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checkCompatibility="1" defaultThemeVersion="124226"/>
  <bookViews>
    <workbookView xWindow="0" yWindow="1170" windowWidth="7485" windowHeight="3000" firstSheet="25" activeTab="28"/>
  </bookViews>
  <sheets>
    <sheet name="perkiraan neraca audited KL" sheetId="134" r:id="rId1"/>
    <sheet name="Neraca Unaudited SIMAK" sheetId="1" r:id="rId2"/>
    <sheet name="Neraca Audited SIMAK" sheetId="137" r:id="rId3"/>
    <sheet name="Mutasi Neraca" sheetId="138" r:id="rId4"/>
    <sheet name="Daftar Koreksi" sheetId="94" r:id="rId5"/>
    <sheet name="Eselon 1" sheetId="135" r:id="rId6"/>
    <sheet name="0100" sheetId="99" r:id="rId7"/>
    <sheet name="0200" sheetId="100" r:id="rId8"/>
    <sheet name="0300" sheetId="101" r:id="rId9"/>
    <sheet name="0400" sheetId="102" r:id="rId10"/>
    <sheet name="0500" sheetId="52" r:id="rId11"/>
    <sheet name="0600" sheetId="103" r:id="rId12"/>
    <sheet name="0700" sheetId="111" r:id="rId13"/>
    <sheet name="0800" sheetId="112" r:id="rId14"/>
    <sheet name="0900" sheetId="113" r:id="rId15"/>
    <sheet name="1000" sheetId="114" r:id="rId16"/>
    <sheet name="1100" sheetId="115" r:id="rId17"/>
    <sheet name="1200" sheetId="116" r:id="rId18"/>
    <sheet name="1300" sheetId="117" r:id="rId19"/>
    <sheet name="1400" sheetId="110" r:id="rId20"/>
    <sheet name="1500" sheetId="109" r:id="rId21"/>
    <sheet name="1600" sheetId="108" r:id="rId22"/>
    <sheet name="1700" sheetId="107" r:id="rId23"/>
    <sheet name="1800" sheetId="106" r:id="rId24"/>
    <sheet name="1900" sheetId="105" r:id="rId25"/>
    <sheet name="2000" sheetId="104" r:id="rId26"/>
    <sheet name="2100" sheetId="126" r:id="rId27"/>
    <sheet name="2200" sheetId="127" r:id="rId28"/>
    <sheet name="2300" sheetId="128" r:id="rId29"/>
    <sheet name="2400" sheetId="129" r:id="rId30"/>
    <sheet name="2500" sheetId="130" r:id="rId31"/>
    <sheet name="2600" sheetId="131" r:id="rId32"/>
    <sheet name="2800" sheetId="132" r:id="rId33"/>
    <sheet name="2900" sheetId="133" r:id="rId34"/>
    <sheet name="3000" sheetId="122" r:id="rId35"/>
    <sheet name="3100" sheetId="123" r:id="rId36"/>
    <sheet name="3200" sheetId="124" r:id="rId37"/>
    <sheet name="3300" sheetId="125" r:id="rId38"/>
    <sheet name="3400" sheetId="120" r:id="rId39"/>
  </sheets>
  <definedNames>
    <definedName name="_xlnm._FilterDatabase" localSheetId="4" hidden="1">'Daftar Koreksi'!$A$4:$J$93</definedName>
    <definedName name="_xlnm._FilterDatabase" localSheetId="3" hidden="1">'Mutasi Neraca'!$A$2:$R$78</definedName>
    <definedName name="_xlnm.Print_Area" localSheetId="6">'0100'!$A$1:$H$376</definedName>
    <definedName name="_xlnm.Print_Area" localSheetId="7">'0200'!$A$1:$H$1080</definedName>
    <definedName name="_xlnm.Print_Area" localSheetId="8">'0300'!$A$1:$H$1652</definedName>
    <definedName name="_xlnm.Print_Area" localSheetId="9">'0400'!$A$1:$H$310</definedName>
    <definedName name="_xlnm.Print_Area" localSheetId="10">'0500'!$A$1:$H$1740</definedName>
    <definedName name="_xlnm.Print_Area" localSheetId="11">'0600'!$A$1:$H$926</definedName>
    <definedName name="_xlnm.Print_Area" localSheetId="12">'0700'!$A$1:$H$970</definedName>
    <definedName name="_xlnm.Print_Area" localSheetId="13">'0800'!$A$1:$H$794</definedName>
    <definedName name="_xlnm.Print_Area" localSheetId="14">'0900'!$A$1:$H$508</definedName>
    <definedName name="_xlnm.Print_Area" localSheetId="15">'1000'!$A$1:$H$508</definedName>
    <definedName name="_xlnm.Print_Area" localSheetId="16">'1100'!$A$1:$H$442</definedName>
    <definedName name="_xlnm.Print_Area" localSheetId="17">'1200'!$A$1:$H$486</definedName>
    <definedName name="_xlnm.Print_Area" localSheetId="18">'1300'!$A$1:$H$464</definedName>
    <definedName name="_xlnm.Print_Area" localSheetId="19">'1400'!$A$1:$H$376</definedName>
    <definedName name="_xlnm.Print_Area" localSheetId="20">'1500'!$A$1:$H$640</definedName>
    <definedName name="_xlnm.Print_Area" localSheetId="21">'1600'!$A$1:$H$574</definedName>
    <definedName name="_xlnm.Print_Area" localSheetId="22">'1700'!$A$1:$H$376</definedName>
    <definedName name="_xlnm.Print_Area" localSheetId="23">'1800'!$A$1:$H$420</definedName>
    <definedName name="_xlnm.Print_Area" localSheetId="24">'1900'!$A$1:$H$1058</definedName>
    <definedName name="_xlnm.Print_Area" localSheetId="25">'2000'!$A$1:$H$376</definedName>
    <definedName name="_xlnm.Print_Area" localSheetId="26">'2100'!$A$1:$H$244</definedName>
    <definedName name="_xlnm.Print_Area" localSheetId="27">'2200'!$A$1:$H$442</definedName>
    <definedName name="_xlnm.Print_Area" localSheetId="28">'2300'!$A$1:$H$376</definedName>
    <definedName name="_xlnm.Print_Area" localSheetId="29">'2400'!$A$1:$H$750</definedName>
    <definedName name="_xlnm.Print_Area" localSheetId="30">'2500'!$A$1:$H$464</definedName>
    <definedName name="_xlnm.Print_Area" localSheetId="31">'2600'!$A$1:$H$354</definedName>
    <definedName name="_xlnm.Print_Area" localSheetId="32">'2800'!$A$1:$H$222</definedName>
    <definedName name="_xlnm.Print_Area" localSheetId="33">'2900'!$A$1:$H$288</definedName>
    <definedName name="_xlnm.Print_Area" localSheetId="34">'3000'!$A$1:$H$200</definedName>
    <definedName name="_xlnm.Print_Area" localSheetId="35">'3100'!$A$1:$H$222</definedName>
    <definedName name="_xlnm.Print_Area" localSheetId="36">'3200'!$A$1:$H$244</definedName>
    <definedName name="_xlnm.Print_Area" localSheetId="37">'3300'!$A$1:$H$134</definedName>
    <definedName name="_xlnm.Print_Area" localSheetId="38">'3400'!$A$1:$H$156</definedName>
    <definedName name="_xlnm.Print_Area" localSheetId="5">'Eselon 1'!$A$1:$H$156</definedName>
    <definedName name="_xlnm.Print_Titles" localSheetId="4">'Daftar Koreksi'!$4:$4</definedName>
  </definedNames>
  <calcPr calcId="162913"/>
</workbook>
</file>

<file path=xl/calcChain.xml><?xml version="1.0" encoding="utf-8"?>
<calcChain xmlns="http://schemas.openxmlformats.org/spreadsheetml/2006/main">
  <c r="K194" i="105" l="1"/>
  <c r="J194" i="105"/>
  <c r="E128" i="125"/>
  <c r="J128" i="125"/>
  <c r="D15" i="134" l="1"/>
  <c r="Q79" i="138" l="1"/>
  <c r="P79" i="138"/>
  <c r="O79" i="138"/>
  <c r="N79" i="138"/>
  <c r="M79" i="138"/>
  <c r="K79" i="138"/>
  <c r="J79" i="138"/>
  <c r="I79" i="138"/>
  <c r="H79" i="138"/>
  <c r="G79" i="138"/>
  <c r="F79" i="138"/>
  <c r="E79" i="138"/>
  <c r="D79" i="138"/>
  <c r="C79" i="138"/>
  <c r="L79" i="138" l="1"/>
  <c r="R79" i="138"/>
  <c r="R1270" i="137"/>
  <c r="Q1270" i="137"/>
  <c r="P1270" i="137"/>
  <c r="O1270" i="137"/>
  <c r="N1270" i="137"/>
  <c r="M1270" i="137"/>
  <c r="L1270" i="137"/>
  <c r="K1270" i="137"/>
  <c r="J1270" i="137"/>
  <c r="I1270" i="137"/>
  <c r="H1270" i="137"/>
  <c r="G1270" i="137"/>
  <c r="F1270" i="137"/>
  <c r="E1270" i="137"/>
  <c r="D1270" i="137"/>
  <c r="R1268" i="137"/>
  <c r="Q1268" i="137"/>
  <c r="P1268" i="137"/>
  <c r="O1268" i="137"/>
  <c r="N1268" i="137"/>
  <c r="M1268" i="137"/>
  <c r="L1268" i="137"/>
  <c r="K1268" i="137"/>
  <c r="J1268" i="137"/>
  <c r="I1268" i="137"/>
  <c r="H1268" i="137"/>
  <c r="G1268" i="137"/>
  <c r="F1268" i="137"/>
  <c r="E1268" i="137"/>
  <c r="D1268" i="137"/>
  <c r="R1267" i="137"/>
  <c r="Q1267" i="137"/>
  <c r="P1267" i="137"/>
  <c r="O1267" i="137"/>
  <c r="N1267" i="137"/>
  <c r="M1267" i="137"/>
  <c r="L1267" i="137"/>
  <c r="K1267" i="137"/>
  <c r="J1267" i="137"/>
  <c r="I1267" i="137"/>
  <c r="H1267" i="137"/>
  <c r="G1267" i="137"/>
  <c r="F1267" i="137"/>
  <c r="E1267" i="137"/>
  <c r="D1267" i="137"/>
  <c r="R1266" i="137"/>
  <c r="Q1266" i="137"/>
  <c r="P1266" i="137"/>
  <c r="O1266" i="137"/>
  <c r="N1266" i="137"/>
  <c r="M1266" i="137"/>
  <c r="L1266" i="137"/>
  <c r="K1266" i="137"/>
  <c r="J1266" i="137"/>
  <c r="I1266" i="137"/>
  <c r="H1266" i="137"/>
  <c r="G1266" i="137"/>
  <c r="F1266" i="137"/>
  <c r="E1266" i="137"/>
  <c r="D1266" i="137"/>
  <c r="R1265" i="137"/>
  <c r="Q1265" i="137"/>
  <c r="P1265" i="137"/>
  <c r="O1265" i="137"/>
  <c r="N1265" i="137"/>
  <c r="M1265" i="137"/>
  <c r="L1265" i="137"/>
  <c r="K1265" i="137"/>
  <c r="J1265" i="137"/>
  <c r="I1265" i="137"/>
  <c r="H1265" i="137"/>
  <c r="G1265" i="137"/>
  <c r="F1265" i="137"/>
  <c r="E1265" i="137"/>
  <c r="D1265" i="137"/>
  <c r="R1264" i="137"/>
  <c r="Q1264" i="137"/>
  <c r="P1264" i="137"/>
  <c r="O1264" i="137"/>
  <c r="N1264" i="137"/>
  <c r="M1264" i="137"/>
  <c r="L1264" i="137"/>
  <c r="K1264" i="137"/>
  <c r="J1264" i="137"/>
  <c r="I1264" i="137"/>
  <c r="H1264" i="137"/>
  <c r="G1264" i="137"/>
  <c r="F1264" i="137"/>
  <c r="E1264" i="137"/>
  <c r="D1264" i="137"/>
  <c r="R1263" i="137"/>
  <c r="Q1263" i="137"/>
  <c r="P1263" i="137"/>
  <c r="O1263" i="137"/>
  <c r="N1263" i="137"/>
  <c r="M1263" i="137"/>
  <c r="L1263" i="137"/>
  <c r="K1263" i="137"/>
  <c r="J1263" i="137"/>
  <c r="I1263" i="137"/>
  <c r="H1263" i="137"/>
  <c r="G1263" i="137"/>
  <c r="F1263" i="137"/>
  <c r="E1263" i="137"/>
  <c r="D1263" i="137"/>
  <c r="R1262" i="137"/>
  <c r="Q1262" i="137"/>
  <c r="P1262" i="137"/>
  <c r="O1262" i="137"/>
  <c r="N1262" i="137"/>
  <c r="M1262" i="137"/>
  <c r="L1262" i="137"/>
  <c r="K1262" i="137"/>
  <c r="J1262" i="137"/>
  <c r="I1262" i="137"/>
  <c r="H1262" i="137"/>
  <c r="G1262" i="137"/>
  <c r="F1262" i="137"/>
  <c r="E1262" i="137"/>
  <c r="D1262" i="137"/>
  <c r="R1261" i="137"/>
  <c r="Q1261" i="137"/>
  <c r="P1261" i="137"/>
  <c r="O1261" i="137"/>
  <c r="N1261" i="137"/>
  <c r="M1261" i="137"/>
  <c r="L1261" i="137"/>
  <c r="K1261" i="137"/>
  <c r="J1261" i="137"/>
  <c r="I1261" i="137"/>
  <c r="H1261" i="137"/>
  <c r="G1261" i="137"/>
  <c r="F1261" i="137"/>
  <c r="E1261" i="137"/>
  <c r="D1261" i="137"/>
  <c r="R1260" i="137"/>
  <c r="Q1260" i="137"/>
  <c r="P1260" i="137"/>
  <c r="O1260" i="137"/>
  <c r="N1260" i="137"/>
  <c r="M1260" i="137"/>
  <c r="L1260" i="137"/>
  <c r="K1260" i="137"/>
  <c r="J1260" i="137"/>
  <c r="I1260" i="137"/>
  <c r="H1260" i="137"/>
  <c r="G1260" i="137"/>
  <c r="F1260" i="137"/>
  <c r="E1260" i="137"/>
  <c r="D1260" i="137"/>
  <c r="R1259" i="137"/>
  <c r="Q1259" i="137"/>
  <c r="P1259" i="137"/>
  <c r="O1259" i="137"/>
  <c r="N1259" i="137"/>
  <c r="M1259" i="137"/>
  <c r="L1259" i="137"/>
  <c r="K1259" i="137"/>
  <c r="J1259" i="137"/>
  <c r="I1259" i="137"/>
  <c r="H1259" i="137"/>
  <c r="G1259" i="137"/>
  <c r="F1259" i="137"/>
  <c r="E1259" i="137"/>
  <c r="D1259" i="137"/>
  <c r="R1258" i="137"/>
  <c r="Q1258" i="137"/>
  <c r="P1258" i="137"/>
  <c r="O1258" i="137"/>
  <c r="N1258" i="137"/>
  <c r="M1258" i="137"/>
  <c r="L1258" i="137"/>
  <c r="K1258" i="137"/>
  <c r="J1258" i="137"/>
  <c r="I1258" i="137"/>
  <c r="H1258" i="137"/>
  <c r="G1258" i="137"/>
  <c r="F1258" i="137"/>
  <c r="E1258" i="137"/>
  <c r="D1258" i="137"/>
  <c r="R1257" i="137"/>
  <c r="Q1257" i="137"/>
  <c r="P1257" i="137"/>
  <c r="O1257" i="137"/>
  <c r="N1257" i="137"/>
  <c r="M1257" i="137"/>
  <c r="L1257" i="137"/>
  <c r="K1257" i="137"/>
  <c r="J1257" i="137"/>
  <c r="I1257" i="137"/>
  <c r="H1257" i="137"/>
  <c r="G1257" i="137"/>
  <c r="F1257" i="137"/>
  <c r="E1257" i="137"/>
  <c r="D1257" i="137"/>
  <c r="R1256" i="137"/>
  <c r="Q1256" i="137"/>
  <c r="P1256" i="137"/>
  <c r="O1256" i="137"/>
  <c r="N1256" i="137"/>
  <c r="M1256" i="137"/>
  <c r="L1256" i="137"/>
  <c r="K1256" i="137"/>
  <c r="J1256" i="137"/>
  <c r="I1256" i="137"/>
  <c r="H1256" i="137"/>
  <c r="G1256" i="137"/>
  <c r="F1256" i="137"/>
  <c r="E1256" i="137"/>
  <c r="D1256" i="137"/>
  <c r="R1255" i="137"/>
  <c r="Q1255" i="137"/>
  <c r="P1255" i="137"/>
  <c r="O1255" i="137"/>
  <c r="N1255" i="137"/>
  <c r="M1255" i="137"/>
  <c r="L1255" i="137"/>
  <c r="K1255" i="137"/>
  <c r="J1255" i="137"/>
  <c r="I1255" i="137"/>
  <c r="H1255" i="137"/>
  <c r="G1255" i="137"/>
  <c r="F1255" i="137"/>
  <c r="E1255" i="137"/>
  <c r="D1255" i="137"/>
  <c r="R1254" i="137"/>
  <c r="Q1254" i="137"/>
  <c r="P1254" i="137"/>
  <c r="O1254" i="137"/>
  <c r="N1254" i="137"/>
  <c r="M1254" i="137"/>
  <c r="L1254" i="137"/>
  <c r="K1254" i="137"/>
  <c r="J1254" i="137"/>
  <c r="I1254" i="137"/>
  <c r="H1254" i="137"/>
  <c r="G1254" i="137"/>
  <c r="F1254" i="137"/>
  <c r="E1254" i="137"/>
  <c r="D1254" i="137"/>
  <c r="R1253" i="137"/>
  <c r="Q1253" i="137"/>
  <c r="P1253" i="137"/>
  <c r="O1253" i="137"/>
  <c r="N1253" i="137"/>
  <c r="M1253" i="137"/>
  <c r="L1253" i="137"/>
  <c r="K1253" i="137"/>
  <c r="J1253" i="137"/>
  <c r="I1253" i="137"/>
  <c r="H1253" i="137"/>
  <c r="G1253" i="137"/>
  <c r="F1253" i="137"/>
  <c r="E1253" i="137"/>
  <c r="D1253" i="137"/>
  <c r="R1252" i="137"/>
  <c r="Q1252" i="137"/>
  <c r="P1252" i="137"/>
  <c r="O1252" i="137"/>
  <c r="N1252" i="137"/>
  <c r="M1252" i="137"/>
  <c r="L1252" i="137"/>
  <c r="K1252" i="137"/>
  <c r="J1252" i="137"/>
  <c r="I1252" i="137"/>
  <c r="H1252" i="137"/>
  <c r="G1252" i="137"/>
  <c r="F1252" i="137"/>
  <c r="E1252" i="137"/>
  <c r="D1252" i="137"/>
  <c r="R1251" i="137"/>
  <c r="Q1251" i="137"/>
  <c r="P1251" i="137"/>
  <c r="O1251" i="137"/>
  <c r="N1251" i="137"/>
  <c r="M1251" i="137"/>
  <c r="L1251" i="137"/>
  <c r="K1251" i="137"/>
  <c r="J1251" i="137"/>
  <c r="I1251" i="137"/>
  <c r="H1251" i="137"/>
  <c r="G1251" i="137"/>
  <c r="F1251" i="137"/>
  <c r="E1251" i="137"/>
  <c r="D1251" i="137"/>
  <c r="R1250" i="137"/>
  <c r="Q1250" i="137"/>
  <c r="P1250" i="137"/>
  <c r="O1250" i="137"/>
  <c r="N1250" i="137"/>
  <c r="M1250" i="137"/>
  <c r="L1250" i="137"/>
  <c r="K1250" i="137"/>
  <c r="J1250" i="137"/>
  <c r="I1250" i="137"/>
  <c r="H1250" i="137"/>
  <c r="G1250" i="137"/>
  <c r="F1250" i="137"/>
  <c r="E1250" i="137"/>
  <c r="D1250" i="137"/>
  <c r="B1270" i="137"/>
  <c r="B1269" i="137"/>
  <c r="B1268" i="137"/>
  <c r="B1267" i="137"/>
  <c r="B1266" i="137"/>
  <c r="B1265" i="137"/>
  <c r="B1264" i="137"/>
  <c r="B1263" i="137"/>
  <c r="B1262" i="137"/>
  <c r="B1261" i="137"/>
  <c r="B1260" i="137"/>
  <c r="B1259" i="137"/>
  <c r="B1258" i="137"/>
  <c r="B1257" i="137"/>
  <c r="B1256" i="137"/>
  <c r="B1255" i="137"/>
  <c r="B1254" i="137"/>
  <c r="B1253" i="137"/>
  <c r="B1252" i="137"/>
  <c r="B1251" i="137"/>
  <c r="B1250" i="137"/>
  <c r="R1270" i="1"/>
  <c r="R1266" i="1"/>
  <c r="R1262" i="1"/>
  <c r="R1258" i="1"/>
  <c r="R1254" i="1"/>
  <c r="R1250" i="1"/>
  <c r="L1270" i="1"/>
  <c r="L1269" i="1"/>
  <c r="R1269" i="1" s="1"/>
  <c r="L1268" i="1"/>
  <c r="R1268" i="1" s="1"/>
  <c r="L1267" i="1"/>
  <c r="R1267" i="1" s="1"/>
  <c r="L1266" i="1"/>
  <c r="L1265" i="1"/>
  <c r="R1265" i="1" s="1"/>
  <c r="L1264" i="1"/>
  <c r="R1264" i="1" s="1"/>
  <c r="L1263" i="1"/>
  <c r="R1263" i="1" s="1"/>
  <c r="L1262" i="1"/>
  <c r="L1261" i="1"/>
  <c r="R1261" i="1" s="1"/>
  <c r="L1260" i="1"/>
  <c r="R1260" i="1" s="1"/>
  <c r="L1259" i="1"/>
  <c r="R1259" i="1" s="1"/>
  <c r="L1258" i="1"/>
  <c r="L1257" i="1"/>
  <c r="R1257" i="1" s="1"/>
  <c r="L1256" i="1"/>
  <c r="R1256" i="1" s="1"/>
  <c r="L1255" i="1"/>
  <c r="R1255" i="1" s="1"/>
  <c r="L1254" i="1"/>
  <c r="L1253" i="1"/>
  <c r="R1253" i="1" s="1"/>
  <c r="L1252" i="1"/>
  <c r="R1252" i="1" s="1"/>
  <c r="L1251" i="1"/>
  <c r="R1251" i="1" s="1"/>
  <c r="L1250" i="1"/>
  <c r="S1268" i="137" l="1"/>
  <c r="S1252" i="137"/>
  <c r="S1256" i="137"/>
  <c r="S1260" i="137"/>
  <c r="S1255" i="137"/>
  <c r="S1259" i="137"/>
  <c r="S1263" i="137"/>
  <c r="S1264" i="137"/>
  <c r="S1267" i="137"/>
  <c r="S1250" i="137"/>
  <c r="S1254" i="137"/>
  <c r="S1258" i="137"/>
  <c r="S1262" i="137"/>
  <c r="S1266" i="137"/>
  <c r="S1270" i="137"/>
  <c r="S1251" i="137"/>
  <c r="S1253" i="137"/>
  <c r="S1257" i="137"/>
  <c r="S1261" i="137"/>
  <c r="S1265" i="137"/>
  <c r="E86" i="94" l="1"/>
  <c r="R1247" i="137" l="1"/>
  <c r="Q1247" i="137"/>
  <c r="P1247" i="137"/>
  <c r="O1247" i="137"/>
  <c r="N1247" i="137"/>
  <c r="L1247" i="137"/>
  <c r="K1247" i="137"/>
  <c r="J1247" i="137"/>
  <c r="I1247" i="137"/>
  <c r="H1247" i="137"/>
  <c r="G1247" i="137"/>
  <c r="F1247" i="137"/>
  <c r="E1247" i="137"/>
  <c r="D1247" i="137"/>
  <c r="R1246" i="137"/>
  <c r="Q1246" i="137"/>
  <c r="P1246" i="137"/>
  <c r="O1246" i="137"/>
  <c r="N1246" i="137"/>
  <c r="L1246" i="137"/>
  <c r="K1246" i="137"/>
  <c r="J1246" i="137"/>
  <c r="I1246" i="137"/>
  <c r="H1246" i="137"/>
  <c r="G1246" i="137"/>
  <c r="F1246" i="137"/>
  <c r="E1246" i="137"/>
  <c r="D1246" i="137"/>
  <c r="R1245" i="137"/>
  <c r="Q1245" i="137"/>
  <c r="P1245" i="137"/>
  <c r="O1245" i="137"/>
  <c r="N1245" i="137"/>
  <c r="L1245" i="137"/>
  <c r="K1245" i="137"/>
  <c r="J1245" i="137"/>
  <c r="I1245" i="137"/>
  <c r="H1245" i="137"/>
  <c r="G1245" i="137"/>
  <c r="F1245" i="137"/>
  <c r="E1245" i="137"/>
  <c r="D1245" i="137"/>
  <c r="R1244" i="137"/>
  <c r="Q1244" i="137"/>
  <c r="P1244" i="137"/>
  <c r="O1244" i="137"/>
  <c r="N1244" i="137"/>
  <c r="L1244" i="137"/>
  <c r="K1244" i="137"/>
  <c r="J1244" i="137"/>
  <c r="I1244" i="137"/>
  <c r="H1244" i="137"/>
  <c r="G1244" i="137"/>
  <c r="F1244" i="137"/>
  <c r="E1244" i="137"/>
  <c r="D1244" i="137"/>
  <c r="R1243" i="137"/>
  <c r="Q1243" i="137"/>
  <c r="P1243" i="137"/>
  <c r="O1243" i="137"/>
  <c r="N1243" i="137"/>
  <c r="L1243" i="137"/>
  <c r="K1243" i="137"/>
  <c r="J1243" i="137"/>
  <c r="I1243" i="137"/>
  <c r="H1243" i="137"/>
  <c r="G1243" i="137"/>
  <c r="F1243" i="137"/>
  <c r="E1243" i="137"/>
  <c r="D1243" i="137"/>
  <c r="R1242" i="137"/>
  <c r="Q1242" i="137"/>
  <c r="P1242" i="137"/>
  <c r="O1242" i="137"/>
  <c r="N1242" i="137"/>
  <c r="L1242" i="137"/>
  <c r="K1242" i="137"/>
  <c r="J1242" i="137"/>
  <c r="I1242" i="137"/>
  <c r="H1242" i="137"/>
  <c r="G1242" i="137"/>
  <c r="F1242" i="137"/>
  <c r="E1242" i="137"/>
  <c r="D1242" i="137"/>
  <c r="R1241" i="137"/>
  <c r="Q1241" i="137"/>
  <c r="P1241" i="137"/>
  <c r="O1241" i="137"/>
  <c r="N1241" i="137"/>
  <c r="L1241" i="137"/>
  <c r="K1241" i="137"/>
  <c r="J1241" i="137"/>
  <c r="I1241" i="137"/>
  <c r="H1241" i="137"/>
  <c r="G1241" i="137"/>
  <c r="F1241" i="137"/>
  <c r="E1241" i="137"/>
  <c r="D1241" i="137"/>
  <c r="R1240" i="137"/>
  <c r="Q1240" i="137"/>
  <c r="P1240" i="137"/>
  <c r="O1240" i="137"/>
  <c r="N1240" i="137"/>
  <c r="L1240" i="137"/>
  <c r="K1240" i="137"/>
  <c r="J1240" i="137"/>
  <c r="I1240" i="137"/>
  <c r="H1240" i="137"/>
  <c r="G1240" i="137"/>
  <c r="F1240" i="137"/>
  <c r="E1240" i="137"/>
  <c r="D1240" i="137"/>
  <c r="R1239" i="137"/>
  <c r="Q1239" i="137"/>
  <c r="P1239" i="137"/>
  <c r="O1239" i="137"/>
  <c r="N1239" i="137"/>
  <c r="L1239" i="137"/>
  <c r="K1239" i="137"/>
  <c r="J1239" i="137"/>
  <c r="I1239" i="137"/>
  <c r="H1239" i="137"/>
  <c r="G1239" i="137"/>
  <c r="F1239" i="137"/>
  <c r="E1239" i="137"/>
  <c r="D1239" i="137"/>
  <c r="R1238" i="137"/>
  <c r="Q1238" i="137"/>
  <c r="P1238" i="137"/>
  <c r="O1238" i="137"/>
  <c r="N1238" i="137"/>
  <c r="L1238" i="137"/>
  <c r="K1238" i="137"/>
  <c r="J1238" i="137"/>
  <c r="I1238" i="137"/>
  <c r="H1238" i="137"/>
  <c r="G1238" i="137"/>
  <c r="F1238" i="137"/>
  <c r="E1238" i="137"/>
  <c r="D1238" i="137"/>
  <c r="R1237" i="137"/>
  <c r="Q1237" i="137"/>
  <c r="P1237" i="137"/>
  <c r="O1237" i="137"/>
  <c r="N1237" i="137"/>
  <c r="L1237" i="137"/>
  <c r="K1237" i="137"/>
  <c r="J1237" i="137"/>
  <c r="I1237" i="137"/>
  <c r="H1237" i="137"/>
  <c r="G1237" i="137"/>
  <c r="F1237" i="137"/>
  <c r="E1237" i="137"/>
  <c r="D1237" i="137"/>
  <c r="R1236" i="137"/>
  <c r="Q1236" i="137"/>
  <c r="P1236" i="137"/>
  <c r="O1236" i="137"/>
  <c r="N1236" i="137"/>
  <c r="L1236" i="137"/>
  <c r="K1236" i="137"/>
  <c r="J1236" i="137"/>
  <c r="I1236" i="137"/>
  <c r="H1236" i="137"/>
  <c r="G1236" i="137"/>
  <c r="F1236" i="137"/>
  <c r="E1236" i="137"/>
  <c r="D1236" i="137"/>
  <c r="R1235" i="137"/>
  <c r="Q1235" i="137"/>
  <c r="P1235" i="137"/>
  <c r="O1235" i="137"/>
  <c r="N1235" i="137"/>
  <c r="L1235" i="137"/>
  <c r="K1235" i="137"/>
  <c r="J1235" i="137"/>
  <c r="I1235" i="137"/>
  <c r="H1235" i="137"/>
  <c r="G1235" i="137"/>
  <c r="F1235" i="137"/>
  <c r="E1235" i="137"/>
  <c r="D1235" i="137"/>
  <c r="R1234" i="137"/>
  <c r="Q1234" i="137"/>
  <c r="P1234" i="137"/>
  <c r="O1234" i="137"/>
  <c r="N1234" i="137"/>
  <c r="L1234" i="137"/>
  <c r="K1234" i="137"/>
  <c r="J1234" i="137"/>
  <c r="I1234" i="137"/>
  <c r="H1234" i="137"/>
  <c r="G1234" i="137"/>
  <c r="F1234" i="137"/>
  <c r="E1234" i="137"/>
  <c r="D1234" i="137"/>
  <c r="R1233" i="137"/>
  <c r="Q1233" i="137"/>
  <c r="P1233" i="137"/>
  <c r="O1233" i="137"/>
  <c r="N1233" i="137"/>
  <c r="L1233" i="137"/>
  <c r="K1233" i="137"/>
  <c r="J1233" i="137"/>
  <c r="I1233" i="137"/>
  <c r="H1233" i="137"/>
  <c r="G1233" i="137"/>
  <c r="F1233" i="137"/>
  <c r="E1233" i="137"/>
  <c r="D1233" i="137"/>
  <c r="R1232" i="137"/>
  <c r="Q1232" i="137"/>
  <c r="P1232" i="137"/>
  <c r="O1232" i="137"/>
  <c r="N1232" i="137"/>
  <c r="L1232" i="137"/>
  <c r="K1232" i="137"/>
  <c r="J1232" i="137"/>
  <c r="I1232" i="137"/>
  <c r="H1232" i="137"/>
  <c r="G1232" i="137"/>
  <c r="F1232" i="137"/>
  <c r="E1232" i="137"/>
  <c r="D1232" i="137"/>
  <c r="R1231" i="137"/>
  <c r="Q1231" i="137"/>
  <c r="P1231" i="137"/>
  <c r="O1231" i="137"/>
  <c r="N1231" i="137"/>
  <c r="L1231" i="137"/>
  <c r="K1231" i="137"/>
  <c r="J1231" i="137"/>
  <c r="I1231" i="137"/>
  <c r="H1231" i="137"/>
  <c r="G1231" i="137"/>
  <c r="F1231" i="137"/>
  <c r="E1231" i="137"/>
  <c r="D1231" i="137"/>
  <c r="R1230" i="137"/>
  <c r="Q1230" i="137"/>
  <c r="P1230" i="137"/>
  <c r="O1230" i="137"/>
  <c r="N1230" i="137"/>
  <c r="L1230" i="137"/>
  <c r="K1230" i="137"/>
  <c r="J1230" i="137"/>
  <c r="I1230" i="137"/>
  <c r="H1230" i="137"/>
  <c r="G1230" i="137"/>
  <c r="F1230" i="137"/>
  <c r="E1230" i="137"/>
  <c r="D1230" i="137"/>
  <c r="R1228" i="137"/>
  <c r="Q1228" i="137"/>
  <c r="P1228" i="137"/>
  <c r="O1228" i="137"/>
  <c r="N1228" i="137"/>
  <c r="L1228" i="137"/>
  <c r="K1228" i="137"/>
  <c r="J1228" i="137"/>
  <c r="I1228" i="137"/>
  <c r="H1228" i="137"/>
  <c r="G1228" i="137"/>
  <c r="F1228" i="137"/>
  <c r="E1228" i="137"/>
  <c r="D1228" i="137"/>
  <c r="R1227" i="137"/>
  <c r="Q1227" i="137"/>
  <c r="P1227" i="137"/>
  <c r="O1227" i="137"/>
  <c r="N1227" i="137"/>
  <c r="L1227" i="137"/>
  <c r="K1227" i="137"/>
  <c r="J1227" i="137"/>
  <c r="I1227" i="137"/>
  <c r="H1227" i="137"/>
  <c r="G1227" i="137"/>
  <c r="F1227" i="137"/>
  <c r="E1227" i="137"/>
  <c r="D1227" i="137"/>
  <c r="R1226" i="137"/>
  <c r="Q1226" i="137"/>
  <c r="P1226" i="137"/>
  <c r="O1226" i="137"/>
  <c r="N1226" i="137"/>
  <c r="L1226" i="137"/>
  <c r="K1226" i="137"/>
  <c r="J1226" i="137"/>
  <c r="I1226" i="137"/>
  <c r="H1226" i="137"/>
  <c r="G1226" i="137"/>
  <c r="F1226" i="137"/>
  <c r="E1226" i="137"/>
  <c r="D1226" i="137"/>
  <c r="R1225" i="137"/>
  <c r="Q1225" i="137"/>
  <c r="P1225" i="137"/>
  <c r="O1225" i="137"/>
  <c r="N1225" i="137"/>
  <c r="L1225" i="137"/>
  <c r="K1225" i="137"/>
  <c r="J1225" i="137"/>
  <c r="I1225" i="137"/>
  <c r="H1225" i="137"/>
  <c r="G1225" i="137"/>
  <c r="F1225" i="137"/>
  <c r="E1225" i="137"/>
  <c r="D1225" i="137"/>
  <c r="R1224" i="137"/>
  <c r="Q1224" i="137"/>
  <c r="P1224" i="137"/>
  <c r="O1224" i="137"/>
  <c r="N1224" i="137"/>
  <c r="L1224" i="137"/>
  <c r="K1224" i="137"/>
  <c r="J1224" i="137"/>
  <c r="I1224" i="137"/>
  <c r="H1224" i="137"/>
  <c r="G1224" i="137"/>
  <c r="F1224" i="137"/>
  <c r="E1224" i="137"/>
  <c r="D1224" i="137"/>
  <c r="R1223" i="137"/>
  <c r="Q1223" i="137"/>
  <c r="P1223" i="137"/>
  <c r="O1223" i="137"/>
  <c r="N1223" i="137"/>
  <c r="L1223" i="137"/>
  <c r="K1223" i="137"/>
  <c r="J1223" i="137"/>
  <c r="I1223" i="137"/>
  <c r="H1223" i="137"/>
  <c r="G1223" i="137"/>
  <c r="F1223" i="137"/>
  <c r="E1223" i="137"/>
  <c r="D1223" i="137"/>
  <c r="R1222" i="137"/>
  <c r="Q1222" i="137"/>
  <c r="P1222" i="137"/>
  <c r="O1222" i="137"/>
  <c r="N1222" i="137"/>
  <c r="L1222" i="137"/>
  <c r="K1222" i="137"/>
  <c r="J1222" i="137"/>
  <c r="I1222" i="137"/>
  <c r="H1222" i="137"/>
  <c r="G1222" i="137"/>
  <c r="F1222" i="137"/>
  <c r="E1222" i="137"/>
  <c r="D1222" i="137"/>
  <c r="R1221" i="137"/>
  <c r="Q1221" i="137"/>
  <c r="P1221" i="137"/>
  <c r="O1221" i="137"/>
  <c r="N1221" i="137"/>
  <c r="L1221" i="137"/>
  <c r="K1221" i="137"/>
  <c r="J1221" i="137"/>
  <c r="I1221" i="137"/>
  <c r="H1221" i="137"/>
  <c r="G1221" i="137"/>
  <c r="F1221" i="137"/>
  <c r="E1221" i="137"/>
  <c r="D1221" i="137"/>
  <c r="R1220" i="137"/>
  <c r="Q1220" i="137"/>
  <c r="P1220" i="137"/>
  <c r="O1220" i="137"/>
  <c r="N1220" i="137"/>
  <c r="L1220" i="137"/>
  <c r="K1220" i="137"/>
  <c r="J1220" i="137"/>
  <c r="I1220" i="137"/>
  <c r="H1220" i="137"/>
  <c r="G1220" i="137"/>
  <c r="F1220" i="137"/>
  <c r="E1220" i="137"/>
  <c r="D1220" i="137"/>
  <c r="R1219" i="137"/>
  <c r="Q1219" i="137"/>
  <c r="P1219" i="137"/>
  <c r="O1219" i="137"/>
  <c r="N1219" i="137"/>
  <c r="L1219" i="137"/>
  <c r="K1219" i="137"/>
  <c r="J1219" i="137"/>
  <c r="I1219" i="137"/>
  <c r="H1219" i="137"/>
  <c r="G1219" i="137"/>
  <c r="F1219" i="137"/>
  <c r="E1219" i="137"/>
  <c r="D1219" i="137"/>
  <c r="R1218" i="137"/>
  <c r="Q1218" i="137"/>
  <c r="P1218" i="137"/>
  <c r="O1218" i="137"/>
  <c r="N1218" i="137"/>
  <c r="L1218" i="137"/>
  <c r="K1218" i="137"/>
  <c r="J1218" i="137"/>
  <c r="I1218" i="137"/>
  <c r="H1218" i="137"/>
  <c r="G1218" i="137"/>
  <c r="F1218" i="137"/>
  <c r="E1218" i="137"/>
  <c r="D1218" i="137"/>
  <c r="R1217" i="137"/>
  <c r="Q1217" i="137"/>
  <c r="P1217" i="137"/>
  <c r="O1217" i="137"/>
  <c r="N1217" i="137"/>
  <c r="L1217" i="137"/>
  <c r="K1217" i="137"/>
  <c r="J1217" i="137"/>
  <c r="I1217" i="137"/>
  <c r="H1217" i="137"/>
  <c r="G1217" i="137"/>
  <c r="F1217" i="137"/>
  <c r="E1217" i="137"/>
  <c r="D1217" i="137"/>
  <c r="R1216" i="137"/>
  <c r="Q1216" i="137"/>
  <c r="P1216" i="137"/>
  <c r="O1216" i="137"/>
  <c r="N1216" i="137"/>
  <c r="L1216" i="137"/>
  <c r="K1216" i="137"/>
  <c r="J1216" i="137"/>
  <c r="I1216" i="137"/>
  <c r="H1216" i="137"/>
  <c r="G1216" i="137"/>
  <c r="F1216" i="137"/>
  <c r="E1216" i="137"/>
  <c r="D1216" i="137"/>
  <c r="R1215" i="137"/>
  <c r="Q1215" i="137"/>
  <c r="P1215" i="137"/>
  <c r="O1215" i="137"/>
  <c r="N1215" i="137"/>
  <c r="L1215" i="137"/>
  <c r="K1215" i="137"/>
  <c r="J1215" i="137"/>
  <c r="I1215" i="137"/>
  <c r="H1215" i="137"/>
  <c r="G1215" i="137"/>
  <c r="F1215" i="137"/>
  <c r="E1215" i="137"/>
  <c r="D1215" i="137"/>
  <c r="R1213" i="137"/>
  <c r="Q1213" i="137"/>
  <c r="P1213" i="137"/>
  <c r="O1213" i="137"/>
  <c r="N1213" i="137"/>
  <c r="L1213" i="137"/>
  <c r="K1213" i="137"/>
  <c r="J1213" i="137"/>
  <c r="I1213" i="137"/>
  <c r="H1213" i="137"/>
  <c r="G1213" i="137"/>
  <c r="F1213" i="137"/>
  <c r="E1213" i="137"/>
  <c r="D1213" i="137"/>
  <c r="R1212" i="137"/>
  <c r="Q1212" i="137"/>
  <c r="P1212" i="137"/>
  <c r="O1212" i="137"/>
  <c r="N1212" i="137"/>
  <c r="L1212" i="137"/>
  <c r="K1212" i="137"/>
  <c r="J1212" i="137"/>
  <c r="I1212" i="137"/>
  <c r="H1212" i="137"/>
  <c r="G1212" i="137"/>
  <c r="F1212" i="137"/>
  <c r="E1212" i="137"/>
  <c r="D1212" i="137"/>
  <c r="R1211" i="137"/>
  <c r="Q1211" i="137"/>
  <c r="P1211" i="137"/>
  <c r="O1211" i="137"/>
  <c r="N1211" i="137"/>
  <c r="L1211" i="137"/>
  <c r="K1211" i="137"/>
  <c r="J1211" i="137"/>
  <c r="I1211" i="137"/>
  <c r="H1211" i="137"/>
  <c r="G1211" i="137"/>
  <c r="F1211" i="137"/>
  <c r="E1211" i="137"/>
  <c r="D1211" i="137"/>
  <c r="R1210" i="137"/>
  <c r="Q1210" i="137"/>
  <c r="P1210" i="137"/>
  <c r="O1210" i="137"/>
  <c r="N1210" i="137"/>
  <c r="L1210" i="137"/>
  <c r="K1210" i="137"/>
  <c r="J1210" i="137"/>
  <c r="I1210" i="137"/>
  <c r="H1210" i="137"/>
  <c r="G1210" i="137"/>
  <c r="F1210" i="137"/>
  <c r="E1210" i="137"/>
  <c r="D1210" i="137"/>
  <c r="R1209" i="137"/>
  <c r="Q1209" i="137"/>
  <c r="P1209" i="137"/>
  <c r="O1209" i="137"/>
  <c r="N1209" i="137"/>
  <c r="L1209" i="137"/>
  <c r="K1209" i="137"/>
  <c r="J1209" i="137"/>
  <c r="I1209" i="137"/>
  <c r="H1209" i="137"/>
  <c r="G1209" i="137"/>
  <c r="F1209" i="137"/>
  <c r="E1209" i="137"/>
  <c r="D1209" i="137"/>
  <c r="R1208" i="137"/>
  <c r="Q1208" i="137"/>
  <c r="P1208" i="137"/>
  <c r="O1208" i="137"/>
  <c r="N1208" i="137"/>
  <c r="L1208" i="137"/>
  <c r="K1208" i="137"/>
  <c r="J1208" i="137"/>
  <c r="I1208" i="137"/>
  <c r="H1208" i="137"/>
  <c r="G1208" i="137"/>
  <c r="F1208" i="137"/>
  <c r="E1208" i="137"/>
  <c r="D1208" i="137"/>
  <c r="R1207" i="137"/>
  <c r="Q1207" i="137"/>
  <c r="P1207" i="137"/>
  <c r="O1207" i="137"/>
  <c r="N1207" i="137"/>
  <c r="L1207" i="137"/>
  <c r="K1207" i="137"/>
  <c r="J1207" i="137"/>
  <c r="I1207" i="137"/>
  <c r="H1207" i="137"/>
  <c r="G1207" i="137"/>
  <c r="F1207" i="137"/>
  <c r="E1207" i="137"/>
  <c r="D1207" i="137"/>
  <c r="R1206" i="137"/>
  <c r="Q1206" i="137"/>
  <c r="P1206" i="137"/>
  <c r="O1206" i="137"/>
  <c r="N1206" i="137"/>
  <c r="L1206" i="137"/>
  <c r="K1206" i="137"/>
  <c r="J1206" i="137"/>
  <c r="I1206" i="137"/>
  <c r="H1206" i="137"/>
  <c r="G1206" i="137"/>
  <c r="F1206" i="137"/>
  <c r="E1206" i="137"/>
  <c r="D1206" i="137"/>
  <c r="R1205" i="137"/>
  <c r="Q1205" i="137"/>
  <c r="P1205" i="137"/>
  <c r="O1205" i="137"/>
  <c r="N1205" i="137"/>
  <c r="L1205" i="137"/>
  <c r="K1205" i="137"/>
  <c r="J1205" i="137"/>
  <c r="I1205" i="137"/>
  <c r="H1205" i="137"/>
  <c r="G1205" i="137"/>
  <c r="F1205" i="137"/>
  <c r="E1205" i="137"/>
  <c r="D1205" i="137"/>
  <c r="R1204" i="137"/>
  <c r="Q1204" i="137"/>
  <c r="P1204" i="137"/>
  <c r="O1204" i="137"/>
  <c r="N1204" i="137"/>
  <c r="L1204" i="137"/>
  <c r="K1204" i="137"/>
  <c r="J1204" i="137"/>
  <c r="I1204" i="137"/>
  <c r="H1204" i="137"/>
  <c r="G1204" i="137"/>
  <c r="F1204" i="137"/>
  <c r="E1204" i="137"/>
  <c r="D1204" i="137"/>
  <c r="R1203" i="137"/>
  <c r="Q1203" i="137"/>
  <c r="P1203" i="137"/>
  <c r="O1203" i="137"/>
  <c r="N1203" i="137"/>
  <c r="L1203" i="137"/>
  <c r="K1203" i="137"/>
  <c r="J1203" i="137"/>
  <c r="I1203" i="137"/>
  <c r="H1203" i="137"/>
  <c r="G1203" i="137"/>
  <c r="F1203" i="137"/>
  <c r="E1203" i="137"/>
  <c r="D1203" i="137"/>
  <c r="R1202" i="137"/>
  <c r="Q1202" i="137"/>
  <c r="P1202" i="137"/>
  <c r="O1202" i="137"/>
  <c r="N1202" i="137"/>
  <c r="L1202" i="137"/>
  <c r="K1202" i="137"/>
  <c r="J1202" i="137"/>
  <c r="I1202" i="137"/>
  <c r="H1202" i="137"/>
  <c r="G1202" i="137"/>
  <c r="F1202" i="137"/>
  <c r="E1202" i="137"/>
  <c r="D1202" i="137"/>
  <c r="R1201" i="137"/>
  <c r="Q1201" i="137"/>
  <c r="P1201" i="137"/>
  <c r="O1201" i="137"/>
  <c r="N1201" i="137"/>
  <c r="L1201" i="137"/>
  <c r="K1201" i="137"/>
  <c r="J1201" i="137"/>
  <c r="I1201" i="137"/>
  <c r="H1201" i="137"/>
  <c r="G1201" i="137"/>
  <c r="F1201" i="137"/>
  <c r="E1201" i="137"/>
  <c r="D1201" i="137"/>
  <c r="R1200" i="137"/>
  <c r="Q1200" i="137"/>
  <c r="P1200" i="137"/>
  <c r="O1200" i="137"/>
  <c r="N1200" i="137"/>
  <c r="L1200" i="137"/>
  <c r="K1200" i="137"/>
  <c r="J1200" i="137"/>
  <c r="I1200" i="137"/>
  <c r="H1200" i="137"/>
  <c r="G1200" i="137"/>
  <c r="F1200" i="137"/>
  <c r="E1200" i="137"/>
  <c r="D1200" i="137"/>
  <c r="R1199" i="137"/>
  <c r="Q1199" i="137"/>
  <c r="P1199" i="137"/>
  <c r="O1199" i="137"/>
  <c r="N1199" i="137"/>
  <c r="L1199" i="137"/>
  <c r="K1199" i="137"/>
  <c r="J1199" i="137"/>
  <c r="I1199" i="137"/>
  <c r="H1199" i="137"/>
  <c r="G1199" i="137"/>
  <c r="F1199" i="137"/>
  <c r="E1199" i="137"/>
  <c r="D1199" i="137"/>
  <c r="R1198" i="137"/>
  <c r="Q1198" i="137"/>
  <c r="P1198" i="137"/>
  <c r="O1198" i="137"/>
  <c r="N1198" i="137"/>
  <c r="L1198" i="137"/>
  <c r="K1198" i="137"/>
  <c r="J1198" i="137"/>
  <c r="I1198" i="137"/>
  <c r="H1198" i="137"/>
  <c r="G1198" i="137"/>
  <c r="F1198" i="137"/>
  <c r="E1198" i="137"/>
  <c r="D1198" i="137"/>
  <c r="R1197" i="137"/>
  <c r="Q1197" i="137"/>
  <c r="P1197" i="137"/>
  <c r="O1197" i="137"/>
  <c r="N1197" i="137"/>
  <c r="L1197" i="137"/>
  <c r="K1197" i="137"/>
  <c r="J1197" i="137"/>
  <c r="I1197" i="137"/>
  <c r="H1197" i="137"/>
  <c r="G1197" i="137"/>
  <c r="F1197" i="137"/>
  <c r="E1197" i="137"/>
  <c r="D1197" i="137"/>
  <c r="R1196" i="137"/>
  <c r="Q1196" i="137"/>
  <c r="P1196" i="137"/>
  <c r="O1196" i="137"/>
  <c r="N1196" i="137"/>
  <c r="L1196" i="137"/>
  <c r="K1196" i="137"/>
  <c r="J1196" i="137"/>
  <c r="I1196" i="137"/>
  <c r="H1196" i="137"/>
  <c r="G1196" i="137"/>
  <c r="F1196" i="137"/>
  <c r="E1196" i="137"/>
  <c r="D1196" i="137"/>
  <c r="R1195" i="137"/>
  <c r="Q1195" i="137"/>
  <c r="P1195" i="137"/>
  <c r="O1195" i="137"/>
  <c r="N1195" i="137"/>
  <c r="L1195" i="137"/>
  <c r="K1195" i="137"/>
  <c r="J1195" i="137"/>
  <c r="I1195" i="137"/>
  <c r="H1195" i="137"/>
  <c r="G1195" i="137"/>
  <c r="F1195" i="137"/>
  <c r="E1195" i="137"/>
  <c r="D1195" i="137"/>
  <c r="R1194" i="137"/>
  <c r="Q1194" i="137"/>
  <c r="P1194" i="137"/>
  <c r="O1194" i="137"/>
  <c r="N1194" i="137"/>
  <c r="L1194" i="137"/>
  <c r="K1194" i="137"/>
  <c r="J1194" i="137"/>
  <c r="I1194" i="137"/>
  <c r="H1194" i="137"/>
  <c r="G1194" i="137"/>
  <c r="F1194" i="137"/>
  <c r="E1194" i="137"/>
  <c r="D1194" i="137"/>
  <c r="R1193" i="137"/>
  <c r="Q1193" i="137"/>
  <c r="P1193" i="137"/>
  <c r="O1193" i="137"/>
  <c r="N1193" i="137"/>
  <c r="L1193" i="137"/>
  <c r="K1193" i="137"/>
  <c r="J1193" i="137"/>
  <c r="I1193" i="137"/>
  <c r="H1193" i="137"/>
  <c r="G1193" i="137"/>
  <c r="F1193" i="137"/>
  <c r="E1193" i="137"/>
  <c r="D1193" i="137"/>
  <c r="R1192" i="137"/>
  <c r="Q1192" i="137"/>
  <c r="P1192" i="137"/>
  <c r="O1192" i="137"/>
  <c r="N1192" i="137"/>
  <c r="L1192" i="137"/>
  <c r="K1192" i="137"/>
  <c r="J1192" i="137"/>
  <c r="I1192" i="137"/>
  <c r="H1192" i="137"/>
  <c r="G1192" i="137"/>
  <c r="F1192" i="137"/>
  <c r="E1192" i="137"/>
  <c r="D1192" i="137"/>
  <c r="R1191" i="137"/>
  <c r="Q1191" i="137"/>
  <c r="P1191" i="137"/>
  <c r="O1191" i="137"/>
  <c r="N1191" i="137"/>
  <c r="L1191" i="137"/>
  <c r="K1191" i="137"/>
  <c r="J1191" i="137"/>
  <c r="I1191" i="137"/>
  <c r="H1191" i="137"/>
  <c r="G1191" i="137"/>
  <c r="F1191" i="137"/>
  <c r="E1191" i="137"/>
  <c r="D1191" i="137"/>
  <c r="R1190" i="137"/>
  <c r="Q1190" i="137"/>
  <c r="P1190" i="137"/>
  <c r="O1190" i="137"/>
  <c r="N1190" i="137"/>
  <c r="L1190" i="137"/>
  <c r="K1190" i="137"/>
  <c r="J1190" i="137"/>
  <c r="I1190" i="137"/>
  <c r="H1190" i="137"/>
  <c r="G1190" i="137"/>
  <c r="F1190" i="137"/>
  <c r="E1190" i="137"/>
  <c r="D1190" i="137"/>
  <c r="R1189" i="137"/>
  <c r="Q1189" i="137"/>
  <c r="P1189" i="137"/>
  <c r="O1189" i="137"/>
  <c r="N1189" i="137"/>
  <c r="L1189" i="137"/>
  <c r="K1189" i="137"/>
  <c r="J1189" i="137"/>
  <c r="I1189" i="137"/>
  <c r="H1189" i="137"/>
  <c r="G1189" i="137"/>
  <c r="F1189" i="137"/>
  <c r="E1189" i="137"/>
  <c r="D1189" i="137"/>
  <c r="R1188" i="137"/>
  <c r="Q1188" i="137"/>
  <c r="P1188" i="137"/>
  <c r="O1188" i="137"/>
  <c r="N1188" i="137"/>
  <c r="L1188" i="137"/>
  <c r="K1188" i="137"/>
  <c r="J1188" i="137"/>
  <c r="I1188" i="137"/>
  <c r="H1188" i="137"/>
  <c r="G1188" i="137"/>
  <c r="F1188" i="137"/>
  <c r="E1188" i="137"/>
  <c r="D1188" i="137"/>
  <c r="R1186" i="137"/>
  <c r="Q1186" i="137"/>
  <c r="P1186" i="137"/>
  <c r="O1186" i="137"/>
  <c r="N1186" i="137"/>
  <c r="L1186" i="137"/>
  <c r="K1186" i="137"/>
  <c r="J1186" i="137"/>
  <c r="I1186" i="137"/>
  <c r="H1186" i="137"/>
  <c r="G1186" i="137"/>
  <c r="F1186" i="137"/>
  <c r="E1186" i="137"/>
  <c r="D1186" i="137"/>
  <c r="R1185" i="137"/>
  <c r="Q1185" i="137"/>
  <c r="P1185" i="137"/>
  <c r="O1185" i="137"/>
  <c r="N1185" i="137"/>
  <c r="L1185" i="137"/>
  <c r="K1185" i="137"/>
  <c r="J1185" i="137"/>
  <c r="I1185" i="137"/>
  <c r="H1185" i="137"/>
  <c r="G1185" i="137"/>
  <c r="F1185" i="137"/>
  <c r="E1185" i="137"/>
  <c r="D1185" i="137"/>
  <c r="R1184" i="137"/>
  <c r="Q1184" i="137"/>
  <c r="P1184" i="137"/>
  <c r="O1184" i="137"/>
  <c r="N1184" i="137"/>
  <c r="L1184" i="137"/>
  <c r="K1184" i="137"/>
  <c r="J1184" i="137"/>
  <c r="I1184" i="137"/>
  <c r="H1184" i="137"/>
  <c r="G1184" i="137"/>
  <c r="F1184" i="137"/>
  <c r="E1184" i="137"/>
  <c r="D1184" i="137"/>
  <c r="R1183" i="137"/>
  <c r="Q1183" i="137"/>
  <c r="P1183" i="137"/>
  <c r="O1183" i="137"/>
  <c r="N1183" i="137"/>
  <c r="L1183" i="137"/>
  <c r="K1183" i="137"/>
  <c r="J1183" i="137"/>
  <c r="I1183" i="137"/>
  <c r="H1183" i="137"/>
  <c r="G1183" i="137"/>
  <c r="F1183" i="137"/>
  <c r="E1183" i="137"/>
  <c r="D1183" i="137"/>
  <c r="R1182" i="137"/>
  <c r="Q1182" i="137"/>
  <c r="P1182" i="137"/>
  <c r="O1182" i="137"/>
  <c r="N1182" i="137"/>
  <c r="L1182" i="137"/>
  <c r="K1182" i="137"/>
  <c r="J1182" i="137"/>
  <c r="I1182" i="137"/>
  <c r="H1182" i="137"/>
  <c r="G1182" i="137"/>
  <c r="F1182" i="137"/>
  <c r="E1182" i="137"/>
  <c r="D1182" i="137"/>
  <c r="R1181" i="137"/>
  <c r="Q1181" i="137"/>
  <c r="P1181" i="137"/>
  <c r="O1181" i="137"/>
  <c r="N1181" i="137"/>
  <c r="L1181" i="137"/>
  <c r="K1181" i="137"/>
  <c r="J1181" i="137"/>
  <c r="I1181" i="137"/>
  <c r="H1181" i="137"/>
  <c r="G1181" i="137"/>
  <c r="F1181" i="137"/>
  <c r="E1181" i="137"/>
  <c r="D1181" i="137"/>
  <c r="R1180" i="137"/>
  <c r="Q1180" i="137"/>
  <c r="P1180" i="137"/>
  <c r="O1180" i="137"/>
  <c r="N1180" i="137"/>
  <c r="L1180" i="137"/>
  <c r="K1180" i="137"/>
  <c r="J1180" i="137"/>
  <c r="I1180" i="137"/>
  <c r="H1180" i="137"/>
  <c r="G1180" i="137"/>
  <c r="F1180" i="137"/>
  <c r="E1180" i="137"/>
  <c r="D1180" i="137"/>
  <c r="R1179" i="137"/>
  <c r="Q1179" i="137"/>
  <c r="P1179" i="137"/>
  <c r="O1179" i="137"/>
  <c r="N1179" i="137"/>
  <c r="L1179" i="137"/>
  <c r="K1179" i="137"/>
  <c r="J1179" i="137"/>
  <c r="I1179" i="137"/>
  <c r="H1179" i="137"/>
  <c r="G1179" i="137"/>
  <c r="F1179" i="137"/>
  <c r="E1179" i="137"/>
  <c r="D1179" i="137"/>
  <c r="R1178" i="137"/>
  <c r="Q1178" i="137"/>
  <c r="P1178" i="137"/>
  <c r="O1178" i="137"/>
  <c r="N1178" i="137"/>
  <c r="L1178" i="137"/>
  <c r="K1178" i="137"/>
  <c r="J1178" i="137"/>
  <c r="I1178" i="137"/>
  <c r="H1178" i="137"/>
  <c r="G1178" i="137"/>
  <c r="F1178" i="137"/>
  <c r="E1178" i="137"/>
  <c r="D1178" i="137"/>
  <c r="R1177" i="137"/>
  <c r="Q1177" i="137"/>
  <c r="P1177" i="137"/>
  <c r="O1177" i="137"/>
  <c r="N1177" i="137"/>
  <c r="L1177" i="137"/>
  <c r="K1177" i="137"/>
  <c r="J1177" i="137"/>
  <c r="I1177" i="137"/>
  <c r="H1177" i="137"/>
  <c r="G1177" i="137"/>
  <c r="F1177" i="137"/>
  <c r="E1177" i="137"/>
  <c r="D1177" i="137"/>
  <c r="R1176" i="137"/>
  <c r="Q1176" i="137"/>
  <c r="P1176" i="137"/>
  <c r="O1176" i="137"/>
  <c r="N1176" i="137"/>
  <c r="L1176" i="137"/>
  <c r="K1176" i="137"/>
  <c r="J1176" i="137"/>
  <c r="I1176" i="137"/>
  <c r="H1176" i="137"/>
  <c r="G1176" i="137"/>
  <c r="F1176" i="137"/>
  <c r="E1176" i="137"/>
  <c r="D1176" i="137"/>
  <c r="R1175" i="137"/>
  <c r="Q1175" i="137"/>
  <c r="P1175" i="137"/>
  <c r="O1175" i="137"/>
  <c r="N1175" i="137"/>
  <c r="L1175" i="137"/>
  <c r="K1175" i="137"/>
  <c r="J1175" i="137"/>
  <c r="I1175" i="137"/>
  <c r="H1175" i="137"/>
  <c r="G1175" i="137"/>
  <c r="F1175" i="137"/>
  <c r="E1175" i="137"/>
  <c r="D1175" i="137"/>
  <c r="R1174" i="137"/>
  <c r="Q1174" i="137"/>
  <c r="P1174" i="137"/>
  <c r="O1174" i="137"/>
  <c r="N1174" i="137"/>
  <c r="L1174" i="137"/>
  <c r="K1174" i="137"/>
  <c r="J1174" i="137"/>
  <c r="I1174" i="137"/>
  <c r="H1174" i="137"/>
  <c r="G1174" i="137"/>
  <c r="F1174" i="137"/>
  <c r="E1174" i="137"/>
  <c r="D1174" i="137"/>
  <c r="R1173" i="137"/>
  <c r="Q1173" i="137"/>
  <c r="P1173" i="137"/>
  <c r="O1173" i="137"/>
  <c r="N1173" i="137"/>
  <c r="L1173" i="137"/>
  <c r="K1173" i="137"/>
  <c r="J1173" i="137"/>
  <c r="I1173" i="137"/>
  <c r="H1173" i="137"/>
  <c r="G1173" i="137"/>
  <c r="F1173" i="137"/>
  <c r="E1173" i="137"/>
  <c r="D1173" i="137"/>
  <c r="R1172" i="137"/>
  <c r="Q1172" i="137"/>
  <c r="P1172" i="137"/>
  <c r="O1172" i="137"/>
  <c r="N1172" i="137"/>
  <c r="L1172" i="137"/>
  <c r="K1172" i="137"/>
  <c r="J1172" i="137"/>
  <c r="I1172" i="137"/>
  <c r="H1172" i="137"/>
  <c r="G1172" i="137"/>
  <c r="F1172" i="137"/>
  <c r="E1172" i="137"/>
  <c r="D1172" i="137"/>
  <c r="R1171" i="137"/>
  <c r="Q1171" i="137"/>
  <c r="P1171" i="137"/>
  <c r="O1171" i="137"/>
  <c r="N1171" i="137"/>
  <c r="L1171" i="137"/>
  <c r="K1171" i="137"/>
  <c r="J1171" i="137"/>
  <c r="I1171" i="137"/>
  <c r="H1171" i="137"/>
  <c r="G1171" i="137"/>
  <c r="F1171" i="137"/>
  <c r="E1171" i="137"/>
  <c r="D1171" i="137"/>
  <c r="R1170" i="137"/>
  <c r="Q1170" i="137"/>
  <c r="P1170" i="137"/>
  <c r="O1170" i="137"/>
  <c r="N1170" i="137"/>
  <c r="L1170" i="137"/>
  <c r="K1170" i="137"/>
  <c r="J1170" i="137"/>
  <c r="I1170" i="137"/>
  <c r="H1170" i="137"/>
  <c r="G1170" i="137"/>
  <c r="F1170" i="137"/>
  <c r="E1170" i="137"/>
  <c r="D1170" i="137"/>
  <c r="R1169" i="137"/>
  <c r="Q1169" i="137"/>
  <c r="P1169" i="137"/>
  <c r="O1169" i="137"/>
  <c r="N1169" i="137"/>
  <c r="L1169" i="137"/>
  <c r="K1169" i="137"/>
  <c r="J1169" i="137"/>
  <c r="I1169" i="137"/>
  <c r="H1169" i="137"/>
  <c r="G1169" i="137"/>
  <c r="F1169" i="137"/>
  <c r="E1169" i="137"/>
  <c r="D1169" i="137"/>
  <c r="R1168" i="137"/>
  <c r="Q1168" i="137"/>
  <c r="P1168" i="137"/>
  <c r="O1168" i="137"/>
  <c r="N1168" i="137"/>
  <c r="L1168" i="137"/>
  <c r="K1168" i="137"/>
  <c r="J1168" i="137"/>
  <c r="I1168" i="137"/>
  <c r="H1168" i="137"/>
  <c r="G1168" i="137"/>
  <c r="F1168" i="137"/>
  <c r="E1168" i="137"/>
  <c r="D1168" i="137"/>
  <c r="R1167" i="137"/>
  <c r="Q1167" i="137"/>
  <c r="P1167" i="137"/>
  <c r="O1167" i="137"/>
  <c r="N1167" i="137"/>
  <c r="L1167" i="137"/>
  <c r="K1167" i="137"/>
  <c r="J1167" i="137"/>
  <c r="I1167" i="137"/>
  <c r="H1167" i="137"/>
  <c r="G1167" i="137"/>
  <c r="F1167" i="137"/>
  <c r="E1167" i="137"/>
  <c r="D1167" i="137"/>
  <c r="R1166" i="137"/>
  <c r="Q1166" i="137"/>
  <c r="P1166" i="137"/>
  <c r="O1166" i="137"/>
  <c r="N1166" i="137"/>
  <c r="L1166" i="137"/>
  <c r="K1166" i="137"/>
  <c r="J1166" i="137"/>
  <c r="I1166" i="137"/>
  <c r="H1166" i="137"/>
  <c r="G1166" i="137"/>
  <c r="F1166" i="137"/>
  <c r="E1166" i="137"/>
  <c r="D1166" i="137"/>
  <c r="R1165" i="137"/>
  <c r="Q1165" i="137"/>
  <c r="P1165" i="137"/>
  <c r="O1165" i="137"/>
  <c r="N1165" i="137"/>
  <c r="L1165" i="137"/>
  <c r="K1165" i="137"/>
  <c r="J1165" i="137"/>
  <c r="I1165" i="137"/>
  <c r="H1165" i="137"/>
  <c r="G1165" i="137"/>
  <c r="F1165" i="137"/>
  <c r="E1165" i="137"/>
  <c r="D1165" i="137"/>
  <c r="R1164" i="137"/>
  <c r="Q1164" i="137"/>
  <c r="P1164" i="137"/>
  <c r="O1164" i="137"/>
  <c r="N1164" i="137"/>
  <c r="L1164" i="137"/>
  <c r="K1164" i="137"/>
  <c r="J1164" i="137"/>
  <c r="I1164" i="137"/>
  <c r="H1164" i="137"/>
  <c r="G1164" i="137"/>
  <c r="F1164" i="137"/>
  <c r="E1164" i="137"/>
  <c r="D1164" i="137"/>
  <c r="R1163" i="137"/>
  <c r="Q1163" i="137"/>
  <c r="P1163" i="137"/>
  <c r="O1163" i="137"/>
  <c r="N1163" i="137"/>
  <c r="L1163" i="137"/>
  <c r="K1163" i="137"/>
  <c r="J1163" i="137"/>
  <c r="I1163" i="137"/>
  <c r="H1163" i="137"/>
  <c r="G1163" i="137"/>
  <c r="F1163" i="137"/>
  <c r="E1163" i="137"/>
  <c r="D1163" i="137"/>
  <c r="R1162" i="137"/>
  <c r="Q1162" i="137"/>
  <c r="P1162" i="137"/>
  <c r="O1162" i="137"/>
  <c r="N1162" i="137"/>
  <c r="L1162" i="137"/>
  <c r="K1162" i="137"/>
  <c r="J1162" i="137"/>
  <c r="I1162" i="137"/>
  <c r="H1162" i="137"/>
  <c r="G1162" i="137"/>
  <c r="F1162" i="137"/>
  <c r="E1162" i="137"/>
  <c r="D1162" i="137"/>
  <c r="R1161" i="137"/>
  <c r="Q1161" i="137"/>
  <c r="P1161" i="137"/>
  <c r="O1161" i="137"/>
  <c r="N1161" i="137"/>
  <c r="L1161" i="137"/>
  <c r="K1161" i="137"/>
  <c r="J1161" i="137"/>
  <c r="I1161" i="137"/>
  <c r="H1161" i="137"/>
  <c r="G1161" i="137"/>
  <c r="F1161" i="137"/>
  <c r="E1161" i="137"/>
  <c r="D1161" i="137"/>
  <c r="R1160" i="137"/>
  <c r="Q1160" i="137"/>
  <c r="P1160" i="137"/>
  <c r="O1160" i="137"/>
  <c r="N1160" i="137"/>
  <c r="L1160" i="137"/>
  <c r="K1160" i="137"/>
  <c r="J1160" i="137"/>
  <c r="I1160" i="137"/>
  <c r="H1160" i="137"/>
  <c r="G1160" i="137"/>
  <c r="F1160" i="137"/>
  <c r="E1160" i="137"/>
  <c r="D1160" i="137"/>
  <c r="R1159" i="137"/>
  <c r="Q1159" i="137"/>
  <c r="P1159" i="137"/>
  <c r="O1159" i="137"/>
  <c r="N1159" i="137"/>
  <c r="L1159" i="137"/>
  <c r="K1159" i="137"/>
  <c r="J1159" i="137"/>
  <c r="I1159" i="137"/>
  <c r="H1159" i="137"/>
  <c r="G1159" i="137"/>
  <c r="F1159" i="137"/>
  <c r="E1159" i="137"/>
  <c r="D1159" i="137"/>
  <c r="R1158" i="137"/>
  <c r="Q1158" i="137"/>
  <c r="P1158" i="137"/>
  <c r="O1158" i="137"/>
  <c r="N1158" i="137"/>
  <c r="L1158" i="137"/>
  <c r="K1158" i="137"/>
  <c r="J1158" i="137"/>
  <c r="I1158" i="137"/>
  <c r="H1158" i="137"/>
  <c r="G1158" i="137"/>
  <c r="F1158" i="137"/>
  <c r="E1158" i="137"/>
  <c r="D1158" i="137"/>
  <c r="R1157" i="137"/>
  <c r="Q1157" i="137"/>
  <c r="P1157" i="137"/>
  <c r="O1157" i="137"/>
  <c r="N1157" i="137"/>
  <c r="L1157" i="137"/>
  <c r="K1157" i="137"/>
  <c r="J1157" i="137"/>
  <c r="I1157" i="137"/>
  <c r="H1157" i="137"/>
  <c r="G1157" i="137"/>
  <c r="F1157" i="137"/>
  <c r="E1157" i="137"/>
  <c r="D1157" i="137"/>
  <c r="R1156" i="137"/>
  <c r="Q1156" i="137"/>
  <c r="P1156" i="137"/>
  <c r="O1156" i="137"/>
  <c r="N1156" i="137"/>
  <c r="L1156" i="137"/>
  <c r="K1156" i="137"/>
  <c r="J1156" i="137"/>
  <c r="I1156" i="137"/>
  <c r="H1156" i="137"/>
  <c r="G1156" i="137"/>
  <c r="F1156" i="137"/>
  <c r="E1156" i="137"/>
  <c r="D1156" i="137"/>
  <c r="R1155" i="137"/>
  <c r="Q1155" i="137"/>
  <c r="P1155" i="137"/>
  <c r="O1155" i="137"/>
  <c r="N1155" i="137"/>
  <c r="L1155" i="137"/>
  <c r="K1155" i="137"/>
  <c r="J1155" i="137"/>
  <c r="I1155" i="137"/>
  <c r="H1155" i="137"/>
  <c r="G1155" i="137"/>
  <c r="F1155" i="137"/>
  <c r="E1155" i="137"/>
  <c r="D1155" i="137"/>
  <c r="R1154" i="137"/>
  <c r="Q1154" i="137"/>
  <c r="P1154" i="137"/>
  <c r="O1154" i="137"/>
  <c r="N1154" i="137"/>
  <c r="L1154" i="137"/>
  <c r="K1154" i="137"/>
  <c r="J1154" i="137"/>
  <c r="I1154" i="137"/>
  <c r="H1154" i="137"/>
  <c r="G1154" i="137"/>
  <c r="F1154" i="137"/>
  <c r="E1154" i="137"/>
  <c r="D1154" i="137"/>
  <c r="R1153" i="137"/>
  <c r="Q1153" i="137"/>
  <c r="P1153" i="137"/>
  <c r="O1153" i="137"/>
  <c r="N1153" i="137"/>
  <c r="L1153" i="137"/>
  <c r="K1153" i="137"/>
  <c r="J1153" i="137"/>
  <c r="I1153" i="137"/>
  <c r="H1153" i="137"/>
  <c r="G1153" i="137"/>
  <c r="F1153" i="137"/>
  <c r="E1153" i="137"/>
  <c r="D1153" i="137"/>
  <c r="R1152" i="137"/>
  <c r="Q1152" i="137"/>
  <c r="P1152" i="137"/>
  <c r="O1152" i="137"/>
  <c r="N1152" i="137"/>
  <c r="L1152" i="137"/>
  <c r="K1152" i="137"/>
  <c r="J1152" i="137"/>
  <c r="I1152" i="137"/>
  <c r="H1152" i="137"/>
  <c r="G1152" i="137"/>
  <c r="F1152" i="137"/>
  <c r="E1152" i="137"/>
  <c r="D1152" i="137"/>
  <c r="R1151" i="137"/>
  <c r="Q1151" i="137"/>
  <c r="P1151" i="137"/>
  <c r="O1151" i="137"/>
  <c r="N1151" i="137"/>
  <c r="L1151" i="137"/>
  <c r="K1151" i="137"/>
  <c r="J1151" i="137"/>
  <c r="I1151" i="137"/>
  <c r="H1151" i="137"/>
  <c r="G1151" i="137"/>
  <c r="F1151" i="137"/>
  <c r="E1151" i="137"/>
  <c r="D1151" i="137"/>
  <c r="R1150" i="137"/>
  <c r="Q1150" i="137"/>
  <c r="P1150" i="137"/>
  <c r="O1150" i="137"/>
  <c r="N1150" i="137"/>
  <c r="L1150" i="137"/>
  <c r="K1150" i="137"/>
  <c r="J1150" i="137"/>
  <c r="I1150" i="137"/>
  <c r="H1150" i="137"/>
  <c r="G1150" i="137"/>
  <c r="F1150" i="137"/>
  <c r="E1150" i="137"/>
  <c r="D1150" i="137"/>
  <c r="R1149" i="137"/>
  <c r="Q1149" i="137"/>
  <c r="P1149" i="137"/>
  <c r="O1149" i="137"/>
  <c r="N1149" i="137"/>
  <c r="L1149" i="137"/>
  <c r="K1149" i="137"/>
  <c r="J1149" i="137"/>
  <c r="I1149" i="137"/>
  <c r="H1149" i="137"/>
  <c r="G1149" i="137"/>
  <c r="F1149" i="137"/>
  <c r="E1149" i="137"/>
  <c r="D1149" i="137"/>
  <c r="R1148" i="137"/>
  <c r="Q1148" i="137"/>
  <c r="P1148" i="137"/>
  <c r="O1148" i="137"/>
  <c r="N1148" i="137"/>
  <c r="L1148" i="137"/>
  <c r="K1148" i="137"/>
  <c r="J1148" i="137"/>
  <c r="I1148" i="137"/>
  <c r="H1148" i="137"/>
  <c r="G1148" i="137"/>
  <c r="F1148" i="137"/>
  <c r="E1148" i="137"/>
  <c r="D1148" i="137"/>
  <c r="R1147" i="137"/>
  <c r="Q1147" i="137"/>
  <c r="P1147" i="137"/>
  <c r="O1147" i="137"/>
  <c r="N1147" i="137"/>
  <c r="L1147" i="137"/>
  <c r="K1147" i="137"/>
  <c r="J1147" i="137"/>
  <c r="I1147" i="137"/>
  <c r="H1147" i="137"/>
  <c r="G1147" i="137"/>
  <c r="F1147" i="137"/>
  <c r="E1147" i="137"/>
  <c r="D1147" i="137"/>
  <c r="R1146" i="137"/>
  <c r="Q1146" i="137"/>
  <c r="P1146" i="137"/>
  <c r="O1146" i="137"/>
  <c r="N1146" i="137"/>
  <c r="L1146" i="137"/>
  <c r="K1146" i="137"/>
  <c r="J1146" i="137"/>
  <c r="I1146" i="137"/>
  <c r="H1146" i="137"/>
  <c r="G1146" i="137"/>
  <c r="F1146" i="137"/>
  <c r="E1146" i="137"/>
  <c r="D1146" i="137"/>
  <c r="R1145" i="137"/>
  <c r="Q1145" i="137"/>
  <c r="P1145" i="137"/>
  <c r="O1145" i="137"/>
  <c r="N1145" i="137"/>
  <c r="L1145" i="137"/>
  <c r="K1145" i="137"/>
  <c r="J1145" i="137"/>
  <c r="I1145" i="137"/>
  <c r="H1145" i="137"/>
  <c r="G1145" i="137"/>
  <c r="F1145" i="137"/>
  <c r="E1145" i="137"/>
  <c r="D1145" i="137"/>
  <c r="R1144" i="137"/>
  <c r="Q1144" i="137"/>
  <c r="P1144" i="137"/>
  <c r="O1144" i="137"/>
  <c r="N1144" i="137"/>
  <c r="L1144" i="137"/>
  <c r="K1144" i="137"/>
  <c r="J1144" i="137"/>
  <c r="I1144" i="137"/>
  <c r="H1144" i="137"/>
  <c r="G1144" i="137"/>
  <c r="F1144" i="137"/>
  <c r="E1144" i="137"/>
  <c r="D1144" i="137"/>
  <c r="R1143" i="137"/>
  <c r="Q1143" i="137"/>
  <c r="P1143" i="137"/>
  <c r="O1143" i="137"/>
  <c r="N1143" i="137"/>
  <c r="L1143" i="137"/>
  <c r="K1143" i="137"/>
  <c r="J1143" i="137"/>
  <c r="I1143" i="137"/>
  <c r="H1143" i="137"/>
  <c r="G1143" i="137"/>
  <c r="F1143" i="137"/>
  <c r="E1143" i="137"/>
  <c r="D1143" i="137"/>
  <c r="R1142" i="137"/>
  <c r="Q1142" i="137"/>
  <c r="P1142" i="137"/>
  <c r="O1142" i="137"/>
  <c r="N1142" i="137"/>
  <c r="L1142" i="137"/>
  <c r="K1142" i="137"/>
  <c r="J1142" i="137"/>
  <c r="I1142" i="137"/>
  <c r="H1142" i="137"/>
  <c r="G1142" i="137"/>
  <c r="F1142" i="137"/>
  <c r="E1142" i="137"/>
  <c r="D1142" i="137"/>
  <c r="R1141" i="137"/>
  <c r="Q1141" i="137"/>
  <c r="P1141" i="137"/>
  <c r="O1141" i="137"/>
  <c r="N1141" i="137"/>
  <c r="L1141" i="137"/>
  <c r="K1141" i="137"/>
  <c r="J1141" i="137"/>
  <c r="I1141" i="137"/>
  <c r="H1141" i="137"/>
  <c r="G1141" i="137"/>
  <c r="F1141" i="137"/>
  <c r="E1141" i="137"/>
  <c r="D1141" i="137"/>
  <c r="R1140" i="137"/>
  <c r="Q1140" i="137"/>
  <c r="P1140" i="137"/>
  <c r="O1140" i="137"/>
  <c r="N1140" i="137"/>
  <c r="L1140" i="137"/>
  <c r="K1140" i="137"/>
  <c r="J1140" i="137"/>
  <c r="I1140" i="137"/>
  <c r="H1140" i="137"/>
  <c r="G1140" i="137"/>
  <c r="F1140" i="137"/>
  <c r="E1140" i="137"/>
  <c r="D1140" i="137"/>
  <c r="R1139" i="137"/>
  <c r="Q1139" i="137"/>
  <c r="P1139" i="137"/>
  <c r="O1139" i="137"/>
  <c r="N1139" i="137"/>
  <c r="L1139" i="137"/>
  <c r="K1139" i="137"/>
  <c r="J1139" i="137"/>
  <c r="I1139" i="137"/>
  <c r="H1139" i="137"/>
  <c r="G1139" i="137"/>
  <c r="F1139" i="137"/>
  <c r="E1139" i="137"/>
  <c r="D1139" i="137"/>
  <c r="R1138" i="137"/>
  <c r="Q1138" i="137"/>
  <c r="P1138" i="137"/>
  <c r="O1138" i="137"/>
  <c r="N1138" i="137"/>
  <c r="L1138" i="137"/>
  <c r="K1138" i="137"/>
  <c r="J1138" i="137"/>
  <c r="I1138" i="137"/>
  <c r="H1138" i="137"/>
  <c r="G1138" i="137"/>
  <c r="F1138" i="137"/>
  <c r="E1138" i="137"/>
  <c r="D1138" i="137"/>
  <c r="R1137" i="137"/>
  <c r="Q1137" i="137"/>
  <c r="P1137" i="137"/>
  <c r="O1137" i="137"/>
  <c r="N1137" i="137"/>
  <c r="L1137" i="137"/>
  <c r="K1137" i="137"/>
  <c r="J1137" i="137"/>
  <c r="I1137" i="137"/>
  <c r="H1137" i="137"/>
  <c r="G1137" i="137"/>
  <c r="F1137" i="137"/>
  <c r="E1137" i="137"/>
  <c r="D1137" i="137"/>
  <c r="R1136" i="137"/>
  <c r="Q1136" i="137"/>
  <c r="P1136" i="137"/>
  <c r="O1136" i="137"/>
  <c r="N1136" i="137"/>
  <c r="L1136" i="137"/>
  <c r="K1136" i="137"/>
  <c r="J1136" i="137"/>
  <c r="I1136" i="137"/>
  <c r="H1136" i="137"/>
  <c r="G1136" i="137"/>
  <c r="F1136" i="137"/>
  <c r="E1136" i="137"/>
  <c r="D1136" i="137"/>
  <c r="R1135" i="137"/>
  <c r="Q1135" i="137"/>
  <c r="P1135" i="137"/>
  <c r="O1135" i="137"/>
  <c r="N1135" i="137"/>
  <c r="L1135" i="137"/>
  <c r="K1135" i="137"/>
  <c r="J1135" i="137"/>
  <c r="I1135" i="137"/>
  <c r="H1135" i="137"/>
  <c r="G1135" i="137"/>
  <c r="F1135" i="137"/>
  <c r="E1135" i="137"/>
  <c r="D1135" i="137"/>
  <c r="R1134" i="137"/>
  <c r="Q1134" i="137"/>
  <c r="P1134" i="137"/>
  <c r="O1134" i="137"/>
  <c r="N1134" i="137"/>
  <c r="L1134" i="137"/>
  <c r="K1134" i="137"/>
  <c r="J1134" i="137"/>
  <c r="I1134" i="137"/>
  <c r="H1134" i="137"/>
  <c r="G1134" i="137"/>
  <c r="F1134" i="137"/>
  <c r="E1134" i="137"/>
  <c r="D1134" i="137"/>
  <c r="R1133" i="137"/>
  <c r="Q1133" i="137"/>
  <c r="P1133" i="137"/>
  <c r="O1133" i="137"/>
  <c r="N1133" i="137"/>
  <c r="L1133" i="137"/>
  <c r="K1133" i="137"/>
  <c r="J1133" i="137"/>
  <c r="I1133" i="137"/>
  <c r="H1133" i="137"/>
  <c r="G1133" i="137"/>
  <c r="F1133" i="137"/>
  <c r="E1133" i="137"/>
  <c r="D1133" i="137"/>
  <c r="R1132" i="137"/>
  <c r="Q1132" i="137"/>
  <c r="P1132" i="137"/>
  <c r="O1132" i="137"/>
  <c r="N1132" i="137"/>
  <c r="L1132" i="137"/>
  <c r="K1132" i="137"/>
  <c r="J1132" i="137"/>
  <c r="I1132" i="137"/>
  <c r="H1132" i="137"/>
  <c r="G1132" i="137"/>
  <c r="F1132" i="137"/>
  <c r="E1132" i="137"/>
  <c r="D1132" i="137"/>
  <c r="R1131" i="137"/>
  <c r="Q1131" i="137"/>
  <c r="P1131" i="137"/>
  <c r="O1131" i="137"/>
  <c r="N1131" i="137"/>
  <c r="L1131" i="137"/>
  <c r="K1131" i="137"/>
  <c r="J1131" i="137"/>
  <c r="I1131" i="137"/>
  <c r="H1131" i="137"/>
  <c r="G1131" i="137"/>
  <c r="F1131" i="137"/>
  <c r="E1131" i="137"/>
  <c r="D1131" i="137"/>
  <c r="R1130" i="137"/>
  <c r="Q1130" i="137"/>
  <c r="P1130" i="137"/>
  <c r="O1130" i="137"/>
  <c r="N1130" i="137"/>
  <c r="L1130" i="137"/>
  <c r="K1130" i="137"/>
  <c r="J1130" i="137"/>
  <c r="I1130" i="137"/>
  <c r="H1130" i="137"/>
  <c r="G1130" i="137"/>
  <c r="F1130" i="137"/>
  <c r="E1130" i="137"/>
  <c r="D1130" i="137"/>
  <c r="R1129" i="137"/>
  <c r="Q1129" i="137"/>
  <c r="P1129" i="137"/>
  <c r="O1129" i="137"/>
  <c r="N1129" i="137"/>
  <c r="L1129" i="137"/>
  <c r="K1129" i="137"/>
  <c r="J1129" i="137"/>
  <c r="I1129" i="137"/>
  <c r="H1129" i="137"/>
  <c r="G1129" i="137"/>
  <c r="F1129" i="137"/>
  <c r="E1129" i="137"/>
  <c r="D1129" i="137"/>
  <c r="R1128" i="137"/>
  <c r="Q1128" i="137"/>
  <c r="P1128" i="137"/>
  <c r="O1128" i="137"/>
  <c r="N1128" i="137"/>
  <c r="L1128" i="137"/>
  <c r="K1128" i="137"/>
  <c r="J1128" i="137"/>
  <c r="I1128" i="137"/>
  <c r="H1128" i="137"/>
  <c r="G1128" i="137"/>
  <c r="F1128" i="137"/>
  <c r="E1128" i="137"/>
  <c r="D1128" i="137"/>
  <c r="R1127" i="137"/>
  <c r="Q1127" i="137"/>
  <c r="P1127" i="137"/>
  <c r="O1127" i="137"/>
  <c r="N1127" i="137"/>
  <c r="L1127" i="137"/>
  <c r="K1127" i="137"/>
  <c r="J1127" i="137"/>
  <c r="I1127" i="137"/>
  <c r="H1127" i="137"/>
  <c r="G1127" i="137"/>
  <c r="F1127" i="137"/>
  <c r="E1127" i="137"/>
  <c r="D1127" i="137"/>
  <c r="R1126" i="137"/>
  <c r="Q1126" i="137"/>
  <c r="P1126" i="137"/>
  <c r="O1126" i="137"/>
  <c r="N1126" i="137"/>
  <c r="L1126" i="137"/>
  <c r="K1126" i="137"/>
  <c r="J1126" i="137"/>
  <c r="I1126" i="137"/>
  <c r="H1126" i="137"/>
  <c r="G1126" i="137"/>
  <c r="F1126" i="137"/>
  <c r="E1126" i="137"/>
  <c r="D1126" i="137"/>
  <c r="R1125" i="137"/>
  <c r="Q1125" i="137"/>
  <c r="P1125" i="137"/>
  <c r="O1125" i="137"/>
  <c r="N1125" i="137"/>
  <c r="L1125" i="137"/>
  <c r="K1125" i="137"/>
  <c r="J1125" i="137"/>
  <c r="I1125" i="137"/>
  <c r="H1125" i="137"/>
  <c r="G1125" i="137"/>
  <c r="F1125" i="137"/>
  <c r="E1125" i="137"/>
  <c r="D1125" i="137"/>
  <c r="R1124" i="137"/>
  <c r="Q1124" i="137"/>
  <c r="P1124" i="137"/>
  <c r="O1124" i="137"/>
  <c r="N1124" i="137"/>
  <c r="L1124" i="137"/>
  <c r="K1124" i="137"/>
  <c r="J1124" i="137"/>
  <c r="I1124" i="137"/>
  <c r="H1124" i="137"/>
  <c r="G1124" i="137"/>
  <c r="F1124" i="137"/>
  <c r="E1124" i="137"/>
  <c r="D1124" i="137"/>
  <c r="R1123" i="137"/>
  <c r="Q1123" i="137"/>
  <c r="P1123" i="137"/>
  <c r="O1123" i="137"/>
  <c r="N1123" i="137"/>
  <c r="L1123" i="137"/>
  <c r="K1123" i="137"/>
  <c r="J1123" i="137"/>
  <c r="I1123" i="137"/>
  <c r="H1123" i="137"/>
  <c r="G1123" i="137"/>
  <c r="F1123" i="137"/>
  <c r="E1123" i="137"/>
  <c r="D1123" i="137"/>
  <c r="R1122" i="137"/>
  <c r="Q1122" i="137"/>
  <c r="P1122" i="137"/>
  <c r="O1122" i="137"/>
  <c r="N1122" i="137"/>
  <c r="L1122" i="137"/>
  <c r="K1122" i="137"/>
  <c r="J1122" i="137"/>
  <c r="I1122" i="137"/>
  <c r="H1122" i="137"/>
  <c r="G1122" i="137"/>
  <c r="F1122" i="137"/>
  <c r="E1122" i="137"/>
  <c r="D1122" i="137"/>
  <c r="R1121" i="137"/>
  <c r="Q1121" i="137"/>
  <c r="P1121" i="137"/>
  <c r="O1121" i="137"/>
  <c r="N1121" i="137"/>
  <c r="L1121" i="137"/>
  <c r="K1121" i="137"/>
  <c r="J1121" i="137"/>
  <c r="I1121" i="137"/>
  <c r="H1121" i="137"/>
  <c r="G1121" i="137"/>
  <c r="F1121" i="137"/>
  <c r="E1121" i="137"/>
  <c r="D1121" i="137"/>
  <c r="R1120" i="137"/>
  <c r="Q1120" i="137"/>
  <c r="P1120" i="137"/>
  <c r="O1120" i="137"/>
  <c r="N1120" i="137"/>
  <c r="L1120" i="137"/>
  <c r="K1120" i="137"/>
  <c r="J1120" i="137"/>
  <c r="I1120" i="137"/>
  <c r="H1120" i="137"/>
  <c r="G1120" i="137"/>
  <c r="F1120" i="137"/>
  <c r="E1120" i="137"/>
  <c r="D1120" i="137"/>
  <c r="R1119" i="137"/>
  <c r="Q1119" i="137"/>
  <c r="P1119" i="137"/>
  <c r="O1119" i="137"/>
  <c r="N1119" i="137"/>
  <c r="L1119" i="137"/>
  <c r="K1119" i="137"/>
  <c r="J1119" i="137"/>
  <c r="I1119" i="137"/>
  <c r="H1119" i="137"/>
  <c r="G1119" i="137"/>
  <c r="F1119" i="137"/>
  <c r="E1119" i="137"/>
  <c r="D1119" i="137"/>
  <c r="R1118" i="137"/>
  <c r="Q1118" i="137"/>
  <c r="P1118" i="137"/>
  <c r="O1118" i="137"/>
  <c r="N1118" i="137"/>
  <c r="L1118" i="137"/>
  <c r="K1118" i="137"/>
  <c r="J1118" i="137"/>
  <c r="I1118" i="137"/>
  <c r="H1118" i="137"/>
  <c r="G1118" i="137"/>
  <c r="F1118" i="137"/>
  <c r="E1118" i="137"/>
  <c r="D1118" i="137"/>
  <c r="R1117" i="137"/>
  <c r="Q1117" i="137"/>
  <c r="P1117" i="137"/>
  <c r="O1117" i="137"/>
  <c r="N1117" i="137"/>
  <c r="L1117" i="137"/>
  <c r="K1117" i="137"/>
  <c r="J1117" i="137"/>
  <c r="I1117" i="137"/>
  <c r="H1117" i="137"/>
  <c r="G1117" i="137"/>
  <c r="F1117" i="137"/>
  <c r="E1117" i="137"/>
  <c r="D1117" i="137"/>
  <c r="R1116" i="137"/>
  <c r="Q1116" i="137"/>
  <c r="P1116" i="137"/>
  <c r="O1116" i="137"/>
  <c r="N1116" i="137"/>
  <c r="L1116" i="137"/>
  <c r="K1116" i="137"/>
  <c r="J1116" i="137"/>
  <c r="I1116" i="137"/>
  <c r="H1116" i="137"/>
  <c r="G1116" i="137"/>
  <c r="F1116" i="137"/>
  <c r="E1116" i="137"/>
  <c r="D1116" i="137"/>
  <c r="R1115" i="137"/>
  <c r="Q1115" i="137"/>
  <c r="P1115" i="137"/>
  <c r="O1115" i="137"/>
  <c r="N1115" i="137"/>
  <c r="L1115" i="137"/>
  <c r="K1115" i="137"/>
  <c r="J1115" i="137"/>
  <c r="I1115" i="137"/>
  <c r="H1115" i="137"/>
  <c r="G1115" i="137"/>
  <c r="F1115" i="137"/>
  <c r="E1115" i="137"/>
  <c r="D1115" i="137"/>
  <c r="R1114" i="137"/>
  <c r="Q1114" i="137"/>
  <c r="P1114" i="137"/>
  <c r="O1114" i="137"/>
  <c r="N1114" i="137"/>
  <c r="L1114" i="137"/>
  <c r="K1114" i="137"/>
  <c r="J1114" i="137"/>
  <c r="I1114" i="137"/>
  <c r="H1114" i="137"/>
  <c r="G1114" i="137"/>
  <c r="F1114" i="137"/>
  <c r="E1114" i="137"/>
  <c r="D1114" i="137"/>
  <c r="R1113" i="137"/>
  <c r="Q1113" i="137"/>
  <c r="P1113" i="137"/>
  <c r="O1113" i="137"/>
  <c r="N1113" i="137"/>
  <c r="L1113" i="137"/>
  <c r="K1113" i="137"/>
  <c r="J1113" i="137"/>
  <c r="I1113" i="137"/>
  <c r="H1113" i="137"/>
  <c r="G1113" i="137"/>
  <c r="F1113" i="137"/>
  <c r="E1113" i="137"/>
  <c r="D1113" i="137"/>
  <c r="R1112" i="137"/>
  <c r="Q1112" i="137"/>
  <c r="P1112" i="137"/>
  <c r="O1112" i="137"/>
  <c r="N1112" i="137"/>
  <c r="L1112" i="137"/>
  <c r="K1112" i="137"/>
  <c r="J1112" i="137"/>
  <c r="I1112" i="137"/>
  <c r="H1112" i="137"/>
  <c r="G1112" i="137"/>
  <c r="F1112" i="137"/>
  <c r="E1112" i="137"/>
  <c r="D1112" i="137"/>
  <c r="R1111" i="137"/>
  <c r="Q1111" i="137"/>
  <c r="P1111" i="137"/>
  <c r="O1111" i="137"/>
  <c r="N1111" i="137"/>
  <c r="L1111" i="137"/>
  <c r="K1111" i="137"/>
  <c r="J1111" i="137"/>
  <c r="I1111" i="137"/>
  <c r="H1111" i="137"/>
  <c r="G1111" i="137"/>
  <c r="F1111" i="137"/>
  <c r="E1111" i="137"/>
  <c r="D1111" i="137"/>
  <c r="R1110" i="137"/>
  <c r="Q1110" i="137"/>
  <c r="P1110" i="137"/>
  <c r="O1110" i="137"/>
  <c r="N1110" i="137"/>
  <c r="L1110" i="137"/>
  <c r="K1110" i="137"/>
  <c r="J1110" i="137"/>
  <c r="I1110" i="137"/>
  <c r="H1110" i="137"/>
  <c r="G1110" i="137"/>
  <c r="F1110" i="137"/>
  <c r="E1110" i="137"/>
  <c r="D1110" i="137"/>
  <c r="R1109" i="137"/>
  <c r="Q1109" i="137"/>
  <c r="P1109" i="137"/>
  <c r="O1109" i="137"/>
  <c r="N1109" i="137"/>
  <c r="L1109" i="137"/>
  <c r="K1109" i="137"/>
  <c r="J1109" i="137"/>
  <c r="I1109" i="137"/>
  <c r="H1109" i="137"/>
  <c r="G1109" i="137"/>
  <c r="F1109" i="137"/>
  <c r="E1109" i="137"/>
  <c r="D1109" i="137"/>
  <c r="R1108" i="137"/>
  <c r="Q1108" i="137"/>
  <c r="P1108" i="137"/>
  <c r="O1108" i="137"/>
  <c r="N1108" i="137"/>
  <c r="L1108" i="137"/>
  <c r="K1108" i="137"/>
  <c r="J1108" i="137"/>
  <c r="I1108" i="137"/>
  <c r="H1108" i="137"/>
  <c r="G1108" i="137"/>
  <c r="F1108" i="137"/>
  <c r="E1108" i="137"/>
  <c r="D1108" i="137"/>
  <c r="R1107" i="137"/>
  <c r="Q1107" i="137"/>
  <c r="P1107" i="137"/>
  <c r="O1107" i="137"/>
  <c r="N1107" i="137"/>
  <c r="L1107" i="137"/>
  <c r="K1107" i="137"/>
  <c r="J1107" i="137"/>
  <c r="I1107" i="137"/>
  <c r="H1107" i="137"/>
  <c r="G1107" i="137"/>
  <c r="F1107" i="137"/>
  <c r="E1107" i="137"/>
  <c r="D1107" i="137"/>
  <c r="R1106" i="137"/>
  <c r="Q1106" i="137"/>
  <c r="P1106" i="137"/>
  <c r="O1106" i="137"/>
  <c r="N1106" i="137"/>
  <c r="L1106" i="137"/>
  <c r="K1106" i="137"/>
  <c r="J1106" i="137"/>
  <c r="I1106" i="137"/>
  <c r="H1106" i="137"/>
  <c r="G1106" i="137"/>
  <c r="F1106" i="137"/>
  <c r="E1106" i="137"/>
  <c r="D1106" i="137"/>
  <c r="R1105" i="137"/>
  <c r="Q1105" i="137"/>
  <c r="P1105" i="137"/>
  <c r="O1105" i="137"/>
  <c r="N1105" i="137"/>
  <c r="L1105" i="137"/>
  <c r="K1105" i="137"/>
  <c r="J1105" i="137"/>
  <c r="I1105" i="137"/>
  <c r="H1105" i="137"/>
  <c r="G1105" i="137"/>
  <c r="F1105" i="137"/>
  <c r="E1105" i="137"/>
  <c r="D1105" i="137"/>
  <c r="R1104" i="137"/>
  <c r="Q1104" i="137"/>
  <c r="P1104" i="137"/>
  <c r="O1104" i="137"/>
  <c r="N1104" i="137"/>
  <c r="L1104" i="137"/>
  <c r="K1104" i="137"/>
  <c r="J1104" i="137"/>
  <c r="I1104" i="137"/>
  <c r="H1104" i="137"/>
  <c r="G1104" i="137"/>
  <c r="F1104" i="137"/>
  <c r="E1104" i="137"/>
  <c r="D1104" i="137"/>
  <c r="R1103" i="137"/>
  <c r="Q1103" i="137"/>
  <c r="P1103" i="137"/>
  <c r="O1103" i="137"/>
  <c r="N1103" i="137"/>
  <c r="L1103" i="137"/>
  <c r="K1103" i="137"/>
  <c r="J1103" i="137"/>
  <c r="I1103" i="137"/>
  <c r="H1103" i="137"/>
  <c r="G1103" i="137"/>
  <c r="F1103" i="137"/>
  <c r="E1103" i="137"/>
  <c r="D1103" i="137"/>
  <c r="R1102" i="137"/>
  <c r="Q1102" i="137"/>
  <c r="P1102" i="137"/>
  <c r="O1102" i="137"/>
  <c r="N1102" i="137"/>
  <c r="L1102" i="137"/>
  <c r="K1102" i="137"/>
  <c r="J1102" i="137"/>
  <c r="I1102" i="137"/>
  <c r="H1102" i="137"/>
  <c r="G1102" i="137"/>
  <c r="F1102" i="137"/>
  <c r="E1102" i="137"/>
  <c r="D1102" i="137"/>
  <c r="R1101" i="137"/>
  <c r="Q1101" i="137"/>
  <c r="P1101" i="137"/>
  <c r="O1101" i="137"/>
  <c r="N1101" i="137"/>
  <c r="L1101" i="137"/>
  <c r="K1101" i="137"/>
  <c r="J1101" i="137"/>
  <c r="I1101" i="137"/>
  <c r="H1101" i="137"/>
  <c r="G1101" i="137"/>
  <c r="F1101" i="137"/>
  <c r="E1101" i="137"/>
  <c r="D1101" i="137"/>
  <c r="R1100" i="137"/>
  <c r="Q1100" i="137"/>
  <c r="P1100" i="137"/>
  <c r="O1100" i="137"/>
  <c r="N1100" i="137"/>
  <c r="L1100" i="137"/>
  <c r="K1100" i="137"/>
  <c r="J1100" i="137"/>
  <c r="I1100" i="137"/>
  <c r="H1100" i="137"/>
  <c r="G1100" i="137"/>
  <c r="F1100" i="137"/>
  <c r="E1100" i="137"/>
  <c r="D1100" i="137"/>
  <c r="R1099" i="137"/>
  <c r="Q1099" i="137"/>
  <c r="P1099" i="137"/>
  <c r="O1099" i="137"/>
  <c r="N1099" i="137"/>
  <c r="L1099" i="137"/>
  <c r="K1099" i="137"/>
  <c r="J1099" i="137"/>
  <c r="I1099" i="137"/>
  <c r="H1099" i="137"/>
  <c r="G1099" i="137"/>
  <c r="F1099" i="137"/>
  <c r="E1099" i="137"/>
  <c r="D1099" i="137"/>
  <c r="R1098" i="137"/>
  <c r="Q1098" i="137"/>
  <c r="P1098" i="137"/>
  <c r="O1098" i="137"/>
  <c r="N1098" i="137"/>
  <c r="L1098" i="137"/>
  <c r="K1098" i="137"/>
  <c r="J1098" i="137"/>
  <c r="I1098" i="137"/>
  <c r="H1098" i="137"/>
  <c r="G1098" i="137"/>
  <c r="F1098" i="137"/>
  <c r="E1098" i="137"/>
  <c r="D1098" i="137"/>
  <c r="R1097" i="137"/>
  <c r="Q1097" i="137"/>
  <c r="P1097" i="137"/>
  <c r="O1097" i="137"/>
  <c r="N1097" i="137"/>
  <c r="L1097" i="137"/>
  <c r="K1097" i="137"/>
  <c r="J1097" i="137"/>
  <c r="I1097" i="137"/>
  <c r="H1097" i="137"/>
  <c r="G1097" i="137"/>
  <c r="F1097" i="137"/>
  <c r="E1097" i="137"/>
  <c r="D1097" i="137"/>
  <c r="R1096" i="137"/>
  <c r="Q1096" i="137"/>
  <c r="P1096" i="137"/>
  <c r="O1096" i="137"/>
  <c r="N1096" i="137"/>
  <c r="L1096" i="137"/>
  <c r="K1096" i="137"/>
  <c r="J1096" i="137"/>
  <c r="I1096" i="137"/>
  <c r="H1096" i="137"/>
  <c r="G1096" i="137"/>
  <c r="F1096" i="137"/>
  <c r="E1096" i="137"/>
  <c r="D1096" i="137"/>
  <c r="R1095" i="137"/>
  <c r="Q1095" i="137"/>
  <c r="P1095" i="137"/>
  <c r="O1095" i="137"/>
  <c r="N1095" i="137"/>
  <c r="L1095" i="137"/>
  <c r="K1095" i="137"/>
  <c r="J1095" i="137"/>
  <c r="I1095" i="137"/>
  <c r="H1095" i="137"/>
  <c r="G1095" i="137"/>
  <c r="F1095" i="137"/>
  <c r="E1095" i="137"/>
  <c r="D1095" i="137"/>
  <c r="R1094" i="137"/>
  <c r="Q1094" i="137"/>
  <c r="P1094" i="137"/>
  <c r="O1094" i="137"/>
  <c r="N1094" i="137"/>
  <c r="L1094" i="137"/>
  <c r="K1094" i="137"/>
  <c r="J1094" i="137"/>
  <c r="I1094" i="137"/>
  <c r="H1094" i="137"/>
  <c r="G1094" i="137"/>
  <c r="F1094" i="137"/>
  <c r="E1094" i="137"/>
  <c r="D1094" i="137"/>
  <c r="R1093" i="137"/>
  <c r="Q1093" i="137"/>
  <c r="P1093" i="137"/>
  <c r="O1093" i="137"/>
  <c r="N1093" i="137"/>
  <c r="L1093" i="137"/>
  <c r="K1093" i="137"/>
  <c r="J1093" i="137"/>
  <c r="I1093" i="137"/>
  <c r="H1093" i="137"/>
  <c r="G1093" i="137"/>
  <c r="F1093" i="137"/>
  <c r="E1093" i="137"/>
  <c r="D1093" i="137"/>
  <c r="R1092" i="137"/>
  <c r="Q1092" i="137"/>
  <c r="P1092" i="137"/>
  <c r="O1092" i="137"/>
  <c r="N1092" i="137"/>
  <c r="L1092" i="137"/>
  <c r="K1092" i="137"/>
  <c r="J1092" i="137"/>
  <c r="I1092" i="137"/>
  <c r="H1092" i="137"/>
  <c r="G1092" i="137"/>
  <c r="F1092" i="137"/>
  <c r="E1092" i="137"/>
  <c r="D1092" i="137"/>
  <c r="R1091" i="137"/>
  <c r="Q1091" i="137"/>
  <c r="P1091" i="137"/>
  <c r="O1091" i="137"/>
  <c r="N1091" i="137"/>
  <c r="L1091" i="137"/>
  <c r="K1091" i="137"/>
  <c r="J1091" i="137"/>
  <c r="I1091" i="137"/>
  <c r="H1091" i="137"/>
  <c r="G1091" i="137"/>
  <c r="F1091" i="137"/>
  <c r="E1091" i="137"/>
  <c r="D1091" i="137"/>
  <c r="R1090" i="137"/>
  <c r="Q1090" i="137"/>
  <c r="P1090" i="137"/>
  <c r="O1090" i="137"/>
  <c r="N1090" i="137"/>
  <c r="L1090" i="137"/>
  <c r="K1090" i="137"/>
  <c r="J1090" i="137"/>
  <c r="I1090" i="137"/>
  <c r="H1090" i="137"/>
  <c r="G1090" i="137"/>
  <c r="F1090" i="137"/>
  <c r="E1090" i="137"/>
  <c r="D1090" i="137"/>
  <c r="R1089" i="137"/>
  <c r="Q1089" i="137"/>
  <c r="P1089" i="137"/>
  <c r="O1089" i="137"/>
  <c r="N1089" i="137"/>
  <c r="L1089" i="137"/>
  <c r="K1089" i="137"/>
  <c r="J1089" i="137"/>
  <c r="I1089" i="137"/>
  <c r="H1089" i="137"/>
  <c r="G1089" i="137"/>
  <c r="F1089" i="137"/>
  <c r="E1089" i="137"/>
  <c r="D1089" i="137"/>
  <c r="R1088" i="137"/>
  <c r="Q1088" i="137"/>
  <c r="P1088" i="137"/>
  <c r="O1088" i="137"/>
  <c r="N1088" i="137"/>
  <c r="L1088" i="137"/>
  <c r="K1088" i="137"/>
  <c r="J1088" i="137"/>
  <c r="I1088" i="137"/>
  <c r="H1088" i="137"/>
  <c r="G1088" i="137"/>
  <c r="F1088" i="137"/>
  <c r="E1088" i="137"/>
  <c r="D1088" i="137"/>
  <c r="R1087" i="137"/>
  <c r="Q1087" i="137"/>
  <c r="P1087" i="137"/>
  <c r="O1087" i="137"/>
  <c r="N1087" i="137"/>
  <c r="L1087" i="137"/>
  <c r="K1087" i="137"/>
  <c r="J1087" i="137"/>
  <c r="I1087" i="137"/>
  <c r="H1087" i="137"/>
  <c r="G1087" i="137"/>
  <c r="F1087" i="137"/>
  <c r="E1087" i="137"/>
  <c r="D1087" i="137"/>
  <c r="R1086" i="137"/>
  <c r="Q1086" i="137"/>
  <c r="P1086" i="137"/>
  <c r="O1086" i="137"/>
  <c r="N1086" i="137"/>
  <c r="L1086" i="137"/>
  <c r="K1086" i="137"/>
  <c r="J1086" i="137"/>
  <c r="I1086" i="137"/>
  <c r="H1086" i="137"/>
  <c r="G1086" i="137"/>
  <c r="F1086" i="137"/>
  <c r="E1086" i="137"/>
  <c r="D1086" i="137"/>
  <c r="R1085" i="137"/>
  <c r="Q1085" i="137"/>
  <c r="P1085" i="137"/>
  <c r="O1085" i="137"/>
  <c r="N1085" i="137"/>
  <c r="L1085" i="137"/>
  <c r="K1085" i="137"/>
  <c r="J1085" i="137"/>
  <c r="I1085" i="137"/>
  <c r="H1085" i="137"/>
  <c r="G1085" i="137"/>
  <c r="F1085" i="137"/>
  <c r="E1085" i="137"/>
  <c r="D1085" i="137"/>
  <c r="R1084" i="137"/>
  <c r="Q1084" i="137"/>
  <c r="P1084" i="137"/>
  <c r="O1084" i="137"/>
  <c r="N1084" i="137"/>
  <c r="L1084" i="137"/>
  <c r="K1084" i="137"/>
  <c r="J1084" i="137"/>
  <c r="I1084" i="137"/>
  <c r="H1084" i="137"/>
  <c r="G1084" i="137"/>
  <c r="F1084" i="137"/>
  <c r="E1084" i="137"/>
  <c r="D1084" i="137"/>
  <c r="R1083" i="137"/>
  <c r="Q1083" i="137"/>
  <c r="P1083" i="137"/>
  <c r="O1083" i="137"/>
  <c r="N1083" i="137"/>
  <c r="L1083" i="137"/>
  <c r="K1083" i="137"/>
  <c r="J1083" i="137"/>
  <c r="I1083" i="137"/>
  <c r="H1083" i="137"/>
  <c r="G1083" i="137"/>
  <c r="F1083" i="137"/>
  <c r="E1083" i="137"/>
  <c r="D1083" i="137"/>
  <c r="R1082" i="137"/>
  <c r="Q1082" i="137"/>
  <c r="P1082" i="137"/>
  <c r="O1082" i="137"/>
  <c r="N1082" i="137"/>
  <c r="L1082" i="137"/>
  <c r="K1082" i="137"/>
  <c r="J1082" i="137"/>
  <c r="I1082" i="137"/>
  <c r="H1082" i="137"/>
  <c r="G1082" i="137"/>
  <c r="F1082" i="137"/>
  <c r="E1082" i="137"/>
  <c r="D1082" i="137"/>
  <c r="R1081" i="137"/>
  <c r="Q1081" i="137"/>
  <c r="P1081" i="137"/>
  <c r="O1081" i="137"/>
  <c r="N1081" i="137"/>
  <c r="L1081" i="137"/>
  <c r="K1081" i="137"/>
  <c r="J1081" i="137"/>
  <c r="I1081" i="137"/>
  <c r="H1081" i="137"/>
  <c r="G1081" i="137"/>
  <c r="F1081" i="137"/>
  <c r="E1081" i="137"/>
  <c r="D1081" i="137"/>
  <c r="R1080" i="137"/>
  <c r="Q1080" i="137"/>
  <c r="P1080" i="137"/>
  <c r="O1080" i="137"/>
  <c r="N1080" i="137"/>
  <c r="L1080" i="137"/>
  <c r="K1080" i="137"/>
  <c r="J1080" i="137"/>
  <c r="I1080" i="137"/>
  <c r="H1080" i="137"/>
  <c r="G1080" i="137"/>
  <c r="F1080" i="137"/>
  <c r="E1080" i="137"/>
  <c r="D1080" i="137"/>
  <c r="R1079" i="137"/>
  <c r="Q1079" i="137"/>
  <c r="P1079" i="137"/>
  <c r="O1079" i="137"/>
  <c r="N1079" i="137"/>
  <c r="L1079" i="137"/>
  <c r="K1079" i="137"/>
  <c r="J1079" i="137"/>
  <c r="I1079" i="137"/>
  <c r="H1079" i="137"/>
  <c r="G1079" i="137"/>
  <c r="F1079" i="137"/>
  <c r="E1079" i="137"/>
  <c r="D1079" i="137"/>
  <c r="R1078" i="137"/>
  <c r="Q1078" i="137"/>
  <c r="P1078" i="137"/>
  <c r="O1078" i="137"/>
  <c r="N1078" i="137"/>
  <c r="L1078" i="137"/>
  <c r="K1078" i="137"/>
  <c r="J1078" i="137"/>
  <c r="I1078" i="137"/>
  <c r="H1078" i="137"/>
  <c r="G1078" i="137"/>
  <c r="F1078" i="137"/>
  <c r="E1078" i="137"/>
  <c r="D1078" i="137"/>
  <c r="R1077" i="137"/>
  <c r="Q1077" i="137"/>
  <c r="P1077" i="137"/>
  <c r="O1077" i="137"/>
  <c r="N1077" i="137"/>
  <c r="L1077" i="137"/>
  <c r="K1077" i="137"/>
  <c r="J1077" i="137"/>
  <c r="I1077" i="137"/>
  <c r="H1077" i="137"/>
  <c r="G1077" i="137"/>
  <c r="F1077" i="137"/>
  <c r="E1077" i="137"/>
  <c r="D1077" i="137"/>
  <c r="R1076" i="137"/>
  <c r="Q1076" i="137"/>
  <c r="P1076" i="137"/>
  <c r="O1076" i="137"/>
  <c r="N1076" i="137"/>
  <c r="L1076" i="137"/>
  <c r="K1076" i="137"/>
  <c r="J1076" i="137"/>
  <c r="I1076" i="137"/>
  <c r="H1076" i="137"/>
  <c r="G1076" i="137"/>
  <c r="F1076" i="137"/>
  <c r="E1076" i="137"/>
  <c r="D1076" i="137"/>
  <c r="R1075" i="137"/>
  <c r="Q1075" i="137"/>
  <c r="P1075" i="137"/>
  <c r="O1075" i="137"/>
  <c r="N1075" i="137"/>
  <c r="L1075" i="137"/>
  <c r="K1075" i="137"/>
  <c r="J1075" i="137"/>
  <c r="I1075" i="137"/>
  <c r="H1075" i="137"/>
  <c r="G1075" i="137"/>
  <c r="F1075" i="137"/>
  <c r="E1075" i="137"/>
  <c r="D1075" i="137"/>
  <c r="R1074" i="137"/>
  <c r="Q1074" i="137"/>
  <c r="P1074" i="137"/>
  <c r="O1074" i="137"/>
  <c r="N1074" i="137"/>
  <c r="L1074" i="137"/>
  <c r="K1074" i="137"/>
  <c r="J1074" i="137"/>
  <c r="I1074" i="137"/>
  <c r="H1074" i="137"/>
  <c r="G1074" i="137"/>
  <c r="F1074" i="137"/>
  <c r="E1074" i="137"/>
  <c r="D1074" i="137"/>
  <c r="R1073" i="137"/>
  <c r="Q1073" i="137"/>
  <c r="P1073" i="137"/>
  <c r="O1073" i="137"/>
  <c r="N1073" i="137"/>
  <c r="L1073" i="137"/>
  <c r="K1073" i="137"/>
  <c r="J1073" i="137"/>
  <c r="I1073" i="137"/>
  <c r="H1073" i="137"/>
  <c r="G1073" i="137"/>
  <c r="F1073" i="137"/>
  <c r="E1073" i="137"/>
  <c r="D1073" i="137"/>
  <c r="R1072" i="137"/>
  <c r="Q1072" i="137"/>
  <c r="P1072" i="137"/>
  <c r="O1072" i="137"/>
  <c r="N1072" i="137"/>
  <c r="L1072" i="137"/>
  <c r="K1072" i="137"/>
  <c r="J1072" i="137"/>
  <c r="I1072" i="137"/>
  <c r="H1072" i="137"/>
  <c r="G1072" i="137"/>
  <c r="F1072" i="137"/>
  <c r="E1072" i="137"/>
  <c r="D1072" i="137"/>
  <c r="R1071" i="137"/>
  <c r="Q1071" i="137"/>
  <c r="P1071" i="137"/>
  <c r="O1071" i="137"/>
  <c r="N1071" i="137"/>
  <c r="L1071" i="137"/>
  <c r="K1071" i="137"/>
  <c r="J1071" i="137"/>
  <c r="I1071" i="137"/>
  <c r="H1071" i="137"/>
  <c r="G1071" i="137"/>
  <c r="F1071" i="137"/>
  <c r="E1071" i="137"/>
  <c r="D1071" i="137"/>
  <c r="R1070" i="137"/>
  <c r="Q1070" i="137"/>
  <c r="P1070" i="137"/>
  <c r="O1070" i="137"/>
  <c r="N1070" i="137"/>
  <c r="L1070" i="137"/>
  <c r="K1070" i="137"/>
  <c r="J1070" i="137"/>
  <c r="I1070" i="137"/>
  <c r="H1070" i="137"/>
  <c r="G1070" i="137"/>
  <c r="F1070" i="137"/>
  <c r="E1070" i="137"/>
  <c r="D1070" i="137"/>
  <c r="R1069" i="137"/>
  <c r="Q1069" i="137"/>
  <c r="P1069" i="137"/>
  <c r="O1069" i="137"/>
  <c r="N1069" i="137"/>
  <c r="L1069" i="137"/>
  <c r="K1069" i="137"/>
  <c r="J1069" i="137"/>
  <c r="I1069" i="137"/>
  <c r="H1069" i="137"/>
  <c r="G1069" i="137"/>
  <c r="F1069" i="137"/>
  <c r="E1069" i="137"/>
  <c r="D1069" i="137"/>
  <c r="R1068" i="137"/>
  <c r="Q1068" i="137"/>
  <c r="P1068" i="137"/>
  <c r="O1068" i="137"/>
  <c r="N1068" i="137"/>
  <c r="L1068" i="137"/>
  <c r="K1068" i="137"/>
  <c r="J1068" i="137"/>
  <c r="I1068" i="137"/>
  <c r="H1068" i="137"/>
  <c r="G1068" i="137"/>
  <c r="F1068" i="137"/>
  <c r="E1068" i="137"/>
  <c r="D1068" i="137"/>
  <c r="R1067" i="137"/>
  <c r="Q1067" i="137"/>
  <c r="P1067" i="137"/>
  <c r="O1067" i="137"/>
  <c r="N1067" i="137"/>
  <c r="L1067" i="137"/>
  <c r="K1067" i="137"/>
  <c r="J1067" i="137"/>
  <c r="I1067" i="137"/>
  <c r="H1067" i="137"/>
  <c r="G1067" i="137"/>
  <c r="F1067" i="137"/>
  <c r="E1067" i="137"/>
  <c r="D1067" i="137"/>
  <c r="R1066" i="137"/>
  <c r="Q1066" i="137"/>
  <c r="P1066" i="137"/>
  <c r="O1066" i="137"/>
  <c r="N1066" i="137"/>
  <c r="L1066" i="137"/>
  <c r="K1066" i="137"/>
  <c r="J1066" i="137"/>
  <c r="I1066" i="137"/>
  <c r="H1066" i="137"/>
  <c r="G1066" i="137"/>
  <c r="F1066" i="137"/>
  <c r="E1066" i="137"/>
  <c r="D1066" i="137"/>
  <c r="R1065" i="137"/>
  <c r="Q1065" i="137"/>
  <c r="P1065" i="137"/>
  <c r="O1065" i="137"/>
  <c r="N1065" i="137"/>
  <c r="L1065" i="137"/>
  <c r="K1065" i="137"/>
  <c r="J1065" i="137"/>
  <c r="I1065" i="137"/>
  <c r="H1065" i="137"/>
  <c r="G1065" i="137"/>
  <c r="F1065" i="137"/>
  <c r="E1065" i="137"/>
  <c r="D1065" i="137"/>
  <c r="R1064" i="137"/>
  <c r="Q1064" i="137"/>
  <c r="P1064" i="137"/>
  <c r="O1064" i="137"/>
  <c r="N1064" i="137"/>
  <c r="L1064" i="137"/>
  <c r="K1064" i="137"/>
  <c r="J1064" i="137"/>
  <c r="I1064" i="137"/>
  <c r="H1064" i="137"/>
  <c r="G1064" i="137"/>
  <c r="F1064" i="137"/>
  <c r="E1064" i="137"/>
  <c r="D1064" i="137"/>
  <c r="R1063" i="137"/>
  <c r="Q1063" i="137"/>
  <c r="P1063" i="137"/>
  <c r="O1063" i="137"/>
  <c r="N1063" i="137"/>
  <c r="L1063" i="137"/>
  <c r="K1063" i="137"/>
  <c r="J1063" i="137"/>
  <c r="I1063" i="137"/>
  <c r="H1063" i="137"/>
  <c r="G1063" i="137"/>
  <c r="F1063" i="137"/>
  <c r="E1063" i="137"/>
  <c r="D1063" i="137"/>
  <c r="R1062" i="137"/>
  <c r="Q1062" i="137"/>
  <c r="P1062" i="137"/>
  <c r="O1062" i="137"/>
  <c r="N1062" i="137"/>
  <c r="L1062" i="137"/>
  <c r="K1062" i="137"/>
  <c r="J1062" i="137"/>
  <c r="I1062" i="137"/>
  <c r="H1062" i="137"/>
  <c r="G1062" i="137"/>
  <c r="F1062" i="137"/>
  <c r="E1062" i="137"/>
  <c r="D1062" i="137"/>
  <c r="R1061" i="137"/>
  <c r="Q1061" i="137"/>
  <c r="P1061" i="137"/>
  <c r="O1061" i="137"/>
  <c r="N1061" i="137"/>
  <c r="L1061" i="137"/>
  <c r="K1061" i="137"/>
  <c r="J1061" i="137"/>
  <c r="I1061" i="137"/>
  <c r="H1061" i="137"/>
  <c r="G1061" i="137"/>
  <c r="F1061" i="137"/>
  <c r="E1061" i="137"/>
  <c r="D1061" i="137"/>
  <c r="R1060" i="137"/>
  <c r="Q1060" i="137"/>
  <c r="P1060" i="137"/>
  <c r="O1060" i="137"/>
  <c r="N1060" i="137"/>
  <c r="L1060" i="137"/>
  <c r="K1060" i="137"/>
  <c r="J1060" i="137"/>
  <c r="I1060" i="137"/>
  <c r="H1060" i="137"/>
  <c r="G1060" i="137"/>
  <c r="F1060" i="137"/>
  <c r="E1060" i="137"/>
  <c r="D1060" i="137"/>
  <c r="R1059" i="137"/>
  <c r="Q1059" i="137"/>
  <c r="P1059" i="137"/>
  <c r="O1059" i="137"/>
  <c r="N1059" i="137"/>
  <c r="L1059" i="137"/>
  <c r="K1059" i="137"/>
  <c r="J1059" i="137"/>
  <c r="I1059" i="137"/>
  <c r="H1059" i="137"/>
  <c r="G1059" i="137"/>
  <c r="F1059" i="137"/>
  <c r="E1059" i="137"/>
  <c r="D1059" i="137"/>
  <c r="R1058" i="137"/>
  <c r="Q1058" i="137"/>
  <c r="P1058" i="137"/>
  <c r="O1058" i="137"/>
  <c r="N1058" i="137"/>
  <c r="L1058" i="137"/>
  <c r="K1058" i="137"/>
  <c r="J1058" i="137"/>
  <c r="I1058" i="137"/>
  <c r="H1058" i="137"/>
  <c r="G1058" i="137"/>
  <c r="F1058" i="137"/>
  <c r="E1058" i="137"/>
  <c r="D1058" i="137"/>
  <c r="R1057" i="137"/>
  <c r="Q1057" i="137"/>
  <c r="P1057" i="137"/>
  <c r="O1057" i="137"/>
  <c r="N1057" i="137"/>
  <c r="L1057" i="137"/>
  <c r="K1057" i="137"/>
  <c r="J1057" i="137"/>
  <c r="I1057" i="137"/>
  <c r="H1057" i="137"/>
  <c r="G1057" i="137"/>
  <c r="F1057" i="137"/>
  <c r="E1057" i="137"/>
  <c r="D1057" i="137"/>
  <c r="R1056" i="137"/>
  <c r="Q1056" i="137"/>
  <c r="P1056" i="137"/>
  <c r="O1056" i="137"/>
  <c r="N1056" i="137"/>
  <c r="L1056" i="137"/>
  <c r="K1056" i="137"/>
  <c r="J1056" i="137"/>
  <c r="I1056" i="137"/>
  <c r="H1056" i="137"/>
  <c r="G1056" i="137"/>
  <c r="F1056" i="137"/>
  <c r="E1056" i="137"/>
  <c r="D1056" i="137"/>
  <c r="R1055" i="137"/>
  <c r="Q1055" i="137"/>
  <c r="P1055" i="137"/>
  <c r="O1055" i="137"/>
  <c r="N1055" i="137"/>
  <c r="L1055" i="137"/>
  <c r="K1055" i="137"/>
  <c r="J1055" i="137"/>
  <c r="I1055" i="137"/>
  <c r="H1055" i="137"/>
  <c r="G1055" i="137"/>
  <c r="F1055" i="137"/>
  <c r="E1055" i="137"/>
  <c r="D1055" i="137"/>
  <c r="R1054" i="137"/>
  <c r="Q1054" i="137"/>
  <c r="P1054" i="137"/>
  <c r="O1054" i="137"/>
  <c r="N1054" i="137"/>
  <c r="L1054" i="137"/>
  <c r="K1054" i="137"/>
  <c r="J1054" i="137"/>
  <c r="I1054" i="137"/>
  <c r="H1054" i="137"/>
  <c r="G1054" i="137"/>
  <c r="F1054" i="137"/>
  <c r="E1054" i="137"/>
  <c r="D1054" i="137"/>
  <c r="R1053" i="137"/>
  <c r="Q1053" i="137"/>
  <c r="P1053" i="137"/>
  <c r="O1053" i="137"/>
  <c r="N1053" i="137"/>
  <c r="L1053" i="137"/>
  <c r="K1053" i="137"/>
  <c r="J1053" i="137"/>
  <c r="I1053" i="137"/>
  <c r="H1053" i="137"/>
  <c r="G1053" i="137"/>
  <c r="F1053" i="137"/>
  <c r="E1053" i="137"/>
  <c r="D1053" i="137"/>
  <c r="R1052" i="137"/>
  <c r="Q1052" i="137"/>
  <c r="P1052" i="137"/>
  <c r="O1052" i="137"/>
  <c r="N1052" i="137"/>
  <c r="L1052" i="137"/>
  <c r="K1052" i="137"/>
  <c r="J1052" i="137"/>
  <c r="I1052" i="137"/>
  <c r="H1052" i="137"/>
  <c r="G1052" i="137"/>
  <c r="F1052" i="137"/>
  <c r="E1052" i="137"/>
  <c r="D1052" i="137"/>
  <c r="R1051" i="137"/>
  <c r="Q1051" i="137"/>
  <c r="P1051" i="137"/>
  <c r="O1051" i="137"/>
  <c r="N1051" i="137"/>
  <c r="L1051" i="137"/>
  <c r="K1051" i="137"/>
  <c r="J1051" i="137"/>
  <c r="I1051" i="137"/>
  <c r="H1051" i="137"/>
  <c r="G1051" i="137"/>
  <c r="F1051" i="137"/>
  <c r="E1051" i="137"/>
  <c r="D1051" i="137"/>
  <c r="R1050" i="137"/>
  <c r="Q1050" i="137"/>
  <c r="P1050" i="137"/>
  <c r="O1050" i="137"/>
  <c r="N1050" i="137"/>
  <c r="L1050" i="137"/>
  <c r="K1050" i="137"/>
  <c r="J1050" i="137"/>
  <c r="I1050" i="137"/>
  <c r="H1050" i="137"/>
  <c r="G1050" i="137"/>
  <c r="F1050" i="137"/>
  <c r="E1050" i="137"/>
  <c r="D1050" i="137"/>
  <c r="R1049" i="137"/>
  <c r="Q1049" i="137"/>
  <c r="P1049" i="137"/>
  <c r="O1049" i="137"/>
  <c r="N1049" i="137"/>
  <c r="L1049" i="137"/>
  <c r="K1049" i="137"/>
  <c r="J1049" i="137"/>
  <c r="I1049" i="137"/>
  <c r="H1049" i="137"/>
  <c r="G1049" i="137"/>
  <c r="F1049" i="137"/>
  <c r="E1049" i="137"/>
  <c r="D1049" i="137"/>
  <c r="R1048" i="137"/>
  <c r="Q1048" i="137"/>
  <c r="P1048" i="137"/>
  <c r="O1048" i="137"/>
  <c r="N1048" i="137"/>
  <c r="L1048" i="137"/>
  <c r="K1048" i="137"/>
  <c r="J1048" i="137"/>
  <c r="I1048" i="137"/>
  <c r="H1048" i="137"/>
  <c r="G1048" i="137"/>
  <c r="F1048" i="137"/>
  <c r="E1048" i="137"/>
  <c r="D1048" i="137"/>
  <c r="R1047" i="137"/>
  <c r="Q1047" i="137"/>
  <c r="P1047" i="137"/>
  <c r="O1047" i="137"/>
  <c r="N1047" i="137"/>
  <c r="L1047" i="137"/>
  <c r="K1047" i="137"/>
  <c r="J1047" i="137"/>
  <c r="I1047" i="137"/>
  <c r="H1047" i="137"/>
  <c r="G1047" i="137"/>
  <c r="F1047" i="137"/>
  <c r="E1047" i="137"/>
  <c r="D1047" i="137"/>
  <c r="R1046" i="137"/>
  <c r="Q1046" i="137"/>
  <c r="P1046" i="137"/>
  <c r="O1046" i="137"/>
  <c r="N1046" i="137"/>
  <c r="L1046" i="137"/>
  <c r="K1046" i="137"/>
  <c r="J1046" i="137"/>
  <c r="I1046" i="137"/>
  <c r="H1046" i="137"/>
  <c r="G1046" i="137"/>
  <c r="F1046" i="137"/>
  <c r="E1046" i="137"/>
  <c r="D1046" i="137"/>
  <c r="R1045" i="137"/>
  <c r="Q1045" i="137"/>
  <c r="P1045" i="137"/>
  <c r="O1045" i="137"/>
  <c r="N1045" i="137"/>
  <c r="L1045" i="137"/>
  <c r="K1045" i="137"/>
  <c r="J1045" i="137"/>
  <c r="I1045" i="137"/>
  <c r="H1045" i="137"/>
  <c r="G1045" i="137"/>
  <c r="F1045" i="137"/>
  <c r="E1045" i="137"/>
  <c r="D1045" i="137"/>
  <c r="R1044" i="137"/>
  <c r="Q1044" i="137"/>
  <c r="P1044" i="137"/>
  <c r="O1044" i="137"/>
  <c r="N1044" i="137"/>
  <c r="L1044" i="137"/>
  <c r="K1044" i="137"/>
  <c r="J1044" i="137"/>
  <c r="I1044" i="137"/>
  <c r="H1044" i="137"/>
  <c r="G1044" i="137"/>
  <c r="F1044" i="137"/>
  <c r="E1044" i="137"/>
  <c r="D1044" i="137"/>
  <c r="R1043" i="137"/>
  <c r="Q1043" i="137"/>
  <c r="P1043" i="137"/>
  <c r="O1043" i="137"/>
  <c r="N1043" i="137"/>
  <c r="L1043" i="137"/>
  <c r="K1043" i="137"/>
  <c r="J1043" i="137"/>
  <c r="I1043" i="137"/>
  <c r="H1043" i="137"/>
  <c r="G1043" i="137"/>
  <c r="F1043" i="137"/>
  <c r="E1043" i="137"/>
  <c r="D1043" i="137"/>
  <c r="R1042" i="137"/>
  <c r="Q1042" i="137"/>
  <c r="P1042" i="137"/>
  <c r="O1042" i="137"/>
  <c r="N1042" i="137"/>
  <c r="L1042" i="137"/>
  <c r="K1042" i="137"/>
  <c r="J1042" i="137"/>
  <c r="I1042" i="137"/>
  <c r="H1042" i="137"/>
  <c r="G1042" i="137"/>
  <c r="F1042" i="137"/>
  <c r="E1042" i="137"/>
  <c r="D1042" i="137"/>
  <c r="R1041" i="137"/>
  <c r="Q1041" i="137"/>
  <c r="P1041" i="137"/>
  <c r="O1041" i="137"/>
  <c r="N1041" i="137"/>
  <c r="L1041" i="137"/>
  <c r="K1041" i="137"/>
  <c r="J1041" i="137"/>
  <c r="I1041" i="137"/>
  <c r="H1041" i="137"/>
  <c r="G1041" i="137"/>
  <c r="F1041" i="137"/>
  <c r="E1041" i="137"/>
  <c r="D1041" i="137"/>
  <c r="R1040" i="137"/>
  <c r="Q1040" i="137"/>
  <c r="P1040" i="137"/>
  <c r="O1040" i="137"/>
  <c r="N1040" i="137"/>
  <c r="L1040" i="137"/>
  <c r="K1040" i="137"/>
  <c r="J1040" i="137"/>
  <c r="I1040" i="137"/>
  <c r="H1040" i="137"/>
  <c r="G1040" i="137"/>
  <c r="F1040" i="137"/>
  <c r="E1040" i="137"/>
  <c r="D1040" i="137"/>
  <c r="R1039" i="137"/>
  <c r="Q1039" i="137"/>
  <c r="P1039" i="137"/>
  <c r="O1039" i="137"/>
  <c r="N1039" i="137"/>
  <c r="L1039" i="137"/>
  <c r="K1039" i="137"/>
  <c r="J1039" i="137"/>
  <c r="I1039" i="137"/>
  <c r="H1039" i="137"/>
  <c r="G1039" i="137"/>
  <c r="F1039" i="137"/>
  <c r="E1039" i="137"/>
  <c r="D1039" i="137"/>
  <c r="R1038" i="137"/>
  <c r="Q1038" i="137"/>
  <c r="P1038" i="137"/>
  <c r="O1038" i="137"/>
  <c r="N1038" i="137"/>
  <c r="L1038" i="137"/>
  <c r="K1038" i="137"/>
  <c r="J1038" i="137"/>
  <c r="I1038" i="137"/>
  <c r="H1038" i="137"/>
  <c r="G1038" i="137"/>
  <c r="F1038" i="137"/>
  <c r="E1038" i="137"/>
  <c r="D1038" i="137"/>
  <c r="R1037" i="137"/>
  <c r="Q1037" i="137"/>
  <c r="P1037" i="137"/>
  <c r="O1037" i="137"/>
  <c r="N1037" i="137"/>
  <c r="L1037" i="137"/>
  <c r="K1037" i="137"/>
  <c r="J1037" i="137"/>
  <c r="I1037" i="137"/>
  <c r="H1037" i="137"/>
  <c r="G1037" i="137"/>
  <c r="F1037" i="137"/>
  <c r="E1037" i="137"/>
  <c r="D1037" i="137"/>
  <c r="R1036" i="137"/>
  <c r="Q1036" i="137"/>
  <c r="P1036" i="137"/>
  <c r="O1036" i="137"/>
  <c r="N1036" i="137"/>
  <c r="L1036" i="137"/>
  <c r="K1036" i="137"/>
  <c r="J1036" i="137"/>
  <c r="I1036" i="137"/>
  <c r="H1036" i="137"/>
  <c r="G1036" i="137"/>
  <c r="F1036" i="137"/>
  <c r="E1036" i="137"/>
  <c r="D1036" i="137"/>
  <c r="R1035" i="137"/>
  <c r="Q1035" i="137"/>
  <c r="P1035" i="137"/>
  <c r="O1035" i="137"/>
  <c r="N1035" i="137"/>
  <c r="L1035" i="137"/>
  <c r="K1035" i="137"/>
  <c r="J1035" i="137"/>
  <c r="I1035" i="137"/>
  <c r="H1035" i="137"/>
  <c r="G1035" i="137"/>
  <c r="F1035" i="137"/>
  <c r="E1035" i="137"/>
  <c r="D1035" i="137"/>
  <c r="R1034" i="137"/>
  <c r="Q1034" i="137"/>
  <c r="P1034" i="137"/>
  <c r="O1034" i="137"/>
  <c r="N1034" i="137"/>
  <c r="L1034" i="137"/>
  <c r="K1034" i="137"/>
  <c r="J1034" i="137"/>
  <c r="I1034" i="137"/>
  <c r="H1034" i="137"/>
  <c r="G1034" i="137"/>
  <c r="F1034" i="137"/>
  <c r="E1034" i="137"/>
  <c r="D1034" i="137"/>
  <c r="R1033" i="137"/>
  <c r="Q1033" i="137"/>
  <c r="P1033" i="137"/>
  <c r="O1033" i="137"/>
  <c r="N1033" i="137"/>
  <c r="L1033" i="137"/>
  <c r="K1033" i="137"/>
  <c r="J1033" i="137"/>
  <c r="I1033" i="137"/>
  <c r="H1033" i="137"/>
  <c r="G1033" i="137"/>
  <c r="F1033" i="137"/>
  <c r="E1033" i="137"/>
  <c r="D1033" i="137"/>
  <c r="R1032" i="137"/>
  <c r="Q1032" i="137"/>
  <c r="P1032" i="137"/>
  <c r="O1032" i="137"/>
  <c r="N1032" i="137"/>
  <c r="L1032" i="137"/>
  <c r="K1032" i="137"/>
  <c r="J1032" i="137"/>
  <c r="I1032" i="137"/>
  <c r="H1032" i="137"/>
  <c r="G1032" i="137"/>
  <c r="F1032" i="137"/>
  <c r="E1032" i="137"/>
  <c r="D1032" i="137"/>
  <c r="R1031" i="137"/>
  <c r="Q1031" i="137"/>
  <c r="P1031" i="137"/>
  <c r="O1031" i="137"/>
  <c r="N1031" i="137"/>
  <c r="L1031" i="137"/>
  <c r="K1031" i="137"/>
  <c r="J1031" i="137"/>
  <c r="I1031" i="137"/>
  <c r="H1031" i="137"/>
  <c r="G1031" i="137"/>
  <c r="F1031" i="137"/>
  <c r="E1031" i="137"/>
  <c r="D1031" i="137"/>
  <c r="R1030" i="137"/>
  <c r="Q1030" i="137"/>
  <c r="P1030" i="137"/>
  <c r="O1030" i="137"/>
  <c r="N1030" i="137"/>
  <c r="L1030" i="137"/>
  <c r="K1030" i="137"/>
  <c r="J1030" i="137"/>
  <c r="I1030" i="137"/>
  <c r="H1030" i="137"/>
  <c r="G1030" i="137"/>
  <c r="F1030" i="137"/>
  <c r="E1030" i="137"/>
  <c r="D1030" i="137"/>
  <c r="R1029" i="137"/>
  <c r="Q1029" i="137"/>
  <c r="P1029" i="137"/>
  <c r="O1029" i="137"/>
  <c r="N1029" i="137"/>
  <c r="L1029" i="137"/>
  <c r="K1029" i="137"/>
  <c r="J1029" i="137"/>
  <c r="I1029" i="137"/>
  <c r="H1029" i="137"/>
  <c r="G1029" i="137"/>
  <c r="F1029" i="137"/>
  <c r="E1029" i="137"/>
  <c r="D1029" i="137"/>
  <c r="R1028" i="137"/>
  <c r="Q1028" i="137"/>
  <c r="P1028" i="137"/>
  <c r="O1028" i="137"/>
  <c r="N1028" i="137"/>
  <c r="L1028" i="137"/>
  <c r="K1028" i="137"/>
  <c r="J1028" i="137"/>
  <c r="I1028" i="137"/>
  <c r="H1028" i="137"/>
  <c r="G1028" i="137"/>
  <c r="F1028" i="137"/>
  <c r="E1028" i="137"/>
  <c r="D1028" i="137"/>
  <c r="R1027" i="137"/>
  <c r="Q1027" i="137"/>
  <c r="P1027" i="137"/>
  <c r="O1027" i="137"/>
  <c r="N1027" i="137"/>
  <c r="L1027" i="137"/>
  <c r="K1027" i="137"/>
  <c r="J1027" i="137"/>
  <c r="I1027" i="137"/>
  <c r="H1027" i="137"/>
  <c r="G1027" i="137"/>
  <c r="F1027" i="137"/>
  <c r="E1027" i="137"/>
  <c r="D1027" i="137"/>
  <c r="R1026" i="137"/>
  <c r="Q1026" i="137"/>
  <c r="P1026" i="137"/>
  <c r="O1026" i="137"/>
  <c r="N1026" i="137"/>
  <c r="L1026" i="137"/>
  <c r="K1026" i="137"/>
  <c r="J1026" i="137"/>
  <c r="I1026" i="137"/>
  <c r="H1026" i="137"/>
  <c r="G1026" i="137"/>
  <c r="F1026" i="137"/>
  <c r="E1026" i="137"/>
  <c r="D1026" i="137"/>
  <c r="R1025" i="137"/>
  <c r="Q1025" i="137"/>
  <c r="P1025" i="137"/>
  <c r="O1025" i="137"/>
  <c r="N1025" i="137"/>
  <c r="L1025" i="137"/>
  <c r="K1025" i="137"/>
  <c r="J1025" i="137"/>
  <c r="I1025" i="137"/>
  <c r="H1025" i="137"/>
  <c r="G1025" i="137"/>
  <c r="F1025" i="137"/>
  <c r="E1025" i="137"/>
  <c r="D1025" i="137"/>
  <c r="R1024" i="137"/>
  <c r="Q1024" i="137"/>
  <c r="P1024" i="137"/>
  <c r="O1024" i="137"/>
  <c r="N1024" i="137"/>
  <c r="L1024" i="137"/>
  <c r="K1024" i="137"/>
  <c r="J1024" i="137"/>
  <c r="I1024" i="137"/>
  <c r="H1024" i="137"/>
  <c r="G1024" i="137"/>
  <c r="F1024" i="137"/>
  <c r="E1024" i="137"/>
  <c r="D1024" i="137"/>
  <c r="R1023" i="137"/>
  <c r="Q1023" i="137"/>
  <c r="P1023" i="137"/>
  <c r="O1023" i="137"/>
  <c r="N1023" i="137"/>
  <c r="L1023" i="137"/>
  <c r="K1023" i="137"/>
  <c r="J1023" i="137"/>
  <c r="I1023" i="137"/>
  <c r="H1023" i="137"/>
  <c r="G1023" i="137"/>
  <c r="F1023" i="137"/>
  <c r="E1023" i="137"/>
  <c r="D1023" i="137"/>
  <c r="R1022" i="137"/>
  <c r="Q1022" i="137"/>
  <c r="P1022" i="137"/>
  <c r="O1022" i="137"/>
  <c r="N1022" i="137"/>
  <c r="L1022" i="137"/>
  <c r="K1022" i="137"/>
  <c r="J1022" i="137"/>
  <c r="I1022" i="137"/>
  <c r="H1022" i="137"/>
  <c r="G1022" i="137"/>
  <c r="F1022" i="137"/>
  <c r="E1022" i="137"/>
  <c r="D1022" i="137"/>
  <c r="R1021" i="137"/>
  <c r="Q1021" i="137"/>
  <c r="P1021" i="137"/>
  <c r="O1021" i="137"/>
  <c r="N1021" i="137"/>
  <c r="L1021" i="137"/>
  <c r="K1021" i="137"/>
  <c r="J1021" i="137"/>
  <c r="I1021" i="137"/>
  <c r="H1021" i="137"/>
  <c r="G1021" i="137"/>
  <c r="F1021" i="137"/>
  <c r="E1021" i="137"/>
  <c r="D1021" i="137"/>
  <c r="R1020" i="137"/>
  <c r="Q1020" i="137"/>
  <c r="P1020" i="137"/>
  <c r="O1020" i="137"/>
  <c r="N1020" i="137"/>
  <c r="L1020" i="137"/>
  <c r="K1020" i="137"/>
  <c r="J1020" i="137"/>
  <c r="I1020" i="137"/>
  <c r="H1020" i="137"/>
  <c r="G1020" i="137"/>
  <c r="F1020" i="137"/>
  <c r="E1020" i="137"/>
  <c r="D1020" i="137"/>
  <c r="R1019" i="137"/>
  <c r="Q1019" i="137"/>
  <c r="P1019" i="137"/>
  <c r="O1019" i="137"/>
  <c r="N1019" i="137"/>
  <c r="L1019" i="137"/>
  <c r="K1019" i="137"/>
  <c r="J1019" i="137"/>
  <c r="I1019" i="137"/>
  <c r="H1019" i="137"/>
  <c r="G1019" i="137"/>
  <c r="F1019" i="137"/>
  <c r="E1019" i="137"/>
  <c r="D1019" i="137"/>
  <c r="R1018" i="137"/>
  <c r="Q1018" i="137"/>
  <c r="P1018" i="137"/>
  <c r="O1018" i="137"/>
  <c r="N1018" i="137"/>
  <c r="L1018" i="137"/>
  <c r="K1018" i="137"/>
  <c r="J1018" i="137"/>
  <c r="I1018" i="137"/>
  <c r="H1018" i="137"/>
  <c r="G1018" i="137"/>
  <c r="F1018" i="137"/>
  <c r="E1018" i="137"/>
  <c r="D1018" i="137"/>
  <c r="R1017" i="137"/>
  <c r="Q1017" i="137"/>
  <c r="P1017" i="137"/>
  <c r="O1017" i="137"/>
  <c r="N1017" i="137"/>
  <c r="L1017" i="137"/>
  <c r="K1017" i="137"/>
  <c r="J1017" i="137"/>
  <c r="I1017" i="137"/>
  <c r="H1017" i="137"/>
  <c r="G1017" i="137"/>
  <c r="F1017" i="137"/>
  <c r="E1017" i="137"/>
  <c r="D1017" i="137"/>
  <c r="R1016" i="137"/>
  <c r="Q1016" i="137"/>
  <c r="P1016" i="137"/>
  <c r="O1016" i="137"/>
  <c r="N1016" i="137"/>
  <c r="L1016" i="137"/>
  <c r="K1016" i="137"/>
  <c r="J1016" i="137"/>
  <c r="I1016" i="137"/>
  <c r="H1016" i="137"/>
  <c r="G1016" i="137"/>
  <c r="F1016" i="137"/>
  <c r="E1016" i="137"/>
  <c r="D1016" i="137"/>
  <c r="R1015" i="137"/>
  <c r="Q1015" i="137"/>
  <c r="P1015" i="137"/>
  <c r="O1015" i="137"/>
  <c r="N1015" i="137"/>
  <c r="L1015" i="137"/>
  <c r="K1015" i="137"/>
  <c r="J1015" i="137"/>
  <c r="I1015" i="137"/>
  <c r="H1015" i="137"/>
  <c r="G1015" i="137"/>
  <c r="F1015" i="137"/>
  <c r="E1015" i="137"/>
  <c r="D1015" i="137"/>
  <c r="R1014" i="137"/>
  <c r="Q1014" i="137"/>
  <c r="P1014" i="137"/>
  <c r="O1014" i="137"/>
  <c r="N1014" i="137"/>
  <c r="L1014" i="137"/>
  <c r="K1014" i="137"/>
  <c r="J1014" i="137"/>
  <c r="I1014" i="137"/>
  <c r="H1014" i="137"/>
  <c r="G1014" i="137"/>
  <c r="F1014" i="137"/>
  <c r="E1014" i="137"/>
  <c r="D1014" i="137"/>
  <c r="R1013" i="137"/>
  <c r="Q1013" i="137"/>
  <c r="P1013" i="137"/>
  <c r="O1013" i="137"/>
  <c r="N1013" i="137"/>
  <c r="L1013" i="137"/>
  <c r="K1013" i="137"/>
  <c r="J1013" i="137"/>
  <c r="I1013" i="137"/>
  <c r="H1013" i="137"/>
  <c r="G1013" i="137"/>
  <c r="F1013" i="137"/>
  <c r="E1013" i="137"/>
  <c r="D1013" i="137"/>
  <c r="R1012" i="137"/>
  <c r="Q1012" i="137"/>
  <c r="P1012" i="137"/>
  <c r="O1012" i="137"/>
  <c r="N1012" i="137"/>
  <c r="L1012" i="137"/>
  <c r="K1012" i="137"/>
  <c r="J1012" i="137"/>
  <c r="I1012" i="137"/>
  <c r="H1012" i="137"/>
  <c r="G1012" i="137"/>
  <c r="F1012" i="137"/>
  <c r="E1012" i="137"/>
  <c r="D1012" i="137"/>
  <c r="R1011" i="137"/>
  <c r="Q1011" i="137"/>
  <c r="P1011" i="137"/>
  <c r="O1011" i="137"/>
  <c r="N1011" i="137"/>
  <c r="L1011" i="137"/>
  <c r="K1011" i="137"/>
  <c r="J1011" i="137"/>
  <c r="I1011" i="137"/>
  <c r="H1011" i="137"/>
  <c r="G1011" i="137"/>
  <c r="F1011" i="137"/>
  <c r="E1011" i="137"/>
  <c r="D1011" i="137"/>
  <c r="R1010" i="137"/>
  <c r="Q1010" i="137"/>
  <c r="P1010" i="137"/>
  <c r="O1010" i="137"/>
  <c r="N1010" i="137"/>
  <c r="L1010" i="137"/>
  <c r="K1010" i="137"/>
  <c r="J1010" i="137"/>
  <c r="I1010" i="137"/>
  <c r="H1010" i="137"/>
  <c r="G1010" i="137"/>
  <c r="F1010" i="137"/>
  <c r="E1010" i="137"/>
  <c r="D1010" i="137"/>
  <c r="R1009" i="137"/>
  <c r="Q1009" i="137"/>
  <c r="P1009" i="137"/>
  <c r="O1009" i="137"/>
  <c r="N1009" i="137"/>
  <c r="L1009" i="137"/>
  <c r="K1009" i="137"/>
  <c r="J1009" i="137"/>
  <c r="I1009" i="137"/>
  <c r="H1009" i="137"/>
  <c r="G1009" i="137"/>
  <c r="F1009" i="137"/>
  <c r="E1009" i="137"/>
  <c r="D1009" i="137"/>
  <c r="R1008" i="137"/>
  <c r="Q1008" i="137"/>
  <c r="P1008" i="137"/>
  <c r="O1008" i="137"/>
  <c r="N1008" i="137"/>
  <c r="L1008" i="137"/>
  <c r="K1008" i="137"/>
  <c r="J1008" i="137"/>
  <c r="I1008" i="137"/>
  <c r="H1008" i="137"/>
  <c r="G1008" i="137"/>
  <c r="F1008" i="137"/>
  <c r="E1008" i="137"/>
  <c r="D1008" i="137"/>
  <c r="R1007" i="137"/>
  <c r="Q1007" i="137"/>
  <c r="P1007" i="137"/>
  <c r="O1007" i="137"/>
  <c r="N1007" i="137"/>
  <c r="L1007" i="137"/>
  <c r="K1007" i="137"/>
  <c r="J1007" i="137"/>
  <c r="I1007" i="137"/>
  <c r="H1007" i="137"/>
  <c r="G1007" i="137"/>
  <c r="F1007" i="137"/>
  <c r="E1007" i="137"/>
  <c r="D1007" i="137"/>
  <c r="R1006" i="137"/>
  <c r="Q1006" i="137"/>
  <c r="P1006" i="137"/>
  <c r="O1006" i="137"/>
  <c r="N1006" i="137"/>
  <c r="L1006" i="137"/>
  <c r="K1006" i="137"/>
  <c r="J1006" i="137"/>
  <c r="I1006" i="137"/>
  <c r="H1006" i="137"/>
  <c r="G1006" i="137"/>
  <c r="F1006" i="137"/>
  <c r="E1006" i="137"/>
  <c r="D1006" i="137"/>
  <c r="R1005" i="137"/>
  <c r="Q1005" i="137"/>
  <c r="P1005" i="137"/>
  <c r="O1005" i="137"/>
  <c r="N1005" i="137"/>
  <c r="L1005" i="137"/>
  <c r="K1005" i="137"/>
  <c r="J1005" i="137"/>
  <c r="I1005" i="137"/>
  <c r="H1005" i="137"/>
  <c r="G1005" i="137"/>
  <c r="F1005" i="137"/>
  <c r="E1005" i="137"/>
  <c r="D1005" i="137"/>
  <c r="R1004" i="137"/>
  <c r="Q1004" i="137"/>
  <c r="P1004" i="137"/>
  <c r="O1004" i="137"/>
  <c r="N1004" i="137"/>
  <c r="L1004" i="137"/>
  <c r="K1004" i="137"/>
  <c r="J1004" i="137"/>
  <c r="I1004" i="137"/>
  <c r="H1004" i="137"/>
  <c r="G1004" i="137"/>
  <c r="F1004" i="137"/>
  <c r="E1004" i="137"/>
  <c r="D1004" i="137"/>
  <c r="R1003" i="137"/>
  <c r="Q1003" i="137"/>
  <c r="P1003" i="137"/>
  <c r="O1003" i="137"/>
  <c r="N1003" i="137"/>
  <c r="L1003" i="137"/>
  <c r="K1003" i="137"/>
  <c r="J1003" i="137"/>
  <c r="I1003" i="137"/>
  <c r="H1003" i="137"/>
  <c r="G1003" i="137"/>
  <c r="F1003" i="137"/>
  <c r="E1003" i="137"/>
  <c r="D1003" i="137"/>
  <c r="R1002" i="137"/>
  <c r="Q1002" i="137"/>
  <c r="P1002" i="137"/>
  <c r="O1002" i="137"/>
  <c r="N1002" i="137"/>
  <c r="L1002" i="137"/>
  <c r="K1002" i="137"/>
  <c r="J1002" i="137"/>
  <c r="I1002" i="137"/>
  <c r="H1002" i="137"/>
  <c r="G1002" i="137"/>
  <c r="F1002" i="137"/>
  <c r="E1002" i="137"/>
  <c r="D1002" i="137"/>
  <c r="R1001" i="137"/>
  <c r="Q1001" i="137"/>
  <c r="P1001" i="137"/>
  <c r="O1001" i="137"/>
  <c r="N1001" i="137"/>
  <c r="L1001" i="137"/>
  <c r="K1001" i="137"/>
  <c r="J1001" i="137"/>
  <c r="I1001" i="137"/>
  <c r="H1001" i="137"/>
  <c r="G1001" i="137"/>
  <c r="F1001" i="137"/>
  <c r="E1001" i="137"/>
  <c r="D1001" i="137"/>
  <c r="R1000" i="137"/>
  <c r="Q1000" i="137"/>
  <c r="P1000" i="137"/>
  <c r="O1000" i="137"/>
  <c r="N1000" i="137"/>
  <c r="L1000" i="137"/>
  <c r="K1000" i="137"/>
  <c r="J1000" i="137"/>
  <c r="I1000" i="137"/>
  <c r="H1000" i="137"/>
  <c r="G1000" i="137"/>
  <c r="F1000" i="137"/>
  <c r="E1000" i="137"/>
  <c r="D1000" i="137"/>
  <c r="R999" i="137"/>
  <c r="Q999" i="137"/>
  <c r="P999" i="137"/>
  <c r="O999" i="137"/>
  <c r="N999" i="137"/>
  <c r="L999" i="137"/>
  <c r="K999" i="137"/>
  <c r="J999" i="137"/>
  <c r="I999" i="137"/>
  <c r="H999" i="137"/>
  <c r="G999" i="137"/>
  <c r="F999" i="137"/>
  <c r="E999" i="137"/>
  <c r="D999" i="137"/>
  <c r="R998" i="137"/>
  <c r="Q998" i="137"/>
  <c r="P998" i="137"/>
  <c r="O998" i="137"/>
  <c r="N998" i="137"/>
  <c r="L998" i="137"/>
  <c r="K998" i="137"/>
  <c r="J998" i="137"/>
  <c r="I998" i="137"/>
  <c r="H998" i="137"/>
  <c r="G998" i="137"/>
  <c r="F998" i="137"/>
  <c r="E998" i="137"/>
  <c r="D998" i="137"/>
  <c r="R997" i="137"/>
  <c r="Q997" i="137"/>
  <c r="P997" i="137"/>
  <c r="O997" i="137"/>
  <c r="N997" i="137"/>
  <c r="L997" i="137"/>
  <c r="K997" i="137"/>
  <c r="J997" i="137"/>
  <c r="I997" i="137"/>
  <c r="H997" i="137"/>
  <c r="G997" i="137"/>
  <c r="F997" i="137"/>
  <c r="E997" i="137"/>
  <c r="D997" i="137"/>
  <c r="R996" i="137"/>
  <c r="Q996" i="137"/>
  <c r="P996" i="137"/>
  <c r="O996" i="137"/>
  <c r="N996" i="137"/>
  <c r="L996" i="137"/>
  <c r="K996" i="137"/>
  <c r="J996" i="137"/>
  <c r="I996" i="137"/>
  <c r="H996" i="137"/>
  <c r="G996" i="137"/>
  <c r="F996" i="137"/>
  <c r="E996" i="137"/>
  <c r="D996" i="137"/>
  <c r="R995" i="137"/>
  <c r="Q995" i="137"/>
  <c r="P995" i="137"/>
  <c r="O995" i="137"/>
  <c r="N995" i="137"/>
  <c r="L995" i="137"/>
  <c r="K995" i="137"/>
  <c r="J995" i="137"/>
  <c r="I995" i="137"/>
  <c r="H995" i="137"/>
  <c r="G995" i="137"/>
  <c r="F995" i="137"/>
  <c r="E995" i="137"/>
  <c r="D995" i="137"/>
  <c r="R994" i="137"/>
  <c r="Q994" i="137"/>
  <c r="P994" i="137"/>
  <c r="O994" i="137"/>
  <c r="N994" i="137"/>
  <c r="L994" i="137"/>
  <c r="K994" i="137"/>
  <c r="J994" i="137"/>
  <c r="I994" i="137"/>
  <c r="H994" i="137"/>
  <c r="G994" i="137"/>
  <c r="F994" i="137"/>
  <c r="E994" i="137"/>
  <c r="D994" i="137"/>
  <c r="R993" i="137"/>
  <c r="Q993" i="137"/>
  <c r="P993" i="137"/>
  <c r="O993" i="137"/>
  <c r="N993" i="137"/>
  <c r="L993" i="137"/>
  <c r="K993" i="137"/>
  <c r="J993" i="137"/>
  <c r="I993" i="137"/>
  <c r="H993" i="137"/>
  <c r="G993" i="137"/>
  <c r="F993" i="137"/>
  <c r="E993" i="137"/>
  <c r="D993" i="137"/>
  <c r="R992" i="137"/>
  <c r="Q992" i="137"/>
  <c r="P992" i="137"/>
  <c r="O992" i="137"/>
  <c r="N992" i="137"/>
  <c r="L992" i="137"/>
  <c r="K992" i="137"/>
  <c r="J992" i="137"/>
  <c r="I992" i="137"/>
  <c r="H992" i="137"/>
  <c r="G992" i="137"/>
  <c r="F992" i="137"/>
  <c r="E992" i="137"/>
  <c r="D992" i="137"/>
  <c r="R991" i="137"/>
  <c r="Q991" i="137"/>
  <c r="P991" i="137"/>
  <c r="O991" i="137"/>
  <c r="N991" i="137"/>
  <c r="L991" i="137"/>
  <c r="K991" i="137"/>
  <c r="J991" i="137"/>
  <c r="I991" i="137"/>
  <c r="H991" i="137"/>
  <c r="G991" i="137"/>
  <c r="F991" i="137"/>
  <c r="E991" i="137"/>
  <c r="D991" i="137"/>
  <c r="R990" i="137"/>
  <c r="Q990" i="137"/>
  <c r="P990" i="137"/>
  <c r="O990" i="137"/>
  <c r="N990" i="137"/>
  <c r="L990" i="137"/>
  <c r="K990" i="137"/>
  <c r="J990" i="137"/>
  <c r="I990" i="137"/>
  <c r="H990" i="137"/>
  <c r="G990" i="137"/>
  <c r="F990" i="137"/>
  <c r="E990" i="137"/>
  <c r="D990" i="137"/>
  <c r="R989" i="137"/>
  <c r="Q989" i="137"/>
  <c r="P989" i="137"/>
  <c r="O989" i="137"/>
  <c r="N989" i="137"/>
  <c r="L989" i="137"/>
  <c r="K989" i="137"/>
  <c r="J989" i="137"/>
  <c r="I989" i="137"/>
  <c r="H989" i="137"/>
  <c r="G989" i="137"/>
  <c r="F989" i="137"/>
  <c r="E989" i="137"/>
  <c r="D989" i="137"/>
  <c r="R988" i="137"/>
  <c r="Q988" i="137"/>
  <c r="P988" i="137"/>
  <c r="O988" i="137"/>
  <c r="N988" i="137"/>
  <c r="L988" i="137"/>
  <c r="K988" i="137"/>
  <c r="J988" i="137"/>
  <c r="I988" i="137"/>
  <c r="H988" i="137"/>
  <c r="G988" i="137"/>
  <c r="F988" i="137"/>
  <c r="E988" i="137"/>
  <c r="D988" i="137"/>
  <c r="R987" i="137"/>
  <c r="Q987" i="137"/>
  <c r="P987" i="137"/>
  <c r="O987" i="137"/>
  <c r="N987" i="137"/>
  <c r="L987" i="137"/>
  <c r="K987" i="137"/>
  <c r="J987" i="137"/>
  <c r="I987" i="137"/>
  <c r="H987" i="137"/>
  <c r="G987" i="137"/>
  <c r="F987" i="137"/>
  <c r="E987" i="137"/>
  <c r="D987" i="137"/>
  <c r="R986" i="137"/>
  <c r="Q986" i="137"/>
  <c r="P986" i="137"/>
  <c r="O986" i="137"/>
  <c r="N986" i="137"/>
  <c r="L986" i="137"/>
  <c r="K986" i="137"/>
  <c r="J986" i="137"/>
  <c r="I986" i="137"/>
  <c r="H986" i="137"/>
  <c r="G986" i="137"/>
  <c r="F986" i="137"/>
  <c r="E986" i="137"/>
  <c r="D986" i="137"/>
  <c r="R985" i="137"/>
  <c r="Q985" i="137"/>
  <c r="P985" i="137"/>
  <c r="O985" i="137"/>
  <c r="N985" i="137"/>
  <c r="L985" i="137"/>
  <c r="K985" i="137"/>
  <c r="J985" i="137"/>
  <c r="I985" i="137"/>
  <c r="H985" i="137"/>
  <c r="G985" i="137"/>
  <c r="F985" i="137"/>
  <c r="E985" i="137"/>
  <c r="D985" i="137"/>
  <c r="R984" i="137"/>
  <c r="Q984" i="137"/>
  <c r="P984" i="137"/>
  <c r="O984" i="137"/>
  <c r="N984" i="137"/>
  <c r="L984" i="137"/>
  <c r="K984" i="137"/>
  <c r="J984" i="137"/>
  <c r="I984" i="137"/>
  <c r="H984" i="137"/>
  <c r="G984" i="137"/>
  <c r="F984" i="137"/>
  <c r="E984" i="137"/>
  <c r="D984" i="137"/>
  <c r="R983" i="137"/>
  <c r="Q983" i="137"/>
  <c r="P983" i="137"/>
  <c r="O983" i="137"/>
  <c r="N983" i="137"/>
  <c r="L983" i="137"/>
  <c r="K983" i="137"/>
  <c r="J983" i="137"/>
  <c r="I983" i="137"/>
  <c r="H983" i="137"/>
  <c r="G983" i="137"/>
  <c r="F983" i="137"/>
  <c r="E983" i="137"/>
  <c r="D983" i="137"/>
  <c r="R982" i="137"/>
  <c r="Q982" i="137"/>
  <c r="P982" i="137"/>
  <c r="O982" i="137"/>
  <c r="N982" i="137"/>
  <c r="L982" i="137"/>
  <c r="K982" i="137"/>
  <c r="J982" i="137"/>
  <c r="I982" i="137"/>
  <c r="H982" i="137"/>
  <c r="G982" i="137"/>
  <c r="F982" i="137"/>
  <c r="E982" i="137"/>
  <c r="D982" i="137"/>
  <c r="R981" i="137"/>
  <c r="Q981" i="137"/>
  <c r="P981" i="137"/>
  <c r="O981" i="137"/>
  <c r="N981" i="137"/>
  <c r="L981" i="137"/>
  <c r="K981" i="137"/>
  <c r="J981" i="137"/>
  <c r="I981" i="137"/>
  <c r="H981" i="137"/>
  <c r="G981" i="137"/>
  <c r="F981" i="137"/>
  <c r="E981" i="137"/>
  <c r="D981" i="137"/>
  <c r="R980" i="137"/>
  <c r="Q980" i="137"/>
  <c r="P980" i="137"/>
  <c r="O980" i="137"/>
  <c r="N980" i="137"/>
  <c r="L980" i="137"/>
  <c r="K980" i="137"/>
  <c r="J980" i="137"/>
  <c r="I980" i="137"/>
  <c r="H980" i="137"/>
  <c r="G980" i="137"/>
  <c r="F980" i="137"/>
  <c r="E980" i="137"/>
  <c r="D980" i="137"/>
  <c r="R979" i="137"/>
  <c r="Q979" i="137"/>
  <c r="P979" i="137"/>
  <c r="O979" i="137"/>
  <c r="N979" i="137"/>
  <c r="L979" i="137"/>
  <c r="K979" i="137"/>
  <c r="J979" i="137"/>
  <c r="I979" i="137"/>
  <c r="H979" i="137"/>
  <c r="G979" i="137"/>
  <c r="F979" i="137"/>
  <c r="E979" i="137"/>
  <c r="D979" i="137"/>
  <c r="R978" i="137"/>
  <c r="Q978" i="137"/>
  <c r="P978" i="137"/>
  <c r="O978" i="137"/>
  <c r="N978" i="137"/>
  <c r="L978" i="137"/>
  <c r="K978" i="137"/>
  <c r="J978" i="137"/>
  <c r="I978" i="137"/>
  <c r="H978" i="137"/>
  <c r="G978" i="137"/>
  <c r="F978" i="137"/>
  <c r="E978" i="137"/>
  <c r="D978" i="137"/>
  <c r="R977" i="137"/>
  <c r="Q977" i="137"/>
  <c r="P977" i="137"/>
  <c r="O977" i="137"/>
  <c r="N977" i="137"/>
  <c r="L977" i="137"/>
  <c r="K977" i="137"/>
  <c r="J977" i="137"/>
  <c r="I977" i="137"/>
  <c r="H977" i="137"/>
  <c r="G977" i="137"/>
  <c r="F977" i="137"/>
  <c r="E977" i="137"/>
  <c r="D977" i="137"/>
  <c r="R976" i="137"/>
  <c r="Q976" i="137"/>
  <c r="P976" i="137"/>
  <c r="O976" i="137"/>
  <c r="N976" i="137"/>
  <c r="L976" i="137"/>
  <c r="K976" i="137"/>
  <c r="J976" i="137"/>
  <c r="I976" i="137"/>
  <c r="H976" i="137"/>
  <c r="G976" i="137"/>
  <c r="F976" i="137"/>
  <c r="E976" i="137"/>
  <c r="D976" i="137"/>
  <c r="R975" i="137"/>
  <c r="Q975" i="137"/>
  <c r="P975" i="137"/>
  <c r="O975" i="137"/>
  <c r="N975" i="137"/>
  <c r="L975" i="137"/>
  <c r="K975" i="137"/>
  <c r="J975" i="137"/>
  <c r="I975" i="137"/>
  <c r="H975" i="137"/>
  <c r="G975" i="137"/>
  <c r="F975" i="137"/>
  <c r="E975" i="137"/>
  <c r="D975" i="137"/>
  <c r="R974" i="137"/>
  <c r="Q974" i="137"/>
  <c r="P974" i="137"/>
  <c r="O974" i="137"/>
  <c r="N974" i="137"/>
  <c r="L974" i="137"/>
  <c r="K974" i="137"/>
  <c r="J974" i="137"/>
  <c r="I974" i="137"/>
  <c r="H974" i="137"/>
  <c r="G974" i="137"/>
  <c r="F974" i="137"/>
  <c r="E974" i="137"/>
  <c r="D974" i="137"/>
  <c r="R973" i="137"/>
  <c r="Q973" i="137"/>
  <c r="P973" i="137"/>
  <c r="O973" i="137"/>
  <c r="N973" i="137"/>
  <c r="L973" i="137"/>
  <c r="K973" i="137"/>
  <c r="J973" i="137"/>
  <c r="I973" i="137"/>
  <c r="H973" i="137"/>
  <c r="G973" i="137"/>
  <c r="F973" i="137"/>
  <c r="E973" i="137"/>
  <c r="D973" i="137"/>
  <c r="R972" i="137"/>
  <c r="Q972" i="137"/>
  <c r="P972" i="137"/>
  <c r="O972" i="137"/>
  <c r="N972" i="137"/>
  <c r="L972" i="137"/>
  <c r="K972" i="137"/>
  <c r="J972" i="137"/>
  <c r="I972" i="137"/>
  <c r="H972" i="137"/>
  <c r="G972" i="137"/>
  <c r="F972" i="137"/>
  <c r="E972" i="137"/>
  <c r="D972" i="137"/>
  <c r="R971" i="137"/>
  <c r="Q971" i="137"/>
  <c r="P971" i="137"/>
  <c r="O971" i="137"/>
  <c r="N971" i="137"/>
  <c r="L971" i="137"/>
  <c r="K971" i="137"/>
  <c r="J971" i="137"/>
  <c r="I971" i="137"/>
  <c r="H971" i="137"/>
  <c r="G971" i="137"/>
  <c r="F971" i="137"/>
  <c r="E971" i="137"/>
  <c r="D971" i="137"/>
  <c r="R970" i="137"/>
  <c r="Q970" i="137"/>
  <c r="P970" i="137"/>
  <c r="O970" i="137"/>
  <c r="N970" i="137"/>
  <c r="L970" i="137"/>
  <c r="K970" i="137"/>
  <c r="J970" i="137"/>
  <c r="I970" i="137"/>
  <c r="H970" i="137"/>
  <c r="G970" i="137"/>
  <c r="F970" i="137"/>
  <c r="E970" i="137"/>
  <c r="D970" i="137"/>
  <c r="R969" i="137"/>
  <c r="Q969" i="137"/>
  <c r="P969" i="137"/>
  <c r="O969" i="137"/>
  <c r="N969" i="137"/>
  <c r="L969" i="137"/>
  <c r="K969" i="137"/>
  <c r="J969" i="137"/>
  <c r="I969" i="137"/>
  <c r="H969" i="137"/>
  <c r="G969" i="137"/>
  <c r="F969" i="137"/>
  <c r="E969" i="137"/>
  <c r="D969" i="137"/>
  <c r="R968" i="137"/>
  <c r="Q968" i="137"/>
  <c r="P968" i="137"/>
  <c r="O968" i="137"/>
  <c r="N968" i="137"/>
  <c r="L968" i="137"/>
  <c r="K968" i="137"/>
  <c r="J968" i="137"/>
  <c r="I968" i="137"/>
  <c r="H968" i="137"/>
  <c r="G968" i="137"/>
  <c r="F968" i="137"/>
  <c r="E968" i="137"/>
  <c r="D968" i="137"/>
  <c r="R967" i="137"/>
  <c r="Q967" i="137"/>
  <c r="P967" i="137"/>
  <c r="O967" i="137"/>
  <c r="N967" i="137"/>
  <c r="L967" i="137"/>
  <c r="K967" i="137"/>
  <c r="J967" i="137"/>
  <c r="I967" i="137"/>
  <c r="H967" i="137"/>
  <c r="G967" i="137"/>
  <c r="F967" i="137"/>
  <c r="E967" i="137"/>
  <c r="D967" i="137"/>
  <c r="R966" i="137"/>
  <c r="Q966" i="137"/>
  <c r="P966" i="137"/>
  <c r="O966" i="137"/>
  <c r="N966" i="137"/>
  <c r="L966" i="137"/>
  <c r="K966" i="137"/>
  <c r="J966" i="137"/>
  <c r="I966" i="137"/>
  <c r="H966" i="137"/>
  <c r="G966" i="137"/>
  <c r="F966" i="137"/>
  <c r="E966" i="137"/>
  <c r="D966" i="137"/>
  <c r="R965" i="137"/>
  <c r="Q965" i="137"/>
  <c r="P965" i="137"/>
  <c r="O965" i="137"/>
  <c r="N965" i="137"/>
  <c r="L965" i="137"/>
  <c r="K965" i="137"/>
  <c r="J965" i="137"/>
  <c r="I965" i="137"/>
  <c r="H965" i="137"/>
  <c r="G965" i="137"/>
  <c r="F965" i="137"/>
  <c r="E965" i="137"/>
  <c r="D965" i="137"/>
  <c r="R964" i="137"/>
  <c r="Q964" i="137"/>
  <c r="P964" i="137"/>
  <c r="O964" i="137"/>
  <c r="N964" i="137"/>
  <c r="L964" i="137"/>
  <c r="K964" i="137"/>
  <c r="J964" i="137"/>
  <c r="I964" i="137"/>
  <c r="H964" i="137"/>
  <c r="G964" i="137"/>
  <c r="F964" i="137"/>
  <c r="E964" i="137"/>
  <c r="D964" i="137"/>
  <c r="R963" i="137"/>
  <c r="Q963" i="137"/>
  <c r="P963" i="137"/>
  <c r="O963" i="137"/>
  <c r="N963" i="137"/>
  <c r="L963" i="137"/>
  <c r="K963" i="137"/>
  <c r="J963" i="137"/>
  <c r="I963" i="137"/>
  <c r="H963" i="137"/>
  <c r="G963" i="137"/>
  <c r="F963" i="137"/>
  <c r="E963" i="137"/>
  <c r="D963" i="137"/>
  <c r="R962" i="137"/>
  <c r="Q962" i="137"/>
  <c r="P962" i="137"/>
  <c r="O962" i="137"/>
  <c r="N962" i="137"/>
  <c r="L962" i="137"/>
  <c r="K962" i="137"/>
  <c r="J962" i="137"/>
  <c r="I962" i="137"/>
  <c r="H962" i="137"/>
  <c r="G962" i="137"/>
  <c r="F962" i="137"/>
  <c r="E962" i="137"/>
  <c r="D962" i="137"/>
  <c r="R961" i="137"/>
  <c r="Q961" i="137"/>
  <c r="P961" i="137"/>
  <c r="O961" i="137"/>
  <c r="N961" i="137"/>
  <c r="L961" i="137"/>
  <c r="K961" i="137"/>
  <c r="J961" i="137"/>
  <c r="I961" i="137"/>
  <c r="H961" i="137"/>
  <c r="G961" i="137"/>
  <c r="F961" i="137"/>
  <c r="E961" i="137"/>
  <c r="D961" i="137"/>
  <c r="R960" i="137"/>
  <c r="Q960" i="137"/>
  <c r="P960" i="137"/>
  <c r="O960" i="137"/>
  <c r="N960" i="137"/>
  <c r="L960" i="137"/>
  <c r="K960" i="137"/>
  <c r="J960" i="137"/>
  <c r="I960" i="137"/>
  <c r="H960" i="137"/>
  <c r="G960" i="137"/>
  <c r="F960" i="137"/>
  <c r="E960" i="137"/>
  <c r="D960" i="137"/>
  <c r="R959" i="137"/>
  <c r="Q959" i="137"/>
  <c r="P959" i="137"/>
  <c r="O959" i="137"/>
  <c r="N959" i="137"/>
  <c r="L959" i="137"/>
  <c r="K959" i="137"/>
  <c r="J959" i="137"/>
  <c r="I959" i="137"/>
  <c r="H959" i="137"/>
  <c r="G959" i="137"/>
  <c r="F959" i="137"/>
  <c r="E959" i="137"/>
  <c r="D959" i="137"/>
  <c r="R958" i="137"/>
  <c r="Q958" i="137"/>
  <c r="P958" i="137"/>
  <c r="O958" i="137"/>
  <c r="N958" i="137"/>
  <c r="L958" i="137"/>
  <c r="K958" i="137"/>
  <c r="J958" i="137"/>
  <c r="I958" i="137"/>
  <c r="H958" i="137"/>
  <c r="G958" i="137"/>
  <c r="F958" i="137"/>
  <c r="E958" i="137"/>
  <c r="D958" i="137"/>
  <c r="R957" i="137"/>
  <c r="Q957" i="137"/>
  <c r="P957" i="137"/>
  <c r="O957" i="137"/>
  <c r="N957" i="137"/>
  <c r="L957" i="137"/>
  <c r="K957" i="137"/>
  <c r="J957" i="137"/>
  <c r="I957" i="137"/>
  <c r="H957" i="137"/>
  <c r="G957" i="137"/>
  <c r="F957" i="137"/>
  <c r="E957" i="137"/>
  <c r="D957" i="137"/>
  <c r="R956" i="137"/>
  <c r="Q956" i="137"/>
  <c r="P956" i="137"/>
  <c r="O956" i="137"/>
  <c r="N956" i="137"/>
  <c r="L956" i="137"/>
  <c r="K956" i="137"/>
  <c r="J956" i="137"/>
  <c r="I956" i="137"/>
  <c r="H956" i="137"/>
  <c r="G956" i="137"/>
  <c r="F956" i="137"/>
  <c r="E956" i="137"/>
  <c r="D956" i="137"/>
  <c r="R955" i="137"/>
  <c r="Q955" i="137"/>
  <c r="P955" i="137"/>
  <c r="O955" i="137"/>
  <c r="N955" i="137"/>
  <c r="L955" i="137"/>
  <c r="K955" i="137"/>
  <c r="J955" i="137"/>
  <c r="I955" i="137"/>
  <c r="H955" i="137"/>
  <c r="G955" i="137"/>
  <c r="F955" i="137"/>
  <c r="E955" i="137"/>
  <c r="D955" i="137"/>
  <c r="R954" i="137"/>
  <c r="Q954" i="137"/>
  <c r="P954" i="137"/>
  <c r="O954" i="137"/>
  <c r="N954" i="137"/>
  <c r="L954" i="137"/>
  <c r="K954" i="137"/>
  <c r="J954" i="137"/>
  <c r="I954" i="137"/>
  <c r="H954" i="137"/>
  <c r="G954" i="137"/>
  <c r="F954" i="137"/>
  <c r="E954" i="137"/>
  <c r="D954" i="137"/>
  <c r="R953" i="137"/>
  <c r="Q953" i="137"/>
  <c r="P953" i="137"/>
  <c r="O953" i="137"/>
  <c r="N953" i="137"/>
  <c r="L953" i="137"/>
  <c r="K953" i="137"/>
  <c r="J953" i="137"/>
  <c r="I953" i="137"/>
  <c r="H953" i="137"/>
  <c r="G953" i="137"/>
  <c r="F953" i="137"/>
  <c r="E953" i="137"/>
  <c r="D953" i="137"/>
  <c r="R952" i="137"/>
  <c r="Q952" i="137"/>
  <c r="P952" i="137"/>
  <c r="O952" i="137"/>
  <c r="N952" i="137"/>
  <c r="L952" i="137"/>
  <c r="K952" i="137"/>
  <c r="J952" i="137"/>
  <c r="I952" i="137"/>
  <c r="H952" i="137"/>
  <c r="G952" i="137"/>
  <c r="F952" i="137"/>
  <c r="E952" i="137"/>
  <c r="D952" i="137"/>
  <c r="R951" i="137"/>
  <c r="Q951" i="137"/>
  <c r="P951" i="137"/>
  <c r="O951" i="137"/>
  <c r="N951" i="137"/>
  <c r="L951" i="137"/>
  <c r="K951" i="137"/>
  <c r="J951" i="137"/>
  <c r="I951" i="137"/>
  <c r="H951" i="137"/>
  <c r="G951" i="137"/>
  <c r="F951" i="137"/>
  <c r="E951" i="137"/>
  <c r="D951" i="137"/>
  <c r="R950" i="137"/>
  <c r="Q950" i="137"/>
  <c r="P950" i="137"/>
  <c r="O950" i="137"/>
  <c r="N950" i="137"/>
  <c r="L950" i="137"/>
  <c r="K950" i="137"/>
  <c r="J950" i="137"/>
  <c r="I950" i="137"/>
  <c r="H950" i="137"/>
  <c r="G950" i="137"/>
  <c r="F950" i="137"/>
  <c r="E950" i="137"/>
  <c r="D950" i="137"/>
  <c r="R949" i="137"/>
  <c r="Q949" i="137"/>
  <c r="P949" i="137"/>
  <c r="O949" i="137"/>
  <c r="N949" i="137"/>
  <c r="L949" i="137"/>
  <c r="K949" i="137"/>
  <c r="J949" i="137"/>
  <c r="I949" i="137"/>
  <c r="H949" i="137"/>
  <c r="G949" i="137"/>
  <c r="F949" i="137"/>
  <c r="E949" i="137"/>
  <c r="D949" i="137"/>
  <c r="R948" i="137"/>
  <c r="Q948" i="137"/>
  <c r="P948" i="137"/>
  <c r="O948" i="137"/>
  <c r="N948" i="137"/>
  <c r="L948" i="137"/>
  <c r="K948" i="137"/>
  <c r="J948" i="137"/>
  <c r="I948" i="137"/>
  <c r="H948" i="137"/>
  <c r="G948" i="137"/>
  <c r="F948" i="137"/>
  <c r="E948" i="137"/>
  <c r="D948" i="137"/>
  <c r="R947" i="137"/>
  <c r="Q947" i="137"/>
  <c r="P947" i="137"/>
  <c r="O947" i="137"/>
  <c r="N947" i="137"/>
  <c r="L947" i="137"/>
  <c r="K947" i="137"/>
  <c r="J947" i="137"/>
  <c r="I947" i="137"/>
  <c r="H947" i="137"/>
  <c r="G947" i="137"/>
  <c r="F947" i="137"/>
  <c r="E947" i="137"/>
  <c r="D947" i="137"/>
  <c r="R946" i="137"/>
  <c r="Q946" i="137"/>
  <c r="P946" i="137"/>
  <c r="O946" i="137"/>
  <c r="N946" i="137"/>
  <c r="L946" i="137"/>
  <c r="K946" i="137"/>
  <c r="J946" i="137"/>
  <c r="I946" i="137"/>
  <c r="H946" i="137"/>
  <c r="G946" i="137"/>
  <c r="F946" i="137"/>
  <c r="E946" i="137"/>
  <c r="D946" i="137"/>
  <c r="R945" i="137"/>
  <c r="Q945" i="137"/>
  <c r="P945" i="137"/>
  <c r="O945" i="137"/>
  <c r="N945" i="137"/>
  <c r="L945" i="137"/>
  <c r="K945" i="137"/>
  <c r="J945" i="137"/>
  <c r="I945" i="137"/>
  <c r="H945" i="137"/>
  <c r="G945" i="137"/>
  <c r="F945" i="137"/>
  <c r="E945" i="137"/>
  <c r="D945" i="137"/>
  <c r="R944" i="137"/>
  <c r="Q944" i="137"/>
  <c r="P944" i="137"/>
  <c r="O944" i="137"/>
  <c r="N944" i="137"/>
  <c r="L944" i="137"/>
  <c r="K944" i="137"/>
  <c r="J944" i="137"/>
  <c r="I944" i="137"/>
  <c r="H944" i="137"/>
  <c r="G944" i="137"/>
  <c r="F944" i="137"/>
  <c r="E944" i="137"/>
  <c r="D944" i="137"/>
  <c r="R943" i="137"/>
  <c r="Q943" i="137"/>
  <c r="P943" i="137"/>
  <c r="O943" i="137"/>
  <c r="N943" i="137"/>
  <c r="L943" i="137"/>
  <c r="K943" i="137"/>
  <c r="J943" i="137"/>
  <c r="I943" i="137"/>
  <c r="H943" i="137"/>
  <c r="G943" i="137"/>
  <c r="F943" i="137"/>
  <c r="E943" i="137"/>
  <c r="D943" i="137"/>
  <c r="R942" i="137"/>
  <c r="Q942" i="137"/>
  <c r="P942" i="137"/>
  <c r="O942" i="137"/>
  <c r="N942" i="137"/>
  <c r="L942" i="137"/>
  <c r="K942" i="137"/>
  <c r="J942" i="137"/>
  <c r="I942" i="137"/>
  <c r="H942" i="137"/>
  <c r="G942" i="137"/>
  <c r="F942" i="137"/>
  <c r="E942" i="137"/>
  <c r="D942" i="137"/>
  <c r="R941" i="137"/>
  <c r="Q941" i="137"/>
  <c r="P941" i="137"/>
  <c r="O941" i="137"/>
  <c r="N941" i="137"/>
  <c r="L941" i="137"/>
  <c r="K941" i="137"/>
  <c r="J941" i="137"/>
  <c r="I941" i="137"/>
  <c r="H941" i="137"/>
  <c r="G941" i="137"/>
  <c r="F941" i="137"/>
  <c r="E941" i="137"/>
  <c r="D941" i="137"/>
  <c r="R940" i="137"/>
  <c r="Q940" i="137"/>
  <c r="P940" i="137"/>
  <c r="O940" i="137"/>
  <c r="N940" i="137"/>
  <c r="L940" i="137"/>
  <c r="K940" i="137"/>
  <c r="J940" i="137"/>
  <c r="I940" i="137"/>
  <c r="H940" i="137"/>
  <c r="G940" i="137"/>
  <c r="F940" i="137"/>
  <c r="E940" i="137"/>
  <c r="D940" i="137"/>
  <c r="R939" i="137"/>
  <c r="Q939" i="137"/>
  <c r="P939" i="137"/>
  <c r="O939" i="137"/>
  <c r="N939" i="137"/>
  <c r="L939" i="137"/>
  <c r="K939" i="137"/>
  <c r="J939" i="137"/>
  <c r="I939" i="137"/>
  <c r="H939" i="137"/>
  <c r="G939" i="137"/>
  <c r="F939" i="137"/>
  <c r="E939" i="137"/>
  <c r="D939" i="137"/>
  <c r="R938" i="137"/>
  <c r="Q938" i="137"/>
  <c r="P938" i="137"/>
  <c r="O938" i="137"/>
  <c r="N938" i="137"/>
  <c r="L938" i="137"/>
  <c r="K938" i="137"/>
  <c r="J938" i="137"/>
  <c r="I938" i="137"/>
  <c r="H938" i="137"/>
  <c r="G938" i="137"/>
  <c r="F938" i="137"/>
  <c r="E938" i="137"/>
  <c r="D938" i="137"/>
  <c r="R937" i="137"/>
  <c r="Q937" i="137"/>
  <c r="P937" i="137"/>
  <c r="O937" i="137"/>
  <c r="N937" i="137"/>
  <c r="L937" i="137"/>
  <c r="K937" i="137"/>
  <c r="J937" i="137"/>
  <c r="I937" i="137"/>
  <c r="H937" i="137"/>
  <c r="G937" i="137"/>
  <c r="F937" i="137"/>
  <c r="E937" i="137"/>
  <c r="D937" i="137"/>
  <c r="R936" i="137"/>
  <c r="Q936" i="137"/>
  <c r="P936" i="137"/>
  <c r="O936" i="137"/>
  <c r="N936" i="137"/>
  <c r="L936" i="137"/>
  <c r="K936" i="137"/>
  <c r="J936" i="137"/>
  <c r="I936" i="137"/>
  <c r="H936" i="137"/>
  <c r="G936" i="137"/>
  <c r="F936" i="137"/>
  <c r="E936" i="137"/>
  <c r="D936" i="137"/>
  <c r="R935" i="137"/>
  <c r="Q935" i="137"/>
  <c r="P935" i="137"/>
  <c r="O935" i="137"/>
  <c r="N935" i="137"/>
  <c r="L935" i="137"/>
  <c r="K935" i="137"/>
  <c r="J935" i="137"/>
  <c r="I935" i="137"/>
  <c r="H935" i="137"/>
  <c r="G935" i="137"/>
  <c r="F935" i="137"/>
  <c r="E935" i="137"/>
  <c r="D935" i="137"/>
  <c r="R934" i="137"/>
  <c r="Q934" i="137"/>
  <c r="P934" i="137"/>
  <c r="O934" i="137"/>
  <c r="N934" i="137"/>
  <c r="L934" i="137"/>
  <c r="K934" i="137"/>
  <c r="J934" i="137"/>
  <c r="I934" i="137"/>
  <c r="H934" i="137"/>
  <c r="G934" i="137"/>
  <c r="F934" i="137"/>
  <c r="E934" i="137"/>
  <c r="D934" i="137"/>
  <c r="R933" i="137"/>
  <c r="Q933" i="137"/>
  <c r="P933" i="137"/>
  <c r="O933" i="137"/>
  <c r="N933" i="137"/>
  <c r="L933" i="137"/>
  <c r="K933" i="137"/>
  <c r="J933" i="137"/>
  <c r="I933" i="137"/>
  <c r="H933" i="137"/>
  <c r="G933" i="137"/>
  <c r="F933" i="137"/>
  <c r="E933" i="137"/>
  <c r="D933" i="137"/>
  <c r="R932" i="137"/>
  <c r="Q932" i="137"/>
  <c r="P932" i="137"/>
  <c r="O932" i="137"/>
  <c r="N932" i="137"/>
  <c r="L932" i="137"/>
  <c r="K932" i="137"/>
  <c r="J932" i="137"/>
  <c r="I932" i="137"/>
  <c r="H932" i="137"/>
  <c r="G932" i="137"/>
  <c r="F932" i="137"/>
  <c r="E932" i="137"/>
  <c r="D932" i="137"/>
  <c r="R931" i="137"/>
  <c r="Q931" i="137"/>
  <c r="P931" i="137"/>
  <c r="O931" i="137"/>
  <c r="N931" i="137"/>
  <c r="L931" i="137"/>
  <c r="K931" i="137"/>
  <c r="J931" i="137"/>
  <c r="I931" i="137"/>
  <c r="H931" i="137"/>
  <c r="G931" i="137"/>
  <c r="F931" i="137"/>
  <c r="E931" i="137"/>
  <c r="D931" i="137"/>
  <c r="R930" i="137"/>
  <c r="Q930" i="137"/>
  <c r="P930" i="137"/>
  <c r="O930" i="137"/>
  <c r="N930" i="137"/>
  <c r="L930" i="137"/>
  <c r="K930" i="137"/>
  <c r="J930" i="137"/>
  <c r="I930" i="137"/>
  <c r="H930" i="137"/>
  <c r="G930" i="137"/>
  <c r="F930" i="137"/>
  <c r="E930" i="137"/>
  <c r="D930" i="137"/>
  <c r="R929" i="137"/>
  <c r="Q929" i="137"/>
  <c r="P929" i="137"/>
  <c r="O929" i="137"/>
  <c r="N929" i="137"/>
  <c r="L929" i="137"/>
  <c r="K929" i="137"/>
  <c r="J929" i="137"/>
  <c r="I929" i="137"/>
  <c r="H929" i="137"/>
  <c r="G929" i="137"/>
  <c r="F929" i="137"/>
  <c r="E929" i="137"/>
  <c r="D929" i="137"/>
  <c r="R928" i="137"/>
  <c r="Q928" i="137"/>
  <c r="P928" i="137"/>
  <c r="O928" i="137"/>
  <c r="N928" i="137"/>
  <c r="L928" i="137"/>
  <c r="K928" i="137"/>
  <c r="J928" i="137"/>
  <c r="I928" i="137"/>
  <c r="H928" i="137"/>
  <c r="G928" i="137"/>
  <c r="F928" i="137"/>
  <c r="E928" i="137"/>
  <c r="D928" i="137"/>
  <c r="R927" i="137"/>
  <c r="Q927" i="137"/>
  <c r="P927" i="137"/>
  <c r="O927" i="137"/>
  <c r="N927" i="137"/>
  <c r="L927" i="137"/>
  <c r="K927" i="137"/>
  <c r="J927" i="137"/>
  <c r="I927" i="137"/>
  <c r="H927" i="137"/>
  <c r="G927" i="137"/>
  <c r="F927" i="137"/>
  <c r="E927" i="137"/>
  <c r="D927" i="137"/>
  <c r="R926" i="137"/>
  <c r="Q926" i="137"/>
  <c r="P926" i="137"/>
  <c r="O926" i="137"/>
  <c r="N926" i="137"/>
  <c r="L926" i="137"/>
  <c r="K926" i="137"/>
  <c r="J926" i="137"/>
  <c r="I926" i="137"/>
  <c r="H926" i="137"/>
  <c r="G926" i="137"/>
  <c r="F926" i="137"/>
  <c r="E926" i="137"/>
  <c r="D926" i="137"/>
  <c r="R925" i="137"/>
  <c r="Q925" i="137"/>
  <c r="P925" i="137"/>
  <c r="O925" i="137"/>
  <c r="N925" i="137"/>
  <c r="L925" i="137"/>
  <c r="K925" i="137"/>
  <c r="J925" i="137"/>
  <c r="I925" i="137"/>
  <c r="H925" i="137"/>
  <c r="G925" i="137"/>
  <c r="F925" i="137"/>
  <c r="E925" i="137"/>
  <c r="D925" i="137"/>
  <c r="R924" i="137"/>
  <c r="Q924" i="137"/>
  <c r="P924" i="137"/>
  <c r="O924" i="137"/>
  <c r="N924" i="137"/>
  <c r="L924" i="137"/>
  <c r="K924" i="137"/>
  <c r="J924" i="137"/>
  <c r="I924" i="137"/>
  <c r="H924" i="137"/>
  <c r="G924" i="137"/>
  <c r="F924" i="137"/>
  <c r="E924" i="137"/>
  <c r="D924" i="137"/>
  <c r="R923" i="137"/>
  <c r="Q923" i="137"/>
  <c r="P923" i="137"/>
  <c r="O923" i="137"/>
  <c r="N923" i="137"/>
  <c r="L923" i="137"/>
  <c r="K923" i="137"/>
  <c r="J923" i="137"/>
  <c r="I923" i="137"/>
  <c r="H923" i="137"/>
  <c r="G923" i="137"/>
  <c r="F923" i="137"/>
  <c r="E923" i="137"/>
  <c r="D923" i="137"/>
  <c r="R922" i="137"/>
  <c r="Q922" i="137"/>
  <c r="P922" i="137"/>
  <c r="O922" i="137"/>
  <c r="N922" i="137"/>
  <c r="L922" i="137"/>
  <c r="K922" i="137"/>
  <c r="J922" i="137"/>
  <c r="I922" i="137"/>
  <c r="H922" i="137"/>
  <c r="G922" i="137"/>
  <c r="F922" i="137"/>
  <c r="E922" i="137"/>
  <c r="D922" i="137"/>
  <c r="R921" i="137"/>
  <c r="Q921" i="137"/>
  <c r="P921" i="137"/>
  <c r="O921" i="137"/>
  <c r="N921" i="137"/>
  <c r="L921" i="137"/>
  <c r="K921" i="137"/>
  <c r="J921" i="137"/>
  <c r="I921" i="137"/>
  <c r="H921" i="137"/>
  <c r="G921" i="137"/>
  <c r="F921" i="137"/>
  <c r="E921" i="137"/>
  <c r="D921" i="137"/>
  <c r="R920" i="137"/>
  <c r="Q920" i="137"/>
  <c r="P920" i="137"/>
  <c r="O920" i="137"/>
  <c r="N920" i="137"/>
  <c r="L920" i="137"/>
  <c r="K920" i="137"/>
  <c r="J920" i="137"/>
  <c r="I920" i="137"/>
  <c r="H920" i="137"/>
  <c r="G920" i="137"/>
  <c r="F920" i="137"/>
  <c r="E920" i="137"/>
  <c r="D920" i="137"/>
  <c r="R919" i="137"/>
  <c r="Q919" i="137"/>
  <c r="P919" i="137"/>
  <c r="O919" i="137"/>
  <c r="N919" i="137"/>
  <c r="L919" i="137"/>
  <c r="K919" i="137"/>
  <c r="J919" i="137"/>
  <c r="I919" i="137"/>
  <c r="H919" i="137"/>
  <c r="G919" i="137"/>
  <c r="F919" i="137"/>
  <c r="E919" i="137"/>
  <c r="D919" i="137"/>
  <c r="R918" i="137"/>
  <c r="Q918" i="137"/>
  <c r="P918" i="137"/>
  <c r="O918" i="137"/>
  <c r="N918" i="137"/>
  <c r="L918" i="137"/>
  <c r="K918" i="137"/>
  <c r="J918" i="137"/>
  <c r="I918" i="137"/>
  <c r="H918" i="137"/>
  <c r="G918" i="137"/>
  <c r="F918" i="137"/>
  <c r="E918" i="137"/>
  <c r="D918" i="137"/>
  <c r="R917" i="137"/>
  <c r="Q917" i="137"/>
  <c r="P917" i="137"/>
  <c r="O917" i="137"/>
  <c r="N917" i="137"/>
  <c r="L917" i="137"/>
  <c r="K917" i="137"/>
  <c r="J917" i="137"/>
  <c r="I917" i="137"/>
  <c r="H917" i="137"/>
  <c r="G917" i="137"/>
  <c r="F917" i="137"/>
  <c r="E917" i="137"/>
  <c r="D917" i="137"/>
  <c r="R916" i="137"/>
  <c r="Q916" i="137"/>
  <c r="P916" i="137"/>
  <c r="O916" i="137"/>
  <c r="N916" i="137"/>
  <c r="L916" i="137"/>
  <c r="K916" i="137"/>
  <c r="J916" i="137"/>
  <c r="I916" i="137"/>
  <c r="H916" i="137"/>
  <c r="G916" i="137"/>
  <c r="F916" i="137"/>
  <c r="E916" i="137"/>
  <c r="D916" i="137"/>
  <c r="R915" i="137"/>
  <c r="Q915" i="137"/>
  <c r="P915" i="137"/>
  <c r="O915" i="137"/>
  <c r="N915" i="137"/>
  <c r="L915" i="137"/>
  <c r="K915" i="137"/>
  <c r="J915" i="137"/>
  <c r="I915" i="137"/>
  <c r="H915" i="137"/>
  <c r="G915" i="137"/>
  <c r="F915" i="137"/>
  <c r="E915" i="137"/>
  <c r="D915" i="137"/>
  <c r="R914" i="137"/>
  <c r="Q914" i="137"/>
  <c r="P914" i="137"/>
  <c r="O914" i="137"/>
  <c r="N914" i="137"/>
  <c r="L914" i="137"/>
  <c r="K914" i="137"/>
  <c r="J914" i="137"/>
  <c r="I914" i="137"/>
  <c r="H914" i="137"/>
  <c r="G914" i="137"/>
  <c r="F914" i="137"/>
  <c r="E914" i="137"/>
  <c r="D914" i="137"/>
  <c r="R913" i="137"/>
  <c r="Q913" i="137"/>
  <c r="P913" i="137"/>
  <c r="O913" i="137"/>
  <c r="N913" i="137"/>
  <c r="L913" i="137"/>
  <c r="K913" i="137"/>
  <c r="J913" i="137"/>
  <c r="I913" i="137"/>
  <c r="H913" i="137"/>
  <c r="G913" i="137"/>
  <c r="F913" i="137"/>
  <c r="E913" i="137"/>
  <c r="D913" i="137"/>
  <c r="R912" i="137"/>
  <c r="Q912" i="137"/>
  <c r="P912" i="137"/>
  <c r="O912" i="137"/>
  <c r="N912" i="137"/>
  <c r="L912" i="137"/>
  <c r="K912" i="137"/>
  <c r="J912" i="137"/>
  <c r="I912" i="137"/>
  <c r="H912" i="137"/>
  <c r="G912" i="137"/>
  <c r="F912" i="137"/>
  <c r="E912" i="137"/>
  <c r="D912" i="137"/>
  <c r="R911" i="137"/>
  <c r="Q911" i="137"/>
  <c r="P911" i="137"/>
  <c r="O911" i="137"/>
  <c r="N911" i="137"/>
  <c r="L911" i="137"/>
  <c r="K911" i="137"/>
  <c r="J911" i="137"/>
  <c r="I911" i="137"/>
  <c r="H911" i="137"/>
  <c r="G911" i="137"/>
  <c r="F911" i="137"/>
  <c r="E911" i="137"/>
  <c r="D911" i="137"/>
  <c r="R910" i="137"/>
  <c r="Q910" i="137"/>
  <c r="P910" i="137"/>
  <c r="O910" i="137"/>
  <c r="N910" i="137"/>
  <c r="L910" i="137"/>
  <c r="K910" i="137"/>
  <c r="J910" i="137"/>
  <c r="I910" i="137"/>
  <c r="H910" i="137"/>
  <c r="G910" i="137"/>
  <c r="F910" i="137"/>
  <c r="E910" i="137"/>
  <c r="D910" i="137"/>
  <c r="R909" i="137"/>
  <c r="Q909" i="137"/>
  <c r="P909" i="137"/>
  <c r="O909" i="137"/>
  <c r="N909" i="137"/>
  <c r="L909" i="137"/>
  <c r="K909" i="137"/>
  <c r="J909" i="137"/>
  <c r="I909" i="137"/>
  <c r="H909" i="137"/>
  <c r="G909" i="137"/>
  <c r="F909" i="137"/>
  <c r="E909" i="137"/>
  <c r="D909" i="137"/>
  <c r="R908" i="137"/>
  <c r="Q908" i="137"/>
  <c r="P908" i="137"/>
  <c r="O908" i="137"/>
  <c r="N908" i="137"/>
  <c r="L908" i="137"/>
  <c r="K908" i="137"/>
  <c r="J908" i="137"/>
  <c r="I908" i="137"/>
  <c r="H908" i="137"/>
  <c r="G908" i="137"/>
  <c r="F908" i="137"/>
  <c r="E908" i="137"/>
  <c r="D908" i="137"/>
  <c r="R907" i="137"/>
  <c r="Q907" i="137"/>
  <c r="P907" i="137"/>
  <c r="O907" i="137"/>
  <c r="N907" i="137"/>
  <c r="L907" i="137"/>
  <c r="K907" i="137"/>
  <c r="J907" i="137"/>
  <c r="I907" i="137"/>
  <c r="H907" i="137"/>
  <c r="G907" i="137"/>
  <c r="F907" i="137"/>
  <c r="E907" i="137"/>
  <c r="D907" i="137"/>
  <c r="R906" i="137"/>
  <c r="Q906" i="137"/>
  <c r="P906" i="137"/>
  <c r="O906" i="137"/>
  <c r="N906" i="137"/>
  <c r="L906" i="137"/>
  <c r="K906" i="137"/>
  <c r="J906" i="137"/>
  <c r="I906" i="137"/>
  <c r="H906" i="137"/>
  <c r="G906" i="137"/>
  <c r="F906" i="137"/>
  <c r="E906" i="137"/>
  <c r="D906" i="137"/>
  <c r="R905" i="137"/>
  <c r="Q905" i="137"/>
  <c r="P905" i="137"/>
  <c r="O905" i="137"/>
  <c r="N905" i="137"/>
  <c r="L905" i="137"/>
  <c r="K905" i="137"/>
  <c r="J905" i="137"/>
  <c r="I905" i="137"/>
  <c r="H905" i="137"/>
  <c r="G905" i="137"/>
  <c r="F905" i="137"/>
  <c r="E905" i="137"/>
  <c r="D905" i="137"/>
  <c r="R904" i="137"/>
  <c r="Q904" i="137"/>
  <c r="P904" i="137"/>
  <c r="O904" i="137"/>
  <c r="N904" i="137"/>
  <c r="L904" i="137"/>
  <c r="K904" i="137"/>
  <c r="J904" i="137"/>
  <c r="I904" i="137"/>
  <c r="H904" i="137"/>
  <c r="G904" i="137"/>
  <c r="F904" i="137"/>
  <c r="E904" i="137"/>
  <c r="D904" i="137"/>
  <c r="R903" i="137"/>
  <c r="Q903" i="137"/>
  <c r="P903" i="137"/>
  <c r="O903" i="137"/>
  <c r="N903" i="137"/>
  <c r="L903" i="137"/>
  <c r="K903" i="137"/>
  <c r="J903" i="137"/>
  <c r="I903" i="137"/>
  <c r="H903" i="137"/>
  <c r="G903" i="137"/>
  <c r="F903" i="137"/>
  <c r="E903" i="137"/>
  <c r="D903" i="137"/>
  <c r="R902" i="137"/>
  <c r="Q902" i="137"/>
  <c r="P902" i="137"/>
  <c r="O902" i="137"/>
  <c r="N902" i="137"/>
  <c r="L902" i="137"/>
  <c r="K902" i="137"/>
  <c r="J902" i="137"/>
  <c r="I902" i="137"/>
  <c r="H902" i="137"/>
  <c r="G902" i="137"/>
  <c r="F902" i="137"/>
  <c r="E902" i="137"/>
  <c r="D902" i="137"/>
  <c r="R901" i="137"/>
  <c r="Q901" i="137"/>
  <c r="P901" i="137"/>
  <c r="O901" i="137"/>
  <c r="N901" i="137"/>
  <c r="L901" i="137"/>
  <c r="K901" i="137"/>
  <c r="J901" i="137"/>
  <c r="I901" i="137"/>
  <c r="H901" i="137"/>
  <c r="G901" i="137"/>
  <c r="F901" i="137"/>
  <c r="E901" i="137"/>
  <c r="D901" i="137"/>
  <c r="R900" i="137"/>
  <c r="Q900" i="137"/>
  <c r="P900" i="137"/>
  <c r="O900" i="137"/>
  <c r="N900" i="137"/>
  <c r="L900" i="137"/>
  <c r="K900" i="137"/>
  <c r="J900" i="137"/>
  <c r="I900" i="137"/>
  <c r="H900" i="137"/>
  <c r="G900" i="137"/>
  <c r="F900" i="137"/>
  <c r="E900" i="137"/>
  <c r="D900" i="137"/>
  <c r="R899" i="137"/>
  <c r="Q899" i="137"/>
  <c r="P899" i="137"/>
  <c r="O899" i="137"/>
  <c r="N899" i="137"/>
  <c r="L899" i="137"/>
  <c r="K899" i="137"/>
  <c r="J899" i="137"/>
  <c r="I899" i="137"/>
  <c r="H899" i="137"/>
  <c r="G899" i="137"/>
  <c r="F899" i="137"/>
  <c r="E899" i="137"/>
  <c r="D899" i="137"/>
  <c r="R898" i="137"/>
  <c r="Q898" i="137"/>
  <c r="P898" i="137"/>
  <c r="O898" i="137"/>
  <c r="N898" i="137"/>
  <c r="L898" i="137"/>
  <c r="K898" i="137"/>
  <c r="J898" i="137"/>
  <c r="I898" i="137"/>
  <c r="H898" i="137"/>
  <c r="G898" i="137"/>
  <c r="F898" i="137"/>
  <c r="E898" i="137"/>
  <c r="D898" i="137"/>
  <c r="R897" i="137"/>
  <c r="Q897" i="137"/>
  <c r="P897" i="137"/>
  <c r="O897" i="137"/>
  <c r="N897" i="137"/>
  <c r="L897" i="137"/>
  <c r="K897" i="137"/>
  <c r="J897" i="137"/>
  <c r="I897" i="137"/>
  <c r="H897" i="137"/>
  <c r="G897" i="137"/>
  <c r="F897" i="137"/>
  <c r="E897" i="137"/>
  <c r="D897" i="137"/>
  <c r="R896" i="137"/>
  <c r="Q896" i="137"/>
  <c r="P896" i="137"/>
  <c r="O896" i="137"/>
  <c r="N896" i="137"/>
  <c r="L896" i="137"/>
  <c r="K896" i="137"/>
  <c r="J896" i="137"/>
  <c r="I896" i="137"/>
  <c r="H896" i="137"/>
  <c r="G896" i="137"/>
  <c r="F896" i="137"/>
  <c r="E896" i="137"/>
  <c r="D896" i="137"/>
  <c r="R895" i="137"/>
  <c r="Q895" i="137"/>
  <c r="P895" i="137"/>
  <c r="O895" i="137"/>
  <c r="N895" i="137"/>
  <c r="L895" i="137"/>
  <c r="K895" i="137"/>
  <c r="J895" i="137"/>
  <c r="I895" i="137"/>
  <c r="H895" i="137"/>
  <c r="G895" i="137"/>
  <c r="F895" i="137"/>
  <c r="E895" i="137"/>
  <c r="D895" i="137"/>
  <c r="R894" i="137"/>
  <c r="Q894" i="137"/>
  <c r="P894" i="137"/>
  <c r="O894" i="137"/>
  <c r="N894" i="137"/>
  <c r="L894" i="137"/>
  <c r="K894" i="137"/>
  <c r="J894" i="137"/>
  <c r="I894" i="137"/>
  <c r="H894" i="137"/>
  <c r="G894" i="137"/>
  <c r="F894" i="137"/>
  <c r="E894" i="137"/>
  <c r="D894" i="137"/>
  <c r="R893" i="137"/>
  <c r="Q893" i="137"/>
  <c r="P893" i="137"/>
  <c r="O893" i="137"/>
  <c r="N893" i="137"/>
  <c r="L893" i="137"/>
  <c r="K893" i="137"/>
  <c r="J893" i="137"/>
  <c r="I893" i="137"/>
  <c r="H893" i="137"/>
  <c r="G893" i="137"/>
  <c r="F893" i="137"/>
  <c r="E893" i="137"/>
  <c r="D893" i="137"/>
  <c r="R892" i="137"/>
  <c r="Q892" i="137"/>
  <c r="P892" i="137"/>
  <c r="O892" i="137"/>
  <c r="N892" i="137"/>
  <c r="L892" i="137"/>
  <c r="K892" i="137"/>
  <c r="J892" i="137"/>
  <c r="I892" i="137"/>
  <c r="H892" i="137"/>
  <c r="G892" i="137"/>
  <c r="F892" i="137"/>
  <c r="E892" i="137"/>
  <c r="D892" i="137"/>
  <c r="R891" i="137"/>
  <c r="Q891" i="137"/>
  <c r="P891" i="137"/>
  <c r="O891" i="137"/>
  <c r="N891" i="137"/>
  <c r="L891" i="137"/>
  <c r="K891" i="137"/>
  <c r="J891" i="137"/>
  <c r="I891" i="137"/>
  <c r="H891" i="137"/>
  <c r="G891" i="137"/>
  <c r="F891" i="137"/>
  <c r="E891" i="137"/>
  <c r="D891" i="137"/>
  <c r="R890" i="137"/>
  <c r="Q890" i="137"/>
  <c r="P890" i="137"/>
  <c r="O890" i="137"/>
  <c r="N890" i="137"/>
  <c r="L890" i="137"/>
  <c r="K890" i="137"/>
  <c r="J890" i="137"/>
  <c r="I890" i="137"/>
  <c r="H890" i="137"/>
  <c r="G890" i="137"/>
  <c r="F890" i="137"/>
  <c r="E890" i="137"/>
  <c r="D890" i="137"/>
  <c r="R889" i="137"/>
  <c r="Q889" i="137"/>
  <c r="P889" i="137"/>
  <c r="O889" i="137"/>
  <c r="N889" i="137"/>
  <c r="L889" i="137"/>
  <c r="K889" i="137"/>
  <c r="J889" i="137"/>
  <c r="I889" i="137"/>
  <c r="H889" i="137"/>
  <c r="G889" i="137"/>
  <c r="F889" i="137"/>
  <c r="E889" i="137"/>
  <c r="D889" i="137"/>
  <c r="R888" i="137"/>
  <c r="Q888" i="137"/>
  <c r="P888" i="137"/>
  <c r="O888" i="137"/>
  <c r="N888" i="137"/>
  <c r="L888" i="137"/>
  <c r="K888" i="137"/>
  <c r="J888" i="137"/>
  <c r="I888" i="137"/>
  <c r="H888" i="137"/>
  <c r="G888" i="137"/>
  <c r="F888" i="137"/>
  <c r="E888" i="137"/>
  <c r="D888" i="137"/>
  <c r="R887" i="137"/>
  <c r="Q887" i="137"/>
  <c r="P887" i="137"/>
  <c r="O887" i="137"/>
  <c r="N887" i="137"/>
  <c r="L887" i="137"/>
  <c r="K887" i="137"/>
  <c r="J887" i="137"/>
  <c r="I887" i="137"/>
  <c r="H887" i="137"/>
  <c r="G887" i="137"/>
  <c r="F887" i="137"/>
  <c r="E887" i="137"/>
  <c r="D887" i="137"/>
  <c r="R886" i="137"/>
  <c r="Q886" i="137"/>
  <c r="P886" i="137"/>
  <c r="O886" i="137"/>
  <c r="N886" i="137"/>
  <c r="L886" i="137"/>
  <c r="K886" i="137"/>
  <c r="J886" i="137"/>
  <c r="I886" i="137"/>
  <c r="H886" i="137"/>
  <c r="G886" i="137"/>
  <c r="F886" i="137"/>
  <c r="E886" i="137"/>
  <c r="D886" i="137"/>
  <c r="R885" i="137"/>
  <c r="Q885" i="137"/>
  <c r="P885" i="137"/>
  <c r="O885" i="137"/>
  <c r="N885" i="137"/>
  <c r="L885" i="137"/>
  <c r="K885" i="137"/>
  <c r="J885" i="137"/>
  <c r="I885" i="137"/>
  <c r="H885" i="137"/>
  <c r="G885" i="137"/>
  <c r="F885" i="137"/>
  <c r="E885" i="137"/>
  <c r="D885" i="137"/>
  <c r="R884" i="137"/>
  <c r="Q884" i="137"/>
  <c r="P884" i="137"/>
  <c r="O884" i="137"/>
  <c r="N884" i="137"/>
  <c r="L884" i="137"/>
  <c r="K884" i="137"/>
  <c r="J884" i="137"/>
  <c r="I884" i="137"/>
  <c r="H884" i="137"/>
  <c r="G884" i="137"/>
  <c r="F884" i="137"/>
  <c r="E884" i="137"/>
  <c r="D884" i="137"/>
  <c r="R883" i="137"/>
  <c r="Q883" i="137"/>
  <c r="P883" i="137"/>
  <c r="O883" i="137"/>
  <c r="N883" i="137"/>
  <c r="L883" i="137"/>
  <c r="K883" i="137"/>
  <c r="J883" i="137"/>
  <c r="I883" i="137"/>
  <c r="H883" i="137"/>
  <c r="G883" i="137"/>
  <c r="F883" i="137"/>
  <c r="E883" i="137"/>
  <c r="D883" i="137"/>
  <c r="R882" i="137"/>
  <c r="Q882" i="137"/>
  <c r="P882" i="137"/>
  <c r="O882" i="137"/>
  <c r="N882" i="137"/>
  <c r="L882" i="137"/>
  <c r="K882" i="137"/>
  <c r="J882" i="137"/>
  <c r="I882" i="137"/>
  <c r="H882" i="137"/>
  <c r="G882" i="137"/>
  <c r="F882" i="137"/>
  <c r="E882" i="137"/>
  <c r="D882" i="137"/>
  <c r="R881" i="137"/>
  <c r="Q881" i="137"/>
  <c r="P881" i="137"/>
  <c r="O881" i="137"/>
  <c r="N881" i="137"/>
  <c r="L881" i="137"/>
  <c r="K881" i="137"/>
  <c r="J881" i="137"/>
  <c r="I881" i="137"/>
  <c r="H881" i="137"/>
  <c r="G881" i="137"/>
  <c r="F881" i="137"/>
  <c r="E881" i="137"/>
  <c r="D881" i="137"/>
  <c r="R880" i="137"/>
  <c r="Q880" i="137"/>
  <c r="P880" i="137"/>
  <c r="O880" i="137"/>
  <c r="N880" i="137"/>
  <c r="L880" i="137"/>
  <c r="K880" i="137"/>
  <c r="J880" i="137"/>
  <c r="I880" i="137"/>
  <c r="H880" i="137"/>
  <c r="G880" i="137"/>
  <c r="F880" i="137"/>
  <c r="E880" i="137"/>
  <c r="D880" i="137"/>
  <c r="R879" i="137"/>
  <c r="Q879" i="137"/>
  <c r="P879" i="137"/>
  <c r="O879" i="137"/>
  <c r="N879" i="137"/>
  <c r="L879" i="137"/>
  <c r="K879" i="137"/>
  <c r="J879" i="137"/>
  <c r="I879" i="137"/>
  <c r="H879" i="137"/>
  <c r="G879" i="137"/>
  <c r="F879" i="137"/>
  <c r="E879" i="137"/>
  <c r="D879" i="137"/>
  <c r="R878" i="137"/>
  <c r="Q878" i="137"/>
  <c r="P878" i="137"/>
  <c r="O878" i="137"/>
  <c r="N878" i="137"/>
  <c r="L878" i="137"/>
  <c r="K878" i="137"/>
  <c r="J878" i="137"/>
  <c r="I878" i="137"/>
  <c r="H878" i="137"/>
  <c r="G878" i="137"/>
  <c r="F878" i="137"/>
  <c r="E878" i="137"/>
  <c r="D878" i="137"/>
  <c r="R877" i="137"/>
  <c r="Q877" i="137"/>
  <c r="P877" i="137"/>
  <c r="O877" i="137"/>
  <c r="N877" i="137"/>
  <c r="L877" i="137"/>
  <c r="K877" i="137"/>
  <c r="J877" i="137"/>
  <c r="I877" i="137"/>
  <c r="H877" i="137"/>
  <c r="G877" i="137"/>
  <c r="F877" i="137"/>
  <c r="E877" i="137"/>
  <c r="D877" i="137"/>
  <c r="R876" i="137"/>
  <c r="Q876" i="137"/>
  <c r="P876" i="137"/>
  <c r="O876" i="137"/>
  <c r="N876" i="137"/>
  <c r="L876" i="137"/>
  <c r="K876" i="137"/>
  <c r="J876" i="137"/>
  <c r="I876" i="137"/>
  <c r="H876" i="137"/>
  <c r="G876" i="137"/>
  <c r="F876" i="137"/>
  <c r="E876" i="137"/>
  <c r="D876" i="137"/>
  <c r="R875" i="137"/>
  <c r="Q875" i="137"/>
  <c r="P875" i="137"/>
  <c r="O875" i="137"/>
  <c r="N875" i="137"/>
  <c r="L875" i="137"/>
  <c r="K875" i="137"/>
  <c r="J875" i="137"/>
  <c r="I875" i="137"/>
  <c r="H875" i="137"/>
  <c r="G875" i="137"/>
  <c r="F875" i="137"/>
  <c r="E875" i="137"/>
  <c r="D875" i="137"/>
  <c r="R874" i="137"/>
  <c r="Q874" i="137"/>
  <c r="P874" i="137"/>
  <c r="O874" i="137"/>
  <c r="N874" i="137"/>
  <c r="L874" i="137"/>
  <c r="K874" i="137"/>
  <c r="J874" i="137"/>
  <c r="I874" i="137"/>
  <c r="H874" i="137"/>
  <c r="G874" i="137"/>
  <c r="F874" i="137"/>
  <c r="E874" i="137"/>
  <c r="D874" i="137"/>
  <c r="R873" i="137"/>
  <c r="Q873" i="137"/>
  <c r="P873" i="137"/>
  <c r="O873" i="137"/>
  <c r="N873" i="137"/>
  <c r="L873" i="137"/>
  <c r="K873" i="137"/>
  <c r="J873" i="137"/>
  <c r="I873" i="137"/>
  <c r="H873" i="137"/>
  <c r="G873" i="137"/>
  <c r="F873" i="137"/>
  <c r="E873" i="137"/>
  <c r="D873" i="137"/>
  <c r="R872" i="137"/>
  <c r="Q872" i="137"/>
  <c r="P872" i="137"/>
  <c r="O872" i="137"/>
  <c r="N872" i="137"/>
  <c r="L872" i="137"/>
  <c r="K872" i="137"/>
  <c r="J872" i="137"/>
  <c r="I872" i="137"/>
  <c r="H872" i="137"/>
  <c r="G872" i="137"/>
  <c r="F872" i="137"/>
  <c r="E872" i="137"/>
  <c r="D872" i="137"/>
  <c r="R871" i="137"/>
  <c r="Q871" i="137"/>
  <c r="P871" i="137"/>
  <c r="O871" i="137"/>
  <c r="N871" i="137"/>
  <c r="L871" i="137"/>
  <c r="K871" i="137"/>
  <c r="J871" i="137"/>
  <c r="I871" i="137"/>
  <c r="H871" i="137"/>
  <c r="G871" i="137"/>
  <c r="F871" i="137"/>
  <c r="E871" i="137"/>
  <c r="D871" i="137"/>
  <c r="R870" i="137"/>
  <c r="Q870" i="137"/>
  <c r="P870" i="137"/>
  <c r="O870" i="137"/>
  <c r="N870" i="137"/>
  <c r="L870" i="137"/>
  <c r="K870" i="137"/>
  <c r="J870" i="137"/>
  <c r="I870" i="137"/>
  <c r="H870" i="137"/>
  <c r="G870" i="137"/>
  <c r="F870" i="137"/>
  <c r="E870" i="137"/>
  <c r="D870" i="137"/>
  <c r="R869" i="137"/>
  <c r="Q869" i="137"/>
  <c r="P869" i="137"/>
  <c r="O869" i="137"/>
  <c r="N869" i="137"/>
  <c r="L869" i="137"/>
  <c r="K869" i="137"/>
  <c r="J869" i="137"/>
  <c r="I869" i="137"/>
  <c r="H869" i="137"/>
  <c r="G869" i="137"/>
  <c r="F869" i="137"/>
  <c r="E869" i="137"/>
  <c r="D869" i="137"/>
  <c r="R868" i="137"/>
  <c r="Q868" i="137"/>
  <c r="P868" i="137"/>
  <c r="O868" i="137"/>
  <c r="N868" i="137"/>
  <c r="L868" i="137"/>
  <c r="K868" i="137"/>
  <c r="J868" i="137"/>
  <c r="I868" i="137"/>
  <c r="H868" i="137"/>
  <c r="G868" i="137"/>
  <c r="F868" i="137"/>
  <c r="E868" i="137"/>
  <c r="D868" i="137"/>
  <c r="R867" i="137"/>
  <c r="Q867" i="137"/>
  <c r="P867" i="137"/>
  <c r="O867" i="137"/>
  <c r="N867" i="137"/>
  <c r="L867" i="137"/>
  <c r="K867" i="137"/>
  <c r="J867" i="137"/>
  <c r="I867" i="137"/>
  <c r="H867" i="137"/>
  <c r="G867" i="137"/>
  <c r="F867" i="137"/>
  <c r="E867" i="137"/>
  <c r="D867" i="137"/>
  <c r="R866" i="137"/>
  <c r="Q866" i="137"/>
  <c r="P866" i="137"/>
  <c r="O866" i="137"/>
  <c r="N866" i="137"/>
  <c r="L866" i="137"/>
  <c r="K866" i="137"/>
  <c r="J866" i="137"/>
  <c r="I866" i="137"/>
  <c r="H866" i="137"/>
  <c r="G866" i="137"/>
  <c r="F866" i="137"/>
  <c r="E866" i="137"/>
  <c r="D866" i="137"/>
  <c r="R865" i="137"/>
  <c r="Q865" i="137"/>
  <c r="P865" i="137"/>
  <c r="O865" i="137"/>
  <c r="N865" i="137"/>
  <c r="L865" i="137"/>
  <c r="K865" i="137"/>
  <c r="J865" i="137"/>
  <c r="I865" i="137"/>
  <c r="H865" i="137"/>
  <c r="G865" i="137"/>
  <c r="F865" i="137"/>
  <c r="E865" i="137"/>
  <c r="D865" i="137"/>
  <c r="R864" i="137"/>
  <c r="Q864" i="137"/>
  <c r="P864" i="137"/>
  <c r="O864" i="137"/>
  <c r="N864" i="137"/>
  <c r="L864" i="137"/>
  <c r="K864" i="137"/>
  <c r="J864" i="137"/>
  <c r="I864" i="137"/>
  <c r="H864" i="137"/>
  <c r="G864" i="137"/>
  <c r="F864" i="137"/>
  <c r="E864" i="137"/>
  <c r="D864" i="137"/>
  <c r="R863" i="137"/>
  <c r="Q863" i="137"/>
  <c r="P863" i="137"/>
  <c r="O863" i="137"/>
  <c r="N863" i="137"/>
  <c r="L863" i="137"/>
  <c r="K863" i="137"/>
  <c r="J863" i="137"/>
  <c r="I863" i="137"/>
  <c r="H863" i="137"/>
  <c r="G863" i="137"/>
  <c r="F863" i="137"/>
  <c r="E863" i="137"/>
  <c r="D863" i="137"/>
  <c r="R862" i="137"/>
  <c r="Q862" i="137"/>
  <c r="P862" i="137"/>
  <c r="O862" i="137"/>
  <c r="N862" i="137"/>
  <c r="L862" i="137"/>
  <c r="K862" i="137"/>
  <c r="J862" i="137"/>
  <c r="I862" i="137"/>
  <c r="H862" i="137"/>
  <c r="G862" i="137"/>
  <c r="F862" i="137"/>
  <c r="E862" i="137"/>
  <c r="D862" i="137"/>
  <c r="R861" i="137"/>
  <c r="Q861" i="137"/>
  <c r="P861" i="137"/>
  <c r="O861" i="137"/>
  <c r="N861" i="137"/>
  <c r="L861" i="137"/>
  <c r="K861" i="137"/>
  <c r="J861" i="137"/>
  <c r="I861" i="137"/>
  <c r="H861" i="137"/>
  <c r="G861" i="137"/>
  <c r="F861" i="137"/>
  <c r="E861" i="137"/>
  <c r="D861" i="137"/>
  <c r="R860" i="137"/>
  <c r="Q860" i="137"/>
  <c r="P860" i="137"/>
  <c r="O860" i="137"/>
  <c r="N860" i="137"/>
  <c r="L860" i="137"/>
  <c r="K860" i="137"/>
  <c r="J860" i="137"/>
  <c r="I860" i="137"/>
  <c r="H860" i="137"/>
  <c r="G860" i="137"/>
  <c r="F860" i="137"/>
  <c r="E860" i="137"/>
  <c r="D860" i="137"/>
  <c r="R859" i="137"/>
  <c r="Q859" i="137"/>
  <c r="P859" i="137"/>
  <c r="O859" i="137"/>
  <c r="N859" i="137"/>
  <c r="L859" i="137"/>
  <c r="K859" i="137"/>
  <c r="J859" i="137"/>
  <c r="I859" i="137"/>
  <c r="H859" i="137"/>
  <c r="G859" i="137"/>
  <c r="F859" i="137"/>
  <c r="E859" i="137"/>
  <c r="D859" i="137"/>
  <c r="R858" i="137"/>
  <c r="Q858" i="137"/>
  <c r="P858" i="137"/>
  <c r="O858" i="137"/>
  <c r="N858" i="137"/>
  <c r="L858" i="137"/>
  <c r="K858" i="137"/>
  <c r="J858" i="137"/>
  <c r="I858" i="137"/>
  <c r="H858" i="137"/>
  <c r="G858" i="137"/>
  <c r="F858" i="137"/>
  <c r="E858" i="137"/>
  <c r="D858" i="137"/>
  <c r="R857" i="137"/>
  <c r="Q857" i="137"/>
  <c r="P857" i="137"/>
  <c r="O857" i="137"/>
  <c r="N857" i="137"/>
  <c r="L857" i="137"/>
  <c r="K857" i="137"/>
  <c r="J857" i="137"/>
  <c r="I857" i="137"/>
  <c r="H857" i="137"/>
  <c r="G857" i="137"/>
  <c r="F857" i="137"/>
  <c r="E857" i="137"/>
  <c r="D857" i="137"/>
  <c r="R856" i="137"/>
  <c r="Q856" i="137"/>
  <c r="P856" i="137"/>
  <c r="O856" i="137"/>
  <c r="N856" i="137"/>
  <c r="L856" i="137"/>
  <c r="K856" i="137"/>
  <c r="J856" i="137"/>
  <c r="I856" i="137"/>
  <c r="H856" i="137"/>
  <c r="G856" i="137"/>
  <c r="F856" i="137"/>
  <c r="E856" i="137"/>
  <c r="D856" i="137"/>
  <c r="R855" i="137"/>
  <c r="Q855" i="137"/>
  <c r="P855" i="137"/>
  <c r="O855" i="137"/>
  <c r="N855" i="137"/>
  <c r="L855" i="137"/>
  <c r="K855" i="137"/>
  <c r="J855" i="137"/>
  <c r="I855" i="137"/>
  <c r="H855" i="137"/>
  <c r="G855" i="137"/>
  <c r="F855" i="137"/>
  <c r="E855" i="137"/>
  <c r="D855" i="137"/>
  <c r="R854" i="137"/>
  <c r="Q854" i="137"/>
  <c r="P854" i="137"/>
  <c r="O854" i="137"/>
  <c r="N854" i="137"/>
  <c r="L854" i="137"/>
  <c r="K854" i="137"/>
  <c r="J854" i="137"/>
  <c r="I854" i="137"/>
  <c r="H854" i="137"/>
  <c r="G854" i="137"/>
  <c r="F854" i="137"/>
  <c r="E854" i="137"/>
  <c r="D854" i="137"/>
  <c r="R853" i="137"/>
  <c r="Q853" i="137"/>
  <c r="P853" i="137"/>
  <c r="O853" i="137"/>
  <c r="N853" i="137"/>
  <c r="L853" i="137"/>
  <c r="K853" i="137"/>
  <c r="J853" i="137"/>
  <c r="I853" i="137"/>
  <c r="H853" i="137"/>
  <c r="G853" i="137"/>
  <c r="F853" i="137"/>
  <c r="E853" i="137"/>
  <c r="D853" i="137"/>
  <c r="R852" i="137"/>
  <c r="Q852" i="137"/>
  <c r="P852" i="137"/>
  <c r="O852" i="137"/>
  <c r="N852" i="137"/>
  <c r="L852" i="137"/>
  <c r="K852" i="137"/>
  <c r="J852" i="137"/>
  <c r="I852" i="137"/>
  <c r="H852" i="137"/>
  <c r="G852" i="137"/>
  <c r="F852" i="137"/>
  <c r="E852" i="137"/>
  <c r="D852" i="137"/>
  <c r="R851" i="137"/>
  <c r="Q851" i="137"/>
  <c r="P851" i="137"/>
  <c r="O851" i="137"/>
  <c r="N851" i="137"/>
  <c r="L851" i="137"/>
  <c r="K851" i="137"/>
  <c r="J851" i="137"/>
  <c r="I851" i="137"/>
  <c r="H851" i="137"/>
  <c r="G851" i="137"/>
  <c r="F851" i="137"/>
  <c r="E851" i="137"/>
  <c r="D851" i="137"/>
  <c r="R850" i="137"/>
  <c r="Q850" i="137"/>
  <c r="P850" i="137"/>
  <c r="O850" i="137"/>
  <c r="N850" i="137"/>
  <c r="L850" i="137"/>
  <c r="K850" i="137"/>
  <c r="J850" i="137"/>
  <c r="I850" i="137"/>
  <c r="H850" i="137"/>
  <c r="G850" i="137"/>
  <c r="F850" i="137"/>
  <c r="E850" i="137"/>
  <c r="D850" i="137"/>
  <c r="R849" i="137"/>
  <c r="Q849" i="137"/>
  <c r="P849" i="137"/>
  <c r="O849" i="137"/>
  <c r="N849" i="137"/>
  <c r="L849" i="137"/>
  <c r="K849" i="137"/>
  <c r="J849" i="137"/>
  <c r="I849" i="137"/>
  <c r="H849" i="137"/>
  <c r="G849" i="137"/>
  <c r="F849" i="137"/>
  <c r="E849" i="137"/>
  <c r="D849" i="137"/>
  <c r="R848" i="137"/>
  <c r="Q848" i="137"/>
  <c r="P848" i="137"/>
  <c r="O848" i="137"/>
  <c r="N848" i="137"/>
  <c r="L848" i="137"/>
  <c r="K848" i="137"/>
  <c r="J848" i="137"/>
  <c r="I848" i="137"/>
  <c r="H848" i="137"/>
  <c r="G848" i="137"/>
  <c r="F848" i="137"/>
  <c r="E848" i="137"/>
  <c r="D848" i="137"/>
  <c r="R847" i="137"/>
  <c r="Q847" i="137"/>
  <c r="P847" i="137"/>
  <c r="O847" i="137"/>
  <c r="N847" i="137"/>
  <c r="L847" i="137"/>
  <c r="K847" i="137"/>
  <c r="J847" i="137"/>
  <c r="I847" i="137"/>
  <c r="H847" i="137"/>
  <c r="G847" i="137"/>
  <c r="F847" i="137"/>
  <c r="E847" i="137"/>
  <c r="D847" i="137"/>
  <c r="R846" i="137"/>
  <c r="Q846" i="137"/>
  <c r="P846" i="137"/>
  <c r="O846" i="137"/>
  <c r="N846" i="137"/>
  <c r="L846" i="137"/>
  <c r="K846" i="137"/>
  <c r="J846" i="137"/>
  <c r="I846" i="137"/>
  <c r="H846" i="137"/>
  <c r="G846" i="137"/>
  <c r="F846" i="137"/>
  <c r="E846" i="137"/>
  <c r="D846" i="137"/>
  <c r="R845" i="137"/>
  <c r="Q845" i="137"/>
  <c r="P845" i="137"/>
  <c r="O845" i="137"/>
  <c r="N845" i="137"/>
  <c r="L845" i="137"/>
  <c r="K845" i="137"/>
  <c r="J845" i="137"/>
  <c r="I845" i="137"/>
  <c r="H845" i="137"/>
  <c r="G845" i="137"/>
  <c r="F845" i="137"/>
  <c r="E845" i="137"/>
  <c r="D845" i="137"/>
  <c r="R844" i="137"/>
  <c r="Q844" i="137"/>
  <c r="P844" i="137"/>
  <c r="O844" i="137"/>
  <c r="N844" i="137"/>
  <c r="L844" i="137"/>
  <c r="K844" i="137"/>
  <c r="J844" i="137"/>
  <c r="I844" i="137"/>
  <c r="H844" i="137"/>
  <c r="G844" i="137"/>
  <c r="F844" i="137"/>
  <c r="E844" i="137"/>
  <c r="D844" i="137"/>
  <c r="R843" i="137"/>
  <c r="Q843" i="137"/>
  <c r="P843" i="137"/>
  <c r="O843" i="137"/>
  <c r="N843" i="137"/>
  <c r="L843" i="137"/>
  <c r="K843" i="137"/>
  <c r="J843" i="137"/>
  <c r="I843" i="137"/>
  <c r="H843" i="137"/>
  <c r="G843" i="137"/>
  <c r="F843" i="137"/>
  <c r="E843" i="137"/>
  <c r="D843" i="137"/>
  <c r="R842" i="137"/>
  <c r="Q842" i="137"/>
  <c r="P842" i="137"/>
  <c r="O842" i="137"/>
  <c r="N842" i="137"/>
  <c r="L842" i="137"/>
  <c r="K842" i="137"/>
  <c r="J842" i="137"/>
  <c r="I842" i="137"/>
  <c r="H842" i="137"/>
  <c r="G842" i="137"/>
  <c r="F842" i="137"/>
  <c r="E842" i="137"/>
  <c r="D842" i="137"/>
  <c r="R841" i="137"/>
  <c r="Q841" i="137"/>
  <c r="P841" i="137"/>
  <c r="O841" i="137"/>
  <c r="N841" i="137"/>
  <c r="L841" i="137"/>
  <c r="K841" i="137"/>
  <c r="J841" i="137"/>
  <c r="I841" i="137"/>
  <c r="H841" i="137"/>
  <c r="G841" i="137"/>
  <c r="F841" i="137"/>
  <c r="E841" i="137"/>
  <c r="D841" i="137"/>
  <c r="R840" i="137"/>
  <c r="Q840" i="137"/>
  <c r="P840" i="137"/>
  <c r="O840" i="137"/>
  <c r="N840" i="137"/>
  <c r="L840" i="137"/>
  <c r="K840" i="137"/>
  <c r="J840" i="137"/>
  <c r="I840" i="137"/>
  <c r="H840" i="137"/>
  <c r="G840" i="137"/>
  <c r="F840" i="137"/>
  <c r="E840" i="137"/>
  <c r="D840" i="137"/>
  <c r="R839" i="137"/>
  <c r="Q839" i="137"/>
  <c r="P839" i="137"/>
  <c r="O839" i="137"/>
  <c r="N839" i="137"/>
  <c r="L839" i="137"/>
  <c r="K839" i="137"/>
  <c r="J839" i="137"/>
  <c r="I839" i="137"/>
  <c r="H839" i="137"/>
  <c r="G839" i="137"/>
  <c r="F839" i="137"/>
  <c r="E839" i="137"/>
  <c r="D839" i="137"/>
  <c r="R838" i="137"/>
  <c r="Q838" i="137"/>
  <c r="P838" i="137"/>
  <c r="O838" i="137"/>
  <c r="N838" i="137"/>
  <c r="L838" i="137"/>
  <c r="K838" i="137"/>
  <c r="J838" i="137"/>
  <c r="I838" i="137"/>
  <c r="H838" i="137"/>
  <c r="G838" i="137"/>
  <c r="F838" i="137"/>
  <c r="E838" i="137"/>
  <c r="D838" i="137"/>
  <c r="R837" i="137"/>
  <c r="Q837" i="137"/>
  <c r="P837" i="137"/>
  <c r="O837" i="137"/>
  <c r="N837" i="137"/>
  <c r="L837" i="137"/>
  <c r="K837" i="137"/>
  <c r="J837" i="137"/>
  <c r="I837" i="137"/>
  <c r="H837" i="137"/>
  <c r="G837" i="137"/>
  <c r="F837" i="137"/>
  <c r="E837" i="137"/>
  <c r="D837" i="137"/>
  <c r="R836" i="137"/>
  <c r="Q836" i="137"/>
  <c r="P836" i="137"/>
  <c r="O836" i="137"/>
  <c r="N836" i="137"/>
  <c r="L836" i="137"/>
  <c r="K836" i="137"/>
  <c r="J836" i="137"/>
  <c r="I836" i="137"/>
  <c r="H836" i="137"/>
  <c r="G836" i="137"/>
  <c r="F836" i="137"/>
  <c r="E836" i="137"/>
  <c r="D836" i="137"/>
  <c r="R835" i="137"/>
  <c r="Q835" i="137"/>
  <c r="P835" i="137"/>
  <c r="O835" i="137"/>
  <c r="N835" i="137"/>
  <c r="L835" i="137"/>
  <c r="K835" i="137"/>
  <c r="J835" i="137"/>
  <c r="I835" i="137"/>
  <c r="H835" i="137"/>
  <c r="G835" i="137"/>
  <c r="F835" i="137"/>
  <c r="E835" i="137"/>
  <c r="D835" i="137"/>
  <c r="R834" i="137"/>
  <c r="Q834" i="137"/>
  <c r="P834" i="137"/>
  <c r="O834" i="137"/>
  <c r="N834" i="137"/>
  <c r="L834" i="137"/>
  <c r="K834" i="137"/>
  <c r="J834" i="137"/>
  <c r="I834" i="137"/>
  <c r="H834" i="137"/>
  <c r="G834" i="137"/>
  <c r="F834" i="137"/>
  <c r="E834" i="137"/>
  <c r="D834" i="137"/>
  <c r="R832" i="137"/>
  <c r="Q832" i="137"/>
  <c r="P832" i="137"/>
  <c r="O832" i="137"/>
  <c r="N832" i="137"/>
  <c r="L832" i="137"/>
  <c r="K832" i="137"/>
  <c r="J832" i="137"/>
  <c r="I832" i="137"/>
  <c r="H832" i="137"/>
  <c r="G832" i="137"/>
  <c r="F832" i="137"/>
  <c r="E832" i="137"/>
  <c r="D832" i="137"/>
  <c r="R831" i="137"/>
  <c r="Q831" i="137"/>
  <c r="P831" i="137"/>
  <c r="O831" i="137"/>
  <c r="N831" i="137"/>
  <c r="L831" i="137"/>
  <c r="K831" i="137"/>
  <c r="J831" i="137"/>
  <c r="I831" i="137"/>
  <c r="H831" i="137"/>
  <c r="G831" i="137"/>
  <c r="F831" i="137"/>
  <c r="E831" i="137"/>
  <c r="D831" i="137"/>
  <c r="R830" i="137"/>
  <c r="Q830" i="137"/>
  <c r="P830" i="137"/>
  <c r="O830" i="137"/>
  <c r="N830" i="137"/>
  <c r="L830" i="137"/>
  <c r="K830" i="137"/>
  <c r="J830" i="137"/>
  <c r="I830" i="137"/>
  <c r="H830" i="137"/>
  <c r="G830" i="137"/>
  <c r="F830" i="137"/>
  <c r="E830" i="137"/>
  <c r="D830" i="137"/>
  <c r="R829" i="137"/>
  <c r="Q829" i="137"/>
  <c r="P829" i="137"/>
  <c r="O829" i="137"/>
  <c r="N829" i="137"/>
  <c r="L829" i="137"/>
  <c r="K829" i="137"/>
  <c r="J829" i="137"/>
  <c r="I829" i="137"/>
  <c r="H829" i="137"/>
  <c r="G829" i="137"/>
  <c r="F829" i="137"/>
  <c r="E829" i="137"/>
  <c r="D829" i="137"/>
  <c r="R828" i="137"/>
  <c r="Q828" i="137"/>
  <c r="P828" i="137"/>
  <c r="O828" i="137"/>
  <c r="N828" i="137"/>
  <c r="L828" i="137"/>
  <c r="K828" i="137"/>
  <c r="J828" i="137"/>
  <c r="I828" i="137"/>
  <c r="H828" i="137"/>
  <c r="G828" i="137"/>
  <c r="F828" i="137"/>
  <c r="E828" i="137"/>
  <c r="D828" i="137"/>
  <c r="R827" i="137"/>
  <c r="Q827" i="137"/>
  <c r="P827" i="137"/>
  <c r="O827" i="137"/>
  <c r="N827" i="137"/>
  <c r="L827" i="137"/>
  <c r="K827" i="137"/>
  <c r="J827" i="137"/>
  <c r="I827" i="137"/>
  <c r="H827" i="137"/>
  <c r="G827" i="137"/>
  <c r="F827" i="137"/>
  <c r="E827" i="137"/>
  <c r="D827" i="137"/>
  <c r="R826" i="137"/>
  <c r="Q826" i="137"/>
  <c r="P826" i="137"/>
  <c r="O826" i="137"/>
  <c r="N826" i="137"/>
  <c r="L826" i="137"/>
  <c r="K826" i="137"/>
  <c r="J826" i="137"/>
  <c r="I826" i="137"/>
  <c r="H826" i="137"/>
  <c r="G826" i="137"/>
  <c r="F826" i="137"/>
  <c r="E826" i="137"/>
  <c r="D826" i="137"/>
  <c r="R825" i="137"/>
  <c r="Q825" i="137"/>
  <c r="P825" i="137"/>
  <c r="O825" i="137"/>
  <c r="N825" i="137"/>
  <c r="L825" i="137"/>
  <c r="K825" i="137"/>
  <c r="J825" i="137"/>
  <c r="I825" i="137"/>
  <c r="H825" i="137"/>
  <c r="G825" i="137"/>
  <c r="F825" i="137"/>
  <c r="E825" i="137"/>
  <c r="D825" i="137"/>
  <c r="R824" i="137"/>
  <c r="Q824" i="137"/>
  <c r="P824" i="137"/>
  <c r="O824" i="137"/>
  <c r="N824" i="137"/>
  <c r="L824" i="137"/>
  <c r="K824" i="137"/>
  <c r="J824" i="137"/>
  <c r="I824" i="137"/>
  <c r="H824" i="137"/>
  <c r="G824" i="137"/>
  <c r="F824" i="137"/>
  <c r="E824" i="137"/>
  <c r="D824" i="137"/>
  <c r="R823" i="137"/>
  <c r="Q823" i="137"/>
  <c r="P823" i="137"/>
  <c r="O823" i="137"/>
  <c r="N823" i="137"/>
  <c r="L823" i="137"/>
  <c r="K823" i="137"/>
  <c r="J823" i="137"/>
  <c r="I823" i="137"/>
  <c r="H823" i="137"/>
  <c r="G823" i="137"/>
  <c r="F823" i="137"/>
  <c r="E823" i="137"/>
  <c r="D823" i="137"/>
  <c r="R822" i="137"/>
  <c r="Q822" i="137"/>
  <c r="P822" i="137"/>
  <c r="O822" i="137"/>
  <c r="N822" i="137"/>
  <c r="L822" i="137"/>
  <c r="K822" i="137"/>
  <c r="J822" i="137"/>
  <c r="I822" i="137"/>
  <c r="H822" i="137"/>
  <c r="G822" i="137"/>
  <c r="F822" i="137"/>
  <c r="E822" i="137"/>
  <c r="D822" i="137"/>
  <c r="R820" i="137"/>
  <c r="Q820" i="137"/>
  <c r="P820" i="137"/>
  <c r="O820" i="137"/>
  <c r="N820" i="137"/>
  <c r="L820" i="137"/>
  <c r="K820" i="137"/>
  <c r="J820" i="137"/>
  <c r="I820" i="137"/>
  <c r="H820" i="137"/>
  <c r="G820" i="137"/>
  <c r="F820" i="137"/>
  <c r="E820" i="137"/>
  <c r="D820" i="137"/>
  <c r="R819" i="137"/>
  <c r="Q819" i="137"/>
  <c r="P819" i="137"/>
  <c r="O819" i="137"/>
  <c r="N819" i="137"/>
  <c r="L819" i="137"/>
  <c r="K819" i="137"/>
  <c r="J819" i="137"/>
  <c r="I819" i="137"/>
  <c r="H819" i="137"/>
  <c r="G819" i="137"/>
  <c r="F819" i="137"/>
  <c r="E819" i="137"/>
  <c r="D819" i="137"/>
  <c r="R815" i="137"/>
  <c r="Q815" i="137"/>
  <c r="P815" i="137"/>
  <c r="O815" i="137"/>
  <c r="N815" i="137"/>
  <c r="L815" i="137"/>
  <c r="K815" i="137"/>
  <c r="J815" i="137"/>
  <c r="I815" i="137"/>
  <c r="H815" i="137"/>
  <c r="G815" i="137"/>
  <c r="F815" i="137"/>
  <c r="E815" i="137"/>
  <c r="D815" i="137"/>
  <c r="R812" i="137"/>
  <c r="Q812" i="137"/>
  <c r="P812" i="137"/>
  <c r="O812" i="137"/>
  <c r="N812" i="137"/>
  <c r="L812" i="137"/>
  <c r="K812" i="137"/>
  <c r="J812" i="137"/>
  <c r="I812" i="137"/>
  <c r="H812" i="137"/>
  <c r="G812" i="137"/>
  <c r="F812" i="137"/>
  <c r="E812" i="137"/>
  <c r="D812" i="137"/>
  <c r="R810" i="137"/>
  <c r="Q810" i="137"/>
  <c r="P810" i="137"/>
  <c r="O810" i="137"/>
  <c r="N810" i="137"/>
  <c r="L810" i="137"/>
  <c r="K810" i="137"/>
  <c r="J810" i="137"/>
  <c r="I810" i="137"/>
  <c r="H810" i="137"/>
  <c r="G810" i="137"/>
  <c r="F810" i="137"/>
  <c r="E810" i="137"/>
  <c r="D810" i="137"/>
  <c r="R809" i="137"/>
  <c r="Q809" i="137"/>
  <c r="P809" i="137"/>
  <c r="O809" i="137"/>
  <c r="N809" i="137"/>
  <c r="L809" i="137"/>
  <c r="K809" i="137"/>
  <c r="J809" i="137"/>
  <c r="I809" i="137"/>
  <c r="H809" i="137"/>
  <c r="G809" i="137"/>
  <c r="F809" i="137"/>
  <c r="E809" i="137"/>
  <c r="D809" i="137"/>
  <c r="R803" i="137"/>
  <c r="Q803" i="137"/>
  <c r="P803" i="137"/>
  <c r="O803" i="137"/>
  <c r="N803" i="137"/>
  <c r="L803" i="137"/>
  <c r="K803" i="137"/>
  <c r="J803" i="137"/>
  <c r="I803" i="137"/>
  <c r="H803" i="137"/>
  <c r="G803" i="137"/>
  <c r="F803" i="137"/>
  <c r="E803" i="137"/>
  <c r="D803" i="137"/>
  <c r="R802" i="137"/>
  <c r="Q802" i="137"/>
  <c r="P802" i="137"/>
  <c r="O802" i="137"/>
  <c r="N802" i="137"/>
  <c r="L802" i="137"/>
  <c r="K802" i="137"/>
  <c r="J802" i="137"/>
  <c r="I802" i="137"/>
  <c r="H802" i="137"/>
  <c r="G802" i="137"/>
  <c r="F802" i="137"/>
  <c r="E802" i="137"/>
  <c r="D802" i="137"/>
  <c r="R801" i="137"/>
  <c r="Q801" i="137"/>
  <c r="P801" i="137"/>
  <c r="O801" i="137"/>
  <c r="N801" i="137"/>
  <c r="L801" i="137"/>
  <c r="K801" i="137"/>
  <c r="J801" i="137"/>
  <c r="I801" i="137"/>
  <c r="H801" i="137"/>
  <c r="G801" i="137"/>
  <c r="F801" i="137"/>
  <c r="E801" i="137"/>
  <c r="D801" i="137"/>
  <c r="R799" i="137"/>
  <c r="Q799" i="137"/>
  <c r="P799" i="137"/>
  <c r="O799" i="137"/>
  <c r="N799" i="137"/>
  <c r="L799" i="137"/>
  <c r="K799" i="137"/>
  <c r="J799" i="137"/>
  <c r="I799" i="137"/>
  <c r="H799" i="137"/>
  <c r="G799" i="137"/>
  <c r="F799" i="137"/>
  <c r="E799" i="137"/>
  <c r="D799" i="137"/>
  <c r="R798" i="137"/>
  <c r="Q798" i="137"/>
  <c r="P798" i="137"/>
  <c r="O798" i="137"/>
  <c r="N798" i="137"/>
  <c r="L798" i="137"/>
  <c r="K798" i="137"/>
  <c r="J798" i="137"/>
  <c r="I798" i="137"/>
  <c r="H798" i="137"/>
  <c r="G798" i="137"/>
  <c r="F798" i="137"/>
  <c r="E798" i="137"/>
  <c r="D798" i="137"/>
  <c r="R796" i="137"/>
  <c r="Q796" i="137"/>
  <c r="P796" i="137"/>
  <c r="O796" i="137"/>
  <c r="N796" i="137"/>
  <c r="L796" i="137"/>
  <c r="K796" i="137"/>
  <c r="J796" i="137"/>
  <c r="I796" i="137"/>
  <c r="H796" i="137"/>
  <c r="G796" i="137"/>
  <c r="F796" i="137"/>
  <c r="E796" i="137"/>
  <c r="D796" i="137"/>
  <c r="R795" i="137"/>
  <c r="Q795" i="137"/>
  <c r="P795" i="137"/>
  <c r="O795" i="137"/>
  <c r="N795" i="137"/>
  <c r="L795" i="137"/>
  <c r="K795" i="137"/>
  <c r="J795" i="137"/>
  <c r="I795" i="137"/>
  <c r="H795" i="137"/>
  <c r="G795" i="137"/>
  <c r="F795" i="137"/>
  <c r="E795" i="137"/>
  <c r="D795" i="137"/>
  <c r="R794" i="137"/>
  <c r="Q794" i="137"/>
  <c r="P794" i="137"/>
  <c r="O794" i="137"/>
  <c r="N794" i="137"/>
  <c r="L794" i="137"/>
  <c r="K794" i="137"/>
  <c r="J794" i="137"/>
  <c r="I794" i="137"/>
  <c r="H794" i="137"/>
  <c r="G794" i="137"/>
  <c r="F794" i="137"/>
  <c r="E794" i="137"/>
  <c r="D794" i="137"/>
  <c r="R793" i="137"/>
  <c r="Q793" i="137"/>
  <c r="P793" i="137"/>
  <c r="O793" i="137"/>
  <c r="N793" i="137"/>
  <c r="L793" i="137"/>
  <c r="K793" i="137"/>
  <c r="J793" i="137"/>
  <c r="I793" i="137"/>
  <c r="H793" i="137"/>
  <c r="G793" i="137"/>
  <c r="F793" i="137"/>
  <c r="E793" i="137"/>
  <c r="D793" i="137"/>
  <c r="R792" i="137"/>
  <c r="Q792" i="137"/>
  <c r="P792" i="137"/>
  <c r="O792" i="137"/>
  <c r="N792" i="137"/>
  <c r="L792" i="137"/>
  <c r="K792" i="137"/>
  <c r="J792" i="137"/>
  <c r="I792" i="137"/>
  <c r="H792" i="137"/>
  <c r="G792" i="137"/>
  <c r="F792" i="137"/>
  <c r="E792" i="137"/>
  <c r="D792" i="137"/>
  <c r="R791" i="137"/>
  <c r="Q791" i="137"/>
  <c r="P791" i="137"/>
  <c r="O791" i="137"/>
  <c r="N791" i="137"/>
  <c r="L791" i="137"/>
  <c r="K791" i="137"/>
  <c r="J791" i="137"/>
  <c r="I791" i="137"/>
  <c r="H791" i="137"/>
  <c r="G791" i="137"/>
  <c r="F791" i="137"/>
  <c r="E791" i="137"/>
  <c r="D791" i="137"/>
  <c r="R790" i="137"/>
  <c r="Q790" i="137"/>
  <c r="P790" i="137"/>
  <c r="O790" i="137"/>
  <c r="N790" i="137"/>
  <c r="L790" i="137"/>
  <c r="K790" i="137"/>
  <c r="J790" i="137"/>
  <c r="I790" i="137"/>
  <c r="H790" i="137"/>
  <c r="G790" i="137"/>
  <c r="F790" i="137"/>
  <c r="E790" i="137"/>
  <c r="D790" i="137"/>
  <c r="R789" i="137"/>
  <c r="Q789" i="137"/>
  <c r="P789" i="137"/>
  <c r="O789" i="137"/>
  <c r="N789" i="137"/>
  <c r="L789" i="137"/>
  <c r="K789" i="137"/>
  <c r="J789" i="137"/>
  <c r="I789" i="137"/>
  <c r="H789" i="137"/>
  <c r="G789" i="137"/>
  <c r="F789" i="137"/>
  <c r="E789" i="137"/>
  <c r="D789" i="137"/>
  <c r="R788" i="137"/>
  <c r="Q788" i="137"/>
  <c r="P788" i="137"/>
  <c r="O788" i="137"/>
  <c r="N788" i="137"/>
  <c r="L788" i="137"/>
  <c r="K788" i="137"/>
  <c r="J788" i="137"/>
  <c r="I788" i="137"/>
  <c r="H788" i="137"/>
  <c r="G788" i="137"/>
  <c r="F788" i="137"/>
  <c r="E788" i="137"/>
  <c r="D788" i="137"/>
  <c r="R787" i="137"/>
  <c r="Q787" i="137"/>
  <c r="P787" i="137"/>
  <c r="O787" i="137"/>
  <c r="N787" i="137"/>
  <c r="L787" i="137"/>
  <c r="K787" i="137"/>
  <c r="J787" i="137"/>
  <c r="I787" i="137"/>
  <c r="H787" i="137"/>
  <c r="G787" i="137"/>
  <c r="F787" i="137"/>
  <c r="E787" i="137"/>
  <c r="D787" i="137"/>
  <c r="R786" i="137"/>
  <c r="Q786" i="137"/>
  <c r="P786" i="137"/>
  <c r="O786" i="137"/>
  <c r="N786" i="137"/>
  <c r="L786" i="137"/>
  <c r="K786" i="137"/>
  <c r="J786" i="137"/>
  <c r="I786" i="137"/>
  <c r="H786" i="137"/>
  <c r="G786" i="137"/>
  <c r="F786" i="137"/>
  <c r="E786" i="137"/>
  <c r="D786" i="137"/>
  <c r="R784" i="137"/>
  <c r="Q784" i="137"/>
  <c r="P784" i="137"/>
  <c r="O784" i="137"/>
  <c r="N784" i="137"/>
  <c r="L784" i="137"/>
  <c r="K784" i="137"/>
  <c r="J784" i="137"/>
  <c r="I784" i="137"/>
  <c r="H784" i="137"/>
  <c r="G784" i="137"/>
  <c r="F784" i="137"/>
  <c r="E784" i="137"/>
  <c r="D784" i="137"/>
  <c r="R782" i="137"/>
  <c r="Q782" i="137"/>
  <c r="P782" i="137"/>
  <c r="O782" i="137"/>
  <c r="N782" i="137"/>
  <c r="L782" i="137"/>
  <c r="K782" i="137"/>
  <c r="J782" i="137"/>
  <c r="I782" i="137"/>
  <c r="H782" i="137"/>
  <c r="G782" i="137"/>
  <c r="F782" i="137"/>
  <c r="E782" i="137"/>
  <c r="D782" i="137"/>
  <c r="R781" i="137"/>
  <c r="Q781" i="137"/>
  <c r="P781" i="137"/>
  <c r="O781" i="137"/>
  <c r="N781" i="137"/>
  <c r="L781" i="137"/>
  <c r="K781" i="137"/>
  <c r="J781" i="137"/>
  <c r="I781" i="137"/>
  <c r="H781" i="137"/>
  <c r="G781" i="137"/>
  <c r="F781" i="137"/>
  <c r="E781" i="137"/>
  <c r="D781" i="137"/>
  <c r="R779" i="137"/>
  <c r="Q779" i="137"/>
  <c r="P779" i="137"/>
  <c r="O779" i="137"/>
  <c r="N779" i="137"/>
  <c r="L779" i="137"/>
  <c r="K779" i="137"/>
  <c r="J779" i="137"/>
  <c r="I779" i="137"/>
  <c r="H779" i="137"/>
  <c r="G779" i="137"/>
  <c r="F779" i="137"/>
  <c r="E779" i="137"/>
  <c r="D779" i="137"/>
  <c r="R778" i="137"/>
  <c r="Q778" i="137"/>
  <c r="P778" i="137"/>
  <c r="O778" i="137"/>
  <c r="N778" i="137"/>
  <c r="L778" i="137"/>
  <c r="K778" i="137"/>
  <c r="J778" i="137"/>
  <c r="I778" i="137"/>
  <c r="H778" i="137"/>
  <c r="G778" i="137"/>
  <c r="F778" i="137"/>
  <c r="E778" i="137"/>
  <c r="D778" i="137"/>
  <c r="R776" i="137"/>
  <c r="Q776" i="137"/>
  <c r="P776" i="137"/>
  <c r="O776" i="137"/>
  <c r="N776" i="137"/>
  <c r="L776" i="137"/>
  <c r="K776" i="137"/>
  <c r="J776" i="137"/>
  <c r="I776" i="137"/>
  <c r="H776" i="137"/>
  <c r="G776" i="137"/>
  <c r="F776" i="137"/>
  <c r="E776" i="137"/>
  <c r="D776" i="137"/>
  <c r="R775" i="137"/>
  <c r="Q775" i="137"/>
  <c r="P775" i="137"/>
  <c r="O775" i="137"/>
  <c r="N775" i="137"/>
  <c r="L775" i="137"/>
  <c r="K775" i="137"/>
  <c r="J775" i="137"/>
  <c r="I775" i="137"/>
  <c r="H775" i="137"/>
  <c r="G775" i="137"/>
  <c r="F775" i="137"/>
  <c r="E775" i="137"/>
  <c r="D775" i="137"/>
  <c r="R774" i="137"/>
  <c r="Q774" i="137"/>
  <c r="P774" i="137"/>
  <c r="O774" i="137"/>
  <c r="N774" i="137"/>
  <c r="L774" i="137"/>
  <c r="K774" i="137"/>
  <c r="J774" i="137"/>
  <c r="I774" i="137"/>
  <c r="H774" i="137"/>
  <c r="G774" i="137"/>
  <c r="F774" i="137"/>
  <c r="E774" i="137"/>
  <c r="D774" i="137"/>
  <c r="R773" i="137"/>
  <c r="Q773" i="137"/>
  <c r="P773" i="137"/>
  <c r="O773" i="137"/>
  <c r="N773" i="137"/>
  <c r="L773" i="137"/>
  <c r="K773" i="137"/>
  <c r="J773" i="137"/>
  <c r="I773" i="137"/>
  <c r="H773" i="137"/>
  <c r="G773" i="137"/>
  <c r="F773" i="137"/>
  <c r="E773" i="137"/>
  <c r="D773" i="137"/>
  <c r="R772" i="137"/>
  <c r="Q772" i="137"/>
  <c r="P772" i="137"/>
  <c r="O772" i="137"/>
  <c r="N772" i="137"/>
  <c r="L772" i="137"/>
  <c r="K772" i="137"/>
  <c r="J772" i="137"/>
  <c r="I772" i="137"/>
  <c r="H772" i="137"/>
  <c r="G772" i="137"/>
  <c r="F772" i="137"/>
  <c r="E772" i="137"/>
  <c r="D772" i="137"/>
  <c r="R771" i="137"/>
  <c r="Q771" i="137"/>
  <c r="P771" i="137"/>
  <c r="O771" i="137"/>
  <c r="N771" i="137"/>
  <c r="L771" i="137"/>
  <c r="K771" i="137"/>
  <c r="J771" i="137"/>
  <c r="I771" i="137"/>
  <c r="H771" i="137"/>
  <c r="G771" i="137"/>
  <c r="F771" i="137"/>
  <c r="E771" i="137"/>
  <c r="D771" i="137"/>
  <c r="R770" i="137"/>
  <c r="Q770" i="137"/>
  <c r="P770" i="137"/>
  <c r="O770" i="137"/>
  <c r="N770" i="137"/>
  <c r="L770" i="137"/>
  <c r="K770" i="137"/>
  <c r="J770" i="137"/>
  <c r="I770" i="137"/>
  <c r="H770" i="137"/>
  <c r="G770" i="137"/>
  <c r="F770" i="137"/>
  <c r="E770" i="137"/>
  <c r="D770" i="137"/>
  <c r="R769" i="137"/>
  <c r="Q769" i="137"/>
  <c r="P769" i="137"/>
  <c r="O769" i="137"/>
  <c r="N769" i="137"/>
  <c r="L769" i="137"/>
  <c r="K769" i="137"/>
  <c r="J769" i="137"/>
  <c r="I769" i="137"/>
  <c r="H769" i="137"/>
  <c r="G769" i="137"/>
  <c r="F769" i="137"/>
  <c r="E769" i="137"/>
  <c r="D769" i="137"/>
  <c r="R766" i="137"/>
  <c r="Q766" i="137"/>
  <c r="P766" i="137"/>
  <c r="O766" i="137"/>
  <c r="N766" i="137"/>
  <c r="L766" i="137"/>
  <c r="K766" i="137"/>
  <c r="J766" i="137"/>
  <c r="I766" i="137"/>
  <c r="H766" i="137"/>
  <c r="G766" i="137"/>
  <c r="F766" i="137"/>
  <c r="E766" i="137"/>
  <c r="D766" i="137"/>
  <c r="R758" i="137"/>
  <c r="Q758" i="137"/>
  <c r="P758" i="137"/>
  <c r="O758" i="137"/>
  <c r="N758" i="137"/>
  <c r="L758" i="137"/>
  <c r="K758" i="137"/>
  <c r="J758" i="137"/>
  <c r="I758" i="137"/>
  <c r="H758" i="137"/>
  <c r="G758" i="137"/>
  <c r="F758" i="137"/>
  <c r="E758" i="137"/>
  <c r="D758" i="137"/>
  <c r="R757" i="137"/>
  <c r="Q757" i="137"/>
  <c r="P757" i="137"/>
  <c r="O757" i="137"/>
  <c r="N757" i="137"/>
  <c r="L757" i="137"/>
  <c r="K757" i="137"/>
  <c r="J757" i="137"/>
  <c r="I757" i="137"/>
  <c r="H757" i="137"/>
  <c r="G757" i="137"/>
  <c r="F757" i="137"/>
  <c r="E757" i="137"/>
  <c r="D757" i="137"/>
  <c r="R756" i="137"/>
  <c r="Q756" i="137"/>
  <c r="P756" i="137"/>
  <c r="O756" i="137"/>
  <c r="N756" i="137"/>
  <c r="L756" i="137"/>
  <c r="K756" i="137"/>
  <c r="J756" i="137"/>
  <c r="I756" i="137"/>
  <c r="H756" i="137"/>
  <c r="G756" i="137"/>
  <c r="F756" i="137"/>
  <c r="E756" i="137"/>
  <c r="D756" i="137"/>
  <c r="R755" i="137"/>
  <c r="Q755" i="137"/>
  <c r="P755" i="137"/>
  <c r="O755" i="137"/>
  <c r="N755" i="137"/>
  <c r="L755" i="137"/>
  <c r="K755" i="137"/>
  <c r="J755" i="137"/>
  <c r="I755" i="137"/>
  <c r="H755" i="137"/>
  <c r="G755" i="137"/>
  <c r="F755" i="137"/>
  <c r="E755" i="137"/>
  <c r="D755" i="137"/>
  <c r="R754" i="137"/>
  <c r="Q754" i="137"/>
  <c r="P754" i="137"/>
  <c r="O754" i="137"/>
  <c r="N754" i="137"/>
  <c r="L754" i="137"/>
  <c r="K754" i="137"/>
  <c r="J754" i="137"/>
  <c r="I754" i="137"/>
  <c r="H754" i="137"/>
  <c r="G754" i="137"/>
  <c r="F754" i="137"/>
  <c r="E754" i="137"/>
  <c r="D754" i="137"/>
  <c r="R753" i="137"/>
  <c r="Q753" i="137"/>
  <c r="P753" i="137"/>
  <c r="O753" i="137"/>
  <c r="N753" i="137"/>
  <c r="L753" i="137"/>
  <c r="K753" i="137"/>
  <c r="J753" i="137"/>
  <c r="I753" i="137"/>
  <c r="H753" i="137"/>
  <c r="G753" i="137"/>
  <c r="F753" i="137"/>
  <c r="E753" i="137"/>
  <c r="D753" i="137"/>
  <c r="R751" i="137"/>
  <c r="Q751" i="137"/>
  <c r="P751" i="137"/>
  <c r="O751" i="137"/>
  <c r="N751" i="137"/>
  <c r="L751" i="137"/>
  <c r="K751" i="137"/>
  <c r="J751" i="137"/>
  <c r="I751" i="137"/>
  <c r="H751" i="137"/>
  <c r="G751" i="137"/>
  <c r="F751" i="137"/>
  <c r="E751" i="137"/>
  <c r="D751" i="137"/>
  <c r="R750" i="137"/>
  <c r="Q750" i="137"/>
  <c r="P750" i="137"/>
  <c r="O750" i="137"/>
  <c r="N750" i="137"/>
  <c r="L750" i="137"/>
  <c r="K750" i="137"/>
  <c r="J750" i="137"/>
  <c r="I750" i="137"/>
  <c r="H750" i="137"/>
  <c r="G750" i="137"/>
  <c r="F750" i="137"/>
  <c r="E750" i="137"/>
  <c r="D750" i="137"/>
  <c r="R749" i="137"/>
  <c r="Q749" i="137"/>
  <c r="P749" i="137"/>
  <c r="O749" i="137"/>
  <c r="N749" i="137"/>
  <c r="L749" i="137"/>
  <c r="K749" i="137"/>
  <c r="J749" i="137"/>
  <c r="I749" i="137"/>
  <c r="H749" i="137"/>
  <c r="G749" i="137"/>
  <c r="F749" i="137"/>
  <c r="E749" i="137"/>
  <c r="D749" i="137"/>
  <c r="R748" i="137"/>
  <c r="Q748" i="137"/>
  <c r="P748" i="137"/>
  <c r="O748" i="137"/>
  <c r="N748" i="137"/>
  <c r="L748" i="137"/>
  <c r="K748" i="137"/>
  <c r="J748" i="137"/>
  <c r="I748" i="137"/>
  <c r="H748" i="137"/>
  <c r="G748" i="137"/>
  <c r="F748" i="137"/>
  <c r="E748" i="137"/>
  <c r="D748" i="137"/>
  <c r="R747" i="137"/>
  <c r="Q747" i="137"/>
  <c r="P747" i="137"/>
  <c r="O747" i="137"/>
  <c r="N747" i="137"/>
  <c r="L747" i="137"/>
  <c r="K747" i="137"/>
  <c r="J747" i="137"/>
  <c r="I747" i="137"/>
  <c r="H747" i="137"/>
  <c r="G747" i="137"/>
  <c r="F747" i="137"/>
  <c r="E747" i="137"/>
  <c r="D747" i="137"/>
  <c r="R746" i="137"/>
  <c r="Q746" i="137"/>
  <c r="P746" i="137"/>
  <c r="O746" i="137"/>
  <c r="N746" i="137"/>
  <c r="L746" i="137"/>
  <c r="K746" i="137"/>
  <c r="J746" i="137"/>
  <c r="I746" i="137"/>
  <c r="H746" i="137"/>
  <c r="G746" i="137"/>
  <c r="F746" i="137"/>
  <c r="E746" i="137"/>
  <c r="D746" i="137"/>
  <c r="R745" i="137"/>
  <c r="Q745" i="137"/>
  <c r="P745" i="137"/>
  <c r="O745" i="137"/>
  <c r="N745" i="137"/>
  <c r="L745" i="137"/>
  <c r="K745" i="137"/>
  <c r="J745" i="137"/>
  <c r="I745" i="137"/>
  <c r="H745" i="137"/>
  <c r="G745" i="137"/>
  <c r="F745" i="137"/>
  <c r="E745" i="137"/>
  <c r="D745" i="137"/>
  <c r="R744" i="137"/>
  <c r="Q744" i="137"/>
  <c r="P744" i="137"/>
  <c r="O744" i="137"/>
  <c r="N744" i="137"/>
  <c r="L744" i="137"/>
  <c r="K744" i="137"/>
  <c r="J744" i="137"/>
  <c r="I744" i="137"/>
  <c r="H744" i="137"/>
  <c r="G744" i="137"/>
  <c r="F744" i="137"/>
  <c r="E744" i="137"/>
  <c r="D744" i="137"/>
  <c r="R742" i="137"/>
  <c r="Q742" i="137"/>
  <c r="P742" i="137"/>
  <c r="O742" i="137"/>
  <c r="N742" i="137"/>
  <c r="L742" i="137"/>
  <c r="K742" i="137"/>
  <c r="J742" i="137"/>
  <c r="I742" i="137"/>
  <c r="H742" i="137"/>
  <c r="G742" i="137"/>
  <c r="F742" i="137"/>
  <c r="E742" i="137"/>
  <c r="D742" i="137"/>
  <c r="R741" i="137"/>
  <c r="Q741" i="137"/>
  <c r="P741" i="137"/>
  <c r="O741" i="137"/>
  <c r="N741" i="137"/>
  <c r="L741" i="137"/>
  <c r="K741" i="137"/>
  <c r="J741" i="137"/>
  <c r="I741" i="137"/>
  <c r="H741" i="137"/>
  <c r="G741" i="137"/>
  <c r="F741" i="137"/>
  <c r="E741" i="137"/>
  <c r="D741" i="137"/>
  <c r="R738" i="137"/>
  <c r="Q738" i="137"/>
  <c r="P738" i="137"/>
  <c r="O738" i="137"/>
  <c r="N738" i="137"/>
  <c r="L738" i="137"/>
  <c r="K738" i="137"/>
  <c r="J738" i="137"/>
  <c r="I738" i="137"/>
  <c r="H738" i="137"/>
  <c r="G738" i="137"/>
  <c r="F738" i="137"/>
  <c r="E738" i="137"/>
  <c r="D738" i="137"/>
  <c r="R736" i="137"/>
  <c r="Q736" i="137"/>
  <c r="P736" i="137"/>
  <c r="O736" i="137"/>
  <c r="N736" i="137"/>
  <c r="L736" i="137"/>
  <c r="K736" i="137"/>
  <c r="J736" i="137"/>
  <c r="I736" i="137"/>
  <c r="H736" i="137"/>
  <c r="G736" i="137"/>
  <c r="F736" i="137"/>
  <c r="E736" i="137"/>
  <c r="D736" i="137"/>
  <c r="R735" i="137"/>
  <c r="Q735" i="137"/>
  <c r="P735" i="137"/>
  <c r="O735" i="137"/>
  <c r="N735" i="137"/>
  <c r="L735" i="137"/>
  <c r="K735" i="137"/>
  <c r="J735" i="137"/>
  <c r="I735" i="137"/>
  <c r="H735" i="137"/>
  <c r="G735" i="137"/>
  <c r="F735" i="137"/>
  <c r="E735" i="137"/>
  <c r="D735" i="137"/>
  <c r="R734" i="137"/>
  <c r="Q734" i="137"/>
  <c r="P734" i="137"/>
  <c r="O734" i="137"/>
  <c r="N734" i="137"/>
  <c r="L734" i="137"/>
  <c r="K734" i="137"/>
  <c r="J734" i="137"/>
  <c r="I734" i="137"/>
  <c r="H734" i="137"/>
  <c r="G734" i="137"/>
  <c r="F734" i="137"/>
  <c r="E734" i="137"/>
  <c r="D734" i="137"/>
  <c r="R733" i="137"/>
  <c r="Q733" i="137"/>
  <c r="P733" i="137"/>
  <c r="O733" i="137"/>
  <c r="N733" i="137"/>
  <c r="L733" i="137"/>
  <c r="K733" i="137"/>
  <c r="J733" i="137"/>
  <c r="I733" i="137"/>
  <c r="H733" i="137"/>
  <c r="G733" i="137"/>
  <c r="F733" i="137"/>
  <c r="E733" i="137"/>
  <c r="D733" i="137"/>
  <c r="R732" i="137"/>
  <c r="Q732" i="137"/>
  <c r="P732" i="137"/>
  <c r="O732" i="137"/>
  <c r="N732" i="137"/>
  <c r="L732" i="137"/>
  <c r="K732" i="137"/>
  <c r="J732" i="137"/>
  <c r="I732" i="137"/>
  <c r="H732" i="137"/>
  <c r="G732" i="137"/>
  <c r="F732" i="137"/>
  <c r="E732" i="137"/>
  <c r="D732" i="137"/>
  <c r="R731" i="137"/>
  <c r="Q731" i="137"/>
  <c r="P731" i="137"/>
  <c r="O731" i="137"/>
  <c r="N731" i="137"/>
  <c r="L731" i="137"/>
  <c r="K731" i="137"/>
  <c r="J731" i="137"/>
  <c r="I731" i="137"/>
  <c r="H731" i="137"/>
  <c r="G731" i="137"/>
  <c r="F731" i="137"/>
  <c r="E731" i="137"/>
  <c r="D731" i="137"/>
  <c r="R730" i="137"/>
  <c r="Q730" i="137"/>
  <c r="P730" i="137"/>
  <c r="O730" i="137"/>
  <c r="N730" i="137"/>
  <c r="L730" i="137"/>
  <c r="K730" i="137"/>
  <c r="J730" i="137"/>
  <c r="I730" i="137"/>
  <c r="H730" i="137"/>
  <c r="G730" i="137"/>
  <c r="F730" i="137"/>
  <c r="E730" i="137"/>
  <c r="D730" i="137"/>
  <c r="R729" i="137"/>
  <c r="Q729" i="137"/>
  <c r="P729" i="137"/>
  <c r="O729" i="137"/>
  <c r="N729" i="137"/>
  <c r="L729" i="137"/>
  <c r="K729" i="137"/>
  <c r="J729" i="137"/>
  <c r="I729" i="137"/>
  <c r="H729" i="137"/>
  <c r="G729" i="137"/>
  <c r="F729" i="137"/>
  <c r="E729" i="137"/>
  <c r="D729" i="137"/>
  <c r="R728" i="137"/>
  <c r="Q728" i="137"/>
  <c r="P728" i="137"/>
  <c r="O728" i="137"/>
  <c r="N728" i="137"/>
  <c r="L728" i="137"/>
  <c r="K728" i="137"/>
  <c r="J728" i="137"/>
  <c r="I728" i="137"/>
  <c r="H728" i="137"/>
  <c r="G728" i="137"/>
  <c r="F728" i="137"/>
  <c r="E728" i="137"/>
  <c r="D728" i="137"/>
  <c r="R727" i="137"/>
  <c r="Q727" i="137"/>
  <c r="P727" i="137"/>
  <c r="O727" i="137"/>
  <c r="N727" i="137"/>
  <c r="L727" i="137"/>
  <c r="K727" i="137"/>
  <c r="J727" i="137"/>
  <c r="I727" i="137"/>
  <c r="H727" i="137"/>
  <c r="G727" i="137"/>
  <c r="F727" i="137"/>
  <c r="E727" i="137"/>
  <c r="D727" i="137"/>
  <c r="R726" i="137"/>
  <c r="Q726" i="137"/>
  <c r="P726" i="137"/>
  <c r="O726" i="137"/>
  <c r="N726" i="137"/>
  <c r="L726" i="137"/>
  <c r="K726" i="137"/>
  <c r="J726" i="137"/>
  <c r="I726" i="137"/>
  <c r="H726" i="137"/>
  <c r="G726" i="137"/>
  <c r="F726" i="137"/>
  <c r="E726" i="137"/>
  <c r="D726" i="137"/>
  <c r="R723" i="137"/>
  <c r="Q723" i="137"/>
  <c r="P723" i="137"/>
  <c r="O723" i="137"/>
  <c r="N723" i="137"/>
  <c r="L723" i="137"/>
  <c r="K723" i="137"/>
  <c r="J723" i="137"/>
  <c r="I723" i="137"/>
  <c r="H723" i="137"/>
  <c r="G723" i="137"/>
  <c r="F723" i="137"/>
  <c r="E723" i="137"/>
  <c r="D723" i="137"/>
  <c r="R722" i="137"/>
  <c r="Q722" i="137"/>
  <c r="P722" i="137"/>
  <c r="O722" i="137"/>
  <c r="N722" i="137"/>
  <c r="L722" i="137"/>
  <c r="K722" i="137"/>
  <c r="J722" i="137"/>
  <c r="I722" i="137"/>
  <c r="H722" i="137"/>
  <c r="G722" i="137"/>
  <c r="F722" i="137"/>
  <c r="E722" i="137"/>
  <c r="D722" i="137"/>
  <c r="R721" i="137"/>
  <c r="Q721" i="137"/>
  <c r="P721" i="137"/>
  <c r="O721" i="137"/>
  <c r="N721" i="137"/>
  <c r="L721" i="137"/>
  <c r="K721" i="137"/>
  <c r="J721" i="137"/>
  <c r="I721" i="137"/>
  <c r="H721" i="137"/>
  <c r="G721" i="137"/>
  <c r="F721" i="137"/>
  <c r="E721" i="137"/>
  <c r="D721" i="137"/>
  <c r="R719" i="137"/>
  <c r="Q719" i="137"/>
  <c r="P719" i="137"/>
  <c r="O719" i="137"/>
  <c r="N719" i="137"/>
  <c r="L719" i="137"/>
  <c r="K719" i="137"/>
  <c r="J719" i="137"/>
  <c r="I719" i="137"/>
  <c r="H719" i="137"/>
  <c r="G719" i="137"/>
  <c r="F719" i="137"/>
  <c r="E719" i="137"/>
  <c r="D719" i="137"/>
  <c r="R718" i="137"/>
  <c r="Q718" i="137"/>
  <c r="P718" i="137"/>
  <c r="O718" i="137"/>
  <c r="N718" i="137"/>
  <c r="L718" i="137"/>
  <c r="K718" i="137"/>
  <c r="J718" i="137"/>
  <c r="I718" i="137"/>
  <c r="H718" i="137"/>
  <c r="G718" i="137"/>
  <c r="F718" i="137"/>
  <c r="E718" i="137"/>
  <c r="D718" i="137"/>
  <c r="R716" i="137"/>
  <c r="Q716" i="137"/>
  <c r="P716" i="137"/>
  <c r="O716" i="137"/>
  <c r="N716" i="137"/>
  <c r="L716" i="137"/>
  <c r="K716" i="137"/>
  <c r="J716" i="137"/>
  <c r="I716" i="137"/>
  <c r="H716" i="137"/>
  <c r="G716" i="137"/>
  <c r="F716" i="137"/>
  <c r="E716" i="137"/>
  <c r="D716" i="137"/>
  <c r="R714" i="137"/>
  <c r="Q714" i="137"/>
  <c r="P714" i="137"/>
  <c r="O714" i="137"/>
  <c r="N714" i="137"/>
  <c r="L714" i="137"/>
  <c r="K714" i="137"/>
  <c r="J714" i="137"/>
  <c r="I714" i="137"/>
  <c r="H714" i="137"/>
  <c r="G714" i="137"/>
  <c r="F714" i="137"/>
  <c r="E714" i="137"/>
  <c r="D714" i="137"/>
  <c r="R712" i="137"/>
  <c r="Q712" i="137"/>
  <c r="P712" i="137"/>
  <c r="O712" i="137"/>
  <c r="N712" i="137"/>
  <c r="L712" i="137"/>
  <c r="K712" i="137"/>
  <c r="J712" i="137"/>
  <c r="I712" i="137"/>
  <c r="H712" i="137"/>
  <c r="G712" i="137"/>
  <c r="F712" i="137"/>
  <c r="E712" i="137"/>
  <c r="D712" i="137"/>
  <c r="R711" i="137"/>
  <c r="Q711" i="137"/>
  <c r="P711" i="137"/>
  <c r="O711" i="137"/>
  <c r="N711" i="137"/>
  <c r="L711" i="137"/>
  <c r="K711" i="137"/>
  <c r="J711" i="137"/>
  <c r="I711" i="137"/>
  <c r="H711" i="137"/>
  <c r="G711" i="137"/>
  <c r="F711" i="137"/>
  <c r="E711" i="137"/>
  <c r="D711" i="137"/>
  <c r="R710" i="137"/>
  <c r="Q710" i="137"/>
  <c r="P710" i="137"/>
  <c r="O710" i="137"/>
  <c r="N710" i="137"/>
  <c r="L710" i="137"/>
  <c r="K710" i="137"/>
  <c r="J710" i="137"/>
  <c r="I710" i="137"/>
  <c r="H710" i="137"/>
  <c r="G710" i="137"/>
  <c r="F710" i="137"/>
  <c r="E710" i="137"/>
  <c r="D710" i="137"/>
  <c r="R709" i="137"/>
  <c r="Q709" i="137"/>
  <c r="P709" i="137"/>
  <c r="O709" i="137"/>
  <c r="N709" i="137"/>
  <c r="L709" i="137"/>
  <c r="K709" i="137"/>
  <c r="J709" i="137"/>
  <c r="I709" i="137"/>
  <c r="H709" i="137"/>
  <c r="G709" i="137"/>
  <c r="F709" i="137"/>
  <c r="E709" i="137"/>
  <c r="D709" i="137"/>
  <c r="R708" i="137"/>
  <c r="Q708" i="137"/>
  <c r="P708" i="137"/>
  <c r="O708" i="137"/>
  <c r="N708" i="137"/>
  <c r="L708" i="137"/>
  <c r="K708" i="137"/>
  <c r="J708" i="137"/>
  <c r="I708" i="137"/>
  <c r="H708" i="137"/>
  <c r="G708" i="137"/>
  <c r="F708" i="137"/>
  <c r="E708" i="137"/>
  <c r="D708" i="137"/>
  <c r="R707" i="137"/>
  <c r="Q707" i="137"/>
  <c r="P707" i="137"/>
  <c r="O707" i="137"/>
  <c r="N707" i="137"/>
  <c r="L707" i="137"/>
  <c r="K707" i="137"/>
  <c r="J707" i="137"/>
  <c r="I707" i="137"/>
  <c r="H707" i="137"/>
  <c r="G707" i="137"/>
  <c r="F707" i="137"/>
  <c r="E707" i="137"/>
  <c r="D707" i="137"/>
  <c r="R706" i="137"/>
  <c r="Q706" i="137"/>
  <c r="P706" i="137"/>
  <c r="O706" i="137"/>
  <c r="N706" i="137"/>
  <c r="L706" i="137"/>
  <c r="K706" i="137"/>
  <c r="J706" i="137"/>
  <c r="I706" i="137"/>
  <c r="H706" i="137"/>
  <c r="G706" i="137"/>
  <c r="F706" i="137"/>
  <c r="E706" i="137"/>
  <c r="D706" i="137"/>
  <c r="R705" i="137"/>
  <c r="Q705" i="137"/>
  <c r="P705" i="137"/>
  <c r="O705" i="137"/>
  <c r="N705" i="137"/>
  <c r="L705" i="137"/>
  <c r="K705" i="137"/>
  <c r="J705" i="137"/>
  <c r="I705" i="137"/>
  <c r="H705" i="137"/>
  <c r="G705" i="137"/>
  <c r="F705" i="137"/>
  <c r="E705" i="137"/>
  <c r="D705" i="137"/>
  <c r="R704" i="137"/>
  <c r="Q704" i="137"/>
  <c r="P704" i="137"/>
  <c r="O704" i="137"/>
  <c r="N704" i="137"/>
  <c r="L704" i="137"/>
  <c r="K704" i="137"/>
  <c r="J704" i="137"/>
  <c r="I704" i="137"/>
  <c r="H704" i="137"/>
  <c r="G704" i="137"/>
  <c r="F704" i="137"/>
  <c r="E704" i="137"/>
  <c r="D704" i="137"/>
  <c r="R703" i="137"/>
  <c r="Q703" i="137"/>
  <c r="P703" i="137"/>
  <c r="O703" i="137"/>
  <c r="N703" i="137"/>
  <c r="L703" i="137"/>
  <c r="K703" i="137"/>
  <c r="J703" i="137"/>
  <c r="I703" i="137"/>
  <c r="H703" i="137"/>
  <c r="G703" i="137"/>
  <c r="F703" i="137"/>
  <c r="E703" i="137"/>
  <c r="D703" i="137"/>
  <c r="R702" i="137"/>
  <c r="Q702" i="137"/>
  <c r="P702" i="137"/>
  <c r="O702" i="137"/>
  <c r="N702" i="137"/>
  <c r="L702" i="137"/>
  <c r="K702" i="137"/>
  <c r="J702" i="137"/>
  <c r="I702" i="137"/>
  <c r="H702" i="137"/>
  <c r="G702" i="137"/>
  <c r="F702" i="137"/>
  <c r="E702" i="137"/>
  <c r="D702" i="137"/>
  <c r="R701" i="137"/>
  <c r="Q701" i="137"/>
  <c r="P701" i="137"/>
  <c r="O701" i="137"/>
  <c r="N701" i="137"/>
  <c r="L701" i="137"/>
  <c r="K701" i="137"/>
  <c r="J701" i="137"/>
  <c r="I701" i="137"/>
  <c r="H701" i="137"/>
  <c r="G701" i="137"/>
  <c r="F701" i="137"/>
  <c r="E701" i="137"/>
  <c r="D701" i="137"/>
  <c r="R700" i="137"/>
  <c r="Q700" i="137"/>
  <c r="P700" i="137"/>
  <c r="O700" i="137"/>
  <c r="N700" i="137"/>
  <c r="L700" i="137"/>
  <c r="K700" i="137"/>
  <c r="J700" i="137"/>
  <c r="I700" i="137"/>
  <c r="H700" i="137"/>
  <c r="G700" i="137"/>
  <c r="F700" i="137"/>
  <c r="E700" i="137"/>
  <c r="D700" i="137"/>
  <c r="R699" i="137"/>
  <c r="Q699" i="137"/>
  <c r="P699" i="137"/>
  <c r="O699" i="137"/>
  <c r="N699" i="137"/>
  <c r="L699" i="137"/>
  <c r="K699" i="137"/>
  <c r="J699" i="137"/>
  <c r="I699" i="137"/>
  <c r="H699" i="137"/>
  <c r="G699" i="137"/>
  <c r="F699" i="137"/>
  <c r="E699" i="137"/>
  <c r="D699" i="137"/>
  <c r="R697" i="137"/>
  <c r="Q697" i="137"/>
  <c r="P697" i="137"/>
  <c r="O697" i="137"/>
  <c r="N697" i="137"/>
  <c r="L697" i="137"/>
  <c r="K697" i="137"/>
  <c r="J697" i="137"/>
  <c r="I697" i="137"/>
  <c r="H697" i="137"/>
  <c r="G697" i="137"/>
  <c r="F697" i="137"/>
  <c r="E697" i="137"/>
  <c r="D697" i="137"/>
  <c r="R696" i="137"/>
  <c r="Q696" i="137"/>
  <c r="P696" i="137"/>
  <c r="O696" i="137"/>
  <c r="N696" i="137"/>
  <c r="L696" i="137"/>
  <c r="K696" i="137"/>
  <c r="J696" i="137"/>
  <c r="I696" i="137"/>
  <c r="H696" i="137"/>
  <c r="G696" i="137"/>
  <c r="F696" i="137"/>
  <c r="E696" i="137"/>
  <c r="D696" i="137"/>
  <c r="R694" i="137"/>
  <c r="Q694" i="137"/>
  <c r="P694" i="137"/>
  <c r="O694" i="137"/>
  <c r="N694" i="137"/>
  <c r="L694" i="137"/>
  <c r="K694" i="137"/>
  <c r="J694" i="137"/>
  <c r="I694" i="137"/>
  <c r="H694" i="137"/>
  <c r="G694" i="137"/>
  <c r="F694" i="137"/>
  <c r="E694" i="137"/>
  <c r="D694" i="137"/>
  <c r="R693" i="137"/>
  <c r="Q693" i="137"/>
  <c r="P693" i="137"/>
  <c r="O693" i="137"/>
  <c r="N693" i="137"/>
  <c r="L693" i="137"/>
  <c r="K693" i="137"/>
  <c r="J693" i="137"/>
  <c r="I693" i="137"/>
  <c r="H693" i="137"/>
  <c r="G693" i="137"/>
  <c r="F693" i="137"/>
  <c r="E693" i="137"/>
  <c r="D693" i="137"/>
  <c r="R692" i="137"/>
  <c r="Q692" i="137"/>
  <c r="P692" i="137"/>
  <c r="O692" i="137"/>
  <c r="N692" i="137"/>
  <c r="L692" i="137"/>
  <c r="K692" i="137"/>
  <c r="J692" i="137"/>
  <c r="I692" i="137"/>
  <c r="H692" i="137"/>
  <c r="G692" i="137"/>
  <c r="F692" i="137"/>
  <c r="E692" i="137"/>
  <c r="D692" i="137"/>
  <c r="R691" i="137"/>
  <c r="Q691" i="137"/>
  <c r="P691" i="137"/>
  <c r="O691" i="137"/>
  <c r="N691" i="137"/>
  <c r="L691" i="137"/>
  <c r="K691" i="137"/>
  <c r="J691" i="137"/>
  <c r="I691" i="137"/>
  <c r="H691" i="137"/>
  <c r="G691" i="137"/>
  <c r="F691" i="137"/>
  <c r="E691" i="137"/>
  <c r="D691" i="137"/>
  <c r="R690" i="137"/>
  <c r="Q690" i="137"/>
  <c r="P690" i="137"/>
  <c r="O690" i="137"/>
  <c r="N690" i="137"/>
  <c r="L690" i="137"/>
  <c r="K690" i="137"/>
  <c r="J690" i="137"/>
  <c r="I690" i="137"/>
  <c r="H690" i="137"/>
  <c r="G690" i="137"/>
  <c r="F690" i="137"/>
  <c r="E690" i="137"/>
  <c r="D690" i="137"/>
  <c r="R689" i="137"/>
  <c r="Q689" i="137"/>
  <c r="P689" i="137"/>
  <c r="O689" i="137"/>
  <c r="N689" i="137"/>
  <c r="L689" i="137"/>
  <c r="K689" i="137"/>
  <c r="J689" i="137"/>
  <c r="I689" i="137"/>
  <c r="H689" i="137"/>
  <c r="G689" i="137"/>
  <c r="F689" i="137"/>
  <c r="E689" i="137"/>
  <c r="D689" i="137"/>
  <c r="R688" i="137"/>
  <c r="Q688" i="137"/>
  <c r="P688" i="137"/>
  <c r="O688" i="137"/>
  <c r="N688" i="137"/>
  <c r="L688" i="137"/>
  <c r="K688" i="137"/>
  <c r="J688" i="137"/>
  <c r="I688" i="137"/>
  <c r="H688" i="137"/>
  <c r="G688" i="137"/>
  <c r="F688" i="137"/>
  <c r="E688" i="137"/>
  <c r="D688" i="137"/>
  <c r="R687" i="137"/>
  <c r="Q687" i="137"/>
  <c r="P687" i="137"/>
  <c r="O687" i="137"/>
  <c r="N687" i="137"/>
  <c r="L687" i="137"/>
  <c r="K687" i="137"/>
  <c r="J687" i="137"/>
  <c r="I687" i="137"/>
  <c r="H687" i="137"/>
  <c r="G687" i="137"/>
  <c r="F687" i="137"/>
  <c r="E687" i="137"/>
  <c r="D687" i="137"/>
  <c r="R686" i="137"/>
  <c r="Q686" i="137"/>
  <c r="P686" i="137"/>
  <c r="O686" i="137"/>
  <c r="N686" i="137"/>
  <c r="L686" i="137"/>
  <c r="K686" i="137"/>
  <c r="J686" i="137"/>
  <c r="I686" i="137"/>
  <c r="H686" i="137"/>
  <c r="G686" i="137"/>
  <c r="F686" i="137"/>
  <c r="E686" i="137"/>
  <c r="D686" i="137"/>
  <c r="R685" i="137"/>
  <c r="Q685" i="137"/>
  <c r="P685" i="137"/>
  <c r="O685" i="137"/>
  <c r="N685" i="137"/>
  <c r="L685" i="137"/>
  <c r="K685" i="137"/>
  <c r="J685" i="137"/>
  <c r="I685" i="137"/>
  <c r="H685" i="137"/>
  <c r="G685" i="137"/>
  <c r="F685" i="137"/>
  <c r="E685" i="137"/>
  <c r="D685" i="137"/>
  <c r="R684" i="137"/>
  <c r="Q684" i="137"/>
  <c r="P684" i="137"/>
  <c r="O684" i="137"/>
  <c r="N684" i="137"/>
  <c r="L684" i="137"/>
  <c r="K684" i="137"/>
  <c r="J684" i="137"/>
  <c r="I684" i="137"/>
  <c r="H684" i="137"/>
  <c r="G684" i="137"/>
  <c r="F684" i="137"/>
  <c r="E684" i="137"/>
  <c r="D684" i="137"/>
  <c r="R683" i="137"/>
  <c r="Q683" i="137"/>
  <c r="P683" i="137"/>
  <c r="O683" i="137"/>
  <c r="N683" i="137"/>
  <c r="L683" i="137"/>
  <c r="K683" i="137"/>
  <c r="J683" i="137"/>
  <c r="I683" i="137"/>
  <c r="H683" i="137"/>
  <c r="G683" i="137"/>
  <c r="F683" i="137"/>
  <c r="E683" i="137"/>
  <c r="D683" i="137"/>
  <c r="R682" i="137"/>
  <c r="Q682" i="137"/>
  <c r="P682" i="137"/>
  <c r="O682" i="137"/>
  <c r="N682" i="137"/>
  <c r="L682" i="137"/>
  <c r="K682" i="137"/>
  <c r="J682" i="137"/>
  <c r="I682" i="137"/>
  <c r="H682" i="137"/>
  <c r="G682" i="137"/>
  <c r="F682" i="137"/>
  <c r="E682" i="137"/>
  <c r="D682" i="137"/>
  <c r="R680" i="137"/>
  <c r="Q680" i="137"/>
  <c r="P680" i="137"/>
  <c r="O680" i="137"/>
  <c r="N680" i="137"/>
  <c r="L680" i="137"/>
  <c r="K680" i="137"/>
  <c r="J680" i="137"/>
  <c r="I680" i="137"/>
  <c r="H680" i="137"/>
  <c r="G680" i="137"/>
  <c r="F680" i="137"/>
  <c r="E680" i="137"/>
  <c r="D680" i="137"/>
  <c r="R679" i="137"/>
  <c r="Q679" i="137"/>
  <c r="P679" i="137"/>
  <c r="O679" i="137"/>
  <c r="N679" i="137"/>
  <c r="L679" i="137"/>
  <c r="K679" i="137"/>
  <c r="J679" i="137"/>
  <c r="I679" i="137"/>
  <c r="H679" i="137"/>
  <c r="G679" i="137"/>
  <c r="F679" i="137"/>
  <c r="E679" i="137"/>
  <c r="D679" i="137"/>
  <c r="R678" i="137"/>
  <c r="Q678" i="137"/>
  <c r="P678" i="137"/>
  <c r="O678" i="137"/>
  <c r="N678" i="137"/>
  <c r="L678" i="137"/>
  <c r="K678" i="137"/>
  <c r="J678" i="137"/>
  <c r="I678" i="137"/>
  <c r="H678" i="137"/>
  <c r="G678" i="137"/>
  <c r="F678" i="137"/>
  <c r="E678" i="137"/>
  <c r="D678" i="137"/>
  <c r="R677" i="137"/>
  <c r="Q677" i="137"/>
  <c r="P677" i="137"/>
  <c r="O677" i="137"/>
  <c r="N677" i="137"/>
  <c r="L677" i="137"/>
  <c r="K677" i="137"/>
  <c r="J677" i="137"/>
  <c r="I677" i="137"/>
  <c r="H677" i="137"/>
  <c r="G677" i="137"/>
  <c r="F677" i="137"/>
  <c r="E677" i="137"/>
  <c r="D677" i="137"/>
  <c r="R674" i="137"/>
  <c r="Q674" i="137"/>
  <c r="P674" i="137"/>
  <c r="O674" i="137"/>
  <c r="N674" i="137"/>
  <c r="L674" i="137"/>
  <c r="K674" i="137"/>
  <c r="J674" i="137"/>
  <c r="I674" i="137"/>
  <c r="H674" i="137"/>
  <c r="G674" i="137"/>
  <c r="F674" i="137"/>
  <c r="E674" i="137"/>
  <c r="D674" i="137"/>
  <c r="R673" i="137"/>
  <c r="Q673" i="137"/>
  <c r="P673" i="137"/>
  <c r="O673" i="137"/>
  <c r="N673" i="137"/>
  <c r="L673" i="137"/>
  <c r="K673" i="137"/>
  <c r="J673" i="137"/>
  <c r="I673" i="137"/>
  <c r="H673" i="137"/>
  <c r="G673" i="137"/>
  <c r="F673" i="137"/>
  <c r="E673" i="137"/>
  <c r="D673" i="137"/>
  <c r="R672" i="137"/>
  <c r="Q672" i="137"/>
  <c r="P672" i="137"/>
  <c r="O672" i="137"/>
  <c r="N672" i="137"/>
  <c r="L672" i="137"/>
  <c r="K672" i="137"/>
  <c r="J672" i="137"/>
  <c r="I672" i="137"/>
  <c r="H672" i="137"/>
  <c r="G672" i="137"/>
  <c r="F672" i="137"/>
  <c r="E672" i="137"/>
  <c r="D672" i="137"/>
  <c r="R671" i="137"/>
  <c r="Q671" i="137"/>
  <c r="P671" i="137"/>
  <c r="O671" i="137"/>
  <c r="N671" i="137"/>
  <c r="L671" i="137"/>
  <c r="K671" i="137"/>
  <c r="J671" i="137"/>
  <c r="I671" i="137"/>
  <c r="H671" i="137"/>
  <c r="G671" i="137"/>
  <c r="F671" i="137"/>
  <c r="E671" i="137"/>
  <c r="D671" i="137"/>
  <c r="R668" i="137"/>
  <c r="Q668" i="137"/>
  <c r="P668" i="137"/>
  <c r="O668" i="137"/>
  <c r="N668" i="137"/>
  <c r="L668" i="137"/>
  <c r="K668" i="137"/>
  <c r="J668" i="137"/>
  <c r="I668" i="137"/>
  <c r="H668" i="137"/>
  <c r="G668" i="137"/>
  <c r="F668" i="137"/>
  <c r="E668" i="137"/>
  <c r="D668" i="137"/>
  <c r="R667" i="137"/>
  <c r="Q667" i="137"/>
  <c r="P667" i="137"/>
  <c r="O667" i="137"/>
  <c r="N667" i="137"/>
  <c r="L667" i="137"/>
  <c r="K667" i="137"/>
  <c r="J667" i="137"/>
  <c r="I667" i="137"/>
  <c r="H667" i="137"/>
  <c r="G667" i="137"/>
  <c r="F667" i="137"/>
  <c r="E667" i="137"/>
  <c r="D667" i="137"/>
  <c r="R666" i="137"/>
  <c r="Q666" i="137"/>
  <c r="P666" i="137"/>
  <c r="O666" i="137"/>
  <c r="N666" i="137"/>
  <c r="L666" i="137"/>
  <c r="K666" i="137"/>
  <c r="J666" i="137"/>
  <c r="I666" i="137"/>
  <c r="H666" i="137"/>
  <c r="G666" i="137"/>
  <c r="F666" i="137"/>
  <c r="E666" i="137"/>
  <c r="D666" i="137"/>
  <c r="R665" i="137"/>
  <c r="Q665" i="137"/>
  <c r="P665" i="137"/>
  <c r="O665" i="137"/>
  <c r="N665" i="137"/>
  <c r="L665" i="137"/>
  <c r="K665" i="137"/>
  <c r="J665" i="137"/>
  <c r="I665" i="137"/>
  <c r="H665" i="137"/>
  <c r="G665" i="137"/>
  <c r="F665" i="137"/>
  <c r="E665" i="137"/>
  <c r="D665" i="137"/>
  <c r="R664" i="137"/>
  <c r="Q664" i="137"/>
  <c r="P664" i="137"/>
  <c r="O664" i="137"/>
  <c r="N664" i="137"/>
  <c r="L664" i="137"/>
  <c r="K664" i="137"/>
  <c r="J664" i="137"/>
  <c r="I664" i="137"/>
  <c r="H664" i="137"/>
  <c r="G664" i="137"/>
  <c r="F664" i="137"/>
  <c r="E664" i="137"/>
  <c r="D664" i="137"/>
  <c r="R663" i="137"/>
  <c r="Q663" i="137"/>
  <c r="P663" i="137"/>
  <c r="O663" i="137"/>
  <c r="N663" i="137"/>
  <c r="L663" i="137"/>
  <c r="K663" i="137"/>
  <c r="J663" i="137"/>
  <c r="I663" i="137"/>
  <c r="H663" i="137"/>
  <c r="G663" i="137"/>
  <c r="F663" i="137"/>
  <c r="E663" i="137"/>
  <c r="D663" i="137"/>
  <c r="R662" i="137"/>
  <c r="Q662" i="137"/>
  <c r="P662" i="137"/>
  <c r="O662" i="137"/>
  <c r="N662" i="137"/>
  <c r="L662" i="137"/>
  <c r="K662" i="137"/>
  <c r="J662" i="137"/>
  <c r="I662" i="137"/>
  <c r="H662" i="137"/>
  <c r="G662" i="137"/>
  <c r="F662" i="137"/>
  <c r="E662" i="137"/>
  <c r="D662" i="137"/>
  <c r="R660" i="137"/>
  <c r="Q660" i="137"/>
  <c r="P660" i="137"/>
  <c r="O660" i="137"/>
  <c r="N660" i="137"/>
  <c r="L660" i="137"/>
  <c r="K660" i="137"/>
  <c r="J660" i="137"/>
  <c r="I660" i="137"/>
  <c r="H660" i="137"/>
  <c r="G660" i="137"/>
  <c r="F660" i="137"/>
  <c r="E660" i="137"/>
  <c r="D660" i="137"/>
  <c r="R659" i="137"/>
  <c r="Q659" i="137"/>
  <c r="P659" i="137"/>
  <c r="O659" i="137"/>
  <c r="N659" i="137"/>
  <c r="L659" i="137"/>
  <c r="K659" i="137"/>
  <c r="J659" i="137"/>
  <c r="I659" i="137"/>
  <c r="H659" i="137"/>
  <c r="G659" i="137"/>
  <c r="F659" i="137"/>
  <c r="E659" i="137"/>
  <c r="D659" i="137"/>
  <c r="R658" i="137"/>
  <c r="Q658" i="137"/>
  <c r="P658" i="137"/>
  <c r="O658" i="137"/>
  <c r="N658" i="137"/>
  <c r="L658" i="137"/>
  <c r="K658" i="137"/>
  <c r="J658" i="137"/>
  <c r="I658" i="137"/>
  <c r="H658" i="137"/>
  <c r="G658" i="137"/>
  <c r="F658" i="137"/>
  <c r="E658" i="137"/>
  <c r="D658" i="137"/>
  <c r="R657" i="137"/>
  <c r="Q657" i="137"/>
  <c r="P657" i="137"/>
  <c r="O657" i="137"/>
  <c r="N657" i="137"/>
  <c r="L657" i="137"/>
  <c r="K657" i="137"/>
  <c r="J657" i="137"/>
  <c r="I657" i="137"/>
  <c r="H657" i="137"/>
  <c r="G657" i="137"/>
  <c r="F657" i="137"/>
  <c r="E657" i="137"/>
  <c r="D657" i="137"/>
  <c r="R656" i="137"/>
  <c r="Q656" i="137"/>
  <c r="P656" i="137"/>
  <c r="O656" i="137"/>
  <c r="N656" i="137"/>
  <c r="L656" i="137"/>
  <c r="K656" i="137"/>
  <c r="J656" i="137"/>
  <c r="I656" i="137"/>
  <c r="H656" i="137"/>
  <c r="G656" i="137"/>
  <c r="F656" i="137"/>
  <c r="E656" i="137"/>
  <c r="D656" i="137"/>
  <c r="R655" i="137"/>
  <c r="Q655" i="137"/>
  <c r="P655" i="137"/>
  <c r="O655" i="137"/>
  <c r="N655" i="137"/>
  <c r="L655" i="137"/>
  <c r="K655" i="137"/>
  <c r="J655" i="137"/>
  <c r="I655" i="137"/>
  <c r="H655" i="137"/>
  <c r="G655" i="137"/>
  <c r="F655" i="137"/>
  <c r="E655" i="137"/>
  <c r="D655" i="137"/>
  <c r="R654" i="137"/>
  <c r="Q654" i="137"/>
  <c r="P654" i="137"/>
  <c r="O654" i="137"/>
  <c r="N654" i="137"/>
  <c r="L654" i="137"/>
  <c r="K654" i="137"/>
  <c r="J654" i="137"/>
  <c r="I654" i="137"/>
  <c r="H654" i="137"/>
  <c r="G654" i="137"/>
  <c r="F654" i="137"/>
  <c r="E654" i="137"/>
  <c r="D654" i="137"/>
  <c r="R653" i="137"/>
  <c r="Q653" i="137"/>
  <c r="P653" i="137"/>
  <c r="O653" i="137"/>
  <c r="N653" i="137"/>
  <c r="L653" i="137"/>
  <c r="K653" i="137"/>
  <c r="J653" i="137"/>
  <c r="I653" i="137"/>
  <c r="H653" i="137"/>
  <c r="G653" i="137"/>
  <c r="F653" i="137"/>
  <c r="E653" i="137"/>
  <c r="D653" i="137"/>
  <c r="R652" i="137"/>
  <c r="Q652" i="137"/>
  <c r="P652" i="137"/>
  <c r="O652" i="137"/>
  <c r="N652" i="137"/>
  <c r="L652" i="137"/>
  <c r="K652" i="137"/>
  <c r="J652" i="137"/>
  <c r="I652" i="137"/>
  <c r="H652" i="137"/>
  <c r="G652" i="137"/>
  <c r="F652" i="137"/>
  <c r="E652" i="137"/>
  <c r="D652" i="137"/>
  <c r="R651" i="137"/>
  <c r="Q651" i="137"/>
  <c r="P651" i="137"/>
  <c r="O651" i="137"/>
  <c r="N651" i="137"/>
  <c r="L651" i="137"/>
  <c r="K651" i="137"/>
  <c r="J651" i="137"/>
  <c r="I651" i="137"/>
  <c r="H651" i="137"/>
  <c r="G651" i="137"/>
  <c r="F651" i="137"/>
  <c r="E651" i="137"/>
  <c r="D651" i="137"/>
  <c r="R647" i="137"/>
  <c r="Q647" i="137"/>
  <c r="P647" i="137"/>
  <c r="O647" i="137"/>
  <c r="N647" i="137"/>
  <c r="L647" i="137"/>
  <c r="K647" i="137"/>
  <c r="J647" i="137"/>
  <c r="I647" i="137"/>
  <c r="H647" i="137"/>
  <c r="G647" i="137"/>
  <c r="F647" i="137"/>
  <c r="E647" i="137"/>
  <c r="D647" i="137"/>
  <c r="R645" i="137"/>
  <c r="Q645" i="137"/>
  <c r="P645" i="137"/>
  <c r="O645" i="137"/>
  <c r="N645" i="137"/>
  <c r="L645" i="137"/>
  <c r="K645" i="137"/>
  <c r="J645" i="137"/>
  <c r="I645" i="137"/>
  <c r="H645" i="137"/>
  <c r="G645" i="137"/>
  <c r="F645" i="137"/>
  <c r="E645" i="137"/>
  <c r="D645" i="137"/>
  <c r="R644" i="137"/>
  <c r="Q644" i="137"/>
  <c r="P644" i="137"/>
  <c r="O644" i="137"/>
  <c r="N644" i="137"/>
  <c r="L644" i="137"/>
  <c r="K644" i="137"/>
  <c r="J644" i="137"/>
  <c r="I644" i="137"/>
  <c r="H644" i="137"/>
  <c r="G644" i="137"/>
  <c r="F644" i="137"/>
  <c r="E644" i="137"/>
  <c r="D644" i="137"/>
  <c r="R643" i="137"/>
  <c r="Q643" i="137"/>
  <c r="P643" i="137"/>
  <c r="O643" i="137"/>
  <c r="N643" i="137"/>
  <c r="L643" i="137"/>
  <c r="K643" i="137"/>
  <c r="J643" i="137"/>
  <c r="I643" i="137"/>
  <c r="H643" i="137"/>
  <c r="G643" i="137"/>
  <c r="F643" i="137"/>
  <c r="E643" i="137"/>
  <c r="D643" i="137"/>
  <c r="R641" i="137"/>
  <c r="Q641" i="137"/>
  <c r="P641" i="137"/>
  <c r="O641" i="137"/>
  <c r="N641" i="137"/>
  <c r="L641" i="137"/>
  <c r="K641" i="137"/>
  <c r="J641" i="137"/>
  <c r="I641" i="137"/>
  <c r="H641" i="137"/>
  <c r="G641" i="137"/>
  <c r="F641" i="137"/>
  <c r="E641" i="137"/>
  <c r="D641" i="137"/>
  <c r="R640" i="137"/>
  <c r="Q640" i="137"/>
  <c r="P640" i="137"/>
  <c r="O640" i="137"/>
  <c r="N640" i="137"/>
  <c r="L640" i="137"/>
  <c r="K640" i="137"/>
  <c r="J640" i="137"/>
  <c r="I640" i="137"/>
  <c r="H640" i="137"/>
  <c r="G640" i="137"/>
  <c r="F640" i="137"/>
  <c r="E640" i="137"/>
  <c r="D640" i="137"/>
  <c r="R638" i="137"/>
  <c r="Q638" i="137"/>
  <c r="P638" i="137"/>
  <c r="O638" i="137"/>
  <c r="N638" i="137"/>
  <c r="L638" i="137"/>
  <c r="K638" i="137"/>
  <c r="J638" i="137"/>
  <c r="I638" i="137"/>
  <c r="H638" i="137"/>
  <c r="G638" i="137"/>
  <c r="F638" i="137"/>
  <c r="E638" i="137"/>
  <c r="D638" i="137"/>
  <c r="R635" i="137"/>
  <c r="Q635" i="137"/>
  <c r="P635" i="137"/>
  <c r="O635" i="137"/>
  <c r="N635" i="137"/>
  <c r="L635" i="137"/>
  <c r="K635" i="137"/>
  <c r="J635" i="137"/>
  <c r="I635" i="137"/>
  <c r="H635" i="137"/>
  <c r="G635" i="137"/>
  <c r="F635" i="137"/>
  <c r="E635" i="137"/>
  <c r="D635" i="137"/>
  <c r="R634" i="137"/>
  <c r="Q634" i="137"/>
  <c r="P634" i="137"/>
  <c r="O634" i="137"/>
  <c r="N634" i="137"/>
  <c r="L634" i="137"/>
  <c r="K634" i="137"/>
  <c r="J634" i="137"/>
  <c r="I634" i="137"/>
  <c r="H634" i="137"/>
  <c r="G634" i="137"/>
  <c r="F634" i="137"/>
  <c r="E634" i="137"/>
  <c r="D634" i="137"/>
  <c r="R633" i="137"/>
  <c r="Q633" i="137"/>
  <c r="P633" i="137"/>
  <c r="O633" i="137"/>
  <c r="N633" i="137"/>
  <c r="L633" i="137"/>
  <c r="K633" i="137"/>
  <c r="J633" i="137"/>
  <c r="I633" i="137"/>
  <c r="H633" i="137"/>
  <c r="G633" i="137"/>
  <c r="F633" i="137"/>
  <c r="E633" i="137"/>
  <c r="D633" i="137"/>
  <c r="R631" i="137"/>
  <c r="Q631" i="137"/>
  <c r="P631" i="137"/>
  <c r="O631" i="137"/>
  <c r="N631" i="137"/>
  <c r="L631" i="137"/>
  <c r="K631" i="137"/>
  <c r="J631" i="137"/>
  <c r="I631" i="137"/>
  <c r="H631" i="137"/>
  <c r="G631" i="137"/>
  <c r="F631" i="137"/>
  <c r="E631" i="137"/>
  <c r="D631" i="137"/>
  <c r="R630" i="137"/>
  <c r="Q630" i="137"/>
  <c r="P630" i="137"/>
  <c r="O630" i="137"/>
  <c r="N630" i="137"/>
  <c r="L630" i="137"/>
  <c r="K630" i="137"/>
  <c r="J630" i="137"/>
  <c r="I630" i="137"/>
  <c r="H630" i="137"/>
  <c r="G630" i="137"/>
  <c r="F630" i="137"/>
  <c r="E630" i="137"/>
  <c r="D630" i="137"/>
  <c r="R629" i="137"/>
  <c r="Q629" i="137"/>
  <c r="P629" i="137"/>
  <c r="O629" i="137"/>
  <c r="N629" i="137"/>
  <c r="L629" i="137"/>
  <c r="K629" i="137"/>
  <c r="J629" i="137"/>
  <c r="I629" i="137"/>
  <c r="H629" i="137"/>
  <c r="G629" i="137"/>
  <c r="F629" i="137"/>
  <c r="E629" i="137"/>
  <c r="D629" i="137"/>
  <c r="R628" i="137"/>
  <c r="Q628" i="137"/>
  <c r="P628" i="137"/>
  <c r="O628" i="137"/>
  <c r="N628" i="137"/>
  <c r="L628" i="137"/>
  <c r="K628" i="137"/>
  <c r="J628" i="137"/>
  <c r="I628" i="137"/>
  <c r="H628" i="137"/>
  <c r="G628" i="137"/>
  <c r="F628" i="137"/>
  <c r="E628" i="137"/>
  <c r="D628" i="137"/>
  <c r="R627" i="137"/>
  <c r="Q627" i="137"/>
  <c r="P627" i="137"/>
  <c r="O627" i="137"/>
  <c r="N627" i="137"/>
  <c r="L627" i="137"/>
  <c r="K627" i="137"/>
  <c r="J627" i="137"/>
  <c r="I627" i="137"/>
  <c r="H627" i="137"/>
  <c r="G627" i="137"/>
  <c r="F627" i="137"/>
  <c r="E627" i="137"/>
  <c r="D627" i="137"/>
  <c r="R624" i="137"/>
  <c r="Q624" i="137"/>
  <c r="P624" i="137"/>
  <c r="O624" i="137"/>
  <c r="N624" i="137"/>
  <c r="L624" i="137"/>
  <c r="K624" i="137"/>
  <c r="J624" i="137"/>
  <c r="I624" i="137"/>
  <c r="H624" i="137"/>
  <c r="G624" i="137"/>
  <c r="F624" i="137"/>
  <c r="E624" i="137"/>
  <c r="D624" i="137"/>
  <c r="R622" i="137"/>
  <c r="Q622" i="137"/>
  <c r="P622" i="137"/>
  <c r="O622" i="137"/>
  <c r="N622" i="137"/>
  <c r="L622" i="137"/>
  <c r="K622" i="137"/>
  <c r="J622" i="137"/>
  <c r="I622" i="137"/>
  <c r="H622" i="137"/>
  <c r="G622" i="137"/>
  <c r="F622" i="137"/>
  <c r="E622" i="137"/>
  <c r="D622" i="137"/>
  <c r="R621" i="137"/>
  <c r="Q621" i="137"/>
  <c r="P621" i="137"/>
  <c r="O621" i="137"/>
  <c r="N621" i="137"/>
  <c r="L621" i="137"/>
  <c r="K621" i="137"/>
  <c r="J621" i="137"/>
  <c r="I621" i="137"/>
  <c r="H621" i="137"/>
  <c r="G621" i="137"/>
  <c r="F621" i="137"/>
  <c r="E621" i="137"/>
  <c r="D621" i="137"/>
  <c r="R620" i="137"/>
  <c r="Q620" i="137"/>
  <c r="P620" i="137"/>
  <c r="O620" i="137"/>
  <c r="N620" i="137"/>
  <c r="L620" i="137"/>
  <c r="K620" i="137"/>
  <c r="J620" i="137"/>
  <c r="I620" i="137"/>
  <c r="H620" i="137"/>
  <c r="G620" i="137"/>
  <c r="F620" i="137"/>
  <c r="E620" i="137"/>
  <c r="D620" i="137"/>
  <c r="R619" i="137"/>
  <c r="Q619" i="137"/>
  <c r="P619" i="137"/>
  <c r="O619" i="137"/>
  <c r="N619" i="137"/>
  <c r="L619" i="137"/>
  <c r="K619" i="137"/>
  <c r="J619" i="137"/>
  <c r="I619" i="137"/>
  <c r="H619" i="137"/>
  <c r="G619" i="137"/>
  <c r="F619" i="137"/>
  <c r="E619" i="137"/>
  <c r="D619" i="137"/>
  <c r="R618" i="137"/>
  <c r="Q618" i="137"/>
  <c r="P618" i="137"/>
  <c r="O618" i="137"/>
  <c r="N618" i="137"/>
  <c r="L618" i="137"/>
  <c r="K618" i="137"/>
  <c r="J618" i="137"/>
  <c r="I618" i="137"/>
  <c r="H618" i="137"/>
  <c r="G618" i="137"/>
  <c r="F618" i="137"/>
  <c r="E618" i="137"/>
  <c r="D618" i="137"/>
  <c r="R617" i="137"/>
  <c r="Q617" i="137"/>
  <c r="P617" i="137"/>
  <c r="O617" i="137"/>
  <c r="N617" i="137"/>
  <c r="L617" i="137"/>
  <c r="K617" i="137"/>
  <c r="J617" i="137"/>
  <c r="I617" i="137"/>
  <c r="H617" i="137"/>
  <c r="G617" i="137"/>
  <c r="F617" i="137"/>
  <c r="E617" i="137"/>
  <c r="D617" i="137"/>
  <c r="R616" i="137"/>
  <c r="Q616" i="137"/>
  <c r="P616" i="137"/>
  <c r="O616" i="137"/>
  <c r="N616" i="137"/>
  <c r="L616" i="137"/>
  <c r="K616" i="137"/>
  <c r="J616" i="137"/>
  <c r="I616" i="137"/>
  <c r="H616" i="137"/>
  <c r="G616" i="137"/>
  <c r="F616" i="137"/>
  <c r="E616" i="137"/>
  <c r="D616" i="137"/>
  <c r="R615" i="137"/>
  <c r="Q615" i="137"/>
  <c r="P615" i="137"/>
  <c r="O615" i="137"/>
  <c r="N615" i="137"/>
  <c r="L615" i="137"/>
  <c r="K615" i="137"/>
  <c r="J615" i="137"/>
  <c r="I615" i="137"/>
  <c r="H615" i="137"/>
  <c r="G615" i="137"/>
  <c r="F615" i="137"/>
  <c r="E615" i="137"/>
  <c r="D615" i="137"/>
  <c r="R614" i="137"/>
  <c r="Q614" i="137"/>
  <c r="P614" i="137"/>
  <c r="O614" i="137"/>
  <c r="N614" i="137"/>
  <c r="L614" i="137"/>
  <c r="K614" i="137"/>
  <c r="J614" i="137"/>
  <c r="I614" i="137"/>
  <c r="H614" i="137"/>
  <c r="G614" i="137"/>
  <c r="F614" i="137"/>
  <c r="E614" i="137"/>
  <c r="D614" i="137"/>
  <c r="R611" i="137"/>
  <c r="Q611" i="137"/>
  <c r="P611" i="137"/>
  <c r="O611" i="137"/>
  <c r="N611" i="137"/>
  <c r="L611" i="137"/>
  <c r="K611" i="137"/>
  <c r="J611" i="137"/>
  <c r="I611" i="137"/>
  <c r="H611" i="137"/>
  <c r="G611" i="137"/>
  <c r="F611" i="137"/>
  <c r="E611" i="137"/>
  <c r="D611" i="137"/>
  <c r="R610" i="137"/>
  <c r="Q610" i="137"/>
  <c r="P610" i="137"/>
  <c r="O610" i="137"/>
  <c r="N610" i="137"/>
  <c r="L610" i="137"/>
  <c r="K610" i="137"/>
  <c r="J610" i="137"/>
  <c r="I610" i="137"/>
  <c r="H610" i="137"/>
  <c r="G610" i="137"/>
  <c r="F610" i="137"/>
  <c r="E610" i="137"/>
  <c r="D610" i="137"/>
  <c r="R608" i="137"/>
  <c r="Q608" i="137"/>
  <c r="P608" i="137"/>
  <c r="O608" i="137"/>
  <c r="N608" i="137"/>
  <c r="L608" i="137"/>
  <c r="K608" i="137"/>
  <c r="J608" i="137"/>
  <c r="I608" i="137"/>
  <c r="H608" i="137"/>
  <c r="G608" i="137"/>
  <c r="F608" i="137"/>
  <c r="E608" i="137"/>
  <c r="D608" i="137"/>
  <c r="R607" i="137"/>
  <c r="Q607" i="137"/>
  <c r="P607" i="137"/>
  <c r="O607" i="137"/>
  <c r="N607" i="137"/>
  <c r="L607" i="137"/>
  <c r="K607" i="137"/>
  <c r="J607" i="137"/>
  <c r="I607" i="137"/>
  <c r="H607" i="137"/>
  <c r="G607" i="137"/>
  <c r="F607" i="137"/>
  <c r="E607" i="137"/>
  <c r="D607" i="137"/>
  <c r="R605" i="137"/>
  <c r="Q605" i="137"/>
  <c r="P605" i="137"/>
  <c r="O605" i="137"/>
  <c r="N605" i="137"/>
  <c r="L605" i="137"/>
  <c r="K605" i="137"/>
  <c r="J605" i="137"/>
  <c r="I605" i="137"/>
  <c r="H605" i="137"/>
  <c r="G605" i="137"/>
  <c r="F605" i="137"/>
  <c r="E605" i="137"/>
  <c r="D605" i="137"/>
  <c r="R604" i="137"/>
  <c r="Q604" i="137"/>
  <c r="P604" i="137"/>
  <c r="O604" i="137"/>
  <c r="N604" i="137"/>
  <c r="L604" i="137"/>
  <c r="K604" i="137"/>
  <c r="J604" i="137"/>
  <c r="I604" i="137"/>
  <c r="H604" i="137"/>
  <c r="G604" i="137"/>
  <c r="F604" i="137"/>
  <c r="E604" i="137"/>
  <c r="D604" i="137"/>
  <c r="R603" i="137"/>
  <c r="Q603" i="137"/>
  <c r="P603" i="137"/>
  <c r="O603" i="137"/>
  <c r="N603" i="137"/>
  <c r="L603" i="137"/>
  <c r="K603" i="137"/>
  <c r="J603" i="137"/>
  <c r="I603" i="137"/>
  <c r="H603" i="137"/>
  <c r="G603" i="137"/>
  <c r="F603" i="137"/>
  <c r="E603" i="137"/>
  <c r="D603" i="137"/>
  <c r="R602" i="137"/>
  <c r="Q602" i="137"/>
  <c r="P602" i="137"/>
  <c r="O602" i="137"/>
  <c r="N602" i="137"/>
  <c r="L602" i="137"/>
  <c r="K602" i="137"/>
  <c r="J602" i="137"/>
  <c r="I602" i="137"/>
  <c r="H602" i="137"/>
  <c r="G602" i="137"/>
  <c r="F602" i="137"/>
  <c r="E602" i="137"/>
  <c r="D602" i="137"/>
  <c r="R601" i="137"/>
  <c r="Q601" i="137"/>
  <c r="P601" i="137"/>
  <c r="O601" i="137"/>
  <c r="N601" i="137"/>
  <c r="L601" i="137"/>
  <c r="K601" i="137"/>
  <c r="J601" i="137"/>
  <c r="I601" i="137"/>
  <c r="H601" i="137"/>
  <c r="G601" i="137"/>
  <c r="F601" i="137"/>
  <c r="E601" i="137"/>
  <c r="D601" i="137"/>
  <c r="R600" i="137"/>
  <c r="Q600" i="137"/>
  <c r="P600" i="137"/>
  <c r="O600" i="137"/>
  <c r="N600" i="137"/>
  <c r="L600" i="137"/>
  <c r="K600" i="137"/>
  <c r="J600" i="137"/>
  <c r="I600" i="137"/>
  <c r="H600" i="137"/>
  <c r="G600" i="137"/>
  <c r="F600" i="137"/>
  <c r="E600" i="137"/>
  <c r="D600" i="137"/>
  <c r="R598" i="137"/>
  <c r="Q598" i="137"/>
  <c r="P598" i="137"/>
  <c r="O598" i="137"/>
  <c r="N598" i="137"/>
  <c r="L598" i="137"/>
  <c r="K598" i="137"/>
  <c r="J598" i="137"/>
  <c r="I598" i="137"/>
  <c r="H598" i="137"/>
  <c r="G598" i="137"/>
  <c r="F598" i="137"/>
  <c r="E598" i="137"/>
  <c r="D598" i="137"/>
  <c r="R597" i="137"/>
  <c r="Q597" i="137"/>
  <c r="P597" i="137"/>
  <c r="O597" i="137"/>
  <c r="N597" i="137"/>
  <c r="L597" i="137"/>
  <c r="K597" i="137"/>
  <c r="J597" i="137"/>
  <c r="I597" i="137"/>
  <c r="H597" i="137"/>
  <c r="G597" i="137"/>
  <c r="F597" i="137"/>
  <c r="E597" i="137"/>
  <c r="D597" i="137"/>
  <c r="R596" i="137"/>
  <c r="Q596" i="137"/>
  <c r="P596" i="137"/>
  <c r="O596" i="137"/>
  <c r="N596" i="137"/>
  <c r="L596" i="137"/>
  <c r="K596" i="137"/>
  <c r="J596" i="137"/>
  <c r="I596" i="137"/>
  <c r="H596" i="137"/>
  <c r="G596" i="137"/>
  <c r="F596" i="137"/>
  <c r="E596" i="137"/>
  <c r="D596" i="137"/>
  <c r="R595" i="137"/>
  <c r="Q595" i="137"/>
  <c r="P595" i="137"/>
  <c r="O595" i="137"/>
  <c r="N595" i="137"/>
  <c r="L595" i="137"/>
  <c r="K595" i="137"/>
  <c r="J595" i="137"/>
  <c r="I595" i="137"/>
  <c r="H595" i="137"/>
  <c r="G595" i="137"/>
  <c r="F595" i="137"/>
  <c r="E595" i="137"/>
  <c r="D595" i="137"/>
  <c r="R592" i="137"/>
  <c r="Q592" i="137"/>
  <c r="P592" i="137"/>
  <c r="O592" i="137"/>
  <c r="N592" i="137"/>
  <c r="L592" i="137"/>
  <c r="K592" i="137"/>
  <c r="J592" i="137"/>
  <c r="I592" i="137"/>
  <c r="H592" i="137"/>
  <c r="G592" i="137"/>
  <c r="F592" i="137"/>
  <c r="E592" i="137"/>
  <c r="D592" i="137"/>
  <c r="R591" i="137"/>
  <c r="Q591" i="137"/>
  <c r="P591" i="137"/>
  <c r="O591" i="137"/>
  <c r="N591" i="137"/>
  <c r="L591" i="137"/>
  <c r="K591" i="137"/>
  <c r="J591" i="137"/>
  <c r="I591" i="137"/>
  <c r="H591" i="137"/>
  <c r="G591" i="137"/>
  <c r="F591" i="137"/>
  <c r="E591" i="137"/>
  <c r="D591" i="137"/>
  <c r="R585" i="137"/>
  <c r="Q585" i="137"/>
  <c r="P585" i="137"/>
  <c r="O585" i="137"/>
  <c r="N585" i="137"/>
  <c r="L585" i="137"/>
  <c r="K585" i="137"/>
  <c r="J585" i="137"/>
  <c r="I585" i="137"/>
  <c r="H585" i="137"/>
  <c r="G585" i="137"/>
  <c r="F585" i="137"/>
  <c r="E585" i="137"/>
  <c r="D585" i="137"/>
  <c r="R583" i="137"/>
  <c r="Q583" i="137"/>
  <c r="P583" i="137"/>
  <c r="O583" i="137"/>
  <c r="N583" i="137"/>
  <c r="L583" i="137"/>
  <c r="K583" i="137"/>
  <c r="J583" i="137"/>
  <c r="I583" i="137"/>
  <c r="H583" i="137"/>
  <c r="G583" i="137"/>
  <c r="F583" i="137"/>
  <c r="E583" i="137"/>
  <c r="D583" i="137"/>
  <c r="R581" i="137"/>
  <c r="Q581" i="137"/>
  <c r="P581" i="137"/>
  <c r="O581" i="137"/>
  <c r="N581" i="137"/>
  <c r="L581" i="137"/>
  <c r="K581" i="137"/>
  <c r="J581" i="137"/>
  <c r="I581" i="137"/>
  <c r="H581" i="137"/>
  <c r="G581" i="137"/>
  <c r="F581" i="137"/>
  <c r="E581" i="137"/>
  <c r="D581" i="137"/>
  <c r="R580" i="137"/>
  <c r="Q580" i="137"/>
  <c r="P580" i="137"/>
  <c r="O580" i="137"/>
  <c r="N580" i="137"/>
  <c r="L580" i="137"/>
  <c r="K580" i="137"/>
  <c r="J580" i="137"/>
  <c r="I580" i="137"/>
  <c r="H580" i="137"/>
  <c r="G580" i="137"/>
  <c r="F580" i="137"/>
  <c r="E580" i="137"/>
  <c r="D580" i="137"/>
  <c r="R578" i="137"/>
  <c r="Q578" i="137"/>
  <c r="P578" i="137"/>
  <c r="O578" i="137"/>
  <c r="N578" i="137"/>
  <c r="L578" i="137"/>
  <c r="K578" i="137"/>
  <c r="J578" i="137"/>
  <c r="I578" i="137"/>
  <c r="H578" i="137"/>
  <c r="G578" i="137"/>
  <c r="F578" i="137"/>
  <c r="E578" i="137"/>
  <c r="D578" i="137"/>
  <c r="R577" i="137"/>
  <c r="Q577" i="137"/>
  <c r="P577" i="137"/>
  <c r="O577" i="137"/>
  <c r="N577" i="137"/>
  <c r="L577" i="137"/>
  <c r="K577" i="137"/>
  <c r="J577" i="137"/>
  <c r="I577" i="137"/>
  <c r="H577" i="137"/>
  <c r="G577" i="137"/>
  <c r="F577" i="137"/>
  <c r="E577" i="137"/>
  <c r="D577" i="137"/>
  <c r="R576" i="137"/>
  <c r="Q576" i="137"/>
  <c r="P576" i="137"/>
  <c r="O576" i="137"/>
  <c r="N576" i="137"/>
  <c r="L576" i="137"/>
  <c r="K576" i="137"/>
  <c r="J576" i="137"/>
  <c r="I576" i="137"/>
  <c r="H576" i="137"/>
  <c r="G576" i="137"/>
  <c r="F576" i="137"/>
  <c r="E576" i="137"/>
  <c r="D576" i="137"/>
  <c r="R573" i="137"/>
  <c r="Q573" i="137"/>
  <c r="P573" i="137"/>
  <c r="O573" i="137"/>
  <c r="N573" i="137"/>
  <c r="L573" i="137"/>
  <c r="K573" i="137"/>
  <c r="J573" i="137"/>
  <c r="I573" i="137"/>
  <c r="H573" i="137"/>
  <c r="G573" i="137"/>
  <c r="F573" i="137"/>
  <c r="E573" i="137"/>
  <c r="D573" i="137"/>
  <c r="R568" i="137"/>
  <c r="Q568" i="137"/>
  <c r="P568" i="137"/>
  <c r="O568" i="137"/>
  <c r="N568" i="137"/>
  <c r="L568" i="137"/>
  <c r="K568" i="137"/>
  <c r="J568" i="137"/>
  <c r="I568" i="137"/>
  <c r="H568" i="137"/>
  <c r="G568" i="137"/>
  <c r="F568" i="137"/>
  <c r="E568" i="137"/>
  <c r="D568" i="137"/>
  <c r="R566" i="137"/>
  <c r="Q566" i="137"/>
  <c r="P566" i="137"/>
  <c r="O566" i="137"/>
  <c r="N566" i="137"/>
  <c r="L566" i="137"/>
  <c r="K566" i="137"/>
  <c r="J566" i="137"/>
  <c r="I566" i="137"/>
  <c r="H566" i="137"/>
  <c r="G566" i="137"/>
  <c r="F566" i="137"/>
  <c r="E566" i="137"/>
  <c r="D566" i="137"/>
  <c r="R565" i="137"/>
  <c r="Q565" i="137"/>
  <c r="P565" i="137"/>
  <c r="O565" i="137"/>
  <c r="N565" i="137"/>
  <c r="L565" i="137"/>
  <c r="K565" i="137"/>
  <c r="J565" i="137"/>
  <c r="I565" i="137"/>
  <c r="H565" i="137"/>
  <c r="G565" i="137"/>
  <c r="F565" i="137"/>
  <c r="E565" i="137"/>
  <c r="D565" i="137"/>
  <c r="R563" i="137"/>
  <c r="Q563" i="137"/>
  <c r="P563" i="137"/>
  <c r="O563" i="137"/>
  <c r="N563" i="137"/>
  <c r="L563" i="137"/>
  <c r="K563" i="137"/>
  <c r="J563" i="137"/>
  <c r="I563" i="137"/>
  <c r="H563" i="137"/>
  <c r="G563" i="137"/>
  <c r="F563" i="137"/>
  <c r="E563" i="137"/>
  <c r="D563" i="137"/>
  <c r="R562" i="137"/>
  <c r="Q562" i="137"/>
  <c r="P562" i="137"/>
  <c r="O562" i="137"/>
  <c r="N562" i="137"/>
  <c r="L562" i="137"/>
  <c r="K562" i="137"/>
  <c r="J562" i="137"/>
  <c r="I562" i="137"/>
  <c r="H562" i="137"/>
  <c r="G562" i="137"/>
  <c r="F562" i="137"/>
  <c r="E562" i="137"/>
  <c r="D562" i="137"/>
  <c r="R561" i="137"/>
  <c r="Q561" i="137"/>
  <c r="P561" i="137"/>
  <c r="O561" i="137"/>
  <c r="N561" i="137"/>
  <c r="L561" i="137"/>
  <c r="K561" i="137"/>
  <c r="J561" i="137"/>
  <c r="I561" i="137"/>
  <c r="H561" i="137"/>
  <c r="G561" i="137"/>
  <c r="F561" i="137"/>
  <c r="E561" i="137"/>
  <c r="D561" i="137"/>
  <c r="R559" i="137"/>
  <c r="Q559" i="137"/>
  <c r="P559" i="137"/>
  <c r="O559" i="137"/>
  <c r="N559" i="137"/>
  <c r="L559" i="137"/>
  <c r="K559" i="137"/>
  <c r="J559" i="137"/>
  <c r="I559" i="137"/>
  <c r="H559" i="137"/>
  <c r="G559" i="137"/>
  <c r="F559" i="137"/>
  <c r="E559" i="137"/>
  <c r="D559" i="137"/>
  <c r="R557" i="137"/>
  <c r="Q557" i="137"/>
  <c r="P557" i="137"/>
  <c r="O557" i="137"/>
  <c r="N557" i="137"/>
  <c r="L557" i="137"/>
  <c r="K557" i="137"/>
  <c r="J557" i="137"/>
  <c r="I557" i="137"/>
  <c r="H557" i="137"/>
  <c r="G557" i="137"/>
  <c r="F557" i="137"/>
  <c r="E557" i="137"/>
  <c r="D557" i="137"/>
  <c r="R555" i="137"/>
  <c r="Q555" i="137"/>
  <c r="P555" i="137"/>
  <c r="O555" i="137"/>
  <c r="N555" i="137"/>
  <c r="L555" i="137"/>
  <c r="K555" i="137"/>
  <c r="J555" i="137"/>
  <c r="I555" i="137"/>
  <c r="H555" i="137"/>
  <c r="G555" i="137"/>
  <c r="F555" i="137"/>
  <c r="E555" i="137"/>
  <c r="D555" i="137"/>
  <c r="R553" i="137"/>
  <c r="Q553" i="137"/>
  <c r="P553" i="137"/>
  <c r="O553" i="137"/>
  <c r="N553" i="137"/>
  <c r="L553" i="137"/>
  <c r="K553" i="137"/>
  <c r="J553" i="137"/>
  <c r="I553" i="137"/>
  <c r="H553" i="137"/>
  <c r="G553" i="137"/>
  <c r="F553" i="137"/>
  <c r="E553" i="137"/>
  <c r="D553" i="137"/>
  <c r="R552" i="137"/>
  <c r="Q552" i="137"/>
  <c r="P552" i="137"/>
  <c r="O552" i="137"/>
  <c r="N552" i="137"/>
  <c r="L552" i="137"/>
  <c r="K552" i="137"/>
  <c r="J552" i="137"/>
  <c r="I552" i="137"/>
  <c r="H552" i="137"/>
  <c r="G552" i="137"/>
  <c r="F552" i="137"/>
  <c r="E552" i="137"/>
  <c r="D552" i="137"/>
  <c r="R547" i="137"/>
  <c r="Q547" i="137"/>
  <c r="P547" i="137"/>
  <c r="O547" i="137"/>
  <c r="N547" i="137"/>
  <c r="L547" i="137"/>
  <c r="K547" i="137"/>
  <c r="J547" i="137"/>
  <c r="I547" i="137"/>
  <c r="H547" i="137"/>
  <c r="G547" i="137"/>
  <c r="F547" i="137"/>
  <c r="E547" i="137"/>
  <c r="D547" i="137"/>
  <c r="R546" i="137"/>
  <c r="Q546" i="137"/>
  <c r="P546" i="137"/>
  <c r="O546" i="137"/>
  <c r="N546" i="137"/>
  <c r="L546" i="137"/>
  <c r="K546" i="137"/>
  <c r="J546" i="137"/>
  <c r="I546" i="137"/>
  <c r="H546" i="137"/>
  <c r="G546" i="137"/>
  <c r="F546" i="137"/>
  <c r="E546" i="137"/>
  <c r="D546" i="137"/>
  <c r="R545" i="137"/>
  <c r="Q545" i="137"/>
  <c r="P545" i="137"/>
  <c r="O545" i="137"/>
  <c r="N545" i="137"/>
  <c r="L545" i="137"/>
  <c r="K545" i="137"/>
  <c r="J545" i="137"/>
  <c r="I545" i="137"/>
  <c r="H545" i="137"/>
  <c r="G545" i="137"/>
  <c r="F545" i="137"/>
  <c r="E545" i="137"/>
  <c r="D545" i="137"/>
  <c r="R542" i="137"/>
  <c r="Q542" i="137"/>
  <c r="P542" i="137"/>
  <c r="O542" i="137"/>
  <c r="N542" i="137"/>
  <c r="L542" i="137"/>
  <c r="K542" i="137"/>
  <c r="J542" i="137"/>
  <c r="I542" i="137"/>
  <c r="H542" i="137"/>
  <c r="G542" i="137"/>
  <c r="F542" i="137"/>
  <c r="E542" i="137"/>
  <c r="D542" i="137"/>
  <c r="R541" i="137"/>
  <c r="Q541" i="137"/>
  <c r="P541" i="137"/>
  <c r="O541" i="137"/>
  <c r="N541" i="137"/>
  <c r="L541" i="137"/>
  <c r="K541" i="137"/>
  <c r="J541" i="137"/>
  <c r="I541" i="137"/>
  <c r="H541" i="137"/>
  <c r="G541" i="137"/>
  <c r="F541" i="137"/>
  <c r="E541" i="137"/>
  <c r="D541" i="137"/>
  <c r="R537" i="137"/>
  <c r="Q537" i="137"/>
  <c r="P537" i="137"/>
  <c r="O537" i="137"/>
  <c r="N537" i="137"/>
  <c r="L537" i="137"/>
  <c r="K537" i="137"/>
  <c r="J537" i="137"/>
  <c r="I537" i="137"/>
  <c r="H537" i="137"/>
  <c r="G537" i="137"/>
  <c r="F537" i="137"/>
  <c r="E537" i="137"/>
  <c r="D537" i="137"/>
  <c r="R536" i="137"/>
  <c r="Q536" i="137"/>
  <c r="P536" i="137"/>
  <c r="O536" i="137"/>
  <c r="N536" i="137"/>
  <c r="L536" i="137"/>
  <c r="K536" i="137"/>
  <c r="J536" i="137"/>
  <c r="I536" i="137"/>
  <c r="H536" i="137"/>
  <c r="G536" i="137"/>
  <c r="F536" i="137"/>
  <c r="E536" i="137"/>
  <c r="D536" i="137"/>
  <c r="R535" i="137"/>
  <c r="Q535" i="137"/>
  <c r="P535" i="137"/>
  <c r="O535" i="137"/>
  <c r="N535" i="137"/>
  <c r="L535" i="137"/>
  <c r="K535" i="137"/>
  <c r="J535" i="137"/>
  <c r="I535" i="137"/>
  <c r="H535" i="137"/>
  <c r="G535" i="137"/>
  <c r="F535" i="137"/>
  <c r="E535" i="137"/>
  <c r="D535" i="137"/>
  <c r="R534" i="137"/>
  <c r="Q534" i="137"/>
  <c r="P534" i="137"/>
  <c r="O534" i="137"/>
  <c r="N534" i="137"/>
  <c r="L534" i="137"/>
  <c r="K534" i="137"/>
  <c r="J534" i="137"/>
  <c r="I534" i="137"/>
  <c r="H534" i="137"/>
  <c r="G534" i="137"/>
  <c r="F534" i="137"/>
  <c r="E534" i="137"/>
  <c r="D534" i="137"/>
  <c r="R533" i="137"/>
  <c r="Q533" i="137"/>
  <c r="P533" i="137"/>
  <c r="O533" i="137"/>
  <c r="N533" i="137"/>
  <c r="L533" i="137"/>
  <c r="K533" i="137"/>
  <c r="J533" i="137"/>
  <c r="I533" i="137"/>
  <c r="H533" i="137"/>
  <c r="G533" i="137"/>
  <c r="F533" i="137"/>
  <c r="E533" i="137"/>
  <c r="D533" i="137"/>
  <c r="R531" i="137"/>
  <c r="Q531" i="137"/>
  <c r="P531" i="137"/>
  <c r="O531" i="137"/>
  <c r="N531" i="137"/>
  <c r="L531" i="137"/>
  <c r="K531" i="137"/>
  <c r="J531" i="137"/>
  <c r="I531" i="137"/>
  <c r="H531" i="137"/>
  <c r="G531" i="137"/>
  <c r="F531" i="137"/>
  <c r="E531" i="137"/>
  <c r="D531" i="137"/>
  <c r="R528" i="137"/>
  <c r="Q528" i="137"/>
  <c r="P528" i="137"/>
  <c r="O528" i="137"/>
  <c r="N528" i="137"/>
  <c r="L528" i="137"/>
  <c r="K528" i="137"/>
  <c r="J528" i="137"/>
  <c r="I528" i="137"/>
  <c r="H528" i="137"/>
  <c r="G528" i="137"/>
  <c r="F528" i="137"/>
  <c r="E528" i="137"/>
  <c r="D528" i="137"/>
  <c r="R527" i="137"/>
  <c r="Q527" i="137"/>
  <c r="P527" i="137"/>
  <c r="O527" i="137"/>
  <c r="N527" i="137"/>
  <c r="L527" i="137"/>
  <c r="K527" i="137"/>
  <c r="J527" i="137"/>
  <c r="I527" i="137"/>
  <c r="H527" i="137"/>
  <c r="G527" i="137"/>
  <c r="F527" i="137"/>
  <c r="E527" i="137"/>
  <c r="D527" i="137"/>
  <c r="R525" i="137"/>
  <c r="Q525" i="137"/>
  <c r="P525" i="137"/>
  <c r="O525" i="137"/>
  <c r="N525" i="137"/>
  <c r="L525" i="137"/>
  <c r="K525" i="137"/>
  <c r="J525" i="137"/>
  <c r="I525" i="137"/>
  <c r="H525" i="137"/>
  <c r="G525" i="137"/>
  <c r="F525" i="137"/>
  <c r="E525" i="137"/>
  <c r="D525" i="137"/>
  <c r="R522" i="137"/>
  <c r="Q522" i="137"/>
  <c r="P522" i="137"/>
  <c r="O522" i="137"/>
  <c r="N522" i="137"/>
  <c r="L522" i="137"/>
  <c r="K522" i="137"/>
  <c r="J522" i="137"/>
  <c r="I522" i="137"/>
  <c r="H522" i="137"/>
  <c r="G522" i="137"/>
  <c r="F522" i="137"/>
  <c r="E522" i="137"/>
  <c r="D522" i="137"/>
  <c r="R519" i="137"/>
  <c r="Q519" i="137"/>
  <c r="P519" i="137"/>
  <c r="O519" i="137"/>
  <c r="N519" i="137"/>
  <c r="L519" i="137"/>
  <c r="K519" i="137"/>
  <c r="J519" i="137"/>
  <c r="I519" i="137"/>
  <c r="H519" i="137"/>
  <c r="G519" i="137"/>
  <c r="F519" i="137"/>
  <c r="E519" i="137"/>
  <c r="D519" i="137"/>
  <c r="R518" i="137"/>
  <c r="Q518" i="137"/>
  <c r="P518" i="137"/>
  <c r="O518" i="137"/>
  <c r="N518" i="137"/>
  <c r="L518" i="137"/>
  <c r="K518" i="137"/>
  <c r="J518" i="137"/>
  <c r="I518" i="137"/>
  <c r="H518" i="137"/>
  <c r="G518" i="137"/>
  <c r="F518" i="137"/>
  <c r="E518" i="137"/>
  <c r="D518" i="137"/>
  <c r="R517" i="137"/>
  <c r="Q517" i="137"/>
  <c r="P517" i="137"/>
  <c r="O517" i="137"/>
  <c r="N517" i="137"/>
  <c r="L517" i="137"/>
  <c r="K517" i="137"/>
  <c r="J517" i="137"/>
  <c r="I517" i="137"/>
  <c r="H517" i="137"/>
  <c r="G517" i="137"/>
  <c r="F517" i="137"/>
  <c r="E517" i="137"/>
  <c r="D517" i="137"/>
  <c r="R516" i="137"/>
  <c r="Q516" i="137"/>
  <c r="P516" i="137"/>
  <c r="O516" i="137"/>
  <c r="N516" i="137"/>
  <c r="L516" i="137"/>
  <c r="K516" i="137"/>
  <c r="J516" i="137"/>
  <c r="I516" i="137"/>
  <c r="H516" i="137"/>
  <c r="G516" i="137"/>
  <c r="F516" i="137"/>
  <c r="E516" i="137"/>
  <c r="D516" i="137"/>
  <c r="R515" i="137"/>
  <c r="Q515" i="137"/>
  <c r="P515" i="137"/>
  <c r="O515" i="137"/>
  <c r="N515" i="137"/>
  <c r="L515" i="137"/>
  <c r="K515" i="137"/>
  <c r="J515" i="137"/>
  <c r="I515" i="137"/>
  <c r="H515" i="137"/>
  <c r="G515" i="137"/>
  <c r="F515" i="137"/>
  <c r="E515" i="137"/>
  <c r="D515" i="137"/>
  <c r="R513" i="137"/>
  <c r="Q513" i="137"/>
  <c r="P513" i="137"/>
  <c r="O513" i="137"/>
  <c r="N513" i="137"/>
  <c r="L513" i="137"/>
  <c r="K513" i="137"/>
  <c r="J513" i="137"/>
  <c r="I513" i="137"/>
  <c r="H513" i="137"/>
  <c r="G513" i="137"/>
  <c r="F513" i="137"/>
  <c r="E513" i="137"/>
  <c r="D513" i="137"/>
  <c r="R512" i="137"/>
  <c r="Q512" i="137"/>
  <c r="P512" i="137"/>
  <c r="O512" i="137"/>
  <c r="N512" i="137"/>
  <c r="L512" i="137"/>
  <c r="K512" i="137"/>
  <c r="J512" i="137"/>
  <c r="I512" i="137"/>
  <c r="H512" i="137"/>
  <c r="G512" i="137"/>
  <c r="F512" i="137"/>
  <c r="E512" i="137"/>
  <c r="D512" i="137"/>
  <c r="R511" i="137"/>
  <c r="Q511" i="137"/>
  <c r="P511" i="137"/>
  <c r="O511" i="137"/>
  <c r="N511" i="137"/>
  <c r="L511" i="137"/>
  <c r="K511" i="137"/>
  <c r="J511" i="137"/>
  <c r="I511" i="137"/>
  <c r="H511" i="137"/>
  <c r="G511" i="137"/>
  <c r="F511" i="137"/>
  <c r="E511" i="137"/>
  <c r="D511" i="137"/>
  <c r="R510" i="137"/>
  <c r="Q510" i="137"/>
  <c r="P510" i="137"/>
  <c r="O510" i="137"/>
  <c r="N510" i="137"/>
  <c r="L510" i="137"/>
  <c r="K510" i="137"/>
  <c r="J510" i="137"/>
  <c r="I510" i="137"/>
  <c r="H510" i="137"/>
  <c r="G510" i="137"/>
  <c r="F510" i="137"/>
  <c r="E510" i="137"/>
  <c r="D510" i="137"/>
  <c r="R508" i="137"/>
  <c r="Q508" i="137"/>
  <c r="P508" i="137"/>
  <c r="O508" i="137"/>
  <c r="N508" i="137"/>
  <c r="L508" i="137"/>
  <c r="K508" i="137"/>
  <c r="J508" i="137"/>
  <c r="I508" i="137"/>
  <c r="H508" i="137"/>
  <c r="G508" i="137"/>
  <c r="F508" i="137"/>
  <c r="E508" i="137"/>
  <c r="D508" i="137"/>
  <c r="R507" i="137"/>
  <c r="Q507" i="137"/>
  <c r="P507" i="137"/>
  <c r="O507" i="137"/>
  <c r="N507" i="137"/>
  <c r="L507" i="137"/>
  <c r="K507" i="137"/>
  <c r="J507" i="137"/>
  <c r="I507" i="137"/>
  <c r="H507" i="137"/>
  <c r="G507" i="137"/>
  <c r="F507" i="137"/>
  <c r="E507" i="137"/>
  <c r="D507" i="137"/>
  <c r="R506" i="137"/>
  <c r="Q506" i="137"/>
  <c r="P506" i="137"/>
  <c r="O506" i="137"/>
  <c r="N506" i="137"/>
  <c r="L506" i="137"/>
  <c r="K506" i="137"/>
  <c r="J506" i="137"/>
  <c r="I506" i="137"/>
  <c r="H506" i="137"/>
  <c r="G506" i="137"/>
  <c r="F506" i="137"/>
  <c r="E506" i="137"/>
  <c r="D506" i="137"/>
  <c r="R504" i="137"/>
  <c r="Q504" i="137"/>
  <c r="P504" i="137"/>
  <c r="O504" i="137"/>
  <c r="N504" i="137"/>
  <c r="L504" i="137"/>
  <c r="K504" i="137"/>
  <c r="J504" i="137"/>
  <c r="I504" i="137"/>
  <c r="H504" i="137"/>
  <c r="G504" i="137"/>
  <c r="F504" i="137"/>
  <c r="E504" i="137"/>
  <c r="D504" i="137"/>
  <c r="R503" i="137"/>
  <c r="Q503" i="137"/>
  <c r="P503" i="137"/>
  <c r="O503" i="137"/>
  <c r="N503" i="137"/>
  <c r="L503" i="137"/>
  <c r="K503" i="137"/>
  <c r="J503" i="137"/>
  <c r="I503" i="137"/>
  <c r="H503" i="137"/>
  <c r="G503" i="137"/>
  <c r="F503" i="137"/>
  <c r="E503" i="137"/>
  <c r="D503" i="137"/>
  <c r="R502" i="137"/>
  <c r="Q502" i="137"/>
  <c r="P502" i="137"/>
  <c r="O502" i="137"/>
  <c r="N502" i="137"/>
  <c r="L502" i="137"/>
  <c r="K502" i="137"/>
  <c r="J502" i="137"/>
  <c r="I502" i="137"/>
  <c r="H502" i="137"/>
  <c r="G502" i="137"/>
  <c r="F502" i="137"/>
  <c r="E502" i="137"/>
  <c r="D502" i="137"/>
  <c r="R498" i="137"/>
  <c r="Q498" i="137"/>
  <c r="P498" i="137"/>
  <c r="O498" i="137"/>
  <c r="N498" i="137"/>
  <c r="L498" i="137"/>
  <c r="K498" i="137"/>
  <c r="J498" i="137"/>
  <c r="I498" i="137"/>
  <c r="H498" i="137"/>
  <c r="G498" i="137"/>
  <c r="F498" i="137"/>
  <c r="E498" i="137"/>
  <c r="D498" i="137"/>
  <c r="R497" i="137"/>
  <c r="Q497" i="137"/>
  <c r="P497" i="137"/>
  <c r="O497" i="137"/>
  <c r="N497" i="137"/>
  <c r="L497" i="137"/>
  <c r="K497" i="137"/>
  <c r="J497" i="137"/>
  <c r="I497" i="137"/>
  <c r="H497" i="137"/>
  <c r="G497" i="137"/>
  <c r="F497" i="137"/>
  <c r="E497" i="137"/>
  <c r="D497" i="137"/>
  <c r="R496" i="137"/>
  <c r="Q496" i="137"/>
  <c r="P496" i="137"/>
  <c r="O496" i="137"/>
  <c r="N496" i="137"/>
  <c r="L496" i="137"/>
  <c r="K496" i="137"/>
  <c r="J496" i="137"/>
  <c r="I496" i="137"/>
  <c r="H496" i="137"/>
  <c r="G496" i="137"/>
  <c r="F496" i="137"/>
  <c r="E496" i="137"/>
  <c r="D496" i="137"/>
  <c r="R494" i="137"/>
  <c r="Q494" i="137"/>
  <c r="P494" i="137"/>
  <c r="O494" i="137"/>
  <c r="N494" i="137"/>
  <c r="L494" i="137"/>
  <c r="K494" i="137"/>
  <c r="J494" i="137"/>
  <c r="I494" i="137"/>
  <c r="H494" i="137"/>
  <c r="G494" i="137"/>
  <c r="F494" i="137"/>
  <c r="E494" i="137"/>
  <c r="D494" i="137"/>
  <c r="R493" i="137"/>
  <c r="Q493" i="137"/>
  <c r="P493" i="137"/>
  <c r="O493" i="137"/>
  <c r="N493" i="137"/>
  <c r="L493" i="137"/>
  <c r="K493" i="137"/>
  <c r="J493" i="137"/>
  <c r="I493" i="137"/>
  <c r="H493" i="137"/>
  <c r="G493" i="137"/>
  <c r="F493" i="137"/>
  <c r="E493" i="137"/>
  <c r="D493" i="137"/>
  <c r="R492" i="137"/>
  <c r="Q492" i="137"/>
  <c r="P492" i="137"/>
  <c r="O492" i="137"/>
  <c r="N492" i="137"/>
  <c r="L492" i="137"/>
  <c r="K492" i="137"/>
  <c r="J492" i="137"/>
  <c r="I492" i="137"/>
  <c r="H492" i="137"/>
  <c r="G492" i="137"/>
  <c r="F492" i="137"/>
  <c r="E492" i="137"/>
  <c r="D492" i="137"/>
  <c r="R491" i="137"/>
  <c r="Q491" i="137"/>
  <c r="P491" i="137"/>
  <c r="O491" i="137"/>
  <c r="N491" i="137"/>
  <c r="L491" i="137"/>
  <c r="K491" i="137"/>
  <c r="J491" i="137"/>
  <c r="I491" i="137"/>
  <c r="H491" i="137"/>
  <c r="G491" i="137"/>
  <c r="F491" i="137"/>
  <c r="E491" i="137"/>
  <c r="D491" i="137"/>
  <c r="R489" i="137"/>
  <c r="Q489" i="137"/>
  <c r="P489" i="137"/>
  <c r="O489" i="137"/>
  <c r="N489" i="137"/>
  <c r="L489" i="137"/>
  <c r="K489" i="137"/>
  <c r="J489" i="137"/>
  <c r="I489" i="137"/>
  <c r="H489" i="137"/>
  <c r="G489" i="137"/>
  <c r="F489" i="137"/>
  <c r="E489" i="137"/>
  <c r="D489" i="137"/>
  <c r="R488" i="137"/>
  <c r="Q488" i="137"/>
  <c r="P488" i="137"/>
  <c r="O488" i="137"/>
  <c r="N488" i="137"/>
  <c r="L488" i="137"/>
  <c r="K488" i="137"/>
  <c r="J488" i="137"/>
  <c r="I488" i="137"/>
  <c r="H488" i="137"/>
  <c r="G488" i="137"/>
  <c r="F488" i="137"/>
  <c r="E488" i="137"/>
  <c r="D488" i="137"/>
  <c r="R486" i="137"/>
  <c r="Q486" i="137"/>
  <c r="P486" i="137"/>
  <c r="O486" i="137"/>
  <c r="N486" i="137"/>
  <c r="L486" i="137"/>
  <c r="K486" i="137"/>
  <c r="J486" i="137"/>
  <c r="I486" i="137"/>
  <c r="H486" i="137"/>
  <c r="G486" i="137"/>
  <c r="F486" i="137"/>
  <c r="E486" i="137"/>
  <c r="D486" i="137"/>
  <c r="R484" i="137"/>
  <c r="Q484" i="137"/>
  <c r="P484" i="137"/>
  <c r="O484" i="137"/>
  <c r="N484" i="137"/>
  <c r="L484" i="137"/>
  <c r="K484" i="137"/>
  <c r="J484" i="137"/>
  <c r="I484" i="137"/>
  <c r="H484" i="137"/>
  <c r="G484" i="137"/>
  <c r="F484" i="137"/>
  <c r="E484" i="137"/>
  <c r="D484" i="137"/>
  <c r="R482" i="137"/>
  <c r="Q482" i="137"/>
  <c r="P482" i="137"/>
  <c r="O482" i="137"/>
  <c r="N482" i="137"/>
  <c r="L482" i="137"/>
  <c r="K482" i="137"/>
  <c r="J482" i="137"/>
  <c r="I482" i="137"/>
  <c r="H482" i="137"/>
  <c r="G482" i="137"/>
  <c r="F482" i="137"/>
  <c r="E482" i="137"/>
  <c r="D482" i="137"/>
  <c r="R481" i="137"/>
  <c r="Q481" i="137"/>
  <c r="P481" i="137"/>
  <c r="O481" i="137"/>
  <c r="N481" i="137"/>
  <c r="L481" i="137"/>
  <c r="K481" i="137"/>
  <c r="J481" i="137"/>
  <c r="I481" i="137"/>
  <c r="H481" i="137"/>
  <c r="G481" i="137"/>
  <c r="F481" i="137"/>
  <c r="E481" i="137"/>
  <c r="D481" i="137"/>
  <c r="R480" i="137"/>
  <c r="Q480" i="137"/>
  <c r="P480" i="137"/>
  <c r="O480" i="137"/>
  <c r="N480" i="137"/>
  <c r="L480" i="137"/>
  <c r="K480" i="137"/>
  <c r="J480" i="137"/>
  <c r="I480" i="137"/>
  <c r="H480" i="137"/>
  <c r="G480" i="137"/>
  <c r="F480" i="137"/>
  <c r="E480" i="137"/>
  <c r="D480" i="137"/>
  <c r="R479" i="137"/>
  <c r="Q479" i="137"/>
  <c r="P479" i="137"/>
  <c r="O479" i="137"/>
  <c r="N479" i="137"/>
  <c r="L479" i="137"/>
  <c r="K479" i="137"/>
  <c r="J479" i="137"/>
  <c r="I479" i="137"/>
  <c r="H479" i="137"/>
  <c r="G479" i="137"/>
  <c r="F479" i="137"/>
  <c r="E479" i="137"/>
  <c r="D479" i="137"/>
  <c r="R478" i="137"/>
  <c r="Q478" i="137"/>
  <c r="P478" i="137"/>
  <c r="O478" i="137"/>
  <c r="N478" i="137"/>
  <c r="L478" i="137"/>
  <c r="K478" i="137"/>
  <c r="J478" i="137"/>
  <c r="I478" i="137"/>
  <c r="H478" i="137"/>
  <c r="G478" i="137"/>
  <c r="F478" i="137"/>
  <c r="E478" i="137"/>
  <c r="D478" i="137"/>
  <c r="R477" i="137"/>
  <c r="Q477" i="137"/>
  <c r="P477" i="137"/>
  <c r="O477" i="137"/>
  <c r="N477" i="137"/>
  <c r="L477" i="137"/>
  <c r="K477" i="137"/>
  <c r="J477" i="137"/>
  <c r="I477" i="137"/>
  <c r="H477" i="137"/>
  <c r="G477" i="137"/>
  <c r="F477" i="137"/>
  <c r="E477" i="137"/>
  <c r="D477" i="137"/>
  <c r="R476" i="137"/>
  <c r="Q476" i="137"/>
  <c r="P476" i="137"/>
  <c r="O476" i="137"/>
  <c r="N476" i="137"/>
  <c r="L476" i="137"/>
  <c r="K476" i="137"/>
  <c r="J476" i="137"/>
  <c r="I476" i="137"/>
  <c r="H476" i="137"/>
  <c r="G476" i="137"/>
  <c r="F476" i="137"/>
  <c r="E476" i="137"/>
  <c r="D476" i="137"/>
  <c r="R475" i="137"/>
  <c r="Q475" i="137"/>
  <c r="P475" i="137"/>
  <c r="O475" i="137"/>
  <c r="N475" i="137"/>
  <c r="L475" i="137"/>
  <c r="K475" i="137"/>
  <c r="J475" i="137"/>
  <c r="I475" i="137"/>
  <c r="H475" i="137"/>
  <c r="G475" i="137"/>
  <c r="F475" i="137"/>
  <c r="E475" i="137"/>
  <c r="D475" i="137"/>
  <c r="R474" i="137"/>
  <c r="Q474" i="137"/>
  <c r="P474" i="137"/>
  <c r="O474" i="137"/>
  <c r="N474" i="137"/>
  <c r="L474" i="137"/>
  <c r="K474" i="137"/>
  <c r="J474" i="137"/>
  <c r="I474" i="137"/>
  <c r="H474" i="137"/>
  <c r="G474" i="137"/>
  <c r="F474" i="137"/>
  <c r="E474" i="137"/>
  <c r="D474" i="137"/>
  <c r="R473" i="137"/>
  <c r="Q473" i="137"/>
  <c r="P473" i="137"/>
  <c r="O473" i="137"/>
  <c r="N473" i="137"/>
  <c r="L473" i="137"/>
  <c r="K473" i="137"/>
  <c r="J473" i="137"/>
  <c r="I473" i="137"/>
  <c r="H473" i="137"/>
  <c r="G473" i="137"/>
  <c r="F473" i="137"/>
  <c r="E473" i="137"/>
  <c r="D473" i="137"/>
  <c r="R472" i="137"/>
  <c r="Q472" i="137"/>
  <c r="P472" i="137"/>
  <c r="O472" i="137"/>
  <c r="N472" i="137"/>
  <c r="L472" i="137"/>
  <c r="K472" i="137"/>
  <c r="J472" i="137"/>
  <c r="I472" i="137"/>
  <c r="H472" i="137"/>
  <c r="G472" i="137"/>
  <c r="F472" i="137"/>
  <c r="E472" i="137"/>
  <c r="D472" i="137"/>
  <c r="R471" i="137"/>
  <c r="Q471" i="137"/>
  <c r="P471" i="137"/>
  <c r="O471" i="137"/>
  <c r="N471" i="137"/>
  <c r="L471" i="137"/>
  <c r="K471" i="137"/>
  <c r="J471" i="137"/>
  <c r="I471" i="137"/>
  <c r="H471" i="137"/>
  <c r="G471" i="137"/>
  <c r="F471" i="137"/>
  <c r="E471" i="137"/>
  <c r="D471" i="137"/>
  <c r="R469" i="137"/>
  <c r="Q469" i="137"/>
  <c r="P469" i="137"/>
  <c r="O469" i="137"/>
  <c r="N469" i="137"/>
  <c r="L469" i="137"/>
  <c r="K469" i="137"/>
  <c r="J469" i="137"/>
  <c r="I469" i="137"/>
  <c r="H469" i="137"/>
  <c r="G469" i="137"/>
  <c r="F469" i="137"/>
  <c r="E469" i="137"/>
  <c r="D469" i="137"/>
  <c r="R468" i="137"/>
  <c r="Q468" i="137"/>
  <c r="P468" i="137"/>
  <c r="O468" i="137"/>
  <c r="N468" i="137"/>
  <c r="L468" i="137"/>
  <c r="K468" i="137"/>
  <c r="J468" i="137"/>
  <c r="I468" i="137"/>
  <c r="H468" i="137"/>
  <c r="G468" i="137"/>
  <c r="F468" i="137"/>
  <c r="E468" i="137"/>
  <c r="D468" i="137"/>
  <c r="R467" i="137"/>
  <c r="Q467" i="137"/>
  <c r="P467" i="137"/>
  <c r="O467" i="137"/>
  <c r="N467" i="137"/>
  <c r="L467" i="137"/>
  <c r="K467" i="137"/>
  <c r="J467" i="137"/>
  <c r="I467" i="137"/>
  <c r="H467" i="137"/>
  <c r="G467" i="137"/>
  <c r="F467" i="137"/>
  <c r="E467" i="137"/>
  <c r="D467" i="137"/>
  <c r="R466" i="137"/>
  <c r="Q466" i="137"/>
  <c r="P466" i="137"/>
  <c r="O466" i="137"/>
  <c r="N466" i="137"/>
  <c r="L466" i="137"/>
  <c r="K466" i="137"/>
  <c r="J466" i="137"/>
  <c r="I466" i="137"/>
  <c r="H466" i="137"/>
  <c r="G466" i="137"/>
  <c r="F466" i="137"/>
  <c r="E466" i="137"/>
  <c r="D466" i="137"/>
  <c r="R465" i="137"/>
  <c r="Q465" i="137"/>
  <c r="P465" i="137"/>
  <c r="O465" i="137"/>
  <c r="N465" i="137"/>
  <c r="L465" i="137"/>
  <c r="K465" i="137"/>
  <c r="J465" i="137"/>
  <c r="I465" i="137"/>
  <c r="H465" i="137"/>
  <c r="G465" i="137"/>
  <c r="F465" i="137"/>
  <c r="E465" i="137"/>
  <c r="D465" i="137"/>
  <c r="R464" i="137"/>
  <c r="Q464" i="137"/>
  <c r="P464" i="137"/>
  <c r="O464" i="137"/>
  <c r="N464" i="137"/>
  <c r="L464" i="137"/>
  <c r="K464" i="137"/>
  <c r="J464" i="137"/>
  <c r="I464" i="137"/>
  <c r="H464" i="137"/>
  <c r="G464" i="137"/>
  <c r="F464" i="137"/>
  <c r="E464" i="137"/>
  <c r="D464" i="137"/>
  <c r="R463" i="137"/>
  <c r="Q463" i="137"/>
  <c r="P463" i="137"/>
  <c r="O463" i="137"/>
  <c r="N463" i="137"/>
  <c r="L463" i="137"/>
  <c r="K463" i="137"/>
  <c r="J463" i="137"/>
  <c r="I463" i="137"/>
  <c r="H463" i="137"/>
  <c r="G463" i="137"/>
  <c r="F463" i="137"/>
  <c r="E463" i="137"/>
  <c r="D463" i="137"/>
  <c r="R462" i="137"/>
  <c r="Q462" i="137"/>
  <c r="P462" i="137"/>
  <c r="O462" i="137"/>
  <c r="N462" i="137"/>
  <c r="L462" i="137"/>
  <c r="K462" i="137"/>
  <c r="J462" i="137"/>
  <c r="I462" i="137"/>
  <c r="H462" i="137"/>
  <c r="G462" i="137"/>
  <c r="F462" i="137"/>
  <c r="E462" i="137"/>
  <c r="D462" i="137"/>
  <c r="R461" i="137"/>
  <c r="Q461" i="137"/>
  <c r="P461" i="137"/>
  <c r="O461" i="137"/>
  <c r="N461" i="137"/>
  <c r="L461" i="137"/>
  <c r="K461" i="137"/>
  <c r="J461" i="137"/>
  <c r="I461" i="137"/>
  <c r="H461" i="137"/>
  <c r="G461" i="137"/>
  <c r="F461" i="137"/>
  <c r="E461" i="137"/>
  <c r="D461" i="137"/>
  <c r="R459" i="137"/>
  <c r="Q459" i="137"/>
  <c r="P459" i="137"/>
  <c r="O459" i="137"/>
  <c r="N459" i="137"/>
  <c r="L459" i="137"/>
  <c r="K459" i="137"/>
  <c r="J459" i="137"/>
  <c r="I459" i="137"/>
  <c r="H459" i="137"/>
  <c r="G459" i="137"/>
  <c r="F459" i="137"/>
  <c r="E459" i="137"/>
  <c r="D459" i="137"/>
  <c r="R458" i="137"/>
  <c r="Q458" i="137"/>
  <c r="P458" i="137"/>
  <c r="O458" i="137"/>
  <c r="N458" i="137"/>
  <c r="L458" i="137"/>
  <c r="K458" i="137"/>
  <c r="J458" i="137"/>
  <c r="I458" i="137"/>
  <c r="H458" i="137"/>
  <c r="G458" i="137"/>
  <c r="F458" i="137"/>
  <c r="E458" i="137"/>
  <c r="D458" i="137"/>
  <c r="R457" i="137"/>
  <c r="Q457" i="137"/>
  <c r="P457" i="137"/>
  <c r="O457" i="137"/>
  <c r="N457" i="137"/>
  <c r="L457" i="137"/>
  <c r="K457" i="137"/>
  <c r="J457" i="137"/>
  <c r="I457" i="137"/>
  <c r="H457" i="137"/>
  <c r="G457" i="137"/>
  <c r="F457" i="137"/>
  <c r="E457" i="137"/>
  <c r="D457" i="137"/>
  <c r="R453" i="137"/>
  <c r="Q453" i="137"/>
  <c r="P453" i="137"/>
  <c r="O453" i="137"/>
  <c r="N453" i="137"/>
  <c r="L453" i="137"/>
  <c r="K453" i="137"/>
  <c r="J453" i="137"/>
  <c r="I453" i="137"/>
  <c r="H453" i="137"/>
  <c r="G453" i="137"/>
  <c r="F453" i="137"/>
  <c r="E453" i="137"/>
  <c r="D453" i="137"/>
  <c r="R451" i="137"/>
  <c r="Q451" i="137"/>
  <c r="P451" i="137"/>
  <c r="O451" i="137"/>
  <c r="N451" i="137"/>
  <c r="L451" i="137"/>
  <c r="K451" i="137"/>
  <c r="J451" i="137"/>
  <c r="I451" i="137"/>
  <c r="H451" i="137"/>
  <c r="G451" i="137"/>
  <c r="F451" i="137"/>
  <c r="E451" i="137"/>
  <c r="D451" i="137"/>
  <c r="R449" i="137"/>
  <c r="Q449" i="137"/>
  <c r="P449" i="137"/>
  <c r="O449" i="137"/>
  <c r="N449" i="137"/>
  <c r="L449" i="137"/>
  <c r="K449" i="137"/>
  <c r="J449" i="137"/>
  <c r="I449" i="137"/>
  <c r="H449" i="137"/>
  <c r="G449" i="137"/>
  <c r="F449" i="137"/>
  <c r="E449" i="137"/>
  <c r="D449" i="137"/>
  <c r="R448" i="137"/>
  <c r="Q448" i="137"/>
  <c r="P448" i="137"/>
  <c r="O448" i="137"/>
  <c r="N448" i="137"/>
  <c r="L448" i="137"/>
  <c r="K448" i="137"/>
  <c r="J448" i="137"/>
  <c r="I448" i="137"/>
  <c r="H448" i="137"/>
  <c r="G448" i="137"/>
  <c r="F448" i="137"/>
  <c r="E448" i="137"/>
  <c r="D448" i="137"/>
  <c r="R447" i="137"/>
  <c r="Q447" i="137"/>
  <c r="P447" i="137"/>
  <c r="O447" i="137"/>
  <c r="N447" i="137"/>
  <c r="L447" i="137"/>
  <c r="K447" i="137"/>
  <c r="J447" i="137"/>
  <c r="I447" i="137"/>
  <c r="H447" i="137"/>
  <c r="G447" i="137"/>
  <c r="F447" i="137"/>
  <c r="E447" i="137"/>
  <c r="D447" i="137"/>
  <c r="R446" i="137"/>
  <c r="Q446" i="137"/>
  <c r="P446" i="137"/>
  <c r="O446" i="137"/>
  <c r="N446" i="137"/>
  <c r="L446" i="137"/>
  <c r="K446" i="137"/>
  <c r="J446" i="137"/>
  <c r="I446" i="137"/>
  <c r="H446" i="137"/>
  <c r="G446" i="137"/>
  <c r="F446" i="137"/>
  <c r="E446" i="137"/>
  <c r="D446" i="137"/>
  <c r="R445" i="137"/>
  <c r="Q445" i="137"/>
  <c r="P445" i="137"/>
  <c r="O445" i="137"/>
  <c r="N445" i="137"/>
  <c r="L445" i="137"/>
  <c r="K445" i="137"/>
  <c r="J445" i="137"/>
  <c r="I445" i="137"/>
  <c r="H445" i="137"/>
  <c r="G445" i="137"/>
  <c r="F445" i="137"/>
  <c r="E445" i="137"/>
  <c r="D445" i="137"/>
  <c r="R444" i="137"/>
  <c r="Q444" i="137"/>
  <c r="P444" i="137"/>
  <c r="O444" i="137"/>
  <c r="N444" i="137"/>
  <c r="L444" i="137"/>
  <c r="K444" i="137"/>
  <c r="J444" i="137"/>
  <c r="I444" i="137"/>
  <c r="H444" i="137"/>
  <c r="G444" i="137"/>
  <c r="F444" i="137"/>
  <c r="E444" i="137"/>
  <c r="D444" i="137"/>
  <c r="R442" i="137"/>
  <c r="Q442" i="137"/>
  <c r="P442" i="137"/>
  <c r="O442" i="137"/>
  <c r="N442" i="137"/>
  <c r="L442" i="137"/>
  <c r="K442" i="137"/>
  <c r="J442" i="137"/>
  <c r="I442" i="137"/>
  <c r="H442" i="137"/>
  <c r="G442" i="137"/>
  <c r="F442" i="137"/>
  <c r="E442" i="137"/>
  <c r="D442" i="137"/>
  <c r="R441" i="137"/>
  <c r="Q441" i="137"/>
  <c r="P441" i="137"/>
  <c r="O441" i="137"/>
  <c r="N441" i="137"/>
  <c r="L441" i="137"/>
  <c r="K441" i="137"/>
  <c r="J441" i="137"/>
  <c r="I441" i="137"/>
  <c r="H441" i="137"/>
  <c r="G441" i="137"/>
  <c r="F441" i="137"/>
  <c r="E441" i="137"/>
  <c r="D441" i="137"/>
  <c r="R438" i="137"/>
  <c r="Q438" i="137"/>
  <c r="P438" i="137"/>
  <c r="O438" i="137"/>
  <c r="N438" i="137"/>
  <c r="L438" i="137"/>
  <c r="K438" i="137"/>
  <c r="J438" i="137"/>
  <c r="I438" i="137"/>
  <c r="H438" i="137"/>
  <c r="G438" i="137"/>
  <c r="F438" i="137"/>
  <c r="E438" i="137"/>
  <c r="D438" i="137"/>
  <c r="R437" i="137"/>
  <c r="Q437" i="137"/>
  <c r="P437" i="137"/>
  <c r="O437" i="137"/>
  <c r="N437" i="137"/>
  <c r="L437" i="137"/>
  <c r="K437" i="137"/>
  <c r="J437" i="137"/>
  <c r="I437" i="137"/>
  <c r="H437" i="137"/>
  <c r="G437" i="137"/>
  <c r="F437" i="137"/>
  <c r="E437" i="137"/>
  <c r="D437" i="137"/>
  <c r="R436" i="137"/>
  <c r="Q436" i="137"/>
  <c r="P436" i="137"/>
  <c r="O436" i="137"/>
  <c r="N436" i="137"/>
  <c r="L436" i="137"/>
  <c r="K436" i="137"/>
  <c r="J436" i="137"/>
  <c r="I436" i="137"/>
  <c r="H436" i="137"/>
  <c r="G436" i="137"/>
  <c r="F436" i="137"/>
  <c r="E436" i="137"/>
  <c r="D436" i="137"/>
  <c r="R435" i="137"/>
  <c r="Q435" i="137"/>
  <c r="P435" i="137"/>
  <c r="O435" i="137"/>
  <c r="N435" i="137"/>
  <c r="L435" i="137"/>
  <c r="K435" i="137"/>
  <c r="J435" i="137"/>
  <c r="I435" i="137"/>
  <c r="H435" i="137"/>
  <c r="G435" i="137"/>
  <c r="F435" i="137"/>
  <c r="E435" i="137"/>
  <c r="D435" i="137"/>
  <c r="R434" i="137"/>
  <c r="Q434" i="137"/>
  <c r="P434" i="137"/>
  <c r="O434" i="137"/>
  <c r="N434" i="137"/>
  <c r="L434" i="137"/>
  <c r="K434" i="137"/>
  <c r="J434" i="137"/>
  <c r="I434" i="137"/>
  <c r="H434" i="137"/>
  <c r="G434" i="137"/>
  <c r="F434" i="137"/>
  <c r="E434" i="137"/>
  <c r="D434" i="137"/>
  <c r="R432" i="137"/>
  <c r="Q432" i="137"/>
  <c r="P432" i="137"/>
  <c r="O432" i="137"/>
  <c r="N432" i="137"/>
  <c r="L432" i="137"/>
  <c r="K432" i="137"/>
  <c r="J432" i="137"/>
  <c r="I432" i="137"/>
  <c r="H432" i="137"/>
  <c r="G432" i="137"/>
  <c r="F432" i="137"/>
  <c r="E432" i="137"/>
  <c r="D432" i="137"/>
  <c r="R431" i="137"/>
  <c r="Q431" i="137"/>
  <c r="P431" i="137"/>
  <c r="O431" i="137"/>
  <c r="N431" i="137"/>
  <c r="L431" i="137"/>
  <c r="K431" i="137"/>
  <c r="J431" i="137"/>
  <c r="I431" i="137"/>
  <c r="H431" i="137"/>
  <c r="G431" i="137"/>
  <c r="F431" i="137"/>
  <c r="E431" i="137"/>
  <c r="D431" i="137"/>
  <c r="R429" i="137"/>
  <c r="Q429" i="137"/>
  <c r="P429" i="137"/>
  <c r="O429" i="137"/>
  <c r="N429" i="137"/>
  <c r="L429" i="137"/>
  <c r="K429" i="137"/>
  <c r="J429" i="137"/>
  <c r="I429" i="137"/>
  <c r="H429" i="137"/>
  <c r="G429" i="137"/>
  <c r="F429" i="137"/>
  <c r="E429" i="137"/>
  <c r="D429" i="137"/>
  <c r="R427" i="137"/>
  <c r="Q427" i="137"/>
  <c r="P427" i="137"/>
  <c r="O427" i="137"/>
  <c r="N427" i="137"/>
  <c r="L427" i="137"/>
  <c r="K427" i="137"/>
  <c r="J427" i="137"/>
  <c r="I427" i="137"/>
  <c r="H427" i="137"/>
  <c r="G427" i="137"/>
  <c r="F427" i="137"/>
  <c r="E427" i="137"/>
  <c r="D427" i="137"/>
  <c r="R426" i="137"/>
  <c r="Q426" i="137"/>
  <c r="P426" i="137"/>
  <c r="O426" i="137"/>
  <c r="N426" i="137"/>
  <c r="L426" i="137"/>
  <c r="K426" i="137"/>
  <c r="J426" i="137"/>
  <c r="I426" i="137"/>
  <c r="H426" i="137"/>
  <c r="G426" i="137"/>
  <c r="F426" i="137"/>
  <c r="E426" i="137"/>
  <c r="D426" i="137"/>
  <c r="R425" i="137"/>
  <c r="Q425" i="137"/>
  <c r="P425" i="137"/>
  <c r="O425" i="137"/>
  <c r="N425" i="137"/>
  <c r="L425" i="137"/>
  <c r="K425" i="137"/>
  <c r="J425" i="137"/>
  <c r="I425" i="137"/>
  <c r="H425" i="137"/>
  <c r="G425" i="137"/>
  <c r="F425" i="137"/>
  <c r="E425" i="137"/>
  <c r="D425" i="137"/>
  <c r="R423" i="137"/>
  <c r="Q423" i="137"/>
  <c r="P423" i="137"/>
  <c r="O423" i="137"/>
  <c r="N423" i="137"/>
  <c r="L423" i="137"/>
  <c r="K423" i="137"/>
  <c r="J423" i="137"/>
  <c r="I423" i="137"/>
  <c r="H423" i="137"/>
  <c r="G423" i="137"/>
  <c r="F423" i="137"/>
  <c r="E423" i="137"/>
  <c r="D423" i="137"/>
  <c r="R421" i="137"/>
  <c r="Q421" i="137"/>
  <c r="P421" i="137"/>
  <c r="O421" i="137"/>
  <c r="N421" i="137"/>
  <c r="L421" i="137"/>
  <c r="K421" i="137"/>
  <c r="J421" i="137"/>
  <c r="I421" i="137"/>
  <c r="H421" i="137"/>
  <c r="G421" i="137"/>
  <c r="F421" i="137"/>
  <c r="E421" i="137"/>
  <c r="D421" i="137"/>
  <c r="R419" i="137"/>
  <c r="Q419" i="137"/>
  <c r="P419" i="137"/>
  <c r="O419" i="137"/>
  <c r="N419" i="137"/>
  <c r="L419" i="137"/>
  <c r="K419" i="137"/>
  <c r="J419" i="137"/>
  <c r="I419" i="137"/>
  <c r="H419" i="137"/>
  <c r="G419" i="137"/>
  <c r="F419" i="137"/>
  <c r="E419" i="137"/>
  <c r="D419" i="137"/>
  <c r="R417" i="137"/>
  <c r="Q417" i="137"/>
  <c r="P417" i="137"/>
  <c r="O417" i="137"/>
  <c r="N417" i="137"/>
  <c r="L417" i="137"/>
  <c r="K417" i="137"/>
  <c r="J417" i="137"/>
  <c r="I417" i="137"/>
  <c r="H417" i="137"/>
  <c r="G417" i="137"/>
  <c r="F417" i="137"/>
  <c r="E417" i="137"/>
  <c r="D417" i="137"/>
  <c r="R415" i="137"/>
  <c r="Q415" i="137"/>
  <c r="P415" i="137"/>
  <c r="O415" i="137"/>
  <c r="N415" i="137"/>
  <c r="L415" i="137"/>
  <c r="K415" i="137"/>
  <c r="J415" i="137"/>
  <c r="I415" i="137"/>
  <c r="H415" i="137"/>
  <c r="G415" i="137"/>
  <c r="F415" i="137"/>
  <c r="E415" i="137"/>
  <c r="D415" i="137"/>
  <c r="R414" i="137"/>
  <c r="Q414" i="137"/>
  <c r="P414" i="137"/>
  <c r="O414" i="137"/>
  <c r="N414" i="137"/>
  <c r="L414" i="137"/>
  <c r="K414" i="137"/>
  <c r="J414" i="137"/>
  <c r="I414" i="137"/>
  <c r="H414" i="137"/>
  <c r="G414" i="137"/>
  <c r="F414" i="137"/>
  <c r="E414" i="137"/>
  <c r="D414" i="137"/>
  <c r="R413" i="137"/>
  <c r="Q413" i="137"/>
  <c r="P413" i="137"/>
  <c r="O413" i="137"/>
  <c r="N413" i="137"/>
  <c r="L413" i="137"/>
  <c r="K413" i="137"/>
  <c r="J413" i="137"/>
  <c r="I413" i="137"/>
  <c r="H413" i="137"/>
  <c r="G413" i="137"/>
  <c r="F413" i="137"/>
  <c r="E413" i="137"/>
  <c r="D413" i="137"/>
  <c r="R411" i="137"/>
  <c r="Q411" i="137"/>
  <c r="P411" i="137"/>
  <c r="O411" i="137"/>
  <c r="N411" i="137"/>
  <c r="L411" i="137"/>
  <c r="K411" i="137"/>
  <c r="J411" i="137"/>
  <c r="I411" i="137"/>
  <c r="H411" i="137"/>
  <c r="G411" i="137"/>
  <c r="F411" i="137"/>
  <c r="E411" i="137"/>
  <c r="D411" i="137"/>
  <c r="R410" i="137"/>
  <c r="Q410" i="137"/>
  <c r="P410" i="137"/>
  <c r="O410" i="137"/>
  <c r="N410" i="137"/>
  <c r="L410" i="137"/>
  <c r="K410" i="137"/>
  <c r="J410" i="137"/>
  <c r="I410" i="137"/>
  <c r="H410" i="137"/>
  <c r="G410" i="137"/>
  <c r="F410" i="137"/>
  <c r="E410" i="137"/>
  <c r="D410" i="137"/>
  <c r="R408" i="137"/>
  <c r="Q408" i="137"/>
  <c r="P408" i="137"/>
  <c r="O408" i="137"/>
  <c r="N408" i="137"/>
  <c r="L408" i="137"/>
  <c r="K408" i="137"/>
  <c r="J408" i="137"/>
  <c r="I408" i="137"/>
  <c r="H408" i="137"/>
  <c r="G408" i="137"/>
  <c r="F408" i="137"/>
  <c r="E408" i="137"/>
  <c r="D408" i="137"/>
  <c r="R407" i="137"/>
  <c r="Q407" i="137"/>
  <c r="P407" i="137"/>
  <c r="O407" i="137"/>
  <c r="N407" i="137"/>
  <c r="L407" i="137"/>
  <c r="K407" i="137"/>
  <c r="J407" i="137"/>
  <c r="I407" i="137"/>
  <c r="H407" i="137"/>
  <c r="G407" i="137"/>
  <c r="F407" i="137"/>
  <c r="E407" i="137"/>
  <c r="D407" i="137"/>
  <c r="R406" i="137"/>
  <c r="Q406" i="137"/>
  <c r="P406" i="137"/>
  <c r="O406" i="137"/>
  <c r="N406" i="137"/>
  <c r="L406" i="137"/>
  <c r="K406" i="137"/>
  <c r="J406" i="137"/>
  <c r="I406" i="137"/>
  <c r="H406" i="137"/>
  <c r="G406" i="137"/>
  <c r="F406" i="137"/>
  <c r="E406" i="137"/>
  <c r="D406" i="137"/>
  <c r="R405" i="137"/>
  <c r="Q405" i="137"/>
  <c r="P405" i="137"/>
  <c r="O405" i="137"/>
  <c r="N405" i="137"/>
  <c r="L405" i="137"/>
  <c r="K405" i="137"/>
  <c r="J405" i="137"/>
  <c r="I405" i="137"/>
  <c r="H405" i="137"/>
  <c r="G405" i="137"/>
  <c r="F405" i="137"/>
  <c r="E405" i="137"/>
  <c r="D405" i="137"/>
  <c r="R404" i="137"/>
  <c r="Q404" i="137"/>
  <c r="P404" i="137"/>
  <c r="O404" i="137"/>
  <c r="N404" i="137"/>
  <c r="L404" i="137"/>
  <c r="K404" i="137"/>
  <c r="J404" i="137"/>
  <c r="I404" i="137"/>
  <c r="H404" i="137"/>
  <c r="G404" i="137"/>
  <c r="F404" i="137"/>
  <c r="E404" i="137"/>
  <c r="D404" i="137"/>
  <c r="R402" i="137"/>
  <c r="Q402" i="137"/>
  <c r="P402" i="137"/>
  <c r="O402" i="137"/>
  <c r="N402" i="137"/>
  <c r="L402" i="137"/>
  <c r="K402" i="137"/>
  <c r="J402" i="137"/>
  <c r="I402" i="137"/>
  <c r="H402" i="137"/>
  <c r="G402" i="137"/>
  <c r="F402" i="137"/>
  <c r="E402" i="137"/>
  <c r="D402" i="137"/>
  <c r="R401" i="137"/>
  <c r="Q401" i="137"/>
  <c r="P401" i="137"/>
  <c r="O401" i="137"/>
  <c r="N401" i="137"/>
  <c r="L401" i="137"/>
  <c r="K401" i="137"/>
  <c r="J401" i="137"/>
  <c r="I401" i="137"/>
  <c r="H401" i="137"/>
  <c r="G401" i="137"/>
  <c r="F401" i="137"/>
  <c r="E401" i="137"/>
  <c r="D401" i="137"/>
  <c r="R399" i="137"/>
  <c r="Q399" i="137"/>
  <c r="P399" i="137"/>
  <c r="O399" i="137"/>
  <c r="N399" i="137"/>
  <c r="L399" i="137"/>
  <c r="K399" i="137"/>
  <c r="J399" i="137"/>
  <c r="I399" i="137"/>
  <c r="H399" i="137"/>
  <c r="G399" i="137"/>
  <c r="F399" i="137"/>
  <c r="E399" i="137"/>
  <c r="D399" i="137"/>
  <c r="R398" i="137"/>
  <c r="Q398" i="137"/>
  <c r="P398" i="137"/>
  <c r="O398" i="137"/>
  <c r="N398" i="137"/>
  <c r="L398" i="137"/>
  <c r="K398" i="137"/>
  <c r="J398" i="137"/>
  <c r="I398" i="137"/>
  <c r="H398" i="137"/>
  <c r="G398" i="137"/>
  <c r="F398" i="137"/>
  <c r="E398" i="137"/>
  <c r="D398" i="137"/>
  <c r="R396" i="137"/>
  <c r="Q396" i="137"/>
  <c r="P396" i="137"/>
  <c r="O396" i="137"/>
  <c r="N396" i="137"/>
  <c r="L396" i="137"/>
  <c r="K396" i="137"/>
  <c r="J396" i="137"/>
  <c r="I396" i="137"/>
  <c r="H396" i="137"/>
  <c r="G396" i="137"/>
  <c r="F396" i="137"/>
  <c r="E396" i="137"/>
  <c r="D396" i="137"/>
  <c r="R395" i="137"/>
  <c r="Q395" i="137"/>
  <c r="P395" i="137"/>
  <c r="O395" i="137"/>
  <c r="N395" i="137"/>
  <c r="L395" i="137"/>
  <c r="K395" i="137"/>
  <c r="J395" i="137"/>
  <c r="I395" i="137"/>
  <c r="H395" i="137"/>
  <c r="G395" i="137"/>
  <c r="F395" i="137"/>
  <c r="E395" i="137"/>
  <c r="D395" i="137"/>
  <c r="R394" i="137"/>
  <c r="Q394" i="137"/>
  <c r="P394" i="137"/>
  <c r="O394" i="137"/>
  <c r="N394" i="137"/>
  <c r="L394" i="137"/>
  <c r="K394" i="137"/>
  <c r="J394" i="137"/>
  <c r="I394" i="137"/>
  <c r="H394" i="137"/>
  <c r="G394" i="137"/>
  <c r="F394" i="137"/>
  <c r="E394" i="137"/>
  <c r="D394" i="137"/>
  <c r="R392" i="137"/>
  <c r="Q392" i="137"/>
  <c r="P392" i="137"/>
  <c r="O392" i="137"/>
  <c r="N392" i="137"/>
  <c r="L392" i="137"/>
  <c r="K392" i="137"/>
  <c r="J392" i="137"/>
  <c r="I392" i="137"/>
  <c r="H392" i="137"/>
  <c r="G392" i="137"/>
  <c r="F392" i="137"/>
  <c r="E392" i="137"/>
  <c r="D392" i="137"/>
  <c r="R391" i="137"/>
  <c r="Q391" i="137"/>
  <c r="P391" i="137"/>
  <c r="O391" i="137"/>
  <c r="N391" i="137"/>
  <c r="L391" i="137"/>
  <c r="K391" i="137"/>
  <c r="J391" i="137"/>
  <c r="I391" i="137"/>
  <c r="H391" i="137"/>
  <c r="G391" i="137"/>
  <c r="F391" i="137"/>
  <c r="E391" i="137"/>
  <c r="D391" i="137"/>
  <c r="R390" i="137"/>
  <c r="Q390" i="137"/>
  <c r="P390" i="137"/>
  <c r="O390" i="137"/>
  <c r="N390" i="137"/>
  <c r="L390" i="137"/>
  <c r="K390" i="137"/>
  <c r="J390" i="137"/>
  <c r="I390" i="137"/>
  <c r="H390" i="137"/>
  <c r="G390" i="137"/>
  <c r="F390" i="137"/>
  <c r="E390" i="137"/>
  <c r="D390" i="137"/>
  <c r="R389" i="137"/>
  <c r="Q389" i="137"/>
  <c r="P389" i="137"/>
  <c r="O389" i="137"/>
  <c r="N389" i="137"/>
  <c r="L389" i="137"/>
  <c r="K389" i="137"/>
  <c r="J389" i="137"/>
  <c r="I389" i="137"/>
  <c r="H389" i="137"/>
  <c r="G389" i="137"/>
  <c r="F389" i="137"/>
  <c r="E389" i="137"/>
  <c r="D389" i="137"/>
  <c r="R388" i="137"/>
  <c r="Q388" i="137"/>
  <c r="P388" i="137"/>
  <c r="O388" i="137"/>
  <c r="N388" i="137"/>
  <c r="L388" i="137"/>
  <c r="K388" i="137"/>
  <c r="J388" i="137"/>
  <c r="I388" i="137"/>
  <c r="H388" i="137"/>
  <c r="G388" i="137"/>
  <c r="F388" i="137"/>
  <c r="E388" i="137"/>
  <c r="D388" i="137"/>
  <c r="R387" i="137"/>
  <c r="Q387" i="137"/>
  <c r="P387" i="137"/>
  <c r="O387" i="137"/>
  <c r="N387" i="137"/>
  <c r="L387" i="137"/>
  <c r="K387" i="137"/>
  <c r="J387" i="137"/>
  <c r="I387" i="137"/>
  <c r="H387" i="137"/>
  <c r="G387" i="137"/>
  <c r="F387" i="137"/>
  <c r="E387" i="137"/>
  <c r="D387" i="137"/>
  <c r="R386" i="137"/>
  <c r="Q386" i="137"/>
  <c r="P386" i="137"/>
  <c r="O386" i="137"/>
  <c r="N386" i="137"/>
  <c r="L386" i="137"/>
  <c r="K386" i="137"/>
  <c r="J386" i="137"/>
  <c r="I386" i="137"/>
  <c r="H386" i="137"/>
  <c r="G386" i="137"/>
  <c r="F386" i="137"/>
  <c r="E386" i="137"/>
  <c r="D386" i="137"/>
  <c r="R385" i="137"/>
  <c r="Q385" i="137"/>
  <c r="P385" i="137"/>
  <c r="O385" i="137"/>
  <c r="N385" i="137"/>
  <c r="L385" i="137"/>
  <c r="K385" i="137"/>
  <c r="J385" i="137"/>
  <c r="I385" i="137"/>
  <c r="H385" i="137"/>
  <c r="G385" i="137"/>
  <c r="F385" i="137"/>
  <c r="E385" i="137"/>
  <c r="D385" i="137"/>
  <c r="R384" i="137"/>
  <c r="Q384" i="137"/>
  <c r="P384" i="137"/>
  <c r="O384" i="137"/>
  <c r="N384" i="137"/>
  <c r="L384" i="137"/>
  <c r="K384" i="137"/>
  <c r="J384" i="137"/>
  <c r="I384" i="137"/>
  <c r="H384" i="137"/>
  <c r="G384" i="137"/>
  <c r="F384" i="137"/>
  <c r="E384" i="137"/>
  <c r="D384" i="137"/>
  <c r="R383" i="137"/>
  <c r="Q383" i="137"/>
  <c r="P383" i="137"/>
  <c r="O383" i="137"/>
  <c r="N383" i="137"/>
  <c r="L383" i="137"/>
  <c r="K383" i="137"/>
  <c r="J383" i="137"/>
  <c r="I383" i="137"/>
  <c r="H383" i="137"/>
  <c r="G383" i="137"/>
  <c r="F383" i="137"/>
  <c r="E383" i="137"/>
  <c r="D383" i="137"/>
  <c r="R382" i="137"/>
  <c r="Q382" i="137"/>
  <c r="P382" i="137"/>
  <c r="O382" i="137"/>
  <c r="N382" i="137"/>
  <c r="L382" i="137"/>
  <c r="K382" i="137"/>
  <c r="J382" i="137"/>
  <c r="I382" i="137"/>
  <c r="H382" i="137"/>
  <c r="G382" i="137"/>
  <c r="F382" i="137"/>
  <c r="E382" i="137"/>
  <c r="D382" i="137"/>
  <c r="R381" i="137"/>
  <c r="Q381" i="137"/>
  <c r="P381" i="137"/>
  <c r="O381" i="137"/>
  <c r="N381" i="137"/>
  <c r="L381" i="137"/>
  <c r="K381" i="137"/>
  <c r="J381" i="137"/>
  <c r="I381" i="137"/>
  <c r="H381" i="137"/>
  <c r="G381" i="137"/>
  <c r="F381" i="137"/>
  <c r="E381" i="137"/>
  <c r="D381" i="137"/>
  <c r="R378" i="137"/>
  <c r="Q378" i="137"/>
  <c r="P378" i="137"/>
  <c r="O378" i="137"/>
  <c r="N378" i="137"/>
  <c r="L378" i="137"/>
  <c r="K378" i="137"/>
  <c r="J378" i="137"/>
  <c r="I378" i="137"/>
  <c r="H378" i="137"/>
  <c r="G378" i="137"/>
  <c r="F378" i="137"/>
  <c r="E378" i="137"/>
  <c r="D378" i="137"/>
  <c r="R377" i="137"/>
  <c r="Q377" i="137"/>
  <c r="P377" i="137"/>
  <c r="O377" i="137"/>
  <c r="N377" i="137"/>
  <c r="L377" i="137"/>
  <c r="K377" i="137"/>
  <c r="J377" i="137"/>
  <c r="I377" i="137"/>
  <c r="H377" i="137"/>
  <c r="G377" i="137"/>
  <c r="F377" i="137"/>
  <c r="E377" i="137"/>
  <c r="D377" i="137"/>
  <c r="R374" i="137"/>
  <c r="Q374" i="137"/>
  <c r="P374" i="137"/>
  <c r="O374" i="137"/>
  <c r="N374" i="137"/>
  <c r="L374" i="137"/>
  <c r="K374" i="137"/>
  <c r="J374" i="137"/>
  <c r="I374" i="137"/>
  <c r="H374" i="137"/>
  <c r="G374" i="137"/>
  <c r="F374" i="137"/>
  <c r="E374" i="137"/>
  <c r="D374" i="137"/>
  <c r="R371" i="137"/>
  <c r="Q371" i="137"/>
  <c r="P371" i="137"/>
  <c r="O371" i="137"/>
  <c r="N371" i="137"/>
  <c r="L371" i="137"/>
  <c r="K371" i="137"/>
  <c r="J371" i="137"/>
  <c r="I371" i="137"/>
  <c r="H371" i="137"/>
  <c r="G371" i="137"/>
  <c r="F371" i="137"/>
  <c r="E371" i="137"/>
  <c r="D371" i="137"/>
  <c r="R370" i="137"/>
  <c r="Q370" i="137"/>
  <c r="P370" i="137"/>
  <c r="O370" i="137"/>
  <c r="N370" i="137"/>
  <c r="L370" i="137"/>
  <c r="K370" i="137"/>
  <c r="J370" i="137"/>
  <c r="I370" i="137"/>
  <c r="H370" i="137"/>
  <c r="G370" i="137"/>
  <c r="F370" i="137"/>
  <c r="E370" i="137"/>
  <c r="D370" i="137"/>
  <c r="R368" i="137"/>
  <c r="Q368" i="137"/>
  <c r="P368" i="137"/>
  <c r="O368" i="137"/>
  <c r="N368" i="137"/>
  <c r="L368" i="137"/>
  <c r="K368" i="137"/>
  <c r="J368" i="137"/>
  <c r="I368" i="137"/>
  <c r="H368" i="137"/>
  <c r="G368" i="137"/>
  <c r="F368" i="137"/>
  <c r="E368" i="137"/>
  <c r="D368" i="137"/>
  <c r="R364" i="137"/>
  <c r="Q364" i="137"/>
  <c r="P364" i="137"/>
  <c r="O364" i="137"/>
  <c r="N364" i="137"/>
  <c r="L364" i="137"/>
  <c r="K364" i="137"/>
  <c r="J364" i="137"/>
  <c r="I364" i="137"/>
  <c r="H364" i="137"/>
  <c r="G364" i="137"/>
  <c r="F364" i="137"/>
  <c r="E364" i="137"/>
  <c r="D364" i="137"/>
  <c r="R362" i="137"/>
  <c r="Q362" i="137"/>
  <c r="P362" i="137"/>
  <c r="O362" i="137"/>
  <c r="N362" i="137"/>
  <c r="L362" i="137"/>
  <c r="K362" i="137"/>
  <c r="J362" i="137"/>
  <c r="I362" i="137"/>
  <c r="H362" i="137"/>
  <c r="G362" i="137"/>
  <c r="F362" i="137"/>
  <c r="E362" i="137"/>
  <c r="D362" i="137"/>
  <c r="R359" i="137"/>
  <c r="Q359" i="137"/>
  <c r="P359" i="137"/>
  <c r="O359" i="137"/>
  <c r="N359" i="137"/>
  <c r="L359" i="137"/>
  <c r="K359" i="137"/>
  <c r="J359" i="137"/>
  <c r="I359" i="137"/>
  <c r="H359" i="137"/>
  <c r="G359" i="137"/>
  <c r="F359" i="137"/>
  <c r="E359" i="137"/>
  <c r="D359" i="137"/>
  <c r="R358" i="137"/>
  <c r="Q358" i="137"/>
  <c r="P358" i="137"/>
  <c r="O358" i="137"/>
  <c r="N358" i="137"/>
  <c r="L358" i="137"/>
  <c r="K358" i="137"/>
  <c r="J358" i="137"/>
  <c r="I358" i="137"/>
  <c r="H358" i="137"/>
  <c r="G358" i="137"/>
  <c r="F358" i="137"/>
  <c r="E358" i="137"/>
  <c r="D358" i="137"/>
  <c r="R357" i="137"/>
  <c r="Q357" i="137"/>
  <c r="P357" i="137"/>
  <c r="O357" i="137"/>
  <c r="N357" i="137"/>
  <c r="L357" i="137"/>
  <c r="K357" i="137"/>
  <c r="J357" i="137"/>
  <c r="I357" i="137"/>
  <c r="H357" i="137"/>
  <c r="G357" i="137"/>
  <c r="F357" i="137"/>
  <c r="E357" i="137"/>
  <c r="D357" i="137"/>
  <c r="R356" i="137"/>
  <c r="Q356" i="137"/>
  <c r="P356" i="137"/>
  <c r="O356" i="137"/>
  <c r="N356" i="137"/>
  <c r="L356" i="137"/>
  <c r="K356" i="137"/>
  <c r="J356" i="137"/>
  <c r="I356" i="137"/>
  <c r="H356" i="137"/>
  <c r="G356" i="137"/>
  <c r="F356" i="137"/>
  <c r="E356" i="137"/>
  <c r="D356" i="137"/>
  <c r="R355" i="137"/>
  <c r="Q355" i="137"/>
  <c r="P355" i="137"/>
  <c r="O355" i="137"/>
  <c r="N355" i="137"/>
  <c r="L355" i="137"/>
  <c r="K355" i="137"/>
  <c r="J355" i="137"/>
  <c r="I355" i="137"/>
  <c r="H355" i="137"/>
  <c r="G355" i="137"/>
  <c r="F355" i="137"/>
  <c r="E355" i="137"/>
  <c r="D355" i="137"/>
  <c r="R353" i="137"/>
  <c r="Q353" i="137"/>
  <c r="P353" i="137"/>
  <c r="O353" i="137"/>
  <c r="N353" i="137"/>
  <c r="L353" i="137"/>
  <c r="K353" i="137"/>
  <c r="J353" i="137"/>
  <c r="I353" i="137"/>
  <c r="H353" i="137"/>
  <c r="G353" i="137"/>
  <c r="F353" i="137"/>
  <c r="E353" i="137"/>
  <c r="D353" i="137"/>
  <c r="R352" i="137"/>
  <c r="Q352" i="137"/>
  <c r="P352" i="137"/>
  <c r="O352" i="137"/>
  <c r="N352" i="137"/>
  <c r="L352" i="137"/>
  <c r="K352" i="137"/>
  <c r="J352" i="137"/>
  <c r="I352" i="137"/>
  <c r="H352" i="137"/>
  <c r="G352" i="137"/>
  <c r="F352" i="137"/>
  <c r="E352" i="137"/>
  <c r="D352" i="137"/>
  <c r="R351" i="137"/>
  <c r="Q351" i="137"/>
  <c r="P351" i="137"/>
  <c r="O351" i="137"/>
  <c r="N351" i="137"/>
  <c r="L351" i="137"/>
  <c r="K351" i="137"/>
  <c r="J351" i="137"/>
  <c r="I351" i="137"/>
  <c r="H351" i="137"/>
  <c r="G351" i="137"/>
  <c r="F351" i="137"/>
  <c r="E351" i="137"/>
  <c r="D351" i="137"/>
  <c r="R350" i="137"/>
  <c r="Q350" i="137"/>
  <c r="P350" i="137"/>
  <c r="O350" i="137"/>
  <c r="N350" i="137"/>
  <c r="L350" i="137"/>
  <c r="K350" i="137"/>
  <c r="J350" i="137"/>
  <c r="I350" i="137"/>
  <c r="H350" i="137"/>
  <c r="G350" i="137"/>
  <c r="F350" i="137"/>
  <c r="E350" i="137"/>
  <c r="D350" i="137"/>
  <c r="R349" i="137"/>
  <c r="Q349" i="137"/>
  <c r="P349" i="137"/>
  <c r="O349" i="137"/>
  <c r="N349" i="137"/>
  <c r="L349" i="137"/>
  <c r="K349" i="137"/>
  <c r="J349" i="137"/>
  <c r="I349" i="137"/>
  <c r="H349" i="137"/>
  <c r="G349" i="137"/>
  <c r="F349" i="137"/>
  <c r="E349" i="137"/>
  <c r="D349" i="137"/>
  <c r="R348" i="137"/>
  <c r="Q348" i="137"/>
  <c r="P348" i="137"/>
  <c r="O348" i="137"/>
  <c r="N348" i="137"/>
  <c r="L348" i="137"/>
  <c r="K348" i="137"/>
  <c r="J348" i="137"/>
  <c r="I348" i="137"/>
  <c r="H348" i="137"/>
  <c r="G348" i="137"/>
  <c r="F348" i="137"/>
  <c r="E348" i="137"/>
  <c r="D348" i="137"/>
  <c r="R345" i="137"/>
  <c r="Q345" i="137"/>
  <c r="P345" i="137"/>
  <c r="O345" i="137"/>
  <c r="N345" i="137"/>
  <c r="L345" i="137"/>
  <c r="K345" i="137"/>
  <c r="J345" i="137"/>
  <c r="I345" i="137"/>
  <c r="H345" i="137"/>
  <c r="G345" i="137"/>
  <c r="F345" i="137"/>
  <c r="E345" i="137"/>
  <c r="D345" i="137"/>
  <c r="R344" i="137"/>
  <c r="Q344" i="137"/>
  <c r="P344" i="137"/>
  <c r="O344" i="137"/>
  <c r="N344" i="137"/>
  <c r="L344" i="137"/>
  <c r="K344" i="137"/>
  <c r="J344" i="137"/>
  <c r="I344" i="137"/>
  <c r="H344" i="137"/>
  <c r="G344" i="137"/>
  <c r="F344" i="137"/>
  <c r="E344" i="137"/>
  <c r="D344" i="137"/>
  <c r="R343" i="137"/>
  <c r="Q343" i="137"/>
  <c r="P343" i="137"/>
  <c r="O343" i="137"/>
  <c r="N343" i="137"/>
  <c r="L343" i="137"/>
  <c r="K343" i="137"/>
  <c r="J343" i="137"/>
  <c r="I343" i="137"/>
  <c r="H343" i="137"/>
  <c r="G343" i="137"/>
  <c r="F343" i="137"/>
  <c r="E343" i="137"/>
  <c r="D343" i="137"/>
  <c r="R342" i="137"/>
  <c r="Q342" i="137"/>
  <c r="P342" i="137"/>
  <c r="O342" i="137"/>
  <c r="N342" i="137"/>
  <c r="L342" i="137"/>
  <c r="K342" i="137"/>
  <c r="J342" i="137"/>
  <c r="I342" i="137"/>
  <c r="H342" i="137"/>
  <c r="G342" i="137"/>
  <c r="F342" i="137"/>
  <c r="E342" i="137"/>
  <c r="D342" i="137"/>
  <c r="R338" i="137"/>
  <c r="Q338" i="137"/>
  <c r="P338" i="137"/>
  <c r="O338" i="137"/>
  <c r="N338" i="137"/>
  <c r="L338" i="137"/>
  <c r="K338" i="137"/>
  <c r="J338" i="137"/>
  <c r="I338" i="137"/>
  <c r="H338" i="137"/>
  <c r="G338" i="137"/>
  <c r="F338" i="137"/>
  <c r="E338" i="137"/>
  <c r="D338" i="137"/>
  <c r="R337" i="137"/>
  <c r="Q337" i="137"/>
  <c r="P337" i="137"/>
  <c r="O337" i="137"/>
  <c r="N337" i="137"/>
  <c r="L337" i="137"/>
  <c r="K337" i="137"/>
  <c r="J337" i="137"/>
  <c r="I337" i="137"/>
  <c r="H337" i="137"/>
  <c r="G337" i="137"/>
  <c r="F337" i="137"/>
  <c r="E337" i="137"/>
  <c r="D337" i="137"/>
  <c r="R335" i="137"/>
  <c r="Q335" i="137"/>
  <c r="P335" i="137"/>
  <c r="O335" i="137"/>
  <c r="N335" i="137"/>
  <c r="L335" i="137"/>
  <c r="K335" i="137"/>
  <c r="J335" i="137"/>
  <c r="I335" i="137"/>
  <c r="H335" i="137"/>
  <c r="G335" i="137"/>
  <c r="F335" i="137"/>
  <c r="E335" i="137"/>
  <c r="D335" i="137"/>
  <c r="R334" i="137"/>
  <c r="Q334" i="137"/>
  <c r="P334" i="137"/>
  <c r="O334" i="137"/>
  <c r="N334" i="137"/>
  <c r="L334" i="137"/>
  <c r="K334" i="137"/>
  <c r="J334" i="137"/>
  <c r="I334" i="137"/>
  <c r="H334" i="137"/>
  <c r="G334" i="137"/>
  <c r="F334" i="137"/>
  <c r="E334" i="137"/>
  <c r="D334" i="137"/>
  <c r="R333" i="137"/>
  <c r="Q333" i="137"/>
  <c r="P333" i="137"/>
  <c r="O333" i="137"/>
  <c r="N333" i="137"/>
  <c r="L333" i="137"/>
  <c r="K333" i="137"/>
  <c r="J333" i="137"/>
  <c r="I333" i="137"/>
  <c r="H333" i="137"/>
  <c r="G333" i="137"/>
  <c r="F333" i="137"/>
  <c r="E333" i="137"/>
  <c r="D333" i="137"/>
  <c r="R332" i="137"/>
  <c r="Q332" i="137"/>
  <c r="P332" i="137"/>
  <c r="O332" i="137"/>
  <c r="N332" i="137"/>
  <c r="L332" i="137"/>
  <c r="K332" i="137"/>
  <c r="J332" i="137"/>
  <c r="I332" i="137"/>
  <c r="H332" i="137"/>
  <c r="G332" i="137"/>
  <c r="F332" i="137"/>
  <c r="E332" i="137"/>
  <c r="D332" i="137"/>
  <c r="R331" i="137"/>
  <c r="Q331" i="137"/>
  <c r="P331" i="137"/>
  <c r="O331" i="137"/>
  <c r="N331" i="137"/>
  <c r="L331" i="137"/>
  <c r="K331" i="137"/>
  <c r="J331" i="137"/>
  <c r="I331" i="137"/>
  <c r="H331" i="137"/>
  <c r="G331" i="137"/>
  <c r="F331" i="137"/>
  <c r="E331" i="137"/>
  <c r="D331" i="137"/>
  <c r="R330" i="137"/>
  <c r="Q330" i="137"/>
  <c r="P330" i="137"/>
  <c r="O330" i="137"/>
  <c r="N330" i="137"/>
  <c r="L330" i="137"/>
  <c r="K330" i="137"/>
  <c r="J330" i="137"/>
  <c r="I330" i="137"/>
  <c r="H330" i="137"/>
  <c r="G330" i="137"/>
  <c r="F330" i="137"/>
  <c r="E330" i="137"/>
  <c r="D330" i="137"/>
  <c r="R329" i="137"/>
  <c r="Q329" i="137"/>
  <c r="P329" i="137"/>
  <c r="O329" i="137"/>
  <c r="N329" i="137"/>
  <c r="L329" i="137"/>
  <c r="K329" i="137"/>
  <c r="J329" i="137"/>
  <c r="I329" i="137"/>
  <c r="H329" i="137"/>
  <c r="G329" i="137"/>
  <c r="F329" i="137"/>
  <c r="E329" i="137"/>
  <c r="D329" i="137"/>
  <c r="R328" i="137"/>
  <c r="Q328" i="137"/>
  <c r="P328" i="137"/>
  <c r="O328" i="137"/>
  <c r="N328" i="137"/>
  <c r="L328" i="137"/>
  <c r="K328" i="137"/>
  <c r="J328" i="137"/>
  <c r="I328" i="137"/>
  <c r="H328" i="137"/>
  <c r="G328" i="137"/>
  <c r="F328" i="137"/>
  <c r="E328" i="137"/>
  <c r="D328" i="137"/>
  <c r="R326" i="137"/>
  <c r="Q326" i="137"/>
  <c r="P326" i="137"/>
  <c r="O326" i="137"/>
  <c r="N326" i="137"/>
  <c r="L326" i="137"/>
  <c r="K326" i="137"/>
  <c r="J326" i="137"/>
  <c r="I326" i="137"/>
  <c r="H326" i="137"/>
  <c r="G326" i="137"/>
  <c r="F326" i="137"/>
  <c r="E326" i="137"/>
  <c r="D326" i="137"/>
  <c r="R324" i="137"/>
  <c r="Q324" i="137"/>
  <c r="P324" i="137"/>
  <c r="O324" i="137"/>
  <c r="N324" i="137"/>
  <c r="L324" i="137"/>
  <c r="K324" i="137"/>
  <c r="J324" i="137"/>
  <c r="I324" i="137"/>
  <c r="H324" i="137"/>
  <c r="G324" i="137"/>
  <c r="F324" i="137"/>
  <c r="E324" i="137"/>
  <c r="D324" i="137"/>
  <c r="R323" i="137"/>
  <c r="Q323" i="137"/>
  <c r="P323" i="137"/>
  <c r="O323" i="137"/>
  <c r="N323" i="137"/>
  <c r="L323" i="137"/>
  <c r="K323" i="137"/>
  <c r="J323" i="137"/>
  <c r="I323" i="137"/>
  <c r="H323" i="137"/>
  <c r="G323" i="137"/>
  <c r="F323" i="137"/>
  <c r="E323" i="137"/>
  <c r="D323" i="137"/>
  <c r="R321" i="137"/>
  <c r="Q321" i="137"/>
  <c r="P321" i="137"/>
  <c r="O321" i="137"/>
  <c r="N321" i="137"/>
  <c r="L321" i="137"/>
  <c r="K321" i="137"/>
  <c r="J321" i="137"/>
  <c r="I321" i="137"/>
  <c r="H321" i="137"/>
  <c r="G321" i="137"/>
  <c r="F321" i="137"/>
  <c r="E321" i="137"/>
  <c r="D321" i="137"/>
  <c r="R320" i="137"/>
  <c r="Q320" i="137"/>
  <c r="P320" i="137"/>
  <c r="O320" i="137"/>
  <c r="N320" i="137"/>
  <c r="L320" i="137"/>
  <c r="K320" i="137"/>
  <c r="J320" i="137"/>
  <c r="I320" i="137"/>
  <c r="H320" i="137"/>
  <c r="G320" i="137"/>
  <c r="F320" i="137"/>
  <c r="E320" i="137"/>
  <c r="D320" i="137"/>
  <c r="R319" i="137"/>
  <c r="Q319" i="137"/>
  <c r="P319" i="137"/>
  <c r="O319" i="137"/>
  <c r="N319" i="137"/>
  <c r="L319" i="137"/>
  <c r="K319" i="137"/>
  <c r="J319" i="137"/>
  <c r="I319" i="137"/>
  <c r="H319" i="137"/>
  <c r="G319" i="137"/>
  <c r="F319" i="137"/>
  <c r="E319" i="137"/>
  <c r="D319" i="137"/>
  <c r="R318" i="137"/>
  <c r="Q318" i="137"/>
  <c r="P318" i="137"/>
  <c r="O318" i="137"/>
  <c r="N318" i="137"/>
  <c r="L318" i="137"/>
  <c r="K318" i="137"/>
  <c r="J318" i="137"/>
  <c r="I318" i="137"/>
  <c r="H318" i="137"/>
  <c r="G318" i="137"/>
  <c r="F318" i="137"/>
  <c r="E318" i="137"/>
  <c r="D318" i="137"/>
  <c r="R317" i="137"/>
  <c r="Q317" i="137"/>
  <c r="P317" i="137"/>
  <c r="O317" i="137"/>
  <c r="N317" i="137"/>
  <c r="L317" i="137"/>
  <c r="K317" i="137"/>
  <c r="J317" i="137"/>
  <c r="I317" i="137"/>
  <c r="H317" i="137"/>
  <c r="G317" i="137"/>
  <c r="F317" i="137"/>
  <c r="E317" i="137"/>
  <c r="D317" i="137"/>
  <c r="R316" i="137"/>
  <c r="Q316" i="137"/>
  <c r="P316" i="137"/>
  <c r="O316" i="137"/>
  <c r="N316" i="137"/>
  <c r="L316" i="137"/>
  <c r="K316" i="137"/>
  <c r="J316" i="137"/>
  <c r="I316" i="137"/>
  <c r="H316" i="137"/>
  <c r="G316" i="137"/>
  <c r="F316" i="137"/>
  <c r="E316" i="137"/>
  <c r="D316" i="137"/>
  <c r="R315" i="137"/>
  <c r="Q315" i="137"/>
  <c r="P315" i="137"/>
  <c r="O315" i="137"/>
  <c r="N315" i="137"/>
  <c r="L315" i="137"/>
  <c r="K315" i="137"/>
  <c r="J315" i="137"/>
  <c r="I315" i="137"/>
  <c r="H315" i="137"/>
  <c r="G315" i="137"/>
  <c r="F315" i="137"/>
  <c r="E315" i="137"/>
  <c r="D315" i="137"/>
  <c r="R314" i="137"/>
  <c r="Q314" i="137"/>
  <c r="P314" i="137"/>
  <c r="O314" i="137"/>
  <c r="N314" i="137"/>
  <c r="L314" i="137"/>
  <c r="K314" i="137"/>
  <c r="J314" i="137"/>
  <c r="I314" i="137"/>
  <c r="H314" i="137"/>
  <c r="G314" i="137"/>
  <c r="F314" i="137"/>
  <c r="E314" i="137"/>
  <c r="D314" i="137"/>
  <c r="R312" i="137"/>
  <c r="Q312" i="137"/>
  <c r="P312" i="137"/>
  <c r="O312" i="137"/>
  <c r="N312" i="137"/>
  <c r="L312" i="137"/>
  <c r="K312" i="137"/>
  <c r="J312" i="137"/>
  <c r="I312" i="137"/>
  <c r="H312" i="137"/>
  <c r="G312" i="137"/>
  <c r="F312" i="137"/>
  <c r="E312" i="137"/>
  <c r="D312" i="137"/>
  <c r="R311" i="137"/>
  <c r="Q311" i="137"/>
  <c r="P311" i="137"/>
  <c r="O311" i="137"/>
  <c r="N311" i="137"/>
  <c r="L311" i="137"/>
  <c r="K311" i="137"/>
  <c r="J311" i="137"/>
  <c r="I311" i="137"/>
  <c r="H311" i="137"/>
  <c r="G311" i="137"/>
  <c r="F311" i="137"/>
  <c r="E311" i="137"/>
  <c r="D311" i="137"/>
  <c r="R310" i="137"/>
  <c r="Q310" i="137"/>
  <c r="P310" i="137"/>
  <c r="O310" i="137"/>
  <c r="N310" i="137"/>
  <c r="L310" i="137"/>
  <c r="K310" i="137"/>
  <c r="J310" i="137"/>
  <c r="I310" i="137"/>
  <c r="H310" i="137"/>
  <c r="G310" i="137"/>
  <c r="F310" i="137"/>
  <c r="E310" i="137"/>
  <c r="D310" i="137"/>
  <c r="R309" i="137"/>
  <c r="Q309" i="137"/>
  <c r="P309" i="137"/>
  <c r="O309" i="137"/>
  <c r="N309" i="137"/>
  <c r="L309" i="137"/>
  <c r="K309" i="137"/>
  <c r="J309" i="137"/>
  <c r="I309" i="137"/>
  <c r="H309" i="137"/>
  <c r="G309" i="137"/>
  <c r="F309" i="137"/>
  <c r="E309" i="137"/>
  <c r="D309" i="137"/>
  <c r="R308" i="137"/>
  <c r="Q308" i="137"/>
  <c r="P308" i="137"/>
  <c r="O308" i="137"/>
  <c r="N308" i="137"/>
  <c r="L308" i="137"/>
  <c r="K308" i="137"/>
  <c r="J308" i="137"/>
  <c r="I308" i="137"/>
  <c r="H308" i="137"/>
  <c r="G308" i="137"/>
  <c r="F308" i="137"/>
  <c r="E308" i="137"/>
  <c r="D308" i="137"/>
  <c r="R307" i="137"/>
  <c r="Q307" i="137"/>
  <c r="P307" i="137"/>
  <c r="O307" i="137"/>
  <c r="N307" i="137"/>
  <c r="L307" i="137"/>
  <c r="K307" i="137"/>
  <c r="J307" i="137"/>
  <c r="I307" i="137"/>
  <c r="H307" i="137"/>
  <c r="G307" i="137"/>
  <c r="F307" i="137"/>
  <c r="E307" i="137"/>
  <c r="D307" i="137"/>
  <c r="R306" i="137"/>
  <c r="Q306" i="137"/>
  <c r="P306" i="137"/>
  <c r="O306" i="137"/>
  <c r="N306" i="137"/>
  <c r="L306" i="137"/>
  <c r="K306" i="137"/>
  <c r="J306" i="137"/>
  <c r="I306" i="137"/>
  <c r="H306" i="137"/>
  <c r="G306" i="137"/>
  <c r="F306" i="137"/>
  <c r="E306" i="137"/>
  <c r="D306" i="137"/>
  <c r="R305" i="137"/>
  <c r="Q305" i="137"/>
  <c r="P305" i="137"/>
  <c r="O305" i="137"/>
  <c r="N305" i="137"/>
  <c r="L305" i="137"/>
  <c r="K305" i="137"/>
  <c r="J305" i="137"/>
  <c r="I305" i="137"/>
  <c r="H305" i="137"/>
  <c r="G305" i="137"/>
  <c r="F305" i="137"/>
  <c r="E305" i="137"/>
  <c r="D305" i="137"/>
  <c r="R304" i="137"/>
  <c r="Q304" i="137"/>
  <c r="P304" i="137"/>
  <c r="O304" i="137"/>
  <c r="N304" i="137"/>
  <c r="L304" i="137"/>
  <c r="K304" i="137"/>
  <c r="J304" i="137"/>
  <c r="I304" i="137"/>
  <c r="H304" i="137"/>
  <c r="G304" i="137"/>
  <c r="F304" i="137"/>
  <c r="E304" i="137"/>
  <c r="D304" i="137"/>
  <c r="R303" i="137"/>
  <c r="Q303" i="137"/>
  <c r="P303" i="137"/>
  <c r="O303" i="137"/>
  <c r="N303" i="137"/>
  <c r="L303" i="137"/>
  <c r="K303" i="137"/>
  <c r="J303" i="137"/>
  <c r="I303" i="137"/>
  <c r="H303" i="137"/>
  <c r="G303" i="137"/>
  <c r="F303" i="137"/>
  <c r="E303" i="137"/>
  <c r="D303" i="137"/>
  <c r="R302" i="137"/>
  <c r="Q302" i="137"/>
  <c r="P302" i="137"/>
  <c r="O302" i="137"/>
  <c r="N302" i="137"/>
  <c r="L302" i="137"/>
  <c r="K302" i="137"/>
  <c r="J302" i="137"/>
  <c r="I302" i="137"/>
  <c r="H302" i="137"/>
  <c r="G302" i="137"/>
  <c r="F302" i="137"/>
  <c r="E302" i="137"/>
  <c r="D302" i="137"/>
  <c r="R301" i="137"/>
  <c r="Q301" i="137"/>
  <c r="P301" i="137"/>
  <c r="O301" i="137"/>
  <c r="N301" i="137"/>
  <c r="L301" i="137"/>
  <c r="K301" i="137"/>
  <c r="J301" i="137"/>
  <c r="I301" i="137"/>
  <c r="H301" i="137"/>
  <c r="G301" i="137"/>
  <c r="F301" i="137"/>
  <c r="E301" i="137"/>
  <c r="D301" i="137"/>
  <c r="R300" i="137"/>
  <c r="Q300" i="137"/>
  <c r="P300" i="137"/>
  <c r="O300" i="137"/>
  <c r="N300" i="137"/>
  <c r="L300" i="137"/>
  <c r="K300" i="137"/>
  <c r="J300" i="137"/>
  <c r="I300" i="137"/>
  <c r="H300" i="137"/>
  <c r="G300" i="137"/>
  <c r="F300" i="137"/>
  <c r="E300" i="137"/>
  <c r="D300" i="137"/>
  <c r="R299" i="137"/>
  <c r="Q299" i="137"/>
  <c r="P299" i="137"/>
  <c r="O299" i="137"/>
  <c r="N299" i="137"/>
  <c r="L299" i="137"/>
  <c r="K299" i="137"/>
  <c r="J299" i="137"/>
  <c r="I299" i="137"/>
  <c r="H299" i="137"/>
  <c r="G299" i="137"/>
  <c r="F299" i="137"/>
  <c r="E299" i="137"/>
  <c r="D299" i="137"/>
  <c r="R298" i="137"/>
  <c r="Q298" i="137"/>
  <c r="P298" i="137"/>
  <c r="O298" i="137"/>
  <c r="N298" i="137"/>
  <c r="L298" i="137"/>
  <c r="K298" i="137"/>
  <c r="J298" i="137"/>
  <c r="I298" i="137"/>
  <c r="H298" i="137"/>
  <c r="G298" i="137"/>
  <c r="F298" i="137"/>
  <c r="E298" i="137"/>
  <c r="D298" i="137"/>
  <c r="R297" i="137"/>
  <c r="Q297" i="137"/>
  <c r="P297" i="137"/>
  <c r="O297" i="137"/>
  <c r="N297" i="137"/>
  <c r="L297" i="137"/>
  <c r="K297" i="137"/>
  <c r="J297" i="137"/>
  <c r="I297" i="137"/>
  <c r="H297" i="137"/>
  <c r="G297" i="137"/>
  <c r="F297" i="137"/>
  <c r="E297" i="137"/>
  <c r="D297" i="137"/>
  <c r="R296" i="137"/>
  <c r="Q296" i="137"/>
  <c r="P296" i="137"/>
  <c r="O296" i="137"/>
  <c r="N296" i="137"/>
  <c r="L296" i="137"/>
  <c r="K296" i="137"/>
  <c r="J296" i="137"/>
  <c r="I296" i="137"/>
  <c r="H296" i="137"/>
  <c r="G296" i="137"/>
  <c r="F296" i="137"/>
  <c r="E296" i="137"/>
  <c r="D296" i="137"/>
  <c r="R295" i="137"/>
  <c r="Q295" i="137"/>
  <c r="P295" i="137"/>
  <c r="O295" i="137"/>
  <c r="N295" i="137"/>
  <c r="L295" i="137"/>
  <c r="K295" i="137"/>
  <c r="J295" i="137"/>
  <c r="I295" i="137"/>
  <c r="H295" i="137"/>
  <c r="G295" i="137"/>
  <c r="F295" i="137"/>
  <c r="E295" i="137"/>
  <c r="D295" i="137"/>
  <c r="R294" i="137"/>
  <c r="Q294" i="137"/>
  <c r="P294" i="137"/>
  <c r="O294" i="137"/>
  <c r="N294" i="137"/>
  <c r="L294" i="137"/>
  <c r="K294" i="137"/>
  <c r="J294" i="137"/>
  <c r="I294" i="137"/>
  <c r="H294" i="137"/>
  <c r="G294" i="137"/>
  <c r="F294" i="137"/>
  <c r="E294" i="137"/>
  <c r="D294" i="137"/>
  <c r="R293" i="137"/>
  <c r="Q293" i="137"/>
  <c r="P293" i="137"/>
  <c r="O293" i="137"/>
  <c r="N293" i="137"/>
  <c r="L293" i="137"/>
  <c r="K293" i="137"/>
  <c r="J293" i="137"/>
  <c r="I293" i="137"/>
  <c r="H293" i="137"/>
  <c r="G293" i="137"/>
  <c r="F293" i="137"/>
  <c r="E293" i="137"/>
  <c r="D293" i="137"/>
  <c r="R292" i="137"/>
  <c r="Q292" i="137"/>
  <c r="P292" i="137"/>
  <c r="O292" i="137"/>
  <c r="N292" i="137"/>
  <c r="L292" i="137"/>
  <c r="K292" i="137"/>
  <c r="J292" i="137"/>
  <c r="I292" i="137"/>
  <c r="H292" i="137"/>
  <c r="G292" i="137"/>
  <c r="F292" i="137"/>
  <c r="E292" i="137"/>
  <c r="D292" i="137"/>
  <c r="R291" i="137"/>
  <c r="Q291" i="137"/>
  <c r="P291" i="137"/>
  <c r="O291" i="137"/>
  <c r="N291" i="137"/>
  <c r="L291" i="137"/>
  <c r="K291" i="137"/>
  <c r="J291" i="137"/>
  <c r="I291" i="137"/>
  <c r="H291" i="137"/>
  <c r="G291" i="137"/>
  <c r="F291" i="137"/>
  <c r="E291" i="137"/>
  <c r="D291" i="137"/>
  <c r="R290" i="137"/>
  <c r="Q290" i="137"/>
  <c r="P290" i="137"/>
  <c r="O290" i="137"/>
  <c r="N290" i="137"/>
  <c r="L290" i="137"/>
  <c r="K290" i="137"/>
  <c r="J290" i="137"/>
  <c r="I290" i="137"/>
  <c r="H290" i="137"/>
  <c r="G290" i="137"/>
  <c r="F290" i="137"/>
  <c r="E290" i="137"/>
  <c r="D290" i="137"/>
  <c r="R289" i="137"/>
  <c r="Q289" i="137"/>
  <c r="P289" i="137"/>
  <c r="O289" i="137"/>
  <c r="N289" i="137"/>
  <c r="L289" i="137"/>
  <c r="K289" i="137"/>
  <c r="J289" i="137"/>
  <c r="I289" i="137"/>
  <c r="H289" i="137"/>
  <c r="G289" i="137"/>
  <c r="F289" i="137"/>
  <c r="E289" i="137"/>
  <c r="D289" i="137"/>
  <c r="R288" i="137"/>
  <c r="Q288" i="137"/>
  <c r="P288" i="137"/>
  <c r="O288" i="137"/>
  <c r="N288" i="137"/>
  <c r="L288" i="137"/>
  <c r="K288" i="137"/>
  <c r="J288" i="137"/>
  <c r="I288" i="137"/>
  <c r="H288" i="137"/>
  <c r="G288" i="137"/>
  <c r="F288" i="137"/>
  <c r="E288" i="137"/>
  <c r="D288" i="137"/>
  <c r="R287" i="137"/>
  <c r="Q287" i="137"/>
  <c r="P287" i="137"/>
  <c r="O287" i="137"/>
  <c r="N287" i="137"/>
  <c r="L287" i="137"/>
  <c r="K287" i="137"/>
  <c r="J287" i="137"/>
  <c r="I287" i="137"/>
  <c r="H287" i="137"/>
  <c r="G287" i="137"/>
  <c r="F287" i="137"/>
  <c r="E287" i="137"/>
  <c r="D287" i="137"/>
  <c r="R286" i="137"/>
  <c r="Q286" i="137"/>
  <c r="P286" i="137"/>
  <c r="O286" i="137"/>
  <c r="N286" i="137"/>
  <c r="L286" i="137"/>
  <c r="K286" i="137"/>
  <c r="J286" i="137"/>
  <c r="I286" i="137"/>
  <c r="H286" i="137"/>
  <c r="G286" i="137"/>
  <c r="F286" i="137"/>
  <c r="E286" i="137"/>
  <c r="D286" i="137"/>
  <c r="R285" i="137"/>
  <c r="Q285" i="137"/>
  <c r="P285" i="137"/>
  <c r="O285" i="137"/>
  <c r="N285" i="137"/>
  <c r="L285" i="137"/>
  <c r="K285" i="137"/>
  <c r="J285" i="137"/>
  <c r="I285" i="137"/>
  <c r="H285" i="137"/>
  <c r="G285" i="137"/>
  <c r="F285" i="137"/>
  <c r="E285" i="137"/>
  <c r="D285" i="137"/>
  <c r="R284" i="137"/>
  <c r="Q284" i="137"/>
  <c r="P284" i="137"/>
  <c r="O284" i="137"/>
  <c r="N284" i="137"/>
  <c r="L284" i="137"/>
  <c r="K284" i="137"/>
  <c r="J284" i="137"/>
  <c r="I284" i="137"/>
  <c r="H284" i="137"/>
  <c r="G284" i="137"/>
  <c r="F284" i="137"/>
  <c r="E284" i="137"/>
  <c r="D284" i="137"/>
  <c r="R282" i="137"/>
  <c r="Q282" i="137"/>
  <c r="P282" i="137"/>
  <c r="O282" i="137"/>
  <c r="N282" i="137"/>
  <c r="L282" i="137"/>
  <c r="K282" i="137"/>
  <c r="J282" i="137"/>
  <c r="I282" i="137"/>
  <c r="H282" i="137"/>
  <c r="G282" i="137"/>
  <c r="F282" i="137"/>
  <c r="E282" i="137"/>
  <c r="D282" i="137"/>
  <c r="R281" i="137"/>
  <c r="Q281" i="137"/>
  <c r="P281" i="137"/>
  <c r="O281" i="137"/>
  <c r="N281" i="137"/>
  <c r="L281" i="137"/>
  <c r="K281" i="137"/>
  <c r="J281" i="137"/>
  <c r="I281" i="137"/>
  <c r="H281" i="137"/>
  <c r="G281" i="137"/>
  <c r="F281" i="137"/>
  <c r="E281" i="137"/>
  <c r="D281" i="137"/>
  <c r="R280" i="137"/>
  <c r="Q280" i="137"/>
  <c r="P280" i="137"/>
  <c r="O280" i="137"/>
  <c r="N280" i="137"/>
  <c r="L280" i="137"/>
  <c r="K280" i="137"/>
  <c r="J280" i="137"/>
  <c r="I280" i="137"/>
  <c r="H280" i="137"/>
  <c r="G280" i="137"/>
  <c r="F280" i="137"/>
  <c r="E280" i="137"/>
  <c r="D280" i="137"/>
  <c r="R279" i="137"/>
  <c r="Q279" i="137"/>
  <c r="P279" i="137"/>
  <c r="O279" i="137"/>
  <c r="N279" i="137"/>
  <c r="L279" i="137"/>
  <c r="K279" i="137"/>
  <c r="J279" i="137"/>
  <c r="I279" i="137"/>
  <c r="H279" i="137"/>
  <c r="G279" i="137"/>
  <c r="F279" i="137"/>
  <c r="E279" i="137"/>
  <c r="D279" i="137"/>
  <c r="R278" i="137"/>
  <c r="Q278" i="137"/>
  <c r="P278" i="137"/>
  <c r="O278" i="137"/>
  <c r="N278" i="137"/>
  <c r="L278" i="137"/>
  <c r="K278" i="137"/>
  <c r="J278" i="137"/>
  <c r="I278" i="137"/>
  <c r="H278" i="137"/>
  <c r="G278" i="137"/>
  <c r="F278" i="137"/>
  <c r="E278" i="137"/>
  <c r="D278" i="137"/>
  <c r="R277" i="137"/>
  <c r="Q277" i="137"/>
  <c r="P277" i="137"/>
  <c r="O277" i="137"/>
  <c r="N277" i="137"/>
  <c r="L277" i="137"/>
  <c r="K277" i="137"/>
  <c r="J277" i="137"/>
  <c r="I277" i="137"/>
  <c r="H277" i="137"/>
  <c r="G277" i="137"/>
  <c r="F277" i="137"/>
  <c r="E277" i="137"/>
  <c r="D277" i="137"/>
  <c r="R276" i="137"/>
  <c r="Q276" i="137"/>
  <c r="P276" i="137"/>
  <c r="O276" i="137"/>
  <c r="N276" i="137"/>
  <c r="L276" i="137"/>
  <c r="K276" i="137"/>
  <c r="J276" i="137"/>
  <c r="I276" i="137"/>
  <c r="H276" i="137"/>
  <c r="G276" i="137"/>
  <c r="F276" i="137"/>
  <c r="E276" i="137"/>
  <c r="D276" i="137"/>
  <c r="R275" i="137"/>
  <c r="Q275" i="137"/>
  <c r="P275" i="137"/>
  <c r="O275" i="137"/>
  <c r="N275" i="137"/>
  <c r="L275" i="137"/>
  <c r="K275" i="137"/>
  <c r="J275" i="137"/>
  <c r="I275" i="137"/>
  <c r="H275" i="137"/>
  <c r="G275" i="137"/>
  <c r="F275" i="137"/>
  <c r="E275" i="137"/>
  <c r="D275" i="137"/>
  <c r="R273" i="137"/>
  <c r="Q273" i="137"/>
  <c r="P273" i="137"/>
  <c r="O273" i="137"/>
  <c r="N273" i="137"/>
  <c r="L273" i="137"/>
  <c r="K273" i="137"/>
  <c r="J273" i="137"/>
  <c r="I273" i="137"/>
  <c r="H273" i="137"/>
  <c r="G273" i="137"/>
  <c r="F273" i="137"/>
  <c r="E273" i="137"/>
  <c r="D273" i="137"/>
  <c r="R272" i="137"/>
  <c r="Q272" i="137"/>
  <c r="P272" i="137"/>
  <c r="O272" i="137"/>
  <c r="N272" i="137"/>
  <c r="L272" i="137"/>
  <c r="K272" i="137"/>
  <c r="J272" i="137"/>
  <c r="I272" i="137"/>
  <c r="H272" i="137"/>
  <c r="G272" i="137"/>
  <c r="F272" i="137"/>
  <c r="E272" i="137"/>
  <c r="D272" i="137"/>
  <c r="R271" i="137"/>
  <c r="Q271" i="137"/>
  <c r="P271" i="137"/>
  <c r="O271" i="137"/>
  <c r="N271" i="137"/>
  <c r="L271" i="137"/>
  <c r="K271" i="137"/>
  <c r="J271" i="137"/>
  <c r="I271" i="137"/>
  <c r="H271" i="137"/>
  <c r="G271" i="137"/>
  <c r="F271" i="137"/>
  <c r="E271" i="137"/>
  <c r="D271" i="137"/>
  <c r="R270" i="137"/>
  <c r="Q270" i="137"/>
  <c r="P270" i="137"/>
  <c r="O270" i="137"/>
  <c r="N270" i="137"/>
  <c r="L270" i="137"/>
  <c r="K270" i="137"/>
  <c r="J270" i="137"/>
  <c r="I270" i="137"/>
  <c r="H270" i="137"/>
  <c r="G270" i="137"/>
  <c r="F270" i="137"/>
  <c r="E270" i="137"/>
  <c r="D270" i="137"/>
  <c r="R269" i="137"/>
  <c r="Q269" i="137"/>
  <c r="P269" i="137"/>
  <c r="O269" i="137"/>
  <c r="N269" i="137"/>
  <c r="L269" i="137"/>
  <c r="K269" i="137"/>
  <c r="J269" i="137"/>
  <c r="I269" i="137"/>
  <c r="H269" i="137"/>
  <c r="G269" i="137"/>
  <c r="F269" i="137"/>
  <c r="E269" i="137"/>
  <c r="D269" i="137"/>
  <c r="R268" i="137"/>
  <c r="Q268" i="137"/>
  <c r="P268" i="137"/>
  <c r="O268" i="137"/>
  <c r="N268" i="137"/>
  <c r="L268" i="137"/>
  <c r="K268" i="137"/>
  <c r="J268" i="137"/>
  <c r="I268" i="137"/>
  <c r="H268" i="137"/>
  <c r="G268" i="137"/>
  <c r="F268" i="137"/>
  <c r="E268" i="137"/>
  <c r="D268" i="137"/>
  <c r="R267" i="137"/>
  <c r="Q267" i="137"/>
  <c r="P267" i="137"/>
  <c r="O267" i="137"/>
  <c r="N267" i="137"/>
  <c r="L267" i="137"/>
  <c r="K267" i="137"/>
  <c r="J267" i="137"/>
  <c r="I267" i="137"/>
  <c r="H267" i="137"/>
  <c r="G267" i="137"/>
  <c r="F267" i="137"/>
  <c r="E267" i="137"/>
  <c r="D267" i="137"/>
  <c r="R266" i="137"/>
  <c r="Q266" i="137"/>
  <c r="P266" i="137"/>
  <c r="O266" i="137"/>
  <c r="N266" i="137"/>
  <c r="L266" i="137"/>
  <c r="K266" i="137"/>
  <c r="J266" i="137"/>
  <c r="I266" i="137"/>
  <c r="H266" i="137"/>
  <c r="G266" i="137"/>
  <c r="F266" i="137"/>
  <c r="E266" i="137"/>
  <c r="D266" i="137"/>
  <c r="R265" i="137"/>
  <c r="Q265" i="137"/>
  <c r="P265" i="137"/>
  <c r="O265" i="137"/>
  <c r="N265" i="137"/>
  <c r="L265" i="137"/>
  <c r="K265" i="137"/>
  <c r="J265" i="137"/>
  <c r="I265" i="137"/>
  <c r="H265" i="137"/>
  <c r="G265" i="137"/>
  <c r="F265" i="137"/>
  <c r="E265" i="137"/>
  <c r="D265" i="137"/>
  <c r="R264" i="137"/>
  <c r="Q264" i="137"/>
  <c r="P264" i="137"/>
  <c r="O264" i="137"/>
  <c r="N264" i="137"/>
  <c r="L264" i="137"/>
  <c r="K264" i="137"/>
  <c r="J264" i="137"/>
  <c r="I264" i="137"/>
  <c r="H264" i="137"/>
  <c r="G264" i="137"/>
  <c r="F264" i="137"/>
  <c r="E264" i="137"/>
  <c r="D264" i="137"/>
  <c r="R263" i="137"/>
  <c r="Q263" i="137"/>
  <c r="P263" i="137"/>
  <c r="O263" i="137"/>
  <c r="N263" i="137"/>
  <c r="L263" i="137"/>
  <c r="K263" i="137"/>
  <c r="J263" i="137"/>
  <c r="I263" i="137"/>
  <c r="H263" i="137"/>
  <c r="G263" i="137"/>
  <c r="F263" i="137"/>
  <c r="E263" i="137"/>
  <c r="D263" i="137"/>
  <c r="R262" i="137"/>
  <c r="Q262" i="137"/>
  <c r="P262" i="137"/>
  <c r="O262" i="137"/>
  <c r="N262" i="137"/>
  <c r="L262" i="137"/>
  <c r="K262" i="137"/>
  <c r="J262" i="137"/>
  <c r="I262" i="137"/>
  <c r="H262" i="137"/>
  <c r="G262" i="137"/>
  <c r="F262" i="137"/>
  <c r="E262" i="137"/>
  <c r="D262" i="137"/>
  <c r="R261" i="137"/>
  <c r="Q261" i="137"/>
  <c r="P261" i="137"/>
  <c r="O261" i="137"/>
  <c r="N261" i="137"/>
  <c r="L261" i="137"/>
  <c r="K261" i="137"/>
  <c r="J261" i="137"/>
  <c r="I261" i="137"/>
  <c r="H261" i="137"/>
  <c r="G261" i="137"/>
  <c r="F261" i="137"/>
  <c r="E261" i="137"/>
  <c r="D261" i="137"/>
  <c r="R260" i="137"/>
  <c r="Q260" i="137"/>
  <c r="P260" i="137"/>
  <c r="O260" i="137"/>
  <c r="N260" i="137"/>
  <c r="L260" i="137"/>
  <c r="K260" i="137"/>
  <c r="J260" i="137"/>
  <c r="I260" i="137"/>
  <c r="H260" i="137"/>
  <c r="G260" i="137"/>
  <c r="F260" i="137"/>
  <c r="E260" i="137"/>
  <c r="D260" i="137"/>
  <c r="R259" i="137"/>
  <c r="Q259" i="137"/>
  <c r="P259" i="137"/>
  <c r="O259" i="137"/>
  <c r="N259" i="137"/>
  <c r="L259" i="137"/>
  <c r="K259" i="137"/>
  <c r="J259" i="137"/>
  <c r="I259" i="137"/>
  <c r="H259" i="137"/>
  <c r="G259" i="137"/>
  <c r="F259" i="137"/>
  <c r="E259" i="137"/>
  <c r="D259" i="137"/>
  <c r="R258" i="137"/>
  <c r="Q258" i="137"/>
  <c r="P258" i="137"/>
  <c r="O258" i="137"/>
  <c r="N258" i="137"/>
  <c r="L258" i="137"/>
  <c r="K258" i="137"/>
  <c r="J258" i="137"/>
  <c r="I258" i="137"/>
  <c r="H258" i="137"/>
  <c r="G258" i="137"/>
  <c r="F258" i="137"/>
  <c r="E258" i="137"/>
  <c r="D258" i="137"/>
  <c r="R257" i="137"/>
  <c r="Q257" i="137"/>
  <c r="P257" i="137"/>
  <c r="O257" i="137"/>
  <c r="N257" i="137"/>
  <c r="L257" i="137"/>
  <c r="K257" i="137"/>
  <c r="J257" i="137"/>
  <c r="I257" i="137"/>
  <c r="H257" i="137"/>
  <c r="G257" i="137"/>
  <c r="F257" i="137"/>
  <c r="E257" i="137"/>
  <c r="D257" i="137"/>
  <c r="R256" i="137"/>
  <c r="Q256" i="137"/>
  <c r="P256" i="137"/>
  <c r="O256" i="137"/>
  <c r="N256" i="137"/>
  <c r="L256" i="137"/>
  <c r="K256" i="137"/>
  <c r="J256" i="137"/>
  <c r="I256" i="137"/>
  <c r="H256" i="137"/>
  <c r="G256" i="137"/>
  <c r="F256" i="137"/>
  <c r="E256" i="137"/>
  <c r="D256" i="137"/>
  <c r="R255" i="137"/>
  <c r="Q255" i="137"/>
  <c r="P255" i="137"/>
  <c r="O255" i="137"/>
  <c r="N255" i="137"/>
  <c r="L255" i="137"/>
  <c r="K255" i="137"/>
  <c r="J255" i="137"/>
  <c r="I255" i="137"/>
  <c r="H255" i="137"/>
  <c r="G255" i="137"/>
  <c r="F255" i="137"/>
  <c r="E255" i="137"/>
  <c r="D255" i="137"/>
  <c r="R254" i="137"/>
  <c r="Q254" i="137"/>
  <c r="P254" i="137"/>
  <c r="O254" i="137"/>
  <c r="N254" i="137"/>
  <c r="L254" i="137"/>
  <c r="K254" i="137"/>
  <c r="J254" i="137"/>
  <c r="I254" i="137"/>
  <c r="H254" i="137"/>
  <c r="G254" i="137"/>
  <c r="F254" i="137"/>
  <c r="E254" i="137"/>
  <c r="D254" i="137"/>
  <c r="R253" i="137"/>
  <c r="Q253" i="137"/>
  <c r="P253" i="137"/>
  <c r="O253" i="137"/>
  <c r="N253" i="137"/>
  <c r="L253" i="137"/>
  <c r="K253" i="137"/>
  <c r="J253" i="137"/>
  <c r="I253" i="137"/>
  <c r="H253" i="137"/>
  <c r="G253" i="137"/>
  <c r="F253" i="137"/>
  <c r="E253" i="137"/>
  <c r="D253" i="137"/>
  <c r="R252" i="137"/>
  <c r="Q252" i="137"/>
  <c r="P252" i="137"/>
  <c r="O252" i="137"/>
  <c r="N252" i="137"/>
  <c r="L252" i="137"/>
  <c r="K252" i="137"/>
  <c r="J252" i="137"/>
  <c r="I252" i="137"/>
  <c r="H252" i="137"/>
  <c r="G252" i="137"/>
  <c r="F252" i="137"/>
  <c r="E252" i="137"/>
  <c r="D252" i="137"/>
  <c r="R251" i="137"/>
  <c r="Q251" i="137"/>
  <c r="P251" i="137"/>
  <c r="O251" i="137"/>
  <c r="N251" i="137"/>
  <c r="L251" i="137"/>
  <c r="K251" i="137"/>
  <c r="J251" i="137"/>
  <c r="I251" i="137"/>
  <c r="H251" i="137"/>
  <c r="G251" i="137"/>
  <c r="F251" i="137"/>
  <c r="E251" i="137"/>
  <c r="D251" i="137"/>
  <c r="R250" i="137"/>
  <c r="Q250" i="137"/>
  <c r="P250" i="137"/>
  <c r="O250" i="137"/>
  <c r="N250" i="137"/>
  <c r="L250" i="137"/>
  <c r="K250" i="137"/>
  <c r="J250" i="137"/>
  <c r="I250" i="137"/>
  <c r="H250" i="137"/>
  <c r="G250" i="137"/>
  <c r="F250" i="137"/>
  <c r="E250" i="137"/>
  <c r="D250" i="137"/>
  <c r="R249" i="137"/>
  <c r="Q249" i="137"/>
  <c r="P249" i="137"/>
  <c r="O249" i="137"/>
  <c r="N249" i="137"/>
  <c r="L249" i="137"/>
  <c r="K249" i="137"/>
  <c r="J249" i="137"/>
  <c r="I249" i="137"/>
  <c r="H249" i="137"/>
  <c r="G249" i="137"/>
  <c r="F249" i="137"/>
  <c r="E249" i="137"/>
  <c r="D249" i="137"/>
  <c r="R248" i="137"/>
  <c r="Q248" i="137"/>
  <c r="P248" i="137"/>
  <c r="O248" i="137"/>
  <c r="N248" i="137"/>
  <c r="L248" i="137"/>
  <c r="K248" i="137"/>
  <c r="J248" i="137"/>
  <c r="I248" i="137"/>
  <c r="H248" i="137"/>
  <c r="G248" i="137"/>
  <c r="F248" i="137"/>
  <c r="E248" i="137"/>
  <c r="D248" i="137"/>
  <c r="R247" i="137"/>
  <c r="Q247" i="137"/>
  <c r="P247" i="137"/>
  <c r="O247" i="137"/>
  <c r="N247" i="137"/>
  <c r="L247" i="137"/>
  <c r="K247" i="137"/>
  <c r="J247" i="137"/>
  <c r="I247" i="137"/>
  <c r="H247" i="137"/>
  <c r="G247" i="137"/>
  <c r="F247" i="137"/>
  <c r="E247" i="137"/>
  <c r="D247" i="137"/>
  <c r="R246" i="137"/>
  <c r="Q246" i="137"/>
  <c r="P246" i="137"/>
  <c r="O246" i="137"/>
  <c r="N246" i="137"/>
  <c r="L246" i="137"/>
  <c r="K246" i="137"/>
  <c r="J246" i="137"/>
  <c r="I246" i="137"/>
  <c r="H246" i="137"/>
  <c r="G246" i="137"/>
  <c r="F246" i="137"/>
  <c r="E246" i="137"/>
  <c r="D246" i="137"/>
  <c r="R243" i="137"/>
  <c r="Q243" i="137"/>
  <c r="P243" i="137"/>
  <c r="O243" i="137"/>
  <c r="N243" i="137"/>
  <c r="L243" i="137"/>
  <c r="K243" i="137"/>
  <c r="J243" i="137"/>
  <c r="I243" i="137"/>
  <c r="H243" i="137"/>
  <c r="G243" i="137"/>
  <c r="F243" i="137"/>
  <c r="E243" i="137"/>
  <c r="D243" i="137"/>
  <c r="R242" i="137"/>
  <c r="Q242" i="137"/>
  <c r="P242" i="137"/>
  <c r="O242" i="137"/>
  <c r="N242" i="137"/>
  <c r="L242" i="137"/>
  <c r="K242" i="137"/>
  <c r="J242" i="137"/>
  <c r="I242" i="137"/>
  <c r="H242" i="137"/>
  <c r="G242" i="137"/>
  <c r="F242" i="137"/>
  <c r="E242" i="137"/>
  <c r="D242" i="137"/>
  <c r="R241" i="137"/>
  <c r="Q241" i="137"/>
  <c r="P241" i="137"/>
  <c r="O241" i="137"/>
  <c r="N241" i="137"/>
  <c r="L241" i="137"/>
  <c r="K241" i="137"/>
  <c r="J241" i="137"/>
  <c r="I241" i="137"/>
  <c r="H241" i="137"/>
  <c r="G241" i="137"/>
  <c r="F241" i="137"/>
  <c r="E241" i="137"/>
  <c r="D241" i="137"/>
  <c r="R240" i="137"/>
  <c r="Q240" i="137"/>
  <c r="P240" i="137"/>
  <c r="O240" i="137"/>
  <c r="N240" i="137"/>
  <c r="L240" i="137"/>
  <c r="K240" i="137"/>
  <c r="J240" i="137"/>
  <c r="I240" i="137"/>
  <c r="H240" i="137"/>
  <c r="G240" i="137"/>
  <c r="F240" i="137"/>
  <c r="E240" i="137"/>
  <c r="D240" i="137"/>
  <c r="R239" i="137"/>
  <c r="Q239" i="137"/>
  <c r="P239" i="137"/>
  <c r="O239" i="137"/>
  <c r="N239" i="137"/>
  <c r="L239" i="137"/>
  <c r="K239" i="137"/>
  <c r="J239" i="137"/>
  <c r="I239" i="137"/>
  <c r="H239" i="137"/>
  <c r="G239" i="137"/>
  <c r="F239" i="137"/>
  <c r="E239" i="137"/>
  <c r="D239" i="137"/>
  <c r="R238" i="137"/>
  <c r="Q238" i="137"/>
  <c r="P238" i="137"/>
  <c r="O238" i="137"/>
  <c r="N238" i="137"/>
  <c r="L238" i="137"/>
  <c r="K238" i="137"/>
  <c r="J238" i="137"/>
  <c r="I238" i="137"/>
  <c r="H238" i="137"/>
  <c r="G238" i="137"/>
  <c r="F238" i="137"/>
  <c r="E238" i="137"/>
  <c r="D238" i="137"/>
  <c r="R237" i="137"/>
  <c r="Q237" i="137"/>
  <c r="P237" i="137"/>
  <c r="O237" i="137"/>
  <c r="N237" i="137"/>
  <c r="L237" i="137"/>
  <c r="K237" i="137"/>
  <c r="J237" i="137"/>
  <c r="I237" i="137"/>
  <c r="H237" i="137"/>
  <c r="G237" i="137"/>
  <c r="F237" i="137"/>
  <c r="E237" i="137"/>
  <c r="D237" i="137"/>
  <c r="R236" i="137"/>
  <c r="Q236" i="137"/>
  <c r="P236" i="137"/>
  <c r="O236" i="137"/>
  <c r="N236" i="137"/>
  <c r="L236" i="137"/>
  <c r="K236" i="137"/>
  <c r="J236" i="137"/>
  <c r="I236" i="137"/>
  <c r="H236" i="137"/>
  <c r="G236" i="137"/>
  <c r="F236" i="137"/>
  <c r="E236" i="137"/>
  <c r="D236" i="137"/>
  <c r="R235" i="137"/>
  <c r="Q235" i="137"/>
  <c r="P235" i="137"/>
  <c r="O235" i="137"/>
  <c r="N235" i="137"/>
  <c r="L235" i="137"/>
  <c r="K235" i="137"/>
  <c r="J235" i="137"/>
  <c r="I235" i="137"/>
  <c r="H235" i="137"/>
  <c r="G235" i="137"/>
  <c r="F235" i="137"/>
  <c r="E235" i="137"/>
  <c r="D235" i="137"/>
  <c r="R233" i="137"/>
  <c r="Q233" i="137"/>
  <c r="P233" i="137"/>
  <c r="O233" i="137"/>
  <c r="N233" i="137"/>
  <c r="L233" i="137"/>
  <c r="K233" i="137"/>
  <c r="J233" i="137"/>
  <c r="I233" i="137"/>
  <c r="H233" i="137"/>
  <c r="G233" i="137"/>
  <c r="F233" i="137"/>
  <c r="E233" i="137"/>
  <c r="D233" i="137"/>
  <c r="R232" i="137"/>
  <c r="Q232" i="137"/>
  <c r="P232" i="137"/>
  <c r="O232" i="137"/>
  <c r="N232" i="137"/>
  <c r="L232" i="137"/>
  <c r="K232" i="137"/>
  <c r="J232" i="137"/>
  <c r="I232" i="137"/>
  <c r="H232" i="137"/>
  <c r="G232" i="137"/>
  <c r="F232" i="137"/>
  <c r="E232" i="137"/>
  <c r="D232" i="137"/>
  <c r="R231" i="137"/>
  <c r="Q231" i="137"/>
  <c r="P231" i="137"/>
  <c r="O231" i="137"/>
  <c r="N231" i="137"/>
  <c r="L231" i="137"/>
  <c r="K231" i="137"/>
  <c r="J231" i="137"/>
  <c r="I231" i="137"/>
  <c r="H231" i="137"/>
  <c r="G231" i="137"/>
  <c r="F231" i="137"/>
  <c r="E231" i="137"/>
  <c r="D231" i="137"/>
  <c r="R230" i="137"/>
  <c r="Q230" i="137"/>
  <c r="P230" i="137"/>
  <c r="O230" i="137"/>
  <c r="N230" i="137"/>
  <c r="L230" i="137"/>
  <c r="K230" i="137"/>
  <c r="J230" i="137"/>
  <c r="I230" i="137"/>
  <c r="H230" i="137"/>
  <c r="G230" i="137"/>
  <c r="F230" i="137"/>
  <c r="E230" i="137"/>
  <c r="D230" i="137"/>
  <c r="R229" i="137"/>
  <c r="Q229" i="137"/>
  <c r="P229" i="137"/>
  <c r="O229" i="137"/>
  <c r="N229" i="137"/>
  <c r="L229" i="137"/>
  <c r="K229" i="137"/>
  <c r="J229" i="137"/>
  <c r="I229" i="137"/>
  <c r="H229" i="137"/>
  <c r="G229" i="137"/>
  <c r="F229" i="137"/>
  <c r="E229" i="137"/>
  <c r="D229" i="137"/>
  <c r="R228" i="137"/>
  <c r="Q228" i="137"/>
  <c r="P228" i="137"/>
  <c r="O228" i="137"/>
  <c r="N228" i="137"/>
  <c r="L228" i="137"/>
  <c r="K228" i="137"/>
  <c r="J228" i="137"/>
  <c r="I228" i="137"/>
  <c r="H228" i="137"/>
  <c r="G228" i="137"/>
  <c r="F228" i="137"/>
  <c r="E228" i="137"/>
  <c r="D228" i="137"/>
  <c r="R227" i="137"/>
  <c r="Q227" i="137"/>
  <c r="P227" i="137"/>
  <c r="O227" i="137"/>
  <c r="N227" i="137"/>
  <c r="L227" i="137"/>
  <c r="K227" i="137"/>
  <c r="J227" i="137"/>
  <c r="I227" i="137"/>
  <c r="H227" i="137"/>
  <c r="G227" i="137"/>
  <c r="F227" i="137"/>
  <c r="E227" i="137"/>
  <c r="D227" i="137"/>
  <c r="R226" i="137"/>
  <c r="Q226" i="137"/>
  <c r="P226" i="137"/>
  <c r="O226" i="137"/>
  <c r="N226" i="137"/>
  <c r="L226" i="137"/>
  <c r="K226" i="137"/>
  <c r="J226" i="137"/>
  <c r="I226" i="137"/>
  <c r="H226" i="137"/>
  <c r="G226" i="137"/>
  <c r="F226" i="137"/>
  <c r="E226" i="137"/>
  <c r="D226" i="137"/>
  <c r="R225" i="137"/>
  <c r="Q225" i="137"/>
  <c r="P225" i="137"/>
  <c r="O225" i="137"/>
  <c r="N225" i="137"/>
  <c r="L225" i="137"/>
  <c r="K225" i="137"/>
  <c r="J225" i="137"/>
  <c r="I225" i="137"/>
  <c r="H225" i="137"/>
  <c r="G225" i="137"/>
  <c r="F225" i="137"/>
  <c r="E225" i="137"/>
  <c r="D225" i="137"/>
  <c r="R224" i="137"/>
  <c r="Q224" i="137"/>
  <c r="P224" i="137"/>
  <c r="O224" i="137"/>
  <c r="N224" i="137"/>
  <c r="L224" i="137"/>
  <c r="K224" i="137"/>
  <c r="J224" i="137"/>
  <c r="I224" i="137"/>
  <c r="H224" i="137"/>
  <c r="G224" i="137"/>
  <c r="F224" i="137"/>
  <c r="E224" i="137"/>
  <c r="D224" i="137"/>
  <c r="R223" i="137"/>
  <c r="Q223" i="137"/>
  <c r="P223" i="137"/>
  <c r="O223" i="137"/>
  <c r="N223" i="137"/>
  <c r="L223" i="137"/>
  <c r="K223" i="137"/>
  <c r="J223" i="137"/>
  <c r="I223" i="137"/>
  <c r="H223" i="137"/>
  <c r="G223" i="137"/>
  <c r="F223" i="137"/>
  <c r="E223" i="137"/>
  <c r="D223" i="137"/>
  <c r="R222" i="137"/>
  <c r="Q222" i="137"/>
  <c r="P222" i="137"/>
  <c r="O222" i="137"/>
  <c r="N222" i="137"/>
  <c r="L222" i="137"/>
  <c r="K222" i="137"/>
  <c r="J222" i="137"/>
  <c r="I222" i="137"/>
  <c r="H222" i="137"/>
  <c r="G222" i="137"/>
  <c r="F222" i="137"/>
  <c r="E222" i="137"/>
  <c r="D222" i="137"/>
  <c r="R221" i="137"/>
  <c r="Q221" i="137"/>
  <c r="P221" i="137"/>
  <c r="O221" i="137"/>
  <c r="N221" i="137"/>
  <c r="L221" i="137"/>
  <c r="K221" i="137"/>
  <c r="J221" i="137"/>
  <c r="I221" i="137"/>
  <c r="H221" i="137"/>
  <c r="G221" i="137"/>
  <c r="F221" i="137"/>
  <c r="E221" i="137"/>
  <c r="D221" i="137"/>
  <c r="R220" i="137"/>
  <c r="Q220" i="137"/>
  <c r="P220" i="137"/>
  <c r="O220" i="137"/>
  <c r="N220" i="137"/>
  <c r="L220" i="137"/>
  <c r="K220" i="137"/>
  <c r="J220" i="137"/>
  <c r="I220" i="137"/>
  <c r="H220" i="137"/>
  <c r="G220" i="137"/>
  <c r="F220" i="137"/>
  <c r="E220" i="137"/>
  <c r="D220" i="137"/>
  <c r="R218" i="137"/>
  <c r="Q218" i="137"/>
  <c r="P218" i="137"/>
  <c r="O218" i="137"/>
  <c r="N218" i="137"/>
  <c r="L218" i="137"/>
  <c r="K218" i="137"/>
  <c r="J218" i="137"/>
  <c r="I218" i="137"/>
  <c r="H218" i="137"/>
  <c r="G218" i="137"/>
  <c r="F218" i="137"/>
  <c r="E218" i="137"/>
  <c r="D218" i="137"/>
  <c r="R217" i="137"/>
  <c r="Q217" i="137"/>
  <c r="P217" i="137"/>
  <c r="O217" i="137"/>
  <c r="N217" i="137"/>
  <c r="L217" i="137"/>
  <c r="K217" i="137"/>
  <c r="J217" i="137"/>
  <c r="I217" i="137"/>
  <c r="H217" i="137"/>
  <c r="G217" i="137"/>
  <c r="F217" i="137"/>
  <c r="E217" i="137"/>
  <c r="D217" i="137"/>
  <c r="R216" i="137"/>
  <c r="Q216" i="137"/>
  <c r="P216" i="137"/>
  <c r="O216" i="137"/>
  <c r="N216" i="137"/>
  <c r="L216" i="137"/>
  <c r="K216" i="137"/>
  <c r="J216" i="137"/>
  <c r="I216" i="137"/>
  <c r="H216" i="137"/>
  <c r="G216" i="137"/>
  <c r="F216" i="137"/>
  <c r="E216" i="137"/>
  <c r="D216" i="137"/>
  <c r="R215" i="137"/>
  <c r="Q215" i="137"/>
  <c r="P215" i="137"/>
  <c r="O215" i="137"/>
  <c r="N215" i="137"/>
  <c r="L215" i="137"/>
  <c r="K215" i="137"/>
  <c r="J215" i="137"/>
  <c r="I215" i="137"/>
  <c r="H215" i="137"/>
  <c r="G215" i="137"/>
  <c r="F215" i="137"/>
  <c r="E215" i="137"/>
  <c r="D215" i="137"/>
  <c r="R214" i="137"/>
  <c r="Q214" i="137"/>
  <c r="P214" i="137"/>
  <c r="O214" i="137"/>
  <c r="N214" i="137"/>
  <c r="L214" i="137"/>
  <c r="K214" i="137"/>
  <c r="J214" i="137"/>
  <c r="I214" i="137"/>
  <c r="H214" i="137"/>
  <c r="G214" i="137"/>
  <c r="F214" i="137"/>
  <c r="E214" i="137"/>
  <c r="D214" i="137"/>
  <c r="R212" i="137"/>
  <c r="Q212" i="137"/>
  <c r="P212" i="137"/>
  <c r="O212" i="137"/>
  <c r="N212" i="137"/>
  <c r="L212" i="137"/>
  <c r="K212" i="137"/>
  <c r="J212" i="137"/>
  <c r="I212" i="137"/>
  <c r="H212" i="137"/>
  <c r="G212" i="137"/>
  <c r="F212" i="137"/>
  <c r="E212" i="137"/>
  <c r="D212" i="137"/>
  <c r="R211" i="137"/>
  <c r="Q211" i="137"/>
  <c r="P211" i="137"/>
  <c r="O211" i="137"/>
  <c r="N211" i="137"/>
  <c r="L211" i="137"/>
  <c r="K211" i="137"/>
  <c r="J211" i="137"/>
  <c r="I211" i="137"/>
  <c r="H211" i="137"/>
  <c r="G211" i="137"/>
  <c r="F211" i="137"/>
  <c r="E211" i="137"/>
  <c r="D211" i="137"/>
  <c r="R210" i="137"/>
  <c r="Q210" i="137"/>
  <c r="P210" i="137"/>
  <c r="O210" i="137"/>
  <c r="N210" i="137"/>
  <c r="L210" i="137"/>
  <c r="K210" i="137"/>
  <c r="J210" i="137"/>
  <c r="I210" i="137"/>
  <c r="H210" i="137"/>
  <c r="G210" i="137"/>
  <c r="F210" i="137"/>
  <c r="E210" i="137"/>
  <c r="D210" i="137"/>
  <c r="R208" i="137"/>
  <c r="Q208" i="137"/>
  <c r="P208" i="137"/>
  <c r="O208" i="137"/>
  <c r="N208" i="137"/>
  <c r="L208" i="137"/>
  <c r="K208" i="137"/>
  <c r="J208" i="137"/>
  <c r="I208" i="137"/>
  <c r="H208" i="137"/>
  <c r="G208" i="137"/>
  <c r="F208" i="137"/>
  <c r="E208" i="137"/>
  <c r="D208" i="137"/>
  <c r="R207" i="137"/>
  <c r="Q207" i="137"/>
  <c r="P207" i="137"/>
  <c r="O207" i="137"/>
  <c r="N207" i="137"/>
  <c r="L207" i="137"/>
  <c r="K207" i="137"/>
  <c r="J207" i="137"/>
  <c r="I207" i="137"/>
  <c r="H207" i="137"/>
  <c r="G207" i="137"/>
  <c r="F207" i="137"/>
  <c r="E207" i="137"/>
  <c r="D207" i="137"/>
  <c r="R206" i="137"/>
  <c r="Q206" i="137"/>
  <c r="P206" i="137"/>
  <c r="O206" i="137"/>
  <c r="N206" i="137"/>
  <c r="L206" i="137"/>
  <c r="K206" i="137"/>
  <c r="J206" i="137"/>
  <c r="I206" i="137"/>
  <c r="H206" i="137"/>
  <c r="G206" i="137"/>
  <c r="F206" i="137"/>
  <c r="E206" i="137"/>
  <c r="D206" i="137"/>
  <c r="R203" i="137"/>
  <c r="Q203" i="137"/>
  <c r="P203" i="137"/>
  <c r="O203" i="137"/>
  <c r="N203" i="137"/>
  <c r="L203" i="137"/>
  <c r="K203" i="137"/>
  <c r="J203" i="137"/>
  <c r="I203" i="137"/>
  <c r="H203" i="137"/>
  <c r="G203" i="137"/>
  <c r="F203" i="137"/>
  <c r="E203" i="137"/>
  <c r="D203" i="137"/>
  <c r="R202" i="137"/>
  <c r="Q202" i="137"/>
  <c r="P202" i="137"/>
  <c r="O202" i="137"/>
  <c r="N202" i="137"/>
  <c r="L202" i="137"/>
  <c r="K202" i="137"/>
  <c r="J202" i="137"/>
  <c r="I202" i="137"/>
  <c r="H202" i="137"/>
  <c r="G202" i="137"/>
  <c r="F202" i="137"/>
  <c r="E202" i="137"/>
  <c r="D202" i="137"/>
  <c r="R201" i="137"/>
  <c r="Q201" i="137"/>
  <c r="P201" i="137"/>
  <c r="O201" i="137"/>
  <c r="N201" i="137"/>
  <c r="L201" i="137"/>
  <c r="K201" i="137"/>
  <c r="J201" i="137"/>
  <c r="I201" i="137"/>
  <c r="H201" i="137"/>
  <c r="G201" i="137"/>
  <c r="F201" i="137"/>
  <c r="E201" i="137"/>
  <c r="D201" i="137"/>
  <c r="R200" i="137"/>
  <c r="Q200" i="137"/>
  <c r="P200" i="137"/>
  <c r="O200" i="137"/>
  <c r="N200" i="137"/>
  <c r="L200" i="137"/>
  <c r="K200" i="137"/>
  <c r="J200" i="137"/>
  <c r="I200" i="137"/>
  <c r="H200" i="137"/>
  <c r="G200" i="137"/>
  <c r="F200" i="137"/>
  <c r="E200" i="137"/>
  <c r="D200" i="137"/>
  <c r="R198" i="137"/>
  <c r="Q198" i="137"/>
  <c r="P198" i="137"/>
  <c r="O198" i="137"/>
  <c r="N198" i="137"/>
  <c r="L198" i="137"/>
  <c r="K198" i="137"/>
  <c r="J198" i="137"/>
  <c r="I198" i="137"/>
  <c r="H198" i="137"/>
  <c r="G198" i="137"/>
  <c r="F198" i="137"/>
  <c r="E198" i="137"/>
  <c r="D198" i="137"/>
  <c r="R197" i="137"/>
  <c r="Q197" i="137"/>
  <c r="P197" i="137"/>
  <c r="O197" i="137"/>
  <c r="N197" i="137"/>
  <c r="L197" i="137"/>
  <c r="K197" i="137"/>
  <c r="J197" i="137"/>
  <c r="I197" i="137"/>
  <c r="H197" i="137"/>
  <c r="G197" i="137"/>
  <c r="F197" i="137"/>
  <c r="E197" i="137"/>
  <c r="D197" i="137"/>
  <c r="R196" i="137"/>
  <c r="Q196" i="137"/>
  <c r="P196" i="137"/>
  <c r="O196" i="137"/>
  <c r="N196" i="137"/>
  <c r="L196" i="137"/>
  <c r="K196" i="137"/>
  <c r="J196" i="137"/>
  <c r="I196" i="137"/>
  <c r="H196" i="137"/>
  <c r="G196" i="137"/>
  <c r="F196" i="137"/>
  <c r="E196" i="137"/>
  <c r="D196" i="137"/>
  <c r="R195" i="137"/>
  <c r="Q195" i="137"/>
  <c r="P195" i="137"/>
  <c r="O195" i="137"/>
  <c r="N195" i="137"/>
  <c r="L195" i="137"/>
  <c r="K195" i="137"/>
  <c r="J195" i="137"/>
  <c r="I195" i="137"/>
  <c r="H195" i="137"/>
  <c r="G195" i="137"/>
  <c r="F195" i="137"/>
  <c r="E195" i="137"/>
  <c r="D195" i="137"/>
  <c r="R194" i="137"/>
  <c r="Q194" i="137"/>
  <c r="P194" i="137"/>
  <c r="O194" i="137"/>
  <c r="N194" i="137"/>
  <c r="L194" i="137"/>
  <c r="K194" i="137"/>
  <c r="J194" i="137"/>
  <c r="I194" i="137"/>
  <c r="H194" i="137"/>
  <c r="G194" i="137"/>
  <c r="F194" i="137"/>
  <c r="E194" i="137"/>
  <c r="D194" i="137"/>
  <c r="R193" i="137"/>
  <c r="Q193" i="137"/>
  <c r="P193" i="137"/>
  <c r="O193" i="137"/>
  <c r="N193" i="137"/>
  <c r="L193" i="137"/>
  <c r="K193" i="137"/>
  <c r="J193" i="137"/>
  <c r="I193" i="137"/>
  <c r="H193" i="137"/>
  <c r="G193" i="137"/>
  <c r="F193" i="137"/>
  <c r="E193" i="137"/>
  <c r="D193" i="137"/>
  <c r="R192" i="137"/>
  <c r="Q192" i="137"/>
  <c r="P192" i="137"/>
  <c r="O192" i="137"/>
  <c r="N192" i="137"/>
  <c r="L192" i="137"/>
  <c r="K192" i="137"/>
  <c r="J192" i="137"/>
  <c r="I192" i="137"/>
  <c r="H192" i="137"/>
  <c r="G192" i="137"/>
  <c r="F192" i="137"/>
  <c r="E192" i="137"/>
  <c r="D192" i="137"/>
  <c r="R191" i="137"/>
  <c r="Q191" i="137"/>
  <c r="P191" i="137"/>
  <c r="O191" i="137"/>
  <c r="N191" i="137"/>
  <c r="L191" i="137"/>
  <c r="K191" i="137"/>
  <c r="J191" i="137"/>
  <c r="I191" i="137"/>
  <c r="H191" i="137"/>
  <c r="G191" i="137"/>
  <c r="F191" i="137"/>
  <c r="E191" i="137"/>
  <c r="D191" i="137"/>
  <c r="R190" i="137"/>
  <c r="Q190" i="137"/>
  <c r="P190" i="137"/>
  <c r="O190" i="137"/>
  <c r="N190" i="137"/>
  <c r="L190" i="137"/>
  <c r="K190" i="137"/>
  <c r="J190" i="137"/>
  <c r="I190" i="137"/>
  <c r="H190" i="137"/>
  <c r="G190" i="137"/>
  <c r="F190" i="137"/>
  <c r="E190" i="137"/>
  <c r="D190" i="137"/>
  <c r="R189" i="137"/>
  <c r="Q189" i="137"/>
  <c r="P189" i="137"/>
  <c r="O189" i="137"/>
  <c r="N189" i="137"/>
  <c r="L189" i="137"/>
  <c r="K189" i="137"/>
  <c r="J189" i="137"/>
  <c r="I189" i="137"/>
  <c r="H189" i="137"/>
  <c r="G189" i="137"/>
  <c r="F189" i="137"/>
  <c r="E189" i="137"/>
  <c r="D189" i="137"/>
  <c r="R188" i="137"/>
  <c r="Q188" i="137"/>
  <c r="P188" i="137"/>
  <c r="O188" i="137"/>
  <c r="N188" i="137"/>
  <c r="L188" i="137"/>
  <c r="K188" i="137"/>
  <c r="J188" i="137"/>
  <c r="I188" i="137"/>
  <c r="H188" i="137"/>
  <c r="G188" i="137"/>
  <c r="F188" i="137"/>
  <c r="E188" i="137"/>
  <c r="D188" i="137"/>
  <c r="R187" i="137"/>
  <c r="Q187" i="137"/>
  <c r="P187" i="137"/>
  <c r="O187" i="137"/>
  <c r="N187" i="137"/>
  <c r="L187" i="137"/>
  <c r="K187" i="137"/>
  <c r="J187" i="137"/>
  <c r="I187" i="137"/>
  <c r="H187" i="137"/>
  <c r="G187" i="137"/>
  <c r="F187" i="137"/>
  <c r="E187" i="137"/>
  <c r="D187" i="137"/>
  <c r="R186" i="137"/>
  <c r="Q186" i="137"/>
  <c r="P186" i="137"/>
  <c r="O186" i="137"/>
  <c r="N186" i="137"/>
  <c r="L186" i="137"/>
  <c r="K186" i="137"/>
  <c r="J186" i="137"/>
  <c r="I186" i="137"/>
  <c r="H186" i="137"/>
  <c r="G186" i="137"/>
  <c r="F186" i="137"/>
  <c r="E186" i="137"/>
  <c r="D186" i="137"/>
  <c r="R184" i="137"/>
  <c r="Q184" i="137"/>
  <c r="P184" i="137"/>
  <c r="O184" i="137"/>
  <c r="N184" i="137"/>
  <c r="L184" i="137"/>
  <c r="K184" i="137"/>
  <c r="J184" i="137"/>
  <c r="I184" i="137"/>
  <c r="H184" i="137"/>
  <c r="G184" i="137"/>
  <c r="F184" i="137"/>
  <c r="E184" i="137"/>
  <c r="D184" i="137"/>
  <c r="R180" i="137"/>
  <c r="Q180" i="137"/>
  <c r="P180" i="137"/>
  <c r="O180" i="137"/>
  <c r="N180" i="137"/>
  <c r="L180" i="137"/>
  <c r="K180" i="137"/>
  <c r="J180" i="137"/>
  <c r="I180" i="137"/>
  <c r="H180" i="137"/>
  <c r="G180" i="137"/>
  <c r="F180" i="137"/>
  <c r="E180" i="137"/>
  <c r="D180" i="137"/>
  <c r="R179" i="137"/>
  <c r="Q179" i="137"/>
  <c r="P179" i="137"/>
  <c r="O179" i="137"/>
  <c r="N179" i="137"/>
  <c r="L179" i="137"/>
  <c r="K179" i="137"/>
  <c r="J179" i="137"/>
  <c r="I179" i="137"/>
  <c r="H179" i="137"/>
  <c r="G179" i="137"/>
  <c r="F179" i="137"/>
  <c r="E179" i="137"/>
  <c r="D179" i="137"/>
  <c r="R178" i="137"/>
  <c r="Q178" i="137"/>
  <c r="P178" i="137"/>
  <c r="O178" i="137"/>
  <c r="N178" i="137"/>
  <c r="L178" i="137"/>
  <c r="K178" i="137"/>
  <c r="J178" i="137"/>
  <c r="I178" i="137"/>
  <c r="H178" i="137"/>
  <c r="G178" i="137"/>
  <c r="F178" i="137"/>
  <c r="E178" i="137"/>
  <c r="D178" i="137"/>
  <c r="R176" i="137"/>
  <c r="Q176" i="137"/>
  <c r="P176" i="137"/>
  <c r="O176" i="137"/>
  <c r="N176" i="137"/>
  <c r="L176" i="137"/>
  <c r="K176" i="137"/>
  <c r="J176" i="137"/>
  <c r="I176" i="137"/>
  <c r="H176" i="137"/>
  <c r="G176" i="137"/>
  <c r="F176" i="137"/>
  <c r="E176" i="137"/>
  <c r="D176" i="137"/>
  <c r="R175" i="137"/>
  <c r="Q175" i="137"/>
  <c r="P175" i="137"/>
  <c r="O175" i="137"/>
  <c r="N175" i="137"/>
  <c r="L175" i="137"/>
  <c r="K175" i="137"/>
  <c r="J175" i="137"/>
  <c r="I175" i="137"/>
  <c r="H175" i="137"/>
  <c r="G175" i="137"/>
  <c r="F175" i="137"/>
  <c r="E175" i="137"/>
  <c r="D175" i="137"/>
  <c r="R174" i="137"/>
  <c r="Q174" i="137"/>
  <c r="P174" i="137"/>
  <c r="O174" i="137"/>
  <c r="N174" i="137"/>
  <c r="L174" i="137"/>
  <c r="K174" i="137"/>
  <c r="J174" i="137"/>
  <c r="I174" i="137"/>
  <c r="H174" i="137"/>
  <c r="G174" i="137"/>
  <c r="F174" i="137"/>
  <c r="E174" i="137"/>
  <c r="D174" i="137"/>
  <c r="R173" i="137"/>
  <c r="Q173" i="137"/>
  <c r="P173" i="137"/>
  <c r="O173" i="137"/>
  <c r="N173" i="137"/>
  <c r="L173" i="137"/>
  <c r="K173" i="137"/>
  <c r="J173" i="137"/>
  <c r="I173" i="137"/>
  <c r="H173" i="137"/>
  <c r="G173" i="137"/>
  <c r="F173" i="137"/>
  <c r="E173" i="137"/>
  <c r="D173" i="137"/>
  <c r="R172" i="137"/>
  <c r="Q172" i="137"/>
  <c r="P172" i="137"/>
  <c r="O172" i="137"/>
  <c r="N172" i="137"/>
  <c r="L172" i="137"/>
  <c r="K172" i="137"/>
  <c r="J172" i="137"/>
  <c r="I172" i="137"/>
  <c r="H172" i="137"/>
  <c r="G172" i="137"/>
  <c r="F172" i="137"/>
  <c r="E172" i="137"/>
  <c r="D172" i="137"/>
  <c r="R171" i="137"/>
  <c r="Q171" i="137"/>
  <c r="P171" i="137"/>
  <c r="O171" i="137"/>
  <c r="N171" i="137"/>
  <c r="L171" i="137"/>
  <c r="K171" i="137"/>
  <c r="J171" i="137"/>
  <c r="I171" i="137"/>
  <c r="H171" i="137"/>
  <c r="G171" i="137"/>
  <c r="F171" i="137"/>
  <c r="E171" i="137"/>
  <c r="D171" i="137"/>
  <c r="R167" i="137"/>
  <c r="Q167" i="137"/>
  <c r="P167" i="137"/>
  <c r="O167" i="137"/>
  <c r="N167" i="137"/>
  <c r="L167" i="137"/>
  <c r="K167" i="137"/>
  <c r="J167" i="137"/>
  <c r="I167" i="137"/>
  <c r="H167" i="137"/>
  <c r="G167" i="137"/>
  <c r="F167" i="137"/>
  <c r="E167" i="137"/>
  <c r="D167" i="137"/>
  <c r="R166" i="137"/>
  <c r="Q166" i="137"/>
  <c r="P166" i="137"/>
  <c r="O166" i="137"/>
  <c r="N166" i="137"/>
  <c r="L166" i="137"/>
  <c r="K166" i="137"/>
  <c r="J166" i="137"/>
  <c r="I166" i="137"/>
  <c r="H166" i="137"/>
  <c r="G166" i="137"/>
  <c r="F166" i="137"/>
  <c r="E166" i="137"/>
  <c r="D166" i="137"/>
  <c r="R165" i="137"/>
  <c r="Q165" i="137"/>
  <c r="P165" i="137"/>
  <c r="O165" i="137"/>
  <c r="N165" i="137"/>
  <c r="L165" i="137"/>
  <c r="K165" i="137"/>
  <c r="J165" i="137"/>
  <c r="I165" i="137"/>
  <c r="H165" i="137"/>
  <c r="G165" i="137"/>
  <c r="F165" i="137"/>
  <c r="E165" i="137"/>
  <c r="D165" i="137"/>
  <c r="R164" i="137"/>
  <c r="Q164" i="137"/>
  <c r="P164" i="137"/>
  <c r="O164" i="137"/>
  <c r="N164" i="137"/>
  <c r="L164" i="137"/>
  <c r="K164" i="137"/>
  <c r="J164" i="137"/>
  <c r="I164" i="137"/>
  <c r="H164" i="137"/>
  <c r="G164" i="137"/>
  <c r="F164" i="137"/>
  <c r="E164" i="137"/>
  <c r="D164" i="137"/>
  <c r="R163" i="137"/>
  <c r="Q163" i="137"/>
  <c r="P163" i="137"/>
  <c r="O163" i="137"/>
  <c r="N163" i="137"/>
  <c r="L163" i="137"/>
  <c r="K163" i="137"/>
  <c r="J163" i="137"/>
  <c r="I163" i="137"/>
  <c r="H163" i="137"/>
  <c r="G163" i="137"/>
  <c r="F163" i="137"/>
  <c r="E163" i="137"/>
  <c r="D163" i="137"/>
  <c r="R161" i="137"/>
  <c r="Q161" i="137"/>
  <c r="P161" i="137"/>
  <c r="O161" i="137"/>
  <c r="N161" i="137"/>
  <c r="L161" i="137"/>
  <c r="K161" i="137"/>
  <c r="J161" i="137"/>
  <c r="I161" i="137"/>
  <c r="H161" i="137"/>
  <c r="G161" i="137"/>
  <c r="F161" i="137"/>
  <c r="E161" i="137"/>
  <c r="D161" i="137"/>
  <c r="R160" i="137"/>
  <c r="Q160" i="137"/>
  <c r="P160" i="137"/>
  <c r="O160" i="137"/>
  <c r="N160" i="137"/>
  <c r="L160" i="137"/>
  <c r="K160" i="137"/>
  <c r="J160" i="137"/>
  <c r="I160" i="137"/>
  <c r="H160" i="137"/>
  <c r="G160" i="137"/>
  <c r="F160" i="137"/>
  <c r="E160" i="137"/>
  <c r="D160" i="137"/>
  <c r="R158" i="137"/>
  <c r="Q158" i="137"/>
  <c r="P158" i="137"/>
  <c r="O158" i="137"/>
  <c r="N158" i="137"/>
  <c r="L158" i="137"/>
  <c r="K158" i="137"/>
  <c r="J158" i="137"/>
  <c r="I158" i="137"/>
  <c r="H158" i="137"/>
  <c r="G158" i="137"/>
  <c r="F158" i="137"/>
  <c r="E158" i="137"/>
  <c r="D158" i="137"/>
  <c r="R157" i="137"/>
  <c r="Q157" i="137"/>
  <c r="P157" i="137"/>
  <c r="O157" i="137"/>
  <c r="N157" i="137"/>
  <c r="L157" i="137"/>
  <c r="K157" i="137"/>
  <c r="J157" i="137"/>
  <c r="I157" i="137"/>
  <c r="H157" i="137"/>
  <c r="G157" i="137"/>
  <c r="F157" i="137"/>
  <c r="E157" i="137"/>
  <c r="D157" i="137"/>
  <c r="R156" i="137"/>
  <c r="Q156" i="137"/>
  <c r="P156" i="137"/>
  <c r="O156" i="137"/>
  <c r="N156" i="137"/>
  <c r="L156" i="137"/>
  <c r="K156" i="137"/>
  <c r="J156" i="137"/>
  <c r="I156" i="137"/>
  <c r="H156" i="137"/>
  <c r="G156" i="137"/>
  <c r="F156" i="137"/>
  <c r="E156" i="137"/>
  <c r="D156" i="137"/>
  <c r="R155" i="137"/>
  <c r="Q155" i="137"/>
  <c r="P155" i="137"/>
  <c r="O155" i="137"/>
  <c r="N155" i="137"/>
  <c r="L155" i="137"/>
  <c r="K155" i="137"/>
  <c r="J155" i="137"/>
  <c r="I155" i="137"/>
  <c r="H155" i="137"/>
  <c r="G155" i="137"/>
  <c r="F155" i="137"/>
  <c r="E155" i="137"/>
  <c r="D155" i="137"/>
  <c r="R154" i="137"/>
  <c r="Q154" i="137"/>
  <c r="P154" i="137"/>
  <c r="O154" i="137"/>
  <c r="N154" i="137"/>
  <c r="L154" i="137"/>
  <c r="K154" i="137"/>
  <c r="J154" i="137"/>
  <c r="I154" i="137"/>
  <c r="H154" i="137"/>
  <c r="G154" i="137"/>
  <c r="F154" i="137"/>
  <c r="E154" i="137"/>
  <c r="D154" i="137"/>
  <c r="R153" i="137"/>
  <c r="Q153" i="137"/>
  <c r="P153" i="137"/>
  <c r="O153" i="137"/>
  <c r="N153" i="137"/>
  <c r="L153" i="137"/>
  <c r="K153" i="137"/>
  <c r="J153" i="137"/>
  <c r="I153" i="137"/>
  <c r="H153" i="137"/>
  <c r="G153" i="137"/>
  <c r="F153" i="137"/>
  <c r="E153" i="137"/>
  <c r="D153" i="137"/>
  <c r="R152" i="137"/>
  <c r="Q152" i="137"/>
  <c r="P152" i="137"/>
  <c r="O152" i="137"/>
  <c r="N152" i="137"/>
  <c r="L152" i="137"/>
  <c r="K152" i="137"/>
  <c r="J152" i="137"/>
  <c r="I152" i="137"/>
  <c r="H152" i="137"/>
  <c r="G152" i="137"/>
  <c r="F152" i="137"/>
  <c r="E152" i="137"/>
  <c r="D152" i="137"/>
  <c r="R151" i="137"/>
  <c r="Q151" i="137"/>
  <c r="P151" i="137"/>
  <c r="O151" i="137"/>
  <c r="N151" i="137"/>
  <c r="L151" i="137"/>
  <c r="K151" i="137"/>
  <c r="J151" i="137"/>
  <c r="I151" i="137"/>
  <c r="H151" i="137"/>
  <c r="G151" i="137"/>
  <c r="F151" i="137"/>
  <c r="E151" i="137"/>
  <c r="D151" i="137"/>
  <c r="R150" i="137"/>
  <c r="Q150" i="137"/>
  <c r="P150" i="137"/>
  <c r="O150" i="137"/>
  <c r="N150" i="137"/>
  <c r="L150" i="137"/>
  <c r="K150" i="137"/>
  <c r="J150" i="137"/>
  <c r="I150" i="137"/>
  <c r="H150" i="137"/>
  <c r="G150" i="137"/>
  <c r="F150" i="137"/>
  <c r="E150" i="137"/>
  <c r="D150" i="137"/>
  <c r="R149" i="137"/>
  <c r="Q149" i="137"/>
  <c r="P149" i="137"/>
  <c r="O149" i="137"/>
  <c r="N149" i="137"/>
  <c r="L149" i="137"/>
  <c r="K149" i="137"/>
  <c r="J149" i="137"/>
  <c r="I149" i="137"/>
  <c r="H149" i="137"/>
  <c r="G149" i="137"/>
  <c r="F149" i="137"/>
  <c r="E149" i="137"/>
  <c r="D149" i="137"/>
  <c r="R147" i="137"/>
  <c r="Q147" i="137"/>
  <c r="P147" i="137"/>
  <c r="O147" i="137"/>
  <c r="N147" i="137"/>
  <c r="L147" i="137"/>
  <c r="K147" i="137"/>
  <c r="J147" i="137"/>
  <c r="I147" i="137"/>
  <c r="H147" i="137"/>
  <c r="G147" i="137"/>
  <c r="F147" i="137"/>
  <c r="E147" i="137"/>
  <c r="D147" i="137"/>
  <c r="R146" i="137"/>
  <c r="Q146" i="137"/>
  <c r="P146" i="137"/>
  <c r="O146" i="137"/>
  <c r="N146" i="137"/>
  <c r="L146" i="137"/>
  <c r="K146" i="137"/>
  <c r="J146" i="137"/>
  <c r="I146" i="137"/>
  <c r="H146" i="137"/>
  <c r="G146" i="137"/>
  <c r="F146" i="137"/>
  <c r="E146" i="137"/>
  <c r="D146" i="137"/>
  <c r="R145" i="137"/>
  <c r="Q145" i="137"/>
  <c r="P145" i="137"/>
  <c r="O145" i="137"/>
  <c r="N145" i="137"/>
  <c r="L145" i="137"/>
  <c r="K145" i="137"/>
  <c r="J145" i="137"/>
  <c r="I145" i="137"/>
  <c r="H145" i="137"/>
  <c r="G145" i="137"/>
  <c r="F145" i="137"/>
  <c r="E145" i="137"/>
  <c r="D145" i="137"/>
  <c r="R143" i="137"/>
  <c r="Q143" i="137"/>
  <c r="P143" i="137"/>
  <c r="O143" i="137"/>
  <c r="N143" i="137"/>
  <c r="L143" i="137"/>
  <c r="K143" i="137"/>
  <c r="J143" i="137"/>
  <c r="I143" i="137"/>
  <c r="H143" i="137"/>
  <c r="G143" i="137"/>
  <c r="F143" i="137"/>
  <c r="E143" i="137"/>
  <c r="D143" i="137"/>
  <c r="R142" i="137"/>
  <c r="Q142" i="137"/>
  <c r="P142" i="137"/>
  <c r="O142" i="137"/>
  <c r="N142" i="137"/>
  <c r="L142" i="137"/>
  <c r="K142" i="137"/>
  <c r="J142" i="137"/>
  <c r="I142" i="137"/>
  <c r="H142" i="137"/>
  <c r="G142" i="137"/>
  <c r="F142" i="137"/>
  <c r="E142" i="137"/>
  <c r="D142" i="137"/>
  <c r="R140" i="137"/>
  <c r="Q140" i="137"/>
  <c r="P140" i="137"/>
  <c r="O140" i="137"/>
  <c r="N140" i="137"/>
  <c r="L140" i="137"/>
  <c r="K140" i="137"/>
  <c r="J140" i="137"/>
  <c r="I140" i="137"/>
  <c r="H140" i="137"/>
  <c r="G140" i="137"/>
  <c r="F140" i="137"/>
  <c r="E140" i="137"/>
  <c r="D140" i="137"/>
  <c r="R139" i="137"/>
  <c r="Q139" i="137"/>
  <c r="P139" i="137"/>
  <c r="O139" i="137"/>
  <c r="N139" i="137"/>
  <c r="L139" i="137"/>
  <c r="K139" i="137"/>
  <c r="J139" i="137"/>
  <c r="I139" i="137"/>
  <c r="H139" i="137"/>
  <c r="G139" i="137"/>
  <c r="F139" i="137"/>
  <c r="E139" i="137"/>
  <c r="D139" i="137"/>
  <c r="R138" i="137"/>
  <c r="Q138" i="137"/>
  <c r="P138" i="137"/>
  <c r="O138" i="137"/>
  <c r="N138" i="137"/>
  <c r="L138" i="137"/>
  <c r="K138" i="137"/>
  <c r="J138" i="137"/>
  <c r="I138" i="137"/>
  <c r="H138" i="137"/>
  <c r="G138" i="137"/>
  <c r="F138" i="137"/>
  <c r="E138" i="137"/>
  <c r="D138" i="137"/>
  <c r="R136" i="137"/>
  <c r="Q136" i="137"/>
  <c r="P136" i="137"/>
  <c r="O136" i="137"/>
  <c r="N136" i="137"/>
  <c r="L136" i="137"/>
  <c r="K136" i="137"/>
  <c r="J136" i="137"/>
  <c r="I136" i="137"/>
  <c r="H136" i="137"/>
  <c r="G136" i="137"/>
  <c r="F136" i="137"/>
  <c r="E136" i="137"/>
  <c r="D136" i="137"/>
  <c r="R135" i="137"/>
  <c r="Q135" i="137"/>
  <c r="P135" i="137"/>
  <c r="O135" i="137"/>
  <c r="N135" i="137"/>
  <c r="L135" i="137"/>
  <c r="K135" i="137"/>
  <c r="J135" i="137"/>
  <c r="I135" i="137"/>
  <c r="H135" i="137"/>
  <c r="G135" i="137"/>
  <c r="F135" i="137"/>
  <c r="E135" i="137"/>
  <c r="D135" i="137"/>
  <c r="R134" i="137"/>
  <c r="Q134" i="137"/>
  <c r="P134" i="137"/>
  <c r="O134" i="137"/>
  <c r="N134" i="137"/>
  <c r="L134" i="137"/>
  <c r="K134" i="137"/>
  <c r="J134" i="137"/>
  <c r="I134" i="137"/>
  <c r="H134" i="137"/>
  <c r="G134" i="137"/>
  <c r="F134" i="137"/>
  <c r="E134" i="137"/>
  <c r="D134" i="137"/>
  <c r="R133" i="137"/>
  <c r="Q133" i="137"/>
  <c r="P133" i="137"/>
  <c r="O133" i="137"/>
  <c r="N133" i="137"/>
  <c r="L133" i="137"/>
  <c r="K133" i="137"/>
  <c r="J133" i="137"/>
  <c r="I133" i="137"/>
  <c r="H133" i="137"/>
  <c r="G133" i="137"/>
  <c r="F133" i="137"/>
  <c r="E133" i="137"/>
  <c r="D133" i="137"/>
  <c r="R132" i="137"/>
  <c r="Q132" i="137"/>
  <c r="P132" i="137"/>
  <c r="O132" i="137"/>
  <c r="N132" i="137"/>
  <c r="L132" i="137"/>
  <c r="K132" i="137"/>
  <c r="J132" i="137"/>
  <c r="I132" i="137"/>
  <c r="H132" i="137"/>
  <c r="G132" i="137"/>
  <c r="F132" i="137"/>
  <c r="E132" i="137"/>
  <c r="D132" i="137"/>
  <c r="R130" i="137"/>
  <c r="Q130" i="137"/>
  <c r="P130" i="137"/>
  <c r="O130" i="137"/>
  <c r="N130" i="137"/>
  <c r="L130" i="137"/>
  <c r="K130" i="137"/>
  <c r="J130" i="137"/>
  <c r="I130" i="137"/>
  <c r="H130" i="137"/>
  <c r="G130" i="137"/>
  <c r="F130" i="137"/>
  <c r="E130" i="137"/>
  <c r="D130" i="137"/>
  <c r="R129" i="137"/>
  <c r="Q129" i="137"/>
  <c r="P129" i="137"/>
  <c r="O129" i="137"/>
  <c r="N129" i="137"/>
  <c r="L129" i="137"/>
  <c r="K129" i="137"/>
  <c r="J129" i="137"/>
  <c r="I129" i="137"/>
  <c r="H129" i="137"/>
  <c r="G129" i="137"/>
  <c r="F129" i="137"/>
  <c r="E129" i="137"/>
  <c r="D129" i="137"/>
  <c r="R127" i="137"/>
  <c r="Q127" i="137"/>
  <c r="P127" i="137"/>
  <c r="O127" i="137"/>
  <c r="N127" i="137"/>
  <c r="L127" i="137"/>
  <c r="K127" i="137"/>
  <c r="J127" i="137"/>
  <c r="I127" i="137"/>
  <c r="H127" i="137"/>
  <c r="G127" i="137"/>
  <c r="F127" i="137"/>
  <c r="E127" i="137"/>
  <c r="D127" i="137"/>
  <c r="R126" i="137"/>
  <c r="Q126" i="137"/>
  <c r="P126" i="137"/>
  <c r="O126" i="137"/>
  <c r="N126" i="137"/>
  <c r="L126" i="137"/>
  <c r="K126" i="137"/>
  <c r="J126" i="137"/>
  <c r="I126" i="137"/>
  <c r="H126" i="137"/>
  <c r="G126" i="137"/>
  <c r="F126" i="137"/>
  <c r="E126" i="137"/>
  <c r="D126" i="137"/>
  <c r="R125" i="137"/>
  <c r="Q125" i="137"/>
  <c r="P125" i="137"/>
  <c r="O125" i="137"/>
  <c r="N125" i="137"/>
  <c r="L125" i="137"/>
  <c r="K125" i="137"/>
  <c r="J125" i="137"/>
  <c r="I125" i="137"/>
  <c r="H125" i="137"/>
  <c r="G125" i="137"/>
  <c r="F125" i="137"/>
  <c r="E125" i="137"/>
  <c r="D125" i="137"/>
  <c r="R124" i="137"/>
  <c r="Q124" i="137"/>
  <c r="P124" i="137"/>
  <c r="O124" i="137"/>
  <c r="N124" i="137"/>
  <c r="L124" i="137"/>
  <c r="K124" i="137"/>
  <c r="J124" i="137"/>
  <c r="I124" i="137"/>
  <c r="H124" i="137"/>
  <c r="G124" i="137"/>
  <c r="F124" i="137"/>
  <c r="E124" i="137"/>
  <c r="D124" i="137"/>
  <c r="R123" i="137"/>
  <c r="Q123" i="137"/>
  <c r="P123" i="137"/>
  <c r="O123" i="137"/>
  <c r="N123" i="137"/>
  <c r="L123" i="137"/>
  <c r="K123" i="137"/>
  <c r="J123" i="137"/>
  <c r="I123" i="137"/>
  <c r="H123" i="137"/>
  <c r="G123" i="137"/>
  <c r="F123" i="137"/>
  <c r="E123" i="137"/>
  <c r="D123" i="137"/>
  <c r="R122" i="137"/>
  <c r="Q122" i="137"/>
  <c r="P122" i="137"/>
  <c r="O122" i="137"/>
  <c r="N122" i="137"/>
  <c r="L122" i="137"/>
  <c r="K122" i="137"/>
  <c r="J122" i="137"/>
  <c r="I122" i="137"/>
  <c r="H122" i="137"/>
  <c r="G122" i="137"/>
  <c r="F122" i="137"/>
  <c r="E122" i="137"/>
  <c r="D122" i="137"/>
  <c r="R121" i="137"/>
  <c r="Q121" i="137"/>
  <c r="P121" i="137"/>
  <c r="O121" i="137"/>
  <c r="N121" i="137"/>
  <c r="L121" i="137"/>
  <c r="K121" i="137"/>
  <c r="J121" i="137"/>
  <c r="I121" i="137"/>
  <c r="H121" i="137"/>
  <c r="G121" i="137"/>
  <c r="F121" i="137"/>
  <c r="E121" i="137"/>
  <c r="D121" i="137"/>
  <c r="R120" i="137"/>
  <c r="Q120" i="137"/>
  <c r="P120" i="137"/>
  <c r="O120" i="137"/>
  <c r="N120" i="137"/>
  <c r="L120" i="137"/>
  <c r="K120" i="137"/>
  <c r="J120" i="137"/>
  <c r="I120" i="137"/>
  <c r="H120" i="137"/>
  <c r="G120" i="137"/>
  <c r="F120" i="137"/>
  <c r="E120" i="137"/>
  <c r="D120" i="137"/>
  <c r="R119" i="137"/>
  <c r="Q119" i="137"/>
  <c r="P119" i="137"/>
  <c r="O119" i="137"/>
  <c r="N119" i="137"/>
  <c r="L119" i="137"/>
  <c r="K119" i="137"/>
  <c r="J119" i="137"/>
  <c r="I119" i="137"/>
  <c r="H119" i="137"/>
  <c r="G119" i="137"/>
  <c r="F119" i="137"/>
  <c r="E119" i="137"/>
  <c r="D119" i="137"/>
  <c r="R118" i="137"/>
  <c r="Q118" i="137"/>
  <c r="P118" i="137"/>
  <c r="O118" i="137"/>
  <c r="N118" i="137"/>
  <c r="L118" i="137"/>
  <c r="K118" i="137"/>
  <c r="J118" i="137"/>
  <c r="I118" i="137"/>
  <c r="H118" i="137"/>
  <c r="G118" i="137"/>
  <c r="F118" i="137"/>
  <c r="E118" i="137"/>
  <c r="D118" i="137"/>
  <c r="R116" i="137"/>
  <c r="Q116" i="137"/>
  <c r="P116" i="137"/>
  <c r="O116" i="137"/>
  <c r="N116" i="137"/>
  <c r="L116" i="137"/>
  <c r="K116" i="137"/>
  <c r="J116" i="137"/>
  <c r="I116" i="137"/>
  <c r="H116" i="137"/>
  <c r="G116" i="137"/>
  <c r="F116" i="137"/>
  <c r="E116" i="137"/>
  <c r="D116" i="137"/>
  <c r="R115" i="137"/>
  <c r="Q115" i="137"/>
  <c r="P115" i="137"/>
  <c r="O115" i="137"/>
  <c r="N115" i="137"/>
  <c r="L115" i="137"/>
  <c r="K115" i="137"/>
  <c r="J115" i="137"/>
  <c r="I115" i="137"/>
  <c r="H115" i="137"/>
  <c r="G115" i="137"/>
  <c r="F115" i="137"/>
  <c r="E115" i="137"/>
  <c r="D115" i="137"/>
  <c r="R114" i="137"/>
  <c r="Q114" i="137"/>
  <c r="P114" i="137"/>
  <c r="O114" i="137"/>
  <c r="N114" i="137"/>
  <c r="L114" i="137"/>
  <c r="K114" i="137"/>
  <c r="J114" i="137"/>
  <c r="I114" i="137"/>
  <c r="H114" i="137"/>
  <c r="G114" i="137"/>
  <c r="F114" i="137"/>
  <c r="E114" i="137"/>
  <c r="D114" i="137"/>
  <c r="R111" i="137"/>
  <c r="Q111" i="137"/>
  <c r="P111" i="137"/>
  <c r="O111" i="137"/>
  <c r="N111" i="137"/>
  <c r="L111" i="137"/>
  <c r="K111" i="137"/>
  <c r="J111" i="137"/>
  <c r="I111" i="137"/>
  <c r="H111" i="137"/>
  <c r="G111" i="137"/>
  <c r="F111" i="137"/>
  <c r="E111" i="137"/>
  <c r="D111" i="137"/>
  <c r="R109" i="137"/>
  <c r="Q109" i="137"/>
  <c r="P109" i="137"/>
  <c r="O109" i="137"/>
  <c r="N109" i="137"/>
  <c r="L109" i="137"/>
  <c r="K109" i="137"/>
  <c r="J109" i="137"/>
  <c r="I109" i="137"/>
  <c r="H109" i="137"/>
  <c r="G109" i="137"/>
  <c r="F109" i="137"/>
  <c r="E109" i="137"/>
  <c r="D109" i="137"/>
  <c r="R108" i="137"/>
  <c r="Q108" i="137"/>
  <c r="P108" i="137"/>
  <c r="O108" i="137"/>
  <c r="N108" i="137"/>
  <c r="L108" i="137"/>
  <c r="K108" i="137"/>
  <c r="J108" i="137"/>
  <c r="I108" i="137"/>
  <c r="H108" i="137"/>
  <c r="G108" i="137"/>
  <c r="F108" i="137"/>
  <c r="E108" i="137"/>
  <c r="D108" i="137"/>
  <c r="R107" i="137"/>
  <c r="Q107" i="137"/>
  <c r="P107" i="137"/>
  <c r="O107" i="137"/>
  <c r="N107" i="137"/>
  <c r="L107" i="137"/>
  <c r="K107" i="137"/>
  <c r="J107" i="137"/>
  <c r="I107" i="137"/>
  <c r="H107" i="137"/>
  <c r="G107" i="137"/>
  <c r="F107" i="137"/>
  <c r="E107" i="137"/>
  <c r="D107" i="137"/>
  <c r="R106" i="137"/>
  <c r="Q106" i="137"/>
  <c r="P106" i="137"/>
  <c r="O106" i="137"/>
  <c r="N106" i="137"/>
  <c r="L106" i="137"/>
  <c r="K106" i="137"/>
  <c r="J106" i="137"/>
  <c r="I106" i="137"/>
  <c r="H106" i="137"/>
  <c r="G106" i="137"/>
  <c r="F106" i="137"/>
  <c r="E106" i="137"/>
  <c r="D106" i="137"/>
  <c r="R105" i="137"/>
  <c r="Q105" i="137"/>
  <c r="P105" i="137"/>
  <c r="O105" i="137"/>
  <c r="N105" i="137"/>
  <c r="L105" i="137"/>
  <c r="K105" i="137"/>
  <c r="J105" i="137"/>
  <c r="I105" i="137"/>
  <c r="H105" i="137"/>
  <c r="G105" i="137"/>
  <c r="F105" i="137"/>
  <c r="E105" i="137"/>
  <c r="D105" i="137"/>
  <c r="R104" i="137"/>
  <c r="Q104" i="137"/>
  <c r="P104" i="137"/>
  <c r="O104" i="137"/>
  <c r="N104" i="137"/>
  <c r="L104" i="137"/>
  <c r="K104" i="137"/>
  <c r="J104" i="137"/>
  <c r="I104" i="137"/>
  <c r="H104" i="137"/>
  <c r="G104" i="137"/>
  <c r="F104" i="137"/>
  <c r="E104" i="137"/>
  <c r="D104" i="137"/>
  <c r="R102" i="137"/>
  <c r="Q102" i="137"/>
  <c r="P102" i="137"/>
  <c r="O102" i="137"/>
  <c r="N102" i="137"/>
  <c r="L102" i="137"/>
  <c r="K102" i="137"/>
  <c r="J102" i="137"/>
  <c r="I102" i="137"/>
  <c r="H102" i="137"/>
  <c r="G102" i="137"/>
  <c r="F102" i="137"/>
  <c r="E102" i="137"/>
  <c r="D102" i="137"/>
  <c r="R101" i="137"/>
  <c r="Q101" i="137"/>
  <c r="P101" i="137"/>
  <c r="O101" i="137"/>
  <c r="N101" i="137"/>
  <c r="L101" i="137"/>
  <c r="K101" i="137"/>
  <c r="J101" i="137"/>
  <c r="I101" i="137"/>
  <c r="H101" i="137"/>
  <c r="G101" i="137"/>
  <c r="F101" i="137"/>
  <c r="E101" i="137"/>
  <c r="D101" i="137"/>
  <c r="R100" i="137"/>
  <c r="Q100" i="137"/>
  <c r="P100" i="137"/>
  <c r="O100" i="137"/>
  <c r="N100" i="137"/>
  <c r="L100" i="137"/>
  <c r="K100" i="137"/>
  <c r="J100" i="137"/>
  <c r="I100" i="137"/>
  <c r="H100" i="137"/>
  <c r="G100" i="137"/>
  <c r="F100" i="137"/>
  <c r="E100" i="137"/>
  <c r="D100" i="137"/>
  <c r="R99" i="137"/>
  <c r="Q99" i="137"/>
  <c r="P99" i="137"/>
  <c r="O99" i="137"/>
  <c r="N99" i="137"/>
  <c r="L99" i="137"/>
  <c r="K99" i="137"/>
  <c r="J99" i="137"/>
  <c r="I99" i="137"/>
  <c r="H99" i="137"/>
  <c r="G99" i="137"/>
  <c r="F99" i="137"/>
  <c r="E99" i="137"/>
  <c r="D99" i="137"/>
  <c r="R98" i="137"/>
  <c r="Q98" i="137"/>
  <c r="P98" i="137"/>
  <c r="O98" i="137"/>
  <c r="N98" i="137"/>
  <c r="L98" i="137"/>
  <c r="K98" i="137"/>
  <c r="J98" i="137"/>
  <c r="I98" i="137"/>
  <c r="H98" i="137"/>
  <c r="G98" i="137"/>
  <c r="F98" i="137"/>
  <c r="E98" i="137"/>
  <c r="D98" i="137"/>
  <c r="R97" i="137"/>
  <c r="Q97" i="137"/>
  <c r="P97" i="137"/>
  <c r="O97" i="137"/>
  <c r="N97" i="137"/>
  <c r="L97" i="137"/>
  <c r="K97" i="137"/>
  <c r="J97" i="137"/>
  <c r="I97" i="137"/>
  <c r="H97" i="137"/>
  <c r="G97" i="137"/>
  <c r="F97" i="137"/>
  <c r="E97" i="137"/>
  <c r="D97" i="137"/>
  <c r="R96" i="137"/>
  <c r="Q96" i="137"/>
  <c r="P96" i="137"/>
  <c r="O96" i="137"/>
  <c r="N96" i="137"/>
  <c r="L96" i="137"/>
  <c r="K96" i="137"/>
  <c r="J96" i="137"/>
  <c r="I96" i="137"/>
  <c r="H96" i="137"/>
  <c r="G96" i="137"/>
  <c r="F96" i="137"/>
  <c r="E96" i="137"/>
  <c r="D96" i="137"/>
  <c r="R95" i="137"/>
  <c r="Q95" i="137"/>
  <c r="P95" i="137"/>
  <c r="O95" i="137"/>
  <c r="N95" i="137"/>
  <c r="L95" i="137"/>
  <c r="K95" i="137"/>
  <c r="J95" i="137"/>
  <c r="I95" i="137"/>
  <c r="H95" i="137"/>
  <c r="G95" i="137"/>
  <c r="F95" i="137"/>
  <c r="E95" i="137"/>
  <c r="D95" i="137"/>
  <c r="R94" i="137"/>
  <c r="Q94" i="137"/>
  <c r="P94" i="137"/>
  <c r="O94" i="137"/>
  <c r="N94" i="137"/>
  <c r="L94" i="137"/>
  <c r="K94" i="137"/>
  <c r="J94" i="137"/>
  <c r="I94" i="137"/>
  <c r="H94" i="137"/>
  <c r="G94" i="137"/>
  <c r="F94" i="137"/>
  <c r="E94" i="137"/>
  <c r="D94" i="137"/>
  <c r="R93" i="137"/>
  <c r="Q93" i="137"/>
  <c r="P93" i="137"/>
  <c r="O93" i="137"/>
  <c r="N93" i="137"/>
  <c r="L93" i="137"/>
  <c r="K93" i="137"/>
  <c r="J93" i="137"/>
  <c r="I93" i="137"/>
  <c r="H93" i="137"/>
  <c r="G93" i="137"/>
  <c r="F93" i="137"/>
  <c r="E93" i="137"/>
  <c r="D93" i="137"/>
  <c r="R92" i="137"/>
  <c r="Q92" i="137"/>
  <c r="P92" i="137"/>
  <c r="O92" i="137"/>
  <c r="N92" i="137"/>
  <c r="L92" i="137"/>
  <c r="K92" i="137"/>
  <c r="J92" i="137"/>
  <c r="I92" i="137"/>
  <c r="H92" i="137"/>
  <c r="G92" i="137"/>
  <c r="F92" i="137"/>
  <c r="E92" i="137"/>
  <c r="D92" i="137"/>
  <c r="R91" i="137"/>
  <c r="Q91" i="137"/>
  <c r="P91" i="137"/>
  <c r="O91" i="137"/>
  <c r="N91" i="137"/>
  <c r="L91" i="137"/>
  <c r="K91" i="137"/>
  <c r="J91" i="137"/>
  <c r="I91" i="137"/>
  <c r="H91" i="137"/>
  <c r="G91" i="137"/>
  <c r="F91" i="137"/>
  <c r="E91" i="137"/>
  <c r="D91" i="137"/>
  <c r="R90" i="137"/>
  <c r="Q90" i="137"/>
  <c r="P90" i="137"/>
  <c r="O90" i="137"/>
  <c r="N90" i="137"/>
  <c r="L90" i="137"/>
  <c r="K90" i="137"/>
  <c r="J90" i="137"/>
  <c r="I90" i="137"/>
  <c r="H90" i="137"/>
  <c r="G90" i="137"/>
  <c r="F90" i="137"/>
  <c r="E90" i="137"/>
  <c r="D90" i="137"/>
  <c r="R89" i="137"/>
  <c r="Q89" i="137"/>
  <c r="P89" i="137"/>
  <c r="O89" i="137"/>
  <c r="N89" i="137"/>
  <c r="L89" i="137"/>
  <c r="K89" i="137"/>
  <c r="J89" i="137"/>
  <c r="I89" i="137"/>
  <c r="H89" i="137"/>
  <c r="G89" i="137"/>
  <c r="F89" i="137"/>
  <c r="E89" i="137"/>
  <c r="D89" i="137"/>
  <c r="R88" i="137"/>
  <c r="Q88" i="137"/>
  <c r="P88" i="137"/>
  <c r="O88" i="137"/>
  <c r="N88" i="137"/>
  <c r="L88" i="137"/>
  <c r="K88" i="137"/>
  <c r="J88" i="137"/>
  <c r="I88" i="137"/>
  <c r="H88" i="137"/>
  <c r="G88" i="137"/>
  <c r="F88" i="137"/>
  <c r="E88" i="137"/>
  <c r="D88" i="137"/>
  <c r="R87" i="137"/>
  <c r="Q87" i="137"/>
  <c r="P87" i="137"/>
  <c r="O87" i="137"/>
  <c r="N87" i="137"/>
  <c r="L87" i="137"/>
  <c r="K87" i="137"/>
  <c r="J87" i="137"/>
  <c r="I87" i="137"/>
  <c r="H87" i="137"/>
  <c r="G87" i="137"/>
  <c r="F87" i="137"/>
  <c r="E87" i="137"/>
  <c r="D87" i="137"/>
  <c r="R86" i="137"/>
  <c r="Q86" i="137"/>
  <c r="P86" i="137"/>
  <c r="O86" i="137"/>
  <c r="N86" i="137"/>
  <c r="L86" i="137"/>
  <c r="K86" i="137"/>
  <c r="J86" i="137"/>
  <c r="I86" i="137"/>
  <c r="H86" i="137"/>
  <c r="G86" i="137"/>
  <c r="F86" i="137"/>
  <c r="E86" i="137"/>
  <c r="D86" i="137"/>
  <c r="R85" i="137"/>
  <c r="Q85" i="137"/>
  <c r="P85" i="137"/>
  <c r="O85" i="137"/>
  <c r="N85" i="137"/>
  <c r="L85" i="137"/>
  <c r="K85" i="137"/>
  <c r="J85" i="137"/>
  <c r="I85" i="137"/>
  <c r="H85" i="137"/>
  <c r="G85" i="137"/>
  <c r="F85" i="137"/>
  <c r="E85" i="137"/>
  <c r="D85" i="137"/>
  <c r="R84" i="137"/>
  <c r="Q84" i="137"/>
  <c r="P84" i="137"/>
  <c r="O84" i="137"/>
  <c r="N84" i="137"/>
  <c r="L84" i="137"/>
  <c r="K84" i="137"/>
  <c r="J84" i="137"/>
  <c r="I84" i="137"/>
  <c r="H84" i="137"/>
  <c r="G84" i="137"/>
  <c r="F84" i="137"/>
  <c r="E84" i="137"/>
  <c r="D84" i="137"/>
  <c r="R83" i="137"/>
  <c r="Q83" i="137"/>
  <c r="P83" i="137"/>
  <c r="O83" i="137"/>
  <c r="N83" i="137"/>
  <c r="L83" i="137"/>
  <c r="K83" i="137"/>
  <c r="J83" i="137"/>
  <c r="I83" i="137"/>
  <c r="H83" i="137"/>
  <c r="G83" i="137"/>
  <c r="F83" i="137"/>
  <c r="E83" i="137"/>
  <c r="D83" i="137"/>
  <c r="R82" i="137"/>
  <c r="Q82" i="137"/>
  <c r="P82" i="137"/>
  <c r="O82" i="137"/>
  <c r="N82" i="137"/>
  <c r="L82" i="137"/>
  <c r="K82" i="137"/>
  <c r="J82" i="137"/>
  <c r="I82" i="137"/>
  <c r="H82" i="137"/>
  <c r="G82" i="137"/>
  <c r="F82" i="137"/>
  <c r="E82" i="137"/>
  <c r="D82" i="137"/>
  <c r="R81" i="137"/>
  <c r="Q81" i="137"/>
  <c r="P81" i="137"/>
  <c r="O81" i="137"/>
  <c r="N81" i="137"/>
  <c r="L81" i="137"/>
  <c r="K81" i="137"/>
  <c r="J81" i="137"/>
  <c r="I81" i="137"/>
  <c r="H81" i="137"/>
  <c r="G81" i="137"/>
  <c r="F81" i="137"/>
  <c r="E81" i="137"/>
  <c r="D81" i="137"/>
  <c r="R80" i="137"/>
  <c r="Q80" i="137"/>
  <c r="P80" i="137"/>
  <c r="O80" i="137"/>
  <c r="N80" i="137"/>
  <c r="L80" i="137"/>
  <c r="K80" i="137"/>
  <c r="J80" i="137"/>
  <c r="I80" i="137"/>
  <c r="H80" i="137"/>
  <c r="G80" i="137"/>
  <c r="F80" i="137"/>
  <c r="E80" i="137"/>
  <c r="D80" i="137"/>
  <c r="R79" i="137"/>
  <c r="Q79" i="137"/>
  <c r="P79" i="137"/>
  <c r="O79" i="137"/>
  <c r="N79" i="137"/>
  <c r="L79" i="137"/>
  <c r="K79" i="137"/>
  <c r="J79" i="137"/>
  <c r="I79" i="137"/>
  <c r="H79" i="137"/>
  <c r="G79" i="137"/>
  <c r="F79" i="137"/>
  <c r="E79" i="137"/>
  <c r="D79" i="137"/>
  <c r="R78" i="137"/>
  <c r="Q78" i="137"/>
  <c r="P78" i="137"/>
  <c r="O78" i="137"/>
  <c r="N78" i="137"/>
  <c r="L78" i="137"/>
  <c r="K78" i="137"/>
  <c r="J78" i="137"/>
  <c r="I78" i="137"/>
  <c r="H78" i="137"/>
  <c r="G78" i="137"/>
  <c r="F78" i="137"/>
  <c r="E78" i="137"/>
  <c r="D78" i="137"/>
  <c r="R72" i="137"/>
  <c r="Q72" i="137"/>
  <c r="P72" i="137"/>
  <c r="O72" i="137"/>
  <c r="N72" i="137"/>
  <c r="L72" i="137"/>
  <c r="K72" i="137"/>
  <c r="J72" i="137"/>
  <c r="I72" i="137"/>
  <c r="H72" i="137"/>
  <c r="G72" i="137"/>
  <c r="F72" i="137"/>
  <c r="E72" i="137"/>
  <c r="D72" i="137"/>
  <c r="R71" i="137"/>
  <c r="Q71" i="137"/>
  <c r="P71" i="137"/>
  <c r="O71" i="137"/>
  <c r="N71" i="137"/>
  <c r="L71" i="137"/>
  <c r="K71" i="137"/>
  <c r="J71" i="137"/>
  <c r="I71" i="137"/>
  <c r="H71" i="137"/>
  <c r="G71" i="137"/>
  <c r="F71" i="137"/>
  <c r="E71" i="137"/>
  <c r="D71" i="137"/>
  <c r="R70" i="137"/>
  <c r="Q70" i="137"/>
  <c r="P70" i="137"/>
  <c r="O70" i="137"/>
  <c r="N70" i="137"/>
  <c r="L70" i="137"/>
  <c r="K70" i="137"/>
  <c r="J70" i="137"/>
  <c r="I70" i="137"/>
  <c r="H70" i="137"/>
  <c r="G70" i="137"/>
  <c r="F70" i="137"/>
  <c r="E70" i="137"/>
  <c r="D70" i="137"/>
  <c r="R69" i="137"/>
  <c r="Q69" i="137"/>
  <c r="P69" i="137"/>
  <c r="O69" i="137"/>
  <c r="N69" i="137"/>
  <c r="L69" i="137"/>
  <c r="K69" i="137"/>
  <c r="J69" i="137"/>
  <c r="I69" i="137"/>
  <c r="H69" i="137"/>
  <c r="G69" i="137"/>
  <c r="F69" i="137"/>
  <c r="E69" i="137"/>
  <c r="D69" i="137"/>
  <c r="R68" i="137"/>
  <c r="Q68" i="137"/>
  <c r="P68" i="137"/>
  <c r="O68" i="137"/>
  <c r="N68" i="137"/>
  <c r="L68" i="137"/>
  <c r="K68" i="137"/>
  <c r="J68" i="137"/>
  <c r="I68" i="137"/>
  <c r="H68" i="137"/>
  <c r="G68" i="137"/>
  <c r="F68" i="137"/>
  <c r="E68" i="137"/>
  <c r="D68" i="137"/>
  <c r="R67" i="137"/>
  <c r="Q67" i="137"/>
  <c r="P67" i="137"/>
  <c r="O67" i="137"/>
  <c r="N67" i="137"/>
  <c r="L67" i="137"/>
  <c r="K67" i="137"/>
  <c r="J67" i="137"/>
  <c r="I67" i="137"/>
  <c r="H67" i="137"/>
  <c r="G67" i="137"/>
  <c r="F67" i="137"/>
  <c r="E67" i="137"/>
  <c r="D67" i="137"/>
  <c r="R66" i="137"/>
  <c r="Q66" i="137"/>
  <c r="P66" i="137"/>
  <c r="O66" i="137"/>
  <c r="N66" i="137"/>
  <c r="L66" i="137"/>
  <c r="K66" i="137"/>
  <c r="J66" i="137"/>
  <c r="I66" i="137"/>
  <c r="H66" i="137"/>
  <c r="G66" i="137"/>
  <c r="F66" i="137"/>
  <c r="E66" i="137"/>
  <c r="D66" i="137"/>
  <c r="R65" i="137"/>
  <c r="Q65" i="137"/>
  <c r="P65" i="137"/>
  <c r="O65" i="137"/>
  <c r="N65" i="137"/>
  <c r="L65" i="137"/>
  <c r="K65" i="137"/>
  <c r="J65" i="137"/>
  <c r="I65" i="137"/>
  <c r="H65" i="137"/>
  <c r="G65" i="137"/>
  <c r="F65" i="137"/>
  <c r="E65" i="137"/>
  <c r="D65" i="137"/>
  <c r="R64" i="137"/>
  <c r="Q64" i="137"/>
  <c r="P64" i="137"/>
  <c r="O64" i="137"/>
  <c r="N64" i="137"/>
  <c r="L64" i="137"/>
  <c r="K64" i="137"/>
  <c r="J64" i="137"/>
  <c r="I64" i="137"/>
  <c r="H64" i="137"/>
  <c r="G64" i="137"/>
  <c r="F64" i="137"/>
  <c r="E64" i="137"/>
  <c r="D64" i="137"/>
  <c r="R63" i="137"/>
  <c r="Q63" i="137"/>
  <c r="P63" i="137"/>
  <c r="O63" i="137"/>
  <c r="N63" i="137"/>
  <c r="L63" i="137"/>
  <c r="K63" i="137"/>
  <c r="J63" i="137"/>
  <c r="I63" i="137"/>
  <c r="H63" i="137"/>
  <c r="G63" i="137"/>
  <c r="F63" i="137"/>
  <c r="E63" i="137"/>
  <c r="D63" i="137"/>
  <c r="R61" i="137"/>
  <c r="Q61" i="137"/>
  <c r="P61" i="137"/>
  <c r="O61" i="137"/>
  <c r="N61" i="137"/>
  <c r="L61" i="137"/>
  <c r="K61" i="137"/>
  <c r="J61" i="137"/>
  <c r="I61" i="137"/>
  <c r="H61" i="137"/>
  <c r="G61" i="137"/>
  <c r="F61" i="137"/>
  <c r="E61" i="137"/>
  <c r="D61" i="137"/>
  <c r="R59" i="137"/>
  <c r="Q59" i="137"/>
  <c r="P59" i="137"/>
  <c r="O59" i="137"/>
  <c r="N59" i="137"/>
  <c r="L59" i="137"/>
  <c r="K59" i="137"/>
  <c r="J59" i="137"/>
  <c r="I59" i="137"/>
  <c r="H59" i="137"/>
  <c r="G59" i="137"/>
  <c r="F59" i="137"/>
  <c r="E59" i="137"/>
  <c r="D59" i="137"/>
  <c r="R58" i="137"/>
  <c r="Q58" i="137"/>
  <c r="P58" i="137"/>
  <c r="O58" i="137"/>
  <c r="N58" i="137"/>
  <c r="L58" i="137"/>
  <c r="K58" i="137"/>
  <c r="J58" i="137"/>
  <c r="I58" i="137"/>
  <c r="H58" i="137"/>
  <c r="G58" i="137"/>
  <c r="F58" i="137"/>
  <c r="E58" i="137"/>
  <c r="D58" i="137"/>
  <c r="R57" i="137"/>
  <c r="Q57" i="137"/>
  <c r="P57" i="137"/>
  <c r="O57" i="137"/>
  <c r="N57" i="137"/>
  <c r="L57" i="137"/>
  <c r="K57" i="137"/>
  <c r="J57" i="137"/>
  <c r="I57" i="137"/>
  <c r="H57" i="137"/>
  <c r="G57" i="137"/>
  <c r="F57" i="137"/>
  <c r="E57" i="137"/>
  <c r="D57" i="137"/>
  <c r="R56" i="137"/>
  <c r="Q56" i="137"/>
  <c r="P56" i="137"/>
  <c r="O56" i="137"/>
  <c r="N56" i="137"/>
  <c r="L56" i="137"/>
  <c r="K56" i="137"/>
  <c r="J56" i="137"/>
  <c r="I56" i="137"/>
  <c r="H56" i="137"/>
  <c r="G56" i="137"/>
  <c r="F56" i="137"/>
  <c r="E56" i="137"/>
  <c r="D56" i="137"/>
  <c r="R55" i="137"/>
  <c r="Q55" i="137"/>
  <c r="P55" i="137"/>
  <c r="O55" i="137"/>
  <c r="N55" i="137"/>
  <c r="L55" i="137"/>
  <c r="K55" i="137"/>
  <c r="J55" i="137"/>
  <c r="I55" i="137"/>
  <c r="H55" i="137"/>
  <c r="G55" i="137"/>
  <c r="F55" i="137"/>
  <c r="E55" i="137"/>
  <c r="D55" i="137"/>
  <c r="R54" i="137"/>
  <c r="Q54" i="137"/>
  <c r="P54" i="137"/>
  <c r="O54" i="137"/>
  <c r="N54" i="137"/>
  <c r="L54" i="137"/>
  <c r="K54" i="137"/>
  <c r="J54" i="137"/>
  <c r="I54" i="137"/>
  <c r="H54" i="137"/>
  <c r="G54" i="137"/>
  <c r="F54" i="137"/>
  <c r="E54" i="137"/>
  <c r="D54" i="137"/>
  <c r="R53" i="137"/>
  <c r="Q53" i="137"/>
  <c r="P53" i="137"/>
  <c r="O53" i="137"/>
  <c r="N53" i="137"/>
  <c r="L53" i="137"/>
  <c r="K53" i="137"/>
  <c r="J53" i="137"/>
  <c r="I53" i="137"/>
  <c r="H53" i="137"/>
  <c r="G53" i="137"/>
  <c r="F53" i="137"/>
  <c r="E53" i="137"/>
  <c r="D53" i="137"/>
  <c r="R52" i="137"/>
  <c r="Q52" i="137"/>
  <c r="P52" i="137"/>
  <c r="O52" i="137"/>
  <c r="N52" i="137"/>
  <c r="L52" i="137"/>
  <c r="K52" i="137"/>
  <c r="J52" i="137"/>
  <c r="I52" i="137"/>
  <c r="H52" i="137"/>
  <c r="G52" i="137"/>
  <c r="F52" i="137"/>
  <c r="E52" i="137"/>
  <c r="D52" i="137"/>
  <c r="R51" i="137"/>
  <c r="Q51" i="137"/>
  <c r="P51" i="137"/>
  <c r="O51" i="137"/>
  <c r="N51" i="137"/>
  <c r="L51" i="137"/>
  <c r="K51" i="137"/>
  <c r="J51" i="137"/>
  <c r="I51" i="137"/>
  <c r="H51" i="137"/>
  <c r="G51" i="137"/>
  <c r="F51" i="137"/>
  <c r="E51" i="137"/>
  <c r="D51" i="137"/>
  <c r="R49" i="137"/>
  <c r="Q49" i="137"/>
  <c r="P49" i="137"/>
  <c r="O49" i="137"/>
  <c r="N49" i="137"/>
  <c r="L49" i="137"/>
  <c r="K49" i="137"/>
  <c r="J49" i="137"/>
  <c r="I49" i="137"/>
  <c r="H49" i="137"/>
  <c r="G49" i="137"/>
  <c r="F49" i="137"/>
  <c r="E49" i="137"/>
  <c r="D49" i="137"/>
  <c r="R48" i="137"/>
  <c r="Q48" i="137"/>
  <c r="P48" i="137"/>
  <c r="O48" i="137"/>
  <c r="N48" i="137"/>
  <c r="L48" i="137"/>
  <c r="K48" i="137"/>
  <c r="J48" i="137"/>
  <c r="I48" i="137"/>
  <c r="H48" i="137"/>
  <c r="G48" i="137"/>
  <c r="F48" i="137"/>
  <c r="E48" i="137"/>
  <c r="D48" i="137"/>
  <c r="R47" i="137"/>
  <c r="Q47" i="137"/>
  <c r="P47" i="137"/>
  <c r="O47" i="137"/>
  <c r="N47" i="137"/>
  <c r="L47" i="137"/>
  <c r="K47" i="137"/>
  <c r="J47" i="137"/>
  <c r="I47" i="137"/>
  <c r="H47" i="137"/>
  <c r="G47" i="137"/>
  <c r="F47" i="137"/>
  <c r="E47" i="137"/>
  <c r="D47" i="137"/>
  <c r="R46" i="137"/>
  <c r="Q46" i="137"/>
  <c r="P46" i="137"/>
  <c r="O46" i="137"/>
  <c r="N46" i="137"/>
  <c r="L46" i="137"/>
  <c r="K46" i="137"/>
  <c r="J46" i="137"/>
  <c r="I46" i="137"/>
  <c r="H46" i="137"/>
  <c r="G46" i="137"/>
  <c r="F46" i="137"/>
  <c r="E46" i="137"/>
  <c r="D46" i="137"/>
  <c r="R44" i="137"/>
  <c r="Q44" i="137"/>
  <c r="P44" i="137"/>
  <c r="O44" i="137"/>
  <c r="N44" i="137"/>
  <c r="L44" i="137"/>
  <c r="K44" i="137"/>
  <c r="J44" i="137"/>
  <c r="I44" i="137"/>
  <c r="H44" i="137"/>
  <c r="G44" i="137"/>
  <c r="F44" i="137"/>
  <c r="E44" i="137"/>
  <c r="D44" i="137"/>
  <c r="R42" i="137"/>
  <c r="Q42" i="137"/>
  <c r="P42" i="137"/>
  <c r="O42" i="137"/>
  <c r="N42" i="137"/>
  <c r="L42" i="137"/>
  <c r="K42" i="137"/>
  <c r="J42" i="137"/>
  <c r="I42" i="137"/>
  <c r="H42" i="137"/>
  <c r="G42" i="137"/>
  <c r="F42" i="137"/>
  <c r="E42" i="137"/>
  <c r="D42" i="137"/>
  <c r="R41" i="137"/>
  <c r="Q41" i="137"/>
  <c r="P41" i="137"/>
  <c r="O41" i="137"/>
  <c r="N41" i="137"/>
  <c r="L41" i="137"/>
  <c r="K41" i="137"/>
  <c r="J41" i="137"/>
  <c r="I41" i="137"/>
  <c r="H41" i="137"/>
  <c r="G41" i="137"/>
  <c r="F41" i="137"/>
  <c r="E41" i="137"/>
  <c r="D41" i="137"/>
  <c r="R40" i="137"/>
  <c r="Q40" i="137"/>
  <c r="P40" i="137"/>
  <c r="O40" i="137"/>
  <c r="N40" i="137"/>
  <c r="L40" i="137"/>
  <c r="K40" i="137"/>
  <c r="J40" i="137"/>
  <c r="I40" i="137"/>
  <c r="H40" i="137"/>
  <c r="G40" i="137"/>
  <c r="F40" i="137"/>
  <c r="E40" i="137"/>
  <c r="D40" i="137"/>
  <c r="R39" i="137"/>
  <c r="Q39" i="137"/>
  <c r="P39" i="137"/>
  <c r="O39" i="137"/>
  <c r="N39" i="137"/>
  <c r="L39" i="137"/>
  <c r="K39" i="137"/>
  <c r="J39" i="137"/>
  <c r="I39" i="137"/>
  <c r="H39" i="137"/>
  <c r="G39" i="137"/>
  <c r="F39" i="137"/>
  <c r="E39" i="137"/>
  <c r="D39" i="137"/>
  <c r="R38" i="137"/>
  <c r="Q38" i="137"/>
  <c r="P38" i="137"/>
  <c r="O38" i="137"/>
  <c r="N38" i="137"/>
  <c r="L38" i="137"/>
  <c r="K38" i="137"/>
  <c r="J38" i="137"/>
  <c r="I38" i="137"/>
  <c r="H38" i="137"/>
  <c r="G38" i="137"/>
  <c r="F38" i="137"/>
  <c r="E38" i="137"/>
  <c r="D38" i="137"/>
  <c r="R37" i="137"/>
  <c r="Q37" i="137"/>
  <c r="P37" i="137"/>
  <c r="O37" i="137"/>
  <c r="N37" i="137"/>
  <c r="L37" i="137"/>
  <c r="K37" i="137"/>
  <c r="J37" i="137"/>
  <c r="I37" i="137"/>
  <c r="H37" i="137"/>
  <c r="G37" i="137"/>
  <c r="F37" i="137"/>
  <c r="E37" i="137"/>
  <c r="D37" i="137"/>
  <c r="R31" i="137"/>
  <c r="Q31" i="137"/>
  <c r="P31" i="137"/>
  <c r="O31" i="137"/>
  <c r="N31" i="137"/>
  <c r="L31" i="137"/>
  <c r="K31" i="137"/>
  <c r="J31" i="137"/>
  <c r="I31" i="137"/>
  <c r="H31" i="137"/>
  <c r="G31" i="137"/>
  <c r="F31" i="137"/>
  <c r="E31" i="137"/>
  <c r="D31" i="137"/>
  <c r="R28" i="137"/>
  <c r="Q28" i="137"/>
  <c r="P28" i="137"/>
  <c r="O28" i="137"/>
  <c r="N28" i="137"/>
  <c r="L28" i="137"/>
  <c r="K28" i="137"/>
  <c r="J28" i="137"/>
  <c r="I28" i="137"/>
  <c r="H28" i="137"/>
  <c r="G28" i="137"/>
  <c r="F28" i="137"/>
  <c r="E28" i="137"/>
  <c r="D28" i="137"/>
  <c r="R26" i="137"/>
  <c r="Q26" i="137"/>
  <c r="P26" i="137"/>
  <c r="O26" i="137"/>
  <c r="N26" i="137"/>
  <c r="L26" i="137"/>
  <c r="K26" i="137"/>
  <c r="J26" i="137"/>
  <c r="I26" i="137"/>
  <c r="H26" i="137"/>
  <c r="G26" i="137"/>
  <c r="F26" i="137"/>
  <c r="E26" i="137"/>
  <c r="D26" i="137"/>
  <c r="R25" i="137"/>
  <c r="Q25" i="137"/>
  <c r="P25" i="137"/>
  <c r="O25" i="137"/>
  <c r="N25" i="137"/>
  <c r="L25" i="137"/>
  <c r="K25" i="137"/>
  <c r="J25" i="137"/>
  <c r="I25" i="137"/>
  <c r="H25" i="137"/>
  <c r="G25" i="137"/>
  <c r="F25" i="137"/>
  <c r="E25" i="137"/>
  <c r="D25" i="137"/>
  <c r="R22" i="137"/>
  <c r="Q22" i="137"/>
  <c r="P22" i="137"/>
  <c r="O22" i="137"/>
  <c r="N22" i="137"/>
  <c r="L22" i="137"/>
  <c r="K22" i="137"/>
  <c r="J22" i="137"/>
  <c r="I22" i="137"/>
  <c r="H22" i="137"/>
  <c r="G22" i="137"/>
  <c r="F22" i="137"/>
  <c r="E22" i="137"/>
  <c r="D22" i="137"/>
  <c r="R21" i="137"/>
  <c r="Q21" i="137"/>
  <c r="P21" i="137"/>
  <c r="O21" i="137"/>
  <c r="N21" i="137"/>
  <c r="L21" i="137"/>
  <c r="K21" i="137"/>
  <c r="J21" i="137"/>
  <c r="I21" i="137"/>
  <c r="H21" i="137"/>
  <c r="G21" i="137"/>
  <c r="F21" i="137"/>
  <c r="E21" i="137"/>
  <c r="D21" i="137"/>
  <c r="R20" i="137"/>
  <c r="Q20" i="137"/>
  <c r="P20" i="137"/>
  <c r="O20" i="137"/>
  <c r="N20" i="137"/>
  <c r="L20" i="137"/>
  <c r="K20" i="137"/>
  <c r="J20" i="137"/>
  <c r="I20" i="137"/>
  <c r="H20" i="137"/>
  <c r="G20" i="137"/>
  <c r="F20" i="137"/>
  <c r="E20" i="137"/>
  <c r="D20" i="137"/>
  <c r="R18" i="137"/>
  <c r="Q18" i="137"/>
  <c r="P18" i="137"/>
  <c r="O18" i="137"/>
  <c r="N18" i="137"/>
  <c r="L18" i="137"/>
  <c r="K18" i="137"/>
  <c r="J18" i="137"/>
  <c r="I18" i="137"/>
  <c r="H18" i="137"/>
  <c r="G18" i="137"/>
  <c r="F18" i="137"/>
  <c r="E18" i="137"/>
  <c r="D18" i="137"/>
  <c r="R17" i="137"/>
  <c r="Q17" i="137"/>
  <c r="P17" i="137"/>
  <c r="O17" i="137"/>
  <c r="N17" i="137"/>
  <c r="L17" i="137"/>
  <c r="K17" i="137"/>
  <c r="J17" i="137"/>
  <c r="I17" i="137"/>
  <c r="H17" i="137"/>
  <c r="G17" i="137"/>
  <c r="F17" i="137"/>
  <c r="E17" i="137"/>
  <c r="D17" i="137"/>
  <c r="R16" i="137"/>
  <c r="Q16" i="137"/>
  <c r="P16" i="137"/>
  <c r="O16" i="137"/>
  <c r="N16" i="137"/>
  <c r="L16" i="137"/>
  <c r="K16" i="137"/>
  <c r="J16" i="137"/>
  <c r="I16" i="137"/>
  <c r="H16" i="137"/>
  <c r="G16" i="137"/>
  <c r="F16" i="137"/>
  <c r="E16" i="137"/>
  <c r="D16" i="137"/>
  <c r="R15" i="137"/>
  <c r="Q15" i="137"/>
  <c r="P15" i="137"/>
  <c r="O15" i="137"/>
  <c r="N15" i="137"/>
  <c r="L15" i="137"/>
  <c r="K15" i="137"/>
  <c r="J15" i="137"/>
  <c r="I15" i="137"/>
  <c r="H15" i="137"/>
  <c r="G15" i="137"/>
  <c r="F15" i="137"/>
  <c r="E15" i="137"/>
  <c r="D15" i="137"/>
  <c r="R14" i="137"/>
  <c r="Q14" i="137"/>
  <c r="P14" i="137"/>
  <c r="O14" i="137"/>
  <c r="N14" i="137"/>
  <c r="L14" i="137"/>
  <c r="K14" i="137"/>
  <c r="J14" i="137"/>
  <c r="I14" i="137"/>
  <c r="H14" i="137"/>
  <c r="G14" i="137"/>
  <c r="F14" i="137"/>
  <c r="E14" i="137"/>
  <c r="D14" i="137"/>
  <c r="R13" i="137"/>
  <c r="Q13" i="137"/>
  <c r="P13" i="137"/>
  <c r="O13" i="137"/>
  <c r="N13" i="137"/>
  <c r="L13" i="137"/>
  <c r="K13" i="137"/>
  <c r="J13" i="137"/>
  <c r="I13" i="137"/>
  <c r="H13" i="137"/>
  <c r="G13" i="137"/>
  <c r="F13" i="137"/>
  <c r="E13" i="137"/>
  <c r="D13" i="137"/>
  <c r="R12" i="137"/>
  <c r="Q12" i="137"/>
  <c r="P12" i="137"/>
  <c r="O12" i="137"/>
  <c r="N12" i="137"/>
  <c r="L12" i="137"/>
  <c r="K12" i="137"/>
  <c r="J12" i="137"/>
  <c r="I12" i="137"/>
  <c r="H12" i="137"/>
  <c r="G12" i="137"/>
  <c r="F12" i="137"/>
  <c r="E12" i="137"/>
  <c r="D12" i="137"/>
  <c r="R11" i="137"/>
  <c r="Q11" i="137"/>
  <c r="P11" i="137"/>
  <c r="O11" i="137"/>
  <c r="N11" i="137"/>
  <c r="L11" i="137"/>
  <c r="K11" i="137"/>
  <c r="J11" i="137"/>
  <c r="I11" i="137"/>
  <c r="H11" i="137"/>
  <c r="G11" i="137"/>
  <c r="F11" i="137"/>
  <c r="E11" i="137"/>
  <c r="D11" i="137"/>
  <c r="R10" i="137"/>
  <c r="Q10" i="137"/>
  <c r="P10" i="137"/>
  <c r="O10" i="137"/>
  <c r="N10" i="137"/>
  <c r="L10" i="137"/>
  <c r="K10" i="137"/>
  <c r="J10" i="137"/>
  <c r="I10" i="137"/>
  <c r="H10" i="137"/>
  <c r="G10" i="137"/>
  <c r="F10" i="137"/>
  <c r="E10" i="137"/>
  <c r="D10" i="137"/>
  <c r="R9" i="137"/>
  <c r="Q9" i="137"/>
  <c r="P9" i="137"/>
  <c r="O9" i="137"/>
  <c r="N9" i="137"/>
  <c r="L9" i="137"/>
  <c r="K9" i="137"/>
  <c r="J9" i="137"/>
  <c r="I9" i="137"/>
  <c r="H9" i="137"/>
  <c r="G9" i="137"/>
  <c r="F9" i="137"/>
  <c r="E9" i="137"/>
  <c r="D9" i="137"/>
  <c r="R8" i="137"/>
  <c r="Q8" i="137"/>
  <c r="P8" i="137"/>
  <c r="O8" i="137"/>
  <c r="N8" i="137"/>
  <c r="L8" i="137"/>
  <c r="K8" i="137"/>
  <c r="J8" i="137"/>
  <c r="I8" i="137"/>
  <c r="H8" i="137"/>
  <c r="G8" i="137"/>
  <c r="F8" i="137"/>
  <c r="E8" i="137"/>
  <c r="D8" i="137"/>
  <c r="R6" i="137"/>
  <c r="Q6" i="137"/>
  <c r="P6" i="137"/>
  <c r="O6" i="137"/>
  <c r="N6" i="137"/>
  <c r="L6" i="137"/>
  <c r="K6" i="137"/>
  <c r="J6" i="137"/>
  <c r="I6" i="137"/>
  <c r="H6" i="137"/>
  <c r="G6" i="137"/>
  <c r="F6" i="137"/>
  <c r="E6" i="137"/>
  <c r="D6" i="137"/>
  <c r="B1249" i="137"/>
  <c r="B1248" i="137"/>
  <c r="B1247" i="137"/>
  <c r="B1246" i="137"/>
  <c r="B1245" i="137"/>
  <c r="B1244" i="137"/>
  <c r="B1243" i="137"/>
  <c r="B1242" i="137"/>
  <c r="B1241" i="137"/>
  <c r="B1240" i="137"/>
  <c r="B1239" i="137"/>
  <c r="B1238" i="137"/>
  <c r="B1237" i="137"/>
  <c r="B1236" i="137"/>
  <c r="B1235" i="137"/>
  <c r="B1234" i="137"/>
  <c r="B1233" i="137"/>
  <c r="Q7" i="138" l="1"/>
  <c r="R36" i="137" s="1"/>
  <c r="P7" i="138"/>
  <c r="Q36" i="137" s="1"/>
  <c r="O7" i="138"/>
  <c r="P36" i="137" s="1"/>
  <c r="N7" i="138"/>
  <c r="O36" i="137" s="1"/>
  <c r="M7" i="138"/>
  <c r="N36" i="137" s="1"/>
  <c r="K7" i="138"/>
  <c r="L36" i="137" s="1"/>
  <c r="J7" i="138"/>
  <c r="K36" i="137" s="1"/>
  <c r="I7" i="138"/>
  <c r="J36" i="137" s="1"/>
  <c r="H7" i="138"/>
  <c r="I36" i="137" s="1"/>
  <c r="G7" i="138"/>
  <c r="H36" i="137" s="1"/>
  <c r="F7" i="138"/>
  <c r="G36" i="137" s="1"/>
  <c r="E7" i="138"/>
  <c r="F36" i="137" s="1"/>
  <c r="D7" i="138"/>
  <c r="E36" i="137" s="1"/>
  <c r="C7" i="138"/>
  <c r="D36" i="137" s="1"/>
  <c r="R7" i="138" l="1"/>
  <c r="L7" i="138"/>
  <c r="Q3" i="138"/>
  <c r="P3" i="138"/>
  <c r="O3" i="138"/>
  <c r="N3" i="138"/>
  <c r="M3" i="138"/>
  <c r="K3" i="138"/>
  <c r="J3" i="138"/>
  <c r="I3" i="138"/>
  <c r="H3" i="138"/>
  <c r="G3" i="138"/>
  <c r="F3" i="138"/>
  <c r="E3" i="138"/>
  <c r="D3" i="138"/>
  <c r="C3" i="138"/>
  <c r="Q4" i="138"/>
  <c r="P4" i="138"/>
  <c r="O4" i="138"/>
  <c r="N4" i="138"/>
  <c r="M4" i="138"/>
  <c r="K4" i="138"/>
  <c r="J4" i="138"/>
  <c r="I4" i="138"/>
  <c r="H4" i="138"/>
  <c r="G4" i="138"/>
  <c r="F4" i="138"/>
  <c r="E4" i="138"/>
  <c r="D4" i="138"/>
  <c r="C4" i="138"/>
  <c r="F43" i="137" l="1"/>
  <c r="J43" i="137"/>
  <c r="O43" i="137"/>
  <c r="E43" i="137"/>
  <c r="K43" i="137"/>
  <c r="P43" i="137"/>
  <c r="G43" i="137"/>
  <c r="D43" i="137"/>
  <c r="H43" i="137"/>
  <c r="L43" i="137"/>
  <c r="Q43" i="137"/>
  <c r="I43" i="137"/>
  <c r="N43" i="137"/>
  <c r="R43" i="137"/>
  <c r="L4" i="138"/>
  <c r="L3" i="138"/>
  <c r="R4" i="138"/>
  <c r="R3" i="138"/>
  <c r="R1249" i="137" l="1"/>
  <c r="Q1249" i="137"/>
  <c r="P1249" i="137"/>
  <c r="O1249" i="137"/>
  <c r="N1249" i="137"/>
  <c r="L1249" i="137"/>
  <c r="K1249" i="137"/>
  <c r="J1249" i="137"/>
  <c r="I1249" i="137"/>
  <c r="H1249" i="137"/>
  <c r="G1249" i="137"/>
  <c r="F1249" i="137"/>
  <c r="E1249" i="137"/>
  <c r="D1249" i="137"/>
  <c r="R1187" i="137"/>
  <c r="Q1187" i="137"/>
  <c r="P1187" i="137"/>
  <c r="O1187" i="137"/>
  <c r="N1187" i="137"/>
  <c r="L1187" i="137"/>
  <c r="K1187" i="137"/>
  <c r="J1187" i="137"/>
  <c r="I1187" i="137"/>
  <c r="H1187" i="137"/>
  <c r="G1187" i="137"/>
  <c r="F1187" i="137"/>
  <c r="E1187" i="137"/>
  <c r="D1187" i="137"/>
  <c r="R821" i="137"/>
  <c r="Q821" i="137"/>
  <c r="P821" i="137"/>
  <c r="O821" i="137"/>
  <c r="N821" i="137"/>
  <c r="L821" i="137"/>
  <c r="K821" i="137"/>
  <c r="J821" i="137"/>
  <c r="I821" i="137"/>
  <c r="H821" i="137"/>
  <c r="G821" i="137"/>
  <c r="F821" i="137"/>
  <c r="E821" i="137"/>
  <c r="D821" i="137"/>
  <c r="R817" i="137"/>
  <c r="Q817" i="137"/>
  <c r="P817" i="137"/>
  <c r="O817" i="137"/>
  <c r="N817" i="137"/>
  <c r="L817" i="137"/>
  <c r="K817" i="137"/>
  <c r="J817" i="137"/>
  <c r="I817" i="137"/>
  <c r="H817" i="137"/>
  <c r="G817" i="137"/>
  <c r="F817" i="137"/>
  <c r="E817" i="137"/>
  <c r="D817" i="137"/>
  <c r="E43" i="94" l="1"/>
  <c r="B43" i="94"/>
  <c r="E10" i="94" l="1"/>
  <c r="E11" i="94"/>
  <c r="B10" i="94"/>
  <c r="B11" i="94"/>
  <c r="E47" i="94" l="1"/>
  <c r="B47" i="94"/>
  <c r="E46" i="94"/>
  <c r="B46" i="94"/>
  <c r="E48" i="94"/>
  <c r="E45" i="94"/>
  <c r="E44" i="94"/>
  <c r="B48" i="94"/>
  <c r="B45" i="94"/>
  <c r="B44" i="94"/>
  <c r="E13" i="94"/>
  <c r="E12" i="94"/>
  <c r="B13" i="94"/>
  <c r="B12" i="94"/>
  <c r="E92" i="94" l="1"/>
  <c r="E91" i="94"/>
  <c r="E90" i="94"/>
  <c r="E89" i="94"/>
  <c r="E88" i="94"/>
  <c r="E87" i="94"/>
  <c r="E85" i="94"/>
  <c r="E84" i="94"/>
  <c r="E83" i="94"/>
  <c r="E82" i="94"/>
  <c r="E81" i="94"/>
  <c r="E80" i="94"/>
  <c r="E79" i="94"/>
  <c r="E78" i="94"/>
  <c r="E77" i="94"/>
  <c r="E76" i="94"/>
  <c r="E75" i="94"/>
  <c r="E74" i="94"/>
  <c r="E73" i="94"/>
  <c r="E72" i="94"/>
  <c r="E71" i="94"/>
  <c r="E70" i="94"/>
  <c r="E69" i="94"/>
  <c r="E68" i="94"/>
  <c r="E67" i="94"/>
  <c r="E66" i="94"/>
  <c r="E65" i="94"/>
  <c r="E64" i="94"/>
  <c r="E63" i="94"/>
  <c r="E62" i="94"/>
  <c r="E61" i="94"/>
  <c r="E60" i="94"/>
  <c r="E59" i="94"/>
  <c r="E58" i="94"/>
  <c r="E57" i="94"/>
  <c r="E56" i="94"/>
  <c r="E55" i="94"/>
  <c r="E54" i="94"/>
  <c r="E53" i="94"/>
  <c r="E52" i="94"/>
  <c r="E51" i="94"/>
  <c r="E50" i="94"/>
  <c r="E49" i="94"/>
  <c r="E42" i="94"/>
  <c r="E41" i="94"/>
  <c r="E40" i="94"/>
  <c r="E39" i="94"/>
  <c r="E38" i="94"/>
  <c r="E37" i="94"/>
  <c r="E36" i="94"/>
  <c r="E35" i="94"/>
  <c r="E34" i="94"/>
  <c r="E33" i="94"/>
  <c r="E32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9" i="94"/>
  <c r="E8" i="94"/>
  <c r="E7" i="94"/>
  <c r="E6" i="94"/>
  <c r="E5" i="94"/>
  <c r="B27" i="94" l="1"/>
  <c r="B26" i="94"/>
  <c r="B25" i="94"/>
  <c r="B24" i="94"/>
  <c r="B23" i="94"/>
  <c r="B22" i="94"/>
  <c r="B21" i="94"/>
  <c r="B20" i="94"/>
  <c r="B5" i="94" l="1"/>
  <c r="B32" i="94" l="1"/>
  <c r="B31" i="94"/>
  <c r="B30" i="94"/>
  <c r="B17" i="94" l="1"/>
  <c r="B15" i="94"/>
  <c r="B92" i="94"/>
  <c r="B91" i="94"/>
  <c r="B90" i="94"/>
  <c r="B89" i="94"/>
  <c r="B88" i="94"/>
  <c r="B87" i="94"/>
  <c r="B86" i="94"/>
  <c r="B85" i="94"/>
  <c r="B84" i="94"/>
  <c r="B83" i="94"/>
  <c r="B82" i="94"/>
  <c r="B81" i="94"/>
  <c r="B80" i="94"/>
  <c r="B79" i="94"/>
  <c r="B78" i="94"/>
  <c r="B77" i="94"/>
  <c r="B76" i="94"/>
  <c r="B75" i="94"/>
  <c r="B74" i="94"/>
  <c r="B73" i="94"/>
  <c r="B72" i="94"/>
  <c r="B71" i="94"/>
  <c r="B70" i="94"/>
  <c r="B69" i="94"/>
  <c r="B68" i="94"/>
  <c r="B67" i="94"/>
  <c r="B66" i="94"/>
  <c r="B65" i="94"/>
  <c r="B64" i="94"/>
  <c r="B63" i="94"/>
  <c r="B62" i="94"/>
  <c r="B61" i="94"/>
  <c r="B60" i="94"/>
  <c r="B59" i="94"/>
  <c r="B58" i="94"/>
  <c r="B57" i="94"/>
  <c r="B56" i="94"/>
  <c r="B55" i="94"/>
  <c r="B54" i="94"/>
  <c r="B53" i="94"/>
  <c r="B52" i="94"/>
  <c r="B51" i="94"/>
  <c r="B50" i="94"/>
  <c r="B49" i="94"/>
  <c r="B42" i="94"/>
  <c r="B41" i="94"/>
  <c r="B40" i="94"/>
  <c r="B39" i="94"/>
  <c r="B38" i="94"/>
  <c r="B37" i="94"/>
  <c r="B36" i="94"/>
  <c r="B35" i="94"/>
  <c r="B34" i="94"/>
  <c r="B33" i="94"/>
  <c r="B29" i="94"/>
  <c r="B28" i="94"/>
  <c r="B19" i="94"/>
  <c r="B18" i="94"/>
  <c r="B16" i="94"/>
  <c r="B14" i="94"/>
  <c r="B9" i="94"/>
  <c r="B8" i="94"/>
  <c r="B7" i="94"/>
  <c r="B6" i="94"/>
  <c r="Q1272" i="1" l="1"/>
  <c r="C16" i="134" s="1"/>
  <c r="P1272" i="1"/>
  <c r="C15" i="134" s="1"/>
  <c r="O1272" i="1"/>
  <c r="C14" i="134" s="1"/>
  <c r="N1272" i="1"/>
  <c r="C13" i="134" s="1"/>
  <c r="M1272" i="1"/>
  <c r="C12" i="134" s="1"/>
  <c r="K1272" i="1"/>
  <c r="J1272" i="1"/>
  <c r="I1272" i="1"/>
  <c r="H1272" i="1"/>
  <c r="G1272" i="1"/>
  <c r="F1272" i="1"/>
  <c r="E1272" i="1"/>
  <c r="D1272" i="1"/>
  <c r="C1272" i="1"/>
  <c r="L1249" i="1" l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R816" i="1" s="1"/>
  <c r="L815" i="1"/>
  <c r="L814" i="1"/>
  <c r="R814" i="1" s="1"/>
  <c r="L813" i="1"/>
  <c r="R813" i="1" s="1"/>
  <c r="L812" i="1"/>
  <c r="L811" i="1"/>
  <c r="R811" i="1" s="1"/>
  <c r="L810" i="1"/>
  <c r="L809" i="1"/>
  <c r="L808" i="1"/>
  <c r="R808" i="1" s="1"/>
  <c r="L807" i="1"/>
  <c r="R807" i="1" s="1"/>
  <c r="L806" i="1"/>
  <c r="R806" i="1" s="1"/>
  <c r="L805" i="1"/>
  <c r="R805" i="1" s="1"/>
  <c r="L804" i="1"/>
  <c r="R804" i="1" s="1"/>
  <c r="L803" i="1"/>
  <c r="L802" i="1"/>
  <c r="L801" i="1"/>
  <c r="L800" i="1"/>
  <c r="R800" i="1" s="1"/>
  <c r="L799" i="1"/>
  <c r="L798" i="1"/>
  <c r="L797" i="1"/>
  <c r="R797" i="1" s="1"/>
  <c r="L796" i="1"/>
  <c r="L795" i="1"/>
  <c r="L794" i="1"/>
  <c r="L793" i="1"/>
  <c r="L792" i="1"/>
  <c r="L791" i="1"/>
  <c r="L790" i="1"/>
  <c r="L789" i="1"/>
  <c r="L788" i="1"/>
  <c r="L787" i="1"/>
  <c r="L786" i="1"/>
  <c r="L785" i="1"/>
  <c r="R785" i="1" s="1"/>
  <c r="L784" i="1"/>
  <c r="L783" i="1"/>
  <c r="L782" i="1"/>
  <c r="L781" i="1"/>
  <c r="L780" i="1"/>
  <c r="R780" i="1" s="1"/>
  <c r="L779" i="1"/>
  <c r="L778" i="1"/>
  <c r="L777" i="1"/>
  <c r="R777" i="1" s="1"/>
  <c r="L776" i="1"/>
  <c r="L775" i="1"/>
  <c r="L774" i="1"/>
  <c r="L773" i="1"/>
  <c r="L772" i="1"/>
  <c r="L771" i="1"/>
  <c r="L770" i="1"/>
  <c r="L769" i="1"/>
  <c r="L768" i="1"/>
  <c r="R768" i="1" s="1"/>
  <c r="L767" i="1"/>
  <c r="R767" i="1" s="1"/>
  <c r="L766" i="1"/>
  <c r="L765" i="1"/>
  <c r="R765" i="1" s="1"/>
  <c r="L764" i="1"/>
  <c r="R764" i="1" s="1"/>
  <c r="L763" i="1"/>
  <c r="R763" i="1" s="1"/>
  <c r="L762" i="1"/>
  <c r="L761" i="1"/>
  <c r="R761" i="1" s="1"/>
  <c r="L760" i="1"/>
  <c r="R760" i="1" s="1"/>
  <c r="L759" i="1"/>
  <c r="R759" i="1" s="1"/>
  <c r="L758" i="1"/>
  <c r="L757" i="1"/>
  <c r="L756" i="1"/>
  <c r="L755" i="1"/>
  <c r="L754" i="1"/>
  <c r="L753" i="1"/>
  <c r="L752" i="1"/>
  <c r="R752" i="1" s="1"/>
  <c r="L751" i="1"/>
  <c r="L750" i="1"/>
  <c r="L749" i="1"/>
  <c r="L748" i="1"/>
  <c r="L747" i="1"/>
  <c r="L746" i="1"/>
  <c r="L745" i="1"/>
  <c r="L744" i="1"/>
  <c r="L743" i="1"/>
  <c r="L742" i="1"/>
  <c r="L741" i="1"/>
  <c r="L740" i="1"/>
  <c r="R740" i="1" s="1"/>
  <c r="L739" i="1"/>
  <c r="R739" i="1" s="1"/>
  <c r="L738" i="1"/>
  <c r="L737" i="1"/>
  <c r="R737" i="1" s="1"/>
  <c r="L736" i="1"/>
  <c r="L735" i="1"/>
  <c r="L734" i="1"/>
  <c r="L733" i="1"/>
  <c r="L732" i="1"/>
  <c r="L731" i="1"/>
  <c r="L730" i="1"/>
  <c r="L729" i="1"/>
  <c r="L728" i="1"/>
  <c r="L727" i="1"/>
  <c r="L726" i="1"/>
  <c r="L725" i="1"/>
  <c r="R725" i="1" s="1"/>
  <c r="L724" i="1"/>
  <c r="R724" i="1" s="1"/>
  <c r="L723" i="1"/>
  <c r="L722" i="1"/>
  <c r="L721" i="1"/>
  <c r="L720" i="1"/>
  <c r="R720" i="1" s="1"/>
  <c r="L719" i="1"/>
  <c r="L718" i="1"/>
  <c r="L717" i="1"/>
  <c r="R717" i="1" s="1"/>
  <c r="L716" i="1"/>
  <c r="L715" i="1"/>
  <c r="R715" i="1" s="1"/>
  <c r="L714" i="1"/>
  <c r="L713" i="1"/>
  <c r="R713" i="1" s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R681" i="1" s="1"/>
  <c r="L680" i="1"/>
  <c r="L679" i="1"/>
  <c r="L678" i="1"/>
  <c r="L677" i="1"/>
  <c r="L676" i="1"/>
  <c r="R676" i="1" s="1"/>
  <c r="L675" i="1"/>
  <c r="R675" i="1" s="1"/>
  <c r="L674" i="1"/>
  <c r="L673" i="1"/>
  <c r="L672" i="1"/>
  <c r="L671" i="1"/>
  <c r="L670" i="1"/>
  <c r="R670" i="1" s="1"/>
  <c r="L669" i="1"/>
  <c r="R669" i="1" s="1"/>
  <c r="L668" i="1"/>
  <c r="L667" i="1"/>
  <c r="L666" i="1"/>
  <c r="L665" i="1"/>
  <c r="L664" i="1"/>
  <c r="L663" i="1"/>
  <c r="L662" i="1"/>
  <c r="L661" i="1"/>
  <c r="R661" i="1" s="1"/>
  <c r="L660" i="1"/>
  <c r="L659" i="1"/>
  <c r="L658" i="1"/>
  <c r="L657" i="1"/>
  <c r="L656" i="1"/>
  <c r="L655" i="1"/>
  <c r="L654" i="1"/>
  <c r="L653" i="1"/>
  <c r="L652" i="1"/>
  <c r="L651" i="1"/>
  <c r="L650" i="1"/>
  <c r="R650" i="1" s="1"/>
  <c r="L649" i="1"/>
  <c r="R649" i="1" s="1"/>
  <c r="L648" i="1"/>
  <c r="R648" i="1" s="1"/>
  <c r="L647" i="1"/>
  <c r="L646" i="1"/>
  <c r="L645" i="1"/>
  <c r="L644" i="1"/>
  <c r="L643" i="1"/>
  <c r="L642" i="1"/>
  <c r="R642" i="1" s="1"/>
  <c r="L641" i="1"/>
  <c r="L640" i="1"/>
  <c r="L639" i="1"/>
  <c r="R639" i="1" s="1"/>
  <c r="L638" i="1"/>
  <c r="L637" i="1"/>
  <c r="R637" i="1" s="1"/>
  <c r="L636" i="1"/>
  <c r="R636" i="1" s="1"/>
  <c r="L635" i="1"/>
  <c r="L634" i="1"/>
  <c r="L633" i="1"/>
  <c r="L632" i="1"/>
  <c r="R632" i="1" s="1"/>
  <c r="L631" i="1"/>
  <c r="L630" i="1"/>
  <c r="L629" i="1"/>
  <c r="L628" i="1"/>
  <c r="L627" i="1"/>
  <c r="L626" i="1"/>
  <c r="R626" i="1" s="1"/>
  <c r="L625" i="1"/>
  <c r="R625" i="1" s="1"/>
  <c r="L624" i="1"/>
  <c r="L623" i="1"/>
  <c r="R623" i="1" s="1"/>
  <c r="L622" i="1"/>
  <c r="L621" i="1"/>
  <c r="L620" i="1"/>
  <c r="L619" i="1"/>
  <c r="L618" i="1"/>
  <c r="L617" i="1"/>
  <c r="L616" i="1"/>
  <c r="L615" i="1"/>
  <c r="L614" i="1"/>
  <c r="L613" i="1"/>
  <c r="R613" i="1" s="1"/>
  <c r="L612" i="1"/>
  <c r="L611" i="1"/>
  <c r="L610" i="1"/>
  <c r="L609" i="1"/>
  <c r="R609" i="1" s="1"/>
  <c r="L608" i="1"/>
  <c r="L607" i="1"/>
  <c r="L606" i="1"/>
  <c r="R606" i="1" s="1"/>
  <c r="L605" i="1"/>
  <c r="L604" i="1"/>
  <c r="L603" i="1"/>
  <c r="L602" i="1"/>
  <c r="L601" i="1"/>
  <c r="L600" i="1"/>
  <c r="L599" i="1"/>
  <c r="R599" i="1" s="1"/>
  <c r="L598" i="1"/>
  <c r="L597" i="1"/>
  <c r="L596" i="1"/>
  <c r="L595" i="1"/>
  <c r="L594" i="1"/>
  <c r="L593" i="1"/>
  <c r="R593" i="1" s="1"/>
  <c r="L592" i="1"/>
  <c r="L591" i="1"/>
  <c r="L590" i="1"/>
  <c r="R590" i="1" s="1"/>
  <c r="L589" i="1"/>
  <c r="R589" i="1" s="1"/>
  <c r="L588" i="1"/>
  <c r="R588" i="1" s="1"/>
  <c r="L587" i="1"/>
  <c r="R587" i="1" s="1"/>
  <c r="L586" i="1"/>
  <c r="R586" i="1" s="1"/>
  <c r="L585" i="1"/>
  <c r="L584" i="1"/>
  <c r="L583" i="1"/>
  <c r="L582" i="1"/>
  <c r="R582" i="1" s="1"/>
  <c r="L581" i="1"/>
  <c r="L580" i="1"/>
  <c r="L579" i="1"/>
  <c r="R579" i="1" s="1"/>
  <c r="L578" i="1"/>
  <c r="L577" i="1"/>
  <c r="L576" i="1"/>
  <c r="L575" i="1"/>
  <c r="R575" i="1" s="1"/>
  <c r="L574" i="1"/>
  <c r="R574" i="1" s="1"/>
  <c r="L573" i="1"/>
  <c r="L572" i="1"/>
  <c r="R572" i="1" s="1"/>
  <c r="L571" i="1"/>
  <c r="R571" i="1" s="1"/>
  <c r="L570" i="1"/>
  <c r="R570" i="1" s="1"/>
  <c r="L569" i="1"/>
  <c r="R569" i="1" s="1"/>
  <c r="L568" i="1"/>
  <c r="L567" i="1"/>
  <c r="R567" i="1" s="1"/>
  <c r="L566" i="1"/>
  <c r="L565" i="1"/>
  <c r="L564" i="1"/>
  <c r="R564" i="1" s="1"/>
  <c r="L563" i="1"/>
  <c r="L562" i="1"/>
  <c r="L561" i="1"/>
  <c r="L560" i="1"/>
  <c r="R560" i="1" s="1"/>
  <c r="L559" i="1"/>
  <c r="L558" i="1"/>
  <c r="R558" i="1" s="1"/>
  <c r="L557" i="1"/>
  <c r="L556" i="1"/>
  <c r="R556" i="1" s="1"/>
  <c r="L555" i="1"/>
  <c r="L554" i="1"/>
  <c r="L553" i="1"/>
  <c r="L552" i="1"/>
  <c r="L551" i="1"/>
  <c r="L550" i="1"/>
  <c r="R550" i="1" s="1"/>
  <c r="L549" i="1"/>
  <c r="R549" i="1" s="1"/>
  <c r="L548" i="1"/>
  <c r="R548" i="1" s="1"/>
  <c r="L547" i="1"/>
  <c r="L546" i="1"/>
  <c r="L545" i="1"/>
  <c r="L544" i="1"/>
  <c r="L543" i="1"/>
  <c r="R543" i="1" s="1"/>
  <c r="L542" i="1"/>
  <c r="L541" i="1"/>
  <c r="L540" i="1"/>
  <c r="R540" i="1" s="1"/>
  <c r="L539" i="1"/>
  <c r="R539" i="1" s="1"/>
  <c r="L538" i="1"/>
  <c r="R538" i="1" s="1"/>
  <c r="L537" i="1"/>
  <c r="L536" i="1"/>
  <c r="L535" i="1"/>
  <c r="L534" i="1"/>
  <c r="L533" i="1"/>
  <c r="L532" i="1"/>
  <c r="R532" i="1" s="1"/>
  <c r="L531" i="1"/>
  <c r="L530" i="1"/>
  <c r="R530" i="1" s="1"/>
  <c r="L529" i="1"/>
  <c r="L528" i="1"/>
  <c r="L527" i="1"/>
  <c r="L526" i="1"/>
  <c r="R526" i="1" s="1"/>
  <c r="L525" i="1"/>
  <c r="L524" i="1"/>
  <c r="L523" i="1"/>
  <c r="R523" i="1" s="1"/>
  <c r="L522" i="1"/>
  <c r="L521" i="1"/>
  <c r="R521" i="1" s="1"/>
  <c r="L520" i="1"/>
  <c r="R520" i="1" s="1"/>
  <c r="L519" i="1"/>
  <c r="L518" i="1"/>
  <c r="L517" i="1"/>
  <c r="L516" i="1"/>
  <c r="L515" i="1"/>
  <c r="L514" i="1"/>
  <c r="R514" i="1" s="1"/>
  <c r="L513" i="1"/>
  <c r="L512" i="1"/>
  <c r="L511" i="1"/>
  <c r="L510" i="1"/>
  <c r="L509" i="1"/>
  <c r="R509" i="1" s="1"/>
  <c r="L508" i="1"/>
  <c r="L507" i="1"/>
  <c r="L506" i="1"/>
  <c r="L505" i="1"/>
  <c r="R505" i="1" s="1"/>
  <c r="L504" i="1"/>
  <c r="L503" i="1"/>
  <c r="L502" i="1"/>
  <c r="L501" i="1"/>
  <c r="R501" i="1" s="1"/>
  <c r="L500" i="1"/>
  <c r="R500" i="1" s="1"/>
  <c r="L499" i="1"/>
  <c r="R499" i="1" s="1"/>
  <c r="L498" i="1"/>
  <c r="L497" i="1"/>
  <c r="L496" i="1"/>
  <c r="L495" i="1"/>
  <c r="R495" i="1" s="1"/>
  <c r="L494" i="1"/>
  <c r="L493" i="1"/>
  <c r="L492" i="1"/>
  <c r="L491" i="1"/>
  <c r="L490" i="1"/>
  <c r="R490" i="1" s="1"/>
  <c r="L489" i="1"/>
  <c r="L488" i="1"/>
  <c r="L487" i="1"/>
  <c r="R487" i="1" s="1"/>
  <c r="L486" i="1"/>
  <c r="L485" i="1"/>
  <c r="R485" i="1" s="1"/>
  <c r="L484" i="1"/>
  <c r="L483" i="1"/>
  <c r="R483" i="1" s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R460" i="1" s="1"/>
  <c r="L459" i="1"/>
  <c r="L458" i="1"/>
  <c r="L457" i="1"/>
  <c r="L456" i="1"/>
  <c r="R456" i="1" s="1"/>
  <c r="L455" i="1"/>
  <c r="L454" i="1"/>
  <c r="R454" i="1" s="1"/>
  <c r="L453" i="1"/>
  <c r="L452" i="1"/>
  <c r="L451" i="1"/>
  <c r="L450" i="1"/>
  <c r="R450" i="1" s="1"/>
  <c r="L449" i="1"/>
  <c r="L448" i="1"/>
  <c r="L447" i="1"/>
  <c r="L446" i="1"/>
  <c r="L445" i="1"/>
  <c r="L444" i="1"/>
  <c r="L443" i="1"/>
  <c r="R443" i="1" s="1"/>
  <c r="L442" i="1"/>
  <c r="L441" i="1"/>
  <c r="L440" i="1"/>
  <c r="R440" i="1" s="1"/>
  <c r="L439" i="1"/>
  <c r="R439" i="1" s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R424" i="1" s="1"/>
  <c r="L423" i="1"/>
  <c r="L422" i="1"/>
  <c r="L421" i="1"/>
  <c r="L420" i="1"/>
  <c r="R420" i="1" s="1"/>
  <c r="L419" i="1"/>
  <c r="L418" i="1"/>
  <c r="R418" i="1" s="1"/>
  <c r="L417" i="1"/>
  <c r="L416" i="1"/>
  <c r="R416" i="1" s="1"/>
  <c r="L415" i="1"/>
  <c r="L414" i="1"/>
  <c r="L413" i="1"/>
  <c r="L412" i="1"/>
  <c r="R412" i="1" s="1"/>
  <c r="L411" i="1"/>
  <c r="L410" i="1"/>
  <c r="L409" i="1"/>
  <c r="R409" i="1" s="1"/>
  <c r="L408" i="1"/>
  <c r="L407" i="1"/>
  <c r="L406" i="1"/>
  <c r="L405" i="1"/>
  <c r="L404" i="1"/>
  <c r="L403" i="1"/>
  <c r="L402" i="1"/>
  <c r="L401" i="1"/>
  <c r="L400" i="1"/>
  <c r="L399" i="1"/>
  <c r="L398" i="1"/>
  <c r="L397" i="1"/>
  <c r="R397" i="1" s="1"/>
  <c r="L396" i="1"/>
  <c r="L395" i="1"/>
  <c r="L394" i="1"/>
  <c r="L393" i="1"/>
  <c r="R393" i="1" s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R380" i="1" s="1"/>
  <c r="L379" i="1"/>
  <c r="R379" i="1" s="1"/>
  <c r="L378" i="1"/>
  <c r="L377" i="1"/>
  <c r="L376" i="1"/>
  <c r="R376" i="1" s="1"/>
  <c r="L375" i="1"/>
  <c r="R375" i="1" s="1"/>
  <c r="L374" i="1"/>
  <c r="L373" i="1"/>
  <c r="R373" i="1" s="1"/>
  <c r="L372" i="1"/>
  <c r="L371" i="1"/>
  <c r="L370" i="1"/>
  <c r="L369" i="1"/>
  <c r="R369" i="1" s="1"/>
  <c r="L368" i="1"/>
  <c r="L367" i="1"/>
  <c r="R367" i="1" s="1"/>
  <c r="L366" i="1"/>
  <c r="R366" i="1" s="1"/>
  <c r="L365" i="1"/>
  <c r="R365" i="1" s="1"/>
  <c r="L364" i="1"/>
  <c r="L363" i="1"/>
  <c r="R363" i="1" s="1"/>
  <c r="L362" i="1"/>
  <c r="L361" i="1"/>
  <c r="R361" i="1" s="1"/>
  <c r="L360" i="1"/>
  <c r="R360" i="1" s="1"/>
  <c r="L359" i="1"/>
  <c r="L358" i="1"/>
  <c r="L357" i="1"/>
  <c r="L356" i="1"/>
  <c r="L355" i="1"/>
  <c r="L354" i="1"/>
  <c r="R354" i="1" s="1"/>
  <c r="L353" i="1"/>
  <c r="L352" i="1"/>
  <c r="L351" i="1"/>
  <c r="L350" i="1"/>
  <c r="L349" i="1"/>
  <c r="L348" i="1"/>
  <c r="L347" i="1"/>
  <c r="R347" i="1" s="1"/>
  <c r="L346" i="1"/>
  <c r="R346" i="1" s="1"/>
  <c r="L345" i="1"/>
  <c r="L344" i="1"/>
  <c r="L343" i="1"/>
  <c r="L342" i="1"/>
  <c r="L341" i="1"/>
  <c r="R341" i="1" s="1"/>
  <c r="L340" i="1"/>
  <c r="R340" i="1" s="1"/>
  <c r="L339" i="1"/>
  <c r="R339" i="1" s="1"/>
  <c r="L338" i="1"/>
  <c r="L337" i="1"/>
  <c r="L336" i="1"/>
  <c r="R336" i="1" s="1"/>
  <c r="L335" i="1"/>
  <c r="L334" i="1"/>
  <c r="L333" i="1"/>
  <c r="L332" i="1"/>
  <c r="L331" i="1"/>
  <c r="L330" i="1"/>
  <c r="L329" i="1"/>
  <c r="L328" i="1"/>
  <c r="L327" i="1"/>
  <c r="R327" i="1" s="1"/>
  <c r="L326" i="1"/>
  <c r="L325" i="1"/>
  <c r="R325" i="1" s="1"/>
  <c r="L324" i="1"/>
  <c r="L323" i="1"/>
  <c r="L322" i="1"/>
  <c r="R322" i="1" s="1"/>
  <c r="L321" i="1"/>
  <c r="L320" i="1"/>
  <c r="L319" i="1"/>
  <c r="L318" i="1"/>
  <c r="L317" i="1"/>
  <c r="L316" i="1"/>
  <c r="L315" i="1"/>
  <c r="L314" i="1"/>
  <c r="L313" i="1"/>
  <c r="R313" i="1" s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R283" i="1" s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R244" i="1" s="1"/>
  <c r="L243" i="1"/>
  <c r="L242" i="1"/>
  <c r="L241" i="1"/>
  <c r="L240" i="1"/>
  <c r="L239" i="1"/>
  <c r="L238" i="1"/>
  <c r="L237" i="1"/>
  <c r="L236" i="1"/>
  <c r="L235" i="1"/>
  <c r="L234" i="1"/>
  <c r="R234" i="1" s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R219" i="1" s="1"/>
  <c r="L218" i="1"/>
  <c r="L217" i="1"/>
  <c r="L216" i="1"/>
  <c r="L215" i="1"/>
  <c r="L214" i="1"/>
  <c r="L213" i="1"/>
  <c r="L212" i="1"/>
  <c r="L211" i="1"/>
  <c r="L210" i="1"/>
  <c r="L209" i="1"/>
  <c r="R209" i="1" s="1"/>
  <c r="L208" i="1"/>
  <c r="L207" i="1"/>
  <c r="L206" i="1"/>
  <c r="L205" i="1"/>
  <c r="R205" i="1" s="1"/>
  <c r="L204" i="1"/>
  <c r="R204" i="1" s="1"/>
  <c r="L203" i="1"/>
  <c r="L202" i="1"/>
  <c r="L201" i="1"/>
  <c r="L200" i="1"/>
  <c r="L199" i="1"/>
  <c r="R199" i="1" s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R182" i="1" s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R162" i="1" s="1"/>
  <c r="L161" i="1"/>
  <c r="L160" i="1"/>
  <c r="L159" i="1"/>
  <c r="R159" i="1" s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R141" i="1" s="1"/>
  <c r="L140" i="1"/>
  <c r="L139" i="1"/>
  <c r="L138" i="1"/>
  <c r="L137" i="1"/>
  <c r="R137" i="1" s="1"/>
  <c r="L136" i="1"/>
  <c r="L135" i="1"/>
  <c r="L134" i="1"/>
  <c r="L133" i="1"/>
  <c r="L132" i="1"/>
  <c r="L131" i="1"/>
  <c r="R131" i="1" s="1"/>
  <c r="L130" i="1"/>
  <c r="L129" i="1"/>
  <c r="L128" i="1"/>
  <c r="R128" i="1" s="1"/>
  <c r="L127" i="1"/>
  <c r="L126" i="1"/>
  <c r="L125" i="1"/>
  <c r="L124" i="1"/>
  <c r="L123" i="1"/>
  <c r="L122" i="1"/>
  <c r="L121" i="1"/>
  <c r="L120" i="1"/>
  <c r="L119" i="1"/>
  <c r="L118" i="1"/>
  <c r="L117" i="1"/>
  <c r="R117" i="1" s="1"/>
  <c r="L116" i="1"/>
  <c r="L115" i="1"/>
  <c r="L114" i="1"/>
  <c r="L113" i="1"/>
  <c r="R113" i="1" s="1"/>
  <c r="L112" i="1"/>
  <c r="R112" i="1" s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R76" i="1" s="1"/>
  <c r="L75" i="1"/>
  <c r="L74" i="1"/>
  <c r="R74" i="1" s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R60" i="1" s="1"/>
  <c r="L59" i="1"/>
  <c r="L58" i="1"/>
  <c r="L57" i="1"/>
  <c r="L56" i="1"/>
  <c r="L55" i="1"/>
  <c r="L54" i="1"/>
  <c r="L53" i="1"/>
  <c r="L52" i="1"/>
  <c r="L51" i="1"/>
  <c r="L50" i="1"/>
  <c r="R50" i="1" s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R29" i="1" s="1"/>
  <c r="L28" i="1"/>
  <c r="L27" i="1"/>
  <c r="L26" i="1"/>
  <c r="L25" i="1"/>
  <c r="L24" i="1"/>
  <c r="L23" i="1"/>
  <c r="L22" i="1"/>
  <c r="L21" i="1"/>
  <c r="L20" i="1"/>
  <c r="L19" i="1"/>
  <c r="R19" i="1" s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R2" i="1" s="1"/>
  <c r="R3" i="1" l="1"/>
  <c r="L1272" i="1"/>
  <c r="R6" i="1"/>
  <c r="M6" i="137"/>
  <c r="S6" i="137" s="1"/>
  <c r="R10" i="1"/>
  <c r="M10" i="137"/>
  <c r="S10" i="137" s="1"/>
  <c r="R14" i="1"/>
  <c r="M14" i="137"/>
  <c r="S14" i="137" s="1"/>
  <c r="R18" i="1"/>
  <c r="M18" i="137"/>
  <c r="S18" i="137" s="1"/>
  <c r="R22" i="1"/>
  <c r="M22" i="137"/>
  <c r="S22" i="137" s="1"/>
  <c r="R26" i="1"/>
  <c r="M26" i="137"/>
  <c r="S26" i="137" s="1"/>
  <c r="R30" i="1"/>
  <c r="R34" i="1"/>
  <c r="R38" i="1"/>
  <c r="M38" i="137"/>
  <c r="S38" i="137" s="1"/>
  <c r="R42" i="1"/>
  <c r="M42" i="137"/>
  <c r="S42" i="137" s="1"/>
  <c r="R46" i="1"/>
  <c r="M46" i="137"/>
  <c r="S46" i="137" s="1"/>
  <c r="R54" i="1"/>
  <c r="M54" i="137"/>
  <c r="S54" i="137" s="1"/>
  <c r="R58" i="1"/>
  <c r="M58" i="137"/>
  <c r="S58" i="137" s="1"/>
  <c r="R62" i="1"/>
  <c r="R66" i="1"/>
  <c r="M66" i="137"/>
  <c r="S66" i="137" s="1"/>
  <c r="R70" i="1"/>
  <c r="M70" i="137"/>
  <c r="S70" i="137" s="1"/>
  <c r="R78" i="1"/>
  <c r="M78" i="137"/>
  <c r="S78" i="137" s="1"/>
  <c r="R82" i="1"/>
  <c r="M82" i="137"/>
  <c r="S82" i="137" s="1"/>
  <c r="R86" i="1"/>
  <c r="M86" i="137"/>
  <c r="S86" i="137" s="1"/>
  <c r="R90" i="1"/>
  <c r="M90" i="137"/>
  <c r="S90" i="137" s="1"/>
  <c r="R94" i="1"/>
  <c r="M94" i="137"/>
  <c r="S94" i="137" s="1"/>
  <c r="R98" i="1"/>
  <c r="M98" i="137"/>
  <c r="S98" i="137" s="1"/>
  <c r="R102" i="1"/>
  <c r="M102" i="137"/>
  <c r="S102" i="137" s="1"/>
  <c r="R106" i="1"/>
  <c r="M106" i="137"/>
  <c r="S106" i="137" s="1"/>
  <c r="R110" i="1"/>
  <c r="R114" i="1"/>
  <c r="M114" i="137"/>
  <c r="S114" i="137" s="1"/>
  <c r="R118" i="1"/>
  <c r="M118" i="137"/>
  <c r="S118" i="137" s="1"/>
  <c r="R122" i="1"/>
  <c r="M122" i="137"/>
  <c r="S122" i="137" s="1"/>
  <c r="R126" i="1"/>
  <c r="M126" i="137"/>
  <c r="S126" i="137" s="1"/>
  <c r="R130" i="1"/>
  <c r="M130" i="137"/>
  <c r="S130" i="137" s="1"/>
  <c r="R134" i="1"/>
  <c r="M134" i="137"/>
  <c r="S134" i="137" s="1"/>
  <c r="R138" i="1"/>
  <c r="M138" i="137"/>
  <c r="S138" i="137" s="1"/>
  <c r="R142" i="1"/>
  <c r="M142" i="137"/>
  <c r="S142" i="137" s="1"/>
  <c r="R146" i="1"/>
  <c r="M146" i="137"/>
  <c r="S146" i="137" s="1"/>
  <c r="R150" i="1"/>
  <c r="M150" i="137"/>
  <c r="S150" i="137" s="1"/>
  <c r="R154" i="1"/>
  <c r="M154" i="137"/>
  <c r="S154" i="137" s="1"/>
  <c r="R158" i="1"/>
  <c r="M158" i="137"/>
  <c r="S158" i="137" s="1"/>
  <c r="R166" i="1"/>
  <c r="M166" i="137"/>
  <c r="S166" i="137" s="1"/>
  <c r="R170" i="1"/>
  <c r="R174" i="1"/>
  <c r="M174" i="137"/>
  <c r="S174" i="137" s="1"/>
  <c r="R178" i="1"/>
  <c r="M178" i="137"/>
  <c r="S178" i="137" s="1"/>
  <c r="R186" i="1"/>
  <c r="M186" i="137"/>
  <c r="S186" i="137" s="1"/>
  <c r="R190" i="1"/>
  <c r="M190" i="137"/>
  <c r="S190" i="137" s="1"/>
  <c r="R194" i="1"/>
  <c r="M194" i="137"/>
  <c r="S194" i="137" s="1"/>
  <c r="R198" i="1"/>
  <c r="M198" i="137"/>
  <c r="S198" i="137" s="1"/>
  <c r="R202" i="1"/>
  <c r="M202" i="137"/>
  <c r="S202" i="137" s="1"/>
  <c r="R206" i="1"/>
  <c r="M206" i="137"/>
  <c r="S206" i="137" s="1"/>
  <c r="R210" i="1"/>
  <c r="M210" i="137"/>
  <c r="S210" i="137" s="1"/>
  <c r="R214" i="1"/>
  <c r="M214" i="137"/>
  <c r="S214" i="137" s="1"/>
  <c r="R218" i="1"/>
  <c r="M218" i="137"/>
  <c r="S218" i="137" s="1"/>
  <c r="R222" i="1"/>
  <c r="M222" i="137"/>
  <c r="S222" i="137" s="1"/>
  <c r="R226" i="1"/>
  <c r="M226" i="137"/>
  <c r="S226" i="137" s="1"/>
  <c r="R230" i="1"/>
  <c r="M230" i="137"/>
  <c r="S230" i="137" s="1"/>
  <c r="R238" i="1"/>
  <c r="M238" i="137"/>
  <c r="S238" i="137" s="1"/>
  <c r="R242" i="1"/>
  <c r="M242" i="137"/>
  <c r="S242" i="137" s="1"/>
  <c r="R246" i="1"/>
  <c r="M246" i="137"/>
  <c r="S246" i="137" s="1"/>
  <c r="R250" i="1"/>
  <c r="M250" i="137"/>
  <c r="S250" i="137" s="1"/>
  <c r="R254" i="1"/>
  <c r="M254" i="137"/>
  <c r="S254" i="137" s="1"/>
  <c r="R258" i="1"/>
  <c r="M258" i="137"/>
  <c r="S258" i="137" s="1"/>
  <c r="R262" i="1"/>
  <c r="M262" i="137"/>
  <c r="S262" i="137" s="1"/>
  <c r="R266" i="1"/>
  <c r="M266" i="137"/>
  <c r="S266" i="137" s="1"/>
  <c r="R270" i="1"/>
  <c r="M270" i="137"/>
  <c r="S270" i="137" s="1"/>
  <c r="R274" i="1"/>
  <c r="R278" i="1"/>
  <c r="M278" i="137"/>
  <c r="S278" i="137" s="1"/>
  <c r="R282" i="1"/>
  <c r="M282" i="137"/>
  <c r="S282" i="137" s="1"/>
  <c r="R286" i="1"/>
  <c r="M286" i="137"/>
  <c r="S286" i="137" s="1"/>
  <c r="R290" i="1"/>
  <c r="M290" i="137"/>
  <c r="S290" i="137" s="1"/>
  <c r="R294" i="1"/>
  <c r="M294" i="137"/>
  <c r="S294" i="137" s="1"/>
  <c r="R298" i="1"/>
  <c r="M298" i="137"/>
  <c r="S298" i="137" s="1"/>
  <c r="R302" i="1"/>
  <c r="M302" i="137"/>
  <c r="S302" i="137" s="1"/>
  <c r="R306" i="1"/>
  <c r="M306" i="137"/>
  <c r="S306" i="137" s="1"/>
  <c r="R310" i="1"/>
  <c r="M310" i="137"/>
  <c r="S310" i="137" s="1"/>
  <c r="R314" i="1"/>
  <c r="M314" i="137"/>
  <c r="S314" i="137" s="1"/>
  <c r="R318" i="1"/>
  <c r="M318" i="137"/>
  <c r="S318" i="137" s="1"/>
  <c r="R326" i="1"/>
  <c r="M326" i="137"/>
  <c r="S326" i="137" s="1"/>
  <c r="R330" i="1"/>
  <c r="M330" i="137"/>
  <c r="S330" i="137" s="1"/>
  <c r="R334" i="1"/>
  <c r="M334" i="137"/>
  <c r="S334" i="137" s="1"/>
  <c r="R338" i="1"/>
  <c r="M338" i="137"/>
  <c r="S338" i="137" s="1"/>
  <c r="R342" i="1"/>
  <c r="M342" i="137"/>
  <c r="S342" i="137" s="1"/>
  <c r="R350" i="1"/>
  <c r="M350" i="137"/>
  <c r="S350" i="137" s="1"/>
  <c r="R358" i="1"/>
  <c r="M358" i="137"/>
  <c r="S358" i="137" s="1"/>
  <c r="R362" i="1"/>
  <c r="M362" i="137"/>
  <c r="S362" i="137" s="1"/>
  <c r="R370" i="1"/>
  <c r="M370" i="137"/>
  <c r="S370" i="137" s="1"/>
  <c r="R374" i="1"/>
  <c r="M374" i="137"/>
  <c r="S374" i="137" s="1"/>
  <c r="R378" i="1"/>
  <c r="M378" i="137"/>
  <c r="S378" i="137" s="1"/>
  <c r="R382" i="1"/>
  <c r="M382" i="137"/>
  <c r="S382" i="137" s="1"/>
  <c r="R386" i="1"/>
  <c r="M386" i="137"/>
  <c r="S386" i="137" s="1"/>
  <c r="R390" i="1"/>
  <c r="M390" i="137"/>
  <c r="S390" i="137" s="1"/>
  <c r="R394" i="1"/>
  <c r="M394" i="137"/>
  <c r="S394" i="137" s="1"/>
  <c r="R398" i="1"/>
  <c r="M398" i="137"/>
  <c r="S398" i="137" s="1"/>
  <c r="R402" i="1"/>
  <c r="M402" i="137"/>
  <c r="S402" i="137" s="1"/>
  <c r="R406" i="1"/>
  <c r="M406" i="137"/>
  <c r="S406" i="137" s="1"/>
  <c r="R410" i="1"/>
  <c r="M410" i="137"/>
  <c r="S410" i="137" s="1"/>
  <c r="R414" i="1"/>
  <c r="M414" i="137"/>
  <c r="S414" i="137" s="1"/>
  <c r="R422" i="1"/>
  <c r="R426" i="1"/>
  <c r="M426" i="137"/>
  <c r="S426" i="137" s="1"/>
  <c r="R430" i="1"/>
  <c r="R434" i="1"/>
  <c r="M434" i="137"/>
  <c r="S434" i="137" s="1"/>
  <c r="R438" i="1"/>
  <c r="M438" i="137"/>
  <c r="S438" i="137" s="1"/>
  <c r="R442" i="1"/>
  <c r="M442" i="137"/>
  <c r="S442" i="137" s="1"/>
  <c r="R446" i="1"/>
  <c r="M446" i="137"/>
  <c r="S446" i="137" s="1"/>
  <c r="R458" i="1"/>
  <c r="M458" i="137"/>
  <c r="S458" i="137" s="1"/>
  <c r="R462" i="1"/>
  <c r="M462" i="137"/>
  <c r="S462" i="137" s="1"/>
  <c r="R466" i="1"/>
  <c r="M466" i="137"/>
  <c r="S466" i="137" s="1"/>
  <c r="R470" i="1"/>
  <c r="R474" i="1"/>
  <c r="M474" i="137"/>
  <c r="S474" i="137" s="1"/>
  <c r="R478" i="1"/>
  <c r="M478" i="137"/>
  <c r="S478" i="137" s="1"/>
  <c r="R482" i="1"/>
  <c r="M482" i="137"/>
  <c r="S482" i="137" s="1"/>
  <c r="R486" i="1"/>
  <c r="M486" i="137"/>
  <c r="S486" i="137" s="1"/>
  <c r="R494" i="1"/>
  <c r="M494" i="137"/>
  <c r="S494" i="137" s="1"/>
  <c r="R498" i="1"/>
  <c r="M498" i="137"/>
  <c r="S498" i="137" s="1"/>
  <c r="R502" i="1"/>
  <c r="M502" i="137"/>
  <c r="S502" i="137" s="1"/>
  <c r="R506" i="1"/>
  <c r="M506" i="137"/>
  <c r="S506" i="137" s="1"/>
  <c r="R510" i="1"/>
  <c r="M510" i="137"/>
  <c r="S510" i="137" s="1"/>
  <c r="R518" i="1"/>
  <c r="M518" i="137"/>
  <c r="S518" i="137" s="1"/>
  <c r="R522" i="1"/>
  <c r="M522" i="137"/>
  <c r="S522" i="137" s="1"/>
  <c r="R534" i="1"/>
  <c r="M534" i="137"/>
  <c r="S534" i="137" s="1"/>
  <c r="R542" i="1"/>
  <c r="M542" i="137"/>
  <c r="S542" i="137" s="1"/>
  <c r="R546" i="1"/>
  <c r="M546" i="137"/>
  <c r="S546" i="137" s="1"/>
  <c r="R554" i="1"/>
  <c r="R562" i="1"/>
  <c r="M562" i="137"/>
  <c r="S562" i="137" s="1"/>
  <c r="R566" i="1"/>
  <c r="M566" i="137"/>
  <c r="S566" i="137" s="1"/>
  <c r="R578" i="1"/>
  <c r="M578" i="137"/>
  <c r="S578" i="137" s="1"/>
  <c r="R594" i="1"/>
  <c r="R598" i="1"/>
  <c r="M598" i="137"/>
  <c r="S598" i="137" s="1"/>
  <c r="R602" i="1"/>
  <c r="M602" i="137"/>
  <c r="S602" i="137" s="1"/>
  <c r="R610" i="1"/>
  <c r="M610" i="137"/>
  <c r="S610" i="137" s="1"/>
  <c r="R614" i="1"/>
  <c r="M614" i="137"/>
  <c r="S614" i="137" s="1"/>
  <c r="R618" i="1"/>
  <c r="M618" i="137"/>
  <c r="S618" i="137" s="1"/>
  <c r="R622" i="1"/>
  <c r="M622" i="137"/>
  <c r="S622" i="137" s="1"/>
  <c r="R630" i="1"/>
  <c r="M630" i="137"/>
  <c r="S630" i="137" s="1"/>
  <c r="R634" i="1"/>
  <c r="M634" i="137"/>
  <c r="S634" i="137" s="1"/>
  <c r="R638" i="1"/>
  <c r="M638" i="137"/>
  <c r="S638" i="137" s="1"/>
  <c r="R646" i="1"/>
  <c r="R654" i="1"/>
  <c r="M654" i="137"/>
  <c r="S654" i="137" s="1"/>
  <c r="R658" i="1"/>
  <c r="M658" i="137"/>
  <c r="S658" i="137" s="1"/>
  <c r="R662" i="1"/>
  <c r="M662" i="137"/>
  <c r="S662" i="137" s="1"/>
  <c r="R666" i="1"/>
  <c r="M666" i="137"/>
  <c r="S666" i="137" s="1"/>
  <c r="R674" i="1"/>
  <c r="M674" i="137"/>
  <c r="S674" i="137" s="1"/>
  <c r="R678" i="1"/>
  <c r="M678" i="137"/>
  <c r="S678" i="137" s="1"/>
  <c r="R682" i="1"/>
  <c r="M682" i="137"/>
  <c r="S682" i="137" s="1"/>
  <c r="R686" i="1"/>
  <c r="M686" i="137"/>
  <c r="S686" i="137" s="1"/>
  <c r="R690" i="1"/>
  <c r="M690" i="137"/>
  <c r="S690" i="137" s="1"/>
  <c r="R694" i="1"/>
  <c r="M694" i="137"/>
  <c r="S694" i="137" s="1"/>
  <c r="R698" i="1"/>
  <c r="R702" i="1"/>
  <c r="M702" i="137"/>
  <c r="S702" i="137" s="1"/>
  <c r="R706" i="1"/>
  <c r="M706" i="137"/>
  <c r="S706" i="137" s="1"/>
  <c r="R710" i="1"/>
  <c r="M710" i="137"/>
  <c r="S710" i="137" s="1"/>
  <c r="R714" i="1"/>
  <c r="M714" i="137"/>
  <c r="S714" i="137" s="1"/>
  <c r="R718" i="1"/>
  <c r="M718" i="137"/>
  <c r="S718" i="137" s="1"/>
  <c r="R722" i="1"/>
  <c r="M722" i="137"/>
  <c r="S722" i="137" s="1"/>
  <c r="R726" i="1"/>
  <c r="M726" i="137"/>
  <c r="S726" i="137" s="1"/>
  <c r="R730" i="1"/>
  <c r="M730" i="137"/>
  <c r="S730" i="137" s="1"/>
  <c r="R734" i="1"/>
  <c r="M734" i="137"/>
  <c r="S734" i="137" s="1"/>
  <c r="R738" i="1"/>
  <c r="M738" i="137"/>
  <c r="S738" i="137" s="1"/>
  <c r="R742" i="1"/>
  <c r="M742" i="137"/>
  <c r="S742" i="137" s="1"/>
  <c r="R746" i="1"/>
  <c r="M746" i="137"/>
  <c r="S746" i="137" s="1"/>
  <c r="R750" i="1"/>
  <c r="M750" i="137"/>
  <c r="S750" i="137" s="1"/>
  <c r="R754" i="1"/>
  <c r="M754" i="137"/>
  <c r="S754" i="137" s="1"/>
  <c r="R758" i="1"/>
  <c r="M758" i="137"/>
  <c r="S758" i="137" s="1"/>
  <c r="R762" i="1"/>
  <c r="R766" i="1"/>
  <c r="M766" i="137"/>
  <c r="S766" i="137" s="1"/>
  <c r="R770" i="1"/>
  <c r="M770" i="137"/>
  <c r="S770" i="137" s="1"/>
  <c r="R774" i="1"/>
  <c r="M774" i="137"/>
  <c r="S774" i="137" s="1"/>
  <c r="R778" i="1"/>
  <c r="M778" i="137"/>
  <c r="S778" i="137" s="1"/>
  <c r="R782" i="1"/>
  <c r="M782" i="137"/>
  <c r="S782" i="137" s="1"/>
  <c r="R786" i="1"/>
  <c r="M786" i="137"/>
  <c r="S786" i="137" s="1"/>
  <c r="R790" i="1"/>
  <c r="M790" i="137"/>
  <c r="S790" i="137" s="1"/>
  <c r="R794" i="1"/>
  <c r="M794" i="137"/>
  <c r="S794" i="137" s="1"/>
  <c r="R798" i="1"/>
  <c r="M798" i="137"/>
  <c r="S798" i="137" s="1"/>
  <c r="R802" i="1"/>
  <c r="M802" i="137"/>
  <c r="S802" i="137" s="1"/>
  <c r="R810" i="1"/>
  <c r="M810" i="137"/>
  <c r="S810" i="137" s="1"/>
  <c r="R818" i="1"/>
  <c r="R822" i="1"/>
  <c r="M822" i="137"/>
  <c r="S822" i="137" s="1"/>
  <c r="R826" i="1"/>
  <c r="M826" i="137"/>
  <c r="S826" i="137" s="1"/>
  <c r="R830" i="1"/>
  <c r="M830" i="137"/>
  <c r="S830" i="137" s="1"/>
  <c r="R834" i="1"/>
  <c r="M834" i="137"/>
  <c r="S834" i="137" s="1"/>
  <c r="R838" i="1"/>
  <c r="M838" i="137"/>
  <c r="S838" i="137" s="1"/>
  <c r="R842" i="1"/>
  <c r="M842" i="137"/>
  <c r="S842" i="137" s="1"/>
  <c r="R846" i="1"/>
  <c r="M846" i="137"/>
  <c r="S846" i="137" s="1"/>
  <c r="R850" i="1"/>
  <c r="M850" i="137"/>
  <c r="S850" i="137" s="1"/>
  <c r="R854" i="1"/>
  <c r="M854" i="137"/>
  <c r="S854" i="137" s="1"/>
  <c r="R858" i="1"/>
  <c r="M858" i="137"/>
  <c r="S858" i="137" s="1"/>
  <c r="R862" i="1"/>
  <c r="M862" i="137"/>
  <c r="S862" i="137" s="1"/>
  <c r="R866" i="1"/>
  <c r="M866" i="137"/>
  <c r="S866" i="137" s="1"/>
  <c r="R870" i="1"/>
  <c r="M870" i="137"/>
  <c r="S870" i="137" s="1"/>
  <c r="R874" i="1"/>
  <c r="M874" i="137"/>
  <c r="S874" i="137" s="1"/>
  <c r="R878" i="1"/>
  <c r="M878" i="137"/>
  <c r="S878" i="137" s="1"/>
  <c r="R882" i="1"/>
  <c r="M882" i="137"/>
  <c r="S882" i="137" s="1"/>
  <c r="R886" i="1"/>
  <c r="M886" i="137"/>
  <c r="S886" i="137" s="1"/>
  <c r="R890" i="1"/>
  <c r="M890" i="137"/>
  <c r="S890" i="137" s="1"/>
  <c r="R894" i="1"/>
  <c r="M894" i="137"/>
  <c r="S894" i="137" s="1"/>
  <c r="R898" i="1"/>
  <c r="M898" i="137"/>
  <c r="S898" i="137" s="1"/>
  <c r="R902" i="1"/>
  <c r="M902" i="137"/>
  <c r="S902" i="137" s="1"/>
  <c r="R906" i="1"/>
  <c r="M906" i="137"/>
  <c r="S906" i="137" s="1"/>
  <c r="R910" i="1"/>
  <c r="M910" i="137"/>
  <c r="S910" i="137" s="1"/>
  <c r="R914" i="1"/>
  <c r="M914" i="137"/>
  <c r="S914" i="137" s="1"/>
  <c r="R918" i="1"/>
  <c r="M918" i="137"/>
  <c r="S918" i="137" s="1"/>
  <c r="R922" i="1"/>
  <c r="M922" i="137"/>
  <c r="S922" i="137" s="1"/>
  <c r="R926" i="1"/>
  <c r="M926" i="137"/>
  <c r="S926" i="137" s="1"/>
  <c r="R930" i="1"/>
  <c r="M930" i="137"/>
  <c r="S930" i="137" s="1"/>
  <c r="R934" i="1"/>
  <c r="M934" i="137"/>
  <c r="S934" i="137" s="1"/>
  <c r="R938" i="1"/>
  <c r="M938" i="137"/>
  <c r="S938" i="137" s="1"/>
  <c r="R942" i="1"/>
  <c r="M942" i="137"/>
  <c r="S942" i="137" s="1"/>
  <c r="R946" i="1"/>
  <c r="M946" i="137"/>
  <c r="S946" i="137" s="1"/>
  <c r="R950" i="1"/>
  <c r="M950" i="137"/>
  <c r="S950" i="137" s="1"/>
  <c r="R954" i="1"/>
  <c r="M954" i="137"/>
  <c r="S954" i="137" s="1"/>
  <c r="R958" i="1"/>
  <c r="M958" i="137"/>
  <c r="S958" i="137" s="1"/>
  <c r="R962" i="1"/>
  <c r="M962" i="137"/>
  <c r="S962" i="137" s="1"/>
  <c r="R966" i="1"/>
  <c r="M966" i="137"/>
  <c r="S966" i="137" s="1"/>
  <c r="R970" i="1"/>
  <c r="M970" i="137"/>
  <c r="S970" i="137" s="1"/>
  <c r="R974" i="1"/>
  <c r="M974" i="137"/>
  <c r="S974" i="137" s="1"/>
  <c r="R978" i="1"/>
  <c r="M978" i="137"/>
  <c r="S978" i="137" s="1"/>
  <c r="R982" i="1"/>
  <c r="M982" i="137"/>
  <c r="S982" i="137" s="1"/>
  <c r="R986" i="1"/>
  <c r="M986" i="137"/>
  <c r="S986" i="137" s="1"/>
  <c r="R990" i="1"/>
  <c r="M990" i="137"/>
  <c r="S990" i="137" s="1"/>
  <c r="R994" i="1"/>
  <c r="M994" i="137"/>
  <c r="S994" i="137" s="1"/>
  <c r="R998" i="1"/>
  <c r="M998" i="137"/>
  <c r="S998" i="137" s="1"/>
  <c r="R1002" i="1"/>
  <c r="M1002" i="137"/>
  <c r="S1002" i="137" s="1"/>
  <c r="R1006" i="1"/>
  <c r="M1006" i="137"/>
  <c r="S1006" i="137" s="1"/>
  <c r="R1010" i="1"/>
  <c r="M1010" i="137"/>
  <c r="S1010" i="137" s="1"/>
  <c r="R1014" i="1"/>
  <c r="M1014" i="137"/>
  <c r="S1014" i="137" s="1"/>
  <c r="R1018" i="1"/>
  <c r="M1018" i="137"/>
  <c r="S1018" i="137" s="1"/>
  <c r="R1022" i="1"/>
  <c r="M1022" i="137"/>
  <c r="S1022" i="137" s="1"/>
  <c r="R1026" i="1"/>
  <c r="M1026" i="137"/>
  <c r="S1026" i="137" s="1"/>
  <c r="R1030" i="1"/>
  <c r="M1030" i="137"/>
  <c r="S1030" i="137" s="1"/>
  <c r="R1034" i="1"/>
  <c r="M1034" i="137"/>
  <c r="S1034" i="137" s="1"/>
  <c r="R1038" i="1"/>
  <c r="M1038" i="137"/>
  <c r="S1038" i="137" s="1"/>
  <c r="R1042" i="1"/>
  <c r="M1042" i="137"/>
  <c r="S1042" i="137" s="1"/>
  <c r="R1046" i="1"/>
  <c r="M1046" i="137"/>
  <c r="S1046" i="137" s="1"/>
  <c r="R1050" i="1"/>
  <c r="M1050" i="137"/>
  <c r="S1050" i="137" s="1"/>
  <c r="R1054" i="1"/>
  <c r="M1054" i="137"/>
  <c r="S1054" i="137" s="1"/>
  <c r="R1058" i="1"/>
  <c r="M1058" i="137"/>
  <c r="S1058" i="137" s="1"/>
  <c r="R1062" i="1"/>
  <c r="M1062" i="137"/>
  <c r="S1062" i="137" s="1"/>
  <c r="R1066" i="1"/>
  <c r="M1066" i="137"/>
  <c r="S1066" i="137" s="1"/>
  <c r="R1070" i="1"/>
  <c r="M1070" i="137"/>
  <c r="S1070" i="137" s="1"/>
  <c r="R1074" i="1"/>
  <c r="M1074" i="137"/>
  <c r="S1074" i="137" s="1"/>
  <c r="R1078" i="1"/>
  <c r="M1078" i="137"/>
  <c r="S1078" i="137" s="1"/>
  <c r="R1082" i="1"/>
  <c r="M1082" i="137"/>
  <c r="S1082" i="137" s="1"/>
  <c r="R1086" i="1"/>
  <c r="M1086" i="137"/>
  <c r="S1086" i="137" s="1"/>
  <c r="R1090" i="1"/>
  <c r="M1090" i="137"/>
  <c r="S1090" i="137" s="1"/>
  <c r="R1094" i="1"/>
  <c r="M1094" i="137"/>
  <c r="S1094" i="137" s="1"/>
  <c r="R1098" i="1"/>
  <c r="M1098" i="137"/>
  <c r="S1098" i="137" s="1"/>
  <c r="R1102" i="1"/>
  <c r="M1102" i="137"/>
  <c r="S1102" i="137" s="1"/>
  <c r="R1106" i="1"/>
  <c r="M1106" i="137"/>
  <c r="S1106" i="137" s="1"/>
  <c r="R1110" i="1"/>
  <c r="M1110" i="137"/>
  <c r="S1110" i="137" s="1"/>
  <c r="R1114" i="1"/>
  <c r="M1114" i="137"/>
  <c r="S1114" i="137" s="1"/>
  <c r="R1118" i="1"/>
  <c r="M1118" i="137"/>
  <c r="S1118" i="137" s="1"/>
  <c r="R1122" i="1"/>
  <c r="M1122" i="137"/>
  <c r="S1122" i="137" s="1"/>
  <c r="R1126" i="1"/>
  <c r="M1126" i="137"/>
  <c r="S1126" i="137" s="1"/>
  <c r="R1130" i="1"/>
  <c r="M1130" i="137"/>
  <c r="S1130" i="137" s="1"/>
  <c r="R1134" i="1"/>
  <c r="M1134" i="137"/>
  <c r="S1134" i="137" s="1"/>
  <c r="R1138" i="1"/>
  <c r="M1138" i="137"/>
  <c r="S1138" i="137" s="1"/>
  <c r="R1142" i="1"/>
  <c r="M1142" i="137"/>
  <c r="S1142" i="137" s="1"/>
  <c r="R1146" i="1"/>
  <c r="M1146" i="137"/>
  <c r="S1146" i="137" s="1"/>
  <c r="R1150" i="1"/>
  <c r="M1150" i="137"/>
  <c r="S1150" i="137" s="1"/>
  <c r="R1154" i="1"/>
  <c r="M1154" i="137"/>
  <c r="S1154" i="137" s="1"/>
  <c r="R1158" i="1"/>
  <c r="M1158" i="137"/>
  <c r="S1158" i="137" s="1"/>
  <c r="R1162" i="1"/>
  <c r="M1162" i="137"/>
  <c r="S1162" i="137" s="1"/>
  <c r="R1166" i="1"/>
  <c r="M1166" i="137"/>
  <c r="S1166" i="137" s="1"/>
  <c r="R1170" i="1"/>
  <c r="M1170" i="137"/>
  <c r="S1170" i="137" s="1"/>
  <c r="R1174" i="1"/>
  <c r="M1174" i="137"/>
  <c r="S1174" i="137" s="1"/>
  <c r="R1178" i="1"/>
  <c r="M1178" i="137"/>
  <c r="S1178" i="137" s="1"/>
  <c r="R1182" i="1"/>
  <c r="M1182" i="137"/>
  <c r="S1182" i="137" s="1"/>
  <c r="R1186" i="1"/>
  <c r="M1186" i="137"/>
  <c r="S1186" i="137" s="1"/>
  <c r="R1190" i="1"/>
  <c r="M1190" i="137"/>
  <c r="S1190" i="137" s="1"/>
  <c r="R1194" i="1"/>
  <c r="M1194" i="137"/>
  <c r="S1194" i="137" s="1"/>
  <c r="R1198" i="1"/>
  <c r="M1198" i="137"/>
  <c r="S1198" i="137" s="1"/>
  <c r="R1202" i="1"/>
  <c r="M1202" i="137"/>
  <c r="S1202" i="137" s="1"/>
  <c r="R1206" i="1"/>
  <c r="M1206" i="137"/>
  <c r="S1206" i="137" s="1"/>
  <c r="R1210" i="1"/>
  <c r="M1210" i="137"/>
  <c r="S1210" i="137" s="1"/>
  <c r="R1214" i="1"/>
  <c r="R1218" i="1"/>
  <c r="M1218" i="137"/>
  <c r="S1218" i="137" s="1"/>
  <c r="R1222" i="1"/>
  <c r="M1222" i="137"/>
  <c r="S1222" i="137" s="1"/>
  <c r="R1226" i="1"/>
  <c r="M1226" i="137"/>
  <c r="S1226" i="137" s="1"/>
  <c r="R1230" i="1"/>
  <c r="M1230" i="137"/>
  <c r="S1230" i="137" s="1"/>
  <c r="R1234" i="1"/>
  <c r="M1234" i="137"/>
  <c r="S1234" i="137" s="1"/>
  <c r="R1238" i="1"/>
  <c r="M1238" i="137"/>
  <c r="S1238" i="137" s="1"/>
  <c r="R1242" i="1"/>
  <c r="M1242" i="137"/>
  <c r="S1242" i="137" s="1"/>
  <c r="R1246" i="1"/>
  <c r="M1246" i="137"/>
  <c r="S1246" i="137" s="1"/>
  <c r="R7" i="1"/>
  <c r="R11" i="1"/>
  <c r="M11" i="137"/>
  <c r="S11" i="137" s="1"/>
  <c r="R15" i="1"/>
  <c r="M15" i="137"/>
  <c r="S15" i="137" s="1"/>
  <c r="R23" i="1"/>
  <c r="R27" i="1"/>
  <c r="R31" i="1"/>
  <c r="M31" i="137"/>
  <c r="S31" i="137" s="1"/>
  <c r="R35" i="1"/>
  <c r="R39" i="1"/>
  <c r="M39" i="137"/>
  <c r="S39" i="137" s="1"/>
  <c r="R43" i="1"/>
  <c r="M43" i="137"/>
  <c r="S43" i="137" s="1"/>
  <c r="R47" i="1"/>
  <c r="M47" i="137"/>
  <c r="S47" i="137" s="1"/>
  <c r="R51" i="1"/>
  <c r="M51" i="137"/>
  <c r="S51" i="137" s="1"/>
  <c r="R55" i="1"/>
  <c r="M55" i="137"/>
  <c r="S55" i="137" s="1"/>
  <c r="R59" i="1"/>
  <c r="M59" i="137"/>
  <c r="S59" i="137" s="1"/>
  <c r="R63" i="1"/>
  <c r="M63" i="137"/>
  <c r="S63" i="137" s="1"/>
  <c r="R67" i="1"/>
  <c r="M67" i="137"/>
  <c r="S67" i="137" s="1"/>
  <c r="R71" i="1"/>
  <c r="M71" i="137"/>
  <c r="S71" i="137" s="1"/>
  <c r="R75" i="1"/>
  <c r="R79" i="1"/>
  <c r="M79" i="137"/>
  <c r="S79" i="137" s="1"/>
  <c r="R83" i="1"/>
  <c r="M83" i="137"/>
  <c r="S83" i="137" s="1"/>
  <c r="R87" i="1"/>
  <c r="M87" i="137"/>
  <c r="S87" i="137" s="1"/>
  <c r="R91" i="1"/>
  <c r="M91" i="137"/>
  <c r="S91" i="137" s="1"/>
  <c r="R95" i="1"/>
  <c r="M95" i="137"/>
  <c r="S95" i="137" s="1"/>
  <c r="R99" i="1"/>
  <c r="M99" i="137"/>
  <c r="S99" i="137" s="1"/>
  <c r="R103" i="1"/>
  <c r="R107" i="1"/>
  <c r="M107" i="137"/>
  <c r="S107" i="137" s="1"/>
  <c r="R111" i="1"/>
  <c r="M111" i="137"/>
  <c r="S111" i="137" s="1"/>
  <c r="R115" i="1"/>
  <c r="M115" i="137"/>
  <c r="S115" i="137" s="1"/>
  <c r="R119" i="1"/>
  <c r="M119" i="137"/>
  <c r="S119" i="137" s="1"/>
  <c r="R123" i="1"/>
  <c r="M123" i="137"/>
  <c r="S123" i="137" s="1"/>
  <c r="R127" i="1"/>
  <c r="M127" i="137"/>
  <c r="S127" i="137" s="1"/>
  <c r="R135" i="1"/>
  <c r="M135" i="137"/>
  <c r="S135" i="137" s="1"/>
  <c r="R139" i="1"/>
  <c r="M139" i="137"/>
  <c r="S139" i="137" s="1"/>
  <c r="R143" i="1"/>
  <c r="M143" i="137"/>
  <c r="S143" i="137" s="1"/>
  <c r="R147" i="1"/>
  <c r="M147" i="137"/>
  <c r="S147" i="137" s="1"/>
  <c r="R151" i="1"/>
  <c r="M151" i="137"/>
  <c r="S151" i="137" s="1"/>
  <c r="R155" i="1"/>
  <c r="M155" i="137"/>
  <c r="S155" i="137" s="1"/>
  <c r="R163" i="1"/>
  <c r="M163" i="137"/>
  <c r="S163" i="137" s="1"/>
  <c r="R167" i="1"/>
  <c r="M167" i="137"/>
  <c r="S167" i="137" s="1"/>
  <c r="R171" i="1"/>
  <c r="M171" i="137"/>
  <c r="S171" i="137" s="1"/>
  <c r="R175" i="1"/>
  <c r="M175" i="137"/>
  <c r="S175" i="137" s="1"/>
  <c r="R179" i="1"/>
  <c r="M179" i="137"/>
  <c r="S179" i="137" s="1"/>
  <c r="R183" i="1"/>
  <c r="R187" i="1"/>
  <c r="M187" i="137"/>
  <c r="S187" i="137" s="1"/>
  <c r="R191" i="1"/>
  <c r="M191" i="137"/>
  <c r="S191" i="137" s="1"/>
  <c r="R195" i="1"/>
  <c r="M195" i="137"/>
  <c r="S195" i="137" s="1"/>
  <c r="R203" i="1"/>
  <c r="M203" i="137"/>
  <c r="S203" i="137" s="1"/>
  <c r="R207" i="1"/>
  <c r="M207" i="137"/>
  <c r="S207" i="137" s="1"/>
  <c r="R211" i="1"/>
  <c r="M211" i="137"/>
  <c r="S211" i="137" s="1"/>
  <c r="R215" i="1"/>
  <c r="M215" i="137"/>
  <c r="S215" i="137" s="1"/>
  <c r="R223" i="1"/>
  <c r="M223" i="137"/>
  <c r="S223" i="137" s="1"/>
  <c r="R227" i="1"/>
  <c r="M227" i="137"/>
  <c r="S227" i="137" s="1"/>
  <c r="R231" i="1"/>
  <c r="M231" i="137"/>
  <c r="S231" i="137" s="1"/>
  <c r="R235" i="1"/>
  <c r="M235" i="137"/>
  <c r="S235" i="137" s="1"/>
  <c r="R239" i="1"/>
  <c r="M239" i="137"/>
  <c r="S239" i="137" s="1"/>
  <c r="R243" i="1"/>
  <c r="M243" i="137"/>
  <c r="S243" i="137" s="1"/>
  <c r="R247" i="1"/>
  <c r="M247" i="137"/>
  <c r="S247" i="137" s="1"/>
  <c r="R251" i="1"/>
  <c r="M251" i="137"/>
  <c r="S251" i="137" s="1"/>
  <c r="R255" i="1"/>
  <c r="M255" i="137"/>
  <c r="S255" i="137" s="1"/>
  <c r="R259" i="1"/>
  <c r="M259" i="137"/>
  <c r="S259" i="137" s="1"/>
  <c r="R263" i="1"/>
  <c r="M263" i="137"/>
  <c r="S263" i="137" s="1"/>
  <c r="R267" i="1"/>
  <c r="M267" i="137"/>
  <c r="S267" i="137" s="1"/>
  <c r="R271" i="1"/>
  <c r="M271" i="137"/>
  <c r="S271" i="137" s="1"/>
  <c r="R275" i="1"/>
  <c r="M275" i="137"/>
  <c r="S275" i="137" s="1"/>
  <c r="R279" i="1"/>
  <c r="M279" i="137"/>
  <c r="S279" i="137" s="1"/>
  <c r="R287" i="1"/>
  <c r="M287" i="137"/>
  <c r="S287" i="137" s="1"/>
  <c r="R291" i="1"/>
  <c r="M291" i="137"/>
  <c r="S291" i="137" s="1"/>
  <c r="R295" i="1"/>
  <c r="M295" i="137"/>
  <c r="S295" i="137" s="1"/>
  <c r="R299" i="1"/>
  <c r="M299" i="137"/>
  <c r="S299" i="137" s="1"/>
  <c r="R303" i="1"/>
  <c r="M303" i="137"/>
  <c r="S303" i="137" s="1"/>
  <c r="R307" i="1"/>
  <c r="M307" i="137"/>
  <c r="S307" i="137" s="1"/>
  <c r="R311" i="1"/>
  <c r="M311" i="137"/>
  <c r="S311" i="137" s="1"/>
  <c r="R315" i="1"/>
  <c r="M315" i="137"/>
  <c r="S315" i="137" s="1"/>
  <c r="R319" i="1"/>
  <c r="M319" i="137"/>
  <c r="S319" i="137" s="1"/>
  <c r="R323" i="1"/>
  <c r="M323" i="137"/>
  <c r="S323" i="137" s="1"/>
  <c r="R331" i="1"/>
  <c r="M331" i="137"/>
  <c r="S331" i="137" s="1"/>
  <c r="R335" i="1"/>
  <c r="M335" i="137"/>
  <c r="S335" i="137" s="1"/>
  <c r="R343" i="1"/>
  <c r="M343" i="137"/>
  <c r="S343" i="137" s="1"/>
  <c r="R351" i="1"/>
  <c r="M351" i="137"/>
  <c r="S351" i="137" s="1"/>
  <c r="R355" i="1"/>
  <c r="M355" i="137"/>
  <c r="S355" i="137" s="1"/>
  <c r="R359" i="1"/>
  <c r="M359" i="137"/>
  <c r="S359" i="137" s="1"/>
  <c r="R371" i="1"/>
  <c r="M371" i="137"/>
  <c r="S371" i="137" s="1"/>
  <c r="R383" i="1"/>
  <c r="M383" i="137"/>
  <c r="S383" i="137" s="1"/>
  <c r="R387" i="1"/>
  <c r="M387" i="137"/>
  <c r="S387" i="137" s="1"/>
  <c r="R391" i="1"/>
  <c r="M391" i="137"/>
  <c r="S391" i="137" s="1"/>
  <c r="R395" i="1"/>
  <c r="M395" i="137"/>
  <c r="S395" i="137" s="1"/>
  <c r="R399" i="1"/>
  <c r="M399" i="137"/>
  <c r="S399" i="137" s="1"/>
  <c r="R403" i="1"/>
  <c r="R407" i="1"/>
  <c r="M407" i="137"/>
  <c r="S407" i="137" s="1"/>
  <c r="R411" i="1"/>
  <c r="M411" i="137"/>
  <c r="S411" i="137" s="1"/>
  <c r="R415" i="1"/>
  <c r="M415" i="137"/>
  <c r="S415" i="137" s="1"/>
  <c r="R419" i="1"/>
  <c r="M419" i="137"/>
  <c r="S419" i="137" s="1"/>
  <c r="R423" i="1"/>
  <c r="M423" i="137"/>
  <c r="S423" i="137" s="1"/>
  <c r="R427" i="1"/>
  <c r="M427" i="137"/>
  <c r="S427" i="137" s="1"/>
  <c r="R431" i="1"/>
  <c r="M431" i="137"/>
  <c r="S431" i="137" s="1"/>
  <c r="R435" i="1"/>
  <c r="M435" i="137"/>
  <c r="S435" i="137" s="1"/>
  <c r="R447" i="1"/>
  <c r="M447" i="137"/>
  <c r="S447" i="137" s="1"/>
  <c r="R451" i="1"/>
  <c r="M451" i="137"/>
  <c r="S451" i="137" s="1"/>
  <c r="R455" i="1"/>
  <c r="R459" i="1"/>
  <c r="M459" i="137"/>
  <c r="S459" i="137" s="1"/>
  <c r="R463" i="1"/>
  <c r="M463" i="137"/>
  <c r="S463" i="137" s="1"/>
  <c r="R467" i="1"/>
  <c r="M467" i="137"/>
  <c r="S467" i="137" s="1"/>
  <c r="R471" i="1"/>
  <c r="M471" i="137"/>
  <c r="S471" i="137" s="1"/>
  <c r="R475" i="1"/>
  <c r="M475" i="137"/>
  <c r="S475" i="137" s="1"/>
  <c r="R479" i="1"/>
  <c r="M479" i="137"/>
  <c r="S479" i="137" s="1"/>
  <c r="R491" i="1"/>
  <c r="M491" i="137"/>
  <c r="S491" i="137" s="1"/>
  <c r="R503" i="1"/>
  <c r="M503" i="137"/>
  <c r="S503" i="137" s="1"/>
  <c r="R507" i="1"/>
  <c r="M507" i="137"/>
  <c r="S507" i="137" s="1"/>
  <c r="R511" i="1"/>
  <c r="M511" i="137"/>
  <c r="S511" i="137" s="1"/>
  <c r="R515" i="1"/>
  <c r="M515" i="137"/>
  <c r="S515" i="137" s="1"/>
  <c r="R519" i="1"/>
  <c r="M519" i="137"/>
  <c r="S519" i="137" s="1"/>
  <c r="R527" i="1"/>
  <c r="M527" i="137"/>
  <c r="S527" i="137" s="1"/>
  <c r="R531" i="1"/>
  <c r="M531" i="137"/>
  <c r="S531" i="137" s="1"/>
  <c r="R535" i="1"/>
  <c r="M535" i="137"/>
  <c r="S535" i="137" s="1"/>
  <c r="R547" i="1"/>
  <c r="M547" i="137"/>
  <c r="S547" i="137" s="1"/>
  <c r="R551" i="1"/>
  <c r="R555" i="1"/>
  <c r="M555" i="137"/>
  <c r="S555" i="137" s="1"/>
  <c r="R559" i="1"/>
  <c r="M559" i="137"/>
  <c r="S559" i="137" s="1"/>
  <c r="R563" i="1"/>
  <c r="M563" i="137"/>
  <c r="S563" i="137" s="1"/>
  <c r="R583" i="1"/>
  <c r="M583" i="137"/>
  <c r="S583" i="137" s="1"/>
  <c r="R591" i="1"/>
  <c r="M591" i="137"/>
  <c r="S591" i="137" s="1"/>
  <c r="R595" i="1"/>
  <c r="M595" i="137"/>
  <c r="S595" i="137" s="1"/>
  <c r="R603" i="1"/>
  <c r="M603" i="137"/>
  <c r="S603" i="137" s="1"/>
  <c r="R607" i="1"/>
  <c r="M607" i="137"/>
  <c r="S607" i="137" s="1"/>
  <c r="R611" i="1"/>
  <c r="M611" i="137"/>
  <c r="S611" i="137" s="1"/>
  <c r="R615" i="1"/>
  <c r="M615" i="137"/>
  <c r="S615" i="137" s="1"/>
  <c r="R619" i="1"/>
  <c r="M619" i="137"/>
  <c r="S619" i="137" s="1"/>
  <c r="R627" i="1"/>
  <c r="M627" i="137"/>
  <c r="S627" i="137" s="1"/>
  <c r="R631" i="1"/>
  <c r="M631" i="137"/>
  <c r="S631" i="137" s="1"/>
  <c r="R635" i="1"/>
  <c r="M635" i="137"/>
  <c r="S635" i="137" s="1"/>
  <c r="R643" i="1"/>
  <c r="M643" i="137"/>
  <c r="S643" i="137" s="1"/>
  <c r="R647" i="1"/>
  <c r="M647" i="137"/>
  <c r="S647" i="137" s="1"/>
  <c r="R651" i="1"/>
  <c r="M651" i="137"/>
  <c r="S651" i="137" s="1"/>
  <c r="R655" i="1"/>
  <c r="M655" i="137"/>
  <c r="S655" i="137" s="1"/>
  <c r="R659" i="1"/>
  <c r="M659" i="137"/>
  <c r="S659" i="137" s="1"/>
  <c r="R663" i="1"/>
  <c r="M663" i="137"/>
  <c r="S663" i="137" s="1"/>
  <c r="R667" i="1"/>
  <c r="M667" i="137"/>
  <c r="S667" i="137" s="1"/>
  <c r="R671" i="1"/>
  <c r="M671" i="137"/>
  <c r="S671" i="137" s="1"/>
  <c r="R679" i="1"/>
  <c r="M679" i="137"/>
  <c r="S679" i="137" s="1"/>
  <c r="R683" i="1"/>
  <c r="M683" i="137"/>
  <c r="S683" i="137" s="1"/>
  <c r="R687" i="1"/>
  <c r="M687" i="137"/>
  <c r="S687" i="137" s="1"/>
  <c r="R691" i="1"/>
  <c r="M691" i="137"/>
  <c r="S691" i="137" s="1"/>
  <c r="R695" i="1"/>
  <c r="R699" i="1"/>
  <c r="M699" i="137"/>
  <c r="S699" i="137" s="1"/>
  <c r="R703" i="1"/>
  <c r="M703" i="137"/>
  <c r="S703" i="137" s="1"/>
  <c r="R707" i="1"/>
  <c r="M707" i="137"/>
  <c r="S707" i="137" s="1"/>
  <c r="R711" i="1"/>
  <c r="M711" i="137"/>
  <c r="S711" i="137" s="1"/>
  <c r="R719" i="1"/>
  <c r="M719" i="137"/>
  <c r="S719" i="137" s="1"/>
  <c r="R723" i="1"/>
  <c r="M723" i="137"/>
  <c r="S723" i="137" s="1"/>
  <c r="R727" i="1"/>
  <c r="M727" i="137"/>
  <c r="S727" i="137" s="1"/>
  <c r="R731" i="1"/>
  <c r="M731" i="137"/>
  <c r="S731" i="137" s="1"/>
  <c r="R735" i="1"/>
  <c r="M735" i="137"/>
  <c r="S735" i="137" s="1"/>
  <c r="R743" i="1"/>
  <c r="R747" i="1"/>
  <c r="M747" i="137"/>
  <c r="S747" i="137" s="1"/>
  <c r="R751" i="1"/>
  <c r="M751" i="137"/>
  <c r="S751" i="137" s="1"/>
  <c r="R755" i="1"/>
  <c r="M755" i="137"/>
  <c r="S755" i="137" s="1"/>
  <c r="R771" i="1"/>
  <c r="M771" i="137"/>
  <c r="S771" i="137" s="1"/>
  <c r="R775" i="1"/>
  <c r="M775" i="137"/>
  <c r="S775" i="137" s="1"/>
  <c r="R779" i="1"/>
  <c r="M779" i="137"/>
  <c r="S779" i="137" s="1"/>
  <c r="R783" i="1"/>
  <c r="R787" i="1"/>
  <c r="M787" i="137"/>
  <c r="S787" i="137" s="1"/>
  <c r="R791" i="1"/>
  <c r="M791" i="137"/>
  <c r="S791" i="137" s="1"/>
  <c r="R795" i="1"/>
  <c r="M795" i="137"/>
  <c r="S795" i="137" s="1"/>
  <c r="R799" i="1"/>
  <c r="M799" i="137"/>
  <c r="S799" i="137" s="1"/>
  <c r="R803" i="1"/>
  <c r="M803" i="137"/>
  <c r="S803" i="137" s="1"/>
  <c r="R815" i="1"/>
  <c r="M815" i="137"/>
  <c r="S815" i="137" s="1"/>
  <c r="R819" i="1"/>
  <c r="M819" i="137"/>
  <c r="S819" i="137" s="1"/>
  <c r="R823" i="1"/>
  <c r="M823" i="137"/>
  <c r="S823" i="137" s="1"/>
  <c r="R827" i="1"/>
  <c r="M827" i="137"/>
  <c r="S827" i="137" s="1"/>
  <c r="R831" i="1"/>
  <c r="M831" i="137"/>
  <c r="S831" i="137" s="1"/>
  <c r="R835" i="1"/>
  <c r="M835" i="137"/>
  <c r="S835" i="137" s="1"/>
  <c r="R839" i="1"/>
  <c r="M839" i="137"/>
  <c r="S839" i="137" s="1"/>
  <c r="R843" i="1"/>
  <c r="M843" i="137"/>
  <c r="S843" i="137" s="1"/>
  <c r="R847" i="1"/>
  <c r="M847" i="137"/>
  <c r="S847" i="137" s="1"/>
  <c r="R851" i="1"/>
  <c r="M851" i="137"/>
  <c r="S851" i="137" s="1"/>
  <c r="R855" i="1"/>
  <c r="M855" i="137"/>
  <c r="S855" i="137" s="1"/>
  <c r="R859" i="1"/>
  <c r="M859" i="137"/>
  <c r="S859" i="137" s="1"/>
  <c r="R863" i="1"/>
  <c r="M863" i="137"/>
  <c r="S863" i="137" s="1"/>
  <c r="R867" i="1"/>
  <c r="M867" i="137"/>
  <c r="S867" i="137" s="1"/>
  <c r="R871" i="1"/>
  <c r="M871" i="137"/>
  <c r="S871" i="137" s="1"/>
  <c r="R875" i="1"/>
  <c r="M875" i="137"/>
  <c r="S875" i="137" s="1"/>
  <c r="R879" i="1"/>
  <c r="M879" i="137"/>
  <c r="S879" i="137" s="1"/>
  <c r="R883" i="1"/>
  <c r="M883" i="137"/>
  <c r="S883" i="137" s="1"/>
  <c r="R887" i="1"/>
  <c r="M887" i="137"/>
  <c r="S887" i="137" s="1"/>
  <c r="R891" i="1"/>
  <c r="M891" i="137"/>
  <c r="S891" i="137" s="1"/>
  <c r="R895" i="1"/>
  <c r="M895" i="137"/>
  <c r="S895" i="137" s="1"/>
  <c r="R899" i="1"/>
  <c r="M899" i="137"/>
  <c r="S899" i="137" s="1"/>
  <c r="R903" i="1"/>
  <c r="M903" i="137"/>
  <c r="S903" i="137" s="1"/>
  <c r="R907" i="1"/>
  <c r="M907" i="137"/>
  <c r="S907" i="137" s="1"/>
  <c r="R911" i="1"/>
  <c r="M911" i="137"/>
  <c r="S911" i="137" s="1"/>
  <c r="R915" i="1"/>
  <c r="M915" i="137"/>
  <c r="S915" i="137" s="1"/>
  <c r="R919" i="1"/>
  <c r="M919" i="137"/>
  <c r="S919" i="137" s="1"/>
  <c r="R923" i="1"/>
  <c r="M923" i="137"/>
  <c r="S923" i="137" s="1"/>
  <c r="R927" i="1"/>
  <c r="M927" i="137"/>
  <c r="S927" i="137" s="1"/>
  <c r="R931" i="1"/>
  <c r="M931" i="137"/>
  <c r="S931" i="137" s="1"/>
  <c r="R935" i="1"/>
  <c r="M935" i="137"/>
  <c r="S935" i="137" s="1"/>
  <c r="R939" i="1"/>
  <c r="M939" i="137"/>
  <c r="S939" i="137" s="1"/>
  <c r="R943" i="1"/>
  <c r="M943" i="137"/>
  <c r="S943" i="137" s="1"/>
  <c r="R947" i="1"/>
  <c r="M947" i="137"/>
  <c r="S947" i="137" s="1"/>
  <c r="R951" i="1"/>
  <c r="M951" i="137"/>
  <c r="S951" i="137" s="1"/>
  <c r="R955" i="1"/>
  <c r="M955" i="137"/>
  <c r="S955" i="137" s="1"/>
  <c r="R959" i="1"/>
  <c r="M959" i="137"/>
  <c r="S959" i="137" s="1"/>
  <c r="R963" i="1"/>
  <c r="M963" i="137"/>
  <c r="S963" i="137" s="1"/>
  <c r="R967" i="1"/>
  <c r="M967" i="137"/>
  <c r="S967" i="137" s="1"/>
  <c r="R971" i="1"/>
  <c r="M971" i="137"/>
  <c r="S971" i="137" s="1"/>
  <c r="R975" i="1"/>
  <c r="M975" i="137"/>
  <c r="S975" i="137" s="1"/>
  <c r="R979" i="1"/>
  <c r="M979" i="137"/>
  <c r="S979" i="137" s="1"/>
  <c r="R983" i="1"/>
  <c r="M983" i="137"/>
  <c r="S983" i="137" s="1"/>
  <c r="R987" i="1"/>
  <c r="M987" i="137"/>
  <c r="S987" i="137" s="1"/>
  <c r="R991" i="1"/>
  <c r="M991" i="137"/>
  <c r="S991" i="137" s="1"/>
  <c r="R995" i="1"/>
  <c r="M995" i="137"/>
  <c r="S995" i="137" s="1"/>
  <c r="R999" i="1"/>
  <c r="M999" i="137"/>
  <c r="S999" i="137" s="1"/>
  <c r="R1003" i="1"/>
  <c r="M1003" i="137"/>
  <c r="S1003" i="137" s="1"/>
  <c r="R1007" i="1"/>
  <c r="M1007" i="137"/>
  <c r="S1007" i="137" s="1"/>
  <c r="R1011" i="1"/>
  <c r="M1011" i="137"/>
  <c r="S1011" i="137" s="1"/>
  <c r="R1015" i="1"/>
  <c r="M1015" i="137"/>
  <c r="S1015" i="137" s="1"/>
  <c r="R1019" i="1"/>
  <c r="M1019" i="137"/>
  <c r="S1019" i="137" s="1"/>
  <c r="R1023" i="1"/>
  <c r="M1023" i="137"/>
  <c r="S1023" i="137" s="1"/>
  <c r="R1027" i="1"/>
  <c r="M1027" i="137"/>
  <c r="S1027" i="137" s="1"/>
  <c r="R1031" i="1"/>
  <c r="M1031" i="137"/>
  <c r="S1031" i="137" s="1"/>
  <c r="R1035" i="1"/>
  <c r="M1035" i="137"/>
  <c r="S1035" i="137" s="1"/>
  <c r="R1039" i="1"/>
  <c r="M1039" i="137"/>
  <c r="S1039" i="137" s="1"/>
  <c r="R1043" i="1"/>
  <c r="M1043" i="137"/>
  <c r="S1043" i="137" s="1"/>
  <c r="R1047" i="1"/>
  <c r="M1047" i="137"/>
  <c r="S1047" i="137" s="1"/>
  <c r="R1051" i="1"/>
  <c r="M1051" i="137"/>
  <c r="S1051" i="137" s="1"/>
  <c r="R1055" i="1"/>
  <c r="M1055" i="137"/>
  <c r="S1055" i="137" s="1"/>
  <c r="R1059" i="1"/>
  <c r="M1059" i="137"/>
  <c r="S1059" i="137" s="1"/>
  <c r="R1063" i="1"/>
  <c r="M1063" i="137"/>
  <c r="S1063" i="137" s="1"/>
  <c r="R1067" i="1"/>
  <c r="M1067" i="137"/>
  <c r="S1067" i="137" s="1"/>
  <c r="R1071" i="1"/>
  <c r="M1071" i="137"/>
  <c r="S1071" i="137" s="1"/>
  <c r="R1075" i="1"/>
  <c r="M1075" i="137"/>
  <c r="S1075" i="137" s="1"/>
  <c r="R1079" i="1"/>
  <c r="M1079" i="137"/>
  <c r="S1079" i="137" s="1"/>
  <c r="R1083" i="1"/>
  <c r="M1083" i="137"/>
  <c r="S1083" i="137" s="1"/>
  <c r="R1087" i="1"/>
  <c r="M1087" i="137"/>
  <c r="S1087" i="137" s="1"/>
  <c r="R1091" i="1"/>
  <c r="M1091" i="137"/>
  <c r="S1091" i="137" s="1"/>
  <c r="R1095" i="1"/>
  <c r="M1095" i="137"/>
  <c r="S1095" i="137" s="1"/>
  <c r="R1099" i="1"/>
  <c r="M1099" i="137"/>
  <c r="S1099" i="137" s="1"/>
  <c r="R1103" i="1"/>
  <c r="M1103" i="137"/>
  <c r="S1103" i="137" s="1"/>
  <c r="R1107" i="1"/>
  <c r="M1107" i="137"/>
  <c r="S1107" i="137" s="1"/>
  <c r="R1111" i="1"/>
  <c r="M1111" i="137"/>
  <c r="S1111" i="137" s="1"/>
  <c r="R1115" i="1"/>
  <c r="M1115" i="137"/>
  <c r="S1115" i="137" s="1"/>
  <c r="R1119" i="1"/>
  <c r="M1119" i="137"/>
  <c r="S1119" i="137" s="1"/>
  <c r="R1123" i="1"/>
  <c r="M1123" i="137"/>
  <c r="S1123" i="137" s="1"/>
  <c r="R1127" i="1"/>
  <c r="M1127" i="137"/>
  <c r="S1127" i="137" s="1"/>
  <c r="R1131" i="1"/>
  <c r="M1131" i="137"/>
  <c r="S1131" i="137" s="1"/>
  <c r="R1135" i="1"/>
  <c r="M1135" i="137"/>
  <c r="S1135" i="137" s="1"/>
  <c r="R1139" i="1"/>
  <c r="M1139" i="137"/>
  <c r="S1139" i="137" s="1"/>
  <c r="R1143" i="1"/>
  <c r="M1143" i="137"/>
  <c r="S1143" i="137" s="1"/>
  <c r="R1147" i="1"/>
  <c r="M1147" i="137"/>
  <c r="S1147" i="137" s="1"/>
  <c r="R1151" i="1"/>
  <c r="M1151" i="137"/>
  <c r="S1151" i="137" s="1"/>
  <c r="R1155" i="1"/>
  <c r="M1155" i="137"/>
  <c r="S1155" i="137" s="1"/>
  <c r="R1159" i="1"/>
  <c r="M1159" i="137"/>
  <c r="S1159" i="137" s="1"/>
  <c r="R1163" i="1"/>
  <c r="M1163" i="137"/>
  <c r="S1163" i="137" s="1"/>
  <c r="R1167" i="1"/>
  <c r="M1167" i="137"/>
  <c r="S1167" i="137" s="1"/>
  <c r="R1171" i="1"/>
  <c r="M1171" i="137"/>
  <c r="S1171" i="137" s="1"/>
  <c r="R1175" i="1"/>
  <c r="M1175" i="137"/>
  <c r="S1175" i="137" s="1"/>
  <c r="R1179" i="1"/>
  <c r="M1179" i="137"/>
  <c r="S1179" i="137" s="1"/>
  <c r="R1183" i="1"/>
  <c r="M1183" i="137"/>
  <c r="S1183" i="137" s="1"/>
  <c r="R1187" i="1"/>
  <c r="M1187" i="137"/>
  <c r="S1187" i="137" s="1"/>
  <c r="R1191" i="1"/>
  <c r="M1191" i="137"/>
  <c r="S1191" i="137" s="1"/>
  <c r="R1195" i="1"/>
  <c r="M1195" i="137"/>
  <c r="S1195" i="137" s="1"/>
  <c r="R1199" i="1"/>
  <c r="M1199" i="137"/>
  <c r="S1199" i="137" s="1"/>
  <c r="R1203" i="1"/>
  <c r="M1203" i="137"/>
  <c r="S1203" i="137" s="1"/>
  <c r="R1207" i="1"/>
  <c r="M1207" i="137"/>
  <c r="S1207" i="137" s="1"/>
  <c r="R1211" i="1"/>
  <c r="M1211" i="137"/>
  <c r="S1211" i="137" s="1"/>
  <c r="R1215" i="1"/>
  <c r="M1215" i="137"/>
  <c r="S1215" i="137" s="1"/>
  <c r="R1219" i="1"/>
  <c r="M1219" i="137"/>
  <c r="S1219" i="137" s="1"/>
  <c r="R1223" i="1"/>
  <c r="M1223" i="137"/>
  <c r="S1223" i="137" s="1"/>
  <c r="R1227" i="1"/>
  <c r="M1227" i="137"/>
  <c r="S1227" i="137" s="1"/>
  <c r="R1231" i="1"/>
  <c r="M1231" i="137"/>
  <c r="S1231" i="137" s="1"/>
  <c r="R1235" i="1"/>
  <c r="M1235" i="137"/>
  <c r="S1235" i="137" s="1"/>
  <c r="R1239" i="1"/>
  <c r="M1239" i="137"/>
  <c r="S1239" i="137" s="1"/>
  <c r="R1243" i="1"/>
  <c r="M1243" i="137"/>
  <c r="S1243" i="137" s="1"/>
  <c r="R1247" i="1"/>
  <c r="M1247" i="137"/>
  <c r="S1247" i="137" s="1"/>
  <c r="R8" i="1"/>
  <c r="M8" i="137"/>
  <c r="S8" i="137" s="1"/>
  <c r="R12" i="1"/>
  <c r="M12" i="137"/>
  <c r="S12" i="137" s="1"/>
  <c r="R16" i="1"/>
  <c r="M16" i="137"/>
  <c r="S16" i="137" s="1"/>
  <c r="R20" i="1"/>
  <c r="M20" i="137"/>
  <c r="S20" i="137" s="1"/>
  <c r="R24" i="1"/>
  <c r="R28" i="1"/>
  <c r="M28" i="137"/>
  <c r="S28" i="137" s="1"/>
  <c r="R32" i="1"/>
  <c r="R36" i="1"/>
  <c r="M36" i="137"/>
  <c r="S36" i="137" s="1"/>
  <c r="R40" i="1"/>
  <c r="M40" i="137"/>
  <c r="S40" i="137" s="1"/>
  <c r="R44" i="1"/>
  <c r="M44" i="137"/>
  <c r="S44" i="137" s="1"/>
  <c r="R48" i="1"/>
  <c r="M48" i="137"/>
  <c r="S48" i="137" s="1"/>
  <c r="R52" i="1"/>
  <c r="M52" i="137"/>
  <c r="S52" i="137" s="1"/>
  <c r="R56" i="1"/>
  <c r="M56" i="137"/>
  <c r="S56" i="137" s="1"/>
  <c r="R64" i="1"/>
  <c r="M64" i="137"/>
  <c r="S64" i="137" s="1"/>
  <c r="R68" i="1"/>
  <c r="M68" i="137"/>
  <c r="S68" i="137" s="1"/>
  <c r="R72" i="1"/>
  <c r="M72" i="137"/>
  <c r="S72" i="137" s="1"/>
  <c r="R80" i="1"/>
  <c r="M80" i="137"/>
  <c r="S80" i="137" s="1"/>
  <c r="R84" i="1"/>
  <c r="M84" i="137"/>
  <c r="S84" i="137" s="1"/>
  <c r="R88" i="1"/>
  <c r="M88" i="137"/>
  <c r="S88" i="137" s="1"/>
  <c r="R92" i="1"/>
  <c r="M92" i="137"/>
  <c r="S92" i="137" s="1"/>
  <c r="R96" i="1"/>
  <c r="M96" i="137"/>
  <c r="S96" i="137" s="1"/>
  <c r="R100" i="1"/>
  <c r="M100" i="137"/>
  <c r="S100" i="137" s="1"/>
  <c r="R104" i="1"/>
  <c r="M104" i="137"/>
  <c r="S104" i="137" s="1"/>
  <c r="R108" i="1"/>
  <c r="M108" i="137"/>
  <c r="S108" i="137" s="1"/>
  <c r="R116" i="1"/>
  <c r="M116" i="137"/>
  <c r="S116" i="137" s="1"/>
  <c r="R120" i="1"/>
  <c r="M120" i="137"/>
  <c r="S120" i="137" s="1"/>
  <c r="R124" i="1"/>
  <c r="M124" i="137"/>
  <c r="S124" i="137" s="1"/>
  <c r="R132" i="1"/>
  <c r="M132" i="137"/>
  <c r="S132" i="137" s="1"/>
  <c r="R136" i="1"/>
  <c r="M136" i="137"/>
  <c r="S136" i="137" s="1"/>
  <c r="R140" i="1"/>
  <c r="M140" i="137"/>
  <c r="S140" i="137" s="1"/>
  <c r="R144" i="1"/>
  <c r="R148" i="1"/>
  <c r="R152" i="1"/>
  <c r="M152" i="137"/>
  <c r="S152" i="137" s="1"/>
  <c r="R156" i="1"/>
  <c r="M156" i="137"/>
  <c r="S156" i="137" s="1"/>
  <c r="R160" i="1"/>
  <c r="M160" i="137"/>
  <c r="S160" i="137" s="1"/>
  <c r="R164" i="1"/>
  <c r="M164" i="137"/>
  <c r="S164" i="137" s="1"/>
  <c r="R168" i="1"/>
  <c r="R172" i="1"/>
  <c r="M172" i="137"/>
  <c r="S172" i="137" s="1"/>
  <c r="R176" i="1"/>
  <c r="M176" i="137"/>
  <c r="S176" i="137" s="1"/>
  <c r="R180" i="1"/>
  <c r="M180" i="137"/>
  <c r="S180" i="137" s="1"/>
  <c r="R184" i="1"/>
  <c r="M184" i="137"/>
  <c r="S184" i="137" s="1"/>
  <c r="R188" i="1"/>
  <c r="M188" i="137"/>
  <c r="S188" i="137" s="1"/>
  <c r="R192" i="1"/>
  <c r="M192" i="137"/>
  <c r="S192" i="137" s="1"/>
  <c r="R196" i="1"/>
  <c r="M196" i="137"/>
  <c r="S196" i="137" s="1"/>
  <c r="R200" i="1"/>
  <c r="M200" i="137"/>
  <c r="S200" i="137" s="1"/>
  <c r="R208" i="1"/>
  <c r="M208" i="137"/>
  <c r="S208" i="137" s="1"/>
  <c r="R212" i="1"/>
  <c r="M212" i="137"/>
  <c r="S212" i="137" s="1"/>
  <c r="R216" i="1"/>
  <c r="M216" i="137"/>
  <c r="S216" i="137" s="1"/>
  <c r="R220" i="1"/>
  <c r="M220" i="137"/>
  <c r="S220" i="137" s="1"/>
  <c r="R224" i="1"/>
  <c r="M224" i="137"/>
  <c r="S224" i="137" s="1"/>
  <c r="R228" i="1"/>
  <c r="M228" i="137"/>
  <c r="S228" i="137" s="1"/>
  <c r="R232" i="1"/>
  <c r="M232" i="137"/>
  <c r="S232" i="137" s="1"/>
  <c r="R236" i="1"/>
  <c r="M236" i="137"/>
  <c r="S236" i="137" s="1"/>
  <c r="R240" i="1"/>
  <c r="M240" i="137"/>
  <c r="S240" i="137" s="1"/>
  <c r="R248" i="1"/>
  <c r="M248" i="137"/>
  <c r="S248" i="137" s="1"/>
  <c r="R252" i="1"/>
  <c r="M252" i="137"/>
  <c r="S252" i="137" s="1"/>
  <c r="R256" i="1"/>
  <c r="M256" i="137"/>
  <c r="S256" i="137" s="1"/>
  <c r="R260" i="1"/>
  <c r="M260" i="137"/>
  <c r="S260" i="137" s="1"/>
  <c r="R264" i="1"/>
  <c r="M264" i="137"/>
  <c r="S264" i="137" s="1"/>
  <c r="R268" i="1"/>
  <c r="M268" i="137"/>
  <c r="S268" i="137" s="1"/>
  <c r="R272" i="1"/>
  <c r="M272" i="137"/>
  <c r="S272" i="137" s="1"/>
  <c r="R276" i="1"/>
  <c r="M276" i="137"/>
  <c r="S276" i="137" s="1"/>
  <c r="R280" i="1"/>
  <c r="M280" i="137"/>
  <c r="S280" i="137" s="1"/>
  <c r="R284" i="1"/>
  <c r="M284" i="137"/>
  <c r="S284" i="137" s="1"/>
  <c r="R288" i="1"/>
  <c r="M288" i="137"/>
  <c r="S288" i="137" s="1"/>
  <c r="R292" i="1"/>
  <c r="M292" i="137"/>
  <c r="S292" i="137" s="1"/>
  <c r="R296" i="1"/>
  <c r="M296" i="137"/>
  <c r="S296" i="137" s="1"/>
  <c r="R300" i="1"/>
  <c r="M300" i="137"/>
  <c r="S300" i="137" s="1"/>
  <c r="R304" i="1"/>
  <c r="M304" i="137"/>
  <c r="S304" i="137" s="1"/>
  <c r="R308" i="1"/>
  <c r="M308" i="137"/>
  <c r="S308" i="137" s="1"/>
  <c r="R312" i="1"/>
  <c r="M312" i="137"/>
  <c r="S312" i="137" s="1"/>
  <c r="R316" i="1"/>
  <c r="M316" i="137"/>
  <c r="S316" i="137" s="1"/>
  <c r="R320" i="1"/>
  <c r="M320" i="137"/>
  <c r="S320" i="137" s="1"/>
  <c r="R324" i="1"/>
  <c r="M324" i="137"/>
  <c r="S324" i="137" s="1"/>
  <c r="R328" i="1"/>
  <c r="M328" i="137"/>
  <c r="S328" i="137" s="1"/>
  <c r="R332" i="1"/>
  <c r="M332" i="137"/>
  <c r="S332" i="137" s="1"/>
  <c r="R344" i="1"/>
  <c r="M344" i="137"/>
  <c r="S344" i="137" s="1"/>
  <c r="R348" i="1"/>
  <c r="M348" i="137"/>
  <c r="S348" i="137" s="1"/>
  <c r="R352" i="1"/>
  <c r="M352" i="137"/>
  <c r="S352" i="137" s="1"/>
  <c r="R356" i="1"/>
  <c r="M356" i="137"/>
  <c r="S356" i="137" s="1"/>
  <c r="R364" i="1"/>
  <c r="M364" i="137"/>
  <c r="S364" i="137" s="1"/>
  <c r="R368" i="1"/>
  <c r="M368" i="137"/>
  <c r="S368" i="137" s="1"/>
  <c r="R372" i="1"/>
  <c r="R384" i="1"/>
  <c r="M384" i="137"/>
  <c r="S384" i="137" s="1"/>
  <c r="R388" i="1"/>
  <c r="M388" i="137"/>
  <c r="S388" i="137" s="1"/>
  <c r="R392" i="1"/>
  <c r="M392" i="137"/>
  <c r="S392" i="137" s="1"/>
  <c r="R396" i="1"/>
  <c r="M396" i="137"/>
  <c r="S396" i="137" s="1"/>
  <c r="R400" i="1"/>
  <c r="R404" i="1"/>
  <c r="M404" i="137"/>
  <c r="S404" i="137" s="1"/>
  <c r="R408" i="1"/>
  <c r="M408" i="137"/>
  <c r="S408" i="137" s="1"/>
  <c r="R428" i="1"/>
  <c r="R432" i="1"/>
  <c r="M432" i="137"/>
  <c r="S432" i="137" s="1"/>
  <c r="R436" i="1"/>
  <c r="M436" i="137"/>
  <c r="S436" i="137" s="1"/>
  <c r="R444" i="1"/>
  <c r="M444" i="137"/>
  <c r="S444" i="137" s="1"/>
  <c r="R448" i="1"/>
  <c r="M448" i="137"/>
  <c r="S448" i="137" s="1"/>
  <c r="R452" i="1"/>
  <c r="R464" i="1"/>
  <c r="M464" i="137"/>
  <c r="S464" i="137" s="1"/>
  <c r="R468" i="1"/>
  <c r="M468" i="137"/>
  <c r="S468" i="137" s="1"/>
  <c r="R472" i="1"/>
  <c r="M472" i="137"/>
  <c r="S472" i="137" s="1"/>
  <c r="R476" i="1"/>
  <c r="M476" i="137"/>
  <c r="S476" i="137" s="1"/>
  <c r="R480" i="1"/>
  <c r="M480" i="137"/>
  <c r="S480" i="137" s="1"/>
  <c r="R484" i="1"/>
  <c r="M484" i="137"/>
  <c r="S484" i="137" s="1"/>
  <c r="R488" i="1"/>
  <c r="M488" i="137"/>
  <c r="S488" i="137" s="1"/>
  <c r="R492" i="1"/>
  <c r="M492" i="137"/>
  <c r="S492" i="137" s="1"/>
  <c r="R496" i="1"/>
  <c r="M496" i="137"/>
  <c r="S496" i="137" s="1"/>
  <c r="R504" i="1"/>
  <c r="M504" i="137"/>
  <c r="S504" i="137" s="1"/>
  <c r="R508" i="1"/>
  <c r="M508" i="137"/>
  <c r="S508" i="137" s="1"/>
  <c r="R512" i="1"/>
  <c r="M512" i="137"/>
  <c r="S512" i="137" s="1"/>
  <c r="R516" i="1"/>
  <c r="M516" i="137"/>
  <c r="S516" i="137" s="1"/>
  <c r="R524" i="1"/>
  <c r="R528" i="1"/>
  <c r="M528" i="137"/>
  <c r="S528" i="137" s="1"/>
  <c r="R536" i="1"/>
  <c r="M536" i="137"/>
  <c r="S536" i="137" s="1"/>
  <c r="R544" i="1"/>
  <c r="R552" i="1"/>
  <c r="M552" i="137"/>
  <c r="S552" i="137" s="1"/>
  <c r="R568" i="1"/>
  <c r="M568" i="137"/>
  <c r="S568" i="137" s="1"/>
  <c r="R576" i="1"/>
  <c r="M576" i="137"/>
  <c r="S576" i="137" s="1"/>
  <c r="R580" i="1"/>
  <c r="M580" i="137"/>
  <c r="S580" i="137" s="1"/>
  <c r="R584" i="1"/>
  <c r="R592" i="1"/>
  <c r="M592" i="137"/>
  <c r="S592" i="137" s="1"/>
  <c r="R596" i="1"/>
  <c r="M596" i="137"/>
  <c r="S596" i="137" s="1"/>
  <c r="R600" i="1"/>
  <c r="M600" i="137"/>
  <c r="S600" i="137" s="1"/>
  <c r="R604" i="1"/>
  <c r="M604" i="137"/>
  <c r="S604" i="137" s="1"/>
  <c r="R608" i="1"/>
  <c r="M608" i="137"/>
  <c r="S608" i="137" s="1"/>
  <c r="R612" i="1"/>
  <c r="R616" i="1"/>
  <c r="M616" i="137"/>
  <c r="S616" i="137" s="1"/>
  <c r="R620" i="1"/>
  <c r="M620" i="137"/>
  <c r="S620" i="137" s="1"/>
  <c r="R624" i="1"/>
  <c r="M624" i="137"/>
  <c r="S624" i="137" s="1"/>
  <c r="R628" i="1"/>
  <c r="M628" i="137"/>
  <c r="S628" i="137" s="1"/>
  <c r="R640" i="1"/>
  <c r="M640" i="137"/>
  <c r="S640" i="137" s="1"/>
  <c r="R644" i="1"/>
  <c r="M644" i="137"/>
  <c r="S644" i="137" s="1"/>
  <c r="R652" i="1"/>
  <c r="M652" i="137"/>
  <c r="S652" i="137" s="1"/>
  <c r="R656" i="1"/>
  <c r="M656" i="137"/>
  <c r="S656" i="137" s="1"/>
  <c r="R660" i="1"/>
  <c r="M660" i="137"/>
  <c r="S660" i="137" s="1"/>
  <c r="R664" i="1"/>
  <c r="M664" i="137"/>
  <c r="S664" i="137" s="1"/>
  <c r="R668" i="1"/>
  <c r="M668" i="137"/>
  <c r="S668" i="137" s="1"/>
  <c r="R672" i="1"/>
  <c r="M672" i="137"/>
  <c r="S672" i="137" s="1"/>
  <c r="R680" i="1"/>
  <c r="M680" i="137"/>
  <c r="S680" i="137" s="1"/>
  <c r="R684" i="1"/>
  <c r="M684" i="137"/>
  <c r="S684" i="137" s="1"/>
  <c r="R688" i="1"/>
  <c r="M688" i="137"/>
  <c r="S688" i="137" s="1"/>
  <c r="R692" i="1"/>
  <c r="M692" i="137"/>
  <c r="S692" i="137" s="1"/>
  <c r="R696" i="1"/>
  <c r="M696" i="137"/>
  <c r="S696" i="137" s="1"/>
  <c r="R700" i="1"/>
  <c r="M700" i="137"/>
  <c r="S700" i="137" s="1"/>
  <c r="R704" i="1"/>
  <c r="M704" i="137"/>
  <c r="S704" i="137" s="1"/>
  <c r="R708" i="1"/>
  <c r="M708" i="137"/>
  <c r="S708" i="137" s="1"/>
  <c r="R712" i="1"/>
  <c r="M712" i="137"/>
  <c r="S712" i="137" s="1"/>
  <c r="R716" i="1"/>
  <c r="M716" i="137"/>
  <c r="S716" i="137" s="1"/>
  <c r="R728" i="1"/>
  <c r="M728" i="137"/>
  <c r="S728" i="137" s="1"/>
  <c r="R732" i="1"/>
  <c r="M732" i="137"/>
  <c r="S732" i="137" s="1"/>
  <c r="R736" i="1"/>
  <c r="M736" i="137"/>
  <c r="S736" i="137" s="1"/>
  <c r="R744" i="1"/>
  <c r="M744" i="137"/>
  <c r="S744" i="137" s="1"/>
  <c r="R748" i="1"/>
  <c r="M748" i="137"/>
  <c r="S748" i="137" s="1"/>
  <c r="R756" i="1"/>
  <c r="M756" i="137"/>
  <c r="S756" i="137" s="1"/>
  <c r="R772" i="1"/>
  <c r="M772" i="137"/>
  <c r="S772" i="137" s="1"/>
  <c r="R776" i="1"/>
  <c r="M776" i="137"/>
  <c r="S776" i="137" s="1"/>
  <c r="R784" i="1"/>
  <c r="M784" i="137"/>
  <c r="S784" i="137" s="1"/>
  <c r="R788" i="1"/>
  <c r="M788" i="137"/>
  <c r="S788" i="137" s="1"/>
  <c r="R792" i="1"/>
  <c r="M792" i="137"/>
  <c r="S792" i="137" s="1"/>
  <c r="R796" i="1"/>
  <c r="M796" i="137"/>
  <c r="S796" i="137" s="1"/>
  <c r="R812" i="1"/>
  <c r="M812" i="137"/>
  <c r="S812" i="137" s="1"/>
  <c r="R820" i="1"/>
  <c r="M820" i="137"/>
  <c r="S820" i="137" s="1"/>
  <c r="R824" i="1"/>
  <c r="M824" i="137"/>
  <c r="S824" i="137" s="1"/>
  <c r="R828" i="1"/>
  <c r="M828" i="137"/>
  <c r="S828" i="137" s="1"/>
  <c r="R832" i="1"/>
  <c r="M832" i="137"/>
  <c r="S832" i="137" s="1"/>
  <c r="R836" i="1"/>
  <c r="M836" i="137"/>
  <c r="S836" i="137" s="1"/>
  <c r="R840" i="1"/>
  <c r="M840" i="137"/>
  <c r="S840" i="137" s="1"/>
  <c r="R844" i="1"/>
  <c r="M844" i="137"/>
  <c r="S844" i="137" s="1"/>
  <c r="R848" i="1"/>
  <c r="M848" i="137"/>
  <c r="S848" i="137" s="1"/>
  <c r="R852" i="1"/>
  <c r="M852" i="137"/>
  <c r="S852" i="137" s="1"/>
  <c r="R856" i="1"/>
  <c r="M856" i="137"/>
  <c r="S856" i="137" s="1"/>
  <c r="R860" i="1"/>
  <c r="M860" i="137"/>
  <c r="S860" i="137" s="1"/>
  <c r="R864" i="1"/>
  <c r="M864" i="137"/>
  <c r="S864" i="137" s="1"/>
  <c r="R868" i="1"/>
  <c r="M868" i="137"/>
  <c r="S868" i="137" s="1"/>
  <c r="R872" i="1"/>
  <c r="M872" i="137"/>
  <c r="S872" i="137" s="1"/>
  <c r="R876" i="1"/>
  <c r="M876" i="137"/>
  <c r="S876" i="137" s="1"/>
  <c r="R880" i="1"/>
  <c r="M880" i="137"/>
  <c r="S880" i="137" s="1"/>
  <c r="R884" i="1"/>
  <c r="M884" i="137"/>
  <c r="S884" i="137" s="1"/>
  <c r="R888" i="1"/>
  <c r="M888" i="137"/>
  <c r="S888" i="137" s="1"/>
  <c r="R892" i="1"/>
  <c r="M892" i="137"/>
  <c r="S892" i="137" s="1"/>
  <c r="R896" i="1"/>
  <c r="M896" i="137"/>
  <c r="S896" i="137" s="1"/>
  <c r="R900" i="1"/>
  <c r="M900" i="137"/>
  <c r="S900" i="137" s="1"/>
  <c r="R904" i="1"/>
  <c r="M904" i="137"/>
  <c r="S904" i="137" s="1"/>
  <c r="R908" i="1"/>
  <c r="M908" i="137"/>
  <c r="S908" i="137" s="1"/>
  <c r="R912" i="1"/>
  <c r="M912" i="137"/>
  <c r="S912" i="137" s="1"/>
  <c r="R916" i="1"/>
  <c r="M916" i="137"/>
  <c r="S916" i="137" s="1"/>
  <c r="R920" i="1"/>
  <c r="M920" i="137"/>
  <c r="S920" i="137" s="1"/>
  <c r="R924" i="1"/>
  <c r="M924" i="137"/>
  <c r="S924" i="137" s="1"/>
  <c r="R928" i="1"/>
  <c r="M928" i="137"/>
  <c r="S928" i="137" s="1"/>
  <c r="R932" i="1"/>
  <c r="M932" i="137"/>
  <c r="S932" i="137" s="1"/>
  <c r="R936" i="1"/>
  <c r="M936" i="137"/>
  <c r="S936" i="137" s="1"/>
  <c r="R940" i="1"/>
  <c r="M940" i="137"/>
  <c r="S940" i="137" s="1"/>
  <c r="R944" i="1"/>
  <c r="M944" i="137"/>
  <c r="S944" i="137" s="1"/>
  <c r="R948" i="1"/>
  <c r="M948" i="137"/>
  <c r="S948" i="137" s="1"/>
  <c r="R952" i="1"/>
  <c r="M952" i="137"/>
  <c r="S952" i="137" s="1"/>
  <c r="R956" i="1"/>
  <c r="M956" i="137"/>
  <c r="S956" i="137" s="1"/>
  <c r="R960" i="1"/>
  <c r="M960" i="137"/>
  <c r="S960" i="137" s="1"/>
  <c r="R964" i="1"/>
  <c r="M964" i="137"/>
  <c r="S964" i="137" s="1"/>
  <c r="R968" i="1"/>
  <c r="M968" i="137"/>
  <c r="S968" i="137" s="1"/>
  <c r="R972" i="1"/>
  <c r="M972" i="137"/>
  <c r="S972" i="137" s="1"/>
  <c r="R976" i="1"/>
  <c r="M976" i="137"/>
  <c r="S976" i="137" s="1"/>
  <c r="R980" i="1"/>
  <c r="M980" i="137"/>
  <c r="S980" i="137" s="1"/>
  <c r="R984" i="1"/>
  <c r="M984" i="137"/>
  <c r="S984" i="137" s="1"/>
  <c r="R988" i="1"/>
  <c r="M988" i="137"/>
  <c r="S988" i="137" s="1"/>
  <c r="R992" i="1"/>
  <c r="M992" i="137"/>
  <c r="S992" i="137" s="1"/>
  <c r="R996" i="1"/>
  <c r="M996" i="137"/>
  <c r="S996" i="137" s="1"/>
  <c r="R1000" i="1"/>
  <c r="M1000" i="137"/>
  <c r="S1000" i="137" s="1"/>
  <c r="R1004" i="1"/>
  <c r="M1004" i="137"/>
  <c r="S1004" i="137" s="1"/>
  <c r="R1008" i="1"/>
  <c r="M1008" i="137"/>
  <c r="S1008" i="137" s="1"/>
  <c r="R1012" i="1"/>
  <c r="M1012" i="137"/>
  <c r="S1012" i="137" s="1"/>
  <c r="R1016" i="1"/>
  <c r="M1016" i="137"/>
  <c r="S1016" i="137" s="1"/>
  <c r="R1020" i="1"/>
  <c r="M1020" i="137"/>
  <c r="S1020" i="137" s="1"/>
  <c r="R1024" i="1"/>
  <c r="M1024" i="137"/>
  <c r="S1024" i="137" s="1"/>
  <c r="R1028" i="1"/>
  <c r="M1028" i="137"/>
  <c r="S1028" i="137" s="1"/>
  <c r="R1032" i="1"/>
  <c r="M1032" i="137"/>
  <c r="S1032" i="137" s="1"/>
  <c r="R1036" i="1"/>
  <c r="M1036" i="137"/>
  <c r="S1036" i="137" s="1"/>
  <c r="R1040" i="1"/>
  <c r="M1040" i="137"/>
  <c r="S1040" i="137" s="1"/>
  <c r="R1044" i="1"/>
  <c r="M1044" i="137"/>
  <c r="S1044" i="137" s="1"/>
  <c r="R1048" i="1"/>
  <c r="M1048" i="137"/>
  <c r="S1048" i="137" s="1"/>
  <c r="R1052" i="1"/>
  <c r="M1052" i="137"/>
  <c r="S1052" i="137" s="1"/>
  <c r="R1056" i="1"/>
  <c r="M1056" i="137"/>
  <c r="S1056" i="137" s="1"/>
  <c r="R1060" i="1"/>
  <c r="M1060" i="137"/>
  <c r="S1060" i="137" s="1"/>
  <c r="R1064" i="1"/>
  <c r="M1064" i="137"/>
  <c r="S1064" i="137" s="1"/>
  <c r="R1068" i="1"/>
  <c r="M1068" i="137"/>
  <c r="S1068" i="137" s="1"/>
  <c r="R1072" i="1"/>
  <c r="M1072" i="137"/>
  <c r="S1072" i="137" s="1"/>
  <c r="R1076" i="1"/>
  <c r="M1076" i="137"/>
  <c r="S1076" i="137" s="1"/>
  <c r="R1080" i="1"/>
  <c r="M1080" i="137"/>
  <c r="S1080" i="137" s="1"/>
  <c r="R1084" i="1"/>
  <c r="M1084" i="137"/>
  <c r="S1084" i="137" s="1"/>
  <c r="R1088" i="1"/>
  <c r="M1088" i="137"/>
  <c r="S1088" i="137" s="1"/>
  <c r="R1092" i="1"/>
  <c r="M1092" i="137"/>
  <c r="S1092" i="137" s="1"/>
  <c r="R1096" i="1"/>
  <c r="M1096" i="137"/>
  <c r="S1096" i="137" s="1"/>
  <c r="R1100" i="1"/>
  <c r="M1100" i="137"/>
  <c r="S1100" i="137" s="1"/>
  <c r="R1104" i="1"/>
  <c r="M1104" i="137"/>
  <c r="S1104" i="137" s="1"/>
  <c r="R1108" i="1"/>
  <c r="M1108" i="137"/>
  <c r="S1108" i="137" s="1"/>
  <c r="R1112" i="1"/>
  <c r="M1112" i="137"/>
  <c r="S1112" i="137" s="1"/>
  <c r="R1116" i="1"/>
  <c r="M1116" i="137"/>
  <c r="S1116" i="137" s="1"/>
  <c r="R1120" i="1"/>
  <c r="M1120" i="137"/>
  <c r="S1120" i="137" s="1"/>
  <c r="R1124" i="1"/>
  <c r="M1124" i="137"/>
  <c r="S1124" i="137" s="1"/>
  <c r="R1128" i="1"/>
  <c r="M1128" i="137"/>
  <c r="S1128" i="137" s="1"/>
  <c r="R1132" i="1"/>
  <c r="M1132" i="137"/>
  <c r="S1132" i="137" s="1"/>
  <c r="R1136" i="1"/>
  <c r="M1136" i="137"/>
  <c r="S1136" i="137" s="1"/>
  <c r="R1140" i="1"/>
  <c r="M1140" i="137"/>
  <c r="S1140" i="137" s="1"/>
  <c r="R1144" i="1"/>
  <c r="M1144" i="137"/>
  <c r="S1144" i="137" s="1"/>
  <c r="R1148" i="1"/>
  <c r="M1148" i="137"/>
  <c r="S1148" i="137" s="1"/>
  <c r="R1152" i="1"/>
  <c r="M1152" i="137"/>
  <c r="S1152" i="137" s="1"/>
  <c r="R1156" i="1"/>
  <c r="M1156" i="137"/>
  <c r="S1156" i="137" s="1"/>
  <c r="R1160" i="1"/>
  <c r="M1160" i="137"/>
  <c r="S1160" i="137" s="1"/>
  <c r="R1164" i="1"/>
  <c r="M1164" i="137"/>
  <c r="S1164" i="137" s="1"/>
  <c r="R1168" i="1"/>
  <c r="M1168" i="137"/>
  <c r="S1168" i="137" s="1"/>
  <c r="R1172" i="1"/>
  <c r="M1172" i="137"/>
  <c r="S1172" i="137" s="1"/>
  <c r="R1176" i="1"/>
  <c r="M1176" i="137"/>
  <c r="S1176" i="137" s="1"/>
  <c r="R1180" i="1"/>
  <c r="M1180" i="137"/>
  <c r="S1180" i="137" s="1"/>
  <c r="R1184" i="1"/>
  <c r="M1184" i="137"/>
  <c r="S1184" i="137" s="1"/>
  <c r="R1188" i="1"/>
  <c r="M1188" i="137"/>
  <c r="S1188" i="137" s="1"/>
  <c r="R1192" i="1"/>
  <c r="M1192" i="137"/>
  <c r="S1192" i="137" s="1"/>
  <c r="R1196" i="1"/>
  <c r="M1196" i="137"/>
  <c r="S1196" i="137" s="1"/>
  <c r="R1200" i="1"/>
  <c r="M1200" i="137"/>
  <c r="S1200" i="137" s="1"/>
  <c r="R1204" i="1"/>
  <c r="M1204" i="137"/>
  <c r="S1204" i="137" s="1"/>
  <c r="R1208" i="1"/>
  <c r="M1208" i="137"/>
  <c r="S1208" i="137" s="1"/>
  <c r="R1212" i="1"/>
  <c r="M1212" i="137"/>
  <c r="S1212" i="137" s="1"/>
  <c r="R1216" i="1"/>
  <c r="M1216" i="137"/>
  <c r="S1216" i="137" s="1"/>
  <c r="R1220" i="1"/>
  <c r="M1220" i="137"/>
  <c r="S1220" i="137" s="1"/>
  <c r="R1224" i="1"/>
  <c r="M1224" i="137"/>
  <c r="S1224" i="137" s="1"/>
  <c r="R1228" i="1"/>
  <c r="M1228" i="137"/>
  <c r="S1228" i="137" s="1"/>
  <c r="R1232" i="1"/>
  <c r="M1232" i="137"/>
  <c r="S1232" i="137" s="1"/>
  <c r="R1236" i="1"/>
  <c r="M1236" i="137"/>
  <c r="S1236" i="137" s="1"/>
  <c r="R1240" i="1"/>
  <c r="M1240" i="137"/>
  <c r="S1240" i="137" s="1"/>
  <c r="R1244" i="1"/>
  <c r="M1244" i="137"/>
  <c r="S1244" i="137" s="1"/>
  <c r="R1248" i="1"/>
  <c r="R4" i="1"/>
  <c r="R5" i="1"/>
  <c r="R9" i="1"/>
  <c r="M9" i="137"/>
  <c r="S9" i="137" s="1"/>
  <c r="R13" i="1"/>
  <c r="M13" i="137"/>
  <c r="S13" i="137" s="1"/>
  <c r="R17" i="1"/>
  <c r="M17" i="137"/>
  <c r="S17" i="137" s="1"/>
  <c r="R21" i="1"/>
  <c r="M21" i="137"/>
  <c r="S21" i="137" s="1"/>
  <c r="R25" i="1"/>
  <c r="M25" i="137"/>
  <c r="S25" i="137" s="1"/>
  <c r="R33" i="1"/>
  <c r="R37" i="1"/>
  <c r="M37" i="137"/>
  <c r="S37" i="137" s="1"/>
  <c r="R41" i="1"/>
  <c r="M41" i="137"/>
  <c r="S41" i="137" s="1"/>
  <c r="R45" i="1"/>
  <c r="R49" i="1"/>
  <c r="M49" i="137"/>
  <c r="S49" i="137" s="1"/>
  <c r="R53" i="1"/>
  <c r="M53" i="137"/>
  <c r="S53" i="137" s="1"/>
  <c r="R57" i="1"/>
  <c r="M57" i="137"/>
  <c r="S57" i="137" s="1"/>
  <c r="R61" i="1"/>
  <c r="M61" i="137"/>
  <c r="S61" i="137" s="1"/>
  <c r="R65" i="1"/>
  <c r="M65" i="137"/>
  <c r="S65" i="137" s="1"/>
  <c r="R69" i="1"/>
  <c r="M69" i="137"/>
  <c r="S69" i="137" s="1"/>
  <c r="R73" i="1"/>
  <c r="R77" i="1"/>
  <c r="R81" i="1"/>
  <c r="M81" i="137"/>
  <c r="S81" i="137" s="1"/>
  <c r="R85" i="1"/>
  <c r="M85" i="137"/>
  <c r="S85" i="137" s="1"/>
  <c r="R89" i="1"/>
  <c r="M89" i="137"/>
  <c r="S89" i="137" s="1"/>
  <c r="R93" i="1"/>
  <c r="M93" i="137"/>
  <c r="S93" i="137" s="1"/>
  <c r="R97" i="1"/>
  <c r="M97" i="137"/>
  <c r="S97" i="137" s="1"/>
  <c r="R101" i="1"/>
  <c r="M101" i="137"/>
  <c r="S101" i="137" s="1"/>
  <c r="R105" i="1"/>
  <c r="M105" i="137"/>
  <c r="S105" i="137" s="1"/>
  <c r="R109" i="1"/>
  <c r="M109" i="137"/>
  <c r="S109" i="137" s="1"/>
  <c r="R121" i="1"/>
  <c r="M121" i="137"/>
  <c r="S121" i="137" s="1"/>
  <c r="R125" i="1"/>
  <c r="M125" i="137"/>
  <c r="S125" i="137" s="1"/>
  <c r="R129" i="1"/>
  <c r="M129" i="137"/>
  <c r="S129" i="137" s="1"/>
  <c r="R133" i="1"/>
  <c r="M133" i="137"/>
  <c r="S133" i="137" s="1"/>
  <c r="R145" i="1"/>
  <c r="M145" i="137"/>
  <c r="S145" i="137" s="1"/>
  <c r="R149" i="1"/>
  <c r="M149" i="137"/>
  <c r="S149" i="137" s="1"/>
  <c r="R153" i="1"/>
  <c r="M153" i="137"/>
  <c r="S153" i="137" s="1"/>
  <c r="R157" i="1"/>
  <c r="M157" i="137"/>
  <c r="S157" i="137" s="1"/>
  <c r="R161" i="1"/>
  <c r="M161" i="137"/>
  <c r="S161" i="137" s="1"/>
  <c r="R165" i="1"/>
  <c r="M165" i="137"/>
  <c r="S165" i="137" s="1"/>
  <c r="R169" i="1"/>
  <c r="R173" i="1"/>
  <c r="M173" i="137"/>
  <c r="S173" i="137" s="1"/>
  <c r="R177" i="1"/>
  <c r="R181" i="1"/>
  <c r="R185" i="1"/>
  <c r="R189" i="1"/>
  <c r="M189" i="137"/>
  <c r="S189" i="137" s="1"/>
  <c r="R193" i="1"/>
  <c r="M193" i="137"/>
  <c r="S193" i="137" s="1"/>
  <c r="R197" i="1"/>
  <c r="M197" i="137"/>
  <c r="S197" i="137" s="1"/>
  <c r="R201" i="1"/>
  <c r="M201" i="137"/>
  <c r="S201" i="137" s="1"/>
  <c r="R213" i="1"/>
  <c r="R217" i="1"/>
  <c r="M217" i="137"/>
  <c r="S217" i="137" s="1"/>
  <c r="R221" i="1"/>
  <c r="M221" i="137"/>
  <c r="S221" i="137" s="1"/>
  <c r="R225" i="1"/>
  <c r="M225" i="137"/>
  <c r="S225" i="137" s="1"/>
  <c r="R229" i="1"/>
  <c r="M229" i="137"/>
  <c r="S229" i="137" s="1"/>
  <c r="R233" i="1"/>
  <c r="M233" i="137"/>
  <c r="S233" i="137" s="1"/>
  <c r="R237" i="1"/>
  <c r="M237" i="137"/>
  <c r="S237" i="137" s="1"/>
  <c r="R241" i="1"/>
  <c r="M241" i="137"/>
  <c r="S241" i="137" s="1"/>
  <c r="R245" i="1"/>
  <c r="R249" i="1"/>
  <c r="M249" i="137"/>
  <c r="S249" i="137" s="1"/>
  <c r="R253" i="1"/>
  <c r="M253" i="137"/>
  <c r="S253" i="137" s="1"/>
  <c r="R257" i="1"/>
  <c r="M257" i="137"/>
  <c r="S257" i="137" s="1"/>
  <c r="R261" i="1"/>
  <c r="M261" i="137"/>
  <c r="S261" i="137" s="1"/>
  <c r="R265" i="1"/>
  <c r="M265" i="137"/>
  <c r="S265" i="137" s="1"/>
  <c r="R269" i="1"/>
  <c r="M269" i="137"/>
  <c r="S269" i="137" s="1"/>
  <c r="R273" i="1"/>
  <c r="M273" i="137"/>
  <c r="S273" i="137" s="1"/>
  <c r="R277" i="1"/>
  <c r="M277" i="137"/>
  <c r="S277" i="137" s="1"/>
  <c r="R281" i="1"/>
  <c r="M281" i="137"/>
  <c r="S281" i="137" s="1"/>
  <c r="R285" i="1"/>
  <c r="M285" i="137"/>
  <c r="S285" i="137" s="1"/>
  <c r="R289" i="1"/>
  <c r="M289" i="137"/>
  <c r="S289" i="137" s="1"/>
  <c r="R293" i="1"/>
  <c r="M293" i="137"/>
  <c r="S293" i="137" s="1"/>
  <c r="R297" i="1"/>
  <c r="M297" i="137"/>
  <c r="S297" i="137" s="1"/>
  <c r="R301" i="1"/>
  <c r="M301" i="137"/>
  <c r="S301" i="137" s="1"/>
  <c r="R305" i="1"/>
  <c r="M305" i="137"/>
  <c r="S305" i="137" s="1"/>
  <c r="R309" i="1"/>
  <c r="M309" i="137"/>
  <c r="S309" i="137" s="1"/>
  <c r="R317" i="1"/>
  <c r="M317" i="137"/>
  <c r="S317" i="137" s="1"/>
  <c r="R321" i="1"/>
  <c r="M321" i="137"/>
  <c r="S321" i="137" s="1"/>
  <c r="R329" i="1"/>
  <c r="M329" i="137"/>
  <c r="S329" i="137" s="1"/>
  <c r="R333" i="1"/>
  <c r="M333" i="137"/>
  <c r="S333" i="137" s="1"/>
  <c r="R337" i="1"/>
  <c r="M337" i="137"/>
  <c r="S337" i="137" s="1"/>
  <c r="R345" i="1"/>
  <c r="M345" i="137"/>
  <c r="S345" i="137" s="1"/>
  <c r="R349" i="1"/>
  <c r="M349" i="137"/>
  <c r="S349" i="137" s="1"/>
  <c r="R353" i="1"/>
  <c r="M353" i="137"/>
  <c r="S353" i="137" s="1"/>
  <c r="R357" i="1"/>
  <c r="M357" i="137"/>
  <c r="S357" i="137" s="1"/>
  <c r="R377" i="1"/>
  <c r="M377" i="137"/>
  <c r="S377" i="137" s="1"/>
  <c r="R381" i="1"/>
  <c r="M381" i="137"/>
  <c r="S381" i="137" s="1"/>
  <c r="R385" i="1"/>
  <c r="M385" i="137"/>
  <c r="S385" i="137" s="1"/>
  <c r="R389" i="1"/>
  <c r="M389" i="137"/>
  <c r="S389" i="137" s="1"/>
  <c r="R401" i="1"/>
  <c r="M401" i="137"/>
  <c r="S401" i="137" s="1"/>
  <c r="R405" i="1"/>
  <c r="M405" i="137"/>
  <c r="S405" i="137" s="1"/>
  <c r="R413" i="1"/>
  <c r="M413" i="137"/>
  <c r="S413" i="137" s="1"/>
  <c r="R417" i="1"/>
  <c r="M417" i="137"/>
  <c r="S417" i="137" s="1"/>
  <c r="R421" i="1"/>
  <c r="M421" i="137"/>
  <c r="S421" i="137" s="1"/>
  <c r="R425" i="1"/>
  <c r="M425" i="137"/>
  <c r="S425" i="137" s="1"/>
  <c r="R429" i="1"/>
  <c r="M429" i="137"/>
  <c r="S429" i="137" s="1"/>
  <c r="R433" i="1"/>
  <c r="R437" i="1"/>
  <c r="M437" i="137"/>
  <c r="S437" i="137" s="1"/>
  <c r="R441" i="1"/>
  <c r="M441" i="137"/>
  <c r="S441" i="137" s="1"/>
  <c r="R445" i="1"/>
  <c r="M445" i="137"/>
  <c r="S445" i="137" s="1"/>
  <c r="R449" i="1"/>
  <c r="M449" i="137"/>
  <c r="S449" i="137" s="1"/>
  <c r="R453" i="1"/>
  <c r="M453" i="137"/>
  <c r="S453" i="137" s="1"/>
  <c r="R457" i="1"/>
  <c r="M457" i="137"/>
  <c r="S457" i="137" s="1"/>
  <c r="R461" i="1"/>
  <c r="M461" i="137"/>
  <c r="S461" i="137" s="1"/>
  <c r="R465" i="1"/>
  <c r="M465" i="137"/>
  <c r="S465" i="137" s="1"/>
  <c r="R469" i="1"/>
  <c r="M469" i="137"/>
  <c r="S469" i="137" s="1"/>
  <c r="R473" i="1"/>
  <c r="M473" i="137"/>
  <c r="S473" i="137" s="1"/>
  <c r="R477" i="1"/>
  <c r="M477" i="137"/>
  <c r="S477" i="137" s="1"/>
  <c r="R481" i="1"/>
  <c r="M481" i="137"/>
  <c r="S481" i="137" s="1"/>
  <c r="R489" i="1"/>
  <c r="M489" i="137"/>
  <c r="S489" i="137" s="1"/>
  <c r="R493" i="1"/>
  <c r="M493" i="137"/>
  <c r="S493" i="137" s="1"/>
  <c r="R497" i="1"/>
  <c r="M497" i="137"/>
  <c r="S497" i="137" s="1"/>
  <c r="R513" i="1"/>
  <c r="M513" i="137"/>
  <c r="S513" i="137" s="1"/>
  <c r="R517" i="1"/>
  <c r="M517" i="137"/>
  <c r="S517" i="137" s="1"/>
  <c r="R525" i="1"/>
  <c r="M525" i="137"/>
  <c r="S525" i="137" s="1"/>
  <c r="R529" i="1"/>
  <c r="R533" i="1"/>
  <c r="M533" i="137"/>
  <c r="S533" i="137" s="1"/>
  <c r="R537" i="1"/>
  <c r="M537" i="137"/>
  <c r="S537" i="137" s="1"/>
  <c r="R541" i="1"/>
  <c r="M541" i="137"/>
  <c r="S541" i="137" s="1"/>
  <c r="R545" i="1"/>
  <c r="M545" i="137"/>
  <c r="S545" i="137" s="1"/>
  <c r="R553" i="1"/>
  <c r="M553" i="137"/>
  <c r="S553" i="137" s="1"/>
  <c r="R557" i="1"/>
  <c r="M557" i="137"/>
  <c r="S557" i="137" s="1"/>
  <c r="R561" i="1"/>
  <c r="M561" i="137"/>
  <c r="S561" i="137" s="1"/>
  <c r="R565" i="1"/>
  <c r="M565" i="137"/>
  <c r="S565" i="137" s="1"/>
  <c r="R573" i="1"/>
  <c r="M573" i="137"/>
  <c r="S573" i="137" s="1"/>
  <c r="R577" i="1"/>
  <c r="M577" i="137"/>
  <c r="S577" i="137" s="1"/>
  <c r="R581" i="1"/>
  <c r="M581" i="137"/>
  <c r="S581" i="137" s="1"/>
  <c r="R585" i="1"/>
  <c r="M585" i="137"/>
  <c r="S585" i="137" s="1"/>
  <c r="R597" i="1"/>
  <c r="M597" i="137"/>
  <c r="S597" i="137" s="1"/>
  <c r="R601" i="1"/>
  <c r="M601" i="137"/>
  <c r="S601" i="137" s="1"/>
  <c r="R605" i="1"/>
  <c r="M605" i="137"/>
  <c r="S605" i="137" s="1"/>
  <c r="R617" i="1"/>
  <c r="M617" i="137"/>
  <c r="S617" i="137" s="1"/>
  <c r="R621" i="1"/>
  <c r="M621" i="137"/>
  <c r="S621" i="137" s="1"/>
  <c r="R629" i="1"/>
  <c r="M629" i="137"/>
  <c r="S629" i="137" s="1"/>
  <c r="R633" i="1"/>
  <c r="M633" i="137"/>
  <c r="S633" i="137" s="1"/>
  <c r="R641" i="1"/>
  <c r="M641" i="137"/>
  <c r="S641" i="137" s="1"/>
  <c r="R645" i="1"/>
  <c r="M645" i="137"/>
  <c r="S645" i="137" s="1"/>
  <c r="R653" i="1"/>
  <c r="M653" i="137"/>
  <c r="S653" i="137" s="1"/>
  <c r="R657" i="1"/>
  <c r="M657" i="137"/>
  <c r="S657" i="137" s="1"/>
  <c r="R665" i="1"/>
  <c r="M665" i="137"/>
  <c r="S665" i="137" s="1"/>
  <c r="R673" i="1"/>
  <c r="M673" i="137"/>
  <c r="S673" i="137" s="1"/>
  <c r="R677" i="1"/>
  <c r="M677" i="137"/>
  <c r="S677" i="137" s="1"/>
  <c r="R685" i="1"/>
  <c r="M685" i="137"/>
  <c r="S685" i="137" s="1"/>
  <c r="R689" i="1"/>
  <c r="M689" i="137"/>
  <c r="S689" i="137" s="1"/>
  <c r="R693" i="1"/>
  <c r="M693" i="137"/>
  <c r="S693" i="137" s="1"/>
  <c r="R697" i="1"/>
  <c r="M697" i="137"/>
  <c r="S697" i="137" s="1"/>
  <c r="R701" i="1"/>
  <c r="M701" i="137"/>
  <c r="S701" i="137" s="1"/>
  <c r="R705" i="1"/>
  <c r="M705" i="137"/>
  <c r="S705" i="137" s="1"/>
  <c r="R709" i="1"/>
  <c r="M709" i="137"/>
  <c r="S709" i="137" s="1"/>
  <c r="R721" i="1"/>
  <c r="M721" i="137"/>
  <c r="S721" i="137" s="1"/>
  <c r="R729" i="1"/>
  <c r="M729" i="137"/>
  <c r="S729" i="137" s="1"/>
  <c r="R733" i="1"/>
  <c r="M733" i="137"/>
  <c r="S733" i="137" s="1"/>
  <c r="R741" i="1"/>
  <c r="M741" i="137"/>
  <c r="S741" i="137" s="1"/>
  <c r="R745" i="1"/>
  <c r="M745" i="137"/>
  <c r="S745" i="137" s="1"/>
  <c r="R749" i="1"/>
  <c r="M749" i="137"/>
  <c r="S749" i="137" s="1"/>
  <c r="R753" i="1"/>
  <c r="M753" i="137"/>
  <c r="S753" i="137" s="1"/>
  <c r="R757" i="1"/>
  <c r="M757" i="137"/>
  <c r="S757" i="137" s="1"/>
  <c r="R769" i="1"/>
  <c r="M769" i="137"/>
  <c r="S769" i="137" s="1"/>
  <c r="R773" i="1"/>
  <c r="M773" i="137"/>
  <c r="S773" i="137" s="1"/>
  <c r="R781" i="1"/>
  <c r="M781" i="137"/>
  <c r="S781" i="137" s="1"/>
  <c r="R789" i="1"/>
  <c r="M789" i="137"/>
  <c r="S789" i="137" s="1"/>
  <c r="R793" i="1"/>
  <c r="M793" i="137"/>
  <c r="S793" i="137" s="1"/>
  <c r="R801" i="1"/>
  <c r="M801" i="137"/>
  <c r="S801" i="137" s="1"/>
  <c r="R809" i="1"/>
  <c r="M809" i="137"/>
  <c r="S809" i="137" s="1"/>
  <c r="R817" i="1"/>
  <c r="M817" i="137"/>
  <c r="S817" i="137" s="1"/>
  <c r="R821" i="1"/>
  <c r="M821" i="137"/>
  <c r="S821" i="137" s="1"/>
  <c r="R825" i="1"/>
  <c r="M825" i="137"/>
  <c r="S825" i="137" s="1"/>
  <c r="R829" i="1"/>
  <c r="M829" i="137"/>
  <c r="S829" i="137" s="1"/>
  <c r="R833" i="1"/>
  <c r="R837" i="1"/>
  <c r="M837" i="137"/>
  <c r="S837" i="137" s="1"/>
  <c r="R841" i="1"/>
  <c r="M841" i="137"/>
  <c r="S841" i="137" s="1"/>
  <c r="R845" i="1"/>
  <c r="M845" i="137"/>
  <c r="S845" i="137" s="1"/>
  <c r="R849" i="1"/>
  <c r="M849" i="137"/>
  <c r="S849" i="137" s="1"/>
  <c r="R853" i="1"/>
  <c r="M853" i="137"/>
  <c r="S853" i="137" s="1"/>
  <c r="R857" i="1"/>
  <c r="M857" i="137"/>
  <c r="S857" i="137" s="1"/>
  <c r="R861" i="1"/>
  <c r="M861" i="137"/>
  <c r="S861" i="137" s="1"/>
  <c r="R865" i="1"/>
  <c r="M865" i="137"/>
  <c r="S865" i="137" s="1"/>
  <c r="R869" i="1"/>
  <c r="M869" i="137"/>
  <c r="S869" i="137" s="1"/>
  <c r="R873" i="1"/>
  <c r="M873" i="137"/>
  <c r="S873" i="137" s="1"/>
  <c r="R877" i="1"/>
  <c r="M877" i="137"/>
  <c r="S877" i="137" s="1"/>
  <c r="R881" i="1"/>
  <c r="M881" i="137"/>
  <c r="S881" i="137" s="1"/>
  <c r="R885" i="1"/>
  <c r="M885" i="137"/>
  <c r="S885" i="137" s="1"/>
  <c r="R889" i="1"/>
  <c r="M889" i="137"/>
  <c r="S889" i="137" s="1"/>
  <c r="R893" i="1"/>
  <c r="M893" i="137"/>
  <c r="S893" i="137" s="1"/>
  <c r="R897" i="1"/>
  <c r="M897" i="137"/>
  <c r="S897" i="137" s="1"/>
  <c r="R901" i="1"/>
  <c r="M901" i="137"/>
  <c r="S901" i="137" s="1"/>
  <c r="R905" i="1"/>
  <c r="M905" i="137"/>
  <c r="S905" i="137" s="1"/>
  <c r="R909" i="1"/>
  <c r="M909" i="137"/>
  <c r="S909" i="137" s="1"/>
  <c r="R913" i="1"/>
  <c r="M913" i="137"/>
  <c r="S913" i="137" s="1"/>
  <c r="R917" i="1"/>
  <c r="M917" i="137"/>
  <c r="S917" i="137" s="1"/>
  <c r="R921" i="1"/>
  <c r="M921" i="137"/>
  <c r="S921" i="137" s="1"/>
  <c r="R925" i="1"/>
  <c r="M925" i="137"/>
  <c r="S925" i="137" s="1"/>
  <c r="R929" i="1"/>
  <c r="M929" i="137"/>
  <c r="S929" i="137" s="1"/>
  <c r="R933" i="1"/>
  <c r="M933" i="137"/>
  <c r="S933" i="137" s="1"/>
  <c r="R937" i="1"/>
  <c r="M937" i="137"/>
  <c r="S937" i="137" s="1"/>
  <c r="R941" i="1"/>
  <c r="M941" i="137"/>
  <c r="S941" i="137" s="1"/>
  <c r="R945" i="1"/>
  <c r="M945" i="137"/>
  <c r="S945" i="137" s="1"/>
  <c r="R949" i="1"/>
  <c r="M949" i="137"/>
  <c r="S949" i="137" s="1"/>
  <c r="R953" i="1"/>
  <c r="M953" i="137"/>
  <c r="S953" i="137" s="1"/>
  <c r="R957" i="1"/>
  <c r="M957" i="137"/>
  <c r="S957" i="137" s="1"/>
  <c r="R961" i="1"/>
  <c r="M961" i="137"/>
  <c r="S961" i="137" s="1"/>
  <c r="R965" i="1"/>
  <c r="M965" i="137"/>
  <c r="S965" i="137" s="1"/>
  <c r="R969" i="1"/>
  <c r="M969" i="137"/>
  <c r="S969" i="137" s="1"/>
  <c r="R973" i="1"/>
  <c r="M973" i="137"/>
  <c r="S973" i="137" s="1"/>
  <c r="R977" i="1"/>
  <c r="M977" i="137"/>
  <c r="S977" i="137" s="1"/>
  <c r="R981" i="1"/>
  <c r="M981" i="137"/>
  <c r="S981" i="137" s="1"/>
  <c r="R985" i="1"/>
  <c r="M985" i="137"/>
  <c r="S985" i="137" s="1"/>
  <c r="R989" i="1"/>
  <c r="M989" i="137"/>
  <c r="S989" i="137" s="1"/>
  <c r="R993" i="1"/>
  <c r="M993" i="137"/>
  <c r="S993" i="137" s="1"/>
  <c r="R997" i="1"/>
  <c r="M997" i="137"/>
  <c r="S997" i="137" s="1"/>
  <c r="R1001" i="1"/>
  <c r="M1001" i="137"/>
  <c r="S1001" i="137" s="1"/>
  <c r="R1005" i="1"/>
  <c r="M1005" i="137"/>
  <c r="S1005" i="137" s="1"/>
  <c r="R1009" i="1"/>
  <c r="M1009" i="137"/>
  <c r="S1009" i="137" s="1"/>
  <c r="R1013" i="1"/>
  <c r="M1013" i="137"/>
  <c r="S1013" i="137" s="1"/>
  <c r="R1017" i="1"/>
  <c r="M1017" i="137"/>
  <c r="S1017" i="137" s="1"/>
  <c r="R1021" i="1"/>
  <c r="M1021" i="137"/>
  <c r="S1021" i="137" s="1"/>
  <c r="R1025" i="1"/>
  <c r="M1025" i="137"/>
  <c r="S1025" i="137" s="1"/>
  <c r="R1029" i="1"/>
  <c r="M1029" i="137"/>
  <c r="S1029" i="137" s="1"/>
  <c r="R1033" i="1"/>
  <c r="M1033" i="137"/>
  <c r="S1033" i="137" s="1"/>
  <c r="R1037" i="1"/>
  <c r="M1037" i="137"/>
  <c r="S1037" i="137" s="1"/>
  <c r="R1041" i="1"/>
  <c r="M1041" i="137"/>
  <c r="S1041" i="137" s="1"/>
  <c r="R1045" i="1"/>
  <c r="M1045" i="137"/>
  <c r="S1045" i="137" s="1"/>
  <c r="R1049" i="1"/>
  <c r="M1049" i="137"/>
  <c r="S1049" i="137" s="1"/>
  <c r="R1053" i="1"/>
  <c r="M1053" i="137"/>
  <c r="S1053" i="137" s="1"/>
  <c r="R1057" i="1"/>
  <c r="M1057" i="137"/>
  <c r="S1057" i="137" s="1"/>
  <c r="R1061" i="1"/>
  <c r="M1061" i="137"/>
  <c r="S1061" i="137" s="1"/>
  <c r="R1065" i="1"/>
  <c r="M1065" i="137"/>
  <c r="S1065" i="137" s="1"/>
  <c r="R1069" i="1"/>
  <c r="M1069" i="137"/>
  <c r="S1069" i="137" s="1"/>
  <c r="R1073" i="1"/>
  <c r="M1073" i="137"/>
  <c r="S1073" i="137" s="1"/>
  <c r="R1077" i="1"/>
  <c r="M1077" i="137"/>
  <c r="S1077" i="137" s="1"/>
  <c r="R1081" i="1"/>
  <c r="M1081" i="137"/>
  <c r="S1081" i="137" s="1"/>
  <c r="R1085" i="1"/>
  <c r="M1085" i="137"/>
  <c r="S1085" i="137" s="1"/>
  <c r="R1089" i="1"/>
  <c r="M1089" i="137"/>
  <c r="S1089" i="137" s="1"/>
  <c r="R1093" i="1"/>
  <c r="M1093" i="137"/>
  <c r="S1093" i="137" s="1"/>
  <c r="R1097" i="1"/>
  <c r="M1097" i="137"/>
  <c r="S1097" i="137" s="1"/>
  <c r="R1101" i="1"/>
  <c r="M1101" i="137"/>
  <c r="S1101" i="137" s="1"/>
  <c r="R1105" i="1"/>
  <c r="M1105" i="137"/>
  <c r="S1105" i="137" s="1"/>
  <c r="R1109" i="1"/>
  <c r="M1109" i="137"/>
  <c r="S1109" i="137" s="1"/>
  <c r="R1113" i="1"/>
  <c r="M1113" i="137"/>
  <c r="S1113" i="137" s="1"/>
  <c r="R1117" i="1"/>
  <c r="M1117" i="137"/>
  <c r="S1117" i="137" s="1"/>
  <c r="R1121" i="1"/>
  <c r="M1121" i="137"/>
  <c r="S1121" i="137" s="1"/>
  <c r="R1125" i="1"/>
  <c r="M1125" i="137"/>
  <c r="S1125" i="137" s="1"/>
  <c r="R1129" i="1"/>
  <c r="M1129" i="137"/>
  <c r="S1129" i="137" s="1"/>
  <c r="R1133" i="1"/>
  <c r="M1133" i="137"/>
  <c r="S1133" i="137" s="1"/>
  <c r="R1137" i="1"/>
  <c r="M1137" i="137"/>
  <c r="S1137" i="137" s="1"/>
  <c r="R1141" i="1"/>
  <c r="M1141" i="137"/>
  <c r="S1141" i="137" s="1"/>
  <c r="R1145" i="1"/>
  <c r="M1145" i="137"/>
  <c r="S1145" i="137" s="1"/>
  <c r="R1149" i="1"/>
  <c r="M1149" i="137"/>
  <c r="S1149" i="137" s="1"/>
  <c r="R1153" i="1"/>
  <c r="M1153" i="137"/>
  <c r="S1153" i="137" s="1"/>
  <c r="R1157" i="1"/>
  <c r="M1157" i="137"/>
  <c r="S1157" i="137" s="1"/>
  <c r="R1161" i="1"/>
  <c r="M1161" i="137"/>
  <c r="S1161" i="137" s="1"/>
  <c r="R1165" i="1"/>
  <c r="M1165" i="137"/>
  <c r="S1165" i="137" s="1"/>
  <c r="R1169" i="1"/>
  <c r="M1169" i="137"/>
  <c r="S1169" i="137" s="1"/>
  <c r="R1173" i="1"/>
  <c r="M1173" i="137"/>
  <c r="S1173" i="137" s="1"/>
  <c r="R1177" i="1"/>
  <c r="M1177" i="137"/>
  <c r="S1177" i="137" s="1"/>
  <c r="R1181" i="1"/>
  <c r="M1181" i="137"/>
  <c r="S1181" i="137" s="1"/>
  <c r="R1185" i="1"/>
  <c r="M1185" i="137"/>
  <c r="S1185" i="137" s="1"/>
  <c r="R1189" i="1"/>
  <c r="M1189" i="137"/>
  <c r="S1189" i="137" s="1"/>
  <c r="R1193" i="1"/>
  <c r="M1193" i="137"/>
  <c r="S1193" i="137" s="1"/>
  <c r="R1197" i="1"/>
  <c r="M1197" i="137"/>
  <c r="S1197" i="137" s="1"/>
  <c r="R1201" i="1"/>
  <c r="M1201" i="137"/>
  <c r="S1201" i="137" s="1"/>
  <c r="R1205" i="1"/>
  <c r="M1205" i="137"/>
  <c r="S1205" i="137" s="1"/>
  <c r="R1209" i="1"/>
  <c r="M1209" i="137"/>
  <c r="S1209" i="137" s="1"/>
  <c r="R1213" i="1"/>
  <c r="M1213" i="137"/>
  <c r="S1213" i="137" s="1"/>
  <c r="R1217" i="1"/>
  <c r="M1217" i="137"/>
  <c r="S1217" i="137" s="1"/>
  <c r="R1221" i="1"/>
  <c r="M1221" i="137"/>
  <c r="S1221" i="137" s="1"/>
  <c r="R1225" i="1"/>
  <c r="M1225" i="137"/>
  <c r="S1225" i="137" s="1"/>
  <c r="R1229" i="1"/>
  <c r="R1233" i="1"/>
  <c r="M1233" i="137"/>
  <c r="S1233" i="137" s="1"/>
  <c r="R1237" i="1"/>
  <c r="M1237" i="137"/>
  <c r="S1237" i="137" s="1"/>
  <c r="R1241" i="1"/>
  <c r="M1241" i="137"/>
  <c r="S1241" i="137" s="1"/>
  <c r="R1245" i="1"/>
  <c r="M1245" i="137"/>
  <c r="S1245" i="137" s="1"/>
  <c r="R1249" i="1"/>
  <c r="M1249" i="137"/>
  <c r="S1249" i="137" s="1"/>
  <c r="R1272" i="1" l="1"/>
  <c r="B1232" i="137"/>
  <c r="B1231" i="137"/>
  <c r="B1230" i="137"/>
  <c r="B1229" i="137"/>
  <c r="B1228" i="137"/>
  <c r="B1227" i="137"/>
  <c r="B1226" i="137"/>
  <c r="B1225" i="137"/>
  <c r="B1224" i="137"/>
  <c r="B1223" i="137"/>
  <c r="B1222" i="137"/>
  <c r="B1221" i="137"/>
  <c r="B1220" i="137"/>
  <c r="B1219" i="137"/>
  <c r="B1218" i="137"/>
  <c r="B1217" i="137"/>
  <c r="B1216" i="137"/>
  <c r="B1215" i="137"/>
  <c r="B1214" i="137"/>
  <c r="B1213" i="137"/>
  <c r="B1212" i="137"/>
  <c r="B1211" i="137"/>
  <c r="B1210" i="137"/>
  <c r="B1209" i="137"/>
  <c r="B1208" i="137"/>
  <c r="B1207" i="137"/>
  <c r="B1206" i="137"/>
  <c r="B1205" i="137"/>
  <c r="B1204" i="137"/>
  <c r="B1203" i="137"/>
  <c r="B1202" i="137"/>
  <c r="B1201" i="137"/>
  <c r="B1200" i="137"/>
  <c r="B1199" i="137"/>
  <c r="B1198" i="137"/>
  <c r="B1197" i="137"/>
  <c r="B1196" i="137"/>
  <c r="B1195" i="137"/>
  <c r="B1194" i="137"/>
  <c r="B1193" i="137"/>
  <c r="B1192" i="137"/>
  <c r="B1191" i="137"/>
  <c r="B1190" i="137"/>
  <c r="B1189" i="137"/>
  <c r="B1188" i="137"/>
  <c r="B1187" i="137"/>
  <c r="B1186" i="137"/>
  <c r="B1185" i="137"/>
  <c r="B1184" i="137"/>
  <c r="B1183" i="137"/>
  <c r="B1182" i="137"/>
  <c r="B1181" i="137"/>
  <c r="B1180" i="137"/>
  <c r="B1179" i="137"/>
  <c r="B1178" i="137"/>
  <c r="B1177" i="137"/>
  <c r="B1176" i="137"/>
  <c r="B1175" i="137"/>
  <c r="B1174" i="137"/>
  <c r="B1173" i="137"/>
  <c r="B1172" i="137"/>
  <c r="B1171" i="137"/>
  <c r="B1170" i="137"/>
  <c r="B1169" i="137"/>
  <c r="B1168" i="137"/>
  <c r="B1167" i="137"/>
  <c r="B1166" i="137"/>
  <c r="B1165" i="137"/>
  <c r="B1164" i="137"/>
  <c r="B1163" i="137"/>
  <c r="B1162" i="137"/>
  <c r="B1161" i="137"/>
  <c r="B1160" i="137"/>
  <c r="B1159" i="137"/>
  <c r="B1158" i="137"/>
  <c r="B1157" i="137"/>
  <c r="B1156" i="137"/>
  <c r="B1155" i="137"/>
  <c r="B1154" i="137"/>
  <c r="B1153" i="137"/>
  <c r="B1152" i="137"/>
  <c r="B1151" i="137"/>
  <c r="B1150" i="137"/>
  <c r="B1149" i="137"/>
  <c r="B1148" i="137"/>
  <c r="B1147" i="137"/>
  <c r="B1146" i="137"/>
  <c r="B1145" i="137"/>
  <c r="B1144" i="137"/>
  <c r="B1143" i="137"/>
  <c r="B1142" i="137"/>
  <c r="B1141" i="137"/>
  <c r="B1140" i="137"/>
  <c r="B1139" i="137"/>
  <c r="B1138" i="137"/>
  <c r="B1137" i="137"/>
  <c r="B1136" i="137"/>
  <c r="B1135" i="137"/>
  <c r="B1134" i="137"/>
  <c r="B1133" i="137"/>
  <c r="B1132" i="137"/>
  <c r="B1131" i="137"/>
  <c r="B1130" i="137"/>
  <c r="B1129" i="137"/>
  <c r="B1128" i="137"/>
  <c r="B1127" i="137"/>
  <c r="B1126" i="137"/>
  <c r="B1125" i="137"/>
  <c r="B1124" i="137"/>
  <c r="B1123" i="137"/>
  <c r="B1122" i="137"/>
  <c r="B1121" i="137"/>
  <c r="B1120" i="137"/>
  <c r="B1119" i="137"/>
  <c r="B1118" i="137"/>
  <c r="B1117" i="137"/>
  <c r="B1116" i="137"/>
  <c r="B1115" i="137"/>
  <c r="B1114" i="137"/>
  <c r="B1113" i="137"/>
  <c r="B1112" i="137"/>
  <c r="B1111" i="137"/>
  <c r="B1110" i="137"/>
  <c r="B1109" i="137"/>
  <c r="B1108" i="137"/>
  <c r="B1107" i="137"/>
  <c r="B1106" i="137"/>
  <c r="B1105" i="137"/>
  <c r="B1104" i="137"/>
  <c r="B1103" i="137"/>
  <c r="B1102" i="137"/>
  <c r="B1101" i="137"/>
  <c r="B1100" i="137"/>
  <c r="B1099" i="137"/>
  <c r="B1098" i="137"/>
  <c r="B1097" i="137"/>
  <c r="B1096" i="137"/>
  <c r="B1095" i="137"/>
  <c r="B1094" i="137"/>
  <c r="B1093" i="137"/>
  <c r="B1092" i="137"/>
  <c r="B1091" i="137"/>
  <c r="B1090" i="137"/>
  <c r="B1089" i="137"/>
  <c r="B1088" i="137"/>
  <c r="B1087" i="137"/>
  <c r="B1086" i="137"/>
  <c r="B1085" i="137"/>
  <c r="B1084" i="137"/>
  <c r="B1083" i="137"/>
  <c r="B1082" i="137"/>
  <c r="B1081" i="137"/>
  <c r="B1080" i="137"/>
  <c r="B1079" i="137"/>
  <c r="B1078" i="137"/>
  <c r="B1077" i="137"/>
  <c r="B1076" i="137"/>
  <c r="B1075" i="137"/>
  <c r="B1074" i="137"/>
  <c r="B1073" i="137"/>
  <c r="B1072" i="137"/>
  <c r="B1071" i="137"/>
  <c r="B1070" i="137"/>
  <c r="B1069" i="137"/>
  <c r="B1068" i="137"/>
  <c r="B1067" i="137"/>
  <c r="B1066" i="137"/>
  <c r="B1065" i="137"/>
  <c r="B1064" i="137"/>
  <c r="B1063" i="137"/>
  <c r="B1062" i="137"/>
  <c r="B1061" i="137"/>
  <c r="B1060" i="137"/>
  <c r="B1059" i="137"/>
  <c r="B1058" i="137"/>
  <c r="B1057" i="137"/>
  <c r="B1056" i="137"/>
  <c r="B1055" i="137"/>
  <c r="B1054" i="137"/>
  <c r="B1053" i="137"/>
  <c r="B1052" i="137"/>
  <c r="B1051" i="137"/>
  <c r="B1050" i="137"/>
  <c r="B1049" i="137"/>
  <c r="B1048" i="137"/>
  <c r="B1047" i="137"/>
  <c r="B1046" i="137"/>
  <c r="B1045" i="137"/>
  <c r="B1044" i="137"/>
  <c r="B1043" i="137"/>
  <c r="B1042" i="137"/>
  <c r="B1041" i="137"/>
  <c r="B1040" i="137"/>
  <c r="B1039" i="137"/>
  <c r="B1038" i="137"/>
  <c r="B1037" i="137"/>
  <c r="B1036" i="137"/>
  <c r="B1035" i="137"/>
  <c r="B1034" i="137"/>
  <c r="B1033" i="137"/>
  <c r="B1032" i="137"/>
  <c r="B1031" i="137"/>
  <c r="B1030" i="137"/>
  <c r="B1029" i="137"/>
  <c r="B1028" i="137"/>
  <c r="B1027" i="137"/>
  <c r="B1026" i="137"/>
  <c r="B1025" i="137"/>
  <c r="B1024" i="137"/>
  <c r="B1023" i="137"/>
  <c r="B1022" i="137"/>
  <c r="B1021" i="137"/>
  <c r="B1020" i="137"/>
  <c r="B1019" i="137"/>
  <c r="B1018" i="137"/>
  <c r="B1017" i="137"/>
  <c r="B1016" i="137"/>
  <c r="B1015" i="137"/>
  <c r="B1014" i="137"/>
  <c r="B1013" i="137"/>
  <c r="B1012" i="137"/>
  <c r="B1011" i="137"/>
  <c r="B1010" i="137"/>
  <c r="B1009" i="137"/>
  <c r="B1008" i="137"/>
  <c r="B1007" i="137"/>
  <c r="B1006" i="137"/>
  <c r="B1005" i="137"/>
  <c r="B1004" i="137"/>
  <c r="B1003" i="137"/>
  <c r="B1002" i="137"/>
  <c r="B1001" i="137"/>
  <c r="B1000" i="137"/>
  <c r="B999" i="137"/>
  <c r="B998" i="137"/>
  <c r="B997" i="137"/>
  <c r="B996" i="137"/>
  <c r="B995" i="137"/>
  <c r="B994" i="137"/>
  <c r="B993" i="137"/>
  <c r="B992" i="137"/>
  <c r="B991" i="137"/>
  <c r="B990" i="137"/>
  <c r="B989" i="137"/>
  <c r="B988" i="137"/>
  <c r="B987" i="137"/>
  <c r="B986" i="137"/>
  <c r="B985" i="137"/>
  <c r="B984" i="137"/>
  <c r="B983" i="137"/>
  <c r="B982" i="137"/>
  <c r="B981" i="137"/>
  <c r="B980" i="137"/>
  <c r="B979" i="137"/>
  <c r="B978" i="137"/>
  <c r="B977" i="137"/>
  <c r="B976" i="137"/>
  <c r="B975" i="137"/>
  <c r="B974" i="137"/>
  <c r="B973" i="137"/>
  <c r="B972" i="137"/>
  <c r="B971" i="137"/>
  <c r="B970" i="137"/>
  <c r="B969" i="137"/>
  <c r="B968" i="137"/>
  <c r="B967" i="137"/>
  <c r="B966" i="137"/>
  <c r="B965" i="137"/>
  <c r="B964" i="137"/>
  <c r="B963" i="137"/>
  <c r="B962" i="137"/>
  <c r="B961" i="137"/>
  <c r="B960" i="137"/>
  <c r="B959" i="137"/>
  <c r="B958" i="137"/>
  <c r="B957" i="137"/>
  <c r="B956" i="137"/>
  <c r="B955" i="137"/>
  <c r="B954" i="137"/>
  <c r="B953" i="137"/>
  <c r="B952" i="137"/>
  <c r="B951" i="137"/>
  <c r="B950" i="137"/>
  <c r="B949" i="137"/>
  <c r="B948" i="137"/>
  <c r="B947" i="137"/>
  <c r="B946" i="137"/>
  <c r="B945" i="137"/>
  <c r="B944" i="137"/>
  <c r="B943" i="137"/>
  <c r="B942" i="137"/>
  <c r="B941" i="137"/>
  <c r="B940" i="137"/>
  <c r="B939" i="137"/>
  <c r="B938" i="137"/>
  <c r="B937" i="137"/>
  <c r="B936" i="137"/>
  <c r="B935" i="137"/>
  <c r="B934" i="137"/>
  <c r="B933" i="137"/>
  <c r="B932" i="137"/>
  <c r="B931" i="137"/>
  <c r="B930" i="137"/>
  <c r="B929" i="137"/>
  <c r="B928" i="137"/>
  <c r="B927" i="137"/>
  <c r="B926" i="137"/>
  <c r="B925" i="137"/>
  <c r="B924" i="137"/>
  <c r="B923" i="137"/>
  <c r="B922" i="137"/>
  <c r="B921" i="137"/>
  <c r="B920" i="137"/>
  <c r="B919" i="137"/>
  <c r="B918" i="137"/>
  <c r="B917" i="137"/>
  <c r="B916" i="137"/>
  <c r="B915" i="137"/>
  <c r="B914" i="137"/>
  <c r="B913" i="137"/>
  <c r="B912" i="137"/>
  <c r="B911" i="137"/>
  <c r="B910" i="137"/>
  <c r="B909" i="137"/>
  <c r="B908" i="137"/>
  <c r="B907" i="137"/>
  <c r="B906" i="137"/>
  <c r="B905" i="137"/>
  <c r="B904" i="137"/>
  <c r="B903" i="137"/>
  <c r="B902" i="137"/>
  <c r="B901" i="137"/>
  <c r="B900" i="137"/>
  <c r="B899" i="137"/>
  <c r="B898" i="137"/>
  <c r="B897" i="137"/>
  <c r="B896" i="137"/>
  <c r="B895" i="137"/>
  <c r="B894" i="137"/>
  <c r="B893" i="137"/>
  <c r="B892" i="137"/>
  <c r="B891" i="137"/>
  <c r="B890" i="137"/>
  <c r="B889" i="137"/>
  <c r="B888" i="137"/>
  <c r="B887" i="137"/>
  <c r="B886" i="137"/>
  <c r="B885" i="137"/>
  <c r="B884" i="137"/>
  <c r="B883" i="137"/>
  <c r="B882" i="137"/>
  <c r="B881" i="137"/>
  <c r="B880" i="137"/>
  <c r="B879" i="137"/>
  <c r="B878" i="137"/>
  <c r="B877" i="137"/>
  <c r="B876" i="137"/>
  <c r="B875" i="137"/>
  <c r="B874" i="137"/>
  <c r="B873" i="137"/>
  <c r="B872" i="137"/>
  <c r="B871" i="137"/>
  <c r="B870" i="137"/>
  <c r="B869" i="137"/>
  <c r="B868" i="137"/>
  <c r="B867" i="137"/>
  <c r="B866" i="137"/>
  <c r="B865" i="137"/>
  <c r="B864" i="137"/>
  <c r="B863" i="137"/>
  <c r="B862" i="137"/>
  <c r="B861" i="137"/>
  <c r="B860" i="137"/>
  <c r="B859" i="137"/>
  <c r="B858" i="137"/>
  <c r="B857" i="137"/>
  <c r="B856" i="137"/>
  <c r="B855" i="137"/>
  <c r="B854" i="137"/>
  <c r="B853" i="137"/>
  <c r="B852" i="137"/>
  <c r="B851" i="137"/>
  <c r="B850" i="137"/>
  <c r="B849" i="137"/>
  <c r="B848" i="137"/>
  <c r="B847" i="137"/>
  <c r="B846" i="137"/>
  <c r="B845" i="137"/>
  <c r="B844" i="137"/>
  <c r="B843" i="137"/>
  <c r="B842" i="137"/>
  <c r="B841" i="137"/>
  <c r="B840" i="137"/>
  <c r="B839" i="137"/>
  <c r="B838" i="137"/>
  <c r="B837" i="137"/>
  <c r="B836" i="137"/>
  <c r="B835" i="137"/>
  <c r="B834" i="137"/>
  <c r="B833" i="137"/>
  <c r="B832" i="137"/>
  <c r="B831" i="137"/>
  <c r="B830" i="137"/>
  <c r="B829" i="137"/>
  <c r="B828" i="137"/>
  <c r="B827" i="137"/>
  <c r="B826" i="137"/>
  <c r="B825" i="137"/>
  <c r="B824" i="137"/>
  <c r="B823" i="137"/>
  <c r="B822" i="137"/>
  <c r="B821" i="137"/>
  <c r="B820" i="137"/>
  <c r="B819" i="137"/>
  <c r="B818" i="137"/>
  <c r="B817" i="137"/>
  <c r="B816" i="137"/>
  <c r="B815" i="137"/>
  <c r="B814" i="137"/>
  <c r="B813" i="137"/>
  <c r="B812" i="137"/>
  <c r="B811" i="137"/>
  <c r="B810" i="137"/>
  <c r="B809" i="137"/>
  <c r="B808" i="137"/>
  <c r="B807" i="137"/>
  <c r="B806" i="137"/>
  <c r="B805" i="137"/>
  <c r="B804" i="137"/>
  <c r="B803" i="137"/>
  <c r="B802" i="137"/>
  <c r="B801" i="137"/>
  <c r="B800" i="137"/>
  <c r="B799" i="137"/>
  <c r="B798" i="137"/>
  <c r="B797" i="137"/>
  <c r="B796" i="137"/>
  <c r="B795" i="137"/>
  <c r="B794" i="137"/>
  <c r="B793" i="137"/>
  <c r="B792" i="137"/>
  <c r="B791" i="137"/>
  <c r="B790" i="137"/>
  <c r="B789" i="137"/>
  <c r="B788" i="137"/>
  <c r="B787" i="137"/>
  <c r="B786" i="137"/>
  <c r="B785" i="137"/>
  <c r="B784" i="137"/>
  <c r="B783" i="137"/>
  <c r="B782" i="137"/>
  <c r="B781" i="137"/>
  <c r="B780" i="137"/>
  <c r="B779" i="137"/>
  <c r="B778" i="137"/>
  <c r="B777" i="137"/>
  <c r="B776" i="137"/>
  <c r="B775" i="137"/>
  <c r="B774" i="137"/>
  <c r="B773" i="137"/>
  <c r="B772" i="137"/>
  <c r="B771" i="137"/>
  <c r="B770" i="137"/>
  <c r="B769" i="137"/>
  <c r="B768" i="137"/>
  <c r="B767" i="137"/>
  <c r="B766" i="137"/>
  <c r="B765" i="137"/>
  <c r="B764" i="137"/>
  <c r="B763" i="137"/>
  <c r="B762" i="137"/>
  <c r="B761" i="137"/>
  <c r="B760" i="137"/>
  <c r="B759" i="137"/>
  <c r="B758" i="137"/>
  <c r="B757" i="137"/>
  <c r="B756" i="137"/>
  <c r="B755" i="137"/>
  <c r="B754" i="137"/>
  <c r="B753" i="137"/>
  <c r="B752" i="137"/>
  <c r="B751" i="137"/>
  <c r="B750" i="137"/>
  <c r="B749" i="137"/>
  <c r="B748" i="137"/>
  <c r="B747" i="137"/>
  <c r="B746" i="137"/>
  <c r="B745" i="137"/>
  <c r="B744" i="137"/>
  <c r="B743" i="137"/>
  <c r="B742" i="137"/>
  <c r="B741" i="137"/>
  <c r="B740" i="137"/>
  <c r="B739" i="137"/>
  <c r="B738" i="137"/>
  <c r="B737" i="137"/>
  <c r="B736" i="137"/>
  <c r="B735" i="137"/>
  <c r="B734" i="137"/>
  <c r="B733" i="137"/>
  <c r="B732" i="137"/>
  <c r="B731" i="137"/>
  <c r="B730" i="137"/>
  <c r="B729" i="137"/>
  <c r="B728" i="137"/>
  <c r="B727" i="137"/>
  <c r="B726" i="137"/>
  <c r="B725" i="137"/>
  <c r="B724" i="137"/>
  <c r="B723" i="137"/>
  <c r="B722" i="137"/>
  <c r="B721" i="137"/>
  <c r="B720" i="137"/>
  <c r="B719" i="137"/>
  <c r="B718" i="137"/>
  <c r="B717" i="137"/>
  <c r="B716" i="137"/>
  <c r="B715" i="137"/>
  <c r="B714" i="137"/>
  <c r="B713" i="137"/>
  <c r="B712" i="137"/>
  <c r="B711" i="137"/>
  <c r="B710" i="137"/>
  <c r="B709" i="137"/>
  <c r="B708" i="137"/>
  <c r="B707" i="137"/>
  <c r="B706" i="137"/>
  <c r="B705" i="137"/>
  <c r="B704" i="137"/>
  <c r="B703" i="137"/>
  <c r="B702" i="137"/>
  <c r="B701" i="137"/>
  <c r="B700" i="137"/>
  <c r="B699" i="137"/>
  <c r="B698" i="137"/>
  <c r="B697" i="137"/>
  <c r="B696" i="137"/>
  <c r="B695" i="137"/>
  <c r="B694" i="137"/>
  <c r="B693" i="137"/>
  <c r="B692" i="137"/>
  <c r="B691" i="137"/>
  <c r="B690" i="137"/>
  <c r="B689" i="137"/>
  <c r="B688" i="137"/>
  <c r="B687" i="137"/>
  <c r="B686" i="137"/>
  <c r="B685" i="137"/>
  <c r="B684" i="137"/>
  <c r="B683" i="137"/>
  <c r="B682" i="137"/>
  <c r="B681" i="137"/>
  <c r="B680" i="137"/>
  <c r="B679" i="137"/>
  <c r="B678" i="137"/>
  <c r="B677" i="137"/>
  <c r="B676" i="137"/>
  <c r="B675" i="137"/>
  <c r="B674" i="137"/>
  <c r="B673" i="137"/>
  <c r="B672" i="137"/>
  <c r="B671" i="137"/>
  <c r="B670" i="137"/>
  <c r="B669" i="137"/>
  <c r="B668" i="137"/>
  <c r="B667" i="137"/>
  <c r="B666" i="137"/>
  <c r="B665" i="137"/>
  <c r="B664" i="137"/>
  <c r="B663" i="137"/>
  <c r="B662" i="137"/>
  <c r="B661" i="137"/>
  <c r="B660" i="137"/>
  <c r="B659" i="137"/>
  <c r="B658" i="137"/>
  <c r="B657" i="137"/>
  <c r="B656" i="137"/>
  <c r="B655" i="137"/>
  <c r="B654" i="137"/>
  <c r="B653" i="137"/>
  <c r="B652" i="137"/>
  <c r="B651" i="137"/>
  <c r="B650" i="137"/>
  <c r="B649" i="137"/>
  <c r="B648" i="137"/>
  <c r="B647" i="137"/>
  <c r="B646" i="137"/>
  <c r="B645" i="137"/>
  <c r="B644" i="137"/>
  <c r="B643" i="137"/>
  <c r="B642" i="137"/>
  <c r="B641" i="137"/>
  <c r="B640" i="137"/>
  <c r="B639" i="137"/>
  <c r="B638" i="137"/>
  <c r="B637" i="137"/>
  <c r="B636" i="137"/>
  <c r="B635" i="137"/>
  <c r="B634" i="137"/>
  <c r="B633" i="137"/>
  <c r="B632" i="137"/>
  <c r="B631" i="137"/>
  <c r="B630" i="137"/>
  <c r="B629" i="137"/>
  <c r="B628" i="137"/>
  <c r="B627" i="137"/>
  <c r="B626" i="137"/>
  <c r="B625" i="137"/>
  <c r="B624" i="137"/>
  <c r="B623" i="137"/>
  <c r="B622" i="137"/>
  <c r="B621" i="137"/>
  <c r="B620" i="137"/>
  <c r="B619" i="137"/>
  <c r="B618" i="137"/>
  <c r="B617" i="137"/>
  <c r="B616" i="137"/>
  <c r="B615" i="137"/>
  <c r="B614" i="137"/>
  <c r="B613" i="137"/>
  <c r="B612" i="137"/>
  <c r="B611" i="137"/>
  <c r="B610" i="137"/>
  <c r="B609" i="137"/>
  <c r="B608" i="137"/>
  <c r="B607" i="137"/>
  <c r="B606" i="137"/>
  <c r="B605" i="137"/>
  <c r="B604" i="137"/>
  <c r="B603" i="137"/>
  <c r="B602" i="137"/>
  <c r="B601" i="137"/>
  <c r="B600" i="137"/>
  <c r="B599" i="137"/>
  <c r="B598" i="137"/>
  <c r="B597" i="137"/>
  <c r="B596" i="137"/>
  <c r="B595" i="137"/>
  <c r="B594" i="137"/>
  <c r="B593" i="137"/>
  <c r="B592" i="137"/>
  <c r="B591" i="137"/>
  <c r="B590" i="137"/>
  <c r="B589" i="137"/>
  <c r="B588" i="137"/>
  <c r="B587" i="137"/>
  <c r="B586" i="137"/>
  <c r="B585" i="137"/>
  <c r="B584" i="137"/>
  <c r="B583" i="137"/>
  <c r="B582" i="137"/>
  <c r="B581" i="137"/>
  <c r="B580" i="137"/>
  <c r="B579" i="137"/>
  <c r="B578" i="137"/>
  <c r="B577" i="137"/>
  <c r="B576" i="137"/>
  <c r="B575" i="137"/>
  <c r="B574" i="137"/>
  <c r="B573" i="137"/>
  <c r="B572" i="137"/>
  <c r="B571" i="137"/>
  <c r="B570" i="137"/>
  <c r="B569" i="137"/>
  <c r="B568" i="137"/>
  <c r="B567" i="137"/>
  <c r="B566" i="137"/>
  <c r="B565" i="137"/>
  <c r="B564" i="137"/>
  <c r="B563" i="137"/>
  <c r="B562" i="137"/>
  <c r="B561" i="137"/>
  <c r="B560" i="137"/>
  <c r="B559" i="137"/>
  <c r="B558" i="137"/>
  <c r="B557" i="137"/>
  <c r="B556" i="137"/>
  <c r="B555" i="137"/>
  <c r="B554" i="137"/>
  <c r="B553" i="137"/>
  <c r="B552" i="137"/>
  <c r="B551" i="137"/>
  <c r="B550" i="137"/>
  <c r="B549" i="137"/>
  <c r="B548" i="137"/>
  <c r="B547" i="137"/>
  <c r="B546" i="137"/>
  <c r="B545" i="137"/>
  <c r="B544" i="137"/>
  <c r="B543" i="137"/>
  <c r="B542" i="137"/>
  <c r="B541" i="137"/>
  <c r="B540" i="137"/>
  <c r="B539" i="137"/>
  <c r="B538" i="137"/>
  <c r="B537" i="137"/>
  <c r="B536" i="137"/>
  <c r="B535" i="137"/>
  <c r="B534" i="137"/>
  <c r="B533" i="137"/>
  <c r="B532" i="137"/>
  <c r="B531" i="137"/>
  <c r="B530" i="137"/>
  <c r="B529" i="137"/>
  <c r="B528" i="137"/>
  <c r="B527" i="137"/>
  <c r="B526" i="137"/>
  <c r="B525" i="137"/>
  <c r="B524" i="137"/>
  <c r="B523" i="137"/>
  <c r="B522" i="137"/>
  <c r="B521" i="137"/>
  <c r="B520" i="137"/>
  <c r="B519" i="137"/>
  <c r="B518" i="137"/>
  <c r="B517" i="137"/>
  <c r="B516" i="137"/>
  <c r="B515" i="137"/>
  <c r="B514" i="137"/>
  <c r="B513" i="137"/>
  <c r="B512" i="137"/>
  <c r="B511" i="137"/>
  <c r="B510" i="137"/>
  <c r="B509" i="137"/>
  <c r="B508" i="137"/>
  <c r="B507" i="137"/>
  <c r="B506" i="137"/>
  <c r="B505" i="137"/>
  <c r="B504" i="137"/>
  <c r="B503" i="137"/>
  <c r="B502" i="137"/>
  <c r="B501" i="137"/>
  <c r="B500" i="137"/>
  <c r="B499" i="137"/>
  <c r="B498" i="137"/>
  <c r="B497" i="137"/>
  <c r="B496" i="137"/>
  <c r="B495" i="137"/>
  <c r="B494" i="137"/>
  <c r="B493" i="137"/>
  <c r="B492" i="137"/>
  <c r="B491" i="137"/>
  <c r="B490" i="137"/>
  <c r="B489" i="137"/>
  <c r="B488" i="137"/>
  <c r="B487" i="137"/>
  <c r="B486" i="137"/>
  <c r="B485" i="137"/>
  <c r="B484" i="137"/>
  <c r="B483" i="137"/>
  <c r="B482" i="137"/>
  <c r="B481" i="137"/>
  <c r="B480" i="137"/>
  <c r="B479" i="137"/>
  <c r="B478" i="137"/>
  <c r="B477" i="137"/>
  <c r="B476" i="137"/>
  <c r="B475" i="137"/>
  <c r="B474" i="137"/>
  <c r="B473" i="137"/>
  <c r="B472" i="137"/>
  <c r="B471" i="137"/>
  <c r="B470" i="137"/>
  <c r="B469" i="137"/>
  <c r="B468" i="137"/>
  <c r="B467" i="137"/>
  <c r="B466" i="137"/>
  <c r="B465" i="137"/>
  <c r="B464" i="137"/>
  <c r="B463" i="137"/>
  <c r="B462" i="137"/>
  <c r="B461" i="137"/>
  <c r="B460" i="137"/>
  <c r="B459" i="137"/>
  <c r="B458" i="137"/>
  <c r="B457" i="137"/>
  <c r="B456" i="137"/>
  <c r="B455" i="137"/>
  <c r="B454" i="137"/>
  <c r="B453" i="137"/>
  <c r="B452" i="137"/>
  <c r="B451" i="137"/>
  <c r="B450" i="137"/>
  <c r="B449" i="137"/>
  <c r="B448" i="137"/>
  <c r="B447" i="137"/>
  <c r="B446" i="137"/>
  <c r="B445" i="137"/>
  <c r="B444" i="137"/>
  <c r="B443" i="137"/>
  <c r="B442" i="137"/>
  <c r="B441" i="137"/>
  <c r="B440" i="137"/>
  <c r="B439" i="137"/>
  <c r="B438" i="137"/>
  <c r="B437" i="137"/>
  <c r="B436" i="137"/>
  <c r="B435" i="137"/>
  <c r="B434" i="137"/>
  <c r="B433" i="137"/>
  <c r="B432" i="137"/>
  <c r="B431" i="137"/>
  <c r="B430" i="137"/>
  <c r="B429" i="137"/>
  <c r="B428" i="137"/>
  <c r="B427" i="137"/>
  <c r="B426" i="137"/>
  <c r="B425" i="137"/>
  <c r="B424" i="137"/>
  <c r="B423" i="137"/>
  <c r="B422" i="137"/>
  <c r="B421" i="137"/>
  <c r="B420" i="137"/>
  <c r="B419" i="137"/>
  <c r="B418" i="137"/>
  <c r="B417" i="137"/>
  <c r="B416" i="137"/>
  <c r="B415" i="137"/>
  <c r="B414" i="137"/>
  <c r="B413" i="137"/>
  <c r="B412" i="137"/>
  <c r="B411" i="137"/>
  <c r="B410" i="137"/>
  <c r="B409" i="137"/>
  <c r="B408" i="137"/>
  <c r="B407" i="137"/>
  <c r="B406" i="137"/>
  <c r="B405" i="137"/>
  <c r="B404" i="137"/>
  <c r="B403" i="137"/>
  <c r="B402" i="137"/>
  <c r="B401" i="137"/>
  <c r="B400" i="137"/>
  <c r="B399" i="137"/>
  <c r="B398" i="137"/>
  <c r="B397" i="137"/>
  <c r="B396" i="137"/>
  <c r="B395" i="137"/>
  <c r="B394" i="137"/>
  <c r="B393" i="137"/>
  <c r="B392" i="137"/>
  <c r="B391" i="137"/>
  <c r="B390" i="137"/>
  <c r="B389" i="137"/>
  <c r="B388" i="137"/>
  <c r="B387" i="137"/>
  <c r="B386" i="137"/>
  <c r="B385" i="137"/>
  <c r="B384" i="137"/>
  <c r="B383" i="137"/>
  <c r="B382" i="137"/>
  <c r="B381" i="137"/>
  <c r="B380" i="137"/>
  <c r="B379" i="137"/>
  <c r="B378" i="137"/>
  <c r="B377" i="137"/>
  <c r="B376" i="137"/>
  <c r="B375" i="137"/>
  <c r="B374" i="137"/>
  <c r="B373" i="137"/>
  <c r="B372" i="137"/>
  <c r="B371" i="137"/>
  <c r="B370" i="137"/>
  <c r="B369" i="137"/>
  <c r="B368" i="137"/>
  <c r="B367" i="137"/>
  <c r="B366" i="137"/>
  <c r="B365" i="137"/>
  <c r="B364" i="137"/>
  <c r="B363" i="137"/>
  <c r="B362" i="137"/>
  <c r="B361" i="137"/>
  <c r="B360" i="137"/>
  <c r="B359" i="137"/>
  <c r="B358" i="137"/>
  <c r="B357" i="137"/>
  <c r="B356" i="137"/>
  <c r="B355" i="137"/>
  <c r="B354" i="137"/>
  <c r="B353" i="137"/>
  <c r="B352" i="137"/>
  <c r="B351" i="137"/>
  <c r="B350" i="137"/>
  <c r="B349" i="137"/>
  <c r="B348" i="137"/>
  <c r="B347" i="137"/>
  <c r="B346" i="137"/>
  <c r="B345" i="137"/>
  <c r="B344" i="137"/>
  <c r="B343" i="137"/>
  <c r="B342" i="137"/>
  <c r="B341" i="137"/>
  <c r="B340" i="137"/>
  <c r="B339" i="137"/>
  <c r="B338" i="137"/>
  <c r="B337" i="137"/>
  <c r="B336" i="137"/>
  <c r="B335" i="137"/>
  <c r="B334" i="137"/>
  <c r="B333" i="137"/>
  <c r="B332" i="137"/>
  <c r="B331" i="137"/>
  <c r="B330" i="137"/>
  <c r="B329" i="137"/>
  <c r="B328" i="137"/>
  <c r="B327" i="137"/>
  <c r="B326" i="137"/>
  <c r="B325" i="137"/>
  <c r="B324" i="137"/>
  <c r="B323" i="137"/>
  <c r="B322" i="137"/>
  <c r="B321" i="137"/>
  <c r="B320" i="137"/>
  <c r="B319" i="137"/>
  <c r="B318" i="137"/>
  <c r="B317" i="137"/>
  <c r="B316" i="137"/>
  <c r="B315" i="137"/>
  <c r="B314" i="137"/>
  <c r="B313" i="137"/>
  <c r="B312" i="137"/>
  <c r="B311" i="137"/>
  <c r="B310" i="137"/>
  <c r="B309" i="137"/>
  <c r="B308" i="137"/>
  <c r="B307" i="137"/>
  <c r="B306" i="137"/>
  <c r="B305" i="137"/>
  <c r="B304" i="137"/>
  <c r="B303" i="137"/>
  <c r="B302" i="137"/>
  <c r="B301" i="137"/>
  <c r="B300" i="137"/>
  <c r="B299" i="137"/>
  <c r="B298" i="137"/>
  <c r="B297" i="137"/>
  <c r="B296" i="137"/>
  <c r="B295" i="137"/>
  <c r="B294" i="137"/>
  <c r="B293" i="137"/>
  <c r="B292" i="137"/>
  <c r="B291" i="137"/>
  <c r="B290" i="137"/>
  <c r="B289" i="137"/>
  <c r="B288" i="137"/>
  <c r="B287" i="137"/>
  <c r="B286" i="137"/>
  <c r="B285" i="137"/>
  <c r="B284" i="137"/>
  <c r="B283" i="137"/>
  <c r="B282" i="137"/>
  <c r="B281" i="137"/>
  <c r="B280" i="137"/>
  <c r="B279" i="137"/>
  <c r="B278" i="137"/>
  <c r="B277" i="137"/>
  <c r="B276" i="137"/>
  <c r="B275" i="137"/>
  <c r="B274" i="137"/>
  <c r="B273" i="137"/>
  <c r="B272" i="137"/>
  <c r="B271" i="137"/>
  <c r="B270" i="137"/>
  <c r="B269" i="137"/>
  <c r="B268" i="137"/>
  <c r="B267" i="137"/>
  <c r="B266" i="137"/>
  <c r="B265" i="137"/>
  <c r="B264" i="137"/>
  <c r="B263" i="137"/>
  <c r="B262" i="137"/>
  <c r="B261" i="137"/>
  <c r="B260" i="137"/>
  <c r="B259" i="137"/>
  <c r="B258" i="137"/>
  <c r="B257" i="137"/>
  <c r="B256" i="137"/>
  <c r="B255" i="137"/>
  <c r="B254" i="137"/>
  <c r="B253" i="137"/>
  <c r="B252" i="137"/>
  <c r="B251" i="137"/>
  <c r="B250" i="137"/>
  <c r="B249" i="137"/>
  <c r="B248" i="137"/>
  <c r="B247" i="137"/>
  <c r="B246" i="137"/>
  <c r="B245" i="137"/>
  <c r="B244" i="137"/>
  <c r="B243" i="137"/>
  <c r="B242" i="137"/>
  <c r="B241" i="137"/>
  <c r="B240" i="137"/>
  <c r="B239" i="137"/>
  <c r="B238" i="137"/>
  <c r="B237" i="137"/>
  <c r="B236" i="137"/>
  <c r="B235" i="137"/>
  <c r="B234" i="137"/>
  <c r="B233" i="137"/>
  <c r="B232" i="137"/>
  <c r="B231" i="137"/>
  <c r="B230" i="137"/>
  <c r="B229" i="137"/>
  <c r="B228" i="137"/>
  <c r="B227" i="137"/>
  <c r="B226" i="137"/>
  <c r="B225" i="137"/>
  <c r="B224" i="137"/>
  <c r="B223" i="137"/>
  <c r="B222" i="137"/>
  <c r="B221" i="137"/>
  <c r="B220" i="137"/>
  <c r="B219" i="137"/>
  <c r="B218" i="137"/>
  <c r="B217" i="137"/>
  <c r="B216" i="137"/>
  <c r="B215" i="137"/>
  <c r="B214" i="137"/>
  <c r="B213" i="137"/>
  <c r="B212" i="137"/>
  <c r="B211" i="137"/>
  <c r="B210" i="137"/>
  <c r="B209" i="137"/>
  <c r="B208" i="137"/>
  <c r="B207" i="137"/>
  <c r="B206" i="137"/>
  <c r="B205" i="137"/>
  <c r="B204" i="137"/>
  <c r="B203" i="137"/>
  <c r="B202" i="137"/>
  <c r="B201" i="137"/>
  <c r="B200" i="137"/>
  <c r="B199" i="137"/>
  <c r="B198" i="137"/>
  <c r="B197" i="137"/>
  <c r="B196" i="137"/>
  <c r="B195" i="137"/>
  <c r="B194" i="137"/>
  <c r="B193" i="137"/>
  <c r="B192" i="137"/>
  <c r="B191" i="137"/>
  <c r="B190" i="137"/>
  <c r="B189" i="137"/>
  <c r="B188" i="137"/>
  <c r="B187" i="137"/>
  <c r="B186" i="137"/>
  <c r="B185" i="137"/>
  <c r="B184" i="137"/>
  <c r="B183" i="137"/>
  <c r="B182" i="137"/>
  <c r="B181" i="137"/>
  <c r="B180" i="137"/>
  <c r="B179" i="137"/>
  <c r="B178" i="137"/>
  <c r="B177" i="137"/>
  <c r="B176" i="137"/>
  <c r="B175" i="137"/>
  <c r="B174" i="137"/>
  <c r="B173" i="137"/>
  <c r="B172" i="137"/>
  <c r="B171" i="137"/>
  <c r="B170" i="137"/>
  <c r="B169" i="137"/>
  <c r="B168" i="137"/>
  <c r="B167" i="137"/>
  <c r="B166" i="137"/>
  <c r="B165" i="137"/>
  <c r="B164" i="137"/>
  <c r="B163" i="137"/>
  <c r="B162" i="137"/>
  <c r="B161" i="137"/>
  <c r="B160" i="137"/>
  <c r="B159" i="137"/>
  <c r="B158" i="137"/>
  <c r="B157" i="137"/>
  <c r="B156" i="137"/>
  <c r="B155" i="137"/>
  <c r="B154" i="137"/>
  <c r="B153" i="137"/>
  <c r="B152" i="137"/>
  <c r="B151" i="137"/>
  <c r="B150" i="137"/>
  <c r="B149" i="137"/>
  <c r="B148" i="137"/>
  <c r="B147" i="137"/>
  <c r="B146" i="137"/>
  <c r="B145" i="137"/>
  <c r="B144" i="137"/>
  <c r="B143" i="137"/>
  <c r="B142" i="137"/>
  <c r="B141" i="137"/>
  <c r="B140" i="137"/>
  <c r="B139" i="137"/>
  <c r="B138" i="137"/>
  <c r="B137" i="137"/>
  <c r="B136" i="137"/>
  <c r="B135" i="137"/>
  <c r="B134" i="137"/>
  <c r="B133" i="137"/>
  <c r="B132" i="137"/>
  <c r="B131" i="137"/>
  <c r="B130" i="137"/>
  <c r="B129" i="137"/>
  <c r="B128" i="137"/>
  <c r="B127" i="137"/>
  <c r="B126" i="137"/>
  <c r="B125" i="137"/>
  <c r="B124" i="137"/>
  <c r="B123" i="137"/>
  <c r="B122" i="137"/>
  <c r="B121" i="137"/>
  <c r="B120" i="137"/>
  <c r="B119" i="137"/>
  <c r="B118" i="137"/>
  <c r="B117" i="137"/>
  <c r="B116" i="137"/>
  <c r="B115" i="137"/>
  <c r="B114" i="137"/>
  <c r="B113" i="137"/>
  <c r="B112" i="137"/>
  <c r="B111" i="137"/>
  <c r="B110" i="137"/>
  <c r="B109" i="137"/>
  <c r="B108" i="137"/>
  <c r="B107" i="137"/>
  <c r="B106" i="137"/>
  <c r="B105" i="137"/>
  <c r="B104" i="137"/>
  <c r="B103" i="137"/>
  <c r="B102" i="137"/>
  <c r="B101" i="137"/>
  <c r="B100" i="137"/>
  <c r="B99" i="137"/>
  <c r="B98" i="137"/>
  <c r="B97" i="137"/>
  <c r="B96" i="137"/>
  <c r="B95" i="137"/>
  <c r="B94" i="137"/>
  <c r="B93" i="137"/>
  <c r="B92" i="137"/>
  <c r="B91" i="137"/>
  <c r="B90" i="137"/>
  <c r="B89" i="137"/>
  <c r="B88" i="137"/>
  <c r="B87" i="137"/>
  <c r="B86" i="137"/>
  <c r="B85" i="137"/>
  <c r="B84" i="137"/>
  <c r="B83" i="137"/>
  <c r="B82" i="137"/>
  <c r="B81" i="137"/>
  <c r="B80" i="137"/>
  <c r="B79" i="137"/>
  <c r="B78" i="137"/>
  <c r="B77" i="137"/>
  <c r="B76" i="137"/>
  <c r="B75" i="137"/>
  <c r="B74" i="137"/>
  <c r="B73" i="137"/>
  <c r="B72" i="137"/>
  <c r="B71" i="137"/>
  <c r="B70" i="137"/>
  <c r="B69" i="137"/>
  <c r="B68" i="137"/>
  <c r="B67" i="137"/>
  <c r="B66" i="137"/>
  <c r="B65" i="137"/>
  <c r="B64" i="137"/>
  <c r="B63" i="137"/>
  <c r="B62" i="137"/>
  <c r="B61" i="137"/>
  <c r="B60" i="137"/>
  <c r="B59" i="137"/>
  <c r="B58" i="137"/>
  <c r="B57" i="137"/>
  <c r="B56" i="137"/>
  <c r="B55" i="137"/>
  <c r="B54" i="137"/>
  <c r="B53" i="137"/>
  <c r="B52" i="137"/>
  <c r="B51" i="137"/>
  <c r="B50" i="137"/>
  <c r="B49" i="137"/>
  <c r="B48" i="137"/>
  <c r="B47" i="137"/>
  <c r="B46" i="137"/>
  <c r="B45" i="137"/>
  <c r="B44" i="137"/>
  <c r="B43" i="137"/>
  <c r="B42" i="137"/>
  <c r="B41" i="137"/>
  <c r="B40" i="137"/>
  <c r="B39" i="137"/>
  <c r="B38" i="137"/>
  <c r="B37" i="137"/>
  <c r="B36" i="137"/>
  <c r="B35" i="137"/>
  <c r="B34" i="137"/>
  <c r="B33" i="137"/>
  <c r="B32" i="137"/>
  <c r="B31" i="137"/>
  <c r="B30" i="137"/>
  <c r="B29" i="137"/>
  <c r="B28" i="137"/>
  <c r="B27" i="137"/>
  <c r="B26" i="137"/>
  <c r="B25" i="137"/>
  <c r="B24" i="137"/>
  <c r="B23" i="137"/>
  <c r="B22" i="137"/>
  <c r="B21" i="137"/>
  <c r="B20" i="137"/>
  <c r="B19" i="137"/>
  <c r="B18" i="137"/>
  <c r="B17" i="137"/>
  <c r="B16" i="137"/>
  <c r="B15" i="137"/>
  <c r="B14" i="137"/>
  <c r="B13" i="137"/>
  <c r="B12" i="137"/>
  <c r="B11" i="137"/>
  <c r="B10" i="137"/>
  <c r="B9" i="137"/>
  <c r="B8" i="137"/>
  <c r="B7" i="137"/>
  <c r="B6" i="137"/>
  <c r="B5" i="137"/>
  <c r="B4" i="137"/>
  <c r="B3" i="137"/>
  <c r="B2" i="137"/>
  <c r="AK43" i="137" l="1"/>
  <c r="AG43" i="137"/>
  <c r="AC43" i="137"/>
  <c r="Y43" i="137"/>
  <c r="AK40" i="137"/>
  <c r="AG40" i="137"/>
  <c r="AC40" i="137"/>
  <c r="Y40" i="137"/>
  <c r="AK38" i="137"/>
  <c r="AG38" i="137"/>
  <c r="AC38" i="137"/>
  <c r="Y38" i="137"/>
  <c r="AK34" i="137"/>
  <c r="AG34" i="137"/>
  <c r="AC34" i="137"/>
  <c r="Y34" i="137"/>
  <c r="AJ43" i="137"/>
  <c r="AF43" i="137"/>
  <c r="AB43" i="137"/>
  <c r="X43" i="137"/>
  <c r="AJ40" i="137"/>
  <c r="AF40" i="137"/>
  <c r="AB40" i="137"/>
  <c r="X40" i="137"/>
  <c r="AJ38" i="137"/>
  <c r="AF38" i="137"/>
  <c r="AB38" i="137"/>
  <c r="X38" i="137"/>
  <c r="AJ34" i="137"/>
  <c r="AF34" i="137"/>
  <c r="AB34" i="137"/>
  <c r="X34" i="137"/>
  <c r="AI43" i="137"/>
  <c r="AE43" i="137"/>
  <c r="AA43" i="137"/>
  <c r="W43" i="137"/>
  <c r="AI40" i="137"/>
  <c r="AE40" i="137"/>
  <c r="AA40" i="137"/>
  <c r="W40" i="137"/>
  <c r="AI38" i="137"/>
  <c r="AE38" i="137"/>
  <c r="AA38" i="137"/>
  <c r="W38" i="137"/>
  <c r="AI34" i="137"/>
  <c r="AE34" i="137"/>
  <c r="AA34" i="137"/>
  <c r="W34" i="137"/>
  <c r="AH43" i="137"/>
  <c r="AH40" i="137"/>
  <c r="AH38" i="137"/>
  <c r="AH34" i="137"/>
  <c r="AD43" i="137"/>
  <c r="AD40" i="137"/>
  <c r="AD38" i="137"/>
  <c r="AD34" i="137"/>
  <c r="Z43" i="137"/>
  <c r="Z40" i="137"/>
  <c r="Z38" i="137"/>
  <c r="Z34" i="137"/>
  <c r="V43" i="137"/>
  <c r="V38" i="137"/>
  <c r="V34" i="137"/>
  <c r="V40" i="137"/>
  <c r="R816" i="137"/>
  <c r="Q816" i="137"/>
  <c r="P816" i="137"/>
  <c r="R814" i="137"/>
  <c r="Q814" i="137"/>
  <c r="P814" i="137"/>
  <c r="R813" i="137"/>
  <c r="Q813" i="137"/>
  <c r="P813" i="137"/>
  <c r="R811" i="137"/>
  <c r="Q811" i="137"/>
  <c r="P811" i="137"/>
  <c r="R808" i="137"/>
  <c r="Q808" i="137"/>
  <c r="P808" i="137"/>
  <c r="R807" i="137"/>
  <c r="Q807" i="137"/>
  <c r="P807" i="137"/>
  <c r="R806" i="137"/>
  <c r="Q806" i="137"/>
  <c r="P806" i="137"/>
  <c r="R805" i="137"/>
  <c r="Q805" i="137"/>
  <c r="P805" i="137"/>
  <c r="R804" i="137"/>
  <c r="Q804" i="137"/>
  <c r="P804" i="137"/>
  <c r="R800" i="137"/>
  <c r="Q800" i="137"/>
  <c r="P800" i="137"/>
  <c r="R797" i="137"/>
  <c r="Q797" i="137"/>
  <c r="P797" i="137"/>
  <c r="R785" i="137"/>
  <c r="Q785" i="137"/>
  <c r="P785" i="137"/>
  <c r="R780" i="137"/>
  <c r="Q780" i="137"/>
  <c r="P780" i="137"/>
  <c r="R777" i="137"/>
  <c r="Q777" i="137"/>
  <c r="P777" i="137"/>
  <c r="R768" i="137"/>
  <c r="Q768" i="137"/>
  <c r="P768" i="137"/>
  <c r="R767" i="137"/>
  <c r="Q767" i="137"/>
  <c r="P767" i="137"/>
  <c r="R765" i="137"/>
  <c r="Q765" i="137"/>
  <c r="P765" i="137"/>
  <c r="R764" i="137"/>
  <c r="Q764" i="137"/>
  <c r="P764" i="137"/>
  <c r="R763" i="137"/>
  <c r="Q763" i="137"/>
  <c r="P763" i="137"/>
  <c r="R761" i="137"/>
  <c r="Q761" i="137"/>
  <c r="P761" i="137"/>
  <c r="R760" i="137"/>
  <c r="Q760" i="137"/>
  <c r="P760" i="137"/>
  <c r="R759" i="137"/>
  <c r="Q759" i="137"/>
  <c r="P759" i="137"/>
  <c r="R752" i="137"/>
  <c r="Q752" i="137"/>
  <c r="P752" i="137"/>
  <c r="R740" i="137"/>
  <c r="Q740" i="137"/>
  <c r="P740" i="137"/>
  <c r="R739" i="137"/>
  <c r="Q739" i="137"/>
  <c r="P739" i="137"/>
  <c r="R737" i="137"/>
  <c r="Q737" i="137"/>
  <c r="P737" i="137"/>
  <c r="R725" i="137"/>
  <c r="Q725" i="137"/>
  <c r="P725" i="137"/>
  <c r="R724" i="137"/>
  <c r="Q724" i="137"/>
  <c r="P724" i="137"/>
  <c r="R713" i="137"/>
  <c r="Q713" i="137"/>
  <c r="P713" i="137"/>
  <c r="R681" i="137"/>
  <c r="Q681" i="137"/>
  <c r="P681" i="137"/>
  <c r="R676" i="137"/>
  <c r="Q676" i="137"/>
  <c r="P676" i="137"/>
  <c r="R675" i="137"/>
  <c r="Q675" i="137"/>
  <c r="P675" i="137"/>
  <c r="R670" i="137"/>
  <c r="Q670" i="137"/>
  <c r="P670" i="137"/>
  <c r="R669" i="137"/>
  <c r="Q669" i="137"/>
  <c r="P669" i="137"/>
  <c r="R661" i="137"/>
  <c r="Q661" i="137"/>
  <c r="P661" i="137"/>
  <c r="R650" i="137"/>
  <c r="Q650" i="137"/>
  <c r="P650" i="137"/>
  <c r="R649" i="137"/>
  <c r="Q649" i="137"/>
  <c r="P649" i="137"/>
  <c r="R648" i="137"/>
  <c r="Q648" i="137"/>
  <c r="P648" i="137"/>
  <c r="R642" i="137"/>
  <c r="Q642" i="137"/>
  <c r="P642" i="137"/>
  <c r="R639" i="137"/>
  <c r="Q639" i="137"/>
  <c r="P639" i="137"/>
  <c r="R637" i="137"/>
  <c r="Q637" i="137"/>
  <c r="P637" i="137"/>
  <c r="R636" i="137"/>
  <c r="Q636" i="137"/>
  <c r="P636" i="137"/>
  <c r="R632" i="137"/>
  <c r="Q632" i="137"/>
  <c r="P632" i="137"/>
  <c r="R626" i="137"/>
  <c r="Q626" i="137"/>
  <c r="P626" i="137"/>
  <c r="R625" i="137"/>
  <c r="Q625" i="137"/>
  <c r="P625" i="137"/>
  <c r="R623" i="137"/>
  <c r="Q623" i="137"/>
  <c r="P623" i="137"/>
  <c r="R613" i="137"/>
  <c r="Q613" i="137"/>
  <c r="P613" i="137"/>
  <c r="R609" i="137"/>
  <c r="Q609" i="137"/>
  <c r="P609" i="137"/>
  <c r="R606" i="137"/>
  <c r="Q606" i="137"/>
  <c r="P606" i="137"/>
  <c r="R599" i="137"/>
  <c r="Q599" i="137"/>
  <c r="P599" i="137"/>
  <c r="R593" i="137"/>
  <c r="Q593" i="137"/>
  <c r="P593" i="137"/>
  <c r="R590" i="137"/>
  <c r="Q590" i="137"/>
  <c r="P590" i="137"/>
  <c r="R589" i="137"/>
  <c r="Q589" i="137"/>
  <c r="P589" i="137"/>
  <c r="R588" i="137"/>
  <c r="Q588" i="137"/>
  <c r="P588" i="137"/>
  <c r="R586" i="137"/>
  <c r="Q586" i="137"/>
  <c r="P586" i="137"/>
  <c r="R579" i="137"/>
  <c r="Q579" i="137"/>
  <c r="P579" i="137"/>
  <c r="R575" i="137"/>
  <c r="Q575" i="137"/>
  <c r="P575" i="137"/>
  <c r="R574" i="137"/>
  <c r="Q574" i="137"/>
  <c r="P574" i="137"/>
  <c r="R572" i="137"/>
  <c r="Q572" i="137"/>
  <c r="P572" i="137"/>
  <c r="R571" i="137"/>
  <c r="Q571" i="137"/>
  <c r="P571" i="137"/>
  <c r="R570" i="137"/>
  <c r="Q570" i="137"/>
  <c r="P570" i="137"/>
  <c r="R569" i="137"/>
  <c r="Q569" i="137"/>
  <c r="P569" i="137"/>
  <c r="R567" i="137"/>
  <c r="Q567" i="137"/>
  <c r="P567" i="137"/>
  <c r="R564" i="137"/>
  <c r="Q564" i="137"/>
  <c r="P564" i="137"/>
  <c r="R560" i="137"/>
  <c r="Q560" i="137"/>
  <c r="P560" i="137"/>
  <c r="R558" i="137"/>
  <c r="Q558" i="137"/>
  <c r="P558" i="137"/>
  <c r="R556" i="137"/>
  <c r="Q556" i="137"/>
  <c r="P556" i="137"/>
  <c r="R550" i="137"/>
  <c r="Q550" i="137"/>
  <c r="P550" i="137"/>
  <c r="R549" i="137"/>
  <c r="Q549" i="137"/>
  <c r="P549" i="137"/>
  <c r="R548" i="137"/>
  <c r="Q548" i="137"/>
  <c r="P548" i="137"/>
  <c r="R540" i="137"/>
  <c r="Q540" i="137"/>
  <c r="P540" i="137"/>
  <c r="R539" i="137"/>
  <c r="Q539" i="137"/>
  <c r="P539" i="137"/>
  <c r="R538" i="137"/>
  <c r="Q538" i="137"/>
  <c r="P538" i="137"/>
  <c r="R532" i="137"/>
  <c r="Q532" i="137"/>
  <c r="P532" i="137"/>
  <c r="R530" i="137"/>
  <c r="Q530" i="137"/>
  <c r="P530" i="137"/>
  <c r="R526" i="137"/>
  <c r="Q526" i="137"/>
  <c r="P526" i="137"/>
  <c r="R523" i="137"/>
  <c r="Q523" i="137"/>
  <c r="P523" i="137"/>
  <c r="R521" i="137"/>
  <c r="Q521" i="137"/>
  <c r="P521" i="137"/>
  <c r="R520" i="137"/>
  <c r="Q520" i="137"/>
  <c r="P520" i="137"/>
  <c r="Q78" i="138"/>
  <c r="R514" i="137" s="1"/>
  <c r="P78" i="138"/>
  <c r="Q514" i="137" s="1"/>
  <c r="O78" i="138"/>
  <c r="P514" i="137" s="1"/>
  <c r="Q77" i="138"/>
  <c r="P77" i="138"/>
  <c r="O77" i="138"/>
  <c r="Q76" i="138"/>
  <c r="P76" i="138"/>
  <c r="O76" i="138"/>
  <c r="Q75" i="138"/>
  <c r="P75" i="138"/>
  <c r="O75" i="138"/>
  <c r="Q74" i="138"/>
  <c r="P74" i="138"/>
  <c r="O74" i="138"/>
  <c r="Q73" i="138"/>
  <c r="P73" i="138"/>
  <c r="O73" i="138"/>
  <c r="Q72" i="138"/>
  <c r="P72" i="138"/>
  <c r="O72" i="138"/>
  <c r="Q71" i="138"/>
  <c r="R490" i="137" s="1"/>
  <c r="P71" i="138"/>
  <c r="Q490" i="137" s="1"/>
  <c r="O71" i="138"/>
  <c r="P490" i="137" s="1"/>
  <c r="Q70" i="138"/>
  <c r="P70" i="138"/>
  <c r="O70" i="138"/>
  <c r="Q69" i="138"/>
  <c r="P69" i="138"/>
  <c r="O69" i="138"/>
  <c r="Q68" i="138"/>
  <c r="P68" i="138"/>
  <c r="O68" i="138"/>
  <c r="Q67" i="138"/>
  <c r="P67" i="138"/>
  <c r="O67" i="138"/>
  <c r="Q66" i="138"/>
  <c r="P66" i="138"/>
  <c r="O66" i="138"/>
  <c r="Q65" i="138"/>
  <c r="P65" i="138"/>
  <c r="O65" i="138"/>
  <c r="Q64" i="138"/>
  <c r="R450" i="137" s="1"/>
  <c r="P64" i="138"/>
  <c r="Q450" i="137" s="1"/>
  <c r="O64" i="138"/>
  <c r="P450" i="137" s="1"/>
  <c r="Q63" i="138"/>
  <c r="P63" i="138"/>
  <c r="O63" i="138"/>
  <c r="Q62" i="138"/>
  <c r="P62" i="138"/>
  <c r="O62" i="138"/>
  <c r="Q61" i="138"/>
  <c r="P61" i="138"/>
  <c r="O61" i="138"/>
  <c r="Q60" i="138"/>
  <c r="P60" i="138"/>
  <c r="O60" i="138"/>
  <c r="Q59" i="138"/>
  <c r="P59" i="138"/>
  <c r="O59" i="138"/>
  <c r="Q58" i="138"/>
  <c r="P58" i="138"/>
  <c r="O58" i="138"/>
  <c r="Q57" i="138"/>
  <c r="P57" i="138"/>
  <c r="O57" i="138"/>
  <c r="Q56" i="138"/>
  <c r="P56" i="138"/>
  <c r="O56" i="138"/>
  <c r="Q55" i="138"/>
  <c r="R1229" i="137" s="1"/>
  <c r="AJ41" i="137" s="1"/>
  <c r="P55" i="138"/>
  <c r="Q1229" i="137" s="1"/>
  <c r="AI41" i="137" s="1"/>
  <c r="O55" i="138"/>
  <c r="P1229" i="137" s="1"/>
  <c r="AH41" i="137" s="1"/>
  <c r="Q54" i="138"/>
  <c r="R1269" i="137" s="1"/>
  <c r="AJ42" i="137" s="1"/>
  <c r="P54" i="138"/>
  <c r="Q1269" i="137" s="1"/>
  <c r="AI42" i="137" s="1"/>
  <c r="O54" i="138"/>
  <c r="P1269" i="137" s="1"/>
  <c r="AH42" i="137" s="1"/>
  <c r="Q53" i="138"/>
  <c r="R393" i="137" s="1"/>
  <c r="P53" i="138"/>
  <c r="Q393" i="137" s="1"/>
  <c r="O53" i="138"/>
  <c r="P393" i="137" s="1"/>
  <c r="Q52" i="138"/>
  <c r="P52" i="138"/>
  <c r="O52" i="138"/>
  <c r="Q51" i="138"/>
  <c r="P51" i="138"/>
  <c r="O51" i="138"/>
  <c r="P379" i="137" s="1"/>
  <c r="Q50" i="138"/>
  <c r="R376" i="137" s="1"/>
  <c r="P50" i="138"/>
  <c r="Q376" i="137" s="1"/>
  <c r="O50" i="138"/>
  <c r="P376" i="137" s="1"/>
  <c r="Q49" i="138"/>
  <c r="P49" i="138"/>
  <c r="O49" i="138"/>
  <c r="Q48" i="138"/>
  <c r="P48" i="138"/>
  <c r="O48" i="138"/>
  <c r="Q47" i="138"/>
  <c r="P47" i="138"/>
  <c r="O47" i="138"/>
  <c r="Q46" i="138"/>
  <c r="P46" i="138"/>
  <c r="O46" i="138"/>
  <c r="Q45" i="138"/>
  <c r="P45" i="138"/>
  <c r="O45" i="138"/>
  <c r="Q44" i="138"/>
  <c r="R365" i="137" s="1"/>
  <c r="P44" i="138"/>
  <c r="Q365" i="137" s="1"/>
  <c r="O44" i="138"/>
  <c r="P365" i="137" s="1"/>
  <c r="Q43" i="138"/>
  <c r="R363" i="137" s="1"/>
  <c r="P43" i="138"/>
  <c r="Q363" i="137" s="1"/>
  <c r="O43" i="138"/>
  <c r="P363" i="137" s="1"/>
  <c r="Q42" i="138"/>
  <c r="P42" i="138"/>
  <c r="O42" i="138"/>
  <c r="Q41" i="138"/>
  <c r="P41" i="138"/>
  <c r="O41" i="138"/>
  <c r="Q40" i="138"/>
  <c r="R354" i="137" s="1"/>
  <c r="P40" i="138"/>
  <c r="Q354" i="137" s="1"/>
  <c r="O40" i="138"/>
  <c r="P354" i="137" s="1"/>
  <c r="Q39" i="138"/>
  <c r="P39" i="138"/>
  <c r="O39" i="138"/>
  <c r="Q38" i="138"/>
  <c r="P38" i="138"/>
  <c r="O38" i="138"/>
  <c r="Q37" i="138"/>
  <c r="P37" i="138"/>
  <c r="O37" i="138"/>
  <c r="Q36" i="138"/>
  <c r="P36" i="138"/>
  <c r="O36" i="138"/>
  <c r="Q35" i="138"/>
  <c r="P35" i="138"/>
  <c r="O35" i="138"/>
  <c r="Q34" i="138"/>
  <c r="P34" i="138"/>
  <c r="O34" i="138"/>
  <c r="Q33" i="138"/>
  <c r="P33" i="138"/>
  <c r="O33" i="138"/>
  <c r="Q32" i="138"/>
  <c r="P32" i="138"/>
  <c r="O32" i="138"/>
  <c r="Q31" i="138"/>
  <c r="P31" i="138"/>
  <c r="O31" i="138"/>
  <c r="Q30" i="138"/>
  <c r="P30" i="138"/>
  <c r="O30" i="138"/>
  <c r="Q29" i="138"/>
  <c r="P29" i="138"/>
  <c r="O29" i="138"/>
  <c r="Q28" i="138"/>
  <c r="P28" i="138"/>
  <c r="O28" i="138"/>
  <c r="Q27" i="138"/>
  <c r="P27" i="138"/>
  <c r="O27" i="138"/>
  <c r="Q26" i="138"/>
  <c r="P26" i="138"/>
  <c r="O26" i="138"/>
  <c r="Q25" i="138"/>
  <c r="P25" i="138"/>
  <c r="O25" i="138"/>
  <c r="Q24" i="138"/>
  <c r="P24" i="138"/>
  <c r="O24" i="138"/>
  <c r="Q23" i="138"/>
  <c r="P23" i="138"/>
  <c r="O23" i="138"/>
  <c r="Q22" i="138"/>
  <c r="R199" i="137" s="1"/>
  <c r="P22" i="138"/>
  <c r="Q199" i="137" s="1"/>
  <c r="O22" i="138"/>
  <c r="P199" i="137" s="1"/>
  <c r="Q21" i="138"/>
  <c r="P21" i="138"/>
  <c r="O21" i="138"/>
  <c r="Q20" i="138"/>
  <c r="P20" i="138"/>
  <c r="O20" i="138"/>
  <c r="Q19" i="138"/>
  <c r="P19" i="138"/>
  <c r="O19" i="138"/>
  <c r="Q18" i="138"/>
  <c r="P18" i="138"/>
  <c r="O18" i="138"/>
  <c r="Q17" i="138"/>
  <c r="P17" i="138"/>
  <c r="O17" i="138"/>
  <c r="Q16" i="138"/>
  <c r="R131" i="137" s="1"/>
  <c r="P16" i="138"/>
  <c r="Q131" i="137" s="1"/>
  <c r="O16" i="138"/>
  <c r="P131" i="137" s="1"/>
  <c r="Q15" i="138"/>
  <c r="P15" i="138"/>
  <c r="O15" i="138"/>
  <c r="Q14" i="138"/>
  <c r="P14" i="138"/>
  <c r="O14" i="138"/>
  <c r="Q13" i="138"/>
  <c r="P13" i="138"/>
  <c r="O13" i="138"/>
  <c r="Q12" i="138"/>
  <c r="P12" i="138"/>
  <c r="O12" i="138"/>
  <c r="Q11" i="138"/>
  <c r="P11" i="138"/>
  <c r="O11" i="138"/>
  <c r="Q10" i="138"/>
  <c r="P10" i="138"/>
  <c r="O10" i="138"/>
  <c r="Q9" i="138"/>
  <c r="P9" i="138"/>
  <c r="O9" i="138"/>
  <c r="Q8" i="138"/>
  <c r="P8" i="138"/>
  <c r="O8" i="138"/>
  <c r="Q6" i="138"/>
  <c r="P6" i="138"/>
  <c r="O6" i="138"/>
  <c r="Q5" i="138"/>
  <c r="P5" i="138"/>
  <c r="O5" i="138"/>
  <c r="O816" i="137"/>
  <c r="O814" i="137"/>
  <c r="O813" i="137"/>
  <c r="O811" i="137"/>
  <c r="O808" i="137"/>
  <c r="O807" i="137"/>
  <c r="O806" i="137"/>
  <c r="O805" i="137"/>
  <c r="O804" i="137"/>
  <c r="O800" i="137"/>
  <c r="O797" i="137"/>
  <c r="O785" i="137"/>
  <c r="O780" i="137"/>
  <c r="O777" i="137"/>
  <c r="O768" i="137"/>
  <c r="O767" i="137"/>
  <c r="O765" i="137"/>
  <c r="O764" i="137"/>
  <c r="O763" i="137"/>
  <c r="O761" i="137"/>
  <c r="O760" i="137"/>
  <c r="O759" i="137"/>
  <c r="O752" i="137"/>
  <c r="O740" i="137"/>
  <c r="O739" i="137"/>
  <c r="O737" i="137"/>
  <c r="O725" i="137"/>
  <c r="O724" i="137"/>
  <c r="O713" i="137"/>
  <c r="O681" i="137"/>
  <c r="O676" i="137"/>
  <c r="O675" i="137"/>
  <c r="O670" i="137"/>
  <c r="O669" i="137"/>
  <c r="O661" i="137"/>
  <c r="O650" i="137"/>
  <c r="O649" i="137"/>
  <c r="O648" i="137"/>
  <c r="O642" i="137"/>
  <c r="O639" i="137"/>
  <c r="O637" i="137"/>
  <c r="O636" i="137"/>
  <c r="O632" i="137"/>
  <c r="O626" i="137"/>
  <c r="O625" i="137"/>
  <c r="O623" i="137"/>
  <c r="O613" i="137"/>
  <c r="O609" i="137"/>
  <c r="O606" i="137"/>
  <c r="O599" i="137"/>
  <c r="O593" i="137"/>
  <c r="O590" i="137"/>
  <c r="O589" i="137"/>
  <c r="O588" i="137"/>
  <c r="O586" i="137"/>
  <c r="O579" i="137"/>
  <c r="O575" i="137"/>
  <c r="O574" i="137"/>
  <c r="O572" i="137"/>
  <c r="O571" i="137"/>
  <c r="O570" i="137"/>
  <c r="O569" i="137"/>
  <c r="O567" i="137"/>
  <c r="O564" i="137"/>
  <c r="O560" i="137"/>
  <c r="O558" i="137"/>
  <c r="O556" i="137"/>
  <c r="O550" i="137"/>
  <c r="O549" i="137"/>
  <c r="O548" i="137"/>
  <c r="O540" i="137"/>
  <c r="O539" i="137"/>
  <c r="O538" i="137"/>
  <c r="O532" i="137"/>
  <c r="O530" i="137"/>
  <c r="O526" i="137"/>
  <c r="O523" i="137"/>
  <c r="O521" i="137"/>
  <c r="O520" i="137"/>
  <c r="N78" i="138"/>
  <c r="O514" i="137" s="1"/>
  <c r="N77" i="138"/>
  <c r="N76" i="138"/>
  <c r="N75" i="138"/>
  <c r="N74" i="138"/>
  <c r="N73" i="138"/>
  <c r="N72" i="138"/>
  <c r="N71" i="138"/>
  <c r="O490" i="137" s="1"/>
  <c r="N70" i="138"/>
  <c r="N69" i="138"/>
  <c r="N68" i="138"/>
  <c r="N67" i="138"/>
  <c r="N66" i="138"/>
  <c r="N65" i="138"/>
  <c r="N64" i="138"/>
  <c r="O450" i="137" s="1"/>
  <c r="N63" i="138"/>
  <c r="N62" i="138"/>
  <c r="N61" i="138"/>
  <c r="N60" i="138"/>
  <c r="N59" i="138"/>
  <c r="N58" i="138"/>
  <c r="N57" i="138"/>
  <c r="N56" i="138"/>
  <c r="N55" i="138"/>
  <c r="O1229" i="137" s="1"/>
  <c r="AG41" i="137" s="1"/>
  <c r="N54" i="138"/>
  <c r="O1269" i="137" s="1"/>
  <c r="AG42" i="137" s="1"/>
  <c r="N53" i="138"/>
  <c r="O393" i="137" s="1"/>
  <c r="N52" i="138"/>
  <c r="N51" i="138"/>
  <c r="N50" i="138"/>
  <c r="O376" i="137" s="1"/>
  <c r="N49" i="138"/>
  <c r="N48" i="138"/>
  <c r="N47" i="138"/>
  <c r="N46" i="138"/>
  <c r="N45" i="138"/>
  <c r="N44" i="138"/>
  <c r="O365" i="137" s="1"/>
  <c r="N43" i="138"/>
  <c r="O363" i="137" s="1"/>
  <c r="N42" i="138"/>
  <c r="N41" i="138"/>
  <c r="N40" i="138"/>
  <c r="O354" i="137" s="1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O199" i="137" s="1"/>
  <c r="N21" i="138"/>
  <c r="N20" i="138"/>
  <c r="N19" i="138"/>
  <c r="N18" i="138"/>
  <c r="N17" i="138"/>
  <c r="N16" i="138"/>
  <c r="O131" i="137" s="1"/>
  <c r="N15" i="138"/>
  <c r="N14" i="138"/>
  <c r="N13" i="138"/>
  <c r="N12" i="138"/>
  <c r="N11" i="138"/>
  <c r="N10" i="138"/>
  <c r="N9" i="138"/>
  <c r="N8" i="138"/>
  <c r="N6" i="138"/>
  <c r="N5" i="138"/>
  <c r="N816" i="137"/>
  <c r="N814" i="137"/>
  <c r="N813" i="137"/>
  <c r="N811" i="137"/>
  <c r="N808" i="137"/>
  <c r="N807" i="137"/>
  <c r="N806" i="137"/>
  <c r="N805" i="137"/>
  <c r="N804" i="137"/>
  <c r="N800" i="137"/>
  <c r="N797" i="137"/>
  <c r="N785" i="137"/>
  <c r="N780" i="137"/>
  <c r="N777" i="137"/>
  <c r="N768" i="137"/>
  <c r="N767" i="137"/>
  <c r="N765" i="137"/>
  <c r="N764" i="137"/>
  <c r="N763" i="137"/>
  <c r="N761" i="137"/>
  <c r="N760" i="137"/>
  <c r="N759" i="137"/>
  <c r="N752" i="137"/>
  <c r="N740" i="137"/>
  <c r="N739" i="137"/>
  <c r="N737" i="137"/>
  <c r="N725" i="137"/>
  <c r="N724" i="137"/>
  <c r="N713" i="137"/>
  <c r="N681" i="137"/>
  <c r="N676" i="137"/>
  <c r="N675" i="137"/>
  <c r="N670" i="137"/>
  <c r="N669" i="137"/>
  <c r="N661" i="137"/>
  <c r="N650" i="137"/>
  <c r="N649" i="137"/>
  <c r="N648" i="137"/>
  <c r="N642" i="137"/>
  <c r="N639" i="137"/>
  <c r="N637" i="137"/>
  <c r="N636" i="137"/>
  <c r="N632" i="137"/>
  <c r="N626" i="137"/>
  <c r="N625" i="137"/>
  <c r="N623" i="137"/>
  <c r="N613" i="137"/>
  <c r="N609" i="137"/>
  <c r="N606" i="137"/>
  <c r="N599" i="137"/>
  <c r="N593" i="137"/>
  <c r="N590" i="137"/>
  <c r="N589" i="137"/>
  <c r="N588" i="137"/>
  <c r="N586" i="137"/>
  <c r="N579" i="137"/>
  <c r="N575" i="137"/>
  <c r="N574" i="137"/>
  <c r="N572" i="137"/>
  <c r="N571" i="137"/>
  <c r="N570" i="137"/>
  <c r="N569" i="137"/>
  <c r="N567" i="137"/>
  <c r="N564" i="137"/>
  <c r="N560" i="137"/>
  <c r="N558" i="137"/>
  <c r="N556" i="137"/>
  <c r="N550" i="137"/>
  <c r="N549" i="137"/>
  <c r="N548" i="137"/>
  <c r="N540" i="137"/>
  <c r="N539" i="137"/>
  <c r="N538" i="137"/>
  <c r="N532" i="137"/>
  <c r="N530" i="137"/>
  <c r="N526" i="137"/>
  <c r="N523" i="137"/>
  <c r="N521" i="137"/>
  <c r="N520" i="137"/>
  <c r="M78" i="138"/>
  <c r="N514" i="137" s="1"/>
  <c r="M77" i="138"/>
  <c r="M76" i="138"/>
  <c r="M75" i="138"/>
  <c r="M74" i="138"/>
  <c r="M73" i="138"/>
  <c r="M72" i="138"/>
  <c r="M71" i="138"/>
  <c r="N490" i="137" s="1"/>
  <c r="M70" i="138"/>
  <c r="M69" i="138"/>
  <c r="M68" i="138"/>
  <c r="M67" i="138"/>
  <c r="M66" i="138"/>
  <c r="M65" i="138"/>
  <c r="M64" i="138"/>
  <c r="N450" i="137" s="1"/>
  <c r="M63" i="138"/>
  <c r="N443" i="137" s="1"/>
  <c r="M62" i="138"/>
  <c r="M61" i="138"/>
  <c r="M60" i="138"/>
  <c r="M59" i="138"/>
  <c r="M58" i="138"/>
  <c r="M57" i="138"/>
  <c r="M56" i="138"/>
  <c r="M55" i="138"/>
  <c r="N1229" i="137" s="1"/>
  <c r="AF41" i="137" s="1"/>
  <c r="M54" i="138"/>
  <c r="N1269" i="137" s="1"/>
  <c r="AF42" i="137" s="1"/>
  <c r="M53" i="138"/>
  <c r="N393" i="137" s="1"/>
  <c r="M52" i="138"/>
  <c r="M51" i="138"/>
  <c r="M50" i="138"/>
  <c r="N376" i="137" s="1"/>
  <c r="M49" i="138"/>
  <c r="M48" i="138"/>
  <c r="M47" i="138"/>
  <c r="M46" i="138"/>
  <c r="M45" i="138"/>
  <c r="M44" i="138"/>
  <c r="N365" i="137" s="1"/>
  <c r="M43" i="138"/>
  <c r="N363" i="137" s="1"/>
  <c r="M42" i="138"/>
  <c r="M41" i="138"/>
  <c r="M40" i="138"/>
  <c r="N354" i="137" s="1"/>
  <c r="M39" i="138"/>
  <c r="M38" i="138"/>
  <c r="M37" i="138"/>
  <c r="M36" i="138"/>
  <c r="M35" i="138"/>
  <c r="M34" i="138"/>
  <c r="M33" i="138"/>
  <c r="M32" i="138"/>
  <c r="M31" i="138"/>
  <c r="M30" i="138"/>
  <c r="M29" i="138"/>
  <c r="M28" i="138"/>
  <c r="M27" i="138"/>
  <c r="M26" i="138"/>
  <c r="M25" i="138"/>
  <c r="M24" i="138"/>
  <c r="M23" i="138"/>
  <c r="M22" i="138"/>
  <c r="N199" i="137" s="1"/>
  <c r="M21" i="138"/>
  <c r="M20" i="138"/>
  <c r="M19" i="138"/>
  <c r="M18" i="138"/>
  <c r="M17" i="138"/>
  <c r="M16" i="138"/>
  <c r="N131" i="137" s="1"/>
  <c r="M15" i="138"/>
  <c r="M14" i="138"/>
  <c r="M13" i="138"/>
  <c r="M12" i="138"/>
  <c r="M11" i="138"/>
  <c r="M10" i="138"/>
  <c r="M9" i="138"/>
  <c r="M8" i="138"/>
  <c r="M6" i="138"/>
  <c r="M5" i="138"/>
  <c r="C5" i="138"/>
  <c r="D5" i="138"/>
  <c r="E5" i="138"/>
  <c r="F5" i="138"/>
  <c r="G5" i="138"/>
  <c r="H5" i="138"/>
  <c r="I5" i="138"/>
  <c r="J5" i="138"/>
  <c r="K5" i="138"/>
  <c r="C6" i="138"/>
  <c r="D6" i="138"/>
  <c r="E6" i="138"/>
  <c r="F6" i="138"/>
  <c r="G6" i="138"/>
  <c r="H6" i="138"/>
  <c r="I6" i="138"/>
  <c r="J6" i="138"/>
  <c r="K6" i="138"/>
  <c r="C8" i="138"/>
  <c r="D8" i="138"/>
  <c r="E8" i="138"/>
  <c r="F8" i="138"/>
  <c r="G8" i="138"/>
  <c r="H8" i="138"/>
  <c r="I8" i="138"/>
  <c r="J8" i="138"/>
  <c r="K8" i="138"/>
  <c r="C9" i="138"/>
  <c r="D9" i="138"/>
  <c r="E9" i="138"/>
  <c r="F9" i="138"/>
  <c r="G9" i="138"/>
  <c r="H9" i="138"/>
  <c r="I9" i="138"/>
  <c r="J9" i="138"/>
  <c r="K9" i="138"/>
  <c r="C10" i="138"/>
  <c r="D10" i="138"/>
  <c r="E10" i="138"/>
  <c r="F10" i="138"/>
  <c r="G10" i="138"/>
  <c r="H10" i="138"/>
  <c r="I10" i="138"/>
  <c r="J10" i="138"/>
  <c r="K10" i="138"/>
  <c r="C11" i="138"/>
  <c r="D11" i="138"/>
  <c r="E11" i="138"/>
  <c r="F11" i="138"/>
  <c r="G11" i="138"/>
  <c r="H11" i="138"/>
  <c r="I11" i="138"/>
  <c r="J11" i="138"/>
  <c r="K11" i="138"/>
  <c r="C12" i="138"/>
  <c r="D12" i="138"/>
  <c r="E12" i="138"/>
  <c r="F12" i="138"/>
  <c r="G12" i="138"/>
  <c r="H12" i="138"/>
  <c r="I12" i="138"/>
  <c r="J12" i="138"/>
  <c r="K12" i="138"/>
  <c r="C13" i="138"/>
  <c r="D13" i="138"/>
  <c r="E13" i="138"/>
  <c r="F13" i="138"/>
  <c r="G13" i="138"/>
  <c r="H13" i="138"/>
  <c r="I13" i="138"/>
  <c r="J13" i="138"/>
  <c r="K13" i="138"/>
  <c r="C14" i="138"/>
  <c r="D14" i="138"/>
  <c r="E14" i="138"/>
  <c r="F14" i="138"/>
  <c r="G14" i="138"/>
  <c r="H14" i="138"/>
  <c r="I14" i="138"/>
  <c r="J14" i="138"/>
  <c r="K14" i="138"/>
  <c r="C15" i="138"/>
  <c r="D15" i="138"/>
  <c r="E15" i="138"/>
  <c r="F15" i="138"/>
  <c r="G15" i="138"/>
  <c r="H15" i="138"/>
  <c r="I15" i="138"/>
  <c r="J15" i="138"/>
  <c r="K15" i="138"/>
  <c r="C16" i="138"/>
  <c r="D131" i="137" s="1"/>
  <c r="D16" i="138"/>
  <c r="E131" i="137" s="1"/>
  <c r="E16" i="138"/>
  <c r="F131" i="137" s="1"/>
  <c r="F16" i="138"/>
  <c r="G131" i="137" s="1"/>
  <c r="G16" i="138"/>
  <c r="H131" i="137" s="1"/>
  <c r="H16" i="138"/>
  <c r="I131" i="137" s="1"/>
  <c r="I16" i="138"/>
  <c r="J131" i="137" s="1"/>
  <c r="J16" i="138"/>
  <c r="K131" i="137" s="1"/>
  <c r="K16" i="138"/>
  <c r="L131" i="137" s="1"/>
  <c r="C17" i="138"/>
  <c r="D17" i="138"/>
  <c r="E17" i="138"/>
  <c r="F17" i="138"/>
  <c r="G17" i="138"/>
  <c r="H17" i="138"/>
  <c r="I17" i="138"/>
  <c r="J17" i="138"/>
  <c r="K17" i="138"/>
  <c r="C18" i="138"/>
  <c r="D18" i="138"/>
  <c r="E18" i="138"/>
  <c r="F18" i="138"/>
  <c r="G18" i="138"/>
  <c r="H18" i="138"/>
  <c r="I18" i="138"/>
  <c r="J18" i="138"/>
  <c r="K18" i="138"/>
  <c r="C19" i="138"/>
  <c r="D19" i="138"/>
  <c r="E19" i="138"/>
  <c r="F19" i="138"/>
  <c r="G19" i="138"/>
  <c r="H19" i="138"/>
  <c r="I19" i="138"/>
  <c r="J19" i="138"/>
  <c r="K19" i="138"/>
  <c r="C20" i="138"/>
  <c r="D20" i="138"/>
  <c r="E20" i="138"/>
  <c r="F20" i="138"/>
  <c r="G20" i="138"/>
  <c r="H20" i="138"/>
  <c r="I20" i="138"/>
  <c r="J20" i="138"/>
  <c r="K20" i="138"/>
  <c r="C21" i="138"/>
  <c r="D21" i="138"/>
  <c r="E21" i="138"/>
  <c r="F21" i="138"/>
  <c r="G21" i="138"/>
  <c r="H21" i="138"/>
  <c r="I21" i="138"/>
  <c r="J21" i="138"/>
  <c r="K21" i="138"/>
  <c r="C22" i="138"/>
  <c r="D199" i="137" s="1"/>
  <c r="D22" i="138"/>
  <c r="E199" i="137" s="1"/>
  <c r="E22" i="138"/>
  <c r="F199" i="137" s="1"/>
  <c r="F22" i="138"/>
  <c r="G199" i="137" s="1"/>
  <c r="G22" i="138"/>
  <c r="H199" i="137" s="1"/>
  <c r="H22" i="138"/>
  <c r="I199" i="137" s="1"/>
  <c r="I22" i="138"/>
  <c r="J199" i="137" s="1"/>
  <c r="J22" i="138"/>
  <c r="K199" i="137" s="1"/>
  <c r="K22" i="138"/>
  <c r="L199" i="137" s="1"/>
  <c r="C23" i="138"/>
  <c r="D23" i="138"/>
  <c r="E23" i="138"/>
  <c r="F23" i="138"/>
  <c r="G23" i="138"/>
  <c r="H23" i="138"/>
  <c r="I23" i="138"/>
  <c r="J23" i="138"/>
  <c r="K23" i="138"/>
  <c r="C24" i="138"/>
  <c r="D24" i="138"/>
  <c r="E24" i="138"/>
  <c r="F24" i="138"/>
  <c r="G24" i="138"/>
  <c r="H24" i="138"/>
  <c r="I24" i="138"/>
  <c r="J24" i="138"/>
  <c r="K24" i="138"/>
  <c r="C25" i="138"/>
  <c r="D25" i="138"/>
  <c r="E25" i="138"/>
  <c r="F25" i="138"/>
  <c r="G25" i="138"/>
  <c r="H25" i="138"/>
  <c r="I25" i="138"/>
  <c r="J25" i="138"/>
  <c r="K25" i="138"/>
  <c r="C26" i="138"/>
  <c r="D26" i="138"/>
  <c r="E26" i="138"/>
  <c r="F26" i="138"/>
  <c r="G26" i="138"/>
  <c r="H26" i="138"/>
  <c r="I26" i="138"/>
  <c r="J26" i="138"/>
  <c r="K26" i="138"/>
  <c r="C27" i="138"/>
  <c r="D27" i="138"/>
  <c r="E27" i="138"/>
  <c r="F27" i="138"/>
  <c r="G27" i="138"/>
  <c r="H27" i="138"/>
  <c r="I27" i="138"/>
  <c r="J27" i="138"/>
  <c r="K27" i="138"/>
  <c r="C28" i="138"/>
  <c r="D28" i="138"/>
  <c r="E28" i="138"/>
  <c r="F28" i="138"/>
  <c r="G28" i="138"/>
  <c r="H28" i="138"/>
  <c r="I28" i="138"/>
  <c r="J28" i="138"/>
  <c r="K28" i="138"/>
  <c r="C29" i="138"/>
  <c r="D29" i="138"/>
  <c r="E29" i="138"/>
  <c r="F29" i="138"/>
  <c r="G29" i="138"/>
  <c r="H29" i="138"/>
  <c r="I29" i="138"/>
  <c r="J29" i="138"/>
  <c r="K29" i="138"/>
  <c r="C30" i="138"/>
  <c r="D30" i="138"/>
  <c r="E30" i="138"/>
  <c r="F30" i="138"/>
  <c r="G30" i="138"/>
  <c r="H30" i="138"/>
  <c r="I30" i="138"/>
  <c r="J30" i="138"/>
  <c r="K30" i="138"/>
  <c r="C31" i="138"/>
  <c r="D31" i="138"/>
  <c r="E31" i="138"/>
  <c r="F31" i="138"/>
  <c r="G31" i="138"/>
  <c r="H31" i="138"/>
  <c r="I31" i="138"/>
  <c r="J31" i="138"/>
  <c r="K31" i="138"/>
  <c r="C32" i="138"/>
  <c r="D32" i="138"/>
  <c r="E32" i="138"/>
  <c r="F32" i="138"/>
  <c r="G32" i="138"/>
  <c r="H32" i="138"/>
  <c r="I32" i="138"/>
  <c r="J32" i="138"/>
  <c r="K32" i="138"/>
  <c r="C33" i="138"/>
  <c r="D33" i="138"/>
  <c r="E33" i="138"/>
  <c r="F33" i="138"/>
  <c r="G33" i="138"/>
  <c r="H33" i="138"/>
  <c r="I33" i="138"/>
  <c r="J33" i="138"/>
  <c r="K33" i="138"/>
  <c r="C34" i="138"/>
  <c r="D34" i="138"/>
  <c r="E34" i="138"/>
  <c r="F34" i="138"/>
  <c r="G34" i="138"/>
  <c r="H34" i="138"/>
  <c r="I34" i="138"/>
  <c r="J34" i="138"/>
  <c r="K34" i="138"/>
  <c r="C35" i="138"/>
  <c r="D35" i="138"/>
  <c r="E35" i="138"/>
  <c r="F35" i="138"/>
  <c r="G35" i="138"/>
  <c r="H35" i="138"/>
  <c r="I35" i="138"/>
  <c r="J35" i="138"/>
  <c r="K35" i="138"/>
  <c r="C36" i="138"/>
  <c r="D36" i="138"/>
  <c r="E36" i="138"/>
  <c r="F36" i="138"/>
  <c r="G36" i="138"/>
  <c r="H36" i="138"/>
  <c r="I36" i="138"/>
  <c r="J36" i="138"/>
  <c r="K36" i="138"/>
  <c r="C37" i="138"/>
  <c r="D37" i="138"/>
  <c r="E37" i="138"/>
  <c r="F37" i="138"/>
  <c r="G37" i="138"/>
  <c r="H37" i="138"/>
  <c r="I37" i="138"/>
  <c r="J37" i="138"/>
  <c r="K37" i="138"/>
  <c r="C38" i="138"/>
  <c r="D38" i="138"/>
  <c r="E38" i="138"/>
  <c r="F38" i="138"/>
  <c r="G38" i="138"/>
  <c r="H38" i="138"/>
  <c r="I38" i="138"/>
  <c r="J38" i="138"/>
  <c r="K38" i="138"/>
  <c r="C39" i="138"/>
  <c r="D39" i="138"/>
  <c r="E39" i="138"/>
  <c r="F39" i="138"/>
  <c r="G39" i="138"/>
  <c r="H39" i="138"/>
  <c r="I39" i="138"/>
  <c r="J39" i="138"/>
  <c r="K39" i="138"/>
  <c r="C40" i="138"/>
  <c r="D354" i="137" s="1"/>
  <c r="D40" i="138"/>
  <c r="E354" i="137" s="1"/>
  <c r="E40" i="138"/>
  <c r="F354" i="137" s="1"/>
  <c r="F40" i="138"/>
  <c r="G354" i="137" s="1"/>
  <c r="G40" i="138"/>
  <c r="H354" i="137" s="1"/>
  <c r="H40" i="138"/>
  <c r="I354" i="137" s="1"/>
  <c r="I40" i="138"/>
  <c r="J354" i="137" s="1"/>
  <c r="J40" i="138"/>
  <c r="K354" i="137" s="1"/>
  <c r="K40" i="138"/>
  <c r="L354" i="137" s="1"/>
  <c r="C41" i="138"/>
  <c r="D41" i="138"/>
  <c r="E41" i="138"/>
  <c r="F41" i="138"/>
  <c r="G41" i="138"/>
  <c r="H41" i="138"/>
  <c r="I41" i="138"/>
  <c r="J41" i="138"/>
  <c r="K41" i="138"/>
  <c r="C42" i="138"/>
  <c r="D42" i="138"/>
  <c r="E42" i="138"/>
  <c r="F42" i="138"/>
  <c r="G42" i="138"/>
  <c r="H42" i="138"/>
  <c r="I42" i="138"/>
  <c r="J42" i="138"/>
  <c r="K42" i="138"/>
  <c r="C43" i="138"/>
  <c r="D363" i="137" s="1"/>
  <c r="D43" i="138"/>
  <c r="E363" i="137" s="1"/>
  <c r="E43" i="138"/>
  <c r="F363" i="137" s="1"/>
  <c r="F43" i="138"/>
  <c r="G363" i="137" s="1"/>
  <c r="G43" i="138"/>
  <c r="H363" i="137" s="1"/>
  <c r="H43" i="138"/>
  <c r="I363" i="137" s="1"/>
  <c r="I43" i="138"/>
  <c r="J363" i="137" s="1"/>
  <c r="J43" i="138"/>
  <c r="K363" i="137" s="1"/>
  <c r="K43" i="138"/>
  <c r="L363" i="137" s="1"/>
  <c r="C44" i="138"/>
  <c r="D365" i="137" s="1"/>
  <c r="D44" i="138"/>
  <c r="E365" i="137" s="1"/>
  <c r="E44" i="138"/>
  <c r="F365" i="137" s="1"/>
  <c r="F44" i="138"/>
  <c r="G365" i="137" s="1"/>
  <c r="G44" i="138"/>
  <c r="H365" i="137" s="1"/>
  <c r="H44" i="138"/>
  <c r="I365" i="137" s="1"/>
  <c r="I44" i="138"/>
  <c r="J365" i="137" s="1"/>
  <c r="J44" i="138"/>
  <c r="K365" i="137" s="1"/>
  <c r="K44" i="138"/>
  <c r="L365" i="137" s="1"/>
  <c r="C45" i="138"/>
  <c r="D45" i="138"/>
  <c r="E45" i="138"/>
  <c r="F45" i="138"/>
  <c r="G45" i="138"/>
  <c r="H45" i="138"/>
  <c r="I45" i="138"/>
  <c r="J45" i="138"/>
  <c r="K45" i="138"/>
  <c r="C46" i="138"/>
  <c r="D46" i="138"/>
  <c r="E46" i="138"/>
  <c r="F46" i="138"/>
  <c r="G46" i="138"/>
  <c r="H46" i="138"/>
  <c r="I46" i="138"/>
  <c r="J46" i="138"/>
  <c r="K46" i="138"/>
  <c r="C47" i="138"/>
  <c r="D47" i="138"/>
  <c r="E47" i="138"/>
  <c r="F47" i="138"/>
  <c r="G47" i="138"/>
  <c r="H47" i="138"/>
  <c r="I47" i="138"/>
  <c r="J47" i="138"/>
  <c r="K47" i="138"/>
  <c r="C48" i="138"/>
  <c r="D48" i="138"/>
  <c r="E48" i="138"/>
  <c r="F48" i="138"/>
  <c r="G48" i="138"/>
  <c r="H48" i="138"/>
  <c r="I48" i="138"/>
  <c r="J48" i="138"/>
  <c r="K48" i="138"/>
  <c r="C49" i="138"/>
  <c r="D49" i="138"/>
  <c r="E49" i="138"/>
  <c r="F49" i="138"/>
  <c r="G49" i="138"/>
  <c r="H49" i="138"/>
  <c r="I49" i="138"/>
  <c r="J49" i="138"/>
  <c r="K49" i="138"/>
  <c r="C50" i="138"/>
  <c r="D376" i="137" s="1"/>
  <c r="D50" i="138"/>
  <c r="E376" i="137" s="1"/>
  <c r="E50" i="138"/>
  <c r="F376" i="137" s="1"/>
  <c r="F50" i="138"/>
  <c r="G376" i="137" s="1"/>
  <c r="G50" i="138"/>
  <c r="H376" i="137" s="1"/>
  <c r="H50" i="138"/>
  <c r="I376" i="137" s="1"/>
  <c r="I50" i="138"/>
  <c r="J376" i="137" s="1"/>
  <c r="J50" i="138"/>
  <c r="K376" i="137" s="1"/>
  <c r="K50" i="138"/>
  <c r="L376" i="137" s="1"/>
  <c r="C51" i="138"/>
  <c r="D51" i="138"/>
  <c r="E51" i="138"/>
  <c r="F51" i="138"/>
  <c r="G51" i="138"/>
  <c r="H51" i="138"/>
  <c r="I51" i="138"/>
  <c r="J51" i="138"/>
  <c r="K51" i="138"/>
  <c r="C52" i="138"/>
  <c r="D52" i="138"/>
  <c r="E52" i="138"/>
  <c r="F52" i="138"/>
  <c r="G52" i="138"/>
  <c r="H52" i="138"/>
  <c r="I52" i="138"/>
  <c r="J52" i="138"/>
  <c r="K52" i="138"/>
  <c r="C53" i="138"/>
  <c r="D393" i="137" s="1"/>
  <c r="D53" i="138"/>
  <c r="E393" i="137" s="1"/>
  <c r="E53" i="138"/>
  <c r="F393" i="137" s="1"/>
  <c r="F53" i="138"/>
  <c r="G393" i="137" s="1"/>
  <c r="G53" i="138"/>
  <c r="H393" i="137" s="1"/>
  <c r="H53" i="138"/>
  <c r="I393" i="137" s="1"/>
  <c r="I53" i="138"/>
  <c r="J393" i="137" s="1"/>
  <c r="J53" i="138"/>
  <c r="K393" i="137" s="1"/>
  <c r="K53" i="138"/>
  <c r="L393" i="137" s="1"/>
  <c r="C54" i="138"/>
  <c r="D1269" i="137" s="1"/>
  <c r="V42" i="137" s="1"/>
  <c r="D54" i="138"/>
  <c r="E1269" i="137" s="1"/>
  <c r="W42" i="137" s="1"/>
  <c r="E54" i="138"/>
  <c r="F1269" i="137" s="1"/>
  <c r="X42" i="137" s="1"/>
  <c r="F54" i="138"/>
  <c r="G1269" i="137" s="1"/>
  <c r="Y42" i="137" s="1"/>
  <c r="G54" i="138"/>
  <c r="H1269" i="137" s="1"/>
  <c r="Z42" i="137" s="1"/>
  <c r="H54" i="138"/>
  <c r="I1269" i="137" s="1"/>
  <c r="AA42" i="137" s="1"/>
  <c r="I54" i="138"/>
  <c r="J1269" i="137" s="1"/>
  <c r="AB42" i="137" s="1"/>
  <c r="J54" i="138"/>
  <c r="K1269" i="137" s="1"/>
  <c r="AC42" i="137" s="1"/>
  <c r="K54" i="138"/>
  <c r="L1269" i="137" s="1"/>
  <c r="AD42" i="137" s="1"/>
  <c r="C55" i="138"/>
  <c r="D1229" i="137" s="1"/>
  <c r="V41" i="137" s="1"/>
  <c r="D55" i="138"/>
  <c r="E1229" i="137" s="1"/>
  <c r="W41" i="137" s="1"/>
  <c r="E55" i="138"/>
  <c r="F1229" i="137" s="1"/>
  <c r="X41" i="137" s="1"/>
  <c r="F55" i="138"/>
  <c r="G1229" i="137" s="1"/>
  <c r="Y41" i="137" s="1"/>
  <c r="G55" i="138"/>
  <c r="H1229" i="137" s="1"/>
  <c r="Z41" i="137" s="1"/>
  <c r="H55" i="138"/>
  <c r="I1229" i="137" s="1"/>
  <c r="AA41" i="137" s="1"/>
  <c r="I55" i="138"/>
  <c r="J1229" i="137" s="1"/>
  <c r="AB41" i="137" s="1"/>
  <c r="J55" i="138"/>
  <c r="K1229" i="137" s="1"/>
  <c r="AC41" i="137" s="1"/>
  <c r="K55" i="138"/>
  <c r="L1229" i="137" s="1"/>
  <c r="AD41" i="137" s="1"/>
  <c r="C56" i="138"/>
  <c r="D56" i="138"/>
  <c r="E56" i="138"/>
  <c r="F56" i="138"/>
  <c r="G56" i="138"/>
  <c r="H56" i="138"/>
  <c r="I56" i="138"/>
  <c r="J56" i="138"/>
  <c r="K56" i="138"/>
  <c r="C57" i="138"/>
  <c r="D57" i="138"/>
  <c r="E57" i="138"/>
  <c r="F57" i="138"/>
  <c r="G57" i="138"/>
  <c r="H57" i="138"/>
  <c r="I57" i="138"/>
  <c r="J57" i="138"/>
  <c r="K57" i="138"/>
  <c r="C58" i="138"/>
  <c r="D58" i="138"/>
  <c r="E58" i="138"/>
  <c r="F58" i="138"/>
  <c r="G58" i="138"/>
  <c r="H58" i="138"/>
  <c r="I58" i="138"/>
  <c r="J58" i="138"/>
  <c r="K58" i="138"/>
  <c r="C59" i="138"/>
  <c r="D59" i="138"/>
  <c r="E59" i="138"/>
  <c r="F59" i="138"/>
  <c r="G59" i="138"/>
  <c r="H59" i="138"/>
  <c r="I59" i="138"/>
  <c r="J59" i="138"/>
  <c r="K59" i="138"/>
  <c r="C60" i="138"/>
  <c r="D60" i="138"/>
  <c r="E60" i="138"/>
  <c r="F60" i="138"/>
  <c r="G60" i="138"/>
  <c r="H60" i="138"/>
  <c r="I60" i="138"/>
  <c r="J60" i="138"/>
  <c r="K60" i="138"/>
  <c r="C61" i="138"/>
  <c r="D61" i="138"/>
  <c r="E61" i="138"/>
  <c r="F61" i="138"/>
  <c r="G61" i="138"/>
  <c r="H61" i="138"/>
  <c r="I61" i="138"/>
  <c r="J61" i="138"/>
  <c r="K61" i="138"/>
  <c r="C62" i="138"/>
  <c r="D62" i="138"/>
  <c r="E62" i="138"/>
  <c r="F62" i="138"/>
  <c r="G62" i="138"/>
  <c r="H62" i="138"/>
  <c r="I62" i="138"/>
  <c r="J62" i="138"/>
  <c r="K62" i="138"/>
  <c r="C63" i="138"/>
  <c r="D63" i="138"/>
  <c r="E63" i="138"/>
  <c r="F63" i="138"/>
  <c r="G63" i="138"/>
  <c r="H63" i="138"/>
  <c r="I63" i="138"/>
  <c r="J63" i="138"/>
  <c r="K63" i="138"/>
  <c r="C64" i="138"/>
  <c r="D450" i="137" s="1"/>
  <c r="D64" i="138"/>
  <c r="E450" i="137" s="1"/>
  <c r="E64" i="138"/>
  <c r="F450" i="137" s="1"/>
  <c r="F64" i="138"/>
  <c r="G450" i="137" s="1"/>
  <c r="G64" i="138"/>
  <c r="H450" i="137" s="1"/>
  <c r="H64" i="138"/>
  <c r="I450" i="137" s="1"/>
  <c r="I64" i="138"/>
  <c r="J450" i="137" s="1"/>
  <c r="J64" i="138"/>
  <c r="K450" i="137" s="1"/>
  <c r="K64" i="138"/>
  <c r="L450" i="137" s="1"/>
  <c r="C65" i="138"/>
  <c r="D65" i="138"/>
  <c r="E65" i="138"/>
  <c r="F65" i="138"/>
  <c r="G65" i="138"/>
  <c r="H65" i="138"/>
  <c r="I65" i="138"/>
  <c r="J65" i="138"/>
  <c r="K65" i="138"/>
  <c r="C66" i="138"/>
  <c r="D66" i="138"/>
  <c r="E66" i="138"/>
  <c r="F66" i="138"/>
  <c r="G66" i="138"/>
  <c r="H66" i="138"/>
  <c r="I66" i="138"/>
  <c r="J66" i="138"/>
  <c r="K66" i="138"/>
  <c r="C67" i="138"/>
  <c r="D67" i="138"/>
  <c r="E67" i="138"/>
  <c r="F67" i="138"/>
  <c r="G67" i="138"/>
  <c r="H67" i="138"/>
  <c r="I67" i="138"/>
  <c r="J67" i="138"/>
  <c r="K67" i="138"/>
  <c r="C68" i="138"/>
  <c r="D68" i="138"/>
  <c r="E68" i="138"/>
  <c r="F68" i="138"/>
  <c r="G68" i="138"/>
  <c r="H68" i="138"/>
  <c r="I68" i="138"/>
  <c r="J68" i="138"/>
  <c r="K68" i="138"/>
  <c r="C69" i="138"/>
  <c r="D69" i="138"/>
  <c r="E69" i="138"/>
  <c r="F69" i="138"/>
  <c r="G69" i="138"/>
  <c r="H69" i="138"/>
  <c r="I69" i="138"/>
  <c r="J69" i="138"/>
  <c r="K69" i="138"/>
  <c r="C70" i="138"/>
  <c r="D70" i="138"/>
  <c r="E70" i="138"/>
  <c r="F70" i="138"/>
  <c r="G70" i="138"/>
  <c r="H70" i="138"/>
  <c r="I70" i="138"/>
  <c r="J70" i="138"/>
  <c r="K70" i="138"/>
  <c r="C71" i="138"/>
  <c r="D490" i="137" s="1"/>
  <c r="D71" i="138"/>
  <c r="E490" i="137" s="1"/>
  <c r="E71" i="138"/>
  <c r="F490" i="137" s="1"/>
  <c r="F71" i="138"/>
  <c r="G490" i="137" s="1"/>
  <c r="G71" i="138"/>
  <c r="H490" i="137" s="1"/>
  <c r="H71" i="138"/>
  <c r="I490" i="137" s="1"/>
  <c r="I71" i="138"/>
  <c r="J490" i="137" s="1"/>
  <c r="J71" i="138"/>
  <c r="K490" i="137" s="1"/>
  <c r="K71" i="138"/>
  <c r="L490" i="137" s="1"/>
  <c r="C72" i="138"/>
  <c r="D72" i="138"/>
  <c r="E72" i="138"/>
  <c r="F72" i="138"/>
  <c r="G72" i="138"/>
  <c r="H72" i="138"/>
  <c r="I72" i="138"/>
  <c r="J72" i="138"/>
  <c r="K72" i="138"/>
  <c r="C73" i="138"/>
  <c r="D73" i="138"/>
  <c r="E73" i="138"/>
  <c r="F73" i="138"/>
  <c r="G73" i="138"/>
  <c r="H73" i="138"/>
  <c r="I73" i="138"/>
  <c r="J73" i="138"/>
  <c r="K73" i="138"/>
  <c r="C74" i="138"/>
  <c r="D74" i="138"/>
  <c r="E74" i="138"/>
  <c r="F74" i="138"/>
  <c r="G74" i="138"/>
  <c r="H74" i="138"/>
  <c r="I74" i="138"/>
  <c r="J74" i="138"/>
  <c r="K74" i="138"/>
  <c r="C75" i="138"/>
  <c r="D75" i="138"/>
  <c r="E75" i="138"/>
  <c r="F75" i="138"/>
  <c r="G75" i="138"/>
  <c r="H75" i="138"/>
  <c r="I75" i="138"/>
  <c r="J75" i="138"/>
  <c r="K75" i="138"/>
  <c r="C76" i="138"/>
  <c r="D76" i="138"/>
  <c r="E76" i="138"/>
  <c r="F76" i="138"/>
  <c r="G76" i="138"/>
  <c r="H76" i="138"/>
  <c r="I76" i="138"/>
  <c r="J76" i="138"/>
  <c r="K76" i="138"/>
  <c r="C77" i="138"/>
  <c r="D77" i="138"/>
  <c r="E77" i="138"/>
  <c r="F77" i="138"/>
  <c r="G77" i="138"/>
  <c r="H77" i="138"/>
  <c r="I77" i="138"/>
  <c r="J77" i="138"/>
  <c r="K77" i="138"/>
  <c r="C78" i="138"/>
  <c r="D514" i="137" s="1"/>
  <c r="D78" i="138"/>
  <c r="E514" i="137" s="1"/>
  <c r="E78" i="138"/>
  <c r="F514" i="137" s="1"/>
  <c r="F78" i="138"/>
  <c r="G514" i="137" s="1"/>
  <c r="G78" i="138"/>
  <c r="H514" i="137" s="1"/>
  <c r="H78" i="138"/>
  <c r="I514" i="137" s="1"/>
  <c r="I78" i="138"/>
  <c r="J514" i="137" s="1"/>
  <c r="J78" i="138"/>
  <c r="K514" i="137" s="1"/>
  <c r="K78" i="138"/>
  <c r="L514" i="137" s="1"/>
  <c r="D520" i="137"/>
  <c r="E520" i="137"/>
  <c r="F520" i="137"/>
  <c r="G520" i="137"/>
  <c r="H520" i="137"/>
  <c r="I520" i="137"/>
  <c r="J520" i="137"/>
  <c r="K520" i="137"/>
  <c r="L520" i="137"/>
  <c r="D521" i="137"/>
  <c r="E521" i="137"/>
  <c r="F521" i="137"/>
  <c r="G521" i="137"/>
  <c r="H521" i="137"/>
  <c r="I521" i="137"/>
  <c r="J521" i="137"/>
  <c r="K521" i="137"/>
  <c r="L521" i="137"/>
  <c r="D523" i="137"/>
  <c r="E523" i="137"/>
  <c r="F523" i="137"/>
  <c r="G523" i="137"/>
  <c r="H523" i="137"/>
  <c r="I523" i="137"/>
  <c r="J523" i="137"/>
  <c r="K523" i="137"/>
  <c r="L523" i="137"/>
  <c r="D526" i="137"/>
  <c r="E526" i="137"/>
  <c r="F526" i="137"/>
  <c r="G526" i="137"/>
  <c r="H526" i="137"/>
  <c r="I526" i="137"/>
  <c r="J526" i="137"/>
  <c r="K526" i="137"/>
  <c r="L526" i="137"/>
  <c r="D530" i="137"/>
  <c r="E530" i="137"/>
  <c r="F530" i="137"/>
  <c r="G530" i="137"/>
  <c r="H530" i="137"/>
  <c r="I530" i="137"/>
  <c r="J530" i="137"/>
  <c r="K530" i="137"/>
  <c r="L530" i="137"/>
  <c r="D532" i="137"/>
  <c r="E532" i="137"/>
  <c r="F532" i="137"/>
  <c r="G532" i="137"/>
  <c r="H532" i="137"/>
  <c r="I532" i="137"/>
  <c r="J532" i="137"/>
  <c r="K532" i="137"/>
  <c r="L532" i="137"/>
  <c r="D538" i="137"/>
  <c r="E538" i="137"/>
  <c r="F538" i="137"/>
  <c r="G538" i="137"/>
  <c r="H538" i="137"/>
  <c r="I538" i="137"/>
  <c r="J538" i="137"/>
  <c r="K538" i="137"/>
  <c r="L538" i="137"/>
  <c r="D539" i="137"/>
  <c r="E539" i="137"/>
  <c r="F539" i="137"/>
  <c r="G539" i="137"/>
  <c r="H539" i="137"/>
  <c r="I539" i="137"/>
  <c r="J539" i="137"/>
  <c r="K539" i="137"/>
  <c r="L539" i="137"/>
  <c r="D540" i="137"/>
  <c r="E540" i="137"/>
  <c r="F540" i="137"/>
  <c r="G540" i="137"/>
  <c r="H540" i="137"/>
  <c r="I540" i="137"/>
  <c r="J540" i="137"/>
  <c r="K540" i="137"/>
  <c r="L540" i="137"/>
  <c r="D543" i="137"/>
  <c r="E543" i="137"/>
  <c r="F543" i="137"/>
  <c r="G543" i="137"/>
  <c r="H543" i="137"/>
  <c r="I543" i="137"/>
  <c r="J543" i="137"/>
  <c r="K543" i="137"/>
  <c r="L543" i="137"/>
  <c r="D548" i="137"/>
  <c r="E548" i="137"/>
  <c r="F548" i="137"/>
  <c r="G548" i="137"/>
  <c r="H548" i="137"/>
  <c r="I548" i="137"/>
  <c r="J548" i="137"/>
  <c r="K548" i="137"/>
  <c r="L548" i="137"/>
  <c r="D549" i="137"/>
  <c r="E549" i="137"/>
  <c r="F549" i="137"/>
  <c r="G549" i="137"/>
  <c r="H549" i="137"/>
  <c r="I549" i="137"/>
  <c r="J549" i="137"/>
  <c r="K549" i="137"/>
  <c r="L549" i="137"/>
  <c r="D550" i="137"/>
  <c r="E550" i="137"/>
  <c r="F550" i="137"/>
  <c r="G550" i="137"/>
  <c r="H550" i="137"/>
  <c r="I550" i="137"/>
  <c r="J550" i="137"/>
  <c r="K550" i="137"/>
  <c r="L550" i="137"/>
  <c r="D556" i="137"/>
  <c r="E556" i="137"/>
  <c r="F556" i="137"/>
  <c r="G556" i="137"/>
  <c r="H556" i="137"/>
  <c r="I556" i="137"/>
  <c r="J556" i="137"/>
  <c r="K556" i="137"/>
  <c r="L556" i="137"/>
  <c r="D558" i="137"/>
  <c r="E558" i="137"/>
  <c r="F558" i="137"/>
  <c r="G558" i="137"/>
  <c r="H558" i="137"/>
  <c r="I558" i="137"/>
  <c r="J558" i="137"/>
  <c r="K558" i="137"/>
  <c r="L558" i="137"/>
  <c r="D560" i="137"/>
  <c r="E560" i="137"/>
  <c r="F560" i="137"/>
  <c r="G560" i="137"/>
  <c r="H560" i="137"/>
  <c r="I560" i="137"/>
  <c r="J560" i="137"/>
  <c r="K560" i="137"/>
  <c r="L560" i="137"/>
  <c r="D564" i="137"/>
  <c r="E564" i="137"/>
  <c r="F564" i="137"/>
  <c r="G564" i="137"/>
  <c r="H564" i="137"/>
  <c r="I564" i="137"/>
  <c r="J564" i="137"/>
  <c r="K564" i="137"/>
  <c r="L564" i="137"/>
  <c r="D567" i="137"/>
  <c r="E567" i="137"/>
  <c r="F567" i="137"/>
  <c r="G567" i="137"/>
  <c r="H567" i="137"/>
  <c r="I567" i="137"/>
  <c r="J567" i="137"/>
  <c r="K567" i="137"/>
  <c r="L567" i="137"/>
  <c r="D569" i="137"/>
  <c r="E569" i="137"/>
  <c r="F569" i="137"/>
  <c r="G569" i="137"/>
  <c r="H569" i="137"/>
  <c r="I569" i="137"/>
  <c r="J569" i="137"/>
  <c r="K569" i="137"/>
  <c r="L569" i="137"/>
  <c r="D570" i="137"/>
  <c r="E570" i="137"/>
  <c r="F570" i="137"/>
  <c r="G570" i="137"/>
  <c r="H570" i="137"/>
  <c r="I570" i="137"/>
  <c r="J570" i="137"/>
  <c r="K570" i="137"/>
  <c r="L570" i="137"/>
  <c r="D571" i="137"/>
  <c r="E571" i="137"/>
  <c r="F571" i="137"/>
  <c r="G571" i="137"/>
  <c r="H571" i="137"/>
  <c r="I571" i="137"/>
  <c r="J571" i="137"/>
  <c r="K571" i="137"/>
  <c r="L571" i="137"/>
  <c r="D572" i="137"/>
  <c r="E572" i="137"/>
  <c r="F572" i="137"/>
  <c r="G572" i="137"/>
  <c r="H572" i="137"/>
  <c r="I572" i="137"/>
  <c r="J572" i="137"/>
  <c r="K572" i="137"/>
  <c r="L572" i="137"/>
  <c r="D574" i="137"/>
  <c r="E574" i="137"/>
  <c r="F574" i="137"/>
  <c r="G574" i="137"/>
  <c r="H574" i="137"/>
  <c r="I574" i="137"/>
  <c r="J574" i="137"/>
  <c r="K574" i="137"/>
  <c r="L574" i="137"/>
  <c r="D575" i="137"/>
  <c r="E575" i="137"/>
  <c r="F575" i="137"/>
  <c r="G575" i="137"/>
  <c r="H575" i="137"/>
  <c r="I575" i="137"/>
  <c r="J575" i="137"/>
  <c r="K575" i="137"/>
  <c r="L575" i="137"/>
  <c r="D579" i="137"/>
  <c r="E579" i="137"/>
  <c r="F579" i="137"/>
  <c r="G579" i="137"/>
  <c r="H579" i="137"/>
  <c r="I579" i="137"/>
  <c r="J579" i="137"/>
  <c r="K579" i="137"/>
  <c r="L579" i="137"/>
  <c r="D582" i="137"/>
  <c r="E582" i="137"/>
  <c r="F582" i="137"/>
  <c r="H582" i="137"/>
  <c r="I582" i="137"/>
  <c r="J582" i="137"/>
  <c r="L582" i="137"/>
  <c r="D586" i="137"/>
  <c r="E586" i="137"/>
  <c r="F586" i="137"/>
  <c r="G586" i="137"/>
  <c r="H586" i="137"/>
  <c r="I586" i="137"/>
  <c r="J586" i="137"/>
  <c r="K586" i="137"/>
  <c r="L586" i="137"/>
  <c r="D587" i="137"/>
  <c r="E587" i="137"/>
  <c r="G587" i="137"/>
  <c r="H587" i="137"/>
  <c r="I587" i="137"/>
  <c r="K587" i="137"/>
  <c r="L587" i="137"/>
  <c r="D588" i="137"/>
  <c r="E588" i="137"/>
  <c r="F588" i="137"/>
  <c r="G588" i="137"/>
  <c r="H588" i="137"/>
  <c r="I588" i="137"/>
  <c r="J588" i="137"/>
  <c r="K588" i="137"/>
  <c r="L588" i="137"/>
  <c r="D589" i="137"/>
  <c r="E589" i="137"/>
  <c r="F589" i="137"/>
  <c r="G589" i="137"/>
  <c r="H589" i="137"/>
  <c r="I589" i="137"/>
  <c r="J589" i="137"/>
  <c r="K589" i="137"/>
  <c r="L589" i="137"/>
  <c r="D590" i="137"/>
  <c r="E590" i="137"/>
  <c r="F590" i="137"/>
  <c r="G590" i="137"/>
  <c r="H590" i="137"/>
  <c r="I590" i="137"/>
  <c r="J590" i="137"/>
  <c r="K590" i="137"/>
  <c r="L590" i="137"/>
  <c r="D593" i="137"/>
  <c r="E593" i="137"/>
  <c r="F593" i="137"/>
  <c r="G593" i="137"/>
  <c r="H593" i="137"/>
  <c r="I593" i="137"/>
  <c r="J593" i="137"/>
  <c r="K593" i="137"/>
  <c r="L593" i="137"/>
  <c r="D599" i="137"/>
  <c r="E599" i="137"/>
  <c r="F599" i="137"/>
  <c r="G599" i="137"/>
  <c r="H599" i="137"/>
  <c r="I599" i="137"/>
  <c r="J599" i="137"/>
  <c r="K599" i="137"/>
  <c r="L599" i="137"/>
  <c r="D606" i="137"/>
  <c r="E606" i="137"/>
  <c r="F606" i="137"/>
  <c r="G606" i="137"/>
  <c r="H606" i="137"/>
  <c r="I606" i="137"/>
  <c r="J606" i="137"/>
  <c r="K606" i="137"/>
  <c r="L606" i="137"/>
  <c r="D609" i="137"/>
  <c r="E609" i="137"/>
  <c r="F609" i="137"/>
  <c r="G609" i="137"/>
  <c r="H609" i="137"/>
  <c r="I609" i="137"/>
  <c r="J609" i="137"/>
  <c r="K609" i="137"/>
  <c r="L609" i="137"/>
  <c r="D613" i="137"/>
  <c r="E613" i="137"/>
  <c r="F613" i="137"/>
  <c r="G613" i="137"/>
  <c r="H613" i="137"/>
  <c r="I613" i="137"/>
  <c r="J613" i="137"/>
  <c r="K613" i="137"/>
  <c r="L613" i="137"/>
  <c r="D623" i="137"/>
  <c r="E623" i="137"/>
  <c r="F623" i="137"/>
  <c r="G623" i="137"/>
  <c r="H623" i="137"/>
  <c r="I623" i="137"/>
  <c r="J623" i="137"/>
  <c r="K623" i="137"/>
  <c r="L623" i="137"/>
  <c r="D625" i="137"/>
  <c r="E625" i="137"/>
  <c r="F625" i="137"/>
  <c r="G625" i="137"/>
  <c r="H625" i="137"/>
  <c r="I625" i="137"/>
  <c r="J625" i="137"/>
  <c r="K625" i="137"/>
  <c r="L625" i="137"/>
  <c r="D626" i="137"/>
  <c r="E626" i="137"/>
  <c r="F626" i="137"/>
  <c r="G626" i="137"/>
  <c r="H626" i="137"/>
  <c r="I626" i="137"/>
  <c r="J626" i="137"/>
  <c r="K626" i="137"/>
  <c r="L626" i="137"/>
  <c r="D632" i="137"/>
  <c r="E632" i="137"/>
  <c r="F632" i="137"/>
  <c r="G632" i="137"/>
  <c r="H632" i="137"/>
  <c r="I632" i="137"/>
  <c r="J632" i="137"/>
  <c r="K632" i="137"/>
  <c r="L632" i="137"/>
  <c r="D636" i="137"/>
  <c r="E636" i="137"/>
  <c r="F636" i="137"/>
  <c r="G636" i="137"/>
  <c r="H636" i="137"/>
  <c r="I636" i="137"/>
  <c r="J636" i="137"/>
  <c r="K636" i="137"/>
  <c r="L636" i="137"/>
  <c r="D637" i="137"/>
  <c r="E637" i="137"/>
  <c r="F637" i="137"/>
  <c r="G637" i="137"/>
  <c r="H637" i="137"/>
  <c r="I637" i="137"/>
  <c r="J637" i="137"/>
  <c r="K637" i="137"/>
  <c r="L637" i="137"/>
  <c r="D639" i="137"/>
  <c r="E639" i="137"/>
  <c r="F639" i="137"/>
  <c r="G639" i="137"/>
  <c r="H639" i="137"/>
  <c r="I639" i="137"/>
  <c r="J639" i="137"/>
  <c r="K639" i="137"/>
  <c r="L639" i="137"/>
  <c r="D642" i="137"/>
  <c r="E642" i="137"/>
  <c r="F642" i="137"/>
  <c r="G642" i="137"/>
  <c r="H642" i="137"/>
  <c r="I642" i="137"/>
  <c r="J642" i="137"/>
  <c r="K642" i="137"/>
  <c r="L642" i="137"/>
  <c r="D648" i="137"/>
  <c r="E648" i="137"/>
  <c r="F648" i="137"/>
  <c r="G648" i="137"/>
  <c r="H648" i="137"/>
  <c r="I648" i="137"/>
  <c r="J648" i="137"/>
  <c r="K648" i="137"/>
  <c r="L648" i="137"/>
  <c r="D649" i="137"/>
  <c r="E649" i="137"/>
  <c r="F649" i="137"/>
  <c r="G649" i="137"/>
  <c r="H649" i="137"/>
  <c r="I649" i="137"/>
  <c r="J649" i="137"/>
  <c r="K649" i="137"/>
  <c r="L649" i="137"/>
  <c r="D650" i="137"/>
  <c r="E650" i="137"/>
  <c r="F650" i="137"/>
  <c r="G650" i="137"/>
  <c r="H650" i="137"/>
  <c r="I650" i="137"/>
  <c r="J650" i="137"/>
  <c r="K650" i="137"/>
  <c r="L650" i="137"/>
  <c r="D661" i="137"/>
  <c r="E661" i="137"/>
  <c r="F661" i="137"/>
  <c r="G661" i="137"/>
  <c r="H661" i="137"/>
  <c r="I661" i="137"/>
  <c r="J661" i="137"/>
  <c r="K661" i="137"/>
  <c r="L661" i="137"/>
  <c r="D669" i="137"/>
  <c r="E669" i="137"/>
  <c r="F669" i="137"/>
  <c r="G669" i="137"/>
  <c r="H669" i="137"/>
  <c r="I669" i="137"/>
  <c r="J669" i="137"/>
  <c r="K669" i="137"/>
  <c r="L669" i="137"/>
  <c r="D670" i="137"/>
  <c r="E670" i="137"/>
  <c r="F670" i="137"/>
  <c r="G670" i="137"/>
  <c r="H670" i="137"/>
  <c r="I670" i="137"/>
  <c r="J670" i="137"/>
  <c r="K670" i="137"/>
  <c r="L670" i="137"/>
  <c r="D675" i="137"/>
  <c r="E675" i="137"/>
  <c r="F675" i="137"/>
  <c r="G675" i="137"/>
  <c r="H675" i="137"/>
  <c r="I675" i="137"/>
  <c r="J675" i="137"/>
  <c r="K675" i="137"/>
  <c r="L675" i="137"/>
  <c r="D676" i="137"/>
  <c r="E676" i="137"/>
  <c r="F676" i="137"/>
  <c r="G676" i="137"/>
  <c r="H676" i="137"/>
  <c r="I676" i="137"/>
  <c r="J676" i="137"/>
  <c r="K676" i="137"/>
  <c r="L676" i="137"/>
  <c r="D681" i="137"/>
  <c r="E681" i="137"/>
  <c r="F681" i="137"/>
  <c r="G681" i="137"/>
  <c r="H681" i="137"/>
  <c r="I681" i="137"/>
  <c r="J681" i="137"/>
  <c r="K681" i="137"/>
  <c r="L681" i="137"/>
  <c r="D713" i="137"/>
  <c r="E713" i="137"/>
  <c r="F713" i="137"/>
  <c r="G713" i="137"/>
  <c r="H713" i="137"/>
  <c r="I713" i="137"/>
  <c r="J713" i="137"/>
  <c r="K713" i="137"/>
  <c r="L713" i="137"/>
  <c r="D720" i="137"/>
  <c r="E720" i="137"/>
  <c r="F720" i="137"/>
  <c r="G720" i="137"/>
  <c r="H720" i="137"/>
  <c r="I720" i="137"/>
  <c r="J720" i="137"/>
  <c r="K720" i="137"/>
  <c r="L720" i="137"/>
  <c r="D724" i="137"/>
  <c r="E724" i="137"/>
  <c r="F724" i="137"/>
  <c r="G724" i="137"/>
  <c r="H724" i="137"/>
  <c r="I724" i="137"/>
  <c r="J724" i="137"/>
  <c r="K724" i="137"/>
  <c r="L724" i="137"/>
  <c r="D725" i="137"/>
  <c r="E725" i="137"/>
  <c r="F725" i="137"/>
  <c r="G725" i="137"/>
  <c r="H725" i="137"/>
  <c r="I725" i="137"/>
  <c r="J725" i="137"/>
  <c r="K725" i="137"/>
  <c r="L725" i="137"/>
  <c r="D737" i="137"/>
  <c r="E737" i="137"/>
  <c r="F737" i="137"/>
  <c r="G737" i="137"/>
  <c r="H737" i="137"/>
  <c r="I737" i="137"/>
  <c r="J737" i="137"/>
  <c r="K737" i="137"/>
  <c r="L737" i="137"/>
  <c r="D739" i="137"/>
  <c r="E739" i="137"/>
  <c r="F739" i="137"/>
  <c r="G739" i="137"/>
  <c r="H739" i="137"/>
  <c r="I739" i="137"/>
  <c r="J739" i="137"/>
  <c r="K739" i="137"/>
  <c r="L739" i="137"/>
  <c r="D740" i="137"/>
  <c r="E740" i="137"/>
  <c r="F740" i="137"/>
  <c r="G740" i="137"/>
  <c r="H740" i="137"/>
  <c r="I740" i="137"/>
  <c r="J740" i="137"/>
  <c r="K740" i="137"/>
  <c r="L740" i="137"/>
  <c r="D752" i="137"/>
  <c r="E752" i="137"/>
  <c r="F752" i="137"/>
  <c r="G752" i="137"/>
  <c r="H752" i="137"/>
  <c r="I752" i="137"/>
  <c r="J752" i="137"/>
  <c r="K752" i="137"/>
  <c r="L752" i="137"/>
  <c r="D759" i="137"/>
  <c r="E759" i="137"/>
  <c r="F759" i="137"/>
  <c r="G759" i="137"/>
  <c r="H759" i="137"/>
  <c r="I759" i="137"/>
  <c r="J759" i="137"/>
  <c r="K759" i="137"/>
  <c r="L759" i="137"/>
  <c r="D760" i="137"/>
  <c r="E760" i="137"/>
  <c r="F760" i="137"/>
  <c r="G760" i="137"/>
  <c r="H760" i="137"/>
  <c r="I760" i="137"/>
  <c r="J760" i="137"/>
  <c r="K760" i="137"/>
  <c r="L760" i="137"/>
  <c r="D761" i="137"/>
  <c r="E761" i="137"/>
  <c r="F761" i="137"/>
  <c r="G761" i="137"/>
  <c r="H761" i="137"/>
  <c r="I761" i="137"/>
  <c r="J761" i="137"/>
  <c r="K761" i="137"/>
  <c r="L761" i="137"/>
  <c r="D763" i="137"/>
  <c r="E763" i="137"/>
  <c r="F763" i="137"/>
  <c r="G763" i="137"/>
  <c r="H763" i="137"/>
  <c r="I763" i="137"/>
  <c r="J763" i="137"/>
  <c r="K763" i="137"/>
  <c r="L763" i="137"/>
  <c r="D764" i="137"/>
  <c r="E764" i="137"/>
  <c r="F764" i="137"/>
  <c r="G764" i="137"/>
  <c r="H764" i="137"/>
  <c r="I764" i="137"/>
  <c r="J764" i="137"/>
  <c r="K764" i="137"/>
  <c r="L764" i="137"/>
  <c r="D765" i="137"/>
  <c r="E765" i="137"/>
  <c r="F765" i="137"/>
  <c r="G765" i="137"/>
  <c r="H765" i="137"/>
  <c r="I765" i="137"/>
  <c r="J765" i="137"/>
  <c r="K765" i="137"/>
  <c r="L765" i="137"/>
  <c r="D767" i="137"/>
  <c r="E767" i="137"/>
  <c r="F767" i="137"/>
  <c r="G767" i="137"/>
  <c r="H767" i="137"/>
  <c r="I767" i="137"/>
  <c r="J767" i="137"/>
  <c r="K767" i="137"/>
  <c r="L767" i="137"/>
  <c r="D768" i="137"/>
  <c r="E768" i="137"/>
  <c r="F768" i="137"/>
  <c r="G768" i="137"/>
  <c r="H768" i="137"/>
  <c r="I768" i="137"/>
  <c r="J768" i="137"/>
  <c r="K768" i="137"/>
  <c r="L768" i="137"/>
  <c r="D777" i="137"/>
  <c r="E777" i="137"/>
  <c r="F777" i="137"/>
  <c r="G777" i="137"/>
  <c r="H777" i="137"/>
  <c r="I777" i="137"/>
  <c r="J777" i="137"/>
  <c r="K777" i="137"/>
  <c r="L777" i="137"/>
  <c r="D780" i="137"/>
  <c r="E780" i="137"/>
  <c r="F780" i="137"/>
  <c r="G780" i="137"/>
  <c r="H780" i="137"/>
  <c r="I780" i="137"/>
  <c r="J780" i="137"/>
  <c r="K780" i="137"/>
  <c r="L780" i="137"/>
  <c r="D785" i="137"/>
  <c r="E785" i="137"/>
  <c r="F785" i="137"/>
  <c r="G785" i="137"/>
  <c r="H785" i="137"/>
  <c r="I785" i="137"/>
  <c r="J785" i="137"/>
  <c r="K785" i="137"/>
  <c r="L785" i="137"/>
  <c r="D797" i="137"/>
  <c r="E797" i="137"/>
  <c r="F797" i="137"/>
  <c r="G797" i="137"/>
  <c r="H797" i="137"/>
  <c r="I797" i="137"/>
  <c r="J797" i="137"/>
  <c r="K797" i="137"/>
  <c r="L797" i="137"/>
  <c r="D800" i="137"/>
  <c r="E800" i="137"/>
  <c r="F800" i="137"/>
  <c r="G800" i="137"/>
  <c r="H800" i="137"/>
  <c r="I800" i="137"/>
  <c r="J800" i="137"/>
  <c r="K800" i="137"/>
  <c r="L800" i="137"/>
  <c r="D804" i="137"/>
  <c r="E804" i="137"/>
  <c r="F804" i="137"/>
  <c r="G804" i="137"/>
  <c r="H804" i="137"/>
  <c r="I804" i="137"/>
  <c r="J804" i="137"/>
  <c r="K804" i="137"/>
  <c r="L804" i="137"/>
  <c r="D805" i="137"/>
  <c r="E805" i="137"/>
  <c r="F805" i="137"/>
  <c r="G805" i="137"/>
  <c r="H805" i="137"/>
  <c r="I805" i="137"/>
  <c r="J805" i="137"/>
  <c r="K805" i="137"/>
  <c r="L805" i="137"/>
  <c r="D806" i="137"/>
  <c r="E806" i="137"/>
  <c r="F806" i="137"/>
  <c r="G806" i="137"/>
  <c r="H806" i="137"/>
  <c r="I806" i="137"/>
  <c r="J806" i="137"/>
  <c r="K806" i="137"/>
  <c r="L806" i="137"/>
  <c r="D807" i="137"/>
  <c r="E807" i="137"/>
  <c r="F807" i="137"/>
  <c r="G807" i="137"/>
  <c r="H807" i="137"/>
  <c r="I807" i="137"/>
  <c r="J807" i="137"/>
  <c r="K807" i="137"/>
  <c r="L807" i="137"/>
  <c r="D808" i="137"/>
  <c r="E808" i="137"/>
  <c r="F808" i="137"/>
  <c r="G808" i="137"/>
  <c r="H808" i="137"/>
  <c r="I808" i="137"/>
  <c r="J808" i="137"/>
  <c r="K808" i="137"/>
  <c r="L808" i="137"/>
  <c r="D811" i="137"/>
  <c r="E811" i="137"/>
  <c r="F811" i="137"/>
  <c r="G811" i="137"/>
  <c r="H811" i="137"/>
  <c r="I811" i="137"/>
  <c r="J811" i="137"/>
  <c r="K811" i="137"/>
  <c r="L811" i="137"/>
  <c r="D813" i="137"/>
  <c r="E813" i="137"/>
  <c r="F813" i="137"/>
  <c r="G813" i="137"/>
  <c r="H813" i="137"/>
  <c r="I813" i="137"/>
  <c r="J813" i="137"/>
  <c r="K813" i="137"/>
  <c r="L813" i="137"/>
  <c r="D814" i="137"/>
  <c r="E814" i="137"/>
  <c r="F814" i="137"/>
  <c r="G814" i="137"/>
  <c r="H814" i="137"/>
  <c r="I814" i="137"/>
  <c r="J814" i="137"/>
  <c r="K814" i="137"/>
  <c r="L814" i="137"/>
  <c r="D816" i="137"/>
  <c r="E816" i="137"/>
  <c r="F816" i="137"/>
  <c r="G816" i="137"/>
  <c r="H816" i="137"/>
  <c r="I816" i="137"/>
  <c r="J816" i="137"/>
  <c r="K816" i="137"/>
  <c r="L816" i="137"/>
  <c r="D14" i="134"/>
  <c r="D13" i="134"/>
  <c r="R439" i="137" l="1"/>
  <c r="R443" i="137"/>
  <c r="W31" i="137"/>
  <c r="Z29" i="137"/>
  <c r="AD29" i="137"/>
  <c r="AA31" i="137"/>
  <c r="AH27" i="137"/>
  <c r="AI29" i="137"/>
  <c r="AH31" i="137"/>
  <c r="V29" i="137"/>
  <c r="AA27" i="137"/>
  <c r="AC31" i="137"/>
  <c r="X29" i="137"/>
  <c r="Y27" i="137"/>
  <c r="Z23" i="137"/>
  <c r="V23" i="137"/>
  <c r="Y31" i="137"/>
  <c r="AB29" i="137"/>
  <c r="AC27" i="137"/>
  <c r="AF27" i="137"/>
  <c r="AF21" i="137"/>
  <c r="AF32" i="137"/>
  <c r="AG21" i="137"/>
  <c r="AG32" i="137"/>
  <c r="AI19" i="137"/>
  <c r="AJ21" i="137"/>
  <c r="AH23" i="137"/>
  <c r="Q443" i="137"/>
  <c r="J587" i="137"/>
  <c r="F587" i="137"/>
  <c r="K439" i="137"/>
  <c r="G439" i="137"/>
  <c r="K582" i="137"/>
  <c r="G582" i="137"/>
  <c r="L443" i="137"/>
  <c r="H443" i="137"/>
  <c r="D443" i="137"/>
  <c r="J439" i="137"/>
  <c r="F439" i="137"/>
  <c r="AF31" i="137"/>
  <c r="W27" i="137"/>
  <c r="AG27" i="137"/>
  <c r="AG31" i="137"/>
  <c r="Z32" i="137"/>
  <c r="V32" i="137"/>
  <c r="Z24" i="137"/>
  <c r="V24" i="137"/>
  <c r="AG24" i="137"/>
  <c r="AJ19" i="137"/>
  <c r="AI23" i="137"/>
  <c r="AJ29" i="137"/>
  <c r="AI31" i="137"/>
  <c r="Z21" i="137"/>
  <c r="V21" i="137"/>
  <c r="Z31" i="137"/>
  <c r="V31" i="137"/>
  <c r="Z27" i="137"/>
  <c r="V27" i="137"/>
  <c r="AB19" i="137"/>
  <c r="X19" i="137"/>
  <c r="AF19" i="137"/>
  <c r="AA19" i="137"/>
  <c r="W19" i="137"/>
  <c r="AJ32" i="137"/>
  <c r="Y32" i="137"/>
  <c r="AB32" i="137"/>
  <c r="X32" i="137"/>
  <c r="AD31" i="137"/>
  <c r="AC29" i="137"/>
  <c r="Y29" i="137"/>
  <c r="AD27" i="137"/>
  <c r="AB24" i="137"/>
  <c r="X24" i="137"/>
  <c r="AA23" i="137"/>
  <c r="W23" i="137"/>
  <c r="AC21" i="137"/>
  <c r="Y21" i="137"/>
  <c r="AF29" i="137"/>
  <c r="AG19" i="137"/>
  <c r="AG29" i="137"/>
  <c r="AH19" i="137"/>
  <c r="AI21" i="137"/>
  <c r="AJ24" i="137"/>
  <c r="AH29" i="137"/>
  <c r="AI32" i="137"/>
  <c r="AA24" i="137"/>
  <c r="W24" i="137"/>
  <c r="AD23" i="137"/>
  <c r="AB21" i="137"/>
  <c r="X21" i="137"/>
  <c r="W32" i="137"/>
  <c r="AD32" i="137"/>
  <c r="AB31" i="137"/>
  <c r="X31" i="137"/>
  <c r="AA29" i="137"/>
  <c r="W29" i="137"/>
  <c r="AB27" i="137"/>
  <c r="X27" i="137"/>
  <c r="AD24" i="137"/>
  <c r="AC23" i="137"/>
  <c r="Y23" i="137"/>
  <c r="AA21" i="137"/>
  <c r="W21" i="137"/>
  <c r="AD19" i="137"/>
  <c r="Z19" i="137"/>
  <c r="V19" i="137"/>
  <c r="AF24" i="137"/>
  <c r="AH24" i="137"/>
  <c r="AI27" i="137"/>
  <c r="AA32" i="137"/>
  <c r="AC32" i="137"/>
  <c r="AC24" i="137"/>
  <c r="Y24" i="137"/>
  <c r="AB23" i="137"/>
  <c r="X23" i="137"/>
  <c r="AD21" i="137"/>
  <c r="AC19" i="137"/>
  <c r="Y19" i="137"/>
  <c r="AF23" i="137"/>
  <c r="AG23" i="137"/>
  <c r="AH21" i="137"/>
  <c r="AJ23" i="137"/>
  <c r="AI24" i="137"/>
  <c r="AJ27" i="137"/>
  <c r="AJ31" i="137"/>
  <c r="AH32" i="137"/>
  <c r="O587" i="137"/>
  <c r="I443" i="137"/>
  <c r="E443" i="137"/>
  <c r="I379" i="137"/>
  <c r="E379" i="137"/>
  <c r="N379" i="137"/>
  <c r="O379" i="137"/>
  <c r="O720" i="137"/>
  <c r="P443" i="137"/>
  <c r="K509" i="137"/>
  <c r="K372" i="137"/>
  <c r="G509" i="137"/>
  <c r="G372" i="137"/>
  <c r="L505" i="137"/>
  <c r="L403" i="137"/>
  <c r="H505" i="137"/>
  <c r="H403" i="137"/>
  <c r="D505" i="137"/>
  <c r="D403" i="137"/>
  <c r="I501" i="137"/>
  <c r="I762" i="137"/>
  <c r="AA28" i="137" s="1"/>
  <c r="E501" i="137"/>
  <c r="E762" i="137"/>
  <c r="W28" i="137" s="1"/>
  <c r="J500" i="137"/>
  <c r="J422" i="137"/>
  <c r="F500" i="137"/>
  <c r="F422" i="137"/>
  <c r="K499" i="137"/>
  <c r="K551" i="137"/>
  <c r="G499" i="137"/>
  <c r="G551" i="137"/>
  <c r="L495" i="137"/>
  <c r="L213" i="137"/>
  <c r="H495" i="137"/>
  <c r="H213" i="137"/>
  <c r="D495" i="137"/>
  <c r="D213" i="137"/>
  <c r="J487" i="137"/>
  <c r="J428" i="137"/>
  <c r="F487" i="137"/>
  <c r="F428" i="137"/>
  <c r="K485" i="137"/>
  <c r="K110" i="137"/>
  <c r="G485" i="137"/>
  <c r="G110" i="137"/>
  <c r="L483" i="137"/>
  <c r="L274" i="137"/>
  <c r="H483" i="137"/>
  <c r="H274" i="137"/>
  <c r="D483" i="137"/>
  <c r="D274" i="137"/>
  <c r="I460" i="137"/>
  <c r="I433" i="137"/>
  <c r="E460" i="137"/>
  <c r="E433" i="137"/>
  <c r="J456" i="137"/>
  <c r="J430" i="137"/>
  <c r="F456" i="137"/>
  <c r="F430" i="137"/>
  <c r="K454" i="137"/>
  <c r="K400" i="137"/>
  <c r="G454" i="137"/>
  <c r="G400" i="137"/>
  <c r="J440" i="137"/>
  <c r="J783" i="137"/>
  <c r="AB30" i="137" s="1"/>
  <c r="F440" i="137"/>
  <c r="F783" i="137"/>
  <c r="X30" i="137" s="1"/>
  <c r="L424" i="137"/>
  <c r="L245" i="137"/>
  <c r="H424" i="137"/>
  <c r="H245" i="137"/>
  <c r="D424" i="137"/>
  <c r="D245" i="137"/>
  <c r="I420" i="137"/>
  <c r="I470" i="137"/>
  <c r="E420" i="137"/>
  <c r="E470" i="137"/>
  <c r="J418" i="137"/>
  <c r="J584" i="137"/>
  <c r="F418" i="137"/>
  <c r="F584" i="137"/>
  <c r="K416" i="137"/>
  <c r="K818" i="137"/>
  <c r="AC33" i="137" s="1"/>
  <c r="G416" i="137"/>
  <c r="G818" i="137"/>
  <c r="Y33" i="137" s="1"/>
  <c r="L412" i="137"/>
  <c r="L833" i="137"/>
  <c r="AD39" i="137" s="1"/>
  <c r="H412" i="137"/>
  <c r="H833" i="137"/>
  <c r="Z39" i="137" s="1"/>
  <c r="D412" i="137"/>
  <c r="D833" i="137"/>
  <c r="V39" i="137" s="1"/>
  <c r="I409" i="137"/>
  <c r="I1214" i="137"/>
  <c r="E409" i="137"/>
  <c r="E1214" i="137"/>
  <c r="J397" i="137"/>
  <c r="J1248" i="137"/>
  <c r="F397" i="137"/>
  <c r="F1248" i="137"/>
  <c r="L380" i="137"/>
  <c r="L743" i="137"/>
  <c r="AD26" i="137" s="1"/>
  <c r="H380" i="137"/>
  <c r="H743" i="137"/>
  <c r="Z26" i="137" s="1"/>
  <c r="D380" i="137"/>
  <c r="D743" i="137"/>
  <c r="V26" i="137" s="1"/>
  <c r="K375" i="137"/>
  <c r="K698" i="137"/>
  <c r="G375" i="137"/>
  <c r="G698" i="137"/>
  <c r="L373" i="137"/>
  <c r="L695" i="137"/>
  <c r="H373" i="137"/>
  <c r="H695" i="137"/>
  <c r="D373" i="137"/>
  <c r="D695" i="137"/>
  <c r="I369" i="137"/>
  <c r="I646" i="137"/>
  <c r="AA22" i="137" s="1"/>
  <c r="E369" i="137"/>
  <c r="E646" i="137"/>
  <c r="W22" i="137" s="1"/>
  <c r="J367" i="137"/>
  <c r="J612" i="137"/>
  <c r="F367" i="137"/>
  <c r="F612" i="137"/>
  <c r="K366" i="137"/>
  <c r="K594" i="137"/>
  <c r="G366" i="137"/>
  <c r="G594" i="137"/>
  <c r="J361" i="137"/>
  <c r="J554" i="137"/>
  <c r="F361" i="137"/>
  <c r="F554" i="137"/>
  <c r="K360" i="137"/>
  <c r="K544" i="137"/>
  <c r="G360" i="137"/>
  <c r="G544" i="137"/>
  <c r="J509" i="137"/>
  <c r="J372" i="137"/>
  <c r="F509" i="137"/>
  <c r="F372" i="137"/>
  <c r="K505" i="137"/>
  <c r="K403" i="137"/>
  <c r="G505" i="137"/>
  <c r="G403" i="137"/>
  <c r="L501" i="137"/>
  <c r="L762" i="137"/>
  <c r="AD28" i="137" s="1"/>
  <c r="H501" i="137"/>
  <c r="H762" i="137"/>
  <c r="Z28" i="137" s="1"/>
  <c r="D501" i="137"/>
  <c r="D762" i="137"/>
  <c r="V28" i="137" s="1"/>
  <c r="I500" i="137"/>
  <c r="I422" i="137"/>
  <c r="E500" i="137"/>
  <c r="E422" i="137"/>
  <c r="J499" i="137"/>
  <c r="J551" i="137"/>
  <c r="F499" i="137"/>
  <c r="F551" i="137"/>
  <c r="K495" i="137"/>
  <c r="K213" i="137"/>
  <c r="G495" i="137"/>
  <c r="G213" i="137"/>
  <c r="I487" i="137"/>
  <c r="I428" i="137"/>
  <c r="E487" i="137"/>
  <c r="E428" i="137"/>
  <c r="J485" i="137"/>
  <c r="J110" i="137"/>
  <c r="F485" i="137"/>
  <c r="F110" i="137"/>
  <c r="K483" i="137"/>
  <c r="K274" i="137"/>
  <c r="G483" i="137"/>
  <c r="G274" i="137"/>
  <c r="L460" i="137"/>
  <c r="L433" i="137"/>
  <c r="H460" i="137"/>
  <c r="H433" i="137"/>
  <c r="D460" i="137"/>
  <c r="D433" i="137"/>
  <c r="I456" i="137"/>
  <c r="I430" i="137"/>
  <c r="E456" i="137"/>
  <c r="E430" i="137"/>
  <c r="J454" i="137"/>
  <c r="J400" i="137"/>
  <c r="F454" i="137"/>
  <c r="F400" i="137"/>
  <c r="I440" i="137"/>
  <c r="I783" i="137"/>
  <c r="AA30" i="137" s="1"/>
  <c r="E440" i="137"/>
  <c r="E783" i="137"/>
  <c r="W30" i="137" s="1"/>
  <c r="K424" i="137"/>
  <c r="K245" i="137"/>
  <c r="G424" i="137"/>
  <c r="G245" i="137"/>
  <c r="L420" i="137"/>
  <c r="L470" i="137"/>
  <c r="H420" i="137"/>
  <c r="H470" i="137"/>
  <c r="D420" i="137"/>
  <c r="D470" i="137"/>
  <c r="I418" i="137"/>
  <c r="I584" i="137"/>
  <c r="E418" i="137"/>
  <c r="E584" i="137"/>
  <c r="J416" i="137"/>
  <c r="J818" i="137"/>
  <c r="AB33" i="137" s="1"/>
  <c r="F416" i="137"/>
  <c r="F818" i="137"/>
  <c r="X33" i="137" s="1"/>
  <c r="K412" i="137"/>
  <c r="K833" i="137"/>
  <c r="AC39" i="137" s="1"/>
  <c r="G412" i="137"/>
  <c r="G833" i="137"/>
  <c r="Y39" i="137" s="1"/>
  <c r="L409" i="137"/>
  <c r="L1214" i="137"/>
  <c r="I509" i="137"/>
  <c r="I372" i="137"/>
  <c r="E509" i="137"/>
  <c r="E372" i="137"/>
  <c r="J505" i="137"/>
  <c r="J403" i="137"/>
  <c r="F505" i="137"/>
  <c r="F403" i="137"/>
  <c r="K501" i="137"/>
  <c r="K762" i="137"/>
  <c r="AC28" i="137" s="1"/>
  <c r="G501" i="137"/>
  <c r="G762" i="137"/>
  <c r="Y28" i="137" s="1"/>
  <c r="L500" i="137"/>
  <c r="L422" i="137"/>
  <c r="H500" i="137"/>
  <c r="H422" i="137"/>
  <c r="D500" i="137"/>
  <c r="D422" i="137"/>
  <c r="I499" i="137"/>
  <c r="I551" i="137"/>
  <c r="E499" i="137"/>
  <c r="E551" i="137"/>
  <c r="J495" i="137"/>
  <c r="J213" i="137"/>
  <c r="F495" i="137"/>
  <c r="F213" i="137"/>
  <c r="L487" i="137"/>
  <c r="L428" i="137"/>
  <c r="H487" i="137"/>
  <c r="H428" i="137"/>
  <c r="D487" i="137"/>
  <c r="D428" i="137"/>
  <c r="I485" i="137"/>
  <c r="I110" i="137"/>
  <c r="E485" i="137"/>
  <c r="E110" i="137"/>
  <c r="J483" i="137"/>
  <c r="J274" i="137"/>
  <c r="F483" i="137"/>
  <c r="F274" i="137"/>
  <c r="K460" i="137"/>
  <c r="K433" i="137"/>
  <c r="G460" i="137"/>
  <c r="G433" i="137"/>
  <c r="L456" i="137"/>
  <c r="L430" i="137"/>
  <c r="H456" i="137"/>
  <c r="H430" i="137"/>
  <c r="D456" i="137"/>
  <c r="D430" i="137"/>
  <c r="I454" i="137"/>
  <c r="I400" i="137"/>
  <c r="E454" i="137"/>
  <c r="E400" i="137"/>
  <c r="K443" i="137"/>
  <c r="G443" i="137"/>
  <c r="L440" i="137"/>
  <c r="L783" i="137"/>
  <c r="AD30" i="137" s="1"/>
  <c r="H440" i="137"/>
  <c r="H783" i="137"/>
  <c r="Z30" i="137" s="1"/>
  <c r="D440" i="137"/>
  <c r="D783" i="137"/>
  <c r="V30" i="137" s="1"/>
  <c r="I439" i="137"/>
  <c r="E439" i="137"/>
  <c r="J424" i="137"/>
  <c r="J245" i="137"/>
  <c r="F424" i="137"/>
  <c r="F245" i="137"/>
  <c r="K420" i="137"/>
  <c r="K470" i="137"/>
  <c r="G420" i="137"/>
  <c r="G470" i="137"/>
  <c r="L418" i="137"/>
  <c r="L584" i="137"/>
  <c r="H418" i="137"/>
  <c r="H584" i="137"/>
  <c r="D418" i="137"/>
  <c r="D584" i="137"/>
  <c r="I416" i="137"/>
  <c r="I818" i="137"/>
  <c r="AA33" i="137" s="1"/>
  <c r="E416" i="137"/>
  <c r="E818" i="137"/>
  <c r="W33" i="137" s="1"/>
  <c r="J412" i="137"/>
  <c r="J833" i="137"/>
  <c r="AB39" i="137" s="1"/>
  <c r="F412" i="137"/>
  <c r="F833" i="137"/>
  <c r="X39" i="137" s="1"/>
  <c r="K409" i="137"/>
  <c r="K1214" i="137"/>
  <c r="G409" i="137"/>
  <c r="G1214" i="137"/>
  <c r="L397" i="137"/>
  <c r="L1248" i="137"/>
  <c r="H397" i="137"/>
  <c r="H1248" i="137"/>
  <c r="D397" i="137"/>
  <c r="D1248" i="137"/>
  <c r="J380" i="137"/>
  <c r="J743" i="137"/>
  <c r="AB26" i="137" s="1"/>
  <c r="F380" i="137"/>
  <c r="F743" i="137"/>
  <c r="X26" i="137" s="1"/>
  <c r="K379" i="137"/>
  <c r="G379" i="137"/>
  <c r="I375" i="137"/>
  <c r="I698" i="137"/>
  <c r="E375" i="137"/>
  <c r="E698" i="137"/>
  <c r="J373" i="137"/>
  <c r="J695" i="137"/>
  <c r="F373" i="137"/>
  <c r="F695" i="137"/>
  <c r="K369" i="137"/>
  <c r="K646" i="137"/>
  <c r="AC22" i="137" s="1"/>
  <c r="G369" i="137"/>
  <c r="G646" i="137"/>
  <c r="Y22" i="137" s="1"/>
  <c r="L367" i="137"/>
  <c r="L612" i="137"/>
  <c r="H367" i="137"/>
  <c r="H612" i="137"/>
  <c r="D367" i="137"/>
  <c r="D612" i="137"/>
  <c r="I366" i="137"/>
  <c r="I594" i="137"/>
  <c r="E366" i="137"/>
  <c r="E594" i="137"/>
  <c r="L361" i="137"/>
  <c r="L554" i="137"/>
  <c r="H361" i="137"/>
  <c r="H554" i="137"/>
  <c r="D361" i="137"/>
  <c r="D554" i="137"/>
  <c r="I360" i="137"/>
  <c r="I544" i="137"/>
  <c r="E360" i="137"/>
  <c r="E544" i="137"/>
  <c r="K347" i="137"/>
  <c r="K529" i="137"/>
  <c r="G347" i="137"/>
  <c r="G529" i="137"/>
  <c r="L346" i="137"/>
  <c r="L524" i="137"/>
  <c r="H346" i="137"/>
  <c r="H524" i="137"/>
  <c r="D346" i="137"/>
  <c r="D524" i="137"/>
  <c r="I341" i="137"/>
  <c r="I455" i="137"/>
  <c r="E341" i="137"/>
  <c r="E455" i="137"/>
  <c r="J340" i="137"/>
  <c r="J452" i="137"/>
  <c r="F340" i="137"/>
  <c r="F452" i="137"/>
  <c r="K339" i="137"/>
  <c r="K185" i="137"/>
  <c r="G339" i="137"/>
  <c r="G185" i="137"/>
  <c r="L336" i="137"/>
  <c r="L183" i="137"/>
  <c r="H336" i="137"/>
  <c r="H183" i="137"/>
  <c r="D336" i="137"/>
  <c r="D183" i="137"/>
  <c r="I327" i="137"/>
  <c r="I181" i="137"/>
  <c r="E327" i="137"/>
  <c r="E181" i="137"/>
  <c r="J325" i="137"/>
  <c r="J177" i="137"/>
  <c r="F325" i="137"/>
  <c r="F177" i="137"/>
  <c r="K322" i="137"/>
  <c r="K170" i="137"/>
  <c r="G322" i="137"/>
  <c r="G170" i="137"/>
  <c r="L313" i="137"/>
  <c r="L169" i="137"/>
  <c r="H313" i="137"/>
  <c r="H169" i="137"/>
  <c r="D313" i="137"/>
  <c r="D169" i="137"/>
  <c r="I283" i="137"/>
  <c r="I168" i="137"/>
  <c r="E283" i="137"/>
  <c r="E168" i="137"/>
  <c r="J244" i="137"/>
  <c r="J148" i="137"/>
  <c r="F244" i="137"/>
  <c r="F148" i="137"/>
  <c r="K234" i="137"/>
  <c r="K144" i="137"/>
  <c r="G234" i="137"/>
  <c r="G144" i="137"/>
  <c r="L219" i="137"/>
  <c r="L103" i="137"/>
  <c r="H219" i="137"/>
  <c r="H103" i="137"/>
  <c r="D219" i="137"/>
  <c r="D103" i="137"/>
  <c r="I209" i="137"/>
  <c r="I77" i="137"/>
  <c r="E209" i="137"/>
  <c r="E77" i="137"/>
  <c r="J205" i="137"/>
  <c r="J75" i="137"/>
  <c r="F205" i="137"/>
  <c r="F75" i="137"/>
  <c r="K204" i="137"/>
  <c r="K73" i="137"/>
  <c r="G204" i="137"/>
  <c r="G73" i="137"/>
  <c r="I182" i="137"/>
  <c r="I35" i="137"/>
  <c r="E182" i="137"/>
  <c r="E35" i="137"/>
  <c r="J162" i="137"/>
  <c r="J34" i="137"/>
  <c r="F162" i="137"/>
  <c r="F34" i="137"/>
  <c r="K159" i="137"/>
  <c r="K33" i="137"/>
  <c r="G159" i="137"/>
  <c r="G33" i="137"/>
  <c r="L141" i="137"/>
  <c r="L32" i="137"/>
  <c r="H141" i="137"/>
  <c r="H32" i="137"/>
  <c r="D141" i="137"/>
  <c r="D32" i="137"/>
  <c r="I137" i="137"/>
  <c r="I30" i="137"/>
  <c r="E137" i="137"/>
  <c r="E30" i="137"/>
  <c r="K128" i="137"/>
  <c r="K27" i="137"/>
  <c r="G128" i="137"/>
  <c r="G27" i="137"/>
  <c r="L117" i="137"/>
  <c r="L24" i="137"/>
  <c r="H117" i="137"/>
  <c r="H24" i="137"/>
  <c r="D117" i="137"/>
  <c r="D24" i="137"/>
  <c r="I113" i="137"/>
  <c r="I23" i="137"/>
  <c r="E113" i="137"/>
  <c r="E23" i="137"/>
  <c r="J112" i="137"/>
  <c r="J7" i="137"/>
  <c r="F112" i="137"/>
  <c r="F7" i="137"/>
  <c r="K76" i="137"/>
  <c r="K5" i="137"/>
  <c r="G76" i="137"/>
  <c r="G5" i="137"/>
  <c r="L74" i="137"/>
  <c r="L4" i="137"/>
  <c r="H74" i="137"/>
  <c r="H4" i="137"/>
  <c r="D74" i="137"/>
  <c r="D4" i="137"/>
  <c r="I60" i="137"/>
  <c r="I3" i="137"/>
  <c r="E60" i="137"/>
  <c r="E3" i="137"/>
  <c r="J50" i="137"/>
  <c r="J2" i="137"/>
  <c r="F50" i="137"/>
  <c r="F2" i="137"/>
  <c r="K29" i="137"/>
  <c r="K62" i="137"/>
  <c r="G29" i="137"/>
  <c r="G62" i="137"/>
  <c r="L19" i="137"/>
  <c r="AD37" i="137" s="1"/>
  <c r="L45" i="137"/>
  <c r="H19" i="137"/>
  <c r="Z37" i="137" s="1"/>
  <c r="H45" i="137"/>
  <c r="D19" i="137"/>
  <c r="V37" i="137" s="1"/>
  <c r="D45" i="137"/>
  <c r="N60" i="137"/>
  <c r="N3" i="137"/>
  <c r="N113" i="137"/>
  <c r="N23" i="137"/>
  <c r="N137" i="137"/>
  <c r="N30" i="137"/>
  <c r="N182" i="137"/>
  <c r="N35" i="137"/>
  <c r="N209" i="137"/>
  <c r="N77" i="137"/>
  <c r="N283" i="137"/>
  <c r="N168" i="137"/>
  <c r="N327" i="137"/>
  <c r="N181" i="137"/>
  <c r="N341" i="137"/>
  <c r="N455" i="137"/>
  <c r="N360" i="137"/>
  <c r="N544" i="137"/>
  <c r="N366" i="137"/>
  <c r="N594" i="137"/>
  <c r="N375" i="137"/>
  <c r="N698" i="137"/>
  <c r="N416" i="137"/>
  <c r="N818" i="137"/>
  <c r="AF33" i="137" s="1"/>
  <c r="N439" i="137"/>
  <c r="N454" i="137"/>
  <c r="N400" i="137"/>
  <c r="N485" i="137"/>
  <c r="N110" i="137"/>
  <c r="N499" i="137"/>
  <c r="N551" i="137"/>
  <c r="N509" i="137"/>
  <c r="N372" i="137"/>
  <c r="O50" i="137"/>
  <c r="O2" i="137"/>
  <c r="O112" i="137"/>
  <c r="O7" i="137"/>
  <c r="O162" i="137"/>
  <c r="O34" i="137"/>
  <c r="O205" i="137"/>
  <c r="O75" i="137"/>
  <c r="O244" i="137"/>
  <c r="O148" i="137"/>
  <c r="O325" i="137"/>
  <c r="O177" i="137"/>
  <c r="O340" i="137"/>
  <c r="O452" i="137"/>
  <c r="O373" i="137"/>
  <c r="O695" i="137"/>
  <c r="O380" i="137"/>
  <c r="O743" i="137"/>
  <c r="AG26" i="137" s="1"/>
  <c r="O412" i="137"/>
  <c r="O833" i="137"/>
  <c r="AG39" i="137" s="1"/>
  <c r="O424" i="137"/>
  <c r="O245" i="137"/>
  <c r="O483" i="137"/>
  <c r="O274" i="137"/>
  <c r="O495" i="137"/>
  <c r="O213" i="137"/>
  <c r="O505" i="137"/>
  <c r="O403" i="137"/>
  <c r="O543" i="137"/>
  <c r="O582" i="137"/>
  <c r="Q19" i="137"/>
  <c r="AI37" i="137" s="1"/>
  <c r="Q45" i="137"/>
  <c r="R29" i="137"/>
  <c r="R62" i="137"/>
  <c r="P60" i="137"/>
  <c r="P3" i="137"/>
  <c r="Q74" i="137"/>
  <c r="Q4" i="137"/>
  <c r="R76" i="137"/>
  <c r="R5" i="137"/>
  <c r="P113" i="137"/>
  <c r="P23" i="137"/>
  <c r="Q117" i="137"/>
  <c r="Q24" i="137"/>
  <c r="R128" i="137"/>
  <c r="R27" i="137"/>
  <c r="P137" i="137"/>
  <c r="P30" i="137"/>
  <c r="Q141" i="137"/>
  <c r="Q32" i="137"/>
  <c r="R159" i="137"/>
  <c r="R33" i="137"/>
  <c r="P182" i="137"/>
  <c r="P35" i="137"/>
  <c r="R204" i="137"/>
  <c r="R73" i="137"/>
  <c r="P209" i="137"/>
  <c r="P77" i="137"/>
  <c r="Q219" i="137"/>
  <c r="Q103" i="137"/>
  <c r="R234" i="137"/>
  <c r="R144" i="137"/>
  <c r="P283" i="137"/>
  <c r="P168" i="137"/>
  <c r="Q313" i="137"/>
  <c r="Q169" i="137"/>
  <c r="R322" i="137"/>
  <c r="R170" i="137"/>
  <c r="P327" i="137"/>
  <c r="P181" i="137"/>
  <c r="Q336" i="137"/>
  <c r="Q183" i="137"/>
  <c r="R339" i="137"/>
  <c r="R185" i="137"/>
  <c r="P341" i="137"/>
  <c r="P455" i="137"/>
  <c r="Q346" i="137"/>
  <c r="Q524" i="137"/>
  <c r="R347" i="137"/>
  <c r="R529" i="137"/>
  <c r="P360" i="137"/>
  <c r="P544" i="137"/>
  <c r="Q361" i="137"/>
  <c r="Q554" i="137"/>
  <c r="P366" i="137"/>
  <c r="P594" i="137"/>
  <c r="Q367" i="137"/>
  <c r="Q612" i="137"/>
  <c r="R369" i="137"/>
  <c r="R646" i="137"/>
  <c r="AJ22" i="137" s="1"/>
  <c r="P375" i="137"/>
  <c r="P698" i="137"/>
  <c r="R379" i="137"/>
  <c r="Q397" i="137"/>
  <c r="Q1248" i="137"/>
  <c r="R409" i="137"/>
  <c r="R1214" i="137"/>
  <c r="P416" i="137"/>
  <c r="P818" i="137"/>
  <c r="AH33" i="137" s="1"/>
  <c r="Q418" i="137"/>
  <c r="Q584" i="137"/>
  <c r="R420" i="137"/>
  <c r="R470" i="137"/>
  <c r="P439" i="137"/>
  <c r="Q440" i="137"/>
  <c r="Q783" i="137"/>
  <c r="AI30" i="137" s="1"/>
  <c r="P454" i="137"/>
  <c r="P400" i="137"/>
  <c r="Q456" i="137"/>
  <c r="Q430" i="137"/>
  <c r="R460" i="137"/>
  <c r="R433" i="137"/>
  <c r="P485" i="137"/>
  <c r="P110" i="137"/>
  <c r="Q487" i="137"/>
  <c r="Q428" i="137"/>
  <c r="P499" i="137"/>
  <c r="P551" i="137"/>
  <c r="Q500" i="137"/>
  <c r="Q422" i="137"/>
  <c r="R501" i="137"/>
  <c r="R762" i="137"/>
  <c r="AJ28" i="137" s="1"/>
  <c r="P509" i="137"/>
  <c r="P372" i="137"/>
  <c r="Q587" i="137"/>
  <c r="Q720" i="137"/>
  <c r="L509" i="137"/>
  <c r="L372" i="137"/>
  <c r="H509" i="137"/>
  <c r="H372" i="137"/>
  <c r="D509" i="137"/>
  <c r="D372" i="137"/>
  <c r="I505" i="137"/>
  <c r="I403" i="137"/>
  <c r="E505" i="137"/>
  <c r="E403" i="137"/>
  <c r="J501" i="137"/>
  <c r="J762" i="137"/>
  <c r="AB28" i="137" s="1"/>
  <c r="F501" i="137"/>
  <c r="F762" i="137"/>
  <c r="X28" i="137" s="1"/>
  <c r="K500" i="137"/>
  <c r="K422" i="137"/>
  <c r="G500" i="137"/>
  <c r="G422" i="137"/>
  <c r="L499" i="137"/>
  <c r="L551" i="137"/>
  <c r="H499" i="137"/>
  <c r="H551" i="137"/>
  <c r="D499" i="137"/>
  <c r="D551" i="137"/>
  <c r="I495" i="137"/>
  <c r="I213" i="137"/>
  <c r="E495" i="137"/>
  <c r="E213" i="137"/>
  <c r="K487" i="137"/>
  <c r="K428" i="137"/>
  <c r="G487" i="137"/>
  <c r="G428" i="137"/>
  <c r="L485" i="137"/>
  <c r="L110" i="137"/>
  <c r="H485" i="137"/>
  <c r="H110" i="137"/>
  <c r="D485" i="137"/>
  <c r="D110" i="137"/>
  <c r="I483" i="137"/>
  <c r="I274" i="137"/>
  <c r="E483" i="137"/>
  <c r="E274" i="137"/>
  <c r="J460" i="137"/>
  <c r="J433" i="137"/>
  <c r="F460" i="137"/>
  <c r="F433" i="137"/>
  <c r="K456" i="137"/>
  <c r="K430" i="137"/>
  <c r="G456" i="137"/>
  <c r="G430" i="137"/>
  <c r="L454" i="137"/>
  <c r="L400" i="137"/>
  <c r="H454" i="137"/>
  <c r="H400" i="137"/>
  <c r="D454" i="137"/>
  <c r="D400" i="137"/>
  <c r="J443" i="137"/>
  <c r="F443" i="137"/>
  <c r="K440" i="137"/>
  <c r="K783" i="137"/>
  <c r="AC30" i="137" s="1"/>
  <c r="G440" i="137"/>
  <c r="G783" i="137"/>
  <c r="Y30" i="137" s="1"/>
  <c r="L439" i="137"/>
  <c r="H439" i="137"/>
  <c r="D439" i="137"/>
  <c r="I424" i="137"/>
  <c r="I245" i="137"/>
  <c r="E424" i="137"/>
  <c r="E245" i="137"/>
  <c r="J420" i="137"/>
  <c r="J470" i="137"/>
  <c r="F420" i="137"/>
  <c r="F470" i="137"/>
  <c r="X15" i="137" s="1"/>
  <c r="K418" i="137"/>
  <c r="K584" i="137"/>
  <c r="G418" i="137"/>
  <c r="G584" i="137"/>
  <c r="L416" i="137"/>
  <c r="L818" i="137"/>
  <c r="AD33" i="137" s="1"/>
  <c r="H416" i="137"/>
  <c r="H818" i="137"/>
  <c r="Z33" i="137" s="1"/>
  <c r="D416" i="137"/>
  <c r="D818" i="137"/>
  <c r="V33" i="137" s="1"/>
  <c r="I412" i="137"/>
  <c r="I833" i="137"/>
  <c r="AA39" i="137" s="1"/>
  <c r="E412" i="137"/>
  <c r="E833" i="137"/>
  <c r="W39" i="137" s="1"/>
  <c r="J409" i="137"/>
  <c r="J1214" i="137"/>
  <c r="F409" i="137"/>
  <c r="F1214" i="137"/>
  <c r="K397" i="137"/>
  <c r="K1248" i="137"/>
  <c r="G397" i="137"/>
  <c r="Y11" i="137" s="1"/>
  <c r="G1248" i="137"/>
  <c r="I380" i="137"/>
  <c r="I743" i="137"/>
  <c r="AA26" i="137" s="1"/>
  <c r="E380" i="137"/>
  <c r="E743" i="137"/>
  <c r="W26" i="137" s="1"/>
  <c r="J379" i="137"/>
  <c r="F379" i="137"/>
  <c r="L375" i="137"/>
  <c r="L698" i="137"/>
  <c r="H375" i="137"/>
  <c r="H698" i="137"/>
  <c r="D375" i="137"/>
  <c r="D698" i="137"/>
  <c r="I373" i="137"/>
  <c r="I695" i="137"/>
  <c r="E373" i="137"/>
  <c r="E695" i="137"/>
  <c r="J369" i="137"/>
  <c r="J646" i="137"/>
  <c r="AB22" i="137" s="1"/>
  <c r="F369" i="137"/>
  <c r="F646" i="137"/>
  <c r="X22" i="137" s="1"/>
  <c r="K367" i="137"/>
  <c r="K612" i="137"/>
  <c r="G367" i="137"/>
  <c r="G612" i="137"/>
  <c r="L366" i="137"/>
  <c r="L594" i="137"/>
  <c r="H366" i="137"/>
  <c r="H594" i="137"/>
  <c r="D366" i="137"/>
  <c r="D594" i="137"/>
  <c r="K361" i="137"/>
  <c r="K554" i="137"/>
  <c r="G361" i="137"/>
  <c r="G554" i="137"/>
  <c r="L360" i="137"/>
  <c r="L544" i="137"/>
  <c r="H360" i="137"/>
  <c r="H544" i="137"/>
  <c r="Z18" i="137" s="1"/>
  <c r="D360" i="137"/>
  <c r="D544" i="137"/>
  <c r="J347" i="137"/>
  <c r="J529" i="137"/>
  <c r="F347" i="137"/>
  <c r="F529" i="137"/>
  <c r="K346" i="137"/>
  <c r="K524" i="137"/>
  <c r="AC17" i="137" s="1"/>
  <c r="G346" i="137"/>
  <c r="G524" i="137"/>
  <c r="L341" i="137"/>
  <c r="L455" i="137"/>
  <c r="H341" i="137"/>
  <c r="H455" i="137"/>
  <c r="D341" i="137"/>
  <c r="D455" i="137"/>
  <c r="I340" i="137"/>
  <c r="I452" i="137"/>
  <c r="E340" i="137"/>
  <c r="E452" i="137"/>
  <c r="J339" i="137"/>
  <c r="J185" i="137"/>
  <c r="F339" i="137"/>
  <c r="F185" i="137"/>
  <c r="K336" i="137"/>
  <c r="K183" i="137"/>
  <c r="G336" i="137"/>
  <c r="G183" i="137"/>
  <c r="L327" i="137"/>
  <c r="L181" i="137"/>
  <c r="H327" i="137"/>
  <c r="H181" i="137"/>
  <c r="D327" i="137"/>
  <c r="D181" i="137"/>
  <c r="I325" i="137"/>
  <c r="I177" i="137"/>
  <c r="E325" i="137"/>
  <c r="E177" i="137"/>
  <c r="J322" i="137"/>
  <c r="J170" i="137"/>
  <c r="F322" i="137"/>
  <c r="F170" i="137"/>
  <c r="K313" i="137"/>
  <c r="K169" i="137"/>
  <c r="G313" i="137"/>
  <c r="G169" i="137"/>
  <c r="L283" i="137"/>
  <c r="L168" i="137"/>
  <c r="H283" i="137"/>
  <c r="H168" i="137"/>
  <c r="D283" i="137"/>
  <c r="D168" i="137"/>
  <c r="I244" i="137"/>
  <c r="I148" i="137"/>
  <c r="E244" i="137"/>
  <c r="E148" i="137"/>
  <c r="J234" i="137"/>
  <c r="J144" i="137"/>
  <c r="F234" i="137"/>
  <c r="F144" i="137"/>
  <c r="X5" i="137" s="1"/>
  <c r="K219" i="137"/>
  <c r="K103" i="137"/>
  <c r="G219" i="137"/>
  <c r="G103" i="137"/>
  <c r="L209" i="137"/>
  <c r="L77" i="137"/>
  <c r="H209" i="137"/>
  <c r="H77" i="137"/>
  <c r="D209" i="137"/>
  <c r="D77" i="137"/>
  <c r="I205" i="137"/>
  <c r="I75" i="137"/>
  <c r="E205" i="137"/>
  <c r="E75" i="137"/>
  <c r="J204" i="137"/>
  <c r="J73" i="137"/>
  <c r="F204" i="137"/>
  <c r="F73" i="137"/>
  <c r="L182" i="137"/>
  <c r="L35" i="137"/>
  <c r="H182" i="137"/>
  <c r="H35" i="137"/>
  <c r="D182" i="137"/>
  <c r="D35" i="137"/>
  <c r="I162" i="137"/>
  <c r="I34" i="137"/>
  <c r="E162" i="137"/>
  <c r="E34" i="137"/>
  <c r="J159" i="137"/>
  <c r="J33" i="137"/>
  <c r="F159" i="137"/>
  <c r="F33" i="137"/>
  <c r="K141" i="137"/>
  <c r="K32" i="137"/>
  <c r="G141" i="137"/>
  <c r="G32" i="137"/>
  <c r="L137" i="137"/>
  <c r="L30" i="137"/>
  <c r="H137" i="137"/>
  <c r="H30" i="137"/>
  <c r="D137" i="137"/>
  <c r="D30" i="137"/>
  <c r="J128" i="137"/>
  <c r="J27" i="137"/>
  <c r="F128" i="137"/>
  <c r="F27" i="137"/>
  <c r="K117" i="137"/>
  <c r="K24" i="137"/>
  <c r="G117" i="137"/>
  <c r="G24" i="137"/>
  <c r="L113" i="137"/>
  <c r="L23" i="137"/>
  <c r="H113" i="137"/>
  <c r="H23" i="137"/>
  <c r="D113" i="137"/>
  <c r="D23" i="137"/>
  <c r="I112" i="137"/>
  <c r="I7" i="137"/>
  <c r="E112" i="137"/>
  <c r="E7" i="137"/>
  <c r="J76" i="137"/>
  <c r="J5" i="137"/>
  <c r="F76" i="137"/>
  <c r="F5" i="137"/>
  <c r="K74" i="137"/>
  <c r="K4" i="137"/>
  <c r="G74" i="137"/>
  <c r="G4" i="137"/>
  <c r="L60" i="137"/>
  <c r="L3" i="137"/>
  <c r="H60" i="137"/>
  <c r="H3" i="137"/>
  <c r="D60" i="137"/>
  <c r="D3" i="137"/>
  <c r="I50" i="137"/>
  <c r="I2" i="137"/>
  <c r="E50" i="137"/>
  <c r="E2" i="137"/>
  <c r="J29" i="137"/>
  <c r="J62" i="137"/>
  <c r="F29" i="137"/>
  <c r="F62" i="137"/>
  <c r="K19" i="137"/>
  <c r="AC37" i="137" s="1"/>
  <c r="K45" i="137"/>
  <c r="G19" i="137"/>
  <c r="Y37" i="137" s="1"/>
  <c r="G45" i="137"/>
  <c r="N19" i="137"/>
  <c r="AF37" i="137" s="1"/>
  <c r="N45" i="137"/>
  <c r="N74" i="137"/>
  <c r="N4" i="137"/>
  <c r="N117" i="137"/>
  <c r="N24" i="137"/>
  <c r="N141" i="137"/>
  <c r="N32" i="137"/>
  <c r="N219" i="137"/>
  <c r="N103" i="137"/>
  <c r="N313" i="137"/>
  <c r="N169" i="137"/>
  <c r="N336" i="137"/>
  <c r="N183" i="137"/>
  <c r="N346" i="137"/>
  <c r="N524" i="137"/>
  <c r="N361" i="137"/>
  <c r="N554" i="137"/>
  <c r="N367" i="137"/>
  <c r="N612" i="137"/>
  <c r="N397" i="137"/>
  <c r="N1248" i="137"/>
  <c r="N418" i="137"/>
  <c r="N584" i="137"/>
  <c r="N440" i="137"/>
  <c r="N783" i="137"/>
  <c r="AF30" i="137" s="1"/>
  <c r="N456" i="137"/>
  <c r="N430" i="137"/>
  <c r="N487" i="137"/>
  <c r="N428" i="137"/>
  <c r="N500" i="137"/>
  <c r="N422" i="137"/>
  <c r="N587" i="137"/>
  <c r="N720" i="137"/>
  <c r="O60" i="137"/>
  <c r="O3" i="137"/>
  <c r="O113" i="137"/>
  <c r="O23" i="137"/>
  <c r="O137" i="137"/>
  <c r="O30" i="137"/>
  <c r="O182" i="137"/>
  <c r="O35" i="137"/>
  <c r="O209" i="137"/>
  <c r="O77" i="137"/>
  <c r="O283" i="137"/>
  <c r="O168" i="137"/>
  <c r="O327" i="137"/>
  <c r="O181" i="137"/>
  <c r="O341" i="137"/>
  <c r="O455" i="137"/>
  <c r="O360" i="137"/>
  <c r="O544" i="137"/>
  <c r="O366" i="137"/>
  <c r="O594" i="137"/>
  <c r="O375" i="137"/>
  <c r="O698" i="137"/>
  <c r="O416" i="137"/>
  <c r="O818" i="137"/>
  <c r="AG33" i="137" s="1"/>
  <c r="O439" i="137"/>
  <c r="O454" i="137"/>
  <c r="O400" i="137"/>
  <c r="O485" i="137"/>
  <c r="O110" i="137"/>
  <c r="O499" i="137"/>
  <c r="O551" i="137"/>
  <c r="O509" i="137"/>
  <c r="O372" i="137"/>
  <c r="R19" i="137"/>
  <c r="AJ37" i="137" s="1"/>
  <c r="R45" i="137"/>
  <c r="P50" i="137"/>
  <c r="P2" i="137"/>
  <c r="Q60" i="137"/>
  <c r="Q3" i="137"/>
  <c r="R74" i="137"/>
  <c r="R4" i="137"/>
  <c r="P112" i="137"/>
  <c r="P7" i="137"/>
  <c r="Q113" i="137"/>
  <c r="Q23" i="137"/>
  <c r="R117" i="137"/>
  <c r="R24" i="137"/>
  <c r="Q137" i="137"/>
  <c r="Q30" i="137"/>
  <c r="R141" i="137"/>
  <c r="R32" i="137"/>
  <c r="P162" i="137"/>
  <c r="P34" i="137"/>
  <c r="Q182" i="137"/>
  <c r="Q35" i="137"/>
  <c r="P205" i="137"/>
  <c r="P75" i="137"/>
  <c r="Q209" i="137"/>
  <c r="Q77" i="137"/>
  <c r="R219" i="137"/>
  <c r="R103" i="137"/>
  <c r="P244" i="137"/>
  <c r="P148" i="137"/>
  <c r="Q283" i="137"/>
  <c r="Q168" i="137"/>
  <c r="R313" i="137"/>
  <c r="R169" i="137"/>
  <c r="P325" i="137"/>
  <c r="P177" i="137"/>
  <c r="Q327" i="137"/>
  <c r="Q181" i="137"/>
  <c r="R336" i="137"/>
  <c r="R183" i="137"/>
  <c r="P340" i="137"/>
  <c r="P452" i="137"/>
  <c r="Q341" i="137"/>
  <c r="Q455" i="137"/>
  <c r="R346" i="137"/>
  <c r="R524" i="137"/>
  <c r="Q360" i="137"/>
  <c r="Q544" i="137"/>
  <c r="R361" i="137"/>
  <c r="R554" i="137"/>
  <c r="Q366" i="137"/>
  <c r="Q594" i="137"/>
  <c r="R367" i="137"/>
  <c r="R612" i="137"/>
  <c r="P373" i="137"/>
  <c r="P695" i="137"/>
  <c r="Q375" i="137"/>
  <c r="Q698" i="137"/>
  <c r="P380" i="137"/>
  <c r="P743" i="137"/>
  <c r="AH26" i="137" s="1"/>
  <c r="R397" i="137"/>
  <c r="R1248" i="137"/>
  <c r="P412" i="137"/>
  <c r="P833" i="137"/>
  <c r="AH39" i="137" s="1"/>
  <c r="Q416" i="137"/>
  <c r="Q818" i="137"/>
  <c r="AI33" i="137" s="1"/>
  <c r="R418" i="137"/>
  <c r="R584" i="137"/>
  <c r="P424" i="137"/>
  <c r="P245" i="137"/>
  <c r="Q439" i="137"/>
  <c r="R440" i="137"/>
  <c r="R783" i="137"/>
  <c r="AJ30" i="137" s="1"/>
  <c r="Q454" i="137"/>
  <c r="Q400" i="137"/>
  <c r="R456" i="137"/>
  <c r="R430" i="137"/>
  <c r="P483" i="137"/>
  <c r="P274" i="137"/>
  <c r="Q485" i="137"/>
  <c r="Q110" i="137"/>
  <c r="R487" i="137"/>
  <c r="R428" i="137"/>
  <c r="P495" i="137"/>
  <c r="P213" i="137"/>
  <c r="Q499" i="137"/>
  <c r="Q551" i="137"/>
  <c r="R500" i="137"/>
  <c r="R422" i="137"/>
  <c r="P505" i="137"/>
  <c r="P403" i="137"/>
  <c r="Q509" i="137"/>
  <c r="Q372" i="137"/>
  <c r="P543" i="137"/>
  <c r="P582" i="137"/>
  <c r="R587" i="137"/>
  <c r="R720" i="137"/>
  <c r="I347" i="137"/>
  <c r="I529" i="137"/>
  <c r="E347" i="137"/>
  <c r="E529" i="137"/>
  <c r="J346" i="137"/>
  <c r="J524" i="137"/>
  <c r="AB17" i="137" s="1"/>
  <c r="F346" i="137"/>
  <c r="F524" i="137"/>
  <c r="X17" i="137" s="1"/>
  <c r="K341" i="137"/>
  <c r="K455" i="137"/>
  <c r="G341" i="137"/>
  <c r="G455" i="137"/>
  <c r="L340" i="137"/>
  <c r="L452" i="137"/>
  <c r="H340" i="137"/>
  <c r="H452" i="137"/>
  <c r="D340" i="137"/>
  <c r="D452" i="137"/>
  <c r="I339" i="137"/>
  <c r="I185" i="137"/>
  <c r="E339" i="137"/>
  <c r="E185" i="137"/>
  <c r="J336" i="137"/>
  <c r="J183" i="137"/>
  <c r="F336" i="137"/>
  <c r="F183" i="137"/>
  <c r="K327" i="137"/>
  <c r="K181" i="137"/>
  <c r="G327" i="137"/>
  <c r="G181" i="137"/>
  <c r="L325" i="137"/>
  <c r="L177" i="137"/>
  <c r="H325" i="137"/>
  <c r="H177" i="137"/>
  <c r="D325" i="137"/>
  <c r="D177" i="137"/>
  <c r="I322" i="137"/>
  <c r="I170" i="137"/>
  <c r="E322" i="137"/>
  <c r="E170" i="137"/>
  <c r="J313" i="137"/>
  <c r="J169" i="137"/>
  <c r="F313" i="137"/>
  <c r="F169" i="137"/>
  <c r="K283" i="137"/>
  <c r="K168" i="137"/>
  <c r="G283" i="137"/>
  <c r="G168" i="137"/>
  <c r="L244" i="137"/>
  <c r="L148" i="137"/>
  <c r="H244" i="137"/>
  <c r="H148" i="137"/>
  <c r="D244" i="137"/>
  <c r="D148" i="137"/>
  <c r="I234" i="137"/>
  <c r="I144" i="137"/>
  <c r="AA5" i="137" s="1"/>
  <c r="E234" i="137"/>
  <c r="E144" i="137"/>
  <c r="W5" i="137" s="1"/>
  <c r="J219" i="137"/>
  <c r="J103" i="137"/>
  <c r="F219" i="137"/>
  <c r="F103" i="137"/>
  <c r="K209" i="137"/>
  <c r="K77" i="137"/>
  <c r="G209" i="137"/>
  <c r="G77" i="137"/>
  <c r="L205" i="137"/>
  <c r="L75" i="137"/>
  <c r="H205" i="137"/>
  <c r="H75" i="137"/>
  <c r="D205" i="137"/>
  <c r="D75" i="137"/>
  <c r="I204" i="137"/>
  <c r="I73" i="137"/>
  <c r="E204" i="137"/>
  <c r="E73" i="137"/>
  <c r="K182" i="137"/>
  <c r="K35" i="137"/>
  <c r="G182" i="137"/>
  <c r="G35" i="137"/>
  <c r="L162" i="137"/>
  <c r="L34" i="137"/>
  <c r="H162" i="137"/>
  <c r="H34" i="137"/>
  <c r="D162" i="137"/>
  <c r="D34" i="137"/>
  <c r="I159" i="137"/>
  <c r="I33" i="137"/>
  <c r="E159" i="137"/>
  <c r="E33" i="137"/>
  <c r="J141" i="137"/>
  <c r="J32" i="137"/>
  <c r="F141" i="137"/>
  <c r="F32" i="137"/>
  <c r="K137" i="137"/>
  <c r="K30" i="137"/>
  <c r="G137" i="137"/>
  <c r="G30" i="137"/>
  <c r="I128" i="137"/>
  <c r="I27" i="137"/>
  <c r="E128" i="137"/>
  <c r="E27" i="137"/>
  <c r="J117" i="137"/>
  <c r="J24" i="137"/>
  <c r="F117" i="137"/>
  <c r="F24" i="137"/>
  <c r="K113" i="137"/>
  <c r="K23" i="137"/>
  <c r="G113" i="137"/>
  <c r="G23" i="137"/>
  <c r="L112" i="137"/>
  <c r="L7" i="137"/>
  <c r="H112" i="137"/>
  <c r="H7" i="137"/>
  <c r="D112" i="137"/>
  <c r="D7" i="137"/>
  <c r="I76" i="137"/>
  <c r="I5" i="137"/>
  <c r="E76" i="137"/>
  <c r="E5" i="137"/>
  <c r="J74" i="137"/>
  <c r="J4" i="137"/>
  <c r="F74" i="137"/>
  <c r="F4" i="137"/>
  <c r="K60" i="137"/>
  <c r="K3" i="137"/>
  <c r="G60" i="137"/>
  <c r="G3" i="137"/>
  <c r="L50" i="137"/>
  <c r="L2" i="137"/>
  <c r="H50" i="137"/>
  <c r="H2" i="137"/>
  <c r="D50" i="137"/>
  <c r="D2" i="137"/>
  <c r="I29" i="137"/>
  <c r="I62" i="137"/>
  <c r="E29" i="137"/>
  <c r="E62" i="137"/>
  <c r="J19" i="137"/>
  <c r="AB37" i="137" s="1"/>
  <c r="J45" i="137"/>
  <c r="F19" i="137"/>
  <c r="X37" i="137" s="1"/>
  <c r="F45" i="137"/>
  <c r="N29" i="137"/>
  <c r="N62" i="137"/>
  <c r="N76" i="137"/>
  <c r="N5" i="137"/>
  <c r="N128" i="137"/>
  <c r="N27" i="137"/>
  <c r="N159" i="137"/>
  <c r="N33" i="137"/>
  <c r="N204" i="137"/>
  <c r="N73" i="137"/>
  <c r="N234" i="137"/>
  <c r="N144" i="137"/>
  <c r="N322" i="137"/>
  <c r="N170" i="137"/>
  <c r="N339" i="137"/>
  <c r="N185" i="137"/>
  <c r="N347" i="137"/>
  <c r="N529" i="137"/>
  <c r="N369" i="137"/>
  <c r="N646" i="137"/>
  <c r="AF22" i="137" s="1"/>
  <c r="N409" i="137"/>
  <c r="N1214" i="137"/>
  <c r="N420" i="137"/>
  <c r="N470" i="137"/>
  <c r="N460" i="137"/>
  <c r="N433" i="137"/>
  <c r="N501" i="137"/>
  <c r="N762" i="137"/>
  <c r="AF28" i="137" s="1"/>
  <c r="O19" i="137"/>
  <c r="AG37" i="137" s="1"/>
  <c r="O45" i="137"/>
  <c r="O74" i="137"/>
  <c r="O4" i="137"/>
  <c r="O117" i="137"/>
  <c r="O24" i="137"/>
  <c r="O141" i="137"/>
  <c r="O32" i="137"/>
  <c r="O219" i="137"/>
  <c r="O103" i="137"/>
  <c r="O313" i="137"/>
  <c r="O169" i="137"/>
  <c r="O336" i="137"/>
  <c r="O183" i="137"/>
  <c r="O346" i="137"/>
  <c r="O524" i="137"/>
  <c r="O361" i="137"/>
  <c r="O554" i="137"/>
  <c r="O367" i="137"/>
  <c r="O612" i="137"/>
  <c r="O397" i="137"/>
  <c r="O1248" i="137"/>
  <c r="O418" i="137"/>
  <c r="O584" i="137"/>
  <c r="O440" i="137"/>
  <c r="O783" i="137"/>
  <c r="AG30" i="137" s="1"/>
  <c r="O456" i="137"/>
  <c r="O430" i="137"/>
  <c r="O487" i="137"/>
  <c r="O428" i="137"/>
  <c r="O500" i="137"/>
  <c r="O422" i="137"/>
  <c r="P29" i="137"/>
  <c r="P62" i="137"/>
  <c r="Q50" i="137"/>
  <c r="Q2" i="137"/>
  <c r="R60" i="137"/>
  <c r="R3" i="137"/>
  <c r="P76" i="137"/>
  <c r="P5" i="137"/>
  <c r="Q112" i="137"/>
  <c r="Q7" i="137"/>
  <c r="R113" i="137"/>
  <c r="R23" i="137"/>
  <c r="P128" i="137"/>
  <c r="P27" i="137"/>
  <c r="R137" i="137"/>
  <c r="R30" i="137"/>
  <c r="P159" i="137"/>
  <c r="P33" i="137"/>
  <c r="Q162" i="137"/>
  <c r="Q34" i="137"/>
  <c r="R182" i="137"/>
  <c r="R35" i="137"/>
  <c r="P204" i="137"/>
  <c r="P73" i="137"/>
  <c r="Q205" i="137"/>
  <c r="Q75" i="137"/>
  <c r="R209" i="137"/>
  <c r="R77" i="137"/>
  <c r="P234" i="137"/>
  <c r="P144" i="137"/>
  <c r="Q244" i="137"/>
  <c r="Q148" i="137"/>
  <c r="R283" i="137"/>
  <c r="R168" i="137"/>
  <c r="P322" i="137"/>
  <c r="P170" i="137"/>
  <c r="Q325" i="137"/>
  <c r="Q177" i="137"/>
  <c r="R327" i="137"/>
  <c r="R181" i="137"/>
  <c r="P339" i="137"/>
  <c r="P185" i="137"/>
  <c r="Q340" i="137"/>
  <c r="Q452" i="137"/>
  <c r="R341" i="137"/>
  <c r="R455" i="137"/>
  <c r="P347" i="137"/>
  <c r="P529" i="137"/>
  <c r="R360" i="137"/>
  <c r="R544" i="137"/>
  <c r="R366" i="137"/>
  <c r="R594" i="137"/>
  <c r="P369" i="137"/>
  <c r="P646" i="137"/>
  <c r="AH22" i="137" s="1"/>
  <c r="Q373" i="137"/>
  <c r="Q695" i="137"/>
  <c r="R375" i="137"/>
  <c r="R698" i="137"/>
  <c r="Q380" i="137"/>
  <c r="Q743" i="137"/>
  <c r="AI26" i="137" s="1"/>
  <c r="P409" i="137"/>
  <c r="P1214" i="137"/>
  <c r="Q412" i="137"/>
  <c r="Q833" i="137"/>
  <c r="AI39" i="137" s="1"/>
  <c r="R416" i="137"/>
  <c r="R818" i="137"/>
  <c r="AJ33" i="137" s="1"/>
  <c r="P420" i="137"/>
  <c r="P470" i="137"/>
  <c r="Q424" i="137"/>
  <c r="Q245" i="137"/>
  <c r="R454" i="137"/>
  <c r="R400" i="137"/>
  <c r="P460" i="137"/>
  <c r="P433" i="137"/>
  <c r="Q483" i="137"/>
  <c r="Q274" i="137"/>
  <c r="R485" i="137"/>
  <c r="R110" i="137"/>
  <c r="Q495" i="137"/>
  <c r="Q213" i="137"/>
  <c r="R499" i="137"/>
  <c r="R551" i="137"/>
  <c r="P501" i="137"/>
  <c r="P762" i="137"/>
  <c r="AH28" i="137" s="1"/>
  <c r="Q505" i="137"/>
  <c r="Q403" i="137"/>
  <c r="R509" i="137"/>
  <c r="R372" i="137"/>
  <c r="Q543" i="137"/>
  <c r="Q582" i="137"/>
  <c r="AI20" i="137" s="1"/>
  <c r="H409" i="137"/>
  <c r="H1214" i="137"/>
  <c r="D409" i="137"/>
  <c r="D1214" i="137"/>
  <c r="I397" i="137"/>
  <c r="I1248" i="137"/>
  <c r="E397" i="137"/>
  <c r="E1248" i="137"/>
  <c r="K380" i="137"/>
  <c r="K743" i="137"/>
  <c r="AC26" i="137" s="1"/>
  <c r="G380" i="137"/>
  <c r="G743" i="137"/>
  <c r="Y26" i="137" s="1"/>
  <c r="L379" i="137"/>
  <c r="H379" i="137"/>
  <c r="D379" i="137"/>
  <c r="J375" i="137"/>
  <c r="J698" i="137"/>
  <c r="F375" i="137"/>
  <c r="F698" i="137"/>
  <c r="K373" i="137"/>
  <c r="K695" i="137"/>
  <c r="G373" i="137"/>
  <c r="G695" i="137"/>
  <c r="L369" i="137"/>
  <c r="L646" i="137"/>
  <c r="AD22" i="137" s="1"/>
  <c r="H369" i="137"/>
  <c r="H646" i="137"/>
  <c r="Z22" i="137" s="1"/>
  <c r="D369" i="137"/>
  <c r="D646" i="137"/>
  <c r="V22" i="137" s="1"/>
  <c r="I367" i="137"/>
  <c r="I612" i="137"/>
  <c r="E367" i="137"/>
  <c r="E612" i="137"/>
  <c r="J366" i="137"/>
  <c r="J594" i="137"/>
  <c r="F366" i="137"/>
  <c r="F594" i="137"/>
  <c r="I361" i="137"/>
  <c r="I554" i="137"/>
  <c r="E361" i="137"/>
  <c r="E554" i="137"/>
  <c r="J360" i="137"/>
  <c r="J544" i="137"/>
  <c r="F360" i="137"/>
  <c r="F544" i="137"/>
  <c r="L347" i="137"/>
  <c r="L529" i="137"/>
  <c r="H347" i="137"/>
  <c r="H529" i="137"/>
  <c r="D347" i="137"/>
  <c r="D529" i="137"/>
  <c r="I346" i="137"/>
  <c r="I524" i="137"/>
  <c r="E346" i="137"/>
  <c r="E524" i="137"/>
  <c r="J341" i="137"/>
  <c r="J455" i="137"/>
  <c r="F341" i="137"/>
  <c r="F455" i="137"/>
  <c r="K340" i="137"/>
  <c r="K452" i="137"/>
  <c r="G340" i="137"/>
  <c r="G452" i="137"/>
  <c r="L339" i="137"/>
  <c r="L185" i="137"/>
  <c r="H339" i="137"/>
  <c r="H185" i="137"/>
  <c r="D339" i="137"/>
  <c r="D185" i="137"/>
  <c r="I336" i="137"/>
  <c r="I183" i="137"/>
  <c r="E336" i="137"/>
  <c r="E183" i="137"/>
  <c r="J327" i="137"/>
  <c r="J181" i="137"/>
  <c r="F327" i="137"/>
  <c r="F181" i="137"/>
  <c r="K325" i="137"/>
  <c r="K177" i="137"/>
  <c r="G325" i="137"/>
  <c r="G177" i="137"/>
  <c r="L322" i="137"/>
  <c r="L170" i="137"/>
  <c r="H322" i="137"/>
  <c r="H170" i="137"/>
  <c r="D322" i="137"/>
  <c r="D170" i="137"/>
  <c r="I313" i="137"/>
  <c r="I169" i="137"/>
  <c r="E313" i="137"/>
  <c r="E169" i="137"/>
  <c r="J283" i="137"/>
  <c r="J168" i="137"/>
  <c r="F283" i="137"/>
  <c r="X8" i="137" s="1"/>
  <c r="F168" i="137"/>
  <c r="K244" i="137"/>
  <c r="K148" i="137"/>
  <c r="G244" i="137"/>
  <c r="Y7" i="137" s="1"/>
  <c r="G148" i="137"/>
  <c r="L234" i="137"/>
  <c r="L144" i="137"/>
  <c r="H234" i="137"/>
  <c r="H144" i="137"/>
  <c r="D234" i="137"/>
  <c r="D144" i="137"/>
  <c r="I219" i="137"/>
  <c r="I103" i="137"/>
  <c r="E219" i="137"/>
  <c r="E103" i="137"/>
  <c r="J209" i="137"/>
  <c r="J77" i="137"/>
  <c r="F209" i="137"/>
  <c r="F77" i="137"/>
  <c r="K205" i="137"/>
  <c r="K75" i="137"/>
  <c r="G205" i="137"/>
  <c r="G75" i="137"/>
  <c r="L204" i="137"/>
  <c r="L73" i="137"/>
  <c r="H204" i="137"/>
  <c r="H73" i="137"/>
  <c r="D204" i="137"/>
  <c r="D73" i="137"/>
  <c r="J182" i="137"/>
  <c r="J35" i="137"/>
  <c r="F182" i="137"/>
  <c r="F35" i="137"/>
  <c r="K162" i="137"/>
  <c r="K34" i="137"/>
  <c r="G162" i="137"/>
  <c r="G34" i="137"/>
  <c r="L159" i="137"/>
  <c r="L33" i="137"/>
  <c r="H159" i="137"/>
  <c r="H33" i="137"/>
  <c r="D159" i="137"/>
  <c r="D33" i="137"/>
  <c r="I141" i="137"/>
  <c r="I32" i="137"/>
  <c r="E141" i="137"/>
  <c r="E32" i="137"/>
  <c r="J137" i="137"/>
  <c r="J30" i="137"/>
  <c r="F137" i="137"/>
  <c r="F30" i="137"/>
  <c r="L128" i="137"/>
  <c r="L27" i="137"/>
  <c r="H128" i="137"/>
  <c r="H27" i="137"/>
  <c r="D128" i="137"/>
  <c r="D27" i="137"/>
  <c r="I117" i="137"/>
  <c r="I24" i="137"/>
  <c r="E117" i="137"/>
  <c r="E24" i="137"/>
  <c r="J113" i="137"/>
  <c r="J23" i="137"/>
  <c r="F113" i="137"/>
  <c r="F23" i="137"/>
  <c r="K112" i="137"/>
  <c r="K7" i="137"/>
  <c r="G112" i="137"/>
  <c r="G7" i="137"/>
  <c r="L76" i="137"/>
  <c r="L5" i="137"/>
  <c r="H76" i="137"/>
  <c r="H5" i="137"/>
  <c r="D76" i="137"/>
  <c r="D5" i="137"/>
  <c r="I74" i="137"/>
  <c r="I4" i="137"/>
  <c r="E74" i="137"/>
  <c r="E4" i="137"/>
  <c r="J60" i="137"/>
  <c r="J3" i="137"/>
  <c r="F60" i="137"/>
  <c r="F3" i="137"/>
  <c r="K50" i="137"/>
  <c r="K2" i="137"/>
  <c r="G50" i="137"/>
  <c r="G2" i="137"/>
  <c r="L29" i="137"/>
  <c r="L62" i="137"/>
  <c r="H29" i="137"/>
  <c r="H62" i="137"/>
  <c r="D29" i="137"/>
  <c r="D62" i="137"/>
  <c r="I19" i="137"/>
  <c r="AA37" i="137" s="1"/>
  <c r="I45" i="137"/>
  <c r="E19" i="137"/>
  <c r="W37" i="137" s="1"/>
  <c r="E45" i="137"/>
  <c r="N50" i="137"/>
  <c r="N2" i="137"/>
  <c r="N112" i="137"/>
  <c r="N7" i="137"/>
  <c r="N162" i="137"/>
  <c r="N34" i="137"/>
  <c r="N205" i="137"/>
  <c r="N75" i="137"/>
  <c r="N244" i="137"/>
  <c r="N148" i="137"/>
  <c r="N325" i="137"/>
  <c r="N177" i="137"/>
  <c r="N340" i="137"/>
  <c r="N452" i="137"/>
  <c r="N373" i="137"/>
  <c r="N695" i="137"/>
  <c r="N380" i="137"/>
  <c r="N743" i="137"/>
  <c r="AF26" i="137" s="1"/>
  <c r="N412" i="137"/>
  <c r="N833" i="137"/>
  <c r="AF39" i="137" s="1"/>
  <c r="N424" i="137"/>
  <c r="N245" i="137"/>
  <c r="N483" i="137"/>
  <c r="N274" i="137"/>
  <c r="N495" i="137"/>
  <c r="N213" i="137"/>
  <c r="N505" i="137"/>
  <c r="N403" i="137"/>
  <c r="N543" i="137"/>
  <c r="N582" i="137"/>
  <c r="O29" i="137"/>
  <c r="O62" i="137"/>
  <c r="O76" i="137"/>
  <c r="O5" i="137"/>
  <c r="O128" i="137"/>
  <c r="O27" i="137"/>
  <c r="O159" i="137"/>
  <c r="O33" i="137"/>
  <c r="O204" i="137"/>
  <c r="O73" i="137"/>
  <c r="O234" i="137"/>
  <c r="O144" i="137"/>
  <c r="AG5" i="137" s="1"/>
  <c r="O322" i="137"/>
  <c r="O170" i="137"/>
  <c r="O339" i="137"/>
  <c r="O185" i="137"/>
  <c r="O347" i="137"/>
  <c r="O529" i="137"/>
  <c r="O369" i="137"/>
  <c r="O646" i="137"/>
  <c r="AG22" i="137" s="1"/>
  <c r="O409" i="137"/>
  <c r="O1214" i="137"/>
  <c r="O420" i="137"/>
  <c r="O470" i="137"/>
  <c r="O443" i="137"/>
  <c r="O460" i="137"/>
  <c r="O433" i="137"/>
  <c r="O501" i="137"/>
  <c r="O762" i="137"/>
  <c r="AG28" i="137" s="1"/>
  <c r="P19" i="137"/>
  <c r="AH37" i="137" s="1"/>
  <c r="P45" i="137"/>
  <c r="Q29" i="137"/>
  <c r="Q62" i="137"/>
  <c r="R50" i="137"/>
  <c r="R2" i="137"/>
  <c r="P74" i="137"/>
  <c r="P4" i="137"/>
  <c r="Q76" i="137"/>
  <c r="Q5" i="137"/>
  <c r="R112" i="137"/>
  <c r="R7" i="137"/>
  <c r="P117" i="137"/>
  <c r="P24" i="137"/>
  <c r="Q128" i="137"/>
  <c r="Q27" i="137"/>
  <c r="P141" i="137"/>
  <c r="P32" i="137"/>
  <c r="Q159" i="137"/>
  <c r="Q33" i="137"/>
  <c r="R162" i="137"/>
  <c r="R34" i="137"/>
  <c r="Q204" i="137"/>
  <c r="Q73" i="137"/>
  <c r="R205" i="137"/>
  <c r="R75" i="137"/>
  <c r="P219" i="137"/>
  <c r="P103" i="137"/>
  <c r="Q234" i="137"/>
  <c r="Q144" i="137"/>
  <c r="R244" i="137"/>
  <c r="R148" i="137"/>
  <c r="P313" i="137"/>
  <c r="P169" i="137"/>
  <c r="Q322" i="137"/>
  <c r="Q170" i="137"/>
  <c r="R325" i="137"/>
  <c r="R177" i="137"/>
  <c r="P336" i="137"/>
  <c r="P183" i="137"/>
  <c r="Q339" i="137"/>
  <c r="Q185" i="137"/>
  <c r="R340" i="137"/>
  <c r="R452" i="137"/>
  <c r="P346" i="137"/>
  <c r="P524" i="137"/>
  <c r="Q347" i="137"/>
  <c r="Q529" i="137"/>
  <c r="P361" i="137"/>
  <c r="P554" i="137"/>
  <c r="P367" i="137"/>
  <c r="P612" i="137"/>
  <c r="Q369" i="137"/>
  <c r="Q646" i="137"/>
  <c r="AI22" i="137" s="1"/>
  <c r="R373" i="137"/>
  <c r="R695" i="137"/>
  <c r="Q379" i="137"/>
  <c r="R380" i="137"/>
  <c r="R743" i="137"/>
  <c r="AJ26" i="137" s="1"/>
  <c r="P397" i="137"/>
  <c r="AH11" i="137" s="1"/>
  <c r="P1248" i="137"/>
  <c r="Q409" i="137"/>
  <c r="Q1214" i="137"/>
  <c r="R412" i="137"/>
  <c r="R833" i="137"/>
  <c r="AJ39" i="137" s="1"/>
  <c r="P418" i="137"/>
  <c r="P584" i="137"/>
  <c r="Q420" i="137"/>
  <c r="Q470" i="137"/>
  <c r="R424" i="137"/>
  <c r="R245" i="137"/>
  <c r="P440" i="137"/>
  <c r="P783" i="137"/>
  <c r="AH30" i="137" s="1"/>
  <c r="P456" i="137"/>
  <c r="P430" i="137"/>
  <c r="Q460" i="137"/>
  <c r="Q433" i="137"/>
  <c r="R483" i="137"/>
  <c r="R274" i="137"/>
  <c r="P487" i="137"/>
  <c r="P428" i="137"/>
  <c r="R495" i="137"/>
  <c r="R213" i="137"/>
  <c r="P500" i="137"/>
  <c r="P422" i="137"/>
  <c r="Q501" i="137"/>
  <c r="Q762" i="137"/>
  <c r="AI28" i="137" s="1"/>
  <c r="R505" i="137"/>
  <c r="R403" i="137"/>
  <c r="R543" i="137"/>
  <c r="R582" i="137"/>
  <c r="P587" i="137"/>
  <c r="P720" i="137"/>
  <c r="I717" i="137"/>
  <c r="I715" i="137"/>
  <c r="E717" i="137"/>
  <c r="E715" i="137"/>
  <c r="N717" i="137"/>
  <c r="N715" i="137"/>
  <c r="P717" i="137"/>
  <c r="P715" i="137"/>
  <c r="L717" i="137"/>
  <c r="L715" i="137"/>
  <c r="H717" i="137"/>
  <c r="H715" i="137"/>
  <c r="D717" i="137"/>
  <c r="D715" i="137"/>
  <c r="O717" i="137"/>
  <c r="O715" i="137"/>
  <c r="Q717" i="137"/>
  <c r="Q715" i="137"/>
  <c r="K717" i="137"/>
  <c r="K715" i="137"/>
  <c r="G717" i="137"/>
  <c r="G715" i="137"/>
  <c r="R717" i="137"/>
  <c r="R715" i="137"/>
  <c r="J717" i="137"/>
  <c r="J715" i="137"/>
  <c r="F717" i="137"/>
  <c r="F715" i="137"/>
  <c r="Q82" i="138"/>
  <c r="N82" i="138"/>
  <c r="O82" i="138"/>
  <c r="P82" i="138"/>
  <c r="H82" i="138"/>
  <c r="D82" i="138"/>
  <c r="K82" i="138"/>
  <c r="G82" i="138"/>
  <c r="C82" i="138"/>
  <c r="J82" i="138"/>
  <c r="F82" i="138"/>
  <c r="M82" i="138"/>
  <c r="I82" i="138"/>
  <c r="E82" i="138"/>
  <c r="R8" i="138"/>
  <c r="R12" i="138"/>
  <c r="R16" i="138"/>
  <c r="R20" i="138"/>
  <c r="R24" i="138"/>
  <c r="R28" i="138"/>
  <c r="R32" i="138"/>
  <c r="R36" i="138"/>
  <c r="R40" i="138"/>
  <c r="R44" i="138"/>
  <c r="R48" i="138"/>
  <c r="R52" i="138"/>
  <c r="R56" i="138"/>
  <c r="R60" i="138"/>
  <c r="R64" i="138"/>
  <c r="R68" i="138"/>
  <c r="R72" i="138"/>
  <c r="R76" i="138"/>
  <c r="R6" i="138"/>
  <c r="R11" i="138"/>
  <c r="R15" i="138"/>
  <c r="R19" i="138"/>
  <c r="R23" i="138"/>
  <c r="R27" i="138"/>
  <c r="R31" i="138"/>
  <c r="R35" i="138"/>
  <c r="R39" i="138"/>
  <c r="R43" i="138"/>
  <c r="R47" i="138"/>
  <c r="R51" i="138"/>
  <c r="R55" i="138"/>
  <c r="R59" i="138"/>
  <c r="R63" i="138"/>
  <c r="R67" i="138"/>
  <c r="R71" i="138"/>
  <c r="R75" i="138"/>
  <c r="R5" i="138"/>
  <c r="R10" i="138"/>
  <c r="R14" i="138"/>
  <c r="R18" i="138"/>
  <c r="R22" i="138"/>
  <c r="R26" i="138"/>
  <c r="R30" i="138"/>
  <c r="R34" i="138"/>
  <c r="R38" i="138"/>
  <c r="R42" i="138"/>
  <c r="R46" i="138"/>
  <c r="R50" i="138"/>
  <c r="R54" i="138"/>
  <c r="R58" i="138"/>
  <c r="R62" i="138"/>
  <c r="R66" i="138"/>
  <c r="R70" i="138"/>
  <c r="R74" i="138"/>
  <c r="R78" i="138"/>
  <c r="R9" i="138"/>
  <c r="R13" i="138"/>
  <c r="R17" i="138"/>
  <c r="R21" i="138"/>
  <c r="R25" i="138"/>
  <c r="R29" i="138"/>
  <c r="R33" i="138"/>
  <c r="R37" i="138"/>
  <c r="R41" i="138"/>
  <c r="R45" i="138"/>
  <c r="R49" i="138"/>
  <c r="R53" i="138"/>
  <c r="R57" i="138"/>
  <c r="R61" i="138"/>
  <c r="R65" i="138"/>
  <c r="R69" i="138"/>
  <c r="R73" i="138"/>
  <c r="R77" i="138"/>
  <c r="L12" i="138"/>
  <c r="M637" i="137"/>
  <c r="S637" i="137" s="1"/>
  <c r="M625" i="137"/>
  <c r="L76" i="138"/>
  <c r="L60" i="138"/>
  <c r="L44" i="138"/>
  <c r="M365" i="137" s="1"/>
  <c r="S365" i="137" s="1"/>
  <c r="M649" i="137"/>
  <c r="S649" i="137" s="1"/>
  <c r="M806" i="137"/>
  <c r="S806" i="137" s="1"/>
  <c r="M797" i="137"/>
  <c r="M670" i="137"/>
  <c r="S670" i="137" s="1"/>
  <c r="M521" i="137"/>
  <c r="S521" i="137" s="1"/>
  <c r="L48" i="138"/>
  <c r="L28" i="138"/>
  <c r="L24" i="138"/>
  <c r="M752" i="137"/>
  <c r="M761" i="137"/>
  <c r="S761" i="137" s="1"/>
  <c r="M724" i="137"/>
  <c r="M669" i="137"/>
  <c r="S669" i="137" s="1"/>
  <c r="M588" i="137"/>
  <c r="S588" i="137" s="1"/>
  <c r="M564" i="137"/>
  <c r="S564" i="137" s="1"/>
  <c r="M550" i="137"/>
  <c r="S550" i="137" s="1"/>
  <c r="M540" i="137"/>
  <c r="M530" i="137"/>
  <c r="S530" i="137" s="1"/>
  <c r="L51" i="138"/>
  <c r="M720" i="137" s="1"/>
  <c r="L11" i="138"/>
  <c r="L6" i="138"/>
  <c r="M814" i="137"/>
  <c r="S814" i="137" s="1"/>
  <c r="M807" i="137"/>
  <c r="S807" i="137" s="1"/>
  <c r="M800" i="137"/>
  <c r="S800" i="137" s="1"/>
  <c r="M777" i="137"/>
  <c r="M764" i="137"/>
  <c r="S764" i="137" s="1"/>
  <c r="M759" i="137"/>
  <c r="S759" i="137" s="1"/>
  <c r="M737" i="137"/>
  <c r="S737" i="137" s="1"/>
  <c r="M675" i="137"/>
  <c r="M650" i="137"/>
  <c r="S650" i="137" s="1"/>
  <c r="M639" i="137"/>
  <c r="S639" i="137" s="1"/>
  <c r="M626" i="137"/>
  <c r="S626" i="137" s="1"/>
  <c r="M609" i="137"/>
  <c r="S609" i="137" s="1"/>
  <c r="M590" i="137"/>
  <c r="S590" i="137" s="1"/>
  <c r="M586" i="137"/>
  <c r="S586" i="137" s="1"/>
  <c r="M574" i="137"/>
  <c r="S574" i="137" s="1"/>
  <c r="M569" i="137"/>
  <c r="S569" i="137" s="1"/>
  <c r="M558" i="137"/>
  <c r="M548" i="137"/>
  <c r="S548" i="137" s="1"/>
  <c r="M538" i="137"/>
  <c r="S538" i="137" s="1"/>
  <c r="M523" i="137"/>
  <c r="S523" i="137" s="1"/>
  <c r="L77" i="138"/>
  <c r="L73" i="138"/>
  <c r="L69" i="138"/>
  <c r="L65" i="138"/>
  <c r="L61" i="138"/>
  <c r="L57" i="138"/>
  <c r="L53" i="138"/>
  <c r="M393" i="137" s="1"/>
  <c r="L49" i="138"/>
  <c r="L45" i="138"/>
  <c r="L41" i="138"/>
  <c r="L37" i="138"/>
  <c r="L33" i="138"/>
  <c r="L29" i="138"/>
  <c r="L25" i="138"/>
  <c r="L21" i="138"/>
  <c r="L17" i="138"/>
  <c r="L13" i="138"/>
  <c r="L9" i="138"/>
  <c r="M768" i="137"/>
  <c r="S768" i="137" s="1"/>
  <c r="M763" i="137"/>
  <c r="S763" i="137" s="1"/>
  <c r="M725" i="137"/>
  <c r="S725" i="137" s="1"/>
  <c r="M713" i="137"/>
  <c r="S713" i="137" s="1"/>
  <c r="M606" i="137"/>
  <c r="S606" i="137" s="1"/>
  <c r="M589" i="137"/>
  <c r="S589" i="137" s="1"/>
  <c r="M572" i="137"/>
  <c r="S572" i="137" s="1"/>
  <c r="M567" i="137"/>
  <c r="S567" i="137" s="1"/>
  <c r="M556" i="137"/>
  <c r="S556" i="137" s="1"/>
  <c r="M532" i="137"/>
  <c r="S532" i="137" s="1"/>
  <c r="L72" i="138"/>
  <c r="L68" i="138"/>
  <c r="L64" i="138"/>
  <c r="M450" i="137" s="1"/>
  <c r="L56" i="138"/>
  <c r="L40" i="138"/>
  <c r="M354" i="137" s="1"/>
  <c r="S354" i="137" s="1"/>
  <c r="L36" i="138"/>
  <c r="L32" i="138"/>
  <c r="L20" i="138"/>
  <c r="L16" i="138"/>
  <c r="M131" i="137" s="1"/>
  <c r="S131" i="137" s="1"/>
  <c r="L8" i="138"/>
  <c r="M767" i="137"/>
  <c r="S767" i="137" s="1"/>
  <c r="M648" i="137"/>
  <c r="S648" i="137" s="1"/>
  <c r="M623" i="137"/>
  <c r="S623" i="137" s="1"/>
  <c r="M599" i="137"/>
  <c r="S599" i="137" s="1"/>
  <c r="M579" i="137"/>
  <c r="M813" i="137"/>
  <c r="L52" i="138"/>
  <c r="M811" i="137"/>
  <c r="S811" i="137" s="1"/>
  <c r="M805" i="137"/>
  <c r="S805" i="137" s="1"/>
  <c r="M785" i="137"/>
  <c r="M740" i="137"/>
  <c r="S740" i="137" s="1"/>
  <c r="M681" i="137"/>
  <c r="S681" i="137" s="1"/>
  <c r="M636" i="137"/>
  <c r="S636" i="137" s="1"/>
  <c r="M571" i="137"/>
  <c r="S571" i="137" s="1"/>
  <c r="M520" i="137"/>
  <c r="S520" i="137" s="1"/>
  <c r="L75" i="138"/>
  <c r="L71" i="138"/>
  <c r="M490" i="137" s="1"/>
  <c r="S490" i="137" s="1"/>
  <c r="L67" i="138"/>
  <c r="L63" i="138"/>
  <c r="L59" i="138"/>
  <c r="L55" i="138"/>
  <c r="M1229" i="137" s="1"/>
  <c r="L47" i="138"/>
  <c r="L43" i="138"/>
  <c r="M363" i="137" s="1"/>
  <c r="S363" i="137" s="1"/>
  <c r="L39" i="138"/>
  <c r="L35" i="138"/>
  <c r="L31" i="138"/>
  <c r="L27" i="138"/>
  <c r="L23" i="138"/>
  <c r="L19" i="138"/>
  <c r="L15" i="138"/>
  <c r="M816" i="137"/>
  <c r="S816" i="137" s="1"/>
  <c r="M808" i="137"/>
  <c r="S808" i="137" s="1"/>
  <c r="M804" i="137"/>
  <c r="M780" i="137"/>
  <c r="S780" i="137" s="1"/>
  <c r="M765" i="137"/>
  <c r="S765" i="137" s="1"/>
  <c r="M760" i="137"/>
  <c r="M739" i="137"/>
  <c r="S739" i="137" s="1"/>
  <c r="M676" i="137"/>
  <c r="S676" i="137" s="1"/>
  <c r="M661" i="137"/>
  <c r="M642" i="137"/>
  <c r="M632" i="137"/>
  <c r="S632" i="137" s="1"/>
  <c r="M613" i="137"/>
  <c r="S613" i="137" s="1"/>
  <c r="M593" i="137"/>
  <c r="S593" i="137" s="1"/>
  <c r="M587" i="137"/>
  <c r="M575" i="137"/>
  <c r="S575" i="137" s="1"/>
  <c r="M570" i="137"/>
  <c r="S570" i="137" s="1"/>
  <c r="M560" i="137"/>
  <c r="S560" i="137" s="1"/>
  <c r="M549" i="137"/>
  <c r="S549" i="137" s="1"/>
  <c r="M539" i="137"/>
  <c r="S539" i="137" s="1"/>
  <c r="M526" i="137"/>
  <c r="S526" i="137" s="1"/>
  <c r="L78" i="138"/>
  <c r="M514" i="137" s="1"/>
  <c r="L74" i="138"/>
  <c r="L70" i="138"/>
  <c r="L66" i="138"/>
  <c r="L62" i="138"/>
  <c r="L58" i="138"/>
  <c r="L54" i="138"/>
  <c r="M1269" i="137" s="1"/>
  <c r="L50" i="138"/>
  <c r="M376" i="137" s="1"/>
  <c r="S376" i="137" s="1"/>
  <c r="L46" i="138"/>
  <c r="L42" i="138"/>
  <c r="L38" i="138"/>
  <c r="L34" i="138"/>
  <c r="L30" i="138"/>
  <c r="L26" i="138"/>
  <c r="L22" i="138"/>
  <c r="M199" i="137" s="1"/>
  <c r="S199" i="137" s="1"/>
  <c r="L18" i="138"/>
  <c r="L14" i="138"/>
  <c r="L10" i="138"/>
  <c r="L5" i="138"/>
  <c r="AG17" i="137" l="1"/>
  <c r="AJ13" i="137"/>
  <c r="AJ18" i="137"/>
  <c r="AH5" i="137"/>
  <c r="AB15" i="137"/>
  <c r="AJ14" i="137"/>
  <c r="AI4" i="137"/>
  <c r="AG12" i="137"/>
  <c r="AF9" i="137"/>
  <c r="Z6" i="137"/>
  <c r="AC9" i="137"/>
  <c r="AB10" i="137"/>
  <c r="AH15" i="137"/>
  <c r="AF5" i="137"/>
  <c r="V2" i="137"/>
  <c r="AD2" i="137"/>
  <c r="V14" i="137"/>
  <c r="AD14" i="137"/>
  <c r="W14" i="137"/>
  <c r="AB8" i="137"/>
  <c r="AA11" i="137"/>
  <c r="AC15" i="137"/>
  <c r="V15" i="137"/>
  <c r="AD15" i="137"/>
  <c r="X18" i="137"/>
  <c r="V7" i="137"/>
  <c r="AD7" i="137"/>
  <c r="AC7" i="137"/>
  <c r="Y15" i="137"/>
  <c r="Z15" i="137"/>
  <c r="AB18" i="137"/>
  <c r="AG11" i="137"/>
  <c r="Z7" i="137"/>
  <c r="Y8" i="137"/>
  <c r="AC11" i="137"/>
  <c r="AF18" i="137"/>
  <c r="W11" i="137"/>
  <c r="V12" i="137"/>
  <c r="AG15" i="137"/>
  <c r="AF14" i="137"/>
  <c r="Z12" i="137"/>
  <c r="AC8" i="137"/>
  <c r="AJ17" i="137"/>
  <c r="AB12" i="137"/>
  <c r="Z14" i="137"/>
  <c r="AB5" i="137"/>
  <c r="AA14" i="137"/>
  <c r="Y17" i="137"/>
  <c r="V18" i="137"/>
  <c r="AD18" i="137"/>
  <c r="AG7" i="137"/>
  <c r="AF7" i="137"/>
  <c r="AI15" i="137"/>
  <c r="AE29" i="137"/>
  <c r="S1269" i="137"/>
  <c r="AK42" i="137" s="1"/>
  <c r="AE42" i="137"/>
  <c r="S1229" i="137"/>
  <c r="AK41" i="137" s="1"/>
  <c r="AE41" i="137"/>
  <c r="M543" i="137"/>
  <c r="S543" i="137" s="1"/>
  <c r="AH20" i="137"/>
  <c r="Y20" i="137"/>
  <c r="AB14" i="137"/>
  <c r="Z17" i="137"/>
  <c r="W18" i="137"/>
  <c r="V20" i="137"/>
  <c r="AD20" i="137"/>
  <c r="W20" i="137"/>
  <c r="AC18" i="137"/>
  <c r="X20" i="137"/>
  <c r="AI14" i="137"/>
  <c r="AJ20" i="137"/>
  <c r="AF20" i="137"/>
  <c r="AC14" i="137"/>
  <c r="AA17" i="137"/>
  <c r="AH18" i="137"/>
  <c r="AH14" i="137"/>
  <c r="AF11" i="137"/>
  <c r="AI11" i="137"/>
  <c r="AI17" i="137"/>
  <c r="AG20" i="137"/>
  <c r="AG14" i="137"/>
  <c r="Z11" i="137"/>
  <c r="AB11" i="137"/>
  <c r="S587" i="137"/>
  <c r="AE24" i="137"/>
  <c r="AH17" i="137"/>
  <c r="AI5" i="137"/>
  <c r="AC20" i="137"/>
  <c r="Z16" i="137"/>
  <c r="AG18" i="137"/>
  <c r="X14" i="137"/>
  <c r="V17" i="137"/>
  <c r="AD17" i="137"/>
  <c r="AA18" i="137"/>
  <c r="Z20" i="137"/>
  <c r="AA20" i="137"/>
  <c r="AA13" i="137"/>
  <c r="Y18" i="137"/>
  <c r="AB20" i="137"/>
  <c r="AE32" i="137"/>
  <c r="AJ11" i="137"/>
  <c r="AF17" i="137"/>
  <c r="AE23" i="137"/>
  <c r="AJ9" i="137"/>
  <c r="AC2" i="137"/>
  <c r="Z5" i="137"/>
  <c r="Y14" i="137"/>
  <c r="W17" i="137"/>
  <c r="AI18" i="137"/>
  <c r="X12" i="137"/>
  <c r="V11" i="137"/>
  <c r="AD11" i="137"/>
  <c r="X11" i="137"/>
  <c r="S720" i="137"/>
  <c r="AE19" i="137"/>
  <c r="AE27" i="137"/>
  <c r="AE21" i="137"/>
  <c r="AJ7" i="137"/>
  <c r="AI6" i="137"/>
  <c r="AF2" i="137"/>
  <c r="Y2" i="137"/>
  <c r="AB3" i="137"/>
  <c r="Z4" i="137"/>
  <c r="V5" i="137"/>
  <c r="AD5" i="137"/>
  <c r="AC25" i="137"/>
  <c r="AI7" i="137"/>
  <c r="AF6" i="137"/>
  <c r="W6" i="137"/>
  <c r="Z9" i="137"/>
  <c r="AG8" i="137"/>
  <c r="X6" i="137"/>
  <c r="W7" i="137"/>
  <c r="V8" i="137"/>
  <c r="AD8" i="137"/>
  <c r="AA9" i="137"/>
  <c r="Z10" i="137"/>
  <c r="Y13" i="137"/>
  <c r="AJ5" i="137"/>
  <c r="AH3" i="137"/>
  <c r="AG2" i="137"/>
  <c r="AF8" i="137"/>
  <c r="Y6" i="137"/>
  <c r="AB7" i="137"/>
  <c r="AA8" i="137"/>
  <c r="X9" i="137"/>
  <c r="W10" i="137"/>
  <c r="Y12" i="137"/>
  <c r="AA16" i="137"/>
  <c r="X16" i="137"/>
  <c r="AC10" i="137"/>
  <c r="AA12" i="137"/>
  <c r="Y16" i="137"/>
  <c r="S540" i="137"/>
  <c r="AI12" i="137"/>
  <c r="AJ2" i="137"/>
  <c r="AG6" i="137"/>
  <c r="V6" i="137"/>
  <c r="AD6" i="137"/>
  <c r="Y9" i="137"/>
  <c r="X10" i="137"/>
  <c r="AG13" i="137"/>
  <c r="AF4" i="137"/>
  <c r="Z2" i="137"/>
  <c r="AC3" i="137"/>
  <c r="W4" i="137"/>
  <c r="AH7" i="137"/>
  <c r="W2" i="137"/>
  <c r="Z3" i="137"/>
  <c r="X4" i="137"/>
  <c r="W25" i="137"/>
  <c r="AH16" i="137"/>
  <c r="AH10" i="137"/>
  <c r="X2" i="137"/>
  <c r="AA3" i="137"/>
  <c r="AC4" i="137"/>
  <c r="Y5" i="137"/>
  <c r="AB25" i="137"/>
  <c r="V13" i="137"/>
  <c r="AD13" i="137"/>
  <c r="V25" i="137"/>
  <c r="AD25" i="137"/>
  <c r="AA15" i="137"/>
  <c r="AB13" i="137"/>
  <c r="S724" i="137"/>
  <c r="AE31" i="137"/>
  <c r="AH13" i="137"/>
  <c r="AG4" i="137"/>
  <c r="AF25" i="137"/>
  <c r="X3" i="137"/>
  <c r="V4" i="137"/>
  <c r="AD4" i="137"/>
  <c r="Y25" i="137"/>
  <c r="AJ16" i="137"/>
  <c r="AH12" i="137"/>
  <c r="AJ10" i="137"/>
  <c r="AI9" i="137"/>
  <c r="AJ8" i="137"/>
  <c r="AH6" i="137"/>
  <c r="AF12" i="137"/>
  <c r="AA6" i="137"/>
  <c r="V9" i="137"/>
  <c r="AD9" i="137"/>
  <c r="AI16" i="137"/>
  <c r="AH25" i="137"/>
  <c r="AI3" i="137"/>
  <c r="AH2" i="137"/>
  <c r="AG10" i="137"/>
  <c r="AB6" i="137"/>
  <c r="AA7" i="137"/>
  <c r="Z8" i="137"/>
  <c r="W9" i="137"/>
  <c r="V10" i="137"/>
  <c r="AD10" i="137"/>
  <c r="AC13" i="137"/>
  <c r="AI13" i="137"/>
  <c r="AJ12" i="137"/>
  <c r="AJ4" i="137"/>
  <c r="AG25" i="137"/>
  <c r="AF10" i="137"/>
  <c r="AC6" i="137"/>
  <c r="X7" i="137"/>
  <c r="W8" i="137"/>
  <c r="AB9" i="137"/>
  <c r="AA10" i="137"/>
  <c r="AC12" i="137"/>
  <c r="W16" i="137"/>
  <c r="AD12" i="137"/>
  <c r="AB16" i="137"/>
  <c r="Y10" i="137"/>
  <c r="W12" i="137"/>
  <c r="AC16" i="137"/>
  <c r="AJ25" i="137"/>
  <c r="AI25" i="137"/>
  <c r="AH4" i="137"/>
  <c r="AJ3" i="137"/>
  <c r="AI2" i="137"/>
  <c r="AF15" i="137"/>
  <c r="Y3" i="137"/>
  <c r="AA4" i="137"/>
  <c r="AI10" i="137"/>
  <c r="AH9" i="137"/>
  <c r="AI8" i="137"/>
  <c r="AG16" i="137"/>
  <c r="AG3" i="137"/>
  <c r="AF13" i="137"/>
  <c r="AA2" i="137"/>
  <c r="V3" i="137"/>
  <c r="AD3" i="137"/>
  <c r="AB4" i="137"/>
  <c r="AA25" i="137"/>
  <c r="V16" i="137"/>
  <c r="AD16" i="137"/>
  <c r="AJ15" i="137"/>
  <c r="AH8" i="137"/>
  <c r="AJ6" i="137"/>
  <c r="AG9" i="137"/>
  <c r="AF16" i="137"/>
  <c r="AF3" i="137"/>
  <c r="AB2" i="137"/>
  <c r="W3" i="137"/>
  <c r="Y4" i="137"/>
  <c r="AC5" i="137"/>
  <c r="X25" i="137"/>
  <c r="Z13" i="137"/>
  <c r="W13" i="137"/>
  <c r="Z25" i="137"/>
  <c r="W15" i="137"/>
  <c r="X13" i="137"/>
  <c r="M141" i="137"/>
  <c r="S141" i="137" s="1"/>
  <c r="M32" i="137"/>
  <c r="S32" i="137" s="1"/>
  <c r="M336" i="137"/>
  <c r="S336" i="137" s="1"/>
  <c r="M183" i="137"/>
  <c r="S183" i="137" s="1"/>
  <c r="M456" i="137"/>
  <c r="S456" i="137" s="1"/>
  <c r="M430" i="137"/>
  <c r="S430" i="137" s="1"/>
  <c r="M234" i="137"/>
  <c r="S234" i="137" s="1"/>
  <c r="M144" i="137"/>
  <c r="M443" i="137"/>
  <c r="S443" i="137" s="1"/>
  <c r="M380" i="137"/>
  <c r="S380" i="137" s="1"/>
  <c r="M743" i="137"/>
  <c r="S743" i="137" s="1"/>
  <c r="M495" i="137"/>
  <c r="S495" i="137" s="1"/>
  <c r="M213" i="137"/>
  <c r="S213" i="137" s="1"/>
  <c r="M182" i="137"/>
  <c r="S182" i="137" s="1"/>
  <c r="M35" i="137"/>
  <c r="S35" i="137" s="1"/>
  <c r="M341" i="137"/>
  <c r="S341" i="137" s="1"/>
  <c r="M455" i="137"/>
  <c r="S455" i="137" s="1"/>
  <c r="M485" i="137"/>
  <c r="S485" i="137" s="1"/>
  <c r="M110" i="137"/>
  <c r="S110" i="137" s="1"/>
  <c r="M29" i="137"/>
  <c r="S29" i="137" s="1"/>
  <c r="M62" i="137"/>
  <c r="S62" i="137" s="1"/>
  <c r="M205" i="137"/>
  <c r="S205" i="137" s="1"/>
  <c r="M75" i="137"/>
  <c r="S75" i="137" s="1"/>
  <c r="M204" i="137"/>
  <c r="S204" i="137" s="1"/>
  <c r="M73" i="137"/>
  <c r="M347" i="137"/>
  <c r="S347" i="137" s="1"/>
  <c r="M529" i="137"/>
  <c r="S529" i="137" s="1"/>
  <c r="M420" i="137"/>
  <c r="S420" i="137" s="1"/>
  <c r="M470" i="137"/>
  <c r="M501" i="137"/>
  <c r="S501" i="137" s="1"/>
  <c r="M762" i="137"/>
  <c r="S762" i="137" s="1"/>
  <c r="M50" i="137"/>
  <c r="S50" i="137" s="1"/>
  <c r="M2" i="137"/>
  <c r="M340" i="137"/>
  <c r="S340" i="137" s="1"/>
  <c r="M452" i="137"/>
  <c r="S452" i="137" s="1"/>
  <c r="M483" i="137"/>
  <c r="S483" i="137" s="1"/>
  <c r="M274" i="137"/>
  <c r="S274" i="137" s="1"/>
  <c r="M137" i="137"/>
  <c r="S137" i="137" s="1"/>
  <c r="M30" i="137"/>
  <c r="S30" i="137" s="1"/>
  <c r="M327" i="137"/>
  <c r="S327" i="137" s="1"/>
  <c r="M181" i="137"/>
  <c r="S181" i="137" s="1"/>
  <c r="M375" i="137"/>
  <c r="S375" i="137" s="1"/>
  <c r="M698" i="137"/>
  <c r="S698" i="137" s="1"/>
  <c r="M454" i="137"/>
  <c r="S454" i="137" s="1"/>
  <c r="M400" i="137"/>
  <c r="S400" i="137" s="1"/>
  <c r="M19" i="137"/>
  <c r="AE37" i="137" s="1"/>
  <c r="M45" i="137"/>
  <c r="S45" i="137" s="1"/>
  <c r="M346" i="137"/>
  <c r="S346" i="137" s="1"/>
  <c r="M524" i="137"/>
  <c r="S524" i="137" s="1"/>
  <c r="M397" i="137"/>
  <c r="S397" i="137" s="1"/>
  <c r="M1248" i="137"/>
  <c r="S1248" i="137" s="1"/>
  <c r="M487" i="137"/>
  <c r="S487" i="137" s="1"/>
  <c r="M428" i="137"/>
  <c r="M162" i="137"/>
  <c r="S162" i="137" s="1"/>
  <c r="M34" i="137"/>
  <c r="S34" i="137" s="1"/>
  <c r="M412" i="137"/>
  <c r="S412" i="137" s="1"/>
  <c r="M833" i="137"/>
  <c r="M60" i="137"/>
  <c r="S60" i="137" s="1"/>
  <c r="M3" i="137"/>
  <c r="S3" i="137" s="1"/>
  <c r="M209" i="137"/>
  <c r="S209" i="137" s="1"/>
  <c r="M77" i="137"/>
  <c r="S77" i="137" s="1"/>
  <c r="M360" i="137"/>
  <c r="M544" i="137"/>
  <c r="S544" i="137" s="1"/>
  <c r="M416" i="137"/>
  <c r="S416" i="137" s="1"/>
  <c r="M818" i="137"/>
  <c r="S818" i="137" s="1"/>
  <c r="M499" i="137"/>
  <c r="S499" i="137" s="1"/>
  <c r="M551" i="137"/>
  <c r="S551" i="137" s="1"/>
  <c r="M76" i="137"/>
  <c r="S76" i="137" s="1"/>
  <c r="M5" i="137"/>
  <c r="S5" i="137" s="1"/>
  <c r="M244" i="137"/>
  <c r="M148" i="137"/>
  <c r="S148" i="137" s="1"/>
  <c r="M424" i="137"/>
  <c r="S424" i="137" s="1"/>
  <c r="M245" i="137"/>
  <c r="S245" i="137" s="1"/>
  <c r="M112" i="137"/>
  <c r="S112" i="137" s="1"/>
  <c r="M7" i="137"/>
  <c r="S7" i="137" s="1"/>
  <c r="M117" i="137"/>
  <c r="S117" i="137" s="1"/>
  <c r="M24" i="137"/>
  <c r="S24" i="137" s="1"/>
  <c r="M313" i="137"/>
  <c r="S313" i="137" s="1"/>
  <c r="M169" i="137"/>
  <c r="S169" i="137" s="1"/>
  <c r="M367" i="137"/>
  <c r="S367" i="137" s="1"/>
  <c r="M612" i="137"/>
  <c r="S612" i="137" s="1"/>
  <c r="M440" i="137"/>
  <c r="S440" i="137" s="1"/>
  <c r="M783" i="137"/>
  <c r="M128" i="137"/>
  <c r="S128" i="137" s="1"/>
  <c r="M27" i="137"/>
  <c r="S27" i="137" s="1"/>
  <c r="M322" i="137"/>
  <c r="S322" i="137" s="1"/>
  <c r="M170" i="137"/>
  <c r="S170" i="137" s="1"/>
  <c r="M369" i="137"/>
  <c r="S369" i="137" s="1"/>
  <c r="M646" i="137"/>
  <c r="S646" i="137" s="1"/>
  <c r="M460" i="137"/>
  <c r="S460" i="137" s="1"/>
  <c r="M433" i="137"/>
  <c r="S433" i="137" s="1"/>
  <c r="M74" i="137"/>
  <c r="S74" i="137" s="1"/>
  <c r="M4" i="137"/>
  <c r="S4" i="137" s="1"/>
  <c r="M219" i="137"/>
  <c r="S219" i="137" s="1"/>
  <c r="M103" i="137"/>
  <c r="S103" i="137" s="1"/>
  <c r="M361" i="137"/>
  <c r="S361" i="137" s="1"/>
  <c r="M554" i="137"/>
  <c r="S554" i="137" s="1"/>
  <c r="M418" i="137"/>
  <c r="S418" i="137" s="1"/>
  <c r="M584" i="137"/>
  <c r="S584" i="137" s="1"/>
  <c r="M500" i="137"/>
  <c r="S500" i="137" s="1"/>
  <c r="M422" i="137"/>
  <c r="S422" i="137" s="1"/>
  <c r="M159" i="137"/>
  <c r="M33" i="137"/>
  <c r="S33" i="137" s="1"/>
  <c r="M339" i="137"/>
  <c r="S339" i="137" s="1"/>
  <c r="M185" i="137"/>
  <c r="S185" i="137" s="1"/>
  <c r="M409" i="137"/>
  <c r="M1214" i="137"/>
  <c r="S1214" i="137" s="1"/>
  <c r="M325" i="137"/>
  <c r="S325" i="137" s="1"/>
  <c r="M177" i="137"/>
  <c r="S177" i="137" s="1"/>
  <c r="M582" i="137"/>
  <c r="S582" i="137" s="1"/>
  <c r="M113" i="137"/>
  <c r="S113" i="137" s="1"/>
  <c r="M23" i="137"/>
  <c r="M283" i="137"/>
  <c r="S283" i="137" s="1"/>
  <c r="M168" i="137"/>
  <c r="S168" i="137" s="1"/>
  <c r="M366" i="137"/>
  <c r="S366" i="137" s="1"/>
  <c r="M594" i="137"/>
  <c r="S594" i="137" s="1"/>
  <c r="M439" i="137"/>
  <c r="S439" i="137" s="1"/>
  <c r="M509" i="137"/>
  <c r="S509" i="137" s="1"/>
  <c r="M372" i="137"/>
  <c r="S372" i="137" s="1"/>
  <c r="M379" i="137"/>
  <c r="S379" i="137" s="1"/>
  <c r="M373" i="137"/>
  <c r="S373" i="137" s="1"/>
  <c r="M695" i="137"/>
  <c r="M505" i="137"/>
  <c r="S505" i="137" s="1"/>
  <c r="M403" i="137"/>
  <c r="S403" i="137" s="1"/>
  <c r="I1272" i="137"/>
  <c r="P1272" i="137"/>
  <c r="E1272" i="137"/>
  <c r="Q1272" i="137"/>
  <c r="D1272" i="137"/>
  <c r="L1272" i="137"/>
  <c r="N1272" i="137"/>
  <c r="K1272" i="137"/>
  <c r="G1272" i="137"/>
  <c r="H1272" i="137"/>
  <c r="J1272" i="137"/>
  <c r="F1272" i="137"/>
  <c r="R1272" i="137"/>
  <c r="O1272" i="137"/>
  <c r="M717" i="137"/>
  <c r="S717" i="137" s="1"/>
  <c r="M715" i="137"/>
  <c r="S715" i="137" s="1"/>
  <c r="S813" i="137"/>
  <c r="AK33" i="137" s="1"/>
  <c r="S558" i="137"/>
  <c r="AK19" i="137" s="1"/>
  <c r="S579" i="137"/>
  <c r="S760" i="137"/>
  <c r="S661" i="137"/>
  <c r="AK23" i="137" s="1"/>
  <c r="S514" i="137"/>
  <c r="S450" i="137"/>
  <c r="S804" i="137"/>
  <c r="AK32" i="137" s="1"/>
  <c r="S642" i="137"/>
  <c r="S777" i="137"/>
  <c r="AK29" i="137" s="1"/>
  <c r="S393" i="137"/>
  <c r="S797" i="137"/>
  <c r="AK31" i="137" s="1"/>
  <c r="S752" i="137"/>
  <c r="AK27" i="137" s="1"/>
  <c r="S625" i="137"/>
  <c r="AK21" i="137" s="1"/>
  <c r="S785" i="137"/>
  <c r="S675" i="137"/>
  <c r="AK24" i="137" s="1"/>
  <c r="R82" i="138"/>
  <c r="L82" i="138"/>
  <c r="B136" i="135"/>
  <c r="A136" i="135"/>
  <c r="B114" i="135"/>
  <c r="A114" i="135"/>
  <c r="B92" i="135"/>
  <c r="A92" i="135"/>
  <c r="F80" i="135"/>
  <c r="E75" i="135"/>
  <c r="B70" i="135"/>
  <c r="A70" i="135"/>
  <c r="B48" i="135"/>
  <c r="A48" i="135"/>
  <c r="B26" i="135"/>
  <c r="A26" i="135"/>
  <c r="B4" i="135"/>
  <c r="A4" i="135"/>
  <c r="AE7" i="137" l="1"/>
  <c r="Y35" i="137"/>
  <c r="Y44" i="137" s="1"/>
  <c r="V35" i="137"/>
  <c r="V44" i="137" s="1"/>
  <c r="AG35" i="137"/>
  <c r="AG44" i="137" s="1"/>
  <c r="AK22" i="137"/>
  <c r="X35" i="137"/>
  <c r="X44" i="137" s="1"/>
  <c r="AD35" i="137"/>
  <c r="AD44" i="137" s="1"/>
  <c r="AI35" i="137"/>
  <c r="AI44" i="137" s="1"/>
  <c r="AJ35" i="137"/>
  <c r="AJ44" i="137" s="1"/>
  <c r="AB35" i="137"/>
  <c r="AB44" i="137" s="1"/>
  <c r="AF35" i="137"/>
  <c r="AF44" i="137" s="1"/>
  <c r="AC35" i="137"/>
  <c r="AC44" i="137" s="1"/>
  <c r="AH35" i="137"/>
  <c r="AH44" i="137" s="1"/>
  <c r="AA35" i="137"/>
  <c r="AA44" i="137" s="1"/>
  <c r="W35" i="137"/>
  <c r="W44" i="137" s="1"/>
  <c r="AK28" i="137"/>
  <c r="Z35" i="137"/>
  <c r="Z44" i="137" s="1"/>
  <c r="AK14" i="137"/>
  <c r="AK9" i="137"/>
  <c r="S19" i="137"/>
  <c r="AK37" i="137" s="1"/>
  <c r="AK11" i="137"/>
  <c r="AK17" i="137"/>
  <c r="S244" i="137"/>
  <c r="AK7" i="137" s="1"/>
  <c r="AE9" i="137"/>
  <c r="AK16" i="137"/>
  <c r="AK20" i="137"/>
  <c r="S783" i="137"/>
  <c r="AK30" i="137" s="1"/>
  <c r="AE30" i="137"/>
  <c r="AK26" i="137"/>
  <c r="AE20" i="137"/>
  <c r="AE33" i="137"/>
  <c r="S695" i="137"/>
  <c r="AK25" i="137" s="1"/>
  <c r="AE25" i="137"/>
  <c r="S409" i="137"/>
  <c r="AK12" i="137" s="1"/>
  <c r="AE12" i="137"/>
  <c r="AE6" i="137"/>
  <c r="S360" i="137"/>
  <c r="AK10" i="137" s="1"/>
  <c r="AE10" i="137"/>
  <c r="AE16" i="137"/>
  <c r="AE11" i="137"/>
  <c r="S159" i="137"/>
  <c r="AK6" i="137" s="1"/>
  <c r="AK8" i="137"/>
  <c r="AE8" i="137"/>
  <c r="S833" i="137"/>
  <c r="AK39" i="137" s="1"/>
  <c r="AE39" i="137"/>
  <c r="S428" i="137"/>
  <c r="AK13" i="137" s="1"/>
  <c r="AE13" i="137"/>
  <c r="AE2" i="137"/>
  <c r="S470" i="137"/>
  <c r="AK15" i="137" s="1"/>
  <c r="AE15" i="137"/>
  <c r="S73" i="137"/>
  <c r="AK4" i="137" s="1"/>
  <c r="AE4" i="137"/>
  <c r="AE28" i="137"/>
  <c r="AE18" i="137"/>
  <c r="AE17" i="137"/>
  <c r="S23" i="137"/>
  <c r="AK3" i="137" s="1"/>
  <c r="AE3" i="137"/>
  <c r="AE5" i="137"/>
  <c r="AE26" i="137"/>
  <c r="AE14" i="137"/>
  <c r="AK18" i="137"/>
  <c r="AE22" i="137"/>
  <c r="S144" i="137"/>
  <c r="AK5" i="137" s="1"/>
  <c r="S2" i="137"/>
  <c r="AK2" i="137" s="1"/>
  <c r="H7" i="135"/>
  <c r="D24" i="135"/>
  <c r="D19" i="135"/>
  <c r="D15" i="135"/>
  <c r="D11" i="135"/>
  <c r="D7" i="135"/>
  <c r="D23" i="135"/>
  <c r="D18" i="135"/>
  <c r="D14" i="135"/>
  <c r="D10" i="135"/>
  <c r="D21" i="135"/>
  <c r="D17" i="135"/>
  <c r="D13" i="135"/>
  <c r="D9" i="135"/>
  <c r="D20" i="135"/>
  <c r="D16" i="135"/>
  <c r="D12" i="135"/>
  <c r="D8" i="135"/>
  <c r="H51" i="135"/>
  <c r="D65" i="135"/>
  <c r="D61" i="135"/>
  <c r="D57" i="135"/>
  <c r="D53" i="135"/>
  <c r="D64" i="135"/>
  <c r="D60" i="135"/>
  <c r="D56" i="135"/>
  <c r="D52" i="135"/>
  <c r="D68" i="135"/>
  <c r="D63" i="135"/>
  <c r="D59" i="135"/>
  <c r="D55" i="135"/>
  <c r="D51" i="135"/>
  <c r="D67" i="135"/>
  <c r="D62" i="135"/>
  <c r="D58" i="135"/>
  <c r="D54" i="135"/>
  <c r="H117" i="135"/>
  <c r="D133" i="135"/>
  <c r="D128" i="135"/>
  <c r="D124" i="135"/>
  <c r="D120" i="135"/>
  <c r="E118" i="135"/>
  <c r="E120" i="135"/>
  <c r="E122" i="135"/>
  <c r="E124" i="135"/>
  <c r="E127" i="135"/>
  <c r="E129" i="135"/>
  <c r="E131" i="135"/>
  <c r="D131" i="135"/>
  <c r="D127" i="135"/>
  <c r="D123" i="135"/>
  <c r="D119" i="135"/>
  <c r="C114" i="135"/>
  <c r="F118" i="135"/>
  <c r="F120" i="135"/>
  <c r="F122" i="135"/>
  <c r="F124" i="135"/>
  <c r="F127" i="135"/>
  <c r="F129" i="135"/>
  <c r="F131" i="135"/>
  <c r="D130" i="135"/>
  <c r="D126" i="135"/>
  <c r="D122" i="135"/>
  <c r="D118" i="135"/>
  <c r="E117" i="135"/>
  <c r="E119" i="135"/>
  <c r="E121" i="135"/>
  <c r="E123" i="135"/>
  <c r="E125" i="135"/>
  <c r="E128" i="135"/>
  <c r="E130" i="135"/>
  <c r="D134" i="135"/>
  <c r="G134" i="135" s="1"/>
  <c r="D129" i="135"/>
  <c r="D125" i="135"/>
  <c r="D121" i="135"/>
  <c r="D117" i="135"/>
  <c r="F117" i="135"/>
  <c r="F119" i="135"/>
  <c r="F121" i="135"/>
  <c r="F123" i="135"/>
  <c r="F125" i="135"/>
  <c r="F128" i="135"/>
  <c r="F130" i="135"/>
  <c r="E31" i="135"/>
  <c r="H29" i="135"/>
  <c r="D45" i="135"/>
  <c r="D40" i="135"/>
  <c r="D36" i="135"/>
  <c r="D32" i="135"/>
  <c r="D43" i="135"/>
  <c r="D39" i="135"/>
  <c r="D35" i="135"/>
  <c r="D31" i="135"/>
  <c r="D42" i="135"/>
  <c r="D38" i="135"/>
  <c r="D34" i="135"/>
  <c r="D30" i="135"/>
  <c r="D46" i="135"/>
  <c r="D41" i="135"/>
  <c r="D37" i="135"/>
  <c r="D33" i="135"/>
  <c r="D29" i="135"/>
  <c r="E86" i="135"/>
  <c r="H73" i="135"/>
  <c r="D86" i="135"/>
  <c r="D82" i="135"/>
  <c r="D78" i="135"/>
  <c r="D74" i="135"/>
  <c r="D90" i="135"/>
  <c r="D85" i="135"/>
  <c r="D81" i="135"/>
  <c r="D77" i="135"/>
  <c r="D73" i="135"/>
  <c r="D89" i="135"/>
  <c r="D84" i="135"/>
  <c r="D80" i="135"/>
  <c r="D76" i="135"/>
  <c r="D87" i="135"/>
  <c r="D83" i="135"/>
  <c r="D79" i="135"/>
  <c r="D75" i="135"/>
  <c r="H95" i="135"/>
  <c r="D112" i="135"/>
  <c r="D107" i="135"/>
  <c r="D103" i="135"/>
  <c r="D99" i="135"/>
  <c r="D95" i="135"/>
  <c r="D111" i="135"/>
  <c r="D106" i="135"/>
  <c r="D102" i="135"/>
  <c r="D98" i="135"/>
  <c r="D109" i="135"/>
  <c r="D105" i="135"/>
  <c r="D101" i="135"/>
  <c r="D97" i="135"/>
  <c r="D108" i="135"/>
  <c r="D104" i="135"/>
  <c r="D100" i="135"/>
  <c r="D96" i="135"/>
  <c r="H139" i="135"/>
  <c r="D153" i="135"/>
  <c r="D149" i="135"/>
  <c r="D145" i="135"/>
  <c r="D141" i="135"/>
  <c r="D152" i="135"/>
  <c r="D148" i="135"/>
  <c r="D144" i="135"/>
  <c r="D140" i="135"/>
  <c r="D156" i="135"/>
  <c r="G156" i="135" s="1"/>
  <c r="D151" i="135"/>
  <c r="D147" i="135"/>
  <c r="D143" i="135"/>
  <c r="D139" i="135"/>
  <c r="D155" i="135"/>
  <c r="D150" i="135"/>
  <c r="D146" i="135"/>
  <c r="D142" i="135"/>
  <c r="M1272" i="137"/>
  <c r="C70" i="135"/>
  <c r="E42" i="135"/>
  <c r="F36" i="135"/>
  <c r="C26" i="135"/>
  <c r="G68" i="135"/>
  <c r="F107" i="135"/>
  <c r="F151" i="135"/>
  <c r="F39" i="135"/>
  <c r="F83" i="135"/>
  <c r="G46" i="135"/>
  <c r="F61" i="135"/>
  <c r="G90" i="135"/>
  <c r="F105" i="135"/>
  <c r="F149" i="135"/>
  <c r="F101" i="135"/>
  <c r="F145" i="135"/>
  <c r="F57" i="135"/>
  <c r="C92" i="135"/>
  <c r="F97" i="135"/>
  <c r="C136" i="135"/>
  <c r="F141" i="135"/>
  <c r="C48" i="135"/>
  <c r="F53" i="135"/>
  <c r="F65" i="135"/>
  <c r="F109" i="135"/>
  <c r="F153" i="135"/>
  <c r="E29" i="135"/>
  <c r="F31" i="135"/>
  <c r="E34" i="135"/>
  <c r="F40" i="135"/>
  <c r="E43" i="135"/>
  <c r="F54" i="135"/>
  <c r="F58" i="135"/>
  <c r="F62" i="135"/>
  <c r="E73" i="135"/>
  <c r="F75" i="135"/>
  <c r="E78" i="135"/>
  <c r="F84" i="135"/>
  <c r="E87" i="135"/>
  <c r="F98" i="135"/>
  <c r="F102" i="135"/>
  <c r="F106" i="135"/>
  <c r="G112" i="135"/>
  <c r="F142" i="135"/>
  <c r="F146" i="135"/>
  <c r="F150" i="135"/>
  <c r="F32" i="135"/>
  <c r="E35" i="135"/>
  <c r="F43" i="135"/>
  <c r="F76" i="135"/>
  <c r="E79" i="135"/>
  <c r="F87" i="135"/>
  <c r="E30" i="135"/>
  <c r="F35" i="135"/>
  <c r="E39" i="135"/>
  <c r="E74" i="135"/>
  <c r="F79" i="135"/>
  <c r="E83" i="135"/>
  <c r="E21" i="135"/>
  <c r="E20" i="135"/>
  <c r="E19" i="135"/>
  <c r="E18" i="135"/>
  <c r="E17" i="135"/>
  <c r="E15" i="135"/>
  <c r="E14" i="135"/>
  <c r="E13" i="135"/>
  <c r="E12" i="135"/>
  <c r="E11" i="135"/>
  <c r="E10" i="135"/>
  <c r="E9" i="135"/>
  <c r="C4" i="135"/>
  <c r="F12" i="135"/>
  <c r="F30" i="135"/>
  <c r="F34" i="135"/>
  <c r="E37" i="135"/>
  <c r="E41" i="135"/>
  <c r="E65" i="135"/>
  <c r="E64" i="135"/>
  <c r="E63" i="135"/>
  <c r="E62" i="135"/>
  <c r="E61" i="135"/>
  <c r="E59" i="135"/>
  <c r="E58" i="135"/>
  <c r="E57" i="135"/>
  <c r="E56" i="135"/>
  <c r="E55" i="135"/>
  <c r="E54" i="135"/>
  <c r="E53" i="135"/>
  <c r="E52" i="135"/>
  <c r="F51" i="135"/>
  <c r="E51" i="135"/>
  <c r="F64" i="135"/>
  <c r="F73" i="135"/>
  <c r="F78" i="135"/>
  <c r="F86" i="135"/>
  <c r="E95" i="135"/>
  <c r="F100" i="135"/>
  <c r="E139" i="135"/>
  <c r="F152" i="135"/>
  <c r="F11" i="135"/>
  <c r="F15" i="135"/>
  <c r="F19" i="135"/>
  <c r="E32" i="135"/>
  <c r="F33" i="135"/>
  <c r="E36" i="135"/>
  <c r="F37" i="135"/>
  <c r="E40" i="135"/>
  <c r="F41" i="135"/>
  <c r="F55" i="135"/>
  <c r="F59" i="135"/>
  <c r="F63" i="135"/>
  <c r="E76" i="135"/>
  <c r="F77" i="135"/>
  <c r="E80" i="135"/>
  <c r="F81" i="135"/>
  <c r="E84" i="135"/>
  <c r="F85" i="135"/>
  <c r="F99" i="135"/>
  <c r="F103" i="135"/>
  <c r="F143" i="135"/>
  <c r="F147" i="135"/>
  <c r="E7" i="135"/>
  <c r="F10" i="135"/>
  <c r="F14" i="135"/>
  <c r="F18" i="135"/>
  <c r="F7" i="135"/>
  <c r="E8" i="135"/>
  <c r="F9" i="135"/>
  <c r="F13" i="135"/>
  <c r="F17" i="135"/>
  <c r="F21" i="135"/>
  <c r="G24" i="135"/>
  <c r="F8" i="135"/>
  <c r="F20" i="135"/>
  <c r="F29" i="135"/>
  <c r="E33" i="135"/>
  <c r="F42" i="135"/>
  <c r="F52" i="135"/>
  <c r="F56" i="135"/>
  <c r="F74" i="135"/>
  <c r="E77" i="135"/>
  <c r="E81" i="135"/>
  <c r="E85" i="135"/>
  <c r="E109" i="135"/>
  <c r="E108" i="135"/>
  <c r="E107" i="135"/>
  <c r="E106" i="135"/>
  <c r="E105" i="135"/>
  <c r="E103" i="135"/>
  <c r="E102" i="135"/>
  <c r="E101" i="135"/>
  <c r="E100" i="135"/>
  <c r="E99" i="135"/>
  <c r="E98" i="135"/>
  <c r="E97" i="135"/>
  <c r="E96" i="135"/>
  <c r="F95" i="135"/>
  <c r="F96" i="135"/>
  <c r="F108" i="135"/>
  <c r="E153" i="135"/>
  <c r="E152" i="135"/>
  <c r="E151" i="135"/>
  <c r="E150" i="135"/>
  <c r="E149" i="135"/>
  <c r="E147" i="135"/>
  <c r="E146" i="135"/>
  <c r="E145" i="135"/>
  <c r="E144" i="135"/>
  <c r="E143" i="135"/>
  <c r="E142" i="135"/>
  <c r="E141" i="135"/>
  <c r="E140" i="135"/>
  <c r="F139" i="135"/>
  <c r="F140" i="135"/>
  <c r="F144" i="135"/>
  <c r="C17" i="134"/>
  <c r="E15" i="134"/>
  <c r="G15" i="134" s="1"/>
  <c r="E14" i="134"/>
  <c r="G14" i="134" s="1"/>
  <c r="E13" i="134"/>
  <c r="G13" i="134" s="1"/>
  <c r="D10" i="134"/>
  <c r="D9" i="134"/>
  <c r="D8" i="134"/>
  <c r="D7" i="134"/>
  <c r="D6" i="134"/>
  <c r="D5" i="134"/>
  <c r="D4" i="134"/>
  <c r="D3" i="134"/>
  <c r="D2" i="134"/>
  <c r="G42" i="135" l="1"/>
  <c r="AE35" i="137"/>
  <c r="AE44" i="137" s="1"/>
  <c r="S1272" i="137"/>
  <c r="AK35" i="137"/>
  <c r="AK44" i="137" s="1"/>
  <c r="G118" i="135"/>
  <c r="G122" i="135"/>
  <c r="G129" i="135"/>
  <c r="G117" i="135"/>
  <c r="G119" i="135"/>
  <c r="G124" i="135"/>
  <c r="G121" i="135"/>
  <c r="G123" i="135"/>
  <c r="G128" i="135"/>
  <c r="G125" i="135"/>
  <c r="F132" i="135"/>
  <c r="D132" i="135"/>
  <c r="G127" i="135"/>
  <c r="E132" i="135"/>
  <c r="F126" i="135"/>
  <c r="E126" i="135"/>
  <c r="G130" i="135"/>
  <c r="G131" i="135"/>
  <c r="G120" i="135"/>
  <c r="D11" i="134"/>
  <c r="G153" i="135"/>
  <c r="G85" i="135"/>
  <c r="F110" i="135"/>
  <c r="G74" i="135"/>
  <c r="D110" i="135"/>
  <c r="G61" i="135"/>
  <c r="G34" i="135"/>
  <c r="G145" i="135"/>
  <c r="G86" i="135"/>
  <c r="G109" i="135"/>
  <c r="G97" i="135"/>
  <c r="G101" i="135"/>
  <c r="G53" i="135"/>
  <c r="G57" i="135"/>
  <c r="G78" i="135"/>
  <c r="G100" i="135"/>
  <c r="G41" i="135"/>
  <c r="G31" i="135"/>
  <c r="G141" i="135"/>
  <c r="G62" i="135"/>
  <c r="F154" i="135"/>
  <c r="G43" i="135"/>
  <c r="G149" i="135"/>
  <c r="G36" i="135"/>
  <c r="F66" i="135"/>
  <c r="E44" i="135"/>
  <c r="G81" i="135"/>
  <c r="G37" i="135"/>
  <c r="G79" i="135"/>
  <c r="G35" i="135"/>
  <c r="G30" i="135"/>
  <c r="G54" i="135"/>
  <c r="G65" i="135"/>
  <c r="G75" i="135"/>
  <c r="G58" i="135"/>
  <c r="G152" i="135"/>
  <c r="G12" i="135"/>
  <c r="G77" i="135"/>
  <c r="G11" i="135"/>
  <c r="F38" i="135"/>
  <c r="G87" i="135"/>
  <c r="G63" i="135"/>
  <c r="F88" i="135"/>
  <c r="G33" i="135"/>
  <c r="G147" i="135"/>
  <c r="G144" i="135"/>
  <c r="E110" i="135"/>
  <c r="G96" i="135"/>
  <c r="G64" i="135"/>
  <c r="G140" i="135"/>
  <c r="G108" i="135"/>
  <c r="E82" i="135"/>
  <c r="E38" i="135"/>
  <c r="G51" i="135"/>
  <c r="F44" i="135"/>
  <c r="E88" i="135"/>
  <c r="G52" i="135"/>
  <c r="G56" i="135"/>
  <c r="E66" i="135"/>
  <c r="E22" i="135"/>
  <c r="E16" i="135"/>
  <c r="F22" i="135"/>
  <c r="G21" i="135"/>
  <c r="G103" i="135"/>
  <c r="G84" i="135"/>
  <c r="F82" i="135"/>
  <c r="F60" i="135"/>
  <c r="G29" i="135"/>
  <c r="G9" i="135"/>
  <c r="G151" i="135"/>
  <c r="F148" i="135"/>
  <c r="G99" i="135"/>
  <c r="G150" i="135"/>
  <c r="G142" i="135"/>
  <c r="G106" i="135"/>
  <c r="G98" i="135"/>
  <c r="G83" i="135"/>
  <c r="D88" i="135"/>
  <c r="G39" i="135"/>
  <c r="D44" i="135"/>
  <c r="G18" i="135"/>
  <c r="G10" i="135"/>
  <c r="G143" i="135"/>
  <c r="G80" i="135"/>
  <c r="G73" i="135"/>
  <c r="G59" i="135"/>
  <c r="G8" i="135"/>
  <c r="D154" i="135"/>
  <c r="E154" i="135"/>
  <c r="F16" i="135"/>
  <c r="E148" i="135"/>
  <c r="E104" i="135"/>
  <c r="G55" i="135"/>
  <c r="G32" i="135"/>
  <c r="G19" i="135"/>
  <c r="G17" i="135"/>
  <c r="D22" i="135"/>
  <c r="G139" i="135"/>
  <c r="G105" i="135"/>
  <c r="D66" i="135"/>
  <c r="F104" i="135"/>
  <c r="G20" i="135"/>
  <c r="G146" i="135"/>
  <c r="G102" i="135"/>
  <c r="G14" i="135"/>
  <c r="G7" i="135"/>
  <c r="G107" i="135"/>
  <c r="G76" i="135"/>
  <c r="E60" i="135"/>
  <c r="G40" i="135"/>
  <c r="G15" i="135"/>
  <c r="G13" i="135"/>
  <c r="G95" i="135"/>
  <c r="G126" i="135" l="1"/>
  <c r="E133" i="135"/>
  <c r="F133" i="135"/>
  <c r="G132" i="135"/>
  <c r="F111" i="135"/>
  <c r="F67" i="135"/>
  <c r="G110" i="135"/>
  <c r="F155" i="135"/>
  <c r="E111" i="135"/>
  <c r="G82" i="135"/>
  <c r="F45" i="135"/>
  <c r="F89" i="135"/>
  <c r="G38" i="135"/>
  <c r="G16" i="135"/>
  <c r="E23" i="135"/>
  <c r="E89" i="135"/>
  <c r="G148" i="135"/>
  <c r="G44" i="135"/>
  <c r="G22" i="135"/>
  <c r="G154" i="135"/>
  <c r="G66" i="135"/>
  <c r="G88" i="135"/>
  <c r="E45" i="135"/>
  <c r="F23" i="135"/>
  <c r="E155" i="135"/>
  <c r="G60" i="135"/>
  <c r="G104" i="135"/>
  <c r="E67" i="135"/>
  <c r="D12" i="134"/>
  <c r="D16" i="134"/>
  <c r="G133" i="135" l="1"/>
  <c r="D17" i="134"/>
  <c r="D18" i="134" s="1"/>
  <c r="G111" i="135"/>
  <c r="G67" i="135"/>
  <c r="G155" i="135"/>
  <c r="E12" i="134"/>
  <c r="E16" i="134"/>
  <c r="G16" i="134" s="1"/>
  <c r="I94" i="94"/>
  <c r="G23" i="135"/>
  <c r="G45" i="135"/>
  <c r="G89" i="135"/>
  <c r="E17" i="134" l="1"/>
  <c r="G12" i="134"/>
  <c r="B268" i="133" l="1"/>
  <c r="A268" i="133"/>
  <c r="B246" i="133"/>
  <c r="A246" i="133"/>
  <c r="B224" i="133"/>
  <c r="A224" i="133"/>
  <c r="B202" i="133"/>
  <c r="A202" i="133"/>
  <c r="B180" i="133"/>
  <c r="A180" i="133"/>
  <c r="B158" i="133"/>
  <c r="A158" i="133"/>
  <c r="B136" i="133"/>
  <c r="A136" i="133"/>
  <c r="B114" i="133"/>
  <c r="A114" i="133"/>
  <c r="B92" i="133"/>
  <c r="A92" i="133"/>
  <c r="B70" i="133"/>
  <c r="A70" i="133"/>
  <c r="B48" i="133"/>
  <c r="A48" i="133"/>
  <c r="B26" i="133"/>
  <c r="A26" i="133"/>
  <c r="B4" i="133"/>
  <c r="A4" i="133"/>
  <c r="B202" i="132"/>
  <c r="A202" i="132"/>
  <c r="B180" i="132"/>
  <c r="A180" i="132"/>
  <c r="B158" i="132"/>
  <c r="A158" i="132"/>
  <c r="B136" i="132"/>
  <c r="A136" i="132"/>
  <c r="B114" i="132"/>
  <c r="A114" i="132"/>
  <c r="B92" i="132"/>
  <c r="A92" i="132"/>
  <c r="B70" i="132"/>
  <c r="A70" i="132"/>
  <c r="B48" i="132"/>
  <c r="A48" i="132"/>
  <c r="B26" i="132"/>
  <c r="A26" i="132"/>
  <c r="B4" i="132"/>
  <c r="A4" i="132"/>
  <c r="B334" i="131"/>
  <c r="A334" i="131"/>
  <c r="B312" i="131"/>
  <c r="A312" i="131"/>
  <c r="B290" i="131"/>
  <c r="A290" i="131"/>
  <c r="B268" i="131"/>
  <c r="A268" i="131"/>
  <c r="B246" i="131"/>
  <c r="A246" i="131"/>
  <c r="B224" i="131"/>
  <c r="A224" i="131"/>
  <c r="B202" i="131"/>
  <c r="A202" i="131"/>
  <c r="B180" i="131"/>
  <c r="A180" i="131"/>
  <c r="B158" i="131"/>
  <c r="A158" i="131"/>
  <c r="B136" i="131"/>
  <c r="A136" i="131"/>
  <c r="B114" i="131"/>
  <c r="A114" i="131"/>
  <c r="B92" i="131"/>
  <c r="A92" i="131"/>
  <c r="B70" i="131"/>
  <c r="A70" i="131"/>
  <c r="B48" i="131"/>
  <c r="A48" i="131"/>
  <c r="B26" i="131"/>
  <c r="A26" i="131"/>
  <c r="B4" i="131"/>
  <c r="A4" i="131"/>
  <c r="B444" i="130"/>
  <c r="A444" i="130"/>
  <c r="B422" i="130"/>
  <c r="A422" i="130"/>
  <c r="B400" i="130"/>
  <c r="A400" i="130"/>
  <c r="B378" i="130"/>
  <c r="A378" i="130"/>
  <c r="B356" i="130"/>
  <c r="A356" i="130"/>
  <c r="B334" i="130"/>
  <c r="A334" i="130"/>
  <c r="B312" i="130"/>
  <c r="A312" i="130"/>
  <c r="B290" i="130"/>
  <c r="A290" i="130"/>
  <c r="B268" i="130"/>
  <c r="A268" i="130"/>
  <c r="B246" i="130"/>
  <c r="A246" i="130"/>
  <c r="B224" i="130"/>
  <c r="A224" i="130"/>
  <c r="B202" i="130"/>
  <c r="A202" i="130"/>
  <c r="B180" i="130"/>
  <c r="A180" i="130"/>
  <c r="B158" i="130"/>
  <c r="A158" i="130"/>
  <c r="B136" i="130"/>
  <c r="A136" i="130"/>
  <c r="B114" i="130"/>
  <c r="A114" i="130"/>
  <c r="B92" i="130"/>
  <c r="A92" i="130"/>
  <c r="B70" i="130"/>
  <c r="A70" i="130"/>
  <c r="B48" i="130"/>
  <c r="A48" i="130"/>
  <c r="B26" i="130"/>
  <c r="A26" i="130"/>
  <c r="B4" i="130"/>
  <c r="A4" i="130"/>
  <c r="B730" i="129"/>
  <c r="A730" i="129"/>
  <c r="B708" i="129"/>
  <c r="A708" i="129"/>
  <c r="B686" i="129"/>
  <c r="A686" i="129"/>
  <c r="B664" i="129"/>
  <c r="A664" i="129"/>
  <c r="B642" i="129"/>
  <c r="A642" i="129"/>
  <c r="B620" i="129"/>
  <c r="A620" i="129"/>
  <c r="B598" i="129"/>
  <c r="A598" i="129"/>
  <c r="B576" i="129"/>
  <c r="A576" i="129"/>
  <c r="B554" i="129"/>
  <c r="A554" i="129"/>
  <c r="B532" i="129"/>
  <c r="A532" i="129"/>
  <c r="B510" i="129"/>
  <c r="A510" i="129"/>
  <c r="B488" i="129"/>
  <c r="A488" i="129"/>
  <c r="B466" i="129"/>
  <c r="A466" i="129"/>
  <c r="B444" i="129"/>
  <c r="A444" i="129"/>
  <c r="B422" i="129"/>
  <c r="A422" i="129"/>
  <c r="B400" i="129"/>
  <c r="A400" i="129"/>
  <c r="B378" i="129"/>
  <c r="A378" i="129"/>
  <c r="B356" i="129"/>
  <c r="A356" i="129"/>
  <c r="B334" i="129"/>
  <c r="A334" i="129"/>
  <c r="B312" i="129"/>
  <c r="A312" i="129"/>
  <c r="B290" i="129"/>
  <c r="A290" i="129"/>
  <c r="B268" i="129"/>
  <c r="A268" i="129"/>
  <c r="B246" i="129"/>
  <c r="A246" i="129"/>
  <c r="B224" i="129"/>
  <c r="A224" i="129"/>
  <c r="B202" i="129"/>
  <c r="A202" i="129"/>
  <c r="B180" i="129"/>
  <c r="A180" i="129"/>
  <c r="B158" i="129"/>
  <c r="A158" i="129"/>
  <c r="B136" i="129"/>
  <c r="A136" i="129"/>
  <c r="B114" i="129"/>
  <c r="A114" i="129"/>
  <c r="B92" i="129"/>
  <c r="A92" i="129"/>
  <c r="B70" i="129"/>
  <c r="A70" i="129"/>
  <c r="B48" i="129"/>
  <c r="A48" i="129"/>
  <c r="B26" i="129"/>
  <c r="A26" i="129"/>
  <c r="B4" i="129"/>
  <c r="A4" i="129"/>
  <c r="B356" i="128"/>
  <c r="A356" i="128"/>
  <c r="B334" i="128"/>
  <c r="A334" i="128"/>
  <c r="B312" i="128"/>
  <c r="A312" i="128"/>
  <c r="B290" i="128"/>
  <c r="A290" i="128"/>
  <c r="B268" i="128"/>
  <c r="A268" i="128"/>
  <c r="B246" i="128"/>
  <c r="A246" i="128"/>
  <c r="B224" i="128"/>
  <c r="A224" i="128"/>
  <c r="B202" i="128"/>
  <c r="A202" i="128"/>
  <c r="B180" i="128"/>
  <c r="A180" i="128"/>
  <c r="B158" i="128"/>
  <c r="A158" i="128"/>
  <c r="B136" i="128"/>
  <c r="A136" i="128"/>
  <c r="B114" i="128"/>
  <c r="A114" i="128"/>
  <c r="B92" i="128"/>
  <c r="A92" i="128"/>
  <c r="B70" i="128"/>
  <c r="A70" i="128"/>
  <c r="B48" i="128"/>
  <c r="A48" i="128"/>
  <c r="B26" i="128"/>
  <c r="A26" i="128"/>
  <c r="B4" i="128"/>
  <c r="A4" i="128"/>
  <c r="B422" i="127"/>
  <c r="A422" i="127"/>
  <c r="B400" i="127"/>
  <c r="A400" i="127"/>
  <c r="B378" i="127"/>
  <c r="A378" i="127"/>
  <c r="B356" i="127"/>
  <c r="A356" i="127"/>
  <c r="B334" i="127"/>
  <c r="A334" i="127"/>
  <c r="B312" i="127"/>
  <c r="A312" i="127"/>
  <c r="B290" i="127"/>
  <c r="A290" i="127"/>
  <c r="B268" i="127"/>
  <c r="A268" i="127"/>
  <c r="B246" i="127"/>
  <c r="A246" i="127"/>
  <c r="B224" i="127"/>
  <c r="A224" i="127"/>
  <c r="B202" i="127"/>
  <c r="A202" i="127"/>
  <c r="B180" i="127"/>
  <c r="A180" i="127"/>
  <c r="B158" i="127"/>
  <c r="A158" i="127"/>
  <c r="B136" i="127"/>
  <c r="A136" i="127"/>
  <c r="B114" i="127"/>
  <c r="A114" i="127"/>
  <c r="B92" i="127"/>
  <c r="A92" i="127"/>
  <c r="B70" i="127"/>
  <c r="A70" i="127"/>
  <c r="B48" i="127"/>
  <c r="A48" i="127"/>
  <c r="B26" i="127"/>
  <c r="A26" i="127"/>
  <c r="B4" i="127"/>
  <c r="A4" i="127"/>
  <c r="B224" i="126"/>
  <c r="A224" i="126"/>
  <c r="B202" i="126"/>
  <c r="A202" i="126"/>
  <c r="B180" i="126"/>
  <c r="A180" i="126"/>
  <c r="B158" i="126"/>
  <c r="A158" i="126"/>
  <c r="B136" i="126"/>
  <c r="A136" i="126"/>
  <c r="B114" i="126"/>
  <c r="A114" i="126"/>
  <c r="B92" i="126"/>
  <c r="A92" i="126"/>
  <c r="B70" i="126"/>
  <c r="A70" i="126"/>
  <c r="B48" i="126"/>
  <c r="A48" i="126"/>
  <c r="B26" i="126"/>
  <c r="A26" i="126"/>
  <c r="B4" i="126"/>
  <c r="A4" i="126"/>
  <c r="B114" i="125"/>
  <c r="A114" i="125"/>
  <c r="B92" i="125"/>
  <c r="A92" i="125"/>
  <c r="B70" i="125"/>
  <c r="A70" i="125"/>
  <c r="B48" i="125"/>
  <c r="A48" i="125"/>
  <c r="B26" i="125"/>
  <c r="A26" i="125"/>
  <c r="B4" i="125"/>
  <c r="A4" i="125"/>
  <c r="B224" i="124"/>
  <c r="A224" i="124"/>
  <c r="B202" i="124"/>
  <c r="A202" i="124"/>
  <c r="B180" i="124"/>
  <c r="A180" i="124"/>
  <c r="B158" i="124"/>
  <c r="A158" i="124"/>
  <c r="B136" i="124"/>
  <c r="A136" i="124"/>
  <c r="B114" i="124"/>
  <c r="A114" i="124"/>
  <c r="B92" i="124"/>
  <c r="A92" i="124"/>
  <c r="B70" i="124"/>
  <c r="A70" i="124"/>
  <c r="B48" i="124"/>
  <c r="A48" i="124"/>
  <c r="B26" i="124"/>
  <c r="A26" i="124"/>
  <c r="B4" i="124"/>
  <c r="A4" i="124"/>
  <c r="B202" i="123"/>
  <c r="A202" i="123"/>
  <c r="B180" i="123"/>
  <c r="A180" i="123"/>
  <c r="B158" i="123"/>
  <c r="A158" i="123"/>
  <c r="B136" i="123"/>
  <c r="A136" i="123"/>
  <c r="B114" i="123"/>
  <c r="A114" i="123"/>
  <c r="B92" i="123"/>
  <c r="A92" i="123"/>
  <c r="B70" i="123"/>
  <c r="A70" i="123"/>
  <c r="B48" i="123"/>
  <c r="A48" i="123"/>
  <c r="B26" i="123"/>
  <c r="A26" i="123"/>
  <c r="B4" i="123"/>
  <c r="A4" i="123"/>
  <c r="B180" i="122"/>
  <c r="A180" i="122"/>
  <c r="B158" i="122"/>
  <c r="A158" i="122"/>
  <c r="B136" i="122"/>
  <c r="A136" i="122"/>
  <c r="B114" i="122"/>
  <c r="A114" i="122"/>
  <c r="B92" i="122"/>
  <c r="A92" i="122"/>
  <c r="B70" i="122"/>
  <c r="A70" i="122"/>
  <c r="B48" i="122"/>
  <c r="A48" i="122"/>
  <c r="B26" i="122"/>
  <c r="A26" i="122"/>
  <c r="B4" i="122"/>
  <c r="A4" i="122"/>
  <c r="B136" i="120"/>
  <c r="A136" i="120"/>
  <c r="B114" i="120"/>
  <c r="A114" i="120"/>
  <c r="B92" i="120"/>
  <c r="A92" i="120"/>
  <c r="B70" i="120"/>
  <c r="A70" i="120"/>
  <c r="B48" i="120"/>
  <c r="A48" i="120"/>
  <c r="B26" i="120"/>
  <c r="A26" i="120"/>
  <c r="B4" i="120"/>
  <c r="A4" i="120"/>
  <c r="H29" i="120" l="1"/>
  <c r="D46" i="120"/>
  <c r="D41" i="120"/>
  <c r="D37" i="120"/>
  <c r="D33" i="120"/>
  <c r="D29" i="120"/>
  <c r="D45" i="120"/>
  <c r="D40" i="120"/>
  <c r="D36" i="120"/>
  <c r="D32" i="120"/>
  <c r="D43" i="120"/>
  <c r="D39" i="120"/>
  <c r="D35" i="120"/>
  <c r="D31" i="120"/>
  <c r="D42" i="120"/>
  <c r="D38" i="120"/>
  <c r="D34" i="120"/>
  <c r="D30" i="120"/>
  <c r="H51" i="122"/>
  <c r="D64" i="122"/>
  <c r="D60" i="122"/>
  <c r="D56" i="122"/>
  <c r="D52" i="122"/>
  <c r="D68" i="122"/>
  <c r="D63" i="122"/>
  <c r="D59" i="122"/>
  <c r="D55" i="122"/>
  <c r="D51" i="122"/>
  <c r="D67" i="122"/>
  <c r="D62" i="122"/>
  <c r="D58" i="122"/>
  <c r="D54" i="122"/>
  <c r="D65" i="122"/>
  <c r="D61" i="122"/>
  <c r="D57" i="122"/>
  <c r="D53" i="122"/>
  <c r="H139" i="122"/>
  <c r="D152" i="122"/>
  <c r="D148" i="122"/>
  <c r="D144" i="122"/>
  <c r="D140" i="122"/>
  <c r="D156" i="122"/>
  <c r="D151" i="122"/>
  <c r="D147" i="122"/>
  <c r="D143" i="122"/>
  <c r="D139" i="122"/>
  <c r="D155" i="122"/>
  <c r="D150" i="122"/>
  <c r="D146" i="122"/>
  <c r="D142" i="122"/>
  <c r="D153" i="122"/>
  <c r="D149" i="122"/>
  <c r="D145" i="122"/>
  <c r="D141" i="122"/>
  <c r="H183" i="122"/>
  <c r="D199" i="122"/>
  <c r="D194" i="122"/>
  <c r="D190" i="122"/>
  <c r="D186" i="122"/>
  <c r="D197" i="122"/>
  <c r="D193" i="122"/>
  <c r="D189" i="122"/>
  <c r="D185" i="122"/>
  <c r="D196" i="122"/>
  <c r="D192" i="122"/>
  <c r="D188" i="122"/>
  <c r="D184" i="122"/>
  <c r="D200" i="122"/>
  <c r="D195" i="122"/>
  <c r="D191" i="122"/>
  <c r="D187" i="122"/>
  <c r="D183" i="122"/>
  <c r="H29" i="123"/>
  <c r="D42" i="123"/>
  <c r="D38" i="123"/>
  <c r="D34" i="123"/>
  <c r="D30" i="123"/>
  <c r="D46" i="123"/>
  <c r="D41" i="123"/>
  <c r="D37" i="123"/>
  <c r="D33" i="123"/>
  <c r="D29" i="123"/>
  <c r="D45" i="123"/>
  <c r="D40" i="123"/>
  <c r="D36" i="123"/>
  <c r="D32" i="123"/>
  <c r="D43" i="123"/>
  <c r="D39" i="123"/>
  <c r="D35" i="123"/>
  <c r="D31" i="123"/>
  <c r="H73" i="123"/>
  <c r="D86" i="123"/>
  <c r="D82" i="123"/>
  <c r="D78" i="123"/>
  <c r="D74" i="123"/>
  <c r="D90" i="123"/>
  <c r="D85" i="123"/>
  <c r="D81" i="123"/>
  <c r="D77" i="123"/>
  <c r="D73" i="123"/>
  <c r="D89" i="123"/>
  <c r="D84" i="123"/>
  <c r="D80" i="123"/>
  <c r="D76" i="123"/>
  <c r="D87" i="123"/>
  <c r="D83" i="123"/>
  <c r="D79" i="123"/>
  <c r="D75" i="123"/>
  <c r="H117" i="123"/>
  <c r="D133" i="123"/>
  <c r="D128" i="123"/>
  <c r="D124" i="123"/>
  <c r="D120" i="123"/>
  <c r="D131" i="123"/>
  <c r="D127" i="123"/>
  <c r="D123" i="123"/>
  <c r="D119" i="123"/>
  <c r="D130" i="123"/>
  <c r="D126" i="123"/>
  <c r="D122" i="123"/>
  <c r="D118" i="123"/>
  <c r="D134" i="123"/>
  <c r="D129" i="123"/>
  <c r="D125" i="123"/>
  <c r="D121" i="123"/>
  <c r="D117" i="123"/>
  <c r="H161" i="123"/>
  <c r="D174" i="123"/>
  <c r="D170" i="123"/>
  <c r="D166" i="123"/>
  <c r="D162" i="123"/>
  <c r="D178" i="123"/>
  <c r="D173" i="123"/>
  <c r="D169" i="123"/>
  <c r="D165" i="123"/>
  <c r="D161" i="123"/>
  <c r="D177" i="123"/>
  <c r="D172" i="123"/>
  <c r="D168" i="123"/>
  <c r="D164" i="123"/>
  <c r="D175" i="123"/>
  <c r="D171" i="123"/>
  <c r="D167" i="123"/>
  <c r="D163" i="123"/>
  <c r="H205" i="123"/>
  <c r="D221" i="123"/>
  <c r="D216" i="123"/>
  <c r="D212" i="123"/>
  <c r="D208" i="123"/>
  <c r="D219" i="123"/>
  <c r="D215" i="123"/>
  <c r="D211" i="123"/>
  <c r="D207" i="123"/>
  <c r="D218" i="123"/>
  <c r="D214" i="123"/>
  <c r="D210" i="123"/>
  <c r="D206" i="123"/>
  <c r="D222" i="123"/>
  <c r="D217" i="123"/>
  <c r="D213" i="123"/>
  <c r="D209" i="123"/>
  <c r="D205" i="123"/>
  <c r="H29" i="124"/>
  <c r="D42" i="124"/>
  <c r="D38" i="124"/>
  <c r="D34" i="124"/>
  <c r="D30" i="124"/>
  <c r="D46" i="124"/>
  <c r="D41" i="124"/>
  <c r="D37" i="124"/>
  <c r="D33" i="124"/>
  <c r="D29" i="124"/>
  <c r="D45" i="124"/>
  <c r="D40" i="124"/>
  <c r="D36" i="124"/>
  <c r="D32" i="124"/>
  <c r="D43" i="124"/>
  <c r="D39" i="124"/>
  <c r="D35" i="124"/>
  <c r="D31" i="124"/>
  <c r="H73" i="124"/>
  <c r="D89" i="124"/>
  <c r="D84" i="124"/>
  <c r="D80" i="124"/>
  <c r="D76" i="124"/>
  <c r="D87" i="124"/>
  <c r="D83" i="124"/>
  <c r="D79" i="124"/>
  <c r="D75" i="124"/>
  <c r="D86" i="124"/>
  <c r="D82" i="124"/>
  <c r="D78" i="124"/>
  <c r="D74" i="124"/>
  <c r="D90" i="124"/>
  <c r="D85" i="124"/>
  <c r="D81" i="124"/>
  <c r="D77" i="124"/>
  <c r="D73" i="124"/>
  <c r="H117" i="124"/>
  <c r="D130" i="124"/>
  <c r="D126" i="124"/>
  <c r="D122" i="124"/>
  <c r="D118" i="124"/>
  <c r="D134" i="124"/>
  <c r="D129" i="124"/>
  <c r="D125" i="124"/>
  <c r="D121" i="124"/>
  <c r="D117" i="124"/>
  <c r="D133" i="124"/>
  <c r="D128" i="124"/>
  <c r="D124" i="124"/>
  <c r="D120" i="124"/>
  <c r="D131" i="124"/>
  <c r="D127" i="124"/>
  <c r="D123" i="124"/>
  <c r="D119" i="124"/>
  <c r="H161" i="124"/>
  <c r="D177" i="124"/>
  <c r="D172" i="124"/>
  <c r="D168" i="124"/>
  <c r="D164" i="124"/>
  <c r="D175" i="124"/>
  <c r="D171" i="124"/>
  <c r="D167" i="124"/>
  <c r="D163" i="124"/>
  <c r="D174" i="124"/>
  <c r="D170" i="124"/>
  <c r="D166" i="124"/>
  <c r="D162" i="124"/>
  <c r="D178" i="124"/>
  <c r="D173" i="124"/>
  <c r="D169" i="124"/>
  <c r="D165" i="124"/>
  <c r="D161" i="124"/>
  <c r="H205" i="124"/>
  <c r="D218" i="124"/>
  <c r="D214" i="124"/>
  <c r="D210" i="124"/>
  <c r="D206" i="124"/>
  <c r="D222" i="124"/>
  <c r="D217" i="124"/>
  <c r="D213" i="124"/>
  <c r="D209" i="124"/>
  <c r="D205" i="124"/>
  <c r="D221" i="124"/>
  <c r="D216" i="124"/>
  <c r="D212" i="124"/>
  <c r="D208" i="124"/>
  <c r="D219" i="124"/>
  <c r="D215" i="124"/>
  <c r="D211" i="124"/>
  <c r="D207" i="124"/>
  <c r="H7" i="125"/>
  <c r="D23" i="125"/>
  <c r="D18" i="125"/>
  <c r="D14" i="125"/>
  <c r="D10" i="125"/>
  <c r="D21" i="125"/>
  <c r="D17" i="125"/>
  <c r="D13" i="125"/>
  <c r="D9" i="125"/>
  <c r="D20" i="125"/>
  <c r="D16" i="125"/>
  <c r="D12" i="125"/>
  <c r="D8" i="125"/>
  <c r="D24" i="125"/>
  <c r="D19" i="125"/>
  <c r="D15" i="125"/>
  <c r="D11" i="125"/>
  <c r="D7" i="125"/>
  <c r="H51" i="125"/>
  <c r="D64" i="125"/>
  <c r="D60" i="125"/>
  <c r="D56" i="125"/>
  <c r="D52" i="125"/>
  <c r="D68" i="125"/>
  <c r="D63" i="125"/>
  <c r="D59" i="125"/>
  <c r="D55" i="125"/>
  <c r="D51" i="125"/>
  <c r="D67" i="125"/>
  <c r="D62" i="125"/>
  <c r="D58" i="125"/>
  <c r="D54" i="125"/>
  <c r="D65" i="125"/>
  <c r="D61" i="125"/>
  <c r="D57" i="125"/>
  <c r="D53" i="125"/>
  <c r="H95" i="125"/>
  <c r="D111" i="125"/>
  <c r="D106" i="125"/>
  <c r="D102" i="125"/>
  <c r="D98" i="125"/>
  <c r="D109" i="125"/>
  <c r="D105" i="125"/>
  <c r="D101" i="125"/>
  <c r="D97" i="125"/>
  <c r="D108" i="125"/>
  <c r="D104" i="125"/>
  <c r="D100" i="125"/>
  <c r="D96" i="125"/>
  <c r="D112" i="125"/>
  <c r="D107" i="125"/>
  <c r="D103" i="125"/>
  <c r="D99" i="125"/>
  <c r="D95" i="125"/>
  <c r="H7" i="126"/>
  <c r="D24" i="126"/>
  <c r="D19" i="126"/>
  <c r="D15" i="126"/>
  <c r="D11" i="126"/>
  <c r="D7" i="126"/>
  <c r="D23" i="126"/>
  <c r="D18" i="126"/>
  <c r="D14" i="126"/>
  <c r="D10" i="126"/>
  <c r="D21" i="126"/>
  <c r="D17" i="126"/>
  <c r="D13" i="126"/>
  <c r="D9" i="126"/>
  <c r="D12" i="126"/>
  <c r="D8" i="126"/>
  <c r="D20" i="126"/>
  <c r="D16" i="126"/>
  <c r="H51" i="126"/>
  <c r="D65" i="126"/>
  <c r="D61" i="126"/>
  <c r="D57" i="126"/>
  <c r="D53" i="126"/>
  <c r="D64" i="126"/>
  <c r="D60" i="126"/>
  <c r="D56" i="126"/>
  <c r="D52" i="126"/>
  <c r="D68" i="126"/>
  <c r="D63" i="126"/>
  <c r="D59" i="126"/>
  <c r="D55" i="126"/>
  <c r="D51" i="126"/>
  <c r="D54" i="126"/>
  <c r="D67" i="126"/>
  <c r="D62" i="126"/>
  <c r="D58" i="126"/>
  <c r="H95" i="126"/>
  <c r="D112" i="126"/>
  <c r="D107" i="126"/>
  <c r="D103" i="126"/>
  <c r="D99" i="126"/>
  <c r="D95" i="126"/>
  <c r="D111" i="126"/>
  <c r="D106" i="126"/>
  <c r="D102" i="126"/>
  <c r="D98" i="126"/>
  <c r="D109" i="126"/>
  <c r="D105" i="126"/>
  <c r="D101" i="126"/>
  <c r="D97" i="126"/>
  <c r="D96" i="126"/>
  <c r="D108" i="126"/>
  <c r="D104" i="126"/>
  <c r="D100" i="126"/>
  <c r="H139" i="126"/>
  <c r="D153" i="126"/>
  <c r="D149" i="126"/>
  <c r="D145" i="126"/>
  <c r="D141" i="126"/>
  <c r="D152" i="126"/>
  <c r="D148" i="126"/>
  <c r="D144" i="126"/>
  <c r="D140" i="126"/>
  <c r="D156" i="126"/>
  <c r="D151" i="126"/>
  <c r="D147" i="126"/>
  <c r="D143" i="126"/>
  <c r="D139" i="126"/>
  <c r="D155" i="126"/>
  <c r="D150" i="126"/>
  <c r="D146" i="126"/>
  <c r="D142" i="126"/>
  <c r="H183" i="126"/>
  <c r="D200" i="126"/>
  <c r="D195" i="126"/>
  <c r="D191" i="126"/>
  <c r="D187" i="126"/>
  <c r="D183" i="126"/>
  <c r="D199" i="126"/>
  <c r="D194" i="126"/>
  <c r="D190" i="126"/>
  <c r="D186" i="126"/>
  <c r="D197" i="126"/>
  <c r="D193" i="126"/>
  <c r="D189" i="126"/>
  <c r="D185" i="126"/>
  <c r="D196" i="126"/>
  <c r="D192" i="126"/>
  <c r="D188" i="126"/>
  <c r="D184" i="126"/>
  <c r="H227" i="126"/>
  <c r="D241" i="126"/>
  <c r="D237" i="126"/>
  <c r="D233" i="126"/>
  <c r="D229" i="126"/>
  <c r="D240" i="126"/>
  <c r="D236" i="126"/>
  <c r="D232" i="126"/>
  <c r="D228" i="126"/>
  <c r="D244" i="126"/>
  <c r="D239" i="126"/>
  <c r="D235" i="126"/>
  <c r="D231" i="126"/>
  <c r="D227" i="126"/>
  <c r="D238" i="126"/>
  <c r="D234" i="126"/>
  <c r="D230" i="126"/>
  <c r="D243" i="126"/>
  <c r="H29" i="127"/>
  <c r="D46" i="127"/>
  <c r="D41" i="127"/>
  <c r="D37" i="127"/>
  <c r="D33" i="127"/>
  <c r="D29" i="127"/>
  <c r="D45" i="127"/>
  <c r="D40" i="127"/>
  <c r="D36" i="127"/>
  <c r="D32" i="127"/>
  <c r="D43" i="127"/>
  <c r="D39" i="127"/>
  <c r="D35" i="127"/>
  <c r="D31" i="127"/>
  <c r="D38" i="127"/>
  <c r="D34" i="127"/>
  <c r="D30" i="127"/>
  <c r="D42" i="127"/>
  <c r="H73" i="127"/>
  <c r="D87" i="127"/>
  <c r="D83" i="127"/>
  <c r="D79" i="127"/>
  <c r="D75" i="127"/>
  <c r="D86" i="127"/>
  <c r="D82" i="127"/>
  <c r="D78" i="127"/>
  <c r="D74" i="127"/>
  <c r="D90" i="127"/>
  <c r="D85" i="127"/>
  <c r="D81" i="127"/>
  <c r="D77" i="127"/>
  <c r="D73" i="127"/>
  <c r="D80" i="127"/>
  <c r="D76" i="127"/>
  <c r="D89" i="127"/>
  <c r="D84" i="127"/>
  <c r="H117" i="127"/>
  <c r="D134" i="127"/>
  <c r="D129" i="127"/>
  <c r="D125" i="127"/>
  <c r="D121" i="127"/>
  <c r="D117" i="127"/>
  <c r="D133" i="127"/>
  <c r="D128" i="127"/>
  <c r="D124" i="127"/>
  <c r="D120" i="127"/>
  <c r="D131" i="127"/>
  <c r="D127" i="127"/>
  <c r="D123" i="127"/>
  <c r="D119" i="127"/>
  <c r="D122" i="127"/>
  <c r="D118" i="127"/>
  <c r="D130" i="127"/>
  <c r="D126" i="127"/>
  <c r="H161" i="127"/>
  <c r="D175" i="127"/>
  <c r="D171" i="127"/>
  <c r="D167" i="127"/>
  <c r="D163" i="127"/>
  <c r="D174" i="127"/>
  <c r="D170" i="127"/>
  <c r="D166" i="127"/>
  <c r="D162" i="127"/>
  <c r="D178" i="127"/>
  <c r="D173" i="127"/>
  <c r="D169" i="127"/>
  <c r="D165" i="127"/>
  <c r="D161" i="127"/>
  <c r="D164" i="127"/>
  <c r="D177" i="127"/>
  <c r="D172" i="127"/>
  <c r="D168" i="127"/>
  <c r="H205" i="127"/>
  <c r="D222" i="127"/>
  <c r="D217" i="127"/>
  <c r="D213" i="127"/>
  <c r="D209" i="127"/>
  <c r="D205" i="127"/>
  <c r="D221" i="127"/>
  <c r="D216" i="127"/>
  <c r="D212" i="127"/>
  <c r="D208" i="127"/>
  <c r="D219" i="127"/>
  <c r="D215" i="127"/>
  <c r="D211" i="127"/>
  <c r="D207" i="127"/>
  <c r="D206" i="127"/>
  <c r="D218" i="127"/>
  <c r="D214" i="127"/>
  <c r="D210" i="127"/>
  <c r="H249" i="127"/>
  <c r="D263" i="127"/>
  <c r="D259" i="127"/>
  <c r="D255" i="127"/>
  <c r="D251" i="127"/>
  <c r="D262" i="127"/>
  <c r="D258" i="127"/>
  <c r="D254" i="127"/>
  <c r="D250" i="127"/>
  <c r="D266" i="127"/>
  <c r="D261" i="127"/>
  <c r="D257" i="127"/>
  <c r="D253" i="127"/>
  <c r="D249" i="127"/>
  <c r="D265" i="127"/>
  <c r="D260" i="127"/>
  <c r="D256" i="127"/>
  <c r="D252" i="127"/>
  <c r="H293" i="127"/>
  <c r="D310" i="127"/>
  <c r="D305" i="127"/>
  <c r="D301" i="127"/>
  <c r="D297" i="127"/>
  <c r="D293" i="127"/>
  <c r="D309" i="127"/>
  <c r="D304" i="127"/>
  <c r="D300" i="127"/>
  <c r="D296" i="127"/>
  <c r="D307" i="127"/>
  <c r="D303" i="127"/>
  <c r="D299" i="127"/>
  <c r="D295" i="127"/>
  <c r="D306" i="127"/>
  <c r="D302" i="127"/>
  <c r="D298" i="127"/>
  <c r="D294" i="127"/>
  <c r="H337" i="127"/>
  <c r="D351" i="127"/>
  <c r="D347" i="127"/>
  <c r="D343" i="127"/>
  <c r="D339" i="127"/>
  <c r="D350" i="127"/>
  <c r="D346" i="127"/>
  <c r="D342" i="127"/>
  <c r="D338" i="127"/>
  <c r="D354" i="127"/>
  <c r="D349" i="127"/>
  <c r="D345" i="127"/>
  <c r="D341" i="127"/>
  <c r="D337" i="127"/>
  <c r="D348" i="127"/>
  <c r="D344" i="127"/>
  <c r="D340" i="127"/>
  <c r="D353" i="127"/>
  <c r="H381" i="127"/>
  <c r="D398" i="127"/>
  <c r="D393" i="127"/>
  <c r="D389" i="127"/>
  <c r="D385" i="127"/>
  <c r="D381" i="127"/>
  <c r="D397" i="127"/>
  <c r="D392" i="127"/>
  <c r="D388" i="127"/>
  <c r="D384" i="127"/>
  <c r="D395" i="127"/>
  <c r="D391" i="127"/>
  <c r="D387" i="127"/>
  <c r="D383" i="127"/>
  <c r="D390" i="127"/>
  <c r="D386" i="127"/>
  <c r="D382" i="127"/>
  <c r="D394" i="127"/>
  <c r="H425" i="127"/>
  <c r="D439" i="127"/>
  <c r="D435" i="127"/>
  <c r="D431" i="127"/>
  <c r="D427" i="127"/>
  <c r="D438" i="127"/>
  <c r="D434" i="127"/>
  <c r="D430" i="127"/>
  <c r="D426" i="127"/>
  <c r="D442" i="127"/>
  <c r="D437" i="127"/>
  <c r="D433" i="127"/>
  <c r="D429" i="127"/>
  <c r="D425" i="127"/>
  <c r="D432" i="127"/>
  <c r="D428" i="127"/>
  <c r="D441" i="127"/>
  <c r="D436" i="127"/>
  <c r="H29" i="128"/>
  <c r="D42" i="128"/>
  <c r="D38" i="128"/>
  <c r="D46" i="128"/>
  <c r="D41" i="128"/>
  <c r="D37" i="128"/>
  <c r="D45" i="128"/>
  <c r="D40" i="128"/>
  <c r="D36" i="128"/>
  <c r="D43" i="128"/>
  <c r="D39" i="128"/>
  <c r="D35" i="128"/>
  <c r="D33" i="128"/>
  <c r="D29" i="128"/>
  <c r="D32" i="128"/>
  <c r="D31" i="128"/>
  <c r="D34" i="128"/>
  <c r="D30" i="128"/>
  <c r="H73" i="128"/>
  <c r="D89" i="128"/>
  <c r="D84" i="128"/>
  <c r="D80" i="128"/>
  <c r="D76" i="128"/>
  <c r="D87" i="128"/>
  <c r="D83" i="128"/>
  <c r="D79" i="128"/>
  <c r="D75" i="128"/>
  <c r="D86" i="128"/>
  <c r="D82" i="128"/>
  <c r="D78" i="128"/>
  <c r="D74" i="128"/>
  <c r="D90" i="128"/>
  <c r="D85" i="128"/>
  <c r="D81" i="128"/>
  <c r="D77" i="128"/>
  <c r="D73" i="128"/>
  <c r="H117" i="128"/>
  <c r="D130" i="128"/>
  <c r="D126" i="128"/>
  <c r="D122" i="128"/>
  <c r="D118" i="128"/>
  <c r="D134" i="128"/>
  <c r="D129" i="128"/>
  <c r="D125" i="128"/>
  <c r="D121" i="128"/>
  <c r="D117" i="128"/>
  <c r="D133" i="128"/>
  <c r="D128" i="128"/>
  <c r="D124" i="128"/>
  <c r="D120" i="128"/>
  <c r="D131" i="128"/>
  <c r="D127" i="128"/>
  <c r="D123" i="128"/>
  <c r="D119" i="128"/>
  <c r="H161" i="128"/>
  <c r="D177" i="128"/>
  <c r="D172" i="128"/>
  <c r="D168" i="128"/>
  <c r="D164" i="128"/>
  <c r="D175" i="128"/>
  <c r="D171" i="128"/>
  <c r="D167" i="128"/>
  <c r="D163" i="128"/>
  <c r="D174" i="128"/>
  <c r="D170" i="128"/>
  <c r="D166" i="128"/>
  <c r="D162" i="128"/>
  <c r="D178" i="128"/>
  <c r="D173" i="128"/>
  <c r="D169" i="128"/>
  <c r="D165" i="128"/>
  <c r="D161" i="128"/>
  <c r="H205" i="128"/>
  <c r="D218" i="128"/>
  <c r="D214" i="128"/>
  <c r="D210" i="128"/>
  <c r="D206" i="128"/>
  <c r="D222" i="128"/>
  <c r="D217" i="128"/>
  <c r="D213" i="128"/>
  <c r="D209" i="128"/>
  <c r="D205" i="128"/>
  <c r="D221" i="128"/>
  <c r="D216" i="128"/>
  <c r="D212" i="128"/>
  <c r="D208" i="128"/>
  <c r="D219" i="128"/>
  <c r="D215" i="128"/>
  <c r="D211" i="128"/>
  <c r="D207" i="128"/>
  <c r="H249" i="128"/>
  <c r="D265" i="128"/>
  <c r="D260" i="128"/>
  <c r="D256" i="128"/>
  <c r="D252" i="128"/>
  <c r="D263" i="128"/>
  <c r="D259" i="128"/>
  <c r="D255" i="128"/>
  <c r="D251" i="128"/>
  <c r="D262" i="128"/>
  <c r="D258" i="128"/>
  <c r="D254" i="128"/>
  <c r="D250" i="128"/>
  <c r="D266" i="128"/>
  <c r="D261" i="128"/>
  <c r="D257" i="128"/>
  <c r="D253" i="128"/>
  <c r="D249" i="128"/>
  <c r="H293" i="128"/>
  <c r="D306" i="128"/>
  <c r="D302" i="128"/>
  <c r="D298" i="128"/>
  <c r="D294" i="128"/>
  <c r="D310" i="128"/>
  <c r="D305" i="128"/>
  <c r="D301" i="128"/>
  <c r="D297" i="128"/>
  <c r="D293" i="128"/>
  <c r="D309" i="128"/>
  <c r="D304" i="128"/>
  <c r="D300" i="128"/>
  <c r="D296" i="128"/>
  <c r="D307" i="128"/>
  <c r="D303" i="128"/>
  <c r="D299" i="128"/>
  <c r="D295" i="128"/>
  <c r="H337" i="128"/>
  <c r="D353" i="128"/>
  <c r="D348" i="128"/>
  <c r="D344" i="128"/>
  <c r="D340" i="128"/>
  <c r="D351" i="128"/>
  <c r="D347" i="128"/>
  <c r="D343" i="128"/>
  <c r="D339" i="128"/>
  <c r="D350" i="128"/>
  <c r="D346" i="128"/>
  <c r="D342" i="128"/>
  <c r="D338" i="128"/>
  <c r="D354" i="128"/>
  <c r="D349" i="128"/>
  <c r="D345" i="128"/>
  <c r="D341" i="128"/>
  <c r="D337" i="128"/>
  <c r="H7" i="129"/>
  <c r="D20" i="129"/>
  <c r="D16" i="129"/>
  <c r="D12" i="129"/>
  <c r="D8" i="129"/>
  <c r="D24" i="129"/>
  <c r="D19" i="129"/>
  <c r="D15" i="129"/>
  <c r="D11" i="129"/>
  <c r="D7" i="129"/>
  <c r="D23" i="129"/>
  <c r="D18" i="129"/>
  <c r="D14" i="129"/>
  <c r="D10" i="129"/>
  <c r="D21" i="129"/>
  <c r="D17" i="129"/>
  <c r="D13" i="129"/>
  <c r="D9" i="129"/>
  <c r="H51" i="129"/>
  <c r="D67" i="129"/>
  <c r="D62" i="129"/>
  <c r="D58" i="129"/>
  <c r="D54" i="129"/>
  <c r="D65" i="129"/>
  <c r="D61" i="129"/>
  <c r="D57" i="129"/>
  <c r="D53" i="129"/>
  <c r="D64" i="129"/>
  <c r="D60" i="129"/>
  <c r="D56" i="129"/>
  <c r="D52" i="129"/>
  <c r="D68" i="129"/>
  <c r="D63" i="129"/>
  <c r="D59" i="129"/>
  <c r="D55" i="129"/>
  <c r="D51" i="129"/>
  <c r="H95" i="129"/>
  <c r="D108" i="129"/>
  <c r="D104" i="129"/>
  <c r="D100" i="129"/>
  <c r="D96" i="129"/>
  <c r="D112" i="129"/>
  <c r="D107" i="129"/>
  <c r="D103" i="129"/>
  <c r="D99" i="129"/>
  <c r="D95" i="129"/>
  <c r="D111" i="129"/>
  <c r="D106" i="129"/>
  <c r="D102" i="129"/>
  <c r="D98" i="129"/>
  <c r="D109" i="129"/>
  <c r="D105" i="129"/>
  <c r="D101" i="129"/>
  <c r="D97" i="129"/>
  <c r="H139" i="129"/>
  <c r="D155" i="129"/>
  <c r="D150" i="129"/>
  <c r="D146" i="129"/>
  <c r="D142" i="129"/>
  <c r="D153" i="129"/>
  <c r="D149" i="129"/>
  <c r="D145" i="129"/>
  <c r="D141" i="129"/>
  <c r="D152" i="129"/>
  <c r="D148" i="129"/>
  <c r="D144" i="129"/>
  <c r="D140" i="129"/>
  <c r="D156" i="129"/>
  <c r="D151" i="129"/>
  <c r="D147" i="129"/>
  <c r="D143" i="129"/>
  <c r="D139" i="129"/>
  <c r="H183" i="129"/>
  <c r="D196" i="129"/>
  <c r="D192" i="129"/>
  <c r="D188" i="129"/>
  <c r="D184" i="129"/>
  <c r="D200" i="129"/>
  <c r="D195" i="129"/>
  <c r="D191" i="129"/>
  <c r="D187" i="129"/>
  <c r="D183" i="129"/>
  <c r="D199" i="129"/>
  <c r="D194" i="129"/>
  <c r="D190" i="129"/>
  <c r="D186" i="129"/>
  <c r="D197" i="129"/>
  <c r="D193" i="129"/>
  <c r="D189" i="129"/>
  <c r="D185" i="129"/>
  <c r="H227" i="129"/>
  <c r="D243" i="129"/>
  <c r="D238" i="129"/>
  <c r="D234" i="129"/>
  <c r="D230" i="129"/>
  <c r="D241" i="129"/>
  <c r="D237" i="129"/>
  <c r="D233" i="129"/>
  <c r="D229" i="129"/>
  <c r="D240" i="129"/>
  <c r="D236" i="129"/>
  <c r="D232" i="129"/>
  <c r="D228" i="129"/>
  <c r="D244" i="129"/>
  <c r="D239" i="129"/>
  <c r="D235" i="129"/>
  <c r="D231" i="129"/>
  <c r="D227" i="129"/>
  <c r="H271" i="129"/>
  <c r="D284" i="129"/>
  <c r="D280" i="129"/>
  <c r="D276" i="129"/>
  <c r="D272" i="129"/>
  <c r="D288" i="129"/>
  <c r="D283" i="129"/>
  <c r="D279" i="129"/>
  <c r="D275" i="129"/>
  <c r="D271" i="129"/>
  <c r="D287" i="129"/>
  <c r="D282" i="129"/>
  <c r="D278" i="129"/>
  <c r="D274" i="129"/>
  <c r="D285" i="129"/>
  <c r="D281" i="129"/>
  <c r="D277" i="129"/>
  <c r="D273" i="129"/>
  <c r="H315" i="129"/>
  <c r="D331" i="129"/>
  <c r="D326" i="129"/>
  <c r="D322" i="129"/>
  <c r="D318" i="129"/>
  <c r="D329" i="129"/>
  <c r="D325" i="129"/>
  <c r="D321" i="129"/>
  <c r="D317" i="129"/>
  <c r="D328" i="129"/>
  <c r="D324" i="129"/>
  <c r="D320" i="129"/>
  <c r="D316" i="129"/>
  <c r="D332" i="129"/>
  <c r="D327" i="129"/>
  <c r="D323" i="129"/>
  <c r="D319" i="129"/>
  <c r="D315" i="129"/>
  <c r="H359" i="129"/>
  <c r="D372" i="129"/>
  <c r="D368" i="129"/>
  <c r="D364" i="129"/>
  <c r="D360" i="129"/>
  <c r="D376" i="129"/>
  <c r="D371" i="129"/>
  <c r="D367" i="129"/>
  <c r="D363" i="129"/>
  <c r="D359" i="129"/>
  <c r="D375" i="129"/>
  <c r="D370" i="129"/>
  <c r="D366" i="129"/>
  <c r="D362" i="129"/>
  <c r="D373" i="129"/>
  <c r="D369" i="129"/>
  <c r="D365" i="129"/>
  <c r="D361" i="129"/>
  <c r="H403" i="129"/>
  <c r="D419" i="129"/>
  <c r="D414" i="129"/>
  <c r="D410" i="129"/>
  <c r="D406" i="129"/>
  <c r="D417" i="129"/>
  <c r="D413" i="129"/>
  <c r="D409" i="129"/>
  <c r="D405" i="129"/>
  <c r="D416" i="129"/>
  <c r="D412" i="129"/>
  <c r="D408" i="129"/>
  <c r="D404" i="129"/>
  <c r="D420" i="129"/>
  <c r="D415" i="129"/>
  <c r="D411" i="129"/>
  <c r="D407" i="129"/>
  <c r="D403" i="129"/>
  <c r="H447" i="129"/>
  <c r="D460" i="129"/>
  <c r="D456" i="129"/>
  <c r="D452" i="129"/>
  <c r="D448" i="129"/>
  <c r="D464" i="129"/>
  <c r="D459" i="129"/>
  <c r="D455" i="129"/>
  <c r="D451" i="129"/>
  <c r="D447" i="129"/>
  <c r="D463" i="129"/>
  <c r="D458" i="129"/>
  <c r="D454" i="129"/>
  <c r="D450" i="129"/>
  <c r="D461" i="129"/>
  <c r="D457" i="129"/>
  <c r="D453" i="129"/>
  <c r="D449" i="129"/>
  <c r="H491" i="129"/>
  <c r="D507" i="129"/>
  <c r="D502" i="129"/>
  <c r="D498" i="129"/>
  <c r="D494" i="129"/>
  <c r="D505" i="129"/>
  <c r="D501" i="129"/>
  <c r="D497" i="129"/>
  <c r="D493" i="129"/>
  <c r="D504" i="129"/>
  <c r="D500" i="129"/>
  <c r="D496" i="129"/>
  <c r="D492" i="129"/>
  <c r="D508" i="129"/>
  <c r="D503" i="129"/>
  <c r="D499" i="129"/>
  <c r="D495" i="129"/>
  <c r="D491" i="129"/>
  <c r="H535" i="129"/>
  <c r="D548" i="129"/>
  <c r="D544" i="129"/>
  <c r="D540" i="129"/>
  <c r="D536" i="129"/>
  <c r="D552" i="129"/>
  <c r="D547" i="129"/>
  <c r="D543" i="129"/>
  <c r="D539" i="129"/>
  <c r="D535" i="129"/>
  <c r="D551" i="129"/>
  <c r="D546" i="129"/>
  <c r="D542" i="129"/>
  <c r="D538" i="129"/>
  <c r="D549" i="129"/>
  <c r="D545" i="129"/>
  <c r="D541" i="129"/>
  <c r="D537" i="129"/>
  <c r="H623" i="129"/>
  <c r="D637" i="129"/>
  <c r="D633" i="129"/>
  <c r="D629" i="129"/>
  <c r="D625" i="129"/>
  <c r="D636" i="129"/>
  <c r="D632" i="129"/>
  <c r="D628" i="129"/>
  <c r="D624" i="129"/>
  <c r="D640" i="129"/>
  <c r="D635" i="129"/>
  <c r="D631" i="129"/>
  <c r="D627" i="129"/>
  <c r="D623" i="129"/>
  <c r="D639" i="129"/>
  <c r="D634" i="129"/>
  <c r="D630" i="129"/>
  <c r="D626" i="129"/>
  <c r="H667" i="129"/>
  <c r="D684" i="129"/>
  <c r="D679" i="129"/>
  <c r="D675" i="129"/>
  <c r="D671" i="129"/>
  <c r="D667" i="129"/>
  <c r="D683" i="129"/>
  <c r="D678" i="129"/>
  <c r="D674" i="129"/>
  <c r="D670" i="129"/>
  <c r="D681" i="129"/>
  <c r="D677" i="129"/>
  <c r="D673" i="129"/>
  <c r="D669" i="129"/>
  <c r="D680" i="129"/>
  <c r="D676" i="129"/>
  <c r="D672" i="129"/>
  <c r="D668" i="129"/>
  <c r="H711" i="129"/>
  <c r="D725" i="129"/>
  <c r="D721" i="129"/>
  <c r="D717" i="129"/>
  <c r="D713" i="129"/>
  <c r="D724" i="129"/>
  <c r="D720" i="129"/>
  <c r="D716" i="129"/>
  <c r="D712" i="129"/>
  <c r="D728" i="129"/>
  <c r="D723" i="129"/>
  <c r="D719" i="129"/>
  <c r="D715" i="129"/>
  <c r="D711" i="129"/>
  <c r="D727" i="129"/>
  <c r="D722" i="129"/>
  <c r="D718" i="129"/>
  <c r="D714" i="129"/>
  <c r="H7" i="130"/>
  <c r="D24" i="130"/>
  <c r="D19" i="130"/>
  <c r="D15" i="130"/>
  <c r="D11" i="130"/>
  <c r="D7" i="130"/>
  <c r="D23" i="130"/>
  <c r="D18" i="130"/>
  <c r="D14" i="130"/>
  <c r="D10" i="130"/>
  <c r="D21" i="130"/>
  <c r="D17" i="130"/>
  <c r="D13" i="130"/>
  <c r="D9" i="130"/>
  <c r="D20" i="130"/>
  <c r="D16" i="130"/>
  <c r="D12" i="130"/>
  <c r="D8" i="130"/>
  <c r="H51" i="130"/>
  <c r="D65" i="130"/>
  <c r="D61" i="130"/>
  <c r="D57" i="130"/>
  <c r="D53" i="130"/>
  <c r="D64" i="130"/>
  <c r="D60" i="130"/>
  <c r="D56" i="130"/>
  <c r="D52" i="130"/>
  <c r="D68" i="130"/>
  <c r="D63" i="130"/>
  <c r="D59" i="130"/>
  <c r="D55" i="130"/>
  <c r="D51" i="130"/>
  <c r="D67" i="130"/>
  <c r="D62" i="130"/>
  <c r="D58" i="130"/>
  <c r="D54" i="130"/>
  <c r="H95" i="130"/>
  <c r="D112" i="130"/>
  <c r="D107" i="130"/>
  <c r="D103" i="130"/>
  <c r="D99" i="130"/>
  <c r="D95" i="130"/>
  <c r="D111" i="130"/>
  <c r="D106" i="130"/>
  <c r="D102" i="130"/>
  <c r="D98" i="130"/>
  <c r="D109" i="130"/>
  <c r="D105" i="130"/>
  <c r="D101" i="130"/>
  <c r="D97" i="130"/>
  <c r="D108" i="130"/>
  <c r="D104" i="130"/>
  <c r="D100" i="130"/>
  <c r="D96" i="130"/>
  <c r="H139" i="130"/>
  <c r="D153" i="130"/>
  <c r="D149" i="130"/>
  <c r="D145" i="130"/>
  <c r="D141" i="130"/>
  <c r="D152" i="130"/>
  <c r="D148" i="130"/>
  <c r="D144" i="130"/>
  <c r="D140" i="130"/>
  <c r="D156" i="130"/>
  <c r="D151" i="130"/>
  <c r="D147" i="130"/>
  <c r="D143" i="130"/>
  <c r="D139" i="130"/>
  <c r="D155" i="130"/>
  <c r="D150" i="130"/>
  <c r="D146" i="130"/>
  <c r="D142" i="130"/>
  <c r="H183" i="130"/>
  <c r="D200" i="130"/>
  <c r="D195" i="130"/>
  <c r="D191" i="130"/>
  <c r="D187" i="130"/>
  <c r="D183" i="130"/>
  <c r="D199" i="130"/>
  <c r="D194" i="130"/>
  <c r="D190" i="130"/>
  <c r="D186" i="130"/>
  <c r="D197" i="130"/>
  <c r="D193" i="130"/>
  <c r="D189" i="130"/>
  <c r="D185" i="130"/>
  <c r="D196" i="130"/>
  <c r="D192" i="130"/>
  <c r="D188" i="130"/>
  <c r="D184" i="130"/>
  <c r="H227" i="130"/>
  <c r="D241" i="130"/>
  <c r="D237" i="130"/>
  <c r="D233" i="130"/>
  <c r="D229" i="130"/>
  <c r="D240" i="130"/>
  <c r="D236" i="130"/>
  <c r="D232" i="130"/>
  <c r="D228" i="130"/>
  <c r="D244" i="130"/>
  <c r="D239" i="130"/>
  <c r="D235" i="130"/>
  <c r="D231" i="130"/>
  <c r="D227" i="130"/>
  <c r="D243" i="130"/>
  <c r="D238" i="130"/>
  <c r="D234" i="130"/>
  <c r="D230" i="130"/>
  <c r="H271" i="130"/>
  <c r="D288" i="130"/>
  <c r="D283" i="130"/>
  <c r="D279" i="130"/>
  <c r="D275" i="130"/>
  <c r="D271" i="130"/>
  <c r="D287" i="130"/>
  <c r="D282" i="130"/>
  <c r="D278" i="130"/>
  <c r="D274" i="130"/>
  <c r="D285" i="130"/>
  <c r="D281" i="130"/>
  <c r="D277" i="130"/>
  <c r="D273" i="130"/>
  <c r="D284" i="130"/>
  <c r="D280" i="130"/>
  <c r="D276" i="130"/>
  <c r="D272" i="130"/>
  <c r="H315" i="130"/>
  <c r="D329" i="130"/>
  <c r="D325" i="130"/>
  <c r="D321" i="130"/>
  <c r="D317" i="130"/>
  <c r="D328" i="130"/>
  <c r="D324" i="130"/>
  <c r="D320" i="130"/>
  <c r="D316" i="130"/>
  <c r="D332" i="130"/>
  <c r="D327" i="130"/>
  <c r="D323" i="130"/>
  <c r="D319" i="130"/>
  <c r="D315" i="130"/>
  <c r="D331" i="130"/>
  <c r="D326" i="130"/>
  <c r="D322" i="130"/>
  <c r="D318" i="130"/>
  <c r="H359" i="130"/>
  <c r="D376" i="130"/>
  <c r="D371" i="130"/>
  <c r="D367" i="130"/>
  <c r="D363" i="130"/>
  <c r="D359" i="130"/>
  <c r="D375" i="130"/>
  <c r="D370" i="130"/>
  <c r="D366" i="130"/>
  <c r="D362" i="130"/>
  <c r="D373" i="130"/>
  <c r="D369" i="130"/>
  <c r="D365" i="130"/>
  <c r="D361" i="130"/>
  <c r="D372" i="130"/>
  <c r="D368" i="130"/>
  <c r="D364" i="130"/>
  <c r="D360" i="130"/>
  <c r="H403" i="130"/>
  <c r="D417" i="130"/>
  <c r="D413" i="130"/>
  <c r="D409" i="130"/>
  <c r="D405" i="130"/>
  <c r="D416" i="130"/>
  <c r="D412" i="130"/>
  <c r="D408" i="130"/>
  <c r="D404" i="130"/>
  <c r="D420" i="130"/>
  <c r="D415" i="130"/>
  <c r="D411" i="130"/>
  <c r="D407" i="130"/>
  <c r="D403" i="130"/>
  <c r="D419" i="130"/>
  <c r="D414" i="130"/>
  <c r="D410" i="130"/>
  <c r="D406" i="130"/>
  <c r="H447" i="130"/>
  <c r="D464" i="130"/>
  <c r="D459" i="130"/>
  <c r="D455" i="130"/>
  <c r="D451" i="130"/>
  <c r="D447" i="130"/>
  <c r="D463" i="130"/>
  <c r="D458" i="130"/>
  <c r="D454" i="130"/>
  <c r="D450" i="130"/>
  <c r="D461" i="130"/>
  <c r="D457" i="130"/>
  <c r="D453" i="130"/>
  <c r="D449" i="130"/>
  <c r="D460" i="130"/>
  <c r="D456" i="130"/>
  <c r="D452" i="130"/>
  <c r="D448" i="130"/>
  <c r="H29" i="131"/>
  <c r="D43" i="131"/>
  <c r="D39" i="131"/>
  <c r="D35" i="131"/>
  <c r="D31" i="131"/>
  <c r="D42" i="131"/>
  <c r="D38" i="131"/>
  <c r="D34" i="131"/>
  <c r="D30" i="131"/>
  <c r="D46" i="131"/>
  <c r="D41" i="131"/>
  <c r="D37" i="131"/>
  <c r="D33" i="131"/>
  <c r="D29" i="131"/>
  <c r="D45" i="131"/>
  <c r="D40" i="131"/>
  <c r="D36" i="131"/>
  <c r="D32" i="131"/>
  <c r="H73" i="131"/>
  <c r="D90" i="131"/>
  <c r="D85" i="131"/>
  <c r="D81" i="131"/>
  <c r="D77" i="131"/>
  <c r="D73" i="131"/>
  <c r="D89" i="131"/>
  <c r="D84" i="131"/>
  <c r="D80" i="131"/>
  <c r="D76" i="131"/>
  <c r="D87" i="131"/>
  <c r="D83" i="131"/>
  <c r="D79" i="131"/>
  <c r="D75" i="131"/>
  <c r="D86" i="131"/>
  <c r="D82" i="131"/>
  <c r="D78" i="131"/>
  <c r="D74" i="131"/>
  <c r="H117" i="131"/>
  <c r="D131" i="131"/>
  <c r="D127" i="131"/>
  <c r="D123" i="131"/>
  <c r="D119" i="131"/>
  <c r="D130" i="131"/>
  <c r="D126" i="131"/>
  <c r="D122" i="131"/>
  <c r="D118" i="131"/>
  <c r="D134" i="131"/>
  <c r="D129" i="131"/>
  <c r="D125" i="131"/>
  <c r="D121" i="131"/>
  <c r="D117" i="131"/>
  <c r="D133" i="131"/>
  <c r="D128" i="131"/>
  <c r="D124" i="131"/>
  <c r="D120" i="131"/>
  <c r="H161" i="131"/>
  <c r="D178" i="131"/>
  <c r="D173" i="131"/>
  <c r="D169" i="131"/>
  <c r="D165" i="131"/>
  <c r="D161" i="131"/>
  <c r="D177" i="131"/>
  <c r="D172" i="131"/>
  <c r="D168" i="131"/>
  <c r="D164" i="131"/>
  <c r="D175" i="131"/>
  <c r="D171" i="131"/>
  <c r="D167" i="131"/>
  <c r="D163" i="131"/>
  <c r="D174" i="131"/>
  <c r="D170" i="131"/>
  <c r="D166" i="131"/>
  <c r="D162" i="131"/>
  <c r="H205" i="131"/>
  <c r="D219" i="131"/>
  <c r="D215" i="131"/>
  <c r="D211" i="131"/>
  <c r="D207" i="131"/>
  <c r="D218" i="131"/>
  <c r="D214" i="131"/>
  <c r="D210" i="131"/>
  <c r="D206" i="131"/>
  <c r="D222" i="131"/>
  <c r="D217" i="131"/>
  <c r="D213" i="131"/>
  <c r="D209" i="131"/>
  <c r="D205" i="131"/>
  <c r="D221" i="131"/>
  <c r="D216" i="131"/>
  <c r="D212" i="131"/>
  <c r="D208" i="131"/>
  <c r="H249" i="131"/>
  <c r="D265" i="131"/>
  <c r="D260" i="131"/>
  <c r="D256" i="131"/>
  <c r="D252" i="131"/>
  <c r="D263" i="131"/>
  <c r="D259" i="131"/>
  <c r="D255" i="131"/>
  <c r="D251" i="131"/>
  <c r="D262" i="131"/>
  <c r="D258" i="131"/>
  <c r="D254" i="131"/>
  <c r="D250" i="131"/>
  <c r="D266" i="131"/>
  <c r="D261" i="131"/>
  <c r="D257" i="131"/>
  <c r="D253" i="131"/>
  <c r="D249" i="131"/>
  <c r="H293" i="131"/>
  <c r="D306" i="131"/>
  <c r="D302" i="131"/>
  <c r="D298" i="131"/>
  <c r="D294" i="131"/>
  <c r="D310" i="131"/>
  <c r="D305" i="131"/>
  <c r="D301" i="131"/>
  <c r="D297" i="131"/>
  <c r="D293" i="131"/>
  <c r="D309" i="131"/>
  <c r="D304" i="131"/>
  <c r="D300" i="131"/>
  <c r="D296" i="131"/>
  <c r="D307" i="131"/>
  <c r="D303" i="131"/>
  <c r="D299" i="131"/>
  <c r="D295" i="131"/>
  <c r="H337" i="131"/>
  <c r="D353" i="131"/>
  <c r="D348" i="131"/>
  <c r="D344" i="131"/>
  <c r="D340" i="131"/>
  <c r="D351" i="131"/>
  <c r="D347" i="131"/>
  <c r="D343" i="131"/>
  <c r="D339" i="131"/>
  <c r="D350" i="131"/>
  <c r="D346" i="131"/>
  <c r="D342" i="131"/>
  <c r="D338" i="131"/>
  <c r="D354" i="131"/>
  <c r="D349" i="131"/>
  <c r="D345" i="131"/>
  <c r="D341" i="131"/>
  <c r="D337" i="131"/>
  <c r="H29" i="132"/>
  <c r="D42" i="132"/>
  <c r="D38" i="132"/>
  <c r="D34" i="132"/>
  <c r="D30" i="132"/>
  <c r="D46" i="132"/>
  <c r="D41" i="132"/>
  <c r="D37" i="132"/>
  <c r="D33" i="132"/>
  <c r="D29" i="132"/>
  <c r="D45" i="132"/>
  <c r="D40" i="132"/>
  <c r="D36" i="132"/>
  <c r="D32" i="132"/>
  <c r="D43" i="132"/>
  <c r="D39" i="132"/>
  <c r="D35" i="132"/>
  <c r="D31" i="132"/>
  <c r="H73" i="132"/>
  <c r="D89" i="132"/>
  <c r="D84" i="132"/>
  <c r="D80" i="132"/>
  <c r="D76" i="132"/>
  <c r="D87" i="132"/>
  <c r="D83" i="132"/>
  <c r="D79" i="132"/>
  <c r="D75" i="132"/>
  <c r="D86" i="132"/>
  <c r="D82" i="132"/>
  <c r="D78" i="132"/>
  <c r="D74" i="132"/>
  <c r="D90" i="132"/>
  <c r="D85" i="132"/>
  <c r="D81" i="132"/>
  <c r="D77" i="132"/>
  <c r="D73" i="132"/>
  <c r="H117" i="132"/>
  <c r="D130" i="132"/>
  <c r="D126" i="132"/>
  <c r="D122" i="132"/>
  <c r="D118" i="132"/>
  <c r="D134" i="132"/>
  <c r="D129" i="132"/>
  <c r="D125" i="132"/>
  <c r="D121" i="132"/>
  <c r="D117" i="132"/>
  <c r="D133" i="132"/>
  <c r="D128" i="132"/>
  <c r="D124" i="132"/>
  <c r="D120" i="132"/>
  <c r="D131" i="132"/>
  <c r="D127" i="132"/>
  <c r="D123" i="132"/>
  <c r="D119" i="132"/>
  <c r="H161" i="132"/>
  <c r="D177" i="132"/>
  <c r="D172" i="132"/>
  <c r="D168" i="132"/>
  <c r="D164" i="132"/>
  <c r="D175" i="132"/>
  <c r="D171" i="132"/>
  <c r="D167" i="132"/>
  <c r="D163" i="132"/>
  <c r="D174" i="132"/>
  <c r="D170" i="132"/>
  <c r="D166" i="132"/>
  <c r="D162" i="132"/>
  <c r="D178" i="132"/>
  <c r="D173" i="132"/>
  <c r="D169" i="132"/>
  <c r="D165" i="132"/>
  <c r="D161" i="132"/>
  <c r="H205" i="132"/>
  <c r="D218" i="132"/>
  <c r="D214" i="132"/>
  <c r="D210" i="132"/>
  <c r="D206" i="132"/>
  <c r="D222" i="132"/>
  <c r="D217" i="132"/>
  <c r="D213" i="132"/>
  <c r="D209" i="132"/>
  <c r="D205" i="132"/>
  <c r="D221" i="132"/>
  <c r="D216" i="132"/>
  <c r="D212" i="132"/>
  <c r="D208" i="132"/>
  <c r="D219" i="132"/>
  <c r="D215" i="132"/>
  <c r="D211" i="132"/>
  <c r="D207" i="132"/>
  <c r="H29" i="133"/>
  <c r="D45" i="133"/>
  <c r="D40" i="133"/>
  <c r="D36" i="133"/>
  <c r="D32" i="133"/>
  <c r="D43" i="133"/>
  <c r="D39" i="133"/>
  <c r="D35" i="133"/>
  <c r="D31" i="133"/>
  <c r="D42" i="133"/>
  <c r="D38" i="133"/>
  <c r="D34" i="133"/>
  <c r="D30" i="133"/>
  <c r="D46" i="133"/>
  <c r="D41" i="133"/>
  <c r="D37" i="133"/>
  <c r="D33" i="133"/>
  <c r="D29" i="133"/>
  <c r="H73" i="133"/>
  <c r="D86" i="133"/>
  <c r="D82" i="133"/>
  <c r="D78" i="133"/>
  <c r="D74" i="133"/>
  <c r="D90" i="133"/>
  <c r="D85" i="133"/>
  <c r="D81" i="133"/>
  <c r="D77" i="133"/>
  <c r="D73" i="133"/>
  <c r="D89" i="133"/>
  <c r="D84" i="133"/>
  <c r="D80" i="133"/>
  <c r="D76" i="133"/>
  <c r="D87" i="133"/>
  <c r="D83" i="133"/>
  <c r="D79" i="133"/>
  <c r="D75" i="133"/>
  <c r="H117" i="133"/>
  <c r="D133" i="133"/>
  <c r="D128" i="133"/>
  <c r="D124" i="133"/>
  <c r="D120" i="133"/>
  <c r="D131" i="133"/>
  <c r="D127" i="133"/>
  <c r="D123" i="133"/>
  <c r="D119" i="133"/>
  <c r="D130" i="133"/>
  <c r="D126" i="133"/>
  <c r="D122" i="133"/>
  <c r="D118" i="133"/>
  <c r="D134" i="133"/>
  <c r="D129" i="133"/>
  <c r="D125" i="133"/>
  <c r="D121" i="133"/>
  <c r="D117" i="133"/>
  <c r="H161" i="133"/>
  <c r="D174" i="133"/>
  <c r="D170" i="133"/>
  <c r="D166" i="133"/>
  <c r="D162" i="133"/>
  <c r="D178" i="133"/>
  <c r="D173" i="133"/>
  <c r="D169" i="133"/>
  <c r="D165" i="133"/>
  <c r="D161" i="133"/>
  <c r="D177" i="133"/>
  <c r="D172" i="133"/>
  <c r="D168" i="133"/>
  <c r="D164" i="133"/>
  <c r="D175" i="133"/>
  <c r="D171" i="133"/>
  <c r="D167" i="133"/>
  <c r="D163" i="133"/>
  <c r="H205" i="133"/>
  <c r="D221" i="133"/>
  <c r="D216" i="133"/>
  <c r="D212" i="133"/>
  <c r="D208" i="133"/>
  <c r="D219" i="133"/>
  <c r="D215" i="133"/>
  <c r="D211" i="133"/>
  <c r="D207" i="133"/>
  <c r="D218" i="133"/>
  <c r="D214" i="133"/>
  <c r="D210" i="133"/>
  <c r="D206" i="133"/>
  <c r="D222" i="133"/>
  <c r="D217" i="133"/>
  <c r="D213" i="133"/>
  <c r="D209" i="133"/>
  <c r="D205" i="133"/>
  <c r="H249" i="133"/>
  <c r="D262" i="133"/>
  <c r="D258" i="133"/>
  <c r="D254" i="133"/>
  <c r="D250" i="133"/>
  <c r="D266" i="133"/>
  <c r="D261" i="133"/>
  <c r="D257" i="133"/>
  <c r="D253" i="133"/>
  <c r="D249" i="133"/>
  <c r="D265" i="133"/>
  <c r="D260" i="133"/>
  <c r="D256" i="133"/>
  <c r="D252" i="133"/>
  <c r="D263" i="133"/>
  <c r="D259" i="133"/>
  <c r="D255" i="133"/>
  <c r="D251" i="133"/>
  <c r="H73" i="120"/>
  <c r="D87" i="120"/>
  <c r="D83" i="120"/>
  <c r="D79" i="120"/>
  <c r="D75" i="120"/>
  <c r="D86" i="120"/>
  <c r="D82" i="120"/>
  <c r="D78" i="120"/>
  <c r="D74" i="120"/>
  <c r="D90" i="120"/>
  <c r="D85" i="120"/>
  <c r="D81" i="120"/>
  <c r="D77" i="120"/>
  <c r="D73" i="120"/>
  <c r="D89" i="120"/>
  <c r="D84" i="120"/>
  <c r="D80" i="120"/>
  <c r="D76" i="120"/>
  <c r="H95" i="122"/>
  <c r="D111" i="122"/>
  <c r="D106" i="122"/>
  <c r="D102" i="122"/>
  <c r="D98" i="122"/>
  <c r="D109" i="122"/>
  <c r="D105" i="122"/>
  <c r="D101" i="122"/>
  <c r="D97" i="122"/>
  <c r="D108" i="122"/>
  <c r="D104" i="122"/>
  <c r="D100" i="122"/>
  <c r="D96" i="122"/>
  <c r="D112" i="122"/>
  <c r="D107" i="122"/>
  <c r="D103" i="122"/>
  <c r="D99" i="122"/>
  <c r="D95" i="122"/>
  <c r="H7" i="122"/>
  <c r="D23" i="122"/>
  <c r="D18" i="122"/>
  <c r="D14" i="122"/>
  <c r="D10" i="122"/>
  <c r="D21" i="122"/>
  <c r="D17" i="122"/>
  <c r="D13" i="122"/>
  <c r="D9" i="122"/>
  <c r="D20" i="122"/>
  <c r="D16" i="122"/>
  <c r="D12" i="122"/>
  <c r="D8" i="122"/>
  <c r="D24" i="122"/>
  <c r="D19" i="122"/>
  <c r="D15" i="122"/>
  <c r="D11" i="122"/>
  <c r="D7" i="122"/>
  <c r="H7" i="120"/>
  <c r="D20" i="120"/>
  <c r="D16" i="120"/>
  <c r="D12" i="120"/>
  <c r="D8" i="120"/>
  <c r="D24" i="120"/>
  <c r="D19" i="120"/>
  <c r="D15" i="120"/>
  <c r="D11" i="120"/>
  <c r="D7" i="120"/>
  <c r="D23" i="120"/>
  <c r="D18" i="120"/>
  <c r="D14" i="120"/>
  <c r="D10" i="120"/>
  <c r="D21" i="120"/>
  <c r="D17" i="120"/>
  <c r="D13" i="120"/>
  <c r="D9" i="120"/>
  <c r="H51" i="120"/>
  <c r="D67" i="120"/>
  <c r="D62" i="120"/>
  <c r="D58" i="120"/>
  <c r="D54" i="120"/>
  <c r="D65" i="120"/>
  <c r="D61" i="120"/>
  <c r="D57" i="120"/>
  <c r="D53" i="120"/>
  <c r="D64" i="120"/>
  <c r="D60" i="120"/>
  <c r="D56" i="120"/>
  <c r="D52" i="120"/>
  <c r="D68" i="120"/>
  <c r="D63" i="120"/>
  <c r="D59" i="120"/>
  <c r="D55" i="120"/>
  <c r="D51" i="120"/>
  <c r="H95" i="120"/>
  <c r="D108" i="120"/>
  <c r="D104" i="120"/>
  <c r="D100" i="120"/>
  <c r="D96" i="120"/>
  <c r="D112" i="120"/>
  <c r="D107" i="120"/>
  <c r="D103" i="120"/>
  <c r="D99" i="120"/>
  <c r="D95" i="120"/>
  <c r="D111" i="120"/>
  <c r="D106" i="120"/>
  <c r="D102" i="120"/>
  <c r="D98" i="120"/>
  <c r="D109" i="120"/>
  <c r="D105" i="120"/>
  <c r="D101" i="120"/>
  <c r="D97" i="120"/>
  <c r="H139" i="120"/>
  <c r="D155" i="120"/>
  <c r="D150" i="120"/>
  <c r="D146" i="120"/>
  <c r="D142" i="120"/>
  <c r="D153" i="120"/>
  <c r="D149" i="120"/>
  <c r="D145" i="120"/>
  <c r="D141" i="120"/>
  <c r="D152" i="120"/>
  <c r="D148" i="120"/>
  <c r="D144" i="120"/>
  <c r="D140" i="120"/>
  <c r="D156" i="120"/>
  <c r="D151" i="120"/>
  <c r="D147" i="120"/>
  <c r="D143" i="120"/>
  <c r="D139" i="120"/>
  <c r="H29" i="122"/>
  <c r="D43" i="122"/>
  <c r="D39" i="122"/>
  <c r="D35" i="122"/>
  <c r="D31" i="122"/>
  <c r="D42" i="122"/>
  <c r="D38" i="122"/>
  <c r="D34" i="122"/>
  <c r="D30" i="122"/>
  <c r="D46" i="122"/>
  <c r="D41" i="122"/>
  <c r="D37" i="122"/>
  <c r="D33" i="122"/>
  <c r="D29" i="122"/>
  <c r="D45" i="122"/>
  <c r="D40" i="122"/>
  <c r="D36" i="122"/>
  <c r="D32" i="122"/>
  <c r="H73" i="122"/>
  <c r="D90" i="122"/>
  <c r="D85" i="122"/>
  <c r="D81" i="122"/>
  <c r="D77" i="122"/>
  <c r="D73" i="122"/>
  <c r="D89" i="122"/>
  <c r="D84" i="122"/>
  <c r="D80" i="122"/>
  <c r="D76" i="122"/>
  <c r="D87" i="122"/>
  <c r="D83" i="122"/>
  <c r="D79" i="122"/>
  <c r="D75" i="122"/>
  <c r="D86" i="122"/>
  <c r="D82" i="122"/>
  <c r="D78" i="122"/>
  <c r="D74" i="122"/>
  <c r="H117" i="122"/>
  <c r="D131" i="122"/>
  <c r="D127" i="122"/>
  <c r="D123" i="122"/>
  <c r="D119" i="122"/>
  <c r="D130" i="122"/>
  <c r="D126" i="122"/>
  <c r="D122" i="122"/>
  <c r="D118" i="122"/>
  <c r="D134" i="122"/>
  <c r="D129" i="122"/>
  <c r="D125" i="122"/>
  <c r="D121" i="122"/>
  <c r="D117" i="122"/>
  <c r="D133" i="122"/>
  <c r="D128" i="122"/>
  <c r="D124" i="122"/>
  <c r="D120" i="122"/>
  <c r="H161" i="122"/>
  <c r="D178" i="122"/>
  <c r="D173" i="122"/>
  <c r="D169" i="122"/>
  <c r="D165" i="122"/>
  <c r="D161" i="122"/>
  <c r="D177" i="122"/>
  <c r="D172" i="122"/>
  <c r="D168" i="122"/>
  <c r="D164" i="122"/>
  <c r="D175" i="122"/>
  <c r="D171" i="122"/>
  <c r="D167" i="122"/>
  <c r="D163" i="122"/>
  <c r="D174" i="122"/>
  <c r="D170" i="122"/>
  <c r="D166" i="122"/>
  <c r="D162" i="122"/>
  <c r="H7" i="123"/>
  <c r="D21" i="123"/>
  <c r="D17" i="123"/>
  <c r="D13" i="123"/>
  <c r="D9" i="123"/>
  <c r="D20" i="123"/>
  <c r="D16" i="123"/>
  <c r="D12" i="123"/>
  <c r="D8" i="123"/>
  <c r="D24" i="123"/>
  <c r="D19" i="123"/>
  <c r="D15" i="123"/>
  <c r="D11" i="123"/>
  <c r="D7" i="123"/>
  <c r="D23" i="123"/>
  <c r="D18" i="123"/>
  <c r="D14" i="123"/>
  <c r="D10" i="123"/>
  <c r="H51" i="123"/>
  <c r="D65" i="123"/>
  <c r="D64" i="123"/>
  <c r="D68" i="123"/>
  <c r="D67" i="123"/>
  <c r="D63" i="123"/>
  <c r="D59" i="123"/>
  <c r="D55" i="123"/>
  <c r="D51" i="123"/>
  <c r="D62" i="123"/>
  <c r="D58" i="123"/>
  <c r="D54" i="123"/>
  <c r="D61" i="123"/>
  <c r="D57" i="123"/>
  <c r="D53" i="123"/>
  <c r="D60" i="123"/>
  <c r="D56" i="123"/>
  <c r="D52" i="123"/>
  <c r="H95" i="123"/>
  <c r="D112" i="123"/>
  <c r="D107" i="123"/>
  <c r="D103" i="123"/>
  <c r="D99" i="123"/>
  <c r="D95" i="123"/>
  <c r="D111" i="123"/>
  <c r="D106" i="123"/>
  <c r="D102" i="123"/>
  <c r="D98" i="123"/>
  <c r="D109" i="123"/>
  <c r="D105" i="123"/>
  <c r="D101" i="123"/>
  <c r="D97" i="123"/>
  <c r="D108" i="123"/>
  <c r="D104" i="123"/>
  <c r="D100" i="123"/>
  <c r="D96" i="123"/>
  <c r="H139" i="123"/>
  <c r="D153" i="123"/>
  <c r="D149" i="123"/>
  <c r="D145" i="123"/>
  <c r="D141" i="123"/>
  <c r="D152" i="123"/>
  <c r="D148" i="123"/>
  <c r="D144" i="123"/>
  <c r="D140" i="123"/>
  <c r="D156" i="123"/>
  <c r="D151" i="123"/>
  <c r="D147" i="123"/>
  <c r="D143" i="123"/>
  <c r="D139" i="123"/>
  <c r="D155" i="123"/>
  <c r="D150" i="123"/>
  <c r="D146" i="123"/>
  <c r="D142" i="123"/>
  <c r="H183" i="123"/>
  <c r="D200" i="123"/>
  <c r="D195" i="123"/>
  <c r="D191" i="123"/>
  <c r="D187" i="123"/>
  <c r="D183" i="123"/>
  <c r="D199" i="123"/>
  <c r="D194" i="123"/>
  <c r="D190" i="123"/>
  <c r="D186" i="123"/>
  <c r="D197" i="123"/>
  <c r="D193" i="123"/>
  <c r="D189" i="123"/>
  <c r="D185" i="123"/>
  <c r="D196" i="123"/>
  <c r="D192" i="123"/>
  <c r="D188" i="123"/>
  <c r="D184" i="123"/>
  <c r="H7" i="124"/>
  <c r="D21" i="124"/>
  <c r="D17" i="124"/>
  <c r="D13" i="124"/>
  <c r="D9" i="124"/>
  <c r="D20" i="124"/>
  <c r="D16" i="124"/>
  <c r="D12" i="124"/>
  <c r="D8" i="124"/>
  <c r="D24" i="124"/>
  <c r="D19" i="124"/>
  <c r="D15" i="124"/>
  <c r="D11" i="124"/>
  <c r="D7" i="124"/>
  <c r="D23" i="124"/>
  <c r="D18" i="124"/>
  <c r="D14" i="124"/>
  <c r="D10" i="124"/>
  <c r="H51" i="124"/>
  <c r="D68" i="124"/>
  <c r="D63" i="124"/>
  <c r="D59" i="124"/>
  <c r="D55" i="124"/>
  <c r="D51" i="124"/>
  <c r="D67" i="124"/>
  <c r="D62" i="124"/>
  <c r="D58" i="124"/>
  <c r="D54" i="124"/>
  <c r="D65" i="124"/>
  <c r="D61" i="124"/>
  <c r="D57" i="124"/>
  <c r="D53" i="124"/>
  <c r="D64" i="124"/>
  <c r="D60" i="124"/>
  <c r="D56" i="124"/>
  <c r="D52" i="124"/>
  <c r="H95" i="124"/>
  <c r="D109" i="124"/>
  <c r="D105" i="124"/>
  <c r="D101" i="124"/>
  <c r="D97" i="124"/>
  <c r="D108" i="124"/>
  <c r="D104" i="124"/>
  <c r="D100" i="124"/>
  <c r="D96" i="124"/>
  <c r="D112" i="124"/>
  <c r="D107" i="124"/>
  <c r="D103" i="124"/>
  <c r="D99" i="124"/>
  <c r="D95" i="124"/>
  <c r="D111" i="124"/>
  <c r="D106" i="124"/>
  <c r="D102" i="124"/>
  <c r="D98" i="124"/>
  <c r="H139" i="124"/>
  <c r="D156" i="124"/>
  <c r="D151" i="124"/>
  <c r="D147" i="124"/>
  <c r="D143" i="124"/>
  <c r="D139" i="124"/>
  <c r="D155" i="124"/>
  <c r="D150" i="124"/>
  <c r="D146" i="124"/>
  <c r="D142" i="124"/>
  <c r="D153" i="124"/>
  <c r="D149" i="124"/>
  <c r="D145" i="124"/>
  <c r="D141" i="124"/>
  <c r="D152" i="124"/>
  <c r="D148" i="124"/>
  <c r="D144" i="124"/>
  <c r="D140" i="124"/>
  <c r="H183" i="124"/>
  <c r="D197" i="124"/>
  <c r="D193" i="124"/>
  <c r="D189" i="124"/>
  <c r="D185" i="124"/>
  <c r="D196" i="124"/>
  <c r="D192" i="124"/>
  <c r="D188" i="124"/>
  <c r="D184" i="124"/>
  <c r="D200" i="124"/>
  <c r="D195" i="124"/>
  <c r="D191" i="124"/>
  <c r="D187" i="124"/>
  <c r="D183" i="124"/>
  <c r="D199" i="124"/>
  <c r="D194" i="124"/>
  <c r="D190" i="124"/>
  <c r="D186" i="124"/>
  <c r="H227" i="124"/>
  <c r="D244" i="124"/>
  <c r="D239" i="124"/>
  <c r="D235" i="124"/>
  <c r="D231" i="124"/>
  <c r="D227" i="124"/>
  <c r="D243" i="124"/>
  <c r="D238" i="124"/>
  <c r="D234" i="124"/>
  <c r="D230" i="124"/>
  <c r="D241" i="124"/>
  <c r="D237" i="124"/>
  <c r="D233" i="124"/>
  <c r="D229" i="124"/>
  <c r="D240" i="124"/>
  <c r="D236" i="124"/>
  <c r="D232" i="124"/>
  <c r="D228" i="124"/>
  <c r="H29" i="125"/>
  <c r="D43" i="125"/>
  <c r="D39" i="125"/>
  <c r="D35" i="125"/>
  <c r="D31" i="125"/>
  <c r="D42" i="125"/>
  <c r="D38" i="125"/>
  <c r="D34" i="125"/>
  <c r="D30" i="125"/>
  <c r="D46" i="125"/>
  <c r="D41" i="125"/>
  <c r="D37" i="125"/>
  <c r="D33" i="125"/>
  <c r="D29" i="125"/>
  <c r="D45" i="125"/>
  <c r="D40" i="125"/>
  <c r="D36" i="125"/>
  <c r="D32" i="125"/>
  <c r="H73" i="125"/>
  <c r="D90" i="125"/>
  <c r="D85" i="125"/>
  <c r="D81" i="125"/>
  <c r="D77" i="125"/>
  <c r="D73" i="125"/>
  <c r="D89" i="125"/>
  <c r="D84" i="125"/>
  <c r="D80" i="125"/>
  <c r="D76" i="125"/>
  <c r="D87" i="125"/>
  <c r="D83" i="125"/>
  <c r="D79" i="125"/>
  <c r="D75" i="125"/>
  <c r="D86" i="125"/>
  <c r="D82" i="125"/>
  <c r="D78" i="125"/>
  <c r="D74" i="125"/>
  <c r="H117" i="125"/>
  <c r="D131" i="125"/>
  <c r="D127" i="125"/>
  <c r="D123" i="125"/>
  <c r="D119" i="125"/>
  <c r="D130" i="125"/>
  <c r="D126" i="125"/>
  <c r="D122" i="125"/>
  <c r="D118" i="125"/>
  <c r="D134" i="125"/>
  <c r="D129" i="125"/>
  <c r="D125" i="125"/>
  <c r="D121" i="125"/>
  <c r="D117" i="125"/>
  <c r="D133" i="125"/>
  <c r="D128" i="125"/>
  <c r="D124" i="125"/>
  <c r="D120" i="125"/>
  <c r="H29" i="126"/>
  <c r="D45" i="126"/>
  <c r="D40" i="126"/>
  <c r="D36" i="126"/>
  <c r="D32" i="126"/>
  <c r="D43" i="126"/>
  <c r="D39" i="126"/>
  <c r="D35" i="126"/>
  <c r="D31" i="126"/>
  <c r="D42" i="126"/>
  <c r="D38" i="126"/>
  <c r="D34" i="126"/>
  <c r="D30" i="126"/>
  <c r="D33" i="126"/>
  <c r="D46" i="126"/>
  <c r="D29" i="126"/>
  <c r="D41" i="126"/>
  <c r="D37" i="126"/>
  <c r="H73" i="126"/>
  <c r="D86" i="126"/>
  <c r="D82" i="126"/>
  <c r="D78" i="126"/>
  <c r="D74" i="126"/>
  <c r="D90" i="126"/>
  <c r="D85" i="126"/>
  <c r="D81" i="126"/>
  <c r="D77" i="126"/>
  <c r="D73" i="126"/>
  <c r="D89" i="126"/>
  <c r="D84" i="126"/>
  <c r="D80" i="126"/>
  <c r="D76" i="126"/>
  <c r="D75" i="126"/>
  <c r="D87" i="126"/>
  <c r="D83" i="126"/>
  <c r="D79" i="126"/>
  <c r="H117" i="126"/>
  <c r="D133" i="126"/>
  <c r="D128" i="126"/>
  <c r="D124" i="126"/>
  <c r="D120" i="126"/>
  <c r="D131" i="126"/>
  <c r="D127" i="126"/>
  <c r="D123" i="126"/>
  <c r="D119" i="126"/>
  <c r="D130" i="126"/>
  <c r="D126" i="126"/>
  <c r="D122" i="126"/>
  <c r="D118" i="126"/>
  <c r="D134" i="126"/>
  <c r="D117" i="126"/>
  <c r="D129" i="126"/>
  <c r="D125" i="126"/>
  <c r="D121" i="126"/>
  <c r="H161" i="126"/>
  <c r="D174" i="126"/>
  <c r="D170" i="126"/>
  <c r="D166" i="126"/>
  <c r="D162" i="126"/>
  <c r="D178" i="126"/>
  <c r="D173" i="126"/>
  <c r="D169" i="126"/>
  <c r="D165" i="126"/>
  <c r="D161" i="126"/>
  <c r="D177" i="126"/>
  <c r="D172" i="126"/>
  <c r="D168" i="126"/>
  <c r="D164" i="126"/>
  <c r="D175" i="126"/>
  <c r="D171" i="126"/>
  <c r="D167" i="126"/>
  <c r="D163" i="126"/>
  <c r="H205" i="126"/>
  <c r="D221" i="126"/>
  <c r="D216" i="126"/>
  <c r="D212" i="126"/>
  <c r="D208" i="126"/>
  <c r="D219" i="126"/>
  <c r="D215" i="126"/>
  <c r="D211" i="126"/>
  <c r="D207" i="126"/>
  <c r="D218" i="126"/>
  <c r="D214" i="126"/>
  <c r="D210" i="126"/>
  <c r="D206" i="126"/>
  <c r="D217" i="126"/>
  <c r="D213" i="126"/>
  <c r="D209" i="126"/>
  <c r="D205" i="126"/>
  <c r="D222" i="126"/>
  <c r="H7" i="127"/>
  <c r="D20" i="127"/>
  <c r="D16" i="127"/>
  <c r="D12" i="127"/>
  <c r="D8" i="127"/>
  <c r="D24" i="127"/>
  <c r="D19" i="127"/>
  <c r="D15" i="127"/>
  <c r="D11" i="127"/>
  <c r="D7" i="127"/>
  <c r="D23" i="127"/>
  <c r="D18" i="127"/>
  <c r="D14" i="127"/>
  <c r="D10" i="127"/>
  <c r="D17" i="127"/>
  <c r="D13" i="127"/>
  <c r="D9" i="127"/>
  <c r="D21" i="127"/>
  <c r="H51" i="127"/>
  <c r="D67" i="127"/>
  <c r="D62" i="127"/>
  <c r="D58" i="127"/>
  <c r="D54" i="127"/>
  <c r="D65" i="127"/>
  <c r="D61" i="127"/>
  <c r="D57" i="127"/>
  <c r="D53" i="127"/>
  <c r="D64" i="127"/>
  <c r="D60" i="127"/>
  <c r="D56" i="127"/>
  <c r="D52" i="127"/>
  <c r="D59" i="127"/>
  <c r="D55" i="127"/>
  <c r="D68" i="127"/>
  <c r="D51" i="127"/>
  <c r="D63" i="127"/>
  <c r="H95" i="127"/>
  <c r="D108" i="127"/>
  <c r="D104" i="127"/>
  <c r="D100" i="127"/>
  <c r="D96" i="127"/>
  <c r="D112" i="127"/>
  <c r="D107" i="127"/>
  <c r="D103" i="127"/>
  <c r="D99" i="127"/>
  <c r="D95" i="127"/>
  <c r="D111" i="127"/>
  <c r="D106" i="127"/>
  <c r="D102" i="127"/>
  <c r="D98" i="127"/>
  <c r="D101" i="127"/>
  <c r="D97" i="127"/>
  <c r="D109" i="127"/>
  <c r="D105" i="127"/>
  <c r="H139" i="127"/>
  <c r="D155" i="127"/>
  <c r="D150" i="127"/>
  <c r="D146" i="127"/>
  <c r="D142" i="127"/>
  <c r="D153" i="127"/>
  <c r="D149" i="127"/>
  <c r="D145" i="127"/>
  <c r="D141" i="127"/>
  <c r="D152" i="127"/>
  <c r="D148" i="127"/>
  <c r="D144" i="127"/>
  <c r="D140" i="127"/>
  <c r="D143" i="127"/>
  <c r="D156" i="127"/>
  <c r="D139" i="127"/>
  <c r="D151" i="127"/>
  <c r="D147" i="127"/>
  <c r="H183" i="127"/>
  <c r="D196" i="127"/>
  <c r="D192" i="127"/>
  <c r="D188" i="127"/>
  <c r="D184" i="127"/>
  <c r="D200" i="127"/>
  <c r="D195" i="127"/>
  <c r="D191" i="127"/>
  <c r="D187" i="127"/>
  <c r="D183" i="127"/>
  <c r="D199" i="127"/>
  <c r="D194" i="127"/>
  <c r="D190" i="127"/>
  <c r="D186" i="127"/>
  <c r="D185" i="127"/>
  <c r="D197" i="127"/>
  <c r="D193" i="127"/>
  <c r="D189" i="127"/>
  <c r="H227" i="127"/>
  <c r="D243" i="127"/>
  <c r="D238" i="127"/>
  <c r="D234" i="127"/>
  <c r="D230" i="127"/>
  <c r="D241" i="127"/>
  <c r="D237" i="127"/>
  <c r="D233" i="127"/>
  <c r="D229" i="127"/>
  <c r="D240" i="127"/>
  <c r="D236" i="127"/>
  <c r="D232" i="127"/>
  <c r="D228" i="127"/>
  <c r="D244" i="127"/>
  <c r="D227" i="127"/>
  <c r="D239" i="127"/>
  <c r="D235" i="127"/>
  <c r="D231" i="127"/>
  <c r="H271" i="127"/>
  <c r="D284" i="127"/>
  <c r="D280" i="127"/>
  <c r="D276" i="127"/>
  <c r="D272" i="127"/>
  <c r="D288" i="127"/>
  <c r="D283" i="127"/>
  <c r="D279" i="127"/>
  <c r="D275" i="127"/>
  <c r="D271" i="127"/>
  <c r="D287" i="127"/>
  <c r="D282" i="127"/>
  <c r="D278" i="127"/>
  <c r="D274" i="127"/>
  <c r="D285" i="127"/>
  <c r="D281" i="127"/>
  <c r="D277" i="127"/>
  <c r="D273" i="127"/>
  <c r="H315" i="127"/>
  <c r="D331" i="127"/>
  <c r="D326" i="127"/>
  <c r="D322" i="127"/>
  <c r="D318" i="127"/>
  <c r="D329" i="127"/>
  <c r="D325" i="127"/>
  <c r="D321" i="127"/>
  <c r="D317" i="127"/>
  <c r="D328" i="127"/>
  <c r="D324" i="127"/>
  <c r="D320" i="127"/>
  <c r="D316" i="127"/>
  <c r="D327" i="127"/>
  <c r="D323" i="127"/>
  <c r="D319" i="127"/>
  <c r="D332" i="127"/>
  <c r="D315" i="127"/>
  <c r="H359" i="127"/>
  <c r="D372" i="127"/>
  <c r="D368" i="127"/>
  <c r="D364" i="127"/>
  <c r="D360" i="127"/>
  <c r="D376" i="127"/>
  <c r="D371" i="127"/>
  <c r="D367" i="127"/>
  <c r="D363" i="127"/>
  <c r="D359" i="127"/>
  <c r="D375" i="127"/>
  <c r="D370" i="127"/>
  <c r="D366" i="127"/>
  <c r="D362" i="127"/>
  <c r="D369" i="127"/>
  <c r="D365" i="127"/>
  <c r="D361" i="127"/>
  <c r="D373" i="127"/>
  <c r="H403" i="127"/>
  <c r="D419" i="127"/>
  <c r="D414" i="127"/>
  <c r="D410" i="127"/>
  <c r="D406" i="127"/>
  <c r="D417" i="127"/>
  <c r="D413" i="127"/>
  <c r="D409" i="127"/>
  <c r="D405" i="127"/>
  <c r="D416" i="127"/>
  <c r="D412" i="127"/>
  <c r="D408" i="127"/>
  <c r="D404" i="127"/>
  <c r="D411" i="127"/>
  <c r="D407" i="127"/>
  <c r="D420" i="127"/>
  <c r="D403" i="127"/>
  <c r="D415" i="127"/>
  <c r="H7" i="128"/>
  <c r="D20" i="128"/>
  <c r="D16" i="128"/>
  <c r="D12" i="128"/>
  <c r="D8" i="128"/>
  <c r="D24" i="128"/>
  <c r="D19" i="128"/>
  <c r="D15" i="128"/>
  <c r="D11" i="128"/>
  <c r="D7" i="128"/>
  <c r="D23" i="128"/>
  <c r="D18" i="128"/>
  <c r="D14" i="128"/>
  <c r="D10" i="128"/>
  <c r="D13" i="128"/>
  <c r="D9" i="128"/>
  <c r="D21" i="128"/>
  <c r="D17" i="128"/>
  <c r="H51" i="128"/>
  <c r="D68" i="128"/>
  <c r="D63" i="128"/>
  <c r="D59" i="128"/>
  <c r="D55" i="128"/>
  <c r="D51" i="128"/>
  <c r="D67" i="128"/>
  <c r="D62" i="128"/>
  <c r="D58" i="128"/>
  <c r="D54" i="128"/>
  <c r="D65" i="128"/>
  <c r="D61" i="128"/>
  <c r="D57" i="128"/>
  <c r="D53" i="128"/>
  <c r="D64" i="128"/>
  <c r="D60" i="128"/>
  <c r="D56" i="128"/>
  <c r="D52" i="128"/>
  <c r="H95" i="128"/>
  <c r="D109" i="128"/>
  <c r="D105" i="128"/>
  <c r="D101" i="128"/>
  <c r="D97" i="128"/>
  <c r="D108" i="128"/>
  <c r="D104" i="128"/>
  <c r="D100" i="128"/>
  <c r="D96" i="128"/>
  <c r="D112" i="128"/>
  <c r="D107" i="128"/>
  <c r="D103" i="128"/>
  <c r="D99" i="128"/>
  <c r="D95" i="128"/>
  <c r="D111" i="128"/>
  <c r="D106" i="128"/>
  <c r="D102" i="128"/>
  <c r="D98" i="128"/>
  <c r="H139" i="128"/>
  <c r="D156" i="128"/>
  <c r="D151" i="128"/>
  <c r="D147" i="128"/>
  <c r="D143" i="128"/>
  <c r="D139" i="128"/>
  <c r="D155" i="128"/>
  <c r="D150" i="128"/>
  <c r="D146" i="128"/>
  <c r="D142" i="128"/>
  <c r="D153" i="128"/>
  <c r="D149" i="128"/>
  <c r="D145" i="128"/>
  <c r="D141" i="128"/>
  <c r="D152" i="128"/>
  <c r="D148" i="128"/>
  <c r="D144" i="128"/>
  <c r="D140" i="128"/>
  <c r="H183" i="128"/>
  <c r="D197" i="128"/>
  <c r="D193" i="128"/>
  <c r="D189" i="128"/>
  <c r="D185" i="128"/>
  <c r="D196" i="128"/>
  <c r="D192" i="128"/>
  <c r="D188" i="128"/>
  <c r="D184" i="128"/>
  <c r="D200" i="128"/>
  <c r="D195" i="128"/>
  <c r="D191" i="128"/>
  <c r="D187" i="128"/>
  <c r="D183" i="128"/>
  <c r="D199" i="128"/>
  <c r="D194" i="128"/>
  <c r="D190" i="128"/>
  <c r="D186" i="128"/>
  <c r="H227" i="128"/>
  <c r="D244" i="128"/>
  <c r="D239" i="128"/>
  <c r="D235" i="128"/>
  <c r="D231" i="128"/>
  <c r="D227" i="128"/>
  <c r="D243" i="128"/>
  <c r="D238" i="128"/>
  <c r="D234" i="128"/>
  <c r="D230" i="128"/>
  <c r="D241" i="128"/>
  <c r="D237" i="128"/>
  <c r="D233" i="128"/>
  <c r="D229" i="128"/>
  <c r="D240" i="128"/>
  <c r="D236" i="128"/>
  <c r="D232" i="128"/>
  <c r="D228" i="128"/>
  <c r="H271" i="128"/>
  <c r="D285" i="128"/>
  <c r="D281" i="128"/>
  <c r="D277" i="128"/>
  <c r="D273" i="128"/>
  <c r="D284" i="128"/>
  <c r="D280" i="128"/>
  <c r="D276" i="128"/>
  <c r="D272" i="128"/>
  <c r="D288" i="128"/>
  <c r="D283" i="128"/>
  <c r="D279" i="128"/>
  <c r="D275" i="128"/>
  <c r="D271" i="128"/>
  <c r="D287" i="128"/>
  <c r="D282" i="128"/>
  <c r="D278" i="128"/>
  <c r="D274" i="128"/>
  <c r="H315" i="128"/>
  <c r="D332" i="128"/>
  <c r="D327" i="128"/>
  <c r="D323" i="128"/>
  <c r="D319" i="128"/>
  <c r="D315" i="128"/>
  <c r="D331" i="128"/>
  <c r="D326" i="128"/>
  <c r="D322" i="128"/>
  <c r="D318" i="128"/>
  <c r="D329" i="128"/>
  <c r="D325" i="128"/>
  <c r="D321" i="128"/>
  <c r="D317" i="128"/>
  <c r="D328" i="128"/>
  <c r="D324" i="128"/>
  <c r="D320" i="128"/>
  <c r="D316" i="128"/>
  <c r="H359" i="128"/>
  <c r="D373" i="128"/>
  <c r="D369" i="128"/>
  <c r="D365" i="128"/>
  <c r="D361" i="128"/>
  <c r="D372" i="128"/>
  <c r="D368" i="128"/>
  <c r="D364" i="128"/>
  <c r="D360" i="128"/>
  <c r="D376" i="128"/>
  <c r="D371" i="128"/>
  <c r="D367" i="128"/>
  <c r="D363" i="128"/>
  <c r="D359" i="128"/>
  <c r="D375" i="128"/>
  <c r="D370" i="128"/>
  <c r="D366" i="128"/>
  <c r="D362" i="128"/>
  <c r="H29" i="129"/>
  <c r="D46" i="129"/>
  <c r="D41" i="129"/>
  <c r="D37" i="129"/>
  <c r="D33" i="129"/>
  <c r="D29" i="129"/>
  <c r="D45" i="129"/>
  <c r="D40" i="129"/>
  <c r="D36" i="129"/>
  <c r="D32" i="129"/>
  <c r="D43" i="129"/>
  <c r="D39" i="129"/>
  <c r="D35" i="129"/>
  <c r="D31" i="129"/>
  <c r="D42" i="129"/>
  <c r="D38" i="129"/>
  <c r="D34" i="129"/>
  <c r="D30" i="129"/>
  <c r="H73" i="129"/>
  <c r="D87" i="129"/>
  <c r="D83" i="129"/>
  <c r="D79" i="129"/>
  <c r="D75" i="129"/>
  <c r="D86" i="129"/>
  <c r="D82" i="129"/>
  <c r="D78" i="129"/>
  <c r="D74" i="129"/>
  <c r="D90" i="129"/>
  <c r="D85" i="129"/>
  <c r="D81" i="129"/>
  <c r="D77" i="129"/>
  <c r="D73" i="129"/>
  <c r="D89" i="129"/>
  <c r="D84" i="129"/>
  <c r="D80" i="129"/>
  <c r="D76" i="129"/>
  <c r="H117" i="129"/>
  <c r="D134" i="129"/>
  <c r="D129" i="129"/>
  <c r="D125" i="129"/>
  <c r="D121" i="129"/>
  <c r="D117" i="129"/>
  <c r="D133" i="129"/>
  <c r="D128" i="129"/>
  <c r="D124" i="129"/>
  <c r="D120" i="129"/>
  <c r="D131" i="129"/>
  <c r="D127" i="129"/>
  <c r="D123" i="129"/>
  <c r="D119" i="129"/>
  <c r="D130" i="129"/>
  <c r="D126" i="129"/>
  <c r="D122" i="129"/>
  <c r="D118" i="129"/>
  <c r="H161" i="129"/>
  <c r="D175" i="129"/>
  <c r="D171" i="129"/>
  <c r="D167" i="129"/>
  <c r="D163" i="129"/>
  <c r="D174" i="129"/>
  <c r="D170" i="129"/>
  <c r="D166" i="129"/>
  <c r="D162" i="129"/>
  <c r="D178" i="129"/>
  <c r="D173" i="129"/>
  <c r="D169" i="129"/>
  <c r="D165" i="129"/>
  <c r="D161" i="129"/>
  <c r="D177" i="129"/>
  <c r="D172" i="129"/>
  <c r="D168" i="129"/>
  <c r="D164" i="129"/>
  <c r="H205" i="129"/>
  <c r="D222" i="129"/>
  <c r="D217" i="129"/>
  <c r="D213" i="129"/>
  <c r="D209" i="129"/>
  <c r="D205" i="129"/>
  <c r="D221" i="129"/>
  <c r="D216" i="129"/>
  <c r="D212" i="129"/>
  <c r="D208" i="129"/>
  <c r="D219" i="129"/>
  <c r="D215" i="129"/>
  <c r="D211" i="129"/>
  <c r="D207" i="129"/>
  <c r="D218" i="129"/>
  <c r="D214" i="129"/>
  <c r="D210" i="129"/>
  <c r="D206" i="129"/>
  <c r="H249" i="129"/>
  <c r="D263" i="129"/>
  <c r="D259" i="129"/>
  <c r="D255" i="129"/>
  <c r="D251" i="129"/>
  <c r="D262" i="129"/>
  <c r="D258" i="129"/>
  <c r="D254" i="129"/>
  <c r="D250" i="129"/>
  <c r="D266" i="129"/>
  <c r="D261" i="129"/>
  <c r="D257" i="129"/>
  <c r="D253" i="129"/>
  <c r="D249" i="129"/>
  <c r="D265" i="129"/>
  <c r="D260" i="129"/>
  <c r="D256" i="129"/>
  <c r="D252" i="129"/>
  <c r="H293" i="129"/>
  <c r="D310" i="129"/>
  <c r="D305" i="129"/>
  <c r="D301" i="129"/>
  <c r="D297" i="129"/>
  <c r="D293" i="129"/>
  <c r="D309" i="129"/>
  <c r="D304" i="129"/>
  <c r="D300" i="129"/>
  <c r="D296" i="129"/>
  <c r="D307" i="129"/>
  <c r="D303" i="129"/>
  <c r="D299" i="129"/>
  <c r="D295" i="129"/>
  <c r="D306" i="129"/>
  <c r="D302" i="129"/>
  <c r="D298" i="129"/>
  <c r="D294" i="129"/>
  <c r="H337" i="129"/>
  <c r="D351" i="129"/>
  <c r="D347" i="129"/>
  <c r="D343" i="129"/>
  <c r="D339" i="129"/>
  <c r="D350" i="129"/>
  <c r="D346" i="129"/>
  <c r="D342" i="129"/>
  <c r="D338" i="129"/>
  <c r="D354" i="129"/>
  <c r="D349" i="129"/>
  <c r="D345" i="129"/>
  <c r="D341" i="129"/>
  <c r="D337" i="129"/>
  <c r="D353" i="129"/>
  <c r="D348" i="129"/>
  <c r="D344" i="129"/>
  <c r="D340" i="129"/>
  <c r="H381" i="129"/>
  <c r="D398" i="129"/>
  <c r="D393" i="129"/>
  <c r="D389" i="129"/>
  <c r="D385" i="129"/>
  <c r="D381" i="129"/>
  <c r="D397" i="129"/>
  <c r="D392" i="129"/>
  <c r="D388" i="129"/>
  <c r="D384" i="129"/>
  <c r="D395" i="129"/>
  <c r="D391" i="129"/>
  <c r="D387" i="129"/>
  <c r="D383" i="129"/>
  <c r="D394" i="129"/>
  <c r="D390" i="129"/>
  <c r="D386" i="129"/>
  <c r="D382" i="129"/>
  <c r="H425" i="129"/>
  <c r="D439" i="129"/>
  <c r="D435" i="129"/>
  <c r="D431" i="129"/>
  <c r="D427" i="129"/>
  <c r="D438" i="129"/>
  <c r="D434" i="129"/>
  <c r="D430" i="129"/>
  <c r="D426" i="129"/>
  <c r="D442" i="129"/>
  <c r="D437" i="129"/>
  <c r="D433" i="129"/>
  <c r="D429" i="129"/>
  <c r="D425" i="129"/>
  <c r="D441" i="129"/>
  <c r="D436" i="129"/>
  <c r="D432" i="129"/>
  <c r="D428" i="129"/>
  <c r="H469" i="129"/>
  <c r="D486" i="129"/>
  <c r="D481" i="129"/>
  <c r="D477" i="129"/>
  <c r="D473" i="129"/>
  <c r="D469" i="129"/>
  <c r="D485" i="129"/>
  <c r="D480" i="129"/>
  <c r="D476" i="129"/>
  <c r="D472" i="129"/>
  <c r="D483" i="129"/>
  <c r="D479" i="129"/>
  <c r="D475" i="129"/>
  <c r="D471" i="129"/>
  <c r="D482" i="129"/>
  <c r="D478" i="129"/>
  <c r="D474" i="129"/>
  <c r="D470" i="129"/>
  <c r="H513" i="129"/>
  <c r="D527" i="129"/>
  <c r="D523" i="129"/>
  <c r="D519" i="129"/>
  <c r="D515" i="129"/>
  <c r="D526" i="129"/>
  <c r="D522" i="129"/>
  <c r="D518" i="129"/>
  <c r="D514" i="129"/>
  <c r="D530" i="129"/>
  <c r="D525" i="129"/>
  <c r="D521" i="129"/>
  <c r="D517" i="129"/>
  <c r="D513" i="129"/>
  <c r="D529" i="129"/>
  <c r="D524" i="129"/>
  <c r="D520" i="129"/>
  <c r="D516" i="129"/>
  <c r="H557" i="129"/>
  <c r="D574" i="129"/>
  <c r="D569" i="129"/>
  <c r="D565" i="129"/>
  <c r="D561" i="129"/>
  <c r="D557" i="129"/>
  <c r="D573" i="129"/>
  <c r="D568" i="129"/>
  <c r="D564" i="129"/>
  <c r="D560" i="129"/>
  <c r="D571" i="129"/>
  <c r="D567" i="129"/>
  <c r="D563" i="129"/>
  <c r="D559" i="129"/>
  <c r="D570" i="129"/>
  <c r="D566" i="129"/>
  <c r="D562" i="129"/>
  <c r="D558" i="129"/>
  <c r="H601" i="129"/>
  <c r="D617" i="129"/>
  <c r="D612" i="129"/>
  <c r="D608" i="129"/>
  <c r="D604" i="129"/>
  <c r="D615" i="129"/>
  <c r="D611" i="129"/>
  <c r="D607" i="129"/>
  <c r="D603" i="129"/>
  <c r="D614" i="129"/>
  <c r="D610" i="129"/>
  <c r="D606" i="129"/>
  <c r="D602" i="129"/>
  <c r="D618" i="129"/>
  <c r="D613" i="129"/>
  <c r="D609" i="129"/>
  <c r="D605" i="129"/>
  <c r="D601" i="129"/>
  <c r="H645" i="129"/>
  <c r="D658" i="129"/>
  <c r="D654" i="129"/>
  <c r="D650" i="129"/>
  <c r="D646" i="129"/>
  <c r="D662" i="129"/>
  <c r="D657" i="129"/>
  <c r="D653" i="129"/>
  <c r="D649" i="129"/>
  <c r="D645" i="129"/>
  <c r="D661" i="129"/>
  <c r="D656" i="129"/>
  <c r="D652" i="129"/>
  <c r="D648" i="129"/>
  <c r="D659" i="129"/>
  <c r="D655" i="129"/>
  <c r="D651" i="129"/>
  <c r="D647" i="129"/>
  <c r="H689" i="129"/>
  <c r="D705" i="129"/>
  <c r="D700" i="129"/>
  <c r="D696" i="129"/>
  <c r="D692" i="129"/>
  <c r="D703" i="129"/>
  <c r="D699" i="129"/>
  <c r="D695" i="129"/>
  <c r="D691" i="129"/>
  <c r="D702" i="129"/>
  <c r="D698" i="129"/>
  <c r="D694" i="129"/>
  <c r="D690" i="129"/>
  <c r="D706" i="129"/>
  <c r="D701" i="129"/>
  <c r="D697" i="129"/>
  <c r="D693" i="129"/>
  <c r="D689" i="129"/>
  <c r="H733" i="129"/>
  <c r="D746" i="129"/>
  <c r="D742" i="129"/>
  <c r="D738" i="129"/>
  <c r="D734" i="129"/>
  <c r="D750" i="129"/>
  <c r="D745" i="129"/>
  <c r="D741" i="129"/>
  <c r="D737" i="129"/>
  <c r="D733" i="129"/>
  <c r="D749" i="129"/>
  <c r="D744" i="129"/>
  <c r="D740" i="129"/>
  <c r="D736" i="129"/>
  <c r="D747" i="129"/>
  <c r="D743" i="129"/>
  <c r="D739" i="129"/>
  <c r="D735" i="129"/>
  <c r="H29" i="130"/>
  <c r="D45" i="130"/>
  <c r="D40" i="130"/>
  <c r="D36" i="130"/>
  <c r="D32" i="130"/>
  <c r="D43" i="130"/>
  <c r="D39" i="130"/>
  <c r="D35" i="130"/>
  <c r="D31" i="130"/>
  <c r="D42" i="130"/>
  <c r="D38" i="130"/>
  <c r="D34" i="130"/>
  <c r="D30" i="130"/>
  <c r="D46" i="130"/>
  <c r="D41" i="130"/>
  <c r="D37" i="130"/>
  <c r="D33" i="130"/>
  <c r="D29" i="130"/>
  <c r="H73" i="130"/>
  <c r="D86" i="130"/>
  <c r="D82" i="130"/>
  <c r="D78" i="130"/>
  <c r="D74" i="130"/>
  <c r="D90" i="130"/>
  <c r="D85" i="130"/>
  <c r="D81" i="130"/>
  <c r="D77" i="130"/>
  <c r="D73" i="130"/>
  <c r="D89" i="130"/>
  <c r="D84" i="130"/>
  <c r="D80" i="130"/>
  <c r="D76" i="130"/>
  <c r="D87" i="130"/>
  <c r="D83" i="130"/>
  <c r="D79" i="130"/>
  <c r="D75" i="130"/>
  <c r="H117" i="130"/>
  <c r="D133" i="130"/>
  <c r="D128" i="130"/>
  <c r="D124" i="130"/>
  <c r="D120" i="130"/>
  <c r="D131" i="130"/>
  <c r="D127" i="130"/>
  <c r="D123" i="130"/>
  <c r="D119" i="130"/>
  <c r="D130" i="130"/>
  <c r="D126" i="130"/>
  <c r="D122" i="130"/>
  <c r="D118" i="130"/>
  <c r="D134" i="130"/>
  <c r="D129" i="130"/>
  <c r="D125" i="130"/>
  <c r="D121" i="130"/>
  <c r="D117" i="130"/>
  <c r="H161" i="130"/>
  <c r="D174" i="130"/>
  <c r="D170" i="130"/>
  <c r="D166" i="130"/>
  <c r="D162" i="130"/>
  <c r="D178" i="130"/>
  <c r="D173" i="130"/>
  <c r="D169" i="130"/>
  <c r="D165" i="130"/>
  <c r="D161" i="130"/>
  <c r="D177" i="130"/>
  <c r="D172" i="130"/>
  <c r="D168" i="130"/>
  <c r="D164" i="130"/>
  <c r="D175" i="130"/>
  <c r="D171" i="130"/>
  <c r="D167" i="130"/>
  <c r="D163" i="130"/>
  <c r="H205" i="130"/>
  <c r="D221" i="130"/>
  <c r="D216" i="130"/>
  <c r="D212" i="130"/>
  <c r="D208" i="130"/>
  <c r="D219" i="130"/>
  <c r="D215" i="130"/>
  <c r="D211" i="130"/>
  <c r="D207" i="130"/>
  <c r="D218" i="130"/>
  <c r="D214" i="130"/>
  <c r="D210" i="130"/>
  <c r="D206" i="130"/>
  <c r="D222" i="130"/>
  <c r="D217" i="130"/>
  <c r="D213" i="130"/>
  <c r="D209" i="130"/>
  <c r="D205" i="130"/>
  <c r="H249" i="130"/>
  <c r="D262" i="130"/>
  <c r="D258" i="130"/>
  <c r="D254" i="130"/>
  <c r="D250" i="130"/>
  <c r="D266" i="130"/>
  <c r="D261" i="130"/>
  <c r="D257" i="130"/>
  <c r="D253" i="130"/>
  <c r="D249" i="130"/>
  <c r="D265" i="130"/>
  <c r="D260" i="130"/>
  <c r="D256" i="130"/>
  <c r="D252" i="130"/>
  <c r="D263" i="130"/>
  <c r="D259" i="130"/>
  <c r="D255" i="130"/>
  <c r="D251" i="130"/>
  <c r="H293" i="130"/>
  <c r="D309" i="130"/>
  <c r="D304" i="130"/>
  <c r="D300" i="130"/>
  <c r="D296" i="130"/>
  <c r="D307" i="130"/>
  <c r="D303" i="130"/>
  <c r="D299" i="130"/>
  <c r="D295" i="130"/>
  <c r="D306" i="130"/>
  <c r="D302" i="130"/>
  <c r="D298" i="130"/>
  <c r="D294" i="130"/>
  <c r="D310" i="130"/>
  <c r="G310" i="130" s="1"/>
  <c r="D305" i="130"/>
  <c r="D301" i="130"/>
  <c r="D297" i="130"/>
  <c r="D293" i="130"/>
  <c r="H337" i="130"/>
  <c r="D350" i="130"/>
  <c r="D346" i="130"/>
  <c r="D342" i="130"/>
  <c r="D338" i="130"/>
  <c r="D354" i="130"/>
  <c r="D349" i="130"/>
  <c r="D345" i="130"/>
  <c r="D341" i="130"/>
  <c r="D337" i="130"/>
  <c r="D353" i="130"/>
  <c r="D348" i="130"/>
  <c r="D344" i="130"/>
  <c r="D340" i="130"/>
  <c r="D351" i="130"/>
  <c r="D347" i="130"/>
  <c r="D343" i="130"/>
  <c r="D339" i="130"/>
  <c r="H381" i="130"/>
  <c r="D397" i="130"/>
  <c r="D392" i="130"/>
  <c r="D388" i="130"/>
  <c r="D384" i="130"/>
  <c r="D395" i="130"/>
  <c r="D391" i="130"/>
  <c r="D387" i="130"/>
  <c r="D383" i="130"/>
  <c r="D394" i="130"/>
  <c r="D390" i="130"/>
  <c r="D386" i="130"/>
  <c r="D382" i="130"/>
  <c r="D398" i="130"/>
  <c r="G398" i="130" s="1"/>
  <c r="D393" i="130"/>
  <c r="D389" i="130"/>
  <c r="D385" i="130"/>
  <c r="D381" i="130"/>
  <c r="H425" i="130"/>
  <c r="D438" i="130"/>
  <c r="D434" i="130"/>
  <c r="D430" i="130"/>
  <c r="D426" i="130"/>
  <c r="D442" i="130"/>
  <c r="G442" i="130" s="1"/>
  <c r="D437" i="130"/>
  <c r="D433" i="130"/>
  <c r="D429" i="130"/>
  <c r="D425" i="130"/>
  <c r="D441" i="130"/>
  <c r="D436" i="130"/>
  <c r="D432" i="130"/>
  <c r="D428" i="130"/>
  <c r="D439" i="130"/>
  <c r="D435" i="130"/>
  <c r="D431" i="130"/>
  <c r="D427" i="130"/>
  <c r="H7" i="131"/>
  <c r="D23" i="131"/>
  <c r="D18" i="131"/>
  <c r="D14" i="131"/>
  <c r="D10" i="131"/>
  <c r="D21" i="131"/>
  <c r="D17" i="131"/>
  <c r="D13" i="131"/>
  <c r="D9" i="131"/>
  <c r="D20" i="131"/>
  <c r="D16" i="131"/>
  <c r="D12" i="131"/>
  <c r="D8" i="131"/>
  <c r="D24" i="131"/>
  <c r="G24" i="131" s="1"/>
  <c r="D19" i="131"/>
  <c r="D15" i="131"/>
  <c r="D11" i="131"/>
  <c r="D7" i="131"/>
  <c r="H51" i="131"/>
  <c r="D64" i="131"/>
  <c r="D60" i="131"/>
  <c r="D56" i="131"/>
  <c r="D52" i="131"/>
  <c r="D68" i="131"/>
  <c r="D63" i="131"/>
  <c r="D59" i="131"/>
  <c r="D55" i="131"/>
  <c r="D51" i="131"/>
  <c r="D67" i="131"/>
  <c r="D62" i="131"/>
  <c r="D58" i="131"/>
  <c r="D54" i="131"/>
  <c r="D65" i="131"/>
  <c r="D61" i="131"/>
  <c r="D57" i="131"/>
  <c r="D53" i="131"/>
  <c r="H95" i="131"/>
  <c r="D111" i="131"/>
  <c r="D106" i="131"/>
  <c r="D102" i="131"/>
  <c r="D98" i="131"/>
  <c r="D109" i="131"/>
  <c r="D105" i="131"/>
  <c r="D101" i="131"/>
  <c r="D97" i="131"/>
  <c r="D108" i="131"/>
  <c r="D104" i="131"/>
  <c r="D100" i="131"/>
  <c r="D96" i="131"/>
  <c r="D112" i="131"/>
  <c r="G112" i="131" s="1"/>
  <c r="D107" i="131"/>
  <c r="D103" i="131"/>
  <c r="D99" i="131"/>
  <c r="D95" i="131"/>
  <c r="H139" i="131"/>
  <c r="D152" i="131"/>
  <c r="D148" i="131"/>
  <c r="D144" i="131"/>
  <c r="D140" i="131"/>
  <c r="D156" i="131"/>
  <c r="G156" i="131" s="1"/>
  <c r="D151" i="131"/>
  <c r="D147" i="131"/>
  <c r="D143" i="131"/>
  <c r="D139" i="131"/>
  <c r="D155" i="131"/>
  <c r="D150" i="131"/>
  <c r="D146" i="131"/>
  <c r="D142" i="131"/>
  <c r="D153" i="131"/>
  <c r="D149" i="131"/>
  <c r="D145" i="131"/>
  <c r="D141" i="131"/>
  <c r="H183" i="131"/>
  <c r="D199" i="131"/>
  <c r="D194" i="131"/>
  <c r="D190" i="131"/>
  <c r="D186" i="131"/>
  <c r="D197" i="131"/>
  <c r="D193" i="131"/>
  <c r="D189" i="131"/>
  <c r="D185" i="131"/>
  <c r="D196" i="131"/>
  <c r="D192" i="131"/>
  <c r="D188" i="131"/>
  <c r="D184" i="131"/>
  <c r="D200" i="131"/>
  <c r="G200" i="131" s="1"/>
  <c r="D195" i="131"/>
  <c r="D191" i="131"/>
  <c r="D187" i="131"/>
  <c r="D183" i="131"/>
  <c r="H227" i="131"/>
  <c r="D244" i="131"/>
  <c r="G244" i="131" s="1"/>
  <c r="D239" i="131"/>
  <c r="D243" i="131"/>
  <c r="D238" i="131"/>
  <c r="D241" i="131"/>
  <c r="D237" i="131"/>
  <c r="D240" i="131"/>
  <c r="D236" i="131"/>
  <c r="D232" i="131"/>
  <c r="D228" i="131"/>
  <c r="D235" i="131"/>
  <c r="D231" i="131"/>
  <c r="D227" i="131"/>
  <c r="D234" i="131"/>
  <c r="D230" i="131"/>
  <c r="D233" i="131"/>
  <c r="D229" i="131"/>
  <c r="H271" i="131"/>
  <c r="D285" i="131"/>
  <c r="D281" i="131"/>
  <c r="D277" i="131"/>
  <c r="D273" i="131"/>
  <c r="D284" i="131"/>
  <c r="D280" i="131"/>
  <c r="D276" i="131"/>
  <c r="D272" i="131"/>
  <c r="D288" i="131"/>
  <c r="G288" i="131" s="1"/>
  <c r="D283" i="131"/>
  <c r="D279" i="131"/>
  <c r="D275" i="131"/>
  <c r="D271" i="131"/>
  <c r="D287" i="131"/>
  <c r="D282" i="131"/>
  <c r="D278" i="131"/>
  <c r="D274" i="131"/>
  <c r="H315" i="131"/>
  <c r="D332" i="131"/>
  <c r="G332" i="131" s="1"/>
  <c r="D327" i="131"/>
  <c r="D323" i="131"/>
  <c r="D319" i="131"/>
  <c r="D315" i="131"/>
  <c r="D331" i="131"/>
  <c r="D326" i="131"/>
  <c r="D322" i="131"/>
  <c r="D318" i="131"/>
  <c r="D329" i="131"/>
  <c r="D325" i="131"/>
  <c r="D321" i="131"/>
  <c r="D317" i="131"/>
  <c r="D328" i="131"/>
  <c r="D324" i="131"/>
  <c r="D320" i="131"/>
  <c r="D316" i="131"/>
  <c r="H7" i="132"/>
  <c r="D21" i="132"/>
  <c r="D17" i="132"/>
  <c r="D13" i="132"/>
  <c r="D9" i="132"/>
  <c r="D20" i="132"/>
  <c r="D16" i="132"/>
  <c r="D12" i="132"/>
  <c r="D8" i="132"/>
  <c r="D24" i="132"/>
  <c r="G24" i="132" s="1"/>
  <c r="D19" i="132"/>
  <c r="D15" i="132"/>
  <c r="D11" i="132"/>
  <c r="D7" i="132"/>
  <c r="D23" i="132"/>
  <c r="D18" i="132"/>
  <c r="D14" i="132"/>
  <c r="D10" i="132"/>
  <c r="H51" i="132"/>
  <c r="D68" i="132"/>
  <c r="G68" i="132" s="1"/>
  <c r="D63" i="132"/>
  <c r="D59" i="132"/>
  <c r="D55" i="132"/>
  <c r="D51" i="132"/>
  <c r="D67" i="132"/>
  <c r="D62" i="132"/>
  <c r="D58" i="132"/>
  <c r="D54" i="132"/>
  <c r="D65" i="132"/>
  <c r="D61" i="132"/>
  <c r="D57" i="132"/>
  <c r="D53" i="132"/>
  <c r="D64" i="132"/>
  <c r="D60" i="132"/>
  <c r="D56" i="132"/>
  <c r="D52" i="132"/>
  <c r="H95" i="132"/>
  <c r="D109" i="132"/>
  <c r="D105" i="132"/>
  <c r="D101" i="132"/>
  <c r="D97" i="132"/>
  <c r="D108" i="132"/>
  <c r="D104" i="132"/>
  <c r="D100" i="132"/>
  <c r="D96" i="132"/>
  <c r="D112" i="132"/>
  <c r="G112" i="132" s="1"/>
  <c r="D107" i="132"/>
  <c r="D103" i="132"/>
  <c r="D99" i="132"/>
  <c r="D95" i="132"/>
  <c r="D111" i="132"/>
  <c r="D106" i="132"/>
  <c r="D102" i="132"/>
  <c r="D98" i="132"/>
  <c r="H139" i="132"/>
  <c r="D156" i="132"/>
  <c r="G156" i="132" s="1"/>
  <c r="D151" i="132"/>
  <c r="D147" i="132"/>
  <c r="D143" i="132"/>
  <c r="D139" i="132"/>
  <c r="D155" i="132"/>
  <c r="D150" i="132"/>
  <c r="D146" i="132"/>
  <c r="D142" i="132"/>
  <c r="D153" i="132"/>
  <c r="D149" i="132"/>
  <c r="D145" i="132"/>
  <c r="D141" i="132"/>
  <c r="D152" i="132"/>
  <c r="D148" i="132"/>
  <c r="D144" i="132"/>
  <c r="D140" i="132"/>
  <c r="H183" i="132"/>
  <c r="D197" i="132"/>
  <c r="D193" i="132"/>
  <c r="D189" i="132"/>
  <c r="D185" i="132"/>
  <c r="D196" i="132"/>
  <c r="D192" i="132"/>
  <c r="D188" i="132"/>
  <c r="D184" i="132"/>
  <c r="D200" i="132"/>
  <c r="G200" i="132" s="1"/>
  <c r="D195" i="132"/>
  <c r="D191" i="132"/>
  <c r="D187" i="132"/>
  <c r="D183" i="132"/>
  <c r="D199" i="132"/>
  <c r="D194" i="132"/>
  <c r="D190" i="132"/>
  <c r="D186" i="132"/>
  <c r="H7" i="133"/>
  <c r="D24" i="133"/>
  <c r="G24" i="133" s="1"/>
  <c r="D19" i="133"/>
  <c r="D15" i="133"/>
  <c r="D11" i="133"/>
  <c r="D7" i="133"/>
  <c r="D23" i="133"/>
  <c r="D18" i="133"/>
  <c r="D14" i="133"/>
  <c r="D10" i="133"/>
  <c r="D21" i="133"/>
  <c r="D17" i="133"/>
  <c r="D13" i="133"/>
  <c r="D9" i="133"/>
  <c r="D20" i="133"/>
  <c r="D16" i="133"/>
  <c r="D12" i="133"/>
  <c r="D8" i="133"/>
  <c r="H51" i="133"/>
  <c r="D65" i="133"/>
  <c r="D61" i="133"/>
  <c r="D57" i="133"/>
  <c r="D53" i="133"/>
  <c r="D64" i="133"/>
  <c r="D60" i="133"/>
  <c r="D56" i="133"/>
  <c r="D52" i="133"/>
  <c r="D68" i="133"/>
  <c r="G68" i="133" s="1"/>
  <c r="D63" i="133"/>
  <c r="D59" i="133"/>
  <c r="D55" i="133"/>
  <c r="D51" i="133"/>
  <c r="D67" i="133"/>
  <c r="D62" i="133"/>
  <c r="D58" i="133"/>
  <c r="D54" i="133"/>
  <c r="H95" i="133"/>
  <c r="D112" i="133"/>
  <c r="G112" i="133" s="1"/>
  <c r="D107" i="133"/>
  <c r="D103" i="133"/>
  <c r="D99" i="133"/>
  <c r="D95" i="133"/>
  <c r="D111" i="133"/>
  <c r="D106" i="133"/>
  <c r="D102" i="133"/>
  <c r="D98" i="133"/>
  <c r="D109" i="133"/>
  <c r="D105" i="133"/>
  <c r="D101" i="133"/>
  <c r="D97" i="133"/>
  <c r="D108" i="133"/>
  <c r="D104" i="133"/>
  <c r="D100" i="133"/>
  <c r="D96" i="133"/>
  <c r="H139" i="133"/>
  <c r="D153" i="133"/>
  <c r="D149" i="133"/>
  <c r="D145" i="133"/>
  <c r="D141" i="133"/>
  <c r="D152" i="133"/>
  <c r="D148" i="133"/>
  <c r="D144" i="133"/>
  <c r="D140" i="133"/>
  <c r="D156" i="133"/>
  <c r="G156" i="133" s="1"/>
  <c r="D151" i="133"/>
  <c r="D147" i="133"/>
  <c r="D143" i="133"/>
  <c r="D139" i="133"/>
  <c r="D155" i="133"/>
  <c r="D150" i="133"/>
  <c r="D146" i="133"/>
  <c r="D142" i="133"/>
  <c r="H183" i="133"/>
  <c r="D200" i="133"/>
  <c r="G200" i="133" s="1"/>
  <c r="D195" i="133"/>
  <c r="D191" i="133"/>
  <c r="D187" i="133"/>
  <c r="D183" i="133"/>
  <c r="D199" i="133"/>
  <c r="D194" i="133"/>
  <c r="D190" i="133"/>
  <c r="D186" i="133"/>
  <c r="D197" i="133"/>
  <c r="D193" i="133"/>
  <c r="D189" i="133"/>
  <c r="D185" i="133"/>
  <c r="D196" i="133"/>
  <c r="D192" i="133"/>
  <c r="D188" i="133"/>
  <c r="D184" i="133"/>
  <c r="H227" i="133"/>
  <c r="D241" i="133"/>
  <c r="D237" i="133"/>
  <c r="D233" i="133"/>
  <c r="D229" i="133"/>
  <c r="D240" i="133"/>
  <c r="D236" i="133"/>
  <c r="D232" i="133"/>
  <c r="D228" i="133"/>
  <c r="D244" i="133"/>
  <c r="G244" i="133" s="1"/>
  <c r="D239" i="133"/>
  <c r="D235" i="133"/>
  <c r="D231" i="133"/>
  <c r="D227" i="133"/>
  <c r="D243" i="133"/>
  <c r="D238" i="133"/>
  <c r="D234" i="133"/>
  <c r="D230" i="133"/>
  <c r="H271" i="133"/>
  <c r="D288" i="133"/>
  <c r="G288" i="133" s="1"/>
  <c r="D283" i="133"/>
  <c r="D279" i="133"/>
  <c r="D275" i="133"/>
  <c r="D271" i="133"/>
  <c r="D287" i="133"/>
  <c r="D282" i="133"/>
  <c r="D278" i="133"/>
  <c r="D274" i="133"/>
  <c r="D285" i="133"/>
  <c r="D281" i="133"/>
  <c r="D277" i="133"/>
  <c r="D273" i="133"/>
  <c r="D284" i="133"/>
  <c r="D280" i="133"/>
  <c r="D276" i="133"/>
  <c r="D272" i="133"/>
  <c r="H117" i="120"/>
  <c r="D134" i="120"/>
  <c r="G134" i="120" s="1"/>
  <c r="D129" i="120"/>
  <c r="D125" i="120"/>
  <c r="D121" i="120"/>
  <c r="D117" i="120"/>
  <c r="D133" i="120"/>
  <c r="D128" i="120"/>
  <c r="D124" i="120"/>
  <c r="D120" i="120"/>
  <c r="D131" i="120"/>
  <c r="D127" i="120"/>
  <c r="D123" i="120"/>
  <c r="D119" i="120"/>
  <c r="D130" i="120"/>
  <c r="D126" i="120"/>
  <c r="D122" i="120"/>
  <c r="D118" i="120"/>
  <c r="D596" i="129"/>
  <c r="D591" i="129"/>
  <c r="D587" i="129"/>
  <c r="D583" i="129"/>
  <c r="D579" i="129"/>
  <c r="D595" i="129"/>
  <c r="D590" i="129"/>
  <c r="D586" i="129"/>
  <c r="D582" i="129"/>
  <c r="H579" i="129"/>
  <c r="D593" i="129"/>
  <c r="D589" i="129"/>
  <c r="D585" i="129"/>
  <c r="D581" i="129"/>
  <c r="D592" i="129"/>
  <c r="D588" i="129"/>
  <c r="D584" i="129"/>
  <c r="D580" i="129"/>
  <c r="G17" i="134"/>
  <c r="E42" i="126"/>
  <c r="E40" i="126"/>
  <c r="E37" i="126"/>
  <c r="E35" i="126"/>
  <c r="E33" i="126"/>
  <c r="E31" i="126"/>
  <c r="E29" i="126"/>
  <c r="F40" i="126"/>
  <c r="F35" i="126"/>
  <c r="F31" i="126"/>
  <c r="F43" i="126"/>
  <c r="F41" i="126"/>
  <c r="F39" i="126"/>
  <c r="F36" i="126"/>
  <c r="F34" i="126"/>
  <c r="F32" i="126"/>
  <c r="F30" i="126"/>
  <c r="G46" i="126"/>
  <c r="F42" i="126"/>
  <c r="F37" i="126"/>
  <c r="F33" i="126"/>
  <c r="F29" i="126"/>
  <c r="C26" i="126"/>
  <c r="E43" i="126"/>
  <c r="E34" i="126"/>
  <c r="E39" i="126"/>
  <c r="E41" i="126"/>
  <c r="E32" i="126"/>
  <c r="E36" i="126"/>
  <c r="E30" i="126"/>
  <c r="E86" i="126"/>
  <c r="E84" i="126"/>
  <c r="E81" i="126"/>
  <c r="E79" i="126"/>
  <c r="E77" i="126"/>
  <c r="E75" i="126"/>
  <c r="E73" i="126"/>
  <c r="C70" i="126"/>
  <c r="F86" i="126"/>
  <c r="F81" i="126"/>
  <c r="F77" i="126"/>
  <c r="F73" i="126"/>
  <c r="G90" i="126"/>
  <c r="F87" i="126"/>
  <c r="F85" i="126"/>
  <c r="F83" i="126"/>
  <c r="F80" i="126"/>
  <c r="F78" i="126"/>
  <c r="F76" i="126"/>
  <c r="F74" i="126"/>
  <c r="F84" i="126"/>
  <c r="F79" i="126"/>
  <c r="F75" i="126"/>
  <c r="E83" i="126"/>
  <c r="E74" i="126"/>
  <c r="E78" i="126"/>
  <c r="E80" i="126"/>
  <c r="E85" i="126"/>
  <c r="E76" i="126"/>
  <c r="E87" i="126"/>
  <c r="E130" i="126"/>
  <c r="E128" i="126"/>
  <c r="E125" i="126"/>
  <c r="E123" i="126"/>
  <c r="E121" i="126"/>
  <c r="E119" i="126"/>
  <c r="E117" i="126"/>
  <c r="F130" i="126"/>
  <c r="F125" i="126"/>
  <c r="F121" i="126"/>
  <c r="F117" i="126"/>
  <c r="F131" i="126"/>
  <c r="F129" i="126"/>
  <c r="F127" i="126"/>
  <c r="F124" i="126"/>
  <c r="F122" i="126"/>
  <c r="F120" i="126"/>
  <c r="F118" i="126"/>
  <c r="F128" i="126"/>
  <c r="F123" i="126"/>
  <c r="F119" i="126"/>
  <c r="C114" i="126"/>
  <c r="E131" i="126"/>
  <c r="E129" i="126"/>
  <c r="E127" i="126"/>
  <c r="E124" i="126"/>
  <c r="E122" i="126"/>
  <c r="E120" i="126"/>
  <c r="E118" i="126"/>
  <c r="G134" i="126"/>
  <c r="E174" i="126"/>
  <c r="E172" i="126"/>
  <c r="E169" i="126"/>
  <c r="E167" i="126"/>
  <c r="E165" i="126"/>
  <c r="E163" i="126"/>
  <c r="E161" i="126"/>
  <c r="F174" i="126"/>
  <c r="F169" i="126"/>
  <c r="F165" i="126"/>
  <c r="F161" i="126"/>
  <c r="F175" i="126"/>
  <c r="F173" i="126"/>
  <c r="F171" i="126"/>
  <c r="F168" i="126"/>
  <c r="F166" i="126"/>
  <c r="F164" i="126"/>
  <c r="F162" i="126"/>
  <c r="G178" i="126"/>
  <c r="F172" i="126"/>
  <c r="F167" i="126"/>
  <c r="F163" i="126"/>
  <c r="E175" i="126"/>
  <c r="E173" i="126"/>
  <c r="E171" i="126"/>
  <c r="E168" i="126"/>
  <c r="E166" i="126"/>
  <c r="E164" i="126"/>
  <c r="E162" i="126"/>
  <c r="C158" i="126"/>
  <c r="E218" i="126"/>
  <c r="E216" i="126"/>
  <c r="E213" i="126"/>
  <c r="E211" i="126"/>
  <c r="E209" i="126"/>
  <c r="E207" i="126"/>
  <c r="E205" i="126"/>
  <c r="G222" i="126"/>
  <c r="F218" i="126"/>
  <c r="F213" i="126"/>
  <c r="F209" i="126"/>
  <c r="F205" i="126"/>
  <c r="F219" i="126"/>
  <c r="F217" i="126"/>
  <c r="F215" i="126"/>
  <c r="F212" i="126"/>
  <c r="F210" i="126"/>
  <c r="F208" i="126"/>
  <c r="F206" i="126"/>
  <c r="C202" i="126"/>
  <c r="F216" i="126"/>
  <c r="F211" i="126"/>
  <c r="F207" i="126"/>
  <c r="E219" i="126"/>
  <c r="E217" i="126"/>
  <c r="E215" i="126"/>
  <c r="E212" i="126"/>
  <c r="E210" i="126"/>
  <c r="E208" i="126"/>
  <c r="E206" i="126"/>
  <c r="E20" i="126"/>
  <c r="E18" i="126"/>
  <c r="E15" i="126"/>
  <c r="E13" i="126"/>
  <c r="E11" i="126"/>
  <c r="E9" i="126"/>
  <c r="E7" i="126"/>
  <c r="G24" i="126"/>
  <c r="F18" i="126"/>
  <c r="F13" i="126"/>
  <c r="F9" i="126"/>
  <c r="F21" i="126"/>
  <c r="F19" i="126"/>
  <c r="F17" i="126"/>
  <c r="F14" i="126"/>
  <c r="F12" i="126"/>
  <c r="F10" i="126"/>
  <c r="F8" i="126"/>
  <c r="F20" i="126"/>
  <c r="F15" i="126"/>
  <c r="F11" i="126"/>
  <c r="F7" i="126"/>
  <c r="E19" i="126"/>
  <c r="E10" i="126"/>
  <c r="E14" i="126"/>
  <c r="C4" i="126"/>
  <c r="E17" i="126"/>
  <c r="E8" i="126"/>
  <c r="E21" i="126"/>
  <c r="E12" i="126"/>
  <c r="E64" i="126"/>
  <c r="E62" i="126"/>
  <c r="E59" i="126"/>
  <c r="E57" i="126"/>
  <c r="E55" i="126"/>
  <c r="E53" i="126"/>
  <c r="E51" i="126"/>
  <c r="C48" i="126"/>
  <c r="F62" i="126"/>
  <c r="F57" i="126"/>
  <c r="F55" i="126"/>
  <c r="F51" i="126"/>
  <c r="F65" i="126"/>
  <c r="F63" i="126"/>
  <c r="F61" i="126"/>
  <c r="F58" i="126"/>
  <c r="F56" i="126"/>
  <c r="F54" i="126"/>
  <c r="F52" i="126"/>
  <c r="F64" i="126"/>
  <c r="F59" i="126"/>
  <c r="F53" i="126"/>
  <c r="E58" i="126"/>
  <c r="E63" i="126"/>
  <c r="E65" i="126"/>
  <c r="E56" i="126"/>
  <c r="E61" i="126"/>
  <c r="E52" i="126"/>
  <c r="G68" i="126"/>
  <c r="E54" i="126"/>
  <c r="E108" i="126"/>
  <c r="E106" i="126"/>
  <c r="E103" i="126"/>
  <c r="E101" i="126"/>
  <c r="E99" i="126"/>
  <c r="E97" i="126"/>
  <c r="E95" i="126"/>
  <c r="F106" i="126"/>
  <c r="F101" i="126"/>
  <c r="F97" i="126"/>
  <c r="F109" i="126"/>
  <c r="F107" i="126"/>
  <c r="F105" i="126"/>
  <c r="F102" i="126"/>
  <c r="F100" i="126"/>
  <c r="F98" i="126"/>
  <c r="F96" i="126"/>
  <c r="G112" i="126"/>
  <c r="C92" i="126"/>
  <c r="F108" i="126"/>
  <c r="F103" i="126"/>
  <c r="F99" i="126"/>
  <c r="F95" i="126"/>
  <c r="E107" i="126"/>
  <c r="E98" i="126"/>
  <c r="E102" i="126"/>
  <c r="E96" i="126"/>
  <c r="E109" i="126"/>
  <c r="E100" i="126"/>
  <c r="E105" i="126"/>
  <c r="E152" i="126"/>
  <c r="E150" i="126"/>
  <c r="E147" i="126"/>
  <c r="E145" i="126"/>
  <c r="E143" i="126"/>
  <c r="E141" i="126"/>
  <c r="E139" i="126"/>
  <c r="G156" i="126"/>
  <c r="C136" i="126"/>
  <c r="F152" i="126"/>
  <c r="F147" i="126"/>
  <c r="F143" i="126"/>
  <c r="F153" i="126"/>
  <c r="F151" i="126"/>
  <c r="F149" i="126"/>
  <c r="F146" i="126"/>
  <c r="F144" i="126"/>
  <c r="F142" i="126"/>
  <c r="F140" i="126"/>
  <c r="F150" i="126"/>
  <c r="F145" i="126"/>
  <c r="F141" i="126"/>
  <c r="F139" i="126"/>
  <c r="E153" i="126"/>
  <c r="E151" i="126"/>
  <c r="E149" i="126"/>
  <c r="E146" i="126"/>
  <c r="E144" i="126"/>
  <c r="E142" i="126"/>
  <c r="E140" i="126"/>
  <c r="E196" i="126"/>
  <c r="E194" i="126"/>
  <c r="E191" i="126"/>
  <c r="E189" i="126"/>
  <c r="E187" i="126"/>
  <c r="E185" i="126"/>
  <c r="E183" i="126"/>
  <c r="F194" i="126"/>
  <c r="F189" i="126"/>
  <c r="F185" i="126"/>
  <c r="G200" i="126"/>
  <c r="C180" i="126"/>
  <c r="F197" i="126"/>
  <c r="F195" i="126"/>
  <c r="F193" i="126"/>
  <c r="F190" i="126"/>
  <c r="F188" i="126"/>
  <c r="F186" i="126"/>
  <c r="F184" i="126"/>
  <c r="F196" i="126"/>
  <c r="F191" i="126"/>
  <c r="F187" i="126"/>
  <c r="F183" i="126"/>
  <c r="E197" i="126"/>
  <c r="E195" i="126"/>
  <c r="E193" i="126"/>
  <c r="E190" i="126"/>
  <c r="E188" i="126"/>
  <c r="E186" i="126"/>
  <c r="E184" i="126"/>
  <c r="E240" i="126"/>
  <c r="E238" i="126"/>
  <c r="E235" i="126"/>
  <c r="E233" i="126"/>
  <c r="E231" i="126"/>
  <c r="E229" i="126"/>
  <c r="E227" i="126"/>
  <c r="F240" i="126"/>
  <c r="F233" i="126"/>
  <c r="F229" i="126"/>
  <c r="F241" i="126"/>
  <c r="F239" i="126"/>
  <c r="F237" i="126"/>
  <c r="F234" i="126"/>
  <c r="F232" i="126"/>
  <c r="F230" i="126"/>
  <c r="F228" i="126"/>
  <c r="F238" i="126"/>
  <c r="F235" i="126"/>
  <c r="F231" i="126"/>
  <c r="F227" i="126"/>
  <c r="E239" i="126"/>
  <c r="E237" i="126"/>
  <c r="E234" i="126"/>
  <c r="E232" i="126"/>
  <c r="E230" i="126"/>
  <c r="E228" i="126"/>
  <c r="E241" i="126"/>
  <c r="C224" i="126"/>
  <c r="G244" i="126"/>
  <c r="E20" i="127"/>
  <c r="E18" i="127"/>
  <c r="E15" i="127"/>
  <c r="E13" i="127"/>
  <c r="E11" i="127"/>
  <c r="E9" i="127"/>
  <c r="E7" i="127"/>
  <c r="G24" i="127"/>
  <c r="C4" i="127"/>
  <c r="F21" i="127"/>
  <c r="F19" i="127"/>
  <c r="F17" i="127"/>
  <c r="F14" i="127"/>
  <c r="F12" i="127"/>
  <c r="F10" i="127"/>
  <c r="F8" i="127"/>
  <c r="F20" i="127"/>
  <c r="F15" i="127"/>
  <c r="F11" i="127"/>
  <c r="F7" i="127"/>
  <c r="F18" i="127"/>
  <c r="F9" i="127"/>
  <c r="E19" i="127"/>
  <c r="E10" i="127"/>
  <c r="E21" i="127"/>
  <c r="E17" i="127"/>
  <c r="E12" i="127"/>
  <c r="E8" i="127"/>
  <c r="F13" i="127"/>
  <c r="E14" i="127"/>
  <c r="E64" i="127"/>
  <c r="E62" i="127"/>
  <c r="E59" i="127"/>
  <c r="E57" i="127"/>
  <c r="E55" i="127"/>
  <c r="E53" i="127"/>
  <c r="E51" i="127"/>
  <c r="F65" i="127"/>
  <c r="F63" i="127"/>
  <c r="F61" i="127"/>
  <c r="F58" i="127"/>
  <c r="F56" i="127"/>
  <c r="F54" i="127"/>
  <c r="F52" i="127"/>
  <c r="G68" i="127"/>
  <c r="C48" i="127"/>
  <c r="F64" i="127"/>
  <c r="F59" i="127"/>
  <c r="F55" i="127"/>
  <c r="F51" i="127"/>
  <c r="F62" i="127"/>
  <c r="F53" i="127"/>
  <c r="E63" i="127"/>
  <c r="E54" i="127"/>
  <c r="E65" i="127"/>
  <c r="E61" i="127"/>
  <c r="E56" i="127"/>
  <c r="E52" i="127"/>
  <c r="F57" i="127"/>
  <c r="E58" i="127"/>
  <c r="E108" i="127"/>
  <c r="E106" i="127"/>
  <c r="E103" i="127"/>
  <c r="E101" i="127"/>
  <c r="E99" i="127"/>
  <c r="E97" i="127"/>
  <c r="E95" i="127"/>
  <c r="G112" i="127"/>
  <c r="C92" i="127"/>
  <c r="F109" i="127"/>
  <c r="F107" i="127"/>
  <c r="F105" i="127"/>
  <c r="F102" i="127"/>
  <c r="F100" i="127"/>
  <c r="F98" i="127"/>
  <c r="F96" i="127"/>
  <c r="F108" i="127"/>
  <c r="F103" i="127"/>
  <c r="F99" i="127"/>
  <c r="F95" i="127"/>
  <c r="F106" i="127"/>
  <c r="E102" i="127"/>
  <c r="E109" i="127"/>
  <c r="E105" i="127"/>
  <c r="E100" i="127"/>
  <c r="E96" i="127"/>
  <c r="F101" i="127"/>
  <c r="F97" i="127"/>
  <c r="E107" i="127"/>
  <c r="E98" i="127"/>
  <c r="E152" i="127"/>
  <c r="E150" i="127"/>
  <c r="E147" i="127"/>
  <c r="E145" i="127"/>
  <c r="E143" i="127"/>
  <c r="E141" i="127"/>
  <c r="E139" i="127"/>
  <c r="F153" i="127"/>
  <c r="F151" i="127"/>
  <c r="F149" i="127"/>
  <c r="F146" i="127"/>
  <c r="F144" i="127"/>
  <c r="F142" i="127"/>
  <c r="F140" i="127"/>
  <c r="G156" i="127"/>
  <c r="C136" i="127"/>
  <c r="F152" i="127"/>
  <c r="F147" i="127"/>
  <c r="F143" i="127"/>
  <c r="F139" i="127"/>
  <c r="F145" i="127"/>
  <c r="E151" i="127"/>
  <c r="E142" i="127"/>
  <c r="E153" i="127"/>
  <c r="E149" i="127"/>
  <c r="E144" i="127"/>
  <c r="E140" i="127"/>
  <c r="F150" i="127"/>
  <c r="F141" i="127"/>
  <c r="E146" i="127"/>
  <c r="E196" i="127"/>
  <c r="E194" i="127"/>
  <c r="E191" i="127"/>
  <c r="E189" i="127"/>
  <c r="E187" i="127"/>
  <c r="E185" i="127"/>
  <c r="E183" i="127"/>
  <c r="F197" i="127"/>
  <c r="F195" i="127"/>
  <c r="F193" i="127"/>
  <c r="F190" i="127"/>
  <c r="F188" i="127"/>
  <c r="F186" i="127"/>
  <c r="F184" i="127"/>
  <c r="F196" i="127"/>
  <c r="F191" i="127"/>
  <c r="F187" i="127"/>
  <c r="F183" i="127"/>
  <c r="F194" i="127"/>
  <c r="F185" i="127"/>
  <c r="E190" i="127"/>
  <c r="E197" i="127"/>
  <c r="E193" i="127"/>
  <c r="E188" i="127"/>
  <c r="E184" i="127"/>
  <c r="C180" i="127"/>
  <c r="F189" i="127"/>
  <c r="E195" i="127"/>
  <c r="E186" i="127"/>
  <c r="G200" i="127"/>
  <c r="E240" i="127"/>
  <c r="E238" i="127"/>
  <c r="E235" i="127"/>
  <c r="E233" i="127"/>
  <c r="E231" i="127"/>
  <c r="E229" i="127"/>
  <c r="E227" i="127"/>
  <c r="F241" i="127"/>
  <c r="F239" i="127"/>
  <c r="F237" i="127"/>
  <c r="F234" i="127"/>
  <c r="F232" i="127"/>
  <c r="F230" i="127"/>
  <c r="F228" i="127"/>
  <c r="G244" i="127"/>
  <c r="C224" i="127"/>
  <c r="F240" i="127"/>
  <c r="F235" i="127"/>
  <c r="F231" i="127"/>
  <c r="F227" i="127"/>
  <c r="F233" i="127"/>
  <c r="E239" i="127"/>
  <c r="E230" i="127"/>
  <c r="E241" i="127"/>
  <c r="E237" i="127"/>
  <c r="E232" i="127"/>
  <c r="E228" i="127"/>
  <c r="F238" i="127"/>
  <c r="F229" i="127"/>
  <c r="E234" i="127"/>
  <c r="E284" i="127"/>
  <c r="E282" i="127"/>
  <c r="E279" i="127"/>
  <c r="E277" i="127"/>
  <c r="E275" i="127"/>
  <c r="E273" i="127"/>
  <c r="E271" i="127"/>
  <c r="G288" i="127"/>
  <c r="C268" i="127"/>
  <c r="F285" i="127"/>
  <c r="F283" i="127"/>
  <c r="F281" i="127"/>
  <c r="F278" i="127"/>
  <c r="F276" i="127"/>
  <c r="F274" i="127"/>
  <c r="F272" i="127"/>
  <c r="F284" i="127"/>
  <c r="F279" i="127"/>
  <c r="F275" i="127"/>
  <c r="F271" i="127"/>
  <c r="F282" i="127"/>
  <c r="F273" i="127"/>
  <c r="E278" i="127"/>
  <c r="E285" i="127"/>
  <c r="E281" i="127"/>
  <c r="E276" i="127"/>
  <c r="E272" i="127"/>
  <c r="F277" i="127"/>
  <c r="E283" i="127"/>
  <c r="E274" i="127"/>
  <c r="E328" i="127"/>
  <c r="E326" i="127"/>
  <c r="E323" i="127"/>
  <c r="E321" i="127"/>
  <c r="E319" i="127"/>
  <c r="E317" i="127"/>
  <c r="E315" i="127"/>
  <c r="F329" i="127"/>
  <c r="F327" i="127"/>
  <c r="F325" i="127"/>
  <c r="F322" i="127"/>
  <c r="F320" i="127"/>
  <c r="F318" i="127"/>
  <c r="F316" i="127"/>
  <c r="F328" i="127"/>
  <c r="F323" i="127"/>
  <c r="F319" i="127"/>
  <c r="F315" i="127"/>
  <c r="C312" i="127"/>
  <c r="F321" i="127"/>
  <c r="E322" i="127"/>
  <c r="E318" i="127"/>
  <c r="E329" i="127"/>
  <c r="E325" i="127"/>
  <c r="E320" i="127"/>
  <c r="E316" i="127"/>
  <c r="F326" i="127"/>
  <c r="F317" i="127"/>
  <c r="G332" i="127"/>
  <c r="E327" i="127"/>
  <c r="E372" i="127"/>
  <c r="E370" i="127"/>
  <c r="E367" i="127"/>
  <c r="E365" i="127"/>
  <c r="E363" i="127"/>
  <c r="E361" i="127"/>
  <c r="E359" i="127"/>
  <c r="F373" i="127"/>
  <c r="F371" i="127"/>
  <c r="F369" i="127"/>
  <c r="F366" i="127"/>
  <c r="F364" i="127"/>
  <c r="F362" i="127"/>
  <c r="F360" i="127"/>
  <c r="F372" i="127"/>
  <c r="F367" i="127"/>
  <c r="F363" i="127"/>
  <c r="F359" i="127"/>
  <c r="F370" i="127"/>
  <c r="F361" i="127"/>
  <c r="E366" i="127"/>
  <c r="E362" i="127"/>
  <c r="E373" i="127"/>
  <c r="E369" i="127"/>
  <c r="E364" i="127"/>
  <c r="E360" i="127"/>
  <c r="G376" i="127"/>
  <c r="F365" i="127"/>
  <c r="E371" i="127"/>
  <c r="C356" i="127"/>
  <c r="E416" i="127"/>
  <c r="E414" i="127"/>
  <c r="E411" i="127"/>
  <c r="E409" i="127"/>
  <c r="E407" i="127"/>
  <c r="E405" i="127"/>
  <c r="E403" i="127"/>
  <c r="F414" i="127"/>
  <c r="F409" i="127"/>
  <c r="F417" i="127"/>
  <c r="F415" i="127"/>
  <c r="F413" i="127"/>
  <c r="F410" i="127"/>
  <c r="F408" i="127"/>
  <c r="F406" i="127"/>
  <c r="F404" i="127"/>
  <c r="G420" i="127"/>
  <c r="C400" i="127"/>
  <c r="F416" i="127"/>
  <c r="F411" i="127"/>
  <c r="F407" i="127"/>
  <c r="E417" i="127"/>
  <c r="E408" i="127"/>
  <c r="F403" i="127"/>
  <c r="E413" i="127"/>
  <c r="E406" i="127"/>
  <c r="E410" i="127"/>
  <c r="E404" i="127"/>
  <c r="F405" i="127"/>
  <c r="E415" i="127"/>
  <c r="E42" i="127"/>
  <c r="E40" i="127"/>
  <c r="E37" i="127"/>
  <c r="E35" i="127"/>
  <c r="E33" i="127"/>
  <c r="E31" i="127"/>
  <c r="E29" i="127"/>
  <c r="F43" i="127"/>
  <c r="F41" i="127"/>
  <c r="F39" i="127"/>
  <c r="F36" i="127"/>
  <c r="F34" i="127"/>
  <c r="F32" i="127"/>
  <c r="F30" i="127"/>
  <c r="F40" i="127"/>
  <c r="F35" i="127"/>
  <c r="F31" i="127"/>
  <c r="F37" i="127"/>
  <c r="F33" i="127"/>
  <c r="C26" i="127"/>
  <c r="E39" i="127"/>
  <c r="E30" i="127"/>
  <c r="E41" i="127"/>
  <c r="E36" i="127"/>
  <c r="E32" i="127"/>
  <c r="G46" i="127"/>
  <c r="F42" i="127"/>
  <c r="F29" i="127"/>
  <c r="E43" i="127"/>
  <c r="E34" i="127"/>
  <c r="E86" i="127"/>
  <c r="E84" i="127"/>
  <c r="E81" i="127"/>
  <c r="E79" i="127"/>
  <c r="E77" i="127"/>
  <c r="E75" i="127"/>
  <c r="E73" i="127"/>
  <c r="C70" i="127"/>
  <c r="F87" i="127"/>
  <c r="F85" i="127"/>
  <c r="F83" i="127"/>
  <c r="F80" i="127"/>
  <c r="F78" i="127"/>
  <c r="F76" i="127"/>
  <c r="F74" i="127"/>
  <c r="G90" i="127"/>
  <c r="F84" i="127"/>
  <c r="F79" i="127"/>
  <c r="F75" i="127"/>
  <c r="F86" i="127"/>
  <c r="F77" i="127"/>
  <c r="E87" i="127"/>
  <c r="E78" i="127"/>
  <c r="E85" i="127"/>
  <c r="E80" i="127"/>
  <c r="E76" i="127"/>
  <c r="F81" i="127"/>
  <c r="F73" i="127"/>
  <c r="E83" i="127"/>
  <c r="E74" i="127"/>
  <c r="E130" i="127"/>
  <c r="E128" i="127"/>
  <c r="E125" i="127"/>
  <c r="E123" i="127"/>
  <c r="E121" i="127"/>
  <c r="E119" i="127"/>
  <c r="E117" i="127"/>
  <c r="F131" i="127"/>
  <c r="F129" i="127"/>
  <c r="F127" i="127"/>
  <c r="F124" i="127"/>
  <c r="F122" i="127"/>
  <c r="F120" i="127"/>
  <c r="F118" i="127"/>
  <c r="F128" i="127"/>
  <c r="F123" i="127"/>
  <c r="F119" i="127"/>
  <c r="C114" i="127"/>
  <c r="F130" i="127"/>
  <c r="F121" i="127"/>
  <c r="E127" i="127"/>
  <c r="E118" i="127"/>
  <c r="G134" i="127"/>
  <c r="E129" i="127"/>
  <c r="E124" i="127"/>
  <c r="E120" i="127"/>
  <c r="F125" i="127"/>
  <c r="F117" i="127"/>
  <c r="E131" i="127"/>
  <c r="E122" i="127"/>
  <c r="E174" i="127"/>
  <c r="E172" i="127"/>
  <c r="E169" i="127"/>
  <c r="E167" i="127"/>
  <c r="E165" i="127"/>
  <c r="E163" i="127"/>
  <c r="E161" i="127"/>
  <c r="G178" i="127"/>
  <c r="C158" i="127"/>
  <c r="F175" i="127"/>
  <c r="F173" i="127"/>
  <c r="F171" i="127"/>
  <c r="F168" i="127"/>
  <c r="F166" i="127"/>
  <c r="F164" i="127"/>
  <c r="F162" i="127"/>
  <c r="F172" i="127"/>
  <c r="F167" i="127"/>
  <c r="F163" i="127"/>
  <c r="F169" i="127"/>
  <c r="F161" i="127"/>
  <c r="E175" i="127"/>
  <c r="E166" i="127"/>
  <c r="E173" i="127"/>
  <c r="E168" i="127"/>
  <c r="E164" i="127"/>
  <c r="F174" i="127"/>
  <c r="F165" i="127"/>
  <c r="E171" i="127"/>
  <c r="E162" i="127"/>
  <c r="E218" i="127"/>
  <c r="E216" i="127"/>
  <c r="E213" i="127"/>
  <c r="E211" i="127"/>
  <c r="E209" i="127"/>
  <c r="E207" i="127"/>
  <c r="E205" i="127"/>
  <c r="C202" i="127"/>
  <c r="F219" i="127"/>
  <c r="F217" i="127"/>
  <c r="F215" i="127"/>
  <c r="F212" i="127"/>
  <c r="F210" i="127"/>
  <c r="F208" i="127"/>
  <c r="F206" i="127"/>
  <c r="F216" i="127"/>
  <c r="F211" i="127"/>
  <c r="F207" i="127"/>
  <c r="F218" i="127"/>
  <c r="F209" i="127"/>
  <c r="G222" i="127"/>
  <c r="E215" i="127"/>
  <c r="E206" i="127"/>
  <c r="E217" i="127"/>
  <c r="E212" i="127"/>
  <c r="E208" i="127"/>
  <c r="F213" i="127"/>
  <c r="F205" i="127"/>
  <c r="E219" i="127"/>
  <c r="E210" i="127"/>
  <c r="E262" i="127"/>
  <c r="E260" i="127"/>
  <c r="E257" i="127"/>
  <c r="E255" i="127"/>
  <c r="E253" i="127"/>
  <c r="E251" i="127"/>
  <c r="E249" i="127"/>
  <c r="F263" i="127"/>
  <c r="F261" i="127"/>
  <c r="F259" i="127"/>
  <c r="F256" i="127"/>
  <c r="F254" i="127"/>
  <c r="F252" i="127"/>
  <c r="F250" i="127"/>
  <c r="F260" i="127"/>
  <c r="F255" i="127"/>
  <c r="F251" i="127"/>
  <c r="F257" i="127"/>
  <c r="F249" i="127"/>
  <c r="C246" i="127"/>
  <c r="E263" i="127"/>
  <c r="E254" i="127"/>
  <c r="E261" i="127"/>
  <c r="E256" i="127"/>
  <c r="E252" i="127"/>
  <c r="G266" i="127"/>
  <c r="F262" i="127"/>
  <c r="F253" i="127"/>
  <c r="E259" i="127"/>
  <c r="E250" i="127"/>
  <c r="E306" i="127"/>
  <c r="E304" i="127"/>
  <c r="E301" i="127"/>
  <c r="E299" i="127"/>
  <c r="E297" i="127"/>
  <c r="E295" i="127"/>
  <c r="E293" i="127"/>
  <c r="F307" i="127"/>
  <c r="F305" i="127"/>
  <c r="F303" i="127"/>
  <c r="F300" i="127"/>
  <c r="F298" i="127"/>
  <c r="F296" i="127"/>
  <c r="F294" i="127"/>
  <c r="G310" i="127"/>
  <c r="F304" i="127"/>
  <c r="F299" i="127"/>
  <c r="F295" i="127"/>
  <c r="F306" i="127"/>
  <c r="F297" i="127"/>
  <c r="E303" i="127"/>
  <c r="E294" i="127"/>
  <c r="E305" i="127"/>
  <c r="E300" i="127"/>
  <c r="E296" i="127"/>
  <c r="C290" i="127"/>
  <c r="F301" i="127"/>
  <c r="F293" i="127"/>
  <c r="E307" i="127"/>
  <c r="E298" i="127"/>
  <c r="E350" i="127"/>
  <c r="E348" i="127"/>
  <c r="E345" i="127"/>
  <c r="E343" i="127"/>
  <c r="E341" i="127"/>
  <c r="E339" i="127"/>
  <c r="E337" i="127"/>
  <c r="G354" i="127"/>
  <c r="F351" i="127"/>
  <c r="F349" i="127"/>
  <c r="F347" i="127"/>
  <c r="F344" i="127"/>
  <c r="F342" i="127"/>
  <c r="F340" i="127"/>
  <c r="F338" i="127"/>
  <c r="C334" i="127"/>
  <c r="F348" i="127"/>
  <c r="F343" i="127"/>
  <c r="F339" i="127"/>
  <c r="F345" i="127"/>
  <c r="F337" i="127"/>
  <c r="E347" i="127"/>
  <c r="E338" i="127"/>
  <c r="E349" i="127"/>
  <c r="E344" i="127"/>
  <c r="E340" i="127"/>
  <c r="F350" i="127"/>
  <c r="F341" i="127"/>
  <c r="E351" i="127"/>
  <c r="E342" i="127"/>
  <c r="E394" i="127"/>
  <c r="E392" i="127"/>
  <c r="E389" i="127"/>
  <c r="E387" i="127"/>
  <c r="E385" i="127"/>
  <c r="E383" i="127"/>
  <c r="E381" i="127"/>
  <c r="C378" i="127"/>
  <c r="F395" i="127"/>
  <c r="F393" i="127"/>
  <c r="F391" i="127"/>
  <c r="F388" i="127"/>
  <c r="F386" i="127"/>
  <c r="F384" i="127"/>
  <c r="F382" i="127"/>
  <c r="F392" i="127"/>
  <c r="F387" i="127"/>
  <c r="F383" i="127"/>
  <c r="G398" i="127"/>
  <c r="F394" i="127"/>
  <c r="F385" i="127"/>
  <c r="E391" i="127"/>
  <c r="E382" i="127"/>
  <c r="E393" i="127"/>
  <c r="E388" i="127"/>
  <c r="E384" i="127"/>
  <c r="F389" i="127"/>
  <c r="F381" i="127"/>
  <c r="E395" i="127"/>
  <c r="E386" i="127"/>
  <c r="E438" i="127"/>
  <c r="E436" i="127"/>
  <c r="E433" i="127"/>
  <c r="E431" i="127"/>
  <c r="E429" i="127"/>
  <c r="E427" i="127"/>
  <c r="E425" i="127"/>
  <c r="F438" i="127"/>
  <c r="F433" i="127"/>
  <c r="F429" i="127"/>
  <c r="F425" i="127"/>
  <c r="F439" i="127"/>
  <c r="F437" i="127"/>
  <c r="F435" i="127"/>
  <c r="F432" i="127"/>
  <c r="F430" i="127"/>
  <c r="F428" i="127"/>
  <c r="F426" i="127"/>
  <c r="F436" i="127"/>
  <c r="F431" i="127"/>
  <c r="F427" i="127"/>
  <c r="E432" i="127"/>
  <c r="C422" i="127"/>
  <c r="E437" i="127"/>
  <c r="E430" i="127"/>
  <c r="G442" i="127"/>
  <c r="E435" i="127"/>
  <c r="E426" i="127"/>
  <c r="E428" i="127"/>
  <c r="E439" i="127"/>
  <c r="E108" i="128"/>
  <c r="E106" i="128"/>
  <c r="E103" i="128"/>
  <c r="E101" i="128"/>
  <c r="E99" i="128"/>
  <c r="E97" i="128"/>
  <c r="E95" i="128"/>
  <c r="F109" i="128"/>
  <c r="F107" i="128"/>
  <c r="F105" i="128"/>
  <c r="F102" i="128"/>
  <c r="F100" i="128"/>
  <c r="F98" i="128"/>
  <c r="F96" i="128"/>
  <c r="F108" i="128"/>
  <c r="F103" i="128"/>
  <c r="F99" i="128"/>
  <c r="F95" i="128"/>
  <c r="C92" i="128"/>
  <c r="E105" i="128"/>
  <c r="E96" i="128"/>
  <c r="F101" i="128"/>
  <c r="E107" i="128"/>
  <c r="E102" i="128"/>
  <c r="E98" i="128"/>
  <c r="E109" i="128"/>
  <c r="E100" i="128"/>
  <c r="F106" i="128"/>
  <c r="F97" i="128"/>
  <c r="G112" i="128"/>
  <c r="E284" i="128"/>
  <c r="E282" i="128"/>
  <c r="E279" i="128"/>
  <c r="E277" i="128"/>
  <c r="E275" i="128"/>
  <c r="E273" i="128"/>
  <c r="E271" i="128"/>
  <c r="F285" i="128"/>
  <c r="F283" i="128"/>
  <c r="F281" i="128"/>
  <c r="F278" i="128"/>
  <c r="F276" i="128"/>
  <c r="F274" i="128"/>
  <c r="F272" i="128"/>
  <c r="G288" i="128"/>
  <c r="F284" i="128"/>
  <c r="F282" i="128"/>
  <c r="F279" i="128"/>
  <c r="F277" i="128"/>
  <c r="F275" i="128"/>
  <c r="F273" i="128"/>
  <c r="F271" i="128"/>
  <c r="E281" i="128"/>
  <c r="E272" i="128"/>
  <c r="E274" i="128"/>
  <c r="E276" i="128"/>
  <c r="E278" i="128"/>
  <c r="E283" i="128"/>
  <c r="E285" i="128"/>
  <c r="C268" i="128"/>
  <c r="E64" i="128"/>
  <c r="E62" i="128"/>
  <c r="E59" i="128"/>
  <c r="E57" i="128"/>
  <c r="E55" i="128"/>
  <c r="E53" i="128"/>
  <c r="E51" i="128"/>
  <c r="F65" i="128"/>
  <c r="F63" i="128"/>
  <c r="F61" i="128"/>
  <c r="F58" i="128"/>
  <c r="F56" i="128"/>
  <c r="F54" i="128"/>
  <c r="F52" i="128"/>
  <c r="G68" i="128"/>
  <c r="C48" i="128"/>
  <c r="F64" i="128"/>
  <c r="F59" i="128"/>
  <c r="F55" i="128"/>
  <c r="F51" i="128"/>
  <c r="E65" i="128"/>
  <c r="E56" i="128"/>
  <c r="F62" i="128"/>
  <c r="F53" i="128"/>
  <c r="E63" i="128"/>
  <c r="E58" i="128"/>
  <c r="E54" i="128"/>
  <c r="E61" i="128"/>
  <c r="E52" i="128"/>
  <c r="F57" i="128"/>
  <c r="E196" i="128"/>
  <c r="E194" i="128"/>
  <c r="E191" i="128"/>
  <c r="E189" i="128"/>
  <c r="E187" i="128"/>
  <c r="E185" i="128"/>
  <c r="E183" i="128"/>
  <c r="G200" i="128"/>
  <c r="F197" i="128"/>
  <c r="F195" i="128"/>
  <c r="F193" i="128"/>
  <c r="F190" i="128"/>
  <c r="F188" i="128"/>
  <c r="F186" i="128"/>
  <c r="F184" i="128"/>
  <c r="F196" i="128"/>
  <c r="F191" i="128"/>
  <c r="F187" i="128"/>
  <c r="F183" i="128"/>
  <c r="E193" i="128"/>
  <c r="E184" i="128"/>
  <c r="F194" i="128"/>
  <c r="F185" i="128"/>
  <c r="E195" i="128"/>
  <c r="E190" i="128"/>
  <c r="E186" i="128"/>
  <c r="C180" i="128"/>
  <c r="E197" i="128"/>
  <c r="E188" i="128"/>
  <c r="F189" i="128"/>
  <c r="E328" i="128"/>
  <c r="E326" i="128"/>
  <c r="E323" i="128"/>
  <c r="E321" i="128"/>
  <c r="E319" i="128"/>
  <c r="E317" i="128"/>
  <c r="E315" i="128"/>
  <c r="C312" i="128"/>
  <c r="F329" i="128"/>
  <c r="F327" i="128"/>
  <c r="F325" i="128"/>
  <c r="F322" i="128"/>
  <c r="F320" i="128"/>
  <c r="F318" i="128"/>
  <c r="F316" i="128"/>
  <c r="F328" i="128"/>
  <c r="F326" i="128"/>
  <c r="F323" i="128"/>
  <c r="F321" i="128"/>
  <c r="F319" i="128"/>
  <c r="F317" i="128"/>
  <c r="F315" i="128"/>
  <c r="E329" i="128"/>
  <c r="E320" i="128"/>
  <c r="E322" i="128"/>
  <c r="E325" i="128"/>
  <c r="E327" i="128"/>
  <c r="E318" i="128"/>
  <c r="G332" i="128"/>
  <c r="E316" i="128"/>
  <c r="E20" i="128"/>
  <c r="E18" i="128"/>
  <c r="E15" i="128"/>
  <c r="E13" i="128"/>
  <c r="E11" i="128"/>
  <c r="E9" i="128"/>
  <c r="E7" i="128"/>
  <c r="F21" i="128"/>
  <c r="F19" i="128"/>
  <c r="F17" i="128"/>
  <c r="F14" i="128"/>
  <c r="F12" i="128"/>
  <c r="F10" i="128"/>
  <c r="F8" i="128"/>
  <c r="F20" i="128"/>
  <c r="F15" i="128"/>
  <c r="F11" i="128"/>
  <c r="F7" i="128"/>
  <c r="G24" i="128"/>
  <c r="E17" i="128"/>
  <c r="E8" i="128"/>
  <c r="F18" i="128"/>
  <c r="F9" i="128"/>
  <c r="E19" i="128"/>
  <c r="E14" i="128"/>
  <c r="E10" i="128"/>
  <c r="E21" i="128"/>
  <c r="E12" i="128"/>
  <c r="F13" i="128"/>
  <c r="C4" i="128"/>
  <c r="E152" i="128"/>
  <c r="E150" i="128"/>
  <c r="E147" i="128"/>
  <c r="E145" i="128"/>
  <c r="E143" i="128"/>
  <c r="E141" i="128"/>
  <c r="E139" i="128"/>
  <c r="F153" i="128"/>
  <c r="F151" i="128"/>
  <c r="F149" i="128"/>
  <c r="F146" i="128"/>
  <c r="F144" i="128"/>
  <c r="F142" i="128"/>
  <c r="F140" i="128"/>
  <c r="G156" i="128"/>
  <c r="C136" i="128"/>
  <c r="F152" i="128"/>
  <c r="F147" i="128"/>
  <c r="F143" i="128"/>
  <c r="F139" i="128"/>
  <c r="E153" i="128"/>
  <c r="E144" i="128"/>
  <c r="F145" i="128"/>
  <c r="F141" i="128"/>
  <c r="E151" i="128"/>
  <c r="E146" i="128"/>
  <c r="E142" i="128"/>
  <c r="E149" i="128"/>
  <c r="E140" i="128"/>
  <c r="F150" i="128"/>
  <c r="E240" i="128"/>
  <c r="E238" i="128"/>
  <c r="E235" i="128"/>
  <c r="E233" i="128"/>
  <c r="E231" i="128"/>
  <c r="E229" i="128"/>
  <c r="E227" i="128"/>
  <c r="F241" i="128"/>
  <c r="F239" i="128"/>
  <c r="F237" i="128"/>
  <c r="F234" i="128"/>
  <c r="F232" i="128"/>
  <c r="F230" i="128"/>
  <c r="F228" i="128"/>
  <c r="G244" i="128"/>
  <c r="F240" i="128"/>
  <c r="E241" i="128"/>
  <c r="F235" i="128"/>
  <c r="F231" i="128"/>
  <c r="F227" i="128"/>
  <c r="E232" i="128"/>
  <c r="F233" i="128"/>
  <c r="E239" i="128"/>
  <c r="E234" i="128"/>
  <c r="E230" i="128"/>
  <c r="E237" i="128"/>
  <c r="E228" i="128"/>
  <c r="F238" i="128"/>
  <c r="F229" i="128"/>
  <c r="C224" i="128"/>
  <c r="E372" i="128"/>
  <c r="E370" i="128"/>
  <c r="E367" i="128"/>
  <c r="E365" i="128"/>
  <c r="E363" i="128"/>
  <c r="E361" i="128"/>
  <c r="E359" i="128"/>
  <c r="F373" i="128"/>
  <c r="F371" i="128"/>
  <c r="F369" i="128"/>
  <c r="F366" i="128"/>
  <c r="F364" i="128"/>
  <c r="F362" i="128"/>
  <c r="F360" i="128"/>
  <c r="F370" i="128"/>
  <c r="F367" i="128"/>
  <c r="F365" i="128"/>
  <c r="F363" i="128"/>
  <c r="F361" i="128"/>
  <c r="F359" i="128"/>
  <c r="E369" i="128"/>
  <c r="E360" i="128"/>
  <c r="C356" i="128"/>
  <c r="E362" i="128"/>
  <c r="E364" i="128"/>
  <c r="E373" i="128"/>
  <c r="E366" i="128"/>
  <c r="G376" i="128"/>
  <c r="E371" i="128"/>
  <c r="F372" i="128"/>
  <c r="E42" i="128"/>
  <c r="E40" i="128"/>
  <c r="E37" i="128"/>
  <c r="E35" i="128"/>
  <c r="E33" i="128"/>
  <c r="E31" i="128"/>
  <c r="E29" i="128"/>
  <c r="F43" i="128"/>
  <c r="F41" i="128"/>
  <c r="F39" i="128"/>
  <c r="F36" i="128"/>
  <c r="F34" i="128"/>
  <c r="F32" i="128"/>
  <c r="F30" i="128"/>
  <c r="F40" i="128"/>
  <c r="F35" i="128"/>
  <c r="F31" i="128"/>
  <c r="E41" i="128"/>
  <c r="E32" i="128"/>
  <c r="C26" i="128"/>
  <c r="F37" i="128"/>
  <c r="F29" i="128"/>
  <c r="E43" i="128"/>
  <c r="E39" i="128"/>
  <c r="E34" i="128"/>
  <c r="E30" i="128"/>
  <c r="G46" i="128"/>
  <c r="E36" i="128"/>
  <c r="F42" i="128"/>
  <c r="F33" i="128"/>
  <c r="E86" i="128"/>
  <c r="E84" i="128"/>
  <c r="E81" i="128"/>
  <c r="E79" i="128"/>
  <c r="E77" i="128"/>
  <c r="E75" i="128"/>
  <c r="E73" i="128"/>
  <c r="G90" i="128"/>
  <c r="C70" i="128"/>
  <c r="F87" i="128"/>
  <c r="F85" i="128"/>
  <c r="F83" i="128"/>
  <c r="F80" i="128"/>
  <c r="F78" i="128"/>
  <c r="F76" i="128"/>
  <c r="F74" i="128"/>
  <c r="F84" i="128"/>
  <c r="F79" i="128"/>
  <c r="F75" i="128"/>
  <c r="E80" i="128"/>
  <c r="F86" i="128"/>
  <c r="F77" i="128"/>
  <c r="E87" i="128"/>
  <c r="E83" i="128"/>
  <c r="E78" i="128"/>
  <c r="E74" i="128"/>
  <c r="E85" i="128"/>
  <c r="E76" i="128"/>
  <c r="F81" i="128"/>
  <c r="F73" i="128"/>
  <c r="E130" i="128"/>
  <c r="E128" i="128"/>
  <c r="E125" i="128"/>
  <c r="E123" i="128"/>
  <c r="E121" i="128"/>
  <c r="E119" i="128"/>
  <c r="E117" i="128"/>
  <c r="F131" i="128"/>
  <c r="F129" i="128"/>
  <c r="F127" i="128"/>
  <c r="F124" i="128"/>
  <c r="F122" i="128"/>
  <c r="F120" i="128"/>
  <c r="F118" i="128"/>
  <c r="F128" i="128"/>
  <c r="F123" i="128"/>
  <c r="F119" i="128"/>
  <c r="E129" i="128"/>
  <c r="E120" i="128"/>
  <c r="G134" i="128"/>
  <c r="F125" i="128"/>
  <c r="F117" i="128"/>
  <c r="E131" i="128"/>
  <c r="E127" i="128"/>
  <c r="E122" i="128"/>
  <c r="E118" i="128"/>
  <c r="C114" i="128"/>
  <c r="E124" i="128"/>
  <c r="F130" i="128"/>
  <c r="F121" i="128"/>
  <c r="E174" i="128"/>
  <c r="E172" i="128"/>
  <c r="E169" i="128"/>
  <c r="E167" i="128"/>
  <c r="E165" i="128"/>
  <c r="E163" i="128"/>
  <c r="E161" i="128"/>
  <c r="G178" i="128"/>
  <c r="C158" i="128"/>
  <c r="F175" i="128"/>
  <c r="F173" i="128"/>
  <c r="F171" i="128"/>
  <c r="F168" i="128"/>
  <c r="F166" i="128"/>
  <c r="F164" i="128"/>
  <c r="F162" i="128"/>
  <c r="F172" i="128"/>
  <c r="F167" i="128"/>
  <c r="F163" i="128"/>
  <c r="E168" i="128"/>
  <c r="F169" i="128"/>
  <c r="F161" i="128"/>
  <c r="E175" i="128"/>
  <c r="E171" i="128"/>
  <c r="E166" i="128"/>
  <c r="E162" i="128"/>
  <c r="E173" i="128"/>
  <c r="E164" i="128"/>
  <c r="F174" i="128"/>
  <c r="F165" i="128"/>
  <c r="E218" i="128"/>
  <c r="E216" i="128"/>
  <c r="E213" i="128"/>
  <c r="E211" i="128"/>
  <c r="E209" i="128"/>
  <c r="E207" i="128"/>
  <c r="E205" i="128"/>
  <c r="F219" i="128"/>
  <c r="F217" i="128"/>
  <c r="F215" i="128"/>
  <c r="F212" i="128"/>
  <c r="F210" i="128"/>
  <c r="F208" i="128"/>
  <c r="F206" i="128"/>
  <c r="G222" i="128"/>
  <c r="F216" i="128"/>
  <c r="F211" i="128"/>
  <c r="F207" i="128"/>
  <c r="E217" i="128"/>
  <c r="E208" i="128"/>
  <c r="F218" i="128"/>
  <c r="F209" i="128"/>
  <c r="E219" i="128"/>
  <c r="E215" i="128"/>
  <c r="E210" i="128"/>
  <c r="E206" i="128"/>
  <c r="C202" i="128"/>
  <c r="E212" i="128"/>
  <c r="F213" i="128"/>
  <c r="F205" i="128"/>
  <c r="E262" i="128"/>
  <c r="E260" i="128"/>
  <c r="E257" i="128"/>
  <c r="E255" i="128"/>
  <c r="E253" i="128"/>
  <c r="E251" i="128"/>
  <c r="E249" i="128"/>
  <c r="F263" i="128"/>
  <c r="F261" i="128"/>
  <c r="F259" i="128"/>
  <c r="F256" i="128"/>
  <c r="F254" i="128"/>
  <c r="F252" i="128"/>
  <c r="F250" i="128"/>
  <c r="G266" i="128"/>
  <c r="F262" i="128"/>
  <c r="F260" i="128"/>
  <c r="F257" i="128"/>
  <c r="F255" i="128"/>
  <c r="F253" i="128"/>
  <c r="F251" i="128"/>
  <c r="F249" i="128"/>
  <c r="E256" i="128"/>
  <c r="E250" i="128"/>
  <c r="E252" i="128"/>
  <c r="E263" i="128"/>
  <c r="E254" i="128"/>
  <c r="E259" i="128"/>
  <c r="E261" i="128"/>
  <c r="C246" i="128"/>
  <c r="E306" i="128"/>
  <c r="E304" i="128"/>
  <c r="E301" i="128"/>
  <c r="E299" i="128"/>
  <c r="E297" i="128"/>
  <c r="E295" i="128"/>
  <c r="E293" i="128"/>
  <c r="F307" i="128"/>
  <c r="F305" i="128"/>
  <c r="F303" i="128"/>
  <c r="F300" i="128"/>
  <c r="F298" i="128"/>
  <c r="F296" i="128"/>
  <c r="F294" i="128"/>
  <c r="F306" i="128"/>
  <c r="F304" i="128"/>
  <c r="F301" i="128"/>
  <c r="F299" i="128"/>
  <c r="F297" i="128"/>
  <c r="F295" i="128"/>
  <c r="F293" i="128"/>
  <c r="E305" i="128"/>
  <c r="E296" i="128"/>
  <c r="E298" i="128"/>
  <c r="G310" i="128"/>
  <c r="E300" i="128"/>
  <c r="E303" i="128"/>
  <c r="E294" i="128"/>
  <c r="E307" i="128"/>
  <c r="C290" i="128"/>
  <c r="E350" i="128"/>
  <c r="E348" i="128"/>
  <c r="E345" i="128"/>
  <c r="E343" i="128"/>
  <c r="E341" i="128"/>
  <c r="E339" i="128"/>
  <c r="E337" i="128"/>
  <c r="C334" i="128"/>
  <c r="F351" i="128"/>
  <c r="F349" i="128"/>
  <c r="F347" i="128"/>
  <c r="F344" i="128"/>
  <c r="F342" i="128"/>
  <c r="F340" i="128"/>
  <c r="F338" i="128"/>
  <c r="G354" i="128"/>
  <c r="F350" i="128"/>
  <c r="F348" i="128"/>
  <c r="F345" i="128"/>
  <c r="F343" i="128"/>
  <c r="F341" i="128"/>
  <c r="F339" i="128"/>
  <c r="F337" i="128"/>
  <c r="E344" i="128"/>
  <c r="E338" i="128"/>
  <c r="E349" i="128"/>
  <c r="E351" i="128"/>
  <c r="E342" i="128"/>
  <c r="E347" i="128"/>
  <c r="E340" i="128"/>
  <c r="E42" i="129"/>
  <c r="E40" i="129"/>
  <c r="E37" i="129"/>
  <c r="E35" i="129"/>
  <c r="E33" i="129"/>
  <c r="E31" i="129"/>
  <c r="E29" i="129"/>
  <c r="F42" i="129"/>
  <c r="F40" i="129"/>
  <c r="F37" i="129"/>
  <c r="F35" i="129"/>
  <c r="F33" i="129"/>
  <c r="F31" i="129"/>
  <c r="F29" i="129"/>
  <c r="E41" i="129"/>
  <c r="E36" i="129"/>
  <c r="E32" i="129"/>
  <c r="F43" i="129"/>
  <c r="F39" i="129"/>
  <c r="F34" i="129"/>
  <c r="F30" i="129"/>
  <c r="F36" i="129"/>
  <c r="C26" i="129"/>
  <c r="E30" i="129"/>
  <c r="F32" i="129"/>
  <c r="E43" i="129"/>
  <c r="E34" i="129"/>
  <c r="E39" i="129"/>
  <c r="G46" i="129"/>
  <c r="F41" i="129"/>
  <c r="E86" i="129"/>
  <c r="E84" i="129"/>
  <c r="E81" i="129"/>
  <c r="E79" i="129"/>
  <c r="E77" i="129"/>
  <c r="E75" i="129"/>
  <c r="E73" i="129"/>
  <c r="F86" i="129"/>
  <c r="F84" i="129"/>
  <c r="F81" i="129"/>
  <c r="F79" i="129"/>
  <c r="F77" i="129"/>
  <c r="F75" i="129"/>
  <c r="F73" i="129"/>
  <c r="E85" i="129"/>
  <c r="E80" i="129"/>
  <c r="E76" i="129"/>
  <c r="F87" i="129"/>
  <c r="F83" i="129"/>
  <c r="F78" i="129"/>
  <c r="F74" i="129"/>
  <c r="F85" i="129"/>
  <c r="F76" i="129"/>
  <c r="E78" i="129"/>
  <c r="G90" i="129"/>
  <c r="F80" i="129"/>
  <c r="E83" i="129"/>
  <c r="E74" i="129"/>
  <c r="E87" i="129"/>
  <c r="C70" i="129"/>
  <c r="E130" i="129"/>
  <c r="E128" i="129"/>
  <c r="E125" i="129"/>
  <c r="E123" i="129"/>
  <c r="E121" i="129"/>
  <c r="E119" i="129"/>
  <c r="E117" i="129"/>
  <c r="F130" i="129"/>
  <c r="F128" i="129"/>
  <c r="F125" i="129"/>
  <c r="F123" i="129"/>
  <c r="F121" i="129"/>
  <c r="F119" i="129"/>
  <c r="F117" i="129"/>
  <c r="E129" i="129"/>
  <c r="E124" i="129"/>
  <c r="E120" i="129"/>
  <c r="F131" i="129"/>
  <c r="F127" i="129"/>
  <c r="F122" i="129"/>
  <c r="F118" i="129"/>
  <c r="F124" i="129"/>
  <c r="E127" i="129"/>
  <c r="F129" i="129"/>
  <c r="E131" i="129"/>
  <c r="E122" i="129"/>
  <c r="G134" i="129"/>
  <c r="C114" i="129"/>
  <c r="E118" i="129"/>
  <c r="F120" i="129"/>
  <c r="E174" i="129"/>
  <c r="E172" i="129"/>
  <c r="E169" i="129"/>
  <c r="E167" i="129"/>
  <c r="E165" i="129"/>
  <c r="E163" i="129"/>
  <c r="E161" i="129"/>
  <c r="F174" i="129"/>
  <c r="F172" i="129"/>
  <c r="F169" i="129"/>
  <c r="F167" i="129"/>
  <c r="F165" i="129"/>
  <c r="F163" i="129"/>
  <c r="F161" i="129"/>
  <c r="E173" i="129"/>
  <c r="E168" i="129"/>
  <c r="E164" i="129"/>
  <c r="F175" i="129"/>
  <c r="F171" i="129"/>
  <c r="F166" i="129"/>
  <c r="F162" i="129"/>
  <c r="F173" i="129"/>
  <c r="F164" i="129"/>
  <c r="G178" i="129"/>
  <c r="C158" i="129"/>
  <c r="E175" i="129"/>
  <c r="F168" i="129"/>
  <c r="E171" i="129"/>
  <c r="E162" i="129"/>
  <c r="E166" i="129"/>
  <c r="E218" i="129"/>
  <c r="E216" i="129"/>
  <c r="E213" i="129"/>
  <c r="E211" i="129"/>
  <c r="E209" i="129"/>
  <c r="E207" i="129"/>
  <c r="E205" i="129"/>
  <c r="F218" i="129"/>
  <c r="F216" i="129"/>
  <c r="F213" i="129"/>
  <c r="F211" i="129"/>
  <c r="F209" i="129"/>
  <c r="F207" i="129"/>
  <c r="F205" i="129"/>
  <c r="E217" i="129"/>
  <c r="E212" i="129"/>
  <c r="E208" i="129"/>
  <c r="F219" i="129"/>
  <c r="F215" i="129"/>
  <c r="F210" i="129"/>
  <c r="F206" i="129"/>
  <c r="G222" i="129"/>
  <c r="F212" i="129"/>
  <c r="E206" i="129"/>
  <c r="F217" i="129"/>
  <c r="E219" i="129"/>
  <c r="E210" i="129"/>
  <c r="E215" i="129"/>
  <c r="F208" i="129"/>
  <c r="C202" i="129"/>
  <c r="E262" i="129"/>
  <c r="E260" i="129"/>
  <c r="E257" i="129"/>
  <c r="E255" i="129"/>
  <c r="E253" i="129"/>
  <c r="E251" i="129"/>
  <c r="E249" i="129"/>
  <c r="F262" i="129"/>
  <c r="F260" i="129"/>
  <c r="F257" i="129"/>
  <c r="F255" i="129"/>
  <c r="F253" i="129"/>
  <c r="F251" i="129"/>
  <c r="F249" i="129"/>
  <c r="E261" i="129"/>
  <c r="E256" i="129"/>
  <c r="E252" i="129"/>
  <c r="G266" i="129"/>
  <c r="C246" i="129"/>
  <c r="F263" i="129"/>
  <c r="F259" i="129"/>
  <c r="F254" i="129"/>
  <c r="F250" i="129"/>
  <c r="F261" i="129"/>
  <c r="F252" i="129"/>
  <c r="E254" i="129"/>
  <c r="E259" i="129"/>
  <c r="E250" i="129"/>
  <c r="E263" i="129"/>
  <c r="F256" i="129"/>
  <c r="E306" i="129"/>
  <c r="E304" i="129"/>
  <c r="E301" i="129"/>
  <c r="E299" i="129"/>
  <c r="E297" i="129"/>
  <c r="E295" i="129"/>
  <c r="E293" i="129"/>
  <c r="F306" i="129"/>
  <c r="F304" i="129"/>
  <c r="F301" i="129"/>
  <c r="F299" i="129"/>
  <c r="F297" i="129"/>
  <c r="F295" i="129"/>
  <c r="F293" i="129"/>
  <c r="E305" i="129"/>
  <c r="E300" i="129"/>
  <c r="E296" i="129"/>
  <c r="F307" i="129"/>
  <c r="F303" i="129"/>
  <c r="F298" i="129"/>
  <c r="F294" i="129"/>
  <c r="F300" i="129"/>
  <c r="E303" i="129"/>
  <c r="C290" i="129"/>
  <c r="F296" i="129"/>
  <c r="E307" i="129"/>
  <c r="E298" i="129"/>
  <c r="G310" i="129"/>
  <c r="E294" i="129"/>
  <c r="F305" i="129"/>
  <c r="E350" i="129"/>
  <c r="E348" i="129"/>
  <c r="E345" i="129"/>
  <c r="E343" i="129"/>
  <c r="E341" i="129"/>
  <c r="E339" i="129"/>
  <c r="E337" i="129"/>
  <c r="F350" i="129"/>
  <c r="F348" i="129"/>
  <c r="F345" i="129"/>
  <c r="F343" i="129"/>
  <c r="F341" i="129"/>
  <c r="F339" i="129"/>
  <c r="F337" i="129"/>
  <c r="E349" i="129"/>
  <c r="E344" i="129"/>
  <c r="E340" i="129"/>
  <c r="F351" i="129"/>
  <c r="F347" i="129"/>
  <c r="F342" i="129"/>
  <c r="F338" i="129"/>
  <c r="G354" i="129"/>
  <c r="C334" i="129"/>
  <c r="F349" i="129"/>
  <c r="F340" i="129"/>
  <c r="E342" i="129"/>
  <c r="F344" i="129"/>
  <c r="E347" i="129"/>
  <c r="E338" i="129"/>
  <c r="E351" i="129"/>
  <c r="E394" i="129"/>
  <c r="E392" i="129"/>
  <c r="E389" i="129"/>
  <c r="E387" i="129"/>
  <c r="E385" i="129"/>
  <c r="E383" i="129"/>
  <c r="E381" i="129"/>
  <c r="F394" i="129"/>
  <c r="F392" i="129"/>
  <c r="F389" i="129"/>
  <c r="F387" i="129"/>
  <c r="F385" i="129"/>
  <c r="F383" i="129"/>
  <c r="F381" i="129"/>
  <c r="E393" i="129"/>
  <c r="E388" i="129"/>
  <c r="E384" i="129"/>
  <c r="G398" i="129"/>
  <c r="F395" i="129"/>
  <c r="F391" i="129"/>
  <c r="F386" i="129"/>
  <c r="F382" i="129"/>
  <c r="F388" i="129"/>
  <c r="E391" i="129"/>
  <c r="F393" i="129"/>
  <c r="E395" i="129"/>
  <c r="E386" i="129"/>
  <c r="E382" i="129"/>
  <c r="F384" i="129"/>
  <c r="C378" i="129"/>
  <c r="E438" i="129"/>
  <c r="E436" i="129"/>
  <c r="E433" i="129"/>
  <c r="E431" i="129"/>
  <c r="E429" i="129"/>
  <c r="E427" i="129"/>
  <c r="E425" i="129"/>
  <c r="F438" i="129"/>
  <c r="F436" i="129"/>
  <c r="F433" i="129"/>
  <c r="F431" i="129"/>
  <c r="F429" i="129"/>
  <c r="F427" i="129"/>
  <c r="F425" i="129"/>
  <c r="E437" i="129"/>
  <c r="E432" i="129"/>
  <c r="E428" i="129"/>
  <c r="C422" i="129"/>
  <c r="F439" i="129"/>
  <c r="F435" i="129"/>
  <c r="F430" i="129"/>
  <c r="F426" i="129"/>
  <c r="F437" i="129"/>
  <c r="F428" i="129"/>
  <c r="E435" i="129"/>
  <c r="E426" i="129"/>
  <c r="G442" i="129"/>
  <c r="E439" i="129"/>
  <c r="E430" i="129"/>
  <c r="F432" i="129"/>
  <c r="E482" i="129"/>
  <c r="E480" i="129"/>
  <c r="E477" i="129"/>
  <c r="E475" i="129"/>
  <c r="E473" i="129"/>
  <c r="E471" i="129"/>
  <c r="E469" i="129"/>
  <c r="F482" i="129"/>
  <c r="F480" i="129"/>
  <c r="F477" i="129"/>
  <c r="F475" i="129"/>
  <c r="F473" i="129"/>
  <c r="F471" i="129"/>
  <c r="F469" i="129"/>
  <c r="E481" i="129"/>
  <c r="E476" i="129"/>
  <c r="E472" i="129"/>
  <c r="F483" i="129"/>
  <c r="F479" i="129"/>
  <c r="F474" i="129"/>
  <c r="F470" i="129"/>
  <c r="G486" i="129"/>
  <c r="F476" i="129"/>
  <c r="C466" i="129"/>
  <c r="E479" i="129"/>
  <c r="F481" i="129"/>
  <c r="E483" i="129"/>
  <c r="E474" i="129"/>
  <c r="E470" i="129"/>
  <c r="F472" i="129"/>
  <c r="E526" i="129"/>
  <c r="E524" i="129"/>
  <c r="E521" i="129"/>
  <c r="E519" i="129"/>
  <c r="E517" i="129"/>
  <c r="E515" i="129"/>
  <c r="E513" i="129"/>
  <c r="F526" i="129"/>
  <c r="F524" i="129"/>
  <c r="F521" i="129"/>
  <c r="F519" i="129"/>
  <c r="F517" i="129"/>
  <c r="F515" i="129"/>
  <c r="F513" i="129"/>
  <c r="E525" i="129"/>
  <c r="E520" i="129"/>
  <c r="E516" i="129"/>
  <c r="F527" i="129"/>
  <c r="F523" i="129"/>
  <c r="F518" i="129"/>
  <c r="F514" i="129"/>
  <c r="G530" i="129"/>
  <c r="F525" i="129"/>
  <c r="F516" i="129"/>
  <c r="C510" i="129"/>
  <c r="E527" i="129"/>
  <c r="E523" i="129"/>
  <c r="E514" i="129"/>
  <c r="E518" i="129"/>
  <c r="F520" i="129"/>
  <c r="E570" i="129"/>
  <c r="E568" i="129"/>
  <c r="E565" i="129"/>
  <c r="E563" i="129"/>
  <c r="E561" i="129"/>
  <c r="E559" i="129"/>
  <c r="E557" i="129"/>
  <c r="F570" i="129"/>
  <c r="F568" i="129"/>
  <c r="F565" i="129"/>
  <c r="F563" i="129"/>
  <c r="F561" i="129"/>
  <c r="F559" i="129"/>
  <c r="F557" i="129"/>
  <c r="E569" i="129"/>
  <c r="E564" i="129"/>
  <c r="E560" i="129"/>
  <c r="G574" i="129"/>
  <c r="F571" i="129"/>
  <c r="F567" i="129"/>
  <c r="F562" i="129"/>
  <c r="F558" i="129"/>
  <c r="F564" i="129"/>
  <c r="E567" i="129"/>
  <c r="F560" i="129"/>
  <c r="E571" i="129"/>
  <c r="E562" i="129"/>
  <c r="E558" i="129"/>
  <c r="C554" i="129"/>
  <c r="F569" i="129"/>
  <c r="E614" i="129"/>
  <c r="E612" i="129"/>
  <c r="E609" i="129"/>
  <c r="E607" i="129"/>
  <c r="E605" i="129"/>
  <c r="E603" i="129"/>
  <c r="E601" i="129"/>
  <c r="F614" i="129"/>
  <c r="F612" i="129"/>
  <c r="F609" i="129"/>
  <c r="F607" i="129"/>
  <c r="F605" i="129"/>
  <c r="F603" i="129"/>
  <c r="F601" i="129"/>
  <c r="E613" i="129"/>
  <c r="E608" i="129"/>
  <c r="E604" i="129"/>
  <c r="G618" i="129"/>
  <c r="F615" i="129"/>
  <c r="F611" i="129"/>
  <c r="F606" i="129"/>
  <c r="F602" i="129"/>
  <c r="F613" i="129"/>
  <c r="F604" i="129"/>
  <c r="E615" i="129"/>
  <c r="C598" i="129"/>
  <c r="F608" i="129"/>
  <c r="E611" i="129"/>
  <c r="E602" i="129"/>
  <c r="E606" i="129"/>
  <c r="E658" i="129"/>
  <c r="E656" i="129"/>
  <c r="E653" i="129"/>
  <c r="E651" i="129"/>
  <c r="E649" i="129"/>
  <c r="E647" i="129"/>
  <c r="E645" i="129"/>
  <c r="F658" i="129"/>
  <c r="F656" i="129"/>
  <c r="F653" i="129"/>
  <c r="F651" i="129"/>
  <c r="F649" i="129"/>
  <c r="F647" i="129"/>
  <c r="F645" i="129"/>
  <c r="E657" i="129"/>
  <c r="E652" i="129"/>
  <c r="E648" i="129"/>
  <c r="G662" i="129"/>
  <c r="F659" i="129"/>
  <c r="F655" i="129"/>
  <c r="F650" i="129"/>
  <c r="F646" i="129"/>
  <c r="C642" i="129"/>
  <c r="F652" i="129"/>
  <c r="E646" i="129"/>
  <c r="F657" i="129"/>
  <c r="E659" i="129"/>
  <c r="E650" i="129"/>
  <c r="E655" i="129"/>
  <c r="F648" i="129"/>
  <c r="E702" i="129"/>
  <c r="E700" i="129"/>
  <c r="E697" i="129"/>
  <c r="E695" i="129"/>
  <c r="E693" i="129"/>
  <c r="E691" i="129"/>
  <c r="E689" i="129"/>
  <c r="F702" i="129"/>
  <c r="F700" i="129"/>
  <c r="F697" i="129"/>
  <c r="F695" i="129"/>
  <c r="F693" i="129"/>
  <c r="F691" i="129"/>
  <c r="F689" i="129"/>
  <c r="G706" i="129"/>
  <c r="E701" i="129"/>
  <c r="E696" i="129"/>
  <c r="E692" i="129"/>
  <c r="F703" i="129"/>
  <c r="F699" i="129"/>
  <c r="F694" i="129"/>
  <c r="F690" i="129"/>
  <c r="F701" i="129"/>
  <c r="F692" i="129"/>
  <c r="C686" i="129"/>
  <c r="E694" i="129"/>
  <c r="F696" i="129"/>
  <c r="E699" i="129"/>
  <c r="E690" i="129"/>
  <c r="E703" i="129"/>
  <c r="E746" i="129"/>
  <c r="E744" i="129"/>
  <c r="E741" i="129"/>
  <c r="E739" i="129"/>
  <c r="E737" i="129"/>
  <c r="E735" i="129"/>
  <c r="E733" i="129"/>
  <c r="F746" i="129"/>
  <c r="F744" i="129"/>
  <c r="F741" i="129"/>
  <c r="F739" i="129"/>
  <c r="F737" i="129"/>
  <c r="F735" i="129"/>
  <c r="F733" i="129"/>
  <c r="C730" i="129"/>
  <c r="E745" i="129"/>
  <c r="E740" i="129"/>
  <c r="E736" i="129"/>
  <c r="F747" i="129"/>
  <c r="F743" i="129"/>
  <c r="F738" i="129"/>
  <c r="F734" i="129"/>
  <c r="F740" i="129"/>
  <c r="E743" i="129"/>
  <c r="G750" i="129"/>
  <c r="F736" i="129"/>
  <c r="E747" i="129"/>
  <c r="E738" i="129"/>
  <c r="E734" i="129"/>
  <c r="F745" i="129"/>
  <c r="E20" i="129"/>
  <c r="E18" i="129"/>
  <c r="E15" i="129"/>
  <c r="E13" i="129"/>
  <c r="E11" i="129"/>
  <c r="E9" i="129"/>
  <c r="E7" i="129"/>
  <c r="F20" i="129"/>
  <c r="F18" i="129"/>
  <c r="F15" i="129"/>
  <c r="F13" i="129"/>
  <c r="F11" i="129"/>
  <c r="F9" i="129"/>
  <c r="F7" i="129"/>
  <c r="E21" i="129"/>
  <c r="E17" i="129"/>
  <c r="E12" i="129"/>
  <c r="E8" i="129"/>
  <c r="F19" i="129"/>
  <c r="F14" i="129"/>
  <c r="F10" i="129"/>
  <c r="F21" i="129"/>
  <c r="F12" i="129"/>
  <c r="C4" i="129"/>
  <c r="E14" i="129"/>
  <c r="F8" i="129"/>
  <c r="E19" i="129"/>
  <c r="E10" i="129"/>
  <c r="F17" i="129"/>
  <c r="G24" i="129"/>
  <c r="E64" i="129"/>
  <c r="E62" i="129"/>
  <c r="E59" i="129"/>
  <c r="E57" i="129"/>
  <c r="E55" i="129"/>
  <c r="E53" i="129"/>
  <c r="E51" i="129"/>
  <c r="F64" i="129"/>
  <c r="F62" i="129"/>
  <c r="F59" i="129"/>
  <c r="F57" i="129"/>
  <c r="F55" i="129"/>
  <c r="F53" i="129"/>
  <c r="F51" i="129"/>
  <c r="E65" i="129"/>
  <c r="E61" i="129"/>
  <c r="E56" i="129"/>
  <c r="E52" i="129"/>
  <c r="F63" i="129"/>
  <c r="F58" i="129"/>
  <c r="F54" i="129"/>
  <c r="F61" i="129"/>
  <c r="F52" i="129"/>
  <c r="E54" i="129"/>
  <c r="F56" i="129"/>
  <c r="E58" i="129"/>
  <c r="G68" i="129"/>
  <c r="C48" i="129"/>
  <c r="E63" i="129"/>
  <c r="F65" i="129"/>
  <c r="E108" i="129"/>
  <c r="E106" i="129"/>
  <c r="E103" i="129"/>
  <c r="E101" i="129"/>
  <c r="E99" i="129"/>
  <c r="E97" i="129"/>
  <c r="E95" i="129"/>
  <c r="F108" i="129"/>
  <c r="F106" i="129"/>
  <c r="F103" i="129"/>
  <c r="F101" i="129"/>
  <c r="F99" i="129"/>
  <c r="F97" i="129"/>
  <c r="F95" i="129"/>
  <c r="E109" i="129"/>
  <c r="E105" i="129"/>
  <c r="E100" i="129"/>
  <c r="E96" i="129"/>
  <c r="F107" i="129"/>
  <c r="F102" i="129"/>
  <c r="F98" i="129"/>
  <c r="F109" i="129"/>
  <c r="F100" i="129"/>
  <c r="E102" i="129"/>
  <c r="F105" i="129"/>
  <c r="C92" i="129"/>
  <c r="E107" i="129"/>
  <c r="E98" i="129"/>
  <c r="F96" i="129"/>
  <c r="G112" i="129"/>
  <c r="E152" i="129"/>
  <c r="E150" i="129"/>
  <c r="E147" i="129"/>
  <c r="E145" i="129"/>
  <c r="E143" i="129"/>
  <c r="E141" i="129"/>
  <c r="E139" i="129"/>
  <c r="F152" i="129"/>
  <c r="F150" i="129"/>
  <c r="F147" i="129"/>
  <c r="F145" i="129"/>
  <c r="F143" i="129"/>
  <c r="F141" i="129"/>
  <c r="F139" i="129"/>
  <c r="E153" i="129"/>
  <c r="E149" i="129"/>
  <c r="E144" i="129"/>
  <c r="E140" i="129"/>
  <c r="F151" i="129"/>
  <c r="F146" i="129"/>
  <c r="F142" i="129"/>
  <c r="F149" i="129"/>
  <c r="F140" i="129"/>
  <c r="C136" i="129"/>
  <c r="E151" i="129"/>
  <c r="E146" i="129"/>
  <c r="G156" i="129"/>
  <c r="E142" i="129"/>
  <c r="F153" i="129"/>
  <c r="F144" i="129"/>
  <c r="E196" i="129"/>
  <c r="E194" i="129"/>
  <c r="E191" i="129"/>
  <c r="E189" i="129"/>
  <c r="E187" i="129"/>
  <c r="E185" i="129"/>
  <c r="E183" i="129"/>
  <c r="F196" i="129"/>
  <c r="F194" i="129"/>
  <c r="F191" i="129"/>
  <c r="F189" i="129"/>
  <c r="F187" i="129"/>
  <c r="F185" i="129"/>
  <c r="F183" i="129"/>
  <c r="E197" i="129"/>
  <c r="E193" i="129"/>
  <c r="E188" i="129"/>
  <c r="E184" i="129"/>
  <c r="F195" i="129"/>
  <c r="F190" i="129"/>
  <c r="F186" i="129"/>
  <c r="F197" i="129"/>
  <c r="F188" i="129"/>
  <c r="C180" i="129"/>
  <c r="F193" i="129"/>
  <c r="E195" i="129"/>
  <c r="E186" i="129"/>
  <c r="E190" i="129"/>
  <c r="G200" i="129"/>
  <c r="F184" i="129"/>
  <c r="E240" i="129"/>
  <c r="E238" i="129"/>
  <c r="E235" i="129"/>
  <c r="E233" i="129"/>
  <c r="E231" i="129"/>
  <c r="E229" i="129"/>
  <c r="E227" i="129"/>
  <c r="F240" i="129"/>
  <c r="F238" i="129"/>
  <c r="F235" i="129"/>
  <c r="F233" i="129"/>
  <c r="F231" i="129"/>
  <c r="F229" i="129"/>
  <c r="F227" i="129"/>
  <c r="E241" i="129"/>
  <c r="E237" i="129"/>
  <c r="E232" i="129"/>
  <c r="E228" i="129"/>
  <c r="C224" i="129"/>
  <c r="F239" i="129"/>
  <c r="F234" i="129"/>
  <c r="F230" i="129"/>
  <c r="G244" i="129"/>
  <c r="F237" i="129"/>
  <c r="F228" i="129"/>
  <c r="E230" i="129"/>
  <c r="F241" i="129"/>
  <c r="E234" i="129"/>
  <c r="E239" i="129"/>
  <c r="F232" i="129"/>
  <c r="E284" i="129"/>
  <c r="E282" i="129"/>
  <c r="E279" i="129"/>
  <c r="E277" i="129"/>
  <c r="E275" i="129"/>
  <c r="E273" i="129"/>
  <c r="E271" i="129"/>
  <c r="F284" i="129"/>
  <c r="F282" i="129"/>
  <c r="F279" i="129"/>
  <c r="F277" i="129"/>
  <c r="F275" i="129"/>
  <c r="F273" i="129"/>
  <c r="F271" i="129"/>
  <c r="E285" i="129"/>
  <c r="E281" i="129"/>
  <c r="E276" i="129"/>
  <c r="E272" i="129"/>
  <c r="F283" i="129"/>
  <c r="F278" i="129"/>
  <c r="F274" i="129"/>
  <c r="F285" i="129"/>
  <c r="F276" i="129"/>
  <c r="G288" i="129"/>
  <c r="E278" i="129"/>
  <c r="F272" i="129"/>
  <c r="E283" i="129"/>
  <c r="E274" i="129"/>
  <c r="F281" i="129"/>
  <c r="C268" i="129"/>
  <c r="E328" i="129"/>
  <c r="E326" i="129"/>
  <c r="E323" i="129"/>
  <c r="E321" i="129"/>
  <c r="E319" i="129"/>
  <c r="E317" i="129"/>
  <c r="E315" i="129"/>
  <c r="F328" i="129"/>
  <c r="F326" i="129"/>
  <c r="F323" i="129"/>
  <c r="F321" i="129"/>
  <c r="F319" i="129"/>
  <c r="F317" i="129"/>
  <c r="F315" i="129"/>
  <c r="E329" i="129"/>
  <c r="E325" i="129"/>
  <c r="E320" i="129"/>
  <c r="E316" i="129"/>
  <c r="F327" i="129"/>
  <c r="F322" i="129"/>
  <c r="F318" i="129"/>
  <c r="C312" i="129"/>
  <c r="F325" i="129"/>
  <c r="F316" i="129"/>
  <c r="E318" i="129"/>
  <c r="F320" i="129"/>
  <c r="E322" i="129"/>
  <c r="E327" i="129"/>
  <c r="G332" i="129"/>
  <c r="F329" i="129"/>
  <c r="E372" i="129"/>
  <c r="E370" i="129"/>
  <c r="E367" i="129"/>
  <c r="E365" i="129"/>
  <c r="E363" i="129"/>
  <c r="E361" i="129"/>
  <c r="E359" i="129"/>
  <c r="F372" i="129"/>
  <c r="F370" i="129"/>
  <c r="F367" i="129"/>
  <c r="F365" i="129"/>
  <c r="F363" i="129"/>
  <c r="F361" i="129"/>
  <c r="F359" i="129"/>
  <c r="E373" i="129"/>
  <c r="E369" i="129"/>
  <c r="E364" i="129"/>
  <c r="E360" i="129"/>
  <c r="G376" i="129"/>
  <c r="C356" i="129"/>
  <c r="F371" i="129"/>
  <c r="F366" i="129"/>
  <c r="F362" i="129"/>
  <c r="F373" i="129"/>
  <c r="F364" i="129"/>
  <c r="E366" i="129"/>
  <c r="F369" i="129"/>
  <c r="E371" i="129"/>
  <c r="E362" i="129"/>
  <c r="F360" i="129"/>
  <c r="E416" i="129"/>
  <c r="E414" i="129"/>
  <c r="E411" i="129"/>
  <c r="E409" i="129"/>
  <c r="E407" i="129"/>
  <c r="E405" i="129"/>
  <c r="E403" i="129"/>
  <c r="F416" i="129"/>
  <c r="F414" i="129"/>
  <c r="F411" i="129"/>
  <c r="F409" i="129"/>
  <c r="F407" i="129"/>
  <c r="F405" i="129"/>
  <c r="F403" i="129"/>
  <c r="E417" i="129"/>
  <c r="E413" i="129"/>
  <c r="E408" i="129"/>
  <c r="E404" i="129"/>
  <c r="F415" i="129"/>
  <c r="F410" i="129"/>
  <c r="F406" i="129"/>
  <c r="F413" i="129"/>
  <c r="F404" i="129"/>
  <c r="E415" i="129"/>
  <c r="C400" i="129"/>
  <c r="F417" i="129"/>
  <c r="E410" i="129"/>
  <c r="G420" i="129"/>
  <c r="E406" i="129"/>
  <c r="F408" i="129"/>
  <c r="E460" i="129"/>
  <c r="E458" i="129"/>
  <c r="E455" i="129"/>
  <c r="E453" i="129"/>
  <c r="E451" i="129"/>
  <c r="E449" i="129"/>
  <c r="E447" i="129"/>
  <c r="F460" i="129"/>
  <c r="F458" i="129"/>
  <c r="F455" i="129"/>
  <c r="F453" i="129"/>
  <c r="F451" i="129"/>
  <c r="F449" i="129"/>
  <c r="F447" i="129"/>
  <c r="E461" i="129"/>
  <c r="E457" i="129"/>
  <c r="E452" i="129"/>
  <c r="E448" i="129"/>
  <c r="C444" i="129"/>
  <c r="F459" i="129"/>
  <c r="F454" i="129"/>
  <c r="F450" i="129"/>
  <c r="G464" i="129"/>
  <c r="F461" i="129"/>
  <c r="F452" i="129"/>
  <c r="E454" i="129"/>
  <c r="F457" i="129"/>
  <c r="E459" i="129"/>
  <c r="E450" i="129"/>
  <c r="F448" i="129"/>
  <c r="E504" i="129"/>
  <c r="E502" i="129"/>
  <c r="E499" i="129"/>
  <c r="E497" i="129"/>
  <c r="E495" i="129"/>
  <c r="E493" i="129"/>
  <c r="E491" i="129"/>
  <c r="F504" i="129"/>
  <c r="F502" i="129"/>
  <c r="F499" i="129"/>
  <c r="F497" i="129"/>
  <c r="F495" i="129"/>
  <c r="F493" i="129"/>
  <c r="F491" i="129"/>
  <c r="E505" i="129"/>
  <c r="E501" i="129"/>
  <c r="E496" i="129"/>
  <c r="E492" i="129"/>
  <c r="F503" i="129"/>
  <c r="F498" i="129"/>
  <c r="F494" i="129"/>
  <c r="G508" i="129"/>
  <c r="F501" i="129"/>
  <c r="F492" i="129"/>
  <c r="C488" i="129"/>
  <c r="E503" i="129"/>
  <c r="F505" i="129"/>
  <c r="E498" i="129"/>
  <c r="E494" i="129"/>
  <c r="F496" i="129"/>
  <c r="E548" i="129"/>
  <c r="E546" i="129"/>
  <c r="E543" i="129"/>
  <c r="E541" i="129"/>
  <c r="E539" i="129"/>
  <c r="E537" i="129"/>
  <c r="E535" i="129"/>
  <c r="F548" i="129"/>
  <c r="F546" i="129"/>
  <c r="F543" i="129"/>
  <c r="F541" i="129"/>
  <c r="F539" i="129"/>
  <c r="F537" i="129"/>
  <c r="F535" i="129"/>
  <c r="E549" i="129"/>
  <c r="E545" i="129"/>
  <c r="E540" i="129"/>
  <c r="E536" i="129"/>
  <c r="G552" i="129"/>
  <c r="F547" i="129"/>
  <c r="F542" i="129"/>
  <c r="F538" i="129"/>
  <c r="F549" i="129"/>
  <c r="F540" i="129"/>
  <c r="C532" i="129"/>
  <c r="F536" i="129"/>
  <c r="E547" i="129"/>
  <c r="E538" i="129"/>
  <c r="E542" i="129"/>
  <c r="F545" i="129"/>
  <c r="E592" i="129"/>
  <c r="E590" i="129"/>
  <c r="E587" i="129"/>
  <c r="E585" i="129"/>
  <c r="E583" i="129"/>
  <c r="E581" i="129"/>
  <c r="E579" i="129"/>
  <c r="F592" i="129"/>
  <c r="F590" i="129"/>
  <c r="F587" i="129"/>
  <c r="F585" i="129"/>
  <c r="F583" i="129"/>
  <c r="F581" i="129"/>
  <c r="F579" i="129"/>
  <c r="E593" i="129"/>
  <c r="E589" i="129"/>
  <c r="E584" i="129"/>
  <c r="E580" i="129"/>
  <c r="G596" i="129"/>
  <c r="F591" i="129"/>
  <c r="F586" i="129"/>
  <c r="F582" i="129"/>
  <c r="F589" i="129"/>
  <c r="F580" i="129"/>
  <c r="E591" i="129"/>
  <c r="F584" i="129"/>
  <c r="E586" i="129"/>
  <c r="E582" i="129"/>
  <c r="C576" i="129"/>
  <c r="F593" i="129"/>
  <c r="E636" i="129"/>
  <c r="E634" i="129"/>
  <c r="E631" i="129"/>
  <c r="E629" i="129"/>
  <c r="E627" i="129"/>
  <c r="E625" i="129"/>
  <c r="E623" i="129"/>
  <c r="F636" i="129"/>
  <c r="F634" i="129"/>
  <c r="F631" i="129"/>
  <c r="F629" i="129"/>
  <c r="F627" i="129"/>
  <c r="F625" i="129"/>
  <c r="F623" i="129"/>
  <c r="E637" i="129"/>
  <c r="E633" i="129"/>
  <c r="E628" i="129"/>
  <c r="E624" i="129"/>
  <c r="F635" i="129"/>
  <c r="F630" i="129"/>
  <c r="F626" i="129"/>
  <c r="F637" i="129"/>
  <c r="F628" i="129"/>
  <c r="G640" i="129"/>
  <c r="C620" i="129"/>
  <c r="F633" i="129"/>
  <c r="E635" i="129"/>
  <c r="E626" i="129"/>
  <c r="E630" i="129"/>
  <c r="F624" i="129"/>
  <c r="E680" i="129"/>
  <c r="E678" i="129"/>
  <c r="E675" i="129"/>
  <c r="E673" i="129"/>
  <c r="E671" i="129"/>
  <c r="E669" i="129"/>
  <c r="E667" i="129"/>
  <c r="F680" i="129"/>
  <c r="F678" i="129"/>
  <c r="F675" i="129"/>
  <c r="F673" i="129"/>
  <c r="F671" i="129"/>
  <c r="F669" i="129"/>
  <c r="F667" i="129"/>
  <c r="E681" i="129"/>
  <c r="E677" i="129"/>
  <c r="E672" i="129"/>
  <c r="E668" i="129"/>
  <c r="F679" i="129"/>
  <c r="F674" i="129"/>
  <c r="F670" i="129"/>
  <c r="G684" i="129"/>
  <c r="F677" i="129"/>
  <c r="F668" i="129"/>
  <c r="E670" i="129"/>
  <c r="E674" i="129"/>
  <c r="E679" i="129"/>
  <c r="C664" i="129"/>
  <c r="F681" i="129"/>
  <c r="F672" i="129"/>
  <c r="E724" i="129"/>
  <c r="E722" i="129"/>
  <c r="E719" i="129"/>
  <c r="E717" i="129"/>
  <c r="E715" i="129"/>
  <c r="E713" i="129"/>
  <c r="E711" i="129"/>
  <c r="F724" i="129"/>
  <c r="F722" i="129"/>
  <c r="F719" i="129"/>
  <c r="F717" i="129"/>
  <c r="F715" i="129"/>
  <c r="F713" i="129"/>
  <c r="F711" i="129"/>
  <c r="E725" i="129"/>
  <c r="E721" i="129"/>
  <c r="E716" i="129"/>
  <c r="E712" i="129"/>
  <c r="F723" i="129"/>
  <c r="F718" i="129"/>
  <c r="F714" i="129"/>
  <c r="G728" i="129"/>
  <c r="F725" i="129"/>
  <c r="F716" i="129"/>
  <c r="E718" i="129"/>
  <c r="F721" i="129"/>
  <c r="C708" i="129"/>
  <c r="E723" i="129"/>
  <c r="E714" i="129"/>
  <c r="F712" i="129"/>
  <c r="E42" i="130"/>
  <c r="E40" i="130"/>
  <c r="E37" i="130"/>
  <c r="E35" i="130"/>
  <c r="E33" i="130"/>
  <c r="E31" i="130"/>
  <c r="E29" i="130"/>
  <c r="F42" i="130"/>
  <c r="F40" i="130"/>
  <c r="F37" i="130"/>
  <c r="F35" i="130"/>
  <c r="F33" i="130"/>
  <c r="F31" i="130"/>
  <c r="F29" i="130"/>
  <c r="E43" i="130"/>
  <c r="E39" i="130"/>
  <c r="E34" i="130"/>
  <c r="E30" i="130"/>
  <c r="E41" i="130"/>
  <c r="E36" i="130"/>
  <c r="E32" i="130"/>
  <c r="C26" i="130"/>
  <c r="F41" i="130"/>
  <c r="G46" i="130"/>
  <c r="F43" i="130"/>
  <c r="F39" i="130"/>
  <c r="F34" i="130"/>
  <c r="F30" i="130"/>
  <c r="F36" i="130"/>
  <c r="F32" i="130"/>
  <c r="E86" i="130"/>
  <c r="E84" i="130"/>
  <c r="E81" i="130"/>
  <c r="E79" i="130"/>
  <c r="E77" i="130"/>
  <c r="E75" i="130"/>
  <c r="E73" i="130"/>
  <c r="F86" i="130"/>
  <c r="F84" i="130"/>
  <c r="F81" i="130"/>
  <c r="F79" i="130"/>
  <c r="F77" i="130"/>
  <c r="F75" i="130"/>
  <c r="F73" i="130"/>
  <c r="E87" i="130"/>
  <c r="E83" i="130"/>
  <c r="E78" i="130"/>
  <c r="E74" i="130"/>
  <c r="E85" i="130"/>
  <c r="E80" i="130"/>
  <c r="E76" i="130"/>
  <c r="C70" i="130"/>
  <c r="F80" i="130"/>
  <c r="F87" i="130"/>
  <c r="F83" i="130"/>
  <c r="F78" i="130"/>
  <c r="F74" i="130"/>
  <c r="G90" i="130"/>
  <c r="F85" i="130"/>
  <c r="F76" i="130"/>
  <c r="E130" i="130"/>
  <c r="E128" i="130"/>
  <c r="E125" i="130"/>
  <c r="E123" i="130"/>
  <c r="E121" i="130"/>
  <c r="E119" i="130"/>
  <c r="E117" i="130"/>
  <c r="G134" i="130"/>
  <c r="F130" i="130"/>
  <c r="F128" i="130"/>
  <c r="F125" i="130"/>
  <c r="F123" i="130"/>
  <c r="F121" i="130"/>
  <c r="F119" i="130"/>
  <c r="F117" i="130"/>
  <c r="E131" i="130"/>
  <c r="E127" i="130"/>
  <c r="E122" i="130"/>
  <c r="E118" i="130"/>
  <c r="E129" i="130"/>
  <c r="E124" i="130"/>
  <c r="E120" i="130"/>
  <c r="F129" i="130"/>
  <c r="F120" i="130"/>
  <c r="F131" i="130"/>
  <c r="F127" i="130"/>
  <c r="F122" i="130"/>
  <c r="F118" i="130"/>
  <c r="C114" i="130"/>
  <c r="F124" i="130"/>
  <c r="E174" i="130"/>
  <c r="E172" i="130"/>
  <c r="E169" i="130"/>
  <c r="E167" i="130"/>
  <c r="E165" i="130"/>
  <c r="E163" i="130"/>
  <c r="E161" i="130"/>
  <c r="F174" i="130"/>
  <c r="F172" i="130"/>
  <c r="F169" i="130"/>
  <c r="F167" i="130"/>
  <c r="F165" i="130"/>
  <c r="F163" i="130"/>
  <c r="F161" i="130"/>
  <c r="E175" i="130"/>
  <c r="E171" i="130"/>
  <c r="E166" i="130"/>
  <c r="E162" i="130"/>
  <c r="G178" i="130"/>
  <c r="E173" i="130"/>
  <c r="E168" i="130"/>
  <c r="E164" i="130"/>
  <c r="F168" i="130"/>
  <c r="F175" i="130"/>
  <c r="F171" i="130"/>
  <c r="F166" i="130"/>
  <c r="F162" i="130"/>
  <c r="F173" i="130"/>
  <c r="F164" i="130"/>
  <c r="C158" i="130"/>
  <c r="E218" i="130"/>
  <c r="E216" i="130"/>
  <c r="E213" i="130"/>
  <c r="E211" i="130"/>
  <c r="E209" i="130"/>
  <c r="E207" i="130"/>
  <c r="E205" i="130"/>
  <c r="F218" i="130"/>
  <c r="F216" i="130"/>
  <c r="F213" i="130"/>
  <c r="F211" i="130"/>
  <c r="F209" i="130"/>
  <c r="F207" i="130"/>
  <c r="F205" i="130"/>
  <c r="E219" i="130"/>
  <c r="E215" i="130"/>
  <c r="E210" i="130"/>
  <c r="E206" i="130"/>
  <c r="E217" i="130"/>
  <c r="E212" i="130"/>
  <c r="E208" i="130"/>
  <c r="C202" i="130"/>
  <c r="F217" i="130"/>
  <c r="F208" i="130"/>
  <c r="F219" i="130"/>
  <c r="F215" i="130"/>
  <c r="F210" i="130"/>
  <c r="F206" i="130"/>
  <c r="G222" i="130"/>
  <c r="F212" i="130"/>
  <c r="E262" i="130"/>
  <c r="E260" i="130"/>
  <c r="E257" i="130"/>
  <c r="E255" i="130"/>
  <c r="E253" i="130"/>
  <c r="E251" i="130"/>
  <c r="E249" i="130"/>
  <c r="F262" i="130"/>
  <c r="F260" i="130"/>
  <c r="F257" i="130"/>
  <c r="F255" i="130"/>
  <c r="F253" i="130"/>
  <c r="F251" i="130"/>
  <c r="F249" i="130"/>
  <c r="E263" i="130"/>
  <c r="E259" i="130"/>
  <c r="E254" i="130"/>
  <c r="E250" i="130"/>
  <c r="G266" i="130"/>
  <c r="E261" i="130"/>
  <c r="E256" i="130"/>
  <c r="E252" i="130"/>
  <c r="F256" i="130"/>
  <c r="F263" i="130"/>
  <c r="F259" i="130"/>
  <c r="F254" i="130"/>
  <c r="F250" i="130"/>
  <c r="C246" i="130"/>
  <c r="F261" i="130"/>
  <c r="F252" i="130"/>
  <c r="E306" i="130"/>
  <c r="E304" i="130"/>
  <c r="E301" i="130"/>
  <c r="E299" i="130"/>
  <c r="E297" i="130"/>
  <c r="E295" i="130"/>
  <c r="E293" i="130"/>
  <c r="F306" i="130"/>
  <c r="F304" i="130"/>
  <c r="F301" i="130"/>
  <c r="F299" i="130"/>
  <c r="F297" i="130"/>
  <c r="F295" i="130"/>
  <c r="F293" i="130"/>
  <c r="E307" i="130"/>
  <c r="E303" i="130"/>
  <c r="E298" i="130"/>
  <c r="E294" i="130"/>
  <c r="E305" i="130"/>
  <c r="E300" i="130"/>
  <c r="E296" i="130"/>
  <c r="F305" i="130"/>
  <c r="F296" i="130"/>
  <c r="F307" i="130"/>
  <c r="F303" i="130"/>
  <c r="F298" i="130"/>
  <c r="F294" i="130"/>
  <c r="C290" i="130"/>
  <c r="F300" i="130"/>
  <c r="E350" i="130"/>
  <c r="E348" i="130"/>
  <c r="E345" i="130"/>
  <c r="E343" i="130"/>
  <c r="E341" i="130"/>
  <c r="E339" i="130"/>
  <c r="E337" i="130"/>
  <c r="F350" i="130"/>
  <c r="F348" i="130"/>
  <c r="F345" i="130"/>
  <c r="F343" i="130"/>
  <c r="F341" i="130"/>
  <c r="F339" i="130"/>
  <c r="F337" i="130"/>
  <c r="E351" i="130"/>
  <c r="E347" i="130"/>
  <c r="E342" i="130"/>
  <c r="E338" i="130"/>
  <c r="E349" i="130"/>
  <c r="E344" i="130"/>
  <c r="E340" i="130"/>
  <c r="F349" i="130"/>
  <c r="G354" i="130"/>
  <c r="F351" i="130"/>
  <c r="F347" i="130"/>
  <c r="F342" i="130"/>
  <c r="F338" i="130"/>
  <c r="C334" i="130"/>
  <c r="F344" i="130"/>
  <c r="F340" i="130"/>
  <c r="E394" i="130"/>
  <c r="E392" i="130"/>
  <c r="E389" i="130"/>
  <c r="E387" i="130"/>
  <c r="E385" i="130"/>
  <c r="E383" i="130"/>
  <c r="E381" i="130"/>
  <c r="F394" i="130"/>
  <c r="F392" i="130"/>
  <c r="F389" i="130"/>
  <c r="F387" i="130"/>
  <c r="F385" i="130"/>
  <c r="F383" i="130"/>
  <c r="F381" i="130"/>
  <c r="E395" i="130"/>
  <c r="E391" i="130"/>
  <c r="E386" i="130"/>
  <c r="E382" i="130"/>
  <c r="E393" i="130"/>
  <c r="E388" i="130"/>
  <c r="E384" i="130"/>
  <c r="F388" i="130"/>
  <c r="F395" i="130"/>
  <c r="F391" i="130"/>
  <c r="F386" i="130"/>
  <c r="F382" i="130"/>
  <c r="C378" i="130"/>
  <c r="F393" i="130"/>
  <c r="F384" i="130"/>
  <c r="E438" i="130"/>
  <c r="E436" i="130"/>
  <c r="E433" i="130"/>
  <c r="E431" i="130"/>
  <c r="E429" i="130"/>
  <c r="E427" i="130"/>
  <c r="E425" i="130"/>
  <c r="F438" i="130"/>
  <c r="F436" i="130"/>
  <c r="F433" i="130"/>
  <c r="F431" i="130"/>
  <c r="F429" i="130"/>
  <c r="F427" i="130"/>
  <c r="F425" i="130"/>
  <c r="C422" i="130"/>
  <c r="E439" i="130"/>
  <c r="E435" i="130"/>
  <c r="E430" i="130"/>
  <c r="E426" i="130"/>
  <c r="E437" i="130"/>
  <c r="E432" i="130"/>
  <c r="E428" i="130"/>
  <c r="F437" i="130"/>
  <c r="F428" i="130"/>
  <c r="F439" i="130"/>
  <c r="F435" i="130"/>
  <c r="F430" i="130"/>
  <c r="F426" i="130"/>
  <c r="F432" i="130"/>
  <c r="E20" i="130"/>
  <c r="E18" i="130"/>
  <c r="E15" i="130"/>
  <c r="E13" i="130"/>
  <c r="E11" i="130"/>
  <c r="E9" i="130"/>
  <c r="E7" i="130"/>
  <c r="F20" i="130"/>
  <c r="F18" i="130"/>
  <c r="F15" i="130"/>
  <c r="F13" i="130"/>
  <c r="F11" i="130"/>
  <c r="F9" i="130"/>
  <c r="F7" i="130"/>
  <c r="E19" i="130"/>
  <c r="E14" i="130"/>
  <c r="E10" i="130"/>
  <c r="C4" i="130"/>
  <c r="E21" i="130"/>
  <c r="E17" i="130"/>
  <c r="E12" i="130"/>
  <c r="E8" i="130"/>
  <c r="F21" i="130"/>
  <c r="F12" i="130"/>
  <c r="F19" i="130"/>
  <c r="F14" i="130"/>
  <c r="F10" i="130"/>
  <c r="G24" i="130"/>
  <c r="F17" i="130"/>
  <c r="F8" i="130"/>
  <c r="E64" i="130"/>
  <c r="E62" i="130"/>
  <c r="E59" i="130"/>
  <c r="E57" i="130"/>
  <c r="E55" i="130"/>
  <c r="E53" i="130"/>
  <c r="E51" i="130"/>
  <c r="F64" i="130"/>
  <c r="F62" i="130"/>
  <c r="F59" i="130"/>
  <c r="F57" i="130"/>
  <c r="F55" i="130"/>
  <c r="F53" i="130"/>
  <c r="F51" i="130"/>
  <c r="E63" i="130"/>
  <c r="E58" i="130"/>
  <c r="E54" i="130"/>
  <c r="C48" i="130"/>
  <c r="E65" i="130"/>
  <c r="E61" i="130"/>
  <c r="E56" i="130"/>
  <c r="E52" i="130"/>
  <c r="F65" i="130"/>
  <c r="F56" i="130"/>
  <c r="F63" i="130"/>
  <c r="F58" i="130"/>
  <c r="F54" i="130"/>
  <c r="G68" i="130"/>
  <c r="F61" i="130"/>
  <c r="F52" i="130"/>
  <c r="E108" i="130"/>
  <c r="E106" i="130"/>
  <c r="E103" i="130"/>
  <c r="E101" i="130"/>
  <c r="E99" i="130"/>
  <c r="E97" i="130"/>
  <c r="E95" i="130"/>
  <c r="F108" i="130"/>
  <c r="F106" i="130"/>
  <c r="F103" i="130"/>
  <c r="F101" i="130"/>
  <c r="F99" i="130"/>
  <c r="F97" i="130"/>
  <c r="F95" i="130"/>
  <c r="G112" i="130"/>
  <c r="C92" i="130"/>
  <c r="E107" i="130"/>
  <c r="E102" i="130"/>
  <c r="E98" i="130"/>
  <c r="E109" i="130"/>
  <c r="E105" i="130"/>
  <c r="E100" i="130"/>
  <c r="E96" i="130"/>
  <c r="F105" i="130"/>
  <c r="F96" i="130"/>
  <c r="F107" i="130"/>
  <c r="F102" i="130"/>
  <c r="F98" i="130"/>
  <c r="F109" i="130"/>
  <c r="F100" i="130"/>
  <c r="E152" i="130"/>
  <c r="E150" i="130"/>
  <c r="E147" i="130"/>
  <c r="E145" i="130"/>
  <c r="E143" i="130"/>
  <c r="E141" i="130"/>
  <c r="E139" i="130"/>
  <c r="F152" i="130"/>
  <c r="F150" i="130"/>
  <c r="F147" i="130"/>
  <c r="F145" i="130"/>
  <c r="F143" i="130"/>
  <c r="F141" i="130"/>
  <c r="F139" i="130"/>
  <c r="G156" i="130"/>
  <c r="E151" i="130"/>
  <c r="E146" i="130"/>
  <c r="E142" i="130"/>
  <c r="C136" i="130"/>
  <c r="E153" i="130"/>
  <c r="E149" i="130"/>
  <c r="E144" i="130"/>
  <c r="E140" i="130"/>
  <c r="F153" i="130"/>
  <c r="F144" i="130"/>
  <c r="F151" i="130"/>
  <c r="F146" i="130"/>
  <c r="F142" i="130"/>
  <c r="F149" i="130"/>
  <c r="F140" i="130"/>
  <c r="E196" i="130"/>
  <c r="E194" i="130"/>
  <c r="E191" i="130"/>
  <c r="E189" i="130"/>
  <c r="E187" i="130"/>
  <c r="E185" i="130"/>
  <c r="E183" i="130"/>
  <c r="G200" i="130"/>
  <c r="C180" i="130"/>
  <c r="F196" i="130"/>
  <c r="F194" i="130"/>
  <c r="F191" i="130"/>
  <c r="F189" i="130"/>
  <c r="F187" i="130"/>
  <c r="F185" i="130"/>
  <c r="F183" i="130"/>
  <c r="E195" i="130"/>
  <c r="E190" i="130"/>
  <c r="E186" i="130"/>
  <c r="E197" i="130"/>
  <c r="E193" i="130"/>
  <c r="E188" i="130"/>
  <c r="E184" i="130"/>
  <c r="F193" i="130"/>
  <c r="F184" i="130"/>
  <c r="F195" i="130"/>
  <c r="F190" i="130"/>
  <c r="F186" i="130"/>
  <c r="F197" i="130"/>
  <c r="F188" i="130"/>
  <c r="E240" i="130"/>
  <c r="E238" i="130"/>
  <c r="E235" i="130"/>
  <c r="E233" i="130"/>
  <c r="E231" i="130"/>
  <c r="E229" i="130"/>
  <c r="E227" i="130"/>
  <c r="G244" i="130"/>
  <c r="C224" i="130"/>
  <c r="F240" i="130"/>
  <c r="F238" i="130"/>
  <c r="F235" i="130"/>
  <c r="F233" i="130"/>
  <c r="F231" i="130"/>
  <c r="F229" i="130"/>
  <c r="F227" i="130"/>
  <c r="E239" i="130"/>
  <c r="E234" i="130"/>
  <c r="E230" i="130"/>
  <c r="E241" i="130"/>
  <c r="E237" i="130"/>
  <c r="E232" i="130"/>
  <c r="E228" i="130"/>
  <c r="F241" i="130"/>
  <c r="F232" i="130"/>
  <c r="F239" i="130"/>
  <c r="F234" i="130"/>
  <c r="F230" i="130"/>
  <c r="F237" i="130"/>
  <c r="F228" i="130"/>
  <c r="E284" i="130"/>
  <c r="E282" i="130"/>
  <c r="E279" i="130"/>
  <c r="E277" i="130"/>
  <c r="E275" i="130"/>
  <c r="E273" i="130"/>
  <c r="E271" i="130"/>
  <c r="C268" i="130"/>
  <c r="F284" i="130"/>
  <c r="F282" i="130"/>
  <c r="F279" i="130"/>
  <c r="F277" i="130"/>
  <c r="F275" i="130"/>
  <c r="F273" i="130"/>
  <c r="F271" i="130"/>
  <c r="G288" i="130"/>
  <c r="E283" i="130"/>
  <c r="E278" i="130"/>
  <c r="E274" i="130"/>
  <c r="E285" i="130"/>
  <c r="E281" i="130"/>
  <c r="E276" i="130"/>
  <c r="E272" i="130"/>
  <c r="F281" i="130"/>
  <c r="F272" i="130"/>
  <c r="F283" i="130"/>
  <c r="F278" i="130"/>
  <c r="F274" i="130"/>
  <c r="F285" i="130"/>
  <c r="F276" i="130"/>
  <c r="E328" i="130"/>
  <c r="E326" i="130"/>
  <c r="E323" i="130"/>
  <c r="E321" i="130"/>
  <c r="E319" i="130"/>
  <c r="E317" i="130"/>
  <c r="E315" i="130"/>
  <c r="F328" i="130"/>
  <c r="F326" i="130"/>
  <c r="F323" i="130"/>
  <c r="F321" i="130"/>
  <c r="F319" i="130"/>
  <c r="F317" i="130"/>
  <c r="F315" i="130"/>
  <c r="G332" i="130"/>
  <c r="E327" i="130"/>
  <c r="E322" i="130"/>
  <c r="E318" i="130"/>
  <c r="E329" i="130"/>
  <c r="E325" i="130"/>
  <c r="E320" i="130"/>
  <c r="E316" i="130"/>
  <c r="C312" i="130"/>
  <c r="F329" i="130"/>
  <c r="F320" i="130"/>
  <c r="F327" i="130"/>
  <c r="F322" i="130"/>
  <c r="F318" i="130"/>
  <c r="F325" i="130"/>
  <c r="F316" i="130"/>
  <c r="E372" i="130"/>
  <c r="E370" i="130"/>
  <c r="E367" i="130"/>
  <c r="E365" i="130"/>
  <c r="E363" i="130"/>
  <c r="E361" i="130"/>
  <c r="E359" i="130"/>
  <c r="F372" i="130"/>
  <c r="F370" i="130"/>
  <c r="F367" i="130"/>
  <c r="F365" i="130"/>
  <c r="F363" i="130"/>
  <c r="F361" i="130"/>
  <c r="F359" i="130"/>
  <c r="G376" i="130"/>
  <c r="C356" i="130"/>
  <c r="E371" i="130"/>
  <c r="E366" i="130"/>
  <c r="E362" i="130"/>
  <c r="E373" i="130"/>
  <c r="E369" i="130"/>
  <c r="E364" i="130"/>
  <c r="E360" i="130"/>
  <c r="F373" i="130"/>
  <c r="F364" i="130"/>
  <c r="F371" i="130"/>
  <c r="F366" i="130"/>
  <c r="F362" i="130"/>
  <c r="F369" i="130"/>
  <c r="F360" i="130"/>
  <c r="E416" i="130"/>
  <c r="E414" i="130"/>
  <c r="E411" i="130"/>
  <c r="E409" i="130"/>
  <c r="E407" i="130"/>
  <c r="E405" i="130"/>
  <c r="E403" i="130"/>
  <c r="F416" i="130"/>
  <c r="F414" i="130"/>
  <c r="F411" i="130"/>
  <c r="F409" i="130"/>
  <c r="F407" i="130"/>
  <c r="F405" i="130"/>
  <c r="F403" i="130"/>
  <c r="C400" i="130"/>
  <c r="E415" i="130"/>
  <c r="E410" i="130"/>
  <c r="E406" i="130"/>
  <c r="E417" i="130"/>
  <c r="E413" i="130"/>
  <c r="E408" i="130"/>
  <c r="E404" i="130"/>
  <c r="F413" i="130"/>
  <c r="F404" i="130"/>
  <c r="F415" i="130"/>
  <c r="F410" i="130"/>
  <c r="F406" i="130"/>
  <c r="F417" i="130"/>
  <c r="F408" i="130"/>
  <c r="G420" i="130"/>
  <c r="E460" i="130"/>
  <c r="E458" i="130"/>
  <c r="E455" i="130"/>
  <c r="E453" i="130"/>
  <c r="E451" i="130"/>
  <c r="E449" i="130"/>
  <c r="E447" i="130"/>
  <c r="F460" i="130"/>
  <c r="F458" i="130"/>
  <c r="F455" i="130"/>
  <c r="F453" i="130"/>
  <c r="F451" i="130"/>
  <c r="F449" i="130"/>
  <c r="F447" i="130"/>
  <c r="E459" i="130"/>
  <c r="E454" i="130"/>
  <c r="E450" i="130"/>
  <c r="G464" i="130"/>
  <c r="E457" i="130"/>
  <c r="E452" i="130"/>
  <c r="E448" i="130"/>
  <c r="F457" i="130"/>
  <c r="F452" i="130"/>
  <c r="F459" i="130"/>
  <c r="F454" i="130"/>
  <c r="F450" i="130"/>
  <c r="E461" i="130"/>
  <c r="F461" i="130"/>
  <c r="F448" i="130"/>
  <c r="C444" i="130"/>
  <c r="E20" i="131"/>
  <c r="E18" i="131"/>
  <c r="E15" i="131"/>
  <c r="E13" i="131"/>
  <c r="E11" i="131"/>
  <c r="E9" i="131"/>
  <c r="E7" i="131"/>
  <c r="C4" i="131"/>
  <c r="E19" i="131"/>
  <c r="E14" i="131"/>
  <c r="E10" i="131"/>
  <c r="F20" i="131"/>
  <c r="F18" i="131"/>
  <c r="F15" i="131"/>
  <c r="F13" i="131"/>
  <c r="F11" i="131"/>
  <c r="F9" i="131"/>
  <c r="F7" i="131"/>
  <c r="E21" i="131"/>
  <c r="E17" i="131"/>
  <c r="E12" i="131"/>
  <c r="E8" i="131"/>
  <c r="F17" i="131"/>
  <c r="F8" i="131"/>
  <c r="F12" i="131"/>
  <c r="F14" i="131"/>
  <c r="F19" i="131"/>
  <c r="F10" i="131"/>
  <c r="F21" i="131"/>
  <c r="E64" i="131"/>
  <c r="E62" i="131"/>
  <c r="E59" i="131"/>
  <c r="E57" i="131"/>
  <c r="E55" i="131"/>
  <c r="E53" i="131"/>
  <c r="E51" i="131"/>
  <c r="E63" i="131"/>
  <c r="E58" i="131"/>
  <c r="E54" i="131"/>
  <c r="F64" i="131"/>
  <c r="F62" i="131"/>
  <c r="F59" i="131"/>
  <c r="F57" i="131"/>
  <c r="F55" i="131"/>
  <c r="F53" i="131"/>
  <c r="F51" i="131"/>
  <c r="E65" i="131"/>
  <c r="E61" i="131"/>
  <c r="E56" i="131"/>
  <c r="E52" i="131"/>
  <c r="F65" i="131"/>
  <c r="F56" i="131"/>
  <c r="F61" i="131"/>
  <c r="F63" i="131"/>
  <c r="F54" i="131"/>
  <c r="C48" i="131"/>
  <c r="F58" i="131"/>
  <c r="G68" i="131"/>
  <c r="F52" i="131"/>
  <c r="E108" i="131"/>
  <c r="E106" i="131"/>
  <c r="E103" i="131"/>
  <c r="E101" i="131"/>
  <c r="E99" i="131"/>
  <c r="E97" i="131"/>
  <c r="E95" i="131"/>
  <c r="C92" i="131"/>
  <c r="E107" i="131"/>
  <c r="E102" i="131"/>
  <c r="E98" i="131"/>
  <c r="F108" i="131"/>
  <c r="F106" i="131"/>
  <c r="F103" i="131"/>
  <c r="F101" i="131"/>
  <c r="F99" i="131"/>
  <c r="F97" i="131"/>
  <c r="F95" i="131"/>
  <c r="E109" i="131"/>
  <c r="E105" i="131"/>
  <c r="E100" i="131"/>
  <c r="E96" i="131"/>
  <c r="F105" i="131"/>
  <c r="F96" i="131"/>
  <c r="F109" i="131"/>
  <c r="F102" i="131"/>
  <c r="F107" i="131"/>
  <c r="F98" i="131"/>
  <c r="F100" i="131"/>
  <c r="E152" i="131"/>
  <c r="E150" i="131"/>
  <c r="E147" i="131"/>
  <c r="E145" i="131"/>
  <c r="E143" i="131"/>
  <c r="E141" i="131"/>
  <c r="E139" i="131"/>
  <c r="E151" i="131"/>
  <c r="E149" i="131"/>
  <c r="E144" i="131"/>
  <c r="E140" i="131"/>
  <c r="F152" i="131"/>
  <c r="F150" i="131"/>
  <c r="F147" i="131"/>
  <c r="F145" i="131"/>
  <c r="F143" i="131"/>
  <c r="F141" i="131"/>
  <c r="F139" i="131"/>
  <c r="E153" i="131"/>
  <c r="E146" i="131"/>
  <c r="E142" i="131"/>
  <c r="F153" i="131"/>
  <c r="F144" i="131"/>
  <c r="F140" i="131"/>
  <c r="F151" i="131"/>
  <c r="F142" i="131"/>
  <c r="F146" i="131"/>
  <c r="C136" i="131"/>
  <c r="F149" i="131"/>
  <c r="E196" i="131"/>
  <c r="E194" i="131"/>
  <c r="E191" i="131"/>
  <c r="E189" i="131"/>
  <c r="E187" i="131"/>
  <c r="E185" i="131"/>
  <c r="E183" i="131"/>
  <c r="C180" i="131"/>
  <c r="E195" i="131"/>
  <c r="E190" i="131"/>
  <c r="E186" i="131"/>
  <c r="F196" i="131"/>
  <c r="F194" i="131"/>
  <c r="F191" i="131"/>
  <c r="F189" i="131"/>
  <c r="F187" i="131"/>
  <c r="F185" i="131"/>
  <c r="F183" i="131"/>
  <c r="E197" i="131"/>
  <c r="E193" i="131"/>
  <c r="E188" i="131"/>
  <c r="E184" i="131"/>
  <c r="F193" i="131"/>
  <c r="F184" i="131"/>
  <c r="F188" i="131"/>
  <c r="F190" i="131"/>
  <c r="F195" i="131"/>
  <c r="F186" i="131"/>
  <c r="F197" i="131"/>
  <c r="E240" i="131"/>
  <c r="E238" i="131"/>
  <c r="E235" i="131"/>
  <c r="E233" i="131"/>
  <c r="E231" i="131"/>
  <c r="E229" i="131"/>
  <c r="E227" i="131"/>
  <c r="E241" i="131"/>
  <c r="E234" i="131"/>
  <c r="E230" i="131"/>
  <c r="F240" i="131"/>
  <c r="F238" i="131"/>
  <c r="F235" i="131"/>
  <c r="F233" i="131"/>
  <c r="F231" i="131"/>
  <c r="F229" i="131"/>
  <c r="F227" i="131"/>
  <c r="E239" i="131"/>
  <c r="E237" i="131"/>
  <c r="E232" i="131"/>
  <c r="E228" i="131"/>
  <c r="F241" i="131"/>
  <c r="F232" i="131"/>
  <c r="F237" i="131"/>
  <c r="F239" i="131"/>
  <c r="F230" i="131"/>
  <c r="C224" i="131"/>
  <c r="F234" i="131"/>
  <c r="F228" i="131"/>
  <c r="E284" i="131"/>
  <c r="E282" i="131"/>
  <c r="E279" i="131"/>
  <c r="E277" i="131"/>
  <c r="E275" i="131"/>
  <c r="E273" i="131"/>
  <c r="E271" i="131"/>
  <c r="C268" i="131"/>
  <c r="E283" i="131"/>
  <c r="E278" i="131"/>
  <c r="E274" i="131"/>
  <c r="F284" i="131"/>
  <c r="F282" i="131"/>
  <c r="F279" i="131"/>
  <c r="F277" i="131"/>
  <c r="F275" i="131"/>
  <c r="F273" i="131"/>
  <c r="F271" i="131"/>
  <c r="E285" i="131"/>
  <c r="E281" i="131"/>
  <c r="E276" i="131"/>
  <c r="E272" i="131"/>
  <c r="F281" i="131"/>
  <c r="F272" i="131"/>
  <c r="F285" i="131"/>
  <c r="F278" i="131"/>
  <c r="F283" i="131"/>
  <c r="F274" i="131"/>
  <c r="F276" i="131"/>
  <c r="E328" i="131"/>
  <c r="E326" i="131"/>
  <c r="E323" i="131"/>
  <c r="E321" i="131"/>
  <c r="E319" i="131"/>
  <c r="E317" i="131"/>
  <c r="E315" i="131"/>
  <c r="E327" i="131"/>
  <c r="E322" i="131"/>
  <c r="E318" i="131"/>
  <c r="F328" i="131"/>
  <c r="F326" i="131"/>
  <c r="F323" i="131"/>
  <c r="F321" i="131"/>
  <c r="F319" i="131"/>
  <c r="F317" i="131"/>
  <c r="F315" i="131"/>
  <c r="E329" i="131"/>
  <c r="E325" i="131"/>
  <c r="E320" i="131"/>
  <c r="E316" i="131"/>
  <c r="F329" i="131"/>
  <c r="F320" i="131"/>
  <c r="F316" i="131"/>
  <c r="F327" i="131"/>
  <c r="F318" i="131"/>
  <c r="F322" i="131"/>
  <c r="C312" i="131"/>
  <c r="F325" i="131"/>
  <c r="E42" i="131"/>
  <c r="E40" i="131"/>
  <c r="E37" i="131"/>
  <c r="E35" i="131"/>
  <c r="E33" i="131"/>
  <c r="E31" i="131"/>
  <c r="E29" i="131"/>
  <c r="E43" i="131"/>
  <c r="E39" i="131"/>
  <c r="E34" i="131"/>
  <c r="E30" i="131"/>
  <c r="F42" i="131"/>
  <c r="F40" i="131"/>
  <c r="F37" i="131"/>
  <c r="F35" i="131"/>
  <c r="F33" i="131"/>
  <c r="F31" i="131"/>
  <c r="F29" i="131"/>
  <c r="G46" i="131"/>
  <c r="C26" i="131"/>
  <c r="E41" i="131"/>
  <c r="E36" i="131"/>
  <c r="E32" i="131"/>
  <c r="F41" i="131"/>
  <c r="F32" i="131"/>
  <c r="F36" i="131"/>
  <c r="F39" i="131"/>
  <c r="F30" i="131"/>
  <c r="F43" i="131"/>
  <c r="F34" i="131"/>
  <c r="E86" i="131"/>
  <c r="E84" i="131"/>
  <c r="E81" i="131"/>
  <c r="E79" i="131"/>
  <c r="E77" i="131"/>
  <c r="E75" i="131"/>
  <c r="E73" i="131"/>
  <c r="E87" i="131"/>
  <c r="E83" i="131"/>
  <c r="E78" i="131"/>
  <c r="E74" i="131"/>
  <c r="F86" i="131"/>
  <c r="F84" i="131"/>
  <c r="F81" i="131"/>
  <c r="F79" i="131"/>
  <c r="F77" i="131"/>
  <c r="F75" i="131"/>
  <c r="F73" i="131"/>
  <c r="E85" i="131"/>
  <c r="E80" i="131"/>
  <c r="E76" i="131"/>
  <c r="F80" i="131"/>
  <c r="G90" i="131"/>
  <c r="F85" i="131"/>
  <c r="F87" i="131"/>
  <c r="F78" i="131"/>
  <c r="F83" i="131"/>
  <c r="F74" i="131"/>
  <c r="F76" i="131"/>
  <c r="C70" i="131"/>
  <c r="E130" i="131"/>
  <c r="E128" i="131"/>
  <c r="E125" i="131"/>
  <c r="E123" i="131"/>
  <c r="E121" i="131"/>
  <c r="E119" i="131"/>
  <c r="E117" i="131"/>
  <c r="E129" i="131"/>
  <c r="E124" i="131"/>
  <c r="E122" i="131"/>
  <c r="E118" i="131"/>
  <c r="F130" i="131"/>
  <c r="F128" i="131"/>
  <c r="F125" i="131"/>
  <c r="F123" i="131"/>
  <c r="F121" i="131"/>
  <c r="F119" i="131"/>
  <c r="F117" i="131"/>
  <c r="G134" i="131"/>
  <c r="C114" i="131"/>
  <c r="E131" i="131"/>
  <c r="E127" i="131"/>
  <c r="E120" i="131"/>
  <c r="F129" i="131"/>
  <c r="F120" i="131"/>
  <c r="F127" i="131"/>
  <c r="F118" i="131"/>
  <c r="F131" i="131"/>
  <c r="F122" i="131"/>
  <c r="F124" i="131"/>
  <c r="E174" i="131"/>
  <c r="E172" i="131"/>
  <c r="E169" i="131"/>
  <c r="E167" i="131"/>
  <c r="E165" i="131"/>
  <c r="E163" i="131"/>
  <c r="E161" i="131"/>
  <c r="E175" i="131"/>
  <c r="E171" i="131"/>
  <c r="E166" i="131"/>
  <c r="E162" i="131"/>
  <c r="F174" i="131"/>
  <c r="F172" i="131"/>
  <c r="F169" i="131"/>
  <c r="F167" i="131"/>
  <c r="F165" i="131"/>
  <c r="F163" i="131"/>
  <c r="F161" i="131"/>
  <c r="E173" i="131"/>
  <c r="E168" i="131"/>
  <c r="E164" i="131"/>
  <c r="F168" i="131"/>
  <c r="F164" i="131"/>
  <c r="G178" i="131"/>
  <c r="F175" i="131"/>
  <c r="F166" i="131"/>
  <c r="C158" i="131"/>
  <c r="F171" i="131"/>
  <c r="F162" i="131"/>
  <c r="F173" i="131"/>
  <c r="E218" i="131"/>
  <c r="E216" i="131"/>
  <c r="E213" i="131"/>
  <c r="E211" i="131"/>
  <c r="E209" i="131"/>
  <c r="E207" i="131"/>
  <c r="E205" i="131"/>
  <c r="E219" i="131"/>
  <c r="E215" i="131"/>
  <c r="E210" i="131"/>
  <c r="E206" i="131"/>
  <c r="F218" i="131"/>
  <c r="F216" i="131"/>
  <c r="F213" i="131"/>
  <c r="F211" i="131"/>
  <c r="F209" i="131"/>
  <c r="F207" i="131"/>
  <c r="F205" i="131"/>
  <c r="G222" i="131"/>
  <c r="C202" i="131"/>
  <c r="E217" i="131"/>
  <c r="E212" i="131"/>
  <c r="E208" i="131"/>
  <c r="F217" i="131"/>
  <c r="F208" i="131"/>
  <c r="F212" i="131"/>
  <c r="F215" i="131"/>
  <c r="F206" i="131"/>
  <c r="F219" i="131"/>
  <c r="F210" i="131"/>
  <c r="E262" i="131"/>
  <c r="E260" i="131"/>
  <c r="E257" i="131"/>
  <c r="E255" i="131"/>
  <c r="E253" i="131"/>
  <c r="E251" i="131"/>
  <c r="E249" i="131"/>
  <c r="E263" i="131"/>
  <c r="E259" i="131"/>
  <c r="E254" i="131"/>
  <c r="E252" i="131"/>
  <c r="F262" i="131"/>
  <c r="F260" i="131"/>
  <c r="F257" i="131"/>
  <c r="F255" i="131"/>
  <c r="F253" i="131"/>
  <c r="F251" i="131"/>
  <c r="F249" i="131"/>
  <c r="E261" i="131"/>
  <c r="E256" i="131"/>
  <c r="E250" i="131"/>
  <c r="F256" i="131"/>
  <c r="G266" i="131"/>
  <c r="F261" i="131"/>
  <c r="F263" i="131"/>
  <c r="F254" i="131"/>
  <c r="F259" i="131"/>
  <c r="F250" i="131"/>
  <c r="C246" i="131"/>
  <c r="F252" i="131"/>
  <c r="E306" i="131"/>
  <c r="E304" i="131"/>
  <c r="E301" i="131"/>
  <c r="E299" i="131"/>
  <c r="E297" i="131"/>
  <c r="E295" i="131"/>
  <c r="E293" i="131"/>
  <c r="E307" i="131"/>
  <c r="E303" i="131"/>
  <c r="E298" i="131"/>
  <c r="E294" i="131"/>
  <c r="F306" i="131"/>
  <c r="F304" i="131"/>
  <c r="F301" i="131"/>
  <c r="F299" i="131"/>
  <c r="F297" i="131"/>
  <c r="F295" i="131"/>
  <c r="F293" i="131"/>
  <c r="G310" i="131"/>
  <c r="C290" i="131"/>
  <c r="E305" i="131"/>
  <c r="E300" i="131"/>
  <c r="E296" i="131"/>
  <c r="F305" i="131"/>
  <c r="F296" i="131"/>
  <c r="F303" i="131"/>
  <c r="F294" i="131"/>
  <c r="F307" i="131"/>
  <c r="F298" i="131"/>
  <c r="F300" i="131"/>
  <c r="E350" i="131"/>
  <c r="E348" i="131"/>
  <c r="E345" i="131"/>
  <c r="E343" i="131"/>
  <c r="E341" i="131"/>
  <c r="E339" i="131"/>
  <c r="E337" i="131"/>
  <c r="E349" i="131"/>
  <c r="E347" i="131"/>
  <c r="E342" i="131"/>
  <c r="E338" i="131"/>
  <c r="F350" i="131"/>
  <c r="F348" i="131"/>
  <c r="F345" i="131"/>
  <c r="F343" i="131"/>
  <c r="F341" i="131"/>
  <c r="F339" i="131"/>
  <c r="F337" i="131"/>
  <c r="E351" i="131"/>
  <c r="E344" i="131"/>
  <c r="E340" i="131"/>
  <c r="F344" i="131"/>
  <c r="F340" i="131"/>
  <c r="F342" i="131"/>
  <c r="G354" i="131"/>
  <c r="C334" i="131"/>
  <c r="F347" i="131"/>
  <c r="F338" i="131"/>
  <c r="F349" i="131"/>
  <c r="F351" i="131"/>
  <c r="E20" i="132"/>
  <c r="E18" i="132"/>
  <c r="E15" i="132"/>
  <c r="E13" i="132"/>
  <c r="E11" i="132"/>
  <c r="E9" i="132"/>
  <c r="E7" i="132"/>
  <c r="C4" i="132"/>
  <c r="F20" i="132"/>
  <c r="F15" i="132"/>
  <c r="F11" i="132"/>
  <c r="F7" i="132"/>
  <c r="F21" i="132"/>
  <c r="F19" i="132"/>
  <c r="F17" i="132"/>
  <c r="F14" i="132"/>
  <c r="F12" i="132"/>
  <c r="F10" i="132"/>
  <c r="F8" i="132"/>
  <c r="F18" i="132"/>
  <c r="F13" i="132"/>
  <c r="F9" i="132"/>
  <c r="E21" i="132"/>
  <c r="E19" i="132"/>
  <c r="E17" i="132"/>
  <c r="E14" i="132"/>
  <c r="E8" i="132"/>
  <c r="E12" i="132"/>
  <c r="E10" i="132"/>
  <c r="E64" i="132"/>
  <c r="E62" i="132"/>
  <c r="E59" i="132"/>
  <c r="E57" i="132"/>
  <c r="E55" i="132"/>
  <c r="E53" i="132"/>
  <c r="E51" i="132"/>
  <c r="F64" i="132"/>
  <c r="F59" i="132"/>
  <c r="F55" i="132"/>
  <c r="F51" i="132"/>
  <c r="F65" i="132"/>
  <c r="F63" i="132"/>
  <c r="F61" i="132"/>
  <c r="F58" i="132"/>
  <c r="F56" i="132"/>
  <c r="F54" i="132"/>
  <c r="F52" i="132"/>
  <c r="C48" i="132"/>
  <c r="F62" i="132"/>
  <c r="F57" i="132"/>
  <c r="F53" i="132"/>
  <c r="E65" i="132"/>
  <c r="E63" i="132"/>
  <c r="E61" i="132"/>
  <c r="E58" i="132"/>
  <c r="E56" i="132"/>
  <c r="E54" i="132"/>
  <c r="E52" i="132"/>
  <c r="E108" i="132"/>
  <c r="E106" i="132"/>
  <c r="E103" i="132"/>
  <c r="E101" i="132"/>
  <c r="E99" i="132"/>
  <c r="E97" i="132"/>
  <c r="E95" i="132"/>
  <c r="F106" i="132"/>
  <c r="F103" i="132"/>
  <c r="F99" i="132"/>
  <c r="F95" i="132"/>
  <c r="F109" i="132"/>
  <c r="F107" i="132"/>
  <c r="F105" i="132"/>
  <c r="F102" i="132"/>
  <c r="F100" i="132"/>
  <c r="F98" i="132"/>
  <c r="F96" i="132"/>
  <c r="F108" i="132"/>
  <c r="F101" i="132"/>
  <c r="F97" i="132"/>
  <c r="E109" i="132"/>
  <c r="E107" i="132"/>
  <c r="E105" i="132"/>
  <c r="E102" i="132"/>
  <c r="E100" i="132"/>
  <c r="E98" i="132"/>
  <c r="E96" i="132"/>
  <c r="C92" i="132"/>
  <c r="E152" i="132"/>
  <c r="E150" i="132"/>
  <c r="E147" i="132"/>
  <c r="E145" i="132"/>
  <c r="E143" i="132"/>
  <c r="E141" i="132"/>
  <c r="E139" i="132"/>
  <c r="F150" i="132"/>
  <c r="F145" i="132"/>
  <c r="F141" i="132"/>
  <c r="C136" i="132"/>
  <c r="F153" i="132"/>
  <c r="F151" i="132"/>
  <c r="F149" i="132"/>
  <c r="F146" i="132"/>
  <c r="F144" i="132"/>
  <c r="F142" i="132"/>
  <c r="F140" i="132"/>
  <c r="F152" i="132"/>
  <c r="F147" i="132"/>
  <c r="F143" i="132"/>
  <c r="F139" i="132"/>
  <c r="E153" i="132"/>
  <c r="E151" i="132"/>
  <c r="E149" i="132"/>
  <c r="E146" i="132"/>
  <c r="E144" i="132"/>
  <c r="E142" i="132"/>
  <c r="E140" i="132"/>
  <c r="E196" i="132"/>
  <c r="E194" i="132"/>
  <c r="E191" i="132"/>
  <c r="E189" i="132"/>
  <c r="E187" i="132"/>
  <c r="E185" i="132"/>
  <c r="E183" i="132"/>
  <c r="C180" i="132"/>
  <c r="F196" i="132"/>
  <c r="F191" i="132"/>
  <c r="F187" i="132"/>
  <c r="F197" i="132"/>
  <c r="F195" i="132"/>
  <c r="F193" i="132"/>
  <c r="F190" i="132"/>
  <c r="F188" i="132"/>
  <c r="F186" i="132"/>
  <c r="F184" i="132"/>
  <c r="F194" i="132"/>
  <c r="F189" i="132"/>
  <c r="F185" i="132"/>
  <c r="F183" i="132"/>
  <c r="E197" i="132"/>
  <c r="E195" i="132"/>
  <c r="E193" i="132"/>
  <c r="E190" i="132"/>
  <c r="E188" i="132"/>
  <c r="E186" i="132"/>
  <c r="E184" i="132"/>
  <c r="E42" i="132"/>
  <c r="E40" i="132"/>
  <c r="E37" i="132"/>
  <c r="E35" i="132"/>
  <c r="E33" i="132"/>
  <c r="E31" i="132"/>
  <c r="E29" i="132"/>
  <c r="F40" i="132"/>
  <c r="F35" i="132"/>
  <c r="F31" i="132"/>
  <c r="G46" i="132"/>
  <c r="F43" i="132"/>
  <c r="F41" i="132"/>
  <c r="F39" i="132"/>
  <c r="F36" i="132"/>
  <c r="F34" i="132"/>
  <c r="F32" i="132"/>
  <c r="F30" i="132"/>
  <c r="F42" i="132"/>
  <c r="F37" i="132"/>
  <c r="F33" i="132"/>
  <c r="F29" i="132"/>
  <c r="E43" i="132"/>
  <c r="E41" i="132"/>
  <c r="E39" i="132"/>
  <c r="E36" i="132"/>
  <c r="E34" i="132"/>
  <c r="E32" i="132"/>
  <c r="E30" i="132"/>
  <c r="C26" i="132"/>
  <c r="E86" i="132"/>
  <c r="E84" i="132"/>
  <c r="E81" i="132"/>
  <c r="E79" i="132"/>
  <c r="E77" i="132"/>
  <c r="E75" i="132"/>
  <c r="E73" i="132"/>
  <c r="G90" i="132"/>
  <c r="F84" i="132"/>
  <c r="F79" i="132"/>
  <c r="F75" i="132"/>
  <c r="F87" i="132"/>
  <c r="F85" i="132"/>
  <c r="F83" i="132"/>
  <c r="F80" i="132"/>
  <c r="F78" i="132"/>
  <c r="F76" i="132"/>
  <c r="F74" i="132"/>
  <c r="C70" i="132"/>
  <c r="F86" i="132"/>
  <c r="F81" i="132"/>
  <c r="F77" i="132"/>
  <c r="F73" i="132"/>
  <c r="E87" i="132"/>
  <c r="E85" i="132"/>
  <c r="E83" i="132"/>
  <c r="E80" i="132"/>
  <c r="E78" i="132"/>
  <c r="E76" i="132"/>
  <c r="E74" i="132"/>
  <c r="E130" i="132"/>
  <c r="E128" i="132"/>
  <c r="E125" i="132"/>
  <c r="E123" i="132"/>
  <c r="E121" i="132"/>
  <c r="E119" i="132"/>
  <c r="E117" i="132"/>
  <c r="C114" i="132"/>
  <c r="F130" i="132"/>
  <c r="F125" i="132"/>
  <c r="F121" i="132"/>
  <c r="F117" i="132"/>
  <c r="F131" i="132"/>
  <c r="F129" i="132"/>
  <c r="F127" i="132"/>
  <c r="F124" i="132"/>
  <c r="F122" i="132"/>
  <c r="F120" i="132"/>
  <c r="F118" i="132"/>
  <c r="G134" i="132"/>
  <c r="F128" i="132"/>
  <c r="F123" i="132"/>
  <c r="F119" i="132"/>
  <c r="E131" i="132"/>
  <c r="E129" i="132"/>
  <c r="E127" i="132"/>
  <c r="E124" i="132"/>
  <c r="E122" i="132"/>
  <c r="E120" i="132"/>
  <c r="E118" i="132"/>
  <c r="E174" i="132"/>
  <c r="E172" i="132"/>
  <c r="E169" i="132"/>
  <c r="E167" i="132"/>
  <c r="E165" i="132"/>
  <c r="E163" i="132"/>
  <c r="E161" i="132"/>
  <c r="F174" i="132"/>
  <c r="F169" i="132"/>
  <c r="F165" i="132"/>
  <c r="F161" i="132"/>
  <c r="F175" i="132"/>
  <c r="F173" i="132"/>
  <c r="F171" i="132"/>
  <c r="F168" i="132"/>
  <c r="F166" i="132"/>
  <c r="F164" i="132"/>
  <c r="F162" i="132"/>
  <c r="F172" i="132"/>
  <c r="F167" i="132"/>
  <c r="F163" i="132"/>
  <c r="C158" i="132"/>
  <c r="E175" i="132"/>
  <c r="E173" i="132"/>
  <c r="E171" i="132"/>
  <c r="E168" i="132"/>
  <c r="E166" i="132"/>
  <c r="E164" i="132"/>
  <c r="E162" i="132"/>
  <c r="G178" i="132"/>
  <c r="E218" i="132"/>
  <c r="E216" i="132"/>
  <c r="E213" i="132"/>
  <c r="E211" i="132"/>
  <c r="E209" i="132"/>
  <c r="E207" i="132"/>
  <c r="E205" i="132"/>
  <c r="F218" i="132"/>
  <c r="F211" i="132"/>
  <c r="F207" i="132"/>
  <c r="F219" i="132"/>
  <c r="F217" i="132"/>
  <c r="F215" i="132"/>
  <c r="F212" i="132"/>
  <c r="F210" i="132"/>
  <c r="F208" i="132"/>
  <c r="F206" i="132"/>
  <c r="F216" i="132"/>
  <c r="F213" i="132"/>
  <c r="F209" i="132"/>
  <c r="F205" i="132"/>
  <c r="E217" i="132"/>
  <c r="E215" i="132"/>
  <c r="E212" i="132"/>
  <c r="E210" i="132"/>
  <c r="E208" i="132"/>
  <c r="E206" i="132"/>
  <c r="G222" i="132"/>
  <c r="C202" i="132"/>
  <c r="E219" i="132"/>
  <c r="E20" i="133"/>
  <c r="E18" i="133"/>
  <c r="E15" i="133"/>
  <c r="E13" i="133"/>
  <c r="E11" i="133"/>
  <c r="E9" i="133"/>
  <c r="E7" i="133"/>
  <c r="C4" i="133"/>
  <c r="E21" i="133"/>
  <c r="E17" i="133"/>
  <c r="E12" i="133"/>
  <c r="E8" i="133"/>
  <c r="F20" i="133"/>
  <c r="F18" i="133"/>
  <c r="F15" i="133"/>
  <c r="F13" i="133"/>
  <c r="F11" i="133"/>
  <c r="F9" i="133"/>
  <c r="F7" i="133"/>
  <c r="E19" i="133"/>
  <c r="E14" i="133"/>
  <c r="E10" i="133"/>
  <c r="F21" i="133"/>
  <c r="F19" i="133"/>
  <c r="F17" i="133"/>
  <c r="F14" i="133"/>
  <c r="F12" i="133"/>
  <c r="F10" i="133"/>
  <c r="F8" i="133"/>
  <c r="E64" i="133"/>
  <c r="E62" i="133"/>
  <c r="E59" i="133"/>
  <c r="E57" i="133"/>
  <c r="E55" i="133"/>
  <c r="E53" i="133"/>
  <c r="E51" i="133"/>
  <c r="E63" i="133"/>
  <c r="E58" i="133"/>
  <c r="E54" i="133"/>
  <c r="F64" i="133"/>
  <c r="F62" i="133"/>
  <c r="F59" i="133"/>
  <c r="F57" i="133"/>
  <c r="F55" i="133"/>
  <c r="F53" i="133"/>
  <c r="F51" i="133"/>
  <c r="C48" i="133"/>
  <c r="E65" i="133"/>
  <c r="E61" i="133"/>
  <c r="E56" i="133"/>
  <c r="E52" i="133"/>
  <c r="F65" i="133"/>
  <c r="F63" i="133"/>
  <c r="F61" i="133"/>
  <c r="F58" i="133"/>
  <c r="F56" i="133"/>
  <c r="F54" i="133"/>
  <c r="F52" i="133"/>
  <c r="E108" i="133"/>
  <c r="E106" i="133"/>
  <c r="E103" i="133"/>
  <c r="E101" i="133"/>
  <c r="E99" i="133"/>
  <c r="E97" i="133"/>
  <c r="E95" i="133"/>
  <c r="E107" i="133"/>
  <c r="E102" i="133"/>
  <c r="E98" i="133"/>
  <c r="F108" i="133"/>
  <c r="F106" i="133"/>
  <c r="F103" i="133"/>
  <c r="F101" i="133"/>
  <c r="F99" i="133"/>
  <c r="F97" i="133"/>
  <c r="F95" i="133"/>
  <c r="E109" i="133"/>
  <c r="E105" i="133"/>
  <c r="E100" i="133"/>
  <c r="E96" i="133"/>
  <c r="C92" i="133"/>
  <c r="F109" i="133"/>
  <c r="F107" i="133"/>
  <c r="F105" i="133"/>
  <c r="F102" i="133"/>
  <c r="F100" i="133"/>
  <c r="F98" i="133"/>
  <c r="F96" i="133"/>
  <c r="E152" i="133"/>
  <c r="E150" i="133"/>
  <c r="E147" i="133"/>
  <c r="E145" i="133"/>
  <c r="E143" i="133"/>
  <c r="E141" i="133"/>
  <c r="E139" i="133"/>
  <c r="E151" i="133"/>
  <c r="E146" i="133"/>
  <c r="E142" i="133"/>
  <c r="C136" i="133"/>
  <c r="F152" i="133"/>
  <c r="F150" i="133"/>
  <c r="F147" i="133"/>
  <c r="F145" i="133"/>
  <c r="F143" i="133"/>
  <c r="F141" i="133"/>
  <c r="F139" i="133"/>
  <c r="E153" i="133"/>
  <c r="E149" i="133"/>
  <c r="E144" i="133"/>
  <c r="E140" i="133"/>
  <c r="F153" i="133"/>
  <c r="F151" i="133"/>
  <c r="F149" i="133"/>
  <c r="F146" i="133"/>
  <c r="F144" i="133"/>
  <c r="F142" i="133"/>
  <c r="F140" i="133"/>
  <c r="E196" i="133"/>
  <c r="E194" i="133"/>
  <c r="E191" i="133"/>
  <c r="E189" i="133"/>
  <c r="E187" i="133"/>
  <c r="E185" i="133"/>
  <c r="E183" i="133"/>
  <c r="E195" i="133"/>
  <c r="E190" i="133"/>
  <c r="E186" i="133"/>
  <c r="F196" i="133"/>
  <c r="F194" i="133"/>
  <c r="F191" i="133"/>
  <c r="F189" i="133"/>
  <c r="F187" i="133"/>
  <c r="F185" i="133"/>
  <c r="F183" i="133"/>
  <c r="E197" i="133"/>
  <c r="E193" i="133"/>
  <c r="E188" i="133"/>
  <c r="E184" i="133"/>
  <c r="F197" i="133"/>
  <c r="F195" i="133"/>
  <c r="F193" i="133"/>
  <c r="F190" i="133"/>
  <c r="F188" i="133"/>
  <c r="F186" i="133"/>
  <c r="F184" i="133"/>
  <c r="C180" i="133"/>
  <c r="E240" i="133"/>
  <c r="E238" i="133"/>
  <c r="E235" i="133"/>
  <c r="E233" i="133"/>
  <c r="E231" i="133"/>
  <c r="E229" i="133"/>
  <c r="E227" i="133"/>
  <c r="E239" i="133"/>
  <c r="E234" i="133"/>
  <c r="E230" i="133"/>
  <c r="F240" i="133"/>
  <c r="F238" i="133"/>
  <c r="F235" i="133"/>
  <c r="F233" i="133"/>
  <c r="F231" i="133"/>
  <c r="F229" i="133"/>
  <c r="F227" i="133"/>
  <c r="E241" i="133"/>
  <c r="E237" i="133"/>
  <c r="E232" i="133"/>
  <c r="E228" i="133"/>
  <c r="C224" i="133"/>
  <c r="F241" i="133"/>
  <c r="F239" i="133"/>
  <c r="F237" i="133"/>
  <c r="F234" i="133"/>
  <c r="F232" i="133"/>
  <c r="F230" i="133"/>
  <c r="F228" i="133"/>
  <c r="E284" i="133"/>
  <c r="E282" i="133"/>
  <c r="E279" i="133"/>
  <c r="E277" i="133"/>
  <c r="E275" i="133"/>
  <c r="E273" i="133"/>
  <c r="E271" i="133"/>
  <c r="C268" i="133"/>
  <c r="E283" i="133"/>
  <c r="E278" i="133"/>
  <c r="E274" i="133"/>
  <c r="F285" i="133"/>
  <c r="F284" i="133"/>
  <c r="F282" i="133"/>
  <c r="F279" i="133"/>
  <c r="F277" i="133"/>
  <c r="F275" i="133"/>
  <c r="F273" i="133"/>
  <c r="F271" i="133"/>
  <c r="E285" i="133"/>
  <c r="E281" i="133"/>
  <c r="E276" i="133"/>
  <c r="E272" i="133"/>
  <c r="F283" i="133"/>
  <c r="F281" i="133"/>
  <c r="F278" i="133"/>
  <c r="F276" i="133"/>
  <c r="F274" i="133"/>
  <c r="F272" i="133"/>
  <c r="E42" i="133"/>
  <c r="E40" i="133"/>
  <c r="E37" i="133"/>
  <c r="E35" i="133"/>
  <c r="E33" i="133"/>
  <c r="E31" i="133"/>
  <c r="E29" i="133"/>
  <c r="E41" i="133"/>
  <c r="E36" i="133"/>
  <c r="E32" i="133"/>
  <c r="C26" i="133"/>
  <c r="F42" i="133"/>
  <c r="F40" i="133"/>
  <c r="F37" i="133"/>
  <c r="F35" i="133"/>
  <c r="F33" i="133"/>
  <c r="F31" i="133"/>
  <c r="F29" i="133"/>
  <c r="E43" i="133"/>
  <c r="E39" i="133"/>
  <c r="E34" i="133"/>
  <c r="E30" i="133"/>
  <c r="F43" i="133"/>
  <c r="F41" i="133"/>
  <c r="F39" i="133"/>
  <c r="F36" i="133"/>
  <c r="F34" i="133"/>
  <c r="F32" i="133"/>
  <c r="F30" i="133"/>
  <c r="G46" i="133"/>
  <c r="E86" i="133"/>
  <c r="E84" i="133"/>
  <c r="E81" i="133"/>
  <c r="E79" i="133"/>
  <c r="E77" i="133"/>
  <c r="E75" i="133"/>
  <c r="E73" i="133"/>
  <c r="E87" i="133"/>
  <c r="E83" i="133"/>
  <c r="E78" i="133"/>
  <c r="E74" i="133"/>
  <c r="C70" i="133"/>
  <c r="F86" i="133"/>
  <c r="F84" i="133"/>
  <c r="F81" i="133"/>
  <c r="F79" i="133"/>
  <c r="F77" i="133"/>
  <c r="F75" i="133"/>
  <c r="F73" i="133"/>
  <c r="G90" i="133"/>
  <c r="E85" i="133"/>
  <c r="E80" i="133"/>
  <c r="E76" i="133"/>
  <c r="F87" i="133"/>
  <c r="F85" i="133"/>
  <c r="F83" i="133"/>
  <c r="F80" i="133"/>
  <c r="F78" i="133"/>
  <c r="F76" i="133"/>
  <c r="F74" i="133"/>
  <c r="E130" i="133"/>
  <c r="E128" i="133"/>
  <c r="E125" i="133"/>
  <c r="E123" i="133"/>
  <c r="E121" i="133"/>
  <c r="E119" i="133"/>
  <c r="E117" i="133"/>
  <c r="C114" i="133"/>
  <c r="E131" i="133"/>
  <c r="E127" i="133"/>
  <c r="E122" i="133"/>
  <c r="E118" i="133"/>
  <c r="F130" i="133"/>
  <c r="F128" i="133"/>
  <c r="F125" i="133"/>
  <c r="F123" i="133"/>
  <c r="F121" i="133"/>
  <c r="F119" i="133"/>
  <c r="F117" i="133"/>
  <c r="G134" i="133"/>
  <c r="E129" i="133"/>
  <c r="E124" i="133"/>
  <c r="E120" i="133"/>
  <c r="F131" i="133"/>
  <c r="F129" i="133"/>
  <c r="F127" i="133"/>
  <c r="F124" i="133"/>
  <c r="F122" i="133"/>
  <c r="F120" i="133"/>
  <c r="F118" i="133"/>
  <c r="E174" i="133"/>
  <c r="E172" i="133"/>
  <c r="E169" i="133"/>
  <c r="E167" i="133"/>
  <c r="E165" i="133"/>
  <c r="E163" i="133"/>
  <c r="E161" i="133"/>
  <c r="E175" i="133"/>
  <c r="E171" i="133"/>
  <c r="E166" i="133"/>
  <c r="E162" i="133"/>
  <c r="F174" i="133"/>
  <c r="F172" i="133"/>
  <c r="F169" i="133"/>
  <c r="F167" i="133"/>
  <c r="F165" i="133"/>
  <c r="F163" i="133"/>
  <c r="F161" i="133"/>
  <c r="C158" i="133"/>
  <c r="E173" i="133"/>
  <c r="E168" i="133"/>
  <c r="E164" i="133"/>
  <c r="G178" i="133"/>
  <c r="F175" i="133"/>
  <c r="F173" i="133"/>
  <c r="F171" i="133"/>
  <c r="F168" i="133"/>
  <c r="F166" i="133"/>
  <c r="F164" i="133"/>
  <c r="F162" i="133"/>
  <c r="E218" i="133"/>
  <c r="E216" i="133"/>
  <c r="E213" i="133"/>
  <c r="E211" i="133"/>
  <c r="E209" i="133"/>
  <c r="E207" i="133"/>
  <c r="E205" i="133"/>
  <c r="G222" i="133"/>
  <c r="C202" i="133"/>
  <c r="E219" i="133"/>
  <c r="E215" i="133"/>
  <c r="E210" i="133"/>
  <c r="E206" i="133"/>
  <c r="F218" i="133"/>
  <c r="F216" i="133"/>
  <c r="F213" i="133"/>
  <c r="F211" i="133"/>
  <c r="F209" i="133"/>
  <c r="F207" i="133"/>
  <c r="F205" i="133"/>
  <c r="E217" i="133"/>
  <c r="E212" i="133"/>
  <c r="E208" i="133"/>
  <c r="F219" i="133"/>
  <c r="F217" i="133"/>
  <c r="F215" i="133"/>
  <c r="F212" i="133"/>
  <c r="F210" i="133"/>
  <c r="F208" i="133"/>
  <c r="F206" i="133"/>
  <c r="E262" i="133"/>
  <c r="E260" i="133"/>
  <c r="E257" i="133"/>
  <c r="E255" i="133"/>
  <c r="E253" i="133"/>
  <c r="E251" i="133"/>
  <c r="E249" i="133"/>
  <c r="C246" i="133"/>
  <c r="E263" i="133"/>
  <c r="E259" i="133"/>
  <c r="E254" i="133"/>
  <c r="E250" i="133"/>
  <c r="G266" i="133"/>
  <c r="F262" i="133"/>
  <c r="F260" i="133"/>
  <c r="F257" i="133"/>
  <c r="F255" i="133"/>
  <c r="F253" i="133"/>
  <c r="F251" i="133"/>
  <c r="F249" i="133"/>
  <c r="E261" i="133"/>
  <c r="E256" i="133"/>
  <c r="E252" i="133"/>
  <c r="F263" i="133"/>
  <c r="F261" i="133"/>
  <c r="F259" i="133"/>
  <c r="F256" i="133"/>
  <c r="F254" i="133"/>
  <c r="F252" i="133"/>
  <c r="F250" i="133"/>
  <c r="E42" i="122"/>
  <c r="E40" i="122"/>
  <c r="E37" i="122"/>
  <c r="E35" i="122"/>
  <c r="E33" i="122"/>
  <c r="E31" i="122"/>
  <c r="E29" i="122"/>
  <c r="C26" i="122"/>
  <c r="E43" i="122"/>
  <c r="E41" i="122"/>
  <c r="E39" i="122"/>
  <c r="E36" i="122"/>
  <c r="E34" i="122"/>
  <c r="E32" i="122"/>
  <c r="E30" i="122"/>
  <c r="F43" i="122"/>
  <c r="F39" i="122"/>
  <c r="F34" i="122"/>
  <c r="F30" i="122"/>
  <c r="F42" i="122"/>
  <c r="F40" i="122"/>
  <c r="F37" i="122"/>
  <c r="F35" i="122"/>
  <c r="F33" i="122"/>
  <c r="F31" i="122"/>
  <c r="F29" i="122"/>
  <c r="G46" i="122"/>
  <c r="F41" i="122"/>
  <c r="F36" i="122"/>
  <c r="F32" i="122"/>
  <c r="E86" i="122"/>
  <c r="E84" i="122"/>
  <c r="E81" i="122"/>
  <c r="E79" i="122"/>
  <c r="E77" i="122"/>
  <c r="E75" i="122"/>
  <c r="E73" i="122"/>
  <c r="E87" i="122"/>
  <c r="E85" i="122"/>
  <c r="E83" i="122"/>
  <c r="E80" i="122"/>
  <c r="E78" i="122"/>
  <c r="E76" i="122"/>
  <c r="E74" i="122"/>
  <c r="F85" i="122"/>
  <c r="F80" i="122"/>
  <c r="F76" i="122"/>
  <c r="G90" i="122"/>
  <c r="F86" i="122"/>
  <c r="F84" i="122"/>
  <c r="F81" i="122"/>
  <c r="F79" i="122"/>
  <c r="F77" i="122"/>
  <c r="F75" i="122"/>
  <c r="F73" i="122"/>
  <c r="F87" i="122"/>
  <c r="F83" i="122"/>
  <c r="F78" i="122"/>
  <c r="F74" i="122"/>
  <c r="C70" i="122"/>
  <c r="E130" i="122"/>
  <c r="E128" i="122"/>
  <c r="E125" i="122"/>
  <c r="E123" i="122"/>
  <c r="E121" i="122"/>
  <c r="E119" i="122"/>
  <c r="E117" i="122"/>
  <c r="G134" i="122"/>
  <c r="E131" i="122"/>
  <c r="E129" i="122"/>
  <c r="E127" i="122"/>
  <c r="E124" i="122"/>
  <c r="E122" i="122"/>
  <c r="E120" i="122"/>
  <c r="E118" i="122"/>
  <c r="F129" i="122"/>
  <c r="F124" i="122"/>
  <c r="F120" i="122"/>
  <c r="F130" i="122"/>
  <c r="F128" i="122"/>
  <c r="F125" i="122"/>
  <c r="F123" i="122"/>
  <c r="F121" i="122"/>
  <c r="F119" i="122"/>
  <c r="F117" i="122"/>
  <c r="C114" i="122"/>
  <c r="F131" i="122"/>
  <c r="F127" i="122"/>
  <c r="F122" i="122"/>
  <c r="F118" i="122"/>
  <c r="E174" i="122"/>
  <c r="E172" i="122"/>
  <c r="E169" i="122"/>
  <c r="E167" i="122"/>
  <c r="E165" i="122"/>
  <c r="E163" i="122"/>
  <c r="E161" i="122"/>
  <c r="E175" i="122"/>
  <c r="E173" i="122"/>
  <c r="E171" i="122"/>
  <c r="E168" i="122"/>
  <c r="E166" i="122"/>
  <c r="E164" i="122"/>
  <c r="E162" i="122"/>
  <c r="F173" i="122"/>
  <c r="F168" i="122"/>
  <c r="F164" i="122"/>
  <c r="F174" i="122"/>
  <c r="F172" i="122"/>
  <c r="F169" i="122"/>
  <c r="F167" i="122"/>
  <c r="F165" i="122"/>
  <c r="F163" i="122"/>
  <c r="F161" i="122"/>
  <c r="G178" i="122"/>
  <c r="C158" i="122"/>
  <c r="F175" i="122"/>
  <c r="F171" i="122"/>
  <c r="F166" i="122"/>
  <c r="F162" i="122"/>
  <c r="E20" i="122"/>
  <c r="E18" i="122"/>
  <c r="E15" i="122"/>
  <c r="E13" i="122"/>
  <c r="E11" i="122"/>
  <c r="E9" i="122"/>
  <c r="E7" i="122"/>
  <c r="E21" i="122"/>
  <c r="E19" i="122"/>
  <c r="E17" i="122"/>
  <c r="E14" i="122"/>
  <c r="E12" i="122"/>
  <c r="E10" i="122"/>
  <c r="E8" i="122"/>
  <c r="G24" i="122"/>
  <c r="F19" i="122"/>
  <c r="F14" i="122"/>
  <c r="F10" i="122"/>
  <c r="F20" i="122"/>
  <c r="F18" i="122"/>
  <c r="F15" i="122"/>
  <c r="F13" i="122"/>
  <c r="F11" i="122"/>
  <c r="F9" i="122"/>
  <c r="F7" i="122"/>
  <c r="F21" i="122"/>
  <c r="F17" i="122"/>
  <c r="F12" i="122"/>
  <c r="F8" i="122"/>
  <c r="C4" i="122"/>
  <c r="E64" i="122"/>
  <c r="E62" i="122"/>
  <c r="E59" i="122"/>
  <c r="E57" i="122"/>
  <c r="E55" i="122"/>
  <c r="E53" i="122"/>
  <c r="E51" i="122"/>
  <c r="C48" i="122"/>
  <c r="E65" i="122"/>
  <c r="E63" i="122"/>
  <c r="E61" i="122"/>
  <c r="E58" i="122"/>
  <c r="E56" i="122"/>
  <c r="E54" i="122"/>
  <c r="E52" i="122"/>
  <c r="F65" i="122"/>
  <c r="F61" i="122"/>
  <c r="F54" i="122"/>
  <c r="F64" i="122"/>
  <c r="F62" i="122"/>
  <c r="F59" i="122"/>
  <c r="F57" i="122"/>
  <c r="F55" i="122"/>
  <c r="F53" i="122"/>
  <c r="F51" i="122"/>
  <c r="G68" i="122"/>
  <c r="F63" i="122"/>
  <c r="F58" i="122"/>
  <c r="F56" i="122"/>
  <c r="F52" i="122"/>
  <c r="E108" i="122"/>
  <c r="E106" i="122"/>
  <c r="E103" i="122"/>
  <c r="E101" i="122"/>
  <c r="E99" i="122"/>
  <c r="E97" i="122"/>
  <c r="E95" i="122"/>
  <c r="G112" i="122"/>
  <c r="E109" i="122"/>
  <c r="E107" i="122"/>
  <c r="E105" i="122"/>
  <c r="E102" i="122"/>
  <c r="E100" i="122"/>
  <c r="E98" i="122"/>
  <c r="E96" i="122"/>
  <c r="F109" i="122"/>
  <c r="F105" i="122"/>
  <c r="F100" i="122"/>
  <c r="F96" i="122"/>
  <c r="F108" i="122"/>
  <c r="F106" i="122"/>
  <c r="F103" i="122"/>
  <c r="F101" i="122"/>
  <c r="F99" i="122"/>
  <c r="F97" i="122"/>
  <c r="F95" i="122"/>
  <c r="C92" i="122"/>
  <c r="F107" i="122"/>
  <c r="F102" i="122"/>
  <c r="F98" i="122"/>
  <c r="E152" i="122"/>
  <c r="E150" i="122"/>
  <c r="E147" i="122"/>
  <c r="E145" i="122"/>
  <c r="E143" i="122"/>
  <c r="E141" i="122"/>
  <c r="E139" i="122"/>
  <c r="E153" i="122"/>
  <c r="E151" i="122"/>
  <c r="E149" i="122"/>
  <c r="E146" i="122"/>
  <c r="E144" i="122"/>
  <c r="E142" i="122"/>
  <c r="E140" i="122"/>
  <c r="F153" i="122"/>
  <c r="F149" i="122"/>
  <c r="F144" i="122"/>
  <c r="F140" i="122"/>
  <c r="G156" i="122"/>
  <c r="F152" i="122"/>
  <c r="F150" i="122"/>
  <c r="F147" i="122"/>
  <c r="F145" i="122"/>
  <c r="F143" i="122"/>
  <c r="F141" i="122"/>
  <c r="F139" i="122"/>
  <c r="C136" i="122"/>
  <c r="F151" i="122"/>
  <c r="F146" i="122"/>
  <c r="F142" i="122"/>
  <c r="E196" i="122"/>
  <c r="E194" i="122"/>
  <c r="E191" i="122"/>
  <c r="E189" i="122"/>
  <c r="E187" i="122"/>
  <c r="E185" i="122"/>
  <c r="E183" i="122"/>
  <c r="E195" i="122"/>
  <c r="E193" i="122"/>
  <c r="E190" i="122"/>
  <c r="E188" i="122"/>
  <c r="E186" i="122"/>
  <c r="E184" i="122"/>
  <c r="F197" i="122"/>
  <c r="F193" i="122"/>
  <c r="F188" i="122"/>
  <c r="F184" i="122"/>
  <c r="C180" i="122"/>
  <c r="F196" i="122"/>
  <c r="F194" i="122"/>
  <c r="F191" i="122"/>
  <c r="F189" i="122"/>
  <c r="F187" i="122"/>
  <c r="F185" i="122"/>
  <c r="F183" i="122"/>
  <c r="E197" i="122"/>
  <c r="G200" i="122"/>
  <c r="F195" i="122"/>
  <c r="F190" i="122"/>
  <c r="F186" i="122"/>
  <c r="E20" i="123"/>
  <c r="E18" i="123"/>
  <c r="E15" i="123"/>
  <c r="E13" i="123"/>
  <c r="E11" i="123"/>
  <c r="E9" i="123"/>
  <c r="E7" i="123"/>
  <c r="F18" i="123"/>
  <c r="F13" i="123"/>
  <c r="F9" i="123"/>
  <c r="E21" i="123"/>
  <c r="E17" i="123"/>
  <c r="E12" i="123"/>
  <c r="E8" i="123"/>
  <c r="F21" i="123"/>
  <c r="F19" i="123"/>
  <c r="F17" i="123"/>
  <c r="F14" i="123"/>
  <c r="F12" i="123"/>
  <c r="F10" i="123"/>
  <c r="F8" i="123"/>
  <c r="G24" i="123"/>
  <c r="F20" i="123"/>
  <c r="F15" i="123"/>
  <c r="F11" i="123"/>
  <c r="F7" i="123"/>
  <c r="C4" i="123"/>
  <c r="E19" i="123"/>
  <c r="E14" i="123"/>
  <c r="E10" i="123"/>
  <c r="E64" i="123"/>
  <c r="E62" i="123"/>
  <c r="E59" i="123"/>
  <c r="E57" i="123"/>
  <c r="E55" i="123"/>
  <c r="E53" i="123"/>
  <c r="E51" i="123"/>
  <c r="G68" i="123"/>
  <c r="C48" i="123"/>
  <c r="F62" i="123"/>
  <c r="F57" i="123"/>
  <c r="F53" i="123"/>
  <c r="E65" i="123"/>
  <c r="E61" i="123"/>
  <c r="E56" i="123"/>
  <c r="E52" i="123"/>
  <c r="F65" i="123"/>
  <c r="F63" i="123"/>
  <c r="F61" i="123"/>
  <c r="F58" i="123"/>
  <c r="F56" i="123"/>
  <c r="F54" i="123"/>
  <c r="F52" i="123"/>
  <c r="F64" i="123"/>
  <c r="F59" i="123"/>
  <c r="F55" i="123"/>
  <c r="F51" i="123"/>
  <c r="E63" i="123"/>
  <c r="E58" i="123"/>
  <c r="E54" i="123"/>
  <c r="E108" i="123"/>
  <c r="E106" i="123"/>
  <c r="E103" i="123"/>
  <c r="E101" i="123"/>
  <c r="E99" i="123"/>
  <c r="E97" i="123"/>
  <c r="E95" i="123"/>
  <c r="F106" i="123"/>
  <c r="F101" i="123"/>
  <c r="F97" i="123"/>
  <c r="G112" i="123"/>
  <c r="E109" i="123"/>
  <c r="E105" i="123"/>
  <c r="E100" i="123"/>
  <c r="E96" i="123"/>
  <c r="F109" i="123"/>
  <c r="F107" i="123"/>
  <c r="F105" i="123"/>
  <c r="F102" i="123"/>
  <c r="F100" i="123"/>
  <c r="F98" i="123"/>
  <c r="F96" i="123"/>
  <c r="C92" i="123"/>
  <c r="F108" i="123"/>
  <c r="F103" i="123"/>
  <c r="F99" i="123"/>
  <c r="F95" i="123"/>
  <c r="E107" i="123"/>
  <c r="E102" i="123"/>
  <c r="E98" i="123"/>
  <c r="E152" i="123"/>
  <c r="E150" i="123"/>
  <c r="E147" i="123"/>
  <c r="E145" i="123"/>
  <c r="E143" i="123"/>
  <c r="E141" i="123"/>
  <c r="E139" i="123"/>
  <c r="F152" i="123"/>
  <c r="F147" i="123"/>
  <c r="F143" i="123"/>
  <c r="F139" i="123"/>
  <c r="E153" i="123"/>
  <c r="E149" i="123"/>
  <c r="E144" i="123"/>
  <c r="E140" i="123"/>
  <c r="G156" i="123"/>
  <c r="C136" i="123"/>
  <c r="F153" i="123"/>
  <c r="F151" i="123"/>
  <c r="F149" i="123"/>
  <c r="F146" i="123"/>
  <c r="F144" i="123"/>
  <c r="F142" i="123"/>
  <c r="F140" i="123"/>
  <c r="F150" i="123"/>
  <c r="F145" i="123"/>
  <c r="F141" i="123"/>
  <c r="E151" i="123"/>
  <c r="E146" i="123"/>
  <c r="E142" i="123"/>
  <c r="E196" i="123"/>
  <c r="E194" i="123"/>
  <c r="E191" i="123"/>
  <c r="E189" i="123"/>
  <c r="E187" i="123"/>
  <c r="E185" i="123"/>
  <c r="E183" i="123"/>
  <c r="F196" i="123"/>
  <c r="F191" i="123"/>
  <c r="F187" i="123"/>
  <c r="F183" i="123"/>
  <c r="E197" i="123"/>
  <c r="E193" i="123"/>
  <c r="E188" i="123"/>
  <c r="E184" i="123"/>
  <c r="F197" i="123"/>
  <c r="F195" i="123"/>
  <c r="F193" i="123"/>
  <c r="F190" i="123"/>
  <c r="F188" i="123"/>
  <c r="F186" i="123"/>
  <c r="F184" i="123"/>
  <c r="G200" i="123"/>
  <c r="F194" i="123"/>
  <c r="F189" i="123"/>
  <c r="F185" i="123"/>
  <c r="C180" i="123"/>
  <c r="E195" i="123"/>
  <c r="E190" i="123"/>
  <c r="E186" i="123"/>
  <c r="E42" i="123"/>
  <c r="E40" i="123"/>
  <c r="E37" i="123"/>
  <c r="E35" i="123"/>
  <c r="E33" i="123"/>
  <c r="E31" i="123"/>
  <c r="E29" i="123"/>
  <c r="F42" i="123"/>
  <c r="F37" i="123"/>
  <c r="F33" i="123"/>
  <c r="F29" i="123"/>
  <c r="E41" i="123"/>
  <c r="E36" i="123"/>
  <c r="E32" i="123"/>
  <c r="G46" i="123"/>
  <c r="F43" i="123"/>
  <c r="F41" i="123"/>
  <c r="F39" i="123"/>
  <c r="F36" i="123"/>
  <c r="F34" i="123"/>
  <c r="F32" i="123"/>
  <c r="F30" i="123"/>
  <c r="F40" i="123"/>
  <c r="F35" i="123"/>
  <c r="F31" i="123"/>
  <c r="C26" i="123"/>
  <c r="E43" i="123"/>
  <c r="E39" i="123"/>
  <c r="E34" i="123"/>
  <c r="E30" i="123"/>
  <c r="E86" i="123"/>
  <c r="E84" i="123"/>
  <c r="E81" i="123"/>
  <c r="E79" i="123"/>
  <c r="E77" i="123"/>
  <c r="E75" i="123"/>
  <c r="E73" i="123"/>
  <c r="F86" i="123"/>
  <c r="F81" i="123"/>
  <c r="F77" i="123"/>
  <c r="F73" i="123"/>
  <c r="G90" i="123"/>
  <c r="E85" i="123"/>
  <c r="E80" i="123"/>
  <c r="E76" i="123"/>
  <c r="F87" i="123"/>
  <c r="F85" i="123"/>
  <c r="F83" i="123"/>
  <c r="F80" i="123"/>
  <c r="F78" i="123"/>
  <c r="F76" i="123"/>
  <c r="F74" i="123"/>
  <c r="F84" i="123"/>
  <c r="F79" i="123"/>
  <c r="F75" i="123"/>
  <c r="E87" i="123"/>
  <c r="E83" i="123"/>
  <c r="E78" i="123"/>
  <c r="E74" i="123"/>
  <c r="C70" i="123"/>
  <c r="E130" i="123"/>
  <c r="E128" i="123"/>
  <c r="E125" i="123"/>
  <c r="E123" i="123"/>
  <c r="E121" i="123"/>
  <c r="E119" i="123"/>
  <c r="E117" i="123"/>
  <c r="G134" i="123"/>
  <c r="F128" i="123"/>
  <c r="F123" i="123"/>
  <c r="F119" i="123"/>
  <c r="F117" i="123"/>
  <c r="E129" i="123"/>
  <c r="E124" i="123"/>
  <c r="E120" i="123"/>
  <c r="F131" i="123"/>
  <c r="F129" i="123"/>
  <c r="F127" i="123"/>
  <c r="F124" i="123"/>
  <c r="F122" i="123"/>
  <c r="F120" i="123"/>
  <c r="F118" i="123"/>
  <c r="C114" i="123"/>
  <c r="F130" i="123"/>
  <c r="F125" i="123"/>
  <c r="F121" i="123"/>
  <c r="E131" i="123"/>
  <c r="E127" i="123"/>
  <c r="E122" i="123"/>
  <c r="E118" i="123"/>
  <c r="E174" i="123"/>
  <c r="E172" i="123"/>
  <c r="E169" i="123"/>
  <c r="E167" i="123"/>
  <c r="E165" i="123"/>
  <c r="E163" i="123"/>
  <c r="E161" i="123"/>
  <c r="C158" i="123"/>
  <c r="F172" i="123"/>
  <c r="F167" i="123"/>
  <c r="F163" i="123"/>
  <c r="E173" i="123"/>
  <c r="E168" i="123"/>
  <c r="E164" i="123"/>
  <c r="F175" i="123"/>
  <c r="F173" i="123"/>
  <c r="F171" i="123"/>
  <c r="F168" i="123"/>
  <c r="F166" i="123"/>
  <c r="F164" i="123"/>
  <c r="F162" i="123"/>
  <c r="G178" i="123"/>
  <c r="F174" i="123"/>
  <c r="F169" i="123"/>
  <c r="F165" i="123"/>
  <c r="F161" i="123"/>
  <c r="E175" i="123"/>
  <c r="E171" i="123"/>
  <c r="E166" i="123"/>
  <c r="E162" i="123"/>
  <c r="E218" i="123"/>
  <c r="E216" i="123"/>
  <c r="E213" i="123"/>
  <c r="E211" i="123"/>
  <c r="E209" i="123"/>
  <c r="E207" i="123"/>
  <c r="E205" i="123"/>
  <c r="F218" i="123"/>
  <c r="F211" i="123"/>
  <c r="F207" i="123"/>
  <c r="E219" i="123"/>
  <c r="E212" i="123"/>
  <c r="E208" i="123"/>
  <c r="F219" i="123"/>
  <c r="F217" i="123"/>
  <c r="F215" i="123"/>
  <c r="F212" i="123"/>
  <c r="F210" i="123"/>
  <c r="F208" i="123"/>
  <c r="F206" i="123"/>
  <c r="F216" i="123"/>
  <c r="F213" i="123"/>
  <c r="F209" i="123"/>
  <c r="F205" i="123"/>
  <c r="C202" i="123"/>
  <c r="E217" i="123"/>
  <c r="E215" i="123"/>
  <c r="E210" i="123"/>
  <c r="E206" i="123"/>
  <c r="G222" i="123"/>
  <c r="E20" i="124"/>
  <c r="E18" i="124"/>
  <c r="E15" i="124"/>
  <c r="E13" i="124"/>
  <c r="E11" i="124"/>
  <c r="E9" i="124"/>
  <c r="E7" i="124"/>
  <c r="F20" i="124"/>
  <c r="F18" i="124"/>
  <c r="F15" i="124"/>
  <c r="F13" i="124"/>
  <c r="F11" i="124"/>
  <c r="F9" i="124"/>
  <c r="F7" i="124"/>
  <c r="E21" i="124"/>
  <c r="E19" i="124"/>
  <c r="E17" i="124"/>
  <c r="E14" i="124"/>
  <c r="E12" i="124"/>
  <c r="E10" i="124"/>
  <c r="E8" i="124"/>
  <c r="F21" i="124"/>
  <c r="F19" i="124"/>
  <c r="F17" i="124"/>
  <c r="F14" i="124"/>
  <c r="F12" i="124"/>
  <c r="F10" i="124"/>
  <c r="F8" i="124"/>
  <c r="C4" i="124"/>
  <c r="G24" i="124"/>
  <c r="E64" i="124"/>
  <c r="E62" i="124"/>
  <c r="E59" i="124"/>
  <c r="E57" i="124"/>
  <c r="E55" i="124"/>
  <c r="E53" i="124"/>
  <c r="E51" i="124"/>
  <c r="G68" i="124"/>
  <c r="C48" i="124"/>
  <c r="F64" i="124"/>
  <c r="F62" i="124"/>
  <c r="F59" i="124"/>
  <c r="F57" i="124"/>
  <c r="F55" i="124"/>
  <c r="F53" i="124"/>
  <c r="F51" i="124"/>
  <c r="E65" i="124"/>
  <c r="E63" i="124"/>
  <c r="E61" i="124"/>
  <c r="E58" i="124"/>
  <c r="E56" i="124"/>
  <c r="E54" i="124"/>
  <c r="E52" i="124"/>
  <c r="F65" i="124"/>
  <c r="F63" i="124"/>
  <c r="F61" i="124"/>
  <c r="F58" i="124"/>
  <c r="F56" i="124"/>
  <c r="F54" i="124"/>
  <c r="F52" i="124"/>
  <c r="E108" i="124"/>
  <c r="E106" i="124"/>
  <c r="E103" i="124"/>
  <c r="E101" i="124"/>
  <c r="E99" i="124"/>
  <c r="E97" i="124"/>
  <c r="E95" i="124"/>
  <c r="F108" i="124"/>
  <c r="F106" i="124"/>
  <c r="F103" i="124"/>
  <c r="F101" i="124"/>
  <c r="F99" i="124"/>
  <c r="F97" i="124"/>
  <c r="F95" i="124"/>
  <c r="G112" i="124"/>
  <c r="C92" i="124"/>
  <c r="E109" i="124"/>
  <c r="E107" i="124"/>
  <c r="E105" i="124"/>
  <c r="E102" i="124"/>
  <c r="E100" i="124"/>
  <c r="E98" i="124"/>
  <c r="E96" i="124"/>
  <c r="F109" i="124"/>
  <c r="F107" i="124"/>
  <c r="F105" i="124"/>
  <c r="F102" i="124"/>
  <c r="F100" i="124"/>
  <c r="F98" i="124"/>
  <c r="F96" i="124"/>
  <c r="E152" i="124"/>
  <c r="E150" i="124"/>
  <c r="E147" i="124"/>
  <c r="E145" i="124"/>
  <c r="E143" i="124"/>
  <c r="E141" i="124"/>
  <c r="E139" i="124"/>
  <c r="F152" i="124"/>
  <c r="F150" i="124"/>
  <c r="F147" i="124"/>
  <c r="F145" i="124"/>
  <c r="F143" i="124"/>
  <c r="F141" i="124"/>
  <c r="F139" i="124"/>
  <c r="E153" i="124"/>
  <c r="E151" i="124"/>
  <c r="E149" i="124"/>
  <c r="E146" i="124"/>
  <c r="E144" i="124"/>
  <c r="E142" i="124"/>
  <c r="E140" i="124"/>
  <c r="F153" i="124"/>
  <c r="F151" i="124"/>
  <c r="F149" i="124"/>
  <c r="F146" i="124"/>
  <c r="F144" i="124"/>
  <c r="F142" i="124"/>
  <c r="F140" i="124"/>
  <c r="G156" i="124"/>
  <c r="C136" i="124"/>
  <c r="E196" i="124"/>
  <c r="E194" i="124"/>
  <c r="E191" i="124"/>
  <c r="E189" i="124"/>
  <c r="E187" i="124"/>
  <c r="E185" i="124"/>
  <c r="E183" i="124"/>
  <c r="G200" i="124"/>
  <c r="C180" i="124"/>
  <c r="F196" i="124"/>
  <c r="F194" i="124"/>
  <c r="F191" i="124"/>
  <c r="F189" i="124"/>
  <c r="F187" i="124"/>
  <c r="F185" i="124"/>
  <c r="F183" i="124"/>
  <c r="E197" i="124"/>
  <c r="E195" i="124"/>
  <c r="E193" i="124"/>
  <c r="E190" i="124"/>
  <c r="E188" i="124"/>
  <c r="E186" i="124"/>
  <c r="E184" i="124"/>
  <c r="F197" i="124"/>
  <c r="F195" i="124"/>
  <c r="F193" i="124"/>
  <c r="F190" i="124"/>
  <c r="F188" i="124"/>
  <c r="F186" i="124"/>
  <c r="F184" i="124"/>
  <c r="E240" i="124"/>
  <c r="E238" i="124"/>
  <c r="E235" i="124"/>
  <c r="E233" i="124"/>
  <c r="E231" i="124"/>
  <c r="E229" i="124"/>
  <c r="E227" i="124"/>
  <c r="F235" i="124"/>
  <c r="F233" i="124"/>
  <c r="F231" i="124"/>
  <c r="F229" i="124"/>
  <c r="F227" i="124"/>
  <c r="E241" i="124"/>
  <c r="E237" i="124"/>
  <c r="E234" i="124"/>
  <c r="E232" i="124"/>
  <c r="E230" i="124"/>
  <c r="E228" i="124"/>
  <c r="G244" i="124"/>
  <c r="C224" i="124"/>
  <c r="F241" i="124"/>
  <c r="F239" i="124"/>
  <c r="F237" i="124"/>
  <c r="F234" i="124"/>
  <c r="F232" i="124"/>
  <c r="F230" i="124"/>
  <c r="F228" i="124"/>
  <c r="F240" i="124"/>
  <c r="E239" i="124"/>
  <c r="F238" i="124"/>
  <c r="E42" i="124"/>
  <c r="E40" i="124"/>
  <c r="E37" i="124"/>
  <c r="E35" i="124"/>
  <c r="E33" i="124"/>
  <c r="E31" i="124"/>
  <c r="E29" i="124"/>
  <c r="F42" i="124"/>
  <c r="F40" i="124"/>
  <c r="F37" i="124"/>
  <c r="F35" i="124"/>
  <c r="F33" i="124"/>
  <c r="F31" i="124"/>
  <c r="F29" i="124"/>
  <c r="E43" i="124"/>
  <c r="E41" i="124"/>
  <c r="E39" i="124"/>
  <c r="E36" i="124"/>
  <c r="E34" i="124"/>
  <c r="E32" i="124"/>
  <c r="E30" i="124"/>
  <c r="F43" i="124"/>
  <c r="F41" i="124"/>
  <c r="F39" i="124"/>
  <c r="F36" i="124"/>
  <c r="F34" i="124"/>
  <c r="F32" i="124"/>
  <c r="F30" i="124"/>
  <c r="G46" i="124"/>
  <c r="C26" i="124"/>
  <c r="E86" i="124"/>
  <c r="E84" i="124"/>
  <c r="E81" i="124"/>
  <c r="E79" i="124"/>
  <c r="E77" i="124"/>
  <c r="E75" i="124"/>
  <c r="E73" i="124"/>
  <c r="G90" i="124"/>
  <c r="F86" i="124"/>
  <c r="F84" i="124"/>
  <c r="F81" i="124"/>
  <c r="F79" i="124"/>
  <c r="F77" i="124"/>
  <c r="F75" i="124"/>
  <c r="F73" i="124"/>
  <c r="C70" i="124"/>
  <c r="E87" i="124"/>
  <c r="E85" i="124"/>
  <c r="E83" i="124"/>
  <c r="E80" i="124"/>
  <c r="E78" i="124"/>
  <c r="E76" i="124"/>
  <c r="E74" i="124"/>
  <c r="F87" i="124"/>
  <c r="F85" i="124"/>
  <c r="F83" i="124"/>
  <c r="F80" i="124"/>
  <c r="F78" i="124"/>
  <c r="F76" i="124"/>
  <c r="F74" i="124"/>
  <c r="E130" i="124"/>
  <c r="E128" i="124"/>
  <c r="E125" i="124"/>
  <c r="E123" i="124"/>
  <c r="E121" i="124"/>
  <c r="E119" i="124"/>
  <c r="E117" i="124"/>
  <c r="F130" i="124"/>
  <c r="F128" i="124"/>
  <c r="F125" i="124"/>
  <c r="F123" i="124"/>
  <c r="F121" i="124"/>
  <c r="F119" i="124"/>
  <c r="F117" i="124"/>
  <c r="E131" i="124"/>
  <c r="E129" i="124"/>
  <c r="E127" i="124"/>
  <c r="E124" i="124"/>
  <c r="E122" i="124"/>
  <c r="E120" i="124"/>
  <c r="E118" i="124"/>
  <c r="G134" i="124"/>
  <c r="C114" i="124"/>
  <c r="F131" i="124"/>
  <c r="F129" i="124"/>
  <c r="F127" i="124"/>
  <c r="F124" i="124"/>
  <c r="F122" i="124"/>
  <c r="F120" i="124"/>
  <c r="F118" i="124"/>
  <c r="E174" i="124"/>
  <c r="E172" i="124"/>
  <c r="E169" i="124"/>
  <c r="E167" i="124"/>
  <c r="E165" i="124"/>
  <c r="E163" i="124"/>
  <c r="E161" i="124"/>
  <c r="C158" i="124"/>
  <c r="F174" i="124"/>
  <c r="F172" i="124"/>
  <c r="F169" i="124"/>
  <c r="F167" i="124"/>
  <c r="F165" i="124"/>
  <c r="F163" i="124"/>
  <c r="F161" i="124"/>
  <c r="E175" i="124"/>
  <c r="E173" i="124"/>
  <c r="E171" i="124"/>
  <c r="E168" i="124"/>
  <c r="E166" i="124"/>
  <c r="E164" i="124"/>
  <c r="E162" i="124"/>
  <c r="F175" i="124"/>
  <c r="F173" i="124"/>
  <c r="F171" i="124"/>
  <c r="F168" i="124"/>
  <c r="F166" i="124"/>
  <c r="F164" i="124"/>
  <c r="F162" i="124"/>
  <c r="G178" i="124"/>
  <c r="E218" i="124"/>
  <c r="E216" i="124"/>
  <c r="E213" i="124"/>
  <c r="E211" i="124"/>
  <c r="E209" i="124"/>
  <c r="E207" i="124"/>
  <c r="E205" i="124"/>
  <c r="F218" i="124"/>
  <c r="F216" i="124"/>
  <c r="F213" i="124"/>
  <c r="F211" i="124"/>
  <c r="F209" i="124"/>
  <c r="F207" i="124"/>
  <c r="F205" i="124"/>
  <c r="G222" i="124"/>
  <c r="C202" i="124"/>
  <c r="E219" i="124"/>
  <c r="E217" i="124"/>
  <c r="E215" i="124"/>
  <c r="E212" i="124"/>
  <c r="E210" i="124"/>
  <c r="E208" i="124"/>
  <c r="E206" i="124"/>
  <c r="F219" i="124"/>
  <c r="F217" i="124"/>
  <c r="F215" i="124"/>
  <c r="F212" i="124"/>
  <c r="F210" i="124"/>
  <c r="F208" i="124"/>
  <c r="F206" i="124"/>
  <c r="E42" i="125"/>
  <c r="E40" i="125"/>
  <c r="E37" i="125"/>
  <c r="E35" i="125"/>
  <c r="E33" i="125"/>
  <c r="E31" i="125"/>
  <c r="E29" i="125"/>
  <c r="F40" i="125"/>
  <c r="F35" i="125"/>
  <c r="F31" i="125"/>
  <c r="E43" i="125"/>
  <c r="E39" i="125"/>
  <c r="E34" i="125"/>
  <c r="E30" i="125"/>
  <c r="G46" i="125"/>
  <c r="F43" i="125"/>
  <c r="F41" i="125"/>
  <c r="F39" i="125"/>
  <c r="F36" i="125"/>
  <c r="F34" i="125"/>
  <c r="F32" i="125"/>
  <c r="F30" i="125"/>
  <c r="F42" i="125"/>
  <c r="F37" i="125"/>
  <c r="F33" i="125"/>
  <c r="F29" i="125"/>
  <c r="E41" i="125"/>
  <c r="E36" i="125"/>
  <c r="E32" i="125"/>
  <c r="C26" i="125"/>
  <c r="E86" i="125"/>
  <c r="E84" i="125"/>
  <c r="E81" i="125"/>
  <c r="E79" i="125"/>
  <c r="E77" i="125"/>
  <c r="E75" i="125"/>
  <c r="E73" i="125"/>
  <c r="F84" i="125"/>
  <c r="F79" i="125"/>
  <c r="F75" i="125"/>
  <c r="E85" i="125"/>
  <c r="E80" i="125"/>
  <c r="E76" i="125"/>
  <c r="E74" i="125"/>
  <c r="F87" i="125"/>
  <c r="F85" i="125"/>
  <c r="F83" i="125"/>
  <c r="F80" i="125"/>
  <c r="F78" i="125"/>
  <c r="F76" i="125"/>
  <c r="F74" i="125"/>
  <c r="F86" i="125"/>
  <c r="F81" i="125"/>
  <c r="F77" i="125"/>
  <c r="F73" i="125"/>
  <c r="E87" i="125"/>
  <c r="E83" i="125"/>
  <c r="E78" i="125"/>
  <c r="G90" i="125"/>
  <c r="C70" i="125"/>
  <c r="E130" i="125"/>
  <c r="E125" i="125"/>
  <c r="E123" i="125"/>
  <c r="E121" i="125"/>
  <c r="E119" i="125"/>
  <c r="E117" i="125"/>
  <c r="F130" i="125"/>
  <c r="F123" i="125"/>
  <c r="F119" i="125"/>
  <c r="E131" i="125"/>
  <c r="E124" i="125"/>
  <c r="E120" i="125"/>
  <c r="G134" i="125"/>
  <c r="C114" i="125"/>
  <c r="F131" i="125"/>
  <c r="F129" i="125"/>
  <c r="F127" i="125"/>
  <c r="F124" i="125"/>
  <c r="F122" i="125"/>
  <c r="F120" i="125"/>
  <c r="F118" i="125"/>
  <c r="F128" i="125"/>
  <c r="F125" i="125"/>
  <c r="F121" i="125"/>
  <c r="F117" i="125"/>
  <c r="E129" i="125"/>
  <c r="E127" i="125"/>
  <c r="E122" i="125"/>
  <c r="E118" i="125"/>
  <c r="E20" i="125"/>
  <c r="E18" i="125"/>
  <c r="E15" i="125"/>
  <c r="E13" i="125"/>
  <c r="E11" i="125"/>
  <c r="E9" i="125"/>
  <c r="E7" i="125"/>
  <c r="G24" i="125"/>
  <c r="F20" i="125"/>
  <c r="F13" i="125"/>
  <c r="F9" i="125"/>
  <c r="E19" i="125"/>
  <c r="E14" i="125"/>
  <c r="E10" i="125"/>
  <c r="F21" i="125"/>
  <c r="F19" i="125"/>
  <c r="F17" i="125"/>
  <c r="F14" i="125"/>
  <c r="F12" i="125"/>
  <c r="F10" i="125"/>
  <c r="F8" i="125"/>
  <c r="C4" i="125"/>
  <c r="F18" i="125"/>
  <c r="F15" i="125"/>
  <c r="F11" i="125"/>
  <c r="F7" i="125"/>
  <c r="E21" i="125"/>
  <c r="E17" i="125"/>
  <c r="E12" i="125"/>
  <c r="E8" i="125"/>
  <c r="E64" i="125"/>
  <c r="E62" i="125"/>
  <c r="E59" i="125"/>
  <c r="E57" i="125"/>
  <c r="E55" i="125"/>
  <c r="E53" i="125"/>
  <c r="E51" i="125"/>
  <c r="G68" i="125"/>
  <c r="C48" i="125"/>
  <c r="F64" i="125"/>
  <c r="F59" i="125"/>
  <c r="F55" i="125"/>
  <c r="F51" i="125"/>
  <c r="E63" i="125"/>
  <c r="E58" i="125"/>
  <c r="E54" i="125"/>
  <c r="F65" i="125"/>
  <c r="F63" i="125"/>
  <c r="F61" i="125"/>
  <c r="F58" i="125"/>
  <c r="F56" i="125"/>
  <c r="F54" i="125"/>
  <c r="F52" i="125"/>
  <c r="F62" i="125"/>
  <c r="F57" i="125"/>
  <c r="F53" i="125"/>
  <c r="E65" i="125"/>
  <c r="E61" i="125"/>
  <c r="E56" i="125"/>
  <c r="E52" i="125"/>
  <c r="E108" i="125"/>
  <c r="E106" i="125"/>
  <c r="E103" i="125"/>
  <c r="E101" i="125"/>
  <c r="E99" i="125"/>
  <c r="E97" i="125"/>
  <c r="E95" i="125"/>
  <c r="G112" i="125"/>
  <c r="C92" i="125"/>
  <c r="F108" i="125"/>
  <c r="F103" i="125"/>
  <c r="F99" i="125"/>
  <c r="F95" i="125"/>
  <c r="E109" i="125"/>
  <c r="E105" i="125"/>
  <c r="E100" i="125"/>
  <c r="E96" i="125"/>
  <c r="F109" i="125"/>
  <c r="F107" i="125"/>
  <c r="F105" i="125"/>
  <c r="F102" i="125"/>
  <c r="F100" i="125"/>
  <c r="F98" i="125"/>
  <c r="F96" i="125"/>
  <c r="F106" i="125"/>
  <c r="F101" i="125"/>
  <c r="F97" i="125"/>
  <c r="E107" i="125"/>
  <c r="E102" i="125"/>
  <c r="E98" i="125"/>
  <c r="F20" i="120"/>
  <c r="F18" i="120"/>
  <c r="F15" i="120"/>
  <c r="F13" i="120"/>
  <c r="F11" i="120"/>
  <c r="F9" i="120"/>
  <c r="F7" i="120"/>
  <c r="F19" i="120"/>
  <c r="F14" i="120"/>
  <c r="F12" i="120"/>
  <c r="F8" i="120"/>
  <c r="E20" i="120"/>
  <c r="E18" i="120"/>
  <c r="E15" i="120"/>
  <c r="E13" i="120"/>
  <c r="E11" i="120"/>
  <c r="E9" i="120"/>
  <c r="E7" i="120"/>
  <c r="E21" i="120"/>
  <c r="E19" i="120"/>
  <c r="E17" i="120"/>
  <c r="E14" i="120"/>
  <c r="E12" i="120"/>
  <c r="E10" i="120"/>
  <c r="E8" i="120"/>
  <c r="G24" i="120"/>
  <c r="F21" i="120"/>
  <c r="F17" i="120"/>
  <c r="F10" i="120"/>
  <c r="C4" i="120"/>
  <c r="F108" i="120"/>
  <c r="F106" i="120"/>
  <c r="F103" i="120"/>
  <c r="F101" i="120"/>
  <c r="F99" i="120"/>
  <c r="F97" i="120"/>
  <c r="F95" i="120"/>
  <c r="F107" i="120"/>
  <c r="F102" i="120"/>
  <c r="F98" i="120"/>
  <c r="G112" i="120"/>
  <c r="E108" i="120"/>
  <c r="E106" i="120"/>
  <c r="E103" i="120"/>
  <c r="E101" i="120"/>
  <c r="E99" i="120"/>
  <c r="E97" i="120"/>
  <c r="E95" i="120"/>
  <c r="E109" i="120"/>
  <c r="E107" i="120"/>
  <c r="E105" i="120"/>
  <c r="E102" i="120"/>
  <c r="E100" i="120"/>
  <c r="E98" i="120"/>
  <c r="E96" i="120"/>
  <c r="C92" i="120"/>
  <c r="F109" i="120"/>
  <c r="F105" i="120"/>
  <c r="F100" i="120"/>
  <c r="F96" i="120"/>
  <c r="F64" i="120"/>
  <c r="F62" i="120"/>
  <c r="F59" i="120"/>
  <c r="F57" i="120"/>
  <c r="F55" i="120"/>
  <c r="F53" i="120"/>
  <c r="F51" i="120"/>
  <c r="F63" i="120"/>
  <c r="F58" i="120"/>
  <c r="F54" i="120"/>
  <c r="E64" i="120"/>
  <c r="E62" i="120"/>
  <c r="E59" i="120"/>
  <c r="E57" i="120"/>
  <c r="E55" i="120"/>
  <c r="E53" i="120"/>
  <c r="E51" i="120"/>
  <c r="E65" i="120"/>
  <c r="E63" i="120"/>
  <c r="E61" i="120"/>
  <c r="E58" i="120"/>
  <c r="E56" i="120"/>
  <c r="E54" i="120"/>
  <c r="E52" i="120"/>
  <c r="G68" i="120"/>
  <c r="C48" i="120"/>
  <c r="F65" i="120"/>
  <c r="F61" i="120"/>
  <c r="F56" i="120"/>
  <c r="F52" i="120"/>
  <c r="F152" i="120"/>
  <c r="F150" i="120"/>
  <c r="F147" i="120"/>
  <c r="F145" i="120"/>
  <c r="F143" i="120"/>
  <c r="F141" i="120"/>
  <c r="F139" i="120"/>
  <c r="F151" i="120"/>
  <c r="F146" i="120"/>
  <c r="F142" i="120"/>
  <c r="E150" i="120"/>
  <c r="E147" i="120"/>
  <c r="E145" i="120"/>
  <c r="E143" i="120"/>
  <c r="E141" i="120"/>
  <c r="E139" i="120"/>
  <c r="E153" i="120"/>
  <c r="E151" i="120"/>
  <c r="E149" i="120"/>
  <c r="E146" i="120"/>
  <c r="E144" i="120"/>
  <c r="E142" i="120"/>
  <c r="E140" i="120"/>
  <c r="G156" i="120"/>
  <c r="C136" i="120"/>
  <c r="F153" i="120"/>
  <c r="F149" i="120"/>
  <c r="F144" i="120"/>
  <c r="F140" i="120"/>
  <c r="E152" i="120"/>
  <c r="F42" i="120"/>
  <c r="F40" i="120"/>
  <c r="F37" i="120"/>
  <c r="F35" i="120"/>
  <c r="F33" i="120"/>
  <c r="F31" i="120"/>
  <c r="F29" i="120"/>
  <c r="F43" i="120"/>
  <c r="F39" i="120"/>
  <c r="F34" i="120"/>
  <c r="F30" i="120"/>
  <c r="E42" i="120"/>
  <c r="E40" i="120"/>
  <c r="E37" i="120"/>
  <c r="E35" i="120"/>
  <c r="E33" i="120"/>
  <c r="E31" i="120"/>
  <c r="E29" i="120"/>
  <c r="G46" i="120"/>
  <c r="C26" i="120"/>
  <c r="E43" i="120"/>
  <c r="E41" i="120"/>
  <c r="E39" i="120"/>
  <c r="E36" i="120"/>
  <c r="E34" i="120"/>
  <c r="E32" i="120"/>
  <c r="E30" i="120"/>
  <c r="F41" i="120"/>
  <c r="F36" i="120"/>
  <c r="F32" i="120"/>
  <c r="F86" i="120"/>
  <c r="F84" i="120"/>
  <c r="F81" i="120"/>
  <c r="F79" i="120"/>
  <c r="F77" i="120"/>
  <c r="F75" i="120"/>
  <c r="F73" i="120"/>
  <c r="F87" i="120"/>
  <c r="F83" i="120"/>
  <c r="F78" i="120"/>
  <c r="F74" i="120"/>
  <c r="E86" i="120"/>
  <c r="E84" i="120"/>
  <c r="E81" i="120"/>
  <c r="E79" i="120"/>
  <c r="E77" i="120"/>
  <c r="E75" i="120"/>
  <c r="E73" i="120"/>
  <c r="G90" i="120"/>
  <c r="C70" i="120"/>
  <c r="E87" i="120"/>
  <c r="E85" i="120"/>
  <c r="E83" i="120"/>
  <c r="E80" i="120"/>
  <c r="E78" i="120"/>
  <c r="E76" i="120"/>
  <c r="E74" i="120"/>
  <c r="F85" i="120"/>
  <c r="F80" i="120"/>
  <c r="F76" i="120"/>
  <c r="F130" i="120"/>
  <c r="F128" i="120"/>
  <c r="F125" i="120"/>
  <c r="F123" i="120"/>
  <c r="F121" i="120"/>
  <c r="F119" i="120"/>
  <c r="F117" i="120"/>
  <c r="C114" i="120"/>
  <c r="F131" i="120"/>
  <c r="F127" i="120"/>
  <c r="F122" i="120"/>
  <c r="F118" i="120"/>
  <c r="E130" i="120"/>
  <c r="E128" i="120"/>
  <c r="E125" i="120"/>
  <c r="E123" i="120"/>
  <c r="E121" i="120"/>
  <c r="E119" i="120"/>
  <c r="E117" i="120"/>
  <c r="E131" i="120"/>
  <c r="E129" i="120"/>
  <c r="E127" i="120"/>
  <c r="E124" i="120"/>
  <c r="E122" i="120"/>
  <c r="E120" i="120"/>
  <c r="E118" i="120"/>
  <c r="F129" i="120"/>
  <c r="F124" i="120"/>
  <c r="F120" i="120"/>
  <c r="B444" i="117"/>
  <c r="A444" i="117"/>
  <c r="B422" i="117"/>
  <c r="A422" i="117"/>
  <c r="B400" i="117"/>
  <c r="A400" i="117"/>
  <c r="B378" i="117"/>
  <c r="A378" i="117"/>
  <c r="B356" i="117"/>
  <c r="A356" i="117"/>
  <c r="B334" i="117"/>
  <c r="A334" i="117"/>
  <c r="B312" i="117"/>
  <c r="A312" i="117"/>
  <c r="B290" i="117"/>
  <c r="A290" i="117"/>
  <c r="B268" i="117"/>
  <c r="A268" i="117"/>
  <c r="B246" i="117"/>
  <c r="A246" i="117"/>
  <c r="B224" i="117"/>
  <c r="A224" i="117"/>
  <c r="B202" i="117"/>
  <c r="A202" i="117"/>
  <c r="B180" i="117"/>
  <c r="A180" i="117"/>
  <c r="B158" i="117"/>
  <c r="A158" i="117"/>
  <c r="B136" i="117"/>
  <c r="A136" i="117"/>
  <c r="B114" i="117"/>
  <c r="A114" i="117"/>
  <c r="B92" i="117"/>
  <c r="A92" i="117"/>
  <c r="B70" i="117"/>
  <c r="A70" i="117"/>
  <c r="B48" i="117"/>
  <c r="A48" i="117"/>
  <c r="B26" i="117"/>
  <c r="A26" i="117"/>
  <c r="B4" i="117"/>
  <c r="A4" i="117"/>
  <c r="B466" i="116"/>
  <c r="A466" i="116"/>
  <c r="B444" i="116"/>
  <c r="A444" i="116"/>
  <c r="B422" i="116"/>
  <c r="A422" i="116"/>
  <c r="B400" i="116"/>
  <c r="A400" i="116"/>
  <c r="B378" i="116"/>
  <c r="A378" i="116"/>
  <c r="B356" i="116"/>
  <c r="A356" i="116"/>
  <c r="B334" i="116"/>
  <c r="A334" i="116"/>
  <c r="B312" i="116"/>
  <c r="A312" i="116"/>
  <c r="B290" i="116"/>
  <c r="A290" i="116"/>
  <c r="B268" i="116"/>
  <c r="A268" i="116"/>
  <c r="B246" i="116"/>
  <c r="A246" i="116"/>
  <c r="B224" i="116"/>
  <c r="A224" i="116"/>
  <c r="B202" i="116"/>
  <c r="A202" i="116"/>
  <c r="B180" i="116"/>
  <c r="A180" i="116"/>
  <c r="B158" i="116"/>
  <c r="A158" i="116"/>
  <c r="B136" i="116"/>
  <c r="A136" i="116"/>
  <c r="B114" i="116"/>
  <c r="A114" i="116"/>
  <c r="B92" i="116"/>
  <c r="A92" i="116"/>
  <c r="B70" i="116"/>
  <c r="A70" i="116"/>
  <c r="B48" i="116"/>
  <c r="A48" i="116"/>
  <c r="B26" i="116"/>
  <c r="A26" i="116"/>
  <c r="B4" i="116"/>
  <c r="A4" i="116"/>
  <c r="B422" i="115"/>
  <c r="A422" i="115"/>
  <c r="B400" i="115"/>
  <c r="A400" i="115"/>
  <c r="B378" i="115"/>
  <c r="A378" i="115"/>
  <c r="B356" i="115"/>
  <c r="A356" i="115"/>
  <c r="B334" i="115"/>
  <c r="A334" i="115"/>
  <c r="B312" i="115"/>
  <c r="A312" i="115"/>
  <c r="B290" i="115"/>
  <c r="A290" i="115"/>
  <c r="B268" i="115"/>
  <c r="A268" i="115"/>
  <c r="B246" i="115"/>
  <c r="A246" i="115"/>
  <c r="B224" i="115"/>
  <c r="A224" i="115"/>
  <c r="B202" i="115"/>
  <c r="A202" i="115"/>
  <c r="B180" i="115"/>
  <c r="A180" i="115"/>
  <c r="B158" i="115"/>
  <c r="A158" i="115"/>
  <c r="B136" i="115"/>
  <c r="A136" i="115"/>
  <c r="B114" i="115"/>
  <c r="A114" i="115"/>
  <c r="B92" i="115"/>
  <c r="A92" i="115"/>
  <c r="B70" i="115"/>
  <c r="A70" i="115"/>
  <c r="B48" i="115"/>
  <c r="A48" i="115"/>
  <c r="B26" i="115"/>
  <c r="A26" i="115"/>
  <c r="B4" i="115"/>
  <c r="A4" i="115"/>
  <c r="B488" i="114"/>
  <c r="A488" i="114"/>
  <c r="B466" i="114"/>
  <c r="A466" i="114"/>
  <c r="B444" i="114"/>
  <c r="A444" i="114"/>
  <c r="B422" i="114"/>
  <c r="A422" i="114"/>
  <c r="B400" i="114"/>
  <c r="A400" i="114"/>
  <c r="B378" i="114"/>
  <c r="A378" i="114"/>
  <c r="B356" i="114"/>
  <c r="A356" i="114"/>
  <c r="B334" i="114"/>
  <c r="A334" i="114"/>
  <c r="B312" i="114"/>
  <c r="A312" i="114"/>
  <c r="B290" i="114"/>
  <c r="A290" i="114"/>
  <c r="B268" i="114"/>
  <c r="A268" i="114"/>
  <c r="B246" i="114"/>
  <c r="A246" i="114"/>
  <c r="B224" i="114"/>
  <c r="A224" i="114"/>
  <c r="B202" i="114"/>
  <c r="A202" i="114"/>
  <c r="B180" i="114"/>
  <c r="A180" i="114"/>
  <c r="B158" i="114"/>
  <c r="A158" i="114"/>
  <c r="B136" i="114"/>
  <c r="A136" i="114"/>
  <c r="B114" i="114"/>
  <c r="A114" i="114"/>
  <c r="B92" i="114"/>
  <c r="A92" i="114"/>
  <c r="B70" i="114"/>
  <c r="A70" i="114"/>
  <c r="B48" i="114"/>
  <c r="A48" i="114"/>
  <c r="B26" i="114"/>
  <c r="A26" i="114"/>
  <c r="B4" i="114"/>
  <c r="A4" i="114"/>
  <c r="B488" i="113"/>
  <c r="A488" i="113"/>
  <c r="B466" i="113"/>
  <c r="A466" i="113"/>
  <c r="B444" i="113"/>
  <c r="A444" i="113"/>
  <c r="B422" i="113"/>
  <c r="A422" i="113"/>
  <c r="B400" i="113"/>
  <c r="A400" i="113"/>
  <c r="B378" i="113"/>
  <c r="A378" i="113"/>
  <c r="B356" i="113"/>
  <c r="A356" i="113"/>
  <c r="B334" i="113"/>
  <c r="A334" i="113"/>
  <c r="B312" i="113"/>
  <c r="A312" i="113"/>
  <c r="B290" i="113"/>
  <c r="A290" i="113"/>
  <c r="B268" i="113"/>
  <c r="A268" i="113"/>
  <c r="B246" i="113"/>
  <c r="A246" i="113"/>
  <c r="B224" i="113"/>
  <c r="A224" i="113"/>
  <c r="B202" i="113"/>
  <c r="A202" i="113"/>
  <c r="B180" i="113"/>
  <c r="A180" i="113"/>
  <c r="B158" i="113"/>
  <c r="A158" i="113"/>
  <c r="B136" i="113"/>
  <c r="A136" i="113"/>
  <c r="B114" i="113"/>
  <c r="A114" i="113"/>
  <c r="B92" i="113"/>
  <c r="A92" i="113"/>
  <c r="B70" i="113"/>
  <c r="A70" i="113"/>
  <c r="B48" i="113"/>
  <c r="A48" i="113"/>
  <c r="B26" i="113"/>
  <c r="A26" i="113"/>
  <c r="B4" i="113"/>
  <c r="A4" i="113"/>
  <c r="B774" i="112"/>
  <c r="A774" i="112"/>
  <c r="B752" i="112"/>
  <c r="A752" i="112"/>
  <c r="B730" i="112"/>
  <c r="A730" i="112"/>
  <c r="B708" i="112"/>
  <c r="A708" i="112"/>
  <c r="B686" i="112"/>
  <c r="A686" i="112"/>
  <c r="B664" i="112"/>
  <c r="A664" i="112"/>
  <c r="B642" i="112"/>
  <c r="A642" i="112"/>
  <c r="B620" i="112"/>
  <c r="A620" i="112"/>
  <c r="B598" i="112"/>
  <c r="A598" i="112"/>
  <c r="B576" i="112"/>
  <c r="A576" i="112"/>
  <c r="B554" i="112"/>
  <c r="A554" i="112"/>
  <c r="B532" i="112"/>
  <c r="A532" i="112"/>
  <c r="B510" i="112"/>
  <c r="A510" i="112"/>
  <c r="B488" i="112"/>
  <c r="A488" i="112"/>
  <c r="B466" i="112"/>
  <c r="A466" i="112"/>
  <c r="B444" i="112"/>
  <c r="A444" i="112"/>
  <c r="B422" i="112"/>
  <c r="A422" i="112"/>
  <c r="B400" i="112"/>
  <c r="A400" i="112"/>
  <c r="B378" i="112"/>
  <c r="A378" i="112"/>
  <c r="B356" i="112"/>
  <c r="A356" i="112"/>
  <c r="B334" i="112"/>
  <c r="A334" i="112"/>
  <c r="B312" i="112"/>
  <c r="A312" i="112"/>
  <c r="B290" i="112"/>
  <c r="A290" i="112"/>
  <c r="B268" i="112"/>
  <c r="A268" i="112"/>
  <c r="B246" i="112"/>
  <c r="A246" i="112"/>
  <c r="B224" i="112"/>
  <c r="A224" i="112"/>
  <c r="B202" i="112"/>
  <c r="A202" i="112"/>
  <c r="B180" i="112"/>
  <c r="A180" i="112"/>
  <c r="B158" i="112"/>
  <c r="A158" i="112"/>
  <c r="B136" i="112"/>
  <c r="A136" i="112"/>
  <c r="B114" i="112"/>
  <c r="A114" i="112"/>
  <c r="B92" i="112"/>
  <c r="A92" i="112"/>
  <c r="B70" i="112"/>
  <c r="A70" i="112"/>
  <c r="B48" i="112"/>
  <c r="A48" i="112"/>
  <c r="B26" i="112"/>
  <c r="A26" i="112"/>
  <c r="B4" i="112"/>
  <c r="A4" i="112"/>
  <c r="B950" i="111"/>
  <c r="A950" i="111"/>
  <c r="B928" i="111"/>
  <c r="A928" i="111"/>
  <c r="B906" i="111"/>
  <c r="A906" i="111"/>
  <c r="B884" i="111"/>
  <c r="A884" i="111"/>
  <c r="B862" i="111"/>
  <c r="A862" i="111"/>
  <c r="B840" i="111"/>
  <c r="A840" i="111"/>
  <c r="B818" i="111"/>
  <c r="A818" i="111"/>
  <c r="B796" i="111"/>
  <c r="A796" i="111"/>
  <c r="B774" i="111"/>
  <c r="A774" i="111"/>
  <c r="B752" i="111"/>
  <c r="A752" i="111"/>
  <c r="B730" i="111"/>
  <c r="A730" i="111"/>
  <c r="B708" i="111"/>
  <c r="A708" i="111"/>
  <c r="B686" i="111"/>
  <c r="A686" i="111"/>
  <c r="B664" i="111"/>
  <c r="A664" i="111"/>
  <c r="B642" i="111"/>
  <c r="A642" i="111"/>
  <c r="B620" i="111"/>
  <c r="A620" i="111"/>
  <c r="B598" i="111"/>
  <c r="A598" i="111"/>
  <c r="B576" i="111"/>
  <c r="A576" i="111"/>
  <c r="B554" i="111"/>
  <c r="A554" i="111"/>
  <c r="B532" i="111"/>
  <c r="A532" i="111"/>
  <c r="B510" i="111"/>
  <c r="A510" i="111"/>
  <c r="B488" i="111"/>
  <c r="A488" i="111"/>
  <c r="B466" i="111"/>
  <c r="A466" i="111"/>
  <c r="B444" i="111"/>
  <c r="A444" i="111"/>
  <c r="B422" i="111"/>
  <c r="A422" i="111"/>
  <c r="B400" i="111"/>
  <c r="A400" i="111"/>
  <c r="B378" i="111"/>
  <c r="A378" i="111"/>
  <c r="B356" i="111"/>
  <c r="A356" i="111"/>
  <c r="B334" i="111"/>
  <c r="A334" i="111"/>
  <c r="B312" i="111"/>
  <c r="A312" i="111"/>
  <c r="B290" i="111"/>
  <c r="A290" i="111"/>
  <c r="B268" i="111"/>
  <c r="A268" i="111"/>
  <c r="B246" i="111"/>
  <c r="A246" i="111"/>
  <c r="B224" i="111"/>
  <c r="A224" i="111"/>
  <c r="B202" i="111"/>
  <c r="A202" i="111"/>
  <c r="B180" i="111"/>
  <c r="A180" i="111"/>
  <c r="B158" i="111"/>
  <c r="A158" i="111"/>
  <c r="B136" i="111"/>
  <c r="A136" i="111"/>
  <c r="B114" i="111"/>
  <c r="A114" i="111"/>
  <c r="B92" i="111"/>
  <c r="A92" i="111"/>
  <c r="B70" i="111"/>
  <c r="A70" i="111"/>
  <c r="B48" i="111"/>
  <c r="A48" i="111"/>
  <c r="B26" i="111"/>
  <c r="A26" i="111"/>
  <c r="B4" i="111"/>
  <c r="A4" i="111"/>
  <c r="B356" i="110"/>
  <c r="A356" i="110"/>
  <c r="B334" i="110"/>
  <c r="A334" i="110"/>
  <c r="B312" i="110"/>
  <c r="A312" i="110"/>
  <c r="B290" i="110"/>
  <c r="A290" i="110"/>
  <c r="B268" i="110"/>
  <c r="A268" i="110"/>
  <c r="B246" i="110"/>
  <c r="A246" i="110"/>
  <c r="B224" i="110"/>
  <c r="A224" i="110"/>
  <c r="B202" i="110"/>
  <c r="A202" i="110"/>
  <c r="B180" i="110"/>
  <c r="A180" i="110"/>
  <c r="B158" i="110"/>
  <c r="A158" i="110"/>
  <c r="B136" i="110"/>
  <c r="A136" i="110"/>
  <c r="B114" i="110"/>
  <c r="A114" i="110"/>
  <c r="B92" i="110"/>
  <c r="A92" i="110"/>
  <c r="B70" i="110"/>
  <c r="A70" i="110"/>
  <c r="B48" i="110"/>
  <c r="A48" i="110"/>
  <c r="B26" i="110"/>
  <c r="A26" i="110"/>
  <c r="B4" i="110"/>
  <c r="A4" i="110"/>
  <c r="B620" i="109"/>
  <c r="A620" i="109"/>
  <c r="B598" i="109"/>
  <c r="A598" i="109"/>
  <c r="B576" i="109"/>
  <c r="A576" i="109"/>
  <c r="B554" i="109"/>
  <c r="A554" i="109"/>
  <c r="B532" i="109"/>
  <c r="A532" i="109"/>
  <c r="B510" i="109"/>
  <c r="A510" i="109"/>
  <c r="B488" i="109"/>
  <c r="A488" i="109"/>
  <c r="B466" i="109"/>
  <c r="A466" i="109"/>
  <c r="B444" i="109"/>
  <c r="A444" i="109"/>
  <c r="B422" i="109"/>
  <c r="A422" i="109"/>
  <c r="B400" i="109"/>
  <c r="A400" i="109"/>
  <c r="B378" i="109"/>
  <c r="A378" i="109"/>
  <c r="B356" i="109"/>
  <c r="A356" i="109"/>
  <c r="B334" i="109"/>
  <c r="A334" i="109"/>
  <c r="B312" i="109"/>
  <c r="A312" i="109"/>
  <c r="B290" i="109"/>
  <c r="A290" i="109"/>
  <c r="B268" i="109"/>
  <c r="A268" i="109"/>
  <c r="B246" i="109"/>
  <c r="A246" i="109"/>
  <c r="B224" i="109"/>
  <c r="A224" i="109"/>
  <c r="B202" i="109"/>
  <c r="A202" i="109"/>
  <c r="B180" i="109"/>
  <c r="A180" i="109"/>
  <c r="B158" i="109"/>
  <c r="A158" i="109"/>
  <c r="B136" i="109"/>
  <c r="A136" i="109"/>
  <c r="B114" i="109"/>
  <c r="A114" i="109"/>
  <c r="B92" i="109"/>
  <c r="A92" i="109"/>
  <c r="B70" i="109"/>
  <c r="A70" i="109"/>
  <c r="B48" i="109"/>
  <c r="A48" i="109"/>
  <c r="B26" i="109"/>
  <c r="A26" i="109"/>
  <c r="B4" i="109"/>
  <c r="A4" i="109"/>
  <c r="B554" i="108"/>
  <c r="A554" i="108"/>
  <c r="B532" i="108"/>
  <c r="A532" i="108"/>
  <c r="B510" i="108"/>
  <c r="A510" i="108"/>
  <c r="B488" i="108"/>
  <c r="A488" i="108"/>
  <c r="B466" i="108"/>
  <c r="A466" i="108"/>
  <c r="B444" i="108"/>
  <c r="A444" i="108"/>
  <c r="B422" i="108"/>
  <c r="A422" i="108"/>
  <c r="B400" i="108"/>
  <c r="A400" i="108"/>
  <c r="B378" i="108"/>
  <c r="A378" i="108"/>
  <c r="B356" i="108"/>
  <c r="A356" i="108"/>
  <c r="B334" i="108"/>
  <c r="A334" i="108"/>
  <c r="B312" i="108"/>
  <c r="A312" i="108"/>
  <c r="B290" i="108"/>
  <c r="A290" i="108"/>
  <c r="B268" i="108"/>
  <c r="A268" i="108"/>
  <c r="B246" i="108"/>
  <c r="A246" i="108"/>
  <c r="B224" i="108"/>
  <c r="A224" i="108"/>
  <c r="B202" i="108"/>
  <c r="A202" i="108"/>
  <c r="B180" i="108"/>
  <c r="A180" i="108"/>
  <c r="B158" i="108"/>
  <c r="A158" i="108"/>
  <c r="B136" i="108"/>
  <c r="A136" i="108"/>
  <c r="B114" i="108"/>
  <c r="A114" i="108"/>
  <c r="B92" i="108"/>
  <c r="A92" i="108"/>
  <c r="B70" i="108"/>
  <c r="A70" i="108"/>
  <c r="B48" i="108"/>
  <c r="A48" i="108"/>
  <c r="B26" i="108"/>
  <c r="A26" i="108"/>
  <c r="B4" i="108"/>
  <c r="A4" i="108"/>
  <c r="B356" i="107"/>
  <c r="A356" i="107"/>
  <c r="B334" i="107"/>
  <c r="A334" i="107"/>
  <c r="B312" i="107"/>
  <c r="A312" i="107"/>
  <c r="B290" i="107"/>
  <c r="A290" i="107"/>
  <c r="B268" i="107"/>
  <c r="A268" i="107"/>
  <c r="B246" i="107"/>
  <c r="A246" i="107"/>
  <c r="B224" i="107"/>
  <c r="A224" i="107"/>
  <c r="B202" i="107"/>
  <c r="A202" i="107"/>
  <c r="B180" i="107"/>
  <c r="A180" i="107"/>
  <c r="B158" i="107"/>
  <c r="A158" i="107"/>
  <c r="B136" i="107"/>
  <c r="A136" i="107"/>
  <c r="B114" i="107"/>
  <c r="A114" i="107"/>
  <c r="B92" i="107"/>
  <c r="A92" i="107"/>
  <c r="B70" i="107"/>
  <c r="A70" i="107"/>
  <c r="B48" i="107"/>
  <c r="A48" i="107"/>
  <c r="B26" i="107"/>
  <c r="A26" i="107"/>
  <c r="B4" i="107"/>
  <c r="A4" i="107"/>
  <c r="B400" i="106"/>
  <c r="A400" i="106"/>
  <c r="B378" i="106"/>
  <c r="A378" i="106"/>
  <c r="B356" i="106"/>
  <c r="A356" i="106"/>
  <c r="B334" i="106"/>
  <c r="A334" i="106"/>
  <c r="B312" i="106"/>
  <c r="A312" i="106"/>
  <c r="B290" i="106"/>
  <c r="A290" i="106"/>
  <c r="B268" i="106"/>
  <c r="A268" i="106"/>
  <c r="B246" i="106"/>
  <c r="A246" i="106"/>
  <c r="B224" i="106"/>
  <c r="A224" i="106"/>
  <c r="B202" i="106"/>
  <c r="A202" i="106"/>
  <c r="B180" i="106"/>
  <c r="A180" i="106"/>
  <c r="B158" i="106"/>
  <c r="A158" i="106"/>
  <c r="B136" i="106"/>
  <c r="A136" i="106"/>
  <c r="B114" i="106"/>
  <c r="A114" i="106"/>
  <c r="B92" i="106"/>
  <c r="A92" i="106"/>
  <c r="B70" i="106"/>
  <c r="A70" i="106"/>
  <c r="B48" i="106"/>
  <c r="A48" i="106"/>
  <c r="B26" i="106"/>
  <c r="A26" i="106"/>
  <c r="B4" i="106"/>
  <c r="A4" i="106"/>
  <c r="B1038" i="105"/>
  <c r="A1038" i="105"/>
  <c r="B1016" i="105"/>
  <c r="A1016" i="105"/>
  <c r="B994" i="105"/>
  <c r="A994" i="105"/>
  <c r="B972" i="105"/>
  <c r="A972" i="105"/>
  <c r="B950" i="105"/>
  <c r="A950" i="105"/>
  <c r="B928" i="105"/>
  <c r="A928" i="105"/>
  <c r="B906" i="105"/>
  <c r="A906" i="105"/>
  <c r="B884" i="105"/>
  <c r="A884" i="105"/>
  <c r="B862" i="105"/>
  <c r="A862" i="105"/>
  <c r="B840" i="105"/>
  <c r="A840" i="105"/>
  <c r="B818" i="105"/>
  <c r="A818" i="105"/>
  <c r="B796" i="105"/>
  <c r="A796" i="105"/>
  <c r="B774" i="105"/>
  <c r="A774" i="105"/>
  <c r="B752" i="105"/>
  <c r="A752" i="105"/>
  <c r="B730" i="105"/>
  <c r="A730" i="105"/>
  <c r="B708" i="105"/>
  <c r="A708" i="105"/>
  <c r="B686" i="105"/>
  <c r="A686" i="105"/>
  <c r="B664" i="105"/>
  <c r="A664" i="105"/>
  <c r="B642" i="105"/>
  <c r="A642" i="105"/>
  <c r="B620" i="105"/>
  <c r="A620" i="105"/>
  <c r="B598" i="105"/>
  <c r="A598" i="105"/>
  <c r="B576" i="105"/>
  <c r="A576" i="105"/>
  <c r="B554" i="105"/>
  <c r="A554" i="105"/>
  <c r="B532" i="105"/>
  <c r="A532" i="105"/>
  <c r="B510" i="105"/>
  <c r="A510" i="105"/>
  <c r="B488" i="105"/>
  <c r="A488" i="105"/>
  <c r="B466" i="105"/>
  <c r="A466" i="105"/>
  <c r="B444" i="105"/>
  <c r="A444" i="105"/>
  <c r="B422" i="105"/>
  <c r="A422" i="105"/>
  <c r="B400" i="105"/>
  <c r="A400" i="105"/>
  <c r="B378" i="105"/>
  <c r="A378" i="105"/>
  <c r="B356" i="105"/>
  <c r="A356" i="105"/>
  <c r="B334" i="105"/>
  <c r="A334" i="105"/>
  <c r="B312" i="105"/>
  <c r="A312" i="105"/>
  <c r="B290" i="105"/>
  <c r="A290" i="105"/>
  <c r="B268" i="105"/>
  <c r="A268" i="105"/>
  <c r="B246" i="105"/>
  <c r="A246" i="105"/>
  <c r="B224" i="105"/>
  <c r="A224" i="105"/>
  <c r="B202" i="105"/>
  <c r="A202" i="105"/>
  <c r="B180" i="105"/>
  <c r="A180" i="105"/>
  <c r="B158" i="105"/>
  <c r="A158" i="105"/>
  <c r="B136" i="105"/>
  <c r="A136" i="105"/>
  <c r="B114" i="105"/>
  <c r="A114" i="105"/>
  <c r="B92" i="105"/>
  <c r="A92" i="105"/>
  <c r="B70" i="105"/>
  <c r="A70" i="105"/>
  <c r="B48" i="105"/>
  <c r="A48" i="105"/>
  <c r="B26" i="105"/>
  <c r="A26" i="105"/>
  <c r="B4" i="105"/>
  <c r="A4" i="105"/>
  <c r="B356" i="104"/>
  <c r="A356" i="104"/>
  <c r="B334" i="104"/>
  <c r="A334" i="104"/>
  <c r="B312" i="104"/>
  <c r="A312" i="104"/>
  <c r="B290" i="104"/>
  <c r="A290" i="104"/>
  <c r="B268" i="104"/>
  <c r="A268" i="104"/>
  <c r="B246" i="104"/>
  <c r="A246" i="104"/>
  <c r="B224" i="104"/>
  <c r="A224" i="104"/>
  <c r="B202" i="104"/>
  <c r="A202" i="104"/>
  <c r="B180" i="104"/>
  <c r="A180" i="104"/>
  <c r="B158" i="104"/>
  <c r="A158" i="104"/>
  <c r="B136" i="104"/>
  <c r="A136" i="104"/>
  <c r="B114" i="104"/>
  <c r="A114" i="104"/>
  <c r="B92" i="104"/>
  <c r="A92" i="104"/>
  <c r="B70" i="104"/>
  <c r="A70" i="104"/>
  <c r="B48" i="104"/>
  <c r="A48" i="104"/>
  <c r="B26" i="104"/>
  <c r="A26" i="104"/>
  <c r="B4" i="104"/>
  <c r="A4" i="104"/>
  <c r="B906" i="103"/>
  <c r="A906" i="103"/>
  <c r="B884" i="103"/>
  <c r="A884" i="103"/>
  <c r="B862" i="103"/>
  <c r="A862" i="103"/>
  <c r="B840" i="103"/>
  <c r="A840" i="103"/>
  <c r="B818" i="103"/>
  <c r="A818" i="103"/>
  <c r="B796" i="103"/>
  <c r="A796" i="103"/>
  <c r="B774" i="103"/>
  <c r="A774" i="103"/>
  <c r="B752" i="103"/>
  <c r="A752" i="103"/>
  <c r="B730" i="103"/>
  <c r="A730" i="103"/>
  <c r="B708" i="103"/>
  <c r="A708" i="103"/>
  <c r="B686" i="103"/>
  <c r="A686" i="103"/>
  <c r="B664" i="103"/>
  <c r="A664" i="103"/>
  <c r="B642" i="103"/>
  <c r="A642" i="103"/>
  <c r="B620" i="103"/>
  <c r="A620" i="103"/>
  <c r="B598" i="103"/>
  <c r="A598" i="103"/>
  <c r="B576" i="103"/>
  <c r="A576" i="103"/>
  <c r="B554" i="103"/>
  <c r="A554" i="103"/>
  <c r="B532" i="103"/>
  <c r="A532" i="103"/>
  <c r="B510" i="103"/>
  <c r="A510" i="103"/>
  <c r="B488" i="103"/>
  <c r="A488" i="103"/>
  <c r="B466" i="103"/>
  <c r="A466" i="103"/>
  <c r="B444" i="103"/>
  <c r="A444" i="103"/>
  <c r="B422" i="103"/>
  <c r="A422" i="103"/>
  <c r="B400" i="103"/>
  <c r="A400" i="103"/>
  <c r="B378" i="103"/>
  <c r="A378" i="103"/>
  <c r="B356" i="103"/>
  <c r="A356" i="103"/>
  <c r="B334" i="103"/>
  <c r="A334" i="103"/>
  <c r="B312" i="103"/>
  <c r="A312" i="103"/>
  <c r="B290" i="103"/>
  <c r="A290" i="103"/>
  <c r="B268" i="103"/>
  <c r="A268" i="103"/>
  <c r="B246" i="103"/>
  <c r="A246" i="103"/>
  <c r="B224" i="103"/>
  <c r="A224" i="103"/>
  <c r="B202" i="103"/>
  <c r="A202" i="103"/>
  <c r="B180" i="103"/>
  <c r="A180" i="103"/>
  <c r="B158" i="103"/>
  <c r="A158" i="103"/>
  <c r="B136" i="103"/>
  <c r="A136" i="103"/>
  <c r="B114" i="103"/>
  <c r="A114" i="103"/>
  <c r="B92" i="103"/>
  <c r="A92" i="103"/>
  <c r="B70" i="103"/>
  <c r="A70" i="103"/>
  <c r="B48" i="103"/>
  <c r="A48" i="103"/>
  <c r="B26" i="103"/>
  <c r="A26" i="103"/>
  <c r="B4" i="103"/>
  <c r="A4" i="103"/>
  <c r="B290" i="102"/>
  <c r="A290" i="102"/>
  <c r="B268" i="102"/>
  <c r="A268" i="102"/>
  <c r="B246" i="102"/>
  <c r="A246" i="102"/>
  <c r="B224" i="102"/>
  <c r="A224" i="102"/>
  <c r="B202" i="102"/>
  <c r="A202" i="102"/>
  <c r="B180" i="102"/>
  <c r="A180" i="102"/>
  <c r="B158" i="102"/>
  <c r="A158" i="102"/>
  <c r="B136" i="102"/>
  <c r="A136" i="102"/>
  <c r="B114" i="102"/>
  <c r="A114" i="102"/>
  <c r="B92" i="102"/>
  <c r="A92" i="102"/>
  <c r="B70" i="102"/>
  <c r="A70" i="102"/>
  <c r="B48" i="102"/>
  <c r="A48" i="102"/>
  <c r="B26" i="102"/>
  <c r="A26" i="102"/>
  <c r="B4" i="102"/>
  <c r="A4" i="102"/>
  <c r="B1632" i="101"/>
  <c r="A1632" i="101"/>
  <c r="B1610" i="101"/>
  <c r="A1610" i="101"/>
  <c r="B1588" i="101"/>
  <c r="A1588" i="101"/>
  <c r="B1566" i="101"/>
  <c r="A1566" i="101"/>
  <c r="B1544" i="101"/>
  <c r="A1544" i="101"/>
  <c r="B1522" i="101"/>
  <c r="A1522" i="101"/>
  <c r="B1500" i="101"/>
  <c r="A1500" i="101"/>
  <c r="B1478" i="101"/>
  <c r="A1478" i="101"/>
  <c r="B1456" i="101"/>
  <c r="A1456" i="101"/>
  <c r="B1434" i="101"/>
  <c r="A1434" i="101"/>
  <c r="B1412" i="101"/>
  <c r="A1412" i="101"/>
  <c r="B1390" i="101"/>
  <c r="A1390" i="101"/>
  <c r="B1368" i="101"/>
  <c r="A1368" i="101"/>
  <c r="B1346" i="101"/>
  <c r="A1346" i="101"/>
  <c r="B1324" i="101"/>
  <c r="A1324" i="101"/>
  <c r="B1302" i="101"/>
  <c r="A1302" i="101"/>
  <c r="B1280" i="101"/>
  <c r="A1280" i="101"/>
  <c r="B1258" i="101"/>
  <c r="A1258" i="101"/>
  <c r="B1236" i="101"/>
  <c r="A1236" i="101"/>
  <c r="B1214" i="101"/>
  <c r="A1214" i="101"/>
  <c r="B1192" i="101"/>
  <c r="A1192" i="101"/>
  <c r="B1170" i="101"/>
  <c r="A1170" i="101"/>
  <c r="B1148" i="101"/>
  <c r="A1148" i="101"/>
  <c r="B1126" i="101"/>
  <c r="A1126" i="101"/>
  <c r="B1104" i="101"/>
  <c r="A1104" i="101"/>
  <c r="B1082" i="101"/>
  <c r="A1082" i="101"/>
  <c r="B1060" i="101"/>
  <c r="A1060" i="101"/>
  <c r="B1038" i="101"/>
  <c r="A1038" i="101"/>
  <c r="B1016" i="101"/>
  <c r="A1016" i="101"/>
  <c r="B994" i="101"/>
  <c r="A994" i="101"/>
  <c r="B972" i="101"/>
  <c r="A972" i="101"/>
  <c r="B950" i="101"/>
  <c r="A950" i="101"/>
  <c r="B928" i="101"/>
  <c r="A928" i="101"/>
  <c r="B906" i="101"/>
  <c r="A906" i="101"/>
  <c r="B884" i="101"/>
  <c r="A884" i="101"/>
  <c r="B862" i="101"/>
  <c r="A862" i="101"/>
  <c r="B840" i="101"/>
  <c r="A840" i="101"/>
  <c r="B818" i="101"/>
  <c r="A818" i="101"/>
  <c r="B796" i="101"/>
  <c r="A796" i="101"/>
  <c r="B774" i="101"/>
  <c r="A774" i="101"/>
  <c r="B752" i="101"/>
  <c r="A752" i="101"/>
  <c r="B730" i="101"/>
  <c r="A730" i="101"/>
  <c r="B708" i="101"/>
  <c r="A708" i="101"/>
  <c r="B686" i="101"/>
  <c r="A686" i="101"/>
  <c r="B664" i="101"/>
  <c r="A664" i="101"/>
  <c r="B642" i="101"/>
  <c r="A642" i="101"/>
  <c r="B620" i="101"/>
  <c r="A620" i="101"/>
  <c r="B598" i="101"/>
  <c r="A598" i="101"/>
  <c r="B576" i="101"/>
  <c r="A576" i="101"/>
  <c r="B554" i="101"/>
  <c r="A554" i="101"/>
  <c r="B532" i="101"/>
  <c r="A532" i="101"/>
  <c r="B510" i="101"/>
  <c r="A510" i="101"/>
  <c r="B488" i="101"/>
  <c r="A488" i="101"/>
  <c r="B466" i="101"/>
  <c r="A466" i="101"/>
  <c r="B444" i="101"/>
  <c r="A444" i="101"/>
  <c r="B422" i="101"/>
  <c r="A422" i="101"/>
  <c r="B400" i="101"/>
  <c r="A400" i="101"/>
  <c r="B378" i="101"/>
  <c r="A378" i="101"/>
  <c r="B356" i="101"/>
  <c r="A356" i="101"/>
  <c r="B334" i="101"/>
  <c r="A334" i="101"/>
  <c r="B312" i="101"/>
  <c r="A312" i="101"/>
  <c r="B290" i="101"/>
  <c r="A290" i="101"/>
  <c r="B268" i="101"/>
  <c r="A268" i="101"/>
  <c r="B246" i="101"/>
  <c r="A246" i="101"/>
  <c r="B224" i="101"/>
  <c r="A224" i="101"/>
  <c r="B202" i="101"/>
  <c r="A202" i="101"/>
  <c r="B180" i="101"/>
  <c r="A180" i="101"/>
  <c r="B158" i="101"/>
  <c r="A158" i="101"/>
  <c r="B136" i="101"/>
  <c r="A136" i="101"/>
  <c r="B114" i="101"/>
  <c r="A114" i="101"/>
  <c r="B92" i="101"/>
  <c r="A92" i="101"/>
  <c r="B70" i="101"/>
  <c r="A70" i="101"/>
  <c r="B48" i="101"/>
  <c r="A48" i="101"/>
  <c r="B26" i="101"/>
  <c r="A26" i="101"/>
  <c r="B4" i="101"/>
  <c r="A4" i="101"/>
  <c r="B1060" i="100"/>
  <c r="A1060" i="100"/>
  <c r="B1038" i="100"/>
  <c r="A1038" i="100"/>
  <c r="B1016" i="100"/>
  <c r="A1016" i="100"/>
  <c r="B994" i="100"/>
  <c r="A994" i="100"/>
  <c r="B972" i="100"/>
  <c r="A972" i="100"/>
  <c r="B950" i="100"/>
  <c r="A950" i="100"/>
  <c r="B928" i="100"/>
  <c r="A928" i="100"/>
  <c r="B906" i="100"/>
  <c r="A906" i="100"/>
  <c r="B884" i="100"/>
  <c r="A884" i="100"/>
  <c r="B862" i="100"/>
  <c r="A862" i="100"/>
  <c r="B840" i="100"/>
  <c r="A840" i="100"/>
  <c r="B818" i="100"/>
  <c r="A818" i="100"/>
  <c r="B796" i="100"/>
  <c r="A796" i="100"/>
  <c r="B774" i="100"/>
  <c r="A774" i="100"/>
  <c r="B752" i="100"/>
  <c r="A752" i="100"/>
  <c r="B730" i="100"/>
  <c r="A730" i="100"/>
  <c r="B708" i="100"/>
  <c r="A708" i="100"/>
  <c r="B686" i="100"/>
  <c r="A686" i="100"/>
  <c r="B664" i="100"/>
  <c r="A664" i="100"/>
  <c r="B642" i="100"/>
  <c r="A642" i="100"/>
  <c r="B620" i="100"/>
  <c r="A620" i="100"/>
  <c r="B598" i="100"/>
  <c r="A598" i="100"/>
  <c r="B576" i="100"/>
  <c r="A576" i="100"/>
  <c r="B554" i="100"/>
  <c r="A554" i="100"/>
  <c r="B532" i="100"/>
  <c r="A532" i="100"/>
  <c r="B510" i="100"/>
  <c r="A510" i="100"/>
  <c r="B488" i="100"/>
  <c r="A488" i="100"/>
  <c r="B466" i="100"/>
  <c r="A466" i="100"/>
  <c r="B444" i="100"/>
  <c r="A444" i="100"/>
  <c r="B422" i="100"/>
  <c r="A422" i="100"/>
  <c r="B400" i="100"/>
  <c r="A400" i="100"/>
  <c r="B378" i="100"/>
  <c r="A378" i="100"/>
  <c r="B356" i="100"/>
  <c r="A356" i="100"/>
  <c r="B334" i="100"/>
  <c r="A334" i="100"/>
  <c r="B312" i="100"/>
  <c r="A312" i="100"/>
  <c r="B290" i="100"/>
  <c r="A290" i="100"/>
  <c r="B268" i="100"/>
  <c r="A268" i="100"/>
  <c r="B246" i="100"/>
  <c r="A246" i="100"/>
  <c r="B224" i="100"/>
  <c r="A224" i="100"/>
  <c r="B202" i="100"/>
  <c r="A202" i="100"/>
  <c r="B180" i="100"/>
  <c r="A180" i="100"/>
  <c r="B158" i="100"/>
  <c r="A158" i="100"/>
  <c r="B136" i="100"/>
  <c r="A136" i="100"/>
  <c r="B114" i="100"/>
  <c r="A114" i="100"/>
  <c r="B92" i="100"/>
  <c r="A92" i="100"/>
  <c r="B70" i="100"/>
  <c r="A70" i="100"/>
  <c r="B48" i="100"/>
  <c r="A48" i="100"/>
  <c r="B26" i="100"/>
  <c r="A26" i="100"/>
  <c r="B4" i="100"/>
  <c r="A4" i="100"/>
  <c r="B356" i="99"/>
  <c r="A356" i="99"/>
  <c r="B334" i="99"/>
  <c r="A334" i="99"/>
  <c r="B312" i="99"/>
  <c r="A312" i="99"/>
  <c r="B290" i="99"/>
  <c r="A290" i="99"/>
  <c r="B268" i="99"/>
  <c r="A268" i="99"/>
  <c r="B246" i="99"/>
  <c r="A246" i="99"/>
  <c r="B224" i="99"/>
  <c r="A224" i="99"/>
  <c r="B202" i="99"/>
  <c r="A202" i="99"/>
  <c r="B180" i="99"/>
  <c r="A180" i="99"/>
  <c r="B158" i="99"/>
  <c r="A158" i="99"/>
  <c r="B136" i="99"/>
  <c r="A136" i="99"/>
  <c r="B114" i="99"/>
  <c r="A114" i="99"/>
  <c r="B92" i="99"/>
  <c r="A92" i="99"/>
  <c r="B70" i="99"/>
  <c r="A70" i="99"/>
  <c r="B48" i="99"/>
  <c r="A48" i="99"/>
  <c r="H51" i="99" s="1"/>
  <c r="B26" i="99"/>
  <c r="A26" i="99"/>
  <c r="B4" i="99"/>
  <c r="A4" i="99"/>
  <c r="B1720" i="52"/>
  <c r="B1698" i="52"/>
  <c r="B1676" i="52"/>
  <c r="B1654" i="52"/>
  <c r="B1632" i="52"/>
  <c r="B1610" i="52"/>
  <c r="B1588" i="52"/>
  <c r="B1566" i="52"/>
  <c r="B1544" i="52"/>
  <c r="B1522" i="52"/>
  <c r="B1500" i="52"/>
  <c r="B1478" i="52"/>
  <c r="B1456" i="52"/>
  <c r="B1434" i="52"/>
  <c r="B1412" i="52"/>
  <c r="B1390" i="52"/>
  <c r="B1368" i="52"/>
  <c r="B1346" i="52"/>
  <c r="B1324" i="52"/>
  <c r="B1302" i="52"/>
  <c r="B1280" i="52"/>
  <c r="B1258" i="52"/>
  <c r="B1236" i="52"/>
  <c r="B1214" i="52"/>
  <c r="B1192" i="52"/>
  <c r="B1170" i="52"/>
  <c r="B1148" i="52"/>
  <c r="B1126" i="52"/>
  <c r="B1104" i="52"/>
  <c r="B1082" i="52"/>
  <c r="B1060" i="52"/>
  <c r="B1038" i="52"/>
  <c r="B1016" i="52"/>
  <c r="B994" i="52"/>
  <c r="B972" i="52"/>
  <c r="B950" i="52"/>
  <c r="B928" i="52"/>
  <c r="B906" i="52"/>
  <c r="B884" i="52"/>
  <c r="B862" i="52"/>
  <c r="B840" i="52"/>
  <c r="B818" i="52"/>
  <c r="B796" i="52"/>
  <c r="B774" i="52"/>
  <c r="B752" i="52"/>
  <c r="B730" i="52"/>
  <c r="B708" i="52"/>
  <c r="B686" i="52"/>
  <c r="B664" i="52"/>
  <c r="B642" i="52"/>
  <c r="B620" i="52"/>
  <c r="B598" i="52"/>
  <c r="B576" i="52"/>
  <c r="B554" i="52"/>
  <c r="B532" i="52"/>
  <c r="B510" i="52"/>
  <c r="B488" i="52"/>
  <c r="B466" i="52"/>
  <c r="B444" i="52"/>
  <c r="B422" i="52"/>
  <c r="B400" i="52"/>
  <c r="B378" i="52"/>
  <c r="B356" i="52"/>
  <c r="B334" i="52"/>
  <c r="B312" i="52"/>
  <c r="B290" i="52"/>
  <c r="B268" i="52"/>
  <c r="B246" i="52"/>
  <c r="B224" i="52"/>
  <c r="B202" i="52"/>
  <c r="B180" i="52"/>
  <c r="B158" i="52"/>
  <c r="B136" i="52"/>
  <c r="B4" i="52"/>
  <c r="A1720" i="52"/>
  <c r="A1698" i="52"/>
  <c r="A1676" i="52"/>
  <c r="A1654" i="52"/>
  <c r="A1632" i="52"/>
  <c r="A1610" i="52"/>
  <c r="A1588" i="52"/>
  <c r="A1566" i="52"/>
  <c r="A1544" i="52"/>
  <c r="A1522" i="52"/>
  <c r="A1500" i="52"/>
  <c r="A1478" i="52"/>
  <c r="A1456" i="52"/>
  <c r="A1434" i="52"/>
  <c r="A1412" i="52"/>
  <c r="A1390" i="52"/>
  <c r="A1368" i="52"/>
  <c r="A1346" i="52"/>
  <c r="A1324" i="52"/>
  <c r="A1302" i="52"/>
  <c r="A1280" i="52"/>
  <c r="A1258" i="52"/>
  <c r="A1236" i="52"/>
  <c r="A1214" i="52"/>
  <c r="A1192" i="52"/>
  <c r="A1170" i="52"/>
  <c r="A1148" i="52"/>
  <c r="A1126" i="52"/>
  <c r="A1104" i="52"/>
  <c r="A1082" i="52"/>
  <c r="A1060" i="52"/>
  <c r="A1038" i="52"/>
  <c r="A1016" i="52"/>
  <c r="A994" i="52"/>
  <c r="A972" i="52"/>
  <c r="A950" i="52"/>
  <c r="A928" i="52"/>
  <c r="A906" i="52"/>
  <c r="A884" i="52"/>
  <c r="A862" i="52"/>
  <c r="A840" i="52"/>
  <c r="A818" i="52"/>
  <c r="A796" i="52"/>
  <c r="A774" i="52"/>
  <c r="A752" i="52"/>
  <c r="A730" i="52"/>
  <c r="A708" i="52"/>
  <c r="A686" i="52"/>
  <c r="A664" i="52"/>
  <c r="A642" i="52"/>
  <c r="A620" i="52"/>
  <c r="A598" i="52"/>
  <c r="A576" i="52"/>
  <c r="A554" i="52"/>
  <c r="A532" i="52"/>
  <c r="A510" i="52"/>
  <c r="A488" i="52"/>
  <c r="A466" i="52"/>
  <c r="A444" i="52"/>
  <c r="A422" i="52"/>
  <c r="A400" i="52"/>
  <c r="A378" i="52"/>
  <c r="A356" i="52"/>
  <c r="A334" i="52"/>
  <c r="A312" i="52"/>
  <c r="A290" i="52"/>
  <c r="A268" i="52"/>
  <c r="A246" i="52"/>
  <c r="A224" i="52"/>
  <c r="A202" i="52"/>
  <c r="A180" i="52"/>
  <c r="A158" i="52"/>
  <c r="A136" i="52"/>
  <c r="B114" i="52"/>
  <c r="A114" i="52"/>
  <c r="B92" i="52"/>
  <c r="A92" i="52"/>
  <c r="B70" i="52"/>
  <c r="A70" i="52"/>
  <c r="B48" i="52"/>
  <c r="A48" i="52"/>
  <c r="B26" i="52"/>
  <c r="A26" i="52"/>
  <c r="C10" i="134"/>
  <c r="E10" i="134" s="1"/>
  <c r="G10" i="134" s="1"/>
  <c r="C9" i="134"/>
  <c r="E9" i="134" s="1"/>
  <c r="G9" i="134" s="1"/>
  <c r="C8" i="134"/>
  <c r="E8" i="134" s="1"/>
  <c r="G8" i="134" s="1"/>
  <c r="C7" i="134"/>
  <c r="E7" i="134" s="1"/>
  <c r="G7" i="134" s="1"/>
  <c r="C6" i="134"/>
  <c r="E6" i="134" s="1"/>
  <c r="G6" i="134" s="1"/>
  <c r="C5" i="134"/>
  <c r="E5" i="134" s="1"/>
  <c r="G5" i="134" s="1"/>
  <c r="C4" i="134"/>
  <c r="E4" i="134" s="1"/>
  <c r="G4" i="134" s="1"/>
  <c r="C3" i="134"/>
  <c r="E3" i="134" s="1"/>
  <c r="G3" i="134" s="1"/>
  <c r="C2" i="134"/>
  <c r="H29" i="52" l="1"/>
  <c r="D45" i="52"/>
  <c r="D40" i="52"/>
  <c r="D36" i="52"/>
  <c r="D32" i="52"/>
  <c r="D43" i="52"/>
  <c r="D39" i="52"/>
  <c r="D35" i="52"/>
  <c r="D31" i="52"/>
  <c r="D42" i="52"/>
  <c r="D38" i="52"/>
  <c r="D34" i="52"/>
  <c r="D30" i="52"/>
  <c r="D46" i="52"/>
  <c r="D41" i="52"/>
  <c r="D37" i="52"/>
  <c r="D33" i="52"/>
  <c r="D29" i="52"/>
  <c r="H359" i="52"/>
  <c r="D376" i="52"/>
  <c r="D371" i="52"/>
  <c r="D367" i="52"/>
  <c r="D363" i="52"/>
  <c r="D359" i="52"/>
  <c r="D375" i="52"/>
  <c r="D370" i="52"/>
  <c r="D366" i="52"/>
  <c r="D362" i="52"/>
  <c r="D373" i="52"/>
  <c r="D369" i="52"/>
  <c r="D365" i="52"/>
  <c r="D361" i="52"/>
  <c r="D372" i="52"/>
  <c r="D368" i="52"/>
  <c r="D364" i="52"/>
  <c r="D360" i="52"/>
  <c r="H799" i="52"/>
  <c r="D816" i="52"/>
  <c r="D811" i="52"/>
  <c r="D807" i="52"/>
  <c r="D803" i="52"/>
  <c r="D799" i="52"/>
  <c r="D815" i="52"/>
  <c r="D810" i="52"/>
  <c r="D806" i="52"/>
  <c r="D802" i="52"/>
  <c r="D813" i="52"/>
  <c r="D809" i="52"/>
  <c r="D805" i="52"/>
  <c r="D801" i="52"/>
  <c r="D812" i="52"/>
  <c r="D808" i="52"/>
  <c r="D804" i="52"/>
  <c r="D800" i="52"/>
  <c r="H1151" i="52"/>
  <c r="D1164" i="52"/>
  <c r="D1160" i="52"/>
  <c r="D1156" i="52"/>
  <c r="D1152" i="52"/>
  <c r="D1168" i="52"/>
  <c r="D1163" i="52"/>
  <c r="D1159" i="52"/>
  <c r="D1155" i="52"/>
  <c r="D1151" i="52"/>
  <c r="D1167" i="52"/>
  <c r="D1162" i="52"/>
  <c r="D1158" i="52"/>
  <c r="D1154" i="52"/>
  <c r="D1165" i="52"/>
  <c r="D1161" i="52"/>
  <c r="D1157" i="52"/>
  <c r="D1153" i="52"/>
  <c r="H1591" i="52"/>
  <c r="D1604" i="52"/>
  <c r="D1600" i="52"/>
  <c r="D1596" i="52"/>
  <c r="D1592" i="52"/>
  <c r="D1608" i="52"/>
  <c r="D1603" i="52"/>
  <c r="D1599" i="52"/>
  <c r="D1595" i="52"/>
  <c r="D1591" i="52"/>
  <c r="D1607" i="52"/>
  <c r="D1602" i="52"/>
  <c r="D1598" i="52"/>
  <c r="D1594" i="52"/>
  <c r="D1605" i="52"/>
  <c r="D1601" i="52"/>
  <c r="D1597" i="52"/>
  <c r="D1593" i="52"/>
  <c r="H73" i="52"/>
  <c r="D86" i="52"/>
  <c r="D82" i="52"/>
  <c r="D78" i="52"/>
  <c r="D74" i="52"/>
  <c r="D90" i="52"/>
  <c r="D85" i="52"/>
  <c r="D81" i="52"/>
  <c r="D77" i="52"/>
  <c r="D73" i="52"/>
  <c r="D89" i="52"/>
  <c r="D84" i="52"/>
  <c r="D80" i="52"/>
  <c r="D76" i="52"/>
  <c r="D87" i="52"/>
  <c r="D83" i="52"/>
  <c r="D79" i="52"/>
  <c r="D75" i="52"/>
  <c r="H271" i="52"/>
  <c r="D288" i="52"/>
  <c r="D283" i="52"/>
  <c r="D279" i="52"/>
  <c r="D275" i="52"/>
  <c r="D271" i="52"/>
  <c r="D287" i="52"/>
  <c r="D282" i="52"/>
  <c r="D278" i="52"/>
  <c r="D274" i="52"/>
  <c r="D285" i="52"/>
  <c r="D281" i="52"/>
  <c r="D277" i="52"/>
  <c r="D273" i="52"/>
  <c r="D284" i="52"/>
  <c r="D280" i="52"/>
  <c r="D276" i="52"/>
  <c r="D272" i="52"/>
  <c r="H623" i="52"/>
  <c r="D640" i="52"/>
  <c r="D635" i="52"/>
  <c r="D631" i="52"/>
  <c r="D627" i="52"/>
  <c r="D623" i="52"/>
  <c r="D639" i="52"/>
  <c r="D634" i="52"/>
  <c r="D630" i="52"/>
  <c r="D626" i="52"/>
  <c r="D637" i="52"/>
  <c r="D633" i="52"/>
  <c r="D629" i="52"/>
  <c r="D625" i="52"/>
  <c r="D636" i="52"/>
  <c r="D632" i="52"/>
  <c r="D628" i="52"/>
  <c r="D624" i="52"/>
  <c r="H975" i="52"/>
  <c r="D988" i="52"/>
  <c r="D984" i="52"/>
  <c r="D980" i="52"/>
  <c r="D976" i="52"/>
  <c r="D992" i="52"/>
  <c r="D987" i="52"/>
  <c r="D983" i="52"/>
  <c r="D979" i="52"/>
  <c r="D975" i="52"/>
  <c r="D991" i="52"/>
  <c r="D986" i="52"/>
  <c r="D982" i="52"/>
  <c r="D978" i="52"/>
  <c r="D989" i="52"/>
  <c r="D985" i="52"/>
  <c r="D981" i="52"/>
  <c r="D977" i="52"/>
  <c r="H1327" i="52"/>
  <c r="D1340" i="52"/>
  <c r="D1336" i="52"/>
  <c r="D1332" i="52"/>
  <c r="D1328" i="52"/>
  <c r="D1344" i="52"/>
  <c r="D1339" i="52"/>
  <c r="D1335" i="52"/>
  <c r="D1331" i="52"/>
  <c r="D1327" i="52"/>
  <c r="D1343" i="52"/>
  <c r="D1338" i="52"/>
  <c r="D1334" i="52"/>
  <c r="D1330" i="52"/>
  <c r="D1341" i="52"/>
  <c r="D1337" i="52"/>
  <c r="D1333" i="52"/>
  <c r="D1329" i="52"/>
  <c r="H1679" i="52"/>
  <c r="D1692" i="52"/>
  <c r="D1688" i="52"/>
  <c r="D1684" i="52"/>
  <c r="D1680" i="52"/>
  <c r="D1696" i="52"/>
  <c r="D1691" i="52"/>
  <c r="D1687" i="52"/>
  <c r="D1683" i="52"/>
  <c r="D1679" i="52"/>
  <c r="D1695" i="52"/>
  <c r="D1690" i="52"/>
  <c r="D1686" i="52"/>
  <c r="D1682" i="52"/>
  <c r="D1693" i="52"/>
  <c r="D1689" i="52"/>
  <c r="D1685" i="52"/>
  <c r="D1681" i="52"/>
  <c r="H205" i="52"/>
  <c r="D221" i="52"/>
  <c r="D216" i="52"/>
  <c r="D212" i="52"/>
  <c r="D208" i="52"/>
  <c r="D219" i="52"/>
  <c r="D215" i="52"/>
  <c r="D211" i="52"/>
  <c r="D207" i="52"/>
  <c r="D218" i="52"/>
  <c r="D214" i="52"/>
  <c r="D210" i="52"/>
  <c r="D206" i="52"/>
  <c r="D222" i="52"/>
  <c r="D217" i="52"/>
  <c r="D213" i="52"/>
  <c r="D209" i="52"/>
  <c r="D205" i="52"/>
  <c r="H381" i="52"/>
  <c r="D397" i="52"/>
  <c r="D392" i="52"/>
  <c r="D388" i="52"/>
  <c r="D384" i="52"/>
  <c r="D395" i="52"/>
  <c r="D391" i="52"/>
  <c r="D387" i="52"/>
  <c r="D383" i="52"/>
  <c r="D394" i="52"/>
  <c r="D390" i="52"/>
  <c r="D386" i="52"/>
  <c r="D382" i="52"/>
  <c r="D398" i="52"/>
  <c r="D393" i="52"/>
  <c r="D389" i="52"/>
  <c r="D385" i="52"/>
  <c r="D381" i="52"/>
  <c r="H557" i="52"/>
  <c r="D573" i="52"/>
  <c r="D568" i="52"/>
  <c r="D564" i="52"/>
  <c r="D560" i="52"/>
  <c r="D571" i="52"/>
  <c r="D567" i="52"/>
  <c r="D563" i="52"/>
  <c r="D559" i="52"/>
  <c r="D570" i="52"/>
  <c r="D566" i="52"/>
  <c r="D562" i="52"/>
  <c r="D558" i="52"/>
  <c r="D574" i="52"/>
  <c r="D569" i="52"/>
  <c r="D565" i="52"/>
  <c r="D561" i="52"/>
  <c r="D557" i="52"/>
  <c r="H821" i="52"/>
  <c r="D837" i="52"/>
  <c r="D832" i="52"/>
  <c r="D828" i="52"/>
  <c r="D824" i="52"/>
  <c r="D835" i="52"/>
  <c r="D831" i="52"/>
  <c r="D827" i="52"/>
  <c r="D823" i="52"/>
  <c r="D834" i="52"/>
  <c r="D830" i="52"/>
  <c r="D826" i="52"/>
  <c r="D822" i="52"/>
  <c r="D838" i="52"/>
  <c r="D833" i="52"/>
  <c r="D829" i="52"/>
  <c r="D825" i="52"/>
  <c r="D821" i="52"/>
  <c r="H997" i="52"/>
  <c r="D1014" i="52"/>
  <c r="D1009" i="52"/>
  <c r="D1005" i="52"/>
  <c r="D1001" i="52"/>
  <c r="D997" i="52"/>
  <c r="D1013" i="52"/>
  <c r="D1008" i="52"/>
  <c r="D1004" i="52"/>
  <c r="D1000" i="52"/>
  <c r="D1011" i="52"/>
  <c r="D1007" i="52"/>
  <c r="D1003" i="52"/>
  <c r="D999" i="52"/>
  <c r="D1010" i="52"/>
  <c r="D1006" i="52"/>
  <c r="D1002" i="52"/>
  <c r="D998" i="52"/>
  <c r="H1173" i="52"/>
  <c r="D1190" i="52"/>
  <c r="D1185" i="52"/>
  <c r="D1181" i="52"/>
  <c r="D1177" i="52"/>
  <c r="D1173" i="52"/>
  <c r="D1189" i="52"/>
  <c r="D1184" i="52"/>
  <c r="D1180" i="52"/>
  <c r="D1176" i="52"/>
  <c r="D1187" i="52"/>
  <c r="D1183" i="52"/>
  <c r="D1179" i="52"/>
  <c r="D1175" i="52"/>
  <c r="D1186" i="52"/>
  <c r="D1182" i="52"/>
  <c r="D1178" i="52"/>
  <c r="D1174" i="52"/>
  <c r="H1349" i="52"/>
  <c r="D1366" i="52"/>
  <c r="D1361" i="52"/>
  <c r="D1357" i="52"/>
  <c r="D1353" i="52"/>
  <c r="D1349" i="52"/>
  <c r="D1365" i="52"/>
  <c r="D1360" i="52"/>
  <c r="D1356" i="52"/>
  <c r="D1352" i="52"/>
  <c r="D1363" i="52"/>
  <c r="D1359" i="52"/>
  <c r="D1355" i="52"/>
  <c r="D1351" i="52"/>
  <c r="D1362" i="52"/>
  <c r="D1358" i="52"/>
  <c r="D1354" i="52"/>
  <c r="D1350" i="52"/>
  <c r="H1613" i="52"/>
  <c r="D1630" i="52"/>
  <c r="D1625" i="52"/>
  <c r="D1621" i="52"/>
  <c r="D1617" i="52"/>
  <c r="D1613" i="52"/>
  <c r="D1629" i="52"/>
  <c r="D1624" i="52"/>
  <c r="D1620" i="52"/>
  <c r="D1616" i="52"/>
  <c r="D1627" i="52"/>
  <c r="D1623" i="52"/>
  <c r="D1619" i="52"/>
  <c r="D1615" i="52"/>
  <c r="D1626" i="52"/>
  <c r="D1622" i="52"/>
  <c r="D1618" i="52"/>
  <c r="D1614" i="52"/>
  <c r="H7" i="99"/>
  <c r="D20" i="99"/>
  <c r="D16" i="99"/>
  <c r="D12" i="99"/>
  <c r="D8" i="99"/>
  <c r="D24" i="99"/>
  <c r="D19" i="99"/>
  <c r="D15" i="99"/>
  <c r="D11" i="99"/>
  <c r="D7" i="99"/>
  <c r="D23" i="99"/>
  <c r="D18" i="99"/>
  <c r="D14" i="99"/>
  <c r="D10" i="99"/>
  <c r="D21" i="99"/>
  <c r="D17" i="99"/>
  <c r="D13" i="99"/>
  <c r="D9" i="99"/>
  <c r="H95" i="99"/>
  <c r="D108" i="99"/>
  <c r="D104" i="99"/>
  <c r="D100" i="99"/>
  <c r="D96" i="99"/>
  <c r="D112" i="99"/>
  <c r="D107" i="99"/>
  <c r="D103" i="99"/>
  <c r="D99" i="99"/>
  <c r="D95" i="99"/>
  <c r="D111" i="99"/>
  <c r="D106" i="99"/>
  <c r="D102" i="99"/>
  <c r="D98" i="99"/>
  <c r="D109" i="99"/>
  <c r="D105" i="99"/>
  <c r="D101" i="99"/>
  <c r="D97" i="99"/>
  <c r="H183" i="99"/>
  <c r="D196" i="99"/>
  <c r="D192" i="99"/>
  <c r="D188" i="99"/>
  <c r="D184" i="99"/>
  <c r="D200" i="99"/>
  <c r="G200" i="99" s="1"/>
  <c r="D195" i="99"/>
  <c r="D191" i="99"/>
  <c r="D187" i="99"/>
  <c r="D183" i="99"/>
  <c r="D199" i="99"/>
  <c r="D194" i="99"/>
  <c r="D190" i="99"/>
  <c r="D186" i="99"/>
  <c r="D197" i="99"/>
  <c r="D193" i="99"/>
  <c r="D189" i="99"/>
  <c r="D185" i="99"/>
  <c r="H315" i="99"/>
  <c r="D331" i="99"/>
  <c r="D326" i="99"/>
  <c r="D322" i="99"/>
  <c r="D318" i="99"/>
  <c r="D329" i="99"/>
  <c r="D325" i="99"/>
  <c r="D321" i="99"/>
  <c r="D317" i="99"/>
  <c r="D328" i="99"/>
  <c r="D324" i="99"/>
  <c r="D320" i="99"/>
  <c r="D316" i="99"/>
  <c r="D332" i="99"/>
  <c r="D327" i="99"/>
  <c r="D323" i="99"/>
  <c r="D319" i="99"/>
  <c r="D315" i="99"/>
  <c r="H29" i="100"/>
  <c r="D45" i="100"/>
  <c r="D40" i="100"/>
  <c r="D36" i="100"/>
  <c r="D32" i="100"/>
  <c r="D43" i="100"/>
  <c r="D39" i="100"/>
  <c r="D35" i="100"/>
  <c r="D31" i="100"/>
  <c r="D42" i="100"/>
  <c r="D38" i="100"/>
  <c r="D34" i="100"/>
  <c r="D30" i="100"/>
  <c r="D46" i="100"/>
  <c r="D41" i="100"/>
  <c r="D37" i="100"/>
  <c r="D33" i="100"/>
  <c r="D29" i="100"/>
  <c r="H117" i="100"/>
  <c r="D133" i="100"/>
  <c r="D128" i="100"/>
  <c r="D124" i="100"/>
  <c r="D120" i="100"/>
  <c r="D131" i="100"/>
  <c r="D127" i="100"/>
  <c r="D123" i="100"/>
  <c r="D119" i="100"/>
  <c r="D130" i="100"/>
  <c r="D126" i="100"/>
  <c r="D122" i="100"/>
  <c r="D118" i="100"/>
  <c r="D134" i="100"/>
  <c r="D129" i="100"/>
  <c r="D125" i="100"/>
  <c r="D121" i="100"/>
  <c r="D117" i="100"/>
  <c r="H205" i="100"/>
  <c r="D221" i="100"/>
  <c r="D216" i="100"/>
  <c r="D212" i="100"/>
  <c r="D208" i="100"/>
  <c r="D219" i="100"/>
  <c r="D215" i="100"/>
  <c r="D211" i="100"/>
  <c r="D207" i="100"/>
  <c r="D218" i="100"/>
  <c r="D214" i="100"/>
  <c r="D210" i="100"/>
  <c r="D206" i="100"/>
  <c r="D222" i="100"/>
  <c r="D217" i="100"/>
  <c r="D213" i="100"/>
  <c r="D209" i="100"/>
  <c r="D205" i="100"/>
  <c r="H293" i="100"/>
  <c r="D309" i="100"/>
  <c r="D304" i="100"/>
  <c r="D300" i="100"/>
  <c r="D296" i="100"/>
  <c r="D307" i="100"/>
  <c r="D303" i="100"/>
  <c r="D299" i="100"/>
  <c r="D295" i="100"/>
  <c r="D306" i="100"/>
  <c r="D302" i="100"/>
  <c r="D298" i="100"/>
  <c r="D294" i="100"/>
  <c r="D310" i="100"/>
  <c r="D305" i="100"/>
  <c r="D301" i="100"/>
  <c r="D297" i="100"/>
  <c r="D293" i="100"/>
  <c r="H425" i="100"/>
  <c r="D441" i="100"/>
  <c r="D436" i="100"/>
  <c r="D432" i="100"/>
  <c r="D428" i="100"/>
  <c r="D439" i="100"/>
  <c r="D435" i="100"/>
  <c r="D431" i="100"/>
  <c r="D427" i="100"/>
  <c r="D438" i="100"/>
  <c r="D434" i="100"/>
  <c r="D430" i="100"/>
  <c r="D426" i="100"/>
  <c r="D442" i="100"/>
  <c r="D437" i="100"/>
  <c r="D433" i="100"/>
  <c r="D429" i="100"/>
  <c r="D425" i="100"/>
  <c r="H513" i="100"/>
  <c r="D529" i="100"/>
  <c r="D524" i="100"/>
  <c r="D520" i="100"/>
  <c r="D516" i="100"/>
  <c r="D527" i="100"/>
  <c r="D523" i="100"/>
  <c r="D519" i="100"/>
  <c r="D515" i="100"/>
  <c r="D526" i="100"/>
  <c r="D522" i="100"/>
  <c r="D518" i="100"/>
  <c r="D514" i="100"/>
  <c r="D530" i="100"/>
  <c r="D525" i="100"/>
  <c r="D521" i="100"/>
  <c r="D517" i="100"/>
  <c r="D513" i="100"/>
  <c r="H601" i="100"/>
  <c r="D617" i="100"/>
  <c r="D612" i="100"/>
  <c r="D608" i="100"/>
  <c r="D604" i="100"/>
  <c r="D615" i="100"/>
  <c r="D611" i="100"/>
  <c r="D607" i="100"/>
  <c r="D603" i="100"/>
  <c r="D614" i="100"/>
  <c r="D610" i="100"/>
  <c r="D606" i="100"/>
  <c r="D602" i="100"/>
  <c r="D618" i="100"/>
  <c r="D613" i="100"/>
  <c r="D609" i="100"/>
  <c r="D605" i="100"/>
  <c r="D601" i="100"/>
  <c r="H689" i="100"/>
  <c r="D705" i="100"/>
  <c r="D700" i="100"/>
  <c r="D696" i="100"/>
  <c r="D692" i="100"/>
  <c r="D703" i="100"/>
  <c r="D699" i="100"/>
  <c r="D695" i="100"/>
  <c r="D691" i="100"/>
  <c r="D702" i="100"/>
  <c r="D698" i="100"/>
  <c r="D694" i="100"/>
  <c r="D690" i="100"/>
  <c r="D706" i="100"/>
  <c r="D701" i="100"/>
  <c r="D697" i="100"/>
  <c r="D693" i="100"/>
  <c r="D689" i="100"/>
  <c r="H777" i="100"/>
  <c r="D793" i="100"/>
  <c r="D788" i="100"/>
  <c r="D784" i="100"/>
  <c r="D780" i="100"/>
  <c r="D791" i="100"/>
  <c r="D787" i="100"/>
  <c r="D783" i="100"/>
  <c r="D779" i="100"/>
  <c r="D790" i="100"/>
  <c r="D786" i="100"/>
  <c r="D782" i="100"/>
  <c r="D778" i="100"/>
  <c r="D794" i="100"/>
  <c r="D789" i="100"/>
  <c r="D785" i="100"/>
  <c r="D781" i="100"/>
  <c r="D777" i="100"/>
  <c r="H865" i="100"/>
  <c r="D881" i="100"/>
  <c r="D876" i="100"/>
  <c r="D872" i="100"/>
  <c r="D868" i="100"/>
  <c r="D879" i="100"/>
  <c r="D875" i="100"/>
  <c r="D871" i="100"/>
  <c r="D867" i="100"/>
  <c r="D878" i="100"/>
  <c r="D874" i="100"/>
  <c r="D870" i="100"/>
  <c r="D866" i="100"/>
  <c r="D882" i="100"/>
  <c r="D877" i="100"/>
  <c r="D873" i="100"/>
  <c r="D869" i="100"/>
  <c r="D865" i="100"/>
  <c r="H997" i="100"/>
  <c r="D1010" i="100"/>
  <c r="D1006" i="100"/>
  <c r="D1002" i="100"/>
  <c r="D998" i="100"/>
  <c r="D1014" i="100"/>
  <c r="D1009" i="100"/>
  <c r="D1005" i="100"/>
  <c r="D1001" i="100"/>
  <c r="D997" i="100"/>
  <c r="D1013" i="100"/>
  <c r="D1008" i="100"/>
  <c r="D1004" i="100"/>
  <c r="D1000" i="100"/>
  <c r="D1011" i="100"/>
  <c r="D1007" i="100"/>
  <c r="D1003" i="100"/>
  <c r="D999" i="100"/>
  <c r="H7" i="101"/>
  <c r="D20" i="101"/>
  <c r="D16" i="101"/>
  <c r="D12" i="101"/>
  <c r="D8" i="101"/>
  <c r="D24" i="101"/>
  <c r="D19" i="101"/>
  <c r="D15" i="101"/>
  <c r="D11" i="101"/>
  <c r="D7" i="101"/>
  <c r="D23" i="101"/>
  <c r="D18" i="101"/>
  <c r="D14" i="101"/>
  <c r="D10" i="101"/>
  <c r="D21" i="101"/>
  <c r="D17" i="101"/>
  <c r="D13" i="101"/>
  <c r="D9" i="101"/>
  <c r="H95" i="101"/>
  <c r="D108" i="101"/>
  <c r="D104" i="101"/>
  <c r="D100" i="101"/>
  <c r="D96" i="101"/>
  <c r="D112" i="101"/>
  <c r="D107" i="101"/>
  <c r="D103" i="101"/>
  <c r="D99" i="101"/>
  <c r="D95" i="101"/>
  <c r="D111" i="101"/>
  <c r="D106" i="101"/>
  <c r="D102" i="101"/>
  <c r="D98" i="101"/>
  <c r="D109" i="101"/>
  <c r="D105" i="101"/>
  <c r="D101" i="101"/>
  <c r="D97" i="101"/>
  <c r="H227" i="101"/>
  <c r="D243" i="101"/>
  <c r="D238" i="101"/>
  <c r="D234" i="101"/>
  <c r="D230" i="101"/>
  <c r="D241" i="101"/>
  <c r="D237" i="101"/>
  <c r="D233" i="101"/>
  <c r="D229" i="101"/>
  <c r="D240" i="101"/>
  <c r="D236" i="101"/>
  <c r="D232" i="101"/>
  <c r="D228" i="101"/>
  <c r="D244" i="101"/>
  <c r="D239" i="101"/>
  <c r="D235" i="101"/>
  <c r="D231" i="101"/>
  <c r="D227" i="101"/>
  <c r="H359" i="101"/>
  <c r="D372" i="101"/>
  <c r="D368" i="101"/>
  <c r="D364" i="101"/>
  <c r="D360" i="101"/>
  <c r="D376" i="101"/>
  <c r="D371" i="101"/>
  <c r="D367" i="101"/>
  <c r="D363" i="101"/>
  <c r="D359" i="101"/>
  <c r="D375" i="101"/>
  <c r="D370" i="101"/>
  <c r="D366" i="101"/>
  <c r="D362" i="101"/>
  <c r="D373" i="101"/>
  <c r="D369" i="101"/>
  <c r="D365" i="101"/>
  <c r="D361" i="101"/>
  <c r="H447" i="101"/>
  <c r="D460" i="101"/>
  <c r="D456" i="101"/>
  <c r="D452" i="101"/>
  <c r="D448" i="101"/>
  <c r="D464" i="101"/>
  <c r="D459" i="101"/>
  <c r="D455" i="101"/>
  <c r="D451" i="101"/>
  <c r="D447" i="101"/>
  <c r="D463" i="101"/>
  <c r="D458" i="101"/>
  <c r="D454" i="101"/>
  <c r="D450" i="101"/>
  <c r="D461" i="101"/>
  <c r="D457" i="101"/>
  <c r="D453" i="101"/>
  <c r="D449" i="101"/>
  <c r="H535" i="101"/>
  <c r="D548" i="101"/>
  <c r="D544" i="101"/>
  <c r="D540" i="101"/>
  <c r="D536" i="101"/>
  <c r="D552" i="101"/>
  <c r="D547" i="101"/>
  <c r="D543" i="101"/>
  <c r="D539" i="101"/>
  <c r="D535" i="101"/>
  <c r="D551" i="101"/>
  <c r="D546" i="101"/>
  <c r="D542" i="101"/>
  <c r="D538" i="101"/>
  <c r="D549" i="101"/>
  <c r="D545" i="101"/>
  <c r="D541" i="101"/>
  <c r="D537" i="101"/>
  <c r="H623" i="101"/>
  <c r="D636" i="101"/>
  <c r="D632" i="101"/>
  <c r="D628" i="101"/>
  <c r="D624" i="101"/>
  <c r="D640" i="101"/>
  <c r="D635" i="101"/>
  <c r="D631" i="101"/>
  <c r="D627" i="101"/>
  <c r="D623" i="101"/>
  <c r="D639" i="101"/>
  <c r="D634" i="101"/>
  <c r="D630" i="101"/>
  <c r="D626" i="101"/>
  <c r="D637" i="101"/>
  <c r="D633" i="101"/>
  <c r="D629" i="101"/>
  <c r="D625" i="101"/>
  <c r="H711" i="101"/>
  <c r="D724" i="101"/>
  <c r="D720" i="101"/>
  <c r="D716" i="101"/>
  <c r="D712" i="101"/>
  <c r="D728" i="101"/>
  <c r="D723" i="101"/>
  <c r="D719" i="101"/>
  <c r="D715" i="101"/>
  <c r="D711" i="101"/>
  <c r="D727" i="101"/>
  <c r="D722" i="101"/>
  <c r="D718" i="101"/>
  <c r="D714" i="101"/>
  <c r="D725" i="101"/>
  <c r="D721" i="101"/>
  <c r="D717" i="101"/>
  <c r="D713" i="101"/>
  <c r="H843" i="101"/>
  <c r="D859" i="101"/>
  <c r="D854" i="101"/>
  <c r="D850" i="101"/>
  <c r="D846" i="101"/>
  <c r="D857" i="101"/>
  <c r="D853" i="101"/>
  <c r="D849" i="101"/>
  <c r="D845" i="101"/>
  <c r="D856" i="101"/>
  <c r="D852" i="101"/>
  <c r="D848" i="101"/>
  <c r="D844" i="101"/>
  <c r="D860" i="101"/>
  <c r="D855" i="101"/>
  <c r="D851" i="101"/>
  <c r="D847" i="101"/>
  <c r="D843" i="101"/>
  <c r="H931" i="101"/>
  <c r="D947" i="101"/>
  <c r="D942" i="101"/>
  <c r="D938" i="101"/>
  <c r="D934" i="101"/>
  <c r="D945" i="101"/>
  <c r="D941" i="101"/>
  <c r="D937" i="101"/>
  <c r="D933" i="101"/>
  <c r="D944" i="101"/>
  <c r="D940" i="101"/>
  <c r="D936" i="101"/>
  <c r="D932" i="101"/>
  <c r="D948" i="101"/>
  <c r="D943" i="101"/>
  <c r="D939" i="101"/>
  <c r="D935" i="101"/>
  <c r="D931" i="101"/>
  <c r="H1019" i="101"/>
  <c r="D1035" i="101"/>
  <c r="D1030" i="101"/>
  <c r="D1026" i="101"/>
  <c r="D1022" i="101"/>
  <c r="D1033" i="101"/>
  <c r="D1029" i="101"/>
  <c r="D1025" i="101"/>
  <c r="D1021" i="101"/>
  <c r="D1032" i="101"/>
  <c r="D1028" i="101"/>
  <c r="D1024" i="101"/>
  <c r="D1020" i="101"/>
  <c r="D1036" i="101"/>
  <c r="D1031" i="101"/>
  <c r="D1027" i="101"/>
  <c r="D1023" i="101"/>
  <c r="D1019" i="101"/>
  <c r="H1107" i="101"/>
  <c r="D1123" i="101"/>
  <c r="D1118" i="101"/>
  <c r="D1114" i="101"/>
  <c r="D1110" i="101"/>
  <c r="D1121" i="101"/>
  <c r="D1117" i="101"/>
  <c r="D1113" i="101"/>
  <c r="D1109" i="101"/>
  <c r="D1120" i="101"/>
  <c r="D1116" i="101"/>
  <c r="D1112" i="101"/>
  <c r="D1108" i="101"/>
  <c r="D1124" i="101"/>
  <c r="D1119" i="101"/>
  <c r="D1115" i="101"/>
  <c r="D1111" i="101"/>
  <c r="D1107" i="101"/>
  <c r="H1195" i="101"/>
  <c r="D1211" i="101"/>
  <c r="D1206" i="101"/>
  <c r="D1202" i="101"/>
  <c r="D1198" i="101"/>
  <c r="D1209" i="101"/>
  <c r="D1205" i="101"/>
  <c r="D1201" i="101"/>
  <c r="D1197" i="101"/>
  <c r="D1208" i="101"/>
  <c r="D1204" i="101"/>
  <c r="D1200" i="101"/>
  <c r="D1196" i="101"/>
  <c r="D1212" i="101"/>
  <c r="D1207" i="101"/>
  <c r="D1203" i="101"/>
  <c r="D1199" i="101"/>
  <c r="D1195" i="101"/>
  <c r="H1283" i="101"/>
  <c r="D1299" i="101"/>
  <c r="D1294" i="101"/>
  <c r="D1290" i="101"/>
  <c r="D1286" i="101"/>
  <c r="D1297" i="101"/>
  <c r="D1293" i="101"/>
  <c r="D1289" i="101"/>
  <c r="D1285" i="101"/>
  <c r="D1296" i="101"/>
  <c r="D1292" i="101"/>
  <c r="D1288" i="101"/>
  <c r="D1284" i="101"/>
  <c r="D1300" i="101"/>
  <c r="D1295" i="101"/>
  <c r="D1291" i="101"/>
  <c r="D1287" i="101"/>
  <c r="D1283" i="101"/>
  <c r="H1371" i="101"/>
  <c r="D1387" i="101"/>
  <c r="D1382" i="101"/>
  <c r="D1378" i="101"/>
  <c r="D1374" i="101"/>
  <c r="D1385" i="101"/>
  <c r="D1381" i="101"/>
  <c r="D1377" i="101"/>
  <c r="D1373" i="101"/>
  <c r="D1384" i="101"/>
  <c r="D1380" i="101"/>
  <c r="D1376" i="101"/>
  <c r="D1372" i="101"/>
  <c r="D1388" i="101"/>
  <c r="D1383" i="101"/>
  <c r="D1379" i="101"/>
  <c r="D1375" i="101"/>
  <c r="D1371" i="101"/>
  <c r="H1459" i="101"/>
  <c r="D1475" i="101"/>
  <c r="D1470" i="101"/>
  <c r="D1466" i="101"/>
  <c r="D1462" i="101"/>
  <c r="D1473" i="101"/>
  <c r="D1469" i="101"/>
  <c r="D1465" i="101"/>
  <c r="D1461" i="101"/>
  <c r="D1472" i="101"/>
  <c r="D1468" i="101"/>
  <c r="D1464" i="101"/>
  <c r="D1460" i="101"/>
  <c r="D1476" i="101"/>
  <c r="D1471" i="101"/>
  <c r="D1467" i="101"/>
  <c r="D1463" i="101"/>
  <c r="D1459" i="101"/>
  <c r="H1591" i="101"/>
  <c r="D1604" i="101"/>
  <c r="D1600" i="101"/>
  <c r="D1596" i="101"/>
  <c r="D1592" i="101"/>
  <c r="D1608" i="101"/>
  <c r="D1603" i="101"/>
  <c r="D1599" i="101"/>
  <c r="D1595" i="101"/>
  <c r="D1591" i="101"/>
  <c r="D1607" i="101"/>
  <c r="D1602" i="101"/>
  <c r="D1598" i="101"/>
  <c r="D1594" i="101"/>
  <c r="D1605" i="101"/>
  <c r="D1601" i="101"/>
  <c r="D1597" i="101"/>
  <c r="D1593" i="101"/>
  <c r="H29" i="102"/>
  <c r="D42" i="102"/>
  <c r="D38" i="102"/>
  <c r="D34" i="102"/>
  <c r="D30" i="102"/>
  <c r="D46" i="102"/>
  <c r="G46" i="102" s="1"/>
  <c r="D41" i="102"/>
  <c r="D37" i="102"/>
  <c r="D33" i="102"/>
  <c r="D29" i="102"/>
  <c r="D45" i="102"/>
  <c r="D40" i="102"/>
  <c r="D36" i="102"/>
  <c r="D32" i="102"/>
  <c r="D43" i="102"/>
  <c r="D39" i="102"/>
  <c r="D35" i="102"/>
  <c r="D31" i="102"/>
  <c r="H161" i="102"/>
  <c r="D177" i="102"/>
  <c r="D172" i="102"/>
  <c r="D168" i="102"/>
  <c r="D164" i="102"/>
  <c r="D175" i="102"/>
  <c r="D171" i="102"/>
  <c r="D167" i="102"/>
  <c r="D163" i="102"/>
  <c r="D174" i="102"/>
  <c r="D170" i="102"/>
  <c r="D166" i="102"/>
  <c r="D162" i="102"/>
  <c r="D178" i="102"/>
  <c r="D173" i="102"/>
  <c r="D169" i="102"/>
  <c r="D165" i="102"/>
  <c r="D161" i="102"/>
  <c r="H249" i="102"/>
  <c r="D265" i="102"/>
  <c r="D260" i="102"/>
  <c r="D256" i="102"/>
  <c r="D252" i="102"/>
  <c r="D263" i="102"/>
  <c r="D259" i="102"/>
  <c r="D255" i="102"/>
  <c r="D251" i="102"/>
  <c r="D262" i="102"/>
  <c r="D258" i="102"/>
  <c r="D254" i="102"/>
  <c r="D250" i="102"/>
  <c r="D266" i="102"/>
  <c r="G266" i="102" s="1"/>
  <c r="D261" i="102"/>
  <c r="D257" i="102"/>
  <c r="D253" i="102"/>
  <c r="D249" i="102"/>
  <c r="H29" i="103"/>
  <c r="D42" i="103"/>
  <c r="D38" i="103"/>
  <c r="D34" i="103"/>
  <c r="D30" i="103"/>
  <c r="D46" i="103"/>
  <c r="D41" i="103"/>
  <c r="D37" i="103"/>
  <c r="D33" i="103"/>
  <c r="D29" i="103"/>
  <c r="D45" i="103"/>
  <c r="D40" i="103"/>
  <c r="D36" i="103"/>
  <c r="D32" i="103"/>
  <c r="D43" i="103"/>
  <c r="D39" i="103"/>
  <c r="D35" i="103"/>
  <c r="D31" i="103"/>
  <c r="H117" i="103"/>
  <c r="D130" i="103"/>
  <c r="D126" i="103"/>
  <c r="D122" i="103"/>
  <c r="D118" i="103"/>
  <c r="D134" i="103"/>
  <c r="D129" i="103"/>
  <c r="D125" i="103"/>
  <c r="D121" i="103"/>
  <c r="D117" i="103"/>
  <c r="D133" i="103"/>
  <c r="D128" i="103"/>
  <c r="D124" i="103"/>
  <c r="D120" i="103"/>
  <c r="D131" i="103"/>
  <c r="D127" i="103"/>
  <c r="D123" i="103"/>
  <c r="D119" i="103"/>
  <c r="H205" i="103"/>
  <c r="D218" i="103"/>
  <c r="D214" i="103"/>
  <c r="D210" i="103"/>
  <c r="D206" i="103"/>
  <c r="D222" i="103"/>
  <c r="D217" i="103"/>
  <c r="D213" i="103"/>
  <c r="D209" i="103"/>
  <c r="D205" i="103"/>
  <c r="D221" i="103"/>
  <c r="D216" i="103"/>
  <c r="D212" i="103"/>
  <c r="D208" i="103"/>
  <c r="D219" i="103"/>
  <c r="D215" i="103"/>
  <c r="D211" i="103"/>
  <c r="D207" i="103"/>
  <c r="H293" i="103"/>
  <c r="D306" i="103"/>
  <c r="D302" i="103"/>
  <c r="D298" i="103"/>
  <c r="D294" i="103"/>
  <c r="D310" i="103"/>
  <c r="D305" i="103"/>
  <c r="D301" i="103"/>
  <c r="D297" i="103"/>
  <c r="D293" i="103"/>
  <c r="D309" i="103"/>
  <c r="D304" i="103"/>
  <c r="D300" i="103"/>
  <c r="D296" i="103"/>
  <c r="D307" i="103"/>
  <c r="D303" i="103"/>
  <c r="D299" i="103"/>
  <c r="D295" i="103"/>
  <c r="H381" i="103"/>
  <c r="D394" i="103"/>
  <c r="D390" i="103"/>
  <c r="D386" i="103"/>
  <c r="D382" i="103"/>
  <c r="D398" i="103"/>
  <c r="D393" i="103"/>
  <c r="D389" i="103"/>
  <c r="D385" i="103"/>
  <c r="D381" i="103"/>
  <c r="D397" i="103"/>
  <c r="D392" i="103"/>
  <c r="D388" i="103"/>
  <c r="D384" i="103"/>
  <c r="D395" i="103"/>
  <c r="D391" i="103"/>
  <c r="D387" i="103"/>
  <c r="D383" i="103"/>
  <c r="H469" i="103"/>
  <c r="D482" i="103"/>
  <c r="D478" i="103"/>
  <c r="D474" i="103"/>
  <c r="D470" i="103"/>
  <c r="D486" i="103"/>
  <c r="D481" i="103"/>
  <c r="D477" i="103"/>
  <c r="D473" i="103"/>
  <c r="D469" i="103"/>
  <c r="D485" i="103"/>
  <c r="D480" i="103"/>
  <c r="D476" i="103"/>
  <c r="D472" i="103"/>
  <c r="D483" i="103"/>
  <c r="D479" i="103"/>
  <c r="D475" i="103"/>
  <c r="D471" i="103"/>
  <c r="H601" i="103"/>
  <c r="D617" i="103"/>
  <c r="D612" i="103"/>
  <c r="D608" i="103"/>
  <c r="D604" i="103"/>
  <c r="D615" i="103"/>
  <c r="D611" i="103"/>
  <c r="D607" i="103"/>
  <c r="D603" i="103"/>
  <c r="D614" i="103"/>
  <c r="D610" i="103"/>
  <c r="D606" i="103"/>
  <c r="D602" i="103"/>
  <c r="D618" i="103"/>
  <c r="D613" i="103"/>
  <c r="D609" i="103"/>
  <c r="D605" i="103"/>
  <c r="D601" i="103"/>
  <c r="H689" i="103"/>
  <c r="D705" i="103"/>
  <c r="D700" i="103"/>
  <c r="D696" i="103"/>
  <c r="D692" i="103"/>
  <c r="D703" i="103"/>
  <c r="D699" i="103"/>
  <c r="D695" i="103"/>
  <c r="D691" i="103"/>
  <c r="D702" i="103"/>
  <c r="D698" i="103"/>
  <c r="D694" i="103"/>
  <c r="D690" i="103"/>
  <c r="D706" i="103"/>
  <c r="D701" i="103"/>
  <c r="D697" i="103"/>
  <c r="D693" i="103"/>
  <c r="D689" i="103"/>
  <c r="H777" i="103"/>
  <c r="D793" i="103"/>
  <c r="D788" i="103"/>
  <c r="D784" i="103"/>
  <c r="D780" i="103"/>
  <c r="D791" i="103"/>
  <c r="D787" i="103"/>
  <c r="D783" i="103"/>
  <c r="D779" i="103"/>
  <c r="D790" i="103"/>
  <c r="D786" i="103"/>
  <c r="D782" i="103"/>
  <c r="D778" i="103"/>
  <c r="D794" i="103"/>
  <c r="D789" i="103"/>
  <c r="D785" i="103"/>
  <c r="D781" i="103"/>
  <c r="D777" i="103"/>
  <c r="H865" i="103"/>
  <c r="D881" i="103"/>
  <c r="D876" i="103"/>
  <c r="D872" i="103"/>
  <c r="D868" i="103"/>
  <c r="D879" i="103"/>
  <c r="D875" i="103"/>
  <c r="D871" i="103"/>
  <c r="D867" i="103"/>
  <c r="D878" i="103"/>
  <c r="D874" i="103"/>
  <c r="D870" i="103"/>
  <c r="D866" i="103"/>
  <c r="D882" i="103"/>
  <c r="D877" i="103"/>
  <c r="D873" i="103"/>
  <c r="D869" i="103"/>
  <c r="D865" i="103"/>
  <c r="H29" i="104"/>
  <c r="D46" i="104"/>
  <c r="D41" i="104"/>
  <c r="D37" i="104"/>
  <c r="D33" i="104"/>
  <c r="D29" i="104"/>
  <c r="D45" i="104"/>
  <c r="D40" i="104"/>
  <c r="D36" i="104"/>
  <c r="D32" i="104"/>
  <c r="D43" i="104"/>
  <c r="D39" i="104"/>
  <c r="D35" i="104"/>
  <c r="D31" i="104"/>
  <c r="D34" i="104"/>
  <c r="D30" i="104"/>
  <c r="D42" i="104"/>
  <c r="D38" i="104"/>
  <c r="H117" i="104"/>
  <c r="D134" i="104"/>
  <c r="D129" i="104"/>
  <c r="D125" i="104"/>
  <c r="D121" i="104"/>
  <c r="D117" i="104"/>
  <c r="D133" i="104"/>
  <c r="D128" i="104"/>
  <c r="D124" i="104"/>
  <c r="D120" i="104"/>
  <c r="D131" i="104"/>
  <c r="D127" i="104"/>
  <c r="D123" i="104"/>
  <c r="D119" i="104"/>
  <c r="D118" i="104"/>
  <c r="D130" i="104"/>
  <c r="D126" i="104"/>
  <c r="D122" i="104"/>
  <c r="H205" i="104"/>
  <c r="D222" i="104"/>
  <c r="D217" i="104"/>
  <c r="D213" i="104"/>
  <c r="D209" i="104"/>
  <c r="D205" i="104"/>
  <c r="D221" i="104"/>
  <c r="D216" i="104"/>
  <c r="D212" i="104"/>
  <c r="D208" i="104"/>
  <c r="D219" i="104"/>
  <c r="D215" i="104"/>
  <c r="D211" i="104"/>
  <c r="D207" i="104"/>
  <c r="D218" i="104"/>
  <c r="D214" i="104"/>
  <c r="D210" i="104"/>
  <c r="D206" i="104"/>
  <c r="H337" i="104"/>
  <c r="D351" i="104"/>
  <c r="D347" i="104"/>
  <c r="D343" i="104"/>
  <c r="D339" i="104"/>
  <c r="D350" i="104"/>
  <c r="D346" i="104"/>
  <c r="D342" i="104"/>
  <c r="D338" i="104"/>
  <c r="D354" i="104"/>
  <c r="D349" i="104"/>
  <c r="D345" i="104"/>
  <c r="D341" i="104"/>
  <c r="D337" i="104"/>
  <c r="D344" i="104"/>
  <c r="D340" i="104"/>
  <c r="D353" i="104"/>
  <c r="D348" i="104"/>
  <c r="H51" i="105"/>
  <c r="D68" i="105"/>
  <c r="D63" i="105"/>
  <c r="D59" i="105"/>
  <c r="D55" i="105"/>
  <c r="D51" i="105"/>
  <c r="D67" i="105"/>
  <c r="D62" i="105"/>
  <c r="D58" i="105"/>
  <c r="D54" i="105"/>
  <c r="D65" i="105"/>
  <c r="D61" i="105"/>
  <c r="D57" i="105"/>
  <c r="D53" i="105"/>
  <c r="D60" i="105"/>
  <c r="D56" i="105"/>
  <c r="D52" i="105"/>
  <c r="D64" i="105"/>
  <c r="H139" i="105"/>
  <c r="D156" i="105"/>
  <c r="D151" i="105"/>
  <c r="D147" i="105"/>
  <c r="D143" i="105"/>
  <c r="D139" i="105"/>
  <c r="D155" i="105"/>
  <c r="D150" i="105"/>
  <c r="D146" i="105"/>
  <c r="D142" i="105"/>
  <c r="D153" i="105"/>
  <c r="D149" i="105"/>
  <c r="D145" i="105"/>
  <c r="D141" i="105"/>
  <c r="D144" i="105"/>
  <c r="D140" i="105"/>
  <c r="D152" i="105"/>
  <c r="D148" i="105"/>
  <c r="H227" i="105"/>
  <c r="D244" i="105"/>
  <c r="D239" i="105"/>
  <c r="D235" i="105"/>
  <c r="D231" i="105"/>
  <c r="D227" i="105"/>
  <c r="D243" i="105"/>
  <c r="D238" i="105"/>
  <c r="D234" i="105"/>
  <c r="D230" i="105"/>
  <c r="D241" i="105"/>
  <c r="D237" i="105"/>
  <c r="D233" i="105"/>
  <c r="D229" i="105"/>
  <c r="D228" i="105"/>
  <c r="D240" i="105"/>
  <c r="D236" i="105"/>
  <c r="D232" i="105"/>
  <c r="H315" i="105"/>
  <c r="D332" i="105"/>
  <c r="D327" i="105"/>
  <c r="D323" i="105"/>
  <c r="D319" i="105"/>
  <c r="D315" i="105"/>
  <c r="D331" i="105"/>
  <c r="D326" i="105"/>
  <c r="D322" i="105"/>
  <c r="D318" i="105"/>
  <c r="D329" i="105"/>
  <c r="D325" i="105"/>
  <c r="D321" i="105"/>
  <c r="D317" i="105"/>
  <c r="D328" i="105"/>
  <c r="D324" i="105"/>
  <c r="D320" i="105"/>
  <c r="D316" i="105"/>
  <c r="H403" i="105"/>
  <c r="D419" i="105"/>
  <c r="D414" i="105"/>
  <c r="D410" i="105"/>
  <c r="D406" i="105"/>
  <c r="D417" i="105"/>
  <c r="D413" i="105"/>
  <c r="D409" i="105"/>
  <c r="D405" i="105"/>
  <c r="D420" i="105"/>
  <c r="D411" i="105"/>
  <c r="D403" i="105"/>
  <c r="D416" i="105"/>
  <c r="D408" i="105"/>
  <c r="D415" i="105"/>
  <c r="D407" i="105"/>
  <c r="D404" i="105"/>
  <c r="D412" i="105"/>
  <c r="H491" i="105"/>
  <c r="D507" i="105"/>
  <c r="D502" i="105"/>
  <c r="D498" i="105"/>
  <c r="D494" i="105"/>
  <c r="D505" i="105"/>
  <c r="D501" i="105"/>
  <c r="D497" i="105"/>
  <c r="D493" i="105"/>
  <c r="D504" i="105"/>
  <c r="D500" i="105"/>
  <c r="D508" i="105"/>
  <c r="D495" i="105"/>
  <c r="D503" i="105"/>
  <c r="D492" i="105"/>
  <c r="D499" i="105"/>
  <c r="D491" i="105"/>
  <c r="D496" i="105"/>
  <c r="H579" i="105"/>
  <c r="D595" i="105"/>
  <c r="D590" i="105"/>
  <c r="D586" i="105"/>
  <c r="D582" i="105"/>
  <c r="D593" i="105"/>
  <c r="D589" i="105"/>
  <c r="D585" i="105"/>
  <c r="D581" i="105"/>
  <c r="D592" i="105"/>
  <c r="D588" i="105"/>
  <c r="D584" i="105"/>
  <c r="D580" i="105"/>
  <c r="D591" i="105"/>
  <c r="D587" i="105"/>
  <c r="D583" i="105"/>
  <c r="D596" i="105"/>
  <c r="D579" i="105"/>
  <c r="H667" i="105"/>
  <c r="D683" i="105"/>
  <c r="D678" i="105"/>
  <c r="D674" i="105"/>
  <c r="D670" i="105"/>
  <c r="D681" i="105"/>
  <c r="D677" i="105"/>
  <c r="D673" i="105"/>
  <c r="D669" i="105"/>
  <c r="D680" i="105"/>
  <c r="D676" i="105"/>
  <c r="D672" i="105"/>
  <c r="D668" i="105"/>
  <c r="D675" i="105"/>
  <c r="D671" i="105"/>
  <c r="D684" i="105"/>
  <c r="D667" i="105"/>
  <c r="D679" i="105"/>
  <c r="H799" i="105"/>
  <c r="D812" i="105"/>
  <c r="D808" i="105"/>
  <c r="D804" i="105"/>
  <c r="D800" i="105"/>
  <c r="D816" i="105"/>
  <c r="D811" i="105"/>
  <c r="D807" i="105"/>
  <c r="D803" i="105"/>
  <c r="D799" i="105"/>
  <c r="D815" i="105"/>
  <c r="D810" i="105"/>
  <c r="D806" i="105"/>
  <c r="D802" i="105"/>
  <c r="D801" i="105"/>
  <c r="D813" i="105"/>
  <c r="D809" i="105"/>
  <c r="D805" i="105"/>
  <c r="H887" i="105"/>
  <c r="D900" i="105"/>
  <c r="D896" i="105"/>
  <c r="D892" i="105"/>
  <c r="D888" i="105"/>
  <c r="D904" i="105"/>
  <c r="D899" i="105"/>
  <c r="D895" i="105"/>
  <c r="D891" i="105"/>
  <c r="D887" i="105"/>
  <c r="D903" i="105"/>
  <c r="D898" i="105"/>
  <c r="D894" i="105"/>
  <c r="D890" i="105"/>
  <c r="D901" i="105"/>
  <c r="D897" i="105"/>
  <c r="D893" i="105"/>
  <c r="D889" i="105"/>
  <c r="H975" i="105"/>
  <c r="D988" i="105"/>
  <c r="D984" i="105"/>
  <c r="D980" i="105"/>
  <c r="D976" i="105"/>
  <c r="D992" i="105"/>
  <c r="D987" i="105"/>
  <c r="D983" i="105"/>
  <c r="D979" i="105"/>
  <c r="D975" i="105"/>
  <c r="D991" i="105"/>
  <c r="D986" i="105"/>
  <c r="D982" i="105"/>
  <c r="D978" i="105"/>
  <c r="D985" i="105"/>
  <c r="D981" i="105"/>
  <c r="D977" i="105"/>
  <c r="D989" i="105"/>
  <c r="H7" i="106"/>
  <c r="D20" i="106"/>
  <c r="D16" i="106"/>
  <c r="D12" i="106"/>
  <c r="D8" i="106"/>
  <c r="D24" i="106"/>
  <c r="D19" i="106"/>
  <c r="D15" i="106"/>
  <c r="D11" i="106"/>
  <c r="D7" i="106"/>
  <c r="D23" i="106"/>
  <c r="D18" i="106"/>
  <c r="D14" i="106"/>
  <c r="D10" i="106"/>
  <c r="D21" i="106"/>
  <c r="D17" i="106"/>
  <c r="D13" i="106"/>
  <c r="D9" i="106"/>
  <c r="H95" i="106"/>
  <c r="D108" i="106"/>
  <c r="D104" i="106"/>
  <c r="D100" i="106"/>
  <c r="D96" i="106"/>
  <c r="D112" i="106"/>
  <c r="D107" i="106"/>
  <c r="D103" i="106"/>
  <c r="D99" i="106"/>
  <c r="D95" i="106"/>
  <c r="D111" i="106"/>
  <c r="D106" i="106"/>
  <c r="D102" i="106"/>
  <c r="D98" i="106"/>
  <c r="D105" i="106"/>
  <c r="D101" i="106"/>
  <c r="D97" i="106"/>
  <c r="D109" i="106"/>
  <c r="H227" i="106"/>
  <c r="D243" i="106"/>
  <c r="D238" i="106"/>
  <c r="D234" i="106"/>
  <c r="D230" i="106"/>
  <c r="D241" i="106"/>
  <c r="D237" i="106"/>
  <c r="D233" i="106"/>
  <c r="D229" i="106"/>
  <c r="D240" i="106"/>
  <c r="D236" i="106"/>
  <c r="D232" i="106"/>
  <c r="D228" i="106"/>
  <c r="D231" i="106"/>
  <c r="D244" i="106"/>
  <c r="D227" i="106"/>
  <c r="D239" i="106"/>
  <c r="D235" i="106"/>
  <c r="H315" i="106"/>
  <c r="D331" i="106"/>
  <c r="D326" i="106"/>
  <c r="D322" i="106"/>
  <c r="D318" i="106"/>
  <c r="D329" i="106"/>
  <c r="D325" i="106"/>
  <c r="D321" i="106"/>
  <c r="D317" i="106"/>
  <c r="D328" i="106"/>
  <c r="D324" i="106"/>
  <c r="D320" i="106"/>
  <c r="D316" i="106"/>
  <c r="D332" i="106"/>
  <c r="D315" i="106"/>
  <c r="D327" i="106"/>
  <c r="D323" i="106"/>
  <c r="D319" i="106"/>
  <c r="H403" i="106"/>
  <c r="D419" i="106"/>
  <c r="D414" i="106"/>
  <c r="D410" i="106"/>
  <c r="D406" i="106"/>
  <c r="D417" i="106"/>
  <c r="D413" i="106"/>
  <c r="D409" i="106"/>
  <c r="D405" i="106"/>
  <c r="D416" i="106"/>
  <c r="D412" i="106"/>
  <c r="D408" i="106"/>
  <c r="D404" i="106"/>
  <c r="D415" i="106"/>
  <c r="D411" i="106"/>
  <c r="D407" i="106"/>
  <c r="D420" i="106"/>
  <c r="D403" i="106"/>
  <c r="H73" i="107"/>
  <c r="D89" i="107"/>
  <c r="D84" i="107"/>
  <c r="D80" i="107"/>
  <c r="D76" i="107"/>
  <c r="D87" i="107"/>
  <c r="D83" i="107"/>
  <c r="D79" i="107"/>
  <c r="D75" i="107"/>
  <c r="D86" i="107"/>
  <c r="D82" i="107"/>
  <c r="D78" i="107"/>
  <c r="D74" i="107"/>
  <c r="D85" i="107"/>
  <c r="D81" i="107"/>
  <c r="D77" i="107"/>
  <c r="D90" i="107"/>
  <c r="D73" i="107"/>
  <c r="H161" i="107"/>
  <c r="D177" i="107"/>
  <c r="D172" i="107"/>
  <c r="D168" i="107"/>
  <c r="D164" i="107"/>
  <c r="D175" i="107"/>
  <c r="D171" i="107"/>
  <c r="D167" i="107"/>
  <c r="D163" i="107"/>
  <c r="D174" i="107"/>
  <c r="D170" i="107"/>
  <c r="D166" i="107"/>
  <c r="D162" i="107"/>
  <c r="D169" i="107"/>
  <c r="D165" i="107"/>
  <c r="D178" i="107"/>
  <c r="D161" i="107"/>
  <c r="D173" i="107"/>
  <c r="H249" i="107"/>
  <c r="D265" i="107"/>
  <c r="D260" i="107"/>
  <c r="D256" i="107"/>
  <c r="D252" i="107"/>
  <c r="D263" i="107"/>
  <c r="D259" i="107"/>
  <c r="D255" i="107"/>
  <c r="D251" i="107"/>
  <c r="D262" i="107"/>
  <c r="D258" i="107"/>
  <c r="D254" i="107"/>
  <c r="D250" i="107"/>
  <c r="D253" i="107"/>
  <c r="D266" i="107"/>
  <c r="D249" i="107"/>
  <c r="D261" i="107"/>
  <c r="D257" i="107"/>
  <c r="H293" i="107"/>
  <c r="D306" i="107"/>
  <c r="D302" i="107"/>
  <c r="D298" i="107"/>
  <c r="D294" i="107"/>
  <c r="D310" i="107"/>
  <c r="D305" i="107"/>
  <c r="D301" i="107"/>
  <c r="D297" i="107"/>
  <c r="D293" i="107"/>
  <c r="D309" i="107"/>
  <c r="D304" i="107"/>
  <c r="D300" i="107"/>
  <c r="D296" i="107"/>
  <c r="D295" i="107"/>
  <c r="D307" i="107"/>
  <c r="D303" i="107"/>
  <c r="D299" i="107"/>
  <c r="H7" i="108"/>
  <c r="D24" i="108"/>
  <c r="D19" i="108"/>
  <c r="D15" i="108"/>
  <c r="D11" i="108"/>
  <c r="D7" i="108"/>
  <c r="D23" i="108"/>
  <c r="D18" i="108"/>
  <c r="D14" i="108"/>
  <c r="D10" i="108"/>
  <c r="D16" i="108"/>
  <c r="D8" i="108"/>
  <c r="D21" i="108"/>
  <c r="D13" i="108"/>
  <c r="D20" i="108"/>
  <c r="D12" i="108"/>
  <c r="D17" i="108"/>
  <c r="D9" i="108"/>
  <c r="H139" i="108"/>
  <c r="D153" i="108"/>
  <c r="D149" i="108"/>
  <c r="D145" i="108"/>
  <c r="D141" i="108"/>
  <c r="D152" i="108"/>
  <c r="D148" i="108"/>
  <c r="D144" i="108"/>
  <c r="D140" i="108"/>
  <c r="D150" i="108"/>
  <c r="D142" i="108"/>
  <c r="D156" i="108"/>
  <c r="D147" i="108"/>
  <c r="D139" i="108"/>
  <c r="D155" i="108"/>
  <c r="D146" i="108"/>
  <c r="D151" i="108"/>
  <c r="D143" i="108"/>
  <c r="H227" i="108"/>
  <c r="D241" i="108"/>
  <c r="D237" i="108"/>
  <c r="D233" i="108"/>
  <c r="D229" i="108"/>
  <c r="D240" i="108"/>
  <c r="D236" i="108"/>
  <c r="D232" i="108"/>
  <c r="D228" i="108"/>
  <c r="D243" i="108"/>
  <c r="D234" i="108"/>
  <c r="D239" i="108"/>
  <c r="D231" i="108"/>
  <c r="D238" i="108"/>
  <c r="D230" i="108"/>
  <c r="D244" i="108"/>
  <c r="D235" i="108"/>
  <c r="D227" i="108"/>
  <c r="H315" i="108"/>
  <c r="D329" i="108"/>
  <c r="D325" i="108"/>
  <c r="D321" i="108"/>
  <c r="D317" i="108"/>
  <c r="D328" i="108"/>
  <c r="D324" i="108"/>
  <c r="D320" i="108"/>
  <c r="D316" i="108"/>
  <c r="D326" i="108"/>
  <c r="D318" i="108"/>
  <c r="D332" i="108"/>
  <c r="D323" i="108"/>
  <c r="D315" i="108"/>
  <c r="D331" i="108"/>
  <c r="D322" i="108"/>
  <c r="D327" i="108"/>
  <c r="D319" i="108"/>
  <c r="H403" i="108"/>
  <c r="D417" i="108"/>
  <c r="D413" i="108"/>
  <c r="D409" i="108"/>
  <c r="D405" i="108"/>
  <c r="D416" i="108"/>
  <c r="D412" i="108"/>
  <c r="D408" i="108"/>
  <c r="D404" i="108"/>
  <c r="D419" i="108"/>
  <c r="D410" i="108"/>
  <c r="D415" i="108"/>
  <c r="D407" i="108"/>
  <c r="D414" i="108"/>
  <c r="D406" i="108"/>
  <c r="D411" i="108"/>
  <c r="D403" i="108"/>
  <c r="D420" i="108"/>
  <c r="H491" i="108"/>
  <c r="D505" i="108"/>
  <c r="D501" i="108"/>
  <c r="D497" i="108"/>
  <c r="D493" i="108"/>
  <c r="D504" i="108"/>
  <c r="D500" i="108"/>
  <c r="D496" i="108"/>
  <c r="D492" i="108"/>
  <c r="D508" i="108"/>
  <c r="D503" i="108"/>
  <c r="D499" i="108"/>
  <c r="D495" i="108"/>
  <c r="D491" i="108"/>
  <c r="D494" i="108"/>
  <c r="D507" i="108"/>
  <c r="D502" i="108"/>
  <c r="D498" i="108"/>
  <c r="H7" i="109"/>
  <c r="D24" i="109"/>
  <c r="D19" i="109"/>
  <c r="D15" i="109"/>
  <c r="D11" i="109"/>
  <c r="D7" i="109"/>
  <c r="D23" i="109"/>
  <c r="D18" i="109"/>
  <c r="D14" i="109"/>
  <c r="D10" i="109"/>
  <c r="D21" i="109"/>
  <c r="D17" i="109"/>
  <c r="D13" i="109"/>
  <c r="D9" i="109"/>
  <c r="D12" i="109"/>
  <c r="D8" i="109"/>
  <c r="D20" i="109"/>
  <c r="D16" i="109"/>
  <c r="H95" i="109"/>
  <c r="D112" i="109"/>
  <c r="D107" i="109"/>
  <c r="D103" i="109"/>
  <c r="D99" i="109"/>
  <c r="D95" i="109"/>
  <c r="D111" i="109"/>
  <c r="D106" i="109"/>
  <c r="D102" i="109"/>
  <c r="D98" i="109"/>
  <c r="D109" i="109"/>
  <c r="D105" i="109"/>
  <c r="D101" i="109"/>
  <c r="D97" i="109"/>
  <c r="D96" i="109"/>
  <c r="D108" i="109"/>
  <c r="D104" i="109"/>
  <c r="D100" i="109"/>
  <c r="H183" i="109"/>
  <c r="D200" i="109"/>
  <c r="D195" i="109"/>
  <c r="D191" i="109"/>
  <c r="D187" i="109"/>
  <c r="D183" i="109"/>
  <c r="D199" i="109"/>
  <c r="D194" i="109"/>
  <c r="D190" i="109"/>
  <c r="D186" i="109"/>
  <c r="D197" i="109"/>
  <c r="D193" i="109"/>
  <c r="D189" i="109"/>
  <c r="D185" i="109"/>
  <c r="D196" i="109"/>
  <c r="D192" i="109"/>
  <c r="D188" i="109"/>
  <c r="D184" i="109"/>
  <c r="H271" i="109"/>
  <c r="D288" i="109"/>
  <c r="D283" i="109"/>
  <c r="D279" i="109"/>
  <c r="D275" i="109"/>
  <c r="D271" i="109"/>
  <c r="D287" i="109"/>
  <c r="D282" i="109"/>
  <c r="D278" i="109"/>
  <c r="D274" i="109"/>
  <c r="D285" i="109"/>
  <c r="D281" i="109"/>
  <c r="D277" i="109"/>
  <c r="D273" i="109"/>
  <c r="D280" i="109"/>
  <c r="D276" i="109"/>
  <c r="D272" i="109"/>
  <c r="D284" i="109"/>
  <c r="H359" i="109"/>
  <c r="D372" i="109"/>
  <c r="D368" i="109"/>
  <c r="D364" i="109"/>
  <c r="D360" i="109"/>
  <c r="D376" i="109"/>
  <c r="D371" i="109"/>
  <c r="D367" i="109"/>
  <c r="D363" i="109"/>
  <c r="D359" i="109"/>
  <c r="D373" i="109"/>
  <c r="D365" i="109"/>
  <c r="D370" i="109"/>
  <c r="D362" i="109"/>
  <c r="D369" i="109"/>
  <c r="D361" i="109"/>
  <c r="D375" i="109"/>
  <c r="D366" i="109"/>
  <c r="H403" i="109"/>
  <c r="D419" i="109"/>
  <c r="D414" i="109"/>
  <c r="D410" i="109"/>
  <c r="D406" i="109"/>
  <c r="D417" i="109"/>
  <c r="D413" i="109"/>
  <c r="D409" i="109"/>
  <c r="D405" i="109"/>
  <c r="D415" i="109"/>
  <c r="D407" i="109"/>
  <c r="D412" i="109"/>
  <c r="D404" i="109"/>
  <c r="D420" i="109"/>
  <c r="D411" i="109"/>
  <c r="D403" i="109"/>
  <c r="D416" i="109"/>
  <c r="D408" i="109"/>
  <c r="H447" i="109"/>
  <c r="D460" i="109"/>
  <c r="D456" i="109"/>
  <c r="D452" i="109"/>
  <c r="D448" i="109"/>
  <c r="D464" i="109"/>
  <c r="D459" i="109"/>
  <c r="D455" i="109"/>
  <c r="D451" i="109"/>
  <c r="D447" i="109"/>
  <c r="D457" i="109"/>
  <c r="D449" i="109"/>
  <c r="D463" i="109"/>
  <c r="D454" i="109"/>
  <c r="D461" i="109"/>
  <c r="D453" i="109"/>
  <c r="D458" i="109"/>
  <c r="D450" i="109"/>
  <c r="H491" i="109"/>
  <c r="D507" i="109"/>
  <c r="D502" i="109"/>
  <c r="D498" i="109"/>
  <c r="D494" i="109"/>
  <c r="D505" i="109"/>
  <c r="D501" i="109"/>
  <c r="D497" i="109"/>
  <c r="D493" i="109"/>
  <c r="D508" i="109"/>
  <c r="D499" i="109"/>
  <c r="D491" i="109"/>
  <c r="D504" i="109"/>
  <c r="D496" i="109"/>
  <c r="D503" i="109"/>
  <c r="D495" i="109"/>
  <c r="D500" i="109"/>
  <c r="D492" i="109"/>
  <c r="H535" i="109"/>
  <c r="D548" i="109"/>
  <c r="D544" i="109"/>
  <c r="D540" i="109"/>
  <c r="D536" i="109"/>
  <c r="D552" i="109"/>
  <c r="D547" i="109"/>
  <c r="D543" i="109"/>
  <c r="D539" i="109"/>
  <c r="D535" i="109"/>
  <c r="D549" i="109"/>
  <c r="D541" i="109"/>
  <c r="D546" i="109"/>
  <c r="D538" i="109"/>
  <c r="D545" i="109"/>
  <c r="D537" i="109"/>
  <c r="D551" i="109"/>
  <c r="D542" i="109"/>
  <c r="H579" i="109"/>
  <c r="D595" i="109"/>
  <c r="D590" i="109"/>
  <c r="D586" i="109"/>
  <c r="D582" i="109"/>
  <c r="D593" i="109"/>
  <c r="D589" i="109"/>
  <c r="D585" i="109"/>
  <c r="D581" i="109"/>
  <c r="D591" i="109"/>
  <c r="D583" i="109"/>
  <c r="D588" i="109"/>
  <c r="D580" i="109"/>
  <c r="D596" i="109"/>
  <c r="D587" i="109"/>
  <c r="D579" i="109"/>
  <c r="D592" i="109"/>
  <c r="D584" i="109"/>
  <c r="H623" i="109"/>
  <c r="D636" i="109"/>
  <c r="D632" i="109"/>
  <c r="D628" i="109"/>
  <c r="D624" i="109"/>
  <c r="D640" i="109"/>
  <c r="D635" i="109"/>
  <c r="D631" i="109"/>
  <c r="D627" i="109"/>
  <c r="D623" i="109"/>
  <c r="D633" i="109"/>
  <c r="D625" i="109"/>
  <c r="D639" i="109"/>
  <c r="D630" i="109"/>
  <c r="D637" i="109"/>
  <c r="D629" i="109"/>
  <c r="D634" i="109"/>
  <c r="D626" i="109"/>
  <c r="H29" i="110"/>
  <c r="D46" i="110"/>
  <c r="D41" i="110"/>
  <c r="D37" i="110"/>
  <c r="D33" i="110"/>
  <c r="D29" i="110"/>
  <c r="D45" i="110"/>
  <c r="D40" i="110"/>
  <c r="D36" i="110"/>
  <c r="D32" i="110"/>
  <c r="D43" i="110"/>
  <c r="D39" i="110"/>
  <c r="D35" i="110"/>
  <c r="D31" i="110"/>
  <c r="D34" i="110"/>
  <c r="D30" i="110"/>
  <c r="D42" i="110"/>
  <c r="D38" i="110"/>
  <c r="H73" i="110"/>
  <c r="D87" i="110"/>
  <c r="D83" i="110"/>
  <c r="D79" i="110"/>
  <c r="D75" i="110"/>
  <c r="D86" i="110"/>
  <c r="D82" i="110"/>
  <c r="D78" i="110"/>
  <c r="D74" i="110"/>
  <c r="D90" i="110"/>
  <c r="D85" i="110"/>
  <c r="D81" i="110"/>
  <c r="D77" i="110"/>
  <c r="D73" i="110"/>
  <c r="D76" i="110"/>
  <c r="D89" i="110"/>
  <c r="D84" i="110"/>
  <c r="D80" i="110"/>
  <c r="H117" i="110"/>
  <c r="D134" i="110"/>
  <c r="D129" i="110"/>
  <c r="D125" i="110"/>
  <c r="D121" i="110"/>
  <c r="D117" i="110"/>
  <c r="D133" i="110"/>
  <c r="D128" i="110"/>
  <c r="D124" i="110"/>
  <c r="D120" i="110"/>
  <c r="D131" i="110"/>
  <c r="D127" i="110"/>
  <c r="D123" i="110"/>
  <c r="D119" i="110"/>
  <c r="D118" i="110"/>
  <c r="D130" i="110"/>
  <c r="D126" i="110"/>
  <c r="D122" i="110"/>
  <c r="H161" i="110"/>
  <c r="D175" i="110"/>
  <c r="D171" i="110"/>
  <c r="D167" i="110"/>
  <c r="D163" i="110"/>
  <c r="D174" i="110"/>
  <c r="D170" i="110"/>
  <c r="D166" i="110"/>
  <c r="D162" i="110"/>
  <c r="D178" i="110"/>
  <c r="D173" i="110"/>
  <c r="D169" i="110"/>
  <c r="D165" i="110"/>
  <c r="D161" i="110"/>
  <c r="D177" i="110"/>
  <c r="D172" i="110"/>
  <c r="D168" i="110"/>
  <c r="D164" i="110"/>
  <c r="H249" i="110"/>
  <c r="D263" i="110"/>
  <c r="D259" i="110"/>
  <c r="D255" i="110"/>
  <c r="D251" i="110"/>
  <c r="D262" i="110"/>
  <c r="D258" i="110"/>
  <c r="D254" i="110"/>
  <c r="D250" i="110"/>
  <c r="D266" i="110"/>
  <c r="D261" i="110"/>
  <c r="D257" i="110"/>
  <c r="D253" i="110"/>
  <c r="D249" i="110"/>
  <c r="D260" i="110"/>
  <c r="D256" i="110"/>
  <c r="D252" i="110"/>
  <c r="D265" i="110"/>
  <c r="H293" i="110"/>
  <c r="D310" i="110"/>
  <c r="D305" i="110"/>
  <c r="D301" i="110"/>
  <c r="D297" i="110"/>
  <c r="D293" i="110"/>
  <c r="D309" i="110"/>
  <c r="D304" i="110"/>
  <c r="D300" i="110"/>
  <c r="D296" i="110"/>
  <c r="D307" i="110"/>
  <c r="D303" i="110"/>
  <c r="D299" i="110"/>
  <c r="D295" i="110"/>
  <c r="D302" i="110"/>
  <c r="D298" i="110"/>
  <c r="D294" i="110"/>
  <c r="D306" i="110"/>
  <c r="H337" i="110"/>
  <c r="D351" i="110"/>
  <c r="D347" i="110"/>
  <c r="D343" i="110"/>
  <c r="D339" i="110"/>
  <c r="D350" i="110"/>
  <c r="D346" i="110"/>
  <c r="D342" i="110"/>
  <c r="D338" i="110"/>
  <c r="D354" i="110"/>
  <c r="D349" i="110"/>
  <c r="D345" i="110"/>
  <c r="D341" i="110"/>
  <c r="D337" i="110"/>
  <c r="D344" i="110"/>
  <c r="D340" i="110"/>
  <c r="D353" i="110"/>
  <c r="D348" i="110"/>
  <c r="H7" i="111"/>
  <c r="D24" i="111"/>
  <c r="D19" i="111"/>
  <c r="D15" i="111"/>
  <c r="D11" i="111"/>
  <c r="D7" i="111"/>
  <c r="D23" i="111"/>
  <c r="D18" i="111"/>
  <c r="D14" i="111"/>
  <c r="D10" i="111"/>
  <c r="D21" i="111"/>
  <c r="D17" i="111"/>
  <c r="D13" i="111"/>
  <c r="D9" i="111"/>
  <c r="D20" i="111"/>
  <c r="D16" i="111"/>
  <c r="D12" i="111"/>
  <c r="D8" i="111"/>
  <c r="H51" i="111"/>
  <c r="D65" i="111"/>
  <c r="D61" i="111"/>
  <c r="D57" i="111"/>
  <c r="D53" i="111"/>
  <c r="D64" i="111"/>
  <c r="D60" i="111"/>
  <c r="D56" i="111"/>
  <c r="D52" i="111"/>
  <c r="D68" i="111"/>
  <c r="D63" i="111"/>
  <c r="D59" i="111"/>
  <c r="D55" i="111"/>
  <c r="D51" i="111"/>
  <c r="D67" i="111"/>
  <c r="D62" i="111"/>
  <c r="D58" i="111"/>
  <c r="D54" i="111"/>
  <c r="H95" i="111"/>
  <c r="D112" i="111"/>
  <c r="D107" i="111"/>
  <c r="D103" i="111"/>
  <c r="D99" i="111"/>
  <c r="D95" i="111"/>
  <c r="D111" i="111"/>
  <c r="D106" i="111"/>
  <c r="D102" i="111"/>
  <c r="D98" i="111"/>
  <c r="D109" i="111"/>
  <c r="D105" i="111"/>
  <c r="D101" i="111"/>
  <c r="D97" i="111"/>
  <c r="D108" i="111"/>
  <c r="D104" i="111"/>
  <c r="D100" i="111"/>
  <c r="D96" i="111"/>
  <c r="H139" i="111"/>
  <c r="D153" i="111"/>
  <c r="D149" i="111"/>
  <c r="D145" i="111"/>
  <c r="D141" i="111"/>
  <c r="D152" i="111"/>
  <c r="D148" i="111"/>
  <c r="D144" i="111"/>
  <c r="D140" i="111"/>
  <c r="D156" i="111"/>
  <c r="D151" i="111"/>
  <c r="D147" i="111"/>
  <c r="D143" i="111"/>
  <c r="D139" i="111"/>
  <c r="D155" i="111"/>
  <c r="D150" i="111"/>
  <c r="D146" i="111"/>
  <c r="D142" i="111"/>
  <c r="H183" i="111"/>
  <c r="D200" i="111"/>
  <c r="D195" i="111"/>
  <c r="D191" i="111"/>
  <c r="D187" i="111"/>
  <c r="D183" i="111"/>
  <c r="D199" i="111"/>
  <c r="D194" i="111"/>
  <c r="D190" i="111"/>
  <c r="D186" i="111"/>
  <c r="D197" i="111"/>
  <c r="D193" i="111"/>
  <c r="D189" i="111"/>
  <c r="D185" i="111"/>
  <c r="D196" i="111"/>
  <c r="D192" i="111"/>
  <c r="D188" i="111"/>
  <c r="D184" i="111"/>
  <c r="H227" i="111"/>
  <c r="D241" i="111"/>
  <c r="D237" i="111"/>
  <c r="D233" i="111"/>
  <c r="D229" i="111"/>
  <c r="D240" i="111"/>
  <c r="D236" i="111"/>
  <c r="D232" i="111"/>
  <c r="D228" i="111"/>
  <c r="D244" i="111"/>
  <c r="D239" i="111"/>
  <c r="D235" i="111"/>
  <c r="D231" i="111"/>
  <c r="D227" i="111"/>
  <c r="D243" i="111"/>
  <c r="D238" i="111"/>
  <c r="D234" i="111"/>
  <c r="D230" i="111"/>
  <c r="H271" i="111"/>
  <c r="D288" i="111"/>
  <c r="D283" i="111"/>
  <c r="D279" i="111"/>
  <c r="D275" i="111"/>
  <c r="D271" i="111"/>
  <c r="D287" i="111"/>
  <c r="D282" i="111"/>
  <c r="D278" i="111"/>
  <c r="D274" i="111"/>
  <c r="D285" i="111"/>
  <c r="D281" i="111"/>
  <c r="D277" i="111"/>
  <c r="D273" i="111"/>
  <c r="D284" i="111"/>
  <c r="D280" i="111"/>
  <c r="D276" i="111"/>
  <c r="D272" i="111"/>
  <c r="H315" i="111"/>
  <c r="D329" i="111"/>
  <c r="D325" i="111"/>
  <c r="D321" i="111"/>
  <c r="D317" i="111"/>
  <c r="D328" i="111"/>
  <c r="D324" i="111"/>
  <c r="D320" i="111"/>
  <c r="D316" i="111"/>
  <c r="D332" i="111"/>
  <c r="D327" i="111"/>
  <c r="D323" i="111"/>
  <c r="D319" i="111"/>
  <c r="D315" i="111"/>
  <c r="D331" i="111"/>
  <c r="D326" i="111"/>
  <c r="D322" i="111"/>
  <c r="D318" i="111"/>
  <c r="H359" i="111"/>
  <c r="D376" i="111"/>
  <c r="D371" i="111"/>
  <c r="D367" i="111"/>
  <c r="D363" i="111"/>
  <c r="D359" i="111"/>
  <c r="D375" i="111"/>
  <c r="D370" i="111"/>
  <c r="D366" i="111"/>
  <c r="D362" i="111"/>
  <c r="D373" i="111"/>
  <c r="D369" i="111"/>
  <c r="D365" i="111"/>
  <c r="D361" i="111"/>
  <c r="D372" i="111"/>
  <c r="D368" i="111"/>
  <c r="D364" i="111"/>
  <c r="D360" i="111"/>
  <c r="H403" i="111"/>
  <c r="D417" i="111"/>
  <c r="D413" i="111"/>
  <c r="D409" i="111"/>
  <c r="D405" i="111"/>
  <c r="D416" i="111"/>
  <c r="D412" i="111"/>
  <c r="D408" i="111"/>
  <c r="D404" i="111"/>
  <c r="D420" i="111"/>
  <c r="D415" i="111"/>
  <c r="D411" i="111"/>
  <c r="D407" i="111"/>
  <c r="D403" i="111"/>
  <c r="D419" i="111"/>
  <c r="D414" i="111"/>
  <c r="D410" i="111"/>
  <c r="D406" i="111"/>
  <c r="H447" i="111"/>
  <c r="D464" i="111"/>
  <c r="D459" i="111"/>
  <c r="D455" i="111"/>
  <c r="D451" i="111"/>
  <c r="D447" i="111"/>
  <c r="D463" i="111"/>
  <c r="D458" i="111"/>
  <c r="D454" i="111"/>
  <c r="D450" i="111"/>
  <c r="D461" i="111"/>
  <c r="D457" i="111"/>
  <c r="D453" i="111"/>
  <c r="D449" i="111"/>
  <c r="D460" i="111"/>
  <c r="D456" i="111"/>
  <c r="D452" i="111"/>
  <c r="D448" i="111"/>
  <c r="H491" i="111"/>
  <c r="D505" i="111"/>
  <c r="D501" i="111"/>
  <c r="D497" i="111"/>
  <c r="D493" i="111"/>
  <c r="D504" i="111"/>
  <c r="D500" i="111"/>
  <c r="D496" i="111"/>
  <c r="D492" i="111"/>
  <c r="D508" i="111"/>
  <c r="D503" i="111"/>
  <c r="D499" i="111"/>
  <c r="D495" i="111"/>
  <c r="D491" i="111"/>
  <c r="D507" i="111"/>
  <c r="D502" i="111"/>
  <c r="D498" i="111"/>
  <c r="D494" i="111"/>
  <c r="H535" i="111"/>
  <c r="D552" i="111"/>
  <c r="D547" i="111"/>
  <c r="D543" i="111"/>
  <c r="D539" i="111"/>
  <c r="D535" i="111"/>
  <c r="D551" i="111"/>
  <c r="D546" i="111"/>
  <c r="D542" i="111"/>
  <c r="D538" i="111"/>
  <c r="D549" i="111"/>
  <c r="D545" i="111"/>
  <c r="D541" i="111"/>
  <c r="D537" i="111"/>
  <c r="D548" i="111"/>
  <c r="D544" i="111"/>
  <c r="D540" i="111"/>
  <c r="D536" i="111"/>
  <c r="H579" i="111"/>
  <c r="D593" i="111"/>
  <c r="D589" i="111"/>
  <c r="D585" i="111"/>
  <c r="D581" i="111"/>
  <c r="D592" i="111"/>
  <c r="D588" i="111"/>
  <c r="D584" i="111"/>
  <c r="D580" i="111"/>
  <c r="D596" i="111"/>
  <c r="D591" i="111"/>
  <c r="D587" i="111"/>
  <c r="D583" i="111"/>
  <c r="D579" i="111"/>
  <c r="D595" i="111"/>
  <c r="D590" i="111"/>
  <c r="D586" i="111"/>
  <c r="D582" i="111"/>
  <c r="H623" i="111"/>
  <c r="D640" i="111"/>
  <c r="D635" i="111"/>
  <c r="D631" i="111"/>
  <c r="D627" i="111"/>
  <c r="D623" i="111"/>
  <c r="D639" i="111"/>
  <c r="D634" i="111"/>
  <c r="D630" i="111"/>
  <c r="D626" i="111"/>
  <c r="D637" i="111"/>
  <c r="D633" i="111"/>
  <c r="D629" i="111"/>
  <c r="D625" i="111"/>
  <c r="D636" i="111"/>
  <c r="D632" i="111"/>
  <c r="D628" i="111"/>
  <c r="D624" i="111"/>
  <c r="H667" i="111"/>
  <c r="D681" i="111"/>
  <c r="D677" i="111"/>
  <c r="D673" i="111"/>
  <c r="D669" i="111"/>
  <c r="D680" i="111"/>
  <c r="D676" i="111"/>
  <c r="D672" i="111"/>
  <c r="D668" i="111"/>
  <c r="D684" i="111"/>
  <c r="D679" i="111"/>
  <c r="D675" i="111"/>
  <c r="D671" i="111"/>
  <c r="D667" i="111"/>
  <c r="D683" i="111"/>
  <c r="D678" i="111"/>
  <c r="D674" i="111"/>
  <c r="D670" i="111"/>
  <c r="H711" i="111"/>
  <c r="D728" i="111"/>
  <c r="D723" i="111"/>
  <c r="D719" i="111"/>
  <c r="D715" i="111"/>
  <c r="D711" i="111"/>
  <c r="D727" i="111"/>
  <c r="D722" i="111"/>
  <c r="D718" i="111"/>
  <c r="D714" i="111"/>
  <c r="D725" i="111"/>
  <c r="D721" i="111"/>
  <c r="D717" i="111"/>
  <c r="D713" i="111"/>
  <c r="D724" i="111"/>
  <c r="D720" i="111"/>
  <c r="D716" i="111"/>
  <c r="D712" i="111"/>
  <c r="H755" i="111"/>
  <c r="D769" i="111"/>
  <c r="D765" i="111"/>
  <c r="D761" i="111"/>
  <c r="D757" i="111"/>
  <c r="D768" i="111"/>
  <c r="D764" i="111"/>
  <c r="D760" i="111"/>
  <c r="D756" i="111"/>
  <c r="D772" i="111"/>
  <c r="D767" i="111"/>
  <c r="D763" i="111"/>
  <c r="D759" i="111"/>
  <c r="D755" i="111"/>
  <c r="D771" i="111"/>
  <c r="D766" i="111"/>
  <c r="D762" i="111"/>
  <c r="D758" i="111"/>
  <c r="H799" i="111"/>
  <c r="D816" i="111"/>
  <c r="D811" i="111"/>
  <c r="D807" i="111"/>
  <c r="D803" i="111"/>
  <c r="D799" i="111"/>
  <c r="D815" i="111"/>
  <c r="D810" i="111"/>
  <c r="D806" i="111"/>
  <c r="D802" i="111"/>
  <c r="D813" i="111"/>
  <c r="D809" i="111"/>
  <c r="D805" i="111"/>
  <c r="D801" i="111"/>
  <c r="D812" i="111"/>
  <c r="D808" i="111"/>
  <c r="D804" i="111"/>
  <c r="D800" i="111"/>
  <c r="H843" i="111"/>
  <c r="D857" i="111"/>
  <c r="D853" i="111"/>
  <c r="D849" i="111"/>
  <c r="D845" i="111"/>
  <c r="D856" i="111"/>
  <c r="D852" i="111"/>
  <c r="D848" i="111"/>
  <c r="D844" i="111"/>
  <c r="D860" i="111"/>
  <c r="D855" i="111"/>
  <c r="D851" i="111"/>
  <c r="D847" i="111"/>
  <c r="D843" i="111"/>
  <c r="D859" i="111"/>
  <c r="D854" i="111"/>
  <c r="D850" i="111"/>
  <c r="D846" i="111"/>
  <c r="H887" i="111"/>
  <c r="D904" i="111"/>
  <c r="D899" i="111"/>
  <c r="D895" i="111"/>
  <c r="D891" i="111"/>
  <c r="D887" i="111"/>
  <c r="D903" i="111"/>
  <c r="D898" i="111"/>
  <c r="D894" i="111"/>
  <c r="D890" i="111"/>
  <c r="D901" i="111"/>
  <c r="D897" i="111"/>
  <c r="D893" i="111"/>
  <c r="D889" i="111"/>
  <c r="D900" i="111"/>
  <c r="D896" i="111"/>
  <c r="D892" i="111"/>
  <c r="D888" i="111"/>
  <c r="H931" i="111"/>
  <c r="D945" i="111"/>
  <c r="D941" i="111"/>
  <c r="D937" i="111"/>
  <c r="D933" i="111"/>
  <c r="D944" i="111"/>
  <c r="D940" i="111"/>
  <c r="D936" i="111"/>
  <c r="D932" i="111"/>
  <c r="D948" i="111"/>
  <c r="D943" i="111"/>
  <c r="D939" i="111"/>
  <c r="D935" i="111"/>
  <c r="D931" i="111"/>
  <c r="D947" i="111"/>
  <c r="D942" i="111"/>
  <c r="D938" i="111"/>
  <c r="D934" i="111"/>
  <c r="H7" i="112"/>
  <c r="D24" i="112"/>
  <c r="D19" i="112"/>
  <c r="D15" i="112"/>
  <c r="D11" i="112"/>
  <c r="D7" i="112"/>
  <c r="D23" i="112"/>
  <c r="D18" i="112"/>
  <c r="D14" i="112"/>
  <c r="D10" i="112"/>
  <c r="D21" i="112"/>
  <c r="D17" i="112"/>
  <c r="D13" i="112"/>
  <c r="D9" i="112"/>
  <c r="D20" i="112"/>
  <c r="D16" i="112"/>
  <c r="D12" i="112"/>
  <c r="D8" i="112"/>
  <c r="H51" i="112"/>
  <c r="D65" i="112"/>
  <c r="D61" i="112"/>
  <c r="D57" i="112"/>
  <c r="D53" i="112"/>
  <c r="D64" i="112"/>
  <c r="D60" i="112"/>
  <c r="D56" i="112"/>
  <c r="D52" i="112"/>
  <c r="D68" i="112"/>
  <c r="D63" i="112"/>
  <c r="D59" i="112"/>
  <c r="D55" i="112"/>
  <c r="D51" i="112"/>
  <c r="D67" i="112"/>
  <c r="D62" i="112"/>
  <c r="D58" i="112"/>
  <c r="D54" i="112"/>
  <c r="H95" i="112"/>
  <c r="D112" i="112"/>
  <c r="D107" i="112"/>
  <c r="D103" i="112"/>
  <c r="D99" i="112"/>
  <c r="D95" i="112"/>
  <c r="D111" i="112"/>
  <c r="D106" i="112"/>
  <c r="D102" i="112"/>
  <c r="D98" i="112"/>
  <c r="D109" i="112"/>
  <c r="D105" i="112"/>
  <c r="D101" i="112"/>
  <c r="D97" i="112"/>
  <c r="D108" i="112"/>
  <c r="D104" i="112"/>
  <c r="D100" i="112"/>
  <c r="D96" i="112"/>
  <c r="H139" i="112"/>
  <c r="D153" i="112"/>
  <c r="D149" i="112"/>
  <c r="D145" i="112"/>
  <c r="D141" i="112"/>
  <c r="D152" i="112"/>
  <c r="D148" i="112"/>
  <c r="D144" i="112"/>
  <c r="D140" i="112"/>
  <c r="D156" i="112"/>
  <c r="D151" i="112"/>
  <c r="D147" i="112"/>
  <c r="D143" i="112"/>
  <c r="D139" i="112"/>
  <c r="D155" i="112"/>
  <c r="D150" i="112"/>
  <c r="D146" i="112"/>
  <c r="D142" i="112"/>
  <c r="H183" i="112"/>
  <c r="D200" i="112"/>
  <c r="D195" i="112"/>
  <c r="D191" i="112"/>
  <c r="D187" i="112"/>
  <c r="D183" i="112"/>
  <c r="D199" i="112"/>
  <c r="D194" i="112"/>
  <c r="D190" i="112"/>
  <c r="D186" i="112"/>
  <c r="D197" i="112"/>
  <c r="D193" i="112"/>
  <c r="D189" i="112"/>
  <c r="D185" i="112"/>
  <c r="D196" i="112"/>
  <c r="D192" i="112"/>
  <c r="D188" i="112"/>
  <c r="D184" i="112"/>
  <c r="H227" i="112"/>
  <c r="D241" i="112"/>
  <c r="D237" i="112"/>
  <c r="D233" i="112"/>
  <c r="D229" i="112"/>
  <c r="D240" i="112"/>
  <c r="D236" i="112"/>
  <c r="D232" i="112"/>
  <c r="D228" i="112"/>
  <c r="D244" i="112"/>
  <c r="D239" i="112"/>
  <c r="D235" i="112"/>
  <c r="D231" i="112"/>
  <c r="D227" i="112"/>
  <c r="D243" i="112"/>
  <c r="D238" i="112"/>
  <c r="D234" i="112"/>
  <c r="D230" i="112"/>
  <c r="H271" i="112"/>
  <c r="D288" i="112"/>
  <c r="D283" i="112"/>
  <c r="D279" i="112"/>
  <c r="D275" i="112"/>
  <c r="D271" i="112"/>
  <c r="D287" i="112"/>
  <c r="D282" i="112"/>
  <c r="D278" i="112"/>
  <c r="D274" i="112"/>
  <c r="D285" i="112"/>
  <c r="D281" i="112"/>
  <c r="D277" i="112"/>
  <c r="D273" i="112"/>
  <c r="D284" i="112"/>
  <c r="D280" i="112"/>
  <c r="D276" i="112"/>
  <c r="D272" i="112"/>
  <c r="H315" i="112"/>
  <c r="D329" i="112"/>
  <c r="D325" i="112"/>
  <c r="D321" i="112"/>
  <c r="D317" i="112"/>
  <c r="D328" i="112"/>
  <c r="D324" i="112"/>
  <c r="D320" i="112"/>
  <c r="D316" i="112"/>
  <c r="D332" i="112"/>
  <c r="D327" i="112"/>
  <c r="D323" i="112"/>
  <c r="D319" i="112"/>
  <c r="D315" i="112"/>
  <c r="D331" i="112"/>
  <c r="D326" i="112"/>
  <c r="D322" i="112"/>
  <c r="D318" i="112"/>
  <c r="H359" i="112"/>
  <c r="D376" i="112"/>
  <c r="D371" i="112"/>
  <c r="D367" i="112"/>
  <c r="D363" i="112"/>
  <c r="D359" i="112"/>
  <c r="D375" i="112"/>
  <c r="D370" i="112"/>
  <c r="D366" i="112"/>
  <c r="D362" i="112"/>
  <c r="D373" i="112"/>
  <c r="D369" i="112"/>
  <c r="D365" i="112"/>
  <c r="D361" i="112"/>
  <c r="D372" i="112"/>
  <c r="D368" i="112"/>
  <c r="D364" i="112"/>
  <c r="D360" i="112"/>
  <c r="H403" i="112"/>
  <c r="D417" i="112"/>
  <c r="D413" i="112"/>
  <c r="D409" i="112"/>
  <c r="D405" i="112"/>
  <c r="D416" i="112"/>
  <c r="D412" i="112"/>
  <c r="D408" i="112"/>
  <c r="D404" i="112"/>
  <c r="D420" i="112"/>
  <c r="D415" i="112"/>
  <c r="D411" i="112"/>
  <c r="D407" i="112"/>
  <c r="D403" i="112"/>
  <c r="D419" i="112"/>
  <c r="D414" i="112"/>
  <c r="D410" i="112"/>
  <c r="D406" i="112"/>
  <c r="H447" i="112"/>
  <c r="D464" i="112"/>
  <c r="D459" i="112"/>
  <c r="D455" i="112"/>
  <c r="D451" i="112"/>
  <c r="D447" i="112"/>
  <c r="D463" i="112"/>
  <c r="D458" i="112"/>
  <c r="D454" i="112"/>
  <c r="D450" i="112"/>
  <c r="D461" i="112"/>
  <c r="D457" i="112"/>
  <c r="D453" i="112"/>
  <c r="D449" i="112"/>
  <c r="D460" i="112"/>
  <c r="D456" i="112"/>
  <c r="D452" i="112"/>
  <c r="D448" i="112"/>
  <c r="H491" i="112"/>
  <c r="D505" i="112"/>
  <c r="D501" i="112"/>
  <c r="D497" i="112"/>
  <c r="D493" i="112"/>
  <c r="D504" i="112"/>
  <c r="D500" i="112"/>
  <c r="D496" i="112"/>
  <c r="D492" i="112"/>
  <c r="D508" i="112"/>
  <c r="D503" i="112"/>
  <c r="D499" i="112"/>
  <c r="D495" i="112"/>
  <c r="D491" i="112"/>
  <c r="D507" i="112"/>
  <c r="D502" i="112"/>
  <c r="D498" i="112"/>
  <c r="D494" i="112"/>
  <c r="H535" i="112"/>
  <c r="D552" i="112"/>
  <c r="D547" i="112"/>
  <c r="D543" i="112"/>
  <c r="D539" i="112"/>
  <c r="D535" i="112"/>
  <c r="D551" i="112"/>
  <c r="D546" i="112"/>
  <c r="D542" i="112"/>
  <c r="D538" i="112"/>
  <c r="D549" i="112"/>
  <c r="D545" i="112"/>
  <c r="D541" i="112"/>
  <c r="D537" i="112"/>
  <c r="D548" i="112"/>
  <c r="D544" i="112"/>
  <c r="D540" i="112"/>
  <c r="D536" i="112"/>
  <c r="H579" i="112"/>
  <c r="D593" i="112"/>
  <c r="D589" i="112"/>
  <c r="D585" i="112"/>
  <c r="D581" i="112"/>
  <c r="D592" i="112"/>
  <c r="D588" i="112"/>
  <c r="D584" i="112"/>
  <c r="D580" i="112"/>
  <c r="D596" i="112"/>
  <c r="D591" i="112"/>
  <c r="D587" i="112"/>
  <c r="D583" i="112"/>
  <c r="D579" i="112"/>
  <c r="D595" i="112"/>
  <c r="D590" i="112"/>
  <c r="D586" i="112"/>
  <c r="D582" i="112"/>
  <c r="H623" i="112"/>
  <c r="D640" i="112"/>
  <c r="D635" i="112"/>
  <c r="D631" i="112"/>
  <c r="D627" i="112"/>
  <c r="D623" i="112"/>
  <c r="D639" i="112"/>
  <c r="D634" i="112"/>
  <c r="D630" i="112"/>
  <c r="D626" i="112"/>
  <c r="D637" i="112"/>
  <c r="D633" i="112"/>
  <c r="D629" i="112"/>
  <c r="D625" i="112"/>
  <c r="D636" i="112"/>
  <c r="D632" i="112"/>
  <c r="D628" i="112"/>
  <c r="D624" i="112"/>
  <c r="H667" i="112"/>
  <c r="D681" i="112"/>
  <c r="D677" i="112"/>
  <c r="D673" i="112"/>
  <c r="D669" i="112"/>
  <c r="D680" i="112"/>
  <c r="D676" i="112"/>
  <c r="D672" i="112"/>
  <c r="D668" i="112"/>
  <c r="D684" i="112"/>
  <c r="D679" i="112"/>
  <c r="D675" i="112"/>
  <c r="D671" i="112"/>
  <c r="D667" i="112"/>
  <c r="D683" i="112"/>
  <c r="D678" i="112"/>
  <c r="D674" i="112"/>
  <c r="D670" i="112"/>
  <c r="H711" i="112"/>
  <c r="D728" i="112"/>
  <c r="D723" i="112"/>
  <c r="D719" i="112"/>
  <c r="D715" i="112"/>
  <c r="D711" i="112"/>
  <c r="D727" i="112"/>
  <c r="D722" i="112"/>
  <c r="D718" i="112"/>
  <c r="D714" i="112"/>
  <c r="D725" i="112"/>
  <c r="D721" i="112"/>
  <c r="D717" i="112"/>
  <c r="D713" i="112"/>
  <c r="D724" i="112"/>
  <c r="D720" i="112"/>
  <c r="D716" i="112"/>
  <c r="D712" i="112"/>
  <c r="H755" i="112"/>
  <c r="D771" i="112"/>
  <c r="D766" i="112"/>
  <c r="D769" i="112"/>
  <c r="D765" i="112"/>
  <c r="D768" i="112"/>
  <c r="D767" i="112"/>
  <c r="D761" i="112"/>
  <c r="D757" i="112"/>
  <c r="D764" i="112"/>
  <c r="D760" i="112"/>
  <c r="D756" i="112"/>
  <c r="D763" i="112"/>
  <c r="D759" i="112"/>
  <c r="D755" i="112"/>
  <c r="D772" i="112"/>
  <c r="D762" i="112"/>
  <c r="D758" i="112"/>
  <c r="H7" i="113"/>
  <c r="D21" i="113"/>
  <c r="D17" i="113"/>
  <c r="D13" i="113"/>
  <c r="D9" i="113"/>
  <c r="D20" i="113"/>
  <c r="D16" i="113"/>
  <c r="D12" i="113"/>
  <c r="D8" i="113"/>
  <c r="D24" i="113"/>
  <c r="D19" i="113"/>
  <c r="D15" i="113"/>
  <c r="D11" i="113"/>
  <c r="D7" i="113"/>
  <c r="D23" i="113"/>
  <c r="D18" i="113"/>
  <c r="D14" i="113"/>
  <c r="D10" i="113"/>
  <c r="H51" i="113"/>
  <c r="D68" i="113"/>
  <c r="D63" i="113"/>
  <c r="D59" i="113"/>
  <c r="D55" i="113"/>
  <c r="D51" i="113"/>
  <c r="D67" i="113"/>
  <c r="D62" i="113"/>
  <c r="D58" i="113"/>
  <c r="D54" i="113"/>
  <c r="D65" i="113"/>
  <c r="D61" i="113"/>
  <c r="D57" i="113"/>
  <c r="D53" i="113"/>
  <c r="D64" i="113"/>
  <c r="D60" i="113"/>
  <c r="D56" i="113"/>
  <c r="D52" i="113"/>
  <c r="H95" i="113"/>
  <c r="D109" i="113"/>
  <c r="D105" i="113"/>
  <c r="D101" i="113"/>
  <c r="D97" i="113"/>
  <c r="D108" i="113"/>
  <c r="D104" i="113"/>
  <c r="D100" i="113"/>
  <c r="D96" i="113"/>
  <c r="D112" i="113"/>
  <c r="D107" i="113"/>
  <c r="D103" i="113"/>
  <c r="D99" i="113"/>
  <c r="D95" i="113"/>
  <c r="D111" i="113"/>
  <c r="D106" i="113"/>
  <c r="D102" i="113"/>
  <c r="D98" i="113"/>
  <c r="H139" i="113"/>
  <c r="D156" i="113"/>
  <c r="D151" i="113"/>
  <c r="D147" i="113"/>
  <c r="D143" i="113"/>
  <c r="D139" i="113"/>
  <c r="D155" i="113"/>
  <c r="D150" i="113"/>
  <c r="D146" i="113"/>
  <c r="D142" i="113"/>
  <c r="D153" i="113"/>
  <c r="D149" i="113"/>
  <c r="D145" i="113"/>
  <c r="D141" i="113"/>
  <c r="D152" i="113"/>
  <c r="D148" i="113"/>
  <c r="D144" i="113"/>
  <c r="D140" i="113"/>
  <c r="H183" i="113"/>
  <c r="D197" i="113"/>
  <c r="D193" i="113"/>
  <c r="D189" i="113"/>
  <c r="D185" i="113"/>
  <c r="D196" i="113"/>
  <c r="D192" i="113"/>
  <c r="D188" i="113"/>
  <c r="D184" i="113"/>
  <c r="D200" i="113"/>
  <c r="D195" i="113"/>
  <c r="D191" i="113"/>
  <c r="D187" i="113"/>
  <c r="D183" i="113"/>
  <c r="D199" i="113"/>
  <c r="D194" i="113"/>
  <c r="D190" i="113"/>
  <c r="D186" i="113"/>
  <c r="H227" i="113"/>
  <c r="D244" i="113"/>
  <c r="D239" i="113"/>
  <c r="D235" i="113"/>
  <c r="D231" i="113"/>
  <c r="D227" i="113"/>
  <c r="D243" i="113"/>
  <c r="D238" i="113"/>
  <c r="D234" i="113"/>
  <c r="D230" i="113"/>
  <c r="D241" i="113"/>
  <c r="D237" i="113"/>
  <c r="D233" i="113"/>
  <c r="D229" i="113"/>
  <c r="D240" i="113"/>
  <c r="D236" i="113"/>
  <c r="D232" i="113"/>
  <c r="D228" i="113"/>
  <c r="H271" i="113"/>
  <c r="D285" i="113"/>
  <c r="D281" i="113"/>
  <c r="D277" i="113"/>
  <c r="D273" i="113"/>
  <c r="D284" i="113"/>
  <c r="D280" i="113"/>
  <c r="D276" i="113"/>
  <c r="D272" i="113"/>
  <c r="D288" i="113"/>
  <c r="D283" i="113"/>
  <c r="D279" i="113"/>
  <c r="D275" i="113"/>
  <c r="D271" i="113"/>
  <c r="D287" i="113"/>
  <c r="D282" i="113"/>
  <c r="D278" i="113"/>
  <c r="D274" i="113"/>
  <c r="H315" i="113"/>
  <c r="D332" i="113"/>
  <c r="D327" i="113"/>
  <c r="D323" i="113"/>
  <c r="D319" i="113"/>
  <c r="D315" i="113"/>
  <c r="D331" i="113"/>
  <c r="D326" i="113"/>
  <c r="D322" i="113"/>
  <c r="D318" i="113"/>
  <c r="D329" i="113"/>
  <c r="D325" i="113"/>
  <c r="D321" i="113"/>
  <c r="D317" i="113"/>
  <c r="D328" i="113"/>
  <c r="D324" i="113"/>
  <c r="D320" i="113"/>
  <c r="D316" i="113"/>
  <c r="H359" i="113"/>
  <c r="D376" i="113"/>
  <c r="D373" i="113"/>
  <c r="D369" i="113"/>
  <c r="D365" i="113"/>
  <c r="D361" i="113"/>
  <c r="D372" i="113"/>
  <c r="D368" i="113"/>
  <c r="D364" i="113"/>
  <c r="D360" i="113"/>
  <c r="D371" i="113"/>
  <c r="D367" i="113"/>
  <c r="D363" i="113"/>
  <c r="D359" i="113"/>
  <c r="D375" i="113"/>
  <c r="D370" i="113"/>
  <c r="D366" i="113"/>
  <c r="D362" i="113"/>
  <c r="H403" i="113"/>
  <c r="D420" i="113"/>
  <c r="D415" i="113"/>
  <c r="D411" i="113"/>
  <c r="D407" i="113"/>
  <c r="D403" i="113"/>
  <c r="D417" i="113"/>
  <c r="D413" i="113"/>
  <c r="D409" i="113"/>
  <c r="D405" i="113"/>
  <c r="D414" i="113"/>
  <c r="D406" i="113"/>
  <c r="D412" i="113"/>
  <c r="D404" i="113"/>
  <c r="D419" i="113"/>
  <c r="D410" i="113"/>
  <c r="D416" i="113"/>
  <c r="D408" i="113"/>
  <c r="H447" i="113"/>
  <c r="D461" i="113"/>
  <c r="D457" i="113"/>
  <c r="D453" i="113"/>
  <c r="D449" i="113"/>
  <c r="D464" i="113"/>
  <c r="D459" i="113"/>
  <c r="D455" i="113"/>
  <c r="D451" i="113"/>
  <c r="D447" i="113"/>
  <c r="D456" i="113"/>
  <c r="D448" i="113"/>
  <c r="D463" i="113"/>
  <c r="D454" i="113"/>
  <c r="D460" i="113"/>
  <c r="D452" i="113"/>
  <c r="D458" i="113"/>
  <c r="D450" i="113"/>
  <c r="H491" i="113"/>
  <c r="D508" i="113"/>
  <c r="D503" i="113"/>
  <c r="D499" i="113"/>
  <c r="D495" i="113"/>
  <c r="D491" i="113"/>
  <c r="D505" i="113"/>
  <c r="D501" i="113"/>
  <c r="D497" i="113"/>
  <c r="D493" i="113"/>
  <c r="D507" i="113"/>
  <c r="D498" i="113"/>
  <c r="D504" i="113"/>
  <c r="D496" i="113"/>
  <c r="D502" i="113"/>
  <c r="D494" i="113"/>
  <c r="D500" i="113"/>
  <c r="D492" i="113"/>
  <c r="H29" i="114"/>
  <c r="D43" i="114"/>
  <c r="D39" i="114"/>
  <c r="D35" i="114"/>
  <c r="D31" i="114"/>
  <c r="D46" i="114"/>
  <c r="D41" i="114"/>
  <c r="D37" i="114"/>
  <c r="D33" i="114"/>
  <c r="D29" i="114"/>
  <c r="D42" i="114"/>
  <c r="D34" i="114"/>
  <c r="D40" i="114"/>
  <c r="D32" i="114"/>
  <c r="D38" i="114"/>
  <c r="D30" i="114"/>
  <c r="D45" i="114"/>
  <c r="D36" i="114"/>
  <c r="H73" i="114"/>
  <c r="D90" i="114"/>
  <c r="D85" i="114"/>
  <c r="D81" i="114"/>
  <c r="D77" i="114"/>
  <c r="D73" i="114"/>
  <c r="D87" i="114"/>
  <c r="D83" i="114"/>
  <c r="D79" i="114"/>
  <c r="D75" i="114"/>
  <c r="D84" i="114"/>
  <c r="D76" i="114"/>
  <c r="D82" i="114"/>
  <c r="D74" i="114"/>
  <c r="D89" i="114"/>
  <c r="D80" i="114"/>
  <c r="D86" i="114"/>
  <c r="D78" i="114"/>
  <c r="H117" i="114"/>
  <c r="D131" i="114"/>
  <c r="D127" i="114"/>
  <c r="D123" i="114"/>
  <c r="D119" i="114"/>
  <c r="D134" i="114"/>
  <c r="D129" i="114"/>
  <c r="D125" i="114"/>
  <c r="D121" i="114"/>
  <c r="D117" i="114"/>
  <c r="D126" i="114"/>
  <c r="D118" i="114"/>
  <c r="D133" i="114"/>
  <c r="D124" i="114"/>
  <c r="D130" i="114"/>
  <c r="D122" i="114"/>
  <c r="D128" i="114"/>
  <c r="D120" i="114"/>
  <c r="H161" i="114"/>
  <c r="D178" i="114"/>
  <c r="D173" i="114"/>
  <c r="D169" i="114"/>
  <c r="D165" i="114"/>
  <c r="D161" i="114"/>
  <c r="D175" i="114"/>
  <c r="D171" i="114"/>
  <c r="D167" i="114"/>
  <c r="D163" i="114"/>
  <c r="D177" i="114"/>
  <c r="D168" i="114"/>
  <c r="D174" i="114"/>
  <c r="D166" i="114"/>
  <c r="D172" i="114"/>
  <c r="D164" i="114"/>
  <c r="D170" i="114"/>
  <c r="D162" i="114"/>
  <c r="H205" i="114"/>
  <c r="D219" i="114"/>
  <c r="D215" i="114"/>
  <c r="D211" i="114"/>
  <c r="D207" i="114"/>
  <c r="D222" i="114"/>
  <c r="D217" i="114"/>
  <c r="D213" i="114"/>
  <c r="D209" i="114"/>
  <c r="D205" i="114"/>
  <c r="D218" i="114"/>
  <c r="D210" i="114"/>
  <c r="D216" i="114"/>
  <c r="D208" i="114"/>
  <c r="D214" i="114"/>
  <c r="D206" i="114"/>
  <c r="D221" i="114"/>
  <c r="D212" i="114"/>
  <c r="H249" i="114"/>
  <c r="D266" i="114"/>
  <c r="D261" i="114"/>
  <c r="D257" i="114"/>
  <c r="D253" i="114"/>
  <c r="D249" i="114"/>
  <c r="D263" i="114"/>
  <c r="D259" i="114"/>
  <c r="D255" i="114"/>
  <c r="D251" i="114"/>
  <c r="D260" i="114"/>
  <c r="D252" i="114"/>
  <c r="D258" i="114"/>
  <c r="D250" i="114"/>
  <c r="D265" i="114"/>
  <c r="D256" i="114"/>
  <c r="D262" i="114"/>
  <c r="D254" i="114"/>
  <c r="H293" i="114"/>
  <c r="D307" i="114"/>
  <c r="D303" i="114"/>
  <c r="D299" i="114"/>
  <c r="D295" i="114"/>
  <c r="D310" i="114"/>
  <c r="D305" i="114"/>
  <c r="D301" i="114"/>
  <c r="D297" i="114"/>
  <c r="D293" i="114"/>
  <c r="D302" i="114"/>
  <c r="D294" i="114"/>
  <c r="D309" i="114"/>
  <c r="D300" i="114"/>
  <c r="D306" i="114"/>
  <c r="D298" i="114"/>
  <c r="D304" i="114"/>
  <c r="D296" i="114"/>
  <c r="H337" i="114"/>
  <c r="D354" i="114"/>
  <c r="D349" i="114"/>
  <c r="D345" i="114"/>
  <c r="D341" i="114"/>
  <c r="D337" i="114"/>
  <c r="D351" i="114"/>
  <c r="D347" i="114"/>
  <c r="D343" i="114"/>
  <c r="D339" i="114"/>
  <c r="D353" i="114"/>
  <c r="D344" i="114"/>
  <c r="D350" i="114"/>
  <c r="D342" i="114"/>
  <c r="D348" i="114"/>
  <c r="D340" i="114"/>
  <c r="D346" i="114"/>
  <c r="D338" i="114"/>
  <c r="H381" i="114"/>
  <c r="D395" i="114"/>
  <c r="D391" i="114"/>
  <c r="D387" i="114"/>
  <c r="D383" i="114"/>
  <c r="D398" i="114"/>
  <c r="D393" i="114"/>
  <c r="D389" i="114"/>
  <c r="D385" i="114"/>
  <c r="D381" i="114"/>
  <c r="D394" i="114"/>
  <c r="D386" i="114"/>
  <c r="D392" i="114"/>
  <c r="D384" i="114"/>
  <c r="D390" i="114"/>
  <c r="D382" i="114"/>
  <c r="D397" i="114"/>
  <c r="D388" i="114"/>
  <c r="H425" i="114"/>
  <c r="D442" i="114"/>
  <c r="D437" i="114"/>
  <c r="D433" i="114"/>
  <c r="D429" i="114"/>
  <c r="D425" i="114"/>
  <c r="D439" i="114"/>
  <c r="D435" i="114"/>
  <c r="D431" i="114"/>
  <c r="D427" i="114"/>
  <c r="D436" i="114"/>
  <c r="D428" i="114"/>
  <c r="D434" i="114"/>
  <c r="D426" i="114"/>
  <c r="D441" i="114"/>
  <c r="D432" i="114"/>
  <c r="D438" i="114"/>
  <c r="D430" i="114"/>
  <c r="H469" i="114"/>
  <c r="D483" i="114"/>
  <c r="D479" i="114"/>
  <c r="D475" i="114"/>
  <c r="D471" i="114"/>
  <c r="D486" i="114"/>
  <c r="D481" i="114"/>
  <c r="D477" i="114"/>
  <c r="D473" i="114"/>
  <c r="D469" i="114"/>
  <c r="D478" i="114"/>
  <c r="D470" i="114"/>
  <c r="D485" i="114"/>
  <c r="D476" i="114"/>
  <c r="D482" i="114"/>
  <c r="D474" i="114"/>
  <c r="D480" i="114"/>
  <c r="D472" i="114"/>
  <c r="H7" i="115"/>
  <c r="D24" i="115"/>
  <c r="D19" i="115"/>
  <c r="D15" i="115"/>
  <c r="D11" i="115"/>
  <c r="D7" i="115"/>
  <c r="D21" i="115"/>
  <c r="D17" i="115"/>
  <c r="D13" i="115"/>
  <c r="D9" i="115"/>
  <c r="D23" i="115"/>
  <c r="D14" i="115"/>
  <c r="D20" i="115"/>
  <c r="D12" i="115"/>
  <c r="D18" i="115"/>
  <c r="D10" i="115"/>
  <c r="D16" i="115"/>
  <c r="D8" i="115"/>
  <c r="H51" i="115"/>
  <c r="D65" i="115"/>
  <c r="D61" i="115"/>
  <c r="D57" i="115"/>
  <c r="D53" i="115"/>
  <c r="D68" i="115"/>
  <c r="D63" i="115"/>
  <c r="D59" i="115"/>
  <c r="D55" i="115"/>
  <c r="D51" i="115"/>
  <c r="D64" i="115"/>
  <c r="D56" i="115"/>
  <c r="D62" i="115"/>
  <c r="D54" i="115"/>
  <c r="D60" i="115"/>
  <c r="D52" i="115"/>
  <c r="D67" i="115"/>
  <c r="D58" i="115"/>
  <c r="H95" i="115"/>
  <c r="D112" i="115"/>
  <c r="D107" i="115"/>
  <c r="D103" i="115"/>
  <c r="D99" i="115"/>
  <c r="D95" i="115"/>
  <c r="D109" i="115"/>
  <c r="D105" i="115"/>
  <c r="D101" i="115"/>
  <c r="D97" i="115"/>
  <c r="D106" i="115"/>
  <c r="D98" i="115"/>
  <c r="D104" i="115"/>
  <c r="D96" i="115"/>
  <c r="D111" i="115"/>
  <c r="D102" i="115"/>
  <c r="D108" i="115"/>
  <c r="D100" i="115"/>
  <c r="H139" i="115"/>
  <c r="D153" i="115"/>
  <c r="D149" i="115"/>
  <c r="D145" i="115"/>
  <c r="D141" i="115"/>
  <c r="D156" i="115"/>
  <c r="D151" i="115"/>
  <c r="D147" i="115"/>
  <c r="D143" i="115"/>
  <c r="D139" i="115"/>
  <c r="D148" i="115"/>
  <c r="D140" i="115"/>
  <c r="D155" i="115"/>
  <c r="D146" i="115"/>
  <c r="D152" i="115"/>
  <c r="D144" i="115"/>
  <c r="D150" i="115"/>
  <c r="D142" i="115"/>
  <c r="H183" i="115"/>
  <c r="D200" i="115"/>
  <c r="D195" i="115"/>
  <c r="D191" i="115"/>
  <c r="D187" i="115"/>
  <c r="D183" i="115"/>
  <c r="D197" i="115"/>
  <c r="D193" i="115"/>
  <c r="D189" i="115"/>
  <c r="D185" i="115"/>
  <c r="D199" i="115"/>
  <c r="D190" i="115"/>
  <c r="D196" i="115"/>
  <c r="D188" i="115"/>
  <c r="D194" i="115"/>
  <c r="D186" i="115"/>
  <c r="D192" i="115"/>
  <c r="D184" i="115"/>
  <c r="H227" i="115"/>
  <c r="D241" i="115"/>
  <c r="D237" i="115"/>
  <c r="D233" i="115"/>
  <c r="D229" i="115"/>
  <c r="D244" i="115"/>
  <c r="D239" i="115"/>
  <c r="D235" i="115"/>
  <c r="D231" i="115"/>
  <c r="D227" i="115"/>
  <c r="D240" i="115"/>
  <c r="D232" i="115"/>
  <c r="D238" i="115"/>
  <c r="D230" i="115"/>
  <c r="D236" i="115"/>
  <c r="D228" i="115"/>
  <c r="D243" i="115"/>
  <c r="D234" i="115"/>
  <c r="H271" i="115"/>
  <c r="D288" i="115"/>
  <c r="D283" i="115"/>
  <c r="D279" i="115"/>
  <c r="D275" i="115"/>
  <c r="D271" i="115"/>
  <c r="D285" i="115"/>
  <c r="D281" i="115"/>
  <c r="D277" i="115"/>
  <c r="D273" i="115"/>
  <c r="D282" i="115"/>
  <c r="D274" i="115"/>
  <c r="D280" i="115"/>
  <c r="D272" i="115"/>
  <c r="D287" i="115"/>
  <c r="D278" i="115"/>
  <c r="D284" i="115"/>
  <c r="D276" i="115"/>
  <c r="H315" i="115"/>
  <c r="D329" i="115"/>
  <c r="D325" i="115"/>
  <c r="D321" i="115"/>
  <c r="D317" i="115"/>
  <c r="D332" i="115"/>
  <c r="D327" i="115"/>
  <c r="D323" i="115"/>
  <c r="D319" i="115"/>
  <c r="D315" i="115"/>
  <c r="D324" i="115"/>
  <c r="D316" i="115"/>
  <c r="D331" i="115"/>
  <c r="D322" i="115"/>
  <c r="D328" i="115"/>
  <c r="D320" i="115"/>
  <c r="D326" i="115"/>
  <c r="D318" i="115"/>
  <c r="H359" i="115"/>
  <c r="D376" i="115"/>
  <c r="D371" i="115"/>
  <c r="D367" i="115"/>
  <c r="D363" i="115"/>
  <c r="D359" i="115"/>
  <c r="D373" i="115"/>
  <c r="D369" i="115"/>
  <c r="D365" i="115"/>
  <c r="D361" i="115"/>
  <c r="D375" i="115"/>
  <c r="D366" i="115"/>
  <c r="D372" i="115"/>
  <c r="D364" i="115"/>
  <c r="D370" i="115"/>
  <c r="D362" i="115"/>
  <c r="D368" i="115"/>
  <c r="D360" i="115"/>
  <c r="H403" i="115"/>
  <c r="D417" i="115"/>
  <c r="D413" i="115"/>
  <c r="D409" i="115"/>
  <c r="D405" i="115"/>
  <c r="D420" i="115"/>
  <c r="D415" i="115"/>
  <c r="D411" i="115"/>
  <c r="D407" i="115"/>
  <c r="D403" i="115"/>
  <c r="D416" i="115"/>
  <c r="D408" i="115"/>
  <c r="D414" i="115"/>
  <c r="D406" i="115"/>
  <c r="D412" i="115"/>
  <c r="D404" i="115"/>
  <c r="D419" i="115"/>
  <c r="D410" i="115"/>
  <c r="H7" i="116"/>
  <c r="D24" i="116"/>
  <c r="D19" i="116"/>
  <c r="D15" i="116"/>
  <c r="D11" i="116"/>
  <c r="D7" i="116"/>
  <c r="D21" i="116"/>
  <c r="D17" i="116"/>
  <c r="D13" i="116"/>
  <c r="D9" i="116"/>
  <c r="D18" i="116"/>
  <c r="D10" i="116"/>
  <c r="D16" i="116"/>
  <c r="D8" i="116"/>
  <c r="D23" i="116"/>
  <c r="D14" i="116"/>
  <c r="D20" i="116"/>
  <c r="D12" i="116"/>
  <c r="H51" i="116"/>
  <c r="D65" i="116"/>
  <c r="D61" i="116"/>
  <c r="D57" i="116"/>
  <c r="D53" i="116"/>
  <c r="D68" i="116"/>
  <c r="D63" i="116"/>
  <c r="D59" i="116"/>
  <c r="D55" i="116"/>
  <c r="D51" i="116"/>
  <c r="D60" i="116"/>
  <c r="D52" i="116"/>
  <c r="D67" i="116"/>
  <c r="D58" i="116"/>
  <c r="D64" i="116"/>
  <c r="D56" i="116"/>
  <c r="D62" i="116"/>
  <c r="D54" i="116"/>
  <c r="H95" i="116"/>
  <c r="D112" i="116"/>
  <c r="D107" i="116"/>
  <c r="D103" i="116"/>
  <c r="D99" i="116"/>
  <c r="D95" i="116"/>
  <c r="D109" i="116"/>
  <c r="D105" i="116"/>
  <c r="D101" i="116"/>
  <c r="D97" i="116"/>
  <c r="D111" i="116"/>
  <c r="D102" i="116"/>
  <c r="D108" i="116"/>
  <c r="D100" i="116"/>
  <c r="D106" i="116"/>
  <c r="D98" i="116"/>
  <c r="D104" i="116"/>
  <c r="D96" i="116"/>
  <c r="H139" i="116"/>
  <c r="D153" i="116"/>
  <c r="D149" i="116"/>
  <c r="D145" i="116"/>
  <c r="D141" i="116"/>
  <c r="D156" i="116"/>
  <c r="D151" i="116"/>
  <c r="D147" i="116"/>
  <c r="D143" i="116"/>
  <c r="D139" i="116"/>
  <c r="D152" i="116"/>
  <c r="D144" i="116"/>
  <c r="D150" i="116"/>
  <c r="D142" i="116"/>
  <c r="D148" i="116"/>
  <c r="D140" i="116"/>
  <c r="D155" i="116"/>
  <c r="D146" i="116"/>
  <c r="H183" i="116"/>
  <c r="D200" i="116"/>
  <c r="D195" i="116"/>
  <c r="D191" i="116"/>
  <c r="D187" i="116"/>
  <c r="D183" i="116"/>
  <c r="D197" i="116"/>
  <c r="D193" i="116"/>
  <c r="D189" i="116"/>
  <c r="D185" i="116"/>
  <c r="D194" i="116"/>
  <c r="D186" i="116"/>
  <c r="D192" i="116"/>
  <c r="D184" i="116"/>
  <c r="D199" i="116"/>
  <c r="D190" i="116"/>
  <c r="D196" i="116"/>
  <c r="D188" i="116"/>
  <c r="H227" i="116"/>
  <c r="D241" i="116"/>
  <c r="D237" i="116"/>
  <c r="D233" i="116"/>
  <c r="D229" i="116"/>
  <c r="D244" i="116"/>
  <c r="D239" i="116"/>
  <c r="D235" i="116"/>
  <c r="D231" i="116"/>
  <c r="D227" i="116"/>
  <c r="D236" i="116"/>
  <c r="D228" i="116"/>
  <c r="D243" i="116"/>
  <c r="D234" i="116"/>
  <c r="D240" i="116"/>
  <c r="D232" i="116"/>
  <c r="D238" i="116"/>
  <c r="D230" i="116"/>
  <c r="H271" i="116"/>
  <c r="D288" i="116"/>
  <c r="D283" i="116"/>
  <c r="D279" i="116"/>
  <c r="D275" i="116"/>
  <c r="D271" i="116"/>
  <c r="D285" i="116"/>
  <c r="D281" i="116"/>
  <c r="D277" i="116"/>
  <c r="D273" i="116"/>
  <c r="D287" i="116"/>
  <c r="D278" i="116"/>
  <c r="D284" i="116"/>
  <c r="D276" i="116"/>
  <c r="D282" i="116"/>
  <c r="D274" i="116"/>
  <c r="D280" i="116"/>
  <c r="D272" i="116"/>
  <c r="H315" i="116"/>
  <c r="D329" i="116"/>
  <c r="D325" i="116"/>
  <c r="D321" i="116"/>
  <c r="D317" i="116"/>
  <c r="D332" i="116"/>
  <c r="D327" i="116"/>
  <c r="D323" i="116"/>
  <c r="D319" i="116"/>
  <c r="D315" i="116"/>
  <c r="D328" i="116"/>
  <c r="D320" i="116"/>
  <c r="D326" i="116"/>
  <c r="D318" i="116"/>
  <c r="D324" i="116"/>
  <c r="D316" i="116"/>
  <c r="D331" i="116"/>
  <c r="D322" i="116"/>
  <c r="H359" i="116"/>
  <c r="D376" i="116"/>
  <c r="D371" i="116"/>
  <c r="D367" i="116"/>
  <c r="D363" i="116"/>
  <c r="D359" i="116"/>
  <c r="D373" i="116"/>
  <c r="D369" i="116"/>
  <c r="D365" i="116"/>
  <c r="D361" i="116"/>
  <c r="D370" i="116"/>
  <c r="D362" i="116"/>
  <c r="D368" i="116"/>
  <c r="D360" i="116"/>
  <c r="D375" i="116"/>
  <c r="D366" i="116"/>
  <c r="D372" i="116"/>
  <c r="D364" i="116"/>
  <c r="H403" i="116"/>
  <c r="D417" i="116"/>
  <c r="D413" i="116"/>
  <c r="D409" i="116"/>
  <c r="D405" i="116"/>
  <c r="D420" i="116"/>
  <c r="D415" i="116"/>
  <c r="D411" i="116"/>
  <c r="D407" i="116"/>
  <c r="D403" i="116"/>
  <c r="D412" i="116"/>
  <c r="D404" i="116"/>
  <c r="D419" i="116"/>
  <c r="D410" i="116"/>
  <c r="D416" i="116"/>
  <c r="D408" i="116"/>
  <c r="D414" i="116"/>
  <c r="D406" i="116"/>
  <c r="H447" i="116"/>
  <c r="D464" i="116"/>
  <c r="D459" i="116"/>
  <c r="D455" i="116"/>
  <c r="D451" i="116"/>
  <c r="D447" i="116"/>
  <c r="D461" i="116"/>
  <c r="D457" i="116"/>
  <c r="D453" i="116"/>
  <c r="D449" i="116"/>
  <c r="D463" i="116"/>
  <c r="D454" i="116"/>
  <c r="D460" i="116"/>
  <c r="D452" i="116"/>
  <c r="D458" i="116"/>
  <c r="D450" i="116"/>
  <c r="D456" i="116"/>
  <c r="D448" i="116"/>
  <c r="H7" i="117"/>
  <c r="D21" i="117"/>
  <c r="D17" i="117"/>
  <c r="D13" i="117"/>
  <c r="D9" i="117"/>
  <c r="D24" i="117"/>
  <c r="D19" i="117"/>
  <c r="D15" i="117"/>
  <c r="D11" i="117"/>
  <c r="D7" i="117"/>
  <c r="D20" i="117"/>
  <c r="D12" i="117"/>
  <c r="D18" i="117"/>
  <c r="D10" i="117"/>
  <c r="D16" i="117"/>
  <c r="D8" i="117"/>
  <c r="D23" i="117"/>
  <c r="D14" i="117"/>
  <c r="H51" i="117"/>
  <c r="D68" i="117"/>
  <c r="D63" i="117"/>
  <c r="D59" i="117"/>
  <c r="D55" i="117"/>
  <c r="D51" i="117"/>
  <c r="D65" i="117"/>
  <c r="D61" i="117"/>
  <c r="D57" i="117"/>
  <c r="D53" i="117"/>
  <c r="D62" i="117"/>
  <c r="D54" i="117"/>
  <c r="D60" i="117"/>
  <c r="D52" i="117"/>
  <c r="D67" i="117"/>
  <c r="D58" i="117"/>
  <c r="D64" i="117"/>
  <c r="D56" i="117"/>
  <c r="H95" i="117"/>
  <c r="D109" i="117"/>
  <c r="D105" i="117"/>
  <c r="D101" i="117"/>
  <c r="D97" i="117"/>
  <c r="D112" i="117"/>
  <c r="D107" i="117"/>
  <c r="D103" i="117"/>
  <c r="D99" i="117"/>
  <c r="D95" i="117"/>
  <c r="D104" i="117"/>
  <c r="D96" i="117"/>
  <c r="D111" i="117"/>
  <c r="D102" i="117"/>
  <c r="D108" i="117"/>
  <c r="D100" i="117"/>
  <c r="D106" i="117"/>
  <c r="D98" i="117"/>
  <c r="H139" i="117"/>
  <c r="D156" i="117"/>
  <c r="D151" i="117"/>
  <c r="D147" i="117"/>
  <c r="D143" i="117"/>
  <c r="D139" i="117"/>
  <c r="D153" i="117"/>
  <c r="D149" i="117"/>
  <c r="D145" i="117"/>
  <c r="D141" i="117"/>
  <c r="D155" i="117"/>
  <c r="D146" i="117"/>
  <c r="D152" i="117"/>
  <c r="D144" i="117"/>
  <c r="D150" i="117"/>
  <c r="D142" i="117"/>
  <c r="D148" i="117"/>
  <c r="D140" i="117"/>
  <c r="H183" i="117"/>
  <c r="D197" i="117"/>
  <c r="D193" i="117"/>
  <c r="D189" i="117"/>
  <c r="D185" i="117"/>
  <c r="D200" i="117"/>
  <c r="D195" i="117"/>
  <c r="D191" i="117"/>
  <c r="D187" i="117"/>
  <c r="D183" i="117"/>
  <c r="D196" i="117"/>
  <c r="D188" i="117"/>
  <c r="D194" i="117"/>
  <c r="D186" i="117"/>
  <c r="D192" i="117"/>
  <c r="D184" i="117"/>
  <c r="D199" i="117"/>
  <c r="D190" i="117"/>
  <c r="H227" i="117"/>
  <c r="D244" i="117"/>
  <c r="D239" i="117"/>
  <c r="D235" i="117"/>
  <c r="D231" i="117"/>
  <c r="D227" i="117"/>
  <c r="D241" i="117"/>
  <c r="D237" i="117"/>
  <c r="D233" i="117"/>
  <c r="D229" i="117"/>
  <c r="D238" i="117"/>
  <c r="D230" i="117"/>
  <c r="D236" i="117"/>
  <c r="D228" i="117"/>
  <c r="D243" i="117"/>
  <c r="D234" i="117"/>
  <c r="D240" i="117"/>
  <c r="D232" i="117"/>
  <c r="H271" i="117"/>
  <c r="D285" i="117"/>
  <c r="D281" i="117"/>
  <c r="D277" i="117"/>
  <c r="D273" i="117"/>
  <c r="D288" i="117"/>
  <c r="D283" i="117"/>
  <c r="D279" i="117"/>
  <c r="D275" i="117"/>
  <c r="D271" i="117"/>
  <c r="D280" i="117"/>
  <c r="D272" i="117"/>
  <c r="D287" i="117"/>
  <c r="D278" i="117"/>
  <c r="D284" i="117"/>
  <c r="D276" i="117"/>
  <c r="D282" i="117"/>
  <c r="D274" i="117"/>
  <c r="H315" i="117"/>
  <c r="D332" i="117"/>
  <c r="D327" i="117"/>
  <c r="D323" i="117"/>
  <c r="D319" i="117"/>
  <c r="D315" i="117"/>
  <c r="D329" i="117"/>
  <c r="D325" i="117"/>
  <c r="D321" i="117"/>
  <c r="D317" i="117"/>
  <c r="D331" i="117"/>
  <c r="D322" i="117"/>
  <c r="D328" i="117"/>
  <c r="D320" i="117"/>
  <c r="D326" i="117"/>
  <c r="D318" i="117"/>
  <c r="D324" i="117"/>
  <c r="D316" i="117"/>
  <c r="H359" i="117"/>
  <c r="D373" i="117"/>
  <c r="D369" i="117"/>
  <c r="D365" i="117"/>
  <c r="D361" i="117"/>
  <c r="D376" i="117"/>
  <c r="D371" i="117"/>
  <c r="D367" i="117"/>
  <c r="D363" i="117"/>
  <c r="D359" i="117"/>
  <c r="D372" i="117"/>
  <c r="D364" i="117"/>
  <c r="D370" i="117"/>
  <c r="D362" i="117"/>
  <c r="D368" i="117"/>
  <c r="D360" i="117"/>
  <c r="D375" i="117"/>
  <c r="D366" i="117"/>
  <c r="H403" i="117"/>
  <c r="D420" i="117"/>
  <c r="D415" i="117"/>
  <c r="D411" i="117"/>
  <c r="D407" i="117"/>
  <c r="D403" i="117"/>
  <c r="D419" i="117"/>
  <c r="D414" i="117"/>
  <c r="D410" i="117"/>
  <c r="D406" i="117"/>
  <c r="D417" i="117"/>
  <c r="D413" i="117"/>
  <c r="D409" i="117"/>
  <c r="D405" i="117"/>
  <c r="D412" i="117"/>
  <c r="D408" i="117"/>
  <c r="D404" i="117"/>
  <c r="D416" i="117"/>
  <c r="H447" i="117"/>
  <c r="D461" i="117"/>
  <c r="D457" i="117"/>
  <c r="D453" i="117"/>
  <c r="D449" i="117"/>
  <c r="D460" i="117"/>
  <c r="D456" i="117"/>
  <c r="D452" i="117"/>
  <c r="D448" i="117"/>
  <c r="D464" i="117"/>
  <c r="D459" i="117"/>
  <c r="D455" i="117"/>
  <c r="D451" i="117"/>
  <c r="D447" i="117"/>
  <c r="D454" i="117"/>
  <c r="D450" i="117"/>
  <c r="D463" i="117"/>
  <c r="D458" i="117"/>
  <c r="H183" i="52"/>
  <c r="D200" i="52"/>
  <c r="D195" i="52"/>
  <c r="D191" i="52"/>
  <c r="D187" i="52"/>
  <c r="D183" i="52"/>
  <c r="D199" i="52"/>
  <c r="D194" i="52"/>
  <c r="D190" i="52"/>
  <c r="D186" i="52"/>
  <c r="D197" i="52"/>
  <c r="D193" i="52"/>
  <c r="D189" i="52"/>
  <c r="D185" i="52"/>
  <c r="D196" i="52"/>
  <c r="D192" i="52"/>
  <c r="D188" i="52"/>
  <c r="D184" i="52"/>
  <c r="H535" i="52"/>
  <c r="D552" i="52"/>
  <c r="D547" i="52"/>
  <c r="D543" i="52"/>
  <c r="D539" i="52"/>
  <c r="D535" i="52"/>
  <c r="D551" i="52"/>
  <c r="D546" i="52"/>
  <c r="D542" i="52"/>
  <c r="D538" i="52"/>
  <c r="D549" i="52"/>
  <c r="D545" i="52"/>
  <c r="D541" i="52"/>
  <c r="D537" i="52"/>
  <c r="D548" i="52"/>
  <c r="D544" i="52"/>
  <c r="D540" i="52"/>
  <c r="D536" i="52"/>
  <c r="H887" i="52"/>
  <c r="D900" i="52"/>
  <c r="D896" i="52"/>
  <c r="D892" i="52"/>
  <c r="D888" i="52"/>
  <c r="D904" i="52"/>
  <c r="D899" i="52"/>
  <c r="D895" i="52"/>
  <c r="D891" i="52"/>
  <c r="D887" i="52"/>
  <c r="D903" i="52"/>
  <c r="D898" i="52"/>
  <c r="D894" i="52"/>
  <c r="D890" i="52"/>
  <c r="D901" i="52"/>
  <c r="D897" i="52"/>
  <c r="D893" i="52"/>
  <c r="D889" i="52"/>
  <c r="H1239" i="52"/>
  <c r="D1252" i="52"/>
  <c r="D1248" i="52"/>
  <c r="D1244" i="52"/>
  <c r="D1240" i="52"/>
  <c r="D1256" i="52"/>
  <c r="D1251" i="52"/>
  <c r="D1247" i="52"/>
  <c r="D1243" i="52"/>
  <c r="D1239" i="52"/>
  <c r="D1255" i="52"/>
  <c r="D1250" i="52"/>
  <c r="D1246" i="52"/>
  <c r="D1242" i="52"/>
  <c r="D1253" i="52"/>
  <c r="D1249" i="52"/>
  <c r="D1245" i="52"/>
  <c r="D1241" i="52"/>
  <c r="H1503" i="52"/>
  <c r="D1516" i="52"/>
  <c r="D1512" i="52"/>
  <c r="D1508" i="52"/>
  <c r="D1504" i="52"/>
  <c r="D1520" i="52"/>
  <c r="D1515" i="52"/>
  <c r="D1511" i="52"/>
  <c r="D1507" i="52"/>
  <c r="D1503" i="52"/>
  <c r="D1519" i="52"/>
  <c r="D1514" i="52"/>
  <c r="D1510" i="52"/>
  <c r="D1506" i="52"/>
  <c r="D1517" i="52"/>
  <c r="D1513" i="52"/>
  <c r="D1509" i="52"/>
  <c r="D1505" i="52"/>
  <c r="H293" i="52"/>
  <c r="D309" i="52"/>
  <c r="D304" i="52"/>
  <c r="D300" i="52"/>
  <c r="D296" i="52"/>
  <c r="D307" i="52"/>
  <c r="D303" i="52"/>
  <c r="D299" i="52"/>
  <c r="D295" i="52"/>
  <c r="D306" i="52"/>
  <c r="D302" i="52"/>
  <c r="D298" i="52"/>
  <c r="D294" i="52"/>
  <c r="D310" i="52"/>
  <c r="D305" i="52"/>
  <c r="D301" i="52"/>
  <c r="D297" i="52"/>
  <c r="D293" i="52"/>
  <c r="H469" i="52"/>
  <c r="D485" i="52"/>
  <c r="D480" i="52"/>
  <c r="D476" i="52"/>
  <c r="D472" i="52"/>
  <c r="D483" i="52"/>
  <c r="D479" i="52"/>
  <c r="D475" i="52"/>
  <c r="D471" i="52"/>
  <c r="D482" i="52"/>
  <c r="D478" i="52"/>
  <c r="D474" i="52"/>
  <c r="D470" i="52"/>
  <c r="D486" i="52"/>
  <c r="D481" i="52"/>
  <c r="D477" i="52"/>
  <c r="D473" i="52"/>
  <c r="D469" i="52"/>
  <c r="H645" i="52"/>
  <c r="D661" i="52"/>
  <c r="D656" i="52"/>
  <c r="D652" i="52"/>
  <c r="D648" i="52"/>
  <c r="D659" i="52"/>
  <c r="D655" i="52"/>
  <c r="D651" i="52"/>
  <c r="D647" i="52"/>
  <c r="D658" i="52"/>
  <c r="D654" i="52"/>
  <c r="D650" i="52"/>
  <c r="D646" i="52"/>
  <c r="D662" i="52"/>
  <c r="D657" i="52"/>
  <c r="D653" i="52"/>
  <c r="D649" i="52"/>
  <c r="D645" i="52"/>
  <c r="H733" i="52"/>
  <c r="D749" i="52"/>
  <c r="D744" i="52"/>
  <c r="D740" i="52"/>
  <c r="D736" i="52"/>
  <c r="D747" i="52"/>
  <c r="D743" i="52"/>
  <c r="D739" i="52"/>
  <c r="D735" i="52"/>
  <c r="D746" i="52"/>
  <c r="D742" i="52"/>
  <c r="D738" i="52"/>
  <c r="D734" i="52"/>
  <c r="D750" i="52"/>
  <c r="D745" i="52"/>
  <c r="D741" i="52"/>
  <c r="D737" i="52"/>
  <c r="D733" i="52"/>
  <c r="H909" i="52"/>
  <c r="D926" i="52"/>
  <c r="D921" i="52"/>
  <c r="D917" i="52"/>
  <c r="D913" i="52"/>
  <c r="D909" i="52"/>
  <c r="D925" i="52"/>
  <c r="D920" i="52"/>
  <c r="D916" i="52"/>
  <c r="D912" i="52"/>
  <c r="D923" i="52"/>
  <c r="D919" i="52"/>
  <c r="D915" i="52"/>
  <c r="D911" i="52"/>
  <c r="D922" i="52"/>
  <c r="D918" i="52"/>
  <c r="D914" i="52"/>
  <c r="D910" i="52"/>
  <c r="H1085" i="52"/>
  <c r="D1102" i="52"/>
  <c r="D1097" i="52"/>
  <c r="D1093" i="52"/>
  <c r="D1089" i="52"/>
  <c r="D1085" i="52"/>
  <c r="D1101" i="52"/>
  <c r="D1096" i="52"/>
  <c r="D1092" i="52"/>
  <c r="D1088" i="52"/>
  <c r="D1099" i="52"/>
  <c r="D1095" i="52"/>
  <c r="D1091" i="52"/>
  <c r="D1087" i="52"/>
  <c r="D1098" i="52"/>
  <c r="D1094" i="52"/>
  <c r="D1090" i="52"/>
  <c r="D1086" i="52"/>
  <c r="H1261" i="52"/>
  <c r="D1278" i="52"/>
  <c r="D1273" i="52"/>
  <c r="D1269" i="52"/>
  <c r="D1265" i="52"/>
  <c r="D1261" i="52"/>
  <c r="D1277" i="52"/>
  <c r="D1272" i="52"/>
  <c r="D1268" i="52"/>
  <c r="D1264" i="52"/>
  <c r="D1275" i="52"/>
  <c r="D1271" i="52"/>
  <c r="D1267" i="52"/>
  <c r="D1263" i="52"/>
  <c r="D1274" i="52"/>
  <c r="D1270" i="52"/>
  <c r="D1266" i="52"/>
  <c r="D1262" i="52"/>
  <c r="H1437" i="52"/>
  <c r="D1454" i="52"/>
  <c r="D1449" i="52"/>
  <c r="D1445" i="52"/>
  <c r="D1441" i="52"/>
  <c r="D1437" i="52"/>
  <c r="D1453" i="52"/>
  <c r="D1448" i="52"/>
  <c r="D1444" i="52"/>
  <c r="D1440" i="52"/>
  <c r="D1451" i="52"/>
  <c r="D1447" i="52"/>
  <c r="D1443" i="52"/>
  <c r="D1439" i="52"/>
  <c r="D1450" i="52"/>
  <c r="D1446" i="52"/>
  <c r="D1442" i="52"/>
  <c r="D1438" i="52"/>
  <c r="H1525" i="52"/>
  <c r="D1542" i="52"/>
  <c r="D1537" i="52"/>
  <c r="D1533" i="52"/>
  <c r="D1529" i="52"/>
  <c r="D1525" i="52"/>
  <c r="D1541" i="52"/>
  <c r="D1536" i="52"/>
  <c r="D1532" i="52"/>
  <c r="D1528" i="52"/>
  <c r="D1539" i="52"/>
  <c r="D1535" i="52"/>
  <c r="D1531" i="52"/>
  <c r="D1527" i="52"/>
  <c r="D1538" i="52"/>
  <c r="D1534" i="52"/>
  <c r="D1530" i="52"/>
  <c r="D1526" i="52"/>
  <c r="H1701" i="52"/>
  <c r="D1718" i="52"/>
  <c r="D1713" i="52"/>
  <c r="D1709" i="52"/>
  <c r="D1705" i="52"/>
  <c r="D1701" i="52"/>
  <c r="D1717" i="52"/>
  <c r="D1712" i="52"/>
  <c r="D1708" i="52"/>
  <c r="D1704" i="52"/>
  <c r="D1715" i="52"/>
  <c r="D1711" i="52"/>
  <c r="D1707" i="52"/>
  <c r="D1703" i="52"/>
  <c r="D1714" i="52"/>
  <c r="D1710" i="52"/>
  <c r="D1706" i="52"/>
  <c r="D1702" i="52"/>
  <c r="D67" i="99"/>
  <c r="D62" i="99"/>
  <c r="D58" i="99"/>
  <c r="D54" i="99"/>
  <c r="D65" i="99"/>
  <c r="D61" i="99"/>
  <c r="D57" i="99"/>
  <c r="D53" i="99"/>
  <c r="D64" i="99"/>
  <c r="D60" i="99"/>
  <c r="D56" i="99"/>
  <c r="D52" i="99"/>
  <c r="D68" i="99"/>
  <c r="D63" i="99"/>
  <c r="D59" i="99"/>
  <c r="D55" i="99"/>
  <c r="D51" i="99"/>
  <c r="H139" i="99"/>
  <c r="D155" i="99"/>
  <c r="D150" i="99"/>
  <c r="D146" i="99"/>
  <c r="D142" i="99"/>
  <c r="D153" i="99"/>
  <c r="D149" i="99"/>
  <c r="D145" i="99"/>
  <c r="D141" i="99"/>
  <c r="D152" i="99"/>
  <c r="D148" i="99"/>
  <c r="D144" i="99"/>
  <c r="D140" i="99"/>
  <c r="D156" i="99"/>
  <c r="D151" i="99"/>
  <c r="D147" i="99"/>
  <c r="D143" i="99"/>
  <c r="D139" i="99"/>
  <c r="H227" i="99"/>
  <c r="D243" i="99"/>
  <c r="D238" i="99"/>
  <c r="D234" i="99"/>
  <c r="D230" i="99"/>
  <c r="D241" i="99"/>
  <c r="D237" i="99"/>
  <c r="D233" i="99"/>
  <c r="D229" i="99"/>
  <c r="D240" i="99"/>
  <c r="D236" i="99"/>
  <c r="D232" i="99"/>
  <c r="D228" i="99"/>
  <c r="D244" i="99"/>
  <c r="D239" i="99"/>
  <c r="D235" i="99"/>
  <c r="D231" i="99"/>
  <c r="D227" i="99"/>
  <c r="H271" i="99"/>
  <c r="D284" i="99"/>
  <c r="D280" i="99"/>
  <c r="D276" i="99"/>
  <c r="D272" i="99"/>
  <c r="D288" i="99"/>
  <c r="D283" i="99"/>
  <c r="D279" i="99"/>
  <c r="D275" i="99"/>
  <c r="D271" i="99"/>
  <c r="D287" i="99"/>
  <c r="D282" i="99"/>
  <c r="D278" i="99"/>
  <c r="D274" i="99"/>
  <c r="D285" i="99"/>
  <c r="D281" i="99"/>
  <c r="D277" i="99"/>
  <c r="D273" i="99"/>
  <c r="H359" i="99"/>
  <c r="D372" i="99"/>
  <c r="D368" i="99"/>
  <c r="D364" i="99"/>
  <c r="D360" i="99"/>
  <c r="D376" i="99"/>
  <c r="D371" i="99"/>
  <c r="D367" i="99"/>
  <c r="D363" i="99"/>
  <c r="D359" i="99"/>
  <c r="D375" i="99"/>
  <c r="D370" i="99"/>
  <c r="D366" i="99"/>
  <c r="D362" i="99"/>
  <c r="D373" i="99"/>
  <c r="D369" i="99"/>
  <c r="D365" i="99"/>
  <c r="D361" i="99"/>
  <c r="H73" i="100"/>
  <c r="D86" i="100"/>
  <c r="D82" i="100"/>
  <c r="D78" i="100"/>
  <c r="D74" i="100"/>
  <c r="D90" i="100"/>
  <c r="D85" i="100"/>
  <c r="D81" i="100"/>
  <c r="D77" i="100"/>
  <c r="D73" i="100"/>
  <c r="D89" i="100"/>
  <c r="D84" i="100"/>
  <c r="D80" i="100"/>
  <c r="D76" i="100"/>
  <c r="D87" i="100"/>
  <c r="D83" i="100"/>
  <c r="D79" i="100"/>
  <c r="D75" i="100"/>
  <c r="H161" i="100"/>
  <c r="D174" i="100"/>
  <c r="D170" i="100"/>
  <c r="D166" i="100"/>
  <c r="D162" i="100"/>
  <c r="D178" i="100"/>
  <c r="D173" i="100"/>
  <c r="D169" i="100"/>
  <c r="D165" i="100"/>
  <c r="D161" i="100"/>
  <c r="D177" i="100"/>
  <c r="D172" i="100"/>
  <c r="D168" i="100"/>
  <c r="D164" i="100"/>
  <c r="D175" i="100"/>
  <c r="D171" i="100"/>
  <c r="D167" i="100"/>
  <c r="D163" i="100"/>
  <c r="H249" i="100"/>
  <c r="D262" i="100"/>
  <c r="D258" i="100"/>
  <c r="D254" i="100"/>
  <c r="D250" i="100"/>
  <c r="D266" i="100"/>
  <c r="D261" i="100"/>
  <c r="D257" i="100"/>
  <c r="D253" i="100"/>
  <c r="D249" i="100"/>
  <c r="D265" i="100"/>
  <c r="D260" i="100"/>
  <c r="D256" i="100"/>
  <c r="D252" i="100"/>
  <c r="D263" i="100"/>
  <c r="D259" i="100"/>
  <c r="D255" i="100"/>
  <c r="D251" i="100"/>
  <c r="H337" i="100"/>
  <c r="D350" i="100"/>
  <c r="D346" i="100"/>
  <c r="D342" i="100"/>
  <c r="D338" i="100"/>
  <c r="D354" i="100"/>
  <c r="D349" i="100"/>
  <c r="D345" i="100"/>
  <c r="D341" i="100"/>
  <c r="D337" i="100"/>
  <c r="D353" i="100"/>
  <c r="D348" i="100"/>
  <c r="D344" i="100"/>
  <c r="D340" i="100"/>
  <c r="D351" i="100"/>
  <c r="D347" i="100"/>
  <c r="D343" i="100"/>
  <c r="D339" i="100"/>
  <c r="H381" i="100"/>
  <c r="D394" i="100"/>
  <c r="D390" i="100"/>
  <c r="D386" i="100"/>
  <c r="D382" i="100"/>
  <c r="D398" i="100"/>
  <c r="D393" i="100"/>
  <c r="D389" i="100"/>
  <c r="D385" i="100"/>
  <c r="D381" i="100"/>
  <c r="D397" i="100"/>
  <c r="D392" i="100"/>
  <c r="D388" i="100"/>
  <c r="D384" i="100"/>
  <c r="D395" i="100"/>
  <c r="D391" i="100"/>
  <c r="D387" i="100"/>
  <c r="D383" i="100"/>
  <c r="H469" i="100"/>
  <c r="D482" i="100"/>
  <c r="D478" i="100"/>
  <c r="D474" i="100"/>
  <c r="D470" i="100"/>
  <c r="D486" i="100"/>
  <c r="D481" i="100"/>
  <c r="D477" i="100"/>
  <c r="D473" i="100"/>
  <c r="D469" i="100"/>
  <c r="D485" i="100"/>
  <c r="D480" i="100"/>
  <c r="D476" i="100"/>
  <c r="D472" i="100"/>
  <c r="D483" i="100"/>
  <c r="D479" i="100"/>
  <c r="D475" i="100"/>
  <c r="D471" i="100"/>
  <c r="H557" i="100"/>
  <c r="D570" i="100"/>
  <c r="D566" i="100"/>
  <c r="D562" i="100"/>
  <c r="D558" i="100"/>
  <c r="D574" i="100"/>
  <c r="D569" i="100"/>
  <c r="D565" i="100"/>
  <c r="D561" i="100"/>
  <c r="D557" i="100"/>
  <c r="D573" i="100"/>
  <c r="D568" i="100"/>
  <c r="D564" i="100"/>
  <c r="D560" i="100"/>
  <c r="D571" i="100"/>
  <c r="D567" i="100"/>
  <c r="D563" i="100"/>
  <c r="D559" i="100"/>
  <c r="H645" i="100"/>
  <c r="D658" i="100"/>
  <c r="D654" i="100"/>
  <c r="D650" i="100"/>
  <c r="D646" i="100"/>
  <c r="D662" i="100"/>
  <c r="D657" i="100"/>
  <c r="D653" i="100"/>
  <c r="D649" i="100"/>
  <c r="D645" i="100"/>
  <c r="D661" i="100"/>
  <c r="D656" i="100"/>
  <c r="D652" i="100"/>
  <c r="D648" i="100"/>
  <c r="D659" i="100"/>
  <c r="D655" i="100"/>
  <c r="D651" i="100"/>
  <c r="D647" i="100"/>
  <c r="H733" i="100"/>
  <c r="D746" i="100"/>
  <c r="D742" i="100"/>
  <c r="D738" i="100"/>
  <c r="D734" i="100"/>
  <c r="D750" i="100"/>
  <c r="D745" i="100"/>
  <c r="D741" i="100"/>
  <c r="D737" i="100"/>
  <c r="D733" i="100"/>
  <c r="D749" i="100"/>
  <c r="D744" i="100"/>
  <c r="D740" i="100"/>
  <c r="D736" i="100"/>
  <c r="D747" i="100"/>
  <c r="D743" i="100"/>
  <c r="D739" i="100"/>
  <c r="D735" i="100"/>
  <c r="H821" i="100"/>
  <c r="D834" i="100"/>
  <c r="D830" i="100"/>
  <c r="D826" i="100"/>
  <c r="D822" i="100"/>
  <c r="D838" i="100"/>
  <c r="D833" i="100"/>
  <c r="D829" i="100"/>
  <c r="D825" i="100"/>
  <c r="D821" i="100"/>
  <c r="D837" i="100"/>
  <c r="D832" i="100"/>
  <c r="D828" i="100"/>
  <c r="D824" i="100"/>
  <c r="D835" i="100"/>
  <c r="D831" i="100"/>
  <c r="D827" i="100"/>
  <c r="D823" i="100"/>
  <c r="H909" i="100"/>
  <c r="D922" i="100"/>
  <c r="D918" i="100"/>
  <c r="D914" i="100"/>
  <c r="D910" i="100"/>
  <c r="D926" i="100"/>
  <c r="D921" i="100"/>
  <c r="D917" i="100"/>
  <c r="D913" i="100"/>
  <c r="D909" i="100"/>
  <c r="D925" i="100"/>
  <c r="D920" i="100"/>
  <c r="D916" i="100"/>
  <c r="D912" i="100"/>
  <c r="D923" i="100"/>
  <c r="D919" i="100"/>
  <c r="D915" i="100"/>
  <c r="D911" i="100"/>
  <c r="H953" i="100"/>
  <c r="D969" i="100"/>
  <c r="D964" i="100"/>
  <c r="D960" i="100"/>
  <c r="D956" i="100"/>
  <c r="D967" i="100"/>
  <c r="D963" i="100"/>
  <c r="D959" i="100"/>
  <c r="D955" i="100"/>
  <c r="D966" i="100"/>
  <c r="D962" i="100"/>
  <c r="D958" i="100"/>
  <c r="D954" i="100"/>
  <c r="D970" i="100"/>
  <c r="D965" i="100"/>
  <c r="D961" i="100"/>
  <c r="D957" i="100"/>
  <c r="D953" i="100"/>
  <c r="H1041" i="100"/>
  <c r="D1057" i="100"/>
  <c r="D1052" i="100"/>
  <c r="D1048" i="100"/>
  <c r="D1044" i="100"/>
  <c r="D1055" i="100"/>
  <c r="D1051" i="100"/>
  <c r="D1047" i="100"/>
  <c r="D1043" i="100"/>
  <c r="D1054" i="100"/>
  <c r="D1050" i="100"/>
  <c r="D1046" i="100"/>
  <c r="D1042" i="100"/>
  <c r="D1058" i="100"/>
  <c r="D1053" i="100"/>
  <c r="D1049" i="100"/>
  <c r="D1045" i="100"/>
  <c r="D1041" i="100"/>
  <c r="H51" i="101"/>
  <c r="D67" i="101"/>
  <c r="D62" i="101"/>
  <c r="D58" i="101"/>
  <c r="D54" i="101"/>
  <c r="D65" i="101"/>
  <c r="D61" i="101"/>
  <c r="D57" i="101"/>
  <c r="D53" i="101"/>
  <c r="D64" i="101"/>
  <c r="D60" i="101"/>
  <c r="D56" i="101"/>
  <c r="D52" i="101"/>
  <c r="D68" i="101"/>
  <c r="D63" i="101"/>
  <c r="D59" i="101"/>
  <c r="D55" i="101"/>
  <c r="D51" i="101"/>
  <c r="H139" i="101"/>
  <c r="D155" i="101"/>
  <c r="D150" i="101"/>
  <c r="D146" i="101"/>
  <c r="D142" i="101"/>
  <c r="D153" i="101"/>
  <c r="D149" i="101"/>
  <c r="D145" i="101"/>
  <c r="D141" i="101"/>
  <c r="D152" i="101"/>
  <c r="D148" i="101"/>
  <c r="D144" i="101"/>
  <c r="D140" i="101"/>
  <c r="D156" i="101"/>
  <c r="D151" i="101"/>
  <c r="D147" i="101"/>
  <c r="D143" i="101"/>
  <c r="D139" i="101"/>
  <c r="H183" i="101"/>
  <c r="D196" i="101"/>
  <c r="D192" i="101"/>
  <c r="D188" i="101"/>
  <c r="D184" i="101"/>
  <c r="D200" i="101"/>
  <c r="D195" i="101"/>
  <c r="D191" i="101"/>
  <c r="D187" i="101"/>
  <c r="D183" i="101"/>
  <c r="D199" i="101"/>
  <c r="D194" i="101"/>
  <c r="D190" i="101"/>
  <c r="D186" i="101"/>
  <c r="D197" i="101"/>
  <c r="D193" i="101"/>
  <c r="D189" i="101"/>
  <c r="D185" i="101"/>
  <c r="H271" i="101"/>
  <c r="D284" i="101"/>
  <c r="D280" i="101"/>
  <c r="D276" i="101"/>
  <c r="D272" i="101"/>
  <c r="D288" i="101"/>
  <c r="D283" i="101"/>
  <c r="D279" i="101"/>
  <c r="D275" i="101"/>
  <c r="D271" i="101"/>
  <c r="D287" i="101"/>
  <c r="D282" i="101"/>
  <c r="D278" i="101"/>
  <c r="D274" i="101"/>
  <c r="D285" i="101"/>
  <c r="D281" i="101"/>
  <c r="D277" i="101"/>
  <c r="D273" i="101"/>
  <c r="H315" i="101"/>
  <c r="D331" i="101"/>
  <c r="D326" i="101"/>
  <c r="D322" i="101"/>
  <c r="D318" i="101"/>
  <c r="D329" i="101"/>
  <c r="D325" i="101"/>
  <c r="D321" i="101"/>
  <c r="D317" i="101"/>
  <c r="D328" i="101"/>
  <c r="D324" i="101"/>
  <c r="D320" i="101"/>
  <c r="D316" i="101"/>
  <c r="D332" i="101"/>
  <c r="D327" i="101"/>
  <c r="D323" i="101"/>
  <c r="D319" i="101"/>
  <c r="D315" i="101"/>
  <c r="H403" i="101"/>
  <c r="D419" i="101"/>
  <c r="D414" i="101"/>
  <c r="D410" i="101"/>
  <c r="D406" i="101"/>
  <c r="D417" i="101"/>
  <c r="D413" i="101"/>
  <c r="D409" i="101"/>
  <c r="D405" i="101"/>
  <c r="D416" i="101"/>
  <c r="D412" i="101"/>
  <c r="D408" i="101"/>
  <c r="D404" i="101"/>
  <c r="D420" i="101"/>
  <c r="D415" i="101"/>
  <c r="D411" i="101"/>
  <c r="D407" i="101"/>
  <c r="D403" i="101"/>
  <c r="H491" i="101"/>
  <c r="D507" i="101"/>
  <c r="D502" i="101"/>
  <c r="D498" i="101"/>
  <c r="D494" i="101"/>
  <c r="D505" i="101"/>
  <c r="D501" i="101"/>
  <c r="D497" i="101"/>
  <c r="D493" i="101"/>
  <c r="D504" i="101"/>
  <c r="D500" i="101"/>
  <c r="D496" i="101"/>
  <c r="D492" i="101"/>
  <c r="D508" i="101"/>
  <c r="D503" i="101"/>
  <c r="D499" i="101"/>
  <c r="D495" i="101"/>
  <c r="D491" i="101"/>
  <c r="H579" i="101"/>
  <c r="D595" i="101"/>
  <c r="D590" i="101"/>
  <c r="D586" i="101"/>
  <c r="D582" i="101"/>
  <c r="D593" i="101"/>
  <c r="D589" i="101"/>
  <c r="D585" i="101"/>
  <c r="D581" i="101"/>
  <c r="D592" i="101"/>
  <c r="D588" i="101"/>
  <c r="D584" i="101"/>
  <c r="D580" i="101"/>
  <c r="D596" i="101"/>
  <c r="D591" i="101"/>
  <c r="D587" i="101"/>
  <c r="D583" i="101"/>
  <c r="D579" i="101"/>
  <c r="H667" i="101"/>
  <c r="D683" i="101"/>
  <c r="D678" i="101"/>
  <c r="D674" i="101"/>
  <c r="D670" i="101"/>
  <c r="D681" i="101"/>
  <c r="D677" i="101"/>
  <c r="D673" i="101"/>
  <c r="D669" i="101"/>
  <c r="D680" i="101"/>
  <c r="D676" i="101"/>
  <c r="D672" i="101"/>
  <c r="D668" i="101"/>
  <c r="D684" i="101"/>
  <c r="D679" i="101"/>
  <c r="D675" i="101"/>
  <c r="D671" i="101"/>
  <c r="D667" i="101"/>
  <c r="H755" i="101"/>
  <c r="D771" i="101"/>
  <c r="D766" i="101"/>
  <c r="D762" i="101"/>
  <c r="D758" i="101"/>
  <c r="D769" i="101"/>
  <c r="D765" i="101"/>
  <c r="D761" i="101"/>
  <c r="D757" i="101"/>
  <c r="D768" i="101"/>
  <c r="D764" i="101"/>
  <c r="D760" i="101"/>
  <c r="D756" i="101"/>
  <c r="D772" i="101"/>
  <c r="D767" i="101"/>
  <c r="D763" i="101"/>
  <c r="D759" i="101"/>
  <c r="D755" i="101"/>
  <c r="H799" i="101"/>
  <c r="D812" i="101"/>
  <c r="D808" i="101"/>
  <c r="D804" i="101"/>
  <c r="D800" i="101"/>
  <c r="D816" i="101"/>
  <c r="D811" i="101"/>
  <c r="D807" i="101"/>
  <c r="D803" i="101"/>
  <c r="D799" i="101"/>
  <c r="D815" i="101"/>
  <c r="D810" i="101"/>
  <c r="D806" i="101"/>
  <c r="D802" i="101"/>
  <c r="D813" i="101"/>
  <c r="D809" i="101"/>
  <c r="D805" i="101"/>
  <c r="D801" i="101"/>
  <c r="H887" i="101"/>
  <c r="D900" i="101"/>
  <c r="D896" i="101"/>
  <c r="D892" i="101"/>
  <c r="D888" i="101"/>
  <c r="D904" i="101"/>
  <c r="D899" i="101"/>
  <c r="D895" i="101"/>
  <c r="D891" i="101"/>
  <c r="D887" i="101"/>
  <c r="D903" i="101"/>
  <c r="D898" i="101"/>
  <c r="D894" i="101"/>
  <c r="D890" i="101"/>
  <c r="D901" i="101"/>
  <c r="D897" i="101"/>
  <c r="D893" i="101"/>
  <c r="D889" i="101"/>
  <c r="H975" i="101"/>
  <c r="D988" i="101"/>
  <c r="D984" i="101"/>
  <c r="D980" i="101"/>
  <c r="D976" i="101"/>
  <c r="D992" i="101"/>
  <c r="D987" i="101"/>
  <c r="D983" i="101"/>
  <c r="D979" i="101"/>
  <c r="D975" i="101"/>
  <c r="D991" i="101"/>
  <c r="D986" i="101"/>
  <c r="D982" i="101"/>
  <c r="D978" i="101"/>
  <c r="D989" i="101"/>
  <c r="D985" i="101"/>
  <c r="D981" i="101"/>
  <c r="D977" i="101"/>
  <c r="H1063" i="101"/>
  <c r="D1076" i="101"/>
  <c r="D1072" i="101"/>
  <c r="D1068" i="101"/>
  <c r="D1064" i="101"/>
  <c r="D1080" i="101"/>
  <c r="D1075" i="101"/>
  <c r="D1071" i="101"/>
  <c r="D1067" i="101"/>
  <c r="D1063" i="101"/>
  <c r="D1079" i="101"/>
  <c r="D1074" i="101"/>
  <c r="D1070" i="101"/>
  <c r="D1066" i="101"/>
  <c r="D1077" i="101"/>
  <c r="D1073" i="101"/>
  <c r="D1069" i="101"/>
  <c r="D1065" i="101"/>
  <c r="H1151" i="101"/>
  <c r="D1164" i="101"/>
  <c r="D1160" i="101"/>
  <c r="D1156" i="101"/>
  <c r="D1152" i="101"/>
  <c r="D1168" i="101"/>
  <c r="D1163" i="101"/>
  <c r="D1159" i="101"/>
  <c r="D1155" i="101"/>
  <c r="D1151" i="101"/>
  <c r="D1167" i="101"/>
  <c r="D1162" i="101"/>
  <c r="D1158" i="101"/>
  <c r="D1154" i="101"/>
  <c r="D1165" i="101"/>
  <c r="D1161" i="101"/>
  <c r="D1157" i="101"/>
  <c r="D1153" i="101"/>
  <c r="H1239" i="101"/>
  <c r="D1252" i="101"/>
  <c r="D1248" i="101"/>
  <c r="D1244" i="101"/>
  <c r="D1240" i="101"/>
  <c r="D1256" i="101"/>
  <c r="D1251" i="101"/>
  <c r="D1247" i="101"/>
  <c r="D1243" i="101"/>
  <c r="D1239" i="101"/>
  <c r="D1255" i="101"/>
  <c r="D1250" i="101"/>
  <c r="D1246" i="101"/>
  <c r="D1242" i="101"/>
  <c r="D1253" i="101"/>
  <c r="D1249" i="101"/>
  <c r="D1245" i="101"/>
  <c r="D1241" i="101"/>
  <c r="H1327" i="101"/>
  <c r="D1340" i="101"/>
  <c r="D1336" i="101"/>
  <c r="D1332" i="101"/>
  <c r="D1328" i="101"/>
  <c r="D1344" i="101"/>
  <c r="D1339" i="101"/>
  <c r="D1335" i="101"/>
  <c r="D1331" i="101"/>
  <c r="D1327" i="101"/>
  <c r="D1343" i="101"/>
  <c r="D1338" i="101"/>
  <c r="D1334" i="101"/>
  <c r="D1330" i="101"/>
  <c r="D1341" i="101"/>
  <c r="D1337" i="101"/>
  <c r="D1333" i="101"/>
  <c r="D1329" i="101"/>
  <c r="H1415" i="101"/>
  <c r="D1428" i="101"/>
  <c r="D1424" i="101"/>
  <c r="D1420" i="101"/>
  <c r="D1416" i="101"/>
  <c r="D1432" i="101"/>
  <c r="D1427" i="101"/>
  <c r="D1423" i="101"/>
  <c r="D1419" i="101"/>
  <c r="D1415" i="101"/>
  <c r="D1431" i="101"/>
  <c r="D1426" i="101"/>
  <c r="D1422" i="101"/>
  <c r="D1418" i="101"/>
  <c r="D1429" i="101"/>
  <c r="D1425" i="101"/>
  <c r="D1421" i="101"/>
  <c r="D1417" i="101"/>
  <c r="H1503" i="101"/>
  <c r="D1516" i="101"/>
  <c r="D1512" i="101"/>
  <c r="D1508" i="101"/>
  <c r="D1504" i="101"/>
  <c r="D1520" i="101"/>
  <c r="D1515" i="101"/>
  <c r="D1511" i="101"/>
  <c r="D1507" i="101"/>
  <c r="D1503" i="101"/>
  <c r="D1519" i="101"/>
  <c r="D1514" i="101"/>
  <c r="D1510" i="101"/>
  <c r="D1506" i="101"/>
  <c r="D1517" i="101"/>
  <c r="D1513" i="101"/>
  <c r="D1509" i="101"/>
  <c r="D1505" i="101"/>
  <c r="H1547" i="101"/>
  <c r="D1563" i="101"/>
  <c r="D1558" i="101"/>
  <c r="D1554" i="101"/>
  <c r="D1550" i="101"/>
  <c r="D1561" i="101"/>
  <c r="D1557" i="101"/>
  <c r="D1553" i="101"/>
  <c r="D1549" i="101"/>
  <c r="D1560" i="101"/>
  <c r="D1556" i="101"/>
  <c r="D1552" i="101"/>
  <c r="D1548" i="101"/>
  <c r="D1564" i="101"/>
  <c r="D1559" i="101"/>
  <c r="D1555" i="101"/>
  <c r="D1551" i="101"/>
  <c r="D1547" i="101"/>
  <c r="H1635" i="101"/>
  <c r="D1651" i="101"/>
  <c r="D1646" i="101"/>
  <c r="D1642" i="101"/>
  <c r="D1638" i="101"/>
  <c r="D1649" i="101"/>
  <c r="D1645" i="101"/>
  <c r="D1641" i="101"/>
  <c r="D1637" i="101"/>
  <c r="D1648" i="101"/>
  <c r="D1644" i="101"/>
  <c r="D1640" i="101"/>
  <c r="D1636" i="101"/>
  <c r="D1652" i="101"/>
  <c r="D1647" i="101"/>
  <c r="D1643" i="101"/>
  <c r="D1639" i="101"/>
  <c r="D1635" i="101"/>
  <c r="H73" i="102"/>
  <c r="D89" i="102"/>
  <c r="D84" i="102"/>
  <c r="D80" i="102"/>
  <c r="D76" i="102"/>
  <c r="D87" i="102"/>
  <c r="D83" i="102"/>
  <c r="D79" i="102"/>
  <c r="D75" i="102"/>
  <c r="D86" i="102"/>
  <c r="D82" i="102"/>
  <c r="D78" i="102"/>
  <c r="D74" i="102"/>
  <c r="D90" i="102"/>
  <c r="D85" i="102"/>
  <c r="D81" i="102"/>
  <c r="D77" i="102"/>
  <c r="D73" i="102"/>
  <c r="H117" i="102"/>
  <c r="D130" i="102"/>
  <c r="D126" i="102"/>
  <c r="D122" i="102"/>
  <c r="D118" i="102"/>
  <c r="D134" i="102"/>
  <c r="D129" i="102"/>
  <c r="D125" i="102"/>
  <c r="D121" i="102"/>
  <c r="D117" i="102"/>
  <c r="D133" i="102"/>
  <c r="D128" i="102"/>
  <c r="D124" i="102"/>
  <c r="D120" i="102"/>
  <c r="D131" i="102"/>
  <c r="D127" i="102"/>
  <c r="D123" i="102"/>
  <c r="D119" i="102"/>
  <c r="H205" i="102"/>
  <c r="D218" i="102"/>
  <c r="D214" i="102"/>
  <c r="D210" i="102"/>
  <c r="D206" i="102"/>
  <c r="D222" i="102"/>
  <c r="D217" i="102"/>
  <c r="D213" i="102"/>
  <c r="D209" i="102"/>
  <c r="D205" i="102"/>
  <c r="D221" i="102"/>
  <c r="D216" i="102"/>
  <c r="D212" i="102"/>
  <c r="D208" i="102"/>
  <c r="D219" i="102"/>
  <c r="D215" i="102"/>
  <c r="D211" i="102"/>
  <c r="D207" i="102"/>
  <c r="H293" i="102"/>
  <c r="D306" i="102"/>
  <c r="D302" i="102"/>
  <c r="D298" i="102"/>
  <c r="D294" i="102"/>
  <c r="D310" i="102"/>
  <c r="D305" i="102"/>
  <c r="D301" i="102"/>
  <c r="D297" i="102"/>
  <c r="D293" i="102"/>
  <c r="D309" i="102"/>
  <c r="D304" i="102"/>
  <c r="D300" i="102"/>
  <c r="D296" i="102"/>
  <c r="D307" i="102"/>
  <c r="D303" i="102"/>
  <c r="D299" i="102"/>
  <c r="D295" i="102"/>
  <c r="H73" i="103"/>
  <c r="D89" i="103"/>
  <c r="D84" i="103"/>
  <c r="D80" i="103"/>
  <c r="D76" i="103"/>
  <c r="D87" i="103"/>
  <c r="D83" i="103"/>
  <c r="D79" i="103"/>
  <c r="D75" i="103"/>
  <c r="D86" i="103"/>
  <c r="D82" i="103"/>
  <c r="D78" i="103"/>
  <c r="D74" i="103"/>
  <c r="D90" i="103"/>
  <c r="D85" i="103"/>
  <c r="D81" i="103"/>
  <c r="D77" i="103"/>
  <c r="D73" i="103"/>
  <c r="H161" i="103"/>
  <c r="D177" i="103"/>
  <c r="D172" i="103"/>
  <c r="D168" i="103"/>
  <c r="D164" i="103"/>
  <c r="D175" i="103"/>
  <c r="D171" i="103"/>
  <c r="D167" i="103"/>
  <c r="D163" i="103"/>
  <c r="D174" i="103"/>
  <c r="D170" i="103"/>
  <c r="D166" i="103"/>
  <c r="D162" i="103"/>
  <c r="D178" i="103"/>
  <c r="D173" i="103"/>
  <c r="D169" i="103"/>
  <c r="D165" i="103"/>
  <c r="D161" i="103"/>
  <c r="H249" i="103"/>
  <c r="D265" i="103"/>
  <c r="D260" i="103"/>
  <c r="D256" i="103"/>
  <c r="D252" i="103"/>
  <c r="D263" i="103"/>
  <c r="D259" i="103"/>
  <c r="D255" i="103"/>
  <c r="D251" i="103"/>
  <c r="D262" i="103"/>
  <c r="D258" i="103"/>
  <c r="D254" i="103"/>
  <c r="D250" i="103"/>
  <c r="D266" i="103"/>
  <c r="D261" i="103"/>
  <c r="D257" i="103"/>
  <c r="D253" i="103"/>
  <c r="D249" i="103"/>
  <c r="H337" i="103"/>
  <c r="D353" i="103"/>
  <c r="D348" i="103"/>
  <c r="D344" i="103"/>
  <c r="D340" i="103"/>
  <c r="D351" i="103"/>
  <c r="D347" i="103"/>
  <c r="D343" i="103"/>
  <c r="D339" i="103"/>
  <c r="D350" i="103"/>
  <c r="D346" i="103"/>
  <c r="D342" i="103"/>
  <c r="D338" i="103"/>
  <c r="D354" i="103"/>
  <c r="D349" i="103"/>
  <c r="D345" i="103"/>
  <c r="D341" i="103"/>
  <c r="D337" i="103"/>
  <c r="H425" i="103"/>
  <c r="D441" i="103"/>
  <c r="D436" i="103"/>
  <c r="D432" i="103"/>
  <c r="D428" i="103"/>
  <c r="D439" i="103"/>
  <c r="D435" i="103"/>
  <c r="D431" i="103"/>
  <c r="D427" i="103"/>
  <c r="D438" i="103"/>
  <c r="D434" i="103"/>
  <c r="D430" i="103"/>
  <c r="D426" i="103"/>
  <c r="D442" i="103"/>
  <c r="D437" i="103"/>
  <c r="D433" i="103"/>
  <c r="D429" i="103"/>
  <c r="D425" i="103"/>
  <c r="H513" i="103"/>
  <c r="D529" i="103"/>
  <c r="D524" i="103"/>
  <c r="D520" i="103"/>
  <c r="D516" i="103"/>
  <c r="D527" i="103"/>
  <c r="D523" i="103"/>
  <c r="D519" i="103"/>
  <c r="D515" i="103"/>
  <c r="D526" i="103"/>
  <c r="D522" i="103"/>
  <c r="D518" i="103"/>
  <c r="D514" i="103"/>
  <c r="D530" i="103"/>
  <c r="D525" i="103"/>
  <c r="D521" i="103"/>
  <c r="D517" i="103"/>
  <c r="D513" i="103"/>
  <c r="H557" i="103"/>
  <c r="D570" i="103"/>
  <c r="D566" i="103"/>
  <c r="D562" i="103"/>
  <c r="D558" i="103"/>
  <c r="D574" i="103"/>
  <c r="D569" i="103"/>
  <c r="D565" i="103"/>
  <c r="D561" i="103"/>
  <c r="D557" i="103"/>
  <c r="D573" i="103"/>
  <c r="D568" i="103"/>
  <c r="D564" i="103"/>
  <c r="D560" i="103"/>
  <c r="D571" i="103"/>
  <c r="D567" i="103"/>
  <c r="D563" i="103"/>
  <c r="D559" i="103"/>
  <c r="H645" i="103"/>
  <c r="D658" i="103"/>
  <c r="D654" i="103"/>
  <c r="D650" i="103"/>
  <c r="D646" i="103"/>
  <c r="D662" i="103"/>
  <c r="D657" i="103"/>
  <c r="D653" i="103"/>
  <c r="D649" i="103"/>
  <c r="D645" i="103"/>
  <c r="D661" i="103"/>
  <c r="D656" i="103"/>
  <c r="D652" i="103"/>
  <c r="D648" i="103"/>
  <c r="D659" i="103"/>
  <c r="D655" i="103"/>
  <c r="D651" i="103"/>
  <c r="D647" i="103"/>
  <c r="H733" i="103"/>
  <c r="D746" i="103"/>
  <c r="D742" i="103"/>
  <c r="D738" i="103"/>
  <c r="D734" i="103"/>
  <c r="D750" i="103"/>
  <c r="D745" i="103"/>
  <c r="D741" i="103"/>
  <c r="D737" i="103"/>
  <c r="D733" i="103"/>
  <c r="D749" i="103"/>
  <c r="D744" i="103"/>
  <c r="D740" i="103"/>
  <c r="D736" i="103"/>
  <c r="D747" i="103"/>
  <c r="D743" i="103"/>
  <c r="D739" i="103"/>
  <c r="D735" i="103"/>
  <c r="H821" i="103"/>
  <c r="D834" i="103"/>
  <c r="D830" i="103"/>
  <c r="D826" i="103"/>
  <c r="D822" i="103"/>
  <c r="D838" i="103"/>
  <c r="D833" i="103"/>
  <c r="D829" i="103"/>
  <c r="D825" i="103"/>
  <c r="D821" i="103"/>
  <c r="D837" i="103"/>
  <c r="D832" i="103"/>
  <c r="D828" i="103"/>
  <c r="D824" i="103"/>
  <c r="D835" i="103"/>
  <c r="D831" i="103"/>
  <c r="D827" i="103"/>
  <c r="D823" i="103"/>
  <c r="H909" i="103"/>
  <c r="D922" i="103"/>
  <c r="D918" i="103"/>
  <c r="D914" i="103"/>
  <c r="D910" i="103"/>
  <c r="D926" i="103"/>
  <c r="D921" i="103"/>
  <c r="D917" i="103"/>
  <c r="D913" i="103"/>
  <c r="D909" i="103"/>
  <c r="D925" i="103"/>
  <c r="D920" i="103"/>
  <c r="D916" i="103"/>
  <c r="D912" i="103"/>
  <c r="D923" i="103"/>
  <c r="D919" i="103"/>
  <c r="D915" i="103"/>
  <c r="D911" i="103"/>
  <c r="H73" i="104"/>
  <c r="D87" i="104"/>
  <c r="D83" i="104"/>
  <c r="D79" i="104"/>
  <c r="D75" i="104"/>
  <c r="D86" i="104"/>
  <c r="D82" i="104"/>
  <c r="D78" i="104"/>
  <c r="D74" i="104"/>
  <c r="D90" i="104"/>
  <c r="D85" i="104"/>
  <c r="D81" i="104"/>
  <c r="D77" i="104"/>
  <c r="D73" i="104"/>
  <c r="D76" i="104"/>
  <c r="D89" i="104"/>
  <c r="D84" i="104"/>
  <c r="D80" i="104"/>
  <c r="H161" i="104"/>
  <c r="D175" i="104"/>
  <c r="D171" i="104"/>
  <c r="D167" i="104"/>
  <c r="D163" i="104"/>
  <c r="D174" i="104"/>
  <c r="D170" i="104"/>
  <c r="D166" i="104"/>
  <c r="D162" i="104"/>
  <c r="D178" i="104"/>
  <c r="D173" i="104"/>
  <c r="D169" i="104"/>
  <c r="D165" i="104"/>
  <c r="D161" i="104"/>
  <c r="D177" i="104"/>
  <c r="D172" i="104"/>
  <c r="D168" i="104"/>
  <c r="D164" i="104"/>
  <c r="H249" i="104"/>
  <c r="D263" i="104"/>
  <c r="D259" i="104"/>
  <c r="D255" i="104"/>
  <c r="D251" i="104"/>
  <c r="D262" i="104"/>
  <c r="D258" i="104"/>
  <c r="D254" i="104"/>
  <c r="D250" i="104"/>
  <c r="D266" i="104"/>
  <c r="D261" i="104"/>
  <c r="D257" i="104"/>
  <c r="D253" i="104"/>
  <c r="D249" i="104"/>
  <c r="D260" i="104"/>
  <c r="D256" i="104"/>
  <c r="D252" i="104"/>
  <c r="D265" i="104"/>
  <c r="H293" i="104"/>
  <c r="D310" i="104"/>
  <c r="D305" i="104"/>
  <c r="D301" i="104"/>
  <c r="D297" i="104"/>
  <c r="D293" i="104"/>
  <c r="D309" i="104"/>
  <c r="D304" i="104"/>
  <c r="D300" i="104"/>
  <c r="D296" i="104"/>
  <c r="D307" i="104"/>
  <c r="D303" i="104"/>
  <c r="D299" i="104"/>
  <c r="D295" i="104"/>
  <c r="D302" i="104"/>
  <c r="D298" i="104"/>
  <c r="D294" i="104"/>
  <c r="D306" i="104"/>
  <c r="H7" i="105"/>
  <c r="D21" i="105"/>
  <c r="D17" i="105"/>
  <c r="D13" i="105"/>
  <c r="D9" i="105"/>
  <c r="D20" i="105"/>
  <c r="D16" i="105"/>
  <c r="D12" i="105"/>
  <c r="D8" i="105"/>
  <c r="D24" i="105"/>
  <c r="D19" i="105"/>
  <c r="D15" i="105"/>
  <c r="D11" i="105"/>
  <c r="D7" i="105"/>
  <c r="D18" i="105"/>
  <c r="D14" i="105"/>
  <c r="D10" i="105"/>
  <c r="D23" i="105"/>
  <c r="H95" i="105"/>
  <c r="D109" i="105"/>
  <c r="D105" i="105"/>
  <c r="D101" i="105"/>
  <c r="D97" i="105"/>
  <c r="D108" i="105"/>
  <c r="D104" i="105"/>
  <c r="D100" i="105"/>
  <c r="D96" i="105"/>
  <c r="D112" i="105"/>
  <c r="D107" i="105"/>
  <c r="D103" i="105"/>
  <c r="D99" i="105"/>
  <c r="D95" i="105"/>
  <c r="D102" i="105"/>
  <c r="D98" i="105"/>
  <c r="D111" i="105"/>
  <c r="D106" i="105"/>
  <c r="H183" i="105"/>
  <c r="D197" i="105"/>
  <c r="D193" i="105"/>
  <c r="D189" i="105"/>
  <c r="D185" i="105"/>
  <c r="D196" i="105"/>
  <c r="D192" i="105"/>
  <c r="D188" i="105"/>
  <c r="D184" i="105"/>
  <c r="D200" i="105"/>
  <c r="D195" i="105"/>
  <c r="D191" i="105"/>
  <c r="D187" i="105"/>
  <c r="D183" i="105"/>
  <c r="D186" i="105"/>
  <c r="D199" i="105"/>
  <c r="D194" i="105"/>
  <c r="D190" i="105"/>
  <c r="H271" i="105"/>
  <c r="D285" i="105"/>
  <c r="D281" i="105"/>
  <c r="D277" i="105"/>
  <c r="D273" i="105"/>
  <c r="D284" i="105"/>
  <c r="D280" i="105"/>
  <c r="D276" i="105"/>
  <c r="D272" i="105"/>
  <c r="D288" i="105"/>
  <c r="D283" i="105"/>
  <c r="D279" i="105"/>
  <c r="D275" i="105"/>
  <c r="D271" i="105"/>
  <c r="D287" i="105"/>
  <c r="D282" i="105"/>
  <c r="D278" i="105"/>
  <c r="D274" i="105"/>
  <c r="H359" i="105"/>
  <c r="D373" i="105"/>
  <c r="D369" i="105"/>
  <c r="D365" i="105"/>
  <c r="D361" i="105"/>
  <c r="D372" i="105"/>
  <c r="D368" i="105"/>
  <c r="D364" i="105"/>
  <c r="D360" i="105"/>
  <c r="D376" i="105"/>
  <c r="D371" i="105"/>
  <c r="D367" i="105"/>
  <c r="D363" i="105"/>
  <c r="D359" i="105"/>
  <c r="D370" i="105"/>
  <c r="D366" i="105"/>
  <c r="D362" i="105"/>
  <c r="D375" i="105"/>
  <c r="H447" i="105"/>
  <c r="D460" i="105"/>
  <c r="D456" i="105"/>
  <c r="D452" i="105"/>
  <c r="D448" i="105"/>
  <c r="D464" i="105"/>
  <c r="D459" i="105"/>
  <c r="D455" i="105"/>
  <c r="D451" i="105"/>
  <c r="D447" i="105"/>
  <c r="D461" i="105"/>
  <c r="D453" i="105"/>
  <c r="D458" i="105"/>
  <c r="D450" i="105"/>
  <c r="D457" i="105"/>
  <c r="D449" i="105"/>
  <c r="D463" i="105"/>
  <c r="D454" i="105"/>
  <c r="H535" i="105"/>
  <c r="D548" i="105"/>
  <c r="D544" i="105"/>
  <c r="D540" i="105"/>
  <c r="D536" i="105"/>
  <c r="D552" i="105"/>
  <c r="D547" i="105"/>
  <c r="D543" i="105"/>
  <c r="D539" i="105"/>
  <c r="D535" i="105"/>
  <c r="D551" i="105"/>
  <c r="D546" i="105"/>
  <c r="D542" i="105"/>
  <c r="D538" i="105"/>
  <c r="D549" i="105"/>
  <c r="D545" i="105"/>
  <c r="D541" i="105"/>
  <c r="D537" i="105"/>
  <c r="H623" i="105"/>
  <c r="D636" i="105"/>
  <c r="D632" i="105"/>
  <c r="D628" i="105"/>
  <c r="D624" i="105"/>
  <c r="D640" i="105"/>
  <c r="D635" i="105"/>
  <c r="D631" i="105"/>
  <c r="D627" i="105"/>
  <c r="D623" i="105"/>
  <c r="D639" i="105"/>
  <c r="D634" i="105"/>
  <c r="D630" i="105"/>
  <c r="D626" i="105"/>
  <c r="D633" i="105"/>
  <c r="D629" i="105"/>
  <c r="D625" i="105"/>
  <c r="D637" i="105"/>
  <c r="H711" i="105"/>
  <c r="D724" i="105"/>
  <c r="D720" i="105"/>
  <c r="D716" i="105"/>
  <c r="D712" i="105"/>
  <c r="D728" i="105"/>
  <c r="D723" i="105"/>
  <c r="D719" i="105"/>
  <c r="D715" i="105"/>
  <c r="D711" i="105"/>
  <c r="D727" i="105"/>
  <c r="D722" i="105"/>
  <c r="D718" i="105"/>
  <c r="D714" i="105"/>
  <c r="D717" i="105"/>
  <c r="D713" i="105"/>
  <c r="D725" i="105"/>
  <c r="D721" i="105"/>
  <c r="H755" i="105"/>
  <c r="D771" i="105"/>
  <c r="D766" i="105"/>
  <c r="D762" i="105"/>
  <c r="D758" i="105"/>
  <c r="D769" i="105"/>
  <c r="D765" i="105"/>
  <c r="D761" i="105"/>
  <c r="D757" i="105"/>
  <c r="D768" i="105"/>
  <c r="D764" i="105"/>
  <c r="D760" i="105"/>
  <c r="D756" i="105"/>
  <c r="D759" i="105"/>
  <c r="D772" i="105"/>
  <c r="D755" i="105"/>
  <c r="D767" i="105"/>
  <c r="D763" i="105"/>
  <c r="H843" i="105"/>
  <c r="D859" i="105"/>
  <c r="D854" i="105"/>
  <c r="D850" i="105"/>
  <c r="D846" i="105"/>
  <c r="D857" i="105"/>
  <c r="D853" i="105"/>
  <c r="D849" i="105"/>
  <c r="D845" i="105"/>
  <c r="D856" i="105"/>
  <c r="D852" i="105"/>
  <c r="D848" i="105"/>
  <c r="D844" i="105"/>
  <c r="D860" i="105"/>
  <c r="D843" i="105"/>
  <c r="D855" i="105"/>
  <c r="D851" i="105"/>
  <c r="D847" i="105"/>
  <c r="H931" i="105"/>
  <c r="D947" i="105"/>
  <c r="D942" i="105"/>
  <c r="D938" i="105"/>
  <c r="D934" i="105"/>
  <c r="D945" i="105"/>
  <c r="D941" i="105"/>
  <c r="D937" i="105"/>
  <c r="D933" i="105"/>
  <c r="D944" i="105"/>
  <c r="D940" i="105"/>
  <c r="D936" i="105"/>
  <c r="D932" i="105"/>
  <c r="D943" i="105"/>
  <c r="D939" i="105"/>
  <c r="D935" i="105"/>
  <c r="D948" i="105"/>
  <c r="D931" i="105"/>
  <c r="H1019" i="105"/>
  <c r="D1035" i="105"/>
  <c r="D1030" i="105"/>
  <c r="D1026" i="105"/>
  <c r="D1022" i="105"/>
  <c r="D1033" i="105"/>
  <c r="D1029" i="105"/>
  <c r="D1025" i="105"/>
  <c r="D1021" i="105"/>
  <c r="D1032" i="105"/>
  <c r="D1028" i="105"/>
  <c r="D1024" i="105"/>
  <c r="D1020" i="105"/>
  <c r="D1027" i="105"/>
  <c r="D1023" i="105"/>
  <c r="D1036" i="105"/>
  <c r="D1019" i="105"/>
  <c r="D1031" i="105"/>
  <c r="H51" i="106"/>
  <c r="D67" i="106"/>
  <c r="D62" i="106"/>
  <c r="D58" i="106"/>
  <c r="D54" i="106"/>
  <c r="D65" i="106"/>
  <c r="D61" i="106"/>
  <c r="D57" i="106"/>
  <c r="D53" i="106"/>
  <c r="D64" i="106"/>
  <c r="D60" i="106"/>
  <c r="D56" i="106"/>
  <c r="D52" i="106"/>
  <c r="D63" i="106"/>
  <c r="D59" i="106"/>
  <c r="D55" i="106"/>
  <c r="D68" i="106"/>
  <c r="D51" i="106"/>
  <c r="H139" i="106"/>
  <c r="D155" i="106"/>
  <c r="D150" i="106"/>
  <c r="D146" i="106"/>
  <c r="D142" i="106"/>
  <c r="D153" i="106"/>
  <c r="D149" i="106"/>
  <c r="D145" i="106"/>
  <c r="D141" i="106"/>
  <c r="D152" i="106"/>
  <c r="D148" i="106"/>
  <c r="D144" i="106"/>
  <c r="D140" i="106"/>
  <c r="D147" i="106"/>
  <c r="D143" i="106"/>
  <c r="D156" i="106"/>
  <c r="D139" i="106"/>
  <c r="D151" i="106"/>
  <c r="H183" i="106"/>
  <c r="D196" i="106"/>
  <c r="D192" i="106"/>
  <c r="D188" i="106"/>
  <c r="D184" i="106"/>
  <c r="D200" i="106"/>
  <c r="D195" i="106"/>
  <c r="D191" i="106"/>
  <c r="D187" i="106"/>
  <c r="D183" i="106"/>
  <c r="D199" i="106"/>
  <c r="D194" i="106"/>
  <c r="D190" i="106"/>
  <c r="D186" i="106"/>
  <c r="D189" i="106"/>
  <c r="D185" i="106"/>
  <c r="D197" i="106"/>
  <c r="D193" i="106"/>
  <c r="H271" i="106"/>
  <c r="D284" i="106"/>
  <c r="D280" i="106"/>
  <c r="D276" i="106"/>
  <c r="D272" i="106"/>
  <c r="D288" i="106"/>
  <c r="D283" i="106"/>
  <c r="D279" i="106"/>
  <c r="D275" i="106"/>
  <c r="D271" i="106"/>
  <c r="D287" i="106"/>
  <c r="D282" i="106"/>
  <c r="D278" i="106"/>
  <c r="D274" i="106"/>
  <c r="D273" i="106"/>
  <c r="D285" i="106"/>
  <c r="D281" i="106"/>
  <c r="D277" i="106"/>
  <c r="H359" i="106"/>
  <c r="D372" i="106"/>
  <c r="D368" i="106"/>
  <c r="D364" i="106"/>
  <c r="D360" i="106"/>
  <c r="D376" i="106"/>
  <c r="D371" i="106"/>
  <c r="D367" i="106"/>
  <c r="D363" i="106"/>
  <c r="D359" i="106"/>
  <c r="D375" i="106"/>
  <c r="D370" i="106"/>
  <c r="D366" i="106"/>
  <c r="D362" i="106"/>
  <c r="D373" i="106"/>
  <c r="D369" i="106"/>
  <c r="D365" i="106"/>
  <c r="D361" i="106"/>
  <c r="H29" i="107"/>
  <c r="D42" i="107"/>
  <c r="D38" i="107"/>
  <c r="D34" i="107"/>
  <c r="D30" i="107"/>
  <c r="D46" i="107"/>
  <c r="D41" i="107"/>
  <c r="D37" i="107"/>
  <c r="D33" i="107"/>
  <c r="D29" i="107"/>
  <c r="D45" i="107"/>
  <c r="D40" i="107"/>
  <c r="D36" i="107"/>
  <c r="D32" i="107"/>
  <c r="D43" i="107"/>
  <c r="D39" i="107"/>
  <c r="D35" i="107"/>
  <c r="D31" i="107"/>
  <c r="H117" i="107"/>
  <c r="D130" i="107"/>
  <c r="D126" i="107"/>
  <c r="D122" i="107"/>
  <c r="D118" i="107"/>
  <c r="D134" i="107"/>
  <c r="D129" i="107"/>
  <c r="D125" i="107"/>
  <c r="D121" i="107"/>
  <c r="D117" i="107"/>
  <c r="D133" i="107"/>
  <c r="D128" i="107"/>
  <c r="D124" i="107"/>
  <c r="D120" i="107"/>
  <c r="D127" i="107"/>
  <c r="D123" i="107"/>
  <c r="D119" i="107"/>
  <c r="D131" i="107"/>
  <c r="H205" i="107"/>
  <c r="D218" i="107"/>
  <c r="D214" i="107"/>
  <c r="D210" i="107"/>
  <c r="D206" i="107"/>
  <c r="D222" i="107"/>
  <c r="D217" i="107"/>
  <c r="D213" i="107"/>
  <c r="D209" i="107"/>
  <c r="D205" i="107"/>
  <c r="D221" i="107"/>
  <c r="D216" i="107"/>
  <c r="D212" i="107"/>
  <c r="D208" i="107"/>
  <c r="D211" i="107"/>
  <c r="D207" i="107"/>
  <c r="D219" i="107"/>
  <c r="D215" i="107"/>
  <c r="H337" i="107"/>
  <c r="D353" i="107"/>
  <c r="D348" i="107"/>
  <c r="D344" i="107"/>
  <c r="D340" i="107"/>
  <c r="D351" i="107"/>
  <c r="D347" i="107"/>
  <c r="D343" i="107"/>
  <c r="D339" i="107"/>
  <c r="D350" i="107"/>
  <c r="D346" i="107"/>
  <c r="D342" i="107"/>
  <c r="D338" i="107"/>
  <c r="D354" i="107"/>
  <c r="D337" i="107"/>
  <c r="D349" i="107"/>
  <c r="D345" i="107"/>
  <c r="D341" i="107"/>
  <c r="H51" i="108"/>
  <c r="D65" i="108"/>
  <c r="D61" i="108"/>
  <c r="D57" i="108"/>
  <c r="D53" i="108"/>
  <c r="D64" i="108"/>
  <c r="D60" i="108"/>
  <c r="D56" i="108"/>
  <c r="D52" i="108"/>
  <c r="D67" i="108"/>
  <c r="D58" i="108"/>
  <c r="D63" i="108"/>
  <c r="D55" i="108"/>
  <c r="D62" i="108"/>
  <c r="D54" i="108"/>
  <c r="D68" i="108"/>
  <c r="D59" i="108"/>
  <c r="D51" i="108"/>
  <c r="H95" i="108"/>
  <c r="D112" i="108"/>
  <c r="D107" i="108"/>
  <c r="D103" i="108"/>
  <c r="D99" i="108"/>
  <c r="D95" i="108"/>
  <c r="D111" i="108"/>
  <c r="D106" i="108"/>
  <c r="D102" i="108"/>
  <c r="D98" i="108"/>
  <c r="D108" i="108"/>
  <c r="D100" i="108"/>
  <c r="D105" i="108"/>
  <c r="D97" i="108"/>
  <c r="D104" i="108"/>
  <c r="D96" i="108"/>
  <c r="D109" i="108"/>
  <c r="D101" i="108"/>
  <c r="H183" i="108"/>
  <c r="D200" i="108"/>
  <c r="D195" i="108"/>
  <c r="D191" i="108"/>
  <c r="D187" i="108"/>
  <c r="D183" i="108"/>
  <c r="D199" i="108"/>
  <c r="D194" i="108"/>
  <c r="D190" i="108"/>
  <c r="D186" i="108"/>
  <c r="D192" i="108"/>
  <c r="D184" i="108"/>
  <c r="D197" i="108"/>
  <c r="D189" i="108"/>
  <c r="D196" i="108"/>
  <c r="D188" i="108"/>
  <c r="D193" i="108"/>
  <c r="D185" i="108"/>
  <c r="H271" i="108"/>
  <c r="D288" i="108"/>
  <c r="D283" i="108"/>
  <c r="D279" i="108"/>
  <c r="D275" i="108"/>
  <c r="D271" i="108"/>
  <c r="D287" i="108"/>
  <c r="D282" i="108"/>
  <c r="D278" i="108"/>
  <c r="D274" i="108"/>
  <c r="D284" i="108"/>
  <c r="D276" i="108"/>
  <c r="D281" i="108"/>
  <c r="D273" i="108"/>
  <c r="D280" i="108"/>
  <c r="D272" i="108"/>
  <c r="D285" i="108"/>
  <c r="D277" i="108"/>
  <c r="H359" i="108"/>
  <c r="D376" i="108"/>
  <c r="D371" i="108"/>
  <c r="D367" i="108"/>
  <c r="D363" i="108"/>
  <c r="D359" i="108"/>
  <c r="D375" i="108"/>
  <c r="D370" i="108"/>
  <c r="D366" i="108"/>
  <c r="D362" i="108"/>
  <c r="D368" i="108"/>
  <c r="D360" i="108"/>
  <c r="D373" i="108"/>
  <c r="D365" i="108"/>
  <c r="D372" i="108"/>
  <c r="D364" i="108"/>
  <c r="D369" i="108"/>
  <c r="D361" i="108"/>
  <c r="H447" i="108"/>
  <c r="D464" i="108"/>
  <c r="D459" i="108"/>
  <c r="D455" i="108"/>
  <c r="D451" i="108"/>
  <c r="D447" i="108"/>
  <c r="D463" i="108"/>
  <c r="D458" i="108"/>
  <c r="D454" i="108"/>
  <c r="D450" i="108"/>
  <c r="D461" i="108"/>
  <c r="D457" i="108"/>
  <c r="D453" i="108"/>
  <c r="D452" i="108"/>
  <c r="D449" i="108"/>
  <c r="D460" i="108"/>
  <c r="D448" i="108"/>
  <c r="D456" i="108"/>
  <c r="H535" i="108"/>
  <c r="D552" i="108"/>
  <c r="D547" i="108"/>
  <c r="D543" i="108"/>
  <c r="D539" i="108"/>
  <c r="D535" i="108"/>
  <c r="D551" i="108"/>
  <c r="D546" i="108"/>
  <c r="D542" i="108"/>
  <c r="D538" i="108"/>
  <c r="D549" i="108"/>
  <c r="D545" i="108"/>
  <c r="D541" i="108"/>
  <c r="D537" i="108"/>
  <c r="D536" i="108"/>
  <c r="D548" i="108"/>
  <c r="D544" i="108"/>
  <c r="D540" i="108"/>
  <c r="H51" i="109"/>
  <c r="D65" i="109"/>
  <c r="D61" i="109"/>
  <c r="D57" i="109"/>
  <c r="D53" i="109"/>
  <c r="D64" i="109"/>
  <c r="D60" i="109"/>
  <c r="D56" i="109"/>
  <c r="D52" i="109"/>
  <c r="D68" i="109"/>
  <c r="D63" i="109"/>
  <c r="D59" i="109"/>
  <c r="D55" i="109"/>
  <c r="D51" i="109"/>
  <c r="D54" i="109"/>
  <c r="D67" i="109"/>
  <c r="D62" i="109"/>
  <c r="D58" i="109"/>
  <c r="H139" i="109"/>
  <c r="D153" i="109"/>
  <c r="D149" i="109"/>
  <c r="D145" i="109"/>
  <c r="D141" i="109"/>
  <c r="D152" i="109"/>
  <c r="D148" i="109"/>
  <c r="D144" i="109"/>
  <c r="D140" i="109"/>
  <c r="D156" i="109"/>
  <c r="D151" i="109"/>
  <c r="D147" i="109"/>
  <c r="D143" i="109"/>
  <c r="D139" i="109"/>
  <c r="D155" i="109"/>
  <c r="D150" i="109"/>
  <c r="D146" i="109"/>
  <c r="D142" i="109"/>
  <c r="H227" i="109"/>
  <c r="D241" i="109"/>
  <c r="D237" i="109"/>
  <c r="D233" i="109"/>
  <c r="D229" i="109"/>
  <c r="D240" i="109"/>
  <c r="D236" i="109"/>
  <c r="D232" i="109"/>
  <c r="D228" i="109"/>
  <c r="D244" i="109"/>
  <c r="D239" i="109"/>
  <c r="D235" i="109"/>
  <c r="D231" i="109"/>
  <c r="D227" i="109"/>
  <c r="D238" i="109"/>
  <c r="D234" i="109"/>
  <c r="D230" i="109"/>
  <c r="D243" i="109"/>
  <c r="H315" i="109"/>
  <c r="D331" i="109"/>
  <c r="D326" i="109"/>
  <c r="D322" i="109"/>
  <c r="D318" i="109"/>
  <c r="D329" i="109"/>
  <c r="D325" i="109"/>
  <c r="D321" i="109"/>
  <c r="D317" i="109"/>
  <c r="D332" i="109"/>
  <c r="D323" i="109"/>
  <c r="D315" i="109"/>
  <c r="D328" i="109"/>
  <c r="D320" i="109"/>
  <c r="D327" i="109"/>
  <c r="D319" i="109"/>
  <c r="D324" i="109"/>
  <c r="D316" i="109"/>
  <c r="H205" i="110"/>
  <c r="D222" i="110"/>
  <c r="D217" i="110"/>
  <c r="D213" i="110"/>
  <c r="D209" i="110"/>
  <c r="D205" i="110"/>
  <c r="D221" i="110"/>
  <c r="D216" i="110"/>
  <c r="D212" i="110"/>
  <c r="D208" i="110"/>
  <c r="D219" i="110"/>
  <c r="D215" i="110"/>
  <c r="D211" i="110"/>
  <c r="D207" i="110"/>
  <c r="D218" i="110"/>
  <c r="D214" i="110"/>
  <c r="D210" i="110"/>
  <c r="D206" i="110"/>
  <c r="H51" i="52"/>
  <c r="D65" i="52"/>
  <c r="D61" i="52"/>
  <c r="D57" i="52"/>
  <c r="D53" i="52"/>
  <c r="D64" i="52"/>
  <c r="D60" i="52"/>
  <c r="D56" i="52"/>
  <c r="D52" i="52"/>
  <c r="D68" i="52"/>
  <c r="D63" i="52"/>
  <c r="D59" i="52"/>
  <c r="D55" i="52"/>
  <c r="D51" i="52"/>
  <c r="D67" i="52"/>
  <c r="D62" i="52"/>
  <c r="D58" i="52"/>
  <c r="D54" i="52"/>
  <c r="H95" i="52"/>
  <c r="D112" i="52"/>
  <c r="D107" i="52"/>
  <c r="D103" i="52"/>
  <c r="D99" i="52"/>
  <c r="D95" i="52"/>
  <c r="D111" i="52"/>
  <c r="D106" i="52"/>
  <c r="D102" i="52"/>
  <c r="D98" i="52"/>
  <c r="D109" i="52"/>
  <c r="D105" i="52"/>
  <c r="D101" i="52"/>
  <c r="D97" i="52"/>
  <c r="D108" i="52"/>
  <c r="D104" i="52"/>
  <c r="D100" i="52"/>
  <c r="D96" i="52"/>
  <c r="H139" i="52"/>
  <c r="D153" i="52"/>
  <c r="D149" i="52"/>
  <c r="D145" i="52"/>
  <c r="D141" i="52"/>
  <c r="D152" i="52"/>
  <c r="D148" i="52"/>
  <c r="D144" i="52"/>
  <c r="D140" i="52"/>
  <c r="D156" i="52"/>
  <c r="D151" i="52"/>
  <c r="D147" i="52"/>
  <c r="D143" i="52"/>
  <c r="D139" i="52"/>
  <c r="D155" i="52"/>
  <c r="D150" i="52"/>
  <c r="D146" i="52"/>
  <c r="D142" i="52"/>
  <c r="H227" i="52"/>
  <c r="D241" i="52"/>
  <c r="D237" i="52"/>
  <c r="D233" i="52"/>
  <c r="D229" i="52"/>
  <c r="D240" i="52"/>
  <c r="D236" i="52"/>
  <c r="D232" i="52"/>
  <c r="D228" i="52"/>
  <c r="D244" i="52"/>
  <c r="D239" i="52"/>
  <c r="D235" i="52"/>
  <c r="D231" i="52"/>
  <c r="D227" i="52"/>
  <c r="D243" i="52"/>
  <c r="D238" i="52"/>
  <c r="D234" i="52"/>
  <c r="D230" i="52"/>
  <c r="H315" i="52"/>
  <c r="D329" i="52"/>
  <c r="D325" i="52"/>
  <c r="D321" i="52"/>
  <c r="D317" i="52"/>
  <c r="D328" i="52"/>
  <c r="D324" i="52"/>
  <c r="D320" i="52"/>
  <c r="D316" i="52"/>
  <c r="D332" i="52"/>
  <c r="D327" i="52"/>
  <c r="D323" i="52"/>
  <c r="D319" i="52"/>
  <c r="D315" i="52"/>
  <c r="D331" i="52"/>
  <c r="D326" i="52"/>
  <c r="D322" i="52"/>
  <c r="D318" i="52"/>
  <c r="H403" i="52"/>
  <c r="D417" i="52"/>
  <c r="D413" i="52"/>
  <c r="D409" i="52"/>
  <c r="D405" i="52"/>
  <c r="D416" i="52"/>
  <c r="D412" i="52"/>
  <c r="D408" i="52"/>
  <c r="D404" i="52"/>
  <c r="D420" i="52"/>
  <c r="D415" i="52"/>
  <c r="D411" i="52"/>
  <c r="D407" i="52"/>
  <c r="D403" i="52"/>
  <c r="D419" i="52"/>
  <c r="D414" i="52"/>
  <c r="D410" i="52"/>
  <c r="D406" i="52"/>
  <c r="H491" i="52"/>
  <c r="D505" i="52"/>
  <c r="D501" i="52"/>
  <c r="D497" i="52"/>
  <c r="D493" i="52"/>
  <c r="D504" i="52"/>
  <c r="D500" i="52"/>
  <c r="D496" i="52"/>
  <c r="D492" i="52"/>
  <c r="D508" i="52"/>
  <c r="D503" i="52"/>
  <c r="D499" i="52"/>
  <c r="D495" i="52"/>
  <c r="D491" i="52"/>
  <c r="D507" i="52"/>
  <c r="D502" i="52"/>
  <c r="D498" i="52"/>
  <c r="D494" i="52"/>
  <c r="H579" i="52"/>
  <c r="D593" i="52"/>
  <c r="D589" i="52"/>
  <c r="D585" i="52"/>
  <c r="D581" i="52"/>
  <c r="D592" i="52"/>
  <c r="D588" i="52"/>
  <c r="D584" i="52"/>
  <c r="D580" i="52"/>
  <c r="D596" i="52"/>
  <c r="D591" i="52"/>
  <c r="D587" i="52"/>
  <c r="D583" i="52"/>
  <c r="D579" i="52"/>
  <c r="D595" i="52"/>
  <c r="D590" i="52"/>
  <c r="D586" i="52"/>
  <c r="D582" i="52"/>
  <c r="H667" i="52"/>
  <c r="D681" i="52"/>
  <c r="D677" i="52"/>
  <c r="D673" i="52"/>
  <c r="D669" i="52"/>
  <c r="D680" i="52"/>
  <c r="D676" i="52"/>
  <c r="D672" i="52"/>
  <c r="D668" i="52"/>
  <c r="D684" i="52"/>
  <c r="D679" i="52"/>
  <c r="D675" i="52"/>
  <c r="D671" i="52"/>
  <c r="D667" i="52"/>
  <c r="D683" i="52"/>
  <c r="D678" i="52"/>
  <c r="D674" i="52"/>
  <c r="D670" i="52"/>
  <c r="H755" i="52"/>
  <c r="D769" i="52"/>
  <c r="D765" i="52"/>
  <c r="D761" i="52"/>
  <c r="D757" i="52"/>
  <c r="D768" i="52"/>
  <c r="D764" i="52"/>
  <c r="D760" i="52"/>
  <c r="D756" i="52"/>
  <c r="D772" i="52"/>
  <c r="D767" i="52"/>
  <c r="D763" i="52"/>
  <c r="D759" i="52"/>
  <c r="D755" i="52"/>
  <c r="D771" i="52"/>
  <c r="D766" i="52"/>
  <c r="D762" i="52"/>
  <c r="D758" i="52"/>
  <c r="H843" i="52"/>
  <c r="D857" i="52"/>
  <c r="D853" i="52"/>
  <c r="D849" i="52"/>
  <c r="D845" i="52"/>
  <c r="D856" i="52"/>
  <c r="D852" i="52"/>
  <c r="D848" i="52"/>
  <c r="D844" i="52"/>
  <c r="D860" i="52"/>
  <c r="D855" i="52"/>
  <c r="D851" i="52"/>
  <c r="D847" i="52"/>
  <c r="D843" i="52"/>
  <c r="D859" i="52"/>
  <c r="D854" i="52"/>
  <c r="D850" i="52"/>
  <c r="D846" i="52"/>
  <c r="H931" i="52"/>
  <c r="D947" i="52"/>
  <c r="D942" i="52"/>
  <c r="D938" i="52"/>
  <c r="D934" i="52"/>
  <c r="D945" i="52"/>
  <c r="D941" i="52"/>
  <c r="D937" i="52"/>
  <c r="D933" i="52"/>
  <c r="D944" i="52"/>
  <c r="D940" i="52"/>
  <c r="D936" i="52"/>
  <c r="D932" i="52"/>
  <c r="D948" i="52"/>
  <c r="D943" i="52"/>
  <c r="D939" i="52"/>
  <c r="D935" i="52"/>
  <c r="D931" i="52"/>
  <c r="H1019" i="52"/>
  <c r="D1035" i="52"/>
  <c r="D1030" i="52"/>
  <c r="D1026" i="52"/>
  <c r="D1022" i="52"/>
  <c r="D1033" i="52"/>
  <c r="D1029" i="52"/>
  <c r="D1025" i="52"/>
  <c r="D1021" i="52"/>
  <c r="D1032" i="52"/>
  <c r="D1028" i="52"/>
  <c r="D1024" i="52"/>
  <c r="D1020" i="52"/>
  <c r="D1036" i="52"/>
  <c r="D1031" i="52"/>
  <c r="D1027" i="52"/>
  <c r="D1023" i="52"/>
  <c r="D1019" i="52"/>
  <c r="H1107" i="52"/>
  <c r="D1123" i="52"/>
  <c r="D1118" i="52"/>
  <c r="D1114" i="52"/>
  <c r="D1110" i="52"/>
  <c r="D1121" i="52"/>
  <c r="D1117" i="52"/>
  <c r="D1113" i="52"/>
  <c r="D1109" i="52"/>
  <c r="D1120" i="52"/>
  <c r="D1116" i="52"/>
  <c r="D1112" i="52"/>
  <c r="D1108" i="52"/>
  <c r="D1124" i="52"/>
  <c r="D1119" i="52"/>
  <c r="D1115" i="52"/>
  <c r="D1111" i="52"/>
  <c r="D1107" i="52"/>
  <c r="H1195" i="52"/>
  <c r="D1211" i="52"/>
  <c r="D1206" i="52"/>
  <c r="D1202" i="52"/>
  <c r="D1198" i="52"/>
  <c r="D1209" i="52"/>
  <c r="D1205" i="52"/>
  <c r="D1201" i="52"/>
  <c r="D1197" i="52"/>
  <c r="D1208" i="52"/>
  <c r="D1204" i="52"/>
  <c r="D1200" i="52"/>
  <c r="D1196" i="52"/>
  <c r="D1212" i="52"/>
  <c r="D1207" i="52"/>
  <c r="D1203" i="52"/>
  <c r="D1199" i="52"/>
  <c r="D1195" i="52"/>
  <c r="H1283" i="52"/>
  <c r="D1299" i="52"/>
  <c r="D1294" i="52"/>
  <c r="D1290" i="52"/>
  <c r="D1286" i="52"/>
  <c r="D1297" i="52"/>
  <c r="D1293" i="52"/>
  <c r="D1289" i="52"/>
  <c r="D1285" i="52"/>
  <c r="D1296" i="52"/>
  <c r="D1292" i="52"/>
  <c r="D1288" i="52"/>
  <c r="D1284" i="52"/>
  <c r="D1300" i="52"/>
  <c r="D1295" i="52"/>
  <c r="D1291" i="52"/>
  <c r="D1287" i="52"/>
  <c r="D1283" i="52"/>
  <c r="H1371" i="52"/>
  <c r="D1387" i="52"/>
  <c r="D1382" i="52"/>
  <c r="D1378" i="52"/>
  <c r="D1374" i="52"/>
  <c r="D1385" i="52"/>
  <c r="D1381" i="52"/>
  <c r="D1377" i="52"/>
  <c r="D1373" i="52"/>
  <c r="D1384" i="52"/>
  <c r="D1380" i="52"/>
  <c r="D1376" i="52"/>
  <c r="D1372" i="52"/>
  <c r="D1388" i="52"/>
  <c r="D1383" i="52"/>
  <c r="D1379" i="52"/>
  <c r="D1375" i="52"/>
  <c r="D1371" i="52"/>
  <c r="H1459" i="52"/>
  <c r="D1475" i="52"/>
  <c r="D1470" i="52"/>
  <c r="D1466" i="52"/>
  <c r="D1462" i="52"/>
  <c r="D1473" i="52"/>
  <c r="D1469" i="52"/>
  <c r="D1465" i="52"/>
  <c r="D1461" i="52"/>
  <c r="D1472" i="52"/>
  <c r="D1468" i="52"/>
  <c r="D1464" i="52"/>
  <c r="D1460" i="52"/>
  <c r="D1476" i="52"/>
  <c r="D1471" i="52"/>
  <c r="D1467" i="52"/>
  <c r="D1463" i="52"/>
  <c r="D1459" i="52"/>
  <c r="H1547" i="52"/>
  <c r="D1563" i="52"/>
  <c r="D1558" i="52"/>
  <c r="D1554" i="52"/>
  <c r="D1550" i="52"/>
  <c r="D1561" i="52"/>
  <c r="D1557" i="52"/>
  <c r="D1553" i="52"/>
  <c r="D1549" i="52"/>
  <c r="D1560" i="52"/>
  <c r="D1556" i="52"/>
  <c r="D1552" i="52"/>
  <c r="D1548" i="52"/>
  <c r="D1564" i="52"/>
  <c r="D1559" i="52"/>
  <c r="D1555" i="52"/>
  <c r="D1551" i="52"/>
  <c r="D1547" i="52"/>
  <c r="H1635" i="52"/>
  <c r="D1651" i="52"/>
  <c r="D1646" i="52"/>
  <c r="D1642" i="52"/>
  <c r="D1638" i="52"/>
  <c r="D1649" i="52"/>
  <c r="D1645" i="52"/>
  <c r="D1641" i="52"/>
  <c r="D1637" i="52"/>
  <c r="D1648" i="52"/>
  <c r="D1644" i="52"/>
  <c r="D1640" i="52"/>
  <c r="D1636" i="52"/>
  <c r="D1652" i="52"/>
  <c r="D1647" i="52"/>
  <c r="D1643" i="52"/>
  <c r="D1639" i="52"/>
  <c r="D1635" i="52"/>
  <c r="H1723" i="52"/>
  <c r="D1739" i="52"/>
  <c r="D1734" i="52"/>
  <c r="D1730" i="52"/>
  <c r="D1726" i="52"/>
  <c r="D1737" i="52"/>
  <c r="D1733" i="52"/>
  <c r="D1729" i="52"/>
  <c r="D1725" i="52"/>
  <c r="D1736" i="52"/>
  <c r="D1732" i="52"/>
  <c r="D1728" i="52"/>
  <c r="D1724" i="52"/>
  <c r="D1740" i="52"/>
  <c r="D1735" i="52"/>
  <c r="D1731" i="52"/>
  <c r="D1727" i="52"/>
  <c r="D1723" i="52"/>
  <c r="H117" i="52"/>
  <c r="D133" i="52"/>
  <c r="D128" i="52"/>
  <c r="D124" i="52"/>
  <c r="D120" i="52"/>
  <c r="D131" i="52"/>
  <c r="D127" i="52"/>
  <c r="D123" i="52"/>
  <c r="D119" i="52"/>
  <c r="D130" i="52"/>
  <c r="D126" i="52"/>
  <c r="D122" i="52"/>
  <c r="D118" i="52"/>
  <c r="D134" i="52"/>
  <c r="D129" i="52"/>
  <c r="D125" i="52"/>
  <c r="D121" i="52"/>
  <c r="D117" i="52"/>
  <c r="H447" i="52"/>
  <c r="D464" i="52"/>
  <c r="D459" i="52"/>
  <c r="D455" i="52"/>
  <c r="D451" i="52"/>
  <c r="D447" i="52"/>
  <c r="D463" i="52"/>
  <c r="D458" i="52"/>
  <c r="D454" i="52"/>
  <c r="D450" i="52"/>
  <c r="D461" i="52"/>
  <c r="D457" i="52"/>
  <c r="D453" i="52"/>
  <c r="D449" i="52"/>
  <c r="D460" i="52"/>
  <c r="D456" i="52"/>
  <c r="D452" i="52"/>
  <c r="D448" i="52"/>
  <c r="H711" i="52"/>
  <c r="D728" i="52"/>
  <c r="D723" i="52"/>
  <c r="D719" i="52"/>
  <c r="D715" i="52"/>
  <c r="D711" i="52"/>
  <c r="D727" i="52"/>
  <c r="D722" i="52"/>
  <c r="D718" i="52"/>
  <c r="D714" i="52"/>
  <c r="D725" i="52"/>
  <c r="D721" i="52"/>
  <c r="D717" i="52"/>
  <c r="D713" i="52"/>
  <c r="D724" i="52"/>
  <c r="D720" i="52"/>
  <c r="D716" i="52"/>
  <c r="D712" i="52"/>
  <c r="H1063" i="52"/>
  <c r="D1076" i="52"/>
  <c r="D1072" i="52"/>
  <c r="D1068" i="52"/>
  <c r="D1064" i="52"/>
  <c r="D1080" i="52"/>
  <c r="D1075" i="52"/>
  <c r="D1071" i="52"/>
  <c r="D1067" i="52"/>
  <c r="D1063" i="52"/>
  <c r="D1079" i="52"/>
  <c r="D1074" i="52"/>
  <c r="D1070" i="52"/>
  <c r="D1066" i="52"/>
  <c r="D1077" i="52"/>
  <c r="D1073" i="52"/>
  <c r="D1069" i="52"/>
  <c r="D1065" i="52"/>
  <c r="H1415" i="52"/>
  <c r="D1428" i="52"/>
  <c r="D1424" i="52"/>
  <c r="D1420" i="52"/>
  <c r="D1416" i="52"/>
  <c r="D1432" i="52"/>
  <c r="D1427" i="52"/>
  <c r="D1423" i="52"/>
  <c r="D1419" i="52"/>
  <c r="D1415" i="52"/>
  <c r="D1431" i="52"/>
  <c r="D1426" i="52"/>
  <c r="D1422" i="52"/>
  <c r="D1418" i="52"/>
  <c r="D1429" i="52"/>
  <c r="D1425" i="52"/>
  <c r="D1421" i="52"/>
  <c r="D1417" i="52"/>
  <c r="H161" i="52"/>
  <c r="D174" i="52"/>
  <c r="D170" i="52"/>
  <c r="D166" i="52"/>
  <c r="D162" i="52"/>
  <c r="D178" i="52"/>
  <c r="D173" i="52"/>
  <c r="D169" i="52"/>
  <c r="D165" i="52"/>
  <c r="D161" i="52"/>
  <c r="D177" i="52"/>
  <c r="D172" i="52"/>
  <c r="D168" i="52"/>
  <c r="D164" i="52"/>
  <c r="D175" i="52"/>
  <c r="D171" i="52"/>
  <c r="D167" i="52"/>
  <c r="D163" i="52"/>
  <c r="H249" i="52"/>
  <c r="D262" i="52"/>
  <c r="D258" i="52"/>
  <c r="D254" i="52"/>
  <c r="D250" i="52"/>
  <c r="D266" i="52"/>
  <c r="G266" i="52" s="1"/>
  <c r="D261" i="52"/>
  <c r="D257" i="52"/>
  <c r="D253" i="52"/>
  <c r="D249" i="52"/>
  <c r="D265" i="52"/>
  <c r="D260" i="52"/>
  <c r="D256" i="52"/>
  <c r="D252" i="52"/>
  <c r="D263" i="52"/>
  <c r="D259" i="52"/>
  <c r="D255" i="52"/>
  <c r="D251" i="52"/>
  <c r="H337" i="52"/>
  <c r="D350" i="52"/>
  <c r="D346" i="52"/>
  <c r="D342" i="52"/>
  <c r="D338" i="52"/>
  <c r="D354" i="52"/>
  <c r="D349" i="52"/>
  <c r="D345" i="52"/>
  <c r="D341" i="52"/>
  <c r="D337" i="52"/>
  <c r="D353" i="52"/>
  <c r="D348" i="52"/>
  <c r="D344" i="52"/>
  <c r="D340" i="52"/>
  <c r="D351" i="52"/>
  <c r="D347" i="52"/>
  <c r="D343" i="52"/>
  <c r="D339" i="52"/>
  <c r="H425" i="52"/>
  <c r="D438" i="52"/>
  <c r="D434" i="52"/>
  <c r="D430" i="52"/>
  <c r="D426" i="52"/>
  <c r="D442" i="52"/>
  <c r="G442" i="52" s="1"/>
  <c r="D437" i="52"/>
  <c r="D433" i="52"/>
  <c r="D429" i="52"/>
  <c r="D425" i="52"/>
  <c r="D441" i="52"/>
  <c r="D436" i="52"/>
  <c r="D432" i="52"/>
  <c r="D428" i="52"/>
  <c r="D439" i="52"/>
  <c r="D435" i="52"/>
  <c r="D431" i="52"/>
  <c r="D427" i="52"/>
  <c r="H513" i="52"/>
  <c r="D526" i="52"/>
  <c r="D522" i="52"/>
  <c r="D518" i="52"/>
  <c r="D514" i="52"/>
  <c r="D530" i="52"/>
  <c r="D525" i="52"/>
  <c r="D521" i="52"/>
  <c r="D517" i="52"/>
  <c r="D513" i="52"/>
  <c r="D529" i="52"/>
  <c r="D524" i="52"/>
  <c r="D520" i="52"/>
  <c r="D516" i="52"/>
  <c r="D527" i="52"/>
  <c r="D523" i="52"/>
  <c r="D519" i="52"/>
  <c r="D515" i="52"/>
  <c r="H601" i="52"/>
  <c r="D614" i="52"/>
  <c r="D610" i="52"/>
  <c r="D606" i="52"/>
  <c r="D602" i="52"/>
  <c r="D618" i="52"/>
  <c r="D613" i="52"/>
  <c r="D609" i="52"/>
  <c r="D605" i="52"/>
  <c r="D601" i="52"/>
  <c r="D617" i="52"/>
  <c r="D612" i="52"/>
  <c r="D608" i="52"/>
  <c r="D604" i="52"/>
  <c r="D615" i="52"/>
  <c r="D611" i="52"/>
  <c r="D607" i="52"/>
  <c r="D603" i="52"/>
  <c r="H689" i="52"/>
  <c r="D702" i="52"/>
  <c r="D698" i="52"/>
  <c r="D694" i="52"/>
  <c r="D690" i="52"/>
  <c r="D706" i="52"/>
  <c r="D701" i="52"/>
  <c r="D697" i="52"/>
  <c r="D693" i="52"/>
  <c r="D689" i="52"/>
  <c r="D705" i="52"/>
  <c r="D700" i="52"/>
  <c r="D696" i="52"/>
  <c r="D692" i="52"/>
  <c r="D703" i="52"/>
  <c r="D699" i="52"/>
  <c r="D695" i="52"/>
  <c r="D691" i="52"/>
  <c r="H777" i="52"/>
  <c r="D790" i="52"/>
  <c r="D786" i="52"/>
  <c r="D782" i="52"/>
  <c r="D778" i="52"/>
  <c r="D794" i="52"/>
  <c r="G794" i="52" s="1"/>
  <c r="D789" i="52"/>
  <c r="D785" i="52"/>
  <c r="D781" i="52"/>
  <c r="D777" i="52"/>
  <c r="D793" i="52"/>
  <c r="D788" i="52"/>
  <c r="D784" i="52"/>
  <c r="D780" i="52"/>
  <c r="D791" i="52"/>
  <c r="D787" i="52"/>
  <c r="D783" i="52"/>
  <c r="D779" i="52"/>
  <c r="H865" i="52"/>
  <c r="D879" i="52"/>
  <c r="D875" i="52"/>
  <c r="D871" i="52"/>
  <c r="D878" i="52"/>
  <c r="D874" i="52"/>
  <c r="D882" i="52"/>
  <c r="D877" i="52"/>
  <c r="D873" i="52"/>
  <c r="D881" i="52"/>
  <c r="D876" i="52"/>
  <c r="D872" i="52"/>
  <c r="D870" i="52"/>
  <c r="D866" i="52"/>
  <c r="D869" i="52"/>
  <c r="D865" i="52"/>
  <c r="D868" i="52"/>
  <c r="D867" i="52"/>
  <c r="H953" i="52"/>
  <c r="D967" i="52"/>
  <c r="D963" i="52"/>
  <c r="D959" i="52"/>
  <c r="D955" i="52"/>
  <c r="D966" i="52"/>
  <c r="D962" i="52"/>
  <c r="D958" i="52"/>
  <c r="D954" i="52"/>
  <c r="D970" i="52"/>
  <c r="G970" i="52" s="1"/>
  <c r="D965" i="52"/>
  <c r="D961" i="52"/>
  <c r="D957" i="52"/>
  <c r="D953" i="52"/>
  <c r="D969" i="52"/>
  <c r="D964" i="52"/>
  <c r="D960" i="52"/>
  <c r="D956" i="52"/>
  <c r="H1041" i="52"/>
  <c r="D1055" i="52"/>
  <c r="D1051" i="52"/>
  <c r="D1047" i="52"/>
  <c r="D1043" i="52"/>
  <c r="D1054" i="52"/>
  <c r="D1050" i="52"/>
  <c r="D1046" i="52"/>
  <c r="D1042" i="52"/>
  <c r="D1058" i="52"/>
  <c r="D1053" i="52"/>
  <c r="D1049" i="52"/>
  <c r="D1045" i="52"/>
  <c r="D1041" i="52"/>
  <c r="D1057" i="52"/>
  <c r="D1052" i="52"/>
  <c r="D1048" i="52"/>
  <c r="D1044" i="52"/>
  <c r="H1129" i="52"/>
  <c r="D1143" i="52"/>
  <c r="D1139" i="52"/>
  <c r="D1135" i="52"/>
  <c r="D1131" i="52"/>
  <c r="D1142" i="52"/>
  <c r="D1138" i="52"/>
  <c r="D1134" i="52"/>
  <c r="D1130" i="52"/>
  <c r="D1146" i="52"/>
  <c r="G1146" i="52" s="1"/>
  <c r="D1141" i="52"/>
  <c r="D1137" i="52"/>
  <c r="D1133" i="52"/>
  <c r="D1129" i="52"/>
  <c r="D1145" i="52"/>
  <c r="D1140" i="52"/>
  <c r="D1136" i="52"/>
  <c r="D1132" i="52"/>
  <c r="H1217" i="52"/>
  <c r="D1231" i="52"/>
  <c r="D1227" i="52"/>
  <c r="D1223" i="52"/>
  <c r="D1219" i="52"/>
  <c r="D1230" i="52"/>
  <c r="D1226" i="52"/>
  <c r="D1222" i="52"/>
  <c r="D1218" i="52"/>
  <c r="D1234" i="52"/>
  <c r="D1229" i="52"/>
  <c r="D1225" i="52"/>
  <c r="D1221" i="52"/>
  <c r="D1217" i="52"/>
  <c r="D1233" i="52"/>
  <c r="D1228" i="52"/>
  <c r="D1224" i="52"/>
  <c r="D1220" i="52"/>
  <c r="H1305" i="52"/>
  <c r="D1319" i="52"/>
  <c r="D1315" i="52"/>
  <c r="D1311" i="52"/>
  <c r="D1307" i="52"/>
  <c r="D1318" i="52"/>
  <c r="D1314" i="52"/>
  <c r="D1310" i="52"/>
  <c r="D1306" i="52"/>
  <c r="D1322" i="52"/>
  <c r="G1322" i="52" s="1"/>
  <c r="D1317" i="52"/>
  <c r="D1313" i="52"/>
  <c r="D1309" i="52"/>
  <c r="D1305" i="52"/>
  <c r="D1321" i="52"/>
  <c r="D1316" i="52"/>
  <c r="D1312" i="52"/>
  <c r="D1308" i="52"/>
  <c r="H1393" i="52"/>
  <c r="D1407" i="52"/>
  <c r="D1403" i="52"/>
  <c r="D1399" i="52"/>
  <c r="D1395" i="52"/>
  <c r="D1406" i="52"/>
  <c r="D1402" i="52"/>
  <c r="D1398" i="52"/>
  <c r="D1394" i="52"/>
  <c r="D1410" i="52"/>
  <c r="D1405" i="52"/>
  <c r="D1401" i="52"/>
  <c r="D1397" i="52"/>
  <c r="D1393" i="52"/>
  <c r="D1409" i="52"/>
  <c r="D1404" i="52"/>
  <c r="D1400" i="52"/>
  <c r="D1396" i="52"/>
  <c r="H1481" i="52"/>
  <c r="D1495" i="52"/>
  <c r="D1491" i="52"/>
  <c r="D1487" i="52"/>
  <c r="D1483" i="52"/>
  <c r="D1494" i="52"/>
  <c r="D1490" i="52"/>
  <c r="D1486" i="52"/>
  <c r="D1482" i="52"/>
  <c r="D1498" i="52"/>
  <c r="D1493" i="52"/>
  <c r="D1489" i="52"/>
  <c r="D1485" i="52"/>
  <c r="D1481" i="52"/>
  <c r="D1497" i="52"/>
  <c r="D1492" i="52"/>
  <c r="D1488" i="52"/>
  <c r="D1484" i="52"/>
  <c r="H1569" i="52"/>
  <c r="D1583" i="52"/>
  <c r="D1579" i="52"/>
  <c r="D1575" i="52"/>
  <c r="D1571" i="52"/>
  <c r="D1582" i="52"/>
  <c r="D1578" i="52"/>
  <c r="D1574" i="52"/>
  <c r="D1570" i="52"/>
  <c r="D1586" i="52"/>
  <c r="D1581" i="52"/>
  <c r="D1577" i="52"/>
  <c r="D1573" i="52"/>
  <c r="D1569" i="52"/>
  <c r="D1585" i="52"/>
  <c r="D1580" i="52"/>
  <c r="D1576" i="52"/>
  <c r="D1572" i="52"/>
  <c r="H1657" i="52"/>
  <c r="D1671" i="52"/>
  <c r="D1667" i="52"/>
  <c r="D1663" i="52"/>
  <c r="D1659" i="52"/>
  <c r="D1670" i="52"/>
  <c r="D1666" i="52"/>
  <c r="D1662" i="52"/>
  <c r="D1658" i="52"/>
  <c r="D1674" i="52"/>
  <c r="G1674" i="52" s="1"/>
  <c r="D1669" i="52"/>
  <c r="D1665" i="52"/>
  <c r="D1661" i="52"/>
  <c r="D1657" i="52"/>
  <c r="D1673" i="52"/>
  <c r="D1668" i="52"/>
  <c r="D1664" i="52"/>
  <c r="D1660" i="52"/>
  <c r="H29" i="99"/>
  <c r="D46" i="99"/>
  <c r="D41" i="99"/>
  <c r="D37" i="99"/>
  <c r="D33" i="99"/>
  <c r="D29" i="99"/>
  <c r="D45" i="99"/>
  <c r="D40" i="99"/>
  <c r="D36" i="99"/>
  <c r="D32" i="99"/>
  <c r="D43" i="99"/>
  <c r="D39" i="99"/>
  <c r="D35" i="99"/>
  <c r="D31" i="99"/>
  <c r="D42" i="99"/>
  <c r="D38" i="99"/>
  <c r="D34" i="99"/>
  <c r="D30" i="99"/>
  <c r="H73" i="99"/>
  <c r="D87" i="99"/>
  <c r="D83" i="99"/>
  <c r="D79" i="99"/>
  <c r="D75" i="99"/>
  <c r="D86" i="99"/>
  <c r="D82" i="99"/>
  <c r="D78" i="99"/>
  <c r="D74" i="99"/>
  <c r="D90" i="99"/>
  <c r="D85" i="99"/>
  <c r="D81" i="99"/>
  <c r="D77" i="99"/>
  <c r="D73" i="99"/>
  <c r="D89" i="99"/>
  <c r="D84" i="99"/>
  <c r="D80" i="99"/>
  <c r="D76" i="99"/>
  <c r="H117" i="99"/>
  <c r="D134" i="99"/>
  <c r="D129" i="99"/>
  <c r="D125" i="99"/>
  <c r="D121" i="99"/>
  <c r="D117" i="99"/>
  <c r="D133" i="99"/>
  <c r="D128" i="99"/>
  <c r="D124" i="99"/>
  <c r="D120" i="99"/>
  <c r="D131" i="99"/>
  <c r="D127" i="99"/>
  <c r="D123" i="99"/>
  <c r="D119" i="99"/>
  <c r="D130" i="99"/>
  <c r="D126" i="99"/>
  <c r="D122" i="99"/>
  <c r="D118" i="99"/>
  <c r="H161" i="99"/>
  <c r="D175" i="99"/>
  <c r="D171" i="99"/>
  <c r="D167" i="99"/>
  <c r="D163" i="99"/>
  <c r="D174" i="99"/>
  <c r="D170" i="99"/>
  <c r="D166" i="99"/>
  <c r="D162" i="99"/>
  <c r="D178" i="99"/>
  <c r="D173" i="99"/>
  <c r="D169" i="99"/>
  <c r="D165" i="99"/>
  <c r="D161" i="99"/>
  <c r="D177" i="99"/>
  <c r="D172" i="99"/>
  <c r="D168" i="99"/>
  <c r="D164" i="99"/>
  <c r="H205" i="99"/>
  <c r="D222" i="99"/>
  <c r="D217" i="99"/>
  <c r="D213" i="99"/>
  <c r="D209" i="99"/>
  <c r="D205" i="99"/>
  <c r="D221" i="99"/>
  <c r="D216" i="99"/>
  <c r="D212" i="99"/>
  <c r="D208" i="99"/>
  <c r="D219" i="99"/>
  <c r="D215" i="99"/>
  <c r="D211" i="99"/>
  <c r="D207" i="99"/>
  <c r="D218" i="99"/>
  <c r="D214" i="99"/>
  <c r="D210" i="99"/>
  <c r="D206" i="99"/>
  <c r="H249" i="99"/>
  <c r="D263" i="99"/>
  <c r="D259" i="99"/>
  <c r="D255" i="99"/>
  <c r="D251" i="99"/>
  <c r="D262" i="99"/>
  <c r="D258" i="99"/>
  <c r="D254" i="99"/>
  <c r="D250" i="99"/>
  <c r="D266" i="99"/>
  <c r="D261" i="99"/>
  <c r="D257" i="99"/>
  <c r="D253" i="99"/>
  <c r="D249" i="99"/>
  <c r="D265" i="99"/>
  <c r="D260" i="99"/>
  <c r="D256" i="99"/>
  <c r="D252" i="99"/>
  <c r="H293" i="99"/>
  <c r="D310" i="99"/>
  <c r="D305" i="99"/>
  <c r="D301" i="99"/>
  <c r="D297" i="99"/>
  <c r="D293" i="99"/>
  <c r="D309" i="99"/>
  <c r="D304" i="99"/>
  <c r="D300" i="99"/>
  <c r="D296" i="99"/>
  <c r="D307" i="99"/>
  <c r="D303" i="99"/>
  <c r="D299" i="99"/>
  <c r="D295" i="99"/>
  <c r="D306" i="99"/>
  <c r="D302" i="99"/>
  <c r="D298" i="99"/>
  <c r="D294" i="99"/>
  <c r="H337" i="99"/>
  <c r="D351" i="99"/>
  <c r="D347" i="99"/>
  <c r="D343" i="99"/>
  <c r="D339" i="99"/>
  <c r="D350" i="99"/>
  <c r="D346" i="99"/>
  <c r="D342" i="99"/>
  <c r="D338" i="99"/>
  <c r="D354" i="99"/>
  <c r="D349" i="99"/>
  <c r="D345" i="99"/>
  <c r="D341" i="99"/>
  <c r="D337" i="99"/>
  <c r="D353" i="99"/>
  <c r="D348" i="99"/>
  <c r="D344" i="99"/>
  <c r="D340" i="99"/>
  <c r="H7" i="100"/>
  <c r="D24" i="100"/>
  <c r="D19" i="100"/>
  <c r="D15" i="100"/>
  <c r="D11" i="100"/>
  <c r="D7" i="100"/>
  <c r="D23" i="100"/>
  <c r="D18" i="100"/>
  <c r="D14" i="100"/>
  <c r="D10" i="100"/>
  <c r="D21" i="100"/>
  <c r="D17" i="100"/>
  <c r="D13" i="100"/>
  <c r="D9" i="100"/>
  <c r="D20" i="100"/>
  <c r="D16" i="100"/>
  <c r="D12" i="100"/>
  <c r="D8" i="100"/>
  <c r="H51" i="100"/>
  <c r="D65" i="100"/>
  <c r="D61" i="100"/>
  <c r="D57" i="100"/>
  <c r="D53" i="100"/>
  <c r="D64" i="100"/>
  <c r="D60" i="100"/>
  <c r="D56" i="100"/>
  <c r="D52" i="100"/>
  <c r="D68" i="100"/>
  <c r="D63" i="100"/>
  <c r="D59" i="100"/>
  <c r="D55" i="100"/>
  <c r="D51" i="100"/>
  <c r="D67" i="100"/>
  <c r="D62" i="100"/>
  <c r="D58" i="100"/>
  <c r="D54" i="100"/>
  <c r="H95" i="100"/>
  <c r="D112" i="100"/>
  <c r="D107" i="100"/>
  <c r="D103" i="100"/>
  <c r="D99" i="100"/>
  <c r="D95" i="100"/>
  <c r="D111" i="100"/>
  <c r="D106" i="100"/>
  <c r="D102" i="100"/>
  <c r="D98" i="100"/>
  <c r="D109" i="100"/>
  <c r="D105" i="100"/>
  <c r="D101" i="100"/>
  <c r="D97" i="100"/>
  <c r="D108" i="100"/>
  <c r="D104" i="100"/>
  <c r="D100" i="100"/>
  <c r="D96" i="100"/>
  <c r="H139" i="100"/>
  <c r="D153" i="100"/>
  <c r="D149" i="100"/>
  <c r="D145" i="100"/>
  <c r="D141" i="100"/>
  <c r="D152" i="100"/>
  <c r="D148" i="100"/>
  <c r="D144" i="100"/>
  <c r="D140" i="100"/>
  <c r="D156" i="100"/>
  <c r="D151" i="100"/>
  <c r="D147" i="100"/>
  <c r="D143" i="100"/>
  <c r="D139" i="100"/>
  <c r="D155" i="100"/>
  <c r="D150" i="100"/>
  <c r="D146" i="100"/>
  <c r="D142" i="100"/>
  <c r="H183" i="100"/>
  <c r="D200" i="100"/>
  <c r="D195" i="100"/>
  <c r="D191" i="100"/>
  <c r="D187" i="100"/>
  <c r="D183" i="100"/>
  <c r="D199" i="100"/>
  <c r="D194" i="100"/>
  <c r="D190" i="100"/>
  <c r="D186" i="100"/>
  <c r="D197" i="100"/>
  <c r="D193" i="100"/>
  <c r="D189" i="100"/>
  <c r="D185" i="100"/>
  <c r="D196" i="100"/>
  <c r="D192" i="100"/>
  <c r="D188" i="100"/>
  <c r="D184" i="100"/>
  <c r="H227" i="100"/>
  <c r="D241" i="100"/>
  <c r="D237" i="100"/>
  <c r="D233" i="100"/>
  <c r="D229" i="100"/>
  <c r="D240" i="100"/>
  <c r="D236" i="100"/>
  <c r="D232" i="100"/>
  <c r="D228" i="100"/>
  <c r="D244" i="100"/>
  <c r="D239" i="100"/>
  <c r="D235" i="100"/>
  <c r="D231" i="100"/>
  <c r="D227" i="100"/>
  <c r="D243" i="100"/>
  <c r="D238" i="100"/>
  <c r="D234" i="100"/>
  <c r="D230" i="100"/>
  <c r="H271" i="100"/>
  <c r="D288" i="100"/>
  <c r="D283" i="100"/>
  <c r="D279" i="100"/>
  <c r="D275" i="100"/>
  <c r="D271" i="100"/>
  <c r="D287" i="100"/>
  <c r="D282" i="100"/>
  <c r="D278" i="100"/>
  <c r="D274" i="100"/>
  <c r="D285" i="100"/>
  <c r="D281" i="100"/>
  <c r="D277" i="100"/>
  <c r="D273" i="100"/>
  <c r="D284" i="100"/>
  <c r="D280" i="100"/>
  <c r="D276" i="100"/>
  <c r="D272" i="100"/>
  <c r="H315" i="100"/>
  <c r="D329" i="100"/>
  <c r="D325" i="100"/>
  <c r="D321" i="100"/>
  <c r="D317" i="100"/>
  <c r="D328" i="100"/>
  <c r="D324" i="100"/>
  <c r="D320" i="100"/>
  <c r="D316" i="100"/>
  <c r="D332" i="100"/>
  <c r="D327" i="100"/>
  <c r="D323" i="100"/>
  <c r="D319" i="100"/>
  <c r="D315" i="100"/>
  <c r="D331" i="100"/>
  <c r="D326" i="100"/>
  <c r="D322" i="100"/>
  <c r="D318" i="100"/>
  <c r="H359" i="100"/>
  <c r="D373" i="100"/>
  <c r="D372" i="100"/>
  <c r="D376" i="100"/>
  <c r="D375" i="100"/>
  <c r="D371" i="100"/>
  <c r="D367" i="100"/>
  <c r="D363" i="100"/>
  <c r="D359" i="100"/>
  <c r="D370" i="100"/>
  <c r="D366" i="100"/>
  <c r="D362" i="100"/>
  <c r="D369" i="100"/>
  <c r="D365" i="100"/>
  <c r="D361" i="100"/>
  <c r="D368" i="100"/>
  <c r="D364" i="100"/>
  <c r="D360" i="100"/>
  <c r="H403" i="100"/>
  <c r="D420" i="100"/>
  <c r="D415" i="100"/>
  <c r="D411" i="100"/>
  <c r="D407" i="100"/>
  <c r="D403" i="100"/>
  <c r="D419" i="100"/>
  <c r="D414" i="100"/>
  <c r="D410" i="100"/>
  <c r="D406" i="100"/>
  <c r="D417" i="100"/>
  <c r="D413" i="100"/>
  <c r="D409" i="100"/>
  <c r="D405" i="100"/>
  <c r="D416" i="100"/>
  <c r="D412" i="100"/>
  <c r="D408" i="100"/>
  <c r="D404" i="100"/>
  <c r="H447" i="100"/>
  <c r="D461" i="100"/>
  <c r="D457" i="100"/>
  <c r="D453" i="100"/>
  <c r="D449" i="100"/>
  <c r="D460" i="100"/>
  <c r="D456" i="100"/>
  <c r="D452" i="100"/>
  <c r="D448" i="100"/>
  <c r="D464" i="100"/>
  <c r="D459" i="100"/>
  <c r="D455" i="100"/>
  <c r="D451" i="100"/>
  <c r="D447" i="100"/>
  <c r="D463" i="100"/>
  <c r="D458" i="100"/>
  <c r="D454" i="100"/>
  <c r="D450" i="100"/>
  <c r="H491" i="100"/>
  <c r="D508" i="100"/>
  <c r="D503" i="100"/>
  <c r="D499" i="100"/>
  <c r="D495" i="100"/>
  <c r="D491" i="100"/>
  <c r="D507" i="100"/>
  <c r="D502" i="100"/>
  <c r="D498" i="100"/>
  <c r="D494" i="100"/>
  <c r="D505" i="100"/>
  <c r="D501" i="100"/>
  <c r="D497" i="100"/>
  <c r="D493" i="100"/>
  <c r="D504" i="100"/>
  <c r="D500" i="100"/>
  <c r="D496" i="100"/>
  <c r="D492" i="100"/>
  <c r="H535" i="100"/>
  <c r="D549" i="100"/>
  <c r="D545" i="100"/>
  <c r="D541" i="100"/>
  <c r="D537" i="100"/>
  <c r="D548" i="100"/>
  <c r="D544" i="100"/>
  <c r="D540" i="100"/>
  <c r="D536" i="100"/>
  <c r="D552" i="100"/>
  <c r="D547" i="100"/>
  <c r="D543" i="100"/>
  <c r="D539" i="100"/>
  <c r="D535" i="100"/>
  <c r="D551" i="100"/>
  <c r="D546" i="100"/>
  <c r="D542" i="100"/>
  <c r="D538" i="100"/>
  <c r="H579" i="100"/>
  <c r="D596" i="100"/>
  <c r="D591" i="100"/>
  <c r="D587" i="100"/>
  <c r="D583" i="100"/>
  <c r="D579" i="100"/>
  <c r="D595" i="100"/>
  <c r="D590" i="100"/>
  <c r="D586" i="100"/>
  <c r="D582" i="100"/>
  <c r="D593" i="100"/>
  <c r="D589" i="100"/>
  <c r="D585" i="100"/>
  <c r="D581" i="100"/>
  <c r="D592" i="100"/>
  <c r="D588" i="100"/>
  <c r="D584" i="100"/>
  <c r="D580" i="100"/>
  <c r="H623" i="100"/>
  <c r="D637" i="100"/>
  <c r="D633" i="100"/>
  <c r="D629" i="100"/>
  <c r="D625" i="100"/>
  <c r="D636" i="100"/>
  <c r="D632" i="100"/>
  <c r="D628" i="100"/>
  <c r="D624" i="100"/>
  <c r="D640" i="100"/>
  <c r="D635" i="100"/>
  <c r="D631" i="100"/>
  <c r="D627" i="100"/>
  <c r="D623" i="100"/>
  <c r="D639" i="100"/>
  <c r="D634" i="100"/>
  <c r="D630" i="100"/>
  <c r="D626" i="100"/>
  <c r="H667" i="100"/>
  <c r="D684" i="100"/>
  <c r="D679" i="100"/>
  <c r="D675" i="100"/>
  <c r="D671" i="100"/>
  <c r="D667" i="100"/>
  <c r="D683" i="100"/>
  <c r="D678" i="100"/>
  <c r="D674" i="100"/>
  <c r="D670" i="100"/>
  <c r="D681" i="100"/>
  <c r="D677" i="100"/>
  <c r="D673" i="100"/>
  <c r="D669" i="100"/>
  <c r="D680" i="100"/>
  <c r="D676" i="100"/>
  <c r="D672" i="100"/>
  <c r="D668" i="100"/>
  <c r="H711" i="100"/>
  <c r="D725" i="100"/>
  <c r="D721" i="100"/>
  <c r="D717" i="100"/>
  <c r="D713" i="100"/>
  <c r="D724" i="100"/>
  <c r="D720" i="100"/>
  <c r="D716" i="100"/>
  <c r="D712" i="100"/>
  <c r="D728" i="100"/>
  <c r="D723" i="100"/>
  <c r="D719" i="100"/>
  <c r="D715" i="100"/>
  <c r="D711" i="100"/>
  <c r="D727" i="100"/>
  <c r="D722" i="100"/>
  <c r="D718" i="100"/>
  <c r="D714" i="100"/>
  <c r="H755" i="100"/>
  <c r="D772" i="100"/>
  <c r="D767" i="100"/>
  <c r="D763" i="100"/>
  <c r="D759" i="100"/>
  <c r="D755" i="100"/>
  <c r="D771" i="100"/>
  <c r="D766" i="100"/>
  <c r="D762" i="100"/>
  <c r="D758" i="100"/>
  <c r="D769" i="100"/>
  <c r="D765" i="100"/>
  <c r="D761" i="100"/>
  <c r="D757" i="100"/>
  <c r="D768" i="100"/>
  <c r="D764" i="100"/>
  <c r="D760" i="100"/>
  <c r="D756" i="100"/>
  <c r="H799" i="100"/>
  <c r="D813" i="100"/>
  <c r="D809" i="100"/>
  <c r="D805" i="100"/>
  <c r="D801" i="100"/>
  <c r="D812" i="100"/>
  <c r="D808" i="100"/>
  <c r="D804" i="100"/>
  <c r="D800" i="100"/>
  <c r="D816" i="100"/>
  <c r="D811" i="100"/>
  <c r="D807" i="100"/>
  <c r="D803" i="100"/>
  <c r="D799" i="100"/>
  <c r="D815" i="100"/>
  <c r="D810" i="100"/>
  <c r="D806" i="100"/>
  <c r="D802" i="100"/>
  <c r="H843" i="100"/>
  <c r="D860" i="100"/>
  <c r="D855" i="100"/>
  <c r="D851" i="100"/>
  <c r="D847" i="100"/>
  <c r="D843" i="100"/>
  <c r="D859" i="100"/>
  <c r="D854" i="100"/>
  <c r="D850" i="100"/>
  <c r="D846" i="100"/>
  <c r="D857" i="100"/>
  <c r="D853" i="100"/>
  <c r="D849" i="100"/>
  <c r="D845" i="100"/>
  <c r="D856" i="100"/>
  <c r="D852" i="100"/>
  <c r="D848" i="100"/>
  <c r="D844" i="100"/>
  <c r="H887" i="100"/>
  <c r="D901" i="100"/>
  <c r="D897" i="100"/>
  <c r="D893" i="100"/>
  <c r="D889" i="100"/>
  <c r="D900" i="100"/>
  <c r="D896" i="100"/>
  <c r="D892" i="100"/>
  <c r="D888" i="100"/>
  <c r="D904" i="100"/>
  <c r="D899" i="100"/>
  <c r="D895" i="100"/>
  <c r="D891" i="100"/>
  <c r="D887" i="100"/>
  <c r="D903" i="100"/>
  <c r="D898" i="100"/>
  <c r="D894" i="100"/>
  <c r="D890" i="100"/>
  <c r="H931" i="100"/>
  <c r="D948" i="100"/>
  <c r="D943" i="100"/>
  <c r="D939" i="100"/>
  <c r="D935" i="100"/>
  <c r="D931" i="100"/>
  <c r="D947" i="100"/>
  <c r="D942" i="100"/>
  <c r="D938" i="100"/>
  <c r="D934" i="100"/>
  <c r="D945" i="100"/>
  <c r="D941" i="100"/>
  <c r="D937" i="100"/>
  <c r="D933" i="100"/>
  <c r="D944" i="100"/>
  <c r="D940" i="100"/>
  <c r="D936" i="100"/>
  <c r="D932" i="100"/>
  <c r="H975" i="100"/>
  <c r="D989" i="100"/>
  <c r="D985" i="100"/>
  <c r="D981" i="100"/>
  <c r="D977" i="100"/>
  <c r="D988" i="100"/>
  <c r="D984" i="100"/>
  <c r="D980" i="100"/>
  <c r="D976" i="100"/>
  <c r="D992" i="100"/>
  <c r="D987" i="100"/>
  <c r="D983" i="100"/>
  <c r="D979" i="100"/>
  <c r="D975" i="100"/>
  <c r="D991" i="100"/>
  <c r="D986" i="100"/>
  <c r="D982" i="100"/>
  <c r="D978" i="100"/>
  <c r="H1019" i="100"/>
  <c r="D1036" i="100"/>
  <c r="D1031" i="100"/>
  <c r="D1027" i="100"/>
  <c r="D1023" i="100"/>
  <c r="D1019" i="100"/>
  <c r="D1035" i="100"/>
  <c r="D1030" i="100"/>
  <c r="D1026" i="100"/>
  <c r="D1022" i="100"/>
  <c r="D1033" i="100"/>
  <c r="D1029" i="100"/>
  <c r="D1025" i="100"/>
  <c r="D1021" i="100"/>
  <c r="D1032" i="100"/>
  <c r="D1028" i="100"/>
  <c r="D1024" i="100"/>
  <c r="D1020" i="100"/>
  <c r="H1063" i="100"/>
  <c r="D1077" i="100"/>
  <c r="D1073" i="100"/>
  <c r="D1069" i="100"/>
  <c r="D1065" i="100"/>
  <c r="D1076" i="100"/>
  <c r="D1072" i="100"/>
  <c r="D1068" i="100"/>
  <c r="D1064" i="100"/>
  <c r="D1080" i="100"/>
  <c r="D1075" i="100"/>
  <c r="D1071" i="100"/>
  <c r="D1067" i="100"/>
  <c r="D1063" i="100"/>
  <c r="D1079" i="100"/>
  <c r="D1074" i="100"/>
  <c r="D1070" i="100"/>
  <c r="D1066" i="100"/>
  <c r="H29" i="101"/>
  <c r="D46" i="101"/>
  <c r="D41" i="101"/>
  <c r="D37" i="101"/>
  <c r="D33" i="101"/>
  <c r="D29" i="101"/>
  <c r="D45" i="101"/>
  <c r="D40" i="101"/>
  <c r="D36" i="101"/>
  <c r="D32" i="101"/>
  <c r="D43" i="101"/>
  <c r="D39" i="101"/>
  <c r="D35" i="101"/>
  <c r="D31" i="101"/>
  <c r="D42" i="101"/>
  <c r="D38" i="101"/>
  <c r="D34" i="101"/>
  <c r="D30" i="101"/>
  <c r="H73" i="101"/>
  <c r="D87" i="101"/>
  <c r="D83" i="101"/>
  <c r="D79" i="101"/>
  <c r="D75" i="101"/>
  <c r="D86" i="101"/>
  <c r="D82" i="101"/>
  <c r="D78" i="101"/>
  <c r="D74" i="101"/>
  <c r="D90" i="101"/>
  <c r="D85" i="101"/>
  <c r="D81" i="101"/>
  <c r="D77" i="101"/>
  <c r="D73" i="101"/>
  <c r="D89" i="101"/>
  <c r="D84" i="101"/>
  <c r="D80" i="101"/>
  <c r="D76" i="101"/>
  <c r="H117" i="101"/>
  <c r="D134" i="101"/>
  <c r="D129" i="101"/>
  <c r="D125" i="101"/>
  <c r="D121" i="101"/>
  <c r="D117" i="101"/>
  <c r="D133" i="101"/>
  <c r="D128" i="101"/>
  <c r="D124" i="101"/>
  <c r="D120" i="101"/>
  <c r="D131" i="101"/>
  <c r="D127" i="101"/>
  <c r="D123" i="101"/>
  <c r="D119" i="101"/>
  <c r="D130" i="101"/>
  <c r="D126" i="101"/>
  <c r="D122" i="101"/>
  <c r="D118" i="101"/>
  <c r="H161" i="101"/>
  <c r="D175" i="101"/>
  <c r="D171" i="101"/>
  <c r="D167" i="101"/>
  <c r="D163" i="101"/>
  <c r="D174" i="101"/>
  <c r="D170" i="101"/>
  <c r="D166" i="101"/>
  <c r="D162" i="101"/>
  <c r="D178" i="101"/>
  <c r="D173" i="101"/>
  <c r="D169" i="101"/>
  <c r="D165" i="101"/>
  <c r="D161" i="101"/>
  <c r="D177" i="101"/>
  <c r="D172" i="101"/>
  <c r="D168" i="101"/>
  <c r="D164" i="101"/>
  <c r="H205" i="101"/>
  <c r="D222" i="101"/>
  <c r="D217" i="101"/>
  <c r="D213" i="101"/>
  <c r="D209" i="101"/>
  <c r="D205" i="101"/>
  <c r="D221" i="101"/>
  <c r="D216" i="101"/>
  <c r="D212" i="101"/>
  <c r="D208" i="101"/>
  <c r="D219" i="101"/>
  <c r="D215" i="101"/>
  <c r="D211" i="101"/>
  <c r="D207" i="101"/>
  <c r="D218" i="101"/>
  <c r="D214" i="101"/>
  <c r="D210" i="101"/>
  <c r="D206" i="101"/>
  <c r="H249" i="101"/>
  <c r="D263" i="101"/>
  <c r="D259" i="101"/>
  <c r="D255" i="101"/>
  <c r="D251" i="101"/>
  <c r="D262" i="101"/>
  <c r="D258" i="101"/>
  <c r="D254" i="101"/>
  <c r="D250" i="101"/>
  <c r="D266" i="101"/>
  <c r="D261" i="101"/>
  <c r="D257" i="101"/>
  <c r="D253" i="101"/>
  <c r="D249" i="101"/>
  <c r="D265" i="101"/>
  <c r="D260" i="101"/>
  <c r="D256" i="101"/>
  <c r="D252" i="101"/>
  <c r="H293" i="101"/>
  <c r="D310" i="101"/>
  <c r="D305" i="101"/>
  <c r="D301" i="101"/>
  <c r="D297" i="101"/>
  <c r="D293" i="101"/>
  <c r="D309" i="101"/>
  <c r="D304" i="101"/>
  <c r="D300" i="101"/>
  <c r="D296" i="101"/>
  <c r="D307" i="101"/>
  <c r="D303" i="101"/>
  <c r="D299" i="101"/>
  <c r="D295" i="101"/>
  <c r="D306" i="101"/>
  <c r="D302" i="101"/>
  <c r="D298" i="101"/>
  <c r="D294" i="101"/>
  <c r="H337" i="101"/>
  <c r="D351" i="101"/>
  <c r="D347" i="101"/>
  <c r="D343" i="101"/>
  <c r="D339" i="101"/>
  <c r="D350" i="101"/>
  <c r="D346" i="101"/>
  <c r="D342" i="101"/>
  <c r="D338" i="101"/>
  <c r="D354" i="101"/>
  <c r="D349" i="101"/>
  <c r="D345" i="101"/>
  <c r="D341" i="101"/>
  <c r="D337" i="101"/>
  <c r="D353" i="101"/>
  <c r="D348" i="101"/>
  <c r="D344" i="101"/>
  <c r="D340" i="101"/>
  <c r="H381" i="101"/>
  <c r="D398" i="101"/>
  <c r="D393" i="101"/>
  <c r="D389" i="101"/>
  <c r="D385" i="101"/>
  <c r="D381" i="101"/>
  <c r="D397" i="101"/>
  <c r="D392" i="101"/>
  <c r="D388" i="101"/>
  <c r="D384" i="101"/>
  <c r="D395" i="101"/>
  <c r="D391" i="101"/>
  <c r="D387" i="101"/>
  <c r="D383" i="101"/>
  <c r="D394" i="101"/>
  <c r="D390" i="101"/>
  <c r="D386" i="101"/>
  <c r="D382" i="101"/>
  <c r="H425" i="101"/>
  <c r="D439" i="101"/>
  <c r="D435" i="101"/>
  <c r="D431" i="101"/>
  <c r="D427" i="101"/>
  <c r="D438" i="101"/>
  <c r="D434" i="101"/>
  <c r="D430" i="101"/>
  <c r="D426" i="101"/>
  <c r="D442" i="101"/>
  <c r="D437" i="101"/>
  <c r="D433" i="101"/>
  <c r="D429" i="101"/>
  <c r="D425" i="101"/>
  <c r="D441" i="101"/>
  <c r="D436" i="101"/>
  <c r="D432" i="101"/>
  <c r="D428" i="101"/>
  <c r="H469" i="101"/>
  <c r="D486" i="101"/>
  <c r="D481" i="101"/>
  <c r="D477" i="101"/>
  <c r="D473" i="101"/>
  <c r="D469" i="101"/>
  <c r="D485" i="101"/>
  <c r="D480" i="101"/>
  <c r="D476" i="101"/>
  <c r="D472" i="101"/>
  <c r="D483" i="101"/>
  <c r="D479" i="101"/>
  <c r="D475" i="101"/>
  <c r="D471" i="101"/>
  <c r="D482" i="101"/>
  <c r="D478" i="101"/>
  <c r="D474" i="101"/>
  <c r="D470" i="101"/>
  <c r="H513" i="101"/>
  <c r="D527" i="101"/>
  <c r="D523" i="101"/>
  <c r="D519" i="101"/>
  <c r="D515" i="101"/>
  <c r="D526" i="101"/>
  <c r="D522" i="101"/>
  <c r="D518" i="101"/>
  <c r="D514" i="101"/>
  <c r="D530" i="101"/>
  <c r="D525" i="101"/>
  <c r="D521" i="101"/>
  <c r="D517" i="101"/>
  <c r="D513" i="101"/>
  <c r="D529" i="101"/>
  <c r="D524" i="101"/>
  <c r="D520" i="101"/>
  <c r="D516" i="101"/>
  <c r="H557" i="101"/>
  <c r="D574" i="101"/>
  <c r="D569" i="101"/>
  <c r="D565" i="101"/>
  <c r="D561" i="101"/>
  <c r="D557" i="101"/>
  <c r="D573" i="101"/>
  <c r="D568" i="101"/>
  <c r="D564" i="101"/>
  <c r="D560" i="101"/>
  <c r="D571" i="101"/>
  <c r="D567" i="101"/>
  <c r="D563" i="101"/>
  <c r="D559" i="101"/>
  <c r="D570" i="101"/>
  <c r="D566" i="101"/>
  <c r="D562" i="101"/>
  <c r="D558" i="101"/>
  <c r="H601" i="101"/>
  <c r="D615" i="101"/>
  <c r="D611" i="101"/>
  <c r="D607" i="101"/>
  <c r="D603" i="101"/>
  <c r="D614" i="101"/>
  <c r="D610" i="101"/>
  <c r="D606" i="101"/>
  <c r="D602" i="101"/>
  <c r="D618" i="101"/>
  <c r="D613" i="101"/>
  <c r="D609" i="101"/>
  <c r="D605" i="101"/>
  <c r="D601" i="101"/>
  <c r="D617" i="101"/>
  <c r="D612" i="101"/>
  <c r="D608" i="101"/>
  <c r="D604" i="101"/>
  <c r="H645" i="101"/>
  <c r="D662" i="101"/>
  <c r="D657" i="101"/>
  <c r="D653" i="101"/>
  <c r="D649" i="101"/>
  <c r="D645" i="101"/>
  <c r="D661" i="101"/>
  <c r="D656" i="101"/>
  <c r="D652" i="101"/>
  <c r="D648" i="101"/>
  <c r="D659" i="101"/>
  <c r="D655" i="101"/>
  <c r="D651" i="101"/>
  <c r="D647" i="101"/>
  <c r="D658" i="101"/>
  <c r="D654" i="101"/>
  <c r="D650" i="101"/>
  <c r="D646" i="101"/>
  <c r="H689" i="101"/>
  <c r="D703" i="101"/>
  <c r="D699" i="101"/>
  <c r="D695" i="101"/>
  <c r="D691" i="101"/>
  <c r="D702" i="101"/>
  <c r="D698" i="101"/>
  <c r="D694" i="101"/>
  <c r="D690" i="101"/>
  <c r="D706" i="101"/>
  <c r="D701" i="101"/>
  <c r="D697" i="101"/>
  <c r="D693" i="101"/>
  <c r="D689" i="101"/>
  <c r="D705" i="101"/>
  <c r="D700" i="101"/>
  <c r="D696" i="101"/>
  <c r="D692" i="101"/>
  <c r="H733" i="101"/>
  <c r="D750" i="101"/>
  <c r="D745" i="101"/>
  <c r="D741" i="101"/>
  <c r="D737" i="101"/>
  <c r="D733" i="101"/>
  <c r="D749" i="101"/>
  <c r="D744" i="101"/>
  <c r="D740" i="101"/>
  <c r="D736" i="101"/>
  <c r="D747" i="101"/>
  <c r="D743" i="101"/>
  <c r="D739" i="101"/>
  <c r="D735" i="101"/>
  <c r="D746" i="101"/>
  <c r="D742" i="101"/>
  <c r="D738" i="101"/>
  <c r="D734" i="101"/>
  <c r="H777" i="101"/>
  <c r="D791" i="101"/>
  <c r="D787" i="101"/>
  <c r="D783" i="101"/>
  <c r="D779" i="101"/>
  <c r="D790" i="101"/>
  <c r="D786" i="101"/>
  <c r="D782" i="101"/>
  <c r="D778" i="101"/>
  <c r="D794" i="101"/>
  <c r="D789" i="101"/>
  <c r="D785" i="101"/>
  <c r="D781" i="101"/>
  <c r="D777" i="101"/>
  <c r="D793" i="101"/>
  <c r="D788" i="101"/>
  <c r="D784" i="101"/>
  <c r="D780" i="101"/>
  <c r="H821" i="101"/>
  <c r="D838" i="101"/>
  <c r="D833" i="101"/>
  <c r="D829" i="101"/>
  <c r="D825" i="101"/>
  <c r="D821" i="101"/>
  <c r="D837" i="101"/>
  <c r="D832" i="101"/>
  <c r="D828" i="101"/>
  <c r="D824" i="101"/>
  <c r="D835" i="101"/>
  <c r="D831" i="101"/>
  <c r="D827" i="101"/>
  <c r="D823" i="101"/>
  <c r="D834" i="101"/>
  <c r="D830" i="101"/>
  <c r="D826" i="101"/>
  <c r="D822" i="101"/>
  <c r="H865" i="101"/>
  <c r="D879" i="101"/>
  <c r="D875" i="101"/>
  <c r="D871" i="101"/>
  <c r="D867" i="101"/>
  <c r="D878" i="101"/>
  <c r="D874" i="101"/>
  <c r="D870" i="101"/>
  <c r="D866" i="101"/>
  <c r="D882" i="101"/>
  <c r="D877" i="101"/>
  <c r="D873" i="101"/>
  <c r="D869" i="101"/>
  <c r="D865" i="101"/>
  <c r="D881" i="101"/>
  <c r="D876" i="101"/>
  <c r="D872" i="101"/>
  <c r="D868" i="101"/>
  <c r="H909" i="101"/>
  <c r="D926" i="101"/>
  <c r="D921" i="101"/>
  <c r="D917" i="101"/>
  <c r="D913" i="101"/>
  <c r="D909" i="101"/>
  <c r="D925" i="101"/>
  <c r="D920" i="101"/>
  <c r="D916" i="101"/>
  <c r="D912" i="101"/>
  <c r="D923" i="101"/>
  <c r="D919" i="101"/>
  <c r="D915" i="101"/>
  <c r="D911" i="101"/>
  <c r="D922" i="101"/>
  <c r="D918" i="101"/>
  <c r="D914" i="101"/>
  <c r="D910" i="101"/>
  <c r="H953" i="101"/>
  <c r="D967" i="101"/>
  <c r="D963" i="101"/>
  <c r="D959" i="101"/>
  <c r="D955" i="101"/>
  <c r="D966" i="101"/>
  <c r="D962" i="101"/>
  <c r="D958" i="101"/>
  <c r="D954" i="101"/>
  <c r="D970" i="101"/>
  <c r="D965" i="101"/>
  <c r="D961" i="101"/>
  <c r="D957" i="101"/>
  <c r="D953" i="101"/>
  <c r="D969" i="101"/>
  <c r="D964" i="101"/>
  <c r="D960" i="101"/>
  <c r="D956" i="101"/>
  <c r="H997" i="101"/>
  <c r="D1014" i="101"/>
  <c r="D1009" i="101"/>
  <c r="D1005" i="101"/>
  <c r="D1001" i="101"/>
  <c r="D997" i="101"/>
  <c r="D1013" i="101"/>
  <c r="D1008" i="101"/>
  <c r="D1004" i="101"/>
  <c r="D1000" i="101"/>
  <c r="D1011" i="101"/>
  <c r="D1007" i="101"/>
  <c r="D1003" i="101"/>
  <c r="D999" i="101"/>
  <c r="D1010" i="101"/>
  <c r="D1006" i="101"/>
  <c r="D1002" i="101"/>
  <c r="D998" i="101"/>
  <c r="H1041" i="101"/>
  <c r="D1055" i="101"/>
  <c r="D1051" i="101"/>
  <c r="D1047" i="101"/>
  <c r="D1043" i="101"/>
  <c r="D1054" i="101"/>
  <c r="D1050" i="101"/>
  <c r="D1046" i="101"/>
  <c r="D1042" i="101"/>
  <c r="D1058" i="101"/>
  <c r="D1053" i="101"/>
  <c r="D1049" i="101"/>
  <c r="D1045" i="101"/>
  <c r="D1041" i="101"/>
  <c r="D1057" i="101"/>
  <c r="D1052" i="101"/>
  <c r="D1048" i="101"/>
  <c r="D1044" i="101"/>
  <c r="H1085" i="101"/>
  <c r="D1102" i="101"/>
  <c r="D1097" i="101"/>
  <c r="D1093" i="101"/>
  <c r="D1089" i="101"/>
  <c r="D1085" i="101"/>
  <c r="D1101" i="101"/>
  <c r="D1096" i="101"/>
  <c r="D1092" i="101"/>
  <c r="D1088" i="101"/>
  <c r="D1099" i="101"/>
  <c r="D1095" i="101"/>
  <c r="D1091" i="101"/>
  <c r="D1087" i="101"/>
  <c r="D1098" i="101"/>
  <c r="D1094" i="101"/>
  <c r="D1090" i="101"/>
  <c r="D1086" i="101"/>
  <c r="H1129" i="101"/>
  <c r="D1143" i="101"/>
  <c r="D1139" i="101"/>
  <c r="D1135" i="101"/>
  <c r="D1131" i="101"/>
  <c r="D1142" i="101"/>
  <c r="D1138" i="101"/>
  <c r="D1134" i="101"/>
  <c r="D1130" i="101"/>
  <c r="D1146" i="101"/>
  <c r="D1141" i="101"/>
  <c r="D1137" i="101"/>
  <c r="D1133" i="101"/>
  <c r="D1129" i="101"/>
  <c r="D1145" i="101"/>
  <c r="D1140" i="101"/>
  <c r="D1136" i="101"/>
  <c r="D1132" i="101"/>
  <c r="H1173" i="101"/>
  <c r="D1190" i="101"/>
  <c r="D1185" i="101"/>
  <c r="D1181" i="101"/>
  <c r="D1177" i="101"/>
  <c r="D1173" i="101"/>
  <c r="D1189" i="101"/>
  <c r="D1184" i="101"/>
  <c r="D1180" i="101"/>
  <c r="D1176" i="101"/>
  <c r="D1187" i="101"/>
  <c r="D1183" i="101"/>
  <c r="D1179" i="101"/>
  <c r="D1175" i="101"/>
  <c r="D1186" i="101"/>
  <c r="D1182" i="101"/>
  <c r="D1178" i="101"/>
  <c r="D1174" i="101"/>
  <c r="H1217" i="101"/>
  <c r="D1231" i="101"/>
  <c r="D1227" i="101"/>
  <c r="D1223" i="101"/>
  <c r="D1219" i="101"/>
  <c r="D1230" i="101"/>
  <c r="D1226" i="101"/>
  <c r="D1222" i="101"/>
  <c r="D1218" i="101"/>
  <c r="D1234" i="101"/>
  <c r="D1229" i="101"/>
  <c r="D1225" i="101"/>
  <c r="D1221" i="101"/>
  <c r="D1217" i="101"/>
  <c r="D1233" i="101"/>
  <c r="D1228" i="101"/>
  <c r="D1224" i="101"/>
  <c r="D1220" i="101"/>
  <c r="H1261" i="101"/>
  <c r="D1278" i="101"/>
  <c r="D1273" i="101"/>
  <c r="D1269" i="101"/>
  <c r="D1265" i="101"/>
  <c r="D1261" i="101"/>
  <c r="D1277" i="101"/>
  <c r="D1272" i="101"/>
  <c r="D1268" i="101"/>
  <c r="D1264" i="101"/>
  <c r="D1275" i="101"/>
  <c r="D1271" i="101"/>
  <c r="D1267" i="101"/>
  <c r="D1263" i="101"/>
  <c r="D1274" i="101"/>
  <c r="D1270" i="101"/>
  <c r="D1266" i="101"/>
  <c r="D1262" i="101"/>
  <c r="H1305" i="101"/>
  <c r="D1319" i="101"/>
  <c r="D1315" i="101"/>
  <c r="D1311" i="101"/>
  <c r="D1307" i="101"/>
  <c r="D1318" i="101"/>
  <c r="D1314" i="101"/>
  <c r="D1310" i="101"/>
  <c r="D1306" i="101"/>
  <c r="D1322" i="101"/>
  <c r="D1317" i="101"/>
  <c r="D1313" i="101"/>
  <c r="D1309" i="101"/>
  <c r="D1305" i="101"/>
  <c r="D1321" i="101"/>
  <c r="D1316" i="101"/>
  <c r="D1312" i="101"/>
  <c r="D1308" i="101"/>
  <c r="H1349" i="101"/>
  <c r="D1366" i="101"/>
  <c r="D1361" i="101"/>
  <c r="D1357" i="101"/>
  <c r="D1353" i="101"/>
  <c r="D1349" i="101"/>
  <c r="D1365" i="101"/>
  <c r="D1360" i="101"/>
  <c r="D1356" i="101"/>
  <c r="D1352" i="101"/>
  <c r="D1363" i="101"/>
  <c r="D1359" i="101"/>
  <c r="D1355" i="101"/>
  <c r="D1351" i="101"/>
  <c r="D1362" i="101"/>
  <c r="D1358" i="101"/>
  <c r="D1354" i="101"/>
  <c r="D1350" i="101"/>
  <c r="H1393" i="101"/>
  <c r="D1407" i="101"/>
  <c r="D1403" i="101"/>
  <c r="D1399" i="101"/>
  <c r="D1395" i="101"/>
  <c r="D1406" i="101"/>
  <c r="D1402" i="101"/>
  <c r="D1398" i="101"/>
  <c r="D1394" i="101"/>
  <c r="D1410" i="101"/>
  <c r="D1405" i="101"/>
  <c r="D1401" i="101"/>
  <c r="D1397" i="101"/>
  <c r="D1393" i="101"/>
  <c r="D1409" i="101"/>
  <c r="D1404" i="101"/>
  <c r="D1400" i="101"/>
  <c r="D1396" i="101"/>
  <c r="H1437" i="101"/>
  <c r="D1454" i="101"/>
  <c r="D1449" i="101"/>
  <c r="D1445" i="101"/>
  <c r="D1441" i="101"/>
  <c r="D1437" i="101"/>
  <c r="D1453" i="101"/>
  <c r="D1448" i="101"/>
  <c r="D1444" i="101"/>
  <c r="D1440" i="101"/>
  <c r="D1451" i="101"/>
  <c r="D1447" i="101"/>
  <c r="D1443" i="101"/>
  <c r="D1439" i="101"/>
  <c r="D1450" i="101"/>
  <c r="D1446" i="101"/>
  <c r="D1442" i="101"/>
  <c r="D1438" i="101"/>
  <c r="H1481" i="101"/>
  <c r="D1495" i="101"/>
  <c r="D1491" i="101"/>
  <c r="D1487" i="101"/>
  <c r="D1483" i="101"/>
  <c r="D1494" i="101"/>
  <c r="D1490" i="101"/>
  <c r="D1486" i="101"/>
  <c r="D1482" i="101"/>
  <c r="D1498" i="101"/>
  <c r="D1493" i="101"/>
  <c r="D1489" i="101"/>
  <c r="D1485" i="101"/>
  <c r="D1481" i="101"/>
  <c r="D1497" i="101"/>
  <c r="D1492" i="101"/>
  <c r="D1488" i="101"/>
  <c r="D1484" i="101"/>
  <c r="H1525" i="101"/>
  <c r="D1542" i="101"/>
  <c r="D1537" i="101"/>
  <c r="D1533" i="101"/>
  <c r="D1529" i="101"/>
  <c r="D1525" i="101"/>
  <c r="D1541" i="101"/>
  <c r="D1536" i="101"/>
  <c r="D1532" i="101"/>
  <c r="D1528" i="101"/>
  <c r="D1539" i="101"/>
  <c r="D1535" i="101"/>
  <c r="D1531" i="101"/>
  <c r="D1527" i="101"/>
  <c r="D1538" i="101"/>
  <c r="D1534" i="101"/>
  <c r="D1530" i="101"/>
  <c r="D1526" i="101"/>
  <c r="H1569" i="101"/>
  <c r="D1583" i="101"/>
  <c r="D1579" i="101"/>
  <c r="D1575" i="101"/>
  <c r="D1571" i="101"/>
  <c r="D1582" i="101"/>
  <c r="D1578" i="101"/>
  <c r="D1574" i="101"/>
  <c r="D1570" i="101"/>
  <c r="D1586" i="101"/>
  <c r="D1581" i="101"/>
  <c r="D1577" i="101"/>
  <c r="D1573" i="101"/>
  <c r="D1569" i="101"/>
  <c r="D1585" i="101"/>
  <c r="D1580" i="101"/>
  <c r="D1576" i="101"/>
  <c r="D1572" i="101"/>
  <c r="H1613" i="101"/>
  <c r="D1630" i="101"/>
  <c r="D1625" i="101"/>
  <c r="D1621" i="101"/>
  <c r="D1617" i="101"/>
  <c r="D1613" i="101"/>
  <c r="D1629" i="101"/>
  <c r="D1624" i="101"/>
  <c r="D1620" i="101"/>
  <c r="D1616" i="101"/>
  <c r="D1627" i="101"/>
  <c r="D1623" i="101"/>
  <c r="D1619" i="101"/>
  <c r="D1615" i="101"/>
  <c r="D1626" i="101"/>
  <c r="D1622" i="101"/>
  <c r="D1618" i="101"/>
  <c r="D1614" i="101"/>
  <c r="H7" i="102"/>
  <c r="D21" i="102"/>
  <c r="D17" i="102"/>
  <c r="D13" i="102"/>
  <c r="D9" i="102"/>
  <c r="D20" i="102"/>
  <c r="D16" i="102"/>
  <c r="D12" i="102"/>
  <c r="D8" i="102"/>
  <c r="D24" i="102"/>
  <c r="D19" i="102"/>
  <c r="D15" i="102"/>
  <c r="D11" i="102"/>
  <c r="D7" i="102"/>
  <c r="D23" i="102"/>
  <c r="D18" i="102"/>
  <c r="D14" i="102"/>
  <c r="D10" i="102"/>
  <c r="H51" i="102"/>
  <c r="D68" i="102"/>
  <c r="D63" i="102"/>
  <c r="D59" i="102"/>
  <c r="D55" i="102"/>
  <c r="D51" i="102"/>
  <c r="D67" i="102"/>
  <c r="D62" i="102"/>
  <c r="D58" i="102"/>
  <c r="D54" i="102"/>
  <c r="D65" i="102"/>
  <c r="D61" i="102"/>
  <c r="D57" i="102"/>
  <c r="D53" i="102"/>
  <c r="D64" i="102"/>
  <c r="D60" i="102"/>
  <c r="D56" i="102"/>
  <c r="D52" i="102"/>
  <c r="H95" i="102"/>
  <c r="D109" i="102"/>
  <c r="D105" i="102"/>
  <c r="D101" i="102"/>
  <c r="D97" i="102"/>
  <c r="D108" i="102"/>
  <c r="D104" i="102"/>
  <c r="D100" i="102"/>
  <c r="D96" i="102"/>
  <c r="D112" i="102"/>
  <c r="D107" i="102"/>
  <c r="D103" i="102"/>
  <c r="D99" i="102"/>
  <c r="D95" i="102"/>
  <c r="D111" i="102"/>
  <c r="D106" i="102"/>
  <c r="D102" i="102"/>
  <c r="D98" i="102"/>
  <c r="H139" i="102"/>
  <c r="D156" i="102"/>
  <c r="D151" i="102"/>
  <c r="D147" i="102"/>
  <c r="D143" i="102"/>
  <c r="D139" i="102"/>
  <c r="D155" i="102"/>
  <c r="D150" i="102"/>
  <c r="D146" i="102"/>
  <c r="D142" i="102"/>
  <c r="D153" i="102"/>
  <c r="D149" i="102"/>
  <c r="D145" i="102"/>
  <c r="D141" i="102"/>
  <c r="D152" i="102"/>
  <c r="D148" i="102"/>
  <c r="D144" i="102"/>
  <c r="D140" i="102"/>
  <c r="H183" i="102"/>
  <c r="D197" i="102"/>
  <c r="D193" i="102"/>
  <c r="D189" i="102"/>
  <c r="D185" i="102"/>
  <c r="D196" i="102"/>
  <c r="D192" i="102"/>
  <c r="D188" i="102"/>
  <c r="D184" i="102"/>
  <c r="D200" i="102"/>
  <c r="D195" i="102"/>
  <c r="D191" i="102"/>
  <c r="D187" i="102"/>
  <c r="D183" i="102"/>
  <c r="D199" i="102"/>
  <c r="D194" i="102"/>
  <c r="D190" i="102"/>
  <c r="D186" i="102"/>
  <c r="H227" i="102"/>
  <c r="D244" i="102"/>
  <c r="D239" i="102"/>
  <c r="D235" i="102"/>
  <c r="D231" i="102"/>
  <c r="D227" i="102"/>
  <c r="D243" i="102"/>
  <c r="D238" i="102"/>
  <c r="D234" i="102"/>
  <c r="D230" i="102"/>
  <c r="D241" i="102"/>
  <c r="D237" i="102"/>
  <c r="D233" i="102"/>
  <c r="D229" i="102"/>
  <c r="D240" i="102"/>
  <c r="D236" i="102"/>
  <c r="D232" i="102"/>
  <c r="D228" i="102"/>
  <c r="H271" i="102"/>
  <c r="D285" i="102"/>
  <c r="D281" i="102"/>
  <c r="D277" i="102"/>
  <c r="D273" i="102"/>
  <c r="D284" i="102"/>
  <c r="D280" i="102"/>
  <c r="D276" i="102"/>
  <c r="D272" i="102"/>
  <c r="D288" i="102"/>
  <c r="D283" i="102"/>
  <c r="D279" i="102"/>
  <c r="D275" i="102"/>
  <c r="D271" i="102"/>
  <c r="D287" i="102"/>
  <c r="D282" i="102"/>
  <c r="D278" i="102"/>
  <c r="D274" i="102"/>
  <c r="H7" i="103"/>
  <c r="D21" i="103"/>
  <c r="D17" i="103"/>
  <c r="D13" i="103"/>
  <c r="D9" i="103"/>
  <c r="D20" i="103"/>
  <c r="D16" i="103"/>
  <c r="D12" i="103"/>
  <c r="D8" i="103"/>
  <c r="D24" i="103"/>
  <c r="D19" i="103"/>
  <c r="D15" i="103"/>
  <c r="D11" i="103"/>
  <c r="D7" i="103"/>
  <c r="D23" i="103"/>
  <c r="D18" i="103"/>
  <c r="D14" i="103"/>
  <c r="D10" i="103"/>
  <c r="H51" i="103"/>
  <c r="D68" i="103"/>
  <c r="D63" i="103"/>
  <c r="D59" i="103"/>
  <c r="D55" i="103"/>
  <c r="D51" i="103"/>
  <c r="D67" i="103"/>
  <c r="D62" i="103"/>
  <c r="D58" i="103"/>
  <c r="D54" i="103"/>
  <c r="D65" i="103"/>
  <c r="D61" i="103"/>
  <c r="D57" i="103"/>
  <c r="D53" i="103"/>
  <c r="D64" i="103"/>
  <c r="D60" i="103"/>
  <c r="D56" i="103"/>
  <c r="D52" i="103"/>
  <c r="H95" i="103"/>
  <c r="D109" i="103"/>
  <c r="D105" i="103"/>
  <c r="D101" i="103"/>
  <c r="D97" i="103"/>
  <c r="D108" i="103"/>
  <c r="D104" i="103"/>
  <c r="D100" i="103"/>
  <c r="D96" i="103"/>
  <c r="D112" i="103"/>
  <c r="D107" i="103"/>
  <c r="D103" i="103"/>
  <c r="D99" i="103"/>
  <c r="D95" i="103"/>
  <c r="D111" i="103"/>
  <c r="D106" i="103"/>
  <c r="D102" i="103"/>
  <c r="D98" i="103"/>
  <c r="H139" i="103"/>
  <c r="D156" i="103"/>
  <c r="D151" i="103"/>
  <c r="D147" i="103"/>
  <c r="D143" i="103"/>
  <c r="D139" i="103"/>
  <c r="D155" i="103"/>
  <c r="D150" i="103"/>
  <c r="D146" i="103"/>
  <c r="D142" i="103"/>
  <c r="D153" i="103"/>
  <c r="D149" i="103"/>
  <c r="D145" i="103"/>
  <c r="D141" i="103"/>
  <c r="D152" i="103"/>
  <c r="D148" i="103"/>
  <c r="D144" i="103"/>
  <c r="D140" i="103"/>
  <c r="H183" i="103"/>
  <c r="D197" i="103"/>
  <c r="D193" i="103"/>
  <c r="D189" i="103"/>
  <c r="D185" i="103"/>
  <c r="D196" i="103"/>
  <c r="D192" i="103"/>
  <c r="D188" i="103"/>
  <c r="D184" i="103"/>
  <c r="D200" i="103"/>
  <c r="D195" i="103"/>
  <c r="D191" i="103"/>
  <c r="D187" i="103"/>
  <c r="D183" i="103"/>
  <c r="D199" i="103"/>
  <c r="D194" i="103"/>
  <c r="D190" i="103"/>
  <c r="D186" i="103"/>
  <c r="H227" i="103"/>
  <c r="D244" i="103"/>
  <c r="D239" i="103"/>
  <c r="D235" i="103"/>
  <c r="D231" i="103"/>
  <c r="D227" i="103"/>
  <c r="D243" i="103"/>
  <c r="D238" i="103"/>
  <c r="D234" i="103"/>
  <c r="D230" i="103"/>
  <c r="D241" i="103"/>
  <c r="D237" i="103"/>
  <c r="D233" i="103"/>
  <c r="D229" i="103"/>
  <c r="D240" i="103"/>
  <c r="D236" i="103"/>
  <c r="D232" i="103"/>
  <c r="D228" i="103"/>
  <c r="H271" i="103"/>
  <c r="D285" i="103"/>
  <c r="D281" i="103"/>
  <c r="D277" i="103"/>
  <c r="D273" i="103"/>
  <c r="D284" i="103"/>
  <c r="D280" i="103"/>
  <c r="D276" i="103"/>
  <c r="D272" i="103"/>
  <c r="D288" i="103"/>
  <c r="D283" i="103"/>
  <c r="D279" i="103"/>
  <c r="D275" i="103"/>
  <c r="D271" i="103"/>
  <c r="D287" i="103"/>
  <c r="D282" i="103"/>
  <c r="D278" i="103"/>
  <c r="D274" i="103"/>
  <c r="H315" i="103"/>
  <c r="D332" i="103"/>
  <c r="D327" i="103"/>
  <c r="D323" i="103"/>
  <c r="D319" i="103"/>
  <c r="D315" i="103"/>
  <c r="D331" i="103"/>
  <c r="D326" i="103"/>
  <c r="D322" i="103"/>
  <c r="D318" i="103"/>
  <c r="D329" i="103"/>
  <c r="D325" i="103"/>
  <c r="D321" i="103"/>
  <c r="D317" i="103"/>
  <c r="D328" i="103"/>
  <c r="D324" i="103"/>
  <c r="D320" i="103"/>
  <c r="D316" i="103"/>
  <c r="H359" i="103"/>
  <c r="D373" i="103"/>
  <c r="D369" i="103"/>
  <c r="D365" i="103"/>
  <c r="D361" i="103"/>
  <c r="D372" i="103"/>
  <c r="D368" i="103"/>
  <c r="D364" i="103"/>
  <c r="D360" i="103"/>
  <c r="D376" i="103"/>
  <c r="D371" i="103"/>
  <c r="D367" i="103"/>
  <c r="D363" i="103"/>
  <c r="D359" i="103"/>
  <c r="D375" i="103"/>
  <c r="D370" i="103"/>
  <c r="D366" i="103"/>
  <c r="D362" i="103"/>
  <c r="H403" i="103"/>
  <c r="D420" i="103"/>
  <c r="D415" i="103"/>
  <c r="D411" i="103"/>
  <c r="D407" i="103"/>
  <c r="D403" i="103"/>
  <c r="D419" i="103"/>
  <c r="D414" i="103"/>
  <c r="D410" i="103"/>
  <c r="D406" i="103"/>
  <c r="D417" i="103"/>
  <c r="D413" i="103"/>
  <c r="D409" i="103"/>
  <c r="D405" i="103"/>
  <c r="D416" i="103"/>
  <c r="D412" i="103"/>
  <c r="D408" i="103"/>
  <c r="D404" i="103"/>
  <c r="H447" i="103"/>
  <c r="D461" i="103"/>
  <c r="D457" i="103"/>
  <c r="D453" i="103"/>
  <c r="D449" i="103"/>
  <c r="D460" i="103"/>
  <c r="D456" i="103"/>
  <c r="D452" i="103"/>
  <c r="D448" i="103"/>
  <c r="D464" i="103"/>
  <c r="D459" i="103"/>
  <c r="D455" i="103"/>
  <c r="D451" i="103"/>
  <c r="D447" i="103"/>
  <c r="D463" i="103"/>
  <c r="D458" i="103"/>
  <c r="D454" i="103"/>
  <c r="D450" i="103"/>
  <c r="H491" i="103"/>
  <c r="D508" i="103"/>
  <c r="D503" i="103"/>
  <c r="D499" i="103"/>
  <c r="D495" i="103"/>
  <c r="D491" i="103"/>
  <c r="D507" i="103"/>
  <c r="D502" i="103"/>
  <c r="D498" i="103"/>
  <c r="D494" i="103"/>
  <c r="D505" i="103"/>
  <c r="D501" i="103"/>
  <c r="D497" i="103"/>
  <c r="D493" i="103"/>
  <c r="D504" i="103"/>
  <c r="D500" i="103"/>
  <c r="D496" i="103"/>
  <c r="D492" i="103"/>
  <c r="H535" i="103"/>
  <c r="D549" i="103"/>
  <c r="D545" i="103"/>
  <c r="D541" i="103"/>
  <c r="D537" i="103"/>
  <c r="D548" i="103"/>
  <c r="D544" i="103"/>
  <c r="D540" i="103"/>
  <c r="D536" i="103"/>
  <c r="D552" i="103"/>
  <c r="D547" i="103"/>
  <c r="D543" i="103"/>
  <c r="D539" i="103"/>
  <c r="D535" i="103"/>
  <c r="D551" i="103"/>
  <c r="D546" i="103"/>
  <c r="D542" i="103"/>
  <c r="D538" i="103"/>
  <c r="H579" i="103"/>
  <c r="D596" i="103"/>
  <c r="D591" i="103"/>
  <c r="D587" i="103"/>
  <c r="D583" i="103"/>
  <c r="D579" i="103"/>
  <c r="D595" i="103"/>
  <c r="D590" i="103"/>
  <c r="D586" i="103"/>
  <c r="D582" i="103"/>
  <c r="D593" i="103"/>
  <c r="D589" i="103"/>
  <c r="D585" i="103"/>
  <c r="D581" i="103"/>
  <c r="D592" i="103"/>
  <c r="D588" i="103"/>
  <c r="D584" i="103"/>
  <c r="D580" i="103"/>
  <c r="H623" i="103"/>
  <c r="D637" i="103"/>
  <c r="D633" i="103"/>
  <c r="D629" i="103"/>
  <c r="D625" i="103"/>
  <c r="D636" i="103"/>
  <c r="D632" i="103"/>
  <c r="D628" i="103"/>
  <c r="D624" i="103"/>
  <c r="D640" i="103"/>
  <c r="D635" i="103"/>
  <c r="D631" i="103"/>
  <c r="D627" i="103"/>
  <c r="D623" i="103"/>
  <c r="D639" i="103"/>
  <c r="D634" i="103"/>
  <c r="D630" i="103"/>
  <c r="D626" i="103"/>
  <c r="H667" i="103"/>
  <c r="D684" i="103"/>
  <c r="D679" i="103"/>
  <c r="D675" i="103"/>
  <c r="D671" i="103"/>
  <c r="D667" i="103"/>
  <c r="D683" i="103"/>
  <c r="D678" i="103"/>
  <c r="D674" i="103"/>
  <c r="D670" i="103"/>
  <c r="D681" i="103"/>
  <c r="D677" i="103"/>
  <c r="D673" i="103"/>
  <c r="D669" i="103"/>
  <c r="D680" i="103"/>
  <c r="D676" i="103"/>
  <c r="D672" i="103"/>
  <c r="D668" i="103"/>
  <c r="H711" i="103"/>
  <c r="D725" i="103"/>
  <c r="D721" i="103"/>
  <c r="D717" i="103"/>
  <c r="D713" i="103"/>
  <c r="D724" i="103"/>
  <c r="D720" i="103"/>
  <c r="D716" i="103"/>
  <c r="D712" i="103"/>
  <c r="D728" i="103"/>
  <c r="D723" i="103"/>
  <c r="D719" i="103"/>
  <c r="D715" i="103"/>
  <c r="D711" i="103"/>
  <c r="D727" i="103"/>
  <c r="D722" i="103"/>
  <c r="D718" i="103"/>
  <c r="D714" i="103"/>
  <c r="H755" i="103"/>
  <c r="D772" i="103"/>
  <c r="D767" i="103"/>
  <c r="D763" i="103"/>
  <c r="D759" i="103"/>
  <c r="D755" i="103"/>
  <c r="D771" i="103"/>
  <c r="D766" i="103"/>
  <c r="D762" i="103"/>
  <c r="D758" i="103"/>
  <c r="D769" i="103"/>
  <c r="D765" i="103"/>
  <c r="D761" i="103"/>
  <c r="D757" i="103"/>
  <c r="D768" i="103"/>
  <c r="D764" i="103"/>
  <c r="D760" i="103"/>
  <c r="D756" i="103"/>
  <c r="H799" i="103"/>
  <c r="D813" i="103"/>
  <c r="D809" i="103"/>
  <c r="D805" i="103"/>
  <c r="D801" i="103"/>
  <c r="D812" i="103"/>
  <c r="D808" i="103"/>
  <c r="D804" i="103"/>
  <c r="D800" i="103"/>
  <c r="D816" i="103"/>
  <c r="D811" i="103"/>
  <c r="D807" i="103"/>
  <c r="D803" i="103"/>
  <c r="D799" i="103"/>
  <c r="D815" i="103"/>
  <c r="D810" i="103"/>
  <c r="D806" i="103"/>
  <c r="D802" i="103"/>
  <c r="H843" i="103"/>
  <c r="D860" i="103"/>
  <c r="D855" i="103"/>
  <c r="D851" i="103"/>
  <c r="D847" i="103"/>
  <c r="D843" i="103"/>
  <c r="D859" i="103"/>
  <c r="D854" i="103"/>
  <c r="D850" i="103"/>
  <c r="D846" i="103"/>
  <c r="D857" i="103"/>
  <c r="D853" i="103"/>
  <c r="D849" i="103"/>
  <c r="D845" i="103"/>
  <c r="D856" i="103"/>
  <c r="D852" i="103"/>
  <c r="D848" i="103"/>
  <c r="D844" i="103"/>
  <c r="H887" i="103"/>
  <c r="D901" i="103"/>
  <c r="D897" i="103"/>
  <c r="D893" i="103"/>
  <c r="D889" i="103"/>
  <c r="D900" i="103"/>
  <c r="D896" i="103"/>
  <c r="D892" i="103"/>
  <c r="D888" i="103"/>
  <c r="D904" i="103"/>
  <c r="D899" i="103"/>
  <c r="D895" i="103"/>
  <c r="D891" i="103"/>
  <c r="D887" i="103"/>
  <c r="D903" i="103"/>
  <c r="D898" i="103"/>
  <c r="D894" i="103"/>
  <c r="D890" i="103"/>
  <c r="H7" i="104"/>
  <c r="D20" i="104"/>
  <c r="D16" i="104"/>
  <c r="D12" i="104"/>
  <c r="D8" i="104"/>
  <c r="D24" i="104"/>
  <c r="D19" i="104"/>
  <c r="D15" i="104"/>
  <c r="D11" i="104"/>
  <c r="D7" i="104"/>
  <c r="D23" i="104"/>
  <c r="D18" i="104"/>
  <c r="D14" i="104"/>
  <c r="D10" i="104"/>
  <c r="D13" i="104"/>
  <c r="D9" i="104"/>
  <c r="D21" i="104"/>
  <c r="D17" i="104"/>
  <c r="H51" i="104"/>
  <c r="D67" i="104"/>
  <c r="D62" i="104"/>
  <c r="D58" i="104"/>
  <c r="D54" i="104"/>
  <c r="D65" i="104"/>
  <c r="D61" i="104"/>
  <c r="D57" i="104"/>
  <c r="D53" i="104"/>
  <c r="D64" i="104"/>
  <c r="D60" i="104"/>
  <c r="D56" i="104"/>
  <c r="D52" i="104"/>
  <c r="D55" i="104"/>
  <c r="D68" i="104"/>
  <c r="D51" i="104"/>
  <c r="D63" i="104"/>
  <c r="D59" i="104"/>
  <c r="H95" i="104"/>
  <c r="D108" i="104"/>
  <c r="D104" i="104"/>
  <c r="D100" i="104"/>
  <c r="D96" i="104"/>
  <c r="D112" i="104"/>
  <c r="D107" i="104"/>
  <c r="D103" i="104"/>
  <c r="D99" i="104"/>
  <c r="D95" i="104"/>
  <c r="D111" i="104"/>
  <c r="D106" i="104"/>
  <c r="D102" i="104"/>
  <c r="D98" i="104"/>
  <c r="D97" i="104"/>
  <c r="D109" i="104"/>
  <c r="D105" i="104"/>
  <c r="D101" i="104"/>
  <c r="H139" i="104"/>
  <c r="D155" i="104"/>
  <c r="D150" i="104"/>
  <c r="D146" i="104"/>
  <c r="D142" i="104"/>
  <c r="D153" i="104"/>
  <c r="D149" i="104"/>
  <c r="D145" i="104"/>
  <c r="D141" i="104"/>
  <c r="D152" i="104"/>
  <c r="D148" i="104"/>
  <c r="D144" i="104"/>
  <c r="D140" i="104"/>
  <c r="D156" i="104"/>
  <c r="D139" i="104"/>
  <c r="D151" i="104"/>
  <c r="D147" i="104"/>
  <c r="D143" i="104"/>
  <c r="H183" i="104"/>
  <c r="D196" i="104"/>
  <c r="D192" i="104"/>
  <c r="D188" i="104"/>
  <c r="D184" i="104"/>
  <c r="D200" i="104"/>
  <c r="D195" i="104"/>
  <c r="D191" i="104"/>
  <c r="D187" i="104"/>
  <c r="D183" i="104"/>
  <c r="D199" i="104"/>
  <c r="D194" i="104"/>
  <c r="D190" i="104"/>
  <c r="D186" i="104"/>
  <c r="D197" i="104"/>
  <c r="D193" i="104"/>
  <c r="D189" i="104"/>
  <c r="D185" i="104"/>
  <c r="H227" i="104"/>
  <c r="D243" i="104"/>
  <c r="D238" i="104"/>
  <c r="D234" i="104"/>
  <c r="D230" i="104"/>
  <c r="D241" i="104"/>
  <c r="D237" i="104"/>
  <c r="D233" i="104"/>
  <c r="D229" i="104"/>
  <c r="D240" i="104"/>
  <c r="D236" i="104"/>
  <c r="D232" i="104"/>
  <c r="D228" i="104"/>
  <c r="D239" i="104"/>
  <c r="D235" i="104"/>
  <c r="D231" i="104"/>
  <c r="D244" i="104"/>
  <c r="D227" i="104"/>
  <c r="H271" i="104"/>
  <c r="D284" i="104"/>
  <c r="D280" i="104"/>
  <c r="D276" i="104"/>
  <c r="D272" i="104"/>
  <c r="D288" i="104"/>
  <c r="D283" i="104"/>
  <c r="D279" i="104"/>
  <c r="D275" i="104"/>
  <c r="D271" i="104"/>
  <c r="D287" i="104"/>
  <c r="D282" i="104"/>
  <c r="D278" i="104"/>
  <c r="D274" i="104"/>
  <c r="D281" i="104"/>
  <c r="D277" i="104"/>
  <c r="D273" i="104"/>
  <c r="D285" i="104"/>
  <c r="H315" i="104"/>
  <c r="D331" i="104"/>
  <c r="D326" i="104"/>
  <c r="D322" i="104"/>
  <c r="D318" i="104"/>
  <c r="D329" i="104"/>
  <c r="D325" i="104"/>
  <c r="D321" i="104"/>
  <c r="D317" i="104"/>
  <c r="D328" i="104"/>
  <c r="D324" i="104"/>
  <c r="D320" i="104"/>
  <c r="D316" i="104"/>
  <c r="D323" i="104"/>
  <c r="D319" i="104"/>
  <c r="D332" i="104"/>
  <c r="D315" i="104"/>
  <c r="D327" i="104"/>
  <c r="H359" i="104"/>
  <c r="D372" i="104"/>
  <c r="D368" i="104"/>
  <c r="D364" i="104"/>
  <c r="D360" i="104"/>
  <c r="D376" i="104"/>
  <c r="D371" i="104"/>
  <c r="D367" i="104"/>
  <c r="D363" i="104"/>
  <c r="D359" i="104"/>
  <c r="D375" i="104"/>
  <c r="D370" i="104"/>
  <c r="D366" i="104"/>
  <c r="D362" i="104"/>
  <c r="D365" i="104"/>
  <c r="D361" i="104"/>
  <c r="D373" i="104"/>
  <c r="D369" i="104"/>
  <c r="H29" i="105"/>
  <c r="D42" i="105"/>
  <c r="D38" i="105"/>
  <c r="D34" i="105"/>
  <c r="D30" i="105"/>
  <c r="D46" i="105"/>
  <c r="D41" i="105"/>
  <c r="D37" i="105"/>
  <c r="D33" i="105"/>
  <c r="D29" i="105"/>
  <c r="D45" i="105"/>
  <c r="D40" i="105"/>
  <c r="D36" i="105"/>
  <c r="D32" i="105"/>
  <c r="D39" i="105"/>
  <c r="D35" i="105"/>
  <c r="D31" i="105"/>
  <c r="D43" i="105"/>
  <c r="H73" i="105"/>
  <c r="D89" i="105"/>
  <c r="D84" i="105"/>
  <c r="D80" i="105"/>
  <c r="D76" i="105"/>
  <c r="D87" i="105"/>
  <c r="D83" i="105"/>
  <c r="D79" i="105"/>
  <c r="D75" i="105"/>
  <c r="D86" i="105"/>
  <c r="D82" i="105"/>
  <c r="D78" i="105"/>
  <c r="D74" i="105"/>
  <c r="D81" i="105"/>
  <c r="D77" i="105"/>
  <c r="D90" i="105"/>
  <c r="D73" i="105"/>
  <c r="D85" i="105"/>
  <c r="H117" i="105"/>
  <c r="D130" i="105"/>
  <c r="D126" i="105"/>
  <c r="D122" i="105"/>
  <c r="D118" i="105"/>
  <c r="D134" i="105"/>
  <c r="D129" i="105"/>
  <c r="D125" i="105"/>
  <c r="D121" i="105"/>
  <c r="D117" i="105"/>
  <c r="D133" i="105"/>
  <c r="D128" i="105"/>
  <c r="D124" i="105"/>
  <c r="D120" i="105"/>
  <c r="D123" i="105"/>
  <c r="D119" i="105"/>
  <c r="D131" i="105"/>
  <c r="D127" i="105"/>
  <c r="H161" i="105"/>
  <c r="D177" i="105"/>
  <c r="D172" i="105"/>
  <c r="D168" i="105"/>
  <c r="D164" i="105"/>
  <c r="D175" i="105"/>
  <c r="D171" i="105"/>
  <c r="D167" i="105"/>
  <c r="D163" i="105"/>
  <c r="D174" i="105"/>
  <c r="D170" i="105"/>
  <c r="D166" i="105"/>
  <c r="D162" i="105"/>
  <c r="D165" i="105"/>
  <c r="D178" i="105"/>
  <c r="D161" i="105"/>
  <c r="D173" i="105"/>
  <c r="D169" i="105"/>
  <c r="H205" i="105"/>
  <c r="D218" i="105"/>
  <c r="D214" i="105"/>
  <c r="D210" i="105"/>
  <c r="D206" i="105"/>
  <c r="D222" i="105"/>
  <c r="D217" i="105"/>
  <c r="D213" i="105"/>
  <c r="D209" i="105"/>
  <c r="D205" i="105"/>
  <c r="D221" i="105"/>
  <c r="D216" i="105"/>
  <c r="D212" i="105"/>
  <c r="D208" i="105"/>
  <c r="D207" i="105"/>
  <c r="D219" i="105"/>
  <c r="D215" i="105"/>
  <c r="D211" i="105"/>
  <c r="H249" i="105"/>
  <c r="D265" i="105"/>
  <c r="D260" i="105"/>
  <c r="D256" i="105"/>
  <c r="D252" i="105"/>
  <c r="D263" i="105"/>
  <c r="D259" i="105"/>
  <c r="D255" i="105"/>
  <c r="D251" i="105"/>
  <c r="D262" i="105"/>
  <c r="D258" i="105"/>
  <c r="D254" i="105"/>
  <c r="D250" i="105"/>
  <c r="D266" i="105"/>
  <c r="D249" i="105"/>
  <c r="D261" i="105"/>
  <c r="D257" i="105"/>
  <c r="D253" i="105"/>
  <c r="H293" i="105"/>
  <c r="D306" i="105"/>
  <c r="D302" i="105"/>
  <c r="D298" i="105"/>
  <c r="D294" i="105"/>
  <c r="D310" i="105"/>
  <c r="D305" i="105"/>
  <c r="D301" i="105"/>
  <c r="D297" i="105"/>
  <c r="D293" i="105"/>
  <c r="D309" i="105"/>
  <c r="D304" i="105"/>
  <c r="D300" i="105"/>
  <c r="D296" i="105"/>
  <c r="D307" i="105"/>
  <c r="D303" i="105"/>
  <c r="D299" i="105"/>
  <c r="D295" i="105"/>
  <c r="H337" i="105"/>
  <c r="D353" i="105"/>
  <c r="D348" i="105"/>
  <c r="D344" i="105"/>
  <c r="D340" i="105"/>
  <c r="D351" i="105"/>
  <c r="D347" i="105"/>
  <c r="D343" i="105"/>
  <c r="D339" i="105"/>
  <c r="D350" i="105"/>
  <c r="D346" i="105"/>
  <c r="D342" i="105"/>
  <c r="D338" i="105"/>
  <c r="D349" i="105"/>
  <c r="D345" i="105"/>
  <c r="D341" i="105"/>
  <c r="D337" i="105"/>
  <c r="D354" i="105"/>
  <c r="H381" i="105"/>
  <c r="D398" i="105"/>
  <c r="D393" i="105"/>
  <c r="D389" i="105"/>
  <c r="D385" i="105"/>
  <c r="D397" i="105"/>
  <c r="D392" i="105"/>
  <c r="D388" i="105"/>
  <c r="D384" i="105"/>
  <c r="D390" i="105"/>
  <c r="D382" i="105"/>
  <c r="D395" i="105"/>
  <c r="D387" i="105"/>
  <c r="D381" i="105"/>
  <c r="D394" i="105"/>
  <c r="D386" i="105"/>
  <c r="D391" i="105"/>
  <c r="D383" i="105"/>
  <c r="H425" i="105"/>
  <c r="D439" i="105"/>
  <c r="D435" i="105"/>
  <c r="D431" i="105"/>
  <c r="D427" i="105"/>
  <c r="D438" i="105"/>
  <c r="D434" i="105"/>
  <c r="D430" i="105"/>
  <c r="D426" i="105"/>
  <c r="D441" i="105"/>
  <c r="D432" i="105"/>
  <c r="D437" i="105"/>
  <c r="D429" i="105"/>
  <c r="D436" i="105"/>
  <c r="D428" i="105"/>
  <c r="D442" i="105"/>
  <c r="D433" i="105"/>
  <c r="D425" i="105"/>
  <c r="H469" i="105"/>
  <c r="D486" i="105"/>
  <c r="D481" i="105"/>
  <c r="D477" i="105"/>
  <c r="D473" i="105"/>
  <c r="D469" i="105"/>
  <c r="D485" i="105"/>
  <c r="D480" i="105"/>
  <c r="D476" i="105"/>
  <c r="D472" i="105"/>
  <c r="D482" i="105"/>
  <c r="D474" i="105"/>
  <c r="D479" i="105"/>
  <c r="D471" i="105"/>
  <c r="D478" i="105"/>
  <c r="D470" i="105"/>
  <c r="D483" i="105"/>
  <c r="D475" i="105"/>
  <c r="H513" i="105"/>
  <c r="D527" i="105"/>
  <c r="D523" i="105"/>
  <c r="D519" i="105"/>
  <c r="D515" i="105"/>
  <c r="D526" i="105"/>
  <c r="D522" i="105"/>
  <c r="D518" i="105"/>
  <c r="D514" i="105"/>
  <c r="D530" i="105"/>
  <c r="D525" i="105"/>
  <c r="D521" i="105"/>
  <c r="D517" i="105"/>
  <c r="D513" i="105"/>
  <c r="D529" i="105"/>
  <c r="D524" i="105"/>
  <c r="D520" i="105"/>
  <c r="D516" i="105"/>
  <c r="H557" i="105"/>
  <c r="D574" i="105"/>
  <c r="D569" i="105"/>
  <c r="D565" i="105"/>
  <c r="D561" i="105"/>
  <c r="D557" i="105"/>
  <c r="D573" i="105"/>
  <c r="D568" i="105"/>
  <c r="D564" i="105"/>
  <c r="D560" i="105"/>
  <c r="D571" i="105"/>
  <c r="D567" i="105"/>
  <c r="D563" i="105"/>
  <c r="D559" i="105"/>
  <c r="D570" i="105"/>
  <c r="D566" i="105"/>
  <c r="D562" i="105"/>
  <c r="D558" i="105"/>
  <c r="H601" i="105"/>
  <c r="D615" i="105"/>
  <c r="D611" i="105"/>
  <c r="D607" i="105"/>
  <c r="D603" i="105"/>
  <c r="D614" i="105"/>
  <c r="D610" i="105"/>
  <c r="D606" i="105"/>
  <c r="D602" i="105"/>
  <c r="D618" i="105"/>
  <c r="D613" i="105"/>
  <c r="D609" i="105"/>
  <c r="D605" i="105"/>
  <c r="D601" i="105"/>
  <c r="D612" i="105"/>
  <c r="D608" i="105"/>
  <c r="D604" i="105"/>
  <c r="D617" i="105"/>
  <c r="H645" i="105"/>
  <c r="D662" i="105"/>
  <c r="D657" i="105"/>
  <c r="D653" i="105"/>
  <c r="D649" i="105"/>
  <c r="D645" i="105"/>
  <c r="D661" i="105"/>
  <c r="D656" i="105"/>
  <c r="D652" i="105"/>
  <c r="D648" i="105"/>
  <c r="D659" i="105"/>
  <c r="D655" i="105"/>
  <c r="D651" i="105"/>
  <c r="D647" i="105"/>
  <c r="D654" i="105"/>
  <c r="D650" i="105"/>
  <c r="D646" i="105"/>
  <c r="D658" i="105"/>
  <c r="H689" i="105"/>
  <c r="D703" i="105"/>
  <c r="D699" i="105"/>
  <c r="D695" i="105"/>
  <c r="D691" i="105"/>
  <c r="D702" i="105"/>
  <c r="D698" i="105"/>
  <c r="D694" i="105"/>
  <c r="D690" i="105"/>
  <c r="D706" i="105"/>
  <c r="D701" i="105"/>
  <c r="D697" i="105"/>
  <c r="D693" i="105"/>
  <c r="D689" i="105"/>
  <c r="D696" i="105"/>
  <c r="D692" i="105"/>
  <c r="D705" i="105"/>
  <c r="D700" i="105"/>
  <c r="H733" i="105"/>
  <c r="D750" i="105"/>
  <c r="D745" i="105"/>
  <c r="D741" i="105"/>
  <c r="D737" i="105"/>
  <c r="D733" i="105"/>
  <c r="D749" i="105"/>
  <c r="D744" i="105"/>
  <c r="D740" i="105"/>
  <c r="D736" i="105"/>
  <c r="D747" i="105"/>
  <c r="D743" i="105"/>
  <c r="D739" i="105"/>
  <c r="D735" i="105"/>
  <c r="D738" i="105"/>
  <c r="D734" i="105"/>
  <c r="D746" i="105"/>
  <c r="D742" i="105"/>
  <c r="H777" i="105"/>
  <c r="D791" i="105"/>
  <c r="D787" i="105"/>
  <c r="D783" i="105"/>
  <c r="D779" i="105"/>
  <c r="D790" i="105"/>
  <c r="D786" i="105"/>
  <c r="D782" i="105"/>
  <c r="D778" i="105"/>
  <c r="D794" i="105"/>
  <c r="D789" i="105"/>
  <c r="D785" i="105"/>
  <c r="D781" i="105"/>
  <c r="D777" i="105"/>
  <c r="D780" i="105"/>
  <c r="D793" i="105"/>
  <c r="D788" i="105"/>
  <c r="D784" i="105"/>
  <c r="H821" i="105"/>
  <c r="D838" i="105"/>
  <c r="D833" i="105"/>
  <c r="D829" i="105"/>
  <c r="D825" i="105"/>
  <c r="D821" i="105"/>
  <c r="D837" i="105"/>
  <c r="D832" i="105"/>
  <c r="D828" i="105"/>
  <c r="D824" i="105"/>
  <c r="D835" i="105"/>
  <c r="D831" i="105"/>
  <c r="D827" i="105"/>
  <c r="D823" i="105"/>
  <c r="D822" i="105"/>
  <c r="D834" i="105"/>
  <c r="D830" i="105"/>
  <c r="D826" i="105"/>
  <c r="H865" i="105"/>
  <c r="D879" i="105"/>
  <c r="D875" i="105"/>
  <c r="D871" i="105"/>
  <c r="D867" i="105"/>
  <c r="D878" i="105"/>
  <c r="D874" i="105"/>
  <c r="D870" i="105"/>
  <c r="D866" i="105"/>
  <c r="D882" i="105"/>
  <c r="D877" i="105"/>
  <c r="D873" i="105"/>
  <c r="D869" i="105"/>
  <c r="D865" i="105"/>
  <c r="D881" i="105"/>
  <c r="D876" i="105"/>
  <c r="D872" i="105"/>
  <c r="D868" i="105"/>
  <c r="H909" i="105"/>
  <c r="D926" i="105"/>
  <c r="D921" i="105"/>
  <c r="D917" i="105"/>
  <c r="D913" i="105"/>
  <c r="D909" i="105"/>
  <c r="D925" i="105"/>
  <c r="D920" i="105"/>
  <c r="D916" i="105"/>
  <c r="D912" i="105"/>
  <c r="D923" i="105"/>
  <c r="D919" i="105"/>
  <c r="D915" i="105"/>
  <c r="D911" i="105"/>
  <c r="D922" i="105"/>
  <c r="D918" i="105"/>
  <c r="D914" i="105"/>
  <c r="D910" i="105"/>
  <c r="H953" i="105"/>
  <c r="D967" i="105"/>
  <c r="D963" i="105"/>
  <c r="D959" i="105"/>
  <c r="D955" i="105"/>
  <c r="D966" i="105"/>
  <c r="D962" i="105"/>
  <c r="D958" i="105"/>
  <c r="D954" i="105"/>
  <c r="D970" i="105"/>
  <c r="D965" i="105"/>
  <c r="D961" i="105"/>
  <c r="D957" i="105"/>
  <c r="D953" i="105"/>
  <c r="D964" i="105"/>
  <c r="D960" i="105"/>
  <c r="D956" i="105"/>
  <c r="D969" i="105"/>
  <c r="H997" i="105"/>
  <c r="D1014" i="105"/>
  <c r="D1009" i="105"/>
  <c r="D1005" i="105"/>
  <c r="D1001" i="105"/>
  <c r="D997" i="105"/>
  <c r="D1013" i="105"/>
  <c r="D1008" i="105"/>
  <c r="D1004" i="105"/>
  <c r="D1000" i="105"/>
  <c r="D1011" i="105"/>
  <c r="D1007" i="105"/>
  <c r="D1003" i="105"/>
  <c r="D999" i="105"/>
  <c r="D1006" i="105"/>
  <c r="D1002" i="105"/>
  <c r="D998" i="105"/>
  <c r="D1010" i="105"/>
  <c r="H1041" i="105"/>
  <c r="D1055" i="105"/>
  <c r="D1051" i="105"/>
  <c r="D1047" i="105"/>
  <c r="D1043" i="105"/>
  <c r="D1054" i="105"/>
  <c r="D1050" i="105"/>
  <c r="D1046" i="105"/>
  <c r="D1042" i="105"/>
  <c r="D1058" i="105"/>
  <c r="D1053" i="105"/>
  <c r="D1049" i="105"/>
  <c r="D1045" i="105"/>
  <c r="D1041" i="105"/>
  <c r="D1048" i="105"/>
  <c r="D1044" i="105"/>
  <c r="D1057" i="105"/>
  <c r="D1052" i="105"/>
  <c r="H29" i="106"/>
  <c r="D46" i="106"/>
  <c r="D41" i="106"/>
  <c r="D37" i="106"/>
  <c r="D33" i="106"/>
  <c r="D29" i="106"/>
  <c r="D45" i="106"/>
  <c r="D40" i="106"/>
  <c r="D36" i="106"/>
  <c r="D32" i="106"/>
  <c r="D43" i="106"/>
  <c r="D39" i="106"/>
  <c r="D35" i="106"/>
  <c r="D31" i="106"/>
  <c r="D42" i="106"/>
  <c r="D38" i="106"/>
  <c r="D34" i="106"/>
  <c r="D30" i="106"/>
  <c r="H73" i="106"/>
  <c r="D87" i="106"/>
  <c r="D83" i="106"/>
  <c r="D79" i="106"/>
  <c r="D75" i="106"/>
  <c r="D86" i="106"/>
  <c r="D82" i="106"/>
  <c r="D78" i="106"/>
  <c r="D74" i="106"/>
  <c r="D90" i="106"/>
  <c r="D85" i="106"/>
  <c r="D81" i="106"/>
  <c r="D77" i="106"/>
  <c r="D73" i="106"/>
  <c r="D84" i="106"/>
  <c r="D80" i="106"/>
  <c r="D76" i="106"/>
  <c r="D89" i="106"/>
  <c r="H117" i="106"/>
  <c r="D134" i="106"/>
  <c r="D129" i="106"/>
  <c r="D125" i="106"/>
  <c r="D121" i="106"/>
  <c r="D117" i="106"/>
  <c r="D133" i="106"/>
  <c r="D128" i="106"/>
  <c r="D124" i="106"/>
  <c r="D120" i="106"/>
  <c r="D131" i="106"/>
  <c r="D127" i="106"/>
  <c r="D123" i="106"/>
  <c r="D119" i="106"/>
  <c r="D126" i="106"/>
  <c r="D122" i="106"/>
  <c r="D118" i="106"/>
  <c r="D130" i="106"/>
  <c r="H161" i="106"/>
  <c r="D175" i="106"/>
  <c r="D171" i="106"/>
  <c r="D167" i="106"/>
  <c r="D163" i="106"/>
  <c r="D174" i="106"/>
  <c r="D170" i="106"/>
  <c r="D166" i="106"/>
  <c r="D162" i="106"/>
  <c r="D178" i="106"/>
  <c r="D173" i="106"/>
  <c r="D169" i="106"/>
  <c r="D165" i="106"/>
  <c r="D161" i="106"/>
  <c r="D168" i="106"/>
  <c r="D164" i="106"/>
  <c r="D177" i="106"/>
  <c r="D172" i="106"/>
  <c r="H205" i="106"/>
  <c r="D222" i="106"/>
  <c r="D217" i="106"/>
  <c r="D213" i="106"/>
  <c r="D209" i="106"/>
  <c r="D205" i="106"/>
  <c r="D221" i="106"/>
  <c r="D216" i="106"/>
  <c r="D212" i="106"/>
  <c r="D208" i="106"/>
  <c r="D219" i="106"/>
  <c r="D215" i="106"/>
  <c r="D211" i="106"/>
  <c r="D207" i="106"/>
  <c r="D210" i="106"/>
  <c r="D206" i="106"/>
  <c r="D218" i="106"/>
  <c r="D214" i="106"/>
  <c r="H249" i="106"/>
  <c r="D263" i="106"/>
  <c r="D259" i="106"/>
  <c r="D255" i="106"/>
  <c r="D251" i="106"/>
  <c r="D262" i="106"/>
  <c r="D258" i="106"/>
  <c r="D254" i="106"/>
  <c r="D250" i="106"/>
  <c r="D266" i="106"/>
  <c r="D261" i="106"/>
  <c r="D257" i="106"/>
  <c r="D253" i="106"/>
  <c r="D249" i="106"/>
  <c r="D252" i="106"/>
  <c r="D265" i="106"/>
  <c r="D260" i="106"/>
  <c r="D256" i="106"/>
  <c r="H293" i="106"/>
  <c r="D310" i="106"/>
  <c r="D305" i="106"/>
  <c r="D301" i="106"/>
  <c r="D297" i="106"/>
  <c r="D293" i="106"/>
  <c r="D309" i="106"/>
  <c r="D304" i="106"/>
  <c r="D300" i="106"/>
  <c r="D296" i="106"/>
  <c r="D307" i="106"/>
  <c r="D303" i="106"/>
  <c r="D299" i="106"/>
  <c r="D295" i="106"/>
  <c r="D294" i="106"/>
  <c r="D306" i="106"/>
  <c r="D302" i="106"/>
  <c r="D298" i="106"/>
  <c r="H337" i="106"/>
  <c r="D351" i="106"/>
  <c r="D347" i="106"/>
  <c r="D343" i="106"/>
  <c r="D339" i="106"/>
  <c r="D350" i="106"/>
  <c r="D346" i="106"/>
  <c r="D342" i="106"/>
  <c r="D338" i="106"/>
  <c r="D354" i="106"/>
  <c r="D349" i="106"/>
  <c r="D345" i="106"/>
  <c r="D341" i="106"/>
  <c r="D337" i="106"/>
  <c r="D353" i="106"/>
  <c r="D348" i="106"/>
  <c r="D344" i="106"/>
  <c r="D340" i="106"/>
  <c r="H381" i="106"/>
  <c r="D398" i="106"/>
  <c r="D393" i="106"/>
  <c r="D389" i="106"/>
  <c r="D385" i="106"/>
  <c r="D381" i="106"/>
  <c r="D397" i="106"/>
  <c r="D392" i="106"/>
  <c r="D388" i="106"/>
  <c r="D384" i="106"/>
  <c r="D395" i="106"/>
  <c r="D391" i="106"/>
  <c r="D387" i="106"/>
  <c r="D383" i="106"/>
  <c r="D394" i="106"/>
  <c r="D390" i="106"/>
  <c r="D386" i="106"/>
  <c r="D382" i="106"/>
  <c r="H7" i="107"/>
  <c r="D21" i="107"/>
  <c r="D17" i="107"/>
  <c r="D13" i="107"/>
  <c r="D9" i="107"/>
  <c r="D20" i="107"/>
  <c r="D16" i="107"/>
  <c r="D12" i="107"/>
  <c r="D8" i="107"/>
  <c r="D24" i="107"/>
  <c r="D19" i="107"/>
  <c r="D15" i="107"/>
  <c r="D11" i="107"/>
  <c r="D7" i="107"/>
  <c r="D23" i="107"/>
  <c r="D18" i="107"/>
  <c r="D14" i="107"/>
  <c r="D10" i="107"/>
  <c r="H51" i="107"/>
  <c r="D68" i="107"/>
  <c r="D63" i="107"/>
  <c r="D59" i="107"/>
  <c r="D55" i="107"/>
  <c r="D51" i="107"/>
  <c r="D67" i="107"/>
  <c r="D62" i="107"/>
  <c r="D58" i="107"/>
  <c r="D54" i="107"/>
  <c r="D65" i="107"/>
  <c r="D61" i="107"/>
  <c r="D57" i="107"/>
  <c r="D53" i="107"/>
  <c r="D64" i="107"/>
  <c r="D60" i="107"/>
  <c r="D56" i="107"/>
  <c r="D52" i="107"/>
  <c r="H95" i="107"/>
  <c r="D109" i="107"/>
  <c r="D105" i="107"/>
  <c r="D101" i="107"/>
  <c r="D97" i="107"/>
  <c r="D108" i="107"/>
  <c r="D104" i="107"/>
  <c r="D100" i="107"/>
  <c r="D96" i="107"/>
  <c r="D112" i="107"/>
  <c r="D107" i="107"/>
  <c r="D103" i="107"/>
  <c r="D99" i="107"/>
  <c r="D95" i="107"/>
  <c r="D106" i="107"/>
  <c r="D102" i="107"/>
  <c r="D98" i="107"/>
  <c r="D111" i="107"/>
  <c r="H139" i="107"/>
  <c r="D156" i="107"/>
  <c r="D151" i="107"/>
  <c r="D147" i="107"/>
  <c r="D143" i="107"/>
  <c r="D139" i="107"/>
  <c r="D155" i="107"/>
  <c r="D150" i="107"/>
  <c r="D146" i="107"/>
  <c r="D142" i="107"/>
  <c r="D153" i="107"/>
  <c r="D149" i="107"/>
  <c r="D145" i="107"/>
  <c r="D141" i="107"/>
  <c r="D148" i="107"/>
  <c r="D144" i="107"/>
  <c r="D140" i="107"/>
  <c r="D152" i="107"/>
  <c r="H183" i="107"/>
  <c r="D197" i="107"/>
  <c r="D193" i="107"/>
  <c r="D189" i="107"/>
  <c r="D185" i="107"/>
  <c r="D196" i="107"/>
  <c r="D192" i="107"/>
  <c r="D188" i="107"/>
  <c r="D184" i="107"/>
  <c r="D200" i="107"/>
  <c r="D195" i="107"/>
  <c r="D191" i="107"/>
  <c r="D187" i="107"/>
  <c r="D183" i="107"/>
  <c r="D190" i="107"/>
  <c r="D186" i="107"/>
  <c r="D199" i="107"/>
  <c r="D194" i="107"/>
  <c r="H227" i="107"/>
  <c r="D244" i="107"/>
  <c r="D239" i="107"/>
  <c r="D235" i="107"/>
  <c r="D231" i="107"/>
  <c r="D227" i="107"/>
  <c r="D243" i="107"/>
  <c r="D238" i="107"/>
  <c r="D234" i="107"/>
  <c r="D230" i="107"/>
  <c r="D241" i="107"/>
  <c r="D237" i="107"/>
  <c r="D233" i="107"/>
  <c r="D229" i="107"/>
  <c r="D232" i="107"/>
  <c r="D228" i="107"/>
  <c r="D240" i="107"/>
  <c r="D236" i="107"/>
  <c r="H271" i="107"/>
  <c r="D285" i="107"/>
  <c r="D281" i="107"/>
  <c r="D277" i="107"/>
  <c r="D273" i="107"/>
  <c r="D284" i="107"/>
  <c r="D280" i="107"/>
  <c r="D276" i="107"/>
  <c r="D272" i="107"/>
  <c r="D288" i="107"/>
  <c r="D283" i="107"/>
  <c r="D279" i="107"/>
  <c r="D275" i="107"/>
  <c r="D271" i="107"/>
  <c r="D274" i="107"/>
  <c r="D287" i="107"/>
  <c r="D282" i="107"/>
  <c r="D278" i="107"/>
  <c r="H315" i="107"/>
  <c r="D332" i="107"/>
  <c r="D327" i="107"/>
  <c r="D323" i="107"/>
  <c r="D319" i="107"/>
  <c r="D315" i="107"/>
  <c r="D331" i="107"/>
  <c r="D326" i="107"/>
  <c r="D322" i="107"/>
  <c r="D318" i="107"/>
  <c r="D329" i="107"/>
  <c r="D325" i="107"/>
  <c r="D321" i="107"/>
  <c r="D317" i="107"/>
  <c r="D316" i="107"/>
  <c r="D328" i="107"/>
  <c r="D324" i="107"/>
  <c r="D320" i="107"/>
  <c r="H359" i="107"/>
  <c r="D373" i="107"/>
  <c r="D369" i="107"/>
  <c r="D365" i="107"/>
  <c r="D361" i="107"/>
  <c r="D372" i="107"/>
  <c r="D368" i="107"/>
  <c r="D364" i="107"/>
  <c r="D360" i="107"/>
  <c r="D376" i="107"/>
  <c r="D371" i="107"/>
  <c r="D367" i="107"/>
  <c r="D363" i="107"/>
  <c r="D359" i="107"/>
  <c r="D375" i="107"/>
  <c r="D370" i="107"/>
  <c r="D366" i="107"/>
  <c r="D362" i="107"/>
  <c r="H29" i="108"/>
  <c r="D45" i="108"/>
  <c r="D40" i="108"/>
  <c r="D36" i="108"/>
  <c r="D32" i="108"/>
  <c r="D43" i="108"/>
  <c r="D39" i="108"/>
  <c r="D35" i="108"/>
  <c r="D31" i="108"/>
  <c r="D46" i="108"/>
  <c r="D37" i="108"/>
  <c r="D29" i="108"/>
  <c r="D42" i="108"/>
  <c r="D34" i="108"/>
  <c r="D41" i="108"/>
  <c r="D33" i="108"/>
  <c r="D38" i="108"/>
  <c r="D30" i="108"/>
  <c r="H73" i="108"/>
  <c r="D86" i="108"/>
  <c r="D82" i="108"/>
  <c r="D78" i="108"/>
  <c r="D74" i="108"/>
  <c r="D90" i="108"/>
  <c r="D85" i="108"/>
  <c r="D81" i="108"/>
  <c r="D77" i="108"/>
  <c r="D73" i="108"/>
  <c r="D87" i="108"/>
  <c r="D79" i="108"/>
  <c r="D84" i="108"/>
  <c r="D76" i="108"/>
  <c r="D83" i="108"/>
  <c r="D75" i="108"/>
  <c r="D80" i="108"/>
  <c r="D89" i="108"/>
  <c r="H117" i="108"/>
  <c r="D133" i="108"/>
  <c r="D128" i="108"/>
  <c r="D124" i="108"/>
  <c r="D120" i="108"/>
  <c r="D131" i="108"/>
  <c r="D127" i="108"/>
  <c r="D123" i="108"/>
  <c r="D119" i="108"/>
  <c r="D129" i="108"/>
  <c r="D121" i="108"/>
  <c r="D126" i="108"/>
  <c r="D118" i="108"/>
  <c r="D134" i="108"/>
  <c r="D125" i="108"/>
  <c r="D117" i="108"/>
  <c r="D122" i="108"/>
  <c r="D130" i="108"/>
  <c r="H161" i="108"/>
  <c r="D174" i="108"/>
  <c r="D170" i="108"/>
  <c r="D166" i="108"/>
  <c r="D162" i="108"/>
  <c r="D178" i="108"/>
  <c r="D173" i="108"/>
  <c r="D169" i="108"/>
  <c r="D165" i="108"/>
  <c r="D161" i="108"/>
  <c r="D171" i="108"/>
  <c r="D163" i="108"/>
  <c r="D177" i="108"/>
  <c r="D168" i="108"/>
  <c r="D175" i="108"/>
  <c r="D167" i="108"/>
  <c r="D164" i="108"/>
  <c r="D172" i="108"/>
  <c r="H205" i="108"/>
  <c r="D221" i="108"/>
  <c r="D216" i="108"/>
  <c r="D212" i="108"/>
  <c r="D208" i="108"/>
  <c r="D219" i="108"/>
  <c r="D215" i="108"/>
  <c r="D211" i="108"/>
  <c r="D207" i="108"/>
  <c r="D222" i="108"/>
  <c r="D213" i="108"/>
  <c r="D205" i="108"/>
  <c r="D218" i="108"/>
  <c r="D210" i="108"/>
  <c r="D217" i="108"/>
  <c r="D209" i="108"/>
  <c r="D206" i="108"/>
  <c r="D214" i="108"/>
  <c r="H249" i="108"/>
  <c r="D262" i="108"/>
  <c r="D258" i="108"/>
  <c r="D254" i="108"/>
  <c r="D250" i="108"/>
  <c r="D266" i="108"/>
  <c r="D261" i="108"/>
  <c r="D257" i="108"/>
  <c r="D253" i="108"/>
  <c r="D249" i="108"/>
  <c r="D263" i="108"/>
  <c r="D255" i="108"/>
  <c r="D260" i="108"/>
  <c r="D252" i="108"/>
  <c r="D259" i="108"/>
  <c r="D251" i="108"/>
  <c r="D265" i="108"/>
  <c r="D256" i="108"/>
  <c r="H293" i="108"/>
  <c r="D309" i="108"/>
  <c r="D304" i="108"/>
  <c r="D300" i="108"/>
  <c r="D296" i="108"/>
  <c r="D307" i="108"/>
  <c r="D303" i="108"/>
  <c r="D299" i="108"/>
  <c r="D295" i="108"/>
  <c r="D305" i="108"/>
  <c r="D297" i="108"/>
  <c r="D302" i="108"/>
  <c r="D294" i="108"/>
  <c r="D310" i="108"/>
  <c r="D301" i="108"/>
  <c r="D293" i="108"/>
  <c r="D306" i="108"/>
  <c r="D298" i="108"/>
  <c r="H337" i="108"/>
  <c r="D350" i="108"/>
  <c r="D346" i="108"/>
  <c r="D342" i="108"/>
  <c r="D338" i="108"/>
  <c r="D354" i="108"/>
  <c r="D349" i="108"/>
  <c r="D345" i="108"/>
  <c r="D341" i="108"/>
  <c r="D337" i="108"/>
  <c r="D347" i="108"/>
  <c r="D339" i="108"/>
  <c r="D353" i="108"/>
  <c r="D344" i="108"/>
  <c r="D351" i="108"/>
  <c r="D343" i="108"/>
  <c r="D348" i="108"/>
  <c r="D340" i="108"/>
  <c r="H381" i="108"/>
  <c r="D397" i="108"/>
  <c r="D392" i="108"/>
  <c r="D388" i="108"/>
  <c r="D384" i="108"/>
  <c r="D395" i="108"/>
  <c r="D391" i="108"/>
  <c r="D387" i="108"/>
  <c r="D383" i="108"/>
  <c r="D398" i="108"/>
  <c r="D389" i="108"/>
  <c r="D381" i="108"/>
  <c r="D394" i="108"/>
  <c r="D386" i="108"/>
  <c r="D393" i="108"/>
  <c r="D385" i="108"/>
  <c r="D390" i="108"/>
  <c r="D382" i="108"/>
  <c r="H425" i="108"/>
  <c r="D438" i="108"/>
  <c r="D434" i="108"/>
  <c r="D430" i="108"/>
  <c r="D426" i="108"/>
  <c r="D442" i="108"/>
  <c r="D437" i="108"/>
  <c r="D433" i="108"/>
  <c r="D429" i="108"/>
  <c r="D425" i="108"/>
  <c r="D439" i="108"/>
  <c r="D431" i="108"/>
  <c r="D436" i="108"/>
  <c r="D428" i="108"/>
  <c r="D435" i="108"/>
  <c r="D427" i="108"/>
  <c r="D441" i="108"/>
  <c r="D432" i="108"/>
  <c r="H469" i="108"/>
  <c r="D485" i="108"/>
  <c r="D480" i="108"/>
  <c r="D476" i="108"/>
  <c r="D472" i="108"/>
  <c r="D483" i="108"/>
  <c r="D479" i="108"/>
  <c r="D475" i="108"/>
  <c r="D471" i="108"/>
  <c r="D482" i="108"/>
  <c r="D478" i="108"/>
  <c r="D474" i="108"/>
  <c r="D470" i="108"/>
  <c r="D473" i="108"/>
  <c r="D486" i="108"/>
  <c r="D469" i="108"/>
  <c r="D481" i="108"/>
  <c r="D477" i="108"/>
  <c r="H513" i="108"/>
  <c r="D526" i="108"/>
  <c r="D522" i="108"/>
  <c r="D518" i="108"/>
  <c r="D514" i="108"/>
  <c r="D530" i="108"/>
  <c r="D525" i="108"/>
  <c r="D521" i="108"/>
  <c r="D517" i="108"/>
  <c r="D513" i="108"/>
  <c r="D529" i="108"/>
  <c r="D524" i="108"/>
  <c r="D520" i="108"/>
  <c r="D516" i="108"/>
  <c r="D515" i="108"/>
  <c r="D527" i="108"/>
  <c r="D523" i="108"/>
  <c r="D519" i="108"/>
  <c r="H557" i="108"/>
  <c r="D573" i="108"/>
  <c r="D568" i="108"/>
  <c r="D564" i="108"/>
  <c r="D560" i="108"/>
  <c r="D571" i="108"/>
  <c r="D567" i="108"/>
  <c r="D563" i="108"/>
  <c r="D559" i="108"/>
  <c r="D570" i="108"/>
  <c r="D566" i="108"/>
  <c r="D562" i="108"/>
  <c r="D558" i="108"/>
  <c r="D574" i="108"/>
  <c r="D557" i="108"/>
  <c r="D569" i="108"/>
  <c r="D565" i="108"/>
  <c r="D561" i="108"/>
  <c r="H29" i="109"/>
  <c r="D45" i="109"/>
  <c r="D40" i="109"/>
  <c r="D36" i="109"/>
  <c r="D32" i="109"/>
  <c r="D43" i="109"/>
  <c r="D39" i="109"/>
  <c r="D35" i="109"/>
  <c r="D31" i="109"/>
  <c r="D42" i="109"/>
  <c r="D38" i="109"/>
  <c r="D34" i="109"/>
  <c r="D30" i="109"/>
  <c r="D33" i="109"/>
  <c r="D46" i="109"/>
  <c r="D29" i="109"/>
  <c r="D41" i="109"/>
  <c r="D37" i="109"/>
  <c r="H73" i="109"/>
  <c r="D86" i="109"/>
  <c r="D82" i="109"/>
  <c r="D78" i="109"/>
  <c r="D74" i="109"/>
  <c r="D90" i="109"/>
  <c r="D85" i="109"/>
  <c r="D81" i="109"/>
  <c r="D77" i="109"/>
  <c r="D73" i="109"/>
  <c r="D89" i="109"/>
  <c r="D84" i="109"/>
  <c r="D80" i="109"/>
  <c r="D76" i="109"/>
  <c r="D75" i="109"/>
  <c r="D87" i="109"/>
  <c r="D83" i="109"/>
  <c r="D79" i="109"/>
  <c r="H117" i="109"/>
  <c r="D133" i="109"/>
  <c r="D128" i="109"/>
  <c r="D124" i="109"/>
  <c r="D120" i="109"/>
  <c r="D131" i="109"/>
  <c r="D127" i="109"/>
  <c r="D123" i="109"/>
  <c r="D119" i="109"/>
  <c r="D130" i="109"/>
  <c r="D126" i="109"/>
  <c r="D122" i="109"/>
  <c r="D118" i="109"/>
  <c r="D134" i="109"/>
  <c r="D117" i="109"/>
  <c r="D129" i="109"/>
  <c r="D125" i="109"/>
  <c r="D121" i="109"/>
  <c r="H161" i="109"/>
  <c r="D174" i="109"/>
  <c r="D170" i="109"/>
  <c r="D166" i="109"/>
  <c r="D162" i="109"/>
  <c r="D178" i="109"/>
  <c r="D173" i="109"/>
  <c r="D169" i="109"/>
  <c r="D165" i="109"/>
  <c r="D161" i="109"/>
  <c r="D177" i="109"/>
  <c r="D172" i="109"/>
  <c r="D168" i="109"/>
  <c r="D164" i="109"/>
  <c r="D175" i="109"/>
  <c r="D171" i="109"/>
  <c r="D167" i="109"/>
  <c r="D163" i="109"/>
  <c r="H205" i="109"/>
  <c r="D221" i="109"/>
  <c r="D216" i="109"/>
  <c r="D212" i="109"/>
  <c r="D208" i="109"/>
  <c r="D219" i="109"/>
  <c r="D215" i="109"/>
  <c r="D211" i="109"/>
  <c r="D207" i="109"/>
  <c r="D218" i="109"/>
  <c r="D214" i="109"/>
  <c r="D210" i="109"/>
  <c r="D206" i="109"/>
  <c r="D217" i="109"/>
  <c r="D213" i="109"/>
  <c r="D209" i="109"/>
  <c r="D222" i="109"/>
  <c r="D205" i="109"/>
  <c r="H249" i="109"/>
  <c r="D262" i="109"/>
  <c r="D258" i="109"/>
  <c r="D254" i="109"/>
  <c r="D250" i="109"/>
  <c r="D266" i="109"/>
  <c r="D261" i="109"/>
  <c r="D257" i="109"/>
  <c r="D253" i="109"/>
  <c r="D249" i="109"/>
  <c r="D265" i="109"/>
  <c r="D260" i="109"/>
  <c r="D256" i="109"/>
  <c r="D252" i="109"/>
  <c r="D259" i="109"/>
  <c r="D255" i="109"/>
  <c r="D251" i="109"/>
  <c r="D263" i="109"/>
  <c r="H293" i="109"/>
  <c r="D310" i="109"/>
  <c r="D305" i="109"/>
  <c r="D301" i="109"/>
  <c r="D309" i="109"/>
  <c r="D304" i="109"/>
  <c r="D300" i="109"/>
  <c r="D302" i="109"/>
  <c r="D296" i="109"/>
  <c r="D307" i="109"/>
  <c r="D299" i="109"/>
  <c r="D295" i="109"/>
  <c r="D306" i="109"/>
  <c r="D298" i="109"/>
  <c r="D294" i="109"/>
  <c r="D303" i="109"/>
  <c r="D297" i="109"/>
  <c r="D293" i="109"/>
  <c r="H337" i="109"/>
  <c r="D351" i="109"/>
  <c r="D347" i="109"/>
  <c r="D343" i="109"/>
  <c r="D339" i="109"/>
  <c r="D350" i="109"/>
  <c r="D346" i="109"/>
  <c r="D342" i="109"/>
  <c r="D338" i="109"/>
  <c r="D353" i="109"/>
  <c r="D344" i="109"/>
  <c r="D349" i="109"/>
  <c r="D341" i="109"/>
  <c r="D348" i="109"/>
  <c r="D340" i="109"/>
  <c r="D345" i="109"/>
  <c r="D337" i="109"/>
  <c r="D354" i="109"/>
  <c r="H381" i="109"/>
  <c r="D398" i="109"/>
  <c r="D393" i="109"/>
  <c r="D389" i="109"/>
  <c r="D385" i="109"/>
  <c r="D381" i="109"/>
  <c r="D397" i="109"/>
  <c r="D392" i="109"/>
  <c r="D388" i="109"/>
  <c r="D384" i="109"/>
  <c r="D394" i="109"/>
  <c r="D386" i="109"/>
  <c r="D391" i="109"/>
  <c r="D383" i="109"/>
  <c r="D390" i="109"/>
  <c r="D382" i="109"/>
  <c r="D387" i="109"/>
  <c r="D395" i="109"/>
  <c r="H425" i="109"/>
  <c r="D439" i="109"/>
  <c r="D435" i="109"/>
  <c r="D431" i="109"/>
  <c r="D427" i="109"/>
  <c r="D438" i="109"/>
  <c r="D434" i="109"/>
  <c r="D430" i="109"/>
  <c r="D426" i="109"/>
  <c r="D436" i="109"/>
  <c r="D428" i="109"/>
  <c r="D442" i="109"/>
  <c r="D433" i="109"/>
  <c r="D425" i="109"/>
  <c r="D441" i="109"/>
  <c r="D432" i="109"/>
  <c r="D429" i="109"/>
  <c r="D437" i="109"/>
  <c r="H469" i="109"/>
  <c r="D486" i="109"/>
  <c r="D481" i="109"/>
  <c r="D477" i="109"/>
  <c r="D473" i="109"/>
  <c r="D469" i="109"/>
  <c r="D485" i="109"/>
  <c r="D480" i="109"/>
  <c r="D476" i="109"/>
  <c r="D472" i="109"/>
  <c r="D478" i="109"/>
  <c r="D470" i="109"/>
  <c r="D483" i="109"/>
  <c r="D475" i="109"/>
  <c r="D482" i="109"/>
  <c r="D474" i="109"/>
  <c r="D471" i="109"/>
  <c r="D479" i="109"/>
  <c r="H513" i="109"/>
  <c r="D527" i="109"/>
  <c r="D523" i="109"/>
  <c r="D519" i="109"/>
  <c r="D515" i="109"/>
  <c r="D526" i="109"/>
  <c r="D522" i="109"/>
  <c r="D518" i="109"/>
  <c r="D514" i="109"/>
  <c r="D529" i="109"/>
  <c r="D520" i="109"/>
  <c r="D525" i="109"/>
  <c r="D517" i="109"/>
  <c r="D524" i="109"/>
  <c r="D516" i="109"/>
  <c r="D513" i="109"/>
  <c r="D530" i="109"/>
  <c r="D521" i="109"/>
  <c r="H557" i="109"/>
  <c r="D574" i="109"/>
  <c r="D569" i="109"/>
  <c r="D565" i="109"/>
  <c r="D561" i="109"/>
  <c r="D557" i="109"/>
  <c r="D573" i="109"/>
  <c r="D568" i="109"/>
  <c r="D564" i="109"/>
  <c r="D560" i="109"/>
  <c r="D570" i="109"/>
  <c r="D562" i="109"/>
  <c r="D567" i="109"/>
  <c r="D559" i="109"/>
  <c r="D566" i="109"/>
  <c r="D558" i="109"/>
  <c r="D571" i="109"/>
  <c r="D563" i="109"/>
  <c r="H601" i="109"/>
  <c r="D615" i="109"/>
  <c r="D611" i="109"/>
  <c r="D607" i="109"/>
  <c r="D603" i="109"/>
  <c r="D614" i="109"/>
  <c r="D610" i="109"/>
  <c r="D606" i="109"/>
  <c r="D602" i="109"/>
  <c r="D612" i="109"/>
  <c r="D604" i="109"/>
  <c r="D618" i="109"/>
  <c r="D609" i="109"/>
  <c r="D601" i="109"/>
  <c r="D617" i="109"/>
  <c r="D608" i="109"/>
  <c r="D613" i="109"/>
  <c r="D605" i="109"/>
  <c r="H7" i="110"/>
  <c r="D20" i="110"/>
  <c r="D16" i="110"/>
  <c r="D12" i="110"/>
  <c r="D8" i="110"/>
  <c r="D24" i="110"/>
  <c r="D19" i="110"/>
  <c r="D15" i="110"/>
  <c r="D11" i="110"/>
  <c r="D7" i="110"/>
  <c r="D23" i="110"/>
  <c r="D18" i="110"/>
  <c r="D14" i="110"/>
  <c r="D10" i="110"/>
  <c r="D13" i="110"/>
  <c r="D9" i="110"/>
  <c r="D21" i="110"/>
  <c r="D17" i="110"/>
  <c r="H51" i="110"/>
  <c r="D67" i="110"/>
  <c r="D62" i="110"/>
  <c r="D58" i="110"/>
  <c r="D54" i="110"/>
  <c r="D65" i="110"/>
  <c r="D61" i="110"/>
  <c r="D57" i="110"/>
  <c r="D53" i="110"/>
  <c r="D64" i="110"/>
  <c r="D60" i="110"/>
  <c r="D56" i="110"/>
  <c r="D52" i="110"/>
  <c r="D55" i="110"/>
  <c r="D68" i="110"/>
  <c r="D51" i="110"/>
  <c r="D63" i="110"/>
  <c r="D59" i="110"/>
  <c r="H95" i="110"/>
  <c r="D108" i="110"/>
  <c r="D104" i="110"/>
  <c r="D100" i="110"/>
  <c r="D96" i="110"/>
  <c r="D112" i="110"/>
  <c r="D107" i="110"/>
  <c r="D103" i="110"/>
  <c r="D99" i="110"/>
  <c r="D95" i="110"/>
  <c r="D111" i="110"/>
  <c r="D106" i="110"/>
  <c r="D102" i="110"/>
  <c r="D98" i="110"/>
  <c r="D97" i="110"/>
  <c r="D109" i="110"/>
  <c r="D105" i="110"/>
  <c r="D101" i="110"/>
  <c r="H139" i="110"/>
  <c r="D155" i="110"/>
  <c r="D150" i="110"/>
  <c r="D146" i="110"/>
  <c r="D142" i="110"/>
  <c r="D153" i="110"/>
  <c r="D149" i="110"/>
  <c r="D145" i="110"/>
  <c r="D141" i="110"/>
  <c r="D152" i="110"/>
  <c r="D148" i="110"/>
  <c r="D144" i="110"/>
  <c r="D140" i="110"/>
  <c r="D156" i="110"/>
  <c r="D139" i="110"/>
  <c r="D151" i="110"/>
  <c r="D147" i="110"/>
  <c r="D143" i="110"/>
  <c r="H183" i="110"/>
  <c r="D196" i="110"/>
  <c r="D192" i="110"/>
  <c r="D188" i="110"/>
  <c r="D184" i="110"/>
  <c r="D200" i="110"/>
  <c r="D195" i="110"/>
  <c r="D191" i="110"/>
  <c r="D187" i="110"/>
  <c r="D183" i="110"/>
  <c r="D199" i="110"/>
  <c r="D194" i="110"/>
  <c r="D190" i="110"/>
  <c r="D186" i="110"/>
  <c r="D197" i="110"/>
  <c r="D193" i="110"/>
  <c r="D189" i="110"/>
  <c r="D185" i="110"/>
  <c r="H227" i="110"/>
  <c r="D243" i="110"/>
  <c r="D238" i="110"/>
  <c r="D234" i="110"/>
  <c r="D230" i="110"/>
  <c r="D241" i="110"/>
  <c r="D237" i="110"/>
  <c r="D233" i="110"/>
  <c r="D229" i="110"/>
  <c r="D240" i="110"/>
  <c r="D236" i="110"/>
  <c r="D232" i="110"/>
  <c r="D228" i="110"/>
  <c r="D239" i="110"/>
  <c r="D235" i="110"/>
  <c r="D231" i="110"/>
  <c r="D244" i="110"/>
  <c r="D227" i="110"/>
  <c r="H271" i="110"/>
  <c r="D284" i="110"/>
  <c r="D280" i="110"/>
  <c r="D276" i="110"/>
  <c r="D272" i="110"/>
  <c r="D288" i="110"/>
  <c r="D283" i="110"/>
  <c r="D279" i="110"/>
  <c r="D275" i="110"/>
  <c r="D271" i="110"/>
  <c r="D287" i="110"/>
  <c r="D282" i="110"/>
  <c r="D278" i="110"/>
  <c r="D274" i="110"/>
  <c r="D281" i="110"/>
  <c r="D277" i="110"/>
  <c r="D273" i="110"/>
  <c r="D285" i="110"/>
  <c r="H315" i="110"/>
  <c r="D331" i="110"/>
  <c r="D326" i="110"/>
  <c r="D322" i="110"/>
  <c r="D318" i="110"/>
  <c r="D329" i="110"/>
  <c r="D325" i="110"/>
  <c r="D321" i="110"/>
  <c r="D317" i="110"/>
  <c r="D328" i="110"/>
  <c r="D324" i="110"/>
  <c r="D320" i="110"/>
  <c r="D316" i="110"/>
  <c r="D323" i="110"/>
  <c r="D319" i="110"/>
  <c r="D332" i="110"/>
  <c r="D315" i="110"/>
  <c r="D327" i="110"/>
  <c r="H359" i="110"/>
  <c r="D372" i="110"/>
  <c r="D368" i="110"/>
  <c r="D364" i="110"/>
  <c r="D360" i="110"/>
  <c r="D376" i="110"/>
  <c r="D371" i="110"/>
  <c r="D367" i="110"/>
  <c r="D363" i="110"/>
  <c r="D359" i="110"/>
  <c r="D375" i="110"/>
  <c r="D370" i="110"/>
  <c r="D366" i="110"/>
  <c r="D362" i="110"/>
  <c r="D365" i="110"/>
  <c r="D361" i="110"/>
  <c r="D373" i="110"/>
  <c r="D369" i="110"/>
  <c r="H29" i="111"/>
  <c r="D45" i="111"/>
  <c r="D40" i="111"/>
  <c r="D36" i="111"/>
  <c r="D32" i="111"/>
  <c r="D43" i="111"/>
  <c r="D39" i="111"/>
  <c r="D35" i="111"/>
  <c r="D31" i="111"/>
  <c r="D42" i="111"/>
  <c r="D38" i="111"/>
  <c r="D34" i="111"/>
  <c r="D30" i="111"/>
  <c r="D46" i="111"/>
  <c r="D41" i="111"/>
  <c r="D37" i="111"/>
  <c r="D33" i="111"/>
  <c r="D29" i="111"/>
  <c r="H73" i="111"/>
  <c r="D86" i="111"/>
  <c r="D82" i="111"/>
  <c r="D78" i="111"/>
  <c r="D74" i="111"/>
  <c r="D90" i="111"/>
  <c r="D85" i="111"/>
  <c r="D81" i="111"/>
  <c r="D77" i="111"/>
  <c r="D73" i="111"/>
  <c r="D89" i="111"/>
  <c r="D84" i="111"/>
  <c r="D80" i="111"/>
  <c r="D76" i="111"/>
  <c r="D87" i="111"/>
  <c r="D83" i="111"/>
  <c r="D79" i="111"/>
  <c r="D75" i="111"/>
  <c r="H117" i="111"/>
  <c r="D133" i="111"/>
  <c r="D128" i="111"/>
  <c r="D124" i="111"/>
  <c r="D120" i="111"/>
  <c r="D131" i="111"/>
  <c r="D127" i="111"/>
  <c r="D123" i="111"/>
  <c r="D119" i="111"/>
  <c r="D130" i="111"/>
  <c r="D126" i="111"/>
  <c r="D122" i="111"/>
  <c r="D118" i="111"/>
  <c r="D134" i="111"/>
  <c r="D129" i="111"/>
  <c r="D125" i="111"/>
  <c r="D121" i="111"/>
  <c r="D117" i="111"/>
  <c r="H161" i="111"/>
  <c r="D174" i="111"/>
  <c r="D170" i="111"/>
  <c r="D166" i="111"/>
  <c r="D162" i="111"/>
  <c r="D178" i="111"/>
  <c r="D173" i="111"/>
  <c r="D169" i="111"/>
  <c r="D165" i="111"/>
  <c r="D161" i="111"/>
  <c r="D177" i="111"/>
  <c r="D172" i="111"/>
  <c r="D168" i="111"/>
  <c r="D164" i="111"/>
  <c r="D175" i="111"/>
  <c r="D171" i="111"/>
  <c r="D167" i="111"/>
  <c r="D163" i="111"/>
  <c r="H205" i="111"/>
  <c r="D221" i="111"/>
  <c r="D216" i="111"/>
  <c r="D212" i="111"/>
  <c r="D208" i="111"/>
  <c r="D219" i="111"/>
  <c r="D215" i="111"/>
  <c r="D211" i="111"/>
  <c r="D207" i="111"/>
  <c r="D218" i="111"/>
  <c r="D214" i="111"/>
  <c r="D210" i="111"/>
  <c r="D206" i="111"/>
  <c r="D222" i="111"/>
  <c r="D217" i="111"/>
  <c r="D213" i="111"/>
  <c r="D209" i="111"/>
  <c r="D205" i="111"/>
  <c r="H249" i="111"/>
  <c r="D262" i="111"/>
  <c r="D258" i="111"/>
  <c r="D254" i="111"/>
  <c r="D250" i="111"/>
  <c r="D266" i="111"/>
  <c r="D261" i="111"/>
  <c r="D257" i="111"/>
  <c r="D253" i="111"/>
  <c r="D249" i="111"/>
  <c r="D265" i="111"/>
  <c r="D260" i="111"/>
  <c r="D256" i="111"/>
  <c r="D252" i="111"/>
  <c r="D263" i="111"/>
  <c r="D259" i="111"/>
  <c r="D255" i="111"/>
  <c r="D251" i="111"/>
  <c r="H293" i="111"/>
  <c r="D309" i="111"/>
  <c r="D304" i="111"/>
  <c r="D300" i="111"/>
  <c r="D296" i="111"/>
  <c r="D307" i="111"/>
  <c r="D303" i="111"/>
  <c r="D299" i="111"/>
  <c r="D295" i="111"/>
  <c r="D306" i="111"/>
  <c r="D302" i="111"/>
  <c r="D298" i="111"/>
  <c r="D294" i="111"/>
  <c r="D310" i="111"/>
  <c r="D305" i="111"/>
  <c r="D301" i="111"/>
  <c r="D297" i="111"/>
  <c r="D293" i="111"/>
  <c r="H337" i="111"/>
  <c r="D350" i="111"/>
  <c r="D346" i="111"/>
  <c r="D342" i="111"/>
  <c r="D338" i="111"/>
  <c r="D354" i="111"/>
  <c r="D349" i="111"/>
  <c r="D345" i="111"/>
  <c r="D341" i="111"/>
  <c r="D337" i="111"/>
  <c r="D353" i="111"/>
  <c r="D348" i="111"/>
  <c r="D344" i="111"/>
  <c r="D340" i="111"/>
  <c r="D351" i="111"/>
  <c r="D347" i="111"/>
  <c r="D343" i="111"/>
  <c r="D339" i="111"/>
  <c r="H381" i="111"/>
  <c r="D397" i="111"/>
  <c r="D392" i="111"/>
  <c r="D388" i="111"/>
  <c r="D384" i="111"/>
  <c r="D395" i="111"/>
  <c r="D391" i="111"/>
  <c r="D387" i="111"/>
  <c r="D383" i="111"/>
  <c r="D394" i="111"/>
  <c r="D390" i="111"/>
  <c r="D386" i="111"/>
  <c r="D382" i="111"/>
  <c r="D398" i="111"/>
  <c r="D393" i="111"/>
  <c r="D389" i="111"/>
  <c r="D385" i="111"/>
  <c r="D381" i="111"/>
  <c r="H425" i="111"/>
  <c r="D438" i="111"/>
  <c r="D434" i="111"/>
  <c r="D430" i="111"/>
  <c r="D426" i="111"/>
  <c r="D442" i="111"/>
  <c r="D437" i="111"/>
  <c r="D433" i="111"/>
  <c r="D429" i="111"/>
  <c r="D425" i="111"/>
  <c r="D441" i="111"/>
  <c r="D436" i="111"/>
  <c r="D432" i="111"/>
  <c r="D428" i="111"/>
  <c r="D439" i="111"/>
  <c r="D435" i="111"/>
  <c r="D431" i="111"/>
  <c r="D427" i="111"/>
  <c r="H469" i="111"/>
  <c r="D485" i="111"/>
  <c r="D480" i="111"/>
  <c r="D476" i="111"/>
  <c r="D472" i="111"/>
  <c r="D483" i="111"/>
  <c r="D479" i="111"/>
  <c r="D475" i="111"/>
  <c r="D471" i="111"/>
  <c r="D482" i="111"/>
  <c r="D478" i="111"/>
  <c r="D474" i="111"/>
  <c r="D470" i="111"/>
  <c r="D486" i="111"/>
  <c r="D481" i="111"/>
  <c r="D477" i="111"/>
  <c r="D473" i="111"/>
  <c r="D469" i="111"/>
  <c r="H513" i="111"/>
  <c r="D526" i="111"/>
  <c r="D522" i="111"/>
  <c r="D518" i="111"/>
  <c r="D514" i="111"/>
  <c r="D530" i="111"/>
  <c r="D525" i="111"/>
  <c r="D521" i="111"/>
  <c r="D517" i="111"/>
  <c r="D513" i="111"/>
  <c r="D529" i="111"/>
  <c r="D524" i="111"/>
  <c r="D520" i="111"/>
  <c r="D516" i="111"/>
  <c r="D527" i="111"/>
  <c r="D523" i="111"/>
  <c r="D519" i="111"/>
  <c r="D515" i="111"/>
  <c r="H557" i="111"/>
  <c r="D573" i="111"/>
  <c r="D568" i="111"/>
  <c r="D564" i="111"/>
  <c r="D560" i="111"/>
  <c r="D571" i="111"/>
  <c r="D567" i="111"/>
  <c r="D563" i="111"/>
  <c r="D559" i="111"/>
  <c r="D570" i="111"/>
  <c r="D566" i="111"/>
  <c r="D562" i="111"/>
  <c r="D558" i="111"/>
  <c r="D574" i="111"/>
  <c r="D569" i="111"/>
  <c r="D565" i="111"/>
  <c r="D561" i="111"/>
  <c r="D557" i="111"/>
  <c r="H601" i="111"/>
  <c r="D614" i="111"/>
  <c r="D610" i="111"/>
  <c r="D606" i="111"/>
  <c r="D602" i="111"/>
  <c r="D618" i="111"/>
  <c r="D613" i="111"/>
  <c r="D609" i="111"/>
  <c r="D605" i="111"/>
  <c r="D601" i="111"/>
  <c r="D617" i="111"/>
  <c r="D612" i="111"/>
  <c r="D608" i="111"/>
  <c r="D604" i="111"/>
  <c r="D615" i="111"/>
  <c r="D611" i="111"/>
  <c r="D607" i="111"/>
  <c r="D603" i="111"/>
  <c r="H645" i="111"/>
  <c r="D661" i="111"/>
  <c r="D656" i="111"/>
  <c r="D652" i="111"/>
  <c r="D648" i="111"/>
  <c r="D659" i="111"/>
  <c r="D655" i="111"/>
  <c r="D651" i="111"/>
  <c r="D647" i="111"/>
  <c r="D658" i="111"/>
  <c r="D654" i="111"/>
  <c r="D650" i="111"/>
  <c r="D646" i="111"/>
  <c r="D662" i="111"/>
  <c r="D657" i="111"/>
  <c r="D653" i="111"/>
  <c r="D649" i="111"/>
  <c r="D645" i="111"/>
  <c r="H689" i="111"/>
  <c r="D702" i="111"/>
  <c r="D698" i="111"/>
  <c r="D694" i="111"/>
  <c r="D690" i="111"/>
  <c r="D706" i="111"/>
  <c r="D701" i="111"/>
  <c r="D697" i="111"/>
  <c r="D693" i="111"/>
  <c r="D689" i="111"/>
  <c r="D705" i="111"/>
  <c r="D700" i="111"/>
  <c r="D696" i="111"/>
  <c r="D692" i="111"/>
  <c r="D703" i="111"/>
  <c r="D699" i="111"/>
  <c r="D695" i="111"/>
  <c r="D691" i="111"/>
  <c r="H733" i="111"/>
  <c r="D749" i="111"/>
  <c r="D744" i="111"/>
  <c r="D740" i="111"/>
  <c r="D736" i="111"/>
  <c r="D747" i="111"/>
  <c r="D743" i="111"/>
  <c r="D739" i="111"/>
  <c r="D735" i="111"/>
  <c r="D746" i="111"/>
  <c r="D742" i="111"/>
  <c r="D738" i="111"/>
  <c r="D734" i="111"/>
  <c r="D750" i="111"/>
  <c r="D745" i="111"/>
  <c r="D741" i="111"/>
  <c r="D737" i="111"/>
  <c r="D733" i="111"/>
  <c r="H777" i="111"/>
  <c r="D790" i="111"/>
  <c r="D786" i="111"/>
  <c r="D782" i="111"/>
  <c r="D778" i="111"/>
  <c r="D794" i="111"/>
  <c r="D789" i="111"/>
  <c r="D785" i="111"/>
  <c r="D781" i="111"/>
  <c r="D777" i="111"/>
  <c r="D793" i="111"/>
  <c r="D788" i="111"/>
  <c r="D784" i="111"/>
  <c r="D780" i="111"/>
  <c r="D791" i="111"/>
  <c r="D787" i="111"/>
  <c r="D783" i="111"/>
  <c r="D779" i="111"/>
  <c r="H821" i="111"/>
  <c r="D837" i="111"/>
  <c r="D832" i="111"/>
  <c r="D828" i="111"/>
  <c r="D824" i="111"/>
  <c r="D835" i="111"/>
  <c r="D831" i="111"/>
  <c r="D827" i="111"/>
  <c r="D823" i="111"/>
  <c r="D834" i="111"/>
  <c r="D830" i="111"/>
  <c r="D826" i="111"/>
  <c r="D822" i="111"/>
  <c r="D838" i="111"/>
  <c r="D833" i="111"/>
  <c r="D829" i="111"/>
  <c r="D825" i="111"/>
  <c r="D821" i="111"/>
  <c r="H865" i="111"/>
  <c r="D878" i="111"/>
  <c r="D874" i="111"/>
  <c r="D870" i="111"/>
  <c r="D866" i="111"/>
  <c r="D882" i="111"/>
  <c r="D877" i="111"/>
  <c r="D873" i="111"/>
  <c r="D869" i="111"/>
  <c r="D865" i="111"/>
  <c r="D881" i="111"/>
  <c r="D876" i="111"/>
  <c r="D872" i="111"/>
  <c r="D868" i="111"/>
  <c r="D879" i="111"/>
  <c r="D875" i="111"/>
  <c r="D871" i="111"/>
  <c r="D867" i="111"/>
  <c r="H909" i="111"/>
  <c r="D925" i="111"/>
  <c r="D920" i="111"/>
  <c r="D916" i="111"/>
  <c r="D912" i="111"/>
  <c r="D923" i="111"/>
  <c r="D919" i="111"/>
  <c r="D915" i="111"/>
  <c r="D911" i="111"/>
  <c r="D922" i="111"/>
  <c r="D918" i="111"/>
  <c r="D914" i="111"/>
  <c r="D910" i="111"/>
  <c r="D926" i="111"/>
  <c r="D921" i="111"/>
  <c r="D917" i="111"/>
  <c r="D913" i="111"/>
  <c r="D909" i="111"/>
  <c r="H953" i="111"/>
  <c r="D966" i="111"/>
  <c r="D962" i="111"/>
  <c r="D958" i="111"/>
  <c r="D954" i="111"/>
  <c r="D970" i="111"/>
  <c r="D965" i="111"/>
  <c r="D961" i="111"/>
  <c r="D957" i="111"/>
  <c r="D953" i="111"/>
  <c r="D969" i="111"/>
  <c r="D964" i="111"/>
  <c r="D960" i="111"/>
  <c r="D956" i="111"/>
  <c r="D967" i="111"/>
  <c r="D963" i="111"/>
  <c r="D959" i="111"/>
  <c r="D955" i="111"/>
  <c r="H29" i="112"/>
  <c r="D45" i="112"/>
  <c r="D40" i="112"/>
  <c r="D36" i="112"/>
  <c r="D32" i="112"/>
  <c r="D43" i="112"/>
  <c r="D39" i="112"/>
  <c r="D35" i="112"/>
  <c r="D31" i="112"/>
  <c r="D42" i="112"/>
  <c r="D38" i="112"/>
  <c r="D34" i="112"/>
  <c r="D30" i="112"/>
  <c r="D46" i="112"/>
  <c r="D41" i="112"/>
  <c r="D37" i="112"/>
  <c r="D33" i="112"/>
  <c r="D29" i="112"/>
  <c r="H73" i="112"/>
  <c r="D86" i="112"/>
  <c r="D82" i="112"/>
  <c r="D78" i="112"/>
  <c r="D74" i="112"/>
  <c r="D90" i="112"/>
  <c r="D85" i="112"/>
  <c r="D81" i="112"/>
  <c r="D77" i="112"/>
  <c r="D73" i="112"/>
  <c r="D89" i="112"/>
  <c r="D84" i="112"/>
  <c r="D80" i="112"/>
  <c r="D76" i="112"/>
  <c r="D87" i="112"/>
  <c r="D83" i="112"/>
  <c r="D79" i="112"/>
  <c r="D75" i="112"/>
  <c r="H117" i="112"/>
  <c r="D133" i="112"/>
  <c r="D128" i="112"/>
  <c r="D124" i="112"/>
  <c r="D120" i="112"/>
  <c r="D131" i="112"/>
  <c r="D127" i="112"/>
  <c r="D123" i="112"/>
  <c r="D119" i="112"/>
  <c r="D130" i="112"/>
  <c r="D126" i="112"/>
  <c r="D122" i="112"/>
  <c r="D118" i="112"/>
  <c r="D134" i="112"/>
  <c r="D129" i="112"/>
  <c r="D125" i="112"/>
  <c r="D121" i="112"/>
  <c r="D117" i="112"/>
  <c r="H161" i="112"/>
  <c r="D174" i="112"/>
  <c r="D170" i="112"/>
  <c r="D166" i="112"/>
  <c r="D162" i="112"/>
  <c r="D178" i="112"/>
  <c r="D173" i="112"/>
  <c r="D169" i="112"/>
  <c r="D165" i="112"/>
  <c r="D161" i="112"/>
  <c r="D177" i="112"/>
  <c r="D172" i="112"/>
  <c r="D168" i="112"/>
  <c r="D164" i="112"/>
  <c r="D175" i="112"/>
  <c r="D171" i="112"/>
  <c r="D167" i="112"/>
  <c r="D163" i="112"/>
  <c r="H205" i="112"/>
  <c r="D221" i="112"/>
  <c r="D216" i="112"/>
  <c r="D212" i="112"/>
  <c r="D208" i="112"/>
  <c r="D219" i="112"/>
  <c r="D215" i="112"/>
  <c r="D211" i="112"/>
  <c r="D207" i="112"/>
  <c r="D218" i="112"/>
  <c r="D214" i="112"/>
  <c r="D210" i="112"/>
  <c r="D206" i="112"/>
  <c r="D222" i="112"/>
  <c r="D217" i="112"/>
  <c r="D213" i="112"/>
  <c r="D209" i="112"/>
  <c r="D205" i="112"/>
  <c r="H249" i="112"/>
  <c r="D262" i="112"/>
  <c r="D258" i="112"/>
  <c r="D254" i="112"/>
  <c r="D250" i="112"/>
  <c r="D266" i="112"/>
  <c r="D261" i="112"/>
  <c r="D257" i="112"/>
  <c r="D253" i="112"/>
  <c r="D249" i="112"/>
  <c r="D265" i="112"/>
  <c r="D260" i="112"/>
  <c r="D256" i="112"/>
  <c r="D252" i="112"/>
  <c r="D263" i="112"/>
  <c r="D259" i="112"/>
  <c r="D255" i="112"/>
  <c r="D251" i="112"/>
  <c r="H293" i="112"/>
  <c r="D309" i="112"/>
  <c r="D304" i="112"/>
  <c r="D300" i="112"/>
  <c r="D296" i="112"/>
  <c r="D307" i="112"/>
  <c r="D303" i="112"/>
  <c r="D299" i="112"/>
  <c r="D295" i="112"/>
  <c r="D306" i="112"/>
  <c r="D302" i="112"/>
  <c r="D298" i="112"/>
  <c r="D294" i="112"/>
  <c r="D310" i="112"/>
  <c r="D305" i="112"/>
  <c r="D301" i="112"/>
  <c r="D297" i="112"/>
  <c r="D293" i="112"/>
  <c r="H337" i="112"/>
  <c r="D350" i="112"/>
  <c r="D346" i="112"/>
  <c r="D342" i="112"/>
  <c r="D338" i="112"/>
  <c r="D354" i="112"/>
  <c r="D349" i="112"/>
  <c r="D345" i="112"/>
  <c r="D341" i="112"/>
  <c r="D337" i="112"/>
  <c r="D353" i="112"/>
  <c r="D348" i="112"/>
  <c r="D344" i="112"/>
  <c r="D340" i="112"/>
  <c r="D351" i="112"/>
  <c r="D347" i="112"/>
  <c r="D343" i="112"/>
  <c r="D339" i="112"/>
  <c r="H381" i="112"/>
  <c r="D397" i="112"/>
  <c r="D392" i="112"/>
  <c r="D388" i="112"/>
  <c r="D384" i="112"/>
  <c r="D395" i="112"/>
  <c r="D391" i="112"/>
  <c r="D387" i="112"/>
  <c r="D383" i="112"/>
  <c r="D394" i="112"/>
  <c r="D390" i="112"/>
  <c r="D386" i="112"/>
  <c r="D382" i="112"/>
  <c r="D398" i="112"/>
  <c r="D393" i="112"/>
  <c r="D389" i="112"/>
  <c r="D385" i="112"/>
  <c r="D381" i="112"/>
  <c r="H425" i="112"/>
  <c r="D438" i="112"/>
  <c r="D434" i="112"/>
  <c r="D430" i="112"/>
  <c r="D426" i="112"/>
  <c r="D442" i="112"/>
  <c r="D437" i="112"/>
  <c r="D433" i="112"/>
  <c r="D429" i="112"/>
  <c r="D425" i="112"/>
  <c r="D441" i="112"/>
  <c r="D436" i="112"/>
  <c r="D432" i="112"/>
  <c r="D428" i="112"/>
  <c r="D439" i="112"/>
  <c r="D435" i="112"/>
  <c r="D431" i="112"/>
  <c r="D427" i="112"/>
  <c r="H469" i="112"/>
  <c r="D485" i="112"/>
  <c r="D480" i="112"/>
  <c r="D476" i="112"/>
  <c r="D472" i="112"/>
  <c r="D483" i="112"/>
  <c r="D479" i="112"/>
  <c r="D475" i="112"/>
  <c r="D471" i="112"/>
  <c r="D482" i="112"/>
  <c r="D478" i="112"/>
  <c r="D474" i="112"/>
  <c r="D470" i="112"/>
  <c r="D486" i="112"/>
  <c r="D481" i="112"/>
  <c r="D477" i="112"/>
  <c r="D473" i="112"/>
  <c r="D469" i="112"/>
  <c r="H513" i="112"/>
  <c r="D526" i="112"/>
  <c r="D522" i="112"/>
  <c r="D518" i="112"/>
  <c r="D514" i="112"/>
  <c r="D530" i="112"/>
  <c r="D525" i="112"/>
  <c r="D521" i="112"/>
  <c r="D517" i="112"/>
  <c r="D513" i="112"/>
  <c r="D529" i="112"/>
  <c r="D524" i="112"/>
  <c r="D520" i="112"/>
  <c r="D516" i="112"/>
  <c r="D527" i="112"/>
  <c r="D523" i="112"/>
  <c r="D519" i="112"/>
  <c r="D515" i="112"/>
  <c r="H557" i="112"/>
  <c r="D573" i="112"/>
  <c r="D568" i="112"/>
  <c r="D564" i="112"/>
  <c r="D560" i="112"/>
  <c r="D571" i="112"/>
  <c r="D567" i="112"/>
  <c r="D563" i="112"/>
  <c r="D559" i="112"/>
  <c r="D570" i="112"/>
  <c r="D566" i="112"/>
  <c r="D562" i="112"/>
  <c r="D558" i="112"/>
  <c r="D574" i="112"/>
  <c r="D569" i="112"/>
  <c r="D565" i="112"/>
  <c r="D561" i="112"/>
  <c r="D557" i="112"/>
  <c r="H601" i="112"/>
  <c r="D614" i="112"/>
  <c r="D610" i="112"/>
  <c r="D606" i="112"/>
  <c r="D602" i="112"/>
  <c r="D618" i="112"/>
  <c r="D613" i="112"/>
  <c r="D609" i="112"/>
  <c r="D605" i="112"/>
  <c r="D601" i="112"/>
  <c r="D617" i="112"/>
  <c r="D612" i="112"/>
  <c r="D608" i="112"/>
  <c r="D604" i="112"/>
  <c r="D615" i="112"/>
  <c r="D611" i="112"/>
  <c r="D607" i="112"/>
  <c r="D603" i="112"/>
  <c r="H645" i="112"/>
  <c r="D661" i="112"/>
  <c r="D656" i="112"/>
  <c r="D652" i="112"/>
  <c r="D648" i="112"/>
  <c r="D659" i="112"/>
  <c r="D655" i="112"/>
  <c r="D651" i="112"/>
  <c r="D647" i="112"/>
  <c r="D658" i="112"/>
  <c r="D654" i="112"/>
  <c r="D650" i="112"/>
  <c r="D646" i="112"/>
  <c r="D662" i="112"/>
  <c r="D657" i="112"/>
  <c r="D653" i="112"/>
  <c r="D649" i="112"/>
  <c r="D645" i="112"/>
  <c r="H689" i="112"/>
  <c r="D702" i="112"/>
  <c r="D698" i="112"/>
  <c r="D694" i="112"/>
  <c r="D690" i="112"/>
  <c r="D706" i="112"/>
  <c r="D701" i="112"/>
  <c r="D697" i="112"/>
  <c r="D693" i="112"/>
  <c r="D689" i="112"/>
  <c r="D705" i="112"/>
  <c r="D700" i="112"/>
  <c r="D696" i="112"/>
  <c r="D692" i="112"/>
  <c r="D703" i="112"/>
  <c r="D699" i="112"/>
  <c r="D695" i="112"/>
  <c r="D691" i="112"/>
  <c r="H733" i="112"/>
  <c r="D749" i="112"/>
  <c r="D744" i="112"/>
  <c r="D740" i="112"/>
  <c r="D736" i="112"/>
  <c r="D747" i="112"/>
  <c r="D743" i="112"/>
  <c r="D739" i="112"/>
  <c r="D735" i="112"/>
  <c r="D746" i="112"/>
  <c r="D742" i="112"/>
  <c r="D738" i="112"/>
  <c r="D734" i="112"/>
  <c r="D750" i="112"/>
  <c r="D745" i="112"/>
  <c r="D741" i="112"/>
  <c r="D737" i="112"/>
  <c r="D733" i="112"/>
  <c r="H777" i="112"/>
  <c r="D793" i="112"/>
  <c r="D791" i="112"/>
  <c r="D787" i="112"/>
  <c r="D783" i="112"/>
  <c r="D779" i="112"/>
  <c r="D790" i="112"/>
  <c r="D786" i="112"/>
  <c r="D782" i="112"/>
  <c r="D778" i="112"/>
  <c r="D794" i="112"/>
  <c r="D789" i="112"/>
  <c r="D785" i="112"/>
  <c r="D781" i="112"/>
  <c r="D777" i="112"/>
  <c r="D788" i="112"/>
  <c r="D784" i="112"/>
  <c r="D780" i="112"/>
  <c r="H29" i="113"/>
  <c r="D42" i="113"/>
  <c r="D38" i="113"/>
  <c r="D34" i="113"/>
  <c r="D30" i="113"/>
  <c r="D46" i="113"/>
  <c r="D41" i="113"/>
  <c r="D37" i="113"/>
  <c r="D33" i="113"/>
  <c r="D29" i="113"/>
  <c r="D45" i="113"/>
  <c r="D40" i="113"/>
  <c r="D36" i="113"/>
  <c r="D32" i="113"/>
  <c r="D43" i="113"/>
  <c r="D39" i="113"/>
  <c r="D35" i="113"/>
  <c r="D31" i="113"/>
  <c r="H73" i="113"/>
  <c r="D89" i="113"/>
  <c r="D84" i="113"/>
  <c r="D80" i="113"/>
  <c r="D76" i="113"/>
  <c r="D87" i="113"/>
  <c r="D83" i="113"/>
  <c r="D79" i="113"/>
  <c r="D75" i="113"/>
  <c r="D86" i="113"/>
  <c r="D82" i="113"/>
  <c r="D78" i="113"/>
  <c r="D74" i="113"/>
  <c r="D90" i="113"/>
  <c r="D85" i="113"/>
  <c r="D81" i="113"/>
  <c r="D77" i="113"/>
  <c r="D73" i="113"/>
  <c r="H117" i="113"/>
  <c r="D130" i="113"/>
  <c r="D126" i="113"/>
  <c r="D122" i="113"/>
  <c r="D118" i="113"/>
  <c r="D134" i="113"/>
  <c r="D129" i="113"/>
  <c r="D125" i="113"/>
  <c r="D121" i="113"/>
  <c r="D117" i="113"/>
  <c r="D133" i="113"/>
  <c r="D128" i="113"/>
  <c r="D124" i="113"/>
  <c r="D120" i="113"/>
  <c r="D131" i="113"/>
  <c r="D127" i="113"/>
  <c r="D123" i="113"/>
  <c r="D119" i="113"/>
  <c r="H161" i="113"/>
  <c r="D177" i="113"/>
  <c r="D172" i="113"/>
  <c r="D168" i="113"/>
  <c r="D164" i="113"/>
  <c r="D175" i="113"/>
  <c r="D171" i="113"/>
  <c r="D167" i="113"/>
  <c r="D163" i="113"/>
  <c r="D174" i="113"/>
  <c r="D170" i="113"/>
  <c r="D166" i="113"/>
  <c r="D162" i="113"/>
  <c r="D178" i="113"/>
  <c r="G178" i="113" s="1"/>
  <c r="D173" i="113"/>
  <c r="D169" i="113"/>
  <c r="D165" i="113"/>
  <c r="D161" i="113"/>
  <c r="H205" i="113"/>
  <c r="D218" i="113"/>
  <c r="D214" i="113"/>
  <c r="D210" i="113"/>
  <c r="D206" i="113"/>
  <c r="D222" i="113"/>
  <c r="D217" i="113"/>
  <c r="D213" i="113"/>
  <c r="D209" i="113"/>
  <c r="D205" i="113"/>
  <c r="D221" i="113"/>
  <c r="D216" i="113"/>
  <c r="D212" i="113"/>
  <c r="D208" i="113"/>
  <c r="D219" i="113"/>
  <c r="D215" i="113"/>
  <c r="D211" i="113"/>
  <c r="D207" i="113"/>
  <c r="H249" i="113"/>
  <c r="D265" i="113"/>
  <c r="D260" i="113"/>
  <c r="D256" i="113"/>
  <c r="D252" i="113"/>
  <c r="D263" i="113"/>
  <c r="D259" i="113"/>
  <c r="D255" i="113"/>
  <c r="D251" i="113"/>
  <c r="D262" i="113"/>
  <c r="D258" i="113"/>
  <c r="D254" i="113"/>
  <c r="D250" i="113"/>
  <c r="D266" i="113"/>
  <c r="D261" i="113"/>
  <c r="D257" i="113"/>
  <c r="D253" i="113"/>
  <c r="D249" i="113"/>
  <c r="H293" i="113"/>
  <c r="D306" i="113"/>
  <c r="D302" i="113"/>
  <c r="D298" i="113"/>
  <c r="D294" i="113"/>
  <c r="D310" i="113"/>
  <c r="D305" i="113"/>
  <c r="D301" i="113"/>
  <c r="D297" i="113"/>
  <c r="D293" i="113"/>
  <c r="D309" i="113"/>
  <c r="D304" i="113"/>
  <c r="D300" i="113"/>
  <c r="D296" i="113"/>
  <c r="D307" i="113"/>
  <c r="D303" i="113"/>
  <c r="D299" i="113"/>
  <c r="D295" i="113"/>
  <c r="H337" i="113"/>
  <c r="D353" i="113"/>
  <c r="D348" i="113"/>
  <c r="D344" i="113"/>
  <c r="D340" i="113"/>
  <c r="D351" i="113"/>
  <c r="D347" i="113"/>
  <c r="D343" i="113"/>
  <c r="D339" i="113"/>
  <c r="D350" i="113"/>
  <c r="D346" i="113"/>
  <c r="D342" i="113"/>
  <c r="D338" i="113"/>
  <c r="D354" i="113"/>
  <c r="G354" i="113" s="1"/>
  <c r="D349" i="113"/>
  <c r="D345" i="113"/>
  <c r="D341" i="113"/>
  <c r="D337" i="113"/>
  <c r="H381" i="113"/>
  <c r="D394" i="113"/>
  <c r="D390" i="113"/>
  <c r="D386" i="113"/>
  <c r="D382" i="113"/>
  <c r="D397" i="113"/>
  <c r="D392" i="113"/>
  <c r="D388" i="113"/>
  <c r="D384" i="113"/>
  <c r="D393" i="113"/>
  <c r="D385" i="113"/>
  <c r="D391" i="113"/>
  <c r="D383" i="113"/>
  <c r="D398" i="113"/>
  <c r="D389" i="113"/>
  <c r="D381" i="113"/>
  <c r="D395" i="113"/>
  <c r="D387" i="113"/>
  <c r="H425" i="113"/>
  <c r="D441" i="113"/>
  <c r="D436" i="113"/>
  <c r="D432" i="113"/>
  <c r="D428" i="113"/>
  <c r="D438" i="113"/>
  <c r="D434" i="113"/>
  <c r="D430" i="113"/>
  <c r="D426" i="113"/>
  <c r="D435" i="113"/>
  <c r="D427" i="113"/>
  <c r="D442" i="113"/>
  <c r="D433" i="113"/>
  <c r="D425" i="113"/>
  <c r="D439" i="113"/>
  <c r="D431" i="113"/>
  <c r="D437" i="113"/>
  <c r="D429" i="113"/>
  <c r="H469" i="113"/>
  <c r="D482" i="113"/>
  <c r="D478" i="113"/>
  <c r="D474" i="113"/>
  <c r="D470" i="113"/>
  <c r="D485" i="113"/>
  <c r="D480" i="113"/>
  <c r="D476" i="113"/>
  <c r="D472" i="113"/>
  <c r="D486" i="113"/>
  <c r="D477" i="113"/>
  <c r="D469" i="113"/>
  <c r="D483" i="113"/>
  <c r="D475" i="113"/>
  <c r="D481" i="113"/>
  <c r="D473" i="113"/>
  <c r="D479" i="113"/>
  <c r="D471" i="113"/>
  <c r="H7" i="114"/>
  <c r="D23" i="114"/>
  <c r="D18" i="114"/>
  <c r="D14" i="114"/>
  <c r="D10" i="114"/>
  <c r="D20" i="114"/>
  <c r="D16" i="114"/>
  <c r="D12" i="114"/>
  <c r="D8" i="114"/>
  <c r="D21" i="114"/>
  <c r="D13" i="114"/>
  <c r="D19" i="114"/>
  <c r="D11" i="114"/>
  <c r="D17" i="114"/>
  <c r="D9" i="114"/>
  <c r="D24" i="114"/>
  <c r="D15" i="114"/>
  <c r="D7" i="114"/>
  <c r="H51" i="114"/>
  <c r="D64" i="114"/>
  <c r="D60" i="114"/>
  <c r="D56" i="114"/>
  <c r="D52" i="114"/>
  <c r="D67" i="114"/>
  <c r="D62" i="114"/>
  <c r="D58" i="114"/>
  <c r="D54" i="114"/>
  <c r="D63" i="114"/>
  <c r="D55" i="114"/>
  <c r="D61" i="114"/>
  <c r="D53" i="114"/>
  <c r="D68" i="114"/>
  <c r="D59" i="114"/>
  <c r="D51" i="114"/>
  <c r="D65" i="114"/>
  <c r="D57" i="114"/>
  <c r="H95" i="114"/>
  <c r="D111" i="114"/>
  <c r="D106" i="114"/>
  <c r="D102" i="114"/>
  <c r="D98" i="114"/>
  <c r="D108" i="114"/>
  <c r="D104" i="114"/>
  <c r="D100" i="114"/>
  <c r="D96" i="114"/>
  <c r="D105" i="114"/>
  <c r="D97" i="114"/>
  <c r="D112" i="114"/>
  <c r="G112" i="114" s="1"/>
  <c r="D103" i="114"/>
  <c r="D95" i="114"/>
  <c r="D109" i="114"/>
  <c r="D101" i="114"/>
  <c r="D107" i="114"/>
  <c r="D99" i="114"/>
  <c r="H139" i="114"/>
  <c r="D152" i="114"/>
  <c r="D148" i="114"/>
  <c r="D144" i="114"/>
  <c r="D140" i="114"/>
  <c r="D155" i="114"/>
  <c r="D150" i="114"/>
  <c r="D146" i="114"/>
  <c r="D142" i="114"/>
  <c r="D156" i="114"/>
  <c r="G156" i="114" s="1"/>
  <c r="D147" i="114"/>
  <c r="D139" i="114"/>
  <c r="D153" i="114"/>
  <c r="D145" i="114"/>
  <c r="D151" i="114"/>
  <c r="D143" i="114"/>
  <c r="D149" i="114"/>
  <c r="D141" i="114"/>
  <c r="H183" i="114"/>
  <c r="D199" i="114"/>
  <c r="D194" i="114"/>
  <c r="D190" i="114"/>
  <c r="D186" i="114"/>
  <c r="D196" i="114"/>
  <c r="D192" i="114"/>
  <c r="D188" i="114"/>
  <c r="D184" i="114"/>
  <c r="D197" i="114"/>
  <c r="D189" i="114"/>
  <c r="D195" i="114"/>
  <c r="D187" i="114"/>
  <c r="D193" i="114"/>
  <c r="D185" i="114"/>
  <c r="D200" i="114"/>
  <c r="D191" i="114"/>
  <c r="D183" i="114"/>
  <c r="H227" i="114"/>
  <c r="D240" i="114"/>
  <c r="D236" i="114"/>
  <c r="D232" i="114"/>
  <c r="D228" i="114"/>
  <c r="D243" i="114"/>
  <c r="D238" i="114"/>
  <c r="D234" i="114"/>
  <c r="D230" i="114"/>
  <c r="D239" i="114"/>
  <c r="D231" i="114"/>
  <c r="D237" i="114"/>
  <c r="D229" i="114"/>
  <c r="D244" i="114"/>
  <c r="D235" i="114"/>
  <c r="D227" i="114"/>
  <c r="D241" i="114"/>
  <c r="D233" i="114"/>
  <c r="H271" i="114"/>
  <c r="D287" i="114"/>
  <c r="D282" i="114"/>
  <c r="D278" i="114"/>
  <c r="D274" i="114"/>
  <c r="D284" i="114"/>
  <c r="D280" i="114"/>
  <c r="D276" i="114"/>
  <c r="D272" i="114"/>
  <c r="D281" i="114"/>
  <c r="D273" i="114"/>
  <c r="D288" i="114"/>
  <c r="D279" i="114"/>
  <c r="D271" i="114"/>
  <c r="D285" i="114"/>
  <c r="D277" i="114"/>
  <c r="D283" i="114"/>
  <c r="D275" i="114"/>
  <c r="H315" i="114"/>
  <c r="D328" i="114"/>
  <c r="D324" i="114"/>
  <c r="D320" i="114"/>
  <c r="D316" i="114"/>
  <c r="D331" i="114"/>
  <c r="D326" i="114"/>
  <c r="D322" i="114"/>
  <c r="D318" i="114"/>
  <c r="D332" i="114"/>
  <c r="G332" i="114" s="1"/>
  <c r="D323" i="114"/>
  <c r="D315" i="114"/>
  <c r="D329" i="114"/>
  <c r="D321" i="114"/>
  <c r="D327" i="114"/>
  <c r="D319" i="114"/>
  <c r="D325" i="114"/>
  <c r="D317" i="114"/>
  <c r="H359" i="114"/>
  <c r="D375" i="114"/>
  <c r="D370" i="114"/>
  <c r="D366" i="114"/>
  <c r="D362" i="114"/>
  <c r="D372" i="114"/>
  <c r="D368" i="114"/>
  <c r="D364" i="114"/>
  <c r="D360" i="114"/>
  <c r="D373" i="114"/>
  <c r="D365" i="114"/>
  <c r="D371" i="114"/>
  <c r="D363" i="114"/>
  <c r="D369" i="114"/>
  <c r="D361" i="114"/>
  <c r="D376" i="114"/>
  <c r="D367" i="114"/>
  <c r="D359" i="114"/>
  <c r="H403" i="114"/>
  <c r="D416" i="114"/>
  <c r="D412" i="114"/>
  <c r="D408" i="114"/>
  <c r="D404" i="114"/>
  <c r="D419" i="114"/>
  <c r="D414" i="114"/>
  <c r="D410" i="114"/>
  <c r="D406" i="114"/>
  <c r="D415" i="114"/>
  <c r="D407" i="114"/>
  <c r="D413" i="114"/>
  <c r="D405" i="114"/>
  <c r="D420" i="114"/>
  <c r="D411" i="114"/>
  <c r="D403" i="114"/>
  <c r="D417" i="114"/>
  <c r="D409" i="114"/>
  <c r="H447" i="114"/>
  <c r="D463" i="114"/>
  <c r="D458" i="114"/>
  <c r="D454" i="114"/>
  <c r="D450" i="114"/>
  <c r="D460" i="114"/>
  <c r="D456" i="114"/>
  <c r="D452" i="114"/>
  <c r="D448" i="114"/>
  <c r="D457" i="114"/>
  <c r="D449" i="114"/>
  <c r="D464" i="114"/>
  <c r="D455" i="114"/>
  <c r="D447" i="114"/>
  <c r="D461" i="114"/>
  <c r="D453" i="114"/>
  <c r="D459" i="114"/>
  <c r="D451" i="114"/>
  <c r="H491" i="114"/>
  <c r="D504" i="114"/>
  <c r="D500" i="114"/>
  <c r="D496" i="114"/>
  <c r="D492" i="114"/>
  <c r="D507" i="114"/>
  <c r="D502" i="114"/>
  <c r="D498" i="114"/>
  <c r="D494" i="114"/>
  <c r="D508" i="114"/>
  <c r="D499" i="114"/>
  <c r="D491" i="114"/>
  <c r="D505" i="114"/>
  <c r="D497" i="114"/>
  <c r="D503" i="114"/>
  <c r="D495" i="114"/>
  <c r="D501" i="114"/>
  <c r="D493" i="114"/>
  <c r="H29" i="115"/>
  <c r="D45" i="115"/>
  <c r="D40" i="115"/>
  <c r="D36" i="115"/>
  <c r="D32" i="115"/>
  <c r="D42" i="115"/>
  <c r="D38" i="115"/>
  <c r="D34" i="115"/>
  <c r="D30" i="115"/>
  <c r="D43" i="115"/>
  <c r="D35" i="115"/>
  <c r="D41" i="115"/>
  <c r="D33" i="115"/>
  <c r="D39" i="115"/>
  <c r="D31" i="115"/>
  <c r="D46" i="115"/>
  <c r="G46" i="115" s="1"/>
  <c r="D37" i="115"/>
  <c r="D29" i="115"/>
  <c r="H73" i="115"/>
  <c r="D86" i="115"/>
  <c r="D82" i="115"/>
  <c r="D78" i="115"/>
  <c r="D74" i="115"/>
  <c r="D89" i="115"/>
  <c r="D84" i="115"/>
  <c r="D80" i="115"/>
  <c r="D76" i="115"/>
  <c r="D85" i="115"/>
  <c r="D77" i="115"/>
  <c r="D83" i="115"/>
  <c r="D75" i="115"/>
  <c r="D90" i="115"/>
  <c r="G90" i="115" s="1"/>
  <c r="D81" i="115"/>
  <c r="D73" i="115"/>
  <c r="D87" i="115"/>
  <c r="D79" i="115"/>
  <c r="H117" i="115"/>
  <c r="D133" i="115"/>
  <c r="D128" i="115"/>
  <c r="D124" i="115"/>
  <c r="D120" i="115"/>
  <c r="D130" i="115"/>
  <c r="D126" i="115"/>
  <c r="D122" i="115"/>
  <c r="D118" i="115"/>
  <c r="D127" i="115"/>
  <c r="D119" i="115"/>
  <c r="D134" i="115"/>
  <c r="D125" i="115"/>
  <c r="D117" i="115"/>
  <c r="D131" i="115"/>
  <c r="D123" i="115"/>
  <c r="D129" i="115"/>
  <c r="D121" i="115"/>
  <c r="H161" i="115"/>
  <c r="D174" i="115"/>
  <c r="D170" i="115"/>
  <c r="D166" i="115"/>
  <c r="D162" i="115"/>
  <c r="D177" i="115"/>
  <c r="D172" i="115"/>
  <c r="D168" i="115"/>
  <c r="D164" i="115"/>
  <c r="D178" i="115"/>
  <c r="D169" i="115"/>
  <c r="D161" i="115"/>
  <c r="D175" i="115"/>
  <c r="D167" i="115"/>
  <c r="D173" i="115"/>
  <c r="D165" i="115"/>
  <c r="D171" i="115"/>
  <c r="D163" i="115"/>
  <c r="H205" i="115"/>
  <c r="D221" i="115"/>
  <c r="D216" i="115"/>
  <c r="D212" i="115"/>
  <c r="D208" i="115"/>
  <c r="D218" i="115"/>
  <c r="D214" i="115"/>
  <c r="D210" i="115"/>
  <c r="D206" i="115"/>
  <c r="D219" i="115"/>
  <c r="D211" i="115"/>
  <c r="D217" i="115"/>
  <c r="D209" i="115"/>
  <c r="D215" i="115"/>
  <c r="D207" i="115"/>
  <c r="D222" i="115"/>
  <c r="D213" i="115"/>
  <c r="D205" i="115"/>
  <c r="H249" i="115"/>
  <c r="D262" i="115"/>
  <c r="D258" i="115"/>
  <c r="D254" i="115"/>
  <c r="D250" i="115"/>
  <c r="D265" i="115"/>
  <c r="D260" i="115"/>
  <c r="D256" i="115"/>
  <c r="D252" i="115"/>
  <c r="D261" i="115"/>
  <c r="D253" i="115"/>
  <c r="D259" i="115"/>
  <c r="D251" i="115"/>
  <c r="D266" i="115"/>
  <c r="D257" i="115"/>
  <c r="D249" i="115"/>
  <c r="D263" i="115"/>
  <c r="D255" i="115"/>
  <c r="H293" i="115"/>
  <c r="D309" i="115"/>
  <c r="D304" i="115"/>
  <c r="D300" i="115"/>
  <c r="D296" i="115"/>
  <c r="D306" i="115"/>
  <c r="D302" i="115"/>
  <c r="D298" i="115"/>
  <c r="D294" i="115"/>
  <c r="D303" i="115"/>
  <c r="D295" i="115"/>
  <c r="D310" i="115"/>
  <c r="D301" i="115"/>
  <c r="D293" i="115"/>
  <c r="D307" i="115"/>
  <c r="D299" i="115"/>
  <c r="D305" i="115"/>
  <c r="D297" i="115"/>
  <c r="H337" i="115"/>
  <c r="D350" i="115"/>
  <c r="D346" i="115"/>
  <c r="D342" i="115"/>
  <c r="D338" i="115"/>
  <c r="D353" i="115"/>
  <c r="D348" i="115"/>
  <c r="D344" i="115"/>
  <c r="D340" i="115"/>
  <c r="D354" i="115"/>
  <c r="G354" i="115" s="1"/>
  <c r="D345" i="115"/>
  <c r="D337" i="115"/>
  <c r="D351" i="115"/>
  <c r="D343" i="115"/>
  <c r="D349" i="115"/>
  <c r="D341" i="115"/>
  <c r="D347" i="115"/>
  <c r="D339" i="115"/>
  <c r="H381" i="115"/>
  <c r="D397" i="115"/>
  <c r="D392" i="115"/>
  <c r="D388" i="115"/>
  <c r="D384" i="115"/>
  <c r="D394" i="115"/>
  <c r="D390" i="115"/>
  <c r="D386" i="115"/>
  <c r="D382" i="115"/>
  <c r="D395" i="115"/>
  <c r="D387" i="115"/>
  <c r="D393" i="115"/>
  <c r="D385" i="115"/>
  <c r="D391" i="115"/>
  <c r="D383" i="115"/>
  <c r="D398" i="115"/>
  <c r="G398" i="115" s="1"/>
  <c r="D389" i="115"/>
  <c r="D381" i="115"/>
  <c r="H425" i="115"/>
  <c r="D438" i="115"/>
  <c r="D434" i="115"/>
  <c r="D430" i="115"/>
  <c r="D426" i="115"/>
  <c r="D441" i="115"/>
  <c r="D436" i="115"/>
  <c r="D432" i="115"/>
  <c r="D428" i="115"/>
  <c r="D437" i="115"/>
  <c r="D429" i="115"/>
  <c r="D435" i="115"/>
  <c r="D427" i="115"/>
  <c r="D442" i="115"/>
  <c r="D433" i="115"/>
  <c r="D425" i="115"/>
  <c r="D439" i="115"/>
  <c r="D431" i="115"/>
  <c r="H29" i="116"/>
  <c r="D45" i="116"/>
  <c r="D40" i="116"/>
  <c r="D36" i="116"/>
  <c r="D32" i="116"/>
  <c r="D42" i="116"/>
  <c r="D38" i="116"/>
  <c r="D34" i="116"/>
  <c r="D30" i="116"/>
  <c r="D39" i="116"/>
  <c r="D31" i="116"/>
  <c r="D46" i="116"/>
  <c r="D37" i="116"/>
  <c r="D29" i="116"/>
  <c r="D43" i="116"/>
  <c r="D35" i="116"/>
  <c r="D41" i="116"/>
  <c r="D33" i="116"/>
  <c r="H73" i="116"/>
  <c r="D86" i="116"/>
  <c r="D82" i="116"/>
  <c r="D78" i="116"/>
  <c r="D74" i="116"/>
  <c r="D89" i="116"/>
  <c r="D84" i="116"/>
  <c r="D80" i="116"/>
  <c r="D76" i="116"/>
  <c r="D90" i="116"/>
  <c r="D81" i="116"/>
  <c r="D73" i="116"/>
  <c r="D87" i="116"/>
  <c r="D79" i="116"/>
  <c r="D85" i="116"/>
  <c r="D77" i="116"/>
  <c r="D83" i="116"/>
  <c r="D75" i="116"/>
  <c r="H117" i="116"/>
  <c r="D133" i="116"/>
  <c r="D128" i="116"/>
  <c r="D124" i="116"/>
  <c r="D120" i="116"/>
  <c r="D130" i="116"/>
  <c r="D126" i="116"/>
  <c r="D122" i="116"/>
  <c r="D118" i="116"/>
  <c r="D131" i="116"/>
  <c r="D123" i="116"/>
  <c r="D129" i="116"/>
  <c r="D121" i="116"/>
  <c r="D127" i="116"/>
  <c r="D119" i="116"/>
  <c r="D134" i="116"/>
  <c r="D125" i="116"/>
  <c r="D117" i="116"/>
  <c r="H161" i="116"/>
  <c r="D174" i="116"/>
  <c r="D170" i="116"/>
  <c r="D166" i="116"/>
  <c r="D162" i="116"/>
  <c r="D177" i="116"/>
  <c r="D172" i="116"/>
  <c r="D168" i="116"/>
  <c r="D164" i="116"/>
  <c r="D173" i="116"/>
  <c r="D165" i="116"/>
  <c r="D171" i="116"/>
  <c r="D163" i="116"/>
  <c r="D178" i="116"/>
  <c r="D169" i="116"/>
  <c r="D161" i="116"/>
  <c r="D175" i="116"/>
  <c r="D167" i="116"/>
  <c r="H205" i="116"/>
  <c r="D221" i="116"/>
  <c r="D216" i="116"/>
  <c r="D212" i="116"/>
  <c r="D208" i="116"/>
  <c r="D218" i="116"/>
  <c r="D214" i="116"/>
  <c r="D210" i="116"/>
  <c r="D206" i="116"/>
  <c r="D215" i="116"/>
  <c r="D207" i="116"/>
  <c r="D222" i="116"/>
  <c r="D213" i="116"/>
  <c r="D205" i="116"/>
  <c r="D219" i="116"/>
  <c r="D211" i="116"/>
  <c r="D217" i="116"/>
  <c r="D209" i="116"/>
  <c r="H249" i="116"/>
  <c r="D262" i="116"/>
  <c r="D258" i="116"/>
  <c r="D254" i="116"/>
  <c r="D250" i="116"/>
  <c r="D265" i="116"/>
  <c r="D260" i="116"/>
  <c r="D256" i="116"/>
  <c r="D252" i="116"/>
  <c r="D266" i="116"/>
  <c r="D257" i="116"/>
  <c r="D249" i="116"/>
  <c r="D263" i="116"/>
  <c r="D255" i="116"/>
  <c r="D261" i="116"/>
  <c r="D253" i="116"/>
  <c r="D259" i="116"/>
  <c r="D251" i="116"/>
  <c r="H293" i="116"/>
  <c r="D309" i="116"/>
  <c r="D304" i="116"/>
  <c r="D300" i="116"/>
  <c r="D296" i="116"/>
  <c r="D306" i="116"/>
  <c r="D302" i="116"/>
  <c r="D298" i="116"/>
  <c r="D294" i="116"/>
  <c r="D307" i="116"/>
  <c r="D299" i="116"/>
  <c r="D305" i="116"/>
  <c r="D297" i="116"/>
  <c r="D303" i="116"/>
  <c r="D295" i="116"/>
  <c r="D310" i="116"/>
  <c r="D301" i="116"/>
  <c r="D293" i="116"/>
  <c r="H337" i="116"/>
  <c r="D350" i="116"/>
  <c r="D346" i="116"/>
  <c r="D342" i="116"/>
  <c r="D338" i="116"/>
  <c r="D353" i="116"/>
  <c r="D348" i="116"/>
  <c r="D344" i="116"/>
  <c r="D340" i="116"/>
  <c r="D349" i="116"/>
  <c r="D341" i="116"/>
  <c r="D347" i="116"/>
  <c r="D339" i="116"/>
  <c r="D354" i="116"/>
  <c r="D345" i="116"/>
  <c r="D337" i="116"/>
  <c r="D351" i="116"/>
  <c r="D343" i="116"/>
  <c r="H381" i="116"/>
  <c r="D397" i="116"/>
  <c r="D392" i="116"/>
  <c r="D388" i="116"/>
  <c r="D384" i="116"/>
  <c r="D394" i="116"/>
  <c r="D390" i="116"/>
  <c r="D386" i="116"/>
  <c r="D382" i="116"/>
  <c r="D391" i="116"/>
  <c r="D383" i="116"/>
  <c r="D398" i="116"/>
  <c r="D389" i="116"/>
  <c r="D381" i="116"/>
  <c r="D395" i="116"/>
  <c r="D387" i="116"/>
  <c r="D393" i="116"/>
  <c r="D385" i="116"/>
  <c r="H425" i="116"/>
  <c r="D438" i="116"/>
  <c r="D434" i="116"/>
  <c r="D430" i="116"/>
  <c r="D426" i="116"/>
  <c r="D441" i="116"/>
  <c r="D436" i="116"/>
  <c r="D432" i="116"/>
  <c r="D428" i="116"/>
  <c r="D442" i="116"/>
  <c r="G442" i="116" s="1"/>
  <c r="D433" i="116"/>
  <c r="D425" i="116"/>
  <c r="D439" i="116"/>
  <c r="D431" i="116"/>
  <c r="D437" i="116"/>
  <c r="D429" i="116"/>
  <c r="D435" i="116"/>
  <c r="D427" i="116"/>
  <c r="H469" i="116"/>
  <c r="D485" i="116"/>
  <c r="D480" i="116"/>
  <c r="D476" i="116"/>
  <c r="D472" i="116"/>
  <c r="D482" i="116"/>
  <c r="D478" i="116"/>
  <c r="D474" i="116"/>
  <c r="D470" i="116"/>
  <c r="D483" i="116"/>
  <c r="D475" i="116"/>
  <c r="D481" i="116"/>
  <c r="D473" i="116"/>
  <c r="D479" i="116"/>
  <c r="D471" i="116"/>
  <c r="D486" i="116"/>
  <c r="G486" i="116" s="1"/>
  <c r="D477" i="116"/>
  <c r="D469" i="116"/>
  <c r="H29" i="117"/>
  <c r="D42" i="117"/>
  <c r="D38" i="117"/>
  <c r="D34" i="117"/>
  <c r="D30" i="117"/>
  <c r="D45" i="117"/>
  <c r="D40" i="117"/>
  <c r="D36" i="117"/>
  <c r="D32" i="117"/>
  <c r="D41" i="117"/>
  <c r="D33" i="117"/>
  <c r="D39" i="117"/>
  <c r="D31" i="117"/>
  <c r="D46" i="117"/>
  <c r="G46" i="117" s="1"/>
  <c r="D37" i="117"/>
  <c r="D29" i="117"/>
  <c r="D43" i="117"/>
  <c r="D35" i="117"/>
  <c r="H73" i="117"/>
  <c r="D89" i="117"/>
  <c r="D84" i="117"/>
  <c r="D80" i="117"/>
  <c r="D76" i="117"/>
  <c r="D86" i="117"/>
  <c r="D82" i="117"/>
  <c r="D78" i="117"/>
  <c r="D74" i="117"/>
  <c r="D83" i="117"/>
  <c r="D75" i="117"/>
  <c r="D90" i="117"/>
  <c r="D81" i="117"/>
  <c r="D73" i="117"/>
  <c r="D87" i="117"/>
  <c r="D79" i="117"/>
  <c r="D85" i="117"/>
  <c r="D77" i="117"/>
  <c r="H117" i="117"/>
  <c r="D130" i="117"/>
  <c r="D126" i="117"/>
  <c r="D122" i="117"/>
  <c r="D118" i="117"/>
  <c r="D133" i="117"/>
  <c r="D128" i="117"/>
  <c r="D124" i="117"/>
  <c r="D120" i="117"/>
  <c r="D134" i="117"/>
  <c r="D125" i="117"/>
  <c r="D117" i="117"/>
  <c r="D131" i="117"/>
  <c r="D123" i="117"/>
  <c r="D129" i="117"/>
  <c r="D121" i="117"/>
  <c r="D127" i="117"/>
  <c r="D119" i="117"/>
  <c r="H161" i="117"/>
  <c r="D177" i="117"/>
  <c r="D172" i="117"/>
  <c r="D168" i="117"/>
  <c r="D164" i="117"/>
  <c r="D174" i="117"/>
  <c r="D170" i="117"/>
  <c r="D166" i="117"/>
  <c r="D162" i="117"/>
  <c r="D175" i="117"/>
  <c r="D167" i="117"/>
  <c r="D173" i="117"/>
  <c r="D165" i="117"/>
  <c r="D171" i="117"/>
  <c r="D163" i="117"/>
  <c r="D178" i="117"/>
  <c r="G178" i="117" s="1"/>
  <c r="D169" i="117"/>
  <c r="D161" i="117"/>
  <c r="H205" i="117"/>
  <c r="D218" i="117"/>
  <c r="D214" i="117"/>
  <c r="D210" i="117"/>
  <c r="D206" i="117"/>
  <c r="D221" i="117"/>
  <c r="D216" i="117"/>
  <c r="D212" i="117"/>
  <c r="D208" i="117"/>
  <c r="D217" i="117"/>
  <c r="D209" i="117"/>
  <c r="D215" i="117"/>
  <c r="D207" i="117"/>
  <c r="D222" i="117"/>
  <c r="G222" i="117" s="1"/>
  <c r="D213" i="117"/>
  <c r="D205" i="117"/>
  <c r="D219" i="117"/>
  <c r="D211" i="117"/>
  <c r="H249" i="117"/>
  <c r="D265" i="117"/>
  <c r="D260" i="117"/>
  <c r="D256" i="117"/>
  <c r="D252" i="117"/>
  <c r="D262" i="117"/>
  <c r="D258" i="117"/>
  <c r="D254" i="117"/>
  <c r="D250" i="117"/>
  <c r="D259" i="117"/>
  <c r="D251" i="117"/>
  <c r="D266" i="117"/>
  <c r="G266" i="117" s="1"/>
  <c r="D257" i="117"/>
  <c r="D249" i="117"/>
  <c r="D263" i="117"/>
  <c r="D255" i="117"/>
  <c r="D261" i="117"/>
  <c r="D253" i="117"/>
  <c r="H293" i="117"/>
  <c r="D306" i="117"/>
  <c r="D302" i="117"/>
  <c r="D298" i="117"/>
  <c r="D294" i="117"/>
  <c r="D309" i="117"/>
  <c r="D304" i="117"/>
  <c r="D300" i="117"/>
  <c r="D296" i="117"/>
  <c r="D310" i="117"/>
  <c r="G310" i="117" s="1"/>
  <c r="D301" i="117"/>
  <c r="D293" i="117"/>
  <c r="D307" i="117"/>
  <c r="D299" i="117"/>
  <c r="D305" i="117"/>
  <c r="D297" i="117"/>
  <c r="D303" i="117"/>
  <c r="D295" i="117"/>
  <c r="H337" i="117"/>
  <c r="D353" i="117"/>
  <c r="D348" i="117"/>
  <c r="D344" i="117"/>
  <c r="D340" i="117"/>
  <c r="D350" i="117"/>
  <c r="D346" i="117"/>
  <c r="D342" i="117"/>
  <c r="D338" i="117"/>
  <c r="D351" i="117"/>
  <c r="D343" i="117"/>
  <c r="D349" i="117"/>
  <c r="D341" i="117"/>
  <c r="D347" i="117"/>
  <c r="D339" i="117"/>
  <c r="D354" i="117"/>
  <c r="G354" i="117" s="1"/>
  <c r="D345" i="117"/>
  <c r="D337" i="117"/>
  <c r="H381" i="117"/>
  <c r="D394" i="117"/>
  <c r="D390" i="117"/>
  <c r="D386" i="117"/>
  <c r="D382" i="117"/>
  <c r="D398" i="117"/>
  <c r="G398" i="117" s="1"/>
  <c r="D393" i="117"/>
  <c r="D389" i="117"/>
  <c r="D385" i="117"/>
  <c r="D381" i="117"/>
  <c r="D397" i="117"/>
  <c r="D392" i="117"/>
  <c r="D388" i="117"/>
  <c r="D384" i="117"/>
  <c r="D391" i="117"/>
  <c r="D387" i="117"/>
  <c r="D383" i="117"/>
  <c r="D395" i="117"/>
  <c r="H425" i="117"/>
  <c r="D441" i="117"/>
  <c r="D436" i="117"/>
  <c r="D432" i="117"/>
  <c r="D428" i="117"/>
  <c r="D439" i="117"/>
  <c r="D435" i="117"/>
  <c r="D431" i="117"/>
  <c r="D427" i="117"/>
  <c r="D438" i="117"/>
  <c r="D434" i="117"/>
  <c r="D430" i="117"/>
  <c r="D426" i="117"/>
  <c r="D433" i="117"/>
  <c r="D429" i="117"/>
  <c r="D442" i="117"/>
  <c r="G442" i="117" s="1"/>
  <c r="D425" i="117"/>
  <c r="D437" i="117"/>
  <c r="G250" i="130"/>
  <c r="G117" i="132"/>
  <c r="C11" i="134"/>
  <c r="E2" i="134"/>
  <c r="G14" i="122"/>
  <c r="G144" i="130"/>
  <c r="G59" i="127"/>
  <c r="G103" i="131"/>
  <c r="G285" i="130"/>
  <c r="G628" i="129"/>
  <c r="G197" i="130"/>
  <c r="G143" i="130"/>
  <c r="G161" i="132"/>
  <c r="G96" i="128"/>
  <c r="G161" i="126"/>
  <c r="G227" i="133"/>
  <c r="G129" i="130"/>
  <c r="G196" i="130"/>
  <c r="G74" i="125"/>
  <c r="G272" i="130"/>
  <c r="G140" i="130"/>
  <c r="G343" i="130"/>
  <c r="G123" i="131"/>
  <c r="G125" i="130"/>
  <c r="G299" i="131"/>
  <c r="G81" i="131"/>
  <c r="G95" i="130"/>
  <c r="G230" i="133"/>
  <c r="E21" i="99"/>
  <c r="E19" i="99"/>
  <c r="E18" i="99"/>
  <c r="E17" i="99"/>
  <c r="F13" i="99"/>
  <c r="F8" i="99"/>
  <c r="F20" i="99"/>
  <c r="E15" i="99"/>
  <c r="F18" i="99"/>
  <c r="E9" i="99"/>
  <c r="F12" i="99"/>
  <c r="F7" i="99"/>
  <c r="E20" i="99"/>
  <c r="E12" i="99"/>
  <c r="E10" i="99"/>
  <c r="F15" i="99"/>
  <c r="F11" i="99"/>
  <c r="F10" i="99"/>
  <c r="F21" i="99"/>
  <c r="F19" i="99"/>
  <c r="E11" i="99"/>
  <c r="F17" i="99"/>
  <c r="F14" i="99"/>
  <c r="F9" i="99"/>
  <c r="E14" i="99"/>
  <c r="E8" i="99"/>
  <c r="E13" i="99"/>
  <c r="E7" i="99"/>
  <c r="G46" i="99"/>
  <c r="F41" i="99"/>
  <c r="E40" i="99"/>
  <c r="F35" i="99"/>
  <c r="E34" i="99"/>
  <c r="F31" i="99"/>
  <c r="E30" i="99"/>
  <c r="E29" i="99"/>
  <c r="F42" i="99"/>
  <c r="E41" i="99"/>
  <c r="G41" i="99" s="1"/>
  <c r="F36" i="99"/>
  <c r="E35" i="99"/>
  <c r="F32" i="99"/>
  <c r="E31" i="99"/>
  <c r="G31" i="99" s="1"/>
  <c r="F43" i="99"/>
  <c r="E42" i="99"/>
  <c r="F39" i="99"/>
  <c r="F37" i="99"/>
  <c r="E36" i="99"/>
  <c r="F33" i="99"/>
  <c r="E32" i="99"/>
  <c r="C26" i="99"/>
  <c r="E43" i="99"/>
  <c r="F40" i="99"/>
  <c r="E39" i="99"/>
  <c r="E37" i="99"/>
  <c r="F34" i="99"/>
  <c r="E33" i="99"/>
  <c r="F30" i="99"/>
  <c r="F29" i="99"/>
  <c r="F87" i="99"/>
  <c r="E86" i="99"/>
  <c r="F83" i="99"/>
  <c r="F81" i="99"/>
  <c r="E80" i="99"/>
  <c r="F77" i="99"/>
  <c r="E76" i="99"/>
  <c r="C70" i="99"/>
  <c r="E87" i="99"/>
  <c r="F84" i="99"/>
  <c r="E83" i="99"/>
  <c r="E81" i="99"/>
  <c r="F78" i="99"/>
  <c r="E77" i="99"/>
  <c r="F74" i="99"/>
  <c r="F73" i="99"/>
  <c r="G90" i="99"/>
  <c r="F85" i="99"/>
  <c r="E84" i="99"/>
  <c r="F79" i="99"/>
  <c r="E78" i="99"/>
  <c r="G78" i="99" s="1"/>
  <c r="F75" i="99"/>
  <c r="E74" i="99"/>
  <c r="E73" i="99"/>
  <c r="F86" i="99"/>
  <c r="E85" i="99"/>
  <c r="F80" i="99"/>
  <c r="E79" i="99"/>
  <c r="F76" i="99"/>
  <c r="E75" i="99"/>
  <c r="G74" i="99"/>
  <c r="G73" i="99"/>
  <c r="F131" i="99"/>
  <c r="E130" i="99"/>
  <c r="F127" i="99"/>
  <c r="F125" i="99"/>
  <c r="E124" i="99"/>
  <c r="F121" i="99"/>
  <c r="E120" i="99"/>
  <c r="C114" i="99"/>
  <c r="E131" i="99"/>
  <c r="F128" i="99"/>
  <c r="E127" i="99"/>
  <c r="E125" i="99"/>
  <c r="F122" i="99"/>
  <c r="E121" i="99"/>
  <c r="F118" i="99"/>
  <c r="F117" i="99"/>
  <c r="G134" i="99"/>
  <c r="F129" i="99"/>
  <c r="E128" i="99"/>
  <c r="F123" i="99"/>
  <c r="E122" i="99"/>
  <c r="F119" i="99"/>
  <c r="E118" i="99"/>
  <c r="G118" i="99" s="1"/>
  <c r="E117" i="99"/>
  <c r="G117" i="99" s="1"/>
  <c r="F130" i="99"/>
  <c r="E129" i="99"/>
  <c r="F124" i="99"/>
  <c r="E123" i="99"/>
  <c r="F120" i="99"/>
  <c r="E119" i="99"/>
  <c r="F175" i="99"/>
  <c r="E174" i="99"/>
  <c r="F171" i="99"/>
  <c r="F169" i="99"/>
  <c r="E168" i="99"/>
  <c r="F165" i="99"/>
  <c r="E164" i="99"/>
  <c r="C158" i="99"/>
  <c r="E175" i="99"/>
  <c r="F172" i="99"/>
  <c r="E171" i="99"/>
  <c r="E169" i="99"/>
  <c r="F166" i="99"/>
  <c r="E165" i="99"/>
  <c r="F162" i="99"/>
  <c r="F161" i="99"/>
  <c r="G178" i="99"/>
  <c r="F173" i="99"/>
  <c r="E172" i="99"/>
  <c r="F167" i="99"/>
  <c r="E166" i="99"/>
  <c r="F163" i="99"/>
  <c r="E162" i="99"/>
  <c r="E161" i="99"/>
  <c r="F174" i="99"/>
  <c r="E173" i="99"/>
  <c r="F168" i="99"/>
  <c r="E167" i="99"/>
  <c r="F164" i="99"/>
  <c r="E163" i="99"/>
  <c r="G162" i="99"/>
  <c r="G161" i="99"/>
  <c r="F218" i="99"/>
  <c r="E217" i="99"/>
  <c r="F212" i="99"/>
  <c r="E211" i="99"/>
  <c r="F208" i="99"/>
  <c r="E207" i="99"/>
  <c r="F219" i="99"/>
  <c r="E218" i="99"/>
  <c r="F215" i="99"/>
  <c r="F213" i="99"/>
  <c r="E212" i="99"/>
  <c r="F209" i="99"/>
  <c r="E208" i="99"/>
  <c r="C202" i="99"/>
  <c r="E219" i="99"/>
  <c r="F216" i="99"/>
  <c r="E215" i="99"/>
  <c r="E213" i="99"/>
  <c r="F210" i="99"/>
  <c r="E209" i="99"/>
  <c r="F206" i="99"/>
  <c r="F205" i="99"/>
  <c r="G222" i="99"/>
  <c r="F217" i="99"/>
  <c r="E216" i="99"/>
  <c r="F211" i="99"/>
  <c r="E210" i="99"/>
  <c r="F207" i="99"/>
  <c r="E206" i="99"/>
  <c r="E205" i="99"/>
  <c r="G266" i="99"/>
  <c r="F261" i="99"/>
  <c r="E260" i="99"/>
  <c r="F255" i="99"/>
  <c r="E254" i="99"/>
  <c r="F251" i="99"/>
  <c r="E250" i="99"/>
  <c r="E249" i="99"/>
  <c r="F262" i="99"/>
  <c r="E261" i="99"/>
  <c r="F256" i="99"/>
  <c r="E255" i="99"/>
  <c r="G255" i="99" s="1"/>
  <c r="F252" i="99"/>
  <c r="E251" i="99"/>
  <c r="G251" i="99" s="1"/>
  <c r="F263" i="99"/>
  <c r="E262" i="99"/>
  <c r="F259" i="99"/>
  <c r="F257" i="99"/>
  <c r="E256" i="99"/>
  <c r="F253" i="99"/>
  <c r="E252" i="99"/>
  <c r="C246" i="99"/>
  <c r="E263" i="99"/>
  <c r="F260" i="99"/>
  <c r="E259" i="99"/>
  <c r="E257" i="99"/>
  <c r="F254" i="99"/>
  <c r="E253" i="99"/>
  <c r="F250" i="99"/>
  <c r="F249" i="99"/>
  <c r="E307" i="99"/>
  <c r="F304" i="99"/>
  <c r="E303" i="99"/>
  <c r="E301" i="99"/>
  <c r="F298" i="99"/>
  <c r="E297" i="99"/>
  <c r="F294" i="99"/>
  <c r="F293" i="99"/>
  <c r="G310" i="99"/>
  <c r="F305" i="99"/>
  <c r="E304" i="99"/>
  <c r="F299" i="99"/>
  <c r="E298" i="99"/>
  <c r="F295" i="99"/>
  <c r="E294" i="99"/>
  <c r="E293" i="99"/>
  <c r="G293" i="99" s="1"/>
  <c r="F306" i="99"/>
  <c r="E305" i="99"/>
  <c r="G305" i="99" s="1"/>
  <c r="F300" i="99"/>
  <c r="E299" i="99"/>
  <c r="F296" i="99"/>
  <c r="E295" i="99"/>
  <c r="G294" i="99"/>
  <c r="F307" i="99"/>
  <c r="E306" i="99"/>
  <c r="F303" i="99"/>
  <c r="F301" i="99"/>
  <c r="E300" i="99"/>
  <c r="F297" i="99"/>
  <c r="E296" i="99"/>
  <c r="C290" i="99"/>
  <c r="F350" i="99"/>
  <c r="E349" i="99"/>
  <c r="F344" i="99"/>
  <c r="E343" i="99"/>
  <c r="F340" i="99"/>
  <c r="E339" i="99"/>
  <c r="F351" i="99"/>
  <c r="E350" i="99"/>
  <c r="F347" i="99"/>
  <c r="F345" i="99"/>
  <c r="E344" i="99"/>
  <c r="F341" i="99"/>
  <c r="E340" i="99"/>
  <c r="C334" i="99"/>
  <c r="E351" i="99"/>
  <c r="F348" i="99"/>
  <c r="E347" i="99"/>
  <c r="E345" i="99"/>
  <c r="F342" i="99"/>
  <c r="E341" i="99"/>
  <c r="F338" i="99"/>
  <c r="F337" i="99"/>
  <c r="G354" i="99"/>
  <c r="F349" i="99"/>
  <c r="E348" i="99"/>
  <c r="F343" i="99"/>
  <c r="E342" i="99"/>
  <c r="F339" i="99"/>
  <c r="E338" i="99"/>
  <c r="E337" i="99"/>
  <c r="E21" i="100"/>
  <c r="E19" i="100"/>
  <c r="E17" i="100"/>
  <c r="E14" i="100"/>
  <c r="E12" i="100"/>
  <c r="E10" i="100"/>
  <c r="E8" i="100"/>
  <c r="F20" i="100"/>
  <c r="F18" i="100"/>
  <c r="F15" i="100"/>
  <c r="F13" i="100"/>
  <c r="F11" i="100"/>
  <c r="F9" i="100"/>
  <c r="F7" i="100"/>
  <c r="E20" i="100"/>
  <c r="E18" i="100"/>
  <c r="E15" i="100"/>
  <c r="E13" i="100"/>
  <c r="E11" i="100"/>
  <c r="E9" i="100"/>
  <c r="E7" i="100"/>
  <c r="F21" i="100"/>
  <c r="F19" i="100"/>
  <c r="F17" i="100"/>
  <c r="F14" i="100"/>
  <c r="F12" i="100"/>
  <c r="F10" i="100"/>
  <c r="F8" i="100"/>
  <c r="E65" i="100"/>
  <c r="E63" i="100"/>
  <c r="E61" i="100"/>
  <c r="E58" i="100"/>
  <c r="E56" i="100"/>
  <c r="E54" i="100"/>
  <c r="E52" i="100"/>
  <c r="F64" i="100"/>
  <c r="F62" i="100"/>
  <c r="F59" i="100"/>
  <c r="F57" i="100"/>
  <c r="F55" i="100"/>
  <c r="F53" i="100"/>
  <c r="F51" i="100"/>
  <c r="E64" i="100"/>
  <c r="E62" i="100"/>
  <c r="E59" i="100"/>
  <c r="E57" i="100"/>
  <c r="E55" i="100"/>
  <c r="E53" i="100"/>
  <c r="E51" i="100"/>
  <c r="F65" i="100"/>
  <c r="F63" i="100"/>
  <c r="F61" i="100"/>
  <c r="F58" i="100"/>
  <c r="F56" i="100"/>
  <c r="F54" i="100"/>
  <c r="F52" i="100"/>
  <c r="E109" i="100"/>
  <c r="E107" i="100"/>
  <c r="E105" i="100"/>
  <c r="E102" i="100"/>
  <c r="E100" i="100"/>
  <c r="E98" i="100"/>
  <c r="E96" i="100"/>
  <c r="F108" i="100"/>
  <c r="F106" i="100"/>
  <c r="F103" i="100"/>
  <c r="F101" i="100"/>
  <c r="F99" i="100"/>
  <c r="F97" i="100"/>
  <c r="F95" i="100"/>
  <c r="E108" i="100"/>
  <c r="E106" i="100"/>
  <c r="E103" i="100"/>
  <c r="E101" i="100"/>
  <c r="E99" i="100"/>
  <c r="E97" i="100"/>
  <c r="E95" i="100"/>
  <c r="F109" i="100"/>
  <c r="F107" i="100"/>
  <c r="F105" i="100"/>
  <c r="F102" i="100"/>
  <c r="F100" i="100"/>
  <c r="F98" i="100"/>
  <c r="F96" i="100"/>
  <c r="E153" i="100"/>
  <c r="E151" i="100"/>
  <c r="E149" i="100"/>
  <c r="E146" i="100"/>
  <c r="E144" i="100"/>
  <c r="E142" i="100"/>
  <c r="E140" i="100"/>
  <c r="F152" i="100"/>
  <c r="F150" i="100"/>
  <c r="F147" i="100"/>
  <c r="F145" i="100"/>
  <c r="F143" i="100"/>
  <c r="F141" i="100"/>
  <c r="F139" i="100"/>
  <c r="E152" i="100"/>
  <c r="E150" i="100"/>
  <c r="E147" i="100"/>
  <c r="E145" i="100"/>
  <c r="E143" i="100"/>
  <c r="E141" i="100"/>
  <c r="E139" i="100"/>
  <c r="F153" i="100"/>
  <c r="F151" i="100"/>
  <c r="F149" i="100"/>
  <c r="F146" i="100"/>
  <c r="F144" i="100"/>
  <c r="F142" i="100"/>
  <c r="F140" i="100"/>
  <c r="E197" i="100"/>
  <c r="E195" i="100"/>
  <c r="E193" i="100"/>
  <c r="E190" i="100"/>
  <c r="E188" i="100"/>
  <c r="E186" i="100"/>
  <c r="E184" i="100"/>
  <c r="F196" i="100"/>
  <c r="F194" i="100"/>
  <c r="F191" i="100"/>
  <c r="F189" i="100"/>
  <c r="F187" i="100"/>
  <c r="F185" i="100"/>
  <c r="F183" i="100"/>
  <c r="E196" i="100"/>
  <c r="E194" i="100"/>
  <c r="E191" i="100"/>
  <c r="E189" i="100"/>
  <c r="E187" i="100"/>
  <c r="E185" i="100"/>
  <c r="E183" i="100"/>
  <c r="F197" i="100"/>
  <c r="F195" i="100"/>
  <c r="F193" i="100"/>
  <c r="F190" i="100"/>
  <c r="F188" i="100"/>
  <c r="F186" i="100"/>
  <c r="F184" i="100"/>
  <c r="E241" i="100"/>
  <c r="E239" i="100"/>
  <c r="E237" i="100"/>
  <c r="E234" i="100"/>
  <c r="E232" i="100"/>
  <c r="E230" i="100"/>
  <c r="E228" i="100"/>
  <c r="F240" i="100"/>
  <c r="F238" i="100"/>
  <c r="F235" i="100"/>
  <c r="F233" i="100"/>
  <c r="F231" i="100"/>
  <c r="F229" i="100"/>
  <c r="F227" i="100"/>
  <c r="E240" i="100"/>
  <c r="E238" i="100"/>
  <c r="E235" i="100"/>
  <c r="E233" i="100"/>
  <c r="E231" i="100"/>
  <c r="E229" i="100"/>
  <c r="E227" i="100"/>
  <c r="F241" i="100"/>
  <c r="F239" i="100"/>
  <c r="F237" i="100"/>
  <c r="F234" i="100"/>
  <c r="F232" i="100"/>
  <c r="F230" i="100"/>
  <c r="F228" i="100"/>
  <c r="E285" i="100"/>
  <c r="E283" i="100"/>
  <c r="E281" i="100"/>
  <c r="E278" i="100"/>
  <c r="E276" i="100"/>
  <c r="E274" i="100"/>
  <c r="E272" i="100"/>
  <c r="F284" i="100"/>
  <c r="F282" i="100"/>
  <c r="F279" i="100"/>
  <c r="F277" i="100"/>
  <c r="F275" i="100"/>
  <c r="F273" i="100"/>
  <c r="F271" i="100"/>
  <c r="E284" i="100"/>
  <c r="E282" i="100"/>
  <c r="E279" i="100"/>
  <c r="E277" i="100"/>
  <c r="E275" i="100"/>
  <c r="E273" i="100"/>
  <c r="E271" i="100"/>
  <c r="F285" i="100"/>
  <c r="F283" i="100"/>
  <c r="F281" i="100"/>
  <c r="F278" i="100"/>
  <c r="F276" i="100"/>
  <c r="F274" i="100"/>
  <c r="F272" i="100"/>
  <c r="F329" i="100"/>
  <c r="F327" i="100"/>
  <c r="F325" i="100"/>
  <c r="E329" i="100"/>
  <c r="E327" i="100"/>
  <c r="E325" i="100"/>
  <c r="E322" i="100"/>
  <c r="F328" i="100"/>
  <c r="F326" i="100"/>
  <c r="F323" i="100"/>
  <c r="E328" i="100"/>
  <c r="E326" i="100"/>
  <c r="E323" i="100"/>
  <c r="F322" i="100"/>
  <c r="E320" i="100"/>
  <c r="E318" i="100"/>
  <c r="E316" i="100"/>
  <c r="F321" i="100"/>
  <c r="F319" i="100"/>
  <c r="F317" i="100"/>
  <c r="F315" i="100"/>
  <c r="E321" i="100"/>
  <c r="E319" i="100"/>
  <c r="E317" i="100"/>
  <c r="E315" i="100"/>
  <c r="F320" i="100"/>
  <c r="F318" i="100"/>
  <c r="F316" i="100"/>
  <c r="F373" i="100"/>
  <c r="F371" i="100"/>
  <c r="F369" i="100"/>
  <c r="F366" i="100"/>
  <c r="F364" i="100"/>
  <c r="F362" i="100"/>
  <c r="F360" i="100"/>
  <c r="E373" i="100"/>
  <c r="E371" i="100"/>
  <c r="E369" i="100"/>
  <c r="E366" i="100"/>
  <c r="E364" i="100"/>
  <c r="E362" i="100"/>
  <c r="E360" i="100"/>
  <c r="F372" i="100"/>
  <c r="F370" i="100"/>
  <c r="F367" i="100"/>
  <c r="F365" i="100"/>
  <c r="F363" i="100"/>
  <c r="F361" i="100"/>
  <c r="F359" i="100"/>
  <c r="E372" i="100"/>
  <c r="E370" i="100"/>
  <c r="E367" i="100"/>
  <c r="E365" i="100"/>
  <c r="E363" i="100"/>
  <c r="E361" i="100"/>
  <c r="E359" i="100"/>
  <c r="F417" i="100"/>
  <c r="F415" i="100"/>
  <c r="F413" i="100"/>
  <c r="F410" i="100"/>
  <c r="F408" i="100"/>
  <c r="F406" i="100"/>
  <c r="F404" i="100"/>
  <c r="E417" i="100"/>
  <c r="E415" i="100"/>
  <c r="E413" i="100"/>
  <c r="E410" i="100"/>
  <c r="E408" i="100"/>
  <c r="E406" i="100"/>
  <c r="E404" i="100"/>
  <c r="F416" i="100"/>
  <c r="F414" i="100"/>
  <c r="F411" i="100"/>
  <c r="F409" i="100"/>
  <c r="F407" i="100"/>
  <c r="F405" i="100"/>
  <c r="F403" i="100"/>
  <c r="E416" i="100"/>
  <c r="E414" i="100"/>
  <c r="E411" i="100"/>
  <c r="E409" i="100"/>
  <c r="E407" i="100"/>
  <c r="E405" i="100"/>
  <c r="E403" i="100"/>
  <c r="F461" i="100"/>
  <c r="F459" i="100"/>
  <c r="F457" i="100"/>
  <c r="F454" i="100"/>
  <c r="F452" i="100"/>
  <c r="F450" i="100"/>
  <c r="F448" i="100"/>
  <c r="E461" i="100"/>
  <c r="E459" i="100"/>
  <c r="E457" i="100"/>
  <c r="E454" i="100"/>
  <c r="E452" i="100"/>
  <c r="E450" i="100"/>
  <c r="E448" i="100"/>
  <c r="F460" i="100"/>
  <c r="F458" i="100"/>
  <c r="F455" i="100"/>
  <c r="F453" i="100"/>
  <c r="F451" i="100"/>
  <c r="F449" i="100"/>
  <c r="F447" i="100"/>
  <c r="E460" i="100"/>
  <c r="E458" i="100"/>
  <c r="E455" i="100"/>
  <c r="E453" i="100"/>
  <c r="E451" i="100"/>
  <c r="E449" i="100"/>
  <c r="E447" i="100"/>
  <c r="F505" i="100"/>
  <c r="F503" i="100"/>
  <c r="F501" i="100"/>
  <c r="F498" i="100"/>
  <c r="F496" i="100"/>
  <c r="F494" i="100"/>
  <c r="F492" i="100"/>
  <c r="E505" i="100"/>
  <c r="E503" i="100"/>
  <c r="E501" i="100"/>
  <c r="E498" i="100"/>
  <c r="E496" i="100"/>
  <c r="E494" i="100"/>
  <c r="E492" i="100"/>
  <c r="F504" i="100"/>
  <c r="F502" i="100"/>
  <c r="F499" i="100"/>
  <c r="F497" i="100"/>
  <c r="F495" i="100"/>
  <c r="F493" i="100"/>
  <c r="F491" i="100"/>
  <c r="E504" i="100"/>
  <c r="E502" i="100"/>
  <c r="E499" i="100"/>
  <c r="E497" i="100"/>
  <c r="E495" i="100"/>
  <c r="E493" i="100"/>
  <c r="E491" i="100"/>
  <c r="F549" i="100"/>
  <c r="F547" i="100"/>
  <c r="F545" i="100"/>
  <c r="F542" i="100"/>
  <c r="F540" i="100"/>
  <c r="F538" i="100"/>
  <c r="F536" i="100"/>
  <c r="E549" i="100"/>
  <c r="E547" i="100"/>
  <c r="E545" i="100"/>
  <c r="E542" i="100"/>
  <c r="E540" i="100"/>
  <c r="E538" i="100"/>
  <c r="E536" i="100"/>
  <c r="F548" i="100"/>
  <c r="F546" i="100"/>
  <c r="F543" i="100"/>
  <c r="F541" i="100"/>
  <c r="F539" i="100"/>
  <c r="F537" i="100"/>
  <c r="F535" i="100"/>
  <c r="E548" i="100"/>
  <c r="E546" i="100"/>
  <c r="E543" i="100"/>
  <c r="E541" i="100"/>
  <c r="E539" i="100"/>
  <c r="E537" i="100"/>
  <c r="E535" i="100"/>
  <c r="F593" i="100"/>
  <c r="F591" i="100"/>
  <c r="F589" i="100"/>
  <c r="F586" i="100"/>
  <c r="F584" i="100"/>
  <c r="F582" i="100"/>
  <c r="F580" i="100"/>
  <c r="E593" i="100"/>
  <c r="E591" i="100"/>
  <c r="E589" i="100"/>
  <c r="E586" i="100"/>
  <c r="E584" i="100"/>
  <c r="E582" i="100"/>
  <c r="E580" i="100"/>
  <c r="F592" i="100"/>
  <c r="F590" i="100"/>
  <c r="F587" i="100"/>
  <c r="F585" i="100"/>
  <c r="F583" i="100"/>
  <c r="F581" i="100"/>
  <c r="F579" i="100"/>
  <c r="E592" i="100"/>
  <c r="E590" i="100"/>
  <c r="E587" i="100"/>
  <c r="E585" i="100"/>
  <c r="E583" i="100"/>
  <c r="E581" i="100"/>
  <c r="E579" i="100"/>
  <c r="F637" i="100"/>
  <c r="F635" i="100"/>
  <c r="F633" i="100"/>
  <c r="F630" i="100"/>
  <c r="F628" i="100"/>
  <c r="F626" i="100"/>
  <c r="F624" i="100"/>
  <c r="E637" i="100"/>
  <c r="E635" i="100"/>
  <c r="E633" i="100"/>
  <c r="E630" i="100"/>
  <c r="E628" i="100"/>
  <c r="E626" i="100"/>
  <c r="E624" i="100"/>
  <c r="F636" i="100"/>
  <c r="F634" i="100"/>
  <c r="F631" i="100"/>
  <c r="F629" i="100"/>
  <c r="F627" i="100"/>
  <c r="F625" i="100"/>
  <c r="F623" i="100"/>
  <c r="E636" i="100"/>
  <c r="E634" i="100"/>
  <c r="E631" i="100"/>
  <c r="E629" i="100"/>
  <c r="E627" i="100"/>
  <c r="E625" i="100"/>
  <c r="E623" i="100"/>
  <c r="F681" i="100"/>
  <c r="F679" i="100"/>
  <c r="F677" i="100"/>
  <c r="F674" i="100"/>
  <c r="F672" i="100"/>
  <c r="F670" i="100"/>
  <c r="F668" i="100"/>
  <c r="E681" i="100"/>
  <c r="E679" i="100"/>
  <c r="E677" i="100"/>
  <c r="E674" i="100"/>
  <c r="E672" i="100"/>
  <c r="E670" i="100"/>
  <c r="E668" i="100"/>
  <c r="F680" i="100"/>
  <c r="F678" i="100"/>
  <c r="F675" i="100"/>
  <c r="F673" i="100"/>
  <c r="F671" i="100"/>
  <c r="F669" i="100"/>
  <c r="F667" i="100"/>
  <c r="E680" i="100"/>
  <c r="E678" i="100"/>
  <c r="E675" i="100"/>
  <c r="E673" i="100"/>
  <c r="E671" i="100"/>
  <c r="E669" i="100"/>
  <c r="E667" i="100"/>
  <c r="F725" i="100"/>
  <c r="F723" i="100"/>
  <c r="F721" i="100"/>
  <c r="F718" i="100"/>
  <c r="F716" i="100"/>
  <c r="F714" i="100"/>
  <c r="F712" i="100"/>
  <c r="E725" i="100"/>
  <c r="E723" i="100"/>
  <c r="E721" i="100"/>
  <c r="E718" i="100"/>
  <c r="E716" i="100"/>
  <c r="E714" i="100"/>
  <c r="E712" i="100"/>
  <c r="F724" i="100"/>
  <c r="F722" i="100"/>
  <c r="F719" i="100"/>
  <c r="F717" i="100"/>
  <c r="F715" i="100"/>
  <c r="F713" i="100"/>
  <c r="F711" i="100"/>
  <c r="E724" i="100"/>
  <c r="E722" i="100"/>
  <c r="E719" i="100"/>
  <c r="E717" i="100"/>
  <c r="E715" i="100"/>
  <c r="E713" i="100"/>
  <c r="E711" i="100"/>
  <c r="F769" i="100"/>
  <c r="F767" i="100"/>
  <c r="F765" i="100"/>
  <c r="F762" i="100"/>
  <c r="F760" i="100"/>
  <c r="F758" i="100"/>
  <c r="F756" i="100"/>
  <c r="E769" i="100"/>
  <c r="E767" i="100"/>
  <c r="E765" i="100"/>
  <c r="E762" i="100"/>
  <c r="E760" i="100"/>
  <c r="E758" i="100"/>
  <c r="E756" i="100"/>
  <c r="F768" i="100"/>
  <c r="F766" i="100"/>
  <c r="F763" i="100"/>
  <c r="F761" i="100"/>
  <c r="F759" i="100"/>
  <c r="F757" i="100"/>
  <c r="F755" i="100"/>
  <c r="E768" i="100"/>
  <c r="E766" i="100"/>
  <c r="E763" i="100"/>
  <c r="E761" i="100"/>
  <c r="E759" i="100"/>
  <c r="E757" i="100"/>
  <c r="E755" i="100"/>
  <c r="F813" i="100"/>
  <c r="F811" i="100"/>
  <c r="F809" i="100"/>
  <c r="F806" i="100"/>
  <c r="F804" i="100"/>
  <c r="F802" i="100"/>
  <c r="F800" i="100"/>
  <c r="E813" i="100"/>
  <c r="E811" i="100"/>
  <c r="E809" i="100"/>
  <c r="E806" i="100"/>
  <c r="E804" i="100"/>
  <c r="E802" i="100"/>
  <c r="E800" i="100"/>
  <c r="F812" i="100"/>
  <c r="F810" i="100"/>
  <c r="F807" i="100"/>
  <c r="F805" i="100"/>
  <c r="F803" i="100"/>
  <c r="F801" i="100"/>
  <c r="F799" i="100"/>
  <c r="E812" i="100"/>
  <c r="E810" i="100"/>
  <c r="E807" i="100"/>
  <c r="E805" i="100"/>
  <c r="E803" i="100"/>
  <c r="E801" i="100"/>
  <c r="E799" i="100"/>
  <c r="F857" i="100"/>
  <c r="E857" i="100"/>
  <c r="F856" i="100"/>
  <c r="E856" i="100"/>
  <c r="F855" i="100"/>
  <c r="F853" i="100"/>
  <c r="F850" i="100"/>
  <c r="F848" i="100"/>
  <c r="F846" i="100"/>
  <c r="F844" i="100"/>
  <c r="E855" i="100"/>
  <c r="E853" i="100"/>
  <c r="E850" i="100"/>
  <c r="E848" i="100"/>
  <c r="E846" i="100"/>
  <c r="E844" i="100"/>
  <c r="F854" i="100"/>
  <c r="F851" i="100"/>
  <c r="F849" i="100"/>
  <c r="F847" i="100"/>
  <c r="F845" i="100"/>
  <c r="F843" i="100"/>
  <c r="E854" i="100"/>
  <c r="E851" i="100"/>
  <c r="E849" i="100"/>
  <c r="E847" i="100"/>
  <c r="E845" i="100"/>
  <c r="E843" i="100"/>
  <c r="F901" i="100"/>
  <c r="F899" i="100"/>
  <c r="F897" i="100"/>
  <c r="F894" i="100"/>
  <c r="F892" i="100"/>
  <c r="F890" i="100"/>
  <c r="F888" i="100"/>
  <c r="E901" i="100"/>
  <c r="E899" i="100"/>
  <c r="E897" i="100"/>
  <c r="E894" i="100"/>
  <c r="E892" i="100"/>
  <c r="E890" i="100"/>
  <c r="E888" i="100"/>
  <c r="F900" i="100"/>
  <c r="F898" i="100"/>
  <c r="F895" i="100"/>
  <c r="F893" i="100"/>
  <c r="F891" i="100"/>
  <c r="F889" i="100"/>
  <c r="F887" i="100"/>
  <c r="E900" i="100"/>
  <c r="E898" i="100"/>
  <c r="E895" i="100"/>
  <c r="E893" i="100"/>
  <c r="E891" i="100"/>
  <c r="E889" i="100"/>
  <c r="E887" i="100"/>
  <c r="F945" i="100"/>
  <c r="F943" i="100"/>
  <c r="F941" i="100"/>
  <c r="F938" i="100"/>
  <c r="F936" i="100"/>
  <c r="F934" i="100"/>
  <c r="F932" i="100"/>
  <c r="E945" i="100"/>
  <c r="E943" i="100"/>
  <c r="E941" i="100"/>
  <c r="E938" i="100"/>
  <c r="E936" i="100"/>
  <c r="E934" i="100"/>
  <c r="E932" i="100"/>
  <c r="F944" i="100"/>
  <c r="F942" i="100"/>
  <c r="F939" i="100"/>
  <c r="F937" i="100"/>
  <c r="F935" i="100"/>
  <c r="F933" i="100"/>
  <c r="F931" i="100"/>
  <c r="E944" i="100"/>
  <c r="E942" i="100"/>
  <c r="E939" i="100"/>
  <c r="E937" i="100"/>
  <c r="E935" i="100"/>
  <c r="E933" i="100"/>
  <c r="E931" i="100"/>
  <c r="F989" i="100"/>
  <c r="F987" i="100"/>
  <c r="F985" i="100"/>
  <c r="F982" i="100"/>
  <c r="F980" i="100"/>
  <c r="F978" i="100"/>
  <c r="F976" i="100"/>
  <c r="E989" i="100"/>
  <c r="E987" i="100"/>
  <c r="E985" i="100"/>
  <c r="E982" i="100"/>
  <c r="E980" i="100"/>
  <c r="E978" i="100"/>
  <c r="E976" i="100"/>
  <c r="F988" i="100"/>
  <c r="F986" i="100"/>
  <c r="F983" i="100"/>
  <c r="F981" i="100"/>
  <c r="F979" i="100"/>
  <c r="F977" i="100"/>
  <c r="F975" i="100"/>
  <c r="E988" i="100"/>
  <c r="E986" i="100"/>
  <c r="E983" i="100"/>
  <c r="E981" i="100"/>
  <c r="E979" i="100"/>
  <c r="E977" i="100"/>
  <c r="E975" i="100"/>
  <c r="F1033" i="100"/>
  <c r="F1031" i="100"/>
  <c r="F1029" i="100"/>
  <c r="F1026" i="100"/>
  <c r="F1024" i="100"/>
  <c r="F1022" i="100"/>
  <c r="F1020" i="100"/>
  <c r="E1033" i="100"/>
  <c r="E1031" i="100"/>
  <c r="E1029" i="100"/>
  <c r="E1026" i="100"/>
  <c r="E1024" i="100"/>
  <c r="E1022" i="100"/>
  <c r="E1020" i="100"/>
  <c r="F1032" i="100"/>
  <c r="F1030" i="100"/>
  <c r="F1027" i="100"/>
  <c r="F1025" i="100"/>
  <c r="F1023" i="100"/>
  <c r="F1021" i="100"/>
  <c r="F1019" i="100"/>
  <c r="E1032" i="100"/>
  <c r="E1030" i="100"/>
  <c r="E1027" i="100"/>
  <c r="E1025" i="100"/>
  <c r="E1023" i="100"/>
  <c r="E1021" i="100"/>
  <c r="E1019" i="100"/>
  <c r="F1077" i="100"/>
  <c r="F1075" i="100"/>
  <c r="F1073" i="100"/>
  <c r="F1070" i="100"/>
  <c r="F1068" i="100"/>
  <c r="F1066" i="100"/>
  <c r="F1064" i="100"/>
  <c r="E1077" i="100"/>
  <c r="E1075" i="100"/>
  <c r="E1073" i="100"/>
  <c r="E1070" i="100"/>
  <c r="E1068" i="100"/>
  <c r="E1066" i="100"/>
  <c r="E1064" i="100"/>
  <c r="F1076" i="100"/>
  <c r="F1074" i="100"/>
  <c r="F1071" i="100"/>
  <c r="F1069" i="100"/>
  <c r="F1067" i="100"/>
  <c r="F1065" i="100"/>
  <c r="F1063" i="100"/>
  <c r="E1076" i="100"/>
  <c r="E1074" i="100"/>
  <c r="E1071" i="100"/>
  <c r="E1069" i="100"/>
  <c r="E1067" i="100"/>
  <c r="E1065" i="100"/>
  <c r="E1063" i="100"/>
  <c r="F43" i="101"/>
  <c r="F41" i="101"/>
  <c r="F39" i="101"/>
  <c r="F36" i="101"/>
  <c r="F34" i="101"/>
  <c r="F32" i="101"/>
  <c r="F30" i="101"/>
  <c r="E43" i="101"/>
  <c r="E41" i="101"/>
  <c r="E39" i="101"/>
  <c r="E36" i="101"/>
  <c r="E34" i="101"/>
  <c r="E32" i="101"/>
  <c r="E30" i="101"/>
  <c r="F42" i="101"/>
  <c r="F40" i="101"/>
  <c r="F37" i="101"/>
  <c r="F35" i="101"/>
  <c r="F33" i="101"/>
  <c r="F31" i="101"/>
  <c r="F29" i="101"/>
  <c r="E42" i="101"/>
  <c r="E40" i="101"/>
  <c r="E37" i="101"/>
  <c r="E35" i="101"/>
  <c r="E33" i="101"/>
  <c r="E31" i="101"/>
  <c r="E29" i="101"/>
  <c r="F87" i="101"/>
  <c r="F85" i="101"/>
  <c r="F83" i="101"/>
  <c r="F80" i="101"/>
  <c r="F78" i="101"/>
  <c r="F76" i="101"/>
  <c r="F74" i="101"/>
  <c r="E87" i="101"/>
  <c r="E85" i="101"/>
  <c r="E83" i="101"/>
  <c r="E80" i="101"/>
  <c r="E78" i="101"/>
  <c r="E76" i="101"/>
  <c r="E74" i="101"/>
  <c r="F86" i="101"/>
  <c r="F84" i="101"/>
  <c r="F81" i="101"/>
  <c r="F79" i="101"/>
  <c r="F77" i="101"/>
  <c r="F75" i="101"/>
  <c r="F73" i="101"/>
  <c r="E86" i="101"/>
  <c r="E84" i="101"/>
  <c r="E81" i="101"/>
  <c r="E79" i="101"/>
  <c r="E77" i="101"/>
  <c r="E75" i="101"/>
  <c r="E73" i="101"/>
  <c r="F131" i="101"/>
  <c r="F129" i="101"/>
  <c r="F127" i="101"/>
  <c r="F124" i="101"/>
  <c r="F122" i="101"/>
  <c r="F120" i="101"/>
  <c r="F118" i="101"/>
  <c r="E131" i="101"/>
  <c r="E129" i="101"/>
  <c r="E127" i="101"/>
  <c r="E124" i="101"/>
  <c r="E122" i="101"/>
  <c r="E120" i="101"/>
  <c r="E118" i="101"/>
  <c r="F130" i="101"/>
  <c r="F128" i="101"/>
  <c r="F125" i="101"/>
  <c r="F123" i="101"/>
  <c r="F121" i="101"/>
  <c r="F119" i="101"/>
  <c r="F117" i="101"/>
  <c r="E130" i="101"/>
  <c r="E128" i="101"/>
  <c r="E125" i="101"/>
  <c r="E123" i="101"/>
  <c r="E121" i="101"/>
  <c r="E119" i="101"/>
  <c r="E117" i="101"/>
  <c r="F175" i="101"/>
  <c r="F173" i="101"/>
  <c r="F171" i="101"/>
  <c r="F168" i="101"/>
  <c r="F166" i="101"/>
  <c r="F164" i="101"/>
  <c r="F162" i="101"/>
  <c r="E175" i="101"/>
  <c r="E173" i="101"/>
  <c r="E171" i="101"/>
  <c r="E168" i="101"/>
  <c r="E166" i="101"/>
  <c r="E164" i="101"/>
  <c r="E162" i="101"/>
  <c r="F174" i="101"/>
  <c r="F172" i="101"/>
  <c r="F169" i="101"/>
  <c r="F167" i="101"/>
  <c r="F165" i="101"/>
  <c r="F163" i="101"/>
  <c r="F161" i="101"/>
  <c r="E174" i="101"/>
  <c r="E172" i="101"/>
  <c r="E169" i="101"/>
  <c r="E167" i="101"/>
  <c r="E165" i="101"/>
  <c r="E163" i="101"/>
  <c r="E161" i="101"/>
  <c r="F219" i="101"/>
  <c r="F217" i="101"/>
  <c r="F215" i="101"/>
  <c r="F212" i="101"/>
  <c r="F210" i="101"/>
  <c r="F208" i="101"/>
  <c r="F206" i="101"/>
  <c r="E219" i="101"/>
  <c r="E217" i="101"/>
  <c r="E215" i="101"/>
  <c r="E212" i="101"/>
  <c r="E210" i="101"/>
  <c r="E208" i="101"/>
  <c r="E206" i="101"/>
  <c r="F218" i="101"/>
  <c r="F216" i="101"/>
  <c r="F213" i="101"/>
  <c r="F211" i="101"/>
  <c r="F209" i="101"/>
  <c r="F207" i="101"/>
  <c r="F205" i="101"/>
  <c r="E218" i="101"/>
  <c r="E216" i="101"/>
  <c r="E213" i="101"/>
  <c r="E211" i="101"/>
  <c r="E209" i="101"/>
  <c r="E207" i="101"/>
  <c r="E205" i="101"/>
  <c r="F262" i="101"/>
  <c r="F260" i="101"/>
  <c r="F257" i="101"/>
  <c r="F255" i="101"/>
  <c r="F253" i="101"/>
  <c r="F251" i="101"/>
  <c r="F249" i="101"/>
  <c r="E262" i="101"/>
  <c r="E260" i="101"/>
  <c r="E257" i="101"/>
  <c r="E255" i="101"/>
  <c r="E253" i="101"/>
  <c r="E251" i="101"/>
  <c r="E249" i="101"/>
  <c r="F263" i="101"/>
  <c r="F259" i="101"/>
  <c r="F254" i="101"/>
  <c r="F250" i="101"/>
  <c r="E263" i="101"/>
  <c r="E259" i="101"/>
  <c r="E254" i="101"/>
  <c r="E250" i="101"/>
  <c r="F261" i="101"/>
  <c r="F256" i="101"/>
  <c r="F252" i="101"/>
  <c r="E261" i="101"/>
  <c r="E256" i="101"/>
  <c r="E252" i="101"/>
  <c r="F306" i="101"/>
  <c r="F304" i="101"/>
  <c r="F301" i="101"/>
  <c r="F299" i="101"/>
  <c r="F297" i="101"/>
  <c r="F295" i="101"/>
  <c r="F293" i="101"/>
  <c r="E306" i="101"/>
  <c r="E304" i="101"/>
  <c r="E301" i="101"/>
  <c r="E299" i="101"/>
  <c r="E297" i="101"/>
  <c r="E295" i="101"/>
  <c r="E293" i="101"/>
  <c r="F307" i="101"/>
  <c r="F303" i="101"/>
  <c r="F298" i="101"/>
  <c r="F294" i="101"/>
  <c r="E307" i="101"/>
  <c r="E303" i="101"/>
  <c r="E298" i="101"/>
  <c r="E294" i="101"/>
  <c r="F305" i="101"/>
  <c r="F300" i="101"/>
  <c r="F296" i="101"/>
  <c r="E305" i="101"/>
  <c r="E300" i="101"/>
  <c r="E296" i="101"/>
  <c r="E351" i="101"/>
  <c r="E349" i="101"/>
  <c r="F350" i="101"/>
  <c r="F348" i="101"/>
  <c r="F345" i="101"/>
  <c r="F343" i="101"/>
  <c r="F341" i="101"/>
  <c r="F339" i="101"/>
  <c r="F337" i="101"/>
  <c r="E350" i="101"/>
  <c r="E348" i="101"/>
  <c r="E345" i="101"/>
  <c r="E343" i="101"/>
  <c r="E341" i="101"/>
  <c r="E339" i="101"/>
  <c r="E337" i="101"/>
  <c r="F347" i="101"/>
  <c r="F342" i="101"/>
  <c r="F338" i="101"/>
  <c r="E347" i="101"/>
  <c r="E342" i="101"/>
  <c r="E338" i="101"/>
  <c r="F351" i="101"/>
  <c r="F344" i="101"/>
  <c r="F340" i="101"/>
  <c r="F349" i="101"/>
  <c r="E344" i="101"/>
  <c r="E340" i="101"/>
  <c r="E395" i="101"/>
  <c r="E393" i="101"/>
  <c r="E391" i="101"/>
  <c r="E388" i="101"/>
  <c r="E386" i="101"/>
  <c r="E384" i="101"/>
  <c r="E382" i="101"/>
  <c r="F394" i="101"/>
  <c r="F392" i="101"/>
  <c r="F389" i="101"/>
  <c r="F387" i="101"/>
  <c r="F385" i="101"/>
  <c r="F383" i="101"/>
  <c r="F381" i="101"/>
  <c r="E394" i="101"/>
  <c r="E392" i="101"/>
  <c r="E389" i="101"/>
  <c r="E387" i="101"/>
  <c r="E385" i="101"/>
  <c r="E383" i="101"/>
  <c r="E381" i="101"/>
  <c r="F395" i="101"/>
  <c r="F386" i="101"/>
  <c r="F393" i="101"/>
  <c r="F384" i="101"/>
  <c r="F391" i="101"/>
  <c r="F382" i="101"/>
  <c r="F388" i="101"/>
  <c r="E439" i="101"/>
  <c r="E437" i="101"/>
  <c r="E435" i="101"/>
  <c r="E432" i="101"/>
  <c r="E430" i="101"/>
  <c r="E428" i="101"/>
  <c r="E426" i="101"/>
  <c r="F438" i="101"/>
  <c r="F436" i="101"/>
  <c r="F433" i="101"/>
  <c r="F431" i="101"/>
  <c r="F429" i="101"/>
  <c r="F427" i="101"/>
  <c r="F425" i="101"/>
  <c r="E438" i="101"/>
  <c r="E436" i="101"/>
  <c r="E433" i="101"/>
  <c r="E431" i="101"/>
  <c r="E429" i="101"/>
  <c r="E427" i="101"/>
  <c r="E425" i="101"/>
  <c r="F435" i="101"/>
  <c r="F426" i="101"/>
  <c r="F432" i="101"/>
  <c r="F439" i="101"/>
  <c r="F430" i="101"/>
  <c r="F437" i="101"/>
  <c r="F428" i="101"/>
  <c r="F483" i="101"/>
  <c r="F481" i="101"/>
  <c r="F479" i="101"/>
  <c r="F476" i="101"/>
  <c r="F474" i="101"/>
  <c r="F472" i="101"/>
  <c r="F470" i="101"/>
  <c r="E483" i="101"/>
  <c r="E481" i="101"/>
  <c r="E479" i="101"/>
  <c r="E476" i="101"/>
  <c r="E474" i="101"/>
  <c r="E472" i="101"/>
  <c r="E470" i="101"/>
  <c r="F482" i="101"/>
  <c r="F480" i="101"/>
  <c r="F477" i="101"/>
  <c r="F475" i="101"/>
  <c r="F473" i="101"/>
  <c r="F471" i="101"/>
  <c r="F469" i="101"/>
  <c r="E482" i="101"/>
  <c r="E480" i="101"/>
  <c r="E477" i="101"/>
  <c r="E475" i="101"/>
  <c r="E473" i="101"/>
  <c r="E471" i="101"/>
  <c r="E469" i="101"/>
  <c r="F527" i="101"/>
  <c r="F525" i="101"/>
  <c r="F523" i="101"/>
  <c r="F520" i="101"/>
  <c r="F518" i="101"/>
  <c r="F516" i="101"/>
  <c r="F514" i="101"/>
  <c r="E527" i="101"/>
  <c r="E525" i="101"/>
  <c r="E523" i="101"/>
  <c r="E520" i="101"/>
  <c r="E518" i="101"/>
  <c r="E516" i="101"/>
  <c r="E514" i="101"/>
  <c r="F526" i="101"/>
  <c r="F524" i="101"/>
  <c r="F521" i="101"/>
  <c r="F519" i="101"/>
  <c r="F517" i="101"/>
  <c r="F515" i="101"/>
  <c r="F513" i="101"/>
  <c r="E526" i="101"/>
  <c r="E524" i="101"/>
  <c r="E521" i="101"/>
  <c r="E519" i="101"/>
  <c r="E517" i="101"/>
  <c r="E515" i="101"/>
  <c r="E513" i="101"/>
  <c r="F571" i="101"/>
  <c r="F569" i="101"/>
  <c r="F567" i="101"/>
  <c r="F564" i="101"/>
  <c r="F562" i="101"/>
  <c r="F560" i="101"/>
  <c r="F558" i="101"/>
  <c r="E571" i="101"/>
  <c r="E569" i="101"/>
  <c r="E567" i="101"/>
  <c r="E564" i="101"/>
  <c r="E562" i="101"/>
  <c r="E560" i="101"/>
  <c r="E558" i="101"/>
  <c r="F570" i="101"/>
  <c r="F568" i="101"/>
  <c r="F565" i="101"/>
  <c r="F563" i="101"/>
  <c r="F561" i="101"/>
  <c r="F559" i="101"/>
  <c r="F557" i="101"/>
  <c r="E570" i="101"/>
  <c r="E568" i="101"/>
  <c r="E565" i="101"/>
  <c r="E563" i="101"/>
  <c r="E561" i="101"/>
  <c r="E559" i="101"/>
  <c r="E557" i="101"/>
  <c r="F615" i="101"/>
  <c r="F613" i="101"/>
  <c r="F611" i="101"/>
  <c r="F608" i="101"/>
  <c r="F606" i="101"/>
  <c r="F604" i="101"/>
  <c r="F602" i="101"/>
  <c r="E615" i="101"/>
  <c r="E613" i="101"/>
  <c r="E611" i="101"/>
  <c r="E608" i="101"/>
  <c r="E606" i="101"/>
  <c r="E604" i="101"/>
  <c r="E602" i="101"/>
  <c r="F614" i="101"/>
  <c r="F612" i="101"/>
  <c r="F609" i="101"/>
  <c r="F607" i="101"/>
  <c r="F605" i="101"/>
  <c r="F603" i="101"/>
  <c r="F601" i="101"/>
  <c r="E614" i="101"/>
  <c r="E612" i="101"/>
  <c r="E609" i="101"/>
  <c r="E607" i="101"/>
  <c r="E605" i="101"/>
  <c r="E603" i="101"/>
  <c r="E601" i="101"/>
  <c r="E659" i="101"/>
  <c r="E657" i="101"/>
  <c r="E655" i="101"/>
  <c r="E652" i="101"/>
  <c r="E650" i="101"/>
  <c r="E648" i="101"/>
  <c r="E646" i="101"/>
  <c r="F658" i="101"/>
  <c r="F656" i="101"/>
  <c r="F653" i="101"/>
  <c r="F651" i="101"/>
  <c r="F649" i="101"/>
  <c r="F647" i="101"/>
  <c r="F645" i="101"/>
  <c r="F657" i="101"/>
  <c r="F652" i="101"/>
  <c r="F648" i="101"/>
  <c r="E656" i="101"/>
  <c r="E651" i="101"/>
  <c r="E647" i="101"/>
  <c r="F659" i="101"/>
  <c r="F655" i="101"/>
  <c r="F650" i="101"/>
  <c r="F646" i="101"/>
  <c r="E658" i="101"/>
  <c r="E653" i="101"/>
  <c r="E649" i="101"/>
  <c r="E645" i="101"/>
  <c r="E703" i="101"/>
  <c r="E701" i="101"/>
  <c r="E699" i="101"/>
  <c r="E696" i="101"/>
  <c r="E694" i="101"/>
  <c r="E692" i="101"/>
  <c r="E690" i="101"/>
  <c r="F702" i="101"/>
  <c r="F700" i="101"/>
  <c r="F697" i="101"/>
  <c r="F695" i="101"/>
  <c r="F693" i="101"/>
  <c r="F691" i="101"/>
  <c r="F689" i="101"/>
  <c r="F701" i="101"/>
  <c r="F696" i="101"/>
  <c r="F692" i="101"/>
  <c r="E700" i="101"/>
  <c r="E695" i="101"/>
  <c r="E691" i="101"/>
  <c r="F703" i="101"/>
  <c r="F699" i="101"/>
  <c r="F694" i="101"/>
  <c r="F690" i="101"/>
  <c r="E702" i="101"/>
  <c r="E697" i="101"/>
  <c r="E693" i="101"/>
  <c r="E689" i="101"/>
  <c r="E747" i="101"/>
  <c r="E745" i="101"/>
  <c r="E743" i="101"/>
  <c r="E740" i="101"/>
  <c r="E738" i="101"/>
  <c r="E736" i="101"/>
  <c r="E734" i="101"/>
  <c r="F746" i="101"/>
  <c r="F744" i="101"/>
  <c r="F741" i="101"/>
  <c r="F739" i="101"/>
  <c r="F737" i="101"/>
  <c r="F735" i="101"/>
  <c r="F733" i="101"/>
  <c r="F745" i="101"/>
  <c r="F740" i="101"/>
  <c r="F736" i="101"/>
  <c r="E744" i="101"/>
  <c r="E739" i="101"/>
  <c r="E735" i="101"/>
  <c r="F747" i="101"/>
  <c r="F743" i="101"/>
  <c r="F738" i="101"/>
  <c r="F734" i="101"/>
  <c r="E746" i="101"/>
  <c r="E741" i="101"/>
  <c r="E737" i="101"/>
  <c r="E733" i="101"/>
  <c r="E791" i="101"/>
  <c r="E789" i="101"/>
  <c r="E787" i="101"/>
  <c r="E784" i="101"/>
  <c r="E782" i="101"/>
  <c r="E780" i="101"/>
  <c r="E778" i="101"/>
  <c r="F790" i="101"/>
  <c r="F788" i="101"/>
  <c r="F785" i="101"/>
  <c r="F783" i="101"/>
  <c r="F781" i="101"/>
  <c r="F779" i="101"/>
  <c r="F777" i="101"/>
  <c r="F789" i="101"/>
  <c r="F784" i="101"/>
  <c r="F780" i="101"/>
  <c r="E788" i="101"/>
  <c r="E783" i="101"/>
  <c r="E779" i="101"/>
  <c r="F791" i="101"/>
  <c r="F787" i="101"/>
  <c r="F782" i="101"/>
  <c r="F778" i="101"/>
  <c r="E790" i="101"/>
  <c r="E785" i="101"/>
  <c r="E781" i="101"/>
  <c r="E777" i="101"/>
  <c r="E835" i="101"/>
  <c r="E833" i="101"/>
  <c r="E831" i="101"/>
  <c r="E828" i="101"/>
  <c r="E826" i="101"/>
  <c r="E824" i="101"/>
  <c r="E822" i="101"/>
  <c r="F834" i="101"/>
  <c r="F832" i="101"/>
  <c r="F829" i="101"/>
  <c r="F827" i="101"/>
  <c r="F825" i="101"/>
  <c r="F823" i="101"/>
  <c r="F821" i="101"/>
  <c r="F833" i="101"/>
  <c r="F828" i="101"/>
  <c r="F824" i="101"/>
  <c r="E832" i="101"/>
  <c r="E827" i="101"/>
  <c r="E823" i="101"/>
  <c r="F835" i="101"/>
  <c r="F831" i="101"/>
  <c r="F826" i="101"/>
  <c r="F822" i="101"/>
  <c r="E834" i="101"/>
  <c r="E829" i="101"/>
  <c r="E825" i="101"/>
  <c r="E821" i="101"/>
  <c r="E878" i="101"/>
  <c r="E876" i="101"/>
  <c r="E873" i="101"/>
  <c r="E871" i="101"/>
  <c r="E869" i="101"/>
  <c r="E867" i="101"/>
  <c r="E865" i="101"/>
  <c r="E879" i="101"/>
  <c r="E877" i="101"/>
  <c r="E875" i="101"/>
  <c r="E872" i="101"/>
  <c r="E870" i="101"/>
  <c r="E868" i="101"/>
  <c r="E866" i="101"/>
  <c r="F878" i="101"/>
  <c r="F876" i="101"/>
  <c r="F873" i="101"/>
  <c r="F871" i="101"/>
  <c r="F869" i="101"/>
  <c r="F867" i="101"/>
  <c r="F865" i="101"/>
  <c r="F879" i="101"/>
  <c r="F870" i="101"/>
  <c r="F877" i="101"/>
  <c r="F868" i="101"/>
  <c r="F875" i="101"/>
  <c r="F866" i="101"/>
  <c r="F872" i="101"/>
  <c r="E922" i="101"/>
  <c r="E920" i="101"/>
  <c r="E917" i="101"/>
  <c r="E915" i="101"/>
  <c r="E913" i="101"/>
  <c r="E911" i="101"/>
  <c r="E909" i="101"/>
  <c r="F923" i="101"/>
  <c r="F921" i="101"/>
  <c r="E923" i="101"/>
  <c r="E921" i="101"/>
  <c r="E919" i="101"/>
  <c r="E916" i="101"/>
  <c r="E914" i="101"/>
  <c r="E912" i="101"/>
  <c r="E910" i="101"/>
  <c r="F922" i="101"/>
  <c r="F920" i="101"/>
  <c r="F917" i="101"/>
  <c r="F915" i="101"/>
  <c r="F913" i="101"/>
  <c r="F911" i="101"/>
  <c r="F909" i="101"/>
  <c r="F919" i="101"/>
  <c r="F910" i="101"/>
  <c r="F916" i="101"/>
  <c r="F914" i="101"/>
  <c r="F912" i="101"/>
  <c r="E966" i="101"/>
  <c r="E964" i="101"/>
  <c r="E961" i="101"/>
  <c r="E959" i="101"/>
  <c r="E957" i="101"/>
  <c r="E955" i="101"/>
  <c r="E953" i="101"/>
  <c r="F967" i="101"/>
  <c r="F965" i="101"/>
  <c r="F963" i="101"/>
  <c r="F960" i="101"/>
  <c r="F958" i="101"/>
  <c r="F956" i="101"/>
  <c r="F954" i="101"/>
  <c r="E967" i="101"/>
  <c r="E965" i="101"/>
  <c r="E963" i="101"/>
  <c r="E960" i="101"/>
  <c r="E958" i="101"/>
  <c r="E956" i="101"/>
  <c r="E954" i="101"/>
  <c r="F966" i="101"/>
  <c r="F964" i="101"/>
  <c r="F961" i="101"/>
  <c r="F959" i="101"/>
  <c r="F957" i="101"/>
  <c r="F955" i="101"/>
  <c r="F953" i="101"/>
  <c r="E1010" i="101"/>
  <c r="E1008" i="101"/>
  <c r="E1005" i="101"/>
  <c r="E1003" i="101"/>
  <c r="F1011" i="101"/>
  <c r="F1009" i="101"/>
  <c r="F1007" i="101"/>
  <c r="E1011" i="101"/>
  <c r="E1007" i="101"/>
  <c r="F1003" i="101"/>
  <c r="E1001" i="101"/>
  <c r="E999" i="101"/>
  <c r="E997" i="101"/>
  <c r="F1010" i="101"/>
  <c r="F1005" i="101"/>
  <c r="F1002" i="101"/>
  <c r="F1000" i="101"/>
  <c r="F998" i="101"/>
  <c r="E1009" i="101"/>
  <c r="F1004" i="101"/>
  <c r="E1002" i="101"/>
  <c r="E1000" i="101"/>
  <c r="E998" i="101"/>
  <c r="F1008" i="101"/>
  <c r="E1004" i="101"/>
  <c r="F1001" i="101"/>
  <c r="F999" i="101"/>
  <c r="F997" i="101"/>
  <c r="E1054" i="101"/>
  <c r="E1052" i="101"/>
  <c r="E1049" i="101"/>
  <c r="E1047" i="101"/>
  <c r="E1045" i="101"/>
  <c r="E1043" i="101"/>
  <c r="E1041" i="101"/>
  <c r="F1055" i="101"/>
  <c r="F1053" i="101"/>
  <c r="F1051" i="101"/>
  <c r="F1048" i="101"/>
  <c r="F1046" i="101"/>
  <c r="F1044" i="101"/>
  <c r="F1042" i="101"/>
  <c r="E1055" i="101"/>
  <c r="E1051" i="101"/>
  <c r="E1046" i="101"/>
  <c r="E1042" i="101"/>
  <c r="F1054" i="101"/>
  <c r="F1049" i="101"/>
  <c r="F1045" i="101"/>
  <c r="F1041" i="101"/>
  <c r="E1053" i="101"/>
  <c r="E1048" i="101"/>
  <c r="E1044" i="101"/>
  <c r="F1052" i="101"/>
  <c r="F1047" i="101"/>
  <c r="F1043" i="101"/>
  <c r="E1098" i="101"/>
  <c r="E1096" i="101"/>
  <c r="E1093" i="101"/>
  <c r="E1091" i="101"/>
  <c r="E1089" i="101"/>
  <c r="E1087" i="101"/>
  <c r="E1085" i="101"/>
  <c r="F1099" i="101"/>
  <c r="F1097" i="101"/>
  <c r="F1095" i="101"/>
  <c r="F1092" i="101"/>
  <c r="F1090" i="101"/>
  <c r="F1088" i="101"/>
  <c r="F1086" i="101"/>
  <c r="E1099" i="101"/>
  <c r="E1095" i="101"/>
  <c r="E1090" i="101"/>
  <c r="E1086" i="101"/>
  <c r="F1098" i="101"/>
  <c r="F1093" i="101"/>
  <c r="F1089" i="101"/>
  <c r="F1085" i="101"/>
  <c r="E1097" i="101"/>
  <c r="E1092" i="101"/>
  <c r="E1088" i="101"/>
  <c r="F1096" i="101"/>
  <c r="F1091" i="101"/>
  <c r="F1087" i="101"/>
  <c r="E1142" i="101"/>
  <c r="E1140" i="101"/>
  <c r="E1137" i="101"/>
  <c r="E1135" i="101"/>
  <c r="E1133" i="101"/>
  <c r="E1131" i="101"/>
  <c r="E1129" i="101"/>
  <c r="F1143" i="101"/>
  <c r="F1141" i="101"/>
  <c r="F1139" i="101"/>
  <c r="F1136" i="101"/>
  <c r="F1134" i="101"/>
  <c r="F1132" i="101"/>
  <c r="F1130" i="101"/>
  <c r="E1143" i="101"/>
  <c r="E1139" i="101"/>
  <c r="E1134" i="101"/>
  <c r="E1130" i="101"/>
  <c r="F1142" i="101"/>
  <c r="F1137" i="101"/>
  <c r="F1133" i="101"/>
  <c r="F1129" i="101"/>
  <c r="E1141" i="101"/>
  <c r="E1136" i="101"/>
  <c r="E1132" i="101"/>
  <c r="F1140" i="101"/>
  <c r="F1135" i="101"/>
  <c r="F1131" i="101"/>
  <c r="F1186" i="101"/>
  <c r="F1184" i="101"/>
  <c r="E1186" i="101"/>
  <c r="E1184" i="101"/>
  <c r="E1181" i="101"/>
  <c r="E1179" i="101"/>
  <c r="E1177" i="101"/>
  <c r="E1175" i="101"/>
  <c r="E1173" i="101"/>
  <c r="F1187" i="101"/>
  <c r="F1185" i="101"/>
  <c r="F1183" i="101"/>
  <c r="F1180" i="101"/>
  <c r="F1178" i="101"/>
  <c r="F1176" i="101"/>
  <c r="F1174" i="101"/>
  <c r="E1183" i="101"/>
  <c r="E1178" i="101"/>
  <c r="E1174" i="101"/>
  <c r="F1181" i="101"/>
  <c r="F1177" i="101"/>
  <c r="F1173" i="101"/>
  <c r="E1187" i="101"/>
  <c r="E1180" i="101"/>
  <c r="E1176" i="101"/>
  <c r="E1185" i="101"/>
  <c r="F1179" i="101"/>
  <c r="F1175" i="101"/>
  <c r="F1230" i="101"/>
  <c r="F1228" i="101"/>
  <c r="F1225" i="101"/>
  <c r="F1223" i="101"/>
  <c r="F1221" i="101"/>
  <c r="F1219" i="101"/>
  <c r="F1217" i="101"/>
  <c r="E1230" i="101"/>
  <c r="E1228" i="101"/>
  <c r="E1225" i="101"/>
  <c r="E1223" i="101"/>
  <c r="E1221" i="101"/>
  <c r="E1219" i="101"/>
  <c r="E1217" i="101"/>
  <c r="F1231" i="101"/>
  <c r="F1229" i="101"/>
  <c r="F1227" i="101"/>
  <c r="F1224" i="101"/>
  <c r="F1222" i="101"/>
  <c r="F1220" i="101"/>
  <c r="F1218" i="101"/>
  <c r="E1231" i="101"/>
  <c r="E1222" i="101"/>
  <c r="E1229" i="101"/>
  <c r="E1220" i="101"/>
  <c r="E1227" i="101"/>
  <c r="E1218" i="101"/>
  <c r="E1224" i="101"/>
  <c r="E1275" i="101"/>
  <c r="E1273" i="101"/>
  <c r="F1274" i="101"/>
  <c r="F1272" i="101"/>
  <c r="F1269" i="101"/>
  <c r="F1267" i="101"/>
  <c r="F1265" i="101"/>
  <c r="F1263" i="101"/>
  <c r="F1261" i="101"/>
  <c r="E1274" i="101"/>
  <c r="E1272" i="101"/>
  <c r="E1269" i="101"/>
  <c r="E1267" i="101"/>
  <c r="E1265" i="101"/>
  <c r="E1263" i="101"/>
  <c r="E1261" i="101"/>
  <c r="F1275" i="101"/>
  <c r="F1273" i="101"/>
  <c r="F1271" i="101"/>
  <c r="F1268" i="101"/>
  <c r="F1266" i="101"/>
  <c r="F1264" i="101"/>
  <c r="F1262" i="101"/>
  <c r="E1271" i="101"/>
  <c r="E1262" i="101"/>
  <c r="E1268" i="101"/>
  <c r="E1266" i="101"/>
  <c r="E1264" i="101"/>
  <c r="E1318" i="101"/>
  <c r="F1319" i="101"/>
  <c r="F1317" i="101"/>
  <c r="F1315" i="101"/>
  <c r="F1312" i="101"/>
  <c r="E1319" i="101"/>
  <c r="E1316" i="101"/>
  <c r="E1312" i="101"/>
  <c r="E1310" i="101"/>
  <c r="E1308" i="101"/>
  <c r="E1306" i="101"/>
  <c r="F1318" i="101"/>
  <c r="E1315" i="101"/>
  <c r="F1311" i="101"/>
  <c r="F1309" i="101"/>
  <c r="F1307" i="101"/>
  <c r="F1305" i="101"/>
  <c r="E1317" i="101"/>
  <c r="F1313" i="101"/>
  <c r="E1311" i="101"/>
  <c r="E1309" i="101"/>
  <c r="E1307" i="101"/>
  <c r="E1305" i="101"/>
  <c r="F1316" i="101"/>
  <c r="E1313" i="101"/>
  <c r="F1310" i="101"/>
  <c r="F1308" i="101"/>
  <c r="F1306" i="101"/>
  <c r="E1362" i="101"/>
  <c r="E1360" i="101"/>
  <c r="E1357" i="101"/>
  <c r="E1355" i="101"/>
  <c r="E1353" i="101"/>
  <c r="E1351" i="101"/>
  <c r="E1349" i="101"/>
  <c r="F1363" i="101"/>
  <c r="F1361" i="101"/>
  <c r="F1359" i="101"/>
  <c r="F1356" i="101"/>
  <c r="F1354" i="101"/>
  <c r="F1352" i="101"/>
  <c r="F1350" i="101"/>
  <c r="E1363" i="101"/>
  <c r="E1359" i="101"/>
  <c r="E1354" i="101"/>
  <c r="E1350" i="101"/>
  <c r="F1362" i="101"/>
  <c r="F1357" i="101"/>
  <c r="F1353" i="101"/>
  <c r="F1349" i="101"/>
  <c r="E1361" i="101"/>
  <c r="E1356" i="101"/>
  <c r="E1352" i="101"/>
  <c r="F1360" i="101"/>
  <c r="F1355" i="101"/>
  <c r="F1351" i="101"/>
  <c r="E1406" i="101"/>
  <c r="E1404" i="101"/>
  <c r="E1401" i="101"/>
  <c r="E1399" i="101"/>
  <c r="E1397" i="101"/>
  <c r="E1395" i="101"/>
  <c r="E1393" i="101"/>
  <c r="F1405" i="101"/>
  <c r="E1403" i="101"/>
  <c r="F1399" i="101"/>
  <c r="F1396" i="101"/>
  <c r="E1394" i="101"/>
  <c r="F1407" i="101"/>
  <c r="E1405" i="101"/>
  <c r="F1401" i="101"/>
  <c r="F1398" i="101"/>
  <c r="E1396" i="101"/>
  <c r="F1393" i="101"/>
  <c r="E1407" i="101"/>
  <c r="F1400" i="101"/>
  <c r="F1395" i="101"/>
  <c r="F1406" i="101"/>
  <c r="E1400" i="101"/>
  <c r="F1394" i="101"/>
  <c r="F1404" i="101"/>
  <c r="E1398" i="101"/>
  <c r="F1403" i="101"/>
  <c r="F1397" i="101"/>
  <c r="E1450" i="101"/>
  <c r="E1448" i="101"/>
  <c r="E1445" i="101"/>
  <c r="E1443" i="101"/>
  <c r="E1441" i="101"/>
  <c r="E1439" i="101"/>
  <c r="E1437" i="101"/>
  <c r="E1451" i="101"/>
  <c r="F1448" i="101"/>
  <c r="F1444" i="101"/>
  <c r="E1442" i="101"/>
  <c r="F1439" i="101"/>
  <c r="F1450" i="101"/>
  <c r="F1447" i="101"/>
  <c r="E1444" i="101"/>
  <c r="F1441" i="101"/>
  <c r="F1438" i="101"/>
  <c r="F1449" i="101"/>
  <c r="F1443" i="101"/>
  <c r="E1438" i="101"/>
  <c r="E1449" i="101"/>
  <c r="F1442" i="101"/>
  <c r="F1437" i="101"/>
  <c r="E1447" i="101"/>
  <c r="F1440" i="101"/>
  <c r="F1451" i="101"/>
  <c r="F1445" i="101"/>
  <c r="E1440" i="101"/>
  <c r="E1494" i="101"/>
  <c r="E1492" i="101"/>
  <c r="E1489" i="101"/>
  <c r="E1487" i="101"/>
  <c r="E1485" i="101"/>
  <c r="E1483" i="101"/>
  <c r="E1481" i="101"/>
  <c r="F1493" i="101"/>
  <c r="E1491" i="101"/>
  <c r="F1487" i="101"/>
  <c r="F1484" i="101"/>
  <c r="E1482" i="101"/>
  <c r="F1495" i="101"/>
  <c r="E1493" i="101"/>
  <c r="F1489" i="101"/>
  <c r="F1486" i="101"/>
  <c r="E1484" i="101"/>
  <c r="F1481" i="101"/>
  <c r="F1492" i="101"/>
  <c r="E1486" i="101"/>
  <c r="F1491" i="101"/>
  <c r="F1485" i="101"/>
  <c r="E1495" i="101"/>
  <c r="F1488" i="101"/>
  <c r="F1483" i="101"/>
  <c r="F1494" i="101"/>
  <c r="E1488" i="101"/>
  <c r="F1482" i="101"/>
  <c r="E1538" i="101"/>
  <c r="E1536" i="101"/>
  <c r="E1533" i="101"/>
  <c r="E1531" i="101"/>
  <c r="E1529" i="101"/>
  <c r="E1527" i="101"/>
  <c r="E1525" i="101"/>
  <c r="E1539" i="101"/>
  <c r="F1536" i="101"/>
  <c r="F1532" i="101"/>
  <c r="E1530" i="101"/>
  <c r="F1527" i="101"/>
  <c r="F1538" i="101"/>
  <c r="F1535" i="101"/>
  <c r="E1532" i="101"/>
  <c r="F1529" i="101"/>
  <c r="F1526" i="101"/>
  <c r="E1535" i="101"/>
  <c r="F1528" i="101"/>
  <c r="F1539" i="101"/>
  <c r="F1533" i="101"/>
  <c r="E1528" i="101"/>
  <c r="F1537" i="101"/>
  <c r="F1531" i="101"/>
  <c r="E1526" i="101"/>
  <c r="E1537" i="101"/>
  <c r="F1530" i="101"/>
  <c r="F1525" i="101"/>
  <c r="E1582" i="101"/>
  <c r="E1580" i="101"/>
  <c r="E1577" i="101"/>
  <c r="E1575" i="101"/>
  <c r="E1573" i="101"/>
  <c r="E1571" i="101"/>
  <c r="E1569" i="101"/>
  <c r="F1581" i="101"/>
  <c r="E1579" i="101"/>
  <c r="F1575" i="101"/>
  <c r="F1572" i="101"/>
  <c r="E1570" i="101"/>
  <c r="F1583" i="101"/>
  <c r="E1581" i="101"/>
  <c r="F1577" i="101"/>
  <c r="F1574" i="101"/>
  <c r="E1572" i="101"/>
  <c r="F1569" i="101"/>
  <c r="E1583" i="101"/>
  <c r="F1576" i="101"/>
  <c r="F1571" i="101"/>
  <c r="F1582" i="101"/>
  <c r="G1582" i="101" s="1"/>
  <c r="E1576" i="101"/>
  <c r="F1570" i="101"/>
  <c r="F1580" i="101"/>
  <c r="E1574" i="101"/>
  <c r="F1579" i="101"/>
  <c r="F1573" i="101"/>
  <c r="E1626" i="101"/>
  <c r="E1624" i="101"/>
  <c r="E1621" i="101"/>
  <c r="E1619" i="101"/>
  <c r="E1617" i="101"/>
  <c r="E1615" i="101"/>
  <c r="E1613" i="101"/>
  <c r="E1627" i="101"/>
  <c r="F1624" i="101"/>
  <c r="F1620" i="101"/>
  <c r="E1618" i="101"/>
  <c r="F1615" i="101"/>
  <c r="F1626" i="101"/>
  <c r="F1623" i="101"/>
  <c r="E1620" i="101"/>
  <c r="F1617" i="101"/>
  <c r="F1614" i="101"/>
  <c r="F1625" i="101"/>
  <c r="F1619" i="101"/>
  <c r="E1614" i="101"/>
  <c r="E1625" i="101"/>
  <c r="F1618" i="101"/>
  <c r="F1613" i="101"/>
  <c r="E1623" i="101"/>
  <c r="F1616" i="101"/>
  <c r="F1627" i="101"/>
  <c r="F1621" i="101"/>
  <c r="E1616" i="101"/>
  <c r="G141" i="130"/>
  <c r="G254" i="130"/>
  <c r="G219" i="130"/>
  <c r="E65" i="99"/>
  <c r="F62" i="99"/>
  <c r="E61" i="99"/>
  <c r="E59" i="99"/>
  <c r="F56" i="99"/>
  <c r="E55" i="99"/>
  <c r="F52" i="99"/>
  <c r="F51" i="99"/>
  <c r="G68" i="99"/>
  <c r="F63" i="99"/>
  <c r="E62" i="99"/>
  <c r="F57" i="99"/>
  <c r="E56" i="99"/>
  <c r="G56" i="99" s="1"/>
  <c r="F53" i="99"/>
  <c r="E52" i="99"/>
  <c r="E51" i="99"/>
  <c r="G51" i="99" s="1"/>
  <c r="F64" i="99"/>
  <c r="E63" i="99"/>
  <c r="G63" i="99" s="1"/>
  <c r="F58" i="99"/>
  <c r="E57" i="99"/>
  <c r="G57" i="99" s="1"/>
  <c r="F54" i="99"/>
  <c r="E53" i="99"/>
  <c r="F65" i="99"/>
  <c r="E64" i="99"/>
  <c r="F61" i="99"/>
  <c r="F59" i="99"/>
  <c r="E58" i="99"/>
  <c r="F55" i="99"/>
  <c r="E54" i="99"/>
  <c r="C48" i="99"/>
  <c r="F109" i="99"/>
  <c r="E108" i="99"/>
  <c r="F105" i="99"/>
  <c r="F103" i="99"/>
  <c r="E102" i="99"/>
  <c r="F99" i="99"/>
  <c r="E98" i="99"/>
  <c r="C92" i="99"/>
  <c r="E109" i="99"/>
  <c r="F106" i="99"/>
  <c r="E105" i="99"/>
  <c r="E103" i="99"/>
  <c r="F100" i="99"/>
  <c r="E99" i="99"/>
  <c r="F96" i="99"/>
  <c r="F95" i="99"/>
  <c r="G112" i="99"/>
  <c r="F107" i="99"/>
  <c r="E106" i="99"/>
  <c r="F101" i="99"/>
  <c r="E100" i="99"/>
  <c r="F97" i="99"/>
  <c r="E96" i="99"/>
  <c r="E95" i="99"/>
  <c r="F108" i="99"/>
  <c r="E107" i="99"/>
  <c r="F102" i="99"/>
  <c r="E101" i="99"/>
  <c r="F98" i="99"/>
  <c r="E97" i="99"/>
  <c r="G96" i="99"/>
  <c r="G95" i="99"/>
  <c r="F153" i="99"/>
  <c r="E152" i="99"/>
  <c r="F149" i="99"/>
  <c r="F147" i="99"/>
  <c r="E146" i="99"/>
  <c r="F143" i="99"/>
  <c r="E142" i="99"/>
  <c r="C136" i="99"/>
  <c r="E153" i="99"/>
  <c r="F150" i="99"/>
  <c r="E149" i="99"/>
  <c r="E147" i="99"/>
  <c r="F144" i="99"/>
  <c r="E143" i="99"/>
  <c r="F140" i="99"/>
  <c r="F139" i="99"/>
  <c r="G156" i="99"/>
  <c r="F151" i="99"/>
  <c r="E150" i="99"/>
  <c r="F145" i="99"/>
  <c r="E144" i="99"/>
  <c r="F141" i="99"/>
  <c r="E140" i="99"/>
  <c r="G140" i="99" s="1"/>
  <c r="E139" i="99"/>
  <c r="G139" i="99" s="1"/>
  <c r="F152" i="99"/>
  <c r="E151" i="99"/>
  <c r="F146" i="99"/>
  <c r="E145" i="99"/>
  <c r="F142" i="99"/>
  <c r="E141" i="99"/>
  <c r="F197" i="99"/>
  <c r="E196" i="99"/>
  <c r="F193" i="99"/>
  <c r="F191" i="99"/>
  <c r="E190" i="99"/>
  <c r="F187" i="99"/>
  <c r="E186" i="99"/>
  <c r="C180" i="99"/>
  <c r="E197" i="99"/>
  <c r="F194" i="99"/>
  <c r="E193" i="99"/>
  <c r="E191" i="99"/>
  <c r="F188" i="99"/>
  <c r="E187" i="99"/>
  <c r="F184" i="99"/>
  <c r="F183" i="99"/>
  <c r="F195" i="99"/>
  <c r="E194" i="99"/>
  <c r="F189" i="99"/>
  <c r="E188" i="99"/>
  <c r="F185" i="99"/>
  <c r="E184" i="99"/>
  <c r="E183" i="99"/>
  <c r="F196" i="99"/>
  <c r="E195" i="99"/>
  <c r="F190" i="99"/>
  <c r="E189" i="99"/>
  <c r="F186" i="99"/>
  <c r="E185" i="99"/>
  <c r="G244" i="99"/>
  <c r="F239" i="99"/>
  <c r="E238" i="99"/>
  <c r="F233" i="99"/>
  <c r="E232" i="99"/>
  <c r="F229" i="99"/>
  <c r="E228" i="99"/>
  <c r="E227" i="99"/>
  <c r="F240" i="99"/>
  <c r="E239" i="99"/>
  <c r="G239" i="99" s="1"/>
  <c r="F234" i="99"/>
  <c r="E233" i="99"/>
  <c r="G233" i="99" s="1"/>
  <c r="F230" i="99"/>
  <c r="E229" i="99"/>
  <c r="F241" i="99"/>
  <c r="E240" i="99"/>
  <c r="F237" i="99"/>
  <c r="F235" i="99"/>
  <c r="E234" i="99"/>
  <c r="F231" i="99"/>
  <c r="E230" i="99"/>
  <c r="C224" i="99"/>
  <c r="E241" i="99"/>
  <c r="F238" i="99"/>
  <c r="E237" i="99"/>
  <c r="E235" i="99"/>
  <c r="F232" i="99"/>
  <c r="E231" i="99"/>
  <c r="F228" i="99"/>
  <c r="F227" i="99"/>
  <c r="G288" i="99"/>
  <c r="F283" i="99"/>
  <c r="E282" i="99"/>
  <c r="F277" i="99"/>
  <c r="E276" i="99"/>
  <c r="F273" i="99"/>
  <c r="E272" i="99"/>
  <c r="E271" i="99"/>
  <c r="F284" i="99"/>
  <c r="E283" i="99"/>
  <c r="F278" i="99"/>
  <c r="E277" i="99"/>
  <c r="F274" i="99"/>
  <c r="E273" i="99"/>
  <c r="G273" i="99" s="1"/>
  <c r="F285" i="99"/>
  <c r="E284" i="99"/>
  <c r="F281" i="99"/>
  <c r="F279" i="99"/>
  <c r="E278" i="99"/>
  <c r="F275" i="99"/>
  <c r="E274" i="99"/>
  <c r="C268" i="99"/>
  <c r="E285" i="99"/>
  <c r="F282" i="99"/>
  <c r="E281" i="99"/>
  <c r="E279" i="99"/>
  <c r="F276" i="99"/>
  <c r="E275" i="99"/>
  <c r="F272" i="99"/>
  <c r="F271" i="99"/>
  <c r="F329" i="99"/>
  <c r="E328" i="99"/>
  <c r="F325" i="99"/>
  <c r="F323" i="99"/>
  <c r="E322" i="99"/>
  <c r="F319" i="99"/>
  <c r="E318" i="99"/>
  <c r="C312" i="99"/>
  <c r="E329" i="99"/>
  <c r="F326" i="99"/>
  <c r="E325" i="99"/>
  <c r="E323" i="99"/>
  <c r="F320" i="99"/>
  <c r="E319" i="99"/>
  <c r="F316" i="99"/>
  <c r="F315" i="99"/>
  <c r="G332" i="99"/>
  <c r="F327" i="99"/>
  <c r="E326" i="99"/>
  <c r="F321" i="99"/>
  <c r="E320" i="99"/>
  <c r="F317" i="99"/>
  <c r="E316" i="99"/>
  <c r="E315" i="99"/>
  <c r="F328" i="99"/>
  <c r="E327" i="99"/>
  <c r="F322" i="99"/>
  <c r="E321" i="99"/>
  <c r="F318" i="99"/>
  <c r="E317" i="99"/>
  <c r="G316" i="99"/>
  <c r="G315" i="99"/>
  <c r="G376" i="99"/>
  <c r="F371" i="99"/>
  <c r="E370" i="99"/>
  <c r="F365" i="99"/>
  <c r="E364" i="99"/>
  <c r="F361" i="99"/>
  <c r="E360" i="99"/>
  <c r="E359" i="99"/>
  <c r="F372" i="99"/>
  <c r="E371" i="99"/>
  <c r="F366" i="99"/>
  <c r="E365" i="99"/>
  <c r="G365" i="99" s="1"/>
  <c r="F362" i="99"/>
  <c r="E361" i="99"/>
  <c r="F373" i="99"/>
  <c r="E372" i="99"/>
  <c r="F369" i="99"/>
  <c r="F367" i="99"/>
  <c r="E366" i="99"/>
  <c r="F363" i="99"/>
  <c r="E362" i="99"/>
  <c r="G361" i="99"/>
  <c r="C356" i="99"/>
  <c r="E373" i="99"/>
  <c r="F370" i="99"/>
  <c r="E369" i="99"/>
  <c r="E367" i="99"/>
  <c r="F364" i="99"/>
  <c r="E363" i="99"/>
  <c r="F360" i="99"/>
  <c r="F359" i="99"/>
  <c r="E43" i="100"/>
  <c r="E41" i="100"/>
  <c r="E39" i="100"/>
  <c r="E36" i="100"/>
  <c r="E34" i="100"/>
  <c r="E32" i="100"/>
  <c r="E30" i="100"/>
  <c r="F42" i="100"/>
  <c r="F40" i="100"/>
  <c r="F37" i="100"/>
  <c r="F35" i="100"/>
  <c r="F33" i="100"/>
  <c r="F31" i="100"/>
  <c r="F29" i="100"/>
  <c r="E42" i="100"/>
  <c r="E40" i="100"/>
  <c r="E37" i="100"/>
  <c r="E35" i="100"/>
  <c r="E33" i="100"/>
  <c r="E31" i="100"/>
  <c r="E29" i="100"/>
  <c r="F43" i="100"/>
  <c r="F41" i="100"/>
  <c r="F39" i="100"/>
  <c r="F36" i="100"/>
  <c r="F34" i="100"/>
  <c r="F32" i="100"/>
  <c r="F30" i="100"/>
  <c r="E87" i="100"/>
  <c r="E85" i="100"/>
  <c r="E83" i="100"/>
  <c r="E80" i="100"/>
  <c r="E78" i="100"/>
  <c r="E76" i="100"/>
  <c r="E74" i="100"/>
  <c r="F86" i="100"/>
  <c r="F84" i="100"/>
  <c r="F81" i="100"/>
  <c r="F79" i="100"/>
  <c r="F77" i="100"/>
  <c r="F75" i="100"/>
  <c r="F73" i="100"/>
  <c r="E86" i="100"/>
  <c r="E84" i="100"/>
  <c r="E81" i="100"/>
  <c r="E79" i="100"/>
  <c r="E77" i="100"/>
  <c r="E75" i="100"/>
  <c r="E73" i="100"/>
  <c r="F87" i="100"/>
  <c r="F85" i="100"/>
  <c r="F83" i="100"/>
  <c r="F80" i="100"/>
  <c r="F78" i="100"/>
  <c r="F76" i="100"/>
  <c r="F74" i="100"/>
  <c r="E131" i="100"/>
  <c r="E129" i="100"/>
  <c r="E127" i="100"/>
  <c r="E124" i="100"/>
  <c r="E122" i="100"/>
  <c r="E120" i="100"/>
  <c r="E118" i="100"/>
  <c r="F130" i="100"/>
  <c r="F128" i="100"/>
  <c r="F125" i="100"/>
  <c r="F123" i="100"/>
  <c r="F121" i="100"/>
  <c r="F119" i="100"/>
  <c r="F117" i="100"/>
  <c r="E130" i="100"/>
  <c r="E128" i="100"/>
  <c r="E125" i="100"/>
  <c r="E123" i="100"/>
  <c r="E121" i="100"/>
  <c r="E119" i="100"/>
  <c r="E117" i="100"/>
  <c r="F131" i="100"/>
  <c r="F129" i="100"/>
  <c r="F127" i="100"/>
  <c r="F124" i="100"/>
  <c r="F122" i="100"/>
  <c r="F120" i="100"/>
  <c r="F118" i="100"/>
  <c r="E175" i="100"/>
  <c r="E173" i="100"/>
  <c r="E171" i="100"/>
  <c r="E168" i="100"/>
  <c r="E166" i="100"/>
  <c r="E164" i="100"/>
  <c r="E162" i="100"/>
  <c r="F174" i="100"/>
  <c r="F172" i="100"/>
  <c r="F169" i="100"/>
  <c r="F167" i="100"/>
  <c r="F165" i="100"/>
  <c r="F163" i="100"/>
  <c r="F161" i="100"/>
  <c r="E174" i="100"/>
  <c r="E172" i="100"/>
  <c r="E169" i="100"/>
  <c r="E167" i="100"/>
  <c r="E165" i="100"/>
  <c r="E163" i="100"/>
  <c r="E161" i="100"/>
  <c r="F175" i="100"/>
  <c r="F173" i="100"/>
  <c r="F171" i="100"/>
  <c r="F168" i="100"/>
  <c r="F166" i="100"/>
  <c r="F164" i="100"/>
  <c r="F162" i="100"/>
  <c r="E219" i="100"/>
  <c r="E217" i="100"/>
  <c r="E215" i="100"/>
  <c r="E212" i="100"/>
  <c r="E210" i="100"/>
  <c r="E208" i="100"/>
  <c r="E206" i="100"/>
  <c r="F218" i="100"/>
  <c r="F216" i="100"/>
  <c r="F213" i="100"/>
  <c r="F211" i="100"/>
  <c r="F209" i="100"/>
  <c r="F207" i="100"/>
  <c r="F205" i="100"/>
  <c r="E218" i="100"/>
  <c r="E216" i="100"/>
  <c r="E213" i="100"/>
  <c r="E211" i="100"/>
  <c r="E209" i="100"/>
  <c r="E207" i="100"/>
  <c r="E205" i="100"/>
  <c r="F219" i="100"/>
  <c r="F217" i="100"/>
  <c r="F215" i="100"/>
  <c r="F212" i="100"/>
  <c r="F210" i="100"/>
  <c r="F208" i="100"/>
  <c r="F206" i="100"/>
  <c r="E263" i="100"/>
  <c r="E261" i="100"/>
  <c r="E259" i="100"/>
  <c r="E256" i="100"/>
  <c r="E254" i="100"/>
  <c r="E252" i="100"/>
  <c r="E250" i="100"/>
  <c r="F262" i="100"/>
  <c r="F260" i="100"/>
  <c r="F257" i="100"/>
  <c r="F255" i="100"/>
  <c r="F253" i="100"/>
  <c r="F251" i="100"/>
  <c r="F249" i="100"/>
  <c r="E262" i="100"/>
  <c r="E260" i="100"/>
  <c r="E257" i="100"/>
  <c r="E255" i="100"/>
  <c r="E253" i="100"/>
  <c r="E251" i="100"/>
  <c r="E249" i="100"/>
  <c r="F263" i="100"/>
  <c r="F261" i="100"/>
  <c r="F259" i="100"/>
  <c r="F256" i="100"/>
  <c r="F254" i="100"/>
  <c r="F252" i="100"/>
  <c r="F250" i="100"/>
  <c r="E307" i="100"/>
  <c r="E305" i="100"/>
  <c r="E303" i="100"/>
  <c r="E300" i="100"/>
  <c r="E298" i="100"/>
  <c r="E296" i="100"/>
  <c r="E294" i="100"/>
  <c r="F306" i="100"/>
  <c r="F304" i="100"/>
  <c r="F301" i="100"/>
  <c r="F299" i="100"/>
  <c r="F297" i="100"/>
  <c r="F295" i="100"/>
  <c r="F293" i="100"/>
  <c r="E306" i="100"/>
  <c r="E304" i="100"/>
  <c r="E301" i="100"/>
  <c r="E299" i="100"/>
  <c r="E297" i="100"/>
  <c r="E295" i="100"/>
  <c r="E293" i="100"/>
  <c r="F307" i="100"/>
  <c r="F305" i="100"/>
  <c r="F303" i="100"/>
  <c r="F300" i="100"/>
  <c r="F298" i="100"/>
  <c r="F296" i="100"/>
  <c r="F294" i="100"/>
  <c r="F351" i="100"/>
  <c r="F349" i="100"/>
  <c r="F347" i="100"/>
  <c r="F344" i="100"/>
  <c r="F342" i="100"/>
  <c r="F340" i="100"/>
  <c r="F338" i="100"/>
  <c r="E351" i="100"/>
  <c r="E349" i="100"/>
  <c r="E347" i="100"/>
  <c r="E344" i="100"/>
  <c r="E342" i="100"/>
  <c r="E340" i="100"/>
  <c r="E338" i="100"/>
  <c r="F350" i="100"/>
  <c r="F348" i="100"/>
  <c r="F345" i="100"/>
  <c r="F343" i="100"/>
  <c r="F341" i="100"/>
  <c r="F339" i="100"/>
  <c r="F337" i="100"/>
  <c r="E350" i="100"/>
  <c r="E348" i="100"/>
  <c r="E345" i="100"/>
  <c r="E343" i="100"/>
  <c r="E341" i="100"/>
  <c r="E339" i="100"/>
  <c r="E337" i="100"/>
  <c r="F395" i="100"/>
  <c r="F393" i="100"/>
  <c r="F391" i="100"/>
  <c r="F388" i="100"/>
  <c r="F386" i="100"/>
  <c r="F384" i="100"/>
  <c r="F382" i="100"/>
  <c r="E395" i="100"/>
  <c r="E393" i="100"/>
  <c r="E391" i="100"/>
  <c r="E388" i="100"/>
  <c r="E386" i="100"/>
  <c r="E384" i="100"/>
  <c r="E382" i="100"/>
  <c r="F394" i="100"/>
  <c r="F392" i="100"/>
  <c r="F389" i="100"/>
  <c r="F387" i="100"/>
  <c r="F385" i="100"/>
  <c r="F383" i="100"/>
  <c r="F381" i="100"/>
  <c r="E394" i="100"/>
  <c r="E392" i="100"/>
  <c r="E389" i="100"/>
  <c r="E387" i="100"/>
  <c r="E385" i="100"/>
  <c r="E383" i="100"/>
  <c r="E381" i="100"/>
  <c r="F439" i="100"/>
  <c r="F437" i="100"/>
  <c r="F435" i="100"/>
  <c r="F432" i="100"/>
  <c r="F430" i="100"/>
  <c r="F428" i="100"/>
  <c r="F426" i="100"/>
  <c r="E439" i="100"/>
  <c r="E437" i="100"/>
  <c r="E435" i="100"/>
  <c r="E432" i="100"/>
  <c r="E430" i="100"/>
  <c r="E428" i="100"/>
  <c r="E426" i="100"/>
  <c r="F438" i="100"/>
  <c r="F436" i="100"/>
  <c r="F433" i="100"/>
  <c r="F431" i="100"/>
  <c r="F429" i="100"/>
  <c r="F427" i="100"/>
  <c r="F425" i="100"/>
  <c r="E438" i="100"/>
  <c r="E436" i="100"/>
  <c r="E433" i="100"/>
  <c r="E431" i="100"/>
  <c r="E429" i="100"/>
  <c r="E427" i="100"/>
  <c r="E425" i="100"/>
  <c r="F483" i="100"/>
  <c r="F481" i="100"/>
  <c r="F479" i="100"/>
  <c r="F476" i="100"/>
  <c r="F474" i="100"/>
  <c r="F472" i="100"/>
  <c r="F470" i="100"/>
  <c r="E483" i="100"/>
  <c r="E481" i="100"/>
  <c r="E479" i="100"/>
  <c r="E476" i="100"/>
  <c r="E474" i="100"/>
  <c r="E472" i="100"/>
  <c r="E470" i="100"/>
  <c r="F482" i="100"/>
  <c r="F480" i="100"/>
  <c r="F477" i="100"/>
  <c r="F475" i="100"/>
  <c r="F473" i="100"/>
  <c r="F471" i="100"/>
  <c r="F469" i="100"/>
  <c r="E482" i="100"/>
  <c r="E480" i="100"/>
  <c r="E477" i="100"/>
  <c r="E475" i="100"/>
  <c r="E473" i="100"/>
  <c r="E471" i="100"/>
  <c r="E469" i="100"/>
  <c r="F527" i="100"/>
  <c r="F525" i="100"/>
  <c r="F523" i="100"/>
  <c r="F520" i="100"/>
  <c r="F518" i="100"/>
  <c r="F516" i="100"/>
  <c r="F514" i="100"/>
  <c r="E527" i="100"/>
  <c r="E525" i="100"/>
  <c r="E523" i="100"/>
  <c r="E520" i="100"/>
  <c r="E518" i="100"/>
  <c r="E516" i="100"/>
  <c r="E514" i="100"/>
  <c r="F526" i="100"/>
  <c r="F524" i="100"/>
  <c r="F521" i="100"/>
  <c r="F519" i="100"/>
  <c r="F517" i="100"/>
  <c r="F515" i="100"/>
  <c r="F513" i="100"/>
  <c r="E526" i="100"/>
  <c r="E524" i="100"/>
  <c r="E521" i="100"/>
  <c r="E519" i="100"/>
  <c r="E517" i="100"/>
  <c r="E515" i="100"/>
  <c r="E513" i="100"/>
  <c r="F571" i="100"/>
  <c r="F569" i="100"/>
  <c r="F567" i="100"/>
  <c r="F564" i="100"/>
  <c r="F562" i="100"/>
  <c r="F560" i="100"/>
  <c r="F558" i="100"/>
  <c r="E571" i="100"/>
  <c r="E569" i="100"/>
  <c r="E567" i="100"/>
  <c r="E564" i="100"/>
  <c r="E562" i="100"/>
  <c r="E560" i="100"/>
  <c r="E558" i="100"/>
  <c r="F570" i="100"/>
  <c r="F568" i="100"/>
  <c r="F565" i="100"/>
  <c r="F563" i="100"/>
  <c r="F561" i="100"/>
  <c r="F559" i="100"/>
  <c r="F557" i="100"/>
  <c r="E570" i="100"/>
  <c r="E568" i="100"/>
  <c r="E565" i="100"/>
  <c r="E563" i="100"/>
  <c r="E561" i="100"/>
  <c r="E559" i="100"/>
  <c r="E557" i="100"/>
  <c r="F615" i="100"/>
  <c r="F613" i="100"/>
  <c r="F611" i="100"/>
  <c r="F608" i="100"/>
  <c r="F606" i="100"/>
  <c r="F604" i="100"/>
  <c r="F602" i="100"/>
  <c r="E615" i="100"/>
  <c r="E613" i="100"/>
  <c r="E611" i="100"/>
  <c r="E608" i="100"/>
  <c r="E606" i="100"/>
  <c r="E604" i="100"/>
  <c r="E602" i="100"/>
  <c r="F614" i="100"/>
  <c r="F612" i="100"/>
  <c r="F609" i="100"/>
  <c r="F607" i="100"/>
  <c r="F605" i="100"/>
  <c r="F603" i="100"/>
  <c r="F601" i="100"/>
  <c r="E614" i="100"/>
  <c r="E612" i="100"/>
  <c r="E609" i="100"/>
  <c r="E607" i="100"/>
  <c r="E605" i="100"/>
  <c r="E603" i="100"/>
  <c r="E601" i="100"/>
  <c r="F659" i="100"/>
  <c r="F657" i="100"/>
  <c r="F655" i="100"/>
  <c r="F652" i="100"/>
  <c r="F650" i="100"/>
  <c r="F648" i="100"/>
  <c r="F646" i="100"/>
  <c r="E659" i="100"/>
  <c r="E657" i="100"/>
  <c r="E655" i="100"/>
  <c r="E652" i="100"/>
  <c r="E650" i="100"/>
  <c r="E648" i="100"/>
  <c r="E646" i="100"/>
  <c r="F658" i="100"/>
  <c r="F656" i="100"/>
  <c r="F653" i="100"/>
  <c r="F651" i="100"/>
  <c r="F649" i="100"/>
  <c r="F647" i="100"/>
  <c r="F645" i="100"/>
  <c r="E658" i="100"/>
  <c r="E656" i="100"/>
  <c r="E653" i="100"/>
  <c r="E651" i="100"/>
  <c r="E649" i="100"/>
  <c r="E647" i="100"/>
  <c r="E645" i="100"/>
  <c r="F703" i="100"/>
  <c r="F701" i="100"/>
  <c r="F699" i="100"/>
  <c r="F696" i="100"/>
  <c r="F694" i="100"/>
  <c r="F692" i="100"/>
  <c r="F690" i="100"/>
  <c r="E703" i="100"/>
  <c r="E701" i="100"/>
  <c r="E699" i="100"/>
  <c r="E696" i="100"/>
  <c r="E694" i="100"/>
  <c r="E692" i="100"/>
  <c r="E690" i="100"/>
  <c r="F702" i="100"/>
  <c r="F700" i="100"/>
  <c r="F697" i="100"/>
  <c r="F695" i="100"/>
  <c r="F693" i="100"/>
  <c r="F691" i="100"/>
  <c r="F689" i="100"/>
  <c r="E702" i="100"/>
  <c r="E700" i="100"/>
  <c r="E697" i="100"/>
  <c r="E695" i="100"/>
  <c r="E693" i="100"/>
  <c r="E691" i="100"/>
  <c r="E689" i="100"/>
  <c r="F747" i="100"/>
  <c r="F745" i="100"/>
  <c r="F743" i="100"/>
  <c r="F740" i="100"/>
  <c r="F738" i="100"/>
  <c r="F736" i="100"/>
  <c r="F734" i="100"/>
  <c r="E747" i="100"/>
  <c r="E745" i="100"/>
  <c r="E743" i="100"/>
  <c r="E740" i="100"/>
  <c r="E738" i="100"/>
  <c r="E736" i="100"/>
  <c r="E734" i="100"/>
  <c r="F746" i="100"/>
  <c r="F744" i="100"/>
  <c r="F741" i="100"/>
  <c r="F739" i="100"/>
  <c r="F737" i="100"/>
  <c r="F735" i="100"/>
  <c r="F733" i="100"/>
  <c r="E746" i="100"/>
  <c r="E744" i="100"/>
  <c r="E741" i="100"/>
  <c r="E739" i="100"/>
  <c r="E737" i="100"/>
  <c r="E735" i="100"/>
  <c r="E733" i="100"/>
  <c r="F791" i="100"/>
  <c r="F789" i="100"/>
  <c r="F787" i="100"/>
  <c r="F784" i="100"/>
  <c r="F782" i="100"/>
  <c r="F780" i="100"/>
  <c r="F778" i="100"/>
  <c r="E791" i="100"/>
  <c r="E789" i="100"/>
  <c r="E787" i="100"/>
  <c r="E784" i="100"/>
  <c r="E782" i="100"/>
  <c r="E780" i="100"/>
  <c r="E778" i="100"/>
  <c r="F790" i="100"/>
  <c r="F788" i="100"/>
  <c r="F785" i="100"/>
  <c r="F783" i="100"/>
  <c r="F781" i="100"/>
  <c r="F779" i="100"/>
  <c r="F777" i="100"/>
  <c r="E790" i="100"/>
  <c r="E788" i="100"/>
  <c r="E785" i="100"/>
  <c r="E783" i="100"/>
  <c r="E781" i="100"/>
  <c r="E779" i="100"/>
  <c r="E777" i="100"/>
  <c r="F835" i="100"/>
  <c r="F833" i="100"/>
  <c r="F831" i="100"/>
  <c r="F828" i="100"/>
  <c r="F826" i="100"/>
  <c r="F824" i="100"/>
  <c r="F822" i="100"/>
  <c r="E835" i="100"/>
  <c r="E833" i="100"/>
  <c r="E831" i="100"/>
  <c r="E828" i="100"/>
  <c r="E826" i="100"/>
  <c r="E824" i="100"/>
  <c r="E822" i="100"/>
  <c r="F834" i="100"/>
  <c r="F832" i="100"/>
  <c r="F829" i="100"/>
  <c r="F827" i="100"/>
  <c r="F825" i="100"/>
  <c r="F823" i="100"/>
  <c r="F821" i="100"/>
  <c r="E834" i="100"/>
  <c r="E832" i="100"/>
  <c r="E829" i="100"/>
  <c r="E827" i="100"/>
  <c r="E825" i="100"/>
  <c r="E823" i="100"/>
  <c r="E821" i="100"/>
  <c r="F879" i="100"/>
  <c r="F877" i="100"/>
  <c r="F875" i="100"/>
  <c r="F872" i="100"/>
  <c r="F870" i="100"/>
  <c r="F868" i="100"/>
  <c r="F866" i="100"/>
  <c r="E879" i="100"/>
  <c r="E877" i="100"/>
  <c r="E875" i="100"/>
  <c r="E872" i="100"/>
  <c r="E870" i="100"/>
  <c r="E868" i="100"/>
  <c r="E866" i="100"/>
  <c r="F878" i="100"/>
  <c r="F876" i="100"/>
  <c r="F873" i="100"/>
  <c r="F871" i="100"/>
  <c r="F869" i="100"/>
  <c r="F867" i="100"/>
  <c r="F865" i="100"/>
  <c r="E878" i="100"/>
  <c r="E876" i="100"/>
  <c r="E873" i="100"/>
  <c r="E871" i="100"/>
  <c r="E869" i="100"/>
  <c r="E867" i="100"/>
  <c r="E865" i="100"/>
  <c r="F923" i="100"/>
  <c r="F921" i="100"/>
  <c r="F919" i="100"/>
  <c r="F916" i="100"/>
  <c r="F914" i="100"/>
  <c r="F912" i="100"/>
  <c r="F910" i="100"/>
  <c r="E923" i="100"/>
  <c r="E921" i="100"/>
  <c r="E919" i="100"/>
  <c r="E916" i="100"/>
  <c r="E914" i="100"/>
  <c r="E912" i="100"/>
  <c r="E910" i="100"/>
  <c r="F922" i="100"/>
  <c r="F920" i="100"/>
  <c r="F917" i="100"/>
  <c r="F915" i="100"/>
  <c r="F913" i="100"/>
  <c r="F911" i="100"/>
  <c r="F909" i="100"/>
  <c r="E922" i="100"/>
  <c r="E920" i="100"/>
  <c r="E917" i="100"/>
  <c r="E915" i="100"/>
  <c r="E913" i="100"/>
  <c r="E911" i="100"/>
  <c r="E909" i="100"/>
  <c r="F967" i="100"/>
  <c r="F965" i="100"/>
  <c r="F963" i="100"/>
  <c r="F960" i="100"/>
  <c r="F958" i="100"/>
  <c r="F956" i="100"/>
  <c r="F954" i="100"/>
  <c r="E967" i="100"/>
  <c r="E965" i="100"/>
  <c r="E963" i="100"/>
  <c r="E960" i="100"/>
  <c r="E958" i="100"/>
  <c r="E956" i="100"/>
  <c r="E954" i="100"/>
  <c r="F966" i="100"/>
  <c r="F964" i="100"/>
  <c r="F961" i="100"/>
  <c r="F959" i="100"/>
  <c r="F957" i="100"/>
  <c r="F955" i="100"/>
  <c r="F953" i="100"/>
  <c r="E966" i="100"/>
  <c r="E964" i="100"/>
  <c r="E961" i="100"/>
  <c r="E959" i="100"/>
  <c r="E957" i="100"/>
  <c r="E955" i="100"/>
  <c r="E953" i="100"/>
  <c r="F1011" i="100"/>
  <c r="F1009" i="100"/>
  <c r="F1007" i="100"/>
  <c r="F1004" i="100"/>
  <c r="F1002" i="100"/>
  <c r="F1000" i="100"/>
  <c r="F998" i="100"/>
  <c r="E1011" i="100"/>
  <c r="E1009" i="100"/>
  <c r="E1007" i="100"/>
  <c r="E1004" i="100"/>
  <c r="E1002" i="100"/>
  <c r="E1000" i="100"/>
  <c r="E998" i="100"/>
  <c r="F1010" i="100"/>
  <c r="F1008" i="100"/>
  <c r="F1005" i="100"/>
  <c r="F1003" i="100"/>
  <c r="F1001" i="100"/>
  <c r="F999" i="100"/>
  <c r="F997" i="100"/>
  <c r="E1010" i="100"/>
  <c r="E1008" i="100"/>
  <c r="E1005" i="100"/>
  <c r="E1003" i="100"/>
  <c r="E1001" i="100"/>
  <c r="E999" i="100"/>
  <c r="E997" i="100"/>
  <c r="F1055" i="100"/>
  <c r="F1053" i="100"/>
  <c r="F1051" i="100"/>
  <c r="F1048" i="100"/>
  <c r="F1046" i="100"/>
  <c r="F1044" i="100"/>
  <c r="F1042" i="100"/>
  <c r="E1055" i="100"/>
  <c r="E1053" i="100"/>
  <c r="E1051" i="100"/>
  <c r="E1048" i="100"/>
  <c r="E1046" i="100"/>
  <c r="E1044" i="100"/>
  <c r="E1042" i="100"/>
  <c r="F1054" i="100"/>
  <c r="F1052" i="100"/>
  <c r="F1049" i="100"/>
  <c r="F1047" i="100"/>
  <c r="F1045" i="100"/>
  <c r="F1043" i="100"/>
  <c r="F1041" i="100"/>
  <c r="E1054" i="100"/>
  <c r="E1052" i="100"/>
  <c r="E1049" i="100"/>
  <c r="E1047" i="100"/>
  <c r="E1045" i="100"/>
  <c r="E1043" i="100"/>
  <c r="E1041" i="100"/>
  <c r="F21" i="101"/>
  <c r="F19" i="101"/>
  <c r="F17" i="101"/>
  <c r="F14" i="101"/>
  <c r="F12" i="101"/>
  <c r="F10" i="101"/>
  <c r="F8" i="101"/>
  <c r="E21" i="101"/>
  <c r="E19" i="101"/>
  <c r="E17" i="101"/>
  <c r="E14" i="101"/>
  <c r="E12" i="101"/>
  <c r="E10" i="101"/>
  <c r="E8" i="101"/>
  <c r="F20" i="101"/>
  <c r="F18" i="101"/>
  <c r="F15" i="101"/>
  <c r="F13" i="101"/>
  <c r="F11" i="101"/>
  <c r="F9" i="101"/>
  <c r="F7" i="101"/>
  <c r="E20" i="101"/>
  <c r="E18" i="101"/>
  <c r="E15" i="101"/>
  <c r="E13" i="101"/>
  <c r="E11" i="101"/>
  <c r="E9" i="101"/>
  <c r="E7" i="101"/>
  <c r="F65" i="101"/>
  <c r="F63" i="101"/>
  <c r="F61" i="101"/>
  <c r="F58" i="101"/>
  <c r="F56" i="101"/>
  <c r="F54" i="101"/>
  <c r="F52" i="101"/>
  <c r="E65" i="101"/>
  <c r="E63" i="101"/>
  <c r="E61" i="101"/>
  <c r="E58" i="101"/>
  <c r="E56" i="101"/>
  <c r="E54" i="101"/>
  <c r="E52" i="101"/>
  <c r="F64" i="101"/>
  <c r="F62" i="101"/>
  <c r="F59" i="101"/>
  <c r="F57" i="101"/>
  <c r="F55" i="101"/>
  <c r="F53" i="101"/>
  <c r="F51" i="101"/>
  <c r="E64" i="101"/>
  <c r="E62" i="101"/>
  <c r="E59" i="101"/>
  <c r="E57" i="101"/>
  <c r="E55" i="101"/>
  <c r="E53" i="101"/>
  <c r="E51" i="101"/>
  <c r="F109" i="101"/>
  <c r="F107" i="101"/>
  <c r="F105" i="101"/>
  <c r="F102" i="101"/>
  <c r="F100" i="101"/>
  <c r="F98" i="101"/>
  <c r="F96" i="101"/>
  <c r="E109" i="101"/>
  <c r="E107" i="101"/>
  <c r="E105" i="101"/>
  <c r="E102" i="101"/>
  <c r="E100" i="101"/>
  <c r="E98" i="101"/>
  <c r="E96" i="101"/>
  <c r="F108" i="101"/>
  <c r="F106" i="101"/>
  <c r="F103" i="101"/>
  <c r="F101" i="101"/>
  <c r="F99" i="101"/>
  <c r="F97" i="101"/>
  <c r="F95" i="101"/>
  <c r="E108" i="101"/>
  <c r="E106" i="101"/>
  <c r="E103" i="101"/>
  <c r="E101" i="101"/>
  <c r="E99" i="101"/>
  <c r="E97" i="101"/>
  <c r="E95" i="101"/>
  <c r="F153" i="101"/>
  <c r="F151" i="101"/>
  <c r="F149" i="101"/>
  <c r="F146" i="101"/>
  <c r="F144" i="101"/>
  <c r="F142" i="101"/>
  <c r="F140" i="101"/>
  <c r="E153" i="101"/>
  <c r="E151" i="101"/>
  <c r="E149" i="101"/>
  <c r="E146" i="101"/>
  <c r="E144" i="101"/>
  <c r="E142" i="101"/>
  <c r="E140" i="101"/>
  <c r="F152" i="101"/>
  <c r="F150" i="101"/>
  <c r="F147" i="101"/>
  <c r="F145" i="101"/>
  <c r="F143" i="101"/>
  <c r="F141" i="101"/>
  <c r="F139" i="101"/>
  <c r="E152" i="101"/>
  <c r="E150" i="101"/>
  <c r="E147" i="101"/>
  <c r="E145" i="101"/>
  <c r="E143" i="101"/>
  <c r="E141" i="101"/>
  <c r="E139" i="101"/>
  <c r="F197" i="101"/>
  <c r="F195" i="101"/>
  <c r="F193" i="101"/>
  <c r="F190" i="101"/>
  <c r="F188" i="101"/>
  <c r="F186" i="101"/>
  <c r="F184" i="101"/>
  <c r="E197" i="101"/>
  <c r="E195" i="101"/>
  <c r="E193" i="101"/>
  <c r="E190" i="101"/>
  <c r="E188" i="101"/>
  <c r="E186" i="101"/>
  <c r="E184" i="101"/>
  <c r="F196" i="101"/>
  <c r="F194" i="101"/>
  <c r="F191" i="101"/>
  <c r="F189" i="101"/>
  <c r="F187" i="101"/>
  <c r="F185" i="101"/>
  <c r="F183" i="101"/>
  <c r="E196" i="101"/>
  <c r="E194" i="101"/>
  <c r="E191" i="101"/>
  <c r="E189" i="101"/>
  <c r="E187" i="101"/>
  <c r="E185" i="101"/>
  <c r="E183" i="101"/>
  <c r="F240" i="101"/>
  <c r="F238" i="101"/>
  <c r="F235" i="101"/>
  <c r="F233" i="101"/>
  <c r="F231" i="101"/>
  <c r="F229" i="101"/>
  <c r="F227" i="101"/>
  <c r="E240" i="101"/>
  <c r="E238" i="101"/>
  <c r="E235" i="101"/>
  <c r="E233" i="101"/>
  <c r="E231" i="101"/>
  <c r="E229" i="101"/>
  <c r="E227" i="101"/>
  <c r="F239" i="101"/>
  <c r="F234" i="101"/>
  <c r="F230" i="101"/>
  <c r="E239" i="101"/>
  <c r="E234" i="101"/>
  <c r="E230" i="101"/>
  <c r="F241" i="101"/>
  <c r="F237" i="101"/>
  <c r="F232" i="101"/>
  <c r="F228" i="101"/>
  <c r="E241" i="101"/>
  <c r="E237" i="101"/>
  <c r="E232" i="101"/>
  <c r="E228" i="101"/>
  <c r="F284" i="101"/>
  <c r="F282" i="101"/>
  <c r="F279" i="101"/>
  <c r="F277" i="101"/>
  <c r="F275" i="101"/>
  <c r="F273" i="101"/>
  <c r="F271" i="101"/>
  <c r="E284" i="101"/>
  <c r="E282" i="101"/>
  <c r="E279" i="101"/>
  <c r="E277" i="101"/>
  <c r="E275" i="101"/>
  <c r="E273" i="101"/>
  <c r="E271" i="101"/>
  <c r="F283" i="101"/>
  <c r="F278" i="101"/>
  <c r="F274" i="101"/>
  <c r="E283" i="101"/>
  <c r="E278" i="101"/>
  <c r="E274" i="101"/>
  <c r="F285" i="101"/>
  <c r="F281" i="101"/>
  <c r="F276" i="101"/>
  <c r="F272" i="101"/>
  <c r="E285" i="101"/>
  <c r="E281" i="101"/>
  <c r="E276" i="101"/>
  <c r="E272" i="101"/>
  <c r="F328" i="101"/>
  <c r="F326" i="101"/>
  <c r="F323" i="101"/>
  <c r="F321" i="101"/>
  <c r="F319" i="101"/>
  <c r="F317" i="101"/>
  <c r="F315" i="101"/>
  <c r="E328" i="101"/>
  <c r="E326" i="101"/>
  <c r="E323" i="101"/>
  <c r="E321" i="101"/>
  <c r="E319" i="101"/>
  <c r="E317" i="101"/>
  <c r="E315" i="101"/>
  <c r="F327" i="101"/>
  <c r="F322" i="101"/>
  <c r="F318" i="101"/>
  <c r="E327" i="101"/>
  <c r="E322" i="101"/>
  <c r="E318" i="101"/>
  <c r="F329" i="101"/>
  <c r="F325" i="101"/>
  <c r="F320" i="101"/>
  <c r="F316" i="101"/>
  <c r="E329" i="101"/>
  <c r="E325" i="101"/>
  <c r="E320" i="101"/>
  <c r="E316" i="101"/>
  <c r="E373" i="101"/>
  <c r="E371" i="101"/>
  <c r="E369" i="101"/>
  <c r="E366" i="101"/>
  <c r="E364" i="101"/>
  <c r="E362" i="101"/>
  <c r="E360" i="101"/>
  <c r="F372" i="101"/>
  <c r="F370" i="101"/>
  <c r="F367" i="101"/>
  <c r="F365" i="101"/>
  <c r="F363" i="101"/>
  <c r="F361" i="101"/>
  <c r="F359" i="101"/>
  <c r="E372" i="101"/>
  <c r="E370" i="101"/>
  <c r="E367" i="101"/>
  <c r="E365" i="101"/>
  <c r="E363" i="101"/>
  <c r="E361" i="101"/>
  <c r="E359" i="101"/>
  <c r="F371" i="101"/>
  <c r="F362" i="101"/>
  <c r="F369" i="101"/>
  <c r="F360" i="101"/>
  <c r="F366" i="101"/>
  <c r="F373" i="101"/>
  <c r="F364" i="101"/>
  <c r="E417" i="101"/>
  <c r="E415" i="101"/>
  <c r="E413" i="101"/>
  <c r="E410" i="101"/>
  <c r="E408" i="101"/>
  <c r="E406" i="101"/>
  <c r="E404" i="101"/>
  <c r="F416" i="101"/>
  <c r="F414" i="101"/>
  <c r="F411" i="101"/>
  <c r="F409" i="101"/>
  <c r="F407" i="101"/>
  <c r="F405" i="101"/>
  <c r="F403" i="101"/>
  <c r="E416" i="101"/>
  <c r="E414" i="101"/>
  <c r="E411" i="101"/>
  <c r="E409" i="101"/>
  <c r="E407" i="101"/>
  <c r="E405" i="101"/>
  <c r="E403" i="101"/>
  <c r="F410" i="101"/>
  <c r="F417" i="101"/>
  <c r="F408" i="101"/>
  <c r="F415" i="101"/>
  <c r="F406" i="101"/>
  <c r="F413" i="101"/>
  <c r="F404" i="101"/>
  <c r="F461" i="101"/>
  <c r="E461" i="101"/>
  <c r="E459" i="101"/>
  <c r="E457" i="101"/>
  <c r="E454" i="101"/>
  <c r="E452" i="101"/>
  <c r="E450" i="101"/>
  <c r="E448" i="101"/>
  <c r="F460" i="101"/>
  <c r="F458" i="101"/>
  <c r="F455" i="101"/>
  <c r="F453" i="101"/>
  <c r="F451" i="101"/>
  <c r="F449" i="101"/>
  <c r="F447" i="101"/>
  <c r="E460" i="101"/>
  <c r="E458" i="101"/>
  <c r="E455" i="101"/>
  <c r="E453" i="101"/>
  <c r="E451" i="101"/>
  <c r="E449" i="101"/>
  <c r="E447" i="101"/>
  <c r="F459" i="101"/>
  <c r="F450" i="101"/>
  <c r="F457" i="101"/>
  <c r="F448" i="101"/>
  <c r="F454" i="101"/>
  <c r="F452" i="101"/>
  <c r="F505" i="101"/>
  <c r="F503" i="101"/>
  <c r="F501" i="101"/>
  <c r="F498" i="101"/>
  <c r="F496" i="101"/>
  <c r="F494" i="101"/>
  <c r="F492" i="101"/>
  <c r="E505" i="101"/>
  <c r="E503" i="101"/>
  <c r="E501" i="101"/>
  <c r="E498" i="101"/>
  <c r="E496" i="101"/>
  <c r="E494" i="101"/>
  <c r="E492" i="101"/>
  <c r="F504" i="101"/>
  <c r="F502" i="101"/>
  <c r="F499" i="101"/>
  <c r="F497" i="101"/>
  <c r="F495" i="101"/>
  <c r="F493" i="101"/>
  <c r="F491" i="101"/>
  <c r="E504" i="101"/>
  <c r="E502" i="101"/>
  <c r="E499" i="101"/>
  <c r="E497" i="101"/>
  <c r="E495" i="101"/>
  <c r="E493" i="101"/>
  <c r="E491" i="101"/>
  <c r="F549" i="101"/>
  <c r="F547" i="101"/>
  <c r="F545" i="101"/>
  <c r="F542" i="101"/>
  <c r="F540" i="101"/>
  <c r="F538" i="101"/>
  <c r="F536" i="101"/>
  <c r="E549" i="101"/>
  <c r="E547" i="101"/>
  <c r="E545" i="101"/>
  <c r="E542" i="101"/>
  <c r="E540" i="101"/>
  <c r="E538" i="101"/>
  <c r="E536" i="101"/>
  <c r="F548" i="101"/>
  <c r="F546" i="101"/>
  <c r="F543" i="101"/>
  <c r="F541" i="101"/>
  <c r="F539" i="101"/>
  <c r="F537" i="101"/>
  <c r="F535" i="101"/>
  <c r="E548" i="101"/>
  <c r="E546" i="101"/>
  <c r="E543" i="101"/>
  <c r="E541" i="101"/>
  <c r="E539" i="101"/>
  <c r="E537" i="101"/>
  <c r="E535" i="101"/>
  <c r="F593" i="101"/>
  <c r="F591" i="101"/>
  <c r="F589" i="101"/>
  <c r="F586" i="101"/>
  <c r="F584" i="101"/>
  <c r="F582" i="101"/>
  <c r="F580" i="101"/>
  <c r="E593" i="101"/>
  <c r="E591" i="101"/>
  <c r="E589" i="101"/>
  <c r="E586" i="101"/>
  <c r="E584" i="101"/>
  <c r="E582" i="101"/>
  <c r="E580" i="101"/>
  <c r="F592" i="101"/>
  <c r="F590" i="101"/>
  <c r="F587" i="101"/>
  <c r="F585" i="101"/>
  <c r="F583" i="101"/>
  <c r="F581" i="101"/>
  <c r="F579" i="101"/>
  <c r="E592" i="101"/>
  <c r="E590" i="101"/>
  <c r="E587" i="101"/>
  <c r="E585" i="101"/>
  <c r="E583" i="101"/>
  <c r="E581" i="101"/>
  <c r="E579" i="101"/>
  <c r="E637" i="101"/>
  <c r="E635" i="101"/>
  <c r="E633" i="101"/>
  <c r="E630" i="101"/>
  <c r="E628" i="101"/>
  <c r="F636" i="101"/>
  <c r="F634" i="101"/>
  <c r="F631" i="101"/>
  <c r="F637" i="101"/>
  <c r="F633" i="101"/>
  <c r="E629" i="101"/>
  <c r="F626" i="101"/>
  <c r="F624" i="101"/>
  <c r="E636" i="101"/>
  <c r="G636" i="101" s="1"/>
  <c r="E631" i="101"/>
  <c r="F628" i="101"/>
  <c r="E626" i="101"/>
  <c r="E624" i="101"/>
  <c r="F635" i="101"/>
  <c r="F630" i="101"/>
  <c r="F627" i="101"/>
  <c r="F625" i="101"/>
  <c r="F623" i="101"/>
  <c r="E634" i="101"/>
  <c r="F629" i="101"/>
  <c r="E627" i="101"/>
  <c r="E625" i="101"/>
  <c r="E623" i="101"/>
  <c r="E681" i="101"/>
  <c r="E679" i="101"/>
  <c r="E677" i="101"/>
  <c r="E674" i="101"/>
  <c r="E672" i="101"/>
  <c r="E670" i="101"/>
  <c r="E668" i="101"/>
  <c r="F680" i="101"/>
  <c r="F678" i="101"/>
  <c r="F675" i="101"/>
  <c r="F673" i="101"/>
  <c r="F671" i="101"/>
  <c r="F669" i="101"/>
  <c r="F667" i="101"/>
  <c r="F681" i="101"/>
  <c r="F677" i="101"/>
  <c r="F672" i="101"/>
  <c r="F668" i="101"/>
  <c r="E680" i="101"/>
  <c r="E675" i="101"/>
  <c r="E671" i="101"/>
  <c r="E667" i="101"/>
  <c r="G667" i="101" s="1"/>
  <c r="F679" i="101"/>
  <c r="F674" i="101"/>
  <c r="F670" i="101"/>
  <c r="E678" i="101"/>
  <c r="E673" i="101"/>
  <c r="E669" i="101"/>
  <c r="E725" i="101"/>
  <c r="E723" i="101"/>
  <c r="E721" i="101"/>
  <c r="E718" i="101"/>
  <c r="E716" i="101"/>
  <c r="E714" i="101"/>
  <c r="E712" i="101"/>
  <c r="F724" i="101"/>
  <c r="F722" i="101"/>
  <c r="F719" i="101"/>
  <c r="F717" i="101"/>
  <c r="F715" i="101"/>
  <c r="F713" i="101"/>
  <c r="F711" i="101"/>
  <c r="F725" i="101"/>
  <c r="F721" i="101"/>
  <c r="F716" i="101"/>
  <c r="F712" i="101"/>
  <c r="E724" i="101"/>
  <c r="E719" i="101"/>
  <c r="E715" i="101"/>
  <c r="E711" i="101"/>
  <c r="G711" i="101" s="1"/>
  <c r="F723" i="101"/>
  <c r="F718" i="101"/>
  <c r="F714" i="101"/>
  <c r="E722" i="101"/>
  <c r="E717" i="101"/>
  <c r="E713" i="101"/>
  <c r="E769" i="101"/>
  <c r="E767" i="101"/>
  <c r="E765" i="101"/>
  <c r="E762" i="101"/>
  <c r="E760" i="101"/>
  <c r="E758" i="101"/>
  <c r="E756" i="101"/>
  <c r="F768" i="101"/>
  <c r="F766" i="101"/>
  <c r="F763" i="101"/>
  <c r="F761" i="101"/>
  <c r="F759" i="101"/>
  <c r="F757" i="101"/>
  <c r="F755" i="101"/>
  <c r="F769" i="101"/>
  <c r="F765" i="101"/>
  <c r="F760" i="101"/>
  <c r="F756" i="101"/>
  <c r="E768" i="101"/>
  <c r="E763" i="101"/>
  <c r="E759" i="101"/>
  <c r="E755" i="101"/>
  <c r="F767" i="101"/>
  <c r="F762" i="101"/>
  <c r="F758" i="101"/>
  <c r="E766" i="101"/>
  <c r="E761" i="101"/>
  <c r="E757" i="101"/>
  <c r="E813" i="101"/>
  <c r="E811" i="101"/>
  <c r="E809" i="101"/>
  <c r="E806" i="101"/>
  <c r="E804" i="101"/>
  <c r="E802" i="101"/>
  <c r="E800" i="101"/>
  <c r="F812" i="101"/>
  <c r="F810" i="101"/>
  <c r="F807" i="101"/>
  <c r="F805" i="101"/>
  <c r="F803" i="101"/>
  <c r="F801" i="101"/>
  <c r="F799" i="101"/>
  <c r="F813" i="101"/>
  <c r="F809" i="101"/>
  <c r="F804" i="101"/>
  <c r="F800" i="101"/>
  <c r="E812" i="101"/>
  <c r="E807" i="101"/>
  <c r="E803" i="101"/>
  <c r="E799" i="101"/>
  <c r="G799" i="101" s="1"/>
  <c r="F811" i="101"/>
  <c r="F806" i="101"/>
  <c r="F802" i="101"/>
  <c r="E810" i="101"/>
  <c r="E805" i="101"/>
  <c r="E801" i="101"/>
  <c r="E856" i="101"/>
  <c r="E854" i="101"/>
  <c r="E851" i="101"/>
  <c r="E857" i="101"/>
  <c r="E855" i="101"/>
  <c r="E853" i="101"/>
  <c r="E850" i="101"/>
  <c r="E848" i="101"/>
  <c r="E846" i="101"/>
  <c r="E844" i="101"/>
  <c r="F856" i="101"/>
  <c r="F854" i="101"/>
  <c r="F851" i="101"/>
  <c r="F849" i="101"/>
  <c r="F847" i="101"/>
  <c r="F845" i="101"/>
  <c r="F843" i="101"/>
  <c r="F855" i="101"/>
  <c r="F848" i="101"/>
  <c r="F844" i="101"/>
  <c r="F853" i="101"/>
  <c r="E847" i="101"/>
  <c r="E843" i="101"/>
  <c r="F850" i="101"/>
  <c r="F846" i="101"/>
  <c r="F857" i="101"/>
  <c r="E849" i="101"/>
  <c r="E845" i="101"/>
  <c r="E900" i="101"/>
  <c r="E898" i="101"/>
  <c r="E895" i="101"/>
  <c r="E893" i="101"/>
  <c r="E891" i="101"/>
  <c r="E889" i="101"/>
  <c r="E887" i="101"/>
  <c r="E901" i="101"/>
  <c r="E899" i="101"/>
  <c r="E897" i="101"/>
  <c r="E894" i="101"/>
  <c r="E892" i="101"/>
  <c r="E890" i="101"/>
  <c r="E888" i="101"/>
  <c r="F900" i="101"/>
  <c r="F898" i="101"/>
  <c r="F895" i="101"/>
  <c r="F893" i="101"/>
  <c r="F891" i="101"/>
  <c r="F889" i="101"/>
  <c r="F887" i="101"/>
  <c r="F894" i="101"/>
  <c r="F901" i="101"/>
  <c r="F892" i="101"/>
  <c r="F899" i="101"/>
  <c r="F890" i="101"/>
  <c r="F897" i="101"/>
  <c r="F888" i="101"/>
  <c r="E944" i="101"/>
  <c r="E942" i="101"/>
  <c r="E939" i="101"/>
  <c r="E937" i="101"/>
  <c r="E935" i="101"/>
  <c r="E933" i="101"/>
  <c r="E931" i="101"/>
  <c r="F945" i="101"/>
  <c r="F943" i="101"/>
  <c r="F941" i="101"/>
  <c r="F938" i="101"/>
  <c r="F936" i="101"/>
  <c r="F934" i="101"/>
  <c r="F932" i="101"/>
  <c r="E945" i="101"/>
  <c r="E943" i="101"/>
  <c r="E941" i="101"/>
  <c r="E938" i="101"/>
  <c r="E936" i="101"/>
  <c r="E934" i="101"/>
  <c r="E932" i="101"/>
  <c r="F944" i="101"/>
  <c r="F942" i="101"/>
  <c r="F939" i="101"/>
  <c r="F937" i="101"/>
  <c r="F935" i="101"/>
  <c r="F933" i="101"/>
  <c r="F931" i="101"/>
  <c r="E988" i="101"/>
  <c r="E986" i="101"/>
  <c r="E983" i="101"/>
  <c r="E981" i="101"/>
  <c r="E979" i="101"/>
  <c r="E977" i="101"/>
  <c r="E975" i="101"/>
  <c r="F989" i="101"/>
  <c r="F987" i="101"/>
  <c r="F985" i="101"/>
  <c r="F982" i="101"/>
  <c r="F980" i="101"/>
  <c r="F978" i="101"/>
  <c r="F976" i="101"/>
  <c r="E989" i="101"/>
  <c r="E987" i="101"/>
  <c r="E985" i="101"/>
  <c r="E982" i="101"/>
  <c r="E980" i="101"/>
  <c r="E978" i="101"/>
  <c r="E976" i="101"/>
  <c r="F988" i="101"/>
  <c r="F986" i="101"/>
  <c r="F983" i="101"/>
  <c r="F981" i="101"/>
  <c r="F979" i="101"/>
  <c r="F977" i="101"/>
  <c r="F975" i="101"/>
  <c r="E1032" i="101"/>
  <c r="E1030" i="101"/>
  <c r="E1027" i="101"/>
  <c r="E1025" i="101"/>
  <c r="E1023" i="101"/>
  <c r="E1021" i="101"/>
  <c r="E1019" i="101"/>
  <c r="F1033" i="101"/>
  <c r="F1031" i="101"/>
  <c r="F1029" i="101"/>
  <c r="F1026" i="101"/>
  <c r="F1024" i="101"/>
  <c r="F1022" i="101"/>
  <c r="F1020" i="101"/>
  <c r="E1031" i="101"/>
  <c r="E1026" i="101"/>
  <c r="E1022" i="101"/>
  <c r="F1030" i="101"/>
  <c r="F1025" i="101"/>
  <c r="F1021" i="101"/>
  <c r="E1033" i="101"/>
  <c r="E1029" i="101"/>
  <c r="E1024" i="101"/>
  <c r="E1020" i="101"/>
  <c r="F1032" i="101"/>
  <c r="F1027" i="101"/>
  <c r="F1023" i="101"/>
  <c r="F1019" i="101"/>
  <c r="E1076" i="101"/>
  <c r="E1074" i="101"/>
  <c r="E1071" i="101"/>
  <c r="E1069" i="101"/>
  <c r="E1067" i="101"/>
  <c r="E1065" i="101"/>
  <c r="E1063" i="101"/>
  <c r="F1077" i="101"/>
  <c r="F1075" i="101"/>
  <c r="F1073" i="101"/>
  <c r="F1070" i="101"/>
  <c r="F1068" i="101"/>
  <c r="F1066" i="101"/>
  <c r="F1064" i="101"/>
  <c r="E1075" i="101"/>
  <c r="E1070" i="101"/>
  <c r="E1066" i="101"/>
  <c r="F1074" i="101"/>
  <c r="F1069" i="101"/>
  <c r="F1065" i="101"/>
  <c r="E1077" i="101"/>
  <c r="E1073" i="101"/>
  <c r="E1068" i="101"/>
  <c r="E1064" i="101"/>
  <c r="F1076" i="101"/>
  <c r="F1071" i="101"/>
  <c r="F1067" i="101"/>
  <c r="F1063" i="101"/>
  <c r="E1120" i="101"/>
  <c r="E1118" i="101"/>
  <c r="E1115" i="101"/>
  <c r="E1113" i="101"/>
  <c r="E1111" i="101"/>
  <c r="E1109" i="101"/>
  <c r="E1107" i="101"/>
  <c r="F1121" i="101"/>
  <c r="F1119" i="101"/>
  <c r="F1117" i="101"/>
  <c r="F1114" i="101"/>
  <c r="F1112" i="101"/>
  <c r="F1110" i="101"/>
  <c r="F1108" i="101"/>
  <c r="E1119" i="101"/>
  <c r="E1114" i="101"/>
  <c r="E1110" i="101"/>
  <c r="G1110" i="101" s="1"/>
  <c r="F1118" i="101"/>
  <c r="F1113" i="101"/>
  <c r="F1109" i="101"/>
  <c r="E1121" i="101"/>
  <c r="E1117" i="101"/>
  <c r="E1112" i="101"/>
  <c r="E1108" i="101"/>
  <c r="F1120" i="101"/>
  <c r="F1115" i="101"/>
  <c r="F1111" i="101"/>
  <c r="F1107" i="101"/>
  <c r="E1164" i="101"/>
  <c r="E1162" i="101"/>
  <c r="E1159" i="101"/>
  <c r="E1157" i="101"/>
  <c r="E1155" i="101"/>
  <c r="E1153" i="101"/>
  <c r="E1151" i="101"/>
  <c r="F1165" i="101"/>
  <c r="F1163" i="101"/>
  <c r="F1161" i="101"/>
  <c r="F1158" i="101"/>
  <c r="F1156" i="101"/>
  <c r="F1154" i="101"/>
  <c r="F1152" i="101"/>
  <c r="E1163" i="101"/>
  <c r="E1158" i="101"/>
  <c r="E1154" i="101"/>
  <c r="F1162" i="101"/>
  <c r="F1157" i="101"/>
  <c r="F1153" i="101"/>
  <c r="E1165" i="101"/>
  <c r="E1161" i="101"/>
  <c r="E1156" i="101"/>
  <c r="E1152" i="101"/>
  <c r="F1164" i="101"/>
  <c r="F1159" i="101"/>
  <c r="F1155" i="101"/>
  <c r="F1151" i="101"/>
  <c r="F1208" i="101"/>
  <c r="F1206" i="101"/>
  <c r="F1203" i="101"/>
  <c r="F1201" i="101"/>
  <c r="F1199" i="101"/>
  <c r="F1197" i="101"/>
  <c r="F1195" i="101"/>
  <c r="E1208" i="101"/>
  <c r="E1206" i="101"/>
  <c r="E1203" i="101"/>
  <c r="E1201" i="101"/>
  <c r="E1199" i="101"/>
  <c r="E1197" i="101"/>
  <c r="E1195" i="101"/>
  <c r="F1209" i="101"/>
  <c r="F1207" i="101"/>
  <c r="F1205" i="101"/>
  <c r="F1202" i="101"/>
  <c r="F1200" i="101"/>
  <c r="F1198" i="101"/>
  <c r="F1196" i="101"/>
  <c r="E1207" i="101"/>
  <c r="E1198" i="101"/>
  <c r="E1205" i="101"/>
  <c r="E1196" i="101"/>
  <c r="E1202" i="101"/>
  <c r="E1209" i="101"/>
  <c r="E1200" i="101"/>
  <c r="F1252" i="101"/>
  <c r="F1250" i="101"/>
  <c r="F1247" i="101"/>
  <c r="F1245" i="101"/>
  <c r="F1243" i="101"/>
  <c r="F1241" i="101"/>
  <c r="F1239" i="101"/>
  <c r="E1252" i="101"/>
  <c r="E1250" i="101"/>
  <c r="E1247" i="101"/>
  <c r="E1245" i="101"/>
  <c r="E1243" i="101"/>
  <c r="E1241" i="101"/>
  <c r="E1239" i="101"/>
  <c r="F1253" i="101"/>
  <c r="F1251" i="101"/>
  <c r="F1249" i="101"/>
  <c r="F1246" i="101"/>
  <c r="F1244" i="101"/>
  <c r="F1242" i="101"/>
  <c r="F1240" i="101"/>
  <c r="E1246" i="101"/>
  <c r="E1253" i="101"/>
  <c r="E1244" i="101"/>
  <c r="E1251" i="101"/>
  <c r="E1242" i="101"/>
  <c r="E1249" i="101"/>
  <c r="E1240" i="101"/>
  <c r="E1297" i="101"/>
  <c r="E1295" i="101"/>
  <c r="E1293" i="101"/>
  <c r="E1290" i="101"/>
  <c r="E1288" i="101"/>
  <c r="E1286" i="101"/>
  <c r="E1284" i="101"/>
  <c r="F1296" i="101"/>
  <c r="F1294" i="101"/>
  <c r="F1291" i="101"/>
  <c r="F1289" i="101"/>
  <c r="F1287" i="101"/>
  <c r="F1285" i="101"/>
  <c r="F1283" i="101"/>
  <c r="E1296" i="101"/>
  <c r="E1294" i="101"/>
  <c r="E1291" i="101"/>
  <c r="E1289" i="101"/>
  <c r="E1287" i="101"/>
  <c r="E1285" i="101"/>
  <c r="E1283" i="101"/>
  <c r="F1297" i="101"/>
  <c r="F1295" i="101"/>
  <c r="F1293" i="101"/>
  <c r="F1290" i="101"/>
  <c r="F1288" i="101"/>
  <c r="F1286" i="101"/>
  <c r="F1284" i="101"/>
  <c r="E1340" i="101"/>
  <c r="E1338" i="101"/>
  <c r="E1335" i="101"/>
  <c r="E1333" i="101"/>
  <c r="E1331" i="101"/>
  <c r="E1329" i="101"/>
  <c r="E1327" i="101"/>
  <c r="F1341" i="101"/>
  <c r="F1339" i="101"/>
  <c r="F1337" i="101"/>
  <c r="F1334" i="101"/>
  <c r="F1332" i="101"/>
  <c r="F1330" i="101"/>
  <c r="F1328" i="101"/>
  <c r="E1339" i="101"/>
  <c r="E1334" i="101"/>
  <c r="E1330" i="101"/>
  <c r="G1330" i="101" s="1"/>
  <c r="F1338" i="101"/>
  <c r="F1333" i="101"/>
  <c r="F1329" i="101"/>
  <c r="E1341" i="101"/>
  <c r="E1337" i="101"/>
  <c r="E1332" i="101"/>
  <c r="E1328" i="101"/>
  <c r="F1340" i="101"/>
  <c r="F1335" i="101"/>
  <c r="F1331" i="101"/>
  <c r="F1327" i="101"/>
  <c r="E1384" i="101"/>
  <c r="F1384" i="101"/>
  <c r="E1382" i="101"/>
  <c r="E1379" i="101"/>
  <c r="E1377" i="101"/>
  <c r="E1375" i="101"/>
  <c r="E1373" i="101"/>
  <c r="E1371" i="101"/>
  <c r="F1383" i="101"/>
  <c r="F1381" i="101"/>
  <c r="F1378" i="101"/>
  <c r="F1376" i="101"/>
  <c r="F1374" i="101"/>
  <c r="F1372" i="101"/>
  <c r="E1383" i="101"/>
  <c r="E1378" i="101"/>
  <c r="E1374" i="101"/>
  <c r="G1374" i="101" s="1"/>
  <c r="F1382" i="101"/>
  <c r="F1377" i="101"/>
  <c r="F1373" i="101"/>
  <c r="F1385" i="101"/>
  <c r="E1381" i="101"/>
  <c r="E1376" i="101"/>
  <c r="E1372" i="101"/>
  <c r="E1385" i="101"/>
  <c r="F1379" i="101"/>
  <c r="F1375" i="101"/>
  <c r="F1371" i="101"/>
  <c r="E1428" i="101"/>
  <c r="E1426" i="101"/>
  <c r="E1423" i="101"/>
  <c r="E1421" i="101"/>
  <c r="E1419" i="101"/>
  <c r="E1417" i="101"/>
  <c r="E1415" i="101"/>
  <c r="F1429" i="101"/>
  <c r="E1427" i="101"/>
  <c r="F1423" i="101"/>
  <c r="F1420" i="101"/>
  <c r="E1418" i="101"/>
  <c r="F1415" i="101"/>
  <c r="E1429" i="101"/>
  <c r="F1426" i="101"/>
  <c r="F1422" i="101"/>
  <c r="E1420" i="101"/>
  <c r="F1417" i="101"/>
  <c r="F1425" i="101"/>
  <c r="F1419" i="101"/>
  <c r="E1425" i="101"/>
  <c r="F1418" i="101"/>
  <c r="F1428" i="101"/>
  <c r="E1422" i="101"/>
  <c r="F1416" i="101"/>
  <c r="F1427" i="101"/>
  <c r="F1421" i="101"/>
  <c r="E1416" i="101"/>
  <c r="E1472" i="101"/>
  <c r="E1470" i="101"/>
  <c r="E1467" i="101"/>
  <c r="E1465" i="101"/>
  <c r="E1463" i="101"/>
  <c r="E1461" i="101"/>
  <c r="E1459" i="101"/>
  <c r="F1472" i="101"/>
  <c r="F1469" i="101"/>
  <c r="E1466" i="101"/>
  <c r="F1463" i="101"/>
  <c r="F1460" i="101"/>
  <c r="F1471" i="101"/>
  <c r="E1469" i="101"/>
  <c r="F1465" i="101"/>
  <c r="F1462" i="101"/>
  <c r="E1460" i="101"/>
  <c r="F1473" i="101"/>
  <c r="F1467" i="101"/>
  <c r="E1462" i="101"/>
  <c r="E1473" i="101"/>
  <c r="F1466" i="101"/>
  <c r="F1461" i="101"/>
  <c r="E1471" i="101"/>
  <c r="F1464" i="101"/>
  <c r="F1459" i="101"/>
  <c r="F1470" i="101"/>
  <c r="E1464" i="101"/>
  <c r="E1516" i="101"/>
  <c r="E1514" i="101"/>
  <c r="E1511" i="101"/>
  <c r="E1509" i="101"/>
  <c r="E1507" i="101"/>
  <c r="E1505" i="101"/>
  <c r="E1503" i="101"/>
  <c r="F1517" i="101"/>
  <c r="E1515" i="101"/>
  <c r="F1511" i="101"/>
  <c r="F1508" i="101"/>
  <c r="E1506" i="101"/>
  <c r="F1503" i="101"/>
  <c r="E1517" i="101"/>
  <c r="F1514" i="101"/>
  <c r="F1510" i="101"/>
  <c r="E1508" i="101"/>
  <c r="F1505" i="101"/>
  <c r="F1516" i="101"/>
  <c r="E1510" i="101"/>
  <c r="F1504" i="101"/>
  <c r="F1515" i="101"/>
  <c r="F1509" i="101"/>
  <c r="E1504" i="101"/>
  <c r="F1513" i="101"/>
  <c r="F1507" i="101"/>
  <c r="E1513" i="101"/>
  <c r="F1506" i="101"/>
  <c r="E1560" i="101"/>
  <c r="E1558" i="101"/>
  <c r="E1555" i="101"/>
  <c r="E1553" i="101"/>
  <c r="E1551" i="101"/>
  <c r="E1549" i="101"/>
  <c r="E1547" i="101"/>
  <c r="F1560" i="101"/>
  <c r="F1557" i="101"/>
  <c r="E1554" i="101"/>
  <c r="F1551" i="101"/>
  <c r="F1548" i="101"/>
  <c r="F1559" i="101"/>
  <c r="E1557" i="101"/>
  <c r="F1553" i="101"/>
  <c r="F1550" i="101"/>
  <c r="E1548" i="101"/>
  <c r="E1559" i="101"/>
  <c r="F1552" i="101"/>
  <c r="F1547" i="101"/>
  <c r="F1558" i="101"/>
  <c r="E1552" i="101"/>
  <c r="F1561" i="101"/>
  <c r="F1555" i="101"/>
  <c r="E1550" i="101"/>
  <c r="E1561" i="101"/>
  <c r="F1554" i="101"/>
  <c r="F1549" i="101"/>
  <c r="E1604" i="101"/>
  <c r="E1602" i="101"/>
  <c r="E1599" i="101"/>
  <c r="E1597" i="101"/>
  <c r="E1595" i="101"/>
  <c r="E1593" i="101"/>
  <c r="E1591" i="101"/>
  <c r="F1605" i="101"/>
  <c r="E1603" i="101"/>
  <c r="F1599" i="101"/>
  <c r="F1596" i="101"/>
  <c r="E1594" i="101"/>
  <c r="F1591" i="101"/>
  <c r="E1605" i="101"/>
  <c r="F1602" i="101"/>
  <c r="F1598" i="101"/>
  <c r="E1596" i="101"/>
  <c r="F1593" i="101"/>
  <c r="F1601" i="101"/>
  <c r="F1595" i="101"/>
  <c r="E1601" i="101"/>
  <c r="F1594" i="101"/>
  <c r="F1604" i="101"/>
  <c r="E1598" i="101"/>
  <c r="F1592" i="101"/>
  <c r="F1603" i="101"/>
  <c r="F1597" i="101"/>
  <c r="E1592" i="101"/>
  <c r="E1648" i="101"/>
  <c r="E1646" i="101"/>
  <c r="E1643" i="101"/>
  <c r="E1641" i="101"/>
  <c r="E1639" i="101"/>
  <c r="E1637" i="101"/>
  <c r="E1635" i="101"/>
  <c r="F1648" i="101"/>
  <c r="F1645" i="101"/>
  <c r="E1642" i="101"/>
  <c r="F1639" i="101"/>
  <c r="F1636" i="101"/>
  <c r="F1647" i="101"/>
  <c r="E1645" i="101"/>
  <c r="F1641" i="101"/>
  <c r="F1638" i="101"/>
  <c r="E1636" i="101"/>
  <c r="F1649" i="101"/>
  <c r="F1643" i="101"/>
  <c r="E1638" i="101"/>
  <c r="E1649" i="101"/>
  <c r="F1642" i="101"/>
  <c r="F1637" i="101"/>
  <c r="E1647" i="101"/>
  <c r="F1640" i="101"/>
  <c r="F1635" i="101"/>
  <c r="F1646" i="101"/>
  <c r="E1640" i="101"/>
  <c r="G100" i="125"/>
  <c r="D66" i="125"/>
  <c r="G238" i="130"/>
  <c r="G718" i="129"/>
  <c r="G337" i="128"/>
  <c r="G360" i="128"/>
  <c r="G15" i="123"/>
  <c r="G118" i="123"/>
  <c r="G184" i="124"/>
  <c r="G143" i="124"/>
  <c r="G117" i="122"/>
  <c r="G29" i="123"/>
  <c r="G208" i="124"/>
  <c r="G21" i="127"/>
  <c r="G11" i="125"/>
  <c r="G78" i="125"/>
  <c r="G31" i="125"/>
  <c r="G33" i="124"/>
  <c r="G188" i="122"/>
  <c r="G97" i="122"/>
  <c r="G166" i="133"/>
  <c r="G101" i="130"/>
  <c r="G9" i="130"/>
  <c r="G208" i="130"/>
  <c r="G169" i="130"/>
  <c r="G119" i="122"/>
  <c r="G34" i="122"/>
  <c r="G13" i="133"/>
  <c r="G53" i="131"/>
  <c r="G190" i="130"/>
  <c r="G57" i="130"/>
  <c r="G338" i="130"/>
  <c r="G337" i="130"/>
  <c r="G162" i="130"/>
  <c r="G119" i="130"/>
  <c r="G33" i="130"/>
  <c r="G255" i="128"/>
  <c r="G86" i="123"/>
  <c r="G145" i="120"/>
  <c r="G14" i="120"/>
  <c r="G13" i="125"/>
  <c r="G36" i="125"/>
  <c r="G207" i="124"/>
  <c r="G231" i="124"/>
  <c r="G191" i="124"/>
  <c r="G190" i="124"/>
  <c r="G144" i="124"/>
  <c r="G54" i="124"/>
  <c r="G57" i="124"/>
  <c r="G165" i="133"/>
  <c r="G121" i="133"/>
  <c r="G75" i="133"/>
  <c r="G80" i="133"/>
  <c r="G278" i="133"/>
  <c r="G273" i="133"/>
  <c r="G231" i="133"/>
  <c r="G102" i="133"/>
  <c r="G57" i="133"/>
  <c r="G125" i="132"/>
  <c r="G56" i="129"/>
  <c r="G168" i="129"/>
  <c r="G80" i="129"/>
  <c r="G257" i="127"/>
  <c r="G408" i="127"/>
  <c r="G228" i="126"/>
  <c r="G139" i="126"/>
  <c r="G56" i="126"/>
  <c r="G209" i="126"/>
  <c r="G123" i="125"/>
  <c r="G119" i="124"/>
  <c r="G167" i="127"/>
  <c r="G403" i="127"/>
  <c r="G54" i="125"/>
  <c r="G7" i="124"/>
  <c r="G228" i="133"/>
  <c r="G147" i="133"/>
  <c r="G276" i="130"/>
  <c r="G339" i="130"/>
  <c r="G734" i="129"/>
  <c r="G725" i="129"/>
  <c r="G492" i="129"/>
  <c r="G210" i="133"/>
  <c r="G238" i="133"/>
  <c r="G151" i="133"/>
  <c r="G95" i="129"/>
  <c r="G53" i="129"/>
  <c r="G10" i="129"/>
  <c r="G608" i="129"/>
  <c r="G564" i="129"/>
  <c r="G518" i="129"/>
  <c r="G513" i="129"/>
  <c r="G477" i="129"/>
  <c r="G471" i="129"/>
  <c r="G428" i="129"/>
  <c r="G343" i="129"/>
  <c r="G294" i="129"/>
  <c r="G210" i="129"/>
  <c r="G75" i="129"/>
  <c r="G30" i="129"/>
  <c r="G117" i="127"/>
  <c r="G367" i="127"/>
  <c r="G229" i="126"/>
  <c r="G95" i="126"/>
  <c r="G12" i="129"/>
  <c r="G11" i="129"/>
  <c r="G741" i="129"/>
  <c r="G607" i="129"/>
  <c r="G521" i="129"/>
  <c r="G388" i="129"/>
  <c r="G164" i="129"/>
  <c r="G124" i="129"/>
  <c r="G76" i="129"/>
  <c r="G77" i="129"/>
  <c r="G36" i="129"/>
  <c r="G80" i="128"/>
  <c r="G185" i="128"/>
  <c r="G429" i="127"/>
  <c r="G278" i="127"/>
  <c r="G271" i="127"/>
  <c r="G235" i="127"/>
  <c r="G102" i="127"/>
  <c r="G99" i="126"/>
  <c r="G208" i="126"/>
  <c r="G276" i="129"/>
  <c r="G186" i="129"/>
  <c r="G739" i="129"/>
  <c r="G691" i="129"/>
  <c r="G295" i="129"/>
  <c r="G169" i="129"/>
  <c r="G345" i="128"/>
  <c r="G213" i="128"/>
  <c r="G143" i="128"/>
  <c r="G95" i="128"/>
  <c r="G145" i="126"/>
  <c r="G121" i="126"/>
  <c r="G78" i="120"/>
  <c r="G147" i="120"/>
  <c r="G51" i="120"/>
  <c r="G99" i="125"/>
  <c r="G7" i="125"/>
  <c r="G119" i="125"/>
  <c r="G124" i="125"/>
  <c r="G77" i="125"/>
  <c r="F82" i="125"/>
  <c r="G30" i="125"/>
  <c r="G164" i="124"/>
  <c r="G163" i="124"/>
  <c r="G120" i="124"/>
  <c r="G29" i="124"/>
  <c r="G229" i="124"/>
  <c r="G188" i="124"/>
  <c r="G8" i="124"/>
  <c r="G11" i="124"/>
  <c r="G10" i="124"/>
  <c r="G143" i="122"/>
  <c r="G142" i="122"/>
  <c r="G101" i="122"/>
  <c r="G80" i="122"/>
  <c r="G29" i="122"/>
  <c r="G213" i="133"/>
  <c r="G208" i="133"/>
  <c r="G205" i="133"/>
  <c r="G161" i="133"/>
  <c r="G120" i="133"/>
  <c r="G117" i="133"/>
  <c r="G119" i="133"/>
  <c r="E126" i="133"/>
  <c r="G229" i="133"/>
  <c r="G184" i="133"/>
  <c r="G55" i="133"/>
  <c r="G14" i="133"/>
  <c r="G8" i="133"/>
  <c r="G147" i="132"/>
  <c r="G99" i="132"/>
  <c r="G57" i="132"/>
  <c r="G15" i="131"/>
  <c r="G365" i="130"/>
  <c r="G142" i="130"/>
  <c r="G54" i="130"/>
  <c r="G14" i="130"/>
  <c r="G11" i="130"/>
  <c r="G429" i="130"/>
  <c r="G386" i="130"/>
  <c r="G381" i="130"/>
  <c r="G255" i="130"/>
  <c r="G80" i="130"/>
  <c r="G631" i="129"/>
  <c r="G581" i="129"/>
  <c r="G537" i="129"/>
  <c r="G411" i="129"/>
  <c r="G319" i="129"/>
  <c r="G229" i="129"/>
  <c r="G253" i="127"/>
  <c r="G249" i="127"/>
  <c r="G164" i="127"/>
  <c r="G31" i="127"/>
  <c r="G124" i="120"/>
  <c r="G73" i="120"/>
  <c r="G103" i="120"/>
  <c r="G37" i="124"/>
  <c r="G7" i="123"/>
  <c r="G12" i="123"/>
  <c r="G187" i="133"/>
  <c r="G81" i="132"/>
  <c r="G186" i="132"/>
  <c r="G183" i="132"/>
  <c r="G191" i="132"/>
  <c r="G7" i="132"/>
  <c r="G15" i="132"/>
  <c r="G338" i="131"/>
  <c r="G339" i="131"/>
  <c r="G297" i="131"/>
  <c r="G163" i="131"/>
  <c r="G167" i="131"/>
  <c r="G121" i="131"/>
  <c r="G321" i="131"/>
  <c r="G233" i="131"/>
  <c r="G407" i="130"/>
  <c r="G323" i="130"/>
  <c r="G299" i="130"/>
  <c r="G322" i="128"/>
  <c r="G56" i="128"/>
  <c r="G37" i="127"/>
  <c r="G361" i="127"/>
  <c r="G233" i="127"/>
  <c r="G31" i="120"/>
  <c r="G211" i="123"/>
  <c r="G54" i="123"/>
  <c r="G54" i="122"/>
  <c r="G10" i="122"/>
  <c r="G167" i="122"/>
  <c r="G78" i="122"/>
  <c r="G255" i="131"/>
  <c r="G205" i="131"/>
  <c r="G213" i="131"/>
  <c r="G162" i="131"/>
  <c r="G29" i="131"/>
  <c r="G37" i="131"/>
  <c r="G275" i="131"/>
  <c r="G99" i="131"/>
  <c r="G59" i="131"/>
  <c r="G319" i="130"/>
  <c r="G189" i="130"/>
  <c r="G184" i="130"/>
  <c r="G295" i="130"/>
  <c r="G207" i="130"/>
  <c r="G165" i="130"/>
  <c r="G673" i="129"/>
  <c r="G405" i="129"/>
  <c r="G472" i="129"/>
  <c r="G252" i="128"/>
  <c r="G124" i="128"/>
  <c r="G77" i="128"/>
  <c r="G13" i="128"/>
  <c r="G624" i="129"/>
  <c r="G321" i="129"/>
  <c r="G234" i="129"/>
  <c r="G140" i="126"/>
  <c r="G125" i="120"/>
  <c r="G139" i="120"/>
  <c r="G58" i="120"/>
  <c r="G12" i="120"/>
  <c r="G103" i="124"/>
  <c r="G31" i="132"/>
  <c r="G55" i="124"/>
  <c r="G162" i="133"/>
  <c r="E22" i="126"/>
  <c r="G146" i="124"/>
  <c r="G56" i="124"/>
  <c r="G141" i="127"/>
  <c r="G109" i="126"/>
  <c r="G168" i="126"/>
  <c r="G29" i="126"/>
  <c r="G123" i="122"/>
  <c r="G234" i="133"/>
  <c r="G210" i="132"/>
  <c r="G166" i="132"/>
  <c r="G121" i="132"/>
  <c r="G425" i="130"/>
  <c r="G300" i="130"/>
  <c r="G339" i="129"/>
  <c r="G142" i="120"/>
  <c r="G53" i="120"/>
  <c r="G54" i="120"/>
  <c r="G96" i="120"/>
  <c r="G97" i="120"/>
  <c r="G95" i="125"/>
  <c r="G96" i="125"/>
  <c r="G58" i="125"/>
  <c r="G14" i="125"/>
  <c r="G13" i="124"/>
  <c r="G118" i="122"/>
  <c r="G406" i="130"/>
  <c r="G359" i="130"/>
  <c r="G232" i="130"/>
  <c r="G256" i="130"/>
  <c r="G497" i="129"/>
  <c r="G232" i="129"/>
  <c r="G76" i="120"/>
  <c r="G123" i="120"/>
  <c r="G34" i="125"/>
  <c r="G81" i="124"/>
  <c r="G36" i="124"/>
  <c r="G12" i="124"/>
  <c r="G207" i="123"/>
  <c r="G208" i="123"/>
  <c r="G162" i="123"/>
  <c r="G81" i="123"/>
  <c r="G141" i="122"/>
  <c r="G100" i="122"/>
  <c r="G58" i="122"/>
  <c r="G121" i="122"/>
  <c r="G120" i="122"/>
  <c r="G271" i="133"/>
  <c r="G279" i="133"/>
  <c r="G103" i="133"/>
  <c r="G208" i="132"/>
  <c r="G167" i="132"/>
  <c r="F82" i="132"/>
  <c r="G76" i="132"/>
  <c r="G34" i="132"/>
  <c r="G36" i="132"/>
  <c r="F148" i="132"/>
  <c r="G146" i="132"/>
  <c r="G211" i="131"/>
  <c r="G212" i="131"/>
  <c r="G76" i="131"/>
  <c r="G35" i="131"/>
  <c r="G316" i="131"/>
  <c r="G278" i="131"/>
  <c r="G273" i="131"/>
  <c r="G140" i="131"/>
  <c r="G145" i="131"/>
  <c r="G97" i="131"/>
  <c r="G10" i="131"/>
  <c r="G363" i="130"/>
  <c r="G234" i="130"/>
  <c r="G210" i="130"/>
  <c r="G211" i="130"/>
  <c r="G121" i="130"/>
  <c r="G123" i="130"/>
  <c r="G77" i="130"/>
  <c r="G37" i="130"/>
  <c r="G672" i="129"/>
  <c r="G667" i="129"/>
  <c r="G668" i="129"/>
  <c r="G627" i="129"/>
  <c r="G579" i="129"/>
  <c r="G539" i="129"/>
  <c r="G541" i="129"/>
  <c r="G499" i="129"/>
  <c r="G449" i="129"/>
  <c r="G450" i="129"/>
  <c r="G404" i="129"/>
  <c r="G409" i="129"/>
  <c r="G361" i="129"/>
  <c r="G363" i="129"/>
  <c r="G360" i="129"/>
  <c r="G316" i="129"/>
  <c r="G317" i="129"/>
  <c r="G274" i="129"/>
  <c r="G279" i="129"/>
  <c r="G227" i="129"/>
  <c r="G183" i="129"/>
  <c r="G190" i="129"/>
  <c r="G185" i="129"/>
  <c r="G187" i="129"/>
  <c r="E192" i="129"/>
  <c r="G145" i="129"/>
  <c r="G143" i="129"/>
  <c r="G144" i="129"/>
  <c r="F148" i="129"/>
  <c r="G103" i="129"/>
  <c r="G102" i="129"/>
  <c r="G54" i="129"/>
  <c r="G8" i="129"/>
  <c r="E16" i="129"/>
  <c r="F742" i="129"/>
  <c r="G696" i="129"/>
  <c r="G602" i="129"/>
  <c r="E610" i="129"/>
  <c r="G560" i="129"/>
  <c r="G559" i="129"/>
  <c r="G473" i="129"/>
  <c r="G427" i="129"/>
  <c r="G430" i="129"/>
  <c r="G431" i="129"/>
  <c r="E434" i="129"/>
  <c r="G387" i="129"/>
  <c r="G383" i="129"/>
  <c r="G385" i="129"/>
  <c r="F390" i="129"/>
  <c r="G381" i="129"/>
  <c r="G341" i="129"/>
  <c r="G298" i="129"/>
  <c r="G300" i="129"/>
  <c r="G301" i="129"/>
  <c r="G251" i="129"/>
  <c r="G252" i="129"/>
  <c r="G256" i="129"/>
  <c r="G253" i="129"/>
  <c r="E258" i="129"/>
  <c r="G209" i="129"/>
  <c r="G73" i="129"/>
  <c r="G78" i="129"/>
  <c r="E82" i="129"/>
  <c r="G35" i="129"/>
  <c r="G34" i="129"/>
  <c r="G293" i="128"/>
  <c r="G210" i="128"/>
  <c r="G168" i="128"/>
  <c r="G32" i="128"/>
  <c r="G12" i="128"/>
  <c r="G10" i="128"/>
  <c r="G191" i="128"/>
  <c r="G186" i="128"/>
  <c r="G54" i="128"/>
  <c r="G433" i="127"/>
  <c r="G387" i="127"/>
  <c r="G343" i="127"/>
  <c r="G345" i="127"/>
  <c r="G250" i="127"/>
  <c r="G207" i="127"/>
  <c r="F214" i="127"/>
  <c r="G209" i="127"/>
  <c r="G161" i="127"/>
  <c r="G163" i="127"/>
  <c r="G123" i="127"/>
  <c r="G124" i="127"/>
  <c r="G81" i="127"/>
  <c r="G74" i="127"/>
  <c r="G29" i="127"/>
  <c r="G33" i="127"/>
  <c r="G34" i="127"/>
  <c r="E38" i="127"/>
  <c r="G410" i="127"/>
  <c r="G316" i="127"/>
  <c r="G273" i="127"/>
  <c r="G276" i="127"/>
  <c r="E280" i="127"/>
  <c r="G185" i="127"/>
  <c r="G190" i="127"/>
  <c r="G139" i="127"/>
  <c r="G54" i="127"/>
  <c r="G57" i="127"/>
  <c r="F16" i="127"/>
  <c r="G232" i="126"/>
  <c r="G227" i="126"/>
  <c r="G231" i="126"/>
  <c r="G189" i="126"/>
  <c r="G184" i="126"/>
  <c r="G100" i="126"/>
  <c r="G102" i="126"/>
  <c r="G57" i="126"/>
  <c r="G206" i="126"/>
  <c r="G164" i="126"/>
  <c r="G123" i="126"/>
  <c r="G75" i="126"/>
  <c r="G79" i="126"/>
  <c r="G78" i="126"/>
  <c r="G77" i="126"/>
  <c r="E82" i="126"/>
  <c r="G31" i="126"/>
  <c r="F214" i="123"/>
  <c r="G125" i="123"/>
  <c r="G124" i="123"/>
  <c r="G74" i="123"/>
  <c r="G34" i="123"/>
  <c r="G31" i="123"/>
  <c r="G30" i="123"/>
  <c r="G147" i="123"/>
  <c r="G146" i="123"/>
  <c r="G102" i="123"/>
  <c r="G95" i="123"/>
  <c r="G191" i="122"/>
  <c r="G139" i="122"/>
  <c r="G99" i="122"/>
  <c r="G53" i="122"/>
  <c r="F16" i="122"/>
  <c r="G124" i="122"/>
  <c r="G79" i="122"/>
  <c r="G37" i="122"/>
  <c r="G36" i="122"/>
  <c r="G343" i="131"/>
  <c r="G344" i="131"/>
  <c r="G300" i="131"/>
  <c r="G294" i="131"/>
  <c r="F258" i="131"/>
  <c r="E258" i="131"/>
  <c r="G161" i="131"/>
  <c r="G165" i="131"/>
  <c r="G168" i="131"/>
  <c r="G124" i="131"/>
  <c r="G118" i="131"/>
  <c r="G78" i="131"/>
  <c r="G75" i="131"/>
  <c r="G319" i="131"/>
  <c r="G271" i="131"/>
  <c r="G227" i="131"/>
  <c r="E236" i="131"/>
  <c r="G186" i="131"/>
  <c r="G189" i="131"/>
  <c r="G147" i="131"/>
  <c r="G95" i="131"/>
  <c r="E60" i="131"/>
  <c r="G14" i="131"/>
  <c r="G13" i="131"/>
  <c r="G452" i="130"/>
  <c r="G447" i="130"/>
  <c r="G455" i="130"/>
  <c r="G403" i="130"/>
  <c r="G361" i="130"/>
  <c r="G320" i="130"/>
  <c r="G278" i="130"/>
  <c r="G271" i="130"/>
  <c r="G227" i="130"/>
  <c r="G185" i="130"/>
  <c r="G187" i="130"/>
  <c r="G97" i="130"/>
  <c r="G59" i="130"/>
  <c r="G10" i="130"/>
  <c r="G431" i="130"/>
  <c r="G427" i="130"/>
  <c r="G389" i="130"/>
  <c r="G388" i="130"/>
  <c r="G251" i="130"/>
  <c r="G78" i="130"/>
  <c r="G79" i="130"/>
  <c r="G35" i="130"/>
  <c r="G408" i="129"/>
  <c r="G125" i="129"/>
  <c r="G32" i="129"/>
  <c r="G343" i="128"/>
  <c r="G340" i="128"/>
  <c r="G251" i="128"/>
  <c r="G257" i="128"/>
  <c r="G209" i="128"/>
  <c r="E214" i="128"/>
  <c r="G167" i="128"/>
  <c r="F82" i="128"/>
  <c r="G30" i="128"/>
  <c r="G33" i="128"/>
  <c r="G367" i="128"/>
  <c r="G365" i="128"/>
  <c r="G366" i="128"/>
  <c r="G361" i="128"/>
  <c r="G230" i="128"/>
  <c r="G234" i="128"/>
  <c r="G231" i="128"/>
  <c r="G147" i="128"/>
  <c r="G140" i="128"/>
  <c r="G139" i="128"/>
  <c r="G11" i="128"/>
  <c r="G320" i="128"/>
  <c r="F324" i="128"/>
  <c r="G319" i="128"/>
  <c r="G52" i="128"/>
  <c r="G51" i="128"/>
  <c r="G273" i="128"/>
  <c r="G276" i="128"/>
  <c r="G272" i="128"/>
  <c r="G279" i="128"/>
  <c r="G97" i="128"/>
  <c r="F104" i="128"/>
  <c r="G98" i="128"/>
  <c r="G103" i="128"/>
  <c r="G117" i="126"/>
  <c r="G32" i="126"/>
  <c r="G141" i="120"/>
  <c r="G51" i="125"/>
  <c r="G37" i="125"/>
  <c r="G210" i="124"/>
  <c r="G209" i="124"/>
  <c r="G165" i="124"/>
  <c r="G167" i="124"/>
  <c r="G166" i="124"/>
  <c r="G122" i="124"/>
  <c r="G121" i="124"/>
  <c r="G73" i="124"/>
  <c r="G31" i="124"/>
  <c r="G233" i="124"/>
  <c r="G147" i="124"/>
  <c r="G97" i="124"/>
  <c r="G52" i="123"/>
  <c r="G11" i="123"/>
  <c r="G207" i="133"/>
  <c r="G124" i="133"/>
  <c r="G77" i="133"/>
  <c r="G272" i="133"/>
  <c r="G188" i="133"/>
  <c r="G142" i="133"/>
  <c r="G95" i="133"/>
  <c r="G213" i="132"/>
  <c r="G163" i="132"/>
  <c r="G124" i="132"/>
  <c r="G29" i="132"/>
  <c r="G185" i="132"/>
  <c r="G142" i="132"/>
  <c r="G337" i="131"/>
  <c r="G345" i="131"/>
  <c r="G340" i="131"/>
  <c r="G295" i="131"/>
  <c r="G119" i="131"/>
  <c r="G77" i="131"/>
  <c r="G36" i="131"/>
  <c r="G317" i="131"/>
  <c r="G190" i="131"/>
  <c r="G55" i="131"/>
  <c r="G11" i="131"/>
  <c r="G33" i="129"/>
  <c r="G232" i="128"/>
  <c r="G318" i="128"/>
  <c r="G59" i="128"/>
  <c r="G425" i="127"/>
  <c r="G427" i="127"/>
  <c r="G344" i="127"/>
  <c r="G338" i="127"/>
  <c r="G294" i="127"/>
  <c r="G301" i="127"/>
  <c r="G295" i="127"/>
  <c r="G251" i="127"/>
  <c r="G211" i="127"/>
  <c r="G165" i="127"/>
  <c r="G122" i="127"/>
  <c r="G35" i="127"/>
  <c r="G407" i="127"/>
  <c r="G364" i="127"/>
  <c r="G323" i="127"/>
  <c r="G231" i="127"/>
  <c r="G227" i="127"/>
  <c r="G188" i="127"/>
  <c r="G191" i="127"/>
  <c r="G147" i="127"/>
  <c r="G9" i="127"/>
  <c r="G128" i="120"/>
  <c r="G351" i="128"/>
  <c r="G64" i="120"/>
  <c r="G84" i="124"/>
  <c r="G85" i="124"/>
  <c r="G42" i="124"/>
  <c r="G217" i="133"/>
  <c r="G284" i="133"/>
  <c r="G459" i="130"/>
  <c r="G415" i="130"/>
  <c r="G327" i="130"/>
  <c r="G63" i="130"/>
  <c r="G436" i="127"/>
  <c r="G19" i="126"/>
  <c r="G282" i="128"/>
  <c r="G260" i="127"/>
  <c r="G284" i="127"/>
  <c r="G87" i="128"/>
  <c r="G20" i="125"/>
  <c r="G19" i="123"/>
  <c r="G129" i="133"/>
  <c r="G109" i="133"/>
  <c r="G42" i="132"/>
  <c r="G64" i="132"/>
  <c r="G304" i="131"/>
  <c r="F132" i="131"/>
  <c r="G128" i="131"/>
  <c r="G86" i="131"/>
  <c r="G329" i="131"/>
  <c r="G239" i="130"/>
  <c r="G153" i="130"/>
  <c r="G637" i="129"/>
  <c r="F506" i="129"/>
  <c r="G504" i="129"/>
  <c r="G417" i="129"/>
  <c r="G241" i="129"/>
  <c r="G18" i="129"/>
  <c r="G657" i="129"/>
  <c r="G129" i="129"/>
  <c r="G42" i="129"/>
  <c r="G63" i="120"/>
  <c r="G173" i="122"/>
  <c r="E418" i="130"/>
  <c r="G218" i="124"/>
  <c r="F308" i="131"/>
  <c r="G218" i="133"/>
  <c r="E374" i="130"/>
  <c r="G372" i="130"/>
  <c r="F352" i="130"/>
  <c r="G131" i="130"/>
  <c r="G21" i="120"/>
  <c r="E22" i="125"/>
  <c r="G130" i="125"/>
  <c r="G40" i="125"/>
  <c r="G219" i="123"/>
  <c r="G173" i="123"/>
  <c r="G172" i="123"/>
  <c r="E132" i="123"/>
  <c r="G128" i="123"/>
  <c r="G129" i="123"/>
  <c r="G42" i="123"/>
  <c r="G195" i="123"/>
  <c r="G107" i="123"/>
  <c r="G62" i="123"/>
  <c r="G150" i="122"/>
  <c r="G152" i="122"/>
  <c r="G106" i="122"/>
  <c r="E110" i="122"/>
  <c r="F66" i="122"/>
  <c r="G20" i="122"/>
  <c r="G128" i="122"/>
  <c r="F88" i="122"/>
  <c r="G42" i="122"/>
  <c r="G348" i="131"/>
  <c r="G260" i="131"/>
  <c r="F176" i="131"/>
  <c r="G84" i="131"/>
  <c r="F330" i="131"/>
  <c r="G326" i="131"/>
  <c r="G284" i="131"/>
  <c r="G197" i="131"/>
  <c r="E198" i="131"/>
  <c r="F154" i="131"/>
  <c r="G109" i="131"/>
  <c r="G108" i="131"/>
  <c r="G63" i="131"/>
  <c r="E22" i="131"/>
  <c r="G461" i="130"/>
  <c r="G460" i="130"/>
  <c r="G417" i="130"/>
  <c r="F330" i="130"/>
  <c r="G329" i="130"/>
  <c r="E330" i="130"/>
  <c r="G326" i="130"/>
  <c r="G284" i="130"/>
  <c r="E242" i="130"/>
  <c r="G151" i="130"/>
  <c r="G106" i="130"/>
  <c r="G20" i="130"/>
  <c r="G18" i="130"/>
  <c r="F440" i="130"/>
  <c r="G395" i="130"/>
  <c r="E396" i="130"/>
  <c r="G394" i="130"/>
  <c r="G218" i="130"/>
  <c r="G173" i="130"/>
  <c r="F88" i="130"/>
  <c r="G41" i="130"/>
  <c r="G548" i="129"/>
  <c r="G701" i="129"/>
  <c r="G656" i="129"/>
  <c r="E352" i="128"/>
  <c r="G263" i="128"/>
  <c r="G260" i="128"/>
  <c r="G217" i="128"/>
  <c r="G216" i="128"/>
  <c r="F132" i="128"/>
  <c r="G238" i="128"/>
  <c r="G152" i="128"/>
  <c r="G62" i="128"/>
  <c r="G64" i="128"/>
  <c r="E286" i="128"/>
  <c r="G62" i="126"/>
  <c r="G218" i="126"/>
  <c r="G172" i="126"/>
  <c r="G42" i="126"/>
  <c r="G239" i="131"/>
  <c r="G438" i="129"/>
  <c r="G197" i="128"/>
  <c r="G109" i="125"/>
  <c r="G108" i="125"/>
  <c r="F22" i="125"/>
  <c r="F220" i="124"/>
  <c r="E154" i="124"/>
  <c r="G108" i="124"/>
  <c r="G107" i="124"/>
  <c r="E22" i="124"/>
  <c r="G64" i="122"/>
  <c r="F132" i="133"/>
  <c r="E132" i="133"/>
  <c r="G43" i="133"/>
  <c r="F242" i="133"/>
  <c r="G128" i="132"/>
  <c r="G505" i="129"/>
  <c r="G153" i="129"/>
  <c r="G109" i="129"/>
  <c r="G20" i="129"/>
  <c r="G614" i="129"/>
  <c r="G569" i="129"/>
  <c r="G395" i="129"/>
  <c r="G304" i="129"/>
  <c r="G262" i="127"/>
  <c r="G41" i="127"/>
  <c r="F418" i="127"/>
  <c r="G370" i="127"/>
  <c r="G282" i="127"/>
  <c r="G106" i="127"/>
  <c r="G238" i="126"/>
  <c r="E198" i="126"/>
  <c r="G18" i="126"/>
  <c r="F220" i="126"/>
  <c r="G20" i="120"/>
  <c r="F352" i="131"/>
  <c r="G261" i="131"/>
  <c r="F220" i="131"/>
  <c r="F66" i="131"/>
  <c r="G65" i="130"/>
  <c r="F308" i="130"/>
  <c r="G414" i="129"/>
  <c r="F374" i="129"/>
  <c r="G238" i="129"/>
  <c r="G128" i="129"/>
  <c r="F176" i="124"/>
  <c r="G153" i="124"/>
  <c r="E110" i="124"/>
  <c r="F22" i="124"/>
  <c r="G151" i="123"/>
  <c r="F176" i="133"/>
  <c r="E88" i="120"/>
  <c r="G86" i="120"/>
  <c r="G43" i="120"/>
  <c r="G41" i="120"/>
  <c r="G151" i="120"/>
  <c r="G62" i="120"/>
  <c r="F22" i="120"/>
  <c r="G65" i="125"/>
  <c r="G131" i="125"/>
  <c r="E88" i="125"/>
  <c r="G85" i="125"/>
  <c r="G84" i="125"/>
  <c r="G41" i="125"/>
  <c r="F44" i="125"/>
  <c r="E220" i="124"/>
  <c r="F132" i="124"/>
  <c r="G43" i="124"/>
  <c r="F154" i="124"/>
  <c r="G106" i="124"/>
  <c r="G20" i="124"/>
  <c r="G19" i="122"/>
  <c r="G18" i="122"/>
  <c r="G262" i="133"/>
  <c r="E220" i="133"/>
  <c r="G174" i="133"/>
  <c r="E176" i="133"/>
  <c r="G175" i="133"/>
  <c r="F88" i="133"/>
  <c r="G40" i="133"/>
  <c r="F198" i="133"/>
  <c r="G197" i="133"/>
  <c r="F154" i="133"/>
  <c r="G152" i="133"/>
  <c r="G106" i="133"/>
  <c r="F66" i="133"/>
  <c r="E66" i="133"/>
  <c r="G218" i="132"/>
  <c r="G173" i="132"/>
  <c r="G87" i="120"/>
  <c r="G85" i="120"/>
  <c r="G86" i="125"/>
  <c r="G219" i="124"/>
  <c r="G216" i="124"/>
  <c r="G174" i="124"/>
  <c r="G240" i="124"/>
  <c r="G241" i="124"/>
  <c r="E44" i="123"/>
  <c r="G174" i="122"/>
  <c r="G87" i="133"/>
  <c r="G150" i="133"/>
  <c r="G65" i="133"/>
  <c r="G20" i="133"/>
  <c r="G217" i="132"/>
  <c r="E176" i="132"/>
  <c r="G174" i="132"/>
  <c r="F132" i="132"/>
  <c r="E88" i="132"/>
  <c r="E44" i="132"/>
  <c r="G196" i="132"/>
  <c r="F154" i="132"/>
  <c r="G152" i="132"/>
  <c r="G107" i="132"/>
  <c r="E66" i="132"/>
  <c r="G63" i="132"/>
  <c r="G65" i="132"/>
  <c r="G306" i="131"/>
  <c r="G307" i="131"/>
  <c r="G130" i="131"/>
  <c r="G131" i="131"/>
  <c r="E132" i="131"/>
  <c r="G282" i="131"/>
  <c r="G106" i="131"/>
  <c r="G195" i="130"/>
  <c r="G62" i="130"/>
  <c r="G304" i="130"/>
  <c r="G217" i="130"/>
  <c r="F132" i="130"/>
  <c r="G592" i="129"/>
  <c r="G458" i="129"/>
  <c r="G415" i="129"/>
  <c r="E418" i="129"/>
  <c r="G373" i="129"/>
  <c r="G372" i="129"/>
  <c r="G326" i="129"/>
  <c r="F286" i="129"/>
  <c r="G284" i="129"/>
  <c r="F242" i="129"/>
  <c r="F154" i="129"/>
  <c r="F155" i="129" s="1"/>
  <c r="G106" i="129"/>
  <c r="G64" i="129"/>
  <c r="E66" i="129"/>
  <c r="G702" i="129"/>
  <c r="E660" i="129"/>
  <c r="G658" i="129"/>
  <c r="E616" i="129"/>
  <c r="G612" i="129"/>
  <c r="G570" i="129"/>
  <c r="G480" i="129"/>
  <c r="G436" i="129"/>
  <c r="G394" i="129"/>
  <c r="G262" i="129"/>
  <c r="G261" i="129"/>
  <c r="G216" i="129"/>
  <c r="G217" i="129"/>
  <c r="F220" i="129"/>
  <c r="G218" i="129"/>
  <c r="G172" i="129"/>
  <c r="G173" i="129"/>
  <c r="E88" i="129"/>
  <c r="F88" i="129"/>
  <c r="E44" i="129"/>
  <c r="G43" i="129"/>
  <c r="G218" i="128"/>
  <c r="G174" i="128"/>
  <c r="G131" i="128"/>
  <c r="E44" i="128"/>
  <c r="G194" i="128"/>
  <c r="G108" i="128"/>
  <c r="G437" i="127"/>
  <c r="G393" i="127"/>
  <c r="G394" i="127"/>
  <c r="E352" i="127"/>
  <c r="E308" i="127"/>
  <c r="E264" i="127"/>
  <c r="E88" i="127"/>
  <c r="G87" i="127"/>
  <c r="G86" i="127"/>
  <c r="G40" i="127"/>
  <c r="G42" i="127"/>
  <c r="F374" i="127"/>
  <c r="G328" i="127"/>
  <c r="G327" i="127"/>
  <c r="E286" i="127"/>
  <c r="G152" i="127"/>
  <c r="G62" i="127"/>
  <c r="G19" i="127"/>
  <c r="G241" i="126"/>
  <c r="G196" i="126"/>
  <c r="G152" i="126"/>
  <c r="G150" i="126"/>
  <c r="F110" i="126"/>
  <c r="F22" i="126"/>
  <c r="G21" i="126"/>
  <c r="E176" i="126"/>
  <c r="G129" i="126"/>
  <c r="G128" i="126"/>
  <c r="E44" i="126"/>
  <c r="F44" i="131"/>
  <c r="G19" i="130"/>
  <c r="G700" i="129"/>
  <c r="G239" i="128"/>
  <c r="G40" i="124"/>
  <c r="G64" i="123"/>
  <c r="G153" i="122"/>
  <c r="G64" i="133"/>
  <c r="G129" i="132"/>
  <c r="G87" i="132"/>
  <c r="G86" i="132"/>
  <c r="G150" i="132"/>
  <c r="G151" i="132"/>
  <c r="G21" i="132"/>
  <c r="G153" i="131"/>
  <c r="G107" i="131"/>
  <c r="G64" i="131"/>
  <c r="G43" i="130"/>
  <c r="G305" i="128"/>
  <c r="G128" i="128"/>
  <c r="G21" i="128"/>
  <c r="G304" i="127"/>
  <c r="G84" i="127"/>
  <c r="E44" i="127"/>
  <c r="E45" i="127" s="1"/>
  <c r="G285" i="127"/>
  <c r="E154" i="127"/>
  <c r="G153" i="127"/>
  <c r="G108" i="127"/>
  <c r="E42" i="102"/>
  <c r="E40" i="102"/>
  <c r="E37" i="102"/>
  <c r="E35" i="102"/>
  <c r="E33" i="102"/>
  <c r="E31" i="102"/>
  <c r="E29" i="102"/>
  <c r="F40" i="102"/>
  <c r="F35" i="102"/>
  <c r="F31" i="102"/>
  <c r="F43" i="102"/>
  <c r="F41" i="102"/>
  <c r="F39" i="102"/>
  <c r="F36" i="102"/>
  <c r="F34" i="102"/>
  <c r="F32" i="102"/>
  <c r="F30" i="102"/>
  <c r="F42" i="102"/>
  <c r="F37" i="102"/>
  <c r="F33" i="102"/>
  <c r="F29" i="102"/>
  <c r="E36" i="102"/>
  <c r="E39" i="102"/>
  <c r="E30" i="102"/>
  <c r="E41" i="102"/>
  <c r="E32" i="102"/>
  <c r="E43" i="102"/>
  <c r="E34" i="102"/>
  <c r="C26" i="102"/>
  <c r="E130" i="102"/>
  <c r="E128" i="102"/>
  <c r="E125" i="102"/>
  <c r="E123" i="102"/>
  <c r="E121" i="102"/>
  <c r="E119" i="102"/>
  <c r="E117" i="102"/>
  <c r="F130" i="102"/>
  <c r="F125" i="102"/>
  <c r="F121" i="102"/>
  <c r="F117" i="102"/>
  <c r="F131" i="102"/>
  <c r="F129" i="102"/>
  <c r="F127" i="102"/>
  <c r="F124" i="102"/>
  <c r="F122" i="102"/>
  <c r="F120" i="102"/>
  <c r="F118" i="102"/>
  <c r="C114" i="102"/>
  <c r="F128" i="102"/>
  <c r="F123" i="102"/>
  <c r="F119" i="102"/>
  <c r="E124" i="102"/>
  <c r="G134" i="102"/>
  <c r="E127" i="102"/>
  <c r="E118" i="102"/>
  <c r="E129" i="102"/>
  <c r="E120" i="102"/>
  <c r="E131" i="102"/>
  <c r="E122" i="102"/>
  <c r="E218" i="102"/>
  <c r="E216" i="102"/>
  <c r="E213" i="102"/>
  <c r="E211" i="102"/>
  <c r="E209" i="102"/>
  <c r="E207" i="102"/>
  <c r="E205" i="102"/>
  <c r="C202" i="102"/>
  <c r="F218" i="102"/>
  <c r="F213" i="102"/>
  <c r="F209" i="102"/>
  <c r="F205" i="102"/>
  <c r="F219" i="102"/>
  <c r="F217" i="102"/>
  <c r="F215" i="102"/>
  <c r="F212" i="102"/>
  <c r="F210" i="102"/>
  <c r="F208" i="102"/>
  <c r="F206" i="102"/>
  <c r="F216" i="102"/>
  <c r="F211" i="102"/>
  <c r="F207" i="102"/>
  <c r="E212" i="102"/>
  <c r="E215" i="102"/>
  <c r="E206" i="102"/>
  <c r="G222" i="102"/>
  <c r="E217" i="102"/>
  <c r="E208" i="102"/>
  <c r="E219" i="102"/>
  <c r="E210" i="102"/>
  <c r="E262" i="102"/>
  <c r="E260" i="102"/>
  <c r="E257" i="102"/>
  <c r="E255" i="102"/>
  <c r="E253" i="102"/>
  <c r="E251" i="102"/>
  <c r="E249" i="102"/>
  <c r="F260" i="102"/>
  <c r="F255" i="102"/>
  <c r="F251" i="102"/>
  <c r="F263" i="102"/>
  <c r="F261" i="102"/>
  <c r="F259" i="102"/>
  <c r="F256" i="102"/>
  <c r="F254" i="102"/>
  <c r="F252" i="102"/>
  <c r="F250" i="102"/>
  <c r="C246" i="102"/>
  <c r="F262" i="102"/>
  <c r="F257" i="102"/>
  <c r="F253" i="102"/>
  <c r="F249" i="102"/>
  <c r="E261" i="102"/>
  <c r="E252" i="102"/>
  <c r="E263" i="102"/>
  <c r="E254" i="102"/>
  <c r="E256" i="102"/>
  <c r="E259" i="102"/>
  <c r="E250" i="102"/>
  <c r="E20" i="102"/>
  <c r="E18" i="102"/>
  <c r="E15" i="102"/>
  <c r="E13" i="102"/>
  <c r="E11" i="102"/>
  <c r="E9" i="102"/>
  <c r="E7" i="102"/>
  <c r="G24" i="102"/>
  <c r="F20" i="102"/>
  <c r="F15" i="102"/>
  <c r="F11" i="102"/>
  <c r="F7" i="102"/>
  <c r="F21" i="102"/>
  <c r="F19" i="102"/>
  <c r="F17" i="102"/>
  <c r="F14" i="102"/>
  <c r="F12" i="102"/>
  <c r="F10" i="102"/>
  <c r="F8" i="102"/>
  <c r="F18" i="102"/>
  <c r="F13" i="102"/>
  <c r="F9" i="102"/>
  <c r="E21" i="102"/>
  <c r="E12" i="102"/>
  <c r="E14" i="102"/>
  <c r="E17" i="102"/>
  <c r="E8" i="102"/>
  <c r="C4" i="102"/>
  <c r="E19" i="102"/>
  <c r="E10" i="102"/>
  <c r="E64" i="102"/>
  <c r="E62" i="102"/>
  <c r="E59" i="102"/>
  <c r="E57" i="102"/>
  <c r="E55" i="102"/>
  <c r="E53" i="102"/>
  <c r="E51" i="102"/>
  <c r="F64" i="102"/>
  <c r="F59" i="102"/>
  <c r="F55" i="102"/>
  <c r="F51" i="102"/>
  <c r="F65" i="102"/>
  <c r="F63" i="102"/>
  <c r="F61" i="102"/>
  <c r="F58" i="102"/>
  <c r="F56" i="102"/>
  <c r="F54" i="102"/>
  <c r="F52" i="102"/>
  <c r="F62" i="102"/>
  <c r="F57" i="102"/>
  <c r="F53" i="102"/>
  <c r="G68" i="102"/>
  <c r="E61" i="102"/>
  <c r="E52" i="102"/>
  <c r="C48" i="102"/>
  <c r="E63" i="102"/>
  <c r="E54" i="102"/>
  <c r="E65" i="102"/>
  <c r="E56" i="102"/>
  <c r="E58" i="102"/>
  <c r="E108" i="102"/>
  <c r="E106" i="102"/>
  <c r="E103" i="102"/>
  <c r="E101" i="102"/>
  <c r="E99" i="102"/>
  <c r="E97" i="102"/>
  <c r="E95" i="102"/>
  <c r="F106" i="102"/>
  <c r="F101" i="102"/>
  <c r="F97" i="102"/>
  <c r="F109" i="102"/>
  <c r="F107" i="102"/>
  <c r="F105" i="102"/>
  <c r="F102" i="102"/>
  <c r="F100" i="102"/>
  <c r="F98" i="102"/>
  <c r="F96" i="102"/>
  <c r="C92" i="102"/>
  <c r="F108" i="102"/>
  <c r="F103" i="102"/>
  <c r="F99" i="102"/>
  <c r="F95" i="102"/>
  <c r="E109" i="102"/>
  <c r="E100" i="102"/>
  <c r="E102" i="102"/>
  <c r="E105" i="102"/>
  <c r="E96" i="102"/>
  <c r="E107" i="102"/>
  <c r="E98" i="102"/>
  <c r="G112" i="102"/>
  <c r="E152" i="102"/>
  <c r="E150" i="102"/>
  <c r="E147" i="102"/>
  <c r="E145" i="102"/>
  <c r="E143" i="102"/>
  <c r="E141" i="102"/>
  <c r="E139" i="102"/>
  <c r="F150" i="102"/>
  <c r="F145" i="102"/>
  <c r="F141" i="102"/>
  <c r="F153" i="102"/>
  <c r="F151" i="102"/>
  <c r="F149" i="102"/>
  <c r="F146" i="102"/>
  <c r="F144" i="102"/>
  <c r="F142" i="102"/>
  <c r="F140" i="102"/>
  <c r="C136" i="102"/>
  <c r="F152" i="102"/>
  <c r="F147" i="102"/>
  <c r="F143" i="102"/>
  <c r="F139" i="102"/>
  <c r="E149" i="102"/>
  <c r="E140" i="102"/>
  <c r="E151" i="102"/>
  <c r="E142" i="102"/>
  <c r="G156" i="102"/>
  <c r="E153" i="102"/>
  <c r="E144" i="102"/>
  <c r="E146" i="102"/>
  <c r="E196" i="102"/>
  <c r="E194" i="102"/>
  <c r="E191" i="102"/>
  <c r="E189" i="102"/>
  <c r="E187" i="102"/>
  <c r="E185" i="102"/>
  <c r="E183" i="102"/>
  <c r="C180" i="102"/>
  <c r="F194" i="102"/>
  <c r="F189" i="102"/>
  <c r="F185" i="102"/>
  <c r="F197" i="102"/>
  <c r="F195" i="102"/>
  <c r="F193" i="102"/>
  <c r="F190" i="102"/>
  <c r="F188" i="102"/>
  <c r="F186" i="102"/>
  <c r="F184" i="102"/>
  <c r="G200" i="102"/>
  <c r="F196" i="102"/>
  <c r="F191" i="102"/>
  <c r="F187" i="102"/>
  <c r="F183" i="102"/>
  <c r="E197" i="102"/>
  <c r="E188" i="102"/>
  <c r="E190" i="102"/>
  <c r="E193" i="102"/>
  <c r="E184" i="102"/>
  <c r="E195" i="102"/>
  <c r="E186" i="102"/>
  <c r="E240" i="102"/>
  <c r="E238" i="102"/>
  <c r="E235" i="102"/>
  <c r="E233" i="102"/>
  <c r="E231" i="102"/>
  <c r="E229" i="102"/>
  <c r="E227" i="102"/>
  <c r="F240" i="102"/>
  <c r="F235" i="102"/>
  <c r="F233" i="102"/>
  <c r="F229" i="102"/>
  <c r="F241" i="102"/>
  <c r="F239" i="102"/>
  <c r="F237" i="102"/>
  <c r="F234" i="102"/>
  <c r="F232" i="102"/>
  <c r="F230" i="102"/>
  <c r="F228" i="102"/>
  <c r="C224" i="102"/>
  <c r="F238" i="102"/>
  <c r="F231" i="102"/>
  <c r="F227" i="102"/>
  <c r="E237" i="102"/>
  <c r="E228" i="102"/>
  <c r="E239" i="102"/>
  <c r="E230" i="102"/>
  <c r="E241" i="102"/>
  <c r="E232" i="102"/>
  <c r="G244" i="102"/>
  <c r="E234" i="102"/>
  <c r="E284" i="102"/>
  <c r="E282" i="102"/>
  <c r="E279" i="102"/>
  <c r="E277" i="102"/>
  <c r="E275" i="102"/>
  <c r="E273" i="102"/>
  <c r="E271" i="102"/>
  <c r="F284" i="102"/>
  <c r="F279" i="102"/>
  <c r="F275" i="102"/>
  <c r="F271" i="102"/>
  <c r="F285" i="102"/>
  <c r="F283" i="102"/>
  <c r="F281" i="102"/>
  <c r="F278" i="102"/>
  <c r="F276" i="102"/>
  <c r="F274" i="102"/>
  <c r="F272" i="102"/>
  <c r="G288" i="102"/>
  <c r="C268" i="102"/>
  <c r="F282" i="102"/>
  <c r="F277" i="102"/>
  <c r="F273" i="102"/>
  <c r="E285" i="102"/>
  <c r="E276" i="102"/>
  <c r="E281" i="102"/>
  <c r="E283" i="102"/>
  <c r="E278" i="102"/>
  <c r="E272" i="102"/>
  <c r="E274" i="102"/>
  <c r="E86" i="102"/>
  <c r="E84" i="102"/>
  <c r="E81" i="102"/>
  <c r="E79" i="102"/>
  <c r="E77" i="102"/>
  <c r="E75" i="102"/>
  <c r="E73" i="102"/>
  <c r="F86" i="102"/>
  <c r="F81" i="102"/>
  <c r="F75" i="102"/>
  <c r="G90" i="102"/>
  <c r="F87" i="102"/>
  <c r="F85" i="102"/>
  <c r="F83" i="102"/>
  <c r="F80" i="102"/>
  <c r="F78" i="102"/>
  <c r="F76" i="102"/>
  <c r="F74" i="102"/>
  <c r="C70" i="102"/>
  <c r="F84" i="102"/>
  <c r="F79" i="102"/>
  <c r="F77" i="102"/>
  <c r="F73" i="102"/>
  <c r="E85" i="102"/>
  <c r="E76" i="102"/>
  <c r="E87" i="102"/>
  <c r="E78" i="102"/>
  <c r="E80" i="102"/>
  <c r="E83" i="102"/>
  <c r="E74" i="102"/>
  <c r="E174" i="102"/>
  <c r="E172" i="102"/>
  <c r="E169" i="102"/>
  <c r="E167" i="102"/>
  <c r="E165" i="102"/>
  <c r="E163" i="102"/>
  <c r="E161" i="102"/>
  <c r="F174" i="102"/>
  <c r="F169" i="102"/>
  <c r="F165" i="102"/>
  <c r="F161" i="102"/>
  <c r="F175" i="102"/>
  <c r="F173" i="102"/>
  <c r="F171" i="102"/>
  <c r="F168" i="102"/>
  <c r="F166" i="102"/>
  <c r="F164" i="102"/>
  <c r="F162" i="102"/>
  <c r="G178" i="102"/>
  <c r="C158" i="102"/>
  <c r="F172" i="102"/>
  <c r="F167" i="102"/>
  <c r="F163" i="102"/>
  <c r="E173" i="102"/>
  <c r="E164" i="102"/>
  <c r="E175" i="102"/>
  <c r="E166" i="102"/>
  <c r="E168" i="102"/>
  <c r="E171" i="102"/>
  <c r="E162" i="102"/>
  <c r="E306" i="102"/>
  <c r="E304" i="102"/>
  <c r="E301" i="102"/>
  <c r="E299" i="102"/>
  <c r="E297" i="102"/>
  <c r="E295" i="102"/>
  <c r="E293" i="102"/>
  <c r="C290" i="102"/>
  <c r="F304" i="102"/>
  <c r="F299" i="102"/>
  <c r="F295" i="102"/>
  <c r="E307" i="102"/>
  <c r="E300" i="102"/>
  <c r="F307" i="102"/>
  <c r="F305" i="102"/>
  <c r="F303" i="102"/>
  <c r="F300" i="102"/>
  <c r="F298" i="102"/>
  <c r="F296" i="102"/>
  <c r="F294" i="102"/>
  <c r="F306" i="102"/>
  <c r="F301" i="102"/>
  <c r="F297" i="102"/>
  <c r="F293" i="102"/>
  <c r="E305" i="102"/>
  <c r="E303" i="102"/>
  <c r="E294" i="102"/>
  <c r="G310" i="102"/>
  <c r="E296" i="102"/>
  <c r="E298" i="102"/>
  <c r="E86" i="52"/>
  <c r="E84" i="52"/>
  <c r="E81" i="52"/>
  <c r="E79" i="52"/>
  <c r="E77" i="52"/>
  <c r="E75" i="52"/>
  <c r="E73" i="52"/>
  <c r="F87" i="52"/>
  <c r="F85" i="52"/>
  <c r="F83" i="52"/>
  <c r="F80" i="52"/>
  <c r="F78" i="52"/>
  <c r="F76" i="52"/>
  <c r="F74" i="52"/>
  <c r="F86" i="52"/>
  <c r="F81" i="52"/>
  <c r="F77" i="52"/>
  <c r="F73" i="52"/>
  <c r="E87" i="52"/>
  <c r="E83" i="52"/>
  <c r="E78" i="52"/>
  <c r="E74" i="52"/>
  <c r="F84" i="52"/>
  <c r="F75" i="52"/>
  <c r="G90" i="52"/>
  <c r="C70" i="52"/>
  <c r="E85" i="52"/>
  <c r="E76" i="52"/>
  <c r="F79" i="52"/>
  <c r="E80" i="52"/>
  <c r="E196" i="52"/>
  <c r="E194" i="52"/>
  <c r="E191" i="52"/>
  <c r="E189" i="52"/>
  <c r="E187" i="52"/>
  <c r="E185" i="52"/>
  <c r="E183" i="52"/>
  <c r="F197" i="52"/>
  <c r="F195" i="52"/>
  <c r="F193" i="52"/>
  <c r="F190" i="52"/>
  <c r="F188" i="52"/>
  <c r="F186" i="52"/>
  <c r="F184" i="52"/>
  <c r="F194" i="52"/>
  <c r="F189" i="52"/>
  <c r="F185" i="52"/>
  <c r="E195" i="52"/>
  <c r="E190" i="52"/>
  <c r="E186" i="52"/>
  <c r="F196" i="52"/>
  <c r="F187" i="52"/>
  <c r="F191" i="52"/>
  <c r="E197" i="52"/>
  <c r="E188" i="52"/>
  <c r="F183" i="52"/>
  <c r="E193" i="52"/>
  <c r="C180" i="52"/>
  <c r="G200" i="52"/>
  <c r="E184" i="52"/>
  <c r="E372" i="52"/>
  <c r="E370" i="52"/>
  <c r="E367" i="52"/>
  <c r="E365" i="52"/>
  <c r="E363" i="52"/>
  <c r="E361" i="52"/>
  <c r="E359" i="52"/>
  <c r="F373" i="52"/>
  <c r="F371" i="52"/>
  <c r="F369" i="52"/>
  <c r="F366" i="52"/>
  <c r="F364" i="52"/>
  <c r="F362" i="52"/>
  <c r="F360" i="52"/>
  <c r="F370" i="52"/>
  <c r="F365" i="52"/>
  <c r="F361" i="52"/>
  <c r="E371" i="52"/>
  <c r="E366" i="52"/>
  <c r="E362" i="52"/>
  <c r="F372" i="52"/>
  <c r="F363" i="52"/>
  <c r="F367" i="52"/>
  <c r="E373" i="52"/>
  <c r="E364" i="52"/>
  <c r="C356" i="52"/>
  <c r="F359" i="52"/>
  <c r="G376" i="52"/>
  <c r="E369" i="52"/>
  <c r="E360" i="52"/>
  <c r="E548" i="52"/>
  <c r="E546" i="52"/>
  <c r="E543" i="52"/>
  <c r="E541" i="52"/>
  <c r="E539" i="52"/>
  <c r="E537" i="52"/>
  <c r="E535" i="52"/>
  <c r="F549" i="52"/>
  <c r="F547" i="52"/>
  <c r="F545" i="52"/>
  <c r="F542" i="52"/>
  <c r="F540" i="52"/>
  <c r="F538" i="52"/>
  <c r="F536" i="52"/>
  <c r="F546" i="52"/>
  <c r="F541" i="52"/>
  <c r="F537" i="52"/>
  <c r="E547" i="52"/>
  <c r="E542" i="52"/>
  <c r="E538" i="52"/>
  <c r="F548" i="52"/>
  <c r="F539" i="52"/>
  <c r="C532" i="52"/>
  <c r="F543" i="52"/>
  <c r="E549" i="52"/>
  <c r="E540" i="52"/>
  <c r="F535" i="52"/>
  <c r="E545" i="52"/>
  <c r="E536" i="52"/>
  <c r="G552" i="52"/>
  <c r="E724" i="52"/>
  <c r="E722" i="52"/>
  <c r="E719" i="52"/>
  <c r="E717" i="52"/>
  <c r="E715" i="52"/>
  <c r="E713" i="52"/>
  <c r="E711" i="52"/>
  <c r="F725" i="52"/>
  <c r="F723" i="52"/>
  <c r="F721" i="52"/>
  <c r="F718" i="52"/>
  <c r="F716" i="52"/>
  <c r="F714" i="52"/>
  <c r="F712" i="52"/>
  <c r="F722" i="52"/>
  <c r="F717" i="52"/>
  <c r="F713" i="52"/>
  <c r="E723" i="52"/>
  <c r="E718" i="52"/>
  <c r="E714" i="52"/>
  <c r="F724" i="52"/>
  <c r="F715" i="52"/>
  <c r="F711" i="52"/>
  <c r="E725" i="52"/>
  <c r="E716" i="52"/>
  <c r="C708" i="52"/>
  <c r="F719" i="52"/>
  <c r="G728" i="52"/>
  <c r="E712" i="52"/>
  <c r="E721" i="52"/>
  <c r="E988" i="52"/>
  <c r="E986" i="52"/>
  <c r="E983" i="52"/>
  <c r="E981" i="52"/>
  <c r="E979" i="52"/>
  <c r="E977" i="52"/>
  <c r="E975" i="52"/>
  <c r="E989" i="52"/>
  <c r="F986" i="52"/>
  <c r="F982" i="52"/>
  <c r="E980" i="52"/>
  <c r="F977" i="52"/>
  <c r="F988" i="52"/>
  <c r="F985" i="52"/>
  <c r="E982" i="52"/>
  <c r="F979" i="52"/>
  <c r="F976" i="52"/>
  <c r="E987" i="52"/>
  <c r="F980" i="52"/>
  <c r="F975" i="52"/>
  <c r="E985" i="52"/>
  <c r="F978" i="52"/>
  <c r="F987" i="52"/>
  <c r="E976" i="52"/>
  <c r="F989" i="52"/>
  <c r="E978" i="52"/>
  <c r="G978" i="52" s="1"/>
  <c r="F981" i="52"/>
  <c r="G992" i="52"/>
  <c r="C972" i="52"/>
  <c r="F983" i="52"/>
  <c r="E1164" i="52"/>
  <c r="E1162" i="52"/>
  <c r="E1159" i="52"/>
  <c r="E1157" i="52"/>
  <c r="E1155" i="52"/>
  <c r="E1153" i="52"/>
  <c r="E1151" i="52"/>
  <c r="E1165" i="52"/>
  <c r="F1162" i="52"/>
  <c r="F1158" i="52"/>
  <c r="E1156" i="52"/>
  <c r="F1153" i="52"/>
  <c r="F1164" i="52"/>
  <c r="F1161" i="52"/>
  <c r="E1158" i="52"/>
  <c r="F1155" i="52"/>
  <c r="F1152" i="52"/>
  <c r="E1163" i="52"/>
  <c r="F1156" i="52"/>
  <c r="F1151" i="52"/>
  <c r="G1168" i="52"/>
  <c r="E1161" i="52"/>
  <c r="F1154" i="52"/>
  <c r="F1157" i="52"/>
  <c r="F1159" i="52"/>
  <c r="E1152" i="52"/>
  <c r="E1154" i="52"/>
  <c r="C1148" i="52"/>
  <c r="F1163" i="52"/>
  <c r="F1165" i="52"/>
  <c r="E1340" i="52"/>
  <c r="E1338" i="52"/>
  <c r="E1335" i="52"/>
  <c r="E1333" i="52"/>
  <c r="E1331" i="52"/>
  <c r="E1329" i="52"/>
  <c r="E1327" i="52"/>
  <c r="E1341" i="52"/>
  <c r="F1338" i="52"/>
  <c r="F1334" i="52"/>
  <c r="E1332" i="52"/>
  <c r="F1329" i="52"/>
  <c r="F1340" i="52"/>
  <c r="F1337" i="52"/>
  <c r="E1334" i="52"/>
  <c r="F1331" i="52"/>
  <c r="F1328" i="52"/>
  <c r="E1339" i="52"/>
  <c r="F1332" i="52"/>
  <c r="F1327" i="52"/>
  <c r="E1337" i="52"/>
  <c r="F1330" i="52"/>
  <c r="G1344" i="52"/>
  <c r="F1339" i="52"/>
  <c r="E1328" i="52"/>
  <c r="F1341" i="52"/>
  <c r="E1330" i="52"/>
  <c r="C1324" i="52"/>
  <c r="F1333" i="52"/>
  <c r="F1335" i="52"/>
  <c r="E1516" i="52"/>
  <c r="E1514" i="52"/>
  <c r="E1511" i="52"/>
  <c r="E1509" i="52"/>
  <c r="E1507" i="52"/>
  <c r="E1505" i="52"/>
  <c r="E1503" i="52"/>
  <c r="E1517" i="52"/>
  <c r="F1514" i="52"/>
  <c r="F1510" i="52"/>
  <c r="E1508" i="52"/>
  <c r="F1505" i="52"/>
  <c r="F1516" i="52"/>
  <c r="F1513" i="52"/>
  <c r="E1510" i="52"/>
  <c r="F1507" i="52"/>
  <c r="F1504" i="52"/>
  <c r="E1515" i="52"/>
  <c r="F1508" i="52"/>
  <c r="F1503" i="52"/>
  <c r="C1500" i="52"/>
  <c r="E1513" i="52"/>
  <c r="F1506" i="52"/>
  <c r="F1509" i="52"/>
  <c r="F1511" i="52"/>
  <c r="F1515" i="52"/>
  <c r="G1520" i="52"/>
  <c r="F1517" i="52"/>
  <c r="E1504" i="52"/>
  <c r="E1506" i="52"/>
  <c r="E1692" i="52"/>
  <c r="E1690" i="52"/>
  <c r="E1687" i="52"/>
  <c r="E1685" i="52"/>
  <c r="E1683" i="52"/>
  <c r="E1681" i="52"/>
  <c r="E1679" i="52"/>
  <c r="E1693" i="52"/>
  <c r="F1690" i="52"/>
  <c r="F1686" i="52"/>
  <c r="E1684" i="52"/>
  <c r="F1681" i="52"/>
  <c r="F1692" i="52"/>
  <c r="F1689" i="52"/>
  <c r="E1686" i="52"/>
  <c r="F1683" i="52"/>
  <c r="F1680" i="52"/>
  <c r="E1691" i="52"/>
  <c r="F1684" i="52"/>
  <c r="F1679" i="52"/>
  <c r="C1676" i="52"/>
  <c r="E1689" i="52"/>
  <c r="F1682" i="52"/>
  <c r="F1691" i="52"/>
  <c r="E1680" i="52"/>
  <c r="F1693" i="52"/>
  <c r="E1682" i="52"/>
  <c r="F1685" i="52"/>
  <c r="F1687" i="52"/>
  <c r="G1696" i="52"/>
  <c r="E262" i="52"/>
  <c r="E260" i="52"/>
  <c r="E257" i="52"/>
  <c r="E255" i="52"/>
  <c r="E253" i="52"/>
  <c r="E251" i="52"/>
  <c r="E249" i="52"/>
  <c r="F263" i="52"/>
  <c r="F261" i="52"/>
  <c r="F259" i="52"/>
  <c r="F256" i="52"/>
  <c r="F254" i="52"/>
  <c r="F252" i="52"/>
  <c r="F250" i="52"/>
  <c r="F262" i="52"/>
  <c r="F257" i="52"/>
  <c r="F253" i="52"/>
  <c r="F249" i="52"/>
  <c r="E263" i="52"/>
  <c r="E259" i="52"/>
  <c r="E254" i="52"/>
  <c r="E250" i="52"/>
  <c r="F260" i="52"/>
  <c r="F251" i="52"/>
  <c r="E261" i="52"/>
  <c r="E252" i="52"/>
  <c r="F255" i="52"/>
  <c r="C246" i="52"/>
  <c r="E256" i="52"/>
  <c r="E438" i="52"/>
  <c r="E436" i="52"/>
  <c r="E433" i="52"/>
  <c r="E431" i="52"/>
  <c r="E429" i="52"/>
  <c r="E427" i="52"/>
  <c r="E425" i="52"/>
  <c r="F439" i="52"/>
  <c r="F437" i="52"/>
  <c r="F435" i="52"/>
  <c r="F432" i="52"/>
  <c r="F430" i="52"/>
  <c r="F428" i="52"/>
  <c r="F426" i="52"/>
  <c r="F438" i="52"/>
  <c r="F433" i="52"/>
  <c r="F429" i="52"/>
  <c r="F425" i="52"/>
  <c r="E439" i="52"/>
  <c r="E435" i="52"/>
  <c r="E430" i="52"/>
  <c r="E426" i="52"/>
  <c r="F436" i="52"/>
  <c r="F427" i="52"/>
  <c r="C422" i="52"/>
  <c r="F431" i="52"/>
  <c r="E437" i="52"/>
  <c r="E428" i="52"/>
  <c r="E432" i="52"/>
  <c r="E614" i="52"/>
  <c r="E612" i="52"/>
  <c r="E609" i="52"/>
  <c r="E607" i="52"/>
  <c r="E605" i="52"/>
  <c r="E603" i="52"/>
  <c r="E601" i="52"/>
  <c r="F615" i="52"/>
  <c r="F613" i="52"/>
  <c r="F611" i="52"/>
  <c r="F608" i="52"/>
  <c r="F606" i="52"/>
  <c r="F604" i="52"/>
  <c r="F602" i="52"/>
  <c r="F614" i="52"/>
  <c r="F609" i="52"/>
  <c r="F605" i="52"/>
  <c r="F601" i="52"/>
  <c r="E615" i="52"/>
  <c r="E611" i="52"/>
  <c r="E606" i="52"/>
  <c r="E602" i="52"/>
  <c r="F612" i="52"/>
  <c r="F603" i="52"/>
  <c r="E613" i="52"/>
  <c r="E604" i="52"/>
  <c r="F607" i="52"/>
  <c r="G618" i="52"/>
  <c r="E608" i="52"/>
  <c r="C598" i="52"/>
  <c r="E790" i="52"/>
  <c r="E788" i="52"/>
  <c r="E785" i="52"/>
  <c r="E783" i="52"/>
  <c r="E781" i="52"/>
  <c r="E779" i="52"/>
  <c r="E777" i="52"/>
  <c r="F791" i="52"/>
  <c r="F789" i="52"/>
  <c r="F787" i="52"/>
  <c r="F784" i="52"/>
  <c r="F782" i="52"/>
  <c r="F780" i="52"/>
  <c r="F778" i="52"/>
  <c r="F790" i="52"/>
  <c r="F785" i="52"/>
  <c r="F781" i="52"/>
  <c r="F777" i="52"/>
  <c r="E789" i="52"/>
  <c r="E784" i="52"/>
  <c r="E780" i="52"/>
  <c r="E787" i="52"/>
  <c r="E778" i="52"/>
  <c r="F788" i="52"/>
  <c r="F779" i="52"/>
  <c r="E791" i="52"/>
  <c r="E782" i="52"/>
  <c r="C774" i="52"/>
  <c r="F783" i="52"/>
  <c r="E966" i="52"/>
  <c r="E964" i="52"/>
  <c r="E961" i="52"/>
  <c r="E959" i="52"/>
  <c r="E957" i="52"/>
  <c r="E955" i="52"/>
  <c r="E953" i="52"/>
  <c r="F967" i="52"/>
  <c r="E965" i="52"/>
  <c r="F961" i="52"/>
  <c r="F958" i="52"/>
  <c r="E956" i="52"/>
  <c r="F953" i="52"/>
  <c r="E967" i="52"/>
  <c r="F964" i="52"/>
  <c r="F960" i="52"/>
  <c r="E958" i="52"/>
  <c r="F955" i="52"/>
  <c r="E963" i="52"/>
  <c r="F956" i="52"/>
  <c r="F966" i="52"/>
  <c r="E960" i="52"/>
  <c r="F954" i="52"/>
  <c r="F957" i="52"/>
  <c r="F959" i="52"/>
  <c r="E954" i="52"/>
  <c r="C950" i="52"/>
  <c r="F963" i="52"/>
  <c r="F965" i="52"/>
  <c r="E1142" i="52"/>
  <c r="E1140" i="52"/>
  <c r="E1137" i="52"/>
  <c r="E1135" i="52"/>
  <c r="E1133" i="52"/>
  <c r="E1131" i="52"/>
  <c r="E1129" i="52"/>
  <c r="F1143" i="52"/>
  <c r="E1141" i="52"/>
  <c r="F1137" i="52"/>
  <c r="F1134" i="52"/>
  <c r="E1132" i="52"/>
  <c r="F1129" i="52"/>
  <c r="E1143" i="52"/>
  <c r="F1140" i="52"/>
  <c r="F1136" i="52"/>
  <c r="E1134" i="52"/>
  <c r="F1131" i="52"/>
  <c r="E1139" i="52"/>
  <c r="F1132" i="52"/>
  <c r="F1142" i="52"/>
  <c r="E1136" i="52"/>
  <c r="F1130" i="52"/>
  <c r="F1139" i="52"/>
  <c r="F1141" i="52"/>
  <c r="E1130" i="52"/>
  <c r="F1133" i="52"/>
  <c r="C1126" i="52"/>
  <c r="F1135" i="52"/>
  <c r="E1318" i="52"/>
  <c r="E1316" i="52"/>
  <c r="E1313" i="52"/>
  <c r="E1311" i="52"/>
  <c r="E1309" i="52"/>
  <c r="E1307" i="52"/>
  <c r="E1305" i="52"/>
  <c r="F1319" i="52"/>
  <c r="E1317" i="52"/>
  <c r="F1313" i="52"/>
  <c r="F1310" i="52"/>
  <c r="E1308" i="52"/>
  <c r="F1305" i="52"/>
  <c r="E1319" i="52"/>
  <c r="F1316" i="52"/>
  <c r="F1312" i="52"/>
  <c r="E1310" i="52"/>
  <c r="F1307" i="52"/>
  <c r="E1315" i="52"/>
  <c r="F1308" i="52"/>
  <c r="F1318" i="52"/>
  <c r="E1312" i="52"/>
  <c r="F1306" i="52"/>
  <c r="C1302" i="52"/>
  <c r="F1309" i="52"/>
  <c r="F1311" i="52"/>
  <c r="F1315" i="52"/>
  <c r="F1317" i="52"/>
  <c r="E1306" i="52"/>
  <c r="E1494" i="52"/>
  <c r="E1492" i="52"/>
  <c r="E1489" i="52"/>
  <c r="E1487" i="52"/>
  <c r="E1485" i="52"/>
  <c r="E1483" i="52"/>
  <c r="E1481" i="52"/>
  <c r="F1495" i="52"/>
  <c r="E1493" i="52"/>
  <c r="F1489" i="52"/>
  <c r="F1486" i="52"/>
  <c r="E1484" i="52"/>
  <c r="F1481" i="52"/>
  <c r="E1495" i="52"/>
  <c r="F1492" i="52"/>
  <c r="F1488" i="52"/>
  <c r="E1486" i="52"/>
  <c r="F1483" i="52"/>
  <c r="E1491" i="52"/>
  <c r="F1484" i="52"/>
  <c r="F1494" i="52"/>
  <c r="E1488" i="52"/>
  <c r="F1482" i="52"/>
  <c r="F1491" i="52"/>
  <c r="C1478" i="52"/>
  <c r="F1493" i="52"/>
  <c r="E1482" i="52"/>
  <c r="F1485" i="52"/>
  <c r="F1487" i="52"/>
  <c r="G1498" i="52"/>
  <c r="E1670" i="52"/>
  <c r="E1668" i="52"/>
  <c r="E1665" i="52"/>
  <c r="E1663" i="52"/>
  <c r="E1661" i="52"/>
  <c r="E1659" i="52"/>
  <c r="E1657" i="52"/>
  <c r="F1671" i="52"/>
  <c r="E1669" i="52"/>
  <c r="F1665" i="52"/>
  <c r="F1662" i="52"/>
  <c r="E1660" i="52"/>
  <c r="F1657" i="52"/>
  <c r="E1671" i="52"/>
  <c r="F1668" i="52"/>
  <c r="F1664" i="52"/>
  <c r="E1662" i="52"/>
  <c r="F1659" i="52"/>
  <c r="E1667" i="52"/>
  <c r="F1660" i="52"/>
  <c r="F1670" i="52"/>
  <c r="E1664" i="52"/>
  <c r="F1658" i="52"/>
  <c r="F1661" i="52"/>
  <c r="C1654" i="52"/>
  <c r="F1663" i="52"/>
  <c r="F1667" i="52"/>
  <c r="E1658" i="52"/>
  <c r="F1669" i="52"/>
  <c r="E64" i="52"/>
  <c r="E62" i="52"/>
  <c r="E59" i="52"/>
  <c r="E57" i="52"/>
  <c r="E55" i="52"/>
  <c r="E53" i="52"/>
  <c r="E51" i="52"/>
  <c r="F65" i="52"/>
  <c r="F63" i="52"/>
  <c r="F61" i="52"/>
  <c r="F58" i="52"/>
  <c r="F56" i="52"/>
  <c r="F54" i="52"/>
  <c r="F52" i="52"/>
  <c r="F62" i="52"/>
  <c r="F57" i="52"/>
  <c r="F53" i="52"/>
  <c r="E63" i="52"/>
  <c r="E58" i="52"/>
  <c r="E54" i="52"/>
  <c r="F59" i="52"/>
  <c r="F51" i="52"/>
  <c r="F64" i="52"/>
  <c r="E61" i="52"/>
  <c r="E52" i="52"/>
  <c r="F55" i="52"/>
  <c r="C48" i="52"/>
  <c r="E65" i="52"/>
  <c r="G68" i="52"/>
  <c r="E56" i="52"/>
  <c r="E108" i="52"/>
  <c r="E106" i="52"/>
  <c r="E103" i="52"/>
  <c r="E101" i="52"/>
  <c r="E99" i="52"/>
  <c r="E97" i="52"/>
  <c r="E95" i="52"/>
  <c r="F109" i="52"/>
  <c r="F107" i="52"/>
  <c r="F105" i="52"/>
  <c r="F102" i="52"/>
  <c r="F100" i="52"/>
  <c r="F98" i="52"/>
  <c r="F96" i="52"/>
  <c r="F106" i="52"/>
  <c r="F101" i="52"/>
  <c r="F97" i="52"/>
  <c r="E107" i="52"/>
  <c r="E102" i="52"/>
  <c r="E98" i="52"/>
  <c r="F108" i="52"/>
  <c r="F99" i="52"/>
  <c r="G112" i="52"/>
  <c r="F103" i="52"/>
  <c r="E109" i="52"/>
  <c r="E100" i="52"/>
  <c r="C92" i="52"/>
  <c r="F95" i="52"/>
  <c r="E96" i="52"/>
  <c r="E105" i="52"/>
  <c r="E152" i="52"/>
  <c r="E150" i="52"/>
  <c r="E147" i="52"/>
  <c r="E145" i="52"/>
  <c r="E143" i="52"/>
  <c r="E141" i="52"/>
  <c r="E139" i="52"/>
  <c r="F153" i="52"/>
  <c r="F151" i="52"/>
  <c r="F149" i="52"/>
  <c r="F146" i="52"/>
  <c r="F144" i="52"/>
  <c r="F142" i="52"/>
  <c r="F140" i="52"/>
  <c r="F150" i="52"/>
  <c r="F145" i="52"/>
  <c r="F141" i="52"/>
  <c r="E151" i="52"/>
  <c r="E146" i="52"/>
  <c r="E142" i="52"/>
  <c r="F147" i="52"/>
  <c r="F139" i="52"/>
  <c r="G156" i="52"/>
  <c r="F143" i="52"/>
  <c r="E149" i="52"/>
  <c r="E140" i="52"/>
  <c r="F152" i="52"/>
  <c r="E144" i="52"/>
  <c r="C136" i="52"/>
  <c r="E153" i="52"/>
  <c r="E240" i="52"/>
  <c r="E238" i="52"/>
  <c r="E235" i="52"/>
  <c r="E233" i="52"/>
  <c r="E231" i="52"/>
  <c r="E229" i="52"/>
  <c r="E227" i="52"/>
  <c r="F241" i="52"/>
  <c r="F239" i="52"/>
  <c r="F237" i="52"/>
  <c r="F234" i="52"/>
  <c r="F232" i="52"/>
  <c r="F230" i="52"/>
  <c r="F228" i="52"/>
  <c r="F238" i="52"/>
  <c r="F233" i="52"/>
  <c r="F229" i="52"/>
  <c r="E239" i="52"/>
  <c r="E234" i="52"/>
  <c r="E230" i="52"/>
  <c r="F235" i="52"/>
  <c r="F227" i="52"/>
  <c r="F240" i="52"/>
  <c r="E237" i="52"/>
  <c r="E228" i="52"/>
  <c r="G244" i="52"/>
  <c r="C224" i="52"/>
  <c r="F231" i="52"/>
  <c r="E241" i="52"/>
  <c r="E232" i="52"/>
  <c r="E328" i="52"/>
  <c r="E326" i="52"/>
  <c r="E323" i="52"/>
  <c r="E321" i="52"/>
  <c r="E319" i="52"/>
  <c r="E317" i="52"/>
  <c r="E315" i="52"/>
  <c r="F329" i="52"/>
  <c r="F327" i="52"/>
  <c r="F325" i="52"/>
  <c r="F322" i="52"/>
  <c r="F320" i="52"/>
  <c r="F318" i="52"/>
  <c r="F316" i="52"/>
  <c r="F326" i="52"/>
  <c r="F321" i="52"/>
  <c r="F317" i="52"/>
  <c r="E327" i="52"/>
  <c r="E322" i="52"/>
  <c r="E318" i="52"/>
  <c r="F323" i="52"/>
  <c r="F315" i="52"/>
  <c r="F319" i="52"/>
  <c r="E325" i="52"/>
  <c r="E316" i="52"/>
  <c r="F328" i="52"/>
  <c r="E329" i="52"/>
  <c r="G332" i="52"/>
  <c r="C312" i="52"/>
  <c r="E320" i="52"/>
  <c r="E416" i="52"/>
  <c r="E414" i="52"/>
  <c r="E411" i="52"/>
  <c r="E409" i="52"/>
  <c r="E407" i="52"/>
  <c r="E405" i="52"/>
  <c r="E403" i="52"/>
  <c r="F417" i="52"/>
  <c r="F415" i="52"/>
  <c r="F413" i="52"/>
  <c r="F410" i="52"/>
  <c r="F408" i="52"/>
  <c r="F406" i="52"/>
  <c r="F404" i="52"/>
  <c r="F414" i="52"/>
  <c r="F409" i="52"/>
  <c r="F405" i="52"/>
  <c r="E415" i="52"/>
  <c r="E410" i="52"/>
  <c r="E406" i="52"/>
  <c r="F411" i="52"/>
  <c r="F403" i="52"/>
  <c r="F407" i="52"/>
  <c r="E413" i="52"/>
  <c r="E404" i="52"/>
  <c r="F416" i="52"/>
  <c r="C400" i="52"/>
  <c r="E408" i="52"/>
  <c r="G420" i="52"/>
  <c r="E417" i="52"/>
  <c r="E504" i="52"/>
  <c r="E502" i="52"/>
  <c r="E499" i="52"/>
  <c r="E497" i="52"/>
  <c r="E495" i="52"/>
  <c r="E493" i="52"/>
  <c r="E491" i="52"/>
  <c r="F505" i="52"/>
  <c r="F503" i="52"/>
  <c r="F501" i="52"/>
  <c r="F498" i="52"/>
  <c r="F496" i="52"/>
  <c r="F494" i="52"/>
  <c r="F492" i="52"/>
  <c r="F502" i="52"/>
  <c r="F497" i="52"/>
  <c r="F493" i="52"/>
  <c r="E503" i="52"/>
  <c r="E498" i="52"/>
  <c r="E494" i="52"/>
  <c r="F499" i="52"/>
  <c r="F491" i="52"/>
  <c r="C488" i="52"/>
  <c r="F495" i="52"/>
  <c r="E501" i="52"/>
  <c r="E492" i="52"/>
  <c r="F504" i="52"/>
  <c r="E496" i="52"/>
  <c r="E505" i="52"/>
  <c r="G508" i="52"/>
  <c r="E592" i="52"/>
  <c r="E590" i="52"/>
  <c r="E587" i="52"/>
  <c r="E585" i="52"/>
  <c r="E583" i="52"/>
  <c r="E581" i="52"/>
  <c r="E579" i="52"/>
  <c r="F593" i="52"/>
  <c r="F591" i="52"/>
  <c r="F589" i="52"/>
  <c r="F586" i="52"/>
  <c r="F584" i="52"/>
  <c r="F582" i="52"/>
  <c r="F580" i="52"/>
  <c r="F590" i="52"/>
  <c r="F585" i="52"/>
  <c r="F581" i="52"/>
  <c r="E591" i="52"/>
  <c r="E586" i="52"/>
  <c r="G586" i="52" s="1"/>
  <c r="E582" i="52"/>
  <c r="F587" i="52"/>
  <c r="F579" i="52"/>
  <c r="G596" i="52"/>
  <c r="C576" i="52"/>
  <c r="F592" i="52"/>
  <c r="E589" i="52"/>
  <c r="E580" i="52"/>
  <c r="F583" i="52"/>
  <c r="E593" i="52"/>
  <c r="E584" i="52"/>
  <c r="E680" i="52"/>
  <c r="E678" i="52"/>
  <c r="E675" i="52"/>
  <c r="E673" i="52"/>
  <c r="E671" i="52"/>
  <c r="E669" i="52"/>
  <c r="E667" i="52"/>
  <c r="F681" i="52"/>
  <c r="F679" i="52"/>
  <c r="F677" i="52"/>
  <c r="F674" i="52"/>
  <c r="F672" i="52"/>
  <c r="F670" i="52"/>
  <c r="F668" i="52"/>
  <c r="F678" i="52"/>
  <c r="F673" i="52"/>
  <c r="F669" i="52"/>
  <c r="E679" i="52"/>
  <c r="E674" i="52"/>
  <c r="E670" i="52"/>
  <c r="F675" i="52"/>
  <c r="F667" i="52"/>
  <c r="G684" i="52"/>
  <c r="F680" i="52"/>
  <c r="F671" i="52"/>
  <c r="E677" i="52"/>
  <c r="E668" i="52"/>
  <c r="E672" i="52"/>
  <c r="E681" i="52"/>
  <c r="C664" i="52"/>
  <c r="E768" i="52"/>
  <c r="E766" i="52"/>
  <c r="E763" i="52"/>
  <c r="E761" i="52"/>
  <c r="E759" i="52"/>
  <c r="E757" i="52"/>
  <c r="E755" i="52"/>
  <c r="F769" i="52"/>
  <c r="F767" i="52"/>
  <c r="F765" i="52"/>
  <c r="F762" i="52"/>
  <c r="F760" i="52"/>
  <c r="F758" i="52"/>
  <c r="F756" i="52"/>
  <c r="F766" i="52"/>
  <c r="F761" i="52"/>
  <c r="F757" i="52"/>
  <c r="E769" i="52"/>
  <c r="E765" i="52"/>
  <c r="E760" i="52"/>
  <c r="E756" i="52"/>
  <c r="E762" i="52"/>
  <c r="F763" i="52"/>
  <c r="F755" i="52"/>
  <c r="E767" i="52"/>
  <c r="F768" i="52"/>
  <c r="E758" i="52"/>
  <c r="F759" i="52"/>
  <c r="C752" i="52"/>
  <c r="G772" i="52"/>
  <c r="E856" i="52"/>
  <c r="E854" i="52"/>
  <c r="E851" i="52"/>
  <c r="E849" i="52"/>
  <c r="E847" i="52"/>
  <c r="E845" i="52"/>
  <c r="E843" i="52"/>
  <c r="F857" i="52"/>
  <c r="F855" i="52"/>
  <c r="F853" i="52"/>
  <c r="F850" i="52"/>
  <c r="F848" i="52"/>
  <c r="F846" i="52"/>
  <c r="F844" i="52"/>
  <c r="F854" i="52"/>
  <c r="F849" i="52"/>
  <c r="F845" i="52"/>
  <c r="E857" i="52"/>
  <c r="E853" i="52"/>
  <c r="E848" i="52"/>
  <c r="E844" i="52"/>
  <c r="E850" i="52"/>
  <c r="F851" i="52"/>
  <c r="F843" i="52"/>
  <c r="E846" i="52"/>
  <c r="G860" i="52"/>
  <c r="F847" i="52"/>
  <c r="C840" i="52"/>
  <c r="E855" i="52"/>
  <c r="F856" i="52"/>
  <c r="E944" i="52"/>
  <c r="E942" i="52"/>
  <c r="E939" i="52"/>
  <c r="E937" i="52"/>
  <c r="F943" i="52"/>
  <c r="E941" i="52"/>
  <c r="F937" i="52"/>
  <c r="E935" i="52"/>
  <c r="E933" i="52"/>
  <c r="E931" i="52"/>
  <c r="F945" i="52"/>
  <c r="E943" i="52"/>
  <c r="F939" i="52"/>
  <c r="F936" i="52"/>
  <c r="F934" i="52"/>
  <c r="F932" i="52"/>
  <c r="F944" i="52"/>
  <c r="E938" i="52"/>
  <c r="F933" i="52"/>
  <c r="F942" i="52"/>
  <c r="E936" i="52"/>
  <c r="E932" i="52"/>
  <c r="F938" i="52"/>
  <c r="F941" i="52"/>
  <c r="F931" i="52"/>
  <c r="E945" i="52"/>
  <c r="E934" i="52"/>
  <c r="G948" i="52"/>
  <c r="F935" i="52"/>
  <c r="C928" i="52"/>
  <c r="E1032" i="52"/>
  <c r="E1030" i="52"/>
  <c r="E1027" i="52"/>
  <c r="E1025" i="52"/>
  <c r="E1023" i="52"/>
  <c r="E1021" i="52"/>
  <c r="E1019" i="52"/>
  <c r="F1031" i="52"/>
  <c r="E1029" i="52"/>
  <c r="F1025" i="52"/>
  <c r="F1022" i="52"/>
  <c r="E1020" i="52"/>
  <c r="F1033" i="52"/>
  <c r="E1031" i="52"/>
  <c r="F1027" i="52"/>
  <c r="F1024" i="52"/>
  <c r="E1022" i="52"/>
  <c r="F1019" i="52"/>
  <c r="F1029" i="52"/>
  <c r="F1023" i="52"/>
  <c r="E1033" i="52"/>
  <c r="F1026" i="52"/>
  <c r="F1021" i="52"/>
  <c r="E1024" i="52"/>
  <c r="E1026" i="52"/>
  <c r="F1020" i="52"/>
  <c r="G1036" i="52"/>
  <c r="C1016" i="52"/>
  <c r="F1030" i="52"/>
  <c r="F1032" i="52"/>
  <c r="E1120" i="52"/>
  <c r="E1118" i="52"/>
  <c r="E1115" i="52"/>
  <c r="E1113" i="52"/>
  <c r="E1111" i="52"/>
  <c r="E1109" i="52"/>
  <c r="E1107" i="52"/>
  <c r="F1119" i="52"/>
  <c r="E1117" i="52"/>
  <c r="F1113" i="52"/>
  <c r="F1110" i="52"/>
  <c r="E1108" i="52"/>
  <c r="F1121" i="52"/>
  <c r="E1119" i="52"/>
  <c r="F1115" i="52"/>
  <c r="F1112" i="52"/>
  <c r="E1110" i="52"/>
  <c r="F1107" i="52"/>
  <c r="F1120" i="52"/>
  <c r="E1114" i="52"/>
  <c r="F1108" i="52"/>
  <c r="F1118" i="52"/>
  <c r="E1112" i="52"/>
  <c r="E1121" i="52"/>
  <c r="F1109" i="52"/>
  <c r="F1111" i="52"/>
  <c r="F1114" i="52"/>
  <c r="F1117" i="52"/>
  <c r="C1104" i="52"/>
  <c r="G1124" i="52"/>
  <c r="E1208" i="52"/>
  <c r="E1206" i="52"/>
  <c r="E1203" i="52"/>
  <c r="E1201" i="52"/>
  <c r="E1199" i="52"/>
  <c r="E1197" i="52"/>
  <c r="E1195" i="52"/>
  <c r="F1207" i="52"/>
  <c r="E1205" i="52"/>
  <c r="F1201" i="52"/>
  <c r="F1198" i="52"/>
  <c r="E1196" i="52"/>
  <c r="F1209" i="52"/>
  <c r="E1207" i="52"/>
  <c r="F1203" i="52"/>
  <c r="F1200" i="52"/>
  <c r="E1198" i="52"/>
  <c r="F1195" i="52"/>
  <c r="F1205" i="52"/>
  <c r="F1199" i="52"/>
  <c r="G1212" i="52"/>
  <c r="C1192" i="52"/>
  <c r="E1209" i="52"/>
  <c r="F1202" i="52"/>
  <c r="F1197" i="52"/>
  <c r="F1206" i="52"/>
  <c r="F1208" i="52"/>
  <c r="F1196" i="52"/>
  <c r="E1200" i="52"/>
  <c r="E1202" i="52"/>
  <c r="E1296" i="52"/>
  <c r="E1294" i="52"/>
  <c r="E1291" i="52"/>
  <c r="E1289" i="52"/>
  <c r="E1287" i="52"/>
  <c r="E1285" i="52"/>
  <c r="E1283" i="52"/>
  <c r="F1295" i="52"/>
  <c r="E1293" i="52"/>
  <c r="F1289" i="52"/>
  <c r="F1286" i="52"/>
  <c r="E1284" i="52"/>
  <c r="F1297" i="52"/>
  <c r="E1295" i="52"/>
  <c r="F1291" i="52"/>
  <c r="F1288" i="52"/>
  <c r="E1286" i="52"/>
  <c r="F1283" i="52"/>
  <c r="F1296" i="52"/>
  <c r="E1290" i="52"/>
  <c r="F1284" i="52"/>
  <c r="F1294" i="52"/>
  <c r="E1288" i="52"/>
  <c r="F1290" i="52"/>
  <c r="F1293" i="52"/>
  <c r="G1300" i="52"/>
  <c r="F1285" i="52"/>
  <c r="F1287" i="52"/>
  <c r="C1280" i="52"/>
  <c r="E1297" i="52"/>
  <c r="E1384" i="52"/>
  <c r="E1382" i="52"/>
  <c r="E1379" i="52"/>
  <c r="E1377" i="52"/>
  <c r="E1375" i="52"/>
  <c r="E1373" i="52"/>
  <c r="E1371" i="52"/>
  <c r="F1383" i="52"/>
  <c r="E1381" i="52"/>
  <c r="F1377" i="52"/>
  <c r="F1374" i="52"/>
  <c r="E1372" i="52"/>
  <c r="F1385" i="52"/>
  <c r="E1383" i="52"/>
  <c r="F1379" i="52"/>
  <c r="F1376" i="52"/>
  <c r="E1374" i="52"/>
  <c r="F1371" i="52"/>
  <c r="F1381" i="52"/>
  <c r="F1375" i="52"/>
  <c r="E1385" i="52"/>
  <c r="F1378" i="52"/>
  <c r="F1373" i="52"/>
  <c r="E1376" i="52"/>
  <c r="G1388" i="52"/>
  <c r="E1378" i="52"/>
  <c r="F1382" i="52"/>
  <c r="F1384" i="52"/>
  <c r="F1372" i="52"/>
  <c r="C1368" i="52"/>
  <c r="E1472" i="52"/>
  <c r="E1470" i="52"/>
  <c r="E1467" i="52"/>
  <c r="E1465" i="52"/>
  <c r="E1463" i="52"/>
  <c r="E1461" i="52"/>
  <c r="E1459" i="52"/>
  <c r="F1471" i="52"/>
  <c r="E1469" i="52"/>
  <c r="F1465" i="52"/>
  <c r="F1462" i="52"/>
  <c r="E1460" i="52"/>
  <c r="F1473" i="52"/>
  <c r="E1471" i="52"/>
  <c r="F1467" i="52"/>
  <c r="F1464" i="52"/>
  <c r="E1462" i="52"/>
  <c r="F1459" i="52"/>
  <c r="F1472" i="52"/>
  <c r="E1466" i="52"/>
  <c r="F1460" i="52"/>
  <c r="F1470" i="52"/>
  <c r="E1464" i="52"/>
  <c r="G1476" i="52"/>
  <c r="E1473" i="52"/>
  <c r="F1461" i="52"/>
  <c r="F1463" i="52"/>
  <c r="C1456" i="52"/>
  <c r="F1466" i="52"/>
  <c r="F1469" i="52"/>
  <c r="E1560" i="52"/>
  <c r="E1558" i="52"/>
  <c r="E1555" i="52"/>
  <c r="E1553" i="52"/>
  <c r="E1551" i="52"/>
  <c r="E1549" i="52"/>
  <c r="E1547" i="52"/>
  <c r="F1559" i="52"/>
  <c r="E1557" i="52"/>
  <c r="F1553" i="52"/>
  <c r="F1550" i="52"/>
  <c r="E1548" i="52"/>
  <c r="F1561" i="52"/>
  <c r="E1559" i="52"/>
  <c r="F1555" i="52"/>
  <c r="F1552" i="52"/>
  <c r="E1550" i="52"/>
  <c r="F1547" i="52"/>
  <c r="F1557" i="52"/>
  <c r="F1551" i="52"/>
  <c r="E1561" i="52"/>
  <c r="F1554" i="52"/>
  <c r="F1549" i="52"/>
  <c r="F1558" i="52"/>
  <c r="G1564" i="52"/>
  <c r="F1560" i="52"/>
  <c r="F1548" i="52"/>
  <c r="E1552" i="52"/>
  <c r="C1544" i="52"/>
  <c r="E1554" i="52"/>
  <c r="E1648" i="52"/>
  <c r="E1646" i="52"/>
  <c r="E1643" i="52"/>
  <c r="E1641" i="52"/>
  <c r="E1639" i="52"/>
  <c r="E1637" i="52"/>
  <c r="E1635" i="52"/>
  <c r="F1647" i="52"/>
  <c r="E1645" i="52"/>
  <c r="F1641" i="52"/>
  <c r="F1638" i="52"/>
  <c r="E1636" i="52"/>
  <c r="F1649" i="52"/>
  <c r="E1647" i="52"/>
  <c r="F1643" i="52"/>
  <c r="F1640" i="52"/>
  <c r="E1638" i="52"/>
  <c r="F1635" i="52"/>
  <c r="F1648" i="52"/>
  <c r="E1642" i="52"/>
  <c r="F1636" i="52"/>
  <c r="G1652" i="52"/>
  <c r="F1646" i="52"/>
  <c r="E1640" i="52"/>
  <c r="C1632" i="52"/>
  <c r="F1642" i="52"/>
  <c r="F1645" i="52"/>
  <c r="E1649" i="52"/>
  <c r="F1637" i="52"/>
  <c r="F1639" i="52"/>
  <c r="E1736" i="52"/>
  <c r="E1734" i="52"/>
  <c r="E1731" i="52"/>
  <c r="E1729" i="52"/>
  <c r="E1727" i="52"/>
  <c r="E1725" i="52"/>
  <c r="E1723" i="52"/>
  <c r="F1735" i="52"/>
  <c r="E1733" i="52"/>
  <c r="F1729" i="52"/>
  <c r="F1726" i="52"/>
  <c r="E1724" i="52"/>
  <c r="F1737" i="52"/>
  <c r="E1735" i="52"/>
  <c r="F1731" i="52"/>
  <c r="F1728" i="52"/>
  <c r="E1726" i="52"/>
  <c r="F1723" i="52"/>
  <c r="F1733" i="52"/>
  <c r="F1727" i="52"/>
  <c r="E1737" i="52"/>
  <c r="F1730" i="52"/>
  <c r="F1725" i="52"/>
  <c r="E1728" i="52"/>
  <c r="E1730" i="52"/>
  <c r="G1740" i="52"/>
  <c r="F1724" i="52"/>
  <c r="C1720" i="52"/>
  <c r="F1734" i="52"/>
  <c r="F1736" i="52"/>
  <c r="E42" i="52"/>
  <c r="E40" i="52"/>
  <c r="E37" i="52"/>
  <c r="E35" i="52"/>
  <c r="E33" i="52"/>
  <c r="E31" i="52"/>
  <c r="E29" i="52"/>
  <c r="F43" i="52"/>
  <c r="F41" i="52"/>
  <c r="F39" i="52"/>
  <c r="F36" i="52"/>
  <c r="F34" i="52"/>
  <c r="F32" i="52"/>
  <c r="F30" i="52"/>
  <c r="F42" i="52"/>
  <c r="F37" i="52"/>
  <c r="F33" i="52"/>
  <c r="F29" i="52"/>
  <c r="E43" i="52"/>
  <c r="E39" i="52"/>
  <c r="E34" i="52"/>
  <c r="E30" i="52"/>
  <c r="F35" i="52"/>
  <c r="F40" i="52"/>
  <c r="E36" i="52"/>
  <c r="C26" i="52"/>
  <c r="F31" i="52"/>
  <c r="E41" i="52"/>
  <c r="G46" i="52"/>
  <c r="E32" i="52"/>
  <c r="E130" i="52"/>
  <c r="E128" i="52"/>
  <c r="E125" i="52"/>
  <c r="E123" i="52"/>
  <c r="E121" i="52"/>
  <c r="E119" i="52"/>
  <c r="E117" i="52"/>
  <c r="F131" i="52"/>
  <c r="F129" i="52"/>
  <c r="F127" i="52"/>
  <c r="F124" i="52"/>
  <c r="F122" i="52"/>
  <c r="F120" i="52"/>
  <c r="F118" i="52"/>
  <c r="F130" i="52"/>
  <c r="F125" i="52"/>
  <c r="F121" i="52"/>
  <c r="F117" i="52"/>
  <c r="E131" i="52"/>
  <c r="E127" i="52"/>
  <c r="E122" i="52"/>
  <c r="E118" i="52"/>
  <c r="F123" i="52"/>
  <c r="F128" i="52"/>
  <c r="E124" i="52"/>
  <c r="C114" i="52"/>
  <c r="F119" i="52"/>
  <c r="E129" i="52"/>
  <c r="E120" i="52"/>
  <c r="G134" i="52"/>
  <c r="E284" i="52"/>
  <c r="E282" i="52"/>
  <c r="E279" i="52"/>
  <c r="E277" i="52"/>
  <c r="E275" i="52"/>
  <c r="E273" i="52"/>
  <c r="E271" i="52"/>
  <c r="F285" i="52"/>
  <c r="F283" i="52"/>
  <c r="F281" i="52"/>
  <c r="F278" i="52"/>
  <c r="F276" i="52"/>
  <c r="F274" i="52"/>
  <c r="F272" i="52"/>
  <c r="F282" i="52"/>
  <c r="F277" i="52"/>
  <c r="F273" i="52"/>
  <c r="E283" i="52"/>
  <c r="E278" i="52"/>
  <c r="E274" i="52"/>
  <c r="F284" i="52"/>
  <c r="F275" i="52"/>
  <c r="G288" i="52"/>
  <c r="F271" i="52"/>
  <c r="E285" i="52"/>
  <c r="E276" i="52"/>
  <c r="F279" i="52"/>
  <c r="E272" i="52"/>
  <c r="E281" i="52"/>
  <c r="C268" i="52"/>
  <c r="E460" i="52"/>
  <c r="E458" i="52"/>
  <c r="E455" i="52"/>
  <c r="E453" i="52"/>
  <c r="E451" i="52"/>
  <c r="E449" i="52"/>
  <c r="E447" i="52"/>
  <c r="F461" i="52"/>
  <c r="F459" i="52"/>
  <c r="F457" i="52"/>
  <c r="F454" i="52"/>
  <c r="F452" i="52"/>
  <c r="F450" i="52"/>
  <c r="F448" i="52"/>
  <c r="F458" i="52"/>
  <c r="F453" i="52"/>
  <c r="F449" i="52"/>
  <c r="E459" i="52"/>
  <c r="E454" i="52"/>
  <c r="E450" i="52"/>
  <c r="F460" i="52"/>
  <c r="F451" i="52"/>
  <c r="F455" i="52"/>
  <c r="E461" i="52"/>
  <c r="E452" i="52"/>
  <c r="F447" i="52"/>
  <c r="E448" i="52"/>
  <c r="G464" i="52"/>
  <c r="E457" i="52"/>
  <c r="C444" i="52"/>
  <c r="E636" i="52"/>
  <c r="E634" i="52"/>
  <c r="E631" i="52"/>
  <c r="E629" i="52"/>
  <c r="E627" i="52"/>
  <c r="E625" i="52"/>
  <c r="E623" i="52"/>
  <c r="F637" i="52"/>
  <c r="F635" i="52"/>
  <c r="F633" i="52"/>
  <c r="F630" i="52"/>
  <c r="F628" i="52"/>
  <c r="F626" i="52"/>
  <c r="F624" i="52"/>
  <c r="F634" i="52"/>
  <c r="F629" i="52"/>
  <c r="F625" i="52"/>
  <c r="E635" i="52"/>
  <c r="E630" i="52"/>
  <c r="E626" i="52"/>
  <c r="F636" i="52"/>
  <c r="F627" i="52"/>
  <c r="C620" i="52"/>
  <c r="F623" i="52"/>
  <c r="E637" i="52"/>
  <c r="E628" i="52"/>
  <c r="F631" i="52"/>
  <c r="E633" i="52"/>
  <c r="G640" i="52"/>
  <c r="E624" i="52"/>
  <c r="E812" i="52"/>
  <c r="E810" i="52"/>
  <c r="E807" i="52"/>
  <c r="E805" i="52"/>
  <c r="E803" i="52"/>
  <c r="E801" i="52"/>
  <c r="E799" i="52"/>
  <c r="F813" i="52"/>
  <c r="F811" i="52"/>
  <c r="F809" i="52"/>
  <c r="F806" i="52"/>
  <c r="F804" i="52"/>
  <c r="F802" i="52"/>
  <c r="F800" i="52"/>
  <c r="F810" i="52"/>
  <c r="F805" i="52"/>
  <c r="F801" i="52"/>
  <c r="E813" i="52"/>
  <c r="E809" i="52"/>
  <c r="E804" i="52"/>
  <c r="E800" i="52"/>
  <c r="E811" i="52"/>
  <c r="E802" i="52"/>
  <c r="F812" i="52"/>
  <c r="F803" i="52"/>
  <c r="C796" i="52"/>
  <c r="F799" i="52"/>
  <c r="G816" i="52"/>
  <c r="E806" i="52"/>
  <c r="F807" i="52"/>
  <c r="E900" i="52"/>
  <c r="E898" i="52"/>
  <c r="E895" i="52"/>
  <c r="E893" i="52"/>
  <c r="E891" i="52"/>
  <c r="E889" i="52"/>
  <c r="E887" i="52"/>
  <c r="F901" i="52"/>
  <c r="F899" i="52"/>
  <c r="F897" i="52"/>
  <c r="F894" i="52"/>
  <c r="F892" i="52"/>
  <c r="F890" i="52"/>
  <c r="F888" i="52"/>
  <c r="F898" i="52"/>
  <c r="F893" i="52"/>
  <c r="F889" i="52"/>
  <c r="E901" i="52"/>
  <c r="E897" i="52"/>
  <c r="E892" i="52"/>
  <c r="E888" i="52"/>
  <c r="E899" i="52"/>
  <c r="E890" i="52"/>
  <c r="F900" i="52"/>
  <c r="F891" i="52"/>
  <c r="E894" i="52"/>
  <c r="F895" i="52"/>
  <c r="C884" i="52"/>
  <c r="F887" i="52"/>
  <c r="G904" i="52"/>
  <c r="E1076" i="52"/>
  <c r="E1074" i="52"/>
  <c r="E1071" i="52"/>
  <c r="E1069" i="52"/>
  <c r="E1067" i="52"/>
  <c r="E1065" i="52"/>
  <c r="E1063" i="52"/>
  <c r="E1077" i="52"/>
  <c r="F1074" i="52"/>
  <c r="F1070" i="52"/>
  <c r="E1068" i="52"/>
  <c r="F1065" i="52"/>
  <c r="F1076" i="52"/>
  <c r="F1073" i="52"/>
  <c r="E1070" i="52"/>
  <c r="F1067" i="52"/>
  <c r="F1064" i="52"/>
  <c r="F1077" i="52"/>
  <c r="F1071" i="52"/>
  <c r="E1066" i="52"/>
  <c r="F1075" i="52"/>
  <c r="F1069" i="52"/>
  <c r="E1064" i="52"/>
  <c r="E1073" i="52"/>
  <c r="E1075" i="52"/>
  <c r="G1075" i="52" s="1"/>
  <c r="F1063" i="52"/>
  <c r="F1066" i="52"/>
  <c r="G1080" i="52"/>
  <c r="C1060" i="52"/>
  <c r="F1068" i="52"/>
  <c r="E1252" i="52"/>
  <c r="E1250" i="52"/>
  <c r="E1247" i="52"/>
  <c r="E1245" i="52"/>
  <c r="E1243" i="52"/>
  <c r="E1241" i="52"/>
  <c r="E1239" i="52"/>
  <c r="E1253" i="52"/>
  <c r="F1250" i="52"/>
  <c r="F1246" i="52"/>
  <c r="E1244" i="52"/>
  <c r="F1241" i="52"/>
  <c r="F1252" i="52"/>
  <c r="F1249" i="52"/>
  <c r="E1246" i="52"/>
  <c r="F1243" i="52"/>
  <c r="F1240" i="52"/>
  <c r="F1253" i="52"/>
  <c r="F1247" i="52"/>
  <c r="E1242" i="52"/>
  <c r="G1256" i="52"/>
  <c r="C1236" i="52"/>
  <c r="F1251" i="52"/>
  <c r="F1245" i="52"/>
  <c r="E1240" i="52"/>
  <c r="F1242" i="52"/>
  <c r="F1244" i="52"/>
  <c r="E1249" i="52"/>
  <c r="E1251" i="52"/>
  <c r="F1239" i="52"/>
  <c r="E1428" i="52"/>
  <c r="E1426" i="52"/>
  <c r="E1423" i="52"/>
  <c r="E1421" i="52"/>
  <c r="E1419" i="52"/>
  <c r="E1417" i="52"/>
  <c r="E1415" i="52"/>
  <c r="E1429" i="52"/>
  <c r="F1426" i="52"/>
  <c r="F1422" i="52"/>
  <c r="E1420" i="52"/>
  <c r="F1417" i="52"/>
  <c r="F1428" i="52"/>
  <c r="F1425" i="52"/>
  <c r="E1422" i="52"/>
  <c r="F1419" i="52"/>
  <c r="F1416" i="52"/>
  <c r="F1429" i="52"/>
  <c r="F1423" i="52"/>
  <c r="E1418" i="52"/>
  <c r="G1432" i="52"/>
  <c r="F1427" i="52"/>
  <c r="F1421" i="52"/>
  <c r="E1416" i="52"/>
  <c r="E1425" i="52"/>
  <c r="E1427" i="52"/>
  <c r="F1415" i="52"/>
  <c r="C1412" i="52"/>
  <c r="F1418" i="52"/>
  <c r="F1420" i="52"/>
  <c r="E1604" i="52"/>
  <c r="E1602" i="52"/>
  <c r="E1599" i="52"/>
  <c r="E1597" i="52"/>
  <c r="E1595" i="52"/>
  <c r="E1593" i="52"/>
  <c r="E1591" i="52"/>
  <c r="E1605" i="52"/>
  <c r="F1602" i="52"/>
  <c r="F1598" i="52"/>
  <c r="E1596" i="52"/>
  <c r="F1593" i="52"/>
  <c r="F1604" i="52"/>
  <c r="F1601" i="52"/>
  <c r="E1598" i="52"/>
  <c r="F1595" i="52"/>
  <c r="F1592" i="52"/>
  <c r="F1605" i="52"/>
  <c r="F1599" i="52"/>
  <c r="E1594" i="52"/>
  <c r="F1603" i="52"/>
  <c r="F1597" i="52"/>
  <c r="E1592" i="52"/>
  <c r="F1594" i="52"/>
  <c r="C1588" i="52"/>
  <c r="F1596" i="52"/>
  <c r="G1608" i="52"/>
  <c r="E1601" i="52"/>
  <c r="F1591" i="52"/>
  <c r="E1603" i="52"/>
  <c r="E174" i="52"/>
  <c r="E172" i="52"/>
  <c r="E169" i="52"/>
  <c r="E167" i="52"/>
  <c r="E165" i="52"/>
  <c r="E163" i="52"/>
  <c r="E161" i="52"/>
  <c r="F175" i="52"/>
  <c r="F173" i="52"/>
  <c r="F171" i="52"/>
  <c r="F168" i="52"/>
  <c r="F166" i="52"/>
  <c r="F164" i="52"/>
  <c r="F162" i="52"/>
  <c r="F174" i="52"/>
  <c r="F169" i="52"/>
  <c r="F165" i="52"/>
  <c r="F161" i="52"/>
  <c r="E175" i="52"/>
  <c r="E171" i="52"/>
  <c r="E166" i="52"/>
  <c r="E162" i="52"/>
  <c r="F172" i="52"/>
  <c r="F163" i="52"/>
  <c r="F167" i="52"/>
  <c r="E173" i="52"/>
  <c r="E164" i="52"/>
  <c r="G178" i="52"/>
  <c r="C158" i="52"/>
  <c r="E168" i="52"/>
  <c r="E350" i="52"/>
  <c r="E348" i="52"/>
  <c r="E345" i="52"/>
  <c r="E343" i="52"/>
  <c r="E341" i="52"/>
  <c r="E339" i="52"/>
  <c r="E337" i="52"/>
  <c r="F351" i="52"/>
  <c r="F349" i="52"/>
  <c r="F347" i="52"/>
  <c r="F344" i="52"/>
  <c r="F342" i="52"/>
  <c r="F340" i="52"/>
  <c r="F338" i="52"/>
  <c r="F350" i="52"/>
  <c r="F345" i="52"/>
  <c r="F341" i="52"/>
  <c r="F337" i="52"/>
  <c r="E351" i="52"/>
  <c r="E347" i="52"/>
  <c r="E342" i="52"/>
  <c r="E338" i="52"/>
  <c r="F348" i="52"/>
  <c r="F339" i="52"/>
  <c r="G354" i="52"/>
  <c r="C334" i="52"/>
  <c r="F343" i="52"/>
  <c r="E349" i="52"/>
  <c r="E340" i="52"/>
  <c r="E344" i="52"/>
  <c r="E526" i="52"/>
  <c r="E524" i="52"/>
  <c r="E521" i="52"/>
  <c r="E519" i="52"/>
  <c r="E517" i="52"/>
  <c r="E515" i="52"/>
  <c r="E513" i="52"/>
  <c r="F527" i="52"/>
  <c r="F525" i="52"/>
  <c r="F523" i="52"/>
  <c r="F520" i="52"/>
  <c r="F518" i="52"/>
  <c r="F516" i="52"/>
  <c r="F514" i="52"/>
  <c r="F526" i="52"/>
  <c r="F521" i="52"/>
  <c r="F517" i="52"/>
  <c r="F513" i="52"/>
  <c r="E527" i="52"/>
  <c r="E523" i="52"/>
  <c r="E518" i="52"/>
  <c r="E514" i="52"/>
  <c r="F524" i="52"/>
  <c r="F515" i="52"/>
  <c r="C510" i="52"/>
  <c r="F519" i="52"/>
  <c r="E525" i="52"/>
  <c r="E516" i="52"/>
  <c r="E520" i="52"/>
  <c r="G530" i="52"/>
  <c r="E702" i="52"/>
  <c r="E700" i="52"/>
  <c r="E697" i="52"/>
  <c r="E695" i="52"/>
  <c r="E693" i="52"/>
  <c r="E691" i="52"/>
  <c r="E689" i="52"/>
  <c r="F703" i="52"/>
  <c r="F701" i="52"/>
  <c r="F699" i="52"/>
  <c r="F696" i="52"/>
  <c r="F694" i="52"/>
  <c r="F692" i="52"/>
  <c r="F690" i="52"/>
  <c r="F702" i="52"/>
  <c r="F697" i="52"/>
  <c r="F693" i="52"/>
  <c r="F689" i="52"/>
  <c r="E703" i="52"/>
  <c r="E699" i="52"/>
  <c r="E694" i="52"/>
  <c r="E690" i="52"/>
  <c r="F700" i="52"/>
  <c r="F691" i="52"/>
  <c r="E701" i="52"/>
  <c r="E692" i="52"/>
  <c r="F695" i="52"/>
  <c r="E696" i="52"/>
  <c r="G706" i="52"/>
  <c r="C686" i="52"/>
  <c r="E878" i="52"/>
  <c r="E876" i="52"/>
  <c r="E873" i="52"/>
  <c r="E871" i="52"/>
  <c r="E869" i="52"/>
  <c r="E867" i="52"/>
  <c r="E865" i="52"/>
  <c r="F879" i="52"/>
  <c r="F877" i="52"/>
  <c r="F875" i="52"/>
  <c r="F872" i="52"/>
  <c r="F870" i="52"/>
  <c r="F868" i="52"/>
  <c r="F866" i="52"/>
  <c r="F878" i="52"/>
  <c r="F873" i="52"/>
  <c r="F869" i="52"/>
  <c r="F865" i="52"/>
  <c r="E877" i="52"/>
  <c r="E872" i="52"/>
  <c r="E868" i="52"/>
  <c r="E875" i="52"/>
  <c r="E866" i="52"/>
  <c r="F876" i="52"/>
  <c r="F867" i="52"/>
  <c r="E870" i="52"/>
  <c r="C862" i="52"/>
  <c r="E879" i="52"/>
  <c r="F871" i="52"/>
  <c r="G882" i="52"/>
  <c r="E1054" i="52"/>
  <c r="E1052" i="52"/>
  <c r="E1049" i="52"/>
  <c r="E1047" i="52"/>
  <c r="E1045" i="52"/>
  <c r="E1043" i="52"/>
  <c r="E1041" i="52"/>
  <c r="F1055" i="52"/>
  <c r="E1053" i="52"/>
  <c r="F1049" i="52"/>
  <c r="F1046" i="52"/>
  <c r="E1044" i="52"/>
  <c r="F1041" i="52"/>
  <c r="E1055" i="52"/>
  <c r="F1052" i="52"/>
  <c r="F1048" i="52"/>
  <c r="E1046" i="52"/>
  <c r="F1043" i="52"/>
  <c r="F1053" i="52"/>
  <c r="F1047" i="52"/>
  <c r="E1042" i="52"/>
  <c r="F1051" i="52"/>
  <c r="F1045" i="52"/>
  <c r="F1054" i="52"/>
  <c r="F1042" i="52"/>
  <c r="F1044" i="52"/>
  <c r="E1048" i="52"/>
  <c r="G1058" i="52"/>
  <c r="E1051" i="52"/>
  <c r="C1038" i="52"/>
  <c r="E1230" i="52"/>
  <c r="E1228" i="52"/>
  <c r="E1225" i="52"/>
  <c r="E1223" i="52"/>
  <c r="E1221" i="52"/>
  <c r="E1219" i="52"/>
  <c r="E1217" i="52"/>
  <c r="F1231" i="52"/>
  <c r="E1229" i="52"/>
  <c r="F1225" i="52"/>
  <c r="F1222" i="52"/>
  <c r="E1220" i="52"/>
  <c r="F1217" i="52"/>
  <c r="E1231" i="52"/>
  <c r="F1228" i="52"/>
  <c r="F1224" i="52"/>
  <c r="E1222" i="52"/>
  <c r="F1219" i="52"/>
  <c r="F1229" i="52"/>
  <c r="F1223" i="52"/>
  <c r="E1218" i="52"/>
  <c r="F1227" i="52"/>
  <c r="F1221" i="52"/>
  <c r="E1224" i="52"/>
  <c r="E1227" i="52"/>
  <c r="G1234" i="52"/>
  <c r="F1218" i="52"/>
  <c r="F1220" i="52"/>
  <c r="C1214" i="52"/>
  <c r="F1230" i="52"/>
  <c r="E1406" i="52"/>
  <c r="E1404" i="52"/>
  <c r="E1401" i="52"/>
  <c r="E1399" i="52"/>
  <c r="E1397" i="52"/>
  <c r="E1395" i="52"/>
  <c r="E1393" i="52"/>
  <c r="F1407" i="52"/>
  <c r="E1405" i="52"/>
  <c r="F1401" i="52"/>
  <c r="F1398" i="52"/>
  <c r="E1396" i="52"/>
  <c r="F1393" i="52"/>
  <c r="E1407" i="52"/>
  <c r="F1404" i="52"/>
  <c r="F1400" i="52"/>
  <c r="E1398" i="52"/>
  <c r="F1395" i="52"/>
  <c r="F1405" i="52"/>
  <c r="F1399" i="52"/>
  <c r="E1394" i="52"/>
  <c r="G1410" i="52"/>
  <c r="F1403" i="52"/>
  <c r="F1397" i="52"/>
  <c r="C1390" i="52"/>
  <c r="F1406" i="52"/>
  <c r="F1394" i="52"/>
  <c r="F1396" i="52"/>
  <c r="E1400" i="52"/>
  <c r="E1403" i="52"/>
  <c r="E1582" i="52"/>
  <c r="E1580" i="52"/>
  <c r="E1577" i="52"/>
  <c r="E1575" i="52"/>
  <c r="E1573" i="52"/>
  <c r="E1571" i="52"/>
  <c r="E1569" i="52"/>
  <c r="F1583" i="52"/>
  <c r="E1581" i="52"/>
  <c r="F1577" i="52"/>
  <c r="F1574" i="52"/>
  <c r="E1572" i="52"/>
  <c r="F1569" i="52"/>
  <c r="E1583" i="52"/>
  <c r="F1580" i="52"/>
  <c r="F1576" i="52"/>
  <c r="E1574" i="52"/>
  <c r="F1571" i="52"/>
  <c r="F1581" i="52"/>
  <c r="F1575" i="52"/>
  <c r="E1570" i="52"/>
  <c r="G1586" i="52"/>
  <c r="F1579" i="52"/>
  <c r="F1573" i="52"/>
  <c r="E1576" i="52"/>
  <c r="E1579" i="52"/>
  <c r="C1566" i="52"/>
  <c r="F1582" i="52"/>
  <c r="F1570" i="52"/>
  <c r="F1572" i="52"/>
  <c r="E218" i="52"/>
  <c r="E216" i="52"/>
  <c r="E213" i="52"/>
  <c r="E211" i="52"/>
  <c r="E209" i="52"/>
  <c r="E207" i="52"/>
  <c r="E205" i="52"/>
  <c r="F219" i="52"/>
  <c r="F217" i="52"/>
  <c r="F215" i="52"/>
  <c r="F212" i="52"/>
  <c r="F210" i="52"/>
  <c r="F208" i="52"/>
  <c r="F206" i="52"/>
  <c r="F218" i="52"/>
  <c r="F213" i="52"/>
  <c r="F209" i="52"/>
  <c r="F205" i="52"/>
  <c r="E219" i="52"/>
  <c r="E215" i="52"/>
  <c r="E210" i="52"/>
  <c r="E206" i="52"/>
  <c r="F211" i="52"/>
  <c r="G222" i="52"/>
  <c r="F216" i="52"/>
  <c r="E212" i="52"/>
  <c r="F207" i="52"/>
  <c r="E208" i="52"/>
  <c r="C202" i="52"/>
  <c r="E217" i="52"/>
  <c r="E306" i="52"/>
  <c r="E304" i="52"/>
  <c r="E301" i="52"/>
  <c r="E299" i="52"/>
  <c r="E297" i="52"/>
  <c r="E295" i="52"/>
  <c r="E293" i="52"/>
  <c r="F307" i="52"/>
  <c r="F305" i="52"/>
  <c r="F303" i="52"/>
  <c r="F300" i="52"/>
  <c r="F298" i="52"/>
  <c r="F296" i="52"/>
  <c r="F294" i="52"/>
  <c r="F306" i="52"/>
  <c r="F301" i="52"/>
  <c r="F297" i="52"/>
  <c r="F293" i="52"/>
  <c r="E307" i="52"/>
  <c r="E303" i="52"/>
  <c r="E298" i="52"/>
  <c r="E294" i="52"/>
  <c r="F299" i="52"/>
  <c r="F295" i="52"/>
  <c r="E300" i="52"/>
  <c r="C290" i="52"/>
  <c r="F304" i="52"/>
  <c r="E296" i="52"/>
  <c r="G310" i="52"/>
  <c r="E305" i="52"/>
  <c r="E394" i="52"/>
  <c r="E392" i="52"/>
  <c r="E389" i="52"/>
  <c r="E387" i="52"/>
  <c r="E385" i="52"/>
  <c r="E383" i="52"/>
  <c r="E381" i="52"/>
  <c r="F395" i="52"/>
  <c r="F393" i="52"/>
  <c r="F391" i="52"/>
  <c r="F388" i="52"/>
  <c r="F386" i="52"/>
  <c r="F384" i="52"/>
  <c r="F382" i="52"/>
  <c r="F394" i="52"/>
  <c r="F389" i="52"/>
  <c r="F385" i="52"/>
  <c r="F381" i="52"/>
  <c r="E395" i="52"/>
  <c r="E391" i="52"/>
  <c r="E386" i="52"/>
  <c r="E382" i="52"/>
  <c r="F387" i="52"/>
  <c r="C378" i="52"/>
  <c r="E388" i="52"/>
  <c r="G398" i="52"/>
  <c r="F392" i="52"/>
  <c r="F383" i="52"/>
  <c r="E393" i="52"/>
  <c r="E384" i="52"/>
  <c r="E482" i="52"/>
  <c r="E480" i="52"/>
  <c r="E477" i="52"/>
  <c r="E475" i="52"/>
  <c r="E473" i="52"/>
  <c r="E471" i="52"/>
  <c r="E469" i="52"/>
  <c r="F483" i="52"/>
  <c r="F481" i="52"/>
  <c r="F479" i="52"/>
  <c r="F476" i="52"/>
  <c r="F474" i="52"/>
  <c r="F472" i="52"/>
  <c r="F470" i="52"/>
  <c r="F482" i="52"/>
  <c r="F477" i="52"/>
  <c r="F473" i="52"/>
  <c r="F469" i="52"/>
  <c r="E483" i="52"/>
  <c r="E479" i="52"/>
  <c r="E474" i="52"/>
  <c r="E470" i="52"/>
  <c r="F475" i="52"/>
  <c r="F480" i="52"/>
  <c r="E476" i="52"/>
  <c r="F471" i="52"/>
  <c r="C466" i="52"/>
  <c r="E472" i="52"/>
  <c r="G486" i="52"/>
  <c r="E481" i="52"/>
  <c r="E570" i="52"/>
  <c r="E568" i="52"/>
  <c r="E565" i="52"/>
  <c r="E563" i="52"/>
  <c r="E561" i="52"/>
  <c r="E559" i="52"/>
  <c r="E557" i="52"/>
  <c r="F571" i="52"/>
  <c r="F569" i="52"/>
  <c r="F567" i="52"/>
  <c r="F564" i="52"/>
  <c r="F562" i="52"/>
  <c r="F560" i="52"/>
  <c r="F558" i="52"/>
  <c r="F570" i="52"/>
  <c r="F565" i="52"/>
  <c r="F561" i="52"/>
  <c r="F557" i="52"/>
  <c r="E571" i="52"/>
  <c r="E567" i="52"/>
  <c r="E562" i="52"/>
  <c r="E558" i="52"/>
  <c r="F563" i="52"/>
  <c r="C554" i="52"/>
  <c r="F568" i="52"/>
  <c r="E564" i="52"/>
  <c r="F559" i="52"/>
  <c r="E569" i="52"/>
  <c r="G574" i="52"/>
  <c r="E560" i="52"/>
  <c r="E658" i="52"/>
  <c r="E656" i="52"/>
  <c r="E653" i="52"/>
  <c r="E651" i="52"/>
  <c r="E649" i="52"/>
  <c r="E647" i="52"/>
  <c r="E645" i="52"/>
  <c r="F659" i="52"/>
  <c r="F657" i="52"/>
  <c r="F655" i="52"/>
  <c r="F652" i="52"/>
  <c r="F650" i="52"/>
  <c r="F648" i="52"/>
  <c r="F646" i="52"/>
  <c r="F658" i="52"/>
  <c r="F653" i="52"/>
  <c r="F649" i="52"/>
  <c r="F645" i="52"/>
  <c r="E659" i="52"/>
  <c r="E655" i="52"/>
  <c r="E650" i="52"/>
  <c r="E646" i="52"/>
  <c r="F651" i="52"/>
  <c r="F647" i="52"/>
  <c r="E652" i="52"/>
  <c r="G662" i="52"/>
  <c r="C642" i="52"/>
  <c r="F656" i="52"/>
  <c r="E648" i="52"/>
  <c r="E657" i="52"/>
  <c r="E746" i="52"/>
  <c r="E744" i="52"/>
  <c r="E741" i="52"/>
  <c r="E739" i="52"/>
  <c r="E737" i="52"/>
  <c r="F747" i="52"/>
  <c r="F745" i="52"/>
  <c r="F743" i="52"/>
  <c r="F740" i="52"/>
  <c r="F738" i="52"/>
  <c r="F746" i="52"/>
  <c r="F741" i="52"/>
  <c r="F737" i="52"/>
  <c r="E735" i="52"/>
  <c r="E733" i="52"/>
  <c r="E745" i="52"/>
  <c r="E740" i="52"/>
  <c r="F736" i="52"/>
  <c r="F734" i="52"/>
  <c r="E747" i="52"/>
  <c r="E738" i="52"/>
  <c r="F733" i="52"/>
  <c r="F739" i="52"/>
  <c r="E734" i="52"/>
  <c r="E743" i="52"/>
  <c r="G750" i="52"/>
  <c r="C730" i="52"/>
  <c r="F735" i="52"/>
  <c r="F744" i="52"/>
  <c r="E736" i="52"/>
  <c r="E834" i="52"/>
  <c r="E832" i="52"/>
  <c r="E829" i="52"/>
  <c r="E827" i="52"/>
  <c r="E825" i="52"/>
  <c r="E823" i="52"/>
  <c r="E821" i="52"/>
  <c r="F835" i="52"/>
  <c r="F833" i="52"/>
  <c r="F831" i="52"/>
  <c r="F828" i="52"/>
  <c r="F826" i="52"/>
  <c r="F824" i="52"/>
  <c r="F822" i="52"/>
  <c r="F834" i="52"/>
  <c r="F829" i="52"/>
  <c r="F825" i="52"/>
  <c r="F821" i="52"/>
  <c r="E833" i="52"/>
  <c r="E828" i="52"/>
  <c r="E824" i="52"/>
  <c r="E835" i="52"/>
  <c r="E826" i="52"/>
  <c r="F827" i="52"/>
  <c r="E822" i="52"/>
  <c r="E831" i="52"/>
  <c r="F823" i="52"/>
  <c r="G838" i="52"/>
  <c r="F832" i="52"/>
  <c r="C818" i="52"/>
  <c r="E922" i="52"/>
  <c r="E920" i="52"/>
  <c r="E917" i="52"/>
  <c r="E915" i="52"/>
  <c r="E913" i="52"/>
  <c r="E911" i="52"/>
  <c r="E909" i="52"/>
  <c r="F923" i="52"/>
  <c r="F921" i="52"/>
  <c r="F919" i="52"/>
  <c r="F916" i="52"/>
  <c r="F914" i="52"/>
  <c r="F912" i="52"/>
  <c r="F910" i="52"/>
  <c r="F922" i="52"/>
  <c r="F917" i="52"/>
  <c r="F913" i="52"/>
  <c r="F909" i="52"/>
  <c r="E921" i="52"/>
  <c r="E916" i="52"/>
  <c r="E912" i="52"/>
  <c r="E923" i="52"/>
  <c r="E914" i="52"/>
  <c r="F915" i="52"/>
  <c r="E919" i="52"/>
  <c r="F920" i="52"/>
  <c r="G926" i="52"/>
  <c r="C906" i="52"/>
  <c r="E910" i="52"/>
  <c r="F911" i="52"/>
  <c r="E1010" i="52"/>
  <c r="E1008" i="52"/>
  <c r="E1005" i="52"/>
  <c r="E1003" i="52"/>
  <c r="E1001" i="52"/>
  <c r="E999" i="52"/>
  <c r="E997" i="52"/>
  <c r="F1010" i="52"/>
  <c r="F1007" i="52"/>
  <c r="E1004" i="52"/>
  <c r="F1001" i="52"/>
  <c r="F998" i="52"/>
  <c r="F1009" i="52"/>
  <c r="E1007" i="52"/>
  <c r="F1003" i="52"/>
  <c r="F1000" i="52"/>
  <c r="E998" i="52"/>
  <c r="E1011" i="52"/>
  <c r="F1004" i="52"/>
  <c r="F999" i="52"/>
  <c r="E1009" i="52"/>
  <c r="F1002" i="52"/>
  <c r="F997" i="52"/>
  <c r="F1005" i="52"/>
  <c r="F1008" i="52"/>
  <c r="F1011" i="52"/>
  <c r="E1000" i="52"/>
  <c r="C994" i="52"/>
  <c r="E1002" i="52"/>
  <c r="G1014" i="52"/>
  <c r="E1098" i="52"/>
  <c r="E1096" i="52"/>
  <c r="E1093" i="52"/>
  <c r="E1091" i="52"/>
  <c r="E1089" i="52"/>
  <c r="E1087" i="52"/>
  <c r="E1085" i="52"/>
  <c r="F1098" i="52"/>
  <c r="F1095" i="52"/>
  <c r="E1092" i="52"/>
  <c r="F1089" i="52"/>
  <c r="F1086" i="52"/>
  <c r="F1097" i="52"/>
  <c r="E1095" i="52"/>
  <c r="F1091" i="52"/>
  <c r="F1088" i="52"/>
  <c r="E1086" i="52"/>
  <c r="F1096" i="52"/>
  <c r="E1090" i="52"/>
  <c r="F1099" i="52"/>
  <c r="F1093" i="52"/>
  <c r="E1088" i="52"/>
  <c r="F1090" i="52"/>
  <c r="F1092" i="52"/>
  <c r="F1085" i="52"/>
  <c r="G1102" i="52"/>
  <c r="C1082" i="52"/>
  <c r="F1087" i="52"/>
  <c r="E1097" i="52"/>
  <c r="E1099" i="52"/>
  <c r="E1186" i="52"/>
  <c r="E1184" i="52"/>
  <c r="E1181" i="52"/>
  <c r="E1179" i="52"/>
  <c r="E1177" i="52"/>
  <c r="E1175" i="52"/>
  <c r="E1173" i="52"/>
  <c r="F1186" i="52"/>
  <c r="F1183" i="52"/>
  <c r="E1180" i="52"/>
  <c r="F1177" i="52"/>
  <c r="F1174" i="52"/>
  <c r="F1185" i="52"/>
  <c r="E1183" i="52"/>
  <c r="F1179" i="52"/>
  <c r="F1176" i="52"/>
  <c r="E1174" i="52"/>
  <c r="E1187" i="52"/>
  <c r="F1180" i="52"/>
  <c r="F1175" i="52"/>
  <c r="E1185" i="52"/>
  <c r="F1178" i="52"/>
  <c r="F1173" i="52"/>
  <c r="F1187" i="52"/>
  <c r="E1176" i="52"/>
  <c r="E1178" i="52"/>
  <c r="C1170" i="52"/>
  <c r="F1181" i="52"/>
  <c r="F1184" i="52"/>
  <c r="G1190" i="52"/>
  <c r="E1274" i="52"/>
  <c r="E1272" i="52"/>
  <c r="E1269" i="52"/>
  <c r="E1267" i="52"/>
  <c r="E1265" i="52"/>
  <c r="E1263" i="52"/>
  <c r="E1261" i="52"/>
  <c r="F1274" i="52"/>
  <c r="F1271" i="52"/>
  <c r="E1268" i="52"/>
  <c r="F1265" i="52"/>
  <c r="F1262" i="52"/>
  <c r="F1273" i="52"/>
  <c r="E1271" i="52"/>
  <c r="F1267" i="52"/>
  <c r="F1264" i="52"/>
  <c r="E1262" i="52"/>
  <c r="F1272" i="52"/>
  <c r="E1266" i="52"/>
  <c r="F1275" i="52"/>
  <c r="F1269" i="52"/>
  <c r="E1264" i="52"/>
  <c r="E1273" i="52"/>
  <c r="F1261" i="52"/>
  <c r="C1258" i="52"/>
  <c r="E1275" i="52"/>
  <c r="F1263" i="52"/>
  <c r="G1278" i="52"/>
  <c r="F1266" i="52"/>
  <c r="F1268" i="52"/>
  <c r="E1362" i="52"/>
  <c r="E1360" i="52"/>
  <c r="E1357" i="52"/>
  <c r="E1355" i="52"/>
  <c r="E1353" i="52"/>
  <c r="E1351" i="52"/>
  <c r="E1349" i="52"/>
  <c r="F1362" i="52"/>
  <c r="F1359" i="52"/>
  <c r="E1356" i="52"/>
  <c r="F1353" i="52"/>
  <c r="F1350" i="52"/>
  <c r="F1361" i="52"/>
  <c r="E1359" i="52"/>
  <c r="F1355" i="52"/>
  <c r="F1352" i="52"/>
  <c r="E1350" i="52"/>
  <c r="E1363" i="52"/>
  <c r="F1356" i="52"/>
  <c r="F1351" i="52"/>
  <c r="G1366" i="52"/>
  <c r="E1361" i="52"/>
  <c r="F1354" i="52"/>
  <c r="F1349" i="52"/>
  <c r="F1357" i="52"/>
  <c r="C1346" i="52"/>
  <c r="F1360" i="52"/>
  <c r="E1352" i="52"/>
  <c r="E1354" i="52"/>
  <c r="F1363" i="52"/>
  <c r="E1450" i="52"/>
  <c r="E1448" i="52"/>
  <c r="E1445" i="52"/>
  <c r="E1443" i="52"/>
  <c r="E1441" i="52"/>
  <c r="E1439" i="52"/>
  <c r="E1437" i="52"/>
  <c r="F1450" i="52"/>
  <c r="F1447" i="52"/>
  <c r="E1444" i="52"/>
  <c r="F1441" i="52"/>
  <c r="F1438" i="52"/>
  <c r="F1449" i="52"/>
  <c r="E1447" i="52"/>
  <c r="F1443" i="52"/>
  <c r="F1440" i="52"/>
  <c r="E1438" i="52"/>
  <c r="F1448" i="52"/>
  <c r="E1442" i="52"/>
  <c r="G1454" i="52"/>
  <c r="F1451" i="52"/>
  <c r="F1445" i="52"/>
  <c r="E1440" i="52"/>
  <c r="F1442" i="52"/>
  <c r="F1444" i="52"/>
  <c r="C1434" i="52"/>
  <c r="E1449" i="52"/>
  <c r="E1451" i="52"/>
  <c r="F1437" i="52"/>
  <c r="F1439" i="52"/>
  <c r="E1538" i="52"/>
  <c r="E1536" i="52"/>
  <c r="E1533" i="52"/>
  <c r="E1531" i="52"/>
  <c r="E1529" i="52"/>
  <c r="E1527" i="52"/>
  <c r="E1525" i="52"/>
  <c r="F1538" i="52"/>
  <c r="F1535" i="52"/>
  <c r="E1532" i="52"/>
  <c r="F1529" i="52"/>
  <c r="F1526" i="52"/>
  <c r="F1537" i="52"/>
  <c r="E1535" i="52"/>
  <c r="F1531" i="52"/>
  <c r="F1528" i="52"/>
  <c r="E1526" i="52"/>
  <c r="E1539" i="52"/>
  <c r="F1532" i="52"/>
  <c r="F1527" i="52"/>
  <c r="E1537" i="52"/>
  <c r="F1530" i="52"/>
  <c r="F1525" i="52"/>
  <c r="G1542" i="52"/>
  <c r="C1522" i="52"/>
  <c r="F1539" i="52"/>
  <c r="E1528" i="52"/>
  <c r="E1530" i="52"/>
  <c r="F1533" i="52"/>
  <c r="F1536" i="52"/>
  <c r="E1626" i="52"/>
  <c r="E1624" i="52"/>
  <c r="E1621" i="52"/>
  <c r="E1619" i="52"/>
  <c r="E1617" i="52"/>
  <c r="E1615" i="52"/>
  <c r="E1613" i="52"/>
  <c r="F1626" i="52"/>
  <c r="F1623" i="52"/>
  <c r="E1620" i="52"/>
  <c r="F1617" i="52"/>
  <c r="F1614" i="52"/>
  <c r="F1625" i="52"/>
  <c r="E1623" i="52"/>
  <c r="F1619" i="52"/>
  <c r="F1616" i="52"/>
  <c r="E1614" i="52"/>
  <c r="F1624" i="52"/>
  <c r="E1618" i="52"/>
  <c r="F1627" i="52"/>
  <c r="F1621" i="52"/>
  <c r="E1616" i="52"/>
  <c r="E1625" i="52"/>
  <c r="F1613" i="52"/>
  <c r="E1627" i="52"/>
  <c r="F1615" i="52"/>
  <c r="G1630" i="52"/>
  <c r="F1618" i="52"/>
  <c r="F1620" i="52"/>
  <c r="C1610" i="52"/>
  <c r="E1714" i="52"/>
  <c r="E1712" i="52"/>
  <c r="E1709" i="52"/>
  <c r="E1707" i="52"/>
  <c r="E1705" i="52"/>
  <c r="E1703" i="52"/>
  <c r="E1701" i="52"/>
  <c r="F1714" i="52"/>
  <c r="F1711" i="52"/>
  <c r="E1708" i="52"/>
  <c r="F1705" i="52"/>
  <c r="F1702" i="52"/>
  <c r="F1713" i="52"/>
  <c r="E1711" i="52"/>
  <c r="F1707" i="52"/>
  <c r="F1704" i="52"/>
  <c r="E1702" i="52"/>
  <c r="E1715" i="52"/>
  <c r="F1708" i="52"/>
  <c r="F1703" i="52"/>
  <c r="G1718" i="52"/>
  <c r="C1698" i="52"/>
  <c r="E1713" i="52"/>
  <c r="F1706" i="52"/>
  <c r="F1701" i="52"/>
  <c r="F1709" i="52"/>
  <c r="F1712" i="52"/>
  <c r="F1715" i="52"/>
  <c r="E1704" i="52"/>
  <c r="E1706" i="52"/>
  <c r="E86" i="103"/>
  <c r="E84" i="103"/>
  <c r="E81" i="103"/>
  <c r="E79" i="103"/>
  <c r="E77" i="103"/>
  <c r="E75" i="103"/>
  <c r="E73" i="103"/>
  <c r="C70" i="103"/>
  <c r="F86" i="103"/>
  <c r="F81" i="103"/>
  <c r="F77" i="103"/>
  <c r="F73" i="103"/>
  <c r="F87" i="103"/>
  <c r="F85" i="103"/>
  <c r="F83" i="103"/>
  <c r="F80" i="103"/>
  <c r="F78" i="103"/>
  <c r="F76" i="103"/>
  <c r="F74" i="103"/>
  <c r="F84" i="103"/>
  <c r="F79" i="103"/>
  <c r="F75" i="103"/>
  <c r="E85" i="103"/>
  <c r="E76" i="103"/>
  <c r="E80" i="103"/>
  <c r="E87" i="103"/>
  <c r="E78" i="103"/>
  <c r="E74" i="103"/>
  <c r="G90" i="103"/>
  <c r="E83" i="103"/>
  <c r="E174" i="103"/>
  <c r="E172" i="103"/>
  <c r="E169" i="103"/>
  <c r="E167" i="103"/>
  <c r="E165" i="103"/>
  <c r="E163" i="103"/>
  <c r="E161" i="103"/>
  <c r="F175" i="103"/>
  <c r="F173" i="103"/>
  <c r="F171" i="103"/>
  <c r="F168" i="103"/>
  <c r="F166" i="103"/>
  <c r="F164" i="103"/>
  <c r="F162" i="103"/>
  <c r="F172" i="103"/>
  <c r="F167" i="103"/>
  <c r="F163" i="103"/>
  <c r="G178" i="103"/>
  <c r="E173" i="103"/>
  <c r="E175" i="103"/>
  <c r="E171" i="103"/>
  <c r="E166" i="103"/>
  <c r="E162" i="103"/>
  <c r="C158" i="103"/>
  <c r="E168" i="103"/>
  <c r="E164" i="103"/>
  <c r="F174" i="103"/>
  <c r="F161" i="103"/>
  <c r="F165" i="103"/>
  <c r="F169" i="103"/>
  <c r="E306" i="103"/>
  <c r="E304" i="103"/>
  <c r="E301" i="103"/>
  <c r="E299" i="103"/>
  <c r="E297" i="103"/>
  <c r="E295" i="103"/>
  <c r="E293" i="103"/>
  <c r="F307" i="103"/>
  <c r="F305" i="103"/>
  <c r="F303" i="103"/>
  <c r="F300" i="103"/>
  <c r="F298" i="103"/>
  <c r="F296" i="103"/>
  <c r="F294" i="103"/>
  <c r="F304" i="103"/>
  <c r="F299" i="103"/>
  <c r="F295" i="103"/>
  <c r="E305" i="103"/>
  <c r="E296" i="103"/>
  <c r="E307" i="103"/>
  <c r="E303" i="103"/>
  <c r="E298" i="103"/>
  <c r="E294" i="103"/>
  <c r="C290" i="103"/>
  <c r="E300" i="103"/>
  <c r="F301" i="103"/>
  <c r="F306" i="103"/>
  <c r="F293" i="103"/>
  <c r="G310" i="103"/>
  <c r="F297" i="103"/>
  <c r="E394" i="103"/>
  <c r="E392" i="103"/>
  <c r="E389" i="103"/>
  <c r="E387" i="103"/>
  <c r="E385" i="103"/>
  <c r="E383" i="103"/>
  <c r="E381" i="103"/>
  <c r="F395" i="103"/>
  <c r="F393" i="103"/>
  <c r="F391" i="103"/>
  <c r="F388" i="103"/>
  <c r="F386" i="103"/>
  <c r="F384" i="103"/>
  <c r="F382" i="103"/>
  <c r="F392" i="103"/>
  <c r="F387" i="103"/>
  <c r="F383" i="103"/>
  <c r="E393" i="103"/>
  <c r="E384" i="103"/>
  <c r="E395" i="103"/>
  <c r="E391" i="103"/>
  <c r="E386" i="103"/>
  <c r="E382" i="103"/>
  <c r="G398" i="103"/>
  <c r="E388" i="103"/>
  <c r="F381" i="103"/>
  <c r="C378" i="103"/>
  <c r="F385" i="103"/>
  <c r="F389" i="103"/>
  <c r="F394" i="103"/>
  <c r="E482" i="103"/>
  <c r="E480" i="103"/>
  <c r="E477" i="103"/>
  <c r="E475" i="103"/>
  <c r="E473" i="103"/>
  <c r="E471" i="103"/>
  <c r="E469" i="103"/>
  <c r="F483" i="103"/>
  <c r="F481" i="103"/>
  <c r="F479" i="103"/>
  <c r="F476" i="103"/>
  <c r="F474" i="103"/>
  <c r="F472" i="103"/>
  <c r="F470" i="103"/>
  <c r="F480" i="103"/>
  <c r="F475" i="103"/>
  <c r="F471" i="103"/>
  <c r="C466" i="103"/>
  <c r="E476" i="103"/>
  <c r="E483" i="103"/>
  <c r="E479" i="103"/>
  <c r="E474" i="103"/>
  <c r="E470" i="103"/>
  <c r="E481" i="103"/>
  <c r="E472" i="103"/>
  <c r="F477" i="103"/>
  <c r="F469" i="103"/>
  <c r="F482" i="103"/>
  <c r="G486" i="103"/>
  <c r="F473" i="103"/>
  <c r="E570" i="103"/>
  <c r="E568" i="103"/>
  <c r="E565" i="103"/>
  <c r="E563" i="103"/>
  <c r="E561" i="103"/>
  <c r="E559" i="103"/>
  <c r="E557" i="103"/>
  <c r="F571" i="103"/>
  <c r="F569" i="103"/>
  <c r="F567" i="103"/>
  <c r="F564" i="103"/>
  <c r="F562" i="103"/>
  <c r="F560" i="103"/>
  <c r="F558" i="103"/>
  <c r="F568" i="103"/>
  <c r="F563" i="103"/>
  <c r="F559" i="103"/>
  <c r="E564" i="103"/>
  <c r="E571" i="103"/>
  <c r="E567" i="103"/>
  <c r="E562" i="103"/>
  <c r="E558" i="103"/>
  <c r="G574" i="103"/>
  <c r="E569" i="103"/>
  <c r="E560" i="103"/>
  <c r="F557" i="103"/>
  <c r="C554" i="103"/>
  <c r="F565" i="103"/>
  <c r="F561" i="103"/>
  <c r="F570" i="103"/>
  <c r="E658" i="103"/>
  <c r="E656" i="103"/>
  <c r="E653" i="103"/>
  <c r="E651" i="103"/>
  <c r="E649" i="103"/>
  <c r="E647" i="103"/>
  <c r="E645" i="103"/>
  <c r="F659" i="103"/>
  <c r="F657" i="103"/>
  <c r="F655" i="103"/>
  <c r="F652" i="103"/>
  <c r="F650" i="103"/>
  <c r="F648" i="103"/>
  <c r="F646" i="103"/>
  <c r="F656" i="103"/>
  <c r="F651" i="103"/>
  <c r="F647" i="103"/>
  <c r="C642" i="103"/>
  <c r="E652" i="103"/>
  <c r="E659" i="103"/>
  <c r="E655" i="103"/>
  <c r="E650" i="103"/>
  <c r="E646" i="103"/>
  <c r="E657" i="103"/>
  <c r="E648" i="103"/>
  <c r="F653" i="103"/>
  <c r="F658" i="103"/>
  <c r="F645" i="103"/>
  <c r="F649" i="103"/>
  <c r="G662" i="103"/>
  <c r="E746" i="103"/>
  <c r="E744" i="103"/>
  <c r="E741" i="103"/>
  <c r="E739" i="103"/>
  <c r="E737" i="103"/>
  <c r="E735" i="103"/>
  <c r="E733" i="103"/>
  <c r="F747" i="103"/>
  <c r="F745" i="103"/>
  <c r="F743" i="103"/>
  <c r="F740" i="103"/>
  <c r="F738" i="103"/>
  <c r="F736" i="103"/>
  <c r="F734" i="103"/>
  <c r="F744" i="103"/>
  <c r="F739" i="103"/>
  <c r="F735" i="103"/>
  <c r="E740" i="103"/>
  <c r="E747" i="103"/>
  <c r="E743" i="103"/>
  <c r="E738" i="103"/>
  <c r="E734" i="103"/>
  <c r="G750" i="103"/>
  <c r="E745" i="103"/>
  <c r="E736" i="103"/>
  <c r="F733" i="103"/>
  <c r="F741" i="103"/>
  <c r="C730" i="103"/>
  <c r="F737" i="103"/>
  <c r="F746" i="103"/>
  <c r="E834" i="103"/>
  <c r="E832" i="103"/>
  <c r="E829" i="103"/>
  <c r="E827" i="103"/>
  <c r="E825" i="103"/>
  <c r="E823" i="103"/>
  <c r="E821" i="103"/>
  <c r="F835" i="103"/>
  <c r="F833" i="103"/>
  <c r="F831" i="103"/>
  <c r="F828" i="103"/>
  <c r="F826" i="103"/>
  <c r="F824" i="103"/>
  <c r="F822" i="103"/>
  <c r="F832" i="103"/>
  <c r="F827" i="103"/>
  <c r="F823" i="103"/>
  <c r="C818" i="103"/>
  <c r="E833" i="103"/>
  <c r="E824" i="103"/>
  <c r="E835" i="103"/>
  <c r="E831" i="103"/>
  <c r="E826" i="103"/>
  <c r="E822" i="103"/>
  <c r="E828" i="103"/>
  <c r="F829" i="103"/>
  <c r="F825" i="103"/>
  <c r="F834" i="103"/>
  <c r="G838" i="103"/>
  <c r="F821" i="103"/>
  <c r="E878" i="103"/>
  <c r="E876" i="103"/>
  <c r="E873" i="103"/>
  <c r="E871" i="103"/>
  <c r="E869" i="103"/>
  <c r="E867" i="103"/>
  <c r="E865" i="103"/>
  <c r="F879" i="103"/>
  <c r="F877" i="103"/>
  <c r="F875" i="103"/>
  <c r="F872" i="103"/>
  <c r="F870" i="103"/>
  <c r="F868" i="103"/>
  <c r="F866" i="103"/>
  <c r="F876" i="103"/>
  <c r="F871" i="103"/>
  <c r="F867" i="103"/>
  <c r="E872" i="103"/>
  <c r="E879" i="103"/>
  <c r="E875" i="103"/>
  <c r="E870" i="103"/>
  <c r="E866" i="103"/>
  <c r="E877" i="103"/>
  <c r="E868" i="103"/>
  <c r="F878" i="103"/>
  <c r="F873" i="103"/>
  <c r="F865" i="103"/>
  <c r="C862" i="103"/>
  <c r="F869" i="103"/>
  <c r="G882" i="103"/>
  <c r="E20" i="103"/>
  <c r="E18" i="103"/>
  <c r="E15" i="103"/>
  <c r="E13" i="103"/>
  <c r="E11" i="103"/>
  <c r="E9" i="103"/>
  <c r="E7" i="103"/>
  <c r="G24" i="103"/>
  <c r="C4" i="103"/>
  <c r="F20" i="103"/>
  <c r="F15" i="103"/>
  <c r="F11" i="103"/>
  <c r="F7" i="103"/>
  <c r="F21" i="103"/>
  <c r="F19" i="103"/>
  <c r="F17" i="103"/>
  <c r="F14" i="103"/>
  <c r="F12" i="103"/>
  <c r="F10" i="103"/>
  <c r="F8" i="103"/>
  <c r="F18" i="103"/>
  <c r="F13" i="103"/>
  <c r="F9" i="103"/>
  <c r="E21" i="103"/>
  <c r="E12" i="103"/>
  <c r="E8" i="103"/>
  <c r="E14" i="103"/>
  <c r="E17" i="103"/>
  <c r="E10" i="103"/>
  <c r="E19" i="103"/>
  <c r="E64" i="103"/>
  <c r="E62" i="103"/>
  <c r="E59" i="103"/>
  <c r="E57" i="103"/>
  <c r="E55" i="103"/>
  <c r="E53" i="103"/>
  <c r="E51" i="103"/>
  <c r="F62" i="103"/>
  <c r="F57" i="103"/>
  <c r="F53" i="103"/>
  <c r="F65" i="103"/>
  <c r="F63" i="103"/>
  <c r="F61" i="103"/>
  <c r="F58" i="103"/>
  <c r="F56" i="103"/>
  <c r="F54" i="103"/>
  <c r="F52" i="103"/>
  <c r="F64" i="103"/>
  <c r="F59" i="103"/>
  <c r="F55" i="103"/>
  <c r="F51" i="103"/>
  <c r="E61" i="103"/>
  <c r="E52" i="103"/>
  <c r="C48" i="103"/>
  <c r="E56" i="103"/>
  <c r="G68" i="103"/>
  <c r="E63" i="103"/>
  <c r="E54" i="103"/>
  <c r="E65" i="103"/>
  <c r="E58" i="103"/>
  <c r="E108" i="103"/>
  <c r="E106" i="103"/>
  <c r="E103" i="103"/>
  <c r="E101" i="103"/>
  <c r="E99" i="103"/>
  <c r="E97" i="103"/>
  <c r="E95" i="103"/>
  <c r="F106" i="103"/>
  <c r="F101" i="103"/>
  <c r="F97" i="103"/>
  <c r="F109" i="103"/>
  <c r="F107" i="103"/>
  <c r="F105" i="103"/>
  <c r="F102" i="103"/>
  <c r="F100" i="103"/>
  <c r="F98" i="103"/>
  <c r="F96" i="103"/>
  <c r="G112" i="103"/>
  <c r="C92" i="103"/>
  <c r="F108" i="103"/>
  <c r="F103" i="103"/>
  <c r="F99" i="103"/>
  <c r="F95" i="103"/>
  <c r="E109" i="103"/>
  <c r="E100" i="103"/>
  <c r="E105" i="103"/>
  <c r="E102" i="103"/>
  <c r="E96" i="103"/>
  <c r="E98" i="103"/>
  <c r="E107" i="103"/>
  <c r="E152" i="103"/>
  <c r="E150" i="103"/>
  <c r="E147" i="103"/>
  <c r="E145" i="103"/>
  <c r="E143" i="103"/>
  <c r="E141" i="103"/>
  <c r="E139" i="103"/>
  <c r="F153" i="103"/>
  <c r="F151" i="103"/>
  <c r="F149" i="103"/>
  <c r="F146" i="103"/>
  <c r="F144" i="103"/>
  <c r="F142" i="103"/>
  <c r="F140" i="103"/>
  <c r="F152" i="103"/>
  <c r="F147" i="103"/>
  <c r="F143" i="103"/>
  <c r="F139" i="103"/>
  <c r="E153" i="103"/>
  <c r="E144" i="103"/>
  <c r="E151" i="103"/>
  <c r="E146" i="103"/>
  <c r="E142" i="103"/>
  <c r="E149" i="103"/>
  <c r="E140" i="103"/>
  <c r="F150" i="103"/>
  <c r="F141" i="103"/>
  <c r="C136" i="103"/>
  <c r="G156" i="103"/>
  <c r="F145" i="103"/>
  <c r="E196" i="103"/>
  <c r="E194" i="103"/>
  <c r="E191" i="103"/>
  <c r="E189" i="103"/>
  <c r="E187" i="103"/>
  <c r="E185" i="103"/>
  <c r="E183" i="103"/>
  <c r="F197" i="103"/>
  <c r="F195" i="103"/>
  <c r="F193" i="103"/>
  <c r="F190" i="103"/>
  <c r="F188" i="103"/>
  <c r="F186" i="103"/>
  <c r="F184" i="103"/>
  <c r="F196" i="103"/>
  <c r="F191" i="103"/>
  <c r="F187" i="103"/>
  <c r="F183" i="103"/>
  <c r="E197" i="103"/>
  <c r="E188" i="103"/>
  <c r="E195" i="103"/>
  <c r="E190" i="103"/>
  <c r="E186" i="103"/>
  <c r="E193" i="103"/>
  <c r="E184" i="103"/>
  <c r="F185" i="103"/>
  <c r="F189" i="103"/>
  <c r="G200" i="103"/>
  <c r="C180" i="103"/>
  <c r="F194" i="103"/>
  <c r="E240" i="103"/>
  <c r="E238" i="103"/>
  <c r="E235" i="103"/>
  <c r="E233" i="103"/>
  <c r="E231" i="103"/>
  <c r="E229" i="103"/>
  <c r="E227" i="103"/>
  <c r="F241" i="103"/>
  <c r="F239" i="103"/>
  <c r="F237" i="103"/>
  <c r="F234" i="103"/>
  <c r="F232" i="103"/>
  <c r="F230" i="103"/>
  <c r="F228" i="103"/>
  <c r="F240" i="103"/>
  <c r="F235" i="103"/>
  <c r="F231" i="103"/>
  <c r="F227" i="103"/>
  <c r="G244" i="103"/>
  <c r="C224" i="103"/>
  <c r="E237" i="103"/>
  <c r="E228" i="103"/>
  <c r="E239" i="103"/>
  <c r="E234" i="103"/>
  <c r="E230" i="103"/>
  <c r="E241" i="103"/>
  <c r="E232" i="103"/>
  <c r="F229" i="103"/>
  <c r="F233" i="103"/>
  <c r="F238" i="103"/>
  <c r="E284" i="103"/>
  <c r="E282" i="103"/>
  <c r="E279" i="103"/>
  <c r="E277" i="103"/>
  <c r="E275" i="103"/>
  <c r="E273" i="103"/>
  <c r="E271" i="103"/>
  <c r="F285" i="103"/>
  <c r="F283" i="103"/>
  <c r="F281" i="103"/>
  <c r="F278" i="103"/>
  <c r="F276" i="103"/>
  <c r="F274" i="103"/>
  <c r="F272" i="103"/>
  <c r="F284" i="103"/>
  <c r="F279" i="103"/>
  <c r="F275" i="103"/>
  <c r="F271" i="103"/>
  <c r="E281" i="103"/>
  <c r="E272" i="103"/>
  <c r="E283" i="103"/>
  <c r="E278" i="103"/>
  <c r="E274" i="103"/>
  <c r="E285" i="103"/>
  <c r="E276" i="103"/>
  <c r="F277" i="103"/>
  <c r="F282" i="103"/>
  <c r="F273" i="103"/>
  <c r="G288" i="103"/>
  <c r="C268" i="103"/>
  <c r="E328" i="103"/>
  <c r="E326" i="103"/>
  <c r="E323" i="103"/>
  <c r="E321" i="103"/>
  <c r="E319" i="103"/>
  <c r="E317" i="103"/>
  <c r="E315" i="103"/>
  <c r="F329" i="103"/>
  <c r="F327" i="103"/>
  <c r="F325" i="103"/>
  <c r="F322" i="103"/>
  <c r="F320" i="103"/>
  <c r="F318" i="103"/>
  <c r="F316" i="103"/>
  <c r="F328" i="103"/>
  <c r="F323" i="103"/>
  <c r="F319" i="103"/>
  <c r="G319" i="103" s="1"/>
  <c r="F315" i="103"/>
  <c r="E325" i="103"/>
  <c r="E327" i="103"/>
  <c r="E322" i="103"/>
  <c r="E318" i="103"/>
  <c r="G332" i="103"/>
  <c r="C312" i="103"/>
  <c r="E329" i="103"/>
  <c r="E320" i="103"/>
  <c r="E316" i="103"/>
  <c r="F326" i="103"/>
  <c r="F317" i="103"/>
  <c r="F321" i="103"/>
  <c r="E372" i="103"/>
  <c r="E370" i="103"/>
  <c r="E367" i="103"/>
  <c r="E365" i="103"/>
  <c r="E363" i="103"/>
  <c r="E361" i="103"/>
  <c r="E359" i="103"/>
  <c r="F373" i="103"/>
  <c r="F371" i="103"/>
  <c r="F369" i="103"/>
  <c r="F366" i="103"/>
  <c r="F364" i="103"/>
  <c r="F362" i="103"/>
  <c r="F360" i="103"/>
  <c r="F372" i="103"/>
  <c r="F367" i="103"/>
  <c r="F363" i="103"/>
  <c r="F359" i="103"/>
  <c r="G376" i="103"/>
  <c r="C356" i="103"/>
  <c r="E369" i="103"/>
  <c r="E360" i="103"/>
  <c r="E371" i="103"/>
  <c r="E366" i="103"/>
  <c r="E362" i="103"/>
  <c r="E373" i="103"/>
  <c r="E364" i="103"/>
  <c r="F361" i="103"/>
  <c r="F365" i="103"/>
  <c r="F370" i="103"/>
  <c r="E416" i="103"/>
  <c r="E414" i="103"/>
  <c r="E411" i="103"/>
  <c r="E409" i="103"/>
  <c r="E407" i="103"/>
  <c r="E405" i="103"/>
  <c r="E403" i="103"/>
  <c r="F417" i="103"/>
  <c r="F415" i="103"/>
  <c r="F413" i="103"/>
  <c r="F410" i="103"/>
  <c r="F408" i="103"/>
  <c r="F406" i="103"/>
  <c r="F404" i="103"/>
  <c r="F416" i="103"/>
  <c r="F411" i="103"/>
  <c r="F407" i="103"/>
  <c r="F403" i="103"/>
  <c r="E417" i="103"/>
  <c r="E408" i="103"/>
  <c r="E415" i="103"/>
  <c r="E410" i="103"/>
  <c r="E406" i="103"/>
  <c r="E413" i="103"/>
  <c r="E404" i="103"/>
  <c r="F405" i="103"/>
  <c r="F414" i="103"/>
  <c r="F409" i="103"/>
  <c r="C400" i="103"/>
  <c r="G420" i="103"/>
  <c r="E460" i="103"/>
  <c r="E458" i="103"/>
  <c r="E455" i="103"/>
  <c r="E453" i="103"/>
  <c r="E451" i="103"/>
  <c r="E449" i="103"/>
  <c r="E447" i="103"/>
  <c r="F461" i="103"/>
  <c r="F459" i="103"/>
  <c r="F457" i="103"/>
  <c r="F454" i="103"/>
  <c r="F452" i="103"/>
  <c r="F450" i="103"/>
  <c r="F448" i="103"/>
  <c r="F460" i="103"/>
  <c r="F455" i="103"/>
  <c r="F451" i="103"/>
  <c r="F447" i="103"/>
  <c r="E461" i="103"/>
  <c r="E448" i="103"/>
  <c r="E459" i="103"/>
  <c r="E454" i="103"/>
  <c r="E450" i="103"/>
  <c r="E457" i="103"/>
  <c r="E452" i="103"/>
  <c r="F453" i="103"/>
  <c r="C444" i="103"/>
  <c r="G464" i="103"/>
  <c r="F458" i="103"/>
  <c r="F449" i="103"/>
  <c r="E504" i="103"/>
  <c r="E502" i="103"/>
  <c r="E499" i="103"/>
  <c r="E497" i="103"/>
  <c r="E495" i="103"/>
  <c r="E493" i="103"/>
  <c r="E491" i="103"/>
  <c r="F505" i="103"/>
  <c r="F503" i="103"/>
  <c r="F501" i="103"/>
  <c r="F498" i="103"/>
  <c r="F496" i="103"/>
  <c r="F494" i="103"/>
  <c r="F492" i="103"/>
  <c r="F504" i="103"/>
  <c r="F499" i="103"/>
  <c r="F495" i="103"/>
  <c r="F491" i="103"/>
  <c r="E501" i="103"/>
  <c r="E492" i="103"/>
  <c r="E503" i="103"/>
  <c r="E498" i="103"/>
  <c r="E494" i="103"/>
  <c r="G508" i="103"/>
  <c r="C488" i="103"/>
  <c r="E505" i="103"/>
  <c r="E496" i="103"/>
  <c r="F502" i="103"/>
  <c r="F493" i="103"/>
  <c r="F497" i="103"/>
  <c r="E548" i="103"/>
  <c r="E546" i="103"/>
  <c r="E543" i="103"/>
  <c r="E541" i="103"/>
  <c r="E539" i="103"/>
  <c r="E537" i="103"/>
  <c r="E535" i="103"/>
  <c r="F549" i="103"/>
  <c r="F547" i="103"/>
  <c r="F545" i="103"/>
  <c r="F542" i="103"/>
  <c r="F540" i="103"/>
  <c r="F538" i="103"/>
  <c r="F536" i="103"/>
  <c r="F548" i="103"/>
  <c r="F543" i="103"/>
  <c r="F539" i="103"/>
  <c r="F535" i="103"/>
  <c r="G552" i="103"/>
  <c r="C532" i="103"/>
  <c r="E549" i="103"/>
  <c r="E540" i="103"/>
  <c r="E547" i="103"/>
  <c r="E542" i="103"/>
  <c r="E538" i="103"/>
  <c r="E545" i="103"/>
  <c r="E536" i="103"/>
  <c r="F537" i="103"/>
  <c r="F541" i="103"/>
  <c r="F546" i="103"/>
  <c r="E592" i="103"/>
  <c r="E590" i="103"/>
  <c r="E587" i="103"/>
  <c r="E585" i="103"/>
  <c r="E583" i="103"/>
  <c r="E581" i="103"/>
  <c r="E579" i="103"/>
  <c r="F593" i="103"/>
  <c r="F591" i="103"/>
  <c r="F589" i="103"/>
  <c r="F586" i="103"/>
  <c r="F584" i="103"/>
  <c r="F582" i="103"/>
  <c r="F580" i="103"/>
  <c r="F592" i="103"/>
  <c r="F587" i="103"/>
  <c r="F583" i="103"/>
  <c r="F579" i="103"/>
  <c r="E589" i="103"/>
  <c r="E580" i="103"/>
  <c r="E591" i="103"/>
  <c r="E586" i="103"/>
  <c r="E582" i="103"/>
  <c r="E593" i="103"/>
  <c r="E584" i="103"/>
  <c r="F581" i="103"/>
  <c r="F585" i="103"/>
  <c r="G596" i="103"/>
  <c r="F590" i="103"/>
  <c r="C576" i="103"/>
  <c r="E636" i="103"/>
  <c r="E634" i="103"/>
  <c r="E631" i="103"/>
  <c r="E629" i="103"/>
  <c r="E627" i="103"/>
  <c r="E625" i="103"/>
  <c r="E623" i="103"/>
  <c r="F637" i="103"/>
  <c r="F635" i="103"/>
  <c r="F633" i="103"/>
  <c r="F630" i="103"/>
  <c r="F628" i="103"/>
  <c r="F626" i="103"/>
  <c r="F624" i="103"/>
  <c r="F636" i="103"/>
  <c r="F631" i="103"/>
  <c r="F627" i="103"/>
  <c r="F623" i="103"/>
  <c r="E637" i="103"/>
  <c r="E628" i="103"/>
  <c r="E635" i="103"/>
  <c r="E630" i="103"/>
  <c r="E626" i="103"/>
  <c r="E633" i="103"/>
  <c r="E624" i="103"/>
  <c r="F629" i="103"/>
  <c r="G640" i="103"/>
  <c r="F634" i="103"/>
  <c r="C620" i="103"/>
  <c r="F625" i="103"/>
  <c r="E680" i="103"/>
  <c r="E678" i="103"/>
  <c r="E675" i="103"/>
  <c r="E673" i="103"/>
  <c r="E671" i="103"/>
  <c r="E669" i="103"/>
  <c r="E667" i="103"/>
  <c r="F681" i="103"/>
  <c r="F679" i="103"/>
  <c r="F677" i="103"/>
  <c r="F674" i="103"/>
  <c r="F672" i="103"/>
  <c r="F670" i="103"/>
  <c r="F668" i="103"/>
  <c r="F680" i="103"/>
  <c r="F675" i="103"/>
  <c r="F671" i="103"/>
  <c r="F667" i="103"/>
  <c r="E677" i="103"/>
  <c r="E668" i="103"/>
  <c r="E679" i="103"/>
  <c r="E674" i="103"/>
  <c r="E670" i="103"/>
  <c r="G684" i="103"/>
  <c r="C664" i="103"/>
  <c r="E681" i="103"/>
  <c r="E672" i="103"/>
  <c r="F678" i="103"/>
  <c r="F669" i="103"/>
  <c r="F673" i="103"/>
  <c r="E724" i="103"/>
  <c r="E722" i="103"/>
  <c r="E719" i="103"/>
  <c r="E717" i="103"/>
  <c r="E715" i="103"/>
  <c r="E713" i="103"/>
  <c r="E711" i="103"/>
  <c r="F725" i="103"/>
  <c r="F723" i="103"/>
  <c r="F721" i="103"/>
  <c r="F718" i="103"/>
  <c r="F716" i="103"/>
  <c r="F714" i="103"/>
  <c r="F712" i="103"/>
  <c r="F724" i="103"/>
  <c r="F719" i="103"/>
  <c r="F715" i="103"/>
  <c r="F711" i="103"/>
  <c r="G728" i="103"/>
  <c r="C708" i="103"/>
  <c r="E725" i="103"/>
  <c r="E716" i="103"/>
  <c r="E723" i="103"/>
  <c r="E718" i="103"/>
  <c r="E714" i="103"/>
  <c r="E721" i="103"/>
  <c r="E712" i="103"/>
  <c r="F717" i="103"/>
  <c r="F713" i="103"/>
  <c r="F722" i="103"/>
  <c r="E768" i="103"/>
  <c r="E766" i="103"/>
  <c r="E763" i="103"/>
  <c r="E761" i="103"/>
  <c r="E759" i="103"/>
  <c r="E757" i="103"/>
  <c r="E755" i="103"/>
  <c r="F769" i="103"/>
  <c r="F767" i="103"/>
  <c r="F765" i="103"/>
  <c r="F762" i="103"/>
  <c r="F760" i="103"/>
  <c r="F758" i="103"/>
  <c r="F756" i="103"/>
  <c r="F768" i="103"/>
  <c r="F763" i="103"/>
  <c r="F759" i="103"/>
  <c r="F755" i="103"/>
  <c r="E765" i="103"/>
  <c r="E756" i="103"/>
  <c r="E767" i="103"/>
  <c r="E762" i="103"/>
  <c r="E758" i="103"/>
  <c r="E769" i="103"/>
  <c r="E760" i="103"/>
  <c r="F757" i="103"/>
  <c r="F761" i="103"/>
  <c r="C752" i="103"/>
  <c r="F766" i="103"/>
  <c r="G772" i="103"/>
  <c r="E812" i="103"/>
  <c r="E810" i="103"/>
  <c r="E807" i="103"/>
  <c r="E805" i="103"/>
  <c r="E803" i="103"/>
  <c r="E801" i="103"/>
  <c r="E799" i="103"/>
  <c r="F813" i="103"/>
  <c r="F811" i="103"/>
  <c r="F809" i="103"/>
  <c r="F806" i="103"/>
  <c r="F804" i="103"/>
  <c r="F802" i="103"/>
  <c r="F800" i="103"/>
  <c r="F812" i="103"/>
  <c r="F807" i="103"/>
  <c r="F803" i="103"/>
  <c r="F799" i="103"/>
  <c r="E809" i="103"/>
  <c r="E811" i="103"/>
  <c r="E806" i="103"/>
  <c r="E802" i="103"/>
  <c r="E813" i="103"/>
  <c r="E804" i="103"/>
  <c r="G804" i="103" s="1"/>
  <c r="E800" i="103"/>
  <c r="F805" i="103"/>
  <c r="C796" i="103"/>
  <c r="F810" i="103"/>
  <c r="G816" i="103"/>
  <c r="F801" i="103"/>
  <c r="E856" i="103"/>
  <c r="E854" i="103"/>
  <c r="E851" i="103"/>
  <c r="E849" i="103"/>
  <c r="E847" i="103"/>
  <c r="E845" i="103"/>
  <c r="E843" i="103"/>
  <c r="F857" i="103"/>
  <c r="F855" i="103"/>
  <c r="F853" i="103"/>
  <c r="F850" i="103"/>
  <c r="F848" i="103"/>
  <c r="F846" i="103"/>
  <c r="F844" i="103"/>
  <c r="F856" i="103"/>
  <c r="F851" i="103"/>
  <c r="F847" i="103"/>
  <c r="F843" i="103"/>
  <c r="E857" i="103"/>
  <c r="E848" i="103"/>
  <c r="E855" i="103"/>
  <c r="E850" i="103"/>
  <c r="E846" i="103"/>
  <c r="G860" i="103"/>
  <c r="C840" i="103"/>
  <c r="E853" i="103"/>
  <c r="E844" i="103"/>
  <c r="F854" i="103"/>
  <c r="F845" i="103"/>
  <c r="F849" i="103"/>
  <c r="E900" i="103"/>
  <c r="E898" i="103"/>
  <c r="E895" i="103"/>
  <c r="E893" i="103"/>
  <c r="E891" i="103"/>
  <c r="E889" i="103"/>
  <c r="E887" i="103"/>
  <c r="F901" i="103"/>
  <c r="F899" i="103"/>
  <c r="F897" i="103"/>
  <c r="F894" i="103"/>
  <c r="F892" i="103"/>
  <c r="F890" i="103"/>
  <c r="F888" i="103"/>
  <c r="F900" i="103"/>
  <c r="F895" i="103"/>
  <c r="F891" i="103"/>
  <c r="F887" i="103"/>
  <c r="G904" i="103"/>
  <c r="C884" i="103"/>
  <c r="E901" i="103"/>
  <c r="E892" i="103"/>
  <c r="E899" i="103"/>
  <c r="E894" i="103"/>
  <c r="E890" i="103"/>
  <c r="E897" i="103"/>
  <c r="E888" i="103"/>
  <c r="F889" i="103"/>
  <c r="F893" i="103"/>
  <c r="F898" i="103"/>
  <c r="E42" i="103"/>
  <c r="E40" i="103"/>
  <c r="E37" i="103"/>
  <c r="E35" i="103"/>
  <c r="E33" i="103"/>
  <c r="E31" i="103"/>
  <c r="E29" i="103"/>
  <c r="G46" i="103"/>
  <c r="F40" i="103"/>
  <c r="F35" i="103"/>
  <c r="F31" i="103"/>
  <c r="F43" i="103"/>
  <c r="F41" i="103"/>
  <c r="F39" i="103"/>
  <c r="F36" i="103"/>
  <c r="F34" i="103"/>
  <c r="F32" i="103"/>
  <c r="F30" i="103"/>
  <c r="F42" i="103"/>
  <c r="F37" i="103"/>
  <c r="F33" i="103"/>
  <c r="F29" i="103"/>
  <c r="E36" i="103"/>
  <c r="C26" i="103"/>
  <c r="E32" i="103"/>
  <c r="E39" i="103"/>
  <c r="E30" i="103"/>
  <c r="E41" i="103"/>
  <c r="E43" i="103"/>
  <c r="E34" i="103"/>
  <c r="E130" i="103"/>
  <c r="E128" i="103"/>
  <c r="E125" i="103"/>
  <c r="E123" i="103"/>
  <c r="F131" i="103"/>
  <c r="F129" i="103"/>
  <c r="F127" i="103"/>
  <c r="F124" i="103"/>
  <c r="F128" i="103"/>
  <c r="F123" i="103"/>
  <c r="E121" i="103"/>
  <c r="E119" i="103"/>
  <c r="E117" i="103"/>
  <c r="E129" i="103"/>
  <c r="F121" i="103"/>
  <c r="F117" i="103"/>
  <c r="E131" i="103"/>
  <c r="E127" i="103"/>
  <c r="F122" i="103"/>
  <c r="F120" i="103"/>
  <c r="F118" i="103"/>
  <c r="G134" i="103"/>
  <c r="E124" i="103"/>
  <c r="F119" i="103"/>
  <c r="F125" i="103"/>
  <c r="F130" i="103"/>
  <c r="E118" i="103"/>
  <c r="C114" i="103"/>
  <c r="E120" i="103"/>
  <c r="E122" i="103"/>
  <c r="E218" i="103"/>
  <c r="E216" i="103"/>
  <c r="E213" i="103"/>
  <c r="E211" i="103"/>
  <c r="E209" i="103"/>
  <c r="E207" i="103"/>
  <c r="E205" i="103"/>
  <c r="F219" i="103"/>
  <c r="F217" i="103"/>
  <c r="F215" i="103"/>
  <c r="F212" i="103"/>
  <c r="F210" i="103"/>
  <c r="F208" i="103"/>
  <c r="F206" i="103"/>
  <c r="F216" i="103"/>
  <c r="F211" i="103"/>
  <c r="F207" i="103"/>
  <c r="C202" i="103"/>
  <c r="E212" i="103"/>
  <c r="E219" i="103"/>
  <c r="E215" i="103"/>
  <c r="E210" i="103"/>
  <c r="E206" i="103"/>
  <c r="E217" i="103"/>
  <c r="E208" i="103"/>
  <c r="F205" i="103"/>
  <c r="F213" i="103"/>
  <c r="G222" i="103"/>
  <c r="F209" i="103"/>
  <c r="F218" i="103"/>
  <c r="E262" i="103"/>
  <c r="E260" i="103"/>
  <c r="E257" i="103"/>
  <c r="E255" i="103"/>
  <c r="E253" i="103"/>
  <c r="E251" i="103"/>
  <c r="E249" i="103"/>
  <c r="F263" i="103"/>
  <c r="F261" i="103"/>
  <c r="F259" i="103"/>
  <c r="F256" i="103"/>
  <c r="F254" i="103"/>
  <c r="F252" i="103"/>
  <c r="F250" i="103"/>
  <c r="F260" i="103"/>
  <c r="F255" i="103"/>
  <c r="F251" i="103"/>
  <c r="E256" i="103"/>
  <c r="E252" i="103"/>
  <c r="E263" i="103"/>
  <c r="E259" i="103"/>
  <c r="E254" i="103"/>
  <c r="E250" i="103"/>
  <c r="G266" i="103"/>
  <c r="E261" i="103"/>
  <c r="F253" i="103"/>
  <c r="F262" i="103"/>
  <c r="C246" i="103"/>
  <c r="F257" i="103"/>
  <c r="F249" i="103"/>
  <c r="E350" i="103"/>
  <c r="E348" i="103"/>
  <c r="E345" i="103"/>
  <c r="E343" i="103"/>
  <c r="E341" i="103"/>
  <c r="E339" i="103"/>
  <c r="E337" i="103"/>
  <c r="F351" i="103"/>
  <c r="F349" i="103"/>
  <c r="F347" i="103"/>
  <c r="F344" i="103"/>
  <c r="F342" i="103"/>
  <c r="F340" i="103"/>
  <c r="F338" i="103"/>
  <c r="F348" i="103"/>
  <c r="F343" i="103"/>
  <c r="F339" i="103"/>
  <c r="E349" i="103"/>
  <c r="E340" i="103"/>
  <c r="E351" i="103"/>
  <c r="E347" i="103"/>
  <c r="E342" i="103"/>
  <c r="E338" i="103"/>
  <c r="E344" i="103"/>
  <c r="F350" i="103"/>
  <c r="G354" i="103"/>
  <c r="F341" i="103"/>
  <c r="F337" i="103"/>
  <c r="F345" i="103"/>
  <c r="C334" i="103"/>
  <c r="E438" i="103"/>
  <c r="E436" i="103"/>
  <c r="E433" i="103"/>
  <c r="E431" i="103"/>
  <c r="E429" i="103"/>
  <c r="E427" i="103"/>
  <c r="E425" i="103"/>
  <c r="F439" i="103"/>
  <c r="F437" i="103"/>
  <c r="F435" i="103"/>
  <c r="F432" i="103"/>
  <c r="F430" i="103"/>
  <c r="F428" i="103"/>
  <c r="F426" i="103"/>
  <c r="F436" i="103"/>
  <c r="F431" i="103"/>
  <c r="F427" i="103"/>
  <c r="G442" i="103"/>
  <c r="E432" i="103"/>
  <c r="E439" i="103"/>
  <c r="E435" i="103"/>
  <c r="E430" i="103"/>
  <c r="E426" i="103"/>
  <c r="C422" i="103"/>
  <c r="E437" i="103"/>
  <c r="E428" i="103"/>
  <c r="F429" i="103"/>
  <c r="F433" i="103"/>
  <c r="F438" i="103"/>
  <c r="F425" i="103"/>
  <c r="E526" i="103"/>
  <c r="E524" i="103"/>
  <c r="E521" i="103"/>
  <c r="E519" i="103"/>
  <c r="E517" i="103"/>
  <c r="E515" i="103"/>
  <c r="E513" i="103"/>
  <c r="F527" i="103"/>
  <c r="F525" i="103"/>
  <c r="F523" i="103"/>
  <c r="F520" i="103"/>
  <c r="F518" i="103"/>
  <c r="F516" i="103"/>
  <c r="F514" i="103"/>
  <c r="F524" i="103"/>
  <c r="F519" i="103"/>
  <c r="F515" i="103"/>
  <c r="E525" i="103"/>
  <c r="E516" i="103"/>
  <c r="E527" i="103"/>
  <c r="E523" i="103"/>
  <c r="E518" i="103"/>
  <c r="E514" i="103"/>
  <c r="E520" i="103"/>
  <c r="F526" i="103"/>
  <c r="G530" i="103"/>
  <c r="F517" i="103"/>
  <c r="F513" i="103"/>
  <c r="C510" i="103"/>
  <c r="F521" i="103"/>
  <c r="E614" i="103"/>
  <c r="E612" i="103"/>
  <c r="E609" i="103"/>
  <c r="E607" i="103"/>
  <c r="E605" i="103"/>
  <c r="E603" i="103"/>
  <c r="E601" i="103"/>
  <c r="F615" i="103"/>
  <c r="F613" i="103"/>
  <c r="F611" i="103"/>
  <c r="F608" i="103"/>
  <c r="F606" i="103"/>
  <c r="F604" i="103"/>
  <c r="F602" i="103"/>
  <c r="F612" i="103"/>
  <c r="F607" i="103"/>
  <c r="F603" i="103"/>
  <c r="G618" i="103"/>
  <c r="E613" i="103"/>
  <c r="E604" i="103"/>
  <c r="E615" i="103"/>
  <c r="E611" i="103"/>
  <c r="E606" i="103"/>
  <c r="E602" i="103"/>
  <c r="C598" i="103"/>
  <c r="E608" i="103"/>
  <c r="F605" i="103"/>
  <c r="F614" i="103"/>
  <c r="F609" i="103"/>
  <c r="F601" i="103"/>
  <c r="E702" i="103"/>
  <c r="E700" i="103"/>
  <c r="E697" i="103"/>
  <c r="E695" i="103"/>
  <c r="E693" i="103"/>
  <c r="E691" i="103"/>
  <c r="E689" i="103"/>
  <c r="F703" i="103"/>
  <c r="F701" i="103"/>
  <c r="F699" i="103"/>
  <c r="F696" i="103"/>
  <c r="F694" i="103"/>
  <c r="F692" i="103"/>
  <c r="F690" i="103"/>
  <c r="F700" i="103"/>
  <c r="F695" i="103"/>
  <c r="F691" i="103"/>
  <c r="E701" i="103"/>
  <c r="E692" i="103"/>
  <c r="E703" i="103"/>
  <c r="E699" i="103"/>
  <c r="E694" i="103"/>
  <c r="E690" i="103"/>
  <c r="E696" i="103"/>
  <c r="F702" i="103"/>
  <c r="G706" i="103"/>
  <c r="F689" i="103"/>
  <c r="F693" i="103"/>
  <c r="F697" i="103"/>
  <c r="C686" i="103"/>
  <c r="E790" i="103"/>
  <c r="E788" i="103"/>
  <c r="E785" i="103"/>
  <c r="E783" i="103"/>
  <c r="E781" i="103"/>
  <c r="E779" i="103"/>
  <c r="E777" i="103"/>
  <c r="F791" i="103"/>
  <c r="F789" i="103"/>
  <c r="F787" i="103"/>
  <c r="F784" i="103"/>
  <c r="F782" i="103"/>
  <c r="F780" i="103"/>
  <c r="F778" i="103"/>
  <c r="F788" i="103"/>
  <c r="F783" i="103"/>
  <c r="F779" i="103"/>
  <c r="G794" i="103"/>
  <c r="E789" i="103"/>
  <c r="E780" i="103"/>
  <c r="E791" i="103"/>
  <c r="E787" i="103"/>
  <c r="E782" i="103"/>
  <c r="E778" i="103"/>
  <c r="C774" i="103"/>
  <c r="E784" i="103"/>
  <c r="F781" i="103"/>
  <c r="F790" i="103"/>
  <c r="F777" i="103"/>
  <c r="F785" i="103"/>
  <c r="E922" i="103"/>
  <c r="E920" i="103"/>
  <c r="E917" i="103"/>
  <c r="E915" i="103"/>
  <c r="E913" i="103"/>
  <c r="E911" i="103"/>
  <c r="E909" i="103"/>
  <c r="F923" i="103"/>
  <c r="F921" i="103"/>
  <c r="F919" i="103"/>
  <c r="F916" i="103"/>
  <c r="F914" i="103"/>
  <c r="F912" i="103"/>
  <c r="F910" i="103"/>
  <c r="F920" i="103"/>
  <c r="F915" i="103"/>
  <c r="F911" i="103"/>
  <c r="E921" i="103"/>
  <c r="E923" i="103"/>
  <c r="E919" i="103"/>
  <c r="E914" i="103"/>
  <c r="E910" i="103"/>
  <c r="E916" i="103"/>
  <c r="E912" i="103"/>
  <c r="F909" i="103"/>
  <c r="C906" i="103"/>
  <c r="F917" i="103"/>
  <c r="F922" i="103"/>
  <c r="F913" i="103"/>
  <c r="G926" i="103"/>
  <c r="E20" i="111"/>
  <c r="E18" i="111"/>
  <c r="E15" i="111"/>
  <c r="E13" i="111"/>
  <c r="E11" i="111"/>
  <c r="E9" i="111"/>
  <c r="E7" i="111"/>
  <c r="F21" i="111"/>
  <c r="F19" i="111"/>
  <c r="F17" i="111"/>
  <c r="F14" i="111"/>
  <c r="F12" i="111"/>
  <c r="F10" i="111"/>
  <c r="F8" i="111"/>
  <c r="E21" i="111"/>
  <c r="E17" i="111"/>
  <c r="E12" i="111"/>
  <c r="E8" i="111"/>
  <c r="G24" i="111"/>
  <c r="F18" i="111"/>
  <c r="F9" i="111"/>
  <c r="E14" i="111"/>
  <c r="F20" i="111"/>
  <c r="F15" i="111"/>
  <c r="F11" i="111"/>
  <c r="F7" i="111"/>
  <c r="F13" i="111"/>
  <c r="C4" i="111"/>
  <c r="E19" i="111"/>
  <c r="E10" i="111"/>
  <c r="E108" i="111"/>
  <c r="E106" i="111"/>
  <c r="E103" i="111"/>
  <c r="E101" i="111"/>
  <c r="E99" i="111"/>
  <c r="E97" i="111"/>
  <c r="E95" i="111"/>
  <c r="G112" i="111"/>
  <c r="F109" i="111"/>
  <c r="F107" i="111"/>
  <c r="F105" i="111"/>
  <c r="F102" i="111"/>
  <c r="F100" i="111"/>
  <c r="F98" i="111"/>
  <c r="F96" i="111"/>
  <c r="C92" i="111"/>
  <c r="E109" i="111"/>
  <c r="E105" i="111"/>
  <c r="E100" i="111"/>
  <c r="E96" i="111"/>
  <c r="F106" i="111"/>
  <c r="F97" i="111"/>
  <c r="E102" i="111"/>
  <c r="F108" i="111"/>
  <c r="F103" i="111"/>
  <c r="F99" i="111"/>
  <c r="F95" i="111"/>
  <c r="F101" i="111"/>
  <c r="E107" i="111"/>
  <c r="E98" i="111"/>
  <c r="E196" i="111"/>
  <c r="E194" i="111"/>
  <c r="E191" i="111"/>
  <c r="E189" i="111"/>
  <c r="E187" i="111"/>
  <c r="E185" i="111"/>
  <c r="E183" i="111"/>
  <c r="F197" i="111"/>
  <c r="F195" i="111"/>
  <c r="F193" i="111"/>
  <c r="F190" i="111"/>
  <c r="F188" i="111"/>
  <c r="F186" i="111"/>
  <c r="F184" i="111"/>
  <c r="F196" i="111"/>
  <c r="F191" i="111"/>
  <c r="F187" i="111"/>
  <c r="F183" i="111"/>
  <c r="E193" i="111"/>
  <c r="E184" i="111"/>
  <c r="E195" i="111"/>
  <c r="E190" i="111"/>
  <c r="E186" i="111"/>
  <c r="E197" i="111"/>
  <c r="E188" i="111"/>
  <c r="F194" i="111"/>
  <c r="F185" i="111"/>
  <c r="G200" i="111"/>
  <c r="F189" i="111"/>
  <c r="C180" i="111"/>
  <c r="E284" i="111"/>
  <c r="E282" i="111"/>
  <c r="E279" i="111"/>
  <c r="E277" i="111"/>
  <c r="E275" i="111"/>
  <c r="E273" i="111"/>
  <c r="E271" i="111"/>
  <c r="F285" i="111"/>
  <c r="F283" i="111"/>
  <c r="F281" i="111"/>
  <c r="F278" i="111"/>
  <c r="F276" i="111"/>
  <c r="F274" i="111"/>
  <c r="F272" i="111"/>
  <c r="F284" i="111"/>
  <c r="F279" i="111"/>
  <c r="F275" i="111"/>
  <c r="F271" i="111"/>
  <c r="E281" i="111"/>
  <c r="E272" i="111"/>
  <c r="E283" i="111"/>
  <c r="E278" i="111"/>
  <c r="E274" i="111"/>
  <c r="G288" i="111"/>
  <c r="C268" i="111"/>
  <c r="E285" i="111"/>
  <c r="E276" i="111"/>
  <c r="F273" i="111"/>
  <c r="F282" i="111"/>
  <c r="F277" i="111"/>
  <c r="E372" i="111"/>
  <c r="E370" i="111"/>
  <c r="E367" i="111"/>
  <c r="E365" i="111"/>
  <c r="E363" i="111"/>
  <c r="E361" i="111"/>
  <c r="E359" i="111"/>
  <c r="F373" i="111"/>
  <c r="F371" i="111"/>
  <c r="F369" i="111"/>
  <c r="F366" i="111"/>
  <c r="F364" i="111"/>
  <c r="F362" i="111"/>
  <c r="F360" i="111"/>
  <c r="F372" i="111"/>
  <c r="F367" i="111"/>
  <c r="F363" i="111"/>
  <c r="F359" i="111"/>
  <c r="E369" i="111"/>
  <c r="E360" i="111"/>
  <c r="E371" i="111"/>
  <c r="E366" i="111"/>
  <c r="E362" i="111"/>
  <c r="E373" i="111"/>
  <c r="E364" i="111"/>
  <c r="F370" i="111"/>
  <c r="C356" i="111"/>
  <c r="F365" i="111"/>
  <c r="G376" i="111"/>
  <c r="F361" i="111"/>
  <c r="E460" i="111"/>
  <c r="E458" i="111"/>
  <c r="E455" i="111"/>
  <c r="E453" i="111"/>
  <c r="E451" i="111"/>
  <c r="E449" i="111"/>
  <c r="E447" i="111"/>
  <c r="F461" i="111"/>
  <c r="F459" i="111"/>
  <c r="F457" i="111"/>
  <c r="F454" i="111"/>
  <c r="F452" i="111"/>
  <c r="F450" i="111"/>
  <c r="F448" i="111"/>
  <c r="F460" i="111"/>
  <c r="F455" i="111"/>
  <c r="F451" i="111"/>
  <c r="F447" i="111"/>
  <c r="G464" i="111"/>
  <c r="E457" i="111"/>
  <c r="E448" i="111"/>
  <c r="E459" i="111"/>
  <c r="E454" i="111"/>
  <c r="E450" i="111"/>
  <c r="E461" i="111"/>
  <c r="E452" i="111"/>
  <c r="F449" i="111"/>
  <c r="F453" i="111"/>
  <c r="C444" i="111"/>
  <c r="F458" i="111"/>
  <c r="E548" i="111"/>
  <c r="E546" i="111"/>
  <c r="E543" i="111"/>
  <c r="E541" i="111"/>
  <c r="E539" i="111"/>
  <c r="E537" i="111"/>
  <c r="E535" i="111"/>
  <c r="F549" i="111"/>
  <c r="F547" i="111"/>
  <c r="F545" i="111"/>
  <c r="F542" i="111"/>
  <c r="F540" i="111"/>
  <c r="F538" i="111"/>
  <c r="F536" i="111"/>
  <c r="F548" i="111"/>
  <c r="F543" i="111"/>
  <c r="F539" i="111"/>
  <c r="F535" i="111"/>
  <c r="E549" i="111"/>
  <c r="E540" i="111"/>
  <c r="E536" i="111"/>
  <c r="E547" i="111"/>
  <c r="E542" i="111"/>
  <c r="E538" i="111"/>
  <c r="E545" i="111"/>
  <c r="F546" i="111"/>
  <c r="F541" i="111"/>
  <c r="C532" i="111"/>
  <c r="F537" i="111"/>
  <c r="G552" i="111"/>
  <c r="E636" i="111"/>
  <c r="E634" i="111"/>
  <c r="E631" i="111"/>
  <c r="E629" i="111"/>
  <c r="E627" i="111"/>
  <c r="E625" i="111"/>
  <c r="E623" i="111"/>
  <c r="F637" i="111"/>
  <c r="F635" i="111"/>
  <c r="F633" i="111"/>
  <c r="F630" i="111"/>
  <c r="F628" i="111"/>
  <c r="F626" i="111"/>
  <c r="F624" i="111"/>
  <c r="F636" i="111"/>
  <c r="F631" i="111"/>
  <c r="F627" i="111"/>
  <c r="F623" i="111"/>
  <c r="E633" i="111"/>
  <c r="E624" i="111"/>
  <c r="E635" i="111"/>
  <c r="E630" i="111"/>
  <c r="E626" i="111"/>
  <c r="E637" i="111"/>
  <c r="E628" i="111"/>
  <c r="F625" i="111"/>
  <c r="G640" i="111"/>
  <c r="F629" i="111"/>
  <c r="C620" i="111"/>
  <c r="F634" i="111"/>
  <c r="E724" i="111"/>
  <c r="E722" i="111"/>
  <c r="E719" i="111"/>
  <c r="E717" i="111"/>
  <c r="E715" i="111"/>
  <c r="E713" i="111"/>
  <c r="E711" i="111"/>
  <c r="F725" i="111"/>
  <c r="F723" i="111"/>
  <c r="F721" i="111"/>
  <c r="F718" i="111"/>
  <c r="F716" i="111"/>
  <c r="F714" i="111"/>
  <c r="F712" i="111"/>
  <c r="F724" i="111"/>
  <c r="F719" i="111"/>
  <c r="F715" i="111"/>
  <c r="F711" i="111"/>
  <c r="C708" i="111"/>
  <c r="E721" i="111"/>
  <c r="E712" i="111"/>
  <c r="E723" i="111"/>
  <c r="E718" i="111"/>
  <c r="E714" i="111"/>
  <c r="E725" i="111"/>
  <c r="E716" i="111"/>
  <c r="F722" i="111"/>
  <c r="F713" i="111"/>
  <c r="F717" i="111"/>
  <c r="G728" i="111"/>
  <c r="E856" i="111"/>
  <c r="E854" i="111"/>
  <c r="E851" i="111"/>
  <c r="E849" i="111"/>
  <c r="E847" i="111"/>
  <c r="E845" i="111"/>
  <c r="E843" i="111"/>
  <c r="F857" i="111"/>
  <c r="F855" i="111"/>
  <c r="F853" i="111"/>
  <c r="F850" i="111"/>
  <c r="F848" i="111"/>
  <c r="F846" i="111"/>
  <c r="F844" i="111"/>
  <c r="F856" i="111"/>
  <c r="F851" i="111"/>
  <c r="F847" i="111"/>
  <c r="F843" i="111"/>
  <c r="G860" i="111"/>
  <c r="C840" i="111"/>
  <c r="E853" i="111"/>
  <c r="E844" i="111"/>
  <c r="E855" i="111"/>
  <c r="E850" i="111"/>
  <c r="E846" i="111"/>
  <c r="E857" i="111"/>
  <c r="E848" i="111"/>
  <c r="F849" i="111"/>
  <c r="F845" i="111"/>
  <c r="F854" i="111"/>
  <c r="E944" i="111"/>
  <c r="E942" i="111"/>
  <c r="E939" i="111"/>
  <c r="E937" i="111"/>
  <c r="E935" i="111"/>
  <c r="E933" i="111"/>
  <c r="E931" i="111"/>
  <c r="F945" i="111"/>
  <c r="F943" i="111"/>
  <c r="F941" i="111"/>
  <c r="F938" i="111"/>
  <c r="F936" i="111"/>
  <c r="F934" i="111"/>
  <c r="F932" i="111"/>
  <c r="F944" i="111"/>
  <c r="F939" i="111"/>
  <c r="F935" i="111"/>
  <c r="F931" i="111"/>
  <c r="E941" i="111"/>
  <c r="E932" i="111"/>
  <c r="E943" i="111"/>
  <c r="E938" i="111"/>
  <c r="E934" i="111"/>
  <c r="E945" i="111"/>
  <c r="E936" i="111"/>
  <c r="C928" i="111"/>
  <c r="F937" i="111"/>
  <c r="F942" i="111"/>
  <c r="G948" i="111"/>
  <c r="F933" i="111"/>
  <c r="E42" i="111"/>
  <c r="E40" i="111"/>
  <c r="E37" i="111"/>
  <c r="E35" i="111"/>
  <c r="E33" i="111"/>
  <c r="E31" i="111"/>
  <c r="E29" i="111"/>
  <c r="G46" i="111"/>
  <c r="C26" i="111"/>
  <c r="F43" i="111"/>
  <c r="F41" i="111"/>
  <c r="F39" i="111"/>
  <c r="F36" i="111"/>
  <c r="F34" i="111"/>
  <c r="F32" i="111"/>
  <c r="F30" i="111"/>
  <c r="E41" i="111"/>
  <c r="E36" i="111"/>
  <c r="E32" i="111"/>
  <c r="F42" i="111"/>
  <c r="F33" i="111"/>
  <c r="E39" i="111"/>
  <c r="E30" i="111"/>
  <c r="F40" i="111"/>
  <c r="F35" i="111"/>
  <c r="F31" i="111"/>
  <c r="F37" i="111"/>
  <c r="F29" i="111"/>
  <c r="E43" i="111"/>
  <c r="E34" i="111"/>
  <c r="E86" i="111"/>
  <c r="E84" i="111"/>
  <c r="E81" i="111"/>
  <c r="E79" i="111"/>
  <c r="E77" i="111"/>
  <c r="E75" i="111"/>
  <c r="E73" i="111"/>
  <c r="F87" i="111"/>
  <c r="F85" i="111"/>
  <c r="F83" i="111"/>
  <c r="F80" i="111"/>
  <c r="F78" i="111"/>
  <c r="F76" i="111"/>
  <c r="F74" i="111"/>
  <c r="C70" i="111"/>
  <c r="E85" i="111"/>
  <c r="E80" i="111"/>
  <c r="E76" i="111"/>
  <c r="F81" i="111"/>
  <c r="F73" i="111"/>
  <c r="G90" i="111"/>
  <c r="E87" i="111"/>
  <c r="E78" i="111"/>
  <c r="F84" i="111"/>
  <c r="F79" i="111"/>
  <c r="F75" i="111"/>
  <c r="F86" i="111"/>
  <c r="F77" i="111"/>
  <c r="E83" i="111"/>
  <c r="E74" i="111"/>
  <c r="E130" i="111"/>
  <c r="E128" i="111"/>
  <c r="E125" i="111"/>
  <c r="E123" i="111"/>
  <c r="E121" i="111"/>
  <c r="E119" i="111"/>
  <c r="E117" i="111"/>
  <c r="F130" i="111"/>
  <c r="F131" i="111"/>
  <c r="F129" i="111"/>
  <c r="F127" i="111"/>
  <c r="F124" i="111"/>
  <c r="F122" i="111"/>
  <c r="F120" i="111"/>
  <c r="F118" i="111"/>
  <c r="E129" i="111"/>
  <c r="E124" i="111"/>
  <c r="E120" i="111"/>
  <c r="G134" i="111"/>
  <c r="E131" i="111"/>
  <c r="F121" i="111"/>
  <c r="E127" i="111"/>
  <c r="E118" i="111"/>
  <c r="C114" i="111"/>
  <c r="F128" i="111"/>
  <c r="F123" i="111"/>
  <c r="F119" i="111"/>
  <c r="F125" i="111"/>
  <c r="F117" i="111"/>
  <c r="E122" i="111"/>
  <c r="E174" i="111"/>
  <c r="E172" i="111"/>
  <c r="E169" i="111"/>
  <c r="E167" i="111"/>
  <c r="F175" i="111"/>
  <c r="F173" i="111"/>
  <c r="F171" i="111"/>
  <c r="F168" i="111"/>
  <c r="F172" i="111"/>
  <c r="F167" i="111"/>
  <c r="E165" i="111"/>
  <c r="E163" i="111"/>
  <c r="E161" i="111"/>
  <c r="E168" i="111"/>
  <c r="F163" i="111"/>
  <c r="E175" i="111"/>
  <c r="E171" i="111"/>
  <c r="F166" i="111"/>
  <c r="F164" i="111"/>
  <c r="F162" i="111"/>
  <c r="G178" i="111"/>
  <c r="E173" i="111"/>
  <c r="F165" i="111"/>
  <c r="F161" i="111"/>
  <c r="F169" i="111"/>
  <c r="E162" i="111"/>
  <c r="E166" i="111"/>
  <c r="C158" i="111"/>
  <c r="F174" i="111"/>
  <c r="E164" i="111"/>
  <c r="E218" i="111"/>
  <c r="E216" i="111"/>
  <c r="E213" i="111"/>
  <c r="E211" i="111"/>
  <c r="E209" i="111"/>
  <c r="E207" i="111"/>
  <c r="E205" i="111"/>
  <c r="F219" i="111"/>
  <c r="F217" i="111"/>
  <c r="F215" i="111"/>
  <c r="F212" i="111"/>
  <c r="F210" i="111"/>
  <c r="F208" i="111"/>
  <c r="F206" i="111"/>
  <c r="F216" i="111"/>
  <c r="F211" i="111"/>
  <c r="F207" i="111"/>
  <c r="G222" i="111"/>
  <c r="C202" i="111"/>
  <c r="E217" i="111"/>
  <c r="E208" i="111"/>
  <c r="E219" i="111"/>
  <c r="E215" i="111"/>
  <c r="E210" i="111"/>
  <c r="E206" i="111"/>
  <c r="E212" i="111"/>
  <c r="F218" i="111"/>
  <c r="F205" i="111"/>
  <c r="F213" i="111"/>
  <c r="F209" i="111"/>
  <c r="E262" i="111"/>
  <c r="E260" i="111"/>
  <c r="E257" i="111"/>
  <c r="E255" i="111"/>
  <c r="E253" i="111"/>
  <c r="E251" i="111"/>
  <c r="E249" i="111"/>
  <c r="F263" i="111"/>
  <c r="F261" i="111"/>
  <c r="F259" i="111"/>
  <c r="F256" i="111"/>
  <c r="F254" i="111"/>
  <c r="F252" i="111"/>
  <c r="F250" i="111"/>
  <c r="F260" i="111"/>
  <c r="F255" i="111"/>
  <c r="F251" i="111"/>
  <c r="C246" i="111"/>
  <c r="E256" i="111"/>
  <c r="E263" i="111"/>
  <c r="E259" i="111"/>
  <c r="E254" i="111"/>
  <c r="E250" i="111"/>
  <c r="E261" i="111"/>
  <c r="E252" i="111"/>
  <c r="F249" i="111"/>
  <c r="F253" i="111"/>
  <c r="F262" i="111"/>
  <c r="G266" i="111"/>
  <c r="F257" i="111"/>
  <c r="E306" i="111"/>
  <c r="E304" i="111"/>
  <c r="E301" i="111"/>
  <c r="E299" i="111"/>
  <c r="E297" i="111"/>
  <c r="E295" i="111"/>
  <c r="E293" i="111"/>
  <c r="F307" i="111"/>
  <c r="F305" i="111"/>
  <c r="F303" i="111"/>
  <c r="F300" i="111"/>
  <c r="F298" i="111"/>
  <c r="F296" i="111"/>
  <c r="F294" i="111"/>
  <c r="F304" i="111"/>
  <c r="F299" i="111"/>
  <c r="F295" i="111"/>
  <c r="E305" i="111"/>
  <c r="E296" i="111"/>
  <c r="E307" i="111"/>
  <c r="E303" i="111"/>
  <c r="E298" i="111"/>
  <c r="E294" i="111"/>
  <c r="E300" i="111"/>
  <c r="F297" i="111"/>
  <c r="F301" i="111"/>
  <c r="G310" i="111"/>
  <c r="F293" i="111"/>
  <c r="C290" i="111"/>
  <c r="F306" i="111"/>
  <c r="E350" i="111"/>
  <c r="E348" i="111"/>
  <c r="E345" i="111"/>
  <c r="E343" i="111"/>
  <c r="E341" i="111"/>
  <c r="E339" i="111"/>
  <c r="E337" i="111"/>
  <c r="F351" i="111"/>
  <c r="F349" i="111"/>
  <c r="F347" i="111"/>
  <c r="F344" i="111"/>
  <c r="F342" i="111"/>
  <c r="F340" i="111"/>
  <c r="F338" i="111"/>
  <c r="F348" i="111"/>
  <c r="F343" i="111"/>
  <c r="F339" i="111"/>
  <c r="E344" i="111"/>
  <c r="E351" i="111"/>
  <c r="E347" i="111"/>
  <c r="E342" i="111"/>
  <c r="E338" i="111"/>
  <c r="G354" i="111"/>
  <c r="E349" i="111"/>
  <c r="E340" i="111"/>
  <c r="F345" i="111"/>
  <c r="F350" i="111"/>
  <c r="F337" i="111"/>
  <c r="C334" i="111"/>
  <c r="F341" i="111"/>
  <c r="E394" i="111"/>
  <c r="E392" i="111"/>
  <c r="E389" i="111"/>
  <c r="E387" i="111"/>
  <c r="E385" i="111"/>
  <c r="E383" i="111"/>
  <c r="E381" i="111"/>
  <c r="F395" i="111"/>
  <c r="F393" i="111"/>
  <c r="F391" i="111"/>
  <c r="F388" i="111"/>
  <c r="F386" i="111"/>
  <c r="F384" i="111"/>
  <c r="F382" i="111"/>
  <c r="F392" i="111"/>
  <c r="F387" i="111"/>
  <c r="F383" i="111"/>
  <c r="G398" i="111"/>
  <c r="E393" i="111"/>
  <c r="E384" i="111"/>
  <c r="E395" i="111"/>
  <c r="E391" i="111"/>
  <c r="E386" i="111"/>
  <c r="E382" i="111"/>
  <c r="C378" i="111"/>
  <c r="E388" i="111"/>
  <c r="F394" i="111"/>
  <c r="F385" i="111"/>
  <c r="F389" i="111"/>
  <c r="F381" i="111"/>
  <c r="E438" i="111"/>
  <c r="E436" i="111"/>
  <c r="E433" i="111"/>
  <c r="E431" i="111"/>
  <c r="E429" i="111"/>
  <c r="E427" i="111"/>
  <c r="E425" i="111"/>
  <c r="F439" i="111"/>
  <c r="F437" i="111"/>
  <c r="F435" i="111"/>
  <c r="F432" i="111"/>
  <c r="F430" i="111"/>
  <c r="F428" i="111"/>
  <c r="F426" i="111"/>
  <c r="F436" i="111"/>
  <c r="F431" i="111"/>
  <c r="F427" i="111"/>
  <c r="C422" i="111"/>
  <c r="E432" i="111"/>
  <c r="E439" i="111"/>
  <c r="E435" i="111"/>
  <c r="E430" i="111"/>
  <c r="E426" i="111"/>
  <c r="G442" i="111"/>
  <c r="E437" i="111"/>
  <c r="E428" i="111"/>
  <c r="F425" i="111"/>
  <c r="F433" i="111"/>
  <c r="F438" i="111"/>
  <c r="F429" i="111"/>
  <c r="E482" i="111"/>
  <c r="E480" i="111"/>
  <c r="E477" i="111"/>
  <c r="E475" i="111"/>
  <c r="E473" i="111"/>
  <c r="E471" i="111"/>
  <c r="E469" i="111"/>
  <c r="F483" i="111"/>
  <c r="F481" i="111"/>
  <c r="F479" i="111"/>
  <c r="F476" i="111"/>
  <c r="F474" i="111"/>
  <c r="F472" i="111"/>
  <c r="F470" i="111"/>
  <c r="F480" i="111"/>
  <c r="F475" i="111"/>
  <c r="F471" i="111"/>
  <c r="E481" i="111"/>
  <c r="E472" i="111"/>
  <c r="E483" i="111"/>
  <c r="E479" i="111"/>
  <c r="E474" i="111"/>
  <c r="E470" i="111"/>
  <c r="E476" i="111"/>
  <c r="F473" i="111"/>
  <c r="C466" i="111"/>
  <c r="F482" i="111"/>
  <c r="F469" i="111"/>
  <c r="F477" i="111"/>
  <c r="G486" i="111"/>
  <c r="E526" i="111"/>
  <c r="E524" i="111"/>
  <c r="E521" i="111"/>
  <c r="E519" i="111"/>
  <c r="E517" i="111"/>
  <c r="E515" i="111"/>
  <c r="E513" i="111"/>
  <c r="F527" i="111"/>
  <c r="F525" i="111"/>
  <c r="F523" i="111"/>
  <c r="F520" i="111"/>
  <c r="F518" i="111"/>
  <c r="F516" i="111"/>
  <c r="F514" i="111"/>
  <c r="F524" i="111"/>
  <c r="F519" i="111"/>
  <c r="F515" i="111"/>
  <c r="E520" i="111"/>
  <c r="E527" i="111"/>
  <c r="E523" i="111"/>
  <c r="E518" i="111"/>
  <c r="E514" i="111"/>
  <c r="G530" i="111"/>
  <c r="C510" i="111"/>
  <c r="E525" i="111"/>
  <c r="E516" i="111"/>
  <c r="F521" i="111"/>
  <c r="F517" i="111"/>
  <c r="F526" i="111"/>
  <c r="F513" i="111"/>
  <c r="E570" i="111"/>
  <c r="E568" i="111"/>
  <c r="E565" i="111"/>
  <c r="E563" i="111"/>
  <c r="E561" i="111"/>
  <c r="E559" i="111"/>
  <c r="E557" i="111"/>
  <c r="F571" i="111"/>
  <c r="F569" i="111"/>
  <c r="F567" i="111"/>
  <c r="F564" i="111"/>
  <c r="F562" i="111"/>
  <c r="F560" i="111"/>
  <c r="F558" i="111"/>
  <c r="F568" i="111"/>
  <c r="F563" i="111"/>
  <c r="F559" i="111"/>
  <c r="C554" i="111"/>
  <c r="E564" i="111"/>
  <c r="E571" i="111"/>
  <c r="E567" i="111"/>
  <c r="E562" i="111"/>
  <c r="E558" i="111"/>
  <c r="E569" i="111"/>
  <c r="E560" i="111"/>
  <c r="F570" i="111"/>
  <c r="F557" i="111"/>
  <c r="G574" i="111"/>
  <c r="F561" i="111"/>
  <c r="F565" i="111"/>
  <c r="E614" i="111"/>
  <c r="E612" i="111"/>
  <c r="E609" i="111"/>
  <c r="E607" i="111"/>
  <c r="E605" i="111"/>
  <c r="E603" i="111"/>
  <c r="E601" i="111"/>
  <c r="F615" i="111"/>
  <c r="F613" i="111"/>
  <c r="F611" i="111"/>
  <c r="F608" i="111"/>
  <c r="F606" i="111"/>
  <c r="F604" i="111"/>
  <c r="F602" i="111"/>
  <c r="F612" i="111"/>
  <c r="F607" i="111"/>
  <c r="F603" i="111"/>
  <c r="E608" i="111"/>
  <c r="E615" i="111"/>
  <c r="E611" i="111"/>
  <c r="E606" i="111"/>
  <c r="E602" i="111"/>
  <c r="G618" i="111"/>
  <c r="E613" i="111"/>
  <c r="E604" i="111"/>
  <c r="F601" i="111"/>
  <c r="F605" i="111"/>
  <c r="F609" i="111"/>
  <c r="C598" i="111"/>
  <c r="F614" i="111"/>
  <c r="E658" i="111"/>
  <c r="E656" i="111"/>
  <c r="E653" i="111"/>
  <c r="E651" i="111"/>
  <c r="E649" i="111"/>
  <c r="E647" i="111"/>
  <c r="E645" i="111"/>
  <c r="F659" i="111"/>
  <c r="F657" i="111"/>
  <c r="F655" i="111"/>
  <c r="F652" i="111"/>
  <c r="F650" i="111"/>
  <c r="F648" i="111"/>
  <c r="F646" i="111"/>
  <c r="F656" i="111"/>
  <c r="F651" i="111"/>
  <c r="F647" i="111"/>
  <c r="C642" i="111"/>
  <c r="E657" i="111"/>
  <c r="E648" i="111"/>
  <c r="E659" i="111"/>
  <c r="E655" i="111"/>
  <c r="E650" i="111"/>
  <c r="E646" i="111"/>
  <c r="E652" i="111"/>
  <c r="F649" i="111"/>
  <c r="F653" i="111"/>
  <c r="F658" i="111"/>
  <c r="F645" i="111"/>
  <c r="G662" i="111"/>
  <c r="E702" i="111"/>
  <c r="E700" i="111"/>
  <c r="E697" i="111"/>
  <c r="E695" i="111"/>
  <c r="E693" i="111"/>
  <c r="E691" i="111"/>
  <c r="E689" i="111"/>
  <c r="F703" i="111"/>
  <c r="F701" i="111"/>
  <c r="F699" i="111"/>
  <c r="F696" i="111"/>
  <c r="F694" i="111"/>
  <c r="F692" i="111"/>
  <c r="F690" i="111"/>
  <c r="F700" i="111"/>
  <c r="F695" i="111"/>
  <c r="F691" i="111"/>
  <c r="C686" i="111"/>
  <c r="E696" i="111"/>
  <c r="E703" i="111"/>
  <c r="E699" i="111"/>
  <c r="E694" i="111"/>
  <c r="E690" i="111"/>
  <c r="E701" i="111"/>
  <c r="E692" i="111"/>
  <c r="F697" i="111"/>
  <c r="G706" i="111"/>
  <c r="F702" i="111"/>
  <c r="F693" i="111"/>
  <c r="F689" i="111"/>
  <c r="E746" i="111"/>
  <c r="E744" i="111"/>
  <c r="E741" i="111"/>
  <c r="E739" i="111"/>
  <c r="E737" i="111"/>
  <c r="E735" i="111"/>
  <c r="E733" i="111"/>
  <c r="F747" i="111"/>
  <c r="F745" i="111"/>
  <c r="F743" i="111"/>
  <c r="F740" i="111"/>
  <c r="F738" i="111"/>
  <c r="F736" i="111"/>
  <c r="F734" i="111"/>
  <c r="F744" i="111"/>
  <c r="F739" i="111"/>
  <c r="F735" i="111"/>
  <c r="G750" i="111"/>
  <c r="C730" i="111"/>
  <c r="E745" i="111"/>
  <c r="E736" i="111"/>
  <c r="E747" i="111"/>
  <c r="E743" i="111"/>
  <c r="E738" i="111"/>
  <c r="E734" i="111"/>
  <c r="E740" i="111"/>
  <c r="F746" i="111"/>
  <c r="F741" i="111"/>
  <c r="F733" i="111"/>
  <c r="F737" i="111"/>
  <c r="E790" i="111"/>
  <c r="E788" i="111"/>
  <c r="E785" i="111"/>
  <c r="E783" i="111"/>
  <c r="E781" i="111"/>
  <c r="E779" i="111"/>
  <c r="E777" i="111"/>
  <c r="F791" i="111"/>
  <c r="F789" i="111"/>
  <c r="F787" i="111"/>
  <c r="F784" i="111"/>
  <c r="F782" i="111"/>
  <c r="F780" i="111"/>
  <c r="F778" i="111"/>
  <c r="F788" i="111"/>
  <c r="F783" i="111"/>
  <c r="F779" i="111"/>
  <c r="G794" i="111"/>
  <c r="C774" i="111"/>
  <c r="E789" i="111"/>
  <c r="E791" i="111"/>
  <c r="E787" i="111"/>
  <c r="E782" i="111"/>
  <c r="E778" i="111"/>
  <c r="E784" i="111"/>
  <c r="E780" i="111"/>
  <c r="F777" i="111"/>
  <c r="F781" i="111"/>
  <c r="F790" i="111"/>
  <c r="F785" i="111"/>
  <c r="E834" i="111"/>
  <c r="E832" i="111"/>
  <c r="E829" i="111"/>
  <c r="E827" i="111"/>
  <c r="E825" i="111"/>
  <c r="E823" i="111"/>
  <c r="E821" i="111"/>
  <c r="F835" i="111"/>
  <c r="F833" i="111"/>
  <c r="F831" i="111"/>
  <c r="F828" i="111"/>
  <c r="F826" i="111"/>
  <c r="F824" i="111"/>
  <c r="F822" i="111"/>
  <c r="F832" i="111"/>
  <c r="F827" i="111"/>
  <c r="F823" i="111"/>
  <c r="E828" i="111"/>
  <c r="E835" i="111"/>
  <c r="E831" i="111"/>
  <c r="E826" i="111"/>
  <c r="E822" i="111"/>
  <c r="C818" i="111"/>
  <c r="E833" i="111"/>
  <c r="E824" i="111"/>
  <c r="F825" i="111"/>
  <c r="F829" i="111"/>
  <c r="F821" i="111"/>
  <c r="F834" i="111"/>
  <c r="G838" i="111"/>
  <c r="E878" i="111"/>
  <c r="E876" i="111"/>
  <c r="E873" i="111"/>
  <c r="E871" i="111"/>
  <c r="E869" i="111"/>
  <c r="E867" i="111"/>
  <c r="E865" i="111"/>
  <c r="F879" i="111"/>
  <c r="F877" i="111"/>
  <c r="F875" i="111"/>
  <c r="F872" i="111"/>
  <c r="F870" i="111"/>
  <c r="F868" i="111"/>
  <c r="F866" i="111"/>
  <c r="F876" i="111"/>
  <c r="F871" i="111"/>
  <c r="F867" i="111"/>
  <c r="G882" i="111"/>
  <c r="E877" i="111"/>
  <c r="E868" i="111"/>
  <c r="E879" i="111"/>
  <c r="E875" i="111"/>
  <c r="E870" i="111"/>
  <c r="E866" i="111"/>
  <c r="E872" i="111"/>
  <c r="F873" i="111"/>
  <c r="C862" i="111"/>
  <c r="F878" i="111"/>
  <c r="F865" i="111"/>
  <c r="F869" i="111"/>
  <c r="E922" i="111"/>
  <c r="E920" i="111"/>
  <c r="E917" i="111"/>
  <c r="E915" i="111"/>
  <c r="E913" i="111"/>
  <c r="E911" i="111"/>
  <c r="E909" i="111"/>
  <c r="F923" i="111"/>
  <c r="F921" i="111"/>
  <c r="F919" i="111"/>
  <c r="F916" i="111"/>
  <c r="F914" i="111"/>
  <c r="F912" i="111"/>
  <c r="F910" i="111"/>
  <c r="F920" i="111"/>
  <c r="F915" i="111"/>
  <c r="F911" i="111"/>
  <c r="E921" i="111"/>
  <c r="E923" i="111"/>
  <c r="E919" i="111"/>
  <c r="E914" i="111"/>
  <c r="E910" i="111"/>
  <c r="E916" i="111"/>
  <c r="E912" i="111"/>
  <c r="F922" i="111"/>
  <c r="C906" i="111"/>
  <c r="F909" i="111"/>
  <c r="F913" i="111"/>
  <c r="F917" i="111"/>
  <c r="E966" i="111"/>
  <c r="E964" i="111"/>
  <c r="E961" i="111"/>
  <c r="E959" i="111"/>
  <c r="E957" i="111"/>
  <c r="E955" i="111"/>
  <c r="E953" i="111"/>
  <c r="F967" i="111"/>
  <c r="F965" i="111"/>
  <c r="F963" i="111"/>
  <c r="F960" i="111"/>
  <c r="F958" i="111"/>
  <c r="F956" i="111"/>
  <c r="F954" i="111"/>
  <c r="F964" i="111"/>
  <c r="F959" i="111"/>
  <c r="F955" i="111"/>
  <c r="E965" i="111"/>
  <c r="E956" i="111"/>
  <c r="E967" i="111"/>
  <c r="E963" i="111"/>
  <c r="E958" i="111"/>
  <c r="E954" i="111"/>
  <c r="C950" i="111"/>
  <c r="E960" i="111"/>
  <c r="F953" i="111"/>
  <c r="F957" i="111"/>
  <c r="G970" i="111"/>
  <c r="F966" i="111"/>
  <c r="F961" i="111"/>
  <c r="E64" i="111"/>
  <c r="E62" i="111"/>
  <c r="E59" i="111"/>
  <c r="E57" i="111"/>
  <c r="E55" i="111"/>
  <c r="E53" i="111"/>
  <c r="E51" i="111"/>
  <c r="F65" i="111"/>
  <c r="F63" i="111"/>
  <c r="F61" i="111"/>
  <c r="F58" i="111"/>
  <c r="F56" i="111"/>
  <c r="F54" i="111"/>
  <c r="F52" i="111"/>
  <c r="E65" i="111"/>
  <c r="E61" i="111"/>
  <c r="E56" i="111"/>
  <c r="E52" i="111"/>
  <c r="C48" i="111"/>
  <c r="F57" i="111"/>
  <c r="E63" i="111"/>
  <c r="E54" i="111"/>
  <c r="F64" i="111"/>
  <c r="F59" i="111"/>
  <c r="F55" i="111"/>
  <c r="F51" i="111"/>
  <c r="F62" i="111"/>
  <c r="F53" i="111"/>
  <c r="G68" i="111"/>
  <c r="E58" i="111"/>
  <c r="E152" i="111"/>
  <c r="E150" i="111"/>
  <c r="E147" i="111"/>
  <c r="E145" i="111"/>
  <c r="E143" i="111"/>
  <c r="E141" i="111"/>
  <c r="E139" i="111"/>
  <c r="C136" i="111"/>
  <c r="F152" i="111"/>
  <c r="F147" i="111"/>
  <c r="F143" i="111"/>
  <c r="F141" i="111"/>
  <c r="F153" i="111"/>
  <c r="F151" i="111"/>
  <c r="F149" i="111"/>
  <c r="F146" i="111"/>
  <c r="F144" i="111"/>
  <c r="F142" i="111"/>
  <c r="F140" i="111"/>
  <c r="G156" i="111"/>
  <c r="F150" i="111"/>
  <c r="F145" i="111"/>
  <c r="F139" i="111"/>
  <c r="E153" i="111"/>
  <c r="E144" i="111"/>
  <c r="E149" i="111"/>
  <c r="E151" i="111"/>
  <c r="E142" i="111"/>
  <c r="E146" i="111"/>
  <c r="E140" i="111"/>
  <c r="E240" i="111"/>
  <c r="E238" i="111"/>
  <c r="E235" i="111"/>
  <c r="E233" i="111"/>
  <c r="E231" i="111"/>
  <c r="E229" i="111"/>
  <c r="E227" i="111"/>
  <c r="F241" i="111"/>
  <c r="F239" i="111"/>
  <c r="F237" i="111"/>
  <c r="F234" i="111"/>
  <c r="F232" i="111"/>
  <c r="F230" i="111"/>
  <c r="F228" i="111"/>
  <c r="F240" i="111"/>
  <c r="F235" i="111"/>
  <c r="F231" i="111"/>
  <c r="F227" i="111"/>
  <c r="E241" i="111"/>
  <c r="E232" i="111"/>
  <c r="E239" i="111"/>
  <c r="E234" i="111"/>
  <c r="E230" i="111"/>
  <c r="E237" i="111"/>
  <c r="E228" i="111"/>
  <c r="G244" i="111"/>
  <c r="F233" i="111"/>
  <c r="F238" i="111"/>
  <c r="F229" i="111"/>
  <c r="C224" i="111"/>
  <c r="E328" i="111"/>
  <c r="E326" i="111"/>
  <c r="E323" i="111"/>
  <c r="E321" i="111"/>
  <c r="E319" i="111"/>
  <c r="E317" i="111"/>
  <c r="E315" i="111"/>
  <c r="F329" i="111"/>
  <c r="F327" i="111"/>
  <c r="F325" i="111"/>
  <c r="F322" i="111"/>
  <c r="F320" i="111"/>
  <c r="F318" i="111"/>
  <c r="F316" i="111"/>
  <c r="F328" i="111"/>
  <c r="F323" i="111"/>
  <c r="F319" i="111"/>
  <c r="F315" i="111"/>
  <c r="G332" i="111"/>
  <c r="C312" i="111"/>
  <c r="E329" i="111"/>
  <c r="E320" i="111"/>
  <c r="E327" i="111"/>
  <c r="E322" i="111"/>
  <c r="E318" i="111"/>
  <c r="E325" i="111"/>
  <c r="E316" i="111"/>
  <c r="F321" i="111"/>
  <c r="F317" i="111"/>
  <c r="F326" i="111"/>
  <c r="E416" i="111"/>
  <c r="E414" i="111"/>
  <c r="E411" i="111"/>
  <c r="E409" i="111"/>
  <c r="E407" i="111"/>
  <c r="E405" i="111"/>
  <c r="E403" i="111"/>
  <c r="F417" i="111"/>
  <c r="F415" i="111"/>
  <c r="F413" i="111"/>
  <c r="F410" i="111"/>
  <c r="F408" i="111"/>
  <c r="F406" i="111"/>
  <c r="F404" i="111"/>
  <c r="F416" i="111"/>
  <c r="F411" i="111"/>
  <c r="F407" i="111"/>
  <c r="F403" i="111"/>
  <c r="E417" i="111"/>
  <c r="E408" i="111"/>
  <c r="E415" i="111"/>
  <c r="E410" i="111"/>
  <c r="E406" i="111"/>
  <c r="E413" i="111"/>
  <c r="E404" i="111"/>
  <c r="C400" i="111"/>
  <c r="F405" i="111"/>
  <c r="F414" i="111"/>
  <c r="F409" i="111"/>
  <c r="G420" i="111"/>
  <c r="E504" i="111"/>
  <c r="E502" i="111"/>
  <c r="E499" i="111"/>
  <c r="E497" i="111"/>
  <c r="E495" i="111"/>
  <c r="E493" i="111"/>
  <c r="E491" i="111"/>
  <c r="F505" i="111"/>
  <c r="F503" i="111"/>
  <c r="F501" i="111"/>
  <c r="F498" i="111"/>
  <c r="F496" i="111"/>
  <c r="F494" i="111"/>
  <c r="F492" i="111"/>
  <c r="F504" i="111"/>
  <c r="F499" i="111"/>
  <c r="F495" i="111"/>
  <c r="F491" i="111"/>
  <c r="E505" i="111"/>
  <c r="E496" i="111"/>
  <c r="E503" i="111"/>
  <c r="E498" i="111"/>
  <c r="E494" i="111"/>
  <c r="C488" i="111"/>
  <c r="E501" i="111"/>
  <c r="E492" i="111"/>
  <c r="F497" i="111"/>
  <c r="F502" i="111"/>
  <c r="F493" i="111"/>
  <c r="G508" i="111"/>
  <c r="E592" i="111"/>
  <c r="E590" i="111"/>
  <c r="E587" i="111"/>
  <c r="E585" i="111"/>
  <c r="E583" i="111"/>
  <c r="E581" i="111"/>
  <c r="E579" i="111"/>
  <c r="F593" i="111"/>
  <c r="F591" i="111"/>
  <c r="F589" i="111"/>
  <c r="F586" i="111"/>
  <c r="F584" i="111"/>
  <c r="F582" i="111"/>
  <c r="F580" i="111"/>
  <c r="F592" i="111"/>
  <c r="F587" i="111"/>
  <c r="F583" i="111"/>
  <c r="F579" i="111"/>
  <c r="G596" i="111"/>
  <c r="E593" i="111"/>
  <c r="E584" i="111"/>
  <c r="E591" i="111"/>
  <c r="E586" i="111"/>
  <c r="E582" i="111"/>
  <c r="C576" i="111"/>
  <c r="E589" i="111"/>
  <c r="E580" i="111"/>
  <c r="F590" i="111"/>
  <c r="F581" i="111"/>
  <c r="F585" i="111"/>
  <c r="E680" i="111"/>
  <c r="E678" i="111"/>
  <c r="E675" i="111"/>
  <c r="E673" i="111"/>
  <c r="E671" i="111"/>
  <c r="E669" i="111"/>
  <c r="E667" i="111"/>
  <c r="F681" i="111"/>
  <c r="F679" i="111"/>
  <c r="F677" i="111"/>
  <c r="F674" i="111"/>
  <c r="F672" i="111"/>
  <c r="F670" i="111"/>
  <c r="F668" i="111"/>
  <c r="F680" i="111"/>
  <c r="F675" i="111"/>
  <c r="F671" i="111"/>
  <c r="F667" i="111"/>
  <c r="E681" i="111"/>
  <c r="E672" i="111"/>
  <c r="E679" i="111"/>
  <c r="E674" i="111"/>
  <c r="E670" i="111"/>
  <c r="C664" i="111"/>
  <c r="E677" i="111"/>
  <c r="E668" i="111"/>
  <c r="F673" i="111"/>
  <c r="G684" i="111"/>
  <c r="F669" i="111"/>
  <c r="F678" i="111"/>
  <c r="E768" i="111"/>
  <c r="E766" i="111"/>
  <c r="E763" i="111"/>
  <c r="E761" i="111"/>
  <c r="E759" i="111"/>
  <c r="E757" i="111"/>
  <c r="E755" i="111"/>
  <c r="F769" i="111"/>
  <c r="F767" i="111"/>
  <c r="F765" i="111"/>
  <c r="F762" i="111"/>
  <c r="F760" i="111"/>
  <c r="F758" i="111"/>
  <c r="F756" i="111"/>
  <c r="F768" i="111"/>
  <c r="F763" i="111"/>
  <c r="F759" i="111"/>
  <c r="F755" i="111"/>
  <c r="E769" i="111"/>
  <c r="E760" i="111"/>
  <c r="E767" i="111"/>
  <c r="E762" i="111"/>
  <c r="E758" i="111"/>
  <c r="E765" i="111"/>
  <c r="E756" i="111"/>
  <c r="C752" i="111"/>
  <c r="F757" i="111"/>
  <c r="F761" i="111"/>
  <c r="F766" i="111"/>
  <c r="G772" i="111"/>
  <c r="E812" i="111"/>
  <c r="E810" i="111"/>
  <c r="E807" i="111"/>
  <c r="E805" i="111"/>
  <c r="E803" i="111"/>
  <c r="E801" i="111"/>
  <c r="E799" i="111"/>
  <c r="F813" i="111"/>
  <c r="F811" i="111"/>
  <c r="F809" i="111"/>
  <c r="F806" i="111"/>
  <c r="F804" i="111"/>
  <c r="F802" i="111"/>
  <c r="F800" i="111"/>
  <c r="F812" i="111"/>
  <c r="F807" i="111"/>
  <c r="F803" i="111"/>
  <c r="F799" i="111"/>
  <c r="E813" i="111"/>
  <c r="E804" i="111"/>
  <c r="E811" i="111"/>
  <c r="E806" i="111"/>
  <c r="E802" i="111"/>
  <c r="E809" i="111"/>
  <c r="E800" i="111"/>
  <c r="F801" i="111"/>
  <c r="F810" i="111"/>
  <c r="G816" i="111"/>
  <c r="F805" i="111"/>
  <c r="C796" i="111"/>
  <c r="E900" i="111"/>
  <c r="E898" i="111"/>
  <c r="E895" i="111"/>
  <c r="E893" i="111"/>
  <c r="E891" i="111"/>
  <c r="E889" i="111"/>
  <c r="E887" i="111"/>
  <c r="F901" i="111"/>
  <c r="F899" i="111"/>
  <c r="F897" i="111"/>
  <c r="F894" i="111"/>
  <c r="F892" i="111"/>
  <c r="F890" i="111"/>
  <c r="F888" i="111"/>
  <c r="F900" i="111"/>
  <c r="F895" i="111"/>
  <c r="F891" i="111"/>
  <c r="F887" i="111"/>
  <c r="G904" i="111"/>
  <c r="E901" i="111"/>
  <c r="E892" i="111"/>
  <c r="E899" i="111"/>
  <c r="E894" i="111"/>
  <c r="E890" i="111"/>
  <c r="E897" i="111"/>
  <c r="E888" i="111"/>
  <c r="F898" i="111"/>
  <c r="F893" i="111"/>
  <c r="F889" i="111"/>
  <c r="C884" i="111"/>
  <c r="E20" i="112"/>
  <c r="E18" i="112"/>
  <c r="E15" i="112"/>
  <c r="E13" i="112"/>
  <c r="E11" i="112"/>
  <c r="E9" i="112"/>
  <c r="E7" i="112"/>
  <c r="F21" i="112"/>
  <c r="F19" i="112"/>
  <c r="F17" i="112"/>
  <c r="F14" i="112"/>
  <c r="F12" i="112"/>
  <c r="F10" i="112"/>
  <c r="F8" i="112"/>
  <c r="F20" i="112"/>
  <c r="F15" i="112"/>
  <c r="F11" i="112"/>
  <c r="F7" i="112"/>
  <c r="E21" i="112"/>
  <c r="E17" i="112"/>
  <c r="E12" i="112"/>
  <c r="E8" i="112"/>
  <c r="F18" i="112"/>
  <c r="F9" i="112"/>
  <c r="E19" i="112"/>
  <c r="C4" i="112"/>
  <c r="E14" i="112"/>
  <c r="G24" i="112"/>
  <c r="E10" i="112"/>
  <c r="F13" i="112"/>
  <c r="E108" i="112"/>
  <c r="E106" i="112"/>
  <c r="E103" i="112"/>
  <c r="E101" i="112"/>
  <c r="E99" i="112"/>
  <c r="E97" i="112"/>
  <c r="E95" i="112"/>
  <c r="F109" i="112"/>
  <c r="F107" i="112"/>
  <c r="F105" i="112"/>
  <c r="F102" i="112"/>
  <c r="F100" i="112"/>
  <c r="F98" i="112"/>
  <c r="F96" i="112"/>
  <c r="F108" i="112"/>
  <c r="F103" i="112"/>
  <c r="F99" i="112"/>
  <c r="F95" i="112"/>
  <c r="E109" i="112"/>
  <c r="E105" i="112"/>
  <c r="E100" i="112"/>
  <c r="E96" i="112"/>
  <c r="F106" i="112"/>
  <c r="F97" i="112"/>
  <c r="E98" i="112"/>
  <c r="F101" i="112"/>
  <c r="C92" i="112"/>
  <c r="E102" i="112"/>
  <c r="G112" i="112"/>
  <c r="E107" i="112"/>
  <c r="E196" i="112"/>
  <c r="E194" i="112"/>
  <c r="E191" i="112"/>
  <c r="E189" i="112"/>
  <c r="E187" i="112"/>
  <c r="E185" i="112"/>
  <c r="E183" i="112"/>
  <c r="F197" i="112"/>
  <c r="F195" i="112"/>
  <c r="F193" i="112"/>
  <c r="F190" i="112"/>
  <c r="F188" i="112"/>
  <c r="F186" i="112"/>
  <c r="F184" i="112"/>
  <c r="F196" i="112"/>
  <c r="F191" i="112"/>
  <c r="F187" i="112"/>
  <c r="F183" i="112"/>
  <c r="E197" i="112"/>
  <c r="E193" i="112"/>
  <c r="E188" i="112"/>
  <c r="E184" i="112"/>
  <c r="F194" i="112"/>
  <c r="F185" i="112"/>
  <c r="E195" i="112"/>
  <c r="E190" i="112"/>
  <c r="G200" i="112"/>
  <c r="E186" i="112"/>
  <c r="F189" i="112"/>
  <c r="C180" i="112"/>
  <c r="E328" i="112"/>
  <c r="E326" i="112"/>
  <c r="E323" i="112"/>
  <c r="E321" i="112"/>
  <c r="E319" i="112"/>
  <c r="E317" i="112"/>
  <c r="E315" i="112"/>
  <c r="F329" i="112"/>
  <c r="F327" i="112"/>
  <c r="F325" i="112"/>
  <c r="F322" i="112"/>
  <c r="F320" i="112"/>
  <c r="F318" i="112"/>
  <c r="F316" i="112"/>
  <c r="F328" i="112"/>
  <c r="F323" i="112"/>
  <c r="F319" i="112"/>
  <c r="F315" i="112"/>
  <c r="E329" i="112"/>
  <c r="E325" i="112"/>
  <c r="E320" i="112"/>
  <c r="E316" i="112"/>
  <c r="C312" i="112"/>
  <c r="F321" i="112"/>
  <c r="F326" i="112"/>
  <c r="E327" i="112"/>
  <c r="E318" i="112"/>
  <c r="E322" i="112"/>
  <c r="F317" i="112"/>
  <c r="G332" i="112"/>
  <c r="E416" i="112"/>
  <c r="E414" i="112"/>
  <c r="E411" i="112"/>
  <c r="E409" i="112"/>
  <c r="E407" i="112"/>
  <c r="E405" i="112"/>
  <c r="E403" i="112"/>
  <c r="F417" i="112"/>
  <c r="F415" i="112"/>
  <c r="F413" i="112"/>
  <c r="F410" i="112"/>
  <c r="F408" i="112"/>
  <c r="F406" i="112"/>
  <c r="F404" i="112"/>
  <c r="F416" i="112"/>
  <c r="F411" i="112"/>
  <c r="F407" i="112"/>
  <c r="F403" i="112"/>
  <c r="E417" i="112"/>
  <c r="E413" i="112"/>
  <c r="E408" i="112"/>
  <c r="E404" i="112"/>
  <c r="F409" i="112"/>
  <c r="E410" i="112"/>
  <c r="F405" i="112"/>
  <c r="E415" i="112"/>
  <c r="E406" i="112"/>
  <c r="C400" i="112"/>
  <c r="G420" i="112"/>
  <c r="F414" i="112"/>
  <c r="E504" i="112"/>
  <c r="E502" i="112"/>
  <c r="E499" i="112"/>
  <c r="E497" i="112"/>
  <c r="E495" i="112"/>
  <c r="E493" i="112"/>
  <c r="E491" i="112"/>
  <c r="F505" i="112"/>
  <c r="F503" i="112"/>
  <c r="F501" i="112"/>
  <c r="F498" i="112"/>
  <c r="F496" i="112"/>
  <c r="F494" i="112"/>
  <c r="F492" i="112"/>
  <c r="F504" i="112"/>
  <c r="F499" i="112"/>
  <c r="F495" i="112"/>
  <c r="F491" i="112"/>
  <c r="E505" i="112"/>
  <c r="E501" i="112"/>
  <c r="E496" i="112"/>
  <c r="E492" i="112"/>
  <c r="C488" i="112"/>
  <c r="F497" i="112"/>
  <c r="G508" i="112"/>
  <c r="E498" i="112"/>
  <c r="F502" i="112"/>
  <c r="E503" i="112"/>
  <c r="E494" i="112"/>
  <c r="F493" i="112"/>
  <c r="E592" i="112"/>
  <c r="E590" i="112"/>
  <c r="E587" i="112"/>
  <c r="E585" i="112"/>
  <c r="E583" i="112"/>
  <c r="E581" i="112"/>
  <c r="E579" i="112"/>
  <c r="F593" i="112"/>
  <c r="F591" i="112"/>
  <c r="F589" i="112"/>
  <c r="F586" i="112"/>
  <c r="F584" i="112"/>
  <c r="F582" i="112"/>
  <c r="F580" i="112"/>
  <c r="F592" i="112"/>
  <c r="F587" i="112"/>
  <c r="F583" i="112"/>
  <c r="F579" i="112"/>
  <c r="G596" i="112"/>
  <c r="E593" i="112"/>
  <c r="E589" i="112"/>
  <c r="E584" i="112"/>
  <c r="E580" i="112"/>
  <c r="F585" i="112"/>
  <c r="F590" i="112"/>
  <c r="E591" i="112"/>
  <c r="E582" i="112"/>
  <c r="C576" i="112"/>
  <c r="E586" i="112"/>
  <c r="F581" i="112"/>
  <c r="E680" i="112"/>
  <c r="E678" i="112"/>
  <c r="E675" i="112"/>
  <c r="E673" i="112"/>
  <c r="E671" i="112"/>
  <c r="E669" i="112"/>
  <c r="E667" i="112"/>
  <c r="F681" i="112"/>
  <c r="F679" i="112"/>
  <c r="F677" i="112"/>
  <c r="F674" i="112"/>
  <c r="F672" i="112"/>
  <c r="F670" i="112"/>
  <c r="F668" i="112"/>
  <c r="F680" i="112"/>
  <c r="F675" i="112"/>
  <c r="F671" i="112"/>
  <c r="F667" i="112"/>
  <c r="E681" i="112"/>
  <c r="E677" i="112"/>
  <c r="E672" i="112"/>
  <c r="E668" i="112"/>
  <c r="C664" i="112"/>
  <c r="F673" i="112"/>
  <c r="E674" i="112"/>
  <c r="F678" i="112"/>
  <c r="E679" i="112"/>
  <c r="E670" i="112"/>
  <c r="F669" i="112"/>
  <c r="G684" i="112"/>
  <c r="E768" i="112"/>
  <c r="E766" i="112"/>
  <c r="E763" i="112"/>
  <c r="E761" i="112"/>
  <c r="E759" i="112"/>
  <c r="E757" i="112"/>
  <c r="E755" i="112"/>
  <c r="F769" i="112"/>
  <c r="F767" i="112"/>
  <c r="F765" i="112"/>
  <c r="F762" i="112"/>
  <c r="F760" i="112"/>
  <c r="F758" i="112"/>
  <c r="F756" i="112"/>
  <c r="F768" i="112"/>
  <c r="F763" i="112"/>
  <c r="F759" i="112"/>
  <c r="F755" i="112"/>
  <c r="G772" i="112"/>
  <c r="E769" i="112"/>
  <c r="E765" i="112"/>
  <c r="E760" i="112"/>
  <c r="E756" i="112"/>
  <c r="F761" i="112"/>
  <c r="C752" i="112"/>
  <c r="F766" i="112"/>
  <c r="E767" i="112"/>
  <c r="E758" i="112"/>
  <c r="E762" i="112"/>
  <c r="F757" i="112"/>
  <c r="E64" i="112"/>
  <c r="E62" i="112"/>
  <c r="E59" i="112"/>
  <c r="E57" i="112"/>
  <c r="E55" i="112"/>
  <c r="E53" i="112"/>
  <c r="E51" i="112"/>
  <c r="F65" i="112"/>
  <c r="F63" i="112"/>
  <c r="F61" i="112"/>
  <c r="F58" i="112"/>
  <c r="F56" i="112"/>
  <c r="F54" i="112"/>
  <c r="F52" i="112"/>
  <c r="F64" i="112"/>
  <c r="F59" i="112"/>
  <c r="F55" i="112"/>
  <c r="F51" i="112"/>
  <c r="E65" i="112"/>
  <c r="E61" i="112"/>
  <c r="E56" i="112"/>
  <c r="E52" i="112"/>
  <c r="F57" i="112"/>
  <c r="F53" i="112"/>
  <c r="E63" i="112"/>
  <c r="E54" i="112"/>
  <c r="G68" i="112"/>
  <c r="E58" i="112"/>
  <c r="F62" i="112"/>
  <c r="C48" i="112"/>
  <c r="E152" i="112"/>
  <c r="E150" i="112"/>
  <c r="E147" i="112"/>
  <c r="E145" i="112"/>
  <c r="E143" i="112"/>
  <c r="E141" i="112"/>
  <c r="E139" i="112"/>
  <c r="F153" i="112"/>
  <c r="F151" i="112"/>
  <c r="F149" i="112"/>
  <c r="F146" i="112"/>
  <c r="F144" i="112"/>
  <c r="F142" i="112"/>
  <c r="F140" i="112"/>
  <c r="F152" i="112"/>
  <c r="F147" i="112"/>
  <c r="F143" i="112"/>
  <c r="F139" i="112"/>
  <c r="E153" i="112"/>
  <c r="E149" i="112"/>
  <c r="E144" i="112"/>
  <c r="E140" i="112"/>
  <c r="F145" i="112"/>
  <c r="E146" i="112"/>
  <c r="F150" i="112"/>
  <c r="C136" i="112"/>
  <c r="E151" i="112"/>
  <c r="E142" i="112"/>
  <c r="G156" i="112"/>
  <c r="F141" i="112"/>
  <c r="E240" i="112"/>
  <c r="E238" i="112"/>
  <c r="E235" i="112"/>
  <c r="E233" i="112"/>
  <c r="E231" i="112"/>
  <c r="E229" i="112"/>
  <c r="E227" i="112"/>
  <c r="F241" i="112"/>
  <c r="F239" i="112"/>
  <c r="F237" i="112"/>
  <c r="F234" i="112"/>
  <c r="F232" i="112"/>
  <c r="F230" i="112"/>
  <c r="F228" i="112"/>
  <c r="F240" i="112"/>
  <c r="F235" i="112"/>
  <c r="F231" i="112"/>
  <c r="F227" i="112"/>
  <c r="E241" i="112"/>
  <c r="E237" i="112"/>
  <c r="E232" i="112"/>
  <c r="E228" i="112"/>
  <c r="F233" i="112"/>
  <c r="E234" i="112"/>
  <c r="F229" i="112"/>
  <c r="C224" i="112"/>
  <c r="E239" i="112"/>
  <c r="E230" i="112"/>
  <c r="G244" i="112"/>
  <c r="F238" i="112"/>
  <c r="E284" i="112"/>
  <c r="E282" i="112"/>
  <c r="E279" i="112"/>
  <c r="E277" i="112"/>
  <c r="E275" i="112"/>
  <c r="E273" i="112"/>
  <c r="E271" i="112"/>
  <c r="F285" i="112"/>
  <c r="F283" i="112"/>
  <c r="F281" i="112"/>
  <c r="F278" i="112"/>
  <c r="F276" i="112"/>
  <c r="F274" i="112"/>
  <c r="F272" i="112"/>
  <c r="F284" i="112"/>
  <c r="F279" i="112"/>
  <c r="F275" i="112"/>
  <c r="F271" i="112"/>
  <c r="E285" i="112"/>
  <c r="E281" i="112"/>
  <c r="E276" i="112"/>
  <c r="E272" i="112"/>
  <c r="F282" i="112"/>
  <c r="F273" i="112"/>
  <c r="G288" i="112"/>
  <c r="E283" i="112"/>
  <c r="F277" i="112"/>
  <c r="C268" i="112"/>
  <c r="E278" i="112"/>
  <c r="E274" i="112"/>
  <c r="E372" i="112"/>
  <c r="E370" i="112"/>
  <c r="E367" i="112"/>
  <c r="E365" i="112"/>
  <c r="E363" i="112"/>
  <c r="E361" i="112"/>
  <c r="E359" i="112"/>
  <c r="F373" i="112"/>
  <c r="F371" i="112"/>
  <c r="F369" i="112"/>
  <c r="F366" i="112"/>
  <c r="F364" i="112"/>
  <c r="F362" i="112"/>
  <c r="F360" i="112"/>
  <c r="F372" i="112"/>
  <c r="F367" i="112"/>
  <c r="F363" i="112"/>
  <c r="F359" i="112"/>
  <c r="E373" i="112"/>
  <c r="E369" i="112"/>
  <c r="E364" i="112"/>
  <c r="E360" i="112"/>
  <c r="C356" i="112"/>
  <c r="F370" i="112"/>
  <c r="F361" i="112"/>
  <c r="G376" i="112"/>
  <c r="E362" i="112"/>
  <c r="E366" i="112"/>
  <c r="E371" i="112"/>
  <c r="F365" i="112"/>
  <c r="E460" i="112"/>
  <c r="E458" i="112"/>
  <c r="E455" i="112"/>
  <c r="E453" i="112"/>
  <c r="E451" i="112"/>
  <c r="E449" i="112"/>
  <c r="E447" i="112"/>
  <c r="F461" i="112"/>
  <c r="F459" i="112"/>
  <c r="F457" i="112"/>
  <c r="F454" i="112"/>
  <c r="F452" i="112"/>
  <c r="F450" i="112"/>
  <c r="F448" i="112"/>
  <c r="F460" i="112"/>
  <c r="F455" i="112"/>
  <c r="F451" i="112"/>
  <c r="F447" i="112"/>
  <c r="E461" i="112"/>
  <c r="E457" i="112"/>
  <c r="E452" i="112"/>
  <c r="E448" i="112"/>
  <c r="G464" i="112"/>
  <c r="F458" i="112"/>
  <c r="F449" i="112"/>
  <c r="C444" i="112"/>
  <c r="E450" i="112"/>
  <c r="F453" i="112"/>
  <c r="E454" i="112"/>
  <c r="E459" i="112"/>
  <c r="E548" i="112"/>
  <c r="E546" i="112"/>
  <c r="E543" i="112"/>
  <c r="E541" i="112"/>
  <c r="E539" i="112"/>
  <c r="E537" i="112"/>
  <c r="E535" i="112"/>
  <c r="F549" i="112"/>
  <c r="F547" i="112"/>
  <c r="F545" i="112"/>
  <c r="F542" i="112"/>
  <c r="F540" i="112"/>
  <c r="F538" i="112"/>
  <c r="F536" i="112"/>
  <c r="F548" i="112"/>
  <c r="F543" i="112"/>
  <c r="F539" i="112"/>
  <c r="F535" i="112"/>
  <c r="E549" i="112"/>
  <c r="E545" i="112"/>
  <c r="E540" i="112"/>
  <c r="E536" i="112"/>
  <c r="F546" i="112"/>
  <c r="F537" i="112"/>
  <c r="C532" i="112"/>
  <c r="E547" i="112"/>
  <c r="E542" i="112"/>
  <c r="G552" i="112"/>
  <c r="E538" i="112"/>
  <c r="F541" i="112"/>
  <c r="E636" i="112"/>
  <c r="E634" i="112"/>
  <c r="E631" i="112"/>
  <c r="E629" i="112"/>
  <c r="E627" i="112"/>
  <c r="E625" i="112"/>
  <c r="E623" i="112"/>
  <c r="F637" i="112"/>
  <c r="F635" i="112"/>
  <c r="F633" i="112"/>
  <c r="F630" i="112"/>
  <c r="F628" i="112"/>
  <c r="F626" i="112"/>
  <c r="F624" i="112"/>
  <c r="F636" i="112"/>
  <c r="F631" i="112"/>
  <c r="F627" i="112"/>
  <c r="F623" i="112"/>
  <c r="C620" i="112"/>
  <c r="E637" i="112"/>
  <c r="E633" i="112"/>
  <c r="E628" i="112"/>
  <c r="E624" i="112"/>
  <c r="G640" i="112"/>
  <c r="F634" i="112"/>
  <c r="F625" i="112"/>
  <c r="E626" i="112"/>
  <c r="E630" i="112"/>
  <c r="E635" i="112"/>
  <c r="F629" i="112"/>
  <c r="E724" i="112"/>
  <c r="E722" i="112"/>
  <c r="E719" i="112"/>
  <c r="E717" i="112"/>
  <c r="E715" i="112"/>
  <c r="E713" i="112"/>
  <c r="E711" i="112"/>
  <c r="F725" i="112"/>
  <c r="F723" i="112"/>
  <c r="F721" i="112"/>
  <c r="F718" i="112"/>
  <c r="F716" i="112"/>
  <c r="F714" i="112"/>
  <c r="F712" i="112"/>
  <c r="F724" i="112"/>
  <c r="F719" i="112"/>
  <c r="F715" i="112"/>
  <c r="F711" i="112"/>
  <c r="E725" i="112"/>
  <c r="E721" i="112"/>
  <c r="E716" i="112"/>
  <c r="E712" i="112"/>
  <c r="F722" i="112"/>
  <c r="F713" i="112"/>
  <c r="E723" i="112"/>
  <c r="G728" i="112"/>
  <c r="C708" i="112"/>
  <c r="E718" i="112"/>
  <c r="E714" i="112"/>
  <c r="F717" i="112"/>
  <c r="E42" i="112"/>
  <c r="E40" i="112"/>
  <c r="E37" i="112"/>
  <c r="E35" i="112"/>
  <c r="E33" i="112"/>
  <c r="E31" i="112"/>
  <c r="E29" i="112"/>
  <c r="F43" i="112"/>
  <c r="F41" i="112"/>
  <c r="F39" i="112"/>
  <c r="F36" i="112"/>
  <c r="F34" i="112"/>
  <c r="F32" i="112"/>
  <c r="F30" i="112"/>
  <c r="F40" i="112"/>
  <c r="F35" i="112"/>
  <c r="F31" i="112"/>
  <c r="E41" i="112"/>
  <c r="E36" i="112"/>
  <c r="E32" i="112"/>
  <c r="F42" i="112"/>
  <c r="F33" i="112"/>
  <c r="C26" i="112"/>
  <c r="E43" i="112"/>
  <c r="G46" i="112"/>
  <c r="F29" i="112"/>
  <c r="E39" i="112"/>
  <c r="E30" i="112"/>
  <c r="E34" i="112"/>
  <c r="F37" i="112"/>
  <c r="E86" i="112"/>
  <c r="E84" i="112"/>
  <c r="E81" i="112"/>
  <c r="E79" i="112"/>
  <c r="E77" i="112"/>
  <c r="E75" i="112"/>
  <c r="E73" i="112"/>
  <c r="F87" i="112"/>
  <c r="F85" i="112"/>
  <c r="F83" i="112"/>
  <c r="F80" i="112"/>
  <c r="F78" i="112"/>
  <c r="F76" i="112"/>
  <c r="F74" i="112"/>
  <c r="F84" i="112"/>
  <c r="F79" i="112"/>
  <c r="F75" i="112"/>
  <c r="E85" i="112"/>
  <c r="E80" i="112"/>
  <c r="E76" i="112"/>
  <c r="F81" i="112"/>
  <c r="F73" i="112"/>
  <c r="C70" i="112"/>
  <c r="E74" i="112"/>
  <c r="G90" i="112"/>
  <c r="F77" i="112"/>
  <c r="E87" i="112"/>
  <c r="E78" i="112"/>
  <c r="E83" i="112"/>
  <c r="F86" i="112"/>
  <c r="E130" i="112"/>
  <c r="E128" i="112"/>
  <c r="E125" i="112"/>
  <c r="E123" i="112"/>
  <c r="E121" i="112"/>
  <c r="E119" i="112"/>
  <c r="E117" i="112"/>
  <c r="F131" i="112"/>
  <c r="F129" i="112"/>
  <c r="F127" i="112"/>
  <c r="F124" i="112"/>
  <c r="F122" i="112"/>
  <c r="F120" i="112"/>
  <c r="F118" i="112"/>
  <c r="F128" i="112"/>
  <c r="F123" i="112"/>
  <c r="F119" i="112"/>
  <c r="E129" i="112"/>
  <c r="E124" i="112"/>
  <c r="E120" i="112"/>
  <c r="F130" i="112"/>
  <c r="F121" i="112"/>
  <c r="C114" i="112"/>
  <c r="E122" i="112"/>
  <c r="G134" i="112"/>
  <c r="F125" i="112"/>
  <c r="E127" i="112"/>
  <c r="E118" i="112"/>
  <c r="E131" i="112"/>
  <c r="F117" i="112"/>
  <c r="E174" i="112"/>
  <c r="E172" i="112"/>
  <c r="E169" i="112"/>
  <c r="E167" i="112"/>
  <c r="E165" i="112"/>
  <c r="E163" i="112"/>
  <c r="E161" i="112"/>
  <c r="F175" i="112"/>
  <c r="F173" i="112"/>
  <c r="F171" i="112"/>
  <c r="F168" i="112"/>
  <c r="F166" i="112"/>
  <c r="F164" i="112"/>
  <c r="F162" i="112"/>
  <c r="F172" i="112"/>
  <c r="F167" i="112"/>
  <c r="F163" i="112"/>
  <c r="E173" i="112"/>
  <c r="E168" i="112"/>
  <c r="E164" i="112"/>
  <c r="F169" i="112"/>
  <c r="F161" i="112"/>
  <c r="C158" i="112"/>
  <c r="E171" i="112"/>
  <c r="G178" i="112"/>
  <c r="F174" i="112"/>
  <c r="E175" i="112"/>
  <c r="E166" i="112"/>
  <c r="E162" i="112"/>
  <c r="F165" i="112"/>
  <c r="E218" i="112"/>
  <c r="E216" i="112"/>
  <c r="E213" i="112"/>
  <c r="E211" i="112"/>
  <c r="E209" i="112"/>
  <c r="E207" i="112"/>
  <c r="E205" i="112"/>
  <c r="F219" i="112"/>
  <c r="F217" i="112"/>
  <c r="F215" i="112"/>
  <c r="F212" i="112"/>
  <c r="F210" i="112"/>
  <c r="F208" i="112"/>
  <c r="F206" i="112"/>
  <c r="F216" i="112"/>
  <c r="F211" i="112"/>
  <c r="F207" i="112"/>
  <c r="E217" i="112"/>
  <c r="E212" i="112"/>
  <c r="E208" i="112"/>
  <c r="F218" i="112"/>
  <c r="F209" i="112"/>
  <c r="C202" i="112"/>
  <c r="G222" i="112"/>
  <c r="F205" i="112"/>
  <c r="E215" i="112"/>
  <c r="E206" i="112"/>
  <c r="E219" i="112"/>
  <c r="E210" i="112"/>
  <c r="F213" i="112"/>
  <c r="E262" i="112"/>
  <c r="E260" i="112"/>
  <c r="E257" i="112"/>
  <c r="E255" i="112"/>
  <c r="E253" i="112"/>
  <c r="E251" i="112"/>
  <c r="E249" i="112"/>
  <c r="F263" i="112"/>
  <c r="F261" i="112"/>
  <c r="F259" i="112"/>
  <c r="F256" i="112"/>
  <c r="F254" i="112"/>
  <c r="F252" i="112"/>
  <c r="F250" i="112"/>
  <c r="F260" i="112"/>
  <c r="F255" i="112"/>
  <c r="F251" i="112"/>
  <c r="E261" i="112"/>
  <c r="E256" i="112"/>
  <c r="E252" i="112"/>
  <c r="F257" i="112"/>
  <c r="F249" i="112"/>
  <c r="C246" i="112"/>
  <c r="E259" i="112"/>
  <c r="F253" i="112"/>
  <c r="E263" i="112"/>
  <c r="E254" i="112"/>
  <c r="E250" i="112"/>
  <c r="G266" i="112"/>
  <c r="F262" i="112"/>
  <c r="E306" i="112"/>
  <c r="E304" i="112"/>
  <c r="E301" i="112"/>
  <c r="E299" i="112"/>
  <c r="E297" i="112"/>
  <c r="E295" i="112"/>
  <c r="E293" i="112"/>
  <c r="F307" i="112"/>
  <c r="F305" i="112"/>
  <c r="F303" i="112"/>
  <c r="F300" i="112"/>
  <c r="F298" i="112"/>
  <c r="F296" i="112"/>
  <c r="F294" i="112"/>
  <c r="F304" i="112"/>
  <c r="F299" i="112"/>
  <c r="F295" i="112"/>
  <c r="G310" i="112"/>
  <c r="E305" i="112"/>
  <c r="E300" i="112"/>
  <c r="E296" i="112"/>
  <c r="F306" i="112"/>
  <c r="F297" i="112"/>
  <c r="E307" i="112"/>
  <c r="F301" i="112"/>
  <c r="E303" i="112"/>
  <c r="E294" i="112"/>
  <c r="E298" i="112"/>
  <c r="C290" i="112"/>
  <c r="F293" i="112"/>
  <c r="E350" i="112"/>
  <c r="E348" i="112"/>
  <c r="E345" i="112"/>
  <c r="E343" i="112"/>
  <c r="E341" i="112"/>
  <c r="E339" i="112"/>
  <c r="E337" i="112"/>
  <c r="F351" i="112"/>
  <c r="F349" i="112"/>
  <c r="F347" i="112"/>
  <c r="F344" i="112"/>
  <c r="F342" i="112"/>
  <c r="F340" i="112"/>
  <c r="F338" i="112"/>
  <c r="F348" i="112"/>
  <c r="F343" i="112"/>
  <c r="F339" i="112"/>
  <c r="G354" i="112"/>
  <c r="E349" i="112"/>
  <c r="E344" i="112"/>
  <c r="E340" i="112"/>
  <c r="F345" i="112"/>
  <c r="F337" i="112"/>
  <c r="E338" i="112"/>
  <c r="F350" i="112"/>
  <c r="E351" i="112"/>
  <c r="E342" i="112"/>
  <c r="C334" i="112"/>
  <c r="E347" i="112"/>
  <c r="F341" i="112"/>
  <c r="E394" i="112"/>
  <c r="E392" i="112"/>
  <c r="E389" i="112"/>
  <c r="E387" i="112"/>
  <c r="E385" i="112"/>
  <c r="E383" i="112"/>
  <c r="E381" i="112"/>
  <c r="F395" i="112"/>
  <c r="F393" i="112"/>
  <c r="F391" i="112"/>
  <c r="F388" i="112"/>
  <c r="F386" i="112"/>
  <c r="F384" i="112"/>
  <c r="F382" i="112"/>
  <c r="F392" i="112"/>
  <c r="F387" i="112"/>
  <c r="F383" i="112"/>
  <c r="E393" i="112"/>
  <c r="E388" i="112"/>
  <c r="E384" i="112"/>
  <c r="F394" i="112"/>
  <c r="F385" i="112"/>
  <c r="E386" i="112"/>
  <c r="C378" i="112"/>
  <c r="F381" i="112"/>
  <c r="G398" i="112"/>
  <c r="E391" i="112"/>
  <c r="E382" i="112"/>
  <c r="E395" i="112"/>
  <c r="F389" i="112"/>
  <c r="E438" i="112"/>
  <c r="E436" i="112"/>
  <c r="E433" i="112"/>
  <c r="E431" i="112"/>
  <c r="E429" i="112"/>
  <c r="E427" i="112"/>
  <c r="E425" i="112"/>
  <c r="F439" i="112"/>
  <c r="F437" i="112"/>
  <c r="F435" i="112"/>
  <c r="F432" i="112"/>
  <c r="F430" i="112"/>
  <c r="F428" i="112"/>
  <c r="F426" i="112"/>
  <c r="F436" i="112"/>
  <c r="F431" i="112"/>
  <c r="F427" i="112"/>
  <c r="C422" i="112"/>
  <c r="E437" i="112"/>
  <c r="E432" i="112"/>
  <c r="E428" i="112"/>
  <c r="G442" i="112"/>
  <c r="F433" i="112"/>
  <c r="F425" i="112"/>
  <c r="E435" i="112"/>
  <c r="F429" i="112"/>
  <c r="E439" i="112"/>
  <c r="E430" i="112"/>
  <c r="E426" i="112"/>
  <c r="F438" i="112"/>
  <c r="E482" i="112"/>
  <c r="E480" i="112"/>
  <c r="E477" i="112"/>
  <c r="E475" i="112"/>
  <c r="E473" i="112"/>
  <c r="E471" i="112"/>
  <c r="E469" i="112"/>
  <c r="F483" i="112"/>
  <c r="F481" i="112"/>
  <c r="F479" i="112"/>
  <c r="F476" i="112"/>
  <c r="F474" i="112"/>
  <c r="F472" i="112"/>
  <c r="F470" i="112"/>
  <c r="F480" i="112"/>
  <c r="F475" i="112"/>
  <c r="F471" i="112"/>
  <c r="E481" i="112"/>
  <c r="E476" i="112"/>
  <c r="E472" i="112"/>
  <c r="F482" i="112"/>
  <c r="F473" i="112"/>
  <c r="E474" i="112"/>
  <c r="G486" i="112"/>
  <c r="F477" i="112"/>
  <c r="E479" i="112"/>
  <c r="E470" i="112"/>
  <c r="C466" i="112"/>
  <c r="E483" i="112"/>
  <c r="F469" i="112"/>
  <c r="E526" i="112"/>
  <c r="E524" i="112"/>
  <c r="E521" i="112"/>
  <c r="E519" i="112"/>
  <c r="E517" i="112"/>
  <c r="E515" i="112"/>
  <c r="E513" i="112"/>
  <c r="F527" i="112"/>
  <c r="F525" i="112"/>
  <c r="F523" i="112"/>
  <c r="F520" i="112"/>
  <c r="F518" i="112"/>
  <c r="F516" i="112"/>
  <c r="F514" i="112"/>
  <c r="F524" i="112"/>
  <c r="F519" i="112"/>
  <c r="F515" i="112"/>
  <c r="G530" i="112"/>
  <c r="C510" i="112"/>
  <c r="E525" i="112"/>
  <c r="E520" i="112"/>
  <c r="E516" i="112"/>
  <c r="F521" i="112"/>
  <c r="F513" i="112"/>
  <c r="E523" i="112"/>
  <c r="F526" i="112"/>
  <c r="E527" i="112"/>
  <c r="E518" i="112"/>
  <c r="E514" i="112"/>
  <c r="F517" i="112"/>
  <c r="E570" i="112"/>
  <c r="E568" i="112"/>
  <c r="E565" i="112"/>
  <c r="E563" i="112"/>
  <c r="E561" i="112"/>
  <c r="E559" i="112"/>
  <c r="E557" i="112"/>
  <c r="F571" i="112"/>
  <c r="F569" i="112"/>
  <c r="F567" i="112"/>
  <c r="F564" i="112"/>
  <c r="F562" i="112"/>
  <c r="F560" i="112"/>
  <c r="F558" i="112"/>
  <c r="F568" i="112"/>
  <c r="F563" i="112"/>
  <c r="F559" i="112"/>
  <c r="E569" i="112"/>
  <c r="E564" i="112"/>
  <c r="E560" i="112"/>
  <c r="G574" i="112"/>
  <c r="C554" i="112"/>
  <c r="F570" i="112"/>
  <c r="F561" i="112"/>
  <c r="E571" i="112"/>
  <c r="F557" i="112"/>
  <c r="E567" i="112"/>
  <c r="E558" i="112"/>
  <c r="E562" i="112"/>
  <c r="F565" i="112"/>
  <c r="E614" i="112"/>
  <c r="E612" i="112"/>
  <c r="E609" i="112"/>
  <c r="E607" i="112"/>
  <c r="E605" i="112"/>
  <c r="E603" i="112"/>
  <c r="E601" i="112"/>
  <c r="F615" i="112"/>
  <c r="F613" i="112"/>
  <c r="F611" i="112"/>
  <c r="F608" i="112"/>
  <c r="F606" i="112"/>
  <c r="F604" i="112"/>
  <c r="F602" i="112"/>
  <c r="F612" i="112"/>
  <c r="F607" i="112"/>
  <c r="F603" i="112"/>
  <c r="E613" i="112"/>
  <c r="E608" i="112"/>
  <c r="E604" i="112"/>
  <c r="F609" i="112"/>
  <c r="F601" i="112"/>
  <c r="G618" i="112"/>
  <c r="E602" i="112"/>
  <c r="F614" i="112"/>
  <c r="C598" i="112"/>
  <c r="E615" i="112"/>
  <c r="E606" i="112"/>
  <c r="E611" i="112"/>
  <c r="F605" i="112"/>
  <c r="E658" i="112"/>
  <c r="E656" i="112"/>
  <c r="E653" i="112"/>
  <c r="E651" i="112"/>
  <c r="E649" i="112"/>
  <c r="E647" i="112"/>
  <c r="E645" i="112"/>
  <c r="F659" i="112"/>
  <c r="F657" i="112"/>
  <c r="F655" i="112"/>
  <c r="F652" i="112"/>
  <c r="F650" i="112"/>
  <c r="F648" i="112"/>
  <c r="F646" i="112"/>
  <c r="F656" i="112"/>
  <c r="F651" i="112"/>
  <c r="F647" i="112"/>
  <c r="E657" i="112"/>
  <c r="E652" i="112"/>
  <c r="E648" i="112"/>
  <c r="F658" i="112"/>
  <c r="F649" i="112"/>
  <c r="E650" i="112"/>
  <c r="C642" i="112"/>
  <c r="F653" i="112"/>
  <c r="F645" i="112"/>
  <c r="E655" i="112"/>
  <c r="E646" i="112"/>
  <c r="G662" i="112"/>
  <c r="E659" i="112"/>
  <c r="E702" i="112"/>
  <c r="E700" i="112"/>
  <c r="E697" i="112"/>
  <c r="E695" i="112"/>
  <c r="E693" i="112"/>
  <c r="E691" i="112"/>
  <c r="E689" i="112"/>
  <c r="F703" i="112"/>
  <c r="F701" i="112"/>
  <c r="F699" i="112"/>
  <c r="F696" i="112"/>
  <c r="F694" i="112"/>
  <c r="F692" i="112"/>
  <c r="F690" i="112"/>
  <c r="F700" i="112"/>
  <c r="F695" i="112"/>
  <c r="F691" i="112"/>
  <c r="G706" i="112"/>
  <c r="C686" i="112"/>
  <c r="E701" i="112"/>
  <c r="E696" i="112"/>
  <c r="E692" i="112"/>
  <c r="F697" i="112"/>
  <c r="F689" i="112"/>
  <c r="E699" i="112"/>
  <c r="F702" i="112"/>
  <c r="E703" i="112"/>
  <c r="E694" i="112"/>
  <c r="E690" i="112"/>
  <c r="F693" i="112"/>
  <c r="E746" i="112"/>
  <c r="E744" i="112"/>
  <c r="E741" i="112"/>
  <c r="E739" i="112"/>
  <c r="E737" i="112"/>
  <c r="E735" i="112"/>
  <c r="E733" i="112"/>
  <c r="F747" i="112"/>
  <c r="F745" i="112"/>
  <c r="F743" i="112"/>
  <c r="F740" i="112"/>
  <c r="F738" i="112"/>
  <c r="F736" i="112"/>
  <c r="F734" i="112"/>
  <c r="F744" i="112"/>
  <c r="F739" i="112"/>
  <c r="F735" i="112"/>
  <c r="E745" i="112"/>
  <c r="E740" i="112"/>
  <c r="E736" i="112"/>
  <c r="G750" i="112"/>
  <c r="C730" i="112"/>
  <c r="F746" i="112"/>
  <c r="F737" i="112"/>
  <c r="E747" i="112"/>
  <c r="F741" i="112"/>
  <c r="E743" i="112"/>
  <c r="E734" i="112"/>
  <c r="E738" i="112"/>
  <c r="F733" i="112"/>
  <c r="E790" i="112"/>
  <c r="E788" i="112"/>
  <c r="E785" i="112"/>
  <c r="E783" i="112"/>
  <c r="E781" i="112"/>
  <c r="E779" i="112"/>
  <c r="E777" i="112"/>
  <c r="F791" i="112"/>
  <c r="F789" i="112"/>
  <c r="F787" i="112"/>
  <c r="F784" i="112"/>
  <c r="F782" i="112"/>
  <c r="F780" i="112"/>
  <c r="F778" i="112"/>
  <c r="F788" i="112"/>
  <c r="F783" i="112"/>
  <c r="F779" i="112"/>
  <c r="E789" i="112"/>
  <c r="E784" i="112"/>
  <c r="E780" i="112"/>
  <c r="F785" i="112"/>
  <c r="F777" i="112"/>
  <c r="C774" i="112"/>
  <c r="E778" i="112"/>
  <c r="F790" i="112"/>
  <c r="E791" i="112"/>
  <c r="E782" i="112"/>
  <c r="G794" i="112"/>
  <c r="E787" i="112"/>
  <c r="F781" i="112"/>
  <c r="E42" i="113"/>
  <c r="E40" i="113"/>
  <c r="E37" i="113"/>
  <c r="E35" i="113"/>
  <c r="E33" i="113"/>
  <c r="E31" i="113"/>
  <c r="E29" i="113"/>
  <c r="F43" i="113"/>
  <c r="F41" i="113"/>
  <c r="F39" i="113"/>
  <c r="F36" i="113"/>
  <c r="F34" i="113"/>
  <c r="F32" i="113"/>
  <c r="F30" i="113"/>
  <c r="F42" i="113"/>
  <c r="F37" i="113"/>
  <c r="F33" i="113"/>
  <c r="F29" i="113"/>
  <c r="E43" i="113"/>
  <c r="E34" i="113"/>
  <c r="E41" i="113"/>
  <c r="E36" i="113"/>
  <c r="E32" i="113"/>
  <c r="E39" i="113"/>
  <c r="E30" i="113"/>
  <c r="C26" i="113"/>
  <c r="F40" i="113"/>
  <c r="F35" i="113"/>
  <c r="F31" i="113"/>
  <c r="G46" i="113"/>
  <c r="E130" i="113"/>
  <c r="E128" i="113"/>
  <c r="E125" i="113"/>
  <c r="E123" i="113"/>
  <c r="E121" i="113"/>
  <c r="E119" i="113"/>
  <c r="E117" i="113"/>
  <c r="F131" i="113"/>
  <c r="F129" i="113"/>
  <c r="F127" i="113"/>
  <c r="F124" i="113"/>
  <c r="F122" i="113"/>
  <c r="F120" i="113"/>
  <c r="F118" i="113"/>
  <c r="F130" i="113"/>
  <c r="F125" i="113"/>
  <c r="F121" i="113"/>
  <c r="F117" i="113"/>
  <c r="E127" i="113"/>
  <c r="E118" i="113"/>
  <c r="E129" i="113"/>
  <c r="E124" i="113"/>
  <c r="E120" i="113"/>
  <c r="E131" i="113"/>
  <c r="E122" i="113"/>
  <c r="F128" i="113"/>
  <c r="F123" i="113"/>
  <c r="F119" i="113"/>
  <c r="G134" i="113"/>
  <c r="C114" i="113"/>
  <c r="E218" i="113"/>
  <c r="E216" i="113"/>
  <c r="E213" i="113"/>
  <c r="E211" i="113"/>
  <c r="E209" i="113"/>
  <c r="E207" i="113"/>
  <c r="E205" i="113"/>
  <c r="F219" i="113"/>
  <c r="F217" i="113"/>
  <c r="F215" i="113"/>
  <c r="F212" i="113"/>
  <c r="F210" i="113"/>
  <c r="F208" i="113"/>
  <c r="F206" i="113"/>
  <c r="F218" i="113"/>
  <c r="F213" i="113"/>
  <c r="F209" i="113"/>
  <c r="F205" i="113"/>
  <c r="E215" i="113"/>
  <c r="E206" i="113"/>
  <c r="G222" i="113"/>
  <c r="E217" i="113"/>
  <c r="E212" i="113"/>
  <c r="E208" i="113"/>
  <c r="C202" i="113"/>
  <c r="E219" i="113"/>
  <c r="E210" i="113"/>
  <c r="F216" i="113"/>
  <c r="F211" i="113"/>
  <c r="F207" i="113"/>
  <c r="E306" i="113"/>
  <c r="E304" i="113"/>
  <c r="E301" i="113"/>
  <c r="E299" i="113"/>
  <c r="E297" i="113"/>
  <c r="E295" i="113"/>
  <c r="E293" i="113"/>
  <c r="F307" i="113"/>
  <c r="F305" i="113"/>
  <c r="F303" i="113"/>
  <c r="F300" i="113"/>
  <c r="F298" i="113"/>
  <c r="F296" i="113"/>
  <c r="F294" i="113"/>
  <c r="G310" i="113"/>
  <c r="F306" i="113"/>
  <c r="F301" i="113"/>
  <c r="F297" i="113"/>
  <c r="F293" i="113"/>
  <c r="E307" i="113"/>
  <c r="E298" i="113"/>
  <c r="E305" i="113"/>
  <c r="E300" i="113"/>
  <c r="E296" i="113"/>
  <c r="E303" i="113"/>
  <c r="E294" i="113"/>
  <c r="F304" i="113"/>
  <c r="F299" i="113"/>
  <c r="F295" i="113"/>
  <c r="C290" i="113"/>
  <c r="E394" i="113"/>
  <c r="E392" i="113"/>
  <c r="E389" i="113"/>
  <c r="E387" i="113"/>
  <c r="E385" i="113"/>
  <c r="E383" i="113"/>
  <c r="E381" i="113"/>
  <c r="F395" i="113"/>
  <c r="F393" i="113"/>
  <c r="F391" i="113"/>
  <c r="F388" i="113"/>
  <c r="F386" i="113"/>
  <c r="F384" i="113"/>
  <c r="F382" i="113"/>
  <c r="F394" i="113"/>
  <c r="F389" i="113"/>
  <c r="F385" i="113"/>
  <c r="F381" i="113"/>
  <c r="E391" i="113"/>
  <c r="E382" i="113"/>
  <c r="G398" i="113"/>
  <c r="E393" i="113"/>
  <c r="E388" i="113"/>
  <c r="E384" i="113"/>
  <c r="E395" i="113"/>
  <c r="E386" i="113"/>
  <c r="F392" i="113"/>
  <c r="F387" i="113"/>
  <c r="F383" i="113"/>
  <c r="C378" i="113"/>
  <c r="E438" i="113"/>
  <c r="E436" i="113"/>
  <c r="E433" i="113"/>
  <c r="E431" i="113"/>
  <c r="E429" i="113"/>
  <c r="E427" i="113"/>
  <c r="E425" i="113"/>
  <c r="F439" i="113"/>
  <c r="F437" i="113"/>
  <c r="F435" i="113"/>
  <c r="F432" i="113"/>
  <c r="F430" i="113"/>
  <c r="F428" i="113"/>
  <c r="F426" i="113"/>
  <c r="C422" i="113"/>
  <c r="F438" i="113"/>
  <c r="F433" i="113"/>
  <c r="F429" i="113"/>
  <c r="F425" i="113"/>
  <c r="E439" i="113"/>
  <c r="E430" i="113"/>
  <c r="E437" i="113"/>
  <c r="E432" i="113"/>
  <c r="E428" i="113"/>
  <c r="E435" i="113"/>
  <c r="E426" i="113"/>
  <c r="F436" i="113"/>
  <c r="F431" i="113"/>
  <c r="F427" i="113"/>
  <c r="G442" i="113"/>
  <c r="E20" i="113"/>
  <c r="E18" i="113"/>
  <c r="E15" i="113"/>
  <c r="E13" i="113"/>
  <c r="E11" i="113"/>
  <c r="E9" i="113"/>
  <c r="E7" i="113"/>
  <c r="F21" i="113"/>
  <c r="F19" i="113"/>
  <c r="F17" i="113"/>
  <c r="F14" i="113"/>
  <c r="F12" i="113"/>
  <c r="F10" i="113"/>
  <c r="F8" i="113"/>
  <c r="F18" i="113"/>
  <c r="F13" i="113"/>
  <c r="F9" i="113"/>
  <c r="E19" i="113"/>
  <c r="E21" i="113"/>
  <c r="E17" i="113"/>
  <c r="E12" i="113"/>
  <c r="E8" i="113"/>
  <c r="G24" i="113"/>
  <c r="E14" i="113"/>
  <c r="E10" i="113"/>
  <c r="C4" i="113"/>
  <c r="F20" i="113"/>
  <c r="F15" i="113"/>
  <c r="F11" i="113"/>
  <c r="F7" i="113"/>
  <c r="E64" i="113"/>
  <c r="E62" i="113"/>
  <c r="E59" i="113"/>
  <c r="E57" i="113"/>
  <c r="E55" i="113"/>
  <c r="E53" i="113"/>
  <c r="E51" i="113"/>
  <c r="F65" i="113"/>
  <c r="F63" i="113"/>
  <c r="F61" i="113"/>
  <c r="F58" i="113"/>
  <c r="F56" i="113"/>
  <c r="F54" i="113"/>
  <c r="F52" i="113"/>
  <c r="F62" i="113"/>
  <c r="F57" i="113"/>
  <c r="F53" i="113"/>
  <c r="C48" i="113"/>
  <c r="E58" i="113"/>
  <c r="E65" i="113"/>
  <c r="E61" i="113"/>
  <c r="E56" i="113"/>
  <c r="E52" i="113"/>
  <c r="G68" i="113"/>
  <c r="E63" i="113"/>
  <c r="E54" i="113"/>
  <c r="F64" i="113"/>
  <c r="F59" i="113"/>
  <c r="F55" i="113"/>
  <c r="F51" i="113"/>
  <c r="E108" i="113"/>
  <c r="E106" i="113"/>
  <c r="E103" i="113"/>
  <c r="E101" i="113"/>
  <c r="E99" i="113"/>
  <c r="E97" i="113"/>
  <c r="E95" i="113"/>
  <c r="F109" i="113"/>
  <c r="F107" i="113"/>
  <c r="F105" i="113"/>
  <c r="F102" i="113"/>
  <c r="F100" i="113"/>
  <c r="F98" i="113"/>
  <c r="F96" i="113"/>
  <c r="F106" i="113"/>
  <c r="F101" i="113"/>
  <c r="F97" i="113"/>
  <c r="G112" i="113"/>
  <c r="E102" i="113"/>
  <c r="E109" i="113"/>
  <c r="E105" i="113"/>
  <c r="E100" i="113"/>
  <c r="E96" i="113"/>
  <c r="E107" i="113"/>
  <c r="E98" i="113"/>
  <c r="F108" i="113"/>
  <c r="F103" i="113"/>
  <c r="F99" i="113"/>
  <c r="F95" i="113"/>
  <c r="C92" i="113"/>
  <c r="E152" i="113"/>
  <c r="E150" i="113"/>
  <c r="E147" i="113"/>
  <c r="E145" i="113"/>
  <c r="E143" i="113"/>
  <c r="E141" i="113"/>
  <c r="E139" i="113"/>
  <c r="F153" i="113"/>
  <c r="F151" i="113"/>
  <c r="F149" i="113"/>
  <c r="F146" i="113"/>
  <c r="F144" i="113"/>
  <c r="F142" i="113"/>
  <c r="F140" i="113"/>
  <c r="F150" i="113"/>
  <c r="F145" i="113"/>
  <c r="F141" i="113"/>
  <c r="G156" i="113"/>
  <c r="C136" i="113"/>
  <c r="E151" i="113"/>
  <c r="E142" i="113"/>
  <c r="E153" i="113"/>
  <c r="E149" i="113"/>
  <c r="E144" i="113"/>
  <c r="E140" i="113"/>
  <c r="E146" i="113"/>
  <c r="F152" i="113"/>
  <c r="F147" i="113"/>
  <c r="F143" i="113"/>
  <c r="F139" i="113"/>
  <c r="E196" i="113"/>
  <c r="E194" i="113"/>
  <c r="E191" i="113"/>
  <c r="E189" i="113"/>
  <c r="E187" i="113"/>
  <c r="E185" i="113"/>
  <c r="E183" i="113"/>
  <c r="G200" i="113"/>
  <c r="C180" i="113"/>
  <c r="F197" i="113"/>
  <c r="F195" i="113"/>
  <c r="F193" i="113"/>
  <c r="F190" i="113"/>
  <c r="F188" i="113"/>
  <c r="F186" i="113"/>
  <c r="F184" i="113"/>
  <c r="F194" i="113"/>
  <c r="F189" i="113"/>
  <c r="F185" i="113"/>
  <c r="E190" i="113"/>
  <c r="E197" i="113"/>
  <c r="E193" i="113"/>
  <c r="E188" i="113"/>
  <c r="E184" i="113"/>
  <c r="E195" i="113"/>
  <c r="E186" i="113"/>
  <c r="F196" i="113"/>
  <c r="F191" i="113"/>
  <c r="F187" i="113"/>
  <c r="F183" i="113"/>
  <c r="E240" i="113"/>
  <c r="E238" i="113"/>
  <c r="E235" i="113"/>
  <c r="E233" i="113"/>
  <c r="E231" i="113"/>
  <c r="E229" i="113"/>
  <c r="E227" i="113"/>
  <c r="G244" i="113"/>
  <c r="C224" i="113"/>
  <c r="F241" i="113"/>
  <c r="F239" i="113"/>
  <c r="F237" i="113"/>
  <c r="F234" i="113"/>
  <c r="F232" i="113"/>
  <c r="F230" i="113"/>
  <c r="F228" i="113"/>
  <c r="F238" i="113"/>
  <c r="F233" i="113"/>
  <c r="F229" i="113"/>
  <c r="E239" i="113"/>
  <c r="E230" i="113"/>
  <c r="E241" i="113"/>
  <c r="E237" i="113"/>
  <c r="E232" i="113"/>
  <c r="E228" i="113"/>
  <c r="E234" i="113"/>
  <c r="F240" i="113"/>
  <c r="F235" i="113"/>
  <c r="F231" i="113"/>
  <c r="F227" i="113"/>
  <c r="E284" i="113"/>
  <c r="E282" i="113"/>
  <c r="E279" i="113"/>
  <c r="E277" i="113"/>
  <c r="E275" i="113"/>
  <c r="E273" i="113"/>
  <c r="E271" i="113"/>
  <c r="F285" i="113"/>
  <c r="F283" i="113"/>
  <c r="F281" i="113"/>
  <c r="F278" i="113"/>
  <c r="F276" i="113"/>
  <c r="F274" i="113"/>
  <c r="F272" i="113"/>
  <c r="G288" i="113"/>
  <c r="F282" i="113"/>
  <c r="F277" i="113"/>
  <c r="F273" i="113"/>
  <c r="E283" i="113"/>
  <c r="E274" i="113"/>
  <c r="E285" i="113"/>
  <c r="E281" i="113"/>
  <c r="E276" i="113"/>
  <c r="E272" i="113"/>
  <c r="C268" i="113"/>
  <c r="E278" i="113"/>
  <c r="F284" i="113"/>
  <c r="F279" i="113"/>
  <c r="F275" i="113"/>
  <c r="F271" i="113"/>
  <c r="E328" i="113"/>
  <c r="E326" i="113"/>
  <c r="E323" i="113"/>
  <c r="E321" i="113"/>
  <c r="E319" i="113"/>
  <c r="E317" i="113"/>
  <c r="E315" i="113"/>
  <c r="G332" i="113"/>
  <c r="F329" i="113"/>
  <c r="F327" i="113"/>
  <c r="F325" i="113"/>
  <c r="F322" i="113"/>
  <c r="F320" i="113"/>
  <c r="F318" i="113"/>
  <c r="F316" i="113"/>
  <c r="F326" i="113"/>
  <c r="F321" i="113"/>
  <c r="F317" i="113"/>
  <c r="E327" i="113"/>
  <c r="E329" i="113"/>
  <c r="E325" i="113"/>
  <c r="E320" i="113"/>
  <c r="E316" i="113"/>
  <c r="E322" i="113"/>
  <c r="E318" i="113"/>
  <c r="F328" i="113"/>
  <c r="F323" i="113"/>
  <c r="F319" i="113"/>
  <c r="F315" i="113"/>
  <c r="C312" i="113"/>
  <c r="E372" i="113"/>
  <c r="E370" i="113"/>
  <c r="E367" i="113"/>
  <c r="E365" i="113"/>
  <c r="E363" i="113"/>
  <c r="E361" i="113"/>
  <c r="E359" i="113"/>
  <c r="F373" i="113"/>
  <c r="F371" i="113"/>
  <c r="F369" i="113"/>
  <c r="F366" i="113"/>
  <c r="F364" i="113"/>
  <c r="F362" i="113"/>
  <c r="F360" i="113"/>
  <c r="G376" i="113"/>
  <c r="F370" i="113"/>
  <c r="F365" i="113"/>
  <c r="F361" i="113"/>
  <c r="E366" i="113"/>
  <c r="E373" i="113"/>
  <c r="E369" i="113"/>
  <c r="E364" i="113"/>
  <c r="E360" i="113"/>
  <c r="C356" i="113"/>
  <c r="E371" i="113"/>
  <c r="E362" i="113"/>
  <c r="F372" i="113"/>
  <c r="F367" i="113"/>
  <c r="F363" i="113"/>
  <c r="F359" i="113"/>
  <c r="E416" i="113"/>
  <c r="E414" i="113"/>
  <c r="E411" i="113"/>
  <c r="E409" i="113"/>
  <c r="E407" i="113"/>
  <c r="E405" i="113"/>
  <c r="E403" i="113"/>
  <c r="C400" i="113"/>
  <c r="F417" i="113"/>
  <c r="F415" i="113"/>
  <c r="F413" i="113"/>
  <c r="F410" i="113"/>
  <c r="F408" i="113"/>
  <c r="F406" i="113"/>
  <c r="F404" i="113"/>
  <c r="F414" i="113"/>
  <c r="F409" i="113"/>
  <c r="F405" i="113"/>
  <c r="G420" i="113"/>
  <c r="E415" i="113"/>
  <c r="E406" i="113"/>
  <c r="E417" i="113"/>
  <c r="E413" i="113"/>
  <c r="E408" i="113"/>
  <c r="E404" i="113"/>
  <c r="E410" i="113"/>
  <c r="F416" i="113"/>
  <c r="F411" i="113"/>
  <c r="F407" i="113"/>
  <c r="F403" i="113"/>
  <c r="E460" i="113"/>
  <c r="E458" i="113"/>
  <c r="E455" i="113"/>
  <c r="E453" i="113"/>
  <c r="E451" i="113"/>
  <c r="E449" i="113"/>
  <c r="E447" i="113"/>
  <c r="F461" i="113"/>
  <c r="F459" i="113"/>
  <c r="F457" i="113"/>
  <c r="F454" i="113"/>
  <c r="F452" i="113"/>
  <c r="F450" i="113"/>
  <c r="F448" i="113"/>
  <c r="G464" i="113"/>
  <c r="C444" i="113"/>
  <c r="F458" i="113"/>
  <c r="F453" i="113"/>
  <c r="F449" i="113"/>
  <c r="E454" i="113"/>
  <c r="E461" i="113"/>
  <c r="E457" i="113"/>
  <c r="E452" i="113"/>
  <c r="E448" i="113"/>
  <c r="E459" i="113"/>
  <c r="E450" i="113"/>
  <c r="F460" i="113"/>
  <c r="F455" i="113"/>
  <c r="F451" i="113"/>
  <c r="F447" i="113"/>
  <c r="E504" i="113"/>
  <c r="E502" i="113"/>
  <c r="E499" i="113"/>
  <c r="E497" i="113"/>
  <c r="E495" i="113"/>
  <c r="E493" i="113"/>
  <c r="E491" i="113"/>
  <c r="C488" i="113"/>
  <c r="F505" i="113"/>
  <c r="F503" i="113"/>
  <c r="F501" i="113"/>
  <c r="F498" i="113"/>
  <c r="F496" i="113"/>
  <c r="F494" i="113"/>
  <c r="F492" i="113"/>
  <c r="G508" i="113"/>
  <c r="F502" i="113"/>
  <c r="F497" i="113"/>
  <c r="F493" i="113"/>
  <c r="E503" i="113"/>
  <c r="E494" i="113"/>
  <c r="E505" i="113"/>
  <c r="E501" i="113"/>
  <c r="E496" i="113"/>
  <c r="E492" i="113"/>
  <c r="E498" i="113"/>
  <c r="F504" i="113"/>
  <c r="F499" i="113"/>
  <c r="F495" i="113"/>
  <c r="F491" i="113"/>
  <c r="E86" i="113"/>
  <c r="E84" i="113"/>
  <c r="E81" i="113"/>
  <c r="E79" i="113"/>
  <c r="E77" i="113"/>
  <c r="E75" i="113"/>
  <c r="E73" i="113"/>
  <c r="F87" i="113"/>
  <c r="F85" i="113"/>
  <c r="F83" i="113"/>
  <c r="F80" i="113"/>
  <c r="F78" i="113"/>
  <c r="F76" i="113"/>
  <c r="F74" i="113"/>
  <c r="F86" i="113"/>
  <c r="F81" i="113"/>
  <c r="F77" i="113"/>
  <c r="F73" i="113"/>
  <c r="G90" i="113"/>
  <c r="E87" i="113"/>
  <c r="E74" i="113"/>
  <c r="C70" i="113"/>
  <c r="E85" i="113"/>
  <c r="E80" i="113"/>
  <c r="E76" i="113"/>
  <c r="E83" i="113"/>
  <c r="E78" i="113"/>
  <c r="F84" i="113"/>
  <c r="F79" i="113"/>
  <c r="F75" i="113"/>
  <c r="E174" i="113"/>
  <c r="E172" i="113"/>
  <c r="E169" i="113"/>
  <c r="E167" i="113"/>
  <c r="E165" i="113"/>
  <c r="E163" i="113"/>
  <c r="E161" i="113"/>
  <c r="F175" i="113"/>
  <c r="F173" i="113"/>
  <c r="F171" i="113"/>
  <c r="F168" i="113"/>
  <c r="F166" i="113"/>
  <c r="F164" i="113"/>
  <c r="F162" i="113"/>
  <c r="F174" i="113"/>
  <c r="F169" i="113"/>
  <c r="F165" i="113"/>
  <c r="F161" i="113"/>
  <c r="E175" i="113"/>
  <c r="E166" i="113"/>
  <c r="E173" i="113"/>
  <c r="E168" i="113"/>
  <c r="E164" i="113"/>
  <c r="E171" i="113"/>
  <c r="E162" i="113"/>
  <c r="F172" i="113"/>
  <c r="F167" i="113"/>
  <c r="F163" i="113"/>
  <c r="C158" i="113"/>
  <c r="E262" i="113"/>
  <c r="E260" i="113"/>
  <c r="E257" i="113"/>
  <c r="E255" i="113"/>
  <c r="E253" i="113"/>
  <c r="E251" i="113"/>
  <c r="E249" i="113"/>
  <c r="G266" i="113"/>
  <c r="F263" i="113"/>
  <c r="F261" i="113"/>
  <c r="F259" i="113"/>
  <c r="F256" i="113"/>
  <c r="F254" i="113"/>
  <c r="F252" i="113"/>
  <c r="F250" i="113"/>
  <c r="F262" i="113"/>
  <c r="F257" i="113"/>
  <c r="F253" i="113"/>
  <c r="F249" i="113"/>
  <c r="E259" i="113"/>
  <c r="E250" i="113"/>
  <c r="C246" i="113"/>
  <c r="E261" i="113"/>
  <c r="E256" i="113"/>
  <c r="E252" i="113"/>
  <c r="E263" i="113"/>
  <c r="E254" i="113"/>
  <c r="F260" i="113"/>
  <c r="F255" i="113"/>
  <c r="F251" i="113"/>
  <c r="E350" i="113"/>
  <c r="E348" i="113"/>
  <c r="E345" i="113"/>
  <c r="E343" i="113"/>
  <c r="E341" i="113"/>
  <c r="E339" i="113"/>
  <c r="E337" i="113"/>
  <c r="F351" i="113"/>
  <c r="F349" i="113"/>
  <c r="F347" i="113"/>
  <c r="F344" i="113"/>
  <c r="F342" i="113"/>
  <c r="F340" i="113"/>
  <c r="F338" i="113"/>
  <c r="F350" i="113"/>
  <c r="F345" i="113"/>
  <c r="F341" i="113"/>
  <c r="F337" i="113"/>
  <c r="E347" i="113"/>
  <c r="E338" i="113"/>
  <c r="E349" i="113"/>
  <c r="E344" i="113"/>
  <c r="E340" i="113"/>
  <c r="E351" i="113"/>
  <c r="E342" i="113"/>
  <c r="C334" i="113"/>
  <c r="F348" i="113"/>
  <c r="F343" i="113"/>
  <c r="F339" i="113"/>
  <c r="E482" i="113"/>
  <c r="E480" i="113"/>
  <c r="E477" i="113"/>
  <c r="E475" i="113"/>
  <c r="E473" i="113"/>
  <c r="E471" i="113"/>
  <c r="E469" i="113"/>
  <c r="C466" i="113"/>
  <c r="F483" i="113"/>
  <c r="F481" i="113"/>
  <c r="F479" i="113"/>
  <c r="F476" i="113"/>
  <c r="F474" i="113"/>
  <c r="F472" i="113"/>
  <c r="F470" i="113"/>
  <c r="F482" i="113"/>
  <c r="F477" i="113"/>
  <c r="F473" i="113"/>
  <c r="F469" i="113"/>
  <c r="E479" i="113"/>
  <c r="E470" i="113"/>
  <c r="E481" i="113"/>
  <c r="E476" i="113"/>
  <c r="E472" i="113"/>
  <c r="G486" i="113"/>
  <c r="E483" i="113"/>
  <c r="E474" i="113"/>
  <c r="F480" i="113"/>
  <c r="F475" i="113"/>
  <c r="F471" i="113"/>
  <c r="E64" i="114"/>
  <c r="E62" i="114"/>
  <c r="E59" i="114"/>
  <c r="E57" i="114"/>
  <c r="E55" i="114"/>
  <c r="E53" i="114"/>
  <c r="E51" i="114"/>
  <c r="F65" i="114"/>
  <c r="F63" i="114"/>
  <c r="F61" i="114"/>
  <c r="F58" i="114"/>
  <c r="F56" i="114"/>
  <c r="F54" i="114"/>
  <c r="F52" i="114"/>
  <c r="F62" i="114"/>
  <c r="F57" i="114"/>
  <c r="F53" i="114"/>
  <c r="F64" i="114"/>
  <c r="F55" i="114"/>
  <c r="E63" i="114"/>
  <c r="E58" i="114"/>
  <c r="E54" i="114"/>
  <c r="F59" i="114"/>
  <c r="F51" i="114"/>
  <c r="E61" i="114"/>
  <c r="E56" i="114"/>
  <c r="G68" i="114"/>
  <c r="E65" i="114"/>
  <c r="C48" i="114"/>
  <c r="E52" i="114"/>
  <c r="E108" i="114"/>
  <c r="E106" i="114"/>
  <c r="E103" i="114"/>
  <c r="E101" i="114"/>
  <c r="E99" i="114"/>
  <c r="E97" i="114"/>
  <c r="E95" i="114"/>
  <c r="F109" i="114"/>
  <c r="F107" i="114"/>
  <c r="F105" i="114"/>
  <c r="F102" i="114"/>
  <c r="F100" i="114"/>
  <c r="F98" i="114"/>
  <c r="F96" i="114"/>
  <c r="F106" i="114"/>
  <c r="F101" i="114"/>
  <c r="F97" i="114"/>
  <c r="F103" i="114"/>
  <c r="F95" i="114"/>
  <c r="E107" i="114"/>
  <c r="E102" i="114"/>
  <c r="E98" i="114"/>
  <c r="C92" i="114"/>
  <c r="F108" i="114"/>
  <c r="F99" i="114"/>
  <c r="E109" i="114"/>
  <c r="E100" i="114"/>
  <c r="E105" i="114"/>
  <c r="E96" i="114"/>
  <c r="E196" i="114"/>
  <c r="E194" i="114"/>
  <c r="E191" i="114"/>
  <c r="E189" i="114"/>
  <c r="E187" i="114"/>
  <c r="E185" i="114"/>
  <c r="E183" i="114"/>
  <c r="F197" i="114"/>
  <c r="F195" i="114"/>
  <c r="F193" i="114"/>
  <c r="F190" i="114"/>
  <c r="F188" i="114"/>
  <c r="F186" i="114"/>
  <c r="F184" i="114"/>
  <c r="G200" i="114"/>
  <c r="F194" i="114"/>
  <c r="F189" i="114"/>
  <c r="F185" i="114"/>
  <c r="F191" i="114"/>
  <c r="F183" i="114"/>
  <c r="E195" i="114"/>
  <c r="E190" i="114"/>
  <c r="E186" i="114"/>
  <c r="C180" i="114"/>
  <c r="F196" i="114"/>
  <c r="F187" i="114"/>
  <c r="E188" i="114"/>
  <c r="E197" i="114"/>
  <c r="E184" i="114"/>
  <c r="E193" i="114"/>
  <c r="E284" i="114"/>
  <c r="E282" i="114"/>
  <c r="E279" i="114"/>
  <c r="E277" i="114"/>
  <c r="E275" i="114"/>
  <c r="E273" i="114"/>
  <c r="E271" i="114"/>
  <c r="F285" i="114"/>
  <c r="F283" i="114"/>
  <c r="F281" i="114"/>
  <c r="F278" i="114"/>
  <c r="F276" i="114"/>
  <c r="F274" i="114"/>
  <c r="F272" i="114"/>
  <c r="G288" i="114"/>
  <c r="F282" i="114"/>
  <c r="F277" i="114"/>
  <c r="F273" i="114"/>
  <c r="F279" i="114"/>
  <c r="F271" i="114"/>
  <c r="E283" i="114"/>
  <c r="E278" i="114"/>
  <c r="E274" i="114"/>
  <c r="F284" i="114"/>
  <c r="F275" i="114"/>
  <c r="E285" i="114"/>
  <c r="E281" i="114"/>
  <c r="E272" i="114"/>
  <c r="E276" i="114"/>
  <c r="C268" i="114"/>
  <c r="E372" i="114"/>
  <c r="E370" i="114"/>
  <c r="E367" i="114"/>
  <c r="E365" i="114"/>
  <c r="E363" i="114"/>
  <c r="E361" i="114"/>
  <c r="E359" i="114"/>
  <c r="F373" i="114"/>
  <c r="F371" i="114"/>
  <c r="F369" i="114"/>
  <c r="F366" i="114"/>
  <c r="F364" i="114"/>
  <c r="F362" i="114"/>
  <c r="F360" i="114"/>
  <c r="G376" i="114"/>
  <c r="F370" i="114"/>
  <c r="F365" i="114"/>
  <c r="F361" i="114"/>
  <c r="F372" i="114"/>
  <c r="F363" i="114"/>
  <c r="E371" i="114"/>
  <c r="E366" i="114"/>
  <c r="E362" i="114"/>
  <c r="C356" i="114"/>
  <c r="F367" i="114"/>
  <c r="F359" i="114"/>
  <c r="E364" i="114"/>
  <c r="E360" i="114"/>
  <c r="E369" i="114"/>
  <c r="E373" i="114"/>
  <c r="E504" i="114"/>
  <c r="E502" i="114"/>
  <c r="E499" i="114"/>
  <c r="E497" i="114"/>
  <c r="E495" i="114"/>
  <c r="E493" i="114"/>
  <c r="E491" i="114"/>
  <c r="F505" i="114"/>
  <c r="F503" i="114"/>
  <c r="F501" i="114"/>
  <c r="F498" i="114"/>
  <c r="F496" i="114"/>
  <c r="F494" i="114"/>
  <c r="F492" i="114"/>
  <c r="F502" i="114"/>
  <c r="F497" i="114"/>
  <c r="F493" i="114"/>
  <c r="F499" i="114"/>
  <c r="F491" i="114"/>
  <c r="E503" i="114"/>
  <c r="E498" i="114"/>
  <c r="E494" i="114"/>
  <c r="G508" i="114"/>
  <c r="F504" i="114"/>
  <c r="F495" i="114"/>
  <c r="E492" i="114"/>
  <c r="E501" i="114"/>
  <c r="E505" i="114"/>
  <c r="C488" i="114"/>
  <c r="E496" i="114"/>
  <c r="E42" i="114"/>
  <c r="E40" i="114"/>
  <c r="E37" i="114"/>
  <c r="E35" i="114"/>
  <c r="E33" i="114"/>
  <c r="E31" i="114"/>
  <c r="E29" i="114"/>
  <c r="F43" i="114"/>
  <c r="F41" i="114"/>
  <c r="F39" i="114"/>
  <c r="F36" i="114"/>
  <c r="F34" i="114"/>
  <c r="F32" i="114"/>
  <c r="F30" i="114"/>
  <c r="F42" i="114"/>
  <c r="F37" i="114"/>
  <c r="F33" i="114"/>
  <c r="F29" i="114"/>
  <c r="C26" i="114"/>
  <c r="F40" i="114"/>
  <c r="F31" i="114"/>
  <c r="E43" i="114"/>
  <c r="E39" i="114"/>
  <c r="E34" i="114"/>
  <c r="E30" i="114"/>
  <c r="G46" i="114"/>
  <c r="F35" i="114"/>
  <c r="E36" i="114"/>
  <c r="E32" i="114"/>
  <c r="E41" i="114"/>
  <c r="E86" i="114"/>
  <c r="E84" i="114"/>
  <c r="E81" i="114"/>
  <c r="E79" i="114"/>
  <c r="E77" i="114"/>
  <c r="E75" i="114"/>
  <c r="E73" i="114"/>
  <c r="F87" i="114"/>
  <c r="F85" i="114"/>
  <c r="F83" i="114"/>
  <c r="F80" i="114"/>
  <c r="F78" i="114"/>
  <c r="F76" i="114"/>
  <c r="F74" i="114"/>
  <c r="F86" i="114"/>
  <c r="F81" i="114"/>
  <c r="F77" i="114"/>
  <c r="F73" i="114"/>
  <c r="F79" i="114"/>
  <c r="E87" i="114"/>
  <c r="E83" i="114"/>
  <c r="E78" i="114"/>
  <c r="E74" i="114"/>
  <c r="C70" i="114"/>
  <c r="F84" i="114"/>
  <c r="F75" i="114"/>
  <c r="E85" i="114"/>
  <c r="G90" i="114"/>
  <c r="E80" i="114"/>
  <c r="E76" i="114"/>
  <c r="E130" i="114"/>
  <c r="E128" i="114"/>
  <c r="E125" i="114"/>
  <c r="E123" i="114"/>
  <c r="E121" i="114"/>
  <c r="E119" i="114"/>
  <c r="E117" i="114"/>
  <c r="F131" i="114"/>
  <c r="F129" i="114"/>
  <c r="F127" i="114"/>
  <c r="F124" i="114"/>
  <c r="F122" i="114"/>
  <c r="F120" i="114"/>
  <c r="F118" i="114"/>
  <c r="F130" i="114"/>
  <c r="F125" i="114"/>
  <c r="F121" i="114"/>
  <c r="F117" i="114"/>
  <c r="C114" i="114"/>
  <c r="F128" i="114"/>
  <c r="F119" i="114"/>
  <c r="E131" i="114"/>
  <c r="E127" i="114"/>
  <c r="E122" i="114"/>
  <c r="E118" i="114"/>
  <c r="G134" i="114"/>
  <c r="F123" i="114"/>
  <c r="E129" i="114"/>
  <c r="E120" i="114"/>
  <c r="E124" i="114"/>
  <c r="E174" i="114"/>
  <c r="E172" i="114"/>
  <c r="E169" i="114"/>
  <c r="E167" i="114"/>
  <c r="E165" i="114"/>
  <c r="E163" i="114"/>
  <c r="E161" i="114"/>
  <c r="F175" i="114"/>
  <c r="F173" i="114"/>
  <c r="F171" i="114"/>
  <c r="F168" i="114"/>
  <c r="F166" i="114"/>
  <c r="F164" i="114"/>
  <c r="F162" i="114"/>
  <c r="F174" i="114"/>
  <c r="F169" i="114"/>
  <c r="F165" i="114"/>
  <c r="F161" i="114"/>
  <c r="F167" i="114"/>
  <c r="E175" i="114"/>
  <c r="E171" i="114"/>
  <c r="E166" i="114"/>
  <c r="E162" i="114"/>
  <c r="C158" i="114"/>
  <c r="F172" i="114"/>
  <c r="F163" i="114"/>
  <c r="E164" i="114"/>
  <c r="G178" i="114"/>
  <c r="E168" i="114"/>
  <c r="E173" i="114"/>
  <c r="E218" i="114"/>
  <c r="E216" i="114"/>
  <c r="E213" i="114"/>
  <c r="E211" i="114"/>
  <c r="E209" i="114"/>
  <c r="E207" i="114"/>
  <c r="E205" i="114"/>
  <c r="F219" i="114"/>
  <c r="F217" i="114"/>
  <c r="F215" i="114"/>
  <c r="F212" i="114"/>
  <c r="F210" i="114"/>
  <c r="F208" i="114"/>
  <c r="F206" i="114"/>
  <c r="F218" i="114"/>
  <c r="F213" i="114"/>
  <c r="F209" i="114"/>
  <c r="F205" i="114"/>
  <c r="C202" i="114"/>
  <c r="F216" i="114"/>
  <c r="F207" i="114"/>
  <c r="E219" i="114"/>
  <c r="E215" i="114"/>
  <c r="E210" i="114"/>
  <c r="E206" i="114"/>
  <c r="F211" i="114"/>
  <c r="E212" i="114"/>
  <c r="E208" i="114"/>
  <c r="G222" i="114"/>
  <c r="E217" i="114"/>
  <c r="E262" i="114"/>
  <c r="E260" i="114"/>
  <c r="E257" i="114"/>
  <c r="E255" i="114"/>
  <c r="E253" i="114"/>
  <c r="E251" i="114"/>
  <c r="E249" i="114"/>
  <c r="G266" i="114"/>
  <c r="F263" i="114"/>
  <c r="F261" i="114"/>
  <c r="F259" i="114"/>
  <c r="F256" i="114"/>
  <c r="F254" i="114"/>
  <c r="F252" i="114"/>
  <c r="F250" i="114"/>
  <c r="F262" i="114"/>
  <c r="F257" i="114"/>
  <c r="F253" i="114"/>
  <c r="F249" i="114"/>
  <c r="F255" i="114"/>
  <c r="E263" i="114"/>
  <c r="E259" i="114"/>
  <c r="E254" i="114"/>
  <c r="E250" i="114"/>
  <c r="F260" i="114"/>
  <c r="F251" i="114"/>
  <c r="E261" i="114"/>
  <c r="E252" i="114"/>
  <c r="E256" i="114"/>
  <c r="C246" i="114"/>
  <c r="E306" i="114"/>
  <c r="E304" i="114"/>
  <c r="E301" i="114"/>
  <c r="E299" i="114"/>
  <c r="E297" i="114"/>
  <c r="E295" i="114"/>
  <c r="E293" i="114"/>
  <c r="F307" i="114"/>
  <c r="F305" i="114"/>
  <c r="F303" i="114"/>
  <c r="F300" i="114"/>
  <c r="F298" i="114"/>
  <c r="F296" i="114"/>
  <c r="F294" i="114"/>
  <c r="F306" i="114"/>
  <c r="F301" i="114"/>
  <c r="F297" i="114"/>
  <c r="F293" i="114"/>
  <c r="F299" i="114"/>
  <c r="C290" i="114"/>
  <c r="E307" i="114"/>
  <c r="E303" i="114"/>
  <c r="E298" i="114"/>
  <c r="E294" i="114"/>
  <c r="G310" i="114"/>
  <c r="F304" i="114"/>
  <c r="F295" i="114"/>
  <c r="E300" i="114"/>
  <c r="E305" i="114"/>
  <c r="E296" i="114"/>
  <c r="E350" i="114"/>
  <c r="E348" i="114"/>
  <c r="E345" i="114"/>
  <c r="E343" i="114"/>
  <c r="E341" i="114"/>
  <c r="E339" i="114"/>
  <c r="E337" i="114"/>
  <c r="G354" i="114"/>
  <c r="F351" i="114"/>
  <c r="F349" i="114"/>
  <c r="F347" i="114"/>
  <c r="F344" i="114"/>
  <c r="F342" i="114"/>
  <c r="F340" i="114"/>
  <c r="F338" i="114"/>
  <c r="F350" i="114"/>
  <c r="F345" i="114"/>
  <c r="F341" i="114"/>
  <c r="F337" i="114"/>
  <c r="F348" i="114"/>
  <c r="F339" i="114"/>
  <c r="E351" i="114"/>
  <c r="E347" i="114"/>
  <c r="E342" i="114"/>
  <c r="E338" i="114"/>
  <c r="C334" i="114"/>
  <c r="F343" i="114"/>
  <c r="E340" i="114"/>
  <c r="E349" i="114"/>
  <c r="E344" i="114"/>
  <c r="E394" i="114"/>
  <c r="E392" i="114"/>
  <c r="E389" i="114"/>
  <c r="E387" i="114"/>
  <c r="E385" i="114"/>
  <c r="E383" i="114"/>
  <c r="E381" i="114"/>
  <c r="F395" i="114"/>
  <c r="F393" i="114"/>
  <c r="F391" i="114"/>
  <c r="F388" i="114"/>
  <c r="F386" i="114"/>
  <c r="F384" i="114"/>
  <c r="F382" i="114"/>
  <c r="F394" i="114"/>
  <c r="F389" i="114"/>
  <c r="F385" i="114"/>
  <c r="F381" i="114"/>
  <c r="C378" i="114"/>
  <c r="F387" i="114"/>
  <c r="E395" i="114"/>
  <c r="E391" i="114"/>
  <c r="E386" i="114"/>
  <c r="E382" i="114"/>
  <c r="F392" i="114"/>
  <c r="F383" i="114"/>
  <c r="G398" i="114"/>
  <c r="E388" i="114"/>
  <c r="E384" i="114"/>
  <c r="E393" i="114"/>
  <c r="E438" i="114"/>
  <c r="E436" i="114"/>
  <c r="E433" i="114"/>
  <c r="E431" i="114"/>
  <c r="E429" i="114"/>
  <c r="E427" i="114"/>
  <c r="E425" i="114"/>
  <c r="F439" i="114"/>
  <c r="F437" i="114"/>
  <c r="F435" i="114"/>
  <c r="F432" i="114"/>
  <c r="F430" i="114"/>
  <c r="F428" i="114"/>
  <c r="F426" i="114"/>
  <c r="F438" i="114"/>
  <c r="F433" i="114"/>
  <c r="F429" i="114"/>
  <c r="F425" i="114"/>
  <c r="G442" i="114"/>
  <c r="F436" i="114"/>
  <c r="F427" i="114"/>
  <c r="E439" i="114"/>
  <c r="E435" i="114"/>
  <c r="E430" i="114"/>
  <c r="E426" i="114"/>
  <c r="F431" i="114"/>
  <c r="C422" i="114"/>
  <c r="E437" i="114"/>
  <c r="E432" i="114"/>
  <c r="E428" i="114"/>
  <c r="E482" i="114"/>
  <c r="E480" i="114"/>
  <c r="E477" i="114"/>
  <c r="E475" i="114"/>
  <c r="E473" i="114"/>
  <c r="E471" i="114"/>
  <c r="E469" i="114"/>
  <c r="G486" i="114"/>
  <c r="C466" i="114"/>
  <c r="F483" i="114"/>
  <c r="F481" i="114"/>
  <c r="F479" i="114"/>
  <c r="F476" i="114"/>
  <c r="F474" i="114"/>
  <c r="F472" i="114"/>
  <c r="F470" i="114"/>
  <c r="F482" i="114"/>
  <c r="F477" i="114"/>
  <c r="F473" i="114"/>
  <c r="F469" i="114"/>
  <c r="F475" i="114"/>
  <c r="E483" i="114"/>
  <c r="E479" i="114"/>
  <c r="E474" i="114"/>
  <c r="E470" i="114"/>
  <c r="F480" i="114"/>
  <c r="F471" i="114"/>
  <c r="E472" i="114"/>
  <c r="E481" i="114"/>
  <c r="E476" i="114"/>
  <c r="E20" i="114"/>
  <c r="E18" i="114"/>
  <c r="E15" i="114"/>
  <c r="E13" i="114"/>
  <c r="E11" i="114"/>
  <c r="E9" i="114"/>
  <c r="E7" i="114"/>
  <c r="F21" i="114"/>
  <c r="F19" i="114"/>
  <c r="F17" i="114"/>
  <c r="F14" i="114"/>
  <c r="F12" i="114"/>
  <c r="F10" i="114"/>
  <c r="F8" i="114"/>
  <c r="F18" i="114"/>
  <c r="F13" i="114"/>
  <c r="F9" i="114"/>
  <c r="F15" i="114"/>
  <c r="F7" i="114"/>
  <c r="E19" i="114"/>
  <c r="E14" i="114"/>
  <c r="E10" i="114"/>
  <c r="C4" i="114"/>
  <c r="F20" i="114"/>
  <c r="F11" i="114"/>
  <c r="E12" i="114"/>
  <c r="E21" i="114"/>
  <c r="E8" i="114"/>
  <c r="G24" i="114"/>
  <c r="E17" i="114"/>
  <c r="E152" i="114"/>
  <c r="E150" i="114"/>
  <c r="E147" i="114"/>
  <c r="E145" i="114"/>
  <c r="E143" i="114"/>
  <c r="E141" i="114"/>
  <c r="E139" i="114"/>
  <c r="F153" i="114"/>
  <c r="F151" i="114"/>
  <c r="F149" i="114"/>
  <c r="F146" i="114"/>
  <c r="F144" i="114"/>
  <c r="F142" i="114"/>
  <c r="F140" i="114"/>
  <c r="F150" i="114"/>
  <c r="F145" i="114"/>
  <c r="F141" i="114"/>
  <c r="F152" i="114"/>
  <c r="F143" i="114"/>
  <c r="E151" i="114"/>
  <c r="E146" i="114"/>
  <c r="E142" i="114"/>
  <c r="F147" i="114"/>
  <c r="F139" i="114"/>
  <c r="E140" i="114"/>
  <c r="E149" i="114"/>
  <c r="E153" i="114"/>
  <c r="E144" i="114"/>
  <c r="C136" i="114"/>
  <c r="E240" i="114"/>
  <c r="E238" i="114"/>
  <c r="E235" i="114"/>
  <c r="E233" i="114"/>
  <c r="E231" i="114"/>
  <c r="E229" i="114"/>
  <c r="E227" i="114"/>
  <c r="G244" i="114"/>
  <c r="C224" i="114"/>
  <c r="F241" i="114"/>
  <c r="F239" i="114"/>
  <c r="F237" i="114"/>
  <c r="F234" i="114"/>
  <c r="F232" i="114"/>
  <c r="F230" i="114"/>
  <c r="F228" i="114"/>
  <c r="F238" i="114"/>
  <c r="F233" i="114"/>
  <c r="F229" i="114"/>
  <c r="F240" i="114"/>
  <c r="F231" i="114"/>
  <c r="E239" i="114"/>
  <c r="E234" i="114"/>
  <c r="E230" i="114"/>
  <c r="F235" i="114"/>
  <c r="F227" i="114"/>
  <c r="E237" i="114"/>
  <c r="E232" i="114"/>
  <c r="E241" i="114"/>
  <c r="E228" i="114"/>
  <c r="E328" i="114"/>
  <c r="E326" i="114"/>
  <c r="E323" i="114"/>
  <c r="E321" i="114"/>
  <c r="E319" i="114"/>
  <c r="E317" i="114"/>
  <c r="E315" i="114"/>
  <c r="C312" i="114"/>
  <c r="F329" i="114"/>
  <c r="F327" i="114"/>
  <c r="F325" i="114"/>
  <c r="F322" i="114"/>
  <c r="F320" i="114"/>
  <c r="F318" i="114"/>
  <c r="F316" i="114"/>
  <c r="F326" i="114"/>
  <c r="F321" i="114"/>
  <c r="F317" i="114"/>
  <c r="F323" i="114"/>
  <c r="F315" i="114"/>
  <c r="E327" i="114"/>
  <c r="E322" i="114"/>
  <c r="E318" i="114"/>
  <c r="F328" i="114"/>
  <c r="F319" i="114"/>
  <c r="E316" i="114"/>
  <c r="E329" i="114"/>
  <c r="E320" i="114"/>
  <c r="E325" i="114"/>
  <c r="E416" i="114"/>
  <c r="E414" i="114"/>
  <c r="E411" i="114"/>
  <c r="E409" i="114"/>
  <c r="E407" i="114"/>
  <c r="E405" i="114"/>
  <c r="E403" i="114"/>
  <c r="F417" i="114"/>
  <c r="F415" i="114"/>
  <c r="F413" i="114"/>
  <c r="F410" i="114"/>
  <c r="F408" i="114"/>
  <c r="F406" i="114"/>
  <c r="F404" i="114"/>
  <c r="G420" i="114"/>
  <c r="C400" i="114"/>
  <c r="F414" i="114"/>
  <c r="F409" i="114"/>
  <c r="F405" i="114"/>
  <c r="F411" i="114"/>
  <c r="F403" i="114"/>
  <c r="E415" i="114"/>
  <c r="E410" i="114"/>
  <c r="E406" i="114"/>
  <c r="F416" i="114"/>
  <c r="F407" i="114"/>
  <c r="E413" i="114"/>
  <c r="E404" i="114"/>
  <c r="E408" i="114"/>
  <c r="E417" i="114"/>
  <c r="E460" i="114"/>
  <c r="E458" i="114"/>
  <c r="E455" i="114"/>
  <c r="E453" i="114"/>
  <c r="E451" i="114"/>
  <c r="E449" i="114"/>
  <c r="E447" i="114"/>
  <c r="F461" i="114"/>
  <c r="F459" i="114"/>
  <c r="F457" i="114"/>
  <c r="F454" i="114"/>
  <c r="F452" i="114"/>
  <c r="F450" i="114"/>
  <c r="F448" i="114"/>
  <c r="C444" i="114"/>
  <c r="F458" i="114"/>
  <c r="F453" i="114"/>
  <c r="F449" i="114"/>
  <c r="F460" i="114"/>
  <c r="F451" i="114"/>
  <c r="E459" i="114"/>
  <c r="E454" i="114"/>
  <c r="E450" i="114"/>
  <c r="F455" i="114"/>
  <c r="F447" i="114"/>
  <c r="E461" i="114"/>
  <c r="E452" i="114"/>
  <c r="E457" i="114"/>
  <c r="G464" i="114"/>
  <c r="E448" i="114"/>
  <c r="E64" i="115"/>
  <c r="E62" i="115"/>
  <c r="E59" i="115"/>
  <c r="E57" i="115"/>
  <c r="E55" i="115"/>
  <c r="E53" i="115"/>
  <c r="E51" i="115"/>
  <c r="F65" i="115"/>
  <c r="F63" i="115"/>
  <c r="F61" i="115"/>
  <c r="F58" i="115"/>
  <c r="F56" i="115"/>
  <c r="F54" i="115"/>
  <c r="F52" i="115"/>
  <c r="G68" i="115"/>
  <c r="E63" i="115"/>
  <c r="E58" i="115"/>
  <c r="E54" i="115"/>
  <c r="C48" i="115"/>
  <c r="F59" i="115"/>
  <c r="F51" i="115"/>
  <c r="F62" i="115"/>
  <c r="F57" i="115"/>
  <c r="F53" i="115"/>
  <c r="F64" i="115"/>
  <c r="F55" i="115"/>
  <c r="E65" i="115"/>
  <c r="E61" i="115"/>
  <c r="E56" i="115"/>
  <c r="E52" i="115"/>
  <c r="E152" i="115"/>
  <c r="E150" i="115"/>
  <c r="E147" i="115"/>
  <c r="E145" i="115"/>
  <c r="E143" i="115"/>
  <c r="E141" i="115"/>
  <c r="E139" i="115"/>
  <c r="F153" i="115"/>
  <c r="F151" i="115"/>
  <c r="F149" i="115"/>
  <c r="F146" i="115"/>
  <c r="F144" i="115"/>
  <c r="F142" i="115"/>
  <c r="F140" i="115"/>
  <c r="E151" i="115"/>
  <c r="E146" i="115"/>
  <c r="E142" i="115"/>
  <c r="G156" i="115"/>
  <c r="F147" i="115"/>
  <c r="F139" i="115"/>
  <c r="F150" i="115"/>
  <c r="F145" i="115"/>
  <c r="F141" i="115"/>
  <c r="F152" i="115"/>
  <c r="F143" i="115"/>
  <c r="C136" i="115"/>
  <c r="E153" i="115"/>
  <c r="E149" i="115"/>
  <c r="E144" i="115"/>
  <c r="E140" i="115"/>
  <c r="E240" i="115"/>
  <c r="E238" i="115"/>
  <c r="E235" i="115"/>
  <c r="E233" i="115"/>
  <c r="E231" i="115"/>
  <c r="E229" i="115"/>
  <c r="E227" i="115"/>
  <c r="C224" i="115"/>
  <c r="F241" i="115"/>
  <c r="F239" i="115"/>
  <c r="F237" i="115"/>
  <c r="F234" i="115"/>
  <c r="F232" i="115"/>
  <c r="F230" i="115"/>
  <c r="F228" i="115"/>
  <c r="G244" i="115"/>
  <c r="E239" i="115"/>
  <c r="E234" i="115"/>
  <c r="E230" i="115"/>
  <c r="F240" i="115"/>
  <c r="F231" i="115"/>
  <c r="F238" i="115"/>
  <c r="F233" i="115"/>
  <c r="F229" i="115"/>
  <c r="F235" i="115"/>
  <c r="F227" i="115"/>
  <c r="E241" i="115"/>
  <c r="E237" i="115"/>
  <c r="E232" i="115"/>
  <c r="E228" i="115"/>
  <c r="E328" i="115"/>
  <c r="E326" i="115"/>
  <c r="E323" i="115"/>
  <c r="E321" i="115"/>
  <c r="E319" i="115"/>
  <c r="E317" i="115"/>
  <c r="E315" i="115"/>
  <c r="F329" i="115"/>
  <c r="F327" i="115"/>
  <c r="F325" i="115"/>
  <c r="F322" i="115"/>
  <c r="F320" i="115"/>
  <c r="F318" i="115"/>
  <c r="F316" i="115"/>
  <c r="E327" i="115"/>
  <c r="E322" i="115"/>
  <c r="E318" i="115"/>
  <c r="G332" i="115"/>
  <c r="F323" i="115"/>
  <c r="F315" i="115"/>
  <c r="C312" i="115"/>
  <c r="F326" i="115"/>
  <c r="F321" i="115"/>
  <c r="F317" i="115"/>
  <c r="F328" i="115"/>
  <c r="F319" i="115"/>
  <c r="E329" i="115"/>
  <c r="E325" i="115"/>
  <c r="E320" i="115"/>
  <c r="E316" i="115"/>
  <c r="E416" i="115"/>
  <c r="E414" i="115"/>
  <c r="E411" i="115"/>
  <c r="E409" i="115"/>
  <c r="E407" i="115"/>
  <c r="E405" i="115"/>
  <c r="E403" i="115"/>
  <c r="F414" i="115"/>
  <c r="F417" i="115"/>
  <c r="F415" i="115"/>
  <c r="F413" i="115"/>
  <c r="F410" i="115"/>
  <c r="F408" i="115"/>
  <c r="F406" i="115"/>
  <c r="F404" i="115"/>
  <c r="G420" i="115"/>
  <c r="F416" i="115"/>
  <c r="E417" i="115"/>
  <c r="E410" i="115"/>
  <c r="E406" i="115"/>
  <c r="F411" i="115"/>
  <c r="C400" i="115"/>
  <c r="E415" i="115"/>
  <c r="F409" i="115"/>
  <c r="F405" i="115"/>
  <c r="F407" i="115"/>
  <c r="F403" i="115"/>
  <c r="E413" i="115"/>
  <c r="E408" i="115"/>
  <c r="E404" i="115"/>
  <c r="E42" i="115"/>
  <c r="E40" i="115"/>
  <c r="E37" i="115"/>
  <c r="E35" i="115"/>
  <c r="E33" i="115"/>
  <c r="E31" i="115"/>
  <c r="E29" i="115"/>
  <c r="C26" i="115"/>
  <c r="F43" i="115"/>
  <c r="F41" i="115"/>
  <c r="F39" i="115"/>
  <c r="F36" i="115"/>
  <c r="F34" i="115"/>
  <c r="F32" i="115"/>
  <c r="F30" i="115"/>
  <c r="E43" i="115"/>
  <c r="E39" i="115"/>
  <c r="E34" i="115"/>
  <c r="E30" i="115"/>
  <c r="F35" i="115"/>
  <c r="F42" i="115"/>
  <c r="F37" i="115"/>
  <c r="F33" i="115"/>
  <c r="F29" i="115"/>
  <c r="F40" i="115"/>
  <c r="F31" i="115"/>
  <c r="E41" i="115"/>
  <c r="E36" i="115"/>
  <c r="E32" i="115"/>
  <c r="E86" i="115"/>
  <c r="E84" i="115"/>
  <c r="E81" i="115"/>
  <c r="E79" i="115"/>
  <c r="E77" i="115"/>
  <c r="E75" i="115"/>
  <c r="E73" i="115"/>
  <c r="F87" i="115"/>
  <c r="F85" i="115"/>
  <c r="F83" i="115"/>
  <c r="F80" i="115"/>
  <c r="F78" i="115"/>
  <c r="F76" i="115"/>
  <c r="F74" i="115"/>
  <c r="E87" i="115"/>
  <c r="E83" i="115"/>
  <c r="E78" i="115"/>
  <c r="E74" i="115"/>
  <c r="F84" i="115"/>
  <c r="F75" i="115"/>
  <c r="F86" i="115"/>
  <c r="F81" i="115"/>
  <c r="F77" i="115"/>
  <c r="F73" i="115"/>
  <c r="C70" i="115"/>
  <c r="F79" i="115"/>
  <c r="E85" i="115"/>
  <c r="E80" i="115"/>
  <c r="E76" i="115"/>
  <c r="E130" i="115"/>
  <c r="E128" i="115"/>
  <c r="E125" i="115"/>
  <c r="E123" i="115"/>
  <c r="E121" i="115"/>
  <c r="E119" i="115"/>
  <c r="E117" i="115"/>
  <c r="F131" i="115"/>
  <c r="F129" i="115"/>
  <c r="F127" i="115"/>
  <c r="F124" i="115"/>
  <c r="F122" i="115"/>
  <c r="F120" i="115"/>
  <c r="F118" i="115"/>
  <c r="G134" i="115"/>
  <c r="C114" i="115"/>
  <c r="E131" i="115"/>
  <c r="E127" i="115"/>
  <c r="E122" i="115"/>
  <c r="E118" i="115"/>
  <c r="F123" i="115"/>
  <c r="F130" i="115"/>
  <c r="F125" i="115"/>
  <c r="F121" i="115"/>
  <c r="F117" i="115"/>
  <c r="F128" i="115"/>
  <c r="F119" i="115"/>
  <c r="E129" i="115"/>
  <c r="E124" i="115"/>
  <c r="E120" i="115"/>
  <c r="E174" i="115"/>
  <c r="E172" i="115"/>
  <c r="E169" i="115"/>
  <c r="E167" i="115"/>
  <c r="E165" i="115"/>
  <c r="E163" i="115"/>
  <c r="E161" i="115"/>
  <c r="C158" i="115"/>
  <c r="F175" i="115"/>
  <c r="F173" i="115"/>
  <c r="F171" i="115"/>
  <c r="F168" i="115"/>
  <c r="F166" i="115"/>
  <c r="F164" i="115"/>
  <c r="F162" i="115"/>
  <c r="E175" i="115"/>
  <c r="E171" i="115"/>
  <c r="E166" i="115"/>
  <c r="E162" i="115"/>
  <c r="G178" i="115"/>
  <c r="F167" i="115"/>
  <c r="F163" i="115"/>
  <c r="F174" i="115"/>
  <c r="F169" i="115"/>
  <c r="F165" i="115"/>
  <c r="F161" i="115"/>
  <c r="F172" i="115"/>
  <c r="E173" i="115"/>
  <c r="E168" i="115"/>
  <c r="E164" i="115"/>
  <c r="E218" i="115"/>
  <c r="E216" i="115"/>
  <c r="E213" i="115"/>
  <c r="E211" i="115"/>
  <c r="E209" i="115"/>
  <c r="E207" i="115"/>
  <c r="E205" i="115"/>
  <c r="F219" i="115"/>
  <c r="F217" i="115"/>
  <c r="F215" i="115"/>
  <c r="F212" i="115"/>
  <c r="F210" i="115"/>
  <c r="F208" i="115"/>
  <c r="F206" i="115"/>
  <c r="E219" i="115"/>
  <c r="E215" i="115"/>
  <c r="E210" i="115"/>
  <c r="E206" i="115"/>
  <c r="C202" i="115"/>
  <c r="F216" i="115"/>
  <c r="F207" i="115"/>
  <c r="F218" i="115"/>
  <c r="F213" i="115"/>
  <c r="F209" i="115"/>
  <c r="F205" i="115"/>
  <c r="F211" i="115"/>
  <c r="E217" i="115"/>
  <c r="E212" i="115"/>
  <c r="E208" i="115"/>
  <c r="G222" i="115"/>
  <c r="E262" i="115"/>
  <c r="E260" i="115"/>
  <c r="E257" i="115"/>
  <c r="E255" i="115"/>
  <c r="E253" i="115"/>
  <c r="E251" i="115"/>
  <c r="E249" i="115"/>
  <c r="G266" i="115"/>
  <c r="F263" i="115"/>
  <c r="F261" i="115"/>
  <c r="F259" i="115"/>
  <c r="F256" i="115"/>
  <c r="F254" i="115"/>
  <c r="F252" i="115"/>
  <c r="F250" i="115"/>
  <c r="E263" i="115"/>
  <c r="E259" i="115"/>
  <c r="E254" i="115"/>
  <c r="E250" i="115"/>
  <c r="F255" i="115"/>
  <c r="F262" i="115"/>
  <c r="F257" i="115"/>
  <c r="F253" i="115"/>
  <c r="F249" i="115"/>
  <c r="F260" i="115"/>
  <c r="F251" i="115"/>
  <c r="C246" i="115"/>
  <c r="E261" i="115"/>
  <c r="E256" i="115"/>
  <c r="E252" i="115"/>
  <c r="E306" i="115"/>
  <c r="E304" i="115"/>
  <c r="E301" i="115"/>
  <c r="E299" i="115"/>
  <c r="E297" i="115"/>
  <c r="E295" i="115"/>
  <c r="E293" i="115"/>
  <c r="F307" i="115"/>
  <c r="F305" i="115"/>
  <c r="F303" i="115"/>
  <c r="F300" i="115"/>
  <c r="F298" i="115"/>
  <c r="F296" i="115"/>
  <c r="F294" i="115"/>
  <c r="G310" i="115"/>
  <c r="C290" i="115"/>
  <c r="E307" i="115"/>
  <c r="E303" i="115"/>
  <c r="E298" i="115"/>
  <c r="E294" i="115"/>
  <c r="F304" i="115"/>
  <c r="F295" i="115"/>
  <c r="F306" i="115"/>
  <c r="F301" i="115"/>
  <c r="F297" i="115"/>
  <c r="F293" i="115"/>
  <c r="F299" i="115"/>
  <c r="E305" i="115"/>
  <c r="E300" i="115"/>
  <c r="E296" i="115"/>
  <c r="E350" i="115"/>
  <c r="E348" i="115"/>
  <c r="E345" i="115"/>
  <c r="E343" i="115"/>
  <c r="E341" i="115"/>
  <c r="E339" i="115"/>
  <c r="E337" i="115"/>
  <c r="C334" i="115"/>
  <c r="F351" i="115"/>
  <c r="F349" i="115"/>
  <c r="F347" i="115"/>
  <c r="F344" i="115"/>
  <c r="F342" i="115"/>
  <c r="F340" i="115"/>
  <c r="F338" i="115"/>
  <c r="E351" i="115"/>
  <c r="E347" i="115"/>
  <c r="E342" i="115"/>
  <c r="E338" i="115"/>
  <c r="F343" i="115"/>
  <c r="F339" i="115"/>
  <c r="F350" i="115"/>
  <c r="F345" i="115"/>
  <c r="F341" i="115"/>
  <c r="F337" i="115"/>
  <c r="F348" i="115"/>
  <c r="E349" i="115"/>
  <c r="E344" i="115"/>
  <c r="E340" i="115"/>
  <c r="E394" i="115"/>
  <c r="E392" i="115"/>
  <c r="E389" i="115"/>
  <c r="E387" i="115"/>
  <c r="E385" i="115"/>
  <c r="E383" i="115"/>
  <c r="E381" i="115"/>
  <c r="C378" i="115"/>
  <c r="F395" i="115"/>
  <c r="F393" i="115"/>
  <c r="F391" i="115"/>
  <c r="F388" i="115"/>
  <c r="F386" i="115"/>
  <c r="F384" i="115"/>
  <c r="F382" i="115"/>
  <c r="E395" i="115"/>
  <c r="E391" i="115"/>
  <c r="E386" i="115"/>
  <c r="E382" i="115"/>
  <c r="F392" i="115"/>
  <c r="F383" i="115"/>
  <c r="F394" i="115"/>
  <c r="F389" i="115"/>
  <c r="F385" i="115"/>
  <c r="F381" i="115"/>
  <c r="F387" i="115"/>
  <c r="E393" i="115"/>
  <c r="E388" i="115"/>
  <c r="E384" i="115"/>
  <c r="E438" i="115"/>
  <c r="E436" i="115"/>
  <c r="E433" i="115"/>
  <c r="E431" i="115"/>
  <c r="E429" i="115"/>
  <c r="E427" i="115"/>
  <c r="E425" i="115"/>
  <c r="F438" i="115"/>
  <c r="F433" i="115"/>
  <c r="F429" i="115"/>
  <c r="F425" i="115"/>
  <c r="F439" i="115"/>
  <c r="F437" i="115"/>
  <c r="F435" i="115"/>
  <c r="F432" i="115"/>
  <c r="F430" i="115"/>
  <c r="F428" i="115"/>
  <c r="F426" i="115"/>
  <c r="F436" i="115"/>
  <c r="F431" i="115"/>
  <c r="F427" i="115"/>
  <c r="E432" i="115"/>
  <c r="G442" i="115"/>
  <c r="E426" i="115"/>
  <c r="C422" i="115"/>
  <c r="E437" i="115"/>
  <c r="E439" i="115"/>
  <c r="E430" i="115"/>
  <c r="E435" i="115"/>
  <c r="E428" i="115"/>
  <c r="E20" i="115"/>
  <c r="E18" i="115"/>
  <c r="E15" i="115"/>
  <c r="E13" i="115"/>
  <c r="E11" i="115"/>
  <c r="E9" i="115"/>
  <c r="E7" i="115"/>
  <c r="F21" i="115"/>
  <c r="F19" i="115"/>
  <c r="F17" i="115"/>
  <c r="F14" i="115"/>
  <c r="F12" i="115"/>
  <c r="F10" i="115"/>
  <c r="F8" i="115"/>
  <c r="E19" i="115"/>
  <c r="E14" i="115"/>
  <c r="E10" i="115"/>
  <c r="G24" i="115"/>
  <c r="F20" i="115"/>
  <c r="F11" i="115"/>
  <c r="F18" i="115"/>
  <c r="F13" i="115"/>
  <c r="F9" i="115"/>
  <c r="F15" i="115"/>
  <c r="F7" i="115"/>
  <c r="E21" i="115"/>
  <c r="E17" i="115"/>
  <c r="E12" i="115"/>
  <c r="E8" i="115"/>
  <c r="C4" i="115"/>
  <c r="E108" i="115"/>
  <c r="E106" i="115"/>
  <c r="E103" i="115"/>
  <c r="E101" i="115"/>
  <c r="E99" i="115"/>
  <c r="E97" i="115"/>
  <c r="E95" i="115"/>
  <c r="C92" i="115"/>
  <c r="F109" i="115"/>
  <c r="F107" i="115"/>
  <c r="F105" i="115"/>
  <c r="F102" i="115"/>
  <c r="F100" i="115"/>
  <c r="F98" i="115"/>
  <c r="F96" i="115"/>
  <c r="E107" i="115"/>
  <c r="E102" i="115"/>
  <c r="E98" i="115"/>
  <c r="F108" i="115"/>
  <c r="F99" i="115"/>
  <c r="G112" i="115"/>
  <c r="F106" i="115"/>
  <c r="F101" i="115"/>
  <c r="F97" i="115"/>
  <c r="F103" i="115"/>
  <c r="F95" i="115"/>
  <c r="E109" i="115"/>
  <c r="E105" i="115"/>
  <c r="E100" i="115"/>
  <c r="E96" i="115"/>
  <c r="E196" i="115"/>
  <c r="E194" i="115"/>
  <c r="E191" i="115"/>
  <c r="E189" i="115"/>
  <c r="E187" i="115"/>
  <c r="E185" i="115"/>
  <c r="E183" i="115"/>
  <c r="G200" i="115"/>
  <c r="C180" i="115"/>
  <c r="F197" i="115"/>
  <c r="F195" i="115"/>
  <c r="F193" i="115"/>
  <c r="F190" i="115"/>
  <c r="F188" i="115"/>
  <c r="F186" i="115"/>
  <c r="F184" i="115"/>
  <c r="E195" i="115"/>
  <c r="E190" i="115"/>
  <c r="E186" i="115"/>
  <c r="F191" i="115"/>
  <c r="F183" i="115"/>
  <c r="F194" i="115"/>
  <c r="F189" i="115"/>
  <c r="F185" i="115"/>
  <c r="F196" i="115"/>
  <c r="F187" i="115"/>
  <c r="E197" i="115"/>
  <c r="E193" i="115"/>
  <c r="E188" i="115"/>
  <c r="E184" i="115"/>
  <c r="E284" i="115"/>
  <c r="E282" i="115"/>
  <c r="E279" i="115"/>
  <c r="E277" i="115"/>
  <c r="E275" i="115"/>
  <c r="E273" i="115"/>
  <c r="E271" i="115"/>
  <c r="F285" i="115"/>
  <c r="F283" i="115"/>
  <c r="F281" i="115"/>
  <c r="F278" i="115"/>
  <c r="F276" i="115"/>
  <c r="F274" i="115"/>
  <c r="F272" i="115"/>
  <c r="E283" i="115"/>
  <c r="E278" i="115"/>
  <c r="E274" i="115"/>
  <c r="C268" i="115"/>
  <c r="F279" i="115"/>
  <c r="F271" i="115"/>
  <c r="F282" i="115"/>
  <c r="F277" i="115"/>
  <c r="F273" i="115"/>
  <c r="F284" i="115"/>
  <c r="F275" i="115"/>
  <c r="G288" i="115"/>
  <c r="E285" i="115"/>
  <c r="E281" i="115"/>
  <c r="E276" i="115"/>
  <c r="E272" i="115"/>
  <c r="E372" i="115"/>
  <c r="E370" i="115"/>
  <c r="E367" i="115"/>
  <c r="E365" i="115"/>
  <c r="E363" i="115"/>
  <c r="E361" i="115"/>
  <c r="E359" i="115"/>
  <c r="F373" i="115"/>
  <c r="F371" i="115"/>
  <c r="F369" i="115"/>
  <c r="F366" i="115"/>
  <c r="F364" i="115"/>
  <c r="F362" i="115"/>
  <c r="F360" i="115"/>
  <c r="C356" i="115"/>
  <c r="E371" i="115"/>
  <c r="E366" i="115"/>
  <c r="E362" i="115"/>
  <c r="F367" i="115"/>
  <c r="F359" i="115"/>
  <c r="F370" i="115"/>
  <c r="F365" i="115"/>
  <c r="F361" i="115"/>
  <c r="F372" i="115"/>
  <c r="F363" i="115"/>
  <c r="E373" i="115"/>
  <c r="E369" i="115"/>
  <c r="E364" i="115"/>
  <c r="E360" i="115"/>
  <c r="G376" i="115"/>
  <c r="E20" i="116"/>
  <c r="E18" i="116"/>
  <c r="E15" i="116"/>
  <c r="E13" i="116"/>
  <c r="E11" i="116"/>
  <c r="E9" i="116"/>
  <c r="E7" i="116"/>
  <c r="F21" i="116"/>
  <c r="F19" i="116"/>
  <c r="F17" i="116"/>
  <c r="F14" i="116"/>
  <c r="F12" i="116"/>
  <c r="F10" i="116"/>
  <c r="F8" i="116"/>
  <c r="F20" i="116"/>
  <c r="F15" i="116"/>
  <c r="F11" i="116"/>
  <c r="F7" i="116"/>
  <c r="F18" i="116"/>
  <c r="F9" i="116"/>
  <c r="G24" i="116"/>
  <c r="E21" i="116"/>
  <c r="E17" i="116"/>
  <c r="E12" i="116"/>
  <c r="E8" i="116"/>
  <c r="C4" i="116"/>
  <c r="F13" i="116"/>
  <c r="E10" i="116"/>
  <c r="E19" i="116"/>
  <c r="E14" i="116"/>
  <c r="E64" i="116"/>
  <c r="E62" i="116"/>
  <c r="E59" i="116"/>
  <c r="E57" i="116"/>
  <c r="E55" i="116"/>
  <c r="E53" i="116"/>
  <c r="E51" i="116"/>
  <c r="F65" i="116"/>
  <c r="F63" i="116"/>
  <c r="F61" i="116"/>
  <c r="F58" i="116"/>
  <c r="F56" i="116"/>
  <c r="F54" i="116"/>
  <c r="F52" i="116"/>
  <c r="F64" i="116"/>
  <c r="F59" i="116"/>
  <c r="F55" i="116"/>
  <c r="F51" i="116"/>
  <c r="F57" i="116"/>
  <c r="C48" i="116"/>
  <c r="E65" i="116"/>
  <c r="E61" i="116"/>
  <c r="E56" i="116"/>
  <c r="E52" i="116"/>
  <c r="F62" i="116"/>
  <c r="F53" i="116"/>
  <c r="E58" i="116"/>
  <c r="G68" i="116"/>
  <c r="E54" i="116"/>
  <c r="E63" i="116"/>
  <c r="E108" i="116"/>
  <c r="E106" i="116"/>
  <c r="E103" i="116"/>
  <c r="E101" i="116"/>
  <c r="E99" i="116"/>
  <c r="E97" i="116"/>
  <c r="E95" i="116"/>
  <c r="G112" i="116"/>
  <c r="F109" i="116"/>
  <c r="F107" i="116"/>
  <c r="F105" i="116"/>
  <c r="F102" i="116"/>
  <c r="F100" i="116"/>
  <c r="F98" i="116"/>
  <c r="F96" i="116"/>
  <c r="F108" i="116"/>
  <c r="F103" i="116"/>
  <c r="F99" i="116"/>
  <c r="F95" i="116"/>
  <c r="F106" i="116"/>
  <c r="F97" i="116"/>
  <c r="E107" i="116"/>
  <c r="E109" i="116"/>
  <c r="E105" i="116"/>
  <c r="E100" i="116"/>
  <c r="E96" i="116"/>
  <c r="F101" i="116"/>
  <c r="E102" i="116"/>
  <c r="C92" i="116"/>
  <c r="E98" i="116"/>
  <c r="E152" i="116"/>
  <c r="E150" i="116"/>
  <c r="E147" i="116"/>
  <c r="E145" i="116"/>
  <c r="E143" i="116"/>
  <c r="E141" i="116"/>
  <c r="E139" i="116"/>
  <c r="C136" i="116"/>
  <c r="F153" i="116"/>
  <c r="F151" i="116"/>
  <c r="F149" i="116"/>
  <c r="F146" i="116"/>
  <c r="F144" i="116"/>
  <c r="F142" i="116"/>
  <c r="F140" i="116"/>
  <c r="F152" i="116"/>
  <c r="F147" i="116"/>
  <c r="F143" i="116"/>
  <c r="F139" i="116"/>
  <c r="F145" i="116"/>
  <c r="E151" i="116"/>
  <c r="E142" i="116"/>
  <c r="E153" i="116"/>
  <c r="E149" i="116"/>
  <c r="E144" i="116"/>
  <c r="E140" i="116"/>
  <c r="F150" i="116"/>
  <c r="F141" i="116"/>
  <c r="G156" i="116"/>
  <c r="E146" i="116"/>
  <c r="E196" i="116"/>
  <c r="E194" i="116"/>
  <c r="E191" i="116"/>
  <c r="E189" i="116"/>
  <c r="E187" i="116"/>
  <c r="E185" i="116"/>
  <c r="E183" i="116"/>
  <c r="F197" i="116"/>
  <c r="F195" i="116"/>
  <c r="F193" i="116"/>
  <c r="F190" i="116"/>
  <c r="F188" i="116"/>
  <c r="F186" i="116"/>
  <c r="F184" i="116"/>
  <c r="G200" i="116"/>
  <c r="F196" i="116"/>
  <c r="F191" i="116"/>
  <c r="F187" i="116"/>
  <c r="F183" i="116"/>
  <c r="F194" i="116"/>
  <c r="F185" i="116"/>
  <c r="C180" i="116"/>
  <c r="E190" i="116"/>
  <c r="E197" i="116"/>
  <c r="E193" i="116"/>
  <c r="E188" i="116"/>
  <c r="E184" i="116"/>
  <c r="F189" i="116"/>
  <c r="E195" i="116"/>
  <c r="E186" i="116"/>
  <c r="E240" i="116"/>
  <c r="E238" i="116"/>
  <c r="E235" i="116"/>
  <c r="E233" i="116"/>
  <c r="E231" i="116"/>
  <c r="E229" i="116"/>
  <c r="E227" i="116"/>
  <c r="C224" i="116"/>
  <c r="F241" i="116"/>
  <c r="F239" i="116"/>
  <c r="F237" i="116"/>
  <c r="F234" i="116"/>
  <c r="F232" i="116"/>
  <c r="F230" i="116"/>
  <c r="F228" i="116"/>
  <c r="F240" i="116"/>
  <c r="F235" i="116"/>
  <c r="F231" i="116"/>
  <c r="F227" i="116"/>
  <c r="G244" i="116"/>
  <c r="F238" i="116"/>
  <c r="F229" i="116"/>
  <c r="E239" i="116"/>
  <c r="E230" i="116"/>
  <c r="E241" i="116"/>
  <c r="E237" i="116"/>
  <c r="E232" i="116"/>
  <c r="E228" i="116"/>
  <c r="F233" i="116"/>
  <c r="E234" i="116"/>
  <c r="E284" i="116"/>
  <c r="E282" i="116"/>
  <c r="E279" i="116"/>
  <c r="E277" i="116"/>
  <c r="E275" i="116"/>
  <c r="E273" i="116"/>
  <c r="E271" i="116"/>
  <c r="F285" i="116"/>
  <c r="F283" i="116"/>
  <c r="F281" i="116"/>
  <c r="F278" i="116"/>
  <c r="F276" i="116"/>
  <c r="F274" i="116"/>
  <c r="F272" i="116"/>
  <c r="G288" i="116"/>
  <c r="F284" i="116"/>
  <c r="F279" i="116"/>
  <c r="F275" i="116"/>
  <c r="F271" i="116"/>
  <c r="C268" i="116"/>
  <c r="F277" i="116"/>
  <c r="E278" i="116"/>
  <c r="E285" i="116"/>
  <c r="E281" i="116"/>
  <c r="E276" i="116"/>
  <c r="E272" i="116"/>
  <c r="F282" i="116"/>
  <c r="F273" i="116"/>
  <c r="E283" i="116"/>
  <c r="E274" i="116"/>
  <c r="E328" i="116"/>
  <c r="E326" i="116"/>
  <c r="E323" i="116"/>
  <c r="E321" i="116"/>
  <c r="E319" i="116"/>
  <c r="E317" i="116"/>
  <c r="E315" i="116"/>
  <c r="C312" i="116"/>
  <c r="F329" i="116"/>
  <c r="F327" i="116"/>
  <c r="F325" i="116"/>
  <c r="F322" i="116"/>
  <c r="F320" i="116"/>
  <c r="F318" i="116"/>
  <c r="F316" i="116"/>
  <c r="F328" i="116"/>
  <c r="F323" i="116"/>
  <c r="F319" i="116"/>
  <c r="F315" i="116"/>
  <c r="F326" i="116"/>
  <c r="F317" i="116"/>
  <c r="E322" i="116"/>
  <c r="E318" i="116"/>
  <c r="E329" i="116"/>
  <c r="E325" i="116"/>
  <c r="E320" i="116"/>
  <c r="E316" i="116"/>
  <c r="F321" i="116"/>
  <c r="G332" i="116"/>
  <c r="E327" i="116"/>
  <c r="E372" i="116"/>
  <c r="E370" i="116"/>
  <c r="E367" i="116"/>
  <c r="E365" i="116"/>
  <c r="E363" i="116"/>
  <c r="E361" i="116"/>
  <c r="E359" i="116"/>
  <c r="F373" i="116"/>
  <c r="F371" i="116"/>
  <c r="F369" i="116"/>
  <c r="F366" i="116"/>
  <c r="F364" i="116"/>
  <c r="F362" i="116"/>
  <c r="F360" i="116"/>
  <c r="G376" i="116"/>
  <c r="F372" i="116"/>
  <c r="F367" i="116"/>
  <c r="F363" i="116"/>
  <c r="F359" i="116"/>
  <c r="F365" i="116"/>
  <c r="E366" i="116"/>
  <c r="E373" i="116"/>
  <c r="E369" i="116"/>
  <c r="E364" i="116"/>
  <c r="E360" i="116"/>
  <c r="F370" i="116"/>
  <c r="F361" i="116"/>
  <c r="C356" i="116"/>
  <c r="E371" i="116"/>
  <c r="E362" i="116"/>
  <c r="E416" i="116"/>
  <c r="E414" i="116"/>
  <c r="E411" i="116"/>
  <c r="E409" i="116"/>
  <c r="E407" i="116"/>
  <c r="E405" i="116"/>
  <c r="E403" i="116"/>
  <c r="C400" i="116"/>
  <c r="F417" i="116"/>
  <c r="F415" i="116"/>
  <c r="F413" i="116"/>
  <c r="F410" i="116"/>
  <c r="F408" i="116"/>
  <c r="F406" i="116"/>
  <c r="F404" i="116"/>
  <c r="F416" i="116"/>
  <c r="F411" i="116"/>
  <c r="F407" i="116"/>
  <c r="F403" i="116"/>
  <c r="G420" i="116"/>
  <c r="F414" i="116"/>
  <c r="F405" i="116"/>
  <c r="E415" i="116"/>
  <c r="E406" i="116"/>
  <c r="E417" i="116"/>
  <c r="E413" i="116"/>
  <c r="E408" i="116"/>
  <c r="E404" i="116"/>
  <c r="F409" i="116"/>
  <c r="E410" i="116"/>
  <c r="E460" i="116"/>
  <c r="E458" i="116"/>
  <c r="E455" i="116"/>
  <c r="E453" i="116"/>
  <c r="E451" i="116"/>
  <c r="E449" i="116"/>
  <c r="E447" i="116"/>
  <c r="F461" i="116"/>
  <c r="F459" i="116"/>
  <c r="F457" i="116"/>
  <c r="F454" i="116"/>
  <c r="F452" i="116"/>
  <c r="F450" i="116"/>
  <c r="F448" i="116"/>
  <c r="G464" i="116"/>
  <c r="F460" i="116"/>
  <c r="F455" i="116"/>
  <c r="F451" i="116"/>
  <c r="F447" i="116"/>
  <c r="F453" i="116"/>
  <c r="E454" i="116"/>
  <c r="E461" i="116"/>
  <c r="E457" i="116"/>
  <c r="E452" i="116"/>
  <c r="E448" i="116"/>
  <c r="C444" i="116"/>
  <c r="F458" i="116"/>
  <c r="F449" i="116"/>
  <c r="E459" i="116"/>
  <c r="E450" i="116"/>
  <c r="E42" i="116"/>
  <c r="E40" i="116"/>
  <c r="E37" i="116"/>
  <c r="E35" i="116"/>
  <c r="E33" i="116"/>
  <c r="E31" i="116"/>
  <c r="E29" i="116"/>
  <c r="F43" i="116"/>
  <c r="F41" i="116"/>
  <c r="F39" i="116"/>
  <c r="F36" i="116"/>
  <c r="F34" i="116"/>
  <c r="F32" i="116"/>
  <c r="F30" i="116"/>
  <c r="F40" i="116"/>
  <c r="F35" i="116"/>
  <c r="F31" i="116"/>
  <c r="G46" i="116"/>
  <c r="C26" i="116"/>
  <c r="F42" i="116"/>
  <c r="F33" i="116"/>
  <c r="E41" i="116"/>
  <c r="E36" i="116"/>
  <c r="E32" i="116"/>
  <c r="F37" i="116"/>
  <c r="F29" i="116"/>
  <c r="E34" i="116"/>
  <c r="E39" i="116"/>
  <c r="E30" i="116"/>
  <c r="E43" i="116"/>
  <c r="E86" i="116"/>
  <c r="E84" i="116"/>
  <c r="E81" i="116"/>
  <c r="E79" i="116"/>
  <c r="E77" i="116"/>
  <c r="E75" i="116"/>
  <c r="E73" i="116"/>
  <c r="F87" i="116"/>
  <c r="F85" i="116"/>
  <c r="F83" i="116"/>
  <c r="F80" i="116"/>
  <c r="F78" i="116"/>
  <c r="F76" i="116"/>
  <c r="F74" i="116"/>
  <c r="F84" i="116"/>
  <c r="F79" i="116"/>
  <c r="F75" i="116"/>
  <c r="F81" i="116"/>
  <c r="F73" i="116"/>
  <c r="E85" i="116"/>
  <c r="E80" i="116"/>
  <c r="E76" i="116"/>
  <c r="G90" i="116"/>
  <c r="C70" i="116"/>
  <c r="F86" i="116"/>
  <c r="F77" i="116"/>
  <c r="E83" i="116"/>
  <c r="E87" i="116"/>
  <c r="E74" i="116"/>
  <c r="E78" i="116"/>
  <c r="E130" i="116"/>
  <c r="E128" i="116"/>
  <c r="E125" i="116"/>
  <c r="E123" i="116"/>
  <c r="E121" i="116"/>
  <c r="E119" i="116"/>
  <c r="E117" i="116"/>
  <c r="F131" i="116"/>
  <c r="F129" i="116"/>
  <c r="F127" i="116"/>
  <c r="F124" i="116"/>
  <c r="F122" i="116"/>
  <c r="F120" i="116"/>
  <c r="F118" i="116"/>
  <c r="F128" i="116"/>
  <c r="F123" i="116"/>
  <c r="F119" i="116"/>
  <c r="F130" i="116"/>
  <c r="F121" i="116"/>
  <c r="E127" i="116"/>
  <c r="E118" i="116"/>
  <c r="E129" i="116"/>
  <c r="E124" i="116"/>
  <c r="E120" i="116"/>
  <c r="C114" i="116"/>
  <c r="F125" i="116"/>
  <c r="F117" i="116"/>
  <c r="E131" i="116"/>
  <c r="E122" i="116"/>
  <c r="G134" i="116"/>
  <c r="E174" i="116"/>
  <c r="E172" i="116"/>
  <c r="E169" i="116"/>
  <c r="E167" i="116"/>
  <c r="E165" i="116"/>
  <c r="E163" i="116"/>
  <c r="E161" i="116"/>
  <c r="F175" i="116"/>
  <c r="F173" i="116"/>
  <c r="F171" i="116"/>
  <c r="F168" i="116"/>
  <c r="F166" i="116"/>
  <c r="F164" i="116"/>
  <c r="F162" i="116"/>
  <c r="G178" i="116"/>
  <c r="C158" i="116"/>
  <c r="F172" i="116"/>
  <c r="F167" i="116"/>
  <c r="F163" i="116"/>
  <c r="F169" i="116"/>
  <c r="F161" i="116"/>
  <c r="E175" i="116"/>
  <c r="E166" i="116"/>
  <c r="E173" i="116"/>
  <c r="E168" i="116"/>
  <c r="E164" i="116"/>
  <c r="F174" i="116"/>
  <c r="F165" i="116"/>
  <c r="E171" i="116"/>
  <c r="E162" i="116"/>
  <c r="E218" i="116"/>
  <c r="E216" i="116"/>
  <c r="E213" i="116"/>
  <c r="E211" i="116"/>
  <c r="E209" i="116"/>
  <c r="E207" i="116"/>
  <c r="E205" i="116"/>
  <c r="F219" i="116"/>
  <c r="F217" i="116"/>
  <c r="F215" i="116"/>
  <c r="F212" i="116"/>
  <c r="F210" i="116"/>
  <c r="F208" i="116"/>
  <c r="F206" i="116"/>
  <c r="F216" i="116"/>
  <c r="F211" i="116"/>
  <c r="F207" i="116"/>
  <c r="F213" i="116"/>
  <c r="F205" i="116"/>
  <c r="E215" i="116"/>
  <c r="E206" i="116"/>
  <c r="E217" i="116"/>
  <c r="E212" i="116"/>
  <c r="E208" i="116"/>
  <c r="G222" i="116"/>
  <c r="F218" i="116"/>
  <c r="F209" i="116"/>
  <c r="C202" i="116"/>
  <c r="E219" i="116"/>
  <c r="E210" i="116"/>
  <c r="E262" i="116"/>
  <c r="E260" i="116"/>
  <c r="E257" i="116"/>
  <c r="E255" i="116"/>
  <c r="E253" i="116"/>
  <c r="E251" i="116"/>
  <c r="E249" i="116"/>
  <c r="F263" i="116"/>
  <c r="F261" i="116"/>
  <c r="F259" i="116"/>
  <c r="F256" i="116"/>
  <c r="F254" i="116"/>
  <c r="F252" i="116"/>
  <c r="F250" i="116"/>
  <c r="G266" i="116"/>
  <c r="C246" i="116"/>
  <c r="F260" i="116"/>
  <c r="F255" i="116"/>
  <c r="F251" i="116"/>
  <c r="F262" i="116"/>
  <c r="F253" i="116"/>
  <c r="E263" i="116"/>
  <c r="E254" i="116"/>
  <c r="E261" i="116"/>
  <c r="E256" i="116"/>
  <c r="E252" i="116"/>
  <c r="F257" i="116"/>
  <c r="F249" i="116"/>
  <c r="E259" i="116"/>
  <c r="E250" i="116"/>
  <c r="E306" i="116"/>
  <c r="E304" i="116"/>
  <c r="E301" i="116"/>
  <c r="E299" i="116"/>
  <c r="E297" i="116"/>
  <c r="E295" i="116"/>
  <c r="E293" i="116"/>
  <c r="F307" i="116"/>
  <c r="F305" i="116"/>
  <c r="F303" i="116"/>
  <c r="F300" i="116"/>
  <c r="F298" i="116"/>
  <c r="F296" i="116"/>
  <c r="F294" i="116"/>
  <c r="F304" i="116"/>
  <c r="F299" i="116"/>
  <c r="F295" i="116"/>
  <c r="C290" i="116"/>
  <c r="F301" i="116"/>
  <c r="F293" i="116"/>
  <c r="E303" i="116"/>
  <c r="E294" i="116"/>
  <c r="E305" i="116"/>
  <c r="E300" i="116"/>
  <c r="E296" i="116"/>
  <c r="F306" i="116"/>
  <c r="F297" i="116"/>
  <c r="E307" i="116"/>
  <c r="E298" i="116"/>
  <c r="G310" i="116"/>
  <c r="E350" i="116"/>
  <c r="E348" i="116"/>
  <c r="E345" i="116"/>
  <c r="E343" i="116"/>
  <c r="E341" i="116"/>
  <c r="E339" i="116"/>
  <c r="E337" i="116"/>
  <c r="F351" i="116"/>
  <c r="F349" i="116"/>
  <c r="F347" i="116"/>
  <c r="F344" i="116"/>
  <c r="F342" i="116"/>
  <c r="F340" i="116"/>
  <c r="F338" i="116"/>
  <c r="G354" i="116"/>
  <c r="C334" i="116"/>
  <c r="F348" i="116"/>
  <c r="F343" i="116"/>
  <c r="F339" i="116"/>
  <c r="F350" i="116"/>
  <c r="F341" i="116"/>
  <c r="E351" i="116"/>
  <c r="E338" i="116"/>
  <c r="E349" i="116"/>
  <c r="E344" i="116"/>
  <c r="E340" i="116"/>
  <c r="F345" i="116"/>
  <c r="F337" i="116"/>
  <c r="E347" i="116"/>
  <c r="E342" i="116"/>
  <c r="E394" i="116"/>
  <c r="E392" i="116"/>
  <c r="E389" i="116"/>
  <c r="E387" i="116"/>
  <c r="E385" i="116"/>
  <c r="E383" i="116"/>
  <c r="E381" i="116"/>
  <c r="F395" i="116"/>
  <c r="F393" i="116"/>
  <c r="F391" i="116"/>
  <c r="F388" i="116"/>
  <c r="F386" i="116"/>
  <c r="F384" i="116"/>
  <c r="F382" i="116"/>
  <c r="F392" i="116"/>
  <c r="F387" i="116"/>
  <c r="F383" i="116"/>
  <c r="F389" i="116"/>
  <c r="F381" i="116"/>
  <c r="C378" i="116"/>
  <c r="E391" i="116"/>
  <c r="E382" i="116"/>
  <c r="E393" i="116"/>
  <c r="E388" i="116"/>
  <c r="E384" i="116"/>
  <c r="G398" i="116"/>
  <c r="F394" i="116"/>
  <c r="F385" i="116"/>
  <c r="E395" i="116"/>
  <c r="E386" i="116"/>
  <c r="E438" i="116"/>
  <c r="E436" i="116"/>
  <c r="E433" i="116"/>
  <c r="E431" i="116"/>
  <c r="E429" i="116"/>
  <c r="E427" i="116"/>
  <c r="E425" i="116"/>
  <c r="F439" i="116"/>
  <c r="F437" i="116"/>
  <c r="F435" i="116"/>
  <c r="F432" i="116"/>
  <c r="F430" i="116"/>
  <c r="F428" i="116"/>
  <c r="F426" i="116"/>
  <c r="C422" i="116"/>
  <c r="F436" i="116"/>
  <c r="F431" i="116"/>
  <c r="F427" i="116"/>
  <c r="F438" i="116"/>
  <c r="F429" i="116"/>
  <c r="E439" i="116"/>
  <c r="E430" i="116"/>
  <c r="E437" i="116"/>
  <c r="E432" i="116"/>
  <c r="E428" i="116"/>
  <c r="F433" i="116"/>
  <c r="F425" i="116"/>
  <c r="E435" i="116"/>
  <c r="E426" i="116"/>
  <c r="E482" i="116"/>
  <c r="E480" i="116"/>
  <c r="E477" i="116"/>
  <c r="E475" i="116"/>
  <c r="E473" i="116"/>
  <c r="E471" i="116"/>
  <c r="E469" i="116"/>
  <c r="F483" i="116"/>
  <c r="F481" i="116"/>
  <c r="F479" i="116"/>
  <c r="F476" i="116"/>
  <c r="F474" i="116"/>
  <c r="F472" i="116"/>
  <c r="F470" i="116"/>
  <c r="F480" i="116"/>
  <c r="F475" i="116"/>
  <c r="F471" i="116"/>
  <c r="C466" i="116"/>
  <c r="F477" i="116"/>
  <c r="F469" i="116"/>
  <c r="E479" i="116"/>
  <c r="E470" i="116"/>
  <c r="E481" i="116"/>
  <c r="E476" i="116"/>
  <c r="E472" i="116"/>
  <c r="F482" i="116"/>
  <c r="F473" i="116"/>
  <c r="E483" i="116"/>
  <c r="E474" i="116"/>
  <c r="E20" i="117"/>
  <c r="E18" i="117"/>
  <c r="E15" i="117"/>
  <c r="E13" i="117"/>
  <c r="E11" i="117"/>
  <c r="E9" i="117"/>
  <c r="E7" i="117"/>
  <c r="F21" i="117"/>
  <c r="F19" i="117"/>
  <c r="F17" i="117"/>
  <c r="F14" i="117"/>
  <c r="F12" i="117"/>
  <c r="F10" i="117"/>
  <c r="F8" i="117"/>
  <c r="F18" i="117"/>
  <c r="F13" i="117"/>
  <c r="F9" i="117"/>
  <c r="E19" i="117"/>
  <c r="E10" i="117"/>
  <c r="G24" i="117"/>
  <c r="E21" i="117"/>
  <c r="E17" i="117"/>
  <c r="E12" i="117"/>
  <c r="E8" i="117"/>
  <c r="E14" i="117"/>
  <c r="F20" i="117"/>
  <c r="F15" i="117"/>
  <c r="F11" i="117"/>
  <c r="F7" i="117"/>
  <c r="C4" i="117"/>
  <c r="E64" i="117"/>
  <c r="E62" i="117"/>
  <c r="E59" i="117"/>
  <c r="E57" i="117"/>
  <c r="E55" i="117"/>
  <c r="E53" i="117"/>
  <c r="E51" i="117"/>
  <c r="F65" i="117"/>
  <c r="F63" i="117"/>
  <c r="F61" i="117"/>
  <c r="F58" i="117"/>
  <c r="F56" i="117"/>
  <c r="F54" i="117"/>
  <c r="F52" i="117"/>
  <c r="F62" i="117"/>
  <c r="F57" i="117"/>
  <c r="F53" i="117"/>
  <c r="E58" i="117"/>
  <c r="G68" i="117"/>
  <c r="E65" i="117"/>
  <c r="E61" i="117"/>
  <c r="E56" i="117"/>
  <c r="E52" i="117"/>
  <c r="C48" i="117"/>
  <c r="E63" i="117"/>
  <c r="E54" i="117"/>
  <c r="F64" i="117"/>
  <c r="F59" i="117"/>
  <c r="F55" i="117"/>
  <c r="F51" i="117"/>
  <c r="E108" i="117"/>
  <c r="E106" i="117"/>
  <c r="E103" i="117"/>
  <c r="E101" i="117"/>
  <c r="E99" i="117"/>
  <c r="E97" i="117"/>
  <c r="E95" i="117"/>
  <c r="F109" i="117"/>
  <c r="F107" i="117"/>
  <c r="F105" i="117"/>
  <c r="F102" i="117"/>
  <c r="F100" i="117"/>
  <c r="F98" i="117"/>
  <c r="F96" i="117"/>
  <c r="F106" i="117"/>
  <c r="F101" i="117"/>
  <c r="F97" i="117"/>
  <c r="E102" i="117"/>
  <c r="E98" i="117"/>
  <c r="E109" i="117"/>
  <c r="E105" i="117"/>
  <c r="E100" i="117"/>
  <c r="E96" i="117"/>
  <c r="G112" i="117"/>
  <c r="E107" i="117"/>
  <c r="C92" i="117"/>
  <c r="F108" i="117"/>
  <c r="F103" i="117"/>
  <c r="F99" i="117"/>
  <c r="F95" i="117"/>
  <c r="E152" i="117"/>
  <c r="E150" i="117"/>
  <c r="E147" i="117"/>
  <c r="E145" i="117"/>
  <c r="E143" i="117"/>
  <c r="E141" i="117"/>
  <c r="E139" i="117"/>
  <c r="F153" i="117"/>
  <c r="F151" i="117"/>
  <c r="F149" i="117"/>
  <c r="F146" i="117"/>
  <c r="F144" i="117"/>
  <c r="F142" i="117"/>
  <c r="F140" i="117"/>
  <c r="G156" i="117"/>
  <c r="C136" i="117"/>
  <c r="F150" i="117"/>
  <c r="F145" i="117"/>
  <c r="F141" i="117"/>
  <c r="E151" i="117"/>
  <c r="E142" i="117"/>
  <c r="E153" i="117"/>
  <c r="E149" i="117"/>
  <c r="E144" i="117"/>
  <c r="E140" i="117"/>
  <c r="E146" i="117"/>
  <c r="F152" i="117"/>
  <c r="F147" i="117"/>
  <c r="F143" i="117"/>
  <c r="F139" i="117"/>
  <c r="E196" i="117"/>
  <c r="E194" i="117"/>
  <c r="E191" i="117"/>
  <c r="E189" i="117"/>
  <c r="E187" i="117"/>
  <c r="E185" i="117"/>
  <c r="E183" i="117"/>
  <c r="F197" i="117"/>
  <c r="F195" i="117"/>
  <c r="F193" i="117"/>
  <c r="F190" i="117"/>
  <c r="F188" i="117"/>
  <c r="F186" i="117"/>
  <c r="F184" i="117"/>
  <c r="G200" i="117"/>
  <c r="C180" i="117"/>
  <c r="F194" i="117"/>
  <c r="F189" i="117"/>
  <c r="F185" i="117"/>
  <c r="E190" i="117"/>
  <c r="E197" i="117"/>
  <c r="E193" i="117"/>
  <c r="E188" i="117"/>
  <c r="E184" i="117"/>
  <c r="E195" i="117"/>
  <c r="E186" i="117"/>
  <c r="F196" i="117"/>
  <c r="F191" i="117"/>
  <c r="F187" i="117"/>
  <c r="F183" i="117"/>
  <c r="E240" i="117"/>
  <c r="E238" i="117"/>
  <c r="E235" i="117"/>
  <c r="E233" i="117"/>
  <c r="E231" i="117"/>
  <c r="E229" i="117"/>
  <c r="E227" i="117"/>
  <c r="G244" i="117"/>
  <c r="C224" i="117"/>
  <c r="F241" i="117"/>
  <c r="F239" i="117"/>
  <c r="F237" i="117"/>
  <c r="F234" i="117"/>
  <c r="F232" i="117"/>
  <c r="F230" i="117"/>
  <c r="F228" i="117"/>
  <c r="F238" i="117"/>
  <c r="F233" i="117"/>
  <c r="F229" i="117"/>
  <c r="E234" i="117"/>
  <c r="E241" i="117"/>
  <c r="E237" i="117"/>
  <c r="E232" i="117"/>
  <c r="E228" i="117"/>
  <c r="E239" i="117"/>
  <c r="E230" i="117"/>
  <c r="F240" i="117"/>
  <c r="F235" i="117"/>
  <c r="F231" i="117"/>
  <c r="F227" i="117"/>
  <c r="E284" i="117"/>
  <c r="E282" i="117"/>
  <c r="E279" i="117"/>
  <c r="E277" i="117"/>
  <c r="E275" i="117"/>
  <c r="E273" i="117"/>
  <c r="E271" i="117"/>
  <c r="G288" i="117"/>
  <c r="C268" i="117"/>
  <c r="F285" i="117"/>
  <c r="F283" i="117"/>
  <c r="F281" i="117"/>
  <c r="F278" i="117"/>
  <c r="F276" i="117"/>
  <c r="F274" i="117"/>
  <c r="F272" i="117"/>
  <c r="F282" i="117"/>
  <c r="F277" i="117"/>
  <c r="F273" i="117"/>
  <c r="E278" i="117"/>
  <c r="E285" i="117"/>
  <c r="E281" i="117"/>
  <c r="E276" i="117"/>
  <c r="E272" i="117"/>
  <c r="E283" i="117"/>
  <c r="E274" i="117"/>
  <c r="F284" i="117"/>
  <c r="F279" i="117"/>
  <c r="F275" i="117"/>
  <c r="F271" i="117"/>
  <c r="E328" i="117"/>
  <c r="E326" i="117"/>
  <c r="E323" i="117"/>
  <c r="E321" i="117"/>
  <c r="E319" i="117"/>
  <c r="E317" i="117"/>
  <c r="E315" i="117"/>
  <c r="F329" i="117"/>
  <c r="F327" i="117"/>
  <c r="F325" i="117"/>
  <c r="F322" i="117"/>
  <c r="F320" i="117"/>
  <c r="F318" i="117"/>
  <c r="F316" i="117"/>
  <c r="F326" i="117"/>
  <c r="F321" i="117"/>
  <c r="F317" i="117"/>
  <c r="C312" i="117"/>
  <c r="E322" i="117"/>
  <c r="E318" i="117"/>
  <c r="G332" i="117"/>
  <c r="E329" i="117"/>
  <c r="E325" i="117"/>
  <c r="E320" i="117"/>
  <c r="E316" i="117"/>
  <c r="E327" i="117"/>
  <c r="F328" i="117"/>
  <c r="F323" i="117"/>
  <c r="F319" i="117"/>
  <c r="F315" i="117"/>
  <c r="E372" i="117"/>
  <c r="E370" i="117"/>
  <c r="E367" i="117"/>
  <c r="E365" i="117"/>
  <c r="E363" i="117"/>
  <c r="E361" i="117"/>
  <c r="E359" i="117"/>
  <c r="F373" i="117"/>
  <c r="F371" i="117"/>
  <c r="F369" i="117"/>
  <c r="F366" i="117"/>
  <c r="F364" i="117"/>
  <c r="F362" i="117"/>
  <c r="F360" i="117"/>
  <c r="F370" i="117"/>
  <c r="F365" i="117"/>
  <c r="F361" i="117"/>
  <c r="G376" i="117"/>
  <c r="E371" i="117"/>
  <c r="E362" i="117"/>
  <c r="C356" i="117"/>
  <c r="E373" i="117"/>
  <c r="E369" i="117"/>
  <c r="E364" i="117"/>
  <c r="E360" i="117"/>
  <c r="E366" i="117"/>
  <c r="F372" i="117"/>
  <c r="F367" i="117"/>
  <c r="F363" i="117"/>
  <c r="F359" i="117"/>
  <c r="E416" i="117"/>
  <c r="E414" i="117"/>
  <c r="E411" i="117"/>
  <c r="E409" i="117"/>
  <c r="E407" i="117"/>
  <c r="E405" i="117"/>
  <c r="E403" i="117"/>
  <c r="F417" i="117"/>
  <c r="F415" i="117"/>
  <c r="F413" i="117"/>
  <c r="F410" i="117"/>
  <c r="F408" i="117"/>
  <c r="F406" i="117"/>
  <c r="F404" i="117"/>
  <c r="F414" i="117"/>
  <c r="F409" i="117"/>
  <c r="F405" i="117"/>
  <c r="E415" i="117"/>
  <c r="E406" i="117"/>
  <c r="C400" i="117"/>
  <c r="E417" i="117"/>
  <c r="E413" i="117"/>
  <c r="E408" i="117"/>
  <c r="E404" i="117"/>
  <c r="G420" i="117"/>
  <c r="E410" i="117"/>
  <c r="F416" i="117"/>
  <c r="F411" i="117"/>
  <c r="F407" i="117"/>
  <c r="F403" i="117"/>
  <c r="E460" i="117"/>
  <c r="E458" i="117"/>
  <c r="E455" i="117"/>
  <c r="E453" i="117"/>
  <c r="E451" i="117"/>
  <c r="E449" i="117"/>
  <c r="E447" i="117"/>
  <c r="F461" i="117"/>
  <c r="F459" i="117"/>
  <c r="F457" i="117"/>
  <c r="F454" i="117"/>
  <c r="F452" i="117"/>
  <c r="F450" i="117"/>
  <c r="F448" i="117"/>
  <c r="F458" i="117"/>
  <c r="F453" i="117"/>
  <c r="F449" i="117"/>
  <c r="E459" i="117"/>
  <c r="E450" i="117"/>
  <c r="G464" i="117"/>
  <c r="F455" i="117"/>
  <c r="E461" i="117"/>
  <c r="E457" i="117"/>
  <c r="E452" i="117"/>
  <c r="E448" i="117"/>
  <c r="C444" i="117"/>
  <c r="E454" i="117"/>
  <c r="F460" i="117"/>
  <c r="F451" i="117"/>
  <c r="F447" i="117"/>
  <c r="E42" i="117"/>
  <c r="E40" i="117"/>
  <c r="E37" i="117"/>
  <c r="E35" i="117"/>
  <c r="E33" i="117"/>
  <c r="E31" i="117"/>
  <c r="E29" i="117"/>
  <c r="F43" i="117"/>
  <c r="F41" i="117"/>
  <c r="F39" i="117"/>
  <c r="F36" i="117"/>
  <c r="F34" i="117"/>
  <c r="F32" i="117"/>
  <c r="F30" i="117"/>
  <c r="F42" i="117"/>
  <c r="F37" i="117"/>
  <c r="F33" i="117"/>
  <c r="F29" i="117"/>
  <c r="C26" i="117"/>
  <c r="E43" i="117"/>
  <c r="E34" i="117"/>
  <c r="E41" i="117"/>
  <c r="E36" i="117"/>
  <c r="E32" i="117"/>
  <c r="E39" i="117"/>
  <c r="E30" i="117"/>
  <c r="F40" i="117"/>
  <c r="F35" i="117"/>
  <c r="F31" i="117"/>
  <c r="E86" i="117"/>
  <c r="E84" i="117"/>
  <c r="E81" i="117"/>
  <c r="E79" i="117"/>
  <c r="E77" i="117"/>
  <c r="E75" i="117"/>
  <c r="E73" i="117"/>
  <c r="G90" i="117"/>
  <c r="C70" i="117"/>
  <c r="F87" i="117"/>
  <c r="F85" i="117"/>
  <c r="F83" i="117"/>
  <c r="F80" i="117"/>
  <c r="F78" i="117"/>
  <c r="F76" i="117"/>
  <c r="F74" i="117"/>
  <c r="F86" i="117"/>
  <c r="F81" i="117"/>
  <c r="F77" i="117"/>
  <c r="F73" i="117"/>
  <c r="E83" i="117"/>
  <c r="E74" i="117"/>
  <c r="E85" i="117"/>
  <c r="E80" i="117"/>
  <c r="E76" i="117"/>
  <c r="E87" i="117"/>
  <c r="E78" i="117"/>
  <c r="F84" i="117"/>
  <c r="F79" i="117"/>
  <c r="F75" i="117"/>
  <c r="E130" i="117"/>
  <c r="E128" i="117"/>
  <c r="E125" i="117"/>
  <c r="E123" i="117"/>
  <c r="E121" i="117"/>
  <c r="E119" i="117"/>
  <c r="E117" i="117"/>
  <c r="C114" i="117"/>
  <c r="F131" i="117"/>
  <c r="F129" i="117"/>
  <c r="F127" i="117"/>
  <c r="F124" i="117"/>
  <c r="F122" i="117"/>
  <c r="F120" i="117"/>
  <c r="F118" i="117"/>
  <c r="F130" i="117"/>
  <c r="F125" i="117"/>
  <c r="F121" i="117"/>
  <c r="F117" i="117"/>
  <c r="E127" i="117"/>
  <c r="E118" i="117"/>
  <c r="G134" i="117"/>
  <c r="E129" i="117"/>
  <c r="E124" i="117"/>
  <c r="E120" i="117"/>
  <c r="E131" i="117"/>
  <c r="E122" i="117"/>
  <c r="F128" i="117"/>
  <c r="F123" i="117"/>
  <c r="F119" i="117"/>
  <c r="E174" i="117"/>
  <c r="E172" i="117"/>
  <c r="E169" i="117"/>
  <c r="E167" i="117"/>
  <c r="E165" i="117"/>
  <c r="E163" i="117"/>
  <c r="E161" i="117"/>
  <c r="F175" i="117"/>
  <c r="F173" i="117"/>
  <c r="F171" i="117"/>
  <c r="F168" i="117"/>
  <c r="F166" i="117"/>
  <c r="F164" i="117"/>
  <c r="F162" i="117"/>
  <c r="F174" i="117"/>
  <c r="F169" i="117"/>
  <c r="F165" i="117"/>
  <c r="F161" i="117"/>
  <c r="E175" i="117"/>
  <c r="E166" i="117"/>
  <c r="E173" i="117"/>
  <c r="E168" i="117"/>
  <c r="E164" i="117"/>
  <c r="E171" i="117"/>
  <c r="E162" i="117"/>
  <c r="F172" i="117"/>
  <c r="F167" i="117"/>
  <c r="F163" i="117"/>
  <c r="C158" i="117"/>
  <c r="E218" i="117"/>
  <c r="E216" i="117"/>
  <c r="E213" i="117"/>
  <c r="E211" i="117"/>
  <c r="E209" i="117"/>
  <c r="E207" i="117"/>
  <c r="E205" i="117"/>
  <c r="F219" i="117"/>
  <c r="F217" i="117"/>
  <c r="F215" i="117"/>
  <c r="F212" i="117"/>
  <c r="F210" i="117"/>
  <c r="F208" i="117"/>
  <c r="F206" i="117"/>
  <c r="F218" i="117"/>
  <c r="F213" i="117"/>
  <c r="F209" i="117"/>
  <c r="F205" i="117"/>
  <c r="C202" i="117"/>
  <c r="E219" i="117"/>
  <c r="E206" i="117"/>
  <c r="E217" i="117"/>
  <c r="E212" i="117"/>
  <c r="E208" i="117"/>
  <c r="E215" i="117"/>
  <c r="E210" i="117"/>
  <c r="F216" i="117"/>
  <c r="F211" i="117"/>
  <c r="F207" i="117"/>
  <c r="E262" i="117"/>
  <c r="E260" i="117"/>
  <c r="E257" i="117"/>
  <c r="E255" i="117"/>
  <c r="E253" i="117"/>
  <c r="E251" i="117"/>
  <c r="E249" i="117"/>
  <c r="F263" i="117"/>
  <c r="F261" i="117"/>
  <c r="F259" i="117"/>
  <c r="F256" i="117"/>
  <c r="F254" i="117"/>
  <c r="F252" i="117"/>
  <c r="F250" i="117"/>
  <c r="F262" i="117"/>
  <c r="F257" i="117"/>
  <c r="F253" i="117"/>
  <c r="F249" i="117"/>
  <c r="E263" i="117"/>
  <c r="E254" i="117"/>
  <c r="E261" i="117"/>
  <c r="E256" i="117"/>
  <c r="E252" i="117"/>
  <c r="C246" i="117"/>
  <c r="E259" i="117"/>
  <c r="E250" i="117"/>
  <c r="F260" i="117"/>
  <c r="F255" i="117"/>
  <c r="F251" i="117"/>
  <c r="E306" i="117"/>
  <c r="E304" i="117"/>
  <c r="E301" i="117"/>
  <c r="E299" i="117"/>
  <c r="E297" i="117"/>
  <c r="E295" i="117"/>
  <c r="E293" i="117"/>
  <c r="F307" i="117"/>
  <c r="F305" i="117"/>
  <c r="F303" i="117"/>
  <c r="F300" i="117"/>
  <c r="F298" i="117"/>
  <c r="F296" i="117"/>
  <c r="F294" i="117"/>
  <c r="F306" i="117"/>
  <c r="F301" i="117"/>
  <c r="F297" i="117"/>
  <c r="F293" i="117"/>
  <c r="E303" i="117"/>
  <c r="E294" i="117"/>
  <c r="C290" i="117"/>
  <c r="E305" i="117"/>
  <c r="E300" i="117"/>
  <c r="E296" i="117"/>
  <c r="E307" i="117"/>
  <c r="E298" i="117"/>
  <c r="F304" i="117"/>
  <c r="F299" i="117"/>
  <c r="F295" i="117"/>
  <c r="E350" i="117"/>
  <c r="E348" i="117"/>
  <c r="E345" i="117"/>
  <c r="E343" i="117"/>
  <c r="E341" i="117"/>
  <c r="E339" i="117"/>
  <c r="E337" i="117"/>
  <c r="F351" i="117"/>
  <c r="F349" i="117"/>
  <c r="F347" i="117"/>
  <c r="F344" i="117"/>
  <c r="F342" i="117"/>
  <c r="F340" i="117"/>
  <c r="F338" i="117"/>
  <c r="C334" i="117"/>
  <c r="F350" i="117"/>
  <c r="F345" i="117"/>
  <c r="F341" i="117"/>
  <c r="F337" i="117"/>
  <c r="E347" i="117"/>
  <c r="E338" i="117"/>
  <c r="E349" i="117"/>
  <c r="E344" i="117"/>
  <c r="E340" i="117"/>
  <c r="E351" i="117"/>
  <c r="E342" i="117"/>
  <c r="F348" i="117"/>
  <c r="F343" i="117"/>
  <c r="F339" i="117"/>
  <c r="E394" i="117"/>
  <c r="E392" i="117"/>
  <c r="E389" i="117"/>
  <c r="E387" i="117"/>
  <c r="E385" i="117"/>
  <c r="E383" i="117"/>
  <c r="E381" i="117"/>
  <c r="F395" i="117"/>
  <c r="F393" i="117"/>
  <c r="F391" i="117"/>
  <c r="F388" i="117"/>
  <c r="F386" i="117"/>
  <c r="F384" i="117"/>
  <c r="F382" i="117"/>
  <c r="C378" i="117"/>
  <c r="F394" i="117"/>
  <c r="F389" i="117"/>
  <c r="F385" i="117"/>
  <c r="F381" i="117"/>
  <c r="E391" i="117"/>
  <c r="E382" i="117"/>
  <c r="E393" i="117"/>
  <c r="E388" i="117"/>
  <c r="E384" i="117"/>
  <c r="E395" i="117"/>
  <c r="E386" i="117"/>
  <c r="F392" i="117"/>
  <c r="F387" i="117"/>
  <c r="F383" i="117"/>
  <c r="E438" i="117"/>
  <c r="E436" i="117"/>
  <c r="E433" i="117"/>
  <c r="E431" i="117"/>
  <c r="E429" i="117"/>
  <c r="E427" i="117"/>
  <c r="E425" i="117"/>
  <c r="C422" i="117"/>
  <c r="F439" i="117"/>
  <c r="F437" i="117"/>
  <c r="F435" i="117"/>
  <c r="F432" i="117"/>
  <c r="F430" i="117"/>
  <c r="F428" i="117"/>
  <c r="F426" i="117"/>
  <c r="F438" i="117"/>
  <c r="F433" i="117"/>
  <c r="F429" i="117"/>
  <c r="F425" i="117"/>
  <c r="E435" i="117"/>
  <c r="E426" i="117"/>
  <c r="E437" i="117"/>
  <c r="E432" i="117"/>
  <c r="E428" i="117"/>
  <c r="E439" i="117"/>
  <c r="E430" i="117"/>
  <c r="F436" i="117"/>
  <c r="F431" i="117"/>
  <c r="F427" i="117"/>
  <c r="E20" i="110"/>
  <c r="E18" i="110"/>
  <c r="E15" i="110"/>
  <c r="E13" i="110"/>
  <c r="E11" i="110"/>
  <c r="E9" i="110"/>
  <c r="E7" i="110"/>
  <c r="F21" i="110"/>
  <c r="F19" i="110"/>
  <c r="F17" i="110"/>
  <c r="F14" i="110"/>
  <c r="F12" i="110"/>
  <c r="F10" i="110"/>
  <c r="F8" i="110"/>
  <c r="E19" i="110"/>
  <c r="E14" i="110"/>
  <c r="E10" i="110"/>
  <c r="G24" i="110"/>
  <c r="E21" i="110"/>
  <c r="E12" i="110"/>
  <c r="F13" i="110"/>
  <c r="F20" i="110"/>
  <c r="F15" i="110"/>
  <c r="F11" i="110"/>
  <c r="F7" i="110"/>
  <c r="C4" i="110"/>
  <c r="E17" i="110"/>
  <c r="E8" i="110"/>
  <c r="F18" i="110"/>
  <c r="F9" i="110"/>
  <c r="E108" i="110"/>
  <c r="E106" i="110"/>
  <c r="E103" i="110"/>
  <c r="E101" i="110"/>
  <c r="E99" i="110"/>
  <c r="E97" i="110"/>
  <c r="E95" i="110"/>
  <c r="G112" i="110"/>
  <c r="C92" i="110"/>
  <c r="F109" i="110"/>
  <c r="F107" i="110"/>
  <c r="F105" i="110"/>
  <c r="F102" i="110"/>
  <c r="F100" i="110"/>
  <c r="F98" i="110"/>
  <c r="F96" i="110"/>
  <c r="E107" i="110"/>
  <c r="E102" i="110"/>
  <c r="E98" i="110"/>
  <c r="E109" i="110"/>
  <c r="E100" i="110"/>
  <c r="F106" i="110"/>
  <c r="F97" i="110"/>
  <c r="F108" i="110"/>
  <c r="F103" i="110"/>
  <c r="F99" i="110"/>
  <c r="F95" i="110"/>
  <c r="E105" i="110"/>
  <c r="E96" i="110"/>
  <c r="F101" i="110"/>
  <c r="E196" i="110"/>
  <c r="E194" i="110"/>
  <c r="E191" i="110"/>
  <c r="E189" i="110"/>
  <c r="E187" i="110"/>
  <c r="E185" i="110"/>
  <c r="E183" i="110"/>
  <c r="F197" i="110"/>
  <c r="F195" i="110"/>
  <c r="F193" i="110"/>
  <c r="F190" i="110"/>
  <c r="F188" i="110"/>
  <c r="F186" i="110"/>
  <c r="F184" i="110"/>
  <c r="G200" i="110"/>
  <c r="E195" i="110"/>
  <c r="E190" i="110"/>
  <c r="E186" i="110"/>
  <c r="C180" i="110"/>
  <c r="E197" i="110"/>
  <c r="E188" i="110"/>
  <c r="F194" i="110"/>
  <c r="F185" i="110"/>
  <c r="F196" i="110"/>
  <c r="F191" i="110"/>
  <c r="F187" i="110"/>
  <c r="F183" i="110"/>
  <c r="E193" i="110"/>
  <c r="E184" i="110"/>
  <c r="F189" i="110"/>
  <c r="E284" i="110"/>
  <c r="E282" i="110"/>
  <c r="E279" i="110"/>
  <c r="E277" i="110"/>
  <c r="E275" i="110"/>
  <c r="E273" i="110"/>
  <c r="E271" i="110"/>
  <c r="F285" i="110"/>
  <c r="F283" i="110"/>
  <c r="F281" i="110"/>
  <c r="F278" i="110"/>
  <c r="F276" i="110"/>
  <c r="F274" i="110"/>
  <c r="F272" i="110"/>
  <c r="C268" i="110"/>
  <c r="F284" i="110"/>
  <c r="F282" i="110"/>
  <c r="F279" i="110"/>
  <c r="F277" i="110"/>
  <c r="F275" i="110"/>
  <c r="F273" i="110"/>
  <c r="F271" i="110"/>
  <c r="E281" i="110"/>
  <c r="E272" i="110"/>
  <c r="E276" i="110"/>
  <c r="G288" i="110"/>
  <c r="E283" i="110"/>
  <c r="E274" i="110"/>
  <c r="E285" i="110"/>
  <c r="E278" i="110"/>
  <c r="E328" i="110"/>
  <c r="E326" i="110"/>
  <c r="E323" i="110"/>
  <c r="E321" i="110"/>
  <c r="E319" i="110"/>
  <c r="E317" i="110"/>
  <c r="E315" i="110"/>
  <c r="F329" i="110"/>
  <c r="F327" i="110"/>
  <c r="F325" i="110"/>
  <c r="F322" i="110"/>
  <c r="F320" i="110"/>
  <c r="F318" i="110"/>
  <c r="F316" i="110"/>
  <c r="F328" i="110"/>
  <c r="F326" i="110"/>
  <c r="F323" i="110"/>
  <c r="F321" i="110"/>
  <c r="F319" i="110"/>
  <c r="F317" i="110"/>
  <c r="F315" i="110"/>
  <c r="E329" i="110"/>
  <c r="E320" i="110"/>
  <c r="E316" i="110"/>
  <c r="E318" i="110"/>
  <c r="E322" i="110"/>
  <c r="G332" i="110"/>
  <c r="E325" i="110"/>
  <c r="E327" i="110"/>
  <c r="C312" i="110"/>
  <c r="E42" i="110"/>
  <c r="E40" i="110"/>
  <c r="E37" i="110"/>
  <c r="E35" i="110"/>
  <c r="E33" i="110"/>
  <c r="E31" i="110"/>
  <c r="E29" i="110"/>
  <c r="C26" i="110"/>
  <c r="F43" i="110"/>
  <c r="F41" i="110"/>
  <c r="F39" i="110"/>
  <c r="F36" i="110"/>
  <c r="F34" i="110"/>
  <c r="F32" i="110"/>
  <c r="F30" i="110"/>
  <c r="E43" i="110"/>
  <c r="E39" i="110"/>
  <c r="E34" i="110"/>
  <c r="E30" i="110"/>
  <c r="E36" i="110"/>
  <c r="F37" i="110"/>
  <c r="F29" i="110"/>
  <c r="F40" i="110"/>
  <c r="F35" i="110"/>
  <c r="F31" i="110"/>
  <c r="E41" i="110"/>
  <c r="E32" i="110"/>
  <c r="F42" i="110"/>
  <c r="F33" i="110"/>
  <c r="G46" i="110"/>
  <c r="E86" i="110"/>
  <c r="E84" i="110"/>
  <c r="E81" i="110"/>
  <c r="E79" i="110"/>
  <c r="E77" i="110"/>
  <c r="E75" i="110"/>
  <c r="E73" i="110"/>
  <c r="C70" i="110"/>
  <c r="F87" i="110"/>
  <c r="F85" i="110"/>
  <c r="F83" i="110"/>
  <c r="F80" i="110"/>
  <c r="F78" i="110"/>
  <c r="F76" i="110"/>
  <c r="F74" i="110"/>
  <c r="G90" i="110"/>
  <c r="E87" i="110"/>
  <c r="E83" i="110"/>
  <c r="E78" i="110"/>
  <c r="E74" i="110"/>
  <c r="E85" i="110"/>
  <c r="E76" i="110"/>
  <c r="F81" i="110"/>
  <c r="F73" i="110"/>
  <c r="F84" i="110"/>
  <c r="F79" i="110"/>
  <c r="F75" i="110"/>
  <c r="E80" i="110"/>
  <c r="F86" i="110"/>
  <c r="F77" i="110"/>
  <c r="E130" i="110"/>
  <c r="E128" i="110"/>
  <c r="E125" i="110"/>
  <c r="E123" i="110"/>
  <c r="E121" i="110"/>
  <c r="E119" i="110"/>
  <c r="E117" i="110"/>
  <c r="F131" i="110"/>
  <c r="F129" i="110"/>
  <c r="F127" i="110"/>
  <c r="F124" i="110"/>
  <c r="F122" i="110"/>
  <c r="F120" i="110"/>
  <c r="F118" i="110"/>
  <c r="E131" i="110"/>
  <c r="E127" i="110"/>
  <c r="E122" i="110"/>
  <c r="E118" i="110"/>
  <c r="E124" i="110"/>
  <c r="F130" i="110"/>
  <c r="F121" i="110"/>
  <c r="F128" i="110"/>
  <c r="F123" i="110"/>
  <c r="F119" i="110"/>
  <c r="E129" i="110"/>
  <c r="E120" i="110"/>
  <c r="G134" i="110"/>
  <c r="F125" i="110"/>
  <c r="F117" i="110"/>
  <c r="C114" i="110"/>
  <c r="E174" i="110"/>
  <c r="E172" i="110"/>
  <c r="E169" i="110"/>
  <c r="E167" i="110"/>
  <c r="E165" i="110"/>
  <c r="E163" i="110"/>
  <c r="E161" i="110"/>
  <c r="F175" i="110"/>
  <c r="F173" i="110"/>
  <c r="F171" i="110"/>
  <c r="F168" i="110"/>
  <c r="F166" i="110"/>
  <c r="F164" i="110"/>
  <c r="F162" i="110"/>
  <c r="E175" i="110"/>
  <c r="E171" i="110"/>
  <c r="E166" i="110"/>
  <c r="E162" i="110"/>
  <c r="E173" i="110"/>
  <c r="E164" i="110"/>
  <c r="F169" i="110"/>
  <c r="F161" i="110"/>
  <c r="G178" i="110"/>
  <c r="F172" i="110"/>
  <c r="F167" i="110"/>
  <c r="F163" i="110"/>
  <c r="C158" i="110"/>
  <c r="E168" i="110"/>
  <c r="F174" i="110"/>
  <c r="F165" i="110"/>
  <c r="E218" i="110"/>
  <c r="E216" i="110"/>
  <c r="E213" i="110"/>
  <c r="E211" i="110"/>
  <c r="E209" i="110"/>
  <c r="E207" i="110"/>
  <c r="E205" i="110"/>
  <c r="F219" i="110"/>
  <c r="F217" i="110"/>
  <c r="F215" i="110"/>
  <c r="F212" i="110"/>
  <c r="F210" i="110"/>
  <c r="F208" i="110"/>
  <c r="F206" i="110"/>
  <c r="E219" i="110"/>
  <c r="E215" i="110"/>
  <c r="E210" i="110"/>
  <c r="E206" i="110"/>
  <c r="E212" i="110"/>
  <c r="F218" i="110"/>
  <c r="F209" i="110"/>
  <c r="F216" i="110"/>
  <c r="F211" i="110"/>
  <c r="F207" i="110"/>
  <c r="G222" i="110"/>
  <c r="E217" i="110"/>
  <c r="E208" i="110"/>
  <c r="F213" i="110"/>
  <c r="F205" i="110"/>
  <c r="C202" i="110"/>
  <c r="E262" i="110"/>
  <c r="E260" i="110"/>
  <c r="E257" i="110"/>
  <c r="E255" i="110"/>
  <c r="E253" i="110"/>
  <c r="E251" i="110"/>
  <c r="E249" i="110"/>
  <c r="F263" i="110"/>
  <c r="F261" i="110"/>
  <c r="F259" i="110"/>
  <c r="F256" i="110"/>
  <c r="F254" i="110"/>
  <c r="F252" i="110"/>
  <c r="F250" i="110"/>
  <c r="C246" i="110"/>
  <c r="F262" i="110"/>
  <c r="F260" i="110"/>
  <c r="F257" i="110"/>
  <c r="F255" i="110"/>
  <c r="F253" i="110"/>
  <c r="E256" i="110"/>
  <c r="E250" i="110"/>
  <c r="E252" i="110"/>
  <c r="E263" i="110"/>
  <c r="F249" i="110"/>
  <c r="E259" i="110"/>
  <c r="F251" i="110"/>
  <c r="G266" i="110"/>
  <c r="E261" i="110"/>
  <c r="E254" i="110"/>
  <c r="E306" i="110"/>
  <c r="E304" i="110"/>
  <c r="E301" i="110"/>
  <c r="E299" i="110"/>
  <c r="E297" i="110"/>
  <c r="E295" i="110"/>
  <c r="E293" i="110"/>
  <c r="F307" i="110"/>
  <c r="F305" i="110"/>
  <c r="F303" i="110"/>
  <c r="F300" i="110"/>
  <c r="F298" i="110"/>
  <c r="F296" i="110"/>
  <c r="F294" i="110"/>
  <c r="G310" i="110"/>
  <c r="C290" i="110"/>
  <c r="F306" i="110"/>
  <c r="F304" i="110"/>
  <c r="F301" i="110"/>
  <c r="F299" i="110"/>
  <c r="F297" i="110"/>
  <c r="F295" i="110"/>
  <c r="F293" i="110"/>
  <c r="E305" i="110"/>
  <c r="E296" i="110"/>
  <c r="E300" i="110"/>
  <c r="E294" i="110"/>
  <c r="E307" i="110"/>
  <c r="E298" i="110"/>
  <c r="E303" i="110"/>
  <c r="E350" i="110"/>
  <c r="E348" i="110"/>
  <c r="E345" i="110"/>
  <c r="E343" i="110"/>
  <c r="E341" i="110"/>
  <c r="E339" i="110"/>
  <c r="E337" i="110"/>
  <c r="G354" i="110"/>
  <c r="F351" i="110"/>
  <c r="F349" i="110"/>
  <c r="F347" i="110"/>
  <c r="F344" i="110"/>
  <c r="F342" i="110"/>
  <c r="F340" i="110"/>
  <c r="F338" i="110"/>
  <c r="C334" i="110"/>
  <c r="F350" i="110"/>
  <c r="G350" i="110" s="1"/>
  <c r="F348" i="110"/>
  <c r="F345" i="110"/>
  <c r="F343" i="110"/>
  <c r="F341" i="110"/>
  <c r="F339" i="110"/>
  <c r="F337" i="110"/>
  <c r="E344" i="110"/>
  <c r="E340" i="110"/>
  <c r="E342" i="110"/>
  <c r="E347" i="110"/>
  <c r="E338" i="110"/>
  <c r="E349" i="110"/>
  <c r="E351" i="110"/>
  <c r="E64" i="110"/>
  <c r="E62" i="110"/>
  <c r="E59" i="110"/>
  <c r="E57" i="110"/>
  <c r="E55" i="110"/>
  <c r="E53" i="110"/>
  <c r="E51" i="110"/>
  <c r="F65" i="110"/>
  <c r="F63" i="110"/>
  <c r="F61" i="110"/>
  <c r="F58" i="110"/>
  <c r="F56" i="110"/>
  <c r="F54" i="110"/>
  <c r="F52" i="110"/>
  <c r="G68" i="110"/>
  <c r="C48" i="110"/>
  <c r="E63" i="110"/>
  <c r="E58" i="110"/>
  <c r="E54" i="110"/>
  <c r="E61" i="110"/>
  <c r="E52" i="110"/>
  <c r="F57" i="110"/>
  <c r="F64" i="110"/>
  <c r="F59" i="110"/>
  <c r="F55" i="110"/>
  <c r="F51" i="110"/>
  <c r="E65" i="110"/>
  <c r="E56" i="110"/>
  <c r="F62" i="110"/>
  <c r="F53" i="110"/>
  <c r="E152" i="110"/>
  <c r="E150" i="110"/>
  <c r="E147" i="110"/>
  <c r="E145" i="110"/>
  <c r="E143" i="110"/>
  <c r="E141" i="110"/>
  <c r="E139" i="110"/>
  <c r="G156" i="110"/>
  <c r="F153" i="110"/>
  <c r="F151" i="110"/>
  <c r="F149" i="110"/>
  <c r="F146" i="110"/>
  <c r="F144" i="110"/>
  <c r="F142" i="110"/>
  <c r="F140" i="110"/>
  <c r="C136" i="110"/>
  <c r="E151" i="110"/>
  <c r="E146" i="110"/>
  <c r="E142" i="110"/>
  <c r="E149" i="110"/>
  <c r="E140" i="110"/>
  <c r="F145" i="110"/>
  <c r="F152" i="110"/>
  <c r="F147" i="110"/>
  <c r="F143" i="110"/>
  <c r="F139" i="110"/>
  <c r="E153" i="110"/>
  <c r="E144" i="110"/>
  <c r="F150" i="110"/>
  <c r="F141" i="110"/>
  <c r="E240" i="110"/>
  <c r="E238" i="110"/>
  <c r="E235" i="110"/>
  <c r="E233" i="110"/>
  <c r="E231" i="110"/>
  <c r="E229" i="110"/>
  <c r="E227" i="110"/>
  <c r="F241" i="110"/>
  <c r="F239" i="110"/>
  <c r="F237" i="110"/>
  <c r="F234" i="110"/>
  <c r="F232" i="110"/>
  <c r="F230" i="110"/>
  <c r="F228" i="110"/>
  <c r="C224" i="110"/>
  <c r="E239" i="110"/>
  <c r="E234" i="110"/>
  <c r="E230" i="110"/>
  <c r="E237" i="110"/>
  <c r="E228" i="110"/>
  <c r="F233" i="110"/>
  <c r="F240" i="110"/>
  <c r="F235" i="110"/>
  <c r="F231" i="110"/>
  <c r="F227" i="110"/>
  <c r="G244" i="110"/>
  <c r="E241" i="110"/>
  <c r="E232" i="110"/>
  <c r="F238" i="110"/>
  <c r="F229" i="110"/>
  <c r="E372" i="110"/>
  <c r="E370" i="110"/>
  <c r="E367" i="110"/>
  <c r="E365" i="110"/>
  <c r="E363" i="110"/>
  <c r="E361" i="110"/>
  <c r="E359" i="110"/>
  <c r="F373" i="110"/>
  <c r="F371" i="110"/>
  <c r="F369" i="110"/>
  <c r="F366" i="110"/>
  <c r="F364" i="110"/>
  <c r="F362" i="110"/>
  <c r="F360" i="110"/>
  <c r="F372" i="110"/>
  <c r="F367" i="110"/>
  <c r="F365" i="110"/>
  <c r="F363" i="110"/>
  <c r="F361" i="110"/>
  <c r="F359" i="110"/>
  <c r="E369" i="110"/>
  <c r="E360" i="110"/>
  <c r="G376" i="110"/>
  <c r="E364" i="110"/>
  <c r="E366" i="110"/>
  <c r="F370" i="110"/>
  <c r="E362" i="110"/>
  <c r="E371" i="110"/>
  <c r="C356" i="110"/>
  <c r="E373" i="110"/>
  <c r="E20" i="109"/>
  <c r="E18" i="109"/>
  <c r="E15" i="109"/>
  <c r="E13" i="109"/>
  <c r="E11" i="109"/>
  <c r="E9" i="109"/>
  <c r="E7" i="109"/>
  <c r="F21" i="109"/>
  <c r="F19" i="109"/>
  <c r="F17" i="109"/>
  <c r="F14" i="109"/>
  <c r="F12" i="109"/>
  <c r="F10" i="109"/>
  <c r="F8" i="109"/>
  <c r="F18" i="109"/>
  <c r="F13" i="109"/>
  <c r="F9" i="109"/>
  <c r="C4" i="109"/>
  <c r="E19" i="109"/>
  <c r="E14" i="109"/>
  <c r="E10" i="109"/>
  <c r="F15" i="109"/>
  <c r="F7" i="109"/>
  <c r="F11" i="109"/>
  <c r="E12" i="109"/>
  <c r="E17" i="109"/>
  <c r="E8" i="109"/>
  <c r="F20" i="109"/>
  <c r="E21" i="109"/>
  <c r="G24" i="109"/>
  <c r="E64" i="109"/>
  <c r="E62" i="109"/>
  <c r="E59" i="109"/>
  <c r="E57" i="109"/>
  <c r="E55" i="109"/>
  <c r="E53" i="109"/>
  <c r="E51" i="109"/>
  <c r="F65" i="109"/>
  <c r="F63" i="109"/>
  <c r="F61" i="109"/>
  <c r="F58" i="109"/>
  <c r="F56" i="109"/>
  <c r="F54" i="109"/>
  <c r="F52" i="109"/>
  <c r="F62" i="109"/>
  <c r="F57" i="109"/>
  <c r="F53" i="109"/>
  <c r="E63" i="109"/>
  <c r="E58" i="109"/>
  <c r="E54" i="109"/>
  <c r="C48" i="109"/>
  <c r="F64" i="109"/>
  <c r="F55" i="109"/>
  <c r="F59" i="109"/>
  <c r="G68" i="109"/>
  <c r="E61" i="109"/>
  <c r="E65" i="109"/>
  <c r="E56" i="109"/>
  <c r="F51" i="109"/>
  <c r="E52" i="109"/>
  <c r="E108" i="109"/>
  <c r="E106" i="109"/>
  <c r="E103" i="109"/>
  <c r="E101" i="109"/>
  <c r="E99" i="109"/>
  <c r="E97" i="109"/>
  <c r="E95" i="109"/>
  <c r="F109" i="109"/>
  <c r="F107" i="109"/>
  <c r="F105" i="109"/>
  <c r="F102" i="109"/>
  <c r="F100" i="109"/>
  <c r="F98" i="109"/>
  <c r="F96" i="109"/>
  <c r="F106" i="109"/>
  <c r="F101" i="109"/>
  <c r="F97" i="109"/>
  <c r="E107" i="109"/>
  <c r="E102" i="109"/>
  <c r="E98" i="109"/>
  <c r="F103" i="109"/>
  <c r="F95" i="109"/>
  <c r="G112" i="109"/>
  <c r="F108" i="109"/>
  <c r="E105" i="109"/>
  <c r="E96" i="109"/>
  <c r="F99" i="109"/>
  <c r="E109" i="109"/>
  <c r="E100" i="109"/>
  <c r="C92" i="109"/>
  <c r="E152" i="109"/>
  <c r="E150" i="109"/>
  <c r="E147" i="109"/>
  <c r="E145" i="109"/>
  <c r="E143" i="109"/>
  <c r="E141" i="109"/>
  <c r="E139" i="109"/>
  <c r="F153" i="109"/>
  <c r="F151" i="109"/>
  <c r="F149" i="109"/>
  <c r="F146" i="109"/>
  <c r="F144" i="109"/>
  <c r="F142" i="109"/>
  <c r="F140" i="109"/>
  <c r="F150" i="109"/>
  <c r="F145" i="109"/>
  <c r="F141" i="109"/>
  <c r="C136" i="109"/>
  <c r="E151" i="109"/>
  <c r="E146" i="109"/>
  <c r="E142" i="109"/>
  <c r="G156" i="109"/>
  <c r="F152" i="109"/>
  <c r="F143" i="109"/>
  <c r="F139" i="109"/>
  <c r="E149" i="109"/>
  <c r="E153" i="109"/>
  <c r="E144" i="109"/>
  <c r="F147" i="109"/>
  <c r="E140" i="109"/>
  <c r="E196" i="109"/>
  <c r="E194" i="109"/>
  <c r="E191" i="109"/>
  <c r="E189" i="109"/>
  <c r="E187" i="109"/>
  <c r="E185" i="109"/>
  <c r="E183" i="109"/>
  <c r="F197" i="109"/>
  <c r="F195" i="109"/>
  <c r="F193" i="109"/>
  <c r="F190" i="109"/>
  <c r="F188" i="109"/>
  <c r="F186" i="109"/>
  <c r="F184" i="109"/>
  <c r="F194" i="109"/>
  <c r="F189" i="109"/>
  <c r="F185" i="109"/>
  <c r="E195" i="109"/>
  <c r="E190" i="109"/>
  <c r="E186" i="109"/>
  <c r="G200" i="109"/>
  <c r="F191" i="109"/>
  <c r="F183" i="109"/>
  <c r="C180" i="109"/>
  <c r="F187" i="109"/>
  <c r="E197" i="109"/>
  <c r="E193" i="109"/>
  <c r="E184" i="109"/>
  <c r="F196" i="109"/>
  <c r="E188" i="109"/>
  <c r="E240" i="109"/>
  <c r="E238" i="109"/>
  <c r="E235" i="109"/>
  <c r="E233" i="109"/>
  <c r="E231" i="109"/>
  <c r="E229" i="109"/>
  <c r="E227" i="109"/>
  <c r="F241" i="109"/>
  <c r="F239" i="109"/>
  <c r="F237" i="109"/>
  <c r="F234" i="109"/>
  <c r="F232" i="109"/>
  <c r="F230" i="109"/>
  <c r="F228" i="109"/>
  <c r="F238" i="109"/>
  <c r="F233" i="109"/>
  <c r="F229" i="109"/>
  <c r="G244" i="109"/>
  <c r="E239" i="109"/>
  <c r="E234" i="109"/>
  <c r="E230" i="109"/>
  <c r="F240" i="109"/>
  <c r="F231" i="109"/>
  <c r="F235" i="109"/>
  <c r="E228" i="109"/>
  <c r="E241" i="109"/>
  <c r="E232" i="109"/>
  <c r="C224" i="109"/>
  <c r="F227" i="109"/>
  <c r="E237" i="109"/>
  <c r="E284" i="109"/>
  <c r="E282" i="109"/>
  <c r="E279" i="109"/>
  <c r="E277" i="109"/>
  <c r="E275" i="109"/>
  <c r="E273" i="109"/>
  <c r="E271" i="109"/>
  <c r="F285" i="109"/>
  <c r="F283" i="109"/>
  <c r="F281" i="109"/>
  <c r="F278" i="109"/>
  <c r="F276" i="109"/>
  <c r="F274" i="109"/>
  <c r="F272" i="109"/>
  <c r="F282" i="109"/>
  <c r="F277" i="109"/>
  <c r="F273" i="109"/>
  <c r="G288" i="109"/>
  <c r="E283" i="109"/>
  <c r="E278" i="109"/>
  <c r="E274" i="109"/>
  <c r="C268" i="109"/>
  <c r="F279" i="109"/>
  <c r="F271" i="109"/>
  <c r="F284" i="109"/>
  <c r="E276" i="109"/>
  <c r="E281" i="109"/>
  <c r="E272" i="109"/>
  <c r="F275" i="109"/>
  <c r="E285" i="109"/>
  <c r="E328" i="109"/>
  <c r="E326" i="109"/>
  <c r="E323" i="109"/>
  <c r="E321" i="109"/>
  <c r="E319" i="109"/>
  <c r="E317" i="109"/>
  <c r="E315" i="109"/>
  <c r="F329" i="109"/>
  <c r="F327" i="109"/>
  <c r="F325" i="109"/>
  <c r="F322" i="109"/>
  <c r="F320" i="109"/>
  <c r="F318" i="109"/>
  <c r="F316" i="109"/>
  <c r="F326" i="109"/>
  <c r="F321" i="109"/>
  <c r="F317" i="109"/>
  <c r="E327" i="109"/>
  <c r="E322" i="109"/>
  <c r="E318" i="109"/>
  <c r="C312" i="109"/>
  <c r="F328" i="109"/>
  <c r="F319" i="109"/>
  <c r="F315" i="109"/>
  <c r="E325" i="109"/>
  <c r="E329" i="109"/>
  <c r="E320" i="109"/>
  <c r="F323" i="109"/>
  <c r="G332" i="109"/>
  <c r="E316" i="109"/>
  <c r="E372" i="109"/>
  <c r="E370" i="109"/>
  <c r="E367" i="109"/>
  <c r="E365" i="109"/>
  <c r="E363" i="109"/>
  <c r="E361" i="109"/>
  <c r="E359" i="109"/>
  <c r="F373" i="109"/>
  <c r="F371" i="109"/>
  <c r="F369" i="109"/>
  <c r="F366" i="109"/>
  <c r="F364" i="109"/>
  <c r="F362" i="109"/>
  <c r="F360" i="109"/>
  <c r="F370" i="109"/>
  <c r="F365" i="109"/>
  <c r="F361" i="109"/>
  <c r="E371" i="109"/>
  <c r="E366" i="109"/>
  <c r="E362" i="109"/>
  <c r="F367" i="109"/>
  <c r="F359" i="109"/>
  <c r="G376" i="109"/>
  <c r="F363" i="109"/>
  <c r="E373" i="109"/>
  <c r="C356" i="109"/>
  <c r="E369" i="109"/>
  <c r="E360" i="109"/>
  <c r="F372" i="109"/>
  <c r="E364" i="109"/>
  <c r="E416" i="109"/>
  <c r="E414" i="109"/>
  <c r="E411" i="109"/>
  <c r="E409" i="109"/>
  <c r="E407" i="109"/>
  <c r="E405" i="109"/>
  <c r="E403" i="109"/>
  <c r="F417" i="109"/>
  <c r="F415" i="109"/>
  <c r="F413" i="109"/>
  <c r="F410" i="109"/>
  <c r="F408" i="109"/>
  <c r="F406" i="109"/>
  <c r="F404" i="109"/>
  <c r="F414" i="109"/>
  <c r="F409" i="109"/>
  <c r="F405" i="109"/>
  <c r="C400" i="109"/>
  <c r="E415" i="109"/>
  <c r="E410" i="109"/>
  <c r="E406" i="109"/>
  <c r="G420" i="109"/>
  <c r="F416" i="109"/>
  <c r="F407" i="109"/>
  <c r="F411" i="109"/>
  <c r="E404" i="109"/>
  <c r="E417" i="109"/>
  <c r="E408" i="109"/>
  <c r="F403" i="109"/>
  <c r="E413" i="109"/>
  <c r="E460" i="109"/>
  <c r="E458" i="109"/>
  <c r="E455" i="109"/>
  <c r="E453" i="109"/>
  <c r="E451" i="109"/>
  <c r="E449" i="109"/>
  <c r="E447" i="109"/>
  <c r="F461" i="109"/>
  <c r="F459" i="109"/>
  <c r="F457" i="109"/>
  <c r="F454" i="109"/>
  <c r="F452" i="109"/>
  <c r="F450" i="109"/>
  <c r="F448" i="109"/>
  <c r="F458" i="109"/>
  <c r="F453" i="109"/>
  <c r="F449" i="109"/>
  <c r="E459" i="109"/>
  <c r="E454" i="109"/>
  <c r="E450" i="109"/>
  <c r="C444" i="109"/>
  <c r="F455" i="109"/>
  <c r="F447" i="109"/>
  <c r="F460" i="109"/>
  <c r="E452" i="109"/>
  <c r="E457" i="109"/>
  <c r="E448" i="109"/>
  <c r="F451" i="109"/>
  <c r="E461" i="109"/>
  <c r="E504" i="109"/>
  <c r="E502" i="109"/>
  <c r="E499" i="109"/>
  <c r="E497" i="109"/>
  <c r="E495" i="109"/>
  <c r="E493" i="109"/>
  <c r="E491" i="109"/>
  <c r="F505" i="109"/>
  <c r="F503" i="109"/>
  <c r="F501" i="109"/>
  <c r="F498" i="109"/>
  <c r="F496" i="109"/>
  <c r="F494" i="109"/>
  <c r="F492" i="109"/>
  <c r="G508" i="109"/>
  <c r="C488" i="109"/>
  <c r="F502" i="109"/>
  <c r="F497" i="109"/>
  <c r="F493" i="109"/>
  <c r="E503" i="109"/>
  <c r="E498" i="109"/>
  <c r="E494" i="109"/>
  <c r="F504" i="109"/>
  <c r="F495" i="109"/>
  <c r="F491" i="109"/>
  <c r="E501" i="109"/>
  <c r="E505" i="109"/>
  <c r="E496" i="109"/>
  <c r="F499" i="109"/>
  <c r="E492" i="109"/>
  <c r="E548" i="109"/>
  <c r="E546" i="109"/>
  <c r="E543" i="109"/>
  <c r="E541" i="109"/>
  <c r="E539" i="109"/>
  <c r="E537" i="109"/>
  <c r="E535" i="109"/>
  <c r="G552" i="109"/>
  <c r="C532" i="109"/>
  <c r="F549" i="109"/>
  <c r="F547" i="109"/>
  <c r="F545" i="109"/>
  <c r="F542" i="109"/>
  <c r="F540" i="109"/>
  <c r="F538" i="109"/>
  <c r="F536" i="109"/>
  <c r="F546" i="109"/>
  <c r="F541" i="109"/>
  <c r="F537" i="109"/>
  <c r="E547" i="109"/>
  <c r="E542" i="109"/>
  <c r="E538" i="109"/>
  <c r="F543" i="109"/>
  <c r="F535" i="109"/>
  <c r="F539" i="109"/>
  <c r="E549" i="109"/>
  <c r="E545" i="109"/>
  <c r="E536" i="109"/>
  <c r="F548" i="109"/>
  <c r="E540" i="109"/>
  <c r="E592" i="109"/>
  <c r="E590" i="109"/>
  <c r="E587" i="109"/>
  <c r="E585" i="109"/>
  <c r="E583" i="109"/>
  <c r="E581" i="109"/>
  <c r="E579" i="109"/>
  <c r="F593" i="109"/>
  <c r="F591" i="109"/>
  <c r="F589" i="109"/>
  <c r="F586" i="109"/>
  <c r="F584" i="109"/>
  <c r="F582" i="109"/>
  <c r="F580" i="109"/>
  <c r="F590" i="109"/>
  <c r="F585" i="109"/>
  <c r="F581" i="109"/>
  <c r="C576" i="109"/>
  <c r="E591" i="109"/>
  <c r="E586" i="109"/>
  <c r="E582" i="109"/>
  <c r="F592" i="109"/>
  <c r="F583" i="109"/>
  <c r="G596" i="109"/>
  <c r="F587" i="109"/>
  <c r="E580" i="109"/>
  <c r="E593" i="109"/>
  <c r="E584" i="109"/>
  <c r="F579" i="109"/>
  <c r="E589" i="109"/>
  <c r="E636" i="109"/>
  <c r="E634" i="109"/>
  <c r="E631" i="109"/>
  <c r="E629" i="109"/>
  <c r="E627" i="109"/>
  <c r="E625" i="109"/>
  <c r="E623" i="109"/>
  <c r="F637" i="109"/>
  <c r="F635" i="109"/>
  <c r="F633" i="109"/>
  <c r="F630" i="109"/>
  <c r="F628" i="109"/>
  <c r="F626" i="109"/>
  <c r="F624" i="109"/>
  <c r="F634" i="109"/>
  <c r="F629" i="109"/>
  <c r="F625" i="109"/>
  <c r="E635" i="109"/>
  <c r="E630" i="109"/>
  <c r="E626" i="109"/>
  <c r="G640" i="109"/>
  <c r="F631" i="109"/>
  <c r="F623" i="109"/>
  <c r="F627" i="109"/>
  <c r="E637" i="109"/>
  <c r="E633" i="109"/>
  <c r="E624" i="109"/>
  <c r="F636" i="109"/>
  <c r="E628" i="109"/>
  <c r="C620" i="109"/>
  <c r="E42" i="109"/>
  <c r="E40" i="109"/>
  <c r="E37" i="109"/>
  <c r="E35" i="109"/>
  <c r="E33" i="109"/>
  <c r="E31" i="109"/>
  <c r="E29" i="109"/>
  <c r="F43" i="109"/>
  <c r="F41" i="109"/>
  <c r="F39" i="109"/>
  <c r="F36" i="109"/>
  <c r="F34" i="109"/>
  <c r="F32" i="109"/>
  <c r="F30" i="109"/>
  <c r="F42" i="109"/>
  <c r="F37" i="109"/>
  <c r="F33" i="109"/>
  <c r="F29" i="109"/>
  <c r="E43" i="109"/>
  <c r="E39" i="109"/>
  <c r="E34" i="109"/>
  <c r="E30" i="109"/>
  <c r="C26" i="109"/>
  <c r="F40" i="109"/>
  <c r="F31" i="109"/>
  <c r="F35" i="109"/>
  <c r="E36" i="109"/>
  <c r="E41" i="109"/>
  <c r="E32" i="109"/>
  <c r="G46" i="109"/>
  <c r="E86" i="109"/>
  <c r="E84" i="109"/>
  <c r="E81" i="109"/>
  <c r="E79" i="109"/>
  <c r="E77" i="109"/>
  <c r="E75" i="109"/>
  <c r="E73" i="109"/>
  <c r="F87" i="109"/>
  <c r="F85" i="109"/>
  <c r="F83" i="109"/>
  <c r="F80" i="109"/>
  <c r="F78" i="109"/>
  <c r="F76" i="109"/>
  <c r="F74" i="109"/>
  <c r="F86" i="109"/>
  <c r="F81" i="109"/>
  <c r="F77" i="109"/>
  <c r="F73" i="109"/>
  <c r="C70" i="109"/>
  <c r="E87" i="109"/>
  <c r="E83" i="109"/>
  <c r="E78" i="109"/>
  <c r="E74" i="109"/>
  <c r="G90" i="109"/>
  <c r="F79" i="109"/>
  <c r="F84" i="109"/>
  <c r="E85" i="109"/>
  <c r="E80" i="109"/>
  <c r="F75" i="109"/>
  <c r="E76" i="109"/>
  <c r="E130" i="109"/>
  <c r="E128" i="109"/>
  <c r="E125" i="109"/>
  <c r="E123" i="109"/>
  <c r="E121" i="109"/>
  <c r="E119" i="109"/>
  <c r="E117" i="109"/>
  <c r="F131" i="109"/>
  <c r="F129" i="109"/>
  <c r="F127" i="109"/>
  <c r="F124" i="109"/>
  <c r="F122" i="109"/>
  <c r="F120" i="109"/>
  <c r="F118" i="109"/>
  <c r="F130" i="109"/>
  <c r="F125" i="109"/>
  <c r="F121" i="109"/>
  <c r="F117" i="109"/>
  <c r="C114" i="109"/>
  <c r="E131" i="109"/>
  <c r="E127" i="109"/>
  <c r="E122" i="109"/>
  <c r="E118" i="109"/>
  <c r="F128" i="109"/>
  <c r="F119" i="109"/>
  <c r="E124" i="109"/>
  <c r="E129" i="109"/>
  <c r="E120" i="109"/>
  <c r="F123" i="109"/>
  <c r="G134" i="109"/>
  <c r="E174" i="109"/>
  <c r="E172" i="109"/>
  <c r="E169" i="109"/>
  <c r="E167" i="109"/>
  <c r="E165" i="109"/>
  <c r="E163" i="109"/>
  <c r="E161" i="109"/>
  <c r="F175" i="109"/>
  <c r="F173" i="109"/>
  <c r="F171" i="109"/>
  <c r="F168" i="109"/>
  <c r="F166" i="109"/>
  <c r="F164" i="109"/>
  <c r="F162" i="109"/>
  <c r="F174" i="109"/>
  <c r="F169" i="109"/>
  <c r="F165" i="109"/>
  <c r="F161" i="109"/>
  <c r="E175" i="109"/>
  <c r="E171" i="109"/>
  <c r="E166" i="109"/>
  <c r="E162" i="109"/>
  <c r="F167" i="109"/>
  <c r="F163" i="109"/>
  <c r="E173" i="109"/>
  <c r="E168" i="109"/>
  <c r="C158" i="109"/>
  <c r="F172" i="109"/>
  <c r="E164" i="109"/>
  <c r="E218" i="109"/>
  <c r="E216" i="109"/>
  <c r="E213" i="109"/>
  <c r="E211" i="109"/>
  <c r="E209" i="109"/>
  <c r="E207" i="109"/>
  <c r="E205" i="109"/>
  <c r="F219" i="109"/>
  <c r="F217" i="109"/>
  <c r="F215" i="109"/>
  <c r="F212" i="109"/>
  <c r="F210" i="109"/>
  <c r="F208" i="109"/>
  <c r="F206" i="109"/>
  <c r="F218" i="109"/>
  <c r="F213" i="109"/>
  <c r="F209" i="109"/>
  <c r="F205" i="109"/>
  <c r="E219" i="109"/>
  <c r="E215" i="109"/>
  <c r="E210" i="109"/>
  <c r="E206" i="109"/>
  <c r="G222" i="109"/>
  <c r="F216" i="109"/>
  <c r="F207" i="109"/>
  <c r="F211" i="109"/>
  <c r="E217" i="109"/>
  <c r="E208" i="109"/>
  <c r="E212" i="109"/>
  <c r="C202" i="109"/>
  <c r="E262" i="109"/>
  <c r="E260" i="109"/>
  <c r="E257" i="109"/>
  <c r="E255" i="109"/>
  <c r="E253" i="109"/>
  <c r="E251" i="109"/>
  <c r="E249" i="109"/>
  <c r="F263" i="109"/>
  <c r="F261" i="109"/>
  <c r="F259" i="109"/>
  <c r="F256" i="109"/>
  <c r="F254" i="109"/>
  <c r="F252" i="109"/>
  <c r="F250" i="109"/>
  <c r="F262" i="109"/>
  <c r="F257" i="109"/>
  <c r="F253" i="109"/>
  <c r="F249" i="109"/>
  <c r="E263" i="109"/>
  <c r="E259" i="109"/>
  <c r="E254" i="109"/>
  <c r="E250" i="109"/>
  <c r="F255" i="109"/>
  <c r="F260" i="109"/>
  <c r="C246" i="109"/>
  <c r="E252" i="109"/>
  <c r="E256" i="109"/>
  <c r="G266" i="109"/>
  <c r="F251" i="109"/>
  <c r="E261" i="109"/>
  <c r="E306" i="109"/>
  <c r="E304" i="109"/>
  <c r="E301" i="109"/>
  <c r="E299" i="109"/>
  <c r="E297" i="109"/>
  <c r="E295" i="109"/>
  <c r="E293" i="109"/>
  <c r="F307" i="109"/>
  <c r="F305" i="109"/>
  <c r="F303" i="109"/>
  <c r="F300" i="109"/>
  <c r="F298" i="109"/>
  <c r="F296" i="109"/>
  <c r="F294" i="109"/>
  <c r="F306" i="109"/>
  <c r="F301" i="109"/>
  <c r="F297" i="109"/>
  <c r="F293" i="109"/>
  <c r="E307" i="109"/>
  <c r="E303" i="109"/>
  <c r="E298" i="109"/>
  <c r="E294" i="109"/>
  <c r="F304" i="109"/>
  <c r="F295" i="109"/>
  <c r="C290" i="109"/>
  <c r="E300" i="109"/>
  <c r="E305" i="109"/>
  <c r="E296" i="109"/>
  <c r="G310" i="109"/>
  <c r="F299" i="109"/>
  <c r="E350" i="109"/>
  <c r="E348" i="109"/>
  <c r="E345" i="109"/>
  <c r="E343" i="109"/>
  <c r="E341" i="109"/>
  <c r="E339" i="109"/>
  <c r="E337" i="109"/>
  <c r="F351" i="109"/>
  <c r="F349" i="109"/>
  <c r="F347" i="109"/>
  <c r="F344" i="109"/>
  <c r="F342" i="109"/>
  <c r="F340" i="109"/>
  <c r="F338" i="109"/>
  <c r="F350" i="109"/>
  <c r="F345" i="109"/>
  <c r="F341" i="109"/>
  <c r="F337" i="109"/>
  <c r="C334" i="109"/>
  <c r="E351" i="109"/>
  <c r="E347" i="109"/>
  <c r="E342" i="109"/>
  <c r="E338" i="109"/>
  <c r="G354" i="109"/>
  <c r="F343" i="109"/>
  <c r="F339" i="109"/>
  <c r="E349" i="109"/>
  <c r="E344" i="109"/>
  <c r="F348" i="109"/>
  <c r="E340" i="109"/>
  <c r="E394" i="109"/>
  <c r="E392" i="109"/>
  <c r="E389" i="109"/>
  <c r="E387" i="109"/>
  <c r="E385" i="109"/>
  <c r="E383" i="109"/>
  <c r="E381" i="109"/>
  <c r="F395" i="109"/>
  <c r="F393" i="109"/>
  <c r="F391" i="109"/>
  <c r="F388" i="109"/>
  <c r="F386" i="109"/>
  <c r="F384" i="109"/>
  <c r="F382" i="109"/>
  <c r="F394" i="109"/>
  <c r="F389" i="109"/>
  <c r="F385" i="109"/>
  <c r="F381" i="109"/>
  <c r="C378" i="109"/>
  <c r="E395" i="109"/>
  <c r="E391" i="109"/>
  <c r="E386" i="109"/>
  <c r="E382" i="109"/>
  <c r="F392" i="109"/>
  <c r="F383" i="109"/>
  <c r="F387" i="109"/>
  <c r="G398" i="109"/>
  <c r="E393" i="109"/>
  <c r="E384" i="109"/>
  <c r="E388" i="109"/>
  <c r="E438" i="109"/>
  <c r="E436" i="109"/>
  <c r="E433" i="109"/>
  <c r="E431" i="109"/>
  <c r="E429" i="109"/>
  <c r="E427" i="109"/>
  <c r="E425" i="109"/>
  <c r="G442" i="109"/>
  <c r="F439" i="109"/>
  <c r="F437" i="109"/>
  <c r="F435" i="109"/>
  <c r="F432" i="109"/>
  <c r="F430" i="109"/>
  <c r="F428" i="109"/>
  <c r="F426" i="109"/>
  <c r="F438" i="109"/>
  <c r="F433" i="109"/>
  <c r="F429" i="109"/>
  <c r="F425" i="109"/>
  <c r="E439" i="109"/>
  <c r="E435" i="109"/>
  <c r="E430" i="109"/>
  <c r="E426" i="109"/>
  <c r="F431" i="109"/>
  <c r="F436" i="109"/>
  <c r="E428" i="109"/>
  <c r="E432" i="109"/>
  <c r="C422" i="109"/>
  <c r="F427" i="109"/>
  <c r="E437" i="109"/>
  <c r="E482" i="109"/>
  <c r="E480" i="109"/>
  <c r="E477" i="109"/>
  <c r="E475" i="109"/>
  <c r="E473" i="109"/>
  <c r="E471" i="109"/>
  <c r="E469" i="109"/>
  <c r="C466" i="109"/>
  <c r="F483" i="109"/>
  <c r="F481" i="109"/>
  <c r="F479" i="109"/>
  <c r="F476" i="109"/>
  <c r="F474" i="109"/>
  <c r="F472" i="109"/>
  <c r="F470" i="109"/>
  <c r="F482" i="109"/>
  <c r="F477" i="109"/>
  <c r="F473" i="109"/>
  <c r="F469" i="109"/>
  <c r="E483" i="109"/>
  <c r="E479" i="109"/>
  <c r="E474" i="109"/>
  <c r="E470" i="109"/>
  <c r="F480" i="109"/>
  <c r="F471" i="109"/>
  <c r="E476" i="109"/>
  <c r="E481" i="109"/>
  <c r="E472" i="109"/>
  <c r="F475" i="109"/>
  <c r="E526" i="109"/>
  <c r="E524" i="109"/>
  <c r="E521" i="109"/>
  <c r="E519" i="109"/>
  <c r="E517" i="109"/>
  <c r="E515" i="109"/>
  <c r="E513" i="109"/>
  <c r="F527" i="109"/>
  <c r="F525" i="109"/>
  <c r="F523" i="109"/>
  <c r="F520" i="109"/>
  <c r="F518" i="109"/>
  <c r="F516" i="109"/>
  <c r="F514" i="109"/>
  <c r="F526" i="109"/>
  <c r="F521" i="109"/>
  <c r="F517" i="109"/>
  <c r="F513" i="109"/>
  <c r="E527" i="109"/>
  <c r="E523" i="109"/>
  <c r="E518" i="109"/>
  <c r="E514" i="109"/>
  <c r="G530" i="109"/>
  <c r="F519" i="109"/>
  <c r="F515" i="109"/>
  <c r="C510" i="109"/>
  <c r="E525" i="109"/>
  <c r="E520" i="109"/>
  <c r="F524" i="109"/>
  <c r="E516" i="109"/>
  <c r="E570" i="109"/>
  <c r="E568" i="109"/>
  <c r="E565" i="109"/>
  <c r="E563" i="109"/>
  <c r="E561" i="109"/>
  <c r="E559" i="109"/>
  <c r="E557" i="109"/>
  <c r="F571" i="109"/>
  <c r="F569" i="109"/>
  <c r="F567" i="109"/>
  <c r="F564" i="109"/>
  <c r="F562" i="109"/>
  <c r="F560" i="109"/>
  <c r="F558" i="109"/>
  <c r="G574" i="109"/>
  <c r="F570" i="109"/>
  <c r="F565" i="109"/>
  <c r="F561" i="109"/>
  <c r="F557" i="109"/>
  <c r="E571" i="109"/>
  <c r="E567" i="109"/>
  <c r="E562" i="109"/>
  <c r="E558" i="109"/>
  <c r="C554" i="109"/>
  <c r="F568" i="109"/>
  <c r="F559" i="109"/>
  <c r="F563" i="109"/>
  <c r="E569" i="109"/>
  <c r="E560" i="109"/>
  <c r="E564" i="109"/>
  <c r="E614" i="109"/>
  <c r="E612" i="109"/>
  <c r="E609" i="109"/>
  <c r="E607" i="109"/>
  <c r="E605" i="109"/>
  <c r="E603" i="109"/>
  <c r="E601" i="109"/>
  <c r="G618" i="109"/>
  <c r="F615" i="109"/>
  <c r="F613" i="109"/>
  <c r="F611" i="109"/>
  <c r="F608" i="109"/>
  <c r="F606" i="109"/>
  <c r="F604" i="109"/>
  <c r="F602" i="109"/>
  <c r="C598" i="109"/>
  <c r="F614" i="109"/>
  <c r="F609" i="109"/>
  <c r="F605" i="109"/>
  <c r="F601" i="109"/>
  <c r="E615" i="109"/>
  <c r="E611" i="109"/>
  <c r="E606" i="109"/>
  <c r="E602" i="109"/>
  <c r="F607" i="109"/>
  <c r="F603" i="109"/>
  <c r="E604" i="109"/>
  <c r="E608" i="109"/>
  <c r="F612" i="109"/>
  <c r="E613" i="109"/>
  <c r="E20" i="108"/>
  <c r="E18" i="108"/>
  <c r="E15" i="108"/>
  <c r="E13" i="108"/>
  <c r="E11" i="108"/>
  <c r="E9" i="108"/>
  <c r="E7" i="108"/>
  <c r="F21" i="108"/>
  <c r="F19" i="108"/>
  <c r="F17" i="108"/>
  <c r="F14" i="108"/>
  <c r="F12" i="108"/>
  <c r="F10" i="108"/>
  <c r="F8" i="108"/>
  <c r="F20" i="108"/>
  <c r="F15" i="108"/>
  <c r="F11" i="108"/>
  <c r="F7" i="108"/>
  <c r="E21" i="108"/>
  <c r="E17" i="108"/>
  <c r="E12" i="108"/>
  <c r="E8" i="108"/>
  <c r="G24" i="108"/>
  <c r="C4" i="108"/>
  <c r="F18" i="108"/>
  <c r="F9" i="108"/>
  <c r="E10" i="108"/>
  <c r="F13" i="108"/>
  <c r="E14" i="108"/>
  <c r="E19" i="108"/>
  <c r="E108" i="108"/>
  <c r="E106" i="108"/>
  <c r="E103" i="108"/>
  <c r="E101" i="108"/>
  <c r="E99" i="108"/>
  <c r="E97" i="108"/>
  <c r="E95" i="108"/>
  <c r="F109" i="108"/>
  <c r="F107" i="108"/>
  <c r="F105" i="108"/>
  <c r="F102" i="108"/>
  <c r="F100" i="108"/>
  <c r="F98" i="108"/>
  <c r="F96" i="108"/>
  <c r="F108" i="108"/>
  <c r="F103" i="108"/>
  <c r="F99" i="108"/>
  <c r="F95" i="108"/>
  <c r="E109" i="108"/>
  <c r="E105" i="108"/>
  <c r="E100" i="108"/>
  <c r="E96" i="108"/>
  <c r="G112" i="108"/>
  <c r="F106" i="108"/>
  <c r="F97" i="108"/>
  <c r="E107" i="108"/>
  <c r="C92" i="108"/>
  <c r="E102" i="108"/>
  <c r="E98" i="108"/>
  <c r="F101" i="108"/>
  <c r="E196" i="108"/>
  <c r="E194" i="108"/>
  <c r="E191" i="108"/>
  <c r="E189" i="108"/>
  <c r="E187" i="108"/>
  <c r="E185" i="108"/>
  <c r="E183" i="108"/>
  <c r="F197" i="108"/>
  <c r="F195" i="108"/>
  <c r="F193" i="108"/>
  <c r="F190" i="108"/>
  <c r="F188" i="108"/>
  <c r="F186" i="108"/>
  <c r="F184" i="108"/>
  <c r="F196" i="108"/>
  <c r="F191" i="108"/>
  <c r="F187" i="108"/>
  <c r="F183" i="108"/>
  <c r="E197" i="108"/>
  <c r="E193" i="108"/>
  <c r="E188" i="108"/>
  <c r="E184" i="108"/>
  <c r="G200" i="108"/>
  <c r="C180" i="108"/>
  <c r="F194" i="108"/>
  <c r="F185" i="108"/>
  <c r="E186" i="108"/>
  <c r="F189" i="108"/>
  <c r="E190" i="108"/>
  <c r="E195" i="108"/>
  <c r="E284" i="108"/>
  <c r="E282" i="108"/>
  <c r="E279" i="108"/>
  <c r="E277" i="108"/>
  <c r="E275" i="108"/>
  <c r="E273" i="108"/>
  <c r="E271" i="108"/>
  <c r="F285" i="108"/>
  <c r="F283" i="108"/>
  <c r="F281" i="108"/>
  <c r="F278" i="108"/>
  <c r="F276" i="108"/>
  <c r="F274" i="108"/>
  <c r="F272" i="108"/>
  <c r="F284" i="108"/>
  <c r="F279" i="108"/>
  <c r="F275" i="108"/>
  <c r="F271" i="108"/>
  <c r="F277" i="108"/>
  <c r="E285" i="108"/>
  <c r="E281" i="108"/>
  <c r="E276" i="108"/>
  <c r="E272" i="108"/>
  <c r="G288" i="108"/>
  <c r="F282" i="108"/>
  <c r="F273" i="108"/>
  <c r="E278" i="108"/>
  <c r="E274" i="108"/>
  <c r="E283" i="108"/>
  <c r="C268" i="108"/>
  <c r="E372" i="108"/>
  <c r="E370" i="108"/>
  <c r="E367" i="108"/>
  <c r="E365" i="108"/>
  <c r="E363" i="108"/>
  <c r="E361" i="108"/>
  <c r="E359" i="108"/>
  <c r="F373" i="108"/>
  <c r="F371" i="108"/>
  <c r="F369" i="108"/>
  <c r="F366" i="108"/>
  <c r="F364" i="108"/>
  <c r="F362" i="108"/>
  <c r="F360" i="108"/>
  <c r="G376" i="108"/>
  <c r="F372" i="108"/>
  <c r="F367" i="108"/>
  <c r="F363" i="108"/>
  <c r="F359" i="108"/>
  <c r="C356" i="108"/>
  <c r="F365" i="108"/>
  <c r="E373" i="108"/>
  <c r="E369" i="108"/>
  <c r="E364" i="108"/>
  <c r="E360" i="108"/>
  <c r="F370" i="108"/>
  <c r="F361" i="108"/>
  <c r="E362" i="108"/>
  <c r="E366" i="108"/>
  <c r="E371" i="108"/>
  <c r="E460" i="108"/>
  <c r="E458" i="108"/>
  <c r="E455" i="108"/>
  <c r="E453" i="108"/>
  <c r="E451" i="108"/>
  <c r="E449" i="108"/>
  <c r="E447" i="108"/>
  <c r="F461" i="108"/>
  <c r="F459" i="108"/>
  <c r="F457" i="108"/>
  <c r="F454" i="108"/>
  <c r="F452" i="108"/>
  <c r="F450" i="108"/>
  <c r="F448" i="108"/>
  <c r="F460" i="108"/>
  <c r="F455" i="108"/>
  <c r="F451" i="108"/>
  <c r="F447" i="108"/>
  <c r="F458" i="108"/>
  <c r="F449" i="108"/>
  <c r="E461" i="108"/>
  <c r="E457" i="108"/>
  <c r="E452" i="108"/>
  <c r="E448" i="108"/>
  <c r="G464" i="108"/>
  <c r="C444" i="108"/>
  <c r="F453" i="108"/>
  <c r="E454" i="108"/>
  <c r="E459" i="108"/>
  <c r="E450" i="108"/>
  <c r="E548" i="108"/>
  <c r="E546" i="108"/>
  <c r="E543" i="108"/>
  <c r="E541" i="108"/>
  <c r="E539" i="108"/>
  <c r="E537" i="108"/>
  <c r="E535" i="108"/>
  <c r="C532" i="108"/>
  <c r="F549" i="108"/>
  <c r="F547" i="108"/>
  <c r="F545" i="108"/>
  <c r="F542" i="108"/>
  <c r="F540" i="108"/>
  <c r="F538" i="108"/>
  <c r="F536" i="108"/>
  <c r="F548" i="108"/>
  <c r="F543" i="108"/>
  <c r="F539" i="108"/>
  <c r="F535" i="108"/>
  <c r="F546" i="108"/>
  <c r="F537" i="108"/>
  <c r="E549" i="108"/>
  <c r="E545" i="108"/>
  <c r="E540" i="108"/>
  <c r="E536" i="108"/>
  <c r="G552" i="108"/>
  <c r="F541" i="108"/>
  <c r="E542" i="108"/>
  <c r="E547" i="108"/>
  <c r="E538" i="108"/>
  <c r="E42" i="108"/>
  <c r="E40" i="108"/>
  <c r="E37" i="108"/>
  <c r="E35" i="108"/>
  <c r="E33" i="108"/>
  <c r="E31" i="108"/>
  <c r="E29" i="108"/>
  <c r="F43" i="108"/>
  <c r="F41" i="108"/>
  <c r="F39" i="108"/>
  <c r="F36" i="108"/>
  <c r="F34" i="108"/>
  <c r="F32" i="108"/>
  <c r="F30" i="108"/>
  <c r="F40" i="108"/>
  <c r="F35" i="108"/>
  <c r="F31" i="108"/>
  <c r="E41" i="108"/>
  <c r="E36" i="108"/>
  <c r="E32" i="108"/>
  <c r="F42" i="108"/>
  <c r="F33" i="108"/>
  <c r="G46" i="108"/>
  <c r="E34" i="108"/>
  <c r="F37" i="108"/>
  <c r="C26" i="108"/>
  <c r="E39" i="108"/>
  <c r="E30" i="108"/>
  <c r="E43" i="108"/>
  <c r="F29" i="108"/>
  <c r="E86" i="108"/>
  <c r="E84" i="108"/>
  <c r="E81" i="108"/>
  <c r="E79" i="108"/>
  <c r="E77" i="108"/>
  <c r="E75" i="108"/>
  <c r="E73" i="108"/>
  <c r="F87" i="108"/>
  <c r="F85" i="108"/>
  <c r="F83" i="108"/>
  <c r="F80" i="108"/>
  <c r="F78" i="108"/>
  <c r="F76" i="108"/>
  <c r="F74" i="108"/>
  <c r="F84" i="108"/>
  <c r="F79" i="108"/>
  <c r="F75" i="108"/>
  <c r="C70" i="108"/>
  <c r="E85" i="108"/>
  <c r="E80" i="108"/>
  <c r="E76" i="108"/>
  <c r="G90" i="108"/>
  <c r="F81" i="108"/>
  <c r="F73" i="108"/>
  <c r="E83" i="108"/>
  <c r="F86" i="108"/>
  <c r="E87" i="108"/>
  <c r="E78" i="108"/>
  <c r="E74" i="108"/>
  <c r="F77" i="108"/>
  <c r="E130" i="108"/>
  <c r="E128" i="108"/>
  <c r="E125" i="108"/>
  <c r="E123" i="108"/>
  <c r="E121" i="108"/>
  <c r="E119" i="108"/>
  <c r="E117" i="108"/>
  <c r="F131" i="108"/>
  <c r="F129" i="108"/>
  <c r="F127" i="108"/>
  <c r="F124" i="108"/>
  <c r="F122" i="108"/>
  <c r="F120" i="108"/>
  <c r="F118" i="108"/>
  <c r="F128" i="108"/>
  <c r="F123" i="108"/>
  <c r="F119" i="108"/>
  <c r="E129" i="108"/>
  <c r="E124" i="108"/>
  <c r="E120" i="108"/>
  <c r="F130" i="108"/>
  <c r="F121" i="108"/>
  <c r="C114" i="108"/>
  <c r="E131" i="108"/>
  <c r="F117" i="108"/>
  <c r="E127" i="108"/>
  <c r="E118" i="108"/>
  <c r="G134" i="108"/>
  <c r="E122" i="108"/>
  <c r="F125" i="108"/>
  <c r="E174" i="108"/>
  <c r="E172" i="108"/>
  <c r="E169" i="108"/>
  <c r="E167" i="108"/>
  <c r="E165" i="108"/>
  <c r="E163" i="108"/>
  <c r="E161" i="108"/>
  <c r="F175" i="108"/>
  <c r="F173" i="108"/>
  <c r="F171" i="108"/>
  <c r="F168" i="108"/>
  <c r="F166" i="108"/>
  <c r="F164" i="108"/>
  <c r="F162" i="108"/>
  <c r="F172" i="108"/>
  <c r="F167" i="108"/>
  <c r="F163" i="108"/>
  <c r="E173" i="108"/>
  <c r="E168" i="108"/>
  <c r="E164" i="108"/>
  <c r="C158" i="108"/>
  <c r="F169" i="108"/>
  <c r="F161" i="108"/>
  <c r="E162" i="108"/>
  <c r="F165" i="108"/>
  <c r="E175" i="108"/>
  <c r="E166" i="108"/>
  <c r="E171" i="108"/>
  <c r="G178" i="108"/>
  <c r="F174" i="108"/>
  <c r="E218" i="108"/>
  <c r="E216" i="108"/>
  <c r="E213" i="108"/>
  <c r="E211" i="108"/>
  <c r="E209" i="108"/>
  <c r="E207" i="108"/>
  <c r="E205" i="108"/>
  <c r="F219" i="108"/>
  <c r="F217" i="108"/>
  <c r="F215" i="108"/>
  <c r="F212" i="108"/>
  <c r="F210" i="108"/>
  <c r="F208" i="108"/>
  <c r="F206" i="108"/>
  <c r="F216" i="108"/>
  <c r="F211" i="108"/>
  <c r="F207" i="108"/>
  <c r="F213" i="108"/>
  <c r="E217" i="108"/>
  <c r="E212" i="108"/>
  <c r="E208" i="108"/>
  <c r="F218" i="108"/>
  <c r="F209" i="108"/>
  <c r="E210" i="108"/>
  <c r="G222" i="108"/>
  <c r="E215" i="108"/>
  <c r="E219" i="108"/>
  <c r="E206" i="108"/>
  <c r="C202" i="108"/>
  <c r="F205" i="108"/>
  <c r="E262" i="108"/>
  <c r="E260" i="108"/>
  <c r="E257" i="108"/>
  <c r="E255" i="108"/>
  <c r="E253" i="108"/>
  <c r="E251" i="108"/>
  <c r="E249" i="108"/>
  <c r="F263" i="108"/>
  <c r="F261" i="108"/>
  <c r="F259" i="108"/>
  <c r="F256" i="108"/>
  <c r="F254" i="108"/>
  <c r="F252" i="108"/>
  <c r="F250" i="108"/>
  <c r="F260" i="108"/>
  <c r="F255" i="108"/>
  <c r="F251" i="108"/>
  <c r="C246" i="108"/>
  <c r="F262" i="108"/>
  <c r="F253" i="108"/>
  <c r="E261" i="108"/>
  <c r="E256" i="108"/>
  <c r="E252" i="108"/>
  <c r="G266" i="108"/>
  <c r="F257" i="108"/>
  <c r="F249" i="108"/>
  <c r="E254" i="108"/>
  <c r="E259" i="108"/>
  <c r="E263" i="108"/>
  <c r="E250" i="108"/>
  <c r="E306" i="108"/>
  <c r="E304" i="108"/>
  <c r="E301" i="108"/>
  <c r="E299" i="108"/>
  <c r="E297" i="108"/>
  <c r="E295" i="108"/>
  <c r="E293" i="108"/>
  <c r="F307" i="108"/>
  <c r="F305" i="108"/>
  <c r="F303" i="108"/>
  <c r="F300" i="108"/>
  <c r="F298" i="108"/>
  <c r="F296" i="108"/>
  <c r="F294" i="108"/>
  <c r="F304" i="108"/>
  <c r="F299" i="108"/>
  <c r="F295" i="108"/>
  <c r="F301" i="108"/>
  <c r="F293" i="108"/>
  <c r="E305" i="108"/>
  <c r="E300" i="108"/>
  <c r="E296" i="108"/>
  <c r="F306" i="108"/>
  <c r="F297" i="108"/>
  <c r="E303" i="108"/>
  <c r="E307" i="108"/>
  <c r="G310" i="108"/>
  <c r="E298" i="108"/>
  <c r="C290" i="108"/>
  <c r="E294" i="108"/>
  <c r="E350" i="108"/>
  <c r="E348" i="108"/>
  <c r="E345" i="108"/>
  <c r="E343" i="108"/>
  <c r="E341" i="108"/>
  <c r="E339" i="108"/>
  <c r="E337" i="108"/>
  <c r="F351" i="108"/>
  <c r="F349" i="108"/>
  <c r="F347" i="108"/>
  <c r="F344" i="108"/>
  <c r="F342" i="108"/>
  <c r="F340" i="108"/>
  <c r="F338" i="108"/>
  <c r="G354" i="108"/>
  <c r="F348" i="108"/>
  <c r="F343" i="108"/>
  <c r="F339" i="108"/>
  <c r="C334" i="108"/>
  <c r="F350" i="108"/>
  <c r="F341" i="108"/>
  <c r="E349" i="108"/>
  <c r="E344" i="108"/>
  <c r="E340" i="108"/>
  <c r="F345" i="108"/>
  <c r="F337" i="108"/>
  <c r="E351" i="108"/>
  <c r="E347" i="108"/>
  <c r="E338" i="108"/>
  <c r="E342" i="108"/>
  <c r="E394" i="108"/>
  <c r="E392" i="108"/>
  <c r="E389" i="108"/>
  <c r="E387" i="108"/>
  <c r="E385" i="108"/>
  <c r="E383" i="108"/>
  <c r="E381" i="108"/>
  <c r="G398" i="108"/>
  <c r="F395" i="108"/>
  <c r="F393" i="108"/>
  <c r="F391" i="108"/>
  <c r="F388" i="108"/>
  <c r="F386" i="108"/>
  <c r="F384" i="108"/>
  <c r="F382" i="108"/>
  <c r="F392" i="108"/>
  <c r="F387" i="108"/>
  <c r="F383" i="108"/>
  <c r="C378" i="108"/>
  <c r="F394" i="108"/>
  <c r="F381" i="108"/>
  <c r="E393" i="108"/>
  <c r="E388" i="108"/>
  <c r="E384" i="108"/>
  <c r="F389" i="108"/>
  <c r="F385" i="108"/>
  <c r="E382" i="108"/>
  <c r="E395" i="108"/>
  <c r="E386" i="108"/>
  <c r="E391" i="108"/>
  <c r="E438" i="108"/>
  <c r="E436" i="108"/>
  <c r="E433" i="108"/>
  <c r="E431" i="108"/>
  <c r="E429" i="108"/>
  <c r="E427" i="108"/>
  <c r="E425" i="108"/>
  <c r="G442" i="108"/>
  <c r="F439" i="108"/>
  <c r="F437" i="108"/>
  <c r="F435" i="108"/>
  <c r="F432" i="108"/>
  <c r="F430" i="108"/>
  <c r="F428" i="108"/>
  <c r="F426" i="108"/>
  <c r="F436" i="108"/>
  <c r="F431" i="108"/>
  <c r="F427" i="108"/>
  <c r="F433" i="108"/>
  <c r="F425" i="108"/>
  <c r="E437" i="108"/>
  <c r="E432" i="108"/>
  <c r="E428" i="108"/>
  <c r="F438" i="108"/>
  <c r="F429" i="108"/>
  <c r="E430" i="108"/>
  <c r="E426" i="108"/>
  <c r="C422" i="108"/>
  <c r="E435" i="108"/>
  <c r="E439" i="108"/>
  <c r="E482" i="108"/>
  <c r="E480" i="108"/>
  <c r="E477" i="108"/>
  <c r="E475" i="108"/>
  <c r="E473" i="108"/>
  <c r="E471" i="108"/>
  <c r="E469" i="108"/>
  <c r="G486" i="108"/>
  <c r="C466" i="108"/>
  <c r="F483" i="108"/>
  <c r="F481" i="108"/>
  <c r="F479" i="108"/>
  <c r="F476" i="108"/>
  <c r="F474" i="108"/>
  <c r="F472" i="108"/>
  <c r="F470" i="108"/>
  <c r="F480" i="108"/>
  <c r="F475" i="108"/>
  <c r="F471" i="108"/>
  <c r="F482" i="108"/>
  <c r="F473" i="108"/>
  <c r="E481" i="108"/>
  <c r="E476" i="108"/>
  <c r="E472" i="108"/>
  <c r="F477" i="108"/>
  <c r="F469" i="108"/>
  <c r="E479" i="108"/>
  <c r="E470" i="108"/>
  <c r="E474" i="108"/>
  <c r="E483" i="108"/>
  <c r="E526" i="108"/>
  <c r="E524" i="108"/>
  <c r="E521" i="108"/>
  <c r="E519" i="108"/>
  <c r="E517" i="108"/>
  <c r="E515" i="108"/>
  <c r="E513" i="108"/>
  <c r="F527" i="108"/>
  <c r="F525" i="108"/>
  <c r="F523" i="108"/>
  <c r="F520" i="108"/>
  <c r="F518" i="108"/>
  <c r="F516" i="108"/>
  <c r="F514" i="108"/>
  <c r="C510" i="108"/>
  <c r="F524" i="108"/>
  <c r="F519" i="108"/>
  <c r="F515" i="108"/>
  <c r="F521" i="108"/>
  <c r="F513" i="108"/>
  <c r="E525" i="108"/>
  <c r="E520" i="108"/>
  <c r="E516" i="108"/>
  <c r="G530" i="108"/>
  <c r="F526" i="108"/>
  <c r="F517" i="108"/>
  <c r="E527" i="108"/>
  <c r="E514" i="108"/>
  <c r="E518" i="108"/>
  <c r="E523" i="108"/>
  <c r="E570" i="108"/>
  <c r="E568" i="108"/>
  <c r="E565" i="108"/>
  <c r="E563" i="108"/>
  <c r="E561" i="108"/>
  <c r="E559" i="108"/>
  <c r="E557" i="108"/>
  <c r="C554" i="108"/>
  <c r="F571" i="108"/>
  <c r="F569" i="108"/>
  <c r="F567" i="108"/>
  <c r="F564" i="108"/>
  <c r="F562" i="108"/>
  <c r="F560" i="108"/>
  <c r="F558" i="108"/>
  <c r="F568" i="108"/>
  <c r="F563" i="108"/>
  <c r="F559" i="108"/>
  <c r="F565" i="108"/>
  <c r="F561" i="108"/>
  <c r="E569" i="108"/>
  <c r="E564" i="108"/>
  <c r="E560" i="108"/>
  <c r="F570" i="108"/>
  <c r="F557" i="108"/>
  <c r="E558" i="108"/>
  <c r="E562" i="108"/>
  <c r="E571" i="108"/>
  <c r="G574" i="108"/>
  <c r="E567" i="108"/>
  <c r="E64" i="108"/>
  <c r="E62" i="108"/>
  <c r="E59" i="108"/>
  <c r="E57" i="108"/>
  <c r="E55" i="108"/>
  <c r="E53" i="108"/>
  <c r="E51" i="108"/>
  <c r="F65" i="108"/>
  <c r="F63" i="108"/>
  <c r="F61" i="108"/>
  <c r="F58" i="108"/>
  <c r="F56" i="108"/>
  <c r="F54" i="108"/>
  <c r="F52" i="108"/>
  <c r="F64" i="108"/>
  <c r="F59" i="108"/>
  <c r="F55" i="108"/>
  <c r="F51" i="108"/>
  <c r="E65" i="108"/>
  <c r="E61" i="108"/>
  <c r="E56" i="108"/>
  <c r="E52" i="108"/>
  <c r="F57" i="108"/>
  <c r="E58" i="108"/>
  <c r="C48" i="108"/>
  <c r="F62" i="108"/>
  <c r="E63" i="108"/>
  <c r="E54" i="108"/>
  <c r="G68" i="108"/>
  <c r="F53" i="108"/>
  <c r="E152" i="108"/>
  <c r="E150" i="108"/>
  <c r="E147" i="108"/>
  <c r="E145" i="108"/>
  <c r="E143" i="108"/>
  <c r="E141" i="108"/>
  <c r="E139" i="108"/>
  <c r="F153" i="108"/>
  <c r="F151" i="108"/>
  <c r="F149" i="108"/>
  <c r="F146" i="108"/>
  <c r="F144" i="108"/>
  <c r="F142" i="108"/>
  <c r="F140" i="108"/>
  <c r="F152" i="108"/>
  <c r="F147" i="108"/>
  <c r="F143" i="108"/>
  <c r="F139" i="108"/>
  <c r="G156" i="108"/>
  <c r="C136" i="108"/>
  <c r="E153" i="108"/>
  <c r="E149" i="108"/>
  <c r="E144" i="108"/>
  <c r="E140" i="108"/>
  <c r="F145" i="108"/>
  <c r="F141" i="108"/>
  <c r="E151" i="108"/>
  <c r="E142" i="108"/>
  <c r="E146" i="108"/>
  <c r="F150" i="108"/>
  <c r="E240" i="108"/>
  <c r="E238" i="108"/>
  <c r="E235" i="108"/>
  <c r="E233" i="108"/>
  <c r="E231" i="108"/>
  <c r="E229" i="108"/>
  <c r="E227" i="108"/>
  <c r="F241" i="108"/>
  <c r="F239" i="108"/>
  <c r="F237" i="108"/>
  <c r="F234" i="108"/>
  <c r="F232" i="108"/>
  <c r="F230" i="108"/>
  <c r="F228" i="108"/>
  <c r="F240" i="108"/>
  <c r="F235" i="108"/>
  <c r="F231" i="108"/>
  <c r="F227" i="108"/>
  <c r="F238" i="108"/>
  <c r="F229" i="108"/>
  <c r="E241" i="108"/>
  <c r="E237" i="108"/>
  <c r="E232" i="108"/>
  <c r="E228" i="108"/>
  <c r="C224" i="108"/>
  <c r="F233" i="108"/>
  <c r="E230" i="108"/>
  <c r="E234" i="108"/>
  <c r="E239" i="108"/>
  <c r="G244" i="108"/>
  <c r="E328" i="108"/>
  <c r="E326" i="108"/>
  <c r="E323" i="108"/>
  <c r="E321" i="108"/>
  <c r="E319" i="108"/>
  <c r="E317" i="108"/>
  <c r="E315" i="108"/>
  <c r="F329" i="108"/>
  <c r="F327" i="108"/>
  <c r="F325" i="108"/>
  <c r="F322" i="108"/>
  <c r="F320" i="108"/>
  <c r="F318" i="108"/>
  <c r="F316" i="108"/>
  <c r="F328" i="108"/>
  <c r="F323" i="108"/>
  <c r="F319" i="108"/>
  <c r="F315" i="108"/>
  <c r="F326" i="108"/>
  <c r="F317" i="108"/>
  <c r="E329" i="108"/>
  <c r="E325" i="108"/>
  <c r="E320" i="108"/>
  <c r="E316" i="108"/>
  <c r="C312" i="108"/>
  <c r="F321" i="108"/>
  <c r="E327" i="108"/>
  <c r="E318" i="108"/>
  <c r="E322" i="108"/>
  <c r="G332" i="108"/>
  <c r="E416" i="108"/>
  <c r="E414" i="108"/>
  <c r="E411" i="108"/>
  <c r="E409" i="108"/>
  <c r="E407" i="108"/>
  <c r="E405" i="108"/>
  <c r="E403" i="108"/>
  <c r="G420" i="108"/>
  <c r="F417" i="108"/>
  <c r="F415" i="108"/>
  <c r="F413" i="108"/>
  <c r="F410" i="108"/>
  <c r="F408" i="108"/>
  <c r="F406" i="108"/>
  <c r="F404" i="108"/>
  <c r="F416" i="108"/>
  <c r="F411" i="108"/>
  <c r="F407" i="108"/>
  <c r="F403" i="108"/>
  <c r="F409" i="108"/>
  <c r="E417" i="108"/>
  <c r="E413" i="108"/>
  <c r="E408" i="108"/>
  <c r="E404" i="108"/>
  <c r="C400" i="108"/>
  <c r="F414" i="108"/>
  <c r="F405" i="108"/>
  <c r="E406" i="108"/>
  <c r="E410" i="108"/>
  <c r="E415" i="108"/>
  <c r="E504" i="108"/>
  <c r="E502" i="108"/>
  <c r="E499" i="108"/>
  <c r="E497" i="108"/>
  <c r="E495" i="108"/>
  <c r="E493" i="108"/>
  <c r="E491" i="108"/>
  <c r="F505" i="108"/>
  <c r="F503" i="108"/>
  <c r="F501" i="108"/>
  <c r="F498" i="108"/>
  <c r="F496" i="108"/>
  <c r="F494" i="108"/>
  <c r="F492" i="108"/>
  <c r="F504" i="108"/>
  <c r="F499" i="108"/>
  <c r="F495" i="108"/>
  <c r="F491" i="108"/>
  <c r="G508" i="108"/>
  <c r="F497" i="108"/>
  <c r="E505" i="108"/>
  <c r="E501" i="108"/>
  <c r="E496" i="108"/>
  <c r="E492" i="108"/>
  <c r="F502" i="108"/>
  <c r="F493" i="108"/>
  <c r="E503" i="108"/>
  <c r="E498" i="108"/>
  <c r="C488" i="108"/>
  <c r="E494" i="108"/>
  <c r="E86" i="107"/>
  <c r="E84" i="107"/>
  <c r="E81" i="107"/>
  <c r="E79" i="107"/>
  <c r="E77" i="107"/>
  <c r="E75" i="107"/>
  <c r="E73" i="107"/>
  <c r="F87" i="107"/>
  <c r="F85" i="107"/>
  <c r="F83" i="107"/>
  <c r="F80" i="107"/>
  <c r="F78" i="107"/>
  <c r="F76" i="107"/>
  <c r="F74" i="107"/>
  <c r="E85" i="107"/>
  <c r="E80" i="107"/>
  <c r="E76" i="107"/>
  <c r="E83" i="107"/>
  <c r="E74" i="107"/>
  <c r="F84" i="107"/>
  <c r="F79" i="107"/>
  <c r="F75" i="107"/>
  <c r="F86" i="107"/>
  <c r="F81" i="107"/>
  <c r="F77" i="107"/>
  <c r="F73" i="107"/>
  <c r="E87" i="107"/>
  <c r="E78" i="107"/>
  <c r="G90" i="107"/>
  <c r="C70" i="107"/>
  <c r="E174" i="107"/>
  <c r="E172" i="107"/>
  <c r="E169" i="107"/>
  <c r="E167" i="107"/>
  <c r="E165" i="107"/>
  <c r="E163" i="107"/>
  <c r="E161" i="107"/>
  <c r="G178" i="107"/>
  <c r="F174" i="107"/>
  <c r="F169" i="107"/>
  <c r="F165" i="107"/>
  <c r="F161" i="107"/>
  <c r="F175" i="107"/>
  <c r="F173" i="107"/>
  <c r="F171" i="107"/>
  <c r="F168" i="107"/>
  <c r="F166" i="107"/>
  <c r="F164" i="107"/>
  <c r="F162" i="107"/>
  <c r="F172" i="107"/>
  <c r="F167" i="107"/>
  <c r="F163" i="107"/>
  <c r="E175" i="107"/>
  <c r="E166" i="107"/>
  <c r="E171" i="107"/>
  <c r="E173" i="107"/>
  <c r="E164" i="107"/>
  <c r="C158" i="107"/>
  <c r="E168" i="107"/>
  <c r="E162" i="107"/>
  <c r="E262" i="107"/>
  <c r="E260" i="107"/>
  <c r="E257" i="107"/>
  <c r="E255" i="107"/>
  <c r="E253" i="107"/>
  <c r="E251" i="107"/>
  <c r="E249" i="107"/>
  <c r="G266" i="107"/>
  <c r="F262" i="107"/>
  <c r="F257" i="107"/>
  <c r="F253" i="107"/>
  <c r="F249" i="107"/>
  <c r="F263" i="107"/>
  <c r="F261" i="107"/>
  <c r="F259" i="107"/>
  <c r="F256" i="107"/>
  <c r="F254" i="107"/>
  <c r="F252" i="107"/>
  <c r="F250" i="107"/>
  <c r="F260" i="107"/>
  <c r="F255" i="107"/>
  <c r="F251" i="107"/>
  <c r="E263" i="107"/>
  <c r="E254" i="107"/>
  <c r="E250" i="107"/>
  <c r="E261" i="107"/>
  <c r="E252" i="107"/>
  <c r="E256" i="107"/>
  <c r="C246" i="107"/>
  <c r="E259" i="107"/>
  <c r="E306" i="107"/>
  <c r="E304" i="107"/>
  <c r="E301" i="107"/>
  <c r="E299" i="107"/>
  <c r="E297" i="107"/>
  <c r="E295" i="107"/>
  <c r="E293" i="107"/>
  <c r="F306" i="107"/>
  <c r="F301" i="107"/>
  <c r="F297" i="107"/>
  <c r="F293" i="107"/>
  <c r="F307" i="107"/>
  <c r="F305" i="107"/>
  <c r="F303" i="107"/>
  <c r="F300" i="107"/>
  <c r="F298" i="107"/>
  <c r="F296" i="107"/>
  <c r="F294" i="107"/>
  <c r="G310" i="107"/>
  <c r="C290" i="107"/>
  <c r="F304" i="107"/>
  <c r="F299" i="107"/>
  <c r="F295" i="107"/>
  <c r="E303" i="107"/>
  <c r="E294" i="107"/>
  <c r="E298" i="107"/>
  <c r="E300" i="107"/>
  <c r="E305" i="107"/>
  <c r="E296" i="107"/>
  <c r="E307" i="107"/>
  <c r="E20" i="107"/>
  <c r="E18" i="107"/>
  <c r="E15" i="107"/>
  <c r="E13" i="107"/>
  <c r="E11" i="107"/>
  <c r="E9" i="107"/>
  <c r="E7" i="107"/>
  <c r="G24" i="107"/>
  <c r="F21" i="107"/>
  <c r="F19" i="107"/>
  <c r="F17" i="107"/>
  <c r="F14" i="107"/>
  <c r="F12" i="107"/>
  <c r="F10" i="107"/>
  <c r="F8" i="107"/>
  <c r="C4" i="107"/>
  <c r="E21" i="107"/>
  <c r="E17" i="107"/>
  <c r="E12" i="107"/>
  <c r="E8" i="107"/>
  <c r="E19" i="107"/>
  <c r="E10" i="107"/>
  <c r="F20" i="107"/>
  <c r="F15" i="107"/>
  <c r="F11" i="107"/>
  <c r="F7" i="107"/>
  <c r="F18" i="107"/>
  <c r="F13" i="107"/>
  <c r="F9" i="107"/>
  <c r="E14" i="107"/>
  <c r="E64" i="107"/>
  <c r="E62" i="107"/>
  <c r="E59" i="107"/>
  <c r="E57" i="107"/>
  <c r="E55" i="107"/>
  <c r="E53" i="107"/>
  <c r="E51" i="107"/>
  <c r="G68" i="107"/>
  <c r="F65" i="107"/>
  <c r="F63" i="107"/>
  <c r="F61" i="107"/>
  <c r="F58" i="107"/>
  <c r="F56" i="107"/>
  <c r="F54" i="107"/>
  <c r="F52" i="107"/>
  <c r="C48" i="107"/>
  <c r="E65" i="107"/>
  <c r="E61" i="107"/>
  <c r="E56" i="107"/>
  <c r="E52" i="107"/>
  <c r="E58" i="107"/>
  <c r="F64" i="107"/>
  <c r="F59" i="107"/>
  <c r="F55" i="107"/>
  <c r="F51" i="107"/>
  <c r="F62" i="107"/>
  <c r="F57" i="107"/>
  <c r="F53" i="107"/>
  <c r="E63" i="107"/>
  <c r="E54" i="107"/>
  <c r="E108" i="107"/>
  <c r="E106" i="107"/>
  <c r="E103" i="107"/>
  <c r="E101" i="107"/>
  <c r="E99" i="107"/>
  <c r="E97" i="107"/>
  <c r="E95" i="107"/>
  <c r="G112" i="107"/>
  <c r="F108" i="107"/>
  <c r="F103" i="107"/>
  <c r="F99" i="107"/>
  <c r="F109" i="107"/>
  <c r="F107" i="107"/>
  <c r="F105" i="107"/>
  <c r="F102" i="107"/>
  <c r="F100" i="107"/>
  <c r="F98" i="107"/>
  <c r="F96" i="107"/>
  <c r="C92" i="107"/>
  <c r="F106" i="107"/>
  <c r="F101" i="107"/>
  <c r="E102" i="107"/>
  <c r="E96" i="107"/>
  <c r="E98" i="107"/>
  <c r="E109" i="107"/>
  <c r="E100" i="107"/>
  <c r="F95" i="107"/>
  <c r="E105" i="107"/>
  <c r="F97" i="107"/>
  <c r="E107" i="107"/>
  <c r="E152" i="107"/>
  <c r="E150" i="107"/>
  <c r="E147" i="107"/>
  <c r="E145" i="107"/>
  <c r="E143" i="107"/>
  <c r="E141" i="107"/>
  <c r="E139" i="107"/>
  <c r="G156" i="107"/>
  <c r="F150" i="107"/>
  <c r="F147" i="107"/>
  <c r="F143" i="107"/>
  <c r="F139" i="107"/>
  <c r="F153" i="107"/>
  <c r="F151" i="107"/>
  <c r="F149" i="107"/>
  <c r="F146" i="107"/>
  <c r="F144" i="107"/>
  <c r="F142" i="107"/>
  <c r="F140" i="107"/>
  <c r="C136" i="107"/>
  <c r="F152" i="107"/>
  <c r="F145" i="107"/>
  <c r="F141" i="107"/>
  <c r="E151" i="107"/>
  <c r="E142" i="107"/>
  <c r="E146" i="107"/>
  <c r="E149" i="107"/>
  <c r="E140" i="107"/>
  <c r="E153" i="107"/>
  <c r="E144" i="107"/>
  <c r="E196" i="107"/>
  <c r="E194" i="107"/>
  <c r="E191" i="107"/>
  <c r="E189" i="107"/>
  <c r="E187" i="107"/>
  <c r="E185" i="107"/>
  <c r="E183" i="107"/>
  <c r="F194" i="107"/>
  <c r="F189" i="107"/>
  <c r="F185" i="107"/>
  <c r="F197" i="107"/>
  <c r="F195" i="107"/>
  <c r="F193" i="107"/>
  <c r="F190" i="107"/>
  <c r="F188" i="107"/>
  <c r="F186" i="107"/>
  <c r="F184" i="107"/>
  <c r="F196" i="107"/>
  <c r="F191" i="107"/>
  <c r="F187" i="107"/>
  <c r="F183" i="107"/>
  <c r="E190" i="107"/>
  <c r="G200" i="107"/>
  <c r="E195" i="107"/>
  <c r="E197" i="107"/>
  <c r="E188" i="107"/>
  <c r="E193" i="107"/>
  <c r="E184" i="107"/>
  <c r="C180" i="107"/>
  <c r="E186" i="107"/>
  <c r="E240" i="107"/>
  <c r="E238" i="107"/>
  <c r="E235" i="107"/>
  <c r="E233" i="107"/>
  <c r="E231" i="107"/>
  <c r="E229" i="107"/>
  <c r="E227" i="107"/>
  <c r="G244" i="107"/>
  <c r="C224" i="107"/>
  <c r="F238" i="107"/>
  <c r="F233" i="107"/>
  <c r="F229" i="107"/>
  <c r="F241" i="107"/>
  <c r="F239" i="107"/>
  <c r="F237" i="107"/>
  <c r="F234" i="107"/>
  <c r="F232" i="107"/>
  <c r="F230" i="107"/>
  <c r="F228" i="107"/>
  <c r="F240" i="107"/>
  <c r="F235" i="107"/>
  <c r="F231" i="107"/>
  <c r="F227" i="107"/>
  <c r="E239" i="107"/>
  <c r="E230" i="107"/>
  <c r="E237" i="107"/>
  <c r="E228" i="107"/>
  <c r="E241" i="107"/>
  <c r="E232" i="107"/>
  <c r="E234" i="107"/>
  <c r="E284" i="107"/>
  <c r="E282" i="107"/>
  <c r="E279" i="107"/>
  <c r="E277" i="107"/>
  <c r="E275" i="107"/>
  <c r="E273" i="107"/>
  <c r="E271" i="107"/>
  <c r="F282" i="107"/>
  <c r="F277" i="107"/>
  <c r="F273" i="107"/>
  <c r="F285" i="107"/>
  <c r="F283" i="107"/>
  <c r="F281" i="107"/>
  <c r="F278" i="107"/>
  <c r="F276" i="107"/>
  <c r="F274" i="107"/>
  <c r="F272" i="107"/>
  <c r="F284" i="107"/>
  <c r="F279" i="107"/>
  <c r="F275" i="107"/>
  <c r="F271" i="107"/>
  <c r="E278" i="107"/>
  <c r="E274" i="107"/>
  <c r="E285" i="107"/>
  <c r="E276" i="107"/>
  <c r="E281" i="107"/>
  <c r="E272" i="107"/>
  <c r="E283" i="107"/>
  <c r="G288" i="107"/>
  <c r="C268" i="107"/>
  <c r="E328" i="107"/>
  <c r="E326" i="107"/>
  <c r="E323" i="107"/>
  <c r="E321" i="107"/>
  <c r="E319" i="107"/>
  <c r="E317" i="107"/>
  <c r="E315" i="107"/>
  <c r="G332" i="107"/>
  <c r="C312" i="107"/>
  <c r="F326" i="107"/>
  <c r="F321" i="107"/>
  <c r="F317" i="107"/>
  <c r="F329" i="107"/>
  <c r="F327" i="107"/>
  <c r="F325" i="107"/>
  <c r="F322" i="107"/>
  <c r="F320" i="107"/>
  <c r="F318" i="107"/>
  <c r="F316" i="107"/>
  <c r="F328" i="107"/>
  <c r="F323" i="107"/>
  <c r="F319" i="107"/>
  <c r="F315" i="107"/>
  <c r="E327" i="107"/>
  <c r="E318" i="107"/>
  <c r="E322" i="107"/>
  <c r="E325" i="107"/>
  <c r="E316" i="107"/>
  <c r="E329" i="107"/>
  <c r="E320" i="107"/>
  <c r="E372" i="107"/>
  <c r="E370" i="107"/>
  <c r="E367" i="107"/>
  <c r="E365" i="107"/>
  <c r="E363" i="107"/>
  <c r="E361" i="107"/>
  <c r="E359" i="107"/>
  <c r="F372" i="107"/>
  <c r="F365" i="107"/>
  <c r="F361" i="107"/>
  <c r="F373" i="107"/>
  <c r="F371" i="107"/>
  <c r="F369" i="107"/>
  <c r="F366" i="107"/>
  <c r="F364" i="107"/>
  <c r="F362" i="107"/>
  <c r="F360" i="107"/>
  <c r="F370" i="107"/>
  <c r="F367" i="107"/>
  <c r="F363" i="107"/>
  <c r="F359" i="107"/>
  <c r="E366" i="107"/>
  <c r="E362" i="107"/>
  <c r="E373" i="107"/>
  <c r="E369" i="107"/>
  <c r="E360" i="107"/>
  <c r="E371" i="107"/>
  <c r="G376" i="107"/>
  <c r="E364" i="107"/>
  <c r="C356" i="107"/>
  <c r="E42" i="107"/>
  <c r="E40" i="107"/>
  <c r="E37" i="107"/>
  <c r="E35" i="107"/>
  <c r="E33" i="107"/>
  <c r="E31" i="107"/>
  <c r="E29" i="107"/>
  <c r="F43" i="107"/>
  <c r="F41" i="107"/>
  <c r="F39" i="107"/>
  <c r="F36" i="107"/>
  <c r="F34" i="107"/>
  <c r="F32" i="107"/>
  <c r="F30" i="107"/>
  <c r="E41" i="107"/>
  <c r="E36" i="107"/>
  <c r="E32" i="107"/>
  <c r="G46" i="107"/>
  <c r="E43" i="107"/>
  <c r="E34" i="107"/>
  <c r="F40" i="107"/>
  <c r="F35" i="107"/>
  <c r="F31" i="107"/>
  <c r="F42" i="107"/>
  <c r="F37" i="107"/>
  <c r="F33" i="107"/>
  <c r="F29" i="107"/>
  <c r="C26" i="107"/>
  <c r="E39" i="107"/>
  <c r="E30" i="107"/>
  <c r="E130" i="107"/>
  <c r="E128" i="107"/>
  <c r="E125" i="107"/>
  <c r="E123" i="107"/>
  <c r="E121" i="107"/>
  <c r="E119" i="107"/>
  <c r="E117" i="107"/>
  <c r="F128" i="107"/>
  <c r="F123" i="107"/>
  <c r="F119" i="107"/>
  <c r="F131" i="107"/>
  <c r="F129" i="107"/>
  <c r="F127" i="107"/>
  <c r="F124" i="107"/>
  <c r="F122" i="107"/>
  <c r="F120" i="107"/>
  <c r="F118" i="107"/>
  <c r="F130" i="107"/>
  <c r="F125" i="107"/>
  <c r="F121" i="107"/>
  <c r="F117" i="107"/>
  <c r="E127" i="107"/>
  <c r="E118" i="107"/>
  <c r="G134" i="107"/>
  <c r="E122" i="107"/>
  <c r="E124" i="107"/>
  <c r="E129" i="107"/>
  <c r="E120" i="107"/>
  <c r="C114" i="107"/>
  <c r="E131" i="107"/>
  <c r="E218" i="107"/>
  <c r="E216" i="107"/>
  <c r="E213" i="107"/>
  <c r="E211" i="107"/>
  <c r="E209" i="107"/>
  <c r="E207" i="107"/>
  <c r="E205" i="107"/>
  <c r="F218" i="107"/>
  <c r="F213" i="107"/>
  <c r="F209" i="107"/>
  <c r="F205" i="107"/>
  <c r="F219" i="107"/>
  <c r="F217" i="107"/>
  <c r="F215" i="107"/>
  <c r="F212" i="107"/>
  <c r="F210" i="107"/>
  <c r="F208" i="107"/>
  <c r="F206" i="107"/>
  <c r="G222" i="107"/>
  <c r="C202" i="107"/>
  <c r="F216" i="107"/>
  <c r="F211" i="107"/>
  <c r="F207" i="107"/>
  <c r="E215" i="107"/>
  <c r="E206" i="107"/>
  <c r="E219" i="107"/>
  <c r="E212" i="107"/>
  <c r="E217" i="107"/>
  <c r="E208" i="107"/>
  <c r="E210" i="107"/>
  <c r="E350" i="107"/>
  <c r="E348" i="107"/>
  <c r="E345" i="107"/>
  <c r="E343" i="107"/>
  <c r="E341" i="107"/>
  <c r="E339" i="107"/>
  <c r="E337" i="107"/>
  <c r="F350" i="107"/>
  <c r="F345" i="107"/>
  <c r="F341" i="107"/>
  <c r="F337" i="107"/>
  <c r="F351" i="107"/>
  <c r="F349" i="107"/>
  <c r="F347" i="107"/>
  <c r="F344" i="107"/>
  <c r="F342" i="107"/>
  <c r="F340" i="107"/>
  <c r="F338" i="107"/>
  <c r="G354" i="107"/>
  <c r="F348" i="107"/>
  <c r="F343" i="107"/>
  <c r="F339" i="107"/>
  <c r="E351" i="107"/>
  <c r="E342" i="107"/>
  <c r="C334" i="107"/>
  <c r="E338" i="107"/>
  <c r="E349" i="107"/>
  <c r="E340" i="107"/>
  <c r="E344" i="107"/>
  <c r="E347" i="107"/>
  <c r="E108" i="106"/>
  <c r="E106" i="106"/>
  <c r="E103" i="106"/>
  <c r="E101" i="106"/>
  <c r="E99" i="106"/>
  <c r="E97" i="106"/>
  <c r="E95" i="106"/>
  <c r="C92" i="106"/>
  <c r="F108" i="106"/>
  <c r="F106" i="106"/>
  <c r="F103" i="106"/>
  <c r="F101" i="106"/>
  <c r="F99" i="106"/>
  <c r="F97" i="106"/>
  <c r="F95" i="106"/>
  <c r="G112" i="106"/>
  <c r="E107" i="106"/>
  <c r="E102" i="106"/>
  <c r="E98" i="106"/>
  <c r="F107" i="106"/>
  <c r="F98" i="106"/>
  <c r="E109" i="106"/>
  <c r="E100" i="106"/>
  <c r="F109" i="106"/>
  <c r="F105" i="106"/>
  <c r="F100" i="106"/>
  <c r="F96" i="106"/>
  <c r="F102" i="106"/>
  <c r="E105" i="106"/>
  <c r="E96" i="106"/>
  <c r="E196" i="106"/>
  <c r="E194" i="106"/>
  <c r="E191" i="106"/>
  <c r="E189" i="106"/>
  <c r="E187" i="106"/>
  <c r="E185" i="106"/>
  <c r="E183" i="106"/>
  <c r="C180" i="106"/>
  <c r="F196" i="106"/>
  <c r="F194" i="106"/>
  <c r="F191" i="106"/>
  <c r="F189" i="106"/>
  <c r="F187" i="106"/>
  <c r="F185" i="106"/>
  <c r="F183" i="106"/>
  <c r="G200" i="106"/>
  <c r="E195" i="106"/>
  <c r="E190" i="106"/>
  <c r="E186" i="106"/>
  <c r="F195" i="106"/>
  <c r="F186" i="106"/>
  <c r="E197" i="106"/>
  <c r="E188" i="106"/>
  <c r="F197" i="106"/>
  <c r="F193" i="106"/>
  <c r="F188" i="106"/>
  <c r="F184" i="106"/>
  <c r="F190" i="106"/>
  <c r="E193" i="106"/>
  <c r="E184" i="106"/>
  <c r="E416" i="106"/>
  <c r="E414" i="106"/>
  <c r="E411" i="106"/>
  <c r="E409" i="106"/>
  <c r="E407" i="106"/>
  <c r="E405" i="106"/>
  <c r="E403" i="106"/>
  <c r="E417" i="106"/>
  <c r="E413" i="106"/>
  <c r="E410" i="106"/>
  <c r="E408" i="106"/>
  <c r="F416" i="106"/>
  <c r="F414" i="106"/>
  <c r="F411" i="106"/>
  <c r="F409" i="106"/>
  <c r="F407" i="106"/>
  <c r="F405" i="106"/>
  <c r="F403" i="106"/>
  <c r="F413" i="106"/>
  <c r="E406" i="106"/>
  <c r="G420" i="106"/>
  <c r="E415" i="106"/>
  <c r="F408" i="106"/>
  <c r="F417" i="106"/>
  <c r="F410" i="106"/>
  <c r="F404" i="106"/>
  <c r="F406" i="106"/>
  <c r="F415" i="106"/>
  <c r="E404" i="106"/>
  <c r="C400" i="106"/>
  <c r="E64" i="106"/>
  <c r="E62" i="106"/>
  <c r="E59" i="106"/>
  <c r="E57" i="106"/>
  <c r="E55" i="106"/>
  <c r="E53" i="106"/>
  <c r="E51" i="106"/>
  <c r="C48" i="106"/>
  <c r="F64" i="106"/>
  <c r="F62" i="106"/>
  <c r="F59" i="106"/>
  <c r="F57" i="106"/>
  <c r="F55" i="106"/>
  <c r="F53" i="106"/>
  <c r="F51" i="106"/>
  <c r="G68" i="106"/>
  <c r="E63" i="106"/>
  <c r="E58" i="106"/>
  <c r="E54" i="106"/>
  <c r="F58" i="106"/>
  <c r="E61" i="106"/>
  <c r="E52" i="106"/>
  <c r="F65" i="106"/>
  <c r="F61" i="106"/>
  <c r="F56" i="106"/>
  <c r="F52" i="106"/>
  <c r="F63" i="106"/>
  <c r="F54" i="106"/>
  <c r="E65" i="106"/>
  <c r="E56" i="106"/>
  <c r="E240" i="106"/>
  <c r="E238" i="106"/>
  <c r="E235" i="106"/>
  <c r="E233" i="106"/>
  <c r="E231" i="106"/>
  <c r="E229" i="106"/>
  <c r="E227" i="106"/>
  <c r="F240" i="106"/>
  <c r="F238" i="106"/>
  <c r="F235" i="106"/>
  <c r="F233" i="106"/>
  <c r="F231" i="106"/>
  <c r="F229" i="106"/>
  <c r="F227" i="106"/>
  <c r="C224" i="106"/>
  <c r="E239" i="106"/>
  <c r="E234" i="106"/>
  <c r="E230" i="106"/>
  <c r="F234" i="106"/>
  <c r="E237" i="106"/>
  <c r="E228" i="106"/>
  <c r="F241" i="106"/>
  <c r="F237" i="106"/>
  <c r="F232" i="106"/>
  <c r="F228" i="106"/>
  <c r="F239" i="106"/>
  <c r="F230" i="106"/>
  <c r="E241" i="106"/>
  <c r="E232" i="106"/>
  <c r="G244" i="106"/>
  <c r="E328" i="106"/>
  <c r="E326" i="106"/>
  <c r="E323" i="106"/>
  <c r="E321" i="106"/>
  <c r="E319" i="106"/>
  <c r="E317" i="106"/>
  <c r="E315" i="106"/>
  <c r="G332" i="106"/>
  <c r="C312" i="106"/>
  <c r="F328" i="106"/>
  <c r="F326" i="106"/>
  <c r="F323" i="106"/>
  <c r="F321" i="106"/>
  <c r="F319" i="106"/>
  <c r="F317" i="106"/>
  <c r="F315" i="106"/>
  <c r="E327" i="106"/>
  <c r="E322" i="106"/>
  <c r="E318" i="106"/>
  <c r="F327" i="106"/>
  <c r="F318" i="106"/>
  <c r="E329" i="106"/>
  <c r="E320" i="106"/>
  <c r="F329" i="106"/>
  <c r="F325" i="106"/>
  <c r="F320" i="106"/>
  <c r="F316" i="106"/>
  <c r="F322" i="106"/>
  <c r="E325" i="106"/>
  <c r="E316" i="106"/>
  <c r="E42" i="106"/>
  <c r="E40" i="106"/>
  <c r="E37" i="106"/>
  <c r="E35" i="106"/>
  <c r="E33" i="106"/>
  <c r="E31" i="106"/>
  <c r="E29" i="106"/>
  <c r="F42" i="106"/>
  <c r="F40" i="106"/>
  <c r="F37" i="106"/>
  <c r="F35" i="106"/>
  <c r="F33" i="106"/>
  <c r="F31" i="106"/>
  <c r="F29" i="106"/>
  <c r="E43" i="106"/>
  <c r="E39" i="106"/>
  <c r="E34" i="106"/>
  <c r="E30" i="106"/>
  <c r="C26" i="106"/>
  <c r="F43" i="106"/>
  <c r="F34" i="106"/>
  <c r="G46" i="106"/>
  <c r="E36" i="106"/>
  <c r="F41" i="106"/>
  <c r="F36" i="106"/>
  <c r="F32" i="106"/>
  <c r="F39" i="106"/>
  <c r="F30" i="106"/>
  <c r="E41" i="106"/>
  <c r="E32" i="106"/>
  <c r="E86" i="106"/>
  <c r="E84" i="106"/>
  <c r="E81" i="106"/>
  <c r="E79" i="106"/>
  <c r="E77" i="106"/>
  <c r="E75" i="106"/>
  <c r="E73" i="106"/>
  <c r="F86" i="106"/>
  <c r="F84" i="106"/>
  <c r="F81" i="106"/>
  <c r="F79" i="106"/>
  <c r="F77" i="106"/>
  <c r="F75" i="106"/>
  <c r="F73" i="106"/>
  <c r="E87" i="106"/>
  <c r="E83" i="106"/>
  <c r="E78" i="106"/>
  <c r="E74" i="106"/>
  <c r="F83" i="106"/>
  <c r="F74" i="106"/>
  <c r="E85" i="106"/>
  <c r="E76" i="106"/>
  <c r="C70" i="106"/>
  <c r="F85" i="106"/>
  <c r="F80" i="106"/>
  <c r="F76" i="106"/>
  <c r="G90" i="106"/>
  <c r="F87" i="106"/>
  <c r="F78" i="106"/>
  <c r="E80" i="106"/>
  <c r="E130" i="106"/>
  <c r="E128" i="106"/>
  <c r="E125" i="106"/>
  <c r="E123" i="106"/>
  <c r="E121" i="106"/>
  <c r="E119" i="106"/>
  <c r="E117" i="106"/>
  <c r="F130" i="106"/>
  <c r="F128" i="106"/>
  <c r="F125" i="106"/>
  <c r="F123" i="106"/>
  <c r="F121" i="106"/>
  <c r="F119" i="106"/>
  <c r="F117" i="106"/>
  <c r="E131" i="106"/>
  <c r="E127" i="106"/>
  <c r="E122" i="106"/>
  <c r="E118" i="106"/>
  <c r="C114" i="106"/>
  <c r="F131" i="106"/>
  <c r="F122" i="106"/>
  <c r="E124" i="106"/>
  <c r="F129" i="106"/>
  <c r="F124" i="106"/>
  <c r="F120" i="106"/>
  <c r="F127" i="106"/>
  <c r="F118" i="106"/>
  <c r="G134" i="106"/>
  <c r="E129" i="106"/>
  <c r="E120" i="106"/>
  <c r="E174" i="106"/>
  <c r="E172" i="106"/>
  <c r="E169" i="106"/>
  <c r="E167" i="106"/>
  <c r="E165" i="106"/>
  <c r="E163" i="106"/>
  <c r="E161" i="106"/>
  <c r="F174" i="106"/>
  <c r="F172" i="106"/>
  <c r="F169" i="106"/>
  <c r="F167" i="106"/>
  <c r="F165" i="106"/>
  <c r="F163" i="106"/>
  <c r="F161" i="106"/>
  <c r="E175" i="106"/>
  <c r="E171" i="106"/>
  <c r="E166" i="106"/>
  <c r="E162" i="106"/>
  <c r="F171" i="106"/>
  <c r="F162" i="106"/>
  <c r="E173" i="106"/>
  <c r="C158" i="106"/>
  <c r="F173" i="106"/>
  <c r="F168" i="106"/>
  <c r="F164" i="106"/>
  <c r="G178" i="106"/>
  <c r="F175" i="106"/>
  <c r="F166" i="106"/>
  <c r="E168" i="106"/>
  <c r="E164" i="106"/>
  <c r="E218" i="106"/>
  <c r="E216" i="106"/>
  <c r="E213" i="106"/>
  <c r="E211" i="106"/>
  <c r="E209" i="106"/>
  <c r="E207" i="106"/>
  <c r="E205" i="106"/>
  <c r="F218" i="106"/>
  <c r="F216" i="106"/>
  <c r="F213" i="106"/>
  <c r="F211" i="106"/>
  <c r="F209" i="106"/>
  <c r="F207" i="106"/>
  <c r="F205" i="106"/>
  <c r="E219" i="106"/>
  <c r="E215" i="106"/>
  <c r="E210" i="106"/>
  <c r="E206" i="106"/>
  <c r="C202" i="106"/>
  <c r="F219" i="106"/>
  <c r="F210" i="106"/>
  <c r="G222" i="106"/>
  <c r="E212" i="106"/>
  <c r="F217" i="106"/>
  <c r="F212" i="106"/>
  <c r="F208" i="106"/>
  <c r="F215" i="106"/>
  <c r="F206" i="106"/>
  <c r="E217" i="106"/>
  <c r="E208" i="106"/>
  <c r="E262" i="106"/>
  <c r="E260" i="106"/>
  <c r="E257" i="106"/>
  <c r="E255" i="106"/>
  <c r="E253" i="106"/>
  <c r="E251" i="106"/>
  <c r="E249" i="106"/>
  <c r="C246" i="106"/>
  <c r="F262" i="106"/>
  <c r="F260" i="106"/>
  <c r="F257" i="106"/>
  <c r="F255" i="106"/>
  <c r="F253" i="106"/>
  <c r="F251" i="106"/>
  <c r="F249" i="106"/>
  <c r="G266" i="106"/>
  <c r="E263" i="106"/>
  <c r="E259" i="106"/>
  <c r="E254" i="106"/>
  <c r="E250" i="106"/>
  <c r="F263" i="106"/>
  <c r="F250" i="106"/>
  <c r="E261" i="106"/>
  <c r="E252" i="106"/>
  <c r="F261" i="106"/>
  <c r="F256" i="106"/>
  <c r="F252" i="106"/>
  <c r="F259" i="106"/>
  <c r="F254" i="106"/>
  <c r="E256" i="106"/>
  <c r="E306" i="106"/>
  <c r="E304" i="106"/>
  <c r="E301" i="106"/>
  <c r="E299" i="106"/>
  <c r="E297" i="106"/>
  <c r="E295" i="106"/>
  <c r="E293" i="106"/>
  <c r="C290" i="106"/>
  <c r="F306" i="106"/>
  <c r="F304" i="106"/>
  <c r="F301" i="106"/>
  <c r="F299" i="106"/>
  <c r="F297" i="106"/>
  <c r="F295" i="106"/>
  <c r="F293" i="106"/>
  <c r="E307" i="106"/>
  <c r="E303" i="106"/>
  <c r="E298" i="106"/>
  <c r="E294" i="106"/>
  <c r="G310" i="106"/>
  <c r="F303" i="106"/>
  <c r="F294" i="106"/>
  <c r="E305" i="106"/>
  <c r="E296" i="106"/>
  <c r="F305" i="106"/>
  <c r="F300" i="106"/>
  <c r="F296" i="106"/>
  <c r="F307" i="106"/>
  <c r="F298" i="106"/>
  <c r="E300" i="106"/>
  <c r="E350" i="106"/>
  <c r="E348" i="106"/>
  <c r="E345" i="106"/>
  <c r="E343" i="106"/>
  <c r="E341" i="106"/>
  <c r="E339" i="106"/>
  <c r="E337" i="106"/>
  <c r="F350" i="106"/>
  <c r="F348" i="106"/>
  <c r="F345" i="106"/>
  <c r="F343" i="106"/>
  <c r="F341" i="106"/>
  <c r="F339" i="106"/>
  <c r="F337" i="106"/>
  <c r="E351" i="106"/>
  <c r="E347" i="106"/>
  <c r="E342" i="106"/>
  <c r="E338" i="106"/>
  <c r="C334" i="106"/>
  <c r="F351" i="106"/>
  <c r="F342" i="106"/>
  <c r="E344" i="106"/>
  <c r="F349" i="106"/>
  <c r="F344" i="106"/>
  <c r="F340" i="106"/>
  <c r="G354" i="106"/>
  <c r="F347" i="106"/>
  <c r="F338" i="106"/>
  <c r="E349" i="106"/>
  <c r="E340" i="106"/>
  <c r="E394" i="106"/>
  <c r="E392" i="106"/>
  <c r="E389" i="106"/>
  <c r="E387" i="106"/>
  <c r="E385" i="106"/>
  <c r="E383" i="106"/>
  <c r="E381" i="106"/>
  <c r="G398" i="106"/>
  <c r="F394" i="106"/>
  <c r="F392" i="106"/>
  <c r="F389" i="106"/>
  <c r="F387" i="106"/>
  <c r="F385" i="106"/>
  <c r="F383" i="106"/>
  <c r="F381" i="106"/>
  <c r="E395" i="106"/>
  <c r="E391" i="106"/>
  <c r="E386" i="106"/>
  <c r="E382" i="106"/>
  <c r="F391" i="106"/>
  <c r="F382" i="106"/>
  <c r="E393" i="106"/>
  <c r="E384" i="106"/>
  <c r="F393" i="106"/>
  <c r="F388" i="106"/>
  <c r="F384" i="106"/>
  <c r="C378" i="106"/>
  <c r="F395" i="106"/>
  <c r="F386" i="106"/>
  <c r="E388" i="106"/>
  <c r="E20" i="106"/>
  <c r="E18" i="106"/>
  <c r="E15" i="106"/>
  <c r="E13" i="106"/>
  <c r="E11" i="106"/>
  <c r="E9" i="106"/>
  <c r="E7" i="106"/>
  <c r="C4" i="106"/>
  <c r="F20" i="106"/>
  <c r="F18" i="106"/>
  <c r="F15" i="106"/>
  <c r="F13" i="106"/>
  <c r="F11" i="106"/>
  <c r="F9" i="106"/>
  <c r="F7" i="106"/>
  <c r="G24" i="106"/>
  <c r="E19" i="106"/>
  <c r="E14" i="106"/>
  <c r="E10" i="106"/>
  <c r="F19" i="106"/>
  <c r="E21" i="106"/>
  <c r="E12" i="106"/>
  <c r="F21" i="106"/>
  <c r="F17" i="106"/>
  <c r="F12" i="106"/>
  <c r="F8" i="106"/>
  <c r="F14" i="106"/>
  <c r="F10" i="106"/>
  <c r="E17" i="106"/>
  <c r="E8" i="106"/>
  <c r="E152" i="106"/>
  <c r="E150" i="106"/>
  <c r="E147" i="106"/>
  <c r="E145" i="106"/>
  <c r="E143" i="106"/>
  <c r="E141" i="106"/>
  <c r="E139" i="106"/>
  <c r="C136" i="106"/>
  <c r="F152" i="106"/>
  <c r="F150" i="106"/>
  <c r="F147" i="106"/>
  <c r="F145" i="106"/>
  <c r="F143" i="106"/>
  <c r="F141" i="106"/>
  <c r="F139" i="106"/>
  <c r="G156" i="106"/>
  <c r="E151" i="106"/>
  <c r="E146" i="106"/>
  <c r="E142" i="106"/>
  <c r="F146" i="106"/>
  <c r="E153" i="106"/>
  <c r="E140" i="106"/>
  <c r="F153" i="106"/>
  <c r="F149" i="106"/>
  <c r="F144" i="106"/>
  <c r="F140" i="106"/>
  <c r="F151" i="106"/>
  <c r="F142" i="106"/>
  <c r="E149" i="106"/>
  <c r="E144" i="106"/>
  <c r="E284" i="106"/>
  <c r="E282" i="106"/>
  <c r="E279" i="106"/>
  <c r="E277" i="106"/>
  <c r="E275" i="106"/>
  <c r="E273" i="106"/>
  <c r="E271" i="106"/>
  <c r="F284" i="106"/>
  <c r="F282" i="106"/>
  <c r="F279" i="106"/>
  <c r="F277" i="106"/>
  <c r="F275" i="106"/>
  <c r="F273" i="106"/>
  <c r="F271" i="106"/>
  <c r="E283" i="106"/>
  <c r="E278" i="106"/>
  <c r="E274" i="106"/>
  <c r="G288" i="106"/>
  <c r="F278" i="106"/>
  <c r="E281" i="106"/>
  <c r="F285" i="106"/>
  <c r="F281" i="106"/>
  <c r="F276" i="106"/>
  <c r="F272" i="106"/>
  <c r="C268" i="106"/>
  <c r="F283" i="106"/>
  <c r="F274" i="106"/>
  <c r="E285" i="106"/>
  <c r="E276" i="106"/>
  <c r="E272" i="106"/>
  <c r="E372" i="106"/>
  <c r="E370" i="106"/>
  <c r="E367" i="106"/>
  <c r="E365" i="106"/>
  <c r="E363" i="106"/>
  <c r="E361" i="106"/>
  <c r="E359" i="106"/>
  <c r="F372" i="106"/>
  <c r="F370" i="106"/>
  <c r="F367" i="106"/>
  <c r="F365" i="106"/>
  <c r="F363" i="106"/>
  <c r="F361" i="106"/>
  <c r="F359" i="106"/>
  <c r="G376" i="106"/>
  <c r="C356" i="106"/>
  <c r="E371" i="106"/>
  <c r="E366" i="106"/>
  <c r="E362" i="106"/>
  <c r="F366" i="106"/>
  <c r="E369" i="106"/>
  <c r="E360" i="106"/>
  <c r="F373" i="106"/>
  <c r="F369" i="106"/>
  <c r="F364" i="106"/>
  <c r="F360" i="106"/>
  <c r="F371" i="106"/>
  <c r="F362" i="106"/>
  <c r="E373" i="106"/>
  <c r="E364" i="106"/>
  <c r="E20" i="105"/>
  <c r="E18" i="105"/>
  <c r="E15" i="105"/>
  <c r="E13" i="105"/>
  <c r="E11" i="105"/>
  <c r="E9" i="105"/>
  <c r="E7" i="105"/>
  <c r="F20" i="105"/>
  <c r="F18" i="105"/>
  <c r="F15" i="105"/>
  <c r="F13" i="105"/>
  <c r="F11" i="105"/>
  <c r="F9" i="105"/>
  <c r="F7" i="105"/>
  <c r="C4" i="105"/>
  <c r="F21" i="105"/>
  <c r="F17" i="105"/>
  <c r="F12" i="105"/>
  <c r="F8" i="105"/>
  <c r="F14" i="105"/>
  <c r="E21" i="105"/>
  <c r="E12" i="105"/>
  <c r="E19" i="105"/>
  <c r="E14" i="105"/>
  <c r="E10" i="105"/>
  <c r="G24" i="105"/>
  <c r="F19" i="105"/>
  <c r="F10" i="105"/>
  <c r="E17" i="105"/>
  <c r="E8" i="105"/>
  <c r="E64" i="105"/>
  <c r="E62" i="105"/>
  <c r="E59" i="105"/>
  <c r="E57" i="105"/>
  <c r="E55" i="105"/>
  <c r="E53" i="105"/>
  <c r="E51" i="105"/>
  <c r="F64" i="105"/>
  <c r="F62" i="105"/>
  <c r="F59" i="105"/>
  <c r="F57" i="105"/>
  <c r="F55" i="105"/>
  <c r="F53" i="105"/>
  <c r="F51" i="105"/>
  <c r="F65" i="105"/>
  <c r="F61" i="105"/>
  <c r="F56" i="105"/>
  <c r="F52" i="105"/>
  <c r="G68" i="105"/>
  <c r="F63" i="105"/>
  <c r="F54" i="105"/>
  <c r="C48" i="105"/>
  <c r="E61" i="105"/>
  <c r="E52" i="105"/>
  <c r="E63" i="105"/>
  <c r="E58" i="105"/>
  <c r="E54" i="105"/>
  <c r="F58" i="105"/>
  <c r="E65" i="105"/>
  <c r="E56" i="105"/>
  <c r="E108" i="105"/>
  <c r="E106" i="105"/>
  <c r="E103" i="105"/>
  <c r="E101" i="105"/>
  <c r="E99" i="105"/>
  <c r="E97" i="105"/>
  <c r="E95" i="105"/>
  <c r="F108" i="105"/>
  <c r="F106" i="105"/>
  <c r="F103" i="105"/>
  <c r="F101" i="105"/>
  <c r="F99" i="105"/>
  <c r="F97" i="105"/>
  <c r="F95" i="105"/>
  <c r="F109" i="105"/>
  <c r="F105" i="105"/>
  <c r="F100" i="105"/>
  <c r="F96" i="105"/>
  <c r="C92" i="105"/>
  <c r="F102" i="105"/>
  <c r="E109" i="105"/>
  <c r="E100" i="105"/>
  <c r="E107" i="105"/>
  <c r="E102" i="105"/>
  <c r="E98" i="105"/>
  <c r="F107" i="105"/>
  <c r="F98" i="105"/>
  <c r="G112" i="105"/>
  <c r="E105" i="105"/>
  <c r="E96" i="105"/>
  <c r="E152" i="105"/>
  <c r="E150" i="105"/>
  <c r="E147" i="105"/>
  <c r="E145" i="105"/>
  <c r="E143" i="105"/>
  <c r="E141" i="105"/>
  <c r="E139" i="105"/>
  <c r="F152" i="105"/>
  <c r="F150" i="105"/>
  <c r="F147" i="105"/>
  <c r="F145" i="105"/>
  <c r="F143" i="105"/>
  <c r="F141" i="105"/>
  <c r="F139" i="105"/>
  <c r="F153" i="105"/>
  <c r="F149" i="105"/>
  <c r="F144" i="105"/>
  <c r="F140" i="105"/>
  <c r="G156" i="105"/>
  <c r="F146" i="105"/>
  <c r="C136" i="105"/>
  <c r="E149" i="105"/>
  <c r="E140" i="105"/>
  <c r="E151" i="105"/>
  <c r="E146" i="105"/>
  <c r="E142" i="105"/>
  <c r="F151" i="105"/>
  <c r="F142" i="105"/>
  <c r="E153" i="105"/>
  <c r="E144" i="105"/>
  <c r="E196" i="105"/>
  <c r="E194" i="105"/>
  <c r="E191" i="105"/>
  <c r="E189" i="105"/>
  <c r="E187" i="105"/>
  <c r="E185" i="105"/>
  <c r="E183" i="105"/>
  <c r="F196" i="105"/>
  <c r="F194" i="105"/>
  <c r="F191" i="105"/>
  <c r="F189" i="105"/>
  <c r="F187" i="105"/>
  <c r="F185" i="105"/>
  <c r="F183" i="105"/>
  <c r="F197" i="105"/>
  <c r="F193" i="105"/>
  <c r="F188" i="105"/>
  <c r="F184" i="105"/>
  <c r="C180" i="105"/>
  <c r="F195" i="105"/>
  <c r="F186" i="105"/>
  <c r="G200" i="105"/>
  <c r="E197" i="105"/>
  <c r="E188" i="105"/>
  <c r="E195" i="105"/>
  <c r="E190" i="105"/>
  <c r="E186" i="105"/>
  <c r="F190" i="105"/>
  <c r="E193" i="105"/>
  <c r="E184" i="105"/>
  <c r="E240" i="105"/>
  <c r="E238" i="105"/>
  <c r="E235" i="105"/>
  <c r="E233" i="105"/>
  <c r="E231" i="105"/>
  <c r="E229" i="105"/>
  <c r="E227" i="105"/>
  <c r="G244" i="105"/>
  <c r="F240" i="105"/>
  <c r="F238" i="105"/>
  <c r="F235" i="105"/>
  <c r="F233" i="105"/>
  <c r="F231" i="105"/>
  <c r="F229" i="105"/>
  <c r="F227" i="105"/>
  <c r="F241" i="105"/>
  <c r="F237" i="105"/>
  <c r="F232" i="105"/>
  <c r="F228" i="105"/>
  <c r="F239" i="105"/>
  <c r="E241" i="105"/>
  <c r="E232" i="105"/>
  <c r="E239" i="105"/>
  <c r="E234" i="105"/>
  <c r="E230" i="105"/>
  <c r="F234" i="105"/>
  <c r="F230" i="105"/>
  <c r="C224" i="105"/>
  <c r="E237" i="105"/>
  <c r="E228" i="105"/>
  <c r="E284" i="105"/>
  <c r="E282" i="105"/>
  <c r="E279" i="105"/>
  <c r="E277" i="105"/>
  <c r="E275" i="105"/>
  <c r="E273" i="105"/>
  <c r="E271" i="105"/>
  <c r="F284" i="105"/>
  <c r="F282" i="105"/>
  <c r="F279" i="105"/>
  <c r="F277" i="105"/>
  <c r="F275" i="105"/>
  <c r="F273" i="105"/>
  <c r="F271" i="105"/>
  <c r="E285" i="105"/>
  <c r="E281" i="105"/>
  <c r="E276" i="105"/>
  <c r="E272" i="105"/>
  <c r="C268" i="105"/>
  <c r="F285" i="105"/>
  <c r="F281" i="105"/>
  <c r="F276" i="105"/>
  <c r="F272" i="105"/>
  <c r="G288" i="105"/>
  <c r="F283" i="105"/>
  <c r="F274" i="105"/>
  <c r="E283" i="105"/>
  <c r="E278" i="105"/>
  <c r="F278" i="105"/>
  <c r="E274" i="105"/>
  <c r="E328" i="105"/>
  <c r="E326" i="105"/>
  <c r="E323" i="105"/>
  <c r="E321" i="105"/>
  <c r="E319" i="105"/>
  <c r="E317" i="105"/>
  <c r="E315" i="105"/>
  <c r="F328" i="105"/>
  <c r="F326" i="105"/>
  <c r="F323" i="105"/>
  <c r="F321" i="105"/>
  <c r="F319" i="105"/>
  <c r="F317" i="105"/>
  <c r="F315" i="105"/>
  <c r="E329" i="105"/>
  <c r="E325" i="105"/>
  <c r="E320" i="105"/>
  <c r="E316" i="105"/>
  <c r="F329" i="105"/>
  <c r="F325" i="105"/>
  <c r="F320" i="105"/>
  <c r="F316" i="105"/>
  <c r="C312" i="105"/>
  <c r="F322" i="105"/>
  <c r="F318" i="105"/>
  <c r="E327" i="105"/>
  <c r="E318" i="105"/>
  <c r="G332" i="105"/>
  <c r="F327" i="105"/>
  <c r="E322" i="105"/>
  <c r="E372" i="105"/>
  <c r="E370" i="105"/>
  <c r="E367" i="105"/>
  <c r="E365" i="105"/>
  <c r="E363" i="105"/>
  <c r="E361" i="105"/>
  <c r="E359" i="105"/>
  <c r="F372" i="105"/>
  <c r="F370" i="105"/>
  <c r="F367" i="105"/>
  <c r="F365" i="105"/>
  <c r="F363" i="105"/>
  <c r="F361" i="105"/>
  <c r="F359" i="105"/>
  <c r="E373" i="105"/>
  <c r="E369" i="105"/>
  <c r="E364" i="105"/>
  <c r="E360" i="105"/>
  <c r="F373" i="105"/>
  <c r="F369" i="105"/>
  <c r="F364" i="105"/>
  <c r="F360" i="105"/>
  <c r="F371" i="105"/>
  <c r="F362" i="105"/>
  <c r="G376" i="105"/>
  <c r="F366" i="105"/>
  <c r="E362" i="105"/>
  <c r="E366" i="105"/>
  <c r="C356" i="105"/>
  <c r="E371" i="105"/>
  <c r="E416" i="105"/>
  <c r="E414" i="105"/>
  <c r="E411" i="105"/>
  <c r="E409" i="105"/>
  <c r="E407" i="105"/>
  <c r="E405" i="105"/>
  <c r="E403" i="105"/>
  <c r="F416" i="105"/>
  <c r="F414" i="105"/>
  <c r="F411" i="105"/>
  <c r="F409" i="105"/>
  <c r="F407" i="105"/>
  <c r="F405" i="105"/>
  <c r="F403" i="105"/>
  <c r="E417" i="105"/>
  <c r="E413" i="105"/>
  <c r="E408" i="105"/>
  <c r="E404" i="105"/>
  <c r="F417" i="105"/>
  <c r="F413" i="105"/>
  <c r="F408" i="105"/>
  <c r="F404" i="105"/>
  <c r="F410" i="105"/>
  <c r="C400" i="105"/>
  <c r="F415" i="105"/>
  <c r="E410" i="105"/>
  <c r="E415" i="105"/>
  <c r="E406" i="105"/>
  <c r="F406" i="105"/>
  <c r="G420" i="105"/>
  <c r="E460" i="105"/>
  <c r="E458" i="105"/>
  <c r="E455" i="105"/>
  <c r="E453" i="105"/>
  <c r="E451" i="105"/>
  <c r="E449" i="105"/>
  <c r="E447" i="105"/>
  <c r="F460" i="105"/>
  <c r="F458" i="105"/>
  <c r="F455" i="105"/>
  <c r="F453" i="105"/>
  <c r="F451" i="105"/>
  <c r="F449" i="105"/>
  <c r="F447" i="105"/>
  <c r="E461" i="105"/>
  <c r="E457" i="105"/>
  <c r="E452" i="105"/>
  <c r="E448" i="105"/>
  <c r="F461" i="105"/>
  <c r="F457" i="105"/>
  <c r="F452" i="105"/>
  <c r="F448" i="105"/>
  <c r="F459" i="105"/>
  <c r="F450" i="105"/>
  <c r="G464" i="105"/>
  <c r="E459" i="105"/>
  <c r="E454" i="105"/>
  <c r="F454" i="105"/>
  <c r="C444" i="105"/>
  <c r="E450" i="105"/>
  <c r="E504" i="105"/>
  <c r="E502" i="105"/>
  <c r="E499" i="105"/>
  <c r="E497" i="105"/>
  <c r="E495" i="105"/>
  <c r="E493" i="105"/>
  <c r="E491" i="105"/>
  <c r="F504" i="105"/>
  <c r="F502" i="105"/>
  <c r="F499" i="105"/>
  <c r="F497" i="105"/>
  <c r="F495" i="105"/>
  <c r="F493" i="105"/>
  <c r="F491" i="105"/>
  <c r="E505" i="105"/>
  <c r="E501" i="105"/>
  <c r="E496" i="105"/>
  <c r="E492" i="105"/>
  <c r="F505" i="105"/>
  <c r="F501" i="105"/>
  <c r="F496" i="105"/>
  <c r="F492" i="105"/>
  <c r="G508" i="105"/>
  <c r="C488" i="105"/>
  <c r="F498" i="105"/>
  <c r="F503" i="105"/>
  <c r="E503" i="105"/>
  <c r="E494" i="105"/>
  <c r="F494" i="105"/>
  <c r="E498" i="105"/>
  <c r="E548" i="105"/>
  <c r="E546" i="105"/>
  <c r="E543" i="105"/>
  <c r="E541" i="105"/>
  <c r="E539" i="105"/>
  <c r="E537" i="105"/>
  <c r="E535" i="105"/>
  <c r="F548" i="105"/>
  <c r="F546" i="105"/>
  <c r="F543" i="105"/>
  <c r="F541" i="105"/>
  <c r="F539" i="105"/>
  <c r="F537" i="105"/>
  <c r="F535" i="105"/>
  <c r="E549" i="105"/>
  <c r="E545" i="105"/>
  <c r="E540" i="105"/>
  <c r="E536" i="105"/>
  <c r="G552" i="105"/>
  <c r="F549" i="105"/>
  <c r="F545" i="105"/>
  <c r="F540" i="105"/>
  <c r="F536" i="105"/>
  <c r="F547" i="105"/>
  <c r="F538" i="105"/>
  <c r="E538" i="105"/>
  <c r="E542" i="105"/>
  <c r="F542" i="105"/>
  <c r="C532" i="105"/>
  <c r="E547" i="105"/>
  <c r="E592" i="105"/>
  <c r="E590" i="105"/>
  <c r="E587" i="105"/>
  <c r="E585" i="105"/>
  <c r="E583" i="105"/>
  <c r="E581" i="105"/>
  <c r="E579" i="105"/>
  <c r="F592" i="105"/>
  <c r="F590" i="105"/>
  <c r="F587" i="105"/>
  <c r="F585" i="105"/>
  <c r="F583" i="105"/>
  <c r="F581" i="105"/>
  <c r="F579" i="105"/>
  <c r="E593" i="105"/>
  <c r="E589" i="105"/>
  <c r="E584" i="105"/>
  <c r="E580" i="105"/>
  <c r="C576" i="105"/>
  <c r="F593" i="105"/>
  <c r="F589" i="105"/>
  <c r="F584" i="105"/>
  <c r="F580" i="105"/>
  <c r="F586" i="105"/>
  <c r="G596" i="105"/>
  <c r="F582" i="105"/>
  <c r="E586" i="105"/>
  <c r="E591" i="105"/>
  <c r="E582" i="105"/>
  <c r="F591" i="105"/>
  <c r="E636" i="105"/>
  <c r="E634" i="105"/>
  <c r="E631" i="105"/>
  <c r="E629" i="105"/>
  <c r="E627" i="105"/>
  <c r="E625" i="105"/>
  <c r="E623" i="105"/>
  <c r="F636" i="105"/>
  <c r="F634" i="105"/>
  <c r="F631" i="105"/>
  <c r="F629" i="105"/>
  <c r="F627" i="105"/>
  <c r="F625" i="105"/>
  <c r="F623" i="105"/>
  <c r="E637" i="105"/>
  <c r="E633" i="105"/>
  <c r="E628" i="105"/>
  <c r="E624" i="105"/>
  <c r="C620" i="105"/>
  <c r="F637" i="105"/>
  <c r="F633" i="105"/>
  <c r="F628" i="105"/>
  <c r="F624" i="105"/>
  <c r="G640" i="105"/>
  <c r="F635" i="105"/>
  <c r="F626" i="105"/>
  <c r="F630" i="105"/>
  <c r="E635" i="105"/>
  <c r="E630" i="105"/>
  <c r="E626" i="105"/>
  <c r="E680" i="105"/>
  <c r="E678" i="105"/>
  <c r="E675" i="105"/>
  <c r="E673" i="105"/>
  <c r="E671" i="105"/>
  <c r="E669" i="105"/>
  <c r="E667" i="105"/>
  <c r="F680" i="105"/>
  <c r="F678" i="105"/>
  <c r="F675" i="105"/>
  <c r="F673" i="105"/>
  <c r="F671" i="105"/>
  <c r="F669" i="105"/>
  <c r="F667" i="105"/>
  <c r="E681" i="105"/>
  <c r="E677" i="105"/>
  <c r="E672" i="105"/>
  <c r="E668" i="105"/>
  <c r="F681" i="105"/>
  <c r="F677" i="105"/>
  <c r="F672" i="105"/>
  <c r="F668" i="105"/>
  <c r="G684" i="105"/>
  <c r="F674" i="105"/>
  <c r="C664" i="105"/>
  <c r="F679" i="105"/>
  <c r="E679" i="105"/>
  <c r="E670" i="105"/>
  <c r="F670" i="105"/>
  <c r="E674" i="105"/>
  <c r="E724" i="105"/>
  <c r="E722" i="105"/>
  <c r="E719" i="105"/>
  <c r="E717" i="105"/>
  <c r="E715" i="105"/>
  <c r="E713" i="105"/>
  <c r="E711" i="105"/>
  <c r="F724" i="105"/>
  <c r="F722" i="105"/>
  <c r="F719" i="105"/>
  <c r="F717" i="105"/>
  <c r="F715" i="105"/>
  <c r="F713" i="105"/>
  <c r="F711" i="105"/>
  <c r="E725" i="105"/>
  <c r="E721" i="105"/>
  <c r="E716" i="105"/>
  <c r="E712" i="105"/>
  <c r="F725" i="105"/>
  <c r="F721" i="105"/>
  <c r="F716" i="105"/>
  <c r="F712" i="105"/>
  <c r="G728" i="105"/>
  <c r="F723" i="105"/>
  <c r="F714" i="105"/>
  <c r="E714" i="105"/>
  <c r="C708" i="105"/>
  <c r="E718" i="105"/>
  <c r="F718" i="105"/>
  <c r="E723" i="105"/>
  <c r="E768" i="105"/>
  <c r="E766" i="105"/>
  <c r="E763" i="105"/>
  <c r="E761" i="105"/>
  <c r="E759" i="105"/>
  <c r="E757" i="105"/>
  <c r="E755" i="105"/>
  <c r="F768" i="105"/>
  <c r="F766" i="105"/>
  <c r="F763" i="105"/>
  <c r="F761" i="105"/>
  <c r="F759" i="105"/>
  <c r="F757" i="105"/>
  <c r="F755" i="105"/>
  <c r="E769" i="105"/>
  <c r="E765" i="105"/>
  <c r="E760" i="105"/>
  <c r="E756" i="105"/>
  <c r="F769" i="105"/>
  <c r="F765" i="105"/>
  <c r="F760" i="105"/>
  <c r="F756" i="105"/>
  <c r="C752" i="105"/>
  <c r="F762" i="105"/>
  <c r="F758" i="105"/>
  <c r="E762" i="105"/>
  <c r="E767" i="105"/>
  <c r="E758" i="105"/>
  <c r="G772" i="105"/>
  <c r="F767" i="105"/>
  <c r="E812" i="105"/>
  <c r="E810" i="105"/>
  <c r="E807" i="105"/>
  <c r="E805" i="105"/>
  <c r="E803" i="105"/>
  <c r="E801" i="105"/>
  <c r="E799" i="105"/>
  <c r="F812" i="105"/>
  <c r="F810" i="105"/>
  <c r="F807" i="105"/>
  <c r="F805" i="105"/>
  <c r="F803" i="105"/>
  <c r="F801" i="105"/>
  <c r="F799" i="105"/>
  <c r="E813" i="105"/>
  <c r="E809" i="105"/>
  <c r="E804" i="105"/>
  <c r="E800" i="105"/>
  <c r="F813" i="105"/>
  <c r="F809" i="105"/>
  <c r="F804" i="105"/>
  <c r="F800" i="105"/>
  <c r="F811" i="105"/>
  <c r="F802" i="105"/>
  <c r="F806" i="105"/>
  <c r="E811" i="105"/>
  <c r="E806" i="105"/>
  <c r="C796" i="105"/>
  <c r="E802" i="105"/>
  <c r="E856" i="105"/>
  <c r="E854" i="105"/>
  <c r="E851" i="105"/>
  <c r="E849" i="105"/>
  <c r="E847" i="105"/>
  <c r="E845" i="105"/>
  <c r="E843" i="105"/>
  <c r="F856" i="105"/>
  <c r="F854" i="105"/>
  <c r="F851" i="105"/>
  <c r="F849" i="105"/>
  <c r="F847" i="105"/>
  <c r="F845" i="105"/>
  <c r="F843" i="105"/>
  <c r="E857" i="105"/>
  <c r="E853" i="105"/>
  <c r="E848" i="105"/>
  <c r="E844" i="105"/>
  <c r="F857" i="105"/>
  <c r="F853" i="105"/>
  <c r="F848" i="105"/>
  <c r="F844" i="105"/>
  <c r="C840" i="105"/>
  <c r="F850" i="105"/>
  <c r="F855" i="105"/>
  <c r="G860" i="105"/>
  <c r="E855" i="105"/>
  <c r="E846" i="105"/>
  <c r="F846" i="105"/>
  <c r="E850" i="105"/>
  <c r="E900" i="105"/>
  <c r="E898" i="105"/>
  <c r="E895" i="105"/>
  <c r="E893" i="105"/>
  <c r="E891" i="105"/>
  <c r="E889" i="105"/>
  <c r="E887" i="105"/>
  <c r="F900" i="105"/>
  <c r="F898" i="105"/>
  <c r="F895" i="105"/>
  <c r="F893" i="105"/>
  <c r="F891" i="105"/>
  <c r="F889" i="105"/>
  <c r="F887" i="105"/>
  <c r="E901" i="105"/>
  <c r="E897" i="105"/>
  <c r="E892" i="105"/>
  <c r="E888" i="105"/>
  <c r="C884" i="105"/>
  <c r="F901" i="105"/>
  <c r="F897" i="105"/>
  <c r="F892" i="105"/>
  <c r="F888" i="105"/>
  <c r="F899" i="105"/>
  <c r="F890" i="105"/>
  <c r="G904" i="105"/>
  <c r="E890" i="105"/>
  <c r="E894" i="105"/>
  <c r="F894" i="105"/>
  <c r="E899" i="105"/>
  <c r="E944" i="105"/>
  <c r="E942" i="105"/>
  <c r="E939" i="105"/>
  <c r="E937" i="105"/>
  <c r="E935" i="105"/>
  <c r="E933" i="105"/>
  <c r="E931" i="105"/>
  <c r="F944" i="105"/>
  <c r="F942" i="105"/>
  <c r="F939" i="105"/>
  <c r="F937" i="105"/>
  <c r="F935" i="105"/>
  <c r="F933" i="105"/>
  <c r="F931" i="105"/>
  <c r="E945" i="105"/>
  <c r="E941" i="105"/>
  <c r="E936" i="105"/>
  <c r="E932" i="105"/>
  <c r="C928" i="105"/>
  <c r="E943" i="105"/>
  <c r="E938" i="105"/>
  <c r="E934" i="105"/>
  <c r="F945" i="105"/>
  <c r="F941" i="105"/>
  <c r="F936" i="105"/>
  <c r="F932" i="105"/>
  <c r="F943" i="105"/>
  <c r="F934" i="105"/>
  <c r="G948" i="105"/>
  <c r="F938" i="105"/>
  <c r="E988" i="105"/>
  <c r="E986" i="105"/>
  <c r="E983" i="105"/>
  <c r="E981" i="105"/>
  <c r="E979" i="105"/>
  <c r="E977" i="105"/>
  <c r="E975" i="105"/>
  <c r="F988" i="105"/>
  <c r="F986" i="105"/>
  <c r="F983" i="105"/>
  <c r="F981" i="105"/>
  <c r="F979" i="105"/>
  <c r="F977" i="105"/>
  <c r="F975" i="105"/>
  <c r="E989" i="105"/>
  <c r="E985" i="105"/>
  <c r="E980" i="105"/>
  <c r="E976" i="105"/>
  <c r="G992" i="105"/>
  <c r="E987" i="105"/>
  <c r="E982" i="105"/>
  <c r="E978" i="105"/>
  <c r="F989" i="105"/>
  <c r="F985" i="105"/>
  <c r="F980" i="105"/>
  <c r="F976" i="105"/>
  <c r="C972" i="105"/>
  <c r="F982" i="105"/>
  <c r="F978" i="105"/>
  <c r="F987" i="105"/>
  <c r="E1032" i="105"/>
  <c r="E1030" i="105"/>
  <c r="E1027" i="105"/>
  <c r="E1025" i="105"/>
  <c r="E1023" i="105"/>
  <c r="E1021" i="105"/>
  <c r="E1019" i="105"/>
  <c r="F1032" i="105"/>
  <c r="F1030" i="105"/>
  <c r="F1027" i="105"/>
  <c r="F1025" i="105"/>
  <c r="F1023" i="105"/>
  <c r="F1021" i="105"/>
  <c r="F1019" i="105"/>
  <c r="E1033" i="105"/>
  <c r="E1029" i="105"/>
  <c r="E1024" i="105"/>
  <c r="E1020" i="105"/>
  <c r="E1031" i="105"/>
  <c r="E1026" i="105"/>
  <c r="E1022" i="105"/>
  <c r="F1033" i="105"/>
  <c r="F1029" i="105"/>
  <c r="F1024" i="105"/>
  <c r="F1020" i="105"/>
  <c r="F1022" i="105"/>
  <c r="F1031" i="105"/>
  <c r="F1026" i="105"/>
  <c r="G1036" i="105"/>
  <c r="C1016" i="105"/>
  <c r="E42" i="105"/>
  <c r="E40" i="105"/>
  <c r="E37" i="105"/>
  <c r="E35" i="105"/>
  <c r="E33" i="105"/>
  <c r="E31" i="105"/>
  <c r="E29" i="105"/>
  <c r="C26" i="105"/>
  <c r="F42" i="105"/>
  <c r="F40" i="105"/>
  <c r="F37" i="105"/>
  <c r="F35" i="105"/>
  <c r="F33" i="105"/>
  <c r="F31" i="105"/>
  <c r="F29" i="105"/>
  <c r="G46" i="105"/>
  <c r="F41" i="105"/>
  <c r="F36" i="105"/>
  <c r="F32" i="105"/>
  <c r="F39" i="105"/>
  <c r="F30" i="105"/>
  <c r="E36" i="105"/>
  <c r="E43" i="105"/>
  <c r="E39" i="105"/>
  <c r="E34" i="105"/>
  <c r="E30" i="105"/>
  <c r="F43" i="105"/>
  <c r="F34" i="105"/>
  <c r="E41" i="105"/>
  <c r="E32" i="105"/>
  <c r="E86" i="105"/>
  <c r="E84" i="105"/>
  <c r="E81" i="105"/>
  <c r="E79" i="105"/>
  <c r="E77" i="105"/>
  <c r="E75" i="105"/>
  <c r="E73" i="105"/>
  <c r="F86" i="105"/>
  <c r="F84" i="105"/>
  <c r="F81" i="105"/>
  <c r="F79" i="105"/>
  <c r="F77" i="105"/>
  <c r="F75" i="105"/>
  <c r="F73" i="105"/>
  <c r="C70" i="105"/>
  <c r="F85" i="105"/>
  <c r="F80" i="105"/>
  <c r="F76" i="105"/>
  <c r="F87" i="105"/>
  <c r="F78" i="105"/>
  <c r="E85" i="105"/>
  <c r="E76" i="105"/>
  <c r="E87" i="105"/>
  <c r="E83" i="105"/>
  <c r="E78" i="105"/>
  <c r="E74" i="105"/>
  <c r="F83" i="105"/>
  <c r="F74" i="105"/>
  <c r="E80" i="105"/>
  <c r="E130" i="105"/>
  <c r="E128" i="105"/>
  <c r="E125" i="105"/>
  <c r="E123" i="105"/>
  <c r="E121" i="105"/>
  <c r="E119" i="105"/>
  <c r="E117" i="105"/>
  <c r="F130" i="105"/>
  <c r="F128" i="105"/>
  <c r="F125" i="105"/>
  <c r="F123" i="105"/>
  <c r="F121" i="105"/>
  <c r="F119" i="105"/>
  <c r="F117" i="105"/>
  <c r="G134" i="105"/>
  <c r="C114" i="105"/>
  <c r="F129" i="105"/>
  <c r="F124" i="105"/>
  <c r="F120" i="105"/>
  <c r="F131" i="105"/>
  <c r="F122" i="105"/>
  <c r="E124" i="105"/>
  <c r="E131" i="105"/>
  <c r="E127" i="105"/>
  <c r="E122" i="105"/>
  <c r="E118" i="105"/>
  <c r="F127" i="105"/>
  <c r="F118" i="105"/>
  <c r="E129" i="105"/>
  <c r="E120" i="105"/>
  <c r="E174" i="105"/>
  <c r="E172" i="105"/>
  <c r="E169" i="105"/>
  <c r="E167" i="105"/>
  <c r="E165" i="105"/>
  <c r="E163" i="105"/>
  <c r="E161" i="105"/>
  <c r="F174" i="105"/>
  <c r="F172" i="105"/>
  <c r="F169" i="105"/>
  <c r="F167" i="105"/>
  <c r="F165" i="105"/>
  <c r="F163" i="105"/>
  <c r="F161" i="105"/>
  <c r="G178" i="105"/>
  <c r="C158" i="105"/>
  <c r="F173" i="105"/>
  <c r="F168" i="105"/>
  <c r="F164" i="105"/>
  <c r="F171" i="105"/>
  <c r="F162" i="105"/>
  <c r="E173" i="105"/>
  <c r="E164" i="105"/>
  <c r="E175" i="105"/>
  <c r="E171" i="105"/>
  <c r="E166" i="105"/>
  <c r="E162" i="105"/>
  <c r="F175" i="105"/>
  <c r="F166" i="105"/>
  <c r="E168" i="105"/>
  <c r="E218" i="105"/>
  <c r="E216" i="105"/>
  <c r="E213" i="105"/>
  <c r="E211" i="105"/>
  <c r="E209" i="105"/>
  <c r="E207" i="105"/>
  <c r="E205" i="105"/>
  <c r="F218" i="105"/>
  <c r="F216" i="105"/>
  <c r="F213" i="105"/>
  <c r="F211" i="105"/>
  <c r="F209" i="105"/>
  <c r="F207" i="105"/>
  <c r="F205" i="105"/>
  <c r="G222" i="105"/>
  <c r="C202" i="105"/>
  <c r="F217" i="105"/>
  <c r="F212" i="105"/>
  <c r="F208" i="105"/>
  <c r="F219" i="105"/>
  <c r="F210" i="105"/>
  <c r="E212" i="105"/>
  <c r="E219" i="105"/>
  <c r="E215" i="105"/>
  <c r="E210" i="105"/>
  <c r="E206" i="105"/>
  <c r="F215" i="105"/>
  <c r="F206" i="105"/>
  <c r="E217" i="105"/>
  <c r="E208" i="105"/>
  <c r="E262" i="105"/>
  <c r="E260" i="105"/>
  <c r="E257" i="105"/>
  <c r="E255" i="105"/>
  <c r="F262" i="105"/>
  <c r="F260" i="105"/>
  <c r="F257" i="105"/>
  <c r="F255" i="105"/>
  <c r="E261" i="105"/>
  <c r="E256" i="105"/>
  <c r="E253" i="105"/>
  <c r="E251" i="105"/>
  <c r="E249" i="105"/>
  <c r="F261" i="105"/>
  <c r="F256" i="105"/>
  <c r="F253" i="105"/>
  <c r="F251" i="105"/>
  <c r="F249" i="105"/>
  <c r="F259" i="105"/>
  <c r="F252" i="105"/>
  <c r="F263" i="105"/>
  <c r="F250" i="105"/>
  <c r="E259" i="105"/>
  <c r="E263" i="105"/>
  <c r="E254" i="105"/>
  <c r="E250" i="105"/>
  <c r="C246" i="105"/>
  <c r="F254" i="105"/>
  <c r="E252" i="105"/>
  <c r="G266" i="105"/>
  <c r="E306" i="105"/>
  <c r="E304" i="105"/>
  <c r="E301" i="105"/>
  <c r="E299" i="105"/>
  <c r="E297" i="105"/>
  <c r="E295" i="105"/>
  <c r="E293" i="105"/>
  <c r="F306" i="105"/>
  <c r="F304" i="105"/>
  <c r="F301" i="105"/>
  <c r="F299" i="105"/>
  <c r="F297" i="105"/>
  <c r="F295" i="105"/>
  <c r="F293" i="105"/>
  <c r="E305" i="105"/>
  <c r="E300" i="105"/>
  <c r="E296" i="105"/>
  <c r="F305" i="105"/>
  <c r="F300" i="105"/>
  <c r="F296" i="105"/>
  <c r="F307" i="105"/>
  <c r="F298" i="105"/>
  <c r="C290" i="105"/>
  <c r="F294" i="105"/>
  <c r="E307" i="105"/>
  <c r="E303" i="105"/>
  <c r="E294" i="105"/>
  <c r="F303" i="105"/>
  <c r="G310" i="105"/>
  <c r="E298" i="105"/>
  <c r="E350" i="105"/>
  <c r="E348" i="105"/>
  <c r="E345" i="105"/>
  <c r="E343" i="105"/>
  <c r="E341" i="105"/>
  <c r="E339" i="105"/>
  <c r="E337" i="105"/>
  <c r="F350" i="105"/>
  <c r="F348" i="105"/>
  <c r="F345" i="105"/>
  <c r="F343" i="105"/>
  <c r="F341" i="105"/>
  <c r="F339" i="105"/>
  <c r="F337" i="105"/>
  <c r="E349" i="105"/>
  <c r="E344" i="105"/>
  <c r="E340" i="105"/>
  <c r="G354" i="105"/>
  <c r="C334" i="105"/>
  <c r="F349" i="105"/>
  <c r="F344" i="105"/>
  <c r="F340" i="105"/>
  <c r="F347" i="105"/>
  <c r="F338" i="105"/>
  <c r="F342" i="105"/>
  <c r="E338" i="105"/>
  <c r="E351" i="105"/>
  <c r="E342" i="105"/>
  <c r="F351" i="105"/>
  <c r="E347" i="105"/>
  <c r="E394" i="105"/>
  <c r="E392" i="105"/>
  <c r="E389" i="105"/>
  <c r="E387" i="105"/>
  <c r="E385" i="105"/>
  <c r="E383" i="105"/>
  <c r="E381" i="105"/>
  <c r="F394" i="105"/>
  <c r="F392" i="105"/>
  <c r="F389" i="105"/>
  <c r="F387" i="105"/>
  <c r="F385" i="105"/>
  <c r="F383" i="105"/>
  <c r="F381" i="105"/>
  <c r="E393" i="105"/>
  <c r="E388" i="105"/>
  <c r="E384" i="105"/>
  <c r="F393" i="105"/>
  <c r="F388" i="105"/>
  <c r="F384" i="105"/>
  <c r="G398" i="105"/>
  <c r="C378" i="105"/>
  <c r="F395" i="105"/>
  <c r="F386" i="105"/>
  <c r="F391" i="105"/>
  <c r="E386" i="105"/>
  <c r="E391" i="105"/>
  <c r="E382" i="105"/>
  <c r="F382" i="105"/>
  <c r="E395" i="105"/>
  <c r="E438" i="105"/>
  <c r="E436" i="105"/>
  <c r="E433" i="105"/>
  <c r="E431" i="105"/>
  <c r="E429" i="105"/>
  <c r="E427" i="105"/>
  <c r="E425" i="105"/>
  <c r="F438" i="105"/>
  <c r="F436" i="105"/>
  <c r="F433" i="105"/>
  <c r="F431" i="105"/>
  <c r="F429" i="105"/>
  <c r="F427" i="105"/>
  <c r="F425" i="105"/>
  <c r="E437" i="105"/>
  <c r="E432" i="105"/>
  <c r="E428" i="105"/>
  <c r="F437" i="105"/>
  <c r="F432" i="105"/>
  <c r="F428" i="105"/>
  <c r="G442" i="105"/>
  <c r="C422" i="105"/>
  <c r="F435" i="105"/>
  <c r="F426" i="105"/>
  <c r="F439" i="105"/>
  <c r="E435" i="105"/>
  <c r="E439" i="105"/>
  <c r="E430" i="105"/>
  <c r="F430" i="105"/>
  <c r="E426" i="105"/>
  <c r="E482" i="105"/>
  <c r="E480" i="105"/>
  <c r="E477" i="105"/>
  <c r="E475" i="105"/>
  <c r="E473" i="105"/>
  <c r="E471" i="105"/>
  <c r="E469" i="105"/>
  <c r="F482" i="105"/>
  <c r="F480" i="105"/>
  <c r="F477" i="105"/>
  <c r="F475" i="105"/>
  <c r="F473" i="105"/>
  <c r="F471" i="105"/>
  <c r="F469" i="105"/>
  <c r="E481" i="105"/>
  <c r="E476" i="105"/>
  <c r="E472" i="105"/>
  <c r="G486" i="105"/>
  <c r="C466" i="105"/>
  <c r="F481" i="105"/>
  <c r="F476" i="105"/>
  <c r="F472" i="105"/>
  <c r="F483" i="105"/>
  <c r="F474" i="105"/>
  <c r="F479" i="105"/>
  <c r="E483" i="105"/>
  <c r="E479" i="105"/>
  <c r="E470" i="105"/>
  <c r="F470" i="105"/>
  <c r="E474" i="105"/>
  <c r="E526" i="105"/>
  <c r="E524" i="105"/>
  <c r="E521" i="105"/>
  <c r="E519" i="105"/>
  <c r="E517" i="105"/>
  <c r="E515" i="105"/>
  <c r="E513" i="105"/>
  <c r="F526" i="105"/>
  <c r="F524" i="105"/>
  <c r="F521" i="105"/>
  <c r="F519" i="105"/>
  <c r="F517" i="105"/>
  <c r="F515" i="105"/>
  <c r="F513" i="105"/>
  <c r="E525" i="105"/>
  <c r="E520" i="105"/>
  <c r="E516" i="105"/>
  <c r="F525" i="105"/>
  <c r="F520" i="105"/>
  <c r="F516" i="105"/>
  <c r="G530" i="105"/>
  <c r="F523" i="105"/>
  <c r="F514" i="105"/>
  <c r="F527" i="105"/>
  <c r="C510" i="105"/>
  <c r="E514" i="105"/>
  <c r="E527" i="105"/>
  <c r="E518" i="105"/>
  <c r="F518" i="105"/>
  <c r="E523" i="105"/>
  <c r="E570" i="105"/>
  <c r="E568" i="105"/>
  <c r="E565" i="105"/>
  <c r="E563" i="105"/>
  <c r="E561" i="105"/>
  <c r="E559" i="105"/>
  <c r="E557" i="105"/>
  <c r="F570" i="105"/>
  <c r="F568" i="105"/>
  <c r="F565" i="105"/>
  <c r="F563" i="105"/>
  <c r="F561" i="105"/>
  <c r="F559" i="105"/>
  <c r="F557" i="105"/>
  <c r="E569" i="105"/>
  <c r="E564" i="105"/>
  <c r="E560" i="105"/>
  <c r="F569" i="105"/>
  <c r="F564" i="105"/>
  <c r="F560" i="105"/>
  <c r="F571" i="105"/>
  <c r="F562" i="105"/>
  <c r="F558" i="105"/>
  <c r="E562" i="105"/>
  <c r="G574" i="105"/>
  <c r="E567" i="105"/>
  <c r="E558" i="105"/>
  <c r="C554" i="105"/>
  <c r="F567" i="105"/>
  <c r="E571" i="105"/>
  <c r="E614" i="105"/>
  <c r="E612" i="105"/>
  <c r="E609" i="105"/>
  <c r="E607" i="105"/>
  <c r="E605" i="105"/>
  <c r="E603" i="105"/>
  <c r="E601" i="105"/>
  <c r="F614" i="105"/>
  <c r="F612" i="105"/>
  <c r="F609" i="105"/>
  <c r="F607" i="105"/>
  <c r="F605" i="105"/>
  <c r="F603" i="105"/>
  <c r="F601" i="105"/>
  <c r="E613" i="105"/>
  <c r="E608" i="105"/>
  <c r="E604" i="105"/>
  <c r="F613" i="105"/>
  <c r="F608" i="105"/>
  <c r="F604" i="105"/>
  <c r="C598" i="105"/>
  <c r="F611" i="105"/>
  <c r="F602" i="105"/>
  <c r="F606" i="105"/>
  <c r="E611" i="105"/>
  <c r="G618" i="105"/>
  <c r="E615" i="105"/>
  <c r="E606" i="105"/>
  <c r="F615" i="105"/>
  <c r="E602" i="105"/>
  <c r="E658" i="105"/>
  <c r="E656" i="105"/>
  <c r="E653" i="105"/>
  <c r="E651" i="105"/>
  <c r="E649" i="105"/>
  <c r="E647" i="105"/>
  <c r="E645" i="105"/>
  <c r="F658" i="105"/>
  <c r="F656" i="105"/>
  <c r="F653" i="105"/>
  <c r="F651" i="105"/>
  <c r="F649" i="105"/>
  <c r="F647" i="105"/>
  <c r="F645" i="105"/>
  <c r="E657" i="105"/>
  <c r="E652" i="105"/>
  <c r="E648" i="105"/>
  <c r="F657" i="105"/>
  <c r="F652" i="105"/>
  <c r="F648" i="105"/>
  <c r="G662" i="105"/>
  <c r="F659" i="105"/>
  <c r="F650" i="105"/>
  <c r="C642" i="105"/>
  <c r="F655" i="105"/>
  <c r="E659" i="105"/>
  <c r="E655" i="105"/>
  <c r="E646" i="105"/>
  <c r="F646" i="105"/>
  <c r="E650" i="105"/>
  <c r="E702" i="105"/>
  <c r="E700" i="105"/>
  <c r="E697" i="105"/>
  <c r="E695" i="105"/>
  <c r="E693" i="105"/>
  <c r="E691" i="105"/>
  <c r="E689" i="105"/>
  <c r="F702" i="105"/>
  <c r="F700" i="105"/>
  <c r="F697" i="105"/>
  <c r="F695" i="105"/>
  <c r="F693" i="105"/>
  <c r="F691" i="105"/>
  <c r="F689" i="105"/>
  <c r="E701" i="105"/>
  <c r="E696" i="105"/>
  <c r="E692" i="105"/>
  <c r="G706" i="105"/>
  <c r="F701" i="105"/>
  <c r="F696" i="105"/>
  <c r="F692" i="105"/>
  <c r="F699" i="105"/>
  <c r="F690" i="105"/>
  <c r="C686" i="105"/>
  <c r="F703" i="105"/>
  <c r="E690" i="105"/>
  <c r="E703" i="105"/>
  <c r="E694" i="105"/>
  <c r="F694" i="105"/>
  <c r="E699" i="105"/>
  <c r="E746" i="105"/>
  <c r="E744" i="105"/>
  <c r="E741" i="105"/>
  <c r="E739" i="105"/>
  <c r="E737" i="105"/>
  <c r="E735" i="105"/>
  <c r="E733" i="105"/>
  <c r="F746" i="105"/>
  <c r="F744" i="105"/>
  <c r="F741" i="105"/>
  <c r="F739" i="105"/>
  <c r="F737" i="105"/>
  <c r="F735" i="105"/>
  <c r="F733" i="105"/>
  <c r="E745" i="105"/>
  <c r="E740" i="105"/>
  <c r="E736" i="105"/>
  <c r="F745" i="105"/>
  <c r="F740" i="105"/>
  <c r="F736" i="105"/>
  <c r="F747" i="105"/>
  <c r="F738" i="105"/>
  <c r="C730" i="105"/>
  <c r="F734" i="105"/>
  <c r="E738" i="105"/>
  <c r="E743" i="105"/>
  <c r="E734" i="105"/>
  <c r="F743" i="105"/>
  <c r="G750" i="105"/>
  <c r="E747" i="105"/>
  <c r="E790" i="105"/>
  <c r="E788" i="105"/>
  <c r="E785" i="105"/>
  <c r="E783" i="105"/>
  <c r="E781" i="105"/>
  <c r="E779" i="105"/>
  <c r="E777" i="105"/>
  <c r="F790" i="105"/>
  <c r="F788" i="105"/>
  <c r="F785" i="105"/>
  <c r="F783" i="105"/>
  <c r="F781" i="105"/>
  <c r="F779" i="105"/>
  <c r="F777" i="105"/>
  <c r="E789" i="105"/>
  <c r="E784" i="105"/>
  <c r="E780" i="105"/>
  <c r="C774" i="105"/>
  <c r="F789" i="105"/>
  <c r="F784" i="105"/>
  <c r="F780" i="105"/>
  <c r="G794" i="105"/>
  <c r="F787" i="105"/>
  <c r="F778" i="105"/>
  <c r="F782" i="105"/>
  <c r="E787" i="105"/>
  <c r="E791" i="105"/>
  <c r="E782" i="105"/>
  <c r="F791" i="105"/>
  <c r="E778" i="105"/>
  <c r="E834" i="105"/>
  <c r="E832" i="105"/>
  <c r="E829" i="105"/>
  <c r="E827" i="105"/>
  <c r="E825" i="105"/>
  <c r="E823" i="105"/>
  <c r="E821" i="105"/>
  <c r="F834" i="105"/>
  <c r="F832" i="105"/>
  <c r="F829" i="105"/>
  <c r="F827" i="105"/>
  <c r="F825" i="105"/>
  <c r="F823" i="105"/>
  <c r="F821" i="105"/>
  <c r="E833" i="105"/>
  <c r="E828" i="105"/>
  <c r="E824" i="105"/>
  <c r="F833" i="105"/>
  <c r="F828" i="105"/>
  <c r="F824" i="105"/>
  <c r="F835" i="105"/>
  <c r="F826" i="105"/>
  <c r="G838" i="105"/>
  <c r="F831" i="105"/>
  <c r="C818" i="105"/>
  <c r="E835" i="105"/>
  <c r="E831" i="105"/>
  <c r="E822" i="105"/>
  <c r="F822" i="105"/>
  <c r="E826" i="105"/>
  <c r="E878" i="105"/>
  <c r="E876" i="105"/>
  <c r="E873" i="105"/>
  <c r="E871" i="105"/>
  <c r="E869" i="105"/>
  <c r="E867" i="105"/>
  <c r="E865" i="105"/>
  <c r="F878" i="105"/>
  <c r="F876" i="105"/>
  <c r="F873" i="105"/>
  <c r="F871" i="105"/>
  <c r="F869" i="105"/>
  <c r="F867" i="105"/>
  <c r="F865" i="105"/>
  <c r="E877" i="105"/>
  <c r="E872" i="105"/>
  <c r="E868" i="105"/>
  <c r="C862" i="105"/>
  <c r="F877" i="105"/>
  <c r="F872" i="105"/>
  <c r="F868" i="105"/>
  <c r="F875" i="105"/>
  <c r="F866" i="105"/>
  <c r="F879" i="105"/>
  <c r="E866" i="105"/>
  <c r="E879" i="105"/>
  <c r="E870" i="105"/>
  <c r="F870" i="105"/>
  <c r="E875" i="105"/>
  <c r="G882" i="105"/>
  <c r="E922" i="105"/>
  <c r="E920" i="105"/>
  <c r="E917" i="105"/>
  <c r="E915" i="105"/>
  <c r="E913" i="105"/>
  <c r="E911" i="105"/>
  <c r="E909" i="105"/>
  <c r="F922" i="105"/>
  <c r="F920" i="105"/>
  <c r="F917" i="105"/>
  <c r="F915" i="105"/>
  <c r="F913" i="105"/>
  <c r="F911" i="105"/>
  <c r="F909" i="105"/>
  <c r="E921" i="105"/>
  <c r="E916" i="105"/>
  <c r="E912" i="105"/>
  <c r="E923" i="105"/>
  <c r="E919" i="105"/>
  <c r="E914" i="105"/>
  <c r="F921" i="105"/>
  <c r="F916" i="105"/>
  <c r="F912" i="105"/>
  <c r="C906" i="105"/>
  <c r="F919" i="105"/>
  <c r="F910" i="105"/>
  <c r="F914" i="105"/>
  <c r="F923" i="105"/>
  <c r="E910" i="105"/>
  <c r="G926" i="105"/>
  <c r="E966" i="105"/>
  <c r="E964" i="105"/>
  <c r="E961" i="105"/>
  <c r="E959" i="105"/>
  <c r="E957" i="105"/>
  <c r="E955" i="105"/>
  <c r="E953" i="105"/>
  <c r="F966" i="105"/>
  <c r="F964" i="105"/>
  <c r="F961" i="105"/>
  <c r="F959" i="105"/>
  <c r="F957" i="105"/>
  <c r="F955" i="105"/>
  <c r="F953" i="105"/>
  <c r="E965" i="105"/>
  <c r="E960" i="105"/>
  <c r="E956" i="105"/>
  <c r="C950" i="105"/>
  <c r="E967" i="105"/>
  <c r="E963" i="105"/>
  <c r="E958" i="105"/>
  <c r="E954" i="105"/>
  <c r="F965" i="105"/>
  <c r="F960" i="105"/>
  <c r="F956" i="105"/>
  <c r="G970" i="105"/>
  <c r="F967" i="105"/>
  <c r="F963" i="105"/>
  <c r="F954" i="105"/>
  <c r="F958" i="105"/>
  <c r="E1010" i="105"/>
  <c r="E1008" i="105"/>
  <c r="E1005" i="105"/>
  <c r="E1003" i="105"/>
  <c r="E1001" i="105"/>
  <c r="E999" i="105"/>
  <c r="E997" i="105"/>
  <c r="F1010" i="105"/>
  <c r="F1008" i="105"/>
  <c r="F1005" i="105"/>
  <c r="F1003" i="105"/>
  <c r="F1001" i="105"/>
  <c r="F999" i="105"/>
  <c r="F997" i="105"/>
  <c r="E1009" i="105"/>
  <c r="E1004" i="105"/>
  <c r="E1000" i="105"/>
  <c r="G1014" i="105"/>
  <c r="E1011" i="105"/>
  <c r="E1007" i="105"/>
  <c r="E1002" i="105"/>
  <c r="E998" i="105"/>
  <c r="F1009" i="105"/>
  <c r="F1004" i="105"/>
  <c r="F1000" i="105"/>
  <c r="F998" i="105"/>
  <c r="F1011" i="105"/>
  <c r="F1002" i="105"/>
  <c r="C994" i="105"/>
  <c r="F1007" i="105"/>
  <c r="E1054" i="105"/>
  <c r="E1052" i="105"/>
  <c r="E1049" i="105"/>
  <c r="E1047" i="105"/>
  <c r="E1045" i="105"/>
  <c r="E1043" i="105"/>
  <c r="E1041" i="105"/>
  <c r="F1054" i="105"/>
  <c r="F1052" i="105"/>
  <c r="F1049" i="105"/>
  <c r="F1047" i="105"/>
  <c r="F1045" i="105"/>
  <c r="F1043" i="105"/>
  <c r="F1041" i="105"/>
  <c r="E1053" i="105"/>
  <c r="E1048" i="105"/>
  <c r="E1044" i="105"/>
  <c r="E1051" i="105"/>
  <c r="E1046" i="105"/>
  <c r="E1042" i="105"/>
  <c r="F1053" i="105"/>
  <c r="F1048" i="105"/>
  <c r="F1044" i="105"/>
  <c r="C1038" i="105"/>
  <c r="F1046" i="105"/>
  <c r="F1055" i="105"/>
  <c r="F1051" i="105"/>
  <c r="G1058" i="105"/>
  <c r="E1055" i="105"/>
  <c r="F1042" i="105"/>
  <c r="E42" i="104"/>
  <c r="E40" i="104"/>
  <c r="E37" i="104"/>
  <c r="E35" i="104"/>
  <c r="E33" i="104"/>
  <c r="E31" i="104"/>
  <c r="E29" i="104"/>
  <c r="G46" i="104"/>
  <c r="F43" i="104"/>
  <c r="F41" i="104"/>
  <c r="F39" i="104"/>
  <c r="F36" i="104"/>
  <c r="F34" i="104"/>
  <c r="F32" i="104"/>
  <c r="F30" i="104"/>
  <c r="C26" i="104"/>
  <c r="E41" i="104"/>
  <c r="E36" i="104"/>
  <c r="E32" i="104"/>
  <c r="E43" i="104"/>
  <c r="E34" i="104"/>
  <c r="F35" i="104"/>
  <c r="F42" i="104"/>
  <c r="F37" i="104"/>
  <c r="F33" i="104"/>
  <c r="F29" i="104"/>
  <c r="E39" i="104"/>
  <c r="E30" i="104"/>
  <c r="F40" i="104"/>
  <c r="F31" i="104"/>
  <c r="E86" i="104"/>
  <c r="E84" i="104"/>
  <c r="E81" i="104"/>
  <c r="E79" i="104"/>
  <c r="E77" i="104"/>
  <c r="E75" i="104"/>
  <c r="E73" i="104"/>
  <c r="F87" i="104"/>
  <c r="F85" i="104"/>
  <c r="F83" i="104"/>
  <c r="F80" i="104"/>
  <c r="F78" i="104"/>
  <c r="F76" i="104"/>
  <c r="F74" i="104"/>
  <c r="E85" i="104"/>
  <c r="E80" i="104"/>
  <c r="E76" i="104"/>
  <c r="G90" i="104"/>
  <c r="C70" i="104"/>
  <c r="E83" i="104"/>
  <c r="E74" i="104"/>
  <c r="F79" i="104"/>
  <c r="F86" i="104"/>
  <c r="F81" i="104"/>
  <c r="F77" i="104"/>
  <c r="F73" i="104"/>
  <c r="E87" i="104"/>
  <c r="E78" i="104"/>
  <c r="F84" i="104"/>
  <c r="F75" i="104"/>
  <c r="E130" i="104"/>
  <c r="E128" i="104"/>
  <c r="E125" i="104"/>
  <c r="E123" i="104"/>
  <c r="E121" i="104"/>
  <c r="E119" i="104"/>
  <c r="E117" i="104"/>
  <c r="G134" i="104"/>
  <c r="C114" i="104"/>
  <c r="F131" i="104"/>
  <c r="F129" i="104"/>
  <c r="F127" i="104"/>
  <c r="F124" i="104"/>
  <c r="F122" i="104"/>
  <c r="F120" i="104"/>
  <c r="F118" i="104"/>
  <c r="E129" i="104"/>
  <c r="E124" i="104"/>
  <c r="E120" i="104"/>
  <c r="E131" i="104"/>
  <c r="E122" i="104"/>
  <c r="F128" i="104"/>
  <c r="F119" i="104"/>
  <c r="F130" i="104"/>
  <c r="F125" i="104"/>
  <c r="F121" i="104"/>
  <c r="F117" i="104"/>
  <c r="E127" i="104"/>
  <c r="E118" i="104"/>
  <c r="F123" i="104"/>
  <c r="E174" i="104"/>
  <c r="E172" i="104"/>
  <c r="E169" i="104"/>
  <c r="E167" i="104"/>
  <c r="E165" i="104"/>
  <c r="E163" i="104"/>
  <c r="E161" i="104"/>
  <c r="G178" i="104"/>
  <c r="C158" i="104"/>
  <c r="F174" i="104"/>
  <c r="F169" i="104"/>
  <c r="F165" i="104"/>
  <c r="F175" i="104"/>
  <c r="F173" i="104"/>
  <c r="F171" i="104"/>
  <c r="F168" i="104"/>
  <c r="F166" i="104"/>
  <c r="F164" i="104"/>
  <c r="F162" i="104"/>
  <c r="F172" i="104"/>
  <c r="F167" i="104"/>
  <c r="F163" i="104"/>
  <c r="F161" i="104"/>
  <c r="E175" i="104"/>
  <c r="E166" i="104"/>
  <c r="E162" i="104"/>
  <c r="E173" i="104"/>
  <c r="E168" i="104"/>
  <c r="E171" i="104"/>
  <c r="E164" i="104"/>
  <c r="E218" i="104"/>
  <c r="E216" i="104"/>
  <c r="E213" i="104"/>
  <c r="E211" i="104"/>
  <c r="E209" i="104"/>
  <c r="E207" i="104"/>
  <c r="E205" i="104"/>
  <c r="F218" i="104"/>
  <c r="F213" i="104"/>
  <c r="F209" i="104"/>
  <c r="F205" i="104"/>
  <c r="F219" i="104"/>
  <c r="F217" i="104"/>
  <c r="F215" i="104"/>
  <c r="F212" i="104"/>
  <c r="F210" i="104"/>
  <c r="F208" i="104"/>
  <c r="F206" i="104"/>
  <c r="F216" i="104"/>
  <c r="F211" i="104"/>
  <c r="F207" i="104"/>
  <c r="E215" i="104"/>
  <c r="E206" i="104"/>
  <c r="E210" i="104"/>
  <c r="E217" i="104"/>
  <c r="E208" i="104"/>
  <c r="C202" i="104"/>
  <c r="E219" i="104"/>
  <c r="E212" i="104"/>
  <c r="G222" i="104"/>
  <c r="E262" i="104"/>
  <c r="E260" i="104"/>
  <c r="E257" i="104"/>
  <c r="E255" i="104"/>
  <c r="E253" i="104"/>
  <c r="E251" i="104"/>
  <c r="E249" i="104"/>
  <c r="G266" i="104"/>
  <c r="C246" i="104"/>
  <c r="F262" i="104"/>
  <c r="F257" i="104"/>
  <c r="F253" i="104"/>
  <c r="F249" i="104"/>
  <c r="F263" i="104"/>
  <c r="F261" i="104"/>
  <c r="F259" i="104"/>
  <c r="F256" i="104"/>
  <c r="F254" i="104"/>
  <c r="F252" i="104"/>
  <c r="F250" i="104"/>
  <c r="F260" i="104"/>
  <c r="F255" i="104"/>
  <c r="F251" i="104"/>
  <c r="E263" i="104"/>
  <c r="E254" i="104"/>
  <c r="E259" i="104"/>
  <c r="E261" i="104"/>
  <c r="E256" i="104"/>
  <c r="E250" i="104"/>
  <c r="E252" i="104"/>
  <c r="E306" i="104"/>
  <c r="E304" i="104"/>
  <c r="E301" i="104"/>
  <c r="E299" i="104"/>
  <c r="E297" i="104"/>
  <c r="E295" i="104"/>
  <c r="E293" i="104"/>
  <c r="F306" i="104"/>
  <c r="F301" i="104"/>
  <c r="F297" i="104"/>
  <c r="F293" i="104"/>
  <c r="F307" i="104"/>
  <c r="F305" i="104"/>
  <c r="F303" i="104"/>
  <c r="F300" i="104"/>
  <c r="F298" i="104"/>
  <c r="F296" i="104"/>
  <c r="F294" i="104"/>
  <c r="F304" i="104"/>
  <c r="F299" i="104"/>
  <c r="F295" i="104"/>
  <c r="E303" i="104"/>
  <c r="E294" i="104"/>
  <c r="C290" i="104"/>
  <c r="E307" i="104"/>
  <c r="E305" i="104"/>
  <c r="E296" i="104"/>
  <c r="E298" i="104"/>
  <c r="G310" i="104"/>
  <c r="E300" i="104"/>
  <c r="E350" i="104"/>
  <c r="E348" i="104"/>
  <c r="E345" i="104"/>
  <c r="E343" i="104"/>
  <c r="E341" i="104"/>
  <c r="E339" i="104"/>
  <c r="E337" i="104"/>
  <c r="F350" i="104"/>
  <c r="F345" i="104"/>
  <c r="F341" i="104"/>
  <c r="F337" i="104"/>
  <c r="F351" i="104"/>
  <c r="F349" i="104"/>
  <c r="F347" i="104"/>
  <c r="F344" i="104"/>
  <c r="F342" i="104"/>
  <c r="F340" i="104"/>
  <c r="F338" i="104"/>
  <c r="F348" i="104"/>
  <c r="F343" i="104"/>
  <c r="F339" i="104"/>
  <c r="E351" i="104"/>
  <c r="E342" i="104"/>
  <c r="G354" i="104"/>
  <c r="E347" i="104"/>
  <c r="E338" i="104"/>
  <c r="E349" i="104"/>
  <c r="E344" i="104"/>
  <c r="C334" i="104"/>
  <c r="E340" i="104"/>
  <c r="E196" i="104"/>
  <c r="E194" i="104"/>
  <c r="E191" i="104"/>
  <c r="E189" i="104"/>
  <c r="E187" i="104"/>
  <c r="E185" i="104"/>
  <c r="E183" i="104"/>
  <c r="G200" i="104"/>
  <c r="F194" i="104"/>
  <c r="F189" i="104"/>
  <c r="F185" i="104"/>
  <c r="F197" i="104"/>
  <c r="F195" i="104"/>
  <c r="F193" i="104"/>
  <c r="F190" i="104"/>
  <c r="F188" i="104"/>
  <c r="F186" i="104"/>
  <c r="F184" i="104"/>
  <c r="F196" i="104"/>
  <c r="F191" i="104"/>
  <c r="F187" i="104"/>
  <c r="F183" i="104"/>
  <c r="E190" i="104"/>
  <c r="E186" i="104"/>
  <c r="E197" i="104"/>
  <c r="C180" i="104"/>
  <c r="E193" i="104"/>
  <c r="E184" i="104"/>
  <c r="E195" i="104"/>
  <c r="E188" i="104"/>
  <c r="E240" i="104"/>
  <c r="E238" i="104"/>
  <c r="E235" i="104"/>
  <c r="E233" i="104"/>
  <c r="E231" i="104"/>
  <c r="E229" i="104"/>
  <c r="E227" i="104"/>
  <c r="F238" i="104"/>
  <c r="F233" i="104"/>
  <c r="F229" i="104"/>
  <c r="F241" i="104"/>
  <c r="F239" i="104"/>
  <c r="F237" i="104"/>
  <c r="F234" i="104"/>
  <c r="F232" i="104"/>
  <c r="F230" i="104"/>
  <c r="F228" i="104"/>
  <c r="G244" i="104"/>
  <c r="F240" i="104"/>
  <c r="F235" i="104"/>
  <c r="F231" i="104"/>
  <c r="F227" i="104"/>
  <c r="E239" i="104"/>
  <c r="E230" i="104"/>
  <c r="C224" i="104"/>
  <c r="E234" i="104"/>
  <c r="E237" i="104"/>
  <c r="E241" i="104"/>
  <c r="E232" i="104"/>
  <c r="E228" i="104"/>
  <c r="E284" i="104"/>
  <c r="E282" i="104"/>
  <c r="E279" i="104"/>
  <c r="E277" i="104"/>
  <c r="E275" i="104"/>
  <c r="E273" i="104"/>
  <c r="E271" i="104"/>
  <c r="F282" i="104"/>
  <c r="F277" i="104"/>
  <c r="F273" i="104"/>
  <c r="F285" i="104"/>
  <c r="F283" i="104"/>
  <c r="F281" i="104"/>
  <c r="F278" i="104"/>
  <c r="F276" i="104"/>
  <c r="F274" i="104"/>
  <c r="F272" i="104"/>
  <c r="F284" i="104"/>
  <c r="F279" i="104"/>
  <c r="F275" i="104"/>
  <c r="F271" i="104"/>
  <c r="E278" i="104"/>
  <c r="E283" i="104"/>
  <c r="E285" i="104"/>
  <c r="E281" i="104"/>
  <c r="E272" i="104"/>
  <c r="C268" i="104"/>
  <c r="E274" i="104"/>
  <c r="E276" i="104"/>
  <c r="G288" i="104"/>
  <c r="E328" i="104"/>
  <c r="E326" i="104"/>
  <c r="E323" i="104"/>
  <c r="E321" i="104"/>
  <c r="E319" i="104"/>
  <c r="E317" i="104"/>
  <c r="E315" i="104"/>
  <c r="G332" i="104"/>
  <c r="F326" i="104"/>
  <c r="F321" i="104"/>
  <c r="F317" i="104"/>
  <c r="F329" i="104"/>
  <c r="F327" i="104"/>
  <c r="F325" i="104"/>
  <c r="F322" i="104"/>
  <c r="F320" i="104"/>
  <c r="F318" i="104"/>
  <c r="F316" i="104"/>
  <c r="C312" i="104"/>
  <c r="F328" i="104"/>
  <c r="F323" i="104"/>
  <c r="F319" i="104"/>
  <c r="F315" i="104"/>
  <c r="E327" i="104"/>
  <c r="E318" i="104"/>
  <c r="E322" i="104"/>
  <c r="E325" i="104"/>
  <c r="E329" i="104"/>
  <c r="E320" i="104"/>
  <c r="E316" i="104"/>
  <c r="E372" i="104"/>
  <c r="E370" i="104"/>
  <c r="E367" i="104"/>
  <c r="E365" i="104"/>
  <c r="E363" i="104"/>
  <c r="E361" i="104"/>
  <c r="E359" i="104"/>
  <c r="F372" i="104"/>
  <c r="F365" i="104"/>
  <c r="F361" i="104"/>
  <c r="F373" i="104"/>
  <c r="F371" i="104"/>
  <c r="F369" i="104"/>
  <c r="F366" i="104"/>
  <c r="F364" i="104"/>
  <c r="F362" i="104"/>
  <c r="F360" i="104"/>
  <c r="G376" i="104"/>
  <c r="C356" i="104"/>
  <c r="F370" i="104"/>
  <c r="F367" i="104"/>
  <c r="F363" i="104"/>
  <c r="F359" i="104"/>
  <c r="E366" i="104"/>
  <c r="E362" i="104"/>
  <c r="E373" i="104"/>
  <c r="E369" i="104"/>
  <c r="E360" i="104"/>
  <c r="E371" i="104"/>
  <c r="E364" i="104"/>
  <c r="E20" i="104"/>
  <c r="E18" i="104"/>
  <c r="E15" i="104"/>
  <c r="E13" i="104"/>
  <c r="E11" i="104"/>
  <c r="E9" i="104"/>
  <c r="E7" i="104"/>
  <c r="F21" i="104"/>
  <c r="F19" i="104"/>
  <c r="F17" i="104"/>
  <c r="F14" i="104"/>
  <c r="F12" i="104"/>
  <c r="F10" i="104"/>
  <c r="F8" i="104"/>
  <c r="E21" i="104"/>
  <c r="E17" i="104"/>
  <c r="E12" i="104"/>
  <c r="E8" i="104"/>
  <c r="E19" i="104"/>
  <c r="E10" i="104"/>
  <c r="G24" i="104"/>
  <c r="F15" i="104"/>
  <c r="F7" i="104"/>
  <c r="F18" i="104"/>
  <c r="F13" i="104"/>
  <c r="F9" i="104"/>
  <c r="E14" i="104"/>
  <c r="F20" i="104"/>
  <c r="F11" i="104"/>
  <c r="C4" i="104"/>
  <c r="E64" i="104"/>
  <c r="E62" i="104"/>
  <c r="E59" i="104"/>
  <c r="E57" i="104"/>
  <c r="E55" i="104"/>
  <c r="E53" i="104"/>
  <c r="E51" i="104"/>
  <c r="G68" i="104"/>
  <c r="F65" i="104"/>
  <c r="F63" i="104"/>
  <c r="F61" i="104"/>
  <c r="F58" i="104"/>
  <c r="F56" i="104"/>
  <c r="F54" i="104"/>
  <c r="F52" i="104"/>
  <c r="E65" i="104"/>
  <c r="E61" i="104"/>
  <c r="E56" i="104"/>
  <c r="E52" i="104"/>
  <c r="E58" i="104"/>
  <c r="F64" i="104"/>
  <c r="F55" i="104"/>
  <c r="F62" i="104"/>
  <c r="F57" i="104"/>
  <c r="F53" i="104"/>
  <c r="C48" i="104"/>
  <c r="E63" i="104"/>
  <c r="E54" i="104"/>
  <c r="F59" i="104"/>
  <c r="F51" i="104"/>
  <c r="E108" i="104"/>
  <c r="E106" i="104"/>
  <c r="E103" i="104"/>
  <c r="E101" i="104"/>
  <c r="E99" i="104"/>
  <c r="E97" i="104"/>
  <c r="E95" i="104"/>
  <c r="C92" i="104"/>
  <c r="F109" i="104"/>
  <c r="F107" i="104"/>
  <c r="F105" i="104"/>
  <c r="F102" i="104"/>
  <c r="F100" i="104"/>
  <c r="F98" i="104"/>
  <c r="F96" i="104"/>
  <c r="E109" i="104"/>
  <c r="E105" i="104"/>
  <c r="E100" i="104"/>
  <c r="E96" i="104"/>
  <c r="G112" i="104"/>
  <c r="E107" i="104"/>
  <c r="E98" i="104"/>
  <c r="F103" i="104"/>
  <c r="F95" i="104"/>
  <c r="F106" i="104"/>
  <c r="F101" i="104"/>
  <c r="F97" i="104"/>
  <c r="E102" i="104"/>
  <c r="F108" i="104"/>
  <c r="F99" i="104"/>
  <c r="E152" i="104"/>
  <c r="E150" i="104"/>
  <c r="E147" i="104"/>
  <c r="E145" i="104"/>
  <c r="E143" i="104"/>
  <c r="E141" i="104"/>
  <c r="E139" i="104"/>
  <c r="F152" i="104"/>
  <c r="F147" i="104"/>
  <c r="F143" i="104"/>
  <c r="F139" i="104"/>
  <c r="F153" i="104"/>
  <c r="F151" i="104"/>
  <c r="F149" i="104"/>
  <c r="F146" i="104"/>
  <c r="F144" i="104"/>
  <c r="F142" i="104"/>
  <c r="F140" i="104"/>
  <c r="G156" i="104"/>
  <c r="F150" i="104"/>
  <c r="F145" i="104"/>
  <c r="F141" i="104"/>
  <c r="E151" i="104"/>
  <c r="E142" i="104"/>
  <c r="C136" i="104"/>
  <c r="E149" i="104"/>
  <c r="E153" i="104"/>
  <c r="E144" i="104"/>
  <c r="E146" i="104"/>
  <c r="E140" i="104"/>
  <c r="G193" i="126"/>
  <c r="D198" i="126"/>
  <c r="G215" i="126"/>
  <c r="D220" i="126"/>
  <c r="D132" i="126"/>
  <c r="G127" i="126"/>
  <c r="G83" i="126"/>
  <c r="D88" i="126"/>
  <c r="F236" i="126"/>
  <c r="F242" i="126"/>
  <c r="E236" i="126"/>
  <c r="G197" i="126"/>
  <c r="G191" i="126"/>
  <c r="G153" i="126"/>
  <c r="G151" i="126"/>
  <c r="G108" i="126"/>
  <c r="E66" i="126"/>
  <c r="G51" i="126"/>
  <c r="E60" i="126"/>
  <c r="G59" i="126"/>
  <c r="G10" i="126"/>
  <c r="G9" i="126"/>
  <c r="G217" i="126"/>
  <c r="G169" i="126"/>
  <c r="G173" i="126"/>
  <c r="G174" i="126"/>
  <c r="G122" i="126"/>
  <c r="F126" i="126"/>
  <c r="E126" i="126"/>
  <c r="G85" i="126"/>
  <c r="F88" i="126"/>
  <c r="G81" i="126"/>
  <c r="G36" i="126"/>
  <c r="G41" i="126"/>
  <c r="G33" i="126"/>
  <c r="D44" i="126"/>
  <c r="G39" i="126"/>
  <c r="F60" i="126"/>
  <c r="G87" i="126"/>
  <c r="G234" i="126"/>
  <c r="G146" i="126"/>
  <c r="G147" i="126"/>
  <c r="G103" i="126"/>
  <c r="G63" i="126"/>
  <c r="G52" i="126"/>
  <c r="G55" i="126"/>
  <c r="G14" i="126"/>
  <c r="G13" i="126"/>
  <c r="G212" i="126"/>
  <c r="E220" i="126"/>
  <c r="G216" i="126"/>
  <c r="G210" i="126"/>
  <c r="E214" i="126"/>
  <c r="G162" i="126"/>
  <c r="G166" i="126"/>
  <c r="F176" i="126"/>
  <c r="G167" i="126"/>
  <c r="G119" i="126"/>
  <c r="F132" i="126"/>
  <c r="G124" i="126"/>
  <c r="G73" i="126"/>
  <c r="G80" i="126"/>
  <c r="G74" i="126"/>
  <c r="E38" i="126"/>
  <c r="E45" i="126" s="1"/>
  <c r="G37" i="126"/>
  <c r="G105" i="126"/>
  <c r="D110" i="126"/>
  <c r="G171" i="126"/>
  <c r="D176" i="126"/>
  <c r="D242" i="126"/>
  <c r="G237" i="126"/>
  <c r="D154" i="126"/>
  <c r="G149" i="126"/>
  <c r="D66" i="126"/>
  <c r="G61" i="126"/>
  <c r="D22" i="126"/>
  <c r="G17" i="126"/>
  <c r="G240" i="126"/>
  <c r="G190" i="126"/>
  <c r="G187" i="126"/>
  <c r="E192" i="126"/>
  <c r="E154" i="126"/>
  <c r="G54" i="126"/>
  <c r="G65" i="126"/>
  <c r="G8" i="126"/>
  <c r="E16" i="126"/>
  <c r="E23" i="126" s="1"/>
  <c r="G15" i="126"/>
  <c r="G207" i="126"/>
  <c r="G131" i="126"/>
  <c r="G34" i="126"/>
  <c r="G239" i="126"/>
  <c r="G183" i="126"/>
  <c r="F192" i="126"/>
  <c r="G186" i="126"/>
  <c r="G144" i="126"/>
  <c r="E148" i="126"/>
  <c r="G106" i="126"/>
  <c r="G96" i="126"/>
  <c r="G98" i="126"/>
  <c r="G101" i="126"/>
  <c r="F66" i="126"/>
  <c r="G235" i="126"/>
  <c r="G233" i="126"/>
  <c r="G230" i="126"/>
  <c r="E242" i="126"/>
  <c r="G185" i="126"/>
  <c r="G195" i="126"/>
  <c r="F198" i="126"/>
  <c r="G188" i="126"/>
  <c r="G194" i="126"/>
  <c r="G142" i="126"/>
  <c r="G141" i="126"/>
  <c r="G143" i="126"/>
  <c r="F148" i="126"/>
  <c r="F154" i="126"/>
  <c r="E110" i="126"/>
  <c r="F104" i="126"/>
  <c r="G107" i="126"/>
  <c r="G97" i="126"/>
  <c r="E104" i="126"/>
  <c r="G64" i="126"/>
  <c r="G58" i="126"/>
  <c r="G53" i="126"/>
  <c r="F16" i="126"/>
  <c r="G7" i="126"/>
  <c r="G20" i="126"/>
  <c r="G12" i="126"/>
  <c r="G11" i="126"/>
  <c r="G219" i="126"/>
  <c r="G211" i="126"/>
  <c r="G213" i="126"/>
  <c r="F214" i="126"/>
  <c r="F221" i="126" s="1"/>
  <c r="G205" i="126"/>
  <c r="G165" i="126"/>
  <c r="G175" i="126"/>
  <c r="F170" i="126"/>
  <c r="G163" i="126"/>
  <c r="E170" i="126"/>
  <c r="E132" i="126"/>
  <c r="G125" i="126"/>
  <c r="G130" i="126"/>
  <c r="G118" i="126"/>
  <c r="G120" i="126"/>
  <c r="G86" i="126"/>
  <c r="E88" i="126"/>
  <c r="G76" i="126"/>
  <c r="F82" i="126"/>
  <c r="G82" i="126" s="1"/>
  <c r="G84" i="126"/>
  <c r="G40" i="126"/>
  <c r="F38" i="126"/>
  <c r="G30" i="126"/>
  <c r="F44" i="126"/>
  <c r="G43" i="126"/>
  <c r="G35" i="126"/>
  <c r="G435" i="127"/>
  <c r="D440" i="127"/>
  <c r="G391" i="127"/>
  <c r="D396" i="127"/>
  <c r="G303" i="127"/>
  <c r="D308" i="127"/>
  <c r="G259" i="127"/>
  <c r="D264" i="127"/>
  <c r="D22" i="127"/>
  <c r="G17" i="127"/>
  <c r="G215" i="127"/>
  <c r="D220" i="127"/>
  <c r="G83" i="127"/>
  <c r="D88" i="127"/>
  <c r="G39" i="127"/>
  <c r="D44" i="127"/>
  <c r="D154" i="127"/>
  <c r="G149" i="127"/>
  <c r="G439" i="127"/>
  <c r="G384" i="127"/>
  <c r="E390" i="127"/>
  <c r="G263" i="127"/>
  <c r="G208" i="127"/>
  <c r="E214" i="127"/>
  <c r="G172" i="127"/>
  <c r="G409" i="127"/>
  <c r="E418" i="127"/>
  <c r="E374" i="127"/>
  <c r="G366" i="127"/>
  <c r="G329" i="127"/>
  <c r="G279" i="127"/>
  <c r="G234" i="127"/>
  <c r="E242" i="127"/>
  <c r="F198" i="127"/>
  <c r="G150" i="127"/>
  <c r="G140" i="127"/>
  <c r="G97" i="127"/>
  <c r="G103" i="127"/>
  <c r="G100" i="127"/>
  <c r="E104" i="127"/>
  <c r="G426" i="127"/>
  <c r="G430" i="127"/>
  <c r="G431" i="127"/>
  <c r="G432" i="127"/>
  <c r="G381" i="127"/>
  <c r="G383" i="127"/>
  <c r="G386" i="127"/>
  <c r="F396" i="127"/>
  <c r="G382" i="127"/>
  <c r="G340" i="127"/>
  <c r="G351" i="127"/>
  <c r="G341" i="127"/>
  <c r="F352" i="127"/>
  <c r="G342" i="127"/>
  <c r="E346" i="127"/>
  <c r="G307" i="127"/>
  <c r="G298" i="127"/>
  <c r="F308" i="127"/>
  <c r="G299" i="127"/>
  <c r="G255" i="127"/>
  <c r="G256" i="127"/>
  <c r="G218" i="127"/>
  <c r="G217" i="127"/>
  <c r="F220" i="127"/>
  <c r="G206" i="127"/>
  <c r="G168" i="127"/>
  <c r="G169" i="127"/>
  <c r="G166" i="127"/>
  <c r="E170" i="127"/>
  <c r="F126" i="127"/>
  <c r="G129" i="127"/>
  <c r="G128" i="127"/>
  <c r="G119" i="127"/>
  <c r="F132" i="127"/>
  <c r="G120" i="127"/>
  <c r="G76" i="127"/>
  <c r="G80" i="127"/>
  <c r="G85" i="127"/>
  <c r="G30" i="127"/>
  <c r="G43" i="127"/>
  <c r="G414" i="127"/>
  <c r="G411" i="127"/>
  <c r="G417" i="127"/>
  <c r="G415" i="127"/>
  <c r="G405" i="127"/>
  <c r="E412" i="127"/>
  <c r="G371" i="127"/>
  <c r="G360" i="127"/>
  <c r="F368" i="127"/>
  <c r="F375" i="127" s="1"/>
  <c r="G359" i="127"/>
  <c r="G372" i="127"/>
  <c r="G362" i="127"/>
  <c r="G321" i="127"/>
  <c r="G320" i="127"/>
  <c r="G322" i="127"/>
  <c r="G326" i="127"/>
  <c r="G277" i="127"/>
  <c r="G275" i="127"/>
  <c r="F286" i="127"/>
  <c r="G272" i="127"/>
  <c r="G238" i="127"/>
  <c r="G228" i="127"/>
  <c r="G232" i="127"/>
  <c r="F236" i="127"/>
  <c r="F242" i="127"/>
  <c r="G229" i="127"/>
  <c r="E236" i="127"/>
  <c r="G195" i="127"/>
  <c r="F192" i="127"/>
  <c r="G183" i="127"/>
  <c r="G196" i="127"/>
  <c r="G186" i="127"/>
  <c r="G142" i="127"/>
  <c r="F148" i="127"/>
  <c r="G151" i="127"/>
  <c r="G101" i="127"/>
  <c r="G109" i="127"/>
  <c r="G99" i="127"/>
  <c r="F110" i="127"/>
  <c r="G96" i="127"/>
  <c r="G55" i="127"/>
  <c r="E66" i="127"/>
  <c r="G56" i="127"/>
  <c r="F66" i="127"/>
  <c r="G53" i="127"/>
  <c r="E60" i="127"/>
  <c r="G20" i="127"/>
  <c r="G18" i="127"/>
  <c r="E22" i="127"/>
  <c r="G347" i="127"/>
  <c r="D352" i="127"/>
  <c r="G369" i="127"/>
  <c r="D374" i="127"/>
  <c r="G193" i="127"/>
  <c r="D198" i="127"/>
  <c r="E440" i="127"/>
  <c r="F440" i="127"/>
  <c r="G428" i="127"/>
  <c r="E396" i="127"/>
  <c r="G395" i="127"/>
  <c r="G392" i="127"/>
  <c r="F346" i="127"/>
  <c r="G337" i="127"/>
  <c r="F302" i="127"/>
  <c r="G300" i="127"/>
  <c r="G296" i="127"/>
  <c r="G293" i="127"/>
  <c r="E302" i="127"/>
  <c r="G261" i="127"/>
  <c r="F258" i="127"/>
  <c r="F264" i="127"/>
  <c r="G252" i="127"/>
  <c r="G210" i="127"/>
  <c r="G219" i="127"/>
  <c r="G216" i="127"/>
  <c r="F170" i="127"/>
  <c r="F176" i="127"/>
  <c r="G162" i="127"/>
  <c r="G125" i="127"/>
  <c r="G121" i="127"/>
  <c r="G130" i="127"/>
  <c r="E126" i="127"/>
  <c r="G126" i="127" s="1"/>
  <c r="G73" i="127"/>
  <c r="G79" i="127"/>
  <c r="G36" i="127"/>
  <c r="G404" i="127"/>
  <c r="G416" i="127"/>
  <c r="E368" i="127"/>
  <c r="G318" i="127"/>
  <c r="E330" i="127"/>
  <c r="F280" i="127"/>
  <c r="G280" i="127" s="1"/>
  <c r="G283" i="127"/>
  <c r="G240" i="127"/>
  <c r="G184" i="127"/>
  <c r="E198" i="127"/>
  <c r="G194" i="127"/>
  <c r="E192" i="127"/>
  <c r="G145" i="127"/>
  <c r="G98" i="127"/>
  <c r="F104" i="127"/>
  <c r="G107" i="127"/>
  <c r="G52" i="127"/>
  <c r="G51" i="127"/>
  <c r="G64" i="127"/>
  <c r="G10" i="127"/>
  <c r="G14" i="127"/>
  <c r="G13" i="127"/>
  <c r="G15" i="127"/>
  <c r="G12" i="127"/>
  <c r="E16" i="127"/>
  <c r="G171" i="127"/>
  <c r="D176" i="127"/>
  <c r="G127" i="127"/>
  <c r="D132" i="127"/>
  <c r="G413" i="127"/>
  <c r="D418" i="127"/>
  <c r="G325" i="127"/>
  <c r="D330" i="127"/>
  <c r="G281" i="127"/>
  <c r="D286" i="127"/>
  <c r="G237" i="127"/>
  <c r="D242" i="127"/>
  <c r="D110" i="127"/>
  <c r="G105" i="127"/>
  <c r="D66" i="127"/>
  <c r="G61" i="127"/>
  <c r="G385" i="127"/>
  <c r="G438" i="127"/>
  <c r="F434" i="127"/>
  <c r="E434" i="127"/>
  <c r="F390" i="127"/>
  <c r="G388" i="127"/>
  <c r="G389" i="127"/>
  <c r="G339" i="127"/>
  <c r="G350" i="127"/>
  <c r="G348" i="127"/>
  <c r="G349" i="127"/>
  <c r="G297" i="127"/>
  <c r="G305" i="127"/>
  <c r="G306" i="127"/>
  <c r="G254" i="127"/>
  <c r="E258" i="127"/>
  <c r="E220" i="127"/>
  <c r="G205" i="127"/>
  <c r="G212" i="127"/>
  <c r="G213" i="127"/>
  <c r="E176" i="127"/>
  <c r="G175" i="127"/>
  <c r="G174" i="127"/>
  <c r="G173" i="127"/>
  <c r="G118" i="127"/>
  <c r="E132" i="127"/>
  <c r="G131" i="127"/>
  <c r="G77" i="127"/>
  <c r="G78" i="127"/>
  <c r="F82" i="127"/>
  <c r="F88" i="127"/>
  <c r="G75" i="127"/>
  <c r="E82" i="127"/>
  <c r="F38" i="127"/>
  <c r="G38" i="127" s="1"/>
  <c r="F44" i="127"/>
  <c r="G32" i="127"/>
  <c r="G406" i="127"/>
  <c r="F412" i="127"/>
  <c r="G363" i="127"/>
  <c r="G365" i="127"/>
  <c r="G373" i="127"/>
  <c r="G317" i="127"/>
  <c r="G315" i="127"/>
  <c r="F324" i="127"/>
  <c r="F330" i="127"/>
  <c r="G319" i="127"/>
  <c r="E324" i="127"/>
  <c r="G274" i="127"/>
  <c r="G230" i="127"/>
  <c r="G241" i="127"/>
  <c r="G239" i="127"/>
  <c r="G187" i="127"/>
  <c r="G189" i="127"/>
  <c r="G197" i="127"/>
  <c r="G143" i="127"/>
  <c r="G146" i="127"/>
  <c r="G144" i="127"/>
  <c r="F154" i="127"/>
  <c r="E148" i="127"/>
  <c r="G95" i="127"/>
  <c r="E110" i="127"/>
  <c r="G65" i="127"/>
  <c r="G58" i="127"/>
  <c r="F60" i="127"/>
  <c r="G63" i="127"/>
  <c r="G7" i="127"/>
  <c r="G11" i="127"/>
  <c r="F22" i="127"/>
  <c r="G8" i="127"/>
  <c r="D352" i="128"/>
  <c r="G347" i="128"/>
  <c r="D264" i="128"/>
  <c r="G259" i="128"/>
  <c r="D374" i="128"/>
  <c r="G369" i="128"/>
  <c r="D242" i="128"/>
  <c r="G237" i="128"/>
  <c r="G271" i="128"/>
  <c r="F280" i="128"/>
  <c r="G281" i="128"/>
  <c r="F286" i="128"/>
  <c r="G105" i="128"/>
  <c r="D110" i="128"/>
  <c r="G348" i="128"/>
  <c r="G349" i="128"/>
  <c r="G342" i="128"/>
  <c r="G350" i="128"/>
  <c r="G306" i="128"/>
  <c r="G300" i="128"/>
  <c r="G307" i="128"/>
  <c r="G262" i="128"/>
  <c r="G254" i="128"/>
  <c r="E258" i="128"/>
  <c r="G219" i="128"/>
  <c r="G205" i="128"/>
  <c r="E176" i="128"/>
  <c r="G173" i="128"/>
  <c r="G122" i="128"/>
  <c r="E132" i="128"/>
  <c r="G118" i="128"/>
  <c r="G123" i="128"/>
  <c r="G73" i="128"/>
  <c r="E88" i="128"/>
  <c r="G81" i="128"/>
  <c r="G78" i="128"/>
  <c r="E82" i="128"/>
  <c r="G37" i="128"/>
  <c r="G34" i="128"/>
  <c r="G40" i="128"/>
  <c r="G29" i="128"/>
  <c r="G42" i="128"/>
  <c r="F368" i="128"/>
  <c r="G373" i="128"/>
  <c r="E242" i="128"/>
  <c r="G241" i="128"/>
  <c r="G240" i="128"/>
  <c r="G146" i="128"/>
  <c r="G144" i="128"/>
  <c r="F154" i="128"/>
  <c r="G141" i="128"/>
  <c r="E148" i="128"/>
  <c r="G20" i="128"/>
  <c r="E22" i="128"/>
  <c r="F16" i="128"/>
  <c r="G15" i="128"/>
  <c r="E330" i="128"/>
  <c r="G317" i="128"/>
  <c r="G327" i="128"/>
  <c r="G323" i="128"/>
  <c r="E198" i="128"/>
  <c r="F192" i="128"/>
  <c r="G183" i="128"/>
  <c r="G189" i="128"/>
  <c r="G58" i="128"/>
  <c r="F66" i="128"/>
  <c r="G53" i="128"/>
  <c r="E60" i="128"/>
  <c r="G278" i="128"/>
  <c r="G277" i="128"/>
  <c r="G274" i="128"/>
  <c r="G102" i="128"/>
  <c r="G106" i="128"/>
  <c r="G17" i="128"/>
  <c r="D22" i="128"/>
  <c r="G83" i="128"/>
  <c r="D88" i="128"/>
  <c r="G149" i="128"/>
  <c r="D154" i="128"/>
  <c r="G61" i="128"/>
  <c r="D66" i="128"/>
  <c r="G304" i="128"/>
  <c r="G74" i="128"/>
  <c r="G371" i="128"/>
  <c r="F22" i="128"/>
  <c r="G316" i="128"/>
  <c r="F352" i="128"/>
  <c r="G261" i="128"/>
  <c r="G253" i="128"/>
  <c r="F220" i="128"/>
  <c r="G163" i="128"/>
  <c r="E170" i="128"/>
  <c r="F126" i="128"/>
  <c r="G86" i="128"/>
  <c r="F38" i="128"/>
  <c r="G35" i="128"/>
  <c r="G43" i="128"/>
  <c r="G364" i="128"/>
  <c r="G362" i="128"/>
  <c r="F374" i="128"/>
  <c r="G363" i="128"/>
  <c r="E368" i="128"/>
  <c r="G233" i="128"/>
  <c r="G229" i="128"/>
  <c r="F236" i="128"/>
  <c r="F242" i="128"/>
  <c r="G150" i="128"/>
  <c r="F148" i="128"/>
  <c r="G151" i="128"/>
  <c r="G7" i="128"/>
  <c r="G9" i="128"/>
  <c r="G315" i="128"/>
  <c r="G329" i="128"/>
  <c r="E324" i="128"/>
  <c r="G324" i="128" s="1"/>
  <c r="D198" i="128"/>
  <c r="G184" i="128"/>
  <c r="G190" i="128"/>
  <c r="G188" i="128"/>
  <c r="G195" i="128"/>
  <c r="G55" i="128"/>
  <c r="F60" i="128"/>
  <c r="G63" i="128"/>
  <c r="G275" i="128"/>
  <c r="G285" i="128"/>
  <c r="G284" i="128"/>
  <c r="G107" i="128"/>
  <c r="F110" i="128"/>
  <c r="G99" i="128"/>
  <c r="E104" i="128"/>
  <c r="D220" i="128"/>
  <c r="G215" i="128"/>
  <c r="D176" i="128"/>
  <c r="G171" i="128"/>
  <c r="G39" i="128"/>
  <c r="D44" i="128"/>
  <c r="G325" i="128"/>
  <c r="F330" i="128"/>
  <c r="F331" i="128" s="1"/>
  <c r="D308" i="128"/>
  <c r="G303" i="128"/>
  <c r="G127" i="128"/>
  <c r="D132" i="128"/>
  <c r="G227" i="128"/>
  <c r="E236" i="128"/>
  <c r="G193" i="128"/>
  <c r="F198" i="128"/>
  <c r="G172" i="128"/>
  <c r="G119" i="128"/>
  <c r="F88" i="128"/>
  <c r="F89" i="128" s="1"/>
  <c r="E38" i="128"/>
  <c r="E374" i="128"/>
  <c r="G235" i="128"/>
  <c r="E16" i="128"/>
  <c r="G196" i="128"/>
  <c r="E280" i="128"/>
  <c r="E110" i="128"/>
  <c r="F346" i="128"/>
  <c r="G341" i="128"/>
  <c r="G338" i="128"/>
  <c r="G339" i="128"/>
  <c r="E346" i="128"/>
  <c r="F302" i="128"/>
  <c r="G297" i="128"/>
  <c r="G296" i="128"/>
  <c r="G301" i="128"/>
  <c r="E308" i="128"/>
  <c r="G249" i="128"/>
  <c r="F264" i="128"/>
  <c r="E220" i="128"/>
  <c r="G207" i="128"/>
  <c r="G211" i="128"/>
  <c r="G206" i="128"/>
  <c r="G175" i="128"/>
  <c r="F170" i="128"/>
  <c r="G161" i="128"/>
  <c r="G169" i="128"/>
  <c r="G166" i="128"/>
  <c r="G117" i="128"/>
  <c r="G130" i="128"/>
  <c r="G120" i="128"/>
  <c r="G85" i="128"/>
  <c r="G344" i="128"/>
  <c r="G299" i="128"/>
  <c r="G295" i="128"/>
  <c r="G294" i="128"/>
  <c r="F308" i="128"/>
  <c r="G298" i="128"/>
  <c r="E302" i="128"/>
  <c r="E264" i="128"/>
  <c r="E265" i="128" s="1"/>
  <c r="F258" i="128"/>
  <c r="G256" i="128"/>
  <c r="G250" i="128"/>
  <c r="F214" i="128"/>
  <c r="G208" i="128"/>
  <c r="G212" i="128"/>
  <c r="G164" i="128"/>
  <c r="G165" i="128"/>
  <c r="F176" i="128"/>
  <c r="G162" i="128"/>
  <c r="G121" i="128"/>
  <c r="G129" i="128"/>
  <c r="G125" i="128"/>
  <c r="E126" i="128"/>
  <c r="G79" i="128"/>
  <c r="G76" i="128"/>
  <c r="G75" i="128"/>
  <c r="G84" i="128"/>
  <c r="G41" i="128"/>
  <c r="G31" i="128"/>
  <c r="F44" i="128"/>
  <c r="G36" i="128"/>
  <c r="G359" i="128"/>
  <c r="G370" i="128"/>
  <c r="G372" i="128"/>
  <c r="G228" i="128"/>
  <c r="G153" i="128"/>
  <c r="E154" i="128"/>
  <c r="G142" i="128"/>
  <c r="G145" i="128"/>
  <c r="G19" i="128"/>
  <c r="G8" i="128"/>
  <c r="G14" i="128"/>
  <c r="G18" i="128"/>
  <c r="G328" i="128"/>
  <c r="D330" i="128"/>
  <c r="G326" i="128"/>
  <c r="G321" i="128"/>
  <c r="G187" i="128"/>
  <c r="E192" i="128"/>
  <c r="E66" i="128"/>
  <c r="G65" i="128"/>
  <c r="G57" i="128"/>
  <c r="G283" i="128"/>
  <c r="D286" i="128"/>
  <c r="G101" i="128"/>
  <c r="G100" i="128"/>
  <c r="G109" i="128"/>
  <c r="G545" i="129"/>
  <c r="F550" i="129"/>
  <c r="D418" i="129"/>
  <c r="G413" i="129"/>
  <c r="D286" i="129"/>
  <c r="G281" i="129"/>
  <c r="D198" i="129"/>
  <c r="G193" i="129"/>
  <c r="D440" i="129"/>
  <c r="G435" i="129"/>
  <c r="D396" i="129"/>
  <c r="G391" i="129"/>
  <c r="G249" i="129"/>
  <c r="F258" i="129"/>
  <c r="F720" i="129"/>
  <c r="G712" i="129"/>
  <c r="E720" i="129"/>
  <c r="G713" i="129"/>
  <c r="G722" i="129"/>
  <c r="G669" i="129"/>
  <c r="G670" i="129"/>
  <c r="G675" i="129"/>
  <c r="G626" i="129"/>
  <c r="G630" i="129"/>
  <c r="E638" i="129"/>
  <c r="G636" i="129"/>
  <c r="G583" i="129"/>
  <c r="E588" i="129"/>
  <c r="G542" i="129"/>
  <c r="F544" i="129"/>
  <c r="G493" i="129"/>
  <c r="G496" i="129"/>
  <c r="G502" i="129"/>
  <c r="G452" i="129"/>
  <c r="E462" i="129"/>
  <c r="G460" i="129"/>
  <c r="F418" i="129"/>
  <c r="E412" i="129"/>
  <c r="G367" i="129"/>
  <c r="G364" i="129"/>
  <c r="F368" i="129"/>
  <c r="G323" i="129"/>
  <c r="G320" i="129"/>
  <c r="G273" i="129"/>
  <c r="G278" i="129"/>
  <c r="G282" i="129"/>
  <c r="E286" i="129"/>
  <c r="G233" i="129"/>
  <c r="G240" i="129"/>
  <c r="E236" i="129"/>
  <c r="G197" i="129"/>
  <c r="G189" i="129"/>
  <c r="G188" i="129"/>
  <c r="G191" i="129"/>
  <c r="F192" i="129"/>
  <c r="G147" i="129"/>
  <c r="G146" i="129"/>
  <c r="G108" i="129"/>
  <c r="G100" i="129"/>
  <c r="E110" i="129"/>
  <c r="G55" i="129"/>
  <c r="G58" i="129"/>
  <c r="F60" i="129"/>
  <c r="E60" i="129"/>
  <c r="E67" i="129" s="1"/>
  <c r="G19" i="129"/>
  <c r="F16" i="129"/>
  <c r="G16" i="129" s="1"/>
  <c r="G733" i="129"/>
  <c r="G740" i="129"/>
  <c r="G735" i="129"/>
  <c r="E698" i="129"/>
  <c r="G695" i="129"/>
  <c r="G692" i="129"/>
  <c r="G690" i="129"/>
  <c r="F698" i="129"/>
  <c r="G693" i="129"/>
  <c r="G646" i="129"/>
  <c r="G649" i="129"/>
  <c r="E654" i="129"/>
  <c r="G609" i="129"/>
  <c r="G601" i="129"/>
  <c r="G613" i="129"/>
  <c r="F616" i="129"/>
  <c r="F610" i="129"/>
  <c r="G610" i="129" s="1"/>
  <c r="G565" i="129"/>
  <c r="D572" i="129"/>
  <c r="G562" i="129"/>
  <c r="G517" i="129"/>
  <c r="G516" i="129"/>
  <c r="E484" i="129"/>
  <c r="G483" i="129"/>
  <c r="D484" i="129"/>
  <c r="G475" i="129"/>
  <c r="E478" i="129"/>
  <c r="G437" i="129"/>
  <c r="G426" i="129"/>
  <c r="F434" i="129"/>
  <c r="G434" i="129" s="1"/>
  <c r="G389" i="129"/>
  <c r="G386" i="129"/>
  <c r="E352" i="129"/>
  <c r="G349" i="129"/>
  <c r="F352" i="129"/>
  <c r="G299" i="129"/>
  <c r="G306" i="129"/>
  <c r="E302" i="129"/>
  <c r="G257" i="129"/>
  <c r="G250" i="129"/>
  <c r="G207" i="129"/>
  <c r="G163" i="129"/>
  <c r="G162" i="129"/>
  <c r="G122" i="129"/>
  <c r="G118" i="129"/>
  <c r="E132" i="129"/>
  <c r="G130" i="129"/>
  <c r="F132" i="129"/>
  <c r="E126" i="129"/>
  <c r="G79" i="129"/>
  <c r="G85" i="129"/>
  <c r="G81" i="129"/>
  <c r="F82" i="129"/>
  <c r="G31" i="129"/>
  <c r="G41" i="129"/>
  <c r="D110" i="129"/>
  <c r="G105" i="129"/>
  <c r="G17" i="129"/>
  <c r="D22" i="129"/>
  <c r="D616" i="129"/>
  <c r="G611" i="129"/>
  <c r="G479" i="129"/>
  <c r="F484" i="129"/>
  <c r="D308" i="129"/>
  <c r="G303" i="129"/>
  <c r="D132" i="129"/>
  <c r="G127" i="129"/>
  <c r="G714" i="129"/>
  <c r="G591" i="129"/>
  <c r="E594" i="129"/>
  <c r="E544" i="129"/>
  <c r="G410" i="129"/>
  <c r="E368" i="129"/>
  <c r="E242" i="129"/>
  <c r="E748" i="129"/>
  <c r="G736" i="129"/>
  <c r="F566" i="129"/>
  <c r="G476" i="129"/>
  <c r="E440" i="129"/>
  <c r="G382" i="129"/>
  <c r="F308" i="129"/>
  <c r="G205" i="129"/>
  <c r="G131" i="129"/>
  <c r="F38" i="129"/>
  <c r="D506" i="129"/>
  <c r="G501" i="129"/>
  <c r="D154" i="129"/>
  <c r="G149" i="129"/>
  <c r="G721" i="129"/>
  <c r="F726" i="129"/>
  <c r="D682" i="129"/>
  <c r="G677" i="129"/>
  <c r="G633" i="129"/>
  <c r="F638" i="129"/>
  <c r="D594" i="129"/>
  <c r="G589" i="129"/>
  <c r="D66" i="129"/>
  <c r="G61" i="129"/>
  <c r="D704" i="129"/>
  <c r="G699" i="129"/>
  <c r="G337" i="129"/>
  <c r="F346" i="129"/>
  <c r="D264" i="129"/>
  <c r="G259" i="129"/>
  <c r="D220" i="129"/>
  <c r="G215" i="129"/>
  <c r="G161" i="129"/>
  <c r="F170" i="129"/>
  <c r="G719" i="129"/>
  <c r="G538" i="129"/>
  <c r="F500" i="129"/>
  <c r="F507" i="129" s="1"/>
  <c r="F324" i="129"/>
  <c r="G239" i="129"/>
  <c r="E726" i="129"/>
  <c r="G717" i="129"/>
  <c r="G711" i="129"/>
  <c r="G680" i="129"/>
  <c r="F682" i="129"/>
  <c r="G681" i="129"/>
  <c r="E676" i="129"/>
  <c r="G625" i="129"/>
  <c r="F632" i="129"/>
  <c r="G593" i="129"/>
  <c r="F594" i="129"/>
  <c r="G584" i="129"/>
  <c r="G590" i="129"/>
  <c r="G546" i="129"/>
  <c r="G549" i="129"/>
  <c r="G536" i="129"/>
  <c r="G547" i="129"/>
  <c r="E550" i="129"/>
  <c r="G503" i="129"/>
  <c r="G498" i="129"/>
  <c r="G494" i="129"/>
  <c r="G495" i="129"/>
  <c r="E500" i="129"/>
  <c r="G451" i="129"/>
  <c r="G448" i="129"/>
  <c r="G459" i="129"/>
  <c r="F456" i="129"/>
  <c r="G406" i="129"/>
  <c r="G362" i="129"/>
  <c r="G365" i="129"/>
  <c r="G371" i="129"/>
  <c r="E374" i="129"/>
  <c r="G318" i="129"/>
  <c r="G322" i="129"/>
  <c r="G328" i="129"/>
  <c r="G315" i="129"/>
  <c r="G329" i="129"/>
  <c r="E324" i="129"/>
  <c r="G277" i="129"/>
  <c r="F280" i="129"/>
  <c r="G235" i="129"/>
  <c r="G184" i="129"/>
  <c r="G142" i="129"/>
  <c r="E148" i="129"/>
  <c r="G99" i="129"/>
  <c r="F104" i="129"/>
  <c r="G63" i="129"/>
  <c r="G59" i="129"/>
  <c r="G15" i="129"/>
  <c r="G13" i="129"/>
  <c r="G7" i="129"/>
  <c r="G21" i="129"/>
  <c r="E22" i="129"/>
  <c r="E23" i="129" s="1"/>
  <c r="G738" i="129"/>
  <c r="F748" i="129"/>
  <c r="G745" i="129"/>
  <c r="E742" i="129"/>
  <c r="G703" i="129"/>
  <c r="F704" i="129"/>
  <c r="G659" i="129"/>
  <c r="F660" i="129"/>
  <c r="G651" i="129"/>
  <c r="G647" i="129"/>
  <c r="G606" i="129"/>
  <c r="G558" i="129"/>
  <c r="E572" i="129"/>
  <c r="G557" i="129"/>
  <c r="G571" i="129"/>
  <c r="G563" i="129"/>
  <c r="E566" i="129"/>
  <c r="G515" i="129"/>
  <c r="E528" i="129"/>
  <c r="G527" i="129"/>
  <c r="G526" i="129"/>
  <c r="F522" i="129"/>
  <c r="G469" i="129"/>
  <c r="G474" i="129"/>
  <c r="G425" i="129"/>
  <c r="G439" i="129"/>
  <c r="G433" i="129"/>
  <c r="E396" i="129"/>
  <c r="G393" i="129"/>
  <c r="E390" i="129"/>
  <c r="G348" i="129"/>
  <c r="G342" i="129"/>
  <c r="G350" i="129"/>
  <c r="E308" i="129"/>
  <c r="G296" i="129"/>
  <c r="G297" i="129"/>
  <c r="G255" i="129"/>
  <c r="E220" i="129"/>
  <c r="G219" i="129"/>
  <c r="G212" i="129"/>
  <c r="E214" i="129"/>
  <c r="G174" i="129"/>
  <c r="E176" i="129"/>
  <c r="G123" i="129"/>
  <c r="G120" i="129"/>
  <c r="F126" i="129"/>
  <c r="G74" i="129"/>
  <c r="G37" i="129"/>
  <c r="G29" i="129"/>
  <c r="F44" i="129"/>
  <c r="E38" i="129"/>
  <c r="G457" i="129"/>
  <c r="F462" i="129"/>
  <c r="D374" i="129"/>
  <c r="G369" i="129"/>
  <c r="D330" i="129"/>
  <c r="G325" i="129"/>
  <c r="D242" i="129"/>
  <c r="G237" i="129"/>
  <c r="D748" i="129"/>
  <c r="G743" i="129"/>
  <c r="D660" i="129"/>
  <c r="G655" i="129"/>
  <c r="G645" i="129"/>
  <c r="F654" i="129"/>
  <c r="G567" i="129"/>
  <c r="F572" i="129"/>
  <c r="D528" i="129"/>
  <c r="G523" i="129"/>
  <c r="D352" i="129"/>
  <c r="G347" i="129"/>
  <c r="D176" i="129"/>
  <c r="G171" i="129"/>
  <c r="D88" i="129"/>
  <c r="G83" i="129"/>
  <c r="G39" i="129"/>
  <c r="D44" i="129"/>
  <c r="G283" i="129"/>
  <c r="G272" i="129"/>
  <c r="G275" i="129"/>
  <c r="G230" i="129"/>
  <c r="F198" i="129"/>
  <c r="E198" i="129"/>
  <c r="G139" i="129"/>
  <c r="G141" i="129"/>
  <c r="G140" i="129"/>
  <c r="G101" i="129"/>
  <c r="F110" i="129"/>
  <c r="G98" i="129"/>
  <c r="G723" i="129"/>
  <c r="G716" i="129"/>
  <c r="G715" i="129"/>
  <c r="G724" i="129"/>
  <c r="D726" i="129"/>
  <c r="G678" i="129"/>
  <c r="G671" i="129"/>
  <c r="F676" i="129"/>
  <c r="G674" i="129"/>
  <c r="G679" i="129"/>
  <c r="E682" i="129"/>
  <c r="G635" i="129"/>
  <c r="D638" i="129"/>
  <c r="G623" i="129"/>
  <c r="G634" i="129"/>
  <c r="G629" i="129"/>
  <c r="E632" i="129"/>
  <c r="G587" i="129"/>
  <c r="G580" i="129"/>
  <c r="G585" i="129"/>
  <c r="G582" i="129"/>
  <c r="G586" i="129"/>
  <c r="F588" i="129"/>
  <c r="G535" i="129"/>
  <c r="G543" i="129"/>
  <c r="G540" i="129"/>
  <c r="D550" i="129"/>
  <c r="G491" i="129"/>
  <c r="E506" i="129"/>
  <c r="G455" i="129"/>
  <c r="G447" i="129"/>
  <c r="G461" i="129"/>
  <c r="D462" i="129"/>
  <c r="G454" i="129"/>
  <c r="G453" i="129"/>
  <c r="E456" i="129"/>
  <c r="G407" i="129"/>
  <c r="G403" i="129"/>
  <c r="G416" i="129"/>
  <c r="F412" i="129"/>
  <c r="G366" i="129"/>
  <c r="G359" i="129"/>
  <c r="G370" i="129"/>
  <c r="G327" i="129"/>
  <c r="F330" i="129"/>
  <c r="E330" i="129"/>
  <c r="G271" i="129"/>
  <c r="G285" i="129"/>
  <c r="E280" i="129"/>
  <c r="G231" i="129"/>
  <c r="G228" i="129"/>
  <c r="F236" i="129"/>
  <c r="F243" i="129" s="1"/>
  <c r="G196" i="129"/>
  <c r="G195" i="129"/>
  <c r="G194" i="129"/>
  <c r="G151" i="129"/>
  <c r="G150" i="129"/>
  <c r="G152" i="129"/>
  <c r="E154" i="129"/>
  <c r="G96" i="129"/>
  <c r="G97" i="129"/>
  <c r="G107" i="129"/>
  <c r="E104" i="129"/>
  <c r="G62" i="129"/>
  <c r="G65" i="129"/>
  <c r="G52" i="129"/>
  <c r="G57" i="129"/>
  <c r="F66" i="129"/>
  <c r="G51" i="129"/>
  <c r="F22" i="129"/>
  <c r="G9" i="129"/>
  <c r="G14" i="129"/>
  <c r="G746" i="129"/>
  <c r="G744" i="129"/>
  <c r="G737" i="129"/>
  <c r="G747" i="129"/>
  <c r="G689" i="129"/>
  <c r="E704" i="129"/>
  <c r="G694" i="129"/>
  <c r="G697" i="129"/>
  <c r="G652" i="129"/>
  <c r="G650" i="129"/>
  <c r="G648" i="129"/>
  <c r="G653" i="129"/>
  <c r="G605" i="129"/>
  <c r="G604" i="129"/>
  <c r="G603" i="129"/>
  <c r="G615" i="129"/>
  <c r="G568" i="129"/>
  <c r="G561" i="129"/>
  <c r="G514" i="129"/>
  <c r="G525" i="129"/>
  <c r="G524" i="129"/>
  <c r="F528" i="129"/>
  <c r="G520" i="129"/>
  <c r="G519" i="129"/>
  <c r="E522" i="129"/>
  <c r="G481" i="129"/>
  <c r="G470" i="129"/>
  <c r="G482" i="129"/>
  <c r="F478" i="129"/>
  <c r="G432" i="129"/>
  <c r="F440" i="129"/>
  <c r="G429" i="129"/>
  <c r="G384" i="129"/>
  <c r="G392" i="129"/>
  <c r="F396" i="129"/>
  <c r="G344" i="129"/>
  <c r="G345" i="129"/>
  <c r="G351" i="129"/>
  <c r="G340" i="129"/>
  <c r="G338" i="129"/>
  <c r="E346" i="129"/>
  <c r="G305" i="129"/>
  <c r="F302" i="129"/>
  <c r="G307" i="129"/>
  <c r="G293" i="129"/>
  <c r="G263" i="129"/>
  <c r="E264" i="129"/>
  <c r="G260" i="129"/>
  <c r="F264" i="129"/>
  <c r="G254" i="129"/>
  <c r="G206" i="129"/>
  <c r="G213" i="129"/>
  <c r="G211" i="129"/>
  <c r="F214" i="129"/>
  <c r="G208" i="129"/>
  <c r="G167" i="129"/>
  <c r="G165" i="129"/>
  <c r="G175" i="129"/>
  <c r="G166" i="129"/>
  <c r="F176" i="129"/>
  <c r="E170" i="129"/>
  <c r="G121" i="129"/>
  <c r="G119" i="129"/>
  <c r="G117" i="129"/>
  <c r="G86" i="129"/>
  <c r="G87" i="129"/>
  <c r="G84" i="129"/>
  <c r="G40" i="129"/>
  <c r="D374" i="130"/>
  <c r="G369" i="130"/>
  <c r="G61" i="130"/>
  <c r="D66" i="130"/>
  <c r="D220" i="130"/>
  <c r="G215" i="130"/>
  <c r="G73" i="130"/>
  <c r="F82" i="130"/>
  <c r="F89" i="130" s="1"/>
  <c r="D418" i="130"/>
  <c r="G413" i="130"/>
  <c r="D242" i="130"/>
  <c r="G237" i="130"/>
  <c r="G139" i="130"/>
  <c r="E148" i="130"/>
  <c r="G17" i="130"/>
  <c r="D22" i="130"/>
  <c r="G391" i="130"/>
  <c r="F396" i="130"/>
  <c r="D352" i="130"/>
  <c r="G347" i="130"/>
  <c r="D176" i="130"/>
  <c r="G171" i="130"/>
  <c r="G29" i="130"/>
  <c r="F38" i="130"/>
  <c r="E368" i="130"/>
  <c r="G275" i="130"/>
  <c r="G230" i="130"/>
  <c r="G233" i="130"/>
  <c r="F192" i="130"/>
  <c r="E192" i="130"/>
  <c r="G150" i="130"/>
  <c r="G107" i="130"/>
  <c r="E16" i="130"/>
  <c r="E440" i="130"/>
  <c r="G385" i="130"/>
  <c r="E302" i="130"/>
  <c r="F258" i="130"/>
  <c r="G122" i="130"/>
  <c r="E126" i="130"/>
  <c r="D462" i="130"/>
  <c r="G448" i="130"/>
  <c r="G453" i="130"/>
  <c r="G458" i="130"/>
  <c r="G411" i="130"/>
  <c r="G416" i="130"/>
  <c r="G366" i="130"/>
  <c r="G373" i="130"/>
  <c r="G360" i="130"/>
  <c r="F368" i="130"/>
  <c r="G367" i="130"/>
  <c r="G315" i="130"/>
  <c r="G321" i="130"/>
  <c r="G318" i="130"/>
  <c r="E324" i="130"/>
  <c r="G274" i="130"/>
  <c r="G282" i="130"/>
  <c r="D286" i="130"/>
  <c r="G273" i="130"/>
  <c r="E286" i="130"/>
  <c r="F242" i="130"/>
  <c r="G240" i="130"/>
  <c r="G231" i="130"/>
  <c r="G186" i="130"/>
  <c r="G191" i="130"/>
  <c r="G183" i="130"/>
  <c r="G146" i="130"/>
  <c r="F148" i="130"/>
  <c r="G147" i="130"/>
  <c r="G109" i="130"/>
  <c r="G98" i="130"/>
  <c r="G102" i="130"/>
  <c r="G108" i="130"/>
  <c r="G103" i="130"/>
  <c r="E110" i="130"/>
  <c r="F66" i="130"/>
  <c r="G56" i="130"/>
  <c r="G58" i="130"/>
  <c r="G53" i="130"/>
  <c r="E66" i="130"/>
  <c r="G55" i="130"/>
  <c r="G13" i="130"/>
  <c r="G21" i="130"/>
  <c r="G15" i="130"/>
  <c r="G437" i="130"/>
  <c r="G433" i="130"/>
  <c r="G438" i="130"/>
  <c r="G432" i="130"/>
  <c r="E434" i="130"/>
  <c r="G393" i="130"/>
  <c r="G384" i="130"/>
  <c r="F390" i="130"/>
  <c r="G344" i="130"/>
  <c r="G351" i="130"/>
  <c r="E352" i="130"/>
  <c r="G341" i="130"/>
  <c r="G350" i="130"/>
  <c r="G305" i="130"/>
  <c r="G307" i="130"/>
  <c r="G298" i="130"/>
  <c r="G249" i="130"/>
  <c r="E258" i="130"/>
  <c r="G257" i="130"/>
  <c r="G216" i="130"/>
  <c r="G213" i="130"/>
  <c r="F220" i="130"/>
  <c r="E220" i="130"/>
  <c r="G212" i="130"/>
  <c r="G164" i="130"/>
  <c r="G175" i="130"/>
  <c r="E176" i="130"/>
  <c r="G163" i="130"/>
  <c r="G174" i="130"/>
  <c r="F126" i="130"/>
  <c r="G118" i="130"/>
  <c r="G124" i="130"/>
  <c r="G120" i="130"/>
  <c r="G117" i="130"/>
  <c r="G84" i="130"/>
  <c r="G87" i="130"/>
  <c r="G75" i="130"/>
  <c r="E82" i="130"/>
  <c r="G34" i="130"/>
  <c r="G30" i="130"/>
  <c r="G31" i="130"/>
  <c r="D330" i="130"/>
  <c r="G325" i="130"/>
  <c r="D198" i="130"/>
  <c r="G193" i="130"/>
  <c r="D154" i="130"/>
  <c r="G149" i="130"/>
  <c r="G51" i="130"/>
  <c r="F60" i="130"/>
  <c r="D440" i="130"/>
  <c r="G435" i="130"/>
  <c r="D308" i="130"/>
  <c r="G303" i="130"/>
  <c r="D264" i="130"/>
  <c r="G259" i="130"/>
  <c r="G205" i="130"/>
  <c r="E214" i="130"/>
  <c r="D132" i="130"/>
  <c r="G127" i="130"/>
  <c r="G450" i="130"/>
  <c r="E462" i="130"/>
  <c r="G451" i="130"/>
  <c r="E456" i="130"/>
  <c r="G414" i="130"/>
  <c r="G410" i="130"/>
  <c r="G405" i="130"/>
  <c r="F374" i="130"/>
  <c r="G362" i="130"/>
  <c r="G371" i="130"/>
  <c r="G317" i="130"/>
  <c r="G316" i="130"/>
  <c r="E280" i="130"/>
  <c r="G279" i="130"/>
  <c r="G229" i="130"/>
  <c r="E154" i="130"/>
  <c r="G145" i="130"/>
  <c r="G100" i="130"/>
  <c r="F104" i="130"/>
  <c r="G99" i="130"/>
  <c r="E104" i="130"/>
  <c r="G52" i="130"/>
  <c r="F22" i="130"/>
  <c r="G12" i="130"/>
  <c r="E22" i="130"/>
  <c r="G430" i="130"/>
  <c r="E390" i="130"/>
  <c r="G340" i="130"/>
  <c r="G348" i="130"/>
  <c r="G294" i="130"/>
  <c r="E308" i="130"/>
  <c r="F302" i="130"/>
  <c r="F309" i="130" s="1"/>
  <c r="G301" i="130"/>
  <c r="G296" i="130"/>
  <c r="G306" i="130"/>
  <c r="G261" i="130"/>
  <c r="G263" i="130"/>
  <c r="G262" i="130"/>
  <c r="G209" i="130"/>
  <c r="F176" i="130"/>
  <c r="F170" i="130"/>
  <c r="G172" i="130"/>
  <c r="E132" i="130"/>
  <c r="G130" i="130"/>
  <c r="G85" i="130"/>
  <c r="G81" i="130"/>
  <c r="E88" i="130"/>
  <c r="G86" i="130"/>
  <c r="G36" i="130"/>
  <c r="F44" i="130"/>
  <c r="F45" i="130" s="1"/>
  <c r="G40" i="130"/>
  <c r="G42" i="130"/>
  <c r="E38" i="130"/>
  <c r="G457" i="130"/>
  <c r="F462" i="130"/>
  <c r="G281" i="130"/>
  <c r="F286" i="130"/>
  <c r="G105" i="130"/>
  <c r="D110" i="130"/>
  <c r="G7" i="130"/>
  <c r="F16" i="130"/>
  <c r="G161" i="130"/>
  <c r="E170" i="130"/>
  <c r="G83" i="130"/>
  <c r="D88" i="130"/>
  <c r="D44" i="130"/>
  <c r="G39" i="130"/>
  <c r="G404" i="130"/>
  <c r="G454" i="130"/>
  <c r="F456" i="130"/>
  <c r="G449" i="130"/>
  <c r="F418" i="130"/>
  <c r="G409" i="130"/>
  <c r="F412" i="130"/>
  <c r="G408" i="130"/>
  <c r="E412" i="130"/>
  <c r="G364" i="130"/>
  <c r="G370" i="130"/>
  <c r="G322" i="130"/>
  <c r="F324" i="130"/>
  <c r="G328" i="130"/>
  <c r="G283" i="130"/>
  <c r="F280" i="130"/>
  <c r="G277" i="130"/>
  <c r="G228" i="130"/>
  <c r="G241" i="130"/>
  <c r="F236" i="130"/>
  <c r="E236" i="130"/>
  <c r="G235" i="130"/>
  <c r="G188" i="130"/>
  <c r="F198" i="130"/>
  <c r="E198" i="130"/>
  <c r="G194" i="130"/>
  <c r="F154" i="130"/>
  <c r="G152" i="130"/>
  <c r="F110" i="130"/>
  <c r="G96" i="130"/>
  <c r="G64" i="130"/>
  <c r="E60" i="130"/>
  <c r="G8" i="130"/>
  <c r="G439" i="130"/>
  <c r="G436" i="130"/>
  <c r="G426" i="130"/>
  <c r="F434" i="130"/>
  <c r="G428" i="130"/>
  <c r="G382" i="130"/>
  <c r="G383" i="130"/>
  <c r="G392" i="130"/>
  <c r="D396" i="130"/>
  <c r="G387" i="130"/>
  <c r="G342" i="130"/>
  <c r="G349" i="130"/>
  <c r="F346" i="130"/>
  <c r="F353" i="130" s="1"/>
  <c r="G345" i="130"/>
  <c r="E346" i="130"/>
  <c r="G297" i="130"/>
  <c r="G293" i="130"/>
  <c r="G252" i="130"/>
  <c r="F264" i="130"/>
  <c r="E264" i="130"/>
  <c r="G260" i="130"/>
  <c r="G253" i="130"/>
  <c r="F214" i="130"/>
  <c r="G206" i="130"/>
  <c r="G166" i="130"/>
  <c r="G168" i="130"/>
  <c r="G167" i="130"/>
  <c r="G128" i="130"/>
  <c r="G74" i="130"/>
  <c r="G76" i="130"/>
  <c r="G32" i="130"/>
  <c r="E44" i="130"/>
  <c r="D198" i="131"/>
  <c r="G193" i="131"/>
  <c r="G17" i="131"/>
  <c r="D22" i="131"/>
  <c r="G351" i="131"/>
  <c r="E352" i="131"/>
  <c r="G350" i="131"/>
  <c r="G296" i="131"/>
  <c r="G298" i="131"/>
  <c r="F302" i="131"/>
  <c r="F309" i="131" s="1"/>
  <c r="E302" i="131"/>
  <c r="F264" i="131"/>
  <c r="G263" i="131"/>
  <c r="G252" i="131"/>
  <c r="G207" i="131"/>
  <c r="G217" i="131"/>
  <c r="G216" i="131"/>
  <c r="G169" i="131"/>
  <c r="E176" i="131"/>
  <c r="G174" i="131"/>
  <c r="G120" i="131"/>
  <c r="G122" i="131"/>
  <c r="F126" i="131"/>
  <c r="E126" i="131"/>
  <c r="E133" i="131" s="1"/>
  <c r="G85" i="131"/>
  <c r="F82" i="131"/>
  <c r="E88" i="131"/>
  <c r="G79" i="131"/>
  <c r="G31" i="131"/>
  <c r="G43" i="131"/>
  <c r="G41" i="131"/>
  <c r="G40" i="131"/>
  <c r="G323" i="131"/>
  <c r="G274" i="131"/>
  <c r="F280" i="131"/>
  <c r="G276" i="131"/>
  <c r="E280" i="131"/>
  <c r="G234" i="131"/>
  <c r="E242" i="131"/>
  <c r="F198" i="131"/>
  <c r="G195" i="131"/>
  <c r="G151" i="131"/>
  <c r="F104" i="131"/>
  <c r="G100" i="131"/>
  <c r="E104" i="131"/>
  <c r="G51" i="131"/>
  <c r="G62" i="131"/>
  <c r="G54" i="131"/>
  <c r="E66" i="131"/>
  <c r="G21" i="131"/>
  <c r="F22" i="131"/>
  <c r="G19" i="131"/>
  <c r="D286" i="131"/>
  <c r="G281" i="131"/>
  <c r="G105" i="131"/>
  <c r="D110" i="131"/>
  <c r="G61" i="131"/>
  <c r="D66" i="131"/>
  <c r="E220" i="131"/>
  <c r="E82" i="131"/>
  <c r="E44" i="131"/>
  <c r="G230" i="131"/>
  <c r="G96" i="131"/>
  <c r="G249" i="131"/>
  <c r="E264" i="131"/>
  <c r="F170" i="131"/>
  <c r="G175" i="131"/>
  <c r="G73" i="131"/>
  <c r="G32" i="131"/>
  <c r="G34" i="131"/>
  <c r="F38" i="131"/>
  <c r="G33" i="131"/>
  <c r="E38" i="131"/>
  <c r="G328" i="131"/>
  <c r="G322" i="131"/>
  <c r="E330" i="131"/>
  <c r="F286" i="131"/>
  <c r="G283" i="131"/>
  <c r="G240" i="131"/>
  <c r="F242" i="131"/>
  <c r="G235" i="131"/>
  <c r="G194" i="131"/>
  <c r="G185" i="131"/>
  <c r="F192" i="131"/>
  <c r="G188" i="131"/>
  <c r="E192" i="131"/>
  <c r="G152" i="131"/>
  <c r="G141" i="131"/>
  <c r="G143" i="131"/>
  <c r="F148" i="131"/>
  <c r="G146" i="131"/>
  <c r="E154" i="131"/>
  <c r="G102" i="131"/>
  <c r="G98" i="131"/>
  <c r="F110" i="131"/>
  <c r="G56" i="131"/>
  <c r="F60" i="131"/>
  <c r="F67" i="131" s="1"/>
  <c r="G65" i="131"/>
  <c r="G18" i="131"/>
  <c r="G9" i="131"/>
  <c r="F16" i="131"/>
  <c r="G12" i="131"/>
  <c r="E16" i="131"/>
  <c r="D308" i="131"/>
  <c r="G303" i="131"/>
  <c r="D132" i="131"/>
  <c r="G127" i="131"/>
  <c r="D330" i="131"/>
  <c r="G325" i="131"/>
  <c r="D242" i="131"/>
  <c r="G237" i="131"/>
  <c r="D154" i="131"/>
  <c r="G149" i="131"/>
  <c r="D264" i="131"/>
  <c r="G259" i="131"/>
  <c r="D352" i="131"/>
  <c r="G347" i="131"/>
  <c r="D220" i="131"/>
  <c r="G215" i="131"/>
  <c r="D176" i="131"/>
  <c r="G171" i="131"/>
  <c r="G83" i="131"/>
  <c r="D88" i="131"/>
  <c r="G39" i="131"/>
  <c r="D44" i="131"/>
  <c r="F324" i="131"/>
  <c r="G272" i="131"/>
  <c r="G150" i="131"/>
  <c r="G349" i="131"/>
  <c r="F346" i="131"/>
  <c r="G293" i="131"/>
  <c r="G305" i="131"/>
  <c r="G254" i="131"/>
  <c r="G257" i="131"/>
  <c r="G262" i="131"/>
  <c r="G219" i="131"/>
  <c r="G208" i="131"/>
  <c r="G210" i="131"/>
  <c r="F214" i="131"/>
  <c r="G209" i="131"/>
  <c r="E214" i="131"/>
  <c r="G164" i="131"/>
  <c r="G117" i="131"/>
  <c r="G129" i="131"/>
  <c r="G87" i="131"/>
  <c r="G342" i="131"/>
  <c r="G341" i="131"/>
  <c r="E346" i="131"/>
  <c r="E308" i="131"/>
  <c r="G301" i="131"/>
  <c r="G250" i="131"/>
  <c r="G251" i="131"/>
  <c r="G253" i="131"/>
  <c r="G256" i="131"/>
  <c r="G218" i="131"/>
  <c r="G206" i="131"/>
  <c r="G166" i="131"/>
  <c r="G173" i="131"/>
  <c r="G172" i="131"/>
  <c r="E170" i="131"/>
  <c r="G125" i="131"/>
  <c r="F88" i="131"/>
  <c r="G74" i="131"/>
  <c r="G80" i="131"/>
  <c r="G42" i="131"/>
  <c r="G30" i="131"/>
  <c r="G315" i="131"/>
  <c r="G320" i="131"/>
  <c r="G327" i="131"/>
  <c r="G318" i="131"/>
  <c r="E324" i="131"/>
  <c r="G279" i="131"/>
  <c r="G285" i="131"/>
  <c r="E286" i="131"/>
  <c r="G277" i="131"/>
  <c r="G228" i="131"/>
  <c r="G232" i="131"/>
  <c r="G229" i="131"/>
  <c r="G241" i="131"/>
  <c r="G231" i="131"/>
  <c r="F236" i="131"/>
  <c r="G238" i="131"/>
  <c r="G187" i="131"/>
  <c r="G191" i="131"/>
  <c r="G183" i="131"/>
  <c r="G196" i="131"/>
  <c r="G184" i="131"/>
  <c r="G139" i="131"/>
  <c r="G144" i="131"/>
  <c r="G142" i="131"/>
  <c r="E148" i="131"/>
  <c r="E110" i="131"/>
  <c r="G101" i="131"/>
  <c r="G52" i="131"/>
  <c r="G57" i="131"/>
  <c r="G58" i="131"/>
  <c r="G7" i="131"/>
  <c r="G20" i="131"/>
  <c r="G8" i="131"/>
  <c r="G215" i="132"/>
  <c r="D220" i="132"/>
  <c r="G127" i="132"/>
  <c r="D132" i="132"/>
  <c r="D66" i="132"/>
  <c r="G61" i="132"/>
  <c r="G171" i="132"/>
  <c r="D176" i="132"/>
  <c r="G149" i="132"/>
  <c r="D154" i="132"/>
  <c r="G17" i="132"/>
  <c r="D22" i="132"/>
  <c r="G169" i="132"/>
  <c r="G130" i="132"/>
  <c r="G79" i="132"/>
  <c r="E82" i="132"/>
  <c r="G37" i="132"/>
  <c r="G195" i="132"/>
  <c r="G144" i="132"/>
  <c r="G101" i="132"/>
  <c r="G59" i="132"/>
  <c r="G19" i="132"/>
  <c r="G209" i="132"/>
  <c r="G211" i="132"/>
  <c r="G216" i="132"/>
  <c r="E214" i="132"/>
  <c r="G168" i="132"/>
  <c r="G165" i="132"/>
  <c r="G120" i="132"/>
  <c r="G131" i="132"/>
  <c r="G118" i="132"/>
  <c r="G119" i="132"/>
  <c r="G77" i="132"/>
  <c r="G84" i="132"/>
  <c r="G75" i="132"/>
  <c r="G35" i="132"/>
  <c r="G30" i="132"/>
  <c r="G32" i="132"/>
  <c r="F38" i="132"/>
  <c r="F44" i="132"/>
  <c r="G33" i="132"/>
  <c r="E38" i="132"/>
  <c r="G197" i="132"/>
  <c r="G187" i="132"/>
  <c r="F192" i="132"/>
  <c r="F198" i="132"/>
  <c r="G189" i="132"/>
  <c r="G143" i="132"/>
  <c r="G153" i="132"/>
  <c r="G96" i="132"/>
  <c r="G97" i="132"/>
  <c r="F104" i="132"/>
  <c r="F110" i="132"/>
  <c r="G103" i="132"/>
  <c r="G109" i="132"/>
  <c r="G53" i="132"/>
  <c r="G56" i="132"/>
  <c r="G58" i="132"/>
  <c r="G55" i="132"/>
  <c r="E60" i="132"/>
  <c r="G10" i="132"/>
  <c r="E16" i="132"/>
  <c r="G11" i="132"/>
  <c r="F16" i="132"/>
  <c r="F22" i="132"/>
  <c r="G207" i="132"/>
  <c r="F220" i="132"/>
  <c r="G219" i="132"/>
  <c r="G164" i="132"/>
  <c r="F170" i="132"/>
  <c r="G162" i="132"/>
  <c r="E170" i="132"/>
  <c r="E132" i="132"/>
  <c r="G123" i="132"/>
  <c r="G122" i="132"/>
  <c r="G73" i="132"/>
  <c r="G85" i="132"/>
  <c r="G43" i="132"/>
  <c r="G190" i="132"/>
  <c r="G188" i="132"/>
  <c r="E154" i="132"/>
  <c r="G145" i="132"/>
  <c r="E104" i="132"/>
  <c r="E110" i="132"/>
  <c r="G106" i="132"/>
  <c r="G95" i="132"/>
  <c r="G108" i="132"/>
  <c r="G102" i="132"/>
  <c r="G54" i="132"/>
  <c r="F60" i="132"/>
  <c r="G51" i="132"/>
  <c r="G14" i="132"/>
  <c r="G20" i="132"/>
  <c r="G9" i="132"/>
  <c r="G12" i="132"/>
  <c r="D88" i="132"/>
  <c r="G83" i="132"/>
  <c r="G39" i="132"/>
  <c r="D44" i="132"/>
  <c r="G193" i="132"/>
  <c r="D198" i="132"/>
  <c r="D110" i="132"/>
  <c r="G105" i="132"/>
  <c r="E220" i="132"/>
  <c r="F214" i="132"/>
  <c r="G205" i="132"/>
  <c r="G206" i="132"/>
  <c r="G212" i="132"/>
  <c r="G172" i="132"/>
  <c r="F176" i="132"/>
  <c r="G175" i="132"/>
  <c r="F126" i="132"/>
  <c r="E126" i="132"/>
  <c r="G74" i="132"/>
  <c r="G78" i="132"/>
  <c r="F88" i="132"/>
  <c r="F89" i="132" s="1"/>
  <c r="G80" i="132"/>
  <c r="G41" i="132"/>
  <c r="G40" i="132"/>
  <c r="E192" i="132"/>
  <c r="E198" i="132"/>
  <c r="G194" i="132"/>
  <c r="G184" i="132"/>
  <c r="G139" i="132"/>
  <c r="G140" i="132"/>
  <c r="G141" i="132"/>
  <c r="E148" i="132"/>
  <c r="G148" i="132" s="1"/>
  <c r="G100" i="132"/>
  <c r="G98" i="132"/>
  <c r="G52" i="132"/>
  <c r="F66" i="132"/>
  <c r="G62" i="132"/>
  <c r="E22" i="132"/>
  <c r="G13" i="132"/>
  <c r="G18" i="132"/>
  <c r="G8" i="132"/>
  <c r="D220" i="133"/>
  <c r="G215" i="133"/>
  <c r="G29" i="133"/>
  <c r="F38" i="133"/>
  <c r="G281" i="133"/>
  <c r="E286" i="133"/>
  <c r="G237" i="133"/>
  <c r="E242" i="133"/>
  <c r="D198" i="133"/>
  <c r="G193" i="133"/>
  <c r="D154" i="133"/>
  <c r="G149" i="133"/>
  <c r="G256" i="133"/>
  <c r="F264" i="133"/>
  <c r="G253" i="133"/>
  <c r="G251" i="133"/>
  <c r="F214" i="133"/>
  <c r="G219" i="133"/>
  <c r="G169" i="133"/>
  <c r="G163" i="133"/>
  <c r="G173" i="133"/>
  <c r="E170" i="133"/>
  <c r="G118" i="133"/>
  <c r="F126" i="133"/>
  <c r="G126" i="133" s="1"/>
  <c r="G125" i="133"/>
  <c r="G79" i="133"/>
  <c r="F82" i="133"/>
  <c r="G78" i="133"/>
  <c r="E88" i="133"/>
  <c r="G84" i="133"/>
  <c r="G41" i="133"/>
  <c r="G33" i="133"/>
  <c r="G42" i="133"/>
  <c r="G275" i="133"/>
  <c r="G283" i="133"/>
  <c r="E280" i="133"/>
  <c r="G186" i="133"/>
  <c r="F192" i="133"/>
  <c r="G191" i="133"/>
  <c r="G195" i="133"/>
  <c r="G141" i="133"/>
  <c r="G107" i="133"/>
  <c r="E110" i="133"/>
  <c r="G97" i="133"/>
  <c r="E104" i="133"/>
  <c r="G54" i="133"/>
  <c r="G63" i="133"/>
  <c r="G59" i="133"/>
  <c r="G18" i="133"/>
  <c r="G12" i="133"/>
  <c r="G19" i="133"/>
  <c r="D44" i="133"/>
  <c r="G39" i="133"/>
  <c r="D264" i="133"/>
  <c r="G259" i="133"/>
  <c r="G105" i="133"/>
  <c r="D110" i="133"/>
  <c r="D66" i="133"/>
  <c r="G61" i="133"/>
  <c r="F236" i="133"/>
  <c r="G140" i="133"/>
  <c r="G108" i="133"/>
  <c r="G250" i="133"/>
  <c r="G260" i="133"/>
  <c r="E264" i="133"/>
  <c r="G168" i="133"/>
  <c r="G85" i="133"/>
  <c r="G76" i="133"/>
  <c r="F44" i="133"/>
  <c r="E44" i="133"/>
  <c r="G35" i="133"/>
  <c r="G276" i="133"/>
  <c r="F286" i="133"/>
  <c r="G282" i="133"/>
  <c r="D286" i="133"/>
  <c r="E236" i="133"/>
  <c r="D242" i="133"/>
  <c r="G239" i="133"/>
  <c r="E198" i="133"/>
  <c r="G196" i="133"/>
  <c r="G185" i="133"/>
  <c r="E192" i="133"/>
  <c r="G146" i="133"/>
  <c r="G145" i="133"/>
  <c r="G100" i="133"/>
  <c r="F110" i="133"/>
  <c r="G98" i="133"/>
  <c r="G51" i="133"/>
  <c r="G56" i="133"/>
  <c r="F60" i="133"/>
  <c r="F67" i="133" s="1"/>
  <c r="G52" i="133"/>
  <c r="G10" i="133"/>
  <c r="F22" i="133"/>
  <c r="G21" i="133"/>
  <c r="G7" i="133"/>
  <c r="G9" i="133"/>
  <c r="E22" i="133"/>
  <c r="G11" i="133"/>
  <c r="E16" i="133"/>
  <c r="G17" i="133"/>
  <c r="D22" i="133"/>
  <c r="G171" i="133"/>
  <c r="D176" i="133"/>
  <c r="D132" i="133"/>
  <c r="G127" i="133"/>
  <c r="G83" i="133"/>
  <c r="D88" i="133"/>
  <c r="F170" i="133"/>
  <c r="G189" i="133"/>
  <c r="F148" i="133"/>
  <c r="E60" i="133"/>
  <c r="F16" i="133"/>
  <c r="G15" i="133"/>
  <c r="G263" i="133"/>
  <c r="G254" i="133"/>
  <c r="E258" i="133"/>
  <c r="F220" i="133"/>
  <c r="G209" i="133"/>
  <c r="G123" i="133"/>
  <c r="G130" i="133"/>
  <c r="G73" i="133"/>
  <c r="G74" i="133"/>
  <c r="E82" i="133"/>
  <c r="G34" i="133"/>
  <c r="G37" i="133"/>
  <c r="G36" i="133"/>
  <c r="G261" i="133"/>
  <c r="G257" i="133"/>
  <c r="G249" i="133"/>
  <c r="F258" i="133"/>
  <c r="G255" i="133"/>
  <c r="G252" i="133"/>
  <c r="G206" i="133"/>
  <c r="G212" i="133"/>
  <c r="G211" i="133"/>
  <c r="G216" i="133"/>
  <c r="E214" i="133"/>
  <c r="G167" i="133"/>
  <c r="G172" i="133"/>
  <c r="G164" i="133"/>
  <c r="G131" i="133"/>
  <c r="G122" i="133"/>
  <c r="G128" i="133"/>
  <c r="G81" i="133"/>
  <c r="G86" i="133"/>
  <c r="G30" i="133"/>
  <c r="G32" i="133"/>
  <c r="G31" i="133"/>
  <c r="E38" i="133"/>
  <c r="G274" i="133"/>
  <c r="G285" i="133"/>
  <c r="G277" i="133"/>
  <c r="F280" i="133"/>
  <c r="G235" i="133"/>
  <c r="G232" i="133"/>
  <c r="G241" i="133"/>
  <c r="G240" i="133"/>
  <c r="G233" i="133"/>
  <c r="G190" i="133"/>
  <c r="G194" i="133"/>
  <c r="G183" i="133"/>
  <c r="G139" i="133"/>
  <c r="G144" i="133"/>
  <c r="G153" i="133"/>
  <c r="E154" i="133"/>
  <c r="G143" i="133"/>
  <c r="E148" i="133"/>
  <c r="G96" i="133"/>
  <c r="F104" i="133"/>
  <c r="G99" i="133"/>
  <c r="G101" i="133"/>
  <c r="G58" i="133"/>
  <c r="G53" i="133"/>
  <c r="G62" i="133"/>
  <c r="G193" i="122"/>
  <c r="D198" i="122"/>
  <c r="G17" i="122"/>
  <c r="D22" i="122"/>
  <c r="G171" i="122"/>
  <c r="D176" i="122"/>
  <c r="G105" i="122"/>
  <c r="D110" i="122"/>
  <c r="D44" i="122"/>
  <c r="G39" i="122"/>
  <c r="F104" i="122"/>
  <c r="E104" i="122"/>
  <c r="G52" i="122"/>
  <c r="G15" i="122"/>
  <c r="G166" i="122"/>
  <c r="F126" i="122"/>
  <c r="G122" i="122"/>
  <c r="E126" i="122"/>
  <c r="G196" i="122"/>
  <c r="G184" i="122"/>
  <c r="F198" i="122"/>
  <c r="E198" i="122"/>
  <c r="G189" i="122"/>
  <c r="G144" i="122"/>
  <c r="G147" i="122"/>
  <c r="G146" i="122"/>
  <c r="G108" i="122"/>
  <c r="G98" i="122"/>
  <c r="F110" i="122"/>
  <c r="G109" i="122"/>
  <c r="G96" i="122"/>
  <c r="G55" i="122"/>
  <c r="G51" i="122"/>
  <c r="G63" i="122"/>
  <c r="E66" i="122"/>
  <c r="G56" i="122"/>
  <c r="E60" i="122"/>
  <c r="G12" i="122"/>
  <c r="F22" i="122"/>
  <c r="F23" i="122" s="1"/>
  <c r="G8" i="122"/>
  <c r="G13" i="122"/>
  <c r="F170" i="122"/>
  <c r="G161" i="122"/>
  <c r="G162" i="122"/>
  <c r="G175" i="122"/>
  <c r="G163" i="122"/>
  <c r="G172" i="122"/>
  <c r="G130" i="122"/>
  <c r="G125" i="122"/>
  <c r="G81" i="122"/>
  <c r="G87" i="122"/>
  <c r="G74" i="122"/>
  <c r="E82" i="122"/>
  <c r="E88" i="122"/>
  <c r="G75" i="122"/>
  <c r="G35" i="122"/>
  <c r="G33" i="122"/>
  <c r="F38" i="122"/>
  <c r="G32" i="122"/>
  <c r="G149" i="122"/>
  <c r="D154" i="122"/>
  <c r="G61" i="122"/>
  <c r="D66" i="122"/>
  <c r="D132" i="122"/>
  <c r="G127" i="122"/>
  <c r="G186" i="122"/>
  <c r="G194" i="122"/>
  <c r="G195" i="122"/>
  <c r="G185" i="122"/>
  <c r="E192" i="122"/>
  <c r="G151" i="122"/>
  <c r="F154" i="122"/>
  <c r="E154" i="122"/>
  <c r="G107" i="122"/>
  <c r="G65" i="122"/>
  <c r="E22" i="122"/>
  <c r="G9" i="122"/>
  <c r="E16" i="122"/>
  <c r="G16" i="122" s="1"/>
  <c r="G168" i="122"/>
  <c r="G169" i="122"/>
  <c r="G131" i="122"/>
  <c r="G129" i="122"/>
  <c r="F82" i="122"/>
  <c r="G84" i="122"/>
  <c r="G73" i="122"/>
  <c r="G86" i="122"/>
  <c r="G31" i="122"/>
  <c r="F44" i="122"/>
  <c r="E44" i="122"/>
  <c r="G30" i="122"/>
  <c r="E38" i="122"/>
  <c r="D88" i="122"/>
  <c r="G83" i="122"/>
  <c r="F192" i="122"/>
  <c r="G190" i="122"/>
  <c r="G187" i="122"/>
  <c r="G183" i="122"/>
  <c r="G197" i="122"/>
  <c r="G145" i="122"/>
  <c r="G140" i="122"/>
  <c r="F148" i="122"/>
  <c r="E148" i="122"/>
  <c r="G102" i="122"/>
  <c r="G95" i="122"/>
  <c r="G103" i="122"/>
  <c r="G57" i="122"/>
  <c r="F60" i="122"/>
  <c r="F67" i="122" s="1"/>
  <c r="G59" i="122"/>
  <c r="G62" i="122"/>
  <c r="G11" i="122"/>
  <c r="G7" i="122"/>
  <c r="G21" i="122"/>
  <c r="G164" i="122"/>
  <c r="F176" i="122"/>
  <c r="E170" i="122"/>
  <c r="E176" i="122"/>
  <c r="G165" i="122"/>
  <c r="F132" i="122"/>
  <c r="E132" i="122"/>
  <c r="G85" i="122"/>
  <c r="G76" i="122"/>
  <c r="G77" i="122"/>
  <c r="G40" i="122"/>
  <c r="G41" i="122"/>
  <c r="G43" i="122"/>
  <c r="D88" i="123"/>
  <c r="G83" i="123"/>
  <c r="D44" i="123"/>
  <c r="G39" i="123"/>
  <c r="D198" i="123"/>
  <c r="G193" i="123"/>
  <c r="D22" i="123"/>
  <c r="G17" i="123"/>
  <c r="F126" i="123"/>
  <c r="G210" i="123"/>
  <c r="F220" i="123"/>
  <c r="G218" i="123"/>
  <c r="G206" i="123"/>
  <c r="E176" i="123"/>
  <c r="F170" i="123"/>
  <c r="G161" i="123"/>
  <c r="G131" i="123"/>
  <c r="G130" i="123"/>
  <c r="G119" i="123"/>
  <c r="G76" i="123"/>
  <c r="E82" i="123"/>
  <c r="G35" i="123"/>
  <c r="G40" i="123"/>
  <c r="F44" i="123"/>
  <c r="G33" i="123"/>
  <c r="G186" i="123"/>
  <c r="G183" i="123"/>
  <c r="G190" i="123"/>
  <c r="G139" i="123"/>
  <c r="G152" i="123"/>
  <c r="E148" i="123"/>
  <c r="G143" i="123"/>
  <c r="G153" i="123"/>
  <c r="F104" i="123"/>
  <c r="G109" i="123"/>
  <c r="G101" i="123"/>
  <c r="E110" i="123"/>
  <c r="G99" i="123"/>
  <c r="E104" i="123"/>
  <c r="G58" i="123"/>
  <c r="E60" i="123"/>
  <c r="G53" i="123"/>
  <c r="F16" i="123"/>
  <c r="F22" i="123"/>
  <c r="G14" i="123"/>
  <c r="D110" i="123"/>
  <c r="G105" i="123"/>
  <c r="E214" i="123"/>
  <c r="G117" i="123"/>
  <c r="G217" i="123"/>
  <c r="G121" i="123"/>
  <c r="F88" i="123"/>
  <c r="G191" i="123"/>
  <c r="G194" i="123"/>
  <c r="G185" i="123"/>
  <c r="E192" i="123"/>
  <c r="G145" i="123"/>
  <c r="E154" i="123"/>
  <c r="G142" i="123"/>
  <c r="G98" i="123"/>
  <c r="G100" i="123"/>
  <c r="G106" i="123"/>
  <c r="G57" i="123"/>
  <c r="G59" i="123"/>
  <c r="E66" i="123"/>
  <c r="G9" i="123"/>
  <c r="E16" i="123"/>
  <c r="D176" i="123"/>
  <c r="G171" i="123"/>
  <c r="D154" i="123"/>
  <c r="G149" i="123"/>
  <c r="D132" i="123"/>
  <c r="G127" i="123"/>
  <c r="D220" i="123"/>
  <c r="G215" i="123"/>
  <c r="D66" i="123"/>
  <c r="G61" i="123"/>
  <c r="G205" i="123"/>
  <c r="G166" i="123"/>
  <c r="G79" i="123"/>
  <c r="F82" i="123"/>
  <c r="F38" i="123"/>
  <c r="E38" i="123"/>
  <c r="E45" i="123" s="1"/>
  <c r="G184" i="123"/>
  <c r="G189" i="123"/>
  <c r="G56" i="123"/>
  <c r="G10" i="123"/>
  <c r="G8" i="123"/>
  <c r="G13" i="123"/>
  <c r="G213" i="123"/>
  <c r="G163" i="123"/>
  <c r="G169" i="123"/>
  <c r="G168" i="123"/>
  <c r="G175" i="123"/>
  <c r="E170" i="123"/>
  <c r="G170" i="123" s="1"/>
  <c r="G120" i="123"/>
  <c r="G75" i="123"/>
  <c r="G84" i="123"/>
  <c r="G36" i="123"/>
  <c r="G43" i="123"/>
  <c r="E220" i="123"/>
  <c r="G216" i="123"/>
  <c r="G212" i="123"/>
  <c r="G209" i="123"/>
  <c r="G165" i="123"/>
  <c r="F176" i="123"/>
  <c r="G164" i="123"/>
  <c r="G167" i="123"/>
  <c r="G174" i="123"/>
  <c r="G122" i="123"/>
  <c r="F132" i="123"/>
  <c r="G123" i="123"/>
  <c r="E126" i="123"/>
  <c r="G78" i="123"/>
  <c r="E88" i="123"/>
  <c r="G85" i="123"/>
  <c r="G73" i="123"/>
  <c r="G87" i="123"/>
  <c r="G77" i="123"/>
  <c r="G80" i="123"/>
  <c r="G41" i="123"/>
  <c r="G32" i="123"/>
  <c r="G37" i="123"/>
  <c r="G197" i="123"/>
  <c r="G188" i="123"/>
  <c r="F198" i="123"/>
  <c r="G187" i="123"/>
  <c r="E198" i="123"/>
  <c r="F192" i="123"/>
  <c r="G196" i="123"/>
  <c r="G140" i="123"/>
  <c r="G141" i="123"/>
  <c r="F148" i="123"/>
  <c r="F154" i="123"/>
  <c r="G144" i="123"/>
  <c r="G150" i="123"/>
  <c r="G97" i="123"/>
  <c r="G96" i="123"/>
  <c r="F110" i="123"/>
  <c r="G108" i="123"/>
  <c r="G103" i="123"/>
  <c r="G65" i="123"/>
  <c r="G51" i="123"/>
  <c r="G55" i="123"/>
  <c r="F60" i="123"/>
  <c r="F66" i="123"/>
  <c r="G63" i="123"/>
  <c r="G18" i="123"/>
  <c r="E22" i="123"/>
  <c r="G21" i="123"/>
  <c r="G20" i="123"/>
  <c r="G61" i="124"/>
  <c r="D66" i="124"/>
  <c r="G206" i="124"/>
  <c r="G211" i="124"/>
  <c r="F214" i="124"/>
  <c r="F221" i="124" s="1"/>
  <c r="E214" i="124"/>
  <c r="G168" i="124"/>
  <c r="E176" i="124"/>
  <c r="G123" i="124"/>
  <c r="E132" i="124"/>
  <c r="F126" i="124"/>
  <c r="F133" i="124" s="1"/>
  <c r="G124" i="124"/>
  <c r="G87" i="124"/>
  <c r="G86" i="124"/>
  <c r="G41" i="124"/>
  <c r="F38" i="124"/>
  <c r="E38" i="124"/>
  <c r="G232" i="124"/>
  <c r="E242" i="124"/>
  <c r="G235" i="124"/>
  <c r="G230" i="124"/>
  <c r="G194" i="124"/>
  <c r="G196" i="124"/>
  <c r="G195" i="124"/>
  <c r="G152" i="124"/>
  <c r="G109" i="124"/>
  <c r="G96" i="124"/>
  <c r="E104" i="124"/>
  <c r="F66" i="124"/>
  <c r="G58" i="124"/>
  <c r="G9" i="124"/>
  <c r="F16" i="124"/>
  <c r="G15" i="124"/>
  <c r="G14" i="124"/>
  <c r="G193" i="124"/>
  <c r="D198" i="124"/>
  <c r="G105" i="124"/>
  <c r="D110" i="124"/>
  <c r="G17" i="124"/>
  <c r="D22" i="124"/>
  <c r="F170" i="124"/>
  <c r="F177" i="124" s="1"/>
  <c r="F236" i="124"/>
  <c r="G205" i="124"/>
  <c r="G173" i="124"/>
  <c r="G175" i="124"/>
  <c r="G117" i="124"/>
  <c r="G129" i="124"/>
  <c r="E126" i="124"/>
  <c r="E88" i="124"/>
  <c r="E44" i="124"/>
  <c r="G227" i="124"/>
  <c r="G239" i="124"/>
  <c r="F192" i="124"/>
  <c r="F198" i="124"/>
  <c r="G187" i="124"/>
  <c r="E198" i="124"/>
  <c r="G186" i="124"/>
  <c r="G189" i="124"/>
  <c r="E192" i="124"/>
  <c r="G140" i="124"/>
  <c r="G142" i="124"/>
  <c r="G145" i="124"/>
  <c r="G102" i="124"/>
  <c r="G62" i="124"/>
  <c r="E66" i="124"/>
  <c r="G53" i="124"/>
  <c r="F60" i="124"/>
  <c r="G52" i="124"/>
  <c r="E16" i="124"/>
  <c r="E23" i="124" s="1"/>
  <c r="D88" i="124"/>
  <c r="G83" i="124"/>
  <c r="G149" i="124"/>
  <c r="D154" i="124"/>
  <c r="G51" i="124"/>
  <c r="E60" i="124"/>
  <c r="D44" i="124"/>
  <c r="G39" i="124"/>
  <c r="D220" i="124"/>
  <c r="G215" i="124"/>
  <c r="D176" i="124"/>
  <c r="G171" i="124"/>
  <c r="G127" i="124"/>
  <c r="D132" i="124"/>
  <c r="G237" i="124"/>
  <c r="D242" i="124"/>
  <c r="G139" i="124"/>
  <c r="E148" i="124"/>
  <c r="E155" i="124" s="1"/>
  <c r="G162" i="124"/>
  <c r="E170" i="124"/>
  <c r="G118" i="124"/>
  <c r="F242" i="124"/>
  <c r="G228" i="124"/>
  <c r="E236" i="124"/>
  <c r="G217" i="124"/>
  <c r="G161" i="124"/>
  <c r="G130" i="124"/>
  <c r="G128" i="124"/>
  <c r="G80" i="124"/>
  <c r="G79" i="124"/>
  <c r="G78" i="124"/>
  <c r="G34" i="124"/>
  <c r="F44" i="124"/>
  <c r="G212" i="124"/>
  <c r="G213" i="124"/>
  <c r="G169" i="124"/>
  <c r="G172" i="124"/>
  <c r="G125" i="124"/>
  <c r="G131" i="124"/>
  <c r="G76" i="124"/>
  <c r="F88" i="124"/>
  <c r="G75" i="124"/>
  <c r="G74" i="124"/>
  <c r="F82" i="124"/>
  <c r="G77" i="124"/>
  <c r="E82" i="124"/>
  <c r="G30" i="124"/>
  <c r="G32" i="124"/>
  <c r="G35" i="124"/>
  <c r="G238" i="124"/>
  <c r="G234" i="124"/>
  <c r="G197" i="124"/>
  <c r="G183" i="124"/>
  <c r="G185" i="124"/>
  <c r="G151" i="124"/>
  <c r="G150" i="124"/>
  <c r="F148" i="124"/>
  <c r="G141" i="124"/>
  <c r="G99" i="124"/>
  <c r="F104" i="124"/>
  <c r="F110" i="124"/>
  <c r="G98" i="124"/>
  <c r="G101" i="124"/>
  <c r="G95" i="124"/>
  <c r="G100" i="124"/>
  <c r="G59" i="124"/>
  <c r="G65" i="124"/>
  <c r="G64" i="124"/>
  <c r="G63" i="124"/>
  <c r="G19" i="124"/>
  <c r="G18" i="124"/>
  <c r="G21" i="124"/>
  <c r="G17" i="125"/>
  <c r="D22" i="125"/>
  <c r="G61" i="125"/>
  <c r="F66" i="125"/>
  <c r="G62" i="125"/>
  <c r="E126" i="125"/>
  <c r="G73" i="125"/>
  <c r="D110" i="125"/>
  <c r="G106" i="125"/>
  <c r="G98" i="125"/>
  <c r="G97" i="125"/>
  <c r="E104" i="125"/>
  <c r="G59" i="125"/>
  <c r="G57" i="125"/>
  <c r="G52" i="125"/>
  <c r="G55" i="125"/>
  <c r="G21" i="125"/>
  <c r="G8" i="125"/>
  <c r="G10" i="125"/>
  <c r="G9" i="125"/>
  <c r="G19" i="125"/>
  <c r="E132" i="125"/>
  <c r="F126" i="125"/>
  <c r="G117" i="125"/>
  <c r="G129" i="125"/>
  <c r="G122" i="125"/>
  <c r="G125" i="125"/>
  <c r="D88" i="125"/>
  <c r="G76" i="125"/>
  <c r="G79" i="125"/>
  <c r="E82" i="125"/>
  <c r="F38" i="125"/>
  <c r="G29" i="125"/>
  <c r="G42" i="125"/>
  <c r="G32" i="125"/>
  <c r="E44" i="125"/>
  <c r="G105" i="125"/>
  <c r="F110" i="125"/>
  <c r="G83" i="125"/>
  <c r="F88" i="125"/>
  <c r="D44" i="125"/>
  <c r="G39" i="125"/>
  <c r="G101" i="125"/>
  <c r="G103" i="125"/>
  <c r="F104" i="125"/>
  <c r="E66" i="125"/>
  <c r="G53" i="125"/>
  <c r="E60" i="125"/>
  <c r="F16" i="125"/>
  <c r="G18" i="125"/>
  <c r="D132" i="125"/>
  <c r="G120" i="125"/>
  <c r="G81" i="125"/>
  <c r="E38" i="125"/>
  <c r="G127" i="125"/>
  <c r="F132" i="125"/>
  <c r="G102" i="125"/>
  <c r="E110" i="125"/>
  <c r="G107" i="125"/>
  <c r="G63" i="125"/>
  <c r="G64" i="125"/>
  <c r="G56" i="125"/>
  <c r="F60" i="125"/>
  <c r="G15" i="125"/>
  <c r="G12" i="125"/>
  <c r="E16" i="125"/>
  <c r="G118" i="125"/>
  <c r="G121" i="125"/>
  <c r="G128" i="125"/>
  <c r="G75" i="125"/>
  <c r="G87" i="125"/>
  <c r="G80" i="125"/>
  <c r="G35" i="125"/>
  <c r="G33" i="125"/>
  <c r="G43" i="125"/>
  <c r="D44" i="120"/>
  <c r="G39" i="120"/>
  <c r="F132" i="120"/>
  <c r="G119" i="120"/>
  <c r="F126" i="120"/>
  <c r="G79" i="120"/>
  <c r="E154" i="120"/>
  <c r="G152" i="120"/>
  <c r="G140" i="120"/>
  <c r="G56" i="120"/>
  <c r="E66" i="120"/>
  <c r="G55" i="120"/>
  <c r="F60" i="120"/>
  <c r="E104" i="120"/>
  <c r="G100" i="120"/>
  <c r="G102" i="120"/>
  <c r="G8" i="120"/>
  <c r="G7" i="120"/>
  <c r="G9" i="120"/>
  <c r="G15" i="120"/>
  <c r="D132" i="120"/>
  <c r="G127" i="120"/>
  <c r="G105" i="120"/>
  <c r="D110" i="120"/>
  <c r="G149" i="120"/>
  <c r="D154" i="120"/>
  <c r="G61" i="120"/>
  <c r="D66" i="120"/>
  <c r="G65" i="120"/>
  <c r="G109" i="120"/>
  <c r="F16" i="120"/>
  <c r="F23" i="120" s="1"/>
  <c r="E126" i="120"/>
  <c r="G120" i="120"/>
  <c r="E82" i="120"/>
  <c r="G121" i="120"/>
  <c r="E132" i="120"/>
  <c r="G122" i="120"/>
  <c r="G118" i="120"/>
  <c r="G81" i="120"/>
  <c r="G84" i="120"/>
  <c r="G77" i="120"/>
  <c r="F88" i="120"/>
  <c r="G32" i="120"/>
  <c r="G34" i="120"/>
  <c r="G40" i="120"/>
  <c r="G144" i="120"/>
  <c r="G117" i="120"/>
  <c r="G131" i="120"/>
  <c r="G129" i="120"/>
  <c r="G130" i="120"/>
  <c r="G74" i="120"/>
  <c r="G80" i="120"/>
  <c r="G75" i="120"/>
  <c r="F82" i="120"/>
  <c r="G37" i="120"/>
  <c r="E38" i="120"/>
  <c r="E44" i="120"/>
  <c r="G30" i="120"/>
  <c r="G33" i="120"/>
  <c r="F44" i="120"/>
  <c r="G35" i="120"/>
  <c r="E148" i="120"/>
  <c r="G150" i="120"/>
  <c r="E60" i="120"/>
  <c r="G52" i="120"/>
  <c r="G107" i="120"/>
  <c r="G108" i="120"/>
  <c r="G95" i="120"/>
  <c r="G98" i="120"/>
  <c r="F104" i="120"/>
  <c r="G13" i="120"/>
  <c r="G19" i="120"/>
  <c r="G18" i="120"/>
  <c r="G11" i="120"/>
  <c r="D88" i="120"/>
  <c r="G83" i="120"/>
  <c r="G17" i="120"/>
  <c r="D22" i="120"/>
  <c r="G153" i="120"/>
  <c r="G36" i="120"/>
  <c r="F38" i="120"/>
  <c r="G29" i="120"/>
  <c r="G42" i="120"/>
  <c r="F154" i="120"/>
  <c r="G146" i="120"/>
  <c r="G143" i="120"/>
  <c r="F148" i="120"/>
  <c r="G57" i="120"/>
  <c r="F66" i="120"/>
  <c r="G59" i="120"/>
  <c r="F110" i="120"/>
  <c r="G99" i="120"/>
  <c r="E110" i="120"/>
  <c r="G101" i="120"/>
  <c r="G106" i="120"/>
  <c r="E16" i="120"/>
  <c r="E22" i="120"/>
  <c r="G10" i="120"/>
  <c r="G18" i="101"/>
  <c r="G14" i="101"/>
  <c r="G24" i="101"/>
  <c r="C4" i="101"/>
  <c r="G9" i="101"/>
  <c r="G15" i="101"/>
  <c r="G10" i="101"/>
  <c r="G68" i="101"/>
  <c r="C48" i="101"/>
  <c r="G56" i="101"/>
  <c r="G53" i="101"/>
  <c r="G52" i="101"/>
  <c r="G62" i="101"/>
  <c r="G112" i="101"/>
  <c r="G100" i="101"/>
  <c r="G103" i="101"/>
  <c r="G97" i="101"/>
  <c r="C92" i="101"/>
  <c r="G146" i="101"/>
  <c r="G145" i="101"/>
  <c r="G141" i="101"/>
  <c r="G156" i="101"/>
  <c r="C136" i="101"/>
  <c r="G150" i="101"/>
  <c r="G194" i="101"/>
  <c r="G200" i="101"/>
  <c r="G189" i="101"/>
  <c r="C180" i="101"/>
  <c r="C224" i="101"/>
  <c r="G232" i="101"/>
  <c r="G231" i="101"/>
  <c r="G241" i="101"/>
  <c r="G244" i="101"/>
  <c r="G288" i="101"/>
  <c r="C268" i="101"/>
  <c r="G277" i="101"/>
  <c r="G276" i="101"/>
  <c r="G321" i="101"/>
  <c r="G320" i="101"/>
  <c r="G317" i="101"/>
  <c r="G332" i="101"/>
  <c r="C312" i="101"/>
  <c r="G360" i="101"/>
  <c r="G363" i="101"/>
  <c r="G376" i="101"/>
  <c r="C356" i="101"/>
  <c r="G420" i="101"/>
  <c r="C400" i="101"/>
  <c r="G408" i="101"/>
  <c r="G464" i="101"/>
  <c r="G455" i="101"/>
  <c r="G454" i="101"/>
  <c r="G450" i="101"/>
  <c r="G459" i="101"/>
  <c r="C444" i="101"/>
  <c r="G496" i="101"/>
  <c r="G508" i="101"/>
  <c r="C488" i="101"/>
  <c r="G541" i="101"/>
  <c r="C532" i="101"/>
  <c r="G552" i="101"/>
  <c r="G543" i="101"/>
  <c r="C576" i="101"/>
  <c r="G596" i="101"/>
  <c r="G640" i="101"/>
  <c r="C620" i="101"/>
  <c r="G629" i="101"/>
  <c r="G673" i="101"/>
  <c r="G684" i="101"/>
  <c r="G680" i="101"/>
  <c r="G674" i="101"/>
  <c r="C664" i="101"/>
  <c r="G724" i="101"/>
  <c r="G728" i="101"/>
  <c r="C708" i="101"/>
  <c r="G717" i="101"/>
  <c r="G716" i="101"/>
  <c r="G768" i="101"/>
  <c r="G761" i="101"/>
  <c r="C752" i="101"/>
  <c r="G772" i="101"/>
  <c r="G804" i="101"/>
  <c r="G816" i="101"/>
  <c r="G802" i="101"/>
  <c r="G805" i="101"/>
  <c r="C796" i="101"/>
  <c r="G860" i="101"/>
  <c r="G846" i="101"/>
  <c r="C840" i="101"/>
  <c r="G843" i="101"/>
  <c r="G851" i="101"/>
  <c r="C884" i="101"/>
  <c r="G887" i="101"/>
  <c r="G904" i="101"/>
  <c r="G936" i="101"/>
  <c r="G948" i="101"/>
  <c r="G945" i="101"/>
  <c r="C928" i="101"/>
  <c r="C972" i="101"/>
  <c r="G992" i="101"/>
  <c r="G978" i="101"/>
  <c r="G1024" i="101"/>
  <c r="G1036" i="101"/>
  <c r="G1033" i="101"/>
  <c r="G1022" i="101"/>
  <c r="C1016" i="101"/>
  <c r="G1070" i="101"/>
  <c r="G1066" i="101"/>
  <c r="C1060" i="101"/>
  <c r="G1069" i="101"/>
  <c r="G1068" i="101"/>
  <c r="G1080" i="101"/>
  <c r="G1067" i="101"/>
  <c r="G1124" i="101"/>
  <c r="G1114" i="101"/>
  <c r="C1104" i="101"/>
  <c r="G1112" i="101"/>
  <c r="G1158" i="101"/>
  <c r="G1154" i="101"/>
  <c r="G1164" i="101"/>
  <c r="C1148" i="101"/>
  <c r="G1168" i="101"/>
  <c r="G1212" i="101"/>
  <c r="G1196" i="101"/>
  <c r="G1201" i="101"/>
  <c r="C1192" i="101"/>
  <c r="G1256" i="101"/>
  <c r="G1243" i="101"/>
  <c r="C1236" i="101"/>
  <c r="G1253" i="101"/>
  <c r="G1300" i="101"/>
  <c r="G1287" i="101"/>
  <c r="C1280" i="101"/>
  <c r="G1333" i="101"/>
  <c r="G1331" i="101"/>
  <c r="C1324" i="101"/>
  <c r="G1340" i="101"/>
  <c r="G1332" i="101"/>
  <c r="G1344" i="101"/>
  <c r="C1368" i="101"/>
  <c r="G1388" i="101"/>
  <c r="G1376" i="101"/>
  <c r="G1378" i="101"/>
  <c r="G1422" i="101"/>
  <c r="C1412" i="101"/>
  <c r="G1420" i="101"/>
  <c r="G1416" i="101"/>
  <c r="G1432" i="101"/>
  <c r="G1467" i="101"/>
  <c r="C1456" i="101"/>
  <c r="G1476" i="101"/>
  <c r="G1520" i="101"/>
  <c r="C1500" i="101"/>
  <c r="G1510" i="101"/>
  <c r="G1504" i="101"/>
  <c r="G1564" i="101"/>
  <c r="C1544" i="101"/>
  <c r="G1596" i="101"/>
  <c r="G1608" i="101"/>
  <c r="C1588" i="101"/>
  <c r="G1643" i="101"/>
  <c r="C1632" i="101"/>
  <c r="G1652" i="101"/>
  <c r="G1639" i="101"/>
  <c r="G42" i="101"/>
  <c r="G36" i="101"/>
  <c r="C26" i="101"/>
  <c r="G31" i="101"/>
  <c r="G29" i="101"/>
  <c r="G30" i="101"/>
  <c r="G35" i="101"/>
  <c r="G34" i="101"/>
  <c r="G46" i="101"/>
  <c r="G37" i="101"/>
  <c r="G33" i="101"/>
  <c r="G40" i="101"/>
  <c r="G78" i="101"/>
  <c r="G74" i="101"/>
  <c r="G81" i="101"/>
  <c r="G80" i="101"/>
  <c r="G90" i="101"/>
  <c r="G85" i="101"/>
  <c r="G75" i="101"/>
  <c r="C70" i="101"/>
  <c r="G77" i="101"/>
  <c r="G76" i="101"/>
  <c r="G122" i="101"/>
  <c r="G118" i="101"/>
  <c r="G134" i="101"/>
  <c r="G120" i="101"/>
  <c r="G125" i="101"/>
  <c r="G124" i="101"/>
  <c r="G129" i="101"/>
  <c r="G123" i="101"/>
  <c r="G119" i="101"/>
  <c r="G117" i="101"/>
  <c r="G121" i="101"/>
  <c r="C114" i="101"/>
  <c r="G168" i="101"/>
  <c r="G164" i="101"/>
  <c r="G162" i="101"/>
  <c r="G178" i="101"/>
  <c r="G165" i="101"/>
  <c r="G163" i="101"/>
  <c r="C158" i="101"/>
  <c r="G166" i="101"/>
  <c r="G218" i="101"/>
  <c r="G212" i="101"/>
  <c r="C202" i="101"/>
  <c r="G206" i="101"/>
  <c r="G222" i="101"/>
  <c r="G213" i="101"/>
  <c r="G209" i="101"/>
  <c r="G207" i="101"/>
  <c r="G210" i="101"/>
  <c r="G250" i="101"/>
  <c r="G249" i="101"/>
  <c r="G263" i="101"/>
  <c r="G257" i="101"/>
  <c r="G256" i="101"/>
  <c r="G266" i="101"/>
  <c r="G261" i="101"/>
  <c r="G255" i="101"/>
  <c r="C246" i="101"/>
  <c r="G304" i="101"/>
  <c r="G294" i="101"/>
  <c r="G301" i="101"/>
  <c r="G310" i="101"/>
  <c r="G307" i="101"/>
  <c r="G297" i="101"/>
  <c r="G300" i="101"/>
  <c r="G305" i="101"/>
  <c r="G299" i="101"/>
  <c r="G293" i="101"/>
  <c r="C290" i="101"/>
  <c r="G344" i="101"/>
  <c r="G340" i="101"/>
  <c r="G354" i="101"/>
  <c r="G349" i="101"/>
  <c r="G339" i="101"/>
  <c r="C334" i="101"/>
  <c r="G342" i="101"/>
  <c r="G338" i="101"/>
  <c r="G341" i="101"/>
  <c r="G398" i="101"/>
  <c r="G388" i="101"/>
  <c r="C378" i="101"/>
  <c r="G381" i="101"/>
  <c r="G382" i="101"/>
  <c r="G393" i="101"/>
  <c r="G385" i="101"/>
  <c r="G387" i="101"/>
  <c r="G430" i="101"/>
  <c r="G426" i="101"/>
  <c r="G442" i="101"/>
  <c r="G429" i="101"/>
  <c r="G432" i="101"/>
  <c r="G428" i="101"/>
  <c r="C422" i="101"/>
  <c r="G437" i="101"/>
  <c r="G431" i="101"/>
  <c r="G470" i="101"/>
  <c r="G469" i="101"/>
  <c r="G486" i="101"/>
  <c r="G477" i="101"/>
  <c r="G473" i="101"/>
  <c r="G476" i="101"/>
  <c r="G472" i="101"/>
  <c r="G471" i="101"/>
  <c r="C466" i="101"/>
  <c r="G515" i="101"/>
  <c r="G513" i="101"/>
  <c r="G518" i="101"/>
  <c r="G514" i="101"/>
  <c r="G530" i="101"/>
  <c r="G517" i="101"/>
  <c r="G526" i="101"/>
  <c r="G520" i="101"/>
  <c r="C510" i="101"/>
  <c r="G563" i="101"/>
  <c r="G559" i="101"/>
  <c r="C554" i="101"/>
  <c r="G558" i="101"/>
  <c r="G557" i="101"/>
  <c r="G574" i="101"/>
  <c r="G565" i="101"/>
  <c r="G561" i="101"/>
  <c r="G564" i="101"/>
  <c r="G560" i="101"/>
  <c r="G614" i="101"/>
  <c r="G608" i="101"/>
  <c r="C598" i="101"/>
  <c r="G603" i="101"/>
  <c r="G601" i="101"/>
  <c r="G606" i="101"/>
  <c r="G602" i="101"/>
  <c r="G618" i="101"/>
  <c r="G605" i="101"/>
  <c r="G656" i="101"/>
  <c r="G646" i="101"/>
  <c r="G662" i="101"/>
  <c r="G653" i="101"/>
  <c r="G649" i="101"/>
  <c r="G652" i="101"/>
  <c r="C642" i="101"/>
  <c r="G657" i="101"/>
  <c r="G651" i="101"/>
  <c r="G645" i="101"/>
  <c r="G701" i="101"/>
  <c r="G695" i="101"/>
  <c r="G691" i="101"/>
  <c r="G689" i="101"/>
  <c r="G706" i="101"/>
  <c r="G690" i="101"/>
  <c r="G693" i="101"/>
  <c r="G697" i="101"/>
  <c r="G696" i="101"/>
  <c r="C686" i="101"/>
  <c r="G750" i="101"/>
  <c r="G747" i="101"/>
  <c r="G741" i="101"/>
  <c r="G737" i="101"/>
  <c r="G740" i="101"/>
  <c r="G745" i="101"/>
  <c r="G739" i="101"/>
  <c r="C730" i="101"/>
  <c r="G744" i="101"/>
  <c r="G734" i="101"/>
  <c r="G733" i="101"/>
  <c r="G789" i="101"/>
  <c r="G783" i="101"/>
  <c r="C774" i="101"/>
  <c r="G782" i="101"/>
  <c r="G778" i="101"/>
  <c r="G777" i="101"/>
  <c r="G794" i="101"/>
  <c r="G791" i="101"/>
  <c r="G785" i="101"/>
  <c r="G781" i="101"/>
  <c r="G784" i="101"/>
  <c r="G838" i="101"/>
  <c r="G835" i="101"/>
  <c r="G829" i="101"/>
  <c r="G825" i="101"/>
  <c r="G828" i="101"/>
  <c r="G833" i="101"/>
  <c r="G827" i="101"/>
  <c r="C818" i="101"/>
  <c r="G832" i="101"/>
  <c r="G822" i="101"/>
  <c r="G821" i="101"/>
  <c r="G870" i="101"/>
  <c r="G866" i="101"/>
  <c r="G871" i="101"/>
  <c r="G868" i="101"/>
  <c r="G867" i="101"/>
  <c r="C862" i="101"/>
  <c r="G882" i="101"/>
  <c r="G872" i="101"/>
  <c r="G920" i="101"/>
  <c r="G914" i="101"/>
  <c r="G921" i="101"/>
  <c r="G917" i="101"/>
  <c r="G909" i="101"/>
  <c r="G926" i="101"/>
  <c r="G916" i="101"/>
  <c r="G915" i="101"/>
  <c r="G912" i="101"/>
  <c r="G911" i="101"/>
  <c r="C906" i="101"/>
  <c r="G958" i="101"/>
  <c r="G956" i="101"/>
  <c r="G955" i="101"/>
  <c r="C950" i="101"/>
  <c r="G961" i="101"/>
  <c r="G953" i="101"/>
  <c r="G970" i="101"/>
  <c r="G960" i="101"/>
  <c r="G998" i="101"/>
  <c r="G1009" i="101"/>
  <c r="G1005" i="101"/>
  <c r="G1014" i="101"/>
  <c r="G1004" i="101"/>
  <c r="G1001" i="101"/>
  <c r="G1003" i="101"/>
  <c r="G1000" i="101"/>
  <c r="G999" i="101"/>
  <c r="C994" i="101"/>
  <c r="G1047" i="101"/>
  <c r="G1043" i="101"/>
  <c r="G1041" i="101"/>
  <c r="G1046" i="101"/>
  <c r="G1042" i="101"/>
  <c r="C1038" i="101"/>
  <c r="G1058" i="101"/>
  <c r="G1049" i="101"/>
  <c r="G1055" i="101"/>
  <c r="G1048" i="101"/>
  <c r="G1092" i="101"/>
  <c r="C1082" i="101"/>
  <c r="G1091" i="101"/>
  <c r="G1087" i="101"/>
  <c r="G1085" i="101"/>
  <c r="G1096" i="101"/>
  <c r="G1086" i="101"/>
  <c r="G1093" i="101"/>
  <c r="G1102" i="101"/>
  <c r="G1089" i="101"/>
  <c r="G1146" i="101"/>
  <c r="G1131" i="101"/>
  <c r="G1129" i="101"/>
  <c r="G1130" i="101"/>
  <c r="G1135" i="101"/>
  <c r="G1134" i="101"/>
  <c r="G1137" i="101"/>
  <c r="G1136" i="101"/>
  <c r="C1126" i="101"/>
  <c r="G1185" i="101"/>
  <c r="G1179" i="101"/>
  <c r="G1175" i="101"/>
  <c r="C1170" i="101"/>
  <c r="G1173" i="101"/>
  <c r="G1190" i="101"/>
  <c r="G1178" i="101"/>
  <c r="G1174" i="101"/>
  <c r="G1222" i="101"/>
  <c r="G1217" i="101"/>
  <c r="G1225" i="101"/>
  <c r="G1221" i="101"/>
  <c r="G1224" i="101"/>
  <c r="G1234" i="101"/>
  <c r="G1223" i="101"/>
  <c r="C1214" i="101"/>
  <c r="G1278" i="101"/>
  <c r="G1274" i="101"/>
  <c r="G1268" i="101"/>
  <c r="G1264" i="101"/>
  <c r="G1275" i="101"/>
  <c r="G1272" i="101"/>
  <c r="G1263" i="101"/>
  <c r="C1258" i="101"/>
  <c r="G1265" i="101"/>
  <c r="G1262" i="101"/>
  <c r="G1310" i="101"/>
  <c r="G1306" i="101"/>
  <c r="G1307" i="101"/>
  <c r="G1322" i="101"/>
  <c r="G1319" i="101"/>
  <c r="G1311" i="101"/>
  <c r="G1308" i="101"/>
  <c r="C1302" i="101"/>
  <c r="G1355" i="101"/>
  <c r="G1351" i="101"/>
  <c r="C1346" i="101"/>
  <c r="G1352" i="101"/>
  <c r="G1349" i="101"/>
  <c r="G1366" i="101"/>
  <c r="G1360" i="101"/>
  <c r="G1357" i="101"/>
  <c r="G1356" i="101"/>
  <c r="G1350" i="101"/>
  <c r="G1405" i="101"/>
  <c r="G1399" i="101"/>
  <c r="C1390" i="101"/>
  <c r="G1401" i="101"/>
  <c r="G1398" i="101"/>
  <c r="G1400" i="101"/>
  <c r="G1394" i="101"/>
  <c r="G1410" i="101"/>
  <c r="G1393" i="101"/>
  <c r="G1444" i="101"/>
  <c r="G1445" i="101"/>
  <c r="G1442" i="101"/>
  <c r="G1439" i="101"/>
  <c r="C1434" i="101"/>
  <c r="G1438" i="101"/>
  <c r="G1437" i="101"/>
  <c r="G1443" i="101"/>
  <c r="G1449" i="101"/>
  <c r="G1454" i="101"/>
  <c r="G1488" i="101"/>
  <c r="G1489" i="101"/>
  <c r="G1486" i="101"/>
  <c r="C1478" i="101"/>
  <c r="G1482" i="101"/>
  <c r="G1481" i="101"/>
  <c r="G1498" i="101"/>
  <c r="G1487" i="101"/>
  <c r="G1542" i="101"/>
  <c r="G1538" i="101"/>
  <c r="G1530" i="101"/>
  <c r="G1527" i="101"/>
  <c r="C1522" i="101"/>
  <c r="G1537" i="101"/>
  <c r="G1525" i="101"/>
  <c r="G1531" i="101"/>
  <c r="G1532" i="101"/>
  <c r="G1574" i="101"/>
  <c r="G1570" i="101"/>
  <c r="G1586" i="101"/>
  <c r="G1576" i="101"/>
  <c r="G1573" i="101"/>
  <c r="G1575" i="101"/>
  <c r="C1566" i="101"/>
  <c r="G1577" i="101"/>
  <c r="G1569" i="101"/>
  <c r="G1618" i="101"/>
  <c r="G1613" i="101"/>
  <c r="G1630" i="101"/>
  <c r="C1610" i="101"/>
  <c r="G1627" i="101"/>
  <c r="G1619" i="101"/>
  <c r="G1615" i="101"/>
  <c r="C4" i="100"/>
  <c r="G141" i="100"/>
  <c r="G156" i="100"/>
  <c r="G147" i="100"/>
  <c r="G143" i="100"/>
  <c r="G146" i="100"/>
  <c r="C136" i="100"/>
  <c r="G140" i="100"/>
  <c r="G86" i="100"/>
  <c r="C70" i="100"/>
  <c r="G79" i="100"/>
  <c r="G78" i="100"/>
  <c r="G90" i="100"/>
  <c r="C114" i="100"/>
  <c r="G129" i="100"/>
  <c r="G134" i="100"/>
  <c r="G207" i="100"/>
  <c r="C202" i="100"/>
  <c r="G222" i="100"/>
  <c r="G211" i="100"/>
  <c r="G256" i="100"/>
  <c r="G252" i="100"/>
  <c r="C246" i="100"/>
  <c r="G249" i="100"/>
  <c r="G266" i="100"/>
  <c r="G251" i="100"/>
  <c r="G310" i="100"/>
  <c r="G299" i="100"/>
  <c r="C290" i="100"/>
  <c r="G340" i="100"/>
  <c r="C334" i="100"/>
  <c r="G354" i="100"/>
  <c r="G343" i="100"/>
  <c r="G345" i="100"/>
  <c r="G342" i="100"/>
  <c r="G337" i="100"/>
  <c r="G398" i="100"/>
  <c r="G389" i="100"/>
  <c r="G385" i="100"/>
  <c r="G387" i="100"/>
  <c r="G386" i="100"/>
  <c r="C378" i="100"/>
  <c r="G382" i="100"/>
  <c r="G442" i="100"/>
  <c r="G430" i="100"/>
  <c r="C422" i="100"/>
  <c r="G425" i="100"/>
  <c r="G481" i="100"/>
  <c r="C466" i="100"/>
  <c r="G474" i="100"/>
  <c r="G470" i="100"/>
  <c r="G486" i="100"/>
  <c r="G472" i="100"/>
  <c r="C510" i="100"/>
  <c r="G513" i="100"/>
  <c r="G530" i="100"/>
  <c r="G521" i="100"/>
  <c r="G517" i="100"/>
  <c r="C554" i="100"/>
  <c r="G562" i="100"/>
  <c r="G558" i="100"/>
  <c r="G574" i="100"/>
  <c r="G604" i="100"/>
  <c r="C598" i="100"/>
  <c r="G618" i="100"/>
  <c r="G615" i="100"/>
  <c r="G609" i="100"/>
  <c r="G650" i="100"/>
  <c r="G646" i="100"/>
  <c r="G662" i="100"/>
  <c r="G648" i="100"/>
  <c r="C642" i="100"/>
  <c r="G692" i="100"/>
  <c r="C686" i="100"/>
  <c r="G689" i="100"/>
  <c r="G706" i="100"/>
  <c r="G703" i="100"/>
  <c r="G697" i="100"/>
  <c r="G738" i="100"/>
  <c r="G734" i="100"/>
  <c r="G750" i="100"/>
  <c r="C730" i="100"/>
  <c r="G794" i="100"/>
  <c r="C774" i="100"/>
  <c r="G777" i="100"/>
  <c r="G838" i="100"/>
  <c r="G825" i="100"/>
  <c r="C818" i="100"/>
  <c r="G882" i="100"/>
  <c r="C862" i="100"/>
  <c r="C906" i="100"/>
  <c r="G970" i="100"/>
  <c r="C950" i="100"/>
  <c r="C994" i="100"/>
  <c r="G1002" i="100"/>
  <c r="G998" i="100"/>
  <c r="G1014" i="100"/>
  <c r="G1058" i="100"/>
  <c r="C1038" i="100"/>
  <c r="G1041" i="100"/>
  <c r="G31" i="100"/>
  <c r="C26" i="100"/>
  <c r="G46" i="100"/>
  <c r="C158" i="100"/>
  <c r="G63" i="100"/>
  <c r="G57" i="100"/>
  <c r="G56" i="100"/>
  <c r="G68" i="100"/>
  <c r="G65" i="100"/>
  <c r="G55" i="100"/>
  <c r="G54" i="100"/>
  <c r="C48" i="100"/>
  <c r="G52" i="100"/>
  <c r="C92" i="100"/>
  <c r="G200" i="100"/>
  <c r="G187" i="100"/>
  <c r="C180" i="100"/>
  <c r="G183" i="100"/>
  <c r="G184" i="100"/>
  <c r="G194" i="100"/>
  <c r="G229" i="100"/>
  <c r="G231" i="100"/>
  <c r="G228" i="100"/>
  <c r="C224" i="100"/>
  <c r="G244" i="100"/>
  <c r="G232" i="100"/>
  <c r="G288" i="100"/>
  <c r="G275" i="100"/>
  <c r="G271" i="100"/>
  <c r="G272" i="100"/>
  <c r="G282" i="100"/>
  <c r="G277" i="100"/>
  <c r="C268" i="100"/>
  <c r="G317" i="100"/>
  <c r="G318" i="100"/>
  <c r="G332" i="100"/>
  <c r="G319" i="100"/>
  <c r="G322" i="100"/>
  <c r="C312" i="100"/>
  <c r="G376" i="100"/>
  <c r="G363" i="100"/>
  <c r="G366" i="100"/>
  <c r="G362" i="100"/>
  <c r="C356" i="100"/>
  <c r="G361" i="100"/>
  <c r="G420" i="100"/>
  <c r="G409" i="100"/>
  <c r="G405" i="100"/>
  <c r="C400" i="100"/>
  <c r="G404" i="100"/>
  <c r="G410" i="100"/>
  <c r="G459" i="100"/>
  <c r="G449" i="100"/>
  <c r="C444" i="100"/>
  <c r="G448" i="100"/>
  <c r="G464" i="100"/>
  <c r="G450" i="100"/>
  <c r="G454" i="100"/>
  <c r="G493" i="100"/>
  <c r="C488" i="100"/>
  <c r="G508" i="100"/>
  <c r="G495" i="100"/>
  <c r="G498" i="100"/>
  <c r="G547" i="100"/>
  <c r="G537" i="100"/>
  <c r="C532" i="100"/>
  <c r="G536" i="100"/>
  <c r="G552" i="100"/>
  <c r="G538" i="100"/>
  <c r="G542" i="100"/>
  <c r="G581" i="100"/>
  <c r="C576" i="100"/>
  <c r="G596" i="100"/>
  <c r="G583" i="100"/>
  <c r="G586" i="100"/>
  <c r="G640" i="100"/>
  <c r="G627" i="100"/>
  <c r="G630" i="100"/>
  <c r="C620" i="100"/>
  <c r="G625" i="100"/>
  <c r="G623" i="100"/>
  <c r="G634" i="100"/>
  <c r="G628" i="100"/>
  <c r="G624" i="100"/>
  <c r="G684" i="100"/>
  <c r="G674" i="100"/>
  <c r="G669" i="100"/>
  <c r="C664" i="100"/>
  <c r="C708" i="100"/>
  <c r="G772" i="100"/>
  <c r="G762" i="100"/>
  <c r="G757" i="100"/>
  <c r="C752" i="100"/>
  <c r="G816" i="100"/>
  <c r="G803" i="100"/>
  <c r="G806" i="100"/>
  <c r="G811" i="100"/>
  <c r="G801" i="100"/>
  <c r="C796" i="100"/>
  <c r="G800" i="100"/>
  <c r="G860" i="100"/>
  <c r="G851" i="100"/>
  <c r="G850" i="100"/>
  <c r="G845" i="100"/>
  <c r="C840" i="100"/>
  <c r="G848" i="100"/>
  <c r="G900" i="100"/>
  <c r="G894" i="100"/>
  <c r="G893" i="100"/>
  <c r="G889" i="100"/>
  <c r="C884" i="100"/>
  <c r="G898" i="100"/>
  <c r="G887" i="100"/>
  <c r="G904" i="100"/>
  <c r="G895" i="100"/>
  <c r="G891" i="100"/>
  <c r="C928" i="100"/>
  <c r="G988" i="100"/>
  <c r="G982" i="100"/>
  <c r="G981" i="100"/>
  <c r="G977" i="100"/>
  <c r="C972" i="100"/>
  <c r="G975" i="100"/>
  <c r="G992" i="100"/>
  <c r="G983" i="100"/>
  <c r="G979" i="100"/>
  <c r="G1036" i="100"/>
  <c r="G1023" i="100"/>
  <c r="G1026" i="100"/>
  <c r="G1031" i="100"/>
  <c r="G1021" i="100"/>
  <c r="C1016" i="100"/>
  <c r="G1076" i="100"/>
  <c r="G1070" i="100"/>
  <c r="G1069" i="100"/>
  <c r="G1065" i="100"/>
  <c r="C1060" i="100"/>
  <c r="G1063" i="100"/>
  <c r="G1080" i="100"/>
  <c r="G1071" i="100"/>
  <c r="G1067" i="100"/>
  <c r="C4" i="99"/>
  <c r="G18" i="99"/>
  <c r="G9" i="99"/>
  <c r="G24" i="99"/>
  <c r="G11" i="99"/>
  <c r="G7" i="99"/>
  <c r="G15" i="99"/>
  <c r="G19" i="99"/>
  <c r="G14" i="99"/>
  <c r="G12" i="99"/>
  <c r="G10" i="99"/>
  <c r="G8" i="99"/>
  <c r="G13" i="99"/>
  <c r="G20" i="99"/>
  <c r="G188" i="99" l="1"/>
  <c r="G184" i="99"/>
  <c r="G1625" i="101"/>
  <c r="G1620" i="101"/>
  <c r="G1528" i="101"/>
  <c r="G953" i="100"/>
  <c r="G865" i="100"/>
  <c r="G822" i="100"/>
  <c r="G1591" i="101"/>
  <c r="G1551" i="101"/>
  <c r="G1508" i="101"/>
  <c r="G1503" i="101"/>
  <c r="G1463" i="101"/>
  <c r="G1415" i="101"/>
  <c r="G1377" i="101"/>
  <c r="G1155" i="101"/>
  <c r="G1111" i="101"/>
  <c r="G1023" i="101"/>
  <c r="G895" i="101"/>
  <c r="G891" i="101"/>
  <c r="G1604" i="101"/>
  <c r="G1241" i="101"/>
  <c r="G1197" i="101"/>
  <c r="G497" i="101"/>
  <c r="G411" i="101"/>
  <c r="G273" i="101"/>
  <c r="G1423" i="101"/>
  <c r="G1288" i="101"/>
  <c r="G1203" i="101"/>
  <c r="G1153" i="101"/>
  <c r="G1115" i="101"/>
  <c r="G1108" i="101"/>
  <c r="G982" i="101"/>
  <c r="G890" i="101"/>
  <c r="G894" i="101"/>
  <c r="G849" i="101"/>
  <c r="G807" i="101"/>
  <c r="G719" i="101"/>
  <c r="G447" i="101"/>
  <c r="G406" i="101"/>
  <c r="G362" i="101"/>
  <c r="G271" i="101"/>
  <c r="G227" i="101"/>
  <c r="G235" i="101"/>
  <c r="G187" i="101"/>
  <c r="G560" i="100"/>
  <c r="G1624" i="101"/>
  <c r="G122" i="99"/>
  <c r="G35" i="99"/>
  <c r="G229" i="99"/>
  <c r="G183" i="99"/>
  <c r="G760" i="101"/>
  <c r="G715" i="101"/>
  <c r="G672" i="101"/>
  <c r="G584" i="101"/>
  <c r="G535" i="101"/>
  <c r="G829" i="100"/>
  <c r="G826" i="100"/>
  <c r="G277" i="99"/>
  <c r="G780" i="52"/>
  <c r="G320" i="99"/>
  <c r="G144" i="99"/>
  <c r="G100" i="99"/>
  <c r="G261" i="99"/>
  <c r="G298" i="99"/>
  <c r="G166" i="99"/>
  <c r="G283" i="99"/>
  <c r="G52" i="99"/>
  <c r="G95" i="114"/>
  <c r="G21" i="99"/>
  <c r="G634" i="101"/>
  <c r="G106" i="101"/>
  <c r="G130" i="100"/>
  <c r="G53" i="99"/>
  <c r="G1602" i="101"/>
  <c r="G1071" i="101"/>
  <c r="G935" i="101"/>
  <c r="G756" i="101"/>
  <c r="G624" i="101"/>
  <c r="G538" i="101"/>
  <c r="G1383" i="101"/>
  <c r="G986" i="101"/>
  <c r="G196" i="101"/>
  <c r="G371" i="99"/>
  <c r="F221" i="131"/>
  <c r="G1251" i="101"/>
  <c r="G1426" i="101"/>
  <c r="G263" i="100"/>
  <c r="G1363" i="101"/>
  <c r="G1184" i="101"/>
  <c r="G1099" i="101"/>
  <c r="G438" i="101"/>
  <c r="G370" i="100"/>
  <c r="G64" i="100"/>
  <c r="G1470" i="101"/>
  <c r="G1295" i="101"/>
  <c r="G767" i="101"/>
  <c r="G635" i="101"/>
  <c r="G592" i="101"/>
  <c r="G504" i="101"/>
  <c r="G108" i="101"/>
  <c r="G833" i="100"/>
  <c r="G569" i="100"/>
  <c r="G131" i="100"/>
  <c r="G84" i="101"/>
  <c r="G1074" i="100"/>
  <c r="G986" i="100"/>
  <c r="G328" i="100"/>
  <c r="G152" i="100"/>
  <c r="G1074" i="101"/>
  <c r="F45" i="125"/>
  <c r="G22" i="124"/>
  <c r="F23" i="124"/>
  <c r="E111" i="122"/>
  <c r="F199" i="133"/>
  <c r="G1009" i="100"/>
  <c r="G194" i="99"/>
  <c r="G1484" i="52"/>
  <c r="G373" i="101"/>
  <c r="G326" i="99"/>
  <c r="G150" i="99"/>
  <c r="G106" i="99"/>
  <c r="G62" i="99"/>
  <c r="G304" i="99"/>
  <c r="G172" i="99"/>
  <c r="G128" i="99"/>
  <c r="G84" i="99"/>
  <c r="G1643" i="52"/>
  <c r="G761" i="52"/>
  <c r="G343" i="112"/>
  <c r="G473" i="52"/>
  <c r="G295" i="99"/>
  <c r="G739" i="103"/>
  <c r="G827" i="52"/>
  <c r="G253" i="52"/>
  <c r="G627" i="111"/>
  <c r="G956" i="52"/>
  <c r="G77" i="52"/>
  <c r="G299" i="99"/>
  <c r="G827" i="111"/>
  <c r="G1219" i="52"/>
  <c r="G1508" i="52"/>
  <c r="G629" i="52"/>
  <c r="G1395" i="52"/>
  <c r="G1516" i="52"/>
  <c r="G563" i="103"/>
  <c r="G387" i="103"/>
  <c r="G913" i="111"/>
  <c r="G694" i="105"/>
  <c r="G2" i="134"/>
  <c r="E11" i="134"/>
  <c r="E18" i="134" s="1"/>
  <c r="G57" i="113"/>
  <c r="G84" i="100"/>
  <c r="G1252" i="101"/>
  <c r="G1163" i="101"/>
  <c r="G1165" i="101"/>
  <c r="G1120" i="101"/>
  <c r="G1076" i="101"/>
  <c r="G856" i="101"/>
  <c r="G769" i="101"/>
  <c r="G681" i="101"/>
  <c r="G370" i="101"/>
  <c r="G285" i="101"/>
  <c r="G659" i="100"/>
  <c r="G439" i="100"/>
  <c r="G1648" i="101"/>
  <c r="G1428" i="101"/>
  <c r="G1339" i="101"/>
  <c r="G1119" i="101"/>
  <c r="G1075" i="101"/>
  <c r="G329" i="101"/>
  <c r="F331" i="130"/>
  <c r="F287" i="129"/>
  <c r="G810" i="100"/>
  <c r="G546" i="100"/>
  <c r="G458" i="100"/>
  <c r="G284" i="100"/>
  <c r="G240" i="100"/>
  <c r="G196" i="100"/>
  <c r="G40" i="100"/>
  <c r="G835" i="100"/>
  <c r="G527" i="100"/>
  <c r="G395" i="100"/>
  <c r="G351" i="100"/>
  <c r="G304" i="100"/>
  <c r="G260" i="100"/>
  <c r="G216" i="100"/>
  <c r="G1316" i="101"/>
  <c r="G967" i="101"/>
  <c r="G612" i="101"/>
  <c r="G524" i="101"/>
  <c r="G394" i="101"/>
  <c r="G348" i="101"/>
  <c r="G172" i="101"/>
  <c r="G43" i="101"/>
  <c r="G1385" i="101"/>
  <c r="G1341" i="101"/>
  <c r="G1294" i="101"/>
  <c r="G1208" i="101"/>
  <c r="G1121" i="101"/>
  <c r="G1077" i="101"/>
  <c r="G549" i="101"/>
  <c r="G460" i="101"/>
  <c r="G414" i="101"/>
  <c r="G240" i="101"/>
  <c r="G153" i="101"/>
  <c r="G109" i="101"/>
  <c r="G65" i="101"/>
  <c r="E23" i="131"/>
  <c r="F133" i="130"/>
  <c r="E375" i="130"/>
  <c r="E661" i="129"/>
  <c r="E419" i="129"/>
  <c r="E155" i="127"/>
  <c r="G1030" i="100"/>
  <c r="G856" i="100"/>
  <c r="G766" i="100"/>
  <c r="G678" i="100"/>
  <c r="G590" i="100"/>
  <c r="G502" i="100"/>
  <c r="G414" i="100"/>
  <c r="G1581" i="101"/>
  <c r="G1539" i="101"/>
  <c r="G1229" i="101"/>
  <c r="G1143" i="101"/>
  <c r="G1008" i="101"/>
  <c r="G834" i="101"/>
  <c r="G790" i="101"/>
  <c r="G746" i="101"/>
  <c r="G568" i="101"/>
  <c r="G480" i="101"/>
  <c r="G392" i="101"/>
  <c r="G216" i="101"/>
  <c r="G175" i="101"/>
  <c r="G128" i="101"/>
  <c r="G87" i="101"/>
  <c r="G1649" i="101"/>
  <c r="G1603" i="101"/>
  <c r="G1516" i="101"/>
  <c r="G1031" i="101"/>
  <c r="G1032" i="101"/>
  <c r="G988" i="101"/>
  <c r="G944" i="101"/>
  <c r="G899" i="101"/>
  <c r="G900" i="101"/>
  <c r="G855" i="101"/>
  <c r="G810" i="101"/>
  <c r="G725" i="101"/>
  <c r="G637" i="101"/>
  <c r="G458" i="101"/>
  <c r="G238" i="101"/>
  <c r="G151" i="101"/>
  <c r="G63" i="101"/>
  <c r="E111" i="124"/>
  <c r="E89" i="127"/>
  <c r="F111" i="126"/>
  <c r="E199" i="126"/>
  <c r="F309" i="128"/>
  <c r="G82" i="120"/>
  <c r="F155" i="132"/>
  <c r="G1472" i="101"/>
  <c r="G154" i="124"/>
  <c r="E67" i="133"/>
  <c r="G67" i="133" s="1"/>
  <c r="G176" i="133"/>
  <c r="F89" i="133"/>
  <c r="F45" i="131"/>
  <c r="F133" i="131"/>
  <c r="G133" i="131" s="1"/>
  <c r="E287" i="128"/>
  <c r="G1055" i="100"/>
  <c r="G1011" i="100"/>
  <c r="G967" i="100"/>
  <c r="G879" i="100"/>
  <c r="G791" i="100"/>
  <c r="G747" i="100"/>
  <c r="G571" i="100"/>
  <c r="G483" i="100"/>
  <c r="G128" i="100"/>
  <c r="G593" i="101"/>
  <c r="G546" i="101"/>
  <c r="G505" i="101"/>
  <c r="G328" i="101"/>
  <c r="G284" i="101"/>
  <c r="G197" i="101"/>
  <c r="G21" i="101"/>
  <c r="G1471" i="101"/>
  <c r="G16" i="123"/>
  <c r="G108" i="111"/>
  <c r="G258" i="130"/>
  <c r="G197" i="115"/>
  <c r="F177" i="128"/>
  <c r="G1560" i="101"/>
  <c r="G1517" i="101"/>
  <c r="G1296" i="101"/>
  <c r="G987" i="101"/>
  <c r="G943" i="101"/>
  <c r="G898" i="101"/>
  <c r="F155" i="133"/>
  <c r="G66" i="133"/>
  <c r="F331" i="131"/>
  <c r="E199" i="131"/>
  <c r="G1640" i="101"/>
  <c r="G1595" i="101"/>
  <c r="G1550" i="101"/>
  <c r="G1548" i="101"/>
  <c r="G1555" i="101"/>
  <c r="G82" i="125"/>
  <c r="F221" i="123"/>
  <c r="G627" i="103"/>
  <c r="G1332" i="52"/>
  <c r="G539" i="103"/>
  <c r="G715" i="103"/>
  <c r="G891" i="52"/>
  <c r="G1046" i="100"/>
  <c r="G1049" i="100"/>
  <c r="G1005" i="100"/>
  <c r="G997" i="100"/>
  <c r="G958" i="100"/>
  <c r="G961" i="100"/>
  <c r="G870" i="100"/>
  <c r="G873" i="100"/>
  <c r="G821" i="100"/>
  <c r="G782" i="100"/>
  <c r="G785" i="100"/>
  <c r="G741" i="100"/>
  <c r="G733" i="100"/>
  <c r="G645" i="100"/>
  <c r="G606" i="100"/>
  <c r="G601" i="100"/>
  <c r="G564" i="100"/>
  <c r="G565" i="100"/>
  <c r="G557" i="100"/>
  <c r="G518" i="100"/>
  <c r="G476" i="100"/>
  <c r="G477" i="100"/>
  <c r="G469" i="100"/>
  <c r="G381" i="100"/>
  <c r="G300" i="100"/>
  <c r="G212" i="100"/>
  <c r="G119" i="100"/>
  <c r="G124" i="100"/>
  <c r="G74" i="100"/>
  <c r="G80" i="100"/>
  <c r="G1597" i="101"/>
  <c r="G1506" i="101"/>
  <c r="G1465" i="101"/>
  <c r="G1460" i="101"/>
  <c r="G1464" i="101"/>
  <c r="G1371" i="101"/>
  <c r="G1327" i="101"/>
  <c r="G1285" i="101"/>
  <c r="G1240" i="101"/>
  <c r="G1156" i="101"/>
  <c r="G1113" i="101"/>
  <c r="G1063" i="101"/>
  <c r="G1019" i="101"/>
  <c r="G1025" i="101"/>
  <c r="G975" i="101"/>
  <c r="G980" i="101"/>
  <c r="G931" i="101"/>
  <c r="G937" i="101"/>
  <c r="G892" i="101"/>
  <c r="G759" i="101"/>
  <c r="G757" i="101"/>
  <c r="G631" i="101"/>
  <c r="G587" i="101"/>
  <c r="G540" i="101"/>
  <c r="G453" i="101"/>
  <c r="G275" i="101"/>
  <c r="G139" i="101"/>
  <c r="G762" i="101"/>
  <c r="G713" i="101"/>
  <c r="G671" i="101"/>
  <c r="G626" i="101"/>
  <c r="G579" i="101"/>
  <c r="G499" i="101"/>
  <c r="G491" i="101"/>
  <c r="G319" i="101"/>
  <c r="G274" i="101"/>
  <c r="G233" i="101"/>
  <c r="G147" i="101"/>
  <c r="G95" i="101"/>
  <c r="G58" i="101"/>
  <c r="G192" i="129"/>
  <c r="F111" i="128"/>
  <c r="G36" i="100"/>
  <c r="G30" i="100"/>
  <c r="G1043" i="100"/>
  <c r="G1048" i="100"/>
  <c r="G1004" i="100"/>
  <c r="G955" i="100"/>
  <c r="G960" i="100"/>
  <c r="G867" i="100"/>
  <c r="G872" i="100"/>
  <c r="G779" i="100"/>
  <c r="G784" i="100"/>
  <c r="G735" i="100"/>
  <c r="G740" i="100"/>
  <c r="G694" i="100"/>
  <c r="G647" i="100"/>
  <c r="G653" i="100"/>
  <c r="G603" i="100"/>
  <c r="G515" i="100"/>
  <c r="G432" i="100"/>
  <c r="G433" i="100"/>
  <c r="G383" i="100"/>
  <c r="G339" i="100"/>
  <c r="G295" i="100"/>
  <c r="G294" i="100"/>
  <c r="G206" i="100"/>
  <c r="G75" i="100"/>
  <c r="G77" i="100"/>
  <c r="G1621" i="101"/>
  <c r="G1641" i="101"/>
  <c r="G1636" i="101"/>
  <c r="G1547" i="101"/>
  <c r="G1509" i="101"/>
  <c r="G1284" i="101"/>
  <c r="G1244" i="101"/>
  <c r="G1198" i="101"/>
  <c r="G1199" i="101"/>
  <c r="G1107" i="101"/>
  <c r="G983" i="101"/>
  <c r="G939" i="101"/>
  <c r="G848" i="101"/>
  <c r="G845" i="101"/>
  <c r="G850" i="101"/>
  <c r="G803" i="101"/>
  <c r="G718" i="101"/>
  <c r="G630" i="101"/>
  <c r="G586" i="101"/>
  <c r="G537" i="101"/>
  <c r="G493" i="101"/>
  <c r="G498" i="101"/>
  <c r="G451" i="101"/>
  <c r="G404" i="101"/>
  <c r="G407" i="101"/>
  <c r="G364" i="101"/>
  <c r="G316" i="101"/>
  <c r="G278" i="101"/>
  <c r="G230" i="101"/>
  <c r="G234" i="101"/>
  <c r="G185" i="101"/>
  <c r="G190" i="101"/>
  <c r="G188" i="101"/>
  <c r="G144" i="101"/>
  <c r="G102" i="101"/>
  <c r="G51" i="101"/>
  <c r="G59" i="101"/>
  <c r="G7" i="101"/>
  <c r="G12" i="101"/>
  <c r="F89" i="125"/>
  <c r="G214" i="123"/>
  <c r="E243" i="131"/>
  <c r="G390" i="129"/>
  <c r="G231" i="112"/>
  <c r="G1638" i="101"/>
  <c r="G1647" i="101"/>
  <c r="E133" i="123"/>
  <c r="F177" i="133"/>
  <c r="F133" i="132"/>
  <c r="F265" i="131"/>
  <c r="E199" i="129"/>
  <c r="G148" i="129"/>
  <c r="F375" i="129"/>
  <c r="E45" i="128"/>
  <c r="G104" i="128"/>
  <c r="G82" i="128"/>
  <c r="F221" i="127"/>
  <c r="G214" i="127"/>
  <c r="E177" i="126"/>
  <c r="G99" i="112"/>
  <c r="G299" i="112"/>
  <c r="G343" i="111"/>
  <c r="G52" i="112"/>
  <c r="G607" i="111"/>
  <c r="G519" i="111"/>
  <c r="G55" i="116"/>
  <c r="G57" i="114"/>
  <c r="G145" i="114"/>
  <c r="G183" i="114"/>
  <c r="G384" i="112"/>
  <c r="G256" i="112"/>
  <c r="G608" i="112"/>
  <c r="G102" i="112"/>
  <c r="G539" i="111"/>
  <c r="G80" i="112"/>
  <c r="G142" i="112"/>
  <c r="G187" i="111"/>
  <c r="G1598" i="101"/>
  <c r="G1592" i="101"/>
  <c r="G1553" i="101"/>
  <c r="G1462" i="101"/>
  <c r="G1421" i="101"/>
  <c r="G1419" i="101"/>
  <c r="G1373" i="101"/>
  <c r="G1334" i="101"/>
  <c r="G1290" i="101"/>
  <c r="G1245" i="101"/>
  <c r="G1200" i="101"/>
  <c r="G1151" i="101"/>
  <c r="G1157" i="101"/>
  <c r="G1026" i="101"/>
  <c r="G981" i="101"/>
  <c r="G934" i="101"/>
  <c r="G801" i="101"/>
  <c r="G806" i="101"/>
  <c r="G669" i="101"/>
  <c r="G628" i="101"/>
  <c r="G623" i="101"/>
  <c r="G581" i="101"/>
  <c r="G542" i="101"/>
  <c r="G405" i="101"/>
  <c r="G361" i="101"/>
  <c r="G318" i="101"/>
  <c r="G322" i="101"/>
  <c r="G272" i="101"/>
  <c r="G228" i="101"/>
  <c r="G191" i="101"/>
  <c r="G183" i="101"/>
  <c r="G236" i="131"/>
  <c r="F397" i="129"/>
  <c r="G616" i="129"/>
  <c r="G337" i="107"/>
  <c r="E111" i="127"/>
  <c r="G109" i="111"/>
  <c r="G1011" i="52"/>
  <c r="G1032" i="100"/>
  <c r="G812" i="100"/>
  <c r="G636" i="100"/>
  <c r="G592" i="100"/>
  <c r="G504" i="100"/>
  <c r="G1008" i="100"/>
  <c r="G832" i="100"/>
  <c r="G744" i="100"/>
  <c r="G656" i="100"/>
  <c r="G568" i="100"/>
  <c r="G480" i="100"/>
  <c r="G392" i="100"/>
  <c r="G218" i="100"/>
  <c r="G1493" i="101"/>
  <c r="G1492" i="101"/>
  <c r="G1451" i="101"/>
  <c r="G1317" i="101"/>
  <c r="G1273" i="101"/>
  <c r="G1231" i="101"/>
  <c r="G1187" i="101"/>
  <c r="G1140" i="101"/>
  <c r="G1052" i="101"/>
  <c r="G964" i="101"/>
  <c r="G923" i="101"/>
  <c r="G879" i="101"/>
  <c r="G876" i="101"/>
  <c r="G570" i="101"/>
  <c r="G482" i="101"/>
  <c r="G350" i="101"/>
  <c r="G174" i="101"/>
  <c r="G130" i="101"/>
  <c r="G86" i="101"/>
  <c r="G41" i="101"/>
  <c r="G1209" i="101"/>
  <c r="G989" i="101"/>
  <c r="G901" i="101"/>
  <c r="G812" i="101"/>
  <c r="G813" i="101"/>
  <c r="G590" i="101"/>
  <c r="G502" i="101"/>
  <c r="G416" i="101"/>
  <c r="G417" i="101"/>
  <c r="G372" i="101"/>
  <c r="G220" i="124"/>
  <c r="E221" i="124"/>
  <c r="G221" i="124" s="1"/>
  <c r="E67" i="132"/>
  <c r="E45" i="129"/>
  <c r="F133" i="128"/>
  <c r="I231" i="52"/>
  <c r="C18" i="134"/>
  <c r="G346" i="128"/>
  <c r="G253" i="110"/>
  <c r="G271" i="109"/>
  <c r="G351" i="99"/>
  <c r="G252" i="99"/>
  <c r="G175" i="99"/>
  <c r="G329" i="99"/>
  <c r="G359" i="116"/>
  <c r="G271" i="116"/>
  <c r="G183" i="116"/>
  <c r="G297" i="114"/>
  <c r="G102" i="114"/>
  <c r="G213" i="99"/>
  <c r="G219" i="99"/>
  <c r="G208" i="99"/>
  <c r="G125" i="99"/>
  <c r="G131" i="99"/>
  <c r="G345" i="99"/>
  <c r="G340" i="99"/>
  <c r="G169" i="99"/>
  <c r="G81" i="99"/>
  <c r="G8" i="110"/>
  <c r="G13" i="117"/>
  <c r="G87" i="99"/>
  <c r="G147" i="107"/>
  <c r="G74" i="107"/>
  <c r="G767" i="52"/>
  <c r="G99" i="99"/>
  <c r="G153" i="99"/>
  <c r="G263" i="115"/>
  <c r="G917" i="111"/>
  <c r="G211" i="108"/>
  <c r="G759" i="111"/>
  <c r="G362" i="99"/>
  <c r="G274" i="99"/>
  <c r="G189" i="52"/>
  <c r="G452" i="52"/>
  <c r="G30" i="52"/>
  <c r="G323" i="99"/>
  <c r="G230" i="99"/>
  <c r="G759" i="112"/>
  <c r="G583" i="112"/>
  <c r="G850" i="103"/>
  <c r="G143" i="99"/>
  <c r="G191" i="99"/>
  <c r="G197" i="99"/>
  <c r="G966" i="52"/>
  <c r="G187" i="99"/>
  <c r="G32" i="99"/>
  <c r="G12" i="117"/>
  <c r="G651" i="103"/>
  <c r="G607" i="52"/>
  <c r="G564" i="105"/>
  <c r="G502" i="108"/>
  <c r="G250" i="109"/>
  <c r="G233" i="109"/>
  <c r="G96" i="116"/>
  <c r="G162" i="114"/>
  <c r="G168" i="113"/>
  <c r="G75" i="113"/>
  <c r="G449" i="112"/>
  <c r="G1096" i="52"/>
  <c r="G206" i="52"/>
  <c r="G147" i="99"/>
  <c r="G344" i="99"/>
  <c r="G350" i="99"/>
  <c r="G256" i="99"/>
  <c r="G262" i="99"/>
  <c r="G209" i="99"/>
  <c r="G121" i="99"/>
  <c r="G258" i="131"/>
  <c r="G234" i="99"/>
  <c r="G240" i="99"/>
  <c r="G365" i="111"/>
  <c r="G783" i="103"/>
  <c r="G294" i="52"/>
  <c r="G118" i="52"/>
  <c r="G760" i="52"/>
  <c r="G492" i="52"/>
  <c r="G409" i="52"/>
  <c r="G140" i="52"/>
  <c r="G52" i="52"/>
  <c r="G536" i="52"/>
  <c r="G365" i="52"/>
  <c r="G103" i="99"/>
  <c r="G109" i="99"/>
  <c r="G341" i="99"/>
  <c r="G212" i="99"/>
  <c r="G218" i="99"/>
  <c r="G165" i="99"/>
  <c r="G77" i="99"/>
  <c r="G36" i="99"/>
  <c r="G42" i="99"/>
  <c r="G55" i="105"/>
  <c r="G196" i="109"/>
  <c r="G538" i="103"/>
  <c r="G498" i="103"/>
  <c r="G275" i="103"/>
  <c r="G20" i="102"/>
  <c r="G366" i="99"/>
  <c r="G372" i="99"/>
  <c r="G319" i="99"/>
  <c r="G278" i="99"/>
  <c r="G284" i="99"/>
  <c r="G206" i="103"/>
  <c r="G821" i="103"/>
  <c r="G824" i="111"/>
  <c r="G959" i="111"/>
  <c r="G388" i="111"/>
  <c r="G723" i="111"/>
  <c r="G454" i="111"/>
  <c r="G715" i="111"/>
  <c r="G521" i="111"/>
  <c r="G297" i="111"/>
  <c r="G366" i="111"/>
  <c r="G361" i="112"/>
  <c r="G477" i="114"/>
  <c r="G161" i="117"/>
  <c r="G297" i="109"/>
  <c r="G123" i="108"/>
  <c r="G117" i="105"/>
  <c r="G769" i="105"/>
  <c r="G147" i="105"/>
  <c r="F23" i="126"/>
  <c r="G23" i="126" s="1"/>
  <c r="G22" i="126"/>
  <c r="E89" i="126"/>
  <c r="F23" i="127"/>
  <c r="G16" i="127"/>
  <c r="E353" i="127"/>
  <c r="G214" i="128"/>
  <c r="E221" i="128"/>
  <c r="E265" i="129"/>
  <c r="G742" i="129"/>
  <c r="G258" i="129"/>
  <c r="F89" i="129"/>
  <c r="G88" i="129"/>
  <c r="F749" i="129"/>
  <c r="G330" i="130"/>
  <c r="F441" i="130"/>
  <c r="E331" i="130"/>
  <c r="E265" i="131"/>
  <c r="E67" i="131"/>
  <c r="G67" i="131" s="1"/>
  <c r="F353" i="131"/>
  <c r="G132" i="131"/>
  <c r="F155" i="131"/>
  <c r="F177" i="131"/>
  <c r="E89" i="132"/>
  <c r="G89" i="132" s="1"/>
  <c r="G132" i="133"/>
  <c r="F89" i="122"/>
  <c r="F155" i="124"/>
  <c r="G155" i="124" s="1"/>
  <c r="F23" i="125"/>
  <c r="G22" i="125"/>
  <c r="E89" i="120"/>
  <c r="G1009" i="52"/>
  <c r="G630" i="52"/>
  <c r="G460" i="52"/>
  <c r="G1467" i="52"/>
  <c r="G1033" i="52"/>
  <c r="G763" i="52"/>
  <c r="G102" i="52"/>
  <c r="G913" i="52"/>
  <c r="G737" i="52"/>
  <c r="G1042" i="52"/>
  <c r="G1599" i="52"/>
  <c r="G693" i="52"/>
  <c r="G1252" i="52"/>
  <c r="G1731" i="52"/>
  <c r="G851" i="52"/>
  <c r="G580" i="52"/>
  <c r="G496" i="52"/>
  <c r="G955" i="52"/>
  <c r="G250" i="52"/>
  <c r="G297" i="102"/>
  <c r="G1616" i="101"/>
  <c r="G1617" i="101"/>
  <c r="G1614" i="101"/>
  <c r="G1572" i="101"/>
  <c r="G1536" i="101"/>
  <c r="G1529" i="101"/>
  <c r="G1483" i="101"/>
  <c r="G1484" i="101"/>
  <c r="G1448" i="101"/>
  <c r="G1441" i="101"/>
  <c r="G1450" i="101"/>
  <c r="G1396" i="101"/>
  <c r="G1395" i="101"/>
  <c r="G1354" i="101"/>
  <c r="G1361" i="101"/>
  <c r="G1313" i="101"/>
  <c r="G1318" i="101"/>
  <c r="G1267" i="101"/>
  <c r="G1230" i="101"/>
  <c r="G1186" i="101"/>
  <c r="G1181" i="101"/>
  <c r="G1176" i="101"/>
  <c r="G1133" i="101"/>
  <c r="G1142" i="101"/>
  <c r="G1097" i="101"/>
  <c r="G1098" i="101"/>
  <c r="G1045" i="101"/>
  <c r="G959" i="101"/>
  <c r="G910" i="101"/>
  <c r="G865" i="101"/>
  <c r="G779" i="101"/>
  <c r="G694" i="101"/>
  <c r="G702" i="101"/>
  <c r="G647" i="101"/>
  <c r="G648" i="101"/>
  <c r="G615" i="101"/>
  <c r="G604" i="101"/>
  <c r="G569" i="101"/>
  <c r="G527" i="101"/>
  <c r="G439" i="101"/>
  <c r="G383" i="101"/>
  <c r="G351" i="101"/>
  <c r="G306" i="101"/>
  <c r="G251" i="101"/>
  <c r="G262" i="101"/>
  <c r="G252" i="101"/>
  <c r="G254" i="101"/>
  <c r="G205" i="101"/>
  <c r="G217" i="101"/>
  <c r="G161" i="101"/>
  <c r="G1594" i="101"/>
  <c r="G1593" i="101"/>
  <c r="G1554" i="101"/>
  <c r="G1559" i="101"/>
  <c r="G1514" i="101"/>
  <c r="G1507" i="101"/>
  <c r="G1473" i="101"/>
  <c r="G1459" i="101"/>
  <c r="G1461" i="101"/>
  <c r="G1429" i="101"/>
  <c r="G1379" i="101"/>
  <c r="G1382" i="101"/>
  <c r="G1338" i="101"/>
  <c r="G1335" i="101"/>
  <c r="G1286" i="101"/>
  <c r="G1246" i="101"/>
  <c r="G1239" i="101"/>
  <c r="G1250" i="101"/>
  <c r="G1207" i="101"/>
  <c r="G1162" i="101"/>
  <c r="G976" i="101"/>
  <c r="G938" i="101"/>
  <c r="G893" i="101"/>
  <c r="G888" i="101"/>
  <c r="G857" i="101"/>
  <c r="G800" i="101"/>
  <c r="G758" i="101"/>
  <c r="G712" i="101"/>
  <c r="G722" i="101"/>
  <c r="G627" i="101"/>
  <c r="G583" i="101"/>
  <c r="G536" i="101"/>
  <c r="G547" i="101"/>
  <c r="G503" i="101"/>
  <c r="G495" i="101"/>
  <c r="G449" i="101"/>
  <c r="G448" i="101"/>
  <c r="G410" i="101"/>
  <c r="G366" i="101"/>
  <c r="G367" i="101"/>
  <c r="G359" i="101"/>
  <c r="G283" i="101"/>
  <c r="G239" i="101"/>
  <c r="G195" i="101"/>
  <c r="G152" i="101"/>
  <c r="G142" i="101"/>
  <c r="G101" i="101"/>
  <c r="G64" i="101"/>
  <c r="G57" i="101"/>
  <c r="G13" i="101"/>
  <c r="G1583" i="101"/>
  <c r="G1495" i="101"/>
  <c r="G1485" i="101"/>
  <c r="G1494" i="101"/>
  <c r="G1440" i="101"/>
  <c r="G1407" i="101"/>
  <c r="G1406" i="101"/>
  <c r="G1353" i="101"/>
  <c r="G1312" i="101"/>
  <c r="G1261" i="101"/>
  <c r="G1269" i="101"/>
  <c r="G1219" i="101"/>
  <c r="G1228" i="101"/>
  <c r="G1180" i="101"/>
  <c r="G1132" i="101"/>
  <c r="G1090" i="101"/>
  <c r="G1088" i="101"/>
  <c r="G1044" i="101"/>
  <c r="G1053" i="101"/>
  <c r="G1010" i="101"/>
  <c r="G965" i="101"/>
  <c r="G966" i="101"/>
  <c r="G954" i="101"/>
  <c r="G922" i="101"/>
  <c r="G913" i="101"/>
  <c r="G877" i="101"/>
  <c r="G878" i="101"/>
  <c r="G823" i="101"/>
  <c r="G735" i="101"/>
  <c r="G692" i="101"/>
  <c r="G700" i="101"/>
  <c r="G658" i="101"/>
  <c r="G659" i="101"/>
  <c r="G609" i="101"/>
  <c r="G613" i="101"/>
  <c r="G516" i="101"/>
  <c r="G521" i="101"/>
  <c r="G525" i="101"/>
  <c r="G481" i="101"/>
  <c r="G427" i="101"/>
  <c r="G433" i="101"/>
  <c r="G395" i="101"/>
  <c r="G384" i="101"/>
  <c r="G345" i="101"/>
  <c r="G295" i="101"/>
  <c r="G296" i="101"/>
  <c r="G253" i="101"/>
  <c r="G260" i="101"/>
  <c r="G208" i="101"/>
  <c r="G167" i="101"/>
  <c r="G173" i="101"/>
  <c r="G131" i="101"/>
  <c r="G79" i="101"/>
  <c r="G73" i="101"/>
  <c r="G32" i="101"/>
  <c r="G1637" i="101"/>
  <c r="G1605" i="101"/>
  <c r="G1599" i="101"/>
  <c r="G1552" i="101"/>
  <c r="G1427" i="101"/>
  <c r="G1418" i="101"/>
  <c r="G1375" i="101"/>
  <c r="G1384" i="101"/>
  <c r="G1328" i="101"/>
  <c r="G1329" i="101"/>
  <c r="G1291" i="101"/>
  <c r="G1297" i="101"/>
  <c r="G1242" i="101"/>
  <c r="G1206" i="101"/>
  <c r="G1195" i="101"/>
  <c r="G1159" i="101"/>
  <c r="G1118" i="101"/>
  <c r="G1065" i="101"/>
  <c r="G1027" i="101"/>
  <c r="G1020" i="101"/>
  <c r="G979" i="101"/>
  <c r="G932" i="101"/>
  <c r="G811" i="101"/>
  <c r="G763" i="101"/>
  <c r="G755" i="101"/>
  <c r="G766" i="101"/>
  <c r="G714" i="101"/>
  <c r="G670" i="101"/>
  <c r="G675" i="101"/>
  <c r="G668" i="101"/>
  <c r="G679" i="101"/>
  <c r="G580" i="101"/>
  <c r="G591" i="101"/>
  <c r="G539" i="101"/>
  <c r="G492" i="101"/>
  <c r="G415" i="101"/>
  <c r="G371" i="101"/>
  <c r="G327" i="101"/>
  <c r="G279" i="101"/>
  <c r="G140" i="101"/>
  <c r="G99" i="101"/>
  <c r="G96" i="101"/>
  <c r="G55" i="101"/>
  <c r="G20" i="101"/>
  <c r="G1626" i="101"/>
  <c r="G1571" i="101"/>
  <c r="G1580" i="101"/>
  <c r="G1526" i="101"/>
  <c r="G1533" i="101"/>
  <c r="G1404" i="101"/>
  <c r="G1397" i="101"/>
  <c r="G1362" i="101"/>
  <c r="G1309" i="101"/>
  <c r="G1305" i="101"/>
  <c r="G1266" i="101"/>
  <c r="G1220" i="101"/>
  <c r="G1218" i="101"/>
  <c r="G1177" i="101"/>
  <c r="G1141" i="101"/>
  <c r="G1054" i="101"/>
  <c r="G1011" i="101"/>
  <c r="G997" i="101"/>
  <c r="G1002" i="101"/>
  <c r="G957" i="101"/>
  <c r="G869" i="101"/>
  <c r="G873" i="101"/>
  <c r="G826" i="101"/>
  <c r="G824" i="101"/>
  <c r="G780" i="101"/>
  <c r="G788" i="101"/>
  <c r="G738" i="101"/>
  <c r="G736" i="101"/>
  <c r="G703" i="101"/>
  <c r="G650" i="101"/>
  <c r="G607" i="101"/>
  <c r="G571" i="101"/>
  <c r="G562" i="101"/>
  <c r="G519" i="101"/>
  <c r="G475" i="101"/>
  <c r="G483" i="101"/>
  <c r="G474" i="101"/>
  <c r="G425" i="101"/>
  <c r="G436" i="101"/>
  <c r="G389" i="101"/>
  <c r="G386" i="101"/>
  <c r="G337" i="101"/>
  <c r="G343" i="101"/>
  <c r="G298" i="101"/>
  <c r="G219" i="101"/>
  <c r="G211" i="101"/>
  <c r="G169" i="101"/>
  <c r="G1642" i="101"/>
  <c r="G1635" i="101"/>
  <c r="G1646" i="101"/>
  <c r="G1549" i="101"/>
  <c r="G1558" i="101"/>
  <c r="G1561" i="101"/>
  <c r="G1515" i="101"/>
  <c r="G1505" i="101"/>
  <c r="G1511" i="101"/>
  <c r="G1466" i="101"/>
  <c r="G1417" i="101"/>
  <c r="G1372" i="101"/>
  <c r="G1283" i="101"/>
  <c r="G1289" i="101"/>
  <c r="G1247" i="101"/>
  <c r="G1202" i="101"/>
  <c r="G1152" i="101"/>
  <c r="G1109" i="101"/>
  <c r="G1064" i="101"/>
  <c r="G1021" i="101"/>
  <c r="G1030" i="101"/>
  <c r="G977" i="101"/>
  <c r="G933" i="101"/>
  <c r="G942" i="101"/>
  <c r="G889" i="101"/>
  <c r="G847" i="101"/>
  <c r="G844" i="101"/>
  <c r="G854" i="101"/>
  <c r="G723" i="101"/>
  <c r="G678" i="101"/>
  <c r="G625" i="101"/>
  <c r="G582" i="101"/>
  <c r="G585" i="101"/>
  <c r="G548" i="101"/>
  <c r="G494" i="101"/>
  <c r="G461" i="101"/>
  <c r="G452" i="101"/>
  <c r="G403" i="101"/>
  <c r="G409" i="101"/>
  <c r="G365" i="101"/>
  <c r="G326" i="101"/>
  <c r="G315" i="101"/>
  <c r="G323" i="101"/>
  <c r="G282" i="101"/>
  <c r="G229" i="101"/>
  <c r="G186" i="101"/>
  <c r="G184" i="101"/>
  <c r="G143" i="101"/>
  <c r="G107" i="101"/>
  <c r="G98" i="101"/>
  <c r="G54" i="101"/>
  <c r="G19" i="101"/>
  <c r="G11" i="101"/>
  <c r="G8" i="101"/>
  <c r="G1024" i="100"/>
  <c r="G846" i="100"/>
  <c r="G799" i="100"/>
  <c r="G805" i="100"/>
  <c r="G813" i="100"/>
  <c r="G763" i="100"/>
  <c r="G672" i="100"/>
  <c r="G675" i="100"/>
  <c r="G593" i="100"/>
  <c r="G543" i="100"/>
  <c r="G496" i="100"/>
  <c r="G447" i="100"/>
  <c r="G453" i="100"/>
  <c r="G406" i="100"/>
  <c r="G359" i="100"/>
  <c r="G329" i="100"/>
  <c r="G285" i="100"/>
  <c r="G241" i="100"/>
  <c r="G227" i="100"/>
  <c r="G37" i="100"/>
  <c r="G32" i="100"/>
  <c r="G834" i="100"/>
  <c r="G690" i="100"/>
  <c r="G701" i="100"/>
  <c r="G526" i="100"/>
  <c r="G475" i="100"/>
  <c r="G426" i="100"/>
  <c r="G338" i="100"/>
  <c r="G123" i="100"/>
  <c r="G73" i="100"/>
  <c r="G139" i="100"/>
  <c r="G1068" i="100"/>
  <c r="G980" i="100"/>
  <c r="G892" i="100"/>
  <c r="G890" i="100"/>
  <c r="G847" i="100"/>
  <c r="G756" i="100"/>
  <c r="G767" i="100"/>
  <c r="G671" i="100"/>
  <c r="G582" i="100"/>
  <c r="G580" i="100"/>
  <c r="G591" i="100"/>
  <c r="G451" i="100"/>
  <c r="G416" i="100"/>
  <c r="G1064" i="100"/>
  <c r="G1075" i="100"/>
  <c r="G1022" i="100"/>
  <c r="G1027" i="100"/>
  <c r="G1019" i="100"/>
  <c r="G976" i="100"/>
  <c r="G987" i="100"/>
  <c r="G888" i="100"/>
  <c r="G899" i="100"/>
  <c r="G843" i="100"/>
  <c r="G854" i="100"/>
  <c r="G849" i="100"/>
  <c r="G857" i="100"/>
  <c r="G804" i="100"/>
  <c r="G802" i="100"/>
  <c r="G807" i="100"/>
  <c r="G755" i="100"/>
  <c r="G761" i="100"/>
  <c r="G768" i="100"/>
  <c r="G769" i="100"/>
  <c r="G667" i="100"/>
  <c r="G673" i="100"/>
  <c r="G680" i="100"/>
  <c r="G681" i="100"/>
  <c r="G626" i="100"/>
  <c r="G631" i="100"/>
  <c r="G587" i="100"/>
  <c r="G579" i="100"/>
  <c r="G585" i="100"/>
  <c r="G548" i="100"/>
  <c r="G549" i="100"/>
  <c r="G540" i="100"/>
  <c r="G499" i="100"/>
  <c r="G491" i="100"/>
  <c r="G497" i="100"/>
  <c r="G460" i="100"/>
  <c r="G461" i="100"/>
  <c r="G452" i="100"/>
  <c r="G415" i="100"/>
  <c r="G408" i="100"/>
  <c r="G417" i="100"/>
  <c r="G364" i="100"/>
  <c r="G365" i="100"/>
  <c r="G360" i="100"/>
  <c r="G367" i="100"/>
  <c r="G320" i="100"/>
  <c r="G321" i="100"/>
  <c r="G274" i="100"/>
  <c r="G273" i="100"/>
  <c r="G279" i="100"/>
  <c r="G235" i="100"/>
  <c r="G230" i="100"/>
  <c r="G233" i="100"/>
  <c r="G185" i="100"/>
  <c r="G186" i="100"/>
  <c r="G191" i="100"/>
  <c r="G51" i="100"/>
  <c r="G35" i="100"/>
  <c r="G42" i="100"/>
  <c r="G34" i="100"/>
  <c r="G1052" i="100"/>
  <c r="G1047" i="100"/>
  <c r="G1054" i="100"/>
  <c r="G1010" i="100"/>
  <c r="G964" i="100"/>
  <c r="G959" i="100"/>
  <c r="G966" i="100"/>
  <c r="G876" i="100"/>
  <c r="G871" i="100"/>
  <c r="G878" i="100"/>
  <c r="G824" i="100"/>
  <c r="G788" i="100"/>
  <c r="G783" i="100"/>
  <c r="G790" i="100"/>
  <c r="G739" i="100"/>
  <c r="G746" i="100"/>
  <c r="G693" i="100"/>
  <c r="G691" i="100"/>
  <c r="G696" i="100"/>
  <c r="G651" i="100"/>
  <c r="G652" i="100"/>
  <c r="G605" i="100"/>
  <c r="G612" i="100"/>
  <c r="G607" i="100"/>
  <c r="G608" i="100"/>
  <c r="G570" i="100"/>
  <c r="G520" i="100"/>
  <c r="G524" i="100"/>
  <c r="G519" i="100"/>
  <c r="G482" i="100"/>
  <c r="G428" i="100"/>
  <c r="G438" i="100"/>
  <c r="G427" i="100"/>
  <c r="G436" i="100"/>
  <c r="G393" i="100"/>
  <c r="G341" i="100"/>
  <c r="G349" i="100"/>
  <c r="G344" i="100"/>
  <c r="G306" i="100"/>
  <c r="G307" i="100"/>
  <c r="G293" i="100"/>
  <c r="G298" i="100"/>
  <c r="G255" i="100"/>
  <c r="G250" i="100"/>
  <c r="G219" i="100"/>
  <c r="G213" i="100"/>
  <c r="G210" i="100"/>
  <c r="G125" i="100"/>
  <c r="G121" i="100"/>
  <c r="G85" i="100"/>
  <c r="G87" i="100"/>
  <c r="G142" i="100"/>
  <c r="G150" i="100"/>
  <c r="G145" i="100"/>
  <c r="G1025" i="100"/>
  <c r="G1033" i="100"/>
  <c r="G760" i="100"/>
  <c r="G758" i="100"/>
  <c r="G670" i="100"/>
  <c r="G635" i="100"/>
  <c r="G637" i="100"/>
  <c r="G584" i="100"/>
  <c r="G535" i="100"/>
  <c r="G541" i="100"/>
  <c r="G505" i="100"/>
  <c r="G455" i="100"/>
  <c r="G403" i="100"/>
  <c r="G411" i="100"/>
  <c r="G373" i="100"/>
  <c r="G315" i="100"/>
  <c r="G278" i="100"/>
  <c r="G190" i="100"/>
  <c r="G197" i="100"/>
  <c r="G62" i="100"/>
  <c r="G29" i="100"/>
  <c r="G1044" i="100"/>
  <c r="G1000" i="100"/>
  <c r="G1003" i="100"/>
  <c r="G956" i="100"/>
  <c r="G868" i="100"/>
  <c r="G827" i="100"/>
  <c r="G780" i="100"/>
  <c r="G736" i="100"/>
  <c r="G649" i="100"/>
  <c r="G563" i="100"/>
  <c r="G437" i="100"/>
  <c r="G429" i="100"/>
  <c r="G384" i="100"/>
  <c r="G296" i="100"/>
  <c r="G305" i="100"/>
  <c r="G257" i="100"/>
  <c r="G208" i="100"/>
  <c r="G205" i="100"/>
  <c r="G122" i="100"/>
  <c r="G1077" i="100"/>
  <c r="G1066" i="100"/>
  <c r="G1020" i="100"/>
  <c r="G989" i="100"/>
  <c r="G978" i="100"/>
  <c r="G901" i="100"/>
  <c r="G844" i="100"/>
  <c r="G855" i="100"/>
  <c r="G759" i="100"/>
  <c r="G668" i="100"/>
  <c r="G679" i="100"/>
  <c r="G629" i="100"/>
  <c r="G539" i="100"/>
  <c r="G494" i="100"/>
  <c r="G492" i="100"/>
  <c r="G503" i="100"/>
  <c r="G407" i="100"/>
  <c r="G372" i="100"/>
  <c r="G371" i="100"/>
  <c r="G316" i="100"/>
  <c r="G323" i="100"/>
  <c r="G326" i="100"/>
  <c r="G327" i="100"/>
  <c r="G283" i="100"/>
  <c r="G276" i="100"/>
  <c r="G238" i="100"/>
  <c r="G234" i="100"/>
  <c r="G239" i="100"/>
  <c r="G195" i="100"/>
  <c r="G188" i="100"/>
  <c r="G189" i="100"/>
  <c r="G58" i="100"/>
  <c r="G59" i="100"/>
  <c r="G53" i="100"/>
  <c r="G43" i="100"/>
  <c r="G41" i="100"/>
  <c r="G33" i="100"/>
  <c r="G1042" i="100"/>
  <c r="G1053" i="100"/>
  <c r="G1045" i="100"/>
  <c r="G1001" i="100"/>
  <c r="G999" i="100"/>
  <c r="G954" i="100"/>
  <c r="G965" i="100"/>
  <c r="G957" i="100"/>
  <c r="G866" i="100"/>
  <c r="G877" i="100"/>
  <c r="G869" i="100"/>
  <c r="G823" i="100"/>
  <c r="G828" i="100"/>
  <c r="G778" i="100"/>
  <c r="G789" i="100"/>
  <c r="G781" i="100"/>
  <c r="G745" i="100"/>
  <c r="G737" i="100"/>
  <c r="G700" i="100"/>
  <c r="G695" i="100"/>
  <c r="G702" i="100"/>
  <c r="G657" i="100"/>
  <c r="G658" i="100"/>
  <c r="G602" i="100"/>
  <c r="G613" i="100"/>
  <c r="G614" i="100"/>
  <c r="G561" i="100"/>
  <c r="G559" i="100"/>
  <c r="G516" i="100"/>
  <c r="G514" i="100"/>
  <c r="G525" i="100"/>
  <c r="G473" i="100"/>
  <c r="G471" i="100"/>
  <c r="G431" i="100"/>
  <c r="G394" i="100"/>
  <c r="G388" i="100"/>
  <c r="G348" i="100"/>
  <c r="G350" i="100"/>
  <c r="G297" i="100"/>
  <c r="G301" i="100"/>
  <c r="G254" i="100"/>
  <c r="G261" i="100"/>
  <c r="G253" i="100"/>
  <c r="G262" i="100"/>
  <c r="G209" i="100"/>
  <c r="G217" i="100"/>
  <c r="G117" i="100"/>
  <c r="G120" i="100"/>
  <c r="G118" i="100"/>
  <c r="G81" i="100"/>
  <c r="G76" i="100"/>
  <c r="G153" i="100"/>
  <c r="G144" i="100"/>
  <c r="G151" i="100"/>
  <c r="G486" i="109"/>
  <c r="G464" i="109"/>
  <c r="G473" i="108"/>
  <c r="G926" i="111"/>
  <c r="G766" i="111"/>
  <c r="G915" i="111"/>
  <c r="G121" i="103"/>
  <c r="G62" i="103"/>
  <c r="G816" i="105"/>
  <c r="F177" i="122"/>
  <c r="G250" i="99"/>
  <c r="F133" i="133"/>
  <c r="G120" i="99"/>
  <c r="E214" i="99"/>
  <c r="F38" i="99"/>
  <c r="F258" i="99"/>
  <c r="G207" i="99"/>
  <c r="G42" i="112"/>
  <c r="G1604" i="52"/>
  <c r="E1292" i="101"/>
  <c r="F896" i="101"/>
  <c r="F588" i="101"/>
  <c r="F544" i="101"/>
  <c r="F500" i="101"/>
  <c r="E412" i="101"/>
  <c r="E368" i="101"/>
  <c r="F192" i="101"/>
  <c r="F148" i="101"/>
  <c r="F104" i="101"/>
  <c r="F60" i="101"/>
  <c r="F16" i="101"/>
  <c r="F1050" i="100"/>
  <c r="F1006" i="100"/>
  <c r="F962" i="100"/>
  <c r="F918" i="100"/>
  <c r="F874" i="100"/>
  <c r="F830" i="100"/>
  <c r="F786" i="100"/>
  <c r="F742" i="100"/>
  <c r="F698" i="100"/>
  <c r="F654" i="100"/>
  <c r="F610" i="100"/>
  <c r="F566" i="100"/>
  <c r="F522" i="100"/>
  <c r="F478" i="100"/>
  <c r="F434" i="100"/>
  <c r="F390" i="100"/>
  <c r="F346" i="100"/>
  <c r="E302" i="100"/>
  <c r="E258" i="100"/>
  <c r="E214" i="100"/>
  <c r="E170" i="100"/>
  <c r="E126" i="100"/>
  <c r="E82" i="100"/>
  <c r="E38" i="100"/>
  <c r="G359" i="99"/>
  <c r="G364" i="99"/>
  <c r="E324" i="99"/>
  <c r="F324" i="99"/>
  <c r="G321" i="99"/>
  <c r="G279" i="99"/>
  <c r="G231" i="99"/>
  <c r="E148" i="99"/>
  <c r="F148" i="99"/>
  <c r="G145" i="99"/>
  <c r="G102" i="99"/>
  <c r="G97" i="99"/>
  <c r="G59" i="99"/>
  <c r="G54" i="99"/>
  <c r="F1534" i="101"/>
  <c r="F1006" i="101"/>
  <c r="F962" i="101"/>
  <c r="E126" i="101"/>
  <c r="E82" i="101"/>
  <c r="E38" i="101"/>
  <c r="E1072" i="100"/>
  <c r="E1028" i="100"/>
  <c r="E984" i="100"/>
  <c r="E940" i="100"/>
  <c r="E896" i="100"/>
  <c r="E852" i="100"/>
  <c r="E808" i="100"/>
  <c r="E764" i="100"/>
  <c r="E720" i="100"/>
  <c r="E676" i="100"/>
  <c r="E632" i="100"/>
  <c r="E588" i="100"/>
  <c r="E544" i="100"/>
  <c r="E500" i="100"/>
  <c r="E456" i="100"/>
  <c r="E412" i="100"/>
  <c r="E368" i="100"/>
  <c r="F286" i="100"/>
  <c r="F242" i="100"/>
  <c r="E346" i="99"/>
  <c r="F346" i="99"/>
  <c r="G343" i="99"/>
  <c r="G338" i="99"/>
  <c r="E16" i="99"/>
  <c r="E1606" i="101"/>
  <c r="E1430" i="101"/>
  <c r="F198" i="100"/>
  <c r="F154" i="100"/>
  <c r="F22" i="99"/>
  <c r="E1320" i="101"/>
  <c r="F1518" i="101"/>
  <c r="F1254" i="101"/>
  <c r="F1210" i="101"/>
  <c r="E990" i="101"/>
  <c r="E946" i="101"/>
  <c r="F858" i="101"/>
  <c r="F462" i="101"/>
  <c r="E374" i="99"/>
  <c r="F374" i="99"/>
  <c r="G370" i="99"/>
  <c r="G327" i="99"/>
  <c r="G285" i="99"/>
  <c r="E198" i="99"/>
  <c r="F198" i="99"/>
  <c r="G151" i="99"/>
  <c r="G108" i="99"/>
  <c r="G65" i="99"/>
  <c r="E1628" i="101"/>
  <c r="E1452" i="101"/>
  <c r="E1364" i="101"/>
  <c r="E1276" i="101"/>
  <c r="F1188" i="101"/>
  <c r="E1144" i="101"/>
  <c r="E1100" i="101"/>
  <c r="E1056" i="101"/>
  <c r="F924" i="101"/>
  <c r="E924" i="101"/>
  <c r="E858" i="100"/>
  <c r="E859" i="100" s="1"/>
  <c r="F110" i="100"/>
  <c r="F66" i="100"/>
  <c r="F22" i="100"/>
  <c r="G349" i="99"/>
  <c r="E44" i="99"/>
  <c r="E264" i="99"/>
  <c r="E88" i="99"/>
  <c r="G944" i="100"/>
  <c r="G722" i="100"/>
  <c r="G109" i="100"/>
  <c r="G169" i="100"/>
  <c r="G920" i="100"/>
  <c r="G11" i="100"/>
  <c r="G935" i="100"/>
  <c r="G717" i="100"/>
  <c r="G99" i="100"/>
  <c r="G164" i="100"/>
  <c r="G910" i="100"/>
  <c r="G8" i="100"/>
  <c r="G21" i="100"/>
  <c r="G97" i="104"/>
  <c r="G934" i="100"/>
  <c r="G939" i="100"/>
  <c r="G931" i="100"/>
  <c r="G942" i="100"/>
  <c r="G724" i="100"/>
  <c r="G725" i="100"/>
  <c r="G716" i="100"/>
  <c r="G723" i="100"/>
  <c r="G106" i="100"/>
  <c r="G95" i="100"/>
  <c r="G107" i="100"/>
  <c r="G103" i="100"/>
  <c r="G165" i="100"/>
  <c r="G166" i="100"/>
  <c r="G167" i="100"/>
  <c r="G168" i="100"/>
  <c r="G922" i="100"/>
  <c r="G923" i="100"/>
  <c r="G914" i="100"/>
  <c r="G921" i="100"/>
  <c r="G9" i="100"/>
  <c r="G13" i="100"/>
  <c r="G18" i="100"/>
  <c r="G385" i="109"/>
  <c r="G414" i="114"/>
  <c r="G306" i="113"/>
  <c r="E1644" i="101"/>
  <c r="F1606" i="101"/>
  <c r="E1600" i="101"/>
  <c r="E1556" i="101"/>
  <c r="E1518" i="101"/>
  <c r="E1512" i="101"/>
  <c r="E1468" i="101"/>
  <c r="F1430" i="101"/>
  <c r="E1424" i="101"/>
  <c r="E1336" i="101"/>
  <c r="E1298" i="101"/>
  <c r="E1254" i="101"/>
  <c r="F1248" i="101"/>
  <c r="F1204" i="101"/>
  <c r="E1160" i="101"/>
  <c r="E1116" i="101"/>
  <c r="E1072" i="101"/>
  <c r="E1028" i="101"/>
  <c r="E984" i="101"/>
  <c r="E940" i="101"/>
  <c r="F902" i="101"/>
  <c r="F903" i="101" s="1"/>
  <c r="E896" i="101"/>
  <c r="E852" i="101"/>
  <c r="E814" i="101"/>
  <c r="E770" i="101"/>
  <c r="E726" i="101"/>
  <c r="E682" i="101"/>
  <c r="F632" i="101"/>
  <c r="E638" i="101"/>
  <c r="F594" i="101"/>
  <c r="F595" i="101" s="1"/>
  <c r="F550" i="101"/>
  <c r="F551" i="101" s="1"/>
  <c r="F506" i="101"/>
  <c r="F507" i="101" s="1"/>
  <c r="F456" i="101"/>
  <c r="F418" i="101"/>
  <c r="E418" i="101"/>
  <c r="E374" i="101"/>
  <c r="F324" i="101"/>
  <c r="F280" i="101"/>
  <c r="F236" i="101"/>
  <c r="F198" i="101"/>
  <c r="F154" i="101"/>
  <c r="F110" i="101"/>
  <c r="F66" i="101"/>
  <c r="F22" i="101"/>
  <c r="F1056" i="100"/>
  <c r="F1012" i="100"/>
  <c r="F968" i="100"/>
  <c r="F924" i="100"/>
  <c r="F880" i="100"/>
  <c r="F836" i="100"/>
  <c r="F792" i="100"/>
  <c r="F748" i="100"/>
  <c r="F704" i="100"/>
  <c r="F660" i="100"/>
  <c r="F616" i="100"/>
  <c r="F572" i="100"/>
  <c r="F528" i="100"/>
  <c r="F484" i="100"/>
  <c r="F440" i="100"/>
  <c r="F396" i="100"/>
  <c r="F352" i="100"/>
  <c r="E308" i="100"/>
  <c r="E264" i="100"/>
  <c r="E220" i="100"/>
  <c r="E176" i="100"/>
  <c r="E132" i="100"/>
  <c r="E88" i="100"/>
  <c r="E44" i="100"/>
  <c r="G367" i="99"/>
  <c r="G373" i="99"/>
  <c r="G318" i="99"/>
  <c r="E286" i="99"/>
  <c r="F286" i="99"/>
  <c r="G271" i="99"/>
  <c r="G276" i="99"/>
  <c r="G282" i="99"/>
  <c r="E280" i="99"/>
  <c r="F236" i="99"/>
  <c r="G228" i="99"/>
  <c r="G190" i="99"/>
  <c r="G196" i="99"/>
  <c r="G185" i="99"/>
  <c r="G142" i="99"/>
  <c r="G105" i="99"/>
  <c r="D110" i="99"/>
  <c r="E110" i="99"/>
  <c r="F110" i="99"/>
  <c r="F66" i="99"/>
  <c r="E60" i="99"/>
  <c r="F60" i="99"/>
  <c r="F1628" i="101"/>
  <c r="F1578" i="101"/>
  <c r="E1540" i="101"/>
  <c r="F1540" i="101"/>
  <c r="F1541" i="101" s="1"/>
  <c r="F1490" i="101"/>
  <c r="F1452" i="101"/>
  <c r="F1402" i="101"/>
  <c r="F1358" i="101"/>
  <c r="F1364" i="101"/>
  <c r="E1232" i="101"/>
  <c r="E1226" i="101"/>
  <c r="F1182" i="101"/>
  <c r="F1138" i="101"/>
  <c r="F1144" i="101"/>
  <c r="F1094" i="101"/>
  <c r="F1100" i="101"/>
  <c r="F1050" i="101"/>
  <c r="F1056" i="101"/>
  <c r="F968" i="101"/>
  <c r="F880" i="101"/>
  <c r="E880" i="101"/>
  <c r="F836" i="101"/>
  <c r="F830" i="101"/>
  <c r="F792" i="101"/>
  <c r="F786" i="101"/>
  <c r="F748" i="101"/>
  <c r="F742" i="101"/>
  <c r="F704" i="101"/>
  <c r="F698" i="101"/>
  <c r="F660" i="101"/>
  <c r="F654" i="101"/>
  <c r="E616" i="101"/>
  <c r="E572" i="101"/>
  <c r="E528" i="101"/>
  <c r="E484" i="101"/>
  <c r="F440" i="101"/>
  <c r="F434" i="101"/>
  <c r="F396" i="101"/>
  <c r="F390" i="101"/>
  <c r="E302" i="101"/>
  <c r="E258" i="101"/>
  <c r="E220" i="101"/>
  <c r="E176" i="101"/>
  <c r="E132" i="101"/>
  <c r="E88" i="101"/>
  <c r="E44" i="101"/>
  <c r="E1078" i="100"/>
  <c r="E1034" i="100"/>
  <c r="E990" i="100"/>
  <c r="E946" i="100"/>
  <c r="E902" i="100"/>
  <c r="F852" i="100"/>
  <c r="F858" i="100"/>
  <c r="E814" i="100"/>
  <c r="E770" i="100"/>
  <c r="E726" i="100"/>
  <c r="E682" i="100"/>
  <c r="E638" i="100"/>
  <c r="E594" i="100"/>
  <c r="E550" i="100"/>
  <c r="E506" i="100"/>
  <c r="E462" i="100"/>
  <c r="E418" i="100"/>
  <c r="E374" i="100"/>
  <c r="E330" i="100"/>
  <c r="F280" i="100"/>
  <c r="F236" i="100"/>
  <c r="F192" i="100"/>
  <c r="F148" i="100"/>
  <c r="F104" i="100"/>
  <c r="F60" i="100"/>
  <c r="F16" i="100"/>
  <c r="G297" i="99"/>
  <c r="G303" i="99"/>
  <c r="D308" i="99"/>
  <c r="E308" i="99"/>
  <c r="G164" i="99"/>
  <c r="D132" i="99"/>
  <c r="G127" i="99"/>
  <c r="E132" i="99"/>
  <c r="F132" i="99"/>
  <c r="E82" i="99"/>
  <c r="F82" i="99"/>
  <c r="G79" i="99"/>
  <c r="G85" i="99"/>
  <c r="G37" i="99"/>
  <c r="G43" i="99"/>
  <c r="G937" i="100"/>
  <c r="G711" i="100"/>
  <c r="G97" i="100"/>
  <c r="G912" i="100"/>
  <c r="G911" i="100"/>
  <c r="G948" i="100"/>
  <c r="G718" i="100"/>
  <c r="G101" i="100"/>
  <c r="G162" i="100"/>
  <c r="G933" i="100"/>
  <c r="G938" i="100"/>
  <c r="G932" i="100"/>
  <c r="G715" i="100"/>
  <c r="G728" i="100"/>
  <c r="G108" i="100"/>
  <c r="G98" i="100"/>
  <c r="G102" i="100"/>
  <c r="G163" i="100"/>
  <c r="G175" i="100"/>
  <c r="G173" i="100"/>
  <c r="G174" i="100"/>
  <c r="G913" i="100"/>
  <c r="G926" i="100"/>
  <c r="G10" i="100"/>
  <c r="G14" i="100"/>
  <c r="G19" i="100"/>
  <c r="G144" i="104"/>
  <c r="G178" i="109"/>
  <c r="G317" i="113"/>
  <c r="D836" i="111"/>
  <c r="D374" i="103"/>
  <c r="D198" i="103"/>
  <c r="F1644" i="101"/>
  <c r="E1650" i="101"/>
  <c r="E1562" i="101"/>
  <c r="F1468" i="101"/>
  <c r="E1474" i="101"/>
  <c r="E1386" i="101"/>
  <c r="F1386" i="101"/>
  <c r="E1342" i="101"/>
  <c r="F1342" i="101"/>
  <c r="F1292" i="101"/>
  <c r="E1248" i="101"/>
  <c r="E1204" i="101"/>
  <c r="E1166" i="101"/>
  <c r="F1166" i="101"/>
  <c r="E1122" i="101"/>
  <c r="F1122" i="101"/>
  <c r="E1078" i="101"/>
  <c r="F1078" i="101"/>
  <c r="E1034" i="101"/>
  <c r="F1034" i="101"/>
  <c r="F990" i="101"/>
  <c r="F946" i="101"/>
  <c r="E902" i="101"/>
  <c r="E858" i="101"/>
  <c r="E808" i="101"/>
  <c r="F808" i="101"/>
  <c r="E764" i="101"/>
  <c r="F764" i="101"/>
  <c r="E720" i="101"/>
  <c r="F720" i="101"/>
  <c r="E676" i="101"/>
  <c r="F676" i="101"/>
  <c r="F638" i="101"/>
  <c r="E594" i="101"/>
  <c r="E550" i="101"/>
  <c r="E506" i="101"/>
  <c r="E456" i="101"/>
  <c r="F412" i="101"/>
  <c r="F368" i="101"/>
  <c r="E330" i="101"/>
  <c r="F330" i="101"/>
  <c r="E324" i="101"/>
  <c r="E286" i="101"/>
  <c r="F286" i="101"/>
  <c r="E280" i="101"/>
  <c r="E242" i="101"/>
  <c r="F242" i="101"/>
  <c r="E236" i="101"/>
  <c r="E198" i="101"/>
  <c r="E154" i="101"/>
  <c r="E110" i="101"/>
  <c r="E66" i="101"/>
  <c r="E22" i="101"/>
  <c r="E1056" i="100"/>
  <c r="E1012" i="100"/>
  <c r="E968" i="100"/>
  <c r="E924" i="100"/>
  <c r="E880" i="100"/>
  <c r="E836" i="100"/>
  <c r="E792" i="100"/>
  <c r="E748" i="100"/>
  <c r="E704" i="100"/>
  <c r="E660" i="100"/>
  <c r="E616" i="100"/>
  <c r="E572" i="100"/>
  <c r="E528" i="100"/>
  <c r="E484" i="100"/>
  <c r="E440" i="100"/>
  <c r="E396" i="100"/>
  <c r="E352" i="100"/>
  <c r="F302" i="100"/>
  <c r="F258" i="100"/>
  <c r="F214" i="100"/>
  <c r="F170" i="100"/>
  <c r="F126" i="100"/>
  <c r="F82" i="100"/>
  <c r="F38" i="100"/>
  <c r="G363" i="99"/>
  <c r="G369" i="99"/>
  <c r="D374" i="99"/>
  <c r="D330" i="99"/>
  <c r="G325" i="99"/>
  <c r="E330" i="99"/>
  <c r="F330" i="99"/>
  <c r="F280" i="99"/>
  <c r="G272" i="99"/>
  <c r="G235" i="99"/>
  <c r="G241" i="99"/>
  <c r="G186" i="99"/>
  <c r="D154" i="99"/>
  <c r="G149" i="99"/>
  <c r="E154" i="99"/>
  <c r="F154" i="99"/>
  <c r="E104" i="99"/>
  <c r="F104" i="99"/>
  <c r="G101" i="99"/>
  <c r="G107" i="99"/>
  <c r="G58" i="99"/>
  <c r="G64" i="99"/>
  <c r="E1584" i="101"/>
  <c r="F1496" i="101"/>
  <c r="E1496" i="101"/>
  <c r="E1408" i="101"/>
  <c r="F1314" i="101"/>
  <c r="F1270" i="101"/>
  <c r="F1232" i="101"/>
  <c r="E1188" i="101"/>
  <c r="E1182" i="101"/>
  <c r="E1006" i="101"/>
  <c r="E1012" i="101"/>
  <c r="E968" i="101"/>
  <c r="F874" i="101"/>
  <c r="F610" i="101"/>
  <c r="F566" i="101"/>
  <c r="F522" i="101"/>
  <c r="F478" i="101"/>
  <c r="E434" i="101"/>
  <c r="E390" i="101"/>
  <c r="F352" i="101"/>
  <c r="F346" i="101"/>
  <c r="F214" i="101"/>
  <c r="F170" i="101"/>
  <c r="F126" i="101"/>
  <c r="F82" i="101"/>
  <c r="F38" i="101"/>
  <c r="F1072" i="100"/>
  <c r="F1028" i="100"/>
  <c r="F984" i="100"/>
  <c r="F940" i="100"/>
  <c r="F896" i="100"/>
  <c r="F808" i="100"/>
  <c r="F764" i="100"/>
  <c r="F720" i="100"/>
  <c r="F676" i="100"/>
  <c r="F632" i="100"/>
  <c r="F588" i="100"/>
  <c r="F544" i="100"/>
  <c r="F500" i="100"/>
  <c r="F456" i="100"/>
  <c r="F412" i="100"/>
  <c r="F368" i="100"/>
  <c r="E324" i="100"/>
  <c r="F324" i="100"/>
  <c r="E280" i="100"/>
  <c r="E236" i="100"/>
  <c r="E192" i="100"/>
  <c r="E148" i="100"/>
  <c r="E104" i="100"/>
  <c r="E60" i="100"/>
  <c r="E16" i="100"/>
  <c r="D352" i="99"/>
  <c r="G347" i="99"/>
  <c r="E352" i="99"/>
  <c r="F352" i="99"/>
  <c r="G337" i="99"/>
  <c r="G342" i="99"/>
  <c r="G348" i="99"/>
  <c r="F308" i="99"/>
  <c r="E302" i="99"/>
  <c r="F302" i="99"/>
  <c r="G257" i="99"/>
  <c r="G263" i="99"/>
  <c r="D176" i="99"/>
  <c r="G171" i="99"/>
  <c r="E176" i="99"/>
  <c r="F176" i="99"/>
  <c r="E126" i="99"/>
  <c r="F126" i="99"/>
  <c r="G123" i="99"/>
  <c r="G129" i="99"/>
  <c r="G80" i="99"/>
  <c r="G86" i="99"/>
  <c r="G75" i="99"/>
  <c r="G33" i="99"/>
  <c r="G39" i="99"/>
  <c r="D44" i="99"/>
  <c r="G936" i="100"/>
  <c r="G719" i="100"/>
  <c r="G713" i="100"/>
  <c r="G96" i="100"/>
  <c r="G172" i="100"/>
  <c r="G917" i="100"/>
  <c r="F1650" i="101"/>
  <c r="F1600" i="101"/>
  <c r="F1562" i="101"/>
  <c r="F1512" i="101"/>
  <c r="F1474" i="101"/>
  <c r="F1424" i="101"/>
  <c r="F852" i="101"/>
  <c r="E368" i="99"/>
  <c r="G237" i="99"/>
  <c r="D242" i="99"/>
  <c r="G193" i="99"/>
  <c r="D198" i="99"/>
  <c r="F1320" i="101"/>
  <c r="E1270" i="101"/>
  <c r="E830" i="101"/>
  <c r="E786" i="101"/>
  <c r="E742" i="101"/>
  <c r="E698" i="101"/>
  <c r="E654" i="101"/>
  <c r="E610" i="101"/>
  <c r="E566" i="101"/>
  <c r="E522" i="101"/>
  <c r="E478" i="101"/>
  <c r="E352" i="101"/>
  <c r="E346" i="101"/>
  <c r="E308" i="101"/>
  <c r="F308" i="101"/>
  <c r="E264" i="101"/>
  <c r="F264" i="101"/>
  <c r="E214" i="101"/>
  <c r="E170" i="101"/>
  <c r="G300" i="99"/>
  <c r="G306" i="99"/>
  <c r="G253" i="99"/>
  <c r="D264" i="99"/>
  <c r="G259" i="99"/>
  <c r="D220" i="99"/>
  <c r="G215" i="99"/>
  <c r="E220" i="99"/>
  <c r="F220" i="99"/>
  <c r="G205" i="99"/>
  <c r="G210" i="99"/>
  <c r="G216" i="99"/>
  <c r="E170" i="99"/>
  <c r="F170" i="99"/>
  <c r="G167" i="99"/>
  <c r="G173" i="99"/>
  <c r="G124" i="99"/>
  <c r="G130" i="99"/>
  <c r="G119" i="99"/>
  <c r="G76" i="99"/>
  <c r="F44" i="99"/>
  <c r="G29" i="99"/>
  <c r="G34" i="99"/>
  <c r="G40" i="99"/>
  <c r="E38" i="99"/>
  <c r="F16" i="99"/>
  <c r="E22" i="99"/>
  <c r="G945" i="100"/>
  <c r="G714" i="100"/>
  <c r="G100" i="100"/>
  <c r="G178" i="100"/>
  <c r="G909" i="100"/>
  <c r="G7" i="100"/>
  <c r="G15" i="100"/>
  <c r="G24" i="100"/>
  <c r="G20" i="100"/>
  <c r="G943" i="100"/>
  <c r="G712" i="100"/>
  <c r="G112" i="100"/>
  <c r="G161" i="100"/>
  <c r="G916" i="100"/>
  <c r="G915" i="100"/>
  <c r="G12" i="100"/>
  <c r="G90" i="105"/>
  <c r="G725" i="105"/>
  <c r="F1556" i="101"/>
  <c r="F1380" i="101"/>
  <c r="E1380" i="101"/>
  <c r="F1336" i="101"/>
  <c r="F1298" i="101"/>
  <c r="E1210" i="101"/>
  <c r="F1160" i="101"/>
  <c r="F1116" i="101"/>
  <c r="F1072" i="101"/>
  <c r="F1028" i="101"/>
  <c r="F984" i="101"/>
  <c r="F940" i="101"/>
  <c r="F814" i="101"/>
  <c r="F770" i="101"/>
  <c r="F726" i="101"/>
  <c r="F682" i="101"/>
  <c r="E632" i="101"/>
  <c r="E588" i="101"/>
  <c r="E544" i="101"/>
  <c r="E500" i="101"/>
  <c r="E462" i="101"/>
  <c r="F374" i="101"/>
  <c r="E192" i="101"/>
  <c r="E148" i="101"/>
  <c r="E104" i="101"/>
  <c r="E60" i="101"/>
  <c r="E16" i="101"/>
  <c r="E1050" i="100"/>
  <c r="E1006" i="100"/>
  <c r="E962" i="100"/>
  <c r="E918" i="100"/>
  <c r="E874" i="100"/>
  <c r="E830" i="100"/>
  <c r="E786" i="100"/>
  <c r="E742" i="100"/>
  <c r="E698" i="100"/>
  <c r="E654" i="100"/>
  <c r="E610" i="100"/>
  <c r="E566" i="100"/>
  <c r="E522" i="100"/>
  <c r="E478" i="100"/>
  <c r="E434" i="100"/>
  <c r="E390" i="100"/>
  <c r="E346" i="100"/>
  <c r="F308" i="100"/>
  <c r="F264" i="100"/>
  <c r="F220" i="100"/>
  <c r="F176" i="100"/>
  <c r="F132" i="100"/>
  <c r="F88" i="100"/>
  <c r="F44" i="100"/>
  <c r="F368" i="99"/>
  <c r="G360" i="99"/>
  <c r="G322" i="99"/>
  <c r="G328" i="99"/>
  <c r="G317" i="99"/>
  <c r="G275" i="99"/>
  <c r="G281" i="99"/>
  <c r="D286" i="99"/>
  <c r="E242" i="99"/>
  <c r="F242" i="99"/>
  <c r="G227" i="99"/>
  <c r="G232" i="99"/>
  <c r="G238" i="99"/>
  <c r="E236" i="99"/>
  <c r="E192" i="99"/>
  <c r="F192" i="99"/>
  <c r="G189" i="99"/>
  <c r="G195" i="99"/>
  <c r="G146" i="99"/>
  <c r="G152" i="99"/>
  <c r="G141" i="99"/>
  <c r="G98" i="99"/>
  <c r="G55" i="99"/>
  <c r="G61" i="99"/>
  <c r="D66" i="99"/>
  <c r="E66" i="99"/>
  <c r="F1622" i="101"/>
  <c r="E1622" i="101"/>
  <c r="F1584" i="101"/>
  <c r="E1578" i="101"/>
  <c r="E1534" i="101"/>
  <c r="E1490" i="101"/>
  <c r="F1446" i="101"/>
  <c r="E1446" i="101"/>
  <c r="F1408" i="101"/>
  <c r="E1402" i="101"/>
  <c r="E1358" i="101"/>
  <c r="E1314" i="101"/>
  <c r="F1276" i="101"/>
  <c r="F1226" i="101"/>
  <c r="E1138" i="101"/>
  <c r="E1094" i="101"/>
  <c r="E1050" i="101"/>
  <c r="F1012" i="101"/>
  <c r="E962" i="101"/>
  <c r="F918" i="101"/>
  <c r="E918" i="101"/>
  <c r="E874" i="101"/>
  <c r="E836" i="101"/>
  <c r="E792" i="101"/>
  <c r="E748" i="101"/>
  <c r="E704" i="101"/>
  <c r="E660" i="101"/>
  <c r="F616" i="101"/>
  <c r="F572" i="101"/>
  <c r="F528" i="101"/>
  <c r="F484" i="101"/>
  <c r="E440" i="101"/>
  <c r="E396" i="101"/>
  <c r="F302" i="101"/>
  <c r="F258" i="101"/>
  <c r="F220" i="101"/>
  <c r="F176" i="101"/>
  <c r="F132" i="101"/>
  <c r="F88" i="101"/>
  <c r="F44" i="101"/>
  <c r="F1078" i="100"/>
  <c r="F1034" i="100"/>
  <c r="F990" i="100"/>
  <c r="F946" i="100"/>
  <c r="F902" i="100"/>
  <c r="F814" i="100"/>
  <c r="F770" i="100"/>
  <c r="F726" i="100"/>
  <c r="F682" i="100"/>
  <c r="F638" i="100"/>
  <c r="F594" i="100"/>
  <c r="F550" i="100"/>
  <c r="F506" i="100"/>
  <c r="F462" i="100"/>
  <c r="F418" i="100"/>
  <c r="F374" i="100"/>
  <c r="F330" i="100"/>
  <c r="E286" i="100"/>
  <c r="E242" i="100"/>
  <c r="E198" i="100"/>
  <c r="E154" i="100"/>
  <c r="E110" i="100"/>
  <c r="E66" i="100"/>
  <c r="E22" i="100"/>
  <c r="G339" i="99"/>
  <c r="G301" i="99"/>
  <c r="G307" i="99"/>
  <c r="G296" i="99"/>
  <c r="F264" i="99"/>
  <c r="G249" i="99"/>
  <c r="G254" i="99"/>
  <c r="G260" i="99"/>
  <c r="E258" i="99"/>
  <c r="F214" i="99"/>
  <c r="G211" i="99"/>
  <c r="G217" i="99"/>
  <c r="G206" i="99"/>
  <c r="G168" i="99"/>
  <c r="G174" i="99"/>
  <c r="G163" i="99"/>
  <c r="D88" i="99"/>
  <c r="G83" i="99"/>
  <c r="F88" i="99"/>
  <c r="G30" i="99"/>
  <c r="G161" i="106"/>
  <c r="G143" i="105"/>
  <c r="G283" i="111"/>
  <c r="G18" i="111"/>
  <c r="G527" i="111"/>
  <c r="G52" i="105"/>
  <c r="G712" i="105"/>
  <c r="G97" i="102"/>
  <c r="G52" i="102"/>
  <c r="G167" i="105"/>
  <c r="E133" i="133"/>
  <c r="G698" i="129"/>
  <c r="G29" i="106"/>
  <c r="G302" i="127"/>
  <c r="G295" i="52"/>
  <c r="G1398" i="52"/>
  <c r="G1066" i="52"/>
  <c r="G1065" i="52"/>
  <c r="G890" i="52"/>
  <c r="G453" i="52"/>
  <c r="E287" i="127"/>
  <c r="G55" i="108"/>
  <c r="G54" i="102"/>
  <c r="F133" i="127"/>
  <c r="G251" i="111"/>
  <c r="G206" i="104"/>
  <c r="G388" i="105"/>
  <c r="G517" i="109"/>
  <c r="G846" i="105"/>
  <c r="G960" i="105"/>
  <c r="G205" i="105"/>
  <c r="G298" i="109"/>
  <c r="G561" i="52"/>
  <c r="G293" i="52"/>
  <c r="G209" i="52"/>
  <c r="G341" i="52"/>
  <c r="G164" i="52"/>
  <c r="G845" i="52"/>
  <c r="G1665" i="52"/>
  <c r="G185" i="52"/>
  <c r="G231" i="102"/>
  <c r="G251" i="102"/>
  <c r="G513" i="109"/>
  <c r="G161" i="109"/>
  <c r="G257" i="110"/>
  <c r="G122" i="110"/>
  <c r="G81" i="110"/>
  <c r="G425" i="117"/>
  <c r="G389" i="117"/>
  <c r="G296" i="117"/>
  <c r="G254" i="117"/>
  <c r="G79" i="117"/>
  <c r="G37" i="117"/>
  <c r="G448" i="117"/>
  <c r="G407" i="117"/>
  <c r="G1265" i="52"/>
  <c r="G1090" i="52"/>
  <c r="G1089" i="52"/>
  <c r="G1093" i="52"/>
  <c r="G1220" i="52"/>
  <c r="G1158" i="52"/>
  <c r="G714" i="52"/>
  <c r="G359" i="52"/>
  <c r="G78" i="52"/>
  <c r="G301" i="102"/>
  <c r="G75" i="102"/>
  <c r="G13" i="102"/>
  <c r="G36" i="102"/>
  <c r="G297" i="104"/>
  <c r="G608" i="109"/>
  <c r="G294" i="109"/>
  <c r="G1356" i="52"/>
  <c r="G912" i="52"/>
  <c r="G734" i="52"/>
  <c r="G646" i="52"/>
  <c r="G560" i="52"/>
  <c r="G1575" i="52"/>
  <c r="G514" i="52"/>
  <c r="G450" i="52"/>
  <c r="G7" i="102"/>
  <c r="G205" i="102"/>
  <c r="G280" i="131"/>
  <c r="G170" i="128"/>
  <c r="G167" i="112"/>
  <c r="G625" i="112"/>
  <c r="G582" i="112"/>
  <c r="G404" i="112"/>
  <c r="G189" i="112"/>
  <c r="G103" i="112"/>
  <c r="G889" i="111"/>
  <c r="G233" i="104"/>
  <c r="G323" i="113"/>
  <c r="G433" i="113"/>
  <c r="G117" i="113"/>
  <c r="G647" i="112"/>
  <c r="G295" i="112"/>
  <c r="G252" i="112"/>
  <c r="G211" i="112"/>
  <c r="G168" i="112"/>
  <c r="G76" i="112"/>
  <c r="G32" i="112"/>
  <c r="G719" i="112"/>
  <c r="G623" i="112"/>
  <c r="G540" i="112"/>
  <c r="G232" i="112"/>
  <c r="G57" i="112"/>
  <c r="G186" i="112"/>
  <c r="G583" i="111"/>
  <c r="G497" i="111"/>
  <c r="G957" i="111"/>
  <c r="G955" i="111"/>
  <c r="G602" i="111"/>
  <c r="G53" i="109"/>
  <c r="G255" i="110"/>
  <c r="F214" i="110"/>
  <c r="G383" i="116"/>
  <c r="G345" i="116"/>
  <c r="G299" i="116"/>
  <c r="G229" i="116"/>
  <c r="G190" i="115"/>
  <c r="G383" i="115"/>
  <c r="G343" i="115"/>
  <c r="G169" i="115"/>
  <c r="G827" i="103"/>
  <c r="G1618" i="52"/>
  <c r="G1352" i="52"/>
  <c r="G1729" i="52"/>
  <c r="G229" i="109"/>
  <c r="G189" i="109"/>
  <c r="G147" i="109"/>
  <c r="G301" i="117"/>
  <c r="G212" i="117"/>
  <c r="G29" i="117"/>
  <c r="G54" i="117"/>
  <c r="G58" i="117"/>
  <c r="G476" i="116"/>
  <c r="G341" i="116"/>
  <c r="G1709" i="52"/>
  <c r="G1357" i="52"/>
  <c r="G1003" i="52"/>
  <c r="G519" i="52"/>
  <c r="G117" i="52"/>
  <c r="G33" i="52"/>
  <c r="G1727" i="52"/>
  <c r="G1553" i="52"/>
  <c r="G1549" i="52"/>
  <c r="G1375" i="52"/>
  <c r="F368" i="110"/>
  <c r="G52" i="110"/>
  <c r="G163" i="110"/>
  <c r="G79" i="110"/>
  <c r="G29" i="110"/>
  <c r="G53" i="116"/>
  <c r="G15" i="115"/>
  <c r="G207" i="115"/>
  <c r="G255" i="102"/>
  <c r="G81" i="102"/>
  <c r="G230" i="102"/>
  <c r="E89" i="129"/>
  <c r="G176" i="124"/>
  <c r="G150" i="107"/>
  <c r="G416" i="108"/>
  <c r="G192" i="128"/>
  <c r="E705" i="129"/>
  <c r="F23" i="129"/>
  <c r="G23" i="129" s="1"/>
  <c r="G29" i="109"/>
  <c r="G585" i="109"/>
  <c r="G538" i="109"/>
  <c r="G449" i="109"/>
  <c r="G405" i="109"/>
  <c r="G104" i="120"/>
  <c r="G38" i="132"/>
  <c r="G148" i="128"/>
  <c r="G162" i="105"/>
  <c r="G121" i="105"/>
  <c r="G806" i="105"/>
  <c r="G718" i="105"/>
  <c r="G233" i="105"/>
  <c r="G191" i="105"/>
  <c r="G144" i="105"/>
  <c r="G99" i="105"/>
  <c r="G125" i="107"/>
  <c r="G103" i="107"/>
  <c r="G431" i="108"/>
  <c r="G250" i="108"/>
  <c r="G207" i="108"/>
  <c r="G163" i="108"/>
  <c r="G33" i="108"/>
  <c r="G542" i="108"/>
  <c r="G361" i="108"/>
  <c r="G273" i="108"/>
  <c r="G185" i="108"/>
  <c r="G187" i="108"/>
  <c r="G100" i="108"/>
  <c r="G15" i="108"/>
  <c r="G425" i="109"/>
  <c r="G205" i="109"/>
  <c r="G605" i="111"/>
  <c r="G470" i="111"/>
  <c r="G37" i="103"/>
  <c r="G390" i="130"/>
  <c r="G632" i="129"/>
  <c r="G163" i="104"/>
  <c r="F236" i="110"/>
  <c r="G337" i="110"/>
  <c r="G293" i="110"/>
  <c r="G254" i="110"/>
  <c r="G211" i="110"/>
  <c r="G274" i="110"/>
  <c r="G7" i="110"/>
  <c r="G340" i="116"/>
  <c r="G250" i="116"/>
  <c r="G13" i="116"/>
  <c r="G385" i="115"/>
  <c r="G431" i="103"/>
  <c r="G337" i="103"/>
  <c r="G475" i="103"/>
  <c r="G118" i="102"/>
  <c r="G82" i="132"/>
  <c r="G214" i="131"/>
  <c r="F199" i="129"/>
  <c r="E287" i="131"/>
  <c r="G60" i="131"/>
  <c r="G192" i="131"/>
  <c r="G82" i="131"/>
  <c r="G214" i="129"/>
  <c r="F727" i="129"/>
  <c r="G126" i="128"/>
  <c r="F67" i="126"/>
  <c r="G296" i="106"/>
  <c r="G437" i="115"/>
  <c r="G132" i="128"/>
  <c r="E111" i="123"/>
  <c r="G82" i="123"/>
  <c r="G126" i="122"/>
  <c r="G76" i="113"/>
  <c r="G363" i="113"/>
  <c r="G274" i="113"/>
  <c r="G98" i="113"/>
  <c r="G426" i="113"/>
  <c r="G389" i="113"/>
  <c r="G695" i="112"/>
  <c r="G645" i="112"/>
  <c r="G560" i="112"/>
  <c r="G301" i="112"/>
  <c r="G210" i="112"/>
  <c r="G34" i="112"/>
  <c r="G713" i="112"/>
  <c r="G410" i="112"/>
  <c r="G408" i="111"/>
  <c r="G869" i="111"/>
  <c r="G851" i="111"/>
  <c r="G848" i="111"/>
  <c r="G625" i="111"/>
  <c r="G538" i="111"/>
  <c r="F45" i="124"/>
  <c r="F111" i="120"/>
  <c r="G148" i="120"/>
  <c r="G148" i="131"/>
  <c r="F23" i="131"/>
  <c r="E309" i="130"/>
  <c r="G309" i="130" s="1"/>
  <c r="G82" i="130"/>
  <c r="F331" i="129"/>
  <c r="F45" i="129"/>
  <c r="G192" i="127"/>
  <c r="G1048" i="105"/>
  <c r="G958" i="105"/>
  <c r="G914" i="105"/>
  <c r="G829" i="105"/>
  <c r="G823" i="105"/>
  <c r="G821" i="105"/>
  <c r="G689" i="105"/>
  <c r="G653" i="105"/>
  <c r="G645" i="105"/>
  <c r="F654" i="105"/>
  <c r="G605" i="105"/>
  <c r="G557" i="105"/>
  <c r="G565" i="105"/>
  <c r="G517" i="105"/>
  <c r="G521" i="105"/>
  <c r="G513" i="105"/>
  <c r="E522" i="105"/>
  <c r="G477" i="105"/>
  <c r="G471" i="105"/>
  <c r="G430" i="105"/>
  <c r="G429" i="105"/>
  <c r="G389" i="105"/>
  <c r="G338" i="105"/>
  <c r="G293" i="105"/>
  <c r="G255" i="105"/>
  <c r="F258" i="105"/>
  <c r="G206" i="105"/>
  <c r="G163" i="105"/>
  <c r="G168" i="105"/>
  <c r="G125" i="105"/>
  <c r="G80" i="105"/>
  <c r="G79" i="105"/>
  <c r="G1025" i="105"/>
  <c r="G983" i="105"/>
  <c r="G933" i="105"/>
  <c r="G893" i="105"/>
  <c r="G889" i="105"/>
  <c r="G365" i="106"/>
  <c r="G275" i="106"/>
  <c r="G271" i="106"/>
  <c r="G139" i="106"/>
  <c r="F16" i="106"/>
  <c r="G384" i="106"/>
  <c r="G382" i="106"/>
  <c r="G383" i="106"/>
  <c r="G299" i="106"/>
  <c r="G301" i="106"/>
  <c r="G229" i="106"/>
  <c r="G411" i="106"/>
  <c r="G75" i="117"/>
  <c r="G78" i="117"/>
  <c r="G36" i="117"/>
  <c r="G1441" i="52"/>
  <c r="G1351" i="52"/>
  <c r="G1266" i="52"/>
  <c r="G823" i="52"/>
  <c r="G651" i="52"/>
  <c r="G1045" i="52"/>
  <c r="G162" i="52"/>
  <c r="G1595" i="52"/>
  <c r="G1552" i="52"/>
  <c r="G1286" i="52"/>
  <c r="G957" i="52"/>
  <c r="G782" i="52"/>
  <c r="G1510" i="52"/>
  <c r="G975" i="52"/>
  <c r="G539" i="52"/>
  <c r="G104" i="125"/>
  <c r="F89" i="131"/>
  <c r="G38" i="130"/>
  <c r="G544" i="129"/>
  <c r="E67" i="128"/>
  <c r="E375" i="128"/>
  <c r="G390" i="127"/>
  <c r="G104" i="127"/>
  <c r="F133" i="126"/>
  <c r="F89" i="126"/>
  <c r="G367" i="104"/>
  <c r="G183" i="104"/>
  <c r="G249" i="104"/>
  <c r="G1043" i="105"/>
  <c r="G888" i="105"/>
  <c r="G761" i="105"/>
  <c r="G719" i="105"/>
  <c r="G672" i="105"/>
  <c r="G317" i="105"/>
  <c r="G33" i="112"/>
  <c r="G628" i="112"/>
  <c r="G762" i="111"/>
  <c r="G826" i="103"/>
  <c r="G734" i="103"/>
  <c r="G735" i="103"/>
  <c r="G383" i="103"/>
  <c r="G1291" i="52"/>
  <c r="G844" i="52"/>
  <c r="G234" i="52"/>
  <c r="G438" i="117"/>
  <c r="G65" i="108"/>
  <c r="G43" i="115"/>
  <c r="G560" i="105"/>
  <c r="G518" i="105"/>
  <c r="G209" i="109"/>
  <c r="G167" i="109"/>
  <c r="D66" i="109"/>
  <c r="G341" i="110"/>
  <c r="D22" i="103"/>
  <c r="G299" i="103"/>
  <c r="G1000" i="105"/>
  <c r="G669" i="105"/>
  <c r="D550" i="105"/>
  <c r="G125" i="106"/>
  <c r="G341" i="109"/>
  <c r="G165" i="109"/>
  <c r="G339" i="110"/>
  <c r="G284" i="110"/>
  <c r="G557" i="112"/>
  <c r="G873" i="111"/>
  <c r="G739" i="111"/>
  <c r="G891" i="111"/>
  <c r="G871" i="111"/>
  <c r="G695" i="111"/>
  <c r="G945" i="111"/>
  <c r="G999" i="105"/>
  <c r="G606" i="105"/>
  <c r="G604" i="105"/>
  <c r="G891" i="105"/>
  <c r="G849" i="105"/>
  <c r="D814" i="105"/>
  <c r="G144" i="106"/>
  <c r="G145" i="106"/>
  <c r="G10" i="106"/>
  <c r="G15" i="106"/>
  <c r="G254" i="106"/>
  <c r="G256" i="106"/>
  <c r="G257" i="106"/>
  <c r="G212" i="106"/>
  <c r="G213" i="106"/>
  <c r="G163" i="106"/>
  <c r="G37" i="106"/>
  <c r="G59" i="106"/>
  <c r="G187" i="106"/>
  <c r="G101" i="106"/>
  <c r="G411" i="108"/>
  <c r="G475" i="108"/>
  <c r="G453" i="108"/>
  <c r="G450" i="108"/>
  <c r="G387" i="109"/>
  <c r="G386" i="109"/>
  <c r="G389" i="109"/>
  <c r="G206" i="109"/>
  <c r="G123" i="109"/>
  <c r="G447" i="109"/>
  <c r="G52" i="109"/>
  <c r="G367" i="110"/>
  <c r="G364" i="110"/>
  <c r="G343" i="110"/>
  <c r="G319" i="110"/>
  <c r="G935" i="111"/>
  <c r="G967" i="111"/>
  <c r="G374" i="129"/>
  <c r="G350" i="113"/>
  <c r="G328" i="113"/>
  <c r="G438" i="113"/>
  <c r="G417" i="112"/>
  <c r="E89" i="123"/>
  <c r="G170" i="132"/>
  <c r="G104" i="130"/>
  <c r="E67" i="126"/>
  <c r="G67" i="126" s="1"/>
  <c r="G236" i="126"/>
  <c r="F45" i="120"/>
  <c r="G38" i="120"/>
  <c r="G126" i="120"/>
  <c r="G126" i="124"/>
  <c r="G82" i="133"/>
  <c r="G16" i="133"/>
  <c r="E199" i="133"/>
  <c r="G199" i="133" s="1"/>
  <c r="E221" i="132"/>
  <c r="F155" i="130"/>
  <c r="E463" i="130"/>
  <c r="G434" i="130"/>
  <c r="G302" i="130"/>
  <c r="F177" i="129"/>
  <c r="F705" i="129"/>
  <c r="G705" i="129" s="1"/>
  <c r="G302" i="129"/>
  <c r="G236" i="127"/>
  <c r="E243" i="126"/>
  <c r="E221" i="126"/>
  <c r="G221" i="126" s="1"/>
  <c r="G60" i="126"/>
  <c r="G142" i="104"/>
  <c r="G100" i="104"/>
  <c r="G51" i="104"/>
  <c r="G57" i="104"/>
  <c r="G235" i="104"/>
  <c r="G190" i="104"/>
  <c r="G257" i="104"/>
  <c r="G210" i="104"/>
  <c r="G207" i="104"/>
  <c r="G121" i="104"/>
  <c r="G32" i="104"/>
  <c r="G785" i="105"/>
  <c r="G777" i="105"/>
  <c r="G733" i="105"/>
  <c r="G691" i="105"/>
  <c r="G607" i="105"/>
  <c r="G473" i="105"/>
  <c r="G431" i="105"/>
  <c r="G300" i="105"/>
  <c r="G254" i="105"/>
  <c r="G253" i="105"/>
  <c r="G207" i="105"/>
  <c r="G123" i="105"/>
  <c r="G73" i="105"/>
  <c r="G81" i="105"/>
  <c r="G981" i="105"/>
  <c r="G979" i="105"/>
  <c r="G934" i="105"/>
  <c r="G887" i="105"/>
  <c r="G271" i="108"/>
  <c r="G609" i="109"/>
  <c r="G469" i="109"/>
  <c r="G430" i="109"/>
  <c r="G383" i="109"/>
  <c r="G338" i="109"/>
  <c r="G300" i="109"/>
  <c r="G166" i="109"/>
  <c r="G120" i="109"/>
  <c r="G79" i="109"/>
  <c r="G624" i="109"/>
  <c r="G580" i="109"/>
  <c r="G409" i="109"/>
  <c r="G403" i="109"/>
  <c r="G410" i="109"/>
  <c r="G360" i="109"/>
  <c r="G367" i="109"/>
  <c r="G315" i="109"/>
  <c r="G273" i="109"/>
  <c r="G272" i="109"/>
  <c r="G231" i="109"/>
  <c r="G227" i="109"/>
  <c r="G234" i="109"/>
  <c r="G188" i="109"/>
  <c r="G190" i="109"/>
  <c r="G57" i="109"/>
  <c r="G13" i="109"/>
  <c r="G77" i="110"/>
  <c r="G452" i="114"/>
  <c r="G141" i="114"/>
  <c r="G11" i="114"/>
  <c r="G425" i="114"/>
  <c r="G298" i="114"/>
  <c r="G212" i="114"/>
  <c r="G123" i="114"/>
  <c r="G75" i="114"/>
  <c r="G36" i="114"/>
  <c r="G493" i="114"/>
  <c r="G185" i="114"/>
  <c r="G100" i="114"/>
  <c r="G56" i="114"/>
  <c r="G52" i="113"/>
  <c r="G11" i="113"/>
  <c r="G430" i="113"/>
  <c r="G37" i="113"/>
  <c r="G736" i="112"/>
  <c r="G735" i="112"/>
  <c r="G561" i="112"/>
  <c r="G559" i="112"/>
  <c r="G558" i="112"/>
  <c r="G518" i="112"/>
  <c r="G209" i="112"/>
  <c r="G536" i="112"/>
  <c r="G451" i="112"/>
  <c r="G228" i="112"/>
  <c r="G143" i="112"/>
  <c r="G497" i="112"/>
  <c r="G316" i="112"/>
  <c r="G888" i="111"/>
  <c r="G802" i="111"/>
  <c r="G803" i="111"/>
  <c r="G668" i="111"/>
  <c r="G495" i="111"/>
  <c r="G494" i="111"/>
  <c r="G322" i="111"/>
  <c r="G142" i="111"/>
  <c r="G143" i="111"/>
  <c r="G910" i="111"/>
  <c r="G651" i="111"/>
  <c r="G650" i="111"/>
  <c r="G516" i="111"/>
  <c r="G425" i="111"/>
  <c r="G389" i="111"/>
  <c r="G911" i="103"/>
  <c r="G916" i="103"/>
  <c r="G779" i="103"/>
  <c r="G513" i="103"/>
  <c r="G515" i="103"/>
  <c r="G209" i="103"/>
  <c r="G123" i="103"/>
  <c r="G32" i="103"/>
  <c r="G894" i="103"/>
  <c r="G887" i="103"/>
  <c r="G847" i="103"/>
  <c r="G844" i="103"/>
  <c r="G803" i="103"/>
  <c r="G763" i="103"/>
  <c r="G711" i="103"/>
  <c r="G719" i="103"/>
  <c r="G585" i="103"/>
  <c r="G587" i="103"/>
  <c r="G542" i="103"/>
  <c r="G543" i="103"/>
  <c r="G492" i="103"/>
  <c r="G409" i="103"/>
  <c r="G411" i="103"/>
  <c r="G364" i="103"/>
  <c r="G318" i="103"/>
  <c r="G183" i="103"/>
  <c r="G191" i="103"/>
  <c r="G144" i="103"/>
  <c r="G141" i="103"/>
  <c r="G59" i="103"/>
  <c r="G873" i="103"/>
  <c r="G867" i="103"/>
  <c r="G872" i="103"/>
  <c r="G822" i="103"/>
  <c r="G653" i="103"/>
  <c r="G560" i="103"/>
  <c r="G565" i="103"/>
  <c r="G557" i="103"/>
  <c r="E566" i="103"/>
  <c r="F478" i="103"/>
  <c r="G476" i="103"/>
  <c r="G470" i="103"/>
  <c r="G384" i="103"/>
  <c r="G294" i="103"/>
  <c r="G168" i="103"/>
  <c r="G169" i="103"/>
  <c r="G1466" i="52"/>
  <c r="F199" i="124"/>
  <c r="G104" i="123"/>
  <c r="E309" i="131"/>
  <c r="G309" i="131" s="1"/>
  <c r="G280" i="128"/>
  <c r="G60" i="128"/>
  <c r="F155" i="127"/>
  <c r="G412" i="127"/>
  <c r="G126" i="126"/>
  <c r="G189" i="106"/>
  <c r="G143" i="108"/>
  <c r="G57" i="108"/>
  <c r="G563" i="108"/>
  <c r="G521" i="108"/>
  <c r="G254" i="108"/>
  <c r="G168" i="108"/>
  <c r="G119" i="108"/>
  <c r="G79" i="108"/>
  <c r="G34" i="108"/>
  <c r="G362" i="108"/>
  <c r="G183" i="108"/>
  <c r="G190" i="108"/>
  <c r="G99" i="108"/>
  <c r="G428" i="117"/>
  <c r="G297" i="117"/>
  <c r="G295" i="117"/>
  <c r="G253" i="117"/>
  <c r="G252" i="117"/>
  <c r="G210" i="117"/>
  <c r="G211" i="117"/>
  <c r="G403" i="117"/>
  <c r="E412" i="117"/>
  <c r="G365" i="117"/>
  <c r="G274" i="117"/>
  <c r="G230" i="117"/>
  <c r="G227" i="117"/>
  <c r="E236" i="117"/>
  <c r="G190" i="117"/>
  <c r="G187" i="117"/>
  <c r="G188" i="117"/>
  <c r="G147" i="117"/>
  <c r="G52" i="117"/>
  <c r="G53" i="117"/>
  <c r="G11" i="117"/>
  <c r="G451" i="116"/>
  <c r="G275" i="116"/>
  <c r="G407" i="114"/>
  <c r="G228" i="114"/>
  <c r="G10" i="114"/>
  <c r="G431" i="114"/>
  <c r="G205" i="114"/>
  <c r="G163" i="114"/>
  <c r="G29" i="114"/>
  <c r="G30" i="114"/>
  <c r="G494" i="114"/>
  <c r="G338" i="113"/>
  <c r="G144" i="113"/>
  <c r="G145" i="113"/>
  <c r="G30" i="113"/>
  <c r="G737" i="112"/>
  <c r="G519" i="112"/>
  <c r="G294" i="112"/>
  <c r="G166" i="112"/>
  <c r="G124" i="112"/>
  <c r="G187" i="112"/>
  <c r="G674" i="111"/>
  <c r="G711" i="111"/>
  <c r="G718" i="111"/>
  <c r="G359" i="111"/>
  <c r="G558" i="103"/>
  <c r="G559" i="103"/>
  <c r="G1617" i="52"/>
  <c r="G999" i="52"/>
  <c r="G1005" i="52"/>
  <c r="G911" i="52"/>
  <c r="G740" i="52"/>
  <c r="G470" i="52"/>
  <c r="G208" i="52"/>
  <c r="G1224" i="52"/>
  <c r="G1418" i="52"/>
  <c r="G1069" i="52"/>
  <c r="G805" i="52"/>
  <c r="G271" i="52"/>
  <c r="G119" i="52"/>
  <c r="G192" i="122"/>
  <c r="G192" i="124"/>
  <c r="F133" i="123"/>
  <c r="G38" i="131"/>
  <c r="G735" i="105"/>
  <c r="E698" i="105"/>
  <c r="E346" i="105"/>
  <c r="G257" i="105"/>
  <c r="E258" i="105"/>
  <c r="G208" i="105"/>
  <c r="G165" i="105"/>
  <c r="E170" i="105"/>
  <c r="G1024" i="105"/>
  <c r="G1023" i="105"/>
  <c r="G938" i="105"/>
  <c r="G894" i="105"/>
  <c r="G386" i="106"/>
  <c r="G117" i="106"/>
  <c r="G233" i="106"/>
  <c r="G54" i="106"/>
  <c r="G405" i="106"/>
  <c r="G95" i="106"/>
  <c r="G342" i="116"/>
  <c r="G80" i="116"/>
  <c r="G455" i="116"/>
  <c r="G449" i="114"/>
  <c r="G322" i="114"/>
  <c r="G165" i="114"/>
  <c r="G31" i="114"/>
  <c r="G396" i="130"/>
  <c r="G343" i="106"/>
  <c r="G300" i="106"/>
  <c r="E38" i="106"/>
  <c r="G323" i="106"/>
  <c r="F60" i="106"/>
  <c r="G33" i="107"/>
  <c r="G300" i="107"/>
  <c r="G257" i="107"/>
  <c r="G474" i="116"/>
  <c r="G471" i="116"/>
  <c r="G472" i="116"/>
  <c r="G433" i="116"/>
  <c r="F434" i="116"/>
  <c r="G432" i="116"/>
  <c r="G426" i="116"/>
  <c r="E346" i="116"/>
  <c r="F302" i="116"/>
  <c r="G297" i="116"/>
  <c r="G212" i="116"/>
  <c r="F133" i="125"/>
  <c r="G60" i="125"/>
  <c r="G236" i="133"/>
  <c r="G16" i="132"/>
  <c r="G126" i="131"/>
  <c r="E353" i="130"/>
  <c r="G353" i="130" s="1"/>
  <c r="G55" i="104"/>
  <c r="G275" i="104"/>
  <c r="G230" i="104"/>
  <c r="G10" i="117"/>
  <c r="G16" i="120"/>
  <c r="G214" i="124"/>
  <c r="G38" i="124"/>
  <c r="G148" i="123"/>
  <c r="G192" i="123"/>
  <c r="F177" i="123"/>
  <c r="E155" i="123"/>
  <c r="F23" i="123"/>
  <c r="E45" i="122"/>
  <c r="G60" i="122"/>
  <c r="G104" i="133"/>
  <c r="E155" i="133"/>
  <c r="G214" i="133"/>
  <c r="F221" i="133"/>
  <c r="G242" i="133"/>
  <c r="F45" i="133"/>
  <c r="G170" i="133"/>
  <c r="F177" i="132"/>
  <c r="F221" i="132"/>
  <c r="G126" i="130"/>
  <c r="F441" i="129"/>
  <c r="F199" i="128"/>
  <c r="G258" i="127"/>
  <c r="G434" i="127"/>
  <c r="G286" i="127"/>
  <c r="E133" i="126"/>
  <c r="G104" i="126"/>
  <c r="F199" i="126"/>
  <c r="G140" i="104"/>
  <c r="G12" i="104"/>
  <c r="G146" i="105"/>
  <c r="G124" i="117"/>
  <c r="G447" i="117"/>
  <c r="G318" i="117"/>
  <c r="G322" i="117"/>
  <c r="G316" i="117"/>
  <c r="G278" i="117"/>
  <c r="G231" i="117"/>
  <c r="G191" i="117"/>
  <c r="G98" i="117"/>
  <c r="G55" i="117"/>
  <c r="G7" i="117"/>
  <c r="G344" i="116"/>
  <c r="G126" i="125"/>
  <c r="G236" i="124"/>
  <c r="G126" i="123"/>
  <c r="E111" i="133"/>
  <c r="G16" i="130"/>
  <c r="E23" i="130"/>
  <c r="G280" i="130"/>
  <c r="F243" i="130"/>
  <c r="E309" i="127"/>
  <c r="G346" i="127"/>
  <c r="G184" i="106"/>
  <c r="F126" i="116"/>
  <c r="G120" i="116"/>
  <c r="G33" i="116"/>
  <c r="G31" i="116"/>
  <c r="F456" i="116"/>
  <c r="G449" i="116"/>
  <c r="G410" i="116"/>
  <c r="F324" i="116"/>
  <c r="G278" i="116"/>
  <c r="G272" i="116"/>
  <c r="F280" i="116"/>
  <c r="G273" i="116"/>
  <c r="G227" i="116"/>
  <c r="G234" i="116"/>
  <c r="G187" i="116"/>
  <c r="G190" i="116"/>
  <c r="G102" i="116"/>
  <c r="G98" i="116"/>
  <c r="G100" i="116"/>
  <c r="E104" i="116"/>
  <c r="G51" i="116"/>
  <c r="G59" i="116"/>
  <c r="F60" i="116"/>
  <c r="G15" i="116"/>
  <c r="G367" i="115"/>
  <c r="E280" i="115"/>
  <c r="G191" i="115"/>
  <c r="G100" i="115"/>
  <c r="G11" i="115"/>
  <c r="G426" i="115"/>
  <c r="G345" i="115"/>
  <c r="G252" i="115"/>
  <c r="G213" i="115"/>
  <c r="F214" i="115"/>
  <c r="G206" i="115"/>
  <c r="G208" i="115"/>
  <c r="G75" i="115"/>
  <c r="G76" i="115"/>
  <c r="G77" i="115"/>
  <c r="G36" i="115"/>
  <c r="G37" i="115"/>
  <c r="F412" i="115"/>
  <c r="G319" i="115"/>
  <c r="G323" i="115"/>
  <c r="G230" i="115"/>
  <c r="G228" i="115"/>
  <c r="E236" i="115"/>
  <c r="G144" i="115"/>
  <c r="G145" i="115"/>
  <c r="G146" i="115"/>
  <c r="G59" i="115"/>
  <c r="G57" i="115"/>
  <c r="G406" i="114"/>
  <c r="F236" i="114"/>
  <c r="G229" i="114"/>
  <c r="G233" i="114"/>
  <c r="G142" i="114"/>
  <c r="G13" i="114"/>
  <c r="F16" i="114"/>
  <c r="G15" i="114"/>
  <c r="E16" i="114"/>
  <c r="G428" i="114"/>
  <c r="E434" i="114"/>
  <c r="G432" i="114"/>
  <c r="G430" i="114"/>
  <c r="G387" i="114"/>
  <c r="G342" i="114"/>
  <c r="G293" i="114"/>
  <c r="G295" i="114"/>
  <c r="G255" i="114"/>
  <c r="G213" i="114"/>
  <c r="G209" i="114"/>
  <c r="G166" i="114"/>
  <c r="G120" i="114"/>
  <c r="G121" i="114"/>
  <c r="G78" i="114"/>
  <c r="G74" i="114"/>
  <c r="G79" i="114"/>
  <c r="G275" i="114"/>
  <c r="G279" i="114"/>
  <c r="G278" i="114"/>
  <c r="G186" i="114"/>
  <c r="G187" i="114"/>
  <c r="G189" i="114"/>
  <c r="G103" i="114"/>
  <c r="G54" i="114"/>
  <c r="G51" i="114"/>
  <c r="G495" i="113"/>
  <c r="G103" i="113"/>
  <c r="G101" i="113"/>
  <c r="G9" i="113"/>
  <c r="G383" i="112"/>
  <c r="G300" i="112"/>
  <c r="G207" i="112"/>
  <c r="G123" i="112"/>
  <c r="G535" i="112"/>
  <c r="G56" i="112"/>
  <c r="G184" i="112"/>
  <c r="G98" i="112"/>
  <c r="G536" i="111"/>
  <c r="G450" i="111"/>
  <c r="G96" i="111"/>
  <c r="G1444" i="52"/>
  <c r="G1267" i="52"/>
  <c r="G1179" i="52"/>
  <c r="G1180" i="52"/>
  <c r="G998" i="52"/>
  <c r="G1002" i="52"/>
  <c r="G916" i="52"/>
  <c r="G915" i="52"/>
  <c r="G828" i="52"/>
  <c r="G821" i="52"/>
  <c r="G733" i="52"/>
  <c r="G738" i="52"/>
  <c r="G650" i="52"/>
  <c r="G565" i="52"/>
  <c r="G562" i="52"/>
  <c r="G475" i="52"/>
  <c r="G383" i="52"/>
  <c r="G211" i="52"/>
  <c r="G1577" i="52"/>
  <c r="G692" i="52"/>
  <c r="G518" i="52"/>
  <c r="G516" i="52"/>
  <c r="G1242" i="52"/>
  <c r="G888" i="52"/>
  <c r="G803" i="52"/>
  <c r="G801" i="52"/>
  <c r="G448" i="52"/>
  <c r="G1638" i="52"/>
  <c r="G1551" i="52"/>
  <c r="G1460" i="52"/>
  <c r="G1464" i="52"/>
  <c r="G1108" i="52"/>
  <c r="G1024" i="52"/>
  <c r="G846" i="52"/>
  <c r="G668" i="52"/>
  <c r="G673" i="52"/>
  <c r="G587" i="52"/>
  <c r="G408" i="52"/>
  <c r="G235" i="52"/>
  <c r="G1659" i="52"/>
  <c r="G1483" i="52"/>
  <c r="G1309" i="52"/>
  <c r="G1135" i="52"/>
  <c r="G958" i="52"/>
  <c r="G425" i="52"/>
  <c r="G1683" i="52"/>
  <c r="G1680" i="52"/>
  <c r="G1504" i="52"/>
  <c r="G1329" i="52"/>
  <c r="G1327" i="52"/>
  <c r="G1156" i="52"/>
  <c r="G976" i="52"/>
  <c r="G717" i="52"/>
  <c r="G543" i="52"/>
  <c r="G535" i="52"/>
  <c r="G187" i="52"/>
  <c r="G165" i="102"/>
  <c r="G74" i="102"/>
  <c r="G77" i="102"/>
  <c r="G73" i="102"/>
  <c r="G276" i="102"/>
  <c r="G272" i="102"/>
  <c r="E280" i="102"/>
  <c r="G235" i="102"/>
  <c r="G233" i="102"/>
  <c r="G190" i="102"/>
  <c r="G189" i="102"/>
  <c r="G141" i="102"/>
  <c r="G147" i="102"/>
  <c r="G96" i="102"/>
  <c r="G101" i="102"/>
  <c r="G95" i="102"/>
  <c r="G53" i="102"/>
  <c r="G56" i="102"/>
  <c r="G249" i="102"/>
  <c r="G209" i="102"/>
  <c r="G125" i="102"/>
  <c r="G120" i="102"/>
  <c r="G31" i="102"/>
  <c r="G300" i="116"/>
  <c r="G207" i="116"/>
  <c r="G164" i="116"/>
  <c r="G125" i="116"/>
  <c r="G73" i="116"/>
  <c r="G37" i="116"/>
  <c r="G403" i="116"/>
  <c r="G317" i="116"/>
  <c r="G320" i="116"/>
  <c r="G141" i="116"/>
  <c r="G146" i="116"/>
  <c r="G101" i="116"/>
  <c r="G56" i="116"/>
  <c r="G9" i="116"/>
  <c r="G361" i="115"/>
  <c r="G276" i="115"/>
  <c r="G97" i="115"/>
  <c r="G427" i="115"/>
  <c r="G428" i="115"/>
  <c r="G339" i="115"/>
  <c r="G301" i="115"/>
  <c r="G298" i="115"/>
  <c r="G209" i="115"/>
  <c r="G166" i="115"/>
  <c r="G167" i="115"/>
  <c r="G119" i="115"/>
  <c r="G79" i="115"/>
  <c r="G404" i="115"/>
  <c r="G405" i="115"/>
  <c r="G318" i="115"/>
  <c r="G233" i="115"/>
  <c r="G147" i="115"/>
  <c r="G191" i="114"/>
  <c r="G97" i="114"/>
  <c r="G96" i="114"/>
  <c r="G471" i="113"/>
  <c r="G339" i="113"/>
  <c r="G342" i="113"/>
  <c r="G344" i="113"/>
  <c r="G165" i="113"/>
  <c r="F170" i="113"/>
  <c r="G73" i="113"/>
  <c r="G78" i="113"/>
  <c r="G74" i="113"/>
  <c r="F500" i="113"/>
  <c r="G455" i="113"/>
  <c r="G454" i="113"/>
  <c r="F412" i="113"/>
  <c r="G405" i="113"/>
  <c r="G318" i="113"/>
  <c r="G272" i="113"/>
  <c r="F236" i="113"/>
  <c r="G230" i="113"/>
  <c r="G185" i="113"/>
  <c r="G187" i="113"/>
  <c r="G142" i="113"/>
  <c r="G95" i="113"/>
  <c r="G100" i="113"/>
  <c r="G7" i="113"/>
  <c r="G429" i="113"/>
  <c r="G431" i="113"/>
  <c r="G432" i="113"/>
  <c r="G298" i="113"/>
  <c r="G209" i="113"/>
  <c r="F214" i="113"/>
  <c r="G122" i="113"/>
  <c r="G125" i="113"/>
  <c r="G121" i="113"/>
  <c r="G35" i="113"/>
  <c r="G34" i="113"/>
  <c r="G604" i="112"/>
  <c r="G564" i="112"/>
  <c r="G520" i="112"/>
  <c r="G515" i="112"/>
  <c r="G470" i="112"/>
  <c r="G425" i="112"/>
  <c r="G389" i="112"/>
  <c r="G382" i="112"/>
  <c r="E390" i="112"/>
  <c r="G298" i="112"/>
  <c r="G165" i="112"/>
  <c r="G125" i="112"/>
  <c r="G31" i="112"/>
  <c r="G30" i="112"/>
  <c r="G629" i="112"/>
  <c r="G631" i="112"/>
  <c r="G447" i="112"/>
  <c r="G454" i="112"/>
  <c r="G452" i="112"/>
  <c r="G365" i="112"/>
  <c r="G363" i="112"/>
  <c r="G140" i="112"/>
  <c r="E148" i="112"/>
  <c r="G55" i="112"/>
  <c r="G54" i="112"/>
  <c r="G758" i="112"/>
  <c r="G669" i="112"/>
  <c r="G667" i="112"/>
  <c r="G674" i="112"/>
  <c r="G581" i="112"/>
  <c r="G579" i="112"/>
  <c r="G496" i="112"/>
  <c r="G495" i="112"/>
  <c r="F500" i="112"/>
  <c r="G411" i="112"/>
  <c r="G409" i="112"/>
  <c r="E192" i="112"/>
  <c r="G895" i="111"/>
  <c r="G800" i="111"/>
  <c r="G758" i="111"/>
  <c r="G673" i="111"/>
  <c r="G585" i="111"/>
  <c r="G405" i="111"/>
  <c r="G323" i="111"/>
  <c r="G228" i="111"/>
  <c r="G141" i="111"/>
  <c r="G146" i="111"/>
  <c r="G140" i="111"/>
  <c r="G56" i="111"/>
  <c r="G57" i="111"/>
  <c r="G953" i="111"/>
  <c r="G914" i="111"/>
  <c r="G872" i="111"/>
  <c r="E874" i="111"/>
  <c r="F830" i="111"/>
  <c r="G823" i="111"/>
  <c r="G777" i="111"/>
  <c r="G785" i="111"/>
  <c r="G784" i="111"/>
  <c r="G733" i="111"/>
  <c r="E742" i="111"/>
  <c r="G689" i="111"/>
  <c r="G693" i="111"/>
  <c r="E698" i="111"/>
  <c r="G645" i="111"/>
  <c r="G608" i="111"/>
  <c r="G562" i="111"/>
  <c r="G565" i="111"/>
  <c r="G518" i="111"/>
  <c r="G472" i="111"/>
  <c r="G432" i="111"/>
  <c r="G426" i="111"/>
  <c r="G383" i="111"/>
  <c r="G385" i="111"/>
  <c r="G340" i="111"/>
  <c r="G337" i="111"/>
  <c r="E346" i="111"/>
  <c r="G299" i="111"/>
  <c r="G249" i="111"/>
  <c r="G253" i="111"/>
  <c r="G205" i="111"/>
  <c r="G207" i="111"/>
  <c r="G213" i="111"/>
  <c r="G162" i="111"/>
  <c r="G119" i="111"/>
  <c r="G78" i="111"/>
  <c r="G79" i="111"/>
  <c r="G80" i="111"/>
  <c r="G36" i="111"/>
  <c r="G33" i="111"/>
  <c r="F38" i="111"/>
  <c r="G717" i="111"/>
  <c r="G712" i="111"/>
  <c r="G631" i="111"/>
  <c r="G537" i="111"/>
  <c r="G451" i="111"/>
  <c r="E368" i="111"/>
  <c r="E280" i="111"/>
  <c r="G278" i="111"/>
  <c r="G102" i="111"/>
  <c r="G9" i="111"/>
  <c r="G15" i="111"/>
  <c r="G917" i="103"/>
  <c r="G909" i="103"/>
  <c r="G912" i="103"/>
  <c r="G785" i="103"/>
  <c r="G695" i="103"/>
  <c r="G602" i="103"/>
  <c r="G606" i="103"/>
  <c r="G521" i="103"/>
  <c r="G516" i="103"/>
  <c r="G429" i="103"/>
  <c r="F258" i="103"/>
  <c r="G253" i="103"/>
  <c r="G889" i="103"/>
  <c r="G848" i="103"/>
  <c r="E808" i="103"/>
  <c r="G761" i="103"/>
  <c r="G762" i="103"/>
  <c r="G759" i="103"/>
  <c r="G755" i="103"/>
  <c r="G717" i="103"/>
  <c r="G675" i="103"/>
  <c r="G672" i="103"/>
  <c r="G631" i="103"/>
  <c r="G623" i="103"/>
  <c r="G586" i="103"/>
  <c r="G583" i="103"/>
  <c r="G537" i="103"/>
  <c r="G541" i="103"/>
  <c r="G495" i="103"/>
  <c r="G496" i="103"/>
  <c r="G451" i="103"/>
  <c r="G448" i="103"/>
  <c r="G447" i="103"/>
  <c r="G410" i="103"/>
  <c r="G407" i="103"/>
  <c r="G403" i="103"/>
  <c r="G367" i="103"/>
  <c r="G362" i="103"/>
  <c r="G323" i="103"/>
  <c r="G235" i="103"/>
  <c r="G234" i="103"/>
  <c r="G186" i="103"/>
  <c r="G146" i="103"/>
  <c r="G147" i="103"/>
  <c r="G101" i="103"/>
  <c r="F104" i="103"/>
  <c r="G57" i="103"/>
  <c r="G9" i="103"/>
  <c r="G15" i="103"/>
  <c r="G870" i="103"/>
  <c r="G869" i="103"/>
  <c r="G868" i="103"/>
  <c r="G647" i="103"/>
  <c r="G649" i="103"/>
  <c r="G474" i="103"/>
  <c r="G295" i="103"/>
  <c r="G73" i="103"/>
  <c r="G1530" i="52"/>
  <c r="G1445" i="52"/>
  <c r="G1173" i="52"/>
  <c r="G647" i="52"/>
  <c r="G649" i="52"/>
  <c r="G382" i="52"/>
  <c r="G296" i="52"/>
  <c r="G297" i="52"/>
  <c r="G1401" i="52"/>
  <c r="G1221" i="52"/>
  <c r="G690" i="52"/>
  <c r="G1245" i="52"/>
  <c r="G1243" i="52"/>
  <c r="G1071" i="52"/>
  <c r="G800" i="52"/>
  <c r="G626" i="52"/>
  <c r="G454" i="52"/>
  <c r="G121" i="52"/>
  <c r="G34" i="52"/>
  <c r="G1635" i="52"/>
  <c r="G1485" i="52"/>
  <c r="G1312" i="52"/>
  <c r="G1308" i="52"/>
  <c r="G961" i="52"/>
  <c r="G606" i="52"/>
  <c r="G716" i="52"/>
  <c r="G542" i="52"/>
  <c r="G448" i="116"/>
  <c r="G7" i="116"/>
  <c r="G431" i="115"/>
  <c r="G120" i="115"/>
  <c r="G451" i="114"/>
  <c r="G405" i="114"/>
  <c r="G230" i="114"/>
  <c r="G469" i="114"/>
  <c r="G473" i="113"/>
  <c r="G256" i="113"/>
  <c r="G254" i="113"/>
  <c r="G169" i="113"/>
  <c r="G496" i="113"/>
  <c r="G448" i="113"/>
  <c r="G452" i="113"/>
  <c r="G411" i="113"/>
  <c r="G364" i="113"/>
  <c r="G229" i="113"/>
  <c r="G146" i="113"/>
  <c r="G96" i="113"/>
  <c r="G58" i="113"/>
  <c r="G382" i="113"/>
  <c r="G387" i="113"/>
  <c r="G388" i="113"/>
  <c r="G301" i="113"/>
  <c r="G653" i="112"/>
  <c r="G609" i="112"/>
  <c r="G475" i="112"/>
  <c r="G340" i="112"/>
  <c r="G257" i="112"/>
  <c r="G164" i="112"/>
  <c r="G81" i="112"/>
  <c r="G715" i="112"/>
  <c r="G716" i="112"/>
  <c r="G538" i="112"/>
  <c r="G450" i="112"/>
  <c r="G364" i="112"/>
  <c r="G276" i="112"/>
  <c r="G278" i="112"/>
  <c r="G279" i="112"/>
  <c r="G763" i="112"/>
  <c r="G761" i="112"/>
  <c r="G670" i="112"/>
  <c r="G408" i="112"/>
  <c r="G185" i="112"/>
  <c r="G100" i="112"/>
  <c r="G15" i="112"/>
  <c r="G406" i="111"/>
  <c r="G230" i="111"/>
  <c r="G911" i="111"/>
  <c r="G826" i="111"/>
  <c r="G735" i="111"/>
  <c r="G653" i="111"/>
  <c r="G557" i="111"/>
  <c r="G559" i="111"/>
  <c r="G475" i="111"/>
  <c r="G469" i="111"/>
  <c r="G477" i="111"/>
  <c r="G433" i="111"/>
  <c r="G300" i="111"/>
  <c r="G256" i="111"/>
  <c r="G250" i="111"/>
  <c r="G209" i="111"/>
  <c r="G161" i="111"/>
  <c r="G167" i="111"/>
  <c r="G117" i="111"/>
  <c r="G76" i="111"/>
  <c r="G81" i="111"/>
  <c r="G31" i="111"/>
  <c r="G29" i="111"/>
  <c r="G936" i="111"/>
  <c r="G849" i="111"/>
  <c r="G847" i="111"/>
  <c r="G716" i="111"/>
  <c r="G630" i="111"/>
  <c r="G367" i="111"/>
  <c r="G274" i="111"/>
  <c r="G188" i="111"/>
  <c r="G189" i="111"/>
  <c r="G101" i="111"/>
  <c r="G696" i="103"/>
  <c r="G607" i="103"/>
  <c r="G668" i="103"/>
  <c r="G535" i="103"/>
  <c r="G452" i="103"/>
  <c r="G359" i="103"/>
  <c r="G142" i="103"/>
  <c r="G140" i="103"/>
  <c r="G52" i="103"/>
  <c r="G386" i="103"/>
  <c r="G1703" i="52"/>
  <c r="G1621" i="52"/>
  <c r="G1613" i="52"/>
  <c r="G1616" i="52"/>
  <c r="G1529" i="52"/>
  <c r="G1533" i="52"/>
  <c r="G1532" i="52"/>
  <c r="G1525" i="52"/>
  <c r="F1446" i="52"/>
  <c r="G1439" i="52"/>
  <c r="E1358" i="52"/>
  <c r="G1262" i="52"/>
  <c r="G1264" i="52"/>
  <c r="E1006" i="52"/>
  <c r="G735" i="52"/>
  <c r="G648" i="52"/>
  <c r="E654" i="52"/>
  <c r="G563" i="52"/>
  <c r="G476" i="52"/>
  <c r="G381" i="52"/>
  <c r="F214" i="52"/>
  <c r="G1573" i="52"/>
  <c r="G1569" i="52"/>
  <c r="G1222" i="52"/>
  <c r="G1218" i="52"/>
  <c r="G1217" i="52"/>
  <c r="G1047" i="52"/>
  <c r="G872" i="52"/>
  <c r="G865" i="52"/>
  <c r="G873" i="52"/>
  <c r="G689" i="52"/>
  <c r="G691" i="52"/>
  <c r="G517" i="52"/>
  <c r="G520" i="52"/>
  <c r="G345" i="52"/>
  <c r="F346" i="52"/>
  <c r="G1593" i="52"/>
  <c r="F1248" i="52"/>
  <c r="G1070" i="52"/>
  <c r="G895" i="52"/>
  <c r="G894" i="52"/>
  <c r="G802" i="52"/>
  <c r="G275" i="52"/>
  <c r="G120" i="52"/>
  <c r="E126" i="52"/>
  <c r="G35" i="52"/>
  <c r="G1550" i="52"/>
  <c r="E1556" i="52"/>
  <c r="G1463" i="52"/>
  <c r="G1197" i="52"/>
  <c r="G1109" i="52"/>
  <c r="G1112" i="52"/>
  <c r="G1019" i="52"/>
  <c r="G1023" i="52"/>
  <c r="G939" i="52"/>
  <c r="G938" i="52"/>
  <c r="G850" i="52"/>
  <c r="E852" i="52"/>
  <c r="G756" i="52"/>
  <c r="G759" i="52"/>
  <c r="G674" i="52"/>
  <c r="G495" i="52"/>
  <c r="G411" i="52"/>
  <c r="F412" i="52"/>
  <c r="G320" i="52"/>
  <c r="G318" i="52"/>
  <c r="G321" i="52"/>
  <c r="G229" i="52"/>
  <c r="G142" i="52"/>
  <c r="G139" i="52"/>
  <c r="G98" i="52"/>
  <c r="G97" i="52"/>
  <c r="G59" i="52"/>
  <c r="G55" i="52"/>
  <c r="G54" i="52"/>
  <c r="G57" i="52"/>
  <c r="G1658" i="52"/>
  <c r="G1482" i="52"/>
  <c r="G1486" i="52"/>
  <c r="G1487" i="52"/>
  <c r="G1305" i="52"/>
  <c r="G1137" i="52"/>
  <c r="G1136" i="52"/>
  <c r="G1132" i="52"/>
  <c r="G1134" i="52"/>
  <c r="F1138" i="52"/>
  <c r="G779" i="52"/>
  <c r="G781" i="52"/>
  <c r="G605" i="52"/>
  <c r="G608" i="52"/>
  <c r="F610" i="52"/>
  <c r="G433" i="52"/>
  <c r="G427" i="52"/>
  <c r="G251" i="52"/>
  <c r="G249" i="52"/>
  <c r="G257" i="52"/>
  <c r="G1687" i="52"/>
  <c r="G1681" i="52"/>
  <c r="G1509" i="52"/>
  <c r="G1507" i="52"/>
  <c r="G1328" i="52"/>
  <c r="G1331" i="52"/>
  <c r="G983" i="52"/>
  <c r="G979" i="52"/>
  <c r="G713" i="52"/>
  <c r="G538" i="52"/>
  <c r="G541" i="52"/>
  <c r="G361" i="52"/>
  <c r="G363" i="52"/>
  <c r="G366" i="52"/>
  <c r="G191" i="52"/>
  <c r="G76" i="52"/>
  <c r="E617" i="129"/>
  <c r="G211" i="104"/>
  <c r="G60" i="120"/>
  <c r="F111" i="124"/>
  <c r="F67" i="132"/>
  <c r="F111" i="132"/>
  <c r="E177" i="132"/>
  <c r="G82" i="129"/>
  <c r="E595" i="129"/>
  <c r="G148" i="127"/>
  <c r="G214" i="126"/>
  <c r="G52" i="104"/>
  <c r="G316" i="104"/>
  <c r="E111" i="120"/>
  <c r="G16" i="125"/>
  <c r="G38" i="125"/>
  <c r="G170" i="122"/>
  <c r="G148" i="133"/>
  <c r="G258" i="133"/>
  <c r="E177" i="133"/>
  <c r="E23" i="133"/>
  <c r="G192" i="132"/>
  <c r="G60" i="130"/>
  <c r="E133" i="130"/>
  <c r="G522" i="129"/>
  <c r="G60" i="129"/>
  <c r="F353" i="129"/>
  <c r="F23" i="128"/>
  <c r="E133" i="127"/>
  <c r="E199" i="127"/>
  <c r="G170" i="127"/>
  <c r="F199" i="127"/>
  <c r="G16" i="126"/>
  <c r="G145" i="104"/>
  <c r="G54" i="104"/>
  <c r="G13" i="104"/>
  <c r="E23" i="120"/>
  <c r="G23" i="120" s="1"/>
  <c r="F243" i="124"/>
  <c r="G16" i="124"/>
  <c r="E199" i="123"/>
  <c r="F45" i="122"/>
  <c r="F155" i="122"/>
  <c r="G38" i="133"/>
  <c r="F111" i="133"/>
  <c r="E23" i="132"/>
  <c r="G126" i="132"/>
  <c r="G214" i="132"/>
  <c r="G324" i="131"/>
  <c r="G170" i="131"/>
  <c r="G346" i="131"/>
  <c r="G220" i="131"/>
  <c r="G242" i="131"/>
  <c r="G302" i="131"/>
  <c r="F111" i="130"/>
  <c r="E199" i="130"/>
  <c r="G236" i="130"/>
  <c r="G412" i="130"/>
  <c r="F419" i="130"/>
  <c r="E155" i="130"/>
  <c r="F265" i="129"/>
  <c r="F529" i="129"/>
  <c r="G566" i="129"/>
  <c r="G500" i="129"/>
  <c r="F595" i="129"/>
  <c r="G676" i="129"/>
  <c r="F45" i="128"/>
  <c r="G302" i="128"/>
  <c r="F265" i="128"/>
  <c r="G265" i="128" s="1"/>
  <c r="E111" i="128"/>
  <c r="G38" i="128"/>
  <c r="F419" i="127"/>
  <c r="F45" i="127"/>
  <c r="G45" i="127" s="1"/>
  <c r="F89" i="127"/>
  <c r="G368" i="127"/>
  <c r="F177" i="127"/>
  <c r="G60" i="127"/>
  <c r="G170" i="126"/>
  <c r="G148" i="126"/>
  <c r="G192" i="126"/>
  <c r="G341" i="104"/>
  <c r="G161" i="104"/>
  <c r="G165" i="104"/>
  <c r="G120" i="104"/>
  <c r="G78" i="104"/>
  <c r="G783" i="105"/>
  <c r="G693" i="105"/>
  <c r="G652" i="105"/>
  <c r="G559" i="105"/>
  <c r="G520" i="105"/>
  <c r="G515" i="105"/>
  <c r="G476" i="105"/>
  <c r="G381" i="105"/>
  <c r="G344" i="105"/>
  <c r="G340" i="105"/>
  <c r="G297" i="105"/>
  <c r="G1021" i="105"/>
  <c r="G757" i="105"/>
  <c r="G624" i="105"/>
  <c r="G631" i="105"/>
  <c r="G628" i="105"/>
  <c r="G581" i="105"/>
  <c r="G541" i="105"/>
  <c r="G452" i="105"/>
  <c r="G271" i="105"/>
  <c r="G279" i="105"/>
  <c r="G231" i="105"/>
  <c r="G142" i="105"/>
  <c r="G96" i="105"/>
  <c r="G100" i="105"/>
  <c r="G385" i="106"/>
  <c r="G387" i="106"/>
  <c r="G342" i="106"/>
  <c r="G293" i="106"/>
  <c r="G250" i="106"/>
  <c r="G30" i="106"/>
  <c r="G407" i="106"/>
  <c r="G122" i="107"/>
  <c r="G273" i="107"/>
  <c r="G279" i="107"/>
  <c r="G234" i="107"/>
  <c r="G97" i="107"/>
  <c r="G13" i="107"/>
  <c r="G15" i="107"/>
  <c r="G494" i="108"/>
  <c r="G496" i="108"/>
  <c r="G493" i="108"/>
  <c r="G404" i="108"/>
  <c r="G321" i="108"/>
  <c r="G234" i="108"/>
  <c r="G144" i="108"/>
  <c r="F566" i="108"/>
  <c r="E522" i="108"/>
  <c r="G469" i="108"/>
  <c r="G477" i="108"/>
  <c r="G472" i="108"/>
  <c r="G426" i="108"/>
  <c r="G386" i="108"/>
  <c r="G343" i="108"/>
  <c r="F346" i="108"/>
  <c r="G257" i="108"/>
  <c r="G249" i="108"/>
  <c r="G166" i="108"/>
  <c r="F170" i="108"/>
  <c r="G165" i="108"/>
  <c r="G125" i="108"/>
  <c r="G81" i="108"/>
  <c r="G74" i="108"/>
  <c r="G32" i="108"/>
  <c r="G37" i="108"/>
  <c r="G539" i="108"/>
  <c r="G537" i="108"/>
  <c r="G536" i="108"/>
  <c r="F456" i="108"/>
  <c r="G447" i="108"/>
  <c r="G359" i="108"/>
  <c r="G275" i="108"/>
  <c r="E192" i="108"/>
  <c r="G101" i="108"/>
  <c r="G98" i="108"/>
  <c r="G12" i="108"/>
  <c r="G14" i="108"/>
  <c r="G432" i="117"/>
  <c r="G431" i="117"/>
  <c r="G345" i="117"/>
  <c r="G340" i="117"/>
  <c r="F346" i="117"/>
  <c r="F302" i="117"/>
  <c r="E302" i="117"/>
  <c r="G205" i="117"/>
  <c r="G162" i="117"/>
  <c r="G117" i="117"/>
  <c r="E126" i="117"/>
  <c r="G81" i="117"/>
  <c r="G452" i="117"/>
  <c r="G455" i="117"/>
  <c r="G411" i="117"/>
  <c r="G214" i="130"/>
  <c r="G997" i="105"/>
  <c r="G230" i="110"/>
  <c r="F111" i="127"/>
  <c r="G192" i="133"/>
  <c r="G104" i="132"/>
  <c r="F23" i="132"/>
  <c r="F287" i="131"/>
  <c r="F199" i="131"/>
  <c r="F67" i="129"/>
  <c r="G67" i="129" s="1"/>
  <c r="G126" i="129"/>
  <c r="G324" i="127"/>
  <c r="E221" i="127"/>
  <c r="E441" i="127"/>
  <c r="G11" i="104"/>
  <c r="F236" i="104"/>
  <c r="G227" i="104"/>
  <c r="G252" i="104"/>
  <c r="G168" i="104"/>
  <c r="E82" i="104"/>
  <c r="G73" i="104"/>
  <c r="F82" i="104"/>
  <c r="G30" i="104"/>
  <c r="G29" i="104"/>
  <c r="G673" i="105"/>
  <c r="G455" i="105"/>
  <c r="G448" i="105"/>
  <c r="G447" i="105"/>
  <c r="G405" i="105"/>
  <c r="G365" i="105"/>
  <c r="G230" i="105"/>
  <c r="G140" i="105"/>
  <c r="G139" i="105"/>
  <c r="G97" i="105"/>
  <c r="G321" i="107"/>
  <c r="G142" i="107"/>
  <c r="G251" i="107"/>
  <c r="G603" i="109"/>
  <c r="G558" i="109"/>
  <c r="G521" i="109"/>
  <c r="G431" i="109"/>
  <c r="E346" i="109"/>
  <c r="G345" i="109"/>
  <c r="G295" i="109"/>
  <c r="E302" i="109"/>
  <c r="G162" i="109"/>
  <c r="G169" i="109"/>
  <c r="G117" i="109"/>
  <c r="G35" i="109"/>
  <c r="G623" i="109"/>
  <c r="G630" i="109"/>
  <c r="G581" i="109"/>
  <c r="G582" i="109"/>
  <c r="G494" i="109"/>
  <c r="G497" i="109"/>
  <c r="G454" i="109"/>
  <c r="E412" i="109"/>
  <c r="G364" i="109"/>
  <c r="G318" i="109"/>
  <c r="G274" i="109"/>
  <c r="E236" i="109"/>
  <c r="G187" i="109"/>
  <c r="G145" i="109"/>
  <c r="F104" i="109"/>
  <c r="G99" i="109"/>
  <c r="G15" i="109"/>
  <c r="F16" i="109"/>
  <c r="G190" i="110"/>
  <c r="G60" i="132"/>
  <c r="G1046" i="105"/>
  <c r="G60" i="123"/>
  <c r="G148" i="122"/>
  <c r="E89" i="122"/>
  <c r="E199" i="122"/>
  <c r="G103" i="104"/>
  <c r="G232" i="104"/>
  <c r="G189" i="104"/>
  <c r="G342" i="104"/>
  <c r="F67" i="120"/>
  <c r="F133" i="120"/>
  <c r="E133" i="122"/>
  <c r="G38" i="122"/>
  <c r="E67" i="122"/>
  <c r="G67" i="122" s="1"/>
  <c r="E111" i="132"/>
  <c r="F199" i="132"/>
  <c r="G16" i="131"/>
  <c r="G104" i="131"/>
  <c r="G346" i="130"/>
  <c r="E89" i="130"/>
  <c r="G89" i="130" s="1"/>
  <c r="G456" i="130"/>
  <c r="F573" i="129"/>
  <c r="G478" i="129"/>
  <c r="E155" i="128"/>
  <c r="G16" i="128"/>
  <c r="G58" i="104"/>
  <c r="G364" i="104"/>
  <c r="G318" i="104"/>
  <c r="G323" i="104"/>
  <c r="G231" i="104"/>
  <c r="G191" i="104"/>
  <c r="G337" i="104"/>
  <c r="G256" i="104"/>
  <c r="G253" i="104"/>
  <c r="G254" i="104"/>
  <c r="G169" i="104"/>
  <c r="G77" i="104"/>
  <c r="G998" i="105"/>
  <c r="G955" i="105"/>
  <c r="G953" i="105"/>
  <c r="E962" i="105"/>
  <c r="G915" i="105"/>
  <c r="F918" i="105"/>
  <c r="G827" i="105"/>
  <c r="G847" i="105"/>
  <c r="G805" i="105"/>
  <c r="G755" i="105"/>
  <c r="G756" i="105"/>
  <c r="G716" i="105"/>
  <c r="G717" i="105"/>
  <c r="G668" i="105"/>
  <c r="G675" i="105"/>
  <c r="G626" i="105"/>
  <c r="G584" i="105"/>
  <c r="G540" i="105"/>
  <c r="F544" i="105"/>
  <c r="G499" i="105"/>
  <c r="G407" i="105"/>
  <c r="G403" i="105"/>
  <c r="E412" i="105"/>
  <c r="G363" i="105"/>
  <c r="G361" i="105"/>
  <c r="G323" i="105"/>
  <c r="G273" i="105"/>
  <c r="G274" i="105"/>
  <c r="G276" i="105"/>
  <c r="G229" i="105"/>
  <c r="G232" i="105"/>
  <c r="E236" i="105"/>
  <c r="G186" i="105"/>
  <c r="G189" i="105"/>
  <c r="G103" i="105"/>
  <c r="G95" i="105"/>
  <c r="G56" i="105"/>
  <c r="G53" i="105"/>
  <c r="G13" i="105"/>
  <c r="G11" i="105"/>
  <c r="G362" i="106"/>
  <c r="G274" i="106"/>
  <c r="G279" i="106"/>
  <c r="G141" i="106"/>
  <c r="G341" i="106"/>
  <c r="G318" i="106"/>
  <c r="G230" i="106"/>
  <c r="G227" i="106"/>
  <c r="G235" i="106"/>
  <c r="G188" i="106"/>
  <c r="G338" i="107"/>
  <c r="G342" i="107"/>
  <c r="G343" i="107"/>
  <c r="G117" i="107"/>
  <c r="G119" i="107"/>
  <c r="G37" i="107"/>
  <c r="F38" i="107"/>
  <c r="G30" i="107"/>
  <c r="G363" i="107"/>
  <c r="G360" i="107"/>
  <c r="F368" i="107"/>
  <c r="G361" i="107"/>
  <c r="G366" i="107"/>
  <c r="G315" i="107"/>
  <c r="F280" i="107"/>
  <c r="G274" i="107"/>
  <c r="G233" i="107"/>
  <c r="G183" i="107"/>
  <c r="G188" i="107"/>
  <c r="G184" i="107"/>
  <c r="G189" i="107"/>
  <c r="G187" i="107"/>
  <c r="G145" i="107"/>
  <c r="G141" i="107"/>
  <c r="F104" i="107"/>
  <c r="G96" i="107"/>
  <c r="G53" i="107"/>
  <c r="G57" i="107"/>
  <c r="G54" i="107"/>
  <c r="G56" i="107"/>
  <c r="E60" i="107"/>
  <c r="G10" i="107"/>
  <c r="F16" i="107"/>
  <c r="G249" i="107"/>
  <c r="G250" i="107"/>
  <c r="G167" i="107"/>
  <c r="G168" i="107"/>
  <c r="G165" i="107"/>
  <c r="G166" i="107"/>
  <c r="F82" i="107"/>
  <c r="G77" i="107"/>
  <c r="G78" i="107"/>
  <c r="G76" i="107"/>
  <c r="G147" i="108"/>
  <c r="G56" i="108"/>
  <c r="G562" i="108"/>
  <c r="G519" i="108"/>
  <c r="G339" i="108"/>
  <c r="G341" i="108"/>
  <c r="G256" i="108"/>
  <c r="G454" i="108"/>
  <c r="G272" i="108"/>
  <c r="G186" i="108"/>
  <c r="G388" i="109"/>
  <c r="G34" i="109"/>
  <c r="G583" i="109"/>
  <c r="G542" i="109"/>
  <c r="G493" i="109"/>
  <c r="G498" i="109"/>
  <c r="G450" i="109"/>
  <c r="G362" i="109"/>
  <c r="G365" i="109"/>
  <c r="G323" i="109"/>
  <c r="G279" i="109"/>
  <c r="G97" i="109"/>
  <c r="G363" i="110"/>
  <c r="G143" i="110"/>
  <c r="G54" i="110"/>
  <c r="G53" i="110"/>
  <c r="G340" i="110"/>
  <c r="G294" i="110"/>
  <c r="G209" i="110"/>
  <c r="G206" i="110"/>
  <c r="G119" i="110"/>
  <c r="G323" i="110"/>
  <c r="G278" i="110"/>
  <c r="G273" i="110"/>
  <c r="G183" i="110"/>
  <c r="G97" i="110"/>
  <c r="G103" i="110"/>
  <c r="G13" i="110"/>
  <c r="G14" i="110"/>
  <c r="G338" i="117"/>
  <c r="G299" i="117"/>
  <c r="G257" i="117"/>
  <c r="G256" i="117"/>
  <c r="G165" i="117"/>
  <c r="G123" i="117"/>
  <c r="G30" i="117"/>
  <c r="G451" i="117"/>
  <c r="G408" i="117"/>
  <c r="G238" i="108"/>
  <c r="G84" i="106"/>
  <c r="G42" i="106"/>
  <c r="G44" i="132"/>
  <c r="G176" i="132"/>
  <c r="G22" i="133"/>
  <c r="G217" i="116"/>
  <c r="G328" i="116"/>
  <c r="G372" i="106"/>
  <c r="G395" i="114"/>
  <c r="G305" i="114"/>
  <c r="G1715" i="52"/>
  <c r="G1538" i="52"/>
  <c r="G1363" i="52"/>
  <c r="F1408" i="52"/>
  <c r="E1056" i="52"/>
  <c r="G810" i="52"/>
  <c r="G635" i="52"/>
  <c r="G41" i="52"/>
  <c r="G657" i="105"/>
  <c r="G151" i="106"/>
  <c r="G175" i="104"/>
  <c r="G305" i="105"/>
  <c r="G326" i="108"/>
  <c r="G173" i="117"/>
  <c r="G285" i="117"/>
  <c r="G439" i="116"/>
  <c r="G374" i="127"/>
  <c r="G154" i="126"/>
  <c r="G20" i="104"/>
  <c r="G326" i="104"/>
  <c r="G327" i="104"/>
  <c r="G284" i="104"/>
  <c r="G283" i="104"/>
  <c r="G878" i="105"/>
  <c r="F880" i="105"/>
  <c r="G833" i="105"/>
  <c r="G680" i="105"/>
  <c r="G461" i="105"/>
  <c r="G262" i="106"/>
  <c r="G63" i="106"/>
  <c r="G109" i="106"/>
  <c r="G285" i="107"/>
  <c r="G196" i="107"/>
  <c r="G482" i="108"/>
  <c r="G173" i="108"/>
  <c r="G40" i="108"/>
  <c r="G173" i="110"/>
  <c r="G41" i="110"/>
  <c r="G197" i="110"/>
  <c r="G153" i="117"/>
  <c r="G84" i="116"/>
  <c r="E330" i="116"/>
  <c r="G349" i="115"/>
  <c r="G307" i="115"/>
  <c r="G151" i="113"/>
  <c r="E154" i="113"/>
  <c r="G65" i="113"/>
  <c r="G483" i="112"/>
  <c r="G350" i="112"/>
  <c r="G173" i="112"/>
  <c r="G769" i="112"/>
  <c r="G194" i="112"/>
  <c r="G810" i="111"/>
  <c r="G414" i="111"/>
  <c r="G415" i="111"/>
  <c r="G481" i="111"/>
  <c r="G615" i="103"/>
  <c r="G219" i="103"/>
  <c r="G725" i="103"/>
  <c r="G591" i="103"/>
  <c r="G1428" i="52"/>
  <c r="G1426" i="52"/>
  <c r="G264" i="131"/>
  <c r="E111" i="129"/>
  <c r="G220" i="129"/>
  <c r="G506" i="129"/>
  <c r="G260" i="105"/>
  <c r="G285" i="105"/>
  <c r="G62" i="105"/>
  <c r="G128" i="106"/>
  <c r="G86" i="106"/>
  <c r="G239" i="106"/>
  <c r="G372" i="107"/>
  <c r="G568" i="108"/>
  <c r="G130" i="117"/>
  <c r="G87" i="117"/>
  <c r="G415" i="117"/>
  <c r="G393" i="116"/>
  <c r="G394" i="116"/>
  <c r="G87" i="116"/>
  <c r="G239" i="116"/>
  <c r="G20" i="115"/>
  <c r="G175" i="115"/>
  <c r="G480" i="113"/>
  <c r="G329" i="113"/>
  <c r="G526" i="112"/>
  <c r="G766" i="112"/>
  <c r="G680" i="112"/>
  <c r="G328" i="112"/>
  <c r="G439" i="111"/>
  <c r="G130" i="111"/>
  <c r="G1626" i="52"/>
  <c r="G1274" i="52"/>
  <c r="G1099" i="52"/>
  <c r="G1008" i="52"/>
  <c r="G658" i="52"/>
  <c r="G1582" i="52"/>
  <c r="G1407" i="52"/>
  <c r="G1229" i="52"/>
  <c r="G1230" i="52"/>
  <c r="G349" i="52"/>
  <c r="G898" i="52"/>
  <c r="E814" i="52"/>
  <c r="G637" i="52"/>
  <c r="G988" i="52"/>
  <c r="E726" i="52"/>
  <c r="G196" i="52"/>
  <c r="E198" i="52"/>
  <c r="G748" i="129"/>
  <c r="G66" i="129"/>
  <c r="G40" i="102"/>
  <c r="G701" i="103"/>
  <c r="G614" i="103"/>
  <c r="G415" i="103"/>
  <c r="G373" i="105"/>
  <c r="G285" i="108"/>
  <c r="G87" i="104"/>
  <c r="G393" i="105"/>
  <c r="G153" i="107"/>
  <c r="G20" i="107"/>
  <c r="E221" i="129"/>
  <c r="E375" i="129"/>
  <c r="E133" i="129"/>
  <c r="G418" i="127"/>
  <c r="G352" i="127"/>
  <c r="G701" i="105"/>
  <c r="G261" i="105"/>
  <c r="G84" i="105"/>
  <c r="G152" i="106"/>
  <c r="G238" i="106"/>
  <c r="G108" i="106"/>
  <c r="G238" i="107"/>
  <c r="G84" i="108"/>
  <c r="G282" i="108"/>
  <c r="G392" i="115"/>
  <c r="G172" i="115"/>
  <c r="G458" i="52"/>
  <c r="G1294" i="52"/>
  <c r="G724" i="52"/>
  <c r="G238" i="102"/>
  <c r="G240" i="102"/>
  <c r="F198" i="102"/>
  <c r="F154" i="102"/>
  <c r="G64" i="102"/>
  <c r="G262" i="102"/>
  <c r="G218" i="102"/>
  <c r="G569" i="105"/>
  <c r="E89" i="124"/>
  <c r="E199" i="124"/>
  <c r="G132" i="132"/>
  <c r="F1056" i="105"/>
  <c r="G923" i="105"/>
  <c r="G19" i="105"/>
  <c r="G373" i="106"/>
  <c r="G370" i="106"/>
  <c r="G18" i="106"/>
  <c r="G392" i="106"/>
  <c r="E396" i="106"/>
  <c r="F110" i="106"/>
  <c r="E352" i="107"/>
  <c r="E374" i="107"/>
  <c r="G305" i="107"/>
  <c r="G263" i="107"/>
  <c r="G84" i="107"/>
  <c r="G86" i="107"/>
  <c r="G482" i="109"/>
  <c r="G305" i="109"/>
  <c r="G40" i="109"/>
  <c r="G130" i="113"/>
  <c r="G700" i="112"/>
  <c r="E660" i="112"/>
  <c r="G481" i="112"/>
  <c r="G371" i="112"/>
  <c r="E286" i="112"/>
  <c r="G240" i="112"/>
  <c r="G153" i="112"/>
  <c r="G63" i="112"/>
  <c r="G679" i="111"/>
  <c r="G965" i="111"/>
  <c r="E968" i="111"/>
  <c r="G305" i="111"/>
  <c r="G263" i="111"/>
  <c r="G173" i="111"/>
  <c r="G194" i="111"/>
  <c r="G106" i="111"/>
  <c r="G569" i="52"/>
  <c r="G483" i="52"/>
  <c r="G305" i="52"/>
  <c r="G1404" i="52"/>
  <c r="G282" i="52"/>
  <c r="G1558" i="52"/>
  <c r="G198" i="128"/>
  <c r="G154" i="128"/>
  <c r="G746" i="105"/>
  <c r="G88" i="130"/>
  <c r="G1009" i="105"/>
  <c r="G788" i="105"/>
  <c r="G525" i="105"/>
  <c r="G194" i="106"/>
  <c r="G350" i="115"/>
  <c r="G88" i="120"/>
  <c r="E177" i="124"/>
  <c r="G177" i="124" s="1"/>
  <c r="G352" i="131"/>
  <c r="E287" i="129"/>
  <c r="G287" i="129" s="1"/>
  <c r="G132" i="129"/>
  <c r="G286" i="129"/>
  <c r="G66" i="127"/>
  <c r="G22" i="127"/>
  <c r="G614" i="109"/>
  <c r="G84" i="109"/>
  <c r="G62" i="109"/>
  <c r="G194" i="110"/>
  <c r="E110" i="110"/>
  <c r="G106" i="110"/>
  <c r="G703" i="112"/>
  <c r="G218" i="112"/>
  <c r="G217" i="112"/>
  <c r="G174" i="112"/>
  <c r="G41" i="112"/>
  <c r="G64" i="111"/>
  <c r="G744" i="111"/>
  <c r="G615" i="111"/>
  <c r="G568" i="111"/>
  <c r="G216" i="111"/>
  <c r="G175" i="111"/>
  <c r="G172" i="111"/>
  <c r="G920" i="103"/>
  <c r="G524" i="103"/>
  <c r="G216" i="103"/>
  <c r="E132" i="103"/>
  <c r="G128" i="103"/>
  <c r="G417" i="103"/>
  <c r="G239" i="103"/>
  <c r="G197" i="103"/>
  <c r="G106" i="103"/>
  <c r="G65" i="103"/>
  <c r="G876" i="103"/>
  <c r="G568" i="103"/>
  <c r="G481" i="103"/>
  <c r="E484" i="103"/>
  <c r="G964" i="52"/>
  <c r="G370" i="52"/>
  <c r="E286" i="102"/>
  <c r="G283" i="102"/>
  <c r="G152" i="102"/>
  <c r="G348" i="104"/>
  <c r="G128" i="104"/>
  <c r="G966" i="105"/>
  <c r="F924" i="105"/>
  <c r="E880" i="105"/>
  <c r="E836" i="105"/>
  <c r="G681" i="105"/>
  <c r="G634" i="105"/>
  <c r="E638" i="105"/>
  <c r="G591" i="105"/>
  <c r="G592" i="105"/>
  <c r="G459" i="105"/>
  <c r="E462" i="105"/>
  <c r="G416" i="105"/>
  <c r="G282" i="105"/>
  <c r="E286" i="105"/>
  <c r="E242" i="105"/>
  <c r="F154" i="105"/>
  <c r="G108" i="105"/>
  <c r="E22" i="105"/>
  <c r="F352" i="107"/>
  <c r="F132" i="107"/>
  <c r="E44" i="107"/>
  <c r="F374" i="107"/>
  <c r="G241" i="107"/>
  <c r="F242" i="107"/>
  <c r="G151" i="107"/>
  <c r="G18" i="107"/>
  <c r="F176" i="107"/>
  <c r="G327" i="108"/>
  <c r="G241" i="108"/>
  <c r="G152" i="108"/>
  <c r="E528" i="108"/>
  <c r="G634" i="109"/>
  <c r="E638" i="109"/>
  <c r="G152" i="110"/>
  <c r="G304" i="110"/>
  <c r="G128" i="110"/>
  <c r="E198" i="110"/>
  <c r="G108" i="110"/>
  <c r="E22" i="110"/>
  <c r="G439" i="117"/>
  <c r="F352" i="117"/>
  <c r="F308" i="117"/>
  <c r="G85" i="117"/>
  <c r="G459" i="117"/>
  <c r="G108" i="117"/>
  <c r="G392" i="116"/>
  <c r="G173" i="116"/>
  <c r="G458" i="116"/>
  <c r="G282" i="116"/>
  <c r="G283" i="116"/>
  <c r="F484" i="113"/>
  <c r="G261" i="113"/>
  <c r="G263" i="113"/>
  <c r="G260" i="113"/>
  <c r="G174" i="113"/>
  <c r="G87" i="113"/>
  <c r="G458" i="113"/>
  <c r="G416" i="113"/>
  <c r="G326" i="113"/>
  <c r="G283" i="113"/>
  <c r="F198" i="113"/>
  <c r="F154" i="113"/>
  <c r="G62" i="113"/>
  <c r="F440" i="113"/>
  <c r="G393" i="113"/>
  <c r="G392" i="113"/>
  <c r="E308" i="113"/>
  <c r="G307" i="113"/>
  <c r="E220" i="113"/>
  <c r="G218" i="113"/>
  <c r="F132" i="113"/>
  <c r="E792" i="112"/>
  <c r="G745" i="112"/>
  <c r="G659" i="112"/>
  <c r="E616" i="112"/>
  <c r="G569" i="112"/>
  <c r="G527" i="112"/>
  <c r="F528" i="112"/>
  <c r="E440" i="112"/>
  <c r="G437" i="112"/>
  <c r="G394" i="112"/>
  <c r="F352" i="112"/>
  <c r="G260" i="112"/>
  <c r="F176" i="112"/>
  <c r="G84" i="112"/>
  <c r="E44" i="112"/>
  <c r="G723" i="112"/>
  <c r="F726" i="112"/>
  <c r="G460" i="112"/>
  <c r="F374" i="112"/>
  <c r="G284" i="112"/>
  <c r="E242" i="112"/>
  <c r="G151" i="112"/>
  <c r="F66" i="112"/>
  <c r="E770" i="112"/>
  <c r="G678" i="112"/>
  <c r="E682" i="112"/>
  <c r="F506" i="112"/>
  <c r="G415" i="112"/>
  <c r="E418" i="112"/>
  <c r="G326" i="112"/>
  <c r="G109" i="112"/>
  <c r="F110" i="112"/>
  <c r="G18" i="112"/>
  <c r="G20" i="112"/>
  <c r="G812" i="111"/>
  <c r="G680" i="111"/>
  <c r="G591" i="111"/>
  <c r="G504" i="111"/>
  <c r="F418" i="111"/>
  <c r="E242" i="111"/>
  <c r="G240" i="111"/>
  <c r="G920" i="111"/>
  <c r="E880" i="111"/>
  <c r="G879" i="111"/>
  <c r="E836" i="111"/>
  <c r="G789" i="111"/>
  <c r="G702" i="111"/>
  <c r="G659" i="111"/>
  <c r="G570" i="111"/>
  <c r="G480" i="111"/>
  <c r="G483" i="111"/>
  <c r="F484" i="111"/>
  <c r="G395" i="111"/>
  <c r="G307" i="111"/>
  <c r="F176" i="111"/>
  <c r="F132" i="111"/>
  <c r="E88" i="111"/>
  <c r="G42" i="111"/>
  <c r="F44" i="111"/>
  <c r="G857" i="111"/>
  <c r="E858" i="111"/>
  <c r="G722" i="111"/>
  <c r="G636" i="111"/>
  <c r="G371" i="111"/>
  <c r="G195" i="111"/>
  <c r="E198" i="111"/>
  <c r="G197" i="111"/>
  <c r="G922" i="103"/>
  <c r="G790" i="103"/>
  <c r="G791" i="103"/>
  <c r="G700" i="103"/>
  <c r="G703" i="103"/>
  <c r="F704" i="103"/>
  <c r="G526" i="103"/>
  <c r="G439" i="103"/>
  <c r="G437" i="103"/>
  <c r="G348" i="103"/>
  <c r="F352" i="103"/>
  <c r="E220" i="103"/>
  <c r="G130" i="103"/>
  <c r="F132" i="103"/>
  <c r="F44" i="103"/>
  <c r="E902" i="103"/>
  <c r="G811" i="103"/>
  <c r="G681" i="103"/>
  <c r="G636" i="103"/>
  <c r="G460" i="103"/>
  <c r="G372" i="103"/>
  <c r="G326" i="103"/>
  <c r="G196" i="103"/>
  <c r="F199" i="130"/>
  <c r="G220" i="130"/>
  <c r="G374" i="130"/>
  <c r="E331" i="129"/>
  <c r="G129" i="104"/>
  <c r="G766" i="105"/>
  <c r="G372" i="105"/>
  <c r="G240" i="105"/>
  <c r="G64" i="105"/>
  <c r="G20" i="105"/>
  <c r="G351" i="107"/>
  <c r="G128" i="107"/>
  <c r="G240" i="107"/>
  <c r="G108" i="107"/>
  <c r="G106" i="107"/>
  <c r="G107" i="107"/>
  <c r="G261" i="107"/>
  <c r="G174" i="107"/>
  <c r="G414" i="108"/>
  <c r="G571" i="108"/>
  <c r="G569" i="108"/>
  <c r="G527" i="108"/>
  <c r="G393" i="108"/>
  <c r="G260" i="108"/>
  <c r="G548" i="108"/>
  <c r="G370" i="108"/>
  <c r="G348" i="117"/>
  <c r="E352" i="117"/>
  <c r="G350" i="117"/>
  <c r="E176" i="117"/>
  <c r="G175" i="117"/>
  <c r="G84" i="117"/>
  <c r="G85" i="113"/>
  <c r="G415" i="113"/>
  <c r="G371" i="113"/>
  <c r="G372" i="113"/>
  <c r="G197" i="113"/>
  <c r="G196" i="113"/>
  <c r="G106" i="113"/>
  <c r="G788" i="112"/>
  <c r="G701" i="112"/>
  <c r="G613" i="112"/>
  <c r="G571" i="112"/>
  <c r="G525" i="112"/>
  <c r="G480" i="112"/>
  <c r="G546" i="112"/>
  <c r="G458" i="112"/>
  <c r="G238" i="112"/>
  <c r="G590" i="112"/>
  <c r="G591" i="112"/>
  <c r="G195" i="112"/>
  <c r="G21" i="112"/>
  <c r="G964" i="111"/>
  <c r="G129" i="111"/>
  <c r="G41" i="111"/>
  <c r="G855" i="111"/>
  <c r="G634" i="111"/>
  <c r="G546" i="111"/>
  <c r="G285" i="103"/>
  <c r="G747" i="103"/>
  <c r="G1714" i="52"/>
  <c r="E1628" i="52"/>
  <c r="G1362" i="52"/>
  <c r="E1276" i="52"/>
  <c r="G1098" i="52"/>
  <c r="G1010" i="52"/>
  <c r="F924" i="52"/>
  <c r="G835" i="52"/>
  <c r="G570" i="52"/>
  <c r="F572" i="52"/>
  <c r="G393" i="52"/>
  <c r="E396" i="52"/>
  <c r="G304" i="52"/>
  <c r="G1580" i="52"/>
  <c r="G1406" i="52"/>
  <c r="F1056" i="52"/>
  <c r="E704" i="52"/>
  <c r="G350" i="52"/>
  <c r="G1429" i="52"/>
  <c r="G1251" i="52"/>
  <c r="G812" i="52"/>
  <c r="G284" i="52"/>
  <c r="G283" i="52"/>
  <c r="G128" i="52"/>
  <c r="F44" i="52"/>
  <c r="F1562" i="52"/>
  <c r="F1474" i="52"/>
  <c r="G1472" i="52"/>
  <c r="E1386" i="52"/>
  <c r="F1298" i="52"/>
  <c r="F1122" i="52"/>
  <c r="G505" i="52"/>
  <c r="G414" i="52"/>
  <c r="G106" i="52"/>
  <c r="G1670" i="52"/>
  <c r="G261" i="52"/>
  <c r="G1338" i="52"/>
  <c r="G1164" i="52"/>
  <c r="F726" i="52"/>
  <c r="G85" i="52"/>
  <c r="G88" i="125"/>
  <c r="G305" i="104"/>
  <c r="G1052" i="105"/>
  <c r="G483" i="105"/>
  <c r="G437" i="105"/>
  <c r="G44" i="133"/>
  <c r="G286" i="128"/>
  <c r="G352" i="128"/>
  <c r="G176" i="123"/>
  <c r="G220" i="133"/>
  <c r="G462" i="129"/>
  <c r="E243" i="129"/>
  <c r="G243" i="129" s="1"/>
  <c r="G242" i="127"/>
  <c r="G176" i="126"/>
  <c r="G132" i="126"/>
  <c r="G110" i="120"/>
  <c r="G44" i="123"/>
  <c r="G88" i="122"/>
  <c r="G286" i="133"/>
  <c r="G264" i="133"/>
  <c r="G176" i="131"/>
  <c r="G154" i="131"/>
  <c r="G330" i="131"/>
  <c r="G286" i="131"/>
  <c r="G110" i="130"/>
  <c r="E353" i="129"/>
  <c r="G330" i="128"/>
  <c r="G308" i="128"/>
  <c r="G151" i="104"/>
  <c r="E110" i="104"/>
  <c r="G109" i="104"/>
  <c r="G18" i="104"/>
  <c r="G19" i="104"/>
  <c r="F22" i="104"/>
  <c r="E330" i="104"/>
  <c r="G329" i="104"/>
  <c r="E242" i="104"/>
  <c r="G239" i="104"/>
  <c r="G349" i="104"/>
  <c r="G262" i="104"/>
  <c r="G263" i="104"/>
  <c r="G216" i="104"/>
  <c r="G174" i="104"/>
  <c r="E132" i="104"/>
  <c r="G86" i="104"/>
  <c r="G41" i="104"/>
  <c r="G789" i="105"/>
  <c r="G747" i="105"/>
  <c r="G568" i="105"/>
  <c r="F528" i="105"/>
  <c r="G526" i="105"/>
  <c r="G482" i="105"/>
  <c r="G481" i="105"/>
  <c r="G439" i="105"/>
  <c r="G348" i="105"/>
  <c r="F308" i="105"/>
  <c r="G216" i="105"/>
  <c r="G40" i="105"/>
  <c r="G988" i="105"/>
  <c r="G898" i="105"/>
  <c r="G768" i="105"/>
  <c r="G679" i="105"/>
  <c r="G548" i="105"/>
  <c r="G414" i="105"/>
  <c r="G150" i="105"/>
  <c r="G106" i="105"/>
  <c r="G195" i="107"/>
  <c r="G64" i="107"/>
  <c r="G568" i="109"/>
  <c r="G438" i="109"/>
  <c r="G351" i="109"/>
  <c r="E308" i="109"/>
  <c r="G307" i="109"/>
  <c r="F264" i="109"/>
  <c r="G216" i="109"/>
  <c r="G172" i="109"/>
  <c r="G174" i="109"/>
  <c r="G130" i="109"/>
  <c r="E132" i="109"/>
  <c r="G86" i="109"/>
  <c r="E88" i="109"/>
  <c r="F88" i="109"/>
  <c r="G635" i="109"/>
  <c r="E594" i="109"/>
  <c r="G591" i="109"/>
  <c r="F594" i="109"/>
  <c r="G414" i="109"/>
  <c r="F374" i="109"/>
  <c r="G241" i="109"/>
  <c r="G240" i="109"/>
  <c r="F198" i="109"/>
  <c r="F22" i="109"/>
  <c r="G65" i="116"/>
  <c r="G64" i="116"/>
  <c r="G327" i="115"/>
  <c r="G241" i="115"/>
  <c r="G19" i="114"/>
  <c r="G350" i="114"/>
  <c r="G348" i="114"/>
  <c r="G217" i="114"/>
  <c r="G173" i="114"/>
  <c r="G84" i="114"/>
  <c r="G87" i="114"/>
  <c r="G194" i="114"/>
  <c r="G107" i="114"/>
  <c r="G63" i="114"/>
  <c r="G592" i="111"/>
  <c r="E506" i="111"/>
  <c r="G921" i="103"/>
  <c r="G856" i="103"/>
  <c r="G680" i="103"/>
  <c r="G635" i="103"/>
  <c r="G504" i="103"/>
  <c r="G282" i="103"/>
  <c r="G877" i="103"/>
  <c r="G835" i="103"/>
  <c r="F836" i="103"/>
  <c r="G657" i="103"/>
  <c r="F484" i="103"/>
  <c r="G306" i="103"/>
  <c r="G304" i="103"/>
  <c r="G307" i="103"/>
  <c r="E88" i="103"/>
  <c r="G84" i="103"/>
  <c r="G1473" i="52"/>
  <c r="G329" i="52"/>
  <c r="G65" i="52"/>
  <c r="G175" i="102"/>
  <c r="G84" i="102"/>
  <c r="G328" i="104"/>
  <c r="G393" i="115"/>
  <c r="G394" i="115"/>
  <c r="G260" i="115"/>
  <c r="G261" i="115"/>
  <c r="G217" i="115"/>
  <c r="G85" i="115"/>
  <c r="G42" i="115"/>
  <c r="E330" i="115"/>
  <c r="F242" i="115"/>
  <c r="G63" i="113"/>
  <c r="G898" i="103"/>
  <c r="F770" i="103"/>
  <c r="G637" i="103"/>
  <c r="F594" i="103"/>
  <c r="G459" i="103"/>
  <c r="G461" i="103"/>
  <c r="G371" i="103"/>
  <c r="G329" i="103"/>
  <c r="F242" i="103"/>
  <c r="E198" i="103"/>
  <c r="G392" i="103"/>
  <c r="G260" i="52"/>
  <c r="G1341" i="52"/>
  <c r="G151" i="102"/>
  <c r="G108" i="102"/>
  <c r="G217" i="102"/>
  <c r="G176" i="130"/>
  <c r="G528" i="129"/>
  <c r="F1012" i="105"/>
  <c r="G44" i="125"/>
  <c r="G88" i="124"/>
  <c r="G176" i="128"/>
  <c r="G373" i="104"/>
  <c r="G745" i="105"/>
  <c r="E748" i="105"/>
  <c r="G527" i="105"/>
  <c r="E396" i="105"/>
  <c r="G350" i="105"/>
  <c r="G1030" i="105"/>
  <c r="G1031" i="105"/>
  <c r="G260" i="106"/>
  <c r="G130" i="107"/>
  <c r="E154" i="108"/>
  <c r="E66" i="108"/>
  <c r="G394" i="108"/>
  <c r="E352" i="108"/>
  <c r="G305" i="108"/>
  <c r="F308" i="108"/>
  <c r="G262" i="108"/>
  <c r="G216" i="108"/>
  <c r="E176" i="108"/>
  <c r="E132" i="108"/>
  <c r="G129" i="108"/>
  <c r="G130" i="108"/>
  <c r="F132" i="108"/>
  <c r="G87" i="108"/>
  <c r="E44" i="108"/>
  <c r="E550" i="108"/>
  <c r="F374" i="108"/>
  <c r="G371" i="108"/>
  <c r="G284" i="108"/>
  <c r="E198" i="108"/>
  <c r="G108" i="108"/>
  <c r="F110" i="108"/>
  <c r="E110" i="108"/>
  <c r="G392" i="117"/>
  <c r="G393" i="117"/>
  <c r="G304" i="117"/>
  <c r="G261" i="117"/>
  <c r="F264" i="117"/>
  <c r="G86" i="117"/>
  <c r="E88" i="117"/>
  <c r="E462" i="117"/>
  <c r="G414" i="117"/>
  <c r="G326" i="117"/>
  <c r="G284" i="117"/>
  <c r="G194" i="117"/>
  <c r="G20" i="117"/>
  <c r="G40" i="116"/>
  <c r="G18" i="116"/>
  <c r="G216" i="114"/>
  <c r="G373" i="113"/>
  <c r="G219" i="112"/>
  <c r="F1254" i="52"/>
  <c r="F946" i="52"/>
  <c r="G591" i="52"/>
  <c r="G503" i="52"/>
  <c r="G415" i="52"/>
  <c r="F418" i="52"/>
  <c r="E330" i="52"/>
  <c r="G239" i="52"/>
  <c r="G238" i="52"/>
  <c r="F110" i="52"/>
  <c r="E66" i="52"/>
  <c r="E1496" i="52"/>
  <c r="G965" i="52"/>
  <c r="G791" i="52"/>
  <c r="F616" i="52"/>
  <c r="G439" i="52"/>
  <c r="G1690" i="52"/>
  <c r="F1518" i="52"/>
  <c r="G130" i="102"/>
  <c r="G921" i="105"/>
  <c r="G282" i="104"/>
  <c r="G66" i="123"/>
  <c r="G726" i="129"/>
  <c r="G242" i="129"/>
  <c r="G572" i="129"/>
  <c r="G791" i="105"/>
  <c r="F748" i="105"/>
  <c r="G702" i="105"/>
  <c r="G613" i="105"/>
  <c r="G614" i="105"/>
  <c r="F572" i="105"/>
  <c r="E572" i="105"/>
  <c r="E484" i="105"/>
  <c r="G480" i="105"/>
  <c r="E440" i="105"/>
  <c r="E308" i="105"/>
  <c r="G307" i="105"/>
  <c r="G306" i="105"/>
  <c r="G174" i="105"/>
  <c r="G130" i="105"/>
  <c r="F132" i="105"/>
  <c r="E88" i="105"/>
  <c r="G42" i="105"/>
  <c r="F44" i="105"/>
  <c r="G1032" i="105"/>
  <c r="E990" i="105"/>
  <c r="E902" i="105"/>
  <c r="G856" i="105"/>
  <c r="G854" i="105"/>
  <c r="G767" i="105"/>
  <c r="F374" i="106"/>
  <c r="E374" i="106"/>
  <c r="G283" i="106"/>
  <c r="G285" i="106"/>
  <c r="F154" i="106"/>
  <c r="G153" i="106"/>
  <c r="E22" i="106"/>
  <c r="F396" i="106"/>
  <c r="G263" i="106"/>
  <c r="F132" i="106"/>
  <c r="G87" i="106"/>
  <c r="F44" i="106"/>
  <c r="G241" i="106"/>
  <c r="F242" i="106"/>
  <c r="F66" i="106"/>
  <c r="G197" i="106"/>
  <c r="F198" i="106"/>
  <c r="E110" i="106"/>
  <c r="G107" i="106"/>
  <c r="G524" i="108"/>
  <c r="G460" i="108"/>
  <c r="G197" i="108"/>
  <c r="G21" i="108"/>
  <c r="F440" i="109"/>
  <c r="G395" i="109"/>
  <c r="G129" i="109"/>
  <c r="G282" i="109"/>
  <c r="G108" i="109"/>
  <c r="G106" i="109"/>
  <c r="G65" i="109"/>
  <c r="G64" i="109"/>
  <c r="G373" i="110"/>
  <c r="G239" i="110"/>
  <c r="G150" i="110"/>
  <c r="G63" i="110"/>
  <c r="E264" i="110"/>
  <c r="E176" i="110"/>
  <c r="G175" i="110"/>
  <c r="E132" i="110"/>
  <c r="G87" i="110"/>
  <c r="E88" i="110"/>
  <c r="G40" i="110"/>
  <c r="G328" i="110"/>
  <c r="G351" i="117"/>
  <c r="G480" i="116"/>
  <c r="F484" i="116"/>
  <c r="G437" i="116"/>
  <c r="G348" i="116"/>
  <c r="G304" i="116"/>
  <c r="F308" i="116"/>
  <c r="G263" i="116"/>
  <c r="G260" i="116"/>
  <c r="G261" i="116"/>
  <c r="G172" i="116"/>
  <c r="F176" i="116"/>
  <c r="G129" i="116"/>
  <c r="F132" i="116"/>
  <c r="G86" i="116"/>
  <c r="G43" i="116"/>
  <c r="G415" i="116"/>
  <c r="G370" i="116"/>
  <c r="G371" i="116"/>
  <c r="F286" i="116"/>
  <c r="G240" i="116"/>
  <c r="E242" i="116"/>
  <c r="G195" i="116"/>
  <c r="G152" i="116"/>
  <c r="F154" i="116"/>
  <c r="G109" i="116"/>
  <c r="F66" i="116"/>
  <c r="G370" i="115"/>
  <c r="E286" i="115"/>
  <c r="G284" i="115"/>
  <c r="F286" i="115"/>
  <c r="E198" i="115"/>
  <c r="G108" i="115"/>
  <c r="G109" i="115"/>
  <c r="G107" i="115"/>
  <c r="G436" i="115"/>
  <c r="G438" i="115"/>
  <c r="E396" i="115"/>
  <c r="E352" i="115"/>
  <c r="G348" i="115"/>
  <c r="F308" i="115"/>
  <c r="G306" i="115"/>
  <c r="F220" i="115"/>
  <c r="G174" i="115"/>
  <c r="F132" i="115"/>
  <c r="G129" i="115"/>
  <c r="G130" i="115"/>
  <c r="G414" i="115"/>
  <c r="G417" i="115"/>
  <c r="G62" i="115"/>
  <c r="E462" i="114"/>
  <c r="G460" i="114"/>
  <c r="G458" i="114"/>
  <c r="E330" i="114"/>
  <c r="G241" i="114"/>
  <c r="G239" i="114"/>
  <c r="G20" i="114"/>
  <c r="G482" i="114"/>
  <c r="F440" i="114"/>
  <c r="G392" i="114"/>
  <c r="G393" i="114"/>
  <c r="G351" i="114"/>
  <c r="E352" i="114"/>
  <c r="E308" i="114"/>
  <c r="F308" i="114"/>
  <c r="G263" i="114"/>
  <c r="G175" i="114"/>
  <c r="G131" i="114"/>
  <c r="G130" i="114"/>
  <c r="F132" i="114"/>
  <c r="G43" i="114"/>
  <c r="G41" i="114"/>
  <c r="E44" i="114"/>
  <c r="G40" i="114"/>
  <c r="G502" i="114"/>
  <c r="E374" i="114"/>
  <c r="F374" i="114"/>
  <c r="G197" i="114"/>
  <c r="G108" i="114"/>
  <c r="G64" i="114"/>
  <c r="F66" i="114"/>
  <c r="G481" i="113"/>
  <c r="G173" i="113"/>
  <c r="G195" i="113"/>
  <c r="G152" i="113"/>
  <c r="G150" i="112"/>
  <c r="G461" i="111"/>
  <c r="G525" i="103"/>
  <c r="G260" i="103"/>
  <c r="G218" i="103"/>
  <c r="G855" i="103"/>
  <c r="G833" i="103"/>
  <c r="G656" i="103"/>
  <c r="G483" i="103"/>
  <c r="G1536" i="52"/>
  <c r="G1448" i="52"/>
  <c r="G1449" i="52"/>
  <c r="G921" i="52"/>
  <c r="G746" i="52"/>
  <c r="F1584" i="52"/>
  <c r="E1232" i="52"/>
  <c r="G702" i="52"/>
  <c r="G172" i="52"/>
  <c r="G1603" i="52"/>
  <c r="G636" i="52"/>
  <c r="G1382" i="52"/>
  <c r="G1121" i="52"/>
  <c r="G590" i="52"/>
  <c r="G416" i="52"/>
  <c r="E242" i="52"/>
  <c r="G151" i="52"/>
  <c r="G108" i="52"/>
  <c r="G1669" i="52"/>
  <c r="G1668" i="52"/>
  <c r="G613" i="52"/>
  <c r="G614" i="52"/>
  <c r="G1691" i="52"/>
  <c r="G1692" i="52"/>
  <c r="G1162" i="52"/>
  <c r="G986" i="52"/>
  <c r="G989" i="52"/>
  <c r="G725" i="52"/>
  <c r="E374" i="52"/>
  <c r="G195" i="52"/>
  <c r="G87" i="52"/>
  <c r="F308" i="102"/>
  <c r="E176" i="102"/>
  <c r="G282" i="102"/>
  <c r="E154" i="102"/>
  <c r="G153" i="102"/>
  <c r="G107" i="102"/>
  <c r="G65" i="102"/>
  <c r="G293" i="102"/>
  <c r="F302" i="102"/>
  <c r="D220" i="102"/>
  <c r="G215" i="102"/>
  <c r="D176" i="102"/>
  <c r="G171" i="102"/>
  <c r="D286" i="102"/>
  <c r="G281" i="102"/>
  <c r="D198" i="102"/>
  <c r="G193" i="102"/>
  <c r="G149" i="102"/>
  <c r="D154" i="102"/>
  <c r="G39" i="102"/>
  <c r="D44" i="102"/>
  <c r="G294" i="102"/>
  <c r="G299" i="102"/>
  <c r="G271" i="102"/>
  <c r="E104" i="102"/>
  <c r="E214" i="102"/>
  <c r="G41" i="102"/>
  <c r="E308" i="102"/>
  <c r="G295" i="102"/>
  <c r="G173" i="102"/>
  <c r="G164" i="102"/>
  <c r="G229" i="102"/>
  <c r="F192" i="102"/>
  <c r="G183" i="102"/>
  <c r="F148" i="102"/>
  <c r="G146" i="102"/>
  <c r="G109" i="102"/>
  <c r="E60" i="102"/>
  <c r="G12" i="102"/>
  <c r="G15" i="102"/>
  <c r="G211" i="102"/>
  <c r="G212" i="102"/>
  <c r="G123" i="102"/>
  <c r="G117" i="102"/>
  <c r="E44" i="102"/>
  <c r="G305" i="102"/>
  <c r="G300" i="102"/>
  <c r="G304" i="102"/>
  <c r="G307" i="102"/>
  <c r="G166" i="102"/>
  <c r="G169" i="102"/>
  <c r="G161" i="102"/>
  <c r="E170" i="102"/>
  <c r="G86" i="102"/>
  <c r="F82" i="102"/>
  <c r="G87" i="102"/>
  <c r="G80" i="102"/>
  <c r="G279" i="102"/>
  <c r="G278" i="102"/>
  <c r="E242" i="102"/>
  <c r="G232" i="102"/>
  <c r="G227" i="102"/>
  <c r="G241" i="102"/>
  <c r="G186" i="102"/>
  <c r="G195" i="102"/>
  <c r="G184" i="102"/>
  <c r="E192" i="102"/>
  <c r="G140" i="102"/>
  <c r="G150" i="102"/>
  <c r="G142" i="102"/>
  <c r="E110" i="102"/>
  <c r="F104" i="102"/>
  <c r="G99" i="102"/>
  <c r="G102" i="102"/>
  <c r="E66" i="102"/>
  <c r="F60" i="102"/>
  <c r="G9" i="102"/>
  <c r="G21" i="102"/>
  <c r="G8" i="102"/>
  <c r="G14" i="102"/>
  <c r="G11" i="102"/>
  <c r="E16" i="102"/>
  <c r="E258" i="102"/>
  <c r="F258" i="102"/>
  <c r="G263" i="102"/>
  <c r="G253" i="102"/>
  <c r="G256" i="102"/>
  <c r="G207" i="102"/>
  <c r="G208" i="102"/>
  <c r="F214" i="102"/>
  <c r="G216" i="102"/>
  <c r="G119" i="102"/>
  <c r="F132" i="102"/>
  <c r="G128" i="102"/>
  <c r="G131" i="102"/>
  <c r="G30" i="102"/>
  <c r="G32" i="102"/>
  <c r="F44" i="102"/>
  <c r="G33" i="102"/>
  <c r="E38" i="102"/>
  <c r="D132" i="102"/>
  <c r="G127" i="102"/>
  <c r="D66" i="102"/>
  <c r="G61" i="102"/>
  <c r="G303" i="102"/>
  <c r="D308" i="102"/>
  <c r="G83" i="102"/>
  <c r="D88" i="102"/>
  <c r="G237" i="102"/>
  <c r="D242" i="102"/>
  <c r="G105" i="102"/>
  <c r="D110" i="102"/>
  <c r="D22" i="102"/>
  <c r="G17" i="102"/>
  <c r="G259" i="102"/>
  <c r="D264" i="102"/>
  <c r="G163" i="102"/>
  <c r="G168" i="102"/>
  <c r="G79" i="102"/>
  <c r="G273" i="102"/>
  <c r="F280" i="102"/>
  <c r="G234" i="102"/>
  <c r="G187" i="102"/>
  <c r="G59" i="102"/>
  <c r="E22" i="102"/>
  <c r="G19" i="102"/>
  <c r="G206" i="102"/>
  <c r="G42" i="102"/>
  <c r="G306" i="102"/>
  <c r="E302" i="102"/>
  <c r="E88" i="102"/>
  <c r="F88" i="102"/>
  <c r="G285" i="102"/>
  <c r="G284" i="102"/>
  <c r="E236" i="102"/>
  <c r="E198" i="102"/>
  <c r="G188" i="102"/>
  <c r="G144" i="102"/>
  <c r="F110" i="102"/>
  <c r="G103" i="102"/>
  <c r="G58" i="102"/>
  <c r="G55" i="102"/>
  <c r="G18" i="102"/>
  <c r="E264" i="102"/>
  <c r="F264" i="102"/>
  <c r="G257" i="102"/>
  <c r="G260" i="102"/>
  <c r="G219" i="102"/>
  <c r="G129" i="102"/>
  <c r="E132" i="102"/>
  <c r="F126" i="102"/>
  <c r="E126" i="102"/>
  <c r="G43" i="102"/>
  <c r="G37" i="102"/>
  <c r="G298" i="102"/>
  <c r="G296" i="102"/>
  <c r="G162" i="102"/>
  <c r="G167" i="102"/>
  <c r="F170" i="102"/>
  <c r="F176" i="102"/>
  <c r="G172" i="102"/>
  <c r="G174" i="102"/>
  <c r="G78" i="102"/>
  <c r="G85" i="102"/>
  <c r="G76" i="102"/>
  <c r="E82" i="102"/>
  <c r="G277" i="102"/>
  <c r="F286" i="102"/>
  <c r="G275" i="102"/>
  <c r="G274" i="102"/>
  <c r="G239" i="102"/>
  <c r="F236" i="102"/>
  <c r="G228" i="102"/>
  <c r="F242" i="102"/>
  <c r="G194" i="102"/>
  <c r="G185" i="102"/>
  <c r="G191" i="102"/>
  <c r="G197" i="102"/>
  <c r="G196" i="102"/>
  <c r="G143" i="102"/>
  <c r="G145" i="102"/>
  <c r="G139" i="102"/>
  <c r="E148" i="102"/>
  <c r="G100" i="102"/>
  <c r="G106" i="102"/>
  <c r="G98" i="102"/>
  <c r="G57" i="102"/>
  <c r="G51" i="102"/>
  <c r="F66" i="102"/>
  <c r="G63" i="102"/>
  <c r="G62" i="102"/>
  <c r="G10" i="102"/>
  <c r="F22" i="102"/>
  <c r="F16" i="102"/>
  <c r="G250" i="102"/>
  <c r="G254" i="102"/>
  <c r="G261" i="102"/>
  <c r="G252" i="102"/>
  <c r="E220" i="102"/>
  <c r="G210" i="102"/>
  <c r="F220" i="102"/>
  <c r="G214" i="102"/>
  <c r="G213" i="102"/>
  <c r="G122" i="102"/>
  <c r="G121" i="102"/>
  <c r="G124" i="102"/>
  <c r="G35" i="102"/>
  <c r="F38" i="102"/>
  <c r="G29" i="102"/>
  <c r="G34" i="102"/>
  <c r="G909" i="52"/>
  <c r="F918" i="52"/>
  <c r="G457" i="52"/>
  <c r="D462" i="52"/>
  <c r="G1107" i="52"/>
  <c r="F1116" i="52"/>
  <c r="D682" i="52"/>
  <c r="G677" i="52"/>
  <c r="G1337" i="52"/>
  <c r="D1342" i="52"/>
  <c r="G1151" i="52"/>
  <c r="F1160" i="52"/>
  <c r="D1716" i="52"/>
  <c r="G1711" i="52"/>
  <c r="D924" i="52"/>
  <c r="G919" i="52"/>
  <c r="D572" i="52"/>
  <c r="G567" i="52"/>
  <c r="G1579" i="52"/>
  <c r="D1584" i="52"/>
  <c r="D528" i="52"/>
  <c r="G523" i="52"/>
  <c r="G513" i="52"/>
  <c r="F522" i="52"/>
  <c r="D1078" i="52"/>
  <c r="G1073" i="52"/>
  <c r="D814" i="52"/>
  <c r="G809" i="52"/>
  <c r="G1557" i="52"/>
  <c r="D1562" i="52"/>
  <c r="D330" i="52"/>
  <c r="G325" i="52"/>
  <c r="G237" i="52"/>
  <c r="D242" i="52"/>
  <c r="G61" i="52"/>
  <c r="D66" i="52"/>
  <c r="D1496" i="52"/>
  <c r="G1491" i="52"/>
  <c r="D792" i="52"/>
  <c r="G787" i="52"/>
  <c r="G259" i="52"/>
  <c r="D264" i="52"/>
  <c r="G1513" i="52"/>
  <c r="D1518" i="52"/>
  <c r="D726" i="52"/>
  <c r="G721" i="52"/>
  <c r="D550" i="52"/>
  <c r="G545" i="52"/>
  <c r="G369" i="52"/>
  <c r="D374" i="52"/>
  <c r="G1187" i="52"/>
  <c r="F748" i="52"/>
  <c r="G696" i="52"/>
  <c r="G1372" i="52"/>
  <c r="F1210" i="52"/>
  <c r="E858" i="52"/>
  <c r="G100" i="52"/>
  <c r="G1682" i="52"/>
  <c r="E192" i="52"/>
  <c r="F82" i="52"/>
  <c r="G1708" i="52"/>
  <c r="G1705" i="52"/>
  <c r="G1526" i="52"/>
  <c r="G1712" i="52"/>
  <c r="G1713" i="52"/>
  <c r="E1716" i="52"/>
  <c r="G1615" i="52"/>
  <c r="G1620" i="52"/>
  <c r="F1628" i="52"/>
  <c r="G1539" i="52"/>
  <c r="F1534" i="52"/>
  <c r="G1527" i="52"/>
  <c r="G1438" i="52"/>
  <c r="G1450" i="52"/>
  <c r="G1442" i="52"/>
  <c r="G1443" i="52"/>
  <c r="E1446" i="52"/>
  <c r="G1360" i="52"/>
  <c r="G1361" i="52"/>
  <c r="E1364" i="52"/>
  <c r="G1263" i="52"/>
  <c r="G1273" i="52"/>
  <c r="G1268" i="52"/>
  <c r="G1272" i="52"/>
  <c r="F1276" i="52"/>
  <c r="G1177" i="52"/>
  <c r="G1186" i="52"/>
  <c r="G1086" i="52"/>
  <c r="G1085" i="52"/>
  <c r="G1097" i="52"/>
  <c r="E1094" i="52"/>
  <c r="G997" i="52"/>
  <c r="E1012" i="52"/>
  <c r="G914" i="52"/>
  <c r="E924" i="52"/>
  <c r="G822" i="52"/>
  <c r="G741" i="52"/>
  <c r="G744" i="52"/>
  <c r="G739" i="52"/>
  <c r="G745" i="52"/>
  <c r="E742" i="52"/>
  <c r="G659" i="52"/>
  <c r="G652" i="52"/>
  <c r="F654" i="52"/>
  <c r="F660" i="52"/>
  <c r="G564" i="52"/>
  <c r="G481" i="52"/>
  <c r="G480" i="52"/>
  <c r="G469" i="52"/>
  <c r="E484" i="52"/>
  <c r="G387" i="52"/>
  <c r="G394" i="52"/>
  <c r="G385" i="52"/>
  <c r="E390" i="52"/>
  <c r="F302" i="52"/>
  <c r="F308" i="52"/>
  <c r="G213" i="52"/>
  <c r="G212" i="52"/>
  <c r="G205" i="52"/>
  <c r="G217" i="52"/>
  <c r="G1576" i="52"/>
  <c r="E1584" i="52"/>
  <c r="G1571" i="52"/>
  <c r="G1400" i="52"/>
  <c r="G1397" i="52"/>
  <c r="G1393" i="52"/>
  <c r="G1405" i="52"/>
  <c r="E1402" i="52"/>
  <c r="G1225" i="52"/>
  <c r="G1231" i="52"/>
  <c r="G1041" i="52"/>
  <c r="G1046" i="52"/>
  <c r="G1049" i="52"/>
  <c r="G1048" i="52"/>
  <c r="F1050" i="52"/>
  <c r="G868" i="52"/>
  <c r="G870" i="52"/>
  <c r="G876" i="52"/>
  <c r="G694" i="52"/>
  <c r="G703" i="52"/>
  <c r="G695" i="52"/>
  <c r="E698" i="52"/>
  <c r="G525" i="52"/>
  <c r="G524" i="52"/>
  <c r="F528" i="52"/>
  <c r="G348" i="52"/>
  <c r="G344" i="52"/>
  <c r="G339" i="52"/>
  <c r="G338" i="52"/>
  <c r="G168" i="52"/>
  <c r="G163" i="52"/>
  <c r="G166" i="52"/>
  <c r="G165" i="52"/>
  <c r="E176" i="52"/>
  <c r="F1600" i="52"/>
  <c r="G1591" i="52"/>
  <c r="G1594" i="52"/>
  <c r="E1600" i="52"/>
  <c r="G1416" i="52"/>
  <c r="G1419" i="52"/>
  <c r="E1430" i="52"/>
  <c r="G1427" i="52"/>
  <c r="F1430" i="52"/>
  <c r="G1241" i="52"/>
  <c r="G1240" i="52"/>
  <c r="G1068" i="52"/>
  <c r="G1074" i="52"/>
  <c r="E1078" i="52"/>
  <c r="G892" i="52"/>
  <c r="G901" i="52"/>
  <c r="G900" i="52"/>
  <c r="E902" i="52"/>
  <c r="E896" i="52"/>
  <c r="G807" i="52"/>
  <c r="F814" i="52"/>
  <c r="G627" i="52"/>
  <c r="E638" i="52"/>
  <c r="G625" i="52"/>
  <c r="G628" i="52"/>
  <c r="E462" i="52"/>
  <c r="G451" i="52"/>
  <c r="G279" i="52"/>
  <c r="G273" i="52"/>
  <c r="G272" i="52"/>
  <c r="E280" i="52"/>
  <c r="G123" i="52"/>
  <c r="F126" i="52"/>
  <c r="F132" i="52"/>
  <c r="G36" i="52"/>
  <c r="G32" i="52"/>
  <c r="G37" i="52"/>
  <c r="G1734" i="52"/>
  <c r="G1724" i="52"/>
  <c r="G1723" i="52"/>
  <c r="G1736" i="52"/>
  <c r="G1639" i="52"/>
  <c r="G1646" i="52"/>
  <c r="G1647" i="52"/>
  <c r="E1644" i="52"/>
  <c r="G1547" i="52"/>
  <c r="G1554" i="52"/>
  <c r="F1556" i="52"/>
  <c r="G1471" i="52"/>
  <c r="G1461" i="52"/>
  <c r="E1474" i="52"/>
  <c r="G1383" i="52"/>
  <c r="G1379" i="52"/>
  <c r="G1373" i="52"/>
  <c r="G1374" i="52"/>
  <c r="G1288" i="52"/>
  <c r="G1295" i="52"/>
  <c r="G1284" i="52"/>
  <c r="G1283" i="52"/>
  <c r="G1296" i="52"/>
  <c r="G1290" i="52"/>
  <c r="E1292" i="52"/>
  <c r="G1198" i="52"/>
  <c r="G1202" i="52"/>
  <c r="G1195" i="52"/>
  <c r="G1207" i="52"/>
  <c r="F1204" i="52"/>
  <c r="G1114" i="52"/>
  <c r="G1113" i="52"/>
  <c r="G1110" i="52"/>
  <c r="E1122" i="52"/>
  <c r="G1026" i="52"/>
  <c r="G1031" i="52"/>
  <c r="G1025" i="52"/>
  <c r="G1027" i="52"/>
  <c r="G936" i="52"/>
  <c r="G945" i="52"/>
  <c r="G931" i="52"/>
  <c r="G944" i="52"/>
  <c r="G849" i="52"/>
  <c r="G854" i="52"/>
  <c r="G857" i="52"/>
  <c r="G766" i="52"/>
  <c r="G758" i="52"/>
  <c r="G757" i="52"/>
  <c r="G671" i="52"/>
  <c r="G675" i="52"/>
  <c r="G681" i="52"/>
  <c r="G680" i="52"/>
  <c r="G679" i="52"/>
  <c r="G582" i="52"/>
  <c r="G579" i="52"/>
  <c r="G592" i="52"/>
  <c r="E588" i="52"/>
  <c r="G502" i="52"/>
  <c r="G499" i="52"/>
  <c r="G491" i="52"/>
  <c r="G493" i="52"/>
  <c r="F500" i="52"/>
  <c r="G417" i="52"/>
  <c r="G406" i="52"/>
  <c r="G327" i="52"/>
  <c r="G319" i="52"/>
  <c r="G322" i="52"/>
  <c r="G233" i="52"/>
  <c r="G227" i="52"/>
  <c r="G228" i="52"/>
  <c r="E236" i="52"/>
  <c r="G143" i="52"/>
  <c r="G146" i="52"/>
  <c r="G141" i="52"/>
  <c r="G144" i="52"/>
  <c r="F148" i="52"/>
  <c r="F154" i="52"/>
  <c r="G109" i="52"/>
  <c r="G101" i="52"/>
  <c r="G62" i="52"/>
  <c r="G58" i="52"/>
  <c r="G1657" i="52"/>
  <c r="G1661" i="52"/>
  <c r="E1672" i="52"/>
  <c r="E1666" i="52"/>
  <c r="G1493" i="52"/>
  <c r="G1492" i="52"/>
  <c r="G1310" i="52"/>
  <c r="G1307" i="52"/>
  <c r="F1314" i="52"/>
  <c r="G1140" i="52"/>
  <c r="G1143" i="52"/>
  <c r="G959" i="52"/>
  <c r="G960" i="52"/>
  <c r="E968" i="52"/>
  <c r="F968" i="52"/>
  <c r="E962" i="52"/>
  <c r="G783" i="52"/>
  <c r="G789" i="52"/>
  <c r="G785" i="52"/>
  <c r="E792" i="52"/>
  <c r="F786" i="52"/>
  <c r="F792" i="52"/>
  <c r="G601" i="52"/>
  <c r="G609" i="52"/>
  <c r="G615" i="52"/>
  <c r="G429" i="52"/>
  <c r="G432" i="52"/>
  <c r="G431" i="52"/>
  <c r="G426" i="52"/>
  <c r="E440" i="52"/>
  <c r="G262" i="52"/>
  <c r="G252" i="52"/>
  <c r="F264" i="52"/>
  <c r="E258" i="52"/>
  <c r="G1685" i="52"/>
  <c r="E1694" i="52"/>
  <c r="G1686" i="52"/>
  <c r="F1694" i="52"/>
  <c r="G1505" i="52"/>
  <c r="G1515" i="52"/>
  <c r="G1511" i="52"/>
  <c r="E1518" i="52"/>
  <c r="G1335" i="52"/>
  <c r="E1342" i="52"/>
  <c r="F1336" i="52"/>
  <c r="G1152" i="52"/>
  <c r="G1154" i="52"/>
  <c r="G1159" i="52"/>
  <c r="E1160" i="52"/>
  <c r="G977" i="52"/>
  <c r="F990" i="52"/>
  <c r="G723" i="52"/>
  <c r="G715" i="52"/>
  <c r="G540" i="52"/>
  <c r="E550" i="52"/>
  <c r="G364" i="52"/>
  <c r="G372" i="52"/>
  <c r="F368" i="52"/>
  <c r="G367" i="52"/>
  <c r="G373" i="52"/>
  <c r="E368" i="52"/>
  <c r="G183" i="52"/>
  <c r="G184" i="52"/>
  <c r="F192" i="52"/>
  <c r="G194" i="52"/>
  <c r="F198" i="52"/>
  <c r="G81" i="52"/>
  <c r="G73" i="52"/>
  <c r="G86" i="52"/>
  <c r="G74" i="52"/>
  <c r="D1100" i="52"/>
  <c r="G1095" i="52"/>
  <c r="G557" i="52"/>
  <c r="F566" i="52"/>
  <c r="G1425" i="52"/>
  <c r="D1430" i="52"/>
  <c r="D902" i="52"/>
  <c r="G897" i="52"/>
  <c r="D1738" i="52"/>
  <c r="G1733" i="52"/>
  <c r="D594" i="52"/>
  <c r="G589" i="52"/>
  <c r="D418" i="52"/>
  <c r="G413" i="52"/>
  <c r="D968" i="52"/>
  <c r="G963" i="52"/>
  <c r="D880" i="52"/>
  <c r="G875" i="52"/>
  <c r="G347" i="52"/>
  <c r="D352" i="52"/>
  <c r="D638" i="52"/>
  <c r="G633" i="52"/>
  <c r="G39" i="52"/>
  <c r="D44" i="52"/>
  <c r="G1469" i="52"/>
  <c r="D1474" i="52"/>
  <c r="D1386" i="52"/>
  <c r="G1381" i="52"/>
  <c r="D1034" i="52"/>
  <c r="G1029" i="52"/>
  <c r="D770" i="52"/>
  <c r="G765" i="52"/>
  <c r="D154" i="52"/>
  <c r="G149" i="52"/>
  <c r="G51" i="52"/>
  <c r="F60" i="52"/>
  <c r="D1320" i="52"/>
  <c r="G1315" i="52"/>
  <c r="G953" i="52"/>
  <c r="F962" i="52"/>
  <c r="D1166" i="52"/>
  <c r="G1161" i="52"/>
  <c r="D990" i="52"/>
  <c r="G985" i="52"/>
  <c r="G711" i="52"/>
  <c r="F720" i="52"/>
  <c r="D198" i="52"/>
  <c r="G193" i="52"/>
  <c r="G1269" i="52"/>
  <c r="F220" i="52"/>
  <c r="G1737" i="52"/>
  <c r="E1738" i="52"/>
  <c r="G1555" i="52"/>
  <c r="E1034" i="52"/>
  <c r="F858" i="52"/>
  <c r="G768" i="52"/>
  <c r="G504" i="52"/>
  <c r="E1490" i="52"/>
  <c r="E786" i="52"/>
  <c r="G1340" i="52"/>
  <c r="G1707" i="52"/>
  <c r="G1706" i="52"/>
  <c r="F1452" i="52"/>
  <c r="G1354" i="52"/>
  <c r="E1270" i="52"/>
  <c r="E1188" i="52"/>
  <c r="F1094" i="52"/>
  <c r="G1004" i="52"/>
  <c r="E918" i="52"/>
  <c r="G833" i="52"/>
  <c r="F836" i="52"/>
  <c r="E566" i="52"/>
  <c r="G474" i="52"/>
  <c r="G472" i="52"/>
  <c r="G395" i="52"/>
  <c r="G392" i="52"/>
  <c r="G307" i="52"/>
  <c r="G1396" i="52"/>
  <c r="G1399" i="52"/>
  <c r="G879" i="52"/>
  <c r="E880" i="52"/>
  <c r="G515" i="52"/>
  <c r="G1253" i="52"/>
  <c r="F1072" i="52"/>
  <c r="G893" i="52"/>
  <c r="G631" i="52"/>
  <c r="F638" i="52"/>
  <c r="F462" i="52"/>
  <c r="F280" i="52"/>
  <c r="E132" i="52"/>
  <c r="G29" i="52"/>
  <c r="G1730" i="52"/>
  <c r="G1640" i="52"/>
  <c r="G1289" i="52"/>
  <c r="G1208" i="52"/>
  <c r="G1203" i="52"/>
  <c r="G1119" i="52"/>
  <c r="G1022" i="52"/>
  <c r="F1028" i="52"/>
  <c r="G934" i="52"/>
  <c r="G937" i="52"/>
  <c r="G769" i="52"/>
  <c r="G672" i="52"/>
  <c r="G403" i="52"/>
  <c r="G407" i="52"/>
  <c r="E412" i="52"/>
  <c r="G317" i="52"/>
  <c r="F324" i="52"/>
  <c r="F330" i="52"/>
  <c r="G241" i="52"/>
  <c r="G230" i="52"/>
  <c r="G147" i="52"/>
  <c r="E110" i="52"/>
  <c r="G96" i="52"/>
  <c r="E104" i="52"/>
  <c r="G56" i="52"/>
  <c r="G63" i="52"/>
  <c r="G53" i="52"/>
  <c r="F66" i="52"/>
  <c r="F1672" i="52"/>
  <c r="G1664" i="52"/>
  <c r="G1671" i="52"/>
  <c r="F1666" i="52"/>
  <c r="G1489" i="52"/>
  <c r="G1481" i="52"/>
  <c r="G1319" i="52"/>
  <c r="G1313" i="52"/>
  <c r="G1316" i="52"/>
  <c r="E1320" i="52"/>
  <c r="E1314" i="52"/>
  <c r="G1141" i="52"/>
  <c r="G1129" i="52"/>
  <c r="G1130" i="52"/>
  <c r="G1142" i="52"/>
  <c r="G954" i="52"/>
  <c r="G777" i="52"/>
  <c r="G778" i="52"/>
  <c r="G784" i="52"/>
  <c r="G602" i="52"/>
  <c r="G604" i="52"/>
  <c r="E610" i="52"/>
  <c r="G437" i="52"/>
  <c r="F434" i="52"/>
  <c r="F440" i="52"/>
  <c r="G254" i="52"/>
  <c r="G263" i="52"/>
  <c r="F1688" i="52"/>
  <c r="G1506" i="52"/>
  <c r="G1517" i="52"/>
  <c r="E1512" i="52"/>
  <c r="G1330" i="52"/>
  <c r="F1342" i="52"/>
  <c r="F984" i="52"/>
  <c r="G722" i="52"/>
  <c r="E720" i="52"/>
  <c r="G537" i="52"/>
  <c r="G362" i="52"/>
  <c r="G190" i="52"/>
  <c r="G79" i="52"/>
  <c r="F88" i="52"/>
  <c r="E82" i="52"/>
  <c r="G1271" i="52"/>
  <c r="D1276" i="52"/>
  <c r="D1188" i="52"/>
  <c r="G1183" i="52"/>
  <c r="D484" i="52"/>
  <c r="G479" i="52"/>
  <c r="G391" i="52"/>
  <c r="D396" i="52"/>
  <c r="G303" i="52"/>
  <c r="D308" i="52"/>
  <c r="G215" i="52"/>
  <c r="D220" i="52"/>
  <c r="D1408" i="52"/>
  <c r="G1403" i="52"/>
  <c r="G887" i="52"/>
  <c r="F896" i="52"/>
  <c r="G799" i="52"/>
  <c r="F808" i="52"/>
  <c r="G1645" i="52"/>
  <c r="D1650" i="52"/>
  <c r="G1459" i="52"/>
  <c r="F1468" i="52"/>
  <c r="D1298" i="52"/>
  <c r="G1293" i="52"/>
  <c r="D946" i="52"/>
  <c r="G941" i="52"/>
  <c r="D616" i="52"/>
  <c r="G611" i="52"/>
  <c r="G83" i="52"/>
  <c r="D88" i="52"/>
  <c r="G1623" i="52"/>
  <c r="D1628" i="52"/>
  <c r="D1540" i="52"/>
  <c r="G1535" i="52"/>
  <c r="D1012" i="52"/>
  <c r="G1007" i="52"/>
  <c r="D1232" i="52"/>
  <c r="G1227" i="52"/>
  <c r="G1051" i="52"/>
  <c r="D1056" i="52"/>
  <c r="G623" i="52"/>
  <c r="F632" i="52"/>
  <c r="G281" i="52"/>
  <c r="D286" i="52"/>
  <c r="G1371" i="52"/>
  <c r="F1380" i="52"/>
  <c r="D858" i="52"/>
  <c r="G853" i="52"/>
  <c r="G843" i="52"/>
  <c r="F852" i="52"/>
  <c r="G667" i="52"/>
  <c r="F676" i="52"/>
  <c r="D506" i="52"/>
  <c r="G501" i="52"/>
  <c r="D1452" i="52"/>
  <c r="G1447" i="52"/>
  <c r="D1364" i="52"/>
  <c r="G1359" i="52"/>
  <c r="D836" i="52"/>
  <c r="G831" i="52"/>
  <c r="D748" i="52"/>
  <c r="G743" i="52"/>
  <c r="D660" i="52"/>
  <c r="G655" i="52"/>
  <c r="D704" i="52"/>
  <c r="G699" i="52"/>
  <c r="G171" i="52"/>
  <c r="D176" i="52"/>
  <c r="G1601" i="52"/>
  <c r="D1606" i="52"/>
  <c r="D1254" i="52"/>
  <c r="G1249" i="52"/>
  <c r="G127" i="52"/>
  <c r="D132" i="52"/>
  <c r="D1210" i="52"/>
  <c r="G1205" i="52"/>
  <c r="G1117" i="52"/>
  <c r="D1122" i="52"/>
  <c r="G755" i="52"/>
  <c r="F764" i="52"/>
  <c r="G95" i="52"/>
  <c r="F104" i="52"/>
  <c r="G105" i="52"/>
  <c r="D110" i="52"/>
  <c r="D1672" i="52"/>
  <c r="G1667" i="52"/>
  <c r="D1144" i="52"/>
  <c r="G1139" i="52"/>
  <c r="G435" i="52"/>
  <c r="D440" i="52"/>
  <c r="G1689" i="52"/>
  <c r="D1694" i="52"/>
  <c r="G1503" i="52"/>
  <c r="F1512" i="52"/>
  <c r="E1710" i="52"/>
  <c r="G1624" i="52"/>
  <c r="F1540" i="52"/>
  <c r="G1437" i="52"/>
  <c r="F1188" i="52"/>
  <c r="F1006" i="52"/>
  <c r="G910" i="52"/>
  <c r="G299" i="52"/>
  <c r="E302" i="52"/>
  <c r="F1578" i="52"/>
  <c r="E1226" i="52"/>
  <c r="G1044" i="52"/>
  <c r="E522" i="52"/>
  <c r="G337" i="52"/>
  <c r="E1424" i="52"/>
  <c r="G1239" i="52"/>
  <c r="F1078" i="52"/>
  <c r="E808" i="52"/>
  <c r="F38" i="52"/>
  <c r="G1385" i="52"/>
  <c r="G1206" i="52"/>
  <c r="E1204" i="52"/>
  <c r="G856" i="52"/>
  <c r="F506" i="52"/>
  <c r="E500" i="52"/>
  <c r="G152" i="52"/>
  <c r="E148" i="52"/>
  <c r="G1488" i="52"/>
  <c r="G1306" i="52"/>
  <c r="G1317" i="52"/>
  <c r="F1144" i="52"/>
  <c r="E264" i="52"/>
  <c r="E1688" i="52"/>
  <c r="G1155" i="52"/>
  <c r="G980" i="52"/>
  <c r="E984" i="52"/>
  <c r="G712" i="52"/>
  <c r="G197" i="52"/>
  <c r="F1710" i="52"/>
  <c r="E1622" i="52"/>
  <c r="G1537" i="52"/>
  <c r="E1540" i="52"/>
  <c r="G1355" i="52"/>
  <c r="F1358" i="52"/>
  <c r="G1353" i="52"/>
  <c r="G1181" i="52"/>
  <c r="G1185" i="52"/>
  <c r="G1092" i="52"/>
  <c r="G1091" i="52"/>
  <c r="F1100" i="52"/>
  <c r="G1001" i="52"/>
  <c r="G920" i="52"/>
  <c r="G832" i="52"/>
  <c r="G834" i="52"/>
  <c r="F830" i="52"/>
  <c r="E748" i="52"/>
  <c r="G657" i="52"/>
  <c r="E660" i="52"/>
  <c r="G559" i="52"/>
  <c r="G482" i="52"/>
  <c r="F478" i="52"/>
  <c r="F484" i="52"/>
  <c r="G306" i="52"/>
  <c r="E308" i="52"/>
  <c r="G216" i="52"/>
  <c r="E214" i="52"/>
  <c r="G1570" i="52"/>
  <c r="G1394" i="52"/>
  <c r="F1402" i="52"/>
  <c r="G1043" i="52"/>
  <c r="E1050" i="52"/>
  <c r="G878" i="52"/>
  <c r="G877" i="52"/>
  <c r="G869" i="52"/>
  <c r="F874" i="52"/>
  <c r="F880" i="52"/>
  <c r="G526" i="52"/>
  <c r="E528" i="52"/>
  <c r="F352" i="52"/>
  <c r="E346" i="52"/>
  <c r="G174" i="52"/>
  <c r="G167" i="52"/>
  <c r="G173" i="52"/>
  <c r="F170" i="52"/>
  <c r="G1592" i="52"/>
  <c r="G1605" i="52"/>
  <c r="G1423" i="52"/>
  <c r="G1420" i="52"/>
  <c r="G1421" i="52"/>
  <c r="G1250" i="52"/>
  <c r="E1248" i="52"/>
  <c r="G1076" i="52"/>
  <c r="G1067" i="52"/>
  <c r="G806" i="52"/>
  <c r="E632" i="52"/>
  <c r="G459" i="52"/>
  <c r="F456" i="52"/>
  <c r="G274" i="52"/>
  <c r="G285" i="52"/>
  <c r="G124" i="52"/>
  <c r="G130" i="52"/>
  <c r="G131" i="52"/>
  <c r="G40" i="52"/>
  <c r="E38" i="52"/>
  <c r="G1728" i="52"/>
  <c r="F1732" i="52"/>
  <c r="G1642" i="52"/>
  <c r="G1641" i="52"/>
  <c r="E1650" i="52"/>
  <c r="G1470" i="52"/>
  <c r="E1468" i="52"/>
  <c r="E1298" i="52"/>
  <c r="G1200" i="52"/>
  <c r="G1111" i="52"/>
  <c r="E1116" i="52"/>
  <c r="G943" i="52"/>
  <c r="G932" i="52"/>
  <c r="G942" i="52"/>
  <c r="F940" i="52"/>
  <c r="G855" i="52"/>
  <c r="G847" i="52"/>
  <c r="E770" i="52"/>
  <c r="F770" i="52"/>
  <c r="E764" i="52"/>
  <c r="E682" i="52"/>
  <c r="G585" i="52"/>
  <c r="E594" i="52"/>
  <c r="G498" i="52"/>
  <c r="G404" i="52"/>
  <c r="G405" i="52"/>
  <c r="E418" i="52"/>
  <c r="E419" i="52" s="1"/>
  <c r="G1704" i="52"/>
  <c r="G1701" i="52"/>
  <c r="G1702" i="52"/>
  <c r="F1716" i="52"/>
  <c r="F1717" i="52" s="1"/>
  <c r="G1625" i="52"/>
  <c r="G1614" i="52"/>
  <c r="F1622" i="52"/>
  <c r="G1619" i="52"/>
  <c r="G1627" i="52"/>
  <c r="G1528" i="52"/>
  <c r="G1531" i="52"/>
  <c r="E1534" i="52"/>
  <c r="G1451" i="52"/>
  <c r="G1440" i="52"/>
  <c r="E1452" i="52"/>
  <c r="G1349" i="52"/>
  <c r="G1350" i="52"/>
  <c r="F1364" i="52"/>
  <c r="G1261" i="52"/>
  <c r="F1270" i="52"/>
  <c r="G1275" i="52"/>
  <c r="G1174" i="52"/>
  <c r="G1178" i="52"/>
  <c r="G1184" i="52"/>
  <c r="G1175" i="52"/>
  <c r="F1182" i="52"/>
  <c r="G1176" i="52"/>
  <c r="E1182" i="52"/>
  <c r="G1088" i="52"/>
  <c r="G1087" i="52"/>
  <c r="E1100" i="52"/>
  <c r="G1000" i="52"/>
  <c r="F1012" i="52"/>
  <c r="G923" i="52"/>
  <c r="G922" i="52"/>
  <c r="G917" i="52"/>
  <c r="G825" i="52"/>
  <c r="G826" i="52"/>
  <c r="G829" i="52"/>
  <c r="G824" i="52"/>
  <c r="E836" i="52"/>
  <c r="E830" i="52"/>
  <c r="G747" i="52"/>
  <c r="G736" i="52"/>
  <c r="F742" i="52"/>
  <c r="G645" i="52"/>
  <c r="G653" i="52"/>
  <c r="G656" i="52"/>
  <c r="G558" i="52"/>
  <c r="G568" i="52"/>
  <c r="G571" i="52"/>
  <c r="E572" i="52"/>
  <c r="G477" i="52"/>
  <c r="G471" i="52"/>
  <c r="E478" i="52"/>
  <c r="G388" i="52"/>
  <c r="G384" i="52"/>
  <c r="G386" i="52"/>
  <c r="G389" i="52"/>
  <c r="F390" i="52"/>
  <c r="F396" i="52"/>
  <c r="G300" i="52"/>
  <c r="G298" i="52"/>
  <c r="G301" i="52"/>
  <c r="G210" i="52"/>
  <c r="G219" i="52"/>
  <c r="G218" i="52"/>
  <c r="G207" i="52"/>
  <c r="E220" i="52"/>
  <c r="G1583" i="52"/>
  <c r="G1572" i="52"/>
  <c r="G1574" i="52"/>
  <c r="G1581" i="52"/>
  <c r="E1578" i="52"/>
  <c r="E1408" i="52"/>
  <c r="G1228" i="52"/>
  <c r="G1223" i="52"/>
  <c r="F1232" i="52"/>
  <c r="F1226" i="52"/>
  <c r="G1054" i="52"/>
  <c r="G1053" i="52"/>
  <c r="G1052" i="52"/>
  <c r="G1055" i="52"/>
  <c r="G871" i="52"/>
  <c r="G867" i="52"/>
  <c r="G866" i="52"/>
  <c r="E874" i="52"/>
  <c r="G700" i="52"/>
  <c r="G701" i="52"/>
  <c r="G697" i="52"/>
  <c r="F698" i="52"/>
  <c r="F704" i="52"/>
  <c r="G521" i="52"/>
  <c r="G527" i="52"/>
  <c r="G340" i="52"/>
  <c r="G351" i="52"/>
  <c r="G343" i="52"/>
  <c r="G342" i="52"/>
  <c r="E352" i="52"/>
  <c r="G161" i="52"/>
  <c r="G175" i="52"/>
  <c r="G169" i="52"/>
  <c r="F176" i="52"/>
  <c r="E170" i="52"/>
  <c r="E1606" i="52"/>
  <c r="G1597" i="52"/>
  <c r="G1596" i="52"/>
  <c r="G1598" i="52"/>
  <c r="G1602" i="52"/>
  <c r="F1606" i="52"/>
  <c r="G1422" i="52"/>
  <c r="F1424" i="52"/>
  <c r="G1415" i="52"/>
  <c r="G1417" i="52"/>
  <c r="G1246" i="52"/>
  <c r="E1254" i="52"/>
  <c r="E1255" i="52" s="1"/>
  <c r="G1247" i="52"/>
  <c r="G1244" i="52"/>
  <c r="G1064" i="52"/>
  <c r="G1063" i="52"/>
  <c r="G1077" i="52"/>
  <c r="E1072" i="52"/>
  <c r="G899" i="52"/>
  <c r="G889" i="52"/>
  <c r="F902" i="52"/>
  <c r="G813" i="52"/>
  <c r="G811" i="52"/>
  <c r="G804" i="52"/>
  <c r="G624" i="52"/>
  <c r="G634" i="52"/>
  <c r="G447" i="52"/>
  <c r="G449" i="52"/>
  <c r="G455" i="52"/>
  <c r="G461" i="52"/>
  <c r="E456" i="52"/>
  <c r="E286" i="52"/>
  <c r="G278" i="52"/>
  <c r="G277" i="52"/>
  <c r="G276" i="52"/>
  <c r="F286" i="52"/>
  <c r="G129" i="52"/>
  <c r="G122" i="52"/>
  <c r="G125" i="52"/>
  <c r="G42" i="52"/>
  <c r="G31" i="52"/>
  <c r="G43" i="52"/>
  <c r="E44" i="52"/>
  <c r="G1735" i="52"/>
  <c r="G1725" i="52"/>
  <c r="G1726" i="52"/>
  <c r="F1738" i="52"/>
  <c r="F1739" i="52" s="1"/>
  <c r="E1732" i="52"/>
  <c r="G1649" i="52"/>
  <c r="G1648" i="52"/>
  <c r="F1650" i="52"/>
  <c r="G1636" i="52"/>
  <c r="G1637" i="52"/>
  <c r="F1644" i="52"/>
  <c r="G1560" i="52"/>
  <c r="G1559" i="52"/>
  <c r="G1561" i="52"/>
  <c r="G1548" i="52"/>
  <c r="E1562" i="52"/>
  <c r="G1462" i="52"/>
  <c r="G1465" i="52"/>
  <c r="G1384" i="52"/>
  <c r="G1376" i="52"/>
  <c r="G1377" i="52"/>
  <c r="G1378" i="52"/>
  <c r="F1386" i="52"/>
  <c r="E1380" i="52"/>
  <c r="G1287" i="52"/>
  <c r="G1285" i="52"/>
  <c r="G1297" i="52"/>
  <c r="F1292" i="52"/>
  <c r="G1209" i="52"/>
  <c r="G1201" i="52"/>
  <c r="G1199" i="52"/>
  <c r="G1196" i="52"/>
  <c r="E1210" i="52"/>
  <c r="G1115" i="52"/>
  <c r="G1118" i="52"/>
  <c r="G1120" i="52"/>
  <c r="G1021" i="52"/>
  <c r="G1020" i="52"/>
  <c r="G1032" i="52"/>
  <c r="G1030" i="52"/>
  <c r="F1034" i="52"/>
  <c r="E1028" i="52"/>
  <c r="G935" i="52"/>
  <c r="G933" i="52"/>
  <c r="E940" i="52"/>
  <c r="E946" i="52"/>
  <c r="G848" i="52"/>
  <c r="G762" i="52"/>
  <c r="G670" i="52"/>
  <c r="G678" i="52"/>
  <c r="G669" i="52"/>
  <c r="F682" i="52"/>
  <c r="E676" i="52"/>
  <c r="G583" i="52"/>
  <c r="G593" i="52"/>
  <c r="G581" i="52"/>
  <c r="G584" i="52"/>
  <c r="F588" i="52"/>
  <c r="F594" i="52"/>
  <c r="G494" i="52"/>
  <c r="E506" i="52"/>
  <c r="G497" i="52"/>
  <c r="G410" i="52"/>
  <c r="G323" i="52"/>
  <c r="G316" i="52"/>
  <c r="G326" i="52"/>
  <c r="G315" i="52"/>
  <c r="G328" i="52"/>
  <c r="E324" i="52"/>
  <c r="G240" i="52"/>
  <c r="G232" i="52"/>
  <c r="G231" i="52"/>
  <c r="F236" i="52"/>
  <c r="F242" i="52"/>
  <c r="G150" i="52"/>
  <c r="G153" i="52"/>
  <c r="G145" i="52"/>
  <c r="E154" i="52"/>
  <c r="G103" i="52"/>
  <c r="G99" i="52"/>
  <c r="G107" i="52"/>
  <c r="G64" i="52"/>
  <c r="E60" i="52"/>
  <c r="G1663" i="52"/>
  <c r="G1662" i="52"/>
  <c r="G1660" i="52"/>
  <c r="F1496" i="52"/>
  <c r="G1494" i="52"/>
  <c r="G1495" i="52"/>
  <c r="F1490" i="52"/>
  <c r="G1318" i="52"/>
  <c r="F1320" i="52"/>
  <c r="G1311" i="52"/>
  <c r="G1133" i="52"/>
  <c r="G1131" i="52"/>
  <c r="E1144" i="52"/>
  <c r="E1138" i="52"/>
  <c r="G967" i="52"/>
  <c r="G790" i="52"/>
  <c r="G788" i="52"/>
  <c r="G603" i="52"/>
  <c r="G612" i="52"/>
  <c r="E616" i="52"/>
  <c r="G428" i="52"/>
  <c r="G436" i="52"/>
  <c r="G438" i="52"/>
  <c r="G430" i="52"/>
  <c r="E434" i="52"/>
  <c r="G255" i="52"/>
  <c r="G256" i="52"/>
  <c r="F258" i="52"/>
  <c r="G1684" i="52"/>
  <c r="G1679" i="52"/>
  <c r="G1693" i="52"/>
  <c r="G1514" i="52"/>
  <c r="G1334" i="52"/>
  <c r="G1333" i="52"/>
  <c r="G1339" i="52"/>
  <c r="E1336" i="52"/>
  <c r="G1157" i="52"/>
  <c r="G1165" i="52"/>
  <c r="G1153" i="52"/>
  <c r="E1166" i="52"/>
  <c r="G1163" i="52"/>
  <c r="F1166" i="52"/>
  <c r="G982" i="52"/>
  <c r="G981" i="52"/>
  <c r="G987" i="52"/>
  <c r="E990" i="52"/>
  <c r="G718" i="52"/>
  <c r="G719" i="52"/>
  <c r="G546" i="52"/>
  <c r="G547" i="52"/>
  <c r="F544" i="52"/>
  <c r="G549" i="52"/>
  <c r="G548" i="52"/>
  <c r="F550" i="52"/>
  <c r="E544" i="52"/>
  <c r="G371" i="52"/>
  <c r="G360" i="52"/>
  <c r="F374" i="52"/>
  <c r="G188" i="52"/>
  <c r="G186" i="52"/>
  <c r="G84" i="52"/>
  <c r="G80" i="52"/>
  <c r="G75" i="52"/>
  <c r="E88" i="52"/>
  <c r="D440" i="103"/>
  <c r="G435" i="103"/>
  <c r="D352" i="103"/>
  <c r="G347" i="103"/>
  <c r="G677" i="103"/>
  <c r="D682" i="103"/>
  <c r="D506" i="103"/>
  <c r="G501" i="103"/>
  <c r="G919" i="103"/>
  <c r="D924" i="103"/>
  <c r="D902" i="103"/>
  <c r="G897" i="103"/>
  <c r="G765" i="103"/>
  <c r="D770" i="103"/>
  <c r="D594" i="103"/>
  <c r="G589" i="103"/>
  <c r="D550" i="103"/>
  <c r="G545" i="103"/>
  <c r="G413" i="103"/>
  <c r="D418" i="103"/>
  <c r="G17" i="103"/>
  <c r="F22" i="103"/>
  <c r="G789" i="103"/>
  <c r="G249" i="103"/>
  <c r="G252" i="103"/>
  <c r="G211" i="103"/>
  <c r="E632" i="103"/>
  <c r="F588" i="103"/>
  <c r="F418" i="103"/>
  <c r="E418" i="103"/>
  <c r="G910" i="103"/>
  <c r="E924" i="103"/>
  <c r="G781" i="103"/>
  <c r="G694" i="103"/>
  <c r="G691" i="103"/>
  <c r="E698" i="103"/>
  <c r="G914" i="103"/>
  <c r="F918" i="103"/>
  <c r="G915" i="103"/>
  <c r="G923" i="103"/>
  <c r="F924" i="103"/>
  <c r="G784" i="103"/>
  <c r="F786" i="103"/>
  <c r="G780" i="103"/>
  <c r="G778" i="103"/>
  <c r="G782" i="103"/>
  <c r="G697" i="103"/>
  <c r="G689" i="103"/>
  <c r="G702" i="103"/>
  <c r="G692" i="103"/>
  <c r="F610" i="103"/>
  <c r="G603" i="103"/>
  <c r="G609" i="103"/>
  <c r="G613" i="103"/>
  <c r="E610" i="103"/>
  <c r="G610" i="103" s="1"/>
  <c r="G514" i="103"/>
  <c r="F522" i="103"/>
  <c r="G519" i="103"/>
  <c r="G527" i="103"/>
  <c r="F528" i="103"/>
  <c r="G427" i="103"/>
  <c r="G428" i="103"/>
  <c r="G436" i="103"/>
  <c r="E440" i="103"/>
  <c r="G430" i="103"/>
  <c r="G350" i="103"/>
  <c r="G349" i="103"/>
  <c r="E352" i="103"/>
  <c r="G342" i="103"/>
  <c r="G343" i="103"/>
  <c r="G261" i="103"/>
  <c r="G256" i="103"/>
  <c r="E258" i="103"/>
  <c r="G257" i="103"/>
  <c r="G205" i="103"/>
  <c r="F214" i="103"/>
  <c r="F220" i="103"/>
  <c r="G125" i="103"/>
  <c r="F126" i="103"/>
  <c r="G118" i="103"/>
  <c r="E126" i="103"/>
  <c r="G131" i="103"/>
  <c r="G29" i="103"/>
  <c r="G34" i="103"/>
  <c r="G43" i="103"/>
  <c r="G901" i="103"/>
  <c r="G900" i="103"/>
  <c r="G891" i="103"/>
  <c r="G888" i="103"/>
  <c r="E896" i="103"/>
  <c r="G854" i="103"/>
  <c r="G851" i="103"/>
  <c r="G845" i="103"/>
  <c r="G843" i="103"/>
  <c r="F852" i="103"/>
  <c r="F858" i="103"/>
  <c r="E858" i="103"/>
  <c r="G807" i="103"/>
  <c r="G801" i="103"/>
  <c r="G802" i="103"/>
  <c r="G768" i="103"/>
  <c r="G767" i="103"/>
  <c r="G766" i="103"/>
  <c r="G724" i="103"/>
  <c r="G713" i="103"/>
  <c r="E726" i="103"/>
  <c r="G722" i="103"/>
  <c r="G712" i="103"/>
  <c r="E720" i="103"/>
  <c r="G671" i="103"/>
  <c r="G679" i="103"/>
  <c r="G669" i="103"/>
  <c r="G667" i="103"/>
  <c r="F676" i="103"/>
  <c r="F682" i="103"/>
  <c r="E682" i="103"/>
  <c r="G624" i="103"/>
  <c r="G629" i="103"/>
  <c r="G626" i="103"/>
  <c r="G592" i="103"/>
  <c r="G590" i="103"/>
  <c r="E550" i="103"/>
  <c r="G546" i="103"/>
  <c r="G536" i="103"/>
  <c r="E544" i="103"/>
  <c r="G505" i="103"/>
  <c r="G499" i="103"/>
  <c r="G503" i="103"/>
  <c r="G493" i="103"/>
  <c r="G491" i="103"/>
  <c r="F500" i="103"/>
  <c r="F506" i="103"/>
  <c r="E506" i="103"/>
  <c r="G458" i="103"/>
  <c r="G453" i="103"/>
  <c r="G450" i="103"/>
  <c r="G414" i="103"/>
  <c r="G365" i="103"/>
  <c r="G366" i="103"/>
  <c r="E368" i="103"/>
  <c r="G321" i="103"/>
  <c r="G316" i="103"/>
  <c r="G320" i="103"/>
  <c r="E330" i="103"/>
  <c r="F324" i="103"/>
  <c r="F330" i="103"/>
  <c r="G271" i="103"/>
  <c r="G277" i="103"/>
  <c r="G274" i="103"/>
  <c r="G283" i="103"/>
  <c r="G284" i="103"/>
  <c r="G238" i="103"/>
  <c r="G230" i="103"/>
  <c r="G241" i="103"/>
  <c r="G185" i="103"/>
  <c r="G190" i="103"/>
  <c r="E192" i="103"/>
  <c r="G139" i="103"/>
  <c r="G143" i="103"/>
  <c r="F148" i="103"/>
  <c r="F154" i="103"/>
  <c r="G103" i="103"/>
  <c r="G98" i="103"/>
  <c r="G107" i="103"/>
  <c r="D110" i="103"/>
  <c r="G108" i="103"/>
  <c r="G53" i="103"/>
  <c r="G8" i="103"/>
  <c r="G11" i="103"/>
  <c r="E16" i="103"/>
  <c r="G866" i="103"/>
  <c r="F874" i="103"/>
  <c r="G871" i="103"/>
  <c r="G879" i="103"/>
  <c r="F880" i="103"/>
  <c r="G825" i="103"/>
  <c r="G740" i="103"/>
  <c r="G741" i="103"/>
  <c r="G745" i="103"/>
  <c r="E748" i="103"/>
  <c r="F654" i="103"/>
  <c r="G648" i="103"/>
  <c r="E654" i="103"/>
  <c r="G564" i="103"/>
  <c r="F566" i="103"/>
  <c r="G562" i="103"/>
  <c r="G570" i="103"/>
  <c r="F572" i="103"/>
  <c r="G469" i="103"/>
  <c r="G473" i="103"/>
  <c r="G395" i="103"/>
  <c r="G385" i="103"/>
  <c r="G389" i="103"/>
  <c r="G381" i="103"/>
  <c r="G297" i="103"/>
  <c r="G301" i="103"/>
  <c r="E308" i="103"/>
  <c r="G293" i="103"/>
  <c r="G300" i="103"/>
  <c r="E302" i="103"/>
  <c r="G175" i="103"/>
  <c r="G172" i="103"/>
  <c r="G161" i="103"/>
  <c r="G162" i="103"/>
  <c r="F176" i="103"/>
  <c r="G163" i="103"/>
  <c r="G87" i="103"/>
  <c r="G85" i="103"/>
  <c r="G80" i="103"/>
  <c r="F82" i="103"/>
  <c r="G86" i="103"/>
  <c r="G77" i="103"/>
  <c r="D792" i="103"/>
  <c r="G787" i="103"/>
  <c r="D704" i="103"/>
  <c r="G699" i="103"/>
  <c r="D44" i="103"/>
  <c r="G39" i="103"/>
  <c r="G281" i="103"/>
  <c r="F286" i="103"/>
  <c r="G105" i="103"/>
  <c r="F110" i="103"/>
  <c r="D66" i="103"/>
  <c r="G61" i="103"/>
  <c r="D836" i="103"/>
  <c r="G831" i="103"/>
  <c r="G655" i="103"/>
  <c r="D660" i="103"/>
  <c r="G567" i="103"/>
  <c r="D572" i="103"/>
  <c r="D308" i="103"/>
  <c r="G303" i="103"/>
  <c r="D176" i="103"/>
  <c r="G171" i="103"/>
  <c r="G913" i="103"/>
  <c r="E918" i="103"/>
  <c r="G788" i="103"/>
  <c r="E792" i="103"/>
  <c r="G777" i="103"/>
  <c r="F792" i="103"/>
  <c r="G693" i="103"/>
  <c r="G690" i="103"/>
  <c r="E704" i="103"/>
  <c r="G604" i="103"/>
  <c r="G605" i="103"/>
  <c r="G520" i="103"/>
  <c r="E522" i="103"/>
  <c r="F434" i="103"/>
  <c r="G432" i="103"/>
  <c r="G433" i="103"/>
  <c r="G425" i="103"/>
  <c r="F440" i="103"/>
  <c r="G340" i="103"/>
  <c r="G341" i="103"/>
  <c r="G262" i="103"/>
  <c r="G254" i="103"/>
  <c r="G255" i="103"/>
  <c r="G212" i="103"/>
  <c r="E214" i="103"/>
  <c r="G129" i="103"/>
  <c r="G30" i="103"/>
  <c r="G41" i="103"/>
  <c r="G42" i="103"/>
  <c r="G893" i="103"/>
  <c r="G899" i="103"/>
  <c r="E852" i="103"/>
  <c r="G799" i="103"/>
  <c r="G812" i="103"/>
  <c r="E814" i="103"/>
  <c r="F808" i="103"/>
  <c r="F814" i="103"/>
  <c r="G760" i="103"/>
  <c r="G757" i="103"/>
  <c r="G769" i="103"/>
  <c r="G714" i="103"/>
  <c r="G723" i="103"/>
  <c r="G670" i="103"/>
  <c r="E676" i="103"/>
  <c r="G628" i="103"/>
  <c r="G625" i="103"/>
  <c r="F632" i="103"/>
  <c r="F638" i="103"/>
  <c r="G584" i="103"/>
  <c r="G593" i="103"/>
  <c r="G548" i="103"/>
  <c r="G547" i="103"/>
  <c r="G502" i="103"/>
  <c r="E500" i="103"/>
  <c r="G455" i="103"/>
  <c r="G449" i="103"/>
  <c r="F456" i="103"/>
  <c r="F462" i="103"/>
  <c r="G405" i="103"/>
  <c r="E374" i="103"/>
  <c r="G373" i="103"/>
  <c r="G328" i="103"/>
  <c r="E324" i="103"/>
  <c r="G279" i="103"/>
  <c r="F280" i="103"/>
  <c r="G272" i="103"/>
  <c r="G229" i="103"/>
  <c r="G233" i="103"/>
  <c r="G228" i="103"/>
  <c r="G187" i="103"/>
  <c r="G188" i="103"/>
  <c r="G150" i="103"/>
  <c r="G152" i="103"/>
  <c r="E148" i="103"/>
  <c r="G99" i="103"/>
  <c r="G96" i="103"/>
  <c r="G14" i="103"/>
  <c r="F16" i="103"/>
  <c r="E874" i="103"/>
  <c r="G298" i="103"/>
  <c r="F170" i="103"/>
  <c r="E170" i="103"/>
  <c r="G78" i="103"/>
  <c r="G75" i="103"/>
  <c r="D132" i="103"/>
  <c r="G127" i="103"/>
  <c r="G853" i="103"/>
  <c r="D858" i="103"/>
  <c r="G809" i="103"/>
  <c r="D814" i="103"/>
  <c r="D330" i="103"/>
  <c r="G325" i="103"/>
  <c r="D154" i="103"/>
  <c r="G149" i="103"/>
  <c r="G479" i="103"/>
  <c r="D484" i="103"/>
  <c r="D88" i="103"/>
  <c r="G83" i="103"/>
  <c r="E786" i="103"/>
  <c r="F698" i="103"/>
  <c r="G517" i="103"/>
  <c r="E434" i="103"/>
  <c r="G434" i="103" s="1"/>
  <c r="G338" i="103"/>
  <c r="G339" i="103"/>
  <c r="G210" i="103"/>
  <c r="G122" i="103"/>
  <c r="E44" i="103"/>
  <c r="F38" i="103"/>
  <c r="G35" i="103"/>
  <c r="G810" i="103"/>
  <c r="G813" i="103"/>
  <c r="F764" i="103"/>
  <c r="E770" i="103"/>
  <c r="G579" i="103"/>
  <c r="E594" i="103"/>
  <c r="E456" i="103"/>
  <c r="F412" i="103"/>
  <c r="G273" i="103"/>
  <c r="G278" i="103"/>
  <c r="E280" i="103"/>
  <c r="E242" i="103"/>
  <c r="F236" i="103"/>
  <c r="G195" i="103"/>
  <c r="G153" i="103"/>
  <c r="G102" i="103"/>
  <c r="G97" i="103"/>
  <c r="E104" i="103"/>
  <c r="G58" i="103"/>
  <c r="F60" i="103"/>
  <c r="G51" i="103"/>
  <c r="G63" i="103"/>
  <c r="G12" i="103"/>
  <c r="G21" i="103"/>
  <c r="G20" i="103"/>
  <c r="G878" i="103"/>
  <c r="F830" i="103"/>
  <c r="G828" i="103"/>
  <c r="E836" i="103"/>
  <c r="G832" i="103"/>
  <c r="E830" i="103"/>
  <c r="G736" i="103"/>
  <c r="F742" i="103"/>
  <c r="G738" i="103"/>
  <c r="G746" i="103"/>
  <c r="F748" i="103"/>
  <c r="G650" i="103"/>
  <c r="G659" i="103"/>
  <c r="G561" i="103"/>
  <c r="G569" i="103"/>
  <c r="E572" i="103"/>
  <c r="G471" i="103"/>
  <c r="G472" i="103"/>
  <c r="G480" i="103"/>
  <c r="E478" i="103"/>
  <c r="F390" i="103"/>
  <c r="G393" i="103"/>
  <c r="E396" i="103"/>
  <c r="G394" i="103"/>
  <c r="G382" i="103"/>
  <c r="F396" i="103"/>
  <c r="G296" i="103"/>
  <c r="G305" i="103"/>
  <c r="G173" i="103"/>
  <c r="G166" i="103"/>
  <c r="G167" i="103"/>
  <c r="G76" i="103"/>
  <c r="E82" i="103"/>
  <c r="G81" i="103"/>
  <c r="G611" i="103"/>
  <c r="D616" i="103"/>
  <c r="G523" i="103"/>
  <c r="D528" i="103"/>
  <c r="D264" i="103"/>
  <c r="G259" i="103"/>
  <c r="D220" i="103"/>
  <c r="G215" i="103"/>
  <c r="G721" i="103"/>
  <c r="D726" i="103"/>
  <c r="D638" i="103"/>
  <c r="G633" i="103"/>
  <c r="D462" i="103"/>
  <c r="G457" i="103"/>
  <c r="G369" i="103"/>
  <c r="F374" i="103"/>
  <c r="D242" i="103"/>
  <c r="G237" i="103"/>
  <c r="G193" i="103"/>
  <c r="F198" i="103"/>
  <c r="D880" i="103"/>
  <c r="G875" i="103"/>
  <c r="D748" i="103"/>
  <c r="G743" i="103"/>
  <c r="D396" i="103"/>
  <c r="G391" i="103"/>
  <c r="G608" i="103"/>
  <c r="G612" i="103"/>
  <c r="E616" i="103"/>
  <c r="G601" i="103"/>
  <c r="F616" i="103"/>
  <c r="G518" i="103"/>
  <c r="E528" i="103"/>
  <c r="G438" i="103"/>
  <c r="G426" i="103"/>
  <c r="F346" i="103"/>
  <c r="G351" i="103"/>
  <c r="G344" i="103"/>
  <c r="E346" i="103"/>
  <c r="G345" i="103"/>
  <c r="E264" i="103"/>
  <c r="G263" i="103"/>
  <c r="G250" i="103"/>
  <c r="F264" i="103"/>
  <c r="G251" i="103"/>
  <c r="G213" i="103"/>
  <c r="G207" i="103"/>
  <c r="G208" i="103"/>
  <c r="G217" i="103"/>
  <c r="G117" i="103"/>
  <c r="G119" i="103"/>
  <c r="G120" i="103"/>
  <c r="G124" i="103"/>
  <c r="G40" i="103"/>
  <c r="G33" i="103"/>
  <c r="G36" i="103"/>
  <c r="G31" i="103"/>
  <c r="E38" i="103"/>
  <c r="G890" i="103"/>
  <c r="G895" i="103"/>
  <c r="G892" i="103"/>
  <c r="F896" i="103"/>
  <c r="F902" i="103"/>
  <c r="G857" i="103"/>
  <c r="G846" i="103"/>
  <c r="G849" i="103"/>
  <c r="G800" i="103"/>
  <c r="G805" i="103"/>
  <c r="G806" i="103"/>
  <c r="G758" i="103"/>
  <c r="G756" i="103"/>
  <c r="E764" i="103"/>
  <c r="G764" i="103" s="1"/>
  <c r="G718" i="103"/>
  <c r="G716" i="103"/>
  <c r="F720" i="103"/>
  <c r="F726" i="103"/>
  <c r="G674" i="103"/>
  <c r="G678" i="103"/>
  <c r="G673" i="103"/>
  <c r="G634" i="103"/>
  <c r="E638" i="103"/>
  <c r="G630" i="103"/>
  <c r="G581" i="103"/>
  <c r="G582" i="103"/>
  <c r="G580" i="103"/>
  <c r="E588" i="103"/>
  <c r="G549" i="103"/>
  <c r="G540" i="103"/>
  <c r="F544" i="103"/>
  <c r="F550" i="103"/>
  <c r="G494" i="103"/>
  <c r="G497" i="103"/>
  <c r="E462" i="103"/>
  <c r="G454" i="103"/>
  <c r="G408" i="103"/>
  <c r="G416" i="103"/>
  <c r="G406" i="103"/>
  <c r="G404" i="103"/>
  <c r="E412" i="103"/>
  <c r="G361" i="103"/>
  <c r="G363" i="103"/>
  <c r="F368" i="103"/>
  <c r="G360" i="103"/>
  <c r="G370" i="103"/>
  <c r="G317" i="103"/>
  <c r="G322" i="103"/>
  <c r="G315" i="103"/>
  <c r="G327" i="103"/>
  <c r="D286" i="103"/>
  <c r="E286" i="103"/>
  <c r="G276" i="103"/>
  <c r="G227" i="103"/>
  <c r="G231" i="103"/>
  <c r="G232" i="103"/>
  <c r="G240" i="103"/>
  <c r="E236" i="103"/>
  <c r="G189" i="103"/>
  <c r="F192" i="103"/>
  <c r="G184" i="103"/>
  <c r="G194" i="103"/>
  <c r="E154" i="103"/>
  <c r="G145" i="103"/>
  <c r="G151" i="103"/>
  <c r="E110" i="103"/>
  <c r="G100" i="103"/>
  <c r="G109" i="103"/>
  <c r="G95" i="103"/>
  <c r="G56" i="103"/>
  <c r="G54" i="103"/>
  <c r="E66" i="103"/>
  <c r="G64" i="103"/>
  <c r="F66" i="103"/>
  <c r="G55" i="103"/>
  <c r="E60" i="103"/>
  <c r="G7" i="103"/>
  <c r="E22" i="103"/>
  <c r="G13" i="103"/>
  <c r="G10" i="103"/>
  <c r="G19" i="103"/>
  <c r="G18" i="103"/>
  <c r="G865" i="103"/>
  <c r="E880" i="103"/>
  <c r="G823" i="103"/>
  <c r="G834" i="103"/>
  <c r="G824" i="103"/>
  <c r="G829" i="103"/>
  <c r="G737" i="103"/>
  <c r="G744" i="103"/>
  <c r="G733" i="103"/>
  <c r="E742" i="103"/>
  <c r="G645" i="103"/>
  <c r="G658" i="103"/>
  <c r="G652" i="103"/>
  <c r="E660" i="103"/>
  <c r="G646" i="103"/>
  <c r="F660" i="103"/>
  <c r="G571" i="103"/>
  <c r="G482" i="103"/>
  <c r="G477" i="103"/>
  <c r="G388" i="103"/>
  <c r="E390" i="103"/>
  <c r="F302" i="103"/>
  <c r="F308" i="103"/>
  <c r="G174" i="103"/>
  <c r="E176" i="103"/>
  <c r="G164" i="103"/>
  <c r="G165" i="103"/>
  <c r="G74" i="103"/>
  <c r="F88" i="103"/>
  <c r="G79" i="103"/>
  <c r="G403" i="111"/>
  <c r="F412" i="111"/>
  <c r="D198" i="111"/>
  <c r="G193" i="111"/>
  <c r="D220" i="111"/>
  <c r="G215" i="111"/>
  <c r="D374" i="111"/>
  <c r="G369" i="111"/>
  <c r="G801" i="111"/>
  <c r="E500" i="111"/>
  <c r="F126" i="111"/>
  <c r="G84" i="111"/>
  <c r="G35" i="111"/>
  <c r="G30" i="111"/>
  <c r="G944" i="111"/>
  <c r="E940" i="111"/>
  <c r="G541" i="111"/>
  <c r="G898" i="111"/>
  <c r="G887" i="111"/>
  <c r="G799" i="111"/>
  <c r="G813" i="111"/>
  <c r="G760" i="111"/>
  <c r="G768" i="111"/>
  <c r="E682" i="111"/>
  <c r="F676" i="111"/>
  <c r="G580" i="111"/>
  <c r="G329" i="111"/>
  <c r="G54" i="111"/>
  <c r="G912" i="111"/>
  <c r="G876" i="111"/>
  <c r="G870" i="111"/>
  <c r="G832" i="111"/>
  <c r="E830" i="111"/>
  <c r="G781" i="111"/>
  <c r="F792" i="111"/>
  <c r="G741" i="111"/>
  <c r="G647" i="111"/>
  <c r="G652" i="111"/>
  <c r="G606" i="111"/>
  <c r="G563" i="111"/>
  <c r="G514" i="111"/>
  <c r="G474" i="111"/>
  <c r="E478" i="111"/>
  <c r="G438" i="111"/>
  <c r="F440" i="111"/>
  <c r="F390" i="111"/>
  <c r="G384" i="111"/>
  <c r="G382" i="111"/>
  <c r="G386" i="111"/>
  <c r="G351" i="111"/>
  <c r="F346" i="111"/>
  <c r="G345" i="111"/>
  <c r="G349" i="111"/>
  <c r="E352" i="111"/>
  <c r="F302" i="111"/>
  <c r="G298" i="111"/>
  <c r="G295" i="111"/>
  <c r="E302" i="111"/>
  <c r="E264" i="111"/>
  <c r="F264" i="111"/>
  <c r="G219" i="111"/>
  <c r="E214" i="111"/>
  <c r="G210" i="111"/>
  <c r="G169" i="111"/>
  <c r="F170" i="111"/>
  <c r="G122" i="111"/>
  <c r="G32" i="111"/>
  <c r="G931" i="111"/>
  <c r="E946" i="111"/>
  <c r="G939" i="111"/>
  <c r="G846" i="111"/>
  <c r="E852" i="111"/>
  <c r="G725" i="111"/>
  <c r="F720" i="111"/>
  <c r="F726" i="111"/>
  <c r="G628" i="111"/>
  <c r="G535" i="111"/>
  <c r="E550" i="111"/>
  <c r="G543" i="111"/>
  <c r="G453" i="111"/>
  <c r="G448" i="111"/>
  <c r="G452" i="111"/>
  <c r="E456" i="111"/>
  <c r="G372" i="111"/>
  <c r="G364" i="111"/>
  <c r="F368" i="111"/>
  <c r="F374" i="111"/>
  <c r="G279" i="111"/>
  <c r="G282" i="111"/>
  <c r="G196" i="111"/>
  <c r="G191" i="111"/>
  <c r="G103" i="111"/>
  <c r="E110" i="111"/>
  <c r="E104" i="111"/>
  <c r="G19" i="111"/>
  <c r="F16" i="111"/>
  <c r="G13" i="111"/>
  <c r="F22" i="111"/>
  <c r="G11" i="111"/>
  <c r="D594" i="111"/>
  <c r="G589" i="111"/>
  <c r="D242" i="111"/>
  <c r="G237" i="111"/>
  <c r="D924" i="111"/>
  <c r="G919" i="111"/>
  <c r="G831" i="111"/>
  <c r="F836" i="111"/>
  <c r="G523" i="111"/>
  <c r="D528" i="111"/>
  <c r="G347" i="111"/>
  <c r="D352" i="111"/>
  <c r="G39" i="111"/>
  <c r="D44" i="111"/>
  <c r="G843" i="111"/>
  <c r="F852" i="111"/>
  <c r="G853" i="111"/>
  <c r="F858" i="111"/>
  <c r="D110" i="111"/>
  <c r="G105" i="111"/>
  <c r="D814" i="111"/>
  <c r="G809" i="111"/>
  <c r="G315" i="111"/>
  <c r="F324" i="111"/>
  <c r="D968" i="111"/>
  <c r="G963" i="111"/>
  <c r="G435" i="111"/>
  <c r="D440" i="111"/>
  <c r="D902" i="111"/>
  <c r="G897" i="111"/>
  <c r="D770" i="111"/>
  <c r="G765" i="111"/>
  <c r="G579" i="111"/>
  <c r="F588" i="111"/>
  <c r="D418" i="111"/>
  <c r="G413" i="111"/>
  <c r="D330" i="111"/>
  <c r="G325" i="111"/>
  <c r="G227" i="111"/>
  <c r="F236" i="111"/>
  <c r="G865" i="111"/>
  <c r="F874" i="111"/>
  <c r="D880" i="111"/>
  <c r="G875" i="111"/>
  <c r="D748" i="111"/>
  <c r="G743" i="111"/>
  <c r="D616" i="111"/>
  <c r="G611" i="111"/>
  <c r="G479" i="111"/>
  <c r="D484" i="111"/>
  <c r="G127" i="111"/>
  <c r="D132" i="111"/>
  <c r="D726" i="111"/>
  <c r="G721" i="111"/>
  <c r="G623" i="111"/>
  <c r="F632" i="111"/>
  <c r="G457" i="111"/>
  <c r="D462" i="111"/>
  <c r="D286" i="111"/>
  <c r="G281" i="111"/>
  <c r="G901" i="111"/>
  <c r="G892" i="111"/>
  <c r="F764" i="111"/>
  <c r="F770" i="111"/>
  <c r="G318" i="111"/>
  <c r="G153" i="111"/>
  <c r="E148" i="111"/>
  <c r="E66" i="111"/>
  <c r="G736" i="111"/>
  <c r="G646" i="111"/>
  <c r="G603" i="111"/>
  <c r="E522" i="111"/>
  <c r="G437" i="111"/>
  <c r="E440" i="111"/>
  <c r="F308" i="111"/>
  <c r="E126" i="111"/>
  <c r="G938" i="111"/>
  <c r="E632" i="111"/>
  <c r="G549" i="111"/>
  <c r="G458" i="111"/>
  <c r="F456" i="111"/>
  <c r="F462" i="111"/>
  <c r="G373" i="111"/>
  <c r="G273" i="111"/>
  <c r="E192" i="111"/>
  <c r="G10" i="111"/>
  <c r="G893" i="111"/>
  <c r="G900" i="111"/>
  <c r="G899" i="111"/>
  <c r="G890" i="111"/>
  <c r="G807" i="111"/>
  <c r="G755" i="111"/>
  <c r="E764" i="111"/>
  <c r="G671" i="111"/>
  <c r="G669" i="111"/>
  <c r="F682" i="111"/>
  <c r="G582" i="111"/>
  <c r="G593" i="111"/>
  <c r="G499" i="111"/>
  <c r="G503" i="111"/>
  <c r="G493" i="111"/>
  <c r="G502" i="111"/>
  <c r="G404" i="111"/>
  <c r="G407" i="111"/>
  <c r="G417" i="111"/>
  <c r="E412" i="111"/>
  <c r="G328" i="111"/>
  <c r="G319" i="111"/>
  <c r="F330" i="111"/>
  <c r="G238" i="111"/>
  <c r="G233" i="111"/>
  <c r="G139" i="111"/>
  <c r="G151" i="111"/>
  <c r="G152" i="111"/>
  <c r="F60" i="111"/>
  <c r="G53" i="111"/>
  <c r="F66" i="111"/>
  <c r="E60" i="111"/>
  <c r="F968" i="111"/>
  <c r="E924" i="111"/>
  <c r="G877" i="111"/>
  <c r="G821" i="111"/>
  <c r="G829" i="111"/>
  <c r="G779" i="111"/>
  <c r="E786" i="111"/>
  <c r="G782" i="111"/>
  <c r="F742" i="111"/>
  <c r="G734" i="111"/>
  <c r="G703" i="111"/>
  <c r="G700" i="111"/>
  <c r="E704" i="111"/>
  <c r="G658" i="111"/>
  <c r="E660" i="111"/>
  <c r="G656" i="111"/>
  <c r="E654" i="111"/>
  <c r="F610" i="111"/>
  <c r="G614" i="111"/>
  <c r="F616" i="111"/>
  <c r="G571" i="111"/>
  <c r="G561" i="111"/>
  <c r="G524" i="111"/>
  <c r="G471" i="111"/>
  <c r="G427" i="111"/>
  <c r="E902" i="111"/>
  <c r="F896" i="111"/>
  <c r="F902" i="111"/>
  <c r="G806" i="111"/>
  <c r="E814" i="111"/>
  <c r="G805" i="111"/>
  <c r="G811" i="111"/>
  <c r="G761" i="111"/>
  <c r="E770" i="111"/>
  <c r="G763" i="111"/>
  <c r="G769" i="111"/>
  <c r="G675" i="111"/>
  <c r="G678" i="111"/>
  <c r="E676" i="111"/>
  <c r="G672" i="111"/>
  <c r="G667" i="111"/>
  <c r="G681" i="111"/>
  <c r="G581" i="111"/>
  <c r="G586" i="111"/>
  <c r="G590" i="111"/>
  <c r="G584" i="111"/>
  <c r="F594" i="111"/>
  <c r="G496" i="111"/>
  <c r="G505" i="111"/>
  <c r="G498" i="111"/>
  <c r="G410" i="111"/>
  <c r="G411" i="111"/>
  <c r="E418" i="111"/>
  <c r="G416" i="111"/>
  <c r="G320" i="111"/>
  <c r="G321" i="111"/>
  <c r="E330" i="111"/>
  <c r="G326" i="111"/>
  <c r="G316" i="111"/>
  <c r="E324" i="111"/>
  <c r="G239" i="111"/>
  <c r="G234" i="111"/>
  <c r="G232" i="111"/>
  <c r="G229" i="111"/>
  <c r="F242" i="111"/>
  <c r="G145" i="111"/>
  <c r="E154" i="111"/>
  <c r="G150" i="111"/>
  <c r="G147" i="111"/>
  <c r="G63" i="111"/>
  <c r="G51" i="111"/>
  <c r="G65" i="111"/>
  <c r="G966" i="111"/>
  <c r="F962" i="111"/>
  <c r="E962" i="111"/>
  <c r="G922" i="111"/>
  <c r="G923" i="111"/>
  <c r="F924" i="111"/>
  <c r="G867" i="111"/>
  <c r="G868" i="111"/>
  <c r="G828" i="111"/>
  <c r="G835" i="111"/>
  <c r="G783" i="111"/>
  <c r="G790" i="111"/>
  <c r="G780" i="111"/>
  <c r="G788" i="111"/>
  <c r="G745" i="111"/>
  <c r="G747" i="111"/>
  <c r="G746" i="111"/>
  <c r="E748" i="111"/>
  <c r="F748" i="111"/>
  <c r="G701" i="111"/>
  <c r="G692" i="111"/>
  <c r="G694" i="111"/>
  <c r="G691" i="111"/>
  <c r="G657" i="111"/>
  <c r="F654" i="111"/>
  <c r="G648" i="111"/>
  <c r="G649" i="111"/>
  <c r="G612" i="111"/>
  <c r="G604" i="111"/>
  <c r="G601" i="111"/>
  <c r="E610" i="111"/>
  <c r="F566" i="111"/>
  <c r="G564" i="111"/>
  <c r="E572" i="111"/>
  <c r="G558" i="111"/>
  <c r="F572" i="111"/>
  <c r="G517" i="111"/>
  <c r="G525" i="111"/>
  <c r="E528" i="111"/>
  <c r="G515" i="111"/>
  <c r="G482" i="111"/>
  <c r="G473" i="111"/>
  <c r="G436" i="111"/>
  <c r="G431" i="111"/>
  <c r="F434" i="111"/>
  <c r="G429" i="111"/>
  <c r="E434" i="111"/>
  <c r="G394" i="111"/>
  <c r="G387" i="111"/>
  <c r="G392" i="111"/>
  <c r="E396" i="111"/>
  <c r="G381" i="111"/>
  <c r="F396" i="111"/>
  <c r="G344" i="111"/>
  <c r="G348" i="111"/>
  <c r="G338" i="111"/>
  <c r="G339" i="111"/>
  <c r="G301" i="111"/>
  <c r="G304" i="111"/>
  <c r="G293" i="111"/>
  <c r="G306" i="111"/>
  <c r="G296" i="111"/>
  <c r="G255" i="111"/>
  <c r="G254" i="111"/>
  <c r="F258" i="111"/>
  <c r="G252" i="111"/>
  <c r="G260" i="111"/>
  <c r="E258" i="111"/>
  <c r="G218" i="111"/>
  <c r="G212" i="111"/>
  <c r="G206" i="111"/>
  <c r="F214" i="111"/>
  <c r="F220" i="111"/>
  <c r="G168" i="111"/>
  <c r="G166" i="111"/>
  <c r="G163" i="111"/>
  <c r="E170" i="111"/>
  <c r="G121" i="111"/>
  <c r="G131" i="111"/>
  <c r="G75" i="111"/>
  <c r="G74" i="111"/>
  <c r="F88" i="111"/>
  <c r="G77" i="111"/>
  <c r="E82" i="111"/>
  <c r="E44" i="111"/>
  <c r="G40" i="111"/>
  <c r="G933" i="111"/>
  <c r="G942" i="111"/>
  <c r="G934" i="111"/>
  <c r="D858" i="111"/>
  <c r="G856" i="111"/>
  <c r="G844" i="111"/>
  <c r="G713" i="111"/>
  <c r="G714" i="111"/>
  <c r="E726" i="111"/>
  <c r="G635" i="111"/>
  <c r="G626" i="111"/>
  <c r="F638" i="111"/>
  <c r="G540" i="111"/>
  <c r="G548" i="111"/>
  <c r="E544" i="111"/>
  <c r="G460" i="111"/>
  <c r="E462" i="111"/>
  <c r="G459" i="111"/>
  <c r="G361" i="111"/>
  <c r="G363" i="111"/>
  <c r="G360" i="111"/>
  <c r="G276" i="111"/>
  <c r="G271" i="111"/>
  <c r="F280" i="111"/>
  <c r="F286" i="111"/>
  <c r="G185" i="111"/>
  <c r="G183" i="111"/>
  <c r="G190" i="111"/>
  <c r="F104" i="111"/>
  <c r="G99" i="111"/>
  <c r="G100" i="111"/>
  <c r="F110" i="111"/>
  <c r="G97" i="111"/>
  <c r="G7" i="111"/>
  <c r="G20" i="111"/>
  <c r="G8" i="111"/>
  <c r="E16" i="111"/>
  <c r="D660" i="111"/>
  <c r="G655" i="111"/>
  <c r="D176" i="111"/>
  <c r="G171" i="111"/>
  <c r="G677" i="111"/>
  <c r="D682" i="111"/>
  <c r="D506" i="111"/>
  <c r="G501" i="111"/>
  <c r="G491" i="111"/>
  <c r="F500" i="111"/>
  <c r="G149" i="111"/>
  <c r="D154" i="111"/>
  <c r="G61" i="111"/>
  <c r="D66" i="111"/>
  <c r="D792" i="111"/>
  <c r="G787" i="111"/>
  <c r="D704" i="111"/>
  <c r="G699" i="111"/>
  <c r="D572" i="111"/>
  <c r="G567" i="111"/>
  <c r="G513" i="111"/>
  <c r="F522" i="111"/>
  <c r="G391" i="111"/>
  <c r="D396" i="111"/>
  <c r="G303" i="111"/>
  <c r="D308" i="111"/>
  <c r="G259" i="111"/>
  <c r="D264" i="111"/>
  <c r="D88" i="111"/>
  <c r="G83" i="111"/>
  <c r="D946" i="111"/>
  <c r="G941" i="111"/>
  <c r="D638" i="111"/>
  <c r="G633" i="111"/>
  <c r="D550" i="111"/>
  <c r="G545" i="111"/>
  <c r="D22" i="111"/>
  <c r="G17" i="111"/>
  <c r="E808" i="111"/>
  <c r="G58" i="111"/>
  <c r="F660" i="111"/>
  <c r="G341" i="111"/>
  <c r="G165" i="111"/>
  <c r="G120" i="111"/>
  <c r="G894" i="111"/>
  <c r="E896" i="111"/>
  <c r="G804" i="111"/>
  <c r="F808" i="111"/>
  <c r="F814" i="111"/>
  <c r="G757" i="111"/>
  <c r="G756" i="111"/>
  <c r="G767" i="111"/>
  <c r="G670" i="111"/>
  <c r="E594" i="111"/>
  <c r="G587" i="111"/>
  <c r="E588" i="111"/>
  <c r="G492" i="111"/>
  <c r="F506" i="111"/>
  <c r="G409" i="111"/>
  <c r="G317" i="111"/>
  <c r="G327" i="111"/>
  <c r="G231" i="111"/>
  <c r="G235" i="111"/>
  <c r="G241" i="111"/>
  <c r="E236" i="111"/>
  <c r="F148" i="111"/>
  <c r="F154" i="111"/>
  <c r="G144" i="111"/>
  <c r="G52" i="111"/>
  <c r="G55" i="111"/>
  <c r="G59" i="111"/>
  <c r="G62" i="111"/>
  <c r="G960" i="111"/>
  <c r="G961" i="111"/>
  <c r="G954" i="111"/>
  <c r="G956" i="111"/>
  <c r="G958" i="111"/>
  <c r="F918" i="111"/>
  <c r="G909" i="111"/>
  <c r="G921" i="111"/>
  <c r="G916" i="111"/>
  <c r="E918" i="111"/>
  <c r="G878" i="111"/>
  <c r="G866" i="111"/>
  <c r="F880" i="111"/>
  <c r="G834" i="111"/>
  <c r="G822" i="111"/>
  <c r="G825" i="111"/>
  <c r="G833" i="111"/>
  <c r="F786" i="111"/>
  <c r="E792" i="111"/>
  <c r="G778" i="111"/>
  <c r="G791" i="111"/>
  <c r="G737" i="111"/>
  <c r="G740" i="111"/>
  <c r="G738" i="111"/>
  <c r="F698" i="111"/>
  <c r="G697" i="111"/>
  <c r="G690" i="111"/>
  <c r="G696" i="111"/>
  <c r="F704" i="111"/>
  <c r="G609" i="111"/>
  <c r="G613" i="111"/>
  <c r="E616" i="111"/>
  <c r="E617" i="111" s="1"/>
  <c r="G569" i="111"/>
  <c r="G560" i="111"/>
  <c r="E566" i="111"/>
  <c r="G520" i="111"/>
  <c r="G526" i="111"/>
  <c r="F528" i="111"/>
  <c r="F478" i="111"/>
  <c r="G476" i="111"/>
  <c r="E484" i="111"/>
  <c r="G428" i="111"/>
  <c r="G430" i="111"/>
  <c r="G393" i="111"/>
  <c r="E390" i="111"/>
  <c r="G342" i="111"/>
  <c r="G350" i="111"/>
  <c r="F352" i="111"/>
  <c r="G294" i="111"/>
  <c r="E308" i="111"/>
  <c r="G261" i="111"/>
  <c r="G262" i="111"/>
  <c r="G257" i="111"/>
  <c r="G208" i="111"/>
  <c r="G211" i="111"/>
  <c r="E220" i="111"/>
  <c r="G217" i="111"/>
  <c r="G164" i="111"/>
  <c r="E176" i="111"/>
  <c r="G174" i="111"/>
  <c r="G128" i="111"/>
  <c r="G125" i="111"/>
  <c r="E132" i="111"/>
  <c r="G118" i="111"/>
  <c r="G123" i="111"/>
  <c r="G124" i="111"/>
  <c r="G85" i="111"/>
  <c r="F82" i="111"/>
  <c r="G86" i="111"/>
  <c r="G87" i="111"/>
  <c r="G73" i="111"/>
  <c r="G43" i="111"/>
  <c r="E38" i="111"/>
  <c r="G37" i="111"/>
  <c r="G34" i="111"/>
  <c r="G937" i="111"/>
  <c r="G943" i="111"/>
  <c r="F940" i="111"/>
  <c r="G932" i="111"/>
  <c r="F946" i="111"/>
  <c r="G845" i="111"/>
  <c r="G854" i="111"/>
  <c r="G850" i="111"/>
  <c r="G724" i="111"/>
  <c r="E720" i="111"/>
  <c r="G719" i="111"/>
  <c r="G624" i="111"/>
  <c r="G629" i="111"/>
  <c r="E638" i="111"/>
  <c r="G637" i="111"/>
  <c r="G547" i="111"/>
  <c r="G542" i="111"/>
  <c r="F544" i="111"/>
  <c r="F550" i="111"/>
  <c r="G447" i="111"/>
  <c r="G449" i="111"/>
  <c r="G455" i="111"/>
  <c r="G362" i="111"/>
  <c r="E374" i="111"/>
  <c r="G370" i="111"/>
  <c r="G272" i="111"/>
  <c r="G275" i="111"/>
  <c r="G285" i="111"/>
  <c r="G277" i="111"/>
  <c r="E286" i="111"/>
  <c r="G284" i="111"/>
  <c r="G186" i="111"/>
  <c r="G184" i="111"/>
  <c r="F192" i="111"/>
  <c r="F198" i="111"/>
  <c r="G98" i="111"/>
  <c r="G95" i="111"/>
  <c r="G107" i="111"/>
  <c r="G12" i="111"/>
  <c r="E22" i="111"/>
  <c r="G14" i="111"/>
  <c r="G21" i="111"/>
  <c r="G161" i="112"/>
  <c r="F170" i="112"/>
  <c r="G359" i="112"/>
  <c r="F368" i="112"/>
  <c r="G51" i="112"/>
  <c r="F60" i="112"/>
  <c r="G95" i="112"/>
  <c r="F104" i="112"/>
  <c r="G787" i="112"/>
  <c r="D792" i="112"/>
  <c r="D748" i="112"/>
  <c r="G743" i="112"/>
  <c r="G435" i="112"/>
  <c r="D440" i="112"/>
  <c r="D242" i="112"/>
  <c r="G237" i="112"/>
  <c r="G17" i="112"/>
  <c r="D22" i="112"/>
  <c r="G7" i="112"/>
  <c r="F16" i="112"/>
  <c r="E214" i="112"/>
  <c r="E38" i="112"/>
  <c r="F720" i="112"/>
  <c r="E456" i="112"/>
  <c r="G141" i="112"/>
  <c r="G782" i="112"/>
  <c r="E742" i="112"/>
  <c r="G692" i="112"/>
  <c r="G657" i="112"/>
  <c r="F660" i="112"/>
  <c r="G614" i="112"/>
  <c r="E522" i="112"/>
  <c r="F478" i="112"/>
  <c r="G439" i="112"/>
  <c r="E396" i="112"/>
  <c r="G297" i="112"/>
  <c r="G306" i="112"/>
  <c r="E264" i="112"/>
  <c r="E170" i="112"/>
  <c r="G121" i="112"/>
  <c r="G722" i="112"/>
  <c r="G635" i="112"/>
  <c r="F638" i="112"/>
  <c r="G453" i="112"/>
  <c r="E368" i="112"/>
  <c r="F286" i="112"/>
  <c r="G146" i="112"/>
  <c r="E154" i="112"/>
  <c r="G580" i="112"/>
  <c r="G592" i="112"/>
  <c r="G491" i="112"/>
  <c r="G493" i="112"/>
  <c r="G492" i="112"/>
  <c r="G505" i="112"/>
  <c r="E500" i="112"/>
  <c r="G414" i="112"/>
  <c r="G406" i="112"/>
  <c r="G405" i="112"/>
  <c r="F412" i="112"/>
  <c r="F418" i="112"/>
  <c r="G321" i="112"/>
  <c r="G323" i="112"/>
  <c r="G318" i="112"/>
  <c r="E198" i="112"/>
  <c r="G96" i="112"/>
  <c r="G101" i="112"/>
  <c r="E104" i="112"/>
  <c r="G19" i="112"/>
  <c r="G11" i="112"/>
  <c r="F22" i="112"/>
  <c r="G479" i="112"/>
  <c r="D484" i="112"/>
  <c r="G391" i="112"/>
  <c r="D396" i="112"/>
  <c r="G205" i="112"/>
  <c r="F214" i="112"/>
  <c r="G117" i="112"/>
  <c r="F126" i="112"/>
  <c r="G545" i="112"/>
  <c r="D550" i="112"/>
  <c r="G765" i="112"/>
  <c r="D770" i="112"/>
  <c r="G501" i="112"/>
  <c r="D506" i="112"/>
  <c r="D110" i="112"/>
  <c r="G105" i="112"/>
  <c r="D704" i="112"/>
  <c r="G699" i="112"/>
  <c r="D572" i="112"/>
  <c r="G567" i="112"/>
  <c r="G337" i="112"/>
  <c r="F346" i="112"/>
  <c r="G347" i="112"/>
  <c r="D352" i="112"/>
  <c r="D220" i="112"/>
  <c r="G215" i="112"/>
  <c r="G29" i="112"/>
  <c r="F38" i="112"/>
  <c r="G38" i="112" s="1"/>
  <c r="G271" i="112"/>
  <c r="F280" i="112"/>
  <c r="G777" i="112"/>
  <c r="F786" i="112"/>
  <c r="G689" i="112"/>
  <c r="F698" i="112"/>
  <c r="G513" i="112"/>
  <c r="F522" i="112"/>
  <c r="D308" i="112"/>
  <c r="G303" i="112"/>
  <c r="D264" i="112"/>
  <c r="G259" i="112"/>
  <c r="G249" i="112"/>
  <c r="F258" i="112"/>
  <c r="D88" i="112"/>
  <c r="G83" i="112"/>
  <c r="G73" i="112"/>
  <c r="F82" i="112"/>
  <c r="G721" i="112"/>
  <c r="D726" i="112"/>
  <c r="G457" i="112"/>
  <c r="D462" i="112"/>
  <c r="G369" i="112"/>
  <c r="D374" i="112"/>
  <c r="G281" i="112"/>
  <c r="D286" i="112"/>
  <c r="G227" i="112"/>
  <c r="F236" i="112"/>
  <c r="G149" i="112"/>
  <c r="D154" i="112"/>
  <c r="G589" i="112"/>
  <c r="D594" i="112"/>
  <c r="G325" i="112"/>
  <c r="D330" i="112"/>
  <c r="G315" i="112"/>
  <c r="F324" i="112"/>
  <c r="G791" i="112"/>
  <c r="E748" i="112"/>
  <c r="G744" i="112"/>
  <c r="G690" i="112"/>
  <c r="F704" i="112"/>
  <c r="G607" i="112"/>
  <c r="G568" i="112"/>
  <c r="G514" i="112"/>
  <c r="G392" i="112"/>
  <c r="G206" i="112"/>
  <c r="G131" i="112"/>
  <c r="G542" i="112"/>
  <c r="E550" i="112"/>
  <c r="G282" i="112"/>
  <c r="E330" i="112"/>
  <c r="G322" i="112"/>
  <c r="G691" i="112"/>
  <c r="E704" i="112"/>
  <c r="G702" i="112"/>
  <c r="E654" i="112"/>
  <c r="G658" i="112"/>
  <c r="G603" i="112"/>
  <c r="E572" i="112"/>
  <c r="E528" i="112"/>
  <c r="G469" i="112"/>
  <c r="G477" i="112"/>
  <c r="F484" i="112"/>
  <c r="F485" i="112" s="1"/>
  <c r="G429" i="112"/>
  <c r="G430" i="112"/>
  <c r="G388" i="112"/>
  <c r="G387" i="112"/>
  <c r="G349" i="112"/>
  <c r="E346" i="112"/>
  <c r="F308" i="112"/>
  <c r="G216" i="112"/>
  <c r="G163" i="112"/>
  <c r="G162" i="112"/>
  <c r="G130" i="112"/>
  <c r="G129" i="112"/>
  <c r="F132" i="112"/>
  <c r="G40" i="112"/>
  <c r="G725" i="112"/>
  <c r="E720" i="112"/>
  <c r="E638" i="112"/>
  <c r="G627" i="112"/>
  <c r="G547" i="112"/>
  <c r="G541" i="112"/>
  <c r="G448" i="112"/>
  <c r="G360" i="112"/>
  <c r="G373" i="112"/>
  <c r="G277" i="112"/>
  <c r="G241" i="112"/>
  <c r="G152" i="112"/>
  <c r="G53" i="112"/>
  <c r="E60" i="112"/>
  <c r="G760" i="112"/>
  <c r="F764" i="112"/>
  <c r="F770" i="112"/>
  <c r="G675" i="112"/>
  <c r="G785" i="112"/>
  <c r="G789" i="112"/>
  <c r="G780" i="112"/>
  <c r="F792" i="112"/>
  <c r="G783" i="112"/>
  <c r="G733" i="112"/>
  <c r="G747" i="112"/>
  <c r="G739" i="112"/>
  <c r="G738" i="112"/>
  <c r="G696" i="112"/>
  <c r="G697" i="112"/>
  <c r="G651" i="112"/>
  <c r="G656" i="112"/>
  <c r="G649" i="112"/>
  <c r="G652" i="112"/>
  <c r="G606" i="112"/>
  <c r="G602" i="112"/>
  <c r="G612" i="112"/>
  <c r="G615" i="112"/>
  <c r="F616" i="112"/>
  <c r="E566" i="112"/>
  <c r="G563" i="112"/>
  <c r="G562" i="112"/>
  <c r="G516" i="112"/>
  <c r="G521" i="112"/>
  <c r="G474" i="112"/>
  <c r="E484" i="112"/>
  <c r="G473" i="112"/>
  <c r="G476" i="112"/>
  <c r="G433" i="112"/>
  <c r="G432" i="112"/>
  <c r="F434" i="112"/>
  <c r="G431" i="112"/>
  <c r="G426" i="112"/>
  <c r="F440" i="112"/>
  <c r="G386" i="112"/>
  <c r="F390" i="112"/>
  <c r="G385" i="112"/>
  <c r="G348" i="112"/>
  <c r="G345" i="112"/>
  <c r="G351" i="112"/>
  <c r="G305" i="112"/>
  <c r="E302" i="112"/>
  <c r="G263" i="112"/>
  <c r="G262" i="112"/>
  <c r="G261" i="112"/>
  <c r="G253" i="112"/>
  <c r="F264" i="112"/>
  <c r="G212" i="112"/>
  <c r="G213" i="112"/>
  <c r="G172" i="112"/>
  <c r="G122" i="112"/>
  <c r="G120" i="112"/>
  <c r="E132" i="112"/>
  <c r="G118" i="112"/>
  <c r="E126" i="112"/>
  <c r="G86" i="112"/>
  <c r="E88" i="112"/>
  <c r="G87" i="112"/>
  <c r="G77" i="112"/>
  <c r="F88" i="112"/>
  <c r="G43" i="112"/>
  <c r="G37" i="112"/>
  <c r="G711" i="112"/>
  <c r="G718" i="112"/>
  <c r="E726" i="112"/>
  <c r="G637" i="112"/>
  <c r="G626" i="112"/>
  <c r="G624" i="112"/>
  <c r="E632" i="112"/>
  <c r="G539" i="112"/>
  <c r="G537" i="112"/>
  <c r="F544" i="112"/>
  <c r="F550" i="112"/>
  <c r="G459" i="112"/>
  <c r="E462" i="112"/>
  <c r="G455" i="112"/>
  <c r="G370" i="112"/>
  <c r="E374" i="112"/>
  <c r="G366" i="112"/>
  <c r="G283" i="112"/>
  <c r="G273" i="112"/>
  <c r="G275" i="112"/>
  <c r="G285" i="112"/>
  <c r="E280" i="112"/>
  <c r="G235" i="112"/>
  <c r="G239" i="112"/>
  <c r="G234" i="112"/>
  <c r="G233" i="112"/>
  <c r="F242" i="112"/>
  <c r="G144" i="112"/>
  <c r="G65" i="112"/>
  <c r="G64" i="112"/>
  <c r="E66" i="112"/>
  <c r="G762" i="112"/>
  <c r="G756" i="112"/>
  <c r="G757" i="112"/>
  <c r="G755" i="112"/>
  <c r="E764" i="112"/>
  <c r="G673" i="112"/>
  <c r="G679" i="112"/>
  <c r="G671" i="112"/>
  <c r="F676" i="112"/>
  <c r="F682" i="112"/>
  <c r="G587" i="112"/>
  <c r="G593" i="112"/>
  <c r="E594" i="112"/>
  <c r="G504" i="112"/>
  <c r="G502" i="112"/>
  <c r="E506" i="112"/>
  <c r="G498" i="112"/>
  <c r="G407" i="112"/>
  <c r="G403" i="112"/>
  <c r="G416" i="112"/>
  <c r="E412" i="112"/>
  <c r="G327" i="112"/>
  <c r="G319" i="112"/>
  <c r="F330" i="112"/>
  <c r="G197" i="112"/>
  <c r="G196" i="112"/>
  <c r="G106" i="112"/>
  <c r="G97" i="112"/>
  <c r="E110" i="112"/>
  <c r="G8" i="112"/>
  <c r="G10" i="112"/>
  <c r="G14" i="112"/>
  <c r="G13" i="112"/>
  <c r="E16" i="112"/>
  <c r="D176" i="112"/>
  <c r="G171" i="112"/>
  <c r="G127" i="112"/>
  <c r="D132" i="112"/>
  <c r="G293" i="112"/>
  <c r="F302" i="112"/>
  <c r="D660" i="112"/>
  <c r="G655" i="112"/>
  <c r="G601" i="112"/>
  <c r="F610" i="112"/>
  <c r="D616" i="112"/>
  <c r="G611" i="112"/>
  <c r="D528" i="112"/>
  <c r="G523" i="112"/>
  <c r="D44" i="112"/>
  <c r="G39" i="112"/>
  <c r="G633" i="112"/>
  <c r="D638" i="112"/>
  <c r="G139" i="112"/>
  <c r="F148" i="112"/>
  <c r="D66" i="112"/>
  <c r="G61" i="112"/>
  <c r="G677" i="112"/>
  <c r="D682" i="112"/>
  <c r="D418" i="112"/>
  <c r="G413" i="112"/>
  <c r="D198" i="112"/>
  <c r="G193" i="112"/>
  <c r="G183" i="112"/>
  <c r="F192" i="112"/>
  <c r="G274" i="112"/>
  <c r="E588" i="112"/>
  <c r="E698" i="112"/>
  <c r="F654" i="112"/>
  <c r="G482" i="112"/>
  <c r="G393" i="112"/>
  <c r="E352" i="112"/>
  <c r="E308" i="112"/>
  <c r="G119" i="112"/>
  <c r="G712" i="112"/>
  <c r="G724" i="112"/>
  <c r="F632" i="112"/>
  <c r="G632" i="112" s="1"/>
  <c r="G778" i="112"/>
  <c r="G784" i="112"/>
  <c r="G781" i="112"/>
  <c r="G790" i="112"/>
  <c r="G779" i="112"/>
  <c r="E786" i="112"/>
  <c r="G746" i="112"/>
  <c r="G741" i="112"/>
  <c r="G740" i="112"/>
  <c r="G734" i="112"/>
  <c r="F742" i="112"/>
  <c r="F748" i="112"/>
  <c r="G694" i="112"/>
  <c r="G693" i="112"/>
  <c r="G646" i="112"/>
  <c r="G650" i="112"/>
  <c r="G648" i="112"/>
  <c r="G605" i="112"/>
  <c r="E610" i="112"/>
  <c r="G565" i="112"/>
  <c r="G570" i="112"/>
  <c r="F566" i="112"/>
  <c r="F572" i="112"/>
  <c r="G524" i="112"/>
  <c r="G517" i="112"/>
  <c r="E478" i="112"/>
  <c r="G478" i="112" s="1"/>
  <c r="G471" i="112"/>
  <c r="G472" i="112"/>
  <c r="G438" i="112"/>
  <c r="G428" i="112"/>
  <c r="G427" i="112"/>
  <c r="G436" i="112"/>
  <c r="E434" i="112"/>
  <c r="G381" i="112"/>
  <c r="G395" i="112"/>
  <c r="F396" i="112"/>
  <c r="G338" i="112"/>
  <c r="G341" i="112"/>
  <c r="G344" i="112"/>
  <c r="G339" i="112"/>
  <c r="G342" i="112"/>
  <c r="G304" i="112"/>
  <c r="G307" i="112"/>
  <c r="G296" i="112"/>
  <c r="G251" i="112"/>
  <c r="G255" i="112"/>
  <c r="G254" i="112"/>
  <c r="G250" i="112"/>
  <c r="E258" i="112"/>
  <c r="G208" i="112"/>
  <c r="E220" i="112"/>
  <c r="F220" i="112"/>
  <c r="G175" i="112"/>
  <c r="E176" i="112"/>
  <c r="G169" i="112"/>
  <c r="G128" i="112"/>
  <c r="G79" i="112"/>
  <c r="G85" i="112"/>
  <c r="G75" i="112"/>
  <c r="G78" i="112"/>
  <c r="G74" i="112"/>
  <c r="E82" i="112"/>
  <c r="G36" i="112"/>
  <c r="G35" i="112"/>
  <c r="F44" i="112"/>
  <c r="G714" i="112"/>
  <c r="G717" i="112"/>
  <c r="G630" i="112"/>
  <c r="G636" i="112"/>
  <c r="G634" i="112"/>
  <c r="G543" i="112"/>
  <c r="G549" i="112"/>
  <c r="G548" i="112"/>
  <c r="E544" i="112"/>
  <c r="G461" i="112"/>
  <c r="F456" i="112"/>
  <c r="F462" i="112"/>
  <c r="G372" i="112"/>
  <c r="G367" i="112"/>
  <c r="G362" i="112"/>
  <c r="G272" i="112"/>
  <c r="G230" i="112"/>
  <c r="G229" i="112"/>
  <c r="E236" i="112"/>
  <c r="G147" i="112"/>
  <c r="G145" i="112"/>
  <c r="F154" i="112"/>
  <c r="G62" i="112"/>
  <c r="G59" i="112"/>
  <c r="G58" i="112"/>
  <c r="G768" i="112"/>
  <c r="G767" i="112"/>
  <c r="G672" i="112"/>
  <c r="G668" i="112"/>
  <c r="G681" i="112"/>
  <c r="E676" i="112"/>
  <c r="G586" i="112"/>
  <c r="G585" i="112"/>
  <c r="G584" i="112"/>
  <c r="F588" i="112"/>
  <c r="F594" i="112"/>
  <c r="G503" i="112"/>
  <c r="G499" i="112"/>
  <c r="G494" i="112"/>
  <c r="G317" i="112"/>
  <c r="G320" i="112"/>
  <c r="G329" i="112"/>
  <c r="E324" i="112"/>
  <c r="G191" i="112"/>
  <c r="G190" i="112"/>
  <c r="G188" i="112"/>
  <c r="F198" i="112"/>
  <c r="G107" i="112"/>
  <c r="G108" i="112"/>
  <c r="G12" i="112"/>
  <c r="G9" i="112"/>
  <c r="E22" i="112"/>
  <c r="D264" i="113"/>
  <c r="G259" i="113"/>
  <c r="D242" i="113"/>
  <c r="G237" i="113"/>
  <c r="G470" i="113"/>
  <c r="G161" i="113"/>
  <c r="G175" i="113"/>
  <c r="E82" i="113"/>
  <c r="G417" i="113"/>
  <c r="G361" i="113"/>
  <c r="G275" i="113"/>
  <c r="E192" i="113"/>
  <c r="G143" i="113"/>
  <c r="E66" i="113"/>
  <c r="G205" i="113"/>
  <c r="F126" i="113"/>
  <c r="G469" i="113"/>
  <c r="E478" i="113"/>
  <c r="D154" i="113"/>
  <c r="G149" i="113"/>
  <c r="D110" i="113"/>
  <c r="G105" i="113"/>
  <c r="D220" i="113"/>
  <c r="G215" i="113"/>
  <c r="D132" i="113"/>
  <c r="G127" i="113"/>
  <c r="D484" i="113"/>
  <c r="G479" i="113"/>
  <c r="G369" i="113"/>
  <c r="D374" i="113"/>
  <c r="G51" i="113"/>
  <c r="F60" i="113"/>
  <c r="G381" i="113"/>
  <c r="F390" i="113"/>
  <c r="G29" i="113"/>
  <c r="E38" i="113"/>
  <c r="F478" i="113"/>
  <c r="G345" i="113"/>
  <c r="G497" i="113"/>
  <c r="G228" i="113"/>
  <c r="G188" i="113"/>
  <c r="F302" i="113"/>
  <c r="E214" i="113"/>
  <c r="G33" i="113"/>
  <c r="G340" i="113"/>
  <c r="F352" i="113"/>
  <c r="E346" i="113"/>
  <c r="F264" i="113"/>
  <c r="G257" i="113"/>
  <c r="G252" i="113"/>
  <c r="E264" i="113"/>
  <c r="F88" i="113"/>
  <c r="G493" i="113"/>
  <c r="E500" i="113"/>
  <c r="G450" i="113"/>
  <c r="G409" i="113"/>
  <c r="F418" i="113"/>
  <c r="F280" i="113"/>
  <c r="F286" i="113"/>
  <c r="G273" i="113"/>
  <c r="G190" i="113"/>
  <c r="G184" i="113"/>
  <c r="G141" i="113"/>
  <c r="E148" i="113"/>
  <c r="F104" i="113"/>
  <c r="E110" i="113"/>
  <c r="F110" i="113"/>
  <c r="G19" i="113"/>
  <c r="G21" i="113"/>
  <c r="G13" i="113"/>
  <c r="E440" i="113"/>
  <c r="G427" i="113"/>
  <c r="E434" i="113"/>
  <c r="F308" i="113"/>
  <c r="F309" i="113" s="1"/>
  <c r="G118" i="113"/>
  <c r="G131" i="113"/>
  <c r="E44" i="113"/>
  <c r="F44" i="113"/>
  <c r="G477" i="113"/>
  <c r="G472" i="113"/>
  <c r="F346" i="113"/>
  <c r="G337" i="113"/>
  <c r="G250" i="113"/>
  <c r="G255" i="113"/>
  <c r="G253" i="113"/>
  <c r="E258" i="113"/>
  <c r="G164" i="113"/>
  <c r="E176" i="113"/>
  <c r="G166" i="113"/>
  <c r="G167" i="113"/>
  <c r="G79" i="113"/>
  <c r="G84" i="113"/>
  <c r="G81" i="113"/>
  <c r="E506" i="113"/>
  <c r="G505" i="113"/>
  <c r="G492" i="113"/>
  <c r="G504" i="113"/>
  <c r="G451" i="113"/>
  <c r="G449" i="113"/>
  <c r="G447" i="113"/>
  <c r="E456" i="113"/>
  <c r="G408" i="113"/>
  <c r="G410" i="113"/>
  <c r="G407" i="113"/>
  <c r="F368" i="113"/>
  <c r="E374" i="113"/>
  <c r="G367" i="113"/>
  <c r="G366" i="113"/>
  <c r="F324" i="113"/>
  <c r="E330" i="113"/>
  <c r="F330" i="113"/>
  <c r="G322" i="113"/>
  <c r="G284" i="113"/>
  <c r="E286" i="113"/>
  <c r="G271" i="113"/>
  <c r="G278" i="113"/>
  <c r="E280" i="113"/>
  <c r="G279" i="113"/>
  <c r="G233" i="113"/>
  <c r="G234" i="113"/>
  <c r="E242" i="113"/>
  <c r="G235" i="113"/>
  <c r="G239" i="113"/>
  <c r="G238" i="113"/>
  <c r="F192" i="113"/>
  <c r="G186" i="113"/>
  <c r="G189" i="113"/>
  <c r="G194" i="113"/>
  <c r="G140" i="113"/>
  <c r="G139" i="113"/>
  <c r="G150" i="113"/>
  <c r="G109" i="113"/>
  <c r="G107" i="113"/>
  <c r="E104" i="113"/>
  <c r="G55" i="113"/>
  <c r="G56" i="113"/>
  <c r="G54" i="113"/>
  <c r="G64" i="113"/>
  <c r="F66" i="113"/>
  <c r="G15" i="113"/>
  <c r="G10" i="113"/>
  <c r="G14" i="113"/>
  <c r="F434" i="113"/>
  <c r="G439" i="113"/>
  <c r="G425" i="113"/>
  <c r="E396" i="113"/>
  <c r="G383" i="113"/>
  <c r="F396" i="113"/>
  <c r="G384" i="113"/>
  <c r="E390" i="113"/>
  <c r="G305" i="113"/>
  <c r="G295" i="113"/>
  <c r="G297" i="113"/>
  <c r="G294" i="113"/>
  <c r="G217" i="113"/>
  <c r="G213" i="113"/>
  <c r="G211" i="113"/>
  <c r="G212" i="113"/>
  <c r="G129" i="113"/>
  <c r="G123" i="113"/>
  <c r="G124" i="113"/>
  <c r="G41" i="113"/>
  <c r="G36" i="113"/>
  <c r="G43" i="113"/>
  <c r="G457" i="113"/>
  <c r="D462" i="113"/>
  <c r="D286" i="113"/>
  <c r="G281" i="113"/>
  <c r="D22" i="113"/>
  <c r="G17" i="113"/>
  <c r="D396" i="113"/>
  <c r="G391" i="113"/>
  <c r="D176" i="113"/>
  <c r="G171" i="113"/>
  <c r="G83" i="113"/>
  <c r="D88" i="113"/>
  <c r="G325" i="113"/>
  <c r="D330" i="113"/>
  <c r="D308" i="113"/>
  <c r="G303" i="113"/>
  <c r="D352" i="113"/>
  <c r="G347" i="113"/>
  <c r="G501" i="113"/>
  <c r="D506" i="113"/>
  <c r="G413" i="113"/>
  <c r="D418" i="113"/>
  <c r="D198" i="113"/>
  <c r="G193" i="113"/>
  <c r="D66" i="113"/>
  <c r="G61" i="113"/>
  <c r="G435" i="113"/>
  <c r="D440" i="113"/>
  <c r="D44" i="113"/>
  <c r="G39" i="113"/>
  <c r="E352" i="113"/>
  <c r="G491" i="113"/>
  <c r="E368" i="113"/>
  <c r="G368" i="113" s="1"/>
  <c r="E16" i="113"/>
  <c r="G482" i="113"/>
  <c r="G483" i="113"/>
  <c r="G341" i="113"/>
  <c r="G172" i="113"/>
  <c r="G494" i="113"/>
  <c r="G502" i="113"/>
  <c r="F506" i="113"/>
  <c r="F456" i="113"/>
  <c r="E462" i="113"/>
  <c r="G453" i="113"/>
  <c r="F462" i="113"/>
  <c r="E418" i="113"/>
  <c r="G414" i="113"/>
  <c r="G359" i="113"/>
  <c r="G319" i="113"/>
  <c r="G316" i="113"/>
  <c r="E324" i="113"/>
  <c r="G241" i="113"/>
  <c r="G240" i="113"/>
  <c r="F148" i="113"/>
  <c r="G97" i="113"/>
  <c r="G59" i="113"/>
  <c r="G53" i="113"/>
  <c r="G18" i="113"/>
  <c r="E22" i="113"/>
  <c r="G428" i="113"/>
  <c r="G385" i="113"/>
  <c r="G386" i="113"/>
  <c r="G299" i="113"/>
  <c r="G296" i="113"/>
  <c r="G219" i="113"/>
  <c r="E132" i="113"/>
  <c r="E126" i="113"/>
  <c r="G31" i="113"/>
  <c r="G42" i="113"/>
  <c r="F38" i="113"/>
  <c r="G476" i="113"/>
  <c r="E484" i="113"/>
  <c r="G474" i="113"/>
  <c r="G475" i="113"/>
  <c r="G351" i="113"/>
  <c r="G343" i="113"/>
  <c r="G348" i="113"/>
  <c r="G349" i="113"/>
  <c r="G251" i="113"/>
  <c r="F258" i="113"/>
  <c r="G249" i="113"/>
  <c r="G262" i="113"/>
  <c r="G162" i="113"/>
  <c r="G163" i="113"/>
  <c r="F176" i="113"/>
  <c r="E170" i="113"/>
  <c r="G80" i="113"/>
  <c r="G86" i="113"/>
  <c r="G77" i="113"/>
  <c r="F82" i="113"/>
  <c r="E88" i="113"/>
  <c r="G499" i="113"/>
  <c r="G498" i="113"/>
  <c r="G503" i="113"/>
  <c r="G461" i="113"/>
  <c r="G459" i="113"/>
  <c r="G460" i="113"/>
  <c r="G403" i="113"/>
  <c r="G406" i="113"/>
  <c r="G404" i="113"/>
  <c r="E412" i="113"/>
  <c r="G370" i="113"/>
  <c r="G360" i="113"/>
  <c r="G365" i="113"/>
  <c r="F374" i="113"/>
  <c r="G362" i="113"/>
  <c r="G315" i="113"/>
  <c r="G321" i="113"/>
  <c r="G320" i="113"/>
  <c r="G327" i="113"/>
  <c r="G282" i="113"/>
  <c r="G276" i="113"/>
  <c r="G285" i="113"/>
  <c r="G277" i="113"/>
  <c r="G227" i="113"/>
  <c r="G231" i="113"/>
  <c r="F242" i="113"/>
  <c r="G232" i="113"/>
  <c r="E236" i="113"/>
  <c r="E198" i="113"/>
  <c r="G183" i="113"/>
  <c r="G191" i="113"/>
  <c r="G153" i="113"/>
  <c r="G147" i="113"/>
  <c r="G102" i="113"/>
  <c r="G108" i="113"/>
  <c r="G99" i="113"/>
  <c r="E60" i="113"/>
  <c r="F16" i="113"/>
  <c r="G12" i="113"/>
  <c r="G8" i="113"/>
  <c r="G20" i="113"/>
  <c r="F22" i="113"/>
  <c r="G437" i="113"/>
  <c r="G436" i="113"/>
  <c r="G394" i="113"/>
  <c r="G395" i="113"/>
  <c r="G304" i="113"/>
  <c r="G293" i="113"/>
  <c r="G300" i="113"/>
  <c r="E302" i="113"/>
  <c r="G216" i="113"/>
  <c r="G210" i="113"/>
  <c r="G206" i="113"/>
  <c r="G207" i="113"/>
  <c r="F220" i="113"/>
  <c r="G208" i="113"/>
  <c r="G119" i="113"/>
  <c r="G128" i="113"/>
  <c r="G120" i="113"/>
  <c r="G40" i="113"/>
  <c r="G32" i="113"/>
  <c r="D154" i="114"/>
  <c r="G149" i="114"/>
  <c r="G259" i="114"/>
  <c r="D264" i="114"/>
  <c r="D88" i="114"/>
  <c r="G83" i="114"/>
  <c r="D44" i="114"/>
  <c r="G39" i="114"/>
  <c r="G369" i="114"/>
  <c r="D374" i="114"/>
  <c r="D198" i="114"/>
  <c r="G193" i="114"/>
  <c r="F462" i="114"/>
  <c r="G238" i="114"/>
  <c r="F484" i="114"/>
  <c r="G450" i="114"/>
  <c r="G459" i="114"/>
  <c r="E456" i="114"/>
  <c r="G409" i="114"/>
  <c r="G408" i="114"/>
  <c r="G403" i="114"/>
  <c r="G317" i="114"/>
  <c r="G326" i="114"/>
  <c r="G327" i="114"/>
  <c r="G240" i="114"/>
  <c r="F148" i="114"/>
  <c r="G146" i="114"/>
  <c r="E148" i="114"/>
  <c r="G12" i="114"/>
  <c r="G21" i="114"/>
  <c r="F22" i="114"/>
  <c r="F478" i="114"/>
  <c r="G470" i="114"/>
  <c r="G481" i="114"/>
  <c r="G437" i="114"/>
  <c r="G386" i="114"/>
  <c r="E396" i="114"/>
  <c r="G394" i="114"/>
  <c r="G389" i="114"/>
  <c r="E390" i="114"/>
  <c r="G344" i="114"/>
  <c r="G340" i="114"/>
  <c r="G341" i="114"/>
  <c r="F352" i="114"/>
  <c r="G294" i="114"/>
  <c r="G299" i="114"/>
  <c r="G300" i="114"/>
  <c r="G262" i="114"/>
  <c r="G260" i="114"/>
  <c r="G218" i="114"/>
  <c r="G172" i="114"/>
  <c r="G169" i="114"/>
  <c r="F170" i="114"/>
  <c r="F176" i="114"/>
  <c r="G129" i="114"/>
  <c r="E132" i="114"/>
  <c r="G125" i="114"/>
  <c r="G73" i="114"/>
  <c r="G76" i="114"/>
  <c r="G35" i="114"/>
  <c r="E506" i="114"/>
  <c r="G504" i="114"/>
  <c r="G491" i="114"/>
  <c r="G503" i="114"/>
  <c r="G497" i="114"/>
  <c r="G360" i="114"/>
  <c r="G366" i="114"/>
  <c r="G282" i="114"/>
  <c r="F280" i="114"/>
  <c r="G285" i="114"/>
  <c r="G271" i="114"/>
  <c r="G283" i="114"/>
  <c r="G284" i="114"/>
  <c r="F192" i="114"/>
  <c r="E192" i="114"/>
  <c r="E110" i="114"/>
  <c r="G101" i="114"/>
  <c r="G106" i="114"/>
  <c r="G109" i="114"/>
  <c r="F110" i="114"/>
  <c r="G55" i="114"/>
  <c r="F60" i="114"/>
  <c r="G58" i="114"/>
  <c r="G53" i="114"/>
  <c r="G17" i="114"/>
  <c r="D22" i="114"/>
  <c r="G391" i="114"/>
  <c r="F396" i="114"/>
  <c r="D352" i="114"/>
  <c r="G347" i="114"/>
  <c r="D176" i="114"/>
  <c r="G171" i="114"/>
  <c r="D132" i="114"/>
  <c r="G127" i="114"/>
  <c r="G61" i="114"/>
  <c r="D66" i="114"/>
  <c r="G417" i="114"/>
  <c r="G323" i="114"/>
  <c r="G476" i="114"/>
  <c r="G429" i="114"/>
  <c r="G337" i="114"/>
  <c r="E346" i="114"/>
  <c r="F506" i="114"/>
  <c r="G196" i="114"/>
  <c r="G447" i="114"/>
  <c r="E412" i="114"/>
  <c r="G328" i="114"/>
  <c r="G320" i="114"/>
  <c r="E154" i="114"/>
  <c r="G471" i="114"/>
  <c r="F434" i="114"/>
  <c r="G384" i="114"/>
  <c r="G304" i="114"/>
  <c r="G306" i="114"/>
  <c r="G251" i="114"/>
  <c r="G256" i="114"/>
  <c r="E264" i="114"/>
  <c r="G253" i="114"/>
  <c r="F264" i="114"/>
  <c r="G211" i="114"/>
  <c r="G161" i="114"/>
  <c r="G168" i="114"/>
  <c r="E176" i="114"/>
  <c r="G122" i="114"/>
  <c r="E126" i="114"/>
  <c r="G118" i="114"/>
  <c r="G85" i="114"/>
  <c r="F82" i="114"/>
  <c r="F88" i="114"/>
  <c r="G37" i="114"/>
  <c r="E500" i="114"/>
  <c r="G496" i="114"/>
  <c r="F368" i="114"/>
  <c r="G370" i="114"/>
  <c r="G367" i="114"/>
  <c r="G361" i="114"/>
  <c r="E368" i="114"/>
  <c r="E286" i="114"/>
  <c r="G272" i="114"/>
  <c r="G277" i="114"/>
  <c r="F286" i="114"/>
  <c r="F287" i="114" s="1"/>
  <c r="G274" i="114"/>
  <c r="G184" i="114"/>
  <c r="G190" i="114"/>
  <c r="G99" i="114"/>
  <c r="G52" i="114"/>
  <c r="E60" i="114"/>
  <c r="D484" i="114"/>
  <c r="G479" i="114"/>
  <c r="D220" i="114"/>
  <c r="G215" i="114"/>
  <c r="G281" i="114"/>
  <c r="D286" i="114"/>
  <c r="D242" i="114"/>
  <c r="G237" i="114"/>
  <c r="D440" i="114"/>
  <c r="G435" i="114"/>
  <c r="D462" i="114"/>
  <c r="G457" i="114"/>
  <c r="D418" i="114"/>
  <c r="G413" i="114"/>
  <c r="G325" i="114"/>
  <c r="D330" i="114"/>
  <c r="G381" i="114"/>
  <c r="F390" i="114"/>
  <c r="D308" i="114"/>
  <c r="G303" i="114"/>
  <c r="D506" i="114"/>
  <c r="G501" i="114"/>
  <c r="D110" i="114"/>
  <c r="G105" i="114"/>
  <c r="E418" i="114"/>
  <c r="G475" i="114"/>
  <c r="G388" i="114"/>
  <c r="F346" i="114"/>
  <c r="F302" i="114"/>
  <c r="G296" i="114"/>
  <c r="G257" i="114"/>
  <c r="G261" i="114"/>
  <c r="E214" i="114"/>
  <c r="G219" i="114"/>
  <c r="G174" i="114"/>
  <c r="E170" i="114"/>
  <c r="F126" i="114"/>
  <c r="G495" i="114"/>
  <c r="G365" i="114"/>
  <c r="G362" i="114"/>
  <c r="F198" i="114"/>
  <c r="F104" i="114"/>
  <c r="E104" i="114"/>
  <c r="E66" i="114"/>
  <c r="F456" i="114"/>
  <c r="G455" i="114"/>
  <c r="G416" i="114"/>
  <c r="F412" i="114"/>
  <c r="G404" i="114"/>
  <c r="G415" i="114"/>
  <c r="G329" i="114"/>
  <c r="F324" i="114"/>
  <c r="G319" i="114"/>
  <c r="F330" i="114"/>
  <c r="E324" i="114"/>
  <c r="G234" i="114"/>
  <c r="G227" i="114"/>
  <c r="G235" i="114"/>
  <c r="G144" i="114"/>
  <c r="G147" i="114"/>
  <c r="G150" i="114"/>
  <c r="G9" i="114"/>
  <c r="G14" i="114"/>
  <c r="G18" i="114"/>
  <c r="G474" i="114"/>
  <c r="E478" i="114"/>
  <c r="G426" i="114"/>
  <c r="G427" i="114"/>
  <c r="G382" i="114"/>
  <c r="G385" i="114"/>
  <c r="G448" i="114"/>
  <c r="G454" i="114"/>
  <c r="G461" i="114"/>
  <c r="G453" i="114"/>
  <c r="G411" i="114"/>
  <c r="G410" i="114"/>
  <c r="F418" i="114"/>
  <c r="G315" i="114"/>
  <c r="G318" i="114"/>
  <c r="G321" i="114"/>
  <c r="G316" i="114"/>
  <c r="E242" i="114"/>
  <c r="G231" i="114"/>
  <c r="F242" i="114"/>
  <c r="G232" i="114"/>
  <c r="E236" i="114"/>
  <c r="G151" i="114"/>
  <c r="G140" i="114"/>
  <c r="G153" i="114"/>
  <c r="G143" i="114"/>
  <c r="G139" i="114"/>
  <c r="G152" i="114"/>
  <c r="F154" i="114"/>
  <c r="E22" i="114"/>
  <c r="G7" i="114"/>
  <c r="G8" i="114"/>
  <c r="G480" i="114"/>
  <c r="E484" i="114"/>
  <c r="G473" i="114"/>
  <c r="G472" i="114"/>
  <c r="G483" i="114"/>
  <c r="E440" i="114"/>
  <c r="G436" i="114"/>
  <c r="G438" i="114"/>
  <c r="G433" i="114"/>
  <c r="G439" i="114"/>
  <c r="D396" i="114"/>
  <c r="G383" i="114"/>
  <c r="G338" i="114"/>
  <c r="G343" i="114"/>
  <c r="G339" i="114"/>
  <c r="G345" i="114"/>
  <c r="G349" i="114"/>
  <c r="E302" i="114"/>
  <c r="G301" i="114"/>
  <c r="G307" i="114"/>
  <c r="G252" i="114"/>
  <c r="G250" i="114"/>
  <c r="F258" i="114"/>
  <c r="G249" i="114"/>
  <c r="G254" i="114"/>
  <c r="E258" i="114"/>
  <c r="G206" i="114"/>
  <c r="G210" i="114"/>
  <c r="E220" i="114"/>
  <c r="F214" i="114"/>
  <c r="G207" i="114"/>
  <c r="F220" i="114"/>
  <c r="G208" i="114"/>
  <c r="G164" i="114"/>
  <c r="G167" i="114"/>
  <c r="G124" i="114"/>
  <c r="G119" i="114"/>
  <c r="G117" i="114"/>
  <c r="G128" i="114"/>
  <c r="G81" i="114"/>
  <c r="G77" i="114"/>
  <c r="G80" i="114"/>
  <c r="E88" i="114"/>
  <c r="G86" i="114"/>
  <c r="E82" i="114"/>
  <c r="G32" i="114"/>
  <c r="G42" i="114"/>
  <c r="G34" i="114"/>
  <c r="E38" i="114"/>
  <c r="G33" i="114"/>
  <c r="F38" i="114"/>
  <c r="F44" i="114"/>
  <c r="G498" i="114"/>
  <c r="G492" i="114"/>
  <c r="F500" i="114"/>
  <c r="G505" i="114"/>
  <c r="G499" i="114"/>
  <c r="G368" i="114"/>
  <c r="G373" i="114"/>
  <c r="G364" i="114"/>
  <c r="G363" i="114"/>
  <c r="G359" i="114"/>
  <c r="G371" i="114"/>
  <c r="G372" i="114"/>
  <c r="G276" i="114"/>
  <c r="G273" i="114"/>
  <c r="E280" i="114"/>
  <c r="E198" i="114"/>
  <c r="G188" i="114"/>
  <c r="G195" i="114"/>
  <c r="G98" i="114"/>
  <c r="G62" i="114"/>
  <c r="G59" i="114"/>
  <c r="G65" i="114"/>
  <c r="G369" i="115"/>
  <c r="D374" i="115"/>
  <c r="D22" i="115"/>
  <c r="G17" i="115"/>
  <c r="G425" i="115"/>
  <c r="E434" i="115"/>
  <c r="G249" i="115"/>
  <c r="E258" i="115"/>
  <c r="D418" i="115"/>
  <c r="G413" i="115"/>
  <c r="G325" i="115"/>
  <c r="D330" i="115"/>
  <c r="D198" i="115"/>
  <c r="G193" i="115"/>
  <c r="G105" i="115"/>
  <c r="D110" i="115"/>
  <c r="D440" i="115"/>
  <c r="G435" i="115"/>
  <c r="D352" i="115"/>
  <c r="G347" i="115"/>
  <c r="G293" i="115"/>
  <c r="F302" i="115"/>
  <c r="G171" i="115"/>
  <c r="D176" i="115"/>
  <c r="D132" i="115"/>
  <c r="G127" i="115"/>
  <c r="G237" i="115"/>
  <c r="D242" i="115"/>
  <c r="G364" i="115"/>
  <c r="G373" i="115"/>
  <c r="G273" i="115"/>
  <c r="F280" i="115"/>
  <c r="G271" i="115"/>
  <c r="G275" i="115"/>
  <c r="F192" i="115"/>
  <c r="G21" i="115"/>
  <c r="G430" i="115"/>
  <c r="F434" i="115"/>
  <c r="F390" i="115"/>
  <c r="G386" i="115"/>
  <c r="G253" i="115"/>
  <c r="F88" i="115"/>
  <c r="E82" i="115"/>
  <c r="E44" i="115"/>
  <c r="G329" i="115"/>
  <c r="F148" i="115"/>
  <c r="G52" i="115"/>
  <c r="G58" i="115"/>
  <c r="G363" i="115"/>
  <c r="G365" i="115"/>
  <c r="G366" i="115"/>
  <c r="G283" i="115"/>
  <c r="G277" i="115"/>
  <c r="G285" i="115"/>
  <c r="G196" i="115"/>
  <c r="G189" i="115"/>
  <c r="G187" i="115"/>
  <c r="F198" i="115"/>
  <c r="G188" i="115"/>
  <c r="E192" i="115"/>
  <c r="G95" i="115"/>
  <c r="G101" i="115"/>
  <c r="G106" i="115"/>
  <c r="G103" i="115"/>
  <c r="E110" i="115"/>
  <c r="G19" i="115"/>
  <c r="G8" i="115"/>
  <c r="G13" i="115"/>
  <c r="G14" i="115"/>
  <c r="G432" i="115"/>
  <c r="G439" i="115"/>
  <c r="G384" i="115"/>
  <c r="G395" i="115"/>
  <c r="F396" i="115"/>
  <c r="G382" i="115"/>
  <c r="E390" i="115"/>
  <c r="G344" i="115"/>
  <c r="G341" i="115"/>
  <c r="G305" i="115"/>
  <c r="G262" i="115"/>
  <c r="F258" i="115"/>
  <c r="G254" i="115"/>
  <c r="G250" i="115"/>
  <c r="G216" i="115"/>
  <c r="G205" i="115"/>
  <c r="G218" i="115"/>
  <c r="E214" i="115"/>
  <c r="G173" i="115"/>
  <c r="G168" i="115"/>
  <c r="F126" i="115"/>
  <c r="G125" i="115"/>
  <c r="G86" i="115"/>
  <c r="G74" i="115"/>
  <c r="G87" i="115"/>
  <c r="F38" i="115"/>
  <c r="G35" i="115"/>
  <c r="G33" i="115"/>
  <c r="F44" i="115"/>
  <c r="G34" i="115"/>
  <c r="E38" i="115"/>
  <c r="G407" i="115"/>
  <c r="E418" i="115"/>
  <c r="G410" i="115"/>
  <c r="G411" i="115"/>
  <c r="G415" i="115"/>
  <c r="G409" i="115"/>
  <c r="G316" i="115"/>
  <c r="F324" i="115"/>
  <c r="G321" i="115"/>
  <c r="G322" i="115"/>
  <c r="F236" i="115"/>
  <c r="G234" i="115"/>
  <c r="G239" i="115"/>
  <c r="G240" i="115"/>
  <c r="G139" i="115"/>
  <c r="E154" i="115"/>
  <c r="G143" i="115"/>
  <c r="G141" i="115"/>
  <c r="F154" i="115"/>
  <c r="G142" i="115"/>
  <c r="E148" i="115"/>
  <c r="G55" i="115"/>
  <c r="G53" i="115"/>
  <c r="F66" i="115"/>
  <c r="G54" i="115"/>
  <c r="G337" i="115"/>
  <c r="E346" i="115"/>
  <c r="G303" i="115"/>
  <c r="D308" i="115"/>
  <c r="G259" i="115"/>
  <c r="D264" i="115"/>
  <c r="G215" i="115"/>
  <c r="D220" i="115"/>
  <c r="G39" i="115"/>
  <c r="D44" i="115"/>
  <c r="E374" i="115"/>
  <c r="G362" i="115"/>
  <c r="G272" i="115"/>
  <c r="G282" i="115"/>
  <c r="G183" i="115"/>
  <c r="G185" i="115"/>
  <c r="G186" i="115"/>
  <c r="G102" i="115"/>
  <c r="E104" i="115"/>
  <c r="G12" i="115"/>
  <c r="E22" i="115"/>
  <c r="G10" i="115"/>
  <c r="G433" i="115"/>
  <c r="G387" i="115"/>
  <c r="G338" i="115"/>
  <c r="F352" i="115"/>
  <c r="G342" i="115"/>
  <c r="G304" i="115"/>
  <c r="G300" i="115"/>
  <c r="E308" i="115"/>
  <c r="G219" i="115"/>
  <c r="G165" i="115"/>
  <c r="F170" i="115"/>
  <c r="G161" i="115"/>
  <c r="E176" i="115"/>
  <c r="G164" i="115"/>
  <c r="E170" i="115"/>
  <c r="G128" i="115"/>
  <c r="G131" i="115"/>
  <c r="G124" i="115"/>
  <c r="G121" i="115"/>
  <c r="G122" i="115"/>
  <c r="E132" i="115"/>
  <c r="F82" i="115"/>
  <c r="G84" i="115"/>
  <c r="G30" i="115"/>
  <c r="G403" i="115"/>
  <c r="E412" i="115"/>
  <c r="G320" i="115"/>
  <c r="G326" i="115"/>
  <c r="G317" i="115"/>
  <c r="F330" i="115"/>
  <c r="G229" i="115"/>
  <c r="G235" i="115"/>
  <c r="G151" i="115"/>
  <c r="G152" i="115"/>
  <c r="G153" i="115"/>
  <c r="E66" i="115"/>
  <c r="F60" i="115"/>
  <c r="G63" i="115"/>
  <c r="G51" i="115"/>
  <c r="E60" i="115"/>
  <c r="G281" i="115"/>
  <c r="D286" i="115"/>
  <c r="D396" i="115"/>
  <c r="G391" i="115"/>
  <c r="G83" i="115"/>
  <c r="D88" i="115"/>
  <c r="G149" i="115"/>
  <c r="D154" i="115"/>
  <c r="D66" i="115"/>
  <c r="G61" i="115"/>
  <c r="F368" i="115"/>
  <c r="F374" i="115"/>
  <c r="G278" i="115"/>
  <c r="G184" i="115"/>
  <c r="G99" i="115"/>
  <c r="G9" i="115"/>
  <c r="F22" i="115"/>
  <c r="G360" i="115"/>
  <c r="G371" i="115"/>
  <c r="G372" i="115"/>
  <c r="G359" i="115"/>
  <c r="E368" i="115"/>
  <c r="G274" i="115"/>
  <c r="G279" i="115"/>
  <c r="G194" i="115"/>
  <c r="G195" i="115"/>
  <c r="F104" i="115"/>
  <c r="G98" i="115"/>
  <c r="F110" i="115"/>
  <c r="G96" i="115"/>
  <c r="F16" i="115"/>
  <c r="G18" i="115"/>
  <c r="G7" i="115"/>
  <c r="E16" i="115"/>
  <c r="E440" i="115"/>
  <c r="F440" i="115"/>
  <c r="G429" i="115"/>
  <c r="G381" i="115"/>
  <c r="G388" i="115"/>
  <c r="G389" i="115"/>
  <c r="F346" i="115"/>
  <c r="G340" i="115"/>
  <c r="G351" i="115"/>
  <c r="G296" i="115"/>
  <c r="G299" i="115"/>
  <c r="G294" i="115"/>
  <c r="G297" i="115"/>
  <c r="G295" i="115"/>
  <c r="E302" i="115"/>
  <c r="G255" i="115"/>
  <c r="F264" i="115"/>
  <c r="G251" i="115"/>
  <c r="G256" i="115"/>
  <c r="G257" i="115"/>
  <c r="E264" i="115"/>
  <c r="G210" i="115"/>
  <c r="E220" i="115"/>
  <c r="G211" i="115"/>
  <c r="G212" i="115"/>
  <c r="G163" i="115"/>
  <c r="F176" i="115"/>
  <c r="G162" i="115"/>
  <c r="G123" i="115"/>
  <c r="G118" i="115"/>
  <c r="G117" i="115"/>
  <c r="E126" i="115"/>
  <c r="G78" i="115"/>
  <c r="G73" i="115"/>
  <c r="E88" i="115"/>
  <c r="G80" i="115"/>
  <c r="G81" i="115"/>
  <c r="G29" i="115"/>
  <c r="G31" i="115"/>
  <c r="G32" i="115"/>
  <c r="G40" i="115"/>
  <c r="G41" i="115"/>
  <c r="G406" i="115"/>
  <c r="G408" i="115"/>
  <c r="F418" i="115"/>
  <c r="G416" i="115"/>
  <c r="G315" i="115"/>
  <c r="G328" i="115"/>
  <c r="E324" i="115"/>
  <c r="G238" i="115"/>
  <c r="G227" i="115"/>
  <c r="G231" i="115"/>
  <c r="G232" i="115"/>
  <c r="E242" i="115"/>
  <c r="G140" i="115"/>
  <c r="G150" i="115"/>
  <c r="G65" i="115"/>
  <c r="G56" i="115"/>
  <c r="G64" i="115"/>
  <c r="G259" i="116"/>
  <c r="D264" i="116"/>
  <c r="G413" i="116"/>
  <c r="D418" i="116"/>
  <c r="D374" i="116"/>
  <c r="G369" i="116"/>
  <c r="D198" i="116"/>
  <c r="G193" i="116"/>
  <c r="G105" i="116"/>
  <c r="D110" i="116"/>
  <c r="G435" i="116"/>
  <c r="D440" i="116"/>
  <c r="G293" i="116"/>
  <c r="E302" i="116"/>
  <c r="G215" i="116"/>
  <c r="D220" i="116"/>
  <c r="G117" i="116"/>
  <c r="E126" i="116"/>
  <c r="G83" i="116"/>
  <c r="D88" i="116"/>
  <c r="D22" i="116"/>
  <c r="G17" i="116"/>
  <c r="G425" i="116"/>
  <c r="G388" i="116"/>
  <c r="G395" i="116"/>
  <c r="F352" i="116"/>
  <c r="G219" i="116"/>
  <c r="G166" i="116"/>
  <c r="G163" i="116"/>
  <c r="E170" i="116"/>
  <c r="G119" i="116"/>
  <c r="G77" i="116"/>
  <c r="G447" i="116"/>
  <c r="E456" i="116"/>
  <c r="G411" i="116"/>
  <c r="G366" i="116"/>
  <c r="F330" i="116"/>
  <c r="G316" i="116"/>
  <c r="G276" i="116"/>
  <c r="E280" i="116"/>
  <c r="G235" i="116"/>
  <c r="F148" i="116"/>
  <c r="G140" i="116"/>
  <c r="G10" i="116"/>
  <c r="G470" i="116"/>
  <c r="G477" i="116"/>
  <c r="G473" i="116"/>
  <c r="G482" i="116"/>
  <c r="E478" i="116"/>
  <c r="G438" i="116"/>
  <c r="G428" i="116"/>
  <c r="G436" i="116"/>
  <c r="E396" i="116"/>
  <c r="F390" i="116"/>
  <c r="G384" i="116"/>
  <c r="G389" i="116"/>
  <c r="G338" i="116"/>
  <c r="G351" i="116"/>
  <c r="G337" i="116"/>
  <c r="G350" i="116"/>
  <c r="G295" i="116"/>
  <c r="G298" i="116"/>
  <c r="G306" i="116"/>
  <c r="G294" i="116"/>
  <c r="G257" i="116"/>
  <c r="G253" i="116"/>
  <c r="G255" i="116"/>
  <c r="E264" i="116"/>
  <c r="G216" i="116"/>
  <c r="F214" i="116"/>
  <c r="G208" i="116"/>
  <c r="G213" i="116"/>
  <c r="G169" i="116"/>
  <c r="F170" i="116"/>
  <c r="G175" i="116"/>
  <c r="G161" i="116"/>
  <c r="G174" i="116"/>
  <c r="G118" i="116"/>
  <c r="G122" i="116"/>
  <c r="G128" i="116"/>
  <c r="G130" i="116"/>
  <c r="G76" i="116"/>
  <c r="G78" i="116"/>
  <c r="G79" i="116"/>
  <c r="G74" i="116"/>
  <c r="F88" i="116"/>
  <c r="E88" i="116"/>
  <c r="G30" i="116"/>
  <c r="E44" i="116"/>
  <c r="G32" i="116"/>
  <c r="G42" i="116"/>
  <c r="G36" i="116"/>
  <c r="G34" i="116"/>
  <c r="G450" i="116"/>
  <c r="G459" i="116"/>
  <c r="G460" i="116"/>
  <c r="G416" i="116"/>
  <c r="G406" i="116"/>
  <c r="G409" i="116"/>
  <c r="G405" i="116"/>
  <c r="G407" i="116"/>
  <c r="G408" i="116"/>
  <c r="E412" i="116"/>
  <c r="G363" i="116"/>
  <c r="G360" i="116"/>
  <c r="G365" i="116"/>
  <c r="G327" i="116"/>
  <c r="G329" i="116"/>
  <c r="G326" i="116"/>
  <c r="G274" i="116"/>
  <c r="G284" i="116"/>
  <c r="G233" i="116"/>
  <c r="G230" i="116"/>
  <c r="G231" i="116"/>
  <c r="E236" i="116"/>
  <c r="G194" i="116"/>
  <c r="G186" i="116"/>
  <c r="G184" i="116"/>
  <c r="G189" i="116"/>
  <c r="G145" i="116"/>
  <c r="E154" i="116"/>
  <c r="G151" i="116"/>
  <c r="G153" i="116"/>
  <c r="G150" i="116"/>
  <c r="E110" i="116"/>
  <c r="G108" i="116"/>
  <c r="G97" i="116"/>
  <c r="G106" i="116"/>
  <c r="G52" i="116"/>
  <c r="E60" i="116"/>
  <c r="G19" i="116"/>
  <c r="G11" i="116"/>
  <c r="F16" i="116"/>
  <c r="F22" i="116"/>
  <c r="G303" i="116"/>
  <c r="D308" i="116"/>
  <c r="D484" i="116"/>
  <c r="G479" i="116"/>
  <c r="G347" i="116"/>
  <c r="D352" i="116"/>
  <c r="G171" i="116"/>
  <c r="D176" i="116"/>
  <c r="G127" i="116"/>
  <c r="D132" i="116"/>
  <c r="G39" i="116"/>
  <c r="D44" i="116"/>
  <c r="D462" i="116"/>
  <c r="G457" i="116"/>
  <c r="G281" i="116"/>
  <c r="D286" i="116"/>
  <c r="G61" i="116"/>
  <c r="D66" i="116"/>
  <c r="E484" i="116"/>
  <c r="E485" i="116" s="1"/>
  <c r="G483" i="116"/>
  <c r="E440" i="116"/>
  <c r="G429" i="116"/>
  <c r="G431" i="116"/>
  <c r="E434" i="116"/>
  <c r="G387" i="116"/>
  <c r="F396" i="116"/>
  <c r="G385" i="116"/>
  <c r="G349" i="116"/>
  <c r="E308" i="116"/>
  <c r="G307" i="116"/>
  <c r="G256" i="116"/>
  <c r="G254" i="116"/>
  <c r="F264" i="116"/>
  <c r="G251" i="116"/>
  <c r="E258" i="116"/>
  <c r="G210" i="116"/>
  <c r="F220" i="116"/>
  <c r="G209" i="116"/>
  <c r="G162" i="116"/>
  <c r="G168" i="116"/>
  <c r="G121" i="116"/>
  <c r="G131" i="116"/>
  <c r="G75" i="116"/>
  <c r="E82" i="116"/>
  <c r="F44" i="116"/>
  <c r="E418" i="116"/>
  <c r="F412" i="116"/>
  <c r="F418" i="116"/>
  <c r="G404" i="116"/>
  <c r="G367" i="116"/>
  <c r="E374" i="116"/>
  <c r="F368" i="116"/>
  <c r="G364" i="116"/>
  <c r="F374" i="116"/>
  <c r="G361" i="116"/>
  <c r="E368" i="116"/>
  <c r="G321" i="116"/>
  <c r="G322" i="116"/>
  <c r="G323" i="116"/>
  <c r="G232" i="116"/>
  <c r="F236" i="116"/>
  <c r="F242" i="116"/>
  <c r="G228" i="116"/>
  <c r="F192" i="116"/>
  <c r="G188" i="116"/>
  <c r="F198" i="116"/>
  <c r="G185" i="116"/>
  <c r="E192" i="116"/>
  <c r="G144" i="116"/>
  <c r="G147" i="116"/>
  <c r="G95" i="116"/>
  <c r="G103" i="116"/>
  <c r="G107" i="116"/>
  <c r="G58" i="116"/>
  <c r="E66" i="116"/>
  <c r="G62" i="116"/>
  <c r="G20" i="116"/>
  <c r="G12" i="116"/>
  <c r="G8" i="116"/>
  <c r="G21" i="116"/>
  <c r="E16" i="116"/>
  <c r="G469" i="116"/>
  <c r="F478" i="116"/>
  <c r="G391" i="116"/>
  <c r="D396" i="116"/>
  <c r="G381" i="116"/>
  <c r="E390" i="116"/>
  <c r="G205" i="116"/>
  <c r="E214" i="116"/>
  <c r="G29" i="116"/>
  <c r="E38" i="116"/>
  <c r="D330" i="116"/>
  <c r="G325" i="116"/>
  <c r="D242" i="116"/>
  <c r="G237" i="116"/>
  <c r="G149" i="116"/>
  <c r="D154" i="116"/>
  <c r="G339" i="116"/>
  <c r="G481" i="116"/>
  <c r="G475" i="116"/>
  <c r="G430" i="116"/>
  <c r="F440" i="116"/>
  <c r="G427" i="116"/>
  <c r="G386" i="116"/>
  <c r="G382" i="116"/>
  <c r="F346" i="116"/>
  <c r="G343" i="116"/>
  <c r="E352" i="116"/>
  <c r="G305" i="116"/>
  <c r="G296" i="116"/>
  <c r="G301" i="116"/>
  <c r="F258" i="116"/>
  <c r="G252" i="116"/>
  <c r="G249" i="116"/>
  <c r="G262" i="116"/>
  <c r="G211" i="116"/>
  <c r="E220" i="116"/>
  <c r="E221" i="116" s="1"/>
  <c r="G218" i="116"/>
  <c r="G206" i="116"/>
  <c r="G165" i="116"/>
  <c r="G167" i="116"/>
  <c r="E176" i="116"/>
  <c r="E132" i="116"/>
  <c r="G123" i="116"/>
  <c r="G124" i="116"/>
  <c r="G85" i="116"/>
  <c r="F82" i="116"/>
  <c r="G81" i="116"/>
  <c r="F38" i="116"/>
  <c r="G35" i="116"/>
  <c r="G41" i="116"/>
  <c r="G454" i="116"/>
  <c r="E462" i="116"/>
  <c r="G461" i="116"/>
  <c r="G452" i="116"/>
  <c r="F462" i="116"/>
  <c r="G453" i="116"/>
  <c r="G417" i="116"/>
  <c r="G414" i="116"/>
  <c r="G362" i="116"/>
  <c r="G373" i="116"/>
  <c r="G372" i="116"/>
  <c r="G315" i="116"/>
  <c r="G318" i="116"/>
  <c r="G319" i="116"/>
  <c r="E324" i="116"/>
  <c r="G279" i="116"/>
  <c r="G285" i="116"/>
  <c r="E286" i="116"/>
  <c r="G277" i="116"/>
  <c r="G241" i="116"/>
  <c r="G238" i="116"/>
  <c r="G191" i="116"/>
  <c r="E198" i="116"/>
  <c r="G197" i="116"/>
  <c r="G196" i="116"/>
  <c r="G139" i="116"/>
  <c r="G142" i="116"/>
  <c r="G143" i="116"/>
  <c r="E148" i="116"/>
  <c r="G99" i="116"/>
  <c r="F104" i="116"/>
  <c r="F110" i="116"/>
  <c r="G63" i="116"/>
  <c r="G54" i="116"/>
  <c r="G57" i="116"/>
  <c r="E22" i="116"/>
  <c r="G14" i="116"/>
  <c r="G215" i="117"/>
  <c r="D220" i="117"/>
  <c r="G83" i="117"/>
  <c r="D88" i="117"/>
  <c r="G369" i="117"/>
  <c r="D374" i="117"/>
  <c r="G237" i="117"/>
  <c r="D242" i="117"/>
  <c r="G436" i="117"/>
  <c r="G437" i="117"/>
  <c r="G388" i="117"/>
  <c r="E396" i="117"/>
  <c r="G382" i="117"/>
  <c r="G381" i="117"/>
  <c r="G342" i="117"/>
  <c r="G339" i="117"/>
  <c r="E346" i="117"/>
  <c r="G300" i="117"/>
  <c r="G298" i="117"/>
  <c r="E264" i="117"/>
  <c r="G255" i="117"/>
  <c r="G217" i="117"/>
  <c r="G209" i="117"/>
  <c r="G219" i="117"/>
  <c r="F170" i="117"/>
  <c r="F176" i="117"/>
  <c r="E170" i="117"/>
  <c r="G122" i="117"/>
  <c r="G125" i="117"/>
  <c r="F82" i="117"/>
  <c r="F44" i="117"/>
  <c r="G35" i="117"/>
  <c r="G40" i="117"/>
  <c r="G460" i="117"/>
  <c r="E456" i="117"/>
  <c r="F412" i="117"/>
  <c r="G404" i="117"/>
  <c r="G405" i="117"/>
  <c r="F418" i="117"/>
  <c r="G406" i="117"/>
  <c r="G363" i="117"/>
  <c r="G360" i="117"/>
  <c r="G370" i="117"/>
  <c r="G321" i="117"/>
  <c r="G329" i="117"/>
  <c r="G276" i="117"/>
  <c r="G277" i="117"/>
  <c r="G273" i="117"/>
  <c r="G275" i="117"/>
  <c r="E280" i="117"/>
  <c r="F236" i="117"/>
  <c r="G234" i="117"/>
  <c r="G238" i="117"/>
  <c r="G185" i="117"/>
  <c r="F198" i="117"/>
  <c r="G144" i="117"/>
  <c r="E154" i="117"/>
  <c r="G151" i="117"/>
  <c r="G152" i="117"/>
  <c r="G102" i="117"/>
  <c r="G96" i="117"/>
  <c r="G99" i="117"/>
  <c r="F110" i="117"/>
  <c r="G97" i="117"/>
  <c r="E104" i="117"/>
  <c r="F60" i="117"/>
  <c r="G59" i="117"/>
  <c r="G51" i="117"/>
  <c r="G57" i="117"/>
  <c r="E66" i="117"/>
  <c r="G19" i="117"/>
  <c r="G8" i="117"/>
  <c r="G14" i="117"/>
  <c r="G9" i="117"/>
  <c r="G435" i="117"/>
  <c r="D440" i="117"/>
  <c r="G359" i="117"/>
  <c r="F368" i="117"/>
  <c r="G391" i="117"/>
  <c r="D396" i="117"/>
  <c r="G39" i="117"/>
  <c r="D44" i="117"/>
  <c r="G413" i="117"/>
  <c r="D418" i="117"/>
  <c r="G325" i="117"/>
  <c r="D330" i="117"/>
  <c r="G105" i="117"/>
  <c r="D110" i="117"/>
  <c r="G17" i="117"/>
  <c r="D22" i="117"/>
  <c r="F390" i="117"/>
  <c r="G337" i="117"/>
  <c r="G121" i="117"/>
  <c r="G416" i="117"/>
  <c r="E330" i="117"/>
  <c r="E242" i="117"/>
  <c r="G233" i="117"/>
  <c r="G64" i="117"/>
  <c r="G430" i="117"/>
  <c r="G166" i="117"/>
  <c r="G172" i="117"/>
  <c r="F126" i="117"/>
  <c r="F132" i="117"/>
  <c r="F88" i="117"/>
  <c r="E82" i="117"/>
  <c r="G31" i="117"/>
  <c r="G42" i="117"/>
  <c r="E44" i="117"/>
  <c r="G453" i="117"/>
  <c r="G454" i="117"/>
  <c r="E418" i="117"/>
  <c r="G417" i="117"/>
  <c r="G371" i="117"/>
  <c r="G372" i="117"/>
  <c r="G361" i="117"/>
  <c r="G362" i="117"/>
  <c r="E368" i="117"/>
  <c r="G328" i="117"/>
  <c r="G319" i="117"/>
  <c r="G283" i="117"/>
  <c r="G232" i="117"/>
  <c r="F242" i="117"/>
  <c r="G229" i="117"/>
  <c r="G189" i="117"/>
  <c r="G186" i="117"/>
  <c r="G184" i="117"/>
  <c r="E192" i="117"/>
  <c r="F148" i="117"/>
  <c r="G140" i="117"/>
  <c r="G145" i="117"/>
  <c r="F154" i="117"/>
  <c r="G142" i="117"/>
  <c r="F104" i="117"/>
  <c r="G100" i="117"/>
  <c r="G62" i="117"/>
  <c r="G65" i="117"/>
  <c r="G18" i="117"/>
  <c r="F22" i="117"/>
  <c r="E16" i="117"/>
  <c r="G171" i="117"/>
  <c r="D176" i="117"/>
  <c r="G127" i="117"/>
  <c r="D132" i="117"/>
  <c r="G457" i="117"/>
  <c r="D462" i="117"/>
  <c r="G183" i="117"/>
  <c r="F192" i="117"/>
  <c r="G149" i="117"/>
  <c r="D154" i="117"/>
  <c r="G347" i="117"/>
  <c r="D352" i="117"/>
  <c r="G303" i="117"/>
  <c r="D308" i="117"/>
  <c r="G259" i="117"/>
  <c r="D264" i="117"/>
  <c r="G271" i="117"/>
  <c r="F280" i="117"/>
  <c r="G281" i="117"/>
  <c r="D286" i="117"/>
  <c r="G193" i="117"/>
  <c r="D198" i="117"/>
  <c r="G61" i="117"/>
  <c r="D66" i="117"/>
  <c r="G433" i="117"/>
  <c r="G293" i="117"/>
  <c r="G250" i="117"/>
  <c r="G251" i="117"/>
  <c r="G120" i="117"/>
  <c r="F38" i="117"/>
  <c r="G41" i="117"/>
  <c r="G461" i="117"/>
  <c r="G366" i="117"/>
  <c r="E374" i="117"/>
  <c r="G323" i="117"/>
  <c r="G272" i="117"/>
  <c r="E198" i="117"/>
  <c r="G146" i="117"/>
  <c r="G109" i="117"/>
  <c r="F66" i="117"/>
  <c r="E60" i="117"/>
  <c r="G21" i="117"/>
  <c r="E22" i="117"/>
  <c r="G427" i="117"/>
  <c r="G429" i="117"/>
  <c r="F440" i="117"/>
  <c r="E434" i="117"/>
  <c r="G384" i="117"/>
  <c r="G341" i="117"/>
  <c r="G349" i="117"/>
  <c r="G294" i="117"/>
  <c r="G305" i="117"/>
  <c r="G306" i="117"/>
  <c r="G260" i="117"/>
  <c r="F258" i="117"/>
  <c r="G249" i="117"/>
  <c r="G262" i="117"/>
  <c r="E258" i="117"/>
  <c r="G213" i="117"/>
  <c r="F214" i="117"/>
  <c r="G207" i="117"/>
  <c r="F220" i="117"/>
  <c r="G208" i="117"/>
  <c r="G174" i="117"/>
  <c r="G168" i="117"/>
  <c r="G119" i="117"/>
  <c r="E132" i="117"/>
  <c r="G118" i="117"/>
  <c r="G73" i="117"/>
  <c r="G80" i="117"/>
  <c r="G77" i="117"/>
  <c r="E440" i="117"/>
  <c r="F434" i="117"/>
  <c r="G426" i="117"/>
  <c r="G394" i="117"/>
  <c r="G395" i="117"/>
  <c r="G387" i="117"/>
  <c r="G383" i="117"/>
  <c r="G385" i="117"/>
  <c r="F396" i="117"/>
  <c r="F397" i="117" s="1"/>
  <c r="G386" i="117"/>
  <c r="E390" i="117"/>
  <c r="G344" i="117"/>
  <c r="G343" i="117"/>
  <c r="G307" i="117"/>
  <c r="E308" i="117"/>
  <c r="G263" i="117"/>
  <c r="G206" i="117"/>
  <c r="E220" i="117"/>
  <c r="G216" i="117"/>
  <c r="G218" i="117"/>
  <c r="E214" i="117"/>
  <c r="G163" i="117"/>
  <c r="G167" i="117"/>
  <c r="G164" i="117"/>
  <c r="G169" i="117"/>
  <c r="G129" i="117"/>
  <c r="G131" i="117"/>
  <c r="G128" i="117"/>
  <c r="G76" i="117"/>
  <c r="G74" i="117"/>
  <c r="G43" i="117"/>
  <c r="G32" i="117"/>
  <c r="G34" i="117"/>
  <c r="G33" i="117"/>
  <c r="E38" i="117"/>
  <c r="F456" i="117"/>
  <c r="G458" i="117"/>
  <c r="G449" i="117"/>
  <c r="F462" i="117"/>
  <c r="G450" i="117"/>
  <c r="G409" i="117"/>
  <c r="G410" i="117"/>
  <c r="G364" i="117"/>
  <c r="G367" i="117"/>
  <c r="F374" i="117"/>
  <c r="G373" i="117"/>
  <c r="F324" i="117"/>
  <c r="G315" i="117"/>
  <c r="G317" i="117"/>
  <c r="G327" i="117"/>
  <c r="F330" i="117"/>
  <c r="G320" i="117"/>
  <c r="E324" i="117"/>
  <c r="F286" i="117"/>
  <c r="G282" i="117"/>
  <c r="G279" i="117"/>
  <c r="E286" i="117"/>
  <c r="G241" i="117"/>
  <c r="G235" i="117"/>
  <c r="G240" i="117"/>
  <c r="G228" i="117"/>
  <c r="G239" i="117"/>
  <c r="G197" i="117"/>
  <c r="G195" i="117"/>
  <c r="G196" i="117"/>
  <c r="G143" i="117"/>
  <c r="G150" i="117"/>
  <c r="G141" i="117"/>
  <c r="G139" i="117"/>
  <c r="E148" i="117"/>
  <c r="G103" i="117"/>
  <c r="G107" i="117"/>
  <c r="G106" i="117"/>
  <c r="G95" i="117"/>
  <c r="G101" i="117"/>
  <c r="E110" i="117"/>
  <c r="G63" i="117"/>
  <c r="G56" i="117"/>
  <c r="F16" i="117"/>
  <c r="G15" i="117"/>
  <c r="D264" i="110"/>
  <c r="G259" i="110"/>
  <c r="D132" i="110"/>
  <c r="G127" i="110"/>
  <c r="G39" i="110"/>
  <c r="D44" i="110"/>
  <c r="D330" i="110"/>
  <c r="G325" i="110"/>
  <c r="D308" i="110"/>
  <c r="G303" i="110"/>
  <c r="D110" i="110"/>
  <c r="G105" i="110"/>
  <c r="G17" i="110"/>
  <c r="D22" i="110"/>
  <c r="G344" i="110"/>
  <c r="G300" i="110"/>
  <c r="E302" i="110"/>
  <c r="F264" i="110"/>
  <c r="G217" i="110"/>
  <c r="E126" i="110"/>
  <c r="G84" i="110"/>
  <c r="G37" i="110"/>
  <c r="G322" i="110"/>
  <c r="G276" i="110"/>
  <c r="F280" i="110"/>
  <c r="E374" i="110"/>
  <c r="G365" i="110"/>
  <c r="G362" i="110"/>
  <c r="G371" i="110"/>
  <c r="G238" i="110"/>
  <c r="F242" i="110"/>
  <c r="G146" i="110"/>
  <c r="G147" i="110"/>
  <c r="G145" i="110"/>
  <c r="E148" i="110"/>
  <c r="F60" i="110"/>
  <c r="E66" i="110"/>
  <c r="G57" i="110"/>
  <c r="G342" i="110"/>
  <c r="G351" i="110"/>
  <c r="G301" i="110"/>
  <c r="G306" i="110"/>
  <c r="G298" i="110"/>
  <c r="G251" i="110"/>
  <c r="G252" i="110"/>
  <c r="G249" i="110"/>
  <c r="E258" i="110"/>
  <c r="G218" i="110"/>
  <c r="G205" i="110"/>
  <c r="E220" i="110"/>
  <c r="G208" i="110"/>
  <c r="G213" i="110"/>
  <c r="G168" i="110"/>
  <c r="G172" i="110"/>
  <c r="F126" i="110"/>
  <c r="G125" i="110"/>
  <c r="G117" i="110"/>
  <c r="G123" i="110"/>
  <c r="G131" i="110"/>
  <c r="G73" i="110"/>
  <c r="G78" i="110"/>
  <c r="F82" i="110"/>
  <c r="F88" i="110"/>
  <c r="G75" i="110"/>
  <c r="E82" i="110"/>
  <c r="F38" i="110"/>
  <c r="G31" i="110"/>
  <c r="E44" i="110"/>
  <c r="G36" i="110"/>
  <c r="G33" i="110"/>
  <c r="G317" i="110"/>
  <c r="G326" i="110"/>
  <c r="G320" i="110"/>
  <c r="G329" i="110"/>
  <c r="G272" i="110"/>
  <c r="E286" i="110"/>
  <c r="G283" i="110"/>
  <c r="G275" i="110"/>
  <c r="G187" i="110"/>
  <c r="G185" i="110"/>
  <c r="G186" i="110"/>
  <c r="E192" i="110"/>
  <c r="F104" i="110"/>
  <c r="G18" i="110"/>
  <c r="E236" i="110"/>
  <c r="G153" i="110"/>
  <c r="G55" i="110"/>
  <c r="E352" i="110"/>
  <c r="G359" i="110"/>
  <c r="G360" i="110"/>
  <c r="G235" i="110"/>
  <c r="G228" i="110"/>
  <c r="G234" i="110"/>
  <c r="G144" i="110"/>
  <c r="F154" i="110"/>
  <c r="G56" i="110"/>
  <c r="F66" i="110"/>
  <c r="E60" i="110"/>
  <c r="G348" i="110"/>
  <c r="G349" i="110"/>
  <c r="G305" i="110"/>
  <c r="G296" i="110"/>
  <c r="G299" i="110"/>
  <c r="F258" i="110"/>
  <c r="G216" i="110"/>
  <c r="F220" i="110"/>
  <c r="G149" i="110"/>
  <c r="D154" i="110"/>
  <c r="D66" i="110"/>
  <c r="G61" i="110"/>
  <c r="G369" i="110"/>
  <c r="F374" i="110"/>
  <c r="D352" i="110"/>
  <c r="G347" i="110"/>
  <c r="G315" i="110"/>
  <c r="F324" i="110"/>
  <c r="G281" i="110"/>
  <c r="F286" i="110"/>
  <c r="D242" i="110"/>
  <c r="G237" i="110"/>
  <c r="D220" i="110"/>
  <c r="G215" i="110"/>
  <c r="D176" i="110"/>
  <c r="G171" i="110"/>
  <c r="D88" i="110"/>
  <c r="G83" i="110"/>
  <c r="D374" i="110"/>
  <c r="G233" i="110"/>
  <c r="G227" i="110"/>
  <c r="F148" i="110"/>
  <c r="G141" i="110"/>
  <c r="G65" i="110"/>
  <c r="G307" i="110"/>
  <c r="G263" i="110"/>
  <c r="G210" i="110"/>
  <c r="E214" i="110"/>
  <c r="G174" i="110"/>
  <c r="G164" i="110"/>
  <c r="G169" i="110"/>
  <c r="F132" i="110"/>
  <c r="G124" i="110"/>
  <c r="G74" i="110"/>
  <c r="G86" i="110"/>
  <c r="G32" i="110"/>
  <c r="F44" i="110"/>
  <c r="G30" i="110"/>
  <c r="E38" i="110"/>
  <c r="G318" i="110"/>
  <c r="G327" i="110"/>
  <c r="G100" i="110"/>
  <c r="E104" i="110"/>
  <c r="G104" i="110" s="1"/>
  <c r="G372" i="110"/>
  <c r="G361" i="110"/>
  <c r="G370" i="110"/>
  <c r="G366" i="110"/>
  <c r="E368" i="110"/>
  <c r="G229" i="110"/>
  <c r="G231" i="110"/>
  <c r="G240" i="110"/>
  <c r="E242" i="110"/>
  <c r="G232" i="110"/>
  <c r="G241" i="110"/>
  <c r="G142" i="110"/>
  <c r="E154" i="110"/>
  <c r="G140" i="110"/>
  <c r="G139" i="110"/>
  <c r="G151" i="110"/>
  <c r="G59" i="110"/>
  <c r="G58" i="110"/>
  <c r="G62" i="110"/>
  <c r="G51" i="110"/>
  <c r="G64" i="110"/>
  <c r="F346" i="110"/>
  <c r="G345" i="110"/>
  <c r="G338" i="110"/>
  <c r="F352" i="110"/>
  <c r="E346" i="110"/>
  <c r="E308" i="110"/>
  <c r="G297" i="110"/>
  <c r="F302" i="110"/>
  <c r="F308" i="110"/>
  <c r="G295" i="110"/>
  <c r="G260" i="110"/>
  <c r="G250" i="110"/>
  <c r="G256" i="110"/>
  <c r="G261" i="110"/>
  <c r="G262" i="110"/>
  <c r="G207" i="110"/>
  <c r="G219" i="110"/>
  <c r="G212" i="110"/>
  <c r="G162" i="110"/>
  <c r="G161" i="110"/>
  <c r="G166" i="110"/>
  <c r="G167" i="110"/>
  <c r="F170" i="110"/>
  <c r="F176" i="110"/>
  <c r="G165" i="110"/>
  <c r="E170" i="110"/>
  <c r="G121" i="110"/>
  <c r="G118" i="110"/>
  <c r="G129" i="110"/>
  <c r="G130" i="110"/>
  <c r="G120" i="110"/>
  <c r="G76" i="110"/>
  <c r="G80" i="110"/>
  <c r="G85" i="110"/>
  <c r="G42" i="110"/>
  <c r="G34" i="110"/>
  <c r="G35" i="110"/>
  <c r="G43" i="110"/>
  <c r="E330" i="110"/>
  <c r="G321" i="110"/>
  <c r="G316" i="110"/>
  <c r="F330" i="110"/>
  <c r="E324" i="110"/>
  <c r="G282" i="110"/>
  <c r="G271" i="110"/>
  <c r="G279" i="110"/>
  <c r="F192" i="110"/>
  <c r="G188" i="110"/>
  <c r="G195" i="110"/>
  <c r="D198" i="110"/>
  <c r="G109" i="110"/>
  <c r="G101" i="110"/>
  <c r="G102" i="110"/>
  <c r="G99" i="110"/>
  <c r="F110" i="110"/>
  <c r="G96" i="110"/>
  <c r="F16" i="110"/>
  <c r="G15" i="110"/>
  <c r="G19" i="110"/>
  <c r="G9" i="110"/>
  <c r="F22" i="110"/>
  <c r="G10" i="110"/>
  <c r="E16" i="110"/>
  <c r="G193" i="110"/>
  <c r="F198" i="110"/>
  <c r="D286" i="110"/>
  <c r="G285" i="110"/>
  <c r="G277" i="110"/>
  <c r="E280" i="110"/>
  <c r="G191" i="110"/>
  <c r="G196" i="110"/>
  <c r="G184" i="110"/>
  <c r="G189" i="110"/>
  <c r="G95" i="110"/>
  <c r="G98" i="110"/>
  <c r="G107" i="110"/>
  <c r="G11" i="110"/>
  <c r="G12" i="110"/>
  <c r="G20" i="110"/>
  <c r="G21" i="110"/>
  <c r="D264" i="109"/>
  <c r="G259" i="109"/>
  <c r="D132" i="109"/>
  <c r="G127" i="109"/>
  <c r="D88" i="109"/>
  <c r="G83" i="109"/>
  <c r="D462" i="109"/>
  <c r="G457" i="109"/>
  <c r="G237" i="109"/>
  <c r="E242" i="109"/>
  <c r="D110" i="109"/>
  <c r="G105" i="109"/>
  <c r="E478" i="109"/>
  <c r="E616" i="109"/>
  <c r="F610" i="109"/>
  <c r="G612" i="109"/>
  <c r="G613" i="109"/>
  <c r="G565" i="109"/>
  <c r="G571" i="109"/>
  <c r="G560" i="109"/>
  <c r="G569" i="109"/>
  <c r="G570" i="109"/>
  <c r="G518" i="109"/>
  <c r="E528" i="109"/>
  <c r="G526" i="109"/>
  <c r="E522" i="109"/>
  <c r="G474" i="109"/>
  <c r="G476" i="109"/>
  <c r="G477" i="109"/>
  <c r="G432" i="109"/>
  <c r="G439" i="109"/>
  <c r="G426" i="109"/>
  <c r="G437" i="109"/>
  <c r="G393" i="109"/>
  <c r="G392" i="109"/>
  <c r="G344" i="109"/>
  <c r="G299" i="109"/>
  <c r="G293" i="109"/>
  <c r="G304" i="109"/>
  <c r="F302" i="109"/>
  <c r="F308" i="109"/>
  <c r="G253" i="109"/>
  <c r="G252" i="109"/>
  <c r="G261" i="109"/>
  <c r="G208" i="109"/>
  <c r="G219" i="109"/>
  <c r="G217" i="109"/>
  <c r="G218" i="109"/>
  <c r="G213" i="109"/>
  <c r="E170" i="109"/>
  <c r="G168" i="109"/>
  <c r="F126" i="109"/>
  <c r="F132" i="109"/>
  <c r="G75" i="109"/>
  <c r="G73" i="109"/>
  <c r="G77" i="109"/>
  <c r="G76" i="109"/>
  <c r="G85" i="109"/>
  <c r="G31" i="109"/>
  <c r="G41" i="109"/>
  <c r="G37" i="109"/>
  <c r="G629" i="109"/>
  <c r="G636" i="109"/>
  <c r="G587" i="109"/>
  <c r="G584" i="109"/>
  <c r="G586" i="109"/>
  <c r="E550" i="109"/>
  <c r="G539" i="109"/>
  <c r="G536" i="109"/>
  <c r="G547" i="109"/>
  <c r="G502" i="109"/>
  <c r="E506" i="109"/>
  <c r="G505" i="109"/>
  <c r="G503" i="109"/>
  <c r="G504" i="109"/>
  <c r="G459" i="109"/>
  <c r="G452" i="109"/>
  <c r="G460" i="109"/>
  <c r="G404" i="109"/>
  <c r="F418" i="109"/>
  <c r="G366" i="109"/>
  <c r="G361" i="109"/>
  <c r="G371" i="109"/>
  <c r="D330" i="109"/>
  <c r="G319" i="109"/>
  <c r="G320" i="109"/>
  <c r="G277" i="109"/>
  <c r="F280" i="109"/>
  <c r="G276" i="109"/>
  <c r="E280" i="109"/>
  <c r="G228" i="109"/>
  <c r="F242" i="109"/>
  <c r="E198" i="109"/>
  <c r="G195" i="109"/>
  <c r="F148" i="109"/>
  <c r="G152" i="109"/>
  <c r="D154" i="109"/>
  <c r="G144" i="109"/>
  <c r="E110" i="109"/>
  <c r="G101" i="109"/>
  <c r="E104" i="109"/>
  <c r="F60" i="109"/>
  <c r="G63" i="109"/>
  <c r="F66" i="109"/>
  <c r="G20" i="109"/>
  <c r="G12" i="109"/>
  <c r="G19" i="109"/>
  <c r="D528" i="109"/>
  <c r="G523" i="109"/>
  <c r="D484" i="109"/>
  <c r="G479" i="109"/>
  <c r="D286" i="109"/>
  <c r="G281" i="109"/>
  <c r="D638" i="109"/>
  <c r="G633" i="109"/>
  <c r="D506" i="109"/>
  <c r="G501" i="109"/>
  <c r="D374" i="109"/>
  <c r="G369" i="109"/>
  <c r="G325" i="109"/>
  <c r="E330" i="109"/>
  <c r="G149" i="109"/>
  <c r="E154" i="109"/>
  <c r="G382" i="109"/>
  <c r="G342" i="109"/>
  <c r="F82" i="109"/>
  <c r="E544" i="109"/>
  <c r="G285" i="109"/>
  <c r="G184" i="109"/>
  <c r="G143" i="109"/>
  <c r="G95" i="109"/>
  <c r="G109" i="109"/>
  <c r="G58" i="109"/>
  <c r="F616" i="109"/>
  <c r="G561" i="109"/>
  <c r="G563" i="109"/>
  <c r="G525" i="109"/>
  <c r="G470" i="109"/>
  <c r="G429" i="109"/>
  <c r="E440" i="109"/>
  <c r="E434" i="109"/>
  <c r="G337" i="109"/>
  <c r="G340" i="109"/>
  <c r="G301" i="109"/>
  <c r="G255" i="109"/>
  <c r="E220" i="109"/>
  <c r="G164" i="109"/>
  <c r="G122" i="109"/>
  <c r="G80" i="109"/>
  <c r="G32" i="109"/>
  <c r="G42" i="109"/>
  <c r="F38" i="109"/>
  <c r="F44" i="109"/>
  <c r="G628" i="109"/>
  <c r="G626" i="109"/>
  <c r="G631" i="109"/>
  <c r="G593" i="109"/>
  <c r="G543" i="109"/>
  <c r="G549" i="109"/>
  <c r="G535" i="109"/>
  <c r="G541" i="109"/>
  <c r="G495" i="109"/>
  <c r="F506" i="109"/>
  <c r="G496" i="109"/>
  <c r="E462" i="109"/>
  <c r="G455" i="109"/>
  <c r="G416" i="109"/>
  <c r="D418" i="109"/>
  <c r="G408" i="109"/>
  <c r="G372" i="109"/>
  <c r="E374" i="109"/>
  <c r="G370" i="109"/>
  <c r="E368" i="109"/>
  <c r="G317" i="109"/>
  <c r="G328" i="109"/>
  <c r="G327" i="109"/>
  <c r="G316" i="109"/>
  <c r="F330" i="109"/>
  <c r="G284" i="109"/>
  <c r="G283" i="109"/>
  <c r="G235" i="109"/>
  <c r="G239" i="109"/>
  <c r="D242" i="109"/>
  <c r="G232" i="109"/>
  <c r="G186" i="109"/>
  <c r="G185" i="109"/>
  <c r="G194" i="109"/>
  <c r="E192" i="109"/>
  <c r="G141" i="109"/>
  <c r="G140" i="109"/>
  <c r="F154" i="109"/>
  <c r="G107" i="109"/>
  <c r="G51" i="109"/>
  <c r="G55" i="109"/>
  <c r="G56" i="109"/>
  <c r="G8" i="109"/>
  <c r="G9" i="109"/>
  <c r="G18" i="109"/>
  <c r="E16" i="109"/>
  <c r="D572" i="109"/>
  <c r="G567" i="109"/>
  <c r="D550" i="109"/>
  <c r="G545" i="109"/>
  <c r="G413" i="109"/>
  <c r="E418" i="109"/>
  <c r="D396" i="109"/>
  <c r="G391" i="109"/>
  <c r="D352" i="109"/>
  <c r="G347" i="109"/>
  <c r="D220" i="109"/>
  <c r="G215" i="109"/>
  <c r="D616" i="109"/>
  <c r="G611" i="109"/>
  <c r="D440" i="109"/>
  <c r="G435" i="109"/>
  <c r="D308" i="109"/>
  <c r="G303" i="109"/>
  <c r="D176" i="109"/>
  <c r="G171" i="109"/>
  <c r="D44" i="109"/>
  <c r="G39" i="109"/>
  <c r="G579" i="109"/>
  <c r="F588" i="109"/>
  <c r="D594" i="109"/>
  <c r="G589" i="109"/>
  <c r="G491" i="109"/>
  <c r="F500" i="109"/>
  <c r="D198" i="109"/>
  <c r="G193" i="109"/>
  <c r="G61" i="109"/>
  <c r="E66" i="109"/>
  <c r="D22" i="109"/>
  <c r="G17" i="109"/>
  <c r="G527" i="109"/>
  <c r="G472" i="109"/>
  <c r="G473" i="109"/>
  <c r="E258" i="109"/>
  <c r="F258" i="109"/>
  <c r="G175" i="109"/>
  <c r="E126" i="109"/>
  <c r="E44" i="109"/>
  <c r="G33" i="109"/>
  <c r="G637" i="109"/>
  <c r="E588" i="109"/>
  <c r="G546" i="109"/>
  <c r="G499" i="109"/>
  <c r="G453" i="109"/>
  <c r="G461" i="109"/>
  <c r="G415" i="109"/>
  <c r="E286" i="109"/>
  <c r="G238" i="109"/>
  <c r="G142" i="109"/>
  <c r="E60" i="109"/>
  <c r="G10" i="109"/>
  <c r="G604" i="109"/>
  <c r="G607" i="109"/>
  <c r="G605" i="109"/>
  <c r="G606" i="109"/>
  <c r="E610" i="109"/>
  <c r="G564" i="109"/>
  <c r="E572" i="109"/>
  <c r="G562" i="109"/>
  <c r="F572" i="109"/>
  <c r="G524" i="109"/>
  <c r="G514" i="109"/>
  <c r="G519" i="109"/>
  <c r="G520" i="109"/>
  <c r="F478" i="109"/>
  <c r="F484" i="109"/>
  <c r="G427" i="109"/>
  <c r="G433" i="109"/>
  <c r="G428" i="109"/>
  <c r="F434" i="109"/>
  <c r="G436" i="109"/>
  <c r="F390" i="109"/>
  <c r="F396" i="109"/>
  <c r="G339" i="109"/>
  <c r="G349" i="109"/>
  <c r="G306" i="109"/>
  <c r="G262" i="109"/>
  <c r="G260" i="109"/>
  <c r="G256" i="109"/>
  <c r="G212" i="109"/>
  <c r="F214" i="109"/>
  <c r="F220" i="109"/>
  <c r="E176" i="109"/>
  <c r="G173" i="109"/>
  <c r="G131" i="109"/>
  <c r="G124" i="109"/>
  <c r="G128" i="109"/>
  <c r="G125" i="109"/>
  <c r="G615" i="109"/>
  <c r="G602" i="109"/>
  <c r="G601" i="109"/>
  <c r="F566" i="109"/>
  <c r="G557" i="109"/>
  <c r="G559" i="109"/>
  <c r="E566" i="109"/>
  <c r="F522" i="109"/>
  <c r="G515" i="109"/>
  <c r="F528" i="109"/>
  <c r="G516" i="109"/>
  <c r="G471" i="109"/>
  <c r="G475" i="109"/>
  <c r="E484" i="109"/>
  <c r="G481" i="109"/>
  <c r="G483" i="109"/>
  <c r="G480" i="109"/>
  <c r="G384" i="109"/>
  <c r="G381" i="109"/>
  <c r="G394" i="109"/>
  <c r="E396" i="109"/>
  <c r="E390" i="109"/>
  <c r="G348" i="109"/>
  <c r="G343" i="109"/>
  <c r="G350" i="109"/>
  <c r="E352" i="109"/>
  <c r="F346" i="109"/>
  <c r="F352" i="109"/>
  <c r="G296" i="109"/>
  <c r="G251" i="109"/>
  <c r="G249" i="109"/>
  <c r="E264" i="109"/>
  <c r="G257" i="109"/>
  <c r="G254" i="109"/>
  <c r="G263" i="109"/>
  <c r="G211" i="109"/>
  <c r="G207" i="109"/>
  <c r="G210" i="109"/>
  <c r="E214" i="109"/>
  <c r="G163" i="109"/>
  <c r="F170" i="109"/>
  <c r="F176" i="109"/>
  <c r="G119" i="109"/>
  <c r="G118" i="109"/>
  <c r="G121" i="109"/>
  <c r="G74" i="109"/>
  <c r="E82" i="109"/>
  <c r="G81" i="109"/>
  <c r="G78" i="109"/>
  <c r="G87" i="109"/>
  <c r="G36" i="109"/>
  <c r="G30" i="109"/>
  <c r="G43" i="109"/>
  <c r="E38" i="109"/>
  <c r="E632" i="109"/>
  <c r="G625" i="109"/>
  <c r="F632" i="109"/>
  <c r="F638" i="109"/>
  <c r="G627" i="109"/>
  <c r="G592" i="109"/>
  <c r="G590" i="109"/>
  <c r="G548" i="109"/>
  <c r="G540" i="109"/>
  <c r="F544" i="109"/>
  <c r="F550" i="109"/>
  <c r="G537" i="109"/>
  <c r="G492" i="109"/>
  <c r="E500" i="109"/>
  <c r="E456" i="109"/>
  <c r="G448" i="109"/>
  <c r="G458" i="109"/>
  <c r="F456" i="109"/>
  <c r="F462" i="109"/>
  <c r="G451" i="109"/>
  <c r="F412" i="109"/>
  <c r="G417" i="109"/>
  <c r="G411" i="109"/>
  <c r="G407" i="109"/>
  <c r="G406" i="109"/>
  <c r="F368" i="109"/>
  <c r="G363" i="109"/>
  <c r="G359" i="109"/>
  <c r="G373" i="109"/>
  <c r="G329" i="109"/>
  <c r="F324" i="109"/>
  <c r="G321" i="109"/>
  <c r="G326" i="109"/>
  <c r="G322" i="109"/>
  <c r="E324" i="109"/>
  <c r="G275" i="109"/>
  <c r="G278" i="109"/>
  <c r="F286" i="109"/>
  <c r="F236" i="109"/>
  <c r="G230" i="109"/>
  <c r="G183" i="109"/>
  <c r="F192" i="109"/>
  <c r="G191" i="109"/>
  <c r="G197" i="109"/>
  <c r="G153" i="109"/>
  <c r="G139" i="109"/>
  <c r="G151" i="109"/>
  <c r="G150" i="109"/>
  <c r="G146" i="109"/>
  <c r="E148" i="109"/>
  <c r="G102" i="109"/>
  <c r="G100" i="109"/>
  <c r="G98" i="109"/>
  <c r="G96" i="109"/>
  <c r="G103" i="109"/>
  <c r="F110" i="109"/>
  <c r="G59" i="109"/>
  <c r="G54" i="109"/>
  <c r="G7" i="109"/>
  <c r="E22" i="109"/>
  <c r="G11" i="109"/>
  <c r="G14" i="109"/>
  <c r="G21" i="109"/>
  <c r="F418" i="108"/>
  <c r="G235" i="108"/>
  <c r="D330" i="108"/>
  <c r="G325" i="108"/>
  <c r="G149" i="108"/>
  <c r="D154" i="108"/>
  <c r="G73" i="108"/>
  <c r="F82" i="108"/>
  <c r="D572" i="108"/>
  <c r="G567" i="108"/>
  <c r="D396" i="108"/>
  <c r="G391" i="108"/>
  <c r="G117" i="108"/>
  <c r="E126" i="108"/>
  <c r="G39" i="108"/>
  <c r="D44" i="108"/>
  <c r="D550" i="108"/>
  <c r="G545" i="108"/>
  <c r="D462" i="108"/>
  <c r="G457" i="108"/>
  <c r="G7" i="108"/>
  <c r="F16" i="108"/>
  <c r="E418" i="108"/>
  <c r="F522" i="108"/>
  <c r="F440" i="108"/>
  <c r="E308" i="108"/>
  <c r="F544" i="108"/>
  <c r="G19" i="108"/>
  <c r="G498" i="108"/>
  <c r="F500" i="108"/>
  <c r="G410" i="108"/>
  <c r="G328" i="108"/>
  <c r="E330" i="108"/>
  <c r="G318" i="108"/>
  <c r="G227" i="108"/>
  <c r="G232" i="108"/>
  <c r="G233" i="108"/>
  <c r="G153" i="108"/>
  <c r="E148" i="108"/>
  <c r="G558" i="108"/>
  <c r="F484" i="108"/>
  <c r="G384" i="108"/>
  <c r="G301" i="108"/>
  <c r="G300" i="108"/>
  <c r="G253" i="108"/>
  <c r="G263" i="108"/>
  <c r="G252" i="108"/>
  <c r="F264" i="108"/>
  <c r="G175" i="108"/>
  <c r="G164" i="108"/>
  <c r="G118" i="108"/>
  <c r="G122" i="108"/>
  <c r="G121" i="108"/>
  <c r="G124" i="108"/>
  <c r="G86" i="108"/>
  <c r="G75" i="108"/>
  <c r="F88" i="108"/>
  <c r="G30" i="108"/>
  <c r="F38" i="108"/>
  <c r="G543" i="108"/>
  <c r="F550" i="108"/>
  <c r="G449" i="108"/>
  <c r="E456" i="108"/>
  <c r="G372" i="108"/>
  <c r="G360" i="108"/>
  <c r="G276" i="108"/>
  <c r="G283" i="108"/>
  <c r="E286" i="108"/>
  <c r="G196" i="108"/>
  <c r="G95" i="108"/>
  <c r="G96" i="108"/>
  <c r="E104" i="108"/>
  <c r="G10" i="108"/>
  <c r="F22" i="108"/>
  <c r="E22" i="108"/>
  <c r="D418" i="108"/>
  <c r="G413" i="108"/>
  <c r="D484" i="108"/>
  <c r="G479" i="108"/>
  <c r="D440" i="108"/>
  <c r="G435" i="108"/>
  <c r="G381" i="108"/>
  <c r="F390" i="108"/>
  <c r="D220" i="108"/>
  <c r="G215" i="108"/>
  <c r="D198" i="108"/>
  <c r="G193" i="108"/>
  <c r="G491" i="108"/>
  <c r="E500" i="108"/>
  <c r="D242" i="108"/>
  <c r="G237" i="108"/>
  <c r="D528" i="108"/>
  <c r="G523" i="108"/>
  <c r="D308" i="108"/>
  <c r="G303" i="108"/>
  <c r="G293" i="108"/>
  <c r="F302" i="108"/>
  <c r="G205" i="108"/>
  <c r="F214" i="108"/>
  <c r="D176" i="108"/>
  <c r="G171" i="108"/>
  <c r="D374" i="108"/>
  <c r="G369" i="108"/>
  <c r="G17" i="108"/>
  <c r="D22" i="108"/>
  <c r="E506" i="108"/>
  <c r="G320" i="108"/>
  <c r="E236" i="108"/>
  <c r="F154" i="108"/>
  <c r="G62" i="108"/>
  <c r="G480" i="108"/>
  <c r="E346" i="108"/>
  <c r="G209" i="108"/>
  <c r="G219" i="108"/>
  <c r="G161" i="108"/>
  <c r="E170" i="108"/>
  <c r="E544" i="108"/>
  <c r="G459" i="108"/>
  <c r="G452" i="108"/>
  <c r="G189" i="108"/>
  <c r="F104" i="108"/>
  <c r="G492" i="108"/>
  <c r="G499" i="108"/>
  <c r="G505" i="108"/>
  <c r="G315" i="108"/>
  <c r="G319" i="108"/>
  <c r="G150" i="108"/>
  <c r="G142" i="108"/>
  <c r="G145" i="108"/>
  <c r="G140" i="108"/>
  <c r="G59" i="108"/>
  <c r="G58" i="108"/>
  <c r="G53" i="108"/>
  <c r="F60" i="108"/>
  <c r="F66" i="108"/>
  <c r="G565" i="108"/>
  <c r="G570" i="108"/>
  <c r="G525" i="108"/>
  <c r="G518" i="108"/>
  <c r="F478" i="108"/>
  <c r="G470" i="108"/>
  <c r="E478" i="108"/>
  <c r="G432" i="108"/>
  <c r="G392" i="108"/>
  <c r="G344" i="108"/>
  <c r="G351" i="108"/>
  <c r="G294" i="108"/>
  <c r="E302" i="108"/>
  <c r="G504" i="108"/>
  <c r="G497" i="108"/>
  <c r="G503" i="108"/>
  <c r="G405" i="108"/>
  <c r="G409" i="108"/>
  <c r="G407" i="108"/>
  <c r="G417" i="108"/>
  <c r="G408" i="108"/>
  <c r="E412" i="108"/>
  <c r="G329" i="108"/>
  <c r="F324" i="108"/>
  <c r="G316" i="108"/>
  <c r="F330" i="108"/>
  <c r="G317" i="108"/>
  <c r="G239" i="108"/>
  <c r="G240" i="108"/>
  <c r="E242" i="108"/>
  <c r="G230" i="108"/>
  <c r="G231" i="108"/>
  <c r="G146" i="108"/>
  <c r="G141" i="108"/>
  <c r="G151" i="108"/>
  <c r="G52" i="108"/>
  <c r="G63" i="108"/>
  <c r="G54" i="108"/>
  <c r="G51" i="108"/>
  <c r="G64" i="108"/>
  <c r="E60" i="108"/>
  <c r="E572" i="108"/>
  <c r="G557" i="108"/>
  <c r="G560" i="108"/>
  <c r="G559" i="108"/>
  <c r="G564" i="108"/>
  <c r="G526" i="108"/>
  <c r="G520" i="108"/>
  <c r="G517" i="108"/>
  <c r="G516" i="108"/>
  <c r="E484" i="108"/>
  <c r="E485" i="108" s="1"/>
  <c r="G471" i="108"/>
  <c r="G476" i="108"/>
  <c r="G436" i="108"/>
  <c r="G429" i="108"/>
  <c r="G433" i="108"/>
  <c r="G427" i="108"/>
  <c r="G439" i="108"/>
  <c r="G430" i="108"/>
  <c r="E434" i="108"/>
  <c r="E396" i="108"/>
  <c r="G395" i="108"/>
  <c r="G389" i="108"/>
  <c r="G387" i="108"/>
  <c r="F396" i="108"/>
  <c r="G338" i="108"/>
  <c r="G348" i="108"/>
  <c r="G345" i="108"/>
  <c r="G337" i="108"/>
  <c r="G342" i="108"/>
  <c r="G349" i="108"/>
  <c r="G298" i="108"/>
  <c r="G306" i="108"/>
  <c r="G297" i="108"/>
  <c r="G299" i="108"/>
  <c r="G307" i="108"/>
  <c r="G255" i="108"/>
  <c r="G251" i="108"/>
  <c r="F258" i="108"/>
  <c r="G261" i="108"/>
  <c r="E258" i="108"/>
  <c r="G217" i="108"/>
  <c r="E220" i="108"/>
  <c r="F220" i="108"/>
  <c r="G172" i="108"/>
  <c r="F126" i="108"/>
  <c r="G131" i="108"/>
  <c r="G120" i="108"/>
  <c r="G77" i="108"/>
  <c r="G76" i="108"/>
  <c r="G80" i="108"/>
  <c r="G85" i="108"/>
  <c r="E82" i="108"/>
  <c r="G42" i="108"/>
  <c r="G41" i="108"/>
  <c r="G31" i="108"/>
  <c r="G43" i="108"/>
  <c r="F44" i="108"/>
  <c r="G535" i="108"/>
  <c r="G546" i="108"/>
  <c r="G540" i="108"/>
  <c r="G549" i="108"/>
  <c r="G458" i="108"/>
  <c r="G455" i="108"/>
  <c r="F462" i="108"/>
  <c r="G365" i="108"/>
  <c r="G367" i="108"/>
  <c r="E374" i="108"/>
  <c r="F368" i="108"/>
  <c r="G366" i="108"/>
  <c r="E368" i="108"/>
  <c r="G278" i="108"/>
  <c r="G279" i="108"/>
  <c r="F280" i="108"/>
  <c r="F286" i="108"/>
  <c r="G188" i="108"/>
  <c r="G184" i="108"/>
  <c r="G194" i="108"/>
  <c r="G107" i="108"/>
  <c r="G106" i="108"/>
  <c r="G11" i="108"/>
  <c r="E16" i="108"/>
  <c r="D506" i="108"/>
  <c r="G501" i="108"/>
  <c r="G61" i="108"/>
  <c r="D66" i="108"/>
  <c r="D352" i="108"/>
  <c r="G347" i="108"/>
  <c r="D264" i="108"/>
  <c r="G259" i="108"/>
  <c r="D132" i="108"/>
  <c r="G127" i="108"/>
  <c r="G83" i="108"/>
  <c r="D88" i="108"/>
  <c r="G29" i="108"/>
  <c r="E38" i="108"/>
  <c r="D286" i="108"/>
  <c r="G281" i="108"/>
  <c r="G105" i="108"/>
  <c r="D110" i="108"/>
  <c r="F148" i="108"/>
  <c r="G513" i="108"/>
  <c r="G495" i="108"/>
  <c r="F506" i="108"/>
  <c r="F412" i="108"/>
  <c r="G403" i="108"/>
  <c r="G415" i="108"/>
  <c r="G406" i="108"/>
  <c r="G322" i="108"/>
  <c r="E324" i="108"/>
  <c r="G323" i="108"/>
  <c r="F236" i="108"/>
  <c r="G228" i="108"/>
  <c r="F242" i="108"/>
  <c r="G229" i="108"/>
  <c r="G139" i="108"/>
  <c r="F572" i="108"/>
  <c r="G561" i="108"/>
  <c r="E566" i="108"/>
  <c r="G514" i="108"/>
  <c r="F528" i="108"/>
  <c r="G515" i="108"/>
  <c r="G481" i="108"/>
  <c r="G483" i="108"/>
  <c r="G474" i="108"/>
  <c r="E440" i="108"/>
  <c r="F434" i="108"/>
  <c r="G438" i="108"/>
  <c r="G425" i="108"/>
  <c r="G437" i="108"/>
  <c r="G428" i="108"/>
  <c r="G385" i="108"/>
  <c r="G383" i="108"/>
  <c r="G388" i="108"/>
  <c r="G382" i="108"/>
  <c r="E390" i="108"/>
  <c r="G340" i="108"/>
  <c r="G350" i="108"/>
  <c r="F352" i="108"/>
  <c r="G296" i="108"/>
  <c r="G304" i="108"/>
  <c r="G295" i="108"/>
  <c r="E264" i="108"/>
  <c r="G206" i="108"/>
  <c r="G210" i="108"/>
  <c r="G208" i="108"/>
  <c r="G218" i="108"/>
  <c r="G213" i="108"/>
  <c r="G212" i="108"/>
  <c r="E214" i="108"/>
  <c r="G167" i="108"/>
  <c r="G162" i="108"/>
  <c r="G169" i="108"/>
  <c r="G174" i="108"/>
  <c r="F176" i="108"/>
  <c r="G128" i="108"/>
  <c r="E88" i="108"/>
  <c r="G78" i="108"/>
  <c r="G35" i="108"/>
  <c r="G36" i="108"/>
  <c r="G541" i="108"/>
  <c r="G538" i="108"/>
  <c r="G547" i="108"/>
  <c r="G448" i="108"/>
  <c r="E462" i="108"/>
  <c r="G451" i="108"/>
  <c r="G461" i="108"/>
  <c r="G363" i="108"/>
  <c r="G364" i="108"/>
  <c r="G373" i="108"/>
  <c r="G274" i="108"/>
  <c r="G277" i="108"/>
  <c r="E280" i="108"/>
  <c r="G195" i="108"/>
  <c r="G191" i="108"/>
  <c r="F192" i="108"/>
  <c r="F198" i="108"/>
  <c r="G109" i="108"/>
  <c r="G97" i="108"/>
  <c r="G103" i="108"/>
  <c r="G102" i="108"/>
  <c r="G9" i="108"/>
  <c r="G13" i="108"/>
  <c r="G20" i="108"/>
  <c r="G8" i="108"/>
  <c r="G18" i="108"/>
  <c r="G39" i="107"/>
  <c r="D44" i="107"/>
  <c r="G259" i="107"/>
  <c r="D264" i="107"/>
  <c r="G237" i="107"/>
  <c r="D242" i="107"/>
  <c r="G17" i="107"/>
  <c r="D22" i="107"/>
  <c r="D352" i="107"/>
  <c r="G347" i="107"/>
  <c r="G205" i="107"/>
  <c r="F214" i="107"/>
  <c r="G61" i="107"/>
  <c r="D66" i="107"/>
  <c r="G293" i="107"/>
  <c r="F302" i="107"/>
  <c r="G131" i="107"/>
  <c r="E38" i="107"/>
  <c r="G348" i="107"/>
  <c r="F346" i="107"/>
  <c r="E132" i="107"/>
  <c r="G362" i="107"/>
  <c r="G329" i="107"/>
  <c r="G323" i="107"/>
  <c r="G276" i="107"/>
  <c r="F236" i="107"/>
  <c r="E198" i="107"/>
  <c r="E66" i="107"/>
  <c r="G52" i="107"/>
  <c r="G12" i="107"/>
  <c r="G304" i="107"/>
  <c r="E264" i="107"/>
  <c r="G162" i="107"/>
  <c r="G73" i="107"/>
  <c r="E82" i="107"/>
  <c r="G340" i="107"/>
  <c r="G345" i="107"/>
  <c r="G341" i="107"/>
  <c r="G212" i="107"/>
  <c r="G208" i="107"/>
  <c r="E220" i="107"/>
  <c r="G218" i="107"/>
  <c r="G129" i="107"/>
  <c r="G123" i="107"/>
  <c r="E126" i="107"/>
  <c r="G29" i="107"/>
  <c r="G34" i="107"/>
  <c r="G42" i="107"/>
  <c r="G32" i="107"/>
  <c r="G367" i="107"/>
  <c r="G364" i="107"/>
  <c r="G365" i="107"/>
  <c r="G370" i="107"/>
  <c r="G318" i="107"/>
  <c r="F324" i="107"/>
  <c r="G316" i="107"/>
  <c r="G277" i="107"/>
  <c r="G278" i="107"/>
  <c r="E280" i="107"/>
  <c r="E242" i="107"/>
  <c r="G235" i="107"/>
  <c r="G194" i="107"/>
  <c r="F198" i="107"/>
  <c r="G191" i="107"/>
  <c r="G152" i="107"/>
  <c r="G143" i="107"/>
  <c r="F154" i="107"/>
  <c r="G140" i="107"/>
  <c r="G101" i="107"/>
  <c r="G102" i="107"/>
  <c r="G99" i="107"/>
  <c r="F110" i="107"/>
  <c r="G100" i="107"/>
  <c r="E104" i="107"/>
  <c r="G58" i="107"/>
  <c r="G62" i="107"/>
  <c r="G7" i="107"/>
  <c r="G19" i="107"/>
  <c r="G296" i="107"/>
  <c r="G307" i="107"/>
  <c r="G294" i="107"/>
  <c r="E308" i="107"/>
  <c r="G306" i="107"/>
  <c r="G255" i="107"/>
  <c r="G253" i="107"/>
  <c r="F258" i="107"/>
  <c r="F264" i="107"/>
  <c r="G254" i="107"/>
  <c r="E258" i="107"/>
  <c r="G164" i="107"/>
  <c r="G175" i="107"/>
  <c r="G169" i="107"/>
  <c r="G85" i="107"/>
  <c r="G75" i="107"/>
  <c r="F88" i="107"/>
  <c r="G80" i="107"/>
  <c r="G215" i="107"/>
  <c r="D220" i="107"/>
  <c r="G303" i="107"/>
  <c r="D308" i="107"/>
  <c r="G217" i="107"/>
  <c r="G359" i="107"/>
  <c r="G327" i="107"/>
  <c r="G271" i="107"/>
  <c r="E346" i="107"/>
  <c r="G206" i="107"/>
  <c r="G211" i="107"/>
  <c r="G124" i="107"/>
  <c r="G40" i="107"/>
  <c r="G325" i="107"/>
  <c r="D330" i="107"/>
  <c r="G105" i="107"/>
  <c r="D110" i="107"/>
  <c r="G171" i="107"/>
  <c r="D176" i="107"/>
  <c r="D198" i="107"/>
  <c r="G193" i="107"/>
  <c r="G83" i="107"/>
  <c r="D88" i="107"/>
  <c r="G127" i="107"/>
  <c r="D132" i="107"/>
  <c r="D374" i="107"/>
  <c r="G369" i="107"/>
  <c r="D286" i="107"/>
  <c r="G281" i="107"/>
  <c r="G149" i="107"/>
  <c r="D154" i="107"/>
  <c r="F126" i="107"/>
  <c r="G328" i="107"/>
  <c r="G231" i="107"/>
  <c r="G232" i="107"/>
  <c r="E236" i="107"/>
  <c r="F148" i="107"/>
  <c r="G139" i="107"/>
  <c r="G59" i="107"/>
  <c r="F170" i="107"/>
  <c r="E170" i="107"/>
  <c r="G339" i="107"/>
  <c r="G216" i="107"/>
  <c r="G118" i="107"/>
  <c r="G35" i="107"/>
  <c r="G43" i="107"/>
  <c r="E368" i="107"/>
  <c r="G322" i="107"/>
  <c r="F286" i="107"/>
  <c r="G228" i="107"/>
  <c r="G190" i="107"/>
  <c r="E192" i="107"/>
  <c r="G146" i="107"/>
  <c r="G98" i="107"/>
  <c r="G95" i="107"/>
  <c r="G55" i="107"/>
  <c r="F66" i="107"/>
  <c r="G21" i="107"/>
  <c r="E16" i="107"/>
  <c r="G297" i="107"/>
  <c r="G299" i="107"/>
  <c r="G260" i="107"/>
  <c r="G163" i="107"/>
  <c r="G161" i="107"/>
  <c r="G344" i="107"/>
  <c r="G349" i="107"/>
  <c r="G350" i="107"/>
  <c r="G213" i="107"/>
  <c r="G219" i="107"/>
  <c r="G209" i="107"/>
  <c r="G210" i="107"/>
  <c r="F220" i="107"/>
  <c r="G207" i="107"/>
  <c r="E214" i="107"/>
  <c r="G121" i="107"/>
  <c r="G120" i="107"/>
  <c r="G41" i="107"/>
  <c r="G31" i="107"/>
  <c r="F44" i="107"/>
  <c r="G36" i="107"/>
  <c r="G371" i="107"/>
  <c r="G373" i="107"/>
  <c r="G317" i="107"/>
  <c r="E330" i="107"/>
  <c r="G326" i="107"/>
  <c r="G319" i="107"/>
  <c r="F330" i="107"/>
  <c r="G320" i="107"/>
  <c r="E324" i="107"/>
  <c r="G282" i="107"/>
  <c r="G272" i="107"/>
  <c r="E286" i="107"/>
  <c r="G283" i="107"/>
  <c r="G284" i="107"/>
  <c r="G275" i="107"/>
  <c r="G229" i="107"/>
  <c r="G227" i="107"/>
  <c r="G230" i="107"/>
  <c r="G239" i="107"/>
  <c r="G185" i="107"/>
  <c r="F192" i="107"/>
  <c r="G186" i="107"/>
  <c r="G197" i="107"/>
  <c r="E154" i="107"/>
  <c r="G144" i="107"/>
  <c r="E148" i="107"/>
  <c r="E110" i="107"/>
  <c r="G109" i="107"/>
  <c r="F60" i="107"/>
  <c r="G65" i="107"/>
  <c r="G51" i="107"/>
  <c r="G63" i="107"/>
  <c r="G9" i="107"/>
  <c r="G14" i="107"/>
  <c r="E22" i="107"/>
  <c r="G11" i="107"/>
  <c r="F22" i="107"/>
  <c r="G8" i="107"/>
  <c r="G301" i="107"/>
  <c r="G298" i="107"/>
  <c r="F308" i="107"/>
  <c r="G295" i="107"/>
  <c r="E302" i="107"/>
  <c r="G256" i="107"/>
  <c r="G262" i="107"/>
  <c r="G252" i="107"/>
  <c r="E176" i="107"/>
  <c r="G172" i="107"/>
  <c r="G173" i="107"/>
  <c r="G81" i="107"/>
  <c r="E88" i="107"/>
  <c r="G79" i="107"/>
  <c r="G87" i="107"/>
  <c r="D308" i="106"/>
  <c r="G303" i="106"/>
  <c r="D176" i="106"/>
  <c r="G171" i="106"/>
  <c r="D88" i="106"/>
  <c r="G83" i="106"/>
  <c r="D198" i="106"/>
  <c r="G193" i="106"/>
  <c r="D154" i="106"/>
  <c r="G149" i="106"/>
  <c r="D220" i="106"/>
  <c r="G215" i="106"/>
  <c r="D110" i="106"/>
  <c r="G105" i="106"/>
  <c r="F390" i="106"/>
  <c r="E390" i="106"/>
  <c r="F346" i="106"/>
  <c r="F214" i="106"/>
  <c r="E214" i="106"/>
  <c r="G162" i="106"/>
  <c r="G122" i="106"/>
  <c r="G121" i="106"/>
  <c r="G129" i="106"/>
  <c r="E88" i="106"/>
  <c r="G79" i="106"/>
  <c r="F38" i="106"/>
  <c r="E66" i="106"/>
  <c r="E412" i="106"/>
  <c r="E368" i="106"/>
  <c r="G361" i="106"/>
  <c r="G360" i="106"/>
  <c r="G278" i="106"/>
  <c r="F286" i="106"/>
  <c r="G273" i="106"/>
  <c r="G284" i="106"/>
  <c r="E280" i="106"/>
  <c r="G140" i="106"/>
  <c r="G143" i="106"/>
  <c r="G150" i="106"/>
  <c r="G8" i="106"/>
  <c r="F22" i="106"/>
  <c r="G19" i="106"/>
  <c r="G7" i="106"/>
  <c r="G13" i="106"/>
  <c r="G20" i="106"/>
  <c r="G395" i="106"/>
  <c r="G394" i="106"/>
  <c r="G381" i="106"/>
  <c r="G345" i="106"/>
  <c r="G337" i="106"/>
  <c r="G338" i="106"/>
  <c r="G348" i="106"/>
  <c r="G351" i="106"/>
  <c r="G339" i="106"/>
  <c r="E346" i="106"/>
  <c r="G294" i="106"/>
  <c r="E308" i="106"/>
  <c r="G298" i="106"/>
  <c r="F302" i="106"/>
  <c r="G297" i="106"/>
  <c r="G252" i="106"/>
  <c r="F258" i="106"/>
  <c r="E258" i="106"/>
  <c r="G249" i="106"/>
  <c r="G255" i="106"/>
  <c r="G218" i="106"/>
  <c r="G216" i="106"/>
  <c r="E220" i="106"/>
  <c r="G211" i="106"/>
  <c r="G219" i="106"/>
  <c r="G174" i="106"/>
  <c r="F170" i="106"/>
  <c r="G169" i="106"/>
  <c r="E170" i="106"/>
  <c r="G120" i="106"/>
  <c r="G124" i="106"/>
  <c r="G118" i="106"/>
  <c r="G119" i="106"/>
  <c r="G80" i="106"/>
  <c r="G73" i="106"/>
  <c r="G76" i="106"/>
  <c r="F88" i="106"/>
  <c r="G78" i="106"/>
  <c r="G77" i="106"/>
  <c r="G85" i="106"/>
  <c r="G36" i="106"/>
  <c r="G40" i="106"/>
  <c r="E44" i="106"/>
  <c r="G35" i="106"/>
  <c r="G43" i="106"/>
  <c r="G329" i="106"/>
  <c r="G321" i="106"/>
  <c r="G320" i="106"/>
  <c r="G319" i="106"/>
  <c r="E324" i="106"/>
  <c r="G232" i="106"/>
  <c r="D242" i="106"/>
  <c r="G234" i="106"/>
  <c r="G231" i="106"/>
  <c r="F236" i="106"/>
  <c r="G56" i="106"/>
  <c r="G52" i="106"/>
  <c r="G65" i="106"/>
  <c r="G51" i="106"/>
  <c r="G57" i="106"/>
  <c r="G64" i="106"/>
  <c r="G416" i="106"/>
  <c r="G415" i="106"/>
  <c r="G404" i="106"/>
  <c r="F418" i="106"/>
  <c r="G414" i="106"/>
  <c r="G417" i="106"/>
  <c r="G190" i="106"/>
  <c r="G185" i="106"/>
  <c r="E192" i="106"/>
  <c r="G96" i="106"/>
  <c r="G99" i="106"/>
  <c r="G106" i="106"/>
  <c r="D22" i="106"/>
  <c r="G17" i="106"/>
  <c r="D396" i="106"/>
  <c r="G391" i="106"/>
  <c r="D264" i="106"/>
  <c r="G259" i="106"/>
  <c r="D132" i="106"/>
  <c r="G127" i="106"/>
  <c r="D44" i="106"/>
  <c r="G39" i="106"/>
  <c r="D330" i="106"/>
  <c r="G325" i="106"/>
  <c r="G315" i="106"/>
  <c r="F324" i="106"/>
  <c r="D66" i="106"/>
  <c r="G61" i="106"/>
  <c r="D418" i="106"/>
  <c r="G413" i="106"/>
  <c r="G364" i="106"/>
  <c r="F368" i="106"/>
  <c r="G371" i="106"/>
  <c r="G276" i="106"/>
  <c r="G282" i="106"/>
  <c r="G146" i="106"/>
  <c r="E148" i="106"/>
  <c r="G21" i="106"/>
  <c r="G11" i="106"/>
  <c r="G388" i="106"/>
  <c r="G393" i="106"/>
  <c r="G349" i="106"/>
  <c r="E352" i="106"/>
  <c r="G344" i="106"/>
  <c r="G350" i="106"/>
  <c r="F308" i="106"/>
  <c r="G295" i="106"/>
  <c r="E302" i="106"/>
  <c r="G253" i="106"/>
  <c r="G210" i="106"/>
  <c r="G209" i="106"/>
  <c r="G217" i="106"/>
  <c r="G168" i="106"/>
  <c r="G172" i="106"/>
  <c r="E176" i="106"/>
  <c r="G167" i="106"/>
  <c r="G175" i="106"/>
  <c r="G130" i="106"/>
  <c r="F126" i="106"/>
  <c r="E126" i="106"/>
  <c r="G74" i="106"/>
  <c r="G75" i="106"/>
  <c r="G34" i="106"/>
  <c r="G33" i="106"/>
  <c r="G41" i="106"/>
  <c r="G326" i="106"/>
  <c r="G316" i="106"/>
  <c r="G228" i="106"/>
  <c r="E236" i="106"/>
  <c r="G55" i="106"/>
  <c r="G62" i="106"/>
  <c r="G408" i="106"/>
  <c r="G410" i="106"/>
  <c r="E418" i="106"/>
  <c r="E198" i="106"/>
  <c r="G186" i="106"/>
  <c r="F192" i="106"/>
  <c r="G191" i="106"/>
  <c r="G102" i="106"/>
  <c r="G97" i="106"/>
  <c r="E104" i="106"/>
  <c r="D374" i="106"/>
  <c r="G369" i="106"/>
  <c r="D286" i="106"/>
  <c r="G281" i="106"/>
  <c r="D352" i="106"/>
  <c r="G347" i="106"/>
  <c r="G237" i="106"/>
  <c r="E242" i="106"/>
  <c r="G403" i="106"/>
  <c r="F412" i="106"/>
  <c r="G359" i="106"/>
  <c r="G363" i="106"/>
  <c r="G367" i="106"/>
  <c r="G366" i="106"/>
  <c r="E286" i="106"/>
  <c r="G272" i="106"/>
  <c r="G277" i="106"/>
  <c r="F280" i="106"/>
  <c r="E154" i="106"/>
  <c r="G142" i="106"/>
  <c r="F148" i="106"/>
  <c r="G147" i="106"/>
  <c r="G12" i="106"/>
  <c r="G14" i="106"/>
  <c r="G9" i="106"/>
  <c r="E16" i="106"/>
  <c r="G389" i="106"/>
  <c r="F352" i="106"/>
  <c r="G340" i="106"/>
  <c r="G306" i="106"/>
  <c r="G305" i="106"/>
  <c r="G304" i="106"/>
  <c r="G307" i="106"/>
  <c r="F264" i="106"/>
  <c r="G261" i="106"/>
  <c r="E264" i="106"/>
  <c r="G251" i="106"/>
  <c r="G208" i="106"/>
  <c r="F220" i="106"/>
  <c r="F221" i="106" s="1"/>
  <c r="G205" i="106"/>
  <c r="G206" i="106"/>
  <c r="G207" i="106"/>
  <c r="G164" i="106"/>
  <c r="F176" i="106"/>
  <c r="G166" i="106"/>
  <c r="G165" i="106"/>
  <c r="G173" i="106"/>
  <c r="E132" i="106"/>
  <c r="G123" i="106"/>
  <c r="G131" i="106"/>
  <c r="F82" i="106"/>
  <c r="G81" i="106"/>
  <c r="E82" i="106"/>
  <c r="G32" i="106"/>
  <c r="G31" i="106"/>
  <c r="E330" i="106"/>
  <c r="E331" i="106" s="1"/>
  <c r="G322" i="106"/>
  <c r="F330" i="106"/>
  <c r="G317" i="106"/>
  <c r="G328" i="106"/>
  <c r="G327" i="106"/>
  <c r="G240" i="106"/>
  <c r="G58" i="106"/>
  <c r="G53" i="106"/>
  <c r="E60" i="106"/>
  <c r="G406" i="106"/>
  <c r="G409" i="106"/>
  <c r="G195" i="106"/>
  <c r="G183" i="106"/>
  <c r="G196" i="106"/>
  <c r="G100" i="106"/>
  <c r="G98" i="106"/>
  <c r="F104" i="106"/>
  <c r="G103" i="106"/>
  <c r="D1012" i="105"/>
  <c r="G1007" i="105"/>
  <c r="D836" i="105"/>
  <c r="G831" i="105"/>
  <c r="D704" i="105"/>
  <c r="G699" i="105"/>
  <c r="D572" i="105"/>
  <c r="G567" i="105"/>
  <c r="G469" i="105"/>
  <c r="E478" i="105"/>
  <c r="G303" i="105"/>
  <c r="D308" i="105"/>
  <c r="D264" i="105"/>
  <c r="G259" i="105"/>
  <c r="G39" i="105"/>
  <c r="D44" i="105"/>
  <c r="D902" i="105"/>
  <c r="G897" i="105"/>
  <c r="G623" i="105"/>
  <c r="E632" i="105"/>
  <c r="G281" i="105"/>
  <c r="D286" i="105"/>
  <c r="G193" i="105"/>
  <c r="D198" i="105"/>
  <c r="G1053" i="105"/>
  <c r="G1045" i="105"/>
  <c r="E1050" i="105"/>
  <c r="G1041" i="105"/>
  <c r="G1047" i="105"/>
  <c r="G1042" i="105"/>
  <c r="G1044" i="105"/>
  <c r="G1010" i="105"/>
  <c r="G1004" i="105"/>
  <c r="E1012" i="105"/>
  <c r="E1006" i="105"/>
  <c r="G1005" i="105"/>
  <c r="G965" i="105"/>
  <c r="G957" i="105"/>
  <c r="G956" i="105"/>
  <c r="F962" i="105"/>
  <c r="E968" i="105"/>
  <c r="G913" i="105"/>
  <c r="G920" i="105"/>
  <c r="G865" i="105"/>
  <c r="G877" i="105"/>
  <c r="G873" i="105"/>
  <c r="G822" i="105"/>
  <c r="F836" i="105"/>
  <c r="G826" i="105"/>
  <c r="G832" i="105"/>
  <c r="E830" i="105"/>
  <c r="G781" i="105"/>
  <c r="F786" i="105"/>
  <c r="E792" i="105"/>
  <c r="E654" i="105"/>
  <c r="G603" i="105"/>
  <c r="F616" i="105"/>
  <c r="G602" i="105"/>
  <c r="G615" i="105"/>
  <c r="F610" i="105"/>
  <c r="G563" i="105"/>
  <c r="G562" i="105"/>
  <c r="G561" i="105"/>
  <c r="G438" i="105"/>
  <c r="G427" i="105"/>
  <c r="G426" i="105"/>
  <c r="F434" i="105"/>
  <c r="G395" i="105"/>
  <c r="G394" i="105"/>
  <c r="G386" i="105"/>
  <c r="G385" i="105"/>
  <c r="F346" i="105"/>
  <c r="G343" i="105"/>
  <c r="G304" i="105"/>
  <c r="E302" i="105"/>
  <c r="G262" i="105"/>
  <c r="G249" i="105"/>
  <c r="G263" i="105"/>
  <c r="E264" i="105"/>
  <c r="E220" i="105"/>
  <c r="G219" i="105"/>
  <c r="G217" i="105"/>
  <c r="G175" i="105"/>
  <c r="E176" i="105"/>
  <c r="G164" i="105"/>
  <c r="G122" i="105"/>
  <c r="F126" i="105"/>
  <c r="E126" i="105"/>
  <c r="F38" i="105"/>
  <c r="G43" i="105"/>
  <c r="G29" i="105"/>
  <c r="G1019" i="105"/>
  <c r="G1020" i="105"/>
  <c r="G1026" i="105"/>
  <c r="E1034" i="105"/>
  <c r="G978" i="105"/>
  <c r="E984" i="105"/>
  <c r="G944" i="105"/>
  <c r="F946" i="105"/>
  <c r="F940" i="105"/>
  <c r="E946" i="105"/>
  <c r="F902" i="105"/>
  <c r="G850" i="105"/>
  <c r="D858" i="105"/>
  <c r="G848" i="105"/>
  <c r="G851" i="105"/>
  <c r="E858" i="105"/>
  <c r="G803" i="105"/>
  <c r="G813" i="105"/>
  <c r="G807" i="105"/>
  <c r="E808" i="105"/>
  <c r="F764" i="105"/>
  <c r="G713" i="105"/>
  <c r="G722" i="105"/>
  <c r="G714" i="105"/>
  <c r="G715" i="105"/>
  <c r="G670" i="105"/>
  <c r="E682" i="105"/>
  <c r="G627" i="105"/>
  <c r="D638" i="105"/>
  <c r="F632" i="105"/>
  <c r="G629" i="105"/>
  <c r="G580" i="105"/>
  <c r="F588" i="105"/>
  <c r="G587" i="105"/>
  <c r="G546" i="105"/>
  <c r="G549" i="105"/>
  <c r="G493" i="105"/>
  <c r="G505" i="105"/>
  <c r="G502" i="105"/>
  <c r="E506" i="105"/>
  <c r="G451" i="105"/>
  <c r="G460" i="105"/>
  <c r="E456" i="105"/>
  <c r="G404" i="105"/>
  <c r="G411" i="105"/>
  <c r="G406" i="105"/>
  <c r="F412" i="105"/>
  <c r="G370" i="105"/>
  <c r="G359" i="105"/>
  <c r="G362" i="105"/>
  <c r="G326" i="105"/>
  <c r="F330" i="105"/>
  <c r="G322" i="105"/>
  <c r="E330" i="105"/>
  <c r="G277" i="105"/>
  <c r="G272" i="105"/>
  <c r="E280" i="105"/>
  <c r="G234" i="105"/>
  <c r="G228" i="105"/>
  <c r="E198" i="105"/>
  <c r="G188" i="105"/>
  <c r="F198" i="105"/>
  <c r="G190" i="105"/>
  <c r="G153" i="105"/>
  <c r="G152" i="105"/>
  <c r="F104" i="105"/>
  <c r="E104" i="105"/>
  <c r="E66" i="105"/>
  <c r="G54" i="105"/>
  <c r="G57" i="105"/>
  <c r="G12" i="105"/>
  <c r="G15" i="105"/>
  <c r="D792" i="105"/>
  <c r="G787" i="105"/>
  <c r="D748" i="105"/>
  <c r="G743" i="105"/>
  <c r="D660" i="105"/>
  <c r="G655" i="105"/>
  <c r="D616" i="105"/>
  <c r="G611" i="105"/>
  <c r="D528" i="105"/>
  <c r="G523" i="105"/>
  <c r="G479" i="105"/>
  <c r="D484" i="105"/>
  <c r="G127" i="105"/>
  <c r="D132" i="105"/>
  <c r="G83" i="105"/>
  <c r="D88" i="105"/>
  <c r="G931" i="105"/>
  <c r="E940" i="105"/>
  <c r="G677" i="105"/>
  <c r="F682" i="105"/>
  <c r="G545" i="105"/>
  <c r="F550" i="105"/>
  <c r="G457" i="105"/>
  <c r="D462" i="105"/>
  <c r="G325" i="105"/>
  <c r="D330" i="105"/>
  <c r="G149" i="105"/>
  <c r="D154" i="105"/>
  <c r="G7" i="105"/>
  <c r="F16" i="105"/>
  <c r="F792" i="105"/>
  <c r="G784" i="105"/>
  <c r="E786" i="105"/>
  <c r="G741" i="105"/>
  <c r="G737" i="105"/>
  <c r="F742" i="105"/>
  <c r="G744" i="105"/>
  <c r="G703" i="105"/>
  <c r="F704" i="105"/>
  <c r="G696" i="105"/>
  <c r="G695" i="105"/>
  <c r="G700" i="105"/>
  <c r="G649" i="105"/>
  <c r="F660" i="105"/>
  <c r="G650" i="105"/>
  <c r="G651" i="105"/>
  <c r="G658" i="105"/>
  <c r="G601" i="105"/>
  <c r="G612" i="105"/>
  <c r="E610" i="105"/>
  <c r="G570" i="105"/>
  <c r="G571" i="105"/>
  <c r="F566" i="105"/>
  <c r="G514" i="105"/>
  <c r="G519" i="105"/>
  <c r="F484" i="105"/>
  <c r="G425" i="105"/>
  <c r="G432" i="105"/>
  <c r="G436" i="105"/>
  <c r="E434" i="105"/>
  <c r="G434" i="105" s="1"/>
  <c r="G387" i="105"/>
  <c r="G383" i="105"/>
  <c r="G384" i="105"/>
  <c r="G382" i="105"/>
  <c r="F390" i="105"/>
  <c r="G341" i="105"/>
  <c r="G339" i="105"/>
  <c r="G342" i="105"/>
  <c r="G298" i="105"/>
  <c r="G296" i="105"/>
  <c r="G299" i="105"/>
  <c r="G251" i="105"/>
  <c r="G250" i="105"/>
  <c r="G256" i="105"/>
  <c r="F220" i="105"/>
  <c r="G218" i="105"/>
  <c r="G212" i="105"/>
  <c r="G213" i="105"/>
  <c r="G161" i="105"/>
  <c r="F176" i="105"/>
  <c r="G173" i="105"/>
  <c r="G172" i="105"/>
  <c r="G131" i="105"/>
  <c r="G118" i="105"/>
  <c r="F88" i="105"/>
  <c r="G75" i="105"/>
  <c r="G87" i="105"/>
  <c r="G78" i="105"/>
  <c r="F82" i="105"/>
  <c r="G77" i="105"/>
  <c r="E82" i="105"/>
  <c r="G31" i="105"/>
  <c r="E44" i="105"/>
  <c r="G32" i="105"/>
  <c r="G36" i="105"/>
  <c r="G41" i="105"/>
  <c r="G37" i="105"/>
  <c r="G1033" i="105"/>
  <c r="G1022" i="105"/>
  <c r="G977" i="105"/>
  <c r="G986" i="105"/>
  <c r="G989" i="105"/>
  <c r="G975" i="105"/>
  <c r="G942" i="105"/>
  <c r="G939" i="105"/>
  <c r="G937" i="105"/>
  <c r="G890" i="105"/>
  <c r="F896" i="105"/>
  <c r="F852" i="105"/>
  <c r="G844" i="105"/>
  <c r="G810" i="105"/>
  <c r="G800" i="105"/>
  <c r="G802" i="105"/>
  <c r="E814" i="105"/>
  <c r="G760" i="105"/>
  <c r="E764" i="105"/>
  <c r="G763" i="105"/>
  <c r="F720" i="105"/>
  <c r="G637" i="105"/>
  <c r="E588" i="105"/>
  <c r="G503" i="105"/>
  <c r="F506" i="105"/>
  <c r="F368" i="105"/>
  <c r="G318" i="105"/>
  <c r="F236" i="105"/>
  <c r="G184" i="105"/>
  <c r="E154" i="105"/>
  <c r="G107" i="105"/>
  <c r="G109" i="105"/>
  <c r="F60" i="105"/>
  <c r="E60" i="105"/>
  <c r="G1051" i="105"/>
  <c r="D1056" i="105"/>
  <c r="D924" i="105"/>
  <c r="G919" i="105"/>
  <c r="D880" i="105"/>
  <c r="G875" i="105"/>
  <c r="G391" i="105"/>
  <c r="D396" i="105"/>
  <c r="G171" i="105"/>
  <c r="D176" i="105"/>
  <c r="G1029" i="105"/>
  <c r="D1034" i="105"/>
  <c r="G809" i="105"/>
  <c r="F814" i="105"/>
  <c r="G765" i="105"/>
  <c r="F770" i="105"/>
  <c r="G667" i="105"/>
  <c r="F676" i="105"/>
  <c r="G633" i="105"/>
  <c r="F638" i="105"/>
  <c r="D594" i="105"/>
  <c r="G589" i="105"/>
  <c r="G413" i="105"/>
  <c r="D418" i="105"/>
  <c r="G105" i="105"/>
  <c r="D110" i="105"/>
  <c r="G17" i="105"/>
  <c r="D22" i="105"/>
  <c r="G1003" i="105"/>
  <c r="G828" i="105"/>
  <c r="G1049" i="105"/>
  <c r="E1056" i="105"/>
  <c r="G1055" i="105"/>
  <c r="F1050" i="105"/>
  <c r="G1008" i="105"/>
  <c r="G1002" i="105"/>
  <c r="G1011" i="105"/>
  <c r="G1001" i="105"/>
  <c r="G967" i="105"/>
  <c r="G959" i="105"/>
  <c r="G964" i="105"/>
  <c r="G911" i="105"/>
  <c r="G922" i="105"/>
  <c r="G917" i="105"/>
  <c r="G916" i="105"/>
  <c r="E918" i="105"/>
  <c r="G872" i="105"/>
  <c r="G866" i="105"/>
  <c r="G871" i="105"/>
  <c r="G868" i="105"/>
  <c r="G879" i="105"/>
  <c r="F874" i="105"/>
  <c r="G876" i="105"/>
  <c r="G824" i="105"/>
  <c r="G834" i="105"/>
  <c r="G782" i="105"/>
  <c r="G778" i="105"/>
  <c r="G780" i="105"/>
  <c r="G779" i="105"/>
  <c r="G790" i="105"/>
  <c r="G734" i="105"/>
  <c r="G738" i="105"/>
  <c r="G740" i="105"/>
  <c r="G739" i="105"/>
  <c r="E742" i="105"/>
  <c r="G742" i="105" s="1"/>
  <c r="E704" i="105"/>
  <c r="G697" i="105"/>
  <c r="G690" i="105"/>
  <c r="G692" i="105"/>
  <c r="F698" i="105"/>
  <c r="G646" i="105"/>
  <c r="E660" i="105"/>
  <c r="G659" i="105"/>
  <c r="G656" i="105"/>
  <c r="G648" i="105"/>
  <c r="G647" i="105"/>
  <c r="E616" i="105"/>
  <c r="G608" i="105"/>
  <c r="G609" i="105"/>
  <c r="G558" i="105"/>
  <c r="E566" i="105"/>
  <c r="E528" i="105"/>
  <c r="G516" i="105"/>
  <c r="F522" i="105"/>
  <c r="G524" i="105"/>
  <c r="G472" i="105"/>
  <c r="G475" i="105"/>
  <c r="G474" i="105"/>
  <c r="G428" i="105"/>
  <c r="F440" i="105"/>
  <c r="G433" i="105"/>
  <c r="F396" i="105"/>
  <c r="G392" i="105"/>
  <c r="E390" i="105"/>
  <c r="G345" i="105"/>
  <c r="G337" i="105"/>
  <c r="E352" i="105"/>
  <c r="G294" i="105"/>
  <c r="G301" i="105"/>
  <c r="G295" i="105"/>
  <c r="F264" i="105"/>
  <c r="G252" i="105"/>
  <c r="G211" i="105"/>
  <c r="G210" i="105"/>
  <c r="F214" i="105"/>
  <c r="G209" i="105"/>
  <c r="E214" i="105"/>
  <c r="G169" i="105"/>
  <c r="G119" i="105"/>
  <c r="E132" i="105"/>
  <c r="G120" i="105"/>
  <c r="G124" i="105"/>
  <c r="G129" i="105"/>
  <c r="G128" i="105"/>
  <c r="G86" i="105"/>
  <c r="G76" i="105"/>
  <c r="G74" i="105"/>
  <c r="G35" i="105"/>
  <c r="G33" i="105"/>
  <c r="E38" i="105"/>
  <c r="G1027" i="105"/>
  <c r="F1034" i="105"/>
  <c r="F1028" i="105"/>
  <c r="G976" i="105"/>
  <c r="G987" i="105"/>
  <c r="F990" i="105"/>
  <c r="G982" i="105"/>
  <c r="G943" i="105"/>
  <c r="G932" i="105"/>
  <c r="G945" i="105"/>
  <c r="G936" i="105"/>
  <c r="G935" i="105"/>
  <c r="G899" i="105"/>
  <c r="G892" i="105"/>
  <c r="G900" i="105"/>
  <c r="E896" i="105"/>
  <c r="G895" i="105"/>
  <c r="G855" i="105"/>
  <c r="G857" i="105"/>
  <c r="G845" i="105"/>
  <c r="G811" i="105"/>
  <c r="G812" i="105"/>
  <c r="G804" i="105"/>
  <c r="G801" i="105"/>
  <c r="D770" i="105"/>
  <c r="E770" i="105"/>
  <c r="G759" i="105"/>
  <c r="G711" i="105"/>
  <c r="E720" i="105"/>
  <c r="G674" i="105"/>
  <c r="D682" i="105"/>
  <c r="G678" i="105"/>
  <c r="G636" i="105"/>
  <c r="G585" i="105"/>
  <c r="G593" i="105"/>
  <c r="G586" i="105"/>
  <c r="E594" i="105"/>
  <c r="G538" i="105"/>
  <c r="G542" i="105"/>
  <c r="G537" i="105"/>
  <c r="E544" i="105"/>
  <c r="G543" i="105"/>
  <c r="G494" i="105"/>
  <c r="G495" i="105"/>
  <c r="G454" i="105"/>
  <c r="F462" i="105"/>
  <c r="G453" i="105"/>
  <c r="G415" i="105"/>
  <c r="G417" i="105"/>
  <c r="E418" i="105"/>
  <c r="G360" i="105"/>
  <c r="G367" i="105"/>
  <c r="E368" i="105"/>
  <c r="G327" i="105"/>
  <c r="G328" i="105"/>
  <c r="G319" i="105"/>
  <c r="F324" i="105"/>
  <c r="G278" i="105"/>
  <c r="G227" i="105"/>
  <c r="G194" i="105"/>
  <c r="F192" i="105"/>
  <c r="G185" i="105"/>
  <c r="E192" i="105"/>
  <c r="G145" i="105"/>
  <c r="E110" i="105"/>
  <c r="F110" i="105"/>
  <c r="G102" i="105"/>
  <c r="G59" i="105"/>
  <c r="G63" i="105"/>
  <c r="G65" i="105"/>
  <c r="G51" i="105"/>
  <c r="G10" i="105"/>
  <c r="G8" i="105"/>
  <c r="E16" i="105"/>
  <c r="D968" i="105"/>
  <c r="G963" i="105"/>
  <c r="G435" i="105"/>
  <c r="D440" i="105"/>
  <c r="G347" i="105"/>
  <c r="D352" i="105"/>
  <c r="G215" i="105"/>
  <c r="D220" i="105"/>
  <c r="D990" i="105"/>
  <c r="G985" i="105"/>
  <c r="D946" i="105"/>
  <c r="G941" i="105"/>
  <c r="G853" i="105"/>
  <c r="F858" i="105"/>
  <c r="G843" i="105"/>
  <c r="E852" i="105"/>
  <c r="G799" i="105"/>
  <c r="F808" i="105"/>
  <c r="D726" i="105"/>
  <c r="G721" i="105"/>
  <c r="G501" i="105"/>
  <c r="D506" i="105"/>
  <c r="G491" i="105"/>
  <c r="E500" i="105"/>
  <c r="G369" i="105"/>
  <c r="D374" i="105"/>
  <c r="G237" i="105"/>
  <c r="D242" i="105"/>
  <c r="G61" i="105"/>
  <c r="D66" i="105"/>
  <c r="G910" i="105"/>
  <c r="G1054" i="105"/>
  <c r="F1006" i="105"/>
  <c r="F968" i="105"/>
  <c r="G961" i="105"/>
  <c r="G954" i="105"/>
  <c r="G909" i="105"/>
  <c r="G912" i="105"/>
  <c r="E924" i="105"/>
  <c r="G870" i="105"/>
  <c r="G869" i="105"/>
  <c r="G867" i="105"/>
  <c r="E874" i="105"/>
  <c r="G825" i="105"/>
  <c r="G835" i="105"/>
  <c r="F830" i="105"/>
  <c r="G736" i="105"/>
  <c r="G470" i="105"/>
  <c r="F478" i="105"/>
  <c r="G351" i="105"/>
  <c r="F352" i="105"/>
  <c r="G349" i="105"/>
  <c r="F302" i="105"/>
  <c r="G166" i="105"/>
  <c r="F170" i="105"/>
  <c r="G85" i="105"/>
  <c r="G34" i="105"/>
  <c r="G30" i="105"/>
  <c r="E1028" i="105"/>
  <c r="G980" i="105"/>
  <c r="F984" i="105"/>
  <c r="G901" i="105"/>
  <c r="G762" i="105"/>
  <c r="G758" i="105"/>
  <c r="G724" i="105"/>
  <c r="F726" i="105"/>
  <c r="G723" i="105"/>
  <c r="E726" i="105"/>
  <c r="G671" i="105"/>
  <c r="E676" i="105"/>
  <c r="G630" i="105"/>
  <c r="G635" i="105"/>
  <c r="G625" i="105"/>
  <c r="G582" i="105"/>
  <c r="G579" i="105"/>
  <c r="G590" i="105"/>
  <c r="F594" i="105"/>
  <c r="G583" i="105"/>
  <c r="G536" i="105"/>
  <c r="G547" i="105"/>
  <c r="G535" i="105"/>
  <c r="E550" i="105"/>
  <c r="G539" i="105"/>
  <c r="G497" i="105"/>
  <c r="G504" i="105"/>
  <c r="G498" i="105"/>
  <c r="G496" i="105"/>
  <c r="F500" i="105"/>
  <c r="G492" i="105"/>
  <c r="G458" i="105"/>
  <c r="G450" i="105"/>
  <c r="G449" i="105"/>
  <c r="F456" i="105"/>
  <c r="G408" i="105"/>
  <c r="G410" i="105"/>
  <c r="F418" i="105"/>
  <c r="G409" i="105"/>
  <c r="G364" i="105"/>
  <c r="G371" i="105"/>
  <c r="G366" i="105"/>
  <c r="F374" i="105"/>
  <c r="E374" i="105"/>
  <c r="G320" i="105"/>
  <c r="G315" i="105"/>
  <c r="G321" i="105"/>
  <c r="G316" i="105"/>
  <c r="G329" i="105"/>
  <c r="E324" i="105"/>
  <c r="G284" i="105"/>
  <c r="G283" i="105"/>
  <c r="F286" i="105"/>
  <c r="G275" i="105"/>
  <c r="F280" i="105"/>
  <c r="G241" i="105"/>
  <c r="G238" i="105"/>
  <c r="G235" i="105"/>
  <c r="F242" i="105"/>
  <c r="G239" i="105"/>
  <c r="G187" i="105"/>
  <c r="G195" i="105"/>
  <c r="G197" i="105"/>
  <c r="G183" i="105"/>
  <c r="G196" i="105"/>
  <c r="G151" i="105"/>
  <c r="F148" i="105"/>
  <c r="G141" i="105"/>
  <c r="E148" i="105"/>
  <c r="G98" i="105"/>
  <c r="G101" i="105"/>
  <c r="F66" i="105"/>
  <c r="G58" i="105"/>
  <c r="G9" i="105"/>
  <c r="G14" i="105"/>
  <c r="F22" i="105"/>
  <c r="G18" i="105"/>
  <c r="G21" i="105"/>
  <c r="G369" i="104"/>
  <c r="D374" i="104"/>
  <c r="G281" i="104"/>
  <c r="D286" i="104"/>
  <c r="G237" i="104"/>
  <c r="D242" i="104"/>
  <c r="G39" i="104"/>
  <c r="D44" i="104"/>
  <c r="F66" i="104"/>
  <c r="E280" i="104"/>
  <c r="E302" i="104"/>
  <c r="F88" i="104"/>
  <c r="G147" i="104"/>
  <c r="G95" i="104"/>
  <c r="G370" i="104"/>
  <c r="F374" i="104"/>
  <c r="F324" i="104"/>
  <c r="G315" i="104"/>
  <c r="G273" i="104"/>
  <c r="G278" i="104"/>
  <c r="E236" i="104"/>
  <c r="G196" i="104"/>
  <c r="F192" i="104"/>
  <c r="G186" i="104"/>
  <c r="F198" i="104"/>
  <c r="G343" i="104"/>
  <c r="G344" i="104"/>
  <c r="G304" i="104"/>
  <c r="G299" i="104"/>
  <c r="G307" i="104"/>
  <c r="G251" i="104"/>
  <c r="F264" i="104"/>
  <c r="E220" i="104"/>
  <c r="G208" i="104"/>
  <c r="G213" i="104"/>
  <c r="G167" i="104"/>
  <c r="G173" i="104"/>
  <c r="G124" i="104"/>
  <c r="G119" i="104"/>
  <c r="G131" i="104"/>
  <c r="G75" i="104"/>
  <c r="G74" i="104"/>
  <c r="D88" i="104"/>
  <c r="G85" i="104"/>
  <c r="G80" i="104"/>
  <c r="E44" i="104"/>
  <c r="G43" i="104"/>
  <c r="G40" i="104"/>
  <c r="D132" i="104"/>
  <c r="G127" i="104"/>
  <c r="G195" i="104"/>
  <c r="G212" i="104"/>
  <c r="G172" i="104"/>
  <c r="E126" i="104"/>
  <c r="F104" i="104"/>
  <c r="G107" i="104"/>
  <c r="E60" i="104"/>
  <c r="E22" i="104"/>
  <c r="G150" i="104"/>
  <c r="G143" i="104"/>
  <c r="F110" i="104"/>
  <c r="G9" i="104"/>
  <c r="G14" i="104"/>
  <c r="G21" i="104"/>
  <c r="G363" i="104"/>
  <c r="G361" i="104"/>
  <c r="G322" i="104"/>
  <c r="G276" i="104"/>
  <c r="G240" i="104"/>
  <c r="G188" i="104"/>
  <c r="G184" i="104"/>
  <c r="G187" i="104"/>
  <c r="E192" i="104"/>
  <c r="E352" i="104"/>
  <c r="G339" i="104"/>
  <c r="F352" i="104"/>
  <c r="G340" i="104"/>
  <c r="G301" i="104"/>
  <c r="G298" i="104"/>
  <c r="G295" i="104"/>
  <c r="F302" i="104"/>
  <c r="F308" i="104"/>
  <c r="G300" i="104"/>
  <c r="E258" i="104"/>
  <c r="G255" i="104"/>
  <c r="G250" i="104"/>
  <c r="F258" i="104"/>
  <c r="G218" i="104"/>
  <c r="F214" i="104"/>
  <c r="F220" i="104"/>
  <c r="G209" i="104"/>
  <c r="E214" i="104"/>
  <c r="G164" i="104"/>
  <c r="F176" i="104"/>
  <c r="G125" i="104"/>
  <c r="G84" i="104"/>
  <c r="G81" i="104"/>
  <c r="G36" i="104"/>
  <c r="E38" i="104"/>
  <c r="G37" i="104"/>
  <c r="G35" i="104"/>
  <c r="D154" i="104"/>
  <c r="G149" i="104"/>
  <c r="G193" i="104"/>
  <c r="D198" i="104"/>
  <c r="G347" i="104"/>
  <c r="D352" i="104"/>
  <c r="G303" i="104"/>
  <c r="D308" i="104"/>
  <c r="G259" i="104"/>
  <c r="D264" i="104"/>
  <c r="D22" i="104"/>
  <c r="G17" i="104"/>
  <c r="D66" i="104"/>
  <c r="G61" i="104"/>
  <c r="D330" i="104"/>
  <c r="G325" i="104"/>
  <c r="D110" i="104"/>
  <c r="G105" i="104"/>
  <c r="G215" i="104"/>
  <c r="D220" i="104"/>
  <c r="G171" i="104"/>
  <c r="D176" i="104"/>
  <c r="G83" i="104"/>
  <c r="E88" i="104"/>
  <c r="F16" i="104"/>
  <c r="E374" i="104"/>
  <c r="G317" i="104"/>
  <c r="G285" i="104"/>
  <c r="G351" i="104"/>
  <c r="G130" i="104"/>
  <c r="G152" i="104"/>
  <c r="G101" i="104"/>
  <c r="G98" i="104"/>
  <c r="G365" i="104"/>
  <c r="E154" i="104"/>
  <c r="G141" i="104"/>
  <c r="F154" i="104"/>
  <c r="E148" i="104"/>
  <c r="G99" i="104"/>
  <c r="G96" i="104"/>
  <c r="F60" i="104"/>
  <c r="G53" i="104"/>
  <c r="G64" i="104"/>
  <c r="G56" i="104"/>
  <c r="G7" i="104"/>
  <c r="G360" i="104"/>
  <c r="E368" i="104"/>
  <c r="G319" i="104"/>
  <c r="G271" i="104"/>
  <c r="G272" i="104"/>
  <c r="F280" i="104"/>
  <c r="G274" i="104"/>
  <c r="F242" i="104"/>
  <c r="G146" i="104"/>
  <c r="G139" i="104"/>
  <c r="F148" i="104"/>
  <c r="G153" i="104"/>
  <c r="G108" i="104"/>
  <c r="G106" i="104"/>
  <c r="G102" i="104"/>
  <c r="E104" i="104"/>
  <c r="G63" i="104"/>
  <c r="G65" i="104"/>
  <c r="G59" i="104"/>
  <c r="E66" i="104"/>
  <c r="G62" i="104"/>
  <c r="G8" i="104"/>
  <c r="E16" i="104"/>
  <c r="G10" i="104"/>
  <c r="G15" i="104"/>
  <c r="G366" i="104"/>
  <c r="G362" i="104"/>
  <c r="F368" i="104"/>
  <c r="G371" i="104"/>
  <c r="G359" i="104"/>
  <c r="G372" i="104"/>
  <c r="G320" i="104"/>
  <c r="F330" i="104"/>
  <c r="G321" i="104"/>
  <c r="E324" i="104"/>
  <c r="E286" i="104"/>
  <c r="E287" i="104" s="1"/>
  <c r="G277" i="104"/>
  <c r="F286" i="104"/>
  <c r="G279" i="104"/>
  <c r="G228" i="104"/>
  <c r="G241" i="104"/>
  <c r="G238" i="104"/>
  <c r="G229" i="104"/>
  <c r="G234" i="104"/>
  <c r="E198" i="104"/>
  <c r="G185" i="104"/>
  <c r="G197" i="104"/>
  <c r="G194" i="104"/>
  <c r="G338" i="104"/>
  <c r="G345" i="104"/>
  <c r="G350" i="104"/>
  <c r="F346" i="104"/>
  <c r="E346" i="104"/>
  <c r="G294" i="104"/>
  <c r="E308" i="104"/>
  <c r="G293" i="104"/>
  <c r="G306" i="104"/>
  <c r="G296" i="104"/>
  <c r="E264" i="104"/>
  <c r="G260" i="104"/>
  <c r="G261" i="104"/>
  <c r="G217" i="104"/>
  <c r="G205" i="104"/>
  <c r="G219" i="104"/>
  <c r="E176" i="104"/>
  <c r="E170" i="104"/>
  <c r="F170" i="104"/>
  <c r="G162" i="104"/>
  <c r="G166" i="104"/>
  <c r="G117" i="104"/>
  <c r="F126" i="104"/>
  <c r="G122" i="104"/>
  <c r="G123" i="104"/>
  <c r="F132" i="104"/>
  <c r="G118" i="104"/>
  <c r="G76" i="104"/>
  <c r="G79" i="104"/>
  <c r="G33" i="104"/>
  <c r="F38" i="104"/>
  <c r="G42" i="104"/>
  <c r="G34" i="104"/>
  <c r="F44" i="104"/>
  <c r="G31" i="104"/>
  <c r="F243" i="126"/>
  <c r="G198" i="126"/>
  <c r="F45" i="126"/>
  <c r="G45" i="126" s="1"/>
  <c r="G66" i="126"/>
  <c r="G242" i="126"/>
  <c r="F177" i="126"/>
  <c r="G44" i="126"/>
  <c r="G38" i="126"/>
  <c r="E111" i="126"/>
  <c r="F155" i="126"/>
  <c r="E155" i="126"/>
  <c r="G110" i="126"/>
  <c r="G88" i="126"/>
  <c r="G220" i="126"/>
  <c r="G82" i="127"/>
  <c r="G154" i="127"/>
  <c r="F331" i="127"/>
  <c r="G330" i="127"/>
  <c r="G132" i="127"/>
  <c r="F441" i="127"/>
  <c r="G198" i="127"/>
  <c r="F67" i="127"/>
  <c r="F243" i="127"/>
  <c r="F353" i="127"/>
  <c r="E375" i="127"/>
  <c r="G375" i="127" s="1"/>
  <c r="E265" i="127"/>
  <c r="G88" i="127"/>
  <c r="G308" i="127"/>
  <c r="G440" i="127"/>
  <c r="E177" i="127"/>
  <c r="G110" i="127"/>
  <c r="E331" i="127"/>
  <c r="F265" i="127"/>
  <c r="E243" i="127"/>
  <c r="G176" i="127"/>
  <c r="E397" i="127"/>
  <c r="E23" i="127"/>
  <c r="E67" i="127"/>
  <c r="F287" i="127"/>
  <c r="F309" i="127"/>
  <c r="F397" i="127"/>
  <c r="E419" i="127"/>
  <c r="G44" i="127"/>
  <c r="G220" i="127"/>
  <c r="G264" i="127"/>
  <c r="G396" i="127"/>
  <c r="E309" i="128"/>
  <c r="F243" i="128"/>
  <c r="G368" i="128"/>
  <c r="F221" i="128"/>
  <c r="E89" i="128"/>
  <c r="G89" i="128" s="1"/>
  <c r="E133" i="128"/>
  <c r="G110" i="128"/>
  <c r="G22" i="128"/>
  <c r="E353" i="128"/>
  <c r="G220" i="128"/>
  <c r="F353" i="128"/>
  <c r="G66" i="128"/>
  <c r="G88" i="128"/>
  <c r="E199" i="128"/>
  <c r="E331" i="128"/>
  <c r="G331" i="128" s="1"/>
  <c r="E243" i="128"/>
  <c r="E177" i="128"/>
  <c r="G242" i="128"/>
  <c r="G264" i="128"/>
  <c r="G374" i="128"/>
  <c r="G236" i="128"/>
  <c r="G44" i="128"/>
  <c r="F375" i="128"/>
  <c r="F67" i="128"/>
  <c r="E23" i="128"/>
  <c r="F155" i="128"/>
  <c r="G258" i="128"/>
  <c r="F287" i="128"/>
  <c r="G638" i="129"/>
  <c r="E639" i="129"/>
  <c r="G330" i="129"/>
  <c r="G236" i="129"/>
  <c r="E177" i="129"/>
  <c r="G324" i="129"/>
  <c r="E683" i="129"/>
  <c r="F111" i="129"/>
  <c r="G44" i="129"/>
  <c r="F661" i="129"/>
  <c r="F463" i="129"/>
  <c r="G170" i="129"/>
  <c r="E573" i="129"/>
  <c r="F639" i="129"/>
  <c r="F221" i="129"/>
  <c r="F485" i="129"/>
  <c r="G22" i="129"/>
  <c r="G38" i="129"/>
  <c r="F133" i="129"/>
  <c r="F617" i="129"/>
  <c r="G412" i="129"/>
  <c r="F551" i="129"/>
  <c r="G176" i="129"/>
  <c r="E485" i="129"/>
  <c r="G368" i="129"/>
  <c r="G456" i="129"/>
  <c r="G352" i="129"/>
  <c r="G660" i="129"/>
  <c r="E397" i="129"/>
  <c r="E155" i="129"/>
  <c r="G155" i="129" s="1"/>
  <c r="F683" i="129"/>
  <c r="E727" i="129"/>
  <c r="G264" i="129"/>
  <c r="G704" i="129"/>
  <c r="G594" i="129"/>
  <c r="G682" i="129"/>
  <c r="G154" i="129"/>
  <c r="G346" i="129"/>
  <c r="G654" i="129"/>
  <c r="E749" i="129"/>
  <c r="G280" i="129"/>
  <c r="G308" i="129"/>
  <c r="G110" i="129"/>
  <c r="G484" i="129"/>
  <c r="G720" i="129"/>
  <c r="G396" i="129"/>
  <c r="G198" i="129"/>
  <c r="G418" i="129"/>
  <c r="G550" i="129"/>
  <c r="E551" i="129"/>
  <c r="G440" i="129"/>
  <c r="E441" i="129"/>
  <c r="E507" i="129"/>
  <c r="G507" i="129" s="1"/>
  <c r="G104" i="129"/>
  <c r="E529" i="129"/>
  <c r="F309" i="129"/>
  <c r="E309" i="129"/>
  <c r="F419" i="129"/>
  <c r="E463" i="129"/>
  <c r="G588" i="129"/>
  <c r="G264" i="130"/>
  <c r="F265" i="130"/>
  <c r="E45" i="130"/>
  <c r="G45" i="130" s="1"/>
  <c r="G44" i="130"/>
  <c r="F23" i="130"/>
  <c r="G324" i="130"/>
  <c r="G132" i="130"/>
  <c r="G440" i="130"/>
  <c r="G154" i="130"/>
  <c r="F221" i="130"/>
  <c r="E265" i="130"/>
  <c r="E111" i="130"/>
  <c r="E287" i="130"/>
  <c r="G462" i="130"/>
  <c r="G368" i="130"/>
  <c r="F397" i="130"/>
  <c r="G148" i="130"/>
  <c r="G192" i="130"/>
  <c r="G170" i="130"/>
  <c r="F463" i="130"/>
  <c r="E177" i="130"/>
  <c r="E221" i="130"/>
  <c r="E67" i="130"/>
  <c r="F67" i="130"/>
  <c r="E441" i="130"/>
  <c r="E243" i="130"/>
  <c r="G352" i="130"/>
  <c r="G242" i="130"/>
  <c r="G418" i="130"/>
  <c r="F287" i="130"/>
  <c r="F177" i="130"/>
  <c r="F375" i="130"/>
  <c r="E419" i="130"/>
  <c r="G308" i="130"/>
  <c r="G198" i="130"/>
  <c r="G286" i="130"/>
  <c r="E397" i="130"/>
  <c r="G22" i="130"/>
  <c r="G66" i="130"/>
  <c r="G198" i="131"/>
  <c r="E111" i="131"/>
  <c r="G44" i="131"/>
  <c r="F243" i="131"/>
  <c r="G110" i="131"/>
  <c r="E177" i="131"/>
  <c r="G308" i="131"/>
  <c r="F111" i="131"/>
  <c r="E45" i="131"/>
  <c r="E89" i="131"/>
  <c r="G88" i="131"/>
  <c r="E155" i="131"/>
  <c r="E331" i="131"/>
  <c r="E221" i="131"/>
  <c r="G221" i="131" s="1"/>
  <c r="G66" i="131"/>
  <c r="E353" i="131"/>
  <c r="G22" i="131"/>
  <c r="G88" i="132"/>
  <c r="E45" i="132"/>
  <c r="G22" i="132"/>
  <c r="E199" i="132"/>
  <c r="G198" i="132"/>
  <c r="G66" i="132"/>
  <c r="G110" i="132"/>
  <c r="E133" i="132"/>
  <c r="F45" i="132"/>
  <c r="G154" i="132"/>
  <c r="G220" i="132"/>
  <c r="E155" i="132"/>
  <c r="E89" i="133"/>
  <c r="F265" i="133"/>
  <c r="E287" i="133"/>
  <c r="G198" i="133"/>
  <c r="G60" i="133"/>
  <c r="G88" i="133"/>
  <c r="F287" i="133"/>
  <c r="E265" i="133"/>
  <c r="E221" i="133"/>
  <c r="G154" i="133"/>
  <c r="F23" i="133"/>
  <c r="E45" i="133"/>
  <c r="G110" i="133"/>
  <c r="F243" i="133"/>
  <c r="G280" i="133"/>
  <c r="E243" i="133"/>
  <c r="E23" i="122"/>
  <c r="G23" i="122" s="1"/>
  <c r="G82" i="122"/>
  <c r="G44" i="122"/>
  <c r="F133" i="122"/>
  <c r="G104" i="122"/>
  <c r="G66" i="122"/>
  <c r="F111" i="122"/>
  <c r="F199" i="122"/>
  <c r="G176" i="122"/>
  <c r="G198" i="122"/>
  <c r="G132" i="122"/>
  <c r="E177" i="122"/>
  <c r="E155" i="122"/>
  <c r="G154" i="122"/>
  <c r="G110" i="122"/>
  <c r="G22" i="122"/>
  <c r="G198" i="123"/>
  <c r="G88" i="123"/>
  <c r="E23" i="123"/>
  <c r="F67" i="123"/>
  <c r="F155" i="123"/>
  <c r="F199" i="123"/>
  <c r="G38" i="123"/>
  <c r="E67" i="123"/>
  <c r="F89" i="123"/>
  <c r="G110" i="123"/>
  <c r="E177" i="123"/>
  <c r="G22" i="123"/>
  <c r="G132" i="123"/>
  <c r="F111" i="123"/>
  <c r="E221" i="123"/>
  <c r="G220" i="123"/>
  <c r="G154" i="123"/>
  <c r="F45" i="123"/>
  <c r="G45" i="123" s="1"/>
  <c r="G170" i="124"/>
  <c r="G104" i="124"/>
  <c r="G198" i="124"/>
  <c r="G82" i="124"/>
  <c r="G44" i="124"/>
  <c r="G110" i="124"/>
  <c r="G148" i="124"/>
  <c r="F89" i="124"/>
  <c r="G132" i="124"/>
  <c r="E67" i="124"/>
  <c r="G60" i="124"/>
  <c r="E45" i="124"/>
  <c r="G66" i="124"/>
  <c r="G242" i="124"/>
  <c r="G23" i="124"/>
  <c r="E133" i="124"/>
  <c r="G133" i="124" s="1"/>
  <c r="F67" i="124"/>
  <c r="E243" i="124"/>
  <c r="G110" i="125"/>
  <c r="E111" i="125"/>
  <c r="G132" i="125"/>
  <c r="E23" i="125"/>
  <c r="E133" i="125"/>
  <c r="G66" i="125"/>
  <c r="E67" i="125"/>
  <c r="F111" i="125"/>
  <c r="E45" i="125"/>
  <c r="E89" i="125"/>
  <c r="F67" i="125"/>
  <c r="G44" i="120"/>
  <c r="E45" i="120"/>
  <c r="F89" i="120"/>
  <c r="G132" i="120"/>
  <c r="E155" i="120"/>
  <c r="F155" i="120"/>
  <c r="G154" i="120"/>
  <c r="E67" i="120"/>
  <c r="G66" i="120"/>
  <c r="G22" i="120"/>
  <c r="E133" i="120"/>
  <c r="D1496" i="101"/>
  <c r="G1491" i="101"/>
  <c r="D1320" i="101"/>
  <c r="G1315" i="101"/>
  <c r="G1007" i="101"/>
  <c r="D1012" i="101"/>
  <c r="G875" i="101"/>
  <c r="D880" i="101"/>
  <c r="G743" i="101"/>
  <c r="D748" i="101"/>
  <c r="D704" i="101"/>
  <c r="G699" i="101"/>
  <c r="D484" i="101"/>
  <c r="G479" i="101"/>
  <c r="D440" i="101"/>
  <c r="G435" i="101"/>
  <c r="D132" i="101"/>
  <c r="G127" i="101"/>
  <c r="D1518" i="101"/>
  <c r="G1513" i="101"/>
  <c r="D1430" i="101"/>
  <c r="G1425" i="101"/>
  <c r="D1254" i="101"/>
  <c r="G1249" i="101"/>
  <c r="G985" i="101"/>
  <c r="D990" i="101"/>
  <c r="D638" i="101"/>
  <c r="G633" i="101"/>
  <c r="D594" i="101"/>
  <c r="G589" i="101"/>
  <c r="D286" i="101"/>
  <c r="G281" i="101"/>
  <c r="D242" i="101"/>
  <c r="G237" i="101"/>
  <c r="D22" i="101"/>
  <c r="G17" i="101"/>
  <c r="D1452" i="101"/>
  <c r="G1447" i="101"/>
  <c r="D1408" i="101"/>
  <c r="G1403" i="101"/>
  <c r="D1232" i="101"/>
  <c r="G1227" i="101"/>
  <c r="D616" i="101"/>
  <c r="G611" i="101"/>
  <c r="D396" i="101"/>
  <c r="G391" i="101"/>
  <c r="D308" i="101"/>
  <c r="G303" i="101"/>
  <c r="D1122" i="101"/>
  <c r="G1117" i="101"/>
  <c r="G1073" i="101"/>
  <c r="D1078" i="101"/>
  <c r="D1034" i="101"/>
  <c r="G1029" i="101"/>
  <c r="G853" i="101"/>
  <c r="D858" i="101"/>
  <c r="D726" i="101"/>
  <c r="G721" i="101"/>
  <c r="D682" i="101"/>
  <c r="G677" i="101"/>
  <c r="D550" i="101"/>
  <c r="G545" i="101"/>
  <c r="D506" i="101"/>
  <c r="G501" i="101"/>
  <c r="D418" i="101"/>
  <c r="G413" i="101"/>
  <c r="D66" i="101"/>
  <c r="G61" i="101"/>
  <c r="D1540" i="101"/>
  <c r="G1535" i="101"/>
  <c r="D1364" i="101"/>
  <c r="G1359" i="101"/>
  <c r="D1144" i="101"/>
  <c r="G1139" i="101"/>
  <c r="D1100" i="101"/>
  <c r="G1095" i="101"/>
  <c r="G963" i="101"/>
  <c r="D968" i="101"/>
  <c r="G919" i="101"/>
  <c r="D924" i="101"/>
  <c r="G831" i="101"/>
  <c r="D836" i="101"/>
  <c r="G787" i="101"/>
  <c r="D792" i="101"/>
  <c r="D264" i="101"/>
  <c r="G259" i="101"/>
  <c r="D220" i="101"/>
  <c r="G215" i="101"/>
  <c r="D88" i="101"/>
  <c r="G83" i="101"/>
  <c r="D1650" i="101"/>
  <c r="G1645" i="101"/>
  <c r="D1474" i="101"/>
  <c r="G1469" i="101"/>
  <c r="D1342" i="101"/>
  <c r="G1337" i="101"/>
  <c r="G897" i="101"/>
  <c r="D902" i="101"/>
  <c r="G809" i="101"/>
  <c r="D814" i="101"/>
  <c r="D462" i="101"/>
  <c r="G457" i="101"/>
  <c r="D110" i="101"/>
  <c r="G105" i="101"/>
  <c r="G1623" i="101"/>
  <c r="D1628" i="101"/>
  <c r="G1579" i="101"/>
  <c r="D1584" i="101"/>
  <c r="D1276" i="101"/>
  <c r="G1271" i="101"/>
  <c r="D1188" i="101"/>
  <c r="G1183" i="101"/>
  <c r="G1051" i="101"/>
  <c r="D1056" i="101"/>
  <c r="D660" i="101"/>
  <c r="G655" i="101"/>
  <c r="D572" i="101"/>
  <c r="G567" i="101"/>
  <c r="D528" i="101"/>
  <c r="G523" i="101"/>
  <c r="D352" i="101"/>
  <c r="G347" i="101"/>
  <c r="D176" i="101"/>
  <c r="G171" i="101"/>
  <c r="D44" i="101"/>
  <c r="G39" i="101"/>
  <c r="D1606" i="101"/>
  <c r="G1601" i="101"/>
  <c r="D1562" i="101"/>
  <c r="G1557" i="101"/>
  <c r="D1386" i="101"/>
  <c r="G1381" i="101"/>
  <c r="D1298" i="101"/>
  <c r="G1293" i="101"/>
  <c r="D1210" i="101"/>
  <c r="G1205" i="101"/>
  <c r="D1166" i="101"/>
  <c r="G1161" i="101"/>
  <c r="G941" i="101"/>
  <c r="D946" i="101"/>
  <c r="G765" i="101"/>
  <c r="D770" i="101"/>
  <c r="D374" i="101"/>
  <c r="G369" i="101"/>
  <c r="D330" i="101"/>
  <c r="G325" i="101"/>
  <c r="D198" i="101"/>
  <c r="G193" i="101"/>
  <c r="D154" i="101"/>
  <c r="G149" i="101"/>
  <c r="G1073" i="100"/>
  <c r="D1078" i="100"/>
  <c r="G897" i="100"/>
  <c r="D902" i="100"/>
  <c r="D814" i="100"/>
  <c r="G809" i="100"/>
  <c r="G633" i="100"/>
  <c r="D638" i="100"/>
  <c r="G589" i="100"/>
  <c r="D594" i="100"/>
  <c r="G281" i="100"/>
  <c r="D286" i="100"/>
  <c r="G237" i="100"/>
  <c r="D242" i="100"/>
  <c r="G61" i="100"/>
  <c r="D66" i="100"/>
  <c r="G831" i="100"/>
  <c r="D836" i="100"/>
  <c r="G743" i="100"/>
  <c r="D748" i="100"/>
  <c r="D440" i="100"/>
  <c r="G435" i="100"/>
  <c r="G347" i="100"/>
  <c r="D352" i="100"/>
  <c r="G1029" i="100"/>
  <c r="D1034" i="100"/>
  <c r="D770" i="100"/>
  <c r="G765" i="100"/>
  <c r="G721" i="100"/>
  <c r="D726" i="100"/>
  <c r="D550" i="100"/>
  <c r="G545" i="100"/>
  <c r="D418" i="100"/>
  <c r="G413" i="100"/>
  <c r="G325" i="100"/>
  <c r="D330" i="100"/>
  <c r="G171" i="100"/>
  <c r="D176" i="100"/>
  <c r="G39" i="100"/>
  <c r="D44" i="100"/>
  <c r="G963" i="100"/>
  <c r="D968" i="100"/>
  <c r="G919" i="100"/>
  <c r="D924" i="100"/>
  <c r="G787" i="100"/>
  <c r="D792" i="100"/>
  <c r="D704" i="100"/>
  <c r="G699" i="100"/>
  <c r="G655" i="100"/>
  <c r="D660" i="100"/>
  <c r="G567" i="100"/>
  <c r="D572" i="100"/>
  <c r="G303" i="100"/>
  <c r="D308" i="100"/>
  <c r="G259" i="100"/>
  <c r="D264" i="100"/>
  <c r="G149" i="100"/>
  <c r="D154" i="100"/>
  <c r="D22" i="100"/>
  <c r="G17" i="100"/>
  <c r="G985" i="100"/>
  <c r="D990" i="100"/>
  <c r="D506" i="100"/>
  <c r="G501" i="100"/>
  <c r="G369" i="100"/>
  <c r="D374" i="100"/>
  <c r="G193" i="100"/>
  <c r="D198" i="100"/>
  <c r="D528" i="100"/>
  <c r="G523" i="100"/>
  <c r="D396" i="100"/>
  <c r="G391" i="100"/>
  <c r="G215" i="100"/>
  <c r="D220" i="100"/>
  <c r="G127" i="100"/>
  <c r="D132" i="100"/>
  <c r="G941" i="100"/>
  <c r="D946" i="100"/>
  <c r="G853" i="100"/>
  <c r="D858" i="100"/>
  <c r="G677" i="100"/>
  <c r="D682" i="100"/>
  <c r="D462" i="100"/>
  <c r="G457" i="100"/>
  <c r="G105" i="100"/>
  <c r="D110" i="100"/>
  <c r="G1051" i="100"/>
  <c r="D1056" i="100"/>
  <c r="G1007" i="100"/>
  <c r="D1012" i="100"/>
  <c r="G875" i="100"/>
  <c r="D880" i="100"/>
  <c r="D616" i="100"/>
  <c r="G611" i="100"/>
  <c r="D484" i="100"/>
  <c r="G479" i="100"/>
  <c r="G83" i="100"/>
  <c r="D88" i="100"/>
  <c r="G17" i="99"/>
  <c r="D22" i="99"/>
  <c r="G45" i="125" l="1"/>
  <c r="G192" i="116"/>
  <c r="G111" i="122"/>
  <c r="G918" i="111"/>
  <c r="G661" i="129"/>
  <c r="G419" i="129"/>
  <c r="G199" i="126"/>
  <c r="G309" i="128"/>
  <c r="G111" i="126"/>
  <c r="G375" i="129"/>
  <c r="G111" i="127"/>
  <c r="G11" i="134"/>
  <c r="G23" i="131"/>
  <c r="G155" i="127"/>
  <c r="G18" i="134"/>
  <c r="G133" i="130"/>
  <c r="G111" i="124"/>
  <c r="G375" i="130"/>
  <c r="G89" i="127"/>
  <c r="G331" i="130"/>
  <c r="G155" i="132"/>
  <c r="G287" i="128"/>
  <c r="G243" i="131"/>
  <c r="G89" i="133"/>
  <c r="G45" i="131"/>
  <c r="G177" i="126"/>
  <c r="G67" i="123"/>
  <c r="F23" i="108"/>
  <c r="G177" i="128"/>
  <c r="G199" i="131"/>
  <c r="G331" i="131"/>
  <c r="G155" i="133"/>
  <c r="G830" i="103"/>
  <c r="G111" i="128"/>
  <c r="G221" i="123"/>
  <c r="G89" i="125"/>
  <c r="G346" i="110"/>
  <c r="G221" i="127"/>
  <c r="G177" i="133"/>
  <c r="G133" i="132"/>
  <c r="G45" i="128"/>
  <c r="G265" i="131"/>
  <c r="G199" i="129"/>
  <c r="G133" i="123"/>
  <c r="E265" i="106"/>
  <c r="G23" i="125"/>
  <c r="G397" i="129"/>
  <c r="G67" i="132"/>
  <c r="G133" i="128"/>
  <c r="G45" i="129"/>
  <c r="G368" i="116"/>
  <c r="G221" i="128"/>
  <c r="G353" i="131"/>
  <c r="G902" i="101"/>
  <c r="G968" i="101"/>
  <c r="G287" i="131"/>
  <c r="G89" i="126"/>
  <c r="G830" i="111"/>
  <c r="F617" i="52"/>
  <c r="G1144" i="101"/>
  <c r="G1452" i="101"/>
  <c r="G177" i="131"/>
  <c r="G441" i="130"/>
  <c r="F45" i="107"/>
  <c r="E441" i="114"/>
  <c r="G412" i="52"/>
  <c r="F67" i="116"/>
  <c r="F45" i="111"/>
  <c r="G89" i="120"/>
  <c r="G522" i="105"/>
  <c r="G104" i="109"/>
  <c r="G236" i="117"/>
  <c r="F1453" i="52"/>
  <c r="G1446" i="52"/>
  <c r="G1028" i="100"/>
  <c r="G126" i="101"/>
  <c r="G265" i="129"/>
  <c r="E309" i="101"/>
  <c r="G984" i="100"/>
  <c r="G82" i="101"/>
  <c r="G1182" i="101"/>
  <c r="G82" i="100"/>
  <c r="G258" i="100"/>
  <c r="F287" i="101"/>
  <c r="G1204" i="101"/>
  <c r="E1343" i="101"/>
  <c r="G1232" i="101"/>
  <c r="G353" i="127"/>
  <c r="G155" i="131"/>
  <c r="G749" i="129"/>
  <c r="G331" i="129"/>
  <c r="G23" i="127"/>
  <c r="G89" i="129"/>
  <c r="G89" i="122"/>
  <c r="G176" i="101"/>
  <c r="G110" i="101"/>
  <c r="G1100" i="101"/>
  <c r="G616" i="101"/>
  <c r="G1408" i="101"/>
  <c r="G286" i="101"/>
  <c r="G1518" i="101"/>
  <c r="G440" i="101"/>
  <c r="G1320" i="101"/>
  <c r="G704" i="100"/>
  <c r="G770" i="100"/>
  <c r="G154" i="101"/>
  <c r="G44" i="101"/>
  <c r="G352" i="101"/>
  <c r="G462" i="101"/>
  <c r="G264" i="101"/>
  <c r="G242" i="101"/>
  <c r="G1430" i="101"/>
  <c r="G484" i="101"/>
  <c r="G462" i="100"/>
  <c r="G1166" i="101"/>
  <c r="G1562" i="101"/>
  <c r="G88" i="101"/>
  <c r="G616" i="100"/>
  <c r="G440" i="100"/>
  <c r="G1188" i="101"/>
  <c r="G1342" i="101"/>
  <c r="G1364" i="101"/>
  <c r="G66" i="101"/>
  <c r="G308" i="101"/>
  <c r="G638" i="101"/>
  <c r="G704" i="101"/>
  <c r="E89" i="104"/>
  <c r="G236" i="104"/>
  <c r="G38" i="106"/>
  <c r="F89" i="107"/>
  <c r="G522" i="108"/>
  <c r="G396" i="100"/>
  <c r="G1298" i="101"/>
  <c r="G1474" i="101"/>
  <c r="G550" i="101"/>
  <c r="G1496" i="101"/>
  <c r="G858" i="100"/>
  <c r="G286" i="100"/>
  <c r="G1628" i="101"/>
  <c r="G990" i="101"/>
  <c r="G528" i="100"/>
  <c r="G418" i="100"/>
  <c r="G814" i="100"/>
  <c r="G198" i="101"/>
  <c r="G374" i="101"/>
  <c r="G1210" i="101"/>
  <c r="G1386" i="101"/>
  <c r="G1606" i="101"/>
  <c r="G528" i="101"/>
  <c r="G660" i="101"/>
  <c r="G1650" i="101"/>
  <c r="G220" i="101"/>
  <c r="G506" i="101"/>
  <c r="G682" i="101"/>
  <c r="G22" i="101"/>
  <c r="G1254" i="101"/>
  <c r="G220" i="100"/>
  <c r="G990" i="100"/>
  <c r="G594" i="100"/>
  <c r="G814" i="101"/>
  <c r="G924" i="101"/>
  <c r="G1078" i="101"/>
  <c r="G880" i="100"/>
  <c r="G1056" i="100"/>
  <c r="G572" i="100"/>
  <c r="G44" i="100"/>
  <c r="G352" i="100"/>
  <c r="G748" i="100"/>
  <c r="G66" i="100"/>
  <c r="G638" i="100"/>
  <c r="G836" i="101"/>
  <c r="G1012" i="101"/>
  <c r="G324" i="109"/>
  <c r="G88" i="100"/>
  <c r="G1012" i="100"/>
  <c r="G682" i="100"/>
  <c r="G374" i="100"/>
  <c r="G154" i="100"/>
  <c r="G308" i="100"/>
  <c r="G660" i="100"/>
  <c r="G792" i="100"/>
  <c r="G968" i="100"/>
  <c r="G1034" i="100"/>
  <c r="G836" i="100"/>
  <c r="G242" i="100"/>
  <c r="G1078" i="100"/>
  <c r="G946" i="101"/>
  <c r="G1584" i="101"/>
  <c r="G792" i="101"/>
  <c r="G858" i="101"/>
  <c r="G880" i="101"/>
  <c r="G177" i="122"/>
  <c r="G484" i="100"/>
  <c r="G506" i="100"/>
  <c r="G550" i="100"/>
  <c r="G330" i="101"/>
  <c r="G572" i="101"/>
  <c r="G1276" i="101"/>
  <c r="G1540" i="101"/>
  <c r="G418" i="101"/>
  <c r="G726" i="101"/>
  <c r="G1034" i="101"/>
  <c r="G1122" i="101"/>
  <c r="G396" i="101"/>
  <c r="G594" i="101"/>
  <c r="G132" i="101"/>
  <c r="G22" i="99"/>
  <c r="G132" i="100"/>
  <c r="G198" i="100"/>
  <c r="G264" i="100"/>
  <c r="G330" i="100"/>
  <c r="G902" i="100"/>
  <c r="G770" i="101"/>
  <c r="G1056" i="101"/>
  <c r="G748" i="101"/>
  <c r="G1314" i="101"/>
  <c r="G236" i="99"/>
  <c r="F243" i="99"/>
  <c r="F89" i="99"/>
  <c r="F1277" i="101"/>
  <c r="G133" i="133"/>
  <c r="G258" i="99"/>
  <c r="F265" i="99"/>
  <c r="G1402" i="101"/>
  <c r="G500" i="100"/>
  <c r="G676" i="100"/>
  <c r="G412" i="101"/>
  <c r="E749" i="101"/>
  <c r="F1409" i="101"/>
  <c r="F375" i="101"/>
  <c r="G654" i="101"/>
  <c r="G830" i="101"/>
  <c r="G280" i="99"/>
  <c r="G478" i="100"/>
  <c r="G654" i="100"/>
  <c r="G830" i="100"/>
  <c r="G1006" i="100"/>
  <c r="G104" i="101"/>
  <c r="G1534" i="101"/>
  <c r="F89" i="100"/>
  <c r="F265" i="100"/>
  <c r="G434" i="100"/>
  <c r="G610" i="100"/>
  <c r="G786" i="100"/>
  <c r="G962" i="100"/>
  <c r="G60" i="101"/>
  <c r="G588" i="101"/>
  <c r="F771" i="101"/>
  <c r="G1028" i="101"/>
  <c r="E1211" i="101"/>
  <c r="E221" i="99"/>
  <c r="G280" i="101"/>
  <c r="E991" i="100"/>
  <c r="E89" i="101"/>
  <c r="E89" i="100"/>
  <c r="E265" i="100"/>
  <c r="F441" i="100"/>
  <c r="F617" i="100"/>
  <c r="F793" i="100"/>
  <c r="F969" i="100"/>
  <c r="F67" i="101"/>
  <c r="F419" i="100"/>
  <c r="F595" i="100"/>
  <c r="F771" i="100"/>
  <c r="F991" i="100"/>
  <c r="F89" i="101"/>
  <c r="F485" i="101"/>
  <c r="G1358" i="101"/>
  <c r="G1336" i="101"/>
  <c r="F1475" i="101"/>
  <c r="G456" i="100"/>
  <c r="G632" i="100"/>
  <c r="G808" i="100"/>
  <c r="E331" i="99"/>
  <c r="G368" i="101"/>
  <c r="E903" i="101"/>
  <c r="G903" i="101" s="1"/>
  <c r="E1035" i="101"/>
  <c r="G214" i="99"/>
  <c r="E111" i="100"/>
  <c r="E287" i="100"/>
  <c r="G302" i="101"/>
  <c r="G874" i="101"/>
  <c r="G1512" i="101"/>
  <c r="E463" i="100"/>
  <c r="E639" i="100"/>
  <c r="E815" i="100"/>
  <c r="F45" i="99"/>
  <c r="F199" i="100"/>
  <c r="G16" i="100"/>
  <c r="G192" i="100"/>
  <c r="G82" i="99"/>
  <c r="G346" i="99"/>
  <c r="F23" i="100"/>
  <c r="F1211" i="101"/>
  <c r="G1211" i="101" s="1"/>
  <c r="G346" i="101"/>
  <c r="F1321" i="101"/>
  <c r="G368" i="100"/>
  <c r="G544" i="100"/>
  <c r="G720" i="100"/>
  <c r="F155" i="99"/>
  <c r="F639" i="101"/>
  <c r="F507" i="100"/>
  <c r="F683" i="100"/>
  <c r="F903" i="100"/>
  <c r="F1079" i="100"/>
  <c r="F177" i="101"/>
  <c r="E397" i="101"/>
  <c r="F573" i="101"/>
  <c r="E925" i="101"/>
  <c r="G1578" i="101"/>
  <c r="G104" i="100"/>
  <c r="G280" i="100"/>
  <c r="E1299" i="101"/>
  <c r="G148" i="99"/>
  <c r="G962" i="101"/>
  <c r="E1145" i="101"/>
  <c r="F1585" i="101"/>
  <c r="G632" i="101"/>
  <c r="G1556" i="101"/>
  <c r="G610" i="101"/>
  <c r="E1123" i="101"/>
  <c r="E1563" i="101"/>
  <c r="E375" i="100"/>
  <c r="E551" i="100"/>
  <c r="E727" i="100"/>
  <c r="G346" i="100"/>
  <c r="G522" i="100"/>
  <c r="G698" i="100"/>
  <c r="G874" i="100"/>
  <c r="G1050" i="100"/>
  <c r="G148" i="101"/>
  <c r="G500" i="101"/>
  <c r="F23" i="99"/>
  <c r="F353" i="99"/>
  <c r="G896" i="100"/>
  <c r="G1072" i="100"/>
  <c r="G170" i="100"/>
  <c r="G1292" i="101"/>
  <c r="E903" i="100"/>
  <c r="E1079" i="100"/>
  <c r="F969" i="101"/>
  <c r="E177" i="100"/>
  <c r="F353" i="100"/>
  <c r="F529" i="100"/>
  <c r="F705" i="100"/>
  <c r="F881" i="100"/>
  <c r="F1057" i="100"/>
  <c r="F155" i="101"/>
  <c r="E375" i="101"/>
  <c r="G60" i="99"/>
  <c r="G1622" i="101"/>
  <c r="E89" i="99"/>
  <c r="E23" i="100"/>
  <c r="G23" i="100" s="1"/>
  <c r="E199" i="100"/>
  <c r="E67" i="99"/>
  <c r="G60" i="100"/>
  <c r="G236" i="100"/>
  <c r="G456" i="101"/>
  <c r="E661" i="101"/>
  <c r="E837" i="101"/>
  <c r="G566" i="101"/>
  <c r="E507" i="100"/>
  <c r="G507" i="100" s="1"/>
  <c r="E683" i="100"/>
  <c r="G683" i="100" s="1"/>
  <c r="E419" i="101"/>
  <c r="G324" i="99"/>
  <c r="F815" i="101"/>
  <c r="F1299" i="101"/>
  <c r="G126" i="100"/>
  <c r="G302" i="100"/>
  <c r="G1248" i="101"/>
  <c r="G478" i="101"/>
  <c r="G764" i="100"/>
  <c r="E155" i="100"/>
  <c r="F331" i="100"/>
  <c r="G1050" i="101"/>
  <c r="F199" i="99"/>
  <c r="F683" i="101"/>
  <c r="G698" i="101"/>
  <c r="F331" i="99"/>
  <c r="G38" i="100"/>
  <c r="G214" i="100"/>
  <c r="E1167" i="101"/>
  <c r="E1475" i="101"/>
  <c r="E1607" i="101"/>
  <c r="F45" i="100"/>
  <c r="F221" i="100"/>
  <c r="G390" i="100"/>
  <c r="G566" i="100"/>
  <c r="G742" i="100"/>
  <c r="G918" i="100"/>
  <c r="G16" i="101"/>
  <c r="G192" i="101"/>
  <c r="G544" i="101"/>
  <c r="G984" i="101"/>
  <c r="G742" i="101"/>
  <c r="G1600" i="101"/>
  <c r="G390" i="101"/>
  <c r="G852" i="100"/>
  <c r="E1035" i="100"/>
  <c r="E133" i="101"/>
  <c r="E133" i="100"/>
  <c r="E309" i="100"/>
  <c r="F485" i="100"/>
  <c r="F661" i="100"/>
  <c r="F837" i="100"/>
  <c r="F1013" i="100"/>
  <c r="F111" i="101"/>
  <c r="G896" i="101"/>
  <c r="E23" i="99"/>
  <c r="G23" i="99" s="1"/>
  <c r="E265" i="101"/>
  <c r="G786" i="101"/>
  <c r="E353" i="99"/>
  <c r="G940" i="100"/>
  <c r="G38" i="101"/>
  <c r="G434" i="101"/>
  <c r="G1006" i="101"/>
  <c r="F243" i="101"/>
  <c r="E419" i="100"/>
  <c r="G419" i="100" s="1"/>
  <c r="E595" i="100"/>
  <c r="G595" i="100" s="1"/>
  <c r="E771" i="100"/>
  <c r="G771" i="100" s="1"/>
  <c r="F463" i="100"/>
  <c r="F639" i="100"/>
  <c r="F815" i="100"/>
  <c r="F1035" i="100"/>
  <c r="F133" i="101"/>
  <c r="F529" i="101"/>
  <c r="E705" i="101"/>
  <c r="F1013" i="101"/>
  <c r="G1490" i="101"/>
  <c r="F133" i="100"/>
  <c r="F309" i="100"/>
  <c r="E463" i="101"/>
  <c r="F1651" i="101"/>
  <c r="G412" i="100"/>
  <c r="G588" i="100"/>
  <c r="E155" i="99"/>
  <c r="G155" i="99" s="1"/>
  <c r="G324" i="101"/>
  <c r="E1651" i="101"/>
  <c r="G522" i="101"/>
  <c r="G170" i="101"/>
  <c r="G676" i="101"/>
  <c r="G764" i="101"/>
  <c r="G104" i="99"/>
  <c r="G236" i="101"/>
  <c r="E859" i="101"/>
  <c r="G1468" i="101"/>
  <c r="E287" i="101"/>
  <c r="E991" i="101"/>
  <c r="G170" i="99"/>
  <c r="E947" i="100"/>
  <c r="E45" i="101"/>
  <c r="E45" i="100"/>
  <c r="E221" i="100"/>
  <c r="F397" i="100"/>
  <c r="F573" i="100"/>
  <c r="F749" i="100"/>
  <c r="F925" i="100"/>
  <c r="F23" i="101"/>
  <c r="F199" i="101"/>
  <c r="G126" i="99"/>
  <c r="G302" i="99"/>
  <c r="F353" i="101"/>
  <c r="F859" i="100"/>
  <c r="G859" i="100" s="1"/>
  <c r="F67" i="100"/>
  <c r="F1189" i="101"/>
  <c r="F155" i="100"/>
  <c r="G1270" i="101"/>
  <c r="F1519" i="101"/>
  <c r="F309" i="99"/>
  <c r="F1101" i="101"/>
  <c r="F111" i="100"/>
  <c r="G111" i="100" s="1"/>
  <c r="E947" i="101"/>
  <c r="F243" i="100"/>
  <c r="F287" i="100"/>
  <c r="E45" i="99"/>
  <c r="G45" i="99" s="1"/>
  <c r="F375" i="99"/>
  <c r="E1101" i="101"/>
  <c r="F925" i="101"/>
  <c r="G198" i="99"/>
  <c r="E1629" i="101"/>
  <c r="F859" i="101"/>
  <c r="G286" i="99"/>
  <c r="G374" i="99"/>
  <c r="G1446" i="101"/>
  <c r="G1380" i="101"/>
  <c r="G368" i="99"/>
  <c r="E1189" i="101"/>
  <c r="F1365" i="101"/>
  <c r="G852" i="101"/>
  <c r="G1160" i="101"/>
  <c r="G38" i="99"/>
  <c r="F177" i="99"/>
  <c r="G324" i="100"/>
  <c r="G1226" i="101"/>
  <c r="E1519" i="101"/>
  <c r="E265" i="99"/>
  <c r="E353" i="101"/>
  <c r="E243" i="101"/>
  <c r="F397" i="101"/>
  <c r="F661" i="101"/>
  <c r="G940" i="101"/>
  <c r="G192" i="99"/>
  <c r="E1453" i="101"/>
  <c r="E1497" i="101"/>
  <c r="G720" i="101"/>
  <c r="G808" i="101"/>
  <c r="G214" i="101"/>
  <c r="F133" i="99"/>
  <c r="F287" i="99"/>
  <c r="E771" i="101"/>
  <c r="G1072" i="101"/>
  <c r="G1424" i="101"/>
  <c r="G1644" i="101"/>
  <c r="E243" i="99"/>
  <c r="G243" i="99" s="1"/>
  <c r="E375" i="99"/>
  <c r="F749" i="101"/>
  <c r="G749" i="101" s="1"/>
  <c r="F837" i="101"/>
  <c r="G1116" i="101"/>
  <c r="E353" i="100"/>
  <c r="E529" i="100"/>
  <c r="E705" i="100"/>
  <c r="E881" i="100"/>
  <c r="E1057" i="100"/>
  <c r="E155" i="101"/>
  <c r="E595" i="101"/>
  <c r="G595" i="101" s="1"/>
  <c r="F947" i="101"/>
  <c r="F1167" i="101"/>
  <c r="E1387" i="101"/>
  <c r="G148" i="100"/>
  <c r="E331" i="100"/>
  <c r="G258" i="101"/>
  <c r="E573" i="101"/>
  <c r="E881" i="101"/>
  <c r="F111" i="99"/>
  <c r="G66" i="99"/>
  <c r="F1255" i="101"/>
  <c r="G44" i="99"/>
  <c r="F463" i="101"/>
  <c r="E969" i="100"/>
  <c r="G88" i="99"/>
  <c r="G991" i="100"/>
  <c r="G89" i="101"/>
  <c r="G154" i="99"/>
  <c r="G264" i="99"/>
  <c r="F265" i="101"/>
  <c r="E1365" i="101"/>
  <c r="E199" i="99"/>
  <c r="G242" i="99"/>
  <c r="G176" i="99"/>
  <c r="E1013" i="101"/>
  <c r="F1233" i="101"/>
  <c r="E1409" i="101"/>
  <c r="E485" i="100"/>
  <c r="E661" i="100"/>
  <c r="E837" i="100"/>
  <c r="E1013" i="100"/>
  <c r="E111" i="101"/>
  <c r="E551" i="101"/>
  <c r="G551" i="101" s="1"/>
  <c r="F1387" i="101"/>
  <c r="G1094" i="101"/>
  <c r="G132" i="99"/>
  <c r="G308" i="99"/>
  <c r="E221" i="101"/>
  <c r="E529" i="101"/>
  <c r="F1057" i="101"/>
  <c r="F1145" i="101"/>
  <c r="E1233" i="101"/>
  <c r="G1233" i="101" s="1"/>
  <c r="F1453" i="101"/>
  <c r="F67" i="99"/>
  <c r="F419" i="101"/>
  <c r="E727" i="101"/>
  <c r="F1607" i="101"/>
  <c r="G924" i="100"/>
  <c r="E1057" i="101"/>
  <c r="F1079" i="101"/>
  <c r="G918" i="101"/>
  <c r="G16" i="99"/>
  <c r="F1629" i="101"/>
  <c r="E639" i="101"/>
  <c r="G22" i="100"/>
  <c r="F375" i="100"/>
  <c r="F551" i="100"/>
  <c r="F727" i="100"/>
  <c r="F947" i="100"/>
  <c r="F45" i="101"/>
  <c r="F221" i="101"/>
  <c r="E441" i="101"/>
  <c r="F617" i="101"/>
  <c r="E793" i="101"/>
  <c r="F177" i="100"/>
  <c r="G220" i="99"/>
  <c r="F309" i="101"/>
  <c r="E1277" i="101"/>
  <c r="E1431" i="101"/>
  <c r="F1563" i="101"/>
  <c r="E177" i="99"/>
  <c r="E1321" i="101"/>
  <c r="F1497" i="101"/>
  <c r="E397" i="100"/>
  <c r="E573" i="100"/>
  <c r="E749" i="100"/>
  <c r="E925" i="100"/>
  <c r="E23" i="101"/>
  <c r="E199" i="101"/>
  <c r="F331" i="101"/>
  <c r="F991" i="101"/>
  <c r="E1079" i="101"/>
  <c r="F1343" i="101"/>
  <c r="G1138" i="101"/>
  <c r="E133" i="99"/>
  <c r="F441" i="101"/>
  <c r="E617" i="101"/>
  <c r="G617" i="101" s="1"/>
  <c r="F705" i="101"/>
  <c r="F793" i="101"/>
  <c r="F881" i="101"/>
  <c r="E111" i="99"/>
  <c r="E287" i="99"/>
  <c r="E815" i="101"/>
  <c r="E1255" i="101"/>
  <c r="F1431" i="101"/>
  <c r="G110" i="100"/>
  <c r="G946" i="100"/>
  <c r="G176" i="100"/>
  <c r="G726" i="100"/>
  <c r="E67" i="100"/>
  <c r="E243" i="100"/>
  <c r="F727" i="101"/>
  <c r="F221" i="99"/>
  <c r="G352" i="99"/>
  <c r="E969" i="101"/>
  <c r="E1585" i="101"/>
  <c r="G330" i="99"/>
  <c r="E441" i="100"/>
  <c r="G441" i="100" s="1"/>
  <c r="E617" i="100"/>
  <c r="G617" i="100" s="1"/>
  <c r="E793" i="100"/>
  <c r="E67" i="101"/>
  <c r="E331" i="101"/>
  <c r="E507" i="101"/>
  <c r="G507" i="101" s="1"/>
  <c r="F1035" i="101"/>
  <c r="F1123" i="101"/>
  <c r="E309" i="99"/>
  <c r="E177" i="101"/>
  <c r="E485" i="101"/>
  <c r="E1541" i="101"/>
  <c r="G1541" i="101" s="1"/>
  <c r="G110" i="99"/>
  <c r="E683" i="101"/>
  <c r="G698" i="105"/>
  <c r="G16" i="106"/>
  <c r="F23" i="106"/>
  <c r="G302" i="113"/>
  <c r="G280" i="113"/>
  <c r="G126" i="113"/>
  <c r="G896" i="105"/>
  <c r="E1057" i="105"/>
  <c r="E67" i="107"/>
  <c r="E419" i="117"/>
  <c r="G60" i="117"/>
  <c r="F89" i="117"/>
  <c r="E243" i="117"/>
  <c r="G60" i="116"/>
  <c r="E287" i="117"/>
  <c r="G38" i="107"/>
  <c r="G16" i="109"/>
  <c r="E243" i="115"/>
  <c r="G236" i="115"/>
  <c r="E1563" i="52"/>
  <c r="G287" i="127"/>
  <c r="G478" i="113"/>
  <c r="G82" i="52"/>
  <c r="F375" i="117"/>
  <c r="E199" i="112"/>
  <c r="E485" i="113"/>
  <c r="F397" i="113"/>
  <c r="G544" i="112"/>
  <c r="G786" i="112"/>
  <c r="G126" i="112"/>
  <c r="F793" i="112"/>
  <c r="G60" i="112"/>
  <c r="G742" i="111"/>
  <c r="G368" i="111"/>
  <c r="E353" i="111"/>
  <c r="G852" i="103"/>
  <c r="G302" i="108"/>
  <c r="G478" i="109"/>
  <c r="F441" i="103"/>
  <c r="G727" i="129"/>
  <c r="F221" i="110"/>
  <c r="G456" i="116"/>
  <c r="G126" i="116"/>
  <c r="G456" i="52"/>
  <c r="G478" i="52"/>
  <c r="E199" i="108"/>
  <c r="E309" i="109"/>
  <c r="F859" i="105"/>
  <c r="F353" i="106"/>
  <c r="G236" i="107"/>
  <c r="G786" i="111"/>
  <c r="G896" i="111"/>
  <c r="G1116" i="52"/>
  <c r="G1248" i="52"/>
  <c r="F265" i="105"/>
  <c r="F661" i="105"/>
  <c r="G654" i="105"/>
  <c r="F23" i="107"/>
  <c r="E265" i="109"/>
  <c r="G214" i="110"/>
  <c r="E771" i="111"/>
  <c r="G214" i="103"/>
  <c r="G45" i="124"/>
  <c r="G170" i="111"/>
  <c r="F683" i="111"/>
  <c r="F837" i="111"/>
  <c r="G390" i="103"/>
  <c r="G133" i="127"/>
  <c r="G236" i="110"/>
  <c r="E133" i="116"/>
  <c r="G588" i="111"/>
  <c r="F595" i="111"/>
  <c r="G676" i="111"/>
  <c r="G104" i="104"/>
  <c r="G148" i="109"/>
  <c r="G544" i="109"/>
  <c r="E155" i="110"/>
  <c r="F133" i="110"/>
  <c r="G258" i="110"/>
  <c r="G346" i="111"/>
  <c r="F331" i="117"/>
  <c r="G324" i="117"/>
  <c r="G38" i="103"/>
  <c r="E573" i="103"/>
  <c r="G566" i="103"/>
  <c r="G258" i="103"/>
  <c r="G434" i="52"/>
  <c r="E1453" i="52"/>
  <c r="G214" i="52"/>
  <c r="E661" i="52"/>
  <c r="G1204" i="52"/>
  <c r="F617" i="109"/>
  <c r="G786" i="103"/>
  <c r="F1035" i="52"/>
  <c r="E133" i="52"/>
  <c r="F221" i="52"/>
  <c r="E529" i="108"/>
  <c r="G170" i="52"/>
  <c r="G1468" i="52"/>
  <c r="G632" i="52"/>
  <c r="G632" i="103"/>
  <c r="G434" i="116"/>
  <c r="G170" i="116"/>
  <c r="G1534" i="52"/>
  <c r="G1050" i="52"/>
  <c r="F243" i="110"/>
  <c r="G258" i="117"/>
  <c r="G280" i="117"/>
  <c r="G368" i="117"/>
  <c r="E287" i="116"/>
  <c r="G16" i="116"/>
  <c r="E309" i="116"/>
  <c r="F177" i="115"/>
  <c r="E221" i="115"/>
  <c r="G302" i="115"/>
  <c r="G148" i="115"/>
  <c r="G38" i="113"/>
  <c r="G324" i="112"/>
  <c r="G236" i="112"/>
  <c r="G1358" i="52"/>
  <c r="G82" i="104"/>
  <c r="G302" i="117"/>
  <c r="G324" i="105"/>
  <c r="G1006" i="105"/>
  <c r="G302" i="106"/>
  <c r="G214" i="108"/>
  <c r="E441" i="108"/>
  <c r="F243" i="108"/>
  <c r="G324" i="108"/>
  <c r="F45" i="108"/>
  <c r="E243" i="108"/>
  <c r="G368" i="110"/>
  <c r="F375" i="110"/>
  <c r="G456" i="117"/>
  <c r="E177" i="116"/>
  <c r="F397" i="115"/>
  <c r="F199" i="115"/>
  <c r="F45" i="112"/>
  <c r="E375" i="112"/>
  <c r="G192" i="111"/>
  <c r="G698" i="111"/>
  <c r="F881" i="111"/>
  <c r="F661" i="111"/>
  <c r="E705" i="111"/>
  <c r="E23" i="103"/>
  <c r="E111" i="103"/>
  <c r="G236" i="103"/>
  <c r="G1336" i="52"/>
  <c r="F287" i="102"/>
  <c r="E287" i="115"/>
  <c r="F353" i="117"/>
  <c r="G258" i="111"/>
  <c r="G258" i="105"/>
  <c r="G89" i="131"/>
  <c r="G375" i="128"/>
  <c r="F441" i="113"/>
  <c r="E89" i="111"/>
  <c r="F1585" i="52"/>
  <c r="G214" i="112"/>
  <c r="G280" i="116"/>
  <c r="G654" i="52"/>
  <c r="F177" i="108"/>
  <c r="G566" i="108"/>
  <c r="G258" i="115"/>
  <c r="G1732" i="52"/>
  <c r="G984" i="105"/>
  <c r="F353" i="108"/>
  <c r="G412" i="117"/>
  <c r="G280" i="114"/>
  <c r="E595" i="52"/>
  <c r="F353" i="52"/>
  <c r="E221" i="102"/>
  <c r="F287" i="116"/>
  <c r="F419" i="52"/>
  <c r="G419" i="52" s="1"/>
  <c r="G133" i="126"/>
  <c r="E67" i="104"/>
  <c r="F243" i="104"/>
  <c r="G720" i="105"/>
  <c r="E265" i="105"/>
  <c r="G265" i="105" s="1"/>
  <c r="F309" i="106"/>
  <c r="G324" i="116"/>
  <c r="G434" i="114"/>
  <c r="E375" i="111"/>
  <c r="G104" i="103"/>
  <c r="E815" i="103"/>
  <c r="G742" i="52"/>
  <c r="G764" i="52"/>
  <c r="F23" i="109"/>
  <c r="G111" i="120"/>
  <c r="G16" i="114"/>
  <c r="G67" i="128"/>
  <c r="F331" i="115"/>
  <c r="E837" i="105"/>
  <c r="G324" i="106"/>
  <c r="E45" i="106"/>
  <c r="E221" i="106"/>
  <c r="G221" i="106" s="1"/>
  <c r="G390" i="106"/>
  <c r="F309" i="107"/>
  <c r="G60" i="107"/>
  <c r="F287" i="107"/>
  <c r="E309" i="117"/>
  <c r="G170" i="114"/>
  <c r="F23" i="114"/>
  <c r="G390" i="112"/>
  <c r="E177" i="111"/>
  <c r="E749" i="111"/>
  <c r="F111" i="103"/>
  <c r="F1167" i="52"/>
  <c r="G346" i="52"/>
  <c r="E749" i="52"/>
  <c r="G984" i="52"/>
  <c r="G1556" i="52"/>
  <c r="G111" i="123"/>
  <c r="G199" i="128"/>
  <c r="G331" i="127"/>
  <c r="E199" i="104"/>
  <c r="F331" i="104"/>
  <c r="G170" i="105"/>
  <c r="E529" i="105"/>
  <c r="G918" i="105"/>
  <c r="E177" i="105"/>
  <c r="E177" i="106"/>
  <c r="G82" i="107"/>
  <c r="F573" i="108"/>
  <c r="G346" i="108"/>
  <c r="F111" i="109"/>
  <c r="G192" i="110"/>
  <c r="G38" i="110"/>
  <c r="E133" i="117"/>
  <c r="G126" i="117"/>
  <c r="G104" i="116"/>
  <c r="E111" i="116"/>
  <c r="F331" i="116"/>
  <c r="G324" i="115"/>
  <c r="E265" i="115"/>
  <c r="F199" i="114"/>
  <c r="G192" i="112"/>
  <c r="G302" i="112"/>
  <c r="E397" i="112"/>
  <c r="E221" i="111"/>
  <c r="G16" i="111"/>
  <c r="E463" i="111"/>
  <c r="G412" i="111"/>
  <c r="F265" i="103"/>
  <c r="G808" i="103"/>
  <c r="G1490" i="52"/>
  <c r="G500" i="52"/>
  <c r="F1343" i="52"/>
  <c r="G126" i="52"/>
  <c r="F221" i="102"/>
  <c r="E23" i="102"/>
  <c r="F309" i="117"/>
  <c r="F375" i="107"/>
  <c r="F925" i="105"/>
  <c r="G126" i="109"/>
  <c r="G126" i="110"/>
  <c r="G280" i="112"/>
  <c r="G412" i="106"/>
  <c r="G434" i="115"/>
  <c r="F199" i="102"/>
  <c r="G192" i="52"/>
  <c r="G280" i="115"/>
  <c r="F309" i="102"/>
  <c r="F155" i="106"/>
  <c r="E243" i="52"/>
  <c r="G616" i="109"/>
  <c r="F1255" i="52"/>
  <c r="G1255" i="52" s="1"/>
  <c r="F595" i="103"/>
  <c r="E595" i="109"/>
  <c r="G214" i="117"/>
  <c r="G148" i="116"/>
  <c r="E463" i="116"/>
  <c r="G214" i="116"/>
  <c r="F771" i="111"/>
  <c r="G148" i="103"/>
  <c r="G918" i="52"/>
  <c r="G23" i="123"/>
  <c r="F89" i="104"/>
  <c r="F419" i="105"/>
  <c r="G192" i="105"/>
  <c r="G368" i="105"/>
  <c r="G544" i="105"/>
  <c r="E595" i="105"/>
  <c r="E353" i="105"/>
  <c r="F441" i="105"/>
  <c r="E705" i="105"/>
  <c r="G1050" i="105"/>
  <c r="G236" i="105"/>
  <c r="G126" i="105"/>
  <c r="G346" i="105"/>
  <c r="G962" i="105"/>
  <c r="E89" i="107"/>
  <c r="G89" i="107" s="1"/>
  <c r="E177" i="107"/>
  <c r="E111" i="107"/>
  <c r="E265" i="108"/>
  <c r="G192" i="109"/>
  <c r="F287" i="109"/>
  <c r="G500" i="109"/>
  <c r="G280" i="109"/>
  <c r="E243" i="109"/>
  <c r="F331" i="110"/>
  <c r="E177" i="110"/>
  <c r="E309" i="110"/>
  <c r="G390" i="117"/>
  <c r="F221" i="117"/>
  <c r="G346" i="117"/>
  <c r="G126" i="115"/>
  <c r="G390" i="115"/>
  <c r="G192" i="115"/>
  <c r="G38" i="114"/>
  <c r="G82" i="114"/>
  <c r="G170" i="113"/>
  <c r="G456" i="113"/>
  <c r="G390" i="113"/>
  <c r="G104" i="113"/>
  <c r="G214" i="113"/>
  <c r="E683" i="112"/>
  <c r="G148" i="112"/>
  <c r="G16" i="112"/>
  <c r="E463" i="112"/>
  <c r="E309" i="111"/>
  <c r="G148" i="111"/>
  <c r="F397" i="111"/>
  <c r="G368" i="103"/>
  <c r="G588" i="103"/>
  <c r="G236" i="52"/>
  <c r="G324" i="52"/>
  <c r="G1688" i="52"/>
  <c r="G1666" i="52"/>
  <c r="E1365" i="52"/>
  <c r="G1160" i="52"/>
  <c r="F243" i="102"/>
  <c r="G302" i="102"/>
  <c r="G412" i="105"/>
  <c r="G148" i="107"/>
  <c r="G412" i="109"/>
  <c r="E199" i="117"/>
  <c r="F243" i="113"/>
  <c r="G412" i="113"/>
  <c r="G720" i="111"/>
  <c r="G390" i="111"/>
  <c r="G214" i="111"/>
  <c r="F573" i="111"/>
  <c r="E1607" i="52"/>
  <c r="G38" i="52"/>
  <c r="G566" i="52"/>
  <c r="E397" i="106"/>
  <c r="G16" i="104"/>
  <c r="G456" i="105"/>
  <c r="G302" i="105"/>
  <c r="E771" i="105"/>
  <c r="E969" i="105"/>
  <c r="G236" i="106"/>
  <c r="G258" i="107"/>
  <c r="G390" i="109"/>
  <c r="E485" i="109"/>
  <c r="F243" i="117"/>
  <c r="G412" i="116"/>
  <c r="G302" i="116"/>
  <c r="G258" i="114"/>
  <c r="G236" i="114"/>
  <c r="G478" i="114"/>
  <c r="G192" i="114"/>
  <c r="G148" i="114"/>
  <c r="G148" i="113"/>
  <c r="G82" i="112"/>
  <c r="E177" i="112"/>
  <c r="G742" i="112"/>
  <c r="F89" i="112"/>
  <c r="G170" i="112"/>
  <c r="E23" i="111"/>
  <c r="E133" i="111"/>
  <c r="G566" i="111"/>
  <c r="G764" i="111"/>
  <c r="G412" i="103"/>
  <c r="G280" i="103"/>
  <c r="G456" i="103"/>
  <c r="E375" i="103"/>
  <c r="E705" i="103"/>
  <c r="E155" i="52"/>
  <c r="E45" i="52"/>
  <c r="G698" i="52"/>
  <c r="G1006" i="52"/>
  <c r="G610" i="52"/>
  <c r="F133" i="102"/>
  <c r="G192" i="102"/>
  <c r="F67" i="106"/>
  <c r="F133" i="105"/>
  <c r="G177" i="129"/>
  <c r="G280" i="105"/>
  <c r="F353" i="105"/>
  <c r="E133" i="105"/>
  <c r="F551" i="105"/>
  <c r="E419" i="106"/>
  <c r="G16" i="107"/>
  <c r="F111" i="107"/>
  <c r="F221" i="116"/>
  <c r="G221" i="116" s="1"/>
  <c r="E23" i="114"/>
  <c r="F419" i="115"/>
  <c r="F265" i="115"/>
  <c r="F441" i="115"/>
  <c r="F155" i="115"/>
  <c r="G214" i="115"/>
  <c r="G214" i="114"/>
  <c r="E485" i="114"/>
  <c r="G104" i="114"/>
  <c r="G60" i="114"/>
  <c r="G236" i="113"/>
  <c r="G258" i="113"/>
  <c r="F419" i="113"/>
  <c r="F397" i="112"/>
  <c r="F749" i="112"/>
  <c r="F331" i="112"/>
  <c r="F243" i="112"/>
  <c r="E727" i="112"/>
  <c r="E749" i="112"/>
  <c r="E155" i="112"/>
  <c r="E287" i="111"/>
  <c r="G38" i="111"/>
  <c r="G522" i="111"/>
  <c r="G874" i="111"/>
  <c r="E155" i="103"/>
  <c r="E463" i="103"/>
  <c r="G896" i="103"/>
  <c r="G478" i="103"/>
  <c r="F639" i="103"/>
  <c r="G676" i="103"/>
  <c r="G654" i="103"/>
  <c r="E551" i="52"/>
  <c r="G1028" i="52"/>
  <c r="G1072" i="52"/>
  <c r="G1578" i="52"/>
  <c r="G830" i="52"/>
  <c r="F1365" i="52"/>
  <c r="E1651" i="52"/>
  <c r="G852" i="52"/>
  <c r="E1013" i="52"/>
  <c r="G280" i="102"/>
  <c r="F133" i="116"/>
  <c r="E243" i="105"/>
  <c r="F595" i="105"/>
  <c r="G610" i="105"/>
  <c r="F177" i="106"/>
  <c r="E375" i="107"/>
  <c r="G456" i="108"/>
  <c r="G170" i="109"/>
  <c r="G60" i="109"/>
  <c r="E419" i="109"/>
  <c r="F67" i="110"/>
  <c r="E353" i="116"/>
  <c r="E441" i="115"/>
  <c r="E221" i="114"/>
  <c r="G16" i="113"/>
  <c r="E23" i="113"/>
  <c r="F133" i="112"/>
  <c r="G500" i="112"/>
  <c r="F353" i="111"/>
  <c r="G654" i="111"/>
  <c r="F661" i="103"/>
  <c r="E265" i="103"/>
  <c r="G265" i="103" s="1"/>
  <c r="G324" i="103"/>
  <c r="E991" i="52"/>
  <c r="E1211" i="52"/>
  <c r="F1013" i="52"/>
  <c r="F1145" i="52"/>
  <c r="E859" i="52"/>
  <c r="G82" i="102"/>
  <c r="E881" i="111"/>
  <c r="F507" i="112"/>
  <c r="G419" i="130"/>
  <c r="F287" i="104"/>
  <c r="G287" i="104" s="1"/>
  <c r="G302" i="104"/>
  <c r="G192" i="104"/>
  <c r="F199" i="104"/>
  <c r="E375" i="105"/>
  <c r="G676" i="105"/>
  <c r="F727" i="105"/>
  <c r="F969" i="105"/>
  <c r="G852" i="105"/>
  <c r="F111" i="105"/>
  <c r="E419" i="105"/>
  <c r="F639" i="105"/>
  <c r="F771" i="105"/>
  <c r="G82" i="105"/>
  <c r="F793" i="105"/>
  <c r="G104" i="105"/>
  <c r="E485" i="105"/>
  <c r="G60" i="106"/>
  <c r="G280" i="106"/>
  <c r="F331" i="107"/>
  <c r="F221" i="107"/>
  <c r="G126" i="107"/>
  <c r="G192" i="108"/>
  <c r="G390" i="108"/>
  <c r="F221" i="108"/>
  <c r="G236" i="109"/>
  <c r="E353" i="109"/>
  <c r="E177" i="109"/>
  <c r="E287" i="109"/>
  <c r="F155" i="109"/>
  <c r="G302" i="109"/>
  <c r="E243" i="110"/>
  <c r="G243" i="110" s="1"/>
  <c r="G66" i="110"/>
  <c r="G60" i="110"/>
  <c r="G148" i="117"/>
  <c r="F287" i="117"/>
  <c r="G243" i="130"/>
  <c r="F45" i="104"/>
  <c r="E265" i="104"/>
  <c r="E309" i="104"/>
  <c r="E133" i="104"/>
  <c r="F23" i="105"/>
  <c r="G1028" i="105"/>
  <c r="G874" i="105"/>
  <c r="E925" i="105"/>
  <c r="G38" i="105"/>
  <c r="G566" i="105"/>
  <c r="E617" i="105"/>
  <c r="G104" i="106"/>
  <c r="F265" i="106"/>
  <c r="E287" i="106"/>
  <c r="G258" i="106"/>
  <c r="G346" i="106"/>
  <c r="G368" i="107"/>
  <c r="G346" i="107"/>
  <c r="G104" i="107"/>
  <c r="F529" i="108"/>
  <c r="G148" i="108"/>
  <c r="F463" i="108"/>
  <c r="G258" i="108"/>
  <c r="F397" i="108"/>
  <c r="G60" i="108"/>
  <c r="F89" i="108"/>
  <c r="F639" i="109"/>
  <c r="G38" i="109"/>
  <c r="G214" i="109"/>
  <c r="G346" i="109"/>
  <c r="G610" i="109"/>
  <c r="G280" i="110"/>
  <c r="F199" i="110"/>
  <c r="F45" i="110"/>
  <c r="F287" i="110"/>
  <c r="F89" i="110"/>
  <c r="G38" i="117"/>
  <c r="E441" i="117"/>
  <c r="F67" i="117"/>
  <c r="G170" i="117"/>
  <c r="F463" i="116"/>
  <c r="G346" i="116"/>
  <c r="F441" i="116"/>
  <c r="F375" i="116"/>
  <c r="E419" i="116"/>
  <c r="F111" i="115"/>
  <c r="G60" i="115"/>
  <c r="G412" i="115"/>
  <c r="G82" i="115"/>
  <c r="F243" i="114"/>
  <c r="F89" i="114"/>
  <c r="E155" i="114"/>
  <c r="F221" i="113"/>
  <c r="E199" i="113"/>
  <c r="F177" i="113"/>
  <c r="F507" i="113"/>
  <c r="F155" i="112"/>
  <c r="G456" i="112"/>
  <c r="F221" i="112"/>
  <c r="G258" i="112"/>
  <c r="G434" i="112"/>
  <c r="G412" i="112"/>
  <c r="E793" i="111"/>
  <c r="G280" i="111"/>
  <c r="E529" i="111"/>
  <c r="F749" i="111"/>
  <c r="G324" i="111"/>
  <c r="F309" i="111"/>
  <c r="F23" i="111"/>
  <c r="G302" i="111"/>
  <c r="G60" i="103"/>
  <c r="G192" i="103"/>
  <c r="F551" i="103"/>
  <c r="G720" i="103"/>
  <c r="G522" i="103"/>
  <c r="G918" i="103"/>
  <c r="F573" i="103"/>
  <c r="G573" i="103" s="1"/>
  <c r="G588" i="52"/>
  <c r="G1644" i="52"/>
  <c r="E353" i="52"/>
  <c r="G353" i="52" s="1"/>
  <c r="G874" i="52"/>
  <c r="E1409" i="52"/>
  <c r="G302" i="52"/>
  <c r="F89" i="52"/>
  <c r="G1094" i="52"/>
  <c r="E265" i="102"/>
  <c r="E199" i="102"/>
  <c r="F221" i="115"/>
  <c r="F309" i="116"/>
  <c r="G309" i="116" s="1"/>
  <c r="F485" i="103"/>
  <c r="E287" i="102"/>
  <c r="F463" i="103"/>
  <c r="F925" i="103"/>
  <c r="F353" i="110"/>
  <c r="G60" i="105"/>
  <c r="F177" i="110"/>
  <c r="F375" i="106"/>
  <c r="E903" i="105"/>
  <c r="F573" i="105"/>
  <c r="F749" i="105"/>
  <c r="F309" i="108"/>
  <c r="E199" i="103"/>
  <c r="F89" i="109"/>
  <c r="F1563" i="52"/>
  <c r="F353" i="107"/>
  <c r="E639" i="105"/>
  <c r="E133" i="103"/>
  <c r="F903" i="103"/>
  <c r="E375" i="52"/>
  <c r="F45" i="105"/>
  <c r="E309" i="105"/>
  <c r="E353" i="107"/>
  <c r="G148" i="105"/>
  <c r="E199" i="110"/>
  <c r="F705" i="103"/>
  <c r="G23" i="128"/>
  <c r="F595" i="109"/>
  <c r="F133" i="114"/>
  <c r="F23" i="104"/>
  <c r="F529" i="105"/>
  <c r="G529" i="105" s="1"/>
  <c r="E463" i="105"/>
  <c r="G902" i="105"/>
  <c r="G308" i="108"/>
  <c r="E133" i="108"/>
  <c r="E89" i="110"/>
  <c r="E89" i="117"/>
  <c r="E243" i="116"/>
  <c r="F771" i="103"/>
  <c r="F573" i="52"/>
  <c r="G111" i="129"/>
  <c r="E441" i="105"/>
  <c r="F199" i="106"/>
  <c r="F111" i="108"/>
  <c r="F265" i="109"/>
  <c r="E397" i="115"/>
  <c r="G199" i="122"/>
  <c r="G45" i="133"/>
  <c r="G419" i="127"/>
  <c r="G177" i="127"/>
  <c r="F441" i="109"/>
  <c r="F1409" i="52"/>
  <c r="G199" i="130"/>
  <c r="G441" i="127"/>
  <c r="G353" i="129"/>
  <c r="G23" i="132"/>
  <c r="G595" i="129"/>
  <c r="G177" i="132"/>
  <c r="G463" i="130"/>
  <c r="G309" i="127"/>
  <c r="E45" i="107"/>
  <c r="E815" i="52"/>
  <c r="E23" i="110"/>
  <c r="F485" i="111"/>
  <c r="F133" i="111"/>
  <c r="G617" i="129"/>
  <c r="F133" i="113"/>
  <c r="E617" i="112"/>
  <c r="E243" i="111"/>
  <c r="G23" i="130"/>
  <c r="G45" i="122"/>
  <c r="G89" i="123"/>
  <c r="G221" i="133"/>
  <c r="G573" i="129"/>
  <c r="G133" i="120"/>
  <c r="G199" i="123"/>
  <c r="G23" i="133"/>
  <c r="G441" i="129"/>
  <c r="E551" i="108"/>
  <c r="F375" i="109"/>
  <c r="F485" i="113"/>
  <c r="F111" i="112"/>
  <c r="G132" i="103"/>
  <c r="F1299" i="52"/>
  <c r="G111" i="132"/>
  <c r="G111" i="133"/>
  <c r="G221" i="132"/>
  <c r="G155" i="123"/>
  <c r="G199" i="124"/>
  <c r="G67" i="120"/>
  <c r="G177" i="123"/>
  <c r="G529" i="129"/>
  <c r="F177" i="107"/>
  <c r="G177" i="107" s="1"/>
  <c r="G594" i="109"/>
  <c r="E1629" i="52"/>
  <c r="G45" i="120"/>
  <c r="G133" i="125"/>
  <c r="G155" i="122"/>
  <c r="G352" i="107"/>
  <c r="F485" i="116"/>
  <c r="G485" i="116" s="1"/>
  <c r="G199" i="127"/>
  <c r="G199" i="132"/>
  <c r="G243" i="126"/>
  <c r="E111" i="106"/>
  <c r="G286" i="108"/>
  <c r="E969" i="111"/>
  <c r="G243" i="124"/>
  <c r="G133" i="122"/>
  <c r="G111" i="130"/>
  <c r="G155" i="128"/>
  <c r="E331" i="104"/>
  <c r="E309" i="107"/>
  <c r="G132" i="52"/>
  <c r="G66" i="108"/>
  <c r="G110" i="114"/>
  <c r="G155" i="130"/>
  <c r="G588" i="112"/>
  <c r="F683" i="112"/>
  <c r="E177" i="104"/>
  <c r="F441" i="112"/>
  <c r="G346" i="103"/>
  <c r="G148" i="104"/>
  <c r="G38" i="104"/>
  <c r="G38" i="116"/>
  <c r="E375" i="116"/>
  <c r="G368" i="115"/>
  <c r="G808" i="111"/>
  <c r="G236" i="111"/>
  <c r="E771" i="52"/>
  <c r="G368" i="52"/>
  <c r="G390" i="52"/>
  <c r="G346" i="104"/>
  <c r="G214" i="104"/>
  <c r="G258" i="104"/>
  <c r="F463" i="109"/>
  <c r="G456" i="109"/>
  <c r="F551" i="109"/>
  <c r="G566" i="109"/>
  <c r="F177" i="117"/>
  <c r="G324" i="114"/>
  <c r="E1673" i="52"/>
  <c r="G1600" i="52"/>
  <c r="F331" i="108"/>
  <c r="E353" i="108"/>
  <c r="G148" i="110"/>
  <c r="F155" i="117"/>
  <c r="G346" i="114"/>
  <c r="F815" i="111"/>
  <c r="F67" i="111"/>
  <c r="E837" i="52"/>
  <c r="G1270" i="52"/>
  <c r="G720" i="52"/>
  <c r="F309" i="52"/>
  <c r="F221" i="104"/>
  <c r="G170" i="115"/>
  <c r="F595" i="112"/>
  <c r="G522" i="112"/>
  <c r="G544" i="111"/>
  <c r="G60" i="111"/>
  <c r="F683" i="103"/>
  <c r="F1497" i="52"/>
  <c r="G1226" i="52"/>
  <c r="G280" i="52"/>
  <c r="G170" i="104"/>
  <c r="F155" i="104"/>
  <c r="E881" i="105"/>
  <c r="G500" i="105"/>
  <c r="G390" i="105"/>
  <c r="E1013" i="105"/>
  <c r="G368" i="106"/>
  <c r="G258" i="109"/>
  <c r="E375" i="109"/>
  <c r="E441" i="109"/>
  <c r="F133" i="109"/>
  <c r="F309" i="109"/>
  <c r="G309" i="109" s="1"/>
  <c r="G16" i="110"/>
  <c r="G434" i="117"/>
  <c r="F45" i="116"/>
  <c r="F265" i="116"/>
  <c r="F67" i="115"/>
  <c r="G38" i="115"/>
  <c r="E67" i="114"/>
  <c r="G126" i="114"/>
  <c r="E133" i="114"/>
  <c r="E397" i="114"/>
  <c r="F375" i="113"/>
  <c r="E133" i="113"/>
  <c r="E177" i="113"/>
  <c r="E45" i="113"/>
  <c r="G434" i="113"/>
  <c r="F199" i="112"/>
  <c r="F463" i="112"/>
  <c r="F573" i="112"/>
  <c r="G698" i="112"/>
  <c r="G764" i="112"/>
  <c r="F265" i="112"/>
  <c r="G566" i="112"/>
  <c r="E639" i="112"/>
  <c r="G346" i="112"/>
  <c r="E771" i="112"/>
  <c r="F705" i="112"/>
  <c r="G104" i="112"/>
  <c r="G720" i="112"/>
  <c r="G82" i="111"/>
  <c r="G66" i="111"/>
  <c r="G632" i="111"/>
  <c r="G104" i="111"/>
  <c r="F793" i="111"/>
  <c r="E617" i="103"/>
  <c r="F749" i="103"/>
  <c r="G170" i="103"/>
  <c r="G16" i="103"/>
  <c r="E309" i="103"/>
  <c r="F155" i="103"/>
  <c r="F331" i="103"/>
  <c r="E551" i="103"/>
  <c r="E727" i="103"/>
  <c r="E1167" i="52"/>
  <c r="G1380" i="52"/>
  <c r="F1651" i="52"/>
  <c r="F1233" i="52"/>
  <c r="F507" i="52"/>
  <c r="G1424" i="52"/>
  <c r="F1541" i="52"/>
  <c r="E1343" i="52"/>
  <c r="G962" i="52"/>
  <c r="F133" i="52"/>
  <c r="F661" i="52"/>
  <c r="G258" i="102"/>
  <c r="E375" i="114"/>
  <c r="E199" i="115"/>
  <c r="F177" i="116"/>
  <c r="E133" i="110"/>
  <c r="E507" i="111"/>
  <c r="F1057" i="52"/>
  <c r="E221" i="113"/>
  <c r="F199" i="113"/>
  <c r="E287" i="112"/>
  <c r="F177" i="104"/>
  <c r="G280" i="104"/>
  <c r="F309" i="105"/>
  <c r="G192" i="107"/>
  <c r="E397" i="108"/>
  <c r="G397" i="108" s="1"/>
  <c r="F573" i="109"/>
  <c r="G434" i="109"/>
  <c r="G522" i="109"/>
  <c r="E45" i="110"/>
  <c r="G16" i="117"/>
  <c r="G192" i="117"/>
  <c r="G104" i="117"/>
  <c r="E155" i="117"/>
  <c r="F111" i="116"/>
  <c r="G111" i="116" s="1"/>
  <c r="E45" i="116"/>
  <c r="G478" i="116"/>
  <c r="E331" i="115"/>
  <c r="G104" i="115"/>
  <c r="G192" i="113"/>
  <c r="G82" i="113"/>
  <c r="G133" i="52"/>
  <c r="E639" i="52"/>
  <c r="E309" i="102"/>
  <c r="F67" i="114"/>
  <c r="F309" i="115"/>
  <c r="F155" i="116"/>
  <c r="E991" i="105"/>
  <c r="E89" i="105"/>
  <c r="F375" i="108"/>
  <c r="F243" i="103"/>
  <c r="E243" i="104"/>
  <c r="G243" i="104" s="1"/>
  <c r="F45" i="52"/>
  <c r="E705" i="52"/>
  <c r="E903" i="103"/>
  <c r="E221" i="103"/>
  <c r="F177" i="111"/>
  <c r="F419" i="111"/>
  <c r="F67" i="112"/>
  <c r="F353" i="112"/>
  <c r="E287" i="105"/>
  <c r="F1057" i="105"/>
  <c r="G221" i="129"/>
  <c r="E155" i="104"/>
  <c r="G155" i="104" s="1"/>
  <c r="F991" i="105"/>
  <c r="F1035" i="105"/>
  <c r="F507" i="105"/>
  <c r="F705" i="105"/>
  <c r="G126" i="106"/>
  <c r="G148" i="106"/>
  <c r="G192" i="106"/>
  <c r="E155" i="107"/>
  <c r="E331" i="107"/>
  <c r="G170" i="107"/>
  <c r="E133" i="107"/>
  <c r="G412" i="108"/>
  <c r="G16" i="108"/>
  <c r="G632" i="109"/>
  <c r="F353" i="109"/>
  <c r="F397" i="109"/>
  <c r="E67" i="109"/>
  <c r="G368" i="109"/>
  <c r="E155" i="109"/>
  <c r="E111" i="109"/>
  <c r="E551" i="109"/>
  <c r="E375" i="110"/>
  <c r="E221" i="117"/>
  <c r="G82" i="117"/>
  <c r="E331" i="116"/>
  <c r="G258" i="116"/>
  <c r="G390" i="116"/>
  <c r="G16" i="115"/>
  <c r="E419" i="115"/>
  <c r="F45" i="115"/>
  <c r="G412" i="114"/>
  <c r="F287" i="113"/>
  <c r="E265" i="113"/>
  <c r="G346" i="113"/>
  <c r="E133" i="112"/>
  <c r="F771" i="112"/>
  <c r="G478" i="111"/>
  <c r="E595" i="111"/>
  <c r="F287" i="111"/>
  <c r="E419" i="111"/>
  <c r="F969" i="111"/>
  <c r="E947" i="111"/>
  <c r="F309" i="103"/>
  <c r="E639" i="103"/>
  <c r="F617" i="103"/>
  <c r="F815" i="103"/>
  <c r="F881" i="103"/>
  <c r="E353" i="103"/>
  <c r="E441" i="103"/>
  <c r="F529" i="103"/>
  <c r="G698" i="103"/>
  <c r="G940" i="52"/>
  <c r="G1292" i="52"/>
  <c r="G1182" i="52"/>
  <c r="G522" i="52"/>
  <c r="G1710" i="52"/>
  <c r="G1314" i="52"/>
  <c r="E1035" i="52"/>
  <c r="G258" i="52"/>
  <c r="F793" i="52"/>
  <c r="F111" i="102"/>
  <c r="G236" i="102"/>
  <c r="G368" i="104"/>
  <c r="F353" i="104"/>
  <c r="F375" i="104"/>
  <c r="E111" i="104"/>
  <c r="G214" i="105"/>
  <c r="F177" i="105"/>
  <c r="G177" i="105" s="1"/>
  <c r="F617" i="105"/>
  <c r="E507" i="108"/>
  <c r="E397" i="109"/>
  <c r="F529" i="109"/>
  <c r="F485" i="109"/>
  <c r="F331" i="109"/>
  <c r="F67" i="109"/>
  <c r="E529" i="109"/>
  <c r="G82" i="116"/>
  <c r="G236" i="116"/>
  <c r="E331" i="114"/>
  <c r="F507" i="114"/>
  <c r="G390" i="114"/>
  <c r="E419" i="113"/>
  <c r="G308" i="113"/>
  <c r="F67" i="113"/>
  <c r="F331" i="113"/>
  <c r="E529" i="112"/>
  <c r="G654" i="112"/>
  <c r="F287" i="112"/>
  <c r="E265" i="112"/>
  <c r="F661" i="112"/>
  <c r="G434" i="111"/>
  <c r="G610" i="111"/>
  <c r="E925" i="111"/>
  <c r="G456" i="111"/>
  <c r="G742" i="103"/>
  <c r="E881" i="103"/>
  <c r="G500" i="103"/>
  <c r="F793" i="103"/>
  <c r="G302" i="103"/>
  <c r="G874" i="103"/>
  <c r="G544" i="103"/>
  <c r="F419" i="103"/>
  <c r="E617" i="52"/>
  <c r="E507" i="52"/>
  <c r="E683" i="52"/>
  <c r="G676" i="52"/>
  <c r="G896" i="52"/>
  <c r="G1512" i="52"/>
  <c r="G808" i="52"/>
  <c r="G786" i="52"/>
  <c r="G60" i="52"/>
  <c r="F199" i="52"/>
  <c r="G544" i="52"/>
  <c r="G148" i="52"/>
  <c r="F1431" i="52"/>
  <c r="F1277" i="52"/>
  <c r="G16" i="102"/>
  <c r="G60" i="102"/>
  <c r="E353" i="114"/>
  <c r="E463" i="114"/>
  <c r="F287" i="115"/>
  <c r="G287" i="115" s="1"/>
  <c r="E573" i="105"/>
  <c r="F111" i="52"/>
  <c r="E463" i="117"/>
  <c r="F243" i="115"/>
  <c r="G243" i="115" s="1"/>
  <c r="E133" i="109"/>
  <c r="F727" i="52"/>
  <c r="E859" i="111"/>
  <c r="F727" i="112"/>
  <c r="F177" i="112"/>
  <c r="G177" i="112" s="1"/>
  <c r="F243" i="107"/>
  <c r="E199" i="52"/>
  <c r="G199" i="52" s="1"/>
  <c r="F881" i="105"/>
  <c r="F111" i="106"/>
  <c r="G89" i="124"/>
  <c r="F375" i="112"/>
  <c r="E23" i="105"/>
  <c r="G396" i="106"/>
  <c r="G110" i="106"/>
  <c r="E89" i="109"/>
  <c r="G330" i="116"/>
  <c r="F375" i="114"/>
  <c r="E331" i="113"/>
  <c r="F837" i="103"/>
  <c r="E1233" i="52"/>
  <c r="E727" i="52"/>
  <c r="G748" i="105"/>
  <c r="F397" i="106"/>
  <c r="F133" i="108"/>
  <c r="E177" i="108"/>
  <c r="E155" i="108"/>
  <c r="G88" i="109"/>
  <c r="E265" i="110"/>
  <c r="G286" i="113"/>
  <c r="G528" i="112"/>
  <c r="E1497" i="52"/>
  <c r="G726" i="52"/>
  <c r="E155" i="102"/>
  <c r="G946" i="105"/>
  <c r="G132" i="108"/>
  <c r="F133" i="115"/>
  <c r="F309" i="114"/>
  <c r="G308" i="114"/>
  <c r="F155" i="113"/>
  <c r="G154" i="113"/>
  <c r="F529" i="112"/>
  <c r="E45" i="112"/>
  <c r="E133" i="102"/>
  <c r="F155" i="105"/>
  <c r="G880" i="105"/>
  <c r="G572" i="105"/>
  <c r="G374" i="106"/>
  <c r="F133" i="106"/>
  <c r="E353" i="115"/>
  <c r="G440" i="113"/>
  <c r="F133" i="103"/>
  <c r="F947" i="52"/>
  <c r="G110" i="52"/>
  <c r="G1056" i="52"/>
  <c r="F925" i="52"/>
  <c r="F155" i="102"/>
  <c r="G308" i="105"/>
  <c r="G22" i="106"/>
  <c r="G374" i="107"/>
  <c r="E111" i="108"/>
  <c r="G154" i="116"/>
  <c r="G396" i="116"/>
  <c r="G286" i="115"/>
  <c r="F441" i="114"/>
  <c r="G352" i="114"/>
  <c r="G66" i="113"/>
  <c r="E837" i="111"/>
  <c r="E89" i="103"/>
  <c r="G133" i="129"/>
  <c r="E397" i="105"/>
  <c r="F243" i="106"/>
  <c r="E221" i="107"/>
  <c r="G110" i="108"/>
  <c r="E45" i="108"/>
  <c r="G396" i="115"/>
  <c r="G462" i="114"/>
  <c r="G418" i="112"/>
  <c r="G88" i="111"/>
  <c r="G484" i="103"/>
  <c r="F1519" i="52"/>
  <c r="G1122" i="52"/>
  <c r="F1475" i="52"/>
  <c r="G1474" i="52"/>
  <c r="G22" i="104"/>
  <c r="G44" i="106"/>
  <c r="G198" i="109"/>
  <c r="F265" i="117"/>
  <c r="G264" i="117"/>
  <c r="G352" i="117"/>
  <c r="G154" i="115"/>
  <c r="E155" i="113"/>
  <c r="G220" i="103"/>
  <c r="F45" i="103"/>
  <c r="G858" i="52"/>
  <c r="G110" i="104"/>
  <c r="G132" i="107"/>
  <c r="E353" i="117"/>
  <c r="G353" i="117" s="1"/>
  <c r="E309" i="114"/>
  <c r="G858" i="111"/>
  <c r="E199" i="111"/>
  <c r="F353" i="103"/>
  <c r="G396" i="103"/>
  <c r="G990" i="105"/>
  <c r="G330" i="105"/>
  <c r="G418" i="108"/>
  <c r="G374" i="114"/>
  <c r="E67" i="52"/>
  <c r="E1277" i="52"/>
  <c r="E397" i="52"/>
  <c r="G264" i="111"/>
  <c r="G858" i="103"/>
  <c r="F1123" i="52"/>
  <c r="F45" i="102"/>
  <c r="G242" i="103"/>
  <c r="G682" i="111"/>
  <c r="G814" i="103"/>
  <c r="G440" i="52"/>
  <c r="E177" i="102"/>
  <c r="G485" i="129"/>
  <c r="G67" i="130"/>
  <c r="G243" i="128"/>
  <c r="G397" i="127"/>
  <c r="G265" i="127"/>
  <c r="G198" i="107"/>
  <c r="G880" i="103"/>
  <c r="G88" i="103"/>
  <c r="E1145" i="52"/>
  <c r="G155" i="120"/>
  <c r="G463" i="129"/>
  <c r="G220" i="105"/>
  <c r="G440" i="105"/>
  <c r="G682" i="105"/>
  <c r="G66" i="106"/>
  <c r="G176" i="117"/>
  <c r="G44" i="113"/>
  <c r="G352" i="113"/>
  <c r="E507" i="113"/>
  <c r="F507" i="111"/>
  <c r="G397" i="130"/>
  <c r="G221" i="130"/>
  <c r="G243" i="127"/>
  <c r="G88" i="110"/>
  <c r="G220" i="110"/>
  <c r="G44" i="52"/>
  <c r="G264" i="52"/>
  <c r="G66" i="102"/>
  <c r="G88" i="104"/>
  <c r="G968" i="105"/>
  <c r="G352" i="106"/>
  <c r="G352" i="108"/>
  <c r="G66" i="117"/>
  <c r="G132" i="117"/>
  <c r="G484" i="113"/>
  <c r="G308" i="111"/>
  <c r="G132" i="111"/>
  <c r="G352" i="111"/>
  <c r="G154" i="103"/>
  <c r="G45" i="132"/>
  <c r="G616" i="105"/>
  <c r="E287" i="107"/>
  <c r="G154" i="108"/>
  <c r="G176" i="114"/>
  <c r="G220" i="111"/>
  <c r="G660" i="52"/>
  <c r="G1188" i="52"/>
  <c r="G374" i="52"/>
  <c r="G242" i="52"/>
  <c r="G1562" i="52"/>
  <c r="G44" i="102"/>
  <c r="G177" i="130"/>
  <c r="G330" i="104"/>
  <c r="G286" i="106"/>
  <c r="G374" i="108"/>
  <c r="G198" i="108"/>
  <c r="G484" i="108"/>
  <c r="F507" i="108"/>
  <c r="G418" i="109"/>
  <c r="G110" i="117"/>
  <c r="G418" i="117"/>
  <c r="G396" i="117"/>
  <c r="G440" i="117"/>
  <c r="G374" i="117"/>
  <c r="G132" i="115"/>
  <c r="G66" i="112"/>
  <c r="G176" i="112"/>
  <c r="G308" i="112"/>
  <c r="G220" i="112"/>
  <c r="G704" i="112"/>
  <c r="G1694" i="52"/>
  <c r="G176" i="52"/>
  <c r="G286" i="52"/>
  <c r="G1628" i="52"/>
  <c r="G220" i="52"/>
  <c r="G396" i="52"/>
  <c r="G111" i="125"/>
  <c r="G353" i="128"/>
  <c r="G67" i="127"/>
  <c r="G66" i="105"/>
  <c r="G22" i="105"/>
  <c r="G418" i="105"/>
  <c r="G396" i="105"/>
  <c r="G858" i="105"/>
  <c r="G286" i="105"/>
  <c r="G242" i="106"/>
  <c r="G154" i="106"/>
  <c r="G88" i="106"/>
  <c r="G66" i="107"/>
  <c r="G242" i="107"/>
  <c r="G44" i="107"/>
  <c r="F287" i="108"/>
  <c r="F551" i="108"/>
  <c r="G484" i="116"/>
  <c r="G88" i="116"/>
  <c r="G440" i="116"/>
  <c r="G418" i="116"/>
  <c r="G286" i="114"/>
  <c r="G396" i="113"/>
  <c r="G704" i="111"/>
  <c r="G836" i="111"/>
  <c r="G770" i="103"/>
  <c r="G924" i="103"/>
  <c r="G1672" i="52"/>
  <c r="G154" i="102"/>
  <c r="G148" i="102"/>
  <c r="E89" i="102"/>
  <c r="G242" i="102"/>
  <c r="G308" i="102"/>
  <c r="F265" i="102"/>
  <c r="F89" i="102"/>
  <c r="E45" i="102"/>
  <c r="G198" i="102"/>
  <c r="G176" i="102"/>
  <c r="F177" i="102"/>
  <c r="G264" i="102"/>
  <c r="G110" i="102"/>
  <c r="G88" i="102"/>
  <c r="G38" i="102"/>
  <c r="E67" i="102"/>
  <c r="E243" i="102"/>
  <c r="E111" i="102"/>
  <c r="G286" i="102"/>
  <c r="G220" i="102"/>
  <c r="G126" i="102"/>
  <c r="F23" i="102"/>
  <c r="G22" i="102"/>
  <c r="G132" i="102"/>
  <c r="F67" i="102"/>
  <c r="G170" i="102"/>
  <c r="G104" i="102"/>
  <c r="E1057" i="52"/>
  <c r="E925" i="52"/>
  <c r="G1342" i="52"/>
  <c r="F287" i="52"/>
  <c r="E287" i="52"/>
  <c r="E529" i="52"/>
  <c r="E1387" i="52"/>
  <c r="G1144" i="52"/>
  <c r="G1210" i="52"/>
  <c r="G1254" i="52"/>
  <c r="G836" i="52"/>
  <c r="G1452" i="52"/>
  <c r="G1012" i="52"/>
  <c r="G616" i="52"/>
  <c r="G1298" i="52"/>
  <c r="E1321" i="52"/>
  <c r="E111" i="52"/>
  <c r="F463" i="52"/>
  <c r="E881" i="52"/>
  <c r="E1739" i="52"/>
  <c r="G1739" i="52" s="1"/>
  <c r="G198" i="52"/>
  <c r="G990" i="52"/>
  <c r="G770" i="52"/>
  <c r="G1386" i="52"/>
  <c r="G968" i="52"/>
  <c r="G594" i="52"/>
  <c r="G902" i="52"/>
  <c r="E1695" i="52"/>
  <c r="F265" i="52"/>
  <c r="E441" i="52"/>
  <c r="E969" i="52"/>
  <c r="E1123" i="52"/>
  <c r="E463" i="52"/>
  <c r="E177" i="52"/>
  <c r="E1101" i="52"/>
  <c r="F1629" i="52"/>
  <c r="G1496" i="52"/>
  <c r="G1078" i="52"/>
  <c r="G528" i="52"/>
  <c r="G572" i="52"/>
  <c r="G1716" i="52"/>
  <c r="G1650" i="52"/>
  <c r="F991" i="52"/>
  <c r="F969" i="52"/>
  <c r="E89" i="52"/>
  <c r="F1321" i="52"/>
  <c r="F243" i="52"/>
  <c r="F595" i="52"/>
  <c r="E947" i="52"/>
  <c r="F1607" i="52"/>
  <c r="E573" i="52"/>
  <c r="F881" i="52"/>
  <c r="E1541" i="52"/>
  <c r="E265" i="52"/>
  <c r="G1402" i="52"/>
  <c r="G704" i="52"/>
  <c r="G748" i="52"/>
  <c r="G1364" i="52"/>
  <c r="G506" i="52"/>
  <c r="G1232" i="52"/>
  <c r="G1540" i="52"/>
  <c r="G946" i="52"/>
  <c r="G1408" i="52"/>
  <c r="G484" i="52"/>
  <c r="F67" i="52"/>
  <c r="G104" i="52"/>
  <c r="F331" i="52"/>
  <c r="E1189" i="52"/>
  <c r="G1166" i="52"/>
  <c r="G1320" i="52"/>
  <c r="G154" i="52"/>
  <c r="G1034" i="52"/>
  <c r="G638" i="52"/>
  <c r="G880" i="52"/>
  <c r="G418" i="52"/>
  <c r="G1738" i="52"/>
  <c r="G1100" i="52"/>
  <c r="E1519" i="52"/>
  <c r="F1695" i="52"/>
  <c r="E793" i="52"/>
  <c r="F155" i="52"/>
  <c r="E1475" i="52"/>
  <c r="E1079" i="52"/>
  <c r="E1585" i="52"/>
  <c r="E331" i="52"/>
  <c r="F1211" i="52"/>
  <c r="F749" i="52"/>
  <c r="G550" i="52"/>
  <c r="G792" i="52"/>
  <c r="G330" i="52"/>
  <c r="G814" i="52"/>
  <c r="G924" i="52"/>
  <c r="G682" i="52"/>
  <c r="G352" i="52"/>
  <c r="E485" i="52"/>
  <c r="E1717" i="52"/>
  <c r="G1717" i="52" s="1"/>
  <c r="F375" i="52"/>
  <c r="F551" i="52"/>
  <c r="F683" i="52"/>
  <c r="F903" i="52"/>
  <c r="F177" i="52"/>
  <c r="F705" i="52"/>
  <c r="E221" i="52"/>
  <c r="F397" i="52"/>
  <c r="F771" i="52"/>
  <c r="E1299" i="52"/>
  <c r="E309" i="52"/>
  <c r="F485" i="52"/>
  <c r="G1622" i="52"/>
  <c r="F1189" i="52"/>
  <c r="G1606" i="52"/>
  <c r="F1387" i="52"/>
  <c r="G88" i="52"/>
  <c r="G308" i="52"/>
  <c r="G1276" i="52"/>
  <c r="F441" i="52"/>
  <c r="F1673" i="52"/>
  <c r="F639" i="52"/>
  <c r="F1079" i="52"/>
  <c r="F837" i="52"/>
  <c r="F1101" i="52"/>
  <c r="F859" i="52"/>
  <c r="G1430" i="52"/>
  <c r="G1138" i="52"/>
  <c r="F815" i="52"/>
  <c r="E903" i="52"/>
  <c r="E1431" i="52"/>
  <c r="G1518" i="52"/>
  <c r="G66" i="52"/>
  <c r="F529" i="52"/>
  <c r="G1584" i="52"/>
  <c r="G462" i="52"/>
  <c r="G462" i="103"/>
  <c r="E287" i="103"/>
  <c r="F199" i="103"/>
  <c r="F375" i="103"/>
  <c r="G528" i="103"/>
  <c r="E397" i="103"/>
  <c r="E595" i="103"/>
  <c r="E485" i="103"/>
  <c r="G126" i="103"/>
  <c r="G176" i="103"/>
  <c r="G836" i="103"/>
  <c r="G44" i="103"/>
  <c r="G792" i="103"/>
  <c r="F177" i="103"/>
  <c r="E925" i="103"/>
  <c r="G550" i="103"/>
  <c r="G440" i="103"/>
  <c r="G264" i="103"/>
  <c r="G572" i="103"/>
  <c r="F89" i="103"/>
  <c r="E177" i="103"/>
  <c r="F727" i="103"/>
  <c r="E529" i="103"/>
  <c r="G726" i="103"/>
  <c r="G616" i="103"/>
  <c r="G198" i="103"/>
  <c r="E243" i="103"/>
  <c r="E793" i="103"/>
  <c r="G308" i="103"/>
  <c r="G66" i="103"/>
  <c r="G704" i="103"/>
  <c r="E749" i="103"/>
  <c r="G110" i="103"/>
  <c r="F507" i="103"/>
  <c r="E683" i="103"/>
  <c r="F859" i="103"/>
  <c r="E419" i="103"/>
  <c r="G594" i="103"/>
  <c r="G902" i="103"/>
  <c r="G506" i="103"/>
  <c r="G352" i="103"/>
  <c r="E67" i="103"/>
  <c r="F23" i="103"/>
  <c r="G682" i="103"/>
  <c r="E661" i="103"/>
  <c r="F67" i="103"/>
  <c r="G286" i="103"/>
  <c r="G748" i="103"/>
  <c r="G638" i="103"/>
  <c r="G82" i="103"/>
  <c r="F397" i="103"/>
  <c r="E837" i="103"/>
  <c r="G374" i="103"/>
  <c r="E771" i="103"/>
  <c r="E45" i="103"/>
  <c r="G330" i="103"/>
  <c r="G22" i="103"/>
  <c r="G660" i="103"/>
  <c r="F287" i="103"/>
  <c r="E331" i="103"/>
  <c r="E507" i="103"/>
  <c r="E859" i="103"/>
  <c r="F221" i="103"/>
  <c r="G418" i="103"/>
  <c r="E903" i="111"/>
  <c r="F199" i="111"/>
  <c r="F947" i="111"/>
  <c r="F705" i="111"/>
  <c r="G550" i="111"/>
  <c r="G946" i="111"/>
  <c r="G572" i="111"/>
  <c r="G792" i="111"/>
  <c r="G506" i="111"/>
  <c r="G176" i="111"/>
  <c r="F111" i="111"/>
  <c r="E727" i="111"/>
  <c r="F221" i="111"/>
  <c r="E573" i="111"/>
  <c r="F925" i="111"/>
  <c r="E155" i="111"/>
  <c r="E661" i="111"/>
  <c r="G962" i="111"/>
  <c r="F463" i="111"/>
  <c r="E67" i="111"/>
  <c r="G726" i="111"/>
  <c r="G748" i="111"/>
  <c r="G330" i="111"/>
  <c r="G902" i="111"/>
  <c r="G968" i="111"/>
  <c r="G814" i="111"/>
  <c r="G924" i="111"/>
  <c r="G594" i="111"/>
  <c r="E111" i="111"/>
  <c r="F727" i="111"/>
  <c r="F265" i="111"/>
  <c r="G940" i="111"/>
  <c r="E441" i="111"/>
  <c r="E639" i="111"/>
  <c r="G396" i="111"/>
  <c r="G154" i="111"/>
  <c r="F639" i="111"/>
  <c r="E45" i="111"/>
  <c r="G500" i="111"/>
  <c r="E815" i="111"/>
  <c r="F617" i="111"/>
  <c r="G617" i="111" s="1"/>
  <c r="F331" i="111"/>
  <c r="G462" i="111"/>
  <c r="G484" i="111"/>
  <c r="F859" i="111"/>
  <c r="G44" i="111"/>
  <c r="G528" i="111"/>
  <c r="E551" i="111"/>
  <c r="G852" i="111"/>
  <c r="F441" i="111"/>
  <c r="E683" i="111"/>
  <c r="G374" i="111"/>
  <c r="G198" i="111"/>
  <c r="E397" i="111"/>
  <c r="G440" i="111"/>
  <c r="F551" i="111"/>
  <c r="E485" i="111"/>
  <c r="F529" i="111"/>
  <c r="F155" i="111"/>
  <c r="G22" i="111"/>
  <c r="G638" i="111"/>
  <c r="G660" i="111"/>
  <c r="F89" i="111"/>
  <c r="G126" i="111"/>
  <c r="F243" i="111"/>
  <c r="E331" i="111"/>
  <c r="F903" i="111"/>
  <c r="G286" i="111"/>
  <c r="G616" i="111"/>
  <c r="G880" i="111"/>
  <c r="G418" i="111"/>
  <c r="G770" i="111"/>
  <c r="G110" i="111"/>
  <c r="G242" i="111"/>
  <c r="F375" i="111"/>
  <c r="E265" i="111"/>
  <c r="E353" i="112"/>
  <c r="G638" i="112"/>
  <c r="E111" i="112"/>
  <c r="G368" i="112"/>
  <c r="F551" i="112"/>
  <c r="E89" i="112"/>
  <c r="F309" i="112"/>
  <c r="E573" i="112"/>
  <c r="E419" i="112"/>
  <c r="E243" i="112"/>
  <c r="G330" i="112"/>
  <c r="G154" i="112"/>
  <c r="G286" i="112"/>
  <c r="G462" i="112"/>
  <c r="G506" i="112"/>
  <c r="G550" i="112"/>
  <c r="G484" i="112"/>
  <c r="F419" i="112"/>
  <c r="F639" i="112"/>
  <c r="E793" i="112"/>
  <c r="E23" i="112"/>
  <c r="E309" i="112"/>
  <c r="G198" i="112"/>
  <c r="G44" i="112"/>
  <c r="G616" i="112"/>
  <c r="G660" i="112"/>
  <c r="E67" i="112"/>
  <c r="G610" i="112"/>
  <c r="E705" i="112"/>
  <c r="E331" i="112"/>
  <c r="G676" i="112"/>
  <c r="E551" i="112"/>
  <c r="G88" i="112"/>
  <c r="G264" i="112"/>
  <c r="G572" i="112"/>
  <c r="G110" i="112"/>
  <c r="E661" i="112"/>
  <c r="G22" i="112"/>
  <c r="G440" i="112"/>
  <c r="G792" i="112"/>
  <c r="E221" i="112"/>
  <c r="E441" i="112"/>
  <c r="G682" i="112"/>
  <c r="G132" i="112"/>
  <c r="E507" i="112"/>
  <c r="E595" i="112"/>
  <c r="E485" i="112"/>
  <c r="G485" i="112" s="1"/>
  <c r="F617" i="112"/>
  <c r="G594" i="112"/>
  <c r="G374" i="112"/>
  <c r="G726" i="112"/>
  <c r="G352" i="112"/>
  <c r="G770" i="112"/>
  <c r="G396" i="112"/>
  <c r="F23" i="112"/>
  <c r="G242" i="112"/>
  <c r="G748" i="112"/>
  <c r="F23" i="113"/>
  <c r="G176" i="113"/>
  <c r="G220" i="113"/>
  <c r="G264" i="113"/>
  <c r="G500" i="113"/>
  <c r="G418" i="113"/>
  <c r="G330" i="113"/>
  <c r="G462" i="113"/>
  <c r="E397" i="113"/>
  <c r="E463" i="113"/>
  <c r="E111" i="113"/>
  <c r="F89" i="113"/>
  <c r="F265" i="113"/>
  <c r="E309" i="113"/>
  <c r="G309" i="113" s="1"/>
  <c r="G60" i="113"/>
  <c r="G22" i="113"/>
  <c r="E89" i="113"/>
  <c r="E353" i="113"/>
  <c r="G198" i="113"/>
  <c r="E243" i="113"/>
  <c r="E441" i="113"/>
  <c r="F111" i="113"/>
  <c r="G132" i="113"/>
  <c r="G110" i="113"/>
  <c r="G242" i="113"/>
  <c r="F463" i="113"/>
  <c r="G506" i="113"/>
  <c r="G88" i="113"/>
  <c r="E287" i="113"/>
  <c r="E375" i="113"/>
  <c r="F45" i="113"/>
  <c r="F353" i="113"/>
  <c r="G324" i="113"/>
  <c r="G374" i="113"/>
  <c r="E67" i="113"/>
  <c r="E243" i="114"/>
  <c r="G302" i="114"/>
  <c r="E419" i="114"/>
  <c r="G506" i="114"/>
  <c r="G418" i="114"/>
  <c r="G440" i="114"/>
  <c r="G484" i="114"/>
  <c r="G500" i="114"/>
  <c r="E45" i="114"/>
  <c r="G22" i="114"/>
  <c r="F353" i="114"/>
  <c r="G456" i="114"/>
  <c r="F463" i="114"/>
  <c r="G88" i="114"/>
  <c r="G154" i="114"/>
  <c r="E89" i="114"/>
  <c r="G396" i="114"/>
  <c r="F331" i="114"/>
  <c r="G242" i="114"/>
  <c r="G220" i="114"/>
  <c r="E177" i="114"/>
  <c r="G66" i="114"/>
  <c r="F397" i="114"/>
  <c r="F111" i="114"/>
  <c r="E111" i="114"/>
  <c r="F485" i="114"/>
  <c r="G198" i="114"/>
  <c r="G44" i="114"/>
  <c r="E265" i="114"/>
  <c r="E199" i="114"/>
  <c r="F45" i="114"/>
  <c r="F221" i="114"/>
  <c r="F155" i="114"/>
  <c r="F419" i="114"/>
  <c r="G330" i="114"/>
  <c r="E287" i="114"/>
  <c r="G287" i="114" s="1"/>
  <c r="F265" i="114"/>
  <c r="G132" i="114"/>
  <c r="E507" i="114"/>
  <c r="F177" i="114"/>
  <c r="G264" i="114"/>
  <c r="F375" i="115"/>
  <c r="E67" i="115"/>
  <c r="E133" i="115"/>
  <c r="E177" i="115"/>
  <c r="E375" i="115"/>
  <c r="G220" i="115"/>
  <c r="G308" i="115"/>
  <c r="E45" i="115"/>
  <c r="G374" i="115"/>
  <c r="G440" i="115"/>
  <c r="G198" i="115"/>
  <c r="G418" i="115"/>
  <c r="E89" i="115"/>
  <c r="G66" i="115"/>
  <c r="E309" i="115"/>
  <c r="F353" i="115"/>
  <c r="E155" i="115"/>
  <c r="G346" i="115"/>
  <c r="G352" i="115"/>
  <c r="G22" i="115"/>
  <c r="F23" i="115"/>
  <c r="G88" i="115"/>
  <c r="E23" i="115"/>
  <c r="G44" i="115"/>
  <c r="G264" i="115"/>
  <c r="E111" i="115"/>
  <c r="F89" i="115"/>
  <c r="G242" i="115"/>
  <c r="G176" i="115"/>
  <c r="G110" i="115"/>
  <c r="G330" i="115"/>
  <c r="F243" i="116"/>
  <c r="F419" i="116"/>
  <c r="F397" i="116"/>
  <c r="G286" i="116"/>
  <c r="G44" i="116"/>
  <c r="G176" i="116"/>
  <c r="F23" i="116"/>
  <c r="F89" i="116"/>
  <c r="G22" i="116"/>
  <c r="G374" i="116"/>
  <c r="E23" i="116"/>
  <c r="G242" i="116"/>
  <c r="F199" i="116"/>
  <c r="G462" i="116"/>
  <c r="E155" i="116"/>
  <c r="E89" i="116"/>
  <c r="G110" i="116"/>
  <c r="G264" i="116"/>
  <c r="G220" i="116"/>
  <c r="E199" i="116"/>
  <c r="E67" i="116"/>
  <c r="E441" i="116"/>
  <c r="G66" i="116"/>
  <c r="G132" i="116"/>
  <c r="G352" i="116"/>
  <c r="G308" i="116"/>
  <c r="E265" i="116"/>
  <c r="E397" i="116"/>
  <c r="F353" i="116"/>
  <c r="G198" i="116"/>
  <c r="G286" i="117"/>
  <c r="E331" i="117"/>
  <c r="F463" i="117"/>
  <c r="F23" i="117"/>
  <c r="F419" i="117"/>
  <c r="G419" i="117" s="1"/>
  <c r="E111" i="117"/>
  <c r="F441" i="117"/>
  <c r="F133" i="117"/>
  <c r="E177" i="117"/>
  <c r="F199" i="117"/>
  <c r="F45" i="117"/>
  <c r="E265" i="117"/>
  <c r="G220" i="117"/>
  <c r="E23" i="117"/>
  <c r="E375" i="117"/>
  <c r="G198" i="117"/>
  <c r="G308" i="117"/>
  <c r="G154" i="117"/>
  <c r="G462" i="117"/>
  <c r="E45" i="117"/>
  <c r="G22" i="117"/>
  <c r="G330" i="117"/>
  <c r="G44" i="117"/>
  <c r="E67" i="117"/>
  <c r="F111" i="117"/>
  <c r="E397" i="117"/>
  <c r="G397" i="117" s="1"/>
  <c r="G242" i="117"/>
  <c r="G88" i="117"/>
  <c r="G324" i="110"/>
  <c r="G154" i="110"/>
  <c r="E111" i="110"/>
  <c r="G82" i="110"/>
  <c r="F265" i="110"/>
  <c r="G308" i="110"/>
  <c r="G264" i="110"/>
  <c r="F23" i="110"/>
  <c r="G352" i="110"/>
  <c r="E287" i="110"/>
  <c r="G44" i="110"/>
  <c r="G286" i="110"/>
  <c r="G198" i="110"/>
  <c r="E331" i="110"/>
  <c r="F309" i="110"/>
  <c r="G170" i="110"/>
  <c r="F155" i="110"/>
  <c r="G302" i="110"/>
  <c r="G110" i="110"/>
  <c r="G330" i="110"/>
  <c r="G132" i="110"/>
  <c r="E67" i="110"/>
  <c r="G22" i="110"/>
  <c r="F111" i="110"/>
  <c r="G374" i="110"/>
  <c r="G176" i="110"/>
  <c r="G242" i="110"/>
  <c r="E353" i="110"/>
  <c r="E221" i="110"/>
  <c r="E573" i="109"/>
  <c r="F199" i="109"/>
  <c r="E45" i="109"/>
  <c r="G176" i="109"/>
  <c r="G440" i="109"/>
  <c r="G220" i="109"/>
  <c r="G396" i="109"/>
  <c r="G550" i="109"/>
  <c r="F507" i="109"/>
  <c r="E639" i="109"/>
  <c r="G374" i="109"/>
  <c r="G638" i="109"/>
  <c r="G484" i="109"/>
  <c r="G330" i="109"/>
  <c r="G264" i="109"/>
  <c r="F243" i="109"/>
  <c r="E23" i="109"/>
  <c r="F221" i="109"/>
  <c r="G66" i="109"/>
  <c r="G22" i="109"/>
  <c r="G44" i="109"/>
  <c r="G308" i="109"/>
  <c r="G352" i="109"/>
  <c r="G572" i="109"/>
  <c r="G506" i="109"/>
  <c r="G286" i="109"/>
  <c r="G528" i="109"/>
  <c r="G154" i="109"/>
  <c r="E199" i="109"/>
  <c r="G588" i="109"/>
  <c r="E617" i="109"/>
  <c r="G110" i="109"/>
  <c r="G462" i="109"/>
  <c r="G132" i="109"/>
  <c r="G82" i="109"/>
  <c r="F177" i="109"/>
  <c r="G242" i="109"/>
  <c r="E463" i="109"/>
  <c r="F45" i="109"/>
  <c r="E221" i="109"/>
  <c r="E331" i="109"/>
  <c r="F419" i="109"/>
  <c r="E507" i="109"/>
  <c r="G126" i="108"/>
  <c r="G500" i="108"/>
  <c r="G506" i="108"/>
  <c r="E89" i="108"/>
  <c r="E221" i="108"/>
  <c r="G434" i="108"/>
  <c r="G544" i="108"/>
  <c r="F155" i="108"/>
  <c r="G22" i="108"/>
  <c r="F265" i="108"/>
  <c r="F485" i="108"/>
  <c r="G485" i="108" s="1"/>
  <c r="E331" i="108"/>
  <c r="F441" i="108"/>
  <c r="G550" i="108"/>
  <c r="G572" i="108"/>
  <c r="F419" i="108"/>
  <c r="G242" i="108"/>
  <c r="G38" i="108"/>
  <c r="G264" i="108"/>
  <c r="G368" i="108"/>
  <c r="G170" i="108"/>
  <c r="E573" i="108"/>
  <c r="G478" i="108"/>
  <c r="F67" i="108"/>
  <c r="E67" i="108"/>
  <c r="E23" i="108"/>
  <c r="E287" i="108"/>
  <c r="G104" i="108"/>
  <c r="E309" i="108"/>
  <c r="E419" i="108"/>
  <c r="G462" i="108"/>
  <c r="G396" i="108"/>
  <c r="G330" i="108"/>
  <c r="F199" i="108"/>
  <c r="G280" i="108"/>
  <c r="E463" i="108"/>
  <c r="G88" i="108"/>
  <c r="E375" i="108"/>
  <c r="G82" i="108"/>
  <c r="G236" i="108"/>
  <c r="G176" i="108"/>
  <c r="G528" i="108"/>
  <c r="G220" i="108"/>
  <c r="G440" i="108"/>
  <c r="G44" i="108"/>
  <c r="G110" i="107"/>
  <c r="G280" i="107"/>
  <c r="G286" i="107"/>
  <c r="F133" i="107"/>
  <c r="G308" i="107"/>
  <c r="E265" i="107"/>
  <c r="E23" i="107"/>
  <c r="G214" i="107"/>
  <c r="G220" i="107"/>
  <c r="F155" i="107"/>
  <c r="F199" i="107"/>
  <c r="E243" i="107"/>
  <c r="G324" i="107"/>
  <c r="G302" i="107"/>
  <c r="F67" i="107"/>
  <c r="G67" i="107" s="1"/>
  <c r="G154" i="107"/>
  <c r="G88" i="107"/>
  <c r="G176" i="107"/>
  <c r="G330" i="107"/>
  <c r="F265" i="107"/>
  <c r="E199" i="107"/>
  <c r="G22" i="107"/>
  <c r="G264" i="107"/>
  <c r="G308" i="106"/>
  <c r="E133" i="106"/>
  <c r="E243" i="106"/>
  <c r="E199" i="106"/>
  <c r="E353" i="106"/>
  <c r="E375" i="106"/>
  <c r="G330" i="106"/>
  <c r="G132" i="106"/>
  <c r="F419" i="106"/>
  <c r="F89" i="106"/>
  <c r="G170" i="106"/>
  <c r="F287" i="106"/>
  <c r="F45" i="106"/>
  <c r="G214" i="106"/>
  <c r="G82" i="106"/>
  <c r="E23" i="106"/>
  <c r="G220" i="106"/>
  <c r="G198" i="106"/>
  <c r="G176" i="106"/>
  <c r="F331" i="106"/>
  <c r="G331" i="106" s="1"/>
  <c r="E155" i="106"/>
  <c r="G418" i="106"/>
  <c r="G264" i="106"/>
  <c r="E309" i="106"/>
  <c r="E67" i="106"/>
  <c r="E89" i="106"/>
  <c r="G726" i="105"/>
  <c r="E727" i="105"/>
  <c r="G814" i="105"/>
  <c r="E815" i="105"/>
  <c r="G638" i="105"/>
  <c r="F243" i="105"/>
  <c r="G374" i="105"/>
  <c r="G506" i="105"/>
  <c r="G770" i="105"/>
  <c r="F397" i="105"/>
  <c r="G940" i="105"/>
  <c r="G132" i="105"/>
  <c r="F199" i="105"/>
  <c r="F331" i="105"/>
  <c r="E507" i="105"/>
  <c r="G808" i="105"/>
  <c r="E859" i="105"/>
  <c r="F947" i="105"/>
  <c r="E1035" i="105"/>
  <c r="E221" i="105"/>
  <c r="F837" i="105"/>
  <c r="G264" i="105"/>
  <c r="G704" i="105"/>
  <c r="G1012" i="105"/>
  <c r="G550" i="105"/>
  <c r="E551" i="105"/>
  <c r="G660" i="105"/>
  <c r="E661" i="105"/>
  <c r="G1034" i="105"/>
  <c r="F287" i="105"/>
  <c r="F1013" i="105"/>
  <c r="G242" i="105"/>
  <c r="G352" i="105"/>
  <c r="G16" i="105"/>
  <c r="E111" i="105"/>
  <c r="F463" i="105"/>
  <c r="G594" i="105"/>
  <c r="G924" i="105"/>
  <c r="G764" i="105"/>
  <c r="E45" i="105"/>
  <c r="F89" i="105"/>
  <c r="F485" i="105"/>
  <c r="G154" i="105"/>
  <c r="G462" i="105"/>
  <c r="F683" i="105"/>
  <c r="G88" i="105"/>
  <c r="G484" i="105"/>
  <c r="E67" i="105"/>
  <c r="E199" i="105"/>
  <c r="E331" i="105"/>
  <c r="E947" i="105"/>
  <c r="E793" i="105"/>
  <c r="G836" i="105"/>
  <c r="G1056" i="105"/>
  <c r="F67" i="105"/>
  <c r="F375" i="105"/>
  <c r="G110" i="105"/>
  <c r="F815" i="105"/>
  <c r="G176" i="105"/>
  <c r="E749" i="105"/>
  <c r="E155" i="105"/>
  <c r="G588" i="105"/>
  <c r="F221" i="105"/>
  <c r="G478" i="105"/>
  <c r="G786" i="105"/>
  <c r="G528" i="105"/>
  <c r="G792" i="105"/>
  <c r="E683" i="105"/>
  <c r="F903" i="105"/>
  <c r="G830" i="105"/>
  <c r="G198" i="105"/>
  <c r="G632" i="105"/>
  <c r="G44" i="105"/>
  <c r="F133" i="104"/>
  <c r="E375" i="104"/>
  <c r="G220" i="104"/>
  <c r="G308" i="104"/>
  <c r="G198" i="104"/>
  <c r="G324" i="104"/>
  <c r="G126" i="104"/>
  <c r="F265" i="104"/>
  <c r="F67" i="104"/>
  <c r="G242" i="104"/>
  <c r="G374" i="104"/>
  <c r="G66" i="104"/>
  <c r="G154" i="104"/>
  <c r="E353" i="104"/>
  <c r="F111" i="104"/>
  <c r="G60" i="104"/>
  <c r="G132" i="104"/>
  <c r="E221" i="104"/>
  <c r="G176" i="104"/>
  <c r="G264" i="104"/>
  <c r="G352" i="104"/>
  <c r="F309" i="104"/>
  <c r="E23" i="104"/>
  <c r="E45" i="104"/>
  <c r="G44" i="104"/>
  <c r="G286" i="104"/>
  <c r="G155" i="126"/>
  <c r="G309" i="129"/>
  <c r="G551" i="129"/>
  <c r="G683" i="129"/>
  <c r="G639" i="129"/>
  <c r="G287" i="130"/>
  <c r="G265" i="130"/>
  <c r="G111" i="131"/>
  <c r="G287" i="133"/>
  <c r="G243" i="133"/>
  <c r="G265" i="133"/>
  <c r="G67" i="124"/>
  <c r="G67" i="125"/>
  <c r="H94" i="94"/>
  <c r="G243" i="117" l="1"/>
  <c r="G23" i="108"/>
  <c r="G529" i="109"/>
  <c r="G133" i="105"/>
  <c r="G265" i="106"/>
  <c r="G749" i="112"/>
  <c r="G441" i="114"/>
  <c r="G67" i="116"/>
  <c r="G617" i="52"/>
  <c r="G1453" i="52"/>
  <c r="G45" i="111"/>
  <c r="G45" i="107"/>
  <c r="G287" i="101"/>
  <c r="G1343" i="101"/>
  <c r="G309" i="101"/>
  <c r="G375" i="115"/>
  <c r="G969" i="100"/>
  <c r="G1277" i="101"/>
  <c r="G89" i="104"/>
  <c r="G265" i="99"/>
  <c r="G375" i="101"/>
  <c r="G1409" i="101"/>
  <c r="G89" i="99"/>
  <c r="G375" i="100"/>
  <c r="G89" i="100"/>
  <c r="G287" i="100"/>
  <c r="G463" i="100"/>
  <c r="G67" i="100"/>
  <c r="G749" i="100"/>
  <c r="G1321" i="101"/>
  <c r="G771" i="101"/>
  <c r="G265" i="100"/>
  <c r="G45" i="100"/>
  <c r="G639" i="100"/>
  <c r="G1123" i="101"/>
  <c r="G67" i="101"/>
  <c r="G243" i="101"/>
  <c r="G1035" i="101"/>
  <c r="G815" i="100"/>
  <c r="G1475" i="101"/>
  <c r="G331" i="99"/>
  <c r="G221" i="99"/>
  <c r="G199" i="101"/>
  <c r="G573" i="100"/>
  <c r="G485" i="101"/>
  <c r="G793" i="100"/>
  <c r="G1057" i="100"/>
  <c r="G353" i="100"/>
  <c r="G397" i="101"/>
  <c r="G133" i="99"/>
  <c r="G1497" i="101"/>
  <c r="G573" i="101"/>
  <c r="G155" i="101"/>
  <c r="G529" i="100"/>
  <c r="G199" i="100"/>
  <c r="G551" i="100"/>
  <c r="G1145" i="101"/>
  <c r="G903" i="100"/>
  <c r="G1299" i="101"/>
  <c r="G1079" i="100"/>
  <c r="G309" i="99"/>
  <c r="G925" i="101"/>
  <c r="G155" i="100"/>
  <c r="G1651" i="101"/>
  <c r="G1585" i="101"/>
  <c r="G727" i="100"/>
  <c r="G639" i="101"/>
  <c r="G705" i="100"/>
  <c r="G683" i="101"/>
  <c r="G969" i="101"/>
  <c r="G243" i="100"/>
  <c r="G925" i="100"/>
  <c r="G23" i="106"/>
  <c r="G331" i="100"/>
  <c r="G881" i="100"/>
  <c r="G705" i="101"/>
  <c r="G67" i="99"/>
  <c r="G111" i="101"/>
  <c r="G485" i="100"/>
  <c r="G661" i="101"/>
  <c r="G177" i="101"/>
  <c r="G815" i="101"/>
  <c r="G177" i="100"/>
  <c r="G353" i="99"/>
  <c r="G265" i="101"/>
  <c r="G1563" i="101"/>
  <c r="G221" i="100"/>
  <c r="G529" i="101"/>
  <c r="G1013" i="100"/>
  <c r="G837" i="100"/>
  <c r="G1167" i="101"/>
  <c r="G1035" i="100"/>
  <c r="G1453" i="101"/>
  <c r="G947" i="101"/>
  <c r="G133" i="101"/>
  <c r="G111" i="99"/>
  <c r="G1607" i="101"/>
  <c r="G463" i="101"/>
  <c r="G837" i="101"/>
  <c r="G199" i="99"/>
  <c r="G991" i="101"/>
  <c r="G419" i="101"/>
  <c r="G661" i="100"/>
  <c r="G1013" i="101"/>
  <c r="G133" i="100"/>
  <c r="G309" i="100"/>
  <c r="G353" i="101"/>
  <c r="G1387" i="101"/>
  <c r="G177" i="99"/>
  <c r="G1365" i="101"/>
  <c r="G375" i="99"/>
  <c r="G287" i="99"/>
  <c r="G947" i="100"/>
  <c r="G1255" i="101"/>
  <c r="G881" i="101"/>
  <c r="G23" i="101"/>
  <c r="G397" i="100"/>
  <c r="G859" i="101"/>
  <c r="G45" i="101"/>
  <c r="G1189" i="101"/>
  <c r="G1519" i="101"/>
  <c r="G1101" i="101"/>
  <c r="G331" i="101"/>
  <c r="G1629" i="101"/>
  <c r="G1057" i="101"/>
  <c r="G1079" i="101"/>
  <c r="G1431" i="101"/>
  <c r="G441" i="101"/>
  <c r="G793" i="101"/>
  <c r="G727" i="101"/>
  <c r="G221" i="101"/>
  <c r="G287" i="117"/>
  <c r="G1057" i="105"/>
  <c r="G89" i="117"/>
  <c r="G1563" i="52"/>
  <c r="G419" i="109"/>
  <c r="G375" i="117"/>
  <c r="G331" i="117"/>
  <c r="G397" i="113"/>
  <c r="G793" i="112"/>
  <c r="G353" i="111"/>
  <c r="G485" i="113"/>
  <c r="G243" i="52"/>
  <c r="G177" i="115"/>
  <c r="G353" i="106"/>
  <c r="G221" i="110"/>
  <c r="G155" i="110"/>
  <c r="G683" i="111"/>
  <c r="G23" i="103"/>
  <c r="G375" i="110"/>
  <c r="G199" i="112"/>
  <c r="G529" i="108"/>
  <c r="G397" i="112"/>
  <c r="G661" i="111"/>
  <c r="G441" i="103"/>
  <c r="G177" i="116"/>
  <c r="G441" i="108"/>
  <c r="G221" i="108"/>
  <c r="G89" i="52"/>
  <c r="G375" i="112"/>
  <c r="G265" i="109"/>
  <c r="G243" i="108"/>
  <c r="G859" i="105"/>
  <c r="G705" i="111"/>
  <c r="G67" i="104"/>
  <c r="G309" i="106"/>
  <c r="G155" i="106"/>
  <c r="G573" i="108"/>
  <c r="G23" i="109"/>
  <c r="G221" i="111"/>
  <c r="G661" i="105"/>
  <c r="G617" i="109"/>
  <c r="G199" i="114"/>
  <c r="G441" i="113"/>
  <c r="G221" i="52"/>
  <c r="G199" i="115"/>
  <c r="G397" i="115"/>
  <c r="G595" i="111"/>
  <c r="G287" i="102"/>
  <c r="G771" i="111"/>
  <c r="G133" i="116"/>
  <c r="G23" i="107"/>
  <c r="G1035" i="52"/>
  <c r="G199" i="108"/>
  <c r="G661" i="52"/>
  <c r="G837" i="111"/>
  <c r="G133" i="110"/>
  <c r="G221" i="115"/>
  <c r="G111" i="103"/>
  <c r="G45" i="108"/>
  <c r="G45" i="112"/>
  <c r="G881" i="111"/>
  <c r="G287" i="116"/>
  <c r="G287" i="107"/>
  <c r="G67" i="115"/>
  <c r="G1167" i="52"/>
  <c r="G199" i="102"/>
  <c r="G199" i="104"/>
  <c r="G221" i="102"/>
  <c r="G331" i="115"/>
  <c r="G1343" i="52"/>
  <c r="G463" i="103"/>
  <c r="G771" i="105"/>
  <c r="G749" i="105"/>
  <c r="G375" i="105"/>
  <c r="G375" i="111"/>
  <c r="G507" i="113"/>
  <c r="G397" i="106"/>
  <c r="G727" i="112"/>
  <c r="G419" i="115"/>
  <c r="G705" i="103"/>
  <c r="G23" i="114"/>
  <c r="G485" i="105"/>
  <c r="G45" i="106"/>
  <c r="G265" i="108"/>
  <c r="G661" i="103"/>
  <c r="G551" i="108"/>
  <c r="G221" i="107"/>
  <c r="G133" i="112"/>
  <c r="G903" i="103"/>
  <c r="G1651" i="52"/>
  <c r="G353" i="108"/>
  <c r="G133" i="104"/>
  <c r="G67" i="106"/>
  <c r="G309" i="110"/>
  <c r="G155" i="114"/>
  <c r="G397" i="111"/>
  <c r="G573" i="111"/>
  <c r="G1211" i="52"/>
  <c r="G23" i="102"/>
  <c r="G309" i="102"/>
  <c r="G375" i="116"/>
  <c r="G595" i="105"/>
  <c r="G903" i="105"/>
  <c r="G727" i="105"/>
  <c r="G89" i="111"/>
  <c r="G837" i="105"/>
  <c r="G1145" i="52"/>
  <c r="G397" i="105"/>
  <c r="G1585" i="52"/>
  <c r="G309" i="117"/>
  <c r="G463" i="108"/>
  <c r="G89" i="108"/>
  <c r="G111" i="115"/>
  <c r="G133" i="102"/>
  <c r="G815" i="103"/>
  <c r="G45" i="110"/>
  <c r="G331" i="104"/>
  <c r="G265" i="104"/>
  <c r="G793" i="105"/>
  <c r="G45" i="105"/>
  <c r="G331" i="110"/>
  <c r="G199" i="117"/>
  <c r="G353" i="112"/>
  <c r="G243" i="111"/>
  <c r="G221" i="117"/>
  <c r="G353" i="109"/>
  <c r="G133" i="114"/>
  <c r="G595" i="109"/>
  <c r="G375" i="107"/>
  <c r="G551" i="105"/>
  <c r="G353" i="110"/>
  <c r="G133" i="117"/>
  <c r="G485" i="114"/>
  <c r="G331" i="112"/>
  <c r="G199" i="103"/>
  <c r="G331" i="116"/>
  <c r="G177" i="111"/>
  <c r="G1365" i="52"/>
  <c r="G177" i="110"/>
  <c r="G705" i="105"/>
  <c r="G287" i="110"/>
  <c r="G89" i="114"/>
  <c r="G859" i="52"/>
  <c r="G991" i="52"/>
  <c r="G89" i="110"/>
  <c r="G23" i="111"/>
  <c r="G265" i="115"/>
  <c r="G639" i="103"/>
  <c r="G111" i="109"/>
  <c r="G309" i="105"/>
  <c r="G441" i="109"/>
  <c r="G419" i="105"/>
  <c r="G925" i="105"/>
  <c r="G177" i="106"/>
  <c r="G177" i="109"/>
  <c r="G353" i="116"/>
  <c r="G243" i="113"/>
  <c r="G221" i="112"/>
  <c r="G243" i="112"/>
  <c r="G463" i="111"/>
  <c r="G749" i="52"/>
  <c r="G595" i="52"/>
  <c r="G133" i="103"/>
  <c r="G177" i="108"/>
  <c r="G617" i="105"/>
  <c r="G331" i="107"/>
  <c r="G155" i="103"/>
  <c r="G309" i="104"/>
  <c r="G419" i="106"/>
  <c r="G639" i="109"/>
  <c r="G67" i="117"/>
  <c r="G441" i="116"/>
  <c r="G155" i="115"/>
  <c r="G23" i="113"/>
  <c r="G67" i="111"/>
  <c r="G375" i="103"/>
  <c r="G89" i="109"/>
  <c r="G573" i="105"/>
  <c r="G419" i="113"/>
  <c r="G111" i="107"/>
  <c r="G397" i="109"/>
  <c r="G287" i="111"/>
  <c r="G793" i="111"/>
  <c r="G177" i="113"/>
  <c r="G309" i="107"/>
  <c r="G639" i="105"/>
  <c r="G749" i="111"/>
  <c r="G309" i="114"/>
  <c r="G375" i="108"/>
  <c r="G463" i="109"/>
  <c r="G353" i="107"/>
  <c r="G463" i="116"/>
  <c r="G485" i="109"/>
  <c r="G947" i="111"/>
  <c r="G419" i="111"/>
  <c r="G441" i="115"/>
  <c r="G331" i="113"/>
  <c r="G199" i="110"/>
  <c r="G133" i="111"/>
  <c r="G969" i="105"/>
  <c r="G353" i="105"/>
  <c r="G309" i="111"/>
  <c r="G287" i="109"/>
  <c r="G177" i="104"/>
  <c r="G925" i="103"/>
  <c r="G463" i="112"/>
  <c r="G1409" i="52"/>
  <c r="G1013" i="52"/>
  <c r="G155" i="112"/>
  <c r="G925" i="111"/>
  <c r="G595" i="103"/>
  <c r="G683" i="52"/>
  <c r="G551" i="103"/>
  <c r="G287" i="106"/>
  <c r="G243" i="109"/>
  <c r="G67" i="110"/>
  <c r="G441" i="117"/>
  <c r="G507" i="112"/>
  <c r="G661" i="112"/>
  <c r="G89" i="112"/>
  <c r="G793" i="103"/>
  <c r="G485" i="103"/>
  <c r="G441" i="105"/>
  <c r="G419" i="116"/>
  <c r="G155" i="52"/>
  <c r="G1607" i="52"/>
  <c r="G243" i="102"/>
  <c r="G155" i="113"/>
  <c r="G45" i="52"/>
  <c r="G683" i="112"/>
  <c r="G1035" i="105"/>
  <c r="G331" i="108"/>
  <c r="G529" i="111"/>
  <c r="G331" i="103"/>
  <c r="G111" i="105"/>
  <c r="G243" i="105"/>
  <c r="G375" i="106"/>
  <c r="G309" i="108"/>
  <c r="G177" i="117"/>
  <c r="G265" i="116"/>
  <c r="G309" i="115"/>
  <c r="G221" i="114"/>
  <c r="G375" i="52"/>
  <c r="G529" i="112"/>
  <c r="G199" i="113"/>
  <c r="G45" i="104"/>
  <c r="G89" i="103"/>
  <c r="G947" i="52"/>
  <c r="G1057" i="52"/>
  <c r="G155" i="109"/>
  <c r="G221" i="113"/>
  <c r="G375" i="104"/>
  <c r="G463" i="105"/>
  <c r="G133" i="107"/>
  <c r="G331" i="109"/>
  <c r="G45" i="115"/>
  <c r="G243" i="114"/>
  <c r="G639" i="52"/>
  <c r="G705" i="52"/>
  <c r="G551" i="52"/>
  <c r="G573" i="52"/>
  <c r="G111" i="102"/>
  <c r="G265" i="102"/>
  <c r="G23" i="105"/>
  <c r="G507" i="103"/>
  <c r="G617" i="103"/>
  <c r="G1497" i="52"/>
  <c r="G815" i="52"/>
  <c r="G1673" i="52"/>
  <c r="G23" i="104"/>
  <c r="G243" i="116"/>
  <c r="G111" i="112"/>
  <c r="G771" i="52"/>
  <c r="G111" i="108"/>
  <c r="G177" i="103"/>
  <c r="G133" i="113"/>
  <c r="G309" i="103"/>
  <c r="G199" i="106"/>
  <c r="G243" i="107"/>
  <c r="G45" i="113"/>
  <c r="G573" i="112"/>
  <c r="G221" i="103"/>
  <c r="G67" i="52"/>
  <c r="G111" i="52"/>
  <c r="G155" i="107"/>
  <c r="G287" i="113"/>
  <c r="G133" i="108"/>
  <c r="G1233" i="52"/>
  <c r="G881" i="103"/>
  <c r="G551" i="109"/>
  <c r="G991" i="105"/>
  <c r="G1013" i="105"/>
  <c r="G23" i="110"/>
  <c r="G397" i="114"/>
  <c r="G705" i="112"/>
  <c r="G771" i="103"/>
  <c r="G727" i="103"/>
  <c r="G1431" i="52"/>
  <c r="G309" i="52"/>
  <c r="G1629" i="52"/>
  <c r="G155" i="102"/>
  <c r="G727" i="52"/>
  <c r="G45" i="116"/>
  <c r="G67" i="113"/>
  <c r="G617" i="112"/>
  <c r="G639" i="112"/>
  <c r="G485" i="111"/>
  <c r="G859" i="111"/>
  <c r="G749" i="103"/>
  <c r="G1299" i="52"/>
  <c r="G925" i="52"/>
  <c r="G969" i="111"/>
  <c r="G507" i="114"/>
  <c r="G375" i="109"/>
  <c r="G771" i="112"/>
  <c r="G265" i="112"/>
  <c r="G111" i="106"/>
  <c r="G155" i="108"/>
  <c r="G1541" i="52"/>
  <c r="G111" i="104"/>
  <c r="G507" i="105"/>
  <c r="G815" i="111"/>
  <c r="G683" i="103"/>
  <c r="G243" i="103"/>
  <c r="G529" i="103"/>
  <c r="G573" i="109"/>
  <c r="G155" i="116"/>
  <c r="G595" i="112"/>
  <c r="G441" i="112"/>
  <c r="G67" i="112"/>
  <c r="G419" i="103"/>
  <c r="G507" i="108"/>
  <c r="G881" i="105"/>
  <c r="G155" i="117"/>
  <c r="G221" i="104"/>
  <c r="G353" i="104"/>
  <c r="G67" i="109"/>
  <c r="G287" i="105"/>
  <c r="G463" i="117"/>
  <c r="G463" i="114"/>
  <c r="G89" i="105"/>
  <c r="G353" i="115"/>
  <c r="G793" i="52"/>
  <c r="G1277" i="52"/>
  <c r="G353" i="103"/>
  <c r="G287" i="112"/>
  <c r="G507" i="111"/>
  <c r="G507" i="52"/>
  <c r="G67" i="114"/>
  <c r="G133" i="109"/>
  <c r="G353" i="114"/>
  <c r="G837" i="52"/>
  <c r="G331" i="114"/>
  <c r="G265" i="113"/>
  <c r="G375" i="114"/>
  <c r="G375" i="113"/>
  <c r="G177" i="102"/>
  <c r="G1475" i="52"/>
  <c r="G265" i="117"/>
  <c r="G199" i="111"/>
  <c r="G265" i="110"/>
  <c r="G45" i="103"/>
  <c r="G397" i="52"/>
  <c r="G45" i="102"/>
  <c r="G23" i="117"/>
  <c r="G133" i="115"/>
  <c r="G199" i="116"/>
  <c r="G837" i="103"/>
  <c r="G1519" i="52"/>
  <c r="G155" i="105"/>
  <c r="G133" i="106"/>
  <c r="G243" i="106"/>
  <c r="G397" i="116"/>
  <c r="G1387" i="52"/>
  <c r="G1123" i="52"/>
  <c r="G23" i="116"/>
  <c r="G45" i="117"/>
  <c r="G683" i="105"/>
  <c r="G463" i="52"/>
  <c r="G177" i="52"/>
  <c r="G419" i="108"/>
  <c r="G111" i="111"/>
  <c r="G67" i="102"/>
  <c r="G1321" i="52"/>
  <c r="G89" i="113"/>
  <c r="G309" i="112"/>
  <c r="G331" i="111"/>
  <c r="G67" i="108"/>
  <c r="G111" i="113"/>
  <c r="G353" i="113"/>
  <c r="G1695" i="52"/>
  <c r="G199" i="105"/>
  <c r="G287" i="108"/>
  <c r="G89" i="115"/>
  <c r="G111" i="114"/>
  <c r="G177" i="114"/>
  <c r="G331" i="52"/>
  <c r="G815" i="105"/>
  <c r="G551" i="112"/>
  <c r="G287" i="52"/>
  <c r="G89" i="106"/>
  <c r="G199" i="107"/>
  <c r="G507" i="109"/>
  <c r="G199" i="109"/>
  <c r="G265" i="114"/>
  <c r="G265" i="111"/>
  <c r="G859" i="103"/>
  <c r="G89" i="102"/>
  <c r="G903" i="52"/>
  <c r="G1189" i="52"/>
  <c r="G1101" i="52"/>
  <c r="G969" i="52"/>
  <c r="G881" i="52"/>
  <c r="G265" i="52"/>
  <c r="G529" i="52"/>
  <c r="G485" i="52"/>
  <c r="G1079" i="52"/>
  <c r="G441" i="52"/>
  <c r="G397" i="103"/>
  <c r="G287" i="103"/>
  <c r="G67" i="103"/>
  <c r="G441" i="111"/>
  <c r="G551" i="111"/>
  <c r="G155" i="111"/>
  <c r="G727" i="111"/>
  <c r="G639" i="111"/>
  <c r="G903" i="111"/>
  <c r="G23" i="112"/>
  <c r="G419" i="112"/>
  <c r="G463" i="113"/>
  <c r="G45" i="114"/>
  <c r="G419" i="114"/>
  <c r="G23" i="115"/>
  <c r="G89" i="116"/>
  <c r="G111" i="117"/>
  <c r="G111" i="110"/>
  <c r="G45" i="109"/>
  <c r="G221" i="109"/>
  <c r="G265" i="107"/>
  <c r="G67" i="105"/>
  <c r="G221" i="105"/>
  <c r="G331" i="105"/>
  <c r="G947" i="105"/>
  <c r="A4" i="52" l="1"/>
  <c r="H7" i="52" l="1"/>
  <c r="D24" i="52"/>
  <c r="D19" i="52"/>
  <c r="D15" i="52"/>
  <c r="D11" i="52"/>
  <c r="D7" i="52"/>
  <c r="D23" i="52"/>
  <c r="D18" i="52"/>
  <c r="D14" i="52"/>
  <c r="D10" i="52"/>
  <c r="D21" i="52"/>
  <c r="D17" i="52"/>
  <c r="D13" i="52"/>
  <c r="D9" i="52"/>
  <c r="D20" i="52"/>
  <c r="D16" i="52"/>
  <c r="D12" i="52"/>
  <c r="D8" i="52"/>
  <c r="E20" i="52"/>
  <c r="E18" i="52"/>
  <c r="E15" i="52"/>
  <c r="E13" i="52"/>
  <c r="E11" i="52"/>
  <c r="E9" i="52"/>
  <c r="E7" i="52"/>
  <c r="F21" i="52"/>
  <c r="F19" i="52"/>
  <c r="F17" i="52"/>
  <c r="F14" i="52"/>
  <c r="F12" i="52"/>
  <c r="F10" i="52"/>
  <c r="F8" i="52"/>
  <c r="F18" i="52"/>
  <c r="F13" i="52"/>
  <c r="F9" i="52"/>
  <c r="E19" i="52"/>
  <c r="E14" i="52"/>
  <c r="E10" i="52"/>
  <c r="F20" i="52"/>
  <c r="F11" i="52"/>
  <c r="G24" i="52"/>
  <c r="F15" i="52"/>
  <c r="E21" i="52"/>
  <c r="E12" i="52"/>
  <c r="C4" i="52"/>
  <c r="F7" i="52"/>
  <c r="E8" i="52"/>
  <c r="E17" i="52"/>
  <c r="G14" i="52" l="1"/>
  <c r="G13" i="52"/>
  <c r="G9" i="52"/>
  <c r="G15" i="52"/>
  <c r="G10" i="52"/>
  <c r="G21" i="52"/>
  <c r="E22" i="52"/>
  <c r="G18" i="52"/>
  <c r="G12" i="52"/>
  <c r="G20" i="52"/>
  <c r="G8" i="52"/>
  <c r="E16" i="52"/>
  <c r="G7" i="52"/>
  <c r="F16" i="52"/>
  <c r="D22" i="52"/>
  <c r="G17" i="52"/>
  <c r="F22" i="52"/>
  <c r="G11" i="52"/>
  <c r="G19" i="52"/>
  <c r="F23" i="52" l="1"/>
  <c r="G16" i="52"/>
  <c r="E23" i="52"/>
  <c r="G22" i="52"/>
  <c r="G23" i="52" l="1"/>
</calcChain>
</file>

<file path=xl/sharedStrings.xml><?xml version="1.0" encoding="utf-8"?>
<sst xmlns="http://schemas.openxmlformats.org/spreadsheetml/2006/main" count="25945" uniqueCount="2315">
  <si>
    <t>persediaan</t>
  </si>
  <si>
    <t>tanah</t>
  </si>
  <si>
    <t>peralatan_mesin</t>
  </si>
  <si>
    <t>gedung_bangunan</t>
  </si>
  <si>
    <t>jln_irgs_jrg</t>
  </si>
  <si>
    <t>aset_ttp_lain</t>
  </si>
  <si>
    <t>kdp</t>
  </si>
  <si>
    <t>aset_tak_wujud</t>
  </si>
  <si>
    <t>aset_henti_guna</t>
  </si>
  <si>
    <t>total</t>
  </si>
  <si>
    <t>005010100097467000KD</t>
  </si>
  <si>
    <t>005010100097471000KD</t>
  </si>
  <si>
    <t>005010100097488000KD</t>
  </si>
  <si>
    <t>005010100097492000KD</t>
  </si>
  <si>
    <t>005010100400214000KD</t>
  </si>
  <si>
    <t>005010100400220000KD</t>
  </si>
  <si>
    <t>005010100400616000KD</t>
  </si>
  <si>
    <t>005010100400622000KD</t>
  </si>
  <si>
    <t>005010100400631000KD</t>
  </si>
  <si>
    <t>005010100400647000KD</t>
  </si>
  <si>
    <t>005010100400653000KD</t>
  </si>
  <si>
    <t>005010100401112000KD</t>
  </si>
  <si>
    <t>005010100526704000KD</t>
  </si>
  <si>
    <t>005010100526732000KD</t>
  </si>
  <si>
    <t>005010100663161000KD</t>
  </si>
  <si>
    <t>005010100663250000KD</t>
  </si>
  <si>
    <t>005010100663267000KD</t>
  </si>
  <si>
    <t>005010200097500000KD</t>
  </si>
  <si>
    <t>005010200097514000KD</t>
  </si>
  <si>
    <t>005010200097521000KD</t>
  </si>
  <si>
    <t>005010200097535000KD</t>
  </si>
  <si>
    <t>005010200097542000KD</t>
  </si>
  <si>
    <t>005010200097556000KD</t>
  </si>
  <si>
    <t>005010200097603000KD</t>
  </si>
  <si>
    <t>005010200097610000KD</t>
  </si>
  <si>
    <t>005010200097624000KD</t>
  </si>
  <si>
    <t>005010200097631000KD</t>
  </si>
  <si>
    <t>005010200097645000KD</t>
  </si>
  <si>
    <t>005010200097652000KD</t>
  </si>
  <si>
    <t>005010200097666000KD</t>
  </si>
  <si>
    <t>005010200097670000KD</t>
  </si>
  <si>
    <t>005010200097687000KD</t>
  </si>
  <si>
    <t>005010200097691000KD</t>
  </si>
  <si>
    <t>005010200097709000KD</t>
  </si>
  <si>
    <t>005010200308166000KD</t>
  </si>
  <si>
    <t>005010200400409000KD</t>
  </si>
  <si>
    <t>005010200400477000KD</t>
  </si>
  <si>
    <t>005010200400483000KD</t>
  </si>
  <si>
    <t>005010200400662000KD</t>
  </si>
  <si>
    <t>005010200400678000KD</t>
  </si>
  <si>
    <t>005010200400684000KD</t>
  </si>
  <si>
    <t>005010200400690000KD</t>
  </si>
  <si>
    <t>005010200400704000KD</t>
  </si>
  <si>
    <t>005010200400710000KD</t>
  </si>
  <si>
    <t>005010200400729000KD</t>
  </si>
  <si>
    <t>005010200400735000KD</t>
  </si>
  <si>
    <t>005010200400741000KD</t>
  </si>
  <si>
    <t>005010200400750000KD</t>
  </si>
  <si>
    <t>005010200400766000KD</t>
  </si>
  <si>
    <t>005010200400772000KD</t>
  </si>
  <si>
    <t>005010200400781000KD</t>
  </si>
  <si>
    <t>005010200400832000KD</t>
  </si>
  <si>
    <t>005010200400848000KD</t>
  </si>
  <si>
    <t>005010200400854000KD</t>
  </si>
  <si>
    <t>005010200402587000KD</t>
  </si>
  <si>
    <t>005010200402995000KD</t>
  </si>
  <si>
    <t>005010200403009000KD</t>
  </si>
  <si>
    <t>005010200477292000KD</t>
  </si>
  <si>
    <t>005010200531823000KD</t>
  </si>
  <si>
    <t>005010200604719000KD</t>
  </si>
  <si>
    <t>005010200613519000KD</t>
  </si>
  <si>
    <t>005010200614706000KD</t>
  </si>
  <si>
    <t>005010200652062000KD</t>
  </si>
  <si>
    <t>005010200663271000KD</t>
  </si>
  <si>
    <t>005010200682150000KD</t>
  </si>
  <si>
    <t>005010200682164000KD</t>
  </si>
  <si>
    <t>005010300097713000KD</t>
  </si>
  <si>
    <t>005010300097720000KD</t>
  </si>
  <si>
    <t>005010300097734000KD</t>
  </si>
  <si>
    <t>005010300097741000KD</t>
  </si>
  <si>
    <t>005010300097755000KD</t>
  </si>
  <si>
    <t>005010300097762000KD</t>
  </si>
  <si>
    <t>005010300097776000KD</t>
  </si>
  <si>
    <t>005010300097780000KD</t>
  </si>
  <si>
    <t>005010300097797000KD</t>
  </si>
  <si>
    <t>005010300097802000KD</t>
  </si>
  <si>
    <t>005010300097819000KD</t>
  </si>
  <si>
    <t>005010300097823000KD</t>
  </si>
  <si>
    <t>005010300097830000KD</t>
  </si>
  <si>
    <t>005010300097844000KD</t>
  </si>
  <si>
    <t>005010300097851000KD</t>
  </si>
  <si>
    <t>005010300097865000KD</t>
  </si>
  <si>
    <t>005010300097872000KD</t>
  </si>
  <si>
    <t>005010300097886000KD</t>
  </si>
  <si>
    <t>005010300097890000KD</t>
  </si>
  <si>
    <t>005010300097908000KD</t>
  </si>
  <si>
    <t>005010300097912000KD</t>
  </si>
  <si>
    <t>005010300097929000KD</t>
  </si>
  <si>
    <t>005010300097933000KD</t>
  </si>
  <si>
    <t>005010300097940000KD</t>
  </si>
  <si>
    <t>005010300097954000KD</t>
  </si>
  <si>
    <t>005010300097961000KD</t>
  </si>
  <si>
    <t>005010300097975000KD</t>
  </si>
  <si>
    <t>005010300097982000KD</t>
  </si>
  <si>
    <t>005010300097996000KD</t>
  </si>
  <si>
    <t>005010300098001000KD</t>
  </si>
  <si>
    <t>005010300098015000KD</t>
  </si>
  <si>
    <t>005010300098022000KD</t>
  </si>
  <si>
    <t>005010300098036000KD</t>
  </si>
  <si>
    <t>005010300098040000KD</t>
  </si>
  <si>
    <t>005010300400565000KD</t>
  </si>
  <si>
    <t>005010300400571000KD</t>
  </si>
  <si>
    <t>005010300400860000KD</t>
  </si>
  <si>
    <t>005010300400879000KD</t>
  </si>
  <si>
    <t>005010300400885000KD</t>
  </si>
  <si>
    <t>005010300400891000KD</t>
  </si>
  <si>
    <t>005010300400905000KD</t>
  </si>
  <si>
    <t>005010300400911000KD</t>
  </si>
  <si>
    <t>005010300400920000KD</t>
  </si>
  <si>
    <t>005010300400936000KD</t>
  </si>
  <si>
    <t>005010300400942000KD</t>
  </si>
  <si>
    <t>005010300400951000KD</t>
  </si>
  <si>
    <t>005010300400967000KD</t>
  </si>
  <si>
    <t>005010300400973000KD</t>
  </si>
  <si>
    <t>005010300400982000KD</t>
  </si>
  <si>
    <t>005010300400998000KD</t>
  </si>
  <si>
    <t>005010300401002000KD</t>
  </si>
  <si>
    <t>005010300401018000KD</t>
  </si>
  <si>
    <t>005010300401024000KD</t>
  </si>
  <si>
    <t>005010300401030000KD</t>
  </si>
  <si>
    <t>005010300401049000KD</t>
  </si>
  <si>
    <t>005010300401055000KD</t>
  </si>
  <si>
    <t>005010300401061000KD</t>
  </si>
  <si>
    <t>005010300401070000KD</t>
  </si>
  <si>
    <t>005010300401086000KD</t>
  </si>
  <si>
    <t>005010300401092000KD</t>
  </si>
  <si>
    <t>005010300401106000KD</t>
  </si>
  <si>
    <t>005010300401121000KD</t>
  </si>
  <si>
    <t>005010300401137000KD</t>
  </si>
  <si>
    <t>005010300401143000KD</t>
  </si>
  <si>
    <t>005010300401152000KD</t>
  </si>
  <si>
    <t>005010300401168000KD</t>
  </si>
  <si>
    <t>005010300401174000KD</t>
  </si>
  <si>
    <t>005010300401180000KD</t>
  </si>
  <si>
    <t>005010300402593000KD</t>
  </si>
  <si>
    <t>005010300402964000KD</t>
  </si>
  <si>
    <t>005010300403015000KD</t>
  </si>
  <si>
    <t>005010300403021000KD</t>
  </si>
  <si>
    <t>005010300531830000KD</t>
  </si>
  <si>
    <t>005010300614710000KD</t>
  </si>
  <si>
    <t>005010300663288000KD</t>
  </si>
  <si>
    <t>005010400098057000KD</t>
  </si>
  <si>
    <t>005010400098061000KD</t>
  </si>
  <si>
    <t>005010400098078000KD</t>
  </si>
  <si>
    <t>005010400098082000KD</t>
  </si>
  <si>
    <t>005010400400172000KD</t>
  </si>
  <si>
    <t>005010400400342000KD</t>
  </si>
  <si>
    <t>005010400401199000KD</t>
  </si>
  <si>
    <t>005010400401200000KD</t>
  </si>
  <si>
    <t>005010400401219000KD</t>
  </si>
  <si>
    <t>005010400401225000KD</t>
  </si>
  <si>
    <t>005010400401231000KD</t>
  </si>
  <si>
    <t>005010400547657000KD</t>
  </si>
  <si>
    <t>005010400578801000KD</t>
  </si>
  <si>
    <t>005010400663292000KD</t>
  </si>
  <si>
    <t>005010500098104000KD</t>
  </si>
  <si>
    <t>005010500098111000KD</t>
  </si>
  <si>
    <t>005010500098125000KD</t>
  </si>
  <si>
    <t>005010500098132000KD</t>
  </si>
  <si>
    <t>005010500098146000KD</t>
  </si>
  <si>
    <t>005010500098150000KD</t>
  </si>
  <si>
    <t>005010500098167000KD</t>
  </si>
  <si>
    <t>005010500098171000KD</t>
  </si>
  <si>
    <t>005010500098188000KD</t>
  </si>
  <si>
    <t>005010500098192000KD</t>
  </si>
  <si>
    <t>005010500098200000KD</t>
  </si>
  <si>
    <t>005010500098214000KD</t>
  </si>
  <si>
    <t>005010500098221000KD</t>
  </si>
  <si>
    <t>005010500098235000KD</t>
  </si>
  <si>
    <t>005010500098242000KD</t>
  </si>
  <si>
    <t>005010500098256000KD</t>
  </si>
  <si>
    <t>005010500098260000KD</t>
  </si>
  <si>
    <t>005010500098277000KD</t>
  </si>
  <si>
    <t>005010500098281000KD</t>
  </si>
  <si>
    <t>005010500098298000KD</t>
  </si>
  <si>
    <t>005010500098303000KD</t>
  </si>
  <si>
    <t>005010500098310000KD</t>
  </si>
  <si>
    <t>005010500098324000KD</t>
  </si>
  <si>
    <t>005010500098331000KD</t>
  </si>
  <si>
    <t>005010500098345000KD</t>
  </si>
  <si>
    <t>005010500098352000KD</t>
  </si>
  <si>
    <t>005010500098366000KD</t>
  </si>
  <si>
    <t>005010500098370000KD</t>
  </si>
  <si>
    <t>005010500098387000KD</t>
  </si>
  <si>
    <t>005010500098391000KD</t>
  </si>
  <si>
    <t>005010500098409000KD</t>
  </si>
  <si>
    <t>005010500098413000KD</t>
  </si>
  <si>
    <t>005010500098420000KD</t>
  </si>
  <si>
    <t>005010500308170000KD</t>
  </si>
  <si>
    <t>005010500400580000KD</t>
  </si>
  <si>
    <t>005010500400596000KD</t>
  </si>
  <si>
    <t>005010500401240000KD</t>
  </si>
  <si>
    <t>005010500401256000KD</t>
  </si>
  <si>
    <t>005010500401262000KD</t>
  </si>
  <si>
    <t>005010500401271000KD</t>
  </si>
  <si>
    <t>005010500401287000KD</t>
  </si>
  <si>
    <t>005010500401293000KD</t>
  </si>
  <si>
    <t>005010500401307000KD</t>
  </si>
  <si>
    <t>005010500401322000KD</t>
  </si>
  <si>
    <t>005010500401338000KD</t>
  </si>
  <si>
    <t>005010500401344000KD</t>
  </si>
  <si>
    <t>005010500401350000KD</t>
  </si>
  <si>
    <t>005010500401369000KD</t>
  </si>
  <si>
    <t>005010500401375000KD</t>
  </si>
  <si>
    <t>005010500401381000KD</t>
  </si>
  <si>
    <t>005010500401390000KD</t>
  </si>
  <si>
    <t>005010500401401000KD</t>
  </si>
  <si>
    <t>005010500401410000KD</t>
  </si>
  <si>
    <t>005010500401426000KD</t>
  </si>
  <si>
    <t>005010500401432000KD</t>
  </si>
  <si>
    <t>005010500401441000KD</t>
  </si>
  <si>
    <t>005010500401457000KD</t>
  </si>
  <si>
    <t>005010500401463000KD</t>
  </si>
  <si>
    <t>005010500401472000KD</t>
  </si>
  <si>
    <t>005010500401488000KD</t>
  </si>
  <si>
    <t>005010500401494000KD</t>
  </si>
  <si>
    <t>005010500401508000KD</t>
  </si>
  <si>
    <t>005010500401514000KD</t>
  </si>
  <si>
    <t>005010500401520000KD</t>
  </si>
  <si>
    <t>005010500401539000KD</t>
  </si>
  <si>
    <t>005010500401545000KD</t>
  </si>
  <si>
    <t>005010500401551000KD</t>
  </si>
  <si>
    <t>005010500401560000KD</t>
  </si>
  <si>
    <t>005010500401576000KD</t>
  </si>
  <si>
    <t>005010500403030000KD</t>
  </si>
  <si>
    <t>005010500403046000KD</t>
  </si>
  <si>
    <t>005010500450737000KD</t>
  </si>
  <si>
    <t>005010500526767000KD</t>
  </si>
  <si>
    <t>005010500548940000KD</t>
  </si>
  <si>
    <t>005010500604730000KD</t>
  </si>
  <si>
    <t>005010500626156000KD</t>
  </si>
  <si>
    <t>005010500663300000KD</t>
  </si>
  <si>
    <t>005010500663314000KD</t>
  </si>
  <si>
    <t>005010500663321000KD</t>
  </si>
  <si>
    <t>005010600098434000KD</t>
  </si>
  <si>
    <t>005010600098441000KD</t>
  </si>
  <si>
    <t>005010600098455000KD</t>
  </si>
  <si>
    <t>005010600098462000KD</t>
  </si>
  <si>
    <t>005010600098476000KD</t>
  </si>
  <si>
    <t>005010600098480000KD</t>
  </si>
  <si>
    <t>005010600098497000KD</t>
  </si>
  <si>
    <t>005010600098502000KD</t>
  </si>
  <si>
    <t>005010600098519000KD</t>
  </si>
  <si>
    <t>005010600098523000KD</t>
  </si>
  <si>
    <t>005010600098530000KD</t>
  </si>
  <si>
    <t>005010600098544000KD</t>
  </si>
  <si>
    <t>005010600098551000KD</t>
  </si>
  <si>
    <t>005010600098565000KD</t>
  </si>
  <si>
    <t>005010600098572000KD</t>
  </si>
  <si>
    <t>005010600098586000KD</t>
  </si>
  <si>
    <t>005010600098590000KD</t>
  </si>
  <si>
    <t>005010600098608000KD</t>
  </si>
  <si>
    <t>005010600400415000KD</t>
  </si>
  <si>
    <t>005010600401582000KD</t>
  </si>
  <si>
    <t>005010600401591000KD</t>
  </si>
  <si>
    <t>005010600401602000KD</t>
  </si>
  <si>
    <t>005010600401611000KD</t>
  </si>
  <si>
    <t>005010600401627000KD</t>
  </si>
  <si>
    <t>005010600401633000KD</t>
  </si>
  <si>
    <t>005010600401642000KD</t>
  </si>
  <si>
    <t>005010600401658000KD</t>
  </si>
  <si>
    <t>005010600401664000KD</t>
  </si>
  <si>
    <t>005010600401670000KD</t>
  </si>
  <si>
    <t>005010600401689000KD</t>
  </si>
  <si>
    <t>005010600401695000KD</t>
  </si>
  <si>
    <t>005010600401709000KD</t>
  </si>
  <si>
    <t>005010600401715000KD</t>
  </si>
  <si>
    <t>005010600401721000KD</t>
  </si>
  <si>
    <t>005010600401730000KD</t>
  </si>
  <si>
    <t>005010600401746000KD</t>
  </si>
  <si>
    <t>005010600401752000KD</t>
  </si>
  <si>
    <t>005010600401761000KD</t>
  </si>
  <si>
    <t>005010600402607000KD</t>
  </si>
  <si>
    <t>005010600578818000KD</t>
  </si>
  <si>
    <t>005010600663182000KD</t>
  </si>
  <si>
    <t>005010600682228000KD</t>
  </si>
  <si>
    <t>005010700098612000KD</t>
  </si>
  <si>
    <t>005010700098629000KD</t>
  </si>
  <si>
    <t>005010700098633000KD</t>
  </si>
  <si>
    <t>005010700098640000KD</t>
  </si>
  <si>
    <t>005010700098654000KD</t>
  </si>
  <si>
    <t>005010700098661000KD</t>
  </si>
  <si>
    <t>005010700098675000KD</t>
  </si>
  <si>
    <t>005010700098682000KD</t>
  </si>
  <si>
    <t>005010700098696000KD</t>
  </si>
  <si>
    <t>005010700098701000KD</t>
  </si>
  <si>
    <t>005010700098718000KD</t>
  </si>
  <si>
    <t>005010700098722000KD</t>
  </si>
  <si>
    <t>005010700098739000KD</t>
  </si>
  <si>
    <t>005010700108025000KD</t>
  </si>
  <si>
    <t>005010700400370000KD</t>
  </si>
  <si>
    <t>005010700400389000KD</t>
  </si>
  <si>
    <t>005010700400395000KD</t>
  </si>
  <si>
    <t>005010700401777000KD</t>
  </si>
  <si>
    <t>005010700401783000KD</t>
  </si>
  <si>
    <t>005010700401792000KD</t>
  </si>
  <si>
    <t>005010700401803000KD</t>
  </si>
  <si>
    <t>005010700401812000KD</t>
  </si>
  <si>
    <t>005010700401828000KD</t>
  </si>
  <si>
    <t>005010700401834000KD</t>
  </si>
  <si>
    <t>005010700401840000KD</t>
  </si>
  <si>
    <t>005010700401859000KD</t>
  </si>
  <si>
    <t>005010700401865000KD</t>
  </si>
  <si>
    <t>005010700401871000KD</t>
  </si>
  <si>
    <t>005010700401880000KD</t>
  </si>
  <si>
    <t>005010700401896000KD</t>
  </si>
  <si>
    <t>005010700403061000KD</t>
  </si>
  <si>
    <t>005010700403077000KD</t>
  </si>
  <si>
    <t>005010700403083000KD</t>
  </si>
  <si>
    <t>005010700477399000KD</t>
  </si>
  <si>
    <t>005010700526725000KD</t>
  </si>
  <si>
    <t>005010700526746000KD</t>
  </si>
  <si>
    <t>005010700547682000KD</t>
  </si>
  <si>
    <t>005010700604744000KD</t>
  </si>
  <si>
    <t>005010700631978000KD</t>
  </si>
  <si>
    <t>005010700631982000KD</t>
  </si>
  <si>
    <t>005010700663178000KD</t>
  </si>
  <si>
    <t>005010700663199000KD</t>
  </si>
  <si>
    <t>005010700672910000KD</t>
  </si>
  <si>
    <t>005010700682232000KD</t>
  </si>
  <si>
    <t>005010800098743000KD</t>
  </si>
  <si>
    <t>005010800098750000KD</t>
  </si>
  <si>
    <t>005010800098764000KD</t>
  </si>
  <si>
    <t>005010800098771000KD</t>
  </si>
  <si>
    <t>005010800098785000KD</t>
  </si>
  <si>
    <t>005010800098792000KD</t>
  </si>
  <si>
    <t>005010800098807000KD</t>
  </si>
  <si>
    <t>005010800098811000KD</t>
  </si>
  <si>
    <t>005010800098828000KD</t>
  </si>
  <si>
    <t>005010800098832000KD</t>
  </si>
  <si>
    <t>005010800400188000KD</t>
  </si>
  <si>
    <t>005010800400333000KD</t>
  </si>
  <si>
    <t>005010800400421000KD</t>
  </si>
  <si>
    <t>005010800400446000KD</t>
  </si>
  <si>
    <t>005010800400461000KD</t>
  </si>
  <si>
    <t>005010800401900000KD</t>
  </si>
  <si>
    <t>005010800401916000KD</t>
  </si>
  <si>
    <t>005010800401922000KD</t>
  </si>
  <si>
    <t>005010800401931000KD</t>
  </si>
  <si>
    <t>005010800401947000KD</t>
  </si>
  <si>
    <t>005010800401953000KD</t>
  </si>
  <si>
    <t>005010800401962000KD</t>
  </si>
  <si>
    <t>005010800401978000KD</t>
  </si>
  <si>
    <t>005010800401984000KD</t>
  </si>
  <si>
    <t>005010800401990000KD</t>
  </si>
  <si>
    <t>005010800402004000KD</t>
  </si>
  <si>
    <t>005010800402010000KD</t>
  </si>
  <si>
    <t>005010800402029000KD</t>
  </si>
  <si>
    <t>005010800402035000KD</t>
  </si>
  <si>
    <t>005010800402041000KD</t>
  </si>
  <si>
    <t>005010800402050000KD</t>
  </si>
  <si>
    <t>005010800402066000KD</t>
  </si>
  <si>
    <t>005010800402613000KD</t>
  </si>
  <si>
    <t>005010800477352000KD</t>
  </si>
  <si>
    <t>005010800531844000KD</t>
  </si>
  <si>
    <t>005010800663204000KD</t>
  </si>
  <si>
    <t>005010900098849000KD</t>
  </si>
  <si>
    <t>005010900098853000KD</t>
  </si>
  <si>
    <t>005010900098860000KD</t>
  </si>
  <si>
    <t>005010900098874000KD</t>
  </si>
  <si>
    <t>005010900400141000KD</t>
  </si>
  <si>
    <t>005010900400327000KD</t>
  </si>
  <si>
    <t>005010900400492000KD</t>
  </si>
  <si>
    <t>005010900402072000KD</t>
  </si>
  <si>
    <t>005010900402081000KD</t>
  </si>
  <si>
    <t>005010900402097000KD</t>
  </si>
  <si>
    <t>005010900402101000KD</t>
  </si>
  <si>
    <t>005010900402117000KD</t>
  </si>
  <si>
    <t>005010900402123000KD</t>
  </si>
  <si>
    <t>005010900402132000KD</t>
  </si>
  <si>
    <t>005010900402622000KD</t>
  </si>
  <si>
    <t>005010900402970000KD</t>
  </si>
  <si>
    <t>005010900477255000KD</t>
  </si>
  <si>
    <t>005010900477261000KD</t>
  </si>
  <si>
    <t>005010900477343000KD</t>
  </si>
  <si>
    <t>005010900578822000KD</t>
  </si>
  <si>
    <t>005010900631999000KD</t>
  </si>
  <si>
    <t>005010900632001000KD</t>
  </si>
  <si>
    <t>005010900662990000KD</t>
  </si>
  <si>
    <t>005011000098895000KD</t>
  </si>
  <si>
    <t>005011000098900000KD</t>
  </si>
  <si>
    <t>005011000098917000KD</t>
  </si>
  <si>
    <t>005011000098921000KD</t>
  </si>
  <si>
    <t>005011000400311000KD</t>
  </si>
  <si>
    <t>005011000400430000KD</t>
  </si>
  <si>
    <t>005011000400503000KD</t>
  </si>
  <si>
    <t>005011000402185000KD</t>
  </si>
  <si>
    <t>005011000402191000KD</t>
  </si>
  <si>
    <t>005011000402205000KD</t>
  </si>
  <si>
    <t>005011000402211000KD</t>
  </si>
  <si>
    <t>005011000402220000KD</t>
  </si>
  <si>
    <t>005011000403052000KD</t>
  </si>
  <si>
    <t>005011000477368000KD</t>
  </si>
  <si>
    <t>005011000477374000KD</t>
  </si>
  <si>
    <t>005011000477400000KD</t>
  </si>
  <si>
    <t>005011000547661000KD</t>
  </si>
  <si>
    <t>005011000578839000KD</t>
  </si>
  <si>
    <t>005011000632018000KD</t>
  </si>
  <si>
    <t>005011000632022000KD</t>
  </si>
  <si>
    <t>005011000652020000KD</t>
  </si>
  <si>
    <t>005011000652034000KD</t>
  </si>
  <si>
    <t>005011000663012000KD</t>
  </si>
  <si>
    <t>005011100098938000KD</t>
  </si>
  <si>
    <t>005011100098942000KD</t>
  </si>
  <si>
    <t>005011100098959000KD</t>
  </si>
  <si>
    <t>005011100098963000KD</t>
  </si>
  <si>
    <t>005011100098970000KD</t>
  </si>
  <si>
    <t>005011100098984000KD</t>
  </si>
  <si>
    <t>005011100098991000KD</t>
  </si>
  <si>
    <t>005011100099003000KD</t>
  </si>
  <si>
    <t>005011100402236000KD</t>
  </si>
  <si>
    <t>005011100402242000KD</t>
  </si>
  <si>
    <t>005011100402251000KD</t>
  </si>
  <si>
    <t>005011100402267000KD</t>
  </si>
  <si>
    <t>005011100402273000KD</t>
  </si>
  <si>
    <t>005011100402282000KD</t>
  </si>
  <si>
    <t>005011100402298000KD</t>
  </si>
  <si>
    <t>005011100402638000KD</t>
  </si>
  <si>
    <t>005011100526750000KD</t>
  </si>
  <si>
    <t>005011100663211000KD</t>
  </si>
  <si>
    <t>005011100672952000KD</t>
  </si>
  <si>
    <t>005011100672969000KD</t>
  </si>
  <si>
    <t>005011200099031000KD</t>
  </si>
  <si>
    <t>005011200099045000KD</t>
  </si>
  <si>
    <t>005011200099052000KD</t>
  </si>
  <si>
    <t>005011200400364000KD</t>
  </si>
  <si>
    <t>005011200400452000KD</t>
  </si>
  <si>
    <t>005011200402324000KD</t>
  </si>
  <si>
    <t>005011200402330000KD</t>
  </si>
  <si>
    <t>005011200402349000KD</t>
  </si>
  <si>
    <t>005011200402355000KD</t>
  </si>
  <si>
    <t>005011200402644000KD</t>
  </si>
  <si>
    <t>005011200477306000KD</t>
  </si>
  <si>
    <t>005011200547678000KD</t>
  </si>
  <si>
    <t>005011200559840000KD</t>
  </si>
  <si>
    <t>005011200614684000KD</t>
  </si>
  <si>
    <t>005011200614691000KD</t>
  </si>
  <si>
    <t>005011200614883000KD</t>
  </si>
  <si>
    <t>005011200652041000KD</t>
  </si>
  <si>
    <t>005011200652055000KD</t>
  </si>
  <si>
    <t>005011200663026000KD</t>
  </si>
  <si>
    <t>005011200663030000KD</t>
  </si>
  <si>
    <t>005011200663047000KD</t>
  </si>
  <si>
    <t>005011200663051000KD</t>
  </si>
  <si>
    <t>005011300099066000KD</t>
  </si>
  <si>
    <t>005011300099070000KD</t>
  </si>
  <si>
    <t>005011300099087000KD</t>
  </si>
  <si>
    <t>005011300099091000KD</t>
  </si>
  <si>
    <t>005011300099109000KD</t>
  </si>
  <si>
    <t>005011300099113000KD</t>
  </si>
  <si>
    <t>005011300400194000KD</t>
  </si>
  <si>
    <t>005011300400251000KD</t>
  </si>
  <si>
    <t>005011300402361000KD</t>
  </si>
  <si>
    <t>005011300402370000KD</t>
  </si>
  <si>
    <t>005011300402386000KD</t>
  </si>
  <si>
    <t>005011300402392000KD</t>
  </si>
  <si>
    <t>005011300402406000KD</t>
  </si>
  <si>
    <t>005011300402412000KD</t>
  </si>
  <si>
    <t>005011300402650000KD</t>
  </si>
  <si>
    <t>005011300402669000KD</t>
  </si>
  <si>
    <t>005011300531851000KD</t>
  </si>
  <si>
    <t>005011300632039000KD</t>
  </si>
  <si>
    <t>005011300663225000KD</t>
  </si>
  <si>
    <t>005011300670227000KD</t>
  </si>
  <si>
    <t>005011300670231000KD</t>
  </si>
  <si>
    <t>005011400099120000KD</t>
  </si>
  <si>
    <t>005011400099134000KD</t>
  </si>
  <si>
    <t>005011400099141000KD</t>
  </si>
  <si>
    <t>005011400099155000KD</t>
  </si>
  <si>
    <t>005011400099162000KD</t>
  </si>
  <si>
    <t>005011400099176000KD</t>
  </si>
  <si>
    <t>005011400400358000KD</t>
  </si>
  <si>
    <t>005011400402421000KD</t>
  </si>
  <si>
    <t>005011400402437000KD</t>
  </si>
  <si>
    <t>005011400402443000KD</t>
  </si>
  <si>
    <t>005011400402452000KD</t>
  </si>
  <si>
    <t>005011400402468000KD</t>
  </si>
  <si>
    <t>005011400402474000KD</t>
  </si>
  <si>
    <t>005011400402989000KD</t>
  </si>
  <si>
    <t>005011400578843000KD</t>
  </si>
  <si>
    <t>005011400670191000KD</t>
  </si>
  <si>
    <t>005011400672973000KD</t>
  </si>
  <si>
    <t>005011500099180000KD</t>
  </si>
  <si>
    <t>005011500099197000KD</t>
  </si>
  <si>
    <t>005011500099202000KD</t>
  </si>
  <si>
    <t>005011500099219000KD</t>
  </si>
  <si>
    <t>005011500099223000KD</t>
  </si>
  <si>
    <t>005011500099230000KD</t>
  </si>
  <si>
    <t>005011500099244000KD</t>
  </si>
  <si>
    <t>005011500099251000KD</t>
  </si>
  <si>
    <t>005011500099265000KD</t>
  </si>
  <si>
    <t>005011500307101000KD</t>
  </si>
  <si>
    <t>005011500307115000KD</t>
  </si>
  <si>
    <t>005011500307122000KD</t>
  </si>
  <si>
    <t>005011500400260000KD</t>
  </si>
  <si>
    <t>005011500400282000KD</t>
  </si>
  <si>
    <t>005011500402449000KD</t>
  </si>
  <si>
    <t>005011500402500000KD</t>
  </si>
  <si>
    <t>005011500402519000KD</t>
  </si>
  <si>
    <t>005011500402525000KD</t>
  </si>
  <si>
    <t>005011500402531000KD</t>
  </si>
  <si>
    <t>005011500402540000KD</t>
  </si>
  <si>
    <t>005011500402556000KD</t>
  </si>
  <si>
    <t>005011500402562000KD</t>
  </si>
  <si>
    <t>005011500402571000KD</t>
  </si>
  <si>
    <t>005011500531865000KD</t>
  </si>
  <si>
    <t>005011500632043000KD</t>
  </si>
  <si>
    <t>005011500653458000KD</t>
  </si>
  <si>
    <t>005011500663232000KD</t>
  </si>
  <si>
    <t>005011500670206000KD</t>
  </si>
  <si>
    <t>005011500682260000KD</t>
  </si>
  <si>
    <t>005011600099272000KD</t>
  </si>
  <si>
    <t>005011600099286000KD</t>
  </si>
  <si>
    <t>005011600099290000KD</t>
  </si>
  <si>
    <t>005011600099308000KD</t>
  </si>
  <si>
    <t>005011600307161000KD</t>
  </si>
  <si>
    <t>005011600307178000KD</t>
  </si>
  <si>
    <t>005011600307182000KD</t>
  </si>
  <si>
    <t>005011600307199000KD</t>
  </si>
  <si>
    <t>005011600307204000KD</t>
  </si>
  <si>
    <t>005011600307211000KD</t>
  </si>
  <si>
    <t>005011600400291000KD</t>
  </si>
  <si>
    <t>005011600400302000KD</t>
  </si>
  <si>
    <t>005011600400528000KD</t>
  </si>
  <si>
    <t>005011600402480000KD</t>
  </si>
  <si>
    <t>005011600402675000KD</t>
  </si>
  <si>
    <t>005011600477270000KD</t>
  </si>
  <si>
    <t>005011600477286000KD</t>
  </si>
  <si>
    <t>005011600477380000KD</t>
  </si>
  <si>
    <t>005011600559857000KD</t>
  </si>
  <si>
    <t>005011600652080000KD</t>
  </si>
  <si>
    <t>005011600652097000KD</t>
  </si>
  <si>
    <t>005011600662972000KD</t>
  </si>
  <si>
    <t>005011600662986000KD</t>
  </si>
  <si>
    <t>005011600663246000KD</t>
  </si>
  <si>
    <t>005011600670170000KD</t>
  </si>
  <si>
    <t>005011600682295000KD</t>
  </si>
  <si>
    <t>005011700099312000KD</t>
  </si>
  <si>
    <t>005011700099329000KD</t>
  </si>
  <si>
    <t>005011700099333000KD</t>
  </si>
  <si>
    <t>005011700099340000KD</t>
  </si>
  <si>
    <t>005011700099354000KD</t>
  </si>
  <si>
    <t>005011700307225000KD</t>
  </si>
  <si>
    <t>005011700307232000KD</t>
  </si>
  <si>
    <t>005011700307246000KD</t>
  </si>
  <si>
    <t>005011700402681000KD</t>
  </si>
  <si>
    <t>005011700402701000KD</t>
  </si>
  <si>
    <t>005011700531872000KD</t>
  </si>
  <si>
    <t>005011700568725000KD</t>
  </si>
  <si>
    <t>005011700604751000KD</t>
  </si>
  <si>
    <t>005011700663360000KD</t>
  </si>
  <si>
    <t>005011700670210000KD</t>
  </si>
  <si>
    <t>005011700673034000KD</t>
  </si>
  <si>
    <t>005011700682171000KD</t>
  </si>
  <si>
    <t>005011800099375000KD</t>
  </si>
  <si>
    <t>005011800099382000KD</t>
  </si>
  <si>
    <t>005011800099396000KD</t>
  </si>
  <si>
    <t>005011800099401000KD</t>
  </si>
  <si>
    <t>005011800307271000KD</t>
  </si>
  <si>
    <t>005011800307288000KD</t>
  </si>
  <si>
    <t>005011800307292000KD</t>
  </si>
  <si>
    <t>005011800307300000KD</t>
  </si>
  <si>
    <t>005011800400534000KD</t>
  </si>
  <si>
    <t>005011800477202000KD</t>
  </si>
  <si>
    <t>005011800576249000KD</t>
  </si>
  <si>
    <t>005011800578850000KD</t>
  </si>
  <si>
    <t>005011800604765000KD</t>
  </si>
  <si>
    <t>005011800652102000KD</t>
  </si>
  <si>
    <t>005011800652119000KD</t>
  </si>
  <si>
    <t>005011800652123000KD</t>
  </si>
  <si>
    <t>005011800670248000KD</t>
  </si>
  <si>
    <t>005011800672980000KD</t>
  </si>
  <si>
    <t>005011800682192000KD</t>
  </si>
  <si>
    <t>005011900099418000KD</t>
  </si>
  <si>
    <t>005011900099422000KD</t>
  </si>
  <si>
    <t>005011900099439000KD</t>
  </si>
  <si>
    <t>005011900099443000KD</t>
  </si>
  <si>
    <t>005011900099450000KD</t>
  </si>
  <si>
    <t>005011900099464000KD</t>
  </si>
  <si>
    <t>005011900099471000KD</t>
  </si>
  <si>
    <t>005011900099485000KD</t>
  </si>
  <si>
    <t>005011900099492000KD</t>
  </si>
  <si>
    <t>005011900099507000KD</t>
  </si>
  <si>
    <t>005011900099511000KD</t>
  </si>
  <si>
    <t>005011900099528000KD</t>
  </si>
  <si>
    <t>005011900099532000KD</t>
  </si>
  <si>
    <t>005011900099549000KD</t>
  </si>
  <si>
    <t>005011900099553000KD</t>
  </si>
  <si>
    <t>005011900099560000KD</t>
  </si>
  <si>
    <t>005011900099574000KD</t>
  </si>
  <si>
    <t>005011900099581000KD</t>
  </si>
  <si>
    <t>005011900099595000KD</t>
  </si>
  <si>
    <t>005011900099600000KD</t>
  </si>
  <si>
    <t>005011900099617000KD</t>
  </si>
  <si>
    <t>005011900307424000KD</t>
  </si>
  <si>
    <t>005011900307431000KD</t>
  </si>
  <si>
    <t>005011900307445000KD</t>
  </si>
  <si>
    <t>005011900307452000KD</t>
  </si>
  <si>
    <t>005011900307466000KD</t>
  </si>
  <si>
    <t>005011900307470000KD</t>
  </si>
  <si>
    <t>005011900307487000KD</t>
  </si>
  <si>
    <t>005011900307491000KD</t>
  </si>
  <si>
    <t>005011900307509000KD</t>
  </si>
  <si>
    <t>005011900307513000KD</t>
  </si>
  <si>
    <t>005011900307520000KD</t>
  </si>
  <si>
    <t>005011900307534000KD</t>
  </si>
  <si>
    <t>005011900307541000KD</t>
  </si>
  <si>
    <t>005011900307555000KD</t>
  </si>
  <si>
    <t>005011900307562000KD</t>
  </si>
  <si>
    <t>005011900307576000KD</t>
  </si>
  <si>
    <t>005011900307580000KD</t>
  </si>
  <si>
    <t>005011900307597000KD</t>
  </si>
  <si>
    <t>005011900307602000KD</t>
  </si>
  <si>
    <t>005011900307619000KD</t>
  </si>
  <si>
    <t>005011900307623000KD</t>
  </si>
  <si>
    <t>005011900526711000KD</t>
  </si>
  <si>
    <t>005011900526771000KD</t>
  </si>
  <si>
    <t>005011900632050000KD</t>
  </si>
  <si>
    <t>005011900663356000KD</t>
  </si>
  <si>
    <t>005011900672927000KD</t>
  </si>
  <si>
    <t>005011900673013000KD</t>
  </si>
  <si>
    <t>005012000099659000KD</t>
  </si>
  <si>
    <t>005012000099663000KD</t>
  </si>
  <si>
    <t>005012000099670000KD</t>
  </si>
  <si>
    <t>005012000099684000KD</t>
  </si>
  <si>
    <t>005012000307690000KD</t>
  </si>
  <si>
    <t>005012000307708000KD</t>
  </si>
  <si>
    <t>005012000307712000KD</t>
  </si>
  <si>
    <t>005012000307729000KD</t>
  </si>
  <si>
    <t>005012000400540000KD</t>
  </si>
  <si>
    <t>005012000477224000KD</t>
  </si>
  <si>
    <t>005012000576253000KD</t>
  </si>
  <si>
    <t>005012000578864000KD</t>
  </si>
  <si>
    <t>005012000604772000KD</t>
  </si>
  <si>
    <t>005012000681439000KD</t>
  </si>
  <si>
    <t>005012000681443000KD</t>
  </si>
  <si>
    <t>005012000682207000KD</t>
  </si>
  <si>
    <t>005012000682211000KD</t>
  </si>
  <si>
    <t>005012100099691000KD</t>
  </si>
  <si>
    <t>005012100099706000KD</t>
  </si>
  <si>
    <t>005012100099710000KD</t>
  </si>
  <si>
    <t>005012100099727000KD</t>
  </si>
  <si>
    <t>005012100307754000KD</t>
  </si>
  <si>
    <t>005012100307761000KD</t>
  </si>
  <si>
    <t>005012100307775000KD</t>
  </si>
  <si>
    <t>005012100402710000KD</t>
  </si>
  <si>
    <t>005012100539117000KD</t>
  </si>
  <si>
    <t>005012100663377000KD</t>
  </si>
  <si>
    <t>005012100672931000KD</t>
  </si>
  <si>
    <t>005012200099773000KD</t>
  </si>
  <si>
    <t>005012200099780000KD</t>
  </si>
  <si>
    <t>005012200099794000KD</t>
  </si>
  <si>
    <t>005012200099802000KD</t>
  </si>
  <si>
    <t>005012200099816000KD</t>
  </si>
  <si>
    <t>005012200099820000KD</t>
  </si>
  <si>
    <t>005012200099837000KD</t>
  </si>
  <si>
    <t>005012200099841000KD</t>
  </si>
  <si>
    <t>005012200099858000KD</t>
  </si>
  <si>
    <t>005012200307822000KD</t>
  </si>
  <si>
    <t>005012200307839000KD</t>
  </si>
  <si>
    <t>005012200402726000KD</t>
  </si>
  <si>
    <t>005012200402732000KD</t>
  </si>
  <si>
    <t>005012200402741000KD</t>
  </si>
  <si>
    <t>005012200402757000KD</t>
  </si>
  <si>
    <t>005012200402763000KD</t>
  </si>
  <si>
    <t>005012200402772000KD</t>
  </si>
  <si>
    <t>005012200559861000KD</t>
  </si>
  <si>
    <t>005012200614731000KD</t>
  </si>
  <si>
    <t>005012200663335000KD</t>
  </si>
  <si>
    <t>005012300099862000KD</t>
  </si>
  <si>
    <t>005012300099879000KD</t>
  </si>
  <si>
    <t>005012300099883000KD</t>
  </si>
  <si>
    <t>005012300099890000KD</t>
  </si>
  <si>
    <t>005012300099905000KD</t>
  </si>
  <si>
    <t>005012300099912000KD</t>
  </si>
  <si>
    <t>005012300307885000KD</t>
  </si>
  <si>
    <t>005012300307892000KD</t>
  </si>
  <si>
    <t>005012300307907000KD</t>
  </si>
  <si>
    <t>005012300307911000KD</t>
  </si>
  <si>
    <t>005012300307928000KD</t>
  </si>
  <si>
    <t>005012300307932000KD</t>
  </si>
  <si>
    <t>005012300400559000KD</t>
  </si>
  <si>
    <t>005012300402788000KD</t>
  </si>
  <si>
    <t>005012300578871000KD</t>
  </si>
  <si>
    <t>005012300614727000KD</t>
  </si>
  <si>
    <t>005012300682274000KD</t>
  </si>
  <si>
    <t>005012400099926000KD</t>
  </si>
  <si>
    <t>005012400099930000KD</t>
  </si>
  <si>
    <t>005012400099947000KD</t>
  </si>
  <si>
    <t>005012400099951000KD</t>
  </si>
  <si>
    <t>005012400099968000KD</t>
  </si>
  <si>
    <t>005012400099972000KD</t>
  </si>
  <si>
    <t>005012400099989000KD</t>
  </si>
  <si>
    <t>005012400099993000KD</t>
  </si>
  <si>
    <t>005012400307949000KD</t>
  </si>
  <si>
    <t>005012400307953000KD</t>
  </si>
  <si>
    <t>005012400307960000KD</t>
  </si>
  <si>
    <t>005012400307974000KD</t>
  </si>
  <si>
    <t>005012400307981000KD</t>
  </si>
  <si>
    <t>005012400400007000KD</t>
  </si>
  <si>
    <t>005012400400013000KD</t>
  </si>
  <si>
    <t>005012400400157000KD</t>
  </si>
  <si>
    <t>005012400400163000KD</t>
  </si>
  <si>
    <t>005012400400245000KD</t>
  </si>
  <si>
    <t>005012400402794000KD</t>
  </si>
  <si>
    <t>005012400402808000KD</t>
  </si>
  <si>
    <t>005012400402814000KD</t>
  </si>
  <si>
    <t>005012400402820000KD</t>
  </si>
  <si>
    <t>005012400402839000KD</t>
  </si>
  <si>
    <t>005012400402845000KD</t>
  </si>
  <si>
    <t>005012400402851000KD</t>
  </si>
  <si>
    <t>005012400477230000KD</t>
  </si>
  <si>
    <t>005012400477249000KD</t>
  </si>
  <si>
    <t>005012400539121000KD</t>
  </si>
  <si>
    <t>005012400576260000KD</t>
  </si>
  <si>
    <t>005012400632064000KD</t>
  </si>
  <si>
    <t>005012400663342000KD</t>
  </si>
  <si>
    <t>005012400673020000KD</t>
  </si>
  <si>
    <t>005012400681418000KD</t>
  </si>
  <si>
    <t>005012400682281000KD</t>
  </si>
  <si>
    <t>005012500400022000KD</t>
  </si>
  <si>
    <t>005012500400038000KD</t>
  </si>
  <si>
    <t>005012500400044000KD</t>
  </si>
  <si>
    <t>005012500400050000KD</t>
  </si>
  <si>
    <t>005012500400090000KD</t>
  </si>
  <si>
    <t>005012500400101000KD</t>
  </si>
  <si>
    <t>005012500400276000KD</t>
  </si>
  <si>
    <t>005012500402860000KD</t>
  </si>
  <si>
    <t>005012500402876000KD</t>
  </si>
  <si>
    <t>005012500402891000KD</t>
  </si>
  <si>
    <t>005012500402927000KD</t>
  </si>
  <si>
    <t>005012500402933000KD</t>
  </si>
  <si>
    <t>005012500402942000KD</t>
  </si>
  <si>
    <t>005012500402958000KD</t>
  </si>
  <si>
    <t>005012500539138000KD</t>
  </si>
  <si>
    <t>005012500614769000KD</t>
  </si>
  <si>
    <t>005012500614773000KD</t>
  </si>
  <si>
    <t>005012500614780000KD</t>
  </si>
  <si>
    <t>005012500614890000KD</t>
  </si>
  <si>
    <t>005012500663381000KD</t>
  </si>
  <si>
    <t>005012500682300000KD</t>
  </si>
  <si>
    <t>005012600308014000KD</t>
  </si>
  <si>
    <t>005012600308021000KD</t>
  </si>
  <si>
    <t>005012600308035000KD</t>
  </si>
  <si>
    <t>005012600308152000KD</t>
  </si>
  <si>
    <t>005012600400110000KD</t>
  </si>
  <si>
    <t>005012600400126000KD</t>
  </si>
  <si>
    <t>005012600400132000KD</t>
  </si>
  <si>
    <t>005012600400239000KD</t>
  </si>
  <si>
    <t>005012600400512000KD</t>
  </si>
  <si>
    <t>005012600576274000KD</t>
  </si>
  <si>
    <t>005012600578885000KD</t>
  </si>
  <si>
    <t>005012600672994000KD</t>
  </si>
  <si>
    <t>005012600673009000KD</t>
  </si>
  <si>
    <t>005012600673041000KD</t>
  </si>
  <si>
    <t>005012600673055000KD</t>
  </si>
  <si>
    <t>005012600682253000KD</t>
  </si>
  <si>
    <t>005012800099731000KD</t>
  </si>
  <si>
    <t>005012800099748000KD</t>
  </si>
  <si>
    <t>005012800099752000KD</t>
  </si>
  <si>
    <t>005012800099769000KD</t>
  </si>
  <si>
    <t>005012800307782000KD</t>
  </si>
  <si>
    <t>005012800307796000KD</t>
  </si>
  <si>
    <t>005012800307801000KD</t>
  </si>
  <si>
    <t>005012800307818000KD</t>
  </si>
  <si>
    <t>005012800440740000KD</t>
  </si>
  <si>
    <t>005012800664522000KD</t>
  </si>
  <si>
    <t>005012900097560000KD</t>
  </si>
  <si>
    <t>005012900097577000KD</t>
  </si>
  <si>
    <t>005012900097581000KD</t>
  </si>
  <si>
    <t>005012900097598000KD</t>
  </si>
  <si>
    <t>005012900400797000KD</t>
  </si>
  <si>
    <t>005012900400801000KD</t>
  </si>
  <si>
    <t>005012900400817000KD</t>
  </si>
  <si>
    <t>005012900400823000KD</t>
  </si>
  <si>
    <t>005012900440712000KD</t>
  </si>
  <si>
    <t>005012900604723000KD</t>
  </si>
  <si>
    <t>005012900652076000KD</t>
  </si>
  <si>
    <t>005012900663398000KD</t>
  </si>
  <si>
    <t>005012900689313000KD</t>
  </si>
  <si>
    <t>005013000099010000KD</t>
  </si>
  <si>
    <t>005013000099024000KD</t>
  </si>
  <si>
    <t>005013000400600000KD</t>
  </si>
  <si>
    <t>005013000402302000KD</t>
  </si>
  <si>
    <t>005013000402318000KD</t>
  </si>
  <si>
    <t>005013000403092000KD</t>
  </si>
  <si>
    <t>005013000440728000KD</t>
  </si>
  <si>
    <t>005013000663403000KD</t>
  </si>
  <si>
    <t>005013000682249000KD</t>
  </si>
  <si>
    <t>005013100099361000KD</t>
  </si>
  <si>
    <t>005013100307250000KD</t>
  </si>
  <si>
    <t>005013100400208000KD</t>
  </si>
  <si>
    <t>005013100402690000KD</t>
  </si>
  <si>
    <t>005013100440734000KD</t>
  </si>
  <si>
    <t>005013100477218000KD</t>
  </si>
  <si>
    <t>005013100652130000KD</t>
  </si>
  <si>
    <t>005013100664539000KD</t>
  </si>
  <si>
    <t>005013100670184000KD</t>
  </si>
  <si>
    <t>005013100682185000KD</t>
  </si>
  <si>
    <t>005013200098881000KD</t>
  </si>
  <si>
    <t>005013200108309000KD</t>
  </si>
  <si>
    <t>005013200402148000KD</t>
  </si>
  <si>
    <t>005013200402154000KD</t>
  </si>
  <si>
    <t>005013200402160000KD</t>
  </si>
  <si>
    <t>005013200402179000KD</t>
  </si>
  <si>
    <t>005013200547699000KD</t>
  </si>
  <si>
    <t>005013200614670000KD</t>
  </si>
  <si>
    <t>005013200663005000KD</t>
  </si>
  <si>
    <t>005013200672948000KD</t>
  </si>
  <si>
    <t>005013200689309000KD</t>
  </si>
  <si>
    <t>005013300400069000KD</t>
  </si>
  <si>
    <t>005013300400075000KD</t>
  </si>
  <si>
    <t>005013300400081000KD</t>
  </si>
  <si>
    <t>005013300402882000KD</t>
  </si>
  <si>
    <t>005013300402902000KD</t>
  </si>
  <si>
    <t>005013300402911000KD</t>
  </si>
  <si>
    <t>005013400099621000KD</t>
  </si>
  <si>
    <t>005013400099638000KD</t>
  </si>
  <si>
    <t>005013400099642000KD</t>
  </si>
  <si>
    <t>005013400307630000KD</t>
  </si>
  <si>
    <t>005013400307644000KD</t>
  </si>
  <si>
    <t>005013400307651000KD</t>
  </si>
  <si>
    <t>005013400681422000KD</t>
  </si>
  <si>
    <t>005030100099062000KD</t>
  </si>
  <si>
    <t>005030100099063000KD</t>
  </si>
  <si>
    <t>005030100099064000KD</t>
  </si>
  <si>
    <t>005030100099065000KD</t>
  </si>
  <si>
    <t>005030100400215000KD</t>
  </si>
  <si>
    <t>005030100400221000KD</t>
  </si>
  <si>
    <t>005030200099067000KD</t>
  </si>
  <si>
    <t>005030200099068000KD</t>
  </si>
  <si>
    <t>005030200099069000KD</t>
  </si>
  <si>
    <t>005030200099071000KD</t>
  </si>
  <si>
    <t>005030200099072000KD</t>
  </si>
  <si>
    <t>005030200099073000KD</t>
  </si>
  <si>
    <t>005030200099078000KD</t>
  </si>
  <si>
    <t>005030200099079000KD</t>
  </si>
  <si>
    <t>005030200099080000KD</t>
  </si>
  <si>
    <t>005030200099081000KD</t>
  </si>
  <si>
    <t>005030200099082000KD</t>
  </si>
  <si>
    <t>005030200099083000KD</t>
  </si>
  <si>
    <t>005030200099084000KD</t>
  </si>
  <si>
    <t>005030200099085000KD</t>
  </si>
  <si>
    <t>005030200099086000KD</t>
  </si>
  <si>
    <t>005030200099088000KD</t>
  </si>
  <si>
    <t>005030200099089000KD</t>
  </si>
  <si>
    <t>005030200400410000KD</t>
  </si>
  <si>
    <t>005030200400478000KD</t>
  </si>
  <si>
    <t>005030200400484000KD</t>
  </si>
  <si>
    <t>005030200477293000KD</t>
  </si>
  <si>
    <t>005030200613520000KD</t>
  </si>
  <si>
    <t>005030300099092000KD</t>
  </si>
  <si>
    <t>005030300099093000KD</t>
  </si>
  <si>
    <t>005030300099094000KD</t>
  </si>
  <si>
    <t>005030300099095000KD</t>
  </si>
  <si>
    <t>005030300099096000KD</t>
  </si>
  <si>
    <t>005030300099097000KD</t>
  </si>
  <si>
    <t>005030300099098000KD</t>
  </si>
  <si>
    <t>005030300099099000KD</t>
  </si>
  <si>
    <t>005030300099100000KD</t>
  </si>
  <si>
    <t>005030300099101000KD</t>
  </si>
  <si>
    <t>005030300099102000KD</t>
  </si>
  <si>
    <t>005030300099103000KD</t>
  </si>
  <si>
    <t>005030300099104000KD</t>
  </si>
  <si>
    <t>005030300099105000KD</t>
  </si>
  <si>
    <t>005030300099106000KD</t>
  </si>
  <si>
    <t>005030300099107000KD</t>
  </si>
  <si>
    <t>005030300099108000KD</t>
  </si>
  <si>
    <t>005030300099110000KD</t>
  </si>
  <si>
    <t>005030300099111000KD</t>
  </si>
  <si>
    <t>005030300099114000KD</t>
  </si>
  <si>
    <t>005030300099115000KD</t>
  </si>
  <si>
    <t>005030300099116000KD</t>
  </si>
  <si>
    <t>005030300099117000KD</t>
  </si>
  <si>
    <t>005030300099118000KD</t>
  </si>
  <si>
    <t>005030300099119000KD</t>
  </si>
  <si>
    <t>005030300099121000KD</t>
  </si>
  <si>
    <t>005030300099122000KD</t>
  </si>
  <si>
    <t>005030300099123000KD</t>
  </si>
  <si>
    <t>005030300099124000KD</t>
  </si>
  <si>
    <t>005030300099125000KD</t>
  </si>
  <si>
    <t>005030300099127000KD</t>
  </si>
  <si>
    <t>005030300400566000KD</t>
  </si>
  <si>
    <t>005030400099128000KD</t>
  </si>
  <si>
    <t>005030400099129000KD</t>
  </si>
  <si>
    <t>005030400099130000KD</t>
  </si>
  <si>
    <t>005030400099131000KD</t>
  </si>
  <si>
    <t>005030400400173000KD</t>
  </si>
  <si>
    <t>005030400400343000KD</t>
  </si>
  <si>
    <t>005030500099132000KD</t>
  </si>
  <si>
    <t>005030500099133000KD</t>
  </si>
  <si>
    <t>005030500099135000KD</t>
  </si>
  <si>
    <t>005030500099136000KD</t>
  </si>
  <si>
    <t>005030500099137000KD</t>
  </si>
  <si>
    <t>005030500099138000KD</t>
  </si>
  <si>
    <t>005030500099139000KD</t>
  </si>
  <si>
    <t>005030500099142000KD</t>
  </si>
  <si>
    <t>005030500099143000KD</t>
  </si>
  <si>
    <t>005030500099144000KD</t>
  </si>
  <si>
    <t>005030500099145000KD</t>
  </si>
  <si>
    <t>005030500099147000KD</t>
  </si>
  <si>
    <t>005030500099149000KD</t>
  </si>
  <si>
    <t>005030500099150000KD</t>
  </si>
  <si>
    <t>005030500099151000KD</t>
  </si>
  <si>
    <t>005030500099154000KD</t>
  </si>
  <si>
    <t>005030500099160000KD</t>
  </si>
  <si>
    <t>005030500099161000KD</t>
  </si>
  <si>
    <t>005030500099163000KD</t>
  </si>
  <si>
    <t>005030500099165000KD</t>
  </si>
  <si>
    <t>005030500099166000KD</t>
  </si>
  <si>
    <t>005030500099167000KD</t>
  </si>
  <si>
    <t>005030500099168000KD</t>
  </si>
  <si>
    <t>005030500400581000KD</t>
  </si>
  <si>
    <t>005030500400597000KD</t>
  </si>
  <si>
    <t>005030600099183000KD</t>
  </si>
  <si>
    <t>005030600099186000KD</t>
  </si>
  <si>
    <t>005030600099188000KD</t>
  </si>
  <si>
    <t>005030700099191000KD</t>
  </si>
  <si>
    <t>005030700099192000KD</t>
  </si>
  <si>
    <t>005030700099195000KD</t>
  </si>
  <si>
    <t>005030700099196000KD</t>
  </si>
  <si>
    <t>005030700099199000KD</t>
  </si>
  <si>
    <t>005030700099200000KD</t>
  </si>
  <si>
    <t>005030700099201000KD</t>
  </si>
  <si>
    <t>005030700099203000KD</t>
  </si>
  <si>
    <t>005030700109063000KD</t>
  </si>
  <si>
    <t>005030700400371000KD</t>
  </si>
  <si>
    <t>005030700400390000KD</t>
  </si>
  <si>
    <t>005030700400396000KD</t>
  </si>
  <si>
    <t>005030700477401000KD</t>
  </si>
  <si>
    <t>005030800099205000KD</t>
  </si>
  <si>
    <t>005030800099207000KD</t>
  </si>
  <si>
    <t>005030800099208000KD</t>
  </si>
  <si>
    <t>005030800099209000KD</t>
  </si>
  <si>
    <t>005030800099210000KD</t>
  </si>
  <si>
    <t>005030800099211000KD</t>
  </si>
  <si>
    <t>005030800099212000KD</t>
  </si>
  <si>
    <t>005030800099213000KD</t>
  </si>
  <si>
    <t>005030800400189000KD</t>
  </si>
  <si>
    <t>005030800400334000KD</t>
  </si>
  <si>
    <t>005030800400422000KD</t>
  </si>
  <si>
    <t>005030800400462000KD</t>
  </si>
  <si>
    <t>005030800477353000KD</t>
  </si>
  <si>
    <t>005030900099214000KD</t>
  </si>
  <si>
    <t>005030900099215000KD</t>
  </si>
  <si>
    <t>005030900099216000KD</t>
  </si>
  <si>
    <t>005030900099217000KD</t>
  </si>
  <si>
    <t>005030900400142000KD</t>
  </si>
  <si>
    <t>005030900400328000KD</t>
  </si>
  <si>
    <t>005030900400493000KD</t>
  </si>
  <si>
    <t>005030900477256000KD</t>
  </si>
  <si>
    <t>005030900477262000KD</t>
  </si>
  <si>
    <t>005030900662991000KD</t>
  </si>
  <si>
    <t>005031000099220000KD</t>
  </si>
  <si>
    <t>005031000099221000KD</t>
  </si>
  <si>
    <t>005031000099222000KD</t>
  </si>
  <si>
    <t>005031000099224000KD</t>
  </si>
  <si>
    <t>005031000400312000KD</t>
  </si>
  <si>
    <t>005031000400431000KD</t>
  </si>
  <si>
    <t>005031000400504000KD</t>
  </si>
  <si>
    <t>005031000477369000KD</t>
  </si>
  <si>
    <t>005031000477375000KD</t>
  </si>
  <si>
    <t>005031000477402000KD</t>
  </si>
  <si>
    <t>005031000663013000KD</t>
  </si>
  <si>
    <t>005031100099225000KD</t>
  </si>
  <si>
    <t>005031100099226000KD</t>
  </si>
  <si>
    <t>005031100099227000KD</t>
  </si>
  <si>
    <t>005031100099228000KD</t>
  </si>
  <si>
    <t>005031100099231000KD</t>
  </si>
  <si>
    <t>005031100099232000KD</t>
  </si>
  <si>
    <t>005031100099233000KD</t>
  </si>
  <si>
    <t>005031100672953000KD</t>
  </si>
  <si>
    <t>005031200099236000KD</t>
  </si>
  <si>
    <t>005031200099238000KD</t>
  </si>
  <si>
    <t>005031200400365000KD</t>
  </si>
  <si>
    <t>005031200614884000KD</t>
  </si>
  <si>
    <t>005031200663027000KD</t>
  </si>
  <si>
    <t>005031200663048000KD</t>
  </si>
  <si>
    <t>005031200663052000KD</t>
  </si>
  <si>
    <t>005031300099241000KD</t>
  </si>
  <si>
    <t>005031300099242000KD</t>
  </si>
  <si>
    <t>005031300099243000KD</t>
  </si>
  <si>
    <t>005031300099245000KD</t>
  </si>
  <si>
    <t>005031300400195000KD</t>
  </si>
  <si>
    <t>005031300400252000KD</t>
  </si>
  <si>
    <t>005031400099246000KD</t>
  </si>
  <si>
    <t>005031400099247000KD</t>
  </si>
  <si>
    <t>005031400099248000KD</t>
  </si>
  <si>
    <t>005031400099249000KD</t>
  </si>
  <si>
    <t>005031400400359000KD</t>
  </si>
  <si>
    <t>005031400670192000KD</t>
  </si>
  <si>
    <t>005031500099253000KD</t>
  </si>
  <si>
    <t>005031500099254000KD</t>
  </si>
  <si>
    <t>005031500099255000KD</t>
  </si>
  <si>
    <t>005031500099258000KD</t>
  </si>
  <si>
    <t>005031500099259000KD</t>
  </si>
  <si>
    <t>005031500099260000KD</t>
  </si>
  <si>
    <t>005031500653459000KD</t>
  </si>
  <si>
    <t>005031600099291000KD</t>
  </si>
  <si>
    <t>005031600477271000KD</t>
  </si>
  <si>
    <t>005031600662973000KD</t>
  </si>
  <si>
    <t>005031700099313000KD</t>
  </si>
  <si>
    <t>005031700099330000KD</t>
  </si>
  <si>
    <t>005031700099334000KD</t>
  </si>
  <si>
    <t>005031700099355000KD</t>
  </si>
  <si>
    <t>005031700568726000KD</t>
  </si>
  <si>
    <t>005031700670211000KD</t>
  </si>
  <si>
    <t>005031700673035000KD</t>
  </si>
  <si>
    <t>005031800099376000KD</t>
  </si>
  <si>
    <t>005031800099383000KD</t>
  </si>
  <si>
    <t>005031800099397000KD</t>
  </si>
  <si>
    <t>005031800400535000KD</t>
  </si>
  <si>
    <t>005031800670249000KD</t>
  </si>
  <si>
    <t>005031800672981000KD</t>
  </si>
  <si>
    <t>005031900099419000KD</t>
  </si>
  <si>
    <t>005031900099423000KD</t>
  </si>
  <si>
    <t>005031900099440000KD</t>
  </si>
  <si>
    <t>005031900099444000KD</t>
  </si>
  <si>
    <t>005031900099451000KD</t>
  </si>
  <si>
    <t>005031900099465000KD</t>
  </si>
  <si>
    <t>005031900099472000KD</t>
  </si>
  <si>
    <t>005031900099486000KD</t>
  </si>
  <si>
    <t>005031900099493000KD</t>
  </si>
  <si>
    <t>005031900099508000KD</t>
  </si>
  <si>
    <t>005031900099512000KD</t>
  </si>
  <si>
    <t>005031900099529000KD</t>
  </si>
  <si>
    <t>005031900099533000KD</t>
  </si>
  <si>
    <t>005031900099550000KD</t>
  </si>
  <si>
    <t>005031900099554000KD</t>
  </si>
  <si>
    <t>005031900099561000KD</t>
  </si>
  <si>
    <t>005031900099575000KD</t>
  </si>
  <si>
    <t>005031900099582000KD</t>
  </si>
  <si>
    <t>005031900099596000KD</t>
  </si>
  <si>
    <t>005031900099601000KD</t>
  </si>
  <si>
    <t>005031900099618000KD</t>
  </si>
  <si>
    <t>005031900672928000KD</t>
  </si>
  <si>
    <t>005031900673014000KD</t>
  </si>
  <si>
    <t>005032000099660000KD</t>
  </si>
  <si>
    <t>005032000099671000KD</t>
  </si>
  <si>
    <t>005032000400541000KD</t>
  </si>
  <si>
    <t>005032000477225000KD</t>
  </si>
  <si>
    <t>005032000681440000KD</t>
  </si>
  <si>
    <t>005032100099707000KD</t>
  </si>
  <si>
    <t>005032100099711000KD</t>
  </si>
  <si>
    <t>005032100099728000KD</t>
  </si>
  <si>
    <t>005032100672932000KD</t>
  </si>
  <si>
    <t>005032200099774000KD</t>
  </si>
  <si>
    <t>005032200099781000KD</t>
  </si>
  <si>
    <t>005032200099803000KD</t>
  </si>
  <si>
    <t>005032200099817000KD</t>
  </si>
  <si>
    <t>005032200099821000KD</t>
  </si>
  <si>
    <t>005032200099838000KD</t>
  </si>
  <si>
    <t>005032200099842000KD</t>
  </si>
  <si>
    <t>005032200099859000KD</t>
  </si>
  <si>
    <t>005032300099863000KD</t>
  </si>
  <si>
    <t>005032300099880000KD</t>
  </si>
  <si>
    <t>005032300099884000KD</t>
  </si>
  <si>
    <t>005032300099891000KD</t>
  </si>
  <si>
    <t>005032300099906000KD</t>
  </si>
  <si>
    <t>005032300099913000KD</t>
  </si>
  <si>
    <t>005032300400560000KD</t>
  </si>
  <si>
    <t>005032400099927000KD</t>
  </si>
  <si>
    <t>005032400099948000KD</t>
  </si>
  <si>
    <t>005032400099952000KD</t>
  </si>
  <si>
    <t>005032400099969000KD</t>
  </si>
  <si>
    <t>005032400099973000KD</t>
  </si>
  <si>
    <t>005032400099990000KD</t>
  </si>
  <si>
    <t>005032400099994000KD</t>
  </si>
  <si>
    <t>005032400400008000KD</t>
  </si>
  <si>
    <t>005032400400014000KD</t>
  </si>
  <si>
    <t>005032400400246000KD</t>
  </si>
  <si>
    <t>005032400477231000KD</t>
  </si>
  <si>
    <t>005032500400039000KD</t>
  </si>
  <si>
    <t>005032500614891000KD</t>
  </si>
  <si>
    <t>005032600400111000KD</t>
  </si>
  <si>
    <t>005032600400127000KD</t>
  </si>
  <si>
    <t>005032600400133000KD</t>
  </si>
  <si>
    <t>005032600400240000KD</t>
  </si>
  <si>
    <t>005032600400513000KD</t>
  </si>
  <si>
    <t>005032600672995000KD</t>
  </si>
  <si>
    <t>005032600673010000KD</t>
  </si>
  <si>
    <t>005032600673042000KD</t>
  </si>
  <si>
    <t>005032600673056000KD</t>
  </si>
  <si>
    <t>005032800099732000KD</t>
  </si>
  <si>
    <t>005032800099749000KD</t>
  </si>
  <si>
    <t>005032800664523000KD</t>
  </si>
  <si>
    <t>005032900099074000KD</t>
  </si>
  <si>
    <t>005032900099075000KD</t>
  </si>
  <si>
    <t>005032900099076000KD</t>
  </si>
  <si>
    <t>005032900099077000KD</t>
  </si>
  <si>
    <t>005032900663399000KD</t>
  </si>
  <si>
    <t>005033000099234000KD</t>
  </si>
  <si>
    <t>005033000099235000KD</t>
  </si>
  <si>
    <t>005033000400601000KD</t>
  </si>
  <si>
    <t>005033000663404000KD</t>
  </si>
  <si>
    <t>005033100099362000KD</t>
  </si>
  <si>
    <t>005033100400209000KD</t>
  </si>
  <si>
    <t>005033100477219000KD</t>
  </si>
  <si>
    <t>005033100664540000KD</t>
  </si>
  <si>
    <t>005033100670185000KD</t>
  </si>
  <si>
    <t>005033200663006000KD</t>
  </si>
  <si>
    <t>005033300400070000KD</t>
  </si>
  <si>
    <t>005033300400076000KD</t>
  </si>
  <si>
    <t>005033300400082000KD</t>
  </si>
  <si>
    <t>005033400099622000KD</t>
  </si>
  <si>
    <t>005033400099639000KD</t>
  </si>
  <si>
    <t>005033400099643000KD</t>
  </si>
  <si>
    <t>005040100400654000KD</t>
  </si>
  <si>
    <t>005040800401985000KD</t>
  </si>
  <si>
    <t>005040900402098000KD</t>
  </si>
  <si>
    <t>005041400402469000KD</t>
  </si>
  <si>
    <t>005041800309064000KD</t>
  </si>
  <si>
    <t>005041800309066000KD</t>
  </si>
  <si>
    <t>005041800604766000KD</t>
  </si>
  <si>
    <t>005041800652120000KD</t>
  </si>
  <si>
    <t>005042100309099000KD</t>
  </si>
  <si>
    <t>005042300309110000KD</t>
  </si>
  <si>
    <t>005042300309113000KD</t>
  </si>
  <si>
    <t>005042900440713000KD</t>
  </si>
  <si>
    <t>005043200547700000KD</t>
  </si>
  <si>
    <t>005043200614671000KD</t>
  </si>
  <si>
    <t>005050100663162000KD</t>
  </si>
  <si>
    <t>005050100663251000KD</t>
  </si>
  <si>
    <t>005050100663268000KD</t>
  </si>
  <si>
    <t>005050200663272000KD</t>
  </si>
  <si>
    <t>005050300531831000KD</t>
  </si>
  <si>
    <t>005050300663289000KD</t>
  </si>
  <si>
    <t>005050400663293000KD</t>
  </si>
  <si>
    <t>005050500663301000KD</t>
  </si>
  <si>
    <t>005050600663183000KD</t>
  </si>
  <si>
    <t>005050700526726000KD</t>
  </si>
  <si>
    <t>005050700663200000KD</t>
  </si>
  <si>
    <t>005050800663205000KD</t>
  </si>
  <si>
    <t>005050900578823000KD</t>
  </si>
  <si>
    <t>005051100663212000KD</t>
  </si>
  <si>
    <t>005051200559841000KD</t>
  </si>
  <si>
    <t>005051300531852000KD</t>
  </si>
  <si>
    <t>005051600663247000KD</t>
  </si>
  <si>
    <t>005051700531873000KD</t>
  </si>
  <si>
    <t>005051700663361000KD</t>
  </si>
  <si>
    <t>005051900526772000KD</t>
  </si>
  <si>
    <t>005051900663357000KD</t>
  </si>
  <si>
    <t>005052000578865000KD</t>
  </si>
  <si>
    <t>005052100539118000KD</t>
  </si>
  <si>
    <t>005052100663378000KD</t>
  </si>
  <si>
    <t>005052200559862000KD</t>
  </si>
  <si>
    <t>005052500539139000KD</t>
  </si>
  <si>
    <t>Kode Satker</t>
  </si>
  <si>
    <t>005010199663157000KP</t>
  </si>
  <si>
    <t>005060199610378000KP</t>
  </si>
  <si>
    <t>005070199663136000KP</t>
  </si>
  <si>
    <t>005050199663122000KP</t>
  </si>
  <si>
    <t>005040199663712000KP</t>
  </si>
  <si>
    <t>005030199097450000KP</t>
  </si>
  <si>
    <t>005020199004028000KP</t>
  </si>
  <si>
    <t>Persediaan</t>
  </si>
  <si>
    <t>Tanah</t>
  </si>
  <si>
    <t>Peralatan dan Mesin</t>
  </si>
  <si>
    <t>Gedung dan Bangunan</t>
  </si>
  <si>
    <t>Jalan Irigasi Jaringan</t>
  </si>
  <si>
    <t>Aset Tetap Lainnya</t>
  </si>
  <si>
    <t>KDP</t>
  </si>
  <si>
    <t>Aset Tak Berwujud</t>
  </si>
  <si>
    <t>Aset Henti Guna</t>
  </si>
  <si>
    <t>Total</t>
  </si>
  <si>
    <t>Keterangan</t>
  </si>
  <si>
    <t>PT. Jakarta</t>
  </si>
  <si>
    <t>PN. Jakarta Pusat</t>
  </si>
  <si>
    <t>PN. Jakarta Barat</t>
  </si>
  <si>
    <t>PN. Jakarta Timur</t>
  </si>
  <si>
    <t>PN. Jakarta Selatan</t>
  </si>
  <si>
    <t>PN. Jakarta Utara</t>
  </si>
  <si>
    <t>PA. Jakarta Pusat</t>
  </si>
  <si>
    <t>PA. Jakarta Utara</t>
  </si>
  <si>
    <t>PA. Jakarta Barat</t>
  </si>
  <si>
    <t>PA. Jakarta Timur</t>
  </si>
  <si>
    <t>PA. Jakarta Selatan</t>
  </si>
  <si>
    <t>PTA. Jakarta</t>
  </si>
  <si>
    <t>PT. TUN. Jakarta</t>
  </si>
  <si>
    <t>PTUN. Jakarta</t>
  </si>
  <si>
    <t>Badan Urusan Administrasi</t>
  </si>
  <si>
    <t>PT. Bandung</t>
  </si>
  <si>
    <t>PN. Bandung</t>
  </si>
  <si>
    <t>PN. Sumedang</t>
  </si>
  <si>
    <t>PN. Tasikmalaya</t>
  </si>
  <si>
    <t>PN. Garut</t>
  </si>
  <si>
    <t>PN. Ciamis</t>
  </si>
  <si>
    <t>PN. Puwakarta</t>
  </si>
  <si>
    <t>PN. Bekasi</t>
  </si>
  <si>
    <t>PN. Karawang</t>
  </si>
  <si>
    <t>PN. Subang</t>
  </si>
  <si>
    <t>PN. Bogor</t>
  </si>
  <si>
    <t>PN. Sukabumi</t>
  </si>
  <si>
    <t>PN. Cianjur</t>
  </si>
  <si>
    <t>PN. Cirebon</t>
  </si>
  <si>
    <t>PN. Indramayu</t>
  </si>
  <si>
    <t>PN. Majalengka</t>
  </si>
  <si>
    <t>PN. Kuningan</t>
  </si>
  <si>
    <t>PTA. Bandung</t>
  </si>
  <si>
    <t>PN. Cibadak</t>
  </si>
  <si>
    <t>PN. Sumber</t>
  </si>
  <si>
    <t>PN. Bale Bandung</t>
  </si>
  <si>
    <t>PA. Bandung</t>
  </si>
  <si>
    <t>PA. Sumedang</t>
  </si>
  <si>
    <t>PA. Cimahi</t>
  </si>
  <si>
    <t>PA. Ciamis</t>
  </si>
  <si>
    <t>PA. Tasikmalaya</t>
  </si>
  <si>
    <t>PA. Garut</t>
  </si>
  <si>
    <t>PA. Bogor</t>
  </si>
  <si>
    <t>PA. Sukabumi</t>
  </si>
  <si>
    <t>PA. Cianjur</t>
  </si>
  <si>
    <t>PA. Cirebon</t>
  </si>
  <si>
    <t>PA. Indramayu</t>
  </si>
  <si>
    <t>PA. Majalengka</t>
  </si>
  <si>
    <t>PA. Kuningan</t>
  </si>
  <si>
    <t>PA. Bekasi</t>
  </si>
  <si>
    <t>PA. Karawang</t>
  </si>
  <si>
    <t>PA. Purwakarta</t>
  </si>
  <si>
    <t>PA. Subang</t>
  </si>
  <si>
    <t>PA. Cibadak</t>
  </si>
  <si>
    <t>PA. Sumber</t>
  </si>
  <si>
    <t>PN. Depok</t>
  </si>
  <si>
    <t>PTUN. Bandung</t>
  </si>
  <si>
    <t>PA. Cibinong</t>
  </si>
  <si>
    <t>PN. Kab. Bogor di Cibinong, Jawa Barat</t>
  </si>
  <si>
    <t>PA. Cikarang</t>
  </si>
  <si>
    <t>PA. Depok</t>
  </si>
  <si>
    <t>DILMIL.  II - 09 di Bandung</t>
  </si>
  <si>
    <t>PT. Semarang</t>
  </si>
  <si>
    <t>PN. Tegal</t>
  </si>
  <si>
    <t>PN. Pekalongan</t>
  </si>
  <si>
    <t>PN. Kudus</t>
  </si>
  <si>
    <t>PN. Pati</t>
  </si>
  <si>
    <t>PN. Brebes</t>
  </si>
  <si>
    <t>PN. Pemalang</t>
  </si>
  <si>
    <t>PN. Kendal</t>
  </si>
  <si>
    <t>PN. Demak</t>
  </si>
  <si>
    <t>PN. Purwodadi</t>
  </si>
  <si>
    <t>PN. Salatiga</t>
  </si>
  <si>
    <t>PN. Jepara</t>
  </si>
  <si>
    <t>PN. Blora</t>
  </si>
  <si>
    <t>PN. Rembang</t>
  </si>
  <si>
    <t>PN. Batang</t>
  </si>
  <si>
    <t>PN. Purworejo</t>
  </si>
  <si>
    <t>PN. Magelang</t>
  </si>
  <si>
    <t>PN. Kebumen</t>
  </si>
  <si>
    <t>PN. Temanggung</t>
  </si>
  <si>
    <t>PN. Wonosobo</t>
  </si>
  <si>
    <t>PN. Surakarta</t>
  </si>
  <si>
    <t>PN. Sragen</t>
  </si>
  <si>
    <t>PN. Wonogiri</t>
  </si>
  <si>
    <t>PN. Sukoharjo</t>
  </si>
  <si>
    <t>PN. Boyolali</t>
  </si>
  <si>
    <t>PN. Klaten</t>
  </si>
  <si>
    <t>PN. Purwokerto</t>
  </si>
  <si>
    <t>PN. Cilacap</t>
  </si>
  <si>
    <t>PN. Banyumas</t>
  </si>
  <si>
    <t>PN. Purbalingga</t>
  </si>
  <si>
    <t>PN. Banjarnegara</t>
  </si>
  <si>
    <t>PA. Pekalongan</t>
  </si>
  <si>
    <t>PA. Pemalang</t>
  </si>
  <si>
    <t>PA. Tegal</t>
  </si>
  <si>
    <t>PA. Brebes</t>
  </si>
  <si>
    <t>PA. Batang</t>
  </si>
  <si>
    <t>PA. Salatiga</t>
  </si>
  <si>
    <t>PA. Kendal</t>
  </si>
  <si>
    <t>PA. Demak</t>
  </si>
  <si>
    <t>PA. Purwodadi</t>
  </si>
  <si>
    <t>PA. Pati</t>
  </si>
  <si>
    <t>PA. Kudus</t>
  </si>
  <si>
    <t>PA. Jepara</t>
  </si>
  <si>
    <t>PA. Rembang</t>
  </si>
  <si>
    <t>PA. Blora</t>
  </si>
  <si>
    <t>PA. Magelang</t>
  </si>
  <si>
    <t>PA. Temanggung</t>
  </si>
  <si>
    <t>PA. Wonosobo</t>
  </si>
  <si>
    <t>PA. Purworejo</t>
  </si>
  <si>
    <t>PA. Kebumen</t>
  </si>
  <si>
    <t>PA. Purwokerto</t>
  </si>
  <si>
    <t>PA. Banyumas</t>
  </si>
  <si>
    <t>PA. Cilacap</t>
  </si>
  <si>
    <t>PA. Purbalingga</t>
  </si>
  <si>
    <t>PA. Banjarnegara</t>
  </si>
  <si>
    <t>PA. Klaten</t>
  </si>
  <si>
    <t>PA. Wonogiri</t>
  </si>
  <si>
    <t>PA. Sukoharjo</t>
  </si>
  <si>
    <t>PA. Karanganyar</t>
  </si>
  <si>
    <t>PA. Surakarta</t>
  </si>
  <si>
    <t>PA. Ambarawa</t>
  </si>
  <si>
    <t>PTA. Semarang</t>
  </si>
  <si>
    <t>PA. Slawi</t>
  </si>
  <si>
    <t>PA. Mungkid</t>
  </si>
  <si>
    <t>PTUN. Semarang</t>
  </si>
  <si>
    <t>PA. Kajen</t>
  </si>
  <si>
    <t>PN. Yogyakarta</t>
  </si>
  <si>
    <t>PN. Wates</t>
  </si>
  <si>
    <t>PN. Wonosari</t>
  </si>
  <si>
    <t>PN. Sleman</t>
  </si>
  <si>
    <t>PN. Bantul</t>
  </si>
  <si>
    <t>PT. Yogyakarta</t>
  </si>
  <si>
    <t>PA. Yogyakarta</t>
  </si>
  <si>
    <t>PA. Sleman</t>
  </si>
  <si>
    <t>PA. Wates</t>
  </si>
  <si>
    <t>PA. Bantul</t>
  </si>
  <si>
    <t>PA. Wonosari</t>
  </si>
  <si>
    <t>PTA. Yogyakarta</t>
  </si>
  <si>
    <t>PTUN. Yogyakarta</t>
  </si>
  <si>
    <t>DILMIL.  II - 11 di Yogyakarta</t>
  </si>
  <si>
    <t>PT. Surabaya</t>
  </si>
  <si>
    <t>PN. Surabaya</t>
  </si>
  <si>
    <t>PN. Bojonegoro</t>
  </si>
  <si>
    <t>PN. Tuban</t>
  </si>
  <si>
    <t>PN. Lamongan</t>
  </si>
  <si>
    <t>PN. Gresik</t>
  </si>
  <si>
    <t>PN. Sidoarjo</t>
  </si>
  <si>
    <t>PN. Mojokerto</t>
  </si>
  <si>
    <t>PN. Jombang</t>
  </si>
  <si>
    <t>PN. Bondowoso</t>
  </si>
  <si>
    <t>PN. Jember</t>
  </si>
  <si>
    <t>PN. Banyuwangi</t>
  </si>
  <si>
    <t>PN. Situbondo</t>
  </si>
  <si>
    <t>PN. Kab. Kediri</t>
  </si>
  <si>
    <t>PN. Tulungagung</t>
  </si>
  <si>
    <t>PN. Trenggalek</t>
  </si>
  <si>
    <t>PN. Blitar</t>
  </si>
  <si>
    <t>PN. Pasuruan</t>
  </si>
  <si>
    <t>PN. Probolinggo</t>
  </si>
  <si>
    <t>PN. Lumajang</t>
  </si>
  <si>
    <t>PN. Kraksaan</t>
  </si>
  <si>
    <t>PN. Ponorogo</t>
  </si>
  <si>
    <t>PN. Pacitan</t>
  </si>
  <si>
    <t>PN. Ngawi</t>
  </si>
  <si>
    <t>PN. Magetan</t>
  </si>
  <si>
    <t>PN. Sumenep</t>
  </si>
  <si>
    <t>PN. Bangkalan</t>
  </si>
  <si>
    <t>PN. Sampang</t>
  </si>
  <si>
    <t>PTA. Surabaya</t>
  </si>
  <si>
    <t>PN. Kediri</t>
  </si>
  <si>
    <t>PN. Kab. Madiun</t>
  </si>
  <si>
    <t>PA. Mojokerto</t>
  </si>
  <si>
    <t>PA. Sidoarjo</t>
  </si>
  <si>
    <t>PA. Jombang</t>
  </si>
  <si>
    <t>PA. Gresik</t>
  </si>
  <si>
    <t>PA. Bojonegoro</t>
  </si>
  <si>
    <t>PA. Lamongan</t>
  </si>
  <si>
    <t>PA. Jember</t>
  </si>
  <si>
    <t>PA. Bondowoso</t>
  </si>
  <si>
    <t>PA. Situbondo</t>
  </si>
  <si>
    <t>PA. Banyuwangi</t>
  </si>
  <si>
    <t>PA. Tulungagung</t>
  </si>
  <si>
    <t>PA. Trenggalek</t>
  </si>
  <si>
    <t>PA. Nganjuk</t>
  </si>
  <si>
    <t>PA. Malang</t>
  </si>
  <si>
    <t>PA. Pasuruan</t>
  </si>
  <si>
    <t>PA. Bangil</t>
  </si>
  <si>
    <t>PA. Probolinggo</t>
  </si>
  <si>
    <t>PA. Kraksaan</t>
  </si>
  <si>
    <t>PA. Lumajang</t>
  </si>
  <si>
    <t>PA. Madiun</t>
  </si>
  <si>
    <t>PA. Magetan</t>
  </si>
  <si>
    <t>PA. Ngawi</t>
  </si>
  <si>
    <t>PA. Ponorogo</t>
  </si>
  <si>
    <t>PA. Pacitan</t>
  </si>
  <si>
    <t>PA. Pamekasan</t>
  </si>
  <si>
    <t>PA. Bangkalan</t>
  </si>
  <si>
    <t>PA. Sumenep</t>
  </si>
  <si>
    <t>PA. Kangean</t>
  </si>
  <si>
    <t>PA. Kab. Madiun</t>
  </si>
  <si>
    <t>PA. Kediri</t>
  </si>
  <si>
    <t>PA. Tuban</t>
  </si>
  <si>
    <t>PTUN. Surabaya</t>
  </si>
  <si>
    <t>PN. Malang</t>
  </si>
  <si>
    <t>PT. Banda Aceh</t>
  </si>
  <si>
    <t>PN. Banda Aceh</t>
  </si>
  <si>
    <t>PN. Sabang</t>
  </si>
  <si>
    <t>PN. Sigli</t>
  </si>
  <si>
    <t>PN. Beureun</t>
  </si>
  <si>
    <t>PN. Lhok Sukon</t>
  </si>
  <si>
    <t>PN. Lhok Seumawe</t>
  </si>
  <si>
    <t>PN. Takengon</t>
  </si>
  <si>
    <t>PN. Langsa</t>
  </si>
  <si>
    <t>PN. Idi</t>
  </si>
  <si>
    <t>PN. Kuala Simpang</t>
  </si>
  <si>
    <t>PN. Blangkajeren</t>
  </si>
  <si>
    <t>PN. Kutacane</t>
  </si>
  <si>
    <t>PN. Meulaboh</t>
  </si>
  <si>
    <t>PN. Calang</t>
  </si>
  <si>
    <t>PN. Sinabang</t>
  </si>
  <si>
    <t>PN. Tapak Tuan</t>
  </si>
  <si>
    <t>PN. Singkel</t>
  </si>
  <si>
    <t>PN. Janthoi</t>
  </si>
  <si>
    <t>Mahkamah Syar'iyah Prop. Nad</t>
  </si>
  <si>
    <t>Mahkamah Syar'iyah Banda Aceh</t>
  </si>
  <si>
    <t>Mahkamah Syar'iyah Sabang</t>
  </si>
  <si>
    <t>Mahkamah Syar'iyah Sigli</t>
  </si>
  <si>
    <t>Mahkamah Syar'iyah Meureudu</t>
  </si>
  <si>
    <t>Mahkamah Syar'iyah Bireuen</t>
  </si>
  <si>
    <t>Mahkamah Syar'iyah Lhok Sukon</t>
  </si>
  <si>
    <t>Mahkamah Syar'iyah Takengon</t>
  </si>
  <si>
    <t>Mahkamah Syar'iyah Lhok Seumawe</t>
  </si>
  <si>
    <t>Mahkamah Syar'iyah Idi</t>
  </si>
  <si>
    <t>Mahkamah Syar'iyah Langsa</t>
  </si>
  <si>
    <t>Mahkamah Syar'iyah Kuala Simpang</t>
  </si>
  <si>
    <t>Mahkamah Syar'iyah Blangkajeren</t>
  </si>
  <si>
    <t>Mahkamah Syar'iyah Kotacane</t>
  </si>
  <si>
    <t>Mahkamah Syar'iyah Meulaboh</t>
  </si>
  <si>
    <t>Mahkamah Syar'iyah Sinabang</t>
  </si>
  <si>
    <t>Mahkamah Syar'iyah Calang</t>
  </si>
  <si>
    <t>Mahkamah Syar'iyah Singkil</t>
  </si>
  <si>
    <t>Mahkamah Syar'iyah Tapak Tuan</t>
  </si>
  <si>
    <t>Mahkamah Syar'iyah Jantho</t>
  </si>
  <si>
    <t>PTUN. Banda Aceh</t>
  </si>
  <si>
    <t>DILMIL.  I - 01 di Banda Aceh</t>
  </si>
  <si>
    <t>Mahkamah Syar'iyah Redelong</t>
  </si>
  <si>
    <t>PT. Medan</t>
  </si>
  <si>
    <t>PN. Medan</t>
  </si>
  <si>
    <t>PN. Binjai</t>
  </si>
  <si>
    <t>PN. Tanjung Balai Asahan</t>
  </si>
  <si>
    <t>PN. Sidikalang</t>
  </si>
  <si>
    <t>PN. Kabanjahe</t>
  </si>
  <si>
    <t>PN. Rantau Prapat</t>
  </si>
  <si>
    <t>PN. Tebing Tinggi</t>
  </si>
  <si>
    <t>PN. Gunung Sitoli</t>
  </si>
  <si>
    <t>PN. Pematang Siantar</t>
  </si>
  <si>
    <t>PN. Tarutung</t>
  </si>
  <si>
    <t>PN. Padang Sidempuan</t>
  </si>
  <si>
    <t>PN. Sibolga</t>
  </si>
  <si>
    <t>PN. Stabat</t>
  </si>
  <si>
    <t>PN. Simalungun</t>
  </si>
  <si>
    <t>PN. Kisaran</t>
  </si>
  <si>
    <t>PN. Lubuk Pakam</t>
  </si>
  <si>
    <t>PTA. Medan</t>
  </si>
  <si>
    <t>PA. Binjai</t>
  </si>
  <si>
    <t>PA. Kabanjahe</t>
  </si>
  <si>
    <t>PA. Medan</t>
  </si>
  <si>
    <t>PA. Rantau Prapat</t>
  </si>
  <si>
    <t>PA. Tanjung Balai</t>
  </si>
  <si>
    <t>PA. Tebing Tinggi</t>
  </si>
  <si>
    <t>PA. Sidikalang</t>
  </si>
  <si>
    <t>PA. Pematang Siantar</t>
  </si>
  <si>
    <t>PA. Balige</t>
  </si>
  <si>
    <t>PA. Sibolga</t>
  </si>
  <si>
    <t>PA. Padang Sidempuan</t>
  </si>
  <si>
    <t>PA. Gunung Sitoli</t>
  </si>
  <si>
    <t>PA. Kisaran</t>
  </si>
  <si>
    <t>PA. Lubuk Pakam</t>
  </si>
  <si>
    <t>PA. Simalungun</t>
  </si>
  <si>
    <t>PN. Mandailing Natal</t>
  </si>
  <si>
    <t>PT. TUN. Negaramedan</t>
  </si>
  <si>
    <t>PTUN. Medan</t>
  </si>
  <si>
    <t>PA. Stabat</t>
  </si>
  <si>
    <t>PA. Pandan</t>
  </si>
  <si>
    <t>PA. Tarutung</t>
  </si>
  <si>
    <t>PA. Panyabungan</t>
  </si>
  <si>
    <t>DILMILTI I - di Medan</t>
  </si>
  <si>
    <t>DILMIL.  I - 02 di Medan</t>
  </si>
  <si>
    <t>PN. Balige</t>
  </si>
  <si>
    <t>PA. Kota Padang Sidimpuan</t>
  </si>
  <si>
    <t>PT. Padang</t>
  </si>
  <si>
    <t>PN. Padang</t>
  </si>
  <si>
    <t>PN. Sawah Luntho</t>
  </si>
  <si>
    <t>PN. Batu Sangkar</t>
  </si>
  <si>
    <t>PN. Solok</t>
  </si>
  <si>
    <t>PN. Pariaman</t>
  </si>
  <si>
    <t>PN. Painan</t>
  </si>
  <si>
    <t>PN. Bukit Tinggi</t>
  </si>
  <si>
    <t>PN. Lubuk Sikaping</t>
  </si>
  <si>
    <t>PN. Payakumbuh</t>
  </si>
  <si>
    <t>PN. Padang Panjang</t>
  </si>
  <si>
    <t>PN. Lubuk Basung</t>
  </si>
  <si>
    <t>PN. Tanjung Pati</t>
  </si>
  <si>
    <t>PN. Koto Baru</t>
  </si>
  <si>
    <t>PN. Muaro</t>
  </si>
  <si>
    <t>PTA. Padang</t>
  </si>
  <si>
    <t>PA. Pariaman</t>
  </si>
  <si>
    <t>PA. Solok</t>
  </si>
  <si>
    <t>PA. Sawah Luntho</t>
  </si>
  <si>
    <t>PA. Batu Sangkar</t>
  </si>
  <si>
    <t>PA. Padang</t>
  </si>
  <si>
    <t>PA. Padang Panjang</t>
  </si>
  <si>
    <t>PA. Sijunjung</t>
  </si>
  <si>
    <t>PA. Koto Baru</t>
  </si>
  <si>
    <t>PA. Muara Labuh</t>
  </si>
  <si>
    <t>PA. Painan</t>
  </si>
  <si>
    <t>PA. Bukit Tinggi</t>
  </si>
  <si>
    <t>PA. Lubuk Sikaping</t>
  </si>
  <si>
    <t>PA. Talu</t>
  </si>
  <si>
    <t>PA. Maninjau</t>
  </si>
  <si>
    <t>PA. Payakumbuh</t>
  </si>
  <si>
    <t>PA. Tanjung Pati</t>
  </si>
  <si>
    <t>PA. Lubuk Basung</t>
  </si>
  <si>
    <t>PN. Pasaman Barat.</t>
  </si>
  <si>
    <t>PTUN. Padang</t>
  </si>
  <si>
    <t>Dilmil. 1-03 Padang</t>
  </si>
  <si>
    <t>PN. Pekanbaru</t>
  </si>
  <si>
    <t>PN. Bengkalis</t>
  </si>
  <si>
    <t>PN. Rengat/Indragiri</t>
  </si>
  <si>
    <t>PN. Tembilahan</t>
  </si>
  <si>
    <t>PN. Bangkinang</t>
  </si>
  <si>
    <t>PN. Dumai</t>
  </si>
  <si>
    <t>PT. Pekanbaru</t>
  </si>
  <si>
    <t>PA. Pekanbaru</t>
  </si>
  <si>
    <t>PA. Rengat</t>
  </si>
  <si>
    <t>PA. Tembilahan</t>
  </si>
  <si>
    <t>PA. Bangkinang</t>
  </si>
  <si>
    <t>PA. Bengkalis</t>
  </si>
  <si>
    <t>PA. Pasir Pangarayan</t>
  </si>
  <si>
    <t>PA. Selat Panjang</t>
  </si>
  <si>
    <t>PA. Dumai</t>
  </si>
  <si>
    <t>PTA. Pekanbaru</t>
  </si>
  <si>
    <t>PN. Pelalawan</t>
  </si>
  <si>
    <t>PN. Rokan Hilir</t>
  </si>
  <si>
    <t>PN. Siak Sri Indrapura</t>
  </si>
  <si>
    <t>PTUN. Pekan Baru</t>
  </si>
  <si>
    <t>PA. Pangkalan Kerinci</t>
  </si>
  <si>
    <t>PA. Ujung Tanjung</t>
  </si>
  <si>
    <t>PN. Pasir Pangaraian</t>
  </si>
  <si>
    <t>PN. Jambi</t>
  </si>
  <si>
    <t>PN. Muara Bungo</t>
  </si>
  <si>
    <t>PN. Kuala Tungkal</t>
  </si>
  <si>
    <t>PN. Sungai Penuh</t>
  </si>
  <si>
    <t>PN. Bangko</t>
  </si>
  <si>
    <t>PN. Muara Bulian</t>
  </si>
  <si>
    <t>PT. Jambi</t>
  </si>
  <si>
    <t>PA. Jambi</t>
  </si>
  <si>
    <t>PA. Muara Bungo</t>
  </si>
  <si>
    <t>PA. Kuala Tungkal</t>
  </si>
  <si>
    <t>PA. Bangko</t>
  </si>
  <si>
    <t>PA. Sungai Penuh</t>
  </si>
  <si>
    <t>PA. Muara Bulian</t>
  </si>
  <si>
    <t>PN. Tebo</t>
  </si>
  <si>
    <t>PN. Sarolangun</t>
  </si>
  <si>
    <t>PN. Tanjung Jabung Tmr.</t>
  </si>
  <si>
    <t>PTA. Jambi</t>
  </si>
  <si>
    <t>PTUN. Jambi</t>
  </si>
  <si>
    <t>PA. Sarolangun</t>
  </si>
  <si>
    <t>PA. Muara Sabak</t>
  </si>
  <si>
    <t>PA. Tebo</t>
  </si>
  <si>
    <t>PA. Sangeti</t>
  </si>
  <si>
    <t>PN. Sangeti</t>
  </si>
  <si>
    <t>PT. Palembang</t>
  </si>
  <si>
    <t>PN. Palembang</t>
  </si>
  <si>
    <t>PN. Kayuagung</t>
  </si>
  <si>
    <t>PN. Baturaja</t>
  </si>
  <si>
    <t>PN. Lubuk Lingau</t>
  </si>
  <si>
    <t>PN. Lahat</t>
  </si>
  <si>
    <t>PN. Muara Enim</t>
  </si>
  <si>
    <t>PN. Sekayu</t>
  </si>
  <si>
    <t>PTA. Palembang</t>
  </si>
  <si>
    <t>PA. Palembang</t>
  </si>
  <si>
    <t>PA. Lahat</t>
  </si>
  <si>
    <t>PA. Baturaja</t>
  </si>
  <si>
    <t>PA. Kayu Agung</t>
  </si>
  <si>
    <t>PA. Muara Enim</t>
  </si>
  <si>
    <t>PA. Lubuk Linggau</t>
  </si>
  <si>
    <t>PA. Sekayu</t>
  </si>
  <si>
    <t>PTUN. Palembang</t>
  </si>
  <si>
    <t>DILMIL.  I - 04 di Palembang</t>
  </si>
  <si>
    <t>PN. Prabumulih</t>
  </si>
  <si>
    <t>PN. Pagar Alam</t>
  </si>
  <si>
    <t>PN. Tanjung Karang</t>
  </si>
  <si>
    <t>PN. Metro</t>
  </si>
  <si>
    <t>PN. Kota Bumi</t>
  </si>
  <si>
    <t>PT. Bandar Lampung</t>
  </si>
  <si>
    <t>PN. Kalianda</t>
  </si>
  <si>
    <t>PA. Tanjung Karang</t>
  </si>
  <si>
    <t>PA. Krui (Krui Di Liwa)</t>
  </si>
  <si>
    <t>PA. Kota Bumi</t>
  </si>
  <si>
    <t>PA. Metro</t>
  </si>
  <si>
    <t>PA. Kalianda</t>
  </si>
  <si>
    <t>PN. Kota Agung</t>
  </si>
  <si>
    <t>PTA. Bandar Lampung</t>
  </si>
  <si>
    <t>PTUN. Tanjung Karang</t>
  </si>
  <si>
    <t>PA. Tulang Bawang</t>
  </si>
  <si>
    <t>PA. Tanggamus</t>
  </si>
  <si>
    <t>PN. Liwa</t>
  </si>
  <si>
    <t>PA. Gunung Sugih</t>
  </si>
  <si>
    <t>PA. Blambangan Umpu</t>
  </si>
  <si>
    <t>PN. Manggala</t>
  </si>
  <si>
    <t>PN. Gunung Sugih</t>
  </si>
  <si>
    <t>PN. Sukadana</t>
  </si>
  <si>
    <t>PN. Blambangan Umpu</t>
  </si>
  <si>
    <t>PN. Pontianak</t>
  </si>
  <si>
    <t>PN. Singkawang</t>
  </si>
  <si>
    <t>PN. Sintang</t>
  </si>
  <si>
    <t>PN. Ketapang</t>
  </si>
  <si>
    <t>PN. Mempawah</t>
  </si>
  <si>
    <t>PN. Sanggau</t>
  </si>
  <si>
    <t>PN. Putussibau</t>
  </si>
  <si>
    <t>PT. Pontianak</t>
  </si>
  <si>
    <t>PA. Pontianak</t>
  </si>
  <si>
    <t>PA. Sambas</t>
  </si>
  <si>
    <t>PA. Ketapang</t>
  </si>
  <si>
    <t>PA. Sanggau</t>
  </si>
  <si>
    <t>PA. Sintang</t>
  </si>
  <si>
    <t>PA. Putussibau</t>
  </si>
  <si>
    <t>PTA. Pontianak</t>
  </si>
  <si>
    <t>PA. Mempawah</t>
  </si>
  <si>
    <t>PTUN. Pontianak</t>
  </si>
  <si>
    <t>PA. Bengkayang</t>
  </si>
  <si>
    <t>DILMIL.  I - 05 di Pontianak</t>
  </si>
  <si>
    <t>PN. Sambas</t>
  </si>
  <si>
    <t>PN. Bengkayang</t>
  </si>
  <si>
    <t>PN. Palangkaraya</t>
  </si>
  <si>
    <t>PN. Pangkalan Bun</t>
  </si>
  <si>
    <t>PN. Muara Tewe</t>
  </si>
  <si>
    <t>PN. Kuala Kapuas</t>
  </si>
  <si>
    <t>PN. Buntok</t>
  </si>
  <si>
    <t>PN. Sampit</t>
  </si>
  <si>
    <t>PT. Palangkaraya</t>
  </si>
  <si>
    <t>PA. Palangkaraya</t>
  </si>
  <si>
    <t>PA. Pangkalan Bun</t>
  </si>
  <si>
    <t>PA. Muara Tewe</t>
  </si>
  <si>
    <t>PA. Buntok</t>
  </si>
  <si>
    <t>PA. Kuala Kapuas</t>
  </si>
  <si>
    <t>PA. Sampit</t>
  </si>
  <si>
    <t>PTA. Palangkaraya</t>
  </si>
  <si>
    <t>PTUN. Palangkaraya</t>
  </si>
  <si>
    <t>PN. Tamiang Layang</t>
  </si>
  <si>
    <t>PN. Kasongan</t>
  </si>
  <si>
    <t>PT. Banjarmasin</t>
  </si>
  <si>
    <t>PN. Banjarmasin</t>
  </si>
  <si>
    <t>PN. Kandangan</t>
  </si>
  <si>
    <t>PN. Kotabaru</t>
  </si>
  <si>
    <t>PN. Barabai</t>
  </si>
  <si>
    <t>PN. Martapura</t>
  </si>
  <si>
    <t>PN. Tanjung</t>
  </si>
  <si>
    <t>PN. Amuntai</t>
  </si>
  <si>
    <t>PN. Rantau</t>
  </si>
  <si>
    <t>PA. Marabahan</t>
  </si>
  <si>
    <t>PA. Pelaihari</t>
  </si>
  <si>
    <t>PA. Kotabaru</t>
  </si>
  <si>
    <t>PN. Marabahan</t>
  </si>
  <si>
    <t>PN. Pleihari</t>
  </si>
  <si>
    <t>PTA. Banjarmasin</t>
  </si>
  <si>
    <t>PA. Banjarmasin</t>
  </si>
  <si>
    <t>PA. Martapura</t>
  </si>
  <si>
    <t>PA. Rantau</t>
  </si>
  <si>
    <t>PA. Kandangan</t>
  </si>
  <si>
    <t>PA. Barabai</t>
  </si>
  <si>
    <t>PA. Amuntai</t>
  </si>
  <si>
    <t>PA. Tanjung</t>
  </si>
  <si>
    <t>PA. Negara</t>
  </si>
  <si>
    <t>PTUN. Banjarmasin</t>
  </si>
  <si>
    <t>PA. Banjarbaru</t>
  </si>
  <si>
    <t>PN. Banjarbaru</t>
  </si>
  <si>
    <t>DILMIL.  I - 06 di Banjarmasin</t>
  </si>
  <si>
    <t>PN. Batulicin</t>
  </si>
  <si>
    <t>PA. Batulicin</t>
  </si>
  <si>
    <t>PN. Tarakan</t>
  </si>
  <si>
    <t>PN. Samarinda</t>
  </si>
  <si>
    <t>PN. Tenggarong</t>
  </si>
  <si>
    <t>PN. Balikpapan</t>
  </si>
  <si>
    <t>PA. Tenggarong</t>
  </si>
  <si>
    <t>PA. Samarinda</t>
  </si>
  <si>
    <t xml:space="preserve">PA. Tanah Grogot </t>
  </si>
  <si>
    <t>PA. Balikpapan</t>
  </si>
  <si>
    <t>PA. Tanjung Redeb</t>
  </si>
  <si>
    <t>PA. Tanjung Selor</t>
  </si>
  <si>
    <t xml:space="preserve">PN. Tanjung Redeb </t>
  </si>
  <si>
    <t>PN. Tanah Grogot</t>
  </si>
  <si>
    <t>PT. Samarinda</t>
  </si>
  <si>
    <t>PTA. Samarinda</t>
  </si>
  <si>
    <t>PA. Tarakan</t>
  </si>
  <si>
    <t>PN. Nunukan</t>
  </si>
  <si>
    <t>PN. Malinau</t>
  </si>
  <si>
    <t>PN. Kutai Barat</t>
  </si>
  <si>
    <t>PTUN. Samarinda</t>
  </si>
  <si>
    <t>PA. Bontang</t>
  </si>
  <si>
    <t>PA. Sangatta</t>
  </si>
  <si>
    <t>PN. Bontang</t>
  </si>
  <si>
    <t>PN. Sangatta</t>
  </si>
  <si>
    <t>Dilmil. I - 07 di Balikpapan</t>
  </si>
  <si>
    <t>PN. Tanjung Selor</t>
  </si>
  <si>
    <t>PA. Nunukan</t>
  </si>
  <si>
    <t>PT. Manado</t>
  </si>
  <si>
    <t>PN. Manado</t>
  </si>
  <si>
    <t>PN. Kotamubago</t>
  </si>
  <si>
    <t>PN. Tahuna</t>
  </si>
  <si>
    <t>PN. Tondano</t>
  </si>
  <si>
    <t>PA. Manado</t>
  </si>
  <si>
    <t>PA. Kotamubagu</t>
  </si>
  <si>
    <t>PA. Tahuna</t>
  </si>
  <si>
    <t>PTA. Manado</t>
  </si>
  <si>
    <t>PA. Tondano</t>
  </si>
  <si>
    <t>PTUN. Manado</t>
  </si>
  <si>
    <t>PN. Bitung</t>
  </si>
  <si>
    <t>PA. Bitung</t>
  </si>
  <si>
    <t>DILMIL.  III - 17 di Manado</t>
  </si>
  <si>
    <t>PN. Airmadidi</t>
  </si>
  <si>
    <t>PN. Amurang</t>
  </si>
  <si>
    <t>PA. Amurang</t>
  </si>
  <si>
    <t>PN. Palu</t>
  </si>
  <si>
    <t>PN. Toli-Toli</t>
  </si>
  <si>
    <t>PN. Luwuk</t>
  </si>
  <si>
    <t>PN. Poso</t>
  </si>
  <si>
    <t>PA. Kodya Palu</t>
  </si>
  <si>
    <t>PA. Toli Toli</t>
  </si>
  <si>
    <t>PA. Poso</t>
  </si>
  <si>
    <t>PA. Luwuk</t>
  </si>
  <si>
    <t>PT. Palu</t>
  </si>
  <si>
    <t>PN. Donggala</t>
  </si>
  <si>
    <t>PTA. Palu</t>
  </si>
  <si>
    <t>PTUN. Palu</t>
  </si>
  <si>
    <t>PA. Palu Kab. Donggala</t>
  </si>
  <si>
    <t>PA. Buol</t>
  </si>
  <si>
    <t>PA. Bungku</t>
  </si>
  <si>
    <t>PA. Banggai</t>
  </si>
  <si>
    <t>PN. Buol</t>
  </si>
  <si>
    <t>PN. Parigi</t>
  </si>
  <si>
    <t>PA. Parigi</t>
  </si>
  <si>
    <t>PT. Makassar</t>
  </si>
  <si>
    <t xml:space="preserve">PN. Makassar </t>
  </si>
  <si>
    <t>PN. Sungguminasa</t>
  </si>
  <si>
    <t>PN. Pangkajene</t>
  </si>
  <si>
    <t>PN. Barru</t>
  </si>
  <si>
    <t>PN. Takalar</t>
  </si>
  <si>
    <t>PN. Maros</t>
  </si>
  <si>
    <t>PN. Jeneponto</t>
  </si>
  <si>
    <t>PN. Pare-Pare</t>
  </si>
  <si>
    <t>PN. Enrekang</t>
  </si>
  <si>
    <t>PN. Sidenreng Rappang</t>
  </si>
  <si>
    <t>PN. Pinrang</t>
  </si>
  <si>
    <t>PN. Watampone (Bone)</t>
  </si>
  <si>
    <t>PN. Watansoppeng</t>
  </si>
  <si>
    <t>PN. Sengkang</t>
  </si>
  <si>
    <t>PN. Bantaeng</t>
  </si>
  <si>
    <t>PN. Sinjai</t>
  </si>
  <si>
    <t>PN. Bulukumba</t>
  </si>
  <si>
    <t>PN. Selayar</t>
  </si>
  <si>
    <t>PN. Palopo</t>
  </si>
  <si>
    <t>PN. Makale</t>
  </si>
  <si>
    <t>PTA. Makassar</t>
  </si>
  <si>
    <t>PA. Pangkajene</t>
  </si>
  <si>
    <t>PA. Maros</t>
  </si>
  <si>
    <t>PA. Makassar</t>
  </si>
  <si>
    <t>PA. Jeneponto</t>
  </si>
  <si>
    <t>PA. Takalar</t>
  </si>
  <si>
    <t>PA. Barru</t>
  </si>
  <si>
    <t>PA. Sungguminasa</t>
  </si>
  <si>
    <t>PA. Watampone</t>
  </si>
  <si>
    <t>PA. Sengkang</t>
  </si>
  <si>
    <t>PA. Watansoppeng</t>
  </si>
  <si>
    <t>PA. Bantaeng</t>
  </si>
  <si>
    <t>PA. Bulukumba</t>
  </si>
  <si>
    <t>PA. Sinjai</t>
  </si>
  <si>
    <t>PA. Selayar</t>
  </si>
  <si>
    <t>PA. Pare-Pare</t>
  </si>
  <si>
    <t>PA. Pinrang</t>
  </si>
  <si>
    <t xml:space="preserve">PA. Enrekang </t>
  </si>
  <si>
    <t xml:space="preserve">PA. Sidenreng Rapang </t>
  </si>
  <si>
    <t>PA. Palopo</t>
  </si>
  <si>
    <t>PA. Makale</t>
  </si>
  <si>
    <t>PT. TUN. Makassar</t>
  </si>
  <si>
    <t>PTUN. Makassar</t>
  </si>
  <si>
    <t>PA. Masamba</t>
  </si>
  <si>
    <t>Dilmil. III-16 di Makassar</t>
  </si>
  <si>
    <t>PN. Masamba</t>
  </si>
  <si>
    <t>PN. Malili</t>
  </si>
  <si>
    <t>PN. Kendari</t>
  </si>
  <si>
    <t>PN. Bau-Bau</t>
  </si>
  <si>
    <t>PN. Raha</t>
  </si>
  <si>
    <t>PN. Kolaka</t>
  </si>
  <si>
    <t>PA. Kolaka</t>
  </si>
  <si>
    <t>PA. Raha</t>
  </si>
  <si>
    <t>PA. Kendari</t>
  </si>
  <si>
    <t>PA. Bau-Bau</t>
  </si>
  <si>
    <t>PT. Kendari</t>
  </si>
  <si>
    <t>PN. Una Aha</t>
  </si>
  <si>
    <t>PTA. Kendari</t>
  </si>
  <si>
    <t>PTUN. Kendari</t>
  </si>
  <si>
    <t>PA. Unaaha</t>
  </si>
  <si>
    <t>PN. Andoolo</t>
  </si>
  <si>
    <t>PN. Pasarwajo</t>
  </si>
  <si>
    <t>PA. Andoolo</t>
  </si>
  <si>
    <t>PA. Pasarwajo</t>
  </si>
  <si>
    <t>PT. Ambon</t>
  </si>
  <si>
    <t>PN. Ambon</t>
  </si>
  <si>
    <t>PN. Masohi</t>
  </si>
  <si>
    <t>PN. Tual</t>
  </si>
  <si>
    <t>PA. Ambon</t>
  </si>
  <si>
    <t>PA. Tual</t>
  </si>
  <si>
    <t>PA. Masohi</t>
  </si>
  <si>
    <t>PTA. Ambon</t>
  </si>
  <si>
    <t>PTUN. Ambon</t>
  </si>
  <si>
    <t>DILMIL.  III - 18 di Ambon</t>
  </si>
  <si>
    <t>PN. Saumlaki</t>
  </si>
  <si>
    <t>PT. Denpasar</t>
  </si>
  <si>
    <t>PN. Denpasar</t>
  </si>
  <si>
    <t>PN. Singaraja</t>
  </si>
  <si>
    <t>PN. Negara</t>
  </si>
  <si>
    <t>PN. Klungkung</t>
  </si>
  <si>
    <t>PN. Tabanan</t>
  </si>
  <si>
    <t>PN. Karangasem</t>
  </si>
  <si>
    <t>PN. Gianyar</t>
  </si>
  <si>
    <t>PN. Bangli</t>
  </si>
  <si>
    <t>PA. Denpasar</t>
  </si>
  <si>
    <t>PA. Singaraja</t>
  </si>
  <si>
    <t>PA. Bangli</t>
  </si>
  <si>
    <t>PA. Karangasem</t>
  </si>
  <si>
    <t>PA. Tabanan</t>
  </si>
  <si>
    <t>PA. Klungkung</t>
  </si>
  <si>
    <t>PA. Gianyar</t>
  </si>
  <si>
    <t>PTUN. Denpasar</t>
  </si>
  <si>
    <t>PA. Badung</t>
  </si>
  <si>
    <t>DILMIL.  III - 14 di Denpasar</t>
  </si>
  <si>
    <t>PN. Mataram</t>
  </si>
  <si>
    <t>PN. Raba/Bima</t>
  </si>
  <si>
    <t>PN. Sumbawa Besar</t>
  </si>
  <si>
    <t>PN. Selong</t>
  </si>
  <si>
    <t>PN. Dompu</t>
  </si>
  <si>
    <t>PN. Praya</t>
  </si>
  <si>
    <t>PA. Mataram</t>
  </si>
  <si>
    <t>PA. Sumbawa</t>
  </si>
  <si>
    <t>PA. Praya</t>
  </si>
  <si>
    <t>PA. Selong</t>
  </si>
  <si>
    <t>PA. Bima</t>
  </si>
  <si>
    <t>PA. Dompu</t>
  </si>
  <si>
    <t>PT. Mataram</t>
  </si>
  <si>
    <t>PTA. Mataram</t>
  </si>
  <si>
    <t>PTUN. Mataram</t>
  </si>
  <si>
    <t>PA. Giri Menang</t>
  </si>
  <si>
    <t>PA. Taliwang</t>
  </si>
  <si>
    <t>PN. Kupang</t>
  </si>
  <si>
    <t>PN. Atambua</t>
  </si>
  <si>
    <t>PN. So'e</t>
  </si>
  <si>
    <t>PN. Kefamenanu</t>
  </si>
  <si>
    <t>PN. Waingapu</t>
  </si>
  <si>
    <t>PN. Waikabubak</t>
  </si>
  <si>
    <t>PN. Ende</t>
  </si>
  <si>
    <t>PN. Maumere</t>
  </si>
  <si>
    <t>PA. Waikabubak</t>
  </si>
  <si>
    <t>PA. Kupang</t>
  </si>
  <si>
    <t>PA. Kalabahi</t>
  </si>
  <si>
    <t>PA. Ende</t>
  </si>
  <si>
    <t>PA. Waingapu</t>
  </si>
  <si>
    <t>PN. Larantuka</t>
  </si>
  <si>
    <t>PN. Ruteng</t>
  </si>
  <si>
    <t>PN. Bajawa</t>
  </si>
  <si>
    <t>PN. Kalabahi</t>
  </si>
  <si>
    <t>PT. Kupang</t>
  </si>
  <si>
    <t>PA. Larantuka</t>
  </si>
  <si>
    <t>PA. Ruteng</t>
  </si>
  <si>
    <t>PA. Atambua</t>
  </si>
  <si>
    <t>PA. Soe</t>
  </si>
  <si>
    <t>PA. Kefamenanu</t>
  </si>
  <si>
    <t>PA. Bajawa</t>
  </si>
  <si>
    <t>PA. Maumere</t>
  </si>
  <si>
    <t>PN. Lembata</t>
  </si>
  <si>
    <t>PN. Rote Ndao</t>
  </si>
  <si>
    <t>PTUN. Kupang</t>
  </si>
  <si>
    <t>PTA. Kupang</t>
  </si>
  <si>
    <t>PA. Lewoleba</t>
  </si>
  <si>
    <t>DILMIL.  III - 15 di Kupang</t>
  </si>
  <si>
    <t>PN. Oelamasi</t>
  </si>
  <si>
    <t>PA. Labuan Bajo</t>
  </si>
  <si>
    <t>PT. Jayapura</t>
  </si>
  <si>
    <t>PN. Jayapura</t>
  </si>
  <si>
    <t>PN. Wamena</t>
  </si>
  <si>
    <t>PN. Merauke</t>
  </si>
  <si>
    <t>PN. Biak</t>
  </si>
  <si>
    <t>PN. Nabire</t>
  </si>
  <si>
    <t>PN. Serui</t>
  </si>
  <si>
    <t>PTA. Jayapura</t>
  </si>
  <si>
    <t>PA. Jayapura</t>
  </si>
  <si>
    <t>PA. Biak</t>
  </si>
  <si>
    <t>PA. Nabire</t>
  </si>
  <si>
    <t>PA. Wamena</t>
  </si>
  <si>
    <t>PA. Serui</t>
  </si>
  <si>
    <t>PA. Merauke</t>
  </si>
  <si>
    <t>PTUN. Jayapura</t>
  </si>
  <si>
    <t>PA. Sentani</t>
  </si>
  <si>
    <t>PA. Mimika</t>
  </si>
  <si>
    <t>PA. Paniai</t>
  </si>
  <si>
    <t>PN. Timika</t>
  </si>
  <si>
    <t>Dilmil. III-19 di Jayapura</t>
  </si>
  <si>
    <t>PA. Arso</t>
  </si>
  <si>
    <t>PA. Manna</t>
  </si>
  <si>
    <t>PA. Curup</t>
  </si>
  <si>
    <t>PA. Argamakmur</t>
  </si>
  <si>
    <t>PA. Bengkulu</t>
  </si>
  <si>
    <t>PN. Bengkulu</t>
  </si>
  <si>
    <t>PN. Curup</t>
  </si>
  <si>
    <t>PN. Manna</t>
  </si>
  <si>
    <t>PN. Arga Makmur</t>
  </si>
  <si>
    <t>PT. Bengkulu</t>
  </si>
  <si>
    <t>PTA. Bengkulu</t>
  </si>
  <si>
    <t>PTUN. Bengkulu</t>
  </si>
  <si>
    <t>PN. Bintuhan</t>
  </si>
  <si>
    <t>PN. Tais</t>
  </si>
  <si>
    <t>PN. Kepahiang</t>
  </si>
  <si>
    <t>PN. Tubei</t>
  </si>
  <si>
    <t>PA. Lebong</t>
  </si>
  <si>
    <t>PN. Ternate</t>
  </si>
  <si>
    <t>PN. Tobelo</t>
  </si>
  <si>
    <t>PN. Labuhan Bacan (Labuha)</t>
  </si>
  <si>
    <t>PN. Soasio</t>
  </si>
  <si>
    <t>PA. Ternate</t>
  </si>
  <si>
    <t>PA. Morotai</t>
  </si>
  <si>
    <t>PA. Soasio</t>
  </si>
  <si>
    <t>PA. Labuhan Bacan (Labuha)</t>
  </si>
  <si>
    <t>PTA. Maluku Utara</t>
  </si>
  <si>
    <t>PT. Maluku Utara</t>
  </si>
  <si>
    <t>PN. Serang</t>
  </si>
  <si>
    <t>PN. Rangkas Bitung</t>
  </si>
  <si>
    <t>PN. Pandeglang</t>
  </si>
  <si>
    <t>PN. Tangerang</t>
  </si>
  <si>
    <t>PA. Serang</t>
  </si>
  <si>
    <t>PA. Pandeglang</t>
  </si>
  <si>
    <t>PA. Rangkas Bitung</t>
  </si>
  <si>
    <t>PA. Tangerang</t>
  </si>
  <si>
    <t>PTA. Banten</t>
  </si>
  <si>
    <t>PA. Tigaraksa</t>
  </si>
  <si>
    <t>PA. Cilegon</t>
  </si>
  <si>
    <t>PT. Banten</t>
  </si>
  <si>
    <t>PTUN. Serang</t>
  </si>
  <si>
    <t>PN. Pangkal Pinang</t>
  </si>
  <si>
    <t>PN. Sungai Liat</t>
  </si>
  <si>
    <t>PN. Tanjung Pandan</t>
  </si>
  <si>
    <t>PA. Pangkal Pinang</t>
  </si>
  <si>
    <t>PA. Tanjung Pandan</t>
  </si>
  <si>
    <t>PA. Sungai Liat</t>
  </si>
  <si>
    <t>PTA. Bangka Belitung</t>
  </si>
  <si>
    <t>PT. Bangka Belitung</t>
  </si>
  <si>
    <t>PA. Mentok</t>
  </si>
  <si>
    <t>PN. Gorontalo</t>
  </si>
  <si>
    <t>PA. Gorontalo</t>
  </si>
  <si>
    <t>PN. Limboto</t>
  </si>
  <si>
    <t>PA. Limboto</t>
  </si>
  <si>
    <t>PTA. Gorontalo</t>
  </si>
  <si>
    <t>PN. Tilamuta</t>
  </si>
  <si>
    <t>PA. Tilamuta</t>
  </si>
  <si>
    <t>PT. Gorontalo</t>
  </si>
  <si>
    <t>PN. Marisa</t>
  </si>
  <si>
    <t>PA. Marisa</t>
  </si>
  <si>
    <t>PN. Tanjung Pinang</t>
  </si>
  <si>
    <t>PN. Batam</t>
  </si>
  <si>
    <t>PA. Tanjung Pinang</t>
  </si>
  <si>
    <t>PA. Dabo Singkep</t>
  </si>
  <si>
    <t>PA. Tanjung Balai Karimun</t>
  </si>
  <si>
    <t>PA. Tarempa</t>
  </si>
  <si>
    <t>PA. Batam</t>
  </si>
  <si>
    <t>PA. Natuna</t>
  </si>
  <si>
    <t>PN. Tanjung Balai Karimun</t>
  </si>
  <si>
    <t>PN. Ranai</t>
  </si>
  <si>
    <t>PTUN. Tanjung Pinang</t>
  </si>
  <si>
    <t>PN. Manokwari</t>
  </si>
  <si>
    <t>PN. Sorong</t>
  </si>
  <si>
    <t>PN. Fak-Fak</t>
  </si>
  <si>
    <t>PA. Sorong</t>
  </si>
  <si>
    <t>PA. Fak-fak</t>
  </si>
  <si>
    <t>PA. Manokwari</t>
  </si>
  <si>
    <t>PN. Majene</t>
  </si>
  <si>
    <t>PN. Mamuju</t>
  </si>
  <si>
    <t>PN. Polewali</t>
  </si>
  <si>
    <t>PA. Polewali</t>
  </si>
  <si>
    <t xml:space="preserve">PA. Majene </t>
  </si>
  <si>
    <t>PA. Mamuju</t>
  </si>
  <si>
    <t>PN. Pasangkayu</t>
  </si>
  <si>
    <t>Kepaniteraan</t>
  </si>
  <si>
    <t>Badan Peradilan Umum</t>
  </si>
  <si>
    <t>PN. Semarang</t>
  </si>
  <si>
    <t>PN. Kab. Semarang di Ungaran</t>
  </si>
  <si>
    <t>PN. Kab. Tegal di Slawi</t>
  </si>
  <si>
    <t>PN. Pamekasan</t>
  </si>
  <si>
    <t>PN. Menggala</t>
  </si>
  <si>
    <t>Badan Peradilan Agama</t>
  </si>
  <si>
    <t>DILMILTAMA</t>
  </si>
  <si>
    <t>Badan Peradilan Militer dan TUN</t>
  </si>
  <si>
    <t>Badan Diklat Litbang Kumdil</t>
  </si>
  <si>
    <t>Badan Pengawasan</t>
  </si>
  <si>
    <t>Wilayah Jawa Timur (0500)</t>
  </si>
  <si>
    <t>URAIAN</t>
  </si>
  <si>
    <t>UNAUDITED</t>
  </si>
  <si>
    <t>MUTASI</t>
  </si>
  <si>
    <t>TAMBAH</t>
  </si>
  <si>
    <t>KURANG</t>
  </si>
  <si>
    <t>AUDITED</t>
  </si>
  <si>
    <t>No</t>
  </si>
  <si>
    <t>Nama Satker</t>
  </si>
  <si>
    <t>Nilai Koreksi</t>
  </si>
  <si>
    <t>Akun</t>
  </si>
  <si>
    <t>Wilayah / Provinsi</t>
  </si>
  <si>
    <t>Koreksi Nilai Laporan Barang Milik Negara</t>
  </si>
  <si>
    <t>PN. Kab. Magelang di Mungkid</t>
  </si>
  <si>
    <t>DILMILTI II - di Jakarta</t>
  </si>
  <si>
    <t>DILMIL.  II - 08 di Jakarta</t>
  </si>
  <si>
    <t>PN. Karangayar</t>
  </si>
  <si>
    <t>PA. Semarang</t>
  </si>
  <si>
    <t>PA. Boyolali</t>
  </si>
  <si>
    <t>PA. Sragen</t>
  </si>
  <si>
    <t>DILMIL.  II - 10 di Semarang</t>
  </si>
  <si>
    <t>PN. Nganjuk</t>
  </si>
  <si>
    <t>PN. Bangil</t>
  </si>
  <si>
    <t>PN. Madiun</t>
  </si>
  <si>
    <t>PA. Surabaya</t>
  </si>
  <si>
    <t>PA. Bawean</t>
  </si>
  <si>
    <t>PA. Kab. Kediri</t>
  </si>
  <si>
    <t>PA. Blitar</t>
  </si>
  <si>
    <t>PA. Sampang</t>
  </si>
  <si>
    <t>PT. TUN. Negara Surabaya</t>
  </si>
  <si>
    <t>PA. Malang Kab. Malang</t>
  </si>
  <si>
    <t>PN. Kab. Malang, Jawa Timur</t>
  </si>
  <si>
    <t>DILMIL.  Tinggi III di Surabaya</t>
  </si>
  <si>
    <t>DILMIL.  III - 12 di Surabaya</t>
  </si>
  <si>
    <t>DILMIL.  III - 13 di Madiun</t>
  </si>
  <si>
    <t>penyusutan peralatan dan mesin</t>
  </si>
  <si>
    <t>penyusutan gedung dan bangunan</t>
  </si>
  <si>
    <t>penyusutan jalan irigasi jaringan</t>
  </si>
  <si>
    <t>Penyusutan Aset tetap lainnya</t>
  </si>
  <si>
    <t>Penyusutan Aset Lain Lain</t>
  </si>
  <si>
    <t>Grand Total</t>
  </si>
  <si>
    <t>005030300099090000KD</t>
  </si>
  <si>
    <t>005030300099112000KD</t>
  </si>
  <si>
    <t>005030300099126000KD</t>
  </si>
  <si>
    <t>005030300400572000KD</t>
  </si>
  <si>
    <t>005030500099148000KD</t>
  </si>
  <si>
    <t>005030500099153000KD</t>
  </si>
  <si>
    <t>005030500099156000KD</t>
  </si>
  <si>
    <t>005030500099157000KD</t>
  </si>
  <si>
    <t>005030600099169000KD</t>
  </si>
  <si>
    <t>005030600099172000KD</t>
  </si>
  <si>
    <t>005030600099174000KD</t>
  </si>
  <si>
    <t>005030600099175000KD</t>
  </si>
  <si>
    <t>005030600099178000KD</t>
  </si>
  <si>
    <t>005030600099181000KD</t>
  </si>
  <si>
    <t>005030600099182000KD</t>
  </si>
  <si>
    <t>005030600099184000KD</t>
  </si>
  <si>
    <t>005030600099185000KD</t>
  </si>
  <si>
    <t>005030600099187000KD</t>
  </si>
  <si>
    <t>005030700099189000KD</t>
  </si>
  <si>
    <t>005030700099194000KD</t>
  </si>
  <si>
    <t>005030700099198000KD</t>
  </si>
  <si>
    <t>005030700672911000KD</t>
  </si>
  <si>
    <t>005030800099204000KD</t>
  </si>
  <si>
    <t>005030800099206000KD</t>
  </si>
  <si>
    <t>005030800400447000KD</t>
  </si>
  <si>
    <t>005030900477344000KD</t>
  </si>
  <si>
    <t>005031100672970000KD</t>
  </si>
  <si>
    <t>005031200099237000KD</t>
  </si>
  <si>
    <t>005031200400453000KD</t>
  </si>
  <si>
    <t>005031200477307000KD</t>
  </si>
  <si>
    <t>005031200663031000KD</t>
  </si>
  <si>
    <t>005031300099239000KD</t>
  </si>
  <si>
    <t>005031300099240000KD</t>
  </si>
  <si>
    <t>005031300670228000KD</t>
  </si>
  <si>
    <t>005031300670232000KD</t>
  </si>
  <si>
    <t>005031400679426000KD</t>
  </si>
  <si>
    <t>005031500099257000KD</t>
  </si>
  <si>
    <t>005031600099273000KD</t>
  </si>
  <si>
    <t>005031600099309000KD</t>
  </si>
  <si>
    <t>005031600477287000KD</t>
  </si>
  <si>
    <t>005031600477381000KD</t>
  </si>
  <si>
    <t>005031600662987000KD</t>
  </si>
  <si>
    <t>005031800099402000KD</t>
  </si>
  <si>
    <t>005032000099664000KD</t>
  </si>
  <si>
    <t>005032000681444000KD</t>
  </si>
  <si>
    <t>005032100099692000KD</t>
  </si>
  <si>
    <t>005032400400158000KD</t>
  </si>
  <si>
    <t>005032400477250000KD</t>
  </si>
  <si>
    <t>005032400673021000KD</t>
  </si>
  <si>
    <t>005032500400023000KD</t>
  </si>
  <si>
    <t>005032500400045000KD</t>
  </si>
  <si>
    <t>005032500400102000KD</t>
  </si>
  <si>
    <t>005032500400277000KD</t>
  </si>
  <si>
    <t>005033400689980000KD</t>
  </si>
  <si>
    <t>005041800309063000KD</t>
  </si>
  <si>
    <t>005042300309114000KD</t>
  </si>
  <si>
    <t>005050100526705000KD</t>
  </si>
  <si>
    <t>005050500663322000KD</t>
  </si>
  <si>
    <t>005050600578819000KD</t>
  </si>
  <si>
    <t>005050700663179000KD</t>
  </si>
  <si>
    <t>005051500531866000KD</t>
  </si>
  <si>
    <t>005051500663233000KD</t>
  </si>
  <si>
    <t>005051800578851000KD</t>
  </si>
  <si>
    <t>005051900526712000KD</t>
  </si>
  <si>
    <t>005052900690202000KD</t>
  </si>
  <si>
    <t>Penyusutan Peralatan dan Mesin</t>
  </si>
  <si>
    <t>Penyusutan Gedung dan Bangunan</t>
  </si>
  <si>
    <t>Penyusutan Jalan Irigasi Jaringan</t>
  </si>
  <si>
    <t>Penyusutan Aset Tetap Lainnya</t>
  </si>
  <si>
    <t>Extrakomptable</t>
  </si>
  <si>
    <t>Extrakom</t>
  </si>
  <si>
    <t>TOTAL ASET TETAP</t>
  </si>
  <si>
    <t>TOTAL PENYUSUTAN</t>
  </si>
  <si>
    <t>GRAND TOTAL</t>
  </si>
  <si>
    <t>Wilayah DKI Jakarta (0100)</t>
  </si>
  <si>
    <t>Wilayah Jawa Barat (0200)</t>
  </si>
  <si>
    <t>Wilayah Jawa Tengah (0300)</t>
  </si>
  <si>
    <t>Wilayah D.I Yogyakarta (0400)</t>
  </si>
  <si>
    <t>PN Kota Tasikmalaya</t>
  </si>
  <si>
    <t>PA Kota Banjar</t>
  </si>
  <si>
    <t>Wilayah Aceh (0600)</t>
  </si>
  <si>
    <t>Wilayah Sumatera Utara (0700)</t>
  </si>
  <si>
    <t>Wilayah Sumatera Barat (0800)</t>
  </si>
  <si>
    <t>Wilayah Riau (0900)</t>
  </si>
  <si>
    <t>Wilayah Jambi (1000)</t>
  </si>
  <si>
    <t>Wilayah Sumatera Selatan (1100)</t>
  </si>
  <si>
    <t>Wilayah Lampung (1200)</t>
  </si>
  <si>
    <t>Wilayah Kalimantan Barat (1300)</t>
  </si>
  <si>
    <t>Wilayah Kalimantan Tengah (1400)</t>
  </si>
  <si>
    <t>Wilayah Kalimantan Selatan (1500)</t>
  </si>
  <si>
    <t>Wilayah Kalimantan Timur (1600)</t>
  </si>
  <si>
    <t>Wilayah Sulawesi Utara (1700)</t>
  </si>
  <si>
    <t>Wilayah Sulawesi Tengah (1800)</t>
  </si>
  <si>
    <t>Wilayah Sulawesi Selatan (1900)</t>
  </si>
  <si>
    <t>Wilayah Sulawesi Tenggara (2000)</t>
  </si>
  <si>
    <t>Wilayah Maluku (2100)</t>
  </si>
  <si>
    <t>Wilayah Bali (2200)</t>
  </si>
  <si>
    <t>Wilayah Nusa Tenggara Barat (2300)</t>
  </si>
  <si>
    <t>Wilayah Nusa Tenggara Timur (2400)</t>
  </si>
  <si>
    <t>Wilayah Papua (2500)</t>
  </si>
  <si>
    <t>Wilayah Bengkulu (2600)</t>
  </si>
  <si>
    <t>Wilayah Maluku Utara (2800)</t>
  </si>
  <si>
    <t>Wilayah Banten (2900)</t>
  </si>
  <si>
    <t>Wilayah Bangka Belitung (3000)</t>
  </si>
  <si>
    <t>Wilayah Gorontalo (3100)</t>
  </si>
  <si>
    <t>Wilayah Tanjung Pinang (3200)</t>
  </si>
  <si>
    <t>Wilayah Papua Barat (3300)</t>
  </si>
  <si>
    <t>Wilayah Sulawesi Barat (3400)</t>
  </si>
  <si>
    <t>Peralatan dan mesin</t>
  </si>
  <si>
    <t>Kontruksi Dalam Pengerjaan</t>
  </si>
  <si>
    <t>Temuan Pemeriksaan BPK</t>
  </si>
  <si>
    <t>selisih</t>
  </si>
  <si>
    <t xml:space="preserve">Menurut BPK </t>
  </si>
  <si>
    <t>Nilai Koreksi Penyusutan</t>
  </si>
  <si>
    <t>Master Keterangan</t>
  </si>
  <si>
    <t>tindak lanjut ma</t>
  </si>
  <si>
    <t>aset</t>
  </si>
  <si>
    <t>penyusutan</t>
  </si>
  <si>
    <t>Koreksi BPK</t>
  </si>
  <si>
    <t>Penyusutan</t>
  </si>
  <si>
    <t>Aset Tetap</t>
  </si>
  <si>
    <t>Aset Lancar</t>
  </si>
  <si>
    <t>Total Penyusutan</t>
  </si>
  <si>
    <t>Total Aset</t>
  </si>
  <si>
    <t>Jenis</t>
  </si>
  <si>
    <t>Aset tak Berwujud</t>
  </si>
  <si>
    <t>Aset Tetap lainnya</t>
  </si>
  <si>
    <t>kode satker</t>
  </si>
  <si>
    <t>Unit Satuan Kerja Eselon 1 (0199)</t>
  </si>
  <si>
    <t>005010500098200000KD PN. Jember</t>
  </si>
  <si>
    <t>0100</t>
  </si>
  <si>
    <t>0200</t>
  </si>
  <si>
    <t>0300</t>
  </si>
  <si>
    <t>0400</t>
  </si>
  <si>
    <t>0500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</si>
  <si>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</si>
  <si>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</si>
  <si>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</si>
  <si>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</si>
  <si>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</si>
  <si>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</si>
  <si>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</si>
  <si>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</si>
  <si>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</si>
  <si>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</si>
  <si>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</si>
  <si>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</si>
  <si>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1800</t>
  </si>
  <si>
    <t>1900</t>
  </si>
  <si>
    <t>2000</t>
  </si>
  <si>
    <t>2100</t>
  </si>
  <si>
    <t>2200</t>
  </si>
  <si>
    <t>2300</t>
  </si>
  <si>
    <t>2400</t>
  </si>
  <si>
    <t>2500</t>
  </si>
  <si>
    <t>2600</t>
  </si>
  <si>
    <t>2800</t>
  </si>
  <si>
    <t>2900</t>
  </si>
  <si>
    <t>3000</t>
  </si>
  <si>
    <t>3100</t>
  </si>
  <si>
    <t>3200</t>
  </si>
  <si>
    <t>3300</t>
  </si>
  <si>
    <t>3400</t>
  </si>
  <si>
    <t>005030500099140000KD</t>
  </si>
  <si>
    <t>005030500099152000KD</t>
  </si>
  <si>
    <t>005030500099158000KD</t>
  </si>
  <si>
    <t>005030500099159000KD</t>
  </si>
  <si>
    <t>005030600099173000KD</t>
  </si>
  <si>
    <t>005030600099179000KD</t>
  </si>
  <si>
    <t>005030700099190000KD</t>
  </si>
  <si>
    <t>005030700099193000KD</t>
  </si>
  <si>
    <t>005031400099252000KD</t>
  </si>
  <si>
    <t>005031600670171000KD</t>
  </si>
  <si>
    <t>005031700099341000KD</t>
  </si>
  <si>
    <t>005031800477203000KD</t>
  </si>
  <si>
    <t>005032000099685000KD</t>
  </si>
  <si>
    <t>005032200099795000KD</t>
  </si>
  <si>
    <t>005032400240166000KD</t>
  </si>
  <si>
    <t>005032500400051000KD</t>
  </si>
  <si>
    <t>005032500400091000KD</t>
  </si>
  <si>
    <t>005032800099753000KD</t>
  </si>
  <si>
    <t>005033200099218000KD</t>
  </si>
  <si>
    <t>005040300400983000KD</t>
  </si>
  <si>
    <t>005040900402623000KD</t>
  </si>
  <si>
    <t>005040900402971000KD</t>
  </si>
  <si>
    <t>005041700402682000KD</t>
  </si>
  <si>
    <t>005041800690072000KD</t>
  </si>
  <si>
    <t>005042300309111000KD</t>
  </si>
  <si>
    <t>005042300402789000KD</t>
  </si>
  <si>
    <t>005042300614728000KD</t>
  </si>
  <si>
    <t>005052200663336000KD</t>
  </si>
  <si>
    <t>005052300578872000KD</t>
  </si>
  <si>
    <t xml:space="preserve"> </t>
  </si>
  <si>
    <t>PN. Lubuk Linggau</t>
  </si>
  <si>
    <t>sudah input</t>
  </si>
  <si>
    <t>Neraca Barang Milik Negara Tahun Anggaran 2015 (Audited)</t>
  </si>
  <si>
    <t>- = bertambah, + = Berkurang</t>
  </si>
  <si>
    <t>- = Berkurang, + = Bertambah</t>
  </si>
  <si>
    <t>TP. No 1</t>
  </si>
  <si>
    <t>TP. No 2</t>
  </si>
  <si>
    <t>TP. No 3</t>
  </si>
  <si>
    <t>TP. No 4</t>
  </si>
  <si>
    <t>TP. No 5</t>
  </si>
  <si>
    <t>Tp. No 6</t>
  </si>
  <si>
    <t>TP. No 7</t>
  </si>
  <si>
    <t>Tp. No 8</t>
  </si>
  <si>
    <t>Tp. No 9</t>
  </si>
  <si>
    <t>TP. No 10</t>
  </si>
  <si>
    <t>Tp. No 11</t>
  </si>
  <si>
    <t>TP Koreksi Hibah No. 1</t>
  </si>
  <si>
    <t>TP Koreksi Hibah No. 2</t>
  </si>
  <si>
    <t>TP Koreksi Hibah No. 3</t>
  </si>
  <si>
    <t>TP Koreksi Hibah No. 4</t>
  </si>
  <si>
    <t>TP Koreksi Hibah No. 5</t>
  </si>
  <si>
    <t>TP Koreksi Hibah No. 6</t>
  </si>
  <si>
    <t>TP Koreksi Hibah No. 7</t>
  </si>
  <si>
    <t>TP Koreksi Hibah No. 8</t>
  </si>
  <si>
    <t>TP Koreksi Hibah No. 9</t>
  </si>
  <si>
    <t>TP Koreksi Hibah No. 10</t>
  </si>
  <si>
    <t>TP Koreksi Hibah No. 11</t>
  </si>
  <si>
    <t>TP Koreksi Hibah No. 12</t>
  </si>
  <si>
    <t>TP Koreksi Hibah No. 13</t>
  </si>
  <si>
    <t>TP Koreksi Hibah No. 14</t>
  </si>
  <si>
    <t>TP Koreksi Hibah No. 15</t>
  </si>
  <si>
    <t>TP Koreksi Hibah No. 16</t>
  </si>
  <si>
    <t>TP Koreksi Hibah No. 17</t>
  </si>
  <si>
    <t>TP Koreksi Hibah No. 18</t>
  </si>
  <si>
    <t>TP Koreksi Hibah No. 19</t>
  </si>
  <si>
    <t>TP Koreksi Hibah No. 20</t>
  </si>
  <si>
    <t>TP Koreksi Hibah No. 21</t>
  </si>
  <si>
    <t>TP Koreksi Hibah No. 24</t>
  </si>
  <si>
    <t>TP Koreksi Hibah No. 25</t>
  </si>
  <si>
    <t>PN. Tanjung Redeb</t>
  </si>
  <si>
    <t>PN. Muara Teweh</t>
  </si>
  <si>
    <t xml:space="preserve">PA. Tanjung Karang </t>
  </si>
  <si>
    <t>MS. Tapaktuan</t>
  </si>
  <si>
    <t>PT. Tanjung Karang</t>
  </si>
  <si>
    <t>PN. Labuha</t>
  </si>
  <si>
    <t>PA. Sengeti</t>
  </si>
  <si>
    <t>Unaudited 15</t>
  </si>
  <si>
    <t>Audited 15</t>
  </si>
  <si>
    <t>005030500099164000KD</t>
  </si>
  <si>
    <t>005030500626157000KD</t>
  </si>
  <si>
    <t>005030600099170000KD</t>
  </si>
  <si>
    <t>005031400099250000KD</t>
  </si>
  <si>
    <t>005031500400261000KD</t>
  </si>
  <si>
    <t>005031500690019000KD</t>
  </si>
  <si>
    <t>005031600400303000KD</t>
  </si>
  <si>
    <t>005031600400529000KD</t>
  </si>
  <si>
    <t>005032400099931000KD</t>
  </si>
  <si>
    <t>005032400400164000KD</t>
  </si>
  <si>
    <t>005040800401901000KD</t>
  </si>
  <si>
    <t>005040900402133000KD</t>
  </si>
  <si>
    <t>005041400402475000KD</t>
  </si>
  <si>
    <t>005042100309100000KD</t>
  </si>
  <si>
    <t>005042200402758000KD</t>
  </si>
  <si>
    <t>005050500663315000KD</t>
  </si>
  <si>
    <t>005050700526747000KD</t>
  </si>
  <si>
    <t>005051100526751000KD</t>
  </si>
  <si>
    <t>005051300663226000KD</t>
  </si>
  <si>
    <t>005052500663382000KD</t>
  </si>
  <si>
    <t>005053200690197000KD</t>
  </si>
  <si>
    <t>01</t>
  </si>
  <si>
    <t>02</t>
  </si>
  <si>
    <t>03</t>
  </si>
  <si>
    <t>04</t>
  </si>
  <si>
    <t>05</t>
  </si>
  <si>
    <t>06</t>
  </si>
  <si>
    <t>07</t>
  </si>
  <si>
    <t>Total E1</t>
  </si>
  <si>
    <t>Tp. No 1</t>
  </si>
  <si>
    <t>TP. No 3, TP Koreksi Hibah No. 1</t>
  </si>
  <si>
    <t>TP. No 3, TP Koreksi Hibah No. 12</t>
  </si>
  <si>
    <t>TP. No 2, TP Koreksi Hibah No. 20</t>
  </si>
  <si>
    <t>TP. No 4, TP Koreksi Hibah No. 18</t>
  </si>
  <si>
    <t>Badan urusan Administrasi</t>
  </si>
  <si>
    <t>TP Koreksi 22</t>
  </si>
  <si>
    <t>Aset sudah tercatat transfer masuk di PTA Pekanbaru namun di PA Pekanbaru masih tercatat.</t>
  </si>
  <si>
    <t>Aset berupa kendaraan roda 4 sudah ditransfer keluar oleh Badilag namun belum tercatat di PA Cimahi</t>
  </si>
  <si>
    <t>Aset Berupa Buku sudah ditransfer oleh BUA namun belum tercatat di satker</t>
  </si>
  <si>
    <t>Aset Berupa logo sudah ditransfer oleh BUA namun belum tercatat di satker</t>
  </si>
  <si>
    <t>Terdapat KDP yang seharusnya sudah didefinitifkan</t>
  </si>
  <si>
    <t>Penambahan penyelesaian KDP</t>
  </si>
  <si>
    <t>Jurnal Raklasifikasi atas Aset Tetap Peralatan dan Mesin alat berat Crawler Tractor + Attachment yang seharusnya dicatat sebagai Aset Tetap Gedung dan Bangunan</t>
  </si>
  <si>
    <t>Koreksi dilakukan karena terdapat kurang catat Aset Tetap - Peralatan dan Mesin berupa pembelian dua unit tangga lipat alumunium @ sebesar Rp825.000,00 atau total sebesar Rp1.650.000,00</t>
  </si>
  <si>
    <t>Koreksi dilakukan karena terdapat lebih catat Aset Lain-lain berupa biaya sosialisasi dan pelatihan serta biaya pemeliharaan/maintanance senilai Rp83.710.000,00</t>
  </si>
  <si>
    <t xml:space="preserve">Koreksi dilakukan karena terdapat lebih catat Aset Tak Berwujud berupa biaya pelatihan serta biaya administrasi pada pengadaan empat aplikasi sebesar Rp26.325.000,00 </t>
  </si>
  <si>
    <t>Koreksi terhadap SK Penghapusan yang belum dikeluarkan dari pencatatan SIMAK</t>
  </si>
  <si>
    <t>Hibah yang belum dicatat</t>
  </si>
  <si>
    <t>Tahun Anggaran 2015 (Audited)</t>
  </si>
  <si>
    <t>Aset berupa kendaraan roda 4 sudah ditransfer keluar oleh Kepaniteraan namun belum tercatat di PA Tasikmalaya</t>
  </si>
  <si>
    <t>Aset berupa kendaraan roda 4 sudah ditransfer keluar oleh Kepaniteraan namun belum tercatat di PA Cibinong</t>
  </si>
  <si>
    <t>Aset berupa kendaraan roda 4 sudah ditransfer keluar oleh Balitbangdiklat namun belum tercatat di PTA Maluku Utara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</si>
</sst>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1" formatCode="_(* #,##0_);_(* \(#,##0\);_(* &quot;-&quot;_);_(@_)"/>
    <numFmt numFmtId="43" formatCode="_(* #,##0.00_);_(* \(#,##0.00\);_(* &quot;-&quot;??_);_(@_)"/>
  </numFmts>
  <fonts count="33">
    <font>
      <sz val="10"/>
      <name val="Arial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triel"/>
    </font>
    <font>
      <b/>
      <sz val="11"/>
      <name val="Arial"/>
      <family val="2"/>
    </font>
    <font>
      <b/>
      <sz val="15"/>
      <name val="Engravers MT"/>
      <family val="1"/>
    </font>
    <font>
      <b/>
      <sz val="12"/>
      <name val="Engravers MT"/>
      <family val="1"/>
    </font>
    <font>
      <sz val="13"/>
      <name val="Arial"/>
      <family val="2"/>
    </font>
    <font>
      <b/>
      <sz val="13"/>
      <name val="Arial"/>
      <family val="2"/>
    </font>
    <font>
      <b/>
      <sz val="15"/>
      <name val="Catriel"/>
    </font>
    <font>
      <sz val="8"/>
      <name val="Catriel"/>
    </font>
    <font>
      <b/>
      <sz val="8"/>
      <name val="Catriel"/>
    </font>
    <font>
      <sz val="8"/>
      <name val="Arial"/>
      <family val="2"/>
    </font>
    <font>
      <sz val="11"/>
      <color theme="1"/>
      <name val="Calibri"/>
      <family val="2"/>
      <charset val="1"/>
      <scheme val="minor"/>
    </font>
    <font>
      <sz val="12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charset val="1"/>
      <scheme val="minor"/>
    </font>
    <font>
      <b/>
      <sz val="10"/>
      <name val="Arial"/>
      <family val="2"/>
    </font>
    <font>
      <sz val="1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5">
    <xf numFmtId="0" fontId="0" fillId="0" borderId="0"/>
    <xf numFmtId="43" fontId="15" fillId="0" borderId="0" applyNumberForma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5" fillId="0" borderId="0"/>
    <xf numFmtId="0" fontId="27" fillId="0" borderId="0"/>
    <xf numFmtId="0" fontId="27" fillId="0" borderId="0"/>
    <xf numFmtId="0" fontId="14" fillId="0" borderId="0"/>
    <xf numFmtId="41" fontId="14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2" fillId="0" borderId="0"/>
  </cellStyleXfs>
  <cellXfs count="133">
    <xf numFmtId="0" fontId="0" fillId="0" borderId="0" xfId="0"/>
    <xf numFmtId="3" fontId="0" fillId="0" borderId="0" xfId="0" applyNumberFormat="1"/>
    <xf numFmtId="0" fontId="16" fillId="0" borderId="0" xfId="0" applyFont="1"/>
    <xf numFmtId="3" fontId="15" fillId="0" borderId="0" xfId="1" applyNumberFormat="1"/>
    <xf numFmtId="0" fontId="0" fillId="0" borderId="0" xfId="0" applyAlignment="1">
      <alignment vertical="center" wrapText="1"/>
    </xf>
    <xf numFmtId="3" fontId="15" fillId="0" borderId="0" xfId="1" applyNumberFormat="1" applyAlignment="1">
      <alignment vertical="center" wrapText="1"/>
    </xf>
    <xf numFmtId="3" fontId="0" fillId="0" borderId="0" xfId="0" applyNumberFormat="1" applyAlignment="1">
      <alignment vertical="center" wrapText="1"/>
    </xf>
    <xf numFmtId="0" fontId="15" fillId="0" borderId="0" xfId="0" applyFont="1" applyAlignment="1">
      <alignment vertical="center" wrapText="1"/>
    </xf>
    <xf numFmtId="0" fontId="17" fillId="0" borderId="0" xfId="0" applyFont="1" applyAlignment="1">
      <alignment vertical="top"/>
    </xf>
    <xf numFmtId="0" fontId="23" fillId="0" borderId="0" xfId="0" applyFont="1" applyAlignment="1">
      <alignment vertical="center"/>
    </xf>
    <xf numFmtId="3" fontId="17" fillId="0" borderId="0" xfId="0" applyNumberFormat="1" applyFont="1" applyAlignment="1">
      <alignment vertical="top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3" fontId="24" fillId="0" borderId="0" xfId="0" applyNumberFormat="1" applyFont="1" applyAlignment="1">
      <alignment vertical="center"/>
    </xf>
    <xf numFmtId="0" fontId="24" fillId="0" borderId="0" xfId="0" applyFont="1" applyAlignment="1">
      <alignment vertical="top"/>
    </xf>
    <xf numFmtId="3" fontId="25" fillId="0" borderId="1" xfId="0" applyNumberFormat="1" applyFont="1" applyBorder="1" applyAlignment="1">
      <alignment horizontal="center" vertical="center"/>
    </xf>
    <xf numFmtId="0" fontId="24" fillId="0" borderId="1" xfId="0" applyFont="1" applyBorder="1" applyAlignment="1">
      <alignment vertical="center" wrapText="1"/>
    </xf>
    <xf numFmtId="3" fontId="24" fillId="0" borderId="1" xfId="0" applyNumberFormat="1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3" fontId="25" fillId="0" borderId="1" xfId="0" applyNumberFormat="1" applyFont="1" applyBorder="1" applyAlignment="1">
      <alignment vertical="center"/>
    </xf>
    <xf numFmtId="0" fontId="15" fillId="0" borderId="0" xfId="0" applyFont="1"/>
    <xf numFmtId="0" fontId="26" fillId="0" borderId="1" xfId="0" applyFont="1" applyFill="1" applyBorder="1" applyAlignment="1">
      <alignment horizontal="left" vertical="top" wrapText="1"/>
    </xf>
    <xf numFmtId="0" fontId="14" fillId="0" borderId="0" xfId="8"/>
    <xf numFmtId="41" fontId="0" fillId="0" borderId="0" xfId="9" applyFont="1"/>
    <xf numFmtId="41" fontId="14" fillId="0" borderId="0" xfId="8" applyNumberFormat="1"/>
    <xf numFmtId="41" fontId="24" fillId="0" borderId="1" xfId="0" applyNumberFormat="1" applyFont="1" applyBorder="1" applyAlignment="1">
      <alignment vertical="center"/>
    </xf>
    <xf numFmtId="3" fontId="25" fillId="0" borderId="1" xfId="0" applyNumberFormat="1" applyFont="1" applyBorder="1" applyAlignment="1">
      <alignment horizontal="center" vertical="center"/>
    </xf>
    <xf numFmtId="41" fontId="15" fillId="0" borderId="0" xfId="9" applyFont="1"/>
    <xf numFmtId="41" fontId="17" fillId="0" borderId="0" xfId="10" applyFont="1" applyAlignment="1">
      <alignment vertical="top"/>
    </xf>
    <xf numFmtId="41" fontId="17" fillId="0" borderId="0" xfId="0" applyNumberFormat="1" applyFont="1" applyAlignment="1">
      <alignment vertical="top"/>
    </xf>
    <xf numFmtId="0" fontId="26" fillId="0" borderId="4" xfId="0" applyFont="1" applyFill="1" applyBorder="1" applyAlignment="1">
      <alignment horizontal="left" vertical="top" wrapText="1"/>
    </xf>
    <xf numFmtId="38" fontId="26" fillId="0" borderId="1" xfId="0" applyNumberFormat="1" applyFont="1" applyFill="1" applyBorder="1" applyAlignment="1">
      <alignment horizontal="right" vertical="top" wrapText="1"/>
    </xf>
    <xf numFmtId="0" fontId="26" fillId="0" borderId="0" xfId="0" applyFont="1" applyFill="1" applyAlignment="1">
      <alignment vertical="top"/>
    </xf>
    <xf numFmtId="41" fontId="26" fillId="0" borderId="0" xfId="10" applyFont="1" applyFill="1" applyAlignment="1">
      <alignment vertical="top"/>
    </xf>
    <xf numFmtId="0" fontId="26" fillId="0" borderId="0" xfId="0" quotePrefix="1" applyFont="1" applyFill="1" applyAlignment="1">
      <alignment vertical="top"/>
    </xf>
    <xf numFmtId="0" fontId="26" fillId="0" borderId="1" xfId="0" quotePrefix="1" applyFont="1" applyFill="1" applyBorder="1" applyAlignment="1">
      <alignment horizontal="center" vertical="top" wrapText="1"/>
    </xf>
    <xf numFmtId="0" fontId="15" fillId="0" borderId="0" xfId="1" applyNumberFormat="1" applyAlignment="1">
      <alignment vertical="top"/>
    </xf>
    <xf numFmtId="3" fontId="15" fillId="0" borderId="0" xfId="1" applyNumberFormat="1" applyAlignment="1">
      <alignment vertical="top"/>
    </xf>
    <xf numFmtId="0" fontId="30" fillId="0" borderId="0" xfId="8" applyFont="1" applyAlignment="1">
      <alignment vertical="center"/>
    </xf>
    <xf numFmtId="41" fontId="31" fillId="0" borderId="0" xfId="9" applyFont="1" applyAlignment="1">
      <alignment vertical="center"/>
    </xf>
    <xf numFmtId="3" fontId="25" fillId="0" borderId="1" xfId="0" applyNumberFormat="1" applyFont="1" applyBorder="1" applyAlignment="1">
      <alignment horizontal="center" vertical="center"/>
    </xf>
    <xf numFmtId="0" fontId="13" fillId="0" borderId="0" xfId="11"/>
    <xf numFmtId="41" fontId="13" fillId="0" borderId="0" xfId="11" applyNumberFormat="1"/>
    <xf numFmtId="0" fontId="15" fillId="0" borderId="0" xfId="11" applyFont="1"/>
    <xf numFmtId="0" fontId="13" fillId="0" borderId="0" xfId="11" applyAlignment="1">
      <alignment vertical="center" wrapText="1"/>
    </xf>
    <xf numFmtId="3" fontId="13" fillId="0" borderId="0" xfId="11" applyNumberFormat="1" applyAlignment="1">
      <alignment vertical="center" wrapText="1"/>
    </xf>
    <xf numFmtId="3" fontId="15" fillId="0" borderId="0" xfId="13" applyNumberFormat="1" applyFont="1" applyAlignment="1">
      <alignment vertical="center" wrapText="1"/>
    </xf>
    <xf numFmtId="0" fontId="12" fillId="0" borderId="0" xfId="14"/>
    <xf numFmtId="3" fontId="12" fillId="0" borderId="0" xfId="14" applyNumberFormat="1"/>
    <xf numFmtId="3" fontId="11" fillId="0" borderId="0" xfId="14" applyNumberFormat="1" applyFont="1"/>
    <xf numFmtId="0" fontId="11" fillId="0" borderId="0" xfId="14" applyFont="1"/>
    <xf numFmtId="41" fontId="13" fillId="0" borderId="0" xfId="10" applyFont="1"/>
    <xf numFmtId="0" fontId="10" fillId="0" borderId="0" xfId="11" quotePrefix="1" applyFont="1"/>
    <xf numFmtId="0" fontId="9" fillId="0" borderId="0" xfId="11" applyFont="1"/>
    <xf numFmtId="0" fontId="8" fillId="0" borderId="0" xfId="11" applyFont="1"/>
    <xf numFmtId="0" fontId="19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3" fontId="0" fillId="0" borderId="0" xfId="0" applyNumberFormat="1" applyFill="1" applyAlignment="1">
      <alignment vertical="center"/>
    </xf>
    <xf numFmtId="41" fontId="0" fillId="0" borderId="0" xfId="1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41" fontId="0" fillId="0" borderId="0" xfId="10" applyFont="1" applyFill="1"/>
    <xf numFmtId="0" fontId="18" fillId="0" borderId="5" xfId="0" applyFont="1" applyFill="1" applyBorder="1" applyAlignment="1">
      <alignment horizontal="left" vertical="center" wrapText="1"/>
    </xf>
    <xf numFmtId="0" fontId="18" fillId="0" borderId="5" xfId="0" applyFont="1" applyFill="1" applyBorder="1" applyAlignment="1">
      <alignment vertical="center" wrapText="1"/>
    </xf>
    <xf numFmtId="0" fontId="18" fillId="0" borderId="5" xfId="0" applyFont="1" applyFill="1" applyBorder="1" applyAlignment="1">
      <alignment horizontal="center" vertical="center" wrapText="1"/>
    </xf>
    <xf numFmtId="3" fontId="18" fillId="0" borderId="5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41" fontId="18" fillId="0" borderId="0" xfId="10" applyFont="1" applyFill="1" applyAlignment="1">
      <alignment vertical="center" wrapText="1"/>
    </xf>
    <xf numFmtId="0" fontId="0" fillId="0" borderId="6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15" fillId="0" borderId="7" xfId="0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center" vertical="top" wrapText="1"/>
    </xf>
    <xf numFmtId="3" fontId="0" fillId="0" borderId="7" xfId="0" applyNumberFormat="1" applyFill="1" applyBorder="1" applyAlignment="1">
      <alignment horizontal="right" vertical="top" wrapText="1"/>
    </xf>
    <xf numFmtId="0" fontId="15" fillId="0" borderId="8" xfId="0" applyFont="1" applyFill="1" applyBorder="1" applyAlignment="1">
      <alignment horizontal="left" vertical="top" wrapText="1"/>
    </xf>
    <xf numFmtId="0" fontId="21" fillId="0" borderId="6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left" vertical="center" wrapText="1"/>
    </xf>
    <xf numFmtId="0" fontId="21" fillId="0" borderId="7" xfId="0" applyFont="1" applyFill="1" applyBorder="1" applyAlignment="1">
      <alignment horizontal="center" vertical="center" wrapText="1"/>
    </xf>
    <xf numFmtId="3" fontId="28" fillId="0" borderId="7" xfId="0" applyNumberFormat="1" applyFont="1" applyFill="1" applyBorder="1" applyAlignment="1">
      <alignment horizontal="righ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/>
    </xf>
    <xf numFmtId="41" fontId="21" fillId="0" borderId="0" xfId="10" applyFont="1" applyFill="1" applyBorder="1" applyAlignment="1">
      <alignment vertical="center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left"/>
    </xf>
    <xf numFmtId="41" fontId="0" fillId="0" borderId="0" xfId="10" applyFont="1" applyFill="1" applyAlignment="1">
      <alignment vertical="center" wrapText="1"/>
    </xf>
    <xf numFmtId="41" fontId="0" fillId="0" borderId="0" xfId="10" applyFont="1" applyFill="1" applyAlignment="1">
      <alignment wrapText="1"/>
    </xf>
    <xf numFmtId="41" fontId="26" fillId="0" borderId="0" xfId="10" applyFont="1" applyFill="1" applyAlignment="1">
      <alignment vertical="top" wrapText="1"/>
    </xf>
    <xf numFmtId="0" fontId="26" fillId="0" borderId="0" xfId="0" applyFont="1" applyFill="1" applyAlignment="1">
      <alignment vertical="top" wrapText="1"/>
    </xf>
    <xf numFmtId="41" fontId="21" fillId="0" borderId="0" xfId="10" applyFont="1" applyFill="1" applyBorder="1" applyAlignment="1">
      <alignment vertical="center" wrapText="1"/>
    </xf>
    <xf numFmtId="0" fontId="7" fillId="0" borderId="0" xfId="8" applyFont="1"/>
    <xf numFmtId="38" fontId="0" fillId="0" borderId="0" xfId="0" applyNumberFormat="1" applyFill="1" applyAlignment="1">
      <alignment horizontal="left"/>
    </xf>
    <xf numFmtId="41" fontId="0" fillId="0" borderId="0" xfId="0" applyNumberFormat="1" applyFill="1" applyAlignment="1">
      <alignment horizontal="left"/>
    </xf>
    <xf numFmtId="3" fontId="25" fillId="0" borderId="1" xfId="0" applyNumberFormat="1" applyFont="1" applyBorder="1" applyAlignment="1">
      <alignment horizontal="center" vertical="center"/>
    </xf>
    <xf numFmtId="0" fontId="6" fillId="0" borderId="0" xfId="14" applyFont="1"/>
    <xf numFmtId="0" fontId="5" fillId="0" borderId="0" xfId="14" applyFont="1"/>
    <xf numFmtId="0" fontId="12" fillId="0" borderId="0" xfId="14" applyAlignment="1">
      <alignment vertical="top"/>
    </xf>
    <xf numFmtId="0" fontId="5" fillId="0" borderId="0" xfId="14" applyFont="1" applyAlignment="1">
      <alignment vertical="top"/>
    </xf>
    <xf numFmtId="3" fontId="12" fillId="0" borderId="0" xfId="14" applyNumberFormat="1" applyAlignment="1">
      <alignment vertical="top"/>
    </xf>
    <xf numFmtId="0" fontId="5" fillId="0" borderId="0" xfId="14" applyFont="1" applyAlignment="1">
      <alignment vertical="top" wrapText="1"/>
    </xf>
    <xf numFmtId="0" fontId="6" fillId="0" borderId="0" xfId="14" applyFont="1" applyAlignment="1">
      <alignment vertical="top" wrapText="1"/>
    </xf>
    <xf numFmtId="0" fontId="12" fillId="0" borderId="0" xfId="14" applyAlignment="1">
      <alignment vertical="top" wrapText="1"/>
    </xf>
    <xf numFmtId="0" fontId="11" fillId="0" borderId="0" xfId="14" applyFont="1" applyAlignment="1">
      <alignment vertical="top" wrapText="1"/>
    </xf>
    <xf numFmtId="3" fontId="0" fillId="0" borderId="0" xfId="0" quotePrefix="1" applyNumberFormat="1" applyFill="1" applyAlignment="1">
      <alignment vertical="center" wrapText="1"/>
    </xf>
    <xf numFmtId="38" fontId="26" fillId="0" borderId="1" xfId="0" applyNumberFormat="1" applyFont="1" applyFill="1" applyBorder="1" applyAlignment="1">
      <alignment horizontal="right" vertical="top"/>
    </xf>
    <xf numFmtId="38" fontId="26" fillId="0" borderId="1" xfId="0" applyNumberFormat="1" applyFont="1" applyFill="1" applyBorder="1" applyAlignment="1">
      <alignment horizontal="left" vertical="top" wrapText="1"/>
    </xf>
    <xf numFmtId="0" fontId="4" fillId="0" borderId="0" xfId="11" applyFont="1"/>
    <xf numFmtId="0" fontId="4" fillId="0" borderId="0" xfId="11" quotePrefix="1" applyFont="1"/>
    <xf numFmtId="0" fontId="4" fillId="0" borderId="0" xfId="14" applyFont="1" applyAlignment="1">
      <alignment vertical="top" wrapText="1"/>
    </xf>
    <xf numFmtId="0" fontId="3" fillId="0" borderId="0" xfId="14" applyFont="1"/>
    <xf numFmtId="3" fontId="12" fillId="2" borderId="0" xfId="14" applyNumberFormat="1" applyFill="1" applyAlignment="1">
      <alignment vertical="top"/>
    </xf>
    <xf numFmtId="0" fontId="2" fillId="0" borderId="0" xfId="14" applyFont="1" applyAlignment="1">
      <alignment vertical="top"/>
    </xf>
    <xf numFmtId="3" fontId="12" fillId="0" borderId="0" xfId="14" applyNumberFormat="1" applyFill="1" applyAlignment="1">
      <alignment vertical="top"/>
    </xf>
    <xf numFmtId="3" fontId="12" fillId="0" borderId="0" xfId="14" applyNumberFormat="1" applyFill="1"/>
    <xf numFmtId="0" fontId="12" fillId="0" borderId="0" xfId="14" applyFill="1"/>
    <xf numFmtId="41" fontId="13" fillId="3" borderId="0" xfId="10" applyFont="1" applyFill="1"/>
    <xf numFmtId="0" fontId="1" fillId="0" borderId="0" xfId="11" applyFont="1"/>
    <xf numFmtId="0" fontId="32" fillId="0" borderId="1" xfId="0" applyNumberFormat="1" applyFont="1" applyFill="1" applyBorder="1" applyAlignment="1">
      <alignment horizontal="left" vertical="top" wrapText="1"/>
    </xf>
    <xf numFmtId="0" fontId="32" fillId="4" borderId="9" xfId="0" applyNumberFormat="1" applyFont="1" applyFill="1" applyBorder="1" applyAlignment="1">
      <alignment horizontal="left" vertical="top" wrapText="1"/>
    </xf>
    <xf numFmtId="0" fontId="24" fillId="0" borderId="2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left" vertical="top" wrapText="1"/>
    </xf>
    <xf numFmtId="0" fontId="24" fillId="0" borderId="4" xfId="0" applyFont="1" applyBorder="1" applyAlignment="1">
      <alignment horizontal="left" vertical="top" wrapText="1"/>
    </xf>
    <xf numFmtId="0" fontId="25" fillId="0" borderId="2" xfId="0" applyFont="1" applyBorder="1" applyAlignment="1">
      <alignment horizontal="left" vertical="center"/>
    </xf>
    <xf numFmtId="0" fontId="25" fillId="0" borderId="4" xfId="0" applyFont="1" applyBorder="1" applyAlignment="1">
      <alignment horizontal="left" vertical="center"/>
    </xf>
    <xf numFmtId="3" fontId="25" fillId="0" borderId="2" xfId="0" applyNumberFormat="1" applyFont="1" applyBorder="1" applyAlignment="1">
      <alignment horizontal="center" vertical="center"/>
    </xf>
    <xf numFmtId="3" fontId="25" fillId="0" borderId="4" xfId="0" applyNumberFormat="1" applyFont="1" applyBorder="1" applyAlignment="1">
      <alignment horizontal="center" vertical="center"/>
    </xf>
    <xf numFmtId="3" fontId="25" fillId="0" borderId="6" xfId="0" applyNumberFormat="1" applyFont="1" applyBorder="1" applyAlignment="1">
      <alignment horizontal="center" vertical="center"/>
    </xf>
    <xf numFmtId="3" fontId="25" fillId="0" borderId="8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3" fontId="25" fillId="0" borderId="1" xfId="0" applyNumberFormat="1" applyFont="1" applyBorder="1" applyAlignment="1">
      <alignment horizontal="center" vertical="center"/>
    </xf>
  </cellXfs>
  <cellStyles count="15">
    <cellStyle name="Comma" xfId="1" builtinId="3"/>
    <cellStyle name="Comma [0]" xfId="10" builtinId="6"/>
    <cellStyle name="Comma [0] 2" xfId="4"/>
    <cellStyle name="Comma [0] 3" xfId="9"/>
    <cellStyle name="Comma [0] 4" xfId="12"/>
    <cellStyle name="Comma 2" xfId="3"/>
    <cellStyle name="Comma 3" xfId="13"/>
    <cellStyle name="Normal" xfId="0" builtinId="0"/>
    <cellStyle name="Normal 2" xfId="5"/>
    <cellStyle name="Normal 3" xfId="6"/>
    <cellStyle name="Normal 4" xfId="7"/>
    <cellStyle name="Normal 5" xfId="2"/>
    <cellStyle name="Normal 6" xfId="8"/>
    <cellStyle name="Normal 7" xfId="11"/>
    <cellStyle name="Normal 8" xfId="1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9"/>
  <sheetViews>
    <sheetView workbookViewId="0">
      <selection activeCell="E17" sqref="E17"/>
    </sheetView>
  </sheetViews>
  <sheetFormatPr defaultRowHeight="15"/>
  <cols>
    <col min="1" max="1" width="13.5703125" style="22" customWidth="1"/>
    <col min="2" max="2" width="32" style="22" bestFit="1" customWidth="1"/>
    <col min="3" max="3" width="19" style="23" bestFit="1" customWidth="1"/>
    <col min="4" max="4" width="17.7109375" style="23" bestFit="1" customWidth="1"/>
    <col min="5" max="6" width="19" style="23" bestFit="1" customWidth="1"/>
    <col min="7" max="7" width="19" style="22" bestFit="1" customWidth="1"/>
    <col min="8" max="8" width="9.140625" style="22"/>
    <col min="9" max="9" width="12" style="22" bestFit="1" customWidth="1"/>
    <col min="10" max="16384" width="9.140625" style="22"/>
  </cols>
  <sheetData>
    <row r="1" spans="1:7" s="38" customFormat="1" ht="33" customHeight="1">
      <c r="A1" s="38" t="s">
        <v>2146</v>
      </c>
      <c r="B1" s="38" t="s">
        <v>1991</v>
      </c>
      <c r="C1" s="39" t="s">
        <v>2261</v>
      </c>
      <c r="D1" s="39" t="s">
        <v>2140</v>
      </c>
      <c r="E1" s="39" t="s">
        <v>2262</v>
      </c>
      <c r="F1" s="39" t="s">
        <v>2134</v>
      </c>
      <c r="G1" s="39" t="s">
        <v>2133</v>
      </c>
    </row>
    <row r="2" spans="1:7">
      <c r="A2" s="22" t="s">
        <v>2143</v>
      </c>
      <c r="B2" s="92" t="s">
        <v>1165</v>
      </c>
      <c r="C2" s="23">
        <f>'Neraca Unaudited SIMAK'!C$1272</f>
        <v>11081339762</v>
      </c>
      <c r="D2" s="23">
        <f>SUMIFS('Daftar Koreksi'!$H$5:$H$92,'Daftar Koreksi'!$G$5:$G$92,B2)</f>
        <v>0</v>
      </c>
      <c r="E2" s="23">
        <f>SUM(C2:D2)</f>
        <v>11081339762</v>
      </c>
      <c r="F2" s="23">
        <v>11081339762</v>
      </c>
      <c r="G2" s="24">
        <f t="shared" ref="G2:G18" si="0">E2-F2</f>
        <v>0</v>
      </c>
    </row>
    <row r="3" spans="1:7">
      <c r="A3" s="22" t="s">
        <v>2142</v>
      </c>
      <c r="B3" s="92" t="s">
        <v>1166</v>
      </c>
      <c r="C3" s="23">
        <f>'Neraca Unaudited SIMAK'!D$1272</f>
        <v>4624572465545</v>
      </c>
      <c r="D3" s="23">
        <f>SUMIFS('Daftar Koreksi'!$H$5:$H$92,'Daftar Koreksi'!$G$5:$G$92,B3)</f>
        <v>261949007</v>
      </c>
      <c r="E3" s="23">
        <f t="shared" ref="E3:E16" si="1">SUM(C3:D3)</f>
        <v>4624834414552</v>
      </c>
      <c r="F3" s="23">
        <v>4624834414552</v>
      </c>
      <c r="G3" s="24">
        <f t="shared" si="0"/>
        <v>0</v>
      </c>
    </row>
    <row r="4" spans="1:7">
      <c r="A4" s="22" t="s">
        <v>2142</v>
      </c>
      <c r="B4" s="92" t="s">
        <v>1167</v>
      </c>
      <c r="C4" s="23">
        <f>'Neraca Unaudited SIMAK'!E$1272</f>
        <v>2155841525279</v>
      </c>
      <c r="D4" s="23">
        <f>SUMIFS('Daftar Koreksi'!$H$5:$H$92,'Daftar Koreksi'!$G$5:$G$92,B4)</f>
        <v>1910005553</v>
      </c>
      <c r="E4" s="23">
        <f t="shared" si="1"/>
        <v>2157751530832</v>
      </c>
      <c r="F4" s="23">
        <v>2157751530832</v>
      </c>
      <c r="G4" s="24">
        <f t="shared" si="0"/>
        <v>0</v>
      </c>
    </row>
    <row r="5" spans="1:7">
      <c r="A5" s="22" t="s">
        <v>2142</v>
      </c>
      <c r="B5" s="22" t="s">
        <v>1168</v>
      </c>
      <c r="C5" s="23">
        <f>'Neraca Unaudited SIMAK'!F$1272</f>
        <v>6350911701339</v>
      </c>
      <c r="D5" s="23">
        <f>SUMIFS('Daftar Koreksi'!$H$5:$H$92,'Daftar Koreksi'!$G$5:$G$92,B5)</f>
        <v>-747599101</v>
      </c>
      <c r="E5" s="23">
        <f t="shared" si="1"/>
        <v>6350164102238</v>
      </c>
      <c r="F5" s="23">
        <v>6350164102238</v>
      </c>
      <c r="G5" s="24">
        <f t="shared" si="0"/>
        <v>0</v>
      </c>
    </row>
    <row r="6" spans="1:7">
      <c r="A6" s="22" t="s">
        <v>2142</v>
      </c>
      <c r="B6" s="22" t="s">
        <v>1169</v>
      </c>
      <c r="C6" s="23">
        <f>'Neraca Unaudited SIMAK'!G$1272</f>
        <v>213986828068</v>
      </c>
      <c r="D6" s="23">
        <f>SUMIFS('Daftar Koreksi'!$H$5:$H$92,'Daftar Koreksi'!$G$5:$G$92,B6)</f>
        <v>0</v>
      </c>
      <c r="E6" s="23">
        <f t="shared" si="1"/>
        <v>213986828068</v>
      </c>
      <c r="F6" s="23">
        <v>213986828068</v>
      </c>
      <c r="G6" s="24">
        <f t="shared" si="0"/>
        <v>0</v>
      </c>
    </row>
    <row r="7" spans="1:7">
      <c r="A7" s="22" t="s">
        <v>2142</v>
      </c>
      <c r="B7" s="22" t="s">
        <v>1170</v>
      </c>
      <c r="C7" s="23">
        <f>'Neraca Unaudited SIMAK'!H$1272</f>
        <v>60407833305</v>
      </c>
      <c r="D7" s="23">
        <f>SUMIFS('Daftar Koreksi'!$H$5:$H$92,'Daftar Koreksi'!$G$5:$G$92,B7)</f>
        <v>126525416</v>
      </c>
      <c r="E7" s="23">
        <f t="shared" si="1"/>
        <v>60534358721</v>
      </c>
      <c r="F7" s="23">
        <v>60534358721</v>
      </c>
      <c r="G7" s="24">
        <f t="shared" si="0"/>
        <v>0</v>
      </c>
    </row>
    <row r="8" spans="1:7">
      <c r="A8" s="22" t="s">
        <v>2142</v>
      </c>
      <c r="B8" s="22" t="s">
        <v>2131</v>
      </c>
      <c r="C8" s="23">
        <f>'Neraca Unaudited SIMAK'!I$1272</f>
        <v>510237965667</v>
      </c>
      <c r="D8" s="23">
        <f>SUMIFS('Daftar Koreksi'!$H$5:$H$92,'Daftar Koreksi'!$G$5:$G$92,B8)</f>
        <v>-176507500</v>
      </c>
      <c r="E8" s="23">
        <f t="shared" si="1"/>
        <v>510061458167</v>
      </c>
      <c r="F8" s="23">
        <v>510061458167</v>
      </c>
      <c r="G8" s="24">
        <f t="shared" si="0"/>
        <v>0</v>
      </c>
    </row>
    <row r="9" spans="1:7">
      <c r="A9" s="22" t="s">
        <v>2142</v>
      </c>
      <c r="B9" s="22" t="s">
        <v>1172</v>
      </c>
      <c r="C9" s="23">
        <f>'Neraca Unaudited SIMAK'!J$1272</f>
        <v>29199429629</v>
      </c>
      <c r="D9" s="23">
        <f>SUMIFS('Daftar Koreksi'!$H$5:$H$92,'Daftar Koreksi'!$G$5:$G$92,B9)</f>
        <v>-110035000</v>
      </c>
      <c r="E9" s="23">
        <f t="shared" si="1"/>
        <v>29089394629</v>
      </c>
      <c r="F9" s="23">
        <v>29089394629</v>
      </c>
      <c r="G9" s="24">
        <f t="shared" si="0"/>
        <v>0</v>
      </c>
    </row>
    <row r="10" spans="1:7">
      <c r="A10" s="22" t="s">
        <v>2142</v>
      </c>
      <c r="B10" s="22" t="s">
        <v>1173</v>
      </c>
      <c r="C10" s="23">
        <f>'Neraca Unaudited SIMAK'!K$1272</f>
        <v>85881409268</v>
      </c>
      <c r="D10" s="23">
        <f>SUMIFS('Daftar Koreksi'!$H$5:$H$92,'Daftar Koreksi'!$G$5:$G$92,B10)</f>
        <v>0</v>
      </c>
      <c r="E10" s="23">
        <f t="shared" si="1"/>
        <v>85881409268</v>
      </c>
      <c r="F10" s="23">
        <v>85881409268</v>
      </c>
      <c r="G10" s="24">
        <f t="shared" si="0"/>
        <v>0</v>
      </c>
    </row>
    <row r="11" spans="1:7">
      <c r="B11" s="22" t="s">
        <v>2145</v>
      </c>
      <c r="C11" s="23">
        <f>SUM(C2:C10)</f>
        <v>14042120497862</v>
      </c>
      <c r="D11" s="23">
        <f>SUM(D2:D10)</f>
        <v>1264338375</v>
      </c>
      <c r="E11" s="23">
        <f>SUM(E2:E10)</f>
        <v>14043384836237</v>
      </c>
      <c r="F11" s="23">
        <v>14043384836237</v>
      </c>
      <c r="G11" s="24">
        <f t="shared" si="0"/>
        <v>0</v>
      </c>
    </row>
    <row r="12" spans="1:7">
      <c r="A12" s="22" t="s">
        <v>2141</v>
      </c>
      <c r="B12" s="22" t="s">
        <v>2130</v>
      </c>
      <c r="C12" s="23">
        <f>'Neraca Unaudited SIMAK'!M$1272</f>
        <v>-1730361583957</v>
      </c>
      <c r="D12" s="23">
        <f>SUMIFS('Daftar Koreksi'!$I$5:$I$92,'Daftar Koreksi'!$G$5:$G$92,'perkiraan neraca audited KL'!B12)</f>
        <v>-995173957</v>
      </c>
      <c r="E12" s="23">
        <f t="shared" si="1"/>
        <v>-1731356757914</v>
      </c>
      <c r="F12" s="23">
        <v>-1731387374886</v>
      </c>
      <c r="G12" s="24">
        <f t="shared" si="0"/>
        <v>30616972</v>
      </c>
    </row>
    <row r="13" spans="1:7">
      <c r="A13" s="22" t="s">
        <v>2141</v>
      </c>
      <c r="B13" s="22" t="s">
        <v>1168</v>
      </c>
      <c r="C13" s="23">
        <f>'Neraca Unaudited SIMAK'!N$1272</f>
        <v>-1184356734437</v>
      </c>
      <c r="D13" s="23">
        <f>SUMIFS('Daftar Koreksi'!$I$5:$I$92,'Daftar Koreksi'!$G$5:$G$92,'perkiraan neraca audited KL'!B13)</f>
        <v>1890115930</v>
      </c>
      <c r="E13" s="23">
        <f t="shared" si="1"/>
        <v>-1182466618507</v>
      </c>
      <c r="F13" s="23">
        <v>-1182475765354</v>
      </c>
      <c r="G13" s="24">
        <f t="shared" si="0"/>
        <v>9146847</v>
      </c>
    </row>
    <row r="14" spans="1:7">
      <c r="A14" s="22" t="s">
        <v>2141</v>
      </c>
      <c r="B14" s="22" t="s">
        <v>1169</v>
      </c>
      <c r="C14" s="23">
        <f>'Neraca Unaudited SIMAK'!O$1272</f>
        <v>-72404028615</v>
      </c>
      <c r="D14" s="23">
        <f>SUMIFS('Daftar Koreksi'!$I$5:$I$92,'Daftar Koreksi'!$G$5:$G$92,'perkiraan neraca audited KL'!B14)</f>
        <v>0</v>
      </c>
      <c r="E14" s="23">
        <f t="shared" si="1"/>
        <v>-72404028615</v>
      </c>
      <c r="F14" s="23">
        <v>-72404028615</v>
      </c>
      <c r="G14" s="24">
        <f t="shared" si="0"/>
        <v>0</v>
      </c>
    </row>
    <row r="15" spans="1:7">
      <c r="A15" s="22" t="s">
        <v>2141</v>
      </c>
      <c r="B15" s="22" t="s">
        <v>1170</v>
      </c>
      <c r="C15" s="23">
        <f>'Neraca Unaudited SIMAK'!P$1272</f>
        <v>-535168605</v>
      </c>
      <c r="D15" s="23">
        <f>SUMIFS('Daftar Koreksi'!$I$5:$I$92,'Daftar Koreksi'!$G$5:$G$92,'perkiraan neraca audited KL'!B15)</f>
        <v>-375000</v>
      </c>
      <c r="E15" s="23">
        <f t="shared" si="1"/>
        <v>-535543605</v>
      </c>
      <c r="F15" s="23">
        <v>-535543605</v>
      </c>
      <c r="G15" s="24">
        <f t="shared" si="0"/>
        <v>0</v>
      </c>
    </row>
    <row r="16" spans="1:7">
      <c r="A16" s="22" t="s">
        <v>2141</v>
      </c>
      <c r="B16" s="22" t="s">
        <v>1173</v>
      </c>
      <c r="C16" s="23">
        <f>'Neraca Unaudited SIMAK'!Q$1272</f>
        <v>-67260884867</v>
      </c>
      <c r="D16" s="23">
        <f>SUMIFS('Daftar Koreksi'!$I$5:$I$92,'Daftar Koreksi'!$G$5:$G$92,'perkiraan neraca audited KL'!B16)</f>
        <v>0</v>
      </c>
      <c r="E16" s="23">
        <f t="shared" si="1"/>
        <v>-67260884867</v>
      </c>
      <c r="F16" s="23">
        <v>-67260884867</v>
      </c>
      <c r="G16" s="24">
        <f t="shared" si="0"/>
        <v>0</v>
      </c>
    </row>
    <row r="17" spans="2:7">
      <c r="B17" s="22" t="s">
        <v>2144</v>
      </c>
      <c r="C17" s="23">
        <f>SUM(C12:C16)</f>
        <v>-3054918400481</v>
      </c>
      <c r="D17" s="23">
        <f>SUM(D12:D16)</f>
        <v>894566973</v>
      </c>
      <c r="E17" s="23">
        <f>SUM(E12:E16)</f>
        <v>-3054023833508</v>
      </c>
      <c r="F17" s="23">
        <v>-3053653403039</v>
      </c>
      <c r="G17" s="24">
        <f t="shared" si="0"/>
        <v>-370430469</v>
      </c>
    </row>
    <row r="18" spans="2:7">
      <c r="B18" s="22" t="s">
        <v>2021</v>
      </c>
      <c r="C18" s="27">
        <f>C11+C17</f>
        <v>10987202097381</v>
      </c>
      <c r="D18" s="27">
        <f>D11+D17</f>
        <v>2158905348</v>
      </c>
      <c r="E18" s="27">
        <f>E11+E17</f>
        <v>10989361002729</v>
      </c>
      <c r="F18" s="27">
        <v>10989731433198</v>
      </c>
      <c r="G18" s="24">
        <f t="shared" si="0"/>
        <v>-370430469</v>
      </c>
    </row>
    <row r="19" spans="2:7">
      <c r="B19" s="22" t="s">
        <v>2092</v>
      </c>
      <c r="D19" s="22"/>
      <c r="E19" s="22"/>
      <c r="F19" s="2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10"/>
  <sheetViews>
    <sheetView view="pageBreakPreview" topLeftCell="C189" zoomScale="90" zoomScaleSheetLayoutView="90" workbookViewId="0">
      <selection activeCell="C205" sqref="C205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151</v>
      </c>
      <c r="P1" s="8" t="s">
        <v>1304</v>
      </c>
    </row>
    <row r="2" spans="1:16" ht="19.5" customHeight="1">
      <c r="C2" s="9" t="s">
        <v>2099</v>
      </c>
      <c r="O2" s="8" t="s">
        <v>152</v>
      </c>
      <c r="P2" s="8" t="s">
        <v>1305</v>
      </c>
    </row>
    <row r="3" spans="1:16" ht="19.5" customHeight="1">
      <c r="O3" s="8" t="s">
        <v>153</v>
      </c>
      <c r="P3" s="8" t="s">
        <v>1306</v>
      </c>
    </row>
    <row r="4" spans="1:16" ht="19.5" customHeight="1">
      <c r="A4" s="11" t="str">
        <f>O1</f>
        <v>005010400098057000KD</v>
      </c>
      <c r="B4" s="11" t="str">
        <f>P1</f>
        <v>PN. Yogyakarta</v>
      </c>
      <c r="C4" s="12" t="str">
        <f>A4&amp;" "&amp;B4</f>
        <v>005010400098057000KD PN. Yogyakarta</v>
      </c>
      <c r="D4" s="13"/>
      <c r="E4" s="13"/>
      <c r="F4" s="13"/>
      <c r="G4" s="13"/>
      <c r="H4" s="11"/>
      <c r="O4" s="8" t="s">
        <v>154</v>
      </c>
      <c r="P4" s="8" t="s">
        <v>1307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155</v>
      </c>
      <c r="P5" s="8" t="s">
        <v>1308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156</v>
      </c>
      <c r="P6" s="8" t="s">
        <v>1309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20073550</v>
      </c>
      <c r="E7" s="25">
        <f>SUMIFS('Daftar Koreksi'!$H$5:$H$92,'Daftar Koreksi'!$D$5:$D$92,'0400'!A4,'Daftar Koreksi'!$G$5:$G$92,"Persediaan",'Daftar Koreksi'!$H$5:$H$92,"&gt;0")</f>
        <v>0</v>
      </c>
      <c r="F7" s="25">
        <f>SUMIFS('Daftar Koreksi'!$H$5:$H$92,'Daftar Koreksi'!$D$5:$D$92,'0400'!A4,'Daftar Koreksi'!$G$5:$G$92,"Persediaan",'Daftar Koreksi'!$H$5:$H$92,"&lt;0")-SUMIFS('Daftar Koreksi'!$H$5:$H$92,'Daftar Koreksi'!$D$5:$D$92,'0400'!A4,'Daftar Koreksi'!$G$5:$G$92,"Persediaan",'Daftar Koreksi'!$H$5:$H$92,"&lt;0")-SUMIFS('Daftar Koreksi'!$H$5:$H$92,'Daftar Koreksi'!$D$5:$D$92,'0400'!A4,'Daftar Koreksi'!$G$5:$G$92,"Persediaan",'Daftar Koreksi'!$H$5:$H$92,"&lt;0")</f>
        <v>0</v>
      </c>
      <c r="G7" s="17">
        <f>D7+E7-F7</f>
        <v>20073550</v>
      </c>
      <c r="H7" s="121" t="str">
        <f>IF(ISNA(VLOOKUP(A4,'Mutasi Neraca'!$A$3:$S$914,19,FALSE)),"-",VLOOKUP(A4,'Mutasi Neraca'!$A$3:$S$914,19,FALSE))</f>
        <v>TP. No 3</v>
      </c>
      <c r="O7" s="8" t="s">
        <v>157</v>
      </c>
      <c r="P7" s="8" t="s">
        <v>1310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26622419160</v>
      </c>
      <c r="E8" s="25">
        <f>SUMIFS('Daftar Koreksi'!$H$5:$H$92,'Daftar Koreksi'!$D$5:$D$92,'0400'!A4,'Daftar Koreksi'!$G$5:$G$92,"Tanah",'Daftar Koreksi'!$H$5:$H$92,"&gt;0")</f>
        <v>0</v>
      </c>
      <c r="F8" s="25">
        <f>SUMIFS('Daftar Koreksi'!$H$5:$H$92,'Daftar Koreksi'!$D$5:$D$92,'0400'!A4,'Daftar Koreksi'!$G$5:$G$92,"Tanah",'Daftar Koreksi'!$H$5:$H$92,"&lt;0")-SUMIFS('Daftar Koreksi'!$H$5:$H$92,'Daftar Koreksi'!$D$5:$D$92,'0400'!A4,'Daftar Koreksi'!$G$5:$G$92,"Tanah",'Daftar Koreksi'!$H$5:$H$92,"&lt;0")-SUMIFS('Daftar Koreksi'!$H$5:$H$92,'Daftar Koreksi'!$D$5:$D$92,'0400'!A4,'Daftar Koreksi'!$G$5:$G$92,"Tanah",'Daftar Koreksi'!$H$5:$H$92,"&lt;0")</f>
        <v>0</v>
      </c>
      <c r="G8" s="17">
        <f t="shared" ref="G8:G24" si="0">D8+E8-F8</f>
        <v>26622419160</v>
      </c>
      <c r="H8" s="122"/>
      <c r="O8" s="8" t="s">
        <v>158</v>
      </c>
      <c r="P8" s="8" t="s">
        <v>1311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4318542407</v>
      </c>
      <c r="E9" s="25">
        <f>SUMIFS('Daftar Koreksi'!$H$5:$H$92,'Daftar Koreksi'!$D$5:$D$92,'0400'!A4,'Daftar Koreksi'!$G$5:$G$92,"Peralatan dan mesin",'Daftar Koreksi'!$H$5:$H$92,"&gt;0")</f>
        <v>0</v>
      </c>
      <c r="F9" s="25">
        <f>SUMIFS('Daftar Koreksi'!$H$5:$H$92,'Daftar Koreksi'!$D$5:$D$92,'0400'!A4,'Daftar Koreksi'!$G$5:$G$92,"Peralatan dan mesin",'Daftar Koreksi'!$H$5:$H$92,"&lt;0")-SUMIFS('Daftar Koreksi'!$H$5:$H$92,'Daftar Koreksi'!$D$5:$D$92,'0400'!A4,'Daftar Koreksi'!$G$5:$G$92,"Peralatan dan mesin",'Daftar Koreksi'!$H$5:$H$92,"&lt;0")-SUMIFS('Daftar Koreksi'!$H$5:$H$92,'Daftar Koreksi'!$D$5:$D$92,'0400'!A4,'Daftar Koreksi'!$G$5:$G$92,"Peralatan dan mesin",'Daftar Koreksi'!$H$5:$H$92,"&lt;0")</f>
        <v>0</v>
      </c>
      <c r="G9" s="17">
        <f t="shared" si="0"/>
        <v>4318542407</v>
      </c>
      <c r="H9" s="122"/>
      <c r="O9" s="8" t="s">
        <v>159</v>
      </c>
      <c r="P9" s="8" t="s">
        <v>1312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12221212450</v>
      </c>
      <c r="E10" s="25">
        <f>SUMIFS('Daftar Koreksi'!$H$5:$H$92,'Daftar Koreksi'!$D$5:$D$92,'0400'!A4,'Daftar Koreksi'!$G$5:$G$92,"Gedung dan Bangunan",'Daftar Koreksi'!$H$5:$H$92,"&gt;0")</f>
        <v>0</v>
      </c>
      <c r="F10" s="25">
        <f>SUMIFS('Daftar Koreksi'!$H$5:$H$92,'Daftar Koreksi'!$D$5:$D$92,'0400'!A4,'Daftar Koreksi'!$G$5:$G$92,"Gedung dan Bangunan",'Daftar Koreksi'!$H$5:$H$92,"&lt;0")-SUMIFS('Daftar Koreksi'!$H$5:$H$92,'Daftar Koreksi'!$D$5:$D$92,'0400'!A4,'Daftar Koreksi'!$G$5:$G$92,"Gedung dan Bangunan",'Daftar Koreksi'!$H$5:$H$92,"&lt;0")-SUMIFS('Daftar Koreksi'!$H$5:$H$92,'Daftar Koreksi'!$D$5:$D$92,'0400'!A4,'Daftar Koreksi'!$G$5:$G$92,"Gedung dan Bangunan",'Daftar Koreksi'!$H$5:$H$92,"&lt;0")</f>
        <v>0</v>
      </c>
      <c r="G10" s="17">
        <f t="shared" si="0"/>
        <v>12221212450</v>
      </c>
      <c r="H10" s="122"/>
      <c r="O10" s="8" t="s">
        <v>160</v>
      </c>
      <c r="P10" s="8" t="s">
        <v>1313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320372000</v>
      </c>
      <c r="E11" s="25">
        <f>SUMIFS('Daftar Koreksi'!$H$5:$H$92,'Daftar Koreksi'!$D$5:$D$92,'0400'!A4,'Daftar Koreksi'!$G$5:$G$92,"Jalan Irigasi Jaringan",'Daftar Koreksi'!$H$5:$H$92,"&gt;0")</f>
        <v>0</v>
      </c>
      <c r="F11" s="25">
        <f>SUMIFS('Daftar Koreksi'!$H$5:$H$92,'Daftar Koreksi'!$D$5:$D$92,'0400'!A4,'Daftar Koreksi'!$G$5:$G$92,"Jalan Irigasi Jaringan",'Daftar Koreksi'!$H$5:$H$92,"&lt;0")-SUMIFS('Daftar Koreksi'!$H$5:$H$92,'Daftar Koreksi'!$D$5:$D$92,'0400'!A4,'Daftar Koreksi'!$G$5:$G$92,"Jalan Irigasi Jaringan",'Daftar Koreksi'!$H$5:$H$92,"&lt;0")-SUMIFS('Daftar Koreksi'!$H$5:$H$92,'Daftar Koreksi'!$D$5:$D$92,'0400'!A4,'Daftar Koreksi'!$G$5:$G$92,"Jalan Irigasi Jaringan",'Daftar Koreksi'!$H$5:$H$92,"&lt;0")</f>
        <v>0</v>
      </c>
      <c r="G11" s="17">
        <f t="shared" si="0"/>
        <v>320372000</v>
      </c>
      <c r="H11" s="122"/>
      <c r="O11" s="8" t="s">
        <v>161</v>
      </c>
      <c r="P11" s="8" t="s">
        <v>1314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102285518</v>
      </c>
      <c r="E12" s="25">
        <f>SUMIFS('Daftar Koreksi'!$H$5:$H$92,'Daftar Koreksi'!$D$5:$D$92,'0400'!A4,'Daftar Koreksi'!$G$5:$G$92,"Aset Tetap Lainnya",'Daftar Koreksi'!$H$5:$H$92,"&gt;0")</f>
        <v>4411622</v>
      </c>
      <c r="F12" s="25">
        <f>SUMIFS('Daftar Koreksi'!$H$5:$H$92,'Daftar Koreksi'!$D$5:$D$92,'0400'!A4,'Daftar Koreksi'!$G$5:$G$92,"Aset Tetap Lainnya",'Daftar Koreksi'!$H$5:$H$92,"&lt;0")-SUMIFS('Daftar Koreksi'!$H$5:$H$92,'Daftar Koreksi'!$D$5:$D$92,'0400'!A4,'Daftar Koreksi'!$G$5:$G$92,"Aset Tetap Lainnya",'Daftar Koreksi'!$H$5:$H$92,"&lt;0")-SUMIFS('Daftar Koreksi'!$H$5:$H$92,'Daftar Koreksi'!$D$5:$D$92,'0400'!A4,'Daftar Koreksi'!$G$5:$G$92,"Aset Tetap Lainnya",'Daftar Koreksi'!$H$5:$H$92,"&lt;0")</f>
        <v>0</v>
      </c>
      <c r="G12" s="17">
        <f t="shared" si="0"/>
        <v>106697140</v>
      </c>
      <c r="H12" s="122"/>
      <c r="O12" s="8" t="s">
        <v>162</v>
      </c>
      <c r="P12" s="8" t="s">
        <v>1315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Koreksi'!$D$5:$D$92,'0400'!A4,'Daftar Koreksi'!$G$5:$G$92,"Kontruksi Dalam Pengerjaan",'Daftar Koreksi'!$H$5:$H$92,"&gt;0")</f>
        <v>0</v>
      </c>
      <c r="F13" s="25">
        <f>SUMIFS('Daftar Koreksi'!$H$5:$H$92,'Daftar Koreksi'!$D$5:$D$92,'0400'!A4,'Daftar Koreksi'!$G$5:$G$92,"Kontruksi Dalam Pengerjaan",'Daftar Koreksi'!$H$5:$H$92,"&lt;0")-SUMIFS('Daftar Koreksi'!$H$5:$H$92,'Daftar Koreksi'!$D$5:$D$92,'0400'!A4,'Daftar Koreksi'!$G$5:$G$92,"Kontruksi Dalam Pengerjaan",'Daftar Koreksi'!$H$5:$H$92,"&lt;0")-SUMIFS('Daftar Koreksi'!$H$5:$H$92,'Daftar Koreksi'!$D$5:$D$92,'0400'!A4,'Daftar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163</v>
      </c>
      <c r="P13" s="8" t="s">
        <v>1316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135273105</v>
      </c>
      <c r="E14" s="25">
        <f>SUMIFS('Daftar Koreksi'!$H$5:$H$92,'Daftar Koreksi'!$D$5:$D$92,'0400'!A4,'Daftar Koreksi'!$G$5:$G$92,"Aset Tak Berwujud",'Daftar Koreksi'!$H$5:$H$92,"&gt;0")</f>
        <v>0</v>
      </c>
      <c r="F14" s="25">
        <f>SUMIFS('Daftar Koreksi'!$H$5:$H$92,'Daftar Koreksi'!$D$5:$D$92,'0400'!A4,'Daftar Koreksi'!$G$5:$G$92,"Aset Tak Berwujud",'Daftar Koreksi'!$H$5:$H$92,"&lt;0")-SUMIFS('Daftar Koreksi'!$H$5:$H$92,'Daftar Koreksi'!$D$5:$D$92,'0400'!A4,'Daftar Koreksi'!$G$5:$G$92,"Aset Tak Berwujud",'Daftar Koreksi'!$H$5:$H$92,"&lt;0")-SUMIFS('Daftar Koreksi'!$H$5:$H$92,'Daftar Koreksi'!$D$5:$D$92,'0400'!A4,'Daftar Koreksi'!$G$5:$G$92,"Aset Tak Berwujud",'Daftar Koreksi'!$H$5:$H$92,"&lt;0")</f>
        <v>0</v>
      </c>
      <c r="G14" s="17">
        <f t="shared" si="0"/>
        <v>135273105</v>
      </c>
      <c r="H14" s="122"/>
      <c r="O14" s="8" t="s">
        <v>164</v>
      </c>
      <c r="P14" s="8" t="s">
        <v>1317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73276000</v>
      </c>
      <c r="E15" s="25">
        <f>SUMIFS('Daftar Koreksi'!$H$5:$H$92,'Daftar Koreksi'!$D$5:$D$92,'0400'!A4,'Daftar Koreksi'!$G$5:$G$92,"Aset Henti Guna",'Daftar Koreksi'!$H$5:$H$92,"&gt;0")</f>
        <v>0</v>
      </c>
      <c r="F15" s="25">
        <f>SUMIFS('Daftar Koreksi'!$H$5:$H$92,'Daftar Koreksi'!$D$5:$D$92,'0400'!A4,'Daftar Koreksi'!$G$5:$G$92,"Aset Henti Guna",'Daftar Koreksi'!$H$5:$H$92,"&lt;0")-SUMIFS('Daftar Koreksi'!$H$5:$H$92,'Daftar Koreksi'!$D$5:$D$92,'0400'!A4,'Daftar Koreksi'!$G$5:$G$92,"Aset Henti Guna",'Daftar Koreksi'!$H$5:$H$92,"&lt;0")-SUMIFS('Daftar Koreksi'!$H$5:$H$92,'Daftar Koreksi'!$D$5:$D$92,'0400'!A4,'Daftar Koreksi'!$G$5:$G$92,"Aset Henti Guna",'Daftar Koreksi'!$H$5:$H$92,"&lt;0")</f>
        <v>0</v>
      </c>
      <c r="G15" s="17">
        <f t="shared" si="0"/>
        <v>73276000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43813454190</v>
      </c>
      <c r="E16" s="19">
        <f>SUM(E7:E15)</f>
        <v>4411622</v>
      </c>
      <c r="F16" s="19">
        <f>SUM(F7:F15)</f>
        <v>0</v>
      </c>
      <c r="G16" s="19">
        <f t="shared" si="0"/>
        <v>43817865812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-3688068601</v>
      </c>
      <c r="E17" s="25">
        <f>SUMIFS('Daftar Koreksi'!$I$5:$I$92,'Daftar Koreksi'!$D$5:$D$92,'0400'!A4,'Daftar Koreksi'!$G$5:$G$92,"Peralatan dan mesin",'Daftar Koreksi'!$I$5:$I$92,"&gt;0")</f>
        <v>0</v>
      </c>
      <c r="F17" s="25">
        <f>SUMIFS('Daftar Koreksi'!$I$5:$I$92,'Daftar Koreksi'!$D$5:$D$92,'0400'!A4,'Daftar Koreksi'!$G$5:$G$92,"Peralatan dan mesin",'Daftar Koreksi'!$I$5:$I$92,"&lt;0")-SUMIFS('Daftar Koreksi'!$I$5:$I$92,'Daftar Koreksi'!$D$5:$D$92,'0400'!A4,'Daftar Koreksi'!$G$5:$G$92,"Peralatan dan mesin",'Daftar Koreksi'!$I$5:$I$92,"&lt;0")-SUMIFS('Daftar Koreksi'!$I$5:$I$92,'Daftar Koreksi'!$D$5:$D$92,'0400'!A4,'Daftar Koreksi'!$G$5:$G$92,"Peralatan dan mesin",'Daftar Koreksi'!$I$5:$I$92,"&lt;0")</f>
        <v>0</v>
      </c>
      <c r="G17" s="17">
        <f t="shared" si="0"/>
        <v>-3688068601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-7045199449</v>
      </c>
      <c r="E18" s="25">
        <f>SUMIFS('Daftar Koreksi'!$I$5:$I$92,'Daftar Koreksi'!$D$5:$D$92,'0400'!A4,'Daftar Koreksi'!$G$5:$G$92,"Gedung dan Bangunan",'Daftar Koreksi'!$I$5:$I$92,"&gt;0")</f>
        <v>0</v>
      </c>
      <c r="F18" s="25">
        <f>SUMIFS('Daftar Koreksi'!$I$5:$I$92,'Daftar Koreksi'!$D$5:$D$92,'0400'!A4,'Daftar Koreksi'!$G$5:$G$92,"Gedung dan Bangunan",'Daftar Koreksi'!$I$5:$I$92,"&lt;0")-SUMIFS('Daftar Koreksi'!$I$5:$I$92,'Daftar Koreksi'!$D$5:$D$92,'0400'!A4,'Daftar Koreksi'!$G$5:$G$92,"Gedung dan Bangunan",'Daftar Koreksi'!$I$5:$I$92,"&lt;0")-SUMIFS('Daftar Koreksi'!$I$5:$I$92,'Daftar Koreksi'!$D$5:$D$92,'0400'!A4,'Daftar Koreksi'!$G$5:$G$92,"Gedung dan Bangunan",'Daftar Koreksi'!$I$5:$I$92,"&lt;0")</f>
        <v>0</v>
      </c>
      <c r="G18" s="17">
        <f t="shared" si="0"/>
        <v>-7045199449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-31800990</v>
      </c>
      <c r="E19" s="25">
        <f>SUMIFS('Daftar Koreksi'!$I$5:$I$92,'Daftar Koreksi'!$D$5:$D$92,'0400'!A4,'Daftar Koreksi'!$G$5:$G$92,"Jalan Irigasi Jaringan",'Daftar Koreksi'!$I$5:$I$92,"&gt;0")</f>
        <v>0</v>
      </c>
      <c r="F19" s="25">
        <f>SUMIFS('Daftar Koreksi'!$I$5:$I$92,'Daftar Koreksi'!$D$5:$D$92,'0400'!A4,'Daftar Koreksi'!$G$5:$G$92,"Jalan Irigasi Jaringan",'Daftar Koreksi'!$I$5:$I$92,"&lt;0")-SUMIFS('Daftar Koreksi'!$I$5:$I$92,'Daftar Koreksi'!$D$5:$D$92,'0400'!A4,'Daftar Koreksi'!$G$5:$G$92,"Jalan Irigasi Jaringan",'Daftar Koreksi'!$I$5:$I$92,"&lt;0")-SUMIFS('Daftar Koreksi'!$I$5:$I$92,'Daftar Koreksi'!$D$5:$D$92,'0400'!A4,'Daftar Koreksi'!$G$5:$G$92,"Jalan Irigasi Jaringan",'Daftar Koreksi'!$I$5:$I$92,"&lt;0")</f>
        <v>0</v>
      </c>
      <c r="G19" s="17">
        <f t="shared" si="0"/>
        <v>-31800990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Koreksi'!$D$5:$D$92,'0400'!A4,'Daftar Koreksi'!$G$5:$G$92,"Aset Tetap Lainnya",'Daftar Koreksi'!$I$5:$I$92,"&gt;0")</f>
        <v>0</v>
      </c>
      <c r="F20" s="25">
        <f>SUMIFS('Daftar Koreksi'!$I$5:$I$92,'Daftar Koreksi'!$D$5:$D$92,'0400'!A4,'Daftar Koreksi'!$G$5:$G$92,"Aset Tetap Lainnya",'Daftar Koreksi'!$I$5:$I$92,"&lt;0")-SUMIFS('Daftar Koreksi'!$I$5:$I$92,'Daftar Koreksi'!$D$5:$D$92,'0400'!A4,'Daftar Koreksi'!$G$5:$G$92,"Aset Tetap Lainnya",'Daftar Koreksi'!$I$5:$I$92,"&lt;0")-SUMIFS('Daftar Koreksi'!$I$5:$I$92,'Daftar Koreksi'!$D$5:$D$92,'0400'!A4,'Daftar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-73276000</v>
      </c>
      <c r="E21" s="25">
        <f>SUMIFS('Daftar Koreksi'!$I$5:$I$92,'Daftar Koreksi'!$D$5:$D$92,'0400'!A4,'Daftar Koreksi'!$G$5:$G$92,"Aset Henti Guna",'Daftar Koreksi'!$I$5:$I$92,"&gt;0")</f>
        <v>0</v>
      </c>
      <c r="F21" s="25">
        <f>SUMIFS('Daftar Koreksi'!$I$5:$I$92,'Daftar Koreksi'!$D$5:$D$92,'0400'!A4,'Daftar Koreksi'!$G$5:$G$92,"Aset Henti Guna",'Daftar Koreksi'!$I$5:$I$92,"&lt;0")-SUMIFS('Daftar Koreksi'!$I$5:$I$92,'Daftar Koreksi'!$D$5:$D$92,'0400'!A4,'Daftar Koreksi'!$G$5:$G$92,"Aset Henti Guna",'Daftar Koreksi'!$I$5:$I$92,"&lt;0")-SUMIFS('Daftar Koreksi'!$I$5:$I$92,'Daftar Koreksi'!$D$5:$D$92,'0400'!A4,'Daftar Koreksi'!$G$5:$G$92,"Aset Henti Guna",'Daftar Koreksi'!$I$5:$I$92,"&lt;0")</f>
        <v>0</v>
      </c>
      <c r="G21" s="17">
        <f t="shared" si="0"/>
        <v>-73276000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-10838345040</v>
      </c>
      <c r="E22" s="19">
        <f>SUM(E17:E21)</f>
        <v>0</v>
      </c>
      <c r="F22" s="19">
        <f>SUM(F17:F21)</f>
        <v>0</v>
      </c>
      <c r="G22" s="19">
        <f t="shared" si="0"/>
        <v>-10838345040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32975109150</v>
      </c>
      <c r="E23" s="19">
        <f>E22+E16</f>
        <v>4411622</v>
      </c>
      <c r="F23" s="19">
        <f>F22+F16</f>
        <v>0</v>
      </c>
      <c r="G23" s="19">
        <f t="shared" si="0"/>
        <v>32979520772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005010400098061000KD</v>
      </c>
      <c r="B26" s="11" t="str">
        <f>P2</f>
        <v>PN. Wates</v>
      </c>
      <c r="C26" s="12" t="str">
        <f>A26&amp;" "&amp;B26</f>
        <v>005010400098061000KD PN. Wates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3282450</v>
      </c>
      <c r="E29" s="25">
        <f>SUMIFS('Daftar Koreksi'!$H$5:$H$92,'Daftar Koreksi'!$D$5:$D$92,'0400'!A26,'Daftar Koreksi'!$G$5:$G$92,"Persediaan",'Daftar Koreksi'!$H$5:$H$92,"&gt;0")</f>
        <v>0</v>
      </c>
      <c r="F29" s="25">
        <f>SUMIFS('Daftar Koreksi'!$H$5:$H$92,'Daftar Koreksi'!$D$5:$D$92,'0400'!A26,'Daftar Koreksi'!$G$5:$G$92,"Persediaan",'Daftar Koreksi'!$H$5:$H$92,"&lt;0")-SUMIFS('Daftar Koreksi'!$H$5:$H$92,'Daftar Koreksi'!$D$5:$D$92,'0400'!A26,'Daftar Koreksi'!$G$5:$G$92,"Persediaan",'Daftar Koreksi'!$H$5:$H$92,"&lt;0")-SUMIFS('Daftar Koreksi'!$H$5:$H$92,'Daftar Koreksi'!$D$5:$D$92,'0400'!A26,'Daftar Koreksi'!$G$5:$G$92,"Persediaan",'Daftar Koreksi'!$H$5:$H$92,"&lt;0")</f>
        <v>0</v>
      </c>
      <c r="G29" s="17">
        <f>D29+E29-F29</f>
        <v>3282450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4767911000</v>
      </c>
      <c r="E30" s="25">
        <f>SUMIFS('Daftar Koreksi'!$H$5:$H$92,'Daftar Koreksi'!$D$5:$D$92,'0400'!A26,'Daftar Koreksi'!$G$5:$G$92,"Tanah",'Daftar Koreksi'!$H$5:$H$92,"&gt;0")</f>
        <v>0</v>
      </c>
      <c r="F30" s="25">
        <f>SUMIFS('Daftar Koreksi'!$H$5:$H$92,'Daftar Koreksi'!$D$5:$D$92,'0400'!A26,'Daftar Koreksi'!$G$5:$G$92,"Tanah",'Daftar Koreksi'!$H$5:$H$92,"&lt;0")-SUMIFS('Daftar Koreksi'!$H$5:$H$92,'Daftar Koreksi'!$D$5:$D$92,'0400'!A26,'Daftar Koreksi'!$G$5:$G$92,"Tanah",'Daftar Koreksi'!$H$5:$H$92,"&lt;0")-SUMIFS('Daftar Koreksi'!$H$5:$H$92,'Daftar Koreksi'!$D$5:$D$92,'0400'!A26,'Daftar Koreksi'!$G$5:$G$92,"Tanah",'Daftar Koreksi'!$H$5:$H$92,"&lt;0")</f>
        <v>0</v>
      </c>
      <c r="G30" s="17">
        <f t="shared" ref="G30:G46" si="1">D30+E30-F30</f>
        <v>4767911000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1993352331</v>
      </c>
      <c r="E31" s="25">
        <f>SUMIFS('Daftar Koreksi'!$H$5:$H$92,'Daftar Koreksi'!$D$5:$D$92,'0400'!A26,'Daftar Koreksi'!$G$5:$G$92,"Peralatan dan mesin",'Daftar Koreksi'!$H$5:$H$92,"&gt;0")</f>
        <v>0</v>
      </c>
      <c r="F31" s="25">
        <f>SUMIFS('Daftar Koreksi'!$H$5:$H$92,'Daftar Koreksi'!$D$5:$D$92,'0400'!A26,'Daftar Koreksi'!$G$5:$G$92,"Peralatan dan mesin",'Daftar Koreksi'!$H$5:$H$92,"&lt;0")-SUMIFS('Daftar Koreksi'!$H$5:$H$92,'Daftar Koreksi'!$D$5:$D$92,'0400'!A26,'Daftar Koreksi'!$G$5:$G$92,"Peralatan dan mesin",'Daftar Koreksi'!$H$5:$H$92,"&lt;0")-SUMIFS('Daftar Koreksi'!$H$5:$H$92,'Daftar Koreksi'!$D$5:$D$92,'0400'!A26,'Daftar Koreksi'!$G$5:$G$92,"Peralatan dan mesin",'Daftar Koreksi'!$H$5:$H$92,"&lt;0")</f>
        <v>0</v>
      </c>
      <c r="G31" s="17">
        <f t="shared" si="1"/>
        <v>1993352331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3797968241</v>
      </c>
      <c r="E32" s="25">
        <f>SUMIFS('Daftar Koreksi'!$H$5:$H$92,'Daftar Koreksi'!$D$5:$D$92,'0400'!A26,'Daftar Koreksi'!$G$5:$G$92,"Gedung dan Bangunan",'Daftar Koreksi'!$H$5:$H$92,"&gt;0")</f>
        <v>0</v>
      </c>
      <c r="F32" s="25">
        <f>SUMIFS('Daftar Koreksi'!$H$5:$H$92,'Daftar Koreksi'!$D$5:$D$92,'0400'!A26,'Daftar Koreksi'!$G$5:$G$92,"Gedung dan Bangunan",'Daftar Koreksi'!$H$5:$H$92,"&lt;0")-SUMIFS('Daftar Koreksi'!$H$5:$H$92,'Daftar Koreksi'!$D$5:$D$92,'0400'!A26,'Daftar Koreksi'!$G$5:$G$92,"Gedung dan Bangunan",'Daftar Koreksi'!$H$5:$H$92,"&lt;0")-SUMIFS('Daftar Koreksi'!$H$5:$H$92,'Daftar Koreksi'!$D$5:$D$92,'0400'!A26,'Daftar Koreksi'!$G$5:$G$92,"Gedung dan Bangunan",'Daftar Koreksi'!$H$5:$H$92,"&lt;0")</f>
        <v>0</v>
      </c>
      <c r="G32" s="17">
        <f t="shared" si="1"/>
        <v>3797968241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78769000</v>
      </c>
      <c r="E33" s="25">
        <f>SUMIFS('Daftar Koreksi'!$H$5:$H$92,'Daftar Koreksi'!$D$5:$D$92,'0400'!A26,'Daftar Koreksi'!$G$5:$G$92,"Jalan Irigasi Jaringan",'Daftar Koreksi'!$H$5:$H$92,"&gt;0")</f>
        <v>0</v>
      </c>
      <c r="F33" s="25">
        <f>SUMIFS('Daftar Koreksi'!$H$5:$H$92,'Daftar Koreksi'!$D$5:$D$92,'0400'!A26,'Daftar Koreksi'!$G$5:$G$92,"Jalan Irigasi Jaringan",'Daftar Koreksi'!$H$5:$H$92,"&lt;0")-SUMIFS('Daftar Koreksi'!$H$5:$H$92,'Daftar Koreksi'!$D$5:$D$92,'0400'!A26,'Daftar Koreksi'!$G$5:$G$92,"Jalan Irigasi Jaringan",'Daftar Koreksi'!$H$5:$H$92,"&lt;0")-SUMIFS('Daftar Koreksi'!$H$5:$H$92,'Daftar Koreksi'!$D$5:$D$92,'0400'!A26,'Daftar Koreksi'!$G$5:$G$92,"Jalan Irigasi Jaringan",'Daftar Koreksi'!$H$5:$H$92,"&lt;0")</f>
        <v>0</v>
      </c>
      <c r="G33" s="17">
        <f t="shared" si="1"/>
        <v>78769000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31043740</v>
      </c>
      <c r="E34" s="25">
        <f>SUMIFS('Daftar Koreksi'!$H$5:$H$92,'Daftar Koreksi'!$D$5:$D$92,'0400'!A26,'Daftar Koreksi'!$G$5:$G$92,"Aset Tetap Lainnya",'Daftar Koreksi'!$H$5:$H$92,"&gt;0")</f>
        <v>0</v>
      </c>
      <c r="F34" s="25">
        <f>SUMIFS('Daftar Koreksi'!$H$5:$H$92,'Daftar Koreksi'!$D$5:$D$92,'0400'!A26,'Daftar Koreksi'!$G$5:$G$92,"Aset Tetap Lainnya",'Daftar Koreksi'!$H$5:$H$92,"&lt;0")-SUMIFS('Daftar Koreksi'!$H$5:$H$92,'Daftar Koreksi'!$D$5:$D$92,'0400'!A26,'Daftar Koreksi'!$G$5:$G$92,"Aset Tetap Lainnya",'Daftar Koreksi'!$H$5:$H$92,"&lt;0")-SUMIFS('Daftar Koreksi'!$H$5:$H$92,'Daftar Koreksi'!$D$5:$D$92,'0400'!A26,'Daftar Koreksi'!$G$5:$G$92,"Aset Tetap Lainnya",'Daftar Koreksi'!$H$5:$H$92,"&lt;0")</f>
        <v>0</v>
      </c>
      <c r="G34" s="17">
        <f t="shared" si="1"/>
        <v>31043740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8832141153</v>
      </c>
      <c r="E35" s="25">
        <f>SUMIFS('Daftar Koreksi'!$H$5:$H$92,'Daftar Koreksi'!$D$5:$D$92,'0400'!A26,'Daftar Koreksi'!$G$5:$G$92,"Kontruksi Dalam Pengerjaan",'Daftar Koreksi'!$H$5:$H$92,"&gt;0")</f>
        <v>0</v>
      </c>
      <c r="F35" s="25">
        <f>SUMIFS('Daftar Koreksi'!$H$5:$H$92,'Daftar Koreksi'!$D$5:$D$92,'0400'!A26,'Daftar Koreksi'!$G$5:$G$92,"Kontruksi Dalam Pengerjaan",'Daftar Koreksi'!$H$5:$H$92,"&lt;0")-SUMIFS('Daftar Koreksi'!$H$5:$H$92,'Daftar Koreksi'!$D$5:$D$92,'0400'!A26,'Daftar Koreksi'!$G$5:$G$92,"Kontruksi Dalam Pengerjaan",'Daftar Koreksi'!$H$5:$H$92,"&lt;0")-SUMIFS('Daftar Koreksi'!$H$5:$H$92,'Daftar Koreksi'!$D$5:$D$92,'0400'!A26,'Daftar Koreksi'!$G$5:$G$92,"Kontruksi Dalam Pengerjaan",'Daftar Koreksi'!$H$5:$H$92,"&lt;0")</f>
        <v>0</v>
      </c>
      <c r="G35" s="17">
        <f t="shared" si="1"/>
        <v>8832141153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Koreksi'!$D$5:$D$92,'0400'!A26,'Daftar Koreksi'!$G$5:$G$92,"Aset Tak Berwujud",'Daftar Koreksi'!$H$5:$H$92,"&gt;0")</f>
        <v>0</v>
      </c>
      <c r="F36" s="25">
        <f>SUMIFS('Daftar Koreksi'!$H$5:$H$92,'Daftar Koreksi'!$D$5:$D$92,'0400'!A26,'Daftar Koreksi'!$G$5:$G$92,"Aset Tak Berwujud",'Daftar Koreksi'!$H$5:$H$92,"&lt;0")-SUMIFS('Daftar Koreksi'!$H$5:$H$92,'Daftar Koreksi'!$D$5:$D$92,'0400'!A26,'Daftar Koreksi'!$G$5:$G$92,"Aset Tak Berwujud",'Daftar Koreksi'!$H$5:$H$92,"&lt;0")-SUMIFS('Daftar Koreksi'!$H$5:$H$92,'Daftar Koreksi'!$D$5:$D$92,'0400'!A26,'Daftar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103768500</v>
      </c>
      <c r="E37" s="25">
        <f>SUMIFS('Daftar Koreksi'!$H$5:$H$92,'Daftar Koreksi'!$D$5:$D$92,'0400'!A26,'Daftar Koreksi'!$G$5:$G$92,"Aset Henti Guna",'Daftar Koreksi'!$H$5:$H$92,"&gt;0")</f>
        <v>0</v>
      </c>
      <c r="F37" s="25">
        <f>SUMIFS('Daftar Koreksi'!$H$5:$H$92,'Daftar Koreksi'!$D$5:$D$92,'0400'!A26,'Daftar Koreksi'!$G$5:$G$92,"Aset Henti Guna",'Daftar Koreksi'!$H$5:$H$92,"&lt;0")-SUMIFS('Daftar Koreksi'!$H$5:$H$92,'Daftar Koreksi'!$D$5:$D$92,'0400'!A26,'Daftar Koreksi'!$G$5:$G$92,"Aset Henti Guna",'Daftar Koreksi'!$H$5:$H$92,"&lt;0")-SUMIFS('Daftar Koreksi'!$H$5:$H$92,'Daftar Koreksi'!$D$5:$D$92,'0400'!A26,'Daftar Koreksi'!$G$5:$G$92,"Aset Henti Guna",'Daftar Koreksi'!$H$5:$H$92,"&lt;0")</f>
        <v>0</v>
      </c>
      <c r="G37" s="17">
        <f t="shared" si="1"/>
        <v>103768500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19608236415</v>
      </c>
      <c r="E38" s="19">
        <f>SUM(E29:E37)</f>
        <v>0</v>
      </c>
      <c r="F38" s="19">
        <f>SUM(F29:F37)</f>
        <v>0</v>
      </c>
      <c r="G38" s="19">
        <f t="shared" si="1"/>
        <v>19608236415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-1464026451</v>
      </c>
      <c r="E39" s="25">
        <f>SUMIFS('Daftar Koreksi'!$I$5:$I$92,'Daftar Koreksi'!$D$5:$D$92,'0400'!A26,'Daftar Koreksi'!$G$5:$G$92,"Peralatan dan mesin",'Daftar Koreksi'!$I$5:$I$92,"&gt;0")</f>
        <v>0</v>
      </c>
      <c r="F39" s="25">
        <f>SUMIFS('Daftar Koreksi'!$I$5:$I$92,'Daftar Koreksi'!$D$5:$D$92,'0400'!A26,'Daftar Koreksi'!$G$5:$G$92,"Peralatan dan mesin",'Daftar Koreksi'!$I$5:$I$92,"&lt;0")-SUMIFS('Daftar Koreksi'!$I$5:$I$92,'Daftar Koreksi'!$D$5:$D$92,'0400'!A26,'Daftar Koreksi'!$G$5:$G$92,"Peralatan dan mesin",'Daftar Koreksi'!$I$5:$I$92,"&lt;0")-SUMIFS('Daftar Koreksi'!$I$5:$I$92,'Daftar Koreksi'!$D$5:$D$92,'0400'!A26,'Daftar Koreksi'!$G$5:$G$92,"Peralatan dan mesin",'Daftar Koreksi'!$I$5:$I$92,"&lt;0")</f>
        <v>0</v>
      </c>
      <c r="G39" s="17">
        <f t="shared" si="1"/>
        <v>-1464026451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-2788935808</v>
      </c>
      <c r="E40" s="25">
        <f>SUMIFS('Daftar Koreksi'!$I$5:$I$92,'Daftar Koreksi'!$D$5:$D$92,'0400'!A26,'Daftar Koreksi'!$G$5:$G$92,"Gedung dan Bangunan",'Daftar Koreksi'!$I$5:$I$92,"&gt;0")</f>
        <v>0</v>
      </c>
      <c r="F40" s="25">
        <f>SUMIFS('Daftar Koreksi'!$I$5:$I$92,'Daftar Koreksi'!$D$5:$D$92,'0400'!A26,'Daftar Koreksi'!$G$5:$G$92,"Gedung dan Bangunan",'Daftar Koreksi'!$I$5:$I$92,"&lt;0")-SUMIFS('Daftar Koreksi'!$I$5:$I$92,'Daftar Koreksi'!$D$5:$D$92,'0400'!A26,'Daftar Koreksi'!$G$5:$G$92,"Gedung dan Bangunan",'Daftar Koreksi'!$I$5:$I$92,"&lt;0")-SUMIFS('Daftar Koreksi'!$I$5:$I$92,'Daftar Koreksi'!$D$5:$D$92,'0400'!A26,'Daftar Koreksi'!$G$5:$G$92,"Gedung dan Bangunan",'Daftar Koreksi'!$I$5:$I$92,"&lt;0")</f>
        <v>0</v>
      </c>
      <c r="G40" s="17">
        <f t="shared" si="1"/>
        <v>-2788935808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-11815350</v>
      </c>
      <c r="E41" s="25">
        <f>SUMIFS('Daftar Koreksi'!$I$5:$I$92,'Daftar Koreksi'!$D$5:$D$92,'0400'!A26,'Daftar Koreksi'!$G$5:$G$92,"Jalan Irigasi Jaringan",'Daftar Koreksi'!$I$5:$I$92,"&gt;0")</f>
        <v>0</v>
      </c>
      <c r="F41" s="25">
        <f>SUMIFS('Daftar Koreksi'!$I$5:$I$92,'Daftar Koreksi'!$D$5:$D$92,'0400'!A26,'Daftar Koreksi'!$G$5:$G$92,"Jalan Irigasi Jaringan",'Daftar Koreksi'!$I$5:$I$92,"&lt;0")-SUMIFS('Daftar Koreksi'!$I$5:$I$92,'Daftar Koreksi'!$D$5:$D$92,'0400'!A26,'Daftar Koreksi'!$G$5:$G$92,"Jalan Irigasi Jaringan",'Daftar Koreksi'!$I$5:$I$92,"&lt;0")-SUMIFS('Daftar Koreksi'!$I$5:$I$92,'Daftar Koreksi'!$D$5:$D$92,'0400'!A26,'Daftar Koreksi'!$G$5:$G$92,"Jalan Irigasi Jaringan",'Daftar Koreksi'!$I$5:$I$92,"&lt;0")</f>
        <v>0</v>
      </c>
      <c r="G41" s="17">
        <f t="shared" si="1"/>
        <v>-11815350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Koreksi'!$D$5:$D$92,'0400'!A26,'Daftar Koreksi'!$G$5:$G$92,"Aset Tetap Lainnya",'Daftar Koreksi'!$I$5:$I$92,"&gt;0")</f>
        <v>0</v>
      </c>
      <c r="F42" s="25">
        <f>SUMIFS('Daftar Koreksi'!$I$5:$I$92,'Daftar Koreksi'!$D$5:$D$92,'0400'!A26,'Daftar Koreksi'!$G$5:$G$92,"Aset Tetap Lainnya",'Daftar Koreksi'!$I$5:$I$92,"&lt;0")-SUMIFS('Daftar Koreksi'!$I$5:$I$92,'Daftar Koreksi'!$D$5:$D$92,'0400'!A26,'Daftar Koreksi'!$G$5:$G$92,"Aset Tetap Lainnya",'Daftar Koreksi'!$I$5:$I$92,"&lt;0")-SUMIFS('Daftar Koreksi'!$I$5:$I$92,'Daftar Koreksi'!$D$5:$D$92,'0400'!A26,'Daftar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-103768500</v>
      </c>
      <c r="E43" s="25">
        <f>SUMIFS('Daftar Koreksi'!$I$5:$I$92,'Daftar Koreksi'!$D$5:$D$92,'0400'!A26,'Daftar Koreksi'!$G$5:$G$92,"Aset Henti Guna",'Daftar Koreksi'!$I$5:$I$92,"&gt;0")</f>
        <v>0</v>
      </c>
      <c r="F43" s="25">
        <f>SUMIFS('Daftar Koreksi'!$I$5:$I$92,'Daftar Koreksi'!$D$5:$D$92,'0400'!A26,'Daftar Koreksi'!$G$5:$G$92,"Aset Henti Guna",'Daftar Koreksi'!$I$5:$I$92,"&lt;0")-SUMIFS('Daftar Koreksi'!$I$5:$I$92,'Daftar Koreksi'!$D$5:$D$92,'0400'!A26,'Daftar Koreksi'!$G$5:$G$92,"Aset Henti Guna",'Daftar Koreksi'!$I$5:$I$92,"&lt;0")-SUMIFS('Daftar Koreksi'!$I$5:$I$92,'Daftar Koreksi'!$D$5:$D$92,'0400'!A26,'Daftar Koreksi'!$G$5:$G$92,"Aset Henti Guna",'Daftar Koreksi'!$I$5:$I$92,"&lt;0")</f>
        <v>0</v>
      </c>
      <c r="G43" s="17">
        <f t="shared" si="1"/>
        <v>-103768500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-4368546109</v>
      </c>
      <c r="E44" s="19">
        <f>SUM(E39:E43)</f>
        <v>0</v>
      </c>
      <c r="F44" s="19">
        <f>SUM(F39:F43)</f>
        <v>0</v>
      </c>
      <c r="G44" s="19">
        <f t="shared" si="1"/>
        <v>-4368546109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15239690306</v>
      </c>
      <c r="E45" s="19">
        <f>E44+E38</f>
        <v>0</v>
      </c>
      <c r="F45" s="19">
        <f>F44+F38</f>
        <v>0</v>
      </c>
      <c r="G45" s="19">
        <f t="shared" si="1"/>
        <v>15239690306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005010400098078000KD</v>
      </c>
      <c r="B48" s="11" t="str">
        <f>P3</f>
        <v>PN. Wonosari</v>
      </c>
      <c r="C48" s="12" t="str">
        <f>A48&amp;" "&amp;B48</f>
        <v>005010400098078000KD PN. Wonosari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5938400</v>
      </c>
      <c r="E51" s="25">
        <f>SUMIFS('Daftar Koreksi'!$H$5:$H$92,'Daftar Koreksi'!$D$5:$D$92,'0400'!A48,'Daftar Koreksi'!$G$5:$G$92,"Persediaan",'Daftar Koreksi'!$H$5:$H$92,"&gt;0")</f>
        <v>0</v>
      </c>
      <c r="F51" s="25">
        <f>SUMIFS('Daftar Koreksi'!$H$5:$H$92,'Daftar Koreksi'!$D$5:$D$92,'0400'!A48,'Daftar Koreksi'!$G$5:$G$92,"Persediaan",'Daftar Koreksi'!$H$5:$H$92,"&lt;0")-SUMIFS('Daftar Koreksi'!$H$5:$H$92,'Daftar Koreksi'!$D$5:$D$92,'0400'!A48,'Daftar Koreksi'!$G$5:$G$92,"Persediaan",'Daftar Koreksi'!$H$5:$H$92,"&lt;0")-SUMIFS('Daftar Koreksi'!$H$5:$H$92,'Daftar Koreksi'!$D$5:$D$92,'0400'!A48,'Daftar Koreksi'!$G$5:$G$92,"Persediaan",'Daftar Koreksi'!$H$5:$H$92,"&lt;0")</f>
        <v>0</v>
      </c>
      <c r="G51" s="17">
        <f>D51+E51-F51</f>
        <v>5938400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4139640000</v>
      </c>
      <c r="E52" s="25">
        <f>SUMIFS('Daftar Koreksi'!$H$5:$H$92,'Daftar Koreksi'!$D$5:$D$92,'0400'!A48,'Daftar Koreksi'!$G$5:$G$92,"Tanah",'Daftar Koreksi'!$H$5:$H$92,"&gt;0")</f>
        <v>0</v>
      </c>
      <c r="F52" s="25">
        <f>SUMIFS('Daftar Koreksi'!$H$5:$H$92,'Daftar Koreksi'!$D$5:$D$92,'0400'!A48,'Daftar Koreksi'!$G$5:$G$92,"Tanah",'Daftar Koreksi'!$H$5:$H$92,"&lt;0")-SUMIFS('Daftar Koreksi'!$H$5:$H$92,'Daftar Koreksi'!$D$5:$D$92,'0400'!A48,'Daftar Koreksi'!$G$5:$G$92,"Tanah",'Daftar Koreksi'!$H$5:$H$92,"&lt;0")-SUMIFS('Daftar Koreksi'!$H$5:$H$92,'Daftar Koreksi'!$D$5:$D$92,'0400'!A48,'Daftar Koreksi'!$G$5:$G$92,"Tanah",'Daftar Koreksi'!$H$5:$H$92,"&lt;0")</f>
        <v>0</v>
      </c>
      <c r="G52" s="17">
        <f t="shared" ref="G52:G68" si="2">D52+E52-F52</f>
        <v>4139640000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1958232042</v>
      </c>
      <c r="E53" s="25">
        <f>SUMIFS('Daftar Koreksi'!$H$5:$H$92,'Daftar Koreksi'!$D$5:$D$92,'0400'!A48,'Daftar Koreksi'!$G$5:$G$92,"Peralatan dan mesin",'Daftar Koreksi'!$H$5:$H$92,"&gt;0")</f>
        <v>0</v>
      </c>
      <c r="F53" s="25">
        <f>SUMIFS('Daftar Koreksi'!$H$5:$H$92,'Daftar Koreksi'!$D$5:$D$92,'0400'!A48,'Daftar Koreksi'!$G$5:$G$92,"Peralatan dan mesin",'Daftar Koreksi'!$H$5:$H$92,"&lt;0")-SUMIFS('Daftar Koreksi'!$H$5:$H$92,'Daftar Koreksi'!$D$5:$D$92,'0400'!A48,'Daftar Koreksi'!$G$5:$G$92,"Peralatan dan mesin",'Daftar Koreksi'!$H$5:$H$92,"&lt;0")-SUMIFS('Daftar Koreksi'!$H$5:$H$92,'Daftar Koreksi'!$D$5:$D$92,'0400'!A48,'Daftar Koreksi'!$G$5:$G$92,"Peralatan dan mesin",'Daftar Koreksi'!$H$5:$H$92,"&lt;0")</f>
        <v>0</v>
      </c>
      <c r="G53" s="17">
        <f t="shared" si="2"/>
        <v>1958232042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5187010000</v>
      </c>
      <c r="E54" s="25">
        <f>SUMIFS('Daftar Koreksi'!$H$5:$H$92,'Daftar Koreksi'!$D$5:$D$92,'0400'!A48,'Daftar Koreksi'!$G$5:$G$92,"Gedung dan Bangunan",'Daftar Koreksi'!$H$5:$H$92,"&gt;0")</f>
        <v>0</v>
      </c>
      <c r="F54" s="25">
        <f>SUMIFS('Daftar Koreksi'!$H$5:$H$92,'Daftar Koreksi'!$D$5:$D$92,'0400'!A48,'Daftar Koreksi'!$G$5:$G$92,"Gedung dan Bangunan",'Daftar Koreksi'!$H$5:$H$92,"&lt;0")-SUMIFS('Daftar Koreksi'!$H$5:$H$92,'Daftar Koreksi'!$D$5:$D$92,'0400'!A48,'Daftar Koreksi'!$G$5:$G$92,"Gedung dan Bangunan",'Daftar Koreksi'!$H$5:$H$92,"&lt;0")-SUMIFS('Daftar Koreksi'!$H$5:$H$92,'Daftar Koreksi'!$D$5:$D$92,'0400'!A48,'Daftar Koreksi'!$G$5:$G$92,"Gedung dan Bangunan",'Daftar Koreksi'!$H$5:$H$92,"&lt;0")</f>
        <v>0</v>
      </c>
      <c r="G54" s="17">
        <f t="shared" si="2"/>
        <v>5187010000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357754000</v>
      </c>
      <c r="E55" s="25">
        <f>SUMIFS('Daftar Koreksi'!$H$5:$H$92,'Daftar Koreksi'!$D$5:$D$92,'0400'!A48,'Daftar Koreksi'!$G$5:$G$92,"Jalan Irigasi Jaringan",'Daftar Koreksi'!$H$5:$H$92,"&gt;0")</f>
        <v>0</v>
      </c>
      <c r="F55" s="25">
        <f>SUMIFS('Daftar Koreksi'!$H$5:$H$92,'Daftar Koreksi'!$D$5:$D$92,'0400'!A48,'Daftar Koreksi'!$G$5:$G$92,"Jalan Irigasi Jaringan",'Daftar Koreksi'!$H$5:$H$92,"&lt;0")-SUMIFS('Daftar Koreksi'!$H$5:$H$92,'Daftar Koreksi'!$D$5:$D$92,'0400'!A48,'Daftar Koreksi'!$G$5:$G$92,"Jalan Irigasi Jaringan",'Daftar Koreksi'!$H$5:$H$92,"&lt;0")-SUMIFS('Daftar Koreksi'!$H$5:$H$92,'Daftar Koreksi'!$D$5:$D$92,'0400'!A48,'Daftar Koreksi'!$G$5:$G$92,"Jalan Irigasi Jaringan",'Daftar Koreksi'!$H$5:$H$92,"&lt;0")</f>
        <v>0</v>
      </c>
      <c r="G55" s="17">
        <f t="shared" si="2"/>
        <v>357754000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34503890</v>
      </c>
      <c r="E56" s="25">
        <f>SUMIFS('Daftar Koreksi'!$H$5:$H$92,'Daftar Koreksi'!$D$5:$D$92,'0400'!A48,'Daftar Koreksi'!$G$5:$G$92,"Aset Tetap Lainnya",'Daftar Koreksi'!$H$5:$H$92,"&gt;0")</f>
        <v>0</v>
      </c>
      <c r="F56" s="25">
        <f>SUMIFS('Daftar Koreksi'!$H$5:$H$92,'Daftar Koreksi'!$D$5:$D$92,'0400'!A48,'Daftar Koreksi'!$G$5:$G$92,"Aset Tetap Lainnya",'Daftar Koreksi'!$H$5:$H$92,"&lt;0")-SUMIFS('Daftar Koreksi'!$H$5:$H$92,'Daftar Koreksi'!$D$5:$D$92,'0400'!A48,'Daftar Koreksi'!$G$5:$G$92,"Aset Tetap Lainnya",'Daftar Koreksi'!$H$5:$H$92,"&lt;0")-SUMIFS('Daftar Koreksi'!$H$5:$H$92,'Daftar Koreksi'!$D$5:$D$92,'0400'!A48,'Daftar Koreksi'!$G$5:$G$92,"Aset Tetap Lainnya",'Daftar Koreksi'!$H$5:$H$92,"&lt;0")</f>
        <v>0</v>
      </c>
      <c r="G56" s="17">
        <f t="shared" si="2"/>
        <v>34503890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Koreksi'!$D$5:$D$92,'0400'!A48,'Daftar Koreksi'!$G$5:$G$92,"Kontruksi Dalam Pengerjaan",'Daftar Koreksi'!$H$5:$H$92,"&gt;0")</f>
        <v>0</v>
      </c>
      <c r="F57" s="25">
        <f>SUMIFS('Daftar Koreksi'!$H$5:$H$92,'Daftar Koreksi'!$D$5:$D$92,'0400'!A48,'Daftar Koreksi'!$G$5:$G$92,"Kontruksi Dalam Pengerjaan",'Daftar Koreksi'!$H$5:$H$92,"&lt;0")-SUMIFS('Daftar Koreksi'!$H$5:$H$92,'Daftar Koreksi'!$D$5:$D$92,'0400'!A48,'Daftar Koreksi'!$G$5:$G$92,"Kontruksi Dalam Pengerjaan",'Daftar Koreksi'!$H$5:$H$92,"&lt;0")-SUMIFS('Daftar Koreksi'!$H$5:$H$92,'Daftar Koreksi'!$D$5:$D$92,'0400'!A48,'Daftar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111237500</v>
      </c>
      <c r="E58" s="25">
        <f>SUMIFS('Daftar Koreksi'!$H$5:$H$92,'Daftar Koreksi'!$D$5:$D$92,'0400'!A48,'Daftar Koreksi'!$G$5:$G$92,"Aset Tak Berwujud",'Daftar Koreksi'!$H$5:$H$92,"&gt;0")</f>
        <v>0</v>
      </c>
      <c r="F58" s="25">
        <f>SUMIFS('Daftar Koreksi'!$H$5:$H$92,'Daftar Koreksi'!$D$5:$D$92,'0400'!A48,'Daftar Koreksi'!$G$5:$G$92,"Aset Tak Berwujud",'Daftar Koreksi'!$H$5:$H$92,"&lt;0")-SUMIFS('Daftar Koreksi'!$H$5:$H$92,'Daftar Koreksi'!$D$5:$D$92,'0400'!A48,'Daftar Koreksi'!$G$5:$G$92,"Aset Tak Berwujud",'Daftar Koreksi'!$H$5:$H$92,"&lt;0")-SUMIFS('Daftar Koreksi'!$H$5:$H$92,'Daftar Koreksi'!$D$5:$D$92,'0400'!A48,'Daftar Koreksi'!$G$5:$G$92,"Aset Tak Berwujud",'Daftar Koreksi'!$H$5:$H$92,"&lt;0")</f>
        <v>0</v>
      </c>
      <c r="G58" s="17">
        <f t="shared" si="2"/>
        <v>111237500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Koreksi'!$D$5:$D$92,'0400'!A48,'Daftar Koreksi'!$G$5:$G$92,"Aset Henti Guna",'Daftar Koreksi'!$H$5:$H$92,"&gt;0")</f>
        <v>0</v>
      </c>
      <c r="F59" s="25">
        <f>SUMIFS('Daftar Koreksi'!$H$5:$H$92,'Daftar Koreksi'!$D$5:$D$92,'0400'!A48,'Daftar Koreksi'!$G$5:$G$92,"Aset Henti Guna",'Daftar Koreksi'!$H$5:$H$92,"&lt;0")-SUMIFS('Daftar Koreksi'!$H$5:$H$92,'Daftar Koreksi'!$D$5:$D$92,'0400'!A48,'Daftar Koreksi'!$G$5:$G$92,"Aset Henti Guna",'Daftar Koreksi'!$H$5:$H$92,"&lt;0")-SUMIFS('Daftar Koreksi'!$H$5:$H$92,'Daftar Koreksi'!$D$5:$D$92,'0400'!A48,'Daftar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11794315832</v>
      </c>
      <c r="E60" s="19">
        <f>SUM(E51:E59)</f>
        <v>0</v>
      </c>
      <c r="F60" s="19">
        <f>SUM(F51:F59)</f>
        <v>0</v>
      </c>
      <c r="G60" s="19">
        <f t="shared" si="2"/>
        <v>11794315832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-1647791779</v>
      </c>
      <c r="E61" s="25">
        <f>SUMIFS('Daftar Koreksi'!$I$5:$I$92,'Daftar Koreksi'!$D$5:$D$92,'0400'!A48,'Daftar Koreksi'!$G$5:$G$92,"Peralatan dan mesin",'Daftar Koreksi'!$I$5:$I$92,"&gt;0")</f>
        <v>0</v>
      </c>
      <c r="F61" s="25">
        <f>SUMIFS('Daftar Koreksi'!$I$5:$I$92,'Daftar Koreksi'!$D$5:$D$92,'0400'!A48,'Daftar Koreksi'!$G$5:$G$92,"Peralatan dan mesin",'Daftar Koreksi'!$I$5:$I$92,"&lt;0")-SUMIFS('Daftar Koreksi'!$I$5:$I$92,'Daftar Koreksi'!$D$5:$D$92,'0400'!A48,'Daftar Koreksi'!$G$5:$G$92,"Peralatan dan mesin",'Daftar Koreksi'!$I$5:$I$92,"&lt;0")-SUMIFS('Daftar Koreksi'!$I$5:$I$92,'Daftar Koreksi'!$D$5:$D$92,'0400'!A48,'Daftar Koreksi'!$G$5:$G$92,"Peralatan dan mesin",'Daftar Koreksi'!$I$5:$I$92,"&lt;0")</f>
        <v>0</v>
      </c>
      <c r="G61" s="17">
        <f t="shared" si="2"/>
        <v>-1647791779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-3359278000</v>
      </c>
      <c r="E62" s="25">
        <f>SUMIFS('Daftar Koreksi'!$I$5:$I$92,'Daftar Koreksi'!$D$5:$D$92,'0400'!A48,'Daftar Koreksi'!$G$5:$G$92,"Gedung dan Bangunan",'Daftar Koreksi'!$I$5:$I$92,"&gt;0")</f>
        <v>0</v>
      </c>
      <c r="F62" s="25">
        <f>SUMIFS('Daftar Koreksi'!$I$5:$I$92,'Daftar Koreksi'!$D$5:$D$92,'0400'!A48,'Daftar Koreksi'!$G$5:$G$92,"Gedung dan Bangunan",'Daftar Koreksi'!$I$5:$I$92,"&lt;0")-SUMIFS('Daftar Koreksi'!$I$5:$I$92,'Daftar Koreksi'!$D$5:$D$92,'0400'!A48,'Daftar Koreksi'!$G$5:$G$92,"Gedung dan Bangunan",'Daftar Koreksi'!$I$5:$I$92,"&lt;0")-SUMIFS('Daftar Koreksi'!$I$5:$I$92,'Daftar Koreksi'!$D$5:$D$92,'0400'!A48,'Daftar Koreksi'!$G$5:$G$92,"Gedung dan Bangunan",'Daftar Koreksi'!$I$5:$I$92,"&lt;0")</f>
        <v>0</v>
      </c>
      <c r="G62" s="17">
        <f t="shared" si="2"/>
        <v>-3359278000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-49191175</v>
      </c>
      <c r="E63" s="25">
        <f>SUMIFS('Daftar Koreksi'!$I$5:$I$92,'Daftar Koreksi'!$D$5:$D$92,'0400'!A48,'Daftar Koreksi'!$G$5:$G$92,"Jalan Irigasi Jaringan",'Daftar Koreksi'!$I$5:$I$92,"&gt;0")</f>
        <v>0</v>
      </c>
      <c r="F63" s="25">
        <f>SUMIFS('Daftar Koreksi'!$I$5:$I$92,'Daftar Koreksi'!$D$5:$D$92,'0400'!A48,'Daftar Koreksi'!$G$5:$G$92,"Jalan Irigasi Jaringan",'Daftar Koreksi'!$I$5:$I$92,"&lt;0")-SUMIFS('Daftar Koreksi'!$I$5:$I$92,'Daftar Koreksi'!$D$5:$D$92,'0400'!A48,'Daftar Koreksi'!$G$5:$G$92,"Jalan Irigasi Jaringan",'Daftar Koreksi'!$I$5:$I$92,"&lt;0")-SUMIFS('Daftar Koreksi'!$I$5:$I$92,'Daftar Koreksi'!$D$5:$D$92,'0400'!A48,'Daftar Koreksi'!$G$5:$G$92,"Jalan Irigasi Jaringan",'Daftar Koreksi'!$I$5:$I$92,"&lt;0")</f>
        <v>0</v>
      </c>
      <c r="G63" s="17">
        <f t="shared" si="2"/>
        <v>-49191175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Koreksi'!$D$5:$D$92,'0400'!A48,'Daftar Koreksi'!$G$5:$G$92,"Aset Tetap Lainnya",'Daftar Koreksi'!$I$5:$I$92,"&gt;0")</f>
        <v>0</v>
      </c>
      <c r="F64" s="25">
        <f>SUMIFS('Daftar Koreksi'!$I$5:$I$92,'Daftar Koreksi'!$D$5:$D$92,'0400'!A48,'Daftar Koreksi'!$G$5:$G$92,"Aset Tetap Lainnya",'Daftar Koreksi'!$I$5:$I$92,"&lt;0")-SUMIFS('Daftar Koreksi'!$I$5:$I$92,'Daftar Koreksi'!$D$5:$D$92,'0400'!A48,'Daftar Koreksi'!$G$5:$G$92,"Aset Tetap Lainnya",'Daftar Koreksi'!$I$5:$I$92,"&lt;0")-SUMIFS('Daftar Koreksi'!$I$5:$I$92,'Daftar Koreksi'!$D$5:$D$92,'0400'!A48,'Daftar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Koreksi'!$D$5:$D$92,'0400'!A48,'Daftar Koreksi'!$G$5:$G$92,"Aset Henti Guna",'Daftar Koreksi'!$I$5:$I$92,"&gt;0")</f>
        <v>0</v>
      </c>
      <c r="F65" s="25">
        <f>SUMIFS('Daftar Koreksi'!$I$5:$I$92,'Daftar Koreksi'!$D$5:$D$92,'0400'!A48,'Daftar Koreksi'!$G$5:$G$92,"Aset Henti Guna",'Daftar Koreksi'!$I$5:$I$92,"&lt;0")-SUMIFS('Daftar Koreksi'!$I$5:$I$92,'Daftar Koreksi'!$D$5:$D$92,'0400'!A48,'Daftar Koreksi'!$G$5:$G$92,"Aset Henti Guna",'Daftar Koreksi'!$I$5:$I$92,"&lt;0")-SUMIFS('Daftar Koreksi'!$I$5:$I$92,'Daftar Koreksi'!$D$5:$D$92,'0400'!A48,'Daftar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-5056260954</v>
      </c>
      <c r="E66" s="19">
        <f>SUM(E61:E65)</f>
        <v>0</v>
      </c>
      <c r="F66" s="19">
        <f>SUM(F61:F65)</f>
        <v>0</v>
      </c>
      <c r="G66" s="19">
        <f t="shared" si="2"/>
        <v>-5056260954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6738054878</v>
      </c>
      <c r="E67" s="19">
        <f>E66+E60</f>
        <v>0</v>
      </c>
      <c r="F67" s="19">
        <f>F66+F60</f>
        <v>0</v>
      </c>
      <c r="G67" s="19">
        <f t="shared" si="2"/>
        <v>6738054878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005010400098082000KD</v>
      </c>
      <c r="B70" s="11" t="str">
        <f>P4</f>
        <v>PN. Sleman</v>
      </c>
      <c r="C70" s="12" t="str">
        <f>A70&amp;" "&amp;B70</f>
        <v>005010400098082000KD PN. Sleman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6205369</v>
      </c>
      <c r="E73" s="25">
        <f>SUMIFS('Daftar Koreksi'!$H$5:$H$92,'Daftar Koreksi'!$D$5:$D$92,'0400'!A70,'Daftar Koreksi'!$G$5:$G$92,"Persediaan",'Daftar Koreksi'!$H$5:$H$92,"&gt;0")</f>
        <v>0</v>
      </c>
      <c r="F73" s="25">
        <f>SUMIFS('Daftar Koreksi'!$H$5:$H$92,'Daftar Koreksi'!$D$5:$D$92,'0400'!A70,'Daftar Koreksi'!$G$5:$G$92,"Persediaan",'Daftar Koreksi'!$H$5:$H$92,"&lt;0")-SUMIFS('Daftar Koreksi'!$H$5:$H$92,'Daftar Koreksi'!$D$5:$D$92,'0400'!A70,'Daftar Koreksi'!$G$5:$G$92,"Persediaan",'Daftar Koreksi'!$H$5:$H$92,"&lt;0")-SUMIFS('Daftar Koreksi'!$H$5:$H$92,'Daftar Koreksi'!$D$5:$D$92,'0400'!A70,'Daftar Koreksi'!$G$5:$G$92,"Persediaan",'Daftar Koreksi'!$H$5:$H$92,"&lt;0")</f>
        <v>0</v>
      </c>
      <c r="G73" s="17">
        <f>D73+E73-F73</f>
        <v>6205369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6777198000</v>
      </c>
      <c r="E74" s="25">
        <f>SUMIFS('Daftar Koreksi'!$H$5:$H$92,'Daftar Koreksi'!$D$5:$D$92,'0400'!A70,'Daftar Koreksi'!$G$5:$G$92,"Tanah",'Daftar Koreksi'!$H$5:$H$92,"&gt;0")</f>
        <v>0</v>
      </c>
      <c r="F74" s="25">
        <f>SUMIFS('Daftar Koreksi'!$H$5:$H$92,'Daftar Koreksi'!$D$5:$D$92,'0400'!A70,'Daftar Koreksi'!$G$5:$G$92,"Tanah",'Daftar Koreksi'!$H$5:$H$92,"&lt;0")-SUMIFS('Daftar Koreksi'!$H$5:$H$92,'Daftar Koreksi'!$D$5:$D$92,'0400'!A70,'Daftar Koreksi'!$G$5:$G$92,"Tanah",'Daftar Koreksi'!$H$5:$H$92,"&lt;0")-SUMIFS('Daftar Koreksi'!$H$5:$H$92,'Daftar Koreksi'!$D$5:$D$92,'0400'!A70,'Daftar Koreksi'!$G$5:$G$92,"Tanah",'Daftar Koreksi'!$H$5:$H$92,"&lt;0")</f>
        <v>0</v>
      </c>
      <c r="G74" s="17">
        <f t="shared" ref="G74:G90" si="3">D74+E74-F74</f>
        <v>6777198000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2737303881</v>
      </c>
      <c r="E75" s="25">
        <f>SUMIFS('Daftar Koreksi'!$H$5:$H$92,'Daftar Koreksi'!$D$5:$D$92,'0400'!A70,'Daftar Koreksi'!$G$5:$G$92,"Peralatan dan mesin",'Daftar Koreksi'!$H$5:$H$92,"&gt;0")</f>
        <v>0</v>
      </c>
      <c r="F75" s="25">
        <f>SUMIFS('Daftar Koreksi'!$H$5:$H$92,'Daftar Koreksi'!$D$5:$D$92,'0400'!A70,'Daftar Koreksi'!$G$5:$G$92,"Peralatan dan mesin",'Daftar Koreksi'!$H$5:$H$92,"&lt;0")-SUMIFS('Daftar Koreksi'!$H$5:$H$92,'Daftar Koreksi'!$D$5:$D$92,'0400'!A70,'Daftar Koreksi'!$G$5:$G$92,"Peralatan dan mesin",'Daftar Koreksi'!$H$5:$H$92,"&lt;0")-SUMIFS('Daftar Koreksi'!$H$5:$H$92,'Daftar Koreksi'!$D$5:$D$92,'0400'!A70,'Daftar Koreksi'!$G$5:$G$92,"Peralatan dan mesin",'Daftar Koreksi'!$H$5:$H$92,"&lt;0")</f>
        <v>0</v>
      </c>
      <c r="G75" s="17">
        <f t="shared" si="3"/>
        <v>2737303881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11163512048</v>
      </c>
      <c r="E76" s="25">
        <f>SUMIFS('Daftar Koreksi'!$H$5:$H$92,'Daftar Koreksi'!$D$5:$D$92,'0400'!A70,'Daftar Koreksi'!$G$5:$G$92,"Gedung dan Bangunan",'Daftar Koreksi'!$H$5:$H$92,"&gt;0")</f>
        <v>0</v>
      </c>
      <c r="F76" s="25">
        <f>SUMIFS('Daftar Koreksi'!$H$5:$H$92,'Daftar Koreksi'!$D$5:$D$92,'0400'!A70,'Daftar Koreksi'!$G$5:$G$92,"Gedung dan Bangunan",'Daftar Koreksi'!$H$5:$H$92,"&lt;0")-SUMIFS('Daftar Koreksi'!$H$5:$H$92,'Daftar Koreksi'!$D$5:$D$92,'0400'!A70,'Daftar Koreksi'!$G$5:$G$92,"Gedung dan Bangunan",'Daftar Koreksi'!$H$5:$H$92,"&lt;0")-SUMIFS('Daftar Koreksi'!$H$5:$H$92,'Daftar Koreksi'!$D$5:$D$92,'0400'!A70,'Daftar Koreksi'!$G$5:$G$92,"Gedung dan Bangunan",'Daftar Koreksi'!$H$5:$H$92,"&lt;0")</f>
        <v>0</v>
      </c>
      <c r="G76" s="17">
        <f t="shared" si="3"/>
        <v>11163512048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Koreksi'!$D$5:$D$92,'0400'!A70,'Daftar Koreksi'!$G$5:$G$92,"Jalan Irigasi Jaringan",'Daftar Koreksi'!$H$5:$H$92,"&gt;0")</f>
        <v>0</v>
      </c>
      <c r="F77" s="25">
        <f>SUMIFS('Daftar Koreksi'!$H$5:$H$92,'Daftar Koreksi'!$D$5:$D$92,'0400'!A70,'Daftar Koreksi'!$G$5:$G$92,"Jalan Irigasi Jaringan",'Daftar Koreksi'!$H$5:$H$92,"&lt;0")-SUMIFS('Daftar Koreksi'!$H$5:$H$92,'Daftar Koreksi'!$D$5:$D$92,'0400'!A70,'Daftar Koreksi'!$G$5:$G$92,"Jalan Irigasi Jaringan",'Daftar Koreksi'!$H$5:$H$92,"&lt;0")-SUMIFS('Daftar Koreksi'!$H$5:$H$92,'Daftar Koreksi'!$D$5:$D$92,'0400'!A70,'Daftar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9038462</v>
      </c>
      <c r="E78" s="25">
        <f>SUMIFS('Daftar Koreksi'!$H$5:$H$92,'Daftar Koreksi'!$D$5:$D$92,'0400'!A70,'Daftar Koreksi'!$G$5:$G$92,"Aset Tetap Lainnya",'Daftar Koreksi'!$H$5:$H$92,"&gt;0")</f>
        <v>0</v>
      </c>
      <c r="F78" s="25">
        <f>SUMIFS('Daftar Koreksi'!$H$5:$H$92,'Daftar Koreksi'!$D$5:$D$92,'0400'!A70,'Daftar Koreksi'!$G$5:$G$92,"Aset Tetap Lainnya",'Daftar Koreksi'!$H$5:$H$92,"&lt;0")-SUMIFS('Daftar Koreksi'!$H$5:$H$92,'Daftar Koreksi'!$D$5:$D$92,'0400'!A70,'Daftar Koreksi'!$G$5:$G$92,"Aset Tetap Lainnya",'Daftar Koreksi'!$H$5:$H$92,"&lt;0")-SUMIFS('Daftar Koreksi'!$H$5:$H$92,'Daftar Koreksi'!$D$5:$D$92,'0400'!A70,'Daftar Koreksi'!$G$5:$G$92,"Aset Tetap Lainnya",'Daftar Koreksi'!$H$5:$H$92,"&lt;0")</f>
        <v>0</v>
      </c>
      <c r="G78" s="17">
        <f t="shared" si="3"/>
        <v>9038462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Koreksi'!$D$5:$D$92,'0400'!A70,'Daftar Koreksi'!$G$5:$G$92,"Kontruksi Dalam Pengerjaan",'Daftar Koreksi'!$H$5:$H$92,"&gt;0")</f>
        <v>0</v>
      </c>
      <c r="F79" s="25">
        <f>SUMIFS('Daftar Koreksi'!$H$5:$H$92,'Daftar Koreksi'!$D$5:$D$92,'0400'!A70,'Daftar Koreksi'!$G$5:$G$92,"Kontruksi Dalam Pengerjaan",'Daftar Koreksi'!$H$5:$H$92,"&lt;0")-SUMIFS('Daftar Koreksi'!$H$5:$H$92,'Daftar Koreksi'!$D$5:$D$92,'0400'!A70,'Daftar Koreksi'!$G$5:$G$92,"Kontruksi Dalam Pengerjaan",'Daftar Koreksi'!$H$5:$H$92,"&lt;0")-SUMIFS('Daftar Koreksi'!$H$5:$H$92,'Daftar Koreksi'!$D$5:$D$92,'0400'!A70,'Daftar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90450000</v>
      </c>
      <c r="E80" s="25">
        <f>SUMIFS('Daftar Koreksi'!$H$5:$H$92,'Daftar Koreksi'!$D$5:$D$92,'0400'!A70,'Daftar Koreksi'!$G$5:$G$92,"Aset Tak Berwujud",'Daftar Koreksi'!$H$5:$H$92,"&gt;0")</f>
        <v>0</v>
      </c>
      <c r="F80" s="25">
        <f>SUMIFS('Daftar Koreksi'!$H$5:$H$92,'Daftar Koreksi'!$D$5:$D$92,'0400'!A70,'Daftar Koreksi'!$G$5:$G$92,"Aset Tak Berwujud",'Daftar Koreksi'!$H$5:$H$92,"&lt;0")-SUMIFS('Daftar Koreksi'!$H$5:$H$92,'Daftar Koreksi'!$D$5:$D$92,'0400'!A70,'Daftar Koreksi'!$G$5:$G$92,"Aset Tak Berwujud",'Daftar Koreksi'!$H$5:$H$92,"&lt;0")-SUMIFS('Daftar Koreksi'!$H$5:$H$92,'Daftar Koreksi'!$D$5:$D$92,'0400'!A70,'Daftar Koreksi'!$G$5:$G$92,"Aset Tak Berwujud",'Daftar Koreksi'!$H$5:$H$92,"&lt;0")</f>
        <v>0</v>
      </c>
      <c r="G80" s="17">
        <f t="shared" si="3"/>
        <v>90450000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96000</v>
      </c>
      <c r="E81" s="25">
        <f>SUMIFS('Daftar Koreksi'!$H$5:$H$92,'Daftar Koreksi'!$D$5:$D$92,'0400'!A70,'Daftar Koreksi'!$G$5:$G$92,"Aset Henti Guna",'Daftar Koreksi'!$H$5:$H$92,"&gt;0")</f>
        <v>0</v>
      </c>
      <c r="F81" s="25">
        <f>SUMIFS('Daftar Koreksi'!$H$5:$H$92,'Daftar Koreksi'!$D$5:$D$92,'0400'!A70,'Daftar Koreksi'!$G$5:$G$92,"Aset Henti Guna",'Daftar Koreksi'!$H$5:$H$92,"&lt;0")-SUMIFS('Daftar Koreksi'!$H$5:$H$92,'Daftar Koreksi'!$D$5:$D$92,'0400'!A70,'Daftar Koreksi'!$G$5:$G$92,"Aset Henti Guna",'Daftar Koreksi'!$H$5:$H$92,"&lt;0")-SUMIFS('Daftar Koreksi'!$H$5:$H$92,'Daftar Koreksi'!$D$5:$D$92,'0400'!A70,'Daftar Koreksi'!$G$5:$G$92,"Aset Henti Guna",'Daftar Koreksi'!$H$5:$H$92,"&lt;0")</f>
        <v>0</v>
      </c>
      <c r="G81" s="17">
        <f t="shared" si="3"/>
        <v>96000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20783803760</v>
      </c>
      <c r="E82" s="19">
        <f>SUM(E73:E81)</f>
        <v>0</v>
      </c>
      <c r="F82" s="19">
        <f>SUM(F73:F81)</f>
        <v>0</v>
      </c>
      <c r="G82" s="19">
        <f t="shared" si="3"/>
        <v>20783803760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-2106349937</v>
      </c>
      <c r="E83" s="25">
        <f>SUMIFS('Daftar Koreksi'!$I$5:$I$92,'Daftar Koreksi'!$D$5:$D$92,'0400'!A70,'Daftar Koreksi'!$G$5:$G$92,"Peralatan dan mesin",'Daftar Koreksi'!$I$5:$I$92,"&gt;0")</f>
        <v>0</v>
      </c>
      <c r="F83" s="25">
        <f>SUMIFS('Daftar Koreksi'!$I$5:$I$92,'Daftar Koreksi'!$D$5:$D$92,'0400'!A70,'Daftar Koreksi'!$G$5:$G$92,"Peralatan dan mesin",'Daftar Koreksi'!$I$5:$I$92,"&lt;0")-SUMIFS('Daftar Koreksi'!$I$5:$I$92,'Daftar Koreksi'!$D$5:$D$92,'0400'!A70,'Daftar Koreksi'!$G$5:$G$92,"Peralatan dan mesin",'Daftar Koreksi'!$I$5:$I$92,"&lt;0")-SUMIFS('Daftar Koreksi'!$I$5:$I$92,'Daftar Koreksi'!$D$5:$D$92,'0400'!A70,'Daftar Koreksi'!$G$5:$G$92,"Peralatan dan mesin",'Daftar Koreksi'!$I$5:$I$92,"&lt;0")</f>
        <v>0</v>
      </c>
      <c r="G83" s="17">
        <f t="shared" si="3"/>
        <v>-2106349937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-3170945423</v>
      </c>
      <c r="E84" s="25">
        <f>SUMIFS('Daftar Koreksi'!$I$5:$I$92,'Daftar Koreksi'!$D$5:$D$92,'0400'!A70,'Daftar Koreksi'!$G$5:$G$92,"Gedung dan Bangunan",'Daftar Koreksi'!$I$5:$I$92,"&gt;0")</f>
        <v>0</v>
      </c>
      <c r="F84" s="25">
        <f>SUMIFS('Daftar Koreksi'!$I$5:$I$92,'Daftar Koreksi'!$D$5:$D$92,'0400'!A70,'Daftar Koreksi'!$G$5:$G$92,"Gedung dan Bangunan",'Daftar Koreksi'!$I$5:$I$92,"&lt;0")-SUMIFS('Daftar Koreksi'!$I$5:$I$92,'Daftar Koreksi'!$D$5:$D$92,'0400'!A70,'Daftar Koreksi'!$G$5:$G$92,"Gedung dan Bangunan",'Daftar Koreksi'!$I$5:$I$92,"&lt;0")-SUMIFS('Daftar Koreksi'!$I$5:$I$92,'Daftar Koreksi'!$D$5:$D$92,'0400'!A70,'Daftar Koreksi'!$G$5:$G$92,"Gedung dan Bangunan",'Daftar Koreksi'!$I$5:$I$92,"&lt;0")</f>
        <v>0</v>
      </c>
      <c r="G84" s="17">
        <f t="shared" si="3"/>
        <v>-3170945423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Koreksi'!$D$5:$D$92,'0400'!A70,'Daftar Koreksi'!$G$5:$G$92,"Jalan Irigasi Jaringan",'Daftar Koreksi'!$I$5:$I$92,"&gt;0")</f>
        <v>0</v>
      </c>
      <c r="F85" s="25">
        <f>SUMIFS('Daftar Koreksi'!$I$5:$I$92,'Daftar Koreksi'!$D$5:$D$92,'0400'!A70,'Daftar Koreksi'!$G$5:$G$92,"Jalan Irigasi Jaringan",'Daftar Koreksi'!$I$5:$I$92,"&lt;0")-SUMIFS('Daftar Koreksi'!$I$5:$I$92,'Daftar Koreksi'!$D$5:$D$92,'0400'!A70,'Daftar Koreksi'!$G$5:$G$92,"Jalan Irigasi Jaringan",'Daftar Koreksi'!$I$5:$I$92,"&lt;0")-SUMIFS('Daftar Koreksi'!$I$5:$I$92,'Daftar Koreksi'!$D$5:$D$92,'0400'!A70,'Daftar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Koreksi'!$D$5:$D$92,'0400'!A70,'Daftar Koreksi'!$G$5:$G$92,"Aset Tetap Lainnya",'Daftar Koreksi'!$I$5:$I$92,"&gt;0")</f>
        <v>0</v>
      </c>
      <c r="F86" s="25">
        <f>SUMIFS('Daftar Koreksi'!$I$5:$I$92,'Daftar Koreksi'!$D$5:$D$92,'0400'!A70,'Daftar Koreksi'!$G$5:$G$92,"Aset Tetap Lainnya",'Daftar Koreksi'!$I$5:$I$92,"&lt;0")-SUMIFS('Daftar Koreksi'!$I$5:$I$92,'Daftar Koreksi'!$D$5:$D$92,'0400'!A70,'Daftar Koreksi'!$G$5:$G$92,"Aset Tetap Lainnya",'Daftar Koreksi'!$I$5:$I$92,"&lt;0")-SUMIFS('Daftar Koreksi'!$I$5:$I$92,'Daftar Koreksi'!$D$5:$D$92,'0400'!A70,'Daftar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-96000</v>
      </c>
      <c r="E87" s="25">
        <f>SUMIFS('Daftar Koreksi'!$I$5:$I$92,'Daftar Koreksi'!$D$5:$D$92,'0400'!A70,'Daftar Koreksi'!$G$5:$G$92,"Aset Henti Guna",'Daftar Koreksi'!$I$5:$I$92,"&gt;0")</f>
        <v>0</v>
      </c>
      <c r="F87" s="25">
        <f>SUMIFS('Daftar Koreksi'!$I$5:$I$92,'Daftar Koreksi'!$D$5:$D$92,'0400'!A70,'Daftar Koreksi'!$G$5:$G$92,"Aset Henti Guna",'Daftar Koreksi'!$I$5:$I$92,"&lt;0")-SUMIFS('Daftar Koreksi'!$I$5:$I$92,'Daftar Koreksi'!$D$5:$D$92,'0400'!A70,'Daftar Koreksi'!$G$5:$G$92,"Aset Henti Guna",'Daftar Koreksi'!$I$5:$I$92,"&lt;0")-SUMIFS('Daftar Koreksi'!$I$5:$I$92,'Daftar Koreksi'!$D$5:$D$92,'0400'!A70,'Daftar Koreksi'!$G$5:$G$92,"Aset Henti Guna",'Daftar Koreksi'!$I$5:$I$92,"&lt;0")</f>
        <v>0</v>
      </c>
      <c r="G87" s="17">
        <f t="shared" si="3"/>
        <v>-96000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-5277391360</v>
      </c>
      <c r="E88" s="19">
        <f>SUM(E83:E87)</f>
        <v>0</v>
      </c>
      <c r="F88" s="19">
        <f>SUM(F83:F87)</f>
        <v>0</v>
      </c>
      <c r="G88" s="19">
        <f t="shared" si="3"/>
        <v>-5277391360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15506412400</v>
      </c>
      <c r="E89" s="19">
        <f>E88+E82</f>
        <v>0</v>
      </c>
      <c r="F89" s="19">
        <f>F88+F82</f>
        <v>0</v>
      </c>
      <c r="G89" s="19">
        <f t="shared" si="3"/>
        <v>15506412400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005010400400172000KD</v>
      </c>
      <c r="B92" s="11" t="str">
        <f>P5</f>
        <v>PN. Bantul</v>
      </c>
      <c r="C92" s="12" t="str">
        <f>A92&amp;" "&amp;B92</f>
        <v>005010400400172000KD PN. Bantul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6151600</v>
      </c>
      <c r="E95" s="25">
        <f>SUMIFS('Daftar Koreksi'!$H$5:$H$92,'Daftar Koreksi'!$D$5:$D$92,'0400'!A92,'Daftar Koreksi'!$G$5:$G$92,"Persediaan",'Daftar Koreksi'!$H$5:$H$92,"&gt;0")</f>
        <v>0</v>
      </c>
      <c r="F95" s="25">
        <f>SUMIFS('Daftar Koreksi'!$H$5:$H$92,'Daftar Koreksi'!$D$5:$D$92,'0400'!A92,'Daftar Koreksi'!$G$5:$G$92,"Persediaan",'Daftar Koreksi'!$H$5:$H$92,"&lt;0")-SUMIFS('Daftar Koreksi'!$H$5:$H$92,'Daftar Koreksi'!$D$5:$D$92,'0400'!A92,'Daftar Koreksi'!$G$5:$G$92,"Persediaan",'Daftar Koreksi'!$H$5:$H$92,"&lt;0")-SUMIFS('Daftar Koreksi'!$H$5:$H$92,'Daftar Koreksi'!$D$5:$D$92,'0400'!A92,'Daftar Koreksi'!$G$5:$G$92,"Persediaan",'Daftar Koreksi'!$H$5:$H$92,"&lt;0")</f>
        <v>0</v>
      </c>
      <c r="G95" s="17">
        <f>D95+E95-F95</f>
        <v>6151600</v>
      </c>
      <c r="H95" s="121" t="str">
        <f>IF(ISNA(VLOOKUP(A92,'Mutasi Neraca'!$A$3:$S$914,19,FALSE)),"-",VLOOKUP(A92,'Mutasi Neraca'!$A$3:$S$914,19,FALSE))</f>
        <v>TP. No 3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4089224000</v>
      </c>
      <c r="E96" s="25">
        <f>SUMIFS('Daftar Koreksi'!$H$5:$H$92,'Daftar Koreksi'!$D$5:$D$92,'0400'!A92,'Daftar Koreksi'!$G$5:$G$92,"Tanah",'Daftar Koreksi'!$H$5:$H$92,"&gt;0")</f>
        <v>0</v>
      </c>
      <c r="F96" s="25">
        <f>SUMIFS('Daftar Koreksi'!$H$5:$H$92,'Daftar Koreksi'!$D$5:$D$92,'0400'!A92,'Daftar Koreksi'!$G$5:$G$92,"Tanah",'Daftar Koreksi'!$H$5:$H$92,"&lt;0")-SUMIFS('Daftar Koreksi'!$H$5:$H$92,'Daftar Koreksi'!$D$5:$D$92,'0400'!A92,'Daftar Koreksi'!$G$5:$G$92,"Tanah",'Daftar Koreksi'!$H$5:$H$92,"&lt;0")-SUMIFS('Daftar Koreksi'!$H$5:$H$92,'Daftar Koreksi'!$D$5:$D$92,'0400'!A92,'Daftar Koreksi'!$G$5:$G$92,"Tanah",'Daftar Koreksi'!$H$5:$H$92,"&lt;0")</f>
        <v>0</v>
      </c>
      <c r="G96" s="17">
        <f t="shared" ref="G96:G112" si="4">D96+E96-F96</f>
        <v>4089224000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2018975209</v>
      </c>
      <c r="E97" s="25">
        <f>SUMIFS('Daftar Koreksi'!$H$5:$H$92,'Daftar Koreksi'!$D$5:$D$92,'0400'!A92,'Daftar Koreksi'!$G$5:$G$92,"Peralatan dan mesin",'Daftar Koreksi'!$H$5:$H$92,"&gt;0")</f>
        <v>0</v>
      </c>
      <c r="F97" s="25">
        <f>SUMIFS('Daftar Koreksi'!$H$5:$H$92,'Daftar Koreksi'!$D$5:$D$92,'0400'!A92,'Daftar Koreksi'!$G$5:$G$92,"Peralatan dan mesin",'Daftar Koreksi'!$H$5:$H$92,"&lt;0")-SUMIFS('Daftar Koreksi'!$H$5:$H$92,'Daftar Koreksi'!$D$5:$D$92,'0400'!A92,'Daftar Koreksi'!$G$5:$G$92,"Peralatan dan mesin",'Daftar Koreksi'!$H$5:$H$92,"&lt;0")-SUMIFS('Daftar Koreksi'!$H$5:$H$92,'Daftar Koreksi'!$D$5:$D$92,'0400'!A92,'Daftar Koreksi'!$G$5:$G$92,"Peralatan dan mesin",'Daftar Koreksi'!$H$5:$H$92,"&lt;0")</f>
        <v>0</v>
      </c>
      <c r="G97" s="17">
        <f t="shared" si="4"/>
        <v>2018975209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5065365550</v>
      </c>
      <c r="E98" s="25">
        <f>SUMIFS('Daftar Koreksi'!$H$5:$H$92,'Daftar Koreksi'!$D$5:$D$92,'0400'!A92,'Daftar Koreksi'!$G$5:$G$92,"Gedung dan Bangunan",'Daftar Koreksi'!$H$5:$H$92,"&gt;0")</f>
        <v>0</v>
      </c>
      <c r="F98" s="25">
        <f>SUMIFS('Daftar Koreksi'!$H$5:$H$92,'Daftar Koreksi'!$D$5:$D$92,'0400'!A92,'Daftar Koreksi'!$G$5:$G$92,"Gedung dan Bangunan",'Daftar Koreksi'!$H$5:$H$92,"&lt;0")-SUMIFS('Daftar Koreksi'!$H$5:$H$92,'Daftar Koreksi'!$D$5:$D$92,'0400'!A92,'Daftar Koreksi'!$G$5:$G$92,"Gedung dan Bangunan",'Daftar Koreksi'!$H$5:$H$92,"&lt;0")-SUMIFS('Daftar Koreksi'!$H$5:$H$92,'Daftar Koreksi'!$D$5:$D$92,'0400'!A92,'Daftar Koreksi'!$G$5:$G$92,"Gedung dan Bangunan",'Daftar Koreksi'!$H$5:$H$92,"&lt;0")</f>
        <v>0</v>
      </c>
      <c r="G98" s="17">
        <f t="shared" si="4"/>
        <v>5065365550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29150000</v>
      </c>
      <c r="E99" s="25">
        <f>SUMIFS('Daftar Koreksi'!$H$5:$H$92,'Daftar Koreksi'!$D$5:$D$92,'0400'!A92,'Daftar Koreksi'!$G$5:$G$92,"Jalan Irigasi Jaringan",'Daftar Koreksi'!$H$5:$H$92,"&gt;0")</f>
        <v>0</v>
      </c>
      <c r="F99" s="25">
        <f>SUMIFS('Daftar Koreksi'!$H$5:$H$92,'Daftar Koreksi'!$D$5:$D$92,'0400'!A92,'Daftar Koreksi'!$G$5:$G$92,"Jalan Irigasi Jaringan",'Daftar Koreksi'!$H$5:$H$92,"&lt;0")-SUMIFS('Daftar Koreksi'!$H$5:$H$92,'Daftar Koreksi'!$D$5:$D$92,'0400'!A92,'Daftar Koreksi'!$G$5:$G$92,"Jalan Irigasi Jaringan",'Daftar Koreksi'!$H$5:$H$92,"&lt;0")-SUMIFS('Daftar Koreksi'!$H$5:$H$92,'Daftar Koreksi'!$D$5:$D$92,'0400'!A92,'Daftar Koreksi'!$G$5:$G$92,"Jalan Irigasi Jaringan",'Daftar Koreksi'!$H$5:$H$92,"&lt;0")</f>
        <v>0</v>
      </c>
      <c r="G99" s="17">
        <f t="shared" si="4"/>
        <v>29150000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43740440</v>
      </c>
      <c r="E100" s="25">
        <f>SUMIFS('Daftar Koreksi'!$H$5:$H$92,'Daftar Koreksi'!$D$5:$D$92,'0400'!A92,'Daftar Koreksi'!$G$5:$G$92,"Aset Tetap Lainnya",'Daftar Koreksi'!$H$5:$H$92,"&gt;0")</f>
        <v>4411622</v>
      </c>
      <c r="F100" s="25">
        <f>SUMIFS('Daftar Koreksi'!$H$5:$H$92,'Daftar Koreksi'!$D$5:$D$92,'0400'!A92,'Daftar Koreksi'!$G$5:$G$92,"Aset Tetap Lainnya",'Daftar Koreksi'!$H$5:$H$92,"&lt;0")-SUMIFS('Daftar Koreksi'!$H$5:$H$92,'Daftar Koreksi'!$D$5:$D$92,'0400'!A92,'Daftar Koreksi'!$G$5:$G$92,"Aset Tetap Lainnya",'Daftar Koreksi'!$H$5:$H$92,"&lt;0")-SUMIFS('Daftar Koreksi'!$H$5:$H$92,'Daftar Koreksi'!$D$5:$D$92,'0400'!A92,'Daftar Koreksi'!$G$5:$G$92,"Aset Tetap Lainnya",'Daftar Koreksi'!$H$5:$H$92,"&lt;0")</f>
        <v>0</v>
      </c>
      <c r="G100" s="17">
        <f t="shared" si="4"/>
        <v>48152062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Koreksi'!$D$5:$D$92,'0400'!A92,'Daftar Koreksi'!$G$5:$G$92,"Kontruksi Dalam Pengerjaan",'Daftar Koreksi'!$H$5:$H$92,"&gt;0")</f>
        <v>0</v>
      </c>
      <c r="F101" s="25">
        <f>SUMIFS('Daftar Koreksi'!$H$5:$H$92,'Daftar Koreksi'!$D$5:$D$92,'0400'!A92,'Daftar Koreksi'!$G$5:$G$92,"Kontruksi Dalam Pengerjaan",'Daftar Koreksi'!$H$5:$H$92,"&lt;0")-SUMIFS('Daftar Koreksi'!$H$5:$H$92,'Daftar Koreksi'!$D$5:$D$92,'0400'!A92,'Daftar Koreksi'!$G$5:$G$92,"Kontruksi Dalam Pengerjaan",'Daftar Koreksi'!$H$5:$H$92,"&lt;0")-SUMIFS('Daftar Koreksi'!$H$5:$H$92,'Daftar Koreksi'!$D$5:$D$92,'0400'!A92,'Daftar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74570000</v>
      </c>
      <c r="E102" s="25">
        <f>SUMIFS('Daftar Koreksi'!$H$5:$H$92,'Daftar Koreksi'!$D$5:$D$92,'0400'!A92,'Daftar Koreksi'!$G$5:$G$92,"Aset Tak Berwujud",'Daftar Koreksi'!$H$5:$H$92,"&gt;0")</f>
        <v>0</v>
      </c>
      <c r="F102" s="25">
        <f>SUMIFS('Daftar Koreksi'!$H$5:$H$92,'Daftar Koreksi'!$D$5:$D$92,'0400'!A92,'Daftar Koreksi'!$G$5:$G$92,"Aset Tak Berwujud",'Daftar Koreksi'!$H$5:$H$92,"&lt;0")-SUMIFS('Daftar Koreksi'!$H$5:$H$92,'Daftar Koreksi'!$D$5:$D$92,'0400'!A92,'Daftar Koreksi'!$G$5:$G$92,"Aset Tak Berwujud",'Daftar Koreksi'!$H$5:$H$92,"&lt;0")-SUMIFS('Daftar Koreksi'!$H$5:$H$92,'Daftar Koreksi'!$D$5:$D$92,'0400'!A92,'Daftar Koreksi'!$G$5:$G$92,"Aset Tak Berwujud",'Daftar Koreksi'!$H$5:$H$92,"&lt;0")</f>
        <v>0</v>
      </c>
      <c r="G102" s="17">
        <f t="shared" si="4"/>
        <v>74570000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58921000</v>
      </c>
      <c r="E103" s="25">
        <f>SUMIFS('Daftar Koreksi'!$H$5:$H$92,'Daftar Koreksi'!$D$5:$D$92,'0400'!A92,'Daftar Koreksi'!$G$5:$G$92,"Aset Henti Guna",'Daftar Koreksi'!$H$5:$H$92,"&gt;0")</f>
        <v>0</v>
      </c>
      <c r="F103" s="25">
        <f>SUMIFS('Daftar Koreksi'!$H$5:$H$92,'Daftar Koreksi'!$D$5:$D$92,'0400'!A92,'Daftar Koreksi'!$G$5:$G$92,"Aset Henti Guna",'Daftar Koreksi'!$H$5:$H$92,"&lt;0")-SUMIFS('Daftar Koreksi'!$H$5:$H$92,'Daftar Koreksi'!$D$5:$D$92,'0400'!A92,'Daftar Koreksi'!$G$5:$G$92,"Aset Henti Guna",'Daftar Koreksi'!$H$5:$H$92,"&lt;0")-SUMIFS('Daftar Koreksi'!$H$5:$H$92,'Daftar Koreksi'!$D$5:$D$92,'0400'!A92,'Daftar Koreksi'!$G$5:$G$92,"Aset Henti Guna",'Daftar Koreksi'!$H$5:$H$92,"&lt;0")</f>
        <v>0</v>
      </c>
      <c r="G103" s="17">
        <f t="shared" si="4"/>
        <v>58921000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11386097799</v>
      </c>
      <c r="E104" s="19">
        <f>SUM(E95:E103)</f>
        <v>4411622</v>
      </c>
      <c r="F104" s="19">
        <f>SUM(F95:F103)</f>
        <v>0</v>
      </c>
      <c r="G104" s="19">
        <f t="shared" si="4"/>
        <v>11390509421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-1858299014</v>
      </c>
      <c r="E105" s="25">
        <f>SUMIFS('Daftar Koreksi'!$I$5:$I$92,'Daftar Koreksi'!$D$5:$D$92,'0400'!A92,'Daftar Koreksi'!$G$5:$G$92,"Peralatan dan mesin",'Daftar Koreksi'!$I$5:$I$92,"&gt;0")</f>
        <v>0</v>
      </c>
      <c r="F105" s="25">
        <f>SUMIFS('Daftar Koreksi'!$I$5:$I$92,'Daftar Koreksi'!$D$5:$D$92,'0400'!A92,'Daftar Koreksi'!$G$5:$G$92,"Peralatan dan mesin",'Daftar Koreksi'!$I$5:$I$92,"&lt;0")-SUMIFS('Daftar Koreksi'!$I$5:$I$92,'Daftar Koreksi'!$D$5:$D$92,'0400'!A92,'Daftar Koreksi'!$G$5:$G$92,"Peralatan dan mesin",'Daftar Koreksi'!$I$5:$I$92,"&lt;0")-SUMIFS('Daftar Koreksi'!$I$5:$I$92,'Daftar Koreksi'!$D$5:$D$92,'0400'!A92,'Daftar Koreksi'!$G$5:$G$92,"Peralatan dan mesin",'Daftar Koreksi'!$I$5:$I$92,"&lt;0")</f>
        <v>0</v>
      </c>
      <c r="G105" s="17">
        <f t="shared" si="4"/>
        <v>-1858299014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-3319274028</v>
      </c>
      <c r="E106" s="25">
        <f>SUMIFS('Daftar Koreksi'!$I$5:$I$92,'Daftar Koreksi'!$D$5:$D$92,'0400'!A92,'Daftar Koreksi'!$G$5:$G$92,"Gedung dan Bangunan",'Daftar Koreksi'!$I$5:$I$92,"&gt;0")</f>
        <v>0</v>
      </c>
      <c r="F106" s="25">
        <f>SUMIFS('Daftar Koreksi'!$I$5:$I$92,'Daftar Koreksi'!$D$5:$D$92,'0400'!A92,'Daftar Koreksi'!$G$5:$G$92,"Gedung dan Bangunan",'Daftar Koreksi'!$I$5:$I$92,"&lt;0")-SUMIFS('Daftar Koreksi'!$I$5:$I$92,'Daftar Koreksi'!$D$5:$D$92,'0400'!A92,'Daftar Koreksi'!$G$5:$G$92,"Gedung dan Bangunan",'Daftar Koreksi'!$I$5:$I$92,"&lt;0")-SUMIFS('Daftar Koreksi'!$I$5:$I$92,'Daftar Koreksi'!$D$5:$D$92,'0400'!A92,'Daftar Koreksi'!$G$5:$G$92,"Gedung dan Bangunan",'Daftar Koreksi'!$I$5:$I$92,"&lt;0")</f>
        <v>0</v>
      </c>
      <c r="G106" s="17">
        <f t="shared" si="4"/>
        <v>-3319274028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-18947500</v>
      </c>
      <c r="E107" s="25">
        <f>SUMIFS('Daftar Koreksi'!$I$5:$I$92,'Daftar Koreksi'!$D$5:$D$92,'0400'!A92,'Daftar Koreksi'!$G$5:$G$92,"Jalan Irigasi Jaringan",'Daftar Koreksi'!$I$5:$I$92,"&gt;0")</f>
        <v>0</v>
      </c>
      <c r="F107" s="25">
        <f>SUMIFS('Daftar Koreksi'!$I$5:$I$92,'Daftar Koreksi'!$D$5:$D$92,'0400'!A92,'Daftar Koreksi'!$G$5:$G$92,"Jalan Irigasi Jaringan",'Daftar Koreksi'!$I$5:$I$92,"&lt;0")-SUMIFS('Daftar Koreksi'!$I$5:$I$92,'Daftar Koreksi'!$D$5:$D$92,'0400'!A92,'Daftar Koreksi'!$G$5:$G$92,"Jalan Irigasi Jaringan",'Daftar Koreksi'!$I$5:$I$92,"&lt;0")-SUMIFS('Daftar Koreksi'!$I$5:$I$92,'Daftar Koreksi'!$D$5:$D$92,'0400'!A92,'Daftar Koreksi'!$G$5:$G$92,"Jalan Irigasi Jaringan",'Daftar Koreksi'!$I$5:$I$92,"&lt;0")</f>
        <v>0</v>
      </c>
      <c r="G107" s="17">
        <f t="shared" si="4"/>
        <v>-18947500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Koreksi'!$D$5:$D$92,'0400'!A92,'Daftar Koreksi'!$G$5:$G$92,"Aset Tetap Lainnya",'Daftar Koreksi'!$I$5:$I$92,"&gt;0")</f>
        <v>0</v>
      </c>
      <c r="F108" s="25">
        <f>SUMIFS('Daftar Koreksi'!$I$5:$I$92,'Daftar Koreksi'!$D$5:$D$92,'0400'!A92,'Daftar Koreksi'!$G$5:$G$92,"Aset Tetap Lainnya",'Daftar Koreksi'!$I$5:$I$92,"&lt;0")-SUMIFS('Daftar Koreksi'!$I$5:$I$92,'Daftar Koreksi'!$D$5:$D$92,'0400'!A92,'Daftar Koreksi'!$G$5:$G$92,"Aset Tetap Lainnya",'Daftar Koreksi'!$I$5:$I$92,"&lt;0")-SUMIFS('Daftar Koreksi'!$I$5:$I$92,'Daftar Koreksi'!$D$5:$D$92,'0400'!A92,'Daftar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-58921000</v>
      </c>
      <c r="E109" s="25">
        <f>SUMIFS('Daftar Koreksi'!$I$5:$I$92,'Daftar Koreksi'!$D$5:$D$92,'0400'!A92,'Daftar Koreksi'!$G$5:$G$92,"Aset Henti Guna",'Daftar Koreksi'!$I$5:$I$92,"&gt;0")</f>
        <v>0</v>
      </c>
      <c r="F109" s="25">
        <f>SUMIFS('Daftar Koreksi'!$I$5:$I$92,'Daftar Koreksi'!$D$5:$D$92,'0400'!A92,'Daftar Koreksi'!$G$5:$G$92,"Aset Henti Guna",'Daftar Koreksi'!$I$5:$I$92,"&lt;0")-SUMIFS('Daftar Koreksi'!$I$5:$I$92,'Daftar Koreksi'!$D$5:$D$92,'0400'!A92,'Daftar Koreksi'!$G$5:$G$92,"Aset Henti Guna",'Daftar Koreksi'!$I$5:$I$92,"&lt;0")-SUMIFS('Daftar Koreksi'!$I$5:$I$92,'Daftar Koreksi'!$D$5:$D$92,'0400'!A92,'Daftar Koreksi'!$G$5:$G$92,"Aset Henti Guna",'Daftar Koreksi'!$I$5:$I$92,"&lt;0")</f>
        <v>0</v>
      </c>
      <c r="G109" s="17">
        <f t="shared" si="4"/>
        <v>-58921000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-5255441542</v>
      </c>
      <c r="E110" s="19">
        <f>SUM(E105:E109)</f>
        <v>0</v>
      </c>
      <c r="F110" s="19">
        <f>SUM(F105:F109)</f>
        <v>0</v>
      </c>
      <c r="G110" s="19">
        <f t="shared" si="4"/>
        <v>-5255441542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6130656257</v>
      </c>
      <c r="E111" s="19">
        <f>E110+E104</f>
        <v>4411622</v>
      </c>
      <c r="F111" s="19">
        <f>F110+F104</f>
        <v>0</v>
      </c>
      <c r="G111" s="19">
        <f t="shared" si="4"/>
        <v>6135067879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005010400400342000KD</v>
      </c>
      <c r="B114" s="11" t="str">
        <f>P6</f>
        <v>PT. Yogyakarta</v>
      </c>
      <c r="C114" s="12" t="str">
        <f>A114&amp;" "&amp;B114</f>
        <v>005010400400342000KD PT. Yogyakarta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10324706</v>
      </c>
      <c r="E117" s="25">
        <f>SUMIFS('Daftar Koreksi'!$H$5:$H$92,'Daftar Koreksi'!$D$5:$D$92,'0400'!A114,'Daftar Koreksi'!$G$5:$G$92,"Persediaan",'Daftar Koreksi'!$H$5:$H$92,"&gt;0")</f>
        <v>0</v>
      </c>
      <c r="F117" s="25">
        <f>SUMIFS('Daftar Koreksi'!$H$5:$H$92,'Daftar Koreksi'!$D$5:$D$92,'0400'!A114,'Daftar Koreksi'!$G$5:$G$92,"Persediaan",'Daftar Koreksi'!$H$5:$H$92,"&lt;0")-SUMIFS('Daftar Koreksi'!$H$5:$H$92,'Daftar Koreksi'!$D$5:$D$92,'0400'!A114,'Daftar Koreksi'!$G$5:$G$92,"Persediaan",'Daftar Koreksi'!$H$5:$H$92,"&lt;0")-SUMIFS('Daftar Koreksi'!$H$5:$H$92,'Daftar Koreksi'!$D$5:$D$92,'0400'!A114,'Daftar Koreksi'!$G$5:$G$92,"Persediaan",'Daftar Koreksi'!$H$5:$H$92,"&lt;0")</f>
        <v>0</v>
      </c>
      <c r="G117" s="17">
        <f>D117+E117-F117</f>
        <v>10324706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8796858000</v>
      </c>
      <c r="E118" s="25">
        <f>SUMIFS('Daftar Koreksi'!$H$5:$H$92,'Daftar Koreksi'!$D$5:$D$92,'0400'!A114,'Daftar Koreksi'!$G$5:$G$92,"Tanah",'Daftar Koreksi'!$H$5:$H$92,"&gt;0")</f>
        <v>0</v>
      </c>
      <c r="F118" s="25">
        <f>SUMIFS('Daftar Koreksi'!$H$5:$H$92,'Daftar Koreksi'!$D$5:$D$92,'0400'!A114,'Daftar Koreksi'!$G$5:$G$92,"Tanah",'Daftar Koreksi'!$H$5:$H$92,"&lt;0")-SUMIFS('Daftar Koreksi'!$H$5:$H$92,'Daftar Koreksi'!$D$5:$D$92,'0400'!A114,'Daftar Koreksi'!$G$5:$G$92,"Tanah",'Daftar Koreksi'!$H$5:$H$92,"&lt;0")-SUMIFS('Daftar Koreksi'!$H$5:$H$92,'Daftar Koreksi'!$D$5:$D$92,'0400'!A114,'Daftar Koreksi'!$G$5:$G$92,"Tanah",'Daftar Koreksi'!$H$5:$H$92,"&lt;0")</f>
        <v>0</v>
      </c>
      <c r="G118" s="17">
        <f t="shared" ref="G118:G134" si="5">D118+E118-F118</f>
        <v>8796858000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5442917941</v>
      </c>
      <c r="E119" s="25">
        <f>SUMIFS('Daftar Koreksi'!$H$5:$H$92,'Daftar Koreksi'!$D$5:$D$92,'0400'!A114,'Daftar Koreksi'!$G$5:$G$92,"Peralatan dan mesin",'Daftar Koreksi'!$H$5:$H$92,"&gt;0")</f>
        <v>0</v>
      </c>
      <c r="F119" s="25">
        <f>SUMIFS('Daftar Koreksi'!$H$5:$H$92,'Daftar Koreksi'!$D$5:$D$92,'0400'!A114,'Daftar Koreksi'!$G$5:$G$92,"Peralatan dan mesin",'Daftar Koreksi'!$H$5:$H$92,"&lt;0")-SUMIFS('Daftar Koreksi'!$H$5:$H$92,'Daftar Koreksi'!$D$5:$D$92,'0400'!A114,'Daftar Koreksi'!$G$5:$G$92,"Peralatan dan mesin",'Daftar Koreksi'!$H$5:$H$92,"&lt;0")-SUMIFS('Daftar Koreksi'!$H$5:$H$92,'Daftar Koreksi'!$D$5:$D$92,'0400'!A114,'Daftar Koreksi'!$G$5:$G$92,"Peralatan dan mesin",'Daftar Koreksi'!$H$5:$H$92,"&lt;0")</f>
        <v>0</v>
      </c>
      <c r="G119" s="17">
        <f t="shared" si="5"/>
        <v>5442917941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15451541112</v>
      </c>
      <c r="E120" s="25">
        <f>SUMIFS('Daftar Koreksi'!$H$5:$H$92,'Daftar Koreksi'!$D$5:$D$92,'0400'!A114,'Daftar Koreksi'!$G$5:$G$92,"Gedung dan Bangunan",'Daftar Koreksi'!$H$5:$H$92,"&gt;0")</f>
        <v>0</v>
      </c>
      <c r="F120" s="25">
        <f>SUMIFS('Daftar Koreksi'!$H$5:$H$92,'Daftar Koreksi'!$D$5:$D$92,'0400'!A114,'Daftar Koreksi'!$G$5:$G$92,"Gedung dan Bangunan",'Daftar Koreksi'!$H$5:$H$92,"&lt;0")-SUMIFS('Daftar Koreksi'!$H$5:$H$92,'Daftar Koreksi'!$D$5:$D$92,'0400'!A114,'Daftar Koreksi'!$G$5:$G$92,"Gedung dan Bangunan",'Daftar Koreksi'!$H$5:$H$92,"&lt;0")-SUMIFS('Daftar Koreksi'!$H$5:$H$92,'Daftar Koreksi'!$D$5:$D$92,'0400'!A114,'Daftar Koreksi'!$G$5:$G$92,"Gedung dan Bangunan",'Daftar Koreksi'!$H$5:$H$92,"&lt;0")</f>
        <v>0</v>
      </c>
      <c r="G120" s="17">
        <f t="shared" si="5"/>
        <v>15451541112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155789484</v>
      </c>
      <c r="E121" s="25">
        <f>SUMIFS('Daftar Koreksi'!$H$5:$H$92,'Daftar Koreksi'!$D$5:$D$92,'0400'!A114,'Daftar Koreksi'!$G$5:$G$92,"Jalan Irigasi Jaringan",'Daftar Koreksi'!$H$5:$H$92,"&gt;0")</f>
        <v>0</v>
      </c>
      <c r="F121" s="25">
        <f>SUMIFS('Daftar Koreksi'!$H$5:$H$92,'Daftar Koreksi'!$D$5:$D$92,'0400'!A114,'Daftar Koreksi'!$G$5:$G$92,"Jalan Irigasi Jaringan",'Daftar Koreksi'!$H$5:$H$92,"&lt;0")-SUMIFS('Daftar Koreksi'!$H$5:$H$92,'Daftar Koreksi'!$D$5:$D$92,'0400'!A114,'Daftar Koreksi'!$G$5:$G$92,"Jalan Irigasi Jaringan",'Daftar Koreksi'!$H$5:$H$92,"&lt;0")-SUMIFS('Daftar Koreksi'!$H$5:$H$92,'Daftar Koreksi'!$D$5:$D$92,'0400'!A114,'Daftar Koreksi'!$G$5:$G$92,"Jalan Irigasi Jaringan",'Daftar Koreksi'!$H$5:$H$92,"&lt;0")</f>
        <v>0</v>
      </c>
      <c r="G121" s="17">
        <f t="shared" si="5"/>
        <v>155789484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161830482</v>
      </c>
      <c r="E122" s="25">
        <f>SUMIFS('Daftar Koreksi'!$H$5:$H$92,'Daftar Koreksi'!$D$5:$D$92,'0400'!A114,'Daftar Koreksi'!$G$5:$G$92,"Aset Tetap Lainnya",'Daftar Koreksi'!$H$5:$H$92,"&gt;0")</f>
        <v>0</v>
      </c>
      <c r="F122" s="25">
        <f>SUMIFS('Daftar Koreksi'!$H$5:$H$92,'Daftar Koreksi'!$D$5:$D$92,'0400'!A114,'Daftar Koreksi'!$G$5:$G$92,"Aset Tetap Lainnya",'Daftar Koreksi'!$H$5:$H$92,"&lt;0")-SUMIFS('Daftar Koreksi'!$H$5:$H$92,'Daftar Koreksi'!$D$5:$D$92,'0400'!A114,'Daftar Koreksi'!$G$5:$G$92,"Aset Tetap Lainnya",'Daftar Koreksi'!$H$5:$H$92,"&lt;0")-SUMIFS('Daftar Koreksi'!$H$5:$H$92,'Daftar Koreksi'!$D$5:$D$92,'0400'!A114,'Daftar Koreksi'!$G$5:$G$92,"Aset Tetap Lainnya",'Daftar Koreksi'!$H$5:$H$92,"&lt;0")</f>
        <v>0</v>
      </c>
      <c r="G122" s="17">
        <f t="shared" si="5"/>
        <v>161830482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Koreksi'!$D$5:$D$92,'0400'!A114,'Daftar Koreksi'!$G$5:$G$92,"Kontruksi Dalam Pengerjaan",'Daftar Koreksi'!$H$5:$H$92,"&gt;0")</f>
        <v>0</v>
      </c>
      <c r="F123" s="25">
        <f>SUMIFS('Daftar Koreksi'!$H$5:$H$92,'Daftar Koreksi'!$D$5:$D$92,'0400'!A114,'Daftar Koreksi'!$G$5:$G$92,"Kontruksi Dalam Pengerjaan",'Daftar Koreksi'!$H$5:$H$92,"&lt;0")-SUMIFS('Daftar Koreksi'!$H$5:$H$92,'Daftar Koreksi'!$D$5:$D$92,'0400'!A114,'Daftar Koreksi'!$G$5:$G$92,"Kontruksi Dalam Pengerjaan",'Daftar Koreksi'!$H$5:$H$92,"&lt;0")-SUMIFS('Daftar Koreksi'!$H$5:$H$92,'Daftar Koreksi'!$D$5:$D$92,'0400'!A114,'Daftar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76347200</v>
      </c>
      <c r="E124" s="25">
        <f>SUMIFS('Daftar Koreksi'!$H$5:$H$92,'Daftar Koreksi'!$D$5:$D$92,'0400'!A114,'Daftar Koreksi'!$G$5:$G$92,"Aset Tak Berwujud",'Daftar Koreksi'!$H$5:$H$92,"&gt;0")</f>
        <v>0</v>
      </c>
      <c r="F124" s="25">
        <f>SUMIFS('Daftar Koreksi'!$H$5:$H$92,'Daftar Koreksi'!$D$5:$D$92,'0400'!A114,'Daftar Koreksi'!$G$5:$G$92,"Aset Tak Berwujud",'Daftar Koreksi'!$H$5:$H$92,"&lt;0")-SUMIFS('Daftar Koreksi'!$H$5:$H$92,'Daftar Koreksi'!$D$5:$D$92,'0400'!A114,'Daftar Koreksi'!$G$5:$G$92,"Aset Tak Berwujud",'Daftar Koreksi'!$H$5:$H$92,"&lt;0")-SUMIFS('Daftar Koreksi'!$H$5:$H$92,'Daftar Koreksi'!$D$5:$D$92,'0400'!A114,'Daftar Koreksi'!$G$5:$G$92,"Aset Tak Berwujud",'Daftar Koreksi'!$H$5:$H$92,"&lt;0")</f>
        <v>0</v>
      </c>
      <c r="G124" s="17">
        <f t="shared" si="5"/>
        <v>76347200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Koreksi'!$D$5:$D$92,'0400'!A114,'Daftar Koreksi'!$G$5:$G$92,"Aset Henti Guna",'Daftar Koreksi'!$H$5:$H$92,"&gt;0")</f>
        <v>0</v>
      </c>
      <c r="F125" s="25">
        <f>SUMIFS('Daftar Koreksi'!$H$5:$H$92,'Daftar Koreksi'!$D$5:$D$92,'0400'!A114,'Daftar Koreksi'!$G$5:$G$92,"Aset Henti Guna",'Daftar Koreksi'!$H$5:$H$92,"&lt;0")-SUMIFS('Daftar Koreksi'!$H$5:$H$92,'Daftar Koreksi'!$D$5:$D$92,'0400'!A114,'Daftar Koreksi'!$G$5:$G$92,"Aset Henti Guna",'Daftar Koreksi'!$H$5:$H$92,"&lt;0")-SUMIFS('Daftar Koreksi'!$H$5:$H$92,'Daftar Koreksi'!$D$5:$D$92,'0400'!A114,'Daftar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30095608925</v>
      </c>
      <c r="E126" s="19">
        <f>SUM(E117:E125)</f>
        <v>0</v>
      </c>
      <c r="F126" s="19">
        <f>SUM(F117:F125)</f>
        <v>0</v>
      </c>
      <c r="G126" s="19">
        <f t="shared" si="5"/>
        <v>30095608925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-4740362063</v>
      </c>
      <c r="E127" s="25">
        <f>SUMIFS('Daftar Koreksi'!$I$5:$I$92,'Daftar Koreksi'!$D$5:$D$92,'0400'!A114,'Daftar Koreksi'!$G$5:$G$92,"Peralatan dan mesin",'Daftar Koreksi'!$I$5:$I$92,"&gt;0")</f>
        <v>0</v>
      </c>
      <c r="F127" s="25">
        <f>SUMIFS('Daftar Koreksi'!$I$5:$I$92,'Daftar Koreksi'!$D$5:$D$92,'0400'!A114,'Daftar Koreksi'!$G$5:$G$92,"Peralatan dan mesin",'Daftar Koreksi'!$I$5:$I$92,"&lt;0")-SUMIFS('Daftar Koreksi'!$I$5:$I$92,'Daftar Koreksi'!$D$5:$D$92,'0400'!A114,'Daftar Koreksi'!$G$5:$G$92,"Peralatan dan mesin",'Daftar Koreksi'!$I$5:$I$92,"&lt;0")-SUMIFS('Daftar Koreksi'!$I$5:$I$92,'Daftar Koreksi'!$D$5:$D$92,'0400'!A114,'Daftar Koreksi'!$G$5:$G$92,"Peralatan dan mesin",'Daftar Koreksi'!$I$5:$I$92,"&lt;0")</f>
        <v>0</v>
      </c>
      <c r="G127" s="17">
        <f t="shared" si="5"/>
        <v>-4740362063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-3670466295</v>
      </c>
      <c r="E128" s="25">
        <f>SUMIFS('Daftar Koreksi'!$I$5:$I$92,'Daftar Koreksi'!$D$5:$D$92,'0400'!A114,'Daftar Koreksi'!$G$5:$G$92,"Gedung dan Bangunan",'Daftar Koreksi'!$I$5:$I$92,"&gt;0")</f>
        <v>0</v>
      </c>
      <c r="F128" s="25">
        <f>SUMIFS('Daftar Koreksi'!$I$5:$I$92,'Daftar Koreksi'!$D$5:$D$92,'0400'!A114,'Daftar Koreksi'!$G$5:$G$92,"Gedung dan Bangunan",'Daftar Koreksi'!$I$5:$I$92,"&lt;0")-SUMIFS('Daftar Koreksi'!$I$5:$I$92,'Daftar Koreksi'!$D$5:$D$92,'0400'!A114,'Daftar Koreksi'!$G$5:$G$92,"Gedung dan Bangunan",'Daftar Koreksi'!$I$5:$I$92,"&lt;0")-SUMIFS('Daftar Koreksi'!$I$5:$I$92,'Daftar Koreksi'!$D$5:$D$92,'0400'!A114,'Daftar Koreksi'!$G$5:$G$92,"Gedung dan Bangunan",'Daftar Koreksi'!$I$5:$I$92,"&lt;0")</f>
        <v>0</v>
      </c>
      <c r="G128" s="17">
        <f t="shared" si="5"/>
        <v>-3670466295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-25597044</v>
      </c>
      <c r="E129" s="25">
        <f>SUMIFS('Daftar Koreksi'!$I$5:$I$92,'Daftar Koreksi'!$D$5:$D$92,'0400'!A114,'Daftar Koreksi'!$G$5:$G$92,"Jalan Irigasi Jaringan",'Daftar Koreksi'!$I$5:$I$92,"&gt;0")</f>
        <v>0</v>
      </c>
      <c r="F129" s="25">
        <f>SUMIFS('Daftar Koreksi'!$I$5:$I$92,'Daftar Koreksi'!$D$5:$D$92,'0400'!A114,'Daftar Koreksi'!$G$5:$G$92,"Jalan Irigasi Jaringan",'Daftar Koreksi'!$I$5:$I$92,"&lt;0")-SUMIFS('Daftar Koreksi'!$I$5:$I$92,'Daftar Koreksi'!$D$5:$D$92,'0400'!A114,'Daftar Koreksi'!$G$5:$G$92,"Jalan Irigasi Jaringan",'Daftar Koreksi'!$I$5:$I$92,"&lt;0")-SUMIFS('Daftar Koreksi'!$I$5:$I$92,'Daftar Koreksi'!$D$5:$D$92,'0400'!A114,'Daftar Koreksi'!$G$5:$G$92,"Jalan Irigasi Jaringan",'Daftar Koreksi'!$I$5:$I$92,"&lt;0")</f>
        <v>0</v>
      </c>
      <c r="G129" s="17">
        <f t="shared" si="5"/>
        <v>-25597044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Koreksi'!$D$5:$D$92,'0400'!A114,'Daftar Koreksi'!$G$5:$G$92,"Aset Tetap Lainnya",'Daftar Koreksi'!$I$5:$I$92,"&gt;0")</f>
        <v>0</v>
      </c>
      <c r="F130" s="25">
        <f>SUMIFS('Daftar Koreksi'!$I$5:$I$92,'Daftar Koreksi'!$D$5:$D$92,'0400'!A114,'Daftar Koreksi'!$G$5:$G$92,"Aset Tetap Lainnya",'Daftar Koreksi'!$I$5:$I$92,"&lt;0")-SUMIFS('Daftar Koreksi'!$I$5:$I$92,'Daftar Koreksi'!$D$5:$D$92,'0400'!A114,'Daftar Koreksi'!$G$5:$G$92,"Aset Tetap Lainnya",'Daftar Koreksi'!$I$5:$I$92,"&lt;0")-SUMIFS('Daftar Koreksi'!$I$5:$I$92,'Daftar Koreksi'!$D$5:$D$92,'0400'!A114,'Daftar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Koreksi'!$D$5:$D$92,'0400'!A114,'Daftar Koreksi'!$G$5:$G$92,"Aset Henti Guna",'Daftar Koreksi'!$I$5:$I$92,"&gt;0")</f>
        <v>0</v>
      </c>
      <c r="F131" s="25">
        <f>SUMIFS('Daftar Koreksi'!$I$5:$I$92,'Daftar Koreksi'!$D$5:$D$92,'0400'!A114,'Daftar Koreksi'!$G$5:$G$92,"Aset Henti Guna",'Daftar Koreksi'!$I$5:$I$92,"&lt;0")-SUMIFS('Daftar Koreksi'!$I$5:$I$92,'Daftar Koreksi'!$D$5:$D$92,'0400'!A114,'Daftar Koreksi'!$G$5:$G$92,"Aset Henti Guna",'Daftar Koreksi'!$I$5:$I$92,"&lt;0")-SUMIFS('Daftar Koreksi'!$I$5:$I$92,'Daftar Koreksi'!$D$5:$D$92,'0400'!A114,'Daftar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-8436425402</v>
      </c>
      <c r="E132" s="19">
        <f>SUM(E127:E131)</f>
        <v>0</v>
      </c>
      <c r="F132" s="19">
        <f>SUM(F127:F131)</f>
        <v>0</v>
      </c>
      <c r="G132" s="19">
        <f t="shared" si="5"/>
        <v>-8436425402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21659183523</v>
      </c>
      <c r="E133" s="19">
        <f>E132+E126</f>
        <v>0</v>
      </c>
      <c r="F133" s="19">
        <f>F132+F126</f>
        <v>0</v>
      </c>
      <c r="G133" s="19">
        <f t="shared" si="5"/>
        <v>21659183523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005010400401199000KD</v>
      </c>
      <c r="B136" s="11" t="str">
        <f>P7</f>
        <v>PA. Yogyakarta</v>
      </c>
      <c r="C136" s="12" t="str">
        <f>A136&amp;" "&amp;B136</f>
        <v>005010400401199000KD PA. Yogyakarta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3779270</v>
      </c>
      <c r="E139" s="25">
        <f>SUMIFS('Daftar Koreksi'!$H$5:$H$92,'Daftar Koreksi'!$D$5:$D$92,'0400'!A136,'Daftar Koreksi'!$G$5:$G$92,"Persediaan",'Daftar Koreksi'!$H$5:$H$92,"&gt;0")</f>
        <v>0</v>
      </c>
      <c r="F139" s="25">
        <f>SUMIFS('Daftar Koreksi'!$H$5:$H$92,'Daftar Koreksi'!$D$5:$D$92,'0400'!A136,'Daftar Koreksi'!$G$5:$G$92,"Persediaan",'Daftar Koreksi'!$H$5:$H$92,"&lt;0")-SUMIFS('Daftar Koreksi'!$H$5:$H$92,'Daftar Koreksi'!$D$5:$D$92,'0400'!A136,'Daftar Koreksi'!$G$5:$G$92,"Persediaan",'Daftar Koreksi'!$H$5:$H$92,"&lt;0")-SUMIFS('Daftar Koreksi'!$H$5:$H$92,'Daftar Koreksi'!$D$5:$D$92,'0400'!A136,'Daftar Koreksi'!$G$5:$G$92,"Persediaan",'Daftar Koreksi'!$H$5:$H$92,"&lt;0")</f>
        <v>0</v>
      </c>
      <c r="G139" s="17">
        <f>D139+E139-F139</f>
        <v>3779270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9454700000</v>
      </c>
      <c r="E140" s="25">
        <f>SUMIFS('Daftar Koreksi'!$H$5:$H$92,'Daftar Koreksi'!$D$5:$D$92,'0400'!A136,'Daftar Koreksi'!$G$5:$G$92,"Tanah",'Daftar Koreksi'!$H$5:$H$92,"&gt;0")</f>
        <v>0</v>
      </c>
      <c r="F140" s="25">
        <f>SUMIFS('Daftar Koreksi'!$H$5:$H$92,'Daftar Koreksi'!$D$5:$D$92,'0400'!A136,'Daftar Koreksi'!$G$5:$G$92,"Tanah",'Daftar Koreksi'!$H$5:$H$92,"&lt;0")-SUMIFS('Daftar Koreksi'!$H$5:$H$92,'Daftar Koreksi'!$D$5:$D$92,'0400'!A136,'Daftar Koreksi'!$G$5:$G$92,"Tanah",'Daftar Koreksi'!$H$5:$H$92,"&lt;0")-SUMIFS('Daftar Koreksi'!$H$5:$H$92,'Daftar Koreksi'!$D$5:$D$92,'0400'!A136,'Daftar Koreksi'!$G$5:$G$92,"Tanah",'Daftar Koreksi'!$H$5:$H$92,"&lt;0")</f>
        <v>0</v>
      </c>
      <c r="G140" s="17">
        <f t="shared" ref="G140:G156" si="6">D140+E140-F140</f>
        <v>9454700000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1971812011</v>
      </c>
      <c r="E141" s="25">
        <f>SUMIFS('Daftar Koreksi'!$H$5:$H$92,'Daftar Koreksi'!$D$5:$D$92,'0400'!A136,'Daftar Koreksi'!$G$5:$G$92,"Peralatan dan mesin",'Daftar Koreksi'!$H$5:$H$92,"&gt;0")</f>
        <v>0</v>
      </c>
      <c r="F141" s="25">
        <f>SUMIFS('Daftar Koreksi'!$H$5:$H$92,'Daftar Koreksi'!$D$5:$D$92,'0400'!A136,'Daftar Koreksi'!$G$5:$G$92,"Peralatan dan mesin",'Daftar Koreksi'!$H$5:$H$92,"&lt;0")-SUMIFS('Daftar Koreksi'!$H$5:$H$92,'Daftar Koreksi'!$D$5:$D$92,'0400'!A136,'Daftar Koreksi'!$G$5:$G$92,"Peralatan dan mesin",'Daftar Koreksi'!$H$5:$H$92,"&lt;0")-SUMIFS('Daftar Koreksi'!$H$5:$H$92,'Daftar Koreksi'!$D$5:$D$92,'0400'!A136,'Daftar Koreksi'!$G$5:$G$92,"Peralatan dan mesin",'Daftar Koreksi'!$H$5:$H$92,"&lt;0")</f>
        <v>0</v>
      </c>
      <c r="G141" s="17">
        <f t="shared" si="6"/>
        <v>1971812011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4929803639</v>
      </c>
      <c r="E142" s="25">
        <f>SUMIFS('Daftar Koreksi'!$H$5:$H$92,'Daftar Koreksi'!$D$5:$D$92,'0400'!A136,'Daftar Koreksi'!$G$5:$G$92,"Gedung dan Bangunan",'Daftar Koreksi'!$H$5:$H$92,"&gt;0")</f>
        <v>0</v>
      </c>
      <c r="F142" s="25">
        <f>SUMIFS('Daftar Koreksi'!$H$5:$H$92,'Daftar Koreksi'!$D$5:$D$92,'0400'!A136,'Daftar Koreksi'!$G$5:$G$92,"Gedung dan Bangunan",'Daftar Koreksi'!$H$5:$H$92,"&lt;0")-SUMIFS('Daftar Koreksi'!$H$5:$H$92,'Daftar Koreksi'!$D$5:$D$92,'0400'!A136,'Daftar Koreksi'!$G$5:$G$92,"Gedung dan Bangunan",'Daftar Koreksi'!$H$5:$H$92,"&lt;0")-SUMIFS('Daftar Koreksi'!$H$5:$H$92,'Daftar Koreksi'!$D$5:$D$92,'0400'!A136,'Daftar Koreksi'!$G$5:$G$92,"Gedung dan Bangunan",'Daftar Koreksi'!$H$5:$H$92,"&lt;0")</f>
        <v>0</v>
      </c>
      <c r="G142" s="17">
        <f t="shared" si="6"/>
        <v>4929803639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211014280</v>
      </c>
      <c r="E143" s="25">
        <f>SUMIFS('Daftar Koreksi'!$H$5:$H$92,'Daftar Koreksi'!$D$5:$D$92,'0400'!A136,'Daftar Koreksi'!$G$5:$G$92,"Jalan Irigasi Jaringan",'Daftar Koreksi'!$H$5:$H$92,"&gt;0")</f>
        <v>0</v>
      </c>
      <c r="F143" s="25">
        <f>SUMIFS('Daftar Koreksi'!$H$5:$H$92,'Daftar Koreksi'!$D$5:$D$92,'0400'!A136,'Daftar Koreksi'!$G$5:$G$92,"Jalan Irigasi Jaringan",'Daftar Koreksi'!$H$5:$H$92,"&lt;0")-SUMIFS('Daftar Koreksi'!$H$5:$H$92,'Daftar Koreksi'!$D$5:$D$92,'0400'!A136,'Daftar Koreksi'!$G$5:$G$92,"Jalan Irigasi Jaringan",'Daftar Koreksi'!$H$5:$H$92,"&lt;0")-SUMIFS('Daftar Koreksi'!$H$5:$H$92,'Daftar Koreksi'!$D$5:$D$92,'0400'!A136,'Daftar Koreksi'!$G$5:$G$92,"Jalan Irigasi Jaringan",'Daftar Koreksi'!$H$5:$H$92,"&lt;0")</f>
        <v>0</v>
      </c>
      <c r="G143" s="17">
        <f t="shared" si="6"/>
        <v>211014280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26575170</v>
      </c>
      <c r="E144" s="25">
        <f>SUMIFS('Daftar Koreksi'!$H$5:$H$92,'Daftar Koreksi'!$D$5:$D$92,'0400'!A136,'Daftar Koreksi'!$G$5:$G$92,"Aset Tetap Lainnya",'Daftar Koreksi'!$H$5:$H$92,"&gt;0")</f>
        <v>0</v>
      </c>
      <c r="F144" s="25">
        <f>SUMIFS('Daftar Koreksi'!$H$5:$H$92,'Daftar Koreksi'!$D$5:$D$92,'0400'!A136,'Daftar Koreksi'!$G$5:$G$92,"Aset Tetap Lainnya",'Daftar Koreksi'!$H$5:$H$92,"&lt;0")-SUMIFS('Daftar Koreksi'!$H$5:$H$92,'Daftar Koreksi'!$D$5:$D$92,'0400'!A136,'Daftar Koreksi'!$G$5:$G$92,"Aset Tetap Lainnya",'Daftar Koreksi'!$H$5:$H$92,"&lt;0")-SUMIFS('Daftar Koreksi'!$H$5:$H$92,'Daftar Koreksi'!$D$5:$D$92,'0400'!A136,'Daftar Koreksi'!$G$5:$G$92,"Aset Tetap Lainnya",'Daftar Koreksi'!$H$5:$H$92,"&lt;0")</f>
        <v>0</v>
      </c>
      <c r="G144" s="17">
        <f t="shared" si="6"/>
        <v>26575170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Koreksi'!$D$5:$D$92,'0400'!A136,'Daftar Koreksi'!$G$5:$G$92,"Kontruksi Dalam Pengerjaan",'Daftar Koreksi'!$H$5:$H$92,"&gt;0")</f>
        <v>0</v>
      </c>
      <c r="F145" s="25">
        <f>SUMIFS('Daftar Koreksi'!$H$5:$H$92,'Daftar Koreksi'!$D$5:$D$92,'0400'!A136,'Daftar Koreksi'!$G$5:$G$92,"Kontruksi Dalam Pengerjaan",'Daftar Koreksi'!$H$5:$H$92,"&lt;0")-SUMIFS('Daftar Koreksi'!$H$5:$H$92,'Daftar Koreksi'!$D$5:$D$92,'0400'!A136,'Daftar Koreksi'!$G$5:$G$92,"Kontruksi Dalam Pengerjaan",'Daftar Koreksi'!$H$5:$H$92,"&lt;0")-SUMIFS('Daftar Koreksi'!$H$5:$H$92,'Daftar Koreksi'!$D$5:$D$92,'0400'!A136,'Daftar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38080000</v>
      </c>
      <c r="E146" s="25">
        <f>SUMIFS('Daftar Koreksi'!$H$5:$H$92,'Daftar Koreksi'!$D$5:$D$92,'0400'!A136,'Daftar Koreksi'!$G$5:$G$92,"Aset Tak Berwujud",'Daftar Koreksi'!$H$5:$H$92,"&gt;0")</f>
        <v>0</v>
      </c>
      <c r="F146" s="25">
        <f>SUMIFS('Daftar Koreksi'!$H$5:$H$92,'Daftar Koreksi'!$D$5:$D$92,'0400'!A136,'Daftar Koreksi'!$G$5:$G$92,"Aset Tak Berwujud",'Daftar Koreksi'!$H$5:$H$92,"&lt;0")-SUMIFS('Daftar Koreksi'!$H$5:$H$92,'Daftar Koreksi'!$D$5:$D$92,'0400'!A136,'Daftar Koreksi'!$G$5:$G$92,"Aset Tak Berwujud",'Daftar Koreksi'!$H$5:$H$92,"&lt;0")-SUMIFS('Daftar Koreksi'!$H$5:$H$92,'Daftar Koreksi'!$D$5:$D$92,'0400'!A136,'Daftar Koreksi'!$G$5:$G$92,"Aset Tak Berwujud",'Daftar Koreksi'!$H$5:$H$92,"&lt;0")</f>
        <v>0</v>
      </c>
      <c r="G146" s="17">
        <f t="shared" si="6"/>
        <v>38080000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98000</v>
      </c>
      <c r="E147" s="25">
        <f>SUMIFS('Daftar Koreksi'!$H$5:$H$92,'Daftar Koreksi'!$D$5:$D$92,'0400'!A136,'Daftar Koreksi'!$G$5:$G$92,"Aset Henti Guna",'Daftar Koreksi'!$H$5:$H$92,"&gt;0")</f>
        <v>0</v>
      </c>
      <c r="F147" s="25">
        <f>SUMIFS('Daftar Koreksi'!$H$5:$H$92,'Daftar Koreksi'!$D$5:$D$92,'0400'!A136,'Daftar Koreksi'!$G$5:$G$92,"Aset Henti Guna",'Daftar Koreksi'!$H$5:$H$92,"&lt;0")-SUMIFS('Daftar Koreksi'!$H$5:$H$92,'Daftar Koreksi'!$D$5:$D$92,'0400'!A136,'Daftar Koreksi'!$G$5:$G$92,"Aset Henti Guna",'Daftar Koreksi'!$H$5:$H$92,"&lt;0")-SUMIFS('Daftar Koreksi'!$H$5:$H$92,'Daftar Koreksi'!$D$5:$D$92,'0400'!A136,'Daftar Koreksi'!$G$5:$G$92,"Aset Henti Guna",'Daftar Koreksi'!$H$5:$H$92,"&lt;0")</f>
        <v>0</v>
      </c>
      <c r="G147" s="17">
        <f t="shared" si="6"/>
        <v>98000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16635862370</v>
      </c>
      <c r="E148" s="19">
        <f>SUM(E139:E147)</f>
        <v>0</v>
      </c>
      <c r="F148" s="19">
        <f>SUM(F139:F147)</f>
        <v>0</v>
      </c>
      <c r="G148" s="19">
        <f t="shared" si="6"/>
        <v>16635862370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-1758517200</v>
      </c>
      <c r="E149" s="25">
        <f>SUMIFS('Daftar Koreksi'!$I$5:$I$92,'Daftar Koreksi'!$D$5:$D$92,'0400'!A136,'Daftar Koreksi'!$G$5:$G$92,"Peralatan dan mesin",'Daftar Koreksi'!$I$5:$I$92,"&gt;0")</f>
        <v>0</v>
      </c>
      <c r="F149" s="25">
        <f>SUMIFS('Daftar Koreksi'!$I$5:$I$92,'Daftar Koreksi'!$D$5:$D$92,'0400'!A136,'Daftar Koreksi'!$G$5:$G$92,"Peralatan dan mesin",'Daftar Koreksi'!$I$5:$I$92,"&lt;0")-SUMIFS('Daftar Koreksi'!$I$5:$I$92,'Daftar Koreksi'!$D$5:$D$92,'0400'!A136,'Daftar Koreksi'!$G$5:$G$92,"Peralatan dan mesin",'Daftar Koreksi'!$I$5:$I$92,"&lt;0")-SUMIFS('Daftar Koreksi'!$I$5:$I$92,'Daftar Koreksi'!$D$5:$D$92,'0400'!A136,'Daftar Koreksi'!$G$5:$G$92,"Peralatan dan mesin",'Daftar Koreksi'!$I$5:$I$92,"&lt;0")</f>
        <v>0</v>
      </c>
      <c r="G149" s="17">
        <f t="shared" si="6"/>
        <v>-1758517200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-788871784</v>
      </c>
      <c r="E150" s="25">
        <f>SUMIFS('Daftar Koreksi'!$I$5:$I$92,'Daftar Koreksi'!$D$5:$D$92,'0400'!A136,'Daftar Koreksi'!$G$5:$G$92,"Gedung dan Bangunan",'Daftar Koreksi'!$I$5:$I$92,"&gt;0")</f>
        <v>0</v>
      </c>
      <c r="F150" s="25">
        <f>SUMIFS('Daftar Koreksi'!$I$5:$I$92,'Daftar Koreksi'!$D$5:$D$92,'0400'!A136,'Daftar Koreksi'!$G$5:$G$92,"Gedung dan Bangunan",'Daftar Koreksi'!$I$5:$I$92,"&lt;0")-SUMIFS('Daftar Koreksi'!$I$5:$I$92,'Daftar Koreksi'!$D$5:$D$92,'0400'!A136,'Daftar Koreksi'!$G$5:$G$92,"Gedung dan Bangunan",'Daftar Koreksi'!$I$5:$I$92,"&lt;0")-SUMIFS('Daftar Koreksi'!$I$5:$I$92,'Daftar Koreksi'!$D$5:$D$92,'0400'!A136,'Daftar Koreksi'!$G$5:$G$92,"Gedung dan Bangunan",'Daftar Koreksi'!$I$5:$I$92,"&lt;0")</f>
        <v>0</v>
      </c>
      <c r="G150" s="17">
        <f t="shared" si="6"/>
        <v>-788871784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-30859210</v>
      </c>
      <c r="E151" s="25">
        <f>SUMIFS('Daftar Koreksi'!$I$5:$I$92,'Daftar Koreksi'!$D$5:$D$92,'0400'!A136,'Daftar Koreksi'!$G$5:$G$92,"Jalan Irigasi Jaringan",'Daftar Koreksi'!$I$5:$I$92,"&gt;0")</f>
        <v>0</v>
      </c>
      <c r="F151" s="25">
        <f>SUMIFS('Daftar Koreksi'!$I$5:$I$92,'Daftar Koreksi'!$D$5:$D$92,'0400'!A136,'Daftar Koreksi'!$G$5:$G$92,"Jalan Irigasi Jaringan",'Daftar Koreksi'!$I$5:$I$92,"&lt;0")-SUMIFS('Daftar Koreksi'!$I$5:$I$92,'Daftar Koreksi'!$D$5:$D$92,'0400'!A136,'Daftar Koreksi'!$G$5:$G$92,"Jalan Irigasi Jaringan",'Daftar Koreksi'!$I$5:$I$92,"&lt;0")-SUMIFS('Daftar Koreksi'!$I$5:$I$92,'Daftar Koreksi'!$D$5:$D$92,'0400'!A136,'Daftar Koreksi'!$G$5:$G$92,"Jalan Irigasi Jaringan",'Daftar Koreksi'!$I$5:$I$92,"&lt;0")</f>
        <v>0</v>
      </c>
      <c r="G151" s="17">
        <f t="shared" si="6"/>
        <v>-30859210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Koreksi'!$D$5:$D$92,'0400'!A136,'Daftar Koreksi'!$G$5:$G$92,"Aset Tetap Lainnya",'Daftar Koreksi'!$I$5:$I$92,"&gt;0")</f>
        <v>0</v>
      </c>
      <c r="F152" s="25">
        <f>SUMIFS('Daftar Koreksi'!$I$5:$I$92,'Daftar Koreksi'!$D$5:$D$92,'0400'!A136,'Daftar Koreksi'!$G$5:$G$92,"Aset Tetap Lainnya",'Daftar Koreksi'!$I$5:$I$92,"&lt;0")-SUMIFS('Daftar Koreksi'!$I$5:$I$92,'Daftar Koreksi'!$D$5:$D$92,'0400'!A136,'Daftar Koreksi'!$G$5:$G$92,"Aset Tetap Lainnya",'Daftar Koreksi'!$I$5:$I$92,"&lt;0")-SUMIFS('Daftar Koreksi'!$I$5:$I$92,'Daftar Koreksi'!$D$5:$D$92,'0400'!A136,'Daftar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-98000</v>
      </c>
      <c r="E153" s="25">
        <f>SUMIFS('Daftar Koreksi'!$I$5:$I$92,'Daftar Koreksi'!$D$5:$D$92,'0400'!A136,'Daftar Koreksi'!$G$5:$G$92,"Aset Henti Guna",'Daftar Koreksi'!$I$5:$I$92,"&gt;0")</f>
        <v>0</v>
      </c>
      <c r="F153" s="25">
        <f>SUMIFS('Daftar Koreksi'!$I$5:$I$92,'Daftar Koreksi'!$D$5:$D$92,'0400'!A136,'Daftar Koreksi'!$G$5:$G$92,"Aset Henti Guna",'Daftar Koreksi'!$I$5:$I$92,"&lt;0")-SUMIFS('Daftar Koreksi'!$I$5:$I$92,'Daftar Koreksi'!$D$5:$D$92,'0400'!A136,'Daftar Koreksi'!$G$5:$G$92,"Aset Henti Guna",'Daftar Koreksi'!$I$5:$I$92,"&lt;0")-SUMIFS('Daftar Koreksi'!$I$5:$I$92,'Daftar Koreksi'!$D$5:$D$92,'0400'!A136,'Daftar Koreksi'!$G$5:$G$92,"Aset Henti Guna",'Daftar Koreksi'!$I$5:$I$92,"&lt;0")</f>
        <v>0</v>
      </c>
      <c r="G153" s="17">
        <f t="shared" si="6"/>
        <v>-98000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-2578346194</v>
      </c>
      <c r="E154" s="19">
        <f>SUM(E149:E153)</f>
        <v>0</v>
      </c>
      <c r="F154" s="19">
        <f>SUM(F149:F153)</f>
        <v>0</v>
      </c>
      <c r="G154" s="19">
        <f t="shared" si="6"/>
        <v>-2578346194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14057516176</v>
      </c>
      <c r="E155" s="19">
        <f>E154+E148</f>
        <v>0</v>
      </c>
      <c r="F155" s="19">
        <f>F154+F148</f>
        <v>0</v>
      </c>
      <c r="G155" s="19">
        <f t="shared" si="6"/>
        <v>14057516176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005010400401200000KD</v>
      </c>
      <c r="B158" s="11" t="str">
        <f>P8</f>
        <v>PA. Sleman</v>
      </c>
      <c r="C158" s="12" t="str">
        <f>A158&amp;" "&amp;B158</f>
        <v>005010400401200000KD PA. Sleman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2388605</v>
      </c>
      <c r="E161" s="25">
        <f>SUMIFS('Daftar Koreksi'!$H$5:$H$92,'Daftar Koreksi'!$D$5:$D$92,'0400'!A158,'Daftar Koreksi'!$G$5:$G$92,"Persediaan",'Daftar Koreksi'!$H$5:$H$92,"&gt;0")</f>
        <v>0</v>
      </c>
      <c r="F161" s="25">
        <f>SUMIFS('Daftar Koreksi'!$H$5:$H$92,'Daftar Koreksi'!$D$5:$D$92,'0400'!A158,'Daftar Koreksi'!$G$5:$G$92,"Persediaan",'Daftar Koreksi'!$H$5:$H$92,"&lt;0")-SUMIFS('Daftar Koreksi'!$H$5:$H$92,'Daftar Koreksi'!$D$5:$D$92,'0400'!A158,'Daftar Koreksi'!$G$5:$G$92,"Persediaan",'Daftar Koreksi'!$H$5:$H$92,"&lt;0")-SUMIFS('Daftar Koreksi'!$H$5:$H$92,'Daftar Koreksi'!$D$5:$D$92,'0400'!A158,'Daftar Koreksi'!$G$5:$G$92,"Persediaan",'Daftar Koreksi'!$H$5:$H$92,"&lt;0")</f>
        <v>0</v>
      </c>
      <c r="G161" s="17">
        <f>D161+E161-F161</f>
        <v>2388605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1209235000</v>
      </c>
      <c r="E162" s="25">
        <f>SUMIFS('Daftar Koreksi'!$H$5:$H$92,'Daftar Koreksi'!$D$5:$D$92,'0400'!A158,'Daftar Koreksi'!$G$5:$G$92,"Tanah",'Daftar Koreksi'!$H$5:$H$92,"&gt;0")</f>
        <v>0</v>
      </c>
      <c r="F162" s="25">
        <f>SUMIFS('Daftar Koreksi'!$H$5:$H$92,'Daftar Koreksi'!$D$5:$D$92,'0400'!A158,'Daftar Koreksi'!$G$5:$G$92,"Tanah",'Daftar Koreksi'!$H$5:$H$92,"&lt;0")-SUMIFS('Daftar Koreksi'!$H$5:$H$92,'Daftar Koreksi'!$D$5:$D$92,'0400'!A158,'Daftar Koreksi'!$G$5:$G$92,"Tanah",'Daftar Koreksi'!$H$5:$H$92,"&lt;0")-SUMIFS('Daftar Koreksi'!$H$5:$H$92,'Daftar Koreksi'!$D$5:$D$92,'0400'!A158,'Daftar Koreksi'!$G$5:$G$92,"Tanah",'Daftar Koreksi'!$H$5:$H$92,"&lt;0")</f>
        <v>0</v>
      </c>
      <c r="G162" s="17">
        <f t="shared" ref="G162:G178" si="7">D162+E162-F162</f>
        <v>1209235000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1662325750</v>
      </c>
      <c r="E163" s="25">
        <f>SUMIFS('Daftar Koreksi'!$H$5:$H$92,'Daftar Koreksi'!$D$5:$D$92,'0400'!A158,'Daftar Koreksi'!$G$5:$G$92,"Peralatan dan mesin",'Daftar Koreksi'!$H$5:$H$92,"&gt;0")</f>
        <v>0</v>
      </c>
      <c r="F163" s="25">
        <f>SUMIFS('Daftar Koreksi'!$H$5:$H$92,'Daftar Koreksi'!$D$5:$D$92,'0400'!A158,'Daftar Koreksi'!$G$5:$G$92,"Peralatan dan mesin",'Daftar Koreksi'!$H$5:$H$92,"&lt;0")-SUMIFS('Daftar Koreksi'!$H$5:$H$92,'Daftar Koreksi'!$D$5:$D$92,'0400'!A158,'Daftar Koreksi'!$G$5:$G$92,"Peralatan dan mesin",'Daftar Koreksi'!$H$5:$H$92,"&lt;0")-SUMIFS('Daftar Koreksi'!$H$5:$H$92,'Daftar Koreksi'!$D$5:$D$92,'0400'!A158,'Daftar Koreksi'!$G$5:$G$92,"Peralatan dan mesin",'Daftar Koreksi'!$H$5:$H$92,"&lt;0")</f>
        <v>0</v>
      </c>
      <c r="G163" s="17">
        <f t="shared" si="7"/>
        <v>1662325750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3175467000</v>
      </c>
      <c r="E164" s="25">
        <f>SUMIFS('Daftar Koreksi'!$H$5:$H$92,'Daftar Koreksi'!$D$5:$D$92,'0400'!A158,'Daftar Koreksi'!$G$5:$G$92,"Gedung dan Bangunan",'Daftar Koreksi'!$H$5:$H$92,"&gt;0")</f>
        <v>0</v>
      </c>
      <c r="F164" s="25">
        <f>SUMIFS('Daftar Koreksi'!$H$5:$H$92,'Daftar Koreksi'!$D$5:$D$92,'0400'!A158,'Daftar Koreksi'!$G$5:$G$92,"Gedung dan Bangunan",'Daftar Koreksi'!$H$5:$H$92,"&lt;0")-SUMIFS('Daftar Koreksi'!$H$5:$H$92,'Daftar Koreksi'!$D$5:$D$92,'0400'!A158,'Daftar Koreksi'!$G$5:$G$92,"Gedung dan Bangunan",'Daftar Koreksi'!$H$5:$H$92,"&lt;0")-SUMIFS('Daftar Koreksi'!$H$5:$H$92,'Daftar Koreksi'!$D$5:$D$92,'0400'!A158,'Daftar Koreksi'!$G$5:$G$92,"Gedung dan Bangunan",'Daftar Koreksi'!$H$5:$H$92,"&lt;0")</f>
        <v>0</v>
      </c>
      <c r="G164" s="17">
        <f t="shared" si="7"/>
        <v>3175467000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Koreksi'!$D$5:$D$92,'0400'!A158,'Daftar Koreksi'!$G$5:$G$92,"Jalan Irigasi Jaringan",'Daftar Koreksi'!$H$5:$H$92,"&gt;0")</f>
        <v>0</v>
      </c>
      <c r="F165" s="25">
        <f>SUMIFS('Daftar Koreksi'!$H$5:$H$92,'Daftar Koreksi'!$D$5:$D$92,'0400'!A158,'Daftar Koreksi'!$G$5:$G$92,"Jalan Irigasi Jaringan",'Daftar Koreksi'!$H$5:$H$92,"&lt;0")-SUMIFS('Daftar Koreksi'!$H$5:$H$92,'Daftar Koreksi'!$D$5:$D$92,'0400'!A158,'Daftar Koreksi'!$G$5:$G$92,"Jalan Irigasi Jaringan",'Daftar Koreksi'!$H$5:$H$92,"&lt;0")-SUMIFS('Daftar Koreksi'!$H$5:$H$92,'Daftar Koreksi'!$D$5:$D$92,'0400'!A158,'Daftar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18163948</v>
      </c>
      <c r="E166" s="25">
        <f>SUMIFS('Daftar Koreksi'!$H$5:$H$92,'Daftar Koreksi'!$D$5:$D$92,'0400'!A158,'Daftar Koreksi'!$G$5:$G$92,"Aset Tetap Lainnya",'Daftar Koreksi'!$H$5:$H$92,"&gt;0")</f>
        <v>0</v>
      </c>
      <c r="F166" s="25">
        <f>SUMIFS('Daftar Koreksi'!$H$5:$H$92,'Daftar Koreksi'!$D$5:$D$92,'0400'!A158,'Daftar Koreksi'!$G$5:$G$92,"Aset Tetap Lainnya",'Daftar Koreksi'!$H$5:$H$92,"&lt;0")-SUMIFS('Daftar Koreksi'!$H$5:$H$92,'Daftar Koreksi'!$D$5:$D$92,'0400'!A158,'Daftar Koreksi'!$G$5:$G$92,"Aset Tetap Lainnya",'Daftar Koreksi'!$H$5:$H$92,"&lt;0")-SUMIFS('Daftar Koreksi'!$H$5:$H$92,'Daftar Koreksi'!$D$5:$D$92,'0400'!A158,'Daftar Koreksi'!$G$5:$G$92,"Aset Tetap Lainnya",'Daftar Koreksi'!$H$5:$H$92,"&lt;0")</f>
        <v>0</v>
      </c>
      <c r="G166" s="17">
        <f t="shared" si="7"/>
        <v>18163948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Koreksi'!$D$5:$D$92,'0400'!A158,'Daftar Koreksi'!$G$5:$G$92,"Kontruksi Dalam Pengerjaan",'Daftar Koreksi'!$H$5:$H$92,"&gt;0")</f>
        <v>0</v>
      </c>
      <c r="F167" s="25">
        <f>SUMIFS('Daftar Koreksi'!$H$5:$H$92,'Daftar Koreksi'!$D$5:$D$92,'0400'!A158,'Daftar Koreksi'!$G$5:$G$92,"Kontruksi Dalam Pengerjaan",'Daftar Koreksi'!$H$5:$H$92,"&lt;0")-SUMIFS('Daftar Koreksi'!$H$5:$H$92,'Daftar Koreksi'!$D$5:$D$92,'0400'!A158,'Daftar Koreksi'!$G$5:$G$92,"Kontruksi Dalam Pengerjaan",'Daftar Koreksi'!$H$5:$H$92,"&lt;0")-SUMIFS('Daftar Koreksi'!$H$5:$H$92,'Daftar Koreksi'!$D$5:$D$92,'0400'!A158,'Daftar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Koreksi'!$D$5:$D$92,'0400'!A158,'Daftar Koreksi'!$G$5:$G$92,"Aset Tak Berwujud",'Daftar Koreksi'!$H$5:$H$92,"&gt;0")</f>
        <v>0</v>
      </c>
      <c r="F168" s="25">
        <f>SUMIFS('Daftar Koreksi'!$H$5:$H$92,'Daftar Koreksi'!$D$5:$D$92,'0400'!A158,'Daftar Koreksi'!$G$5:$G$92,"Aset Tak Berwujud",'Daftar Koreksi'!$H$5:$H$92,"&lt;0")-SUMIFS('Daftar Koreksi'!$H$5:$H$92,'Daftar Koreksi'!$D$5:$D$92,'0400'!A158,'Daftar Koreksi'!$G$5:$G$92,"Aset Tak Berwujud",'Daftar Koreksi'!$H$5:$H$92,"&lt;0")-SUMIFS('Daftar Koreksi'!$H$5:$H$92,'Daftar Koreksi'!$D$5:$D$92,'0400'!A158,'Daftar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36264000</v>
      </c>
      <c r="E169" s="25">
        <f>SUMIFS('Daftar Koreksi'!$H$5:$H$92,'Daftar Koreksi'!$D$5:$D$92,'0400'!A158,'Daftar Koreksi'!$G$5:$G$92,"Aset Henti Guna",'Daftar Koreksi'!$H$5:$H$92,"&gt;0")</f>
        <v>0</v>
      </c>
      <c r="F169" s="25">
        <f>SUMIFS('Daftar Koreksi'!$H$5:$H$92,'Daftar Koreksi'!$D$5:$D$92,'0400'!A158,'Daftar Koreksi'!$G$5:$G$92,"Aset Henti Guna",'Daftar Koreksi'!$H$5:$H$92,"&lt;0")-SUMIFS('Daftar Koreksi'!$H$5:$H$92,'Daftar Koreksi'!$D$5:$D$92,'0400'!A158,'Daftar Koreksi'!$G$5:$G$92,"Aset Henti Guna",'Daftar Koreksi'!$H$5:$H$92,"&lt;0")-SUMIFS('Daftar Koreksi'!$H$5:$H$92,'Daftar Koreksi'!$D$5:$D$92,'0400'!A158,'Daftar Koreksi'!$G$5:$G$92,"Aset Henti Guna",'Daftar Koreksi'!$H$5:$H$92,"&lt;0")</f>
        <v>0</v>
      </c>
      <c r="G169" s="17">
        <f t="shared" si="7"/>
        <v>36264000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6103844303</v>
      </c>
      <c r="E170" s="19">
        <f>SUM(E161:E169)</f>
        <v>0</v>
      </c>
      <c r="F170" s="19">
        <f>SUM(F161:F169)</f>
        <v>0</v>
      </c>
      <c r="G170" s="19">
        <f t="shared" si="7"/>
        <v>6103844303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-1391023696</v>
      </c>
      <c r="E171" s="25">
        <f>SUMIFS('Daftar Koreksi'!$I$5:$I$92,'Daftar Koreksi'!$D$5:$D$92,'0400'!A158,'Daftar Koreksi'!$G$5:$G$92,"Peralatan dan mesin",'Daftar Koreksi'!$I$5:$I$92,"&gt;0")</f>
        <v>0</v>
      </c>
      <c r="F171" s="25">
        <f>SUMIFS('Daftar Koreksi'!$I$5:$I$92,'Daftar Koreksi'!$D$5:$D$92,'0400'!A158,'Daftar Koreksi'!$G$5:$G$92,"Peralatan dan mesin",'Daftar Koreksi'!$I$5:$I$92,"&lt;0")-SUMIFS('Daftar Koreksi'!$I$5:$I$92,'Daftar Koreksi'!$D$5:$D$92,'0400'!A158,'Daftar Koreksi'!$G$5:$G$92,"Peralatan dan mesin",'Daftar Koreksi'!$I$5:$I$92,"&lt;0")-SUMIFS('Daftar Koreksi'!$I$5:$I$92,'Daftar Koreksi'!$D$5:$D$92,'0400'!A158,'Daftar Koreksi'!$G$5:$G$92,"Peralatan dan mesin",'Daftar Koreksi'!$I$5:$I$92,"&lt;0")</f>
        <v>0</v>
      </c>
      <c r="G171" s="17">
        <f t="shared" si="7"/>
        <v>-1391023696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-797452680</v>
      </c>
      <c r="E172" s="25">
        <f>SUMIFS('Daftar Koreksi'!$I$5:$I$92,'Daftar Koreksi'!$D$5:$D$92,'0400'!A158,'Daftar Koreksi'!$G$5:$G$92,"Gedung dan Bangunan",'Daftar Koreksi'!$I$5:$I$92,"&gt;0")</f>
        <v>0</v>
      </c>
      <c r="F172" s="25">
        <f>SUMIFS('Daftar Koreksi'!$I$5:$I$92,'Daftar Koreksi'!$D$5:$D$92,'0400'!A158,'Daftar Koreksi'!$G$5:$G$92,"Gedung dan Bangunan",'Daftar Koreksi'!$I$5:$I$92,"&lt;0")-SUMIFS('Daftar Koreksi'!$I$5:$I$92,'Daftar Koreksi'!$D$5:$D$92,'0400'!A158,'Daftar Koreksi'!$G$5:$G$92,"Gedung dan Bangunan",'Daftar Koreksi'!$I$5:$I$92,"&lt;0")-SUMIFS('Daftar Koreksi'!$I$5:$I$92,'Daftar Koreksi'!$D$5:$D$92,'0400'!A158,'Daftar Koreksi'!$G$5:$G$92,"Gedung dan Bangunan",'Daftar Koreksi'!$I$5:$I$92,"&lt;0")</f>
        <v>0</v>
      </c>
      <c r="G172" s="17">
        <f t="shared" si="7"/>
        <v>-797452680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Koreksi'!$D$5:$D$92,'0400'!A158,'Daftar Koreksi'!$G$5:$G$92,"Jalan Irigasi Jaringan",'Daftar Koreksi'!$I$5:$I$92,"&gt;0")</f>
        <v>0</v>
      </c>
      <c r="F173" s="25">
        <f>SUMIFS('Daftar Koreksi'!$I$5:$I$92,'Daftar Koreksi'!$D$5:$D$92,'0400'!A158,'Daftar Koreksi'!$G$5:$G$92,"Jalan Irigasi Jaringan",'Daftar Koreksi'!$I$5:$I$92,"&lt;0")-SUMIFS('Daftar Koreksi'!$I$5:$I$92,'Daftar Koreksi'!$D$5:$D$92,'0400'!A158,'Daftar Koreksi'!$G$5:$G$92,"Jalan Irigasi Jaringan",'Daftar Koreksi'!$I$5:$I$92,"&lt;0")-SUMIFS('Daftar Koreksi'!$I$5:$I$92,'Daftar Koreksi'!$D$5:$D$92,'0400'!A158,'Daftar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Koreksi'!$D$5:$D$92,'0400'!A158,'Daftar Koreksi'!$G$5:$G$92,"Aset Tetap Lainnya",'Daftar Koreksi'!$I$5:$I$92,"&gt;0")</f>
        <v>0</v>
      </c>
      <c r="F174" s="25">
        <f>SUMIFS('Daftar Koreksi'!$I$5:$I$92,'Daftar Koreksi'!$D$5:$D$92,'0400'!A158,'Daftar Koreksi'!$G$5:$G$92,"Aset Tetap Lainnya",'Daftar Koreksi'!$I$5:$I$92,"&lt;0")-SUMIFS('Daftar Koreksi'!$I$5:$I$92,'Daftar Koreksi'!$D$5:$D$92,'0400'!A158,'Daftar Koreksi'!$G$5:$G$92,"Aset Tetap Lainnya",'Daftar Koreksi'!$I$5:$I$92,"&lt;0")-SUMIFS('Daftar Koreksi'!$I$5:$I$92,'Daftar Koreksi'!$D$5:$D$92,'0400'!A158,'Daftar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-36049000</v>
      </c>
      <c r="E175" s="25">
        <f>SUMIFS('Daftar Koreksi'!$I$5:$I$92,'Daftar Koreksi'!$D$5:$D$92,'0400'!A158,'Daftar Koreksi'!$G$5:$G$92,"Aset Henti Guna",'Daftar Koreksi'!$I$5:$I$92,"&gt;0")</f>
        <v>0</v>
      </c>
      <c r="F175" s="25">
        <f>SUMIFS('Daftar Koreksi'!$I$5:$I$92,'Daftar Koreksi'!$D$5:$D$92,'0400'!A158,'Daftar Koreksi'!$G$5:$G$92,"Aset Henti Guna",'Daftar Koreksi'!$I$5:$I$92,"&lt;0")-SUMIFS('Daftar Koreksi'!$I$5:$I$92,'Daftar Koreksi'!$D$5:$D$92,'0400'!A158,'Daftar Koreksi'!$G$5:$G$92,"Aset Henti Guna",'Daftar Koreksi'!$I$5:$I$92,"&lt;0")-SUMIFS('Daftar Koreksi'!$I$5:$I$92,'Daftar Koreksi'!$D$5:$D$92,'0400'!A158,'Daftar Koreksi'!$G$5:$G$92,"Aset Henti Guna",'Daftar Koreksi'!$I$5:$I$92,"&lt;0")</f>
        <v>0</v>
      </c>
      <c r="G175" s="17">
        <f t="shared" si="7"/>
        <v>-36049000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-2224525376</v>
      </c>
      <c r="E176" s="19">
        <f>SUM(E171:E175)</f>
        <v>0</v>
      </c>
      <c r="F176" s="19">
        <f>SUM(F171:F175)</f>
        <v>0</v>
      </c>
      <c r="G176" s="19">
        <f t="shared" si="7"/>
        <v>-2224525376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3879318927</v>
      </c>
      <c r="E177" s="19">
        <f>E176+E170</f>
        <v>0</v>
      </c>
      <c r="F177" s="19">
        <f>F176+F170</f>
        <v>0</v>
      </c>
      <c r="G177" s="19">
        <f t="shared" si="7"/>
        <v>3879318927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005010400401219000KD</v>
      </c>
      <c r="B180" s="11" t="str">
        <f>P9</f>
        <v>PA. Wates</v>
      </c>
      <c r="C180" s="12" t="str">
        <f>A180&amp;" "&amp;B180</f>
        <v>005010400401219000KD PA. Wates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6488900</v>
      </c>
      <c r="E183" s="25">
        <f>SUMIFS('Daftar Koreksi'!$H$5:$H$92,'Daftar Koreksi'!$D$5:$D$92,'0400'!A180,'Daftar Koreksi'!$G$5:$G$92,"Persediaan",'Daftar Koreksi'!$H$5:$H$92,"&gt;0")</f>
        <v>0</v>
      </c>
      <c r="F183" s="25">
        <f>SUMIFS('Daftar Koreksi'!$H$5:$H$92,'Daftar Koreksi'!$D$5:$D$92,'0400'!A180,'Daftar Koreksi'!$G$5:$G$92,"Persediaan",'Daftar Koreksi'!$H$5:$H$92,"&lt;0")-SUMIFS('Daftar Koreksi'!$H$5:$H$92,'Daftar Koreksi'!$D$5:$D$92,'0400'!A180,'Daftar Koreksi'!$G$5:$G$92,"Persediaan",'Daftar Koreksi'!$H$5:$H$92,"&lt;0")-SUMIFS('Daftar Koreksi'!$H$5:$H$92,'Daftar Koreksi'!$D$5:$D$92,'0400'!A180,'Daftar Koreksi'!$G$5:$G$92,"Persediaan",'Daftar Koreksi'!$H$5:$H$92,"&lt;0")</f>
        <v>0</v>
      </c>
      <c r="G183" s="17">
        <f>D183+E183-F183</f>
        <v>6488900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1824860000</v>
      </c>
      <c r="E184" s="25">
        <f>SUMIFS('Daftar Koreksi'!$H$5:$H$92,'Daftar Koreksi'!$D$5:$D$92,'0400'!A180,'Daftar Koreksi'!$G$5:$G$92,"Tanah",'Daftar Koreksi'!$H$5:$H$92,"&gt;0")</f>
        <v>0</v>
      </c>
      <c r="F184" s="25">
        <f>SUMIFS('Daftar Koreksi'!$H$5:$H$92,'Daftar Koreksi'!$D$5:$D$92,'0400'!A180,'Daftar Koreksi'!$G$5:$G$92,"Tanah",'Daftar Koreksi'!$H$5:$H$92,"&lt;0")-SUMIFS('Daftar Koreksi'!$H$5:$H$92,'Daftar Koreksi'!$D$5:$D$92,'0400'!A180,'Daftar Koreksi'!$G$5:$G$92,"Tanah",'Daftar Koreksi'!$H$5:$H$92,"&lt;0")-SUMIFS('Daftar Koreksi'!$H$5:$H$92,'Daftar Koreksi'!$D$5:$D$92,'0400'!A180,'Daftar Koreksi'!$G$5:$G$92,"Tanah",'Daftar Koreksi'!$H$5:$H$92,"&lt;0")</f>
        <v>0</v>
      </c>
      <c r="G184" s="17">
        <f t="shared" ref="G184:G200" si="8">D184+E184-F184</f>
        <v>1824860000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1823468186</v>
      </c>
      <c r="E185" s="25">
        <f>SUMIFS('Daftar Koreksi'!$H$5:$H$92,'Daftar Koreksi'!$D$5:$D$92,'0400'!A180,'Daftar Koreksi'!$G$5:$G$92,"Peralatan dan mesin",'Daftar Koreksi'!$H$5:$H$92,"&gt;0")</f>
        <v>0</v>
      </c>
      <c r="F185" s="25">
        <f>SUMIFS('Daftar Koreksi'!$H$5:$H$92,'Daftar Koreksi'!$D$5:$D$92,'0400'!A180,'Daftar Koreksi'!$G$5:$G$92,"Peralatan dan mesin",'Daftar Koreksi'!$H$5:$H$92,"&lt;0")-SUMIFS('Daftar Koreksi'!$H$5:$H$92,'Daftar Koreksi'!$D$5:$D$92,'0400'!A180,'Daftar Koreksi'!$G$5:$G$92,"Peralatan dan mesin",'Daftar Koreksi'!$H$5:$H$92,"&lt;0")-SUMIFS('Daftar Koreksi'!$H$5:$H$92,'Daftar Koreksi'!$D$5:$D$92,'0400'!A180,'Daftar Koreksi'!$G$5:$G$92,"Peralatan dan mesin",'Daftar Koreksi'!$H$5:$H$92,"&lt;0")</f>
        <v>0</v>
      </c>
      <c r="G185" s="17">
        <f t="shared" si="8"/>
        <v>1823468186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5635972525</v>
      </c>
      <c r="E186" s="25">
        <f>SUMIFS('Daftar Koreksi'!$H$5:$H$92,'Daftar Koreksi'!$D$5:$D$92,'0400'!A180,'Daftar Koreksi'!$G$5:$G$92,"Gedung dan Bangunan",'Daftar Koreksi'!$H$5:$H$92,"&gt;0")</f>
        <v>0</v>
      </c>
      <c r="F186" s="25">
        <f>SUMIFS('Daftar Koreksi'!$H$5:$H$92,'Daftar Koreksi'!$D$5:$D$92,'0400'!A180,'Daftar Koreksi'!$G$5:$G$92,"Gedung dan Bangunan",'Daftar Koreksi'!$H$5:$H$92,"&lt;0")-SUMIFS('Daftar Koreksi'!$H$5:$H$92,'Daftar Koreksi'!$D$5:$D$92,'0400'!A180,'Daftar Koreksi'!$G$5:$G$92,"Gedung dan Bangunan",'Daftar Koreksi'!$H$5:$H$92,"&lt;0")-SUMIFS('Daftar Koreksi'!$H$5:$H$92,'Daftar Koreksi'!$D$5:$D$92,'0400'!A180,'Daftar Koreksi'!$G$5:$G$92,"Gedung dan Bangunan",'Daftar Koreksi'!$H$5:$H$92,"&lt;0")</f>
        <v>0</v>
      </c>
      <c r="G186" s="17">
        <f t="shared" si="8"/>
        <v>5635972525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Koreksi'!$D$5:$D$92,'0400'!A180,'Daftar Koreksi'!$G$5:$G$92,"Jalan Irigasi Jaringan",'Daftar Koreksi'!$H$5:$H$92,"&gt;0")</f>
        <v>0</v>
      </c>
      <c r="F187" s="25">
        <f>SUMIFS('Daftar Koreksi'!$H$5:$H$92,'Daftar Koreksi'!$D$5:$D$92,'0400'!A180,'Daftar Koreksi'!$G$5:$G$92,"Jalan Irigasi Jaringan",'Daftar Koreksi'!$H$5:$H$92,"&lt;0")-SUMIFS('Daftar Koreksi'!$H$5:$H$92,'Daftar Koreksi'!$D$5:$D$92,'0400'!A180,'Daftar Koreksi'!$G$5:$G$92,"Jalan Irigasi Jaringan",'Daftar Koreksi'!$H$5:$H$92,"&lt;0")-SUMIFS('Daftar Koreksi'!$H$5:$H$92,'Daftar Koreksi'!$D$5:$D$92,'0400'!A180,'Daftar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5463670</v>
      </c>
      <c r="E188" s="25">
        <f>SUMIFS('Daftar Koreksi'!$H$5:$H$92,'Daftar Koreksi'!$D$5:$D$92,'0400'!A180,'Daftar Koreksi'!$G$5:$G$92,"Aset Tetap Lainnya",'Daftar Koreksi'!$H$5:$H$92,"&gt;0")</f>
        <v>0</v>
      </c>
      <c r="F188" s="25">
        <f>SUMIFS('Daftar Koreksi'!$H$5:$H$92,'Daftar Koreksi'!$D$5:$D$92,'0400'!A180,'Daftar Koreksi'!$G$5:$G$92,"Aset Tetap Lainnya",'Daftar Koreksi'!$H$5:$H$92,"&lt;0")-SUMIFS('Daftar Koreksi'!$H$5:$H$92,'Daftar Koreksi'!$D$5:$D$92,'0400'!A180,'Daftar Koreksi'!$G$5:$G$92,"Aset Tetap Lainnya",'Daftar Koreksi'!$H$5:$H$92,"&lt;0")-SUMIFS('Daftar Koreksi'!$H$5:$H$92,'Daftar Koreksi'!$D$5:$D$92,'0400'!A180,'Daftar Koreksi'!$G$5:$G$92,"Aset Tetap Lainnya",'Daftar Koreksi'!$H$5:$H$92,"&lt;0")</f>
        <v>0</v>
      </c>
      <c r="G188" s="17">
        <f t="shared" si="8"/>
        <v>5463670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Koreksi'!$D$5:$D$92,'0400'!A180,'Daftar Koreksi'!$G$5:$G$92,"Kontruksi Dalam Pengerjaan",'Daftar Koreksi'!$H$5:$H$92,"&gt;0")</f>
        <v>0</v>
      </c>
      <c r="F189" s="25">
        <f>SUMIFS('Daftar Koreksi'!$H$5:$H$92,'Daftar Koreksi'!$D$5:$D$92,'0400'!A180,'Daftar Koreksi'!$G$5:$G$92,"Kontruksi Dalam Pengerjaan",'Daftar Koreksi'!$H$5:$H$92,"&lt;0")-SUMIFS('Daftar Koreksi'!$H$5:$H$92,'Daftar Koreksi'!$D$5:$D$92,'0400'!A180,'Daftar Koreksi'!$G$5:$G$92,"Kontruksi Dalam Pengerjaan",'Daftar Koreksi'!$H$5:$H$92,"&lt;0")-SUMIFS('Daftar Koreksi'!$H$5:$H$92,'Daftar Koreksi'!$D$5:$D$92,'0400'!A180,'Daftar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Koreksi'!$D$5:$D$92,'0400'!A180,'Daftar Koreksi'!$G$5:$G$92,"Aset Tak Berwujud",'Daftar Koreksi'!$H$5:$H$92,"&gt;0")</f>
        <v>0</v>
      </c>
      <c r="F190" s="25">
        <f>SUMIFS('Daftar Koreksi'!$H$5:$H$92,'Daftar Koreksi'!$D$5:$D$92,'0400'!A180,'Daftar Koreksi'!$G$5:$G$92,"Aset Tak Berwujud",'Daftar Koreksi'!$H$5:$H$92,"&lt;0")-SUMIFS('Daftar Koreksi'!$H$5:$H$92,'Daftar Koreksi'!$D$5:$D$92,'0400'!A180,'Daftar Koreksi'!$G$5:$G$92,"Aset Tak Berwujud",'Daftar Koreksi'!$H$5:$H$92,"&lt;0")-SUMIFS('Daftar Koreksi'!$H$5:$H$92,'Daftar Koreksi'!$D$5:$D$92,'0400'!A180,'Daftar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79513500</v>
      </c>
      <c r="E191" s="25">
        <f>SUMIFS('Daftar Koreksi'!$H$5:$H$92,'Daftar Koreksi'!$D$5:$D$92,'0400'!A180,'Daftar Koreksi'!$G$5:$G$92,"Aset Henti Guna",'Daftar Koreksi'!$H$5:$H$92,"&gt;0")</f>
        <v>0</v>
      </c>
      <c r="F191" s="25">
        <f>SUMIFS('Daftar Koreksi'!$H$5:$H$92,'Daftar Koreksi'!$D$5:$D$92,'0400'!A180,'Daftar Koreksi'!$G$5:$G$92,"Aset Henti Guna",'Daftar Koreksi'!$H$5:$H$92,"&lt;0")-SUMIFS('Daftar Koreksi'!$H$5:$H$92,'Daftar Koreksi'!$D$5:$D$92,'0400'!A180,'Daftar Koreksi'!$G$5:$G$92,"Aset Henti Guna",'Daftar Koreksi'!$H$5:$H$92,"&lt;0")-SUMIFS('Daftar Koreksi'!$H$5:$H$92,'Daftar Koreksi'!$D$5:$D$92,'0400'!A180,'Daftar Koreksi'!$G$5:$G$92,"Aset Henti Guna",'Daftar Koreksi'!$H$5:$H$92,"&lt;0")</f>
        <v>0</v>
      </c>
      <c r="G191" s="17">
        <f t="shared" si="8"/>
        <v>79513500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9375766781</v>
      </c>
      <c r="E192" s="19">
        <f>SUM(E183:E191)</f>
        <v>0</v>
      </c>
      <c r="F192" s="19">
        <f>SUM(F183:F191)</f>
        <v>0</v>
      </c>
      <c r="G192" s="19">
        <f t="shared" si="8"/>
        <v>9375766781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-1307124068</v>
      </c>
      <c r="E193" s="25">
        <f>SUMIFS('Daftar Koreksi'!$I$5:$I$92,'Daftar Koreksi'!$D$5:$D$92,'0400'!A180,'Daftar Koreksi'!$G$5:$G$92,"Peralatan dan mesin",'Daftar Koreksi'!$I$5:$I$92,"&gt;0")</f>
        <v>0</v>
      </c>
      <c r="F193" s="25">
        <f>SUMIFS('Daftar Koreksi'!$I$5:$I$92,'Daftar Koreksi'!$D$5:$D$92,'0400'!A180,'Daftar Koreksi'!$G$5:$G$92,"Peralatan dan mesin",'Daftar Koreksi'!$I$5:$I$92,"&lt;0")-SUMIFS('Daftar Koreksi'!$I$5:$I$92,'Daftar Koreksi'!$D$5:$D$92,'0400'!A180,'Daftar Koreksi'!$G$5:$G$92,"Peralatan dan mesin",'Daftar Koreksi'!$I$5:$I$92,"&lt;0")-SUMIFS('Daftar Koreksi'!$I$5:$I$92,'Daftar Koreksi'!$D$5:$D$92,'0400'!A180,'Daftar Koreksi'!$G$5:$G$92,"Peralatan dan mesin",'Daftar Koreksi'!$I$5:$I$92,"&lt;0")</f>
        <v>0</v>
      </c>
      <c r="G193" s="17">
        <f t="shared" si="8"/>
        <v>-1307124068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-798766243</v>
      </c>
      <c r="E194" s="25">
        <f>SUMIFS('Daftar Koreksi'!$I$5:$I$92,'Daftar Koreksi'!$D$5:$D$92,'0400'!A180,'Daftar Koreksi'!$G$5:$G$92,"Gedung dan Bangunan",'Daftar Koreksi'!$I$5:$I$92,"&gt;0")</f>
        <v>0</v>
      </c>
      <c r="F194" s="25">
        <f>SUMIFS('Daftar Koreksi'!$I$5:$I$92,'Daftar Koreksi'!$D$5:$D$92,'0400'!A180,'Daftar Koreksi'!$G$5:$G$92,"Gedung dan Bangunan",'Daftar Koreksi'!$I$5:$I$92,"&lt;0")-SUMIFS('Daftar Koreksi'!$I$5:$I$92,'Daftar Koreksi'!$D$5:$D$92,'0400'!A180,'Daftar Koreksi'!$G$5:$G$92,"Gedung dan Bangunan",'Daftar Koreksi'!$I$5:$I$92,"&lt;0")-SUMIFS('Daftar Koreksi'!$I$5:$I$92,'Daftar Koreksi'!$D$5:$D$92,'0400'!A180,'Daftar Koreksi'!$G$5:$G$92,"Gedung dan Bangunan",'Daftar Koreksi'!$I$5:$I$92,"&lt;0")</f>
        <v>0</v>
      </c>
      <c r="G194" s="17">
        <f t="shared" si="8"/>
        <v>-798766243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Koreksi'!$D$5:$D$92,'0400'!A180,'Daftar Koreksi'!$G$5:$G$92,"Jalan Irigasi Jaringan",'Daftar Koreksi'!$I$5:$I$92,"&gt;0")</f>
        <v>0</v>
      </c>
      <c r="F195" s="25">
        <f>SUMIFS('Daftar Koreksi'!$I$5:$I$92,'Daftar Koreksi'!$D$5:$D$92,'0400'!A180,'Daftar Koreksi'!$G$5:$G$92,"Jalan Irigasi Jaringan",'Daftar Koreksi'!$I$5:$I$92,"&lt;0")-SUMIFS('Daftar Koreksi'!$I$5:$I$92,'Daftar Koreksi'!$D$5:$D$92,'0400'!A180,'Daftar Koreksi'!$G$5:$G$92,"Jalan Irigasi Jaringan",'Daftar Koreksi'!$I$5:$I$92,"&lt;0")-SUMIFS('Daftar Koreksi'!$I$5:$I$92,'Daftar Koreksi'!$D$5:$D$92,'0400'!A180,'Daftar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Koreksi'!$D$5:$D$92,'0400'!A180,'Daftar Koreksi'!$G$5:$G$92,"Aset Tetap Lainnya",'Daftar Koreksi'!$I$5:$I$92,"&gt;0")</f>
        <v>0</v>
      </c>
      <c r="F196" s="25">
        <f>SUMIFS('Daftar Koreksi'!$I$5:$I$92,'Daftar Koreksi'!$D$5:$D$92,'0400'!A180,'Daftar Koreksi'!$G$5:$G$92,"Aset Tetap Lainnya",'Daftar Koreksi'!$I$5:$I$92,"&lt;0")-SUMIFS('Daftar Koreksi'!$I$5:$I$92,'Daftar Koreksi'!$D$5:$D$92,'0400'!A180,'Daftar Koreksi'!$G$5:$G$92,"Aset Tetap Lainnya",'Daftar Koreksi'!$I$5:$I$92,"&lt;0")-SUMIFS('Daftar Koreksi'!$I$5:$I$92,'Daftar Koreksi'!$D$5:$D$92,'0400'!A180,'Daftar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-78218500</v>
      </c>
      <c r="E197" s="25">
        <f>SUMIFS('Daftar Koreksi'!$I$5:$I$92,'Daftar Koreksi'!$D$5:$D$92,'0400'!A180,'Daftar Koreksi'!$G$5:$G$92,"Aset Henti Guna",'Daftar Koreksi'!$I$5:$I$92,"&gt;0")</f>
        <v>0</v>
      </c>
      <c r="F197" s="25">
        <f>SUMIFS('Daftar Koreksi'!$I$5:$I$92,'Daftar Koreksi'!$D$5:$D$92,'0400'!A180,'Daftar Koreksi'!$G$5:$G$92,"Aset Henti Guna",'Daftar Koreksi'!$I$5:$I$92,"&lt;0")-SUMIFS('Daftar Koreksi'!$I$5:$I$92,'Daftar Koreksi'!$D$5:$D$92,'0400'!A180,'Daftar Koreksi'!$G$5:$G$92,"Aset Henti Guna",'Daftar Koreksi'!$I$5:$I$92,"&lt;0")-SUMIFS('Daftar Koreksi'!$I$5:$I$92,'Daftar Koreksi'!$D$5:$D$92,'0400'!A180,'Daftar Koreksi'!$G$5:$G$92,"Aset Henti Guna",'Daftar Koreksi'!$I$5:$I$92,"&lt;0")</f>
        <v>0</v>
      </c>
      <c r="G197" s="17">
        <f t="shared" si="8"/>
        <v>-78218500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-2184108811</v>
      </c>
      <c r="E198" s="19">
        <f>SUM(E193:E197)</f>
        <v>0</v>
      </c>
      <c r="F198" s="19">
        <f>SUM(F193:F197)</f>
        <v>0</v>
      </c>
      <c r="G198" s="19">
        <f t="shared" si="8"/>
        <v>-2184108811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7191657970</v>
      </c>
      <c r="E199" s="19">
        <f>E198+E192</f>
        <v>0</v>
      </c>
      <c r="F199" s="19">
        <f>F198+F192</f>
        <v>0</v>
      </c>
      <c r="G199" s="19">
        <f t="shared" si="8"/>
        <v>7191657970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005010400401225000KD</v>
      </c>
      <c r="B202" s="11" t="str">
        <f>P10</f>
        <v>PA. Bantul</v>
      </c>
      <c r="C202" s="12" t="str">
        <f>A202&amp;" "&amp;B202</f>
        <v>005010400401225000KD PA. Bantul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3202075</v>
      </c>
      <c r="E205" s="25">
        <f>SUMIFS('Daftar Koreksi'!$H$5:$H$92,'Daftar Koreksi'!$D$5:$D$92,'0400'!A202,'Daftar Koreksi'!$G$5:$G$92,"Persediaan",'Daftar Koreksi'!$H$5:$H$92,"&gt;0")</f>
        <v>0</v>
      </c>
      <c r="F205" s="25">
        <f>SUMIFS('Daftar Koreksi'!$H$5:$H$92,'Daftar Koreksi'!$D$5:$D$92,'0400'!A202,'Daftar Koreksi'!$G$5:$G$92,"Persediaan",'Daftar Koreksi'!$H$5:$H$92,"&lt;0")-SUMIFS('Daftar Koreksi'!$H$5:$H$92,'Daftar Koreksi'!$D$5:$D$92,'0400'!A202,'Daftar Koreksi'!$G$5:$G$92,"Persediaan",'Daftar Koreksi'!$H$5:$H$92,"&lt;0")-SUMIFS('Daftar Koreksi'!$H$5:$H$92,'Daftar Koreksi'!$D$5:$D$92,'0400'!A202,'Daftar Koreksi'!$G$5:$G$92,"Persediaan",'Daftar Koreksi'!$H$5:$H$92,"&lt;0")</f>
        <v>0</v>
      </c>
      <c r="G205" s="17">
        <f>D205+E205-F205</f>
        <v>3202075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2184780000</v>
      </c>
      <c r="E206" s="25">
        <f>SUMIFS('Daftar Koreksi'!$H$5:$H$92,'Daftar Koreksi'!$D$5:$D$92,'0400'!A202,'Daftar Koreksi'!$G$5:$G$92,"Tanah",'Daftar Koreksi'!$H$5:$H$92,"&gt;0")</f>
        <v>0</v>
      </c>
      <c r="F206" s="25">
        <f>SUMIFS('Daftar Koreksi'!$H$5:$H$92,'Daftar Koreksi'!$D$5:$D$92,'0400'!A202,'Daftar Koreksi'!$G$5:$G$92,"Tanah",'Daftar Koreksi'!$H$5:$H$92,"&lt;0")-SUMIFS('Daftar Koreksi'!$H$5:$H$92,'Daftar Koreksi'!$D$5:$D$92,'0400'!A202,'Daftar Koreksi'!$G$5:$G$92,"Tanah",'Daftar Koreksi'!$H$5:$H$92,"&lt;0")-SUMIFS('Daftar Koreksi'!$H$5:$H$92,'Daftar Koreksi'!$D$5:$D$92,'0400'!A202,'Daftar Koreksi'!$G$5:$G$92,"Tanah",'Daftar Koreksi'!$H$5:$H$92,"&lt;0")</f>
        <v>0</v>
      </c>
      <c r="G206" s="17">
        <f t="shared" ref="G206:G222" si="9">D206+E206-F206</f>
        <v>2184780000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1578448625</v>
      </c>
      <c r="E207" s="25">
        <f>SUMIFS('Daftar Koreksi'!$H$5:$H$92,'Daftar Koreksi'!$D$5:$D$92,'0400'!A202,'Daftar Koreksi'!$G$5:$G$92,"Peralatan dan mesin",'Daftar Koreksi'!$H$5:$H$92,"&gt;0")</f>
        <v>0</v>
      </c>
      <c r="F207" s="25">
        <f>SUMIFS('Daftar Koreksi'!$H$5:$H$92,'Daftar Koreksi'!$D$5:$D$92,'0400'!A202,'Daftar Koreksi'!$G$5:$G$92,"Peralatan dan mesin",'Daftar Koreksi'!$H$5:$H$92,"&lt;0")-SUMIFS('Daftar Koreksi'!$H$5:$H$92,'Daftar Koreksi'!$D$5:$D$92,'0400'!A202,'Daftar Koreksi'!$G$5:$G$92,"Peralatan dan mesin",'Daftar Koreksi'!$H$5:$H$92,"&lt;0")-SUMIFS('Daftar Koreksi'!$H$5:$H$92,'Daftar Koreksi'!$D$5:$D$92,'0400'!A202,'Daftar Koreksi'!$G$5:$G$92,"Peralatan dan mesin",'Daftar Koreksi'!$H$5:$H$92,"&lt;0")</f>
        <v>0</v>
      </c>
      <c r="G207" s="17">
        <f t="shared" si="9"/>
        <v>1578448625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5563847545</v>
      </c>
      <c r="E208" s="25">
        <f>SUMIFS('Daftar Koreksi'!$H$5:$H$92,'Daftar Koreksi'!$D$5:$D$92,'0400'!A202,'Daftar Koreksi'!$G$5:$G$92,"Gedung dan Bangunan",'Daftar Koreksi'!$H$5:$H$92,"&gt;0")</f>
        <v>0</v>
      </c>
      <c r="F208" s="25">
        <f>SUMIFS('Daftar Koreksi'!$H$5:$H$92,'Daftar Koreksi'!$D$5:$D$92,'0400'!A202,'Daftar Koreksi'!$G$5:$G$92,"Gedung dan Bangunan",'Daftar Koreksi'!$H$5:$H$92,"&lt;0")-SUMIFS('Daftar Koreksi'!$H$5:$H$92,'Daftar Koreksi'!$D$5:$D$92,'0400'!A202,'Daftar Koreksi'!$G$5:$G$92,"Gedung dan Bangunan",'Daftar Koreksi'!$H$5:$H$92,"&lt;0")-SUMIFS('Daftar Koreksi'!$H$5:$H$92,'Daftar Koreksi'!$D$5:$D$92,'0400'!A202,'Daftar Koreksi'!$G$5:$G$92,"Gedung dan Bangunan",'Daftar Koreksi'!$H$5:$H$92,"&lt;0")</f>
        <v>0</v>
      </c>
      <c r="G208" s="17">
        <f t="shared" si="9"/>
        <v>5563847545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Koreksi'!$D$5:$D$92,'0400'!A202,'Daftar Koreksi'!$G$5:$G$92,"Jalan Irigasi Jaringan",'Daftar Koreksi'!$H$5:$H$92,"&gt;0")</f>
        <v>0</v>
      </c>
      <c r="F209" s="25">
        <f>SUMIFS('Daftar Koreksi'!$H$5:$H$92,'Daftar Koreksi'!$D$5:$D$92,'0400'!A202,'Daftar Koreksi'!$G$5:$G$92,"Jalan Irigasi Jaringan",'Daftar Koreksi'!$H$5:$H$92,"&lt;0")-SUMIFS('Daftar Koreksi'!$H$5:$H$92,'Daftar Koreksi'!$D$5:$D$92,'0400'!A202,'Daftar Koreksi'!$G$5:$G$92,"Jalan Irigasi Jaringan",'Daftar Koreksi'!$H$5:$H$92,"&lt;0")-SUMIFS('Daftar Koreksi'!$H$5:$H$92,'Daftar Koreksi'!$D$5:$D$92,'0400'!A202,'Daftar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5901670</v>
      </c>
      <c r="E210" s="25">
        <f>SUMIFS('Daftar Koreksi'!$H$5:$H$92,'Daftar Koreksi'!$D$5:$D$92,'0400'!A202,'Daftar Koreksi'!$G$5:$G$92,"Aset Tetap Lainnya",'Daftar Koreksi'!$H$5:$H$92,"&gt;0")</f>
        <v>0</v>
      </c>
      <c r="F210" s="25">
        <f>SUMIFS('Daftar Koreksi'!$H$5:$H$92,'Daftar Koreksi'!$D$5:$D$92,'0400'!A202,'Daftar Koreksi'!$G$5:$G$92,"Aset Tetap Lainnya",'Daftar Koreksi'!$H$5:$H$92,"&lt;0")-SUMIFS('Daftar Koreksi'!$H$5:$H$92,'Daftar Koreksi'!$D$5:$D$92,'0400'!A202,'Daftar Koreksi'!$G$5:$G$92,"Aset Tetap Lainnya",'Daftar Koreksi'!$H$5:$H$92,"&lt;0")-SUMIFS('Daftar Koreksi'!$H$5:$H$92,'Daftar Koreksi'!$D$5:$D$92,'0400'!A202,'Daftar Koreksi'!$G$5:$G$92,"Aset Tetap Lainnya",'Daftar Koreksi'!$H$5:$H$92,"&lt;0")</f>
        <v>0</v>
      </c>
      <c r="G210" s="17">
        <f t="shared" si="9"/>
        <v>5901670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Koreksi'!$D$5:$D$92,'0400'!A202,'Daftar Koreksi'!$G$5:$G$92,"Kontruksi Dalam Pengerjaan",'Daftar Koreksi'!$H$5:$H$92,"&gt;0")</f>
        <v>0</v>
      </c>
      <c r="F211" s="25">
        <f>SUMIFS('Daftar Koreksi'!$H$5:$H$92,'Daftar Koreksi'!$D$5:$D$92,'0400'!A202,'Daftar Koreksi'!$G$5:$G$92,"Kontruksi Dalam Pengerjaan",'Daftar Koreksi'!$H$5:$H$92,"&lt;0")-SUMIFS('Daftar Koreksi'!$H$5:$H$92,'Daftar Koreksi'!$D$5:$D$92,'0400'!A202,'Daftar Koreksi'!$G$5:$G$92,"Kontruksi Dalam Pengerjaan",'Daftar Koreksi'!$H$5:$H$92,"&lt;0")-SUMIFS('Daftar Koreksi'!$H$5:$H$92,'Daftar Koreksi'!$D$5:$D$92,'0400'!A202,'Daftar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Koreksi'!$D$5:$D$92,'0400'!A202,'Daftar Koreksi'!$G$5:$G$92,"Aset Tak Berwujud",'Daftar Koreksi'!$H$5:$H$92,"&gt;0")</f>
        <v>0</v>
      </c>
      <c r="F212" s="25">
        <f>SUMIFS('Daftar Koreksi'!$H$5:$H$92,'Daftar Koreksi'!$D$5:$D$92,'0400'!A202,'Daftar Koreksi'!$G$5:$G$92,"Aset Tak Berwujud",'Daftar Koreksi'!$H$5:$H$92,"&lt;0")-SUMIFS('Daftar Koreksi'!$H$5:$H$92,'Daftar Koreksi'!$D$5:$D$92,'0400'!A202,'Daftar Koreksi'!$G$5:$G$92,"Aset Tak Berwujud",'Daftar Koreksi'!$H$5:$H$92,"&lt;0")-SUMIFS('Daftar Koreksi'!$H$5:$H$92,'Daftar Koreksi'!$D$5:$D$92,'0400'!A202,'Daftar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1757000</v>
      </c>
      <c r="E213" s="25">
        <f>SUMIFS('Daftar Koreksi'!$H$5:$H$92,'Daftar Koreksi'!$D$5:$D$92,'0400'!A202,'Daftar Koreksi'!$G$5:$G$92,"Aset Henti Guna",'Daftar Koreksi'!$H$5:$H$92,"&gt;0")</f>
        <v>0</v>
      </c>
      <c r="F213" s="25">
        <f>SUMIFS('Daftar Koreksi'!$H$5:$H$92,'Daftar Koreksi'!$D$5:$D$92,'0400'!A202,'Daftar Koreksi'!$G$5:$G$92,"Aset Henti Guna",'Daftar Koreksi'!$H$5:$H$92,"&lt;0")-SUMIFS('Daftar Koreksi'!$H$5:$H$92,'Daftar Koreksi'!$D$5:$D$92,'0400'!A202,'Daftar Koreksi'!$G$5:$G$92,"Aset Henti Guna",'Daftar Koreksi'!$H$5:$H$92,"&lt;0")-SUMIFS('Daftar Koreksi'!$H$5:$H$92,'Daftar Koreksi'!$D$5:$D$92,'0400'!A202,'Daftar Koreksi'!$G$5:$G$92,"Aset Henti Guna",'Daftar Koreksi'!$H$5:$H$92,"&lt;0")</f>
        <v>0</v>
      </c>
      <c r="G213" s="17">
        <f t="shared" si="9"/>
        <v>1757000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9337936915</v>
      </c>
      <c r="E214" s="19">
        <f>SUM(E205:E213)</f>
        <v>0</v>
      </c>
      <c r="F214" s="19">
        <f>SUM(F205:F213)</f>
        <v>0</v>
      </c>
      <c r="G214" s="19">
        <f t="shared" si="9"/>
        <v>9337936915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-1235111472</v>
      </c>
      <c r="E215" s="25">
        <f>SUMIFS('Daftar Koreksi'!$I$5:$I$92,'Daftar Koreksi'!$D$5:$D$92,'0400'!A202,'Daftar Koreksi'!$G$5:$G$92,"Peralatan dan mesin",'Daftar Koreksi'!$I$5:$I$92,"&gt;0")</f>
        <v>0</v>
      </c>
      <c r="F215" s="25">
        <f>SUMIFS('Daftar Koreksi'!$I$5:$I$92,'Daftar Koreksi'!$D$5:$D$92,'0400'!A202,'Daftar Koreksi'!$G$5:$G$92,"Peralatan dan mesin",'Daftar Koreksi'!$I$5:$I$92,"&lt;0")-SUMIFS('Daftar Koreksi'!$I$5:$I$92,'Daftar Koreksi'!$D$5:$D$92,'0400'!A202,'Daftar Koreksi'!$G$5:$G$92,"Peralatan dan mesin",'Daftar Koreksi'!$I$5:$I$92,"&lt;0")-SUMIFS('Daftar Koreksi'!$I$5:$I$92,'Daftar Koreksi'!$D$5:$D$92,'0400'!A202,'Daftar Koreksi'!$G$5:$G$92,"Peralatan dan mesin",'Daftar Koreksi'!$I$5:$I$92,"&lt;0")</f>
        <v>0</v>
      </c>
      <c r="G215" s="17">
        <f t="shared" si="9"/>
        <v>-1235111472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-1836475783</v>
      </c>
      <c r="E216" s="25">
        <f>SUMIFS('Daftar Koreksi'!$I$5:$I$92,'Daftar Koreksi'!$D$5:$D$92,'0400'!A202,'Daftar Koreksi'!$G$5:$G$92,"Gedung dan Bangunan",'Daftar Koreksi'!$I$5:$I$92,"&gt;0")</f>
        <v>0</v>
      </c>
      <c r="F216" s="25">
        <f>SUMIFS('Daftar Koreksi'!$I$5:$I$92,'Daftar Koreksi'!$D$5:$D$92,'0400'!A202,'Daftar Koreksi'!$G$5:$G$92,"Gedung dan Bangunan",'Daftar Koreksi'!$I$5:$I$92,"&lt;0")-SUMIFS('Daftar Koreksi'!$I$5:$I$92,'Daftar Koreksi'!$D$5:$D$92,'0400'!A202,'Daftar Koreksi'!$G$5:$G$92,"Gedung dan Bangunan",'Daftar Koreksi'!$I$5:$I$92,"&lt;0")-SUMIFS('Daftar Koreksi'!$I$5:$I$92,'Daftar Koreksi'!$D$5:$D$92,'0400'!A202,'Daftar Koreksi'!$G$5:$G$92,"Gedung dan Bangunan",'Daftar Koreksi'!$I$5:$I$92,"&lt;0")</f>
        <v>0</v>
      </c>
      <c r="G216" s="17">
        <f t="shared" si="9"/>
        <v>-1836475783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Koreksi'!$D$5:$D$92,'0400'!A202,'Daftar Koreksi'!$G$5:$G$92,"Jalan Irigasi Jaringan",'Daftar Koreksi'!$I$5:$I$92,"&gt;0")</f>
        <v>0</v>
      </c>
      <c r="F217" s="25">
        <f>SUMIFS('Daftar Koreksi'!$I$5:$I$92,'Daftar Koreksi'!$D$5:$D$92,'0400'!A202,'Daftar Koreksi'!$G$5:$G$92,"Jalan Irigasi Jaringan",'Daftar Koreksi'!$I$5:$I$92,"&lt;0")-SUMIFS('Daftar Koreksi'!$I$5:$I$92,'Daftar Koreksi'!$D$5:$D$92,'0400'!A202,'Daftar Koreksi'!$G$5:$G$92,"Jalan Irigasi Jaringan",'Daftar Koreksi'!$I$5:$I$92,"&lt;0")-SUMIFS('Daftar Koreksi'!$I$5:$I$92,'Daftar Koreksi'!$D$5:$D$92,'0400'!A202,'Daftar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Koreksi'!$D$5:$D$92,'0400'!A202,'Daftar Koreksi'!$G$5:$G$92,"Aset Tetap Lainnya",'Daftar Koreksi'!$I$5:$I$92,"&gt;0")</f>
        <v>0</v>
      </c>
      <c r="F218" s="25">
        <f>SUMIFS('Daftar Koreksi'!$I$5:$I$92,'Daftar Koreksi'!$D$5:$D$92,'0400'!A202,'Daftar Koreksi'!$G$5:$G$92,"Aset Tetap Lainnya",'Daftar Koreksi'!$I$5:$I$92,"&lt;0")-SUMIFS('Daftar Koreksi'!$I$5:$I$92,'Daftar Koreksi'!$D$5:$D$92,'0400'!A202,'Daftar Koreksi'!$G$5:$G$92,"Aset Tetap Lainnya",'Daftar Koreksi'!$I$5:$I$92,"&lt;0")-SUMIFS('Daftar Koreksi'!$I$5:$I$92,'Daftar Koreksi'!$D$5:$D$92,'0400'!A202,'Daftar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-1757000</v>
      </c>
      <c r="E219" s="25">
        <f>SUMIFS('Daftar Koreksi'!$I$5:$I$92,'Daftar Koreksi'!$D$5:$D$92,'0400'!A202,'Daftar Koreksi'!$G$5:$G$92,"Aset Henti Guna",'Daftar Koreksi'!$I$5:$I$92,"&gt;0")</f>
        <v>0</v>
      </c>
      <c r="F219" s="25">
        <f>SUMIFS('Daftar Koreksi'!$I$5:$I$92,'Daftar Koreksi'!$D$5:$D$92,'0400'!A202,'Daftar Koreksi'!$G$5:$G$92,"Aset Henti Guna",'Daftar Koreksi'!$I$5:$I$92,"&lt;0")-SUMIFS('Daftar Koreksi'!$I$5:$I$92,'Daftar Koreksi'!$D$5:$D$92,'0400'!A202,'Daftar Koreksi'!$G$5:$G$92,"Aset Henti Guna",'Daftar Koreksi'!$I$5:$I$92,"&lt;0")-SUMIFS('Daftar Koreksi'!$I$5:$I$92,'Daftar Koreksi'!$D$5:$D$92,'0400'!A202,'Daftar Koreksi'!$G$5:$G$92,"Aset Henti Guna",'Daftar Koreksi'!$I$5:$I$92,"&lt;0")</f>
        <v>0</v>
      </c>
      <c r="G219" s="17">
        <f t="shared" si="9"/>
        <v>-1757000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-3073344255</v>
      </c>
      <c r="E220" s="19">
        <f>SUM(E215:E219)</f>
        <v>0</v>
      </c>
      <c r="F220" s="19">
        <f>SUM(F215:F219)</f>
        <v>0</v>
      </c>
      <c r="G220" s="19">
        <f t="shared" si="9"/>
        <v>-3073344255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6264592660</v>
      </c>
      <c r="E221" s="19">
        <f>E220+E214</f>
        <v>0</v>
      </c>
      <c r="F221" s="19">
        <f>F220+F214</f>
        <v>0</v>
      </c>
      <c r="G221" s="19">
        <f t="shared" si="9"/>
        <v>6264592660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005010400401231000KD</v>
      </c>
      <c r="B224" s="11" t="str">
        <f>P11</f>
        <v>PA. Wonosari</v>
      </c>
      <c r="C224" s="12" t="str">
        <f>A224&amp;" "&amp;B224</f>
        <v>005010400401231000KD PA. Wonosari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10110975</v>
      </c>
      <c r="E227" s="25">
        <f>SUMIFS('Daftar Koreksi'!$H$5:$H$92,'Daftar Koreksi'!$D$5:$D$92,'0400'!A224,'Daftar Koreksi'!$G$5:$G$92,"Persediaan",'Daftar Koreksi'!$H$5:$H$92,"&gt;0")</f>
        <v>0</v>
      </c>
      <c r="F227" s="25">
        <f>SUMIFS('Daftar Koreksi'!$H$5:$H$92,'Daftar Koreksi'!$D$5:$D$92,'0400'!A224,'Daftar Koreksi'!$G$5:$G$92,"Persediaan",'Daftar Koreksi'!$H$5:$H$92,"&lt;0")-SUMIFS('Daftar Koreksi'!$H$5:$H$92,'Daftar Koreksi'!$D$5:$D$92,'0400'!A224,'Daftar Koreksi'!$G$5:$G$92,"Persediaan",'Daftar Koreksi'!$H$5:$H$92,"&lt;0")-SUMIFS('Daftar Koreksi'!$H$5:$H$92,'Daftar Koreksi'!$D$5:$D$92,'0400'!A224,'Daftar Koreksi'!$G$5:$G$92,"Persediaan",'Daftar Koreksi'!$H$5:$H$92,"&lt;0")</f>
        <v>0</v>
      </c>
      <c r="G227" s="17">
        <f>D227+E227-F227</f>
        <v>10110975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2829940000</v>
      </c>
      <c r="E228" s="25">
        <f>SUMIFS('Daftar Koreksi'!$H$5:$H$92,'Daftar Koreksi'!$D$5:$D$92,'0400'!A224,'Daftar Koreksi'!$G$5:$G$92,"Tanah",'Daftar Koreksi'!$H$5:$H$92,"&gt;0")</f>
        <v>0</v>
      </c>
      <c r="F228" s="25">
        <f>SUMIFS('Daftar Koreksi'!$H$5:$H$92,'Daftar Koreksi'!$D$5:$D$92,'0400'!A224,'Daftar Koreksi'!$G$5:$G$92,"Tanah",'Daftar Koreksi'!$H$5:$H$92,"&lt;0")-SUMIFS('Daftar Koreksi'!$H$5:$H$92,'Daftar Koreksi'!$D$5:$D$92,'0400'!A224,'Daftar Koreksi'!$G$5:$G$92,"Tanah",'Daftar Koreksi'!$H$5:$H$92,"&lt;0")-SUMIFS('Daftar Koreksi'!$H$5:$H$92,'Daftar Koreksi'!$D$5:$D$92,'0400'!A224,'Daftar Koreksi'!$G$5:$G$92,"Tanah",'Daftar Koreksi'!$H$5:$H$92,"&lt;0")</f>
        <v>0</v>
      </c>
      <c r="G228" s="17">
        <f t="shared" ref="G228:G244" si="10">D228+E228-F228</f>
        <v>2829940000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1892816529</v>
      </c>
      <c r="E229" s="25">
        <f>SUMIFS('Daftar Koreksi'!$H$5:$H$92,'Daftar Koreksi'!$D$5:$D$92,'0400'!A224,'Daftar Koreksi'!$G$5:$G$92,"Peralatan dan mesin",'Daftar Koreksi'!$H$5:$H$92,"&gt;0")</f>
        <v>0</v>
      </c>
      <c r="F229" s="25">
        <f>SUMIFS('Daftar Koreksi'!$H$5:$H$92,'Daftar Koreksi'!$D$5:$D$92,'0400'!A224,'Daftar Koreksi'!$G$5:$G$92,"Peralatan dan mesin",'Daftar Koreksi'!$H$5:$H$92,"&lt;0")-SUMIFS('Daftar Koreksi'!$H$5:$H$92,'Daftar Koreksi'!$D$5:$D$92,'0400'!A224,'Daftar Koreksi'!$G$5:$G$92,"Peralatan dan mesin",'Daftar Koreksi'!$H$5:$H$92,"&lt;0")-SUMIFS('Daftar Koreksi'!$H$5:$H$92,'Daftar Koreksi'!$D$5:$D$92,'0400'!A224,'Daftar Koreksi'!$G$5:$G$92,"Peralatan dan mesin",'Daftar Koreksi'!$H$5:$H$92,"&lt;0")</f>
        <v>0</v>
      </c>
      <c r="G229" s="17">
        <f t="shared" si="10"/>
        <v>1892816529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5748736625</v>
      </c>
      <c r="E230" s="25">
        <f>SUMIFS('Daftar Koreksi'!$H$5:$H$92,'Daftar Koreksi'!$D$5:$D$92,'0400'!A224,'Daftar Koreksi'!$G$5:$G$92,"Gedung dan Bangunan",'Daftar Koreksi'!$H$5:$H$92,"&gt;0")</f>
        <v>0</v>
      </c>
      <c r="F230" s="25">
        <f>SUMIFS('Daftar Koreksi'!$H$5:$H$92,'Daftar Koreksi'!$D$5:$D$92,'0400'!A224,'Daftar Koreksi'!$G$5:$G$92,"Gedung dan Bangunan",'Daftar Koreksi'!$H$5:$H$92,"&lt;0")-SUMIFS('Daftar Koreksi'!$H$5:$H$92,'Daftar Koreksi'!$D$5:$D$92,'0400'!A224,'Daftar Koreksi'!$G$5:$G$92,"Gedung dan Bangunan",'Daftar Koreksi'!$H$5:$H$92,"&lt;0")-SUMIFS('Daftar Koreksi'!$H$5:$H$92,'Daftar Koreksi'!$D$5:$D$92,'0400'!A224,'Daftar Koreksi'!$G$5:$G$92,"Gedung dan Bangunan",'Daftar Koreksi'!$H$5:$H$92,"&lt;0")</f>
        <v>0</v>
      </c>
      <c r="G230" s="17">
        <f t="shared" si="10"/>
        <v>5748736625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Koreksi'!$D$5:$D$92,'0400'!A224,'Daftar Koreksi'!$G$5:$G$92,"Jalan Irigasi Jaringan",'Daftar Koreksi'!$H$5:$H$92,"&gt;0")</f>
        <v>0</v>
      </c>
      <c r="F231" s="25">
        <f>SUMIFS('Daftar Koreksi'!$H$5:$H$92,'Daftar Koreksi'!$D$5:$D$92,'0400'!A224,'Daftar Koreksi'!$G$5:$G$92,"Jalan Irigasi Jaringan",'Daftar Koreksi'!$H$5:$H$92,"&lt;0")-SUMIFS('Daftar Koreksi'!$H$5:$H$92,'Daftar Koreksi'!$D$5:$D$92,'0400'!A224,'Daftar Koreksi'!$G$5:$G$92,"Jalan Irigasi Jaringan",'Daftar Koreksi'!$H$5:$H$92,"&lt;0")-SUMIFS('Daftar Koreksi'!$H$5:$H$92,'Daftar Koreksi'!$D$5:$D$92,'0400'!A224,'Daftar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19688948</v>
      </c>
      <c r="E232" s="25">
        <f>SUMIFS('Daftar Koreksi'!$H$5:$H$92,'Daftar Koreksi'!$D$5:$D$92,'0400'!A224,'Daftar Koreksi'!$G$5:$G$92,"Aset Tetap Lainnya",'Daftar Koreksi'!$H$5:$H$92,"&gt;0")</f>
        <v>0</v>
      </c>
      <c r="F232" s="25">
        <f>SUMIFS('Daftar Koreksi'!$H$5:$H$92,'Daftar Koreksi'!$D$5:$D$92,'0400'!A224,'Daftar Koreksi'!$G$5:$G$92,"Aset Tetap Lainnya",'Daftar Koreksi'!$H$5:$H$92,"&lt;0")-SUMIFS('Daftar Koreksi'!$H$5:$H$92,'Daftar Koreksi'!$D$5:$D$92,'0400'!A224,'Daftar Koreksi'!$G$5:$G$92,"Aset Tetap Lainnya",'Daftar Koreksi'!$H$5:$H$92,"&lt;0")-SUMIFS('Daftar Koreksi'!$H$5:$H$92,'Daftar Koreksi'!$D$5:$D$92,'0400'!A224,'Daftar Koreksi'!$G$5:$G$92,"Aset Tetap Lainnya",'Daftar Koreksi'!$H$5:$H$92,"&lt;0")</f>
        <v>0</v>
      </c>
      <c r="G232" s="17">
        <f t="shared" si="10"/>
        <v>19688948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Koreksi'!$D$5:$D$92,'0400'!A224,'Daftar Koreksi'!$G$5:$G$92,"Kontruksi Dalam Pengerjaan",'Daftar Koreksi'!$H$5:$H$92,"&gt;0")</f>
        <v>0</v>
      </c>
      <c r="F233" s="25">
        <f>SUMIFS('Daftar Koreksi'!$H$5:$H$92,'Daftar Koreksi'!$D$5:$D$92,'0400'!A224,'Daftar Koreksi'!$G$5:$G$92,"Kontruksi Dalam Pengerjaan",'Daftar Koreksi'!$H$5:$H$92,"&lt;0")-SUMIFS('Daftar Koreksi'!$H$5:$H$92,'Daftar Koreksi'!$D$5:$D$92,'0400'!A224,'Daftar Koreksi'!$G$5:$G$92,"Kontruksi Dalam Pengerjaan",'Daftar Koreksi'!$H$5:$H$92,"&lt;0")-SUMIFS('Daftar Koreksi'!$H$5:$H$92,'Daftar Koreksi'!$D$5:$D$92,'0400'!A224,'Daftar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Koreksi'!$D$5:$D$92,'0400'!A224,'Daftar Koreksi'!$G$5:$G$92,"Aset Tak Berwujud",'Daftar Koreksi'!$H$5:$H$92,"&gt;0")</f>
        <v>0</v>
      </c>
      <c r="F234" s="25">
        <f>SUMIFS('Daftar Koreksi'!$H$5:$H$92,'Daftar Koreksi'!$D$5:$D$92,'0400'!A224,'Daftar Koreksi'!$G$5:$G$92,"Aset Tak Berwujud",'Daftar Koreksi'!$H$5:$H$92,"&lt;0")-SUMIFS('Daftar Koreksi'!$H$5:$H$92,'Daftar Koreksi'!$D$5:$D$92,'0400'!A224,'Daftar Koreksi'!$G$5:$G$92,"Aset Tak Berwujud",'Daftar Koreksi'!$H$5:$H$92,"&lt;0")-SUMIFS('Daftar Koreksi'!$H$5:$H$92,'Daftar Koreksi'!$D$5:$D$92,'0400'!A224,'Daftar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38722000</v>
      </c>
      <c r="E235" s="25">
        <f>SUMIFS('Daftar Koreksi'!$H$5:$H$92,'Daftar Koreksi'!$D$5:$D$92,'0400'!A224,'Daftar Koreksi'!$G$5:$G$92,"Aset Henti Guna",'Daftar Koreksi'!$H$5:$H$92,"&gt;0")</f>
        <v>0</v>
      </c>
      <c r="F235" s="25">
        <f>SUMIFS('Daftar Koreksi'!$H$5:$H$92,'Daftar Koreksi'!$D$5:$D$92,'0400'!A224,'Daftar Koreksi'!$G$5:$G$92,"Aset Henti Guna",'Daftar Koreksi'!$H$5:$H$92,"&lt;0")-SUMIFS('Daftar Koreksi'!$H$5:$H$92,'Daftar Koreksi'!$D$5:$D$92,'0400'!A224,'Daftar Koreksi'!$G$5:$G$92,"Aset Henti Guna",'Daftar Koreksi'!$H$5:$H$92,"&lt;0")-SUMIFS('Daftar Koreksi'!$H$5:$H$92,'Daftar Koreksi'!$D$5:$D$92,'0400'!A224,'Daftar Koreksi'!$G$5:$G$92,"Aset Henti Guna",'Daftar Koreksi'!$H$5:$H$92,"&lt;0")</f>
        <v>0</v>
      </c>
      <c r="G235" s="17">
        <f t="shared" si="10"/>
        <v>38722000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10540015077</v>
      </c>
      <c r="E236" s="19">
        <f>SUM(E227:E235)</f>
        <v>0</v>
      </c>
      <c r="F236" s="19">
        <f>SUM(F227:F235)</f>
        <v>0</v>
      </c>
      <c r="G236" s="19">
        <f t="shared" si="10"/>
        <v>10540015077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-1534037166</v>
      </c>
      <c r="E237" s="25">
        <f>SUMIFS('Daftar Koreksi'!$I$5:$I$92,'Daftar Koreksi'!$D$5:$D$92,'0400'!A224,'Daftar Koreksi'!$G$5:$G$92,"Peralatan dan mesin",'Daftar Koreksi'!$I$5:$I$92,"&gt;0")</f>
        <v>0</v>
      </c>
      <c r="F237" s="25">
        <f>SUMIFS('Daftar Koreksi'!$I$5:$I$92,'Daftar Koreksi'!$D$5:$D$92,'0400'!A224,'Daftar Koreksi'!$G$5:$G$92,"Peralatan dan mesin",'Daftar Koreksi'!$I$5:$I$92,"&lt;0")-SUMIFS('Daftar Koreksi'!$I$5:$I$92,'Daftar Koreksi'!$D$5:$D$92,'0400'!A224,'Daftar Koreksi'!$G$5:$G$92,"Peralatan dan mesin",'Daftar Koreksi'!$I$5:$I$92,"&lt;0")-SUMIFS('Daftar Koreksi'!$I$5:$I$92,'Daftar Koreksi'!$D$5:$D$92,'0400'!A224,'Daftar Koreksi'!$G$5:$G$92,"Peralatan dan mesin",'Daftar Koreksi'!$I$5:$I$92,"&lt;0")</f>
        <v>0</v>
      </c>
      <c r="G237" s="17">
        <f t="shared" si="10"/>
        <v>-1534037166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-625717729</v>
      </c>
      <c r="E238" s="25">
        <f>SUMIFS('Daftar Koreksi'!$I$5:$I$92,'Daftar Koreksi'!$D$5:$D$92,'0400'!A224,'Daftar Koreksi'!$G$5:$G$92,"Gedung dan Bangunan",'Daftar Koreksi'!$I$5:$I$92,"&gt;0")</f>
        <v>0</v>
      </c>
      <c r="F238" s="25">
        <f>SUMIFS('Daftar Koreksi'!$I$5:$I$92,'Daftar Koreksi'!$D$5:$D$92,'0400'!A224,'Daftar Koreksi'!$G$5:$G$92,"Gedung dan Bangunan",'Daftar Koreksi'!$I$5:$I$92,"&lt;0")-SUMIFS('Daftar Koreksi'!$I$5:$I$92,'Daftar Koreksi'!$D$5:$D$92,'0400'!A224,'Daftar Koreksi'!$G$5:$G$92,"Gedung dan Bangunan",'Daftar Koreksi'!$I$5:$I$92,"&lt;0")-SUMIFS('Daftar Koreksi'!$I$5:$I$92,'Daftar Koreksi'!$D$5:$D$92,'0400'!A224,'Daftar Koreksi'!$G$5:$G$92,"Gedung dan Bangunan",'Daftar Koreksi'!$I$5:$I$92,"&lt;0")</f>
        <v>0</v>
      </c>
      <c r="G238" s="17">
        <f t="shared" si="10"/>
        <v>-625717729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Koreksi'!$D$5:$D$92,'0400'!A224,'Daftar Koreksi'!$G$5:$G$92,"Jalan Irigasi Jaringan",'Daftar Koreksi'!$I$5:$I$92,"&gt;0")</f>
        <v>0</v>
      </c>
      <c r="F239" s="25">
        <f>SUMIFS('Daftar Koreksi'!$I$5:$I$92,'Daftar Koreksi'!$D$5:$D$92,'0400'!A224,'Daftar Koreksi'!$G$5:$G$92,"Jalan Irigasi Jaringan",'Daftar Koreksi'!$I$5:$I$92,"&lt;0")-SUMIFS('Daftar Koreksi'!$I$5:$I$92,'Daftar Koreksi'!$D$5:$D$92,'0400'!A224,'Daftar Koreksi'!$G$5:$G$92,"Jalan Irigasi Jaringan",'Daftar Koreksi'!$I$5:$I$92,"&lt;0")-SUMIFS('Daftar Koreksi'!$I$5:$I$92,'Daftar Koreksi'!$D$5:$D$92,'0400'!A224,'Daftar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Koreksi'!$D$5:$D$92,'0400'!A224,'Daftar Koreksi'!$G$5:$G$92,"Aset Tetap Lainnya",'Daftar Koreksi'!$I$5:$I$92,"&gt;0")</f>
        <v>0</v>
      </c>
      <c r="F240" s="25">
        <f>SUMIFS('Daftar Koreksi'!$I$5:$I$92,'Daftar Koreksi'!$D$5:$D$92,'0400'!A224,'Daftar Koreksi'!$G$5:$G$92,"Aset Tetap Lainnya",'Daftar Koreksi'!$I$5:$I$92,"&lt;0")-SUMIFS('Daftar Koreksi'!$I$5:$I$92,'Daftar Koreksi'!$D$5:$D$92,'0400'!A224,'Daftar Koreksi'!$G$5:$G$92,"Aset Tetap Lainnya",'Daftar Koreksi'!$I$5:$I$92,"&lt;0")-SUMIFS('Daftar Koreksi'!$I$5:$I$92,'Daftar Koreksi'!$D$5:$D$92,'0400'!A224,'Daftar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-38722000</v>
      </c>
      <c r="E241" s="25">
        <f>SUMIFS('Daftar Koreksi'!$I$5:$I$92,'Daftar Koreksi'!$D$5:$D$92,'0400'!A224,'Daftar Koreksi'!$G$5:$G$92,"Aset Henti Guna",'Daftar Koreksi'!$I$5:$I$92,"&gt;0")</f>
        <v>0</v>
      </c>
      <c r="F241" s="25">
        <f>SUMIFS('Daftar Koreksi'!$I$5:$I$92,'Daftar Koreksi'!$D$5:$D$92,'0400'!A224,'Daftar Koreksi'!$G$5:$G$92,"Aset Henti Guna",'Daftar Koreksi'!$I$5:$I$92,"&lt;0")-SUMIFS('Daftar Koreksi'!$I$5:$I$92,'Daftar Koreksi'!$D$5:$D$92,'0400'!A224,'Daftar Koreksi'!$G$5:$G$92,"Aset Henti Guna",'Daftar Koreksi'!$I$5:$I$92,"&lt;0")-SUMIFS('Daftar Koreksi'!$I$5:$I$92,'Daftar Koreksi'!$D$5:$D$92,'0400'!A224,'Daftar Koreksi'!$G$5:$G$92,"Aset Henti Guna",'Daftar Koreksi'!$I$5:$I$92,"&lt;0")</f>
        <v>0</v>
      </c>
      <c r="G241" s="17">
        <f t="shared" si="10"/>
        <v>-38722000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-2198476895</v>
      </c>
      <c r="E242" s="19">
        <f>SUM(E237:E241)</f>
        <v>0</v>
      </c>
      <c r="F242" s="19">
        <f>SUM(F237:F241)</f>
        <v>0</v>
      </c>
      <c r="G242" s="19">
        <f t="shared" si="10"/>
        <v>-2198476895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8341538182</v>
      </c>
      <c r="E243" s="19">
        <f>E242+E236</f>
        <v>0</v>
      </c>
      <c r="F243" s="19">
        <f>F242+F236</f>
        <v>0</v>
      </c>
      <c r="G243" s="19">
        <f t="shared" si="10"/>
        <v>8341538182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005010400547657000KD</v>
      </c>
      <c r="B246" s="11" t="str">
        <f>P12</f>
        <v>PTA. Yogyakarta</v>
      </c>
      <c r="C246" s="12" t="str">
        <f>A246&amp;" "&amp;B246</f>
        <v>005010400547657000KD PTA. Yogyakarta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15268195</v>
      </c>
      <c r="E249" s="25">
        <f>SUMIFS('Daftar Koreksi'!$H$5:$H$92,'Daftar Koreksi'!$D$5:$D$92,'0400'!A246,'Daftar Koreksi'!$G$5:$G$92,"Persediaan",'Daftar Koreksi'!$H$5:$H$92,"&gt;0")</f>
        <v>0</v>
      </c>
      <c r="F249" s="25">
        <f>SUMIFS('Daftar Koreksi'!$H$5:$H$92,'Daftar Koreksi'!$D$5:$D$92,'0400'!A246,'Daftar Koreksi'!$G$5:$G$92,"Persediaan",'Daftar Koreksi'!$H$5:$H$92,"&lt;0")-SUMIFS('Daftar Koreksi'!$H$5:$H$92,'Daftar Koreksi'!$D$5:$D$92,'0400'!A246,'Daftar Koreksi'!$G$5:$G$92,"Persediaan",'Daftar Koreksi'!$H$5:$H$92,"&lt;0")-SUMIFS('Daftar Koreksi'!$H$5:$H$92,'Daftar Koreksi'!$D$5:$D$92,'0400'!A246,'Daftar Koreksi'!$G$5:$G$92,"Persediaan",'Daftar Koreksi'!$H$5:$H$92,"&lt;0")</f>
        <v>0</v>
      </c>
      <c r="G249" s="17">
        <f>D249+E249-F249</f>
        <v>15268195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7137800000</v>
      </c>
      <c r="E250" s="25">
        <f>SUMIFS('Daftar Koreksi'!$H$5:$H$92,'Daftar Koreksi'!$D$5:$D$92,'0400'!A246,'Daftar Koreksi'!$G$5:$G$92,"Tanah",'Daftar Koreksi'!$H$5:$H$92,"&gt;0")</f>
        <v>0</v>
      </c>
      <c r="F250" s="25">
        <f>SUMIFS('Daftar Koreksi'!$H$5:$H$92,'Daftar Koreksi'!$D$5:$D$92,'0400'!A246,'Daftar Koreksi'!$G$5:$G$92,"Tanah",'Daftar Koreksi'!$H$5:$H$92,"&lt;0")-SUMIFS('Daftar Koreksi'!$H$5:$H$92,'Daftar Koreksi'!$D$5:$D$92,'0400'!A246,'Daftar Koreksi'!$G$5:$G$92,"Tanah",'Daftar Koreksi'!$H$5:$H$92,"&lt;0")-SUMIFS('Daftar Koreksi'!$H$5:$H$92,'Daftar Koreksi'!$D$5:$D$92,'0400'!A246,'Daftar Koreksi'!$G$5:$G$92,"Tanah",'Daftar Koreksi'!$H$5:$H$92,"&lt;0")</f>
        <v>0</v>
      </c>
      <c r="G250" s="17">
        <f t="shared" ref="G250:G266" si="11">D250+E250-F250</f>
        <v>7137800000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4076528022</v>
      </c>
      <c r="E251" s="25">
        <f>SUMIFS('Daftar Koreksi'!$H$5:$H$92,'Daftar Koreksi'!$D$5:$D$92,'0400'!A246,'Daftar Koreksi'!$G$5:$G$92,"Peralatan dan mesin",'Daftar Koreksi'!$H$5:$H$92,"&gt;0")</f>
        <v>0</v>
      </c>
      <c r="F251" s="25">
        <f>SUMIFS('Daftar Koreksi'!$H$5:$H$92,'Daftar Koreksi'!$D$5:$D$92,'0400'!A246,'Daftar Koreksi'!$G$5:$G$92,"Peralatan dan mesin",'Daftar Koreksi'!$H$5:$H$92,"&lt;0")-SUMIFS('Daftar Koreksi'!$H$5:$H$92,'Daftar Koreksi'!$D$5:$D$92,'0400'!A246,'Daftar Koreksi'!$G$5:$G$92,"Peralatan dan mesin",'Daftar Koreksi'!$H$5:$H$92,"&lt;0")-SUMIFS('Daftar Koreksi'!$H$5:$H$92,'Daftar Koreksi'!$D$5:$D$92,'0400'!A246,'Daftar Koreksi'!$G$5:$G$92,"Peralatan dan mesin",'Daftar Koreksi'!$H$5:$H$92,"&lt;0")</f>
        <v>0</v>
      </c>
      <c r="G251" s="17">
        <f t="shared" si="11"/>
        <v>4076528022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8122942300</v>
      </c>
      <c r="E252" s="25">
        <f>SUMIFS('Daftar Koreksi'!$H$5:$H$92,'Daftar Koreksi'!$D$5:$D$92,'0400'!A246,'Daftar Koreksi'!$G$5:$G$92,"Gedung dan Bangunan",'Daftar Koreksi'!$H$5:$H$92,"&gt;0")</f>
        <v>0</v>
      </c>
      <c r="F252" s="25">
        <f>SUMIFS('Daftar Koreksi'!$H$5:$H$92,'Daftar Koreksi'!$D$5:$D$92,'0400'!A246,'Daftar Koreksi'!$G$5:$G$92,"Gedung dan Bangunan",'Daftar Koreksi'!$H$5:$H$92,"&lt;0")-SUMIFS('Daftar Koreksi'!$H$5:$H$92,'Daftar Koreksi'!$D$5:$D$92,'0400'!A246,'Daftar Koreksi'!$G$5:$G$92,"Gedung dan Bangunan",'Daftar Koreksi'!$H$5:$H$92,"&lt;0")-SUMIFS('Daftar Koreksi'!$H$5:$H$92,'Daftar Koreksi'!$D$5:$D$92,'0400'!A246,'Daftar Koreksi'!$G$5:$G$92,"Gedung dan Bangunan",'Daftar Koreksi'!$H$5:$H$92,"&lt;0")</f>
        <v>0</v>
      </c>
      <c r="G252" s="17">
        <f t="shared" si="11"/>
        <v>8122942300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57332000</v>
      </c>
      <c r="E253" s="25">
        <f>SUMIFS('Daftar Koreksi'!$H$5:$H$92,'Daftar Koreksi'!$D$5:$D$92,'0400'!A246,'Daftar Koreksi'!$G$5:$G$92,"Jalan Irigasi Jaringan",'Daftar Koreksi'!$H$5:$H$92,"&gt;0")</f>
        <v>0</v>
      </c>
      <c r="F253" s="25">
        <f>SUMIFS('Daftar Koreksi'!$H$5:$H$92,'Daftar Koreksi'!$D$5:$D$92,'0400'!A246,'Daftar Koreksi'!$G$5:$G$92,"Jalan Irigasi Jaringan",'Daftar Koreksi'!$H$5:$H$92,"&lt;0")-SUMIFS('Daftar Koreksi'!$H$5:$H$92,'Daftar Koreksi'!$D$5:$D$92,'0400'!A246,'Daftar Koreksi'!$G$5:$G$92,"Jalan Irigasi Jaringan",'Daftar Koreksi'!$H$5:$H$92,"&lt;0")-SUMIFS('Daftar Koreksi'!$H$5:$H$92,'Daftar Koreksi'!$D$5:$D$92,'0400'!A246,'Daftar Koreksi'!$G$5:$G$92,"Jalan Irigasi Jaringan",'Daftar Koreksi'!$H$5:$H$92,"&lt;0")</f>
        <v>0</v>
      </c>
      <c r="G253" s="17">
        <f t="shared" si="11"/>
        <v>57332000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85654070</v>
      </c>
      <c r="E254" s="25">
        <f>SUMIFS('Daftar Koreksi'!$H$5:$H$92,'Daftar Koreksi'!$D$5:$D$92,'0400'!A246,'Daftar Koreksi'!$G$5:$G$92,"Aset Tetap Lainnya",'Daftar Koreksi'!$H$5:$H$92,"&gt;0")</f>
        <v>0</v>
      </c>
      <c r="F254" s="25">
        <f>SUMIFS('Daftar Koreksi'!$H$5:$H$92,'Daftar Koreksi'!$D$5:$D$92,'0400'!A246,'Daftar Koreksi'!$G$5:$G$92,"Aset Tetap Lainnya",'Daftar Koreksi'!$H$5:$H$92,"&lt;0")-SUMIFS('Daftar Koreksi'!$H$5:$H$92,'Daftar Koreksi'!$D$5:$D$92,'0400'!A246,'Daftar Koreksi'!$G$5:$G$92,"Aset Tetap Lainnya",'Daftar Koreksi'!$H$5:$H$92,"&lt;0")-SUMIFS('Daftar Koreksi'!$H$5:$H$92,'Daftar Koreksi'!$D$5:$D$92,'0400'!A246,'Daftar Koreksi'!$G$5:$G$92,"Aset Tetap Lainnya",'Daftar Koreksi'!$H$5:$H$92,"&lt;0")</f>
        <v>0</v>
      </c>
      <c r="G254" s="17">
        <f t="shared" si="11"/>
        <v>85654070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Koreksi'!$D$5:$D$92,'0400'!A246,'Daftar Koreksi'!$G$5:$G$92,"Kontruksi Dalam Pengerjaan",'Daftar Koreksi'!$H$5:$H$92,"&gt;0")</f>
        <v>0</v>
      </c>
      <c r="F255" s="25">
        <f>SUMIFS('Daftar Koreksi'!$H$5:$H$92,'Daftar Koreksi'!$D$5:$D$92,'0400'!A246,'Daftar Koreksi'!$G$5:$G$92,"Kontruksi Dalam Pengerjaan",'Daftar Koreksi'!$H$5:$H$92,"&lt;0")-SUMIFS('Daftar Koreksi'!$H$5:$H$92,'Daftar Koreksi'!$D$5:$D$92,'0400'!A246,'Daftar Koreksi'!$G$5:$G$92,"Kontruksi Dalam Pengerjaan",'Daftar Koreksi'!$H$5:$H$92,"&lt;0")-SUMIFS('Daftar Koreksi'!$H$5:$H$92,'Daftar Koreksi'!$D$5:$D$92,'0400'!A246,'Daftar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39625000</v>
      </c>
      <c r="E256" s="25">
        <f>SUMIFS('Daftar Koreksi'!$H$5:$H$92,'Daftar Koreksi'!$D$5:$D$92,'0400'!A246,'Daftar Koreksi'!$G$5:$G$92,"Aset Tak Berwujud",'Daftar Koreksi'!$H$5:$H$92,"&gt;0")</f>
        <v>0</v>
      </c>
      <c r="F256" s="25">
        <f>SUMIFS('Daftar Koreksi'!$H$5:$H$92,'Daftar Koreksi'!$D$5:$D$92,'0400'!A246,'Daftar Koreksi'!$G$5:$G$92,"Aset Tak Berwujud",'Daftar Koreksi'!$H$5:$H$92,"&lt;0")-SUMIFS('Daftar Koreksi'!$H$5:$H$92,'Daftar Koreksi'!$D$5:$D$92,'0400'!A246,'Daftar Koreksi'!$G$5:$G$92,"Aset Tak Berwujud",'Daftar Koreksi'!$H$5:$H$92,"&lt;0")-SUMIFS('Daftar Koreksi'!$H$5:$H$92,'Daftar Koreksi'!$D$5:$D$92,'0400'!A246,'Daftar Koreksi'!$G$5:$G$92,"Aset Tak Berwujud",'Daftar Koreksi'!$H$5:$H$92,"&lt;0")</f>
        <v>0</v>
      </c>
      <c r="G256" s="17">
        <f t="shared" si="11"/>
        <v>39625000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Koreksi'!$D$5:$D$92,'0400'!A246,'Daftar Koreksi'!$G$5:$G$92,"Aset Henti Guna",'Daftar Koreksi'!$H$5:$H$92,"&gt;0")</f>
        <v>0</v>
      </c>
      <c r="F257" s="25">
        <f>SUMIFS('Daftar Koreksi'!$H$5:$H$92,'Daftar Koreksi'!$D$5:$D$92,'0400'!A246,'Daftar Koreksi'!$G$5:$G$92,"Aset Henti Guna",'Daftar Koreksi'!$H$5:$H$92,"&lt;0")-SUMIFS('Daftar Koreksi'!$H$5:$H$92,'Daftar Koreksi'!$D$5:$D$92,'0400'!A246,'Daftar Koreksi'!$G$5:$G$92,"Aset Henti Guna",'Daftar Koreksi'!$H$5:$H$92,"&lt;0")-SUMIFS('Daftar Koreksi'!$H$5:$H$92,'Daftar Koreksi'!$D$5:$D$92,'0400'!A246,'Daftar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19535149587</v>
      </c>
      <c r="E258" s="19">
        <f>SUM(E249:E257)</f>
        <v>0</v>
      </c>
      <c r="F258" s="19">
        <f>SUM(F249:F257)</f>
        <v>0</v>
      </c>
      <c r="G258" s="19">
        <f t="shared" si="11"/>
        <v>19535149587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-3315160734</v>
      </c>
      <c r="E259" s="25">
        <f>SUMIFS('Daftar Koreksi'!$I$5:$I$92,'Daftar Koreksi'!$D$5:$D$92,'0400'!A246,'Daftar Koreksi'!$G$5:$G$92,"Peralatan dan mesin",'Daftar Koreksi'!$I$5:$I$92,"&gt;0")</f>
        <v>0</v>
      </c>
      <c r="F259" s="25">
        <f>SUMIFS('Daftar Koreksi'!$I$5:$I$92,'Daftar Koreksi'!$D$5:$D$92,'0400'!A246,'Daftar Koreksi'!$G$5:$G$92,"Peralatan dan mesin",'Daftar Koreksi'!$I$5:$I$92,"&lt;0")-SUMIFS('Daftar Koreksi'!$I$5:$I$92,'Daftar Koreksi'!$D$5:$D$92,'0400'!A246,'Daftar Koreksi'!$G$5:$G$92,"Peralatan dan mesin",'Daftar Koreksi'!$I$5:$I$92,"&lt;0")-SUMIFS('Daftar Koreksi'!$I$5:$I$92,'Daftar Koreksi'!$D$5:$D$92,'0400'!A246,'Daftar Koreksi'!$G$5:$G$92,"Peralatan dan mesin",'Daftar Koreksi'!$I$5:$I$92,"&lt;0")</f>
        <v>0</v>
      </c>
      <c r="G259" s="17">
        <f t="shared" si="11"/>
        <v>-3315160734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-2023615197</v>
      </c>
      <c r="E260" s="25">
        <f>SUMIFS('Daftar Koreksi'!$I$5:$I$92,'Daftar Koreksi'!$D$5:$D$92,'0400'!A246,'Daftar Koreksi'!$G$5:$G$92,"Gedung dan Bangunan",'Daftar Koreksi'!$I$5:$I$92,"&gt;0")</f>
        <v>0</v>
      </c>
      <c r="F260" s="25">
        <f>SUMIFS('Daftar Koreksi'!$I$5:$I$92,'Daftar Koreksi'!$D$5:$D$92,'0400'!A246,'Daftar Koreksi'!$G$5:$G$92,"Gedung dan Bangunan",'Daftar Koreksi'!$I$5:$I$92,"&lt;0")-SUMIFS('Daftar Koreksi'!$I$5:$I$92,'Daftar Koreksi'!$D$5:$D$92,'0400'!A246,'Daftar Koreksi'!$G$5:$G$92,"Gedung dan Bangunan",'Daftar Koreksi'!$I$5:$I$92,"&lt;0")-SUMIFS('Daftar Koreksi'!$I$5:$I$92,'Daftar Koreksi'!$D$5:$D$92,'0400'!A246,'Daftar Koreksi'!$G$5:$G$92,"Gedung dan Bangunan",'Daftar Koreksi'!$I$5:$I$92,"&lt;0")</f>
        <v>0</v>
      </c>
      <c r="G260" s="17">
        <f t="shared" si="11"/>
        <v>-2023615197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-5239400</v>
      </c>
      <c r="E261" s="25">
        <f>SUMIFS('Daftar Koreksi'!$I$5:$I$92,'Daftar Koreksi'!$D$5:$D$92,'0400'!A246,'Daftar Koreksi'!$G$5:$G$92,"Jalan Irigasi Jaringan",'Daftar Koreksi'!$I$5:$I$92,"&gt;0")</f>
        <v>0</v>
      </c>
      <c r="F261" s="25">
        <f>SUMIFS('Daftar Koreksi'!$I$5:$I$92,'Daftar Koreksi'!$D$5:$D$92,'0400'!A246,'Daftar Koreksi'!$G$5:$G$92,"Jalan Irigasi Jaringan",'Daftar Koreksi'!$I$5:$I$92,"&lt;0")-SUMIFS('Daftar Koreksi'!$I$5:$I$92,'Daftar Koreksi'!$D$5:$D$92,'0400'!A246,'Daftar Koreksi'!$G$5:$G$92,"Jalan Irigasi Jaringan",'Daftar Koreksi'!$I$5:$I$92,"&lt;0")-SUMIFS('Daftar Koreksi'!$I$5:$I$92,'Daftar Koreksi'!$D$5:$D$92,'0400'!A246,'Daftar Koreksi'!$G$5:$G$92,"Jalan Irigasi Jaringan",'Daftar Koreksi'!$I$5:$I$92,"&lt;0")</f>
        <v>0</v>
      </c>
      <c r="G261" s="17">
        <f t="shared" si="11"/>
        <v>-5239400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-13825000</v>
      </c>
      <c r="E262" s="25">
        <f>SUMIFS('Daftar Koreksi'!$I$5:$I$92,'Daftar Koreksi'!$D$5:$D$92,'0400'!A246,'Daftar Koreksi'!$G$5:$G$92,"Aset Tetap Lainnya",'Daftar Koreksi'!$I$5:$I$92,"&gt;0")</f>
        <v>0</v>
      </c>
      <c r="F262" s="25">
        <f>SUMIFS('Daftar Koreksi'!$I$5:$I$92,'Daftar Koreksi'!$D$5:$D$92,'0400'!A246,'Daftar Koreksi'!$G$5:$G$92,"Aset Tetap Lainnya",'Daftar Koreksi'!$I$5:$I$92,"&lt;0")-SUMIFS('Daftar Koreksi'!$I$5:$I$92,'Daftar Koreksi'!$D$5:$D$92,'0400'!A246,'Daftar Koreksi'!$G$5:$G$92,"Aset Tetap Lainnya",'Daftar Koreksi'!$I$5:$I$92,"&lt;0")-SUMIFS('Daftar Koreksi'!$I$5:$I$92,'Daftar Koreksi'!$D$5:$D$92,'0400'!A246,'Daftar Koreksi'!$G$5:$G$92,"Aset Tetap Lainnya",'Daftar Koreksi'!$I$5:$I$92,"&lt;0")</f>
        <v>0</v>
      </c>
      <c r="G262" s="17">
        <f t="shared" si="11"/>
        <v>-13825000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Koreksi'!$D$5:$D$92,'0400'!A246,'Daftar Koreksi'!$G$5:$G$92,"Aset Henti Guna",'Daftar Koreksi'!$I$5:$I$92,"&gt;0")</f>
        <v>0</v>
      </c>
      <c r="F263" s="25">
        <f>SUMIFS('Daftar Koreksi'!$I$5:$I$92,'Daftar Koreksi'!$D$5:$D$92,'0400'!A246,'Daftar Koreksi'!$G$5:$G$92,"Aset Henti Guna",'Daftar Koreksi'!$I$5:$I$92,"&lt;0")-SUMIFS('Daftar Koreksi'!$I$5:$I$92,'Daftar Koreksi'!$D$5:$D$92,'0400'!A246,'Daftar Koreksi'!$G$5:$G$92,"Aset Henti Guna",'Daftar Koreksi'!$I$5:$I$92,"&lt;0")-SUMIFS('Daftar Koreksi'!$I$5:$I$92,'Daftar Koreksi'!$D$5:$D$92,'0400'!A246,'Daftar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-5357840331</v>
      </c>
      <c r="E264" s="19">
        <f>SUM(E259:E263)</f>
        <v>0</v>
      </c>
      <c r="F264" s="19">
        <f>SUM(F259:F263)</f>
        <v>0</v>
      </c>
      <c r="G264" s="19">
        <f t="shared" si="11"/>
        <v>-5357840331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14177309256</v>
      </c>
      <c r="E265" s="19">
        <f>E264+E258</f>
        <v>0</v>
      </c>
      <c r="F265" s="19">
        <f>F264+F258</f>
        <v>0</v>
      </c>
      <c r="G265" s="19">
        <f t="shared" si="11"/>
        <v>14177309256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005010400578801000KD</v>
      </c>
      <c r="B268" s="11" t="str">
        <f>P13</f>
        <v>PTUN. Yogyakarta</v>
      </c>
      <c r="C268" s="12" t="str">
        <f>A268&amp;" "&amp;B268</f>
        <v>005010400578801000KD PTUN. Yogyakarta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6176685</v>
      </c>
      <c r="E271" s="25">
        <f>SUMIFS('Daftar Koreksi'!$H$5:$H$92,'Daftar Koreksi'!$D$5:$D$92,'0400'!A268,'Daftar Koreksi'!$G$5:$G$92,"Persediaan",'Daftar Koreksi'!$H$5:$H$92,"&gt;0")</f>
        <v>0</v>
      </c>
      <c r="F271" s="25">
        <f>SUMIFS('Daftar Koreksi'!$H$5:$H$92,'Daftar Koreksi'!$D$5:$D$92,'0400'!A268,'Daftar Koreksi'!$G$5:$G$92,"Persediaan",'Daftar Koreksi'!$H$5:$H$92,"&lt;0")-SUMIFS('Daftar Koreksi'!$H$5:$H$92,'Daftar Koreksi'!$D$5:$D$92,'0400'!A268,'Daftar Koreksi'!$G$5:$G$92,"Persediaan",'Daftar Koreksi'!$H$5:$H$92,"&lt;0")-SUMIFS('Daftar Koreksi'!$H$5:$H$92,'Daftar Koreksi'!$D$5:$D$92,'0400'!A268,'Daftar Koreksi'!$G$5:$G$92,"Persediaan",'Daftar Koreksi'!$H$5:$H$92,"&lt;0")</f>
        <v>0</v>
      </c>
      <c r="G271" s="17">
        <f>D271+E271-F271</f>
        <v>6176685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9493202000</v>
      </c>
      <c r="E272" s="25">
        <f>SUMIFS('Daftar Koreksi'!$H$5:$H$92,'Daftar Koreksi'!$D$5:$D$92,'0400'!A268,'Daftar Koreksi'!$G$5:$G$92,"Tanah",'Daftar Koreksi'!$H$5:$H$92,"&gt;0")</f>
        <v>0</v>
      </c>
      <c r="F272" s="25">
        <f>SUMIFS('Daftar Koreksi'!$H$5:$H$92,'Daftar Koreksi'!$D$5:$D$92,'0400'!A268,'Daftar Koreksi'!$G$5:$G$92,"Tanah",'Daftar Koreksi'!$H$5:$H$92,"&lt;0")-SUMIFS('Daftar Koreksi'!$H$5:$H$92,'Daftar Koreksi'!$D$5:$D$92,'0400'!A268,'Daftar Koreksi'!$G$5:$G$92,"Tanah",'Daftar Koreksi'!$H$5:$H$92,"&lt;0")-SUMIFS('Daftar Koreksi'!$H$5:$H$92,'Daftar Koreksi'!$D$5:$D$92,'0400'!A268,'Daftar Koreksi'!$G$5:$G$92,"Tanah",'Daftar Koreksi'!$H$5:$H$92,"&lt;0")</f>
        <v>0</v>
      </c>
      <c r="G272" s="17">
        <f t="shared" ref="G272:G288" si="12">D272+E272-F272</f>
        <v>9493202000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2588592520</v>
      </c>
      <c r="E273" s="25">
        <f>SUMIFS('Daftar Koreksi'!$H$5:$H$92,'Daftar Koreksi'!$D$5:$D$92,'0400'!A268,'Daftar Koreksi'!$G$5:$G$92,"Peralatan dan mesin",'Daftar Koreksi'!$H$5:$H$92,"&gt;0")</f>
        <v>0</v>
      </c>
      <c r="F273" s="25">
        <f>SUMIFS('Daftar Koreksi'!$H$5:$H$92,'Daftar Koreksi'!$D$5:$D$92,'0400'!A268,'Daftar Koreksi'!$G$5:$G$92,"Peralatan dan mesin",'Daftar Koreksi'!$H$5:$H$92,"&lt;0")-SUMIFS('Daftar Koreksi'!$H$5:$H$92,'Daftar Koreksi'!$D$5:$D$92,'0400'!A268,'Daftar Koreksi'!$G$5:$G$92,"Peralatan dan mesin",'Daftar Koreksi'!$H$5:$H$92,"&lt;0")-SUMIFS('Daftar Koreksi'!$H$5:$H$92,'Daftar Koreksi'!$D$5:$D$92,'0400'!A268,'Daftar Koreksi'!$G$5:$G$92,"Peralatan dan mesin",'Daftar Koreksi'!$H$5:$H$92,"&lt;0")</f>
        <v>0</v>
      </c>
      <c r="G273" s="17">
        <f t="shared" si="12"/>
        <v>2588592520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10508748317</v>
      </c>
      <c r="E274" s="25">
        <f>SUMIFS('Daftar Koreksi'!$H$5:$H$92,'Daftar Koreksi'!$D$5:$D$92,'0400'!A268,'Daftar Koreksi'!$G$5:$G$92,"Gedung dan Bangunan",'Daftar Koreksi'!$H$5:$H$92,"&gt;0")</f>
        <v>0</v>
      </c>
      <c r="F274" s="25">
        <f>SUMIFS('Daftar Koreksi'!$H$5:$H$92,'Daftar Koreksi'!$D$5:$D$92,'0400'!A268,'Daftar Koreksi'!$G$5:$G$92,"Gedung dan Bangunan",'Daftar Koreksi'!$H$5:$H$92,"&lt;0")-SUMIFS('Daftar Koreksi'!$H$5:$H$92,'Daftar Koreksi'!$D$5:$D$92,'0400'!A268,'Daftar Koreksi'!$G$5:$G$92,"Gedung dan Bangunan",'Daftar Koreksi'!$H$5:$H$92,"&lt;0")-SUMIFS('Daftar Koreksi'!$H$5:$H$92,'Daftar Koreksi'!$D$5:$D$92,'0400'!A268,'Daftar Koreksi'!$G$5:$G$92,"Gedung dan Bangunan",'Daftar Koreksi'!$H$5:$H$92,"&lt;0")</f>
        <v>0</v>
      </c>
      <c r="G274" s="17">
        <f t="shared" si="12"/>
        <v>10508748317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9710000</v>
      </c>
      <c r="E275" s="25">
        <f>SUMIFS('Daftar Koreksi'!$H$5:$H$92,'Daftar Koreksi'!$D$5:$D$92,'0400'!A268,'Daftar Koreksi'!$G$5:$G$92,"Jalan Irigasi Jaringan",'Daftar Koreksi'!$H$5:$H$92,"&gt;0")</f>
        <v>0</v>
      </c>
      <c r="F275" s="25">
        <f>SUMIFS('Daftar Koreksi'!$H$5:$H$92,'Daftar Koreksi'!$D$5:$D$92,'0400'!A268,'Daftar Koreksi'!$G$5:$G$92,"Jalan Irigasi Jaringan",'Daftar Koreksi'!$H$5:$H$92,"&lt;0")-SUMIFS('Daftar Koreksi'!$H$5:$H$92,'Daftar Koreksi'!$D$5:$D$92,'0400'!A268,'Daftar Koreksi'!$G$5:$G$92,"Jalan Irigasi Jaringan",'Daftar Koreksi'!$H$5:$H$92,"&lt;0")-SUMIFS('Daftar Koreksi'!$H$5:$H$92,'Daftar Koreksi'!$D$5:$D$92,'0400'!A268,'Daftar Koreksi'!$G$5:$G$92,"Jalan Irigasi Jaringan",'Daftar Koreksi'!$H$5:$H$92,"&lt;0")</f>
        <v>0</v>
      </c>
      <c r="G275" s="17">
        <f t="shared" si="12"/>
        <v>9710000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14843978</v>
      </c>
      <c r="E276" s="25">
        <f>SUMIFS('Daftar Koreksi'!$H$5:$H$92,'Daftar Koreksi'!$D$5:$D$92,'0400'!A268,'Daftar Koreksi'!$G$5:$G$92,"Aset Tetap Lainnya",'Daftar Koreksi'!$H$5:$H$92,"&gt;0")</f>
        <v>0</v>
      </c>
      <c r="F276" s="25">
        <f>SUMIFS('Daftar Koreksi'!$H$5:$H$92,'Daftar Koreksi'!$D$5:$D$92,'0400'!A268,'Daftar Koreksi'!$G$5:$G$92,"Aset Tetap Lainnya",'Daftar Koreksi'!$H$5:$H$92,"&lt;0")-SUMIFS('Daftar Koreksi'!$H$5:$H$92,'Daftar Koreksi'!$D$5:$D$92,'0400'!A268,'Daftar Koreksi'!$G$5:$G$92,"Aset Tetap Lainnya",'Daftar Koreksi'!$H$5:$H$92,"&lt;0")-SUMIFS('Daftar Koreksi'!$H$5:$H$92,'Daftar Koreksi'!$D$5:$D$92,'0400'!A268,'Daftar Koreksi'!$G$5:$G$92,"Aset Tetap Lainnya",'Daftar Koreksi'!$H$5:$H$92,"&lt;0")</f>
        <v>0</v>
      </c>
      <c r="G276" s="17">
        <f t="shared" si="12"/>
        <v>14843978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Koreksi'!$D$5:$D$92,'0400'!A268,'Daftar Koreksi'!$G$5:$G$92,"Kontruksi Dalam Pengerjaan",'Daftar Koreksi'!$H$5:$H$92,"&gt;0")</f>
        <v>0</v>
      </c>
      <c r="F277" s="25">
        <f>SUMIFS('Daftar Koreksi'!$H$5:$H$92,'Daftar Koreksi'!$D$5:$D$92,'0400'!A268,'Daftar Koreksi'!$G$5:$G$92,"Kontruksi Dalam Pengerjaan",'Daftar Koreksi'!$H$5:$H$92,"&lt;0")-SUMIFS('Daftar Koreksi'!$H$5:$H$92,'Daftar Koreksi'!$D$5:$D$92,'0400'!A268,'Daftar Koreksi'!$G$5:$G$92,"Kontruksi Dalam Pengerjaan",'Daftar Koreksi'!$H$5:$H$92,"&lt;0")-SUMIFS('Daftar Koreksi'!$H$5:$H$92,'Daftar Koreksi'!$D$5:$D$92,'0400'!A268,'Daftar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98500000</v>
      </c>
      <c r="E278" s="25">
        <f>SUMIFS('Daftar Koreksi'!$H$5:$H$92,'Daftar Koreksi'!$D$5:$D$92,'0400'!A268,'Daftar Koreksi'!$G$5:$G$92,"Aset Tak Berwujud",'Daftar Koreksi'!$H$5:$H$92,"&gt;0")</f>
        <v>0</v>
      </c>
      <c r="F278" s="25">
        <f>SUMIFS('Daftar Koreksi'!$H$5:$H$92,'Daftar Koreksi'!$D$5:$D$92,'0400'!A268,'Daftar Koreksi'!$G$5:$G$92,"Aset Tak Berwujud",'Daftar Koreksi'!$H$5:$H$92,"&lt;0")-SUMIFS('Daftar Koreksi'!$H$5:$H$92,'Daftar Koreksi'!$D$5:$D$92,'0400'!A268,'Daftar Koreksi'!$G$5:$G$92,"Aset Tak Berwujud",'Daftar Koreksi'!$H$5:$H$92,"&lt;0")-SUMIFS('Daftar Koreksi'!$H$5:$H$92,'Daftar Koreksi'!$D$5:$D$92,'0400'!A268,'Daftar Koreksi'!$G$5:$G$92,"Aset Tak Berwujud",'Daftar Koreksi'!$H$5:$H$92,"&lt;0")</f>
        <v>0</v>
      </c>
      <c r="G278" s="17">
        <f t="shared" si="12"/>
        <v>98500000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277428498</v>
      </c>
      <c r="E279" s="25">
        <f>SUMIFS('Daftar Koreksi'!$H$5:$H$92,'Daftar Koreksi'!$D$5:$D$92,'0400'!A268,'Daftar Koreksi'!$G$5:$G$92,"Aset Henti Guna",'Daftar Koreksi'!$H$5:$H$92,"&gt;0")</f>
        <v>0</v>
      </c>
      <c r="F279" s="25">
        <f>SUMIFS('Daftar Koreksi'!$H$5:$H$92,'Daftar Koreksi'!$D$5:$D$92,'0400'!A268,'Daftar Koreksi'!$G$5:$G$92,"Aset Henti Guna",'Daftar Koreksi'!$H$5:$H$92,"&lt;0")-SUMIFS('Daftar Koreksi'!$H$5:$H$92,'Daftar Koreksi'!$D$5:$D$92,'0400'!A268,'Daftar Koreksi'!$G$5:$G$92,"Aset Henti Guna",'Daftar Koreksi'!$H$5:$H$92,"&lt;0")-SUMIFS('Daftar Koreksi'!$H$5:$H$92,'Daftar Koreksi'!$D$5:$D$92,'0400'!A268,'Daftar Koreksi'!$G$5:$G$92,"Aset Henti Guna",'Daftar Koreksi'!$H$5:$H$92,"&lt;0")</f>
        <v>0</v>
      </c>
      <c r="G279" s="17">
        <f t="shared" si="12"/>
        <v>277428498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22997201998</v>
      </c>
      <c r="E280" s="19">
        <f>SUM(E271:E279)</f>
        <v>0</v>
      </c>
      <c r="F280" s="19">
        <f>SUM(F271:F279)</f>
        <v>0</v>
      </c>
      <c r="G280" s="19">
        <f t="shared" si="12"/>
        <v>22997201998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-1902824937</v>
      </c>
      <c r="E281" s="25">
        <f>SUMIFS('Daftar Koreksi'!$I$5:$I$92,'Daftar Koreksi'!$D$5:$D$92,'0400'!A268,'Daftar Koreksi'!$G$5:$G$92,"Peralatan dan mesin",'Daftar Koreksi'!$I$5:$I$92,"&gt;0")</f>
        <v>0</v>
      </c>
      <c r="F281" s="25">
        <f>SUMIFS('Daftar Koreksi'!$I$5:$I$92,'Daftar Koreksi'!$D$5:$D$92,'0400'!A268,'Daftar Koreksi'!$G$5:$G$92,"Peralatan dan mesin",'Daftar Koreksi'!$I$5:$I$92,"&lt;0")-SUMIFS('Daftar Koreksi'!$I$5:$I$92,'Daftar Koreksi'!$D$5:$D$92,'0400'!A268,'Daftar Koreksi'!$G$5:$G$92,"Peralatan dan mesin",'Daftar Koreksi'!$I$5:$I$92,"&lt;0")-SUMIFS('Daftar Koreksi'!$I$5:$I$92,'Daftar Koreksi'!$D$5:$D$92,'0400'!A268,'Daftar Koreksi'!$G$5:$G$92,"Peralatan dan mesin",'Daftar Koreksi'!$I$5:$I$92,"&lt;0")</f>
        <v>0</v>
      </c>
      <c r="G281" s="17">
        <f t="shared" si="12"/>
        <v>-1902824937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-1262518596</v>
      </c>
      <c r="E282" s="25">
        <f>SUMIFS('Daftar Koreksi'!$I$5:$I$92,'Daftar Koreksi'!$D$5:$D$92,'0400'!A268,'Daftar Koreksi'!$G$5:$G$92,"Gedung dan Bangunan",'Daftar Koreksi'!$I$5:$I$92,"&gt;0")</f>
        <v>0</v>
      </c>
      <c r="F282" s="25">
        <f>SUMIFS('Daftar Koreksi'!$I$5:$I$92,'Daftar Koreksi'!$D$5:$D$92,'0400'!A268,'Daftar Koreksi'!$G$5:$G$92,"Gedung dan Bangunan",'Daftar Koreksi'!$I$5:$I$92,"&lt;0")-SUMIFS('Daftar Koreksi'!$I$5:$I$92,'Daftar Koreksi'!$D$5:$D$92,'0400'!A268,'Daftar Koreksi'!$G$5:$G$92,"Gedung dan Bangunan",'Daftar Koreksi'!$I$5:$I$92,"&lt;0")-SUMIFS('Daftar Koreksi'!$I$5:$I$92,'Daftar Koreksi'!$D$5:$D$92,'0400'!A268,'Daftar Koreksi'!$G$5:$G$92,"Gedung dan Bangunan",'Daftar Koreksi'!$I$5:$I$92,"&lt;0")</f>
        <v>0</v>
      </c>
      <c r="G282" s="17">
        <f t="shared" si="12"/>
        <v>-1262518596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-9710000</v>
      </c>
      <c r="E283" s="25">
        <f>SUMIFS('Daftar Koreksi'!$I$5:$I$92,'Daftar Koreksi'!$D$5:$D$92,'0400'!A268,'Daftar Koreksi'!$G$5:$G$92,"Jalan Irigasi Jaringan",'Daftar Koreksi'!$I$5:$I$92,"&gt;0")</f>
        <v>0</v>
      </c>
      <c r="F283" s="25">
        <f>SUMIFS('Daftar Koreksi'!$I$5:$I$92,'Daftar Koreksi'!$D$5:$D$92,'0400'!A268,'Daftar Koreksi'!$G$5:$G$92,"Jalan Irigasi Jaringan",'Daftar Koreksi'!$I$5:$I$92,"&lt;0")-SUMIFS('Daftar Koreksi'!$I$5:$I$92,'Daftar Koreksi'!$D$5:$D$92,'0400'!A268,'Daftar Koreksi'!$G$5:$G$92,"Jalan Irigasi Jaringan",'Daftar Koreksi'!$I$5:$I$92,"&lt;0")-SUMIFS('Daftar Koreksi'!$I$5:$I$92,'Daftar Koreksi'!$D$5:$D$92,'0400'!A268,'Daftar Koreksi'!$G$5:$G$92,"Jalan Irigasi Jaringan",'Daftar Koreksi'!$I$5:$I$92,"&lt;0")</f>
        <v>0</v>
      </c>
      <c r="G283" s="17">
        <f t="shared" si="12"/>
        <v>-9710000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Koreksi'!$D$5:$D$92,'0400'!A268,'Daftar Koreksi'!$G$5:$G$92,"Aset Tetap Lainnya",'Daftar Koreksi'!$I$5:$I$92,"&gt;0")</f>
        <v>0</v>
      </c>
      <c r="F284" s="25">
        <f>SUMIFS('Daftar Koreksi'!$I$5:$I$92,'Daftar Koreksi'!$D$5:$D$92,'0400'!A268,'Daftar Koreksi'!$G$5:$G$92,"Aset Tetap Lainnya",'Daftar Koreksi'!$I$5:$I$92,"&lt;0")-SUMIFS('Daftar Koreksi'!$I$5:$I$92,'Daftar Koreksi'!$D$5:$D$92,'0400'!A268,'Daftar Koreksi'!$G$5:$G$92,"Aset Tetap Lainnya",'Daftar Koreksi'!$I$5:$I$92,"&lt;0")-SUMIFS('Daftar Koreksi'!$I$5:$I$92,'Daftar Koreksi'!$D$5:$D$92,'0400'!A268,'Daftar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-277428498</v>
      </c>
      <c r="E285" s="25">
        <f>SUMIFS('Daftar Koreksi'!$I$5:$I$92,'Daftar Koreksi'!$D$5:$D$92,'0400'!A268,'Daftar Koreksi'!$G$5:$G$92,"Aset Henti Guna",'Daftar Koreksi'!$I$5:$I$92,"&gt;0")</f>
        <v>0</v>
      </c>
      <c r="F285" s="25">
        <f>SUMIFS('Daftar Koreksi'!$I$5:$I$92,'Daftar Koreksi'!$D$5:$D$92,'0400'!A268,'Daftar Koreksi'!$G$5:$G$92,"Aset Henti Guna",'Daftar Koreksi'!$I$5:$I$92,"&lt;0")-SUMIFS('Daftar Koreksi'!$I$5:$I$92,'Daftar Koreksi'!$D$5:$D$92,'0400'!A268,'Daftar Koreksi'!$G$5:$G$92,"Aset Henti Guna",'Daftar Koreksi'!$I$5:$I$92,"&lt;0")-SUMIFS('Daftar Koreksi'!$I$5:$I$92,'Daftar Koreksi'!$D$5:$D$92,'0400'!A268,'Daftar Koreksi'!$G$5:$G$92,"Aset Henti Guna",'Daftar Koreksi'!$I$5:$I$92,"&lt;0")</f>
        <v>0</v>
      </c>
      <c r="G285" s="17">
        <f t="shared" si="12"/>
        <v>-277428498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-3452482031</v>
      </c>
      <c r="E286" s="19">
        <f>SUM(E281:E285)</f>
        <v>0</v>
      </c>
      <c r="F286" s="19">
        <f>SUM(F281:F285)</f>
        <v>0</v>
      </c>
      <c r="G286" s="19">
        <f t="shared" si="12"/>
        <v>-3452482031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19544719967</v>
      </c>
      <c r="E287" s="19">
        <f>E286+E280</f>
        <v>0</v>
      </c>
      <c r="F287" s="19">
        <f>F286+F280</f>
        <v>0</v>
      </c>
      <c r="G287" s="19">
        <f t="shared" si="12"/>
        <v>19544719967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005010400663292000KD</v>
      </c>
      <c r="B290" s="11" t="str">
        <f>P14</f>
        <v>DILMIL.  II - 11 di Yogyakarta</v>
      </c>
      <c r="C290" s="12" t="str">
        <f>A290&amp;" "&amp;B290</f>
        <v>005010400663292000KD DILMIL.  II - 11 di Yogyakarta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583625</v>
      </c>
      <c r="E293" s="25">
        <f>SUMIFS('Daftar Koreksi'!$H$5:$H$92,'Daftar Koreksi'!$D$5:$D$92,'0400'!A290,'Daftar Koreksi'!$G$5:$G$92,"Persediaan",'Daftar Koreksi'!$H$5:$H$92,"&gt;0")</f>
        <v>0</v>
      </c>
      <c r="F293" s="25">
        <f>SUMIFS('Daftar Koreksi'!$H$5:$H$92,'Daftar Koreksi'!$D$5:$D$92,'0400'!A290,'Daftar Koreksi'!$G$5:$G$92,"Persediaan",'Daftar Koreksi'!$H$5:$H$92,"&lt;0")-SUMIFS('Daftar Koreksi'!$H$5:$H$92,'Daftar Koreksi'!$D$5:$D$92,'0400'!A290,'Daftar Koreksi'!$G$5:$G$92,"Persediaan",'Daftar Koreksi'!$H$5:$H$92,"&lt;0")-SUMIFS('Daftar Koreksi'!$H$5:$H$92,'Daftar Koreksi'!$D$5:$D$92,'0400'!A290,'Daftar Koreksi'!$G$5:$G$92,"Persediaan",'Daftar Koreksi'!$H$5:$H$92,"&lt;0")</f>
        <v>0</v>
      </c>
      <c r="G293" s="17">
        <f>D293+E293-F293</f>
        <v>583625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5430331000</v>
      </c>
      <c r="E294" s="25">
        <f>SUMIFS('Daftar Koreksi'!$H$5:$H$92,'Daftar Koreksi'!$D$5:$D$92,'0400'!A290,'Daftar Koreksi'!$G$5:$G$92,"Tanah",'Daftar Koreksi'!$H$5:$H$92,"&gt;0")</f>
        <v>0</v>
      </c>
      <c r="F294" s="25">
        <f>SUMIFS('Daftar Koreksi'!$H$5:$H$92,'Daftar Koreksi'!$D$5:$D$92,'0400'!A290,'Daftar Koreksi'!$G$5:$G$92,"Tanah",'Daftar Koreksi'!$H$5:$H$92,"&lt;0")-SUMIFS('Daftar Koreksi'!$H$5:$H$92,'Daftar Koreksi'!$D$5:$D$92,'0400'!A290,'Daftar Koreksi'!$G$5:$G$92,"Tanah",'Daftar Koreksi'!$H$5:$H$92,"&lt;0")-SUMIFS('Daftar Koreksi'!$H$5:$H$92,'Daftar Koreksi'!$D$5:$D$92,'0400'!A290,'Daftar Koreksi'!$G$5:$G$92,"Tanah",'Daftar Koreksi'!$H$5:$H$92,"&lt;0")</f>
        <v>0</v>
      </c>
      <c r="G294" s="17">
        <f t="shared" ref="G294:G310" si="13">D294+E294-F294</f>
        <v>5430331000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2588476430</v>
      </c>
      <c r="E295" s="25">
        <f>SUMIFS('Daftar Koreksi'!$H$5:$H$92,'Daftar Koreksi'!$D$5:$D$92,'0400'!A290,'Daftar Koreksi'!$G$5:$G$92,"Peralatan dan mesin",'Daftar Koreksi'!$H$5:$H$92,"&gt;0")</f>
        <v>0</v>
      </c>
      <c r="F295" s="25">
        <f>SUMIFS('Daftar Koreksi'!$H$5:$H$92,'Daftar Koreksi'!$D$5:$D$92,'0400'!A290,'Daftar Koreksi'!$G$5:$G$92,"Peralatan dan mesin",'Daftar Koreksi'!$H$5:$H$92,"&lt;0")-SUMIFS('Daftar Koreksi'!$H$5:$H$92,'Daftar Koreksi'!$D$5:$D$92,'0400'!A290,'Daftar Koreksi'!$G$5:$G$92,"Peralatan dan mesin",'Daftar Koreksi'!$H$5:$H$92,"&lt;0")-SUMIFS('Daftar Koreksi'!$H$5:$H$92,'Daftar Koreksi'!$D$5:$D$92,'0400'!A290,'Daftar Koreksi'!$G$5:$G$92,"Peralatan dan mesin",'Daftar Koreksi'!$H$5:$H$92,"&lt;0")</f>
        <v>0</v>
      </c>
      <c r="G295" s="17">
        <f t="shared" si="13"/>
        <v>2588476430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6005632357</v>
      </c>
      <c r="E296" s="25">
        <f>SUMIFS('Daftar Koreksi'!$H$5:$H$92,'Daftar Koreksi'!$D$5:$D$92,'0400'!A290,'Daftar Koreksi'!$G$5:$G$92,"Gedung dan Bangunan",'Daftar Koreksi'!$H$5:$H$92,"&gt;0")</f>
        <v>0</v>
      </c>
      <c r="F296" s="25">
        <f>SUMIFS('Daftar Koreksi'!$H$5:$H$92,'Daftar Koreksi'!$D$5:$D$92,'0400'!A290,'Daftar Koreksi'!$G$5:$G$92,"Gedung dan Bangunan",'Daftar Koreksi'!$H$5:$H$92,"&lt;0")-SUMIFS('Daftar Koreksi'!$H$5:$H$92,'Daftar Koreksi'!$D$5:$D$92,'0400'!A290,'Daftar Koreksi'!$G$5:$G$92,"Gedung dan Bangunan",'Daftar Koreksi'!$H$5:$H$92,"&lt;0")-SUMIFS('Daftar Koreksi'!$H$5:$H$92,'Daftar Koreksi'!$D$5:$D$92,'0400'!A290,'Daftar Koreksi'!$G$5:$G$92,"Gedung dan Bangunan",'Daftar Koreksi'!$H$5:$H$92,"&lt;0")</f>
        <v>0</v>
      </c>
      <c r="G296" s="17">
        <f t="shared" si="13"/>
        <v>6005632357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Koreksi'!$D$5:$D$92,'0400'!A290,'Daftar Koreksi'!$G$5:$G$92,"Jalan Irigasi Jaringan",'Daftar Koreksi'!$H$5:$H$92,"&gt;0")</f>
        <v>0</v>
      </c>
      <c r="F297" s="25">
        <f>SUMIFS('Daftar Koreksi'!$H$5:$H$92,'Daftar Koreksi'!$D$5:$D$92,'0400'!A290,'Daftar Koreksi'!$G$5:$G$92,"Jalan Irigasi Jaringan",'Daftar Koreksi'!$H$5:$H$92,"&lt;0")-SUMIFS('Daftar Koreksi'!$H$5:$H$92,'Daftar Koreksi'!$D$5:$D$92,'0400'!A290,'Daftar Koreksi'!$G$5:$G$92,"Jalan Irigasi Jaringan",'Daftar Koreksi'!$H$5:$H$92,"&lt;0")-SUMIFS('Daftar Koreksi'!$H$5:$H$92,'Daftar Koreksi'!$D$5:$D$92,'0400'!A290,'Daftar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1855400</v>
      </c>
      <c r="E298" s="25">
        <f>SUMIFS('Daftar Koreksi'!$H$5:$H$92,'Daftar Koreksi'!$D$5:$D$92,'0400'!A290,'Daftar Koreksi'!$G$5:$G$92,"Aset Tetap Lainnya",'Daftar Koreksi'!$H$5:$H$92,"&gt;0")</f>
        <v>0</v>
      </c>
      <c r="F298" s="25">
        <f>SUMIFS('Daftar Koreksi'!$H$5:$H$92,'Daftar Koreksi'!$D$5:$D$92,'0400'!A290,'Daftar Koreksi'!$G$5:$G$92,"Aset Tetap Lainnya",'Daftar Koreksi'!$H$5:$H$92,"&lt;0")-SUMIFS('Daftar Koreksi'!$H$5:$H$92,'Daftar Koreksi'!$D$5:$D$92,'0400'!A290,'Daftar Koreksi'!$G$5:$G$92,"Aset Tetap Lainnya",'Daftar Koreksi'!$H$5:$H$92,"&lt;0")-SUMIFS('Daftar Koreksi'!$H$5:$H$92,'Daftar Koreksi'!$D$5:$D$92,'0400'!A290,'Daftar Koreksi'!$G$5:$G$92,"Aset Tetap Lainnya",'Daftar Koreksi'!$H$5:$H$92,"&lt;0")</f>
        <v>0</v>
      </c>
      <c r="G298" s="17">
        <f t="shared" si="13"/>
        <v>1855400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Koreksi'!$D$5:$D$92,'0400'!A290,'Daftar Koreksi'!$G$5:$G$92,"Kontruksi Dalam Pengerjaan",'Daftar Koreksi'!$H$5:$H$92,"&gt;0")</f>
        <v>0</v>
      </c>
      <c r="F299" s="25">
        <f>SUMIFS('Daftar Koreksi'!$H$5:$H$92,'Daftar Koreksi'!$D$5:$D$92,'0400'!A290,'Daftar Koreksi'!$G$5:$G$92,"Kontruksi Dalam Pengerjaan",'Daftar Koreksi'!$H$5:$H$92,"&lt;0")-SUMIFS('Daftar Koreksi'!$H$5:$H$92,'Daftar Koreksi'!$D$5:$D$92,'0400'!A290,'Daftar Koreksi'!$G$5:$G$92,"Kontruksi Dalam Pengerjaan",'Daftar Koreksi'!$H$5:$H$92,"&lt;0")-SUMIFS('Daftar Koreksi'!$H$5:$H$92,'Daftar Koreksi'!$D$5:$D$92,'0400'!A290,'Daftar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81950000</v>
      </c>
      <c r="E300" s="25">
        <f>SUMIFS('Daftar Koreksi'!$H$5:$H$92,'Daftar Koreksi'!$D$5:$D$92,'0400'!A290,'Daftar Koreksi'!$G$5:$G$92,"Aset Tak Berwujud",'Daftar Koreksi'!$H$5:$H$92,"&gt;0")</f>
        <v>0</v>
      </c>
      <c r="F300" s="25">
        <f>SUMIFS('Daftar Koreksi'!$H$5:$H$92,'Daftar Koreksi'!$D$5:$D$92,'0400'!A290,'Daftar Koreksi'!$G$5:$G$92,"Aset Tak Berwujud",'Daftar Koreksi'!$H$5:$H$92,"&lt;0")-SUMIFS('Daftar Koreksi'!$H$5:$H$92,'Daftar Koreksi'!$D$5:$D$92,'0400'!A290,'Daftar Koreksi'!$G$5:$G$92,"Aset Tak Berwujud",'Daftar Koreksi'!$H$5:$H$92,"&lt;0")-SUMIFS('Daftar Koreksi'!$H$5:$H$92,'Daftar Koreksi'!$D$5:$D$92,'0400'!A290,'Daftar Koreksi'!$G$5:$G$92,"Aset Tak Berwujud",'Daftar Koreksi'!$H$5:$H$92,"&lt;0")</f>
        <v>0</v>
      </c>
      <c r="G300" s="17">
        <f t="shared" si="13"/>
        <v>81950000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58875000</v>
      </c>
      <c r="E301" s="25">
        <f>SUMIFS('Daftar Koreksi'!$H$5:$H$92,'Daftar Koreksi'!$D$5:$D$92,'0400'!A290,'Daftar Koreksi'!$G$5:$G$92,"Aset Henti Guna",'Daftar Koreksi'!$H$5:$H$92,"&gt;0")</f>
        <v>0</v>
      </c>
      <c r="F301" s="25">
        <f>SUMIFS('Daftar Koreksi'!$H$5:$H$92,'Daftar Koreksi'!$D$5:$D$92,'0400'!A290,'Daftar Koreksi'!$G$5:$G$92,"Aset Henti Guna",'Daftar Koreksi'!$H$5:$H$92,"&lt;0")-SUMIFS('Daftar Koreksi'!$H$5:$H$92,'Daftar Koreksi'!$D$5:$D$92,'0400'!A290,'Daftar Koreksi'!$G$5:$G$92,"Aset Henti Guna",'Daftar Koreksi'!$H$5:$H$92,"&lt;0")-SUMIFS('Daftar Koreksi'!$H$5:$H$92,'Daftar Koreksi'!$D$5:$D$92,'0400'!A290,'Daftar Koreksi'!$G$5:$G$92,"Aset Henti Guna",'Daftar Koreksi'!$H$5:$H$92,"&lt;0")</f>
        <v>0</v>
      </c>
      <c r="G301" s="17">
        <f t="shared" si="13"/>
        <v>58875000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14167703812</v>
      </c>
      <c r="E302" s="19">
        <f>SUM(E293:E301)</f>
        <v>0</v>
      </c>
      <c r="F302" s="19">
        <f>SUM(F293:F301)</f>
        <v>0</v>
      </c>
      <c r="G302" s="19">
        <f t="shared" si="13"/>
        <v>14167703812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-2343642688</v>
      </c>
      <c r="E303" s="25">
        <f>SUMIFS('Daftar Koreksi'!$I$5:$I$92,'Daftar Koreksi'!$D$5:$D$92,'0400'!A290,'Daftar Koreksi'!$G$5:$G$92,"Peralatan dan mesin",'Daftar Koreksi'!$I$5:$I$92,"&gt;0")</f>
        <v>0</v>
      </c>
      <c r="F303" s="25">
        <f>SUMIFS('Daftar Koreksi'!$I$5:$I$92,'Daftar Koreksi'!$D$5:$D$92,'0400'!A290,'Daftar Koreksi'!$G$5:$G$92,"Peralatan dan mesin",'Daftar Koreksi'!$I$5:$I$92,"&lt;0")-SUMIFS('Daftar Koreksi'!$I$5:$I$92,'Daftar Koreksi'!$D$5:$D$92,'0400'!A290,'Daftar Koreksi'!$G$5:$G$92,"Peralatan dan mesin",'Daftar Koreksi'!$I$5:$I$92,"&lt;0")-SUMIFS('Daftar Koreksi'!$I$5:$I$92,'Daftar Koreksi'!$D$5:$D$92,'0400'!A290,'Daftar Koreksi'!$G$5:$G$92,"Peralatan dan mesin",'Daftar Koreksi'!$I$5:$I$92,"&lt;0")</f>
        <v>0</v>
      </c>
      <c r="G303" s="17">
        <f t="shared" si="13"/>
        <v>-2343642688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-954303504</v>
      </c>
      <c r="E304" s="25">
        <f>SUMIFS('Daftar Koreksi'!$I$5:$I$92,'Daftar Koreksi'!$D$5:$D$92,'0400'!A290,'Daftar Koreksi'!$G$5:$G$92,"Gedung dan Bangunan",'Daftar Koreksi'!$I$5:$I$92,"&gt;0")</f>
        <v>0</v>
      </c>
      <c r="F304" s="25">
        <f>SUMIFS('Daftar Koreksi'!$I$5:$I$92,'Daftar Koreksi'!$D$5:$D$92,'0400'!A290,'Daftar Koreksi'!$G$5:$G$92,"Gedung dan Bangunan",'Daftar Koreksi'!$I$5:$I$92,"&lt;0")-SUMIFS('Daftar Koreksi'!$I$5:$I$92,'Daftar Koreksi'!$D$5:$D$92,'0400'!A290,'Daftar Koreksi'!$G$5:$G$92,"Gedung dan Bangunan",'Daftar Koreksi'!$I$5:$I$92,"&lt;0")-SUMIFS('Daftar Koreksi'!$I$5:$I$92,'Daftar Koreksi'!$D$5:$D$92,'0400'!A290,'Daftar Koreksi'!$G$5:$G$92,"Gedung dan Bangunan",'Daftar Koreksi'!$I$5:$I$92,"&lt;0")</f>
        <v>0</v>
      </c>
      <c r="G304" s="17">
        <f t="shared" si="13"/>
        <v>-954303504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Koreksi'!$D$5:$D$92,'0400'!A290,'Daftar Koreksi'!$G$5:$G$92,"Jalan Irigasi Jaringan",'Daftar Koreksi'!$I$5:$I$92,"&gt;0")</f>
        <v>0</v>
      </c>
      <c r="F305" s="25">
        <f>SUMIFS('Daftar Koreksi'!$I$5:$I$92,'Daftar Koreksi'!$D$5:$D$92,'0400'!A290,'Daftar Koreksi'!$G$5:$G$92,"Jalan Irigasi Jaringan",'Daftar Koreksi'!$I$5:$I$92,"&lt;0")-SUMIFS('Daftar Koreksi'!$I$5:$I$92,'Daftar Koreksi'!$D$5:$D$92,'0400'!A290,'Daftar Koreksi'!$G$5:$G$92,"Jalan Irigasi Jaringan",'Daftar Koreksi'!$I$5:$I$92,"&lt;0")-SUMIFS('Daftar Koreksi'!$I$5:$I$92,'Daftar Koreksi'!$D$5:$D$92,'0400'!A290,'Daftar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Koreksi'!$D$5:$D$92,'0400'!A290,'Daftar Koreksi'!$G$5:$G$92,"Aset Tetap Lainnya",'Daftar Koreksi'!$I$5:$I$92,"&gt;0")</f>
        <v>0</v>
      </c>
      <c r="F306" s="25">
        <f>SUMIFS('Daftar Koreksi'!$I$5:$I$92,'Daftar Koreksi'!$D$5:$D$92,'0400'!A290,'Daftar Koreksi'!$G$5:$G$92,"Aset Tetap Lainnya",'Daftar Koreksi'!$I$5:$I$92,"&lt;0")-SUMIFS('Daftar Koreksi'!$I$5:$I$92,'Daftar Koreksi'!$D$5:$D$92,'0400'!A290,'Daftar Koreksi'!$G$5:$G$92,"Aset Tetap Lainnya",'Daftar Koreksi'!$I$5:$I$92,"&lt;0")-SUMIFS('Daftar Koreksi'!$I$5:$I$92,'Daftar Koreksi'!$D$5:$D$92,'0400'!A290,'Daftar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-58875000</v>
      </c>
      <c r="E307" s="25">
        <f>SUMIFS('Daftar Koreksi'!$I$5:$I$92,'Daftar Koreksi'!$D$5:$D$92,'0400'!A290,'Daftar Koreksi'!$G$5:$G$92,"Aset Henti Guna",'Daftar Koreksi'!$I$5:$I$92,"&gt;0")</f>
        <v>0</v>
      </c>
      <c r="F307" s="25">
        <f>SUMIFS('Daftar Koreksi'!$I$5:$I$92,'Daftar Koreksi'!$D$5:$D$92,'0400'!A290,'Daftar Koreksi'!$G$5:$G$92,"Aset Henti Guna",'Daftar Koreksi'!$I$5:$I$92,"&lt;0")-SUMIFS('Daftar Koreksi'!$I$5:$I$92,'Daftar Koreksi'!$D$5:$D$92,'0400'!A290,'Daftar Koreksi'!$G$5:$G$92,"Aset Henti Guna",'Daftar Koreksi'!$I$5:$I$92,"&lt;0")-SUMIFS('Daftar Koreksi'!$I$5:$I$92,'Daftar Koreksi'!$D$5:$D$92,'0400'!A290,'Daftar Koreksi'!$G$5:$G$92,"Aset Henti Guna",'Daftar Koreksi'!$I$5:$I$92,"&lt;0")</f>
        <v>0</v>
      </c>
      <c r="G307" s="17">
        <f t="shared" si="13"/>
        <v>-58875000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-3356821192</v>
      </c>
      <c r="E308" s="19">
        <f>SUM(E303:E307)</f>
        <v>0</v>
      </c>
      <c r="F308" s="19">
        <f>SUM(F303:F307)</f>
        <v>0</v>
      </c>
      <c r="G308" s="19">
        <f t="shared" si="13"/>
        <v>-3356821192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10810882620</v>
      </c>
      <c r="E309" s="19">
        <f>E308+E302</f>
        <v>0</v>
      </c>
      <c r="F309" s="19">
        <f>F308+F302</f>
        <v>0</v>
      </c>
      <c r="G309" s="19">
        <f t="shared" si="13"/>
        <v>10810882620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</sheetData>
  <mergeCells count="84">
    <mergeCell ref="H227:H244"/>
    <mergeCell ref="H249:H266"/>
    <mergeCell ref="H271:H288"/>
    <mergeCell ref="H293:H310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5" manualBreakCount="5">
    <brk id="91" max="7" man="1"/>
    <brk id="135" max="7" man="1"/>
    <brk id="179" max="7" man="1"/>
    <brk id="223" max="7" man="1"/>
    <brk id="26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P1740"/>
  <sheetViews>
    <sheetView view="pageBreakPreview" topLeftCell="C64" zoomScale="90" zoomScaleSheetLayoutView="90" workbookViewId="0">
      <selection activeCell="M80" sqref="M80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5.71093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165</v>
      </c>
      <c r="P1" s="8" t="s">
        <v>1318</v>
      </c>
    </row>
    <row r="2" spans="1:16" ht="19.5" customHeight="1">
      <c r="C2" s="9" t="s">
        <v>1981</v>
      </c>
      <c r="O2" s="8" t="s">
        <v>166</v>
      </c>
      <c r="P2" s="8" t="s">
        <v>1319</v>
      </c>
    </row>
    <row r="3" spans="1:16" ht="19.5" customHeight="1">
      <c r="O3" s="8" t="s">
        <v>167</v>
      </c>
      <c r="P3" s="8" t="s">
        <v>1320</v>
      </c>
    </row>
    <row r="4" spans="1:16" ht="19.5" customHeight="1">
      <c r="A4" s="11" t="str">
        <f>O1</f>
        <v>005010500098104000KD</v>
      </c>
      <c r="B4" s="11" t="str">
        <f>P1</f>
        <v>PT. Surabaya</v>
      </c>
      <c r="C4" s="12" t="str">
        <f>A4&amp;" "&amp;B4</f>
        <v>005010500098104000KD PT. Surabaya</v>
      </c>
      <c r="D4" s="13"/>
      <c r="E4" s="13"/>
      <c r="F4" s="13"/>
      <c r="G4" s="13"/>
      <c r="H4" s="11"/>
      <c r="O4" s="8" t="s">
        <v>168</v>
      </c>
      <c r="P4" s="8" t="s">
        <v>1321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169</v>
      </c>
      <c r="P5" s="8" t="s">
        <v>1322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170</v>
      </c>
      <c r="P6" s="8" t="s">
        <v>1323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22931694</v>
      </c>
      <c r="E7" s="25">
        <f>SUMIFS('Daftar Koreksi'!$H$5:$H$92,'Daftar Koreksi'!$D$5:$D$92,'0500'!A4,'Daftar Koreksi'!$G$5:$G$92,"Persediaan",'Daftar Koreksi'!$H$5:$H$92,"&gt;0")</f>
        <v>0</v>
      </c>
      <c r="F7" s="25">
        <f>SUMIFS('Daftar Koreksi'!$H$5:$H$92,'Daftar Koreksi'!$D$5:$D$92,'0500'!A4,'Daftar Koreksi'!$G$5:$G$92,"Persediaan",'Daftar Koreksi'!$H$5:$H$92,"&lt;0")-SUMIFS('Daftar Koreksi'!$H$5:$H$92,'Daftar Koreksi'!$D$5:$D$92,'0500'!A4,'Daftar Koreksi'!$G$5:$G$92,"Persediaan",'Daftar Koreksi'!$H$5:$H$92,"&lt;0")-SUMIFS('Daftar Koreksi'!$H$5:$H$92,'Daftar Koreksi'!$D$5:$D$92,'0500'!A4,'Daftar Koreksi'!$G$5:$G$92,"Persediaan",'Daftar Koreksi'!$H$5:$H$92,"&lt;0")</f>
        <v>0</v>
      </c>
      <c r="G7" s="17">
        <f>D7+E7-F7</f>
        <v>22931694</v>
      </c>
      <c r="H7" s="121" t="str">
        <f>IF(ISNA(VLOOKUP(A4,'Mutasi Neraca'!$A$3:$S$914,19,FALSE)),"-",VLOOKUP(A4,'Mutasi Neraca'!$A$3:$S$914,19,FALSE))</f>
        <v>-</v>
      </c>
      <c r="O7" s="8" t="s">
        <v>171</v>
      </c>
      <c r="P7" s="8" t="s">
        <v>1324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29702968562</v>
      </c>
      <c r="E8" s="25">
        <f>SUMIFS('Daftar Koreksi'!$H$5:$H$92,'Daftar Koreksi'!$D$5:$D$92,'0500'!A4,'Daftar Koreksi'!$G$5:$G$92,"Tanah",'Daftar Koreksi'!$H$5:$H$92,"&gt;0")</f>
        <v>0</v>
      </c>
      <c r="F8" s="25">
        <f>SUMIFS('Daftar Koreksi'!$H$5:$H$92,'Daftar Koreksi'!$D$5:$D$92,'0500'!A4,'Daftar Koreksi'!$G$5:$G$92,"Tanah",'Daftar Koreksi'!$H$5:$H$92,"&lt;0")-SUMIFS('Daftar Koreksi'!$H$5:$H$92,'Daftar Koreksi'!$D$5:$D$92,'0500'!A4,'Daftar Koreksi'!$G$5:$G$92,"Tanah",'Daftar Koreksi'!$H$5:$H$92,"&lt;0")-SUMIFS('Daftar Koreksi'!$H$5:$H$92,'Daftar Koreksi'!$D$5:$D$92,'0500'!A4,'Daftar Koreksi'!$G$5:$G$92,"Tanah",'Daftar Koreksi'!$H$5:$H$92,"&lt;0")</f>
        <v>0</v>
      </c>
      <c r="G8" s="17">
        <f t="shared" ref="G8:G24" si="0">D8+E8-F8</f>
        <v>29702968562</v>
      </c>
      <c r="H8" s="122"/>
      <c r="O8" s="8" t="s">
        <v>172</v>
      </c>
      <c r="P8" s="8" t="s">
        <v>1325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7300121107</v>
      </c>
      <c r="E9" s="25">
        <f>SUMIFS('Daftar Koreksi'!$H$5:$H$92,'Daftar Koreksi'!$D$5:$D$92,'0500'!A4,'Daftar Koreksi'!$G$5:$G$92,"Peralatan dan mesin",'Daftar Koreksi'!$H$5:$H$92,"&gt;0")</f>
        <v>0</v>
      </c>
      <c r="F9" s="25">
        <f>SUMIFS('Daftar Koreksi'!$H$5:$H$92,'Daftar Koreksi'!$D$5:$D$92,'0500'!A4,'Daftar Koreksi'!$G$5:$G$92,"Peralatan dan mesin",'Daftar Koreksi'!$H$5:$H$92,"&lt;0")-SUMIFS('Daftar Koreksi'!$H$5:$H$92,'Daftar Koreksi'!$D$5:$D$92,'0500'!A4,'Daftar Koreksi'!$G$5:$G$92,"Peralatan dan mesin",'Daftar Koreksi'!$H$5:$H$92,"&lt;0")-SUMIFS('Daftar Koreksi'!$H$5:$H$92,'Daftar Koreksi'!$D$5:$D$92,'0500'!A4,'Daftar Koreksi'!$G$5:$G$92,"Peralatan dan mesin",'Daftar Koreksi'!$H$5:$H$92,"&lt;0")</f>
        <v>0</v>
      </c>
      <c r="G9" s="17">
        <f t="shared" si="0"/>
        <v>7300121107</v>
      </c>
      <c r="H9" s="122"/>
      <c r="O9" s="8" t="s">
        <v>173</v>
      </c>
      <c r="P9" s="8" t="s">
        <v>1326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12925403289</v>
      </c>
      <c r="E10" s="25">
        <f>SUMIFS('Daftar Koreksi'!$H$5:$H$92,'Daftar Koreksi'!$D$5:$D$92,'0500'!A4,'Daftar Koreksi'!$G$5:$G$92,"Gedung dan Bangunan",'Daftar Koreksi'!$H$5:$H$92,"&gt;0")</f>
        <v>0</v>
      </c>
      <c r="F10" s="25">
        <f>SUMIFS('Daftar Koreksi'!$H$5:$H$92,'Daftar Koreksi'!$D$5:$D$92,'0500'!A4,'Daftar Koreksi'!$G$5:$G$92,"Gedung dan Bangunan",'Daftar Koreksi'!$H$5:$H$92,"&lt;0")-SUMIFS('Daftar Koreksi'!$H$5:$H$92,'Daftar Koreksi'!$D$5:$D$92,'0500'!A4,'Daftar Koreksi'!$G$5:$G$92,"Gedung dan Bangunan",'Daftar Koreksi'!$H$5:$H$92,"&lt;0")-SUMIFS('Daftar Koreksi'!$H$5:$H$92,'Daftar Koreksi'!$D$5:$D$92,'0500'!A4,'Daftar Koreksi'!$G$5:$G$92,"Gedung dan Bangunan",'Daftar Koreksi'!$H$5:$H$92,"&lt;0")</f>
        <v>0</v>
      </c>
      <c r="G10" s="17">
        <f t="shared" si="0"/>
        <v>12925403289</v>
      </c>
      <c r="H10" s="122"/>
      <c r="O10" s="8" t="s">
        <v>174</v>
      </c>
      <c r="P10" s="8" t="s">
        <v>1327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Koreksi'!$D$5:$D$92,'0500'!A4,'Daftar Koreksi'!$G$5:$G$92,"Jalan Irigasi Jaringan",'Daftar Koreksi'!$H$5:$H$92,"&gt;0")</f>
        <v>0</v>
      </c>
      <c r="F11" s="25">
        <f>SUMIFS('Daftar Koreksi'!$H$5:$H$92,'Daftar Koreksi'!$D$5:$D$92,'0500'!A4,'Daftar Koreksi'!$G$5:$G$92,"Jalan Irigasi Jaringan",'Daftar Koreksi'!$H$5:$H$92,"&lt;0")-SUMIFS('Daftar Koreksi'!$H$5:$H$92,'Daftar Koreksi'!$D$5:$D$92,'0500'!A4,'Daftar Koreksi'!$G$5:$G$92,"Jalan Irigasi Jaringan",'Daftar Koreksi'!$H$5:$H$92,"&lt;0")-SUMIFS('Daftar Koreksi'!$H$5:$H$92,'Daftar Koreksi'!$D$5:$D$92,'0500'!A4,'Daftar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175</v>
      </c>
      <c r="P11" s="8" t="s">
        <v>1328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73221862</v>
      </c>
      <c r="E12" s="25">
        <f>SUMIFS('Daftar Koreksi'!$H$5:$H$92,'Daftar Koreksi'!$D$5:$D$92,'0500'!A4,'Daftar Koreksi'!$G$5:$G$92,"Aset Tetap Lainnya",'Daftar Koreksi'!$H$5:$H$92,"&gt;0")</f>
        <v>0</v>
      </c>
      <c r="F12" s="25">
        <f>SUMIFS('Daftar Koreksi'!$H$5:$H$92,'Daftar Koreksi'!$D$5:$D$92,'0500'!A4,'Daftar Koreksi'!$G$5:$G$92,"Aset Tetap Lainnya",'Daftar Koreksi'!$H$5:$H$92,"&lt;0")-SUMIFS('Daftar Koreksi'!$H$5:$H$92,'Daftar Koreksi'!$D$5:$D$92,'0500'!A4,'Daftar Koreksi'!$G$5:$G$92,"Aset Tetap Lainnya",'Daftar Koreksi'!$H$5:$H$92,"&lt;0")-SUMIFS('Daftar Koreksi'!$H$5:$H$92,'Daftar Koreksi'!$D$5:$D$92,'0500'!A4,'Daftar Koreksi'!$G$5:$G$92,"Aset Tetap Lainnya",'Daftar Koreksi'!$H$5:$H$92,"&lt;0")</f>
        <v>0</v>
      </c>
      <c r="G12" s="17">
        <f t="shared" si="0"/>
        <v>73221862</v>
      </c>
      <c r="H12" s="122"/>
      <c r="O12" s="8" t="s">
        <v>176</v>
      </c>
      <c r="P12" s="8" t="s">
        <v>1329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Koreksi'!$D$5:$D$92,'0500'!A4,'Daftar Koreksi'!$G$5:$G$92,"Kontruksi Dalam Pengerjaan",'Daftar Koreksi'!$H$5:$H$92,"&gt;0")</f>
        <v>0</v>
      </c>
      <c r="F13" s="25">
        <f>SUMIFS('Daftar Koreksi'!$H$5:$H$92,'Daftar Koreksi'!$D$5:$D$92,'0500'!A4,'Daftar Koreksi'!$G$5:$G$92,"Kontruksi Dalam Pengerjaan",'Daftar Koreksi'!$H$5:$H$92,"&lt;0")-SUMIFS('Daftar Koreksi'!$H$5:$H$92,'Daftar Koreksi'!$D$5:$D$92,'0500'!A4,'Daftar Koreksi'!$G$5:$G$92,"Kontruksi Dalam Pengerjaan",'Daftar Koreksi'!$H$5:$H$92,"&lt;0")-SUMIFS('Daftar Koreksi'!$H$5:$H$92,'Daftar Koreksi'!$D$5:$D$92,'0500'!A4,'Daftar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177</v>
      </c>
      <c r="P13" s="8" t="s">
        <v>1330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Koreksi'!$D$5:$D$92,'0500'!A4,'Daftar Koreksi'!$G$5:$G$92,"Aset Tak Berwujud",'Daftar Koreksi'!$H$5:$H$92,"&gt;0")</f>
        <v>0</v>
      </c>
      <c r="F14" s="25">
        <f>SUMIFS('Daftar Koreksi'!$H$5:$H$92,'Daftar Koreksi'!$D$5:$D$92,'0500'!A4,'Daftar Koreksi'!$G$5:$G$92,"Aset Tak Berwujud",'Daftar Koreksi'!$H$5:$H$92,"&lt;0")-SUMIFS('Daftar Koreksi'!$H$5:$H$92,'Daftar Koreksi'!$D$5:$D$92,'0500'!A4,'Daftar Koreksi'!$G$5:$G$92,"Aset Tak Berwujud",'Daftar Koreksi'!$H$5:$H$92,"&lt;0")-SUMIFS('Daftar Koreksi'!$H$5:$H$92,'Daftar Koreksi'!$D$5:$D$92,'0500'!A4,'Daftar Koreksi'!$G$5:$G$92,"Aset Tak Berwujud",'Daftar Koreksi'!$H$5:$H$92,"&lt;0")</f>
        <v>0</v>
      </c>
      <c r="G14" s="17">
        <f t="shared" si="0"/>
        <v>0</v>
      </c>
      <c r="H14" s="122"/>
      <c r="O14" s="8" t="s">
        <v>178</v>
      </c>
      <c r="P14" s="8" t="s">
        <v>1347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Koreksi'!$D$5:$D$92,'0500'!A4,'Daftar Koreksi'!$G$5:$G$92,"Aset Henti Guna",'Daftar Koreksi'!$H$5:$H$92,"&gt;0")</f>
        <v>0</v>
      </c>
      <c r="F15" s="25">
        <f>SUMIFS('Daftar Koreksi'!$H$5:$H$92,'Daftar Koreksi'!$D$5:$D$92,'0500'!A4,'Daftar Koreksi'!$G$5:$G$92,"Aset Henti Guna",'Daftar Koreksi'!$H$5:$H$92,"&lt;0")-SUMIFS('Daftar Koreksi'!$H$5:$H$92,'Daftar Koreksi'!$D$5:$D$92,'0500'!A4,'Daftar Koreksi'!$G$5:$G$92,"Aset Henti Guna",'Daftar Koreksi'!$H$5:$H$92,"&lt;0")-SUMIFS('Daftar Koreksi'!$H$5:$H$92,'Daftar Koreksi'!$D$5:$D$92,'0500'!A4,'Daftar Koreksi'!$G$5:$G$92,"Aset Henti Guna",'Daftar Koreksi'!$H$5:$H$92,"&lt;0")</f>
        <v>0</v>
      </c>
      <c r="G15" s="17">
        <f t="shared" si="0"/>
        <v>0</v>
      </c>
      <c r="H15" s="122"/>
      <c r="O15" s="8" t="s">
        <v>179</v>
      </c>
      <c r="P15" s="8" t="s">
        <v>2002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50024646514</v>
      </c>
      <c r="E16" s="19">
        <f>SUM(E7:E15)</f>
        <v>0</v>
      </c>
      <c r="F16" s="19">
        <f>SUM(F7:F15)</f>
        <v>0</v>
      </c>
      <c r="G16" s="19">
        <f t="shared" si="0"/>
        <v>50024646514</v>
      </c>
      <c r="H16" s="122"/>
      <c r="O16" s="8" t="s">
        <v>180</v>
      </c>
      <c r="P16" s="8" t="s">
        <v>1332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-6581579573</v>
      </c>
      <c r="E17" s="25">
        <f>SUMIFS('Daftar Koreksi'!$I$5:$I$92,'Daftar Koreksi'!$D$5:$D$92,'0500'!A4,'Daftar Koreksi'!$G$5:$G$92,"Peralatan dan mesin",'Daftar Koreksi'!$I$5:$I$92,"&gt;0")</f>
        <v>0</v>
      </c>
      <c r="F17" s="25">
        <f>SUMIFS('Daftar Koreksi'!$I$5:$I$92,'Daftar Koreksi'!$D$5:$D$92,'0500'!A4,'Daftar Koreksi'!$G$5:$G$92,"Peralatan dan mesin",'Daftar Koreksi'!$I$5:$I$92,"&lt;0")-SUMIFS('Daftar Koreksi'!$I$5:$I$92,'Daftar Koreksi'!$D$5:$D$92,'0500'!A4,'Daftar Koreksi'!$G$5:$G$92,"Peralatan dan mesin",'Daftar Koreksi'!$I$5:$I$92,"&lt;0")-SUMIFS('Daftar Koreksi'!$I$5:$I$92,'Daftar Koreksi'!$D$5:$D$92,'0500'!A4,'Daftar Koreksi'!$G$5:$G$92,"Peralatan dan mesin",'Daftar Koreksi'!$I$5:$I$92,"&lt;0")</f>
        <v>0</v>
      </c>
      <c r="G17" s="17">
        <f t="shared" si="0"/>
        <v>-6581579573</v>
      </c>
      <c r="H17" s="122"/>
      <c r="O17" s="8" t="s">
        <v>181</v>
      </c>
      <c r="P17" s="8" t="s">
        <v>1333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-3629103768</v>
      </c>
      <c r="E18" s="25">
        <f>SUMIFS('Daftar Koreksi'!$I$5:$I$92,'Daftar Koreksi'!$D$5:$D$92,'0500'!A4,'Daftar Koreksi'!$G$5:$G$92,"Gedung dan Bangunan",'Daftar Koreksi'!$I$5:$I$92,"&gt;0")</f>
        <v>0</v>
      </c>
      <c r="F18" s="25">
        <f>SUMIFS('Daftar Koreksi'!$I$5:$I$92,'Daftar Koreksi'!$D$5:$D$92,'0500'!A4,'Daftar Koreksi'!$G$5:$G$92,"Gedung dan Bangunan",'Daftar Koreksi'!$I$5:$I$92,"&lt;0")-SUMIFS('Daftar Koreksi'!$I$5:$I$92,'Daftar Koreksi'!$D$5:$D$92,'0500'!A4,'Daftar Koreksi'!$G$5:$G$92,"Gedung dan Bangunan",'Daftar Koreksi'!$I$5:$I$92,"&lt;0")-SUMIFS('Daftar Koreksi'!$I$5:$I$92,'Daftar Koreksi'!$D$5:$D$92,'0500'!A4,'Daftar Koreksi'!$G$5:$G$92,"Gedung dan Bangunan",'Daftar Koreksi'!$I$5:$I$92,"&lt;0")</f>
        <v>0</v>
      </c>
      <c r="G18" s="17">
        <f t="shared" si="0"/>
        <v>-3629103768</v>
      </c>
      <c r="H18" s="122"/>
      <c r="O18" s="8" t="s">
        <v>182</v>
      </c>
      <c r="P18" s="8" t="s">
        <v>1334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Koreksi'!$D$5:$D$92,'0500'!A4,'Daftar Koreksi'!$G$5:$G$92,"Jalan Irigasi Jaringan",'Daftar Koreksi'!$I$5:$I$92,"&gt;0")</f>
        <v>0</v>
      </c>
      <c r="F19" s="25">
        <f>SUMIFS('Daftar Koreksi'!$I$5:$I$92,'Daftar Koreksi'!$D$5:$D$92,'0500'!A4,'Daftar Koreksi'!$G$5:$G$92,"Jalan Irigasi Jaringan",'Daftar Koreksi'!$I$5:$I$92,"&lt;0")-SUMIFS('Daftar Koreksi'!$I$5:$I$92,'Daftar Koreksi'!$D$5:$D$92,'0500'!A4,'Daftar Koreksi'!$G$5:$G$92,"Jalan Irigasi Jaringan",'Daftar Koreksi'!$I$5:$I$92,"&lt;0")-SUMIFS('Daftar Koreksi'!$I$5:$I$92,'Daftar Koreksi'!$D$5:$D$92,'0500'!A4,'Daftar Koreksi'!$G$5:$G$92,"Jalan Irigasi Jaringan",'Daftar Koreksi'!$I$5:$I$92,"&lt;0")</f>
        <v>0</v>
      </c>
      <c r="G19" s="17">
        <f t="shared" si="0"/>
        <v>0</v>
      </c>
      <c r="H19" s="122"/>
      <c r="O19" s="8" t="s">
        <v>183</v>
      </c>
      <c r="P19" s="8" t="s">
        <v>1381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-1500000</v>
      </c>
      <c r="E20" s="25">
        <f>SUMIFS('Daftar Koreksi'!$I$5:$I$92,'Daftar Koreksi'!$D$5:$D$92,'0500'!A4,'Daftar Koreksi'!$G$5:$G$92,"Aset Tetap Lainnya",'Daftar Koreksi'!$I$5:$I$92,"&gt;0")</f>
        <v>0</v>
      </c>
      <c r="F20" s="25">
        <f>SUMIFS('Daftar Koreksi'!$I$5:$I$92,'Daftar Koreksi'!$D$5:$D$92,'0500'!A4,'Daftar Koreksi'!$G$5:$G$92,"Aset Tetap Lainnya",'Daftar Koreksi'!$I$5:$I$92,"&lt;0")-SUMIFS('Daftar Koreksi'!$I$5:$I$92,'Daftar Koreksi'!$D$5:$D$92,'0500'!A4,'Daftar Koreksi'!$G$5:$G$92,"Aset Tetap Lainnya",'Daftar Koreksi'!$I$5:$I$92,"&lt;0")-SUMIFS('Daftar Koreksi'!$I$5:$I$92,'Daftar Koreksi'!$D$5:$D$92,'0500'!A4,'Daftar Koreksi'!$G$5:$G$92,"Aset Tetap Lainnya",'Daftar Koreksi'!$I$5:$I$92,"&lt;0")</f>
        <v>0</v>
      </c>
      <c r="G20" s="17">
        <f t="shared" si="0"/>
        <v>-1500000</v>
      </c>
      <c r="H20" s="122"/>
      <c r="O20" s="8" t="s">
        <v>184</v>
      </c>
      <c r="P20" s="8" t="s">
        <v>1335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Koreksi'!$D$5:$D$92,'0500'!A4,'Daftar Koreksi'!$G$5:$G$92,"Aset Henti Guna",'Daftar Koreksi'!$I$5:$I$92,"&gt;0")</f>
        <v>0</v>
      </c>
      <c r="F21" s="25">
        <f>SUMIFS('Daftar Koreksi'!$I$5:$I$92,'Daftar Koreksi'!$D$5:$D$92,'0500'!A4,'Daftar Koreksi'!$G$5:$G$92,"Aset Henti Guna",'Daftar Koreksi'!$I$5:$I$92,"&lt;0")-SUMIFS('Daftar Koreksi'!$I$5:$I$92,'Daftar Koreksi'!$D$5:$D$92,'0500'!A4,'Daftar Koreksi'!$G$5:$G$92,"Aset Henti Guna",'Daftar Koreksi'!$I$5:$I$92,"&lt;0")-SUMIFS('Daftar Koreksi'!$I$5:$I$92,'Daftar Koreksi'!$D$5:$D$92,'0500'!A4,'Daftar Koreksi'!$G$5:$G$92,"Aset Henti Guna",'Daftar Koreksi'!$I$5:$I$92,"&lt;0")</f>
        <v>0</v>
      </c>
      <c r="G21" s="17">
        <f t="shared" si="0"/>
        <v>0</v>
      </c>
      <c r="H21" s="122"/>
      <c r="O21" s="8" t="s">
        <v>185</v>
      </c>
      <c r="P21" s="8" t="s">
        <v>1336</v>
      </c>
    </row>
    <row r="22" spans="1:16" ht="21.95" customHeight="1">
      <c r="A22" s="14"/>
      <c r="B22" s="14"/>
      <c r="C22" s="18" t="s">
        <v>2094</v>
      </c>
      <c r="D22" s="19">
        <f>SUM(D17:D21)</f>
        <v>-10212183341</v>
      </c>
      <c r="E22" s="19">
        <f>SUM(E17:E21)</f>
        <v>0</v>
      </c>
      <c r="F22" s="19">
        <f>SUM(F17:F21)</f>
        <v>0</v>
      </c>
      <c r="G22" s="19">
        <f t="shared" si="0"/>
        <v>-10212183341</v>
      </c>
      <c r="H22" s="122"/>
      <c r="O22" s="8" t="s">
        <v>186</v>
      </c>
      <c r="P22" s="8" t="s">
        <v>1337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39812463173</v>
      </c>
      <c r="E23" s="19">
        <f>E22+E16</f>
        <v>0</v>
      </c>
      <c r="F23" s="19">
        <f>F22+F16</f>
        <v>0</v>
      </c>
      <c r="G23" s="19">
        <f t="shared" si="0"/>
        <v>39812463173</v>
      </c>
      <c r="H23" s="122"/>
      <c r="O23" s="8" t="s">
        <v>187</v>
      </c>
      <c r="P23" s="8" t="s">
        <v>2003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188</v>
      </c>
      <c r="P24" s="8" t="s">
        <v>1338</v>
      </c>
    </row>
    <row r="25" spans="1:16" ht="19.5" customHeight="1">
      <c r="O25" s="8" t="s">
        <v>189</v>
      </c>
      <c r="P25" s="8" t="s">
        <v>2004</v>
      </c>
    </row>
    <row r="26" spans="1:16" ht="19.5" customHeight="1">
      <c r="A26" s="11" t="str">
        <f>O2</f>
        <v>005010500098111000KD</v>
      </c>
      <c r="B26" s="11" t="str">
        <f>P2</f>
        <v>PN. Surabaya</v>
      </c>
      <c r="C26" s="12" t="str">
        <f>A26&amp;" "&amp;B26</f>
        <v>005010500098111000KD PN. Surabaya</v>
      </c>
      <c r="D26" s="13"/>
      <c r="E26" s="13"/>
      <c r="F26" s="13"/>
      <c r="G26" s="13"/>
      <c r="H26" s="11"/>
      <c r="O26" s="8" t="s">
        <v>190</v>
      </c>
      <c r="P26" s="8" t="s">
        <v>1339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191</v>
      </c>
      <c r="P27" s="8" t="s">
        <v>1340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192</v>
      </c>
      <c r="P28" s="8" t="s">
        <v>1341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3206500</v>
      </c>
      <c r="E29" s="25">
        <f>SUMIFS('Daftar Koreksi'!$H$5:$H$92,'Daftar Koreksi'!$D$5:$D$92,'0500'!A26,'Daftar Koreksi'!$G$5:$G$92,"Persediaan",'Daftar Koreksi'!$H$5:$H$92,"&gt;0")</f>
        <v>0</v>
      </c>
      <c r="F29" s="25">
        <f>SUMIFS('Daftar Koreksi'!$H$5:$H$92,'Daftar Koreksi'!$D$5:$D$92,'0500'!A26,'Daftar Koreksi'!$G$5:$G$92,"Persediaan",'Daftar Koreksi'!$H$5:$H$92,"&lt;0")-SUMIFS('Daftar Koreksi'!$H$5:$H$92,'Daftar Koreksi'!$D$5:$D$92,'0500'!A26,'Daftar Koreksi'!$G$5:$G$92,"Persediaan",'Daftar Koreksi'!$H$5:$H$92,"&lt;0")-SUMIFS('Daftar Koreksi'!$H$5:$H$92,'Daftar Koreksi'!$D$5:$D$92,'0500'!A26,'Daftar Koreksi'!$G$5:$G$92,"Persediaan",'Daftar Koreksi'!$H$5:$H$92,"&lt;0")</f>
        <v>0</v>
      </c>
      <c r="G29" s="17">
        <f>D29+E29-F29</f>
        <v>3206500</v>
      </c>
      <c r="H29" s="121" t="str">
        <f>IF(ISNA(VLOOKUP(A26,'Mutasi Neraca'!$A$3:$S$914,19,FALSE)),"-",VLOOKUP(A26,'Mutasi Neraca'!$A$3:$S$914,19,FALSE))</f>
        <v>-</v>
      </c>
      <c r="O29" s="8" t="s">
        <v>193</v>
      </c>
      <c r="P29" s="8" t="s">
        <v>1342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42248138890</v>
      </c>
      <c r="E30" s="25">
        <f>SUMIFS('Daftar Koreksi'!$H$5:$H$92,'Daftar Koreksi'!$D$5:$D$92,'0500'!A26,'Daftar Koreksi'!$G$5:$G$92,"Tanah",'Daftar Koreksi'!$H$5:$H$92,"&gt;0")</f>
        <v>0</v>
      </c>
      <c r="F30" s="25">
        <f>SUMIFS('Daftar Koreksi'!$H$5:$H$92,'Daftar Koreksi'!$D$5:$D$92,'0500'!A26,'Daftar Koreksi'!$G$5:$G$92,"Tanah",'Daftar Koreksi'!$H$5:$H$92,"&lt;0")-SUMIFS('Daftar Koreksi'!$H$5:$H$92,'Daftar Koreksi'!$D$5:$D$92,'0500'!A26,'Daftar Koreksi'!$G$5:$G$92,"Tanah",'Daftar Koreksi'!$H$5:$H$92,"&lt;0")-SUMIFS('Daftar Koreksi'!$H$5:$H$92,'Daftar Koreksi'!$D$5:$D$92,'0500'!A26,'Daftar Koreksi'!$G$5:$G$92,"Tanah",'Daftar Koreksi'!$H$5:$H$92,"&lt;0")</f>
        <v>0</v>
      </c>
      <c r="G30" s="17">
        <f t="shared" ref="G30:G46" si="1">D30+E30-F30</f>
        <v>42248138890</v>
      </c>
      <c r="H30" s="122"/>
      <c r="O30" s="8" t="s">
        <v>194</v>
      </c>
      <c r="P30" s="8" t="s">
        <v>1974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6510871936</v>
      </c>
      <c r="E31" s="25">
        <f>SUMIFS('Daftar Koreksi'!$H$5:$H$92,'Daftar Koreksi'!$D$5:$D$92,'0500'!A26,'Daftar Koreksi'!$G$5:$G$92,"Peralatan dan mesin",'Daftar Koreksi'!$H$5:$H$92,"&gt;0")</f>
        <v>0</v>
      </c>
      <c r="F31" s="25">
        <f>SUMIFS('Daftar Koreksi'!$H$5:$H$92,'Daftar Koreksi'!$D$5:$D$92,'0500'!A26,'Daftar Koreksi'!$G$5:$G$92,"Peralatan dan mesin",'Daftar Koreksi'!$H$5:$H$92,"&lt;0")-SUMIFS('Daftar Koreksi'!$H$5:$H$92,'Daftar Koreksi'!$D$5:$D$92,'0500'!A26,'Daftar Koreksi'!$G$5:$G$92,"Peralatan dan mesin",'Daftar Koreksi'!$H$5:$H$92,"&lt;0")-SUMIFS('Daftar Koreksi'!$H$5:$H$92,'Daftar Koreksi'!$D$5:$D$92,'0500'!A26,'Daftar Koreksi'!$G$5:$G$92,"Peralatan dan mesin",'Daftar Koreksi'!$H$5:$H$92,"&lt;0")</f>
        <v>0</v>
      </c>
      <c r="G31" s="17">
        <f t="shared" si="1"/>
        <v>6510871936</v>
      </c>
      <c r="H31" s="122"/>
      <c r="O31" s="8" t="s">
        <v>195</v>
      </c>
      <c r="P31" s="8" t="s">
        <v>1343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48142880959</v>
      </c>
      <c r="E32" s="25">
        <f>SUMIFS('Daftar Koreksi'!$H$5:$H$92,'Daftar Koreksi'!$D$5:$D$92,'0500'!A26,'Daftar Koreksi'!$G$5:$G$92,"Gedung dan Bangunan",'Daftar Koreksi'!$H$5:$H$92,"&gt;0")</f>
        <v>0</v>
      </c>
      <c r="F32" s="25">
        <f>SUMIFS('Daftar Koreksi'!$H$5:$H$92,'Daftar Koreksi'!$D$5:$D$92,'0500'!A26,'Daftar Koreksi'!$G$5:$G$92,"Gedung dan Bangunan",'Daftar Koreksi'!$H$5:$H$92,"&lt;0")-SUMIFS('Daftar Koreksi'!$H$5:$H$92,'Daftar Koreksi'!$D$5:$D$92,'0500'!A26,'Daftar Koreksi'!$G$5:$G$92,"Gedung dan Bangunan",'Daftar Koreksi'!$H$5:$H$92,"&lt;0")-SUMIFS('Daftar Koreksi'!$H$5:$H$92,'Daftar Koreksi'!$D$5:$D$92,'0500'!A26,'Daftar Koreksi'!$G$5:$G$92,"Gedung dan Bangunan",'Daftar Koreksi'!$H$5:$H$92,"&lt;0")</f>
        <v>0</v>
      </c>
      <c r="G32" s="17">
        <f t="shared" si="1"/>
        <v>48142880959</v>
      </c>
      <c r="H32" s="122"/>
      <c r="O32" s="8" t="s">
        <v>196</v>
      </c>
      <c r="P32" s="8" t="s">
        <v>1344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103025375</v>
      </c>
      <c r="E33" s="25">
        <f>SUMIFS('Daftar Koreksi'!$H$5:$H$92,'Daftar Koreksi'!$D$5:$D$92,'0500'!A26,'Daftar Koreksi'!$G$5:$G$92,"Jalan Irigasi Jaringan",'Daftar Koreksi'!$H$5:$H$92,"&gt;0")</f>
        <v>0</v>
      </c>
      <c r="F33" s="25">
        <f>SUMIFS('Daftar Koreksi'!$H$5:$H$92,'Daftar Koreksi'!$D$5:$D$92,'0500'!A26,'Daftar Koreksi'!$G$5:$G$92,"Jalan Irigasi Jaringan",'Daftar Koreksi'!$H$5:$H$92,"&lt;0")-SUMIFS('Daftar Koreksi'!$H$5:$H$92,'Daftar Koreksi'!$D$5:$D$92,'0500'!A26,'Daftar Koreksi'!$G$5:$G$92,"Jalan Irigasi Jaringan",'Daftar Koreksi'!$H$5:$H$92,"&lt;0")-SUMIFS('Daftar Koreksi'!$H$5:$H$92,'Daftar Koreksi'!$D$5:$D$92,'0500'!A26,'Daftar Koreksi'!$G$5:$G$92,"Jalan Irigasi Jaringan",'Daftar Koreksi'!$H$5:$H$92,"&lt;0")</f>
        <v>0</v>
      </c>
      <c r="G33" s="17">
        <f t="shared" si="1"/>
        <v>103025375</v>
      </c>
      <c r="H33" s="122"/>
      <c r="O33" s="8" t="s">
        <v>197</v>
      </c>
      <c r="P33" s="8" t="s">
        <v>1345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20998612</v>
      </c>
      <c r="E34" s="25">
        <f>SUMIFS('Daftar Koreksi'!$H$5:$H$92,'Daftar Koreksi'!$D$5:$D$92,'0500'!A26,'Daftar Koreksi'!$G$5:$G$92,"Aset Tetap Lainnya",'Daftar Koreksi'!$H$5:$H$92,"&gt;0")</f>
        <v>0</v>
      </c>
      <c r="F34" s="25">
        <f>SUMIFS('Daftar Koreksi'!$H$5:$H$92,'Daftar Koreksi'!$D$5:$D$92,'0500'!A26,'Daftar Koreksi'!$G$5:$G$92,"Aset Tetap Lainnya",'Daftar Koreksi'!$H$5:$H$92,"&lt;0")-SUMIFS('Daftar Koreksi'!$H$5:$H$92,'Daftar Koreksi'!$D$5:$D$92,'0500'!A26,'Daftar Koreksi'!$G$5:$G$92,"Aset Tetap Lainnya",'Daftar Koreksi'!$H$5:$H$92,"&lt;0")-SUMIFS('Daftar Koreksi'!$H$5:$H$92,'Daftar Koreksi'!$D$5:$D$92,'0500'!A26,'Daftar Koreksi'!$G$5:$G$92,"Aset Tetap Lainnya",'Daftar Koreksi'!$H$5:$H$92,"&lt;0")</f>
        <v>0</v>
      </c>
      <c r="G34" s="17">
        <f t="shared" si="1"/>
        <v>20998612</v>
      </c>
      <c r="H34" s="122"/>
      <c r="O34" s="8" t="s">
        <v>198</v>
      </c>
      <c r="P34" s="8" t="s">
        <v>1346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882010600</v>
      </c>
      <c r="E35" s="25">
        <f>SUMIFS('Daftar Koreksi'!$H$5:$H$92,'Daftar Koreksi'!$D$5:$D$92,'0500'!A26,'Daftar Koreksi'!$G$5:$G$92,"Kontruksi Dalam Pengerjaan",'Daftar Koreksi'!$H$5:$H$92,"&gt;0")</f>
        <v>0</v>
      </c>
      <c r="F35" s="25">
        <f>SUMIFS('Daftar Koreksi'!$H$5:$H$92,'Daftar Koreksi'!$D$5:$D$92,'0500'!A26,'Daftar Koreksi'!$G$5:$G$92,"Kontruksi Dalam Pengerjaan",'Daftar Koreksi'!$H$5:$H$92,"&lt;0")-SUMIFS('Daftar Koreksi'!$H$5:$H$92,'Daftar Koreksi'!$D$5:$D$92,'0500'!A26,'Daftar Koreksi'!$G$5:$G$92,"Kontruksi Dalam Pengerjaan",'Daftar Koreksi'!$H$5:$H$92,"&lt;0")-SUMIFS('Daftar Koreksi'!$H$5:$H$92,'Daftar Koreksi'!$D$5:$D$92,'0500'!A26,'Daftar Koreksi'!$G$5:$G$92,"Kontruksi Dalam Pengerjaan",'Daftar Koreksi'!$H$5:$H$92,"&lt;0")</f>
        <v>0</v>
      </c>
      <c r="G35" s="17">
        <f t="shared" si="1"/>
        <v>882010600</v>
      </c>
      <c r="H35" s="122"/>
      <c r="O35" s="8" t="s">
        <v>199</v>
      </c>
      <c r="P35" s="8" t="s">
        <v>1331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Koreksi'!$D$5:$D$92,'0500'!A26,'Daftar Koreksi'!$G$5:$G$92,"Aset Tak Berwujud",'Daftar Koreksi'!$H$5:$H$92,"&gt;0")</f>
        <v>0</v>
      </c>
      <c r="F36" s="25">
        <f>SUMIFS('Daftar Koreksi'!$H$5:$H$92,'Daftar Koreksi'!$D$5:$D$92,'0500'!A26,'Daftar Koreksi'!$G$5:$G$92,"Aset Tak Berwujud",'Daftar Koreksi'!$H$5:$H$92,"&lt;0")-SUMIFS('Daftar Koreksi'!$H$5:$H$92,'Daftar Koreksi'!$D$5:$D$92,'0500'!A26,'Daftar Koreksi'!$G$5:$G$92,"Aset Tak Berwujud",'Daftar Koreksi'!$H$5:$H$92,"&lt;0")-SUMIFS('Daftar Koreksi'!$H$5:$H$92,'Daftar Koreksi'!$D$5:$D$92,'0500'!A26,'Daftar Koreksi'!$G$5:$G$92,"Aset Tak Berwujud",'Daftar Koreksi'!$H$5:$H$92,"&lt;0")</f>
        <v>0</v>
      </c>
      <c r="G36" s="17">
        <f t="shared" si="1"/>
        <v>0</v>
      </c>
      <c r="H36" s="122"/>
      <c r="O36" s="8" t="s">
        <v>200</v>
      </c>
      <c r="P36" s="8" t="s">
        <v>1348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223689067</v>
      </c>
      <c r="E37" s="25">
        <f>SUMIFS('Daftar Koreksi'!$H$5:$H$92,'Daftar Koreksi'!$D$5:$D$92,'0500'!A26,'Daftar Koreksi'!$G$5:$G$92,"Aset Henti Guna",'Daftar Koreksi'!$H$5:$H$92,"&gt;0")</f>
        <v>0</v>
      </c>
      <c r="F37" s="25">
        <f>SUMIFS('Daftar Koreksi'!$H$5:$H$92,'Daftar Koreksi'!$D$5:$D$92,'0500'!A26,'Daftar Koreksi'!$G$5:$G$92,"Aset Henti Guna",'Daftar Koreksi'!$H$5:$H$92,"&lt;0")-SUMIFS('Daftar Koreksi'!$H$5:$H$92,'Daftar Koreksi'!$D$5:$D$92,'0500'!A26,'Daftar Koreksi'!$G$5:$G$92,"Aset Henti Guna",'Daftar Koreksi'!$H$5:$H$92,"&lt;0")-SUMIFS('Daftar Koreksi'!$H$5:$H$92,'Daftar Koreksi'!$D$5:$D$92,'0500'!A26,'Daftar Koreksi'!$G$5:$G$92,"Aset Henti Guna",'Daftar Koreksi'!$H$5:$H$92,"&lt;0")</f>
        <v>0</v>
      </c>
      <c r="G37" s="17">
        <f t="shared" si="1"/>
        <v>223689067</v>
      </c>
      <c r="H37" s="122"/>
      <c r="O37" s="8" t="s">
        <v>201</v>
      </c>
      <c r="P37" s="8" t="s">
        <v>2005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98134821939</v>
      </c>
      <c r="E38" s="19">
        <f>SUM(E29:E37)</f>
        <v>0</v>
      </c>
      <c r="F38" s="19">
        <f>SUM(F29:F37)</f>
        <v>0</v>
      </c>
      <c r="G38" s="19">
        <f t="shared" si="1"/>
        <v>98134821939</v>
      </c>
      <c r="H38" s="122"/>
      <c r="O38" s="8" t="s">
        <v>202</v>
      </c>
      <c r="P38" s="8" t="s">
        <v>1349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-6019918539</v>
      </c>
      <c r="E39" s="25">
        <f>SUMIFS('Daftar Koreksi'!$I$5:$I$92,'Daftar Koreksi'!$D$5:$D$92,'0500'!A26,'Daftar Koreksi'!$G$5:$G$92,"Peralatan dan mesin",'Daftar Koreksi'!$I$5:$I$92,"&gt;0")</f>
        <v>0</v>
      </c>
      <c r="F39" s="25">
        <f>SUMIFS('Daftar Koreksi'!$I$5:$I$92,'Daftar Koreksi'!$D$5:$D$92,'0500'!A26,'Daftar Koreksi'!$G$5:$G$92,"Peralatan dan mesin",'Daftar Koreksi'!$I$5:$I$92,"&lt;0")-SUMIFS('Daftar Koreksi'!$I$5:$I$92,'Daftar Koreksi'!$D$5:$D$92,'0500'!A26,'Daftar Koreksi'!$G$5:$G$92,"Peralatan dan mesin",'Daftar Koreksi'!$I$5:$I$92,"&lt;0")-SUMIFS('Daftar Koreksi'!$I$5:$I$92,'Daftar Koreksi'!$D$5:$D$92,'0500'!A26,'Daftar Koreksi'!$G$5:$G$92,"Peralatan dan mesin",'Daftar Koreksi'!$I$5:$I$92,"&lt;0")</f>
        <v>0</v>
      </c>
      <c r="G39" s="17">
        <f t="shared" si="1"/>
        <v>-6019918539</v>
      </c>
      <c r="H39" s="122"/>
      <c r="O39" s="8" t="s">
        <v>203</v>
      </c>
      <c r="P39" s="8" t="s">
        <v>1350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-4820059347</v>
      </c>
      <c r="E40" s="25">
        <f>SUMIFS('Daftar Koreksi'!$I$5:$I$92,'Daftar Koreksi'!$D$5:$D$92,'0500'!A26,'Daftar Koreksi'!$G$5:$G$92,"Gedung dan Bangunan",'Daftar Koreksi'!$I$5:$I$92,"&gt;0")</f>
        <v>0</v>
      </c>
      <c r="F40" s="25">
        <f>SUMIFS('Daftar Koreksi'!$I$5:$I$92,'Daftar Koreksi'!$D$5:$D$92,'0500'!A26,'Daftar Koreksi'!$G$5:$G$92,"Gedung dan Bangunan",'Daftar Koreksi'!$I$5:$I$92,"&lt;0")-SUMIFS('Daftar Koreksi'!$I$5:$I$92,'Daftar Koreksi'!$D$5:$D$92,'0500'!A26,'Daftar Koreksi'!$G$5:$G$92,"Gedung dan Bangunan",'Daftar Koreksi'!$I$5:$I$92,"&lt;0")-SUMIFS('Daftar Koreksi'!$I$5:$I$92,'Daftar Koreksi'!$D$5:$D$92,'0500'!A26,'Daftar Koreksi'!$G$5:$G$92,"Gedung dan Bangunan",'Daftar Koreksi'!$I$5:$I$92,"&lt;0")</f>
        <v>0</v>
      </c>
      <c r="G40" s="17">
        <f t="shared" si="1"/>
        <v>-4820059347</v>
      </c>
      <c r="H40" s="122"/>
      <c r="O40" s="8" t="s">
        <v>204</v>
      </c>
      <c r="P40" s="8" t="s">
        <v>1351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-98620113</v>
      </c>
      <c r="E41" s="25">
        <f>SUMIFS('Daftar Koreksi'!$I$5:$I$92,'Daftar Koreksi'!$D$5:$D$92,'0500'!A26,'Daftar Koreksi'!$G$5:$G$92,"Jalan Irigasi Jaringan",'Daftar Koreksi'!$I$5:$I$92,"&gt;0")</f>
        <v>0</v>
      </c>
      <c r="F41" s="25">
        <f>SUMIFS('Daftar Koreksi'!$I$5:$I$92,'Daftar Koreksi'!$D$5:$D$92,'0500'!A26,'Daftar Koreksi'!$G$5:$G$92,"Jalan Irigasi Jaringan",'Daftar Koreksi'!$I$5:$I$92,"&lt;0")-SUMIFS('Daftar Koreksi'!$I$5:$I$92,'Daftar Koreksi'!$D$5:$D$92,'0500'!A26,'Daftar Koreksi'!$G$5:$G$92,"Jalan Irigasi Jaringan",'Daftar Koreksi'!$I$5:$I$92,"&lt;0")-SUMIFS('Daftar Koreksi'!$I$5:$I$92,'Daftar Koreksi'!$D$5:$D$92,'0500'!A26,'Daftar Koreksi'!$G$5:$G$92,"Jalan Irigasi Jaringan",'Daftar Koreksi'!$I$5:$I$92,"&lt;0")</f>
        <v>0</v>
      </c>
      <c r="G41" s="17">
        <f t="shared" si="1"/>
        <v>-98620113</v>
      </c>
      <c r="H41" s="122"/>
      <c r="O41" s="8" t="s">
        <v>205</v>
      </c>
      <c r="P41" s="8" t="s">
        <v>2006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Koreksi'!$D$5:$D$92,'0500'!A26,'Daftar Koreksi'!$G$5:$G$92,"Aset Tetap Lainnya",'Daftar Koreksi'!$I$5:$I$92,"&gt;0")</f>
        <v>0</v>
      </c>
      <c r="F42" s="25">
        <f>SUMIFS('Daftar Koreksi'!$I$5:$I$92,'Daftar Koreksi'!$D$5:$D$92,'0500'!A26,'Daftar Koreksi'!$G$5:$G$92,"Aset Tetap Lainnya",'Daftar Koreksi'!$I$5:$I$92,"&lt;0")-SUMIFS('Daftar Koreksi'!$I$5:$I$92,'Daftar Koreksi'!$D$5:$D$92,'0500'!A26,'Daftar Koreksi'!$G$5:$G$92,"Aset Tetap Lainnya",'Daftar Koreksi'!$I$5:$I$92,"&lt;0")-SUMIFS('Daftar Koreksi'!$I$5:$I$92,'Daftar Koreksi'!$D$5:$D$92,'0500'!A26,'Daftar Koreksi'!$G$5:$G$92,"Aset Tetap Lainnya",'Daftar Koreksi'!$I$5:$I$92,"&lt;0")</f>
        <v>0</v>
      </c>
      <c r="G42" s="17">
        <f t="shared" si="1"/>
        <v>0</v>
      </c>
      <c r="H42" s="122"/>
      <c r="O42" s="8" t="s">
        <v>206</v>
      </c>
      <c r="P42" s="8" t="s">
        <v>1352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-221639067</v>
      </c>
      <c r="E43" s="25">
        <f>SUMIFS('Daftar Koreksi'!$I$5:$I$92,'Daftar Koreksi'!$D$5:$D$92,'0500'!A26,'Daftar Koreksi'!$G$5:$G$92,"Aset Henti Guna",'Daftar Koreksi'!$I$5:$I$92,"&gt;0")</f>
        <v>0</v>
      </c>
      <c r="F43" s="25">
        <f>SUMIFS('Daftar Koreksi'!$I$5:$I$92,'Daftar Koreksi'!$D$5:$D$92,'0500'!A26,'Daftar Koreksi'!$G$5:$G$92,"Aset Henti Guna",'Daftar Koreksi'!$I$5:$I$92,"&lt;0")-SUMIFS('Daftar Koreksi'!$I$5:$I$92,'Daftar Koreksi'!$D$5:$D$92,'0500'!A26,'Daftar Koreksi'!$G$5:$G$92,"Aset Henti Guna",'Daftar Koreksi'!$I$5:$I$92,"&lt;0")-SUMIFS('Daftar Koreksi'!$I$5:$I$92,'Daftar Koreksi'!$D$5:$D$92,'0500'!A26,'Daftar Koreksi'!$G$5:$G$92,"Aset Henti Guna",'Daftar Koreksi'!$I$5:$I$92,"&lt;0")</f>
        <v>0</v>
      </c>
      <c r="G43" s="17">
        <f t="shared" si="1"/>
        <v>-221639067</v>
      </c>
      <c r="H43" s="122"/>
      <c r="O43" s="8" t="s">
        <v>207</v>
      </c>
      <c r="P43" s="8" t="s">
        <v>1353</v>
      </c>
    </row>
    <row r="44" spans="1:16" ht="21.95" customHeight="1">
      <c r="A44" s="14"/>
      <c r="B44" s="14"/>
      <c r="C44" s="18" t="s">
        <v>2094</v>
      </c>
      <c r="D44" s="19">
        <f>SUM(D39:D43)</f>
        <v>-11160237066</v>
      </c>
      <c r="E44" s="19">
        <f>SUM(E39:E43)</f>
        <v>0</v>
      </c>
      <c r="F44" s="19">
        <f>SUM(F39:F43)</f>
        <v>0</v>
      </c>
      <c r="G44" s="19">
        <f t="shared" si="1"/>
        <v>-11160237066</v>
      </c>
      <c r="H44" s="122"/>
      <c r="O44" s="8" t="s">
        <v>208</v>
      </c>
      <c r="P44" s="8" t="s">
        <v>1354</v>
      </c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86974584873</v>
      </c>
      <c r="E45" s="19">
        <f>E44+E38</f>
        <v>0</v>
      </c>
      <c r="F45" s="19">
        <f>F44+F38</f>
        <v>0</v>
      </c>
      <c r="G45" s="19">
        <f t="shared" si="1"/>
        <v>86974584873</v>
      </c>
      <c r="H45" s="122"/>
      <c r="O45" s="8" t="s">
        <v>209</v>
      </c>
      <c r="P45" s="8" t="s">
        <v>1355</v>
      </c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O46" s="8" t="s">
        <v>210</v>
      </c>
      <c r="P46" s="8" t="s">
        <v>1356</v>
      </c>
    </row>
    <row r="47" spans="1:16" ht="19.5" customHeight="1">
      <c r="O47" s="8" t="s">
        <v>211</v>
      </c>
      <c r="P47" s="8" t="s">
        <v>1357</v>
      </c>
    </row>
    <row r="48" spans="1:16" ht="19.5" customHeight="1">
      <c r="A48" s="11" t="str">
        <f>O3</f>
        <v>005010500098125000KD</v>
      </c>
      <c r="B48" s="11" t="str">
        <f>P3</f>
        <v>PN. Bojonegoro</v>
      </c>
      <c r="C48" s="12" t="str">
        <f>A48&amp;" "&amp;B48</f>
        <v>005010500098125000KD PN. Bojonegoro</v>
      </c>
      <c r="D48" s="13"/>
      <c r="E48" s="13"/>
      <c r="F48" s="13"/>
      <c r="G48" s="13"/>
      <c r="H48" s="11"/>
      <c r="O48" s="8" t="s">
        <v>212</v>
      </c>
      <c r="P48" s="8" t="s">
        <v>1358</v>
      </c>
    </row>
    <row r="49" spans="1:16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  <c r="O49" s="8" t="s">
        <v>213</v>
      </c>
      <c r="P49" s="8" t="s">
        <v>2007</v>
      </c>
    </row>
    <row r="50" spans="1:16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  <c r="O50" s="8" t="s">
        <v>214</v>
      </c>
      <c r="P50" s="8" t="s">
        <v>1359</v>
      </c>
    </row>
    <row r="51" spans="1:16" ht="21.95" customHeight="1">
      <c r="A51" s="14"/>
      <c r="B51" s="14"/>
      <c r="C51" s="16" t="s">
        <v>1165</v>
      </c>
      <c r="D51" s="17">
        <f>VLOOKUP(A48,'Neraca Unaudited SIMAK'!$A$2:$S$10004,3,FALSE)</f>
        <v>631000</v>
      </c>
      <c r="E51" s="25">
        <f>SUMIFS('Daftar Koreksi'!$H$5:$H$92,'Daftar Koreksi'!$D$5:$D$92,'0500'!A48,'Daftar Koreksi'!$G$5:$G$92,"Persediaan",'Daftar Koreksi'!$H$5:$H$92,"&gt;0")</f>
        <v>0</v>
      </c>
      <c r="F51" s="25">
        <f>SUMIFS('Daftar Koreksi'!$H$5:$H$92,'Daftar Koreksi'!$D$5:$D$92,'0500'!A48,'Daftar Koreksi'!$G$5:$G$92,"Persediaan",'Daftar Koreksi'!$H$5:$H$92,"&lt;0")-SUMIFS('Daftar Koreksi'!$H$5:$H$92,'Daftar Koreksi'!$D$5:$D$92,'0500'!A48,'Daftar Koreksi'!$G$5:$G$92,"Persediaan",'Daftar Koreksi'!$H$5:$H$92,"&lt;0")-SUMIFS('Daftar Koreksi'!$H$5:$H$92,'Daftar Koreksi'!$D$5:$D$92,'0500'!A48,'Daftar Koreksi'!$G$5:$G$92,"Persediaan",'Daftar Koreksi'!$H$5:$H$92,"&lt;0")</f>
        <v>0</v>
      </c>
      <c r="G51" s="17">
        <f>D51+E51-F51</f>
        <v>631000</v>
      </c>
      <c r="H51" s="121" t="str">
        <f>IF(ISNA(VLOOKUP(A48,'Mutasi Neraca'!$A$3:$S$914,19,FALSE)),"-",VLOOKUP(A48,'Mutasi Neraca'!$A$3:$S$914,19,FALSE))</f>
        <v>-</v>
      </c>
      <c r="O51" s="8" t="s">
        <v>215</v>
      </c>
      <c r="P51" s="8" t="s">
        <v>1360</v>
      </c>
    </row>
    <row r="52" spans="1:16" ht="21.95" customHeight="1">
      <c r="A52" s="14"/>
      <c r="B52" s="14"/>
      <c r="C52" s="16" t="s">
        <v>1166</v>
      </c>
      <c r="D52" s="17">
        <f>VLOOKUP(A48,'Neraca Unaudited SIMAK'!$A$2:$S$10004,4,FALSE)</f>
        <v>6811411000</v>
      </c>
      <c r="E52" s="25">
        <f>SUMIFS('Daftar Koreksi'!$H$5:$H$92,'Daftar Koreksi'!$D$5:$D$92,'0500'!A48,'Daftar Koreksi'!$G$5:$G$92,"Tanah",'Daftar Koreksi'!$H$5:$H$92,"&gt;0")</f>
        <v>0</v>
      </c>
      <c r="F52" s="25">
        <f>SUMIFS('Daftar Koreksi'!$H$5:$H$92,'Daftar Koreksi'!$D$5:$D$92,'0500'!A48,'Daftar Koreksi'!$G$5:$G$92,"Tanah",'Daftar Koreksi'!$H$5:$H$92,"&lt;0")-SUMIFS('Daftar Koreksi'!$H$5:$H$92,'Daftar Koreksi'!$D$5:$D$92,'0500'!A48,'Daftar Koreksi'!$G$5:$G$92,"Tanah",'Daftar Koreksi'!$H$5:$H$92,"&lt;0")-SUMIFS('Daftar Koreksi'!$H$5:$H$92,'Daftar Koreksi'!$D$5:$D$92,'0500'!A48,'Daftar Koreksi'!$G$5:$G$92,"Tanah",'Daftar Koreksi'!$H$5:$H$92,"&lt;0")</f>
        <v>0</v>
      </c>
      <c r="G52" s="17">
        <f t="shared" ref="G52:G68" si="2">D52+E52-F52</f>
        <v>6811411000</v>
      </c>
      <c r="H52" s="122"/>
      <c r="O52" s="8" t="s">
        <v>216</v>
      </c>
      <c r="P52" s="8" t="s">
        <v>2008</v>
      </c>
    </row>
    <row r="53" spans="1:16" ht="21.95" customHeight="1">
      <c r="A53" s="14"/>
      <c r="B53" s="14"/>
      <c r="C53" s="16" t="s">
        <v>1167</v>
      </c>
      <c r="D53" s="17">
        <f>VLOOKUP(A48,'Neraca Unaudited SIMAK'!$A$2:$S$10004,5,FALSE)</f>
        <v>2680922320</v>
      </c>
      <c r="E53" s="25">
        <f>SUMIFS('Daftar Koreksi'!$H$5:$H$92,'Daftar Koreksi'!$D$5:$D$92,'0500'!A48,'Daftar Koreksi'!$G$5:$G$92,"Peralatan dan mesin",'Daftar Koreksi'!$H$5:$H$92,"&gt;0")</f>
        <v>0</v>
      </c>
      <c r="F53" s="25">
        <f>SUMIFS('Daftar Koreksi'!$H$5:$H$92,'Daftar Koreksi'!$D$5:$D$92,'0500'!A48,'Daftar Koreksi'!$G$5:$G$92,"Peralatan dan mesin",'Daftar Koreksi'!$H$5:$H$92,"&lt;0")-SUMIFS('Daftar Koreksi'!$H$5:$H$92,'Daftar Koreksi'!$D$5:$D$92,'0500'!A48,'Daftar Koreksi'!$G$5:$G$92,"Peralatan dan mesin",'Daftar Koreksi'!$H$5:$H$92,"&lt;0")-SUMIFS('Daftar Koreksi'!$H$5:$H$92,'Daftar Koreksi'!$D$5:$D$92,'0500'!A48,'Daftar Koreksi'!$G$5:$G$92,"Peralatan dan mesin",'Daftar Koreksi'!$H$5:$H$92,"&lt;0")</f>
        <v>0</v>
      </c>
      <c r="G53" s="17">
        <f t="shared" si="2"/>
        <v>2680922320</v>
      </c>
      <c r="H53" s="122"/>
      <c r="O53" s="8" t="s">
        <v>217</v>
      </c>
      <c r="P53" s="8" t="s">
        <v>1361</v>
      </c>
    </row>
    <row r="54" spans="1:16" ht="21.95" customHeight="1">
      <c r="A54" s="14"/>
      <c r="B54" s="14"/>
      <c r="C54" s="16" t="s">
        <v>1168</v>
      </c>
      <c r="D54" s="17">
        <f>VLOOKUP(A48,'Neraca Unaudited SIMAK'!$A$2:$S$10004,6,FALSE)</f>
        <v>6849854378</v>
      </c>
      <c r="E54" s="25">
        <f>SUMIFS('Daftar Koreksi'!$H$5:$H$92,'Daftar Koreksi'!$D$5:$D$92,'0500'!A48,'Daftar Koreksi'!$G$5:$G$92,"Gedung dan Bangunan",'Daftar Koreksi'!$H$5:$H$92,"&gt;0")</f>
        <v>0</v>
      </c>
      <c r="F54" s="25">
        <f>SUMIFS('Daftar Koreksi'!$H$5:$H$92,'Daftar Koreksi'!$D$5:$D$92,'0500'!A48,'Daftar Koreksi'!$G$5:$G$92,"Gedung dan Bangunan",'Daftar Koreksi'!$H$5:$H$92,"&lt;0")-SUMIFS('Daftar Koreksi'!$H$5:$H$92,'Daftar Koreksi'!$D$5:$D$92,'0500'!A48,'Daftar Koreksi'!$G$5:$G$92,"Gedung dan Bangunan",'Daftar Koreksi'!$H$5:$H$92,"&lt;0")-SUMIFS('Daftar Koreksi'!$H$5:$H$92,'Daftar Koreksi'!$D$5:$D$92,'0500'!A48,'Daftar Koreksi'!$G$5:$G$92,"Gedung dan Bangunan",'Daftar Koreksi'!$H$5:$H$92,"&lt;0")</f>
        <v>0</v>
      </c>
      <c r="G54" s="17">
        <f t="shared" si="2"/>
        <v>6849854378</v>
      </c>
      <c r="H54" s="122"/>
      <c r="O54" s="8" t="s">
        <v>218</v>
      </c>
      <c r="P54" s="8" t="s">
        <v>1362</v>
      </c>
    </row>
    <row r="55" spans="1:16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Koreksi'!$D$5:$D$92,'0500'!A48,'Daftar Koreksi'!$G$5:$G$92,"Jalan Irigasi Jaringan",'Daftar Koreksi'!$H$5:$H$92,"&gt;0")</f>
        <v>0</v>
      </c>
      <c r="F55" s="25">
        <f>SUMIFS('Daftar Koreksi'!$H$5:$H$92,'Daftar Koreksi'!$D$5:$D$92,'0500'!A48,'Daftar Koreksi'!$G$5:$G$92,"Jalan Irigasi Jaringan",'Daftar Koreksi'!$H$5:$H$92,"&lt;0")-SUMIFS('Daftar Koreksi'!$H$5:$H$92,'Daftar Koreksi'!$D$5:$D$92,'0500'!A48,'Daftar Koreksi'!$G$5:$G$92,"Jalan Irigasi Jaringan",'Daftar Koreksi'!$H$5:$H$92,"&lt;0")-SUMIFS('Daftar Koreksi'!$H$5:$H$92,'Daftar Koreksi'!$D$5:$D$92,'0500'!A48,'Daftar Koreksi'!$G$5:$G$92,"Jalan Irigasi Jaringan",'Daftar Koreksi'!$H$5:$H$92,"&lt;0")</f>
        <v>0</v>
      </c>
      <c r="G55" s="17">
        <f t="shared" si="2"/>
        <v>0</v>
      </c>
      <c r="H55" s="122"/>
      <c r="O55" s="8" t="s">
        <v>219</v>
      </c>
      <c r="P55" s="8" t="s">
        <v>1363</v>
      </c>
    </row>
    <row r="56" spans="1:16" ht="21.95" customHeight="1">
      <c r="A56" s="14"/>
      <c r="B56" s="14"/>
      <c r="C56" s="16" t="s">
        <v>1170</v>
      </c>
      <c r="D56" s="17">
        <f>VLOOKUP(A48,'Neraca Unaudited SIMAK'!$A$2:$S$10004,8,FALSE)</f>
        <v>9183739</v>
      </c>
      <c r="E56" s="25">
        <f>SUMIFS('Daftar Koreksi'!$H$5:$H$92,'Daftar Koreksi'!$D$5:$D$92,'0500'!A48,'Daftar Koreksi'!$G$5:$G$92,"Aset Tetap Lainnya",'Daftar Koreksi'!$H$5:$H$92,"&gt;0")</f>
        <v>0</v>
      </c>
      <c r="F56" s="25">
        <f>SUMIFS('Daftar Koreksi'!$H$5:$H$92,'Daftar Koreksi'!$D$5:$D$92,'0500'!A48,'Daftar Koreksi'!$G$5:$G$92,"Aset Tetap Lainnya",'Daftar Koreksi'!$H$5:$H$92,"&lt;0")-SUMIFS('Daftar Koreksi'!$H$5:$H$92,'Daftar Koreksi'!$D$5:$D$92,'0500'!A48,'Daftar Koreksi'!$G$5:$G$92,"Aset Tetap Lainnya",'Daftar Koreksi'!$H$5:$H$92,"&lt;0")-SUMIFS('Daftar Koreksi'!$H$5:$H$92,'Daftar Koreksi'!$D$5:$D$92,'0500'!A48,'Daftar Koreksi'!$G$5:$G$92,"Aset Tetap Lainnya",'Daftar Koreksi'!$H$5:$H$92,"&lt;0")</f>
        <v>0</v>
      </c>
      <c r="G56" s="17">
        <f t="shared" si="2"/>
        <v>9183739</v>
      </c>
      <c r="H56" s="122"/>
      <c r="O56" s="8" t="s">
        <v>220</v>
      </c>
      <c r="P56" s="8" t="s">
        <v>1364</v>
      </c>
    </row>
    <row r="57" spans="1:16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Koreksi'!$D$5:$D$92,'0500'!A48,'Daftar Koreksi'!$G$5:$G$92,"Kontruksi Dalam Pengerjaan",'Daftar Koreksi'!$H$5:$H$92,"&gt;0")</f>
        <v>0</v>
      </c>
      <c r="F57" s="25">
        <f>SUMIFS('Daftar Koreksi'!$H$5:$H$92,'Daftar Koreksi'!$D$5:$D$92,'0500'!A48,'Daftar Koreksi'!$G$5:$G$92,"Kontruksi Dalam Pengerjaan",'Daftar Koreksi'!$H$5:$H$92,"&lt;0")-SUMIFS('Daftar Koreksi'!$H$5:$H$92,'Daftar Koreksi'!$D$5:$D$92,'0500'!A48,'Daftar Koreksi'!$G$5:$G$92,"Kontruksi Dalam Pengerjaan",'Daftar Koreksi'!$H$5:$H$92,"&lt;0")-SUMIFS('Daftar Koreksi'!$H$5:$H$92,'Daftar Koreksi'!$D$5:$D$92,'0500'!A48,'Daftar Koreksi'!$G$5:$G$92,"Kontruksi Dalam Pengerjaan",'Daftar Koreksi'!$H$5:$H$92,"&lt;0")</f>
        <v>0</v>
      </c>
      <c r="G57" s="17">
        <f t="shared" si="2"/>
        <v>0</v>
      </c>
      <c r="H57" s="122"/>
      <c r="O57" s="8" t="s">
        <v>221</v>
      </c>
      <c r="P57" s="8" t="s">
        <v>1365</v>
      </c>
    </row>
    <row r="58" spans="1:16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Koreksi'!$D$5:$D$92,'0500'!A48,'Daftar Koreksi'!$G$5:$G$92,"Aset Tak Berwujud",'Daftar Koreksi'!$H$5:$H$92,"&gt;0")</f>
        <v>0</v>
      </c>
      <c r="F58" s="25">
        <f>SUMIFS('Daftar Koreksi'!$H$5:$H$92,'Daftar Koreksi'!$D$5:$D$92,'0500'!A48,'Daftar Koreksi'!$G$5:$G$92,"Aset Tak Berwujud",'Daftar Koreksi'!$H$5:$H$92,"&lt;0")-SUMIFS('Daftar Koreksi'!$H$5:$H$92,'Daftar Koreksi'!$D$5:$D$92,'0500'!A48,'Daftar Koreksi'!$G$5:$G$92,"Aset Tak Berwujud",'Daftar Koreksi'!$H$5:$H$92,"&lt;0")-SUMIFS('Daftar Koreksi'!$H$5:$H$92,'Daftar Koreksi'!$D$5:$D$92,'0500'!A48,'Daftar Koreksi'!$G$5:$G$92,"Aset Tak Berwujud",'Daftar Koreksi'!$H$5:$H$92,"&lt;0")</f>
        <v>0</v>
      </c>
      <c r="G58" s="17">
        <f t="shared" si="2"/>
        <v>0</v>
      </c>
      <c r="H58" s="122"/>
      <c r="O58" s="8" t="s">
        <v>222</v>
      </c>
      <c r="P58" s="8" t="s">
        <v>1366</v>
      </c>
    </row>
    <row r="59" spans="1:16" ht="21.95" customHeight="1">
      <c r="A59" s="14"/>
      <c r="B59" s="14"/>
      <c r="C59" s="16" t="s">
        <v>1173</v>
      </c>
      <c r="D59" s="17">
        <f>VLOOKUP(A48,'Neraca Unaudited SIMAK'!$A$2:$S$10004,11,FALSE)</f>
        <v>44589000</v>
      </c>
      <c r="E59" s="25">
        <f>SUMIFS('Daftar Koreksi'!$H$5:$H$92,'Daftar Koreksi'!$D$5:$D$92,'0500'!A48,'Daftar Koreksi'!$G$5:$G$92,"Aset Henti Guna",'Daftar Koreksi'!$H$5:$H$92,"&gt;0")</f>
        <v>0</v>
      </c>
      <c r="F59" s="25">
        <f>SUMIFS('Daftar Koreksi'!$H$5:$H$92,'Daftar Koreksi'!$D$5:$D$92,'0500'!A48,'Daftar Koreksi'!$G$5:$G$92,"Aset Henti Guna",'Daftar Koreksi'!$H$5:$H$92,"&lt;0")-SUMIFS('Daftar Koreksi'!$H$5:$H$92,'Daftar Koreksi'!$D$5:$D$92,'0500'!A48,'Daftar Koreksi'!$G$5:$G$92,"Aset Henti Guna",'Daftar Koreksi'!$H$5:$H$92,"&lt;0")-SUMIFS('Daftar Koreksi'!$H$5:$H$92,'Daftar Koreksi'!$D$5:$D$92,'0500'!A48,'Daftar Koreksi'!$G$5:$G$92,"Aset Henti Guna",'Daftar Koreksi'!$H$5:$H$92,"&lt;0")</f>
        <v>0</v>
      </c>
      <c r="G59" s="17">
        <f t="shared" si="2"/>
        <v>44589000</v>
      </c>
      <c r="H59" s="122"/>
      <c r="O59" s="8" t="s">
        <v>223</v>
      </c>
      <c r="P59" s="8" t="s">
        <v>1367</v>
      </c>
    </row>
    <row r="60" spans="1:16" ht="21.95" customHeight="1">
      <c r="A60" s="14"/>
      <c r="B60" s="14"/>
      <c r="C60" s="18" t="s">
        <v>2093</v>
      </c>
      <c r="D60" s="19">
        <f>VLOOKUP(A48,'Neraca Unaudited SIMAK'!$A$2:$S$10004,12,FALSE)</f>
        <v>16396591437</v>
      </c>
      <c r="E60" s="19">
        <f>SUM(E51:E59)</f>
        <v>0</v>
      </c>
      <c r="F60" s="19">
        <f>SUM(F51:F59)</f>
        <v>0</v>
      </c>
      <c r="G60" s="19">
        <f t="shared" si="2"/>
        <v>16396591437</v>
      </c>
      <c r="H60" s="122"/>
      <c r="O60" s="8" t="s">
        <v>224</v>
      </c>
      <c r="P60" s="8" t="s">
        <v>1368</v>
      </c>
    </row>
    <row r="61" spans="1:16" ht="21.95" customHeight="1">
      <c r="A61" s="14"/>
      <c r="B61" s="14"/>
      <c r="C61" s="16" t="s">
        <v>2087</v>
      </c>
      <c r="D61" s="17">
        <f>VLOOKUP(A48,'Neraca Unaudited SIMAK'!$A$2:$S$10004,13,FALSE)</f>
        <v>-2537533078</v>
      </c>
      <c r="E61" s="25">
        <f>SUMIFS('Daftar Koreksi'!$I$5:$I$92,'Daftar Koreksi'!$D$5:$D$92,'0500'!A48,'Daftar Koreksi'!$G$5:$G$92,"Peralatan dan mesin",'Daftar Koreksi'!$I$5:$I$92,"&gt;0")</f>
        <v>0</v>
      </c>
      <c r="F61" s="25">
        <f>SUMIFS('Daftar Koreksi'!$I$5:$I$92,'Daftar Koreksi'!$D$5:$D$92,'0500'!A48,'Daftar Koreksi'!$G$5:$G$92,"Peralatan dan mesin",'Daftar Koreksi'!$I$5:$I$92,"&lt;0")-SUMIFS('Daftar Koreksi'!$I$5:$I$92,'Daftar Koreksi'!$D$5:$D$92,'0500'!A48,'Daftar Koreksi'!$G$5:$G$92,"Peralatan dan mesin",'Daftar Koreksi'!$I$5:$I$92,"&lt;0")-SUMIFS('Daftar Koreksi'!$I$5:$I$92,'Daftar Koreksi'!$D$5:$D$92,'0500'!A48,'Daftar Koreksi'!$G$5:$G$92,"Peralatan dan mesin",'Daftar Koreksi'!$I$5:$I$92,"&lt;0")</f>
        <v>0</v>
      </c>
      <c r="G61" s="17">
        <f t="shared" si="2"/>
        <v>-2537533078</v>
      </c>
      <c r="H61" s="122"/>
      <c r="O61" s="8" t="s">
        <v>225</v>
      </c>
      <c r="P61" s="8" t="s">
        <v>1369</v>
      </c>
    </row>
    <row r="62" spans="1:16" ht="21.95" customHeight="1">
      <c r="A62" s="14"/>
      <c r="B62" s="14"/>
      <c r="C62" s="16" t="s">
        <v>2088</v>
      </c>
      <c r="D62" s="17">
        <f>VLOOKUP(A48,'Neraca Unaudited SIMAK'!$A$2:$S$10004,14,FALSE)</f>
        <v>-2373673368</v>
      </c>
      <c r="E62" s="25">
        <f>SUMIFS('Daftar Koreksi'!$I$5:$I$92,'Daftar Koreksi'!$D$5:$D$92,'0500'!A48,'Daftar Koreksi'!$G$5:$G$92,"Gedung dan Bangunan",'Daftar Koreksi'!$I$5:$I$92,"&gt;0")</f>
        <v>0</v>
      </c>
      <c r="F62" s="25">
        <f>SUMIFS('Daftar Koreksi'!$I$5:$I$92,'Daftar Koreksi'!$D$5:$D$92,'0500'!A48,'Daftar Koreksi'!$G$5:$G$92,"Gedung dan Bangunan",'Daftar Koreksi'!$I$5:$I$92,"&lt;0")-SUMIFS('Daftar Koreksi'!$I$5:$I$92,'Daftar Koreksi'!$D$5:$D$92,'0500'!A48,'Daftar Koreksi'!$G$5:$G$92,"Gedung dan Bangunan",'Daftar Koreksi'!$I$5:$I$92,"&lt;0")-SUMIFS('Daftar Koreksi'!$I$5:$I$92,'Daftar Koreksi'!$D$5:$D$92,'0500'!A48,'Daftar Koreksi'!$G$5:$G$92,"Gedung dan Bangunan",'Daftar Koreksi'!$I$5:$I$92,"&lt;0")</f>
        <v>0</v>
      </c>
      <c r="G62" s="17">
        <f t="shared" si="2"/>
        <v>-2373673368</v>
      </c>
      <c r="H62" s="122"/>
      <c r="O62" s="8" t="s">
        <v>226</v>
      </c>
      <c r="P62" s="8" t="s">
        <v>1370</v>
      </c>
    </row>
    <row r="63" spans="1:16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Koreksi'!$D$5:$D$92,'0500'!A48,'Daftar Koreksi'!$G$5:$G$92,"Jalan Irigasi Jaringan",'Daftar Koreksi'!$I$5:$I$92,"&gt;0")</f>
        <v>0</v>
      </c>
      <c r="F63" s="25">
        <f>SUMIFS('Daftar Koreksi'!$I$5:$I$92,'Daftar Koreksi'!$D$5:$D$92,'0500'!A48,'Daftar Koreksi'!$G$5:$G$92,"Jalan Irigasi Jaringan",'Daftar Koreksi'!$I$5:$I$92,"&lt;0")-SUMIFS('Daftar Koreksi'!$I$5:$I$92,'Daftar Koreksi'!$D$5:$D$92,'0500'!A48,'Daftar Koreksi'!$G$5:$G$92,"Jalan Irigasi Jaringan",'Daftar Koreksi'!$I$5:$I$92,"&lt;0")-SUMIFS('Daftar Koreksi'!$I$5:$I$92,'Daftar Koreksi'!$D$5:$D$92,'0500'!A48,'Daftar Koreksi'!$G$5:$G$92,"Jalan Irigasi Jaringan",'Daftar Koreksi'!$I$5:$I$92,"&lt;0")</f>
        <v>0</v>
      </c>
      <c r="G63" s="17">
        <f t="shared" si="2"/>
        <v>0</v>
      </c>
      <c r="H63" s="122"/>
      <c r="O63" s="8" t="s">
        <v>227</v>
      </c>
      <c r="P63" s="8" t="s">
        <v>1371</v>
      </c>
    </row>
    <row r="64" spans="1:16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Koreksi'!$D$5:$D$92,'0500'!A48,'Daftar Koreksi'!$G$5:$G$92,"Aset Tetap Lainnya",'Daftar Koreksi'!$I$5:$I$92,"&gt;0")</f>
        <v>0</v>
      </c>
      <c r="F64" s="25">
        <f>SUMIFS('Daftar Koreksi'!$I$5:$I$92,'Daftar Koreksi'!$D$5:$D$92,'0500'!A48,'Daftar Koreksi'!$G$5:$G$92,"Aset Tetap Lainnya",'Daftar Koreksi'!$I$5:$I$92,"&lt;0")-SUMIFS('Daftar Koreksi'!$I$5:$I$92,'Daftar Koreksi'!$D$5:$D$92,'0500'!A48,'Daftar Koreksi'!$G$5:$G$92,"Aset Tetap Lainnya",'Daftar Koreksi'!$I$5:$I$92,"&lt;0")-SUMIFS('Daftar Koreksi'!$I$5:$I$92,'Daftar Koreksi'!$D$5:$D$92,'0500'!A48,'Daftar Koreksi'!$G$5:$G$92,"Aset Tetap Lainnya",'Daftar Koreksi'!$I$5:$I$92,"&lt;0")</f>
        <v>0</v>
      </c>
      <c r="G64" s="17">
        <f t="shared" si="2"/>
        <v>0</v>
      </c>
      <c r="H64" s="122"/>
      <c r="O64" s="8" t="s">
        <v>228</v>
      </c>
      <c r="P64" s="8" t="s">
        <v>1372</v>
      </c>
    </row>
    <row r="65" spans="1:16" ht="21.95" customHeight="1">
      <c r="A65" s="14"/>
      <c r="B65" s="14"/>
      <c r="C65" s="16" t="s">
        <v>2020</v>
      </c>
      <c r="D65" s="17">
        <f>VLOOKUP(A48,'Neraca Unaudited SIMAK'!$A$2:$S$10004,17,FALSE)</f>
        <v>-44589000</v>
      </c>
      <c r="E65" s="25">
        <f>SUMIFS('Daftar Koreksi'!$I$5:$I$92,'Daftar Koreksi'!$D$5:$D$92,'0500'!A48,'Daftar Koreksi'!$G$5:$G$92,"Aset Henti Guna",'Daftar Koreksi'!$I$5:$I$92,"&gt;0")</f>
        <v>0</v>
      </c>
      <c r="F65" s="25">
        <f>SUMIFS('Daftar Koreksi'!$I$5:$I$92,'Daftar Koreksi'!$D$5:$D$92,'0500'!A48,'Daftar Koreksi'!$G$5:$G$92,"Aset Henti Guna",'Daftar Koreksi'!$I$5:$I$92,"&lt;0")-SUMIFS('Daftar Koreksi'!$I$5:$I$92,'Daftar Koreksi'!$D$5:$D$92,'0500'!A48,'Daftar Koreksi'!$G$5:$G$92,"Aset Henti Guna",'Daftar Koreksi'!$I$5:$I$92,"&lt;0")-SUMIFS('Daftar Koreksi'!$I$5:$I$92,'Daftar Koreksi'!$D$5:$D$92,'0500'!A48,'Daftar Koreksi'!$G$5:$G$92,"Aset Henti Guna",'Daftar Koreksi'!$I$5:$I$92,"&lt;0")</f>
        <v>0</v>
      </c>
      <c r="G65" s="17">
        <f t="shared" si="2"/>
        <v>-44589000</v>
      </c>
      <c r="H65" s="122"/>
      <c r="O65" s="8" t="s">
        <v>229</v>
      </c>
      <c r="P65" s="8" t="s">
        <v>1373</v>
      </c>
    </row>
    <row r="66" spans="1:16" ht="21.95" customHeight="1">
      <c r="A66" s="14"/>
      <c r="B66" s="14"/>
      <c r="C66" s="18" t="s">
        <v>2094</v>
      </c>
      <c r="D66" s="19">
        <f>SUM(D61:D65)</f>
        <v>-4955795446</v>
      </c>
      <c r="E66" s="19">
        <f>SUM(E61:E65)</f>
        <v>0</v>
      </c>
      <c r="F66" s="19">
        <f>SUM(F61:F65)</f>
        <v>0</v>
      </c>
      <c r="G66" s="19">
        <f t="shared" si="2"/>
        <v>-4955795446</v>
      </c>
      <c r="H66" s="122"/>
      <c r="O66" s="8" t="s">
        <v>230</v>
      </c>
      <c r="P66" s="8" t="s">
        <v>1374</v>
      </c>
    </row>
    <row r="67" spans="1:16" ht="21.95" customHeight="1">
      <c r="A67" s="14"/>
      <c r="B67" s="14"/>
      <c r="C67" s="18" t="s">
        <v>2095</v>
      </c>
      <c r="D67" s="19">
        <f>VLOOKUP(A48,'Neraca Unaudited SIMAK'!$A$2:$S$10004,18,FALSE)</f>
        <v>11440795991</v>
      </c>
      <c r="E67" s="19">
        <f>E66+E60</f>
        <v>0</v>
      </c>
      <c r="F67" s="19">
        <f>F66+F60</f>
        <v>0</v>
      </c>
      <c r="G67" s="19">
        <f t="shared" si="2"/>
        <v>11440795991</v>
      </c>
      <c r="H67" s="122"/>
      <c r="O67" s="8" t="s">
        <v>231</v>
      </c>
      <c r="P67" s="8" t="s">
        <v>2009</v>
      </c>
    </row>
    <row r="68" spans="1:16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  <c r="O68" s="8" t="s">
        <v>232</v>
      </c>
      <c r="P68" s="8" t="s">
        <v>1375</v>
      </c>
    </row>
    <row r="69" spans="1:16" ht="19.5" customHeight="1">
      <c r="O69" s="8" t="s">
        <v>233</v>
      </c>
      <c r="P69" s="8" t="s">
        <v>1376</v>
      </c>
    </row>
    <row r="70" spans="1:16" ht="19.5" customHeight="1">
      <c r="A70" s="11" t="str">
        <f>O4</f>
        <v>005010500098132000KD</v>
      </c>
      <c r="B70" s="11" t="str">
        <f>P4</f>
        <v>PN. Tuban</v>
      </c>
      <c r="C70" s="12" t="str">
        <f>A70&amp;" "&amp;B70</f>
        <v>005010500098132000KD PN. Tuban</v>
      </c>
      <c r="D70" s="13"/>
      <c r="E70" s="13"/>
      <c r="F70" s="13"/>
      <c r="G70" s="13"/>
      <c r="H70" s="11"/>
      <c r="O70" s="8" t="s">
        <v>234</v>
      </c>
      <c r="P70" s="8" t="s">
        <v>1377</v>
      </c>
    </row>
    <row r="71" spans="1:16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  <c r="O71" s="8" t="s">
        <v>235</v>
      </c>
      <c r="P71" s="8" t="s">
        <v>1378</v>
      </c>
    </row>
    <row r="72" spans="1:16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  <c r="O72" s="8" t="s">
        <v>236</v>
      </c>
      <c r="P72" s="8" t="s">
        <v>1379</v>
      </c>
    </row>
    <row r="73" spans="1:16" ht="21.95" customHeight="1">
      <c r="A73" s="14"/>
      <c r="B73" s="14"/>
      <c r="C73" s="16" t="s">
        <v>1165</v>
      </c>
      <c r="D73" s="17">
        <f>VLOOKUP(A70,'Neraca Unaudited SIMAK'!$A$2:$S$10004,3,FALSE)</f>
        <v>10000</v>
      </c>
      <c r="E73" s="25">
        <f>SUMIFS('Daftar Koreksi'!$H$5:$H$92,'Daftar Koreksi'!$D$5:$D$92,'0500'!A70,'Daftar Koreksi'!$G$5:$G$92,"Persediaan",'Daftar Koreksi'!$H$5:$H$92,"&gt;0")</f>
        <v>0</v>
      </c>
      <c r="F73" s="25">
        <f>SUMIFS('Daftar Koreksi'!$H$5:$H$92,'Daftar Koreksi'!$D$5:$D$92,'0500'!A70,'Daftar Koreksi'!$G$5:$G$92,"Persediaan",'Daftar Koreksi'!$H$5:$H$92,"&lt;0")-SUMIFS('Daftar Koreksi'!$H$5:$H$92,'Daftar Koreksi'!$D$5:$D$92,'0500'!A70,'Daftar Koreksi'!$G$5:$G$92,"Persediaan",'Daftar Koreksi'!$H$5:$H$92,"&lt;0")-SUMIFS('Daftar Koreksi'!$H$5:$H$92,'Daftar Koreksi'!$D$5:$D$92,'0500'!A70,'Daftar Koreksi'!$G$5:$G$92,"Persediaan",'Daftar Koreksi'!$H$5:$H$92,"&lt;0")</f>
        <v>0</v>
      </c>
      <c r="G73" s="17">
        <f>D73+E73-F73</f>
        <v>10000</v>
      </c>
      <c r="H73" s="121" t="str">
        <f>IF(ISNA(VLOOKUP(A70,'Mutasi Neraca'!$A$3:$S$914,19,FALSE)),"-",VLOOKUP(A70,'Mutasi Neraca'!$A$3:$S$914,19,FALSE))</f>
        <v>-</v>
      </c>
      <c r="O73" s="8" t="s">
        <v>237</v>
      </c>
      <c r="P73" s="8" t="s">
        <v>1380</v>
      </c>
    </row>
    <row r="74" spans="1:16" ht="21.95" customHeight="1">
      <c r="A74" s="14"/>
      <c r="B74" s="14"/>
      <c r="C74" s="16" t="s">
        <v>1166</v>
      </c>
      <c r="D74" s="17">
        <f>VLOOKUP(A70,'Neraca Unaudited SIMAK'!$A$2:$S$10004,4,FALSE)</f>
        <v>6591250000</v>
      </c>
      <c r="E74" s="25">
        <f>SUMIFS('Daftar Koreksi'!$H$5:$H$92,'Daftar Koreksi'!$D$5:$D$92,'0500'!A70,'Daftar Koreksi'!$G$5:$G$92,"Tanah",'Daftar Koreksi'!$H$5:$H$92,"&gt;0")</f>
        <v>0</v>
      </c>
      <c r="F74" s="25">
        <f>SUMIFS('Daftar Koreksi'!$H$5:$H$92,'Daftar Koreksi'!$D$5:$D$92,'0500'!A70,'Daftar Koreksi'!$G$5:$G$92,"Tanah",'Daftar Koreksi'!$H$5:$H$92,"&lt;0")-SUMIFS('Daftar Koreksi'!$H$5:$H$92,'Daftar Koreksi'!$D$5:$D$92,'0500'!A70,'Daftar Koreksi'!$G$5:$G$92,"Tanah",'Daftar Koreksi'!$H$5:$H$92,"&lt;0")-SUMIFS('Daftar Koreksi'!$H$5:$H$92,'Daftar Koreksi'!$D$5:$D$92,'0500'!A70,'Daftar Koreksi'!$G$5:$G$92,"Tanah",'Daftar Koreksi'!$H$5:$H$92,"&lt;0")</f>
        <v>0</v>
      </c>
      <c r="G74" s="17">
        <f t="shared" ref="G74:G90" si="3">D74+E74-F74</f>
        <v>6591250000</v>
      </c>
      <c r="H74" s="122"/>
      <c r="O74" s="8" t="s">
        <v>238</v>
      </c>
      <c r="P74" s="8" t="s">
        <v>2010</v>
      </c>
    </row>
    <row r="75" spans="1:16" ht="21.95" customHeight="1">
      <c r="A75" s="14"/>
      <c r="B75" s="14"/>
      <c r="C75" s="16" t="s">
        <v>1167</v>
      </c>
      <c r="D75" s="17">
        <f>VLOOKUP(A70,'Neraca Unaudited SIMAK'!$A$2:$S$10004,5,FALSE)</f>
        <v>1170381924</v>
      </c>
      <c r="E75" s="25">
        <f>SUMIFS('Daftar Koreksi'!$H$5:$H$92,'Daftar Koreksi'!$D$5:$D$92,'0500'!A70,'Daftar Koreksi'!$G$5:$G$92,"Peralatan dan mesin",'Daftar Koreksi'!$H$5:$H$92,"&gt;0")</f>
        <v>0</v>
      </c>
      <c r="F75" s="25">
        <f>SUMIFS('Daftar Koreksi'!$H$5:$H$92,'Daftar Koreksi'!$D$5:$D$92,'0500'!A70,'Daftar Koreksi'!$G$5:$G$92,"Peralatan dan mesin",'Daftar Koreksi'!$H$5:$H$92,"&lt;0")-SUMIFS('Daftar Koreksi'!$H$5:$H$92,'Daftar Koreksi'!$D$5:$D$92,'0500'!A70,'Daftar Koreksi'!$G$5:$G$92,"Peralatan dan mesin",'Daftar Koreksi'!$H$5:$H$92,"&lt;0")-SUMIFS('Daftar Koreksi'!$H$5:$H$92,'Daftar Koreksi'!$D$5:$D$92,'0500'!A70,'Daftar Koreksi'!$G$5:$G$92,"Peralatan dan mesin",'Daftar Koreksi'!$H$5:$H$92,"&lt;0")</f>
        <v>0</v>
      </c>
      <c r="G75" s="17">
        <f t="shared" si="3"/>
        <v>1170381924</v>
      </c>
      <c r="H75" s="122"/>
      <c r="O75" s="8" t="s">
        <v>239</v>
      </c>
      <c r="P75" s="8" t="s">
        <v>2011</v>
      </c>
    </row>
    <row r="76" spans="1:16" ht="21.95" customHeight="1">
      <c r="A76" s="14"/>
      <c r="B76" s="14"/>
      <c r="C76" s="16" t="s">
        <v>1168</v>
      </c>
      <c r="D76" s="17">
        <f>VLOOKUP(A70,'Neraca Unaudited SIMAK'!$A$2:$S$10004,6,FALSE)</f>
        <v>2915795500</v>
      </c>
      <c r="E76" s="25">
        <f>SUMIFS('Daftar Koreksi'!$H$5:$H$92,'Daftar Koreksi'!$D$5:$D$92,'0500'!A70,'Daftar Koreksi'!$G$5:$G$92,"Gedung dan Bangunan",'Daftar Koreksi'!$H$5:$H$92,"&gt;0")</f>
        <v>0</v>
      </c>
      <c r="F76" s="25">
        <f>SUMIFS('Daftar Koreksi'!$H$5:$H$92,'Daftar Koreksi'!$D$5:$D$92,'0500'!A70,'Daftar Koreksi'!$G$5:$G$92,"Gedung dan Bangunan",'Daftar Koreksi'!$H$5:$H$92,"&lt;0")-SUMIFS('Daftar Koreksi'!$H$5:$H$92,'Daftar Koreksi'!$D$5:$D$92,'0500'!A70,'Daftar Koreksi'!$G$5:$G$92,"Gedung dan Bangunan",'Daftar Koreksi'!$H$5:$H$92,"&lt;0")-SUMIFS('Daftar Koreksi'!$H$5:$H$92,'Daftar Koreksi'!$D$5:$D$92,'0500'!A70,'Daftar Koreksi'!$G$5:$G$92,"Gedung dan Bangunan",'Daftar Koreksi'!$H$5:$H$92,"&lt;0")</f>
        <v>0</v>
      </c>
      <c r="G76" s="17">
        <f t="shared" si="3"/>
        <v>2915795500</v>
      </c>
      <c r="H76" s="122"/>
      <c r="O76" s="8" t="s">
        <v>240</v>
      </c>
      <c r="P76" s="8" t="s">
        <v>2012</v>
      </c>
    </row>
    <row r="77" spans="1:16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Koreksi'!$D$5:$D$92,'0500'!A70,'Daftar Koreksi'!$G$5:$G$92,"Jalan Irigasi Jaringan",'Daftar Koreksi'!$H$5:$H$92,"&gt;0")</f>
        <v>0</v>
      </c>
      <c r="F77" s="25">
        <f>SUMIFS('Daftar Koreksi'!$H$5:$H$92,'Daftar Koreksi'!$D$5:$D$92,'0500'!A70,'Daftar Koreksi'!$G$5:$G$92,"Jalan Irigasi Jaringan",'Daftar Koreksi'!$H$5:$H$92,"&lt;0")-SUMIFS('Daftar Koreksi'!$H$5:$H$92,'Daftar Koreksi'!$D$5:$D$92,'0500'!A70,'Daftar Koreksi'!$G$5:$G$92,"Jalan Irigasi Jaringan",'Daftar Koreksi'!$H$5:$H$92,"&lt;0")-SUMIFS('Daftar Koreksi'!$H$5:$H$92,'Daftar Koreksi'!$D$5:$D$92,'0500'!A70,'Daftar Koreksi'!$G$5:$G$92,"Jalan Irigasi Jaringan",'Daftar Koreksi'!$H$5:$H$92,"&lt;0")</f>
        <v>0</v>
      </c>
      <c r="G77" s="17">
        <f t="shared" si="3"/>
        <v>0</v>
      </c>
      <c r="H77" s="122"/>
      <c r="O77" s="8" t="s">
        <v>241</v>
      </c>
      <c r="P77" s="8" t="s">
        <v>2013</v>
      </c>
    </row>
    <row r="78" spans="1:16" ht="21.95" customHeight="1">
      <c r="A78" s="14"/>
      <c r="B78" s="14"/>
      <c r="C78" s="16" t="s">
        <v>1170</v>
      </c>
      <c r="D78" s="17">
        <f>VLOOKUP(A70,'Neraca Unaudited SIMAK'!$A$2:$S$10004,8,FALSE)</f>
        <v>11406260</v>
      </c>
      <c r="E78" s="25">
        <f>SUMIFS('Daftar Koreksi'!$H$5:$H$92,'Daftar Koreksi'!$D$5:$D$92,'0500'!A70,'Daftar Koreksi'!$G$5:$G$92,"Aset Tetap Lainnya",'Daftar Koreksi'!$H$5:$H$92,"&gt;0")</f>
        <v>0</v>
      </c>
      <c r="F78" s="25">
        <f>SUMIFS('Daftar Koreksi'!$H$5:$H$92,'Daftar Koreksi'!$D$5:$D$92,'0500'!A70,'Daftar Koreksi'!$G$5:$G$92,"Aset Tetap Lainnya",'Daftar Koreksi'!$H$5:$H$92,"&lt;0")-SUMIFS('Daftar Koreksi'!$H$5:$H$92,'Daftar Koreksi'!$D$5:$D$92,'0500'!A70,'Daftar Koreksi'!$G$5:$G$92,"Aset Tetap Lainnya",'Daftar Koreksi'!$H$5:$H$92,"&lt;0")-SUMIFS('Daftar Koreksi'!$H$5:$H$92,'Daftar Koreksi'!$D$5:$D$92,'0500'!A70,'Daftar Koreksi'!$G$5:$G$92,"Aset Tetap Lainnya",'Daftar Koreksi'!$H$5:$H$92,"&lt;0")</f>
        <v>0</v>
      </c>
      <c r="G78" s="17">
        <f t="shared" si="3"/>
        <v>11406260</v>
      </c>
      <c r="H78" s="122"/>
      <c r="O78" s="8" t="s">
        <v>242</v>
      </c>
      <c r="P78" s="8" t="s">
        <v>2014</v>
      </c>
    </row>
    <row r="79" spans="1:16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Koreksi'!$D$5:$D$92,'0500'!A70,'Daftar Koreksi'!$G$5:$G$92,"Kontruksi Dalam Pengerjaan",'Daftar Koreksi'!$H$5:$H$92,"&gt;0")</f>
        <v>0</v>
      </c>
      <c r="F79" s="25">
        <f>SUMIFS('Daftar Koreksi'!$H$5:$H$92,'Daftar Koreksi'!$D$5:$D$92,'0500'!A70,'Daftar Koreksi'!$G$5:$G$92,"Kontruksi Dalam Pengerjaan",'Daftar Koreksi'!$H$5:$H$92,"&lt;0")-SUMIFS('Daftar Koreksi'!$H$5:$H$92,'Daftar Koreksi'!$D$5:$D$92,'0500'!A70,'Daftar Koreksi'!$G$5:$G$92,"Kontruksi Dalam Pengerjaan",'Daftar Koreksi'!$H$5:$H$92,"&lt;0")-SUMIFS('Daftar Koreksi'!$H$5:$H$92,'Daftar Koreksi'!$D$5:$D$92,'0500'!A70,'Daftar Koreksi'!$G$5:$G$92,"Kontruksi Dalam Pengerjaan",'Daftar Koreksi'!$H$5:$H$92,"&lt;0")</f>
        <v>0</v>
      </c>
      <c r="G79" s="17">
        <f t="shared" si="3"/>
        <v>0</v>
      </c>
      <c r="H79" s="122"/>
      <c r="O79" s="8" t="s">
        <v>243</v>
      </c>
      <c r="P79" s="8" t="s">
        <v>2015</v>
      </c>
    </row>
    <row r="80" spans="1:16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Koreksi'!$D$5:$D$92,'0500'!A70,'Daftar Koreksi'!$G$5:$G$92,"Aset Tak Berwujud",'Daftar Koreksi'!$H$5:$H$92,"&gt;0")</f>
        <v>0</v>
      </c>
      <c r="F80" s="25">
        <f>SUMIFS('Daftar Koreksi'!$H$5:$H$92,'Daftar Koreksi'!$D$5:$D$92,'0500'!A70,'Daftar Koreksi'!$G$5:$G$92,"Aset Tak Berwujud",'Daftar Koreksi'!$H$5:$H$92,"&lt;0")-SUMIFS('Daftar Koreksi'!$H$5:$H$92,'Daftar Koreksi'!$D$5:$D$92,'0500'!A70,'Daftar Koreksi'!$G$5:$G$92,"Aset Tak Berwujud",'Daftar Koreksi'!$H$5:$H$92,"&lt;0")-SUMIFS('Daftar Koreksi'!$H$5:$H$92,'Daftar Koreksi'!$D$5:$D$92,'0500'!A70,'Daftar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Koreksi'!$D$5:$D$92,'0500'!A70,'Daftar Koreksi'!$G$5:$G$92,"Aset Henti Guna",'Daftar Koreksi'!$H$5:$H$92,"&gt;0")</f>
        <v>0</v>
      </c>
      <c r="F81" s="25">
        <f>SUMIFS('Daftar Koreksi'!$H$5:$H$92,'Daftar Koreksi'!$D$5:$D$92,'0500'!A70,'Daftar Koreksi'!$G$5:$G$92,"Aset Henti Guna",'Daftar Koreksi'!$H$5:$H$92,"&lt;0")-SUMIFS('Daftar Koreksi'!$H$5:$H$92,'Daftar Koreksi'!$D$5:$D$92,'0500'!A70,'Daftar Koreksi'!$G$5:$G$92,"Aset Henti Guna",'Daftar Koreksi'!$H$5:$H$92,"&lt;0")-SUMIFS('Daftar Koreksi'!$H$5:$H$92,'Daftar Koreksi'!$D$5:$D$92,'0500'!A70,'Daftar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10688843684</v>
      </c>
      <c r="E82" s="19">
        <f>SUM(E73:E81)</f>
        <v>0</v>
      </c>
      <c r="F82" s="19">
        <f>SUM(F73:F81)</f>
        <v>0</v>
      </c>
      <c r="G82" s="19">
        <f t="shared" si="3"/>
        <v>10688843684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-1055923538</v>
      </c>
      <c r="E83" s="25">
        <f>SUMIFS('Daftar Koreksi'!$I$5:$I$92,'Daftar Koreksi'!$D$5:$D$92,'0500'!A70,'Daftar Koreksi'!$G$5:$G$92,"Peralatan dan mesin",'Daftar Koreksi'!$I$5:$I$92,"&gt;0")</f>
        <v>0</v>
      </c>
      <c r="F83" s="25">
        <f>SUMIFS('Daftar Koreksi'!$I$5:$I$92,'Daftar Koreksi'!$D$5:$D$92,'0500'!A70,'Daftar Koreksi'!$G$5:$G$92,"Peralatan dan mesin",'Daftar Koreksi'!$I$5:$I$92,"&lt;0")-SUMIFS('Daftar Koreksi'!$I$5:$I$92,'Daftar Koreksi'!$D$5:$D$92,'0500'!A70,'Daftar Koreksi'!$G$5:$G$92,"Peralatan dan mesin",'Daftar Koreksi'!$I$5:$I$92,"&lt;0")-SUMIFS('Daftar Koreksi'!$I$5:$I$92,'Daftar Koreksi'!$D$5:$D$92,'0500'!A70,'Daftar Koreksi'!$G$5:$G$92,"Peralatan dan mesin",'Daftar Koreksi'!$I$5:$I$92,"&lt;0")</f>
        <v>0</v>
      </c>
      <c r="G83" s="17">
        <f t="shared" si="3"/>
        <v>-1055923538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-830677227</v>
      </c>
      <c r="E84" s="25">
        <f>SUMIFS('Daftar Koreksi'!$I$5:$I$92,'Daftar Koreksi'!$D$5:$D$92,'0500'!A70,'Daftar Koreksi'!$G$5:$G$92,"Gedung dan Bangunan",'Daftar Koreksi'!$I$5:$I$92,"&gt;0")</f>
        <v>0</v>
      </c>
      <c r="F84" s="25">
        <f>SUMIFS('Daftar Koreksi'!$I$5:$I$92,'Daftar Koreksi'!$D$5:$D$92,'0500'!A70,'Daftar Koreksi'!$G$5:$G$92,"Gedung dan Bangunan",'Daftar Koreksi'!$I$5:$I$92,"&lt;0")-SUMIFS('Daftar Koreksi'!$I$5:$I$92,'Daftar Koreksi'!$D$5:$D$92,'0500'!A70,'Daftar Koreksi'!$G$5:$G$92,"Gedung dan Bangunan",'Daftar Koreksi'!$I$5:$I$92,"&lt;0")-SUMIFS('Daftar Koreksi'!$I$5:$I$92,'Daftar Koreksi'!$D$5:$D$92,'0500'!A70,'Daftar Koreksi'!$G$5:$G$92,"Gedung dan Bangunan",'Daftar Koreksi'!$I$5:$I$92,"&lt;0")</f>
        <v>0</v>
      </c>
      <c r="G84" s="17">
        <f t="shared" si="3"/>
        <v>-830677227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Koreksi'!$D$5:$D$92,'0500'!A70,'Daftar Koreksi'!$G$5:$G$92,"Jalan Irigasi Jaringan",'Daftar Koreksi'!$I$5:$I$92,"&gt;0")</f>
        <v>0</v>
      </c>
      <c r="F85" s="25">
        <f>SUMIFS('Daftar Koreksi'!$I$5:$I$92,'Daftar Koreksi'!$D$5:$D$92,'0500'!A70,'Daftar Koreksi'!$G$5:$G$92,"Jalan Irigasi Jaringan",'Daftar Koreksi'!$I$5:$I$92,"&lt;0")-SUMIFS('Daftar Koreksi'!$I$5:$I$92,'Daftar Koreksi'!$D$5:$D$92,'0500'!A70,'Daftar Koreksi'!$G$5:$G$92,"Jalan Irigasi Jaringan",'Daftar Koreksi'!$I$5:$I$92,"&lt;0")-SUMIFS('Daftar Koreksi'!$I$5:$I$92,'Daftar Koreksi'!$D$5:$D$92,'0500'!A70,'Daftar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Koreksi'!$D$5:$D$92,'0500'!A70,'Daftar Koreksi'!$G$5:$G$92,"Aset Tetap Lainnya",'Daftar Koreksi'!$I$5:$I$92,"&gt;0")</f>
        <v>0</v>
      </c>
      <c r="F86" s="25">
        <f>SUMIFS('Daftar Koreksi'!$I$5:$I$92,'Daftar Koreksi'!$D$5:$D$92,'0500'!A70,'Daftar Koreksi'!$G$5:$G$92,"Aset Tetap Lainnya",'Daftar Koreksi'!$I$5:$I$92,"&lt;0")-SUMIFS('Daftar Koreksi'!$I$5:$I$92,'Daftar Koreksi'!$D$5:$D$92,'0500'!A70,'Daftar Koreksi'!$G$5:$G$92,"Aset Tetap Lainnya",'Daftar Koreksi'!$I$5:$I$92,"&lt;0")-SUMIFS('Daftar Koreksi'!$I$5:$I$92,'Daftar Koreksi'!$D$5:$D$92,'0500'!A70,'Daftar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Koreksi'!$D$5:$D$92,'0500'!A70,'Daftar Koreksi'!$G$5:$G$92,"Aset Henti Guna",'Daftar Koreksi'!$I$5:$I$92,"&gt;0")</f>
        <v>0</v>
      </c>
      <c r="F87" s="25">
        <f>SUMIFS('Daftar Koreksi'!$I$5:$I$92,'Daftar Koreksi'!$D$5:$D$92,'0500'!A70,'Daftar Koreksi'!$G$5:$G$92,"Aset Henti Guna",'Daftar Koreksi'!$I$5:$I$92,"&lt;0")-SUMIFS('Daftar Koreksi'!$I$5:$I$92,'Daftar Koreksi'!$D$5:$D$92,'0500'!A70,'Daftar Koreksi'!$G$5:$G$92,"Aset Henti Guna",'Daftar Koreksi'!$I$5:$I$92,"&lt;0")-SUMIFS('Daftar Koreksi'!$I$5:$I$92,'Daftar Koreksi'!$D$5:$D$92,'0500'!A70,'Daftar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-1886600765</v>
      </c>
      <c r="E88" s="19">
        <f>SUM(E83:E87)</f>
        <v>0</v>
      </c>
      <c r="F88" s="19">
        <f>SUM(F83:F87)</f>
        <v>0</v>
      </c>
      <c r="G88" s="19">
        <f t="shared" si="3"/>
        <v>-1886600765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8802242919</v>
      </c>
      <c r="E89" s="19">
        <f>E88+E82</f>
        <v>0</v>
      </c>
      <c r="F89" s="19">
        <f>F88+F82</f>
        <v>0</v>
      </c>
      <c r="G89" s="19">
        <f t="shared" si="3"/>
        <v>8802242919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005010500098146000KD</v>
      </c>
      <c r="B92" s="11" t="str">
        <f>P5</f>
        <v>PN. Lamongan</v>
      </c>
      <c r="C92" s="12" t="str">
        <f>A92&amp;" "&amp;B92</f>
        <v>005010500098146000KD PN. Lamongan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889755</v>
      </c>
      <c r="E95" s="25">
        <f>SUMIFS('Daftar Koreksi'!$H$5:$H$92,'Daftar Koreksi'!$D$5:$D$92,'0500'!A92,'Daftar Koreksi'!$G$5:$G$92,"Persediaan",'Daftar Koreksi'!$H$5:$H$92,"&gt;0")</f>
        <v>0</v>
      </c>
      <c r="F95" s="25">
        <f>SUMIFS('Daftar Koreksi'!$H$5:$H$92,'Daftar Koreksi'!$D$5:$D$92,'0500'!A92,'Daftar Koreksi'!$G$5:$G$92,"Persediaan",'Daftar Koreksi'!$H$5:$H$92,"&lt;0")-SUMIFS('Daftar Koreksi'!$H$5:$H$92,'Daftar Koreksi'!$D$5:$D$92,'0500'!A92,'Daftar Koreksi'!$G$5:$G$92,"Persediaan",'Daftar Koreksi'!$H$5:$H$92,"&lt;0")-SUMIFS('Daftar Koreksi'!$H$5:$H$92,'Daftar Koreksi'!$D$5:$D$92,'0500'!A92,'Daftar Koreksi'!$G$5:$G$92,"Persediaan",'Daftar Koreksi'!$H$5:$H$92,"&lt;0")</f>
        <v>0</v>
      </c>
      <c r="G95" s="17">
        <f>D95+E95-F95</f>
        <v>889755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3877297220</v>
      </c>
      <c r="E96" s="25">
        <f>SUMIFS('Daftar Koreksi'!$H$5:$H$92,'Daftar Koreksi'!$D$5:$D$92,'0500'!A92,'Daftar Koreksi'!$G$5:$G$92,"Tanah",'Daftar Koreksi'!$H$5:$H$92,"&gt;0")</f>
        <v>0</v>
      </c>
      <c r="F96" s="25">
        <f>SUMIFS('Daftar Koreksi'!$H$5:$H$92,'Daftar Koreksi'!$D$5:$D$92,'0500'!A92,'Daftar Koreksi'!$G$5:$G$92,"Tanah",'Daftar Koreksi'!$H$5:$H$92,"&lt;0")-SUMIFS('Daftar Koreksi'!$H$5:$H$92,'Daftar Koreksi'!$D$5:$D$92,'0500'!A92,'Daftar Koreksi'!$G$5:$G$92,"Tanah",'Daftar Koreksi'!$H$5:$H$92,"&lt;0")-SUMIFS('Daftar Koreksi'!$H$5:$H$92,'Daftar Koreksi'!$D$5:$D$92,'0500'!A92,'Daftar Koreksi'!$G$5:$G$92,"Tanah",'Daftar Koreksi'!$H$5:$H$92,"&lt;0")</f>
        <v>0</v>
      </c>
      <c r="G96" s="17">
        <f t="shared" ref="G96:G112" si="4">D96+E96-F96</f>
        <v>3877297220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1506570238</v>
      </c>
      <c r="E97" s="25">
        <f>SUMIFS('Daftar Koreksi'!$H$5:$H$92,'Daftar Koreksi'!$D$5:$D$92,'0500'!A92,'Daftar Koreksi'!$G$5:$G$92,"Peralatan dan mesin",'Daftar Koreksi'!$H$5:$H$92,"&gt;0")</f>
        <v>0</v>
      </c>
      <c r="F97" s="25">
        <f>SUMIFS('Daftar Koreksi'!$H$5:$H$92,'Daftar Koreksi'!$D$5:$D$92,'0500'!A92,'Daftar Koreksi'!$G$5:$G$92,"Peralatan dan mesin",'Daftar Koreksi'!$H$5:$H$92,"&lt;0")-SUMIFS('Daftar Koreksi'!$H$5:$H$92,'Daftar Koreksi'!$D$5:$D$92,'0500'!A92,'Daftar Koreksi'!$G$5:$G$92,"Peralatan dan mesin",'Daftar Koreksi'!$H$5:$H$92,"&lt;0")-SUMIFS('Daftar Koreksi'!$H$5:$H$92,'Daftar Koreksi'!$D$5:$D$92,'0500'!A92,'Daftar Koreksi'!$G$5:$G$92,"Peralatan dan mesin",'Daftar Koreksi'!$H$5:$H$92,"&lt;0")</f>
        <v>0</v>
      </c>
      <c r="G97" s="17">
        <f t="shared" si="4"/>
        <v>1506570238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4659274700</v>
      </c>
      <c r="E98" s="25">
        <f>SUMIFS('Daftar Koreksi'!$H$5:$H$92,'Daftar Koreksi'!$D$5:$D$92,'0500'!A92,'Daftar Koreksi'!$G$5:$G$92,"Gedung dan Bangunan",'Daftar Koreksi'!$H$5:$H$92,"&gt;0")</f>
        <v>0</v>
      </c>
      <c r="F98" s="25">
        <f>SUMIFS('Daftar Koreksi'!$H$5:$H$92,'Daftar Koreksi'!$D$5:$D$92,'0500'!A92,'Daftar Koreksi'!$G$5:$G$92,"Gedung dan Bangunan",'Daftar Koreksi'!$H$5:$H$92,"&lt;0")-SUMIFS('Daftar Koreksi'!$H$5:$H$92,'Daftar Koreksi'!$D$5:$D$92,'0500'!A92,'Daftar Koreksi'!$G$5:$G$92,"Gedung dan Bangunan",'Daftar Koreksi'!$H$5:$H$92,"&lt;0")-SUMIFS('Daftar Koreksi'!$H$5:$H$92,'Daftar Koreksi'!$D$5:$D$92,'0500'!A92,'Daftar Koreksi'!$G$5:$G$92,"Gedung dan Bangunan",'Daftar Koreksi'!$H$5:$H$92,"&lt;0")</f>
        <v>0</v>
      </c>
      <c r="G98" s="17">
        <f t="shared" si="4"/>
        <v>4659274700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64476000</v>
      </c>
      <c r="E99" s="25">
        <f>SUMIFS('Daftar Koreksi'!$H$5:$H$92,'Daftar Koreksi'!$D$5:$D$92,'0500'!A92,'Daftar Koreksi'!$G$5:$G$92,"Jalan Irigasi Jaringan",'Daftar Koreksi'!$H$5:$H$92,"&gt;0")</f>
        <v>0</v>
      </c>
      <c r="F99" s="25">
        <f>SUMIFS('Daftar Koreksi'!$H$5:$H$92,'Daftar Koreksi'!$D$5:$D$92,'0500'!A92,'Daftar Koreksi'!$G$5:$G$92,"Jalan Irigasi Jaringan",'Daftar Koreksi'!$H$5:$H$92,"&lt;0")-SUMIFS('Daftar Koreksi'!$H$5:$H$92,'Daftar Koreksi'!$D$5:$D$92,'0500'!A92,'Daftar Koreksi'!$G$5:$G$92,"Jalan Irigasi Jaringan",'Daftar Koreksi'!$H$5:$H$92,"&lt;0")-SUMIFS('Daftar Koreksi'!$H$5:$H$92,'Daftar Koreksi'!$D$5:$D$92,'0500'!A92,'Daftar Koreksi'!$G$5:$G$92,"Jalan Irigasi Jaringan",'Daftar Koreksi'!$H$5:$H$92,"&lt;0")</f>
        <v>0</v>
      </c>
      <c r="G99" s="17">
        <f t="shared" si="4"/>
        <v>64476000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241539261</v>
      </c>
      <c r="E100" s="25">
        <f>SUMIFS('Daftar Koreksi'!$H$5:$H$92,'Daftar Koreksi'!$D$5:$D$92,'0500'!A92,'Daftar Koreksi'!$G$5:$G$92,"Aset Tetap Lainnya",'Daftar Koreksi'!$H$5:$H$92,"&gt;0")</f>
        <v>0</v>
      </c>
      <c r="F100" s="25">
        <f>SUMIFS('Daftar Koreksi'!$H$5:$H$92,'Daftar Koreksi'!$D$5:$D$92,'0500'!A92,'Daftar Koreksi'!$G$5:$G$92,"Aset Tetap Lainnya",'Daftar Koreksi'!$H$5:$H$92,"&lt;0")-SUMIFS('Daftar Koreksi'!$H$5:$H$92,'Daftar Koreksi'!$D$5:$D$92,'0500'!A92,'Daftar Koreksi'!$G$5:$G$92,"Aset Tetap Lainnya",'Daftar Koreksi'!$H$5:$H$92,"&lt;0")-SUMIFS('Daftar Koreksi'!$H$5:$H$92,'Daftar Koreksi'!$D$5:$D$92,'0500'!A92,'Daftar Koreksi'!$G$5:$G$92,"Aset Tetap Lainnya",'Daftar Koreksi'!$H$5:$H$92,"&lt;0")</f>
        <v>0</v>
      </c>
      <c r="G100" s="17">
        <f t="shared" si="4"/>
        <v>241539261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Koreksi'!$D$5:$D$92,'0500'!A92,'Daftar Koreksi'!$G$5:$G$92,"Kontruksi Dalam Pengerjaan",'Daftar Koreksi'!$H$5:$H$92,"&gt;0")</f>
        <v>0</v>
      </c>
      <c r="F101" s="25">
        <f>SUMIFS('Daftar Koreksi'!$H$5:$H$92,'Daftar Koreksi'!$D$5:$D$92,'0500'!A92,'Daftar Koreksi'!$G$5:$G$92,"Kontruksi Dalam Pengerjaan",'Daftar Koreksi'!$H$5:$H$92,"&lt;0")-SUMIFS('Daftar Koreksi'!$H$5:$H$92,'Daftar Koreksi'!$D$5:$D$92,'0500'!A92,'Daftar Koreksi'!$G$5:$G$92,"Kontruksi Dalam Pengerjaan",'Daftar Koreksi'!$H$5:$H$92,"&lt;0")-SUMIFS('Daftar Koreksi'!$H$5:$H$92,'Daftar Koreksi'!$D$5:$D$92,'0500'!A92,'Daftar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Koreksi'!$D$5:$D$92,'0500'!A92,'Daftar Koreksi'!$G$5:$G$92,"Aset Tak Berwujud",'Daftar Koreksi'!$H$5:$H$92,"&gt;0")</f>
        <v>0</v>
      </c>
      <c r="F102" s="25">
        <f>SUMIFS('Daftar Koreksi'!$H$5:$H$92,'Daftar Koreksi'!$D$5:$D$92,'0500'!A92,'Daftar Koreksi'!$G$5:$G$92,"Aset Tak Berwujud",'Daftar Koreksi'!$H$5:$H$92,"&lt;0")-SUMIFS('Daftar Koreksi'!$H$5:$H$92,'Daftar Koreksi'!$D$5:$D$92,'0500'!A92,'Daftar Koreksi'!$G$5:$G$92,"Aset Tak Berwujud",'Daftar Koreksi'!$H$5:$H$92,"&lt;0")-SUMIFS('Daftar Koreksi'!$H$5:$H$92,'Daftar Koreksi'!$D$5:$D$92,'0500'!A92,'Daftar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120458500</v>
      </c>
      <c r="E103" s="25">
        <f>SUMIFS('Daftar Koreksi'!$H$5:$H$92,'Daftar Koreksi'!$D$5:$D$92,'0500'!A92,'Daftar Koreksi'!$G$5:$G$92,"Aset Henti Guna",'Daftar Koreksi'!$H$5:$H$92,"&gt;0")</f>
        <v>0</v>
      </c>
      <c r="F103" s="25">
        <f>SUMIFS('Daftar Koreksi'!$H$5:$H$92,'Daftar Koreksi'!$D$5:$D$92,'0500'!A92,'Daftar Koreksi'!$G$5:$G$92,"Aset Henti Guna",'Daftar Koreksi'!$H$5:$H$92,"&lt;0")-SUMIFS('Daftar Koreksi'!$H$5:$H$92,'Daftar Koreksi'!$D$5:$D$92,'0500'!A92,'Daftar Koreksi'!$G$5:$G$92,"Aset Henti Guna",'Daftar Koreksi'!$H$5:$H$92,"&lt;0")-SUMIFS('Daftar Koreksi'!$H$5:$H$92,'Daftar Koreksi'!$D$5:$D$92,'0500'!A92,'Daftar Koreksi'!$G$5:$G$92,"Aset Henti Guna",'Daftar Koreksi'!$H$5:$H$92,"&lt;0")</f>
        <v>0</v>
      </c>
      <c r="G103" s="17">
        <f t="shared" si="4"/>
        <v>120458500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10470505674</v>
      </c>
      <c r="E104" s="19">
        <f>SUM(E95:E103)</f>
        <v>0</v>
      </c>
      <c r="F104" s="19">
        <f>SUM(F95:F103)</f>
        <v>0</v>
      </c>
      <c r="G104" s="19">
        <f t="shared" si="4"/>
        <v>10470505674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-1373028379</v>
      </c>
      <c r="E105" s="25">
        <f>SUMIFS('Daftar Koreksi'!$I$5:$I$92,'Daftar Koreksi'!$D$5:$D$92,'0500'!A92,'Daftar Koreksi'!$G$5:$G$92,"Peralatan dan mesin",'Daftar Koreksi'!$I$5:$I$92,"&gt;0")</f>
        <v>0</v>
      </c>
      <c r="F105" s="25">
        <f>SUMIFS('Daftar Koreksi'!$I$5:$I$92,'Daftar Koreksi'!$D$5:$D$92,'0500'!A92,'Daftar Koreksi'!$G$5:$G$92,"Peralatan dan mesin",'Daftar Koreksi'!$I$5:$I$92,"&lt;0")-SUMIFS('Daftar Koreksi'!$I$5:$I$92,'Daftar Koreksi'!$D$5:$D$92,'0500'!A92,'Daftar Koreksi'!$G$5:$G$92,"Peralatan dan mesin",'Daftar Koreksi'!$I$5:$I$92,"&lt;0")-SUMIFS('Daftar Koreksi'!$I$5:$I$92,'Daftar Koreksi'!$D$5:$D$92,'0500'!A92,'Daftar Koreksi'!$G$5:$G$92,"Peralatan dan mesin",'Daftar Koreksi'!$I$5:$I$92,"&lt;0")</f>
        <v>0</v>
      </c>
      <c r="G105" s="17">
        <f t="shared" si="4"/>
        <v>-1373028379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-2939704327</v>
      </c>
      <c r="E106" s="25">
        <f>SUMIFS('Daftar Koreksi'!$I$5:$I$92,'Daftar Koreksi'!$D$5:$D$92,'0500'!A92,'Daftar Koreksi'!$G$5:$G$92,"Gedung dan Bangunan",'Daftar Koreksi'!$I$5:$I$92,"&gt;0")</f>
        <v>0</v>
      </c>
      <c r="F106" s="25">
        <f>SUMIFS('Daftar Koreksi'!$I$5:$I$92,'Daftar Koreksi'!$D$5:$D$92,'0500'!A92,'Daftar Koreksi'!$G$5:$G$92,"Gedung dan Bangunan",'Daftar Koreksi'!$I$5:$I$92,"&lt;0")-SUMIFS('Daftar Koreksi'!$I$5:$I$92,'Daftar Koreksi'!$D$5:$D$92,'0500'!A92,'Daftar Koreksi'!$G$5:$G$92,"Gedung dan Bangunan",'Daftar Koreksi'!$I$5:$I$92,"&lt;0")-SUMIFS('Daftar Koreksi'!$I$5:$I$92,'Daftar Koreksi'!$D$5:$D$92,'0500'!A92,'Daftar Koreksi'!$G$5:$G$92,"Gedung dan Bangunan",'Daftar Koreksi'!$I$5:$I$92,"&lt;0")</f>
        <v>0</v>
      </c>
      <c r="G106" s="17">
        <f t="shared" si="4"/>
        <v>-2939704327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-8186400</v>
      </c>
      <c r="E107" s="25">
        <f>SUMIFS('Daftar Koreksi'!$I$5:$I$92,'Daftar Koreksi'!$D$5:$D$92,'0500'!A92,'Daftar Koreksi'!$G$5:$G$92,"Jalan Irigasi Jaringan",'Daftar Koreksi'!$I$5:$I$92,"&gt;0")</f>
        <v>0</v>
      </c>
      <c r="F107" s="25">
        <f>SUMIFS('Daftar Koreksi'!$I$5:$I$92,'Daftar Koreksi'!$D$5:$D$92,'0500'!A92,'Daftar Koreksi'!$G$5:$G$92,"Jalan Irigasi Jaringan",'Daftar Koreksi'!$I$5:$I$92,"&lt;0")-SUMIFS('Daftar Koreksi'!$I$5:$I$92,'Daftar Koreksi'!$D$5:$D$92,'0500'!A92,'Daftar Koreksi'!$G$5:$G$92,"Jalan Irigasi Jaringan",'Daftar Koreksi'!$I$5:$I$92,"&lt;0")-SUMIFS('Daftar Koreksi'!$I$5:$I$92,'Daftar Koreksi'!$D$5:$D$92,'0500'!A92,'Daftar Koreksi'!$G$5:$G$92,"Jalan Irigasi Jaringan",'Daftar Koreksi'!$I$5:$I$92,"&lt;0")</f>
        <v>0</v>
      </c>
      <c r="G107" s="17">
        <f t="shared" si="4"/>
        <v>-8186400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Koreksi'!$D$5:$D$92,'0500'!A92,'Daftar Koreksi'!$G$5:$G$92,"Aset Tetap Lainnya",'Daftar Koreksi'!$I$5:$I$92,"&gt;0")</f>
        <v>0</v>
      </c>
      <c r="F108" s="25">
        <f>SUMIFS('Daftar Koreksi'!$I$5:$I$92,'Daftar Koreksi'!$D$5:$D$92,'0500'!A92,'Daftar Koreksi'!$G$5:$G$92,"Aset Tetap Lainnya",'Daftar Koreksi'!$I$5:$I$92,"&lt;0")-SUMIFS('Daftar Koreksi'!$I$5:$I$92,'Daftar Koreksi'!$D$5:$D$92,'0500'!A92,'Daftar Koreksi'!$G$5:$G$92,"Aset Tetap Lainnya",'Daftar Koreksi'!$I$5:$I$92,"&lt;0")-SUMIFS('Daftar Koreksi'!$I$5:$I$92,'Daftar Koreksi'!$D$5:$D$92,'0500'!A92,'Daftar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-120458500</v>
      </c>
      <c r="E109" s="25">
        <f>SUMIFS('Daftar Koreksi'!$I$5:$I$92,'Daftar Koreksi'!$D$5:$D$92,'0500'!A92,'Daftar Koreksi'!$G$5:$G$92,"Aset Henti Guna",'Daftar Koreksi'!$I$5:$I$92,"&gt;0")</f>
        <v>0</v>
      </c>
      <c r="F109" s="25">
        <f>SUMIFS('Daftar Koreksi'!$I$5:$I$92,'Daftar Koreksi'!$D$5:$D$92,'0500'!A92,'Daftar Koreksi'!$G$5:$G$92,"Aset Henti Guna",'Daftar Koreksi'!$I$5:$I$92,"&lt;0")-SUMIFS('Daftar Koreksi'!$I$5:$I$92,'Daftar Koreksi'!$D$5:$D$92,'0500'!A92,'Daftar Koreksi'!$G$5:$G$92,"Aset Henti Guna",'Daftar Koreksi'!$I$5:$I$92,"&lt;0")-SUMIFS('Daftar Koreksi'!$I$5:$I$92,'Daftar Koreksi'!$D$5:$D$92,'0500'!A92,'Daftar Koreksi'!$G$5:$G$92,"Aset Henti Guna",'Daftar Koreksi'!$I$5:$I$92,"&lt;0")</f>
        <v>0</v>
      </c>
      <c r="G109" s="17">
        <f t="shared" si="4"/>
        <v>-120458500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-4441377606</v>
      </c>
      <c r="E110" s="19">
        <f>SUM(E105:E109)</f>
        <v>0</v>
      </c>
      <c r="F110" s="19">
        <f>SUM(F105:F109)</f>
        <v>0</v>
      </c>
      <c r="G110" s="19">
        <f t="shared" si="4"/>
        <v>-4441377606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6029128068</v>
      </c>
      <c r="E111" s="19">
        <f>E110+E104</f>
        <v>0</v>
      </c>
      <c r="F111" s="19">
        <f>F110+F104</f>
        <v>0</v>
      </c>
      <c r="G111" s="19">
        <f t="shared" si="4"/>
        <v>6029128068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005010500098150000KD</v>
      </c>
      <c r="B114" s="11" t="str">
        <f>P6</f>
        <v>PN. Gresik</v>
      </c>
      <c r="C114" s="12" t="str">
        <f>A114&amp;" "&amp;B114</f>
        <v>005010500098150000KD PN. Gresik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48000</v>
      </c>
      <c r="E117" s="25">
        <f>SUMIFS('Daftar Koreksi'!$H$5:$H$92,'Daftar Koreksi'!$D$5:$D$92,'0500'!A114,'Daftar Koreksi'!$G$5:$G$92,"Persediaan",'Daftar Koreksi'!$H$5:$H$92,"&gt;0")</f>
        <v>0</v>
      </c>
      <c r="F117" s="25">
        <f>SUMIFS('Daftar Koreksi'!$H$5:$H$92,'Daftar Koreksi'!$D$5:$D$92,'0500'!A114,'Daftar Koreksi'!$G$5:$G$92,"Persediaan",'Daftar Koreksi'!$H$5:$H$92,"&lt;0")-SUMIFS('Daftar Koreksi'!$H$5:$H$92,'Daftar Koreksi'!$D$5:$D$92,'0500'!A114,'Daftar Koreksi'!$G$5:$G$92,"Persediaan",'Daftar Koreksi'!$H$5:$H$92,"&lt;0")-SUMIFS('Daftar Koreksi'!$H$5:$H$92,'Daftar Koreksi'!$D$5:$D$92,'0500'!A114,'Daftar Koreksi'!$G$5:$G$92,"Persediaan",'Daftar Koreksi'!$H$5:$H$92,"&lt;0")</f>
        <v>0</v>
      </c>
      <c r="G117" s="17">
        <f>D117+E117-F117</f>
        <v>48000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9485952750</v>
      </c>
      <c r="E118" s="25">
        <f>SUMIFS('Daftar Koreksi'!$H$5:$H$92,'Daftar Koreksi'!$D$5:$D$92,'0500'!A114,'Daftar Koreksi'!$G$5:$G$92,"Tanah",'Daftar Koreksi'!$H$5:$H$92,"&gt;0")</f>
        <v>0</v>
      </c>
      <c r="F118" s="25">
        <f>SUMIFS('Daftar Koreksi'!$H$5:$H$92,'Daftar Koreksi'!$D$5:$D$92,'0500'!A114,'Daftar Koreksi'!$G$5:$G$92,"Tanah",'Daftar Koreksi'!$H$5:$H$92,"&lt;0")-SUMIFS('Daftar Koreksi'!$H$5:$H$92,'Daftar Koreksi'!$D$5:$D$92,'0500'!A114,'Daftar Koreksi'!$G$5:$G$92,"Tanah",'Daftar Koreksi'!$H$5:$H$92,"&lt;0")-SUMIFS('Daftar Koreksi'!$H$5:$H$92,'Daftar Koreksi'!$D$5:$D$92,'0500'!A114,'Daftar Koreksi'!$G$5:$G$92,"Tanah",'Daftar Koreksi'!$H$5:$H$92,"&lt;0")</f>
        <v>0</v>
      </c>
      <c r="G118" s="17">
        <f t="shared" ref="G118:G134" si="5">D118+E118-F118</f>
        <v>9485952750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2811748537</v>
      </c>
      <c r="E119" s="25">
        <f>SUMIFS('Daftar Koreksi'!$H$5:$H$92,'Daftar Koreksi'!$D$5:$D$92,'0500'!A114,'Daftar Koreksi'!$G$5:$G$92,"Peralatan dan mesin",'Daftar Koreksi'!$H$5:$H$92,"&gt;0")</f>
        <v>0</v>
      </c>
      <c r="F119" s="25">
        <f>SUMIFS('Daftar Koreksi'!$H$5:$H$92,'Daftar Koreksi'!$D$5:$D$92,'0500'!A114,'Daftar Koreksi'!$G$5:$G$92,"Peralatan dan mesin",'Daftar Koreksi'!$H$5:$H$92,"&lt;0")-SUMIFS('Daftar Koreksi'!$H$5:$H$92,'Daftar Koreksi'!$D$5:$D$92,'0500'!A114,'Daftar Koreksi'!$G$5:$G$92,"Peralatan dan mesin",'Daftar Koreksi'!$H$5:$H$92,"&lt;0")-SUMIFS('Daftar Koreksi'!$H$5:$H$92,'Daftar Koreksi'!$D$5:$D$92,'0500'!A114,'Daftar Koreksi'!$G$5:$G$92,"Peralatan dan mesin",'Daftar Koreksi'!$H$5:$H$92,"&lt;0")</f>
        <v>0</v>
      </c>
      <c r="G119" s="17">
        <f t="shared" si="5"/>
        <v>2811748537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13388590300</v>
      </c>
      <c r="E120" s="25">
        <f>SUMIFS('Daftar Koreksi'!$H$5:$H$92,'Daftar Koreksi'!$D$5:$D$92,'0500'!A114,'Daftar Koreksi'!$G$5:$G$92,"Gedung dan Bangunan",'Daftar Koreksi'!$H$5:$H$92,"&gt;0")</f>
        <v>0</v>
      </c>
      <c r="F120" s="25">
        <f>SUMIFS('Daftar Koreksi'!$H$5:$H$92,'Daftar Koreksi'!$D$5:$D$92,'0500'!A114,'Daftar Koreksi'!$G$5:$G$92,"Gedung dan Bangunan",'Daftar Koreksi'!$H$5:$H$92,"&lt;0")-SUMIFS('Daftar Koreksi'!$H$5:$H$92,'Daftar Koreksi'!$D$5:$D$92,'0500'!A114,'Daftar Koreksi'!$G$5:$G$92,"Gedung dan Bangunan",'Daftar Koreksi'!$H$5:$H$92,"&lt;0")-SUMIFS('Daftar Koreksi'!$H$5:$H$92,'Daftar Koreksi'!$D$5:$D$92,'0500'!A114,'Daftar Koreksi'!$G$5:$G$92,"Gedung dan Bangunan",'Daftar Koreksi'!$H$5:$H$92,"&lt;0")</f>
        <v>0</v>
      </c>
      <c r="G120" s="17">
        <f t="shared" si="5"/>
        <v>13388590300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63722200</v>
      </c>
      <c r="E121" s="25">
        <f>SUMIFS('Daftar Koreksi'!$H$5:$H$92,'Daftar Koreksi'!$D$5:$D$92,'0500'!A114,'Daftar Koreksi'!$G$5:$G$92,"Jalan Irigasi Jaringan",'Daftar Koreksi'!$H$5:$H$92,"&gt;0")</f>
        <v>0</v>
      </c>
      <c r="F121" s="25">
        <f>SUMIFS('Daftar Koreksi'!$H$5:$H$92,'Daftar Koreksi'!$D$5:$D$92,'0500'!A114,'Daftar Koreksi'!$G$5:$G$92,"Jalan Irigasi Jaringan",'Daftar Koreksi'!$H$5:$H$92,"&lt;0")-SUMIFS('Daftar Koreksi'!$H$5:$H$92,'Daftar Koreksi'!$D$5:$D$92,'0500'!A114,'Daftar Koreksi'!$G$5:$G$92,"Jalan Irigasi Jaringan",'Daftar Koreksi'!$H$5:$H$92,"&lt;0")-SUMIFS('Daftar Koreksi'!$H$5:$H$92,'Daftar Koreksi'!$D$5:$D$92,'0500'!A114,'Daftar Koreksi'!$G$5:$G$92,"Jalan Irigasi Jaringan",'Daftar Koreksi'!$H$5:$H$92,"&lt;0")</f>
        <v>0</v>
      </c>
      <c r="G121" s="17">
        <f t="shared" si="5"/>
        <v>63722200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138480062</v>
      </c>
      <c r="E122" s="25">
        <f>SUMIFS('Daftar Koreksi'!$H$5:$H$92,'Daftar Koreksi'!$D$5:$D$92,'0500'!A114,'Daftar Koreksi'!$G$5:$G$92,"Aset Tetap Lainnya",'Daftar Koreksi'!$H$5:$H$92,"&gt;0")</f>
        <v>0</v>
      </c>
      <c r="F122" s="25">
        <f>SUMIFS('Daftar Koreksi'!$H$5:$H$92,'Daftar Koreksi'!$D$5:$D$92,'0500'!A114,'Daftar Koreksi'!$G$5:$G$92,"Aset Tetap Lainnya",'Daftar Koreksi'!$H$5:$H$92,"&lt;0")-SUMIFS('Daftar Koreksi'!$H$5:$H$92,'Daftar Koreksi'!$D$5:$D$92,'0500'!A114,'Daftar Koreksi'!$G$5:$G$92,"Aset Tetap Lainnya",'Daftar Koreksi'!$H$5:$H$92,"&lt;0")-SUMIFS('Daftar Koreksi'!$H$5:$H$92,'Daftar Koreksi'!$D$5:$D$92,'0500'!A114,'Daftar Koreksi'!$G$5:$G$92,"Aset Tetap Lainnya",'Daftar Koreksi'!$H$5:$H$92,"&lt;0")</f>
        <v>0</v>
      </c>
      <c r="G122" s="17">
        <f t="shared" si="5"/>
        <v>138480062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Koreksi'!$D$5:$D$92,'0500'!A114,'Daftar Koreksi'!$G$5:$G$92,"Kontruksi Dalam Pengerjaan",'Daftar Koreksi'!$H$5:$H$92,"&gt;0")</f>
        <v>0</v>
      </c>
      <c r="F123" s="25">
        <f>SUMIFS('Daftar Koreksi'!$H$5:$H$92,'Daftar Koreksi'!$D$5:$D$92,'0500'!A114,'Daftar Koreksi'!$G$5:$G$92,"Kontruksi Dalam Pengerjaan",'Daftar Koreksi'!$H$5:$H$92,"&lt;0")-SUMIFS('Daftar Koreksi'!$H$5:$H$92,'Daftar Koreksi'!$D$5:$D$92,'0500'!A114,'Daftar Koreksi'!$G$5:$G$92,"Kontruksi Dalam Pengerjaan",'Daftar Koreksi'!$H$5:$H$92,"&lt;0")-SUMIFS('Daftar Koreksi'!$H$5:$H$92,'Daftar Koreksi'!$D$5:$D$92,'0500'!A114,'Daftar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Koreksi'!$D$5:$D$92,'0500'!A114,'Daftar Koreksi'!$G$5:$G$92,"Aset Tak Berwujud",'Daftar Koreksi'!$H$5:$H$92,"&gt;0")</f>
        <v>0</v>
      </c>
      <c r="F124" s="25">
        <f>SUMIFS('Daftar Koreksi'!$H$5:$H$92,'Daftar Koreksi'!$D$5:$D$92,'0500'!A114,'Daftar Koreksi'!$G$5:$G$92,"Aset Tak Berwujud",'Daftar Koreksi'!$H$5:$H$92,"&lt;0")-SUMIFS('Daftar Koreksi'!$H$5:$H$92,'Daftar Koreksi'!$D$5:$D$92,'0500'!A114,'Daftar Koreksi'!$G$5:$G$92,"Aset Tak Berwujud",'Daftar Koreksi'!$H$5:$H$92,"&lt;0")-SUMIFS('Daftar Koreksi'!$H$5:$H$92,'Daftar Koreksi'!$D$5:$D$92,'0500'!A114,'Daftar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68000</v>
      </c>
      <c r="E125" s="25">
        <f>SUMIFS('Daftar Koreksi'!$H$5:$H$92,'Daftar Koreksi'!$D$5:$D$92,'0500'!A114,'Daftar Koreksi'!$G$5:$G$92,"Aset Henti Guna",'Daftar Koreksi'!$H$5:$H$92,"&gt;0")</f>
        <v>0</v>
      </c>
      <c r="F125" s="25">
        <f>SUMIFS('Daftar Koreksi'!$H$5:$H$92,'Daftar Koreksi'!$D$5:$D$92,'0500'!A114,'Daftar Koreksi'!$G$5:$G$92,"Aset Henti Guna",'Daftar Koreksi'!$H$5:$H$92,"&lt;0")-SUMIFS('Daftar Koreksi'!$H$5:$H$92,'Daftar Koreksi'!$D$5:$D$92,'0500'!A114,'Daftar Koreksi'!$G$5:$G$92,"Aset Henti Guna",'Daftar Koreksi'!$H$5:$H$92,"&lt;0")-SUMIFS('Daftar Koreksi'!$H$5:$H$92,'Daftar Koreksi'!$D$5:$D$92,'0500'!A114,'Daftar Koreksi'!$G$5:$G$92,"Aset Henti Guna",'Daftar Koreksi'!$H$5:$H$92,"&lt;0")</f>
        <v>0</v>
      </c>
      <c r="G125" s="17">
        <f t="shared" si="5"/>
        <v>68000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25888609849</v>
      </c>
      <c r="E126" s="19">
        <f>SUM(E117:E125)</f>
        <v>0</v>
      </c>
      <c r="F126" s="19">
        <f>SUM(F117:F125)</f>
        <v>0</v>
      </c>
      <c r="G126" s="19">
        <f t="shared" si="5"/>
        <v>25888609849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-2045383127</v>
      </c>
      <c r="E127" s="25">
        <f>SUMIFS('Daftar Koreksi'!$I$5:$I$92,'Daftar Koreksi'!$D$5:$D$92,'0500'!A114,'Daftar Koreksi'!$G$5:$G$92,"Peralatan dan mesin",'Daftar Koreksi'!$I$5:$I$92,"&gt;0")</f>
        <v>0</v>
      </c>
      <c r="F127" s="25">
        <f>SUMIFS('Daftar Koreksi'!$I$5:$I$92,'Daftar Koreksi'!$D$5:$D$92,'0500'!A114,'Daftar Koreksi'!$G$5:$G$92,"Peralatan dan mesin",'Daftar Koreksi'!$I$5:$I$92,"&lt;0")-SUMIFS('Daftar Koreksi'!$I$5:$I$92,'Daftar Koreksi'!$D$5:$D$92,'0500'!A114,'Daftar Koreksi'!$G$5:$G$92,"Peralatan dan mesin",'Daftar Koreksi'!$I$5:$I$92,"&lt;0")-SUMIFS('Daftar Koreksi'!$I$5:$I$92,'Daftar Koreksi'!$D$5:$D$92,'0500'!A114,'Daftar Koreksi'!$G$5:$G$92,"Peralatan dan mesin",'Daftar Koreksi'!$I$5:$I$92,"&lt;0")</f>
        <v>0</v>
      </c>
      <c r="G127" s="17">
        <f t="shared" si="5"/>
        <v>-2045383127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-1000469554</v>
      </c>
      <c r="E128" s="25">
        <f>SUMIFS('Daftar Koreksi'!$I$5:$I$92,'Daftar Koreksi'!$D$5:$D$92,'0500'!A114,'Daftar Koreksi'!$G$5:$G$92,"Gedung dan Bangunan",'Daftar Koreksi'!$I$5:$I$92,"&gt;0")</f>
        <v>0</v>
      </c>
      <c r="F128" s="25">
        <f>SUMIFS('Daftar Koreksi'!$I$5:$I$92,'Daftar Koreksi'!$D$5:$D$92,'0500'!A114,'Daftar Koreksi'!$G$5:$G$92,"Gedung dan Bangunan",'Daftar Koreksi'!$I$5:$I$92,"&lt;0")-SUMIFS('Daftar Koreksi'!$I$5:$I$92,'Daftar Koreksi'!$D$5:$D$92,'0500'!A114,'Daftar Koreksi'!$G$5:$G$92,"Gedung dan Bangunan",'Daftar Koreksi'!$I$5:$I$92,"&lt;0")-SUMIFS('Daftar Koreksi'!$I$5:$I$92,'Daftar Koreksi'!$D$5:$D$92,'0500'!A114,'Daftar Koreksi'!$G$5:$G$92,"Gedung dan Bangunan",'Daftar Koreksi'!$I$5:$I$92,"&lt;0")</f>
        <v>0</v>
      </c>
      <c r="G128" s="17">
        <f t="shared" si="5"/>
        <v>-1000469554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-17473538</v>
      </c>
      <c r="E129" s="25">
        <f>SUMIFS('Daftar Koreksi'!$I$5:$I$92,'Daftar Koreksi'!$D$5:$D$92,'0500'!A114,'Daftar Koreksi'!$G$5:$G$92,"Jalan Irigasi Jaringan",'Daftar Koreksi'!$I$5:$I$92,"&gt;0")</f>
        <v>0</v>
      </c>
      <c r="F129" s="25">
        <f>SUMIFS('Daftar Koreksi'!$I$5:$I$92,'Daftar Koreksi'!$D$5:$D$92,'0500'!A114,'Daftar Koreksi'!$G$5:$G$92,"Jalan Irigasi Jaringan",'Daftar Koreksi'!$I$5:$I$92,"&lt;0")-SUMIFS('Daftar Koreksi'!$I$5:$I$92,'Daftar Koreksi'!$D$5:$D$92,'0500'!A114,'Daftar Koreksi'!$G$5:$G$92,"Jalan Irigasi Jaringan",'Daftar Koreksi'!$I$5:$I$92,"&lt;0")-SUMIFS('Daftar Koreksi'!$I$5:$I$92,'Daftar Koreksi'!$D$5:$D$92,'0500'!A114,'Daftar Koreksi'!$G$5:$G$92,"Jalan Irigasi Jaringan",'Daftar Koreksi'!$I$5:$I$92,"&lt;0")</f>
        <v>0</v>
      </c>
      <c r="G129" s="17">
        <f t="shared" si="5"/>
        <v>-17473538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Koreksi'!$D$5:$D$92,'0500'!A114,'Daftar Koreksi'!$G$5:$G$92,"Aset Tetap Lainnya",'Daftar Koreksi'!$I$5:$I$92,"&gt;0")</f>
        <v>0</v>
      </c>
      <c r="F130" s="25">
        <f>SUMIFS('Daftar Koreksi'!$I$5:$I$92,'Daftar Koreksi'!$D$5:$D$92,'0500'!A114,'Daftar Koreksi'!$G$5:$G$92,"Aset Tetap Lainnya",'Daftar Koreksi'!$I$5:$I$92,"&lt;0")-SUMIFS('Daftar Koreksi'!$I$5:$I$92,'Daftar Koreksi'!$D$5:$D$92,'0500'!A114,'Daftar Koreksi'!$G$5:$G$92,"Aset Tetap Lainnya",'Daftar Koreksi'!$I$5:$I$92,"&lt;0")-SUMIFS('Daftar Koreksi'!$I$5:$I$92,'Daftar Koreksi'!$D$5:$D$92,'0500'!A114,'Daftar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-68000</v>
      </c>
      <c r="E131" s="25">
        <f>SUMIFS('Daftar Koreksi'!$I$5:$I$92,'Daftar Koreksi'!$D$5:$D$92,'0500'!A114,'Daftar Koreksi'!$G$5:$G$92,"Aset Henti Guna",'Daftar Koreksi'!$I$5:$I$92,"&gt;0")</f>
        <v>0</v>
      </c>
      <c r="F131" s="25">
        <f>SUMIFS('Daftar Koreksi'!$I$5:$I$92,'Daftar Koreksi'!$D$5:$D$92,'0500'!A114,'Daftar Koreksi'!$G$5:$G$92,"Aset Henti Guna",'Daftar Koreksi'!$I$5:$I$92,"&lt;0")-SUMIFS('Daftar Koreksi'!$I$5:$I$92,'Daftar Koreksi'!$D$5:$D$92,'0500'!A114,'Daftar Koreksi'!$G$5:$G$92,"Aset Henti Guna",'Daftar Koreksi'!$I$5:$I$92,"&lt;0")-SUMIFS('Daftar Koreksi'!$I$5:$I$92,'Daftar Koreksi'!$D$5:$D$92,'0500'!A114,'Daftar Koreksi'!$G$5:$G$92,"Aset Henti Guna",'Daftar Koreksi'!$I$5:$I$92,"&lt;0")</f>
        <v>0</v>
      </c>
      <c r="G131" s="17">
        <f t="shared" si="5"/>
        <v>-68000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-3063394219</v>
      </c>
      <c r="E132" s="19">
        <f>SUM(E127:E131)</f>
        <v>0</v>
      </c>
      <c r="F132" s="19">
        <f>SUM(F127:F131)</f>
        <v>0</v>
      </c>
      <c r="G132" s="19">
        <f t="shared" si="5"/>
        <v>-3063394219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22825215630</v>
      </c>
      <c r="E133" s="19">
        <f>E132+E126</f>
        <v>0</v>
      </c>
      <c r="F133" s="19">
        <f>F132+F126</f>
        <v>0</v>
      </c>
      <c r="G133" s="19">
        <f t="shared" si="5"/>
        <v>22825215630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005010500098167000KD</v>
      </c>
      <c r="B136" s="11" t="str">
        <f>P7</f>
        <v>PN. Sidoarjo</v>
      </c>
      <c r="C136" s="12" t="str">
        <f>A136&amp;" "&amp;B136</f>
        <v>005010500098167000KD PN. Sidoarjo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28500</v>
      </c>
      <c r="E139" s="25">
        <f>SUMIFS('Daftar Koreksi'!$H$5:$H$92,'Daftar Koreksi'!$D$5:$D$92,'0500'!A136,'Daftar Koreksi'!$G$5:$G$92,"Persediaan",'Daftar Koreksi'!$H$5:$H$92,"&gt;0")</f>
        <v>0</v>
      </c>
      <c r="F139" s="25">
        <f>SUMIFS('Daftar Koreksi'!$H$5:$H$92,'Daftar Koreksi'!$D$5:$D$92,'0500'!A136,'Daftar Koreksi'!$G$5:$G$92,"Persediaan",'Daftar Koreksi'!$H$5:$H$92,"&lt;0")-SUMIFS('Daftar Koreksi'!$H$5:$H$92,'Daftar Koreksi'!$D$5:$D$92,'0500'!A136,'Daftar Koreksi'!$G$5:$G$92,"Persediaan",'Daftar Koreksi'!$H$5:$H$92,"&lt;0")-SUMIFS('Daftar Koreksi'!$H$5:$H$92,'Daftar Koreksi'!$D$5:$D$92,'0500'!A136,'Daftar Koreksi'!$G$5:$G$92,"Persediaan",'Daftar Koreksi'!$H$5:$H$92,"&lt;0")</f>
        <v>0</v>
      </c>
      <c r="G139" s="17">
        <f>D139+E139-F139</f>
        <v>28500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27053801000</v>
      </c>
      <c r="E140" s="25">
        <f>SUMIFS('Daftar Koreksi'!$H$5:$H$92,'Daftar Koreksi'!$D$5:$D$92,'0500'!A136,'Daftar Koreksi'!$G$5:$G$92,"Tanah",'Daftar Koreksi'!$H$5:$H$92,"&gt;0")</f>
        <v>0</v>
      </c>
      <c r="F140" s="25">
        <f>SUMIFS('Daftar Koreksi'!$H$5:$H$92,'Daftar Koreksi'!$D$5:$D$92,'0500'!A136,'Daftar Koreksi'!$G$5:$G$92,"Tanah",'Daftar Koreksi'!$H$5:$H$92,"&lt;0")-SUMIFS('Daftar Koreksi'!$H$5:$H$92,'Daftar Koreksi'!$D$5:$D$92,'0500'!A136,'Daftar Koreksi'!$G$5:$G$92,"Tanah",'Daftar Koreksi'!$H$5:$H$92,"&lt;0")-SUMIFS('Daftar Koreksi'!$H$5:$H$92,'Daftar Koreksi'!$D$5:$D$92,'0500'!A136,'Daftar Koreksi'!$G$5:$G$92,"Tanah",'Daftar Koreksi'!$H$5:$H$92,"&lt;0")</f>
        <v>0</v>
      </c>
      <c r="G140" s="17">
        <f t="shared" ref="G140:G156" si="6">D140+E140-F140</f>
        <v>27053801000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2727965047</v>
      </c>
      <c r="E141" s="25">
        <f>SUMIFS('Daftar Koreksi'!$H$5:$H$92,'Daftar Koreksi'!$D$5:$D$92,'0500'!A136,'Daftar Koreksi'!$G$5:$G$92,"Peralatan dan mesin",'Daftar Koreksi'!$H$5:$H$92,"&gt;0")</f>
        <v>0</v>
      </c>
      <c r="F141" s="25">
        <f>SUMIFS('Daftar Koreksi'!$H$5:$H$92,'Daftar Koreksi'!$D$5:$D$92,'0500'!A136,'Daftar Koreksi'!$G$5:$G$92,"Peralatan dan mesin",'Daftar Koreksi'!$H$5:$H$92,"&lt;0")-SUMIFS('Daftar Koreksi'!$H$5:$H$92,'Daftar Koreksi'!$D$5:$D$92,'0500'!A136,'Daftar Koreksi'!$G$5:$G$92,"Peralatan dan mesin",'Daftar Koreksi'!$H$5:$H$92,"&lt;0")-SUMIFS('Daftar Koreksi'!$H$5:$H$92,'Daftar Koreksi'!$D$5:$D$92,'0500'!A136,'Daftar Koreksi'!$G$5:$G$92,"Peralatan dan mesin",'Daftar Koreksi'!$H$5:$H$92,"&lt;0")</f>
        <v>0</v>
      </c>
      <c r="G141" s="17">
        <f t="shared" si="6"/>
        <v>2727965047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3321212300</v>
      </c>
      <c r="E142" s="25">
        <f>SUMIFS('Daftar Koreksi'!$H$5:$H$92,'Daftar Koreksi'!$D$5:$D$92,'0500'!A136,'Daftar Koreksi'!$G$5:$G$92,"Gedung dan Bangunan",'Daftar Koreksi'!$H$5:$H$92,"&gt;0")</f>
        <v>0</v>
      </c>
      <c r="F142" s="25">
        <f>SUMIFS('Daftar Koreksi'!$H$5:$H$92,'Daftar Koreksi'!$D$5:$D$92,'0500'!A136,'Daftar Koreksi'!$G$5:$G$92,"Gedung dan Bangunan",'Daftar Koreksi'!$H$5:$H$92,"&lt;0")-SUMIFS('Daftar Koreksi'!$H$5:$H$92,'Daftar Koreksi'!$D$5:$D$92,'0500'!A136,'Daftar Koreksi'!$G$5:$G$92,"Gedung dan Bangunan",'Daftar Koreksi'!$H$5:$H$92,"&lt;0")-SUMIFS('Daftar Koreksi'!$H$5:$H$92,'Daftar Koreksi'!$D$5:$D$92,'0500'!A136,'Daftar Koreksi'!$G$5:$G$92,"Gedung dan Bangunan",'Daftar Koreksi'!$H$5:$H$92,"&lt;0")</f>
        <v>0</v>
      </c>
      <c r="G142" s="17">
        <f t="shared" si="6"/>
        <v>3321212300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Koreksi'!$D$5:$D$92,'0500'!A136,'Daftar Koreksi'!$G$5:$G$92,"Jalan Irigasi Jaringan",'Daftar Koreksi'!$H$5:$H$92,"&gt;0")</f>
        <v>0</v>
      </c>
      <c r="F143" s="25">
        <f>SUMIFS('Daftar Koreksi'!$H$5:$H$92,'Daftar Koreksi'!$D$5:$D$92,'0500'!A136,'Daftar Koreksi'!$G$5:$G$92,"Jalan Irigasi Jaringan",'Daftar Koreksi'!$H$5:$H$92,"&lt;0")-SUMIFS('Daftar Koreksi'!$H$5:$H$92,'Daftar Koreksi'!$D$5:$D$92,'0500'!A136,'Daftar Koreksi'!$G$5:$G$92,"Jalan Irigasi Jaringan",'Daftar Koreksi'!$H$5:$H$92,"&lt;0")-SUMIFS('Daftar Koreksi'!$H$5:$H$92,'Daftar Koreksi'!$D$5:$D$92,'0500'!A136,'Daftar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419429740</v>
      </c>
      <c r="E144" s="25">
        <f>SUMIFS('Daftar Koreksi'!$H$5:$H$92,'Daftar Koreksi'!$D$5:$D$92,'0500'!A136,'Daftar Koreksi'!$G$5:$G$92,"Aset Tetap Lainnya",'Daftar Koreksi'!$H$5:$H$92,"&gt;0")</f>
        <v>0</v>
      </c>
      <c r="F144" s="25">
        <f>SUMIFS('Daftar Koreksi'!$H$5:$H$92,'Daftar Koreksi'!$D$5:$D$92,'0500'!A136,'Daftar Koreksi'!$G$5:$G$92,"Aset Tetap Lainnya",'Daftar Koreksi'!$H$5:$H$92,"&lt;0")-SUMIFS('Daftar Koreksi'!$H$5:$H$92,'Daftar Koreksi'!$D$5:$D$92,'0500'!A136,'Daftar Koreksi'!$G$5:$G$92,"Aset Tetap Lainnya",'Daftar Koreksi'!$H$5:$H$92,"&lt;0")-SUMIFS('Daftar Koreksi'!$H$5:$H$92,'Daftar Koreksi'!$D$5:$D$92,'0500'!A136,'Daftar Koreksi'!$G$5:$G$92,"Aset Tetap Lainnya",'Daftar Koreksi'!$H$5:$H$92,"&lt;0")</f>
        <v>0</v>
      </c>
      <c r="G144" s="17">
        <f t="shared" si="6"/>
        <v>419429740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Koreksi'!$D$5:$D$92,'0500'!A136,'Daftar Koreksi'!$G$5:$G$92,"Kontruksi Dalam Pengerjaan",'Daftar Koreksi'!$H$5:$H$92,"&gt;0")</f>
        <v>0</v>
      </c>
      <c r="F145" s="25">
        <f>SUMIFS('Daftar Koreksi'!$H$5:$H$92,'Daftar Koreksi'!$D$5:$D$92,'0500'!A136,'Daftar Koreksi'!$G$5:$G$92,"Kontruksi Dalam Pengerjaan",'Daftar Koreksi'!$H$5:$H$92,"&lt;0")-SUMIFS('Daftar Koreksi'!$H$5:$H$92,'Daftar Koreksi'!$D$5:$D$92,'0500'!A136,'Daftar Koreksi'!$G$5:$G$92,"Kontruksi Dalam Pengerjaan",'Daftar Koreksi'!$H$5:$H$92,"&lt;0")-SUMIFS('Daftar Koreksi'!$H$5:$H$92,'Daftar Koreksi'!$D$5:$D$92,'0500'!A136,'Daftar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87500000</v>
      </c>
      <c r="E146" s="25">
        <f>SUMIFS('Daftar Koreksi'!$H$5:$H$92,'Daftar Koreksi'!$D$5:$D$92,'0500'!A136,'Daftar Koreksi'!$G$5:$G$92,"Aset Tak Berwujud",'Daftar Koreksi'!$H$5:$H$92,"&gt;0")</f>
        <v>0</v>
      </c>
      <c r="F146" s="25">
        <f>SUMIFS('Daftar Koreksi'!$H$5:$H$92,'Daftar Koreksi'!$D$5:$D$92,'0500'!A136,'Daftar Koreksi'!$G$5:$G$92,"Aset Tak Berwujud",'Daftar Koreksi'!$H$5:$H$92,"&lt;0")-SUMIFS('Daftar Koreksi'!$H$5:$H$92,'Daftar Koreksi'!$D$5:$D$92,'0500'!A136,'Daftar Koreksi'!$G$5:$G$92,"Aset Tak Berwujud",'Daftar Koreksi'!$H$5:$H$92,"&lt;0")-SUMIFS('Daftar Koreksi'!$H$5:$H$92,'Daftar Koreksi'!$D$5:$D$92,'0500'!A136,'Daftar Koreksi'!$G$5:$G$92,"Aset Tak Berwujud",'Daftar Koreksi'!$H$5:$H$92,"&lt;0")</f>
        <v>0</v>
      </c>
      <c r="G146" s="17">
        <f t="shared" si="6"/>
        <v>87500000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2040000</v>
      </c>
      <c r="E147" s="25">
        <f>SUMIFS('Daftar Koreksi'!$H$5:$H$92,'Daftar Koreksi'!$D$5:$D$92,'0500'!A136,'Daftar Koreksi'!$G$5:$G$92,"Aset Henti Guna",'Daftar Koreksi'!$H$5:$H$92,"&gt;0")</f>
        <v>0</v>
      </c>
      <c r="F147" s="25">
        <f>SUMIFS('Daftar Koreksi'!$H$5:$H$92,'Daftar Koreksi'!$D$5:$D$92,'0500'!A136,'Daftar Koreksi'!$G$5:$G$92,"Aset Henti Guna",'Daftar Koreksi'!$H$5:$H$92,"&lt;0")-SUMIFS('Daftar Koreksi'!$H$5:$H$92,'Daftar Koreksi'!$D$5:$D$92,'0500'!A136,'Daftar Koreksi'!$G$5:$G$92,"Aset Henti Guna",'Daftar Koreksi'!$H$5:$H$92,"&lt;0")-SUMIFS('Daftar Koreksi'!$H$5:$H$92,'Daftar Koreksi'!$D$5:$D$92,'0500'!A136,'Daftar Koreksi'!$G$5:$G$92,"Aset Henti Guna",'Daftar Koreksi'!$H$5:$H$92,"&lt;0")</f>
        <v>0</v>
      </c>
      <c r="G147" s="17">
        <f t="shared" si="6"/>
        <v>2040000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33611976587</v>
      </c>
      <c r="E148" s="19">
        <f>SUM(E139:E147)</f>
        <v>0</v>
      </c>
      <c r="F148" s="19">
        <f>SUM(F139:F147)</f>
        <v>0</v>
      </c>
      <c r="G148" s="19">
        <f t="shared" si="6"/>
        <v>33611976587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-2574831853</v>
      </c>
      <c r="E149" s="25">
        <f>SUMIFS('Daftar Koreksi'!$I$5:$I$92,'Daftar Koreksi'!$D$5:$D$92,'0500'!A136,'Daftar Koreksi'!$G$5:$G$92,"Peralatan dan mesin",'Daftar Koreksi'!$I$5:$I$92,"&gt;0")</f>
        <v>0</v>
      </c>
      <c r="F149" s="25">
        <f>SUMIFS('Daftar Koreksi'!$I$5:$I$92,'Daftar Koreksi'!$D$5:$D$92,'0500'!A136,'Daftar Koreksi'!$G$5:$G$92,"Peralatan dan mesin",'Daftar Koreksi'!$I$5:$I$92,"&lt;0")-SUMIFS('Daftar Koreksi'!$I$5:$I$92,'Daftar Koreksi'!$D$5:$D$92,'0500'!A136,'Daftar Koreksi'!$G$5:$G$92,"Peralatan dan mesin",'Daftar Koreksi'!$I$5:$I$92,"&lt;0")-SUMIFS('Daftar Koreksi'!$I$5:$I$92,'Daftar Koreksi'!$D$5:$D$92,'0500'!A136,'Daftar Koreksi'!$G$5:$G$92,"Peralatan dan mesin",'Daftar Koreksi'!$I$5:$I$92,"&lt;0")</f>
        <v>0</v>
      </c>
      <c r="G149" s="17">
        <f t="shared" si="6"/>
        <v>-2574831853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-2072853958</v>
      </c>
      <c r="E150" s="25">
        <f>SUMIFS('Daftar Koreksi'!$I$5:$I$92,'Daftar Koreksi'!$D$5:$D$92,'0500'!A136,'Daftar Koreksi'!$G$5:$G$92,"Gedung dan Bangunan",'Daftar Koreksi'!$I$5:$I$92,"&gt;0")</f>
        <v>0</v>
      </c>
      <c r="F150" s="25">
        <f>SUMIFS('Daftar Koreksi'!$I$5:$I$92,'Daftar Koreksi'!$D$5:$D$92,'0500'!A136,'Daftar Koreksi'!$G$5:$G$92,"Gedung dan Bangunan",'Daftar Koreksi'!$I$5:$I$92,"&lt;0")-SUMIFS('Daftar Koreksi'!$I$5:$I$92,'Daftar Koreksi'!$D$5:$D$92,'0500'!A136,'Daftar Koreksi'!$G$5:$G$92,"Gedung dan Bangunan",'Daftar Koreksi'!$I$5:$I$92,"&lt;0")-SUMIFS('Daftar Koreksi'!$I$5:$I$92,'Daftar Koreksi'!$D$5:$D$92,'0500'!A136,'Daftar Koreksi'!$G$5:$G$92,"Gedung dan Bangunan",'Daftar Koreksi'!$I$5:$I$92,"&lt;0")</f>
        <v>0</v>
      </c>
      <c r="G150" s="17">
        <f t="shared" si="6"/>
        <v>-2072853958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Koreksi'!$D$5:$D$92,'0500'!A136,'Daftar Koreksi'!$G$5:$G$92,"Jalan Irigasi Jaringan",'Daftar Koreksi'!$I$5:$I$92,"&gt;0")</f>
        <v>0</v>
      </c>
      <c r="F151" s="25">
        <f>SUMIFS('Daftar Koreksi'!$I$5:$I$92,'Daftar Koreksi'!$D$5:$D$92,'0500'!A136,'Daftar Koreksi'!$G$5:$G$92,"Jalan Irigasi Jaringan",'Daftar Koreksi'!$I$5:$I$92,"&lt;0")-SUMIFS('Daftar Koreksi'!$I$5:$I$92,'Daftar Koreksi'!$D$5:$D$92,'0500'!A136,'Daftar Koreksi'!$G$5:$G$92,"Jalan Irigasi Jaringan",'Daftar Koreksi'!$I$5:$I$92,"&lt;0")-SUMIFS('Daftar Koreksi'!$I$5:$I$92,'Daftar Koreksi'!$D$5:$D$92,'0500'!A136,'Daftar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Koreksi'!$D$5:$D$92,'0500'!A136,'Daftar Koreksi'!$G$5:$G$92,"Aset Tetap Lainnya",'Daftar Koreksi'!$I$5:$I$92,"&gt;0")</f>
        <v>0</v>
      </c>
      <c r="F152" s="25">
        <f>SUMIFS('Daftar Koreksi'!$I$5:$I$92,'Daftar Koreksi'!$D$5:$D$92,'0500'!A136,'Daftar Koreksi'!$G$5:$G$92,"Aset Tetap Lainnya",'Daftar Koreksi'!$I$5:$I$92,"&lt;0")-SUMIFS('Daftar Koreksi'!$I$5:$I$92,'Daftar Koreksi'!$D$5:$D$92,'0500'!A136,'Daftar Koreksi'!$G$5:$G$92,"Aset Tetap Lainnya",'Daftar Koreksi'!$I$5:$I$92,"&lt;0")-SUMIFS('Daftar Koreksi'!$I$5:$I$92,'Daftar Koreksi'!$D$5:$D$92,'0500'!A136,'Daftar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-2040000</v>
      </c>
      <c r="E153" s="25">
        <f>SUMIFS('Daftar Koreksi'!$I$5:$I$92,'Daftar Koreksi'!$D$5:$D$92,'0500'!A136,'Daftar Koreksi'!$G$5:$G$92,"Aset Henti Guna",'Daftar Koreksi'!$I$5:$I$92,"&gt;0")</f>
        <v>0</v>
      </c>
      <c r="F153" s="25">
        <f>SUMIFS('Daftar Koreksi'!$I$5:$I$92,'Daftar Koreksi'!$D$5:$D$92,'0500'!A136,'Daftar Koreksi'!$G$5:$G$92,"Aset Henti Guna",'Daftar Koreksi'!$I$5:$I$92,"&lt;0")-SUMIFS('Daftar Koreksi'!$I$5:$I$92,'Daftar Koreksi'!$D$5:$D$92,'0500'!A136,'Daftar Koreksi'!$G$5:$G$92,"Aset Henti Guna",'Daftar Koreksi'!$I$5:$I$92,"&lt;0")-SUMIFS('Daftar Koreksi'!$I$5:$I$92,'Daftar Koreksi'!$D$5:$D$92,'0500'!A136,'Daftar Koreksi'!$G$5:$G$92,"Aset Henti Guna",'Daftar Koreksi'!$I$5:$I$92,"&lt;0")</f>
        <v>0</v>
      </c>
      <c r="G153" s="17">
        <f t="shared" si="6"/>
        <v>-2040000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-4649725811</v>
      </c>
      <c r="E154" s="19">
        <f>SUM(E149:E153)</f>
        <v>0</v>
      </c>
      <c r="F154" s="19">
        <f>SUM(F149:F153)</f>
        <v>0</v>
      </c>
      <c r="G154" s="19">
        <f t="shared" si="6"/>
        <v>-4649725811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28962250776</v>
      </c>
      <c r="E155" s="19">
        <f>E154+E148</f>
        <v>0</v>
      </c>
      <c r="F155" s="19">
        <f>F154+F148</f>
        <v>0</v>
      </c>
      <c r="G155" s="19">
        <f t="shared" si="6"/>
        <v>28962250776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005010500098171000KD</v>
      </c>
      <c r="B158" s="11" t="str">
        <f>P8</f>
        <v>PN. Mojokerto</v>
      </c>
      <c r="C158" s="12" t="str">
        <f>A158&amp;" "&amp;B158</f>
        <v>005010500098171000KD PN. Mojokerto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0</v>
      </c>
      <c r="E161" s="25">
        <f>SUMIFS('Daftar Koreksi'!$H$5:$H$92,'Daftar Koreksi'!$D$5:$D$92,'0500'!A158,'Daftar Koreksi'!$G$5:$G$92,"Persediaan",'Daftar Koreksi'!$H$5:$H$92,"&gt;0")</f>
        <v>0</v>
      </c>
      <c r="F161" s="25">
        <f>SUMIFS('Daftar Koreksi'!$H$5:$H$92,'Daftar Koreksi'!$D$5:$D$92,'0500'!A158,'Daftar Koreksi'!$G$5:$G$92,"Persediaan",'Daftar Koreksi'!$H$5:$H$92,"&lt;0")-SUMIFS('Daftar Koreksi'!$H$5:$H$92,'Daftar Koreksi'!$D$5:$D$92,'0500'!A158,'Daftar Koreksi'!$G$5:$G$92,"Persediaan",'Daftar Koreksi'!$H$5:$H$92,"&lt;0")-SUMIFS('Daftar Koreksi'!$H$5:$H$92,'Daftar Koreksi'!$D$5:$D$92,'0500'!A158,'Daftar Koreksi'!$G$5:$G$92,"Persediaan",'Daftar Koreksi'!$H$5:$H$92,"&lt;0")</f>
        <v>0</v>
      </c>
      <c r="G161" s="17">
        <f>D161+E161-F161</f>
        <v>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4601950000</v>
      </c>
      <c r="E162" s="25">
        <f>SUMIFS('Daftar Koreksi'!$H$5:$H$92,'Daftar Koreksi'!$D$5:$D$92,'0500'!A158,'Daftar Koreksi'!$G$5:$G$92,"Tanah",'Daftar Koreksi'!$H$5:$H$92,"&gt;0")</f>
        <v>0</v>
      </c>
      <c r="F162" s="25">
        <f>SUMIFS('Daftar Koreksi'!$H$5:$H$92,'Daftar Koreksi'!$D$5:$D$92,'0500'!A158,'Daftar Koreksi'!$G$5:$G$92,"Tanah",'Daftar Koreksi'!$H$5:$H$92,"&lt;0")-SUMIFS('Daftar Koreksi'!$H$5:$H$92,'Daftar Koreksi'!$D$5:$D$92,'0500'!A158,'Daftar Koreksi'!$G$5:$G$92,"Tanah",'Daftar Koreksi'!$H$5:$H$92,"&lt;0")-SUMIFS('Daftar Koreksi'!$H$5:$H$92,'Daftar Koreksi'!$D$5:$D$92,'0500'!A158,'Daftar Koreksi'!$G$5:$G$92,"Tanah",'Daftar Koreksi'!$H$5:$H$92,"&lt;0")</f>
        <v>0</v>
      </c>
      <c r="G162" s="17">
        <f t="shared" ref="G162:G178" si="7">D162+E162-F162</f>
        <v>4601950000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1701413954</v>
      </c>
      <c r="E163" s="25">
        <f>SUMIFS('Daftar Koreksi'!$H$5:$H$92,'Daftar Koreksi'!$D$5:$D$92,'0500'!A158,'Daftar Koreksi'!$G$5:$G$92,"Peralatan dan mesin",'Daftar Koreksi'!$H$5:$H$92,"&gt;0")</f>
        <v>0</v>
      </c>
      <c r="F163" s="25">
        <f>SUMIFS('Daftar Koreksi'!$H$5:$H$92,'Daftar Koreksi'!$D$5:$D$92,'0500'!A158,'Daftar Koreksi'!$G$5:$G$92,"Peralatan dan mesin",'Daftar Koreksi'!$H$5:$H$92,"&lt;0")-SUMIFS('Daftar Koreksi'!$H$5:$H$92,'Daftar Koreksi'!$D$5:$D$92,'0500'!A158,'Daftar Koreksi'!$G$5:$G$92,"Peralatan dan mesin",'Daftar Koreksi'!$H$5:$H$92,"&lt;0")-SUMIFS('Daftar Koreksi'!$H$5:$H$92,'Daftar Koreksi'!$D$5:$D$92,'0500'!A158,'Daftar Koreksi'!$G$5:$G$92,"Peralatan dan mesin",'Daftar Koreksi'!$H$5:$H$92,"&lt;0")</f>
        <v>0</v>
      </c>
      <c r="G163" s="17">
        <f t="shared" si="7"/>
        <v>1701413954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3229007000</v>
      </c>
      <c r="E164" s="25">
        <f>SUMIFS('Daftar Koreksi'!$H$5:$H$92,'Daftar Koreksi'!$D$5:$D$92,'0500'!A158,'Daftar Koreksi'!$G$5:$G$92,"Gedung dan Bangunan",'Daftar Koreksi'!$H$5:$H$92,"&gt;0")</f>
        <v>0</v>
      </c>
      <c r="F164" s="25">
        <f>SUMIFS('Daftar Koreksi'!$H$5:$H$92,'Daftar Koreksi'!$D$5:$D$92,'0500'!A158,'Daftar Koreksi'!$G$5:$G$92,"Gedung dan Bangunan",'Daftar Koreksi'!$H$5:$H$92,"&lt;0")-SUMIFS('Daftar Koreksi'!$H$5:$H$92,'Daftar Koreksi'!$D$5:$D$92,'0500'!A158,'Daftar Koreksi'!$G$5:$G$92,"Gedung dan Bangunan",'Daftar Koreksi'!$H$5:$H$92,"&lt;0")-SUMIFS('Daftar Koreksi'!$H$5:$H$92,'Daftar Koreksi'!$D$5:$D$92,'0500'!A158,'Daftar Koreksi'!$G$5:$G$92,"Gedung dan Bangunan",'Daftar Koreksi'!$H$5:$H$92,"&lt;0")</f>
        <v>0</v>
      </c>
      <c r="G164" s="17">
        <f t="shared" si="7"/>
        <v>3229007000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Koreksi'!$D$5:$D$92,'0500'!A158,'Daftar Koreksi'!$G$5:$G$92,"Jalan Irigasi Jaringan",'Daftar Koreksi'!$H$5:$H$92,"&gt;0")</f>
        <v>0</v>
      </c>
      <c r="F165" s="25">
        <f>SUMIFS('Daftar Koreksi'!$H$5:$H$92,'Daftar Koreksi'!$D$5:$D$92,'0500'!A158,'Daftar Koreksi'!$G$5:$G$92,"Jalan Irigasi Jaringan",'Daftar Koreksi'!$H$5:$H$92,"&lt;0")-SUMIFS('Daftar Koreksi'!$H$5:$H$92,'Daftar Koreksi'!$D$5:$D$92,'0500'!A158,'Daftar Koreksi'!$G$5:$G$92,"Jalan Irigasi Jaringan",'Daftar Koreksi'!$H$5:$H$92,"&lt;0")-SUMIFS('Daftar Koreksi'!$H$5:$H$92,'Daftar Koreksi'!$D$5:$D$92,'0500'!A158,'Daftar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6355062</v>
      </c>
      <c r="E166" s="25">
        <f>SUMIFS('Daftar Koreksi'!$H$5:$H$92,'Daftar Koreksi'!$D$5:$D$92,'0500'!A158,'Daftar Koreksi'!$G$5:$G$92,"Aset Tetap Lainnya",'Daftar Koreksi'!$H$5:$H$92,"&gt;0")</f>
        <v>0</v>
      </c>
      <c r="F166" s="25">
        <f>SUMIFS('Daftar Koreksi'!$H$5:$H$92,'Daftar Koreksi'!$D$5:$D$92,'0500'!A158,'Daftar Koreksi'!$G$5:$G$92,"Aset Tetap Lainnya",'Daftar Koreksi'!$H$5:$H$92,"&lt;0")-SUMIFS('Daftar Koreksi'!$H$5:$H$92,'Daftar Koreksi'!$D$5:$D$92,'0500'!A158,'Daftar Koreksi'!$G$5:$G$92,"Aset Tetap Lainnya",'Daftar Koreksi'!$H$5:$H$92,"&lt;0")-SUMIFS('Daftar Koreksi'!$H$5:$H$92,'Daftar Koreksi'!$D$5:$D$92,'0500'!A158,'Daftar Koreksi'!$G$5:$G$92,"Aset Tetap Lainnya",'Daftar Koreksi'!$H$5:$H$92,"&lt;0")</f>
        <v>0</v>
      </c>
      <c r="G166" s="17">
        <f t="shared" si="7"/>
        <v>6355062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Koreksi'!$D$5:$D$92,'0500'!A158,'Daftar Koreksi'!$G$5:$G$92,"Kontruksi Dalam Pengerjaan",'Daftar Koreksi'!$H$5:$H$92,"&gt;0")</f>
        <v>0</v>
      </c>
      <c r="F167" s="25">
        <f>SUMIFS('Daftar Koreksi'!$H$5:$H$92,'Daftar Koreksi'!$D$5:$D$92,'0500'!A158,'Daftar Koreksi'!$G$5:$G$92,"Kontruksi Dalam Pengerjaan",'Daftar Koreksi'!$H$5:$H$92,"&lt;0")-SUMIFS('Daftar Koreksi'!$H$5:$H$92,'Daftar Koreksi'!$D$5:$D$92,'0500'!A158,'Daftar Koreksi'!$G$5:$G$92,"Kontruksi Dalam Pengerjaan",'Daftar Koreksi'!$H$5:$H$92,"&lt;0")-SUMIFS('Daftar Koreksi'!$H$5:$H$92,'Daftar Koreksi'!$D$5:$D$92,'0500'!A158,'Daftar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Koreksi'!$D$5:$D$92,'0500'!A158,'Daftar Koreksi'!$G$5:$G$92,"Aset Tak Berwujud",'Daftar Koreksi'!$H$5:$H$92,"&gt;0")</f>
        <v>0</v>
      </c>
      <c r="F168" s="25">
        <f>SUMIFS('Daftar Koreksi'!$H$5:$H$92,'Daftar Koreksi'!$D$5:$D$92,'0500'!A158,'Daftar Koreksi'!$G$5:$G$92,"Aset Tak Berwujud",'Daftar Koreksi'!$H$5:$H$92,"&lt;0")-SUMIFS('Daftar Koreksi'!$H$5:$H$92,'Daftar Koreksi'!$D$5:$D$92,'0500'!A158,'Daftar Koreksi'!$G$5:$G$92,"Aset Tak Berwujud",'Daftar Koreksi'!$H$5:$H$92,"&lt;0")-SUMIFS('Daftar Koreksi'!$H$5:$H$92,'Daftar Koreksi'!$D$5:$D$92,'0500'!A158,'Daftar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Koreksi'!$D$5:$D$92,'0500'!A158,'Daftar Koreksi'!$G$5:$G$92,"Aset Henti Guna",'Daftar Koreksi'!$H$5:$H$92,"&gt;0")</f>
        <v>0</v>
      </c>
      <c r="F169" s="25">
        <f>SUMIFS('Daftar Koreksi'!$H$5:$H$92,'Daftar Koreksi'!$D$5:$D$92,'0500'!A158,'Daftar Koreksi'!$G$5:$G$92,"Aset Henti Guna",'Daftar Koreksi'!$H$5:$H$92,"&lt;0")-SUMIFS('Daftar Koreksi'!$H$5:$H$92,'Daftar Koreksi'!$D$5:$D$92,'0500'!A158,'Daftar Koreksi'!$G$5:$G$92,"Aset Henti Guna",'Daftar Koreksi'!$H$5:$H$92,"&lt;0")-SUMIFS('Daftar Koreksi'!$H$5:$H$92,'Daftar Koreksi'!$D$5:$D$92,'0500'!A158,'Daftar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9538726016</v>
      </c>
      <c r="E170" s="19">
        <f>SUM(E161:E169)</f>
        <v>0</v>
      </c>
      <c r="F170" s="19">
        <f>SUM(F161:F169)</f>
        <v>0</v>
      </c>
      <c r="G170" s="19">
        <f t="shared" si="7"/>
        <v>9538726016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-1583654478</v>
      </c>
      <c r="E171" s="25">
        <f>SUMIFS('Daftar Koreksi'!$I$5:$I$92,'Daftar Koreksi'!$D$5:$D$92,'0500'!A158,'Daftar Koreksi'!$G$5:$G$92,"Peralatan dan mesin",'Daftar Koreksi'!$I$5:$I$92,"&gt;0")</f>
        <v>0</v>
      </c>
      <c r="F171" s="25">
        <f>SUMIFS('Daftar Koreksi'!$I$5:$I$92,'Daftar Koreksi'!$D$5:$D$92,'0500'!A158,'Daftar Koreksi'!$G$5:$G$92,"Peralatan dan mesin",'Daftar Koreksi'!$I$5:$I$92,"&lt;0")-SUMIFS('Daftar Koreksi'!$I$5:$I$92,'Daftar Koreksi'!$D$5:$D$92,'0500'!A158,'Daftar Koreksi'!$G$5:$G$92,"Peralatan dan mesin",'Daftar Koreksi'!$I$5:$I$92,"&lt;0")-SUMIFS('Daftar Koreksi'!$I$5:$I$92,'Daftar Koreksi'!$D$5:$D$92,'0500'!A158,'Daftar Koreksi'!$G$5:$G$92,"Peralatan dan mesin",'Daftar Koreksi'!$I$5:$I$92,"&lt;0")</f>
        <v>0</v>
      </c>
      <c r="G171" s="17">
        <f t="shared" si="7"/>
        <v>-1583654478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-2495052800</v>
      </c>
      <c r="E172" s="25">
        <f>SUMIFS('Daftar Koreksi'!$I$5:$I$92,'Daftar Koreksi'!$D$5:$D$92,'0500'!A158,'Daftar Koreksi'!$G$5:$G$92,"Gedung dan Bangunan",'Daftar Koreksi'!$I$5:$I$92,"&gt;0")</f>
        <v>0</v>
      </c>
      <c r="F172" s="25">
        <f>SUMIFS('Daftar Koreksi'!$I$5:$I$92,'Daftar Koreksi'!$D$5:$D$92,'0500'!A158,'Daftar Koreksi'!$G$5:$G$92,"Gedung dan Bangunan",'Daftar Koreksi'!$I$5:$I$92,"&lt;0")-SUMIFS('Daftar Koreksi'!$I$5:$I$92,'Daftar Koreksi'!$D$5:$D$92,'0500'!A158,'Daftar Koreksi'!$G$5:$G$92,"Gedung dan Bangunan",'Daftar Koreksi'!$I$5:$I$92,"&lt;0")-SUMIFS('Daftar Koreksi'!$I$5:$I$92,'Daftar Koreksi'!$D$5:$D$92,'0500'!A158,'Daftar Koreksi'!$G$5:$G$92,"Gedung dan Bangunan",'Daftar Koreksi'!$I$5:$I$92,"&lt;0")</f>
        <v>0</v>
      </c>
      <c r="G172" s="17">
        <f t="shared" si="7"/>
        <v>-2495052800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Koreksi'!$D$5:$D$92,'0500'!A158,'Daftar Koreksi'!$G$5:$G$92,"Jalan Irigasi Jaringan",'Daftar Koreksi'!$I$5:$I$92,"&gt;0")</f>
        <v>0</v>
      </c>
      <c r="F173" s="25">
        <f>SUMIFS('Daftar Koreksi'!$I$5:$I$92,'Daftar Koreksi'!$D$5:$D$92,'0500'!A158,'Daftar Koreksi'!$G$5:$G$92,"Jalan Irigasi Jaringan",'Daftar Koreksi'!$I$5:$I$92,"&lt;0")-SUMIFS('Daftar Koreksi'!$I$5:$I$92,'Daftar Koreksi'!$D$5:$D$92,'0500'!A158,'Daftar Koreksi'!$G$5:$G$92,"Jalan Irigasi Jaringan",'Daftar Koreksi'!$I$5:$I$92,"&lt;0")-SUMIFS('Daftar Koreksi'!$I$5:$I$92,'Daftar Koreksi'!$D$5:$D$92,'0500'!A158,'Daftar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Koreksi'!$D$5:$D$92,'0500'!A158,'Daftar Koreksi'!$G$5:$G$92,"Aset Tetap Lainnya",'Daftar Koreksi'!$I$5:$I$92,"&gt;0")</f>
        <v>0</v>
      </c>
      <c r="F174" s="25">
        <f>SUMIFS('Daftar Koreksi'!$I$5:$I$92,'Daftar Koreksi'!$D$5:$D$92,'0500'!A158,'Daftar Koreksi'!$G$5:$G$92,"Aset Tetap Lainnya",'Daftar Koreksi'!$I$5:$I$92,"&lt;0")-SUMIFS('Daftar Koreksi'!$I$5:$I$92,'Daftar Koreksi'!$D$5:$D$92,'0500'!A158,'Daftar Koreksi'!$G$5:$G$92,"Aset Tetap Lainnya",'Daftar Koreksi'!$I$5:$I$92,"&lt;0")-SUMIFS('Daftar Koreksi'!$I$5:$I$92,'Daftar Koreksi'!$D$5:$D$92,'0500'!A158,'Daftar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Koreksi'!$D$5:$D$92,'0500'!A158,'Daftar Koreksi'!$G$5:$G$92,"Aset Henti Guna",'Daftar Koreksi'!$I$5:$I$92,"&gt;0")</f>
        <v>0</v>
      </c>
      <c r="F175" s="25">
        <f>SUMIFS('Daftar Koreksi'!$I$5:$I$92,'Daftar Koreksi'!$D$5:$D$92,'0500'!A158,'Daftar Koreksi'!$G$5:$G$92,"Aset Henti Guna",'Daftar Koreksi'!$I$5:$I$92,"&lt;0")-SUMIFS('Daftar Koreksi'!$I$5:$I$92,'Daftar Koreksi'!$D$5:$D$92,'0500'!A158,'Daftar Koreksi'!$G$5:$G$92,"Aset Henti Guna",'Daftar Koreksi'!$I$5:$I$92,"&lt;0")-SUMIFS('Daftar Koreksi'!$I$5:$I$92,'Daftar Koreksi'!$D$5:$D$92,'0500'!A158,'Daftar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-4078707278</v>
      </c>
      <c r="E176" s="19">
        <f>SUM(E171:E175)</f>
        <v>0</v>
      </c>
      <c r="F176" s="19">
        <f>SUM(F171:F175)</f>
        <v>0</v>
      </c>
      <c r="G176" s="19">
        <f t="shared" si="7"/>
        <v>-4078707278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5460018738</v>
      </c>
      <c r="E177" s="19">
        <f>E176+E170</f>
        <v>0</v>
      </c>
      <c r="F177" s="19">
        <f>F176+F170</f>
        <v>0</v>
      </c>
      <c r="G177" s="19">
        <f t="shared" si="7"/>
        <v>5460018738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005010500098188000KD</v>
      </c>
      <c r="B180" s="11" t="str">
        <f>P9</f>
        <v>PN. Jombang</v>
      </c>
      <c r="C180" s="12" t="str">
        <f>A180&amp;" "&amp;B180</f>
        <v>005010500098188000KD PN. Jombang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20196</v>
      </c>
      <c r="E183" s="25">
        <f>SUMIFS('Daftar Koreksi'!$H$5:$H$92,'Daftar Koreksi'!$D$5:$D$92,'0500'!A180,'Daftar Koreksi'!$G$5:$G$92,"Persediaan",'Daftar Koreksi'!$H$5:$H$92,"&gt;0")</f>
        <v>0</v>
      </c>
      <c r="F183" s="25">
        <f>SUMIFS('Daftar Koreksi'!$H$5:$H$92,'Daftar Koreksi'!$D$5:$D$92,'0500'!A180,'Daftar Koreksi'!$G$5:$G$92,"Persediaan",'Daftar Koreksi'!$H$5:$H$92,"&lt;0")-SUMIFS('Daftar Koreksi'!$H$5:$H$92,'Daftar Koreksi'!$D$5:$D$92,'0500'!A180,'Daftar Koreksi'!$G$5:$G$92,"Persediaan",'Daftar Koreksi'!$H$5:$H$92,"&lt;0")-SUMIFS('Daftar Koreksi'!$H$5:$H$92,'Daftar Koreksi'!$D$5:$D$92,'0500'!A180,'Daftar Koreksi'!$G$5:$G$92,"Persediaan",'Daftar Koreksi'!$H$5:$H$92,"&lt;0")</f>
        <v>0</v>
      </c>
      <c r="G183" s="17">
        <f>D183+E183-F183</f>
        <v>20196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4603654000</v>
      </c>
      <c r="E184" s="25">
        <f>SUMIFS('Daftar Koreksi'!$H$5:$H$92,'Daftar Koreksi'!$D$5:$D$92,'0500'!A180,'Daftar Koreksi'!$G$5:$G$92,"Tanah",'Daftar Koreksi'!$H$5:$H$92,"&gt;0")</f>
        <v>0</v>
      </c>
      <c r="F184" s="25">
        <f>SUMIFS('Daftar Koreksi'!$H$5:$H$92,'Daftar Koreksi'!$D$5:$D$92,'0500'!A180,'Daftar Koreksi'!$G$5:$G$92,"Tanah",'Daftar Koreksi'!$H$5:$H$92,"&lt;0")-SUMIFS('Daftar Koreksi'!$H$5:$H$92,'Daftar Koreksi'!$D$5:$D$92,'0500'!A180,'Daftar Koreksi'!$G$5:$G$92,"Tanah",'Daftar Koreksi'!$H$5:$H$92,"&lt;0")-SUMIFS('Daftar Koreksi'!$H$5:$H$92,'Daftar Koreksi'!$D$5:$D$92,'0500'!A180,'Daftar Koreksi'!$G$5:$G$92,"Tanah",'Daftar Koreksi'!$H$5:$H$92,"&lt;0")</f>
        <v>0</v>
      </c>
      <c r="G184" s="17">
        <f t="shared" ref="G184:G200" si="8">D184+E184-F184</f>
        <v>4603654000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2410229589</v>
      </c>
      <c r="E185" s="25">
        <f>SUMIFS('Daftar Koreksi'!$H$5:$H$92,'Daftar Koreksi'!$D$5:$D$92,'0500'!A180,'Daftar Koreksi'!$G$5:$G$92,"Peralatan dan mesin",'Daftar Koreksi'!$H$5:$H$92,"&gt;0")</f>
        <v>0</v>
      </c>
      <c r="F185" s="25">
        <f>SUMIFS('Daftar Koreksi'!$H$5:$H$92,'Daftar Koreksi'!$D$5:$D$92,'0500'!A180,'Daftar Koreksi'!$G$5:$G$92,"Peralatan dan mesin",'Daftar Koreksi'!$H$5:$H$92,"&lt;0")-SUMIFS('Daftar Koreksi'!$H$5:$H$92,'Daftar Koreksi'!$D$5:$D$92,'0500'!A180,'Daftar Koreksi'!$G$5:$G$92,"Peralatan dan mesin",'Daftar Koreksi'!$H$5:$H$92,"&lt;0")-SUMIFS('Daftar Koreksi'!$H$5:$H$92,'Daftar Koreksi'!$D$5:$D$92,'0500'!A180,'Daftar Koreksi'!$G$5:$G$92,"Peralatan dan mesin",'Daftar Koreksi'!$H$5:$H$92,"&lt;0")</f>
        <v>0</v>
      </c>
      <c r="G185" s="17">
        <f t="shared" si="8"/>
        <v>2410229589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7767626000</v>
      </c>
      <c r="E186" s="25">
        <f>SUMIFS('Daftar Koreksi'!$H$5:$H$92,'Daftar Koreksi'!$D$5:$D$92,'0500'!A180,'Daftar Koreksi'!$G$5:$G$92,"Gedung dan Bangunan",'Daftar Koreksi'!$H$5:$H$92,"&gt;0")</f>
        <v>0</v>
      </c>
      <c r="F186" s="25">
        <f>SUMIFS('Daftar Koreksi'!$H$5:$H$92,'Daftar Koreksi'!$D$5:$D$92,'0500'!A180,'Daftar Koreksi'!$G$5:$G$92,"Gedung dan Bangunan",'Daftar Koreksi'!$H$5:$H$92,"&lt;0")-SUMIFS('Daftar Koreksi'!$H$5:$H$92,'Daftar Koreksi'!$D$5:$D$92,'0500'!A180,'Daftar Koreksi'!$G$5:$G$92,"Gedung dan Bangunan",'Daftar Koreksi'!$H$5:$H$92,"&lt;0")-SUMIFS('Daftar Koreksi'!$H$5:$H$92,'Daftar Koreksi'!$D$5:$D$92,'0500'!A180,'Daftar Koreksi'!$G$5:$G$92,"Gedung dan Bangunan",'Daftar Koreksi'!$H$5:$H$92,"&lt;0")</f>
        <v>0</v>
      </c>
      <c r="G186" s="17">
        <f t="shared" si="8"/>
        <v>7767626000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142890000</v>
      </c>
      <c r="E187" s="25">
        <f>SUMIFS('Daftar Koreksi'!$H$5:$H$92,'Daftar Koreksi'!$D$5:$D$92,'0500'!A180,'Daftar Koreksi'!$G$5:$G$92,"Jalan Irigasi Jaringan",'Daftar Koreksi'!$H$5:$H$92,"&gt;0")</f>
        <v>0</v>
      </c>
      <c r="F187" s="25">
        <f>SUMIFS('Daftar Koreksi'!$H$5:$H$92,'Daftar Koreksi'!$D$5:$D$92,'0500'!A180,'Daftar Koreksi'!$G$5:$G$92,"Jalan Irigasi Jaringan",'Daftar Koreksi'!$H$5:$H$92,"&lt;0")-SUMIFS('Daftar Koreksi'!$H$5:$H$92,'Daftar Koreksi'!$D$5:$D$92,'0500'!A180,'Daftar Koreksi'!$G$5:$G$92,"Jalan Irigasi Jaringan",'Daftar Koreksi'!$H$5:$H$92,"&lt;0")-SUMIFS('Daftar Koreksi'!$H$5:$H$92,'Daftar Koreksi'!$D$5:$D$92,'0500'!A180,'Daftar Koreksi'!$G$5:$G$92,"Jalan Irigasi Jaringan",'Daftar Koreksi'!$H$5:$H$92,"&lt;0")</f>
        <v>0</v>
      </c>
      <c r="G187" s="17">
        <f t="shared" si="8"/>
        <v>142890000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9616782</v>
      </c>
      <c r="E188" s="25">
        <f>SUMIFS('Daftar Koreksi'!$H$5:$H$92,'Daftar Koreksi'!$D$5:$D$92,'0500'!A180,'Daftar Koreksi'!$G$5:$G$92,"Aset Tetap Lainnya",'Daftar Koreksi'!$H$5:$H$92,"&gt;0")</f>
        <v>0</v>
      </c>
      <c r="F188" s="25">
        <f>SUMIFS('Daftar Koreksi'!$H$5:$H$92,'Daftar Koreksi'!$D$5:$D$92,'0500'!A180,'Daftar Koreksi'!$G$5:$G$92,"Aset Tetap Lainnya",'Daftar Koreksi'!$H$5:$H$92,"&lt;0")-SUMIFS('Daftar Koreksi'!$H$5:$H$92,'Daftar Koreksi'!$D$5:$D$92,'0500'!A180,'Daftar Koreksi'!$G$5:$G$92,"Aset Tetap Lainnya",'Daftar Koreksi'!$H$5:$H$92,"&lt;0")-SUMIFS('Daftar Koreksi'!$H$5:$H$92,'Daftar Koreksi'!$D$5:$D$92,'0500'!A180,'Daftar Koreksi'!$G$5:$G$92,"Aset Tetap Lainnya",'Daftar Koreksi'!$H$5:$H$92,"&lt;0")</f>
        <v>0</v>
      </c>
      <c r="G188" s="17">
        <f t="shared" si="8"/>
        <v>9616782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Koreksi'!$D$5:$D$92,'0500'!A180,'Daftar Koreksi'!$G$5:$G$92,"Kontruksi Dalam Pengerjaan",'Daftar Koreksi'!$H$5:$H$92,"&gt;0")</f>
        <v>0</v>
      </c>
      <c r="F189" s="25">
        <f>SUMIFS('Daftar Koreksi'!$H$5:$H$92,'Daftar Koreksi'!$D$5:$D$92,'0500'!A180,'Daftar Koreksi'!$G$5:$G$92,"Kontruksi Dalam Pengerjaan",'Daftar Koreksi'!$H$5:$H$92,"&lt;0")-SUMIFS('Daftar Koreksi'!$H$5:$H$92,'Daftar Koreksi'!$D$5:$D$92,'0500'!A180,'Daftar Koreksi'!$G$5:$G$92,"Kontruksi Dalam Pengerjaan",'Daftar Koreksi'!$H$5:$H$92,"&lt;0")-SUMIFS('Daftar Koreksi'!$H$5:$H$92,'Daftar Koreksi'!$D$5:$D$92,'0500'!A180,'Daftar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21564000</v>
      </c>
      <c r="E190" s="25">
        <f>SUMIFS('Daftar Koreksi'!$H$5:$H$92,'Daftar Koreksi'!$D$5:$D$92,'0500'!A180,'Daftar Koreksi'!$G$5:$G$92,"Aset Tak Berwujud",'Daftar Koreksi'!$H$5:$H$92,"&gt;0")</f>
        <v>0</v>
      </c>
      <c r="F190" s="25">
        <f>SUMIFS('Daftar Koreksi'!$H$5:$H$92,'Daftar Koreksi'!$D$5:$D$92,'0500'!A180,'Daftar Koreksi'!$G$5:$G$92,"Aset Tak Berwujud",'Daftar Koreksi'!$H$5:$H$92,"&lt;0")-SUMIFS('Daftar Koreksi'!$H$5:$H$92,'Daftar Koreksi'!$D$5:$D$92,'0500'!A180,'Daftar Koreksi'!$G$5:$G$92,"Aset Tak Berwujud",'Daftar Koreksi'!$H$5:$H$92,"&lt;0")-SUMIFS('Daftar Koreksi'!$H$5:$H$92,'Daftar Koreksi'!$D$5:$D$92,'0500'!A180,'Daftar Koreksi'!$G$5:$G$92,"Aset Tak Berwujud",'Daftar Koreksi'!$H$5:$H$92,"&lt;0")</f>
        <v>0</v>
      </c>
      <c r="G190" s="17">
        <f t="shared" si="8"/>
        <v>21564000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166765175</v>
      </c>
      <c r="E191" s="25">
        <f>SUMIFS('Daftar Koreksi'!$H$5:$H$92,'Daftar Koreksi'!$D$5:$D$92,'0500'!A180,'Daftar Koreksi'!$G$5:$G$92,"Aset Henti Guna",'Daftar Koreksi'!$H$5:$H$92,"&gt;0")</f>
        <v>0</v>
      </c>
      <c r="F191" s="25">
        <f>SUMIFS('Daftar Koreksi'!$H$5:$H$92,'Daftar Koreksi'!$D$5:$D$92,'0500'!A180,'Daftar Koreksi'!$G$5:$G$92,"Aset Henti Guna",'Daftar Koreksi'!$H$5:$H$92,"&lt;0")-SUMIFS('Daftar Koreksi'!$H$5:$H$92,'Daftar Koreksi'!$D$5:$D$92,'0500'!A180,'Daftar Koreksi'!$G$5:$G$92,"Aset Henti Guna",'Daftar Koreksi'!$H$5:$H$92,"&lt;0")-SUMIFS('Daftar Koreksi'!$H$5:$H$92,'Daftar Koreksi'!$D$5:$D$92,'0500'!A180,'Daftar Koreksi'!$G$5:$G$92,"Aset Henti Guna",'Daftar Koreksi'!$H$5:$H$92,"&lt;0")</f>
        <v>0</v>
      </c>
      <c r="G191" s="17">
        <f t="shared" si="8"/>
        <v>166765175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15122365742</v>
      </c>
      <c r="E192" s="19">
        <f>SUM(E183:E191)</f>
        <v>0</v>
      </c>
      <c r="F192" s="19">
        <f>SUM(F183:F191)</f>
        <v>0</v>
      </c>
      <c r="G192" s="19">
        <f t="shared" si="8"/>
        <v>15122365742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-2219540663</v>
      </c>
      <c r="E193" s="25">
        <f>SUMIFS('Daftar Koreksi'!$I$5:$I$92,'Daftar Koreksi'!$D$5:$D$92,'0500'!A180,'Daftar Koreksi'!$G$5:$G$92,"Peralatan dan mesin",'Daftar Koreksi'!$I$5:$I$92,"&gt;0")</f>
        <v>0</v>
      </c>
      <c r="F193" s="25">
        <f>SUMIFS('Daftar Koreksi'!$I$5:$I$92,'Daftar Koreksi'!$D$5:$D$92,'0500'!A180,'Daftar Koreksi'!$G$5:$G$92,"Peralatan dan mesin",'Daftar Koreksi'!$I$5:$I$92,"&lt;0")-SUMIFS('Daftar Koreksi'!$I$5:$I$92,'Daftar Koreksi'!$D$5:$D$92,'0500'!A180,'Daftar Koreksi'!$G$5:$G$92,"Peralatan dan mesin",'Daftar Koreksi'!$I$5:$I$92,"&lt;0")-SUMIFS('Daftar Koreksi'!$I$5:$I$92,'Daftar Koreksi'!$D$5:$D$92,'0500'!A180,'Daftar Koreksi'!$G$5:$G$92,"Peralatan dan mesin",'Daftar Koreksi'!$I$5:$I$92,"&lt;0")</f>
        <v>0</v>
      </c>
      <c r="G193" s="17">
        <f t="shared" si="8"/>
        <v>-2219540663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-3725667469</v>
      </c>
      <c r="E194" s="25">
        <f>SUMIFS('Daftar Koreksi'!$I$5:$I$92,'Daftar Koreksi'!$D$5:$D$92,'0500'!A180,'Daftar Koreksi'!$G$5:$G$92,"Gedung dan Bangunan",'Daftar Koreksi'!$I$5:$I$92,"&gt;0")</f>
        <v>0</v>
      </c>
      <c r="F194" s="25">
        <f>SUMIFS('Daftar Koreksi'!$I$5:$I$92,'Daftar Koreksi'!$D$5:$D$92,'0500'!A180,'Daftar Koreksi'!$G$5:$G$92,"Gedung dan Bangunan",'Daftar Koreksi'!$I$5:$I$92,"&lt;0")-SUMIFS('Daftar Koreksi'!$I$5:$I$92,'Daftar Koreksi'!$D$5:$D$92,'0500'!A180,'Daftar Koreksi'!$G$5:$G$92,"Gedung dan Bangunan",'Daftar Koreksi'!$I$5:$I$92,"&lt;0")-SUMIFS('Daftar Koreksi'!$I$5:$I$92,'Daftar Koreksi'!$D$5:$D$92,'0500'!A180,'Daftar Koreksi'!$G$5:$G$92,"Gedung dan Bangunan",'Daftar Koreksi'!$I$5:$I$92,"&lt;0")</f>
        <v>0</v>
      </c>
      <c r="G194" s="17">
        <f t="shared" si="8"/>
        <v>-3725667469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-66103125</v>
      </c>
      <c r="E195" s="25">
        <f>SUMIFS('Daftar Koreksi'!$I$5:$I$92,'Daftar Koreksi'!$D$5:$D$92,'0500'!A180,'Daftar Koreksi'!$G$5:$G$92,"Jalan Irigasi Jaringan",'Daftar Koreksi'!$I$5:$I$92,"&gt;0")</f>
        <v>0</v>
      </c>
      <c r="F195" s="25">
        <f>SUMIFS('Daftar Koreksi'!$I$5:$I$92,'Daftar Koreksi'!$D$5:$D$92,'0500'!A180,'Daftar Koreksi'!$G$5:$G$92,"Jalan Irigasi Jaringan",'Daftar Koreksi'!$I$5:$I$92,"&lt;0")-SUMIFS('Daftar Koreksi'!$I$5:$I$92,'Daftar Koreksi'!$D$5:$D$92,'0500'!A180,'Daftar Koreksi'!$G$5:$G$92,"Jalan Irigasi Jaringan",'Daftar Koreksi'!$I$5:$I$92,"&lt;0")-SUMIFS('Daftar Koreksi'!$I$5:$I$92,'Daftar Koreksi'!$D$5:$D$92,'0500'!A180,'Daftar Koreksi'!$G$5:$G$92,"Jalan Irigasi Jaringan",'Daftar Koreksi'!$I$5:$I$92,"&lt;0")</f>
        <v>0</v>
      </c>
      <c r="G195" s="17">
        <f t="shared" si="8"/>
        <v>-66103125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Koreksi'!$D$5:$D$92,'0500'!A180,'Daftar Koreksi'!$G$5:$G$92,"Aset Tetap Lainnya",'Daftar Koreksi'!$I$5:$I$92,"&gt;0")</f>
        <v>0</v>
      </c>
      <c r="F196" s="25">
        <f>SUMIFS('Daftar Koreksi'!$I$5:$I$92,'Daftar Koreksi'!$D$5:$D$92,'0500'!A180,'Daftar Koreksi'!$G$5:$G$92,"Aset Tetap Lainnya",'Daftar Koreksi'!$I$5:$I$92,"&lt;0")-SUMIFS('Daftar Koreksi'!$I$5:$I$92,'Daftar Koreksi'!$D$5:$D$92,'0500'!A180,'Daftar Koreksi'!$G$5:$G$92,"Aset Tetap Lainnya",'Daftar Koreksi'!$I$5:$I$92,"&lt;0")-SUMIFS('Daftar Koreksi'!$I$5:$I$92,'Daftar Koreksi'!$D$5:$D$92,'0500'!A180,'Daftar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-166765175</v>
      </c>
      <c r="E197" s="25">
        <f>SUMIFS('Daftar Koreksi'!$I$5:$I$92,'Daftar Koreksi'!$D$5:$D$92,'0500'!A180,'Daftar Koreksi'!$G$5:$G$92,"Aset Henti Guna",'Daftar Koreksi'!$I$5:$I$92,"&gt;0")</f>
        <v>0</v>
      </c>
      <c r="F197" s="25">
        <f>SUMIFS('Daftar Koreksi'!$I$5:$I$92,'Daftar Koreksi'!$D$5:$D$92,'0500'!A180,'Daftar Koreksi'!$G$5:$G$92,"Aset Henti Guna",'Daftar Koreksi'!$I$5:$I$92,"&lt;0")-SUMIFS('Daftar Koreksi'!$I$5:$I$92,'Daftar Koreksi'!$D$5:$D$92,'0500'!A180,'Daftar Koreksi'!$G$5:$G$92,"Aset Henti Guna",'Daftar Koreksi'!$I$5:$I$92,"&lt;0")-SUMIFS('Daftar Koreksi'!$I$5:$I$92,'Daftar Koreksi'!$D$5:$D$92,'0500'!A180,'Daftar Koreksi'!$G$5:$G$92,"Aset Henti Guna",'Daftar Koreksi'!$I$5:$I$92,"&lt;0")</f>
        <v>0</v>
      </c>
      <c r="G197" s="17">
        <f t="shared" si="8"/>
        <v>-166765175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-6178076432</v>
      </c>
      <c r="E198" s="19">
        <f>SUM(E193:E197)</f>
        <v>0</v>
      </c>
      <c r="F198" s="19">
        <f>SUM(F193:F197)</f>
        <v>0</v>
      </c>
      <c r="G198" s="19">
        <f t="shared" si="8"/>
        <v>-6178076432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8944289310</v>
      </c>
      <c r="E199" s="19">
        <f>E198+E192</f>
        <v>0</v>
      </c>
      <c r="F199" s="19">
        <f>F198+F192</f>
        <v>0</v>
      </c>
      <c r="G199" s="19">
        <f t="shared" si="8"/>
        <v>8944289310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005010500098192000KD</v>
      </c>
      <c r="B202" s="11" t="str">
        <f>P10</f>
        <v>PN. Bondowoso</v>
      </c>
      <c r="C202" s="12" t="str">
        <f>A202&amp;" "&amp;B202</f>
        <v>005010500098192000KD PN. Bondowoso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1242500</v>
      </c>
      <c r="E205" s="25">
        <f>SUMIFS('Daftar Koreksi'!$H$5:$H$92,'Daftar Koreksi'!$D$5:$D$92,'0500'!A202,'Daftar Koreksi'!$G$5:$G$92,"Persediaan",'Daftar Koreksi'!$H$5:$H$92,"&gt;0")</f>
        <v>0</v>
      </c>
      <c r="F205" s="25">
        <f>SUMIFS('Daftar Koreksi'!$H$5:$H$92,'Daftar Koreksi'!$D$5:$D$92,'0500'!A202,'Daftar Koreksi'!$G$5:$G$92,"Persediaan",'Daftar Koreksi'!$H$5:$H$92,"&lt;0")-SUMIFS('Daftar Koreksi'!$H$5:$H$92,'Daftar Koreksi'!$D$5:$D$92,'0500'!A202,'Daftar Koreksi'!$G$5:$G$92,"Persediaan",'Daftar Koreksi'!$H$5:$H$92,"&lt;0")-SUMIFS('Daftar Koreksi'!$H$5:$H$92,'Daftar Koreksi'!$D$5:$D$92,'0500'!A202,'Daftar Koreksi'!$G$5:$G$92,"Persediaan",'Daftar Koreksi'!$H$5:$H$92,"&lt;0")</f>
        <v>0</v>
      </c>
      <c r="G205" s="17">
        <f>D205+E205-F205</f>
        <v>1242500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4417687208</v>
      </c>
      <c r="E206" s="25">
        <f>SUMIFS('Daftar Koreksi'!$H$5:$H$92,'Daftar Koreksi'!$D$5:$D$92,'0500'!A202,'Daftar Koreksi'!$G$5:$G$92,"Tanah",'Daftar Koreksi'!$H$5:$H$92,"&gt;0")</f>
        <v>0</v>
      </c>
      <c r="F206" s="25">
        <f>SUMIFS('Daftar Koreksi'!$H$5:$H$92,'Daftar Koreksi'!$D$5:$D$92,'0500'!A202,'Daftar Koreksi'!$G$5:$G$92,"Tanah",'Daftar Koreksi'!$H$5:$H$92,"&lt;0")-SUMIFS('Daftar Koreksi'!$H$5:$H$92,'Daftar Koreksi'!$D$5:$D$92,'0500'!A202,'Daftar Koreksi'!$G$5:$G$92,"Tanah",'Daftar Koreksi'!$H$5:$H$92,"&lt;0")-SUMIFS('Daftar Koreksi'!$H$5:$H$92,'Daftar Koreksi'!$D$5:$D$92,'0500'!A202,'Daftar Koreksi'!$G$5:$G$92,"Tanah",'Daftar Koreksi'!$H$5:$H$92,"&lt;0")</f>
        <v>0</v>
      </c>
      <c r="G206" s="17">
        <f t="shared" ref="G206:G222" si="9">D206+E206-F206</f>
        <v>4417687208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2064516573</v>
      </c>
      <c r="E207" s="25">
        <f>SUMIFS('Daftar Koreksi'!$H$5:$H$92,'Daftar Koreksi'!$D$5:$D$92,'0500'!A202,'Daftar Koreksi'!$G$5:$G$92,"Peralatan dan mesin",'Daftar Koreksi'!$H$5:$H$92,"&gt;0")</f>
        <v>0</v>
      </c>
      <c r="F207" s="25">
        <f>SUMIFS('Daftar Koreksi'!$H$5:$H$92,'Daftar Koreksi'!$D$5:$D$92,'0500'!A202,'Daftar Koreksi'!$G$5:$G$92,"Peralatan dan mesin",'Daftar Koreksi'!$H$5:$H$92,"&lt;0")-SUMIFS('Daftar Koreksi'!$H$5:$H$92,'Daftar Koreksi'!$D$5:$D$92,'0500'!A202,'Daftar Koreksi'!$G$5:$G$92,"Peralatan dan mesin",'Daftar Koreksi'!$H$5:$H$92,"&lt;0")-SUMIFS('Daftar Koreksi'!$H$5:$H$92,'Daftar Koreksi'!$D$5:$D$92,'0500'!A202,'Daftar Koreksi'!$G$5:$G$92,"Peralatan dan mesin",'Daftar Koreksi'!$H$5:$H$92,"&lt;0")</f>
        <v>0</v>
      </c>
      <c r="G207" s="17">
        <f t="shared" si="9"/>
        <v>2064516573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5034921094</v>
      </c>
      <c r="E208" s="25">
        <f>SUMIFS('Daftar Koreksi'!$H$5:$H$92,'Daftar Koreksi'!$D$5:$D$92,'0500'!A202,'Daftar Koreksi'!$G$5:$G$92,"Gedung dan Bangunan",'Daftar Koreksi'!$H$5:$H$92,"&gt;0")</f>
        <v>0</v>
      </c>
      <c r="F208" s="25">
        <f>SUMIFS('Daftar Koreksi'!$H$5:$H$92,'Daftar Koreksi'!$D$5:$D$92,'0500'!A202,'Daftar Koreksi'!$G$5:$G$92,"Gedung dan Bangunan",'Daftar Koreksi'!$H$5:$H$92,"&lt;0")-SUMIFS('Daftar Koreksi'!$H$5:$H$92,'Daftar Koreksi'!$D$5:$D$92,'0500'!A202,'Daftar Koreksi'!$G$5:$G$92,"Gedung dan Bangunan",'Daftar Koreksi'!$H$5:$H$92,"&lt;0")-SUMIFS('Daftar Koreksi'!$H$5:$H$92,'Daftar Koreksi'!$D$5:$D$92,'0500'!A202,'Daftar Koreksi'!$G$5:$G$92,"Gedung dan Bangunan",'Daftar Koreksi'!$H$5:$H$92,"&lt;0")</f>
        <v>0</v>
      </c>
      <c r="G208" s="17">
        <f t="shared" si="9"/>
        <v>5034921094</v>
      </c>
      <c r="H208" s="122"/>
    </row>
    <row r="209" spans="1:11" ht="21.95" customHeight="1">
      <c r="A209" s="14"/>
      <c r="B209" s="14"/>
      <c r="C209" s="16" t="s">
        <v>1169</v>
      </c>
      <c r="D209" s="17">
        <f>VLOOKUP(A202,'Neraca Unaudited SIMAK'!$A$2:$S$10004,7,FALSE)</f>
        <v>48991300</v>
      </c>
      <c r="E209" s="25">
        <f>SUMIFS('Daftar Koreksi'!$H$5:$H$92,'Daftar Koreksi'!$D$5:$D$92,'0500'!A202,'Daftar Koreksi'!$G$5:$G$92,"Jalan Irigasi Jaringan",'Daftar Koreksi'!$H$5:$H$92,"&gt;0")</f>
        <v>0</v>
      </c>
      <c r="F209" s="25">
        <f>SUMIFS('Daftar Koreksi'!$H$5:$H$92,'Daftar Koreksi'!$D$5:$D$92,'0500'!A202,'Daftar Koreksi'!$G$5:$G$92,"Jalan Irigasi Jaringan",'Daftar Koreksi'!$H$5:$H$92,"&lt;0")-SUMIFS('Daftar Koreksi'!$H$5:$H$92,'Daftar Koreksi'!$D$5:$D$92,'0500'!A202,'Daftar Koreksi'!$G$5:$G$92,"Jalan Irigasi Jaringan",'Daftar Koreksi'!$H$5:$H$92,"&lt;0")-SUMIFS('Daftar Koreksi'!$H$5:$H$92,'Daftar Koreksi'!$D$5:$D$92,'0500'!A202,'Daftar Koreksi'!$G$5:$G$92,"Jalan Irigasi Jaringan",'Daftar Koreksi'!$H$5:$H$92,"&lt;0")</f>
        <v>0</v>
      </c>
      <c r="G209" s="17">
        <f t="shared" si="9"/>
        <v>48991300</v>
      </c>
      <c r="H209" s="122"/>
    </row>
    <row r="210" spans="1:11" ht="21.95" customHeight="1">
      <c r="A210" s="14"/>
      <c r="B210" s="14"/>
      <c r="C210" s="16" t="s">
        <v>1170</v>
      </c>
      <c r="D210" s="17">
        <f>VLOOKUP(A202,'Neraca Unaudited SIMAK'!$A$2:$S$10004,8,FALSE)</f>
        <v>13679062</v>
      </c>
      <c r="E210" s="25">
        <f>SUMIFS('Daftar Koreksi'!$H$5:$H$92,'Daftar Koreksi'!$D$5:$D$92,'0500'!A202,'Daftar Koreksi'!$G$5:$G$92,"Aset Tetap Lainnya",'Daftar Koreksi'!$H$5:$H$92,"&gt;0")</f>
        <v>0</v>
      </c>
      <c r="F210" s="25">
        <f>SUMIFS('Daftar Koreksi'!$H$5:$H$92,'Daftar Koreksi'!$D$5:$D$92,'0500'!A202,'Daftar Koreksi'!$G$5:$G$92,"Aset Tetap Lainnya",'Daftar Koreksi'!$H$5:$H$92,"&lt;0")-SUMIFS('Daftar Koreksi'!$H$5:$H$92,'Daftar Koreksi'!$D$5:$D$92,'0500'!A202,'Daftar Koreksi'!$G$5:$G$92,"Aset Tetap Lainnya",'Daftar Koreksi'!$H$5:$H$92,"&lt;0")-SUMIFS('Daftar Koreksi'!$H$5:$H$92,'Daftar Koreksi'!$D$5:$D$92,'0500'!A202,'Daftar Koreksi'!$G$5:$G$92,"Aset Tetap Lainnya",'Daftar Koreksi'!$H$5:$H$92,"&lt;0")</f>
        <v>0</v>
      </c>
      <c r="G210" s="17">
        <f t="shared" si="9"/>
        <v>13679062</v>
      </c>
      <c r="H210" s="122"/>
    </row>
    <row r="211" spans="1:11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Koreksi'!$D$5:$D$92,'0500'!A202,'Daftar Koreksi'!$G$5:$G$92,"Kontruksi Dalam Pengerjaan",'Daftar Koreksi'!$H$5:$H$92,"&gt;0")</f>
        <v>0</v>
      </c>
      <c r="F211" s="25">
        <f>SUMIFS('Daftar Koreksi'!$H$5:$H$92,'Daftar Koreksi'!$D$5:$D$92,'0500'!A202,'Daftar Koreksi'!$G$5:$G$92,"Kontruksi Dalam Pengerjaan",'Daftar Koreksi'!$H$5:$H$92,"&lt;0")-SUMIFS('Daftar Koreksi'!$H$5:$H$92,'Daftar Koreksi'!$D$5:$D$92,'0500'!A202,'Daftar Koreksi'!$G$5:$G$92,"Kontruksi Dalam Pengerjaan",'Daftar Koreksi'!$H$5:$H$92,"&lt;0")-SUMIFS('Daftar Koreksi'!$H$5:$H$92,'Daftar Koreksi'!$D$5:$D$92,'0500'!A202,'Daftar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11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Koreksi'!$D$5:$D$92,'0500'!A202,'Daftar Koreksi'!$G$5:$G$92,"Aset Tak Berwujud",'Daftar Koreksi'!$H$5:$H$92,"&gt;0")</f>
        <v>0</v>
      </c>
      <c r="F212" s="25">
        <f>SUMIFS('Daftar Koreksi'!$H$5:$H$92,'Daftar Koreksi'!$D$5:$D$92,'0500'!A202,'Daftar Koreksi'!$G$5:$G$92,"Aset Tak Berwujud",'Daftar Koreksi'!$H$5:$H$92,"&lt;0")-SUMIFS('Daftar Koreksi'!$H$5:$H$92,'Daftar Koreksi'!$D$5:$D$92,'0500'!A202,'Daftar Koreksi'!$G$5:$G$92,"Aset Tak Berwujud",'Daftar Koreksi'!$H$5:$H$92,"&lt;0")-SUMIFS('Daftar Koreksi'!$H$5:$H$92,'Daftar Koreksi'!$D$5:$D$92,'0500'!A202,'Daftar Koreksi'!$G$5:$G$92,"Aset Tak Berwujud",'Daftar Koreksi'!$H$5:$H$92,"&lt;0")</f>
        <v>0</v>
      </c>
      <c r="G212" s="17">
        <f t="shared" si="9"/>
        <v>0</v>
      </c>
      <c r="H212" s="122"/>
    </row>
    <row r="213" spans="1:11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Koreksi'!$D$5:$D$92,'0500'!A202,'Daftar Koreksi'!$G$5:$G$92,"Aset Henti Guna",'Daftar Koreksi'!$H$5:$H$92,"&gt;0")</f>
        <v>0</v>
      </c>
      <c r="F213" s="25">
        <f>SUMIFS('Daftar Koreksi'!$H$5:$H$92,'Daftar Koreksi'!$D$5:$D$92,'0500'!A202,'Daftar Koreksi'!$G$5:$G$92,"Aset Henti Guna",'Daftar Koreksi'!$H$5:$H$92,"&lt;0")-SUMIFS('Daftar Koreksi'!$H$5:$H$92,'Daftar Koreksi'!$D$5:$D$92,'0500'!A202,'Daftar Koreksi'!$G$5:$G$92,"Aset Henti Guna",'Daftar Koreksi'!$H$5:$H$92,"&lt;0")-SUMIFS('Daftar Koreksi'!$H$5:$H$92,'Daftar Koreksi'!$D$5:$D$92,'0500'!A202,'Daftar Koreksi'!$G$5:$G$92,"Aset Henti Guna",'Daftar Koreksi'!$H$5:$H$92,"&lt;0")</f>
        <v>0</v>
      </c>
      <c r="G213" s="17">
        <f t="shared" si="9"/>
        <v>0</v>
      </c>
      <c r="H213" s="122"/>
    </row>
    <row r="214" spans="1:11" ht="21.95" customHeight="1">
      <c r="A214" s="14"/>
      <c r="B214" s="14"/>
      <c r="C214" s="18" t="s">
        <v>2093</v>
      </c>
      <c r="D214" s="19">
        <f>VLOOKUP(A202,'Neraca Unaudited SIMAK'!$A$2:$S$10004,12,FALSE)</f>
        <v>11581037737</v>
      </c>
      <c r="E214" s="19">
        <f>SUM(E205:E213)</f>
        <v>0</v>
      </c>
      <c r="F214" s="19">
        <f>SUM(F205:F213)</f>
        <v>0</v>
      </c>
      <c r="G214" s="19">
        <f t="shared" si="9"/>
        <v>11581037737</v>
      </c>
      <c r="H214" s="122"/>
    </row>
    <row r="215" spans="1:11" ht="21.95" customHeight="1">
      <c r="A215" s="14"/>
      <c r="B215" s="14"/>
      <c r="C215" s="16" t="s">
        <v>2087</v>
      </c>
      <c r="D215" s="17">
        <f>VLOOKUP(A202,'Neraca Unaudited SIMAK'!$A$2:$S$10004,13,FALSE)</f>
        <v>-1867853341</v>
      </c>
      <c r="E215" s="25">
        <f>SUMIFS('Daftar Koreksi'!$I$5:$I$92,'Daftar Koreksi'!$D$5:$D$92,'0500'!A202,'Daftar Koreksi'!$G$5:$G$92,"Peralatan dan mesin",'Daftar Koreksi'!$I$5:$I$92,"&gt;0")</f>
        <v>0</v>
      </c>
      <c r="F215" s="25">
        <f>SUMIFS('Daftar Koreksi'!$I$5:$I$92,'Daftar Koreksi'!$D$5:$D$92,'0500'!A202,'Daftar Koreksi'!$G$5:$G$92,"Peralatan dan mesin",'Daftar Koreksi'!$I$5:$I$92,"&lt;0")-SUMIFS('Daftar Koreksi'!$I$5:$I$92,'Daftar Koreksi'!$D$5:$D$92,'0500'!A202,'Daftar Koreksi'!$G$5:$G$92,"Peralatan dan mesin",'Daftar Koreksi'!$I$5:$I$92,"&lt;0")-SUMIFS('Daftar Koreksi'!$I$5:$I$92,'Daftar Koreksi'!$D$5:$D$92,'0500'!A202,'Daftar Koreksi'!$G$5:$G$92,"Peralatan dan mesin",'Daftar Koreksi'!$I$5:$I$92,"&lt;0")</f>
        <v>0</v>
      </c>
      <c r="G215" s="17">
        <f t="shared" si="9"/>
        <v>-1867853341</v>
      </c>
      <c r="H215" s="122"/>
    </row>
    <row r="216" spans="1:11" ht="21.95" customHeight="1">
      <c r="A216" s="14"/>
      <c r="B216" s="14"/>
      <c r="C216" s="16" t="s">
        <v>2088</v>
      </c>
      <c r="D216" s="17">
        <f>VLOOKUP(A202,'Neraca Unaudited SIMAK'!$A$2:$S$10004,14,FALSE)</f>
        <v>-991531106</v>
      </c>
      <c r="E216" s="25">
        <f>SUMIFS('Daftar Koreksi'!$I$5:$I$92,'Daftar Koreksi'!$D$5:$D$92,'0500'!A202,'Daftar Koreksi'!$G$5:$G$92,"Gedung dan Bangunan",'Daftar Koreksi'!$I$5:$I$92,"&gt;0")</f>
        <v>0</v>
      </c>
      <c r="F216" s="25">
        <f>SUMIFS('Daftar Koreksi'!$I$5:$I$92,'Daftar Koreksi'!$D$5:$D$92,'0500'!A202,'Daftar Koreksi'!$G$5:$G$92,"Gedung dan Bangunan",'Daftar Koreksi'!$I$5:$I$92,"&lt;0")-SUMIFS('Daftar Koreksi'!$I$5:$I$92,'Daftar Koreksi'!$D$5:$D$92,'0500'!A202,'Daftar Koreksi'!$G$5:$G$92,"Gedung dan Bangunan",'Daftar Koreksi'!$I$5:$I$92,"&lt;0")-SUMIFS('Daftar Koreksi'!$I$5:$I$92,'Daftar Koreksi'!$D$5:$D$92,'0500'!A202,'Daftar Koreksi'!$G$5:$G$92,"Gedung dan Bangunan",'Daftar Koreksi'!$I$5:$I$92,"&lt;0")</f>
        <v>0</v>
      </c>
      <c r="G216" s="17">
        <f t="shared" si="9"/>
        <v>-991531106</v>
      </c>
      <c r="H216" s="122"/>
    </row>
    <row r="217" spans="1:11" ht="21.95" customHeight="1">
      <c r="A217" s="14"/>
      <c r="B217" s="14"/>
      <c r="C217" s="16" t="s">
        <v>2089</v>
      </c>
      <c r="D217" s="17">
        <f>VLOOKUP(A202,'Neraca Unaudited SIMAK'!$A$2:$S$10004,15,FALSE)</f>
        <v>-4807010</v>
      </c>
      <c r="E217" s="25">
        <f>SUMIFS('Daftar Koreksi'!$I$5:$I$92,'Daftar Koreksi'!$D$5:$D$92,'0500'!A202,'Daftar Koreksi'!$G$5:$G$92,"Jalan Irigasi Jaringan",'Daftar Koreksi'!$I$5:$I$92,"&gt;0")</f>
        <v>0</v>
      </c>
      <c r="F217" s="25">
        <f>SUMIFS('Daftar Koreksi'!$I$5:$I$92,'Daftar Koreksi'!$D$5:$D$92,'0500'!A202,'Daftar Koreksi'!$G$5:$G$92,"Jalan Irigasi Jaringan",'Daftar Koreksi'!$I$5:$I$92,"&lt;0")-SUMIFS('Daftar Koreksi'!$I$5:$I$92,'Daftar Koreksi'!$D$5:$D$92,'0500'!A202,'Daftar Koreksi'!$G$5:$G$92,"Jalan Irigasi Jaringan",'Daftar Koreksi'!$I$5:$I$92,"&lt;0")-SUMIFS('Daftar Koreksi'!$I$5:$I$92,'Daftar Koreksi'!$D$5:$D$92,'0500'!A202,'Daftar Koreksi'!$G$5:$G$92,"Jalan Irigasi Jaringan",'Daftar Koreksi'!$I$5:$I$92,"&lt;0")</f>
        <v>0</v>
      </c>
      <c r="G217" s="17">
        <f t="shared" si="9"/>
        <v>-4807010</v>
      </c>
      <c r="H217" s="122"/>
    </row>
    <row r="218" spans="1:11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Koreksi'!$D$5:$D$92,'0500'!A202,'Daftar Koreksi'!$G$5:$G$92,"Aset Tetap Lainnya",'Daftar Koreksi'!$I$5:$I$92,"&gt;0")</f>
        <v>0</v>
      </c>
      <c r="F218" s="25">
        <f>SUMIFS('Daftar Koreksi'!$I$5:$I$92,'Daftar Koreksi'!$D$5:$D$92,'0500'!A202,'Daftar Koreksi'!$G$5:$G$92,"Aset Tetap Lainnya",'Daftar Koreksi'!$I$5:$I$92,"&lt;0")-SUMIFS('Daftar Koreksi'!$I$5:$I$92,'Daftar Koreksi'!$D$5:$D$92,'0500'!A202,'Daftar Koreksi'!$G$5:$G$92,"Aset Tetap Lainnya",'Daftar Koreksi'!$I$5:$I$92,"&lt;0")-SUMIFS('Daftar Koreksi'!$I$5:$I$92,'Daftar Koreksi'!$D$5:$D$92,'0500'!A202,'Daftar Koreksi'!$G$5:$G$92,"Aset Tetap Lainnya",'Daftar Koreksi'!$I$5:$I$92,"&lt;0")</f>
        <v>0</v>
      </c>
      <c r="G218" s="17">
        <f t="shared" si="9"/>
        <v>0</v>
      </c>
      <c r="H218" s="122"/>
    </row>
    <row r="219" spans="1:11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Koreksi'!$D$5:$D$92,'0500'!A202,'Daftar Koreksi'!$G$5:$G$92,"Aset Henti Guna",'Daftar Koreksi'!$I$5:$I$92,"&gt;0")</f>
        <v>0</v>
      </c>
      <c r="F219" s="25">
        <f>SUMIFS('Daftar Koreksi'!$I$5:$I$92,'Daftar Koreksi'!$D$5:$D$92,'0500'!A202,'Daftar Koreksi'!$G$5:$G$92,"Aset Henti Guna",'Daftar Koreksi'!$I$5:$I$92,"&lt;0")-SUMIFS('Daftar Koreksi'!$I$5:$I$92,'Daftar Koreksi'!$D$5:$D$92,'0500'!A202,'Daftar Koreksi'!$G$5:$G$92,"Aset Henti Guna",'Daftar Koreksi'!$I$5:$I$92,"&lt;0")-SUMIFS('Daftar Koreksi'!$I$5:$I$92,'Daftar Koreksi'!$D$5:$D$92,'0500'!A202,'Daftar Koreksi'!$G$5:$G$92,"Aset Henti Guna",'Daftar Koreksi'!$I$5:$I$92,"&lt;0")</f>
        <v>0</v>
      </c>
      <c r="G219" s="17">
        <f t="shared" si="9"/>
        <v>0</v>
      </c>
      <c r="H219" s="122"/>
    </row>
    <row r="220" spans="1:11" ht="21.95" customHeight="1">
      <c r="A220" s="14"/>
      <c r="B220" s="14"/>
      <c r="C220" s="18" t="s">
        <v>2094</v>
      </c>
      <c r="D220" s="19">
        <f>SUM(D215:D219)</f>
        <v>-2864191457</v>
      </c>
      <c r="E220" s="19">
        <f>SUM(E215:E219)</f>
        <v>0</v>
      </c>
      <c r="F220" s="19">
        <f>SUM(F215:F219)</f>
        <v>0</v>
      </c>
      <c r="G220" s="19">
        <f t="shared" si="9"/>
        <v>-2864191457</v>
      </c>
      <c r="H220" s="122"/>
    </row>
    <row r="221" spans="1:11" ht="21.95" customHeight="1">
      <c r="A221" s="14"/>
      <c r="B221" s="14"/>
      <c r="C221" s="18" t="s">
        <v>2095</v>
      </c>
      <c r="D221" s="19">
        <f>VLOOKUP(A202,'Neraca Unaudited SIMAK'!$A$2:$S$10004,18,FALSE)</f>
        <v>8716846280</v>
      </c>
      <c r="E221" s="19">
        <f>E220+E214</f>
        <v>0</v>
      </c>
      <c r="F221" s="19">
        <f>F220+F214</f>
        <v>0</v>
      </c>
      <c r="G221" s="19">
        <f t="shared" si="9"/>
        <v>8716846280</v>
      </c>
      <c r="H221" s="122"/>
    </row>
    <row r="222" spans="1:11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11" ht="19.5" customHeight="1">
      <c r="A224" s="11" t="str">
        <f>O11</f>
        <v>005010500098200000KD</v>
      </c>
      <c r="B224" s="11" t="str">
        <f>P11</f>
        <v>PN. Jember</v>
      </c>
      <c r="C224" s="12" t="str">
        <f>A224&amp;" "&amp;B224</f>
        <v>005010500098200000KD PN. Jember</v>
      </c>
      <c r="D224" s="13"/>
      <c r="E224" s="13"/>
      <c r="F224" s="13"/>
      <c r="G224" s="13"/>
      <c r="H224" s="11"/>
      <c r="K224" s="8" t="s">
        <v>2151</v>
      </c>
    </row>
    <row r="225" spans="1:10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10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10" ht="21.95" customHeight="1">
      <c r="A227" s="14"/>
      <c r="B227" s="14"/>
      <c r="C227" s="16" t="s">
        <v>1165</v>
      </c>
      <c r="D227" s="17">
        <f>VLOOKUP(A224,'Neraca Unaudited SIMAK'!$A$2:$S$10004,3,FALSE)</f>
        <v>610900</v>
      </c>
      <c r="E227" s="25">
        <f>SUMIFS('Daftar Koreksi'!$H$5:$H$92,'Daftar Koreksi'!$D$5:$D$92,'0500'!A224,'Daftar Koreksi'!$G$5:$G$92,"Persediaan",'Daftar Koreksi'!$H$5:$H$92,"&gt;0")</f>
        <v>0</v>
      </c>
      <c r="F227" s="25">
        <f>SUMIFS('Daftar Koreksi'!$H$5:$H$92,'Daftar Koreksi'!$D$5:$D$92,'0500'!A224,'Daftar Koreksi'!$G$5:$G$92,"Persediaan",'Daftar Koreksi'!$H$5:$H$92,"&lt;0")-SUMIFS('Daftar Koreksi'!$H$5:$H$92,'Daftar Koreksi'!$D$5:$D$92,'0500'!A224,'Daftar Koreksi'!$G$5:$G$92,"Persediaan",'Daftar Koreksi'!$H$5:$H$92,"&lt;0")-SUMIFS('Daftar Koreksi'!$H$5:$H$92,'Daftar Koreksi'!$D$5:$D$92,'0500'!A224,'Daftar Koreksi'!$G$5:$G$92,"Persediaan",'Daftar Koreksi'!$H$5:$H$92,"&lt;0")</f>
        <v>0</v>
      </c>
      <c r="G227" s="17">
        <f>D227+E227-F227</f>
        <v>610900</v>
      </c>
      <c r="H227" s="121" t="str">
        <f>IF(ISNA(VLOOKUP(A224,'Mutasi Neraca'!$A$3:$S$914,19,FALSE)),"-",VLOOKUP(A224,'Mutasi Neraca'!$A$3:$S$914,19,FALSE))</f>
        <v>TP. No 3</v>
      </c>
      <c r="I227" s="28"/>
      <c r="J227" s="28"/>
    </row>
    <row r="228" spans="1:10" ht="21.95" customHeight="1">
      <c r="A228" s="14"/>
      <c r="B228" s="14"/>
      <c r="C228" s="16" t="s">
        <v>1166</v>
      </c>
      <c r="D228" s="17">
        <f>VLOOKUP(A224,'Neraca Unaudited SIMAK'!$A$2:$S$10004,4,FALSE)</f>
        <v>16506820000</v>
      </c>
      <c r="E228" s="25">
        <f>SUMIFS('Daftar Koreksi'!$H$5:$H$92,'Daftar Koreksi'!$D$5:$D$92,'0500'!A224,'Daftar Koreksi'!$G$5:$G$92,"Tanah",'Daftar Koreksi'!$H$5:$H$92,"&gt;0")</f>
        <v>0</v>
      </c>
      <c r="F228" s="25">
        <f>SUMIFS('Daftar Koreksi'!$H$5:$H$92,'Daftar Koreksi'!$D$5:$D$92,'0500'!A224,'Daftar Koreksi'!$G$5:$G$92,"Tanah",'Daftar Koreksi'!$H$5:$H$92,"&lt;0")-SUMIFS('Daftar Koreksi'!$H$5:$H$92,'Daftar Koreksi'!$D$5:$D$92,'0500'!A224,'Daftar Koreksi'!$G$5:$G$92,"Tanah",'Daftar Koreksi'!$H$5:$H$92,"&lt;0")-SUMIFS('Daftar Koreksi'!$H$5:$H$92,'Daftar Koreksi'!$D$5:$D$92,'0500'!A224,'Daftar Koreksi'!$G$5:$G$92,"Tanah",'Daftar Koreksi'!$H$5:$H$92,"&lt;0")</f>
        <v>0</v>
      </c>
      <c r="G228" s="17">
        <f t="shared" ref="G228:G244" si="10">D228+E228-F228</f>
        <v>16506820000</v>
      </c>
      <c r="H228" s="122"/>
      <c r="I228" s="28"/>
      <c r="J228" s="28"/>
    </row>
    <row r="229" spans="1:10" ht="21.95" customHeight="1">
      <c r="A229" s="14"/>
      <c r="B229" s="14"/>
      <c r="C229" s="16" t="s">
        <v>1167</v>
      </c>
      <c r="D229" s="17">
        <f>VLOOKUP(A224,'Neraca Unaudited SIMAK'!$A$2:$S$10004,5,FALSE)</f>
        <v>1702310448</v>
      </c>
      <c r="E229" s="25">
        <f>SUMIFS('Daftar Koreksi'!$H$5:$H$92,'Daftar Koreksi'!$D$5:$D$92,'0500'!A224,'Daftar Koreksi'!$G$5:$G$92,"Peralatan dan mesin",'Daftar Koreksi'!$H$5:$H$92,"&gt;0")</f>
        <v>0</v>
      </c>
      <c r="F229" s="25">
        <f>SUMIFS('Daftar Koreksi'!$H$5:$H$92,'Daftar Koreksi'!$D$5:$D$92,'0500'!A224,'Daftar Koreksi'!$G$5:$G$92,"Peralatan dan mesin",'Daftar Koreksi'!$H$5:$H$92,"&lt;0")-SUMIFS('Daftar Koreksi'!$H$5:$H$92,'Daftar Koreksi'!$D$5:$D$92,'0500'!A224,'Daftar Koreksi'!$G$5:$G$92,"Peralatan dan mesin",'Daftar Koreksi'!$H$5:$H$92,"&lt;0")-SUMIFS('Daftar Koreksi'!$H$5:$H$92,'Daftar Koreksi'!$D$5:$D$92,'0500'!A224,'Daftar Koreksi'!$G$5:$G$92,"Peralatan dan mesin",'Daftar Koreksi'!$H$5:$H$92,"&lt;0")</f>
        <v>0</v>
      </c>
      <c r="G229" s="17">
        <f t="shared" si="10"/>
        <v>1702310448</v>
      </c>
      <c r="H229" s="122"/>
      <c r="I229" s="28"/>
      <c r="J229" s="28"/>
    </row>
    <row r="230" spans="1:10" ht="21.95" customHeight="1">
      <c r="A230" s="14"/>
      <c r="B230" s="14"/>
      <c r="C230" s="16" t="s">
        <v>1168</v>
      </c>
      <c r="D230" s="17">
        <f>VLOOKUP(A224,'Neraca Unaudited SIMAK'!$A$2:$S$10004,6,FALSE)</f>
        <v>4741512100</v>
      </c>
      <c r="E230" s="25">
        <f>SUMIFS('Daftar Koreksi'!$H$5:$H$92,'Daftar Koreksi'!$D$5:$D$92,'0500'!A224,'Daftar Koreksi'!$G$5:$G$92,"Gedung dan Bangunan",'Daftar Koreksi'!$H$5:$H$92,"&gt;0")</f>
        <v>0</v>
      </c>
      <c r="F230" s="25">
        <f>SUMIFS('Daftar Koreksi'!$H$5:$H$92,'Daftar Koreksi'!$D$5:$D$92,'0500'!A224,'Daftar Koreksi'!$G$5:$G$92,"Gedung dan Bangunan",'Daftar Koreksi'!$H$5:$H$92,"&lt;0")-SUMIFS('Daftar Koreksi'!$H$5:$H$92,'Daftar Koreksi'!$D$5:$D$92,'0500'!A224,'Daftar Koreksi'!$G$5:$G$92,"Gedung dan Bangunan",'Daftar Koreksi'!$H$5:$H$92,"&lt;0")-SUMIFS('Daftar Koreksi'!$H$5:$H$92,'Daftar Koreksi'!$D$5:$D$92,'0500'!A224,'Daftar Koreksi'!$G$5:$G$92,"Gedung dan Bangunan",'Daftar Koreksi'!$H$5:$H$92,"&lt;0")</f>
        <v>0</v>
      </c>
      <c r="G230" s="17">
        <f t="shared" si="10"/>
        <v>4741512100</v>
      </c>
      <c r="H230" s="122"/>
      <c r="I230" s="28"/>
      <c r="J230" s="28"/>
    </row>
    <row r="231" spans="1:10" ht="21.95" customHeight="1">
      <c r="A231" s="14"/>
      <c r="B231" s="14"/>
      <c r="C231" s="16" t="s">
        <v>1169</v>
      </c>
      <c r="D231" s="17">
        <f>VLOOKUP(A224,'Neraca Unaudited SIMAK'!$A$2:$S$10004,7,FALSE)</f>
        <v>481487500</v>
      </c>
      <c r="E231" s="25">
        <f>SUMIFS('Daftar Koreksi'!$H$5:$H$92,'Daftar Koreksi'!$D$5:$D$92,'0500'!A224,'Daftar Koreksi'!$G$5:$G$92,"Jalan Irigasi Jaringan",'Daftar Koreksi'!$H$5:$H$92,"&gt;0")</f>
        <v>0</v>
      </c>
      <c r="F231" s="25">
        <f>SUMIFS('Daftar Koreksi'!$H$5:$H$92,'Daftar Koreksi'!$D$5:$D$92,'0500'!A224,'Daftar Koreksi'!$G$5:$G$92,"Jalan Irigasi Jaringan",'Daftar Koreksi'!$H$5:$H$92,"&lt;0")-SUMIFS('Daftar Koreksi'!$H$5:$H$92,'Daftar Koreksi'!$D$5:$D$92,'0500'!A224,'Daftar Koreksi'!$G$5:$G$92,"Jalan Irigasi Jaringan",'Daftar Koreksi'!$H$5:$H$92,"&lt;0")-SUMIFS('Daftar Koreksi'!$H$5:$H$92,'Daftar Koreksi'!$D$5:$D$92,'0500'!A224,'Daftar Koreksi'!$G$5:$G$92,"Jalan Irigasi Jaringan",'Daftar Koreksi'!$H$5:$H$92,"&lt;0")</f>
        <v>0</v>
      </c>
      <c r="G231" s="17">
        <f t="shared" si="10"/>
        <v>481487500</v>
      </c>
      <c r="H231" s="122"/>
      <c r="I231" s="28">
        <f>F230-E238</f>
        <v>0</v>
      </c>
      <c r="J231" s="28"/>
    </row>
    <row r="232" spans="1:10" ht="21.95" customHeight="1">
      <c r="A232" s="14"/>
      <c r="B232" s="14"/>
      <c r="C232" s="16" t="s">
        <v>1170</v>
      </c>
      <c r="D232" s="17">
        <f>VLOOKUP(A224,'Neraca Unaudited SIMAK'!$A$2:$S$10004,8,FALSE)</f>
        <v>1993440</v>
      </c>
      <c r="E232" s="25">
        <f>SUMIFS('Daftar Koreksi'!$H$5:$H$92,'Daftar Koreksi'!$D$5:$D$92,'0500'!A224,'Daftar Koreksi'!$G$5:$G$92,"Aset Tetap Lainnya",'Daftar Koreksi'!$H$5:$H$92,"&gt;0")</f>
        <v>4411622</v>
      </c>
      <c r="F232" s="25">
        <f>SUMIFS('Daftar Koreksi'!$H$5:$H$92,'Daftar Koreksi'!$D$5:$D$92,'0500'!A224,'Daftar Koreksi'!$G$5:$G$92,"Aset Tetap Lainnya",'Daftar Koreksi'!$H$5:$H$92,"&lt;0")-SUMIFS('Daftar Koreksi'!$H$5:$H$92,'Daftar Koreksi'!$D$5:$D$92,'0500'!A224,'Daftar Koreksi'!$G$5:$G$92,"Aset Tetap Lainnya",'Daftar Koreksi'!$H$5:$H$92,"&lt;0")-SUMIFS('Daftar Koreksi'!$H$5:$H$92,'Daftar Koreksi'!$D$5:$D$92,'0500'!A224,'Daftar Koreksi'!$G$5:$G$92,"Aset Tetap Lainnya",'Daftar Koreksi'!$H$5:$H$92,"&lt;0")</f>
        <v>0</v>
      </c>
      <c r="G232" s="17">
        <f t="shared" si="10"/>
        <v>6405062</v>
      </c>
      <c r="H232" s="122"/>
      <c r="I232" s="28"/>
      <c r="J232" s="28"/>
    </row>
    <row r="233" spans="1:10" ht="21.95" customHeight="1">
      <c r="A233" s="14"/>
      <c r="B233" s="14"/>
      <c r="C233" s="16" t="s">
        <v>1171</v>
      </c>
      <c r="D233" s="17">
        <f>VLOOKUP(A224,'Neraca Unaudited SIMAK'!$A$2:$S$10004,9,FALSE)</f>
        <v>7022291250</v>
      </c>
      <c r="E233" s="25">
        <f>SUMIFS('Daftar Koreksi'!$H$5:$H$92,'Daftar Koreksi'!$D$5:$D$92,'0500'!A224,'Daftar Koreksi'!$G$5:$G$92,"Kontruksi Dalam Pengerjaan",'Daftar Koreksi'!$H$5:$H$92,"&gt;0")</f>
        <v>0</v>
      </c>
      <c r="F233" s="25">
        <f>SUMIFS('Daftar Koreksi'!$H$5:$H$92,'Daftar Koreksi'!$D$5:$D$92,'0500'!A224,'Daftar Koreksi'!$G$5:$G$92,"Kontruksi Dalam Pengerjaan",'Daftar Koreksi'!$H$5:$H$92,"&lt;0")-SUMIFS('Daftar Koreksi'!$H$5:$H$92,'Daftar Koreksi'!$D$5:$D$92,'0500'!A224,'Daftar Koreksi'!$G$5:$G$92,"Kontruksi Dalam Pengerjaan",'Daftar Koreksi'!$H$5:$H$92,"&lt;0")-SUMIFS('Daftar Koreksi'!$H$5:$H$92,'Daftar Koreksi'!$D$5:$D$92,'0500'!A224,'Daftar Koreksi'!$G$5:$G$92,"Kontruksi Dalam Pengerjaan",'Daftar Koreksi'!$H$5:$H$92,"&lt;0")</f>
        <v>0</v>
      </c>
      <c r="G233" s="17">
        <f t="shared" si="10"/>
        <v>7022291250</v>
      </c>
      <c r="H233" s="122"/>
      <c r="I233" s="28"/>
      <c r="J233" s="28"/>
    </row>
    <row r="234" spans="1:10" ht="21.95" customHeight="1">
      <c r="A234" s="14"/>
      <c r="B234" s="14"/>
      <c r="C234" s="16" t="s">
        <v>1172</v>
      </c>
      <c r="D234" s="17">
        <f>VLOOKUP(A224,'Neraca Unaudited SIMAK'!$A$2:$S$10004,10,FALSE)</f>
        <v>92940000</v>
      </c>
      <c r="E234" s="25">
        <f>SUMIFS('Daftar Koreksi'!$H$5:$H$92,'Daftar Koreksi'!$D$5:$D$92,'0500'!A224,'Daftar Koreksi'!$G$5:$G$92,"Aset Tak Berwujud",'Daftar Koreksi'!$H$5:$H$92,"&gt;0")</f>
        <v>0</v>
      </c>
      <c r="F234" s="25">
        <f>SUMIFS('Daftar Koreksi'!$H$5:$H$92,'Daftar Koreksi'!$D$5:$D$92,'0500'!A224,'Daftar Koreksi'!$G$5:$G$92,"Aset Tak Berwujud",'Daftar Koreksi'!$H$5:$H$92,"&lt;0")-SUMIFS('Daftar Koreksi'!$H$5:$H$92,'Daftar Koreksi'!$D$5:$D$92,'0500'!A224,'Daftar Koreksi'!$G$5:$G$92,"Aset Tak Berwujud",'Daftar Koreksi'!$H$5:$H$92,"&lt;0")-SUMIFS('Daftar Koreksi'!$H$5:$H$92,'Daftar Koreksi'!$D$5:$D$92,'0500'!A224,'Daftar Koreksi'!$G$5:$G$92,"Aset Tak Berwujud",'Daftar Koreksi'!$H$5:$H$92,"&lt;0")</f>
        <v>0</v>
      </c>
      <c r="G234" s="17">
        <f t="shared" si="10"/>
        <v>92940000</v>
      </c>
      <c r="H234" s="122"/>
      <c r="I234" s="28"/>
      <c r="J234" s="28"/>
    </row>
    <row r="235" spans="1:10" ht="21.95" customHeight="1">
      <c r="A235" s="14"/>
      <c r="B235" s="14"/>
      <c r="C235" s="16" t="s">
        <v>1173</v>
      </c>
      <c r="D235" s="17">
        <f>VLOOKUP(A224,'Neraca Unaudited SIMAK'!$A$2:$S$10004,11,FALSE)</f>
        <v>2708400</v>
      </c>
      <c r="E235" s="25">
        <f>SUMIFS('Daftar Koreksi'!$H$5:$H$92,'Daftar Koreksi'!$D$5:$D$92,'0500'!A224,'Daftar Koreksi'!$G$5:$G$92,"Aset Henti Guna",'Daftar Koreksi'!$H$5:$H$92,"&gt;0")</f>
        <v>0</v>
      </c>
      <c r="F235" s="25">
        <f>SUMIFS('Daftar Koreksi'!$H$5:$H$92,'Daftar Koreksi'!$D$5:$D$92,'0500'!A224,'Daftar Koreksi'!$G$5:$G$92,"Aset Henti Guna",'Daftar Koreksi'!$H$5:$H$92,"&lt;0")-SUMIFS('Daftar Koreksi'!$H$5:$H$92,'Daftar Koreksi'!$D$5:$D$92,'0500'!A224,'Daftar Koreksi'!$G$5:$G$92,"Aset Henti Guna",'Daftar Koreksi'!$H$5:$H$92,"&lt;0")-SUMIFS('Daftar Koreksi'!$H$5:$H$92,'Daftar Koreksi'!$D$5:$D$92,'0500'!A224,'Daftar Koreksi'!$G$5:$G$92,"Aset Henti Guna",'Daftar Koreksi'!$H$5:$H$92,"&lt;0")</f>
        <v>0</v>
      </c>
      <c r="G235" s="17">
        <f t="shared" si="10"/>
        <v>2708400</v>
      </c>
      <c r="H235" s="122"/>
      <c r="I235" s="28"/>
      <c r="J235" s="28"/>
    </row>
    <row r="236" spans="1:10" ht="21.95" customHeight="1">
      <c r="A236" s="14"/>
      <c r="B236" s="14"/>
      <c r="C236" s="18" t="s">
        <v>2093</v>
      </c>
      <c r="D236" s="19">
        <f>VLOOKUP(A224,'Neraca Unaudited SIMAK'!$A$2:$S$10004,12,FALSE)</f>
        <v>30552674038</v>
      </c>
      <c r="E236" s="19">
        <f>SUM(E227:E235)</f>
        <v>4411622</v>
      </c>
      <c r="F236" s="19">
        <f>SUM(F227:F235)</f>
        <v>0</v>
      </c>
      <c r="G236" s="19">
        <f t="shared" si="10"/>
        <v>30557085660</v>
      </c>
      <c r="H236" s="122"/>
      <c r="I236" s="28"/>
      <c r="J236" s="28"/>
    </row>
    <row r="237" spans="1:10" ht="21.95" customHeight="1">
      <c r="A237" s="14"/>
      <c r="B237" s="14"/>
      <c r="C237" s="16" t="s">
        <v>2087</v>
      </c>
      <c r="D237" s="17">
        <f>VLOOKUP(A224,'Neraca Unaudited SIMAK'!$A$2:$S$10004,13,FALSE)</f>
        <v>-1489628727</v>
      </c>
      <c r="E237" s="25">
        <f>SUMIFS('Daftar Koreksi'!$I$5:$I$92,'Daftar Koreksi'!$D$5:$D$92,'0500'!A224,'Daftar Koreksi'!$G$5:$G$92,"Peralatan dan mesin",'Daftar Koreksi'!$I$5:$I$92,"&gt;0")</f>
        <v>0</v>
      </c>
      <c r="F237" s="25">
        <f>SUMIFS('Daftar Koreksi'!$I$5:$I$92,'Daftar Koreksi'!$D$5:$D$92,'0500'!A224,'Daftar Koreksi'!$G$5:$G$92,"Peralatan dan mesin",'Daftar Koreksi'!$I$5:$I$92,"&lt;0")-SUMIFS('Daftar Koreksi'!$I$5:$I$92,'Daftar Koreksi'!$D$5:$D$92,'0500'!A224,'Daftar Koreksi'!$G$5:$G$92,"Peralatan dan mesin",'Daftar Koreksi'!$I$5:$I$92,"&lt;0")-SUMIFS('Daftar Koreksi'!$I$5:$I$92,'Daftar Koreksi'!$D$5:$D$92,'0500'!A224,'Daftar Koreksi'!$G$5:$G$92,"Peralatan dan mesin",'Daftar Koreksi'!$I$5:$I$92,"&lt;0")</f>
        <v>0</v>
      </c>
      <c r="G237" s="17">
        <f t="shared" si="10"/>
        <v>-1489628727</v>
      </c>
      <c r="H237" s="122"/>
      <c r="I237" s="28"/>
      <c r="J237" s="28"/>
    </row>
    <row r="238" spans="1:10" ht="21.95" customHeight="1">
      <c r="A238" s="14"/>
      <c r="B238" s="14"/>
      <c r="C238" s="16" t="s">
        <v>2088</v>
      </c>
      <c r="D238" s="17">
        <f>VLOOKUP(A224,'Neraca Unaudited SIMAK'!$A$2:$S$10004,14,FALSE)</f>
        <v>-1162219941</v>
      </c>
      <c r="E238" s="25">
        <f>SUMIFS('Daftar Koreksi'!$I$5:$I$92,'Daftar Koreksi'!$D$5:$D$92,'0500'!A224,'Daftar Koreksi'!$G$5:$G$92,"Gedung dan Bangunan",'Daftar Koreksi'!$I$5:$I$92,"&gt;0")</f>
        <v>0</v>
      </c>
      <c r="F238" s="25">
        <f>SUMIFS('Daftar Koreksi'!$I$5:$I$92,'Daftar Koreksi'!$D$5:$D$92,'0500'!A224,'Daftar Koreksi'!$G$5:$G$92,"Gedung dan Bangunan",'Daftar Koreksi'!$I$5:$I$92,"&lt;0")-SUMIFS('Daftar Koreksi'!$I$5:$I$92,'Daftar Koreksi'!$D$5:$D$92,'0500'!A224,'Daftar Koreksi'!$G$5:$G$92,"Gedung dan Bangunan",'Daftar Koreksi'!$I$5:$I$92,"&lt;0")-SUMIFS('Daftar Koreksi'!$I$5:$I$92,'Daftar Koreksi'!$D$5:$D$92,'0500'!A224,'Daftar Koreksi'!$G$5:$G$92,"Gedung dan Bangunan",'Daftar Koreksi'!$I$5:$I$92,"&lt;0")</f>
        <v>0</v>
      </c>
      <c r="G238" s="17">
        <f t="shared" si="10"/>
        <v>-1162219941</v>
      </c>
      <c r="H238" s="122"/>
      <c r="I238" s="28"/>
      <c r="J238" s="28"/>
    </row>
    <row r="239" spans="1:10" ht="21.95" customHeight="1">
      <c r="A239" s="14"/>
      <c r="B239" s="14"/>
      <c r="C239" s="16" t="s">
        <v>2089</v>
      </c>
      <c r="D239" s="17">
        <f>VLOOKUP(A224,'Neraca Unaudited SIMAK'!$A$2:$S$10004,15,FALSE)</f>
        <v>-73504785</v>
      </c>
      <c r="E239" s="25">
        <f>SUMIFS('Daftar Koreksi'!$I$5:$I$92,'Daftar Koreksi'!$D$5:$D$92,'0500'!A224,'Daftar Koreksi'!$G$5:$G$92,"Jalan Irigasi Jaringan",'Daftar Koreksi'!$I$5:$I$92,"&gt;0")</f>
        <v>0</v>
      </c>
      <c r="F239" s="25">
        <f>SUMIFS('Daftar Koreksi'!$I$5:$I$92,'Daftar Koreksi'!$D$5:$D$92,'0500'!A224,'Daftar Koreksi'!$G$5:$G$92,"Jalan Irigasi Jaringan",'Daftar Koreksi'!$I$5:$I$92,"&lt;0")-SUMIFS('Daftar Koreksi'!$I$5:$I$92,'Daftar Koreksi'!$D$5:$D$92,'0500'!A224,'Daftar Koreksi'!$G$5:$G$92,"Jalan Irigasi Jaringan",'Daftar Koreksi'!$I$5:$I$92,"&lt;0")-SUMIFS('Daftar Koreksi'!$I$5:$I$92,'Daftar Koreksi'!$D$5:$D$92,'0500'!A224,'Daftar Koreksi'!$G$5:$G$92,"Jalan Irigasi Jaringan",'Daftar Koreksi'!$I$5:$I$92,"&lt;0")</f>
        <v>0</v>
      </c>
      <c r="G239" s="17">
        <f t="shared" si="10"/>
        <v>-73504785</v>
      </c>
      <c r="H239" s="122"/>
      <c r="I239" s="28"/>
      <c r="J239" s="28"/>
    </row>
    <row r="240" spans="1:10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Koreksi'!$D$5:$D$92,'0500'!A224,'Daftar Koreksi'!$G$5:$G$92,"Aset Tetap Lainnya",'Daftar Koreksi'!$I$5:$I$92,"&gt;0")</f>
        <v>0</v>
      </c>
      <c r="F240" s="25">
        <f>SUMIFS('Daftar Koreksi'!$I$5:$I$92,'Daftar Koreksi'!$D$5:$D$92,'0500'!A224,'Daftar Koreksi'!$G$5:$G$92,"Aset Tetap Lainnya",'Daftar Koreksi'!$I$5:$I$92,"&lt;0")-SUMIFS('Daftar Koreksi'!$I$5:$I$92,'Daftar Koreksi'!$D$5:$D$92,'0500'!A224,'Daftar Koreksi'!$G$5:$G$92,"Aset Tetap Lainnya",'Daftar Koreksi'!$I$5:$I$92,"&lt;0")-SUMIFS('Daftar Koreksi'!$I$5:$I$92,'Daftar Koreksi'!$D$5:$D$92,'0500'!A224,'Daftar Koreksi'!$G$5:$G$92,"Aset Tetap Lainnya",'Daftar Koreksi'!$I$5:$I$92,"&lt;0")</f>
        <v>0</v>
      </c>
      <c r="G240" s="17">
        <f t="shared" si="10"/>
        <v>0</v>
      </c>
      <c r="H240" s="122"/>
      <c r="I240" s="28"/>
      <c r="J240" s="28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-2595900</v>
      </c>
      <c r="E241" s="25">
        <f>SUMIFS('Daftar Koreksi'!$I$5:$I$92,'Daftar Koreksi'!$D$5:$D$92,'0500'!A224,'Daftar Koreksi'!$G$5:$G$92,"Aset Henti Guna",'Daftar Koreksi'!$I$5:$I$92,"&gt;0")</f>
        <v>0</v>
      </c>
      <c r="F241" s="25">
        <f>SUMIFS('Daftar Koreksi'!$I$5:$I$92,'Daftar Koreksi'!$D$5:$D$92,'0500'!A224,'Daftar Koreksi'!$G$5:$G$92,"Aset Henti Guna",'Daftar Koreksi'!$I$5:$I$92,"&lt;0")-SUMIFS('Daftar Koreksi'!$I$5:$I$92,'Daftar Koreksi'!$D$5:$D$92,'0500'!A224,'Daftar Koreksi'!$G$5:$G$92,"Aset Henti Guna",'Daftar Koreksi'!$I$5:$I$92,"&lt;0")-SUMIFS('Daftar Koreksi'!$I$5:$I$92,'Daftar Koreksi'!$D$5:$D$92,'0500'!A224,'Daftar Koreksi'!$G$5:$G$92,"Aset Henti Guna",'Daftar Koreksi'!$I$5:$I$92,"&lt;0")</f>
        <v>0</v>
      </c>
      <c r="G241" s="17">
        <f t="shared" si="10"/>
        <v>-2595900</v>
      </c>
      <c r="H241" s="122"/>
      <c r="I241" s="28"/>
      <c r="J241" s="28"/>
    </row>
    <row r="242" spans="1:10" ht="21.95" customHeight="1">
      <c r="A242" s="14"/>
      <c r="B242" s="14"/>
      <c r="C242" s="18" t="s">
        <v>2094</v>
      </c>
      <c r="D242" s="19">
        <f>SUM(D237:D241)</f>
        <v>-2727949353</v>
      </c>
      <c r="E242" s="19">
        <f>SUM(E237:E241)</f>
        <v>0</v>
      </c>
      <c r="F242" s="19">
        <f>SUM(F237:F241)</f>
        <v>0</v>
      </c>
      <c r="G242" s="19">
        <f t="shared" si="10"/>
        <v>-2727949353</v>
      </c>
      <c r="H242" s="122"/>
      <c r="I242" s="28"/>
      <c r="J242" s="28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27824724685</v>
      </c>
      <c r="E243" s="19">
        <f>E242+E236</f>
        <v>4411622</v>
      </c>
      <c r="F243" s="19">
        <f>F242+F236</f>
        <v>0</v>
      </c>
      <c r="G243" s="19">
        <f t="shared" si="10"/>
        <v>27829136307</v>
      </c>
      <c r="H243" s="122"/>
      <c r="I243" s="28"/>
      <c r="J243" s="28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  <c r="I244" s="28"/>
      <c r="J244" s="28"/>
    </row>
    <row r="246" spans="1:10" ht="19.5" customHeight="1">
      <c r="A246" s="11" t="str">
        <f>O12</f>
        <v>005010500098214000KD</v>
      </c>
      <c r="B246" s="11" t="str">
        <f>P12</f>
        <v>PN. Banyuwangi</v>
      </c>
      <c r="C246" s="12" t="str">
        <f>A246&amp;" "&amp;B246</f>
        <v>005010500098214000KD PN. Banyuwangi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0</v>
      </c>
      <c r="E249" s="25">
        <f>SUMIFS('Daftar Koreksi'!$H$5:$H$92,'Daftar Koreksi'!$D$5:$D$92,'0500'!A246,'Daftar Koreksi'!$G$5:$G$92,"Persediaan",'Daftar Koreksi'!$H$5:$H$92,"&gt;0")</f>
        <v>0</v>
      </c>
      <c r="F249" s="25">
        <f>SUMIFS('Daftar Koreksi'!$H$5:$H$92,'Daftar Koreksi'!$D$5:$D$92,'0500'!A246,'Daftar Koreksi'!$G$5:$G$92,"Persediaan",'Daftar Koreksi'!$H$5:$H$92,"&lt;0")-SUMIFS('Daftar Koreksi'!$H$5:$H$92,'Daftar Koreksi'!$D$5:$D$92,'0500'!A246,'Daftar Koreksi'!$G$5:$G$92,"Persediaan",'Daftar Koreksi'!$H$5:$H$92,"&lt;0")-SUMIFS('Daftar Koreksi'!$H$5:$H$92,'Daftar Koreksi'!$D$5:$D$92,'0500'!A246,'Daftar Koreksi'!$G$5:$G$92,"Persediaan",'Daftar Koreksi'!$H$5:$H$92,"&lt;0")</f>
        <v>0</v>
      </c>
      <c r="G249" s="17">
        <f>D249+E249-F249</f>
        <v>0</v>
      </c>
      <c r="H249" s="121" t="str">
        <f>IF(ISNA(VLOOKUP(A246,'Mutasi Neraca'!$A$3:$S$914,19,FALSE)),"-",VLOOKUP(A246,'Mutasi Neraca'!$A$3:$S$914,19,FALSE))</f>
        <v>TP. No 3, TP Koreksi Hibah No. 12</v>
      </c>
      <c r="I249" s="28"/>
      <c r="J249" s="28"/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7419654000</v>
      </c>
      <c r="E250" s="25">
        <f>SUMIFS('Daftar Koreksi'!$H$5:$H$92,'Daftar Koreksi'!$D$5:$D$92,'0500'!A246,'Daftar Koreksi'!$G$5:$G$92,"Tanah",'Daftar Koreksi'!$H$5:$H$92,"&gt;0")</f>
        <v>0</v>
      </c>
      <c r="F250" s="25">
        <f>SUMIFS('Daftar Koreksi'!$H$5:$H$92,'Daftar Koreksi'!$D$5:$D$92,'0500'!A246,'Daftar Koreksi'!$G$5:$G$92,"Tanah",'Daftar Koreksi'!$H$5:$H$92,"&lt;0")-SUMIFS('Daftar Koreksi'!$H$5:$H$92,'Daftar Koreksi'!$D$5:$D$92,'0500'!A246,'Daftar Koreksi'!$G$5:$G$92,"Tanah",'Daftar Koreksi'!$H$5:$H$92,"&lt;0")-SUMIFS('Daftar Koreksi'!$H$5:$H$92,'Daftar Koreksi'!$D$5:$D$92,'0500'!A246,'Daftar Koreksi'!$G$5:$G$92,"Tanah",'Daftar Koreksi'!$H$5:$H$92,"&lt;0")</f>
        <v>0</v>
      </c>
      <c r="G250" s="17">
        <f t="shared" ref="G250:G266" si="11">D250+E250-F250</f>
        <v>7419654000</v>
      </c>
      <c r="H250" s="122"/>
      <c r="I250" s="28"/>
      <c r="J250" s="28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1348408254</v>
      </c>
      <c r="E251" s="25">
        <f>SUMIFS('Daftar Koreksi'!$H$5:$H$92,'Daftar Koreksi'!$D$5:$D$92,'0500'!A246,'Daftar Koreksi'!$G$5:$G$92,"Peralatan dan mesin",'Daftar Koreksi'!$H$5:$H$92,"&gt;0")</f>
        <v>0</v>
      </c>
      <c r="F251" s="25">
        <f>SUMIFS('Daftar Koreksi'!$H$5:$H$92,'Daftar Koreksi'!$D$5:$D$92,'0500'!A246,'Daftar Koreksi'!$G$5:$G$92,"Peralatan dan mesin",'Daftar Koreksi'!$H$5:$H$92,"&lt;0")-SUMIFS('Daftar Koreksi'!$H$5:$H$92,'Daftar Koreksi'!$D$5:$D$92,'0500'!A246,'Daftar Koreksi'!$G$5:$G$92,"Peralatan dan mesin",'Daftar Koreksi'!$H$5:$H$92,"&lt;0")-SUMIFS('Daftar Koreksi'!$H$5:$H$92,'Daftar Koreksi'!$D$5:$D$92,'0500'!A246,'Daftar Koreksi'!$G$5:$G$92,"Peralatan dan mesin",'Daftar Koreksi'!$H$5:$H$92,"&lt;0")</f>
        <v>1000000</v>
      </c>
      <c r="G251" s="17">
        <f t="shared" si="11"/>
        <v>1347408254</v>
      </c>
      <c r="H251" s="122"/>
      <c r="I251" s="28"/>
      <c r="J251" s="28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4050679450</v>
      </c>
      <c r="E252" s="25">
        <f>SUMIFS('Daftar Koreksi'!$H$5:$H$92,'Daftar Koreksi'!$D$5:$D$92,'0500'!A246,'Daftar Koreksi'!$G$5:$G$92,"Gedung dan Bangunan",'Daftar Koreksi'!$H$5:$H$92,"&gt;0")</f>
        <v>0</v>
      </c>
      <c r="F252" s="25">
        <f>SUMIFS('Daftar Koreksi'!$H$5:$H$92,'Daftar Koreksi'!$D$5:$D$92,'0500'!A246,'Daftar Koreksi'!$G$5:$G$92,"Gedung dan Bangunan",'Daftar Koreksi'!$H$5:$H$92,"&lt;0")-SUMIFS('Daftar Koreksi'!$H$5:$H$92,'Daftar Koreksi'!$D$5:$D$92,'0500'!A246,'Daftar Koreksi'!$G$5:$G$92,"Gedung dan Bangunan",'Daftar Koreksi'!$H$5:$H$92,"&lt;0")-SUMIFS('Daftar Koreksi'!$H$5:$H$92,'Daftar Koreksi'!$D$5:$D$92,'0500'!A246,'Daftar Koreksi'!$G$5:$G$92,"Gedung dan Bangunan",'Daftar Koreksi'!$H$5:$H$92,"&lt;0")</f>
        <v>0</v>
      </c>
      <c r="G252" s="17">
        <f t="shared" si="11"/>
        <v>4050679450</v>
      </c>
      <c r="H252" s="122"/>
      <c r="I252" s="28"/>
      <c r="J252" s="28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Koreksi'!$D$5:$D$92,'0500'!A246,'Daftar Koreksi'!$G$5:$G$92,"Jalan Irigasi Jaringan",'Daftar Koreksi'!$H$5:$H$92,"&gt;0")</f>
        <v>0</v>
      </c>
      <c r="F253" s="25">
        <f>SUMIFS('Daftar Koreksi'!$H$5:$H$92,'Daftar Koreksi'!$D$5:$D$92,'0500'!A246,'Daftar Koreksi'!$G$5:$G$92,"Jalan Irigasi Jaringan",'Daftar Koreksi'!$H$5:$H$92,"&lt;0")-SUMIFS('Daftar Koreksi'!$H$5:$H$92,'Daftar Koreksi'!$D$5:$D$92,'0500'!A246,'Daftar Koreksi'!$G$5:$G$92,"Jalan Irigasi Jaringan",'Daftar Koreksi'!$H$5:$H$92,"&lt;0")-SUMIFS('Daftar Koreksi'!$H$5:$H$92,'Daftar Koreksi'!$D$5:$D$92,'0500'!A246,'Daftar Koreksi'!$G$5:$G$92,"Jalan Irigasi Jaringan",'Daftar Koreksi'!$H$5:$H$92,"&lt;0")</f>
        <v>0</v>
      </c>
      <c r="G253" s="17">
        <f t="shared" si="11"/>
        <v>0</v>
      </c>
      <c r="H253" s="122"/>
      <c r="I253" s="28"/>
      <c r="J253" s="28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200768440</v>
      </c>
      <c r="E254" s="25">
        <f>SUMIFS('Daftar Koreksi'!$H$5:$H$92,'Daftar Koreksi'!$D$5:$D$92,'0500'!A246,'Daftar Koreksi'!$G$5:$G$92,"Aset Tetap Lainnya",'Daftar Koreksi'!$H$5:$H$92,"&gt;0")</f>
        <v>4411622</v>
      </c>
      <c r="F254" s="25">
        <f>SUMIFS('Daftar Koreksi'!$H$5:$H$92,'Daftar Koreksi'!$D$5:$D$92,'0500'!A246,'Daftar Koreksi'!$G$5:$G$92,"Aset Tetap Lainnya",'Daftar Koreksi'!$H$5:$H$92,"&lt;0")-SUMIFS('Daftar Koreksi'!$H$5:$H$92,'Daftar Koreksi'!$D$5:$D$92,'0500'!A246,'Daftar Koreksi'!$G$5:$G$92,"Aset Tetap Lainnya",'Daftar Koreksi'!$H$5:$H$92,"&lt;0")-SUMIFS('Daftar Koreksi'!$H$5:$H$92,'Daftar Koreksi'!$D$5:$D$92,'0500'!A246,'Daftar Koreksi'!$G$5:$G$92,"Aset Tetap Lainnya",'Daftar Koreksi'!$H$5:$H$92,"&lt;0")</f>
        <v>0</v>
      </c>
      <c r="G254" s="17">
        <f t="shared" si="11"/>
        <v>205180062</v>
      </c>
      <c r="H254" s="122"/>
      <c r="I254" s="28"/>
      <c r="J254" s="28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Koreksi'!$D$5:$D$92,'0500'!A246,'Daftar Koreksi'!$G$5:$G$92,"Kontruksi Dalam Pengerjaan",'Daftar Koreksi'!$H$5:$H$92,"&gt;0")</f>
        <v>0</v>
      </c>
      <c r="F255" s="25">
        <f>SUMIFS('Daftar Koreksi'!$H$5:$H$92,'Daftar Koreksi'!$D$5:$D$92,'0500'!A246,'Daftar Koreksi'!$G$5:$G$92,"Kontruksi Dalam Pengerjaan",'Daftar Koreksi'!$H$5:$H$92,"&lt;0")-SUMIFS('Daftar Koreksi'!$H$5:$H$92,'Daftar Koreksi'!$D$5:$D$92,'0500'!A246,'Daftar Koreksi'!$G$5:$G$92,"Kontruksi Dalam Pengerjaan",'Daftar Koreksi'!$H$5:$H$92,"&lt;0")-SUMIFS('Daftar Koreksi'!$H$5:$H$92,'Daftar Koreksi'!$D$5:$D$92,'0500'!A246,'Daftar Koreksi'!$G$5:$G$92,"Kontruksi Dalam Pengerjaan",'Daftar Koreksi'!$H$5:$H$92,"&lt;0")</f>
        <v>0</v>
      </c>
      <c r="G255" s="17">
        <f t="shared" si="11"/>
        <v>0</v>
      </c>
      <c r="H255" s="122"/>
      <c r="I255" s="28"/>
      <c r="J255" s="28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60280000</v>
      </c>
      <c r="E256" s="25">
        <f>SUMIFS('Daftar Koreksi'!$H$5:$H$92,'Daftar Koreksi'!$D$5:$D$92,'0500'!A246,'Daftar Koreksi'!$G$5:$G$92,"Aset Tak Berwujud",'Daftar Koreksi'!$H$5:$H$92,"&gt;0")</f>
        <v>0</v>
      </c>
      <c r="F256" s="25">
        <f>SUMIFS('Daftar Koreksi'!$H$5:$H$92,'Daftar Koreksi'!$D$5:$D$92,'0500'!A246,'Daftar Koreksi'!$G$5:$G$92,"Aset Tak Berwujud",'Daftar Koreksi'!$H$5:$H$92,"&lt;0")-SUMIFS('Daftar Koreksi'!$H$5:$H$92,'Daftar Koreksi'!$D$5:$D$92,'0500'!A246,'Daftar Koreksi'!$G$5:$G$92,"Aset Tak Berwujud",'Daftar Koreksi'!$H$5:$H$92,"&lt;0")-SUMIFS('Daftar Koreksi'!$H$5:$H$92,'Daftar Koreksi'!$D$5:$D$92,'0500'!A246,'Daftar Koreksi'!$G$5:$G$92,"Aset Tak Berwujud",'Daftar Koreksi'!$H$5:$H$92,"&lt;0")</f>
        <v>0</v>
      </c>
      <c r="G256" s="17">
        <f t="shared" si="11"/>
        <v>60280000</v>
      </c>
      <c r="H256" s="122"/>
      <c r="I256" s="28"/>
      <c r="J256" s="28"/>
    </row>
    <row r="257" spans="1:10" ht="21.95" customHeight="1">
      <c r="A257" s="14"/>
      <c r="B257" s="14"/>
      <c r="C257" s="16" t="s">
        <v>1173</v>
      </c>
      <c r="D257" s="17">
        <f>VLOOKUP(A246,'Neraca Unaudited SIMAK'!$A$2:$S$10004,11,FALSE)</f>
        <v>25250000</v>
      </c>
      <c r="E257" s="25">
        <f>SUMIFS('Daftar Koreksi'!$H$5:$H$92,'Daftar Koreksi'!$D$5:$D$92,'0500'!A246,'Daftar Koreksi'!$G$5:$G$92,"Aset Henti Guna",'Daftar Koreksi'!$H$5:$H$92,"&gt;0")</f>
        <v>0</v>
      </c>
      <c r="F257" s="25">
        <f>SUMIFS('Daftar Koreksi'!$H$5:$H$92,'Daftar Koreksi'!$D$5:$D$92,'0500'!A246,'Daftar Koreksi'!$G$5:$G$92,"Aset Henti Guna",'Daftar Koreksi'!$H$5:$H$92,"&lt;0")-SUMIFS('Daftar Koreksi'!$H$5:$H$92,'Daftar Koreksi'!$D$5:$D$92,'0500'!A246,'Daftar Koreksi'!$G$5:$G$92,"Aset Henti Guna",'Daftar Koreksi'!$H$5:$H$92,"&lt;0")-SUMIFS('Daftar Koreksi'!$H$5:$H$92,'Daftar Koreksi'!$D$5:$D$92,'0500'!A246,'Daftar Koreksi'!$G$5:$G$92,"Aset Henti Guna",'Daftar Koreksi'!$H$5:$H$92,"&lt;0")</f>
        <v>0</v>
      </c>
      <c r="G257" s="17">
        <f t="shared" si="11"/>
        <v>25250000</v>
      </c>
      <c r="H257" s="122"/>
      <c r="I257" s="28"/>
      <c r="J257" s="28"/>
    </row>
    <row r="258" spans="1:10" ht="21.95" customHeight="1">
      <c r="A258" s="14"/>
      <c r="B258" s="14"/>
      <c r="C258" s="18" t="s">
        <v>2093</v>
      </c>
      <c r="D258" s="19">
        <f>VLOOKUP(A246,'Neraca Unaudited SIMAK'!$A$2:$S$10004,12,FALSE)</f>
        <v>13105040144</v>
      </c>
      <c r="E258" s="19">
        <f>SUM(E249:E257)</f>
        <v>4411622</v>
      </c>
      <c r="F258" s="19">
        <f>SUM(F249:F257)</f>
        <v>1000000</v>
      </c>
      <c r="G258" s="19">
        <f t="shared" si="11"/>
        <v>13108451766</v>
      </c>
      <c r="H258" s="122"/>
      <c r="I258" s="28"/>
      <c r="J258" s="28"/>
    </row>
    <row r="259" spans="1:10" ht="21.95" customHeight="1">
      <c r="A259" s="14"/>
      <c r="B259" s="14"/>
      <c r="C259" s="16" t="s">
        <v>2087</v>
      </c>
      <c r="D259" s="17">
        <f>VLOOKUP(A246,'Neraca Unaudited SIMAK'!$A$2:$S$10004,13,FALSE)</f>
        <v>-1152499779</v>
      </c>
      <c r="E259" s="25">
        <f>SUMIFS('Daftar Koreksi'!$I$5:$I$92,'Daftar Koreksi'!$D$5:$D$92,'0500'!A246,'Daftar Koreksi'!$G$5:$G$92,"Peralatan dan mesin",'Daftar Koreksi'!$I$5:$I$92,"&gt;0")</f>
        <v>100000</v>
      </c>
      <c r="F259" s="25">
        <f>SUMIFS('Daftar Koreksi'!$I$5:$I$92,'Daftar Koreksi'!$D$5:$D$92,'0500'!A246,'Daftar Koreksi'!$G$5:$G$92,"Peralatan dan mesin",'Daftar Koreksi'!$I$5:$I$92,"&lt;0")-SUMIFS('Daftar Koreksi'!$I$5:$I$92,'Daftar Koreksi'!$D$5:$D$92,'0500'!A246,'Daftar Koreksi'!$G$5:$G$92,"Peralatan dan mesin",'Daftar Koreksi'!$I$5:$I$92,"&lt;0")-SUMIFS('Daftar Koreksi'!$I$5:$I$92,'Daftar Koreksi'!$D$5:$D$92,'0500'!A246,'Daftar Koreksi'!$G$5:$G$92,"Peralatan dan mesin",'Daftar Koreksi'!$I$5:$I$92,"&lt;0")</f>
        <v>0</v>
      </c>
      <c r="G259" s="17">
        <f t="shared" si="11"/>
        <v>-1152399779</v>
      </c>
      <c r="H259" s="122"/>
      <c r="I259" s="28"/>
      <c r="J259" s="28"/>
    </row>
    <row r="260" spans="1:10" ht="21.95" customHeight="1">
      <c r="A260" s="14"/>
      <c r="B260" s="14"/>
      <c r="C260" s="16" t="s">
        <v>2088</v>
      </c>
      <c r="D260" s="17">
        <f>VLOOKUP(A246,'Neraca Unaudited SIMAK'!$A$2:$S$10004,14,FALSE)</f>
        <v>-2369335859</v>
      </c>
      <c r="E260" s="25">
        <f>SUMIFS('Daftar Koreksi'!$I$5:$I$92,'Daftar Koreksi'!$D$5:$D$92,'0500'!A246,'Daftar Koreksi'!$G$5:$G$92,"Gedung dan Bangunan",'Daftar Koreksi'!$I$5:$I$92,"&gt;0")</f>
        <v>0</v>
      </c>
      <c r="F260" s="25">
        <f>SUMIFS('Daftar Koreksi'!$I$5:$I$92,'Daftar Koreksi'!$D$5:$D$92,'0500'!A246,'Daftar Koreksi'!$G$5:$G$92,"Gedung dan Bangunan",'Daftar Koreksi'!$I$5:$I$92,"&lt;0")-SUMIFS('Daftar Koreksi'!$I$5:$I$92,'Daftar Koreksi'!$D$5:$D$92,'0500'!A246,'Daftar Koreksi'!$G$5:$G$92,"Gedung dan Bangunan",'Daftar Koreksi'!$I$5:$I$92,"&lt;0")-SUMIFS('Daftar Koreksi'!$I$5:$I$92,'Daftar Koreksi'!$D$5:$D$92,'0500'!A246,'Daftar Koreksi'!$G$5:$G$92,"Gedung dan Bangunan",'Daftar Koreksi'!$I$5:$I$92,"&lt;0")</f>
        <v>0</v>
      </c>
      <c r="G260" s="17">
        <f t="shared" si="11"/>
        <v>-2369335859</v>
      </c>
      <c r="H260" s="122"/>
      <c r="I260" s="28"/>
      <c r="J260" s="28"/>
    </row>
    <row r="261" spans="1:10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Koreksi'!$D$5:$D$92,'0500'!A246,'Daftar Koreksi'!$G$5:$G$92,"Jalan Irigasi Jaringan",'Daftar Koreksi'!$I$5:$I$92,"&gt;0")</f>
        <v>0</v>
      </c>
      <c r="F261" s="25">
        <f>SUMIFS('Daftar Koreksi'!$I$5:$I$92,'Daftar Koreksi'!$D$5:$D$92,'0500'!A246,'Daftar Koreksi'!$G$5:$G$92,"Jalan Irigasi Jaringan",'Daftar Koreksi'!$I$5:$I$92,"&lt;0")-SUMIFS('Daftar Koreksi'!$I$5:$I$92,'Daftar Koreksi'!$D$5:$D$92,'0500'!A246,'Daftar Koreksi'!$G$5:$G$92,"Jalan Irigasi Jaringan",'Daftar Koreksi'!$I$5:$I$92,"&lt;0")-SUMIFS('Daftar Koreksi'!$I$5:$I$92,'Daftar Koreksi'!$D$5:$D$92,'0500'!A246,'Daftar Koreksi'!$G$5:$G$92,"Jalan Irigasi Jaringan",'Daftar Koreksi'!$I$5:$I$92,"&lt;0")</f>
        <v>0</v>
      </c>
      <c r="G261" s="17">
        <f t="shared" si="11"/>
        <v>0</v>
      </c>
      <c r="H261" s="122"/>
      <c r="I261" s="28"/>
      <c r="J261" s="28"/>
    </row>
    <row r="262" spans="1:10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Koreksi'!$D$5:$D$92,'0500'!A246,'Daftar Koreksi'!$G$5:$G$92,"Aset Tetap Lainnya",'Daftar Koreksi'!$I$5:$I$92,"&gt;0")</f>
        <v>0</v>
      </c>
      <c r="F262" s="25">
        <f>SUMIFS('Daftar Koreksi'!$I$5:$I$92,'Daftar Koreksi'!$D$5:$D$92,'0500'!A246,'Daftar Koreksi'!$G$5:$G$92,"Aset Tetap Lainnya",'Daftar Koreksi'!$I$5:$I$92,"&lt;0")-SUMIFS('Daftar Koreksi'!$I$5:$I$92,'Daftar Koreksi'!$D$5:$D$92,'0500'!A246,'Daftar Koreksi'!$G$5:$G$92,"Aset Tetap Lainnya",'Daftar Koreksi'!$I$5:$I$92,"&lt;0")-SUMIFS('Daftar Koreksi'!$I$5:$I$92,'Daftar Koreksi'!$D$5:$D$92,'0500'!A246,'Daftar Koreksi'!$G$5:$G$92,"Aset Tetap Lainnya",'Daftar Koreksi'!$I$5:$I$92,"&lt;0")</f>
        <v>0</v>
      </c>
      <c r="G262" s="17">
        <f t="shared" si="11"/>
        <v>0</v>
      </c>
      <c r="H262" s="122"/>
      <c r="I262" s="28"/>
      <c r="J262" s="28"/>
    </row>
    <row r="263" spans="1:10" ht="21.95" customHeight="1">
      <c r="A263" s="14"/>
      <c r="B263" s="14"/>
      <c r="C263" s="16" t="s">
        <v>2020</v>
      </c>
      <c r="D263" s="17">
        <f>VLOOKUP(A246,'Neraca Unaudited SIMAK'!$A$2:$S$10004,17,FALSE)</f>
        <v>-25250000</v>
      </c>
      <c r="E263" s="25">
        <f>SUMIFS('Daftar Koreksi'!$I$5:$I$92,'Daftar Koreksi'!$D$5:$D$92,'0500'!A246,'Daftar Koreksi'!$G$5:$G$92,"Aset Henti Guna",'Daftar Koreksi'!$I$5:$I$92,"&gt;0")</f>
        <v>0</v>
      </c>
      <c r="F263" s="25">
        <f>SUMIFS('Daftar Koreksi'!$I$5:$I$92,'Daftar Koreksi'!$D$5:$D$92,'0500'!A246,'Daftar Koreksi'!$G$5:$G$92,"Aset Henti Guna",'Daftar Koreksi'!$I$5:$I$92,"&lt;0")-SUMIFS('Daftar Koreksi'!$I$5:$I$92,'Daftar Koreksi'!$D$5:$D$92,'0500'!A246,'Daftar Koreksi'!$G$5:$G$92,"Aset Henti Guna",'Daftar Koreksi'!$I$5:$I$92,"&lt;0")-SUMIFS('Daftar Koreksi'!$I$5:$I$92,'Daftar Koreksi'!$D$5:$D$92,'0500'!A246,'Daftar Koreksi'!$G$5:$G$92,"Aset Henti Guna",'Daftar Koreksi'!$I$5:$I$92,"&lt;0")</f>
        <v>0</v>
      </c>
      <c r="G263" s="17">
        <f t="shared" si="11"/>
        <v>-25250000</v>
      </c>
      <c r="H263" s="122"/>
      <c r="I263" s="28"/>
      <c r="J263" s="28"/>
    </row>
    <row r="264" spans="1:10" ht="21.95" customHeight="1">
      <c r="A264" s="14"/>
      <c r="B264" s="14"/>
      <c r="C264" s="18" t="s">
        <v>2094</v>
      </c>
      <c r="D264" s="19">
        <f>SUM(D259:D263)</f>
        <v>-3547085638</v>
      </c>
      <c r="E264" s="19">
        <f>SUM(E259:E263)</f>
        <v>100000</v>
      </c>
      <c r="F264" s="19">
        <f>SUM(F259:F263)</f>
        <v>0</v>
      </c>
      <c r="G264" s="19">
        <f t="shared" si="11"/>
        <v>-3546985638</v>
      </c>
      <c r="H264" s="122"/>
      <c r="I264" s="28"/>
      <c r="J264" s="28"/>
    </row>
    <row r="265" spans="1:10" ht="21.95" customHeight="1">
      <c r="A265" s="14"/>
      <c r="B265" s="14"/>
      <c r="C265" s="18" t="s">
        <v>2095</v>
      </c>
      <c r="D265" s="19">
        <f>VLOOKUP(A246,'Neraca Unaudited SIMAK'!$A$2:$S$10004,18,FALSE)</f>
        <v>9557954506</v>
      </c>
      <c r="E265" s="19">
        <f>E264+E258</f>
        <v>4511622</v>
      </c>
      <c r="F265" s="19">
        <f>F264+F258</f>
        <v>1000000</v>
      </c>
      <c r="G265" s="19">
        <f t="shared" si="11"/>
        <v>9561466128</v>
      </c>
      <c r="H265" s="122"/>
      <c r="I265" s="28"/>
      <c r="J265" s="28"/>
    </row>
    <row r="266" spans="1:10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  <c r="I266" s="28"/>
      <c r="J266" s="28"/>
    </row>
    <row r="268" spans="1:10" ht="19.5" customHeight="1">
      <c r="A268" s="11" t="str">
        <f>O13</f>
        <v>005010500098221000KD</v>
      </c>
      <c r="B268" s="11" t="str">
        <f>P13</f>
        <v>PN. Situbondo</v>
      </c>
      <c r="C268" s="12" t="str">
        <f>A268&amp;" "&amp;B268</f>
        <v>005010500098221000KD PN. Situbondo</v>
      </c>
      <c r="D268" s="13"/>
      <c r="E268" s="13"/>
      <c r="F268" s="13"/>
      <c r="G268" s="13"/>
      <c r="H268" s="11"/>
    </row>
    <row r="269" spans="1:10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10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10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Koreksi'!$D$5:$D$92,'0500'!A268,'Daftar Koreksi'!$G$5:$G$92,"Persediaan",'Daftar Koreksi'!$H$5:$H$92,"&gt;0")</f>
        <v>0</v>
      </c>
      <c r="F271" s="25">
        <f>SUMIFS('Daftar Koreksi'!$H$5:$H$92,'Daftar Koreksi'!$D$5:$D$92,'0500'!A268,'Daftar Koreksi'!$G$5:$G$92,"Persediaan",'Daftar Koreksi'!$H$5:$H$92,"&lt;0")-SUMIFS('Daftar Koreksi'!$H$5:$H$92,'Daftar Koreksi'!$D$5:$D$92,'0500'!A268,'Daftar Koreksi'!$G$5:$G$92,"Persediaan",'Daftar Koreksi'!$H$5:$H$92,"&lt;0")-SUMIFS('Daftar Koreksi'!$H$5:$H$92,'Daftar Koreksi'!$D$5:$D$92,'0500'!A268,'Daftar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TP. No 3</v>
      </c>
    </row>
    <row r="272" spans="1:10" ht="21.95" customHeight="1">
      <c r="A272" s="14"/>
      <c r="B272" s="14"/>
      <c r="C272" s="16" t="s">
        <v>1166</v>
      </c>
      <c r="D272" s="17">
        <f>VLOOKUP(A268,'Neraca Unaudited SIMAK'!$A$2:$S$10004,4,FALSE)</f>
        <v>2860125000</v>
      </c>
      <c r="E272" s="25">
        <f>SUMIFS('Daftar Koreksi'!$H$5:$H$92,'Daftar Koreksi'!$D$5:$D$92,'0500'!A268,'Daftar Koreksi'!$G$5:$G$92,"Tanah",'Daftar Koreksi'!$H$5:$H$92,"&gt;0")</f>
        <v>0</v>
      </c>
      <c r="F272" s="25">
        <f>SUMIFS('Daftar Koreksi'!$H$5:$H$92,'Daftar Koreksi'!$D$5:$D$92,'0500'!A268,'Daftar Koreksi'!$G$5:$G$92,"Tanah",'Daftar Koreksi'!$H$5:$H$92,"&lt;0")-SUMIFS('Daftar Koreksi'!$H$5:$H$92,'Daftar Koreksi'!$D$5:$D$92,'0500'!A268,'Daftar Koreksi'!$G$5:$G$92,"Tanah",'Daftar Koreksi'!$H$5:$H$92,"&lt;0")-SUMIFS('Daftar Koreksi'!$H$5:$H$92,'Daftar Koreksi'!$D$5:$D$92,'0500'!A268,'Daftar Koreksi'!$G$5:$G$92,"Tanah",'Daftar Koreksi'!$H$5:$H$92,"&lt;0")</f>
        <v>0</v>
      </c>
      <c r="G272" s="17">
        <f t="shared" ref="G272:G288" si="12">D272+E272-F272</f>
        <v>2860125000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1459886654</v>
      </c>
      <c r="E273" s="25">
        <f>SUMIFS('Daftar Koreksi'!$H$5:$H$92,'Daftar Koreksi'!$D$5:$D$92,'0500'!A268,'Daftar Koreksi'!$G$5:$G$92,"Peralatan dan mesin",'Daftar Koreksi'!$H$5:$H$92,"&gt;0")</f>
        <v>0</v>
      </c>
      <c r="F273" s="25">
        <f>SUMIFS('Daftar Koreksi'!$H$5:$H$92,'Daftar Koreksi'!$D$5:$D$92,'0500'!A268,'Daftar Koreksi'!$G$5:$G$92,"Peralatan dan mesin",'Daftar Koreksi'!$H$5:$H$92,"&lt;0")-SUMIFS('Daftar Koreksi'!$H$5:$H$92,'Daftar Koreksi'!$D$5:$D$92,'0500'!A268,'Daftar Koreksi'!$G$5:$G$92,"Peralatan dan mesin",'Daftar Koreksi'!$H$5:$H$92,"&lt;0")-SUMIFS('Daftar Koreksi'!$H$5:$H$92,'Daftar Koreksi'!$D$5:$D$92,'0500'!A268,'Daftar Koreksi'!$G$5:$G$92,"Peralatan dan mesin",'Daftar Koreksi'!$H$5:$H$92,"&lt;0")</f>
        <v>0</v>
      </c>
      <c r="G273" s="17">
        <f t="shared" si="12"/>
        <v>1459886654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2225391000</v>
      </c>
      <c r="E274" s="25">
        <f>SUMIFS('Daftar Koreksi'!$H$5:$H$92,'Daftar Koreksi'!$D$5:$D$92,'0500'!A268,'Daftar Koreksi'!$G$5:$G$92,"Gedung dan Bangunan",'Daftar Koreksi'!$H$5:$H$92,"&gt;0")</f>
        <v>0</v>
      </c>
      <c r="F274" s="25">
        <f>SUMIFS('Daftar Koreksi'!$H$5:$H$92,'Daftar Koreksi'!$D$5:$D$92,'0500'!A268,'Daftar Koreksi'!$G$5:$G$92,"Gedung dan Bangunan",'Daftar Koreksi'!$H$5:$H$92,"&lt;0")-SUMIFS('Daftar Koreksi'!$H$5:$H$92,'Daftar Koreksi'!$D$5:$D$92,'0500'!A268,'Daftar Koreksi'!$G$5:$G$92,"Gedung dan Bangunan",'Daftar Koreksi'!$H$5:$H$92,"&lt;0")-SUMIFS('Daftar Koreksi'!$H$5:$H$92,'Daftar Koreksi'!$D$5:$D$92,'0500'!A268,'Daftar Koreksi'!$G$5:$G$92,"Gedung dan Bangunan",'Daftar Koreksi'!$H$5:$H$92,"&lt;0")</f>
        <v>0</v>
      </c>
      <c r="G274" s="17">
        <f t="shared" si="12"/>
        <v>2225391000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124680000</v>
      </c>
      <c r="E275" s="25">
        <f>SUMIFS('Daftar Koreksi'!$H$5:$H$92,'Daftar Koreksi'!$D$5:$D$92,'0500'!A268,'Daftar Koreksi'!$G$5:$G$92,"Jalan Irigasi Jaringan",'Daftar Koreksi'!$H$5:$H$92,"&gt;0")</f>
        <v>0</v>
      </c>
      <c r="F275" s="25">
        <f>SUMIFS('Daftar Koreksi'!$H$5:$H$92,'Daftar Koreksi'!$D$5:$D$92,'0500'!A268,'Daftar Koreksi'!$G$5:$G$92,"Jalan Irigasi Jaringan",'Daftar Koreksi'!$H$5:$H$92,"&lt;0")-SUMIFS('Daftar Koreksi'!$H$5:$H$92,'Daftar Koreksi'!$D$5:$D$92,'0500'!A268,'Daftar Koreksi'!$G$5:$G$92,"Jalan Irigasi Jaringan",'Daftar Koreksi'!$H$5:$H$92,"&lt;0")-SUMIFS('Daftar Koreksi'!$H$5:$H$92,'Daftar Koreksi'!$D$5:$D$92,'0500'!A268,'Daftar Koreksi'!$G$5:$G$92,"Jalan Irigasi Jaringan",'Daftar Koreksi'!$H$5:$H$92,"&lt;0")</f>
        <v>0</v>
      </c>
      <c r="G275" s="17">
        <f t="shared" si="12"/>
        <v>124680000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1943440</v>
      </c>
      <c r="E276" s="25">
        <f>SUMIFS('Daftar Koreksi'!$H$5:$H$92,'Daftar Koreksi'!$D$5:$D$92,'0500'!A268,'Daftar Koreksi'!$G$5:$G$92,"Aset Tetap Lainnya",'Daftar Koreksi'!$H$5:$H$92,"&gt;0")</f>
        <v>4411622</v>
      </c>
      <c r="F276" s="25">
        <f>SUMIFS('Daftar Koreksi'!$H$5:$H$92,'Daftar Koreksi'!$D$5:$D$92,'0500'!A268,'Daftar Koreksi'!$G$5:$G$92,"Aset Tetap Lainnya",'Daftar Koreksi'!$H$5:$H$92,"&lt;0")-SUMIFS('Daftar Koreksi'!$H$5:$H$92,'Daftar Koreksi'!$D$5:$D$92,'0500'!A268,'Daftar Koreksi'!$G$5:$G$92,"Aset Tetap Lainnya",'Daftar Koreksi'!$H$5:$H$92,"&lt;0")-SUMIFS('Daftar Koreksi'!$H$5:$H$92,'Daftar Koreksi'!$D$5:$D$92,'0500'!A268,'Daftar Koreksi'!$G$5:$G$92,"Aset Tetap Lainnya",'Daftar Koreksi'!$H$5:$H$92,"&lt;0")</f>
        <v>0</v>
      </c>
      <c r="G276" s="17">
        <f t="shared" si="12"/>
        <v>6355062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Koreksi'!$D$5:$D$92,'0500'!A268,'Daftar Koreksi'!$G$5:$G$92,"Kontruksi Dalam Pengerjaan",'Daftar Koreksi'!$H$5:$H$92,"&gt;0")</f>
        <v>0</v>
      </c>
      <c r="F277" s="25">
        <f>SUMIFS('Daftar Koreksi'!$H$5:$H$92,'Daftar Koreksi'!$D$5:$D$92,'0500'!A268,'Daftar Koreksi'!$G$5:$G$92,"Kontruksi Dalam Pengerjaan",'Daftar Koreksi'!$H$5:$H$92,"&lt;0")-SUMIFS('Daftar Koreksi'!$H$5:$H$92,'Daftar Koreksi'!$D$5:$D$92,'0500'!A268,'Daftar Koreksi'!$G$5:$G$92,"Kontruksi Dalam Pengerjaan",'Daftar Koreksi'!$H$5:$H$92,"&lt;0")-SUMIFS('Daftar Koreksi'!$H$5:$H$92,'Daftar Koreksi'!$D$5:$D$92,'0500'!A268,'Daftar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Koreksi'!$D$5:$D$92,'0500'!A268,'Daftar Koreksi'!$G$5:$G$92,"Aset Tak Berwujud",'Daftar Koreksi'!$H$5:$H$92,"&gt;0")</f>
        <v>0</v>
      </c>
      <c r="F278" s="25">
        <f>SUMIFS('Daftar Koreksi'!$H$5:$H$92,'Daftar Koreksi'!$D$5:$D$92,'0500'!A268,'Daftar Koreksi'!$G$5:$G$92,"Aset Tak Berwujud",'Daftar Koreksi'!$H$5:$H$92,"&lt;0")-SUMIFS('Daftar Koreksi'!$H$5:$H$92,'Daftar Koreksi'!$D$5:$D$92,'0500'!A268,'Daftar Koreksi'!$G$5:$G$92,"Aset Tak Berwujud",'Daftar Koreksi'!$H$5:$H$92,"&lt;0")-SUMIFS('Daftar Koreksi'!$H$5:$H$92,'Daftar Koreksi'!$D$5:$D$92,'0500'!A268,'Daftar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Koreksi'!$D$5:$D$92,'0500'!A268,'Daftar Koreksi'!$G$5:$G$92,"Aset Henti Guna",'Daftar Koreksi'!$H$5:$H$92,"&gt;0")</f>
        <v>0</v>
      </c>
      <c r="F279" s="25">
        <f>SUMIFS('Daftar Koreksi'!$H$5:$H$92,'Daftar Koreksi'!$D$5:$D$92,'0500'!A268,'Daftar Koreksi'!$G$5:$G$92,"Aset Henti Guna",'Daftar Koreksi'!$H$5:$H$92,"&lt;0")-SUMIFS('Daftar Koreksi'!$H$5:$H$92,'Daftar Koreksi'!$D$5:$D$92,'0500'!A268,'Daftar Koreksi'!$G$5:$G$92,"Aset Henti Guna",'Daftar Koreksi'!$H$5:$H$92,"&lt;0")-SUMIFS('Daftar Koreksi'!$H$5:$H$92,'Daftar Koreksi'!$D$5:$D$92,'0500'!A268,'Daftar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6672026094</v>
      </c>
      <c r="E280" s="19">
        <f>SUM(E271:E279)</f>
        <v>4411622</v>
      </c>
      <c r="F280" s="19">
        <f>SUM(F271:F279)</f>
        <v>0</v>
      </c>
      <c r="G280" s="19">
        <f t="shared" si="12"/>
        <v>6676437716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-1218784424</v>
      </c>
      <c r="E281" s="25">
        <f>SUMIFS('Daftar Koreksi'!$I$5:$I$92,'Daftar Koreksi'!$D$5:$D$92,'0500'!A268,'Daftar Koreksi'!$G$5:$G$92,"Peralatan dan mesin",'Daftar Koreksi'!$I$5:$I$92,"&gt;0")</f>
        <v>0</v>
      </c>
      <c r="F281" s="25">
        <f>SUMIFS('Daftar Koreksi'!$I$5:$I$92,'Daftar Koreksi'!$D$5:$D$92,'0500'!A268,'Daftar Koreksi'!$G$5:$G$92,"Peralatan dan mesin",'Daftar Koreksi'!$I$5:$I$92,"&lt;0")-SUMIFS('Daftar Koreksi'!$I$5:$I$92,'Daftar Koreksi'!$D$5:$D$92,'0500'!A268,'Daftar Koreksi'!$G$5:$G$92,"Peralatan dan mesin",'Daftar Koreksi'!$I$5:$I$92,"&lt;0")-SUMIFS('Daftar Koreksi'!$I$5:$I$92,'Daftar Koreksi'!$D$5:$D$92,'0500'!A268,'Daftar Koreksi'!$G$5:$G$92,"Peralatan dan mesin",'Daftar Koreksi'!$I$5:$I$92,"&lt;0")</f>
        <v>0</v>
      </c>
      <c r="G281" s="17">
        <f t="shared" si="12"/>
        <v>-1218784424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-372823240</v>
      </c>
      <c r="E282" s="25">
        <f>SUMIFS('Daftar Koreksi'!$I$5:$I$92,'Daftar Koreksi'!$D$5:$D$92,'0500'!A268,'Daftar Koreksi'!$G$5:$G$92,"Gedung dan Bangunan",'Daftar Koreksi'!$I$5:$I$92,"&gt;0")</f>
        <v>0</v>
      </c>
      <c r="F282" s="25">
        <f>SUMIFS('Daftar Koreksi'!$I$5:$I$92,'Daftar Koreksi'!$D$5:$D$92,'0500'!A268,'Daftar Koreksi'!$G$5:$G$92,"Gedung dan Bangunan",'Daftar Koreksi'!$I$5:$I$92,"&lt;0")-SUMIFS('Daftar Koreksi'!$I$5:$I$92,'Daftar Koreksi'!$D$5:$D$92,'0500'!A268,'Daftar Koreksi'!$G$5:$G$92,"Gedung dan Bangunan",'Daftar Koreksi'!$I$5:$I$92,"&lt;0")-SUMIFS('Daftar Koreksi'!$I$5:$I$92,'Daftar Koreksi'!$D$5:$D$92,'0500'!A268,'Daftar Koreksi'!$G$5:$G$92,"Gedung dan Bangunan",'Daftar Koreksi'!$I$5:$I$92,"&lt;0")</f>
        <v>0</v>
      </c>
      <c r="G282" s="17">
        <f t="shared" si="12"/>
        <v>-372823240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-17143500</v>
      </c>
      <c r="E283" s="25">
        <f>SUMIFS('Daftar Koreksi'!$I$5:$I$92,'Daftar Koreksi'!$D$5:$D$92,'0500'!A268,'Daftar Koreksi'!$G$5:$G$92,"Jalan Irigasi Jaringan",'Daftar Koreksi'!$I$5:$I$92,"&gt;0")</f>
        <v>0</v>
      </c>
      <c r="F283" s="25">
        <f>SUMIFS('Daftar Koreksi'!$I$5:$I$92,'Daftar Koreksi'!$D$5:$D$92,'0500'!A268,'Daftar Koreksi'!$G$5:$G$92,"Jalan Irigasi Jaringan",'Daftar Koreksi'!$I$5:$I$92,"&lt;0")-SUMIFS('Daftar Koreksi'!$I$5:$I$92,'Daftar Koreksi'!$D$5:$D$92,'0500'!A268,'Daftar Koreksi'!$G$5:$G$92,"Jalan Irigasi Jaringan",'Daftar Koreksi'!$I$5:$I$92,"&lt;0")-SUMIFS('Daftar Koreksi'!$I$5:$I$92,'Daftar Koreksi'!$D$5:$D$92,'0500'!A268,'Daftar Koreksi'!$G$5:$G$92,"Jalan Irigasi Jaringan",'Daftar Koreksi'!$I$5:$I$92,"&lt;0")</f>
        <v>0</v>
      </c>
      <c r="G283" s="17">
        <f t="shared" si="12"/>
        <v>-17143500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Koreksi'!$D$5:$D$92,'0500'!A268,'Daftar Koreksi'!$G$5:$G$92,"Aset Tetap Lainnya",'Daftar Koreksi'!$I$5:$I$92,"&gt;0")</f>
        <v>0</v>
      </c>
      <c r="F284" s="25">
        <f>SUMIFS('Daftar Koreksi'!$I$5:$I$92,'Daftar Koreksi'!$D$5:$D$92,'0500'!A268,'Daftar Koreksi'!$G$5:$G$92,"Aset Tetap Lainnya",'Daftar Koreksi'!$I$5:$I$92,"&lt;0")-SUMIFS('Daftar Koreksi'!$I$5:$I$92,'Daftar Koreksi'!$D$5:$D$92,'0500'!A268,'Daftar Koreksi'!$G$5:$G$92,"Aset Tetap Lainnya",'Daftar Koreksi'!$I$5:$I$92,"&lt;0")-SUMIFS('Daftar Koreksi'!$I$5:$I$92,'Daftar Koreksi'!$D$5:$D$92,'0500'!A268,'Daftar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Koreksi'!$D$5:$D$92,'0500'!A268,'Daftar Koreksi'!$G$5:$G$92,"Aset Henti Guna",'Daftar Koreksi'!$I$5:$I$92,"&gt;0")</f>
        <v>0</v>
      </c>
      <c r="F285" s="25">
        <f>SUMIFS('Daftar Koreksi'!$I$5:$I$92,'Daftar Koreksi'!$D$5:$D$92,'0500'!A268,'Daftar Koreksi'!$G$5:$G$92,"Aset Henti Guna",'Daftar Koreksi'!$I$5:$I$92,"&lt;0")-SUMIFS('Daftar Koreksi'!$I$5:$I$92,'Daftar Koreksi'!$D$5:$D$92,'0500'!A268,'Daftar Koreksi'!$G$5:$G$92,"Aset Henti Guna",'Daftar Koreksi'!$I$5:$I$92,"&lt;0")-SUMIFS('Daftar Koreksi'!$I$5:$I$92,'Daftar Koreksi'!$D$5:$D$92,'0500'!A268,'Daftar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-1608751164</v>
      </c>
      <c r="E286" s="19">
        <f>SUM(E281:E285)</f>
        <v>0</v>
      </c>
      <c r="F286" s="19">
        <f>SUM(F281:F285)</f>
        <v>0</v>
      </c>
      <c r="G286" s="19">
        <f t="shared" si="12"/>
        <v>-1608751164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5063274930</v>
      </c>
      <c r="E287" s="19">
        <f>E286+E280</f>
        <v>4411622</v>
      </c>
      <c r="F287" s="19">
        <f>F286+F280</f>
        <v>0</v>
      </c>
      <c r="G287" s="19">
        <f t="shared" si="12"/>
        <v>5067686552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005010500098235000KD</v>
      </c>
      <c r="B290" s="11" t="str">
        <f>P14</f>
        <v>PN. Kediri</v>
      </c>
      <c r="C290" s="12" t="str">
        <f>A290&amp;" "&amp;B290</f>
        <v>005010500098235000KD PN. Kediri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90000</v>
      </c>
      <c r="E293" s="25">
        <f>SUMIFS('Daftar Koreksi'!$H$5:$H$92,'Daftar Koreksi'!$D$5:$D$92,'0500'!A290,'Daftar Koreksi'!$G$5:$G$92,"Persediaan",'Daftar Koreksi'!$H$5:$H$92,"&gt;0")</f>
        <v>0</v>
      </c>
      <c r="F293" s="25">
        <f>SUMIFS('Daftar Koreksi'!$H$5:$H$92,'Daftar Koreksi'!$D$5:$D$92,'0500'!A290,'Daftar Koreksi'!$G$5:$G$92,"Persediaan",'Daftar Koreksi'!$H$5:$H$92,"&lt;0")-SUMIFS('Daftar Koreksi'!$H$5:$H$92,'Daftar Koreksi'!$D$5:$D$92,'0500'!A290,'Daftar Koreksi'!$G$5:$G$92,"Persediaan",'Daftar Koreksi'!$H$5:$H$92,"&lt;0")-SUMIFS('Daftar Koreksi'!$H$5:$H$92,'Daftar Koreksi'!$D$5:$D$92,'0500'!A290,'Daftar Koreksi'!$G$5:$G$92,"Persediaan",'Daftar Koreksi'!$H$5:$H$92,"&lt;0")</f>
        <v>0</v>
      </c>
      <c r="G293" s="17">
        <f>D293+E293-F293</f>
        <v>90000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15917657000</v>
      </c>
      <c r="E294" s="25">
        <f>SUMIFS('Daftar Koreksi'!$H$5:$H$92,'Daftar Koreksi'!$D$5:$D$92,'0500'!A290,'Daftar Koreksi'!$G$5:$G$92,"Tanah",'Daftar Koreksi'!$H$5:$H$92,"&gt;0")</f>
        <v>0</v>
      </c>
      <c r="F294" s="25">
        <f>SUMIFS('Daftar Koreksi'!$H$5:$H$92,'Daftar Koreksi'!$D$5:$D$92,'0500'!A290,'Daftar Koreksi'!$G$5:$G$92,"Tanah",'Daftar Koreksi'!$H$5:$H$92,"&lt;0")-SUMIFS('Daftar Koreksi'!$H$5:$H$92,'Daftar Koreksi'!$D$5:$D$92,'0500'!A290,'Daftar Koreksi'!$G$5:$G$92,"Tanah",'Daftar Koreksi'!$H$5:$H$92,"&lt;0")-SUMIFS('Daftar Koreksi'!$H$5:$H$92,'Daftar Koreksi'!$D$5:$D$92,'0500'!A290,'Daftar Koreksi'!$G$5:$G$92,"Tanah",'Daftar Koreksi'!$H$5:$H$92,"&lt;0")</f>
        <v>0</v>
      </c>
      <c r="G294" s="17">
        <f t="shared" ref="G294:G310" si="13">D294+E294-F294</f>
        <v>15917657000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2105424942</v>
      </c>
      <c r="E295" s="25">
        <f>SUMIFS('Daftar Koreksi'!$H$5:$H$92,'Daftar Koreksi'!$D$5:$D$92,'0500'!A290,'Daftar Koreksi'!$G$5:$G$92,"Peralatan dan mesin",'Daftar Koreksi'!$H$5:$H$92,"&gt;0")</f>
        <v>0</v>
      </c>
      <c r="F295" s="25">
        <f>SUMIFS('Daftar Koreksi'!$H$5:$H$92,'Daftar Koreksi'!$D$5:$D$92,'0500'!A290,'Daftar Koreksi'!$G$5:$G$92,"Peralatan dan mesin",'Daftar Koreksi'!$H$5:$H$92,"&lt;0")-SUMIFS('Daftar Koreksi'!$H$5:$H$92,'Daftar Koreksi'!$D$5:$D$92,'0500'!A290,'Daftar Koreksi'!$G$5:$G$92,"Peralatan dan mesin",'Daftar Koreksi'!$H$5:$H$92,"&lt;0")-SUMIFS('Daftar Koreksi'!$H$5:$H$92,'Daftar Koreksi'!$D$5:$D$92,'0500'!A290,'Daftar Koreksi'!$G$5:$G$92,"Peralatan dan mesin",'Daftar Koreksi'!$H$5:$H$92,"&lt;0")</f>
        <v>0</v>
      </c>
      <c r="G295" s="17">
        <f t="shared" si="13"/>
        <v>2105424942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5930222575</v>
      </c>
      <c r="E296" s="25">
        <f>SUMIFS('Daftar Koreksi'!$H$5:$H$92,'Daftar Koreksi'!$D$5:$D$92,'0500'!A290,'Daftar Koreksi'!$G$5:$G$92,"Gedung dan Bangunan",'Daftar Koreksi'!$H$5:$H$92,"&gt;0")</f>
        <v>0</v>
      </c>
      <c r="F296" s="25">
        <f>SUMIFS('Daftar Koreksi'!$H$5:$H$92,'Daftar Koreksi'!$D$5:$D$92,'0500'!A290,'Daftar Koreksi'!$G$5:$G$92,"Gedung dan Bangunan",'Daftar Koreksi'!$H$5:$H$92,"&lt;0")-SUMIFS('Daftar Koreksi'!$H$5:$H$92,'Daftar Koreksi'!$D$5:$D$92,'0500'!A290,'Daftar Koreksi'!$G$5:$G$92,"Gedung dan Bangunan",'Daftar Koreksi'!$H$5:$H$92,"&lt;0")-SUMIFS('Daftar Koreksi'!$H$5:$H$92,'Daftar Koreksi'!$D$5:$D$92,'0500'!A290,'Daftar Koreksi'!$G$5:$G$92,"Gedung dan Bangunan",'Daftar Koreksi'!$H$5:$H$92,"&lt;0")</f>
        <v>0</v>
      </c>
      <c r="G296" s="17">
        <f t="shared" si="13"/>
        <v>5930222575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109804750</v>
      </c>
      <c r="E297" s="25">
        <f>SUMIFS('Daftar Koreksi'!$H$5:$H$92,'Daftar Koreksi'!$D$5:$D$92,'0500'!A290,'Daftar Koreksi'!$G$5:$G$92,"Jalan Irigasi Jaringan",'Daftar Koreksi'!$H$5:$H$92,"&gt;0")</f>
        <v>0</v>
      </c>
      <c r="F297" s="25">
        <f>SUMIFS('Daftar Koreksi'!$H$5:$H$92,'Daftar Koreksi'!$D$5:$D$92,'0500'!A290,'Daftar Koreksi'!$G$5:$G$92,"Jalan Irigasi Jaringan",'Daftar Koreksi'!$H$5:$H$92,"&lt;0")-SUMIFS('Daftar Koreksi'!$H$5:$H$92,'Daftar Koreksi'!$D$5:$D$92,'0500'!A290,'Daftar Koreksi'!$G$5:$G$92,"Jalan Irigasi Jaringan",'Daftar Koreksi'!$H$5:$H$92,"&lt;0")-SUMIFS('Daftar Koreksi'!$H$5:$H$92,'Daftar Koreksi'!$D$5:$D$92,'0500'!A290,'Daftar Koreksi'!$G$5:$G$92,"Jalan Irigasi Jaringan",'Daftar Koreksi'!$H$5:$H$92,"&lt;0")</f>
        <v>0</v>
      </c>
      <c r="G297" s="17">
        <f t="shared" si="13"/>
        <v>109804750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9183740</v>
      </c>
      <c r="E298" s="25">
        <f>SUMIFS('Daftar Koreksi'!$H$5:$H$92,'Daftar Koreksi'!$D$5:$D$92,'0500'!A290,'Daftar Koreksi'!$G$5:$G$92,"Aset Tetap Lainnya",'Daftar Koreksi'!$H$5:$H$92,"&gt;0")</f>
        <v>0</v>
      </c>
      <c r="F298" s="25">
        <f>SUMIFS('Daftar Koreksi'!$H$5:$H$92,'Daftar Koreksi'!$D$5:$D$92,'0500'!A290,'Daftar Koreksi'!$G$5:$G$92,"Aset Tetap Lainnya",'Daftar Koreksi'!$H$5:$H$92,"&lt;0")-SUMIFS('Daftar Koreksi'!$H$5:$H$92,'Daftar Koreksi'!$D$5:$D$92,'0500'!A290,'Daftar Koreksi'!$G$5:$G$92,"Aset Tetap Lainnya",'Daftar Koreksi'!$H$5:$H$92,"&lt;0")-SUMIFS('Daftar Koreksi'!$H$5:$H$92,'Daftar Koreksi'!$D$5:$D$92,'0500'!A290,'Daftar Koreksi'!$G$5:$G$92,"Aset Tetap Lainnya",'Daftar Koreksi'!$H$5:$H$92,"&lt;0")</f>
        <v>0</v>
      </c>
      <c r="G298" s="17">
        <f t="shared" si="13"/>
        <v>9183740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Koreksi'!$D$5:$D$92,'0500'!A290,'Daftar Koreksi'!$G$5:$G$92,"Kontruksi Dalam Pengerjaan",'Daftar Koreksi'!$H$5:$H$92,"&gt;0")</f>
        <v>0</v>
      </c>
      <c r="F299" s="25">
        <f>SUMIFS('Daftar Koreksi'!$H$5:$H$92,'Daftar Koreksi'!$D$5:$D$92,'0500'!A290,'Daftar Koreksi'!$G$5:$G$92,"Kontruksi Dalam Pengerjaan",'Daftar Koreksi'!$H$5:$H$92,"&lt;0")-SUMIFS('Daftar Koreksi'!$H$5:$H$92,'Daftar Koreksi'!$D$5:$D$92,'0500'!A290,'Daftar Koreksi'!$G$5:$G$92,"Kontruksi Dalam Pengerjaan",'Daftar Koreksi'!$H$5:$H$92,"&lt;0")-SUMIFS('Daftar Koreksi'!$H$5:$H$92,'Daftar Koreksi'!$D$5:$D$92,'0500'!A290,'Daftar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Koreksi'!$D$5:$D$92,'0500'!A290,'Daftar Koreksi'!$G$5:$G$92,"Aset Tak Berwujud",'Daftar Koreksi'!$H$5:$H$92,"&gt;0")</f>
        <v>0</v>
      </c>
      <c r="F300" s="25">
        <f>SUMIFS('Daftar Koreksi'!$H$5:$H$92,'Daftar Koreksi'!$D$5:$D$92,'0500'!A290,'Daftar Koreksi'!$G$5:$G$92,"Aset Tak Berwujud",'Daftar Koreksi'!$H$5:$H$92,"&lt;0")-SUMIFS('Daftar Koreksi'!$H$5:$H$92,'Daftar Koreksi'!$D$5:$D$92,'0500'!A290,'Daftar Koreksi'!$G$5:$G$92,"Aset Tak Berwujud",'Daftar Koreksi'!$H$5:$H$92,"&lt;0")-SUMIFS('Daftar Koreksi'!$H$5:$H$92,'Daftar Koreksi'!$D$5:$D$92,'0500'!A290,'Daftar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147774800</v>
      </c>
      <c r="E301" s="25">
        <f>SUMIFS('Daftar Koreksi'!$H$5:$H$92,'Daftar Koreksi'!$D$5:$D$92,'0500'!A290,'Daftar Koreksi'!$G$5:$G$92,"Aset Henti Guna",'Daftar Koreksi'!$H$5:$H$92,"&gt;0")</f>
        <v>0</v>
      </c>
      <c r="F301" s="25">
        <f>SUMIFS('Daftar Koreksi'!$H$5:$H$92,'Daftar Koreksi'!$D$5:$D$92,'0500'!A290,'Daftar Koreksi'!$G$5:$G$92,"Aset Henti Guna",'Daftar Koreksi'!$H$5:$H$92,"&lt;0")-SUMIFS('Daftar Koreksi'!$H$5:$H$92,'Daftar Koreksi'!$D$5:$D$92,'0500'!A290,'Daftar Koreksi'!$G$5:$G$92,"Aset Henti Guna",'Daftar Koreksi'!$H$5:$H$92,"&lt;0")-SUMIFS('Daftar Koreksi'!$H$5:$H$92,'Daftar Koreksi'!$D$5:$D$92,'0500'!A290,'Daftar Koreksi'!$G$5:$G$92,"Aset Henti Guna",'Daftar Koreksi'!$H$5:$H$92,"&lt;0")</f>
        <v>0</v>
      </c>
      <c r="G301" s="17">
        <f t="shared" si="13"/>
        <v>147774800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24220157807</v>
      </c>
      <c r="E302" s="19">
        <f>SUM(E293:E301)</f>
        <v>0</v>
      </c>
      <c r="F302" s="19">
        <f>SUM(F293:F301)</f>
        <v>0</v>
      </c>
      <c r="G302" s="19">
        <f t="shared" si="13"/>
        <v>24220157807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-1907802627</v>
      </c>
      <c r="E303" s="25">
        <f>SUMIFS('Daftar Koreksi'!$I$5:$I$92,'Daftar Koreksi'!$D$5:$D$92,'0500'!A290,'Daftar Koreksi'!$G$5:$G$92,"Peralatan dan mesin",'Daftar Koreksi'!$I$5:$I$92,"&gt;0")</f>
        <v>0</v>
      </c>
      <c r="F303" s="25">
        <f>SUMIFS('Daftar Koreksi'!$I$5:$I$92,'Daftar Koreksi'!$D$5:$D$92,'0500'!A290,'Daftar Koreksi'!$G$5:$G$92,"Peralatan dan mesin",'Daftar Koreksi'!$I$5:$I$92,"&lt;0")-SUMIFS('Daftar Koreksi'!$I$5:$I$92,'Daftar Koreksi'!$D$5:$D$92,'0500'!A290,'Daftar Koreksi'!$G$5:$G$92,"Peralatan dan mesin",'Daftar Koreksi'!$I$5:$I$92,"&lt;0")-SUMIFS('Daftar Koreksi'!$I$5:$I$92,'Daftar Koreksi'!$D$5:$D$92,'0500'!A290,'Daftar Koreksi'!$G$5:$G$92,"Peralatan dan mesin",'Daftar Koreksi'!$I$5:$I$92,"&lt;0")</f>
        <v>0</v>
      </c>
      <c r="G303" s="17">
        <f t="shared" si="13"/>
        <v>-1907802627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-3650008399</v>
      </c>
      <c r="E304" s="25">
        <f>SUMIFS('Daftar Koreksi'!$I$5:$I$92,'Daftar Koreksi'!$D$5:$D$92,'0500'!A290,'Daftar Koreksi'!$G$5:$G$92,"Gedung dan Bangunan",'Daftar Koreksi'!$I$5:$I$92,"&gt;0")</f>
        <v>0</v>
      </c>
      <c r="F304" s="25">
        <f>SUMIFS('Daftar Koreksi'!$I$5:$I$92,'Daftar Koreksi'!$D$5:$D$92,'0500'!A290,'Daftar Koreksi'!$G$5:$G$92,"Gedung dan Bangunan",'Daftar Koreksi'!$I$5:$I$92,"&lt;0")-SUMIFS('Daftar Koreksi'!$I$5:$I$92,'Daftar Koreksi'!$D$5:$D$92,'0500'!A290,'Daftar Koreksi'!$G$5:$G$92,"Gedung dan Bangunan",'Daftar Koreksi'!$I$5:$I$92,"&lt;0")-SUMIFS('Daftar Koreksi'!$I$5:$I$92,'Daftar Koreksi'!$D$5:$D$92,'0500'!A290,'Daftar Koreksi'!$G$5:$G$92,"Gedung dan Bangunan",'Daftar Koreksi'!$I$5:$I$92,"&lt;0")</f>
        <v>0</v>
      </c>
      <c r="G304" s="17">
        <f t="shared" si="13"/>
        <v>-3650008399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-97805950</v>
      </c>
      <c r="E305" s="25">
        <f>SUMIFS('Daftar Koreksi'!$I$5:$I$92,'Daftar Koreksi'!$D$5:$D$92,'0500'!A290,'Daftar Koreksi'!$G$5:$G$92,"Jalan Irigasi Jaringan",'Daftar Koreksi'!$I$5:$I$92,"&gt;0")</f>
        <v>0</v>
      </c>
      <c r="F305" s="25">
        <f>SUMIFS('Daftar Koreksi'!$I$5:$I$92,'Daftar Koreksi'!$D$5:$D$92,'0500'!A290,'Daftar Koreksi'!$G$5:$G$92,"Jalan Irigasi Jaringan",'Daftar Koreksi'!$I$5:$I$92,"&lt;0")-SUMIFS('Daftar Koreksi'!$I$5:$I$92,'Daftar Koreksi'!$D$5:$D$92,'0500'!A290,'Daftar Koreksi'!$G$5:$G$92,"Jalan Irigasi Jaringan",'Daftar Koreksi'!$I$5:$I$92,"&lt;0")-SUMIFS('Daftar Koreksi'!$I$5:$I$92,'Daftar Koreksi'!$D$5:$D$92,'0500'!A290,'Daftar Koreksi'!$G$5:$G$92,"Jalan Irigasi Jaringan",'Daftar Koreksi'!$I$5:$I$92,"&lt;0")</f>
        <v>0</v>
      </c>
      <c r="G305" s="17">
        <f t="shared" si="13"/>
        <v>-97805950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Koreksi'!$D$5:$D$92,'0500'!A290,'Daftar Koreksi'!$G$5:$G$92,"Aset Tetap Lainnya",'Daftar Koreksi'!$I$5:$I$92,"&gt;0")</f>
        <v>0</v>
      </c>
      <c r="F306" s="25">
        <f>SUMIFS('Daftar Koreksi'!$I$5:$I$92,'Daftar Koreksi'!$D$5:$D$92,'0500'!A290,'Daftar Koreksi'!$G$5:$G$92,"Aset Tetap Lainnya",'Daftar Koreksi'!$I$5:$I$92,"&lt;0")-SUMIFS('Daftar Koreksi'!$I$5:$I$92,'Daftar Koreksi'!$D$5:$D$92,'0500'!A290,'Daftar Koreksi'!$G$5:$G$92,"Aset Tetap Lainnya",'Daftar Koreksi'!$I$5:$I$92,"&lt;0")-SUMIFS('Daftar Koreksi'!$I$5:$I$92,'Daftar Koreksi'!$D$5:$D$92,'0500'!A290,'Daftar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-147774800</v>
      </c>
      <c r="E307" s="25">
        <f>SUMIFS('Daftar Koreksi'!$I$5:$I$92,'Daftar Koreksi'!$D$5:$D$92,'0500'!A290,'Daftar Koreksi'!$G$5:$G$92,"Aset Henti Guna",'Daftar Koreksi'!$I$5:$I$92,"&gt;0")</f>
        <v>0</v>
      </c>
      <c r="F307" s="25">
        <f>SUMIFS('Daftar Koreksi'!$I$5:$I$92,'Daftar Koreksi'!$D$5:$D$92,'0500'!A290,'Daftar Koreksi'!$G$5:$G$92,"Aset Henti Guna",'Daftar Koreksi'!$I$5:$I$92,"&lt;0")-SUMIFS('Daftar Koreksi'!$I$5:$I$92,'Daftar Koreksi'!$D$5:$D$92,'0500'!A290,'Daftar Koreksi'!$G$5:$G$92,"Aset Henti Guna",'Daftar Koreksi'!$I$5:$I$92,"&lt;0")-SUMIFS('Daftar Koreksi'!$I$5:$I$92,'Daftar Koreksi'!$D$5:$D$92,'0500'!A290,'Daftar Koreksi'!$G$5:$G$92,"Aset Henti Guna",'Daftar Koreksi'!$I$5:$I$92,"&lt;0")</f>
        <v>0</v>
      </c>
      <c r="G307" s="17">
        <f t="shared" si="13"/>
        <v>-147774800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-5803391776</v>
      </c>
      <c r="E308" s="19">
        <f>SUM(E303:E307)</f>
        <v>0</v>
      </c>
      <c r="F308" s="19">
        <f>SUM(F303:F307)</f>
        <v>0</v>
      </c>
      <c r="G308" s="19">
        <f t="shared" si="13"/>
        <v>-5803391776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18416766031</v>
      </c>
      <c r="E309" s="19">
        <f>E308+E302</f>
        <v>0</v>
      </c>
      <c r="F309" s="19">
        <f>F308+F302</f>
        <v>0</v>
      </c>
      <c r="G309" s="19">
        <f t="shared" si="13"/>
        <v>18416766031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005010500098242000KD</v>
      </c>
      <c r="B312" s="11" t="str">
        <f>P15</f>
        <v>PN. Nganjuk</v>
      </c>
      <c r="C312" s="12" t="str">
        <f>A312&amp;" "&amp;B312</f>
        <v>005010500098242000KD PN. Nganjuk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4854200</v>
      </c>
      <c r="E315" s="25">
        <f>SUMIFS('Daftar Koreksi'!$H$5:$H$92,'Daftar Koreksi'!$D$5:$D$92,'0500'!A312,'Daftar Koreksi'!$G$5:$G$92,"Persediaan",'Daftar Koreksi'!$H$5:$H$92,"&gt;0")</f>
        <v>0</v>
      </c>
      <c r="F315" s="25">
        <f>SUMIFS('Daftar Koreksi'!$H$5:$H$92,'Daftar Koreksi'!$D$5:$D$92,'0500'!A312,'Daftar Koreksi'!$G$5:$G$92,"Persediaan",'Daftar Koreksi'!$H$5:$H$92,"&lt;0")-SUMIFS('Daftar Koreksi'!$H$5:$H$92,'Daftar Koreksi'!$D$5:$D$92,'0500'!A312,'Daftar Koreksi'!$G$5:$G$92,"Persediaan",'Daftar Koreksi'!$H$5:$H$92,"&lt;0")-SUMIFS('Daftar Koreksi'!$H$5:$H$92,'Daftar Koreksi'!$D$5:$D$92,'0500'!A312,'Daftar Koreksi'!$G$5:$G$92,"Persediaan",'Daftar Koreksi'!$H$5:$H$92,"&lt;0")</f>
        <v>0</v>
      </c>
      <c r="G315" s="17">
        <f>D315+E315-F315</f>
        <v>4854200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4896009308</v>
      </c>
      <c r="E316" s="25">
        <f>SUMIFS('Daftar Koreksi'!$H$5:$H$92,'Daftar Koreksi'!$D$5:$D$92,'0500'!A312,'Daftar Koreksi'!$G$5:$G$92,"Tanah",'Daftar Koreksi'!$H$5:$H$92,"&gt;0")</f>
        <v>0</v>
      </c>
      <c r="F316" s="25">
        <f>SUMIFS('Daftar Koreksi'!$H$5:$H$92,'Daftar Koreksi'!$D$5:$D$92,'0500'!A312,'Daftar Koreksi'!$G$5:$G$92,"Tanah",'Daftar Koreksi'!$H$5:$H$92,"&lt;0")-SUMIFS('Daftar Koreksi'!$H$5:$H$92,'Daftar Koreksi'!$D$5:$D$92,'0500'!A312,'Daftar Koreksi'!$G$5:$G$92,"Tanah",'Daftar Koreksi'!$H$5:$H$92,"&lt;0")-SUMIFS('Daftar Koreksi'!$H$5:$H$92,'Daftar Koreksi'!$D$5:$D$92,'0500'!A312,'Daftar Koreksi'!$G$5:$G$92,"Tanah",'Daftar Koreksi'!$H$5:$H$92,"&lt;0")</f>
        <v>0</v>
      </c>
      <c r="G316" s="17">
        <f t="shared" ref="G316:G332" si="14">D316+E316-F316</f>
        <v>4896009308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1594418419</v>
      </c>
      <c r="E317" s="25">
        <f>SUMIFS('Daftar Koreksi'!$H$5:$H$92,'Daftar Koreksi'!$D$5:$D$92,'0500'!A312,'Daftar Koreksi'!$G$5:$G$92,"Peralatan dan mesin",'Daftar Koreksi'!$H$5:$H$92,"&gt;0")</f>
        <v>0</v>
      </c>
      <c r="F317" s="25">
        <f>SUMIFS('Daftar Koreksi'!$H$5:$H$92,'Daftar Koreksi'!$D$5:$D$92,'0500'!A312,'Daftar Koreksi'!$G$5:$G$92,"Peralatan dan mesin",'Daftar Koreksi'!$H$5:$H$92,"&lt;0")-SUMIFS('Daftar Koreksi'!$H$5:$H$92,'Daftar Koreksi'!$D$5:$D$92,'0500'!A312,'Daftar Koreksi'!$G$5:$G$92,"Peralatan dan mesin",'Daftar Koreksi'!$H$5:$H$92,"&lt;0")-SUMIFS('Daftar Koreksi'!$H$5:$H$92,'Daftar Koreksi'!$D$5:$D$92,'0500'!A312,'Daftar Koreksi'!$G$5:$G$92,"Peralatan dan mesin",'Daftar Koreksi'!$H$5:$H$92,"&lt;0")</f>
        <v>0</v>
      </c>
      <c r="G317" s="17">
        <f t="shared" si="14"/>
        <v>1594418419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2944727142</v>
      </c>
      <c r="E318" s="25">
        <f>SUMIFS('Daftar Koreksi'!$H$5:$H$92,'Daftar Koreksi'!$D$5:$D$92,'0500'!A312,'Daftar Koreksi'!$G$5:$G$92,"Gedung dan Bangunan",'Daftar Koreksi'!$H$5:$H$92,"&gt;0")</f>
        <v>0</v>
      </c>
      <c r="F318" s="25">
        <f>SUMIFS('Daftar Koreksi'!$H$5:$H$92,'Daftar Koreksi'!$D$5:$D$92,'0500'!A312,'Daftar Koreksi'!$G$5:$G$92,"Gedung dan Bangunan",'Daftar Koreksi'!$H$5:$H$92,"&lt;0")-SUMIFS('Daftar Koreksi'!$H$5:$H$92,'Daftar Koreksi'!$D$5:$D$92,'0500'!A312,'Daftar Koreksi'!$G$5:$G$92,"Gedung dan Bangunan",'Daftar Koreksi'!$H$5:$H$92,"&lt;0")-SUMIFS('Daftar Koreksi'!$H$5:$H$92,'Daftar Koreksi'!$D$5:$D$92,'0500'!A312,'Daftar Koreksi'!$G$5:$G$92,"Gedung dan Bangunan",'Daftar Koreksi'!$H$5:$H$92,"&lt;0")</f>
        <v>0</v>
      </c>
      <c r="G318" s="17">
        <f t="shared" si="14"/>
        <v>2944727142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Koreksi'!$D$5:$D$92,'0500'!A312,'Daftar Koreksi'!$G$5:$G$92,"Jalan Irigasi Jaringan",'Daftar Koreksi'!$H$5:$H$92,"&gt;0")</f>
        <v>0</v>
      </c>
      <c r="F319" s="25">
        <f>SUMIFS('Daftar Koreksi'!$H$5:$H$92,'Daftar Koreksi'!$D$5:$D$92,'0500'!A312,'Daftar Koreksi'!$G$5:$G$92,"Jalan Irigasi Jaringan",'Daftar Koreksi'!$H$5:$H$92,"&lt;0")-SUMIFS('Daftar Koreksi'!$H$5:$H$92,'Daftar Koreksi'!$D$5:$D$92,'0500'!A312,'Daftar Koreksi'!$G$5:$G$92,"Jalan Irigasi Jaringan",'Daftar Koreksi'!$H$5:$H$92,"&lt;0")-SUMIFS('Daftar Koreksi'!$H$5:$H$92,'Daftar Koreksi'!$D$5:$D$92,'0500'!A312,'Daftar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6355062</v>
      </c>
      <c r="E320" s="25">
        <f>SUMIFS('Daftar Koreksi'!$H$5:$H$92,'Daftar Koreksi'!$D$5:$D$92,'0500'!A312,'Daftar Koreksi'!$G$5:$G$92,"Aset Tetap Lainnya",'Daftar Koreksi'!$H$5:$H$92,"&gt;0")</f>
        <v>0</v>
      </c>
      <c r="F320" s="25">
        <f>SUMIFS('Daftar Koreksi'!$H$5:$H$92,'Daftar Koreksi'!$D$5:$D$92,'0500'!A312,'Daftar Koreksi'!$G$5:$G$92,"Aset Tetap Lainnya",'Daftar Koreksi'!$H$5:$H$92,"&lt;0")-SUMIFS('Daftar Koreksi'!$H$5:$H$92,'Daftar Koreksi'!$D$5:$D$92,'0500'!A312,'Daftar Koreksi'!$G$5:$G$92,"Aset Tetap Lainnya",'Daftar Koreksi'!$H$5:$H$92,"&lt;0")-SUMIFS('Daftar Koreksi'!$H$5:$H$92,'Daftar Koreksi'!$D$5:$D$92,'0500'!A312,'Daftar Koreksi'!$G$5:$G$92,"Aset Tetap Lainnya",'Daftar Koreksi'!$H$5:$H$92,"&lt;0")</f>
        <v>0</v>
      </c>
      <c r="G320" s="17">
        <f t="shared" si="14"/>
        <v>6355062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Koreksi'!$D$5:$D$92,'0500'!A312,'Daftar Koreksi'!$G$5:$G$92,"Kontruksi Dalam Pengerjaan",'Daftar Koreksi'!$H$5:$H$92,"&gt;0")</f>
        <v>0</v>
      </c>
      <c r="F321" s="25">
        <f>SUMIFS('Daftar Koreksi'!$H$5:$H$92,'Daftar Koreksi'!$D$5:$D$92,'0500'!A312,'Daftar Koreksi'!$G$5:$G$92,"Kontruksi Dalam Pengerjaan",'Daftar Koreksi'!$H$5:$H$92,"&lt;0")-SUMIFS('Daftar Koreksi'!$H$5:$H$92,'Daftar Koreksi'!$D$5:$D$92,'0500'!A312,'Daftar Koreksi'!$G$5:$G$92,"Kontruksi Dalam Pengerjaan",'Daftar Koreksi'!$H$5:$H$92,"&lt;0")-SUMIFS('Daftar Koreksi'!$H$5:$H$92,'Daftar Koreksi'!$D$5:$D$92,'0500'!A312,'Daftar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Koreksi'!$D$5:$D$92,'0500'!A312,'Daftar Koreksi'!$G$5:$G$92,"Aset Tak Berwujud",'Daftar Koreksi'!$H$5:$H$92,"&gt;0")</f>
        <v>0</v>
      </c>
      <c r="F322" s="25">
        <f>SUMIFS('Daftar Koreksi'!$H$5:$H$92,'Daftar Koreksi'!$D$5:$D$92,'0500'!A312,'Daftar Koreksi'!$G$5:$G$92,"Aset Tak Berwujud",'Daftar Koreksi'!$H$5:$H$92,"&lt;0")-SUMIFS('Daftar Koreksi'!$H$5:$H$92,'Daftar Koreksi'!$D$5:$D$92,'0500'!A312,'Daftar Koreksi'!$G$5:$G$92,"Aset Tak Berwujud",'Daftar Koreksi'!$H$5:$H$92,"&lt;0")-SUMIFS('Daftar Koreksi'!$H$5:$H$92,'Daftar Koreksi'!$D$5:$D$92,'0500'!A312,'Daftar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26978000</v>
      </c>
      <c r="E323" s="25">
        <f>SUMIFS('Daftar Koreksi'!$H$5:$H$92,'Daftar Koreksi'!$D$5:$D$92,'0500'!A312,'Daftar Koreksi'!$G$5:$G$92,"Aset Henti Guna",'Daftar Koreksi'!$H$5:$H$92,"&gt;0")</f>
        <v>0</v>
      </c>
      <c r="F323" s="25">
        <f>SUMIFS('Daftar Koreksi'!$H$5:$H$92,'Daftar Koreksi'!$D$5:$D$92,'0500'!A312,'Daftar Koreksi'!$G$5:$G$92,"Aset Henti Guna",'Daftar Koreksi'!$H$5:$H$92,"&lt;0")-SUMIFS('Daftar Koreksi'!$H$5:$H$92,'Daftar Koreksi'!$D$5:$D$92,'0500'!A312,'Daftar Koreksi'!$G$5:$G$92,"Aset Henti Guna",'Daftar Koreksi'!$H$5:$H$92,"&lt;0")-SUMIFS('Daftar Koreksi'!$H$5:$H$92,'Daftar Koreksi'!$D$5:$D$92,'0500'!A312,'Daftar Koreksi'!$G$5:$G$92,"Aset Henti Guna",'Daftar Koreksi'!$H$5:$H$92,"&lt;0")</f>
        <v>0</v>
      </c>
      <c r="G323" s="17">
        <f t="shared" si="14"/>
        <v>26978000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9473342131</v>
      </c>
      <c r="E324" s="19">
        <f>SUM(E315:E323)</f>
        <v>0</v>
      </c>
      <c r="F324" s="19">
        <f>SUM(F315:F323)</f>
        <v>0</v>
      </c>
      <c r="G324" s="19">
        <f t="shared" si="14"/>
        <v>9473342131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-1471502068</v>
      </c>
      <c r="E325" s="25">
        <f>SUMIFS('Daftar Koreksi'!$I$5:$I$92,'Daftar Koreksi'!$D$5:$D$92,'0500'!A312,'Daftar Koreksi'!$G$5:$G$92,"Peralatan dan mesin",'Daftar Koreksi'!$I$5:$I$92,"&gt;0")</f>
        <v>0</v>
      </c>
      <c r="F325" s="25">
        <f>SUMIFS('Daftar Koreksi'!$I$5:$I$92,'Daftar Koreksi'!$D$5:$D$92,'0500'!A312,'Daftar Koreksi'!$G$5:$G$92,"Peralatan dan mesin",'Daftar Koreksi'!$I$5:$I$92,"&lt;0")-SUMIFS('Daftar Koreksi'!$I$5:$I$92,'Daftar Koreksi'!$D$5:$D$92,'0500'!A312,'Daftar Koreksi'!$G$5:$G$92,"Peralatan dan mesin",'Daftar Koreksi'!$I$5:$I$92,"&lt;0")-SUMIFS('Daftar Koreksi'!$I$5:$I$92,'Daftar Koreksi'!$D$5:$D$92,'0500'!A312,'Daftar Koreksi'!$G$5:$G$92,"Peralatan dan mesin",'Daftar Koreksi'!$I$5:$I$92,"&lt;0")</f>
        <v>0</v>
      </c>
      <c r="G325" s="17">
        <f t="shared" si="14"/>
        <v>-1471502068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-975435119</v>
      </c>
      <c r="E326" s="25">
        <f>SUMIFS('Daftar Koreksi'!$I$5:$I$92,'Daftar Koreksi'!$D$5:$D$92,'0500'!A312,'Daftar Koreksi'!$G$5:$G$92,"Gedung dan Bangunan",'Daftar Koreksi'!$I$5:$I$92,"&gt;0")</f>
        <v>0</v>
      </c>
      <c r="F326" s="25">
        <f>SUMIFS('Daftar Koreksi'!$I$5:$I$92,'Daftar Koreksi'!$D$5:$D$92,'0500'!A312,'Daftar Koreksi'!$G$5:$G$92,"Gedung dan Bangunan",'Daftar Koreksi'!$I$5:$I$92,"&lt;0")-SUMIFS('Daftar Koreksi'!$I$5:$I$92,'Daftar Koreksi'!$D$5:$D$92,'0500'!A312,'Daftar Koreksi'!$G$5:$G$92,"Gedung dan Bangunan",'Daftar Koreksi'!$I$5:$I$92,"&lt;0")-SUMIFS('Daftar Koreksi'!$I$5:$I$92,'Daftar Koreksi'!$D$5:$D$92,'0500'!A312,'Daftar Koreksi'!$G$5:$G$92,"Gedung dan Bangunan",'Daftar Koreksi'!$I$5:$I$92,"&lt;0")</f>
        <v>0</v>
      </c>
      <c r="G326" s="17">
        <f t="shared" si="14"/>
        <v>-975435119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Koreksi'!$D$5:$D$92,'0500'!A312,'Daftar Koreksi'!$G$5:$G$92,"Jalan Irigasi Jaringan",'Daftar Koreksi'!$I$5:$I$92,"&gt;0")</f>
        <v>0</v>
      </c>
      <c r="F327" s="25">
        <f>SUMIFS('Daftar Koreksi'!$I$5:$I$92,'Daftar Koreksi'!$D$5:$D$92,'0500'!A312,'Daftar Koreksi'!$G$5:$G$92,"Jalan Irigasi Jaringan",'Daftar Koreksi'!$I$5:$I$92,"&lt;0")-SUMIFS('Daftar Koreksi'!$I$5:$I$92,'Daftar Koreksi'!$D$5:$D$92,'0500'!A312,'Daftar Koreksi'!$G$5:$G$92,"Jalan Irigasi Jaringan",'Daftar Koreksi'!$I$5:$I$92,"&lt;0")-SUMIFS('Daftar Koreksi'!$I$5:$I$92,'Daftar Koreksi'!$D$5:$D$92,'0500'!A312,'Daftar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Koreksi'!$D$5:$D$92,'0500'!A312,'Daftar Koreksi'!$G$5:$G$92,"Aset Tetap Lainnya",'Daftar Koreksi'!$I$5:$I$92,"&gt;0")</f>
        <v>0</v>
      </c>
      <c r="F328" s="25">
        <f>SUMIFS('Daftar Koreksi'!$I$5:$I$92,'Daftar Koreksi'!$D$5:$D$92,'0500'!A312,'Daftar Koreksi'!$G$5:$G$92,"Aset Tetap Lainnya",'Daftar Koreksi'!$I$5:$I$92,"&lt;0")-SUMIFS('Daftar Koreksi'!$I$5:$I$92,'Daftar Koreksi'!$D$5:$D$92,'0500'!A312,'Daftar Koreksi'!$G$5:$G$92,"Aset Tetap Lainnya",'Daftar Koreksi'!$I$5:$I$92,"&lt;0")-SUMIFS('Daftar Koreksi'!$I$5:$I$92,'Daftar Koreksi'!$D$5:$D$92,'0500'!A312,'Daftar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-26978000</v>
      </c>
      <c r="E329" s="25">
        <f>SUMIFS('Daftar Koreksi'!$I$5:$I$92,'Daftar Koreksi'!$D$5:$D$92,'0500'!A312,'Daftar Koreksi'!$G$5:$G$92,"Aset Henti Guna",'Daftar Koreksi'!$I$5:$I$92,"&gt;0")</f>
        <v>0</v>
      </c>
      <c r="F329" s="25">
        <f>SUMIFS('Daftar Koreksi'!$I$5:$I$92,'Daftar Koreksi'!$D$5:$D$92,'0500'!A312,'Daftar Koreksi'!$G$5:$G$92,"Aset Henti Guna",'Daftar Koreksi'!$I$5:$I$92,"&lt;0")-SUMIFS('Daftar Koreksi'!$I$5:$I$92,'Daftar Koreksi'!$D$5:$D$92,'0500'!A312,'Daftar Koreksi'!$G$5:$G$92,"Aset Henti Guna",'Daftar Koreksi'!$I$5:$I$92,"&lt;0")-SUMIFS('Daftar Koreksi'!$I$5:$I$92,'Daftar Koreksi'!$D$5:$D$92,'0500'!A312,'Daftar Koreksi'!$G$5:$G$92,"Aset Henti Guna",'Daftar Koreksi'!$I$5:$I$92,"&lt;0")</f>
        <v>0</v>
      </c>
      <c r="G329" s="17">
        <f t="shared" si="14"/>
        <v>-26978000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-2473915187</v>
      </c>
      <c r="E330" s="19">
        <f>SUM(E325:E329)</f>
        <v>0</v>
      </c>
      <c r="F330" s="19">
        <f>SUM(F325:F329)</f>
        <v>0</v>
      </c>
      <c r="G330" s="19">
        <f t="shared" si="14"/>
        <v>-2473915187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6999426944</v>
      </c>
      <c r="E331" s="19">
        <f>E330+E324</f>
        <v>0</v>
      </c>
      <c r="F331" s="19">
        <f>F330+F324</f>
        <v>0</v>
      </c>
      <c r="G331" s="19">
        <f t="shared" si="14"/>
        <v>6999426944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005010500098256000KD</v>
      </c>
      <c r="B334" s="11" t="str">
        <f>P16</f>
        <v>PN. Tulungagung</v>
      </c>
      <c r="C334" s="12" t="str">
        <f>A334&amp;" "&amp;B334</f>
        <v>005010500098256000KD PN. Tulungagung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0</v>
      </c>
      <c r="E337" s="25">
        <f>SUMIFS('Daftar Koreksi'!$H$5:$H$92,'Daftar Koreksi'!$D$5:$D$92,'0500'!A334,'Daftar Koreksi'!$G$5:$G$92,"Persediaan",'Daftar Koreksi'!$H$5:$H$92,"&gt;0")</f>
        <v>0</v>
      </c>
      <c r="F337" s="25">
        <f>SUMIFS('Daftar Koreksi'!$H$5:$H$92,'Daftar Koreksi'!$D$5:$D$92,'0500'!A334,'Daftar Koreksi'!$G$5:$G$92,"Persediaan",'Daftar Koreksi'!$H$5:$H$92,"&lt;0")-SUMIFS('Daftar Koreksi'!$H$5:$H$92,'Daftar Koreksi'!$D$5:$D$92,'0500'!A334,'Daftar Koreksi'!$G$5:$G$92,"Persediaan",'Daftar Koreksi'!$H$5:$H$92,"&lt;0")-SUMIFS('Daftar Koreksi'!$H$5:$H$92,'Daftar Koreksi'!$D$5:$D$92,'0500'!A334,'Daftar Koreksi'!$G$5:$G$92,"Persediaan",'Daftar Koreksi'!$H$5:$H$92,"&lt;0")</f>
        <v>0</v>
      </c>
      <c r="G337" s="17">
        <f>D337+E337-F337</f>
        <v>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7167000000</v>
      </c>
      <c r="E338" s="25">
        <f>SUMIFS('Daftar Koreksi'!$H$5:$H$92,'Daftar Koreksi'!$D$5:$D$92,'0500'!A334,'Daftar Koreksi'!$G$5:$G$92,"Tanah",'Daftar Koreksi'!$H$5:$H$92,"&gt;0")</f>
        <v>0</v>
      </c>
      <c r="F338" s="25">
        <f>SUMIFS('Daftar Koreksi'!$H$5:$H$92,'Daftar Koreksi'!$D$5:$D$92,'0500'!A334,'Daftar Koreksi'!$G$5:$G$92,"Tanah",'Daftar Koreksi'!$H$5:$H$92,"&lt;0")-SUMIFS('Daftar Koreksi'!$H$5:$H$92,'Daftar Koreksi'!$D$5:$D$92,'0500'!A334,'Daftar Koreksi'!$G$5:$G$92,"Tanah",'Daftar Koreksi'!$H$5:$H$92,"&lt;0")-SUMIFS('Daftar Koreksi'!$H$5:$H$92,'Daftar Koreksi'!$D$5:$D$92,'0500'!A334,'Daftar Koreksi'!$G$5:$G$92,"Tanah",'Daftar Koreksi'!$H$5:$H$92,"&lt;0")</f>
        <v>0</v>
      </c>
      <c r="G338" s="17">
        <f t="shared" ref="G338:G354" si="15">D338+E338-F338</f>
        <v>7167000000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1898090401</v>
      </c>
      <c r="E339" s="25">
        <f>SUMIFS('Daftar Koreksi'!$H$5:$H$92,'Daftar Koreksi'!$D$5:$D$92,'0500'!A334,'Daftar Koreksi'!$G$5:$G$92,"Peralatan dan mesin",'Daftar Koreksi'!$H$5:$H$92,"&gt;0")</f>
        <v>0</v>
      </c>
      <c r="F339" s="25">
        <f>SUMIFS('Daftar Koreksi'!$H$5:$H$92,'Daftar Koreksi'!$D$5:$D$92,'0500'!A334,'Daftar Koreksi'!$G$5:$G$92,"Peralatan dan mesin",'Daftar Koreksi'!$H$5:$H$92,"&lt;0")-SUMIFS('Daftar Koreksi'!$H$5:$H$92,'Daftar Koreksi'!$D$5:$D$92,'0500'!A334,'Daftar Koreksi'!$G$5:$G$92,"Peralatan dan mesin",'Daftar Koreksi'!$H$5:$H$92,"&lt;0")-SUMIFS('Daftar Koreksi'!$H$5:$H$92,'Daftar Koreksi'!$D$5:$D$92,'0500'!A334,'Daftar Koreksi'!$G$5:$G$92,"Peralatan dan mesin",'Daftar Koreksi'!$H$5:$H$92,"&lt;0")</f>
        <v>0</v>
      </c>
      <c r="G339" s="17">
        <f t="shared" si="15"/>
        <v>1898090401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2479346294</v>
      </c>
      <c r="E340" s="25">
        <f>SUMIFS('Daftar Koreksi'!$H$5:$H$92,'Daftar Koreksi'!$D$5:$D$92,'0500'!A334,'Daftar Koreksi'!$G$5:$G$92,"Gedung dan Bangunan",'Daftar Koreksi'!$H$5:$H$92,"&gt;0")</f>
        <v>0</v>
      </c>
      <c r="F340" s="25">
        <f>SUMIFS('Daftar Koreksi'!$H$5:$H$92,'Daftar Koreksi'!$D$5:$D$92,'0500'!A334,'Daftar Koreksi'!$G$5:$G$92,"Gedung dan Bangunan",'Daftar Koreksi'!$H$5:$H$92,"&lt;0")-SUMIFS('Daftar Koreksi'!$H$5:$H$92,'Daftar Koreksi'!$D$5:$D$92,'0500'!A334,'Daftar Koreksi'!$G$5:$G$92,"Gedung dan Bangunan",'Daftar Koreksi'!$H$5:$H$92,"&lt;0")-SUMIFS('Daftar Koreksi'!$H$5:$H$92,'Daftar Koreksi'!$D$5:$D$92,'0500'!A334,'Daftar Koreksi'!$G$5:$G$92,"Gedung dan Bangunan",'Daftar Koreksi'!$H$5:$H$92,"&lt;0")</f>
        <v>0</v>
      </c>
      <c r="G340" s="17">
        <f t="shared" si="15"/>
        <v>2479346294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24914450</v>
      </c>
      <c r="E341" s="25">
        <f>SUMIFS('Daftar Koreksi'!$H$5:$H$92,'Daftar Koreksi'!$D$5:$D$92,'0500'!A334,'Daftar Koreksi'!$G$5:$G$92,"Jalan Irigasi Jaringan",'Daftar Koreksi'!$H$5:$H$92,"&gt;0")</f>
        <v>0</v>
      </c>
      <c r="F341" s="25">
        <f>SUMIFS('Daftar Koreksi'!$H$5:$H$92,'Daftar Koreksi'!$D$5:$D$92,'0500'!A334,'Daftar Koreksi'!$G$5:$G$92,"Jalan Irigasi Jaringan",'Daftar Koreksi'!$H$5:$H$92,"&lt;0")-SUMIFS('Daftar Koreksi'!$H$5:$H$92,'Daftar Koreksi'!$D$5:$D$92,'0500'!A334,'Daftar Koreksi'!$G$5:$G$92,"Jalan Irigasi Jaringan",'Daftar Koreksi'!$H$5:$H$92,"&lt;0")-SUMIFS('Daftar Koreksi'!$H$5:$H$92,'Daftar Koreksi'!$D$5:$D$92,'0500'!A334,'Daftar Koreksi'!$G$5:$G$92,"Jalan Irigasi Jaringan",'Daftar Koreksi'!$H$5:$H$92,"&lt;0")</f>
        <v>0</v>
      </c>
      <c r="G341" s="17">
        <f t="shared" si="15"/>
        <v>24914450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9038420</v>
      </c>
      <c r="E342" s="25">
        <f>SUMIFS('Daftar Koreksi'!$H$5:$H$92,'Daftar Koreksi'!$D$5:$D$92,'0500'!A334,'Daftar Koreksi'!$G$5:$G$92,"Aset Tetap Lainnya",'Daftar Koreksi'!$H$5:$H$92,"&gt;0")</f>
        <v>0</v>
      </c>
      <c r="F342" s="25">
        <f>SUMIFS('Daftar Koreksi'!$H$5:$H$92,'Daftar Koreksi'!$D$5:$D$92,'0500'!A334,'Daftar Koreksi'!$G$5:$G$92,"Aset Tetap Lainnya",'Daftar Koreksi'!$H$5:$H$92,"&lt;0")-SUMIFS('Daftar Koreksi'!$H$5:$H$92,'Daftar Koreksi'!$D$5:$D$92,'0500'!A334,'Daftar Koreksi'!$G$5:$G$92,"Aset Tetap Lainnya",'Daftar Koreksi'!$H$5:$H$92,"&lt;0")-SUMIFS('Daftar Koreksi'!$H$5:$H$92,'Daftar Koreksi'!$D$5:$D$92,'0500'!A334,'Daftar Koreksi'!$G$5:$G$92,"Aset Tetap Lainnya",'Daftar Koreksi'!$H$5:$H$92,"&lt;0")</f>
        <v>0</v>
      </c>
      <c r="G342" s="17">
        <f t="shared" si="15"/>
        <v>9038420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Koreksi'!$D$5:$D$92,'0500'!A334,'Daftar Koreksi'!$G$5:$G$92,"Kontruksi Dalam Pengerjaan",'Daftar Koreksi'!$H$5:$H$92,"&gt;0")</f>
        <v>0</v>
      </c>
      <c r="F343" s="25">
        <f>SUMIFS('Daftar Koreksi'!$H$5:$H$92,'Daftar Koreksi'!$D$5:$D$92,'0500'!A334,'Daftar Koreksi'!$G$5:$G$92,"Kontruksi Dalam Pengerjaan",'Daftar Koreksi'!$H$5:$H$92,"&lt;0")-SUMIFS('Daftar Koreksi'!$H$5:$H$92,'Daftar Koreksi'!$D$5:$D$92,'0500'!A334,'Daftar Koreksi'!$G$5:$G$92,"Kontruksi Dalam Pengerjaan",'Daftar Koreksi'!$H$5:$H$92,"&lt;0")-SUMIFS('Daftar Koreksi'!$H$5:$H$92,'Daftar Koreksi'!$D$5:$D$92,'0500'!A334,'Daftar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Koreksi'!$D$5:$D$92,'0500'!A334,'Daftar Koreksi'!$G$5:$G$92,"Aset Tak Berwujud",'Daftar Koreksi'!$H$5:$H$92,"&gt;0")</f>
        <v>0</v>
      </c>
      <c r="F344" s="25">
        <f>SUMIFS('Daftar Koreksi'!$H$5:$H$92,'Daftar Koreksi'!$D$5:$D$92,'0500'!A334,'Daftar Koreksi'!$G$5:$G$92,"Aset Tak Berwujud",'Daftar Koreksi'!$H$5:$H$92,"&lt;0")-SUMIFS('Daftar Koreksi'!$H$5:$H$92,'Daftar Koreksi'!$D$5:$D$92,'0500'!A334,'Daftar Koreksi'!$G$5:$G$92,"Aset Tak Berwujud",'Daftar Koreksi'!$H$5:$H$92,"&lt;0")-SUMIFS('Daftar Koreksi'!$H$5:$H$92,'Daftar Koreksi'!$D$5:$D$92,'0500'!A334,'Daftar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197000</v>
      </c>
      <c r="E345" s="25">
        <f>SUMIFS('Daftar Koreksi'!$H$5:$H$92,'Daftar Koreksi'!$D$5:$D$92,'0500'!A334,'Daftar Koreksi'!$G$5:$G$92,"Aset Henti Guna",'Daftar Koreksi'!$H$5:$H$92,"&gt;0")</f>
        <v>0</v>
      </c>
      <c r="F345" s="25">
        <f>SUMIFS('Daftar Koreksi'!$H$5:$H$92,'Daftar Koreksi'!$D$5:$D$92,'0500'!A334,'Daftar Koreksi'!$G$5:$G$92,"Aset Henti Guna",'Daftar Koreksi'!$H$5:$H$92,"&lt;0")-SUMIFS('Daftar Koreksi'!$H$5:$H$92,'Daftar Koreksi'!$D$5:$D$92,'0500'!A334,'Daftar Koreksi'!$G$5:$G$92,"Aset Henti Guna",'Daftar Koreksi'!$H$5:$H$92,"&lt;0")-SUMIFS('Daftar Koreksi'!$H$5:$H$92,'Daftar Koreksi'!$D$5:$D$92,'0500'!A334,'Daftar Koreksi'!$G$5:$G$92,"Aset Henti Guna",'Daftar Koreksi'!$H$5:$H$92,"&lt;0")</f>
        <v>0</v>
      </c>
      <c r="G345" s="17">
        <f t="shared" si="15"/>
        <v>197000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11578586565</v>
      </c>
      <c r="E346" s="19">
        <f>SUM(E337:E345)</f>
        <v>0</v>
      </c>
      <c r="F346" s="19">
        <f>SUM(F337:F345)</f>
        <v>0</v>
      </c>
      <c r="G346" s="19">
        <f t="shared" si="15"/>
        <v>11578586565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-1736254873</v>
      </c>
      <c r="E347" s="25">
        <f>SUMIFS('Daftar Koreksi'!$I$5:$I$92,'Daftar Koreksi'!$D$5:$D$92,'0500'!A334,'Daftar Koreksi'!$G$5:$G$92,"Peralatan dan mesin",'Daftar Koreksi'!$I$5:$I$92,"&gt;0")</f>
        <v>0</v>
      </c>
      <c r="F347" s="25">
        <f>SUMIFS('Daftar Koreksi'!$I$5:$I$92,'Daftar Koreksi'!$D$5:$D$92,'0500'!A334,'Daftar Koreksi'!$G$5:$G$92,"Peralatan dan mesin",'Daftar Koreksi'!$I$5:$I$92,"&lt;0")-SUMIFS('Daftar Koreksi'!$I$5:$I$92,'Daftar Koreksi'!$D$5:$D$92,'0500'!A334,'Daftar Koreksi'!$G$5:$G$92,"Peralatan dan mesin",'Daftar Koreksi'!$I$5:$I$92,"&lt;0")-SUMIFS('Daftar Koreksi'!$I$5:$I$92,'Daftar Koreksi'!$D$5:$D$92,'0500'!A334,'Daftar Koreksi'!$G$5:$G$92,"Peralatan dan mesin",'Daftar Koreksi'!$I$5:$I$92,"&lt;0")</f>
        <v>0</v>
      </c>
      <c r="G347" s="17">
        <f t="shared" si="15"/>
        <v>-1736254873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-1729182552</v>
      </c>
      <c r="E348" s="25">
        <f>SUMIFS('Daftar Koreksi'!$I$5:$I$92,'Daftar Koreksi'!$D$5:$D$92,'0500'!A334,'Daftar Koreksi'!$G$5:$G$92,"Gedung dan Bangunan",'Daftar Koreksi'!$I$5:$I$92,"&gt;0")</f>
        <v>0</v>
      </c>
      <c r="F348" s="25">
        <f>SUMIFS('Daftar Koreksi'!$I$5:$I$92,'Daftar Koreksi'!$D$5:$D$92,'0500'!A334,'Daftar Koreksi'!$G$5:$G$92,"Gedung dan Bangunan",'Daftar Koreksi'!$I$5:$I$92,"&lt;0")-SUMIFS('Daftar Koreksi'!$I$5:$I$92,'Daftar Koreksi'!$D$5:$D$92,'0500'!A334,'Daftar Koreksi'!$G$5:$G$92,"Gedung dan Bangunan",'Daftar Koreksi'!$I$5:$I$92,"&lt;0")-SUMIFS('Daftar Koreksi'!$I$5:$I$92,'Daftar Koreksi'!$D$5:$D$92,'0500'!A334,'Daftar Koreksi'!$G$5:$G$92,"Gedung dan Bangunan",'Daftar Koreksi'!$I$5:$I$92,"&lt;0")</f>
        <v>0</v>
      </c>
      <c r="G348" s="17">
        <f t="shared" si="15"/>
        <v>-1729182552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-622862</v>
      </c>
      <c r="E349" s="25">
        <f>SUMIFS('Daftar Koreksi'!$I$5:$I$92,'Daftar Koreksi'!$D$5:$D$92,'0500'!A334,'Daftar Koreksi'!$G$5:$G$92,"Jalan Irigasi Jaringan",'Daftar Koreksi'!$I$5:$I$92,"&gt;0")</f>
        <v>0</v>
      </c>
      <c r="F349" s="25">
        <f>SUMIFS('Daftar Koreksi'!$I$5:$I$92,'Daftar Koreksi'!$D$5:$D$92,'0500'!A334,'Daftar Koreksi'!$G$5:$G$92,"Jalan Irigasi Jaringan",'Daftar Koreksi'!$I$5:$I$92,"&lt;0")-SUMIFS('Daftar Koreksi'!$I$5:$I$92,'Daftar Koreksi'!$D$5:$D$92,'0500'!A334,'Daftar Koreksi'!$G$5:$G$92,"Jalan Irigasi Jaringan",'Daftar Koreksi'!$I$5:$I$92,"&lt;0")-SUMIFS('Daftar Koreksi'!$I$5:$I$92,'Daftar Koreksi'!$D$5:$D$92,'0500'!A334,'Daftar Koreksi'!$G$5:$G$92,"Jalan Irigasi Jaringan",'Daftar Koreksi'!$I$5:$I$92,"&lt;0")</f>
        <v>0</v>
      </c>
      <c r="G349" s="17">
        <f t="shared" si="15"/>
        <v>-622862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Koreksi'!$D$5:$D$92,'0500'!A334,'Daftar Koreksi'!$G$5:$G$92,"Aset Tetap Lainnya",'Daftar Koreksi'!$I$5:$I$92,"&gt;0")</f>
        <v>0</v>
      </c>
      <c r="F350" s="25">
        <f>SUMIFS('Daftar Koreksi'!$I$5:$I$92,'Daftar Koreksi'!$D$5:$D$92,'0500'!A334,'Daftar Koreksi'!$G$5:$G$92,"Aset Tetap Lainnya",'Daftar Koreksi'!$I$5:$I$92,"&lt;0")-SUMIFS('Daftar Koreksi'!$I$5:$I$92,'Daftar Koreksi'!$D$5:$D$92,'0500'!A334,'Daftar Koreksi'!$G$5:$G$92,"Aset Tetap Lainnya",'Daftar Koreksi'!$I$5:$I$92,"&lt;0")-SUMIFS('Daftar Koreksi'!$I$5:$I$92,'Daftar Koreksi'!$D$5:$D$92,'0500'!A334,'Daftar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-197000</v>
      </c>
      <c r="E351" s="25">
        <f>SUMIFS('Daftar Koreksi'!$I$5:$I$92,'Daftar Koreksi'!$D$5:$D$92,'0500'!A334,'Daftar Koreksi'!$G$5:$G$92,"Aset Henti Guna",'Daftar Koreksi'!$I$5:$I$92,"&gt;0")</f>
        <v>0</v>
      </c>
      <c r="F351" s="25">
        <f>SUMIFS('Daftar Koreksi'!$I$5:$I$92,'Daftar Koreksi'!$D$5:$D$92,'0500'!A334,'Daftar Koreksi'!$G$5:$G$92,"Aset Henti Guna",'Daftar Koreksi'!$I$5:$I$92,"&lt;0")-SUMIFS('Daftar Koreksi'!$I$5:$I$92,'Daftar Koreksi'!$D$5:$D$92,'0500'!A334,'Daftar Koreksi'!$G$5:$G$92,"Aset Henti Guna",'Daftar Koreksi'!$I$5:$I$92,"&lt;0")-SUMIFS('Daftar Koreksi'!$I$5:$I$92,'Daftar Koreksi'!$D$5:$D$92,'0500'!A334,'Daftar Koreksi'!$G$5:$G$92,"Aset Henti Guna",'Daftar Koreksi'!$I$5:$I$92,"&lt;0")</f>
        <v>0</v>
      </c>
      <c r="G351" s="17">
        <f t="shared" si="15"/>
        <v>-197000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-3466257287</v>
      </c>
      <c r="E352" s="19">
        <f>SUM(E347:E351)</f>
        <v>0</v>
      </c>
      <c r="F352" s="19">
        <f>SUM(F347:F351)</f>
        <v>0</v>
      </c>
      <c r="G352" s="19">
        <f t="shared" si="15"/>
        <v>-3466257287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8112329278</v>
      </c>
      <c r="E353" s="19">
        <f>E352+E346</f>
        <v>0</v>
      </c>
      <c r="F353" s="19">
        <f>F352+F346</f>
        <v>0</v>
      </c>
      <c r="G353" s="19">
        <f t="shared" si="15"/>
        <v>8112329278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005010500098260000KD</v>
      </c>
      <c r="B356" s="11" t="str">
        <f>P17</f>
        <v>PN. Trenggalek</v>
      </c>
      <c r="C356" s="12" t="str">
        <f>A356&amp;" "&amp;B356</f>
        <v>005010500098260000KD PN. Trenggalek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18500</v>
      </c>
      <c r="E359" s="25">
        <f>SUMIFS('Daftar Koreksi'!$H$5:$H$92,'Daftar Koreksi'!$D$5:$D$92,'0500'!A356,'Daftar Koreksi'!$G$5:$G$92,"Persediaan",'Daftar Koreksi'!$H$5:$H$92,"&gt;0")</f>
        <v>0</v>
      </c>
      <c r="F359" s="25">
        <f>SUMIFS('Daftar Koreksi'!$H$5:$H$92,'Daftar Koreksi'!$D$5:$D$92,'0500'!A356,'Daftar Koreksi'!$G$5:$G$92,"Persediaan",'Daftar Koreksi'!$H$5:$H$92,"&lt;0")-SUMIFS('Daftar Koreksi'!$H$5:$H$92,'Daftar Koreksi'!$D$5:$D$92,'0500'!A356,'Daftar Koreksi'!$G$5:$G$92,"Persediaan",'Daftar Koreksi'!$H$5:$H$92,"&lt;0")-SUMIFS('Daftar Koreksi'!$H$5:$H$92,'Daftar Koreksi'!$D$5:$D$92,'0500'!A356,'Daftar Koreksi'!$G$5:$G$92,"Persediaan",'Daftar Koreksi'!$H$5:$H$92,"&lt;0")</f>
        <v>0</v>
      </c>
      <c r="G359" s="17">
        <f>D359+E359-F359</f>
        <v>18500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1927510000</v>
      </c>
      <c r="E360" s="25">
        <f>SUMIFS('Daftar Koreksi'!$H$5:$H$92,'Daftar Koreksi'!$D$5:$D$92,'0500'!A356,'Daftar Koreksi'!$G$5:$G$92,"Tanah",'Daftar Koreksi'!$H$5:$H$92,"&gt;0")</f>
        <v>0</v>
      </c>
      <c r="F360" s="25">
        <f>SUMIFS('Daftar Koreksi'!$H$5:$H$92,'Daftar Koreksi'!$D$5:$D$92,'0500'!A356,'Daftar Koreksi'!$G$5:$G$92,"Tanah",'Daftar Koreksi'!$H$5:$H$92,"&lt;0")-SUMIFS('Daftar Koreksi'!$H$5:$H$92,'Daftar Koreksi'!$D$5:$D$92,'0500'!A356,'Daftar Koreksi'!$G$5:$G$92,"Tanah",'Daftar Koreksi'!$H$5:$H$92,"&lt;0")-SUMIFS('Daftar Koreksi'!$H$5:$H$92,'Daftar Koreksi'!$D$5:$D$92,'0500'!A356,'Daftar Koreksi'!$G$5:$G$92,"Tanah",'Daftar Koreksi'!$H$5:$H$92,"&lt;0")</f>
        <v>0</v>
      </c>
      <c r="G360" s="17">
        <f t="shared" ref="G360:G376" si="16">D360+E360-F360</f>
        <v>1927510000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1731822008</v>
      </c>
      <c r="E361" s="25">
        <f>SUMIFS('Daftar Koreksi'!$H$5:$H$92,'Daftar Koreksi'!$D$5:$D$92,'0500'!A356,'Daftar Koreksi'!$G$5:$G$92,"Peralatan dan mesin",'Daftar Koreksi'!$H$5:$H$92,"&gt;0")</f>
        <v>0</v>
      </c>
      <c r="F361" s="25">
        <f>SUMIFS('Daftar Koreksi'!$H$5:$H$92,'Daftar Koreksi'!$D$5:$D$92,'0500'!A356,'Daftar Koreksi'!$G$5:$G$92,"Peralatan dan mesin",'Daftar Koreksi'!$H$5:$H$92,"&lt;0")-SUMIFS('Daftar Koreksi'!$H$5:$H$92,'Daftar Koreksi'!$D$5:$D$92,'0500'!A356,'Daftar Koreksi'!$G$5:$G$92,"Peralatan dan mesin",'Daftar Koreksi'!$H$5:$H$92,"&lt;0")-SUMIFS('Daftar Koreksi'!$H$5:$H$92,'Daftar Koreksi'!$D$5:$D$92,'0500'!A356,'Daftar Koreksi'!$G$5:$G$92,"Peralatan dan mesin",'Daftar Koreksi'!$H$5:$H$92,"&lt;0")</f>
        <v>0</v>
      </c>
      <c r="G361" s="17">
        <f t="shared" si="16"/>
        <v>1731822008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12689168150</v>
      </c>
      <c r="E362" s="25">
        <f>SUMIFS('Daftar Koreksi'!$H$5:$H$92,'Daftar Koreksi'!$D$5:$D$92,'0500'!A356,'Daftar Koreksi'!$G$5:$G$92,"Gedung dan Bangunan",'Daftar Koreksi'!$H$5:$H$92,"&gt;0")</f>
        <v>0</v>
      </c>
      <c r="F362" s="25">
        <f>SUMIFS('Daftar Koreksi'!$H$5:$H$92,'Daftar Koreksi'!$D$5:$D$92,'0500'!A356,'Daftar Koreksi'!$G$5:$G$92,"Gedung dan Bangunan",'Daftar Koreksi'!$H$5:$H$92,"&lt;0")-SUMIFS('Daftar Koreksi'!$H$5:$H$92,'Daftar Koreksi'!$D$5:$D$92,'0500'!A356,'Daftar Koreksi'!$G$5:$G$92,"Gedung dan Bangunan",'Daftar Koreksi'!$H$5:$H$92,"&lt;0")-SUMIFS('Daftar Koreksi'!$H$5:$H$92,'Daftar Koreksi'!$D$5:$D$92,'0500'!A356,'Daftar Koreksi'!$G$5:$G$92,"Gedung dan Bangunan",'Daftar Koreksi'!$H$5:$H$92,"&lt;0")</f>
        <v>0</v>
      </c>
      <c r="G362" s="17">
        <f t="shared" si="16"/>
        <v>12689168150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49665000</v>
      </c>
      <c r="E363" s="25">
        <f>SUMIFS('Daftar Koreksi'!$H$5:$H$92,'Daftar Koreksi'!$D$5:$D$92,'0500'!A356,'Daftar Koreksi'!$G$5:$G$92,"Jalan Irigasi Jaringan",'Daftar Koreksi'!$H$5:$H$92,"&gt;0")</f>
        <v>0</v>
      </c>
      <c r="F363" s="25">
        <f>SUMIFS('Daftar Koreksi'!$H$5:$H$92,'Daftar Koreksi'!$D$5:$D$92,'0500'!A356,'Daftar Koreksi'!$G$5:$G$92,"Jalan Irigasi Jaringan",'Daftar Koreksi'!$H$5:$H$92,"&lt;0")-SUMIFS('Daftar Koreksi'!$H$5:$H$92,'Daftar Koreksi'!$D$5:$D$92,'0500'!A356,'Daftar Koreksi'!$G$5:$G$92,"Jalan Irigasi Jaringan",'Daftar Koreksi'!$H$5:$H$92,"&lt;0")-SUMIFS('Daftar Koreksi'!$H$5:$H$92,'Daftar Koreksi'!$D$5:$D$92,'0500'!A356,'Daftar Koreksi'!$G$5:$G$92,"Jalan Irigasi Jaringan",'Daftar Koreksi'!$H$5:$H$92,"&lt;0")</f>
        <v>0</v>
      </c>
      <c r="G363" s="17">
        <f t="shared" si="16"/>
        <v>49665000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9183740</v>
      </c>
      <c r="E364" s="25">
        <f>SUMIFS('Daftar Koreksi'!$H$5:$H$92,'Daftar Koreksi'!$D$5:$D$92,'0500'!A356,'Daftar Koreksi'!$G$5:$G$92,"Aset Tetap Lainnya",'Daftar Koreksi'!$H$5:$H$92,"&gt;0")</f>
        <v>0</v>
      </c>
      <c r="F364" s="25">
        <f>SUMIFS('Daftar Koreksi'!$H$5:$H$92,'Daftar Koreksi'!$D$5:$D$92,'0500'!A356,'Daftar Koreksi'!$G$5:$G$92,"Aset Tetap Lainnya",'Daftar Koreksi'!$H$5:$H$92,"&lt;0")-SUMIFS('Daftar Koreksi'!$H$5:$H$92,'Daftar Koreksi'!$D$5:$D$92,'0500'!A356,'Daftar Koreksi'!$G$5:$G$92,"Aset Tetap Lainnya",'Daftar Koreksi'!$H$5:$H$92,"&lt;0")-SUMIFS('Daftar Koreksi'!$H$5:$H$92,'Daftar Koreksi'!$D$5:$D$92,'0500'!A356,'Daftar Koreksi'!$G$5:$G$92,"Aset Tetap Lainnya",'Daftar Koreksi'!$H$5:$H$92,"&lt;0")</f>
        <v>0</v>
      </c>
      <c r="G364" s="17">
        <f t="shared" si="16"/>
        <v>9183740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Koreksi'!$D$5:$D$92,'0500'!A356,'Daftar Koreksi'!$G$5:$G$92,"Kontruksi Dalam Pengerjaan",'Daftar Koreksi'!$H$5:$H$92,"&gt;0")</f>
        <v>0</v>
      </c>
      <c r="F365" s="25">
        <f>SUMIFS('Daftar Koreksi'!$H$5:$H$92,'Daftar Koreksi'!$D$5:$D$92,'0500'!A356,'Daftar Koreksi'!$G$5:$G$92,"Kontruksi Dalam Pengerjaan",'Daftar Koreksi'!$H$5:$H$92,"&lt;0")-SUMIFS('Daftar Koreksi'!$H$5:$H$92,'Daftar Koreksi'!$D$5:$D$92,'0500'!A356,'Daftar Koreksi'!$G$5:$G$92,"Kontruksi Dalam Pengerjaan",'Daftar Koreksi'!$H$5:$H$92,"&lt;0")-SUMIFS('Daftar Koreksi'!$H$5:$H$92,'Daftar Koreksi'!$D$5:$D$92,'0500'!A356,'Daftar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Koreksi'!$D$5:$D$92,'0500'!A356,'Daftar Koreksi'!$G$5:$G$92,"Aset Tak Berwujud",'Daftar Koreksi'!$H$5:$H$92,"&gt;0")</f>
        <v>0</v>
      </c>
      <c r="F366" s="25">
        <f>SUMIFS('Daftar Koreksi'!$H$5:$H$92,'Daftar Koreksi'!$D$5:$D$92,'0500'!A356,'Daftar Koreksi'!$G$5:$G$92,"Aset Tak Berwujud",'Daftar Koreksi'!$H$5:$H$92,"&lt;0")-SUMIFS('Daftar Koreksi'!$H$5:$H$92,'Daftar Koreksi'!$D$5:$D$92,'0500'!A356,'Daftar Koreksi'!$G$5:$G$92,"Aset Tak Berwujud",'Daftar Koreksi'!$H$5:$H$92,"&lt;0")-SUMIFS('Daftar Koreksi'!$H$5:$H$92,'Daftar Koreksi'!$D$5:$D$92,'0500'!A356,'Daftar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244690409</v>
      </c>
      <c r="E367" s="25">
        <f>SUMIFS('Daftar Koreksi'!$H$5:$H$92,'Daftar Koreksi'!$D$5:$D$92,'0500'!A356,'Daftar Koreksi'!$G$5:$G$92,"Aset Henti Guna",'Daftar Koreksi'!$H$5:$H$92,"&gt;0")</f>
        <v>0</v>
      </c>
      <c r="F367" s="25">
        <f>SUMIFS('Daftar Koreksi'!$H$5:$H$92,'Daftar Koreksi'!$D$5:$D$92,'0500'!A356,'Daftar Koreksi'!$G$5:$G$92,"Aset Henti Guna",'Daftar Koreksi'!$H$5:$H$92,"&lt;0")-SUMIFS('Daftar Koreksi'!$H$5:$H$92,'Daftar Koreksi'!$D$5:$D$92,'0500'!A356,'Daftar Koreksi'!$G$5:$G$92,"Aset Henti Guna",'Daftar Koreksi'!$H$5:$H$92,"&lt;0")-SUMIFS('Daftar Koreksi'!$H$5:$H$92,'Daftar Koreksi'!$D$5:$D$92,'0500'!A356,'Daftar Koreksi'!$G$5:$G$92,"Aset Henti Guna",'Daftar Koreksi'!$H$5:$H$92,"&lt;0")</f>
        <v>0</v>
      </c>
      <c r="G367" s="17">
        <f t="shared" si="16"/>
        <v>244690409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16652057807</v>
      </c>
      <c r="E368" s="19">
        <f>SUM(E359:E367)</f>
        <v>0</v>
      </c>
      <c r="F368" s="19">
        <f>SUM(F359:F367)</f>
        <v>0</v>
      </c>
      <c r="G368" s="19">
        <f t="shared" si="16"/>
        <v>16652057807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-1146276413</v>
      </c>
      <c r="E369" s="25">
        <f>SUMIFS('Daftar Koreksi'!$I$5:$I$92,'Daftar Koreksi'!$D$5:$D$92,'0500'!A356,'Daftar Koreksi'!$G$5:$G$92,"Peralatan dan mesin",'Daftar Koreksi'!$I$5:$I$92,"&gt;0")</f>
        <v>0</v>
      </c>
      <c r="F369" s="25">
        <f>SUMIFS('Daftar Koreksi'!$I$5:$I$92,'Daftar Koreksi'!$D$5:$D$92,'0500'!A356,'Daftar Koreksi'!$G$5:$G$92,"Peralatan dan mesin",'Daftar Koreksi'!$I$5:$I$92,"&lt;0")-SUMIFS('Daftar Koreksi'!$I$5:$I$92,'Daftar Koreksi'!$D$5:$D$92,'0500'!A356,'Daftar Koreksi'!$G$5:$G$92,"Peralatan dan mesin",'Daftar Koreksi'!$I$5:$I$92,"&lt;0")-SUMIFS('Daftar Koreksi'!$I$5:$I$92,'Daftar Koreksi'!$D$5:$D$92,'0500'!A356,'Daftar Koreksi'!$G$5:$G$92,"Peralatan dan mesin",'Daftar Koreksi'!$I$5:$I$92,"&lt;0")</f>
        <v>0</v>
      </c>
      <c r="G369" s="17">
        <f t="shared" si="16"/>
        <v>-1146276413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-660670056</v>
      </c>
      <c r="E370" s="25">
        <f>SUMIFS('Daftar Koreksi'!$I$5:$I$92,'Daftar Koreksi'!$D$5:$D$92,'0500'!A356,'Daftar Koreksi'!$G$5:$G$92,"Gedung dan Bangunan",'Daftar Koreksi'!$I$5:$I$92,"&gt;0")</f>
        <v>0</v>
      </c>
      <c r="F370" s="25">
        <f>SUMIFS('Daftar Koreksi'!$I$5:$I$92,'Daftar Koreksi'!$D$5:$D$92,'0500'!A356,'Daftar Koreksi'!$G$5:$G$92,"Gedung dan Bangunan",'Daftar Koreksi'!$I$5:$I$92,"&lt;0")-SUMIFS('Daftar Koreksi'!$I$5:$I$92,'Daftar Koreksi'!$D$5:$D$92,'0500'!A356,'Daftar Koreksi'!$G$5:$G$92,"Gedung dan Bangunan",'Daftar Koreksi'!$I$5:$I$92,"&lt;0")-SUMIFS('Daftar Koreksi'!$I$5:$I$92,'Daftar Koreksi'!$D$5:$D$92,'0500'!A356,'Daftar Koreksi'!$G$5:$G$92,"Gedung dan Bangunan",'Daftar Koreksi'!$I$5:$I$92,"&lt;0")</f>
        <v>0</v>
      </c>
      <c r="G370" s="17">
        <f t="shared" si="16"/>
        <v>-660670056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-34765500</v>
      </c>
      <c r="E371" s="25">
        <f>SUMIFS('Daftar Koreksi'!$I$5:$I$92,'Daftar Koreksi'!$D$5:$D$92,'0500'!A356,'Daftar Koreksi'!$G$5:$G$92,"Jalan Irigasi Jaringan",'Daftar Koreksi'!$I$5:$I$92,"&gt;0")</f>
        <v>0</v>
      </c>
      <c r="F371" s="25">
        <f>SUMIFS('Daftar Koreksi'!$I$5:$I$92,'Daftar Koreksi'!$D$5:$D$92,'0500'!A356,'Daftar Koreksi'!$G$5:$G$92,"Jalan Irigasi Jaringan",'Daftar Koreksi'!$I$5:$I$92,"&lt;0")-SUMIFS('Daftar Koreksi'!$I$5:$I$92,'Daftar Koreksi'!$D$5:$D$92,'0500'!A356,'Daftar Koreksi'!$G$5:$G$92,"Jalan Irigasi Jaringan",'Daftar Koreksi'!$I$5:$I$92,"&lt;0")-SUMIFS('Daftar Koreksi'!$I$5:$I$92,'Daftar Koreksi'!$D$5:$D$92,'0500'!A356,'Daftar Koreksi'!$G$5:$G$92,"Jalan Irigasi Jaringan",'Daftar Koreksi'!$I$5:$I$92,"&lt;0")</f>
        <v>0</v>
      </c>
      <c r="G371" s="17">
        <f t="shared" si="16"/>
        <v>-34765500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Koreksi'!$D$5:$D$92,'0500'!A356,'Daftar Koreksi'!$G$5:$G$92,"Aset Tetap Lainnya",'Daftar Koreksi'!$I$5:$I$92,"&gt;0")</f>
        <v>0</v>
      </c>
      <c r="F372" s="25">
        <f>SUMIFS('Daftar Koreksi'!$I$5:$I$92,'Daftar Koreksi'!$D$5:$D$92,'0500'!A356,'Daftar Koreksi'!$G$5:$G$92,"Aset Tetap Lainnya",'Daftar Koreksi'!$I$5:$I$92,"&lt;0")-SUMIFS('Daftar Koreksi'!$I$5:$I$92,'Daftar Koreksi'!$D$5:$D$92,'0500'!A356,'Daftar Koreksi'!$G$5:$G$92,"Aset Tetap Lainnya",'Daftar Koreksi'!$I$5:$I$92,"&lt;0")-SUMIFS('Daftar Koreksi'!$I$5:$I$92,'Daftar Koreksi'!$D$5:$D$92,'0500'!A356,'Daftar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-239965903</v>
      </c>
      <c r="E373" s="25">
        <f>SUMIFS('Daftar Koreksi'!$I$5:$I$92,'Daftar Koreksi'!$D$5:$D$92,'0500'!A356,'Daftar Koreksi'!$G$5:$G$92,"Aset Henti Guna",'Daftar Koreksi'!$I$5:$I$92,"&gt;0")</f>
        <v>0</v>
      </c>
      <c r="F373" s="25">
        <f>SUMIFS('Daftar Koreksi'!$I$5:$I$92,'Daftar Koreksi'!$D$5:$D$92,'0500'!A356,'Daftar Koreksi'!$G$5:$G$92,"Aset Henti Guna",'Daftar Koreksi'!$I$5:$I$92,"&lt;0")-SUMIFS('Daftar Koreksi'!$I$5:$I$92,'Daftar Koreksi'!$D$5:$D$92,'0500'!A356,'Daftar Koreksi'!$G$5:$G$92,"Aset Henti Guna",'Daftar Koreksi'!$I$5:$I$92,"&lt;0")-SUMIFS('Daftar Koreksi'!$I$5:$I$92,'Daftar Koreksi'!$D$5:$D$92,'0500'!A356,'Daftar Koreksi'!$G$5:$G$92,"Aset Henti Guna",'Daftar Koreksi'!$I$5:$I$92,"&lt;0")</f>
        <v>0</v>
      </c>
      <c r="G373" s="17">
        <f t="shared" si="16"/>
        <v>-239965903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-2081677872</v>
      </c>
      <c r="E374" s="19">
        <f>SUM(E369:E373)</f>
        <v>0</v>
      </c>
      <c r="F374" s="19">
        <f>SUM(F369:F373)</f>
        <v>0</v>
      </c>
      <c r="G374" s="19">
        <f t="shared" si="16"/>
        <v>-2081677872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14570379935</v>
      </c>
      <c r="E375" s="19">
        <f>E374+E368</f>
        <v>0</v>
      </c>
      <c r="F375" s="19">
        <f>F374+F368</f>
        <v>0</v>
      </c>
      <c r="G375" s="19">
        <f t="shared" si="16"/>
        <v>14570379935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005010500098277000KD</v>
      </c>
      <c r="B378" s="11" t="str">
        <f>P18</f>
        <v>PN. Blitar</v>
      </c>
      <c r="C378" s="12" t="str">
        <f>A378&amp;" "&amp;B378</f>
        <v>005010500098277000KD PN. Blitar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8822550</v>
      </c>
      <c r="E381" s="25">
        <f>SUMIFS('Daftar Koreksi'!$H$5:$H$92,'Daftar Koreksi'!$D$5:$D$92,'0500'!A378,'Daftar Koreksi'!$G$5:$G$92,"Persediaan",'Daftar Koreksi'!$H$5:$H$92,"&gt;0")</f>
        <v>0</v>
      </c>
      <c r="F381" s="25">
        <f>SUMIFS('Daftar Koreksi'!$H$5:$H$92,'Daftar Koreksi'!$D$5:$D$92,'0500'!A378,'Daftar Koreksi'!$G$5:$G$92,"Persediaan",'Daftar Koreksi'!$H$5:$H$92,"&lt;0")-SUMIFS('Daftar Koreksi'!$H$5:$H$92,'Daftar Koreksi'!$D$5:$D$92,'0500'!A378,'Daftar Koreksi'!$G$5:$G$92,"Persediaan",'Daftar Koreksi'!$H$5:$H$92,"&lt;0")-SUMIFS('Daftar Koreksi'!$H$5:$H$92,'Daftar Koreksi'!$D$5:$D$92,'0500'!A378,'Daftar Koreksi'!$G$5:$G$92,"Persediaan",'Daftar Koreksi'!$H$5:$H$92,"&lt;0")</f>
        <v>0</v>
      </c>
      <c r="G381" s="17">
        <f>D381+E381-F381</f>
        <v>8822550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12335000080</v>
      </c>
      <c r="E382" s="25">
        <f>SUMIFS('Daftar Koreksi'!$H$5:$H$92,'Daftar Koreksi'!$D$5:$D$92,'0500'!A378,'Daftar Koreksi'!$G$5:$G$92,"Tanah",'Daftar Koreksi'!$H$5:$H$92,"&gt;0")</f>
        <v>0</v>
      </c>
      <c r="F382" s="25">
        <f>SUMIFS('Daftar Koreksi'!$H$5:$H$92,'Daftar Koreksi'!$D$5:$D$92,'0500'!A378,'Daftar Koreksi'!$G$5:$G$92,"Tanah",'Daftar Koreksi'!$H$5:$H$92,"&lt;0")-SUMIFS('Daftar Koreksi'!$H$5:$H$92,'Daftar Koreksi'!$D$5:$D$92,'0500'!A378,'Daftar Koreksi'!$G$5:$G$92,"Tanah",'Daftar Koreksi'!$H$5:$H$92,"&lt;0")-SUMIFS('Daftar Koreksi'!$H$5:$H$92,'Daftar Koreksi'!$D$5:$D$92,'0500'!A378,'Daftar Koreksi'!$G$5:$G$92,"Tanah",'Daftar Koreksi'!$H$5:$H$92,"&lt;0")</f>
        <v>0</v>
      </c>
      <c r="G382" s="17">
        <f t="shared" ref="G382:G398" si="17">D382+E382-F382</f>
        <v>12335000080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2114947589</v>
      </c>
      <c r="E383" s="25">
        <f>SUMIFS('Daftar Koreksi'!$H$5:$H$92,'Daftar Koreksi'!$D$5:$D$92,'0500'!A378,'Daftar Koreksi'!$G$5:$G$92,"Peralatan dan mesin",'Daftar Koreksi'!$H$5:$H$92,"&gt;0")</f>
        <v>0</v>
      </c>
      <c r="F383" s="25">
        <f>SUMIFS('Daftar Koreksi'!$H$5:$H$92,'Daftar Koreksi'!$D$5:$D$92,'0500'!A378,'Daftar Koreksi'!$G$5:$G$92,"Peralatan dan mesin",'Daftar Koreksi'!$H$5:$H$92,"&lt;0")-SUMIFS('Daftar Koreksi'!$H$5:$H$92,'Daftar Koreksi'!$D$5:$D$92,'0500'!A378,'Daftar Koreksi'!$G$5:$G$92,"Peralatan dan mesin",'Daftar Koreksi'!$H$5:$H$92,"&lt;0")-SUMIFS('Daftar Koreksi'!$H$5:$H$92,'Daftar Koreksi'!$D$5:$D$92,'0500'!A378,'Daftar Koreksi'!$G$5:$G$92,"Peralatan dan mesin",'Daftar Koreksi'!$H$5:$H$92,"&lt;0")</f>
        <v>0</v>
      </c>
      <c r="G383" s="17">
        <f t="shared" si="17"/>
        <v>2114947589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2736124000</v>
      </c>
      <c r="E384" s="25">
        <f>SUMIFS('Daftar Koreksi'!$H$5:$H$92,'Daftar Koreksi'!$D$5:$D$92,'0500'!A378,'Daftar Koreksi'!$G$5:$G$92,"Gedung dan Bangunan",'Daftar Koreksi'!$H$5:$H$92,"&gt;0")</f>
        <v>0</v>
      </c>
      <c r="F384" s="25">
        <f>SUMIFS('Daftar Koreksi'!$H$5:$H$92,'Daftar Koreksi'!$D$5:$D$92,'0500'!A378,'Daftar Koreksi'!$G$5:$G$92,"Gedung dan Bangunan",'Daftar Koreksi'!$H$5:$H$92,"&lt;0")-SUMIFS('Daftar Koreksi'!$H$5:$H$92,'Daftar Koreksi'!$D$5:$D$92,'0500'!A378,'Daftar Koreksi'!$G$5:$G$92,"Gedung dan Bangunan",'Daftar Koreksi'!$H$5:$H$92,"&lt;0")-SUMIFS('Daftar Koreksi'!$H$5:$H$92,'Daftar Koreksi'!$D$5:$D$92,'0500'!A378,'Daftar Koreksi'!$G$5:$G$92,"Gedung dan Bangunan",'Daftar Koreksi'!$H$5:$H$92,"&lt;0")</f>
        <v>0</v>
      </c>
      <c r="G384" s="17">
        <f t="shared" si="17"/>
        <v>2736124000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Koreksi'!$D$5:$D$92,'0500'!A378,'Daftar Koreksi'!$G$5:$G$92,"Jalan Irigasi Jaringan",'Daftar Koreksi'!$H$5:$H$92,"&gt;0")</f>
        <v>0</v>
      </c>
      <c r="F385" s="25">
        <f>SUMIFS('Daftar Koreksi'!$H$5:$H$92,'Daftar Koreksi'!$D$5:$D$92,'0500'!A378,'Daftar Koreksi'!$G$5:$G$92,"Jalan Irigasi Jaringan",'Daftar Koreksi'!$H$5:$H$92,"&lt;0")-SUMIFS('Daftar Koreksi'!$H$5:$H$92,'Daftar Koreksi'!$D$5:$D$92,'0500'!A378,'Daftar Koreksi'!$G$5:$G$92,"Jalan Irigasi Jaringan",'Daftar Koreksi'!$H$5:$H$92,"&lt;0")-SUMIFS('Daftar Koreksi'!$H$5:$H$92,'Daftar Koreksi'!$D$5:$D$92,'0500'!A378,'Daftar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9198740</v>
      </c>
      <c r="E386" s="25">
        <f>SUMIFS('Daftar Koreksi'!$H$5:$H$92,'Daftar Koreksi'!$D$5:$D$92,'0500'!A378,'Daftar Koreksi'!$G$5:$G$92,"Aset Tetap Lainnya",'Daftar Koreksi'!$H$5:$H$92,"&gt;0")</f>
        <v>0</v>
      </c>
      <c r="F386" s="25">
        <f>SUMIFS('Daftar Koreksi'!$H$5:$H$92,'Daftar Koreksi'!$D$5:$D$92,'0500'!A378,'Daftar Koreksi'!$G$5:$G$92,"Aset Tetap Lainnya",'Daftar Koreksi'!$H$5:$H$92,"&lt;0")-SUMIFS('Daftar Koreksi'!$H$5:$H$92,'Daftar Koreksi'!$D$5:$D$92,'0500'!A378,'Daftar Koreksi'!$G$5:$G$92,"Aset Tetap Lainnya",'Daftar Koreksi'!$H$5:$H$92,"&lt;0")-SUMIFS('Daftar Koreksi'!$H$5:$H$92,'Daftar Koreksi'!$D$5:$D$92,'0500'!A378,'Daftar Koreksi'!$G$5:$G$92,"Aset Tetap Lainnya",'Daftar Koreksi'!$H$5:$H$92,"&lt;0")</f>
        <v>0</v>
      </c>
      <c r="G386" s="17">
        <f t="shared" si="17"/>
        <v>9198740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Koreksi'!$D$5:$D$92,'0500'!A378,'Daftar Koreksi'!$G$5:$G$92,"Kontruksi Dalam Pengerjaan",'Daftar Koreksi'!$H$5:$H$92,"&gt;0")</f>
        <v>0</v>
      </c>
      <c r="F387" s="25">
        <f>SUMIFS('Daftar Koreksi'!$H$5:$H$92,'Daftar Koreksi'!$D$5:$D$92,'0500'!A378,'Daftar Koreksi'!$G$5:$G$92,"Kontruksi Dalam Pengerjaan",'Daftar Koreksi'!$H$5:$H$92,"&lt;0")-SUMIFS('Daftar Koreksi'!$H$5:$H$92,'Daftar Koreksi'!$D$5:$D$92,'0500'!A378,'Daftar Koreksi'!$G$5:$G$92,"Kontruksi Dalam Pengerjaan",'Daftar Koreksi'!$H$5:$H$92,"&lt;0")-SUMIFS('Daftar Koreksi'!$H$5:$H$92,'Daftar Koreksi'!$D$5:$D$92,'0500'!A378,'Daftar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13000000</v>
      </c>
      <c r="E388" s="25">
        <f>SUMIFS('Daftar Koreksi'!$H$5:$H$92,'Daftar Koreksi'!$D$5:$D$92,'0500'!A378,'Daftar Koreksi'!$G$5:$G$92,"Aset Tak Berwujud",'Daftar Koreksi'!$H$5:$H$92,"&gt;0")</f>
        <v>0</v>
      </c>
      <c r="F388" s="25">
        <f>SUMIFS('Daftar Koreksi'!$H$5:$H$92,'Daftar Koreksi'!$D$5:$D$92,'0500'!A378,'Daftar Koreksi'!$G$5:$G$92,"Aset Tak Berwujud",'Daftar Koreksi'!$H$5:$H$92,"&lt;0")-SUMIFS('Daftar Koreksi'!$H$5:$H$92,'Daftar Koreksi'!$D$5:$D$92,'0500'!A378,'Daftar Koreksi'!$G$5:$G$92,"Aset Tak Berwujud",'Daftar Koreksi'!$H$5:$H$92,"&lt;0")-SUMIFS('Daftar Koreksi'!$H$5:$H$92,'Daftar Koreksi'!$D$5:$D$92,'0500'!A378,'Daftar Koreksi'!$G$5:$G$92,"Aset Tak Berwujud",'Daftar Koreksi'!$H$5:$H$92,"&lt;0")</f>
        <v>0</v>
      </c>
      <c r="G388" s="17">
        <f t="shared" si="17"/>
        <v>13000000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460000</v>
      </c>
      <c r="E389" s="25">
        <f>SUMIFS('Daftar Koreksi'!$H$5:$H$92,'Daftar Koreksi'!$D$5:$D$92,'0500'!A378,'Daftar Koreksi'!$G$5:$G$92,"Aset Henti Guna",'Daftar Koreksi'!$H$5:$H$92,"&gt;0")</f>
        <v>0</v>
      </c>
      <c r="F389" s="25">
        <f>SUMIFS('Daftar Koreksi'!$H$5:$H$92,'Daftar Koreksi'!$D$5:$D$92,'0500'!A378,'Daftar Koreksi'!$G$5:$G$92,"Aset Henti Guna",'Daftar Koreksi'!$H$5:$H$92,"&lt;0")-SUMIFS('Daftar Koreksi'!$H$5:$H$92,'Daftar Koreksi'!$D$5:$D$92,'0500'!A378,'Daftar Koreksi'!$G$5:$G$92,"Aset Henti Guna",'Daftar Koreksi'!$H$5:$H$92,"&lt;0")-SUMIFS('Daftar Koreksi'!$H$5:$H$92,'Daftar Koreksi'!$D$5:$D$92,'0500'!A378,'Daftar Koreksi'!$G$5:$G$92,"Aset Henti Guna",'Daftar Koreksi'!$H$5:$H$92,"&lt;0")</f>
        <v>0</v>
      </c>
      <c r="G389" s="17">
        <f t="shared" si="17"/>
        <v>460000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17217552959</v>
      </c>
      <c r="E390" s="19">
        <f>SUM(E381:E389)</f>
        <v>0</v>
      </c>
      <c r="F390" s="19">
        <f>SUM(F381:F389)</f>
        <v>0</v>
      </c>
      <c r="G390" s="19">
        <f t="shared" si="17"/>
        <v>17217552959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-1901328664</v>
      </c>
      <c r="E391" s="25">
        <f>SUMIFS('Daftar Koreksi'!$I$5:$I$92,'Daftar Koreksi'!$D$5:$D$92,'0500'!A378,'Daftar Koreksi'!$G$5:$G$92,"Peralatan dan mesin",'Daftar Koreksi'!$I$5:$I$92,"&gt;0")</f>
        <v>0</v>
      </c>
      <c r="F391" s="25">
        <f>SUMIFS('Daftar Koreksi'!$I$5:$I$92,'Daftar Koreksi'!$D$5:$D$92,'0500'!A378,'Daftar Koreksi'!$G$5:$G$92,"Peralatan dan mesin",'Daftar Koreksi'!$I$5:$I$92,"&lt;0")-SUMIFS('Daftar Koreksi'!$I$5:$I$92,'Daftar Koreksi'!$D$5:$D$92,'0500'!A378,'Daftar Koreksi'!$G$5:$G$92,"Peralatan dan mesin",'Daftar Koreksi'!$I$5:$I$92,"&lt;0")-SUMIFS('Daftar Koreksi'!$I$5:$I$92,'Daftar Koreksi'!$D$5:$D$92,'0500'!A378,'Daftar Koreksi'!$G$5:$G$92,"Peralatan dan mesin",'Daftar Koreksi'!$I$5:$I$92,"&lt;0")</f>
        <v>0</v>
      </c>
      <c r="G391" s="17">
        <f t="shared" si="17"/>
        <v>-1901328664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-1697340760</v>
      </c>
      <c r="E392" s="25">
        <f>SUMIFS('Daftar Koreksi'!$I$5:$I$92,'Daftar Koreksi'!$D$5:$D$92,'0500'!A378,'Daftar Koreksi'!$G$5:$G$92,"Gedung dan Bangunan",'Daftar Koreksi'!$I$5:$I$92,"&gt;0")</f>
        <v>0</v>
      </c>
      <c r="F392" s="25">
        <f>SUMIFS('Daftar Koreksi'!$I$5:$I$92,'Daftar Koreksi'!$D$5:$D$92,'0500'!A378,'Daftar Koreksi'!$G$5:$G$92,"Gedung dan Bangunan",'Daftar Koreksi'!$I$5:$I$92,"&lt;0")-SUMIFS('Daftar Koreksi'!$I$5:$I$92,'Daftar Koreksi'!$D$5:$D$92,'0500'!A378,'Daftar Koreksi'!$G$5:$G$92,"Gedung dan Bangunan",'Daftar Koreksi'!$I$5:$I$92,"&lt;0")-SUMIFS('Daftar Koreksi'!$I$5:$I$92,'Daftar Koreksi'!$D$5:$D$92,'0500'!A378,'Daftar Koreksi'!$G$5:$G$92,"Gedung dan Bangunan",'Daftar Koreksi'!$I$5:$I$92,"&lt;0")</f>
        <v>0</v>
      </c>
      <c r="G392" s="17">
        <f t="shared" si="17"/>
        <v>-1697340760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Koreksi'!$D$5:$D$92,'0500'!A378,'Daftar Koreksi'!$G$5:$G$92,"Jalan Irigasi Jaringan",'Daftar Koreksi'!$I$5:$I$92,"&gt;0")</f>
        <v>0</v>
      </c>
      <c r="F393" s="25">
        <f>SUMIFS('Daftar Koreksi'!$I$5:$I$92,'Daftar Koreksi'!$D$5:$D$92,'0500'!A378,'Daftar Koreksi'!$G$5:$G$92,"Jalan Irigasi Jaringan",'Daftar Koreksi'!$I$5:$I$92,"&lt;0")-SUMIFS('Daftar Koreksi'!$I$5:$I$92,'Daftar Koreksi'!$D$5:$D$92,'0500'!A378,'Daftar Koreksi'!$G$5:$G$92,"Jalan Irigasi Jaringan",'Daftar Koreksi'!$I$5:$I$92,"&lt;0")-SUMIFS('Daftar Koreksi'!$I$5:$I$92,'Daftar Koreksi'!$D$5:$D$92,'0500'!A378,'Daftar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Koreksi'!$D$5:$D$92,'0500'!A378,'Daftar Koreksi'!$G$5:$G$92,"Aset Tetap Lainnya",'Daftar Koreksi'!$I$5:$I$92,"&gt;0")</f>
        <v>0</v>
      </c>
      <c r="F394" s="25">
        <f>SUMIFS('Daftar Koreksi'!$I$5:$I$92,'Daftar Koreksi'!$D$5:$D$92,'0500'!A378,'Daftar Koreksi'!$G$5:$G$92,"Aset Tetap Lainnya",'Daftar Koreksi'!$I$5:$I$92,"&lt;0")-SUMIFS('Daftar Koreksi'!$I$5:$I$92,'Daftar Koreksi'!$D$5:$D$92,'0500'!A378,'Daftar Koreksi'!$G$5:$G$92,"Aset Tetap Lainnya",'Daftar Koreksi'!$I$5:$I$92,"&lt;0")-SUMIFS('Daftar Koreksi'!$I$5:$I$92,'Daftar Koreksi'!$D$5:$D$92,'0500'!A378,'Daftar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-460000</v>
      </c>
      <c r="E395" s="25">
        <f>SUMIFS('Daftar Koreksi'!$I$5:$I$92,'Daftar Koreksi'!$D$5:$D$92,'0500'!A378,'Daftar Koreksi'!$G$5:$G$92,"Aset Henti Guna",'Daftar Koreksi'!$I$5:$I$92,"&gt;0")</f>
        <v>0</v>
      </c>
      <c r="F395" s="25">
        <f>SUMIFS('Daftar Koreksi'!$I$5:$I$92,'Daftar Koreksi'!$D$5:$D$92,'0500'!A378,'Daftar Koreksi'!$G$5:$G$92,"Aset Henti Guna",'Daftar Koreksi'!$I$5:$I$92,"&lt;0")-SUMIFS('Daftar Koreksi'!$I$5:$I$92,'Daftar Koreksi'!$D$5:$D$92,'0500'!A378,'Daftar Koreksi'!$G$5:$G$92,"Aset Henti Guna",'Daftar Koreksi'!$I$5:$I$92,"&lt;0")-SUMIFS('Daftar Koreksi'!$I$5:$I$92,'Daftar Koreksi'!$D$5:$D$92,'0500'!A378,'Daftar Koreksi'!$G$5:$G$92,"Aset Henti Guna",'Daftar Koreksi'!$I$5:$I$92,"&lt;0")</f>
        <v>0</v>
      </c>
      <c r="G395" s="17">
        <f t="shared" si="17"/>
        <v>-460000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-3599129424</v>
      </c>
      <c r="E396" s="19">
        <f>SUM(E391:E395)</f>
        <v>0</v>
      </c>
      <c r="F396" s="19">
        <f>SUM(F391:F395)</f>
        <v>0</v>
      </c>
      <c r="G396" s="19">
        <f t="shared" si="17"/>
        <v>-3599129424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13618423535</v>
      </c>
      <c r="E397" s="19">
        <f>E396+E390</f>
        <v>0</v>
      </c>
      <c r="F397" s="19">
        <f>F396+F390</f>
        <v>0</v>
      </c>
      <c r="G397" s="19">
        <f t="shared" si="17"/>
        <v>13618423535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005010500098281000KD</v>
      </c>
      <c r="B400" s="11" t="str">
        <f>P19</f>
        <v>PN. Malang</v>
      </c>
      <c r="C400" s="12" t="str">
        <f>A400&amp;" "&amp;B400</f>
        <v>005010500098281000KD PN. Malang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88000</v>
      </c>
      <c r="E403" s="25">
        <f>SUMIFS('Daftar Koreksi'!$H$5:$H$92,'Daftar Koreksi'!$D$5:$D$92,'0500'!A400,'Daftar Koreksi'!$G$5:$G$92,"Persediaan",'Daftar Koreksi'!$H$5:$H$92,"&gt;0")</f>
        <v>0</v>
      </c>
      <c r="F403" s="25">
        <f>SUMIFS('Daftar Koreksi'!$H$5:$H$92,'Daftar Koreksi'!$D$5:$D$92,'0500'!A400,'Daftar Koreksi'!$G$5:$G$92,"Persediaan",'Daftar Koreksi'!$H$5:$H$92,"&lt;0")-SUMIFS('Daftar Koreksi'!$H$5:$H$92,'Daftar Koreksi'!$D$5:$D$92,'0500'!A400,'Daftar Koreksi'!$G$5:$G$92,"Persediaan",'Daftar Koreksi'!$H$5:$H$92,"&lt;0")-SUMIFS('Daftar Koreksi'!$H$5:$H$92,'Daftar Koreksi'!$D$5:$D$92,'0500'!A400,'Daftar Koreksi'!$G$5:$G$92,"Persediaan",'Daftar Koreksi'!$H$5:$H$92,"&lt;0")</f>
        <v>0</v>
      </c>
      <c r="G403" s="17">
        <f>D403+E403-F403</f>
        <v>88000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14990000000</v>
      </c>
      <c r="E404" s="25">
        <f>SUMIFS('Daftar Koreksi'!$H$5:$H$92,'Daftar Koreksi'!$D$5:$D$92,'0500'!A400,'Daftar Koreksi'!$G$5:$G$92,"Tanah",'Daftar Koreksi'!$H$5:$H$92,"&gt;0")</f>
        <v>0</v>
      </c>
      <c r="F404" s="25">
        <f>SUMIFS('Daftar Koreksi'!$H$5:$H$92,'Daftar Koreksi'!$D$5:$D$92,'0500'!A400,'Daftar Koreksi'!$G$5:$G$92,"Tanah",'Daftar Koreksi'!$H$5:$H$92,"&lt;0")-SUMIFS('Daftar Koreksi'!$H$5:$H$92,'Daftar Koreksi'!$D$5:$D$92,'0500'!A400,'Daftar Koreksi'!$G$5:$G$92,"Tanah",'Daftar Koreksi'!$H$5:$H$92,"&lt;0")-SUMIFS('Daftar Koreksi'!$H$5:$H$92,'Daftar Koreksi'!$D$5:$D$92,'0500'!A400,'Daftar Koreksi'!$G$5:$G$92,"Tanah",'Daftar Koreksi'!$H$5:$H$92,"&lt;0")</f>
        <v>0</v>
      </c>
      <c r="G404" s="17">
        <f t="shared" ref="G404:G420" si="18">D404+E404-F404</f>
        <v>14990000000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2326311514</v>
      </c>
      <c r="E405" s="25">
        <f>SUMIFS('Daftar Koreksi'!$H$5:$H$92,'Daftar Koreksi'!$D$5:$D$92,'0500'!A400,'Daftar Koreksi'!$G$5:$G$92,"Peralatan dan mesin",'Daftar Koreksi'!$H$5:$H$92,"&gt;0")</f>
        <v>0</v>
      </c>
      <c r="F405" s="25">
        <f>SUMIFS('Daftar Koreksi'!$H$5:$H$92,'Daftar Koreksi'!$D$5:$D$92,'0500'!A400,'Daftar Koreksi'!$G$5:$G$92,"Peralatan dan mesin",'Daftar Koreksi'!$H$5:$H$92,"&lt;0")-SUMIFS('Daftar Koreksi'!$H$5:$H$92,'Daftar Koreksi'!$D$5:$D$92,'0500'!A400,'Daftar Koreksi'!$G$5:$G$92,"Peralatan dan mesin",'Daftar Koreksi'!$H$5:$H$92,"&lt;0")-SUMIFS('Daftar Koreksi'!$H$5:$H$92,'Daftar Koreksi'!$D$5:$D$92,'0500'!A400,'Daftar Koreksi'!$G$5:$G$92,"Peralatan dan mesin",'Daftar Koreksi'!$H$5:$H$92,"&lt;0")</f>
        <v>0</v>
      </c>
      <c r="G405" s="17">
        <f t="shared" si="18"/>
        <v>2326311514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4042093552</v>
      </c>
      <c r="E406" s="25">
        <f>SUMIFS('Daftar Koreksi'!$H$5:$H$92,'Daftar Koreksi'!$D$5:$D$92,'0500'!A400,'Daftar Koreksi'!$G$5:$G$92,"Gedung dan Bangunan",'Daftar Koreksi'!$H$5:$H$92,"&gt;0")</f>
        <v>0</v>
      </c>
      <c r="F406" s="25">
        <f>SUMIFS('Daftar Koreksi'!$H$5:$H$92,'Daftar Koreksi'!$D$5:$D$92,'0500'!A400,'Daftar Koreksi'!$G$5:$G$92,"Gedung dan Bangunan",'Daftar Koreksi'!$H$5:$H$92,"&lt;0")-SUMIFS('Daftar Koreksi'!$H$5:$H$92,'Daftar Koreksi'!$D$5:$D$92,'0500'!A400,'Daftar Koreksi'!$G$5:$G$92,"Gedung dan Bangunan",'Daftar Koreksi'!$H$5:$H$92,"&lt;0")-SUMIFS('Daftar Koreksi'!$H$5:$H$92,'Daftar Koreksi'!$D$5:$D$92,'0500'!A400,'Daftar Koreksi'!$G$5:$G$92,"Gedung dan Bangunan",'Daftar Koreksi'!$H$5:$H$92,"&lt;0")</f>
        <v>0</v>
      </c>
      <c r="G406" s="17">
        <f t="shared" si="18"/>
        <v>4042093552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147870000</v>
      </c>
      <c r="E407" s="25">
        <f>SUMIFS('Daftar Koreksi'!$H$5:$H$92,'Daftar Koreksi'!$D$5:$D$92,'0500'!A400,'Daftar Koreksi'!$G$5:$G$92,"Jalan Irigasi Jaringan",'Daftar Koreksi'!$H$5:$H$92,"&gt;0")</f>
        <v>0</v>
      </c>
      <c r="F407" s="25">
        <f>SUMIFS('Daftar Koreksi'!$H$5:$H$92,'Daftar Koreksi'!$D$5:$D$92,'0500'!A400,'Daftar Koreksi'!$G$5:$G$92,"Jalan Irigasi Jaringan",'Daftar Koreksi'!$H$5:$H$92,"&lt;0")-SUMIFS('Daftar Koreksi'!$H$5:$H$92,'Daftar Koreksi'!$D$5:$D$92,'0500'!A400,'Daftar Koreksi'!$G$5:$G$92,"Jalan Irigasi Jaringan",'Daftar Koreksi'!$H$5:$H$92,"&lt;0")-SUMIFS('Daftar Koreksi'!$H$5:$H$92,'Daftar Koreksi'!$D$5:$D$92,'0500'!A400,'Daftar Koreksi'!$G$5:$G$92,"Jalan Irigasi Jaringan",'Daftar Koreksi'!$H$5:$H$92,"&lt;0")</f>
        <v>0</v>
      </c>
      <c r="G407" s="17">
        <f t="shared" si="18"/>
        <v>147870000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9048462</v>
      </c>
      <c r="E408" s="25">
        <f>SUMIFS('Daftar Koreksi'!$H$5:$H$92,'Daftar Koreksi'!$D$5:$D$92,'0500'!A400,'Daftar Koreksi'!$G$5:$G$92,"Aset Tetap Lainnya",'Daftar Koreksi'!$H$5:$H$92,"&gt;0")</f>
        <v>0</v>
      </c>
      <c r="F408" s="25">
        <f>SUMIFS('Daftar Koreksi'!$H$5:$H$92,'Daftar Koreksi'!$D$5:$D$92,'0500'!A400,'Daftar Koreksi'!$G$5:$G$92,"Aset Tetap Lainnya",'Daftar Koreksi'!$H$5:$H$92,"&lt;0")-SUMIFS('Daftar Koreksi'!$H$5:$H$92,'Daftar Koreksi'!$D$5:$D$92,'0500'!A400,'Daftar Koreksi'!$G$5:$G$92,"Aset Tetap Lainnya",'Daftar Koreksi'!$H$5:$H$92,"&lt;0")-SUMIFS('Daftar Koreksi'!$H$5:$H$92,'Daftar Koreksi'!$D$5:$D$92,'0500'!A400,'Daftar Koreksi'!$G$5:$G$92,"Aset Tetap Lainnya",'Daftar Koreksi'!$H$5:$H$92,"&lt;0")</f>
        <v>0</v>
      </c>
      <c r="G408" s="17">
        <f t="shared" si="18"/>
        <v>9048462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Koreksi'!$D$5:$D$92,'0500'!A400,'Daftar Koreksi'!$G$5:$G$92,"Kontruksi Dalam Pengerjaan",'Daftar Koreksi'!$H$5:$H$92,"&gt;0")</f>
        <v>0</v>
      </c>
      <c r="F409" s="25">
        <f>SUMIFS('Daftar Koreksi'!$H$5:$H$92,'Daftar Koreksi'!$D$5:$D$92,'0500'!A400,'Daftar Koreksi'!$G$5:$G$92,"Kontruksi Dalam Pengerjaan",'Daftar Koreksi'!$H$5:$H$92,"&lt;0")-SUMIFS('Daftar Koreksi'!$H$5:$H$92,'Daftar Koreksi'!$D$5:$D$92,'0500'!A400,'Daftar Koreksi'!$G$5:$G$92,"Kontruksi Dalam Pengerjaan",'Daftar Koreksi'!$H$5:$H$92,"&lt;0")-SUMIFS('Daftar Koreksi'!$H$5:$H$92,'Daftar Koreksi'!$D$5:$D$92,'0500'!A400,'Daftar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Koreksi'!$D$5:$D$92,'0500'!A400,'Daftar Koreksi'!$G$5:$G$92,"Aset Tak Berwujud",'Daftar Koreksi'!$H$5:$H$92,"&gt;0")</f>
        <v>0</v>
      </c>
      <c r="F410" s="25">
        <f>SUMIFS('Daftar Koreksi'!$H$5:$H$92,'Daftar Koreksi'!$D$5:$D$92,'0500'!A400,'Daftar Koreksi'!$G$5:$G$92,"Aset Tak Berwujud",'Daftar Koreksi'!$H$5:$H$92,"&lt;0")-SUMIFS('Daftar Koreksi'!$H$5:$H$92,'Daftar Koreksi'!$D$5:$D$92,'0500'!A400,'Daftar Koreksi'!$G$5:$G$92,"Aset Tak Berwujud",'Daftar Koreksi'!$H$5:$H$92,"&lt;0")-SUMIFS('Daftar Koreksi'!$H$5:$H$92,'Daftar Koreksi'!$D$5:$D$92,'0500'!A400,'Daftar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101000</v>
      </c>
      <c r="E411" s="25">
        <f>SUMIFS('Daftar Koreksi'!$H$5:$H$92,'Daftar Koreksi'!$D$5:$D$92,'0500'!A400,'Daftar Koreksi'!$G$5:$G$92,"Aset Henti Guna",'Daftar Koreksi'!$H$5:$H$92,"&gt;0")</f>
        <v>0</v>
      </c>
      <c r="F411" s="25">
        <f>SUMIFS('Daftar Koreksi'!$H$5:$H$92,'Daftar Koreksi'!$D$5:$D$92,'0500'!A400,'Daftar Koreksi'!$G$5:$G$92,"Aset Henti Guna",'Daftar Koreksi'!$H$5:$H$92,"&lt;0")-SUMIFS('Daftar Koreksi'!$H$5:$H$92,'Daftar Koreksi'!$D$5:$D$92,'0500'!A400,'Daftar Koreksi'!$G$5:$G$92,"Aset Henti Guna",'Daftar Koreksi'!$H$5:$H$92,"&lt;0")-SUMIFS('Daftar Koreksi'!$H$5:$H$92,'Daftar Koreksi'!$D$5:$D$92,'0500'!A400,'Daftar Koreksi'!$G$5:$G$92,"Aset Henti Guna",'Daftar Koreksi'!$H$5:$H$92,"&lt;0")</f>
        <v>0</v>
      </c>
      <c r="G411" s="17">
        <f t="shared" si="18"/>
        <v>101000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21515512528</v>
      </c>
      <c r="E412" s="19">
        <f>SUM(E403:E411)</f>
        <v>0</v>
      </c>
      <c r="F412" s="19">
        <f>SUM(F403:F411)</f>
        <v>0</v>
      </c>
      <c r="G412" s="19">
        <f t="shared" si="18"/>
        <v>21515512528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-2080751792</v>
      </c>
      <c r="E413" s="25">
        <f>SUMIFS('Daftar Koreksi'!$I$5:$I$92,'Daftar Koreksi'!$D$5:$D$92,'0500'!A400,'Daftar Koreksi'!$G$5:$G$92,"Peralatan dan mesin",'Daftar Koreksi'!$I$5:$I$92,"&gt;0")</f>
        <v>0</v>
      </c>
      <c r="F413" s="25">
        <f>SUMIFS('Daftar Koreksi'!$I$5:$I$92,'Daftar Koreksi'!$D$5:$D$92,'0500'!A400,'Daftar Koreksi'!$G$5:$G$92,"Peralatan dan mesin",'Daftar Koreksi'!$I$5:$I$92,"&lt;0")-SUMIFS('Daftar Koreksi'!$I$5:$I$92,'Daftar Koreksi'!$D$5:$D$92,'0500'!A400,'Daftar Koreksi'!$G$5:$G$92,"Peralatan dan mesin",'Daftar Koreksi'!$I$5:$I$92,"&lt;0")-SUMIFS('Daftar Koreksi'!$I$5:$I$92,'Daftar Koreksi'!$D$5:$D$92,'0500'!A400,'Daftar Koreksi'!$G$5:$G$92,"Peralatan dan mesin",'Daftar Koreksi'!$I$5:$I$92,"&lt;0")</f>
        <v>0</v>
      </c>
      <c r="G413" s="17">
        <f t="shared" si="18"/>
        <v>-2080751792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-2729330291</v>
      </c>
      <c r="E414" s="25">
        <f>SUMIFS('Daftar Koreksi'!$I$5:$I$92,'Daftar Koreksi'!$D$5:$D$92,'0500'!A400,'Daftar Koreksi'!$G$5:$G$92,"Gedung dan Bangunan",'Daftar Koreksi'!$I$5:$I$92,"&gt;0")</f>
        <v>0</v>
      </c>
      <c r="F414" s="25">
        <f>SUMIFS('Daftar Koreksi'!$I$5:$I$92,'Daftar Koreksi'!$D$5:$D$92,'0500'!A400,'Daftar Koreksi'!$G$5:$G$92,"Gedung dan Bangunan",'Daftar Koreksi'!$I$5:$I$92,"&lt;0")-SUMIFS('Daftar Koreksi'!$I$5:$I$92,'Daftar Koreksi'!$D$5:$D$92,'0500'!A400,'Daftar Koreksi'!$G$5:$G$92,"Gedung dan Bangunan",'Daftar Koreksi'!$I$5:$I$92,"&lt;0")-SUMIFS('Daftar Koreksi'!$I$5:$I$92,'Daftar Koreksi'!$D$5:$D$92,'0500'!A400,'Daftar Koreksi'!$G$5:$G$92,"Gedung dan Bangunan",'Daftar Koreksi'!$I$5:$I$92,"&lt;0")</f>
        <v>0</v>
      </c>
      <c r="G414" s="17">
        <f t="shared" si="18"/>
        <v>-2729330291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-1848375</v>
      </c>
      <c r="E415" s="25">
        <f>SUMIFS('Daftar Koreksi'!$I$5:$I$92,'Daftar Koreksi'!$D$5:$D$92,'0500'!A400,'Daftar Koreksi'!$G$5:$G$92,"Jalan Irigasi Jaringan",'Daftar Koreksi'!$I$5:$I$92,"&gt;0")</f>
        <v>0</v>
      </c>
      <c r="F415" s="25">
        <f>SUMIFS('Daftar Koreksi'!$I$5:$I$92,'Daftar Koreksi'!$D$5:$D$92,'0500'!A400,'Daftar Koreksi'!$G$5:$G$92,"Jalan Irigasi Jaringan",'Daftar Koreksi'!$I$5:$I$92,"&lt;0")-SUMIFS('Daftar Koreksi'!$I$5:$I$92,'Daftar Koreksi'!$D$5:$D$92,'0500'!A400,'Daftar Koreksi'!$G$5:$G$92,"Jalan Irigasi Jaringan",'Daftar Koreksi'!$I$5:$I$92,"&lt;0")-SUMIFS('Daftar Koreksi'!$I$5:$I$92,'Daftar Koreksi'!$D$5:$D$92,'0500'!A400,'Daftar Koreksi'!$G$5:$G$92,"Jalan Irigasi Jaringan",'Daftar Koreksi'!$I$5:$I$92,"&lt;0")</f>
        <v>0</v>
      </c>
      <c r="G415" s="17">
        <f t="shared" si="18"/>
        <v>-1848375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Koreksi'!$D$5:$D$92,'0500'!A400,'Daftar Koreksi'!$G$5:$G$92,"Aset Tetap Lainnya",'Daftar Koreksi'!$I$5:$I$92,"&gt;0")</f>
        <v>0</v>
      </c>
      <c r="F416" s="25">
        <f>SUMIFS('Daftar Koreksi'!$I$5:$I$92,'Daftar Koreksi'!$D$5:$D$92,'0500'!A400,'Daftar Koreksi'!$G$5:$G$92,"Aset Tetap Lainnya",'Daftar Koreksi'!$I$5:$I$92,"&lt;0")-SUMIFS('Daftar Koreksi'!$I$5:$I$92,'Daftar Koreksi'!$D$5:$D$92,'0500'!A400,'Daftar Koreksi'!$G$5:$G$92,"Aset Tetap Lainnya",'Daftar Koreksi'!$I$5:$I$92,"&lt;0")-SUMIFS('Daftar Koreksi'!$I$5:$I$92,'Daftar Koreksi'!$D$5:$D$92,'0500'!A400,'Daftar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-101000</v>
      </c>
      <c r="E417" s="25">
        <f>SUMIFS('Daftar Koreksi'!$I$5:$I$92,'Daftar Koreksi'!$D$5:$D$92,'0500'!A400,'Daftar Koreksi'!$G$5:$G$92,"Aset Henti Guna",'Daftar Koreksi'!$I$5:$I$92,"&gt;0")</f>
        <v>0</v>
      </c>
      <c r="F417" s="25">
        <f>SUMIFS('Daftar Koreksi'!$I$5:$I$92,'Daftar Koreksi'!$D$5:$D$92,'0500'!A400,'Daftar Koreksi'!$G$5:$G$92,"Aset Henti Guna",'Daftar Koreksi'!$I$5:$I$92,"&lt;0")-SUMIFS('Daftar Koreksi'!$I$5:$I$92,'Daftar Koreksi'!$D$5:$D$92,'0500'!A400,'Daftar Koreksi'!$G$5:$G$92,"Aset Henti Guna",'Daftar Koreksi'!$I$5:$I$92,"&lt;0")-SUMIFS('Daftar Koreksi'!$I$5:$I$92,'Daftar Koreksi'!$D$5:$D$92,'0500'!A400,'Daftar Koreksi'!$G$5:$G$92,"Aset Henti Guna",'Daftar Koreksi'!$I$5:$I$92,"&lt;0")</f>
        <v>0</v>
      </c>
      <c r="G417" s="17">
        <f t="shared" si="18"/>
        <v>-101000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-4812031458</v>
      </c>
      <c r="E418" s="19">
        <f>SUM(E413:E417)</f>
        <v>0</v>
      </c>
      <c r="F418" s="19">
        <f>SUM(F413:F417)</f>
        <v>0</v>
      </c>
      <c r="G418" s="19">
        <f t="shared" si="18"/>
        <v>-4812031458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16703481070</v>
      </c>
      <c r="E419" s="19">
        <f>E418+E412</f>
        <v>0</v>
      </c>
      <c r="F419" s="19">
        <f>F418+F412</f>
        <v>0</v>
      </c>
      <c r="G419" s="19">
        <f t="shared" si="18"/>
        <v>16703481070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005010500098298000KD</v>
      </c>
      <c r="B422" s="11" t="str">
        <f>P20</f>
        <v>PN. Pasuruan</v>
      </c>
      <c r="C422" s="12" t="str">
        <f>A422&amp;" "&amp;B422</f>
        <v>005010500098298000KD PN. Pasuruan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175000</v>
      </c>
      <c r="E425" s="25">
        <f>SUMIFS('Daftar Koreksi'!$H$5:$H$92,'Daftar Koreksi'!$D$5:$D$92,'0500'!A422,'Daftar Koreksi'!$G$5:$G$92,"Persediaan",'Daftar Koreksi'!$H$5:$H$92,"&gt;0")</f>
        <v>0</v>
      </c>
      <c r="F425" s="25">
        <f>SUMIFS('Daftar Koreksi'!$H$5:$H$92,'Daftar Koreksi'!$D$5:$D$92,'0500'!A422,'Daftar Koreksi'!$G$5:$G$92,"Persediaan",'Daftar Koreksi'!$H$5:$H$92,"&lt;0")-SUMIFS('Daftar Koreksi'!$H$5:$H$92,'Daftar Koreksi'!$D$5:$D$92,'0500'!A422,'Daftar Koreksi'!$G$5:$G$92,"Persediaan",'Daftar Koreksi'!$H$5:$H$92,"&lt;0")-SUMIFS('Daftar Koreksi'!$H$5:$H$92,'Daftar Koreksi'!$D$5:$D$92,'0500'!A422,'Daftar Koreksi'!$G$5:$G$92,"Persediaan",'Daftar Koreksi'!$H$5:$H$92,"&lt;0")</f>
        <v>0</v>
      </c>
      <c r="G425" s="17">
        <f>D425+E425-F425</f>
        <v>175000</v>
      </c>
      <c r="H425" s="121" t="str">
        <f>IF(ISNA(VLOOKUP(A422,'Mutasi Neraca'!$A$3:$S$914,19,FALSE)),"-",VLOOKUP(A422,'Mutasi Neraca'!$A$3:$S$914,19,FALSE))</f>
        <v>TP. No 3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7702915000</v>
      </c>
      <c r="E426" s="25">
        <f>SUMIFS('Daftar Koreksi'!$H$5:$H$92,'Daftar Koreksi'!$D$5:$D$92,'0500'!A422,'Daftar Koreksi'!$G$5:$G$92,"Tanah",'Daftar Koreksi'!$H$5:$H$92,"&gt;0")</f>
        <v>0</v>
      </c>
      <c r="F426" s="25">
        <f>SUMIFS('Daftar Koreksi'!$H$5:$H$92,'Daftar Koreksi'!$D$5:$D$92,'0500'!A422,'Daftar Koreksi'!$G$5:$G$92,"Tanah",'Daftar Koreksi'!$H$5:$H$92,"&lt;0")-SUMIFS('Daftar Koreksi'!$H$5:$H$92,'Daftar Koreksi'!$D$5:$D$92,'0500'!A422,'Daftar Koreksi'!$G$5:$G$92,"Tanah",'Daftar Koreksi'!$H$5:$H$92,"&lt;0")-SUMIFS('Daftar Koreksi'!$H$5:$H$92,'Daftar Koreksi'!$D$5:$D$92,'0500'!A422,'Daftar Koreksi'!$G$5:$G$92,"Tanah",'Daftar Koreksi'!$H$5:$H$92,"&lt;0")</f>
        <v>0</v>
      </c>
      <c r="G426" s="17">
        <f t="shared" ref="G426:G442" si="19">D426+E426-F426</f>
        <v>7702915000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1758558882</v>
      </c>
      <c r="E427" s="25">
        <f>SUMIFS('Daftar Koreksi'!$H$5:$H$92,'Daftar Koreksi'!$D$5:$D$92,'0500'!A422,'Daftar Koreksi'!$G$5:$G$92,"Peralatan dan mesin",'Daftar Koreksi'!$H$5:$H$92,"&gt;0")</f>
        <v>0</v>
      </c>
      <c r="F427" s="25">
        <f>SUMIFS('Daftar Koreksi'!$H$5:$H$92,'Daftar Koreksi'!$D$5:$D$92,'0500'!A422,'Daftar Koreksi'!$G$5:$G$92,"Peralatan dan mesin",'Daftar Koreksi'!$H$5:$H$92,"&lt;0")-SUMIFS('Daftar Koreksi'!$H$5:$H$92,'Daftar Koreksi'!$D$5:$D$92,'0500'!A422,'Daftar Koreksi'!$G$5:$G$92,"Peralatan dan mesin",'Daftar Koreksi'!$H$5:$H$92,"&lt;0")-SUMIFS('Daftar Koreksi'!$H$5:$H$92,'Daftar Koreksi'!$D$5:$D$92,'0500'!A422,'Daftar Koreksi'!$G$5:$G$92,"Peralatan dan mesin",'Daftar Koreksi'!$H$5:$H$92,"&lt;0")</f>
        <v>0</v>
      </c>
      <c r="G427" s="17">
        <f t="shared" si="19"/>
        <v>1758558882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8213280836</v>
      </c>
      <c r="E428" s="25">
        <f>SUMIFS('Daftar Koreksi'!$H$5:$H$92,'Daftar Koreksi'!$D$5:$D$92,'0500'!A422,'Daftar Koreksi'!$G$5:$G$92,"Gedung dan Bangunan",'Daftar Koreksi'!$H$5:$H$92,"&gt;0")</f>
        <v>0</v>
      </c>
      <c r="F428" s="25">
        <f>SUMIFS('Daftar Koreksi'!$H$5:$H$92,'Daftar Koreksi'!$D$5:$D$92,'0500'!A422,'Daftar Koreksi'!$G$5:$G$92,"Gedung dan Bangunan",'Daftar Koreksi'!$H$5:$H$92,"&lt;0")-SUMIFS('Daftar Koreksi'!$H$5:$H$92,'Daftar Koreksi'!$D$5:$D$92,'0500'!A422,'Daftar Koreksi'!$G$5:$G$92,"Gedung dan Bangunan",'Daftar Koreksi'!$H$5:$H$92,"&lt;0")-SUMIFS('Daftar Koreksi'!$H$5:$H$92,'Daftar Koreksi'!$D$5:$D$92,'0500'!A422,'Daftar Koreksi'!$G$5:$G$92,"Gedung dan Bangunan",'Daftar Koreksi'!$H$5:$H$92,"&lt;0")</f>
        <v>0</v>
      </c>
      <c r="G428" s="17">
        <f t="shared" si="19"/>
        <v>8213280836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51605340</v>
      </c>
      <c r="E429" s="25">
        <f>SUMIFS('Daftar Koreksi'!$H$5:$H$92,'Daftar Koreksi'!$D$5:$D$92,'0500'!A422,'Daftar Koreksi'!$G$5:$G$92,"Jalan Irigasi Jaringan",'Daftar Koreksi'!$H$5:$H$92,"&gt;0")</f>
        <v>0</v>
      </c>
      <c r="F429" s="25">
        <f>SUMIFS('Daftar Koreksi'!$H$5:$H$92,'Daftar Koreksi'!$D$5:$D$92,'0500'!A422,'Daftar Koreksi'!$G$5:$G$92,"Jalan Irigasi Jaringan",'Daftar Koreksi'!$H$5:$H$92,"&lt;0")-SUMIFS('Daftar Koreksi'!$H$5:$H$92,'Daftar Koreksi'!$D$5:$D$92,'0500'!A422,'Daftar Koreksi'!$G$5:$G$92,"Jalan Irigasi Jaringan",'Daftar Koreksi'!$H$5:$H$92,"&lt;0")-SUMIFS('Daftar Koreksi'!$H$5:$H$92,'Daftar Koreksi'!$D$5:$D$92,'0500'!A422,'Daftar Koreksi'!$G$5:$G$92,"Jalan Irigasi Jaringan",'Daftar Koreksi'!$H$5:$H$92,"&lt;0")</f>
        <v>0</v>
      </c>
      <c r="G429" s="17">
        <f t="shared" si="19"/>
        <v>51605340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68795118</v>
      </c>
      <c r="E430" s="25">
        <f>SUMIFS('Daftar Koreksi'!$H$5:$H$92,'Daftar Koreksi'!$D$5:$D$92,'0500'!A422,'Daftar Koreksi'!$G$5:$G$92,"Aset Tetap Lainnya",'Daftar Koreksi'!$H$5:$H$92,"&gt;0")</f>
        <v>4411622</v>
      </c>
      <c r="F430" s="25">
        <f>SUMIFS('Daftar Koreksi'!$H$5:$H$92,'Daftar Koreksi'!$D$5:$D$92,'0500'!A422,'Daftar Koreksi'!$G$5:$G$92,"Aset Tetap Lainnya",'Daftar Koreksi'!$H$5:$H$92,"&lt;0")-SUMIFS('Daftar Koreksi'!$H$5:$H$92,'Daftar Koreksi'!$D$5:$D$92,'0500'!A422,'Daftar Koreksi'!$G$5:$G$92,"Aset Tetap Lainnya",'Daftar Koreksi'!$H$5:$H$92,"&lt;0")-SUMIFS('Daftar Koreksi'!$H$5:$H$92,'Daftar Koreksi'!$D$5:$D$92,'0500'!A422,'Daftar Koreksi'!$G$5:$G$92,"Aset Tetap Lainnya",'Daftar Koreksi'!$H$5:$H$92,"&lt;0")</f>
        <v>0</v>
      </c>
      <c r="G430" s="17">
        <f t="shared" si="19"/>
        <v>73206740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Koreksi'!$D$5:$D$92,'0500'!A422,'Daftar Koreksi'!$G$5:$G$92,"Kontruksi Dalam Pengerjaan",'Daftar Koreksi'!$H$5:$H$92,"&gt;0")</f>
        <v>0</v>
      </c>
      <c r="F431" s="25">
        <f>SUMIFS('Daftar Koreksi'!$H$5:$H$92,'Daftar Koreksi'!$D$5:$D$92,'0500'!A422,'Daftar Koreksi'!$G$5:$G$92,"Kontruksi Dalam Pengerjaan",'Daftar Koreksi'!$H$5:$H$92,"&lt;0")-SUMIFS('Daftar Koreksi'!$H$5:$H$92,'Daftar Koreksi'!$D$5:$D$92,'0500'!A422,'Daftar Koreksi'!$G$5:$G$92,"Kontruksi Dalam Pengerjaan",'Daftar Koreksi'!$H$5:$H$92,"&lt;0")-SUMIFS('Daftar Koreksi'!$H$5:$H$92,'Daftar Koreksi'!$D$5:$D$92,'0500'!A422,'Daftar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25000000</v>
      </c>
      <c r="E432" s="25">
        <f>SUMIFS('Daftar Koreksi'!$H$5:$H$92,'Daftar Koreksi'!$D$5:$D$92,'0500'!A422,'Daftar Koreksi'!$G$5:$G$92,"Aset Tak Berwujud",'Daftar Koreksi'!$H$5:$H$92,"&gt;0")</f>
        <v>0</v>
      </c>
      <c r="F432" s="25">
        <f>SUMIFS('Daftar Koreksi'!$H$5:$H$92,'Daftar Koreksi'!$D$5:$D$92,'0500'!A422,'Daftar Koreksi'!$G$5:$G$92,"Aset Tak Berwujud",'Daftar Koreksi'!$H$5:$H$92,"&lt;0")-SUMIFS('Daftar Koreksi'!$H$5:$H$92,'Daftar Koreksi'!$D$5:$D$92,'0500'!A422,'Daftar Koreksi'!$G$5:$G$92,"Aset Tak Berwujud",'Daftar Koreksi'!$H$5:$H$92,"&lt;0")-SUMIFS('Daftar Koreksi'!$H$5:$H$92,'Daftar Koreksi'!$D$5:$D$92,'0500'!A422,'Daftar Koreksi'!$G$5:$G$92,"Aset Tak Berwujud",'Daftar Koreksi'!$H$5:$H$92,"&lt;0")</f>
        <v>0</v>
      </c>
      <c r="G432" s="17">
        <f t="shared" si="19"/>
        <v>25000000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323525</v>
      </c>
      <c r="E433" s="25">
        <f>SUMIFS('Daftar Koreksi'!$H$5:$H$92,'Daftar Koreksi'!$D$5:$D$92,'0500'!A422,'Daftar Koreksi'!$G$5:$G$92,"Aset Henti Guna",'Daftar Koreksi'!$H$5:$H$92,"&gt;0")</f>
        <v>0</v>
      </c>
      <c r="F433" s="25">
        <f>SUMIFS('Daftar Koreksi'!$H$5:$H$92,'Daftar Koreksi'!$D$5:$D$92,'0500'!A422,'Daftar Koreksi'!$G$5:$G$92,"Aset Henti Guna",'Daftar Koreksi'!$H$5:$H$92,"&lt;0")-SUMIFS('Daftar Koreksi'!$H$5:$H$92,'Daftar Koreksi'!$D$5:$D$92,'0500'!A422,'Daftar Koreksi'!$G$5:$G$92,"Aset Henti Guna",'Daftar Koreksi'!$H$5:$H$92,"&lt;0")-SUMIFS('Daftar Koreksi'!$H$5:$H$92,'Daftar Koreksi'!$D$5:$D$92,'0500'!A422,'Daftar Koreksi'!$G$5:$G$92,"Aset Henti Guna",'Daftar Koreksi'!$H$5:$H$92,"&lt;0")</f>
        <v>0</v>
      </c>
      <c r="G433" s="17">
        <f t="shared" si="19"/>
        <v>323525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17820653701</v>
      </c>
      <c r="E434" s="19">
        <f>SUM(E425:E433)</f>
        <v>4411622</v>
      </c>
      <c r="F434" s="19">
        <f>SUM(F425:F433)</f>
        <v>0</v>
      </c>
      <c r="G434" s="19">
        <f t="shared" si="19"/>
        <v>17825065323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-1577472064</v>
      </c>
      <c r="E435" s="25">
        <f>SUMIFS('Daftar Koreksi'!$I$5:$I$92,'Daftar Koreksi'!$D$5:$D$92,'0500'!A422,'Daftar Koreksi'!$G$5:$G$92,"Peralatan dan mesin",'Daftar Koreksi'!$I$5:$I$92,"&gt;0")</f>
        <v>0</v>
      </c>
      <c r="F435" s="25">
        <f>SUMIFS('Daftar Koreksi'!$I$5:$I$92,'Daftar Koreksi'!$D$5:$D$92,'0500'!A422,'Daftar Koreksi'!$G$5:$G$92,"Peralatan dan mesin",'Daftar Koreksi'!$I$5:$I$92,"&lt;0")-SUMIFS('Daftar Koreksi'!$I$5:$I$92,'Daftar Koreksi'!$D$5:$D$92,'0500'!A422,'Daftar Koreksi'!$G$5:$G$92,"Peralatan dan mesin",'Daftar Koreksi'!$I$5:$I$92,"&lt;0")-SUMIFS('Daftar Koreksi'!$I$5:$I$92,'Daftar Koreksi'!$D$5:$D$92,'0500'!A422,'Daftar Koreksi'!$G$5:$G$92,"Peralatan dan mesin",'Daftar Koreksi'!$I$5:$I$92,"&lt;0")</f>
        <v>0</v>
      </c>
      <c r="G435" s="17">
        <f t="shared" si="19"/>
        <v>-1577472064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-7830249927</v>
      </c>
      <c r="E436" s="25">
        <f>SUMIFS('Daftar Koreksi'!$I$5:$I$92,'Daftar Koreksi'!$D$5:$D$92,'0500'!A422,'Daftar Koreksi'!$G$5:$G$92,"Gedung dan Bangunan",'Daftar Koreksi'!$I$5:$I$92,"&gt;0")</f>
        <v>0</v>
      </c>
      <c r="F436" s="25">
        <f>SUMIFS('Daftar Koreksi'!$I$5:$I$92,'Daftar Koreksi'!$D$5:$D$92,'0500'!A422,'Daftar Koreksi'!$G$5:$G$92,"Gedung dan Bangunan",'Daftar Koreksi'!$I$5:$I$92,"&lt;0")-SUMIFS('Daftar Koreksi'!$I$5:$I$92,'Daftar Koreksi'!$D$5:$D$92,'0500'!A422,'Daftar Koreksi'!$G$5:$G$92,"Gedung dan Bangunan",'Daftar Koreksi'!$I$5:$I$92,"&lt;0")-SUMIFS('Daftar Koreksi'!$I$5:$I$92,'Daftar Koreksi'!$D$5:$D$92,'0500'!A422,'Daftar Koreksi'!$G$5:$G$92,"Gedung dan Bangunan",'Daftar Koreksi'!$I$5:$I$92,"&lt;0")</f>
        <v>0</v>
      </c>
      <c r="G436" s="17">
        <f t="shared" si="19"/>
        <v>-7830249927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-7740803</v>
      </c>
      <c r="E437" s="25">
        <f>SUMIFS('Daftar Koreksi'!$I$5:$I$92,'Daftar Koreksi'!$D$5:$D$92,'0500'!A422,'Daftar Koreksi'!$G$5:$G$92,"Jalan Irigasi Jaringan",'Daftar Koreksi'!$I$5:$I$92,"&gt;0")</f>
        <v>0</v>
      </c>
      <c r="F437" s="25">
        <f>SUMIFS('Daftar Koreksi'!$I$5:$I$92,'Daftar Koreksi'!$D$5:$D$92,'0500'!A422,'Daftar Koreksi'!$G$5:$G$92,"Jalan Irigasi Jaringan",'Daftar Koreksi'!$I$5:$I$92,"&lt;0")-SUMIFS('Daftar Koreksi'!$I$5:$I$92,'Daftar Koreksi'!$D$5:$D$92,'0500'!A422,'Daftar Koreksi'!$G$5:$G$92,"Jalan Irigasi Jaringan",'Daftar Koreksi'!$I$5:$I$92,"&lt;0")-SUMIFS('Daftar Koreksi'!$I$5:$I$92,'Daftar Koreksi'!$D$5:$D$92,'0500'!A422,'Daftar Koreksi'!$G$5:$G$92,"Jalan Irigasi Jaringan",'Daftar Koreksi'!$I$5:$I$92,"&lt;0")</f>
        <v>0</v>
      </c>
      <c r="G437" s="17">
        <f t="shared" si="19"/>
        <v>-7740803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Koreksi'!$D$5:$D$92,'0500'!A422,'Daftar Koreksi'!$G$5:$G$92,"Aset Tetap Lainnya",'Daftar Koreksi'!$I$5:$I$92,"&gt;0")</f>
        <v>0</v>
      </c>
      <c r="F438" s="25">
        <f>SUMIFS('Daftar Koreksi'!$I$5:$I$92,'Daftar Koreksi'!$D$5:$D$92,'0500'!A422,'Daftar Koreksi'!$G$5:$G$92,"Aset Tetap Lainnya",'Daftar Koreksi'!$I$5:$I$92,"&lt;0")-SUMIFS('Daftar Koreksi'!$I$5:$I$92,'Daftar Koreksi'!$D$5:$D$92,'0500'!A422,'Daftar Koreksi'!$G$5:$G$92,"Aset Tetap Lainnya",'Daftar Koreksi'!$I$5:$I$92,"&lt;0")-SUMIFS('Daftar Koreksi'!$I$5:$I$92,'Daftar Koreksi'!$D$5:$D$92,'0500'!A422,'Daftar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-323525</v>
      </c>
      <c r="E439" s="25">
        <f>SUMIFS('Daftar Koreksi'!$I$5:$I$92,'Daftar Koreksi'!$D$5:$D$92,'0500'!A422,'Daftar Koreksi'!$G$5:$G$92,"Aset Henti Guna",'Daftar Koreksi'!$I$5:$I$92,"&gt;0")</f>
        <v>0</v>
      </c>
      <c r="F439" s="25">
        <f>SUMIFS('Daftar Koreksi'!$I$5:$I$92,'Daftar Koreksi'!$D$5:$D$92,'0500'!A422,'Daftar Koreksi'!$G$5:$G$92,"Aset Henti Guna",'Daftar Koreksi'!$I$5:$I$92,"&lt;0")-SUMIFS('Daftar Koreksi'!$I$5:$I$92,'Daftar Koreksi'!$D$5:$D$92,'0500'!A422,'Daftar Koreksi'!$G$5:$G$92,"Aset Henti Guna",'Daftar Koreksi'!$I$5:$I$92,"&lt;0")-SUMIFS('Daftar Koreksi'!$I$5:$I$92,'Daftar Koreksi'!$D$5:$D$92,'0500'!A422,'Daftar Koreksi'!$G$5:$G$92,"Aset Henti Guna",'Daftar Koreksi'!$I$5:$I$92,"&lt;0")</f>
        <v>0</v>
      </c>
      <c r="G439" s="17">
        <f t="shared" si="19"/>
        <v>-323525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-9415786319</v>
      </c>
      <c r="E440" s="19">
        <f>SUM(E435:E439)</f>
        <v>0</v>
      </c>
      <c r="F440" s="19">
        <f>SUM(F435:F439)</f>
        <v>0</v>
      </c>
      <c r="G440" s="19">
        <f t="shared" si="19"/>
        <v>-9415786319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8404867382</v>
      </c>
      <c r="E441" s="19">
        <f>E440+E434</f>
        <v>4411622</v>
      </c>
      <c r="F441" s="19">
        <f>F440+F434</f>
        <v>0</v>
      </c>
      <c r="G441" s="19">
        <f t="shared" si="19"/>
        <v>8409279004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005010500098303000KD</v>
      </c>
      <c r="B444" s="11" t="str">
        <f>P21</f>
        <v>PN. Probolinggo</v>
      </c>
      <c r="C444" s="12" t="str">
        <f>A444&amp;" "&amp;B444</f>
        <v>005010500098303000KD PN. Probolinggo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63500</v>
      </c>
      <c r="E447" s="25">
        <f>SUMIFS('Daftar Koreksi'!$H$5:$H$92,'Daftar Koreksi'!$D$5:$D$92,'0500'!A444,'Daftar Koreksi'!$G$5:$G$92,"Persediaan",'Daftar Koreksi'!$H$5:$H$92,"&gt;0")</f>
        <v>0</v>
      </c>
      <c r="F447" s="25">
        <f>SUMIFS('Daftar Koreksi'!$H$5:$H$92,'Daftar Koreksi'!$D$5:$D$92,'0500'!A444,'Daftar Koreksi'!$G$5:$G$92,"Persediaan",'Daftar Koreksi'!$H$5:$H$92,"&lt;0")-SUMIFS('Daftar Koreksi'!$H$5:$H$92,'Daftar Koreksi'!$D$5:$D$92,'0500'!A444,'Daftar Koreksi'!$G$5:$G$92,"Persediaan",'Daftar Koreksi'!$H$5:$H$92,"&lt;0")-SUMIFS('Daftar Koreksi'!$H$5:$H$92,'Daftar Koreksi'!$D$5:$D$92,'0500'!A444,'Daftar Koreksi'!$G$5:$G$92,"Persediaan",'Daftar Koreksi'!$H$5:$H$92,"&lt;0")</f>
        <v>0</v>
      </c>
      <c r="G447" s="17">
        <f>D447+E447-F447</f>
        <v>63500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4219094000</v>
      </c>
      <c r="E448" s="25">
        <f>SUMIFS('Daftar Koreksi'!$H$5:$H$92,'Daftar Koreksi'!$D$5:$D$92,'0500'!A444,'Daftar Koreksi'!$G$5:$G$92,"Tanah",'Daftar Koreksi'!$H$5:$H$92,"&gt;0")</f>
        <v>0</v>
      </c>
      <c r="F448" s="25">
        <f>SUMIFS('Daftar Koreksi'!$H$5:$H$92,'Daftar Koreksi'!$D$5:$D$92,'0500'!A444,'Daftar Koreksi'!$G$5:$G$92,"Tanah",'Daftar Koreksi'!$H$5:$H$92,"&lt;0")-SUMIFS('Daftar Koreksi'!$H$5:$H$92,'Daftar Koreksi'!$D$5:$D$92,'0500'!A444,'Daftar Koreksi'!$G$5:$G$92,"Tanah",'Daftar Koreksi'!$H$5:$H$92,"&lt;0")-SUMIFS('Daftar Koreksi'!$H$5:$H$92,'Daftar Koreksi'!$D$5:$D$92,'0500'!A444,'Daftar Koreksi'!$G$5:$G$92,"Tanah",'Daftar Koreksi'!$H$5:$H$92,"&lt;0")</f>
        <v>0</v>
      </c>
      <c r="G448" s="17">
        <f t="shared" ref="G448:G464" si="20">D448+E448-F448</f>
        <v>4219094000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1422240135</v>
      </c>
      <c r="E449" s="25">
        <f>SUMIFS('Daftar Koreksi'!$H$5:$H$92,'Daftar Koreksi'!$D$5:$D$92,'0500'!A444,'Daftar Koreksi'!$G$5:$G$92,"Peralatan dan mesin",'Daftar Koreksi'!$H$5:$H$92,"&gt;0")</f>
        <v>0</v>
      </c>
      <c r="F449" s="25">
        <f>SUMIFS('Daftar Koreksi'!$H$5:$H$92,'Daftar Koreksi'!$D$5:$D$92,'0500'!A444,'Daftar Koreksi'!$G$5:$G$92,"Peralatan dan mesin",'Daftar Koreksi'!$H$5:$H$92,"&lt;0")-SUMIFS('Daftar Koreksi'!$H$5:$H$92,'Daftar Koreksi'!$D$5:$D$92,'0500'!A444,'Daftar Koreksi'!$G$5:$G$92,"Peralatan dan mesin",'Daftar Koreksi'!$H$5:$H$92,"&lt;0")-SUMIFS('Daftar Koreksi'!$H$5:$H$92,'Daftar Koreksi'!$D$5:$D$92,'0500'!A444,'Daftar Koreksi'!$G$5:$G$92,"Peralatan dan mesin",'Daftar Koreksi'!$H$5:$H$92,"&lt;0")</f>
        <v>0</v>
      </c>
      <c r="G449" s="17">
        <f t="shared" si="20"/>
        <v>1422240135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2989419620</v>
      </c>
      <c r="E450" s="25">
        <f>SUMIFS('Daftar Koreksi'!$H$5:$H$92,'Daftar Koreksi'!$D$5:$D$92,'0500'!A444,'Daftar Koreksi'!$G$5:$G$92,"Gedung dan Bangunan",'Daftar Koreksi'!$H$5:$H$92,"&gt;0")</f>
        <v>0</v>
      </c>
      <c r="F450" s="25">
        <f>SUMIFS('Daftar Koreksi'!$H$5:$H$92,'Daftar Koreksi'!$D$5:$D$92,'0500'!A444,'Daftar Koreksi'!$G$5:$G$92,"Gedung dan Bangunan",'Daftar Koreksi'!$H$5:$H$92,"&lt;0")-SUMIFS('Daftar Koreksi'!$H$5:$H$92,'Daftar Koreksi'!$D$5:$D$92,'0500'!A444,'Daftar Koreksi'!$G$5:$G$92,"Gedung dan Bangunan",'Daftar Koreksi'!$H$5:$H$92,"&lt;0")-SUMIFS('Daftar Koreksi'!$H$5:$H$92,'Daftar Koreksi'!$D$5:$D$92,'0500'!A444,'Daftar Koreksi'!$G$5:$G$92,"Gedung dan Bangunan",'Daftar Koreksi'!$H$5:$H$92,"&lt;0")</f>
        <v>0</v>
      </c>
      <c r="G450" s="17">
        <f t="shared" si="20"/>
        <v>2989419620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51887000</v>
      </c>
      <c r="E451" s="25">
        <f>SUMIFS('Daftar Koreksi'!$H$5:$H$92,'Daftar Koreksi'!$D$5:$D$92,'0500'!A444,'Daftar Koreksi'!$G$5:$G$92,"Jalan Irigasi Jaringan",'Daftar Koreksi'!$H$5:$H$92,"&gt;0")</f>
        <v>0</v>
      </c>
      <c r="F451" s="25">
        <f>SUMIFS('Daftar Koreksi'!$H$5:$H$92,'Daftar Koreksi'!$D$5:$D$92,'0500'!A444,'Daftar Koreksi'!$G$5:$G$92,"Jalan Irigasi Jaringan",'Daftar Koreksi'!$H$5:$H$92,"&lt;0")-SUMIFS('Daftar Koreksi'!$H$5:$H$92,'Daftar Koreksi'!$D$5:$D$92,'0500'!A444,'Daftar Koreksi'!$G$5:$G$92,"Jalan Irigasi Jaringan",'Daftar Koreksi'!$H$5:$H$92,"&lt;0")-SUMIFS('Daftar Koreksi'!$H$5:$H$92,'Daftar Koreksi'!$D$5:$D$92,'0500'!A444,'Daftar Koreksi'!$G$5:$G$92,"Jalan Irigasi Jaringan",'Daftar Koreksi'!$H$5:$H$92,"&lt;0")</f>
        <v>0</v>
      </c>
      <c r="G451" s="17">
        <f t="shared" si="20"/>
        <v>51887000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38914340</v>
      </c>
      <c r="E452" s="25">
        <f>SUMIFS('Daftar Koreksi'!$H$5:$H$92,'Daftar Koreksi'!$D$5:$D$92,'0500'!A444,'Daftar Koreksi'!$G$5:$G$92,"Aset Tetap Lainnya",'Daftar Koreksi'!$H$5:$H$92,"&gt;0")</f>
        <v>0</v>
      </c>
      <c r="F452" s="25">
        <f>SUMIFS('Daftar Koreksi'!$H$5:$H$92,'Daftar Koreksi'!$D$5:$D$92,'0500'!A444,'Daftar Koreksi'!$G$5:$G$92,"Aset Tetap Lainnya",'Daftar Koreksi'!$H$5:$H$92,"&lt;0")-SUMIFS('Daftar Koreksi'!$H$5:$H$92,'Daftar Koreksi'!$D$5:$D$92,'0500'!A444,'Daftar Koreksi'!$G$5:$G$92,"Aset Tetap Lainnya",'Daftar Koreksi'!$H$5:$H$92,"&lt;0")-SUMIFS('Daftar Koreksi'!$H$5:$H$92,'Daftar Koreksi'!$D$5:$D$92,'0500'!A444,'Daftar Koreksi'!$G$5:$G$92,"Aset Tetap Lainnya",'Daftar Koreksi'!$H$5:$H$92,"&lt;0")</f>
        <v>0</v>
      </c>
      <c r="G452" s="17">
        <f t="shared" si="20"/>
        <v>38914340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Koreksi'!$D$5:$D$92,'0500'!A444,'Daftar Koreksi'!$G$5:$G$92,"Kontruksi Dalam Pengerjaan",'Daftar Koreksi'!$H$5:$H$92,"&gt;0")</f>
        <v>0</v>
      </c>
      <c r="F453" s="25">
        <f>SUMIFS('Daftar Koreksi'!$H$5:$H$92,'Daftar Koreksi'!$D$5:$D$92,'0500'!A444,'Daftar Koreksi'!$G$5:$G$92,"Kontruksi Dalam Pengerjaan",'Daftar Koreksi'!$H$5:$H$92,"&lt;0")-SUMIFS('Daftar Koreksi'!$H$5:$H$92,'Daftar Koreksi'!$D$5:$D$92,'0500'!A444,'Daftar Koreksi'!$G$5:$G$92,"Kontruksi Dalam Pengerjaan",'Daftar Koreksi'!$H$5:$H$92,"&lt;0")-SUMIFS('Daftar Koreksi'!$H$5:$H$92,'Daftar Koreksi'!$D$5:$D$92,'0500'!A444,'Daftar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Koreksi'!$D$5:$D$92,'0500'!A444,'Daftar Koreksi'!$G$5:$G$92,"Aset Tak Berwujud",'Daftar Koreksi'!$H$5:$H$92,"&gt;0")</f>
        <v>0</v>
      </c>
      <c r="F454" s="25">
        <f>SUMIFS('Daftar Koreksi'!$H$5:$H$92,'Daftar Koreksi'!$D$5:$D$92,'0500'!A444,'Daftar Koreksi'!$G$5:$G$92,"Aset Tak Berwujud",'Daftar Koreksi'!$H$5:$H$92,"&lt;0")-SUMIFS('Daftar Koreksi'!$H$5:$H$92,'Daftar Koreksi'!$D$5:$D$92,'0500'!A444,'Daftar Koreksi'!$G$5:$G$92,"Aset Tak Berwujud",'Daftar Koreksi'!$H$5:$H$92,"&lt;0")-SUMIFS('Daftar Koreksi'!$H$5:$H$92,'Daftar Koreksi'!$D$5:$D$92,'0500'!A444,'Daftar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73874820</v>
      </c>
      <c r="E455" s="25">
        <f>SUMIFS('Daftar Koreksi'!$H$5:$H$92,'Daftar Koreksi'!$D$5:$D$92,'0500'!A444,'Daftar Koreksi'!$G$5:$G$92,"Aset Henti Guna",'Daftar Koreksi'!$H$5:$H$92,"&gt;0")</f>
        <v>0</v>
      </c>
      <c r="F455" s="25">
        <f>SUMIFS('Daftar Koreksi'!$H$5:$H$92,'Daftar Koreksi'!$D$5:$D$92,'0500'!A444,'Daftar Koreksi'!$G$5:$G$92,"Aset Henti Guna",'Daftar Koreksi'!$H$5:$H$92,"&lt;0")-SUMIFS('Daftar Koreksi'!$H$5:$H$92,'Daftar Koreksi'!$D$5:$D$92,'0500'!A444,'Daftar Koreksi'!$G$5:$G$92,"Aset Henti Guna",'Daftar Koreksi'!$H$5:$H$92,"&lt;0")-SUMIFS('Daftar Koreksi'!$H$5:$H$92,'Daftar Koreksi'!$D$5:$D$92,'0500'!A444,'Daftar Koreksi'!$G$5:$G$92,"Aset Henti Guna",'Daftar Koreksi'!$H$5:$H$92,"&lt;0")</f>
        <v>0</v>
      </c>
      <c r="G455" s="17">
        <f t="shared" si="20"/>
        <v>73874820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8795493415</v>
      </c>
      <c r="E456" s="19">
        <f>SUM(E447:E455)</f>
        <v>0</v>
      </c>
      <c r="F456" s="19">
        <f>SUM(F447:F455)</f>
        <v>0</v>
      </c>
      <c r="G456" s="19">
        <f t="shared" si="20"/>
        <v>8795493415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-1268908584</v>
      </c>
      <c r="E457" s="25">
        <f>SUMIFS('Daftar Koreksi'!$I$5:$I$92,'Daftar Koreksi'!$D$5:$D$92,'0500'!A444,'Daftar Koreksi'!$G$5:$G$92,"Peralatan dan mesin",'Daftar Koreksi'!$I$5:$I$92,"&gt;0")</f>
        <v>0</v>
      </c>
      <c r="F457" s="25">
        <f>SUMIFS('Daftar Koreksi'!$I$5:$I$92,'Daftar Koreksi'!$D$5:$D$92,'0500'!A444,'Daftar Koreksi'!$G$5:$G$92,"Peralatan dan mesin",'Daftar Koreksi'!$I$5:$I$92,"&lt;0")-SUMIFS('Daftar Koreksi'!$I$5:$I$92,'Daftar Koreksi'!$D$5:$D$92,'0500'!A444,'Daftar Koreksi'!$G$5:$G$92,"Peralatan dan mesin",'Daftar Koreksi'!$I$5:$I$92,"&lt;0")-SUMIFS('Daftar Koreksi'!$I$5:$I$92,'Daftar Koreksi'!$D$5:$D$92,'0500'!A444,'Daftar Koreksi'!$G$5:$G$92,"Peralatan dan mesin",'Daftar Koreksi'!$I$5:$I$92,"&lt;0")</f>
        <v>0</v>
      </c>
      <c r="G457" s="17">
        <f t="shared" si="20"/>
        <v>-1268908584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-572397170</v>
      </c>
      <c r="E458" s="25">
        <f>SUMIFS('Daftar Koreksi'!$I$5:$I$92,'Daftar Koreksi'!$D$5:$D$92,'0500'!A444,'Daftar Koreksi'!$G$5:$G$92,"Gedung dan Bangunan",'Daftar Koreksi'!$I$5:$I$92,"&gt;0")</f>
        <v>0</v>
      </c>
      <c r="F458" s="25">
        <f>SUMIFS('Daftar Koreksi'!$I$5:$I$92,'Daftar Koreksi'!$D$5:$D$92,'0500'!A444,'Daftar Koreksi'!$G$5:$G$92,"Gedung dan Bangunan",'Daftar Koreksi'!$I$5:$I$92,"&lt;0")-SUMIFS('Daftar Koreksi'!$I$5:$I$92,'Daftar Koreksi'!$D$5:$D$92,'0500'!A444,'Daftar Koreksi'!$G$5:$G$92,"Gedung dan Bangunan",'Daftar Koreksi'!$I$5:$I$92,"&lt;0")-SUMIFS('Daftar Koreksi'!$I$5:$I$92,'Daftar Koreksi'!$D$5:$D$92,'0500'!A444,'Daftar Koreksi'!$G$5:$G$92,"Gedung dan Bangunan",'Daftar Koreksi'!$I$5:$I$92,"&lt;0")</f>
        <v>0</v>
      </c>
      <c r="G458" s="17">
        <f t="shared" si="20"/>
        <v>-572397170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-8630875</v>
      </c>
      <c r="E459" s="25">
        <f>SUMIFS('Daftar Koreksi'!$I$5:$I$92,'Daftar Koreksi'!$D$5:$D$92,'0500'!A444,'Daftar Koreksi'!$G$5:$G$92,"Jalan Irigasi Jaringan",'Daftar Koreksi'!$I$5:$I$92,"&gt;0")</f>
        <v>0</v>
      </c>
      <c r="F459" s="25">
        <f>SUMIFS('Daftar Koreksi'!$I$5:$I$92,'Daftar Koreksi'!$D$5:$D$92,'0500'!A444,'Daftar Koreksi'!$G$5:$G$92,"Jalan Irigasi Jaringan",'Daftar Koreksi'!$I$5:$I$92,"&lt;0")-SUMIFS('Daftar Koreksi'!$I$5:$I$92,'Daftar Koreksi'!$D$5:$D$92,'0500'!A444,'Daftar Koreksi'!$G$5:$G$92,"Jalan Irigasi Jaringan",'Daftar Koreksi'!$I$5:$I$92,"&lt;0")-SUMIFS('Daftar Koreksi'!$I$5:$I$92,'Daftar Koreksi'!$D$5:$D$92,'0500'!A444,'Daftar Koreksi'!$G$5:$G$92,"Jalan Irigasi Jaringan",'Daftar Koreksi'!$I$5:$I$92,"&lt;0")</f>
        <v>0</v>
      </c>
      <c r="G459" s="17">
        <f t="shared" si="20"/>
        <v>-8630875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Koreksi'!$D$5:$D$92,'0500'!A444,'Daftar Koreksi'!$G$5:$G$92,"Aset Tetap Lainnya",'Daftar Koreksi'!$I$5:$I$92,"&gt;0")</f>
        <v>0</v>
      </c>
      <c r="F460" s="25">
        <f>SUMIFS('Daftar Koreksi'!$I$5:$I$92,'Daftar Koreksi'!$D$5:$D$92,'0500'!A444,'Daftar Koreksi'!$G$5:$G$92,"Aset Tetap Lainnya",'Daftar Koreksi'!$I$5:$I$92,"&lt;0")-SUMIFS('Daftar Koreksi'!$I$5:$I$92,'Daftar Koreksi'!$D$5:$D$92,'0500'!A444,'Daftar Koreksi'!$G$5:$G$92,"Aset Tetap Lainnya",'Daftar Koreksi'!$I$5:$I$92,"&lt;0")-SUMIFS('Daftar Koreksi'!$I$5:$I$92,'Daftar Koreksi'!$D$5:$D$92,'0500'!A444,'Daftar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-32328570</v>
      </c>
      <c r="E461" s="25">
        <f>SUMIFS('Daftar Koreksi'!$I$5:$I$92,'Daftar Koreksi'!$D$5:$D$92,'0500'!A444,'Daftar Koreksi'!$G$5:$G$92,"Aset Henti Guna",'Daftar Koreksi'!$I$5:$I$92,"&gt;0")</f>
        <v>0</v>
      </c>
      <c r="F461" s="25">
        <f>SUMIFS('Daftar Koreksi'!$I$5:$I$92,'Daftar Koreksi'!$D$5:$D$92,'0500'!A444,'Daftar Koreksi'!$G$5:$G$92,"Aset Henti Guna",'Daftar Koreksi'!$I$5:$I$92,"&lt;0")-SUMIFS('Daftar Koreksi'!$I$5:$I$92,'Daftar Koreksi'!$D$5:$D$92,'0500'!A444,'Daftar Koreksi'!$G$5:$G$92,"Aset Henti Guna",'Daftar Koreksi'!$I$5:$I$92,"&lt;0")-SUMIFS('Daftar Koreksi'!$I$5:$I$92,'Daftar Koreksi'!$D$5:$D$92,'0500'!A444,'Daftar Koreksi'!$G$5:$G$92,"Aset Henti Guna",'Daftar Koreksi'!$I$5:$I$92,"&lt;0")</f>
        <v>0</v>
      </c>
      <c r="G461" s="17">
        <f t="shared" si="20"/>
        <v>-32328570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-1882265199</v>
      </c>
      <c r="E462" s="19">
        <f>SUM(E457:E461)</f>
        <v>0</v>
      </c>
      <c r="F462" s="19">
        <f>SUM(F457:F461)</f>
        <v>0</v>
      </c>
      <c r="G462" s="19">
        <f t="shared" si="20"/>
        <v>-1882265199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6913228216</v>
      </c>
      <c r="E463" s="19">
        <f>E462+E456</f>
        <v>0</v>
      </c>
      <c r="F463" s="19">
        <f>F462+F456</f>
        <v>0</v>
      </c>
      <c r="G463" s="19">
        <f t="shared" si="20"/>
        <v>6913228216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005010500098310000KD</v>
      </c>
      <c r="B466" s="11" t="str">
        <f>P22</f>
        <v>PN. Lumajang</v>
      </c>
      <c r="C466" s="12" t="str">
        <f>A466&amp;" "&amp;B466</f>
        <v>005010500098310000KD PN. Lumajang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0</v>
      </c>
      <c r="E469" s="25">
        <f>SUMIFS('Daftar Koreksi'!$H$5:$H$92,'Daftar Koreksi'!$D$5:$D$92,'0500'!A466,'Daftar Koreksi'!$G$5:$G$92,"Persediaan",'Daftar Koreksi'!$H$5:$H$92,"&gt;0")</f>
        <v>0</v>
      </c>
      <c r="F469" s="25">
        <f>SUMIFS('Daftar Koreksi'!$H$5:$H$92,'Daftar Koreksi'!$D$5:$D$92,'0500'!A466,'Daftar Koreksi'!$G$5:$G$92,"Persediaan",'Daftar Koreksi'!$H$5:$H$92,"&lt;0")-SUMIFS('Daftar Koreksi'!$H$5:$H$92,'Daftar Koreksi'!$D$5:$D$92,'0500'!A466,'Daftar Koreksi'!$G$5:$G$92,"Persediaan",'Daftar Koreksi'!$H$5:$H$92,"&lt;0")-SUMIFS('Daftar Koreksi'!$H$5:$H$92,'Daftar Koreksi'!$D$5:$D$92,'0500'!A466,'Daftar Koreksi'!$G$5:$G$92,"Persediaan",'Daftar Koreksi'!$H$5:$H$92,"&lt;0")</f>
        <v>0</v>
      </c>
      <c r="G469" s="17">
        <f>D469+E469-F469</f>
        <v>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5267000000</v>
      </c>
      <c r="E470" s="25">
        <f>SUMIFS('Daftar Koreksi'!$H$5:$H$92,'Daftar Koreksi'!$D$5:$D$92,'0500'!A466,'Daftar Koreksi'!$G$5:$G$92,"Tanah",'Daftar Koreksi'!$H$5:$H$92,"&gt;0")</f>
        <v>0</v>
      </c>
      <c r="F470" s="25">
        <f>SUMIFS('Daftar Koreksi'!$H$5:$H$92,'Daftar Koreksi'!$D$5:$D$92,'0500'!A466,'Daftar Koreksi'!$G$5:$G$92,"Tanah",'Daftar Koreksi'!$H$5:$H$92,"&lt;0")-SUMIFS('Daftar Koreksi'!$H$5:$H$92,'Daftar Koreksi'!$D$5:$D$92,'0500'!A466,'Daftar Koreksi'!$G$5:$G$92,"Tanah",'Daftar Koreksi'!$H$5:$H$92,"&lt;0")-SUMIFS('Daftar Koreksi'!$H$5:$H$92,'Daftar Koreksi'!$D$5:$D$92,'0500'!A466,'Daftar Koreksi'!$G$5:$G$92,"Tanah",'Daftar Koreksi'!$H$5:$H$92,"&lt;0")</f>
        <v>0</v>
      </c>
      <c r="G470" s="17">
        <f t="shared" ref="G470:G486" si="21">D470+E470-F470</f>
        <v>5267000000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1288334972</v>
      </c>
      <c r="E471" s="25">
        <f>SUMIFS('Daftar Koreksi'!$H$5:$H$92,'Daftar Koreksi'!$D$5:$D$92,'0500'!A466,'Daftar Koreksi'!$G$5:$G$92,"Peralatan dan mesin",'Daftar Koreksi'!$H$5:$H$92,"&gt;0")</f>
        <v>0</v>
      </c>
      <c r="F471" s="25">
        <f>SUMIFS('Daftar Koreksi'!$H$5:$H$92,'Daftar Koreksi'!$D$5:$D$92,'0500'!A466,'Daftar Koreksi'!$G$5:$G$92,"Peralatan dan mesin",'Daftar Koreksi'!$H$5:$H$92,"&lt;0")-SUMIFS('Daftar Koreksi'!$H$5:$H$92,'Daftar Koreksi'!$D$5:$D$92,'0500'!A466,'Daftar Koreksi'!$G$5:$G$92,"Peralatan dan mesin",'Daftar Koreksi'!$H$5:$H$92,"&lt;0")-SUMIFS('Daftar Koreksi'!$H$5:$H$92,'Daftar Koreksi'!$D$5:$D$92,'0500'!A466,'Daftar Koreksi'!$G$5:$G$92,"Peralatan dan mesin",'Daftar Koreksi'!$H$5:$H$92,"&lt;0")</f>
        <v>0</v>
      </c>
      <c r="G471" s="17">
        <f t="shared" si="21"/>
        <v>1288334972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5834812308</v>
      </c>
      <c r="E472" s="25">
        <f>SUMIFS('Daftar Koreksi'!$H$5:$H$92,'Daftar Koreksi'!$D$5:$D$92,'0500'!A466,'Daftar Koreksi'!$G$5:$G$92,"Gedung dan Bangunan",'Daftar Koreksi'!$H$5:$H$92,"&gt;0")</f>
        <v>0</v>
      </c>
      <c r="F472" s="25">
        <f>SUMIFS('Daftar Koreksi'!$H$5:$H$92,'Daftar Koreksi'!$D$5:$D$92,'0500'!A466,'Daftar Koreksi'!$G$5:$G$92,"Gedung dan Bangunan",'Daftar Koreksi'!$H$5:$H$92,"&lt;0")-SUMIFS('Daftar Koreksi'!$H$5:$H$92,'Daftar Koreksi'!$D$5:$D$92,'0500'!A466,'Daftar Koreksi'!$G$5:$G$92,"Gedung dan Bangunan",'Daftar Koreksi'!$H$5:$H$92,"&lt;0")-SUMIFS('Daftar Koreksi'!$H$5:$H$92,'Daftar Koreksi'!$D$5:$D$92,'0500'!A466,'Daftar Koreksi'!$G$5:$G$92,"Gedung dan Bangunan",'Daftar Koreksi'!$H$5:$H$92,"&lt;0")</f>
        <v>0</v>
      </c>
      <c r="G472" s="17">
        <f t="shared" si="21"/>
        <v>5834812308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89434180</v>
      </c>
      <c r="E473" s="25">
        <f>SUMIFS('Daftar Koreksi'!$H$5:$H$92,'Daftar Koreksi'!$D$5:$D$92,'0500'!A466,'Daftar Koreksi'!$G$5:$G$92,"Jalan Irigasi Jaringan",'Daftar Koreksi'!$H$5:$H$92,"&gt;0")</f>
        <v>0</v>
      </c>
      <c r="F473" s="25">
        <f>SUMIFS('Daftar Koreksi'!$H$5:$H$92,'Daftar Koreksi'!$D$5:$D$92,'0500'!A466,'Daftar Koreksi'!$G$5:$G$92,"Jalan Irigasi Jaringan",'Daftar Koreksi'!$H$5:$H$92,"&lt;0")-SUMIFS('Daftar Koreksi'!$H$5:$H$92,'Daftar Koreksi'!$D$5:$D$92,'0500'!A466,'Daftar Koreksi'!$G$5:$G$92,"Jalan Irigasi Jaringan",'Daftar Koreksi'!$H$5:$H$92,"&lt;0")-SUMIFS('Daftar Koreksi'!$H$5:$H$92,'Daftar Koreksi'!$D$5:$D$92,'0500'!A466,'Daftar Koreksi'!$G$5:$G$92,"Jalan Irigasi Jaringan",'Daftar Koreksi'!$H$5:$H$92,"&lt;0")</f>
        <v>0</v>
      </c>
      <c r="G473" s="17">
        <f t="shared" si="21"/>
        <v>89434180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98275611</v>
      </c>
      <c r="E474" s="25">
        <f>SUMIFS('Daftar Koreksi'!$H$5:$H$92,'Daftar Koreksi'!$D$5:$D$92,'0500'!A466,'Daftar Koreksi'!$G$5:$G$92,"Aset Tetap Lainnya",'Daftar Koreksi'!$H$5:$H$92,"&gt;0")</f>
        <v>0</v>
      </c>
      <c r="F474" s="25">
        <f>SUMIFS('Daftar Koreksi'!$H$5:$H$92,'Daftar Koreksi'!$D$5:$D$92,'0500'!A466,'Daftar Koreksi'!$G$5:$G$92,"Aset Tetap Lainnya",'Daftar Koreksi'!$H$5:$H$92,"&lt;0")-SUMIFS('Daftar Koreksi'!$H$5:$H$92,'Daftar Koreksi'!$D$5:$D$92,'0500'!A466,'Daftar Koreksi'!$G$5:$G$92,"Aset Tetap Lainnya",'Daftar Koreksi'!$H$5:$H$92,"&lt;0")-SUMIFS('Daftar Koreksi'!$H$5:$H$92,'Daftar Koreksi'!$D$5:$D$92,'0500'!A466,'Daftar Koreksi'!$G$5:$G$92,"Aset Tetap Lainnya",'Daftar Koreksi'!$H$5:$H$92,"&lt;0")</f>
        <v>0</v>
      </c>
      <c r="G474" s="17">
        <f t="shared" si="21"/>
        <v>98275611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Koreksi'!$D$5:$D$92,'0500'!A466,'Daftar Koreksi'!$G$5:$G$92,"Kontruksi Dalam Pengerjaan",'Daftar Koreksi'!$H$5:$H$92,"&gt;0")</f>
        <v>0</v>
      </c>
      <c r="F475" s="25">
        <f>SUMIFS('Daftar Koreksi'!$H$5:$H$92,'Daftar Koreksi'!$D$5:$D$92,'0500'!A466,'Daftar Koreksi'!$G$5:$G$92,"Kontruksi Dalam Pengerjaan",'Daftar Koreksi'!$H$5:$H$92,"&lt;0")-SUMIFS('Daftar Koreksi'!$H$5:$H$92,'Daftar Koreksi'!$D$5:$D$92,'0500'!A466,'Daftar Koreksi'!$G$5:$G$92,"Kontruksi Dalam Pengerjaan",'Daftar Koreksi'!$H$5:$H$92,"&lt;0")-SUMIFS('Daftar Koreksi'!$H$5:$H$92,'Daftar Koreksi'!$D$5:$D$92,'0500'!A466,'Daftar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Koreksi'!$D$5:$D$92,'0500'!A466,'Daftar Koreksi'!$G$5:$G$92,"Aset Tak Berwujud",'Daftar Koreksi'!$H$5:$H$92,"&gt;0")</f>
        <v>0</v>
      </c>
      <c r="F476" s="25">
        <f>SUMIFS('Daftar Koreksi'!$H$5:$H$92,'Daftar Koreksi'!$D$5:$D$92,'0500'!A466,'Daftar Koreksi'!$G$5:$G$92,"Aset Tak Berwujud",'Daftar Koreksi'!$H$5:$H$92,"&lt;0")-SUMIFS('Daftar Koreksi'!$H$5:$H$92,'Daftar Koreksi'!$D$5:$D$92,'0500'!A466,'Daftar Koreksi'!$G$5:$G$92,"Aset Tak Berwujud",'Daftar Koreksi'!$H$5:$H$92,"&lt;0")-SUMIFS('Daftar Koreksi'!$H$5:$H$92,'Daftar Koreksi'!$D$5:$D$92,'0500'!A466,'Daftar Koreksi'!$G$5:$G$92,"Aset Tak Berwujud",'Daftar Koreksi'!$H$5:$H$92,"&lt;0")</f>
        <v>0</v>
      </c>
      <c r="G476" s="17">
        <f t="shared" si="21"/>
        <v>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0</v>
      </c>
      <c r="E477" s="25">
        <f>SUMIFS('Daftar Koreksi'!$H$5:$H$92,'Daftar Koreksi'!$D$5:$D$92,'0500'!A466,'Daftar Koreksi'!$G$5:$G$92,"Aset Henti Guna",'Daftar Koreksi'!$H$5:$H$92,"&gt;0")</f>
        <v>0</v>
      </c>
      <c r="F477" s="25">
        <f>SUMIFS('Daftar Koreksi'!$H$5:$H$92,'Daftar Koreksi'!$D$5:$D$92,'0500'!A466,'Daftar Koreksi'!$G$5:$G$92,"Aset Henti Guna",'Daftar Koreksi'!$H$5:$H$92,"&lt;0")-SUMIFS('Daftar Koreksi'!$H$5:$H$92,'Daftar Koreksi'!$D$5:$D$92,'0500'!A466,'Daftar Koreksi'!$G$5:$G$92,"Aset Henti Guna",'Daftar Koreksi'!$H$5:$H$92,"&lt;0")-SUMIFS('Daftar Koreksi'!$H$5:$H$92,'Daftar Koreksi'!$D$5:$D$92,'0500'!A466,'Daftar Koreksi'!$G$5:$G$92,"Aset Henti Guna",'Daftar Koreksi'!$H$5:$H$92,"&lt;0")</f>
        <v>0</v>
      </c>
      <c r="G477" s="17">
        <f t="shared" si="21"/>
        <v>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12577857071</v>
      </c>
      <c r="E478" s="19">
        <f>SUM(E469:E477)</f>
        <v>0</v>
      </c>
      <c r="F478" s="19">
        <f>SUM(F469:F477)</f>
        <v>0</v>
      </c>
      <c r="G478" s="19">
        <f t="shared" si="21"/>
        <v>12577857071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-1140770144</v>
      </c>
      <c r="E479" s="25">
        <f>SUMIFS('Daftar Koreksi'!$I$5:$I$92,'Daftar Koreksi'!$D$5:$D$92,'0500'!A466,'Daftar Koreksi'!$G$5:$G$92,"Peralatan dan mesin",'Daftar Koreksi'!$I$5:$I$92,"&gt;0")</f>
        <v>0</v>
      </c>
      <c r="F479" s="25">
        <f>SUMIFS('Daftar Koreksi'!$I$5:$I$92,'Daftar Koreksi'!$D$5:$D$92,'0500'!A466,'Daftar Koreksi'!$G$5:$G$92,"Peralatan dan mesin",'Daftar Koreksi'!$I$5:$I$92,"&lt;0")-SUMIFS('Daftar Koreksi'!$I$5:$I$92,'Daftar Koreksi'!$D$5:$D$92,'0500'!A466,'Daftar Koreksi'!$G$5:$G$92,"Peralatan dan mesin",'Daftar Koreksi'!$I$5:$I$92,"&lt;0")-SUMIFS('Daftar Koreksi'!$I$5:$I$92,'Daftar Koreksi'!$D$5:$D$92,'0500'!A466,'Daftar Koreksi'!$G$5:$G$92,"Peralatan dan mesin",'Daftar Koreksi'!$I$5:$I$92,"&lt;0")</f>
        <v>0</v>
      </c>
      <c r="G479" s="17">
        <f t="shared" si="21"/>
        <v>-1140770144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-2701414338</v>
      </c>
      <c r="E480" s="25">
        <f>SUMIFS('Daftar Koreksi'!$I$5:$I$92,'Daftar Koreksi'!$D$5:$D$92,'0500'!A466,'Daftar Koreksi'!$G$5:$G$92,"Gedung dan Bangunan",'Daftar Koreksi'!$I$5:$I$92,"&gt;0")</f>
        <v>0</v>
      </c>
      <c r="F480" s="25">
        <f>SUMIFS('Daftar Koreksi'!$I$5:$I$92,'Daftar Koreksi'!$D$5:$D$92,'0500'!A466,'Daftar Koreksi'!$G$5:$G$92,"Gedung dan Bangunan",'Daftar Koreksi'!$I$5:$I$92,"&lt;0")-SUMIFS('Daftar Koreksi'!$I$5:$I$92,'Daftar Koreksi'!$D$5:$D$92,'0500'!A466,'Daftar Koreksi'!$G$5:$G$92,"Gedung dan Bangunan",'Daftar Koreksi'!$I$5:$I$92,"&lt;0")-SUMIFS('Daftar Koreksi'!$I$5:$I$92,'Daftar Koreksi'!$D$5:$D$92,'0500'!A466,'Daftar Koreksi'!$G$5:$G$92,"Gedung dan Bangunan",'Daftar Koreksi'!$I$5:$I$92,"&lt;0")</f>
        <v>0</v>
      </c>
      <c r="G480" s="17">
        <f t="shared" si="21"/>
        <v>-2701414338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-2235854</v>
      </c>
      <c r="E481" s="25">
        <f>SUMIFS('Daftar Koreksi'!$I$5:$I$92,'Daftar Koreksi'!$D$5:$D$92,'0500'!A466,'Daftar Koreksi'!$G$5:$G$92,"Jalan Irigasi Jaringan",'Daftar Koreksi'!$I$5:$I$92,"&gt;0")</f>
        <v>0</v>
      </c>
      <c r="F481" s="25">
        <f>SUMIFS('Daftar Koreksi'!$I$5:$I$92,'Daftar Koreksi'!$D$5:$D$92,'0500'!A466,'Daftar Koreksi'!$G$5:$G$92,"Jalan Irigasi Jaringan",'Daftar Koreksi'!$I$5:$I$92,"&lt;0")-SUMIFS('Daftar Koreksi'!$I$5:$I$92,'Daftar Koreksi'!$D$5:$D$92,'0500'!A466,'Daftar Koreksi'!$G$5:$G$92,"Jalan Irigasi Jaringan",'Daftar Koreksi'!$I$5:$I$92,"&lt;0")-SUMIFS('Daftar Koreksi'!$I$5:$I$92,'Daftar Koreksi'!$D$5:$D$92,'0500'!A466,'Daftar Koreksi'!$G$5:$G$92,"Jalan Irigasi Jaringan",'Daftar Koreksi'!$I$5:$I$92,"&lt;0")</f>
        <v>0</v>
      </c>
      <c r="G481" s="17">
        <f t="shared" si="21"/>
        <v>-2235854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Koreksi'!$D$5:$D$92,'0500'!A466,'Daftar Koreksi'!$G$5:$G$92,"Aset Tetap Lainnya",'Daftar Koreksi'!$I$5:$I$92,"&gt;0")</f>
        <v>0</v>
      </c>
      <c r="F482" s="25">
        <f>SUMIFS('Daftar Koreksi'!$I$5:$I$92,'Daftar Koreksi'!$D$5:$D$92,'0500'!A466,'Daftar Koreksi'!$G$5:$G$92,"Aset Tetap Lainnya",'Daftar Koreksi'!$I$5:$I$92,"&lt;0")-SUMIFS('Daftar Koreksi'!$I$5:$I$92,'Daftar Koreksi'!$D$5:$D$92,'0500'!A466,'Daftar Koreksi'!$G$5:$G$92,"Aset Tetap Lainnya",'Daftar Koreksi'!$I$5:$I$92,"&lt;0")-SUMIFS('Daftar Koreksi'!$I$5:$I$92,'Daftar Koreksi'!$D$5:$D$92,'0500'!A466,'Daftar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0</v>
      </c>
      <c r="E483" s="25">
        <f>SUMIFS('Daftar Koreksi'!$I$5:$I$92,'Daftar Koreksi'!$D$5:$D$92,'0500'!A466,'Daftar Koreksi'!$G$5:$G$92,"Aset Henti Guna",'Daftar Koreksi'!$I$5:$I$92,"&gt;0")</f>
        <v>0</v>
      </c>
      <c r="F483" s="25">
        <f>SUMIFS('Daftar Koreksi'!$I$5:$I$92,'Daftar Koreksi'!$D$5:$D$92,'0500'!A466,'Daftar Koreksi'!$G$5:$G$92,"Aset Henti Guna",'Daftar Koreksi'!$I$5:$I$92,"&lt;0")-SUMIFS('Daftar Koreksi'!$I$5:$I$92,'Daftar Koreksi'!$D$5:$D$92,'0500'!A466,'Daftar Koreksi'!$G$5:$G$92,"Aset Henti Guna",'Daftar Koreksi'!$I$5:$I$92,"&lt;0")-SUMIFS('Daftar Koreksi'!$I$5:$I$92,'Daftar Koreksi'!$D$5:$D$92,'0500'!A466,'Daftar Koreksi'!$G$5:$G$92,"Aset Henti Guna",'Daftar Koreksi'!$I$5:$I$92,"&lt;0")</f>
        <v>0</v>
      </c>
      <c r="G483" s="17">
        <f t="shared" si="21"/>
        <v>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-3844420336</v>
      </c>
      <c r="E484" s="19">
        <f>SUM(E479:E483)</f>
        <v>0</v>
      </c>
      <c r="F484" s="19">
        <f>SUM(F479:F483)</f>
        <v>0</v>
      </c>
      <c r="G484" s="19">
        <f t="shared" si="21"/>
        <v>-3844420336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8733436735</v>
      </c>
      <c r="E485" s="19">
        <f>E484+E478</f>
        <v>0</v>
      </c>
      <c r="F485" s="19">
        <f>F484+F478</f>
        <v>0</v>
      </c>
      <c r="G485" s="19">
        <f t="shared" si="21"/>
        <v>8733436735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005010500098324000KD</v>
      </c>
      <c r="B488" s="11" t="str">
        <f>P23</f>
        <v>PN. Bangil</v>
      </c>
      <c r="C488" s="12" t="str">
        <f>A488&amp;" "&amp;B488</f>
        <v>005010500098324000KD PN. Bangil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10000</v>
      </c>
      <c r="E491" s="25">
        <f>SUMIFS('Daftar Koreksi'!$H$5:$H$92,'Daftar Koreksi'!$D$5:$D$92,'0500'!A488,'Daftar Koreksi'!$G$5:$G$92,"Persediaan",'Daftar Koreksi'!$H$5:$H$92,"&gt;0")</f>
        <v>0</v>
      </c>
      <c r="F491" s="25">
        <f>SUMIFS('Daftar Koreksi'!$H$5:$H$92,'Daftar Koreksi'!$D$5:$D$92,'0500'!A488,'Daftar Koreksi'!$G$5:$G$92,"Persediaan",'Daftar Koreksi'!$H$5:$H$92,"&lt;0")-SUMIFS('Daftar Koreksi'!$H$5:$H$92,'Daftar Koreksi'!$D$5:$D$92,'0500'!A488,'Daftar Koreksi'!$G$5:$G$92,"Persediaan",'Daftar Koreksi'!$H$5:$H$92,"&lt;0")-SUMIFS('Daftar Koreksi'!$H$5:$H$92,'Daftar Koreksi'!$D$5:$D$92,'0500'!A488,'Daftar Koreksi'!$G$5:$G$92,"Persediaan",'Daftar Koreksi'!$H$5:$H$92,"&lt;0")</f>
        <v>0</v>
      </c>
      <c r="G491" s="17">
        <f>D491+E491-F491</f>
        <v>10000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5837418000</v>
      </c>
      <c r="E492" s="25">
        <f>SUMIFS('Daftar Koreksi'!$H$5:$H$92,'Daftar Koreksi'!$D$5:$D$92,'0500'!A488,'Daftar Koreksi'!$G$5:$G$92,"Tanah",'Daftar Koreksi'!$H$5:$H$92,"&gt;0")</f>
        <v>0</v>
      </c>
      <c r="F492" s="25">
        <f>SUMIFS('Daftar Koreksi'!$H$5:$H$92,'Daftar Koreksi'!$D$5:$D$92,'0500'!A488,'Daftar Koreksi'!$G$5:$G$92,"Tanah",'Daftar Koreksi'!$H$5:$H$92,"&lt;0")-SUMIFS('Daftar Koreksi'!$H$5:$H$92,'Daftar Koreksi'!$D$5:$D$92,'0500'!A488,'Daftar Koreksi'!$G$5:$G$92,"Tanah",'Daftar Koreksi'!$H$5:$H$92,"&lt;0")-SUMIFS('Daftar Koreksi'!$H$5:$H$92,'Daftar Koreksi'!$D$5:$D$92,'0500'!A488,'Daftar Koreksi'!$G$5:$G$92,"Tanah",'Daftar Koreksi'!$H$5:$H$92,"&lt;0")</f>
        <v>0</v>
      </c>
      <c r="G492" s="17">
        <f t="shared" ref="G492:G508" si="22">D492+E492-F492</f>
        <v>5837418000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1920677957</v>
      </c>
      <c r="E493" s="25">
        <f>SUMIFS('Daftar Koreksi'!$H$5:$H$92,'Daftar Koreksi'!$D$5:$D$92,'0500'!A488,'Daftar Koreksi'!$G$5:$G$92,"Peralatan dan mesin",'Daftar Koreksi'!$H$5:$H$92,"&gt;0")</f>
        <v>0</v>
      </c>
      <c r="F493" s="25">
        <f>SUMIFS('Daftar Koreksi'!$H$5:$H$92,'Daftar Koreksi'!$D$5:$D$92,'0500'!A488,'Daftar Koreksi'!$G$5:$G$92,"Peralatan dan mesin",'Daftar Koreksi'!$H$5:$H$92,"&lt;0")-SUMIFS('Daftar Koreksi'!$H$5:$H$92,'Daftar Koreksi'!$D$5:$D$92,'0500'!A488,'Daftar Koreksi'!$G$5:$G$92,"Peralatan dan mesin",'Daftar Koreksi'!$H$5:$H$92,"&lt;0")-SUMIFS('Daftar Koreksi'!$H$5:$H$92,'Daftar Koreksi'!$D$5:$D$92,'0500'!A488,'Daftar Koreksi'!$G$5:$G$92,"Peralatan dan mesin",'Daftar Koreksi'!$H$5:$H$92,"&lt;0")</f>
        <v>0</v>
      </c>
      <c r="G493" s="17">
        <f t="shared" si="22"/>
        <v>1920677957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4128755300</v>
      </c>
      <c r="E494" s="25">
        <f>SUMIFS('Daftar Koreksi'!$H$5:$H$92,'Daftar Koreksi'!$D$5:$D$92,'0500'!A488,'Daftar Koreksi'!$G$5:$G$92,"Gedung dan Bangunan",'Daftar Koreksi'!$H$5:$H$92,"&gt;0")</f>
        <v>0</v>
      </c>
      <c r="F494" s="25">
        <f>SUMIFS('Daftar Koreksi'!$H$5:$H$92,'Daftar Koreksi'!$D$5:$D$92,'0500'!A488,'Daftar Koreksi'!$G$5:$G$92,"Gedung dan Bangunan",'Daftar Koreksi'!$H$5:$H$92,"&lt;0")-SUMIFS('Daftar Koreksi'!$H$5:$H$92,'Daftar Koreksi'!$D$5:$D$92,'0500'!A488,'Daftar Koreksi'!$G$5:$G$92,"Gedung dan Bangunan",'Daftar Koreksi'!$H$5:$H$92,"&lt;0")-SUMIFS('Daftar Koreksi'!$H$5:$H$92,'Daftar Koreksi'!$D$5:$D$92,'0500'!A488,'Daftar Koreksi'!$G$5:$G$92,"Gedung dan Bangunan",'Daftar Koreksi'!$H$5:$H$92,"&lt;0")</f>
        <v>0</v>
      </c>
      <c r="G494" s="17">
        <f t="shared" si="22"/>
        <v>4128755300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15000000</v>
      </c>
      <c r="E495" s="25">
        <f>SUMIFS('Daftar Koreksi'!$H$5:$H$92,'Daftar Koreksi'!$D$5:$D$92,'0500'!A488,'Daftar Koreksi'!$G$5:$G$92,"Jalan Irigasi Jaringan",'Daftar Koreksi'!$H$5:$H$92,"&gt;0")</f>
        <v>0</v>
      </c>
      <c r="F495" s="25">
        <f>SUMIFS('Daftar Koreksi'!$H$5:$H$92,'Daftar Koreksi'!$D$5:$D$92,'0500'!A488,'Daftar Koreksi'!$G$5:$G$92,"Jalan Irigasi Jaringan",'Daftar Koreksi'!$H$5:$H$92,"&lt;0")-SUMIFS('Daftar Koreksi'!$H$5:$H$92,'Daftar Koreksi'!$D$5:$D$92,'0500'!A488,'Daftar Koreksi'!$G$5:$G$92,"Jalan Irigasi Jaringan",'Daftar Koreksi'!$H$5:$H$92,"&lt;0")-SUMIFS('Daftar Koreksi'!$H$5:$H$92,'Daftar Koreksi'!$D$5:$D$92,'0500'!A488,'Daftar Koreksi'!$G$5:$G$92,"Jalan Irigasi Jaringan",'Daftar Koreksi'!$H$5:$H$92,"&lt;0")</f>
        <v>0</v>
      </c>
      <c r="G495" s="17">
        <f t="shared" si="22"/>
        <v>15000000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17075062</v>
      </c>
      <c r="E496" s="25">
        <f>SUMIFS('Daftar Koreksi'!$H$5:$H$92,'Daftar Koreksi'!$D$5:$D$92,'0500'!A488,'Daftar Koreksi'!$G$5:$G$92,"Aset Tetap Lainnya",'Daftar Koreksi'!$H$5:$H$92,"&gt;0")</f>
        <v>0</v>
      </c>
      <c r="F496" s="25">
        <f>SUMIFS('Daftar Koreksi'!$H$5:$H$92,'Daftar Koreksi'!$D$5:$D$92,'0500'!A488,'Daftar Koreksi'!$G$5:$G$92,"Aset Tetap Lainnya",'Daftar Koreksi'!$H$5:$H$92,"&lt;0")-SUMIFS('Daftar Koreksi'!$H$5:$H$92,'Daftar Koreksi'!$D$5:$D$92,'0500'!A488,'Daftar Koreksi'!$G$5:$G$92,"Aset Tetap Lainnya",'Daftar Koreksi'!$H$5:$H$92,"&lt;0")-SUMIFS('Daftar Koreksi'!$H$5:$H$92,'Daftar Koreksi'!$D$5:$D$92,'0500'!A488,'Daftar Koreksi'!$G$5:$G$92,"Aset Tetap Lainnya",'Daftar Koreksi'!$H$5:$H$92,"&lt;0")</f>
        <v>0</v>
      </c>
      <c r="G496" s="17">
        <f t="shared" si="22"/>
        <v>17075062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Koreksi'!$D$5:$D$92,'0500'!A488,'Daftar Koreksi'!$G$5:$G$92,"Kontruksi Dalam Pengerjaan",'Daftar Koreksi'!$H$5:$H$92,"&gt;0")</f>
        <v>0</v>
      </c>
      <c r="F497" s="25">
        <f>SUMIFS('Daftar Koreksi'!$H$5:$H$92,'Daftar Koreksi'!$D$5:$D$92,'0500'!A488,'Daftar Koreksi'!$G$5:$G$92,"Kontruksi Dalam Pengerjaan",'Daftar Koreksi'!$H$5:$H$92,"&lt;0")-SUMIFS('Daftar Koreksi'!$H$5:$H$92,'Daftar Koreksi'!$D$5:$D$92,'0500'!A488,'Daftar Koreksi'!$G$5:$G$92,"Kontruksi Dalam Pengerjaan",'Daftar Koreksi'!$H$5:$H$92,"&lt;0")-SUMIFS('Daftar Koreksi'!$H$5:$H$92,'Daftar Koreksi'!$D$5:$D$92,'0500'!A488,'Daftar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Koreksi'!$D$5:$D$92,'0500'!A488,'Daftar Koreksi'!$G$5:$G$92,"Aset Tak Berwujud",'Daftar Koreksi'!$H$5:$H$92,"&gt;0")</f>
        <v>0</v>
      </c>
      <c r="F498" s="25">
        <f>SUMIFS('Daftar Koreksi'!$H$5:$H$92,'Daftar Koreksi'!$D$5:$D$92,'0500'!A488,'Daftar Koreksi'!$G$5:$G$92,"Aset Tak Berwujud",'Daftar Koreksi'!$H$5:$H$92,"&lt;0")-SUMIFS('Daftar Koreksi'!$H$5:$H$92,'Daftar Koreksi'!$D$5:$D$92,'0500'!A488,'Daftar Koreksi'!$G$5:$G$92,"Aset Tak Berwujud",'Daftar Koreksi'!$H$5:$H$92,"&lt;0")-SUMIFS('Daftar Koreksi'!$H$5:$H$92,'Daftar Koreksi'!$D$5:$D$92,'0500'!A488,'Daftar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0</v>
      </c>
      <c r="E499" s="25">
        <f>SUMIFS('Daftar Koreksi'!$H$5:$H$92,'Daftar Koreksi'!$D$5:$D$92,'0500'!A488,'Daftar Koreksi'!$G$5:$G$92,"Aset Henti Guna",'Daftar Koreksi'!$H$5:$H$92,"&gt;0")</f>
        <v>0</v>
      </c>
      <c r="F499" s="25">
        <f>SUMIFS('Daftar Koreksi'!$H$5:$H$92,'Daftar Koreksi'!$D$5:$D$92,'0500'!A488,'Daftar Koreksi'!$G$5:$G$92,"Aset Henti Guna",'Daftar Koreksi'!$H$5:$H$92,"&lt;0")-SUMIFS('Daftar Koreksi'!$H$5:$H$92,'Daftar Koreksi'!$D$5:$D$92,'0500'!A488,'Daftar Koreksi'!$G$5:$G$92,"Aset Henti Guna",'Daftar Koreksi'!$H$5:$H$92,"&lt;0")-SUMIFS('Daftar Koreksi'!$H$5:$H$92,'Daftar Koreksi'!$D$5:$D$92,'0500'!A488,'Daftar Koreksi'!$G$5:$G$92,"Aset Henti Guna",'Daftar Koreksi'!$H$5:$H$92,"&lt;0")</f>
        <v>0</v>
      </c>
      <c r="G499" s="17">
        <f t="shared" si="22"/>
        <v>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11918936319</v>
      </c>
      <c r="E500" s="19">
        <f>SUM(E491:E499)</f>
        <v>0</v>
      </c>
      <c r="F500" s="19">
        <f>SUM(F491:F499)</f>
        <v>0</v>
      </c>
      <c r="G500" s="19">
        <f t="shared" si="22"/>
        <v>11918936319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-1756069781</v>
      </c>
      <c r="E501" s="25">
        <f>SUMIFS('Daftar Koreksi'!$I$5:$I$92,'Daftar Koreksi'!$D$5:$D$92,'0500'!A488,'Daftar Koreksi'!$G$5:$G$92,"Peralatan dan mesin",'Daftar Koreksi'!$I$5:$I$92,"&gt;0")</f>
        <v>0</v>
      </c>
      <c r="F501" s="25">
        <f>SUMIFS('Daftar Koreksi'!$I$5:$I$92,'Daftar Koreksi'!$D$5:$D$92,'0500'!A488,'Daftar Koreksi'!$G$5:$G$92,"Peralatan dan mesin",'Daftar Koreksi'!$I$5:$I$92,"&lt;0")-SUMIFS('Daftar Koreksi'!$I$5:$I$92,'Daftar Koreksi'!$D$5:$D$92,'0500'!A488,'Daftar Koreksi'!$G$5:$G$92,"Peralatan dan mesin",'Daftar Koreksi'!$I$5:$I$92,"&lt;0")-SUMIFS('Daftar Koreksi'!$I$5:$I$92,'Daftar Koreksi'!$D$5:$D$92,'0500'!A488,'Daftar Koreksi'!$G$5:$G$92,"Peralatan dan mesin",'Daftar Koreksi'!$I$5:$I$92,"&lt;0")</f>
        <v>0</v>
      </c>
      <c r="G501" s="17">
        <f t="shared" si="22"/>
        <v>-1756069781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-1225651327</v>
      </c>
      <c r="E502" s="25">
        <f>SUMIFS('Daftar Koreksi'!$I$5:$I$92,'Daftar Koreksi'!$D$5:$D$92,'0500'!A488,'Daftar Koreksi'!$G$5:$G$92,"Gedung dan Bangunan",'Daftar Koreksi'!$I$5:$I$92,"&gt;0")</f>
        <v>0</v>
      </c>
      <c r="F502" s="25">
        <f>SUMIFS('Daftar Koreksi'!$I$5:$I$92,'Daftar Koreksi'!$D$5:$D$92,'0500'!A488,'Daftar Koreksi'!$G$5:$G$92,"Gedung dan Bangunan",'Daftar Koreksi'!$I$5:$I$92,"&lt;0")-SUMIFS('Daftar Koreksi'!$I$5:$I$92,'Daftar Koreksi'!$D$5:$D$92,'0500'!A488,'Daftar Koreksi'!$G$5:$G$92,"Gedung dan Bangunan",'Daftar Koreksi'!$I$5:$I$92,"&lt;0")-SUMIFS('Daftar Koreksi'!$I$5:$I$92,'Daftar Koreksi'!$D$5:$D$92,'0500'!A488,'Daftar Koreksi'!$G$5:$G$92,"Gedung dan Bangunan",'Daftar Koreksi'!$I$5:$I$92,"&lt;0")</f>
        <v>0</v>
      </c>
      <c r="G502" s="17">
        <f t="shared" si="22"/>
        <v>-1225651327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-2437500</v>
      </c>
      <c r="E503" s="25">
        <f>SUMIFS('Daftar Koreksi'!$I$5:$I$92,'Daftar Koreksi'!$D$5:$D$92,'0500'!A488,'Daftar Koreksi'!$G$5:$G$92,"Jalan Irigasi Jaringan",'Daftar Koreksi'!$I$5:$I$92,"&gt;0")</f>
        <v>0</v>
      </c>
      <c r="F503" s="25">
        <f>SUMIFS('Daftar Koreksi'!$I$5:$I$92,'Daftar Koreksi'!$D$5:$D$92,'0500'!A488,'Daftar Koreksi'!$G$5:$G$92,"Jalan Irigasi Jaringan",'Daftar Koreksi'!$I$5:$I$92,"&lt;0")-SUMIFS('Daftar Koreksi'!$I$5:$I$92,'Daftar Koreksi'!$D$5:$D$92,'0500'!A488,'Daftar Koreksi'!$G$5:$G$92,"Jalan Irigasi Jaringan",'Daftar Koreksi'!$I$5:$I$92,"&lt;0")-SUMIFS('Daftar Koreksi'!$I$5:$I$92,'Daftar Koreksi'!$D$5:$D$92,'0500'!A488,'Daftar Koreksi'!$G$5:$G$92,"Jalan Irigasi Jaringan",'Daftar Koreksi'!$I$5:$I$92,"&lt;0")</f>
        <v>0</v>
      </c>
      <c r="G503" s="17">
        <f t="shared" si="22"/>
        <v>-2437500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Koreksi'!$D$5:$D$92,'0500'!A488,'Daftar Koreksi'!$G$5:$G$92,"Aset Tetap Lainnya",'Daftar Koreksi'!$I$5:$I$92,"&gt;0")</f>
        <v>0</v>
      </c>
      <c r="F504" s="25">
        <f>SUMIFS('Daftar Koreksi'!$I$5:$I$92,'Daftar Koreksi'!$D$5:$D$92,'0500'!A488,'Daftar Koreksi'!$G$5:$G$92,"Aset Tetap Lainnya",'Daftar Koreksi'!$I$5:$I$92,"&lt;0")-SUMIFS('Daftar Koreksi'!$I$5:$I$92,'Daftar Koreksi'!$D$5:$D$92,'0500'!A488,'Daftar Koreksi'!$G$5:$G$92,"Aset Tetap Lainnya",'Daftar Koreksi'!$I$5:$I$92,"&lt;0")-SUMIFS('Daftar Koreksi'!$I$5:$I$92,'Daftar Koreksi'!$D$5:$D$92,'0500'!A488,'Daftar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0</v>
      </c>
      <c r="E505" s="25">
        <f>SUMIFS('Daftar Koreksi'!$I$5:$I$92,'Daftar Koreksi'!$D$5:$D$92,'0500'!A488,'Daftar Koreksi'!$G$5:$G$92,"Aset Henti Guna",'Daftar Koreksi'!$I$5:$I$92,"&gt;0")</f>
        <v>0</v>
      </c>
      <c r="F505" s="25">
        <f>SUMIFS('Daftar Koreksi'!$I$5:$I$92,'Daftar Koreksi'!$D$5:$D$92,'0500'!A488,'Daftar Koreksi'!$G$5:$G$92,"Aset Henti Guna",'Daftar Koreksi'!$I$5:$I$92,"&lt;0")-SUMIFS('Daftar Koreksi'!$I$5:$I$92,'Daftar Koreksi'!$D$5:$D$92,'0500'!A488,'Daftar Koreksi'!$G$5:$G$92,"Aset Henti Guna",'Daftar Koreksi'!$I$5:$I$92,"&lt;0")-SUMIFS('Daftar Koreksi'!$I$5:$I$92,'Daftar Koreksi'!$D$5:$D$92,'0500'!A488,'Daftar Koreksi'!$G$5:$G$92,"Aset Henti Guna",'Daftar Koreksi'!$I$5:$I$92,"&lt;0")</f>
        <v>0</v>
      </c>
      <c r="G505" s="17">
        <f t="shared" si="22"/>
        <v>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-2984158608</v>
      </c>
      <c r="E506" s="19">
        <f>SUM(E501:E505)</f>
        <v>0</v>
      </c>
      <c r="F506" s="19">
        <f>SUM(F501:F505)</f>
        <v>0</v>
      </c>
      <c r="G506" s="19">
        <f t="shared" si="22"/>
        <v>-2984158608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8934777711</v>
      </c>
      <c r="E507" s="19">
        <f>E506+E500</f>
        <v>0</v>
      </c>
      <c r="F507" s="19">
        <f>F506+F500</f>
        <v>0</v>
      </c>
      <c r="G507" s="19">
        <f t="shared" si="22"/>
        <v>8934777711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005010500098331000KD</v>
      </c>
      <c r="B510" s="11" t="str">
        <f>P24</f>
        <v>PN. Kraksaan</v>
      </c>
      <c r="C510" s="12" t="str">
        <f>A510&amp;" "&amp;B510</f>
        <v>005010500098331000KD PN. Kraksaan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0</v>
      </c>
      <c r="E513" s="25">
        <f>SUMIFS('Daftar Koreksi'!$H$5:$H$92,'Daftar Koreksi'!$D$5:$D$92,'0500'!A510,'Daftar Koreksi'!$G$5:$G$92,"Persediaan",'Daftar Koreksi'!$H$5:$H$92,"&gt;0")</f>
        <v>0</v>
      </c>
      <c r="F513" s="25">
        <f>SUMIFS('Daftar Koreksi'!$H$5:$H$92,'Daftar Koreksi'!$D$5:$D$92,'0500'!A510,'Daftar Koreksi'!$G$5:$G$92,"Persediaan",'Daftar Koreksi'!$H$5:$H$92,"&lt;0")-SUMIFS('Daftar Koreksi'!$H$5:$H$92,'Daftar Koreksi'!$D$5:$D$92,'0500'!A510,'Daftar Koreksi'!$G$5:$G$92,"Persediaan",'Daftar Koreksi'!$H$5:$H$92,"&lt;0")-SUMIFS('Daftar Koreksi'!$H$5:$H$92,'Daftar Koreksi'!$D$5:$D$92,'0500'!A510,'Daftar Koreksi'!$G$5:$G$92,"Persediaan",'Daftar Koreksi'!$H$5:$H$92,"&lt;0")</f>
        <v>0</v>
      </c>
      <c r="G513" s="17">
        <f>D513+E513-F513</f>
        <v>0</v>
      </c>
      <c r="H513" s="121" t="str">
        <f>IF(ISNA(VLOOKUP(A510,'Mutasi Neraca'!$A$3:$S$914,19,FALSE)),"-",VLOOKUP(A510,'Mutasi Neraca'!$A$3:$S$914,19,FALSE))</f>
        <v>TP. No 3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3377188000</v>
      </c>
      <c r="E514" s="25">
        <f>SUMIFS('Daftar Koreksi'!$H$5:$H$92,'Daftar Koreksi'!$D$5:$D$92,'0500'!A510,'Daftar Koreksi'!$G$5:$G$92,"Tanah",'Daftar Koreksi'!$H$5:$H$92,"&gt;0")</f>
        <v>0</v>
      </c>
      <c r="F514" s="25">
        <f>SUMIFS('Daftar Koreksi'!$H$5:$H$92,'Daftar Koreksi'!$D$5:$D$92,'0500'!A510,'Daftar Koreksi'!$G$5:$G$92,"Tanah",'Daftar Koreksi'!$H$5:$H$92,"&lt;0")-SUMIFS('Daftar Koreksi'!$H$5:$H$92,'Daftar Koreksi'!$D$5:$D$92,'0500'!A510,'Daftar Koreksi'!$G$5:$G$92,"Tanah",'Daftar Koreksi'!$H$5:$H$92,"&lt;0")-SUMIFS('Daftar Koreksi'!$H$5:$H$92,'Daftar Koreksi'!$D$5:$D$92,'0500'!A510,'Daftar Koreksi'!$G$5:$G$92,"Tanah",'Daftar Koreksi'!$H$5:$H$92,"&lt;0")</f>
        <v>0</v>
      </c>
      <c r="G514" s="17">
        <f t="shared" ref="G514:G530" si="23">D514+E514-F514</f>
        <v>3377188000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20682031157</v>
      </c>
      <c r="E515" s="25">
        <f>SUMIFS('Daftar Koreksi'!$H$5:$H$92,'Daftar Koreksi'!$D$5:$D$92,'0500'!A510,'Daftar Koreksi'!$G$5:$G$92,"Peralatan dan mesin",'Daftar Koreksi'!$H$5:$H$92,"&gt;0")</f>
        <v>0</v>
      </c>
      <c r="F515" s="25">
        <f>SUMIFS('Daftar Koreksi'!$H$5:$H$92,'Daftar Koreksi'!$D$5:$D$92,'0500'!A510,'Daftar Koreksi'!$G$5:$G$92,"Peralatan dan mesin",'Daftar Koreksi'!$H$5:$H$92,"&lt;0")-SUMIFS('Daftar Koreksi'!$H$5:$H$92,'Daftar Koreksi'!$D$5:$D$92,'0500'!A510,'Daftar Koreksi'!$G$5:$G$92,"Peralatan dan mesin",'Daftar Koreksi'!$H$5:$H$92,"&lt;0")-SUMIFS('Daftar Koreksi'!$H$5:$H$92,'Daftar Koreksi'!$D$5:$D$92,'0500'!A510,'Daftar Koreksi'!$G$5:$G$92,"Peralatan dan mesin",'Daftar Koreksi'!$H$5:$H$92,"&lt;0")</f>
        <v>0</v>
      </c>
      <c r="G515" s="17">
        <f t="shared" si="23"/>
        <v>20682031157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8838313000</v>
      </c>
      <c r="E516" s="25">
        <f>SUMIFS('Daftar Koreksi'!$H$5:$H$92,'Daftar Koreksi'!$D$5:$D$92,'0500'!A510,'Daftar Koreksi'!$G$5:$G$92,"Gedung dan Bangunan",'Daftar Koreksi'!$H$5:$H$92,"&gt;0")</f>
        <v>0</v>
      </c>
      <c r="F516" s="25">
        <f>SUMIFS('Daftar Koreksi'!$H$5:$H$92,'Daftar Koreksi'!$D$5:$D$92,'0500'!A510,'Daftar Koreksi'!$G$5:$G$92,"Gedung dan Bangunan",'Daftar Koreksi'!$H$5:$H$92,"&lt;0")-SUMIFS('Daftar Koreksi'!$H$5:$H$92,'Daftar Koreksi'!$D$5:$D$92,'0500'!A510,'Daftar Koreksi'!$G$5:$G$92,"Gedung dan Bangunan",'Daftar Koreksi'!$H$5:$H$92,"&lt;0")-SUMIFS('Daftar Koreksi'!$H$5:$H$92,'Daftar Koreksi'!$D$5:$D$92,'0500'!A510,'Daftar Koreksi'!$G$5:$G$92,"Gedung dan Bangunan",'Daftar Koreksi'!$H$5:$H$92,"&lt;0")</f>
        <v>0</v>
      </c>
      <c r="G516" s="17">
        <f t="shared" si="23"/>
        <v>8838313000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4755000</v>
      </c>
      <c r="E517" s="25">
        <f>SUMIFS('Daftar Koreksi'!$H$5:$H$92,'Daftar Koreksi'!$D$5:$D$92,'0500'!A510,'Daftar Koreksi'!$G$5:$G$92,"Jalan Irigasi Jaringan",'Daftar Koreksi'!$H$5:$H$92,"&gt;0")</f>
        <v>0</v>
      </c>
      <c r="F517" s="25">
        <f>SUMIFS('Daftar Koreksi'!$H$5:$H$92,'Daftar Koreksi'!$D$5:$D$92,'0500'!A510,'Daftar Koreksi'!$G$5:$G$92,"Jalan Irigasi Jaringan",'Daftar Koreksi'!$H$5:$H$92,"&lt;0")-SUMIFS('Daftar Koreksi'!$H$5:$H$92,'Daftar Koreksi'!$D$5:$D$92,'0500'!A510,'Daftar Koreksi'!$G$5:$G$92,"Jalan Irigasi Jaringan",'Daftar Koreksi'!$H$5:$H$92,"&lt;0")-SUMIFS('Daftar Koreksi'!$H$5:$H$92,'Daftar Koreksi'!$D$5:$D$92,'0500'!A510,'Daftar Koreksi'!$G$5:$G$92,"Jalan Irigasi Jaringan",'Daftar Koreksi'!$H$5:$H$92,"&lt;0")</f>
        <v>0</v>
      </c>
      <c r="G517" s="17">
        <f t="shared" si="23"/>
        <v>4755000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6943440</v>
      </c>
      <c r="E518" s="25">
        <f>SUMIFS('Daftar Koreksi'!$H$5:$H$92,'Daftar Koreksi'!$D$5:$D$92,'0500'!A510,'Daftar Koreksi'!$G$5:$G$92,"Aset Tetap Lainnya",'Daftar Koreksi'!$H$5:$H$92,"&gt;0")</f>
        <v>4411622</v>
      </c>
      <c r="F518" s="25">
        <f>SUMIFS('Daftar Koreksi'!$H$5:$H$92,'Daftar Koreksi'!$D$5:$D$92,'0500'!A510,'Daftar Koreksi'!$G$5:$G$92,"Aset Tetap Lainnya",'Daftar Koreksi'!$H$5:$H$92,"&lt;0")-SUMIFS('Daftar Koreksi'!$H$5:$H$92,'Daftar Koreksi'!$D$5:$D$92,'0500'!A510,'Daftar Koreksi'!$G$5:$G$92,"Aset Tetap Lainnya",'Daftar Koreksi'!$H$5:$H$92,"&lt;0")-SUMIFS('Daftar Koreksi'!$H$5:$H$92,'Daftar Koreksi'!$D$5:$D$92,'0500'!A510,'Daftar Koreksi'!$G$5:$G$92,"Aset Tetap Lainnya",'Daftar Koreksi'!$H$5:$H$92,"&lt;0")</f>
        <v>0</v>
      </c>
      <c r="G518" s="17">
        <f t="shared" si="23"/>
        <v>11355062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Koreksi'!$D$5:$D$92,'0500'!A510,'Daftar Koreksi'!$G$5:$G$92,"Kontruksi Dalam Pengerjaan",'Daftar Koreksi'!$H$5:$H$92,"&gt;0")</f>
        <v>0</v>
      </c>
      <c r="F519" s="25">
        <f>SUMIFS('Daftar Koreksi'!$H$5:$H$92,'Daftar Koreksi'!$D$5:$D$92,'0500'!A510,'Daftar Koreksi'!$G$5:$G$92,"Kontruksi Dalam Pengerjaan",'Daftar Koreksi'!$H$5:$H$92,"&lt;0")-SUMIFS('Daftar Koreksi'!$H$5:$H$92,'Daftar Koreksi'!$D$5:$D$92,'0500'!A510,'Daftar Koreksi'!$G$5:$G$92,"Kontruksi Dalam Pengerjaan",'Daftar Koreksi'!$H$5:$H$92,"&lt;0")-SUMIFS('Daftar Koreksi'!$H$5:$H$92,'Daftar Koreksi'!$D$5:$D$92,'0500'!A510,'Daftar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38500000</v>
      </c>
      <c r="E520" s="25">
        <f>SUMIFS('Daftar Koreksi'!$H$5:$H$92,'Daftar Koreksi'!$D$5:$D$92,'0500'!A510,'Daftar Koreksi'!$G$5:$G$92,"Aset Tak Berwujud",'Daftar Koreksi'!$H$5:$H$92,"&gt;0")</f>
        <v>0</v>
      </c>
      <c r="F520" s="25">
        <f>SUMIFS('Daftar Koreksi'!$H$5:$H$92,'Daftar Koreksi'!$D$5:$D$92,'0500'!A510,'Daftar Koreksi'!$G$5:$G$92,"Aset Tak Berwujud",'Daftar Koreksi'!$H$5:$H$92,"&lt;0")-SUMIFS('Daftar Koreksi'!$H$5:$H$92,'Daftar Koreksi'!$D$5:$D$92,'0500'!A510,'Daftar Koreksi'!$G$5:$G$92,"Aset Tak Berwujud",'Daftar Koreksi'!$H$5:$H$92,"&lt;0")-SUMIFS('Daftar Koreksi'!$H$5:$H$92,'Daftar Koreksi'!$D$5:$D$92,'0500'!A510,'Daftar Koreksi'!$G$5:$G$92,"Aset Tak Berwujud",'Daftar Koreksi'!$H$5:$H$92,"&lt;0")</f>
        <v>0</v>
      </c>
      <c r="G520" s="17">
        <f t="shared" si="23"/>
        <v>38500000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250000</v>
      </c>
      <c r="E521" s="25">
        <f>SUMIFS('Daftar Koreksi'!$H$5:$H$92,'Daftar Koreksi'!$D$5:$D$92,'0500'!A510,'Daftar Koreksi'!$G$5:$G$92,"Aset Henti Guna",'Daftar Koreksi'!$H$5:$H$92,"&gt;0")</f>
        <v>0</v>
      </c>
      <c r="F521" s="25">
        <f>SUMIFS('Daftar Koreksi'!$H$5:$H$92,'Daftar Koreksi'!$D$5:$D$92,'0500'!A510,'Daftar Koreksi'!$G$5:$G$92,"Aset Henti Guna",'Daftar Koreksi'!$H$5:$H$92,"&lt;0")-SUMIFS('Daftar Koreksi'!$H$5:$H$92,'Daftar Koreksi'!$D$5:$D$92,'0500'!A510,'Daftar Koreksi'!$G$5:$G$92,"Aset Henti Guna",'Daftar Koreksi'!$H$5:$H$92,"&lt;0")-SUMIFS('Daftar Koreksi'!$H$5:$H$92,'Daftar Koreksi'!$D$5:$D$92,'0500'!A510,'Daftar Koreksi'!$G$5:$G$92,"Aset Henti Guna",'Daftar Koreksi'!$H$5:$H$92,"&lt;0")</f>
        <v>0</v>
      </c>
      <c r="G521" s="17">
        <f t="shared" si="23"/>
        <v>250000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32947980597</v>
      </c>
      <c r="E522" s="19">
        <f>SUM(E513:E521)</f>
        <v>4411622</v>
      </c>
      <c r="F522" s="19">
        <f>SUM(F513:F521)</f>
        <v>0</v>
      </c>
      <c r="G522" s="19">
        <f t="shared" si="23"/>
        <v>32952392219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-13458710784</v>
      </c>
      <c r="E523" s="25">
        <f>SUMIFS('Daftar Koreksi'!$I$5:$I$92,'Daftar Koreksi'!$D$5:$D$92,'0500'!A510,'Daftar Koreksi'!$G$5:$G$92,"Peralatan dan mesin",'Daftar Koreksi'!$I$5:$I$92,"&gt;0")</f>
        <v>0</v>
      </c>
      <c r="F523" s="25">
        <f>SUMIFS('Daftar Koreksi'!$I$5:$I$92,'Daftar Koreksi'!$D$5:$D$92,'0500'!A510,'Daftar Koreksi'!$G$5:$G$92,"Peralatan dan mesin",'Daftar Koreksi'!$I$5:$I$92,"&lt;0")-SUMIFS('Daftar Koreksi'!$I$5:$I$92,'Daftar Koreksi'!$D$5:$D$92,'0500'!A510,'Daftar Koreksi'!$G$5:$G$92,"Peralatan dan mesin",'Daftar Koreksi'!$I$5:$I$92,"&lt;0")-SUMIFS('Daftar Koreksi'!$I$5:$I$92,'Daftar Koreksi'!$D$5:$D$92,'0500'!A510,'Daftar Koreksi'!$G$5:$G$92,"Peralatan dan mesin",'Daftar Koreksi'!$I$5:$I$92,"&lt;0")</f>
        <v>0</v>
      </c>
      <c r="G523" s="17">
        <f t="shared" si="23"/>
        <v>-13458710784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-3613276408</v>
      </c>
      <c r="E524" s="25">
        <f>SUMIFS('Daftar Koreksi'!$I$5:$I$92,'Daftar Koreksi'!$D$5:$D$92,'0500'!A510,'Daftar Koreksi'!$G$5:$G$92,"Gedung dan Bangunan",'Daftar Koreksi'!$I$5:$I$92,"&gt;0")</f>
        <v>0</v>
      </c>
      <c r="F524" s="25">
        <f>SUMIFS('Daftar Koreksi'!$I$5:$I$92,'Daftar Koreksi'!$D$5:$D$92,'0500'!A510,'Daftar Koreksi'!$G$5:$G$92,"Gedung dan Bangunan",'Daftar Koreksi'!$I$5:$I$92,"&lt;0")-SUMIFS('Daftar Koreksi'!$I$5:$I$92,'Daftar Koreksi'!$D$5:$D$92,'0500'!A510,'Daftar Koreksi'!$G$5:$G$92,"Gedung dan Bangunan",'Daftar Koreksi'!$I$5:$I$92,"&lt;0")-SUMIFS('Daftar Koreksi'!$I$5:$I$92,'Daftar Koreksi'!$D$5:$D$92,'0500'!A510,'Daftar Koreksi'!$G$5:$G$92,"Gedung dan Bangunan",'Daftar Koreksi'!$I$5:$I$92,"&lt;0")</f>
        <v>0</v>
      </c>
      <c r="G524" s="17">
        <f t="shared" si="23"/>
        <v>-3613276408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-612525</v>
      </c>
      <c r="E525" s="25">
        <f>SUMIFS('Daftar Koreksi'!$I$5:$I$92,'Daftar Koreksi'!$D$5:$D$92,'0500'!A510,'Daftar Koreksi'!$G$5:$G$92,"Jalan Irigasi Jaringan",'Daftar Koreksi'!$I$5:$I$92,"&gt;0")</f>
        <v>0</v>
      </c>
      <c r="F525" s="25">
        <f>SUMIFS('Daftar Koreksi'!$I$5:$I$92,'Daftar Koreksi'!$D$5:$D$92,'0500'!A510,'Daftar Koreksi'!$G$5:$G$92,"Jalan Irigasi Jaringan",'Daftar Koreksi'!$I$5:$I$92,"&lt;0")-SUMIFS('Daftar Koreksi'!$I$5:$I$92,'Daftar Koreksi'!$D$5:$D$92,'0500'!A510,'Daftar Koreksi'!$G$5:$G$92,"Jalan Irigasi Jaringan",'Daftar Koreksi'!$I$5:$I$92,"&lt;0")-SUMIFS('Daftar Koreksi'!$I$5:$I$92,'Daftar Koreksi'!$D$5:$D$92,'0500'!A510,'Daftar Koreksi'!$G$5:$G$92,"Jalan Irigasi Jaringan",'Daftar Koreksi'!$I$5:$I$92,"&lt;0")</f>
        <v>0</v>
      </c>
      <c r="G525" s="17">
        <f t="shared" si="23"/>
        <v>-612525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Koreksi'!$D$5:$D$92,'0500'!A510,'Daftar Koreksi'!$G$5:$G$92,"Aset Tetap Lainnya",'Daftar Koreksi'!$I$5:$I$92,"&gt;0")</f>
        <v>0</v>
      </c>
      <c r="F526" s="25">
        <f>SUMIFS('Daftar Koreksi'!$I$5:$I$92,'Daftar Koreksi'!$D$5:$D$92,'0500'!A510,'Daftar Koreksi'!$G$5:$G$92,"Aset Tetap Lainnya",'Daftar Koreksi'!$I$5:$I$92,"&lt;0")-SUMIFS('Daftar Koreksi'!$I$5:$I$92,'Daftar Koreksi'!$D$5:$D$92,'0500'!A510,'Daftar Koreksi'!$G$5:$G$92,"Aset Tetap Lainnya",'Daftar Koreksi'!$I$5:$I$92,"&lt;0")-SUMIFS('Daftar Koreksi'!$I$5:$I$92,'Daftar Koreksi'!$D$5:$D$92,'0500'!A510,'Daftar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-250000</v>
      </c>
      <c r="E527" s="25">
        <f>SUMIFS('Daftar Koreksi'!$I$5:$I$92,'Daftar Koreksi'!$D$5:$D$92,'0500'!A510,'Daftar Koreksi'!$G$5:$G$92,"Aset Henti Guna",'Daftar Koreksi'!$I$5:$I$92,"&gt;0")</f>
        <v>0</v>
      </c>
      <c r="F527" s="25">
        <f>SUMIFS('Daftar Koreksi'!$I$5:$I$92,'Daftar Koreksi'!$D$5:$D$92,'0500'!A510,'Daftar Koreksi'!$G$5:$G$92,"Aset Henti Guna",'Daftar Koreksi'!$I$5:$I$92,"&lt;0")-SUMIFS('Daftar Koreksi'!$I$5:$I$92,'Daftar Koreksi'!$D$5:$D$92,'0500'!A510,'Daftar Koreksi'!$G$5:$G$92,"Aset Henti Guna",'Daftar Koreksi'!$I$5:$I$92,"&lt;0")-SUMIFS('Daftar Koreksi'!$I$5:$I$92,'Daftar Koreksi'!$D$5:$D$92,'0500'!A510,'Daftar Koreksi'!$G$5:$G$92,"Aset Henti Guna",'Daftar Koreksi'!$I$5:$I$92,"&lt;0")</f>
        <v>0</v>
      </c>
      <c r="G527" s="17">
        <f t="shared" si="23"/>
        <v>-250000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-17072849717</v>
      </c>
      <c r="E528" s="19">
        <f>SUM(E523:E527)</f>
        <v>0</v>
      </c>
      <c r="F528" s="19">
        <f>SUM(F523:F527)</f>
        <v>0</v>
      </c>
      <c r="G528" s="19">
        <f t="shared" si="23"/>
        <v>-17072849717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15875130880</v>
      </c>
      <c r="E529" s="19">
        <f>E528+E522</f>
        <v>4411622</v>
      </c>
      <c r="F529" s="19">
        <f>F528+F522</f>
        <v>0</v>
      </c>
      <c r="G529" s="19">
        <f t="shared" si="23"/>
        <v>15879542502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005010500098345000KD</v>
      </c>
      <c r="B532" s="11" t="str">
        <f>P25</f>
        <v>PN. Madiun</v>
      </c>
      <c r="C532" s="12" t="str">
        <f>A532&amp;" "&amp;B532</f>
        <v>005010500098345000KD PN. Madiun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2304950</v>
      </c>
      <c r="E535" s="25">
        <f>SUMIFS('Daftar Koreksi'!$H$5:$H$92,'Daftar Koreksi'!$D$5:$D$92,'0500'!A532,'Daftar Koreksi'!$G$5:$G$92,"Persediaan",'Daftar Koreksi'!$H$5:$H$92,"&gt;0")</f>
        <v>0</v>
      </c>
      <c r="F535" s="25">
        <f>SUMIFS('Daftar Koreksi'!$H$5:$H$92,'Daftar Koreksi'!$D$5:$D$92,'0500'!A532,'Daftar Koreksi'!$G$5:$G$92,"Persediaan",'Daftar Koreksi'!$H$5:$H$92,"&lt;0")-SUMIFS('Daftar Koreksi'!$H$5:$H$92,'Daftar Koreksi'!$D$5:$D$92,'0500'!A532,'Daftar Koreksi'!$G$5:$G$92,"Persediaan",'Daftar Koreksi'!$H$5:$H$92,"&lt;0")-SUMIFS('Daftar Koreksi'!$H$5:$H$92,'Daftar Koreksi'!$D$5:$D$92,'0500'!A532,'Daftar Koreksi'!$G$5:$G$92,"Persediaan",'Daftar Koreksi'!$H$5:$H$92,"&lt;0")</f>
        <v>0</v>
      </c>
      <c r="G535" s="17">
        <f>D535+E535-F535</f>
        <v>2304950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6117795000</v>
      </c>
      <c r="E536" s="25">
        <f>SUMIFS('Daftar Koreksi'!$H$5:$H$92,'Daftar Koreksi'!$D$5:$D$92,'0500'!A532,'Daftar Koreksi'!$G$5:$G$92,"Tanah",'Daftar Koreksi'!$H$5:$H$92,"&gt;0")</f>
        <v>0</v>
      </c>
      <c r="F536" s="25">
        <f>SUMIFS('Daftar Koreksi'!$H$5:$H$92,'Daftar Koreksi'!$D$5:$D$92,'0500'!A532,'Daftar Koreksi'!$G$5:$G$92,"Tanah",'Daftar Koreksi'!$H$5:$H$92,"&lt;0")-SUMIFS('Daftar Koreksi'!$H$5:$H$92,'Daftar Koreksi'!$D$5:$D$92,'0500'!A532,'Daftar Koreksi'!$G$5:$G$92,"Tanah",'Daftar Koreksi'!$H$5:$H$92,"&lt;0")-SUMIFS('Daftar Koreksi'!$H$5:$H$92,'Daftar Koreksi'!$D$5:$D$92,'0500'!A532,'Daftar Koreksi'!$G$5:$G$92,"Tanah",'Daftar Koreksi'!$H$5:$H$92,"&lt;0")</f>
        <v>0</v>
      </c>
      <c r="G536" s="17">
        <f t="shared" ref="G536:G552" si="24">D536+E536-F536</f>
        <v>6117795000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1709016365</v>
      </c>
      <c r="E537" s="25">
        <f>SUMIFS('Daftar Koreksi'!$H$5:$H$92,'Daftar Koreksi'!$D$5:$D$92,'0500'!A532,'Daftar Koreksi'!$G$5:$G$92,"Peralatan dan mesin",'Daftar Koreksi'!$H$5:$H$92,"&gt;0")</f>
        <v>0</v>
      </c>
      <c r="F537" s="25">
        <f>SUMIFS('Daftar Koreksi'!$H$5:$H$92,'Daftar Koreksi'!$D$5:$D$92,'0500'!A532,'Daftar Koreksi'!$G$5:$G$92,"Peralatan dan mesin",'Daftar Koreksi'!$H$5:$H$92,"&lt;0")-SUMIFS('Daftar Koreksi'!$H$5:$H$92,'Daftar Koreksi'!$D$5:$D$92,'0500'!A532,'Daftar Koreksi'!$G$5:$G$92,"Peralatan dan mesin",'Daftar Koreksi'!$H$5:$H$92,"&lt;0")-SUMIFS('Daftar Koreksi'!$H$5:$H$92,'Daftar Koreksi'!$D$5:$D$92,'0500'!A532,'Daftar Koreksi'!$G$5:$G$92,"Peralatan dan mesin",'Daftar Koreksi'!$H$5:$H$92,"&lt;0")</f>
        <v>0</v>
      </c>
      <c r="G537" s="17">
        <f t="shared" si="24"/>
        <v>1709016365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7661245448</v>
      </c>
      <c r="E538" s="25">
        <f>SUMIFS('Daftar Koreksi'!$H$5:$H$92,'Daftar Koreksi'!$D$5:$D$92,'0500'!A532,'Daftar Koreksi'!$G$5:$G$92,"Gedung dan Bangunan",'Daftar Koreksi'!$H$5:$H$92,"&gt;0")</f>
        <v>0</v>
      </c>
      <c r="F538" s="25">
        <f>SUMIFS('Daftar Koreksi'!$H$5:$H$92,'Daftar Koreksi'!$D$5:$D$92,'0500'!A532,'Daftar Koreksi'!$G$5:$G$92,"Gedung dan Bangunan",'Daftar Koreksi'!$H$5:$H$92,"&lt;0")-SUMIFS('Daftar Koreksi'!$H$5:$H$92,'Daftar Koreksi'!$D$5:$D$92,'0500'!A532,'Daftar Koreksi'!$G$5:$G$92,"Gedung dan Bangunan",'Daftar Koreksi'!$H$5:$H$92,"&lt;0")-SUMIFS('Daftar Koreksi'!$H$5:$H$92,'Daftar Koreksi'!$D$5:$D$92,'0500'!A532,'Daftar Koreksi'!$G$5:$G$92,"Gedung dan Bangunan",'Daftar Koreksi'!$H$5:$H$92,"&lt;0")</f>
        <v>0</v>
      </c>
      <c r="G538" s="17">
        <f t="shared" si="24"/>
        <v>7661245448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0</v>
      </c>
      <c r="E539" s="25">
        <f>SUMIFS('Daftar Koreksi'!$H$5:$H$92,'Daftar Koreksi'!$D$5:$D$92,'0500'!A532,'Daftar Koreksi'!$G$5:$G$92,"Jalan Irigasi Jaringan",'Daftar Koreksi'!$H$5:$H$92,"&gt;0")</f>
        <v>0</v>
      </c>
      <c r="F539" s="25">
        <f>SUMIFS('Daftar Koreksi'!$H$5:$H$92,'Daftar Koreksi'!$D$5:$D$92,'0500'!A532,'Daftar Koreksi'!$G$5:$G$92,"Jalan Irigasi Jaringan",'Daftar Koreksi'!$H$5:$H$92,"&lt;0")-SUMIFS('Daftar Koreksi'!$H$5:$H$92,'Daftar Koreksi'!$D$5:$D$92,'0500'!A532,'Daftar Koreksi'!$G$5:$G$92,"Jalan Irigasi Jaringan",'Daftar Koreksi'!$H$5:$H$92,"&lt;0")-SUMIFS('Daftar Koreksi'!$H$5:$H$92,'Daftar Koreksi'!$D$5:$D$92,'0500'!A532,'Daftar Koreksi'!$G$5:$G$92,"Jalan Irigasi Jaringan",'Daftar Koreksi'!$H$5:$H$92,"&lt;0")</f>
        <v>0</v>
      </c>
      <c r="G539" s="17">
        <f t="shared" si="24"/>
        <v>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6355062</v>
      </c>
      <c r="E540" s="25">
        <f>SUMIFS('Daftar Koreksi'!$H$5:$H$92,'Daftar Koreksi'!$D$5:$D$92,'0500'!A532,'Daftar Koreksi'!$G$5:$G$92,"Aset Tetap Lainnya",'Daftar Koreksi'!$H$5:$H$92,"&gt;0")</f>
        <v>0</v>
      </c>
      <c r="F540" s="25">
        <f>SUMIFS('Daftar Koreksi'!$H$5:$H$92,'Daftar Koreksi'!$D$5:$D$92,'0500'!A532,'Daftar Koreksi'!$G$5:$G$92,"Aset Tetap Lainnya",'Daftar Koreksi'!$H$5:$H$92,"&lt;0")-SUMIFS('Daftar Koreksi'!$H$5:$H$92,'Daftar Koreksi'!$D$5:$D$92,'0500'!A532,'Daftar Koreksi'!$G$5:$G$92,"Aset Tetap Lainnya",'Daftar Koreksi'!$H$5:$H$92,"&lt;0")-SUMIFS('Daftar Koreksi'!$H$5:$H$92,'Daftar Koreksi'!$D$5:$D$92,'0500'!A532,'Daftar Koreksi'!$G$5:$G$92,"Aset Tetap Lainnya",'Daftar Koreksi'!$H$5:$H$92,"&lt;0")</f>
        <v>0</v>
      </c>
      <c r="G540" s="17">
        <f t="shared" si="24"/>
        <v>6355062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Koreksi'!$D$5:$D$92,'0500'!A532,'Daftar Koreksi'!$G$5:$G$92,"Kontruksi Dalam Pengerjaan",'Daftar Koreksi'!$H$5:$H$92,"&gt;0")</f>
        <v>0</v>
      </c>
      <c r="F541" s="25">
        <f>SUMIFS('Daftar Koreksi'!$H$5:$H$92,'Daftar Koreksi'!$D$5:$D$92,'0500'!A532,'Daftar Koreksi'!$G$5:$G$92,"Kontruksi Dalam Pengerjaan",'Daftar Koreksi'!$H$5:$H$92,"&lt;0")-SUMIFS('Daftar Koreksi'!$H$5:$H$92,'Daftar Koreksi'!$D$5:$D$92,'0500'!A532,'Daftar Koreksi'!$G$5:$G$92,"Kontruksi Dalam Pengerjaan",'Daftar Koreksi'!$H$5:$H$92,"&lt;0")-SUMIFS('Daftar Koreksi'!$H$5:$H$92,'Daftar Koreksi'!$D$5:$D$92,'0500'!A532,'Daftar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Koreksi'!$D$5:$D$92,'0500'!A532,'Daftar Koreksi'!$G$5:$G$92,"Aset Tak Berwujud",'Daftar Koreksi'!$H$5:$H$92,"&gt;0")</f>
        <v>0</v>
      </c>
      <c r="F542" s="25">
        <f>SUMIFS('Daftar Koreksi'!$H$5:$H$92,'Daftar Koreksi'!$D$5:$D$92,'0500'!A532,'Daftar Koreksi'!$G$5:$G$92,"Aset Tak Berwujud",'Daftar Koreksi'!$H$5:$H$92,"&lt;0")-SUMIFS('Daftar Koreksi'!$H$5:$H$92,'Daftar Koreksi'!$D$5:$D$92,'0500'!A532,'Daftar Koreksi'!$G$5:$G$92,"Aset Tak Berwujud",'Daftar Koreksi'!$H$5:$H$92,"&lt;0")-SUMIFS('Daftar Koreksi'!$H$5:$H$92,'Daftar Koreksi'!$D$5:$D$92,'0500'!A532,'Daftar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0</v>
      </c>
      <c r="E543" s="25">
        <f>SUMIFS('Daftar Koreksi'!$H$5:$H$92,'Daftar Koreksi'!$D$5:$D$92,'0500'!A532,'Daftar Koreksi'!$G$5:$G$92,"Aset Henti Guna",'Daftar Koreksi'!$H$5:$H$92,"&gt;0")</f>
        <v>0</v>
      </c>
      <c r="F543" s="25">
        <f>SUMIFS('Daftar Koreksi'!$H$5:$H$92,'Daftar Koreksi'!$D$5:$D$92,'0500'!A532,'Daftar Koreksi'!$G$5:$G$92,"Aset Henti Guna",'Daftar Koreksi'!$H$5:$H$92,"&lt;0")-SUMIFS('Daftar Koreksi'!$H$5:$H$92,'Daftar Koreksi'!$D$5:$D$92,'0500'!A532,'Daftar Koreksi'!$G$5:$G$92,"Aset Henti Guna",'Daftar Koreksi'!$H$5:$H$92,"&lt;0")-SUMIFS('Daftar Koreksi'!$H$5:$H$92,'Daftar Koreksi'!$D$5:$D$92,'0500'!A532,'Daftar Koreksi'!$G$5:$G$92,"Aset Henti Guna",'Daftar Koreksi'!$H$5:$H$92,"&lt;0")</f>
        <v>0</v>
      </c>
      <c r="G543" s="17">
        <f t="shared" si="24"/>
        <v>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15496716825</v>
      </c>
      <c r="E544" s="19">
        <f>SUM(E535:E543)</f>
        <v>0</v>
      </c>
      <c r="F544" s="19">
        <f>SUM(F535:F543)</f>
        <v>0</v>
      </c>
      <c r="G544" s="19">
        <f t="shared" si="24"/>
        <v>15496716825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-1418203938</v>
      </c>
      <c r="E545" s="25">
        <f>SUMIFS('Daftar Koreksi'!$I$5:$I$92,'Daftar Koreksi'!$D$5:$D$92,'0500'!A532,'Daftar Koreksi'!$G$5:$G$92,"Peralatan dan mesin",'Daftar Koreksi'!$I$5:$I$92,"&gt;0")</f>
        <v>0</v>
      </c>
      <c r="F545" s="25">
        <f>SUMIFS('Daftar Koreksi'!$I$5:$I$92,'Daftar Koreksi'!$D$5:$D$92,'0500'!A532,'Daftar Koreksi'!$G$5:$G$92,"Peralatan dan mesin",'Daftar Koreksi'!$I$5:$I$92,"&lt;0")-SUMIFS('Daftar Koreksi'!$I$5:$I$92,'Daftar Koreksi'!$D$5:$D$92,'0500'!A532,'Daftar Koreksi'!$G$5:$G$92,"Peralatan dan mesin",'Daftar Koreksi'!$I$5:$I$92,"&lt;0")-SUMIFS('Daftar Koreksi'!$I$5:$I$92,'Daftar Koreksi'!$D$5:$D$92,'0500'!A532,'Daftar Koreksi'!$G$5:$G$92,"Peralatan dan mesin",'Daftar Koreksi'!$I$5:$I$92,"&lt;0")</f>
        <v>0</v>
      </c>
      <c r="G545" s="17">
        <f t="shared" si="24"/>
        <v>-1418203938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-6556882771</v>
      </c>
      <c r="E546" s="25">
        <f>SUMIFS('Daftar Koreksi'!$I$5:$I$92,'Daftar Koreksi'!$D$5:$D$92,'0500'!A532,'Daftar Koreksi'!$G$5:$G$92,"Gedung dan Bangunan",'Daftar Koreksi'!$I$5:$I$92,"&gt;0")</f>
        <v>0</v>
      </c>
      <c r="F546" s="25">
        <f>SUMIFS('Daftar Koreksi'!$I$5:$I$92,'Daftar Koreksi'!$D$5:$D$92,'0500'!A532,'Daftar Koreksi'!$G$5:$G$92,"Gedung dan Bangunan",'Daftar Koreksi'!$I$5:$I$92,"&lt;0")-SUMIFS('Daftar Koreksi'!$I$5:$I$92,'Daftar Koreksi'!$D$5:$D$92,'0500'!A532,'Daftar Koreksi'!$G$5:$G$92,"Gedung dan Bangunan",'Daftar Koreksi'!$I$5:$I$92,"&lt;0")-SUMIFS('Daftar Koreksi'!$I$5:$I$92,'Daftar Koreksi'!$D$5:$D$92,'0500'!A532,'Daftar Koreksi'!$G$5:$G$92,"Gedung dan Bangunan",'Daftar Koreksi'!$I$5:$I$92,"&lt;0")</f>
        <v>0</v>
      </c>
      <c r="G546" s="17">
        <f t="shared" si="24"/>
        <v>-6556882771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0</v>
      </c>
      <c r="E547" s="25">
        <f>SUMIFS('Daftar Koreksi'!$I$5:$I$92,'Daftar Koreksi'!$D$5:$D$92,'0500'!A532,'Daftar Koreksi'!$G$5:$G$92,"Jalan Irigasi Jaringan",'Daftar Koreksi'!$I$5:$I$92,"&gt;0")</f>
        <v>0</v>
      </c>
      <c r="F547" s="25">
        <f>SUMIFS('Daftar Koreksi'!$I$5:$I$92,'Daftar Koreksi'!$D$5:$D$92,'0500'!A532,'Daftar Koreksi'!$G$5:$G$92,"Jalan Irigasi Jaringan",'Daftar Koreksi'!$I$5:$I$92,"&lt;0")-SUMIFS('Daftar Koreksi'!$I$5:$I$92,'Daftar Koreksi'!$D$5:$D$92,'0500'!A532,'Daftar Koreksi'!$G$5:$G$92,"Jalan Irigasi Jaringan",'Daftar Koreksi'!$I$5:$I$92,"&lt;0")-SUMIFS('Daftar Koreksi'!$I$5:$I$92,'Daftar Koreksi'!$D$5:$D$92,'0500'!A532,'Daftar Koreksi'!$G$5:$G$92,"Jalan Irigasi Jaringan",'Daftar Koreksi'!$I$5:$I$92,"&lt;0")</f>
        <v>0</v>
      </c>
      <c r="G547" s="17">
        <f t="shared" si="24"/>
        <v>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Koreksi'!$D$5:$D$92,'0500'!A532,'Daftar Koreksi'!$G$5:$G$92,"Aset Tetap Lainnya",'Daftar Koreksi'!$I$5:$I$92,"&gt;0")</f>
        <v>0</v>
      </c>
      <c r="F548" s="25">
        <f>SUMIFS('Daftar Koreksi'!$I$5:$I$92,'Daftar Koreksi'!$D$5:$D$92,'0500'!A532,'Daftar Koreksi'!$G$5:$G$92,"Aset Tetap Lainnya",'Daftar Koreksi'!$I$5:$I$92,"&lt;0")-SUMIFS('Daftar Koreksi'!$I$5:$I$92,'Daftar Koreksi'!$D$5:$D$92,'0500'!A532,'Daftar Koreksi'!$G$5:$G$92,"Aset Tetap Lainnya",'Daftar Koreksi'!$I$5:$I$92,"&lt;0")-SUMIFS('Daftar Koreksi'!$I$5:$I$92,'Daftar Koreksi'!$D$5:$D$92,'0500'!A532,'Daftar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0</v>
      </c>
      <c r="E549" s="25">
        <f>SUMIFS('Daftar Koreksi'!$I$5:$I$92,'Daftar Koreksi'!$D$5:$D$92,'0500'!A532,'Daftar Koreksi'!$G$5:$G$92,"Aset Henti Guna",'Daftar Koreksi'!$I$5:$I$92,"&gt;0")</f>
        <v>0</v>
      </c>
      <c r="F549" s="25">
        <f>SUMIFS('Daftar Koreksi'!$I$5:$I$92,'Daftar Koreksi'!$D$5:$D$92,'0500'!A532,'Daftar Koreksi'!$G$5:$G$92,"Aset Henti Guna",'Daftar Koreksi'!$I$5:$I$92,"&lt;0")-SUMIFS('Daftar Koreksi'!$I$5:$I$92,'Daftar Koreksi'!$D$5:$D$92,'0500'!A532,'Daftar Koreksi'!$G$5:$G$92,"Aset Henti Guna",'Daftar Koreksi'!$I$5:$I$92,"&lt;0")-SUMIFS('Daftar Koreksi'!$I$5:$I$92,'Daftar Koreksi'!$D$5:$D$92,'0500'!A532,'Daftar Koreksi'!$G$5:$G$92,"Aset Henti Guna",'Daftar Koreksi'!$I$5:$I$92,"&lt;0")</f>
        <v>0</v>
      </c>
      <c r="G549" s="17">
        <f t="shared" si="24"/>
        <v>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-7975086709</v>
      </c>
      <c r="E550" s="19">
        <f>SUM(E545:E549)</f>
        <v>0</v>
      </c>
      <c r="F550" s="19">
        <f>SUM(F545:F549)</f>
        <v>0</v>
      </c>
      <c r="G550" s="19">
        <f t="shared" si="24"/>
        <v>-7975086709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7521630116</v>
      </c>
      <c r="E551" s="19">
        <f>E550+E544</f>
        <v>0</v>
      </c>
      <c r="F551" s="19">
        <f>F550+F544</f>
        <v>0</v>
      </c>
      <c r="G551" s="19">
        <f t="shared" si="24"/>
        <v>7521630116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005010500098352000KD</v>
      </c>
      <c r="B554" s="11" t="str">
        <f>P26</f>
        <v>PN. Ponorogo</v>
      </c>
      <c r="C554" s="12" t="str">
        <f>A554&amp;" "&amp;B554</f>
        <v>005010500098352000KD PN. Ponorogo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275000</v>
      </c>
      <c r="E557" s="25">
        <f>SUMIFS('Daftar Koreksi'!$H$5:$H$92,'Daftar Koreksi'!$D$5:$D$92,'0500'!A554,'Daftar Koreksi'!$G$5:$G$92,"Persediaan",'Daftar Koreksi'!$H$5:$H$92,"&gt;0")</f>
        <v>0</v>
      </c>
      <c r="F557" s="25">
        <f>SUMIFS('Daftar Koreksi'!$H$5:$H$92,'Daftar Koreksi'!$D$5:$D$92,'0500'!A554,'Daftar Koreksi'!$G$5:$G$92,"Persediaan",'Daftar Koreksi'!$H$5:$H$92,"&lt;0")-SUMIFS('Daftar Koreksi'!$H$5:$H$92,'Daftar Koreksi'!$D$5:$D$92,'0500'!A554,'Daftar Koreksi'!$G$5:$G$92,"Persediaan",'Daftar Koreksi'!$H$5:$H$92,"&lt;0")-SUMIFS('Daftar Koreksi'!$H$5:$H$92,'Daftar Koreksi'!$D$5:$D$92,'0500'!A554,'Daftar Koreksi'!$G$5:$G$92,"Persediaan",'Daftar Koreksi'!$H$5:$H$92,"&lt;0")</f>
        <v>0</v>
      </c>
      <c r="G557" s="17">
        <f>D557+E557-F557</f>
        <v>275000</v>
      </c>
      <c r="H557" s="121" t="str">
        <f>IF(ISNA(VLOOKUP(A554,'Mutasi Neraca'!$A$3:$S$914,19,FALSE)),"-",VLOOKUP(A554,'Mutasi Neraca'!$A$3:$S$914,19,FALSE))</f>
        <v>TP. No 3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11580590005</v>
      </c>
      <c r="E558" s="25">
        <f>SUMIFS('Daftar Koreksi'!$H$5:$H$92,'Daftar Koreksi'!$D$5:$D$92,'0500'!A554,'Daftar Koreksi'!$G$5:$G$92,"Tanah",'Daftar Koreksi'!$H$5:$H$92,"&gt;0")</f>
        <v>0</v>
      </c>
      <c r="F558" s="25">
        <f>SUMIFS('Daftar Koreksi'!$H$5:$H$92,'Daftar Koreksi'!$D$5:$D$92,'0500'!A554,'Daftar Koreksi'!$G$5:$G$92,"Tanah",'Daftar Koreksi'!$H$5:$H$92,"&lt;0")-SUMIFS('Daftar Koreksi'!$H$5:$H$92,'Daftar Koreksi'!$D$5:$D$92,'0500'!A554,'Daftar Koreksi'!$G$5:$G$92,"Tanah",'Daftar Koreksi'!$H$5:$H$92,"&lt;0")-SUMIFS('Daftar Koreksi'!$H$5:$H$92,'Daftar Koreksi'!$D$5:$D$92,'0500'!A554,'Daftar Koreksi'!$G$5:$G$92,"Tanah",'Daftar Koreksi'!$H$5:$H$92,"&lt;0")</f>
        <v>0</v>
      </c>
      <c r="G558" s="17">
        <f t="shared" ref="G558:G574" si="25">D558+E558-F558</f>
        <v>11580590005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1800965537</v>
      </c>
      <c r="E559" s="25">
        <f>SUMIFS('Daftar Koreksi'!$H$5:$H$92,'Daftar Koreksi'!$D$5:$D$92,'0500'!A554,'Daftar Koreksi'!$G$5:$G$92,"Peralatan dan mesin",'Daftar Koreksi'!$H$5:$H$92,"&gt;0")</f>
        <v>0</v>
      </c>
      <c r="F559" s="25">
        <f>SUMIFS('Daftar Koreksi'!$H$5:$H$92,'Daftar Koreksi'!$D$5:$D$92,'0500'!A554,'Daftar Koreksi'!$G$5:$G$92,"Peralatan dan mesin",'Daftar Koreksi'!$H$5:$H$92,"&lt;0")-SUMIFS('Daftar Koreksi'!$H$5:$H$92,'Daftar Koreksi'!$D$5:$D$92,'0500'!A554,'Daftar Koreksi'!$G$5:$G$92,"Peralatan dan mesin",'Daftar Koreksi'!$H$5:$H$92,"&lt;0")-SUMIFS('Daftar Koreksi'!$H$5:$H$92,'Daftar Koreksi'!$D$5:$D$92,'0500'!A554,'Daftar Koreksi'!$G$5:$G$92,"Peralatan dan mesin",'Daftar Koreksi'!$H$5:$H$92,"&lt;0")</f>
        <v>0</v>
      </c>
      <c r="G559" s="17">
        <f t="shared" si="25"/>
        <v>1800965537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4017720300</v>
      </c>
      <c r="E560" s="25">
        <f>SUMIFS('Daftar Koreksi'!$H$5:$H$92,'Daftar Koreksi'!$D$5:$D$92,'0500'!A554,'Daftar Koreksi'!$G$5:$G$92,"Gedung dan Bangunan",'Daftar Koreksi'!$H$5:$H$92,"&gt;0")</f>
        <v>0</v>
      </c>
      <c r="F560" s="25">
        <f>SUMIFS('Daftar Koreksi'!$H$5:$H$92,'Daftar Koreksi'!$D$5:$D$92,'0500'!A554,'Daftar Koreksi'!$G$5:$G$92,"Gedung dan Bangunan",'Daftar Koreksi'!$H$5:$H$92,"&lt;0")-SUMIFS('Daftar Koreksi'!$H$5:$H$92,'Daftar Koreksi'!$D$5:$D$92,'0500'!A554,'Daftar Koreksi'!$G$5:$G$92,"Gedung dan Bangunan",'Daftar Koreksi'!$H$5:$H$92,"&lt;0")-SUMIFS('Daftar Koreksi'!$H$5:$H$92,'Daftar Koreksi'!$D$5:$D$92,'0500'!A554,'Daftar Koreksi'!$G$5:$G$92,"Gedung dan Bangunan",'Daftar Koreksi'!$H$5:$H$92,"&lt;0")</f>
        <v>0</v>
      </c>
      <c r="G560" s="17">
        <f t="shared" si="25"/>
        <v>4017720300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0</v>
      </c>
      <c r="E561" s="25">
        <f>SUMIFS('Daftar Koreksi'!$H$5:$H$92,'Daftar Koreksi'!$D$5:$D$92,'0500'!A554,'Daftar Koreksi'!$G$5:$G$92,"Jalan Irigasi Jaringan",'Daftar Koreksi'!$H$5:$H$92,"&gt;0")</f>
        <v>0</v>
      </c>
      <c r="F561" s="25">
        <f>SUMIFS('Daftar Koreksi'!$H$5:$H$92,'Daftar Koreksi'!$D$5:$D$92,'0500'!A554,'Daftar Koreksi'!$G$5:$G$92,"Jalan Irigasi Jaringan",'Daftar Koreksi'!$H$5:$H$92,"&lt;0")-SUMIFS('Daftar Koreksi'!$H$5:$H$92,'Daftar Koreksi'!$D$5:$D$92,'0500'!A554,'Daftar Koreksi'!$G$5:$G$92,"Jalan Irigasi Jaringan",'Daftar Koreksi'!$H$5:$H$92,"&lt;0")-SUMIFS('Daftar Koreksi'!$H$5:$H$92,'Daftar Koreksi'!$D$5:$D$92,'0500'!A554,'Daftar Koreksi'!$G$5:$G$92,"Jalan Irigasi Jaringan",'Daftar Koreksi'!$H$5:$H$92,"&lt;0")</f>
        <v>0</v>
      </c>
      <c r="G561" s="17">
        <f t="shared" si="25"/>
        <v>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2093440</v>
      </c>
      <c r="E562" s="25">
        <f>SUMIFS('Daftar Koreksi'!$H$5:$H$92,'Daftar Koreksi'!$D$5:$D$92,'0500'!A554,'Daftar Koreksi'!$G$5:$G$92,"Aset Tetap Lainnya",'Daftar Koreksi'!$H$5:$H$92,"&gt;0")</f>
        <v>4411622</v>
      </c>
      <c r="F562" s="25">
        <f>SUMIFS('Daftar Koreksi'!$H$5:$H$92,'Daftar Koreksi'!$D$5:$D$92,'0500'!A554,'Daftar Koreksi'!$G$5:$G$92,"Aset Tetap Lainnya",'Daftar Koreksi'!$H$5:$H$92,"&lt;0")-SUMIFS('Daftar Koreksi'!$H$5:$H$92,'Daftar Koreksi'!$D$5:$D$92,'0500'!A554,'Daftar Koreksi'!$G$5:$G$92,"Aset Tetap Lainnya",'Daftar Koreksi'!$H$5:$H$92,"&lt;0")-SUMIFS('Daftar Koreksi'!$H$5:$H$92,'Daftar Koreksi'!$D$5:$D$92,'0500'!A554,'Daftar Koreksi'!$G$5:$G$92,"Aset Tetap Lainnya",'Daftar Koreksi'!$H$5:$H$92,"&lt;0")</f>
        <v>0</v>
      </c>
      <c r="G562" s="17">
        <f t="shared" si="25"/>
        <v>6505062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Koreksi'!$D$5:$D$92,'0500'!A554,'Daftar Koreksi'!$G$5:$G$92,"Kontruksi Dalam Pengerjaan",'Daftar Koreksi'!$H$5:$H$92,"&gt;0")</f>
        <v>0</v>
      </c>
      <c r="F563" s="25">
        <f>SUMIFS('Daftar Koreksi'!$H$5:$H$92,'Daftar Koreksi'!$D$5:$D$92,'0500'!A554,'Daftar Koreksi'!$G$5:$G$92,"Kontruksi Dalam Pengerjaan",'Daftar Koreksi'!$H$5:$H$92,"&lt;0")-SUMIFS('Daftar Koreksi'!$H$5:$H$92,'Daftar Koreksi'!$D$5:$D$92,'0500'!A554,'Daftar Koreksi'!$G$5:$G$92,"Kontruksi Dalam Pengerjaan",'Daftar Koreksi'!$H$5:$H$92,"&lt;0")-SUMIFS('Daftar Koreksi'!$H$5:$H$92,'Daftar Koreksi'!$D$5:$D$92,'0500'!A554,'Daftar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Koreksi'!$D$5:$D$92,'0500'!A554,'Daftar Koreksi'!$G$5:$G$92,"Aset Tak Berwujud",'Daftar Koreksi'!$H$5:$H$92,"&gt;0")</f>
        <v>0</v>
      </c>
      <c r="F564" s="25">
        <f>SUMIFS('Daftar Koreksi'!$H$5:$H$92,'Daftar Koreksi'!$D$5:$D$92,'0500'!A554,'Daftar Koreksi'!$G$5:$G$92,"Aset Tak Berwujud",'Daftar Koreksi'!$H$5:$H$92,"&lt;0")-SUMIFS('Daftar Koreksi'!$H$5:$H$92,'Daftar Koreksi'!$D$5:$D$92,'0500'!A554,'Daftar Koreksi'!$G$5:$G$92,"Aset Tak Berwujud",'Daftar Koreksi'!$H$5:$H$92,"&lt;0")-SUMIFS('Daftar Koreksi'!$H$5:$H$92,'Daftar Koreksi'!$D$5:$D$92,'0500'!A554,'Daftar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446000</v>
      </c>
      <c r="E565" s="25">
        <f>SUMIFS('Daftar Koreksi'!$H$5:$H$92,'Daftar Koreksi'!$D$5:$D$92,'0500'!A554,'Daftar Koreksi'!$G$5:$G$92,"Aset Henti Guna",'Daftar Koreksi'!$H$5:$H$92,"&gt;0")</f>
        <v>0</v>
      </c>
      <c r="F565" s="25">
        <f>SUMIFS('Daftar Koreksi'!$H$5:$H$92,'Daftar Koreksi'!$D$5:$D$92,'0500'!A554,'Daftar Koreksi'!$G$5:$G$92,"Aset Henti Guna",'Daftar Koreksi'!$H$5:$H$92,"&lt;0")-SUMIFS('Daftar Koreksi'!$H$5:$H$92,'Daftar Koreksi'!$D$5:$D$92,'0500'!A554,'Daftar Koreksi'!$G$5:$G$92,"Aset Henti Guna",'Daftar Koreksi'!$H$5:$H$92,"&lt;0")-SUMIFS('Daftar Koreksi'!$H$5:$H$92,'Daftar Koreksi'!$D$5:$D$92,'0500'!A554,'Daftar Koreksi'!$G$5:$G$92,"Aset Henti Guna",'Daftar Koreksi'!$H$5:$H$92,"&lt;0")</f>
        <v>0</v>
      </c>
      <c r="G565" s="17">
        <f t="shared" si="25"/>
        <v>446000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17402090282</v>
      </c>
      <c r="E566" s="19">
        <f>SUM(E557:E565)</f>
        <v>4411622</v>
      </c>
      <c r="F566" s="19">
        <f>SUM(F557:F565)</f>
        <v>0</v>
      </c>
      <c r="G566" s="19">
        <f t="shared" si="25"/>
        <v>17406501904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-1666772839</v>
      </c>
      <c r="E567" s="25">
        <f>SUMIFS('Daftar Koreksi'!$I$5:$I$92,'Daftar Koreksi'!$D$5:$D$92,'0500'!A554,'Daftar Koreksi'!$G$5:$G$92,"Peralatan dan mesin",'Daftar Koreksi'!$I$5:$I$92,"&gt;0")</f>
        <v>0</v>
      </c>
      <c r="F567" s="25">
        <f>SUMIFS('Daftar Koreksi'!$I$5:$I$92,'Daftar Koreksi'!$D$5:$D$92,'0500'!A554,'Daftar Koreksi'!$G$5:$G$92,"Peralatan dan mesin",'Daftar Koreksi'!$I$5:$I$92,"&lt;0")-SUMIFS('Daftar Koreksi'!$I$5:$I$92,'Daftar Koreksi'!$D$5:$D$92,'0500'!A554,'Daftar Koreksi'!$G$5:$G$92,"Peralatan dan mesin",'Daftar Koreksi'!$I$5:$I$92,"&lt;0")-SUMIFS('Daftar Koreksi'!$I$5:$I$92,'Daftar Koreksi'!$D$5:$D$92,'0500'!A554,'Daftar Koreksi'!$G$5:$G$92,"Peralatan dan mesin",'Daftar Koreksi'!$I$5:$I$92,"&lt;0")</f>
        <v>0</v>
      </c>
      <c r="G567" s="17">
        <f t="shared" si="25"/>
        <v>-1666772839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-1978613962</v>
      </c>
      <c r="E568" s="25">
        <f>SUMIFS('Daftar Koreksi'!$I$5:$I$92,'Daftar Koreksi'!$D$5:$D$92,'0500'!A554,'Daftar Koreksi'!$G$5:$G$92,"Gedung dan Bangunan",'Daftar Koreksi'!$I$5:$I$92,"&gt;0")</f>
        <v>0</v>
      </c>
      <c r="F568" s="25">
        <f>SUMIFS('Daftar Koreksi'!$I$5:$I$92,'Daftar Koreksi'!$D$5:$D$92,'0500'!A554,'Daftar Koreksi'!$G$5:$G$92,"Gedung dan Bangunan",'Daftar Koreksi'!$I$5:$I$92,"&lt;0")-SUMIFS('Daftar Koreksi'!$I$5:$I$92,'Daftar Koreksi'!$D$5:$D$92,'0500'!A554,'Daftar Koreksi'!$G$5:$G$92,"Gedung dan Bangunan",'Daftar Koreksi'!$I$5:$I$92,"&lt;0")-SUMIFS('Daftar Koreksi'!$I$5:$I$92,'Daftar Koreksi'!$D$5:$D$92,'0500'!A554,'Daftar Koreksi'!$G$5:$G$92,"Gedung dan Bangunan",'Daftar Koreksi'!$I$5:$I$92,"&lt;0")</f>
        <v>0</v>
      </c>
      <c r="G568" s="17">
        <f t="shared" si="25"/>
        <v>-1978613962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0</v>
      </c>
      <c r="E569" s="25">
        <f>SUMIFS('Daftar Koreksi'!$I$5:$I$92,'Daftar Koreksi'!$D$5:$D$92,'0500'!A554,'Daftar Koreksi'!$G$5:$G$92,"Jalan Irigasi Jaringan",'Daftar Koreksi'!$I$5:$I$92,"&gt;0")</f>
        <v>0</v>
      </c>
      <c r="F569" s="25">
        <f>SUMIFS('Daftar Koreksi'!$I$5:$I$92,'Daftar Koreksi'!$D$5:$D$92,'0500'!A554,'Daftar Koreksi'!$G$5:$G$92,"Jalan Irigasi Jaringan",'Daftar Koreksi'!$I$5:$I$92,"&lt;0")-SUMIFS('Daftar Koreksi'!$I$5:$I$92,'Daftar Koreksi'!$D$5:$D$92,'0500'!A554,'Daftar Koreksi'!$G$5:$G$92,"Jalan Irigasi Jaringan",'Daftar Koreksi'!$I$5:$I$92,"&lt;0")-SUMIFS('Daftar Koreksi'!$I$5:$I$92,'Daftar Koreksi'!$D$5:$D$92,'0500'!A554,'Daftar Koreksi'!$G$5:$G$92,"Jalan Irigasi Jaringan",'Daftar Koreksi'!$I$5:$I$92,"&lt;0")</f>
        <v>0</v>
      </c>
      <c r="G569" s="17">
        <f t="shared" si="25"/>
        <v>0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Koreksi'!$D$5:$D$92,'0500'!A554,'Daftar Koreksi'!$G$5:$G$92,"Aset Tetap Lainnya",'Daftar Koreksi'!$I$5:$I$92,"&gt;0")</f>
        <v>0</v>
      </c>
      <c r="F570" s="25">
        <f>SUMIFS('Daftar Koreksi'!$I$5:$I$92,'Daftar Koreksi'!$D$5:$D$92,'0500'!A554,'Daftar Koreksi'!$G$5:$G$92,"Aset Tetap Lainnya",'Daftar Koreksi'!$I$5:$I$92,"&lt;0")-SUMIFS('Daftar Koreksi'!$I$5:$I$92,'Daftar Koreksi'!$D$5:$D$92,'0500'!A554,'Daftar Koreksi'!$G$5:$G$92,"Aset Tetap Lainnya",'Daftar Koreksi'!$I$5:$I$92,"&lt;0")-SUMIFS('Daftar Koreksi'!$I$5:$I$92,'Daftar Koreksi'!$D$5:$D$92,'0500'!A554,'Daftar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-446000</v>
      </c>
      <c r="E571" s="25">
        <f>SUMIFS('Daftar Koreksi'!$I$5:$I$92,'Daftar Koreksi'!$D$5:$D$92,'0500'!A554,'Daftar Koreksi'!$G$5:$G$92,"Aset Henti Guna",'Daftar Koreksi'!$I$5:$I$92,"&gt;0")</f>
        <v>0</v>
      </c>
      <c r="F571" s="25">
        <f>SUMIFS('Daftar Koreksi'!$I$5:$I$92,'Daftar Koreksi'!$D$5:$D$92,'0500'!A554,'Daftar Koreksi'!$G$5:$G$92,"Aset Henti Guna",'Daftar Koreksi'!$I$5:$I$92,"&lt;0")-SUMIFS('Daftar Koreksi'!$I$5:$I$92,'Daftar Koreksi'!$D$5:$D$92,'0500'!A554,'Daftar Koreksi'!$G$5:$G$92,"Aset Henti Guna",'Daftar Koreksi'!$I$5:$I$92,"&lt;0")-SUMIFS('Daftar Koreksi'!$I$5:$I$92,'Daftar Koreksi'!$D$5:$D$92,'0500'!A554,'Daftar Koreksi'!$G$5:$G$92,"Aset Henti Guna",'Daftar Koreksi'!$I$5:$I$92,"&lt;0")</f>
        <v>0</v>
      </c>
      <c r="G571" s="17">
        <f t="shared" si="25"/>
        <v>-446000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-3645832801</v>
      </c>
      <c r="E572" s="19">
        <f>SUM(E567:E571)</f>
        <v>0</v>
      </c>
      <c r="F572" s="19">
        <f>SUM(F567:F571)</f>
        <v>0</v>
      </c>
      <c r="G572" s="19">
        <f t="shared" si="25"/>
        <v>-3645832801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13756257481</v>
      </c>
      <c r="E573" s="19">
        <f>E572+E566</f>
        <v>4411622</v>
      </c>
      <c r="F573" s="19">
        <f>F572+F566</f>
        <v>0</v>
      </c>
      <c r="G573" s="19">
        <f t="shared" si="25"/>
        <v>13760669103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005010500098366000KD</v>
      </c>
      <c r="B576" s="11" t="str">
        <f>P27</f>
        <v>PN. Pacitan</v>
      </c>
      <c r="C576" s="12" t="str">
        <f>A576&amp;" "&amp;B576</f>
        <v>005010500098366000KD PN. Pacitan</v>
      </c>
      <c r="D576" s="13"/>
      <c r="E576" s="13"/>
      <c r="F576" s="13"/>
      <c r="G576" s="13"/>
      <c r="H576" s="11"/>
    </row>
    <row r="577" spans="1:10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10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10" ht="21.95" customHeight="1">
      <c r="A579" s="14"/>
      <c r="B579" s="14"/>
      <c r="C579" s="16" t="s">
        <v>1165</v>
      </c>
      <c r="D579" s="17">
        <f>VLOOKUP(A576,'Neraca Unaudited SIMAK'!$A$2:$S$10004,3,FALSE)</f>
        <v>0</v>
      </c>
      <c r="E579" s="25">
        <f>SUMIFS('Daftar Koreksi'!$H$5:$H$92,'Daftar Koreksi'!$D$5:$D$92,'0500'!A576,'Daftar Koreksi'!$G$5:$G$92,"Persediaan",'Daftar Koreksi'!$H$5:$H$92,"&gt;0")</f>
        <v>0</v>
      </c>
      <c r="F579" s="25">
        <f>SUMIFS('Daftar Koreksi'!$H$5:$H$92,'Daftar Koreksi'!$D$5:$D$92,'0500'!A576,'Daftar Koreksi'!$G$5:$G$92,"Persediaan",'Daftar Koreksi'!$H$5:$H$92,"&lt;0")-SUMIFS('Daftar Koreksi'!$H$5:$H$92,'Daftar Koreksi'!$D$5:$D$92,'0500'!A576,'Daftar Koreksi'!$G$5:$G$92,"Persediaan",'Daftar Koreksi'!$H$5:$H$92,"&lt;0")-SUMIFS('Daftar Koreksi'!$H$5:$H$92,'Daftar Koreksi'!$D$5:$D$92,'0500'!A576,'Daftar Koreksi'!$G$5:$G$92,"Persediaan",'Daftar Koreksi'!$H$5:$H$92,"&lt;0")</f>
        <v>0</v>
      </c>
      <c r="G579" s="17">
        <f>D579+E579-F579</f>
        <v>0</v>
      </c>
      <c r="H579" s="121" t="str">
        <f>IF(ISNA(VLOOKUP(A576,'Mutasi Neraca'!$A$3:$S$914,19,FALSE)),"-",VLOOKUP(A576,'Mutasi Neraca'!$A$3:$S$914,19,FALSE))</f>
        <v>-</v>
      </c>
      <c r="I579" s="28"/>
      <c r="J579" s="28"/>
    </row>
    <row r="580" spans="1:10" ht="21.95" customHeight="1">
      <c r="A580" s="14"/>
      <c r="B580" s="14"/>
      <c r="C580" s="16" t="s">
        <v>1166</v>
      </c>
      <c r="D580" s="17">
        <f>VLOOKUP(A576,'Neraca Unaudited SIMAK'!$A$2:$S$10004,4,FALSE)</f>
        <v>2614666000</v>
      </c>
      <c r="E580" s="25">
        <f>SUMIFS('Daftar Koreksi'!$H$5:$H$92,'Daftar Koreksi'!$D$5:$D$92,'0500'!A576,'Daftar Koreksi'!$G$5:$G$92,"Tanah",'Daftar Koreksi'!$H$5:$H$92,"&gt;0")</f>
        <v>0</v>
      </c>
      <c r="F580" s="25">
        <f>SUMIFS('Daftar Koreksi'!$H$5:$H$92,'Daftar Koreksi'!$D$5:$D$92,'0500'!A576,'Daftar Koreksi'!$G$5:$G$92,"Tanah",'Daftar Koreksi'!$H$5:$H$92,"&lt;0")-SUMIFS('Daftar Koreksi'!$H$5:$H$92,'Daftar Koreksi'!$D$5:$D$92,'0500'!A576,'Daftar Koreksi'!$G$5:$G$92,"Tanah",'Daftar Koreksi'!$H$5:$H$92,"&lt;0")-SUMIFS('Daftar Koreksi'!$H$5:$H$92,'Daftar Koreksi'!$D$5:$D$92,'0500'!A576,'Daftar Koreksi'!$G$5:$G$92,"Tanah",'Daftar Koreksi'!$H$5:$H$92,"&lt;0")</f>
        <v>0</v>
      </c>
      <c r="G580" s="17">
        <f t="shared" ref="G580:G596" si="26">D580+E580-F580</f>
        <v>2614666000</v>
      </c>
      <c r="H580" s="122"/>
      <c r="I580" s="28"/>
      <c r="J580" s="28"/>
    </row>
    <row r="581" spans="1:10" ht="21.95" customHeight="1">
      <c r="A581" s="14"/>
      <c r="B581" s="14"/>
      <c r="C581" s="16" t="s">
        <v>1167</v>
      </c>
      <c r="D581" s="17">
        <f>VLOOKUP(A576,'Neraca Unaudited SIMAK'!$A$2:$S$10004,5,FALSE)</f>
        <v>1379349673</v>
      </c>
      <c r="E581" s="25">
        <f>SUMIFS('Daftar Koreksi'!$H$5:$H$92,'Daftar Koreksi'!$D$5:$D$92,'0500'!A576,'Daftar Koreksi'!$G$5:$G$92,"Peralatan dan mesin",'Daftar Koreksi'!$H$5:$H$92,"&gt;0")</f>
        <v>0</v>
      </c>
      <c r="F581" s="25">
        <f>SUMIFS('Daftar Koreksi'!$H$5:$H$92,'Daftar Koreksi'!$D$5:$D$92,'0500'!A576,'Daftar Koreksi'!$G$5:$G$92,"Peralatan dan mesin",'Daftar Koreksi'!$H$5:$H$92,"&lt;0")-SUMIFS('Daftar Koreksi'!$H$5:$H$92,'Daftar Koreksi'!$D$5:$D$92,'0500'!A576,'Daftar Koreksi'!$G$5:$G$92,"Peralatan dan mesin",'Daftar Koreksi'!$H$5:$H$92,"&lt;0")-SUMIFS('Daftar Koreksi'!$H$5:$H$92,'Daftar Koreksi'!$D$5:$D$92,'0500'!A576,'Daftar Koreksi'!$G$5:$G$92,"Peralatan dan mesin",'Daftar Koreksi'!$H$5:$H$92,"&lt;0")</f>
        <v>0</v>
      </c>
      <c r="G581" s="17">
        <f t="shared" si="26"/>
        <v>1379349673</v>
      </c>
      <c r="H581" s="122"/>
      <c r="I581" s="28"/>
      <c r="J581" s="28"/>
    </row>
    <row r="582" spans="1:10" ht="21.95" customHeight="1">
      <c r="A582" s="14"/>
      <c r="B582" s="14"/>
      <c r="C582" s="16" t="s">
        <v>1168</v>
      </c>
      <c r="D582" s="17">
        <f>VLOOKUP(A576,'Neraca Unaudited SIMAK'!$A$2:$S$10004,6,FALSE)</f>
        <v>1510042300</v>
      </c>
      <c r="E582" s="25">
        <f>SUMIFS('Daftar Koreksi'!$H$5:$H$92,'Daftar Koreksi'!$D$5:$D$92,'0500'!A576,'Daftar Koreksi'!$G$5:$G$92,"Gedung dan Bangunan",'Daftar Koreksi'!$H$5:$H$92,"&gt;0")</f>
        <v>0</v>
      </c>
      <c r="F582" s="25">
        <f>SUMIFS('Daftar Koreksi'!$H$5:$H$92,'Daftar Koreksi'!$D$5:$D$92,'0500'!A576,'Daftar Koreksi'!$G$5:$G$92,"Gedung dan Bangunan",'Daftar Koreksi'!$H$5:$H$92,"&lt;0")-SUMIFS('Daftar Koreksi'!$H$5:$H$92,'Daftar Koreksi'!$D$5:$D$92,'0500'!A576,'Daftar Koreksi'!$G$5:$G$92,"Gedung dan Bangunan",'Daftar Koreksi'!$H$5:$H$92,"&lt;0")-SUMIFS('Daftar Koreksi'!$H$5:$H$92,'Daftar Koreksi'!$D$5:$D$92,'0500'!A576,'Daftar Koreksi'!$G$5:$G$92,"Gedung dan Bangunan",'Daftar Koreksi'!$H$5:$H$92,"&lt;0")</f>
        <v>0</v>
      </c>
      <c r="G582" s="17">
        <f t="shared" si="26"/>
        <v>1510042300</v>
      </c>
      <c r="H582" s="122"/>
      <c r="I582" s="28"/>
      <c r="J582" s="28"/>
    </row>
    <row r="583" spans="1:10" ht="21.95" customHeight="1">
      <c r="A583" s="14"/>
      <c r="B583" s="14"/>
      <c r="C583" s="16" t="s">
        <v>1169</v>
      </c>
      <c r="D583" s="17">
        <f>VLOOKUP(A576,'Neraca Unaudited SIMAK'!$A$2:$S$10004,7,FALSE)</f>
        <v>10000000</v>
      </c>
      <c r="E583" s="25">
        <f>SUMIFS('Daftar Koreksi'!$H$5:$H$92,'Daftar Koreksi'!$D$5:$D$92,'0500'!A576,'Daftar Koreksi'!$G$5:$G$92,"Jalan Irigasi Jaringan",'Daftar Koreksi'!$H$5:$H$92,"&gt;0")</f>
        <v>0</v>
      </c>
      <c r="F583" s="25">
        <f>SUMIFS('Daftar Koreksi'!$H$5:$H$92,'Daftar Koreksi'!$D$5:$D$92,'0500'!A576,'Daftar Koreksi'!$G$5:$G$92,"Jalan Irigasi Jaringan",'Daftar Koreksi'!$H$5:$H$92,"&lt;0")-SUMIFS('Daftar Koreksi'!$H$5:$H$92,'Daftar Koreksi'!$D$5:$D$92,'0500'!A576,'Daftar Koreksi'!$G$5:$G$92,"Jalan Irigasi Jaringan",'Daftar Koreksi'!$H$5:$H$92,"&lt;0")-SUMIFS('Daftar Koreksi'!$H$5:$H$92,'Daftar Koreksi'!$D$5:$D$92,'0500'!A576,'Daftar Koreksi'!$G$5:$G$92,"Jalan Irigasi Jaringan",'Daftar Koreksi'!$H$5:$H$92,"&lt;0")</f>
        <v>0</v>
      </c>
      <c r="G583" s="17">
        <f t="shared" si="26"/>
        <v>10000000</v>
      </c>
      <c r="H583" s="122"/>
      <c r="I583" s="28"/>
      <c r="J583" s="28"/>
    </row>
    <row r="584" spans="1:10" ht="21.95" customHeight="1">
      <c r="A584" s="14"/>
      <c r="B584" s="14"/>
      <c r="C584" s="16" t="s">
        <v>1170</v>
      </c>
      <c r="D584" s="17">
        <f>VLOOKUP(A576,'Neraca Unaudited SIMAK'!$A$2:$S$10004,8,FALSE)</f>
        <v>9081926</v>
      </c>
      <c r="E584" s="25">
        <f>SUMIFS('Daftar Koreksi'!$H$5:$H$92,'Daftar Koreksi'!$D$5:$D$92,'0500'!A576,'Daftar Koreksi'!$G$5:$G$92,"Aset Tetap Lainnya",'Daftar Koreksi'!$H$5:$H$92,"&gt;0")</f>
        <v>0</v>
      </c>
      <c r="F584" s="25">
        <f>SUMIFS('Daftar Koreksi'!$H$5:$H$92,'Daftar Koreksi'!$D$5:$D$92,'0500'!A576,'Daftar Koreksi'!$G$5:$G$92,"Aset Tetap Lainnya",'Daftar Koreksi'!$H$5:$H$92,"&lt;0")-SUMIFS('Daftar Koreksi'!$H$5:$H$92,'Daftar Koreksi'!$D$5:$D$92,'0500'!A576,'Daftar Koreksi'!$G$5:$G$92,"Aset Tetap Lainnya",'Daftar Koreksi'!$H$5:$H$92,"&lt;0")-SUMIFS('Daftar Koreksi'!$H$5:$H$92,'Daftar Koreksi'!$D$5:$D$92,'0500'!A576,'Daftar Koreksi'!$G$5:$G$92,"Aset Tetap Lainnya",'Daftar Koreksi'!$H$5:$H$92,"&lt;0")</f>
        <v>0</v>
      </c>
      <c r="G584" s="17">
        <f t="shared" si="26"/>
        <v>9081926</v>
      </c>
      <c r="H584" s="122"/>
      <c r="I584" s="28"/>
      <c r="J584" s="28"/>
    </row>
    <row r="585" spans="1:10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Koreksi'!$D$5:$D$92,'0500'!A576,'Daftar Koreksi'!$G$5:$G$92,"Kontruksi Dalam Pengerjaan",'Daftar Koreksi'!$H$5:$H$92,"&gt;0")</f>
        <v>0</v>
      </c>
      <c r="F585" s="25">
        <f>SUMIFS('Daftar Koreksi'!$H$5:$H$92,'Daftar Koreksi'!$D$5:$D$92,'0500'!A576,'Daftar Koreksi'!$G$5:$G$92,"Kontruksi Dalam Pengerjaan",'Daftar Koreksi'!$H$5:$H$92,"&lt;0")-SUMIFS('Daftar Koreksi'!$H$5:$H$92,'Daftar Koreksi'!$D$5:$D$92,'0500'!A576,'Daftar Koreksi'!$G$5:$G$92,"Kontruksi Dalam Pengerjaan",'Daftar Koreksi'!$H$5:$H$92,"&lt;0")-SUMIFS('Daftar Koreksi'!$H$5:$H$92,'Daftar Koreksi'!$D$5:$D$92,'0500'!A576,'Daftar Koreksi'!$G$5:$G$92,"Kontruksi Dalam Pengerjaan",'Daftar Koreksi'!$H$5:$H$92,"&lt;0")</f>
        <v>0</v>
      </c>
      <c r="G585" s="17">
        <f t="shared" si="26"/>
        <v>0</v>
      </c>
      <c r="H585" s="122"/>
      <c r="I585" s="28"/>
      <c r="J585" s="28"/>
    </row>
    <row r="586" spans="1:10" ht="21.95" customHeight="1">
      <c r="A586" s="14"/>
      <c r="B586" s="14"/>
      <c r="C586" s="16" t="s">
        <v>1172</v>
      </c>
      <c r="D586" s="17">
        <f>VLOOKUP(A576,'Neraca Unaudited SIMAK'!$A$2:$S$10004,10,FALSE)</f>
        <v>5750000</v>
      </c>
      <c r="E586" s="25">
        <f>SUMIFS('Daftar Koreksi'!$H$5:$H$92,'Daftar Koreksi'!$D$5:$D$92,'0500'!A576,'Daftar Koreksi'!$G$5:$G$92,"Aset Tak Berwujud",'Daftar Koreksi'!$H$5:$H$92,"&gt;0")</f>
        <v>0</v>
      </c>
      <c r="F586" s="25">
        <f>SUMIFS('Daftar Koreksi'!$H$5:$H$92,'Daftar Koreksi'!$D$5:$D$92,'0500'!A576,'Daftar Koreksi'!$G$5:$G$92,"Aset Tak Berwujud",'Daftar Koreksi'!$H$5:$H$92,"&lt;0")-SUMIFS('Daftar Koreksi'!$H$5:$H$92,'Daftar Koreksi'!$D$5:$D$92,'0500'!A576,'Daftar Koreksi'!$G$5:$G$92,"Aset Tak Berwujud",'Daftar Koreksi'!$H$5:$H$92,"&lt;0")-SUMIFS('Daftar Koreksi'!$H$5:$H$92,'Daftar Koreksi'!$D$5:$D$92,'0500'!A576,'Daftar Koreksi'!$G$5:$G$92,"Aset Tak Berwujud",'Daftar Koreksi'!$H$5:$H$92,"&lt;0")</f>
        <v>0</v>
      </c>
      <c r="G586" s="17">
        <f t="shared" si="26"/>
        <v>5750000</v>
      </c>
      <c r="H586" s="122"/>
      <c r="I586" s="28"/>
      <c r="J586" s="28"/>
    </row>
    <row r="587" spans="1:10" ht="21.95" customHeight="1">
      <c r="A587" s="14"/>
      <c r="B587" s="14"/>
      <c r="C587" s="16" t="s">
        <v>1173</v>
      </c>
      <c r="D587" s="17">
        <f>VLOOKUP(A576,'Neraca Unaudited SIMAK'!$A$2:$S$10004,11,FALSE)</f>
        <v>113538250</v>
      </c>
      <c r="E587" s="25">
        <f>SUMIFS('Daftar Koreksi'!$H$5:$H$92,'Daftar Koreksi'!$D$5:$D$92,'0500'!A576,'Daftar Koreksi'!$G$5:$G$92,"Aset Henti Guna",'Daftar Koreksi'!$H$5:$H$92,"&gt;0")</f>
        <v>0</v>
      </c>
      <c r="F587" s="25">
        <f>SUMIFS('Daftar Koreksi'!$H$5:$H$92,'Daftar Koreksi'!$D$5:$D$92,'0500'!A576,'Daftar Koreksi'!$G$5:$G$92,"Aset Henti Guna",'Daftar Koreksi'!$H$5:$H$92,"&lt;0")-SUMIFS('Daftar Koreksi'!$H$5:$H$92,'Daftar Koreksi'!$D$5:$D$92,'0500'!A576,'Daftar Koreksi'!$G$5:$G$92,"Aset Henti Guna",'Daftar Koreksi'!$H$5:$H$92,"&lt;0")-SUMIFS('Daftar Koreksi'!$H$5:$H$92,'Daftar Koreksi'!$D$5:$D$92,'0500'!A576,'Daftar Koreksi'!$G$5:$G$92,"Aset Henti Guna",'Daftar Koreksi'!$H$5:$H$92,"&lt;0")</f>
        <v>0</v>
      </c>
      <c r="G587" s="17">
        <f t="shared" si="26"/>
        <v>113538250</v>
      </c>
      <c r="H587" s="122"/>
      <c r="I587" s="28"/>
      <c r="J587" s="28"/>
    </row>
    <row r="588" spans="1:10" ht="21.95" customHeight="1">
      <c r="A588" s="14"/>
      <c r="B588" s="14"/>
      <c r="C588" s="18" t="s">
        <v>2093</v>
      </c>
      <c r="D588" s="19">
        <f>VLOOKUP(A576,'Neraca Unaudited SIMAK'!$A$2:$S$10004,12,FALSE)</f>
        <v>5642428149</v>
      </c>
      <c r="E588" s="19">
        <f>SUM(E579:E587)</f>
        <v>0</v>
      </c>
      <c r="F588" s="19">
        <f>SUM(F579:F587)</f>
        <v>0</v>
      </c>
      <c r="G588" s="19">
        <f t="shared" si="26"/>
        <v>5642428149</v>
      </c>
      <c r="H588" s="122"/>
      <c r="I588" s="28"/>
      <c r="J588" s="28"/>
    </row>
    <row r="589" spans="1:10" ht="21.95" customHeight="1">
      <c r="A589" s="14"/>
      <c r="B589" s="14"/>
      <c r="C589" s="16" t="s">
        <v>2087</v>
      </c>
      <c r="D589" s="17">
        <f>VLOOKUP(A576,'Neraca Unaudited SIMAK'!$A$2:$S$10004,13,FALSE)</f>
        <v>-1169993822</v>
      </c>
      <c r="E589" s="25">
        <f>SUMIFS('Daftar Koreksi'!$I$5:$I$92,'Daftar Koreksi'!$D$5:$D$92,'0500'!A576,'Daftar Koreksi'!$G$5:$G$92,"Peralatan dan mesin",'Daftar Koreksi'!$I$5:$I$92,"&gt;0")</f>
        <v>0</v>
      </c>
      <c r="F589" s="25">
        <f>SUMIFS('Daftar Koreksi'!$I$5:$I$92,'Daftar Koreksi'!$D$5:$D$92,'0500'!A576,'Daftar Koreksi'!$G$5:$G$92,"Peralatan dan mesin",'Daftar Koreksi'!$I$5:$I$92,"&lt;0")-SUMIFS('Daftar Koreksi'!$I$5:$I$92,'Daftar Koreksi'!$D$5:$D$92,'0500'!A576,'Daftar Koreksi'!$G$5:$G$92,"Peralatan dan mesin",'Daftar Koreksi'!$I$5:$I$92,"&lt;0")-SUMIFS('Daftar Koreksi'!$I$5:$I$92,'Daftar Koreksi'!$D$5:$D$92,'0500'!A576,'Daftar Koreksi'!$G$5:$G$92,"Peralatan dan mesin",'Daftar Koreksi'!$I$5:$I$92,"&lt;0")</f>
        <v>0</v>
      </c>
      <c r="G589" s="17">
        <f t="shared" si="26"/>
        <v>-1169993822</v>
      </c>
      <c r="H589" s="122"/>
      <c r="I589" s="28"/>
      <c r="J589" s="28"/>
    </row>
    <row r="590" spans="1:10" ht="21.95" customHeight="1">
      <c r="A590" s="14"/>
      <c r="B590" s="14"/>
      <c r="C590" s="16" t="s">
        <v>2088</v>
      </c>
      <c r="D590" s="17">
        <f>VLOOKUP(A576,'Neraca Unaudited SIMAK'!$A$2:$S$10004,14,FALSE)</f>
        <v>-326775844</v>
      </c>
      <c r="E590" s="25">
        <f>SUMIFS('Daftar Koreksi'!$I$5:$I$92,'Daftar Koreksi'!$D$5:$D$92,'0500'!A576,'Daftar Koreksi'!$G$5:$G$92,"Gedung dan Bangunan",'Daftar Koreksi'!$I$5:$I$92,"&gt;0")</f>
        <v>0</v>
      </c>
      <c r="F590" s="25">
        <f>SUMIFS('Daftar Koreksi'!$I$5:$I$92,'Daftar Koreksi'!$D$5:$D$92,'0500'!A576,'Daftar Koreksi'!$G$5:$G$92,"Gedung dan Bangunan",'Daftar Koreksi'!$I$5:$I$92,"&lt;0")-SUMIFS('Daftar Koreksi'!$I$5:$I$92,'Daftar Koreksi'!$D$5:$D$92,'0500'!A576,'Daftar Koreksi'!$G$5:$G$92,"Gedung dan Bangunan",'Daftar Koreksi'!$I$5:$I$92,"&lt;0")-SUMIFS('Daftar Koreksi'!$I$5:$I$92,'Daftar Koreksi'!$D$5:$D$92,'0500'!A576,'Daftar Koreksi'!$G$5:$G$92,"Gedung dan Bangunan",'Daftar Koreksi'!$I$5:$I$92,"&lt;0")</f>
        <v>0</v>
      </c>
      <c r="G590" s="17">
        <f t="shared" si="26"/>
        <v>-326775844</v>
      </c>
      <c r="H590" s="122"/>
      <c r="I590" s="28"/>
      <c r="J590" s="28"/>
    </row>
    <row r="591" spans="1:10" ht="21.95" customHeight="1">
      <c r="A591" s="14"/>
      <c r="B591" s="14"/>
      <c r="C591" s="16" t="s">
        <v>2089</v>
      </c>
      <c r="D591" s="17">
        <f>VLOOKUP(A576,'Neraca Unaudited SIMAK'!$A$2:$S$10004,15,FALSE)</f>
        <v>-1500000</v>
      </c>
      <c r="E591" s="25">
        <f>SUMIFS('Daftar Koreksi'!$I$5:$I$92,'Daftar Koreksi'!$D$5:$D$92,'0500'!A576,'Daftar Koreksi'!$G$5:$G$92,"Jalan Irigasi Jaringan",'Daftar Koreksi'!$I$5:$I$92,"&gt;0")</f>
        <v>0</v>
      </c>
      <c r="F591" s="25">
        <f>SUMIFS('Daftar Koreksi'!$I$5:$I$92,'Daftar Koreksi'!$D$5:$D$92,'0500'!A576,'Daftar Koreksi'!$G$5:$G$92,"Jalan Irigasi Jaringan",'Daftar Koreksi'!$I$5:$I$92,"&lt;0")-SUMIFS('Daftar Koreksi'!$I$5:$I$92,'Daftar Koreksi'!$D$5:$D$92,'0500'!A576,'Daftar Koreksi'!$G$5:$G$92,"Jalan Irigasi Jaringan",'Daftar Koreksi'!$I$5:$I$92,"&lt;0")-SUMIFS('Daftar Koreksi'!$I$5:$I$92,'Daftar Koreksi'!$D$5:$D$92,'0500'!A576,'Daftar Koreksi'!$G$5:$G$92,"Jalan Irigasi Jaringan",'Daftar Koreksi'!$I$5:$I$92,"&lt;0")</f>
        <v>0</v>
      </c>
      <c r="G591" s="17">
        <f t="shared" si="26"/>
        <v>-1500000</v>
      </c>
      <c r="H591" s="122"/>
      <c r="I591" s="28"/>
      <c r="J591" s="28"/>
    </row>
    <row r="592" spans="1:10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Koreksi'!$D$5:$D$92,'0500'!A576,'Daftar Koreksi'!$G$5:$G$92,"Aset Tetap Lainnya",'Daftar Koreksi'!$I$5:$I$92,"&gt;0")</f>
        <v>0</v>
      </c>
      <c r="F592" s="25">
        <f>SUMIFS('Daftar Koreksi'!$I$5:$I$92,'Daftar Koreksi'!$D$5:$D$92,'0500'!A576,'Daftar Koreksi'!$G$5:$G$92,"Aset Tetap Lainnya",'Daftar Koreksi'!$I$5:$I$92,"&lt;0")-SUMIFS('Daftar Koreksi'!$I$5:$I$92,'Daftar Koreksi'!$D$5:$D$92,'0500'!A576,'Daftar Koreksi'!$G$5:$G$92,"Aset Tetap Lainnya",'Daftar Koreksi'!$I$5:$I$92,"&lt;0")-SUMIFS('Daftar Koreksi'!$I$5:$I$92,'Daftar Koreksi'!$D$5:$D$92,'0500'!A576,'Daftar Koreksi'!$G$5:$G$92,"Aset Tetap Lainnya",'Daftar Koreksi'!$I$5:$I$92,"&lt;0")</f>
        <v>0</v>
      </c>
      <c r="G592" s="17">
        <f t="shared" si="26"/>
        <v>0</v>
      </c>
      <c r="H592" s="122"/>
      <c r="I592" s="28"/>
      <c r="J592" s="28"/>
    </row>
    <row r="593" spans="1:10" ht="21.95" customHeight="1">
      <c r="A593" s="14"/>
      <c r="B593" s="14"/>
      <c r="C593" s="16" t="s">
        <v>2020</v>
      </c>
      <c r="D593" s="17">
        <f>VLOOKUP(A576,'Neraca Unaudited SIMAK'!$A$2:$S$10004,17,FALSE)</f>
        <v>-112494625</v>
      </c>
      <c r="E593" s="25">
        <f>SUMIFS('Daftar Koreksi'!$I$5:$I$92,'Daftar Koreksi'!$D$5:$D$92,'0500'!A576,'Daftar Koreksi'!$G$5:$G$92,"Aset Henti Guna",'Daftar Koreksi'!$I$5:$I$92,"&gt;0")</f>
        <v>0</v>
      </c>
      <c r="F593" s="25">
        <f>SUMIFS('Daftar Koreksi'!$I$5:$I$92,'Daftar Koreksi'!$D$5:$D$92,'0500'!A576,'Daftar Koreksi'!$G$5:$G$92,"Aset Henti Guna",'Daftar Koreksi'!$I$5:$I$92,"&lt;0")-SUMIFS('Daftar Koreksi'!$I$5:$I$92,'Daftar Koreksi'!$D$5:$D$92,'0500'!A576,'Daftar Koreksi'!$G$5:$G$92,"Aset Henti Guna",'Daftar Koreksi'!$I$5:$I$92,"&lt;0")-SUMIFS('Daftar Koreksi'!$I$5:$I$92,'Daftar Koreksi'!$D$5:$D$92,'0500'!A576,'Daftar Koreksi'!$G$5:$G$92,"Aset Henti Guna",'Daftar Koreksi'!$I$5:$I$92,"&lt;0")</f>
        <v>0</v>
      </c>
      <c r="G593" s="17">
        <f t="shared" si="26"/>
        <v>-112494625</v>
      </c>
      <c r="H593" s="122"/>
      <c r="I593" s="28"/>
      <c r="J593" s="28"/>
    </row>
    <row r="594" spans="1:10" ht="21.95" customHeight="1">
      <c r="A594" s="14"/>
      <c r="B594" s="14"/>
      <c r="C594" s="18" t="s">
        <v>2094</v>
      </c>
      <c r="D594" s="19">
        <f>SUM(D589:D593)</f>
        <v>-1610764291</v>
      </c>
      <c r="E594" s="19">
        <f>SUM(E589:E593)</f>
        <v>0</v>
      </c>
      <c r="F594" s="19">
        <f>SUM(F589:F593)</f>
        <v>0</v>
      </c>
      <c r="G594" s="19">
        <f t="shared" si="26"/>
        <v>-1610764291</v>
      </c>
      <c r="H594" s="122"/>
      <c r="I594" s="28"/>
      <c r="J594" s="28"/>
    </row>
    <row r="595" spans="1:10" ht="21.95" customHeight="1">
      <c r="A595" s="14"/>
      <c r="B595" s="14"/>
      <c r="C595" s="18" t="s">
        <v>2095</v>
      </c>
      <c r="D595" s="19">
        <f>VLOOKUP(A576,'Neraca Unaudited SIMAK'!$A$2:$S$10004,18,FALSE)</f>
        <v>4031663858</v>
      </c>
      <c r="E595" s="19">
        <f>E594+E588</f>
        <v>0</v>
      </c>
      <c r="F595" s="19">
        <f>F594+F588</f>
        <v>0</v>
      </c>
      <c r="G595" s="19">
        <f t="shared" si="26"/>
        <v>4031663858</v>
      </c>
      <c r="H595" s="122"/>
      <c r="I595" s="28"/>
      <c r="J595" s="28"/>
    </row>
    <row r="596" spans="1:10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  <c r="I596" s="28"/>
      <c r="J596" s="28"/>
    </row>
    <row r="598" spans="1:10" ht="19.5" customHeight="1">
      <c r="A598" s="11" t="str">
        <f>O28</f>
        <v>005010500098370000KD</v>
      </c>
      <c r="B598" s="11" t="str">
        <f>P28</f>
        <v>PN. Ngawi</v>
      </c>
      <c r="C598" s="12" t="str">
        <f>A598&amp;" "&amp;B598</f>
        <v>005010500098370000KD PN. Ngawi</v>
      </c>
      <c r="D598" s="13"/>
      <c r="E598" s="13"/>
      <c r="F598" s="13"/>
      <c r="G598" s="13"/>
      <c r="H598" s="11"/>
    </row>
    <row r="599" spans="1:10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10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10" ht="21.95" customHeight="1">
      <c r="A601" s="14"/>
      <c r="B601" s="14"/>
      <c r="C601" s="16" t="s">
        <v>1165</v>
      </c>
      <c r="D601" s="17">
        <f>VLOOKUP(A598,'Neraca Unaudited SIMAK'!$A$2:$S$10004,3,FALSE)</f>
        <v>0</v>
      </c>
      <c r="E601" s="25">
        <f>SUMIFS('Daftar Koreksi'!$H$5:$H$92,'Daftar Koreksi'!$D$5:$D$92,'0500'!A598,'Daftar Koreksi'!$G$5:$G$92,"Persediaan",'Daftar Koreksi'!$H$5:$H$92,"&gt;0")</f>
        <v>0</v>
      </c>
      <c r="F601" s="25">
        <f>SUMIFS('Daftar Koreksi'!$H$5:$H$92,'Daftar Koreksi'!$D$5:$D$92,'0500'!A598,'Daftar Koreksi'!$G$5:$G$92,"Persediaan",'Daftar Koreksi'!$H$5:$H$92,"&lt;0")-SUMIFS('Daftar Koreksi'!$H$5:$H$92,'Daftar Koreksi'!$D$5:$D$92,'0500'!A598,'Daftar Koreksi'!$G$5:$G$92,"Persediaan",'Daftar Koreksi'!$H$5:$H$92,"&lt;0")-SUMIFS('Daftar Koreksi'!$H$5:$H$92,'Daftar Koreksi'!$D$5:$D$92,'0500'!A598,'Daftar Koreksi'!$G$5:$G$92,"Persediaan",'Daftar Koreksi'!$H$5:$H$92,"&lt;0")</f>
        <v>0</v>
      </c>
      <c r="G601" s="17">
        <f>D601+E601-F601</f>
        <v>0</v>
      </c>
      <c r="H601" s="121" t="str">
        <f>IF(ISNA(VLOOKUP(A598,'Mutasi Neraca'!$A$3:$S$914,19,FALSE)),"-",VLOOKUP(A598,'Mutasi Neraca'!$A$3:$S$914,19,FALSE))</f>
        <v>TP. No 3</v>
      </c>
    </row>
    <row r="602" spans="1:10" ht="21.95" customHeight="1">
      <c r="A602" s="14"/>
      <c r="B602" s="14"/>
      <c r="C602" s="16" t="s">
        <v>1166</v>
      </c>
      <c r="D602" s="17">
        <f>VLOOKUP(A598,'Neraca Unaudited SIMAK'!$A$2:$S$10004,4,FALSE)</f>
        <v>2872648000</v>
      </c>
      <c r="E602" s="25">
        <f>SUMIFS('Daftar Koreksi'!$H$5:$H$92,'Daftar Koreksi'!$D$5:$D$92,'0500'!A598,'Daftar Koreksi'!$G$5:$G$92,"Tanah",'Daftar Koreksi'!$H$5:$H$92,"&gt;0")</f>
        <v>0</v>
      </c>
      <c r="F602" s="25">
        <f>SUMIFS('Daftar Koreksi'!$H$5:$H$92,'Daftar Koreksi'!$D$5:$D$92,'0500'!A598,'Daftar Koreksi'!$G$5:$G$92,"Tanah",'Daftar Koreksi'!$H$5:$H$92,"&lt;0")-SUMIFS('Daftar Koreksi'!$H$5:$H$92,'Daftar Koreksi'!$D$5:$D$92,'0500'!A598,'Daftar Koreksi'!$G$5:$G$92,"Tanah",'Daftar Koreksi'!$H$5:$H$92,"&lt;0")-SUMIFS('Daftar Koreksi'!$H$5:$H$92,'Daftar Koreksi'!$D$5:$D$92,'0500'!A598,'Daftar Koreksi'!$G$5:$G$92,"Tanah",'Daftar Koreksi'!$H$5:$H$92,"&lt;0")</f>
        <v>0</v>
      </c>
      <c r="G602" s="17">
        <f t="shared" ref="G602:G618" si="27">D602+E602-F602</f>
        <v>2872648000</v>
      </c>
      <c r="H602" s="122"/>
    </row>
    <row r="603" spans="1:10" ht="21.95" customHeight="1">
      <c r="A603" s="14"/>
      <c r="B603" s="14"/>
      <c r="C603" s="16" t="s">
        <v>1167</v>
      </c>
      <c r="D603" s="17">
        <f>VLOOKUP(A598,'Neraca Unaudited SIMAK'!$A$2:$S$10004,5,FALSE)</f>
        <v>1584860625</v>
      </c>
      <c r="E603" s="25">
        <f>SUMIFS('Daftar Koreksi'!$H$5:$H$92,'Daftar Koreksi'!$D$5:$D$92,'0500'!A598,'Daftar Koreksi'!$G$5:$G$92,"Peralatan dan mesin",'Daftar Koreksi'!$H$5:$H$92,"&gt;0")</f>
        <v>0</v>
      </c>
      <c r="F603" s="25">
        <f>SUMIFS('Daftar Koreksi'!$H$5:$H$92,'Daftar Koreksi'!$D$5:$D$92,'0500'!A598,'Daftar Koreksi'!$G$5:$G$92,"Peralatan dan mesin",'Daftar Koreksi'!$H$5:$H$92,"&lt;0")-SUMIFS('Daftar Koreksi'!$H$5:$H$92,'Daftar Koreksi'!$D$5:$D$92,'0500'!A598,'Daftar Koreksi'!$G$5:$G$92,"Peralatan dan mesin",'Daftar Koreksi'!$H$5:$H$92,"&lt;0")-SUMIFS('Daftar Koreksi'!$H$5:$H$92,'Daftar Koreksi'!$D$5:$D$92,'0500'!A598,'Daftar Koreksi'!$G$5:$G$92,"Peralatan dan mesin",'Daftar Koreksi'!$H$5:$H$92,"&lt;0")</f>
        <v>0</v>
      </c>
      <c r="G603" s="17">
        <f t="shared" si="27"/>
        <v>1584860625</v>
      </c>
      <c r="H603" s="122"/>
    </row>
    <row r="604" spans="1:10" ht="21.95" customHeight="1">
      <c r="A604" s="14"/>
      <c r="B604" s="14"/>
      <c r="C604" s="16" t="s">
        <v>1168</v>
      </c>
      <c r="D604" s="17">
        <f>VLOOKUP(A598,'Neraca Unaudited SIMAK'!$A$2:$S$10004,6,FALSE)</f>
        <v>4043231000</v>
      </c>
      <c r="E604" s="25">
        <f>SUMIFS('Daftar Koreksi'!$H$5:$H$92,'Daftar Koreksi'!$D$5:$D$92,'0500'!A598,'Daftar Koreksi'!$G$5:$G$92,"Gedung dan Bangunan",'Daftar Koreksi'!$H$5:$H$92,"&gt;0")</f>
        <v>0</v>
      </c>
      <c r="F604" s="25">
        <f>SUMIFS('Daftar Koreksi'!$H$5:$H$92,'Daftar Koreksi'!$D$5:$D$92,'0500'!A598,'Daftar Koreksi'!$G$5:$G$92,"Gedung dan Bangunan",'Daftar Koreksi'!$H$5:$H$92,"&lt;0")-SUMIFS('Daftar Koreksi'!$H$5:$H$92,'Daftar Koreksi'!$D$5:$D$92,'0500'!A598,'Daftar Koreksi'!$G$5:$G$92,"Gedung dan Bangunan",'Daftar Koreksi'!$H$5:$H$92,"&lt;0")-SUMIFS('Daftar Koreksi'!$H$5:$H$92,'Daftar Koreksi'!$D$5:$D$92,'0500'!A598,'Daftar Koreksi'!$G$5:$G$92,"Gedung dan Bangunan",'Daftar Koreksi'!$H$5:$H$92,"&lt;0")</f>
        <v>0</v>
      </c>
      <c r="G604" s="17">
        <f t="shared" si="27"/>
        <v>4043231000</v>
      </c>
      <c r="H604" s="122"/>
    </row>
    <row r="605" spans="1:10" ht="21.95" customHeight="1">
      <c r="A605" s="14"/>
      <c r="B605" s="14"/>
      <c r="C605" s="16" t="s">
        <v>1169</v>
      </c>
      <c r="D605" s="17">
        <f>VLOOKUP(A598,'Neraca Unaudited SIMAK'!$A$2:$S$10004,7,FALSE)</f>
        <v>49511000</v>
      </c>
      <c r="E605" s="25">
        <f>SUMIFS('Daftar Koreksi'!$H$5:$H$92,'Daftar Koreksi'!$D$5:$D$92,'0500'!A598,'Daftar Koreksi'!$G$5:$G$92,"Jalan Irigasi Jaringan",'Daftar Koreksi'!$H$5:$H$92,"&gt;0")</f>
        <v>0</v>
      </c>
      <c r="F605" s="25">
        <f>SUMIFS('Daftar Koreksi'!$H$5:$H$92,'Daftar Koreksi'!$D$5:$D$92,'0500'!A598,'Daftar Koreksi'!$G$5:$G$92,"Jalan Irigasi Jaringan",'Daftar Koreksi'!$H$5:$H$92,"&lt;0")-SUMIFS('Daftar Koreksi'!$H$5:$H$92,'Daftar Koreksi'!$D$5:$D$92,'0500'!A598,'Daftar Koreksi'!$G$5:$G$92,"Jalan Irigasi Jaringan",'Daftar Koreksi'!$H$5:$H$92,"&lt;0")-SUMIFS('Daftar Koreksi'!$H$5:$H$92,'Daftar Koreksi'!$D$5:$D$92,'0500'!A598,'Daftar Koreksi'!$G$5:$G$92,"Jalan Irigasi Jaringan",'Daftar Koreksi'!$H$5:$H$92,"&lt;0")</f>
        <v>0</v>
      </c>
      <c r="G605" s="17">
        <f t="shared" si="27"/>
        <v>49511000</v>
      </c>
      <c r="H605" s="122"/>
    </row>
    <row r="606" spans="1:10" ht="21.95" customHeight="1">
      <c r="A606" s="14"/>
      <c r="B606" s="14"/>
      <c r="C606" s="16" t="s">
        <v>1170</v>
      </c>
      <c r="D606" s="17">
        <f>VLOOKUP(A598,'Neraca Unaudited SIMAK'!$A$2:$S$10004,8,FALSE)</f>
        <v>4772118</v>
      </c>
      <c r="E606" s="25">
        <f>SUMIFS('Daftar Koreksi'!$H$5:$H$92,'Daftar Koreksi'!$D$5:$D$92,'0500'!A598,'Daftar Koreksi'!$G$5:$G$92,"Aset Tetap Lainnya",'Daftar Koreksi'!$H$5:$H$92,"&gt;0")</f>
        <v>4411622</v>
      </c>
      <c r="F606" s="25">
        <f>SUMIFS('Daftar Koreksi'!$H$5:$H$92,'Daftar Koreksi'!$D$5:$D$92,'0500'!A598,'Daftar Koreksi'!$G$5:$G$92,"Aset Tetap Lainnya",'Daftar Koreksi'!$H$5:$H$92,"&lt;0")-SUMIFS('Daftar Koreksi'!$H$5:$H$92,'Daftar Koreksi'!$D$5:$D$92,'0500'!A598,'Daftar Koreksi'!$G$5:$G$92,"Aset Tetap Lainnya",'Daftar Koreksi'!$H$5:$H$92,"&lt;0")-SUMIFS('Daftar Koreksi'!$H$5:$H$92,'Daftar Koreksi'!$D$5:$D$92,'0500'!A598,'Daftar Koreksi'!$G$5:$G$92,"Aset Tetap Lainnya",'Daftar Koreksi'!$H$5:$H$92,"&lt;0")</f>
        <v>0</v>
      </c>
      <c r="G606" s="17">
        <f t="shared" si="27"/>
        <v>9183740</v>
      </c>
      <c r="H606" s="122"/>
    </row>
    <row r="607" spans="1:10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Koreksi'!$D$5:$D$92,'0500'!A598,'Daftar Koreksi'!$G$5:$G$92,"Kontruksi Dalam Pengerjaan",'Daftar Koreksi'!$H$5:$H$92,"&gt;0")</f>
        <v>0</v>
      </c>
      <c r="F607" s="25">
        <f>SUMIFS('Daftar Koreksi'!$H$5:$H$92,'Daftar Koreksi'!$D$5:$D$92,'0500'!A598,'Daftar Koreksi'!$G$5:$G$92,"Kontruksi Dalam Pengerjaan",'Daftar Koreksi'!$H$5:$H$92,"&lt;0")-SUMIFS('Daftar Koreksi'!$H$5:$H$92,'Daftar Koreksi'!$D$5:$D$92,'0500'!A598,'Daftar Koreksi'!$G$5:$G$92,"Kontruksi Dalam Pengerjaan",'Daftar Koreksi'!$H$5:$H$92,"&lt;0")-SUMIFS('Daftar Koreksi'!$H$5:$H$92,'Daftar Koreksi'!$D$5:$D$92,'0500'!A598,'Daftar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10" ht="21.95" customHeight="1">
      <c r="A608" s="14"/>
      <c r="B608" s="14"/>
      <c r="C608" s="16" t="s">
        <v>1172</v>
      </c>
      <c r="D608" s="17">
        <f>VLOOKUP(A598,'Neraca Unaudited SIMAK'!$A$2:$S$10004,10,FALSE)</f>
        <v>0</v>
      </c>
      <c r="E608" s="25">
        <f>SUMIFS('Daftar Koreksi'!$H$5:$H$92,'Daftar Koreksi'!$D$5:$D$92,'0500'!A598,'Daftar Koreksi'!$G$5:$G$92,"Aset Tak Berwujud",'Daftar Koreksi'!$H$5:$H$92,"&gt;0")</f>
        <v>0</v>
      </c>
      <c r="F608" s="25">
        <f>SUMIFS('Daftar Koreksi'!$H$5:$H$92,'Daftar Koreksi'!$D$5:$D$92,'0500'!A598,'Daftar Koreksi'!$G$5:$G$92,"Aset Tak Berwujud",'Daftar Koreksi'!$H$5:$H$92,"&lt;0")-SUMIFS('Daftar Koreksi'!$H$5:$H$92,'Daftar Koreksi'!$D$5:$D$92,'0500'!A598,'Daftar Koreksi'!$G$5:$G$92,"Aset Tak Berwujud",'Daftar Koreksi'!$H$5:$H$92,"&lt;0")-SUMIFS('Daftar Koreksi'!$H$5:$H$92,'Daftar Koreksi'!$D$5:$D$92,'0500'!A598,'Daftar Koreksi'!$G$5:$G$92,"Aset Tak Berwujud",'Daftar Koreksi'!$H$5:$H$92,"&lt;0")</f>
        <v>0</v>
      </c>
      <c r="G608" s="17">
        <f t="shared" si="27"/>
        <v>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0</v>
      </c>
      <c r="E609" s="25">
        <f>SUMIFS('Daftar Koreksi'!$H$5:$H$92,'Daftar Koreksi'!$D$5:$D$92,'0500'!A598,'Daftar Koreksi'!$G$5:$G$92,"Aset Henti Guna",'Daftar Koreksi'!$H$5:$H$92,"&gt;0")</f>
        <v>0</v>
      </c>
      <c r="F609" s="25">
        <f>SUMIFS('Daftar Koreksi'!$H$5:$H$92,'Daftar Koreksi'!$D$5:$D$92,'0500'!A598,'Daftar Koreksi'!$G$5:$G$92,"Aset Henti Guna",'Daftar Koreksi'!$H$5:$H$92,"&lt;0")-SUMIFS('Daftar Koreksi'!$H$5:$H$92,'Daftar Koreksi'!$D$5:$D$92,'0500'!A598,'Daftar Koreksi'!$G$5:$G$92,"Aset Henti Guna",'Daftar Koreksi'!$H$5:$H$92,"&lt;0")-SUMIFS('Daftar Koreksi'!$H$5:$H$92,'Daftar Koreksi'!$D$5:$D$92,'0500'!A598,'Daftar Koreksi'!$G$5:$G$92,"Aset Henti Guna",'Daftar Koreksi'!$H$5:$H$92,"&lt;0")</f>
        <v>0</v>
      </c>
      <c r="G609" s="17">
        <f t="shared" si="27"/>
        <v>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8555022743</v>
      </c>
      <c r="E610" s="19">
        <f>SUM(E601:E609)</f>
        <v>4411622</v>
      </c>
      <c r="F610" s="19">
        <f>SUM(F601:F609)</f>
        <v>0</v>
      </c>
      <c r="G610" s="19">
        <f t="shared" si="27"/>
        <v>8559434365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-1390066209</v>
      </c>
      <c r="E611" s="25">
        <f>SUMIFS('Daftar Koreksi'!$I$5:$I$92,'Daftar Koreksi'!$D$5:$D$92,'0500'!A598,'Daftar Koreksi'!$G$5:$G$92,"Peralatan dan mesin",'Daftar Koreksi'!$I$5:$I$92,"&gt;0")</f>
        <v>0</v>
      </c>
      <c r="F611" s="25">
        <f>SUMIFS('Daftar Koreksi'!$I$5:$I$92,'Daftar Koreksi'!$D$5:$D$92,'0500'!A598,'Daftar Koreksi'!$G$5:$G$92,"Peralatan dan mesin",'Daftar Koreksi'!$I$5:$I$92,"&lt;0")-SUMIFS('Daftar Koreksi'!$I$5:$I$92,'Daftar Koreksi'!$D$5:$D$92,'0500'!A598,'Daftar Koreksi'!$G$5:$G$92,"Peralatan dan mesin",'Daftar Koreksi'!$I$5:$I$92,"&lt;0")-SUMIFS('Daftar Koreksi'!$I$5:$I$92,'Daftar Koreksi'!$D$5:$D$92,'0500'!A598,'Daftar Koreksi'!$G$5:$G$92,"Peralatan dan mesin",'Daftar Koreksi'!$I$5:$I$92,"&lt;0")</f>
        <v>0</v>
      </c>
      <c r="G611" s="17">
        <f t="shared" si="27"/>
        <v>-1390066209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-3015864860</v>
      </c>
      <c r="E612" s="25">
        <f>SUMIFS('Daftar Koreksi'!$I$5:$I$92,'Daftar Koreksi'!$D$5:$D$92,'0500'!A598,'Daftar Koreksi'!$G$5:$G$92,"Gedung dan Bangunan",'Daftar Koreksi'!$I$5:$I$92,"&gt;0")</f>
        <v>0</v>
      </c>
      <c r="F612" s="25">
        <f>SUMIFS('Daftar Koreksi'!$I$5:$I$92,'Daftar Koreksi'!$D$5:$D$92,'0500'!A598,'Daftar Koreksi'!$G$5:$G$92,"Gedung dan Bangunan",'Daftar Koreksi'!$I$5:$I$92,"&lt;0")-SUMIFS('Daftar Koreksi'!$I$5:$I$92,'Daftar Koreksi'!$D$5:$D$92,'0500'!A598,'Daftar Koreksi'!$G$5:$G$92,"Gedung dan Bangunan",'Daftar Koreksi'!$I$5:$I$92,"&lt;0")-SUMIFS('Daftar Koreksi'!$I$5:$I$92,'Daftar Koreksi'!$D$5:$D$92,'0500'!A598,'Daftar Koreksi'!$G$5:$G$92,"Gedung dan Bangunan",'Daftar Koreksi'!$I$5:$I$92,"&lt;0")</f>
        <v>0</v>
      </c>
      <c r="G612" s="17">
        <f t="shared" si="27"/>
        <v>-3015864860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-39608800</v>
      </c>
      <c r="E613" s="25">
        <f>SUMIFS('Daftar Koreksi'!$I$5:$I$92,'Daftar Koreksi'!$D$5:$D$92,'0500'!A598,'Daftar Koreksi'!$G$5:$G$92,"Jalan Irigasi Jaringan",'Daftar Koreksi'!$I$5:$I$92,"&gt;0")</f>
        <v>0</v>
      </c>
      <c r="F613" s="25">
        <f>SUMIFS('Daftar Koreksi'!$I$5:$I$92,'Daftar Koreksi'!$D$5:$D$92,'0500'!A598,'Daftar Koreksi'!$G$5:$G$92,"Jalan Irigasi Jaringan",'Daftar Koreksi'!$I$5:$I$92,"&lt;0")-SUMIFS('Daftar Koreksi'!$I$5:$I$92,'Daftar Koreksi'!$D$5:$D$92,'0500'!A598,'Daftar Koreksi'!$G$5:$G$92,"Jalan Irigasi Jaringan",'Daftar Koreksi'!$I$5:$I$92,"&lt;0")-SUMIFS('Daftar Koreksi'!$I$5:$I$92,'Daftar Koreksi'!$D$5:$D$92,'0500'!A598,'Daftar Koreksi'!$G$5:$G$92,"Jalan Irigasi Jaringan",'Daftar Koreksi'!$I$5:$I$92,"&lt;0")</f>
        <v>0</v>
      </c>
      <c r="G613" s="17">
        <f t="shared" si="27"/>
        <v>-39608800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Koreksi'!$D$5:$D$92,'0500'!A598,'Daftar Koreksi'!$G$5:$G$92,"Aset Tetap Lainnya",'Daftar Koreksi'!$I$5:$I$92,"&gt;0")</f>
        <v>0</v>
      </c>
      <c r="F614" s="25">
        <f>SUMIFS('Daftar Koreksi'!$I$5:$I$92,'Daftar Koreksi'!$D$5:$D$92,'0500'!A598,'Daftar Koreksi'!$G$5:$G$92,"Aset Tetap Lainnya",'Daftar Koreksi'!$I$5:$I$92,"&lt;0")-SUMIFS('Daftar Koreksi'!$I$5:$I$92,'Daftar Koreksi'!$D$5:$D$92,'0500'!A598,'Daftar Koreksi'!$G$5:$G$92,"Aset Tetap Lainnya",'Daftar Koreksi'!$I$5:$I$92,"&lt;0")-SUMIFS('Daftar Koreksi'!$I$5:$I$92,'Daftar Koreksi'!$D$5:$D$92,'0500'!A598,'Daftar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0</v>
      </c>
      <c r="E615" s="25">
        <f>SUMIFS('Daftar Koreksi'!$I$5:$I$92,'Daftar Koreksi'!$D$5:$D$92,'0500'!A598,'Daftar Koreksi'!$G$5:$G$92,"Aset Henti Guna",'Daftar Koreksi'!$I$5:$I$92,"&gt;0")</f>
        <v>0</v>
      </c>
      <c r="F615" s="25">
        <f>SUMIFS('Daftar Koreksi'!$I$5:$I$92,'Daftar Koreksi'!$D$5:$D$92,'0500'!A598,'Daftar Koreksi'!$G$5:$G$92,"Aset Henti Guna",'Daftar Koreksi'!$I$5:$I$92,"&lt;0")-SUMIFS('Daftar Koreksi'!$I$5:$I$92,'Daftar Koreksi'!$D$5:$D$92,'0500'!A598,'Daftar Koreksi'!$G$5:$G$92,"Aset Henti Guna",'Daftar Koreksi'!$I$5:$I$92,"&lt;0")-SUMIFS('Daftar Koreksi'!$I$5:$I$92,'Daftar Koreksi'!$D$5:$D$92,'0500'!A598,'Daftar Koreksi'!$G$5:$G$92,"Aset Henti Guna",'Daftar Koreksi'!$I$5:$I$92,"&lt;0")</f>
        <v>0</v>
      </c>
      <c r="G615" s="17">
        <f t="shared" si="27"/>
        <v>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-4445539869</v>
      </c>
      <c r="E616" s="19">
        <f>SUM(E611:E615)</f>
        <v>0</v>
      </c>
      <c r="F616" s="19">
        <f>SUM(F611:F615)</f>
        <v>0</v>
      </c>
      <c r="G616" s="19">
        <f t="shared" si="27"/>
        <v>-4445539869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4109482874</v>
      </c>
      <c r="E617" s="19">
        <f>E616+E610</f>
        <v>4411622</v>
      </c>
      <c r="F617" s="19">
        <f>F616+F610</f>
        <v>0</v>
      </c>
      <c r="G617" s="19">
        <f t="shared" si="27"/>
        <v>4113894496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005010500098387000KD</v>
      </c>
      <c r="B620" s="11" t="str">
        <f>P29</f>
        <v>PN. Magetan</v>
      </c>
      <c r="C620" s="12" t="str">
        <f>A620&amp;" "&amp;B620</f>
        <v>005010500098387000KD PN. Magetan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1481600</v>
      </c>
      <c r="E623" s="25">
        <f>SUMIFS('Daftar Koreksi'!$H$5:$H$92,'Daftar Koreksi'!$D$5:$D$92,'0500'!A620,'Daftar Koreksi'!$G$5:$G$92,"Persediaan",'Daftar Koreksi'!$H$5:$H$92,"&gt;0")</f>
        <v>0</v>
      </c>
      <c r="F623" s="25">
        <f>SUMIFS('Daftar Koreksi'!$H$5:$H$92,'Daftar Koreksi'!$D$5:$D$92,'0500'!A620,'Daftar Koreksi'!$G$5:$G$92,"Persediaan",'Daftar Koreksi'!$H$5:$H$92,"&lt;0")-SUMIFS('Daftar Koreksi'!$H$5:$H$92,'Daftar Koreksi'!$D$5:$D$92,'0500'!A620,'Daftar Koreksi'!$G$5:$G$92,"Persediaan",'Daftar Koreksi'!$H$5:$H$92,"&lt;0")-SUMIFS('Daftar Koreksi'!$H$5:$H$92,'Daftar Koreksi'!$D$5:$D$92,'0500'!A620,'Daftar Koreksi'!$G$5:$G$92,"Persediaan",'Daftar Koreksi'!$H$5:$H$92,"&lt;0")</f>
        <v>0</v>
      </c>
      <c r="G623" s="17">
        <f>D623+E623-F623</f>
        <v>1481600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3145436000</v>
      </c>
      <c r="E624" s="25">
        <f>SUMIFS('Daftar Koreksi'!$H$5:$H$92,'Daftar Koreksi'!$D$5:$D$92,'0500'!A620,'Daftar Koreksi'!$G$5:$G$92,"Tanah",'Daftar Koreksi'!$H$5:$H$92,"&gt;0")</f>
        <v>0</v>
      </c>
      <c r="F624" s="25">
        <f>SUMIFS('Daftar Koreksi'!$H$5:$H$92,'Daftar Koreksi'!$D$5:$D$92,'0500'!A620,'Daftar Koreksi'!$G$5:$G$92,"Tanah",'Daftar Koreksi'!$H$5:$H$92,"&lt;0")-SUMIFS('Daftar Koreksi'!$H$5:$H$92,'Daftar Koreksi'!$D$5:$D$92,'0500'!A620,'Daftar Koreksi'!$G$5:$G$92,"Tanah",'Daftar Koreksi'!$H$5:$H$92,"&lt;0")-SUMIFS('Daftar Koreksi'!$H$5:$H$92,'Daftar Koreksi'!$D$5:$D$92,'0500'!A620,'Daftar Koreksi'!$G$5:$G$92,"Tanah",'Daftar Koreksi'!$H$5:$H$92,"&lt;0")</f>
        <v>0</v>
      </c>
      <c r="G624" s="17">
        <f t="shared" ref="G624:G640" si="28">D624+E624-F624</f>
        <v>3145436000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1498073154</v>
      </c>
      <c r="E625" s="25">
        <f>SUMIFS('Daftar Koreksi'!$H$5:$H$92,'Daftar Koreksi'!$D$5:$D$92,'0500'!A620,'Daftar Koreksi'!$G$5:$G$92,"Peralatan dan mesin",'Daftar Koreksi'!$H$5:$H$92,"&gt;0")</f>
        <v>0</v>
      </c>
      <c r="F625" s="25">
        <f>SUMIFS('Daftar Koreksi'!$H$5:$H$92,'Daftar Koreksi'!$D$5:$D$92,'0500'!A620,'Daftar Koreksi'!$G$5:$G$92,"Peralatan dan mesin",'Daftar Koreksi'!$H$5:$H$92,"&lt;0")-SUMIFS('Daftar Koreksi'!$H$5:$H$92,'Daftar Koreksi'!$D$5:$D$92,'0500'!A620,'Daftar Koreksi'!$G$5:$G$92,"Peralatan dan mesin",'Daftar Koreksi'!$H$5:$H$92,"&lt;0")-SUMIFS('Daftar Koreksi'!$H$5:$H$92,'Daftar Koreksi'!$D$5:$D$92,'0500'!A620,'Daftar Koreksi'!$G$5:$G$92,"Peralatan dan mesin",'Daftar Koreksi'!$H$5:$H$92,"&lt;0")</f>
        <v>0</v>
      </c>
      <c r="G625" s="17">
        <f t="shared" si="28"/>
        <v>1498073154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8595135000</v>
      </c>
      <c r="E626" s="25">
        <f>SUMIFS('Daftar Koreksi'!$H$5:$H$92,'Daftar Koreksi'!$D$5:$D$92,'0500'!A620,'Daftar Koreksi'!$G$5:$G$92,"Gedung dan Bangunan",'Daftar Koreksi'!$H$5:$H$92,"&gt;0")</f>
        <v>0</v>
      </c>
      <c r="F626" s="25">
        <f>SUMIFS('Daftar Koreksi'!$H$5:$H$92,'Daftar Koreksi'!$D$5:$D$92,'0500'!A620,'Daftar Koreksi'!$G$5:$G$92,"Gedung dan Bangunan",'Daftar Koreksi'!$H$5:$H$92,"&lt;0")-SUMIFS('Daftar Koreksi'!$H$5:$H$92,'Daftar Koreksi'!$D$5:$D$92,'0500'!A620,'Daftar Koreksi'!$G$5:$G$92,"Gedung dan Bangunan",'Daftar Koreksi'!$H$5:$H$92,"&lt;0")-SUMIFS('Daftar Koreksi'!$H$5:$H$92,'Daftar Koreksi'!$D$5:$D$92,'0500'!A620,'Daftar Koreksi'!$G$5:$G$92,"Gedung dan Bangunan",'Daftar Koreksi'!$H$5:$H$92,"&lt;0")</f>
        <v>0</v>
      </c>
      <c r="G626" s="17">
        <f t="shared" si="28"/>
        <v>8595135000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Koreksi'!$D$5:$D$92,'0500'!A620,'Daftar Koreksi'!$G$5:$G$92,"Jalan Irigasi Jaringan",'Daftar Koreksi'!$H$5:$H$92,"&gt;0")</f>
        <v>0</v>
      </c>
      <c r="F627" s="25">
        <f>SUMIFS('Daftar Koreksi'!$H$5:$H$92,'Daftar Koreksi'!$D$5:$D$92,'0500'!A620,'Daftar Koreksi'!$G$5:$G$92,"Jalan Irigasi Jaringan",'Daftar Koreksi'!$H$5:$H$92,"&lt;0")-SUMIFS('Daftar Koreksi'!$H$5:$H$92,'Daftar Koreksi'!$D$5:$D$92,'0500'!A620,'Daftar Koreksi'!$G$5:$G$92,"Jalan Irigasi Jaringan",'Daftar Koreksi'!$H$5:$H$92,"&lt;0")-SUMIFS('Daftar Koreksi'!$H$5:$H$92,'Daftar Koreksi'!$D$5:$D$92,'0500'!A620,'Daftar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9183740</v>
      </c>
      <c r="E628" s="25">
        <f>SUMIFS('Daftar Koreksi'!$H$5:$H$92,'Daftar Koreksi'!$D$5:$D$92,'0500'!A620,'Daftar Koreksi'!$G$5:$G$92,"Aset Tetap Lainnya",'Daftar Koreksi'!$H$5:$H$92,"&gt;0")</f>
        <v>0</v>
      </c>
      <c r="F628" s="25">
        <f>SUMIFS('Daftar Koreksi'!$H$5:$H$92,'Daftar Koreksi'!$D$5:$D$92,'0500'!A620,'Daftar Koreksi'!$G$5:$G$92,"Aset Tetap Lainnya",'Daftar Koreksi'!$H$5:$H$92,"&lt;0")-SUMIFS('Daftar Koreksi'!$H$5:$H$92,'Daftar Koreksi'!$D$5:$D$92,'0500'!A620,'Daftar Koreksi'!$G$5:$G$92,"Aset Tetap Lainnya",'Daftar Koreksi'!$H$5:$H$92,"&lt;0")-SUMIFS('Daftar Koreksi'!$H$5:$H$92,'Daftar Koreksi'!$D$5:$D$92,'0500'!A620,'Daftar Koreksi'!$G$5:$G$92,"Aset Tetap Lainnya",'Daftar Koreksi'!$H$5:$H$92,"&lt;0")</f>
        <v>0</v>
      </c>
      <c r="G628" s="17">
        <f t="shared" si="28"/>
        <v>9183740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Koreksi'!$D$5:$D$92,'0500'!A620,'Daftar Koreksi'!$G$5:$G$92,"Kontruksi Dalam Pengerjaan",'Daftar Koreksi'!$H$5:$H$92,"&gt;0")</f>
        <v>0</v>
      </c>
      <c r="F629" s="25">
        <f>SUMIFS('Daftar Koreksi'!$H$5:$H$92,'Daftar Koreksi'!$D$5:$D$92,'0500'!A620,'Daftar Koreksi'!$G$5:$G$92,"Kontruksi Dalam Pengerjaan",'Daftar Koreksi'!$H$5:$H$92,"&lt;0")-SUMIFS('Daftar Koreksi'!$H$5:$H$92,'Daftar Koreksi'!$D$5:$D$92,'0500'!A620,'Daftar Koreksi'!$G$5:$G$92,"Kontruksi Dalam Pengerjaan",'Daftar Koreksi'!$H$5:$H$92,"&lt;0")-SUMIFS('Daftar Koreksi'!$H$5:$H$92,'Daftar Koreksi'!$D$5:$D$92,'0500'!A620,'Daftar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0</v>
      </c>
      <c r="E630" s="25">
        <f>SUMIFS('Daftar Koreksi'!$H$5:$H$92,'Daftar Koreksi'!$D$5:$D$92,'0500'!A620,'Daftar Koreksi'!$G$5:$G$92,"Aset Tak Berwujud",'Daftar Koreksi'!$H$5:$H$92,"&gt;0")</f>
        <v>0</v>
      </c>
      <c r="F630" s="25">
        <f>SUMIFS('Daftar Koreksi'!$H$5:$H$92,'Daftar Koreksi'!$D$5:$D$92,'0500'!A620,'Daftar Koreksi'!$G$5:$G$92,"Aset Tak Berwujud",'Daftar Koreksi'!$H$5:$H$92,"&lt;0")-SUMIFS('Daftar Koreksi'!$H$5:$H$92,'Daftar Koreksi'!$D$5:$D$92,'0500'!A620,'Daftar Koreksi'!$G$5:$G$92,"Aset Tak Berwujud",'Daftar Koreksi'!$H$5:$H$92,"&lt;0")-SUMIFS('Daftar Koreksi'!$H$5:$H$92,'Daftar Koreksi'!$D$5:$D$92,'0500'!A620,'Daftar Koreksi'!$G$5:$G$92,"Aset Tak Berwujud",'Daftar Koreksi'!$H$5:$H$92,"&lt;0")</f>
        <v>0</v>
      </c>
      <c r="G630" s="17">
        <f t="shared" si="28"/>
        <v>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0</v>
      </c>
      <c r="E631" s="25">
        <f>SUMIFS('Daftar Koreksi'!$H$5:$H$92,'Daftar Koreksi'!$D$5:$D$92,'0500'!A620,'Daftar Koreksi'!$G$5:$G$92,"Aset Henti Guna",'Daftar Koreksi'!$H$5:$H$92,"&gt;0")</f>
        <v>0</v>
      </c>
      <c r="F631" s="25">
        <f>SUMIFS('Daftar Koreksi'!$H$5:$H$92,'Daftar Koreksi'!$D$5:$D$92,'0500'!A620,'Daftar Koreksi'!$G$5:$G$92,"Aset Henti Guna",'Daftar Koreksi'!$H$5:$H$92,"&lt;0")-SUMIFS('Daftar Koreksi'!$H$5:$H$92,'Daftar Koreksi'!$D$5:$D$92,'0500'!A620,'Daftar Koreksi'!$G$5:$G$92,"Aset Henti Guna",'Daftar Koreksi'!$H$5:$H$92,"&lt;0")-SUMIFS('Daftar Koreksi'!$H$5:$H$92,'Daftar Koreksi'!$D$5:$D$92,'0500'!A620,'Daftar Koreksi'!$G$5:$G$92,"Aset Henti Guna",'Daftar Koreksi'!$H$5:$H$92,"&lt;0")</f>
        <v>0</v>
      </c>
      <c r="G631" s="17">
        <f t="shared" si="28"/>
        <v>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13249309494</v>
      </c>
      <c r="E632" s="19">
        <f>SUM(E623:E631)</f>
        <v>0</v>
      </c>
      <c r="F632" s="19">
        <f>SUM(F623:F631)</f>
        <v>0</v>
      </c>
      <c r="G632" s="19">
        <f t="shared" si="28"/>
        <v>13249309494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-1303866948</v>
      </c>
      <c r="E633" s="25">
        <f>SUMIFS('Daftar Koreksi'!$I$5:$I$92,'Daftar Koreksi'!$D$5:$D$92,'0500'!A620,'Daftar Koreksi'!$G$5:$G$92,"Peralatan dan mesin",'Daftar Koreksi'!$I$5:$I$92,"&gt;0")</f>
        <v>0</v>
      </c>
      <c r="F633" s="25">
        <f>SUMIFS('Daftar Koreksi'!$I$5:$I$92,'Daftar Koreksi'!$D$5:$D$92,'0500'!A620,'Daftar Koreksi'!$G$5:$G$92,"Peralatan dan mesin",'Daftar Koreksi'!$I$5:$I$92,"&lt;0")-SUMIFS('Daftar Koreksi'!$I$5:$I$92,'Daftar Koreksi'!$D$5:$D$92,'0500'!A620,'Daftar Koreksi'!$G$5:$G$92,"Peralatan dan mesin",'Daftar Koreksi'!$I$5:$I$92,"&lt;0")-SUMIFS('Daftar Koreksi'!$I$5:$I$92,'Daftar Koreksi'!$D$5:$D$92,'0500'!A620,'Daftar Koreksi'!$G$5:$G$92,"Peralatan dan mesin",'Daftar Koreksi'!$I$5:$I$92,"&lt;0")</f>
        <v>0</v>
      </c>
      <c r="G633" s="17">
        <f t="shared" si="28"/>
        <v>-1303866948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-1196886129</v>
      </c>
      <c r="E634" s="25">
        <f>SUMIFS('Daftar Koreksi'!$I$5:$I$92,'Daftar Koreksi'!$D$5:$D$92,'0500'!A620,'Daftar Koreksi'!$G$5:$G$92,"Gedung dan Bangunan",'Daftar Koreksi'!$I$5:$I$92,"&gt;0")</f>
        <v>0</v>
      </c>
      <c r="F634" s="25">
        <f>SUMIFS('Daftar Koreksi'!$I$5:$I$92,'Daftar Koreksi'!$D$5:$D$92,'0500'!A620,'Daftar Koreksi'!$G$5:$G$92,"Gedung dan Bangunan",'Daftar Koreksi'!$I$5:$I$92,"&lt;0")-SUMIFS('Daftar Koreksi'!$I$5:$I$92,'Daftar Koreksi'!$D$5:$D$92,'0500'!A620,'Daftar Koreksi'!$G$5:$G$92,"Gedung dan Bangunan",'Daftar Koreksi'!$I$5:$I$92,"&lt;0")-SUMIFS('Daftar Koreksi'!$I$5:$I$92,'Daftar Koreksi'!$D$5:$D$92,'0500'!A620,'Daftar Koreksi'!$G$5:$G$92,"Gedung dan Bangunan",'Daftar Koreksi'!$I$5:$I$92,"&lt;0")</f>
        <v>0</v>
      </c>
      <c r="G634" s="17">
        <f t="shared" si="28"/>
        <v>-1196886129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Koreksi'!$D$5:$D$92,'0500'!A620,'Daftar Koreksi'!$G$5:$G$92,"Jalan Irigasi Jaringan",'Daftar Koreksi'!$I$5:$I$92,"&gt;0")</f>
        <v>0</v>
      </c>
      <c r="F635" s="25">
        <f>SUMIFS('Daftar Koreksi'!$I$5:$I$92,'Daftar Koreksi'!$D$5:$D$92,'0500'!A620,'Daftar Koreksi'!$G$5:$G$92,"Jalan Irigasi Jaringan",'Daftar Koreksi'!$I$5:$I$92,"&lt;0")-SUMIFS('Daftar Koreksi'!$I$5:$I$92,'Daftar Koreksi'!$D$5:$D$92,'0500'!A620,'Daftar Koreksi'!$G$5:$G$92,"Jalan Irigasi Jaringan",'Daftar Koreksi'!$I$5:$I$92,"&lt;0")-SUMIFS('Daftar Koreksi'!$I$5:$I$92,'Daftar Koreksi'!$D$5:$D$92,'0500'!A620,'Daftar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Koreksi'!$D$5:$D$92,'0500'!A620,'Daftar Koreksi'!$G$5:$G$92,"Aset Tetap Lainnya",'Daftar Koreksi'!$I$5:$I$92,"&gt;0")</f>
        <v>0</v>
      </c>
      <c r="F636" s="25">
        <f>SUMIFS('Daftar Koreksi'!$I$5:$I$92,'Daftar Koreksi'!$D$5:$D$92,'0500'!A620,'Daftar Koreksi'!$G$5:$G$92,"Aset Tetap Lainnya",'Daftar Koreksi'!$I$5:$I$92,"&lt;0")-SUMIFS('Daftar Koreksi'!$I$5:$I$92,'Daftar Koreksi'!$D$5:$D$92,'0500'!A620,'Daftar Koreksi'!$G$5:$G$92,"Aset Tetap Lainnya",'Daftar Koreksi'!$I$5:$I$92,"&lt;0")-SUMIFS('Daftar Koreksi'!$I$5:$I$92,'Daftar Koreksi'!$D$5:$D$92,'0500'!A620,'Daftar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0</v>
      </c>
      <c r="E637" s="25">
        <f>SUMIFS('Daftar Koreksi'!$I$5:$I$92,'Daftar Koreksi'!$D$5:$D$92,'0500'!A620,'Daftar Koreksi'!$G$5:$G$92,"Aset Henti Guna",'Daftar Koreksi'!$I$5:$I$92,"&gt;0")</f>
        <v>0</v>
      </c>
      <c r="F637" s="25">
        <f>SUMIFS('Daftar Koreksi'!$I$5:$I$92,'Daftar Koreksi'!$D$5:$D$92,'0500'!A620,'Daftar Koreksi'!$G$5:$G$92,"Aset Henti Guna",'Daftar Koreksi'!$I$5:$I$92,"&lt;0")-SUMIFS('Daftar Koreksi'!$I$5:$I$92,'Daftar Koreksi'!$D$5:$D$92,'0500'!A620,'Daftar Koreksi'!$G$5:$G$92,"Aset Henti Guna",'Daftar Koreksi'!$I$5:$I$92,"&lt;0")-SUMIFS('Daftar Koreksi'!$I$5:$I$92,'Daftar Koreksi'!$D$5:$D$92,'0500'!A620,'Daftar Koreksi'!$G$5:$G$92,"Aset Henti Guna",'Daftar Koreksi'!$I$5:$I$92,"&lt;0")</f>
        <v>0</v>
      </c>
      <c r="G637" s="17">
        <f t="shared" si="28"/>
        <v>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-2500753077</v>
      </c>
      <c r="E638" s="19">
        <f>SUM(E633:E637)</f>
        <v>0</v>
      </c>
      <c r="F638" s="19">
        <f>SUM(F633:F637)</f>
        <v>0</v>
      </c>
      <c r="G638" s="19">
        <f t="shared" si="28"/>
        <v>-2500753077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10748556417</v>
      </c>
      <c r="E639" s="19">
        <f>E638+E632</f>
        <v>0</v>
      </c>
      <c r="F639" s="19">
        <f>F638+F632</f>
        <v>0</v>
      </c>
      <c r="G639" s="19">
        <f t="shared" si="28"/>
        <v>10748556417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005010500098391000KD</v>
      </c>
      <c r="B642" s="11" t="str">
        <f>P30</f>
        <v>PN. Pamekasan</v>
      </c>
      <c r="C642" s="12" t="str">
        <f>A642&amp;" "&amp;B642</f>
        <v>005010500098391000KD PN. Pamekasan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785000</v>
      </c>
      <c r="E645" s="25">
        <f>SUMIFS('Daftar Koreksi'!$H$5:$H$92,'Daftar Koreksi'!$D$5:$D$92,'0500'!A642,'Daftar Koreksi'!$G$5:$G$92,"Persediaan",'Daftar Koreksi'!$H$5:$H$92,"&gt;0")</f>
        <v>0</v>
      </c>
      <c r="F645" s="25">
        <f>SUMIFS('Daftar Koreksi'!$H$5:$H$92,'Daftar Koreksi'!$D$5:$D$92,'0500'!A642,'Daftar Koreksi'!$G$5:$G$92,"Persediaan",'Daftar Koreksi'!$H$5:$H$92,"&lt;0")-SUMIFS('Daftar Koreksi'!$H$5:$H$92,'Daftar Koreksi'!$D$5:$D$92,'0500'!A642,'Daftar Koreksi'!$G$5:$G$92,"Persediaan",'Daftar Koreksi'!$H$5:$H$92,"&lt;0")-SUMIFS('Daftar Koreksi'!$H$5:$H$92,'Daftar Koreksi'!$D$5:$D$92,'0500'!A642,'Daftar Koreksi'!$G$5:$G$92,"Persediaan",'Daftar Koreksi'!$H$5:$H$92,"&lt;0")</f>
        <v>0</v>
      </c>
      <c r="G645" s="17">
        <f>D645+E645-F645</f>
        <v>785000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4588558900</v>
      </c>
      <c r="E646" s="25">
        <f>SUMIFS('Daftar Koreksi'!$H$5:$H$92,'Daftar Koreksi'!$D$5:$D$92,'0500'!A642,'Daftar Koreksi'!$G$5:$G$92,"Tanah",'Daftar Koreksi'!$H$5:$H$92,"&gt;0")</f>
        <v>0</v>
      </c>
      <c r="F646" s="25">
        <f>SUMIFS('Daftar Koreksi'!$H$5:$H$92,'Daftar Koreksi'!$D$5:$D$92,'0500'!A642,'Daftar Koreksi'!$G$5:$G$92,"Tanah",'Daftar Koreksi'!$H$5:$H$92,"&lt;0")-SUMIFS('Daftar Koreksi'!$H$5:$H$92,'Daftar Koreksi'!$D$5:$D$92,'0500'!A642,'Daftar Koreksi'!$G$5:$G$92,"Tanah",'Daftar Koreksi'!$H$5:$H$92,"&lt;0")-SUMIFS('Daftar Koreksi'!$H$5:$H$92,'Daftar Koreksi'!$D$5:$D$92,'0500'!A642,'Daftar Koreksi'!$G$5:$G$92,"Tanah",'Daftar Koreksi'!$H$5:$H$92,"&lt;0")</f>
        <v>0</v>
      </c>
      <c r="G646" s="17">
        <f t="shared" ref="G646:G662" si="29">D646+E646-F646</f>
        <v>4588558900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1738390549</v>
      </c>
      <c r="E647" s="25">
        <f>SUMIFS('Daftar Koreksi'!$H$5:$H$92,'Daftar Koreksi'!$D$5:$D$92,'0500'!A642,'Daftar Koreksi'!$G$5:$G$92,"Peralatan dan mesin",'Daftar Koreksi'!$H$5:$H$92,"&gt;0")</f>
        <v>0</v>
      </c>
      <c r="F647" s="25">
        <f>SUMIFS('Daftar Koreksi'!$H$5:$H$92,'Daftar Koreksi'!$D$5:$D$92,'0500'!A642,'Daftar Koreksi'!$G$5:$G$92,"Peralatan dan mesin",'Daftar Koreksi'!$H$5:$H$92,"&lt;0")-SUMIFS('Daftar Koreksi'!$H$5:$H$92,'Daftar Koreksi'!$D$5:$D$92,'0500'!A642,'Daftar Koreksi'!$G$5:$G$92,"Peralatan dan mesin",'Daftar Koreksi'!$H$5:$H$92,"&lt;0")-SUMIFS('Daftar Koreksi'!$H$5:$H$92,'Daftar Koreksi'!$D$5:$D$92,'0500'!A642,'Daftar Koreksi'!$G$5:$G$92,"Peralatan dan mesin",'Daftar Koreksi'!$H$5:$H$92,"&lt;0")</f>
        <v>0</v>
      </c>
      <c r="G647" s="17">
        <f t="shared" si="29"/>
        <v>1738390549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2979181221</v>
      </c>
      <c r="E648" s="25">
        <f>SUMIFS('Daftar Koreksi'!$H$5:$H$92,'Daftar Koreksi'!$D$5:$D$92,'0500'!A642,'Daftar Koreksi'!$G$5:$G$92,"Gedung dan Bangunan",'Daftar Koreksi'!$H$5:$H$92,"&gt;0")</f>
        <v>0</v>
      </c>
      <c r="F648" s="25">
        <f>SUMIFS('Daftar Koreksi'!$H$5:$H$92,'Daftar Koreksi'!$D$5:$D$92,'0500'!A642,'Daftar Koreksi'!$G$5:$G$92,"Gedung dan Bangunan",'Daftar Koreksi'!$H$5:$H$92,"&lt;0")-SUMIFS('Daftar Koreksi'!$H$5:$H$92,'Daftar Koreksi'!$D$5:$D$92,'0500'!A642,'Daftar Koreksi'!$G$5:$G$92,"Gedung dan Bangunan",'Daftar Koreksi'!$H$5:$H$92,"&lt;0")-SUMIFS('Daftar Koreksi'!$H$5:$H$92,'Daftar Koreksi'!$D$5:$D$92,'0500'!A642,'Daftar Koreksi'!$G$5:$G$92,"Gedung dan Bangunan",'Daftar Koreksi'!$H$5:$H$92,"&lt;0")</f>
        <v>0</v>
      </c>
      <c r="G648" s="17">
        <f t="shared" si="29"/>
        <v>2979181221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0</v>
      </c>
      <c r="E649" s="25">
        <f>SUMIFS('Daftar Koreksi'!$H$5:$H$92,'Daftar Koreksi'!$D$5:$D$92,'0500'!A642,'Daftar Koreksi'!$G$5:$G$92,"Jalan Irigasi Jaringan",'Daftar Koreksi'!$H$5:$H$92,"&gt;0")</f>
        <v>0</v>
      </c>
      <c r="F649" s="25">
        <f>SUMIFS('Daftar Koreksi'!$H$5:$H$92,'Daftar Koreksi'!$D$5:$D$92,'0500'!A642,'Daftar Koreksi'!$G$5:$G$92,"Jalan Irigasi Jaringan",'Daftar Koreksi'!$H$5:$H$92,"&lt;0")-SUMIFS('Daftar Koreksi'!$H$5:$H$92,'Daftar Koreksi'!$D$5:$D$92,'0500'!A642,'Daftar Koreksi'!$G$5:$G$92,"Jalan Irigasi Jaringan",'Daftar Koreksi'!$H$5:$H$92,"&lt;0")-SUMIFS('Daftar Koreksi'!$H$5:$H$92,'Daftar Koreksi'!$D$5:$D$92,'0500'!A642,'Daftar Koreksi'!$G$5:$G$92,"Jalan Irigasi Jaringan",'Daftar Koreksi'!$H$5:$H$92,"&lt;0")</f>
        <v>0</v>
      </c>
      <c r="G649" s="17">
        <f t="shared" si="29"/>
        <v>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6553062</v>
      </c>
      <c r="E650" s="25">
        <f>SUMIFS('Daftar Koreksi'!$H$5:$H$92,'Daftar Koreksi'!$D$5:$D$92,'0500'!A642,'Daftar Koreksi'!$G$5:$G$92,"Aset Tetap Lainnya",'Daftar Koreksi'!$H$5:$H$92,"&gt;0")</f>
        <v>0</v>
      </c>
      <c r="F650" s="25">
        <f>SUMIFS('Daftar Koreksi'!$H$5:$H$92,'Daftar Koreksi'!$D$5:$D$92,'0500'!A642,'Daftar Koreksi'!$G$5:$G$92,"Aset Tetap Lainnya",'Daftar Koreksi'!$H$5:$H$92,"&lt;0")-SUMIFS('Daftar Koreksi'!$H$5:$H$92,'Daftar Koreksi'!$D$5:$D$92,'0500'!A642,'Daftar Koreksi'!$G$5:$G$92,"Aset Tetap Lainnya",'Daftar Koreksi'!$H$5:$H$92,"&lt;0")-SUMIFS('Daftar Koreksi'!$H$5:$H$92,'Daftar Koreksi'!$D$5:$D$92,'0500'!A642,'Daftar Koreksi'!$G$5:$G$92,"Aset Tetap Lainnya",'Daftar Koreksi'!$H$5:$H$92,"&lt;0")</f>
        <v>0</v>
      </c>
      <c r="G650" s="17">
        <f t="shared" si="29"/>
        <v>6553062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Koreksi'!$D$5:$D$92,'0500'!A642,'Daftar Koreksi'!$G$5:$G$92,"Kontruksi Dalam Pengerjaan",'Daftar Koreksi'!$H$5:$H$92,"&gt;0")</f>
        <v>0</v>
      </c>
      <c r="F651" s="25">
        <f>SUMIFS('Daftar Koreksi'!$H$5:$H$92,'Daftar Koreksi'!$D$5:$D$92,'0500'!A642,'Daftar Koreksi'!$G$5:$G$92,"Kontruksi Dalam Pengerjaan",'Daftar Koreksi'!$H$5:$H$92,"&lt;0")-SUMIFS('Daftar Koreksi'!$H$5:$H$92,'Daftar Koreksi'!$D$5:$D$92,'0500'!A642,'Daftar Koreksi'!$G$5:$G$92,"Kontruksi Dalam Pengerjaan",'Daftar Koreksi'!$H$5:$H$92,"&lt;0")-SUMIFS('Daftar Koreksi'!$H$5:$H$92,'Daftar Koreksi'!$D$5:$D$92,'0500'!A642,'Daftar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7450000</v>
      </c>
      <c r="E652" s="25">
        <f>SUMIFS('Daftar Koreksi'!$H$5:$H$92,'Daftar Koreksi'!$D$5:$D$92,'0500'!A642,'Daftar Koreksi'!$G$5:$G$92,"Aset Tak Berwujud",'Daftar Koreksi'!$H$5:$H$92,"&gt;0")</f>
        <v>0</v>
      </c>
      <c r="F652" s="25">
        <f>SUMIFS('Daftar Koreksi'!$H$5:$H$92,'Daftar Koreksi'!$D$5:$D$92,'0500'!A642,'Daftar Koreksi'!$G$5:$G$92,"Aset Tak Berwujud",'Daftar Koreksi'!$H$5:$H$92,"&lt;0")-SUMIFS('Daftar Koreksi'!$H$5:$H$92,'Daftar Koreksi'!$D$5:$D$92,'0500'!A642,'Daftar Koreksi'!$G$5:$G$92,"Aset Tak Berwujud",'Daftar Koreksi'!$H$5:$H$92,"&lt;0")-SUMIFS('Daftar Koreksi'!$H$5:$H$92,'Daftar Koreksi'!$D$5:$D$92,'0500'!A642,'Daftar Koreksi'!$G$5:$G$92,"Aset Tak Berwujud",'Daftar Koreksi'!$H$5:$H$92,"&lt;0")</f>
        <v>0</v>
      </c>
      <c r="G652" s="17">
        <f t="shared" si="29"/>
        <v>7450000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239604730</v>
      </c>
      <c r="E653" s="25">
        <f>SUMIFS('Daftar Koreksi'!$H$5:$H$92,'Daftar Koreksi'!$D$5:$D$92,'0500'!A642,'Daftar Koreksi'!$G$5:$G$92,"Aset Henti Guna",'Daftar Koreksi'!$H$5:$H$92,"&gt;0")</f>
        <v>0</v>
      </c>
      <c r="F653" s="25">
        <f>SUMIFS('Daftar Koreksi'!$H$5:$H$92,'Daftar Koreksi'!$D$5:$D$92,'0500'!A642,'Daftar Koreksi'!$G$5:$G$92,"Aset Henti Guna",'Daftar Koreksi'!$H$5:$H$92,"&lt;0")-SUMIFS('Daftar Koreksi'!$H$5:$H$92,'Daftar Koreksi'!$D$5:$D$92,'0500'!A642,'Daftar Koreksi'!$G$5:$G$92,"Aset Henti Guna",'Daftar Koreksi'!$H$5:$H$92,"&lt;0")-SUMIFS('Daftar Koreksi'!$H$5:$H$92,'Daftar Koreksi'!$D$5:$D$92,'0500'!A642,'Daftar Koreksi'!$G$5:$G$92,"Aset Henti Guna",'Daftar Koreksi'!$H$5:$H$92,"&lt;0")</f>
        <v>0</v>
      </c>
      <c r="G653" s="17">
        <f t="shared" si="29"/>
        <v>239604730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9560523462</v>
      </c>
      <c r="E654" s="19">
        <f>SUM(E645:E653)</f>
        <v>0</v>
      </c>
      <c r="F654" s="19">
        <f>SUM(F645:F653)</f>
        <v>0</v>
      </c>
      <c r="G654" s="19">
        <f t="shared" si="29"/>
        <v>9560523462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-1571877948</v>
      </c>
      <c r="E655" s="25">
        <f>SUMIFS('Daftar Koreksi'!$I$5:$I$92,'Daftar Koreksi'!$D$5:$D$92,'0500'!A642,'Daftar Koreksi'!$G$5:$G$92,"Peralatan dan mesin",'Daftar Koreksi'!$I$5:$I$92,"&gt;0")</f>
        <v>0</v>
      </c>
      <c r="F655" s="25">
        <f>SUMIFS('Daftar Koreksi'!$I$5:$I$92,'Daftar Koreksi'!$D$5:$D$92,'0500'!A642,'Daftar Koreksi'!$G$5:$G$92,"Peralatan dan mesin",'Daftar Koreksi'!$I$5:$I$92,"&lt;0")-SUMIFS('Daftar Koreksi'!$I$5:$I$92,'Daftar Koreksi'!$D$5:$D$92,'0500'!A642,'Daftar Koreksi'!$G$5:$G$92,"Peralatan dan mesin",'Daftar Koreksi'!$I$5:$I$92,"&lt;0")-SUMIFS('Daftar Koreksi'!$I$5:$I$92,'Daftar Koreksi'!$D$5:$D$92,'0500'!A642,'Daftar Koreksi'!$G$5:$G$92,"Peralatan dan mesin",'Daftar Koreksi'!$I$5:$I$92,"&lt;0")</f>
        <v>0</v>
      </c>
      <c r="G655" s="17">
        <f t="shared" si="29"/>
        <v>-1571877948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-1815974306</v>
      </c>
      <c r="E656" s="25">
        <f>SUMIFS('Daftar Koreksi'!$I$5:$I$92,'Daftar Koreksi'!$D$5:$D$92,'0500'!A642,'Daftar Koreksi'!$G$5:$G$92,"Gedung dan Bangunan",'Daftar Koreksi'!$I$5:$I$92,"&gt;0")</f>
        <v>0</v>
      </c>
      <c r="F656" s="25">
        <f>SUMIFS('Daftar Koreksi'!$I$5:$I$92,'Daftar Koreksi'!$D$5:$D$92,'0500'!A642,'Daftar Koreksi'!$G$5:$G$92,"Gedung dan Bangunan",'Daftar Koreksi'!$I$5:$I$92,"&lt;0")-SUMIFS('Daftar Koreksi'!$I$5:$I$92,'Daftar Koreksi'!$D$5:$D$92,'0500'!A642,'Daftar Koreksi'!$G$5:$G$92,"Gedung dan Bangunan",'Daftar Koreksi'!$I$5:$I$92,"&lt;0")-SUMIFS('Daftar Koreksi'!$I$5:$I$92,'Daftar Koreksi'!$D$5:$D$92,'0500'!A642,'Daftar Koreksi'!$G$5:$G$92,"Gedung dan Bangunan",'Daftar Koreksi'!$I$5:$I$92,"&lt;0")</f>
        <v>0</v>
      </c>
      <c r="G656" s="17">
        <f t="shared" si="29"/>
        <v>-1815974306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0</v>
      </c>
      <c r="E657" s="25">
        <f>SUMIFS('Daftar Koreksi'!$I$5:$I$92,'Daftar Koreksi'!$D$5:$D$92,'0500'!A642,'Daftar Koreksi'!$G$5:$G$92,"Jalan Irigasi Jaringan",'Daftar Koreksi'!$I$5:$I$92,"&gt;0")</f>
        <v>0</v>
      </c>
      <c r="F657" s="25">
        <f>SUMIFS('Daftar Koreksi'!$I$5:$I$92,'Daftar Koreksi'!$D$5:$D$92,'0500'!A642,'Daftar Koreksi'!$G$5:$G$92,"Jalan Irigasi Jaringan",'Daftar Koreksi'!$I$5:$I$92,"&lt;0")-SUMIFS('Daftar Koreksi'!$I$5:$I$92,'Daftar Koreksi'!$D$5:$D$92,'0500'!A642,'Daftar Koreksi'!$G$5:$G$92,"Jalan Irigasi Jaringan",'Daftar Koreksi'!$I$5:$I$92,"&lt;0")-SUMIFS('Daftar Koreksi'!$I$5:$I$92,'Daftar Koreksi'!$D$5:$D$92,'0500'!A642,'Daftar Koreksi'!$G$5:$G$92,"Jalan Irigasi Jaringan",'Daftar Koreksi'!$I$5:$I$92,"&lt;0")</f>
        <v>0</v>
      </c>
      <c r="G657" s="17">
        <f t="shared" si="29"/>
        <v>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Koreksi'!$D$5:$D$92,'0500'!A642,'Daftar Koreksi'!$G$5:$G$92,"Aset Tetap Lainnya",'Daftar Koreksi'!$I$5:$I$92,"&gt;0")</f>
        <v>0</v>
      </c>
      <c r="F658" s="25">
        <f>SUMIFS('Daftar Koreksi'!$I$5:$I$92,'Daftar Koreksi'!$D$5:$D$92,'0500'!A642,'Daftar Koreksi'!$G$5:$G$92,"Aset Tetap Lainnya",'Daftar Koreksi'!$I$5:$I$92,"&lt;0")-SUMIFS('Daftar Koreksi'!$I$5:$I$92,'Daftar Koreksi'!$D$5:$D$92,'0500'!A642,'Daftar Koreksi'!$G$5:$G$92,"Aset Tetap Lainnya",'Daftar Koreksi'!$I$5:$I$92,"&lt;0")-SUMIFS('Daftar Koreksi'!$I$5:$I$92,'Daftar Koreksi'!$D$5:$D$92,'0500'!A642,'Daftar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-180040744</v>
      </c>
      <c r="E659" s="25">
        <f>SUMIFS('Daftar Koreksi'!$I$5:$I$92,'Daftar Koreksi'!$D$5:$D$92,'0500'!A642,'Daftar Koreksi'!$G$5:$G$92,"Aset Henti Guna",'Daftar Koreksi'!$I$5:$I$92,"&gt;0")</f>
        <v>0</v>
      </c>
      <c r="F659" s="25">
        <f>SUMIFS('Daftar Koreksi'!$I$5:$I$92,'Daftar Koreksi'!$D$5:$D$92,'0500'!A642,'Daftar Koreksi'!$G$5:$G$92,"Aset Henti Guna",'Daftar Koreksi'!$I$5:$I$92,"&lt;0")-SUMIFS('Daftar Koreksi'!$I$5:$I$92,'Daftar Koreksi'!$D$5:$D$92,'0500'!A642,'Daftar Koreksi'!$G$5:$G$92,"Aset Henti Guna",'Daftar Koreksi'!$I$5:$I$92,"&lt;0")-SUMIFS('Daftar Koreksi'!$I$5:$I$92,'Daftar Koreksi'!$D$5:$D$92,'0500'!A642,'Daftar Koreksi'!$G$5:$G$92,"Aset Henti Guna",'Daftar Koreksi'!$I$5:$I$92,"&lt;0")</f>
        <v>0</v>
      </c>
      <c r="G659" s="17">
        <f t="shared" si="29"/>
        <v>-180040744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-3567892998</v>
      </c>
      <c r="E660" s="19">
        <f>SUM(E655:E659)</f>
        <v>0</v>
      </c>
      <c r="F660" s="19">
        <f>SUM(F655:F659)</f>
        <v>0</v>
      </c>
      <c r="G660" s="19">
        <f t="shared" si="29"/>
        <v>-3567892998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5992630464</v>
      </c>
      <c r="E661" s="19">
        <f>E660+E654</f>
        <v>0</v>
      </c>
      <c r="F661" s="19">
        <f>F660+F654</f>
        <v>0</v>
      </c>
      <c r="G661" s="19">
        <f t="shared" si="29"/>
        <v>5992630464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005010500098409000KD</v>
      </c>
      <c r="B664" s="11" t="str">
        <f>P31</f>
        <v>PN. Sumenep</v>
      </c>
      <c r="C664" s="12" t="str">
        <f>A664&amp;" "&amp;B664</f>
        <v>005010500098409000KD PN. Sumenep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0</v>
      </c>
      <c r="E667" s="25">
        <f>SUMIFS('Daftar Koreksi'!$H$5:$H$92,'Daftar Koreksi'!$D$5:$D$92,'0500'!A664,'Daftar Koreksi'!$G$5:$G$92,"Persediaan",'Daftar Koreksi'!$H$5:$H$92,"&gt;0")</f>
        <v>0</v>
      </c>
      <c r="F667" s="25">
        <f>SUMIFS('Daftar Koreksi'!$H$5:$H$92,'Daftar Koreksi'!$D$5:$D$92,'0500'!A664,'Daftar Koreksi'!$G$5:$G$92,"Persediaan",'Daftar Koreksi'!$H$5:$H$92,"&lt;0")-SUMIFS('Daftar Koreksi'!$H$5:$H$92,'Daftar Koreksi'!$D$5:$D$92,'0500'!A664,'Daftar Koreksi'!$G$5:$G$92,"Persediaan",'Daftar Koreksi'!$H$5:$H$92,"&lt;0")-SUMIFS('Daftar Koreksi'!$H$5:$H$92,'Daftar Koreksi'!$D$5:$D$92,'0500'!A664,'Daftar Koreksi'!$G$5:$G$92,"Persediaan",'Daftar Koreksi'!$H$5:$H$92,"&lt;0")</f>
        <v>0</v>
      </c>
      <c r="G667" s="17">
        <f>D667+E667-F667</f>
        <v>0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2923669600</v>
      </c>
      <c r="E668" s="25">
        <f>SUMIFS('Daftar Koreksi'!$H$5:$H$92,'Daftar Koreksi'!$D$5:$D$92,'0500'!A664,'Daftar Koreksi'!$G$5:$G$92,"Tanah",'Daftar Koreksi'!$H$5:$H$92,"&gt;0")</f>
        <v>0</v>
      </c>
      <c r="F668" s="25">
        <f>SUMIFS('Daftar Koreksi'!$H$5:$H$92,'Daftar Koreksi'!$D$5:$D$92,'0500'!A664,'Daftar Koreksi'!$G$5:$G$92,"Tanah",'Daftar Koreksi'!$H$5:$H$92,"&lt;0")-SUMIFS('Daftar Koreksi'!$H$5:$H$92,'Daftar Koreksi'!$D$5:$D$92,'0500'!A664,'Daftar Koreksi'!$G$5:$G$92,"Tanah",'Daftar Koreksi'!$H$5:$H$92,"&lt;0")-SUMIFS('Daftar Koreksi'!$H$5:$H$92,'Daftar Koreksi'!$D$5:$D$92,'0500'!A664,'Daftar Koreksi'!$G$5:$G$92,"Tanah",'Daftar Koreksi'!$H$5:$H$92,"&lt;0")</f>
        <v>0</v>
      </c>
      <c r="G668" s="17">
        <f t="shared" ref="G668:G684" si="30">D668+E668-F668</f>
        <v>2923669600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1566216923</v>
      </c>
      <c r="E669" s="25">
        <f>SUMIFS('Daftar Koreksi'!$H$5:$H$92,'Daftar Koreksi'!$D$5:$D$92,'0500'!A664,'Daftar Koreksi'!$G$5:$G$92,"Peralatan dan mesin",'Daftar Koreksi'!$H$5:$H$92,"&gt;0")</f>
        <v>0</v>
      </c>
      <c r="F669" s="25">
        <f>SUMIFS('Daftar Koreksi'!$H$5:$H$92,'Daftar Koreksi'!$D$5:$D$92,'0500'!A664,'Daftar Koreksi'!$G$5:$G$92,"Peralatan dan mesin",'Daftar Koreksi'!$H$5:$H$92,"&lt;0")-SUMIFS('Daftar Koreksi'!$H$5:$H$92,'Daftar Koreksi'!$D$5:$D$92,'0500'!A664,'Daftar Koreksi'!$G$5:$G$92,"Peralatan dan mesin",'Daftar Koreksi'!$H$5:$H$92,"&lt;0")-SUMIFS('Daftar Koreksi'!$H$5:$H$92,'Daftar Koreksi'!$D$5:$D$92,'0500'!A664,'Daftar Koreksi'!$G$5:$G$92,"Peralatan dan mesin",'Daftar Koreksi'!$H$5:$H$92,"&lt;0")</f>
        <v>0</v>
      </c>
      <c r="G669" s="17">
        <f t="shared" si="30"/>
        <v>1566216923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3435080000</v>
      </c>
      <c r="E670" s="25">
        <f>SUMIFS('Daftar Koreksi'!$H$5:$H$92,'Daftar Koreksi'!$D$5:$D$92,'0500'!A664,'Daftar Koreksi'!$G$5:$G$92,"Gedung dan Bangunan",'Daftar Koreksi'!$H$5:$H$92,"&gt;0")</f>
        <v>0</v>
      </c>
      <c r="F670" s="25">
        <f>SUMIFS('Daftar Koreksi'!$H$5:$H$92,'Daftar Koreksi'!$D$5:$D$92,'0500'!A664,'Daftar Koreksi'!$G$5:$G$92,"Gedung dan Bangunan",'Daftar Koreksi'!$H$5:$H$92,"&lt;0")-SUMIFS('Daftar Koreksi'!$H$5:$H$92,'Daftar Koreksi'!$D$5:$D$92,'0500'!A664,'Daftar Koreksi'!$G$5:$G$92,"Gedung dan Bangunan",'Daftar Koreksi'!$H$5:$H$92,"&lt;0")-SUMIFS('Daftar Koreksi'!$H$5:$H$92,'Daftar Koreksi'!$D$5:$D$92,'0500'!A664,'Daftar Koreksi'!$G$5:$G$92,"Gedung dan Bangunan",'Daftar Koreksi'!$H$5:$H$92,"&lt;0")</f>
        <v>0</v>
      </c>
      <c r="G670" s="17">
        <f t="shared" si="30"/>
        <v>3435080000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36646000</v>
      </c>
      <c r="E671" s="25">
        <f>SUMIFS('Daftar Koreksi'!$H$5:$H$92,'Daftar Koreksi'!$D$5:$D$92,'0500'!A664,'Daftar Koreksi'!$G$5:$G$92,"Jalan Irigasi Jaringan",'Daftar Koreksi'!$H$5:$H$92,"&gt;0")</f>
        <v>0</v>
      </c>
      <c r="F671" s="25">
        <f>SUMIFS('Daftar Koreksi'!$H$5:$H$92,'Daftar Koreksi'!$D$5:$D$92,'0500'!A664,'Daftar Koreksi'!$G$5:$G$92,"Jalan Irigasi Jaringan",'Daftar Koreksi'!$H$5:$H$92,"&lt;0")-SUMIFS('Daftar Koreksi'!$H$5:$H$92,'Daftar Koreksi'!$D$5:$D$92,'0500'!A664,'Daftar Koreksi'!$G$5:$G$92,"Jalan Irigasi Jaringan",'Daftar Koreksi'!$H$5:$H$92,"&lt;0")-SUMIFS('Daftar Koreksi'!$H$5:$H$92,'Daftar Koreksi'!$D$5:$D$92,'0500'!A664,'Daftar Koreksi'!$G$5:$G$92,"Jalan Irigasi Jaringan",'Daftar Koreksi'!$H$5:$H$92,"&lt;0")</f>
        <v>0</v>
      </c>
      <c r="G671" s="17">
        <f t="shared" si="30"/>
        <v>36646000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9225740</v>
      </c>
      <c r="E672" s="25">
        <f>SUMIFS('Daftar Koreksi'!$H$5:$H$92,'Daftar Koreksi'!$D$5:$D$92,'0500'!A664,'Daftar Koreksi'!$G$5:$G$92,"Aset Tetap Lainnya",'Daftar Koreksi'!$H$5:$H$92,"&gt;0")</f>
        <v>0</v>
      </c>
      <c r="F672" s="25">
        <f>SUMIFS('Daftar Koreksi'!$H$5:$H$92,'Daftar Koreksi'!$D$5:$D$92,'0500'!A664,'Daftar Koreksi'!$G$5:$G$92,"Aset Tetap Lainnya",'Daftar Koreksi'!$H$5:$H$92,"&lt;0")-SUMIFS('Daftar Koreksi'!$H$5:$H$92,'Daftar Koreksi'!$D$5:$D$92,'0500'!A664,'Daftar Koreksi'!$G$5:$G$92,"Aset Tetap Lainnya",'Daftar Koreksi'!$H$5:$H$92,"&lt;0")-SUMIFS('Daftar Koreksi'!$H$5:$H$92,'Daftar Koreksi'!$D$5:$D$92,'0500'!A664,'Daftar Koreksi'!$G$5:$G$92,"Aset Tetap Lainnya",'Daftar Koreksi'!$H$5:$H$92,"&lt;0")</f>
        <v>0</v>
      </c>
      <c r="G672" s="17">
        <f t="shared" si="30"/>
        <v>9225740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Koreksi'!$D$5:$D$92,'0500'!A664,'Daftar Koreksi'!$G$5:$G$92,"Kontruksi Dalam Pengerjaan",'Daftar Koreksi'!$H$5:$H$92,"&gt;0")</f>
        <v>0</v>
      </c>
      <c r="F673" s="25">
        <f>SUMIFS('Daftar Koreksi'!$H$5:$H$92,'Daftar Koreksi'!$D$5:$D$92,'0500'!A664,'Daftar Koreksi'!$G$5:$G$92,"Kontruksi Dalam Pengerjaan",'Daftar Koreksi'!$H$5:$H$92,"&lt;0")-SUMIFS('Daftar Koreksi'!$H$5:$H$92,'Daftar Koreksi'!$D$5:$D$92,'0500'!A664,'Daftar Koreksi'!$G$5:$G$92,"Kontruksi Dalam Pengerjaan",'Daftar Koreksi'!$H$5:$H$92,"&lt;0")-SUMIFS('Daftar Koreksi'!$H$5:$H$92,'Daftar Koreksi'!$D$5:$D$92,'0500'!A664,'Daftar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89500000</v>
      </c>
      <c r="E674" s="25">
        <f>SUMIFS('Daftar Koreksi'!$H$5:$H$92,'Daftar Koreksi'!$D$5:$D$92,'0500'!A664,'Daftar Koreksi'!$G$5:$G$92,"Aset Tak Berwujud",'Daftar Koreksi'!$H$5:$H$92,"&gt;0")</f>
        <v>0</v>
      </c>
      <c r="F674" s="25">
        <f>SUMIFS('Daftar Koreksi'!$H$5:$H$92,'Daftar Koreksi'!$D$5:$D$92,'0500'!A664,'Daftar Koreksi'!$G$5:$G$92,"Aset Tak Berwujud",'Daftar Koreksi'!$H$5:$H$92,"&lt;0")-SUMIFS('Daftar Koreksi'!$H$5:$H$92,'Daftar Koreksi'!$D$5:$D$92,'0500'!A664,'Daftar Koreksi'!$G$5:$G$92,"Aset Tak Berwujud",'Daftar Koreksi'!$H$5:$H$92,"&lt;0")-SUMIFS('Daftar Koreksi'!$H$5:$H$92,'Daftar Koreksi'!$D$5:$D$92,'0500'!A664,'Daftar Koreksi'!$G$5:$G$92,"Aset Tak Berwujud",'Daftar Koreksi'!$H$5:$H$92,"&lt;0")</f>
        <v>0</v>
      </c>
      <c r="G674" s="17">
        <f t="shared" si="30"/>
        <v>89500000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3052510000</v>
      </c>
      <c r="E675" s="25">
        <f>SUMIFS('Daftar Koreksi'!$H$5:$H$92,'Daftar Koreksi'!$D$5:$D$92,'0500'!A664,'Daftar Koreksi'!$G$5:$G$92,"Aset Henti Guna",'Daftar Koreksi'!$H$5:$H$92,"&gt;0")</f>
        <v>0</v>
      </c>
      <c r="F675" s="25">
        <f>SUMIFS('Daftar Koreksi'!$H$5:$H$92,'Daftar Koreksi'!$D$5:$D$92,'0500'!A664,'Daftar Koreksi'!$G$5:$G$92,"Aset Henti Guna",'Daftar Koreksi'!$H$5:$H$92,"&lt;0")-SUMIFS('Daftar Koreksi'!$H$5:$H$92,'Daftar Koreksi'!$D$5:$D$92,'0500'!A664,'Daftar Koreksi'!$G$5:$G$92,"Aset Henti Guna",'Daftar Koreksi'!$H$5:$H$92,"&lt;0")-SUMIFS('Daftar Koreksi'!$H$5:$H$92,'Daftar Koreksi'!$D$5:$D$92,'0500'!A664,'Daftar Koreksi'!$G$5:$G$92,"Aset Henti Guna",'Daftar Koreksi'!$H$5:$H$92,"&lt;0")</f>
        <v>0</v>
      </c>
      <c r="G675" s="17">
        <f t="shared" si="30"/>
        <v>3052510000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11112848263</v>
      </c>
      <c r="E676" s="19">
        <f>SUM(E667:E675)</f>
        <v>0</v>
      </c>
      <c r="F676" s="19">
        <f>SUM(F667:F675)</f>
        <v>0</v>
      </c>
      <c r="G676" s="19">
        <f t="shared" si="30"/>
        <v>11112848263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-1365719135</v>
      </c>
      <c r="E677" s="25">
        <f>SUMIFS('Daftar Koreksi'!$I$5:$I$92,'Daftar Koreksi'!$D$5:$D$92,'0500'!A664,'Daftar Koreksi'!$G$5:$G$92,"Peralatan dan mesin",'Daftar Koreksi'!$I$5:$I$92,"&gt;0")</f>
        <v>0</v>
      </c>
      <c r="F677" s="25">
        <f>SUMIFS('Daftar Koreksi'!$I$5:$I$92,'Daftar Koreksi'!$D$5:$D$92,'0500'!A664,'Daftar Koreksi'!$G$5:$G$92,"Peralatan dan mesin",'Daftar Koreksi'!$I$5:$I$92,"&lt;0")-SUMIFS('Daftar Koreksi'!$I$5:$I$92,'Daftar Koreksi'!$D$5:$D$92,'0500'!A664,'Daftar Koreksi'!$G$5:$G$92,"Peralatan dan mesin",'Daftar Koreksi'!$I$5:$I$92,"&lt;0")-SUMIFS('Daftar Koreksi'!$I$5:$I$92,'Daftar Koreksi'!$D$5:$D$92,'0500'!A664,'Daftar Koreksi'!$G$5:$G$92,"Peralatan dan mesin",'Daftar Koreksi'!$I$5:$I$92,"&lt;0")</f>
        <v>0</v>
      </c>
      <c r="G677" s="17">
        <f t="shared" si="30"/>
        <v>-1365719135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-821665389</v>
      </c>
      <c r="E678" s="25">
        <f>SUMIFS('Daftar Koreksi'!$I$5:$I$92,'Daftar Koreksi'!$D$5:$D$92,'0500'!A664,'Daftar Koreksi'!$G$5:$G$92,"Gedung dan Bangunan",'Daftar Koreksi'!$I$5:$I$92,"&gt;0")</f>
        <v>0</v>
      </c>
      <c r="F678" s="25">
        <f>SUMIFS('Daftar Koreksi'!$I$5:$I$92,'Daftar Koreksi'!$D$5:$D$92,'0500'!A664,'Daftar Koreksi'!$G$5:$G$92,"Gedung dan Bangunan",'Daftar Koreksi'!$I$5:$I$92,"&lt;0")-SUMIFS('Daftar Koreksi'!$I$5:$I$92,'Daftar Koreksi'!$D$5:$D$92,'0500'!A664,'Daftar Koreksi'!$G$5:$G$92,"Gedung dan Bangunan",'Daftar Koreksi'!$I$5:$I$92,"&lt;0")-SUMIFS('Daftar Koreksi'!$I$5:$I$92,'Daftar Koreksi'!$D$5:$D$92,'0500'!A664,'Daftar Koreksi'!$G$5:$G$92,"Gedung dan Bangunan",'Daftar Koreksi'!$I$5:$I$92,"&lt;0")</f>
        <v>0</v>
      </c>
      <c r="G678" s="17">
        <f t="shared" si="30"/>
        <v>-821665389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-916150</v>
      </c>
      <c r="E679" s="25">
        <f>SUMIFS('Daftar Koreksi'!$I$5:$I$92,'Daftar Koreksi'!$D$5:$D$92,'0500'!A664,'Daftar Koreksi'!$G$5:$G$92,"Jalan Irigasi Jaringan",'Daftar Koreksi'!$I$5:$I$92,"&gt;0")</f>
        <v>0</v>
      </c>
      <c r="F679" s="25">
        <f>SUMIFS('Daftar Koreksi'!$I$5:$I$92,'Daftar Koreksi'!$D$5:$D$92,'0500'!A664,'Daftar Koreksi'!$G$5:$G$92,"Jalan Irigasi Jaringan",'Daftar Koreksi'!$I$5:$I$92,"&lt;0")-SUMIFS('Daftar Koreksi'!$I$5:$I$92,'Daftar Koreksi'!$D$5:$D$92,'0500'!A664,'Daftar Koreksi'!$G$5:$G$92,"Jalan Irigasi Jaringan",'Daftar Koreksi'!$I$5:$I$92,"&lt;0")-SUMIFS('Daftar Koreksi'!$I$5:$I$92,'Daftar Koreksi'!$D$5:$D$92,'0500'!A664,'Daftar Koreksi'!$G$5:$G$92,"Jalan Irigasi Jaringan",'Daftar Koreksi'!$I$5:$I$92,"&lt;0")</f>
        <v>0</v>
      </c>
      <c r="G679" s="17">
        <f t="shared" si="30"/>
        <v>-916150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Koreksi'!$D$5:$D$92,'0500'!A664,'Daftar Koreksi'!$G$5:$G$92,"Aset Tetap Lainnya",'Daftar Koreksi'!$I$5:$I$92,"&gt;0")</f>
        <v>0</v>
      </c>
      <c r="F680" s="25">
        <f>SUMIFS('Daftar Koreksi'!$I$5:$I$92,'Daftar Koreksi'!$D$5:$D$92,'0500'!A664,'Daftar Koreksi'!$G$5:$G$92,"Aset Tetap Lainnya",'Daftar Koreksi'!$I$5:$I$92,"&lt;0")-SUMIFS('Daftar Koreksi'!$I$5:$I$92,'Daftar Koreksi'!$D$5:$D$92,'0500'!A664,'Daftar Koreksi'!$G$5:$G$92,"Aset Tetap Lainnya",'Daftar Koreksi'!$I$5:$I$92,"&lt;0")-SUMIFS('Daftar Koreksi'!$I$5:$I$92,'Daftar Koreksi'!$D$5:$D$92,'0500'!A664,'Daftar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-3052510000</v>
      </c>
      <c r="E681" s="25">
        <f>SUMIFS('Daftar Koreksi'!$I$5:$I$92,'Daftar Koreksi'!$D$5:$D$92,'0500'!A664,'Daftar Koreksi'!$G$5:$G$92,"Aset Henti Guna",'Daftar Koreksi'!$I$5:$I$92,"&gt;0")</f>
        <v>0</v>
      </c>
      <c r="F681" s="25">
        <f>SUMIFS('Daftar Koreksi'!$I$5:$I$92,'Daftar Koreksi'!$D$5:$D$92,'0500'!A664,'Daftar Koreksi'!$G$5:$G$92,"Aset Henti Guna",'Daftar Koreksi'!$I$5:$I$92,"&lt;0")-SUMIFS('Daftar Koreksi'!$I$5:$I$92,'Daftar Koreksi'!$D$5:$D$92,'0500'!A664,'Daftar Koreksi'!$G$5:$G$92,"Aset Henti Guna",'Daftar Koreksi'!$I$5:$I$92,"&lt;0")-SUMIFS('Daftar Koreksi'!$I$5:$I$92,'Daftar Koreksi'!$D$5:$D$92,'0500'!A664,'Daftar Koreksi'!$G$5:$G$92,"Aset Henti Guna",'Daftar Koreksi'!$I$5:$I$92,"&lt;0")</f>
        <v>0</v>
      </c>
      <c r="G681" s="17">
        <f t="shared" si="30"/>
        <v>-3052510000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-5240810674</v>
      </c>
      <c r="E682" s="19">
        <f>SUM(E677:E681)</f>
        <v>0</v>
      </c>
      <c r="F682" s="19">
        <f>SUM(F677:F681)</f>
        <v>0</v>
      </c>
      <c r="G682" s="19">
        <f t="shared" si="30"/>
        <v>-5240810674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5872037589</v>
      </c>
      <c r="E683" s="19">
        <f>E682+E676</f>
        <v>0</v>
      </c>
      <c r="F683" s="19">
        <f>F682+F676</f>
        <v>0</v>
      </c>
      <c r="G683" s="19">
        <f t="shared" si="30"/>
        <v>5872037589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005010500098413000KD</v>
      </c>
      <c r="B686" s="11" t="str">
        <f>P32</f>
        <v>PN. Bangkalan</v>
      </c>
      <c r="C686" s="12" t="str">
        <f>A686&amp;" "&amp;B686</f>
        <v>005010500098413000KD PN. Bangkalan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301100</v>
      </c>
      <c r="E689" s="25">
        <f>SUMIFS('Daftar Koreksi'!$H$5:$H$92,'Daftar Koreksi'!$D$5:$D$92,'0500'!A686,'Daftar Koreksi'!$G$5:$G$92,"Persediaan",'Daftar Koreksi'!$H$5:$H$92,"&gt;0")</f>
        <v>0</v>
      </c>
      <c r="F689" s="25">
        <f>SUMIFS('Daftar Koreksi'!$H$5:$H$92,'Daftar Koreksi'!$D$5:$D$92,'0500'!A686,'Daftar Koreksi'!$G$5:$G$92,"Persediaan",'Daftar Koreksi'!$H$5:$H$92,"&lt;0")-SUMIFS('Daftar Koreksi'!$H$5:$H$92,'Daftar Koreksi'!$D$5:$D$92,'0500'!A686,'Daftar Koreksi'!$G$5:$G$92,"Persediaan",'Daftar Koreksi'!$H$5:$H$92,"&lt;0")-SUMIFS('Daftar Koreksi'!$H$5:$H$92,'Daftar Koreksi'!$D$5:$D$92,'0500'!A686,'Daftar Koreksi'!$G$5:$G$92,"Persediaan",'Daftar Koreksi'!$H$5:$H$92,"&lt;0")</f>
        <v>0</v>
      </c>
      <c r="G689" s="17">
        <f>D689+E689-F689</f>
        <v>301100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10046357597</v>
      </c>
      <c r="E690" s="25">
        <f>SUMIFS('Daftar Koreksi'!$H$5:$H$92,'Daftar Koreksi'!$D$5:$D$92,'0500'!A686,'Daftar Koreksi'!$G$5:$G$92,"Tanah",'Daftar Koreksi'!$H$5:$H$92,"&gt;0")</f>
        <v>0</v>
      </c>
      <c r="F690" s="25">
        <f>SUMIFS('Daftar Koreksi'!$H$5:$H$92,'Daftar Koreksi'!$D$5:$D$92,'0500'!A686,'Daftar Koreksi'!$G$5:$G$92,"Tanah",'Daftar Koreksi'!$H$5:$H$92,"&lt;0")-SUMIFS('Daftar Koreksi'!$H$5:$H$92,'Daftar Koreksi'!$D$5:$D$92,'0500'!A686,'Daftar Koreksi'!$G$5:$G$92,"Tanah",'Daftar Koreksi'!$H$5:$H$92,"&lt;0")-SUMIFS('Daftar Koreksi'!$H$5:$H$92,'Daftar Koreksi'!$D$5:$D$92,'0500'!A686,'Daftar Koreksi'!$G$5:$G$92,"Tanah",'Daftar Koreksi'!$H$5:$H$92,"&lt;0")</f>
        <v>0</v>
      </c>
      <c r="G690" s="17">
        <f t="shared" ref="G690:G706" si="31">D690+E690-F690</f>
        <v>10046357597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2261835283</v>
      </c>
      <c r="E691" s="25">
        <f>SUMIFS('Daftar Koreksi'!$H$5:$H$92,'Daftar Koreksi'!$D$5:$D$92,'0500'!A686,'Daftar Koreksi'!$G$5:$G$92,"Peralatan dan mesin",'Daftar Koreksi'!$H$5:$H$92,"&gt;0")</f>
        <v>0</v>
      </c>
      <c r="F691" s="25">
        <f>SUMIFS('Daftar Koreksi'!$H$5:$H$92,'Daftar Koreksi'!$D$5:$D$92,'0500'!A686,'Daftar Koreksi'!$G$5:$G$92,"Peralatan dan mesin",'Daftar Koreksi'!$H$5:$H$92,"&lt;0")-SUMIFS('Daftar Koreksi'!$H$5:$H$92,'Daftar Koreksi'!$D$5:$D$92,'0500'!A686,'Daftar Koreksi'!$G$5:$G$92,"Peralatan dan mesin",'Daftar Koreksi'!$H$5:$H$92,"&lt;0")-SUMIFS('Daftar Koreksi'!$H$5:$H$92,'Daftar Koreksi'!$D$5:$D$92,'0500'!A686,'Daftar Koreksi'!$G$5:$G$92,"Peralatan dan mesin",'Daftar Koreksi'!$H$5:$H$92,"&lt;0")</f>
        <v>0</v>
      </c>
      <c r="G691" s="17">
        <f t="shared" si="31"/>
        <v>2261835283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10396188450</v>
      </c>
      <c r="E692" s="25">
        <f>SUMIFS('Daftar Koreksi'!$H$5:$H$92,'Daftar Koreksi'!$D$5:$D$92,'0500'!A686,'Daftar Koreksi'!$G$5:$G$92,"Gedung dan Bangunan",'Daftar Koreksi'!$H$5:$H$92,"&gt;0")</f>
        <v>0</v>
      </c>
      <c r="F692" s="25">
        <f>SUMIFS('Daftar Koreksi'!$H$5:$H$92,'Daftar Koreksi'!$D$5:$D$92,'0500'!A686,'Daftar Koreksi'!$G$5:$G$92,"Gedung dan Bangunan",'Daftar Koreksi'!$H$5:$H$92,"&lt;0")-SUMIFS('Daftar Koreksi'!$H$5:$H$92,'Daftar Koreksi'!$D$5:$D$92,'0500'!A686,'Daftar Koreksi'!$G$5:$G$92,"Gedung dan Bangunan",'Daftar Koreksi'!$H$5:$H$92,"&lt;0")-SUMIFS('Daftar Koreksi'!$H$5:$H$92,'Daftar Koreksi'!$D$5:$D$92,'0500'!A686,'Daftar Koreksi'!$G$5:$G$92,"Gedung dan Bangunan",'Daftar Koreksi'!$H$5:$H$92,"&lt;0")</f>
        <v>0</v>
      </c>
      <c r="G692" s="17">
        <f t="shared" si="31"/>
        <v>10396188450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195649000</v>
      </c>
      <c r="E693" s="25">
        <f>SUMIFS('Daftar Koreksi'!$H$5:$H$92,'Daftar Koreksi'!$D$5:$D$92,'0500'!A686,'Daftar Koreksi'!$G$5:$G$92,"Jalan Irigasi Jaringan",'Daftar Koreksi'!$H$5:$H$92,"&gt;0")</f>
        <v>0</v>
      </c>
      <c r="F693" s="25">
        <f>SUMIFS('Daftar Koreksi'!$H$5:$H$92,'Daftar Koreksi'!$D$5:$D$92,'0500'!A686,'Daftar Koreksi'!$G$5:$G$92,"Jalan Irigasi Jaringan",'Daftar Koreksi'!$H$5:$H$92,"&lt;0")-SUMIFS('Daftar Koreksi'!$H$5:$H$92,'Daftar Koreksi'!$D$5:$D$92,'0500'!A686,'Daftar Koreksi'!$G$5:$G$92,"Jalan Irigasi Jaringan",'Daftar Koreksi'!$H$5:$H$92,"&lt;0")-SUMIFS('Daftar Koreksi'!$H$5:$H$92,'Daftar Koreksi'!$D$5:$D$92,'0500'!A686,'Daftar Koreksi'!$G$5:$G$92,"Jalan Irigasi Jaringan",'Daftar Koreksi'!$H$5:$H$92,"&lt;0")</f>
        <v>0</v>
      </c>
      <c r="G693" s="17">
        <f t="shared" si="31"/>
        <v>195649000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9038462</v>
      </c>
      <c r="E694" s="25">
        <f>SUMIFS('Daftar Koreksi'!$H$5:$H$92,'Daftar Koreksi'!$D$5:$D$92,'0500'!A686,'Daftar Koreksi'!$G$5:$G$92,"Aset Tetap Lainnya",'Daftar Koreksi'!$H$5:$H$92,"&gt;0")</f>
        <v>0</v>
      </c>
      <c r="F694" s="25">
        <f>SUMIFS('Daftar Koreksi'!$H$5:$H$92,'Daftar Koreksi'!$D$5:$D$92,'0500'!A686,'Daftar Koreksi'!$G$5:$G$92,"Aset Tetap Lainnya",'Daftar Koreksi'!$H$5:$H$92,"&lt;0")-SUMIFS('Daftar Koreksi'!$H$5:$H$92,'Daftar Koreksi'!$D$5:$D$92,'0500'!A686,'Daftar Koreksi'!$G$5:$G$92,"Aset Tetap Lainnya",'Daftar Koreksi'!$H$5:$H$92,"&lt;0")-SUMIFS('Daftar Koreksi'!$H$5:$H$92,'Daftar Koreksi'!$D$5:$D$92,'0500'!A686,'Daftar Koreksi'!$G$5:$G$92,"Aset Tetap Lainnya",'Daftar Koreksi'!$H$5:$H$92,"&lt;0")</f>
        <v>0</v>
      </c>
      <c r="G694" s="17">
        <f t="shared" si="31"/>
        <v>9038462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Koreksi'!$D$5:$D$92,'0500'!A686,'Daftar Koreksi'!$G$5:$G$92,"Kontruksi Dalam Pengerjaan",'Daftar Koreksi'!$H$5:$H$92,"&gt;0")</f>
        <v>0</v>
      </c>
      <c r="F695" s="25">
        <f>SUMIFS('Daftar Koreksi'!$H$5:$H$92,'Daftar Koreksi'!$D$5:$D$92,'0500'!A686,'Daftar Koreksi'!$G$5:$G$92,"Kontruksi Dalam Pengerjaan",'Daftar Koreksi'!$H$5:$H$92,"&lt;0")-SUMIFS('Daftar Koreksi'!$H$5:$H$92,'Daftar Koreksi'!$D$5:$D$92,'0500'!A686,'Daftar Koreksi'!$G$5:$G$92,"Kontruksi Dalam Pengerjaan",'Daftar Koreksi'!$H$5:$H$92,"&lt;0")-SUMIFS('Daftar Koreksi'!$H$5:$H$92,'Daftar Koreksi'!$D$5:$D$92,'0500'!A686,'Daftar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Koreksi'!$D$5:$D$92,'0500'!A686,'Daftar Koreksi'!$G$5:$G$92,"Aset Tak Berwujud",'Daftar Koreksi'!$H$5:$H$92,"&gt;0")</f>
        <v>0</v>
      </c>
      <c r="F696" s="25">
        <f>SUMIFS('Daftar Koreksi'!$H$5:$H$92,'Daftar Koreksi'!$D$5:$D$92,'0500'!A686,'Daftar Koreksi'!$G$5:$G$92,"Aset Tak Berwujud",'Daftar Koreksi'!$H$5:$H$92,"&lt;0")-SUMIFS('Daftar Koreksi'!$H$5:$H$92,'Daftar Koreksi'!$D$5:$D$92,'0500'!A686,'Daftar Koreksi'!$G$5:$G$92,"Aset Tak Berwujud",'Daftar Koreksi'!$H$5:$H$92,"&lt;0")-SUMIFS('Daftar Koreksi'!$H$5:$H$92,'Daftar Koreksi'!$D$5:$D$92,'0500'!A686,'Daftar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0</v>
      </c>
      <c r="E697" s="25">
        <f>SUMIFS('Daftar Koreksi'!$H$5:$H$92,'Daftar Koreksi'!$D$5:$D$92,'0500'!A686,'Daftar Koreksi'!$G$5:$G$92,"Aset Henti Guna",'Daftar Koreksi'!$H$5:$H$92,"&gt;0")</f>
        <v>0</v>
      </c>
      <c r="F697" s="25">
        <f>SUMIFS('Daftar Koreksi'!$H$5:$H$92,'Daftar Koreksi'!$D$5:$D$92,'0500'!A686,'Daftar Koreksi'!$G$5:$G$92,"Aset Henti Guna",'Daftar Koreksi'!$H$5:$H$92,"&lt;0")-SUMIFS('Daftar Koreksi'!$H$5:$H$92,'Daftar Koreksi'!$D$5:$D$92,'0500'!A686,'Daftar Koreksi'!$G$5:$G$92,"Aset Henti Guna",'Daftar Koreksi'!$H$5:$H$92,"&lt;0")-SUMIFS('Daftar Koreksi'!$H$5:$H$92,'Daftar Koreksi'!$D$5:$D$92,'0500'!A686,'Daftar Koreksi'!$G$5:$G$92,"Aset Henti Guna",'Daftar Koreksi'!$H$5:$H$92,"&lt;0")</f>
        <v>0</v>
      </c>
      <c r="G697" s="17">
        <f t="shared" si="31"/>
        <v>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22909369892</v>
      </c>
      <c r="E698" s="19">
        <f>SUM(E689:E697)</f>
        <v>0</v>
      </c>
      <c r="F698" s="19">
        <f>SUM(F689:F697)</f>
        <v>0</v>
      </c>
      <c r="G698" s="19">
        <f t="shared" si="31"/>
        <v>22909369892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-1227470157</v>
      </c>
      <c r="E699" s="25">
        <f>SUMIFS('Daftar Koreksi'!$I$5:$I$92,'Daftar Koreksi'!$D$5:$D$92,'0500'!A686,'Daftar Koreksi'!$G$5:$G$92,"Peralatan dan mesin",'Daftar Koreksi'!$I$5:$I$92,"&gt;0")</f>
        <v>0</v>
      </c>
      <c r="F699" s="25">
        <f>SUMIFS('Daftar Koreksi'!$I$5:$I$92,'Daftar Koreksi'!$D$5:$D$92,'0500'!A686,'Daftar Koreksi'!$G$5:$G$92,"Peralatan dan mesin",'Daftar Koreksi'!$I$5:$I$92,"&lt;0")-SUMIFS('Daftar Koreksi'!$I$5:$I$92,'Daftar Koreksi'!$D$5:$D$92,'0500'!A686,'Daftar Koreksi'!$G$5:$G$92,"Peralatan dan mesin",'Daftar Koreksi'!$I$5:$I$92,"&lt;0")-SUMIFS('Daftar Koreksi'!$I$5:$I$92,'Daftar Koreksi'!$D$5:$D$92,'0500'!A686,'Daftar Koreksi'!$G$5:$G$92,"Peralatan dan mesin",'Daftar Koreksi'!$I$5:$I$92,"&lt;0")</f>
        <v>0</v>
      </c>
      <c r="G699" s="17">
        <f t="shared" si="31"/>
        <v>-1227470157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-2655173336</v>
      </c>
      <c r="E700" s="25">
        <f>SUMIFS('Daftar Koreksi'!$I$5:$I$92,'Daftar Koreksi'!$D$5:$D$92,'0500'!A686,'Daftar Koreksi'!$G$5:$G$92,"Gedung dan Bangunan",'Daftar Koreksi'!$I$5:$I$92,"&gt;0")</f>
        <v>0</v>
      </c>
      <c r="F700" s="25">
        <f>SUMIFS('Daftar Koreksi'!$I$5:$I$92,'Daftar Koreksi'!$D$5:$D$92,'0500'!A686,'Daftar Koreksi'!$G$5:$G$92,"Gedung dan Bangunan",'Daftar Koreksi'!$I$5:$I$92,"&lt;0")-SUMIFS('Daftar Koreksi'!$I$5:$I$92,'Daftar Koreksi'!$D$5:$D$92,'0500'!A686,'Daftar Koreksi'!$G$5:$G$92,"Gedung dan Bangunan",'Daftar Koreksi'!$I$5:$I$92,"&lt;0")-SUMIFS('Daftar Koreksi'!$I$5:$I$92,'Daftar Koreksi'!$D$5:$D$92,'0500'!A686,'Daftar Koreksi'!$G$5:$G$92,"Gedung dan Bangunan",'Daftar Koreksi'!$I$5:$I$92,"&lt;0")</f>
        <v>0</v>
      </c>
      <c r="G700" s="17">
        <f t="shared" si="31"/>
        <v>-2655173336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-26901738</v>
      </c>
      <c r="E701" s="25">
        <f>SUMIFS('Daftar Koreksi'!$I$5:$I$92,'Daftar Koreksi'!$D$5:$D$92,'0500'!A686,'Daftar Koreksi'!$G$5:$G$92,"Jalan Irigasi Jaringan",'Daftar Koreksi'!$I$5:$I$92,"&gt;0")</f>
        <v>0</v>
      </c>
      <c r="F701" s="25">
        <f>SUMIFS('Daftar Koreksi'!$I$5:$I$92,'Daftar Koreksi'!$D$5:$D$92,'0500'!A686,'Daftar Koreksi'!$G$5:$G$92,"Jalan Irigasi Jaringan",'Daftar Koreksi'!$I$5:$I$92,"&lt;0")-SUMIFS('Daftar Koreksi'!$I$5:$I$92,'Daftar Koreksi'!$D$5:$D$92,'0500'!A686,'Daftar Koreksi'!$G$5:$G$92,"Jalan Irigasi Jaringan",'Daftar Koreksi'!$I$5:$I$92,"&lt;0")-SUMIFS('Daftar Koreksi'!$I$5:$I$92,'Daftar Koreksi'!$D$5:$D$92,'0500'!A686,'Daftar Koreksi'!$G$5:$G$92,"Jalan Irigasi Jaringan",'Daftar Koreksi'!$I$5:$I$92,"&lt;0")</f>
        <v>0</v>
      </c>
      <c r="G701" s="17">
        <f t="shared" si="31"/>
        <v>-26901738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Koreksi'!$D$5:$D$92,'0500'!A686,'Daftar Koreksi'!$G$5:$G$92,"Aset Tetap Lainnya",'Daftar Koreksi'!$I$5:$I$92,"&gt;0")</f>
        <v>0</v>
      </c>
      <c r="F702" s="25">
        <f>SUMIFS('Daftar Koreksi'!$I$5:$I$92,'Daftar Koreksi'!$D$5:$D$92,'0500'!A686,'Daftar Koreksi'!$G$5:$G$92,"Aset Tetap Lainnya",'Daftar Koreksi'!$I$5:$I$92,"&lt;0")-SUMIFS('Daftar Koreksi'!$I$5:$I$92,'Daftar Koreksi'!$D$5:$D$92,'0500'!A686,'Daftar Koreksi'!$G$5:$G$92,"Aset Tetap Lainnya",'Daftar Koreksi'!$I$5:$I$92,"&lt;0")-SUMIFS('Daftar Koreksi'!$I$5:$I$92,'Daftar Koreksi'!$D$5:$D$92,'0500'!A686,'Daftar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0</v>
      </c>
      <c r="E703" s="25">
        <f>SUMIFS('Daftar Koreksi'!$I$5:$I$92,'Daftar Koreksi'!$D$5:$D$92,'0500'!A686,'Daftar Koreksi'!$G$5:$G$92,"Aset Henti Guna",'Daftar Koreksi'!$I$5:$I$92,"&gt;0")</f>
        <v>0</v>
      </c>
      <c r="F703" s="25">
        <f>SUMIFS('Daftar Koreksi'!$I$5:$I$92,'Daftar Koreksi'!$D$5:$D$92,'0500'!A686,'Daftar Koreksi'!$G$5:$G$92,"Aset Henti Guna",'Daftar Koreksi'!$I$5:$I$92,"&lt;0")-SUMIFS('Daftar Koreksi'!$I$5:$I$92,'Daftar Koreksi'!$D$5:$D$92,'0500'!A686,'Daftar Koreksi'!$G$5:$G$92,"Aset Henti Guna",'Daftar Koreksi'!$I$5:$I$92,"&lt;0")-SUMIFS('Daftar Koreksi'!$I$5:$I$92,'Daftar Koreksi'!$D$5:$D$92,'0500'!A686,'Daftar Koreksi'!$G$5:$G$92,"Aset Henti Guna",'Daftar Koreksi'!$I$5:$I$92,"&lt;0")</f>
        <v>0</v>
      </c>
      <c r="G703" s="17">
        <f t="shared" si="31"/>
        <v>0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-3909545231</v>
      </c>
      <c r="E704" s="19">
        <f>SUM(E699:E703)</f>
        <v>0</v>
      </c>
      <c r="F704" s="19">
        <f>SUM(F699:F703)</f>
        <v>0</v>
      </c>
      <c r="G704" s="19">
        <f t="shared" si="31"/>
        <v>-3909545231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18999824661</v>
      </c>
      <c r="E705" s="19">
        <f>E704+E698</f>
        <v>0</v>
      </c>
      <c r="F705" s="19">
        <f>F704+F698</f>
        <v>0</v>
      </c>
      <c r="G705" s="19">
        <f t="shared" si="31"/>
        <v>18999824661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005010500098420000KD</v>
      </c>
      <c r="B708" s="11" t="str">
        <f>P33</f>
        <v>PN. Sampang</v>
      </c>
      <c r="C708" s="12" t="str">
        <f>A708&amp;" "&amp;B708</f>
        <v>005010500098420000KD PN. Sampang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25000</v>
      </c>
      <c r="E711" s="25">
        <f>SUMIFS('Daftar Koreksi'!$H$5:$H$92,'Daftar Koreksi'!$D$5:$D$92,'0500'!A708,'Daftar Koreksi'!$G$5:$G$92,"Persediaan",'Daftar Koreksi'!$H$5:$H$92,"&gt;0")</f>
        <v>0</v>
      </c>
      <c r="F711" s="25">
        <f>SUMIFS('Daftar Koreksi'!$H$5:$H$92,'Daftar Koreksi'!$D$5:$D$92,'0500'!A708,'Daftar Koreksi'!$G$5:$G$92,"Persediaan",'Daftar Koreksi'!$H$5:$H$92,"&lt;0")-SUMIFS('Daftar Koreksi'!$H$5:$H$92,'Daftar Koreksi'!$D$5:$D$92,'0500'!A708,'Daftar Koreksi'!$G$5:$G$92,"Persediaan",'Daftar Koreksi'!$H$5:$H$92,"&lt;0")-SUMIFS('Daftar Koreksi'!$H$5:$H$92,'Daftar Koreksi'!$D$5:$D$92,'0500'!A708,'Daftar Koreksi'!$G$5:$G$92,"Persediaan",'Daftar Koreksi'!$H$5:$H$92,"&lt;0")</f>
        <v>0</v>
      </c>
      <c r="G711" s="17">
        <f>D711+E711-F711</f>
        <v>25000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4118840930</v>
      </c>
      <c r="E712" s="25">
        <f>SUMIFS('Daftar Koreksi'!$H$5:$H$92,'Daftar Koreksi'!$D$5:$D$92,'0500'!A708,'Daftar Koreksi'!$G$5:$G$92,"Tanah",'Daftar Koreksi'!$H$5:$H$92,"&gt;0")</f>
        <v>0</v>
      </c>
      <c r="F712" s="25">
        <f>SUMIFS('Daftar Koreksi'!$H$5:$H$92,'Daftar Koreksi'!$D$5:$D$92,'0500'!A708,'Daftar Koreksi'!$G$5:$G$92,"Tanah",'Daftar Koreksi'!$H$5:$H$92,"&lt;0")-SUMIFS('Daftar Koreksi'!$H$5:$H$92,'Daftar Koreksi'!$D$5:$D$92,'0500'!A708,'Daftar Koreksi'!$G$5:$G$92,"Tanah",'Daftar Koreksi'!$H$5:$H$92,"&lt;0")-SUMIFS('Daftar Koreksi'!$H$5:$H$92,'Daftar Koreksi'!$D$5:$D$92,'0500'!A708,'Daftar Koreksi'!$G$5:$G$92,"Tanah",'Daftar Koreksi'!$H$5:$H$92,"&lt;0")</f>
        <v>0</v>
      </c>
      <c r="G712" s="17">
        <f t="shared" ref="G712:G728" si="32">D712+E712-F712</f>
        <v>4118840930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2646052423</v>
      </c>
      <c r="E713" s="25">
        <f>SUMIFS('Daftar Koreksi'!$H$5:$H$92,'Daftar Koreksi'!$D$5:$D$92,'0500'!A708,'Daftar Koreksi'!$G$5:$G$92,"Peralatan dan mesin",'Daftar Koreksi'!$H$5:$H$92,"&gt;0")</f>
        <v>0</v>
      </c>
      <c r="F713" s="25">
        <f>SUMIFS('Daftar Koreksi'!$H$5:$H$92,'Daftar Koreksi'!$D$5:$D$92,'0500'!A708,'Daftar Koreksi'!$G$5:$G$92,"Peralatan dan mesin",'Daftar Koreksi'!$H$5:$H$92,"&lt;0")-SUMIFS('Daftar Koreksi'!$H$5:$H$92,'Daftar Koreksi'!$D$5:$D$92,'0500'!A708,'Daftar Koreksi'!$G$5:$G$92,"Peralatan dan mesin",'Daftar Koreksi'!$H$5:$H$92,"&lt;0")-SUMIFS('Daftar Koreksi'!$H$5:$H$92,'Daftar Koreksi'!$D$5:$D$92,'0500'!A708,'Daftar Koreksi'!$G$5:$G$92,"Peralatan dan mesin",'Daftar Koreksi'!$H$5:$H$92,"&lt;0")</f>
        <v>0</v>
      </c>
      <c r="G713" s="17">
        <f t="shared" si="32"/>
        <v>2646052423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4795772942</v>
      </c>
      <c r="E714" s="25">
        <f>SUMIFS('Daftar Koreksi'!$H$5:$H$92,'Daftar Koreksi'!$D$5:$D$92,'0500'!A708,'Daftar Koreksi'!$G$5:$G$92,"Gedung dan Bangunan",'Daftar Koreksi'!$H$5:$H$92,"&gt;0")</f>
        <v>0</v>
      </c>
      <c r="F714" s="25">
        <f>SUMIFS('Daftar Koreksi'!$H$5:$H$92,'Daftar Koreksi'!$D$5:$D$92,'0500'!A708,'Daftar Koreksi'!$G$5:$G$92,"Gedung dan Bangunan",'Daftar Koreksi'!$H$5:$H$92,"&lt;0")-SUMIFS('Daftar Koreksi'!$H$5:$H$92,'Daftar Koreksi'!$D$5:$D$92,'0500'!A708,'Daftar Koreksi'!$G$5:$G$92,"Gedung dan Bangunan",'Daftar Koreksi'!$H$5:$H$92,"&lt;0")-SUMIFS('Daftar Koreksi'!$H$5:$H$92,'Daftar Koreksi'!$D$5:$D$92,'0500'!A708,'Daftar Koreksi'!$G$5:$G$92,"Gedung dan Bangunan",'Daftar Koreksi'!$H$5:$H$92,"&lt;0")</f>
        <v>0</v>
      </c>
      <c r="G714" s="17">
        <f t="shared" si="32"/>
        <v>4795772942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285432000</v>
      </c>
      <c r="E715" s="25">
        <f>SUMIFS('Daftar Koreksi'!$H$5:$H$92,'Daftar Koreksi'!$D$5:$D$92,'0500'!A708,'Daftar Koreksi'!$G$5:$G$92,"Jalan Irigasi Jaringan",'Daftar Koreksi'!$H$5:$H$92,"&gt;0")</f>
        <v>0</v>
      </c>
      <c r="F715" s="25">
        <f>SUMIFS('Daftar Koreksi'!$H$5:$H$92,'Daftar Koreksi'!$D$5:$D$92,'0500'!A708,'Daftar Koreksi'!$G$5:$G$92,"Jalan Irigasi Jaringan",'Daftar Koreksi'!$H$5:$H$92,"&lt;0")-SUMIFS('Daftar Koreksi'!$H$5:$H$92,'Daftar Koreksi'!$D$5:$D$92,'0500'!A708,'Daftar Koreksi'!$G$5:$G$92,"Jalan Irigasi Jaringan",'Daftar Koreksi'!$H$5:$H$92,"&lt;0")-SUMIFS('Daftar Koreksi'!$H$5:$H$92,'Daftar Koreksi'!$D$5:$D$92,'0500'!A708,'Daftar Koreksi'!$G$5:$G$92,"Jalan Irigasi Jaringan",'Daftar Koreksi'!$H$5:$H$92,"&lt;0")</f>
        <v>0</v>
      </c>
      <c r="G715" s="17">
        <f t="shared" si="32"/>
        <v>285432000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9183740</v>
      </c>
      <c r="E716" s="25">
        <f>SUMIFS('Daftar Koreksi'!$H$5:$H$92,'Daftar Koreksi'!$D$5:$D$92,'0500'!A708,'Daftar Koreksi'!$G$5:$G$92,"Aset Tetap Lainnya",'Daftar Koreksi'!$H$5:$H$92,"&gt;0")</f>
        <v>0</v>
      </c>
      <c r="F716" s="25">
        <f>SUMIFS('Daftar Koreksi'!$H$5:$H$92,'Daftar Koreksi'!$D$5:$D$92,'0500'!A708,'Daftar Koreksi'!$G$5:$G$92,"Aset Tetap Lainnya",'Daftar Koreksi'!$H$5:$H$92,"&lt;0")-SUMIFS('Daftar Koreksi'!$H$5:$H$92,'Daftar Koreksi'!$D$5:$D$92,'0500'!A708,'Daftar Koreksi'!$G$5:$G$92,"Aset Tetap Lainnya",'Daftar Koreksi'!$H$5:$H$92,"&lt;0")-SUMIFS('Daftar Koreksi'!$H$5:$H$92,'Daftar Koreksi'!$D$5:$D$92,'0500'!A708,'Daftar Koreksi'!$G$5:$G$92,"Aset Tetap Lainnya",'Daftar Koreksi'!$H$5:$H$92,"&lt;0")</f>
        <v>0</v>
      </c>
      <c r="G716" s="17">
        <f t="shared" si="32"/>
        <v>9183740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Koreksi'!$D$5:$D$92,'0500'!A708,'Daftar Koreksi'!$G$5:$G$92,"Kontruksi Dalam Pengerjaan",'Daftar Koreksi'!$H$5:$H$92,"&gt;0")</f>
        <v>0</v>
      </c>
      <c r="F717" s="25">
        <f>SUMIFS('Daftar Koreksi'!$H$5:$H$92,'Daftar Koreksi'!$D$5:$D$92,'0500'!A708,'Daftar Koreksi'!$G$5:$G$92,"Kontruksi Dalam Pengerjaan",'Daftar Koreksi'!$H$5:$H$92,"&lt;0")-SUMIFS('Daftar Koreksi'!$H$5:$H$92,'Daftar Koreksi'!$D$5:$D$92,'0500'!A708,'Daftar Koreksi'!$G$5:$G$92,"Kontruksi Dalam Pengerjaan",'Daftar Koreksi'!$H$5:$H$92,"&lt;0")-SUMIFS('Daftar Koreksi'!$H$5:$H$92,'Daftar Koreksi'!$D$5:$D$92,'0500'!A708,'Daftar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Koreksi'!$D$5:$D$92,'0500'!A708,'Daftar Koreksi'!$G$5:$G$92,"Aset Tak Berwujud",'Daftar Koreksi'!$H$5:$H$92,"&gt;0")</f>
        <v>0</v>
      </c>
      <c r="F718" s="25">
        <f>SUMIFS('Daftar Koreksi'!$H$5:$H$92,'Daftar Koreksi'!$D$5:$D$92,'0500'!A708,'Daftar Koreksi'!$G$5:$G$92,"Aset Tak Berwujud",'Daftar Koreksi'!$H$5:$H$92,"&lt;0")-SUMIFS('Daftar Koreksi'!$H$5:$H$92,'Daftar Koreksi'!$D$5:$D$92,'0500'!A708,'Daftar Koreksi'!$G$5:$G$92,"Aset Tak Berwujud",'Daftar Koreksi'!$H$5:$H$92,"&lt;0")-SUMIFS('Daftar Koreksi'!$H$5:$H$92,'Daftar Koreksi'!$D$5:$D$92,'0500'!A708,'Daftar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0</v>
      </c>
      <c r="E719" s="25">
        <f>SUMIFS('Daftar Koreksi'!$H$5:$H$92,'Daftar Koreksi'!$D$5:$D$92,'0500'!A708,'Daftar Koreksi'!$G$5:$G$92,"Aset Henti Guna",'Daftar Koreksi'!$H$5:$H$92,"&gt;0")</f>
        <v>0</v>
      </c>
      <c r="F719" s="25">
        <f>SUMIFS('Daftar Koreksi'!$H$5:$H$92,'Daftar Koreksi'!$D$5:$D$92,'0500'!A708,'Daftar Koreksi'!$G$5:$G$92,"Aset Henti Guna",'Daftar Koreksi'!$H$5:$H$92,"&lt;0")-SUMIFS('Daftar Koreksi'!$H$5:$H$92,'Daftar Koreksi'!$D$5:$D$92,'0500'!A708,'Daftar Koreksi'!$G$5:$G$92,"Aset Henti Guna",'Daftar Koreksi'!$H$5:$H$92,"&lt;0")-SUMIFS('Daftar Koreksi'!$H$5:$H$92,'Daftar Koreksi'!$D$5:$D$92,'0500'!A708,'Daftar Koreksi'!$G$5:$G$92,"Aset Henti Guna",'Daftar Koreksi'!$H$5:$H$92,"&lt;0")</f>
        <v>0</v>
      </c>
      <c r="G719" s="17">
        <f t="shared" si="32"/>
        <v>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11855307035</v>
      </c>
      <c r="E720" s="19">
        <f>SUM(E711:E719)</f>
        <v>0</v>
      </c>
      <c r="F720" s="19">
        <f>SUM(F711:F719)</f>
        <v>0</v>
      </c>
      <c r="G720" s="19">
        <f t="shared" si="32"/>
        <v>11855307035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-2242106112</v>
      </c>
      <c r="E721" s="25">
        <f>SUMIFS('Daftar Koreksi'!$I$5:$I$92,'Daftar Koreksi'!$D$5:$D$92,'0500'!A708,'Daftar Koreksi'!$G$5:$G$92,"Peralatan dan mesin",'Daftar Koreksi'!$I$5:$I$92,"&gt;0")</f>
        <v>0</v>
      </c>
      <c r="F721" s="25">
        <f>SUMIFS('Daftar Koreksi'!$I$5:$I$92,'Daftar Koreksi'!$D$5:$D$92,'0500'!A708,'Daftar Koreksi'!$G$5:$G$92,"Peralatan dan mesin",'Daftar Koreksi'!$I$5:$I$92,"&lt;0")-SUMIFS('Daftar Koreksi'!$I$5:$I$92,'Daftar Koreksi'!$D$5:$D$92,'0500'!A708,'Daftar Koreksi'!$G$5:$G$92,"Peralatan dan mesin",'Daftar Koreksi'!$I$5:$I$92,"&lt;0")-SUMIFS('Daftar Koreksi'!$I$5:$I$92,'Daftar Koreksi'!$D$5:$D$92,'0500'!A708,'Daftar Koreksi'!$G$5:$G$92,"Peralatan dan mesin",'Daftar Koreksi'!$I$5:$I$92,"&lt;0")</f>
        <v>0</v>
      </c>
      <c r="G721" s="17">
        <f t="shared" si="32"/>
        <v>-2242106112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-1480240765</v>
      </c>
      <c r="E722" s="25">
        <f>SUMIFS('Daftar Koreksi'!$I$5:$I$92,'Daftar Koreksi'!$D$5:$D$92,'0500'!A708,'Daftar Koreksi'!$G$5:$G$92,"Gedung dan Bangunan",'Daftar Koreksi'!$I$5:$I$92,"&gt;0")</f>
        <v>0</v>
      </c>
      <c r="F722" s="25">
        <f>SUMIFS('Daftar Koreksi'!$I$5:$I$92,'Daftar Koreksi'!$D$5:$D$92,'0500'!A708,'Daftar Koreksi'!$G$5:$G$92,"Gedung dan Bangunan",'Daftar Koreksi'!$I$5:$I$92,"&lt;0")-SUMIFS('Daftar Koreksi'!$I$5:$I$92,'Daftar Koreksi'!$D$5:$D$92,'0500'!A708,'Daftar Koreksi'!$G$5:$G$92,"Gedung dan Bangunan",'Daftar Koreksi'!$I$5:$I$92,"&lt;0")-SUMIFS('Daftar Koreksi'!$I$5:$I$92,'Daftar Koreksi'!$D$5:$D$92,'0500'!A708,'Daftar Koreksi'!$G$5:$G$92,"Gedung dan Bangunan",'Daftar Koreksi'!$I$5:$I$92,"&lt;0")</f>
        <v>0</v>
      </c>
      <c r="G722" s="17">
        <f t="shared" si="32"/>
        <v>-1480240765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-118960000</v>
      </c>
      <c r="E723" s="25">
        <f>SUMIFS('Daftar Koreksi'!$I$5:$I$92,'Daftar Koreksi'!$D$5:$D$92,'0500'!A708,'Daftar Koreksi'!$G$5:$G$92,"Jalan Irigasi Jaringan",'Daftar Koreksi'!$I$5:$I$92,"&gt;0")</f>
        <v>0</v>
      </c>
      <c r="F723" s="25">
        <f>SUMIFS('Daftar Koreksi'!$I$5:$I$92,'Daftar Koreksi'!$D$5:$D$92,'0500'!A708,'Daftar Koreksi'!$G$5:$G$92,"Jalan Irigasi Jaringan",'Daftar Koreksi'!$I$5:$I$92,"&lt;0")-SUMIFS('Daftar Koreksi'!$I$5:$I$92,'Daftar Koreksi'!$D$5:$D$92,'0500'!A708,'Daftar Koreksi'!$G$5:$G$92,"Jalan Irigasi Jaringan",'Daftar Koreksi'!$I$5:$I$92,"&lt;0")-SUMIFS('Daftar Koreksi'!$I$5:$I$92,'Daftar Koreksi'!$D$5:$D$92,'0500'!A708,'Daftar Koreksi'!$G$5:$G$92,"Jalan Irigasi Jaringan",'Daftar Koreksi'!$I$5:$I$92,"&lt;0")</f>
        <v>0</v>
      </c>
      <c r="G723" s="17">
        <f t="shared" si="32"/>
        <v>-118960000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Koreksi'!$D$5:$D$92,'0500'!A708,'Daftar Koreksi'!$G$5:$G$92,"Aset Tetap Lainnya",'Daftar Koreksi'!$I$5:$I$92,"&gt;0")</f>
        <v>0</v>
      </c>
      <c r="F724" s="25">
        <f>SUMIFS('Daftar Koreksi'!$I$5:$I$92,'Daftar Koreksi'!$D$5:$D$92,'0500'!A708,'Daftar Koreksi'!$G$5:$G$92,"Aset Tetap Lainnya",'Daftar Koreksi'!$I$5:$I$92,"&lt;0")-SUMIFS('Daftar Koreksi'!$I$5:$I$92,'Daftar Koreksi'!$D$5:$D$92,'0500'!A708,'Daftar Koreksi'!$G$5:$G$92,"Aset Tetap Lainnya",'Daftar Koreksi'!$I$5:$I$92,"&lt;0")-SUMIFS('Daftar Koreksi'!$I$5:$I$92,'Daftar Koreksi'!$D$5:$D$92,'0500'!A708,'Daftar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0</v>
      </c>
      <c r="E725" s="25">
        <f>SUMIFS('Daftar Koreksi'!$I$5:$I$92,'Daftar Koreksi'!$D$5:$D$92,'0500'!A708,'Daftar Koreksi'!$G$5:$G$92,"Aset Henti Guna",'Daftar Koreksi'!$I$5:$I$92,"&gt;0")</f>
        <v>0</v>
      </c>
      <c r="F725" s="25">
        <f>SUMIFS('Daftar Koreksi'!$I$5:$I$92,'Daftar Koreksi'!$D$5:$D$92,'0500'!A708,'Daftar Koreksi'!$G$5:$G$92,"Aset Henti Guna",'Daftar Koreksi'!$I$5:$I$92,"&lt;0")-SUMIFS('Daftar Koreksi'!$I$5:$I$92,'Daftar Koreksi'!$D$5:$D$92,'0500'!A708,'Daftar Koreksi'!$G$5:$G$92,"Aset Henti Guna",'Daftar Koreksi'!$I$5:$I$92,"&lt;0")-SUMIFS('Daftar Koreksi'!$I$5:$I$92,'Daftar Koreksi'!$D$5:$D$92,'0500'!A708,'Daftar Koreksi'!$G$5:$G$92,"Aset Henti Guna",'Daftar Koreksi'!$I$5:$I$92,"&lt;0")</f>
        <v>0</v>
      </c>
      <c r="G725" s="17">
        <f t="shared" si="32"/>
        <v>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-3841306877</v>
      </c>
      <c r="E726" s="19">
        <f>SUM(E721:E725)</f>
        <v>0</v>
      </c>
      <c r="F726" s="19">
        <f>SUM(F721:F725)</f>
        <v>0</v>
      </c>
      <c r="G726" s="19">
        <f t="shared" si="32"/>
        <v>-3841306877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8014000158</v>
      </c>
      <c r="E727" s="19">
        <f>E726+E720</f>
        <v>0</v>
      </c>
      <c r="F727" s="19">
        <f>F726+F720</f>
        <v>0</v>
      </c>
      <c r="G727" s="19">
        <f t="shared" si="32"/>
        <v>8014000158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005010500308170000KD</v>
      </c>
      <c r="B730" s="11" t="str">
        <f>P34</f>
        <v>PTA. Surabaya</v>
      </c>
      <c r="C730" s="12" t="str">
        <f>A730&amp;" "&amp;B730</f>
        <v>005010500308170000KD PTA. Surabaya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28783201</v>
      </c>
      <c r="E733" s="25">
        <f>SUMIFS('Daftar Koreksi'!$H$5:$H$92,'Daftar Koreksi'!$D$5:$D$92,'0500'!A730,'Daftar Koreksi'!$G$5:$G$92,"Persediaan",'Daftar Koreksi'!$H$5:$H$92,"&gt;0")</f>
        <v>0</v>
      </c>
      <c r="F733" s="25">
        <f>SUMIFS('Daftar Koreksi'!$H$5:$H$92,'Daftar Koreksi'!$D$5:$D$92,'0500'!A730,'Daftar Koreksi'!$G$5:$G$92,"Persediaan",'Daftar Koreksi'!$H$5:$H$92,"&lt;0")-SUMIFS('Daftar Koreksi'!$H$5:$H$92,'Daftar Koreksi'!$D$5:$D$92,'0500'!A730,'Daftar Koreksi'!$G$5:$G$92,"Persediaan",'Daftar Koreksi'!$H$5:$H$92,"&lt;0")-SUMIFS('Daftar Koreksi'!$H$5:$H$92,'Daftar Koreksi'!$D$5:$D$92,'0500'!A730,'Daftar Koreksi'!$G$5:$G$92,"Persediaan",'Daftar Koreksi'!$H$5:$H$92,"&lt;0")</f>
        <v>0</v>
      </c>
      <c r="G733" s="17">
        <f>D733+E733-F733</f>
        <v>28783201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26386064500</v>
      </c>
      <c r="E734" s="25">
        <f>SUMIFS('Daftar Koreksi'!$H$5:$H$92,'Daftar Koreksi'!$D$5:$D$92,'0500'!A730,'Daftar Koreksi'!$G$5:$G$92,"Tanah",'Daftar Koreksi'!$H$5:$H$92,"&gt;0")</f>
        <v>0</v>
      </c>
      <c r="F734" s="25">
        <f>SUMIFS('Daftar Koreksi'!$H$5:$H$92,'Daftar Koreksi'!$D$5:$D$92,'0500'!A730,'Daftar Koreksi'!$G$5:$G$92,"Tanah",'Daftar Koreksi'!$H$5:$H$92,"&lt;0")-SUMIFS('Daftar Koreksi'!$H$5:$H$92,'Daftar Koreksi'!$D$5:$D$92,'0500'!A730,'Daftar Koreksi'!$G$5:$G$92,"Tanah",'Daftar Koreksi'!$H$5:$H$92,"&lt;0")-SUMIFS('Daftar Koreksi'!$H$5:$H$92,'Daftar Koreksi'!$D$5:$D$92,'0500'!A730,'Daftar Koreksi'!$G$5:$G$92,"Tanah",'Daftar Koreksi'!$H$5:$H$92,"&lt;0")</f>
        <v>0</v>
      </c>
      <c r="G734" s="17">
        <f t="shared" ref="G734:G750" si="33">D734+E734-F734</f>
        <v>26386064500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5532546985</v>
      </c>
      <c r="E735" s="25">
        <f>SUMIFS('Daftar Koreksi'!$H$5:$H$92,'Daftar Koreksi'!$D$5:$D$92,'0500'!A730,'Daftar Koreksi'!$G$5:$G$92,"Peralatan dan mesin",'Daftar Koreksi'!$H$5:$H$92,"&gt;0")</f>
        <v>0</v>
      </c>
      <c r="F735" s="25">
        <f>SUMIFS('Daftar Koreksi'!$H$5:$H$92,'Daftar Koreksi'!$D$5:$D$92,'0500'!A730,'Daftar Koreksi'!$G$5:$G$92,"Peralatan dan mesin",'Daftar Koreksi'!$H$5:$H$92,"&lt;0")-SUMIFS('Daftar Koreksi'!$H$5:$H$92,'Daftar Koreksi'!$D$5:$D$92,'0500'!A730,'Daftar Koreksi'!$G$5:$G$92,"Peralatan dan mesin",'Daftar Koreksi'!$H$5:$H$92,"&lt;0")-SUMIFS('Daftar Koreksi'!$H$5:$H$92,'Daftar Koreksi'!$D$5:$D$92,'0500'!A730,'Daftar Koreksi'!$G$5:$G$92,"Peralatan dan mesin",'Daftar Koreksi'!$H$5:$H$92,"&lt;0")</f>
        <v>0</v>
      </c>
      <c r="G735" s="17">
        <f t="shared" si="33"/>
        <v>5532546985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7248051235</v>
      </c>
      <c r="E736" s="25">
        <f>SUMIFS('Daftar Koreksi'!$H$5:$H$92,'Daftar Koreksi'!$D$5:$D$92,'0500'!A730,'Daftar Koreksi'!$G$5:$G$92,"Gedung dan Bangunan",'Daftar Koreksi'!$H$5:$H$92,"&gt;0")</f>
        <v>0</v>
      </c>
      <c r="F736" s="25">
        <f>SUMIFS('Daftar Koreksi'!$H$5:$H$92,'Daftar Koreksi'!$D$5:$D$92,'0500'!A730,'Daftar Koreksi'!$G$5:$G$92,"Gedung dan Bangunan",'Daftar Koreksi'!$H$5:$H$92,"&lt;0")-SUMIFS('Daftar Koreksi'!$H$5:$H$92,'Daftar Koreksi'!$D$5:$D$92,'0500'!A730,'Daftar Koreksi'!$G$5:$G$92,"Gedung dan Bangunan",'Daftar Koreksi'!$H$5:$H$92,"&lt;0")-SUMIFS('Daftar Koreksi'!$H$5:$H$92,'Daftar Koreksi'!$D$5:$D$92,'0500'!A730,'Daftar Koreksi'!$G$5:$G$92,"Gedung dan Bangunan",'Daftar Koreksi'!$H$5:$H$92,"&lt;0")</f>
        <v>0</v>
      </c>
      <c r="G736" s="17">
        <f t="shared" si="33"/>
        <v>7248051235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0</v>
      </c>
      <c r="E737" s="25">
        <f>SUMIFS('Daftar Koreksi'!$H$5:$H$92,'Daftar Koreksi'!$D$5:$D$92,'0500'!A730,'Daftar Koreksi'!$G$5:$G$92,"Jalan Irigasi Jaringan",'Daftar Koreksi'!$H$5:$H$92,"&gt;0")</f>
        <v>0</v>
      </c>
      <c r="F737" s="25">
        <f>SUMIFS('Daftar Koreksi'!$H$5:$H$92,'Daftar Koreksi'!$D$5:$D$92,'0500'!A730,'Daftar Koreksi'!$G$5:$G$92,"Jalan Irigasi Jaringan",'Daftar Koreksi'!$H$5:$H$92,"&lt;0")-SUMIFS('Daftar Koreksi'!$H$5:$H$92,'Daftar Koreksi'!$D$5:$D$92,'0500'!A730,'Daftar Koreksi'!$G$5:$G$92,"Jalan Irigasi Jaringan",'Daftar Koreksi'!$H$5:$H$92,"&lt;0")-SUMIFS('Daftar Koreksi'!$H$5:$H$92,'Daftar Koreksi'!$D$5:$D$92,'0500'!A730,'Daftar Koreksi'!$G$5:$G$92,"Jalan Irigasi Jaringan",'Daftar Koreksi'!$H$5:$H$92,"&lt;0")</f>
        <v>0</v>
      </c>
      <c r="G737" s="17">
        <f t="shared" si="33"/>
        <v>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29313961</v>
      </c>
      <c r="E738" s="25">
        <f>SUMIFS('Daftar Koreksi'!$H$5:$H$92,'Daftar Koreksi'!$D$5:$D$92,'0500'!A730,'Daftar Koreksi'!$G$5:$G$92,"Aset Tetap Lainnya",'Daftar Koreksi'!$H$5:$H$92,"&gt;0")</f>
        <v>0</v>
      </c>
      <c r="F738" s="25">
        <f>SUMIFS('Daftar Koreksi'!$H$5:$H$92,'Daftar Koreksi'!$D$5:$D$92,'0500'!A730,'Daftar Koreksi'!$G$5:$G$92,"Aset Tetap Lainnya",'Daftar Koreksi'!$H$5:$H$92,"&lt;0")-SUMIFS('Daftar Koreksi'!$H$5:$H$92,'Daftar Koreksi'!$D$5:$D$92,'0500'!A730,'Daftar Koreksi'!$G$5:$G$92,"Aset Tetap Lainnya",'Daftar Koreksi'!$H$5:$H$92,"&lt;0")-SUMIFS('Daftar Koreksi'!$H$5:$H$92,'Daftar Koreksi'!$D$5:$D$92,'0500'!A730,'Daftar Koreksi'!$G$5:$G$92,"Aset Tetap Lainnya",'Daftar Koreksi'!$H$5:$H$92,"&lt;0")</f>
        <v>0</v>
      </c>
      <c r="G738" s="17">
        <f t="shared" si="33"/>
        <v>29313961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Koreksi'!$D$5:$D$92,'0500'!A730,'Daftar Koreksi'!$G$5:$G$92,"Kontruksi Dalam Pengerjaan",'Daftar Koreksi'!$H$5:$H$92,"&gt;0")</f>
        <v>0</v>
      </c>
      <c r="F739" s="25">
        <f>SUMIFS('Daftar Koreksi'!$H$5:$H$92,'Daftar Koreksi'!$D$5:$D$92,'0500'!A730,'Daftar Koreksi'!$G$5:$G$92,"Kontruksi Dalam Pengerjaan",'Daftar Koreksi'!$H$5:$H$92,"&lt;0")-SUMIFS('Daftar Koreksi'!$H$5:$H$92,'Daftar Koreksi'!$D$5:$D$92,'0500'!A730,'Daftar Koreksi'!$G$5:$G$92,"Kontruksi Dalam Pengerjaan",'Daftar Koreksi'!$H$5:$H$92,"&lt;0")-SUMIFS('Daftar Koreksi'!$H$5:$H$92,'Daftar Koreksi'!$D$5:$D$92,'0500'!A730,'Daftar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4000000</v>
      </c>
      <c r="E740" s="25">
        <f>SUMIFS('Daftar Koreksi'!$H$5:$H$92,'Daftar Koreksi'!$D$5:$D$92,'0500'!A730,'Daftar Koreksi'!$G$5:$G$92,"Aset Tak Berwujud",'Daftar Koreksi'!$H$5:$H$92,"&gt;0")</f>
        <v>0</v>
      </c>
      <c r="F740" s="25">
        <f>SUMIFS('Daftar Koreksi'!$H$5:$H$92,'Daftar Koreksi'!$D$5:$D$92,'0500'!A730,'Daftar Koreksi'!$G$5:$G$92,"Aset Tak Berwujud",'Daftar Koreksi'!$H$5:$H$92,"&lt;0")-SUMIFS('Daftar Koreksi'!$H$5:$H$92,'Daftar Koreksi'!$D$5:$D$92,'0500'!A730,'Daftar Koreksi'!$G$5:$G$92,"Aset Tak Berwujud",'Daftar Koreksi'!$H$5:$H$92,"&lt;0")-SUMIFS('Daftar Koreksi'!$H$5:$H$92,'Daftar Koreksi'!$D$5:$D$92,'0500'!A730,'Daftar Koreksi'!$G$5:$G$92,"Aset Tak Berwujud",'Daftar Koreksi'!$H$5:$H$92,"&lt;0")</f>
        <v>0</v>
      </c>
      <c r="G740" s="17">
        <f t="shared" si="33"/>
        <v>4000000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0</v>
      </c>
      <c r="E741" s="25">
        <f>SUMIFS('Daftar Koreksi'!$H$5:$H$92,'Daftar Koreksi'!$D$5:$D$92,'0500'!A730,'Daftar Koreksi'!$G$5:$G$92,"Aset Henti Guna",'Daftar Koreksi'!$H$5:$H$92,"&gt;0")</f>
        <v>0</v>
      </c>
      <c r="F741" s="25">
        <f>SUMIFS('Daftar Koreksi'!$H$5:$H$92,'Daftar Koreksi'!$D$5:$D$92,'0500'!A730,'Daftar Koreksi'!$G$5:$G$92,"Aset Henti Guna",'Daftar Koreksi'!$H$5:$H$92,"&lt;0")-SUMIFS('Daftar Koreksi'!$H$5:$H$92,'Daftar Koreksi'!$D$5:$D$92,'0500'!A730,'Daftar Koreksi'!$G$5:$G$92,"Aset Henti Guna",'Daftar Koreksi'!$H$5:$H$92,"&lt;0")-SUMIFS('Daftar Koreksi'!$H$5:$H$92,'Daftar Koreksi'!$D$5:$D$92,'0500'!A730,'Daftar Koreksi'!$G$5:$G$92,"Aset Henti Guna",'Daftar Koreksi'!$H$5:$H$92,"&lt;0")</f>
        <v>0</v>
      </c>
      <c r="G741" s="17">
        <f t="shared" si="33"/>
        <v>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39228759882</v>
      </c>
      <c r="E742" s="19">
        <f>SUM(E733:E741)</f>
        <v>0</v>
      </c>
      <c r="F742" s="19">
        <f>SUM(F733:F741)</f>
        <v>0</v>
      </c>
      <c r="G742" s="19">
        <f t="shared" si="33"/>
        <v>39228759882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-4821627159</v>
      </c>
      <c r="E743" s="25">
        <f>SUMIFS('Daftar Koreksi'!$I$5:$I$92,'Daftar Koreksi'!$D$5:$D$92,'0500'!A730,'Daftar Koreksi'!$G$5:$G$92,"Peralatan dan mesin",'Daftar Koreksi'!$I$5:$I$92,"&gt;0")</f>
        <v>0</v>
      </c>
      <c r="F743" s="25">
        <f>SUMIFS('Daftar Koreksi'!$I$5:$I$92,'Daftar Koreksi'!$D$5:$D$92,'0500'!A730,'Daftar Koreksi'!$G$5:$G$92,"Peralatan dan mesin",'Daftar Koreksi'!$I$5:$I$92,"&lt;0")-SUMIFS('Daftar Koreksi'!$I$5:$I$92,'Daftar Koreksi'!$D$5:$D$92,'0500'!A730,'Daftar Koreksi'!$G$5:$G$92,"Peralatan dan mesin",'Daftar Koreksi'!$I$5:$I$92,"&lt;0")-SUMIFS('Daftar Koreksi'!$I$5:$I$92,'Daftar Koreksi'!$D$5:$D$92,'0500'!A730,'Daftar Koreksi'!$G$5:$G$92,"Peralatan dan mesin",'Daftar Koreksi'!$I$5:$I$92,"&lt;0")</f>
        <v>0</v>
      </c>
      <c r="G743" s="17">
        <f t="shared" si="33"/>
        <v>-4821627159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-644982310</v>
      </c>
      <c r="E744" s="25">
        <f>SUMIFS('Daftar Koreksi'!$I$5:$I$92,'Daftar Koreksi'!$D$5:$D$92,'0500'!A730,'Daftar Koreksi'!$G$5:$G$92,"Gedung dan Bangunan",'Daftar Koreksi'!$I$5:$I$92,"&gt;0")</f>
        <v>0</v>
      </c>
      <c r="F744" s="25">
        <f>SUMIFS('Daftar Koreksi'!$I$5:$I$92,'Daftar Koreksi'!$D$5:$D$92,'0500'!A730,'Daftar Koreksi'!$G$5:$G$92,"Gedung dan Bangunan",'Daftar Koreksi'!$I$5:$I$92,"&lt;0")-SUMIFS('Daftar Koreksi'!$I$5:$I$92,'Daftar Koreksi'!$D$5:$D$92,'0500'!A730,'Daftar Koreksi'!$G$5:$G$92,"Gedung dan Bangunan",'Daftar Koreksi'!$I$5:$I$92,"&lt;0")-SUMIFS('Daftar Koreksi'!$I$5:$I$92,'Daftar Koreksi'!$D$5:$D$92,'0500'!A730,'Daftar Koreksi'!$G$5:$G$92,"Gedung dan Bangunan",'Daftar Koreksi'!$I$5:$I$92,"&lt;0")</f>
        <v>0</v>
      </c>
      <c r="G744" s="17">
        <f t="shared" si="33"/>
        <v>-644982310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0</v>
      </c>
      <c r="E745" s="25">
        <f>SUMIFS('Daftar Koreksi'!$I$5:$I$92,'Daftar Koreksi'!$D$5:$D$92,'0500'!A730,'Daftar Koreksi'!$G$5:$G$92,"Jalan Irigasi Jaringan",'Daftar Koreksi'!$I$5:$I$92,"&gt;0")</f>
        <v>0</v>
      </c>
      <c r="F745" s="25">
        <f>SUMIFS('Daftar Koreksi'!$I$5:$I$92,'Daftar Koreksi'!$D$5:$D$92,'0500'!A730,'Daftar Koreksi'!$G$5:$G$92,"Jalan Irigasi Jaringan",'Daftar Koreksi'!$I$5:$I$92,"&lt;0")-SUMIFS('Daftar Koreksi'!$I$5:$I$92,'Daftar Koreksi'!$D$5:$D$92,'0500'!A730,'Daftar Koreksi'!$G$5:$G$92,"Jalan Irigasi Jaringan",'Daftar Koreksi'!$I$5:$I$92,"&lt;0")-SUMIFS('Daftar Koreksi'!$I$5:$I$92,'Daftar Koreksi'!$D$5:$D$92,'0500'!A730,'Daftar Koreksi'!$G$5:$G$92,"Jalan Irigasi Jaringan",'Daftar Koreksi'!$I$5:$I$92,"&lt;0")</f>
        <v>0</v>
      </c>
      <c r="G745" s="17">
        <f t="shared" si="33"/>
        <v>0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Koreksi'!$D$5:$D$92,'0500'!A730,'Daftar Koreksi'!$G$5:$G$92,"Aset Tetap Lainnya",'Daftar Koreksi'!$I$5:$I$92,"&gt;0")</f>
        <v>0</v>
      </c>
      <c r="F746" s="25">
        <f>SUMIFS('Daftar Koreksi'!$I$5:$I$92,'Daftar Koreksi'!$D$5:$D$92,'0500'!A730,'Daftar Koreksi'!$G$5:$G$92,"Aset Tetap Lainnya",'Daftar Koreksi'!$I$5:$I$92,"&lt;0")-SUMIFS('Daftar Koreksi'!$I$5:$I$92,'Daftar Koreksi'!$D$5:$D$92,'0500'!A730,'Daftar Koreksi'!$G$5:$G$92,"Aset Tetap Lainnya",'Daftar Koreksi'!$I$5:$I$92,"&lt;0")-SUMIFS('Daftar Koreksi'!$I$5:$I$92,'Daftar Koreksi'!$D$5:$D$92,'0500'!A730,'Daftar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0</v>
      </c>
      <c r="E747" s="25">
        <f>SUMIFS('Daftar Koreksi'!$I$5:$I$92,'Daftar Koreksi'!$D$5:$D$92,'0500'!A730,'Daftar Koreksi'!$G$5:$G$92,"Aset Henti Guna",'Daftar Koreksi'!$I$5:$I$92,"&gt;0")</f>
        <v>0</v>
      </c>
      <c r="F747" s="25">
        <f>SUMIFS('Daftar Koreksi'!$I$5:$I$92,'Daftar Koreksi'!$D$5:$D$92,'0500'!A730,'Daftar Koreksi'!$G$5:$G$92,"Aset Henti Guna",'Daftar Koreksi'!$I$5:$I$92,"&lt;0")-SUMIFS('Daftar Koreksi'!$I$5:$I$92,'Daftar Koreksi'!$D$5:$D$92,'0500'!A730,'Daftar Koreksi'!$G$5:$G$92,"Aset Henti Guna",'Daftar Koreksi'!$I$5:$I$92,"&lt;0")-SUMIFS('Daftar Koreksi'!$I$5:$I$92,'Daftar Koreksi'!$D$5:$D$92,'0500'!A730,'Daftar Koreksi'!$G$5:$G$92,"Aset Henti Guna",'Daftar Koreksi'!$I$5:$I$92,"&lt;0")</f>
        <v>0</v>
      </c>
      <c r="G747" s="17">
        <f t="shared" si="33"/>
        <v>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-5466609469</v>
      </c>
      <c r="E748" s="19">
        <f>SUM(E743:E747)</f>
        <v>0</v>
      </c>
      <c r="F748" s="19">
        <f>SUM(F743:F747)</f>
        <v>0</v>
      </c>
      <c r="G748" s="19">
        <f t="shared" si="33"/>
        <v>-5466609469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33762150413</v>
      </c>
      <c r="E749" s="19">
        <f>E748+E742</f>
        <v>0</v>
      </c>
      <c r="F749" s="19">
        <f>F748+F742</f>
        <v>0</v>
      </c>
      <c r="G749" s="19">
        <f t="shared" si="33"/>
        <v>33762150413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005010500400580000KD</v>
      </c>
      <c r="B752" s="11" t="str">
        <f>P35</f>
        <v>PN. Kab. Kediri</v>
      </c>
      <c r="C752" s="12" t="str">
        <f>A752&amp;" "&amp;B752</f>
        <v>005010500400580000KD PN. Kab. Kediri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1140000</v>
      </c>
      <c r="E755" s="25">
        <f>SUMIFS('Daftar Koreksi'!$H$5:$H$92,'Daftar Koreksi'!$D$5:$D$92,'0500'!A752,'Daftar Koreksi'!$G$5:$G$92,"Persediaan",'Daftar Koreksi'!$H$5:$H$92,"&gt;0")</f>
        <v>0</v>
      </c>
      <c r="F755" s="25">
        <f>SUMIFS('Daftar Koreksi'!$H$5:$H$92,'Daftar Koreksi'!$D$5:$D$92,'0500'!A752,'Daftar Koreksi'!$G$5:$G$92,"Persediaan",'Daftar Koreksi'!$H$5:$H$92,"&lt;0")-SUMIFS('Daftar Koreksi'!$H$5:$H$92,'Daftar Koreksi'!$D$5:$D$92,'0500'!A752,'Daftar Koreksi'!$G$5:$G$92,"Persediaan",'Daftar Koreksi'!$H$5:$H$92,"&lt;0")-SUMIFS('Daftar Koreksi'!$H$5:$H$92,'Daftar Koreksi'!$D$5:$D$92,'0500'!A752,'Daftar Koreksi'!$G$5:$G$92,"Persediaan",'Daftar Koreksi'!$H$5:$H$92,"&lt;0")</f>
        <v>0</v>
      </c>
      <c r="G755" s="17">
        <f>D755+E755-F755</f>
        <v>1140000</v>
      </c>
      <c r="H755" s="121" t="str">
        <f>IF(ISNA(VLOOKUP(A752,'Mutasi Neraca'!$A$3:$S$914,19,FALSE)),"-",VLOOKUP(A752,'Mutasi Neraca'!$A$3:$S$914,19,FALSE))</f>
        <v>-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4885550000</v>
      </c>
      <c r="E756" s="25">
        <f>SUMIFS('Daftar Koreksi'!$H$5:$H$92,'Daftar Koreksi'!$D$5:$D$92,'0500'!A752,'Daftar Koreksi'!$G$5:$G$92,"Tanah",'Daftar Koreksi'!$H$5:$H$92,"&gt;0")</f>
        <v>0</v>
      </c>
      <c r="F756" s="25">
        <f>SUMIFS('Daftar Koreksi'!$H$5:$H$92,'Daftar Koreksi'!$D$5:$D$92,'0500'!A752,'Daftar Koreksi'!$G$5:$G$92,"Tanah",'Daftar Koreksi'!$H$5:$H$92,"&lt;0")-SUMIFS('Daftar Koreksi'!$H$5:$H$92,'Daftar Koreksi'!$D$5:$D$92,'0500'!A752,'Daftar Koreksi'!$G$5:$G$92,"Tanah",'Daftar Koreksi'!$H$5:$H$92,"&lt;0")-SUMIFS('Daftar Koreksi'!$H$5:$H$92,'Daftar Koreksi'!$D$5:$D$92,'0500'!A752,'Daftar Koreksi'!$G$5:$G$92,"Tanah",'Daftar Koreksi'!$H$5:$H$92,"&lt;0")</f>
        <v>0</v>
      </c>
      <c r="G756" s="17">
        <f t="shared" ref="G756:G772" si="34">D756+E756-F756</f>
        <v>4885550000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1643710955</v>
      </c>
      <c r="E757" s="25">
        <f>SUMIFS('Daftar Koreksi'!$H$5:$H$92,'Daftar Koreksi'!$D$5:$D$92,'0500'!A752,'Daftar Koreksi'!$G$5:$G$92,"Peralatan dan mesin",'Daftar Koreksi'!$H$5:$H$92,"&gt;0")</f>
        <v>0</v>
      </c>
      <c r="F757" s="25">
        <f>SUMIFS('Daftar Koreksi'!$H$5:$H$92,'Daftar Koreksi'!$D$5:$D$92,'0500'!A752,'Daftar Koreksi'!$G$5:$G$92,"Peralatan dan mesin",'Daftar Koreksi'!$H$5:$H$92,"&lt;0")-SUMIFS('Daftar Koreksi'!$H$5:$H$92,'Daftar Koreksi'!$D$5:$D$92,'0500'!A752,'Daftar Koreksi'!$G$5:$G$92,"Peralatan dan mesin",'Daftar Koreksi'!$H$5:$H$92,"&lt;0")-SUMIFS('Daftar Koreksi'!$H$5:$H$92,'Daftar Koreksi'!$D$5:$D$92,'0500'!A752,'Daftar Koreksi'!$G$5:$G$92,"Peralatan dan mesin",'Daftar Koreksi'!$H$5:$H$92,"&lt;0")</f>
        <v>0</v>
      </c>
      <c r="G757" s="17">
        <f t="shared" si="34"/>
        <v>1643710955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4126400738</v>
      </c>
      <c r="E758" s="25">
        <f>SUMIFS('Daftar Koreksi'!$H$5:$H$92,'Daftar Koreksi'!$D$5:$D$92,'0500'!A752,'Daftar Koreksi'!$G$5:$G$92,"Gedung dan Bangunan",'Daftar Koreksi'!$H$5:$H$92,"&gt;0")</f>
        <v>0</v>
      </c>
      <c r="F758" s="25">
        <f>SUMIFS('Daftar Koreksi'!$H$5:$H$92,'Daftar Koreksi'!$D$5:$D$92,'0500'!A752,'Daftar Koreksi'!$G$5:$G$92,"Gedung dan Bangunan",'Daftar Koreksi'!$H$5:$H$92,"&lt;0")-SUMIFS('Daftar Koreksi'!$H$5:$H$92,'Daftar Koreksi'!$D$5:$D$92,'0500'!A752,'Daftar Koreksi'!$G$5:$G$92,"Gedung dan Bangunan",'Daftar Koreksi'!$H$5:$H$92,"&lt;0")-SUMIFS('Daftar Koreksi'!$H$5:$H$92,'Daftar Koreksi'!$D$5:$D$92,'0500'!A752,'Daftar Koreksi'!$G$5:$G$92,"Gedung dan Bangunan",'Daftar Koreksi'!$H$5:$H$92,"&lt;0")</f>
        <v>0</v>
      </c>
      <c r="G758" s="17">
        <f t="shared" si="34"/>
        <v>4126400738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164280875</v>
      </c>
      <c r="E759" s="25">
        <f>SUMIFS('Daftar Koreksi'!$H$5:$H$92,'Daftar Koreksi'!$D$5:$D$92,'0500'!A752,'Daftar Koreksi'!$G$5:$G$92,"Jalan Irigasi Jaringan",'Daftar Koreksi'!$H$5:$H$92,"&gt;0")</f>
        <v>0</v>
      </c>
      <c r="F759" s="25">
        <f>SUMIFS('Daftar Koreksi'!$H$5:$H$92,'Daftar Koreksi'!$D$5:$D$92,'0500'!A752,'Daftar Koreksi'!$G$5:$G$92,"Jalan Irigasi Jaringan",'Daftar Koreksi'!$H$5:$H$92,"&lt;0")-SUMIFS('Daftar Koreksi'!$H$5:$H$92,'Daftar Koreksi'!$D$5:$D$92,'0500'!A752,'Daftar Koreksi'!$G$5:$G$92,"Jalan Irigasi Jaringan",'Daftar Koreksi'!$H$5:$H$92,"&lt;0")-SUMIFS('Daftar Koreksi'!$H$5:$H$92,'Daftar Koreksi'!$D$5:$D$92,'0500'!A752,'Daftar Koreksi'!$G$5:$G$92,"Jalan Irigasi Jaringan",'Daftar Koreksi'!$H$5:$H$92,"&lt;0")</f>
        <v>0</v>
      </c>
      <c r="G759" s="17">
        <f t="shared" si="34"/>
        <v>164280875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9183740</v>
      </c>
      <c r="E760" s="25">
        <f>SUMIFS('Daftar Koreksi'!$H$5:$H$92,'Daftar Koreksi'!$D$5:$D$92,'0500'!A752,'Daftar Koreksi'!$G$5:$G$92,"Aset Tetap Lainnya",'Daftar Koreksi'!$H$5:$H$92,"&gt;0")</f>
        <v>0</v>
      </c>
      <c r="F760" s="25">
        <f>SUMIFS('Daftar Koreksi'!$H$5:$H$92,'Daftar Koreksi'!$D$5:$D$92,'0500'!A752,'Daftar Koreksi'!$G$5:$G$92,"Aset Tetap Lainnya",'Daftar Koreksi'!$H$5:$H$92,"&lt;0")-SUMIFS('Daftar Koreksi'!$H$5:$H$92,'Daftar Koreksi'!$D$5:$D$92,'0500'!A752,'Daftar Koreksi'!$G$5:$G$92,"Aset Tetap Lainnya",'Daftar Koreksi'!$H$5:$H$92,"&lt;0")-SUMIFS('Daftar Koreksi'!$H$5:$H$92,'Daftar Koreksi'!$D$5:$D$92,'0500'!A752,'Daftar Koreksi'!$G$5:$G$92,"Aset Tetap Lainnya",'Daftar Koreksi'!$H$5:$H$92,"&lt;0")</f>
        <v>0</v>
      </c>
      <c r="G760" s="17">
        <f t="shared" si="34"/>
        <v>9183740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Koreksi'!$D$5:$D$92,'0500'!A752,'Daftar Koreksi'!$G$5:$G$92,"Kontruksi Dalam Pengerjaan",'Daftar Koreksi'!$H$5:$H$92,"&gt;0")</f>
        <v>0</v>
      </c>
      <c r="F761" s="25">
        <f>SUMIFS('Daftar Koreksi'!$H$5:$H$92,'Daftar Koreksi'!$D$5:$D$92,'0500'!A752,'Daftar Koreksi'!$G$5:$G$92,"Kontruksi Dalam Pengerjaan",'Daftar Koreksi'!$H$5:$H$92,"&lt;0")-SUMIFS('Daftar Koreksi'!$H$5:$H$92,'Daftar Koreksi'!$D$5:$D$92,'0500'!A752,'Daftar Koreksi'!$G$5:$G$92,"Kontruksi Dalam Pengerjaan",'Daftar Koreksi'!$H$5:$H$92,"&lt;0")-SUMIFS('Daftar Koreksi'!$H$5:$H$92,'Daftar Koreksi'!$D$5:$D$92,'0500'!A752,'Daftar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0</v>
      </c>
      <c r="E762" s="25">
        <f>SUMIFS('Daftar Koreksi'!$H$5:$H$92,'Daftar Koreksi'!$D$5:$D$92,'0500'!A752,'Daftar Koreksi'!$G$5:$G$92,"Aset Tak Berwujud",'Daftar Koreksi'!$H$5:$H$92,"&gt;0")</f>
        <v>0</v>
      </c>
      <c r="F762" s="25">
        <f>SUMIFS('Daftar Koreksi'!$H$5:$H$92,'Daftar Koreksi'!$D$5:$D$92,'0500'!A752,'Daftar Koreksi'!$G$5:$G$92,"Aset Tak Berwujud",'Daftar Koreksi'!$H$5:$H$92,"&lt;0")-SUMIFS('Daftar Koreksi'!$H$5:$H$92,'Daftar Koreksi'!$D$5:$D$92,'0500'!A752,'Daftar Koreksi'!$G$5:$G$92,"Aset Tak Berwujud",'Daftar Koreksi'!$H$5:$H$92,"&lt;0")-SUMIFS('Daftar Koreksi'!$H$5:$H$92,'Daftar Koreksi'!$D$5:$D$92,'0500'!A752,'Daftar Koreksi'!$G$5:$G$92,"Aset Tak Berwujud",'Daftar Koreksi'!$H$5:$H$92,"&lt;0")</f>
        <v>0</v>
      </c>
      <c r="G762" s="17">
        <f t="shared" si="34"/>
        <v>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4820500</v>
      </c>
      <c r="E763" s="25">
        <f>SUMIFS('Daftar Koreksi'!$H$5:$H$92,'Daftar Koreksi'!$D$5:$D$92,'0500'!A752,'Daftar Koreksi'!$G$5:$G$92,"Aset Henti Guna",'Daftar Koreksi'!$H$5:$H$92,"&gt;0")</f>
        <v>0</v>
      </c>
      <c r="F763" s="25">
        <f>SUMIFS('Daftar Koreksi'!$H$5:$H$92,'Daftar Koreksi'!$D$5:$D$92,'0500'!A752,'Daftar Koreksi'!$G$5:$G$92,"Aset Henti Guna",'Daftar Koreksi'!$H$5:$H$92,"&lt;0")-SUMIFS('Daftar Koreksi'!$H$5:$H$92,'Daftar Koreksi'!$D$5:$D$92,'0500'!A752,'Daftar Koreksi'!$G$5:$G$92,"Aset Henti Guna",'Daftar Koreksi'!$H$5:$H$92,"&lt;0")-SUMIFS('Daftar Koreksi'!$H$5:$H$92,'Daftar Koreksi'!$D$5:$D$92,'0500'!A752,'Daftar Koreksi'!$G$5:$G$92,"Aset Henti Guna",'Daftar Koreksi'!$H$5:$H$92,"&lt;0")</f>
        <v>0</v>
      </c>
      <c r="G763" s="17">
        <f t="shared" si="34"/>
        <v>4820500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10835086808</v>
      </c>
      <c r="E764" s="19">
        <f>SUM(E755:E763)</f>
        <v>0</v>
      </c>
      <c r="F764" s="19">
        <f>SUM(F755:F763)</f>
        <v>0</v>
      </c>
      <c r="G764" s="19">
        <f t="shared" si="34"/>
        <v>10835086808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-1429111761</v>
      </c>
      <c r="E765" s="25">
        <f>SUMIFS('Daftar Koreksi'!$I$5:$I$92,'Daftar Koreksi'!$D$5:$D$92,'0500'!A752,'Daftar Koreksi'!$G$5:$G$92,"Peralatan dan mesin",'Daftar Koreksi'!$I$5:$I$92,"&gt;0")</f>
        <v>0</v>
      </c>
      <c r="F765" s="25">
        <f>SUMIFS('Daftar Koreksi'!$I$5:$I$92,'Daftar Koreksi'!$D$5:$D$92,'0500'!A752,'Daftar Koreksi'!$G$5:$G$92,"Peralatan dan mesin",'Daftar Koreksi'!$I$5:$I$92,"&lt;0")-SUMIFS('Daftar Koreksi'!$I$5:$I$92,'Daftar Koreksi'!$D$5:$D$92,'0500'!A752,'Daftar Koreksi'!$G$5:$G$92,"Peralatan dan mesin",'Daftar Koreksi'!$I$5:$I$92,"&lt;0")-SUMIFS('Daftar Koreksi'!$I$5:$I$92,'Daftar Koreksi'!$D$5:$D$92,'0500'!A752,'Daftar Koreksi'!$G$5:$G$92,"Peralatan dan mesin",'Daftar Koreksi'!$I$5:$I$92,"&lt;0")</f>
        <v>0</v>
      </c>
      <c r="G765" s="17">
        <f t="shared" si="34"/>
        <v>-1429111761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-1983395123</v>
      </c>
      <c r="E766" s="25">
        <f>SUMIFS('Daftar Koreksi'!$I$5:$I$92,'Daftar Koreksi'!$D$5:$D$92,'0500'!A752,'Daftar Koreksi'!$G$5:$G$92,"Gedung dan Bangunan",'Daftar Koreksi'!$I$5:$I$92,"&gt;0")</f>
        <v>0</v>
      </c>
      <c r="F766" s="25">
        <f>SUMIFS('Daftar Koreksi'!$I$5:$I$92,'Daftar Koreksi'!$D$5:$D$92,'0500'!A752,'Daftar Koreksi'!$G$5:$G$92,"Gedung dan Bangunan",'Daftar Koreksi'!$I$5:$I$92,"&lt;0")-SUMIFS('Daftar Koreksi'!$I$5:$I$92,'Daftar Koreksi'!$D$5:$D$92,'0500'!A752,'Daftar Koreksi'!$G$5:$G$92,"Gedung dan Bangunan",'Daftar Koreksi'!$I$5:$I$92,"&lt;0")-SUMIFS('Daftar Koreksi'!$I$5:$I$92,'Daftar Koreksi'!$D$5:$D$92,'0500'!A752,'Daftar Koreksi'!$G$5:$G$92,"Gedung dan Bangunan",'Daftar Koreksi'!$I$5:$I$92,"&lt;0")</f>
        <v>0</v>
      </c>
      <c r="G766" s="17">
        <f t="shared" si="34"/>
        <v>-1983395123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-78151618</v>
      </c>
      <c r="E767" s="25">
        <f>SUMIFS('Daftar Koreksi'!$I$5:$I$92,'Daftar Koreksi'!$D$5:$D$92,'0500'!A752,'Daftar Koreksi'!$G$5:$G$92,"Jalan Irigasi Jaringan",'Daftar Koreksi'!$I$5:$I$92,"&gt;0")</f>
        <v>0</v>
      </c>
      <c r="F767" s="25">
        <f>SUMIFS('Daftar Koreksi'!$I$5:$I$92,'Daftar Koreksi'!$D$5:$D$92,'0500'!A752,'Daftar Koreksi'!$G$5:$G$92,"Jalan Irigasi Jaringan",'Daftar Koreksi'!$I$5:$I$92,"&lt;0")-SUMIFS('Daftar Koreksi'!$I$5:$I$92,'Daftar Koreksi'!$D$5:$D$92,'0500'!A752,'Daftar Koreksi'!$G$5:$G$92,"Jalan Irigasi Jaringan",'Daftar Koreksi'!$I$5:$I$92,"&lt;0")-SUMIFS('Daftar Koreksi'!$I$5:$I$92,'Daftar Koreksi'!$D$5:$D$92,'0500'!A752,'Daftar Koreksi'!$G$5:$G$92,"Jalan Irigasi Jaringan",'Daftar Koreksi'!$I$5:$I$92,"&lt;0")</f>
        <v>0</v>
      </c>
      <c r="G767" s="17">
        <f t="shared" si="34"/>
        <v>-78151618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Koreksi'!$D$5:$D$92,'0500'!A752,'Daftar Koreksi'!$G$5:$G$92,"Aset Tetap Lainnya",'Daftar Koreksi'!$I$5:$I$92,"&gt;0")</f>
        <v>0</v>
      </c>
      <c r="F768" s="25">
        <f>SUMIFS('Daftar Koreksi'!$I$5:$I$92,'Daftar Koreksi'!$D$5:$D$92,'0500'!A752,'Daftar Koreksi'!$G$5:$G$92,"Aset Tetap Lainnya",'Daftar Koreksi'!$I$5:$I$92,"&lt;0")-SUMIFS('Daftar Koreksi'!$I$5:$I$92,'Daftar Koreksi'!$D$5:$D$92,'0500'!A752,'Daftar Koreksi'!$G$5:$G$92,"Aset Tetap Lainnya",'Daftar Koreksi'!$I$5:$I$92,"&lt;0")-SUMIFS('Daftar Koreksi'!$I$5:$I$92,'Daftar Koreksi'!$D$5:$D$92,'0500'!A752,'Daftar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-4820500</v>
      </c>
      <c r="E769" s="25">
        <f>SUMIFS('Daftar Koreksi'!$I$5:$I$92,'Daftar Koreksi'!$D$5:$D$92,'0500'!A752,'Daftar Koreksi'!$G$5:$G$92,"Aset Henti Guna",'Daftar Koreksi'!$I$5:$I$92,"&gt;0")</f>
        <v>0</v>
      </c>
      <c r="F769" s="25">
        <f>SUMIFS('Daftar Koreksi'!$I$5:$I$92,'Daftar Koreksi'!$D$5:$D$92,'0500'!A752,'Daftar Koreksi'!$G$5:$G$92,"Aset Henti Guna",'Daftar Koreksi'!$I$5:$I$92,"&lt;0")-SUMIFS('Daftar Koreksi'!$I$5:$I$92,'Daftar Koreksi'!$D$5:$D$92,'0500'!A752,'Daftar Koreksi'!$G$5:$G$92,"Aset Henti Guna",'Daftar Koreksi'!$I$5:$I$92,"&lt;0")-SUMIFS('Daftar Koreksi'!$I$5:$I$92,'Daftar Koreksi'!$D$5:$D$92,'0500'!A752,'Daftar Koreksi'!$G$5:$G$92,"Aset Henti Guna",'Daftar Koreksi'!$I$5:$I$92,"&lt;0")</f>
        <v>0</v>
      </c>
      <c r="G769" s="17">
        <f t="shared" si="34"/>
        <v>-4820500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-3495479002</v>
      </c>
      <c r="E770" s="19">
        <f>SUM(E765:E769)</f>
        <v>0</v>
      </c>
      <c r="F770" s="19">
        <f>SUM(F765:F769)</f>
        <v>0</v>
      </c>
      <c r="G770" s="19">
        <f t="shared" si="34"/>
        <v>-3495479002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7339607806</v>
      </c>
      <c r="E771" s="19">
        <f>E770+E764</f>
        <v>0</v>
      </c>
      <c r="F771" s="19">
        <f>F770+F764</f>
        <v>0</v>
      </c>
      <c r="G771" s="19">
        <f t="shared" si="34"/>
        <v>7339607806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005010500400596000KD</v>
      </c>
      <c r="B774" s="11" t="str">
        <f>P36</f>
        <v>PN. Kab. Madiun</v>
      </c>
      <c r="C774" s="12" t="str">
        <f>A774&amp;" "&amp;B774</f>
        <v>005010500400596000KD PN. Kab. Madiun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100000</v>
      </c>
      <c r="E777" s="25">
        <f>SUMIFS('Daftar Koreksi'!$H$5:$H$92,'Daftar Koreksi'!$D$5:$D$92,'0500'!A774,'Daftar Koreksi'!$G$5:$G$92,"Persediaan",'Daftar Koreksi'!$H$5:$H$92,"&gt;0")</f>
        <v>0</v>
      </c>
      <c r="F777" s="25">
        <f>SUMIFS('Daftar Koreksi'!$H$5:$H$92,'Daftar Koreksi'!$D$5:$D$92,'0500'!A774,'Daftar Koreksi'!$G$5:$G$92,"Persediaan",'Daftar Koreksi'!$H$5:$H$92,"&lt;0")-SUMIFS('Daftar Koreksi'!$H$5:$H$92,'Daftar Koreksi'!$D$5:$D$92,'0500'!A774,'Daftar Koreksi'!$G$5:$G$92,"Persediaan",'Daftar Koreksi'!$H$5:$H$92,"&lt;0")-SUMIFS('Daftar Koreksi'!$H$5:$H$92,'Daftar Koreksi'!$D$5:$D$92,'0500'!A774,'Daftar Koreksi'!$G$5:$G$92,"Persediaan",'Daftar Koreksi'!$H$5:$H$92,"&lt;0")</f>
        <v>0</v>
      </c>
      <c r="G777" s="17">
        <f>D777+E777-F777</f>
        <v>100000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2546543000</v>
      </c>
      <c r="E778" s="25">
        <f>SUMIFS('Daftar Koreksi'!$H$5:$H$92,'Daftar Koreksi'!$D$5:$D$92,'0500'!A774,'Daftar Koreksi'!$G$5:$G$92,"Tanah",'Daftar Koreksi'!$H$5:$H$92,"&gt;0")</f>
        <v>0</v>
      </c>
      <c r="F778" s="25">
        <f>SUMIFS('Daftar Koreksi'!$H$5:$H$92,'Daftar Koreksi'!$D$5:$D$92,'0500'!A774,'Daftar Koreksi'!$G$5:$G$92,"Tanah",'Daftar Koreksi'!$H$5:$H$92,"&lt;0")-SUMIFS('Daftar Koreksi'!$H$5:$H$92,'Daftar Koreksi'!$D$5:$D$92,'0500'!A774,'Daftar Koreksi'!$G$5:$G$92,"Tanah",'Daftar Koreksi'!$H$5:$H$92,"&lt;0")-SUMIFS('Daftar Koreksi'!$H$5:$H$92,'Daftar Koreksi'!$D$5:$D$92,'0500'!A774,'Daftar Koreksi'!$G$5:$G$92,"Tanah",'Daftar Koreksi'!$H$5:$H$92,"&lt;0")</f>
        <v>0</v>
      </c>
      <c r="G778" s="17">
        <f t="shared" ref="G778:G794" si="35">D778+E778-F778</f>
        <v>2546543000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1469257920</v>
      </c>
      <c r="E779" s="25">
        <f>SUMIFS('Daftar Koreksi'!$H$5:$H$92,'Daftar Koreksi'!$D$5:$D$92,'0500'!A774,'Daftar Koreksi'!$G$5:$G$92,"Peralatan dan mesin",'Daftar Koreksi'!$H$5:$H$92,"&gt;0")</f>
        <v>0</v>
      </c>
      <c r="F779" s="25">
        <f>SUMIFS('Daftar Koreksi'!$H$5:$H$92,'Daftar Koreksi'!$D$5:$D$92,'0500'!A774,'Daftar Koreksi'!$G$5:$G$92,"Peralatan dan mesin",'Daftar Koreksi'!$H$5:$H$92,"&lt;0")-SUMIFS('Daftar Koreksi'!$H$5:$H$92,'Daftar Koreksi'!$D$5:$D$92,'0500'!A774,'Daftar Koreksi'!$G$5:$G$92,"Peralatan dan mesin",'Daftar Koreksi'!$H$5:$H$92,"&lt;0")-SUMIFS('Daftar Koreksi'!$H$5:$H$92,'Daftar Koreksi'!$D$5:$D$92,'0500'!A774,'Daftar Koreksi'!$G$5:$G$92,"Peralatan dan mesin",'Daftar Koreksi'!$H$5:$H$92,"&lt;0")</f>
        <v>0</v>
      </c>
      <c r="G779" s="17">
        <f t="shared" si="35"/>
        <v>1469257920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6271491200</v>
      </c>
      <c r="E780" s="25">
        <f>SUMIFS('Daftar Koreksi'!$H$5:$H$92,'Daftar Koreksi'!$D$5:$D$92,'0500'!A774,'Daftar Koreksi'!$G$5:$G$92,"Gedung dan Bangunan",'Daftar Koreksi'!$H$5:$H$92,"&gt;0")</f>
        <v>0</v>
      </c>
      <c r="F780" s="25">
        <f>SUMIFS('Daftar Koreksi'!$H$5:$H$92,'Daftar Koreksi'!$D$5:$D$92,'0500'!A774,'Daftar Koreksi'!$G$5:$G$92,"Gedung dan Bangunan",'Daftar Koreksi'!$H$5:$H$92,"&lt;0")-SUMIFS('Daftar Koreksi'!$H$5:$H$92,'Daftar Koreksi'!$D$5:$D$92,'0500'!A774,'Daftar Koreksi'!$G$5:$G$92,"Gedung dan Bangunan",'Daftar Koreksi'!$H$5:$H$92,"&lt;0")-SUMIFS('Daftar Koreksi'!$H$5:$H$92,'Daftar Koreksi'!$D$5:$D$92,'0500'!A774,'Daftar Koreksi'!$G$5:$G$92,"Gedung dan Bangunan",'Daftar Koreksi'!$H$5:$H$92,"&lt;0")</f>
        <v>0</v>
      </c>
      <c r="G780" s="17">
        <f t="shared" si="35"/>
        <v>6271491200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Koreksi'!$D$5:$D$92,'0500'!A774,'Daftar Koreksi'!$G$5:$G$92,"Jalan Irigasi Jaringan",'Daftar Koreksi'!$H$5:$H$92,"&gt;0")</f>
        <v>0</v>
      </c>
      <c r="F781" s="25">
        <f>SUMIFS('Daftar Koreksi'!$H$5:$H$92,'Daftar Koreksi'!$D$5:$D$92,'0500'!A774,'Daftar Koreksi'!$G$5:$G$92,"Jalan Irigasi Jaringan",'Daftar Koreksi'!$H$5:$H$92,"&lt;0")-SUMIFS('Daftar Koreksi'!$H$5:$H$92,'Daftar Koreksi'!$D$5:$D$92,'0500'!A774,'Daftar Koreksi'!$G$5:$G$92,"Jalan Irigasi Jaringan",'Daftar Koreksi'!$H$5:$H$92,"&lt;0")-SUMIFS('Daftar Koreksi'!$H$5:$H$92,'Daftar Koreksi'!$D$5:$D$92,'0500'!A774,'Daftar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9038462</v>
      </c>
      <c r="E782" s="25">
        <f>SUMIFS('Daftar Koreksi'!$H$5:$H$92,'Daftar Koreksi'!$D$5:$D$92,'0500'!A774,'Daftar Koreksi'!$G$5:$G$92,"Aset Tetap Lainnya",'Daftar Koreksi'!$H$5:$H$92,"&gt;0")</f>
        <v>0</v>
      </c>
      <c r="F782" s="25">
        <f>SUMIFS('Daftar Koreksi'!$H$5:$H$92,'Daftar Koreksi'!$D$5:$D$92,'0500'!A774,'Daftar Koreksi'!$G$5:$G$92,"Aset Tetap Lainnya",'Daftar Koreksi'!$H$5:$H$92,"&lt;0")-SUMIFS('Daftar Koreksi'!$H$5:$H$92,'Daftar Koreksi'!$D$5:$D$92,'0500'!A774,'Daftar Koreksi'!$G$5:$G$92,"Aset Tetap Lainnya",'Daftar Koreksi'!$H$5:$H$92,"&lt;0")-SUMIFS('Daftar Koreksi'!$H$5:$H$92,'Daftar Koreksi'!$D$5:$D$92,'0500'!A774,'Daftar Koreksi'!$G$5:$G$92,"Aset Tetap Lainnya",'Daftar Koreksi'!$H$5:$H$92,"&lt;0")</f>
        <v>0</v>
      </c>
      <c r="G782" s="17">
        <f t="shared" si="35"/>
        <v>9038462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Koreksi'!$D$5:$D$92,'0500'!A774,'Daftar Koreksi'!$G$5:$G$92,"Kontruksi Dalam Pengerjaan",'Daftar Koreksi'!$H$5:$H$92,"&gt;0")</f>
        <v>0</v>
      </c>
      <c r="F783" s="25">
        <f>SUMIFS('Daftar Koreksi'!$H$5:$H$92,'Daftar Koreksi'!$D$5:$D$92,'0500'!A774,'Daftar Koreksi'!$G$5:$G$92,"Kontruksi Dalam Pengerjaan",'Daftar Koreksi'!$H$5:$H$92,"&lt;0")-SUMIFS('Daftar Koreksi'!$H$5:$H$92,'Daftar Koreksi'!$D$5:$D$92,'0500'!A774,'Daftar Koreksi'!$G$5:$G$92,"Kontruksi Dalam Pengerjaan",'Daftar Koreksi'!$H$5:$H$92,"&lt;0")-SUMIFS('Daftar Koreksi'!$H$5:$H$92,'Daftar Koreksi'!$D$5:$D$92,'0500'!A774,'Daftar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0</v>
      </c>
      <c r="E784" s="25">
        <f>SUMIFS('Daftar Koreksi'!$H$5:$H$92,'Daftar Koreksi'!$D$5:$D$92,'0500'!A774,'Daftar Koreksi'!$G$5:$G$92,"Aset Tak Berwujud",'Daftar Koreksi'!$H$5:$H$92,"&gt;0")</f>
        <v>0</v>
      </c>
      <c r="F784" s="25">
        <f>SUMIFS('Daftar Koreksi'!$H$5:$H$92,'Daftar Koreksi'!$D$5:$D$92,'0500'!A774,'Daftar Koreksi'!$G$5:$G$92,"Aset Tak Berwujud",'Daftar Koreksi'!$H$5:$H$92,"&lt;0")-SUMIFS('Daftar Koreksi'!$H$5:$H$92,'Daftar Koreksi'!$D$5:$D$92,'0500'!A774,'Daftar Koreksi'!$G$5:$G$92,"Aset Tak Berwujud",'Daftar Koreksi'!$H$5:$H$92,"&lt;0")-SUMIFS('Daftar Koreksi'!$H$5:$H$92,'Daftar Koreksi'!$D$5:$D$92,'0500'!A774,'Daftar Koreksi'!$G$5:$G$92,"Aset Tak Berwujud",'Daftar Koreksi'!$H$5:$H$92,"&lt;0")</f>
        <v>0</v>
      </c>
      <c r="G784" s="17">
        <f t="shared" si="35"/>
        <v>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156045000</v>
      </c>
      <c r="E785" s="25">
        <f>SUMIFS('Daftar Koreksi'!$H$5:$H$92,'Daftar Koreksi'!$D$5:$D$92,'0500'!A774,'Daftar Koreksi'!$G$5:$G$92,"Aset Henti Guna",'Daftar Koreksi'!$H$5:$H$92,"&gt;0")</f>
        <v>0</v>
      </c>
      <c r="F785" s="25">
        <f>SUMIFS('Daftar Koreksi'!$H$5:$H$92,'Daftar Koreksi'!$D$5:$D$92,'0500'!A774,'Daftar Koreksi'!$G$5:$G$92,"Aset Henti Guna",'Daftar Koreksi'!$H$5:$H$92,"&lt;0")-SUMIFS('Daftar Koreksi'!$H$5:$H$92,'Daftar Koreksi'!$D$5:$D$92,'0500'!A774,'Daftar Koreksi'!$G$5:$G$92,"Aset Henti Guna",'Daftar Koreksi'!$H$5:$H$92,"&lt;0")-SUMIFS('Daftar Koreksi'!$H$5:$H$92,'Daftar Koreksi'!$D$5:$D$92,'0500'!A774,'Daftar Koreksi'!$G$5:$G$92,"Aset Henti Guna",'Daftar Koreksi'!$H$5:$H$92,"&lt;0")</f>
        <v>0</v>
      </c>
      <c r="G785" s="17">
        <f t="shared" si="35"/>
        <v>156045000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10452475582</v>
      </c>
      <c r="E786" s="19">
        <f>SUM(E777:E785)</f>
        <v>0</v>
      </c>
      <c r="F786" s="19">
        <f>SUM(F777:F785)</f>
        <v>0</v>
      </c>
      <c r="G786" s="19">
        <f t="shared" si="35"/>
        <v>10452475582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-1309196948</v>
      </c>
      <c r="E787" s="25">
        <f>SUMIFS('Daftar Koreksi'!$I$5:$I$92,'Daftar Koreksi'!$D$5:$D$92,'0500'!A774,'Daftar Koreksi'!$G$5:$G$92,"Peralatan dan mesin",'Daftar Koreksi'!$I$5:$I$92,"&gt;0")</f>
        <v>0</v>
      </c>
      <c r="F787" s="25">
        <f>SUMIFS('Daftar Koreksi'!$I$5:$I$92,'Daftar Koreksi'!$D$5:$D$92,'0500'!A774,'Daftar Koreksi'!$G$5:$G$92,"Peralatan dan mesin",'Daftar Koreksi'!$I$5:$I$92,"&lt;0")-SUMIFS('Daftar Koreksi'!$I$5:$I$92,'Daftar Koreksi'!$D$5:$D$92,'0500'!A774,'Daftar Koreksi'!$G$5:$G$92,"Peralatan dan mesin",'Daftar Koreksi'!$I$5:$I$92,"&lt;0")-SUMIFS('Daftar Koreksi'!$I$5:$I$92,'Daftar Koreksi'!$D$5:$D$92,'0500'!A774,'Daftar Koreksi'!$G$5:$G$92,"Peralatan dan mesin",'Daftar Koreksi'!$I$5:$I$92,"&lt;0")</f>
        <v>0</v>
      </c>
      <c r="G787" s="17">
        <f t="shared" si="35"/>
        <v>-1309196948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-1659075992</v>
      </c>
      <c r="E788" s="25">
        <f>SUMIFS('Daftar Koreksi'!$I$5:$I$92,'Daftar Koreksi'!$D$5:$D$92,'0500'!A774,'Daftar Koreksi'!$G$5:$G$92,"Gedung dan Bangunan",'Daftar Koreksi'!$I$5:$I$92,"&gt;0")</f>
        <v>0</v>
      </c>
      <c r="F788" s="25">
        <f>SUMIFS('Daftar Koreksi'!$I$5:$I$92,'Daftar Koreksi'!$D$5:$D$92,'0500'!A774,'Daftar Koreksi'!$G$5:$G$92,"Gedung dan Bangunan",'Daftar Koreksi'!$I$5:$I$92,"&lt;0")-SUMIFS('Daftar Koreksi'!$I$5:$I$92,'Daftar Koreksi'!$D$5:$D$92,'0500'!A774,'Daftar Koreksi'!$G$5:$G$92,"Gedung dan Bangunan",'Daftar Koreksi'!$I$5:$I$92,"&lt;0")-SUMIFS('Daftar Koreksi'!$I$5:$I$92,'Daftar Koreksi'!$D$5:$D$92,'0500'!A774,'Daftar Koreksi'!$G$5:$G$92,"Gedung dan Bangunan",'Daftar Koreksi'!$I$5:$I$92,"&lt;0")</f>
        <v>0</v>
      </c>
      <c r="G788" s="17">
        <f t="shared" si="35"/>
        <v>-1659075992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Koreksi'!$D$5:$D$92,'0500'!A774,'Daftar Koreksi'!$G$5:$G$92,"Jalan Irigasi Jaringan",'Daftar Koreksi'!$I$5:$I$92,"&gt;0")</f>
        <v>0</v>
      </c>
      <c r="F789" s="25">
        <f>SUMIFS('Daftar Koreksi'!$I$5:$I$92,'Daftar Koreksi'!$D$5:$D$92,'0500'!A774,'Daftar Koreksi'!$G$5:$G$92,"Jalan Irigasi Jaringan",'Daftar Koreksi'!$I$5:$I$92,"&lt;0")-SUMIFS('Daftar Koreksi'!$I$5:$I$92,'Daftar Koreksi'!$D$5:$D$92,'0500'!A774,'Daftar Koreksi'!$G$5:$G$92,"Jalan Irigasi Jaringan",'Daftar Koreksi'!$I$5:$I$92,"&lt;0")-SUMIFS('Daftar Koreksi'!$I$5:$I$92,'Daftar Koreksi'!$D$5:$D$92,'0500'!A774,'Daftar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-2683400</v>
      </c>
      <c r="E790" s="25">
        <f>SUMIFS('Daftar Koreksi'!$I$5:$I$92,'Daftar Koreksi'!$D$5:$D$92,'0500'!A774,'Daftar Koreksi'!$G$5:$G$92,"Aset Tetap Lainnya",'Daftar Koreksi'!$I$5:$I$92,"&gt;0")</f>
        <v>0</v>
      </c>
      <c r="F790" s="25">
        <f>SUMIFS('Daftar Koreksi'!$I$5:$I$92,'Daftar Koreksi'!$D$5:$D$92,'0500'!A774,'Daftar Koreksi'!$G$5:$G$92,"Aset Tetap Lainnya",'Daftar Koreksi'!$I$5:$I$92,"&lt;0")-SUMIFS('Daftar Koreksi'!$I$5:$I$92,'Daftar Koreksi'!$D$5:$D$92,'0500'!A774,'Daftar Koreksi'!$G$5:$G$92,"Aset Tetap Lainnya",'Daftar Koreksi'!$I$5:$I$92,"&lt;0")-SUMIFS('Daftar Koreksi'!$I$5:$I$92,'Daftar Koreksi'!$D$5:$D$92,'0500'!A774,'Daftar Koreksi'!$G$5:$G$92,"Aset Tetap Lainnya",'Daftar Koreksi'!$I$5:$I$92,"&lt;0")</f>
        <v>0</v>
      </c>
      <c r="G790" s="17">
        <f t="shared" si="35"/>
        <v>-2683400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-156045000</v>
      </c>
      <c r="E791" s="25">
        <f>SUMIFS('Daftar Koreksi'!$I$5:$I$92,'Daftar Koreksi'!$D$5:$D$92,'0500'!A774,'Daftar Koreksi'!$G$5:$G$92,"Aset Henti Guna",'Daftar Koreksi'!$I$5:$I$92,"&gt;0")</f>
        <v>0</v>
      </c>
      <c r="F791" s="25">
        <f>SUMIFS('Daftar Koreksi'!$I$5:$I$92,'Daftar Koreksi'!$D$5:$D$92,'0500'!A774,'Daftar Koreksi'!$G$5:$G$92,"Aset Henti Guna",'Daftar Koreksi'!$I$5:$I$92,"&lt;0")-SUMIFS('Daftar Koreksi'!$I$5:$I$92,'Daftar Koreksi'!$D$5:$D$92,'0500'!A774,'Daftar Koreksi'!$G$5:$G$92,"Aset Henti Guna",'Daftar Koreksi'!$I$5:$I$92,"&lt;0")-SUMIFS('Daftar Koreksi'!$I$5:$I$92,'Daftar Koreksi'!$D$5:$D$92,'0500'!A774,'Daftar Koreksi'!$G$5:$G$92,"Aset Henti Guna",'Daftar Koreksi'!$I$5:$I$92,"&lt;0")</f>
        <v>0</v>
      </c>
      <c r="G791" s="17">
        <f t="shared" si="35"/>
        <v>-156045000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-3127001340</v>
      </c>
      <c r="E792" s="19">
        <f>SUM(E787:E791)</f>
        <v>0</v>
      </c>
      <c r="F792" s="19">
        <f>SUM(F787:F791)</f>
        <v>0</v>
      </c>
      <c r="G792" s="19">
        <f t="shared" si="35"/>
        <v>-3127001340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7325474242</v>
      </c>
      <c r="E793" s="19">
        <f>E792+E786</f>
        <v>0</v>
      </c>
      <c r="F793" s="19">
        <f>F792+F786</f>
        <v>0</v>
      </c>
      <c r="G793" s="19">
        <f t="shared" si="35"/>
        <v>7325474242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8" ht="19.5" customHeight="1">
      <c r="A796" s="11" t="str">
        <f>O37</f>
        <v>005010500401240000KD</v>
      </c>
      <c r="B796" s="11" t="str">
        <f>P37</f>
        <v>PA. Surabaya</v>
      </c>
      <c r="C796" s="12" t="str">
        <f>A796&amp;" "&amp;B796</f>
        <v>005010500401240000KD PA. Surabaya</v>
      </c>
      <c r="D796" s="13"/>
      <c r="E796" s="13"/>
      <c r="F796" s="13"/>
      <c r="G796" s="13"/>
      <c r="H796" s="11"/>
    </row>
    <row r="797" spans="1:8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8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8" ht="21.95" customHeight="1">
      <c r="A799" s="14"/>
      <c r="B799" s="14"/>
      <c r="C799" s="16" t="s">
        <v>1165</v>
      </c>
      <c r="D799" s="17">
        <f>VLOOKUP(A796,'Neraca Unaudited SIMAK'!$A$2:$S$10004,3,FALSE)</f>
        <v>2388975</v>
      </c>
      <c r="E799" s="25">
        <f>SUMIFS('Daftar Koreksi'!$H$5:$H$92,'Daftar Koreksi'!$D$5:$D$92,'0500'!A796,'Daftar Koreksi'!$G$5:$G$92,"Persediaan",'Daftar Koreksi'!$H$5:$H$92,"&gt;0")</f>
        <v>0</v>
      </c>
      <c r="F799" s="25">
        <f>SUMIFS('Daftar Koreksi'!$H$5:$H$92,'Daftar Koreksi'!$D$5:$D$92,'0500'!A796,'Daftar Koreksi'!$G$5:$G$92,"Persediaan",'Daftar Koreksi'!$H$5:$H$92,"&lt;0")-SUMIFS('Daftar Koreksi'!$H$5:$H$92,'Daftar Koreksi'!$D$5:$D$92,'0500'!A796,'Daftar Koreksi'!$G$5:$G$92,"Persediaan",'Daftar Koreksi'!$H$5:$H$92,"&lt;0")-SUMIFS('Daftar Koreksi'!$H$5:$H$92,'Daftar Koreksi'!$D$5:$D$92,'0500'!A796,'Daftar Koreksi'!$G$5:$G$92,"Persediaan",'Daftar Koreksi'!$H$5:$H$92,"&lt;0")</f>
        <v>0</v>
      </c>
      <c r="G799" s="17">
        <f>D799+E799-F799</f>
        <v>2388975</v>
      </c>
      <c r="H799" s="121" t="str">
        <f>IF(ISNA(VLOOKUP(A796,'Mutasi Neraca'!$A$3:$S$914,19,FALSE)),"-",VLOOKUP(A796,'Mutasi Neraca'!$A$3:$S$914,19,FALSE))</f>
        <v>-</v>
      </c>
    </row>
    <row r="800" spans="1:8" ht="21.95" customHeight="1">
      <c r="A800" s="14"/>
      <c r="B800" s="14"/>
      <c r="C800" s="16" t="s">
        <v>1166</v>
      </c>
      <c r="D800" s="17">
        <f>VLOOKUP(A796,'Neraca Unaudited SIMAK'!$A$2:$S$10004,4,FALSE)</f>
        <v>2530605600</v>
      </c>
      <c r="E800" s="25">
        <f>SUMIFS('Daftar Koreksi'!$H$5:$H$92,'Daftar Koreksi'!$D$5:$D$92,'0500'!A796,'Daftar Koreksi'!$G$5:$G$92,"Tanah",'Daftar Koreksi'!$H$5:$H$92,"&gt;0")</f>
        <v>0</v>
      </c>
      <c r="F800" s="25">
        <f>SUMIFS('Daftar Koreksi'!$H$5:$H$92,'Daftar Koreksi'!$D$5:$D$92,'0500'!A796,'Daftar Koreksi'!$G$5:$G$92,"Tanah",'Daftar Koreksi'!$H$5:$H$92,"&lt;0")-SUMIFS('Daftar Koreksi'!$H$5:$H$92,'Daftar Koreksi'!$D$5:$D$92,'0500'!A796,'Daftar Koreksi'!$G$5:$G$92,"Tanah",'Daftar Koreksi'!$H$5:$H$92,"&lt;0")-SUMIFS('Daftar Koreksi'!$H$5:$H$92,'Daftar Koreksi'!$D$5:$D$92,'0500'!A796,'Daftar Koreksi'!$G$5:$G$92,"Tanah",'Daftar Koreksi'!$H$5:$H$92,"&lt;0")</f>
        <v>0</v>
      </c>
      <c r="G800" s="17">
        <f t="shared" ref="G800:G816" si="36">D800+E800-F800</f>
        <v>2530605600</v>
      </c>
      <c r="H800" s="122"/>
    </row>
    <row r="801" spans="1:8" ht="21.95" customHeight="1">
      <c r="A801" s="14"/>
      <c r="B801" s="14"/>
      <c r="C801" s="16" t="s">
        <v>1167</v>
      </c>
      <c r="D801" s="17">
        <f>VLOOKUP(A796,'Neraca Unaudited SIMAK'!$A$2:$S$10004,5,FALSE)</f>
        <v>2500475633</v>
      </c>
      <c r="E801" s="25">
        <f>SUMIFS('Daftar Koreksi'!$H$5:$H$92,'Daftar Koreksi'!$D$5:$D$92,'0500'!A796,'Daftar Koreksi'!$G$5:$G$92,"Peralatan dan mesin",'Daftar Koreksi'!$H$5:$H$92,"&gt;0")</f>
        <v>0</v>
      </c>
      <c r="F801" s="25">
        <f>SUMIFS('Daftar Koreksi'!$H$5:$H$92,'Daftar Koreksi'!$D$5:$D$92,'0500'!A796,'Daftar Koreksi'!$G$5:$G$92,"Peralatan dan mesin",'Daftar Koreksi'!$H$5:$H$92,"&lt;0")-SUMIFS('Daftar Koreksi'!$H$5:$H$92,'Daftar Koreksi'!$D$5:$D$92,'0500'!A796,'Daftar Koreksi'!$G$5:$G$92,"Peralatan dan mesin",'Daftar Koreksi'!$H$5:$H$92,"&lt;0")-SUMIFS('Daftar Koreksi'!$H$5:$H$92,'Daftar Koreksi'!$D$5:$D$92,'0500'!A796,'Daftar Koreksi'!$G$5:$G$92,"Peralatan dan mesin",'Daftar Koreksi'!$H$5:$H$92,"&lt;0")</f>
        <v>0</v>
      </c>
      <c r="G801" s="17">
        <f t="shared" si="36"/>
        <v>2500475633</v>
      </c>
      <c r="H801" s="122"/>
    </row>
    <row r="802" spans="1:8" ht="21.95" customHeight="1">
      <c r="A802" s="14"/>
      <c r="B802" s="14"/>
      <c r="C802" s="16" t="s">
        <v>1168</v>
      </c>
      <c r="D802" s="17">
        <f>VLOOKUP(A796,'Neraca Unaudited SIMAK'!$A$2:$S$10004,6,FALSE)</f>
        <v>4730723774</v>
      </c>
      <c r="E802" s="25">
        <f>SUMIFS('Daftar Koreksi'!$H$5:$H$92,'Daftar Koreksi'!$D$5:$D$92,'0500'!A796,'Daftar Koreksi'!$G$5:$G$92,"Gedung dan Bangunan",'Daftar Koreksi'!$H$5:$H$92,"&gt;0")</f>
        <v>0</v>
      </c>
      <c r="F802" s="25">
        <f>SUMIFS('Daftar Koreksi'!$H$5:$H$92,'Daftar Koreksi'!$D$5:$D$92,'0500'!A796,'Daftar Koreksi'!$G$5:$G$92,"Gedung dan Bangunan",'Daftar Koreksi'!$H$5:$H$92,"&lt;0")-SUMIFS('Daftar Koreksi'!$H$5:$H$92,'Daftar Koreksi'!$D$5:$D$92,'0500'!A796,'Daftar Koreksi'!$G$5:$G$92,"Gedung dan Bangunan",'Daftar Koreksi'!$H$5:$H$92,"&lt;0")-SUMIFS('Daftar Koreksi'!$H$5:$H$92,'Daftar Koreksi'!$D$5:$D$92,'0500'!A796,'Daftar Koreksi'!$G$5:$G$92,"Gedung dan Bangunan",'Daftar Koreksi'!$H$5:$H$92,"&lt;0")</f>
        <v>0</v>
      </c>
      <c r="G802" s="17">
        <f t="shared" si="36"/>
        <v>4730723774</v>
      </c>
      <c r="H802" s="122"/>
    </row>
    <row r="803" spans="1:8" ht="21.95" customHeight="1">
      <c r="A803" s="14"/>
      <c r="B803" s="14"/>
      <c r="C803" s="16" t="s">
        <v>1169</v>
      </c>
      <c r="D803" s="17">
        <f>VLOOKUP(A796,'Neraca Unaudited SIMAK'!$A$2:$S$10004,7,FALSE)</f>
        <v>18984900</v>
      </c>
      <c r="E803" s="25">
        <f>SUMIFS('Daftar Koreksi'!$H$5:$H$92,'Daftar Koreksi'!$D$5:$D$92,'0500'!A796,'Daftar Koreksi'!$G$5:$G$92,"Jalan Irigasi Jaringan",'Daftar Koreksi'!$H$5:$H$92,"&gt;0")</f>
        <v>0</v>
      </c>
      <c r="F803" s="25">
        <f>SUMIFS('Daftar Koreksi'!$H$5:$H$92,'Daftar Koreksi'!$D$5:$D$92,'0500'!A796,'Daftar Koreksi'!$G$5:$G$92,"Jalan Irigasi Jaringan",'Daftar Koreksi'!$H$5:$H$92,"&lt;0")-SUMIFS('Daftar Koreksi'!$H$5:$H$92,'Daftar Koreksi'!$D$5:$D$92,'0500'!A796,'Daftar Koreksi'!$G$5:$G$92,"Jalan Irigasi Jaringan",'Daftar Koreksi'!$H$5:$H$92,"&lt;0")-SUMIFS('Daftar Koreksi'!$H$5:$H$92,'Daftar Koreksi'!$D$5:$D$92,'0500'!A796,'Daftar Koreksi'!$G$5:$G$92,"Jalan Irigasi Jaringan",'Daftar Koreksi'!$H$5:$H$92,"&lt;0")</f>
        <v>0</v>
      </c>
      <c r="G803" s="17">
        <f t="shared" si="36"/>
        <v>18984900</v>
      </c>
      <c r="H803" s="122"/>
    </row>
    <row r="804" spans="1:8" ht="21.95" customHeight="1">
      <c r="A804" s="14"/>
      <c r="B804" s="14"/>
      <c r="C804" s="16" t="s">
        <v>1170</v>
      </c>
      <c r="D804" s="17">
        <f>VLOOKUP(A796,'Neraca Unaudited SIMAK'!$A$2:$S$10004,8,FALSE)</f>
        <v>10547018</v>
      </c>
      <c r="E804" s="25">
        <f>SUMIFS('Daftar Koreksi'!$H$5:$H$92,'Daftar Koreksi'!$D$5:$D$92,'0500'!A796,'Daftar Koreksi'!$G$5:$G$92,"Aset Tetap Lainnya",'Daftar Koreksi'!$H$5:$H$92,"&gt;0")</f>
        <v>0</v>
      </c>
      <c r="F804" s="25">
        <f>SUMIFS('Daftar Koreksi'!$H$5:$H$92,'Daftar Koreksi'!$D$5:$D$92,'0500'!A796,'Daftar Koreksi'!$G$5:$G$92,"Aset Tetap Lainnya",'Daftar Koreksi'!$H$5:$H$92,"&lt;0")-SUMIFS('Daftar Koreksi'!$H$5:$H$92,'Daftar Koreksi'!$D$5:$D$92,'0500'!A796,'Daftar Koreksi'!$G$5:$G$92,"Aset Tetap Lainnya",'Daftar Koreksi'!$H$5:$H$92,"&lt;0")-SUMIFS('Daftar Koreksi'!$H$5:$H$92,'Daftar Koreksi'!$D$5:$D$92,'0500'!A796,'Daftar Koreksi'!$G$5:$G$92,"Aset Tetap Lainnya",'Daftar Koreksi'!$H$5:$H$92,"&lt;0")</f>
        <v>0</v>
      </c>
      <c r="G804" s="17">
        <f t="shared" si="36"/>
        <v>10547018</v>
      </c>
      <c r="H804" s="122"/>
    </row>
    <row r="805" spans="1:8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Koreksi'!$D$5:$D$92,'0500'!A796,'Daftar Koreksi'!$G$5:$G$92,"Kontruksi Dalam Pengerjaan",'Daftar Koreksi'!$H$5:$H$92,"&gt;0")</f>
        <v>0</v>
      </c>
      <c r="F805" s="25">
        <f>SUMIFS('Daftar Koreksi'!$H$5:$H$92,'Daftar Koreksi'!$D$5:$D$92,'0500'!A796,'Daftar Koreksi'!$G$5:$G$92,"Kontruksi Dalam Pengerjaan",'Daftar Koreksi'!$H$5:$H$92,"&lt;0")-SUMIFS('Daftar Koreksi'!$H$5:$H$92,'Daftar Koreksi'!$D$5:$D$92,'0500'!A796,'Daftar Koreksi'!$G$5:$G$92,"Kontruksi Dalam Pengerjaan",'Daftar Koreksi'!$H$5:$H$92,"&lt;0")-SUMIFS('Daftar Koreksi'!$H$5:$H$92,'Daftar Koreksi'!$D$5:$D$92,'0500'!A796,'Daftar Koreksi'!$G$5:$G$92,"Kontruksi Dalam Pengerjaan",'Daftar Koreksi'!$H$5:$H$92,"&lt;0")</f>
        <v>0</v>
      </c>
      <c r="G805" s="17">
        <f t="shared" si="36"/>
        <v>0</v>
      </c>
      <c r="H805" s="122"/>
    </row>
    <row r="806" spans="1:8" ht="21.95" customHeight="1">
      <c r="A806" s="14"/>
      <c r="B806" s="14"/>
      <c r="C806" s="16" t="s">
        <v>1172</v>
      </c>
      <c r="D806" s="17">
        <f>VLOOKUP(A796,'Neraca Unaudited SIMAK'!$A$2:$S$10004,10,FALSE)</f>
        <v>23100000</v>
      </c>
      <c r="E806" s="25">
        <f>SUMIFS('Daftar Koreksi'!$H$5:$H$92,'Daftar Koreksi'!$D$5:$D$92,'0500'!A796,'Daftar Koreksi'!$G$5:$G$92,"Aset Tak Berwujud",'Daftar Koreksi'!$H$5:$H$92,"&gt;0")</f>
        <v>0</v>
      </c>
      <c r="F806" s="25">
        <f>SUMIFS('Daftar Koreksi'!$H$5:$H$92,'Daftar Koreksi'!$D$5:$D$92,'0500'!A796,'Daftar Koreksi'!$G$5:$G$92,"Aset Tak Berwujud",'Daftar Koreksi'!$H$5:$H$92,"&lt;0")-SUMIFS('Daftar Koreksi'!$H$5:$H$92,'Daftar Koreksi'!$D$5:$D$92,'0500'!A796,'Daftar Koreksi'!$G$5:$G$92,"Aset Tak Berwujud",'Daftar Koreksi'!$H$5:$H$92,"&lt;0")-SUMIFS('Daftar Koreksi'!$H$5:$H$92,'Daftar Koreksi'!$D$5:$D$92,'0500'!A796,'Daftar Koreksi'!$G$5:$G$92,"Aset Tak Berwujud",'Daftar Koreksi'!$H$5:$H$92,"&lt;0")</f>
        <v>0</v>
      </c>
      <c r="G806" s="17">
        <f t="shared" si="36"/>
        <v>23100000</v>
      </c>
      <c r="H806" s="122"/>
    </row>
    <row r="807" spans="1:8" ht="21.95" customHeight="1">
      <c r="A807" s="14"/>
      <c r="B807" s="14"/>
      <c r="C807" s="16" t="s">
        <v>1173</v>
      </c>
      <c r="D807" s="17">
        <f>VLOOKUP(A796,'Neraca Unaudited SIMAK'!$A$2:$S$10004,11,FALSE)</f>
        <v>0</v>
      </c>
      <c r="E807" s="25">
        <f>SUMIFS('Daftar Koreksi'!$H$5:$H$92,'Daftar Koreksi'!$D$5:$D$92,'0500'!A796,'Daftar Koreksi'!$G$5:$G$92,"Aset Henti Guna",'Daftar Koreksi'!$H$5:$H$92,"&gt;0")</f>
        <v>0</v>
      </c>
      <c r="F807" s="25">
        <f>SUMIFS('Daftar Koreksi'!$H$5:$H$92,'Daftar Koreksi'!$D$5:$D$92,'0500'!A796,'Daftar Koreksi'!$G$5:$G$92,"Aset Henti Guna",'Daftar Koreksi'!$H$5:$H$92,"&lt;0")-SUMIFS('Daftar Koreksi'!$H$5:$H$92,'Daftar Koreksi'!$D$5:$D$92,'0500'!A796,'Daftar Koreksi'!$G$5:$G$92,"Aset Henti Guna",'Daftar Koreksi'!$H$5:$H$92,"&lt;0")-SUMIFS('Daftar Koreksi'!$H$5:$H$92,'Daftar Koreksi'!$D$5:$D$92,'0500'!A796,'Daftar Koreksi'!$G$5:$G$92,"Aset Henti Guna",'Daftar Koreksi'!$H$5:$H$92,"&lt;0")</f>
        <v>0</v>
      </c>
      <c r="G807" s="17">
        <f t="shared" si="36"/>
        <v>0</v>
      </c>
      <c r="H807" s="122"/>
    </row>
    <row r="808" spans="1:8" ht="21.95" customHeight="1">
      <c r="A808" s="14"/>
      <c r="B808" s="14"/>
      <c r="C808" s="18" t="s">
        <v>2093</v>
      </c>
      <c r="D808" s="19">
        <f>VLOOKUP(A796,'Neraca Unaudited SIMAK'!$A$2:$S$10004,12,FALSE)</f>
        <v>9816825900</v>
      </c>
      <c r="E808" s="19">
        <f>SUM(E799:E807)</f>
        <v>0</v>
      </c>
      <c r="F808" s="19">
        <f>SUM(F799:F807)</f>
        <v>0</v>
      </c>
      <c r="G808" s="19">
        <f t="shared" si="36"/>
        <v>9816825900</v>
      </c>
      <c r="H808" s="122"/>
    </row>
    <row r="809" spans="1:8" ht="21.95" customHeight="1">
      <c r="A809" s="14"/>
      <c r="B809" s="14"/>
      <c r="C809" s="16" t="s">
        <v>2087</v>
      </c>
      <c r="D809" s="17">
        <f>VLOOKUP(A796,'Neraca Unaudited SIMAK'!$A$2:$S$10004,13,FALSE)</f>
        <v>-1854825326</v>
      </c>
      <c r="E809" s="25">
        <f>SUMIFS('Daftar Koreksi'!$I$5:$I$92,'Daftar Koreksi'!$D$5:$D$92,'0500'!A796,'Daftar Koreksi'!$G$5:$G$92,"Peralatan dan mesin",'Daftar Koreksi'!$I$5:$I$92,"&gt;0")</f>
        <v>0</v>
      </c>
      <c r="F809" s="25">
        <f>SUMIFS('Daftar Koreksi'!$I$5:$I$92,'Daftar Koreksi'!$D$5:$D$92,'0500'!A796,'Daftar Koreksi'!$G$5:$G$92,"Peralatan dan mesin",'Daftar Koreksi'!$I$5:$I$92,"&lt;0")-SUMIFS('Daftar Koreksi'!$I$5:$I$92,'Daftar Koreksi'!$D$5:$D$92,'0500'!A796,'Daftar Koreksi'!$G$5:$G$92,"Peralatan dan mesin",'Daftar Koreksi'!$I$5:$I$92,"&lt;0")-SUMIFS('Daftar Koreksi'!$I$5:$I$92,'Daftar Koreksi'!$D$5:$D$92,'0500'!A796,'Daftar Koreksi'!$G$5:$G$92,"Peralatan dan mesin",'Daftar Koreksi'!$I$5:$I$92,"&lt;0")</f>
        <v>0</v>
      </c>
      <c r="G809" s="17">
        <f t="shared" si="36"/>
        <v>-1854825326</v>
      </c>
      <c r="H809" s="122"/>
    </row>
    <row r="810" spans="1:8" ht="21.95" customHeight="1">
      <c r="A810" s="14"/>
      <c r="B810" s="14"/>
      <c r="C810" s="16" t="s">
        <v>2088</v>
      </c>
      <c r="D810" s="17">
        <f>VLOOKUP(A796,'Neraca Unaudited SIMAK'!$A$2:$S$10004,14,FALSE)</f>
        <v>-828846126</v>
      </c>
      <c r="E810" s="25">
        <f>SUMIFS('Daftar Koreksi'!$I$5:$I$92,'Daftar Koreksi'!$D$5:$D$92,'0500'!A796,'Daftar Koreksi'!$G$5:$G$92,"Gedung dan Bangunan",'Daftar Koreksi'!$I$5:$I$92,"&gt;0")</f>
        <v>0</v>
      </c>
      <c r="F810" s="25">
        <f>SUMIFS('Daftar Koreksi'!$I$5:$I$92,'Daftar Koreksi'!$D$5:$D$92,'0500'!A796,'Daftar Koreksi'!$G$5:$G$92,"Gedung dan Bangunan",'Daftar Koreksi'!$I$5:$I$92,"&lt;0")-SUMIFS('Daftar Koreksi'!$I$5:$I$92,'Daftar Koreksi'!$D$5:$D$92,'0500'!A796,'Daftar Koreksi'!$G$5:$G$92,"Gedung dan Bangunan",'Daftar Koreksi'!$I$5:$I$92,"&lt;0")-SUMIFS('Daftar Koreksi'!$I$5:$I$92,'Daftar Koreksi'!$D$5:$D$92,'0500'!A796,'Daftar Koreksi'!$G$5:$G$92,"Gedung dan Bangunan",'Daftar Koreksi'!$I$5:$I$92,"&lt;0")</f>
        <v>0</v>
      </c>
      <c r="G810" s="17">
        <f t="shared" si="36"/>
        <v>-828846126</v>
      </c>
      <c r="H810" s="122"/>
    </row>
    <row r="811" spans="1:8" ht="21.95" customHeight="1">
      <c r="A811" s="14"/>
      <c r="B811" s="14"/>
      <c r="C811" s="16" t="s">
        <v>2089</v>
      </c>
      <c r="D811" s="17">
        <f>VLOOKUP(A796,'Neraca Unaudited SIMAK'!$A$2:$S$10004,15,FALSE)</f>
        <v>-5302237</v>
      </c>
      <c r="E811" s="25">
        <f>SUMIFS('Daftar Koreksi'!$I$5:$I$92,'Daftar Koreksi'!$D$5:$D$92,'0500'!A796,'Daftar Koreksi'!$G$5:$G$92,"Jalan Irigasi Jaringan",'Daftar Koreksi'!$I$5:$I$92,"&gt;0")</f>
        <v>0</v>
      </c>
      <c r="F811" s="25">
        <f>SUMIFS('Daftar Koreksi'!$I$5:$I$92,'Daftar Koreksi'!$D$5:$D$92,'0500'!A796,'Daftar Koreksi'!$G$5:$G$92,"Jalan Irigasi Jaringan",'Daftar Koreksi'!$I$5:$I$92,"&lt;0")-SUMIFS('Daftar Koreksi'!$I$5:$I$92,'Daftar Koreksi'!$D$5:$D$92,'0500'!A796,'Daftar Koreksi'!$G$5:$G$92,"Jalan Irigasi Jaringan",'Daftar Koreksi'!$I$5:$I$92,"&lt;0")-SUMIFS('Daftar Koreksi'!$I$5:$I$92,'Daftar Koreksi'!$D$5:$D$92,'0500'!A796,'Daftar Koreksi'!$G$5:$G$92,"Jalan Irigasi Jaringan",'Daftar Koreksi'!$I$5:$I$92,"&lt;0")</f>
        <v>0</v>
      </c>
      <c r="G811" s="17">
        <f t="shared" si="36"/>
        <v>-5302237</v>
      </c>
      <c r="H811" s="122"/>
    </row>
    <row r="812" spans="1:8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Koreksi'!$D$5:$D$92,'0500'!A796,'Daftar Koreksi'!$G$5:$G$92,"Aset Tetap Lainnya",'Daftar Koreksi'!$I$5:$I$92,"&gt;0")</f>
        <v>0</v>
      </c>
      <c r="F812" s="25">
        <f>SUMIFS('Daftar Koreksi'!$I$5:$I$92,'Daftar Koreksi'!$D$5:$D$92,'0500'!A796,'Daftar Koreksi'!$G$5:$G$92,"Aset Tetap Lainnya",'Daftar Koreksi'!$I$5:$I$92,"&lt;0")-SUMIFS('Daftar Koreksi'!$I$5:$I$92,'Daftar Koreksi'!$D$5:$D$92,'0500'!A796,'Daftar Koreksi'!$G$5:$G$92,"Aset Tetap Lainnya",'Daftar Koreksi'!$I$5:$I$92,"&lt;0")-SUMIFS('Daftar Koreksi'!$I$5:$I$92,'Daftar Koreksi'!$D$5:$D$92,'0500'!A796,'Daftar Koreksi'!$G$5:$G$92,"Aset Tetap Lainnya",'Daftar Koreksi'!$I$5:$I$92,"&lt;0")</f>
        <v>0</v>
      </c>
      <c r="G812" s="17">
        <f t="shared" si="36"/>
        <v>0</v>
      </c>
      <c r="H812" s="122"/>
    </row>
    <row r="813" spans="1:8" ht="21.95" customHeight="1">
      <c r="A813" s="14"/>
      <c r="B813" s="14"/>
      <c r="C813" s="16" t="s">
        <v>2020</v>
      </c>
      <c r="D813" s="17">
        <f>VLOOKUP(A796,'Neraca Unaudited SIMAK'!$A$2:$S$10004,17,FALSE)</f>
        <v>0</v>
      </c>
      <c r="E813" s="25">
        <f>SUMIFS('Daftar Koreksi'!$I$5:$I$92,'Daftar Koreksi'!$D$5:$D$92,'0500'!A796,'Daftar Koreksi'!$G$5:$G$92,"Aset Henti Guna",'Daftar Koreksi'!$I$5:$I$92,"&gt;0")</f>
        <v>0</v>
      </c>
      <c r="F813" s="25">
        <f>SUMIFS('Daftar Koreksi'!$I$5:$I$92,'Daftar Koreksi'!$D$5:$D$92,'0500'!A796,'Daftar Koreksi'!$G$5:$G$92,"Aset Henti Guna",'Daftar Koreksi'!$I$5:$I$92,"&lt;0")-SUMIFS('Daftar Koreksi'!$I$5:$I$92,'Daftar Koreksi'!$D$5:$D$92,'0500'!A796,'Daftar Koreksi'!$G$5:$G$92,"Aset Henti Guna",'Daftar Koreksi'!$I$5:$I$92,"&lt;0")-SUMIFS('Daftar Koreksi'!$I$5:$I$92,'Daftar Koreksi'!$D$5:$D$92,'0500'!A796,'Daftar Koreksi'!$G$5:$G$92,"Aset Henti Guna",'Daftar Koreksi'!$I$5:$I$92,"&lt;0")</f>
        <v>0</v>
      </c>
      <c r="G813" s="17">
        <f t="shared" si="36"/>
        <v>0</v>
      </c>
      <c r="H813" s="122"/>
    </row>
    <row r="814" spans="1:8" ht="21.95" customHeight="1">
      <c r="A814" s="14"/>
      <c r="B814" s="14"/>
      <c r="C814" s="18" t="s">
        <v>2094</v>
      </c>
      <c r="D814" s="19">
        <f>SUM(D809:D813)</f>
        <v>-2688973689</v>
      </c>
      <c r="E814" s="19">
        <f>SUM(E809:E813)</f>
        <v>0</v>
      </c>
      <c r="F814" s="19">
        <f>SUM(F809:F813)</f>
        <v>0</v>
      </c>
      <c r="G814" s="19">
        <f t="shared" si="36"/>
        <v>-2688973689</v>
      </c>
      <c r="H814" s="122"/>
    </row>
    <row r="815" spans="1:8" ht="21.95" customHeight="1">
      <c r="A815" s="14"/>
      <c r="B815" s="14"/>
      <c r="C815" s="18" t="s">
        <v>2095</v>
      </c>
      <c r="D815" s="19">
        <f>VLOOKUP(A796,'Neraca Unaudited SIMAK'!$A$2:$S$10004,18,FALSE)</f>
        <v>7127852211</v>
      </c>
      <c r="E815" s="19">
        <f>E814+E808</f>
        <v>0</v>
      </c>
      <c r="F815" s="19">
        <f>F814+F808</f>
        <v>0</v>
      </c>
      <c r="G815" s="19">
        <f t="shared" si="36"/>
        <v>7127852211</v>
      </c>
      <c r="H815" s="122"/>
    </row>
    <row r="816" spans="1:8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</row>
    <row r="818" spans="1:8" ht="19.5" customHeight="1">
      <c r="A818" s="11" t="str">
        <f>O38</f>
        <v>005010500401256000KD</v>
      </c>
      <c r="B818" s="11" t="str">
        <f>P38</f>
        <v>PA. Mojokerto</v>
      </c>
      <c r="C818" s="12" t="str">
        <f>A818&amp;" "&amp;B818</f>
        <v>005010500401256000KD PA. Mojokerto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1398900</v>
      </c>
      <c r="E821" s="25">
        <f>SUMIFS('Daftar Koreksi'!$H$5:$H$92,'Daftar Koreksi'!$D$5:$D$92,'0500'!A818,'Daftar Koreksi'!$G$5:$G$92,"Persediaan",'Daftar Koreksi'!$H$5:$H$92,"&gt;0")</f>
        <v>0</v>
      </c>
      <c r="F821" s="25">
        <f>SUMIFS('Daftar Koreksi'!$H$5:$H$92,'Daftar Koreksi'!$D$5:$D$92,'0500'!A818,'Daftar Koreksi'!$G$5:$G$92,"Persediaan",'Daftar Koreksi'!$H$5:$H$92,"&lt;0")-SUMIFS('Daftar Koreksi'!$H$5:$H$92,'Daftar Koreksi'!$D$5:$D$92,'0500'!A818,'Daftar Koreksi'!$G$5:$G$92,"Persediaan",'Daftar Koreksi'!$H$5:$H$92,"&lt;0")-SUMIFS('Daftar Koreksi'!$H$5:$H$92,'Daftar Koreksi'!$D$5:$D$92,'0500'!A818,'Daftar Koreksi'!$G$5:$G$92,"Persediaan",'Daftar Koreksi'!$H$5:$H$92,"&lt;0")</f>
        <v>0</v>
      </c>
      <c r="G821" s="17">
        <f>D821+E821-F821</f>
        <v>1398900</v>
      </c>
      <c r="H821" s="121" t="str">
        <f>IF(ISNA(VLOOKUP(A818,'Mutasi Neraca'!$A$3:$S$914,19,FALSE)),"-",VLOOKUP(A818,'Mutasi Neraca'!$A$3:$S$914,19,FALSE))</f>
        <v>-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0</v>
      </c>
      <c r="E822" s="25">
        <f>SUMIFS('Daftar Koreksi'!$H$5:$H$92,'Daftar Koreksi'!$D$5:$D$92,'0500'!A818,'Daftar Koreksi'!$G$5:$G$92,"Tanah",'Daftar Koreksi'!$H$5:$H$92,"&gt;0")</f>
        <v>0</v>
      </c>
      <c r="F822" s="25">
        <f>SUMIFS('Daftar Koreksi'!$H$5:$H$92,'Daftar Koreksi'!$D$5:$D$92,'0500'!A818,'Daftar Koreksi'!$G$5:$G$92,"Tanah",'Daftar Koreksi'!$H$5:$H$92,"&lt;0")-SUMIFS('Daftar Koreksi'!$H$5:$H$92,'Daftar Koreksi'!$D$5:$D$92,'0500'!A818,'Daftar Koreksi'!$G$5:$G$92,"Tanah",'Daftar Koreksi'!$H$5:$H$92,"&lt;0")-SUMIFS('Daftar Koreksi'!$H$5:$H$92,'Daftar Koreksi'!$D$5:$D$92,'0500'!A818,'Daftar Koreksi'!$G$5:$G$92,"Tanah",'Daftar Koreksi'!$H$5:$H$92,"&lt;0")</f>
        <v>0</v>
      </c>
      <c r="G822" s="17">
        <f t="shared" ref="G822:G838" si="37">D822+E822-F822</f>
        <v>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1387641294</v>
      </c>
      <c r="E823" s="25">
        <f>SUMIFS('Daftar Koreksi'!$H$5:$H$92,'Daftar Koreksi'!$D$5:$D$92,'0500'!A818,'Daftar Koreksi'!$G$5:$G$92,"Peralatan dan mesin",'Daftar Koreksi'!$H$5:$H$92,"&gt;0")</f>
        <v>0</v>
      </c>
      <c r="F823" s="25">
        <f>SUMIFS('Daftar Koreksi'!$H$5:$H$92,'Daftar Koreksi'!$D$5:$D$92,'0500'!A818,'Daftar Koreksi'!$G$5:$G$92,"Peralatan dan mesin",'Daftar Koreksi'!$H$5:$H$92,"&lt;0")-SUMIFS('Daftar Koreksi'!$H$5:$H$92,'Daftar Koreksi'!$D$5:$D$92,'0500'!A818,'Daftar Koreksi'!$G$5:$G$92,"Peralatan dan mesin",'Daftar Koreksi'!$H$5:$H$92,"&lt;0")-SUMIFS('Daftar Koreksi'!$H$5:$H$92,'Daftar Koreksi'!$D$5:$D$92,'0500'!A818,'Daftar Koreksi'!$G$5:$G$92,"Peralatan dan mesin",'Daftar Koreksi'!$H$5:$H$92,"&lt;0")</f>
        <v>0</v>
      </c>
      <c r="G823" s="17">
        <f t="shared" si="37"/>
        <v>1387641294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5086131524</v>
      </c>
      <c r="E824" s="25">
        <f>SUMIFS('Daftar Koreksi'!$H$5:$H$92,'Daftar Koreksi'!$D$5:$D$92,'0500'!A818,'Daftar Koreksi'!$G$5:$G$92,"Gedung dan Bangunan",'Daftar Koreksi'!$H$5:$H$92,"&gt;0")</f>
        <v>0</v>
      </c>
      <c r="F824" s="25">
        <f>SUMIFS('Daftar Koreksi'!$H$5:$H$92,'Daftar Koreksi'!$D$5:$D$92,'0500'!A818,'Daftar Koreksi'!$G$5:$G$92,"Gedung dan Bangunan",'Daftar Koreksi'!$H$5:$H$92,"&lt;0")-SUMIFS('Daftar Koreksi'!$H$5:$H$92,'Daftar Koreksi'!$D$5:$D$92,'0500'!A818,'Daftar Koreksi'!$G$5:$G$92,"Gedung dan Bangunan",'Daftar Koreksi'!$H$5:$H$92,"&lt;0")-SUMIFS('Daftar Koreksi'!$H$5:$H$92,'Daftar Koreksi'!$D$5:$D$92,'0500'!A818,'Daftar Koreksi'!$G$5:$G$92,"Gedung dan Bangunan",'Daftar Koreksi'!$H$5:$H$92,"&lt;0")</f>
        <v>0</v>
      </c>
      <c r="G824" s="17">
        <f t="shared" si="37"/>
        <v>5086131524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0</v>
      </c>
      <c r="E825" s="25">
        <f>SUMIFS('Daftar Koreksi'!$H$5:$H$92,'Daftar Koreksi'!$D$5:$D$92,'0500'!A818,'Daftar Koreksi'!$G$5:$G$92,"Jalan Irigasi Jaringan",'Daftar Koreksi'!$H$5:$H$92,"&gt;0")</f>
        <v>0</v>
      </c>
      <c r="F825" s="25">
        <f>SUMIFS('Daftar Koreksi'!$H$5:$H$92,'Daftar Koreksi'!$D$5:$D$92,'0500'!A818,'Daftar Koreksi'!$G$5:$G$92,"Jalan Irigasi Jaringan",'Daftar Koreksi'!$H$5:$H$92,"&lt;0")-SUMIFS('Daftar Koreksi'!$H$5:$H$92,'Daftar Koreksi'!$D$5:$D$92,'0500'!A818,'Daftar Koreksi'!$G$5:$G$92,"Jalan Irigasi Jaringan",'Daftar Koreksi'!$H$5:$H$92,"&lt;0")-SUMIFS('Daftar Koreksi'!$H$5:$H$92,'Daftar Koreksi'!$D$5:$D$92,'0500'!A818,'Daftar Koreksi'!$G$5:$G$92,"Jalan Irigasi Jaringan",'Daftar Koreksi'!$H$5:$H$92,"&lt;0")</f>
        <v>0</v>
      </c>
      <c r="G825" s="17">
        <f t="shared" si="37"/>
        <v>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408000</v>
      </c>
      <c r="E826" s="25">
        <f>SUMIFS('Daftar Koreksi'!$H$5:$H$92,'Daftar Koreksi'!$D$5:$D$92,'0500'!A818,'Daftar Koreksi'!$G$5:$G$92,"Aset Tetap Lainnya",'Daftar Koreksi'!$H$5:$H$92,"&gt;0")</f>
        <v>0</v>
      </c>
      <c r="F826" s="25">
        <f>SUMIFS('Daftar Koreksi'!$H$5:$H$92,'Daftar Koreksi'!$D$5:$D$92,'0500'!A818,'Daftar Koreksi'!$G$5:$G$92,"Aset Tetap Lainnya",'Daftar Koreksi'!$H$5:$H$92,"&lt;0")-SUMIFS('Daftar Koreksi'!$H$5:$H$92,'Daftar Koreksi'!$D$5:$D$92,'0500'!A818,'Daftar Koreksi'!$G$5:$G$92,"Aset Tetap Lainnya",'Daftar Koreksi'!$H$5:$H$92,"&lt;0")-SUMIFS('Daftar Koreksi'!$H$5:$H$92,'Daftar Koreksi'!$D$5:$D$92,'0500'!A818,'Daftar Koreksi'!$G$5:$G$92,"Aset Tetap Lainnya",'Daftar Koreksi'!$H$5:$H$92,"&lt;0")</f>
        <v>0</v>
      </c>
      <c r="G826" s="17">
        <f t="shared" si="37"/>
        <v>408000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Koreksi'!$D$5:$D$92,'0500'!A818,'Daftar Koreksi'!$G$5:$G$92,"Kontruksi Dalam Pengerjaan",'Daftar Koreksi'!$H$5:$H$92,"&gt;0")</f>
        <v>0</v>
      </c>
      <c r="F827" s="25">
        <f>SUMIFS('Daftar Koreksi'!$H$5:$H$92,'Daftar Koreksi'!$D$5:$D$92,'0500'!A818,'Daftar Koreksi'!$G$5:$G$92,"Kontruksi Dalam Pengerjaan",'Daftar Koreksi'!$H$5:$H$92,"&lt;0")-SUMIFS('Daftar Koreksi'!$H$5:$H$92,'Daftar Koreksi'!$D$5:$D$92,'0500'!A818,'Daftar Koreksi'!$G$5:$G$92,"Kontruksi Dalam Pengerjaan",'Daftar Koreksi'!$H$5:$H$92,"&lt;0")-SUMIFS('Daftar Koreksi'!$H$5:$H$92,'Daftar Koreksi'!$D$5:$D$92,'0500'!A818,'Daftar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8475000</v>
      </c>
      <c r="E828" s="25">
        <f>SUMIFS('Daftar Koreksi'!$H$5:$H$92,'Daftar Koreksi'!$D$5:$D$92,'0500'!A818,'Daftar Koreksi'!$G$5:$G$92,"Aset Tak Berwujud",'Daftar Koreksi'!$H$5:$H$92,"&gt;0")</f>
        <v>0</v>
      </c>
      <c r="F828" s="25">
        <f>SUMIFS('Daftar Koreksi'!$H$5:$H$92,'Daftar Koreksi'!$D$5:$D$92,'0500'!A818,'Daftar Koreksi'!$G$5:$G$92,"Aset Tak Berwujud",'Daftar Koreksi'!$H$5:$H$92,"&lt;0")-SUMIFS('Daftar Koreksi'!$H$5:$H$92,'Daftar Koreksi'!$D$5:$D$92,'0500'!A818,'Daftar Koreksi'!$G$5:$G$92,"Aset Tak Berwujud",'Daftar Koreksi'!$H$5:$H$92,"&lt;0")-SUMIFS('Daftar Koreksi'!$H$5:$H$92,'Daftar Koreksi'!$D$5:$D$92,'0500'!A818,'Daftar Koreksi'!$G$5:$G$92,"Aset Tak Berwujud",'Daftar Koreksi'!$H$5:$H$92,"&lt;0")</f>
        <v>0</v>
      </c>
      <c r="G828" s="17">
        <f t="shared" si="37"/>
        <v>8475000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69308655</v>
      </c>
      <c r="E829" s="25">
        <f>SUMIFS('Daftar Koreksi'!$H$5:$H$92,'Daftar Koreksi'!$D$5:$D$92,'0500'!A818,'Daftar Koreksi'!$G$5:$G$92,"Aset Henti Guna",'Daftar Koreksi'!$H$5:$H$92,"&gt;0")</f>
        <v>0</v>
      </c>
      <c r="F829" s="25">
        <f>SUMIFS('Daftar Koreksi'!$H$5:$H$92,'Daftar Koreksi'!$D$5:$D$92,'0500'!A818,'Daftar Koreksi'!$G$5:$G$92,"Aset Henti Guna",'Daftar Koreksi'!$H$5:$H$92,"&lt;0")-SUMIFS('Daftar Koreksi'!$H$5:$H$92,'Daftar Koreksi'!$D$5:$D$92,'0500'!A818,'Daftar Koreksi'!$G$5:$G$92,"Aset Henti Guna",'Daftar Koreksi'!$H$5:$H$92,"&lt;0")-SUMIFS('Daftar Koreksi'!$H$5:$H$92,'Daftar Koreksi'!$D$5:$D$92,'0500'!A818,'Daftar Koreksi'!$G$5:$G$92,"Aset Henti Guna",'Daftar Koreksi'!$H$5:$H$92,"&lt;0")</f>
        <v>0</v>
      </c>
      <c r="G829" s="17">
        <f t="shared" si="37"/>
        <v>69308655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6553363373</v>
      </c>
      <c r="E830" s="19">
        <f>SUM(E821:E829)</f>
        <v>0</v>
      </c>
      <c r="F830" s="19">
        <f>SUM(F821:F829)</f>
        <v>0</v>
      </c>
      <c r="G830" s="19">
        <f t="shared" si="37"/>
        <v>6553363373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-1245209186</v>
      </c>
      <c r="E831" s="25">
        <f>SUMIFS('Daftar Koreksi'!$I$5:$I$92,'Daftar Koreksi'!$D$5:$D$92,'0500'!A818,'Daftar Koreksi'!$G$5:$G$92,"Peralatan dan mesin",'Daftar Koreksi'!$I$5:$I$92,"&gt;0")</f>
        <v>0</v>
      </c>
      <c r="F831" s="25">
        <f>SUMIFS('Daftar Koreksi'!$I$5:$I$92,'Daftar Koreksi'!$D$5:$D$92,'0500'!A818,'Daftar Koreksi'!$G$5:$G$92,"Peralatan dan mesin",'Daftar Koreksi'!$I$5:$I$92,"&lt;0")-SUMIFS('Daftar Koreksi'!$I$5:$I$92,'Daftar Koreksi'!$D$5:$D$92,'0500'!A818,'Daftar Koreksi'!$G$5:$G$92,"Peralatan dan mesin",'Daftar Koreksi'!$I$5:$I$92,"&lt;0")-SUMIFS('Daftar Koreksi'!$I$5:$I$92,'Daftar Koreksi'!$D$5:$D$92,'0500'!A818,'Daftar Koreksi'!$G$5:$G$92,"Peralatan dan mesin",'Daftar Koreksi'!$I$5:$I$92,"&lt;0")</f>
        <v>0</v>
      </c>
      <c r="G831" s="17">
        <f t="shared" si="37"/>
        <v>-1245209186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-913074047</v>
      </c>
      <c r="E832" s="25">
        <f>SUMIFS('Daftar Koreksi'!$I$5:$I$92,'Daftar Koreksi'!$D$5:$D$92,'0500'!A818,'Daftar Koreksi'!$G$5:$G$92,"Gedung dan Bangunan",'Daftar Koreksi'!$I$5:$I$92,"&gt;0")</f>
        <v>0</v>
      </c>
      <c r="F832" s="25">
        <f>SUMIFS('Daftar Koreksi'!$I$5:$I$92,'Daftar Koreksi'!$D$5:$D$92,'0500'!A818,'Daftar Koreksi'!$G$5:$G$92,"Gedung dan Bangunan",'Daftar Koreksi'!$I$5:$I$92,"&lt;0")-SUMIFS('Daftar Koreksi'!$I$5:$I$92,'Daftar Koreksi'!$D$5:$D$92,'0500'!A818,'Daftar Koreksi'!$G$5:$G$92,"Gedung dan Bangunan",'Daftar Koreksi'!$I$5:$I$92,"&lt;0")-SUMIFS('Daftar Koreksi'!$I$5:$I$92,'Daftar Koreksi'!$D$5:$D$92,'0500'!A818,'Daftar Koreksi'!$G$5:$G$92,"Gedung dan Bangunan",'Daftar Koreksi'!$I$5:$I$92,"&lt;0")</f>
        <v>0</v>
      </c>
      <c r="G832" s="17">
        <f t="shared" si="37"/>
        <v>-913074047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0</v>
      </c>
      <c r="E833" s="25">
        <f>SUMIFS('Daftar Koreksi'!$I$5:$I$92,'Daftar Koreksi'!$D$5:$D$92,'0500'!A818,'Daftar Koreksi'!$G$5:$G$92,"Jalan Irigasi Jaringan",'Daftar Koreksi'!$I$5:$I$92,"&gt;0")</f>
        <v>0</v>
      </c>
      <c r="F833" s="25">
        <f>SUMIFS('Daftar Koreksi'!$I$5:$I$92,'Daftar Koreksi'!$D$5:$D$92,'0500'!A818,'Daftar Koreksi'!$G$5:$G$92,"Jalan Irigasi Jaringan",'Daftar Koreksi'!$I$5:$I$92,"&lt;0")-SUMIFS('Daftar Koreksi'!$I$5:$I$92,'Daftar Koreksi'!$D$5:$D$92,'0500'!A818,'Daftar Koreksi'!$G$5:$G$92,"Jalan Irigasi Jaringan",'Daftar Koreksi'!$I$5:$I$92,"&lt;0")-SUMIFS('Daftar Koreksi'!$I$5:$I$92,'Daftar Koreksi'!$D$5:$D$92,'0500'!A818,'Daftar Koreksi'!$G$5:$G$92,"Jalan Irigasi Jaringan",'Daftar Koreksi'!$I$5:$I$92,"&lt;0")</f>
        <v>0</v>
      </c>
      <c r="G833" s="17">
        <f t="shared" si="37"/>
        <v>0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Koreksi'!$D$5:$D$92,'0500'!A818,'Daftar Koreksi'!$G$5:$G$92,"Aset Tetap Lainnya",'Daftar Koreksi'!$I$5:$I$92,"&gt;0")</f>
        <v>0</v>
      </c>
      <c r="F834" s="25">
        <f>SUMIFS('Daftar Koreksi'!$I$5:$I$92,'Daftar Koreksi'!$D$5:$D$92,'0500'!A818,'Daftar Koreksi'!$G$5:$G$92,"Aset Tetap Lainnya",'Daftar Koreksi'!$I$5:$I$92,"&lt;0")-SUMIFS('Daftar Koreksi'!$I$5:$I$92,'Daftar Koreksi'!$D$5:$D$92,'0500'!A818,'Daftar Koreksi'!$G$5:$G$92,"Aset Tetap Lainnya",'Daftar Koreksi'!$I$5:$I$92,"&lt;0")-SUMIFS('Daftar Koreksi'!$I$5:$I$92,'Daftar Koreksi'!$D$5:$D$92,'0500'!A818,'Daftar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-69308655</v>
      </c>
      <c r="E835" s="25">
        <f>SUMIFS('Daftar Koreksi'!$I$5:$I$92,'Daftar Koreksi'!$D$5:$D$92,'0500'!A818,'Daftar Koreksi'!$G$5:$G$92,"Aset Henti Guna",'Daftar Koreksi'!$I$5:$I$92,"&gt;0")</f>
        <v>0</v>
      </c>
      <c r="F835" s="25">
        <f>SUMIFS('Daftar Koreksi'!$I$5:$I$92,'Daftar Koreksi'!$D$5:$D$92,'0500'!A818,'Daftar Koreksi'!$G$5:$G$92,"Aset Henti Guna",'Daftar Koreksi'!$I$5:$I$92,"&lt;0")-SUMIFS('Daftar Koreksi'!$I$5:$I$92,'Daftar Koreksi'!$D$5:$D$92,'0500'!A818,'Daftar Koreksi'!$G$5:$G$92,"Aset Henti Guna",'Daftar Koreksi'!$I$5:$I$92,"&lt;0")-SUMIFS('Daftar Koreksi'!$I$5:$I$92,'Daftar Koreksi'!$D$5:$D$92,'0500'!A818,'Daftar Koreksi'!$G$5:$G$92,"Aset Henti Guna",'Daftar Koreksi'!$I$5:$I$92,"&lt;0")</f>
        <v>0</v>
      </c>
      <c r="G835" s="17">
        <f t="shared" si="37"/>
        <v>-69308655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-2227591888</v>
      </c>
      <c r="E836" s="19">
        <f>SUM(E831:E835)</f>
        <v>0</v>
      </c>
      <c r="F836" s="19">
        <f>SUM(F831:F835)</f>
        <v>0</v>
      </c>
      <c r="G836" s="19">
        <f t="shared" si="37"/>
        <v>-2227591888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4325771485</v>
      </c>
      <c r="E837" s="19">
        <f>E836+E830</f>
        <v>0</v>
      </c>
      <c r="F837" s="19">
        <f>F836+F830</f>
        <v>0</v>
      </c>
      <c r="G837" s="19">
        <f t="shared" si="37"/>
        <v>4325771485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005010500401262000KD</v>
      </c>
      <c r="B840" s="11" t="str">
        <f>P39</f>
        <v>PA. Sidoarjo</v>
      </c>
      <c r="C840" s="12" t="str">
        <f>A840&amp;" "&amp;B840</f>
        <v>005010500401262000KD PA. Sidoarjo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1510000</v>
      </c>
      <c r="E843" s="25">
        <f>SUMIFS('Daftar Koreksi'!$H$5:$H$92,'Daftar Koreksi'!$D$5:$D$92,'0500'!A840,'Daftar Koreksi'!$G$5:$G$92,"Persediaan",'Daftar Koreksi'!$H$5:$H$92,"&gt;0")</f>
        <v>0</v>
      </c>
      <c r="F843" s="25">
        <f>SUMIFS('Daftar Koreksi'!$H$5:$H$92,'Daftar Koreksi'!$D$5:$D$92,'0500'!A840,'Daftar Koreksi'!$G$5:$G$92,"Persediaan",'Daftar Koreksi'!$H$5:$H$92,"&lt;0")-SUMIFS('Daftar Koreksi'!$H$5:$H$92,'Daftar Koreksi'!$D$5:$D$92,'0500'!A840,'Daftar Koreksi'!$G$5:$G$92,"Persediaan",'Daftar Koreksi'!$H$5:$H$92,"&lt;0")-SUMIFS('Daftar Koreksi'!$H$5:$H$92,'Daftar Koreksi'!$D$5:$D$92,'0500'!A840,'Daftar Koreksi'!$G$5:$G$92,"Persediaan",'Daftar Koreksi'!$H$5:$H$92,"&lt;0")</f>
        <v>0</v>
      </c>
      <c r="G843" s="17">
        <f>D843+E843-F843</f>
        <v>1510000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1113200000</v>
      </c>
      <c r="E844" s="25">
        <f>SUMIFS('Daftar Koreksi'!$H$5:$H$92,'Daftar Koreksi'!$D$5:$D$92,'0500'!A840,'Daftar Koreksi'!$G$5:$G$92,"Tanah",'Daftar Koreksi'!$H$5:$H$92,"&gt;0")</f>
        <v>0</v>
      </c>
      <c r="F844" s="25">
        <f>SUMIFS('Daftar Koreksi'!$H$5:$H$92,'Daftar Koreksi'!$D$5:$D$92,'0500'!A840,'Daftar Koreksi'!$G$5:$G$92,"Tanah",'Daftar Koreksi'!$H$5:$H$92,"&lt;0")-SUMIFS('Daftar Koreksi'!$H$5:$H$92,'Daftar Koreksi'!$D$5:$D$92,'0500'!A840,'Daftar Koreksi'!$G$5:$G$92,"Tanah",'Daftar Koreksi'!$H$5:$H$92,"&lt;0")-SUMIFS('Daftar Koreksi'!$H$5:$H$92,'Daftar Koreksi'!$D$5:$D$92,'0500'!A840,'Daftar Koreksi'!$G$5:$G$92,"Tanah",'Daftar Koreksi'!$H$5:$H$92,"&lt;0")</f>
        <v>0</v>
      </c>
      <c r="G844" s="17">
        <f t="shared" ref="G844:G860" si="38">D844+E844-F844</f>
        <v>1113200000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1102651767</v>
      </c>
      <c r="E845" s="25">
        <f>SUMIFS('Daftar Koreksi'!$H$5:$H$92,'Daftar Koreksi'!$D$5:$D$92,'0500'!A840,'Daftar Koreksi'!$G$5:$G$92,"Peralatan dan mesin",'Daftar Koreksi'!$H$5:$H$92,"&gt;0")</f>
        <v>0</v>
      </c>
      <c r="F845" s="25">
        <f>SUMIFS('Daftar Koreksi'!$H$5:$H$92,'Daftar Koreksi'!$D$5:$D$92,'0500'!A840,'Daftar Koreksi'!$G$5:$G$92,"Peralatan dan mesin",'Daftar Koreksi'!$H$5:$H$92,"&lt;0")-SUMIFS('Daftar Koreksi'!$H$5:$H$92,'Daftar Koreksi'!$D$5:$D$92,'0500'!A840,'Daftar Koreksi'!$G$5:$G$92,"Peralatan dan mesin",'Daftar Koreksi'!$H$5:$H$92,"&lt;0")-SUMIFS('Daftar Koreksi'!$H$5:$H$92,'Daftar Koreksi'!$D$5:$D$92,'0500'!A840,'Daftar Koreksi'!$G$5:$G$92,"Peralatan dan mesin",'Daftar Koreksi'!$H$5:$H$92,"&lt;0")</f>
        <v>0</v>
      </c>
      <c r="G845" s="17">
        <f t="shared" si="38"/>
        <v>1102651767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1134091237</v>
      </c>
      <c r="E846" s="25">
        <f>SUMIFS('Daftar Koreksi'!$H$5:$H$92,'Daftar Koreksi'!$D$5:$D$92,'0500'!A840,'Daftar Koreksi'!$G$5:$G$92,"Gedung dan Bangunan",'Daftar Koreksi'!$H$5:$H$92,"&gt;0")</f>
        <v>0</v>
      </c>
      <c r="F846" s="25">
        <f>SUMIFS('Daftar Koreksi'!$H$5:$H$92,'Daftar Koreksi'!$D$5:$D$92,'0500'!A840,'Daftar Koreksi'!$G$5:$G$92,"Gedung dan Bangunan",'Daftar Koreksi'!$H$5:$H$92,"&lt;0")-SUMIFS('Daftar Koreksi'!$H$5:$H$92,'Daftar Koreksi'!$D$5:$D$92,'0500'!A840,'Daftar Koreksi'!$G$5:$G$92,"Gedung dan Bangunan",'Daftar Koreksi'!$H$5:$H$92,"&lt;0")-SUMIFS('Daftar Koreksi'!$H$5:$H$92,'Daftar Koreksi'!$D$5:$D$92,'0500'!A840,'Daftar Koreksi'!$G$5:$G$92,"Gedung dan Bangunan",'Daftar Koreksi'!$H$5:$H$92,"&lt;0")</f>
        <v>0</v>
      </c>
      <c r="G846" s="17">
        <f t="shared" si="38"/>
        <v>1134091237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0</v>
      </c>
      <c r="E847" s="25">
        <f>SUMIFS('Daftar Koreksi'!$H$5:$H$92,'Daftar Koreksi'!$D$5:$D$92,'0500'!A840,'Daftar Koreksi'!$G$5:$G$92,"Jalan Irigasi Jaringan",'Daftar Koreksi'!$H$5:$H$92,"&gt;0")</f>
        <v>0</v>
      </c>
      <c r="F847" s="25">
        <f>SUMIFS('Daftar Koreksi'!$H$5:$H$92,'Daftar Koreksi'!$D$5:$D$92,'0500'!A840,'Daftar Koreksi'!$G$5:$G$92,"Jalan Irigasi Jaringan",'Daftar Koreksi'!$H$5:$H$92,"&lt;0")-SUMIFS('Daftar Koreksi'!$H$5:$H$92,'Daftar Koreksi'!$D$5:$D$92,'0500'!A840,'Daftar Koreksi'!$G$5:$G$92,"Jalan Irigasi Jaringan",'Daftar Koreksi'!$H$5:$H$92,"&lt;0")-SUMIFS('Daftar Koreksi'!$H$5:$H$92,'Daftar Koreksi'!$D$5:$D$92,'0500'!A840,'Daftar Koreksi'!$G$5:$G$92,"Jalan Irigasi Jaringan",'Daftar Koreksi'!$H$5:$H$92,"&lt;0")</f>
        <v>0</v>
      </c>
      <c r="G847" s="17">
        <f t="shared" si="38"/>
        <v>0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408000</v>
      </c>
      <c r="E848" s="25">
        <f>SUMIFS('Daftar Koreksi'!$H$5:$H$92,'Daftar Koreksi'!$D$5:$D$92,'0500'!A840,'Daftar Koreksi'!$G$5:$G$92,"Aset Tetap Lainnya",'Daftar Koreksi'!$H$5:$H$92,"&gt;0")</f>
        <v>0</v>
      </c>
      <c r="F848" s="25">
        <f>SUMIFS('Daftar Koreksi'!$H$5:$H$92,'Daftar Koreksi'!$D$5:$D$92,'0500'!A840,'Daftar Koreksi'!$G$5:$G$92,"Aset Tetap Lainnya",'Daftar Koreksi'!$H$5:$H$92,"&lt;0")-SUMIFS('Daftar Koreksi'!$H$5:$H$92,'Daftar Koreksi'!$D$5:$D$92,'0500'!A840,'Daftar Koreksi'!$G$5:$G$92,"Aset Tetap Lainnya",'Daftar Koreksi'!$H$5:$H$92,"&lt;0")-SUMIFS('Daftar Koreksi'!$H$5:$H$92,'Daftar Koreksi'!$D$5:$D$92,'0500'!A840,'Daftar Koreksi'!$G$5:$G$92,"Aset Tetap Lainnya",'Daftar Koreksi'!$H$5:$H$92,"&lt;0")</f>
        <v>0</v>
      </c>
      <c r="G848" s="17">
        <f t="shared" si="38"/>
        <v>408000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Koreksi'!$D$5:$D$92,'0500'!A840,'Daftar Koreksi'!$G$5:$G$92,"Kontruksi Dalam Pengerjaan",'Daftar Koreksi'!$H$5:$H$92,"&gt;0")</f>
        <v>0</v>
      </c>
      <c r="F849" s="25">
        <f>SUMIFS('Daftar Koreksi'!$H$5:$H$92,'Daftar Koreksi'!$D$5:$D$92,'0500'!A840,'Daftar Koreksi'!$G$5:$G$92,"Kontruksi Dalam Pengerjaan",'Daftar Koreksi'!$H$5:$H$92,"&lt;0")-SUMIFS('Daftar Koreksi'!$H$5:$H$92,'Daftar Koreksi'!$D$5:$D$92,'0500'!A840,'Daftar Koreksi'!$G$5:$G$92,"Kontruksi Dalam Pengerjaan",'Daftar Koreksi'!$H$5:$H$92,"&lt;0")-SUMIFS('Daftar Koreksi'!$H$5:$H$92,'Daftar Koreksi'!$D$5:$D$92,'0500'!A840,'Daftar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0</v>
      </c>
      <c r="E850" s="25">
        <f>SUMIFS('Daftar Koreksi'!$H$5:$H$92,'Daftar Koreksi'!$D$5:$D$92,'0500'!A840,'Daftar Koreksi'!$G$5:$G$92,"Aset Tak Berwujud",'Daftar Koreksi'!$H$5:$H$92,"&gt;0")</f>
        <v>0</v>
      </c>
      <c r="F850" s="25">
        <f>SUMIFS('Daftar Koreksi'!$H$5:$H$92,'Daftar Koreksi'!$D$5:$D$92,'0500'!A840,'Daftar Koreksi'!$G$5:$G$92,"Aset Tak Berwujud",'Daftar Koreksi'!$H$5:$H$92,"&lt;0")-SUMIFS('Daftar Koreksi'!$H$5:$H$92,'Daftar Koreksi'!$D$5:$D$92,'0500'!A840,'Daftar Koreksi'!$G$5:$G$92,"Aset Tak Berwujud",'Daftar Koreksi'!$H$5:$H$92,"&lt;0")-SUMIFS('Daftar Koreksi'!$H$5:$H$92,'Daftar Koreksi'!$D$5:$D$92,'0500'!A840,'Daftar Koreksi'!$G$5:$G$92,"Aset Tak Berwujud",'Daftar Koreksi'!$H$5:$H$92,"&lt;0")</f>
        <v>0</v>
      </c>
      <c r="G850" s="17">
        <f t="shared" si="38"/>
        <v>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0</v>
      </c>
      <c r="E851" s="25">
        <f>SUMIFS('Daftar Koreksi'!$H$5:$H$92,'Daftar Koreksi'!$D$5:$D$92,'0500'!A840,'Daftar Koreksi'!$G$5:$G$92,"Aset Henti Guna",'Daftar Koreksi'!$H$5:$H$92,"&gt;0")</f>
        <v>0</v>
      </c>
      <c r="F851" s="25">
        <f>SUMIFS('Daftar Koreksi'!$H$5:$H$92,'Daftar Koreksi'!$D$5:$D$92,'0500'!A840,'Daftar Koreksi'!$G$5:$G$92,"Aset Henti Guna",'Daftar Koreksi'!$H$5:$H$92,"&lt;0")-SUMIFS('Daftar Koreksi'!$H$5:$H$92,'Daftar Koreksi'!$D$5:$D$92,'0500'!A840,'Daftar Koreksi'!$G$5:$G$92,"Aset Henti Guna",'Daftar Koreksi'!$H$5:$H$92,"&lt;0")-SUMIFS('Daftar Koreksi'!$H$5:$H$92,'Daftar Koreksi'!$D$5:$D$92,'0500'!A840,'Daftar Koreksi'!$G$5:$G$92,"Aset Henti Guna",'Daftar Koreksi'!$H$5:$H$92,"&lt;0")</f>
        <v>0</v>
      </c>
      <c r="G851" s="17">
        <f t="shared" si="38"/>
        <v>0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3351861004</v>
      </c>
      <c r="E852" s="19">
        <f>SUM(E843:E851)</f>
        <v>0</v>
      </c>
      <c r="F852" s="19">
        <f>SUM(F843:F851)</f>
        <v>0</v>
      </c>
      <c r="G852" s="19">
        <f t="shared" si="38"/>
        <v>3351861004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-975857230</v>
      </c>
      <c r="E853" s="25">
        <f>SUMIFS('Daftar Koreksi'!$I$5:$I$92,'Daftar Koreksi'!$D$5:$D$92,'0500'!A840,'Daftar Koreksi'!$G$5:$G$92,"Peralatan dan mesin",'Daftar Koreksi'!$I$5:$I$92,"&gt;0")</f>
        <v>0</v>
      </c>
      <c r="F853" s="25">
        <f>SUMIFS('Daftar Koreksi'!$I$5:$I$92,'Daftar Koreksi'!$D$5:$D$92,'0500'!A840,'Daftar Koreksi'!$G$5:$G$92,"Peralatan dan mesin",'Daftar Koreksi'!$I$5:$I$92,"&lt;0")-SUMIFS('Daftar Koreksi'!$I$5:$I$92,'Daftar Koreksi'!$D$5:$D$92,'0500'!A840,'Daftar Koreksi'!$G$5:$G$92,"Peralatan dan mesin",'Daftar Koreksi'!$I$5:$I$92,"&lt;0")-SUMIFS('Daftar Koreksi'!$I$5:$I$92,'Daftar Koreksi'!$D$5:$D$92,'0500'!A840,'Daftar Koreksi'!$G$5:$G$92,"Peralatan dan mesin",'Daftar Koreksi'!$I$5:$I$92,"&lt;0")</f>
        <v>0</v>
      </c>
      <c r="G853" s="17">
        <f t="shared" si="38"/>
        <v>-975857230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-725818389</v>
      </c>
      <c r="E854" s="25">
        <f>SUMIFS('Daftar Koreksi'!$I$5:$I$92,'Daftar Koreksi'!$D$5:$D$92,'0500'!A840,'Daftar Koreksi'!$G$5:$G$92,"Gedung dan Bangunan",'Daftar Koreksi'!$I$5:$I$92,"&gt;0")</f>
        <v>0</v>
      </c>
      <c r="F854" s="25">
        <f>SUMIFS('Daftar Koreksi'!$I$5:$I$92,'Daftar Koreksi'!$D$5:$D$92,'0500'!A840,'Daftar Koreksi'!$G$5:$G$92,"Gedung dan Bangunan",'Daftar Koreksi'!$I$5:$I$92,"&lt;0")-SUMIFS('Daftar Koreksi'!$I$5:$I$92,'Daftar Koreksi'!$D$5:$D$92,'0500'!A840,'Daftar Koreksi'!$G$5:$G$92,"Gedung dan Bangunan",'Daftar Koreksi'!$I$5:$I$92,"&lt;0")-SUMIFS('Daftar Koreksi'!$I$5:$I$92,'Daftar Koreksi'!$D$5:$D$92,'0500'!A840,'Daftar Koreksi'!$G$5:$G$92,"Gedung dan Bangunan",'Daftar Koreksi'!$I$5:$I$92,"&lt;0")</f>
        <v>0</v>
      </c>
      <c r="G854" s="17">
        <f t="shared" si="38"/>
        <v>-725818389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0</v>
      </c>
      <c r="E855" s="25">
        <f>SUMIFS('Daftar Koreksi'!$I$5:$I$92,'Daftar Koreksi'!$D$5:$D$92,'0500'!A840,'Daftar Koreksi'!$G$5:$G$92,"Jalan Irigasi Jaringan",'Daftar Koreksi'!$I$5:$I$92,"&gt;0")</f>
        <v>0</v>
      </c>
      <c r="F855" s="25">
        <f>SUMIFS('Daftar Koreksi'!$I$5:$I$92,'Daftar Koreksi'!$D$5:$D$92,'0500'!A840,'Daftar Koreksi'!$G$5:$G$92,"Jalan Irigasi Jaringan",'Daftar Koreksi'!$I$5:$I$92,"&lt;0")-SUMIFS('Daftar Koreksi'!$I$5:$I$92,'Daftar Koreksi'!$D$5:$D$92,'0500'!A840,'Daftar Koreksi'!$G$5:$G$92,"Jalan Irigasi Jaringan",'Daftar Koreksi'!$I$5:$I$92,"&lt;0")-SUMIFS('Daftar Koreksi'!$I$5:$I$92,'Daftar Koreksi'!$D$5:$D$92,'0500'!A840,'Daftar Koreksi'!$G$5:$G$92,"Jalan Irigasi Jaringan",'Daftar Koreksi'!$I$5:$I$92,"&lt;0")</f>
        <v>0</v>
      </c>
      <c r="G855" s="17">
        <f t="shared" si="38"/>
        <v>0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Koreksi'!$D$5:$D$92,'0500'!A840,'Daftar Koreksi'!$G$5:$G$92,"Aset Tetap Lainnya",'Daftar Koreksi'!$I$5:$I$92,"&gt;0")</f>
        <v>0</v>
      </c>
      <c r="F856" s="25">
        <f>SUMIFS('Daftar Koreksi'!$I$5:$I$92,'Daftar Koreksi'!$D$5:$D$92,'0500'!A840,'Daftar Koreksi'!$G$5:$G$92,"Aset Tetap Lainnya",'Daftar Koreksi'!$I$5:$I$92,"&lt;0")-SUMIFS('Daftar Koreksi'!$I$5:$I$92,'Daftar Koreksi'!$D$5:$D$92,'0500'!A840,'Daftar Koreksi'!$G$5:$G$92,"Aset Tetap Lainnya",'Daftar Koreksi'!$I$5:$I$92,"&lt;0")-SUMIFS('Daftar Koreksi'!$I$5:$I$92,'Daftar Koreksi'!$D$5:$D$92,'0500'!A840,'Daftar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0</v>
      </c>
      <c r="E857" s="25">
        <f>SUMIFS('Daftar Koreksi'!$I$5:$I$92,'Daftar Koreksi'!$D$5:$D$92,'0500'!A840,'Daftar Koreksi'!$G$5:$G$92,"Aset Henti Guna",'Daftar Koreksi'!$I$5:$I$92,"&gt;0")</f>
        <v>0</v>
      </c>
      <c r="F857" s="25">
        <f>SUMIFS('Daftar Koreksi'!$I$5:$I$92,'Daftar Koreksi'!$D$5:$D$92,'0500'!A840,'Daftar Koreksi'!$G$5:$G$92,"Aset Henti Guna",'Daftar Koreksi'!$I$5:$I$92,"&lt;0")-SUMIFS('Daftar Koreksi'!$I$5:$I$92,'Daftar Koreksi'!$D$5:$D$92,'0500'!A840,'Daftar Koreksi'!$G$5:$G$92,"Aset Henti Guna",'Daftar Koreksi'!$I$5:$I$92,"&lt;0")-SUMIFS('Daftar Koreksi'!$I$5:$I$92,'Daftar Koreksi'!$D$5:$D$92,'0500'!A840,'Daftar Koreksi'!$G$5:$G$92,"Aset Henti Guna",'Daftar Koreksi'!$I$5:$I$92,"&lt;0")</f>
        <v>0</v>
      </c>
      <c r="G857" s="17">
        <f t="shared" si="38"/>
        <v>0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-1701675619</v>
      </c>
      <c r="E858" s="19">
        <f>SUM(E853:E857)</f>
        <v>0</v>
      </c>
      <c r="F858" s="19">
        <f>SUM(F853:F857)</f>
        <v>0</v>
      </c>
      <c r="G858" s="19">
        <f t="shared" si="38"/>
        <v>-1701675619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1650185385</v>
      </c>
      <c r="E859" s="19">
        <f>E858+E852</f>
        <v>0</v>
      </c>
      <c r="F859" s="19">
        <f>F858+F852</f>
        <v>0</v>
      </c>
      <c r="G859" s="19">
        <f t="shared" si="38"/>
        <v>1650185385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005010500401271000KD</v>
      </c>
      <c r="B862" s="11" t="str">
        <f>P40</f>
        <v>PA. Jombang</v>
      </c>
      <c r="C862" s="12" t="str">
        <f>A862&amp;" "&amp;B862</f>
        <v>005010500401271000KD PA. Jombang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8" ht="21.95" customHeight="1">
      <c r="A865" s="14"/>
      <c r="B865" s="14"/>
      <c r="C865" s="16" t="s">
        <v>1165</v>
      </c>
      <c r="D865" s="17">
        <f>VLOOKUP(A862,'Neraca Unaudited SIMAK'!$A$2:$S$10004,3,FALSE)</f>
        <v>3201000</v>
      </c>
      <c r="E865" s="25">
        <f>SUMIFS('Daftar Koreksi'!$H$5:$H$92,'Daftar Koreksi'!$D$5:$D$92,'0500'!A862,'Daftar Koreksi'!$G$5:$G$92,"Persediaan",'Daftar Koreksi'!$H$5:$H$92,"&gt;0")</f>
        <v>0</v>
      </c>
      <c r="F865" s="25">
        <f>SUMIFS('Daftar Koreksi'!$H$5:$H$92,'Daftar Koreksi'!$D$5:$D$92,'0500'!A862,'Daftar Koreksi'!$G$5:$G$92,"Persediaan",'Daftar Koreksi'!$H$5:$H$92,"&lt;0")-SUMIFS('Daftar Koreksi'!$H$5:$H$92,'Daftar Koreksi'!$D$5:$D$92,'0500'!A862,'Daftar Koreksi'!$G$5:$G$92,"Persediaan",'Daftar Koreksi'!$H$5:$H$92,"&lt;0")-SUMIFS('Daftar Koreksi'!$H$5:$H$92,'Daftar Koreksi'!$D$5:$D$92,'0500'!A862,'Daftar Koreksi'!$G$5:$G$92,"Persediaan",'Daftar Koreksi'!$H$5:$H$92,"&lt;0")</f>
        <v>0</v>
      </c>
      <c r="G865" s="17">
        <f>D865+E865-F865</f>
        <v>3201000</v>
      </c>
      <c r="H865" s="121" t="str">
        <f>IF(ISNA(VLOOKUP(A862,'Mutasi Neraca'!$A$3:$S$914,19,FALSE)),"-",VLOOKUP(A862,'Mutasi Neraca'!$A$3:$S$914,19,FALSE))</f>
        <v>-</v>
      </c>
    </row>
    <row r="866" spans="1:8" ht="21.95" customHeight="1">
      <c r="A866" s="14"/>
      <c r="B866" s="14"/>
      <c r="C866" s="16" t="s">
        <v>1166</v>
      </c>
      <c r="D866" s="17">
        <f>VLOOKUP(A862,'Neraca Unaudited SIMAK'!$A$2:$S$10004,4,FALSE)</f>
        <v>3199430000</v>
      </c>
      <c r="E866" s="25">
        <f>SUMIFS('Daftar Koreksi'!$H$5:$H$92,'Daftar Koreksi'!$D$5:$D$92,'0500'!A862,'Daftar Koreksi'!$G$5:$G$92,"Tanah",'Daftar Koreksi'!$H$5:$H$92,"&gt;0")</f>
        <v>0</v>
      </c>
      <c r="F866" s="25">
        <f>SUMIFS('Daftar Koreksi'!$H$5:$H$92,'Daftar Koreksi'!$D$5:$D$92,'0500'!A862,'Daftar Koreksi'!$G$5:$G$92,"Tanah",'Daftar Koreksi'!$H$5:$H$92,"&lt;0")-SUMIFS('Daftar Koreksi'!$H$5:$H$92,'Daftar Koreksi'!$D$5:$D$92,'0500'!A862,'Daftar Koreksi'!$G$5:$G$92,"Tanah",'Daftar Koreksi'!$H$5:$H$92,"&lt;0")-SUMIFS('Daftar Koreksi'!$H$5:$H$92,'Daftar Koreksi'!$D$5:$D$92,'0500'!A862,'Daftar Koreksi'!$G$5:$G$92,"Tanah",'Daftar Koreksi'!$H$5:$H$92,"&lt;0")</f>
        <v>0</v>
      </c>
      <c r="G866" s="17">
        <f t="shared" ref="G866:G882" si="39">D866+E866-F866</f>
        <v>3199430000</v>
      </c>
      <c r="H866" s="122"/>
    </row>
    <row r="867" spans="1:8" ht="21.95" customHeight="1">
      <c r="A867" s="14"/>
      <c r="B867" s="14"/>
      <c r="C867" s="16" t="s">
        <v>1167</v>
      </c>
      <c r="D867" s="17">
        <f>VLOOKUP(A862,'Neraca Unaudited SIMAK'!$A$2:$S$10004,5,FALSE)</f>
        <v>1327331362</v>
      </c>
      <c r="E867" s="25">
        <f>SUMIFS('Daftar Koreksi'!$H$5:$H$92,'Daftar Koreksi'!$D$5:$D$92,'0500'!A862,'Daftar Koreksi'!$G$5:$G$92,"Peralatan dan mesin",'Daftar Koreksi'!$H$5:$H$92,"&gt;0")</f>
        <v>0</v>
      </c>
      <c r="F867" s="25">
        <f>SUMIFS('Daftar Koreksi'!$H$5:$H$92,'Daftar Koreksi'!$D$5:$D$92,'0500'!A862,'Daftar Koreksi'!$G$5:$G$92,"Peralatan dan mesin",'Daftar Koreksi'!$H$5:$H$92,"&lt;0")-SUMIFS('Daftar Koreksi'!$H$5:$H$92,'Daftar Koreksi'!$D$5:$D$92,'0500'!A862,'Daftar Koreksi'!$G$5:$G$92,"Peralatan dan mesin",'Daftar Koreksi'!$H$5:$H$92,"&lt;0")-SUMIFS('Daftar Koreksi'!$H$5:$H$92,'Daftar Koreksi'!$D$5:$D$92,'0500'!A862,'Daftar Koreksi'!$G$5:$G$92,"Peralatan dan mesin",'Daftar Koreksi'!$H$5:$H$92,"&lt;0")</f>
        <v>0</v>
      </c>
      <c r="G867" s="17">
        <f t="shared" si="39"/>
        <v>1327331362</v>
      </c>
      <c r="H867" s="122"/>
    </row>
    <row r="868" spans="1:8" ht="21.95" customHeight="1">
      <c r="A868" s="14"/>
      <c r="B868" s="14"/>
      <c r="C868" s="16" t="s">
        <v>1168</v>
      </c>
      <c r="D868" s="17">
        <f>VLOOKUP(A862,'Neraca Unaudited SIMAK'!$A$2:$S$10004,6,FALSE)</f>
        <v>5332309860</v>
      </c>
      <c r="E868" s="25">
        <f>SUMIFS('Daftar Koreksi'!$H$5:$H$92,'Daftar Koreksi'!$D$5:$D$92,'0500'!A862,'Daftar Koreksi'!$G$5:$G$92,"Gedung dan Bangunan",'Daftar Koreksi'!$H$5:$H$92,"&gt;0")</f>
        <v>0</v>
      </c>
      <c r="F868" s="25">
        <f>SUMIFS('Daftar Koreksi'!$H$5:$H$92,'Daftar Koreksi'!$D$5:$D$92,'0500'!A862,'Daftar Koreksi'!$G$5:$G$92,"Gedung dan Bangunan",'Daftar Koreksi'!$H$5:$H$92,"&lt;0")-SUMIFS('Daftar Koreksi'!$H$5:$H$92,'Daftar Koreksi'!$D$5:$D$92,'0500'!A862,'Daftar Koreksi'!$G$5:$G$92,"Gedung dan Bangunan",'Daftar Koreksi'!$H$5:$H$92,"&lt;0")-SUMIFS('Daftar Koreksi'!$H$5:$H$92,'Daftar Koreksi'!$D$5:$D$92,'0500'!A862,'Daftar Koreksi'!$G$5:$G$92,"Gedung dan Bangunan",'Daftar Koreksi'!$H$5:$H$92,"&lt;0")</f>
        <v>0</v>
      </c>
      <c r="G868" s="17">
        <f t="shared" si="39"/>
        <v>5332309860</v>
      </c>
      <c r="H868" s="122"/>
    </row>
    <row r="869" spans="1:8" ht="21.95" customHeight="1">
      <c r="A869" s="14"/>
      <c r="B869" s="14"/>
      <c r="C869" s="16" t="s">
        <v>1169</v>
      </c>
      <c r="D869" s="17">
        <f>VLOOKUP(A862,'Neraca Unaudited SIMAK'!$A$2:$S$10004,7,FALSE)</f>
        <v>50000000</v>
      </c>
      <c r="E869" s="25">
        <f>SUMIFS('Daftar Koreksi'!$H$5:$H$92,'Daftar Koreksi'!$D$5:$D$92,'0500'!A862,'Daftar Koreksi'!$G$5:$G$92,"Jalan Irigasi Jaringan",'Daftar Koreksi'!$H$5:$H$92,"&gt;0")</f>
        <v>0</v>
      </c>
      <c r="F869" s="25">
        <f>SUMIFS('Daftar Koreksi'!$H$5:$H$92,'Daftar Koreksi'!$D$5:$D$92,'0500'!A862,'Daftar Koreksi'!$G$5:$G$92,"Jalan Irigasi Jaringan",'Daftar Koreksi'!$H$5:$H$92,"&lt;0")-SUMIFS('Daftar Koreksi'!$H$5:$H$92,'Daftar Koreksi'!$D$5:$D$92,'0500'!A862,'Daftar Koreksi'!$G$5:$G$92,"Jalan Irigasi Jaringan",'Daftar Koreksi'!$H$5:$H$92,"&lt;0")-SUMIFS('Daftar Koreksi'!$H$5:$H$92,'Daftar Koreksi'!$D$5:$D$92,'0500'!A862,'Daftar Koreksi'!$G$5:$G$92,"Jalan Irigasi Jaringan",'Daftar Koreksi'!$H$5:$H$92,"&lt;0")</f>
        <v>0</v>
      </c>
      <c r="G869" s="17">
        <f t="shared" si="39"/>
        <v>50000000</v>
      </c>
      <c r="H869" s="122"/>
    </row>
    <row r="870" spans="1:8" ht="21.95" customHeight="1">
      <c r="A870" s="14"/>
      <c r="B870" s="14"/>
      <c r="C870" s="16" t="s">
        <v>1170</v>
      </c>
      <c r="D870" s="17">
        <f>VLOOKUP(A862,'Neraca Unaudited SIMAK'!$A$2:$S$10004,8,FALSE)</f>
        <v>408000</v>
      </c>
      <c r="E870" s="25">
        <f>SUMIFS('Daftar Koreksi'!$H$5:$H$92,'Daftar Koreksi'!$D$5:$D$92,'0500'!A862,'Daftar Koreksi'!$G$5:$G$92,"Aset Tetap Lainnya",'Daftar Koreksi'!$H$5:$H$92,"&gt;0")</f>
        <v>0</v>
      </c>
      <c r="F870" s="25">
        <f>SUMIFS('Daftar Koreksi'!$H$5:$H$92,'Daftar Koreksi'!$D$5:$D$92,'0500'!A862,'Daftar Koreksi'!$G$5:$G$92,"Aset Tetap Lainnya",'Daftar Koreksi'!$H$5:$H$92,"&lt;0")-SUMIFS('Daftar Koreksi'!$H$5:$H$92,'Daftar Koreksi'!$D$5:$D$92,'0500'!A862,'Daftar Koreksi'!$G$5:$G$92,"Aset Tetap Lainnya",'Daftar Koreksi'!$H$5:$H$92,"&lt;0")-SUMIFS('Daftar Koreksi'!$H$5:$H$92,'Daftar Koreksi'!$D$5:$D$92,'0500'!A862,'Daftar Koreksi'!$G$5:$G$92,"Aset Tetap Lainnya",'Daftar Koreksi'!$H$5:$H$92,"&lt;0")</f>
        <v>0</v>
      </c>
      <c r="G870" s="17">
        <f t="shared" si="39"/>
        <v>408000</v>
      </c>
      <c r="H870" s="122"/>
    </row>
    <row r="871" spans="1:8" ht="21.95" customHeight="1">
      <c r="A871" s="14"/>
      <c r="B871" s="14"/>
      <c r="C871" s="16" t="s">
        <v>1171</v>
      </c>
      <c r="D871" s="17">
        <f>VLOOKUP(A862,'Neraca Unaudited SIMAK'!$A$2:$S$10004,9,FALSE)</f>
        <v>0</v>
      </c>
      <c r="E871" s="25">
        <f>SUMIFS('Daftar Koreksi'!$H$5:$H$92,'Daftar Koreksi'!$D$5:$D$92,'0500'!A862,'Daftar Koreksi'!$G$5:$G$92,"Kontruksi Dalam Pengerjaan",'Daftar Koreksi'!$H$5:$H$92,"&gt;0")</f>
        <v>0</v>
      </c>
      <c r="F871" s="25">
        <f>SUMIFS('Daftar Koreksi'!$H$5:$H$92,'Daftar Koreksi'!$D$5:$D$92,'0500'!A862,'Daftar Koreksi'!$G$5:$G$92,"Kontruksi Dalam Pengerjaan",'Daftar Koreksi'!$H$5:$H$92,"&lt;0")-SUMIFS('Daftar Koreksi'!$H$5:$H$92,'Daftar Koreksi'!$D$5:$D$92,'0500'!A862,'Daftar Koreksi'!$G$5:$G$92,"Kontruksi Dalam Pengerjaan",'Daftar Koreksi'!$H$5:$H$92,"&lt;0")-SUMIFS('Daftar Koreksi'!$H$5:$H$92,'Daftar Koreksi'!$D$5:$D$92,'0500'!A862,'Daftar Koreksi'!$G$5:$G$92,"Kontruksi Dalam Pengerjaan",'Daftar Koreksi'!$H$5:$H$92,"&lt;0")</f>
        <v>0</v>
      </c>
      <c r="G871" s="17">
        <f t="shared" si="39"/>
        <v>0</v>
      </c>
      <c r="H871" s="122"/>
    </row>
    <row r="872" spans="1:8" ht="21.95" customHeight="1">
      <c r="A872" s="14"/>
      <c r="B872" s="14"/>
      <c r="C872" s="16" t="s">
        <v>1172</v>
      </c>
      <c r="D872" s="17">
        <f>VLOOKUP(A862,'Neraca Unaudited SIMAK'!$A$2:$S$10004,10,FALSE)</f>
        <v>27565000</v>
      </c>
      <c r="E872" s="25">
        <f>SUMIFS('Daftar Koreksi'!$H$5:$H$92,'Daftar Koreksi'!$D$5:$D$92,'0500'!A862,'Daftar Koreksi'!$G$5:$G$92,"Aset Tak Berwujud",'Daftar Koreksi'!$H$5:$H$92,"&gt;0")</f>
        <v>0</v>
      </c>
      <c r="F872" s="25">
        <f>SUMIFS('Daftar Koreksi'!$H$5:$H$92,'Daftar Koreksi'!$D$5:$D$92,'0500'!A862,'Daftar Koreksi'!$G$5:$G$92,"Aset Tak Berwujud",'Daftar Koreksi'!$H$5:$H$92,"&lt;0")-SUMIFS('Daftar Koreksi'!$H$5:$H$92,'Daftar Koreksi'!$D$5:$D$92,'0500'!A862,'Daftar Koreksi'!$G$5:$G$92,"Aset Tak Berwujud",'Daftar Koreksi'!$H$5:$H$92,"&lt;0")-SUMIFS('Daftar Koreksi'!$H$5:$H$92,'Daftar Koreksi'!$D$5:$D$92,'0500'!A862,'Daftar Koreksi'!$G$5:$G$92,"Aset Tak Berwujud",'Daftar Koreksi'!$H$5:$H$92,"&lt;0")</f>
        <v>0</v>
      </c>
      <c r="G872" s="17">
        <f t="shared" si="39"/>
        <v>27565000</v>
      </c>
      <c r="H872" s="122"/>
    </row>
    <row r="873" spans="1:8" ht="21.95" customHeight="1">
      <c r="A873" s="14"/>
      <c r="B873" s="14"/>
      <c r="C873" s="16" t="s">
        <v>1173</v>
      </c>
      <c r="D873" s="17">
        <f>VLOOKUP(A862,'Neraca Unaudited SIMAK'!$A$2:$S$10004,11,FALSE)</f>
        <v>0</v>
      </c>
      <c r="E873" s="25">
        <f>SUMIFS('Daftar Koreksi'!$H$5:$H$92,'Daftar Koreksi'!$D$5:$D$92,'0500'!A862,'Daftar Koreksi'!$G$5:$G$92,"Aset Henti Guna",'Daftar Koreksi'!$H$5:$H$92,"&gt;0")</f>
        <v>0</v>
      </c>
      <c r="F873" s="25">
        <f>SUMIFS('Daftar Koreksi'!$H$5:$H$92,'Daftar Koreksi'!$D$5:$D$92,'0500'!A862,'Daftar Koreksi'!$G$5:$G$92,"Aset Henti Guna",'Daftar Koreksi'!$H$5:$H$92,"&lt;0")-SUMIFS('Daftar Koreksi'!$H$5:$H$92,'Daftar Koreksi'!$D$5:$D$92,'0500'!A862,'Daftar Koreksi'!$G$5:$G$92,"Aset Henti Guna",'Daftar Koreksi'!$H$5:$H$92,"&lt;0")-SUMIFS('Daftar Koreksi'!$H$5:$H$92,'Daftar Koreksi'!$D$5:$D$92,'0500'!A862,'Daftar Koreksi'!$G$5:$G$92,"Aset Henti Guna",'Daftar Koreksi'!$H$5:$H$92,"&lt;0")</f>
        <v>0</v>
      </c>
      <c r="G873" s="17">
        <f t="shared" si="39"/>
        <v>0</v>
      </c>
      <c r="H873" s="122"/>
    </row>
    <row r="874" spans="1:8" ht="21.95" customHeight="1">
      <c r="A874" s="14"/>
      <c r="B874" s="14"/>
      <c r="C874" s="18" t="s">
        <v>2093</v>
      </c>
      <c r="D874" s="19">
        <f>VLOOKUP(A862,'Neraca Unaudited SIMAK'!$A$2:$S$10004,12,FALSE)</f>
        <v>9940245222</v>
      </c>
      <c r="E874" s="19">
        <f>SUM(E865:E873)</f>
        <v>0</v>
      </c>
      <c r="F874" s="19">
        <f>SUM(F865:F873)</f>
        <v>0</v>
      </c>
      <c r="G874" s="19">
        <f t="shared" si="39"/>
        <v>9940245222</v>
      </c>
      <c r="H874" s="122"/>
    </row>
    <row r="875" spans="1:8" ht="21.95" customHeight="1">
      <c r="A875" s="14"/>
      <c r="B875" s="14"/>
      <c r="C875" s="16" t="s">
        <v>2087</v>
      </c>
      <c r="D875" s="17">
        <f>VLOOKUP(A862,'Neraca Unaudited SIMAK'!$A$2:$S$10004,13,FALSE)</f>
        <v>-996962619</v>
      </c>
      <c r="E875" s="25">
        <f>SUMIFS('Daftar Koreksi'!$I$5:$I$92,'Daftar Koreksi'!$D$5:$D$92,'0500'!A862,'Daftar Koreksi'!$G$5:$G$92,"Peralatan dan mesin",'Daftar Koreksi'!$I$5:$I$92,"&gt;0")</f>
        <v>0</v>
      </c>
      <c r="F875" s="25">
        <f>SUMIFS('Daftar Koreksi'!$I$5:$I$92,'Daftar Koreksi'!$D$5:$D$92,'0500'!A862,'Daftar Koreksi'!$G$5:$G$92,"Peralatan dan mesin",'Daftar Koreksi'!$I$5:$I$92,"&lt;0")-SUMIFS('Daftar Koreksi'!$I$5:$I$92,'Daftar Koreksi'!$D$5:$D$92,'0500'!A862,'Daftar Koreksi'!$G$5:$G$92,"Peralatan dan mesin",'Daftar Koreksi'!$I$5:$I$92,"&lt;0")-SUMIFS('Daftar Koreksi'!$I$5:$I$92,'Daftar Koreksi'!$D$5:$D$92,'0500'!A862,'Daftar Koreksi'!$G$5:$G$92,"Peralatan dan mesin",'Daftar Koreksi'!$I$5:$I$92,"&lt;0")</f>
        <v>0</v>
      </c>
      <c r="G875" s="17">
        <f t="shared" si="39"/>
        <v>-996962619</v>
      </c>
      <c r="H875" s="122"/>
    </row>
    <row r="876" spans="1:8" ht="21.95" customHeight="1">
      <c r="A876" s="14"/>
      <c r="B876" s="14"/>
      <c r="C876" s="16" t="s">
        <v>2088</v>
      </c>
      <c r="D876" s="17">
        <f>VLOOKUP(A862,'Neraca Unaudited SIMAK'!$A$2:$S$10004,14,FALSE)</f>
        <v>-733834315</v>
      </c>
      <c r="E876" s="25">
        <f>SUMIFS('Daftar Koreksi'!$I$5:$I$92,'Daftar Koreksi'!$D$5:$D$92,'0500'!A862,'Daftar Koreksi'!$G$5:$G$92,"Gedung dan Bangunan",'Daftar Koreksi'!$I$5:$I$92,"&gt;0")</f>
        <v>0</v>
      </c>
      <c r="F876" s="25">
        <f>SUMIFS('Daftar Koreksi'!$I$5:$I$92,'Daftar Koreksi'!$D$5:$D$92,'0500'!A862,'Daftar Koreksi'!$G$5:$G$92,"Gedung dan Bangunan",'Daftar Koreksi'!$I$5:$I$92,"&lt;0")-SUMIFS('Daftar Koreksi'!$I$5:$I$92,'Daftar Koreksi'!$D$5:$D$92,'0500'!A862,'Daftar Koreksi'!$G$5:$G$92,"Gedung dan Bangunan",'Daftar Koreksi'!$I$5:$I$92,"&lt;0")-SUMIFS('Daftar Koreksi'!$I$5:$I$92,'Daftar Koreksi'!$D$5:$D$92,'0500'!A862,'Daftar Koreksi'!$G$5:$G$92,"Gedung dan Bangunan",'Daftar Koreksi'!$I$5:$I$92,"&lt;0")</f>
        <v>0</v>
      </c>
      <c r="G876" s="17">
        <f t="shared" si="39"/>
        <v>-733834315</v>
      </c>
      <c r="H876" s="122"/>
    </row>
    <row r="877" spans="1:8" ht="21.95" customHeight="1">
      <c r="A877" s="14"/>
      <c r="B877" s="14"/>
      <c r="C877" s="16" t="s">
        <v>2089</v>
      </c>
      <c r="D877" s="17">
        <f>VLOOKUP(A862,'Neraca Unaudited SIMAK'!$A$2:$S$10004,15,FALSE)</f>
        <v>-6875000</v>
      </c>
      <c r="E877" s="25">
        <f>SUMIFS('Daftar Koreksi'!$I$5:$I$92,'Daftar Koreksi'!$D$5:$D$92,'0500'!A862,'Daftar Koreksi'!$G$5:$G$92,"Jalan Irigasi Jaringan",'Daftar Koreksi'!$I$5:$I$92,"&gt;0")</f>
        <v>0</v>
      </c>
      <c r="F877" s="25">
        <f>SUMIFS('Daftar Koreksi'!$I$5:$I$92,'Daftar Koreksi'!$D$5:$D$92,'0500'!A862,'Daftar Koreksi'!$G$5:$G$92,"Jalan Irigasi Jaringan",'Daftar Koreksi'!$I$5:$I$92,"&lt;0")-SUMIFS('Daftar Koreksi'!$I$5:$I$92,'Daftar Koreksi'!$D$5:$D$92,'0500'!A862,'Daftar Koreksi'!$G$5:$G$92,"Jalan Irigasi Jaringan",'Daftar Koreksi'!$I$5:$I$92,"&lt;0")-SUMIFS('Daftar Koreksi'!$I$5:$I$92,'Daftar Koreksi'!$D$5:$D$92,'0500'!A862,'Daftar Koreksi'!$G$5:$G$92,"Jalan Irigasi Jaringan",'Daftar Koreksi'!$I$5:$I$92,"&lt;0")</f>
        <v>0</v>
      </c>
      <c r="G877" s="17">
        <f t="shared" si="39"/>
        <v>-6875000</v>
      </c>
      <c r="H877" s="122"/>
    </row>
    <row r="878" spans="1:8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Koreksi'!$D$5:$D$92,'0500'!A862,'Daftar Koreksi'!$G$5:$G$92,"Aset Tetap Lainnya",'Daftar Koreksi'!$I$5:$I$92,"&gt;0")</f>
        <v>0</v>
      </c>
      <c r="F878" s="25">
        <f>SUMIFS('Daftar Koreksi'!$I$5:$I$92,'Daftar Koreksi'!$D$5:$D$92,'0500'!A862,'Daftar Koreksi'!$G$5:$G$92,"Aset Tetap Lainnya",'Daftar Koreksi'!$I$5:$I$92,"&lt;0")-SUMIFS('Daftar Koreksi'!$I$5:$I$92,'Daftar Koreksi'!$D$5:$D$92,'0500'!A862,'Daftar Koreksi'!$G$5:$G$92,"Aset Tetap Lainnya",'Daftar Koreksi'!$I$5:$I$92,"&lt;0")-SUMIFS('Daftar Koreksi'!$I$5:$I$92,'Daftar Koreksi'!$D$5:$D$92,'0500'!A862,'Daftar Koreksi'!$G$5:$G$92,"Aset Tetap Lainnya",'Daftar Koreksi'!$I$5:$I$92,"&lt;0")</f>
        <v>0</v>
      </c>
      <c r="G878" s="17">
        <f t="shared" si="39"/>
        <v>0</v>
      </c>
      <c r="H878" s="122"/>
    </row>
    <row r="879" spans="1:8" ht="21.95" customHeight="1">
      <c r="A879" s="14"/>
      <c r="B879" s="14"/>
      <c r="C879" s="16" t="s">
        <v>2020</v>
      </c>
      <c r="D879" s="17">
        <f>VLOOKUP(A862,'Neraca Unaudited SIMAK'!$A$2:$S$10004,17,FALSE)</f>
        <v>0</v>
      </c>
      <c r="E879" s="25">
        <f>SUMIFS('Daftar Koreksi'!$I$5:$I$92,'Daftar Koreksi'!$D$5:$D$92,'0500'!A862,'Daftar Koreksi'!$G$5:$G$92,"Aset Henti Guna",'Daftar Koreksi'!$I$5:$I$92,"&gt;0")</f>
        <v>0</v>
      </c>
      <c r="F879" s="25">
        <f>SUMIFS('Daftar Koreksi'!$I$5:$I$92,'Daftar Koreksi'!$D$5:$D$92,'0500'!A862,'Daftar Koreksi'!$G$5:$G$92,"Aset Henti Guna",'Daftar Koreksi'!$I$5:$I$92,"&lt;0")-SUMIFS('Daftar Koreksi'!$I$5:$I$92,'Daftar Koreksi'!$D$5:$D$92,'0500'!A862,'Daftar Koreksi'!$G$5:$G$92,"Aset Henti Guna",'Daftar Koreksi'!$I$5:$I$92,"&lt;0")-SUMIFS('Daftar Koreksi'!$I$5:$I$92,'Daftar Koreksi'!$D$5:$D$92,'0500'!A862,'Daftar Koreksi'!$G$5:$G$92,"Aset Henti Guna",'Daftar Koreksi'!$I$5:$I$92,"&lt;0")</f>
        <v>0</v>
      </c>
      <c r="G879" s="17">
        <f t="shared" si="39"/>
        <v>0</v>
      </c>
      <c r="H879" s="122"/>
    </row>
    <row r="880" spans="1:8" ht="21.95" customHeight="1">
      <c r="A880" s="14"/>
      <c r="B880" s="14"/>
      <c r="C880" s="18" t="s">
        <v>2094</v>
      </c>
      <c r="D880" s="19">
        <f>SUM(D875:D879)</f>
        <v>-1737671934</v>
      </c>
      <c r="E880" s="19">
        <f>SUM(E875:E879)</f>
        <v>0</v>
      </c>
      <c r="F880" s="19">
        <f>SUM(F875:F879)</f>
        <v>0</v>
      </c>
      <c r="G880" s="19">
        <f t="shared" si="39"/>
        <v>-1737671934</v>
      </c>
      <c r="H880" s="122"/>
    </row>
    <row r="881" spans="1:8" ht="21.95" customHeight="1">
      <c r="A881" s="14"/>
      <c r="B881" s="14"/>
      <c r="C881" s="18" t="s">
        <v>2095</v>
      </c>
      <c r="D881" s="19">
        <f>VLOOKUP(A862,'Neraca Unaudited SIMAK'!$A$2:$S$10004,18,FALSE)</f>
        <v>8202573288</v>
      </c>
      <c r="E881" s="19">
        <f>E880+E874</f>
        <v>0</v>
      </c>
      <c r="F881" s="19">
        <f>F880+F874</f>
        <v>0</v>
      </c>
      <c r="G881" s="19">
        <f t="shared" si="39"/>
        <v>8202573288</v>
      </c>
      <c r="H881" s="122"/>
    </row>
    <row r="882" spans="1:8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</row>
    <row r="884" spans="1:8" ht="19.5" customHeight="1">
      <c r="A884" s="11" t="str">
        <f>O41</f>
        <v>005010500401287000KD</v>
      </c>
      <c r="B884" s="11" t="str">
        <f>P41</f>
        <v>PA. Bawean</v>
      </c>
      <c r="C884" s="12" t="str">
        <f>A884&amp;" "&amp;B884</f>
        <v>005010500401287000KD PA. Bawean</v>
      </c>
      <c r="D884" s="13"/>
      <c r="E884" s="13"/>
      <c r="F884" s="13"/>
      <c r="G884" s="13"/>
      <c r="H884" s="11"/>
    </row>
    <row r="885" spans="1:8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8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8" ht="21.95" customHeight="1">
      <c r="A887" s="14"/>
      <c r="B887" s="14"/>
      <c r="C887" s="16" t="s">
        <v>1165</v>
      </c>
      <c r="D887" s="17">
        <f>VLOOKUP(A884,'Neraca Unaudited SIMAK'!$A$2:$S$10004,3,FALSE)</f>
        <v>292000</v>
      </c>
      <c r="E887" s="25">
        <f>SUMIFS('Daftar Koreksi'!$H$5:$H$92,'Daftar Koreksi'!$D$5:$D$92,'0500'!A884,'Daftar Koreksi'!$G$5:$G$92,"Persediaan",'Daftar Koreksi'!$H$5:$H$92,"&gt;0")</f>
        <v>0</v>
      </c>
      <c r="F887" s="25">
        <f>SUMIFS('Daftar Koreksi'!$H$5:$H$92,'Daftar Koreksi'!$D$5:$D$92,'0500'!A884,'Daftar Koreksi'!$G$5:$G$92,"Persediaan",'Daftar Koreksi'!$H$5:$H$92,"&lt;0")-SUMIFS('Daftar Koreksi'!$H$5:$H$92,'Daftar Koreksi'!$D$5:$D$92,'0500'!A884,'Daftar Koreksi'!$G$5:$G$92,"Persediaan",'Daftar Koreksi'!$H$5:$H$92,"&lt;0")-SUMIFS('Daftar Koreksi'!$H$5:$H$92,'Daftar Koreksi'!$D$5:$D$92,'0500'!A884,'Daftar Koreksi'!$G$5:$G$92,"Persediaan",'Daftar Koreksi'!$H$5:$H$92,"&lt;0")</f>
        <v>0</v>
      </c>
      <c r="G887" s="17">
        <f>D887+E887-F887</f>
        <v>292000</v>
      </c>
      <c r="H887" s="121" t="str">
        <f>IF(ISNA(VLOOKUP(A884,'Mutasi Neraca'!$A$3:$S$914,19,FALSE)),"-",VLOOKUP(A884,'Mutasi Neraca'!$A$3:$S$914,19,FALSE))</f>
        <v>-</v>
      </c>
    </row>
    <row r="888" spans="1:8" ht="21.95" customHeight="1">
      <c r="A888" s="14"/>
      <c r="B888" s="14"/>
      <c r="C888" s="16" t="s">
        <v>1166</v>
      </c>
      <c r="D888" s="17">
        <f>VLOOKUP(A884,'Neraca Unaudited SIMAK'!$A$2:$S$10004,4,FALSE)</f>
        <v>487200000</v>
      </c>
      <c r="E888" s="25">
        <f>SUMIFS('Daftar Koreksi'!$H$5:$H$92,'Daftar Koreksi'!$D$5:$D$92,'0500'!A884,'Daftar Koreksi'!$G$5:$G$92,"Tanah",'Daftar Koreksi'!$H$5:$H$92,"&gt;0")</f>
        <v>0</v>
      </c>
      <c r="F888" s="25">
        <f>SUMIFS('Daftar Koreksi'!$H$5:$H$92,'Daftar Koreksi'!$D$5:$D$92,'0500'!A884,'Daftar Koreksi'!$G$5:$G$92,"Tanah",'Daftar Koreksi'!$H$5:$H$92,"&lt;0")-SUMIFS('Daftar Koreksi'!$H$5:$H$92,'Daftar Koreksi'!$D$5:$D$92,'0500'!A884,'Daftar Koreksi'!$G$5:$G$92,"Tanah",'Daftar Koreksi'!$H$5:$H$92,"&lt;0")-SUMIFS('Daftar Koreksi'!$H$5:$H$92,'Daftar Koreksi'!$D$5:$D$92,'0500'!A884,'Daftar Koreksi'!$G$5:$G$92,"Tanah",'Daftar Koreksi'!$H$5:$H$92,"&lt;0")</f>
        <v>0</v>
      </c>
      <c r="G888" s="17">
        <f t="shared" ref="G888:G904" si="40">D888+E888-F888</f>
        <v>487200000</v>
      </c>
      <c r="H888" s="122"/>
    </row>
    <row r="889" spans="1:8" ht="21.95" customHeight="1">
      <c r="A889" s="14"/>
      <c r="B889" s="14"/>
      <c r="C889" s="16" t="s">
        <v>1167</v>
      </c>
      <c r="D889" s="17">
        <f>VLOOKUP(A884,'Neraca Unaudited SIMAK'!$A$2:$S$10004,5,FALSE)</f>
        <v>689344763</v>
      </c>
      <c r="E889" s="25">
        <f>SUMIFS('Daftar Koreksi'!$H$5:$H$92,'Daftar Koreksi'!$D$5:$D$92,'0500'!A884,'Daftar Koreksi'!$G$5:$G$92,"Peralatan dan mesin",'Daftar Koreksi'!$H$5:$H$92,"&gt;0")</f>
        <v>0</v>
      </c>
      <c r="F889" s="25">
        <f>SUMIFS('Daftar Koreksi'!$H$5:$H$92,'Daftar Koreksi'!$D$5:$D$92,'0500'!A884,'Daftar Koreksi'!$G$5:$G$92,"Peralatan dan mesin",'Daftar Koreksi'!$H$5:$H$92,"&lt;0")-SUMIFS('Daftar Koreksi'!$H$5:$H$92,'Daftar Koreksi'!$D$5:$D$92,'0500'!A884,'Daftar Koreksi'!$G$5:$G$92,"Peralatan dan mesin",'Daftar Koreksi'!$H$5:$H$92,"&lt;0")-SUMIFS('Daftar Koreksi'!$H$5:$H$92,'Daftar Koreksi'!$D$5:$D$92,'0500'!A884,'Daftar Koreksi'!$G$5:$G$92,"Peralatan dan mesin",'Daftar Koreksi'!$H$5:$H$92,"&lt;0")</f>
        <v>0</v>
      </c>
      <c r="G889" s="17">
        <f t="shared" si="40"/>
        <v>689344763</v>
      </c>
      <c r="H889" s="122"/>
    </row>
    <row r="890" spans="1:8" ht="21.95" customHeight="1">
      <c r="A890" s="14"/>
      <c r="B890" s="14"/>
      <c r="C890" s="16" t="s">
        <v>1168</v>
      </c>
      <c r="D890" s="17">
        <f>VLOOKUP(A884,'Neraca Unaudited SIMAK'!$A$2:$S$10004,6,FALSE)</f>
        <v>592849900</v>
      </c>
      <c r="E890" s="25">
        <f>SUMIFS('Daftar Koreksi'!$H$5:$H$92,'Daftar Koreksi'!$D$5:$D$92,'0500'!A884,'Daftar Koreksi'!$G$5:$G$92,"Gedung dan Bangunan",'Daftar Koreksi'!$H$5:$H$92,"&gt;0")</f>
        <v>0</v>
      </c>
      <c r="F890" s="25">
        <f>SUMIFS('Daftar Koreksi'!$H$5:$H$92,'Daftar Koreksi'!$D$5:$D$92,'0500'!A884,'Daftar Koreksi'!$G$5:$G$92,"Gedung dan Bangunan",'Daftar Koreksi'!$H$5:$H$92,"&lt;0")-SUMIFS('Daftar Koreksi'!$H$5:$H$92,'Daftar Koreksi'!$D$5:$D$92,'0500'!A884,'Daftar Koreksi'!$G$5:$G$92,"Gedung dan Bangunan",'Daftar Koreksi'!$H$5:$H$92,"&lt;0")-SUMIFS('Daftar Koreksi'!$H$5:$H$92,'Daftar Koreksi'!$D$5:$D$92,'0500'!A884,'Daftar Koreksi'!$G$5:$G$92,"Gedung dan Bangunan",'Daftar Koreksi'!$H$5:$H$92,"&lt;0")</f>
        <v>0</v>
      </c>
      <c r="G890" s="17">
        <f t="shared" si="40"/>
        <v>592849900</v>
      </c>
      <c r="H890" s="122"/>
    </row>
    <row r="891" spans="1:8" ht="21.95" customHeight="1">
      <c r="A891" s="14"/>
      <c r="B891" s="14"/>
      <c r="C891" s="16" t="s">
        <v>1169</v>
      </c>
      <c r="D891" s="17">
        <f>VLOOKUP(A884,'Neraca Unaudited SIMAK'!$A$2:$S$10004,7,FALSE)</f>
        <v>12500000</v>
      </c>
      <c r="E891" s="25">
        <f>SUMIFS('Daftar Koreksi'!$H$5:$H$92,'Daftar Koreksi'!$D$5:$D$92,'0500'!A884,'Daftar Koreksi'!$G$5:$G$92,"Jalan Irigasi Jaringan",'Daftar Koreksi'!$H$5:$H$92,"&gt;0")</f>
        <v>0</v>
      </c>
      <c r="F891" s="25">
        <f>SUMIFS('Daftar Koreksi'!$H$5:$H$92,'Daftar Koreksi'!$D$5:$D$92,'0500'!A884,'Daftar Koreksi'!$G$5:$G$92,"Jalan Irigasi Jaringan",'Daftar Koreksi'!$H$5:$H$92,"&lt;0")-SUMIFS('Daftar Koreksi'!$H$5:$H$92,'Daftar Koreksi'!$D$5:$D$92,'0500'!A884,'Daftar Koreksi'!$G$5:$G$92,"Jalan Irigasi Jaringan",'Daftar Koreksi'!$H$5:$H$92,"&lt;0")-SUMIFS('Daftar Koreksi'!$H$5:$H$92,'Daftar Koreksi'!$D$5:$D$92,'0500'!A884,'Daftar Koreksi'!$G$5:$G$92,"Jalan Irigasi Jaringan",'Daftar Koreksi'!$H$5:$H$92,"&lt;0")</f>
        <v>0</v>
      </c>
      <c r="G891" s="17">
        <f t="shared" si="40"/>
        <v>12500000</v>
      </c>
      <c r="H891" s="122"/>
    </row>
    <row r="892" spans="1:8" ht="21.95" customHeight="1">
      <c r="A892" s="14"/>
      <c r="B892" s="14"/>
      <c r="C892" s="16" t="s">
        <v>1170</v>
      </c>
      <c r="D892" s="17">
        <f>VLOOKUP(A884,'Neraca Unaudited SIMAK'!$A$2:$S$10004,8,FALSE)</f>
        <v>1568620</v>
      </c>
      <c r="E892" s="25">
        <f>SUMIFS('Daftar Koreksi'!$H$5:$H$92,'Daftar Koreksi'!$D$5:$D$92,'0500'!A884,'Daftar Koreksi'!$G$5:$G$92,"Aset Tetap Lainnya",'Daftar Koreksi'!$H$5:$H$92,"&gt;0")</f>
        <v>0</v>
      </c>
      <c r="F892" s="25">
        <f>SUMIFS('Daftar Koreksi'!$H$5:$H$92,'Daftar Koreksi'!$D$5:$D$92,'0500'!A884,'Daftar Koreksi'!$G$5:$G$92,"Aset Tetap Lainnya",'Daftar Koreksi'!$H$5:$H$92,"&lt;0")-SUMIFS('Daftar Koreksi'!$H$5:$H$92,'Daftar Koreksi'!$D$5:$D$92,'0500'!A884,'Daftar Koreksi'!$G$5:$G$92,"Aset Tetap Lainnya",'Daftar Koreksi'!$H$5:$H$92,"&lt;0")-SUMIFS('Daftar Koreksi'!$H$5:$H$92,'Daftar Koreksi'!$D$5:$D$92,'0500'!A884,'Daftar Koreksi'!$G$5:$G$92,"Aset Tetap Lainnya",'Daftar Koreksi'!$H$5:$H$92,"&lt;0")</f>
        <v>0</v>
      </c>
      <c r="G892" s="17">
        <f t="shared" si="40"/>
        <v>1568620</v>
      </c>
      <c r="H892" s="122"/>
    </row>
    <row r="893" spans="1:8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Koreksi'!$D$5:$D$92,'0500'!A884,'Daftar Koreksi'!$G$5:$G$92,"Kontruksi Dalam Pengerjaan",'Daftar Koreksi'!$H$5:$H$92,"&gt;0")</f>
        <v>0</v>
      </c>
      <c r="F893" s="25">
        <f>SUMIFS('Daftar Koreksi'!$H$5:$H$92,'Daftar Koreksi'!$D$5:$D$92,'0500'!A884,'Daftar Koreksi'!$G$5:$G$92,"Kontruksi Dalam Pengerjaan",'Daftar Koreksi'!$H$5:$H$92,"&lt;0")-SUMIFS('Daftar Koreksi'!$H$5:$H$92,'Daftar Koreksi'!$D$5:$D$92,'0500'!A884,'Daftar Koreksi'!$G$5:$G$92,"Kontruksi Dalam Pengerjaan",'Daftar Koreksi'!$H$5:$H$92,"&lt;0")-SUMIFS('Daftar Koreksi'!$H$5:$H$92,'Daftar Koreksi'!$D$5:$D$92,'0500'!A884,'Daftar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8" ht="21.95" customHeight="1">
      <c r="A894" s="14"/>
      <c r="B894" s="14"/>
      <c r="C894" s="16" t="s">
        <v>1172</v>
      </c>
      <c r="D894" s="17">
        <f>VLOOKUP(A884,'Neraca Unaudited SIMAK'!$A$2:$S$10004,10,FALSE)</f>
        <v>0</v>
      </c>
      <c r="E894" s="25">
        <f>SUMIFS('Daftar Koreksi'!$H$5:$H$92,'Daftar Koreksi'!$D$5:$D$92,'0500'!A884,'Daftar Koreksi'!$G$5:$G$92,"Aset Tak Berwujud",'Daftar Koreksi'!$H$5:$H$92,"&gt;0")</f>
        <v>0</v>
      </c>
      <c r="F894" s="25">
        <f>SUMIFS('Daftar Koreksi'!$H$5:$H$92,'Daftar Koreksi'!$D$5:$D$92,'0500'!A884,'Daftar Koreksi'!$G$5:$G$92,"Aset Tak Berwujud",'Daftar Koreksi'!$H$5:$H$92,"&lt;0")-SUMIFS('Daftar Koreksi'!$H$5:$H$92,'Daftar Koreksi'!$D$5:$D$92,'0500'!A884,'Daftar Koreksi'!$G$5:$G$92,"Aset Tak Berwujud",'Daftar Koreksi'!$H$5:$H$92,"&lt;0")-SUMIFS('Daftar Koreksi'!$H$5:$H$92,'Daftar Koreksi'!$D$5:$D$92,'0500'!A884,'Daftar Koreksi'!$G$5:$G$92,"Aset Tak Berwujud",'Daftar Koreksi'!$H$5:$H$92,"&lt;0")</f>
        <v>0</v>
      </c>
      <c r="G894" s="17">
        <f t="shared" si="40"/>
        <v>0</v>
      </c>
      <c r="H894" s="122"/>
    </row>
    <row r="895" spans="1:8" ht="21.95" customHeight="1">
      <c r="A895" s="14"/>
      <c r="B895" s="14"/>
      <c r="C895" s="16" t="s">
        <v>1173</v>
      </c>
      <c r="D895" s="17">
        <f>VLOOKUP(A884,'Neraca Unaudited SIMAK'!$A$2:$S$10004,11,FALSE)</f>
        <v>172907835</v>
      </c>
      <c r="E895" s="25">
        <f>SUMIFS('Daftar Koreksi'!$H$5:$H$92,'Daftar Koreksi'!$D$5:$D$92,'0500'!A884,'Daftar Koreksi'!$G$5:$G$92,"Aset Henti Guna",'Daftar Koreksi'!$H$5:$H$92,"&gt;0")</f>
        <v>0</v>
      </c>
      <c r="F895" s="25">
        <f>SUMIFS('Daftar Koreksi'!$H$5:$H$92,'Daftar Koreksi'!$D$5:$D$92,'0500'!A884,'Daftar Koreksi'!$G$5:$G$92,"Aset Henti Guna",'Daftar Koreksi'!$H$5:$H$92,"&lt;0")-SUMIFS('Daftar Koreksi'!$H$5:$H$92,'Daftar Koreksi'!$D$5:$D$92,'0500'!A884,'Daftar Koreksi'!$G$5:$G$92,"Aset Henti Guna",'Daftar Koreksi'!$H$5:$H$92,"&lt;0")-SUMIFS('Daftar Koreksi'!$H$5:$H$92,'Daftar Koreksi'!$D$5:$D$92,'0500'!A884,'Daftar Koreksi'!$G$5:$G$92,"Aset Henti Guna",'Daftar Koreksi'!$H$5:$H$92,"&lt;0")</f>
        <v>0</v>
      </c>
      <c r="G895" s="17">
        <f t="shared" si="40"/>
        <v>172907835</v>
      </c>
      <c r="H895" s="122"/>
    </row>
    <row r="896" spans="1:8" ht="21.95" customHeight="1">
      <c r="A896" s="14"/>
      <c r="B896" s="14"/>
      <c r="C896" s="18" t="s">
        <v>2093</v>
      </c>
      <c r="D896" s="19">
        <f>VLOOKUP(A884,'Neraca Unaudited SIMAK'!$A$2:$S$10004,12,FALSE)</f>
        <v>1956663118</v>
      </c>
      <c r="E896" s="19">
        <f>SUM(E887:E895)</f>
        <v>0</v>
      </c>
      <c r="F896" s="19">
        <f>SUM(F887:F895)</f>
        <v>0</v>
      </c>
      <c r="G896" s="19">
        <f t="shared" si="40"/>
        <v>1956663118</v>
      </c>
      <c r="H896" s="122"/>
    </row>
    <row r="897" spans="1:8" ht="21.95" customHeight="1">
      <c r="A897" s="14"/>
      <c r="B897" s="14"/>
      <c r="C897" s="16" t="s">
        <v>2087</v>
      </c>
      <c r="D897" s="17">
        <f>VLOOKUP(A884,'Neraca Unaudited SIMAK'!$A$2:$S$10004,13,FALSE)</f>
        <v>-644087795</v>
      </c>
      <c r="E897" s="25">
        <f>SUMIFS('Daftar Koreksi'!$I$5:$I$92,'Daftar Koreksi'!$D$5:$D$92,'0500'!A884,'Daftar Koreksi'!$G$5:$G$92,"Peralatan dan mesin",'Daftar Koreksi'!$I$5:$I$92,"&gt;0")</f>
        <v>0</v>
      </c>
      <c r="F897" s="25">
        <f>SUMIFS('Daftar Koreksi'!$I$5:$I$92,'Daftar Koreksi'!$D$5:$D$92,'0500'!A884,'Daftar Koreksi'!$G$5:$G$92,"Peralatan dan mesin",'Daftar Koreksi'!$I$5:$I$92,"&lt;0")-SUMIFS('Daftar Koreksi'!$I$5:$I$92,'Daftar Koreksi'!$D$5:$D$92,'0500'!A884,'Daftar Koreksi'!$G$5:$G$92,"Peralatan dan mesin",'Daftar Koreksi'!$I$5:$I$92,"&lt;0")-SUMIFS('Daftar Koreksi'!$I$5:$I$92,'Daftar Koreksi'!$D$5:$D$92,'0500'!A884,'Daftar Koreksi'!$G$5:$G$92,"Peralatan dan mesin",'Daftar Koreksi'!$I$5:$I$92,"&lt;0")</f>
        <v>0</v>
      </c>
      <c r="G897" s="17">
        <f t="shared" si="40"/>
        <v>-644087795</v>
      </c>
      <c r="H897" s="122"/>
    </row>
    <row r="898" spans="1:8" ht="21.95" customHeight="1">
      <c r="A898" s="14"/>
      <c r="B898" s="14"/>
      <c r="C898" s="16" t="s">
        <v>2088</v>
      </c>
      <c r="D898" s="17">
        <f>VLOOKUP(A884,'Neraca Unaudited SIMAK'!$A$2:$S$10004,14,FALSE)</f>
        <v>-94941581</v>
      </c>
      <c r="E898" s="25">
        <f>SUMIFS('Daftar Koreksi'!$I$5:$I$92,'Daftar Koreksi'!$D$5:$D$92,'0500'!A884,'Daftar Koreksi'!$G$5:$G$92,"Gedung dan Bangunan",'Daftar Koreksi'!$I$5:$I$92,"&gt;0")</f>
        <v>0</v>
      </c>
      <c r="F898" s="25">
        <f>SUMIFS('Daftar Koreksi'!$I$5:$I$92,'Daftar Koreksi'!$D$5:$D$92,'0500'!A884,'Daftar Koreksi'!$G$5:$G$92,"Gedung dan Bangunan",'Daftar Koreksi'!$I$5:$I$92,"&lt;0")-SUMIFS('Daftar Koreksi'!$I$5:$I$92,'Daftar Koreksi'!$D$5:$D$92,'0500'!A884,'Daftar Koreksi'!$G$5:$G$92,"Gedung dan Bangunan",'Daftar Koreksi'!$I$5:$I$92,"&lt;0")-SUMIFS('Daftar Koreksi'!$I$5:$I$92,'Daftar Koreksi'!$D$5:$D$92,'0500'!A884,'Daftar Koreksi'!$G$5:$G$92,"Gedung dan Bangunan",'Daftar Koreksi'!$I$5:$I$92,"&lt;0")</f>
        <v>0</v>
      </c>
      <c r="G898" s="17">
        <f t="shared" si="40"/>
        <v>-94941581</v>
      </c>
      <c r="H898" s="122"/>
    </row>
    <row r="899" spans="1:8" ht="21.95" customHeight="1">
      <c r="A899" s="14"/>
      <c r="B899" s="14"/>
      <c r="C899" s="16" t="s">
        <v>2089</v>
      </c>
      <c r="D899" s="17">
        <f>VLOOKUP(A884,'Neraca Unaudited SIMAK'!$A$2:$S$10004,15,FALSE)</f>
        <v>-4062500</v>
      </c>
      <c r="E899" s="25">
        <f>SUMIFS('Daftar Koreksi'!$I$5:$I$92,'Daftar Koreksi'!$D$5:$D$92,'0500'!A884,'Daftar Koreksi'!$G$5:$G$92,"Jalan Irigasi Jaringan",'Daftar Koreksi'!$I$5:$I$92,"&gt;0")</f>
        <v>0</v>
      </c>
      <c r="F899" s="25">
        <f>SUMIFS('Daftar Koreksi'!$I$5:$I$92,'Daftar Koreksi'!$D$5:$D$92,'0500'!A884,'Daftar Koreksi'!$G$5:$G$92,"Jalan Irigasi Jaringan",'Daftar Koreksi'!$I$5:$I$92,"&lt;0")-SUMIFS('Daftar Koreksi'!$I$5:$I$92,'Daftar Koreksi'!$D$5:$D$92,'0500'!A884,'Daftar Koreksi'!$G$5:$G$92,"Jalan Irigasi Jaringan",'Daftar Koreksi'!$I$5:$I$92,"&lt;0")-SUMIFS('Daftar Koreksi'!$I$5:$I$92,'Daftar Koreksi'!$D$5:$D$92,'0500'!A884,'Daftar Koreksi'!$G$5:$G$92,"Jalan Irigasi Jaringan",'Daftar Koreksi'!$I$5:$I$92,"&lt;0")</f>
        <v>0</v>
      </c>
      <c r="G899" s="17">
        <f t="shared" si="40"/>
        <v>-4062500</v>
      </c>
      <c r="H899" s="122"/>
    </row>
    <row r="900" spans="1:8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Koreksi'!$D$5:$D$92,'0500'!A884,'Daftar Koreksi'!$G$5:$G$92,"Aset Tetap Lainnya",'Daftar Koreksi'!$I$5:$I$92,"&gt;0")</f>
        <v>0</v>
      </c>
      <c r="F900" s="25">
        <f>SUMIFS('Daftar Koreksi'!$I$5:$I$92,'Daftar Koreksi'!$D$5:$D$92,'0500'!A884,'Daftar Koreksi'!$G$5:$G$92,"Aset Tetap Lainnya",'Daftar Koreksi'!$I$5:$I$92,"&lt;0")-SUMIFS('Daftar Koreksi'!$I$5:$I$92,'Daftar Koreksi'!$D$5:$D$92,'0500'!A884,'Daftar Koreksi'!$G$5:$G$92,"Aset Tetap Lainnya",'Daftar Koreksi'!$I$5:$I$92,"&lt;0")-SUMIFS('Daftar Koreksi'!$I$5:$I$92,'Daftar Koreksi'!$D$5:$D$92,'0500'!A884,'Daftar Koreksi'!$G$5:$G$92,"Aset Tetap Lainnya",'Daftar Koreksi'!$I$5:$I$92,"&lt;0")</f>
        <v>0</v>
      </c>
      <c r="G900" s="17">
        <f t="shared" si="40"/>
        <v>0</v>
      </c>
      <c r="H900" s="122"/>
    </row>
    <row r="901" spans="1:8" ht="21.95" customHeight="1">
      <c r="A901" s="14"/>
      <c r="B901" s="14"/>
      <c r="C901" s="16" t="s">
        <v>2020</v>
      </c>
      <c r="D901" s="17">
        <f>VLOOKUP(A884,'Neraca Unaudited SIMAK'!$A$2:$S$10004,17,FALSE)</f>
        <v>-172907835</v>
      </c>
      <c r="E901" s="25">
        <f>SUMIFS('Daftar Koreksi'!$I$5:$I$92,'Daftar Koreksi'!$D$5:$D$92,'0500'!A884,'Daftar Koreksi'!$G$5:$G$92,"Aset Henti Guna",'Daftar Koreksi'!$I$5:$I$92,"&gt;0")</f>
        <v>0</v>
      </c>
      <c r="F901" s="25">
        <f>SUMIFS('Daftar Koreksi'!$I$5:$I$92,'Daftar Koreksi'!$D$5:$D$92,'0500'!A884,'Daftar Koreksi'!$G$5:$G$92,"Aset Henti Guna",'Daftar Koreksi'!$I$5:$I$92,"&lt;0")-SUMIFS('Daftar Koreksi'!$I$5:$I$92,'Daftar Koreksi'!$D$5:$D$92,'0500'!A884,'Daftar Koreksi'!$G$5:$G$92,"Aset Henti Guna",'Daftar Koreksi'!$I$5:$I$92,"&lt;0")-SUMIFS('Daftar Koreksi'!$I$5:$I$92,'Daftar Koreksi'!$D$5:$D$92,'0500'!A884,'Daftar Koreksi'!$G$5:$G$92,"Aset Henti Guna",'Daftar Koreksi'!$I$5:$I$92,"&lt;0")</f>
        <v>0</v>
      </c>
      <c r="G901" s="17">
        <f t="shared" si="40"/>
        <v>-172907835</v>
      </c>
      <c r="H901" s="122"/>
    </row>
    <row r="902" spans="1:8" ht="21.95" customHeight="1">
      <c r="A902" s="14"/>
      <c r="B902" s="14"/>
      <c r="C902" s="18" t="s">
        <v>2094</v>
      </c>
      <c r="D902" s="19">
        <f>SUM(D897:D901)</f>
        <v>-915999711</v>
      </c>
      <c r="E902" s="19">
        <f>SUM(E897:E901)</f>
        <v>0</v>
      </c>
      <c r="F902" s="19">
        <f>SUM(F897:F901)</f>
        <v>0</v>
      </c>
      <c r="G902" s="19">
        <f t="shared" si="40"/>
        <v>-915999711</v>
      </c>
      <c r="H902" s="122"/>
    </row>
    <row r="903" spans="1:8" ht="21.95" customHeight="1">
      <c r="A903" s="14"/>
      <c r="B903" s="14"/>
      <c r="C903" s="18" t="s">
        <v>2095</v>
      </c>
      <c r="D903" s="19">
        <f>VLOOKUP(A884,'Neraca Unaudited SIMAK'!$A$2:$S$10004,18,FALSE)</f>
        <v>1040663407</v>
      </c>
      <c r="E903" s="19">
        <f>E902+E896</f>
        <v>0</v>
      </c>
      <c r="F903" s="19">
        <f>F902+F896</f>
        <v>0</v>
      </c>
      <c r="G903" s="19">
        <f t="shared" si="40"/>
        <v>1040663407</v>
      </c>
      <c r="H903" s="122"/>
    </row>
    <row r="904" spans="1:8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8" ht="19.5" customHeight="1">
      <c r="A906" s="11" t="str">
        <f>O42</f>
        <v>005010500401293000KD</v>
      </c>
      <c r="B906" s="11" t="str">
        <f>P42</f>
        <v>PA. Gresik</v>
      </c>
      <c r="C906" s="12" t="str">
        <f>A906&amp;" "&amp;B906</f>
        <v>005010500401293000KD PA. Gresik</v>
      </c>
      <c r="D906" s="13"/>
      <c r="E906" s="13"/>
      <c r="F906" s="13"/>
      <c r="G906" s="13"/>
      <c r="H906" s="11"/>
    </row>
    <row r="907" spans="1:8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8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8" ht="21.95" customHeight="1">
      <c r="A909" s="14"/>
      <c r="B909" s="14"/>
      <c r="C909" s="16" t="s">
        <v>1165</v>
      </c>
      <c r="D909" s="17">
        <f>VLOOKUP(A906,'Neraca Unaudited SIMAK'!$A$2:$S$10004,3,FALSE)</f>
        <v>796250</v>
      </c>
      <c r="E909" s="25">
        <f>SUMIFS('Daftar Koreksi'!$H$5:$H$92,'Daftar Koreksi'!$D$5:$D$92,'0500'!A906,'Daftar Koreksi'!$G$5:$G$92,"Persediaan",'Daftar Koreksi'!$H$5:$H$92,"&gt;0")</f>
        <v>0</v>
      </c>
      <c r="F909" s="25">
        <f>SUMIFS('Daftar Koreksi'!$H$5:$H$92,'Daftar Koreksi'!$D$5:$D$92,'0500'!A906,'Daftar Koreksi'!$G$5:$G$92,"Persediaan",'Daftar Koreksi'!$H$5:$H$92,"&lt;0")-SUMIFS('Daftar Koreksi'!$H$5:$H$92,'Daftar Koreksi'!$D$5:$D$92,'0500'!A906,'Daftar Koreksi'!$G$5:$G$92,"Persediaan",'Daftar Koreksi'!$H$5:$H$92,"&lt;0")-SUMIFS('Daftar Koreksi'!$H$5:$H$92,'Daftar Koreksi'!$D$5:$D$92,'0500'!A906,'Daftar Koreksi'!$G$5:$G$92,"Persediaan",'Daftar Koreksi'!$H$5:$H$92,"&lt;0")</f>
        <v>0</v>
      </c>
      <c r="G909" s="17">
        <f>D909+E909-F909</f>
        <v>796250</v>
      </c>
      <c r="H909" s="121" t="str">
        <f>IF(ISNA(VLOOKUP(A906,'Mutasi Neraca'!$A$3:$S$914,19,FALSE)),"-",VLOOKUP(A906,'Mutasi Neraca'!$A$3:$S$914,19,FALSE))</f>
        <v>-</v>
      </c>
    </row>
    <row r="910" spans="1:8" ht="21.95" customHeight="1">
      <c r="A910" s="14"/>
      <c r="B910" s="14"/>
      <c r="C910" s="16" t="s">
        <v>1166</v>
      </c>
      <c r="D910" s="17">
        <f>VLOOKUP(A906,'Neraca Unaudited SIMAK'!$A$2:$S$10004,4,FALSE)</f>
        <v>2230000000</v>
      </c>
      <c r="E910" s="25">
        <f>SUMIFS('Daftar Koreksi'!$H$5:$H$92,'Daftar Koreksi'!$D$5:$D$92,'0500'!A906,'Daftar Koreksi'!$G$5:$G$92,"Tanah",'Daftar Koreksi'!$H$5:$H$92,"&gt;0")</f>
        <v>0</v>
      </c>
      <c r="F910" s="25">
        <f>SUMIFS('Daftar Koreksi'!$H$5:$H$92,'Daftar Koreksi'!$D$5:$D$92,'0500'!A906,'Daftar Koreksi'!$G$5:$G$92,"Tanah",'Daftar Koreksi'!$H$5:$H$92,"&lt;0")-SUMIFS('Daftar Koreksi'!$H$5:$H$92,'Daftar Koreksi'!$D$5:$D$92,'0500'!A906,'Daftar Koreksi'!$G$5:$G$92,"Tanah",'Daftar Koreksi'!$H$5:$H$92,"&lt;0")-SUMIFS('Daftar Koreksi'!$H$5:$H$92,'Daftar Koreksi'!$D$5:$D$92,'0500'!A906,'Daftar Koreksi'!$G$5:$G$92,"Tanah",'Daftar Koreksi'!$H$5:$H$92,"&lt;0")</f>
        <v>0</v>
      </c>
      <c r="G910" s="17">
        <f t="shared" ref="G910:G926" si="41">D910+E910-F910</f>
        <v>2230000000</v>
      </c>
      <c r="H910" s="122"/>
    </row>
    <row r="911" spans="1:8" ht="21.95" customHeight="1">
      <c r="A911" s="14"/>
      <c r="B911" s="14"/>
      <c r="C911" s="16" t="s">
        <v>1167</v>
      </c>
      <c r="D911" s="17">
        <f>VLOOKUP(A906,'Neraca Unaudited SIMAK'!$A$2:$S$10004,5,FALSE)</f>
        <v>1243833706</v>
      </c>
      <c r="E911" s="25">
        <f>SUMIFS('Daftar Koreksi'!$H$5:$H$92,'Daftar Koreksi'!$D$5:$D$92,'0500'!A906,'Daftar Koreksi'!$G$5:$G$92,"Peralatan dan mesin",'Daftar Koreksi'!$H$5:$H$92,"&gt;0")</f>
        <v>0</v>
      </c>
      <c r="F911" s="25">
        <f>SUMIFS('Daftar Koreksi'!$H$5:$H$92,'Daftar Koreksi'!$D$5:$D$92,'0500'!A906,'Daftar Koreksi'!$G$5:$G$92,"Peralatan dan mesin",'Daftar Koreksi'!$H$5:$H$92,"&lt;0")-SUMIFS('Daftar Koreksi'!$H$5:$H$92,'Daftar Koreksi'!$D$5:$D$92,'0500'!A906,'Daftar Koreksi'!$G$5:$G$92,"Peralatan dan mesin",'Daftar Koreksi'!$H$5:$H$92,"&lt;0")-SUMIFS('Daftar Koreksi'!$H$5:$H$92,'Daftar Koreksi'!$D$5:$D$92,'0500'!A906,'Daftar Koreksi'!$G$5:$G$92,"Peralatan dan mesin",'Daftar Koreksi'!$H$5:$H$92,"&lt;0")</f>
        <v>0</v>
      </c>
      <c r="G911" s="17">
        <f t="shared" si="41"/>
        <v>1243833706</v>
      </c>
      <c r="H911" s="122"/>
    </row>
    <row r="912" spans="1:8" ht="21.95" customHeight="1">
      <c r="A912" s="14"/>
      <c r="B912" s="14"/>
      <c r="C912" s="16" t="s">
        <v>1168</v>
      </c>
      <c r="D912" s="17">
        <f>VLOOKUP(A906,'Neraca Unaudited SIMAK'!$A$2:$S$10004,6,FALSE)</f>
        <v>2228578000</v>
      </c>
      <c r="E912" s="25">
        <f>SUMIFS('Daftar Koreksi'!$H$5:$H$92,'Daftar Koreksi'!$D$5:$D$92,'0500'!A906,'Daftar Koreksi'!$G$5:$G$92,"Gedung dan Bangunan",'Daftar Koreksi'!$H$5:$H$92,"&gt;0")</f>
        <v>0</v>
      </c>
      <c r="F912" s="25">
        <f>SUMIFS('Daftar Koreksi'!$H$5:$H$92,'Daftar Koreksi'!$D$5:$D$92,'0500'!A906,'Daftar Koreksi'!$G$5:$G$92,"Gedung dan Bangunan",'Daftar Koreksi'!$H$5:$H$92,"&lt;0")-SUMIFS('Daftar Koreksi'!$H$5:$H$92,'Daftar Koreksi'!$D$5:$D$92,'0500'!A906,'Daftar Koreksi'!$G$5:$G$92,"Gedung dan Bangunan",'Daftar Koreksi'!$H$5:$H$92,"&lt;0")-SUMIFS('Daftar Koreksi'!$H$5:$H$92,'Daftar Koreksi'!$D$5:$D$92,'0500'!A906,'Daftar Koreksi'!$G$5:$G$92,"Gedung dan Bangunan",'Daftar Koreksi'!$H$5:$H$92,"&lt;0")</f>
        <v>0</v>
      </c>
      <c r="G912" s="17">
        <f t="shared" si="41"/>
        <v>2228578000</v>
      </c>
      <c r="H912" s="122"/>
    </row>
    <row r="913" spans="1:8" ht="21.95" customHeight="1">
      <c r="A913" s="14"/>
      <c r="B913" s="14"/>
      <c r="C913" s="16" t="s">
        <v>1169</v>
      </c>
      <c r="D913" s="17">
        <f>VLOOKUP(A906,'Neraca Unaudited SIMAK'!$A$2:$S$10004,7,FALSE)</f>
        <v>0</v>
      </c>
      <c r="E913" s="25">
        <f>SUMIFS('Daftar Koreksi'!$H$5:$H$92,'Daftar Koreksi'!$D$5:$D$92,'0500'!A906,'Daftar Koreksi'!$G$5:$G$92,"Jalan Irigasi Jaringan",'Daftar Koreksi'!$H$5:$H$92,"&gt;0")</f>
        <v>0</v>
      </c>
      <c r="F913" s="25">
        <f>SUMIFS('Daftar Koreksi'!$H$5:$H$92,'Daftar Koreksi'!$D$5:$D$92,'0500'!A906,'Daftar Koreksi'!$G$5:$G$92,"Jalan Irigasi Jaringan",'Daftar Koreksi'!$H$5:$H$92,"&lt;0")-SUMIFS('Daftar Koreksi'!$H$5:$H$92,'Daftar Koreksi'!$D$5:$D$92,'0500'!A906,'Daftar Koreksi'!$G$5:$G$92,"Jalan Irigasi Jaringan",'Daftar Koreksi'!$H$5:$H$92,"&lt;0")-SUMIFS('Daftar Koreksi'!$H$5:$H$92,'Daftar Koreksi'!$D$5:$D$92,'0500'!A906,'Daftar Koreksi'!$G$5:$G$92,"Jalan Irigasi Jaringan",'Daftar Koreksi'!$H$5:$H$92,"&lt;0")</f>
        <v>0</v>
      </c>
      <c r="G913" s="17">
        <f t="shared" si="41"/>
        <v>0</v>
      </c>
      <c r="H913" s="122"/>
    </row>
    <row r="914" spans="1:8" ht="21.95" customHeight="1">
      <c r="A914" s="14"/>
      <c r="B914" s="14"/>
      <c r="C914" s="16" t="s">
        <v>1170</v>
      </c>
      <c r="D914" s="17">
        <f>VLOOKUP(A906,'Neraca Unaudited SIMAK'!$A$2:$S$10004,8,FALSE)</f>
        <v>4519870</v>
      </c>
      <c r="E914" s="25">
        <f>SUMIFS('Daftar Koreksi'!$H$5:$H$92,'Daftar Koreksi'!$D$5:$D$92,'0500'!A906,'Daftar Koreksi'!$G$5:$G$92,"Aset Tetap Lainnya",'Daftar Koreksi'!$H$5:$H$92,"&gt;0")</f>
        <v>0</v>
      </c>
      <c r="F914" s="25">
        <f>SUMIFS('Daftar Koreksi'!$H$5:$H$92,'Daftar Koreksi'!$D$5:$D$92,'0500'!A906,'Daftar Koreksi'!$G$5:$G$92,"Aset Tetap Lainnya",'Daftar Koreksi'!$H$5:$H$92,"&lt;0")-SUMIFS('Daftar Koreksi'!$H$5:$H$92,'Daftar Koreksi'!$D$5:$D$92,'0500'!A906,'Daftar Koreksi'!$G$5:$G$92,"Aset Tetap Lainnya",'Daftar Koreksi'!$H$5:$H$92,"&lt;0")-SUMIFS('Daftar Koreksi'!$H$5:$H$92,'Daftar Koreksi'!$D$5:$D$92,'0500'!A906,'Daftar Koreksi'!$G$5:$G$92,"Aset Tetap Lainnya",'Daftar Koreksi'!$H$5:$H$92,"&lt;0")</f>
        <v>0</v>
      </c>
      <c r="G914" s="17">
        <f t="shared" si="41"/>
        <v>4519870</v>
      </c>
      <c r="H914" s="122"/>
    </row>
    <row r="915" spans="1:8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Koreksi'!$D$5:$D$92,'0500'!A906,'Daftar Koreksi'!$G$5:$G$92,"Kontruksi Dalam Pengerjaan",'Daftar Koreksi'!$H$5:$H$92,"&gt;0")</f>
        <v>0</v>
      </c>
      <c r="F915" s="25">
        <f>SUMIFS('Daftar Koreksi'!$H$5:$H$92,'Daftar Koreksi'!$D$5:$D$92,'0500'!A906,'Daftar Koreksi'!$G$5:$G$92,"Kontruksi Dalam Pengerjaan",'Daftar Koreksi'!$H$5:$H$92,"&lt;0")-SUMIFS('Daftar Koreksi'!$H$5:$H$92,'Daftar Koreksi'!$D$5:$D$92,'0500'!A906,'Daftar Koreksi'!$G$5:$G$92,"Kontruksi Dalam Pengerjaan",'Daftar Koreksi'!$H$5:$H$92,"&lt;0")-SUMIFS('Daftar Koreksi'!$H$5:$H$92,'Daftar Koreksi'!$D$5:$D$92,'0500'!A906,'Daftar Koreksi'!$G$5:$G$92,"Kontruksi Dalam Pengerjaan",'Daftar Koreksi'!$H$5:$H$92,"&lt;0")</f>
        <v>0</v>
      </c>
      <c r="G915" s="17">
        <f t="shared" si="41"/>
        <v>0</v>
      </c>
      <c r="H915" s="122"/>
    </row>
    <row r="916" spans="1:8" ht="21.95" customHeight="1">
      <c r="A916" s="14"/>
      <c r="B916" s="14"/>
      <c r="C916" s="16" t="s">
        <v>1172</v>
      </c>
      <c r="D916" s="17">
        <f>VLOOKUP(A906,'Neraca Unaudited SIMAK'!$A$2:$S$10004,10,FALSE)</f>
        <v>0</v>
      </c>
      <c r="E916" s="25">
        <f>SUMIFS('Daftar Koreksi'!$H$5:$H$92,'Daftar Koreksi'!$D$5:$D$92,'0500'!A906,'Daftar Koreksi'!$G$5:$G$92,"Aset Tak Berwujud",'Daftar Koreksi'!$H$5:$H$92,"&gt;0")</f>
        <v>0</v>
      </c>
      <c r="F916" s="25">
        <f>SUMIFS('Daftar Koreksi'!$H$5:$H$92,'Daftar Koreksi'!$D$5:$D$92,'0500'!A906,'Daftar Koreksi'!$G$5:$G$92,"Aset Tak Berwujud",'Daftar Koreksi'!$H$5:$H$92,"&lt;0")-SUMIFS('Daftar Koreksi'!$H$5:$H$92,'Daftar Koreksi'!$D$5:$D$92,'0500'!A906,'Daftar Koreksi'!$G$5:$G$92,"Aset Tak Berwujud",'Daftar Koreksi'!$H$5:$H$92,"&lt;0")-SUMIFS('Daftar Koreksi'!$H$5:$H$92,'Daftar Koreksi'!$D$5:$D$92,'0500'!A906,'Daftar Koreksi'!$G$5:$G$92,"Aset Tak Berwujud",'Daftar Koreksi'!$H$5:$H$92,"&lt;0")</f>
        <v>0</v>
      </c>
      <c r="G916" s="17">
        <f t="shared" si="41"/>
        <v>0</v>
      </c>
      <c r="H916" s="122"/>
    </row>
    <row r="917" spans="1:8" ht="21.95" customHeight="1">
      <c r="A917" s="14"/>
      <c r="B917" s="14"/>
      <c r="C917" s="16" t="s">
        <v>1173</v>
      </c>
      <c r="D917" s="17">
        <f>VLOOKUP(A906,'Neraca Unaudited SIMAK'!$A$2:$S$10004,11,FALSE)</f>
        <v>8646500</v>
      </c>
      <c r="E917" s="25">
        <f>SUMIFS('Daftar Koreksi'!$H$5:$H$92,'Daftar Koreksi'!$D$5:$D$92,'0500'!A906,'Daftar Koreksi'!$G$5:$G$92,"Aset Henti Guna",'Daftar Koreksi'!$H$5:$H$92,"&gt;0")</f>
        <v>0</v>
      </c>
      <c r="F917" s="25">
        <f>SUMIFS('Daftar Koreksi'!$H$5:$H$92,'Daftar Koreksi'!$D$5:$D$92,'0500'!A906,'Daftar Koreksi'!$G$5:$G$92,"Aset Henti Guna",'Daftar Koreksi'!$H$5:$H$92,"&lt;0")-SUMIFS('Daftar Koreksi'!$H$5:$H$92,'Daftar Koreksi'!$D$5:$D$92,'0500'!A906,'Daftar Koreksi'!$G$5:$G$92,"Aset Henti Guna",'Daftar Koreksi'!$H$5:$H$92,"&lt;0")-SUMIFS('Daftar Koreksi'!$H$5:$H$92,'Daftar Koreksi'!$D$5:$D$92,'0500'!A906,'Daftar Koreksi'!$G$5:$G$92,"Aset Henti Guna",'Daftar Koreksi'!$H$5:$H$92,"&lt;0")</f>
        <v>0</v>
      </c>
      <c r="G917" s="17">
        <f t="shared" si="41"/>
        <v>8646500</v>
      </c>
      <c r="H917" s="122"/>
    </row>
    <row r="918" spans="1:8" ht="21.95" customHeight="1">
      <c r="A918" s="14"/>
      <c r="B918" s="14"/>
      <c r="C918" s="18" t="s">
        <v>2093</v>
      </c>
      <c r="D918" s="19">
        <f>VLOOKUP(A906,'Neraca Unaudited SIMAK'!$A$2:$S$10004,12,FALSE)</f>
        <v>5716374326</v>
      </c>
      <c r="E918" s="19">
        <f>SUM(E909:E917)</f>
        <v>0</v>
      </c>
      <c r="F918" s="19">
        <f>SUM(F909:F917)</f>
        <v>0</v>
      </c>
      <c r="G918" s="19">
        <f t="shared" si="41"/>
        <v>5716374326</v>
      </c>
      <c r="H918" s="122"/>
    </row>
    <row r="919" spans="1:8" ht="21.95" customHeight="1">
      <c r="A919" s="14"/>
      <c r="B919" s="14"/>
      <c r="C919" s="16" t="s">
        <v>2087</v>
      </c>
      <c r="D919" s="17">
        <f>VLOOKUP(A906,'Neraca Unaudited SIMAK'!$A$2:$S$10004,13,FALSE)</f>
        <v>-973231644</v>
      </c>
      <c r="E919" s="25">
        <f>SUMIFS('Daftar Koreksi'!$I$5:$I$92,'Daftar Koreksi'!$D$5:$D$92,'0500'!A906,'Daftar Koreksi'!$G$5:$G$92,"Peralatan dan mesin",'Daftar Koreksi'!$I$5:$I$92,"&gt;0")</f>
        <v>0</v>
      </c>
      <c r="F919" s="25">
        <f>SUMIFS('Daftar Koreksi'!$I$5:$I$92,'Daftar Koreksi'!$D$5:$D$92,'0500'!A906,'Daftar Koreksi'!$G$5:$G$92,"Peralatan dan mesin",'Daftar Koreksi'!$I$5:$I$92,"&lt;0")-SUMIFS('Daftar Koreksi'!$I$5:$I$92,'Daftar Koreksi'!$D$5:$D$92,'0500'!A906,'Daftar Koreksi'!$G$5:$G$92,"Peralatan dan mesin",'Daftar Koreksi'!$I$5:$I$92,"&lt;0")-SUMIFS('Daftar Koreksi'!$I$5:$I$92,'Daftar Koreksi'!$D$5:$D$92,'0500'!A906,'Daftar Koreksi'!$G$5:$G$92,"Peralatan dan mesin",'Daftar Koreksi'!$I$5:$I$92,"&lt;0")</f>
        <v>0</v>
      </c>
      <c r="G919" s="17">
        <f t="shared" si="41"/>
        <v>-973231644</v>
      </c>
      <c r="H919" s="122"/>
    </row>
    <row r="920" spans="1:8" ht="21.95" customHeight="1">
      <c r="A920" s="14"/>
      <c r="B920" s="14"/>
      <c r="C920" s="16" t="s">
        <v>2088</v>
      </c>
      <c r="D920" s="17">
        <f>VLOOKUP(A906,'Neraca Unaudited SIMAK'!$A$2:$S$10004,14,FALSE)</f>
        <v>-309765200</v>
      </c>
      <c r="E920" s="25">
        <f>SUMIFS('Daftar Koreksi'!$I$5:$I$92,'Daftar Koreksi'!$D$5:$D$92,'0500'!A906,'Daftar Koreksi'!$G$5:$G$92,"Gedung dan Bangunan",'Daftar Koreksi'!$I$5:$I$92,"&gt;0")</f>
        <v>0</v>
      </c>
      <c r="F920" s="25">
        <f>SUMIFS('Daftar Koreksi'!$I$5:$I$92,'Daftar Koreksi'!$D$5:$D$92,'0500'!A906,'Daftar Koreksi'!$G$5:$G$92,"Gedung dan Bangunan",'Daftar Koreksi'!$I$5:$I$92,"&lt;0")-SUMIFS('Daftar Koreksi'!$I$5:$I$92,'Daftar Koreksi'!$D$5:$D$92,'0500'!A906,'Daftar Koreksi'!$G$5:$G$92,"Gedung dan Bangunan",'Daftar Koreksi'!$I$5:$I$92,"&lt;0")-SUMIFS('Daftar Koreksi'!$I$5:$I$92,'Daftar Koreksi'!$D$5:$D$92,'0500'!A906,'Daftar Koreksi'!$G$5:$G$92,"Gedung dan Bangunan",'Daftar Koreksi'!$I$5:$I$92,"&lt;0")</f>
        <v>0</v>
      </c>
      <c r="G920" s="17">
        <f t="shared" si="41"/>
        <v>-309765200</v>
      </c>
      <c r="H920" s="122"/>
    </row>
    <row r="921" spans="1:8" ht="21.95" customHeight="1">
      <c r="A921" s="14"/>
      <c r="B921" s="14"/>
      <c r="C921" s="16" t="s">
        <v>2089</v>
      </c>
      <c r="D921" s="17">
        <f>VLOOKUP(A906,'Neraca Unaudited SIMAK'!$A$2:$S$10004,15,FALSE)</f>
        <v>0</v>
      </c>
      <c r="E921" s="25">
        <f>SUMIFS('Daftar Koreksi'!$I$5:$I$92,'Daftar Koreksi'!$D$5:$D$92,'0500'!A906,'Daftar Koreksi'!$G$5:$G$92,"Jalan Irigasi Jaringan",'Daftar Koreksi'!$I$5:$I$92,"&gt;0")</f>
        <v>0</v>
      </c>
      <c r="F921" s="25">
        <f>SUMIFS('Daftar Koreksi'!$I$5:$I$92,'Daftar Koreksi'!$D$5:$D$92,'0500'!A906,'Daftar Koreksi'!$G$5:$G$92,"Jalan Irigasi Jaringan",'Daftar Koreksi'!$I$5:$I$92,"&lt;0")-SUMIFS('Daftar Koreksi'!$I$5:$I$92,'Daftar Koreksi'!$D$5:$D$92,'0500'!A906,'Daftar Koreksi'!$G$5:$G$92,"Jalan Irigasi Jaringan",'Daftar Koreksi'!$I$5:$I$92,"&lt;0")-SUMIFS('Daftar Koreksi'!$I$5:$I$92,'Daftar Koreksi'!$D$5:$D$92,'0500'!A906,'Daftar Koreksi'!$G$5:$G$92,"Jalan Irigasi Jaringan",'Daftar Koreksi'!$I$5:$I$92,"&lt;0")</f>
        <v>0</v>
      </c>
      <c r="G921" s="17">
        <f t="shared" si="41"/>
        <v>0</v>
      </c>
      <c r="H921" s="122"/>
    </row>
    <row r="922" spans="1:8" ht="21.95" customHeight="1">
      <c r="A922" s="14"/>
      <c r="B922" s="14"/>
      <c r="C922" s="16" t="s">
        <v>2090</v>
      </c>
      <c r="D922" s="17">
        <f>VLOOKUP(A906,'Neraca Unaudited SIMAK'!$A$2:$S$10004,16,FALSE)</f>
        <v>0</v>
      </c>
      <c r="E922" s="25">
        <f>SUMIFS('Daftar Koreksi'!$I$5:$I$92,'Daftar Koreksi'!$D$5:$D$92,'0500'!A906,'Daftar Koreksi'!$G$5:$G$92,"Aset Tetap Lainnya",'Daftar Koreksi'!$I$5:$I$92,"&gt;0")</f>
        <v>0</v>
      </c>
      <c r="F922" s="25">
        <f>SUMIFS('Daftar Koreksi'!$I$5:$I$92,'Daftar Koreksi'!$D$5:$D$92,'0500'!A906,'Daftar Koreksi'!$G$5:$G$92,"Aset Tetap Lainnya",'Daftar Koreksi'!$I$5:$I$92,"&lt;0")-SUMIFS('Daftar Koreksi'!$I$5:$I$92,'Daftar Koreksi'!$D$5:$D$92,'0500'!A906,'Daftar Koreksi'!$G$5:$G$92,"Aset Tetap Lainnya",'Daftar Koreksi'!$I$5:$I$92,"&lt;0")-SUMIFS('Daftar Koreksi'!$I$5:$I$92,'Daftar Koreksi'!$D$5:$D$92,'0500'!A906,'Daftar Koreksi'!$G$5:$G$92,"Aset Tetap Lainnya",'Daftar Koreksi'!$I$5:$I$92,"&lt;0")</f>
        <v>0</v>
      </c>
      <c r="G922" s="17">
        <f t="shared" si="41"/>
        <v>0</v>
      </c>
      <c r="H922" s="122"/>
    </row>
    <row r="923" spans="1:8" ht="21.95" customHeight="1">
      <c r="A923" s="14"/>
      <c r="B923" s="14"/>
      <c r="C923" s="16" t="s">
        <v>2020</v>
      </c>
      <c r="D923" s="17">
        <f>VLOOKUP(A906,'Neraca Unaudited SIMAK'!$A$2:$S$10004,17,FALSE)</f>
        <v>-8646500</v>
      </c>
      <c r="E923" s="25">
        <f>SUMIFS('Daftar Koreksi'!$I$5:$I$92,'Daftar Koreksi'!$D$5:$D$92,'0500'!A906,'Daftar Koreksi'!$G$5:$G$92,"Aset Henti Guna",'Daftar Koreksi'!$I$5:$I$92,"&gt;0")</f>
        <v>0</v>
      </c>
      <c r="F923" s="25">
        <f>SUMIFS('Daftar Koreksi'!$I$5:$I$92,'Daftar Koreksi'!$D$5:$D$92,'0500'!A906,'Daftar Koreksi'!$G$5:$G$92,"Aset Henti Guna",'Daftar Koreksi'!$I$5:$I$92,"&lt;0")-SUMIFS('Daftar Koreksi'!$I$5:$I$92,'Daftar Koreksi'!$D$5:$D$92,'0500'!A906,'Daftar Koreksi'!$G$5:$G$92,"Aset Henti Guna",'Daftar Koreksi'!$I$5:$I$92,"&lt;0")-SUMIFS('Daftar Koreksi'!$I$5:$I$92,'Daftar Koreksi'!$D$5:$D$92,'0500'!A906,'Daftar Koreksi'!$G$5:$G$92,"Aset Henti Guna",'Daftar Koreksi'!$I$5:$I$92,"&lt;0")</f>
        <v>0</v>
      </c>
      <c r="G923" s="17">
        <f t="shared" si="41"/>
        <v>-8646500</v>
      </c>
      <c r="H923" s="122"/>
    </row>
    <row r="924" spans="1:8" ht="21.95" customHeight="1">
      <c r="A924" s="14"/>
      <c r="B924" s="14"/>
      <c r="C924" s="18" t="s">
        <v>2094</v>
      </c>
      <c r="D924" s="19">
        <f>SUM(D919:D923)</f>
        <v>-1291643344</v>
      </c>
      <c r="E924" s="19">
        <f>SUM(E919:E923)</f>
        <v>0</v>
      </c>
      <c r="F924" s="19">
        <f>SUM(F919:F923)</f>
        <v>0</v>
      </c>
      <c r="G924" s="19">
        <f t="shared" si="41"/>
        <v>-1291643344</v>
      </c>
      <c r="H924" s="122"/>
    </row>
    <row r="925" spans="1:8" ht="21.95" customHeight="1">
      <c r="A925" s="14"/>
      <c r="B925" s="14"/>
      <c r="C925" s="18" t="s">
        <v>2095</v>
      </c>
      <c r="D925" s="19">
        <f>VLOOKUP(A906,'Neraca Unaudited SIMAK'!$A$2:$S$10004,18,FALSE)</f>
        <v>4424730982</v>
      </c>
      <c r="E925" s="19">
        <f>E924+E918</f>
        <v>0</v>
      </c>
      <c r="F925" s="19">
        <f>F924+F918</f>
        <v>0</v>
      </c>
      <c r="G925" s="19">
        <f t="shared" si="41"/>
        <v>4424730982</v>
      </c>
      <c r="H925" s="122"/>
    </row>
    <row r="926" spans="1:8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</row>
    <row r="928" spans="1:8" ht="19.5" customHeight="1">
      <c r="A928" s="11" t="str">
        <f>O43</f>
        <v>005010500401307000KD</v>
      </c>
      <c r="B928" s="11" t="str">
        <f>P43</f>
        <v>PA. Bojonegoro</v>
      </c>
      <c r="C928" s="12" t="str">
        <f>A928&amp;" "&amp;B928</f>
        <v>005010500401307000KD PA. Bojonegoro</v>
      </c>
      <c r="D928" s="13"/>
      <c r="E928" s="13"/>
      <c r="F928" s="13"/>
      <c r="G928" s="13"/>
      <c r="H928" s="11"/>
    </row>
    <row r="929" spans="1:8" ht="21.95" customHeight="1">
      <c r="A929" s="14"/>
      <c r="B929" s="14"/>
      <c r="C929" s="124" t="s">
        <v>1982</v>
      </c>
      <c r="D929" s="126" t="s">
        <v>1983</v>
      </c>
      <c r="E929" s="132" t="s">
        <v>1984</v>
      </c>
      <c r="F929" s="132"/>
      <c r="G929" s="126" t="s">
        <v>1987</v>
      </c>
      <c r="H929" s="130" t="s">
        <v>1175</v>
      </c>
    </row>
    <row r="930" spans="1:8" ht="21.95" customHeight="1">
      <c r="A930" s="14"/>
      <c r="B930" s="14"/>
      <c r="C930" s="125"/>
      <c r="D930" s="127"/>
      <c r="E930" s="26" t="s">
        <v>1985</v>
      </c>
      <c r="F930" s="26" t="s">
        <v>1986</v>
      </c>
      <c r="G930" s="127"/>
      <c r="H930" s="131"/>
    </row>
    <row r="931" spans="1:8" ht="21.95" customHeight="1">
      <c r="A931" s="14"/>
      <c r="B931" s="14"/>
      <c r="C931" s="16" t="s">
        <v>1165</v>
      </c>
      <c r="D931" s="17">
        <f>VLOOKUP(A928,'Neraca Unaudited SIMAK'!$A$2:$S$10004,3,FALSE)</f>
        <v>0</v>
      </c>
      <c r="E931" s="25">
        <f>SUMIFS('Daftar Koreksi'!$H$5:$H$92,'Daftar Koreksi'!$D$5:$D$92,'0500'!A928,'Daftar Koreksi'!$G$5:$G$92,"Persediaan",'Daftar Koreksi'!$H$5:$H$92,"&gt;0")</f>
        <v>0</v>
      </c>
      <c r="F931" s="25">
        <f>SUMIFS('Daftar Koreksi'!$H$5:$H$92,'Daftar Koreksi'!$D$5:$D$92,'0500'!A928,'Daftar Koreksi'!$G$5:$G$92,"Persediaan",'Daftar Koreksi'!$H$5:$H$92,"&lt;0")-SUMIFS('Daftar Koreksi'!$H$5:$H$92,'Daftar Koreksi'!$D$5:$D$92,'0500'!A928,'Daftar Koreksi'!$G$5:$G$92,"Persediaan",'Daftar Koreksi'!$H$5:$H$92,"&lt;0")-SUMIFS('Daftar Koreksi'!$H$5:$H$92,'Daftar Koreksi'!$D$5:$D$92,'0500'!A928,'Daftar Koreksi'!$G$5:$G$92,"Persediaan",'Daftar Koreksi'!$H$5:$H$92,"&lt;0")</f>
        <v>0</v>
      </c>
      <c r="G931" s="17">
        <f>D931+E931-F931</f>
        <v>0</v>
      </c>
      <c r="H931" s="121" t="str">
        <f>IF(ISNA(VLOOKUP(A928,'Mutasi Neraca'!$A$3:$S$914,19,FALSE)),"-",VLOOKUP(A928,'Mutasi Neraca'!$A$3:$S$914,19,FALSE))</f>
        <v>-</v>
      </c>
    </row>
    <row r="932" spans="1:8" ht="21.95" customHeight="1">
      <c r="A932" s="14"/>
      <c r="B932" s="14"/>
      <c r="C932" s="16" t="s">
        <v>1166</v>
      </c>
      <c r="D932" s="17">
        <f>VLOOKUP(A928,'Neraca Unaudited SIMAK'!$A$2:$S$10004,4,FALSE)</f>
        <v>73100000</v>
      </c>
      <c r="E932" s="25">
        <f>SUMIFS('Daftar Koreksi'!$H$5:$H$92,'Daftar Koreksi'!$D$5:$D$92,'0500'!A928,'Daftar Koreksi'!$G$5:$G$92,"Tanah",'Daftar Koreksi'!$H$5:$H$92,"&gt;0")</f>
        <v>0</v>
      </c>
      <c r="F932" s="25">
        <f>SUMIFS('Daftar Koreksi'!$H$5:$H$92,'Daftar Koreksi'!$D$5:$D$92,'0500'!A928,'Daftar Koreksi'!$G$5:$G$92,"Tanah",'Daftar Koreksi'!$H$5:$H$92,"&lt;0")-SUMIFS('Daftar Koreksi'!$H$5:$H$92,'Daftar Koreksi'!$D$5:$D$92,'0500'!A928,'Daftar Koreksi'!$G$5:$G$92,"Tanah",'Daftar Koreksi'!$H$5:$H$92,"&lt;0")-SUMIFS('Daftar Koreksi'!$H$5:$H$92,'Daftar Koreksi'!$D$5:$D$92,'0500'!A928,'Daftar Koreksi'!$G$5:$G$92,"Tanah",'Daftar Koreksi'!$H$5:$H$92,"&lt;0")</f>
        <v>0</v>
      </c>
      <c r="G932" s="17">
        <f t="shared" ref="G932:G948" si="42">D932+E932-F932</f>
        <v>73100000</v>
      </c>
      <c r="H932" s="122"/>
    </row>
    <row r="933" spans="1:8" ht="21.95" customHeight="1">
      <c r="A933" s="14"/>
      <c r="B933" s="14"/>
      <c r="C933" s="16" t="s">
        <v>1167</v>
      </c>
      <c r="D933" s="17">
        <f>VLOOKUP(A928,'Neraca Unaudited SIMAK'!$A$2:$S$10004,5,FALSE)</f>
        <v>1386427878</v>
      </c>
      <c r="E933" s="25">
        <f>SUMIFS('Daftar Koreksi'!$H$5:$H$92,'Daftar Koreksi'!$D$5:$D$92,'0500'!A928,'Daftar Koreksi'!$G$5:$G$92,"Peralatan dan mesin",'Daftar Koreksi'!$H$5:$H$92,"&gt;0")</f>
        <v>0</v>
      </c>
      <c r="F933" s="25">
        <f>SUMIFS('Daftar Koreksi'!$H$5:$H$92,'Daftar Koreksi'!$D$5:$D$92,'0500'!A928,'Daftar Koreksi'!$G$5:$G$92,"Peralatan dan mesin",'Daftar Koreksi'!$H$5:$H$92,"&lt;0")-SUMIFS('Daftar Koreksi'!$H$5:$H$92,'Daftar Koreksi'!$D$5:$D$92,'0500'!A928,'Daftar Koreksi'!$G$5:$G$92,"Peralatan dan mesin",'Daftar Koreksi'!$H$5:$H$92,"&lt;0")-SUMIFS('Daftar Koreksi'!$H$5:$H$92,'Daftar Koreksi'!$D$5:$D$92,'0500'!A928,'Daftar Koreksi'!$G$5:$G$92,"Peralatan dan mesin",'Daftar Koreksi'!$H$5:$H$92,"&lt;0")</f>
        <v>0</v>
      </c>
      <c r="G933" s="17">
        <f t="shared" si="42"/>
        <v>1386427878</v>
      </c>
      <c r="H933" s="122"/>
    </row>
    <row r="934" spans="1:8" ht="21.95" customHeight="1">
      <c r="A934" s="14"/>
      <c r="B934" s="14"/>
      <c r="C934" s="16" t="s">
        <v>1168</v>
      </c>
      <c r="D934" s="17">
        <f>VLOOKUP(A928,'Neraca Unaudited SIMAK'!$A$2:$S$10004,6,FALSE)</f>
        <v>1983907500</v>
      </c>
      <c r="E934" s="25">
        <f>SUMIFS('Daftar Koreksi'!$H$5:$H$92,'Daftar Koreksi'!$D$5:$D$92,'0500'!A928,'Daftar Koreksi'!$G$5:$G$92,"Gedung dan Bangunan",'Daftar Koreksi'!$H$5:$H$92,"&gt;0")</f>
        <v>0</v>
      </c>
      <c r="F934" s="25">
        <f>SUMIFS('Daftar Koreksi'!$H$5:$H$92,'Daftar Koreksi'!$D$5:$D$92,'0500'!A928,'Daftar Koreksi'!$G$5:$G$92,"Gedung dan Bangunan",'Daftar Koreksi'!$H$5:$H$92,"&lt;0")-SUMIFS('Daftar Koreksi'!$H$5:$H$92,'Daftar Koreksi'!$D$5:$D$92,'0500'!A928,'Daftar Koreksi'!$G$5:$G$92,"Gedung dan Bangunan",'Daftar Koreksi'!$H$5:$H$92,"&lt;0")-SUMIFS('Daftar Koreksi'!$H$5:$H$92,'Daftar Koreksi'!$D$5:$D$92,'0500'!A928,'Daftar Koreksi'!$G$5:$G$92,"Gedung dan Bangunan",'Daftar Koreksi'!$H$5:$H$92,"&lt;0")</f>
        <v>0</v>
      </c>
      <c r="G934" s="17">
        <f t="shared" si="42"/>
        <v>1983907500</v>
      </c>
      <c r="H934" s="122"/>
    </row>
    <row r="935" spans="1:8" ht="21.95" customHeight="1">
      <c r="A935" s="14"/>
      <c r="B935" s="14"/>
      <c r="C935" s="16" t="s">
        <v>1169</v>
      </c>
      <c r="D935" s="17">
        <f>VLOOKUP(A928,'Neraca Unaudited SIMAK'!$A$2:$S$10004,7,FALSE)</f>
        <v>0</v>
      </c>
      <c r="E935" s="25">
        <f>SUMIFS('Daftar Koreksi'!$H$5:$H$92,'Daftar Koreksi'!$D$5:$D$92,'0500'!A928,'Daftar Koreksi'!$G$5:$G$92,"Jalan Irigasi Jaringan",'Daftar Koreksi'!$H$5:$H$92,"&gt;0")</f>
        <v>0</v>
      </c>
      <c r="F935" s="25">
        <f>SUMIFS('Daftar Koreksi'!$H$5:$H$92,'Daftar Koreksi'!$D$5:$D$92,'0500'!A928,'Daftar Koreksi'!$G$5:$G$92,"Jalan Irigasi Jaringan",'Daftar Koreksi'!$H$5:$H$92,"&lt;0")-SUMIFS('Daftar Koreksi'!$H$5:$H$92,'Daftar Koreksi'!$D$5:$D$92,'0500'!A928,'Daftar Koreksi'!$G$5:$G$92,"Jalan Irigasi Jaringan",'Daftar Koreksi'!$H$5:$H$92,"&lt;0")-SUMIFS('Daftar Koreksi'!$H$5:$H$92,'Daftar Koreksi'!$D$5:$D$92,'0500'!A928,'Daftar Koreksi'!$G$5:$G$92,"Jalan Irigasi Jaringan",'Daftar Koreksi'!$H$5:$H$92,"&lt;0")</f>
        <v>0</v>
      </c>
      <c r="G935" s="17">
        <f t="shared" si="42"/>
        <v>0</v>
      </c>
      <c r="H935" s="122"/>
    </row>
    <row r="936" spans="1:8" ht="21.95" customHeight="1">
      <c r="A936" s="14"/>
      <c r="B936" s="14"/>
      <c r="C936" s="16" t="s">
        <v>1170</v>
      </c>
      <c r="D936" s="17">
        <f>VLOOKUP(A928,'Neraca Unaudited SIMAK'!$A$2:$S$10004,8,FALSE)</f>
        <v>3236680</v>
      </c>
      <c r="E936" s="25">
        <f>SUMIFS('Daftar Koreksi'!$H$5:$H$92,'Daftar Koreksi'!$D$5:$D$92,'0500'!A928,'Daftar Koreksi'!$G$5:$G$92,"Aset Tetap Lainnya",'Daftar Koreksi'!$H$5:$H$92,"&gt;0")</f>
        <v>0</v>
      </c>
      <c r="F936" s="25">
        <f>SUMIFS('Daftar Koreksi'!$H$5:$H$92,'Daftar Koreksi'!$D$5:$D$92,'0500'!A928,'Daftar Koreksi'!$G$5:$G$92,"Aset Tetap Lainnya",'Daftar Koreksi'!$H$5:$H$92,"&lt;0")-SUMIFS('Daftar Koreksi'!$H$5:$H$92,'Daftar Koreksi'!$D$5:$D$92,'0500'!A928,'Daftar Koreksi'!$G$5:$G$92,"Aset Tetap Lainnya",'Daftar Koreksi'!$H$5:$H$92,"&lt;0")-SUMIFS('Daftar Koreksi'!$H$5:$H$92,'Daftar Koreksi'!$D$5:$D$92,'0500'!A928,'Daftar Koreksi'!$G$5:$G$92,"Aset Tetap Lainnya",'Daftar Koreksi'!$H$5:$H$92,"&lt;0")</f>
        <v>0</v>
      </c>
      <c r="G936" s="17">
        <f t="shared" si="42"/>
        <v>3236680</v>
      </c>
      <c r="H936" s="122"/>
    </row>
    <row r="937" spans="1:8" ht="21.95" customHeight="1">
      <c r="A937" s="14"/>
      <c r="B937" s="14"/>
      <c r="C937" s="16" t="s">
        <v>1171</v>
      </c>
      <c r="D937" s="17">
        <f>VLOOKUP(A928,'Neraca Unaudited SIMAK'!$A$2:$S$10004,9,FALSE)</f>
        <v>0</v>
      </c>
      <c r="E937" s="25">
        <f>SUMIFS('Daftar Koreksi'!$H$5:$H$92,'Daftar Koreksi'!$D$5:$D$92,'0500'!A928,'Daftar Koreksi'!$G$5:$G$92,"Kontruksi Dalam Pengerjaan",'Daftar Koreksi'!$H$5:$H$92,"&gt;0")</f>
        <v>0</v>
      </c>
      <c r="F937" s="25">
        <f>SUMIFS('Daftar Koreksi'!$H$5:$H$92,'Daftar Koreksi'!$D$5:$D$92,'0500'!A928,'Daftar Koreksi'!$G$5:$G$92,"Kontruksi Dalam Pengerjaan",'Daftar Koreksi'!$H$5:$H$92,"&lt;0")-SUMIFS('Daftar Koreksi'!$H$5:$H$92,'Daftar Koreksi'!$D$5:$D$92,'0500'!A928,'Daftar Koreksi'!$G$5:$G$92,"Kontruksi Dalam Pengerjaan",'Daftar Koreksi'!$H$5:$H$92,"&lt;0")-SUMIFS('Daftar Koreksi'!$H$5:$H$92,'Daftar Koreksi'!$D$5:$D$92,'0500'!A928,'Daftar Koreksi'!$G$5:$G$92,"Kontruksi Dalam Pengerjaan",'Daftar Koreksi'!$H$5:$H$92,"&lt;0")</f>
        <v>0</v>
      </c>
      <c r="G937" s="17">
        <f t="shared" si="42"/>
        <v>0</v>
      </c>
      <c r="H937" s="122"/>
    </row>
    <row r="938" spans="1:8" ht="21.95" customHeight="1">
      <c r="A938" s="14"/>
      <c r="B938" s="14"/>
      <c r="C938" s="16" t="s">
        <v>1172</v>
      </c>
      <c r="D938" s="17">
        <f>VLOOKUP(A928,'Neraca Unaudited SIMAK'!$A$2:$S$10004,10,FALSE)</f>
        <v>0</v>
      </c>
      <c r="E938" s="25">
        <f>SUMIFS('Daftar Koreksi'!$H$5:$H$92,'Daftar Koreksi'!$D$5:$D$92,'0500'!A928,'Daftar Koreksi'!$G$5:$G$92,"Aset Tak Berwujud",'Daftar Koreksi'!$H$5:$H$92,"&gt;0")</f>
        <v>0</v>
      </c>
      <c r="F938" s="25">
        <f>SUMIFS('Daftar Koreksi'!$H$5:$H$92,'Daftar Koreksi'!$D$5:$D$92,'0500'!A928,'Daftar Koreksi'!$G$5:$G$92,"Aset Tak Berwujud",'Daftar Koreksi'!$H$5:$H$92,"&lt;0")-SUMIFS('Daftar Koreksi'!$H$5:$H$92,'Daftar Koreksi'!$D$5:$D$92,'0500'!A928,'Daftar Koreksi'!$G$5:$G$92,"Aset Tak Berwujud",'Daftar Koreksi'!$H$5:$H$92,"&lt;0")-SUMIFS('Daftar Koreksi'!$H$5:$H$92,'Daftar Koreksi'!$D$5:$D$92,'0500'!A928,'Daftar Koreksi'!$G$5:$G$92,"Aset Tak Berwujud",'Daftar Koreksi'!$H$5:$H$92,"&lt;0")</f>
        <v>0</v>
      </c>
      <c r="G938" s="17">
        <f t="shared" si="42"/>
        <v>0</v>
      </c>
      <c r="H938" s="122"/>
    </row>
    <row r="939" spans="1:8" ht="21.95" customHeight="1">
      <c r="A939" s="14"/>
      <c r="B939" s="14"/>
      <c r="C939" s="16" t="s">
        <v>1173</v>
      </c>
      <c r="D939" s="17">
        <f>VLOOKUP(A928,'Neraca Unaudited SIMAK'!$A$2:$S$10004,11,FALSE)</f>
        <v>5003205</v>
      </c>
      <c r="E939" s="25">
        <f>SUMIFS('Daftar Koreksi'!$H$5:$H$92,'Daftar Koreksi'!$D$5:$D$92,'0500'!A928,'Daftar Koreksi'!$G$5:$G$92,"Aset Henti Guna",'Daftar Koreksi'!$H$5:$H$92,"&gt;0")</f>
        <v>0</v>
      </c>
      <c r="F939" s="25">
        <f>SUMIFS('Daftar Koreksi'!$H$5:$H$92,'Daftar Koreksi'!$D$5:$D$92,'0500'!A928,'Daftar Koreksi'!$G$5:$G$92,"Aset Henti Guna",'Daftar Koreksi'!$H$5:$H$92,"&lt;0")-SUMIFS('Daftar Koreksi'!$H$5:$H$92,'Daftar Koreksi'!$D$5:$D$92,'0500'!A928,'Daftar Koreksi'!$G$5:$G$92,"Aset Henti Guna",'Daftar Koreksi'!$H$5:$H$92,"&lt;0")-SUMIFS('Daftar Koreksi'!$H$5:$H$92,'Daftar Koreksi'!$D$5:$D$92,'0500'!A928,'Daftar Koreksi'!$G$5:$G$92,"Aset Henti Guna",'Daftar Koreksi'!$H$5:$H$92,"&lt;0")</f>
        <v>0</v>
      </c>
      <c r="G939" s="17">
        <f t="shared" si="42"/>
        <v>5003205</v>
      </c>
      <c r="H939" s="122"/>
    </row>
    <row r="940" spans="1:8" ht="21.95" customHeight="1">
      <c r="A940" s="14"/>
      <c r="B940" s="14"/>
      <c r="C940" s="18" t="s">
        <v>2093</v>
      </c>
      <c r="D940" s="19">
        <f>VLOOKUP(A928,'Neraca Unaudited SIMAK'!$A$2:$S$10004,12,FALSE)</f>
        <v>3451675263</v>
      </c>
      <c r="E940" s="19">
        <f>SUM(E931:E939)</f>
        <v>0</v>
      </c>
      <c r="F940" s="19">
        <f>SUM(F931:F939)</f>
        <v>0</v>
      </c>
      <c r="G940" s="19">
        <f t="shared" si="42"/>
        <v>3451675263</v>
      </c>
      <c r="H940" s="122"/>
    </row>
    <row r="941" spans="1:8" ht="21.95" customHeight="1">
      <c r="A941" s="14"/>
      <c r="B941" s="14"/>
      <c r="C941" s="16" t="s">
        <v>2087</v>
      </c>
      <c r="D941" s="17">
        <f>VLOOKUP(A928,'Neraca Unaudited SIMAK'!$A$2:$S$10004,13,FALSE)</f>
        <v>-1212236080</v>
      </c>
      <c r="E941" s="25">
        <f>SUMIFS('Daftar Koreksi'!$I$5:$I$92,'Daftar Koreksi'!$D$5:$D$92,'0500'!A928,'Daftar Koreksi'!$G$5:$G$92,"Peralatan dan mesin",'Daftar Koreksi'!$I$5:$I$92,"&gt;0")</f>
        <v>0</v>
      </c>
      <c r="F941" s="25">
        <f>SUMIFS('Daftar Koreksi'!$I$5:$I$92,'Daftar Koreksi'!$D$5:$D$92,'0500'!A928,'Daftar Koreksi'!$G$5:$G$92,"Peralatan dan mesin",'Daftar Koreksi'!$I$5:$I$92,"&lt;0")-SUMIFS('Daftar Koreksi'!$I$5:$I$92,'Daftar Koreksi'!$D$5:$D$92,'0500'!A928,'Daftar Koreksi'!$G$5:$G$92,"Peralatan dan mesin",'Daftar Koreksi'!$I$5:$I$92,"&lt;0")-SUMIFS('Daftar Koreksi'!$I$5:$I$92,'Daftar Koreksi'!$D$5:$D$92,'0500'!A928,'Daftar Koreksi'!$G$5:$G$92,"Peralatan dan mesin",'Daftar Koreksi'!$I$5:$I$92,"&lt;0")</f>
        <v>0</v>
      </c>
      <c r="G941" s="17">
        <f t="shared" si="42"/>
        <v>-1212236080</v>
      </c>
      <c r="H941" s="122"/>
    </row>
    <row r="942" spans="1:8" ht="21.95" customHeight="1">
      <c r="A942" s="14"/>
      <c r="B942" s="14"/>
      <c r="C942" s="16" t="s">
        <v>2088</v>
      </c>
      <c r="D942" s="17">
        <f>VLOOKUP(A928,'Neraca Unaudited SIMAK'!$A$2:$S$10004,14,FALSE)</f>
        <v>-499254261</v>
      </c>
      <c r="E942" s="25">
        <f>SUMIFS('Daftar Koreksi'!$I$5:$I$92,'Daftar Koreksi'!$D$5:$D$92,'0500'!A928,'Daftar Koreksi'!$G$5:$G$92,"Gedung dan Bangunan",'Daftar Koreksi'!$I$5:$I$92,"&gt;0")</f>
        <v>0</v>
      </c>
      <c r="F942" s="25">
        <f>SUMIFS('Daftar Koreksi'!$I$5:$I$92,'Daftar Koreksi'!$D$5:$D$92,'0500'!A928,'Daftar Koreksi'!$G$5:$G$92,"Gedung dan Bangunan",'Daftar Koreksi'!$I$5:$I$92,"&lt;0")-SUMIFS('Daftar Koreksi'!$I$5:$I$92,'Daftar Koreksi'!$D$5:$D$92,'0500'!A928,'Daftar Koreksi'!$G$5:$G$92,"Gedung dan Bangunan",'Daftar Koreksi'!$I$5:$I$92,"&lt;0")-SUMIFS('Daftar Koreksi'!$I$5:$I$92,'Daftar Koreksi'!$D$5:$D$92,'0500'!A928,'Daftar Koreksi'!$G$5:$G$92,"Gedung dan Bangunan",'Daftar Koreksi'!$I$5:$I$92,"&lt;0")</f>
        <v>0</v>
      </c>
      <c r="G942" s="17">
        <f t="shared" si="42"/>
        <v>-499254261</v>
      </c>
      <c r="H942" s="122"/>
    </row>
    <row r="943" spans="1:8" ht="21.95" customHeight="1">
      <c r="A943" s="14"/>
      <c r="B943" s="14"/>
      <c r="C943" s="16" t="s">
        <v>2089</v>
      </c>
      <c r="D943" s="17">
        <f>VLOOKUP(A928,'Neraca Unaudited SIMAK'!$A$2:$S$10004,15,FALSE)</f>
        <v>0</v>
      </c>
      <c r="E943" s="25">
        <f>SUMIFS('Daftar Koreksi'!$I$5:$I$92,'Daftar Koreksi'!$D$5:$D$92,'0500'!A928,'Daftar Koreksi'!$G$5:$G$92,"Jalan Irigasi Jaringan",'Daftar Koreksi'!$I$5:$I$92,"&gt;0")</f>
        <v>0</v>
      </c>
      <c r="F943" s="25">
        <f>SUMIFS('Daftar Koreksi'!$I$5:$I$92,'Daftar Koreksi'!$D$5:$D$92,'0500'!A928,'Daftar Koreksi'!$G$5:$G$92,"Jalan Irigasi Jaringan",'Daftar Koreksi'!$I$5:$I$92,"&lt;0")-SUMIFS('Daftar Koreksi'!$I$5:$I$92,'Daftar Koreksi'!$D$5:$D$92,'0500'!A928,'Daftar Koreksi'!$G$5:$G$92,"Jalan Irigasi Jaringan",'Daftar Koreksi'!$I$5:$I$92,"&lt;0")-SUMIFS('Daftar Koreksi'!$I$5:$I$92,'Daftar Koreksi'!$D$5:$D$92,'0500'!A928,'Daftar Koreksi'!$G$5:$G$92,"Jalan Irigasi Jaringan",'Daftar Koreksi'!$I$5:$I$92,"&lt;0")</f>
        <v>0</v>
      </c>
      <c r="G943" s="17">
        <f t="shared" si="42"/>
        <v>0</v>
      </c>
      <c r="H943" s="122"/>
    </row>
    <row r="944" spans="1:8" ht="21.95" customHeight="1">
      <c r="A944" s="14"/>
      <c r="B944" s="14"/>
      <c r="C944" s="16" t="s">
        <v>2090</v>
      </c>
      <c r="D944" s="17">
        <f>VLOOKUP(A928,'Neraca Unaudited SIMAK'!$A$2:$S$10004,16,FALSE)</f>
        <v>0</v>
      </c>
      <c r="E944" s="25">
        <f>SUMIFS('Daftar Koreksi'!$I$5:$I$92,'Daftar Koreksi'!$D$5:$D$92,'0500'!A928,'Daftar Koreksi'!$G$5:$G$92,"Aset Tetap Lainnya",'Daftar Koreksi'!$I$5:$I$92,"&gt;0")</f>
        <v>0</v>
      </c>
      <c r="F944" s="25">
        <f>SUMIFS('Daftar Koreksi'!$I$5:$I$92,'Daftar Koreksi'!$D$5:$D$92,'0500'!A928,'Daftar Koreksi'!$G$5:$G$92,"Aset Tetap Lainnya",'Daftar Koreksi'!$I$5:$I$92,"&lt;0")-SUMIFS('Daftar Koreksi'!$I$5:$I$92,'Daftar Koreksi'!$D$5:$D$92,'0500'!A928,'Daftar Koreksi'!$G$5:$G$92,"Aset Tetap Lainnya",'Daftar Koreksi'!$I$5:$I$92,"&lt;0")-SUMIFS('Daftar Koreksi'!$I$5:$I$92,'Daftar Koreksi'!$D$5:$D$92,'0500'!A928,'Daftar Koreksi'!$G$5:$G$92,"Aset Tetap Lainnya",'Daftar Koreksi'!$I$5:$I$92,"&lt;0")</f>
        <v>0</v>
      </c>
      <c r="G944" s="17">
        <f t="shared" si="42"/>
        <v>0</v>
      </c>
      <c r="H944" s="122"/>
    </row>
    <row r="945" spans="1:8" ht="21.95" customHeight="1">
      <c r="A945" s="14"/>
      <c r="B945" s="14"/>
      <c r="C945" s="16" t="s">
        <v>2020</v>
      </c>
      <c r="D945" s="17">
        <f>VLOOKUP(A928,'Neraca Unaudited SIMAK'!$A$2:$S$10004,17,FALSE)</f>
        <v>-5003205</v>
      </c>
      <c r="E945" s="25">
        <f>SUMIFS('Daftar Koreksi'!$I$5:$I$92,'Daftar Koreksi'!$D$5:$D$92,'0500'!A928,'Daftar Koreksi'!$G$5:$G$92,"Aset Henti Guna",'Daftar Koreksi'!$I$5:$I$92,"&gt;0")</f>
        <v>0</v>
      </c>
      <c r="F945" s="25">
        <f>SUMIFS('Daftar Koreksi'!$I$5:$I$92,'Daftar Koreksi'!$D$5:$D$92,'0500'!A928,'Daftar Koreksi'!$G$5:$G$92,"Aset Henti Guna",'Daftar Koreksi'!$I$5:$I$92,"&lt;0")-SUMIFS('Daftar Koreksi'!$I$5:$I$92,'Daftar Koreksi'!$D$5:$D$92,'0500'!A928,'Daftar Koreksi'!$G$5:$G$92,"Aset Henti Guna",'Daftar Koreksi'!$I$5:$I$92,"&lt;0")-SUMIFS('Daftar Koreksi'!$I$5:$I$92,'Daftar Koreksi'!$D$5:$D$92,'0500'!A928,'Daftar Koreksi'!$G$5:$G$92,"Aset Henti Guna",'Daftar Koreksi'!$I$5:$I$92,"&lt;0")</f>
        <v>0</v>
      </c>
      <c r="G945" s="17">
        <f t="shared" si="42"/>
        <v>-5003205</v>
      </c>
      <c r="H945" s="122"/>
    </row>
    <row r="946" spans="1:8" ht="21.95" customHeight="1">
      <c r="A946" s="14"/>
      <c r="B946" s="14"/>
      <c r="C946" s="18" t="s">
        <v>2094</v>
      </c>
      <c r="D946" s="19">
        <f>SUM(D941:D945)</f>
        <v>-1716493546</v>
      </c>
      <c r="E946" s="19">
        <f>SUM(E941:E945)</f>
        <v>0</v>
      </c>
      <c r="F946" s="19">
        <f>SUM(F941:F945)</f>
        <v>0</v>
      </c>
      <c r="G946" s="19">
        <f t="shared" si="42"/>
        <v>-1716493546</v>
      </c>
      <c r="H946" s="122"/>
    </row>
    <row r="947" spans="1:8" ht="21.95" customHeight="1">
      <c r="A947" s="14"/>
      <c r="B947" s="14"/>
      <c r="C947" s="18" t="s">
        <v>2095</v>
      </c>
      <c r="D947" s="19">
        <f>VLOOKUP(A928,'Neraca Unaudited SIMAK'!$A$2:$S$10004,18,FALSE)</f>
        <v>1735181717</v>
      </c>
      <c r="E947" s="19">
        <f>E946+E940</f>
        <v>0</v>
      </c>
      <c r="F947" s="19">
        <f>F946+F940</f>
        <v>0</v>
      </c>
      <c r="G947" s="19">
        <f t="shared" si="42"/>
        <v>1735181717</v>
      </c>
      <c r="H947" s="122"/>
    </row>
    <row r="948" spans="1:8" ht="21.95" customHeight="1">
      <c r="A948" s="14"/>
      <c r="B948" s="14"/>
      <c r="C948" s="16" t="s">
        <v>2091</v>
      </c>
      <c r="D948" s="17">
        <f>VLOOKUP(A928,'Neraca Unaudited SIMAK'!$A$2:$S$10004,19,FALSE)</f>
        <v>0</v>
      </c>
      <c r="E948" s="25"/>
      <c r="F948" s="25"/>
      <c r="G948" s="17">
        <f t="shared" si="42"/>
        <v>0</v>
      </c>
      <c r="H948" s="123"/>
    </row>
    <row r="950" spans="1:8" ht="19.5" customHeight="1">
      <c r="A950" s="11" t="str">
        <f>O44</f>
        <v>005010500401322000KD</v>
      </c>
      <c r="B950" s="11" t="str">
        <f>P44</f>
        <v>PA. Lamongan</v>
      </c>
      <c r="C950" s="12" t="str">
        <f>A950&amp;" "&amp;B950</f>
        <v>005010500401322000KD PA. Lamongan</v>
      </c>
      <c r="D950" s="13"/>
      <c r="E950" s="13"/>
      <c r="F950" s="13"/>
      <c r="G950" s="13"/>
      <c r="H950" s="11"/>
    </row>
    <row r="951" spans="1:8" ht="21.95" customHeight="1">
      <c r="A951" s="14"/>
      <c r="B951" s="14"/>
      <c r="C951" s="124" t="s">
        <v>1982</v>
      </c>
      <c r="D951" s="126" t="s">
        <v>1983</v>
      </c>
      <c r="E951" s="132" t="s">
        <v>1984</v>
      </c>
      <c r="F951" s="132"/>
      <c r="G951" s="126" t="s">
        <v>1987</v>
      </c>
      <c r="H951" s="130" t="s">
        <v>1175</v>
      </c>
    </row>
    <row r="952" spans="1:8" ht="21.95" customHeight="1">
      <c r="A952" s="14"/>
      <c r="B952" s="14"/>
      <c r="C952" s="125"/>
      <c r="D952" s="127"/>
      <c r="E952" s="26" t="s">
        <v>1985</v>
      </c>
      <c r="F952" s="26" t="s">
        <v>1986</v>
      </c>
      <c r="G952" s="127"/>
      <c r="H952" s="131"/>
    </row>
    <row r="953" spans="1:8" ht="21.95" customHeight="1">
      <c r="A953" s="14"/>
      <c r="B953" s="14"/>
      <c r="C953" s="16" t="s">
        <v>1165</v>
      </c>
      <c r="D953" s="17">
        <f>VLOOKUP(A950,'Neraca Unaudited SIMAK'!$A$2:$S$10004,3,FALSE)</f>
        <v>2434250</v>
      </c>
      <c r="E953" s="25">
        <f>SUMIFS('Daftar Koreksi'!$H$5:$H$92,'Daftar Koreksi'!$D$5:$D$92,'0500'!A950,'Daftar Koreksi'!$G$5:$G$92,"Persediaan",'Daftar Koreksi'!$H$5:$H$92,"&gt;0")</f>
        <v>0</v>
      </c>
      <c r="F953" s="25">
        <f>SUMIFS('Daftar Koreksi'!$H$5:$H$92,'Daftar Koreksi'!$D$5:$D$92,'0500'!A950,'Daftar Koreksi'!$G$5:$G$92,"Persediaan",'Daftar Koreksi'!$H$5:$H$92,"&lt;0")-SUMIFS('Daftar Koreksi'!$H$5:$H$92,'Daftar Koreksi'!$D$5:$D$92,'0500'!A950,'Daftar Koreksi'!$G$5:$G$92,"Persediaan",'Daftar Koreksi'!$H$5:$H$92,"&lt;0")-SUMIFS('Daftar Koreksi'!$H$5:$H$92,'Daftar Koreksi'!$D$5:$D$92,'0500'!A950,'Daftar Koreksi'!$G$5:$G$92,"Persediaan",'Daftar Koreksi'!$H$5:$H$92,"&lt;0")</f>
        <v>0</v>
      </c>
      <c r="G953" s="17">
        <f>D953+E953-F953</f>
        <v>2434250</v>
      </c>
      <c r="H953" s="121" t="str">
        <f>IF(ISNA(VLOOKUP(A950,'Mutasi Neraca'!$A$3:$S$914,19,FALSE)),"-",VLOOKUP(A950,'Mutasi Neraca'!$A$3:$S$914,19,FALSE))</f>
        <v>-</v>
      </c>
    </row>
    <row r="954" spans="1:8" ht="21.95" customHeight="1">
      <c r="A954" s="14"/>
      <c r="B954" s="14"/>
      <c r="C954" s="16" t="s">
        <v>1166</v>
      </c>
      <c r="D954" s="17">
        <f>VLOOKUP(A950,'Neraca Unaudited SIMAK'!$A$2:$S$10004,4,FALSE)</f>
        <v>1508800000</v>
      </c>
      <c r="E954" s="25">
        <f>SUMIFS('Daftar Koreksi'!$H$5:$H$92,'Daftar Koreksi'!$D$5:$D$92,'0500'!A950,'Daftar Koreksi'!$G$5:$G$92,"Tanah",'Daftar Koreksi'!$H$5:$H$92,"&gt;0")</f>
        <v>0</v>
      </c>
      <c r="F954" s="25">
        <f>SUMIFS('Daftar Koreksi'!$H$5:$H$92,'Daftar Koreksi'!$D$5:$D$92,'0500'!A950,'Daftar Koreksi'!$G$5:$G$92,"Tanah",'Daftar Koreksi'!$H$5:$H$92,"&lt;0")-SUMIFS('Daftar Koreksi'!$H$5:$H$92,'Daftar Koreksi'!$D$5:$D$92,'0500'!A950,'Daftar Koreksi'!$G$5:$G$92,"Tanah",'Daftar Koreksi'!$H$5:$H$92,"&lt;0")-SUMIFS('Daftar Koreksi'!$H$5:$H$92,'Daftar Koreksi'!$D$5:$D$92,'0500'!A950,'Daftar Koreksi'!$G$5:$G$92,"Tanah",'Daftar Koreksi'!$H$5:$H$92,"&lt;0")</f>
        <v>0</v>
      </c>
      <c r="G954" s="17">
        <f t="shared" ref="G954:G970" si="43">D954+E954-F954</f>
        <v>1508800000</v>
      </c>
      <c r="H954" s="122"/>
    </row>
    <row r="955" spans="1:8" ht="21.95" customHeight="1">
      <c r="A955" s="14"/>
      <c r="B955" s="14"/>
      <c r="C955" s="16" t="s">
        <v>1167</v>
      </c>
      <c r="D955" s="17">
        <f>VLOOKUP(A950,'Neraca Unaudited SIMAK'!$A$2:$S$10004,5,FALSE)</f>
        <v>1673698154</v>
      </c>
      <c r="E955" s="25">
        <f>SUMIFS('Daftar Koreksi'!$H$5:$H$92,'Daftar Koreksi'!$D$5:$D$92,'0500'!A950,'Daftar Koreksi'!$G$5:$G$92,"Peralatan dan mesin",'Daftar Koreksi'!$H$5:$H$92,"&gt;0")</f>
        <v>0</v>
      </c>
      <c r="F955" s="25">
        <f>SUMIFS('Daftar Koreksi'!$H$5:$H$92,'Daftar Koreksi'!$D$5:$D$92,'0500'!A950,'Daftar Koreksi'!$G$5:$G$92,"Peralatan dan mesin",'Daftar Koreksi'!$H$5:$H$92,"&lt;0")-SUMIFS('Daftar Koreksi'!$H$5:$H$92,'Daftar Koreksi'!$D$5:$D$92,'0500'!A950,'Daftar Koreksi'!$G$5:$G$92,"Peralatan dan mesin",'Daftar Koreksi'!$H$5:$H$92,"&lt;0")-SUMIFS('Daftar Koreksi'!$H$5:$H$92,'Daftar Koreksi'!$D$5:$D$92,'0500'!A950,'Daftar Koreksi'!$G$5:$G$92,"Peralatan dan mesin",'Daftar Koreksi'!$H$5:$H$92,"&lt;0")</f>
        <v>0</v>
      </c>
      <c r="G955" s="17">
        <f t="shared" si="43"/>
        <v>1673698154</v>
      </c>
      <c r="H955" s="122"/>
    </row>
    <row r="956" spans="1:8" ht="21.95" customHeight="1">
      <c r="A956" s="14"/>
      <c r="B956" s="14"/>
      <c r="C956" s="16" t="s">
        <v>1168</v>
      </c>
      <c r="D956" s="17">
        <f>VLOOKUP(A950,'Neraca Unaudited SIMAK'!$A$2:$S$10004,6,FALSE)</f>
        <v>4129536100</v>
      </c>
      <c r="E956" s="25">
        <f>SUMIFS('Daftar Koreksi'!$H$5:$H$92,'Daftar Koreksi'!$D$5:$D$92,'0500'!A950,'Daftar Koreksi'!$G$5:$G$92,"Gedung dan Bangunan",'Daftar Koreksi'!$H$5:$H$92,"&gt;0")</f>
        <v>0</v>
      </c>
      <c r="F956" s="25">
        <f>SUMIFS('Daftar Koreksi'!$H$5:$H$92,'Daftar Koreksi'!$D$5:$D$92,'0500'!A950,'Daftar Koreksi'!$G$5:$G$92,"Gedung dan Bangunan",'Daftar Koreksi'!$H$5:$H$92,"&lt;0")-SUMIFS('Daftar Koreksi'!$H$5:$H$92,'Daftar Koreksi'!$D$5:$D$92,'0500'!A950,'Daftar Koreksi'!$G$5:$G$92,"Gedung dan Bangunan",'Daftar Koreksi'!$H$5:$H$92,"&lt;0")-SUMIFS('Daftar Koreksi'!$H$5:$H$92,'Daftar Koreksi'!$D$5:$D$92,'0500'!A950,'Daftar Koreksi'!$G$5:$G$92,"Gedung dan Bangunan",'Daftar Koreksi'!$H$5:$H$92,"&lt;0")</f>
        <v>0</v>
      </c>
      <c r="G956" s="17">
        <f t="shared" si="43"/>
        <v>4129536100</v>
      </c>
      <c r="H956" s="122"/>
    </row>
    <row r="957" spans="1:8" ht="21.95" customHeight="1">
      <c r="A957" s="14"/>
      <c r="B957" s="14"/>
      <c r="C957" s="16" t="s">
        <v>1169</v>
      </c>
      <c r="D957" s="17">
        <f>VLOOKUP(A950,'Neraca Unaudited SIMAK'!$A$2:$S$10004,7,FALSE)</f>
        <v>0</v>
      </c>
      <c r="E957" s="25">
        <f>SUMIFS('Daftar Koreksi'!$H$5:$H$92,'Daftar Koreksi'!$D$5:$D$92,'0500'!A950,'Daftar Koreksi'!$G$5:$G$92,"Jalan Irigasi Jaringan",'Daftar Koreksi'!$H$5:$H$92,"&gt;0")</f>
        <v>0</v>
      </c>
      <c r="F957" s="25">
        <f>SUMIFS('Daftar Koreksi'!$H$5:$H$92,'Daftar Koreksi'!$D$5:$D$92,'0500'!A950,'Daftar Koreksi'!$G$5:$G$92,"Jalan Irigasi Jaringan",'Daftar Koreksi'!$H$5:$H$92,"&lt;0")-SUMIFS('Daftar Koreksi'!$H$5:$H$92,'Daftar Koreksi'!$D$5:$D$92,'0500'!A950,'Daftar Koreksi'!$G$5:$G$92,"Jalan Irigasi Jaringan",'Daftar Koreksi'!$H$5:$H$92,"&lt;0")-SUMIFS('Daftar Koreksi'!$H$5:$H$92,'Daftar Koreksi'!$D$5:$D$92,'0500'!A950,'Daftar Koreksi'!$G$5:$G$92,"Jalan Irigasi Jaringan",'Daftar Koreksi'!$H$5:$H$92,"&lt;0")</f>
        <v>0</v>
      </c>
      <c r="G957" s="17">
        <f t="shared" si="43"/>
        <v>0</v>
      </c>
      <c r="H957" s="122"/>
    </row>
    <row r="958" spans="1:8" ht="21.95" customHeight="1">
      <c r="A958" s="14"/>
      <c r="B958" s="14"/>
      <c r="C958" s="16" t="s">
        <v>1170</v>
      </c>
      <c r="D958" s="17">
        <f>VLOOKUP(A950,'Neraca Unaudited SIMAK'!$A$2:$S$10004,8,FALSE)</f>
        <v>4648270</v>
      </c>
      <c r="E958" s="25">
        <f>SUMIFS('Daftar Koreksi'!$H$5:$H$92,'Daftar Koreksi'!$D$5:$D$92,'0500'!A950,'Daftar Koreksi'!$G$5:$G$92,"Aset Tetap Lainnya",'Daftar Koreksi'!$H$5:$H$92,"&gt;0")</f>
        <v>0</v>
      </c>
      <c r="F958" s="25">
        <f>SUMIFS('Daftar Koreksi'!$H$5:$H$92,'Daftar Koreksi'!$D$5:$D$92,'0500'!A950,'Daftar Koreksi'!$G$5:$G$92,"Aset Tetap Lainnya",'Daftar Koreksi'!$H$5:$H$92,"&lt;0")-SUMIFS('Daftar Koreksi'!$H$5:$H$92,'Daftar Koreksi'!$D$5:$D$92,'0500'!A950,'Daftar Koreksi'!$G$5:$G$92,"Aset Tetap Lainnya",'Daftar Koreksi'!$H$5:$H$92,"&lt;0")-SUMIFS('Daftar Koreksi'!$H$5:$H$92,'Daftar Koreksi'!$D$5:$D$92,'0500'!A950,'Daftar Koreksi'!$G$5:$G$92,"Aset Tetap Lainnya",'Daftar Koreksi'!$H$5:$H$92,"&lt;0")</f>
        <v>0</v>
      </c>
      <c r="G958" s="17">
        <f t="shared" si="43"/>
        <v>4648270</v>
      </c>
      <c r="H958" s="122"/>
    </row>
    <row r="959" spans="1:8" ht="21.95" customHeight="1">
      <c r="A959" s="14"/>
      <c r="B959" s="14"/>
      <c r="C959" s="16" t="s">
        <v>1171</v>
      </c>
      <c r="D959" s="17">
        <f>VLOOKUP(A950,'Neraca Unaudited SIMAK'!$A$2:$S$10004,9,FALSE)</f>
        <v>0</v>
      </c>
      <c r="E959" s="25">
        <f>SUMIFS('Daftar Koreksi'!$H$5:$H$92,'Daftar Koreksi'!$D$5:$D$92,'0500'!A950,'Daftar Koreksi'!$G$5:$G$92,"Kontruksi Dalam Pengerjaan",'Daftar Koreksi'!$H$5:$H$92,"&gt;0")</f>
        <v>0</v>
      </c>
      <c r="F959" s="25">
        <f>SUMIFS('Daftar Koreksi'!$H$5:$H$92,'Daftar Koreksi'!$D$5:$D$92,'0500'!A950,'Daftar Koreksi'!$G$5:$G$92,"Kontruksi Dalam Pengerjaan",'Daftar Koreksi'!$H$5:$H$92,"&lt;0")-SUMIFS('Daftar Koreksi'!$H$5:$H$92,'Daftar Koreksi'!$D$5:$D$92,'0500'!A950,'Daftar Koreksi'!$G$5:$G$92,"Kontruksi Dalam Pengerjaan",'Daftar Koreksi'!$H$5:$H$92,"&lt;0")-SUMIFS('Daftar Koreksi'!$H$5:$H$92,'Daftar Koreksi'!$D$5:$D$92,'0500'!A950,'Daftar Koreksi'!$G$5:$G$92,"Kontruksi Dalam Pengerjaan",'Daftar Koreksi'!$H$5:$H$92,"&lt;0")</f>
        <v>0</v>
      </c>
      <c r="G959" s="17">
        <f t="shared" si="43"/>
        <v>0</v>
      </c>
      <c r="H959" s="122"/>
    </row>
    <row r="960" spans="1:8" ht="21.95" customHeight="1">
      <c r="A960" s="14"/>
      <c r="B960" s="14"/>
      <c r="C960" s="16" t="s">
        <v>1172</v>
      </c>
      <c r="D960" s="17">
        <f>VLOOKUP(A950,'Neraca Unaudited SIMAK'!$A$2:$S$10004,10,FALSE)</f>
        <v>0</v>
      </c>
      <c r="E960" s="25">
        <f>SUMIFS('Daftar Koreksi'!$H$5:$H$92,'Daftar Koreksi'!$D$5:$D$92,'0500'!A950,'Daftar Koreksi'!$G$5:$G$92,"Aset Tak Berwujud",'Daftar Koreksi'!$H$5:$H$92,"&gt;0")</f>
        <v>0</v>
      </c>
      <c r="F960" s="25">
        <f>SUMIFS('Daftar Koreksi'!$H$5:$H$92,'Daftar Koreksi'!$D$5:$D$92,'0500'!A950,'Daftar Koreksi'!$G$5:$G$92,"Aset Tak Berwujud",'Daftar Koreksi'!$H$5:$H$92,"&lt;0")-SUMIFS('Daftar Koreksi'!$H$5:$H$92,'Daftar Koreksi'!$D$5:$D$92,'0500'!A950,'Daftar Koreksi'!$G$5:$G$92,"Aset Tak Berwujud",'Daftar Koreksi'!$H$5:$H$92,"&lt;0")-SUMIFS('Daftar Koreksi'!$H$5:$H$92,'Daftar Koreksi'!$D$5:$D$92,'0500'!A950,'Daftar Koreksi'!$G$5:$G$92,"Aset Tak Berwujud",'Daftar Koreksi'!$H$5:$H$92,"&lt;0")</f>
        <v>0</v>
      </c>
      <c r="G960" s="17">
        <f t="shared" si="43"/>
        <v>0</v>
      </c>
      <c r="H960" s="122"/>
    </row>
    <row r="961" spans="1:8" ht="21.95" customHeight="1">
      <c r="A961" s="14"/>
      <c r="B961" s="14"/>
      <c r="C961" s="16" t="s">
        <v>1173</v>
      </c>
      <c r="D961" s="17">
        <f>VLOOKUP(A950,'Neraca Unaudited SIMAK'!$A$2:$S$10004,11,FALSE)</f>
        <v>35928700</v>
      </c>
      <c r="E961" s="25">
        <f>SUMIFS('Daftar Koreksi'!$H$5:$H$92,'Daftar Koreksi'!$D$5:$D$92,'0500'!A950,'Daftar Koreksi'!$G$5:$G$92,"Aset Henti Guna",'Daftar Koreksi'!$H$5:$H$92,"&gt;0")</f>
        <v>0</v>
      </c>
      <c r="F961" s="25">
        <f>SUMIFS('Daftar Koreksi'!$H$5:$H$92,'Daftar Koreksi'!$D$5:$D$92,'0500'!A950,'Daftar Koreksi'!$G$5:$G$92,"Aset Henti Guna",'Daftar Koreksi'!$H$5:$H$92,"&lt;0")-SUMIFS('Daftar Koreksi'!$H$5:$H$92,'Daftar Koreksi'!$D$5:$D$92,'0500'!A950,'Daftar Koreksi'!$G$5:$G$92,"Aset Henti Guna",'Daftar Koreksi'!$H$5:$H$92,"&lt;0")-SUMIFS('Daftar Koreksi'!$H$5:$H$92,'Daftar Koreksi'!$D$5:$D$92,'0500'!A950,'Daftar Koreksi'!$G$5:$G$92,"Aset Henti Guna",'Daftar Koreksi'!$H$5:$H$92,"&lt;0")</f>
        <v>0</v>
      </c>
      <c r="G961" s="17">
        <f t="shared" si="43"/>
        <v>35928700</v>
      </c>
      <c r="H961" s="122"/>
    </row>
    <row r="962" spans="1:8" ht="21.95" customHeight="1">
      <c r="A962" s="14"/>
      <c r="B962" s="14"/>
      <c r="C962" s="18" t="s">
        <v>2093</v>
      </c>
      <c r="D962" s="19">
        <f>VLOOKUP(A950,'Neraca Unaudited SIMAK'!$A$2:$S$10004,12,FALSE)</f>
        <v>7355045474</v>
      </c>
      <c r="E962" s="19">
        <f>SUM(E953:E961)</f>
        <v>0</v>
      </c>
      <c r="F962" s="19">
        <f>SUM(F953:F961)</f>
        <v>0</v>
      </c>
      <c r="G962" s="19">
        <f t="shared" si="43"/>
        <v>7355045474</v>
      </c>
      <c r="H962" s="122"/>
    </row>
    <row r="963" spans="1:8" ht="21.95" customHeight="1">
      <c r="A963" s="14"/>
      <c r="B963" s="14"/>
      <c r="C963" s="16" t="s">
        <v>2087</v>
      </c>
      <c r="D963" s="17">
        <f>VLOOKUP(A950,'Neraca Unaudited SIMAK'!$A$2:$S$10004,13,FALSE)</f>
        <v>-1242937214</v>
      </c>
      <c r="E963" s="25">
        <f>SUMIFS('Daftar Koreksi'!$I$5:$I$92,'Daftar Koreksi'!$D$5:$D$92,'0500'!A950,'Daftar Koreksi'!$G$5:$G$92,"Peralatan dan mesin",'Daftar Koreksi'!$I$5:$I$92,"&gt;0")</f>
        <v>0</v>
      </c>
      <c r="F963" s="25">
        <f>SUMIFS('Daftar Koreksi'!$I$5:$I$92,'Daftar Koreksi'!$D$5:$D$92,'0500'!A950,'Daftar Koreksi'!$G$5:$G$92,"Peralatan dan mesin",'Daftar Koreksi'!$I$5:$I$92,"&lt;0")-SUMIFS('Daftar Koreksi'!$I$5:$I$92,'Daftar Koreksi'!$D$5:$D$92,'0500'!A950,'Daftar Koreksi'!$G$5:$G$92,"Peralatan dan mesin",'Daftar Koreksi'!$I$5:$I$92,"&lt;0")-SUMIFS('Daftar Koreksi'!$I$5:$I$92,'Daftar Koreksi'!$D$5:$D$92,'0500'!A950,'Daftar Koreksi'!$G$5:$G$92,"Peralatan dan mesin",'Daftar Koreksi'!$I$5:$I$92,"&lt;0")</f>
        <v>0</v>
      </c>
      <c r="G963" s="17">
        <f t="shared" si="43"/>
        <v>-1242937214</v>
      </c>
      <c r="H963" s="122"/>
    </row>
    <row r="964" spans="1:8" ht="21.95" customHeight="1">
      <c r="A964" s="14"/>
      <c r="B964" s="14"/>
      <c r="C964" s="16" t="s">
        <v>2088</v>
      </c>
      <c r="D964" s="17">
        <f>VLOOKUP(A950,'Neraca Unaudited SIMAK'!$A$2:$S$10004,14,FALSE)</f>
        <v>-708081036</v>
      </c>
      <c r="E964" s="25">
        <f>SUMIFS('Daftar Koreksi'!$I$5:$I$92,'Daftar Koreksi'!$D$5:$D$92,'0500'!A950,'Daftar Koreksi'!$G$5:$G$92,"Gedung dan Bangunan",'Daftar Koreksi'!$I$5:$I$92,"&gt;0")</f>
        <v>0</v>
      </c>
      <c r="F964" s="25">
        <f>SUMIFS('Daftar Koreksi'!$I$5:$I$92,'Daftar Koreksi'!$D$5:$D$92,'0500'!A950,'Daftar Koreksi'!$G$5:$G$92,"Gedung dan Bangunan",'Daftar Koreksi'!$I$5:$I$92,"&lt;0")-SUMIFS('Daftar Koreksi'!$I$5:$I$92,'Daftar Koreksi'!$D$5:$D$92,'0500'!A950,'Daftar Koreksi'!$G$5:$G$92,"Gedung dan Bangunan",'Daftar Koreksi'!$I$5:$I$92,"&lt;0")-SUMIFS('Daftar Koreksi'!$I$5:$I$92,'Daftar Koreksi'!$D$5:$D$92,'0500'!A950,'Daftar Koreksi'!$G$5:$G$92,"Gedung dan Bangunan",'Daftar Koreksi'!$I$5:$I$92,"&lt;0")</f>
        <v>0</v>
      </c>
      <c r="G964" s="17">
        <f t="shared" si="43"/>
        <v>-708081036</v>
      </c>
      <c r="H964" s="122"/>
    </row>
    <row r="965" spans="1:8" ht="21.95" customHeight="1">
      <c r="A965" s="14"/>
      <c r="B965" s="14"/>
      <c r="C965" s="16" t="s">
        <v>2089</v>
      </c>
      <c r="D965" s="17">
        <f>VLOOKUP(A950,'Neraca Unaudited SIMAK'!$A$2:$S$10004,15,FALSE)</f>
        <v>0</v>
      </c>
      <c r="E965" s="25">
        <f>SUMIFS('Daftar Koreksi'!$I$5:$I$92,'Daftar Koreksi'!$D$5:$D$92,'0500'!A950,'Daftar Koreksi'!$G$5:$G$92,"Jalan Irigasi Jaringan",'Daftar Koreksi'!$I$5:$I$92,"&gt;0")</f>
        <v>0</v>
      </c>
      <c r="F965" s="25">
        <f>SUMIFS('Daftar Koreksi'!$I$5:$I$92,'Daftar Koreksi'!$D$5:$D$92,'0500'!A950,'Daftar Koreksi'!$G$5:$G$92,"Jalan Irigasi Jaringan",'Daftar Koreksi'!$I$5:$I$92,"&lt;0")-SUMIFS('Daftar Koreksi'!$I$5:$I$92,'Daftar Koreksi'!$D$5:$D$92,'0500'!A950,'Daftar Koreksi'!$G$5:$G$92,"Jalan Irigasi Jaringan",'Daftar Koreksi'!$I$5:$I$92,"&lt;0")-SUMIFS('Daftar Koreksi'!$I$5:$I$92,'Daftar Koreksi'!$D$5:$D$92,'0500'!A950,'Daftar Koreksi'!$G$5:$G$92,"Jalan Irigasi Jaringan",'Daftar Koreksi'!$I$5:$I$92,"&lt;0")</f>
        <v>0</v>
      </c>
      <c r="G965" s="17">
        <f t="shared" si="43"/>
        <v>0</v>
      </c>
      <c r="H965" s="122"/>
    </row>
    <row r="966" spans="1:8" ht="21.95" customHeight="1">
      <c r="A966" s="14"/>
      <c r="B966" s="14"/>
      <c r="C966" s="16" t="s">
        <v>2090</v>
      </c>
      <c r="D966" s="17">
        <f>VLOOKUP(A950,'Neraca Unaudited SIMAK'!$A$2:$S$10004,16,FALSE)</f>
        <v>0</v>
      </c>
      <c r="E966" s="25">
        <f>SUMIFS('Daftar Koreksi'!$I$5:$I$92,'Daftar Koreksi'!$D$5:$D$92,'0500'!A950,'Daftar Koreksi'!$G$5:$G$92,"Aset Tetap Lainnya",'Daftar Koreksi'!$I$5:$I$92,"&gt;0")</f>
        <v>0</v>
      </c>
      <c r="F966" s="25">
        <f>SUMIFS('Daftar Koreksi'!$I$5:$I$92,'Daftar Koreksi'!$D$5:$D$92,'0500'!A950,'Daftar Koreksi'!$G$5:$G$92,"Aset Tetap Lainnya",'Daftar Koreksi'!$I$5:$I$92,"&lt;0")-SUMIFS('Daftar Koreksi'!$I$5:$I$92,'Daftar Koreksi'!$D$5:$D$92,'0500'!A950,'Daftar Koreksi'!$G$5:$G$92,"Aset Tetap Lainnya",'Daftar Koreksi'!$I$5:$I$92,"&lt;0")-SUMIFS('Daftar Koreksi'!$I$5:$I$92,'Daftar Koreksi'!$D$5:$D$92,'0500'!A950,'Daftar Koreksi'!$G$5:$G$92,"Aset Tetap Lainnya",'Daftar Koreksi'!$I$5:$I$92,"&lt;0")</f>
        <v>0</v>
      </c>
      <c r="G966" s="17">
        <f t="shared" si="43"/>
        <v>0</v>
      </c>
      <c r="H966" s="122"/>
    </row>
    <row r="967" spans="1:8" ht="21.95" customHeight="1">
      <c r="A967" s="14"/>
      <c r="B967" s="14"/>
      <c r="C967" s="16" t="s">
        <v>2020</v>
      </c>
      <c r="D967" s="17">
        <f>VLOOKUP(A950,'Neraca Unaudited SIMAK'!$A$2:$S$10004,17,FALSE)</f>
        <v>-35823700</v>
      </c>
      <c r="E967" s="25">
        <f>SUMIFS('Daftar Koreksi'!$I$5:$I$92,'Daftar Koreksi'!$D$5:$D$92,'0500'!A950,'Daftar Koreksi'!$G$5:$G$92,"Aset Henti Guna",'Daftar Koreksi'!$I$5:$I$92,"&gt;0")</f>
        <v>0</v>
      </c>
      <c r="F967" s="25">
        <f>SUMIFS('Daftar Koreksi'!$I$5:$I$92,'Daftar Koreksi'!$D$5:$D$92,'0500'!A950,'Daftar Koreksi'!$G$5:$G$92,"Aset Henti Guna",'Daftar Koreksi'!$I$5:$I$92,"&lt;0")-SUMIFS('Daftar Koreksi'!$I$5:$I$92,'Daftar Koreksi'!$D$5:$D$92,'0500'!A950,'Daftar Koreksi'!$G$5:$G$92,"Aset Henti Guna",'Daftar Koreksi'!$I$5:$I$92,"&lt;0")-SUMIFS('Daftar Koreksi'!$I$5:$I$92,'Daftar Koreksi'!$D$5:$D$92,'0500'!A950,'Daftar Koreksi'!$G$5:$G$92,"Aset Henti Guna",'Daftar Koreksi'!$I$5:$I$92,"&lt;0")</f>
        <v>0</v>
      </c>
      <c r="G967" s="17">
        <f t="shared" si="43"/>
        <v>-35823700</v>
      </c>
      <c r="H967" s="122"/>
    </row>
    <row r="968" spans="1:8" ht="21.95" customHeight="1">
      <c r="A968" s="14"/>
      <c r="B968" s="14"/>
      <c r="C968" s="18" t="s">
        <v>2094</v>
      </c>
      <c r="D968" s="19">
        <f>SUM(D963:D967)</f>
        <v>-1986841950</v>
      </c>
      <c r="E968" s="19">
        <f>SUM(E963:E967)</f>
        <v>0</v>
      </c>
      <c r="F968" s="19">
        <f>SUM(F963:F967)</f>
        <v>0</v>
      </c>
      <c r="G968" s="19">
        <f t="shared" si="43"/>
        <v>-1986841950</v>
      </c>
      <c r="H968" s="122"/>
    </row>
    <row r="969" spans="1:8" ht="21.95" customHeight="1">
      <c r="A969" s="14"/>
      <c r="B969" s="14"/>
      <c r="C969" s="18" t="s">
        <v>2095</v>
      </c>
      <c r="D969" s="19">
        <f>VLOOKUP(A950,'Neraca Unaudited SIMAK'!$A$2:$S$10004,18,FALSE)</f>
        <v>5368203524</v>
      </c>
      <c r="E969" s="19">
        <f>E968+E962</f>
        <v>0</v>
      </c>
      <c r="F969" s="19">
        <f>F968+F962</f>
        <v>0</v>
      </c>
      <c r="G969" s="19">
        <f t="shared" si="43"/>
        <v>5368203524</v>
      </c>
      <c r="H969" s="122"/>
    </row>
    <row r="970" spans="1:8" ht="21.95" customHeight="1">
      <c r="A970" s="14"/>
      <c r="B970" s="14"/>
      <c r="C970" s="16" t="s">
        <v>2091</v>
      </c>
      <c r="D970" s="17">
        <f>VLOOKUP(A950,'Neraca Unaudited SIMAK'!$A$2:$S$10004,19,FALSE)</f>
        <v>0</v>
      </c>
      <c r="E970" s="25"/>
      <c r="F970" s="25"/>
      <c r="G970" s="17">
        <f t="shared" si="43"/>
        <v>0</v>
      </c>
      <c r="H970" s="123"/>
    </row>
    <row r="972" spans="1:8" ht="19.5" customHeight="1">
      <c r="A972" s="11" t="str">
        <f>O45</f>
        <v>005010500401338000KD</v>
      </c>
      <c r="B972" s="11" t="str">
        <f>P45</f>
        <v>PA. Jember</v>
      </c>
      <c r="C972" s="12" t="str">
        <f>A972&amp;" "&amp;B972</f>
        <v>005010500401338000KD PA. Jember</v>
      </c>
      <c r="D972" s="13"/>
      <c r="E972" s="13"/>
      <c r="F972" s="13"/>
      <c r="G972" s="13"/>
      <c r="H972" s="11"/>
    </row>
    <row r="973" spans="1:8" ht="21.95" customHeight="1">
      <c r="A973" s="14"/>
      <c r="B973" s="14"/>
      <c r="C973" s="124" t="s">
        <v>1982</v>
      </c>
      <c r="D973" s="126" t="s">
        <v>1983</v>
      </c>
      <c r="E973" s="132" t="s">
        <v>1984</v>
      </c>
      <c r="F973" s="132"/>
      <c r="G973" s="126" t="s">
        <v>1987</v>
      </c>
      <c r="H973" s="130" t="s">
        <v>1175</v>
      </c>
    </row>
    <row r="974" spans="1:8" ht="21.95" customHeight="1">
      <c r="A974" s="14"/>
      <c r="B974" s="14"/>
      <c r="C974" s="125"/>
      <c r="D974" s="127"/>
      <c r="E974" s="26" t="s">
        <v>1985</v>
      </c>
      <c r="F974" s="26" t="s">
        <v>1986</v>
      </c>
      <c r="G974" s="127"/>
      <c r="H974" s="131"/>
    </row>
    <row r="975" spans="1:8" ht="21.95" customHeight="1">
      <c r="A975" s="14"/>
      <c r="B975" s="14"/>
      <c r="C975" s="16" t="s">
        <v>1165</v>
      </c>
      <c r="D975" s="17">
        <f>VLOOKUP(A972,'Neraca Unaudited SIMAK'!$A$2:$S$10004,3,FALSE)</f>
        <v>2081500</v>
      </c>
      <c r="E975" s="25">
        <f>SUMIFS('Daftar Koreksi'!$H$5:$H$92,'Daftar Koreksi'!$D$5:$D$92,'0500'!A972,'Daftar Koreksi'!$G$5:$G$92,"Persediaan",'Daftar Koreksi'!$H$5:$H$92,"&gt;0")</f>
        <v>0</v>
      </c>
      <c r="F975" s="25">
        <f>SUMIFS('Daftar Koreksi'!$H$5:$H$92,'Daftar Koreksi'!$D$5:$D$92,'0500'!A972,'Daftar Koreksi'!$G$5:$G$92,"Persediaan",'Daftar Koreksi'!$H$5:$H$92,"&lt;0")-SUMIFS('Daftar Koreksi'!$H$5:$H$92,'Daftar Koreksi'!$D$5:$D$92,'0500'!A972,'Daftar Koreksi'!$G$5:$G$92,"Persediaan",'Daftar Koreksi'!$H$5:$H$92,"&lt;0")-SUMIFS('Daftar Koreksi'!$H$5:$H$92,'Daftar Koreksi'!$D$5:$D$92,'0500'!A972,'Daftar Koreksi'!$G$5:$G$92,"Persediaan",'Daftar Koreksi'!$H$5:$H$92,"&lt;0")</f>
        <v>0</v>
      </c>
      <c r="G975" s="17">
        <f>D975+E975-F975</f>
        <v>2081500</v>
      </c>
      <c r="H975" s="121" t="str">
        <f>IF(ISNA(VLOOKUP(A972,'Mutasi Neraca'!$A$3:$S$914,19,FALSE)),"-",VLOOKUP(A972,'Mutasi Neraca'!$A$3:$S$914,19,FALSE))</f>
        <v>-</v>
      </c>
    </row>
    <row r="976" spans="1:8" ht="21.95" customHeight="1">
      <c r="A976" s="14"/>
      <c r="B976" s="14"/>
      <c r="C976" s="16" t="s">
        <v>1166</v>
      </c>
      <c r="D976" s="17">
        <f>VLOOKUP(A972,'Neraca Unaudited SIMAK'!$A$2:$S$10004,4,FALSE)</f>
        <v>4420125000</v>
      </c>
      <c r="E976" s="25">
        <f>SUMIFS('Daftar Koreksi'!$H$5:$H$92,'Daftar Koreksi'!$D$5:$D$92,'0500'!A972,'Daftar Koreksi'!$G$5:$G$92,"Tanah",'Daftar Koreksi'!$H$5:$H$92,"&gt;0")</f>
        <v>0</v>
      </c>
      <c r="F976" s="25">
        <f>SUMIFS('Daftar Koreksi'!$H$5:$H$92,'Daftar Koreksi'!$D$5:$D$92,'0500'!A972,'Daftar Koreksi'!$G$5:$G$92,"Tanah",'Daftar Koreksi'!$H$5:$H$92,"&lt;0")-SUMIFS('Daftar Koreksi'!$H$5:$H$92,'Daftar Koreksi'!$D$5:$D$92,'0500'!A972,'Daftar Koreksi'!$G$5:$G$92,"Tanah",'Daftar Koreksi'!$H$5:$H$92,"&lt;0")-SUMIFS('Daftar Koreksi'!$H$5:$H$92,'Daftar Koreksi'!$D$5:$D$92,'0500'!A972,'Daftar Koreksi'!$G$5:$G$92,"Tanah",'Daftar Koreksi'!$H$5:$H$92,"&lt;0")</f>
        <v>0</v>
      </c>
      <c r="G976" s="17">
        <f t="shared" ref="G976:G992" si="44">D976+E976-F976</f>
        <v>4420125000</v>
      </c>
      <c r="H976" s="122"/>
    </row>
    <row r="977" spans="1:8" ht="21.95" customHeight="1">
      <c r="A977" s="14"/>
      <c r="B977" s="14"/>
      <c r="C977" s="16" t="s">
        <v>1167</v>
      </c>
      <c r="D977" s="17">
        <f>VLOOKUP(A972,'Neraca Unaudited SIMAK'!$A$2:$S$10004,5,FALSE)</f>
        <v>1659738913</v>
      </c>
      <c r="E977" s="25">
        <f>SUMIFS('Daftar Koreksi'!$H$5:$H$92,'Daftar Koreksi'!$D$5:$D$92,'0500'!A972,'Daftar Koreksi'!$G$5:$G$92,"Peralatan dan mesin",'Daftar Koreksi'!$H$5:$H$92,"&gt;0")</f>
        <v>0</v>
      </c>
      <c r="F977" s="25">
        <f>SUMIFS('Daftar Koreksi'!$H$5:$H$92,'Daftar Koreksi'!$D$5:$D$92,'0500'!A972,'Daftar Koreksi'!$G$5:$G$92,"Peralatan dan mesin",'Daftar Koreksi'!$H$5:$H$92,"&lt;0")-SUMIFS('Daftar Koreksi'!$H$5:$H$92,'Daftar Koreksi'!$D$5:$D$92,'0500'!A972,'Daftar Koreksi'!$G$5:$G$92,"Peralatan dan mesin",'Daftar Koreksi'!$H$5:$H$92,"&lt;0")-SUMIFS('Daftar Koreksi'!$H$5:$H$92,'Daftar Koreksi'!$D$5:$D$92,'0500'!A972,'Daftar Koreksi'!$G$5:$G$92,"Peralatan dan mesin",'Daftar Koreksi'!$H$5:$H$92,"&lt;0")</f>
        <v>0</v>
      </c>
      <c r="G977" s="17">
        <f t="shared" si="44"/>
        <v>1659738913</v>
      </c>
      <c r="H977" s="122"/>
    </row>
    <row r="978" spans="1:8" ht="21.95" customHeight="1">
      <c r="A978" s="14"/>
      <c r="B978" s="14"/>
      <c r="C978" s="16" t="s">
        <v>1168</v>
      </c>
      <c r="D978" s="17">
        <f>VLOOKUP(A972,'Neraca Unaudited SIMAK'!$A$2:$S$10004,6,FALSE)</f>
        <v>9487042000</v>
      </c>
      <c r="E978" s="25">
        <f>SUMIFS('Daftar Koreksi'!$H$5:$H$92,'Daftar Koreksi'!$D$5:$D$92,'0500'!A972,'Daftar Koreksi'!$G$5:$G$92,"Gedung dan Bangunan",'Daftar Koreksi'!$H$5:$H$92,"&gt;0")</f>
        <v>0</v>
      </c>
      <c r="F978" s="25">
        <f>SUMIFS('Daftar Koreksi'!$H$5:$H$92,'Daftar Koreksi'!$D$5:$D$92,'0500'!A972,'Daftar Koreksi'!$G$5:$G$92,"Gedung dan Bangunan",'Daftar Koreksi'!$H$5:$H$92,"&lt;0")-SUMIFS('Daftar Koreksi'!$H$5:$H$92,'Daftar Koreksi'!$D$5:$D$92,'0500'!A972,'Daftar Koreksi'!$G$5:$G$92,"Gedung dan Bangunan",'Daftar Koreksi'!$H$5:$H$92,"&lt;0")-SUMIFS('Daftar Koreksi'!$H$5:$H$92,'Daftar Koreksi'!$D$5:$D$92,'0500'!A972,'Daftar Koreksi'!$G$5:$G$92,"Gedung dan Bangunan",'Daftar Koreksi'!$H$5:$H$92,"&lt;0")</f>
        <v>0</v>
      </c>
      <c r="G978" s="17">
        <f t="shared" si="44"/>
        <v>9487042000</v>
      </c>
      <c r="H978" s="122"/>
    </row>
    <row r="979" spans="1:8" ht="21.95" customHeight="1">
      <c r="A979" s="14"/>
      <c r="B979" s="14"/>
      <c r="C979" s="16" t="s">
        <v>1169</v>
      </c>
      <c r="D979" s="17">
        <f>VLOOKUP(A972,'Neraca Unaudited SIMAK'!$A$2:$S$10004,7,FALSE)</f>
        <v>44491875</v>
      </c>
      <c r="E979" s="25">
        <f>SUMIFS('Daftar Koreksi'!$H$5:$H$92,'Daftar Koreksi'!$D$5:$D$92,'0500'!A972,'Daftar Koreksi'!$G$5:$G$92,"Jalan Irigasi Jaringan",'Daftar Koreksi'!$H$5:$H$92,"&gt;0")</f>
        <v>0</v>
      </c>
      <c r="F979" s="25">
        <f>SUMIFS('Daftar Koreksi'!$H$5:$H$92,'Daftar Koreksi'!$D$5:$D$92,'0500'!A972,'Daftar Koreksi'!$G$5:$G$92,"Jalan Irigasi Jaringan",'Daftar Koreksi'!$H$5:$H$92,"&lt;0")-SUMIFS('Daftar Koreksi'!$H$5:$H$92,'Daftar Koreksi'!$D$5:$D$92,'0500'!A972,'Daftar Koreksi'!$G$5:$G$92,"Jalan Irigasi Jaringan",'Daftar Koreksi'!$H$5:$H$92,"&lt;0")-SUMIFS('Daftar Koreksi'!$H$5:$H$92,'Daftar Koreksi'!$D$5:$D$92,'0500'!A972,'Daftar Koreksi'!$G$5:$G$92,"Jalan Irigasi Jaringan",'Daftar Koreksi'!$H$5:$H$92,"&lt;0")</f>
        <v>0</v>
      </c>
      <c r="G979" s="17">
        <f t="shared" si="44"/>
        <v>44491875</v>
      </c>
      <c r="H979" s="122"/>
    </row>
    <row r="980" spans="1:8" ht="21.95" customHeight="1">
      <c r="A980" s="14"/>
      <c r="B980" s="14"/>
      <c r="C980" s="16" t="s">
        <v>1170</v>
      </c>
      <c r="D980" s="17">
        <f>VLOOKUP(A972,'Neraca Unaudited SIMAK'!$A$2:$S$10004,8,FALSE)</f>
        <v>12697270</v>
      </c>
      <c r="E980" s="25">
        <f>SUMIFS('Daftar Koreksi'!$H$5:$H$92,'Daftar Koreksi'!$D$5:$D$92,'0500'!A972,'Daftar Koreksi'!$G$5:$G$92,"Aset Tetap Lainnya",'Daftar Koreksi'!$H$5:$H$92,"&gt;0")</f>
        <v>0</v>
      </c>
      <c r="F980" s="25">
        <f>SUMIFS('Daftar Koreksi'!$H$5:$H$92,'Daftar Koreksi'!$D$5:$D$92,'0500'!A972,'Daftar Koreksi'!$G$5:$G$92,"Aset Tetap Lainnya",'Daftar Koreksi'!$H$5:$H$92,"&lt;0")-SUMIFS('Daftar Koreksi'!$H$5:$H$92,'Daftar Koreksi'!$D$5:$D$92,'0500'!A972,'Daftar Koreksi'!$G$5:$G$92,"Aset Tetap Lainnya",'Daftar Koreksi'!$H$5:$H$92,"&lt;0")-SUMIFS('Daftar Koreksi'!$H$5:$H$92,'Daftar Koreksi'!$D$5:$D$92,'0500'!A972,'Daftar Koreksi'!$G$5:$G$92,"Aset Tetap Lainnya",'Daftar Koreksi'!$H$5:$H$92,"&lt;0")</f>
        <v>0</v>
      </c>
      <c r="G980" s="17">
        <f t="shared" si="44"/>
        <v>12697270</v>
      </c>
      <c r="H980" s="122"/>
    </row>
    <row r="981" spans="1:8" ht="21.95" customHeight="1">
      <c r="A981" s="14"/>
      <c r="B981" s="14"/>
      <c r="C981" s="16" t="s">
        <v>1171</v>
      </c>
      <c r="D981" s="17">
        <f>VLOOKUP(A972,'Neraca Unaudited SIMAK'!$A$2:$S$10004,9,FALSE)</f>
        <v>0</v>
      </c>
      <c r="E981" s="25">
        <f>SUMIFS('Daftar Koreksi'!$H$5:$H$92,'Daftar Koreksi'!$D$5:$D$92,'0500'!A972,'Daftar Koreksi'!$G$5:$G$92,"Kontruksi Dalam Pengerjaan",'Daftar Koreksi'!$H$5:$H$92,"&gt;0")</f>
        <v>0</v>
      </c>
      <c r="F981" s="25">
        <f>SUMIFS('Daftar Koreksi'!$H$5:$H$92,'Daftar Koreksi'!$D$5:$D$92,'0500'!A972,'Daftar Koreksi'!$G$5:$G$92,"Kontruksi Dalam Pengerjaan",'Daftar Koreksi'!$H$5:$H$92,"&lt;0")-SUMIFS('Daftar Koreksi'!$H$5:$H$92,'Daftar Koreksi'!$D$5:$D$92,'0500'!A972,'Daftar Koreksi'!$G$5:$G$92,"Kontruksi Dalam Pengerjaan",'Daftar Koreksi'!$H$5:$H$92,"&lt;0")-SUMIFS('Daftar Koreksi'!$H$5:$H$92,'Daftar Koreksi'!$D$5:$D$92,'0500'!A972,'Daftar Koreksi'!$G$5:$G$92,"Kontruksi Dalam Pengerjaan",'Daftar Koreksi'!$H$5:$H$92,"&lt;0")</f>
        <v>0</v>
      </c>
      <c r="G981" s="17">
        <f t="shared" si="44"/>
        <v>0</v>
      </c>
      <c r="H981" s="122"/>
    </row>
    <row r="982" spans="1:8" ht="21.95" customHeight="1">
      <c r="A982" s="14"/>
      <c r="B982" s="14"/>
      <c r="C982" s="16" t="s">
        <v>1172</v>
      </c>
      <c r="D982" s="17">
        <f>VLOOKUP(A972,'Neraca Unaudited SIMAK'!$A$2:$S$10004,10,FALSE)</f>
        <v>0</v>
      </c>
      <c r="E982" s="25">
        <f>SUMIFS('Daftar Koreksi'!$H$5:$H$92,'Daftar Koreksi'!$D$5:$D$92,'0500'!A972,'Daftar Koreksi'!$G$5:$G$92,"Aset Tak Berwujud",'Daftar Koreksi'!$H$5:$H$92,"&gt;0")</f>
        <v>0</v>
      </c>
      <c r="F982" s="25">
        <f>SUMIFS('Daftar Koreksi'!$H$5:$H$92,'Daftar Koreksi'!$D$5:$D$92,'0500'!A972,'Daftar Koreksi'!$G$5:$G$92,"Aset Tak Berwujud",'Daftar Koreksi'!$H$5:$H$92,"&lt;0")-SUMIFS('Daftar Koreksi'!$H$5:$H$92,'Daftar Koreksi'!$D$5:$D$92,'0500'!A972,'Daftar Koreksi'!$G$5:$G$92,"Aset Tak Berwujud",'Daftar Koreksi'!$H$5:$H$92,"&lt;0")-SUMIFS('Daftar Koreksi'!$H$5:$H$92,'Daftar Koreksi'!$D$5:$D$92,'0500'!A972,'Daftar Koreksi'!$G$5:$G$92,"Aset Tak Berwujud",'Daftar Koreksi'!$H$5:$H$92,"&lt;0")</f>
        <v>0</v>
      </c>
      <c r="G982" s="17">
        <f t="shared" si="44"/>
        <v>0</v>
      </c>
      <c r="H982" s="122"/>
    </row>
    <row r="983" spans="1:8" ht="21.95" customHeight="1">
      <c r="A983" s="14"/>
      <c r="B983" s="14"/>
      <c r="C983" s="16" t="s">
        <v>1173</v>
      </c>
      <c r="D983" s="17">
        <f>VLOOKUP(A972,'Neraca Unaudited SIMAK'!$A$2:$S$10004,11,FALSE)</f>
        <v>147840380</v>
      </c>
      <c r="E983" s="25">
        <f>SUMIFS('Daftar Koreksi'!$H$5:$H$92,'Daftar Koreksi'!$D$5:$D$92,'0500'!A972,'Daftar Koreksi'!$G$5:$G$92,"Aset Henti Guna",'Daftar Koreksi'!$H$5:$H$92,"&gt;0")</f>
        <v>0</v>
      </c>
      <c r="F983" s="25">
        <f>SUMIFS('Daftar Koreksi'!$H$5:$H$92,'Daftar Koreksi'!$D$5:$D$92,'0500'!A972,'Daftar Koreksi'!$G$5:$G$92,"Aset Henti Guna",'Daftar Koreksi'!$H$5:$H$92,"&lt;0")-SUMIFS('Daftar Koreksi'!$H$5:$H$92,'Daftar Koreksi'!$D$5:$D$92,'0500'!A972,'Daftar Koreksi'!$G$5:$G$92,"Aset Henti Guna",'Daftar Koreksi'!$H$5:$H$92,"&lt;0")-SUMIFS('Daftar Koreksi'!$H$5:$H$92,'Daftar Koreksi'!$D$5:$D$92,'0500'!A972,'Daftar Koreksi'!$G$5:$G$92,"Aset Henti Guna",'Daftar Koreksi'!$H$5:$H$92,"&lt;0")</f>
        <v>0</v>
      </c>
      <c r="G983" s="17">
        <f t="shared" si="44"/>
        <v>147840380</v>
      </c>
      <c r="H983" s="122"/>
    </row>
    <row r="984" spans="1:8" ht="21.95" customHeight="1">
      <c r="A984" s="14"/>
      <c r="B984" s="14"/>
      <c r="C984" s="18" t="s">
        <v>2093</v>
      </c>
      <c r="D984" s="19">
        <f>VLOOKUP(A972,'Neraca Unaudited SIMAK'!$A$2:$S$10004,12,FALSE)</f>
        <v>15774016938</v>
      </c>
      <c r="E984" s="19">
        <f>SUM(E975:E983)</f>
        <v>0</v>
      </c>
      <c r="F984" s="19">
        <f>SUM(F975:F983)</f>
        <v>0</v>
      </c>
      <c r="G984" s="19">
        <f t="shared" si="44"/>
        <v>15774016938</v>
      </c>
      <c r="H984" s="122"/>
    </row>
    <row r="985" spans="1:8" ht="21.95" customHeight="1">
      <c r="A985" s="14"/>
      <c r="B985" s="14"/>
      <c r="C985" s="16" t="s">
        <v>2087</v>
      </c>
      <c r="D985" s="17">
        <f>VLOOKUP(A972,'Neraca Unaudited SIMAK'!$A$2:$S$10004,13,FALSE)</f>
        <v>-1090041098</v>
      </c>
      <c r="E985" s="25">
        <f>SUMIFS('Daftar Koreksi'!$I$5:$I$92,'Daftar Koreksi'!$D$5:$D$92,'0500'!A972,'Daftar Koreksi'!$G$5:$G$92,"Peralatan dan mesin",'Daftar Koreksi'!$I$5:$I$92,"&gt;0")</f>
        <v>0</v>
      </c>
      <c r="F985" s="25">
        <f>SUMIFS('Daftar Koreksi'!$I$5:$I$92,'Daftar Koreksi'!$D$5:$D$92,'0500'!A972,'Daftar Koreksi'!$G$5:$G$92,"Peralatan dan mesin",'Daftar Koreksi'!$I$5:$I$92,"&lt;0")-SUMIFS('Daftar Koreksi'!$I$5:$I$92,'Daftar Koreksi'!$D$5:$D$92,'0500'!A972,'Daftar Koreksi'!$G$5:$G$92,"Peralatan dan mesin",'Daftar Koreksi'!$I$5:$I$92,"&lt;0")-SUMIFS('Daftar Koreksi'!$I$5:$I$92,'Daftar Koreksi'!$D$5:$D$92,'0500'!A972,'Daftar Koreksi'!$G$5:$G$92,"Peralatan dan mesin",'Daftar Koreksi'!$I$5:$I$92,"&lt;0")</f>
        <v>0</v>
      </c>
      <c r="G985" s="17">
        <f t="shared" si="44"/>
        <v>-1090041098</v>
      </c>
      <c r="H985" s="122"/>
    </row>
    <row r="986" spans="1:8" ht="21.95" customHeight="1">
      <c r="A986" s="14"/>
      <c r="B986" s="14"/>
      <c r="C986" s="16" t="s">
        <v>2088</v>
      </c>
      <c r="D986" s="17">
        <f>VLOOKUP(A972,'Neraca Unaudited SIMAK'!$A$2:$S$10004,14,FALSE)</f>
        <v>-461434572</v>
      </c>
      <c r="E986" s="25">
        <f>SUMIFS('Daftar Koreksi'!$I$5:$I$92,'Daftar Koreksi'!$D$5:$D$92,'0500'!A972,'Daftar Koreksi'!$G$5:$G$92,"Gedung dan Bangunan",'Daftar Koreksi'!$I$5:$I$92,"&gt;0")</f>
        <v>0</v>
      </c>
      <c r="F986" s="25">
        <f>SUMIFS('Daftar Koreksi'!$I$5:$I$92,'Daftar Koreksi'!$D$5:$D$92,'0500'!A972,'Daftar Koreksi'!$G$5:$G$92,"Gedung dan Bangunan",'Daftar Koreksi'!$I$5:$I$92,"&lt;0")-SUMIFS('Daftar Koreksi'!$I$5:$I$92,'Daftar Koreksi'!$D$5:$D$92,'0500'!A972,'Daftar Koreksi'!$G$5:$G$92,"Gedung dan Bangunan",'Daftar Koreksi'!$I$5:$I$92,"&lt;0")-SUMIFS('Daftar Koreksi'!$I$5:$I$92,'Daftar Koreksi'!$D$5:$D$92,'0500'!A972,'Daftar Koreksi'!$G$5:$G$92,"Gedung dan Bangunan",'Daftar Koreksi'!$I$5:$I$92,"&lt;0")</f>
        <v>0</v>
      </c>
      <c r="G986" s="17">
        <f t="shared" si="44"/>
        <v>-461434572</v>
      </c>
      <c r="H986" s="122"/>
    </row>
    <row r="987" spans="1:8" ht="21.95" customHeight="1">
      <c r="A987" s="14"/>
      <c r="B987" s="14"/>
      <c r="C987" s="16" t="s">
        <v>2089</v>
      </c>
      <c r="D987" s="17">
        <f>VLOOKUP(A972,'Neraca Unaudited SIMAK'!$A$2:$S$10004,15,FALSE)</f>
        <v>-6515440</v>
      </c>
      <c r="E987" s="25">
        <f>SUMIFS('Daftar Koreksi'!$I$5:$I$92,'Daftar Koreksi'!$D$5:$D$92,'0500'!A972,'Daftar Koreksi'!$G$5:$G$92,"Jalan Irigasi Jaringan",'Daftar Koreksi'!$I$5:$I$92,"&gt;0")</f>
        <v>0</v>
      </c>
      <c r="F987" s="25">
        <f>SUMIFS('Daftar Koreksi'!$I$5:$I$92,'Daftar Koreksi'!$D$5:$D$92,'0500'!A972,'Daftar Koreksi'!$G$5:$G$92,"Jalan Irigasi Jaringan",'Daftar Koreksi'!$I$5:$I$92,"&lt;0")-SUMIFS('Daftar Koreksi'!$I$5:$I$92,'Daftar Koreksi'!$D$5:$D$92,'0500'!A972,'Daftar Koreksi'!$G$5:$G$92,"Jalan Irigasi Jaringan",'Daftar Koreksi'!$I$5:$I$92,"&lt;0")-SUMIFS('Daftar Koreksi'!$I$5:$I$92,'Daftar Koreksi'!$D$5:$D$92,'0500'!A972,'Daftar Koreksi'!$G$5:$G$92,"Jalan Irigasi Jaringan",'Daftar Koreksi'!$I$5:$I$92,"&lt;0")</f>
        <v>0</v>
      </c>
      <c r="G987" s="17">
        <f t="shared" si="44"/>
        <v>-6515440</v>
      </c>
      <c r="H987" s="122"/>
    </row>
    <row r="988" spans="1:8" ht="21.95" customHeight="1">
      <c r="A988" s="14"/>
      <c r="B988" s="14"/>
      <c r="C988" s="16" t="s">
        <v>2090</v>
      </c>
      <c r="D988" s="17">
        <f>VLOOKUP(A972,'Neraca Unaudited SIMAK'!$A$2:$S$10004,16,FALSE)</f>
        <v>0</v>
      </c>
      <c r="E988" s="25">
        <f>SUMIFS('Daftar Koreksi'!$I$5:$I$92,'Daftar Koreksi'!$D$5:$D$92,'0500'!A972,'Daftar Koreksi'!$G$5:$G$92,"Aset Tetap Lainnya",'Daftar Koreksi'!$I$5:$I$92,"&gt;0")</f>
        <v>0</v>
      </c>
      <c r="F988" s="25">
        <f>SUMIFS('Daftar Koreksi'!$I$5:$I$92,'Daftar Koreksi'!$D$5:$D$92,'0500'!A972,'Daftar Koreksi'!$G$5:$G$92,"Aset Tetap Lainnya",'Daftar Koreksi'!$I$5:$I$92,"&lt;0")-SUMIFS('Daftar Koreksi'!$I$5:$I$92,'Daftar Koreksi'!$D$5:$D$92,'0500'!A972,'Daftar Koreksi'!$G$5:$G$92,"Aset Tetap Lainnya",'Daftar Koreksi'!$I$5:$I$92,"&lt;0")-SUMIFS('Daftar Koreksi'!$I$5:$I$92,'Daftar Koreksi'!$D$5:$D$92,'0500'!A972,'Daftar Koreksi'!$G$5:$G$92,"Aset Tetap Lainnya",'Daftar Koreksi'!$I$5:$I$92,"&lt;0")</f>
        <v>0</v>
      </c>
      <c r="G988" s="17">
        <f t="shared" si="44"/>
        <v>0</v>
      </c>
      <c r="H988" s="122"/>
    </row>
    <row r="989" spans="1:8" ht="21.95" customHeight="1">
      <c r="A989" s="14"/>
      <c r="B989" s="14"/>
      <c r="C989" s="16" t="s">
        <v>2020</v>
      </c>
      <c r="D989" s="17">
        <f>VLOOKUP(A972,'Neraca Unaudited SIMAK'!$A$2:$S$10004,17,FALSE)</f>
        <v>-147840380</v>
      </c>
      <c r="E989" s="25">
        <f>SUMIFS('Daftar Koreksi'!$I$5:$I$92,'Daftar Koreksi'!$D$5:$D$92,'0500'!A972,'Daftar Koreksi'!$G$5:$G$92,"Aset Henti Guna",'Daftar Koreksi'!$I$5:$I$92,"&gt;0")</f>
        <v>0</v>
      </c>
      <c r="F989" s="25">
        <f>SUMIFS('Daftar Koreksi'!$I$5:$I$92,'Daftar Koreksi'!$D$5:$D$92,'0500'!A972,'Daftar Koreksi'!$G$5:$G$92,"Aset Henti Guna",'Daftar Koreksi'!$I$5:$I$92,"&lt;0")-SUMIFS('Daftar Koreksi'!$I$5:$I$92,'Daftar Koreksi'!$D$5:$D$92,'0500'!A972,'Daftar Koreksi'!$G$5:$G$92,"Aset Henti Guna",'Daftar Koreksi'!$I$5:$I$92,"&lt;0")-SUMIFS('Daftar Koreksi'!$I$5:$I$92,'Daftar Koreksi'!$D$5:$D$92,'0500'!A972,'Daftar Koreksi'!$G$5:$G$92,"Aset Henti Guna",'Daftar Koreksi'!$I$5:$I$92,"&lt;0")</f>
        <v>0</v>
      </c>
      <c r="G989" s="17">
        <f t="shared" si="44"/>
        <v>-147840380</v>
      </c>
      <c r="H989" s="122"/>
    </row>
    <row r="990" spans="1:8" ht="21.95" customHeight="1">
      <c r="A990" s="14"/>
      <c r="B990" s="14"/>
      <c r="C990" s="18" t="s">
        <v>2094</v>
      </c>
      <c r="D990" s="19">
        <f>SUM(D985:D989)</f>
        <v>-1705831490</v>
      </c>
      <c r="E990" s="19">
        <f>SUM(E985:E989)</f>
        <v>0</v>
      </c>
      <c r="F990" s="19">
        <f>SUM(F985:F989)</f>
        <v>0</v>
      </c>
      <c r="G990" s="19">
        <f t="shared" si="44"/>
        <v>-1705831490</v>
      </c>
      <c r="H990" s="122"/>
    </row>
    <row r="991" spans="1:8" ht="21.95" customHeight="1">
      <c r="A991" s="14"/>
      <c r="B991" s="14"/>
      <c r="C991" s="18" t="s">
        <v>2095</v>
      </c>
      <c r="D991" s="19">
        <f>VLOOKUP(A972,'Neraca Unaudited SIMAK'!$A$2:$S$10004,18,FALSE)</f>
        <v>14068185448</v>
      </c>
      <c r="E991" s="19">
        <f>E990+E984</f>
        <v>0</v>
      </c>
      <c r="F991" s="19">
        <f>F990+F984</f>
        <v>0</v>
      </c>
      <c r="G991" s="19">
        <f t="shared" si="44"/>
        <v>14068185448</v>
      </c>
      <c r="H991" s="122"/>
    </row>
    <row r="992" spans="1:8" ht="21.95" customHeight="1">
      <c r="A992" s="14"/>
      <c r="B992" s="14"/>
      <c r="C992" s="16" t="s">
        <v>2091</v>
      </c>
      <c r="D992" s="17">
        <f>VLOOKUP(A972,'Neraca Unaudited SIMAK'!$A$2:$S$10004,19,FALSE)</f>
        <v>0</v>
      </c>
      <c r="E992" s="25"/>
      <c r="F992" s="25"/>
      <c r="G992" s="17">
        <f t="shared" si="44"/>
        <v>0</v>
      </c>
      <c r="H992" s="123"/>
    </row>
    <row r="994" spans="1:8" ht="19.5" customHeight="1">
      <c r="A994" s="11" t="str">
        <f>O46</f>
        <v>005010500401344000KD</v>
      </c>
      <c r="B994" s="11" t="str">
        <f>P46</f>
        <v>PA. Bondowoso</v>
      </c>
      <c r="C994" s="12" t="str">
        <f>A994&amp;" "&amp;B994</f>
        <v>005010500401344000KD PA. Bondowoso</v>
      </c>
      <c r="D994" s="13"/>
      <c r="E994" s="13"/>
      <c r="F994" s="13"/>
      <c r="G994" s="13"/>
      <c r="H994" s="11"/>
    </row>
    <row r="995" spans="1:8" ht="21.95" customHeight="1">
      <c r="A995" s="14"/>
      <c r="B995" s="14"/>
      <c r="C995" s="124" t="s">
        <v>1982</v>
      </c>
      <c r="D995" s="126" t="s">
        <v>1983</v>
      </c>
      <c r="E995" s="132" t="s">
        <v>1984</v>
      </c>
      <c r="F995" s="132"/>
      <c r="G995" s="126" t="s">
        <v>1987</v>
      </c>
      <c r="H995" s="130" t="s">
        <v>1175</v>
      </c>
    </row>
    <row r="996" spans="1:8" ht="21.95" customHeight="1">
      <c r="A996" s="14"/>
      <c r="B996" s="14"/>
      <c r="C996" s="125"/>
      <c r="D996" s="127"/>
      <c r="E996" s="26" t="s">
        <v>1985</v>
      </c>
      <c r="F996" s="26" t="s">
        <v>1986</v>
      </c>
      <c r="G996" s="127"/>
      <c r="H996" s="131"/>
    </row>
    <row r="997" spans="1:8" ht="21.95" customHeight="1">
      <c r="A997" s="14"/>
      <c r="B997" s="14"/>
      <c r="C997" s="16" t="s">
        <v>1165</v>
      </c>
      <c r="D997" s="17">
        <f>VLOOKUP(A994,'Neraca Unaudited SIMAK'!$A$2:$S$10004,3,FALSE)</f>
        <v>5200000</v>
      </c>
      <c r="E997" s="25">
        <f>SUMIFS('Daftar Koreksi'!$H$5:$H$92,'Daftar Koreksi'!$D$5:$D$92,'0500'!A994,'Daftar Koreksi'!$G$5:$G$92,"Persediaan",'Daftar Koreksi'!$H$5:$H$92,"&gt;0")</f>
        <v>0</v>
      </c>
      <c r="F997" s="25">
        <f>SUMIFS('Daftar Koreksi'!$H$5:$H$92,'Daftar Koreksi'!$D$5:$D$92,'0500'!A994,'Daftar Koreksi'!$G$5:$G$92,"Persediaan",'Daftar Koreksi'!$H$5:$H$92,"&lt;0")-SUMIFS('Daftar Koreksi'!$H$5:$H$92,'Daftar Koreksi'!$D$5:$D$92,'0500'!A994,'Daftar Koreksi'!$G$5:$G$92,"Persediaan",'Daftar Koreksi'!$H$5:$H$92,"&lt;0")-SUMIFS('Daftar Koreksi'!$H$5:$H$92,'Daftar Koreksi'!$D$5:$D$92,'0500'!A994,'Daftar Koreksi'!$G$5:$G$92,"Persediaan",'Daftar Koreksi'!$H$5:$H$92,"&lt;0")</f>
        <v>0</v>
      </c>
      <c r="G997" s="17">
        <f>D997+E997-F997</f>
        <v>5200000</v>
      </c>
      <c r="H997" s="121" t="str">
        <f>IF(ISNA(VLOOKUP(A994,'Mutasi Neraca'!$A$3:$S$914,19,FALSE)),"-",VLOOKUP(A994,'Mutasi Neraca'!$A$3:$S$914,19,FALSE))</f>
        <v>-</v>
      </c>
    </row>
    <row r="998" spans="1:8" ht="21.95" customHeight="1">
      <c r="A998" s="14"/>
      <c r="B998" s="14"/>
      <c r="C998" s="16" t="s">
        <v>1166</v>
      </c>
      <c r="D998" s="17">
        <f>VLOOKUP(A994,'Neraca Unaudited SIMAK'!$A$2:$S$10004,4,FALSE)</f>
        <v>1266641575</v>
      </c>
      <c r="E998" s="25">
        <f>SUMIFS('Daftar Koreksi'!$H$5:$H$92,'Daftar Koreksi'!$D$5:$D$92,'0500'!A994,'Daftar Koreksi'!$G$5:$G$92,"Tanah",'Daftar Koreksi'!$H$5:$H$92,"&gt;0")</f>
        <v>0</v>
      </c>
      <c r="F998" s="25">
        <f>SUMIFS('Daftar Koreksi'!$H$5:$H$92,'Daftar Koreksi'!$D$5:$D$92,'0500'!A994,'Daftar Koreksi'!$G$5:$G$92,"Tanah",'Daftar Koreksi'!$H$5:$H$92,"&lt;0")-SUMIFS('Daftar Koreksi'!$H$5:$H$92,'Daftar Koreksi'!$D$5:$D$92,'0500'!A994,'Daftar Koreksi'!$G$5:$G$92,"Tanah",'Daftar Koreksi'!$H$5:$H$92,"&lt;0")-SUMIFS('Daftar Koreksi'!$H$5:$H$92,'Daftar Koreksi'!$D$5:$D$92,'0500'!A994,'Daftar Koreksi'!$G$5:$G$92,"Tanah",'Daftar Koreksi'!$H$5:$H$92,"&lt;0")</f>
        <v>0</v>
      </c>
      <c r="G998" s="17">
        <f t="shared" ref="G998:G1014" si="45">D998+E998-F998</f>
        <v>1266641575</v>
      </c>
      <c r="H998" s="122"/>
    </row>
    <row r="999" spans="1:8" ht="21.95" customHeight="1">
      <c r="A999" s="14"/>
      <c r="B999" s="14"/>
      <c r="C999" s="16" t="s">
        <v>1167</v>
      </c>
      <c r="D999" s="17">
        <f>VLOOKUP(A994,'Neraca Unaudited SIMAK'!$A$2:$S$10004,5,FALSE)</f>
        <v>1085839791</v>
      </c>
      <c r="E999" s="25">
        <f>SUMIFS('Daftar Koreksi'!$H$5:$H$92,'Daftar Koreksi'!$D$5:$D$92,'0500'!A994,'Daftar Koreksi'!$G$5:$G$92,"Peralatan dan mesin",'Daftar Koreksi'!$H$5:$H$92,"&gt;0")</f>
        <v>0</v>
      </c>
      <c r="F999" s="25">
        <f>SUMIFS('Daftar Koreksi'!$H$5:$H$92,'Daftar Koreksi'!$D$5:$D$92,'0500'!A994,'Daftar Koreksi'!$G$5:$G$92,"Peralatan dan mesin",'Daftar Koreksi'!$H$5:$H$92,"&lt;0")-SUMIFS('Daftar Koreksi'!$H$5:$H$92,'Daftar Koreksi'!$D$5:$D$92,'0500'!A994,'Daftar Koreksi'!$G$5:$G$92,"Peralatan dan mesin",'Daftar Koreksi'!$H$5:$H$92,"&lt;0")-SUMIFS('Daftar Koreksi'!$H$5:$H$92,'Daftar Koreksi'!$D$5:$D$92,'0500'!A994,'Daftar Koreksi'!$G$5:$G$92,"Peralatan dan mesin",'Daftar Koreksi'!$H$5:$H$92,"&lt;0")</f>
        <v>0</v>
      </c>
      <c r="G999" s="17">
        <f t="shared" si="45"/>
        <v>1085839791</v>
      </c>
      <c r="H999" s="122"/>
    </row>
    <row r="1000" spans="1:8" ht="21.95" customHeight="1">
      <c r="A1000" s="14"/>
      <c r="B1000" s="14"/>
      <c r="C1000" s="16" t="s">
        <v>1168</v>
      </c>
      <c r="D1000" s="17">
        <f>VLOOKUP(A994,'Neraca Unaudited SIMAK'!$A$2:$S$10004,6,FALSE)</f>
        <v>547173000</v>
      </c>
      <c r="E1000" s="25">
        <f>SUMIFS('Daftar Koreksi'!$H$5:$H$92,'Daftar Koreksi'!$D$5:$D$92,'0500'!A994,'Daftar Koreksi'!$G$5:$G$92,"Gedung dan Bangunan",'Daftar Koreksi'!$H$5:$H$92,"&gt;0")</f>
        <v>0</v>
      </c>
      <c r="F1000" s="25">
        <f>SUMIFS('Daftar Koreksi'!$H$5:$H$92,'Daftar Koreksi'!$D$5:$D$92,'0500'!A994,'Daftar Koreksi'!$G$5:$G$92,"Gedung dan Bangunan",'Daftar Koreksi'!$H$5:$H$92,"&lt;0")-SUMIFS('Daftar Koreksi'!$H$5:$H$92,'Daftar Koreksi'!$D$5:$D$92,'0500'!A994,'Daftar Koreksi'!$G$5:$G$92,"Gedung dan Bangunan",'Daftar Koreksi'!$H$5:$H$92,"&lt;0")-SUMIFS('Daftar Koreksi'!$H$5:$H$92,'Daftar Koreksi'!$D$5:$D$92,'0500'!A994,'Daftar Koreksi'!$G$5:$G$92,"Gedung dan Bangunan",'Daftar Koreksi'!$H$5:$H$92,"&lt;0")</f>
        <v>0</v>
      </c>
      <c r="G1000" s="17">
        <f t="shared" si="45"/>
        <v>547173000</v>
      </c>
      <c r="H1000" s="122"/>
    </row>
    <row r="1001" spans="1:8" ht="21.95" customHeight="1">
      <c r="A1001" s="14"/>
      <c r="B1001" s="14"/>
      <c r="C1001" s="16" t="s">
        <v>1169</v>
      </c>
      <c r="D1001" s="17">
        <f>VLOOKUP(A994,'Neraca Unaudited SIMAK'!$A$2:$S$10004,7,FALSE)</f>
        <v>7250000</v>
      </c>
      <c r="E1001" s="25">
        <f>SUMIFS('Daftar Koreksi'!$H$5:$H$92,'Daftar Koreksi'!$D$5:$D$92,'0500'!A994,'Daftar Koreksi'!$G$5:$G$92,"Jalan Irigasi Jaringan",'Daftar Koreksi'!$H$5:$H$92,"&gt;0")</f>
        <v>0</v>
      </c>
      <c r="F1001" s="25">
        <f>SUMIFS('Daftar Koreksi'!$H$5:$H$92,'Daftar Koreksi'!$D$5:$D$92,'0500'!A994,'Daftar Koreksi'!$G$5:$G$92,"Jalan Irigasi Jaringan",'Daftar Koreksi'!$H$5:$H$92,"&lt;0")-SUMIFS('Daftar Koreksi'!$H$5:$H$92,'Daftar Koreksi'!$D$5:$D$92,'0500'!A994,'Daftar Koreksi'!$G$5:$G$92,"Jalan Irigasi Jaringan",'Daftar Koreksi'!$H$5:$H$92,"&lt;0")-SUMIFS('Daftar Koreksi'!$H$5:$H$92,'Daftar Koreksi'!$D$5:$D$92,'0500'!A994,'Daftar Koreksi'!$G$5:$G$92,"Jalan Irigasi Jaringan",'Daftar Koreksi'!$H$5:$H$92,"&lt;0")</f>
        <v>0</v>
      </c>
      <c r="G1001" s="17">
        <f t="shared" si="45"/>
        <v>7250000</v>
      </c>
      <c r="H1001" s="122"/>
    </row>
    <row r="1002" spans="1:8" ht="21.95" customHeight="1">
      <c r="A1002" s="14"/>
      <c r="B1002" s="14"/>
      <c r="C1002" s="16" t="s">
        <v>1170</v>
      </c>
      <c r="D1002" s="17">
        <f>VLOOKUP(A994,'Neraca Unaudited SIMAK'!$A$2:$S$10004,8,FALSE)</f>
        <v>2402870</v>
      </c>
      <c r="E1002" s="25">
        <f>SUMIFS('Daftar Koreksi'!$H$5:$H$92,'Daftar Koreksi'!$D$5:$D$92,'0500'!A994,'Daftar Koreksi'!$G$5:$G$92,"Aset Tetap Lainnya",'Daftar Koreksi'!$H$5:$H$92,"&gt;0")</f>
        <v>0</v>
      </c>
      <c r="F1002" s="25">
        <f>SUMIFS('Daftar Koreksi'!$H$5:$H$92,'Daftar Koreksi'!$D$5:$D$92,'0500'!A994,'Daftar Koreksi'!$G$5:$G$92,"Aset Tetap Lainnya",'Daftar Koreksi'!$H$5:$H$92,"&lt;0")-SUMIFS('Daftar Koreksi'!$H$5:$H$92,'Daftar Koreksi'!$D$5:$D$92,'0500'!A994,'Daftar Koreksi'!$G$5:$G$92,"Aset Tetap Lainnya",'Daftar Koreksi'!$H$5:$H$92,"&lt;0")-SUMIFS('Daftar Koreksi'!$H$5:$H$92,'Daftar Koreksi'!$D$5:$D$92,'0500'!A994,'Daftar Koreksi'!$G$5:$G$92,"Aset Tetap Lainnya",'Daftar Koreksi'!$H$5:$H$92,"&lt;0")</f>
        <v>0</v>
      </c>
      <c r="G1002" s="17">
        <f t="shared" si="45"/>
        <v>2402870</v>
      </c>
      <c r="H1002" s="122"/>
    </row>
    <row r="1003" spans="1:8" ht="21.95" customHeight="1">
      <c r="A1003" s="14"/>
      <c r="B1003" s="14"/>
      <c r="C1003" s="16" t="s">
        <v>1171</v>
      </c>
      <c r="D1003" s="17">
        <f>VLOOKUP(A994,'Neraca Unaudited SIMAK'!$A$2:$S$10004,9,FALSE)</f>
        <v>0</v>
      </c>
      <c r="E1003" s="25">
        <f>SUMIFS('Daftar Koreksi'!$H$5:$H$92,'Daftar Koreksi'!$D$5:$D$92,'0500'!A994,'Daftar Koreksi'!$G$5:$G$92,"Kontruksi Dalam Pengerjaan",'Daftar Koreksi'!$H$5:$H$92,"&gt;0")</f>
        <v>0</v>
      </c>
      <c r="F1003" s="25">
        <f>SUMIFS('Daftar Koreksi'!$H$5:$H$92,'Daftar Koreksi'!$D$5:$D$92,'0500'!A994,'Daftar Koreksi'!$G$5:$G$92,"Kontruksi Dalam Pengerjaan",'Daftar Koreksi'!$H$5:$H$92,"&lt;0")-SUMIFS('Daftar Koreksi'!$H$5:$H$92,'Daftar Koreksi'!$D$5:$D$92,'0500'!A994,'Daftar Koreksi'!$G$5:$G$92,"Kontruksi Dalam Pengerjaan",'Daftar Koreksi'!$H$5:$H$92,"&lt;0")-SUMIFS('Daftar Koreksi'!$H$5:$H$92,'Daftar Koreksi'!$D$5:$D$92,'0500'!A994,'Daftar Koreksi'!$G$5:$G$92,"Kontruksi Dalam Pengerjaan",'Daftar Koreksi'!$H$5:$H$92,"&lt;0")</f>
        <v>0</v>
      </c>
      <c r="G1003" s="17">
        <f t="shared" si="45"/>
        <v>0</v>
      </c>
      <c r="H1003" s="122"/>
    </row>
    <row r="1004" spans="1:8" ht="21.95" customHeight="1">
      <c r="A1004" s="14"/>
      <c r="B1004" s="14"/>
      <c r="C1004" s="16" t="s">
        <v>1172</v>
      </c>
      <c r="D1004" s="17">
        <f>VLOOKUP(A994,'Neraca Unaudited SIMAK'!$A$2:$S$10004,10,FALSE)</f>
        <v>0</v>
      </c>
      <c r="E1004" s="25">
        <f>SUMIFS('Daftar Koreksi'!$H$5:$H$92,'Daftar Koreksi'!$D$5:$D$92,'0500'!A994,'Daftar Koreksi'!$G$5:$G$92,"Aset Tak Berwujud",'Daftar Koreksi'!$H$5:$H$92,"&gt;0")</f>
        <v>0</v>
      </c>
      <c r="F1004" s="25">
        <f>SUMIFS('Daftar Koreksi'!$H$5:$H$92,'Daftar Koreksi'!$D$5:$D$92,'0500'!A994,'Daftar Koreksi'!$G$5:$G$92,"Aset Tak Berwujud",'Daftar Koreksi'!$H$5:$H$92,"&lt;0")-SUMIFS('Daftar Koreksi'!$H$5:$H$92,'Daftar Koreksi'!$D$5:$D$92,'0500'!A994,'Daftar Koreksi'!$G$5:$G$92,"Aset Tak Berwujud",'Daftar Koreksi'!$H$5:$H$92,"&lt;0")-SUMIFS('Daftar Koreksi'!$H$5:$H$92,'Daftar Koreksi'!$D$5:$D$92,'0500'!A994,'Daftar Koreksi'!$G$5:$G$92,"Aset Tak Berwujud",'Daftar Koreksi'!$H$5:$H$92,"&lt;0")</f>
        <v>0</v>
      </c>
      <c r="G1004" s="17">
        <f t="shared" si="45"/>
        <v>0</v>
      </c>
      <c r="H1004" s="122"/>
    </row>
    <row r="1005" spans="1:8" ht="21.95" customHeight="1">
      <c r="A1005" s="14"/>
      <c r="B1005" s="14"/>
      <c r="C1005" s="16" t="s">
        <v>1173</v>
      </c>
      <c r="D1005" s="17">
        <f>VLOOKUP(A994,'Neraca Unaudited SIMAK'!$A$2:$S$10004,11,FALSE)</f>
        <v>62610500</v>
      </c>
      <c r="E1005" s="25">
        <f>SUMIFS('Daftar Koreksi'!$H$5:$H$92,'Daftar Koreksi'!$D$5:$D$92,'0500'!A994,'Daftar Koreksi'!$G$5:$G$92,"Aset Henti Guna",'Daftar Koreksi'!$H$5:$H$92,"&gt;0")</f>
        <v>0</v>
      </c>
      <c r="F1005" s="25">
        <f>SUMIFS('Daftar Koreksi'!$H$5:$H$92,'Daftar Koreksi'!$D$5:$D$92,'0500'!A994,'Daftar Koreksi'!$G$5:$G$92,"Aset Henti Guna",'Daftar Koreksi'!$H$5:$H$92,"&lt;0")-SUMIFS('Daftar Koreksi'!$H$5:$H$92,'Daftar Koreksi'!$D$5:$D$92,'0500'!A994,'Daftar Koreksi'!$G$5:$G$92,"Aset Henti Guna",'Daftar Koreksi'!$H$5:$H$92,"&lt;0")-SUMIFS('Daftar Koreksi'!$H$5:$H$92,'Daftar Koreksi'!$D$5:$D$92,'0500'!A994,'Daftar Koreksi'!$G$5:$G$92,"Aset Henti Guna",'Daftar Koreksi'!$H$5:$H$92,"&lt;0")</f>
        <v>0</v>
      </c>
      <c r="G1005" s="17">
        <f t="shared" si="45"/>
        <v>62610500</v>
      </c>
      <c r="H1005" s="122"/>
    </row>
    <row r="1006" spans="1:8" ht="21.95" customHeight="1">
      <c r="A1006" s="14"/>
      <c r="B1006" s="14"/>
      <c r="C1006" s="18" t="s">
        <v>2093</v>
      </c>
      <c r="D1006" s="19">
        <f>VLOOKUP(A994,'Neraca Unaudited SIMAK'!$A$2:$S$10004,12,FALSE)</f>
        <v>2977117736</v>
      </c>
      <c r="E1006" s="19">
        <f>SUM(E997:E1005)</f>
        <v>0</v>
      </c>
      <c r="F1006" s="19">
        <f>SUM(F997:F1005)</f>
        <v>0</v>
      </c>
      <c r="G1006" s="19">
        <f t="shared" si="45"/>
        <v>2977117736</v>
      </c>
      <c r="H1006" s="122"/>
    </row>
    <row r="1007" spans="1:8" ht="21.95" customHeight="1">
      <c r="A1007" s="14"/>
      <c r="B1007" s="14"/>
      <c r="C1007" s="16" t="s">
        <v>2087</v>
      </c>
      <c r="D1007" s="17">
        <f>VLOOKUP(A994,'Neraca Unaudited SIMAK'!$A$2:$S$10004,13,FALSE)</f>
        <v>-956431908</v>
      </c>
      <c r="E1007" s="25">
        <f>SUMIFS('Daftar Koreksi'!$I$5:$I$92,'Daftar Koreksi'!$D$5:$D$92,'0500'!A994,'Daftar Koreksi'!$G$5:$G$92,"Peralatan dan mesin",'Daftar Koreksi'!$I$5:$I$92,"&gt;0")</f>
        <v>0</v>
      </c>
      <c r="F1007" s="25">
        <f>SUMIFS('Daftar Koreksi'!$I$5:$I$92,'Daftar Koreksi'!$D$5:$D$92,'0500'!A994,'Daftar Koreksi'!$G$5:$G$92,"Peralatan dan mesin",'Daftar Koreksi'!$I$5:$I$92,"&lt;0")-SUMIFS('Daftar Koreksi'!$I$5:$I$92,'Daftar Koreksi'!$D$5:$D$92,'0500'!A994,'Daftar Koreksi'!$G$5:$G$92,"Peralatan dan mesin",'Daftar Koreksi'!$I$5:$I$92,"&lt;0")-SUMIFS('Daftar Koreksi'!$I$5:$I$92,'Daftar Koreksi'!$D$5:$D$92,'0500'!A994,'Daftar Koreksi'!$G$5:$G$92,"Peralatan dan mesin",'Daftar Koreksi'!$I$5:$I$92,"&lt;0")</f>
        <v>0</v>
      </c>
      <c r="G1007" s="17">
        <f t="shared" si="45"/>
        <v>-956431908</v>
      </c>
      <c r="H1007" s="122"/>
    </row>
    <row r="1008" spans="1:8" ht="21.95" customHeight="1">
      <c r="A1008" s="14"/>
      <c r="B1008" s="14"/>
      <c r="C1008" s="16" t="s">
        <v>2088</v>
      </c>
      <c r="D1008" s="17">
        <f>VLOOKUP(A994,'Neraca Unaudited SIMAK'!$A$2:$S$10004,14,FALSE)</f>
        <v>-132124215</v>
      </c>
      <c r="E1008" s="25">
        <f>SUMIFS('Daftar Koreksi'!$I$5:$I$92,'Daftar Koreksi'!$D$5:$D$92,'0500'!A994,'Daftar Koreksi'!$G$5:$G$92,"Gedung dan Bangunan",'Daftar Koreksi'!$I$5:$I$92,"&gt;0")</f>
        <v>0</v>
      </c>
      <c r="F1008" s="25">
        <f>SUMIFS('Daftar Koreksi'!$I$5:$I$92,'Daftar Koreksi'!$D$5:$D$92,'0500'!A994,'Daftar Koreksi'!$G$5:$G$92,"Gedung dan Bangunan",'Daftar Koreksi'!$I$5:$I$92,"&lt;0")-SUMIFS('Daftar Koreksi'!$I$5:$I$92,'Daftar Koreksi'!$D$5:$D$92,'0500'!A994,'Daftar Koreksi'!$G$5:$G$92,"Gedung dan Bangunan",'Daftar Koreksi'!$I$5:$I$92,"&lt;0")-SUMIFS('Daftar Koreksi'!$I$5:$I$92,'Daftar Koreksi'!$D$5:$D$92,'0500'!A994,'Daftar Koreksi'!$G$5:$G$92,"Gedung dan Bangunan",'Daftar Koreksi'!$I$5:$I$92,"&lt;0")</f>
        <v>0</v>
      </c>
      <c r="G1008" s="17">
        <f t="shared" si="45"/>
        <v>-132124215</v>
      </c>
      <c r="H1008" s="122"/>
    </row>
    <row r="1009" spans="1:8" ht="21.95" customHeight="1">
      <c r="A1009" s="14"/>
      <c r="B1009" s="14"/>
      <c r="C1009" s="16" t="s">
        <v>2089</v>
      </c>
      <c r="D1009" s="17">
        <f>VLOOKUP(A994,'Neraca Unaudited SIMAK'!$A$2:$S$10004,15,FALSE)</f>
        <v>-1450000</v>
      </c>
      <c r="E1009" s="25">
        <f>SUMIFS('Daftar Koreksi'!$I$5:$I$92,'Daftar Koreksi'!$D$5:$D$92,'0500'!A994,'Daftar Koreksi'!$G$5:$G$92,"Jalan Irigasi Jaringan",'Daftar Koreksi'!$I$5:$I$92,"&gt;0")</f>
        <v>0</v>
      </c>
      <c r="F1009" s="25">
        <f>SUMIFS('Daftar Koreksi'!$I$5:$I$92,'Daftar Koreksi'!$D$5:$D$92,'0500'!A994,'Daftar Koreksi'!$G$5:$G$92,"Jalan Irigasi Jaringan",'Daftar Koreksi'!$I$5:$I$92,"&lt;0")-SUMIFS('Daftar Koreksi'!$I$5:$I$92,'Daftar Koreksi'!$D$5:$D$92,'0500'!A994,'Daftar Koreksi'!$G$5:$G$92,"Jalan Irigasi Jaringan",'Daftar Koreksi'!$I$5:$I$92,"&lt;0")-SUMIFS('Daftar Koreksi'!$I$5:$I$92,'Daftar Koreksi'!$D$5:$D$92,'0500'!A994,'Daftar Koreksi'!$G$5:$G$92,"Jalan Irigasi Jaringan",'Daftar Koreksi'!$I$5:$I$92,"&lt;0")</f>
        <v>0</v>
      </c>
      <c r="G1009" s="17">
        <f t="shared" si="45"/>
        <v>-1450000</v>
      </c>
      <c r="H1009" s="122"/>
    </row>
    <row r="1010" spans="1:8" ht="21.95" customHeight="1">
      <c r="A1010" s="14"/>
      <c r="B1010" s="14"/>
      <c r="C1010" s="16" t="s">
        <v>2090</v>
      </c>
      <c r="D1010" s="17">
        <f>VLOOKUP(A994,'Neraca Unaudited SIMAK'!$A$2:$S$10004,16,FALSE)</f>
        <v>0</v>
      </c>
      <c r="E1010" s="25">
        <f>SUMIFS('Daftar Koreksi'!$I$5:$I$92,'Daftar Koreksi'!$D$5:$D$92,'0500'!A994,'Daftar Koreksi'!$G$5:$G$92,"Aset Tetap Lainnya",'Daftar Koreksi'!$I$5:$I$92,"&gt;0")</f>
        <v>0</v>
      </c>
      <c r="F1010" s="25">
        <f>SUMIFS('Daftar Koreksi'!$I$5:$I$92,'Daftar Koreksi'!$D$5:$D$92,'0500'!A994,'Daftar Koreksi'!$G$5:$G$92,"Aset Tetap Lainnya",'Daftar Koreksi'!$I$5:$I$92,"&lt;0")-SUMIFS('Daftar Koreksi'!$I$5:$I$92,'Daftar Koreksi'!$D$5:$D$92,'0500'!A994,'Daftar Koreksi'!$G$5:$G$92,"Aset Tetap Lainnya",'Daftar Koreksi'!$I$5:$I$92,"&lt;0")-SUMIFS('Daftar Koreksi'!$I$5:$I$92,'Daftar Koreksi'!$D$5:$D$92,'0500'!A994,'Daftar Koreksi'!$G$5:$G$92,"Aset Tetap Lainnya",'Daftar Koreksi'!$I$5:$I$92,"&lt;0")</f>
        <v>0</v>
      </c>
      <c r="G1010" s="17">
        <f t="shared" si="45"/>
        <v>0</v>
      </c>
      <c r="H1010" s="122"/>
    </row>
    <row r="1011" spans="1:8" ht="21.95" customHeight="1">
      <c r="A1011" s="14"/>
      <c r="B1011" s="14"/>
      <c r="C1011" s="16" t="s">
        <v>2020</v>
      </c>
      <c r="D1011" s="17">
        <f>VLOOKUP(A994,'Neraca Unaudited SIMAK'!$A$2:$S$10004,17,FALSE)</f>
        <v>-62610500</v>
      </c>
      <c r="E1011" s="25">
        <f>SUMIFS('Daftar Koreksi'!$I$5:$I$92,'Daftar Koreksi'!$D$5:$D$92,'0500'!A994,'Daftar Koreksi'!$G$5:$G$92,"Aset Henti Guna",'Daftar Koreksi'!$I$5:$I$92,"&gt;0")</f>
        <v>0</v>
      </c>
      <c r="F1011" s="25">
        <f>SUMIFS('Daftar Koreksi'!$I$5:$I$92,'Daftar Koreksi'!$D$5:$D$92,'0500'!A994,'Daftar Koreksi'!$G$5:$G$92,"Aset Henti Guna",'Daftar Koreksi'!$I$5:$I$92,"&lt;0")-SUMIFS('Daftar Koreksi'!$I$5:$I$92,'Daftar Koreksi'!$D$5:$D$92,'0500'!A994,'Daftar Koreksi'!$G$5:$G$92,"Aset Henti Guna",'Daftar Koreksi'!$I$5:$I$92,"&lt;0")-SUMIFS('Daftar Koreksi'!$I$5:$I$92,'Daftar Koreksi'!$D$5:$D$92,'0500'!A994,'Daftar Koreksi'!$G$5:$G$92,"Aset Henti Guna",'Daftar Koreksi'!$I$5:$I$92,"&lt;0")</f>
        <v>0</v>
      </c>
      <c r="G1011" s="17">
        <f t="shared" si="45"/>
        <v>-62610500</v>
      </c>
      <c r="H1011" s="122"/>
    </row>
    <row r="1012" spans="1:8" ht="21.95" customHeight="1">
      <c r="A1012" s="14"/>
      <c r="B1012" s="14"/>
      <c r="C1012" s="18" t="s">
        <v>2094</v>
      </c>
      <c r="D1012" s="19">
        <f>SUM(D1007:D1011)</f>
        <v>-1152616623</v>
      </c>
      <c r="E1012" s="19">
        <f>SUM(E1007:E1011)</f>
        <v>0</v>
      </c>
      <c r="F1012" s="19">
        <f>SUM(F1007:F1011)</f>
        <v>0</v>
      </c>
      <c r="G1012" s="19">
        <f t="shared" si="45"/>
        <v>-1152616623</v>
      </c>
      <c r="H1012" s="122"/>
    </row>
    <row r="1013" spans="1:8" ht="21.95" customHeight="1">
      <c r="A1013" s="14"/>
      <c r="B1013" s="14"/>
      <c r="C1013" s="18" t="s">
        <v>2095</v>
      </c>
      <c r="D1013" s="19">
        <f>VLOOKUP(A994,'Neraca Unaudited SIMAK'!$A$2:$S$10004,18,FALSE)</f>
        <v>1824501113</v>
      </c>
      <c r="E1013" s="19">
        <f>E1012+E1006</f>
        <v>0</v>
      </c>
      <c r="F1013" s="19">
        <f>F1012+F1006</f>
        <v>0</v>
      </c>
      <c r="G1013" s="19">
        <f t="shared" si="45"/>
        <v>1824501113</v>
      </c>
      <c r="H1013" s="122"/>
    </row>
    <row r="1014" spans="1:8" ht="21.95" customHeight="1">
      <c r="A1014" s="14"/>
      <c r="B1014" s="14"/>
      <c r="C1014" s="16" t="s">
        <v>2091</v>
      </c>
      <c r="D1014" s="17">
        <f>VLOOKUP(A994,'Neraca Unaudited SIMAK'!$A$2:$S$10004,19,FALSE)</f>
        <v>0</v>
      </c>
      <c r="E1014" s="25"/>
      <c r="F1014" s="25"/>
      <c r="G1014" s="17">
        <f t="shared" si="45"/>
        <v>0</v>
      </c>
      <c r="H1014" s="123"/>
    </row>
    <row r="1016" spans="1:8" ht="19.5" customHeight="1">
      <c r="A1016" s="11" t="str">
        <f>O47</f>
        <v>005010500401350000KD</v>
      </c>
      <c r="B1016" s="11" t="str">
        <f>P47</f>
        <v>PA. Situbondo</v>
      </c>
      <c r="C1016" s="12" t="str">
        <f>A1016&amp;" "&amp;B1016</f>
        <v>005010500401350000KD PA. Situbondo</v>
      </c>
      <c r="D1016" s="13"/>
      <c r="E1016" s="13"/>
      <c r="F1016" s="13"/>
      <c r="G1016" s="13"/>
      <c r="H1016" s="11"/>
    </row>
    <row r="1017" spans="1:8" ht="21.95" customHeight="1">
      <c r="A1017" s="14"/>
      <c r="B1017" s="14"/>
      <c r="C1017" s="124" t="s">
        <v>1982</v>
      </c>
      <c r="D1017" s="126" t="s">
        <v>1983</v>
      </c>
      <c r="E1017" s="132" t="s">
        <v>1984</v>
      </c>
      <c r="F1017" s="132"/>
      <c r="G1017" s="126" t="s">
        <v>1987</v>
      </c>
      <c r="H1017" s="130" t="s">
        <v>1175</v>
      </c>
    </row>
    <row r="1018" spans="1:8" ht="21.95" customHeight="1">
      <c r="A1018" s="14"/>
      <c r="B1018" s="14"/>
      <c r="C1018" s="125"/>
      <c r="D1018" s="127"/>
      <c r="E1018" s="26" t="s">
        <v>1985</v>
      </c>
      <c r="F1018" s="26" t="s">
        <v>1986</v>
      </c>
      <c r="G1018" s="127"/>
      <c r="H1018" s="131"/>
    </row>
    <row r="1019" spans="1:8" ht="21.95" customHeight="1">
      <c r="A1019" s="14"/>
      <c r="B1019" s="14"/>
      <c r="C1019" s="16" t="s">
        <v>1165</v>
      </c>
      <c r="D1019" s="17">
        <f>VLOOKUP(A1016,'Neraca Unaudited SIMAK'!$A$2:$S$10004,3,FALSE)</f>
        <v>6094105</v>
      </c>
      <c r="E1019" s="25">
        <f>SUMIFS('Daftar Koreksi'!$H$5:$H$92,'Daftar Koreksi'!$D$5:$D$92,'0500'!A1016,'Daftar Koreksi'!$G$5:$G$92,"Persediaan",'Daftar Koreksi'!$H$5:$H$92,"&gt;0")</f>
        <v>0</v>
      </c>
      <c r="F1019" s="25">
        <f>SUMIFS('Daftar Koreksi'!$H$5:$H$92,'Daftar Koreksi'!$D$5:$D$92,'0500'!A1016,'Daftar Koreksi'!$G$5:$G$92,"Persediaan",'Daftar Koreksi'!$H$5:$H$92,"&lt;0")-SUMIFS('Daftar Koreksi'!$H$5:$H$92,'Daftar Koreksi'!$D$5:$D$92,'0500'!A1016,'Daftar Koreksi'!$G$5:$G$92,"Persediaan",'Daftar Koreksi'!$H$5:$H$92,"&lt;0")-SUMIFS('Daftar Koreksi'!$H$5:$H$92,'Daftar Koreksi'!$D$5:$D$92,'0500'!A1016,'Daftar Koreksi'!$G$5:$G$92,"Persediaan",'Daftar Koreksi'!$H$5:$H$92,"&lt;0")</f>
        <v>0</v>
      </c>
      <c r="G1019" s="17">
        <f>D1019+E1019-F1019</f>
        <v>6094105</v>
      </c>
      <c r="H1019" s="121" t="str">
        <f>IF(ISNA(VLOOKUP(A1016,'Mutasi Neraca'!$A$3:$S$914,19,FALSE)),"-",VLOOKUP(A1016,'Mutasi Neraca'!$A$3:$S$914,19,FALSE))</f>
        <v>-</v>
      </c>
    </row>
    <row r="1020" spans="1:8" ht="21.95" customHeight="1">
      <c r="A1020" s="14"/>
      <c r="B1020" s="14"/>
      <c r="C1020" s="16" t="s">
        <v>1166</v>
      </c>
      <c r="D1020" s="17">
        <f>VLOOKUP(A1016,'Neraca Unaudited SIMAK'!$A$2:$S$10004,4,FALSE)</f>
        <v>878233000</v>
      </c>
      <c r="E1020" s="25">
        <f>SUMIFS('Daftar Koreksi'!$H$5:$H$92,'Daftar Koreksi'!$D$5:$D$92,'0500'!A1016,'Daftar Koreksi'!$G$5:$G$92,"Tanah",'Daftar Koreksi'!$H$5:$H$92,"&gt;0")</f>
        <v>0</v>
      </c>
      <c r="F1020" s="25">
        <f>SUMIFS('Daftar Koreksi'!$H$5:$H$92,'Daftar Koreksi'!$D$5:$D$92,'0500'!A1016,'Daftar Koreksi'!$G$5:$G$92,"Tanah",'Daftar Koreksi'!$H$5:$H$92,"&lt;0")-SUMIFS('Daftar Koreksi'!$H$5:$H$92,'Daftar Koreksi'!$D$5:$D$92,'0500'!A1016,'Daftar Koreksi'!$G$5:$G$92,"Tanah",'Daftar Koreksi'!$H$5:$H$92,"&lt;0")-SUMIFS('Daftar Koreksi'!$H$5:$H$92,'Daftar Koreksi'!$D$5:$D$92,'0500'!A1016,'Daftar Koreksi'!$G$5:$G$92,"Tanah",'Daftar Koreksi'!$H$5:$H$92,"&lt;0")</f>
        <v>0</v>
      </c>
      <c r="G1020" s="17">
        <f t="shared" ref="G1020:G1036" si="46">D1020+E1020-F1020</f>
        <v>878233000</v>
      </c>
      <c r="H1020" s="122"/>
    </row>
    <row r="1021" spans="1:8" ht="21.95" customHeight="1">
      <c r="A1021" s="14"/>
      <c r="B1021" s="14"/>
      <c r="C1021" s="16" t="s">
        <v>1167</v>
      </c>
      <c r="D1021" s="17">
        <f>VLOOKUP(A1016,'Neraca Unaudited SIMAK'!$A$2:$S$10004,5,FALSE)</f>
        <v>1153229312</v>
      </c>
      <c r="E1021" s="25">
        <f>SUMIFS('Daftar Koreksi'!$H$5:$H$92,'Daftar Koreksi'!$D$5:$D$92,'0500'!A1016,'Daftar Koreksi'!$G$5:$G$92,"Peralatan dan mesin",'Daftar Koreksi'!$H$5:$H$92,"&gt;0")</f>
        <v>0</v>
      </c>
      <c r="F1021" s="25">
        <f>SUMIFS('Daftar Koreksi'!$H$5:$H$92,'Daftar Koreksi'!$D$5:$D$92,'0500'!A1016,'Daftar Koreksi'!$G$5:$G$92,"Peralatan dan mesin",'Daftar Koreksi'!$H$5:$H$92,"&lt;0")-SUMIFS('Daftar Koreksi'!$H$5:$H$92,'Daftar Koreksi'!$D$5:$D$92,'0500'!A1016,'Daftar Koreksi'!$G$5:$G$92,"Peralatan dan mesin",'Daftar Koreksi'!$H$5:$H$92,"&lt;0")-SUMIFS('Daftar Koreksi'!$H$5:$H$92,'Daftar Koreksi'!$D$5:$D$92,'0500'!A1016,'Daftar Koreksi'!$G$5:$G$92,"Peralatan dan mesin",'Daftar Koreksi'!$H$5:$H$92,"&lt;0")</f>
        <v>0</v>
      </c>
      <c r="G1021" s="17">
        <f t="shared" si="46"/>
        <v>1153229312</v>
      </c>
      <c r="H1021" s="122"/>
    </row>
    <row r="1022" spans="1:8" ht="21.95" customHeight="1">
      <c r="A1022" s="14"/>
      <c r="B1022" s="14"/>
      <c r="C1022" s="16" t="s">
        <v>1168</v>
      </c>
      <c r="D1022" s="17">
        <f>VLOOKUP(A1016,'Neraca Unaudited SIMAK'!$A$2:$S$10004,6,FALSE)</f>
        <v>2761137100</v>
      </c>
      <c r="E1022" s="25">
        <f>SUMIFS('Daftar Koreksi'!$H$5:$H$92,'Daftar Koreksi'!$D$5:$D$92,'0500'!A1016,'Daftar Koreksi'!$G$5:$G$92,"Gedung dan Bangunan",'Daftar Koreksi'!$H$5:$H$92,"&gt;0")</f>
        <v>0</v>
      </c>
      <c r="F1022" s="25">
        <f>SUMIFS('Daftar Koreksi'!$H$5:$H$92,'Daftar Koreksi'!$D$5:$D$92,'0500'!A1016,'Daftar Koreksi'!$G$5:$G$92,"Gedung dan Bangunan",'Daftar Koreksi'!$H$5:$H$92,"&lt;0")-SUMIFS('Daftar Koreksi'!$H$5:$H$92,'Daftar Koreksi'!$D$5:$D$92,'0500'!A1016,'Daftar Koreksi'!$G$5:$G$92,"Gedung dan Bangunan",'Daftar Koreksi'!$H$5:$H$92,"&lt;0")-SUMIFS('Daftar Koreksi'!$H$5:$H$92,'Daftar Koreksi'!$D$5:$D$92,'0500'!A1016,'Daftar Koreksi'!$G$5:$G$92,"Gedung dan Bangunan",'Daftar Koreksi'!$H$5:$H$92,"&lt;0")</f>
        <v>0</v>
      </c>
      <c r="G1022" s="17">
        <f t="shared" si="46"/>
        <v>2761137100</v>
      </c>
      <c r="H1022" s="122"/>
    </row>
    <row r="1023" spans="1:8" ht="21.95" customHeight="1">
      <c r="A1023" s="14"/>
      <c r="B1023" s="14"/>
      <c r="C1023" s="16" t="s">
        <v>1169</v>
      </c>
      <c r="D1023" s="17">
        <f>VLOOKUP(A1016,'Neraca Unaudited SIMAK'!$A$2:$S$10004,7,FALSE)</f>
        <v>0</v>
      </c>
      <c r="E1023" s="25">
        <f>SUMIFS('Daftar Koreksi'!$H$5:$H$92,'Daftar Koreksi'!$D$5:$D$92,'0500'!A1016,'Daftar Koreksi'!$G$5:$G$92,"Jalan Irigasi Jaringan",'Daftar Koreksi'!$H$5:$H$92,"&gt;0")</f>
        <v>0</v>
      </c>
      <c r="F1023" s="25">
        <f>SUMIFS('Daftar Koreksi'!$H$5:$H$92,'Daftar Koreksi'!$D$5:$D$92,'0500'!A1016,'Daftar Koreksi'!$G$5:$G$92,"Jalan Irigasi Jaringan",'Daftar Koreksi'!$H$5:$H$92,"&lt;0")-SUMIFS('Daftar Koreksi'!$H$5:$H$92,'Daftar Koreksi'!$D$5:$D$92,'0500'!A1016,'Daftar Koreksi'!$G$5:$G$92,"Jalan Irigasi Jaringan",'Daftar Koreksi'!$H$5:$H$92,"&lt;0")-SUMIFS('Daftar Koreksi'!$H$5:$H$92,'Daftar Koreksi'!$D$5:$D$92,'0500'!A1016,'Daftar Koreksi'!$G$5:$G$92,"Jalan Irigasi Jaringan",'Daftar Koreksi'!$H$5:$H$92,"&lt;0")</f>
        <v>0</v>
      </c>
      <c r="G1023" s="17">
        <f t="shared" si="46"/>
        <v>0</v>
      </c>
      <c r="H1023" s="122"/>
    </row>
    <row r="1024" spans="1:8" ht="21.95" customHeight="1">
      <c r="A1024" s="14"/>
      <c r="B1024" s="14"/>
      <c r="C1024" s="16" t="s">
        <v>1170</v>
      </c>
      <c r="D1024" s="17">
        <f>VLOOKUP(A1016,'Neraca Unaudited SIMAK'!$A$2:$S$10004,8,FALSE)</f>
        <v>17984270</v>
      </c>
      <c r="E1024" s="25">
        <f>SUMIFS('Daftar Koreksi'!$H$5:$H$92,'Daftar Koreksi'!$D$5:$D$92,'0500'!A1016,'Daftar Koreksi'!$G$5:$G$92,"Aset Tetap Lainnya",'Daftar Koreksi'!$H$5:$H$92,"&gt;0")</f>
        <v>0</v>
      </c>
      <c r="F1024" s="25">
        <f>SUMIFS('Daftar Koreksi'!$H$5:$H$92,'Daftar Koreksi'!$D$5:$D$92,'0500'!A1016,'Daftar Koreksi'!$G$5:$G$92,"Aset Tetap Lainnya",'Daftar Koreksi'!$H$5:$H$92,"&lt;0")-SUMIFS('Daftar Koreksi'!$H$5:$H$92,'Daftar Koreksi'!$D$5:$D$92,'0500'!A1016,'Daftar Koreksi'!$G$5:$G$92,"Aset Tetap Lainnya",'Daftar Koreksi'!$H$5:$H$92,"&lt;0")-SUMIFS('Daftar Koreksi'!$H$5:$H$92,'Daftar Koreksi'!$D$5:$D$92,'0500'!A1016,'Daftar Koreksi'!$G$5:$G$92,"Aset Tetap Lainnya",'Daftar Koreksi'!$H$5:$H$92,"&lt;0")</f>
        <v>0</v>
      </c>
      <c r="G1024" s="17">
        <f t="shared" si="46"/>
        <v>17984270</v>
      </c>
      <c r="H1024" s="122"/>
    </row>
    <row r="1025" spans="1:8" ht="21.95" customHeight="1">
      <c r="A1025" s="14"/>
      <c r="B1025" s="14"/>
      <c r="C1025" s="16" t="s">
        <v>1171</v>
      </c>
      <c r="D1025" s="17">
        <f>VLOOKUP(A1016,'Neraca Unaudited SIMAK'!$A$2:$S$10004,9,FALSE)</f>
        <v>0</v>
      </c>
      <c r="E1025" s="25">
        <f>SUMIFS('Daftar Koreksi'!$H$5:$H$92,'Daftar Koreksi'!$D$5:$D$92,'0500'!A1016,'Daftar Koreksi'!$G$5:$G$92,"Kontruksi Dalam Pengerjaan",'Daftar Koreksi'!$H$5:$H$92,"&gt;0")</f>
        <v>0</v>
      </c>
      <c r="F1025" s="25">
        <f>SUMIFS('Daftar Koreksi'!$H$5:$H$92,'Daftar Koreksi'!$D$5:$D$92,'0500'!A1016,'Daftar Koreksi'!$G$5:$G$92,"Kontruksi Dalam Pengerjaan",'Daftar Koreksi'!$H$5:$H$92,"&lt;0")-SUMIFS('Daftar Koreksi'!$H$5:$H$92,'Daftar Koreksi'!$D$5:$D$92,'0500'!A1016,'Daftar Koreksi'!$G$5:$G$92,"Kontruksi Dalam Pengerjaan",'Daftar Koreksi'!$H$5:$H$92,"&lt;0")-SUMIFS('Daftar Koreksi'!$H$5:$H$92,'Daftar Koreksi'!$D$5:$D$92,'0500'!A1016,'Daftar Koreksi'!$G$5:$G$92,"Kontruksi Dalam Pengerjaan",'Daftar Koreksi'!$H$5:$H$92,"&lt;0")</f>
        <v>0</v>
      </c>
      <c r="G1025" s="17">
        <f t="shared" si="46"/>
        <v>0</v>
      </c>
      <c r="H1025" s="122"/>
    </row>
    <row r="1026" spans="1:8" ht="21.95" customHeight="1">
      <c r="A1026" s="14"/>
      <c r="B1026" s="14"/>
      <c r="C1026" s="16" t="s">
        <v>1172</v>
      </c>
      <c r="D1026" s="17">
        <f>VLOOKUP(A1016,'Neraca Unaudited SIMAK'!$A$2:$S$10004,10,FALSE)</f>
        <v>0</v>
      </c>
      <c r="E1026" s="25">
        <f>SUMIFS('Daftar Koreksi'!$H$5:$H$92,'Daftar Koreksi'!$D$5:$D$92,'0500'!A1016,'Daftar Koreksi'!$G$5:$G$92,"Aset Tak Berwujud",'Daftar Koreksi'!$H$5:$H$92,"&gt;0")</f>
        <v>0</v>
      </c>
      <c r="F1026" s="25">
        <f>SUMIFS('Daftar Koreksi'!$H$5:$H$92,'Daftar Koreksi'!$D$5:$D$92,'0500'!A1016,'Daftar Koreksi'!$G$5:$G$92,"Aset Tak Berwujud",'Daftar Koreksi'!$H$5:$H$92,"&lt;0")-SUMIFS('Daftar Koreksi'!$H$5:$H$92,'Daftar Koreksi'!$D$5:$D$92,'0500'!A1016,'Daftar Koreksi'!$G$5:$G$92,"Aset Tak Berwujud",'Daftar Koreksi'!$H$5:$H$92,"&lt;0")-SUMIFS('Daftar Koreksi'!$H$5:$H$92,'Daftar Koreksi'!$D$5:$D$92,'0500'!A1016,'Daftar Koreksi'!$G$5:$G$92,"Aset Tak Berwujud",'Daftar Koreksi'!$H$5:$H$92,"&lt;0")</f>
        <v>0</v>
      </c>
      <c r="G1026" s="17">
        <f t="shared" si="46"/>
        <v>0</v>
      </c>
      <c r="H1026" s="122"/>
    </row>
    <row r="1027" spans="1:8" ht="21.95" customHeight="1">
      <c r="A1027" s="14"/>
      <c r="B1027" s="14"/>
      <c r="C1027" s="16" t="s">
        <v>1173</v>
      </c>
      <c r="D1027" s="17">
        <f>VLOOKUP(A1016,'Neraca Unaudited SIMAK'!$A$2:$S$10004,11,FALSE)</f>
        <v>70998823</v>
      </c>
      <c r="E1027" s="25">
        <f>SUMIFS('Daftar Koreksi'!$H$5:$H$92,'Daftar Koreksi'!$D$5:$D$92,'0500'!A1016,'Daftar Koreksi'!$G$5:$G$92,"Aset Henti Guna",'Daftar Koreksi'!$H$5:$H$92,"&gt;0")</f>
        <v>0</v>
      </c>
      <c r="F1027" s="25">
        <f>SUMIFS('Daftar Koreksi'!$H$5:$H$92,'Daftar Koreksi'!$D$5:$D$92,'0500'!A1016,'Daftar Koreksi'!$G$5:$G$92,"Aset Henti Guna",'Daftar Koreksi'!$H$5:$H$92,"&lt;0")-SUMIFS('Daftar Koreksi'!$H$5:$H$92,'Daftar Koreksi'!$D$5:$D$92,'0500'!A1016,'Daftar Koreksi'!$G$5:$G$92,"Aset Henti Guna",'Daftar Koreksi'!$H$5:$H$92,"&lt;0")-SUMIFS('Daftar Koreksi'!$H$5:$H$92,'Daftar Koreksi'!$D$5:$D$92,'0500'!A1016,'Daftar Koreksi'!$G$5:$G$92,"Aset Henti Guna",'Daftar Koreksi'!$H$5:$H$92,"&lt;0")</f>
        <v>0</v>
      </c>
      <c r="G1027" s="17">
        <f t="shared" si="46"/>
        <v>70998823</v>
      </c>
      <c r="H1027" s="122"/>
    </row>
    <row r="1028" spans="1:8" ht="21.95" customHeight="1">
      <c r="A1028" s="14"/>
      <c r="B1028" s="14"/>
      <c r="C1028" s="18" t="s">
        <v>2093</v>
      </c>
      <c r="D1028" s="19">
        <f>VLOOKUP(A1016,'Neraca Unaudited SIMAK'!$A$2:$S$10004,12,FALSE)</f>
        <v>4887676610</v>
      </c>
      <c r="E1028" s="19">
        <f>SUM(E1019:E1027)</f>
        <v>0</v>
      </c>
      <c r="F1028" s="19">
        <f>SUM(F1019:F1027)</f>
        <v>0</v>
      </c>
      <c r="G1028" s="19">
        <f t="shared" si="46"/>
        <v>4887676610</v>
      </c>
      <c r="H1028" s="122"/>
    </row>
    <row r="1029" spans="1:8" ht="21.95" customHeight="1">
      <c r="A1029" s="14"/>
      <c r="B1029" s="14"/>
      <c r="C1029" s="16" t="s">
        <v>2087</v>
      </c>
      <c r="D1029" s="17">
        <f>VLOOKUP(A1016,'Neraca Unaudited SIMAK'!$A$2:$S$10004,13,FALSE)</f>
        <v>-1019665975</v>
      </c>
      <c r="E1029" s="25">
        <f>SUMIFS('Daftar Koreksi'!$I$5:$I$92,'Daftar Koreksi'!$D$5:$D$92,'0500'!A1016,'Daftar Koreksi'!$G$5:$G$92,"Peralatan dan mesin",'Daftar Koreksi'!$I$5:$I$92,"&gt;0")</f>
        <v>0</v>
      </c>
      <c r="F1029" s="25">
        <f>SUMIFS('Daftar Koreksi'!$I$5:$I$92,'Daftar Koreksi'!$D$5:$D$92,'0500'!A1016,'Daftar Koreksi'!$G$5:$G$92,"Peralatan dan mesin",'Daftar Koreksi'!$I$5:$I$92,"&lt;0")-SUMIFS('Daftar Koreksi'!$I$5:$I$92,'Daftar Koreksi'!$D$5:$D$92,'0500'!A1016,'Daftar Koreksi'!$G$5:$G$92,"Peralatan dan mesin",'Daftar Koreksi'!$I$5:$I$92,"&lt;0")-SUMIFS('Daftar Koreksi'!$I$5:$I$92,'Daftar Koreksi'!$D$5:$D$92,'0500'!A1016,'Daftar Koreksi'!$G$5:$G$92,"Peralatan dan mesin",'Daftar Koreksi'!$I$5:$I$92,"&lt;0")</f>
        <v>0</v>
      </c>
      <c r="G1029" s="17">
        <f t="shared" si="46"/>
        <v>-1019665975</v>
      </c>
      <c r="H1029" s="122"/>
    </row>
    <row r="1030" spans="1:8" ht="21.95" customHeight="1">
      <c r="A1030" s="14"/>
      <c r="B1030" s="14"/>
      <c r="C1030" s="16" t="s">
        <v>2088</v>
      </c>
      <c r="D1030" s="17">
        <f>VLOOKUP(A1016,'Neraca Unaudited SIMAK'!$A$2:$S$10004,14,FALSE)</f>
        <v>-438571551</v>
      </c>
      <c r="E1030" s="25">
        <f>SUMIFS('Daftar Koreksi'!$I$5:$I$92,'Daftar Koreksi'!$D$5:$D$92,'0500'!A1016,'Daftar Koreksi'!$G$5:$G$92,"Gedung dan Bangunan",'Daftar Koreksi'!$I$5:$I$92,"&gt;0")</f>
        <v>0</v>
      </c>
      <c r="F1030" s="25">
        <f>SUMIFS('Daftar Koreksi'!$I$5:$I$92,'Daftar Koreksi'!$D$5:$D$92,'0500'!A1016,'Daftar Koreksi'!$G$5:$G$92,"Gedung dan Bangunan",'Daftar Koreksi'!$I$5:$I$92,"&lt;0")-SUMIFS('Daftar Koreksi'!$I$5:$I$92,'Daftar Koreksi'!$D$5:$D$92,'0500'!A1016,'Daftar Koreksi'!$G$5:$G$92,"Gedung dan Bangunan",'Daftar Koreksi'!$I$5:$I$92,"&lt;0")-SUMIFS('Daftar Koreksi'!$I$5:$I$92,'Daftar Koreksi'!$D$5:$D$92,'0500'!A1016,'Daftar Koreksi'!$G$5:$G$92,"Gedung dan Bangunan",'Daftar Koreksi'!$I$5:$I$92,"&lt;0")</f>
        <v>0</v>
      </c>
      <c r="G1030" s="17">
        <f t="shared" si="46"/>
        <v>-438571551</v>
      </c>
      <c r="H1030" s="122"/>
    </row>
    <row r="1031" spans="1:8" ht="21.95" customHeight="1">
      <c r="A1031" s="14"/>
      <c r="B1031" s="14"/>
      <c r="C1031" s="16" t="s">
        <v>2089</v>
      </c>
      <c r="D1031" s="17">
        <f>VLOOKUP(A1016,'Neraca Unaudited SIMAK'!$A$2:$S$10004,15,FALSE)</f>
        <v>0</v>
      </c>
      <c r="E1031" s="25">
        <f>SUMIFS('Daftar Koreksi'!$I$5:$I$92,'Daftar Koreksi'!$D$5:$D$92,'0500'!A1016,'Daftar Koreksi'!$G$5:$G$92,"Jalan Irigasi Jaringan",'Daftar Koreksi'!$I$5:$I$92,"&gt;0")</f>
        <v>0</v>
      </c>
      <c r="F1031" s="25">
        <f>SUMIFS('Daftar Koreksi'!$I$5:$I$92,'Daftar Koreksi'!$D$5:$D$92,'0500'!A1016,'Daftar Koreksi'!$G$5:$G$92,"Jalan Irigasi Jaringan",'Daftar Koreksi'!$I$5:$I$92,"&lt;0")-SUMIFS('Daftar Koreksi'!$I$5:$I$92,'Daftar Koreksi'!$D$5:$D$92,'0500'!A1016,'Daftar Koreksi'!$G$5:$G$92,"Jalan Irigasi Jaringan",'Daftar Koreksi'!$I$5:$I$92,"&lt;0")-SUMIFS('Daftar Koreksi'!$I$5:$I$92,'Daftar Koreksi'!$D$5:$D$92,'0500'!A1016,'Daftar Koreksi'!$G$5:$G$92,"Jalan Irigasi Jaringan",'Daftar Koreksi'!$I$5:$I$92,"&lt;0")</f>
        <v>0</v>
      </c>
      <c r="G1031" s="17">
        <f t="shared" si="46"/>
        <v>0</v>
      </c>
      <c r="H1031" s="122"/>
    </row>
    <row r="1032" spans="1:8" ht="21.95" customHeight="1">
      <c r="A1032" s="14"/>
      <c r="B1032" s="14"/>
      <c r="C1032" s="16" t="s">
        <v>2090</v>
      </c>
      <c r="D1032" s="17">
        <f>VLOOKUP(A1016,'Neraca Unaudited SIMAK'!$A$2:$S$10004,16,FALSE)</f>
        <v>0</v>
      </c>
      <c r="E1032" s="25">
        <f>SUMIFS('Daftar Koreksi'!$I$5:$I$92,'Daftar Koreksi'!$D$5:$D$92,'0500'!A1016,'Daftar Koreksi'!$G$5:$G$92,"Aset Tetap Lainnya",'Daftar Koreksi'!$I$5:$I$92,"&gt;0")</f>
        <v>0</v>
      </c>
      <c r="F1032" s="25">
        <f>SUMIFS('Daftar Koreksi'!$I$5:$I$92,'Daftar Koreksi'!$D$5:$D$92,'0500'!A1016,'Daftar Koreksi'!$G$5:$G$92,"Aset Tetap Lainnya",'Daftar Koreksi'!$I$5:$I$92,"&lt;0")-SUMIFS('Daftar Koreksi'!$I$5:$I$92,'Daftar Koreksi'!$D$5:$D$92,'0500'!A1016,'Daftar Koreksi'!$G$5:$G$92,"Aset Tetap Lainnya",'Daftar Koreksi'!$I$5:$I$92,"&lt;0")-SUMIFS('Daftar Koreksi'!$I$5:$I$92,'Daftar Koreksi'!$D$5:$D$92,'0500'!A1016,'Daftar Koreksi'!$G$5:$G$92,"Aset Tetap Lainnya",'Daftar Koreksi'!$I$5:$I$92,"&lt;0")</f>
        <v>0</v>
      </c>
      <c r="G1032" s="17">
        <f t="shared" si="46"/>
        <v>0</v>
      </c>
      <c r="H1032" s="122"/>
    </row>
    <row r="1033" spans="1:8" ht="21.95" customHeight="1">
      <c r="A1033" s="14"/>
      <c r="B1033" s="14"/>
      <c r="C1033" s="16" t="s">
        <v>2020</v>
      </c>
      <c r="D1033" s="17">
        <f>VLOOKUP(A1016,'Neraca Unaudited SIMAK'!$A$2:$S$10004,17,FALSE)</f>
        <v>-55318823</v>
      </c>
      <c r="E1033" s="25">
        <f>SUMIFS('Daftar Koreksi'!$I$5:$I$92,'Daftar Koreksi'!$D$5:$D$92,'0500'!A1016,'Daftar Koreksi'!$G$5:$G$92,"Aset Henti Guna",'Daftar Koreksi'!$I$5:$I$92,"&gt;0")</f>
        <v>0</v>
      </c>
      <c r="F1033" s="25">
        <f>SUMIFS('Daftar Koreksi'!$I$5:$I$92,'Daftar Koreksi'!$D$5:$D$92,'0500'!A1016,'Daftar Koreksi'!$G$5:$G$92,"Aset Henti Guna",'Daftar Koreksi'!$I$5:$I$92,"&lt;0")-SUMIFS('Daftar Koreksi'!$I$5:$I$92,'Daftar Koreksi'!$D$5:$D$92,'0500'!A1016,'Daftar Koreksi'!$G$5:$G$92,"Aset Henti Guna",'Daftar Koreksi'!$I$5:$I$92,"&lt;0")-SUMIFS('Daftar Koreksi'!$I$5:$I$92,'Daftar Koreksi'!$D$5:$D$92,'0500'!A1016,'Daftar Koreksi'!$G$5:$G$92,"Aset Henti Guna",'Daftar Koreksi'!$I$5:$I$92,"&lt;0")</f>
        <v>0</v>
      </c>
      <c r="G1033" s="17">
        <f t="shared" si="46"/>
        <v>-55318823</v>
      </c>
      <c r="H1033" s="122"/>
    </row>
    <row r="1034" spans="1:8" ht="21.95" customHeight="1">
      <c r="A1034" s="14"/>
      <c r="B1034" s="14"/>
      <c r="C1034" s="18" t="s">
        <v>2094</v>
      </c>
      <c r="D1034" s="19">
        <f>SUM(D1029:D1033)</f>
        <v>-1513556349</v>
      </c>
      <c r="E1034" s="19">
        <f>SUM(E1029:E1033)</f>
        <v>0</v>
      </c>
      <c r="F1034" s="19">
        <f>SUM(F1029:F1033)</f>
        <v>0</v>
      </c>
      <c r="G1034" s="19">
        <f t="shared" si="46"/>
        <v>-1513556349</v>
      </c>
      <c r="H1034" s="122"/>
    </row>
    <row r="1035" spans="1:8" ht="21.95" customHeight="1">
      <c r="A1035" s="14"/>
      <c r="B1035" s="14"/>
      <c r="C1035" s="18" t="s">
        <v>2095</v>
      </c>
      <c r="D1035" s="19">
        <f>VLOOKUP(A1016,'Neraca Unaudited SIMAK'!$A$2:$S$10004,18,FALSE)</f>
        <v>3374120261</v>
      </c>
      <c r="E1035" s="19">
        <f>E1034+E1028</f>
        <v>0</v>
      </c>
      <c r="F1035" s="19">
        <f>F1034+F1028</f>
        <v>0</v>
      </c>
      <c r="G1035" s="19">
        <f t="shared" si="46"/>
        <v>3374120261</v>
      </c>
      <c r="H1035" s="122"/>
    </row>
    <row r="1036" spans="1:8" ht="21.95" customHeight="1">
      <c r="A1036" s="14"/>
      <c r="B1036" s="14"/>
      <c r="C1036" s="16" t="s">
        <v>2091</v>
      </c>
      <c r="D1036" s="17">
        <f>VLOOKUP(A1016,'Neraca Unaudited SIMAK'!$A$2:$S$10004,19,FALSE)</f>
        <v>0</v>
      </c>
      <c r="E1036" s="25"/>
      <c r="F1036" s="25"/>
      <c r="G1036" s="17">
        <f t="shared" si="46"/>
        <v>0</v>
      </c>
      <c r="H1036" s="123"/>
    </row>
    <row r="1038" spans="1:8" ht="19.5" customHeight="1">
      <c r="A1038" s="11" t="str">
        <f>O48</f>
        <v>005010500401369000KD</v>
      </c>
      <c r="B1038" s="11" t="str">
        <f>P48</f>
        <v>PA. Banyuwangi</v>
      </c>
      <c r="C1038" s="12" t="str">
        <f>A1038&amp;" "&amp;B1038</f>
        <v>005010500401369000KD PA. Banyuwangi</v>
      </c>
      <c r="D1038" s="13"/>
      <c r="E1038" s="13"/>
      <c r="F1038" s="13"/>
      <c r="G1038" s="13"/>
      <c r="H1038" s="11"/>
    </row>
    <row r="1039" spans="1:8" ht="21.95" customHeight="1">
      <c r="A1039" s="14"/>
      <c r="B1039" s="14"/>
      <c r="C1039" s="124" t="s">
        <v>1982</v>
      </c>
      <c r="D1039" s="126" t="s">
        <v>1983</v>
      </c>
      <c r="E1039" s="132" t="s">
        <v>1984</v>
      </c>
      <c r="F1039" s="132"/>
      <c r="G1039" s="126" t="s">
        <v>1987</v>
      </c>
      <c r="H1039" s="130" t="s">
        <v>1175</v>
      </c>
    </row>
    <row r="1040" spans="1:8" ht="21.95" customHeight="1">
      <c r="A1040" s="14"/>
      <c r="B1040" s="14"/>
      <c r="C1040" s="125"/>
      <c r="D1040" s="127"/>
      <c r="E1040" s="26" t="s">
        <v>1985</v>
      </c>
      <c r="F1040" s="26" t="s">
        <v>1986</v>
      </c>
      <c r="G1040" s="127"/>
      <c r="H1040" s="131"/>
    </row>
    <row r="1041" spans="1:8" ht="21.95" customHeight="1">
      <c r="A1041" s="14"/>
      <c r="B1041" s="14"/>
      <c r="C1041" s="16" t="s">
        <v>1165</v>
      </c>
      <c r="D1041" s="17">
        <f>VLOOKUP(A1038,'Neraca Unaudited SIMAK'!$A$2:$S$10004,3,FALSE)</f>
        <v>266400</v>
      </c>
      <c r="E1041" s="25">
        <f>SUMIFS('Daftar Koreksi'!$H$5:$H$92,'Daftar Koreksi'!$D$5:$D$92,'0500'!A1038,'Daftar Koreksi'!$G$5:$G$92,"Persediaan",'Daftar Koreksi'!$H$5:$H$92,"&gt;0")</f>
        <v>0</v>
      </c>
      <c r="F1041" s="25">
        <f>SUMIFS('Daftar Koreksi'!$H$5:$H$92,'Daftar Koreksi'!$D$5:$D$92,'0500'!A1038,'Daftar Koreksi'!$G$5:$G$92,"Persediaan",'Daftar Koreksi'!$H$5:$H$92,"&lt;0")-SUMIFS('Daftar Koreksi'!$H$5:$H$92,'Daftar Koreksi'!$D$5:$D$92,'0500'!A1038,'Daftar Koreksi'!$G$5:$G$92,"Persediaan",'Daftar Koreksi'!$H$5:$H$92,"&lt;0")-SUMIFS('Daftar Koreksi'!$H$5:$H$92,'Daftar Koreksi'!$D$5:$D$92,'0500'!A1038,'Daftar Koreksi'!$G$5:$G$92,"Persediaan",'Daftar Koreksi'!$H$5:$H$92,"&lt;0")</f>
        <v>0</v>
      </c>
      <c r="G1041" s="17">
        <f>D1041+E1041-F1041</f>
        <v>266400</v>
      </c>
      <c r="H1041" s="121" t="str">
        <f>IF(ISNA(VLOOKUP(A1038,'Mutasi Neraca'!$A$3:$S$914,19,FALSE)),"-",VLOOKUP(A1038,'Mutasi Neraca'!$A$3:$S$914,19,FALSE))</f>
        <v>-</v>
      </c>
    </row>
    <row r="1042" spans="1:8" ht="21.95" customHeight="1">
      <c r="A1042" s="14"/>
      <c r="B1042" s="14"/>
      <c r="C1042" s="16" t="s">
        <v>1166</v>
      </c>
      <c r="D1042" s="17">
        <f>VLOOKUP(A1038,'Neraca Unaudited SIMAK'!$A$2:$S$10004,4,FALSE)</f>
        <v>1919124000</v>
      </c>
      <c r="E1042" s="25">
        <f>SUMIFS('Daftar Koreksi'!$H$5:$H$92,'Daftar Koreksi'!$D$5:$D$92,'0500'!A1038,'Daftar Koreksi'!$G$5:$G$92,"Tanah",'Daftar Koreksi'!$H$5:$H$92,"&gt;0")</f>
        <v>0</v>
      </c>
      <c r="F1042" s="25">
        <f>SUMIFS('Daftar Koreksi'!$H$5:$H$92,'Daftar Koreksi'!$D$5:$D$92,'0500'!A1038,'Daftar Koreksi'!$G$5:$G$92,"Tanah",'Daftar Koreksi'!$H$5:$H$92,"&lt;0")-SUMIFS('Daftar Koreksi'!$H$5:$H$92,'Daftar Koreksi'!$D$5:$D$92,'0500'!A1038,'Daftar Koreksi'!$G$5:$G$92,"Tanah",'Daftar Koreksi'!$H$5:$H$92,"&lt;0")-SUMIFS('Daftar Koreksi'!$H$5:$H$92,'Daftar Koreksi'!$D$5:$D$92,'0500'!A1038,'Daftar Koreksi'!$G$5:$G$92,"Tanah",'Daftar Koreksi'!$H$5:$H$92,"&lt;0")</f>
        <v>0</v>
      </c>
      <c r="G1042" s="17">
        <f t="shared" ref="G1042:G1058" si="47">D1042+E1042-F1042</f>
        <v>1919124000</v>
      </c>
      <c r="H1042" s="122"/>
    </row>
    <row r="1043" spans="1:8" ht="21.95" customHeight="1">
      <c r="A1043" s="14"/>
      <c r="B1043" s="14"/>
      <c r="C1043" s="16" t="s">
        <v>1167</v>
      </c>
      <c r="D1043" s="17">
        <f>VLOOKUP(A1038,'Neraca Unaudited SIMAK'!$A$2:$S$10004,5,FALSE)</f>
        <v>1174070748</v>
      </c>
      <c r="E1043" s="25">
        <f>SUMIFS('Daftar Koreksi'!$H$5:$H$92,'Daftar Koreksi'!$D$5:$D$92,'0500'!A1038,'Daftar Koreksi'!$G$5:$G$92,"Peralatan dan mesin",'Daftar Koreksi'!$H$5:$H$92,"&gt;0")</f>
        <v>0</v>
      </c>
      <c r="F1043" s="25">
        <f>SUMIFS('Daftar Koreksi'!$H$5:$H$92,'Daftar Koreksi'!$D$5:$D$92,'0500'!A1038,'Daftar Koreksi'!$G$5:$G$92,"Peralatan dan mesin",'Daftar Koreksi'!$H$5:$H$92,"&lt;0")-SUMIFS('Daftar Koreksi'!$H$5:$H$92,'Daftar Koreksi'!$D$5:$D$92,'0500'!A1038,'Daftar Koreksi'!$G$5:$G$92,"Peralatan dan mesin",'Daftar Koreksi'!$H$5:$H$92,"&lt;0")-SUMIFS('Daftar Koreksi'!$H$5:$H$92,'Daftar Koreksi'!$D$5:$D$92,'0500'!A1038,'Daftar Koreksi'!$G$5:$G$92,"Peralatan dan mesin",'Daftar Koreksi'!$H$5:$H$92,"&lt;0")</f>
        <v>0</v>
      </c>
      <c r="G1043" s="17">
        <f t="shared" si="47"/>
        <v>1174070748</v>
      </c>
      <c r="H1043" s="122"/>
    </row>
    <row r="1044" spans="1:8" ht="21.95" customHeight="1">
      <c r="A1044" s="14"/>
      <c r="B1044" s="14"/>
      <c r="C1044" s="16" t="s">
        <v>1168</v>
      </c>
      <c r="D1044" s="17">
        <f>VLOOKUP(A1038,'Neraca Unaudited SIMAK'!$A$2:$S$10004,6,FALSE)</f>
        <v>807397000</v>
      </c>
      <c r="E1044" s="25">
        <f>SUMIFS('Daftar Koreksi'!$H$5:$H$92,'Daftar Koreksi'!$D$5:$D$92,'0500'!A1038,'Daftar Koreksi'!$G$5:$G$92,"Gedung dan Bangunan",'Daftar Koreksi'!$H$5:$H$92,"&gt;0")</f>
        <v>0</v>
      </c>
      <c r="F1044" s="25">
        <f>SUMIFS('Daftar Koreksi'!$H$5:$H$92,'Daftar Koreksi'!$D$5:$D$92,'0500'!A1038,'Daftar Koreksi'!$G$5:$G$92,"Gedung dan Bangunan",'Daftar Koreksi'!$H$5:$H$92,"&lt;0")-SUMIFS('Daftar Koreksi'!$H$5:$H$92,'Daftar Koreksi'!$D$5:$D$92,'0500'!A1038,'Daftar Koreksi'!$G$5:$G$92,"Gedung dan Bangunan",'Daftar Koreksi'!$H$5:$H$92,"&lt;0")-SUMIFS('Daftar Koreksi'!$H$5:$H$92,'Daftar Koreksi'!$D$5:$D$92,'0500'!A1038,'Daftar Koreksi'!$G$5:$G$92,"Gedung dan Bangunan",'Daftar Koreksi'!$H$5:$H$92,"&lt;0")</f>
        <v>0</v>
      </c>
      <c r="G1044" s="17">
        <f t="shared" si="47"/>
        <v>807397000</v>
      </c>
      <c r="H1044" s="122"/>
    </row>
    <row r="1045" spans="1:8" ht="21.95" customHeight="1">
      <c r="A1045" s="14"/>
      <c r="B1045" s="14"/>
      <c r="C1045" s="16" t="s">
        <v>1169</v>
      </c>
      <c r="D1045" s="17">
        <f>VLOOKUP(A1038,'Neraca Unaudited SIMAK'!$A$2:$S$10004,7,FALSE)</f>
        <v>0</v>
      </c>
      <c r="E1045" s="25">
        <f>SUMIFS('Daftar Koreksi'!$H$5:$H$92,'Daftar Koreksi'!$D$5:$D$92,'0500'!A1038,'Daftar Koreksi'!$G$5:$G$92,"Jalan Irigasi Jaringan",'Daftar Koreksi'!$H$5:$H$92,"&gt;0")</f>
        <v>0</v>
      </c>
      <c r="F1045" s="25">
        <f>SUMIFS('Daftar Koreksi'!$H$5:$H$92,'Daftar Koreksi'!$D$5:$D$92,'0500'!A1038,'Daftar Koreksi'!$G$5:$G$92,"Jalan Irigasi Jaringan",'Daftar Koreksi'!$H$5:$H$92,"&lt;0")-SUMIFS('Daftar Koreksi'!$H$5:$H$92,'Daftar Koreksi'!$D$5:$D$92,'0500'!A1038,'Daftar Koreksi'!$G$5:$G$92,"Jalan Irigasi Jaringan",'Daftar Koreksi'!$H$5:$H$92,"&lt;0")-SUMIFS('Daftar Koreksi'!$H$5:$H$92,'Daftar Koreksi'!$D$5:$D$92,'0500'!A1038,'Daftar Koreksi'!$G$5:$G$92,"Jalan Irigasi Jaringan",'Daftar Koreksi'!$H$5:$H$92,"&lt;0")</f>
        <v>0</v>
      </c>
      <c r="G1045" s="17">
        <f t="shared" si="47"/>
        <v>0</v>
      </c>
      <c r="H1045" s="122"/>
    </row>
    <row r="1046" spans="1:8" ht="21.95" customHeight="1">
      <c r="A1046" s="14"/>
      <c r="B1046" s="14"/>
      <c r="C1046" s="16" t="s">
        <v>1170</v>
      </c>
      <c r="D1046" s="17">
        <f>VLOOKUP(A1038,'Neraca Unaudited SIMAK'!$A$2:$S$10004,8,FALSE)</f>
        <v>846000</v>
      </c>
      <c r="E1046" s="25">
        <f>SUMIFS('Daftar Koreksi'!$H$5:$H$92,'Daftar Koreksi'!$D$5:$D$92,'0500'!A1038,'Daftar Koreksi'!$G$5:$G$92,"Aset Tetap Lainnya",'Daftar Koreksi'!$H$5:$H$92,"&gt;0")</f>
        <v>0</v>
      </c>
      <c r="F1046" s="25">
        <f>SUMIFS('Daftar Koreksi'!$H$5:$H$92,'Daftar Koreksi'!$D$5:$D$92,'0500'!A1038,'Daftar Koreksi'!$G$5:$G$92,"Aset Tetap Lainnya",'Daftar Koreksi'!$H$5:$H$92,"&lt;0")-SUMIFS('Daftar Koreksi'!$H$5:$H$92,'Daftar Koreksi'!$D$5:$D$92,'0500'!A1038,'Daftar Koreksi'!$G$5:$G$92,"Aset Tetap Lainnya",'Daftar Koreksi'!$H$5:$H$92,"&lt;0")-SUMIFS('Daftar Koreksi'!$H$5:$H$92,'Daftar Koreksi'!$D$5:$D$92,'0500'!A1038,'Daftar Koreksi'!$G$5:$G$92,"Aset Tetap Lainnya",'Daftar Koreksi'!$H$5:$H$92,"&lt;0")</f>
        <v>0</v>
      </c>
      <c r="G1046" s="17">
        <f t="shared" si="47"/>
        <v>846000</v>
      </c>
      <c r="H1046" s="122"/>
    </row>
    <row r="1047" spans="1:8" ht="21.95" customHeight="1">
      <c r="A1047" s="14"/>
      <c r="B1047" s="14"/>
      <c r="C1047" s="16" t="s">
        <v>1171</v>
      </c>
      <c r="D1047" s="17">
        <f>VLOOKUP(A1038,'Neraca Unaudited SIMAK'!$A$2:$S$10004,9,FALSE)</f>
        <v>0</v>
      </c>
      <c r="E1047" s="25">
        <f>SUMIFS('Daftar Koreksi'!$H$5:$H$92,'Daftar Koreksi'!$D$5:$D$92,'0500'!A1038,'Daftar Koreksi'!$G$5:$G$92,"Kontruksi Dalam Pengerjaan",'Daftar Koreksi'!$H$5:$H$92,"&gt;0")</f>
        <v>0</v>
      </c>
      <c r="F1047" s="25">
        <f>SUMIFS('Daftar Koreksi'!$H$5:$H$92,'Daftar Koreksi'!$D$5:$D$92,'0500'!A1038,'Daftar Koreksi'!$G$5:$G$92,"Kontruksi Dalam Pengerjaan",'Daftar Koreksi'!$H$5:$H$92,"&lt;0")-SUMIFS('Daftar Koreksi'!$H$5:$H$92,'Daftar Koreksi'!$D$5:$D$92,'0500'!A1038,'Daftar Koreksi'!$G$5:$G$92,"Kontruksi Dalam Pengerjaan",'Daftar Koreksi'!$H$5:$H$92,"&lt;0")-SUMIFS('Daftar Koreksi'!$H$5:$H$92,'Daftar Koreksi'!$D$5:$D$92,'0500'!A1038,'Daftar Koreksi'!$G$5:$G$92,"Kontruksi Dalam Pengerjaan",'Daftar Koreksi'!$H$5:$H$92,"&lt;0")</f>
        <v>0</v>
      </c>
      <c r="G1047" s="17">
        <f t="shared" si="47"/>
        <v>0</v>
      </c>
      <c r="H1047" s="122"/>
    </row>
    <row r="1048" spans="1:8" ht="21.95" customHeight="1">
      <c r="A1048" s="14"/>
      <c r="B1048" s="14"/>
      <c r="C1048" s="16" t="s">
        <v>1172</v>
      </c>
      <c r="D1048" s="17">
        <f>VLOOKUP(A1038,'Neraca Unaudited SIMAK'!$A$2:$S$10004,10,FALSE)</f>
        <v>0</v>
      </c>
      <c r="E1048" s="25">
        <f>SUMIFS('Daftar Koreksi'!$H$5:$H$92,'Daftar Koreksi'!$D$5:$D$92,'0500'!A1038,'Daftar Koreksi'!$G$5:$G$92,"Aset Tak Berwujud",'Daftar Koreksi'!$H$5:$H$92,"&gt;0")</f>
        <v>0</v>
      </c>
      <c r="F1048" s="25">
        <f>SUMIFS('Daftar Koreksi'!$H$5:$H$92,'Daftar Koreksi'!$D$5:$D$92,'0500'!A1038,'Daftar Koreksi'!$G$5:$G$92,"Aset Tak Berwujud",'Daftar Koreksi'!$H$5:$H$92,"&lt;0")-SUMIFS('Daftar Koreksi'!$H$5:$H$92,'Daftar Koreksi'!$D$5:$D$92,'0500'!A1038,'Daftar Koreksi'!$G$5:$G$92,"Aset Tak Berwujud",'Daftar Koreksi'!$H$5:$H$92,"&lt;0")-SUMIFS('Daftar Koreksi'!$H$5:$H$92,'Daftar Koreksi'!$D$5:$D$92,'0500'!A1038,'Daftar Koreksi'!$G$5:$G$92,"Aset Tak Berwujud",'Daftar Koreksi'!$H$5:$H$92,"&lt;0")</f>
        <v>0</v>
      </c>
      <c r="G1048" s="17">
        <f t="shared" si="47"/>
        <v>0</v>
      </c>
      <c r="H1048" s="122"/>
    </row>
    <row r="1049" spans="1:8" ht="21.95" customHeight="1">
      <c r="A1049" s="14"/>
      <c r="B1049" s="14"/>
      <c r="C1049" s="16" t="s">
        <v>1173</v>
      </c>
      <c r="D1049" s="17">
        <f>VLOOKUP(A1038,'Neraca Unaudited SIMAK'!$A$2:$S$10004,11,FALSE)</f>
        <v>0</v>
      </c>
      <c r="E1049" s="25">
        <f>SUMIFS('Daftar Koreksi'!$H$5:$H$92,'Daftar Koreksi'!$D$5:$D$92,'0500'!A1038,'Daftar Koreksi'!$G$5:$G$92,"Aset Henti Guna",'Daftar Koreksi'!$H$5:$H$92,"&gt;0")</f>
        <v>0</v>
      </c>
      <c r="F1049" s="25">
        <f>SUMIFS('Daftar Koreksi'!$H$5:$H$92,'Daftar Koreksi'!$D$5:$D$92,'0500'!A1038,'Daftar Koreksi'!$G$5:$G$92,"Aset Henti Guna",'Daftar Koreksi'!$H$5:$H$92,"&lt;0")-SUMIFS('Daftar Koreksi'!$H$5:$H$92,'Daftar Koreksi'!$D$5:$D$92,'0500'!A1038,'Daftar Koreksi'!$G$5:$G$92,"Aset Henti Guna",'Daftar Koreksi'!$H$5:$H$92,"&lt;0")-SUMIFS('Daftar Koreksi'!$H$5:$H$92,'Daftar Koreksi'!$D$5:$D$92,'0500'!A1038,'Daftar Koreksi'!$G$5:$G$92,"Aset Henti Guna",'Daftar Koreksi'!$H$5:$H$92,"&lt;0")</f>
        <v>0</v>
      </c>
      <c r="G1049" s="17">
        <f t="shared" si="47"/>
        <v>0</v>
      </c>
      <c r="H1049" s="122"/>
    </row>
    <row r="1050" spans="1:8" ht="21.95" customHeight="1">
      <c r="A1050" s="14"/>
      <c r="B1050" s="14"/>
      <c r="C1050" s="18" t="s">
        <v>2093</v>
      </c>
      <c r="D1050" s="19">
        <f>VLOOKUP(A1038,'Neraca Unaudited SIMAK'!$A$2:$S$10004,12,FALSE)</f>
        <v>3901704148</v>
      </c>
      <c r="E1050" s="19">
        <f>SUM(E1041:E1049)</f>
        <v>0</v>
      </c>
      <c r="F1050" s="19">
        <f>SUM(F1041:F1049)</f>
        <v>0</v>
      </c>
      <c r="G1050" s="19">
        <f t="shared" si="47"/>
        <v>3901704148</v>
      </c>
      <c r="H1050" s="122"/>
    </row>
    <row r="1051" spans="1:8" ht="21.95" customHeight="1">
      <c r="A1051" s="14"/>
      <c r="B1051" s="14"/>
      <c r="C1051" s="16" t="s">
        <v>2087</v>
      </c>
      <c r="D1051" s="17">
        <f>VLOOKUP(A1038,'Neraca Unaudited SIMAK'!$A$2:$S$10004,13,FALSE)</f>
        <v>-1048662166</v>
      </c>
      <c r="E1051" s="25">
        <f>SUMIFS('Daftar Koreksi'!$I$5:$I$92,'Daftar Koreksi'!$D$5:$D$92,'0500'!A1038,'Daftar Koreksi'!$G$5:$G$92,"Peralatan dan mesin",'Daftar Koreksi'!$I$5:$I$92,"&gt;0")</f>
        <v>0</v>
      </c>
      <c r="F1051" s="25">
        <f>SUMIFS('Daftar Koreksi'!$I$5:$I$92,'Daftar Koreksi'!$D$5:$D$92,'0500'!A1038,'Daftar Koreksi'!$G$5:$G$92,"Peralatan dan mesin",'Daftar Koreksi'!$I$5:$I$92,"&lt;0")-SUMIFS('Daftar Koreksi'!$I$5:$I$92,'Daftar Koreksi'!$D$5:$D$92,'0500'!A1038,'Daftar Koreksi'!$G$5:$G$92,"Peralatan dan mesin",'Daftar Koreksi'!$I$5:$I$92,"&lt;0")-SUMIFS('Daftar Koreksi'!$I$5:$I$92,'Daftar Koreksi'!$D$5:$D$92,'0500'!A1038,'Daftar Koreksi'!$G$5:$G$92,"Peralatan dan mesin",'Daftar Koreksi'!$I$5:$I$92,"&lt;0")</f>
        <v>0</v>
      </c>
      <c r="G1051" s="17">
        <f t="shared" si="47"/>
        <v>-1048662166</v>
      </c>
      <c r="H1051" s="122"/>
    </row>
    <row r="1052" spans="1:8" ht="21.95" customHeight="1">
      <c r="A1052" s="14"/>
      <c r="B1052" s="14"/>
      <c r="C1052" s="16" t="s">
        <v>2088</v>
      </c>
      <c r="D1052" s="17">
        <f>VLOOKUP(A1038,'Neraca Unaudited SIMAK'!$A$2:$S$10004,14,FALSE)</f>
        <v>-324262313</v>
      </c>
      <c r="E1052" s="25">
        <f>SUMIFS('Daftar Koreksi'!$I$5:$I$92,'Daftar Koreksi'!$D$5:$D$92,'0500'!A1038,'Daftar Koreksi'!$G$5:$G$92,"Gedung dan Bangunan",'Daftar Koreksi'!$I$5:$I$92,"&gt;0")</f>
        <v>0</v>
      </c>
      <c r="F1052" s="25">
        <f>SUMIFS('Daftar Koreksi'!$I$5:$I$92,'Daftar Koreksi'!$D$5:$D$92,'0500'!A1038,'Daftar Koreksi'!$G$5:$G$92,"Gedung dan Bangunan",'Daftar Koreksi'!$I$5:$I$92,"&lt;0")-SUMIFS('Daftar Koreksi'!$I$5:$I$92,'Daftar Koreksi'!$D$5:$D$92,'0500'!A1038,'Daftar Koreksi'!$G$5:$G$92,"Gedung dan Bangunan",'Daftar Koreksi'!$I$5:$I$92,"&lt;0")-SUMIFS('Daftar Koreksi'!$I$5:$I$92,'Daftar Koreksi'!$D$5:$D$92,'0500'!A1038,'Daftar Koreksi'!$G$5:$G$92,"Gedung dan Bangunan",'Daftar Koreksi'!$I$5:$I$92,"&lt;0")</f>
        <v>0</v>
      </c>
      <c r="G1052" s="17">
        <f t="shared" si="47"/>
        <v>-324262313</v>
      </c>
      <c r="H1052" s="122"/>
    </row>
    <row r="1053" spans="1:8" ht="21.95" customHeight="1">
      <c r="A1053" s="14"/>
      <c r="B1053" s="14"/>
      <c r="C1053" s="16" t="s">
        <v>2089</v>
      </c>
      <c r="D1053" s="17">
        <f>VLOOKUP(A1038,'Neraca Unaudited SIMAK'!$A$2:$S$10004,15,FALSE)</f>
        <v>0</v>
      </c>
      <c r="E1053" s="25">
        <f>SUMIFS('Daftar Koreksi'!$I$5:$I$92,'Daftar Koreksi'!$D$5:$D$92,'0500'!A1038,'Daftar Koreksi'!$G$5:$G$92,"Jalan Irigasi Jaringan",'Daftar Koreksi'!$I$5:$I$92,"&gt;0")</f>
        <v>0</v>
      </c>
      <c r="F1053" s="25">
        <f>SUMIFS('Daftar Koreksi'!$I$5:$I$92,'Daftar Koreksi'!$D$5:$D$92,'0500'!A1038,'Daftar Koreksi'!$G$5:$G$92,"Jalan Irigasi Jaringan",'Daftar Koreksi'!$I$5:$I$92,"&lt;0")-SUMIFS('Daftar Koreksi'!$I$5:$I$92,'Daftar Koreksi'!$D$5:$D$92,'0500'!A1038,'Daftar Koreksi'!$G$5:$G$92,"Jalan Irigasi Jaringan",'Daftar Koreksi'!$I$5:$I$92,"&lt;0")-SUMIFS('Daftar Koreksi'!$I$5:$I$92,'Daftar Koreksi'!$D$5:$D$92,'0500'!A1038,'Daftar Koreksi'!$G$5:$G$92,"Jalan Irigasi Jaringan",'Daftar Koreksi'!$I$5:$I$92,"&lt;0")</f>
        <v>0</v>
      </c>
      <c r="G1053" s="17">
        <f t="shared" si="47"/>
        <v>0</v>
      </c>
      <c r="H1053" s="122"/>
    </row>
    <row r="1054" spans="1:8" ht="21.95" customHeight="1">
      <c r="A1054" s="14"/>
      <c r="B1054" s="14"/>
      <c r="C1054" s="16" t="s">
        <v>2090</v>
      </c>
      <c r="D1054" s="17">
        <f>VLOOKUP(A1038,'Neraca Unaudited SIMAK'!$A$2:$S$10004,16,FALSE)</f>
        <v>0</v>
      </c>
      <c r="E1054" s="25">
        <f>SUMIFS('Daftar Koreksi'!$I$5:$I$92,'Daftar Koreksi'!$D$5:$D$92,'0500'!A1038,'Daftar Koreksi'!$G$5:$G$92,"Aset Tetap Lainnya",'Daftar Koreksi'!$I$5:$I$92,"&gt;0")</f>
        <v>0</v>
      </c>
      <c r="F1054" s="25">
        <f>SUMIFS('Daftar Koreksi'!$I$5:$I$92,'Daftar Koreksi'!$D$5:$D$92,'0500'!A1038,'Daftar Koreksi'!$G$5:$G$92,"Aset Tetap Lainnya",'Daftar Koreksi'!$I$5:$I$92,"&lt;0")-SUMIFS('Daftar Koreksi'!$I$5:$I$92,'Daftar Koreksi'!$D$5:$D$92,'0500'!A1038,'Daftar Koreksi'!$G$5:$G$92,"Aset Tetap Lainnya",'Daftar Koreksi'!$I$5:$I$92,"&lt;0")-SUMIFS('Daftar Koreksi'!$I$5:$I$92,'Daftar Koreksi'!$D$5:$D$92,'0500'!A1038,'Daftar Koreksi'!$G$5:$G$92,"Aset Tetap Lainnya",'Daftar Koreksi'!$I$5:$I$92,"&lt;0")</f>
        <v>0</v>
      </c>
      <c r="G1054" s="17">
        <f t="shared" si="47"/>
        <v>0</v>
      </c>
      <c r="H1054" s="122"/>
    </row>
    <row r="1055" spans="1:8" ht="21.95" customHeight="1">
      <c r="A1055" s="14"/>
      <c r="B1055" s="14"/>
      <c r="C1055" s="16" t="s">
        <v>2020</v>
      </c>
      <c r="D1055" s="17">
        <f>VLOOKUP(A1038,'Neraca Unaudited SIMAK'!$A$2:$S$10004,17,FALSE)</f>
        <v>0</v>
      </c>
      <c r="E1055" s="25">
        <f>SUMIFS('Daftar Koreksi'!$I$5:$I$92,'Daftar Koreksi'!$D$5:$D$92,'0500'!A1038,'Daftar Koreksi'!$G$5:$G$92,"Aset Henti Guna",'Daftar Koreksi'!$I$5:$I$92,"&gt;0")</f>
        <v>0</v>
      </c>
      <c r="F1055" s="25">
        <f>SUMIFS('Daftar Koreksi'!$I$5:$I$92,'Daftar Koreksi'!$D$5:$D$92,'0500'!A1038,'Daftar Koreksi'!$G$5:$G$92,"Aset Henti Guna",'Daftar Koreksi'!$I$5:$I$92,"&lt;0")-SUMIFS('Daftar Koreksi'!$I$5:$I$92,'Daftar Koreksi'!$D$5:$D$92,'0500'!A1038,'Daftar Koreksi'!$G$5:$G$92,"Aset Henti Guna",'Daftar Koreksi'!$I$5:$I$92,"&lt;0")-SUMIFS('Daftar Koreksi'!$I$5:$I$92,'Daftar Koreksi'!$D$5:$D$92,'0500'!A1038,'Daftar Koreksi'!$G$5:$G$92,"Aset Henti Guna",'Daftar Koreksi'!$I$5:$I$92,"&lt;0")</f>
        <v>0</v>
      </c>
      <c r="G1055" s="17">
        <f t="shared" si="47"/>
        <v>0</v>
      </c>
      <c r="H1055" s="122"/>
    </row>
    <row r="1056" spans="1:8" ht="21.95" customHeight="1">
      <c r="A1056" s="14"/>
      <c r="B1056" s="14"/>
      <c r="C1056" s="18" t="s">
        <v>2094</v>
      </c>
      <c r="D1056" s="19">
        <f>SUM(D1051:D1055)</f>
        <v>-1372924479</v>
      </c>
      <c r="E1056" s="19">
        <f>SUM(E1051:E1055)</f>
        <v>0</v>
      </c>
      <c r="F1056" s="19">
        <f>SUM(F1051:F1055)</f>
        <v>0</v>
      </c>
      <c r="G1056" s="19">
        <f t="shared" si="47"/>
        <v>-1372924479</v>
      </c>
      <c r="H1056" s="122"/>
    </row>
    <row r="1057" spans="1:8" ht="21.95" customHeight="1">
      <c r="A1057" s="14"/>
      <c r="B1057" s="14"/>
      <c r="C1057" s="18" t="s">
        <v>2095</v>
      </c>
      <c r="D1057" s="19">
        <f>VLOOKUP(A1038,'Neraca Unaudited SIMAK'!$A$2:$S$10004,18,FALSE)</f>
        <v>2528779669</v>
      </c>
      <c r="E1057" s="19">
        <f>E1056+E1050</f>
        <v>0</v>
      </c>
      <c r="F1057" s="19">
        <f>F1056+F1050</f>
        <v>0</v>
      </c>
      <c r="G1057" s="19">
        <f t="shared" si="47"/>
        <v>2528779669</v>
      </c>
      <c r="H1057" s="122"/>
    </row>
    <row r="1058" spans="1:8" ht="21.95" customHeight="1">
      <c r="A1058" s="14"/>
      <c r="B1058" s="14"/>
      <c r="C1058" s="16" t="s">
        <v>2091</v>
      </c>
      <c r="D1058" s="17">
        <f>VLOOKUP(A1038,'Neraca Unaudited SIMAK'!$A$2:$S$10004,19,FALSE)</f>
        <v>0</v>
      </c>
      <c r="E1058" s="25"/>
      <c r="F1058" s="25"/>
      <c r="G1058" s="17">
        <f t="shared" si="47"/>
        <v>0</v>
      </c>
      <c r="H1058" s="123"/>
    </row>
    <row r="1060" spans="1:8" ht="19.5" customHeight="1">
      <c r="A1060" s="11" t="str">
        <f>O49</f>
        <v>005010500401375000KD</v>
      </c>
      <c r="B1060" s="11" t="str">
        <f>P49</f>
        <v>PA. Kab. Kediri</v>
      </c>
      <c r="C1060" s="12" t="str">
        <f>A1060&amp;" "&amp;B1060</f>
        <v>005010500401375000KD PA. Kab. Kediri</v>
      </c>
      <c r="D1060" s="13"/>
      <c r="E1060" s="13"/>
      <c r="F1060" s="13"/>
      <c r="G1060" s="13"/>
      <c r="H1060" s="11"/>
    </row>
    <row r="1061" spans="1:8" ht="21.95" customHeight="1">
      <c r="A1061" s="14"/>
      <c r="B1061" s="14"/>
      <c r="C1061" s="124" t="s">
        <v>1982</v>
      </c>
      <c r="D1061" s="126" t="s">
        <v>1983</v>
      </c>
      <c r="E1061" s="132" t="s">
        <v>1984</v>
      </c>
      <c r="F1061" s="132"/>
      <c r="G1061" s="126" t="s">
        <v>1987</v>
      </c>
      <c r="H1061" s="130" t="s">
        <v>1175</v>
      </c>
    </row>
    <row r="1062" spans="1:8" ht="21.95" customHeight="1">
      <c r="A1062" s="14"/>
      <c r="B1062" s="14"/>
      <c r="C1062" s="125"/>
      <c r="D1062" s="127"/>
      <c r="E1062" s="26" t="s">
        <v>1985</v>
      </c>
      <c r="F1062" s="26" t="s">
        <v>1986</v>
      </c>
      <c r="G1062" s="127"/>
      <c r="H1062" s="131"/>
    </row>
    <row r="1063" spans="1:8" ht="21.95" customHeight="1">
      <c r="A1063" s="14"/>
      <c r="B1063" s="14"/>
      <c r="C1063" s="16" t="s">
        <v>1165</v>
      </c>
      <c r="D1063" s="17">
        <f>VLOOKUP(A1060,'Neraca Unaudited SIMAK'!$A$2:$S$10004,3,FALSE)</f>
        <v>8623400</v>
      </c>
      <c r="E1063" s="25">
        <f>SUMIFS('Daftar Koreksi'!$H$5:$H$92,'Daftar Koreksi'!$D$5:$D$92,'0500'!A1060,'Daftar Koreksi'!$G$5:$G$92,"Persediaan",'Daftar Koreksi'!$H$5:$H$92,"&gt;0")</f>
        <v>0</v>
      </c>
      <c r="F1063" s="25">
        <f>SUMIFS('Daftar Koreksi'!$H$5:$H$92,'Daftar Koreksi'!$D$5:$D$92,'0500'!A1060,'Daftar Koreksi'!$G$5:$G$92,"Persediaan",'Daftar Koreksi'!$H$5:$H$92,"&lt;0")-SUMIFS('Daftar Koreksi'!$H$5:$H$92,'Daftar Koreksi'!$D$5:$D$92,'0500'!A1060,'Daftar Koreksi'!$G$5:$G$92,"Persediaan",'Daftar Koreksi'!$H$5:$H$92,"&lt;0")-SUMIFS('Daftar Koreksi'!$H$5:$H$92,'Daftar Koreksi'!$D$5:$D$92,'0500'!A1060,'Daftar Koreksi'!$G$5:$G$92,"Persediaan",'Daftar Koreksi'!$H$5:$H$92,"&lt;0")</f>
        <v>0</v>
      </c>
      <c r="G1063" s="17">
        <f>D1063+E1063-F1063</f>
        <v>8623400</v>
      </c>
      <c r="H1063" s="121" t="str">
        <f>IF(ISNA(VLOOKUP(A1060,'Mutasi Neraca'!$A$3:$S$914,19,FALSE)),"-",VLOOKUP(A1060,'Mutasi Neraca'!$A$3:$S$914,19,FALSE))</f>
        <v>-</v>
      </c>
    </row>
    <row r="1064" spans="1:8" ht="21.95" customHeight="1">
      <c r="A1064" s="14"/>
      <c r="B1064" s="14"/>
      <c r="C1064" s="16" t="s">
        <v>1166</v>
      </c>
      <c r="D1064" s="17">
        <f>VLOOKUP(A1060,'Neraca Unaudited SIMAK'!$A$2:$S$10004,4,FALSE)</f>
        <v>1249938800</v>
      </c>
      <c r="E1064" s="25">
        <f>SUMIFS('Daftar Koreksi'!$H$5:$H$92,'Daftar Koreksi'!$D$5:$D$92,'0500'!A1060,'Daftar Koreksi'!$G$5:$G$92,"Tanah",'Daftar Koreksi'!$H$5:$H$92,"&gt;0")</f>
        <v>0</v>
      </c>
      <c r="F1064" s="25">
        <f>SUMIFS('Daftar Koreksi'!$H$5:$H$92,'Daftar Koreksi'!$D$5:$D$92,'0500'!A1060,'Daftar Koreksi'!$G$5:$G$92,"Tanah",'Daftar Koreksi'!$H$5:$H$92,"&lt;0")-SUMIFS('Daftar Koreksi'!$H$5:$H$92,'Daftar Koreksi'!$D$5:$D$92,'0500'!A1060,'Daftar Koreksi'!$G$5:$G$92,"Tanah",'Daftar Koreksi'!$H$5:$H$92,"&lt;0")-SUMIFS('Daftar Koreksi'!$H$5:$H$92,'Daftar Koreksi'!$D$5:$D$92,'0500'!A1060,'Daftar Koreksi'!$G$5:$G$92,"Tanah",'Daftar Koreksi'!$H$5:$H$92,"&lt;0")</f>
        <v>0</v>
      </c>
      <c r="G1064" s="17">
        <f t="shared" ref="G1064:G1080" si="48">D1064+E1064-F1064</f>
        <v>1249938800</v>
      </c>
      <c r="H1064" s="122"/>
    </row>
    <row r="1065" spans="1:8" ht="21.95" customHeight="1">
      <c r="A1065" s="14"/>
      <c r="B1065" s="14"/>
      <c r="C1065" s="16" t="s">
        <v>1167</v>
      </c>
      <c r="D1065" s="17">
        <f>VLOOKUP(A1060,'Neraca Unaudited SIMAK'!$A$2:$S$10004,5,FALSE)</f>
        <v>1138325463</v>
      </c>
      <c r="E1065" s="25">
        <f>SUMIFS('Daftar Koreksi'!$H$5:$H$92,'Daftar Koreksi'!$D$5:$D$92,'0500'!A1060,'Daftar Koreksi'!$G$5:$G$92,"Peralatan dan mesin",'Daftar Koreksi'!$H$5:$H$92,"&gt;0")</f>
        <v>0</v>
      </c>
      <c r="F1065" s="25">
        <f>SUMIFS('Daftar Koreksi'!$H$5:$H$92,'Daftar Koreksi'!$D$5:$D$92,'0500'!A1060,'Daftar Koreksi'!$G$5:$G$92,"Peralatan dan mesin",'Daftar Koreksi'!$H$5:$H$92,"&lt;0")-SUMIFS('Daftar Koreksi'!$H$5:$H$92,'Daftar Koreksi'!$D$5:$D$92,'0500'!A1060,'Daftar Koreksi'!$G$5:$G$92,"Peralatan dan mesin",'Daftar Koreksi'!$H$5:$H$92,"&lt;0")-SUMIFS('Daftar Koreksi'!$H$5:$H$92,'Daftar Koreksi'!$D$5:$D$92,'0500'!A1060,'Daftar Koreksi'!$G$5:$G$92,"Peralatan dan mesin",'Daftar Koreksi'!$H$5:$H$92,"&lt;0")</f>
        <v>0</v>
      </c>
      <c r="G1065" s="17">
        <f t="shared" si="48"/>
        <v>1138325463</v>
      </c>
      <c r="H1065" s="122"/>
    </row>
    <row r="1066" spans="1:8" ht="21.95" customHeight="1">
      <c r="A1066" s="14"/>
      <c r="B1066" s="14"/>
      <c r="C1066" s="16" t="s">
        <v>1168</v>
      </c>
      <c r="D1066" s="17">
        <f>VLOOKUP(A1060,'Neraca Unaudited SIMAK'!$A$2:$S$10004,6,FALSE)</f>
        <v>3479105672</v>
      </c>
      <c r="E1066" s="25">
        <f>SUMIFS('Daftar Koreksi'!$H$5:$H$92,'Daftar Koreksi'!$D$5:$D$92,'0500'!A1060,'Daftar Koreksi'!$G$5:$G$92,"Gedung dan Bangunan",'Daftar Koreksi'!$H$5:$H$92,"&gt;0")</f>
        <v>0</v>
      </c>
      <c r="F1066" s="25">
        <f>SUMIFS('Daftar Koreksi'!$H$5:$H$92,'Daftar Koreksi'!$D$5:$D$92,'0500'!A1060,'Daftar Koreksi'!$G$5:$G$92,"Gedung dan Bangunan",'Daftar Koreksi'!$H$5:$H$92,"&lt;0")-SUMIFS('Daftar Koreksi'!$H$5:$H$92,'Daftar Koreksi'!$D$5:$D$92,'0500'!A1060,'Daftar Koreksi'!$G$5:$G$92,"Gedung dan Bangunan",'Daftar Koreksi'!$H$5:$H$92,"&lt;0")-SUMIFS('Daftar Koreksi'!$H$5:$H$92,'Daftar Koreksi'!$D$5:$D$92,'0500'!A1060,'Daftar Koreksi'!$G$5:$G$92,"Gedung dan Bangunan",'Daftar Koreksi'!$H$5:$H$92,"&lt;0")</f>
        <v>0</v>
      </c>
      <c r="G1066" s="17">
        <f t="shared" si="48"/>
        <v>3479105672</v>
      </c>
      <c r="H1066" s="122"/>
    </row>
    <row r="1067" spans="1:8" ht="21.95" customHeight="1">
      <c r="A1067" s="14"/>
      <c r="B1067" s="14"/>
      <c r="C1067" s="16" t="s">
        <v>1169</v>
      </c>
      <c r="D1067" s="17">
        <f>VLOOKUP(A1060,'Neraca Unaudited SIMAK'!$A$2:$S$10004,7,FALSE)</f>
        <v>0</v>
      </c>
      <c r="E1067" s="25">
        <f>SUMIFS('Daftar Koreksi'!$H$5:$H$92,'Daftar Koreksi'!$D$5:$D$92,'0500'!A1060,'Daftar Koreksi'!$G$5:$G$92,"Jalan Irigasi Jaringan",'Daftar Koreksi'!$H$5:$H$92,"&gt;0")</f>
        <v>0</v>
      </c>
      <c r="F1067" s="25">
        <f>SUMIFS('Daftar Koreksi'!$H$5:$H$92,'Daftar Koreksi'!$D$5:$D$92,'0500'!A1060,'Daftar Koreksi'!$G$5:$G$92,"Jalan Irigasi Jaringan",'Daftar Koreksi'!$H$5:$H$92,"&lt;0")-SUMIFS('Daftar Koreksi'!$H$5:$H$92,'Daftar Koreksi'!$D$5:$D$92,'0500'!A1060,'Daftar Koreksi'!$G$5:$G$92,"Jalan Irigasi Jaringan",'Daftar Koreksi'!$H$5:$H$92,"&lt;0")-SUMIFS('Daftar Koreksi'!$H$5:$H$92,'Daftar Koreksi'!$D$5:$D$92,'0500'!A1060,'Daftar Koreksi'!$G$5:$G$92,"Jalan Irigasi Jaringan",'Daftar Koreksi'!$H$5:$H$92,"&lt;0")</f>
        <v>0</v>
      </c>
      <c r="G1067" s="17">
        <f t="shared" si="48"/>
        <v>0</v>
      </c>
      <c r="H1067" s="122"/>
    </row>
    <row r="1068" spans="1:8" ht="21.95" customHeight="1">
      <c r="A1068" s="14"/>
      <c r="B1068" s="14"/>
      <c r="C1068" s="16" t="s">
        <v>1170</v>
      </c>
      <c r="D1068" s="17">
        <f>VLOOKUP(A1060,'Neraca Unaudited SIMAK'!$A$2:$S$10004,8,FALSE)</f>
        <v>683000</v>
      </c>
      <c r="E1068" s="25">
        <f>SUMIFS('Daftar Koreksi'!$H$5:$H$92,'Daftar Koreksi'!$D$5:$D$92,'0500'!A1060,'Daftar Koreksi'!$G$5:$G$92,"Aset Tetap Lainnya",'Daftar Koreksi'!$H$5:$H$92,"&gt;0")</f>
        <v>0</v>
      </c>
      <c r="F1068" s="25">
        <f>SUMIFS('Daftar Koreksi'!$H$5:$H$92,'Daftar Koreksi'!$D$5:$D$92,'0500'!A1060,'Daftar Koreksi'!$G$5:$G$92,"Aset Tetap Lainnya",'Daftar Koreksi'!$H$5:$H$92,"&lt;0")-SUMIFS('Daftar Koreksi'!$H$5:$H$92,'Daftar Koreksi'!$D$5:$D$92,'0500'!A1060,'Daftar Koreksi'!$G$5:$G$92,"Aset Tetap Lainnya",'Daftar Koreksi'!$H$5:$H$92,"&lt;0")-SUMIFS('Daftar Koreksi'!$H$5:$H$92,'Daftar Koreksi'!$D$5:$D$92,'0500'!A1060,'Daftar Koreksi'!$G$5:$G$92,"Aset Tetap Lainnya",'Daftar Koreksi'!$H$5:$H$92,"&lt;0")</f>
        <v>0</v>
      </c>
      <c r="G1068" s="17">
        <f t="shared" si="48"/>
        <v>683000</v>
      </c>
      <c r="H1068" s="122"/>
    </row>
    <row r="1069" spans="1:8" ht="21.95" customHeight="1">
      <c r="A1069" s="14"/>
      <c r="B1069" s="14"/>
      <c r="C1069" s="16" t="s">
        <v>1171</v>
      </c>
      <c r="D1069" s="17">
        <f>VLOOKUP(A1060,'Neraca Unaudited SIMAK'!$A$2:$S$10004,9,FALSE)</f>
        <v>0</v>
      </c>
      <c r="E1069" s="25">
        <f>SUMIFS('Daftar Koreksi'!$H$5:$H$92,'Daftar Koreksi'!$D$5:$D$92,'0500'!A1060,'Daftar Koreksi'!$G$5:$G$92,"Kontruksi Dalam Pengerjaan",'Daftar Koreksi'!$H$5:$H$92,"&gt;0")</f>
        <v>0</v>
      </c>
      <c r="F1069" s="25">
        <f>SUMIFS('Daftar Koreksi'!$H$5:$H$92,'Daftar Koreksi'!$D$5:$D$92,'0500'!A1060,'Daftar Koreksi'!$G$5:$G$92,"Kontruksi Dalam Pengerjaan",'Daftar Koreksi'!$H$5:$H$92,"&lt;0")-SUMIFS('Daftar Koreksi'!$H$5:$H$92,'Daftar Koreksi'!$D$5:$D$92,'0500'!A1060,'Daftar Koreksi'!$G$5:$G$92,"Kontruksi Dalam Pengerjaan",'Daftar Koreksi'!$H$5:$H$92,"&lt;0")-SUMIFS('Daftar Koreksi'!$H$5:$H$92,'Daftar Koreksi'!$D$5:$D$92,'0500'!A1060,'Daftar Koreksi'!$G$5:$G$92,"Kontruksi Dalam Pengerjaan",'Daftar Koreksi'!$H$5:$H$92,"&lt;0")</f>
        <v>0</v>
      </c>
      <c r="G1069" s="17">
        <f t="shared" si="48"/>
        <v>0</v>
      </c>
      <c r="H1069" s="122"/>
    </row>
    <row r="1070" spans="1:8" ht="21.95" customHeight="1">
      <c r="A1070" s="14"/>
      <c r="B1070" s="14"/>
      <c r="C1070" s="16" t="s">
        <v>1172</v>
      </c>
      <c r="D1070" s="17">
        <f>VLOOKUP(A1060,'Neraca Unaudited SIMAK'!$A$2:$S$10004,10,FALSE)</f>
        <v>0</v>
      </c>
      <c r="E1070" s="25">
        <f>SUMIFS('Daftar Koreksi'!$H$5:$H$92,'Daftar Koreksi'!$D$5:$D$92,'0500'!A1060,'Daftar Koreksi'!$G$5:$G$92,"Aset Tak Berwujud",'Daftar Koreksi'!$H$5:$H$92,"&gt;0")</f>
        <v>0</v>
      </c>
      <c r="F1070" s="25">
        <f>SUMIFS('Daftar Koreksi'!$H$5:$H$92,'Daftar Koreksi'!$D$5:$D$92,'0500'!A1060,'Daftar Koreksi'!$G$5:$G$92,"Aset Tak Berwujud",'Daftar Koreksi'!$H$5:$H$92,"&lt;0")-SUMIFS('Daftar Koreksi'!$H$5:$H$92,'Daftar Koreksi'!$D$5:$D$92,'0500'!A1060,'Daftar Koreksi'!$G$5:$G$92,"Aset Tak Berwujud",'Daftar Koreksi'!$H$5:$H$92,"&lt;0")-SUMIFS('Daftar Koreksi'!$H$5:$H$92,'Daftar Koreksi'!$D$5:$D$92,'0500'!A1060,'Daftar Koreksi'!$G$5:$G$92,"Aset Tak Berwujud",'Daftar Koreksi'!$H$5:$H$92,"&lt;0")</f>
        <v>0</v>
      </c>
      <c r="G1070" s="17">
        <f t="shared" si="48"/>
        <v>0</v>
      </c>
      <c r="H1070" s="122"/>
    </row>
    <row r="1071" spans="1:8" ht="21.95" customHeight="1">
      <c r="A1071" s="14"/>
      <c r="B1071" s="14"/>
      <c r="C1071" s="16" t="s">
        <v>1173</v>
      </c>
      <c r="D1071" s="17">
        <f>VLOOKUP(A1060,'Neraca Unaudited SIMAK'!$A$2:$S$10004,11,FALSE)</f>
        <v>116445000</v>
      </c>
      <c r="E1071" s="25">
        <f>SUMIFS('Daftar Koreksi'!$H$5:$H$92,'Daftar Koreksi'!$D$5:$D$92,'0500'!A1060,'Daftar Koreksi'!$G$5:$G$92,"Aset Henti Guna",'Daftar Koreksi'!$H$5:$H$92,"&gt;0")</f>
        <v>0</v>
      </c>
      <c r="F1071" s="25">
        <f>SUMIFS('Daftar Koreksi'!$H$5:$H$92,'Daftar Koreksi'!$D$5:$D$92,'0500'!A1060,'Daftar Koreksi'!$G$5:$G$92,"Aset Henti Guna",'Daftar Koreksi'!$H$5:$H$92,"&lt;0")-SUMIFS('Daftar Koreksi'!$H$5:$H$92,'Daftar Koreksi'!$D$5:$D$92,'0500'!A1060,'Daftar Koreksi'!$G$5:$G$92,"Aset Henti Guna",'Daftar Koreksi'!$H$5:$H$92,"&lt;0")-SUMIFS('Daftar Koreksi'!$H$5:$H$92,'Daftar Koreksi'!$D$5:$D$92,'0500'!A1060,'Daftar Koreksi'!$G$5:$G$92,"Aset Henti Guna",'Daftar Koreksi'!$H$5:$H$92,"&lt;0")</f>
        <v>0</v>
      </c>
      <c r="G1071" s="17">
        <f t="shared" si="48"/>
        <v>116445000</v>
      </c>
      <c r="H1071" s="122"/>
    </row>
    <row r="1072" spans="1:8" ht="21.95" customHeight="1">
      <c r="A1072" s="14"/>
      <c r="B1072" s="14"/>
      <c r="C1072" s="18" t="s">
        <v>2093</v>
      </c>
      <c r="D1072" s="19">
        <f>VLOOKUP(A1060,'Neraca Unaudited SIMAK'!$A$2:$S$10004,12,FALSE)</f>
        <v>5993121335</v>
      </c>
      <c r="E1072" s="19">
        <f>SUM(E1063:E1071)</f>
        <v>0</v>
      </c>
      <c r="F1072" s="19">
        <f>SUM(F1063:F1071)</f>
        <v>0</v>
      </c>
      <c r="G1072" s="19">
        <f t="shared" si="48"/>
        <v>5993121335</v>
      </c>
      <c r="H1072" s="122"/>
    </row>
    <row r="1073" spans="1:8" ht="21.95" customHeight="1">
      <c r="A1073" s="14"/>
      <c r="B1073" s="14"/>
      <c r="C1073" s="16" t="s">
        <v>2087</v>
      </c>
      <c r="D1073" s="17">
        <f>VLOOKUP(A1060,'Neraca Unaudited SIMAK'!$A$2:$S$10004,13,FALSE)</f>
        <v>-1003928019</v>
      </c>
      <c r="E1073" s="25">
        <f>SUMIFS('Daftar Koreksi'!$I$5:$I$92,'Daftar Koreksi'!$D$5:$D$92,'0500'!A1060,'Daftar Koreksi'!$G$5:$G$92,"Peralatan dan mesin",'Daftar Koreksi'!$I$5:$I$92,"&gt;0")</f>
        <v>0</v>
      </c>
      <c r="F1073" s="25">
        <f>SUMIFS('Daftar Koreksi'!$I$5:$I$92,'Daftar Koreksi'!$D$5:$D$92,'0500'!A1060,'Daftar Koreksi'!$G$5:$G$92,"Peralatan dan mesin",'Daftar Koreksi'!$I$5:$I$92,"&lt;0")-SUMIFS('Daftar Koreksi'!$I$5:$I$92,'Daftar Koreksi'!$D$5:$D$92,'0500'!A1060,'Daftar Koreksi'!$G$5:$G$92,"Peralatan dan mesin",'Daftar Koreksi'!$I$5:$I$92,"&lt;0")-SUMIFS('Daftar Koreksi'!$I$5:$I$92,'Daftar Koreksi'!$D$5:$D$92,'0500'!A1060,'Daftar Koreksi'!$G$5:$G$92,"Peralatan dan mesin",'Daftar Koreksi'!$I$5:$I$92,"&lt;0")</f>
        <v>0</v>
      </c>
      <c r="G1073" s="17">
        <f t="shared" si="48"/>
        <v>-1003928019</v>
      </c>
      <c r="H1073" s="122"/>
    </row>
    <row r="1074" spans="1:8" ht="21.95" customHeight="1">
      <c r="A1074" s="14"/>
      <c r="B1074" s="14"/>
      <c r="C1074" s="16" t="s">
        <v>2088</v>
      </c>
      <c r="D1074" s="17">
        <f>VLOOKUP(A1060,'Neraca Unaudited SIMAK'!$A$2:$S$10004,14,FALSE)</f>
        <v>-724586156</v>
      </c>
      <c r="E1074" s="25">
        <f>SUMIFS('Daftar Koreksi'!$I$5:$I$92,'Daftar Koreksi'!$D$5:$D$92,'0500'!A1060,'Daftar Koreksi'!$G$5:$G$92,"Gedung dan Bangunan",'Daftar Koreksi'!$I$5:$I$92,"&gt;0")</f>
        <v>0</v>
      </c>
      <c r="F1074" s="25">
        <f>SUMIFS('Daftar Koreksi'!$I$5:$I$92,'Daftar Koreksi'!$D$5:$D$92,'0500'!A1060,'Daftar Koreksi'!$G$5:$G$92,"Gedung dan Bangunan",'Daftar Koreksi'!$I$5:$I$92,"&lt;0")-SUMIFS('Daftar Koreksi'!$I$5:$I$92,'Daftar Koreksi'!$D$5:$D$92,'0500'!A1060,'Daftar Koreksi'!$G$5:$G$92,"Gedung dan Bangunan",'Daftar Koreksi'!$I$5:$I$92,"&lt;0")-SUMIFS('Daftar Koreksi'!$I$5:$I$92,'Daftar Koreksi'!$D$5:$D$92,'0500'!A1060,'Daftar Koreksi'!$G$5:$G$92,"Gedung dan Bangunan",'Daftar Koreksi'!$I$5:$I$92,"&lt;0")</f>
        <v>0</v>
      </c>
      <c r="G1074" s="17">
        <f t="shared" si="48"/>
        <v>-724586156</v>
      </c>
      <c r="H1074" s="122"/>
    </row>
    <row r="1075" spans="1:8" ht="21.95" customHeight="1">
      <c r="A1075" s="14"/>
      <c r="B1075" s="14"/>
      <c r="C1075" s="16" t="s">
        <v>2089</v>
      </c>
      <c r="D1075" s="17">
        <f>VLOOKUP(A1060,'Neraca Unaudited SIMAK'!$A$2:$S$10004,15,FALSE)</f>
        <v>0</v>
      </c>
      <c r="E1075" s="25">
        <f>SUMIFS('Daftar Koreksi'!$I$5:$I$92,'Daftar Koreksi'!$D$5:$D$92,'0500'!A1060,'Daftar Koreksi'!$G$5:$G$92,"Jalan Irigasi Jaringan",'Daftar Koreksi'!$I$5:$I$92,"&gt;0")</f>
        <v>0</v>
      </c>
      <c r="F1075" s="25">
        <f>SUMIFS('Daftar Koreksi'!$I$5:$I$92,'Daftar Koreksi'!$D$5:$D$92,'0500'!A1060,'Daftar Koreksi'!$G$5:$G$92,"Jalan Irigasi Jaringan",'Daftar Koreksi'!$I$5:$I$92,"&lt;0")-SUMIFS('Daftar Koreksi'!$I$5:$I$92,'Daftar Koreksi'!$D$5:$D$92,'0500'!A1060,'Daftar Koreksi'!$G$5:$G$92,"Jalan Irigasi Jaringan",'Daftar Koreksi'!$I$5:$I$92,"&lt;0")-SUMIFS('Daftar Koreksi'!$I$5:$I$92,'Daftar Koreksi'!$D$5:$D$92,'0500'!A1060,'Daftar Koreksi'!$G$5:$G$92,"Jalan Irigasi Jaringan",'Daftar Koreksi'!$I$5:$I$92,"&lt;0")</f>
        <v>0</v>
      </c>
      <c r="G1075" s="17">
        <f t="shared" si="48"/>
        <v>0</v>
      </c>
      <c r="H1075" s="122"/>
    </row>
    <row r="1076" spans="1:8" ht="21.95" customHeight="1">
      <c r="A1076" s="14"/>
      <c r="B1076" s="14"/>
      <c r="C1076" s="16" t="s">
        <v>2090</v>
      </c>
      <c r="D1076" s="17">
        <f>VLOOKUP(A1060,'Neraca Unaudited SIMAK'!$A$2:$S$10004,16,FALSE)</f>
        <v>0</v>
      </c>
      <c r="E1076" s="25">
        <f>SUMIFS('Daftar Koreksi'!$I$5:$I$92,'Daftar Koreksi'!$D$5:$D$92,'0500'!A1060,'Daftar Koreksi'!$G$5:$G$92,"Aset Tetap Lainnya",'Daftar Koreksi'!$I$5:$I$92,"&gt;0")</f>
        <v>0</v>
      </c>
      <c r="F1076" s="25">
        <f>SUMIFS('Daftar Koreksi'!$I$5:$I$92,'Daftar Koreksi'!$D$5:$D$92,'0500'!A1060,'Daftar Koreksi'!$G$5:$G$92,"Aset Tetap Lainnya",'Daftar Koreksi'!$I$5:$I$92,"&lt;0")-SUMIFS('Daftar Koreksi'!$I$5:$I$92,'Daftar Koreksi'!$D$5:$D$92,'0500'!A1060,'Daftar Koreksi'!$G$5:$G$92,"Aset Tetap Lainnya",'Daftar Koreksi'!$I$5:$I$92,"&lt;0")-SUMIFS('Daftar Koreksi'!$I$5:$I$92,'Daftar Koreksi'!$D$5:$D$92,'0500'!A1060,'Daftar Koreksi'!$G$5:$G$92,"Aset Tetap Lainnya",'Daftar Koreksi'!$I$5:$I$92,"&lt;0")</f>
        <v>0</v>
      </c>
      <c r="G1076" s="17">
        <f t="shared" si="48"/>
        <v>0</v>
      </c>
      <c r="H1076" s="122"/>
    </row>
    <row r="1077" spans="1:8" ht="21.95" customHeight="1">
      <c r="A1077" s="14"/>
      <c r="B1077" s="14"/>
      <c r="C1077" s="16" t="s">
        <v>2020</v>
      </c>
      <c r="D1077" s="17">
        <f>VLOOKUP(A1060,'Neraca Unaudited SIMAK'!$A$2:$S$10004,17,FALSE)</f>
        <v>-116445000</v>
      </c>
      <c r="E1077" s="25">
        <f>SUMIFS('Daftar Koreksi'!$I$5:$I$92,'Daftar Koreksi'!$D$5:$D$92,'0500'!A1060,'Daftar Koreksi'!$G$5:$G$92,"Aset Henti Guna",'Daftar Koreksi'!$I$5:$I$92,"&gt;0")</f>
        <v>0</v>
      </c>
      <c r="F1077" s="25">
        <f>SUMIFS('Daftar Koreksi'!$I$5:$I$92,'Daftar Koreksi'!$D$5:$D$92,'0500'!A1060,'Daftar Koreksi'!$G$5:$G$92,"Aset Henti Guna",'Daftar Koreksi'!$I$5:$I$92,"&lt;0")-SUMIFS('Daftar Koreksi'!$I$5:$I$92,'Daftar Koreksi'!$D$5:$D$92,'0500'!A1060,'Daftar Koreksi'!$G$5:$G$92,"Aset Henti Guna",'Daftar Koreksi'!$I$5:$I$92,"&lt;0")-SUMIFS('Daftar Koreksi'!$I$5:$I$92,'Daftar Koreksi'!$D$5:$D$92,'0500'!A1060,'Daftar Koreksi'!$G$5:$G$92,"Aset Henti Guna",'Daftar Koreksi'!$I$5:$I$92,"&lt;0")</f>
        <v>0</v>
      </c>
      <c r="G1077" s="17">
        <f t="shared" si="48"/>
        <v>-116445000</v>
      </c>
      <c r="H1077" s="122"/>
    </row>
    <row r="1078" spans="1:8" ht="21.95" customHeight="1">
      <c r="A1078" s="14"/>
      <c r="B1078" s="14"/>
      <c r="C1078" s="18" t="s">
        <v>2094</v>
      </c>
      <c r="D1078" s="19">
        <f>SUM(D1073:D1077)</f>
        <v>-1844959175</v>
      </c>
      <c r="E1078" s="19">
        <f>SUM(E1073:E1077)</f>
        <v>0</v>
      </c>
      <c r="F1078" s="19">
        <f>SUM(F1073:F1077)</f>
        <v>0</v>
      </c>
      <c r="G1078" s="19">
        <f t="shared" si="48"/>
        <v>-1844959175</v>
      </c>
      <c r="H1078" s="122"/>
    </row>
    <row r="1079" spans="1:8" ht="21.95" customHeight="1">
      <c r="A1079" s="14"/>
      <c r="B1079" s="14"/>
      <c r="C1079" s="18" t="s">
        <v>2095</v>
      </c>
      <c r="D1079" s="19">
        <f>VLOOKUP(A1060,'Neraca Unaudited SIMAK'!$A$2:$S$10004,18,FALSE)</f>
        <v>4148162160</v>
      </c>
      <c r="E1079" s="19">
        <f>E1078+E1072</f>
        <v>0</v>
      </c>
      <c r="F1079" s="19">
        <f>F1078+F1072</f>
        <v>0</v>
      </c>
      <c r="G1079" s="19">
        <f t="shared" si="48"/>
        <v>4148162160</v>
      </c>
      <c r="H1079" s="122"/>
    </row>
    <row r="1080" spans="1:8" ht="21.95" customHeight="1">
      <c r="A1080" s="14"/>
      <c r="B1080" s="14"/>
      <c r="C1080" s="16" t="s">
        <v>2091</v>
      </c>
      <c r="D1080" s="17">
        <f>VLOOKUP(A1060,'Neraca Unaudited SIMAK'!$A$2:$S$10004,19,FALSE)</f>
        <v>0</v>
      </c>
      <c r="E1080" s="25"/>
      <c r="F1080" s="25"/>
      <c r="G1080" s="17">
        <f t="shared" si="48"/>
        <v>0</v>
      </c>
      <c r="H1080" s="123"/>
    </row>
    <row r="1082" spans="1:8" ht="19.5" customHeight="1">
      <c r="A1082" s="11" t="str">
        <f>O50</f>
        <v>005010500401381000KD</v>
      </c>
      <c r="B1082" s="11" t="str">
        <f>P50</f>
        <v>PA. Tulungagung</v>
      </c>
      <c r="C1082" s="12" t="str">
        <f>A1082&amp;" "&amp;B1082</f>
        <v>005010500401381000KD PA. Tulungagung</v>
      </c>
      <c r="D1082" s="13"/>
      <c r="E1082" s="13"/>
      <c r="F1082" s="13"/>
      <c r="G1082" s="13"/>
      <c r="H1082" s="11"/>
    </row>
    <row r="1083" spans="1:8" ht="21.95" customHeight="1">
      <c r="A1083" s="14"/>
      <c r="B1083" s="14"/>
      <c r="C1083" s="124" t="s">
        <v>1982</v>
      </c>
      <c r="D1083" s="126" t="s">
        <v>1983</v>
      </c>
      <c r="E1083" s="132" t="s">
        <v>1984</v>
      </c>
      <c r="F1083" s="132"/>
      <c r="G1083" s="126" t="s">
        <v>1987</v>
      </c>
      <c r="H1083" s="130" t="s">
        <v>1175</v>
      </c>
    </row>
    <row r="1084" spans="1:8" ht="21.95" customHeight="1">
      <c r="A1084" s="14"/>
      <c r="B1084" s="14"/>
      <c r="C1084" s="125"/>
      <c r="D1084" s="127"/>
      <c r="E1084" s="26" t="s">
        <v>1985</v>
      </c>
      <c r="F1084" s="26" t="s">
        <v>1986</v>
      </c>
      <c r="G1084" s="127"/>
      <c r="H1084" s="131"/>
    </row>
    <row r="1085" spans="1:8" ht="21.95" customHeight="1">
      <c r="A1085" s="14"/>
      <c r="B1085" s="14"/>
      <c r="C1085" s="16" t="s">
        <v>1165</v>
      </c>
      <c r="D1085" s="17">
        <f>VLOOKUP(A1082,'Neraca Unaudited SIMAK'!$A$2:$S$10004,3,FALSE)</f>
        <v>0</v>
      </c>
      <c r="E1085" s="25">
        <f>SUMIFS('Daftar Koreksi'!$H$5:$H$92,'Daftar Koreksi'!$D$5:$D$92,'0500'!A1082,'Daftar Koreksi'!$G$5:$G$92,"Persediaan",'Daftar Koreksi'!$H$5:$H$92,"&gt;0")</f>
        <v>0</v>
      </c>
      <c r="F1085" s="25">
        <f>SUMIFS('Daftar Koreksi'!$H$5:$H$92,'Daftar Koreksi'!$D$5:$D$92,'0500'!A1082,'Daftar Koreksi'!$G$5:$G$92,"Persediaan",'Daftar Koreksi'!$H$5:$H$92,"&lt;0")-SUMIFS('Daftar Koreksi'!$H$5:$H$92,'Daftar Koreksi'!$D$5:$D$92,'0500'!A1082,'Daftar Koreksi'!$G$5:$G$92,"Persediaan",'Daftar Koreksi'!$H$5:$H$92,"&lt;0")-SUMIFS('Daftar Koreksi'!$H$5:$H$92,'Daftar Koreksi'!$D$5:$D$92,'0500'!A1082,'Daftar Koreksi'!$G$5:$G$92,"Persediaan",'Daftar Koreksi'!$H$5:$H$92,"&lt;0")</f>
        <v>0</v>
      </c>
      <c r="G1085" s="17">
        <f>D1085+E1085-F1085</f>
        <v>0</v>
      </c>
      <c r="H1085" s="121" t="str">
        <f>IF(ISNA(VLOOKUP(A1082,'Mutasi Neraca'!$A$3:$S$914,19,FALSE)),"-",VLOOKUP(A1082,'Mutasi Neraca'!$A$3:$S$914,19,FALSE))</f>
        <v>-</v>
      </c>
    </row>
    <row r="1086" spans="1:8" ht="21.95" customHeight="1">
      <c r="A1086" s="14"/>
      <c r="B1086" s="14"/>
      <c r="C1086" s="16" t="s">
        <v>1166</v>
      </c>
      <c r="D1086" s="17">
        <f>VLOOKUP(A1082,'Neraca Unaudited SIMAK'!$A$2:$S$10004,4,FALSE)</f>
        <v>5080670125</v>
      </c>
      <c r="E1086" s="25">
        <f>SUMIFS('Daftar Koreksi'!$H$5:$H$92,'Daftar Koreksi'!$D$5:$D$92,'0500'!A1082,'Daftar Koreksi'!$G$5:$G$92,"Tanah",'Daftar Koreksi'!$H$5:$H$92,"&gt;0")</f>
        <v>0</v>
      </c>
      <c r="F1086" s="25">
        <f>SUMIFS('Daftar Koreksi'!$H$5:$H$92,'Daftar Koreksi'!$D$5:$D$92,'0500'!A1082,'Daftar Koreksi'!$G$5:$G$92,"Tanah",'Daftar Koreksi'!$H$5:$H$92,"&lt;0")-SUMIFS('Daftar Koreksi'!$H$5:$H$92,'Daftar Koreksi'!$D$5:$D$92,'0500'!A1082,'Daftar Koreksi'!$G$5:$G$92,"Tanah",'Daftar Koreksi'!$H$5:$H$92,"&lt;0")-SUMIFS('Daftar Koreksi'!$H$5:$H$92,'Daftar Koreksi'!$D$5:$D$92,'0500'!A1082,'Daftar Koreksi'!$G$5:$G$92,"Tanah",'Daftar Koreksi'!$H$5:$H$92,"&lt;0")</f>
        <v>0</v>
      </c>
      <c r="G1086" s="17">
        <f t="shared" ref="G1086:G1102" si="49">D1086+E1086-F1086</f>
        <v>5080670125</v>
      </c>
      <c r="H1086" s="122"/>
    </row>
    <row r="1087" spans="1:8" ht="21.95" customHeight="1">
      <c r="A1087" s="14"/>
      <c r="B1087" s="14"/>
      <c r="C1087" s="16" t="s">
        <v>1167</v>
      </c>
      <c r="D1087" s="17">
        <f>VLOOKUP(A1082,'Neraca Unaudited SIMAK'!$A$2:$S$10004,5,FALSE)</f>
        <v>1469699473</v>
      </c>
      <c r="E1087" s="25">
        <f>SUMIFS('Daftar Koreksi'!$H$5:$H$92,'Daftar Koreksi'!$D$5:$D$92,'0500'!A1082,'Daftar Koreksi'!$G$5:$G$92,"Peralatan dan mesin",'Daftar Koreksi'!$H$5:$H$92,"&gt;0")</f>
        <v>0</v>
      </c>
      <c r="F1087" s="25">
        <f>SUMIFS('Daftar Koreksi'!$H$5:$H$92,'Daftar Koreksi'!$D$5:$D$92,'0500'!A1082,'Daftar Koreksi'!$G$5:$G$92,"Peralatan dan mesin",'Daftar Koreksi'!$H$5:$H$92,"&lt;0")-SUMIFS('Daftar Koreksi'!$H$5:$H$92,'Daftar Koreksi'!$D$5:$D$92,'0500'!A1082,'Daftar Koreksi'!$G$5:$G$92,"Peralatan dan mesin",'Daftar Koreksi'!$H$5:$H$92,"&lt;0")-SUMIFS('Daftar Koreksi'!$H$5:$H$92,'Daftar Koreksi'!$D$5:$D$92,'0500'!A1082,'Daftar Koreksi'!$G$5:$G$92,"Peralatan dan mesin",'Daftar Koreksi'!$H$5:$H$92,"&lt;0")</f>
        <v>0</v>
      </c>
      <c r="G1087" s="17">
        <f t="shared" si="49"/>
        <v>1469699473</v>
      </c>
      <c r="H1087" s="122"/>
    </row>
    <row r="1088" spans="1:8" ht="21.95" customHeight="1">
      <c r="A1088" s="14"/>
      <c r="B1088" s="14"/>
      <c r="C1088" s="16" t="s">
        <v>1168</v>
      </c>
      <c r="D1088" s="17">
        <f>VLOOKUP(A1082,'Neraca Unaudited SIMAK'!$A$2:$S$10004,6,FALSE)</f>
        <v>8660434700</v>
      </c>
      <c r="E1088" s="25">
        <f>SUMIFS('Daftar Koreksi'!$H$5:$H$92,'Daftar Koreksi'!$D$5:$D$92,'0500'!A1082,'Daftar Koreksi'!$G$5:$G$92,"Gedung dan Bangunan",'Daftar Koreksi'!$H$5:$H$92,"&gt;0")</f>
        <v>0</v>
      </c>
      <c r="F1088" s="25">
        <f>SUMIFS('Daftar Koreksi'!$H$5:$H$92,'Daftar Koreksi'!$D$5:$D$92,'0500'!A1082,'Daftar Koreksi'!$G$5:$G$92,"Gedung dan Bangunan",'Daftar Koreksi'!$H$5:$H$92,"&lt;0")-SUMIFS('Daftar Koreksi'!$H$5:$H$92,'Daftar Koreksi'!$D$5:$D$92,'0500'!A1082,'Daftar Koreksi'!$G$5:$G$92,"Gedung dan Bangunan",'Daftar Koreksi'!$H$5:$H$92,"&lt;0")-SUMIFS('Daftar Koreksi'!$H$5:$H$92,'Daftar Koreksi'!$D$5:$D$92,'0500'!A1082,'Daftar Koreksi'!$G$5:$G$92,"Gedung dan Bangunan",'Daftar Koreksi'!$H$5:$H$92,"&lt;0")</f>
        <v>0</v>
      </c>
      <c r="G1088" s="17">
        <f t="shared" si="49"/>
        <v>8660434700</v>
      </c>
      <c r="H1088" s="122"/>
    </row>
    <row r="1089" spans="1:8" ht="21.95" customHeight="1">
      <c r="A1089" s="14"/>
      <c r="B1089" s="14"/>
      <c r="C1089" s="16" t="s">
        <v>1169</v>
      </c>
      <c r="D1089" s="17">
        <f>VLOOKUP(A1082,'Neraca Unaudited SIMAK'!$A$2:$S$10004,7,FALSE)</f>
        <v>0</v>
      </c>
      <c r="E1089" s="25">
        <f>SUMIFS('Daftar Koreksi'!$H$5:$H$92,'Daftar Koreksi'!$D$5:$D$92,'0500'!A1082,'Daftar Koreksi'!$G$5:$G$92,"Jalan Irigasi Jaringan",'Daftar Koreksi'!$H$5:$H$92,"&gt;0")</f>
        <v>0</v>
      </c>
      <c r="F1089" s="25">
        <f>SUMIFS('Daftar Koreksi'!$H$5:$H$92,'Daftar Koreksi'!$D$5:$D$92,'0500'!A1082,'Daftar Koreksi'!$G$5:$G$92,"Jalan Irigasi Jaringan",'Daftar Koreksi'!$H$5:$H$92,"&lt;0")-SUMIFS('Daftar Koreksi'!$H$5:$H$92,'Daftar Koreksi'!$D$5:$D$92,'0500'!A1082,'Daftar Koreksi'!$G$5:$G$92,"Jalan Irigasi Jaringan",'Daftar Koreksi'!$H$5:$H$92,"&lt;0")-SUMIFS('Daftar Koreksi'!$H$5:$H$92,'Daftar Koreksi'!$D$5:$D$92,'0500'!A1082,'Daftar Koreksi'!$G$5:$G$92,"Jalan Irigasi Jaringan",'Daftar Koreksi'!$H$5:$H$92,"&lt;0")</f>
        <v>0</v>
      </c>
      <c r="G1089" s="17">
        <f t="shared" si="49"/>
        <v>0</v>
      </c>
      <c r="H1089" s="122"/>
    </row>
    <row r="1090" spans="1:8" ht="21.95" customHeight="1">
      <c r="A1090" s="14"/>
      <c r="B1090" s="14"/>
      <c r="C1090" s="16" t="s">
        <v>1170</v>
      </c>
      <c r="D1090" s="17">
        <f>VLOOKUP(A1082,'Neraca Unaudited SIMAK'!$A$2:$S$10004,8,FALSE)</f>
        <v>4458770</v>
      </c>
      <c r="E1090" s="25">
        <f>SUMIFS('Daftar Koreksi'!$H$5:$H$92,'Daftar Koreksi'!$D$5:$D$92,'0500'!A1082,'Daftar Koreksi'!$G$5:$G$92,"Aset Tetap Lainnya",'Daftar Koreksi'!$H$5:$H$92,"&gt;0")</f>
        <v>0</v>
      </c>
      <c r="F1090" s="25">
        <f>SUMIFS('Daftar Koreksi'!$H$5:$H$92,'Daftar Koreksi'!$D$5:$D$92,'0500'!A1082,'Daftar Koreksi'!$G$5:$G$92,"Aset Tetap Lainnya",'Daftar Koreksi'!$H$5:$H$92,"&lt;0")-SUMIFS('Daftar Koreksi'!$H$5:$H$92,'Daftar Koreksi'!$D$5:$D$92,'0500'!A1082,'Daftar Koreksi'!$G$5:$G$92,"Aset Tetap Lainnya",'Daftar Koreksi'!$H$5:$H$92,"&lt;0")-SUMIFS('Daftar Koreksi'!$H$5:$H$92,'Daftar Koreksi'!$D$5:$D$92,'0500'!A1082,'Daftar Koreksi'!$G$5:$G$92,"Aset Tetap Lainnya",'Daftar Koreksi'!$H$5:$H$92,"&lt;0")</f>
        <v>0</v>
      </c>
      <c r="G1090" s="17">
        <f t="shared" si="49"/>
        <v>4458770</v>
      </c>
      <c r="H1090" s="122"/>
    </row>
    <row r="1091" spans="1:8" ht="21.95" customHeight="1">
      <c r="A1091" s="14"/>
      <c r="B1091" s="14"/>
      <c r="C1091" s="16" t="s">
        <v>1171</v>
      </c>
      <c r="D1091" s="17">
        <f>VLOOKUP(A1082,'Neraca Unaudited SIMAK'!$A$2:$S$10004,9,FALSE)</f>
        <v>0</v>
      </c>
      <c r="E1091" s="25">
        <f>SUMIFS('Daftar Koreksi'!$H$5:$H$92,'Daftar Koreksi'!$D$5:$D$92,'0500'!A1082,'Daftar Koreksi'!$G$5:$G$92,"Kontruksi Dalam Pengerjaan",'Daftar Koreksi'!$H$5:$H$92,"&gt;0")</f>
        <v>0</v>
      </c>
      <c r="F1091" s="25">
        <f>SUMIFS('Daftar Koreksi'!$H$5:$H$92,'Daftar Koreksi'!$D$5:$D$92,'0500'!A1082,'Daftar Koreksi'!$G$5:$G$92,"Kontruksi Dalam Pengerjaan",'Daftar Koreksi'!$H$5:$H$92,"&lt;0")-SUMIFS('Daftar Koreksi'!$H$5:$H$92,'Daftar Koreksi'!$D$5:$D$92,'0500'!A1082,'Daftar Koreksi'!$G$5:$G$92,"Kontruksi Dalam Pengerjaan",'Daftar Koreksi'!$H$5:$H$92,"&lt;0")-SUMIFS('Daftar Koreksi'!$H$5:$H$92,'Daftar Koreksi'!$D$5:$D$92,'0500'!A1082,'Daftar Koreksi'!$G$5:$G$92,"Kontruksi Dalam Pengerjaan",'Daftar Koreksi'!$H$5:$H$92,"&lt;0")</f>
        <v>0</v>
      </c>
      <c r="G1091" s="17">
        <f t="shared" si="49"/>
        <v>0</v>
      </c>
      <c r="H1091" s="122"/>
    </row>
    <row r="1092" spans="1:8" ht="21.95" customHeight="1">
      <c r="A1092" s="14"/>
      <c r="B1092" s="14"/>
      <c r="C1092" s="16" t="s">
        <v>1172</v>
      </c>
      <c r="D1092" s="17">
        <f>VLOOKUP(A1082,'Neraca Unaudited SIMAK'!$A$2:$S$10004,10,FALSE)</f>
        <v>0</v>
      </c>
      <c r="E1092" s="25">
        <f>SUMIFS('Daftar Koreksi'!$H$5:$H$92,'Daftar Koreksi'!$D$5:$D$92,'0500'!A1082,'Daftar Koreksi'!$G$5:$G$92,"Aset Tak Berwujud",'Daftar Koreksi'!$H$5:$H$92,"&gt;0")</f>
        <v>0</v>
      </c>
      <c r="F1092" s="25">
        <f>SUMIFS('Daftar Koreksi'!$H$5:$H$92,'Daftar Koreksi'!$D$5:$D$92,'0500'!A1082,'Daftar Koreksi'!$G$5:$G$92,"Aset Tak Berwujud",'Daftar Koreksi'!$H$5:$H$92,"&lt;0")-SUMIFS('Daftar Koreksi'!$H$5:$H$92,'Daftar Koreksi'!$D$5:$D$92,'0500'!A1082,'Daftar Koreksi'!$G$5:$G$92,"Aset Tak Berwujud",'Daftar Koreksi'!$H$5:$H$92,"&lt;0")-SUMIFS('Daftar Koreksi'!$H$5:$H$92,'Daftar Koreksi'!$D$5:$D$92,'0500'!A1082,'Daftar Koreksi'!$G$5:$G$92,"Aset Tak Berwujud",'Daftar Koreksi'!$H$5:$H$92,"&lt;0")</f>
        <v>0</v>
      </c>
      <c r="G1092" s="17">
        <f t="shared" si="49"/>
        <v>0</v>
      </c>
      <c r="H1092" s="122"/>
    </row>
    <row r="1093" spans="1:8" ht="21.95" customHeight="1">
      <c r="A1093" s="14"/>
      <c r="B1093" s="14"/>
      <c r="C1093" s="16" t="s">
        <v>1173</v>
      </c>
      <c r="D1093" s="17">
        <f>VLOOKUP(A1082,'Neraca Unaudited SIMAK'!$A$2:$S$10004,11,FALSE)</f>
        <v>74970850</v>
      </c>
      <c r="E1093" s="25">
        <f>SUMIFS('Daftar Koreksi'!$H$5:$H$92,'Daftar Koreksi'!$D$5:$D$92,'0500'!A1082,'Daftar Koreksi'!$G$5:$G$92,"Aset Henti Guna",'Daftar Koreksi'!$H$5:$H$92,"&gt;0")</f>
        <v>0</v>
      </c>
      <c r="F1093" s="25">
        <f>SUMIFS('Daftar Koreksi'!$H$5:$H$92,'Daftar Koreksi'!$D$5:$D$92,'0500'!A1082,'Daftar Koreksi'!$G$5:$G$92,"Aset Henti Guna",'Daftar Koreksi'!$H$5:$H$92,"&lt;0")-SUMIFS('Daftar Koreksi'!$H$5:$H$92,'Daftar Koreksi'!$D$5:$D$92,'0500'!A1082,'Daftar Koreksi'!$G$5:$G$92,"Aset Henti Guna",'Daftar Koreksi'!$H$5:$H$92,"&lt;0")-SUMIFS('Daftar Koreksi'!$H$5:$H$92,'Daftar Koreksi'!$D$5:$D$92,'0500'!A1082,'Daftar Koreksi'!$G$5:$G$92,"Aset Henti Guna",'Daftar Koreksi'!$H$5:$H$92,"&lt;0")</f>
        <v>0</v>
      </c>
      <c r="G1093" s="17">
        <f t="shared" si="49"/>
        <v>74970850</v>
      </c>
      <c r="H1093" s="122"/>
    </row>
    <row r="1094" spans="1:8" ht="21.95" customHeight="1">
      <c r="A1094" s="14"/>
      <c r="B1094" s="14"/>
      <c r="C1094" s="18" t="s">
        <v>2093</v>
      </c>
      <c r="D1094" s="19">
        <f>VLOOKUP(A1082,'Neraca Unaudited SIMAK'!$A$2:$S$10004,12,FALSE)</f>
        <v>15290233918</v>
      </c>
      <c r="E1094" s="19">
        <f>SUM(E1085:E1093)</f>
        <v>0</v>
      </c>
      <c r="F1094" s="19">
        <f>SUM(F1085:F1093)</f>
        <v>0</v>
      </c>
      <c r="G1094" s="19">
        <f t="shared" si="49"/>
        <v>15290233918</v>
      </c>
      <c r="H1094" s="122"/>
    </row>
    <row r="1095" spans="1:8" ht="21.95" customHeight="1">
      <c r="A1095" s="14"/>
      <c r="B1095" s="14"/>
      <c r="C1095" s="16" t="s">
        <v>2087</v>
      </c>
      <c r="D1095" s="17">
        <f>VLOOKUP(A1082,'Neraca Unaudited SIMAK'!$A$2:$S$10004,13,FALSE)</f>
        <v>-1299108156</v>
      </c>
      <c r="E1095" s="25">
        <f>SUMIFS('Daftar Koreksi'!$I$5:$I$92,'Daftar Koreksi'!$D$5:$D$92,'0500'!A1082,'Daftar Koreksi'!$G$5:$G$92,"Peralatan dan mesin",'Daftar Koreksi'!$I$5:$I$92,"&gt;0")</f>
        <v>0</v>
      </c>
      <c r="F1095" s="25">
        <f>SUMIFS('Daftar Koreksi'!$I$5:$I$92,'Daftar Koreksi'!$D$5:$D$92,'0500'!A1082,'Daftar Koreksi'!$G$5:$G$92,"Peralatan dan mesin",'Daftar Koreksi'!$I$5:$I$92,"&lt;0")-SUMIFS('Daftar Koreksi'!$I$5:$I$92,'Daftar Koreksi'!$D$5:$D$92,'0500'!A1082,'Daftar Koreksi'!$G$5:$G$92,"Peralatan dan mesin",'Daftar Koreksi'!$I$5:$I$92,"&lt;0")-SUMIFS('Daftar Koreksi'!$I$5:$I$92,'Daftar Koreksi'!$D$5:$D$92,'0500'!A1082,'Daftar Koreksi'!$G$5:$G$92,"Peralatan dan mesin",'Daftar Koreksi'!$I$5:$I$92,"&lt;0")</f>
        <v>0</v>
      </c>
      <c r="G1095" s="17">
        <f t="shared" si="49"/>
        <v>-1299108156</v>
      </c>
      <c r="H1095" s="122"/>
    </row>
    <row r="1096" spans="1:8" ht="21.95" customHeight="1">
      <c r="A1096" s="14"/>
      <c r="B1096" s="14"/>
      <c r="C1096" s="16" t="s">
        <v>2088</v>
      </c>
      <c r="D1096" s="17">
        <f>VLOOKUP(A1082,'Neraca Unaudited SIMAK'!$A$2:$S$10004,14,FALSE)</f>
        <v>-1205825725</v>
      </c>
      <c r="E1096" s="25">
        <f>SUMIFS('Daftar Koreksi'!$I$5:$I$92,'Daftar Koreksi'!$D$5:$D$92,'0500'!A1082,'Daftar Koreksi'!$G$5:$G$92,"Gedung dan Bangunan",'Daftar Koreksi'!$I$5:$I$92,"&gt;0")</f>
        <v>0</v>
      </c>
      <c r="F1096" s="25">
        <f>SUMIFS('Daftar Koreksi'!$I$5:$I$92,'Daftar Koreksi'!$D$5:$D$92,'0500'!A1082,'Daftar Koreksi'!$G$5:$G$92,"Gedung dan Bangunan",'Daftar Koreksi'!$I$5:$I$92,"&lt;0")-SUMIFS('Daftar Koreksi'!$I$5:$I$92,'Daftar Koreksi'!$D$5:$D$92,'0500'!A1082,'Daftar Koreksi'!$G$5:$G$92,"Gedung dan Bangunan",'Daftar Koreksi'!$I$5:$I$92,"&lt;0")-SUMIFS('Daftar Koreksi'!$I$5:$I$92,'Daftar Koreksi'!$D$5:$D$92,'0500'!A1082,'Daftar Koreksi'!$G$5:$G$92,"Gedung dan Bangunan",'Daftar Koreksi'!$I$5:$I$92,"&lt;0")</f>
        <v>0</v>
      </c>
      <c r="G1096" s="17">
        <f t="shared" si="49"/>
        <v>-1205825725</v>
      </c>
      <c r="H1096" s="122"/>
    </row>
    <row r="1097" spans="1:8" ht="21.95" customHeight="1">
      <c r="A1097" s="14"/>
      <c r="B1097" s="14"/>
      <c r="C1097" s="16" t="s">
        <v>2089</v>
      </c>
      <c r="D1097" s="17">
        <f>VLOOKUP(A1082,'Neraca Unaudited SIMAK'!$A$2:$S$10004,15,FALSE)</f>
        <v>0</v>
      </c>
      <c r="E1097" s="25">
        <f>SUMIFS('Daftar Koreksi'!$I$5:$I$92,'Daftar Koreksi'!$D$5:$D$92,'0500'!A1082,'Daftar Koreksi'!$G$5:$G$92,"Jalan Irigasi Jaringan",'Daftar Koreksi'!$I$5:$I$92,"&gt;0")</f>
        <v>0</v>
      </c>
      <c r="F1097" s="25">
        <f>SUMIFS('Daftar Koreksi'!$I$5:$I$92,'Daftar Koreksi'!$D$5:$D$92,'0500'!A1082,'Daftar Koreksi'!$G$5:$G$92,"Jalan Irigasi Jaringan",'Daftar Koreksi'!$I$5:$I$92,"&lt;0")-SUMIFS('Daftar Koreksi'!$I$5:$I$92,'Daftar Koreksi'!$D$5:$D$92,'0500'!A1082,'Daftar Koreksi'!$G$5:$G$92,"Jalan Irigasi Jaringan",'Daftar Koreksi'!$I$5:$I$92,"&lt;0")-SUMIFS('Daftar Koreksi'!$I$5:$I$92,'Daftar Koreksi'!$D$5:$D$92,'0500'!A1082,'Daftar Koreksi'!$G$5:$G$92,"Jalan Irigasi Jaringan",'Daftar Koreksi'!$I$5:$I$92,"&lt;0")</f>
        <v>0</v>
      </c>
      <c r="G1097" s="17">
        <f t="shared" si="49"/>
        <v>0</v>
      </c>
      <c r="H1097" s="122"/>
    </row>
    <row r="1098" spans="1:8" ht="21.95" customHeight="1">
      <c r="A1098" s="14"/>
      <c r="B1098" s="14"/>
      <c r="C1098" s="16" t="s">
        <v>2090</v>
      </c>
      <c r="D1098" s="17">
        <f>VLOOKUP(A1082,'Neraca Unaudited SIMAK'!$A$2:$S$10004,16,FALSE)</f>
        <v>0</v>
      </c>
      <c r="E1098" s="25">
        <f>SUMIFS('Daftar Koreksi'!$I$5:$I$92,'Daftar Koreksi'!$D$5:$D$92,'0500'!A1082,'Daftar Koreksi'!$G$5:$G$92,"Aset Tetap Lainnya",'Daftar Koreksi'!$I$5:$I$92,"&gt;0")</f>
        <v>0</v>
      </c>
      <c r="F1098" s="25">
        <f>SUMIFS('Daftar Koreksi'!$I$5:$I$92,'Daftar Koreksi'!$D$5:$D$92,'0500'!A1082,'Daftar Koreksi'!$G$5:$G$92,"Aset Tetap Lainnya",'Daftar Koreksi'!$I$5:$I$92,"&lt;0")-SUMIFS('Daftar Koreksi'!$I$5:$I$92,'Daftar Koreksi'!$D$5:$D$92,'0500'!A1082,'Daftar Koreksi'!$G$5:$G$92,"Aset Tetap Lainnya",'Daftar Koreksi'!$I$5:$I$92,"&lt;0")-SUMIFS('Daftar Koreksi'!$I$5:$I$92,'Daftar Koreksi'!$D$5:$D$92,'0500'!A1082,'Daftar Koreksi'!$G$5:$G$92,"Aset Tetap Lainnya",'Daftar Koreksi'!$I$5:$I$92,"&lt;0")</f>
        <v>0</v>
      </c>
      <c r="G1098" s="17">
        <f t="shared" si="49"/>
        <v>0</v>
      </c>
      <c r="H1098" s="122"/>
    </row>
    <row r="1099" spans="1:8" ht="21.95" customHeight="1">
      <c r="A1099" s="14"/>
      <c r="B1099" s="14"/>
      <c r="C1099" s="16" t="s">
        <v>2020</v>
      </c>
      <c r="D1099" s="17">
        <f>VLOOKUP(A1082,'Neraca Unaudited SIMAK'!$A$2:$S$10004,17,FALSE)</f>
        <v>-74970850</v>
      </c>
      <c r="E1099" s="25">
        <f>SUMIFS('Daftar Koreksi'!$I$5:$I$92,'Daftar Koreksi'!$D$5:$D$92,'0500'!A1082,'Daftar Koreksi'!$G$5:$G$92,"Aset Henti Guna",'Daftar Koreksi'!$I$5:$I$92,"&gt;0")</f>
        <v>0</v>
      </c>
      <c r="F1099" s="25">
        <f>SUMIFS('Daftar Koreksi'!$I$5:$I$92,'Daftar Koreksi'!$D$5:$D$92,'0500'!A1082,'Daftar Koreksi'!$G$5:$G$92,"Aset Henti Guna",'Daftar Koreksi'!$I$5:$I$92,"&lt;0")-SUMIFS('Daftar Koreksi'!$I$5:$I$92,'Daftar Koreksi'!$D$5:$D$92,'0500'!A1082,'Daftar Koreksi'!$G$5:$G$92,"Aset Henti Guna",'Daftar Koreksi'!$I$5:$I$92,"&lt;0")-SUMIFS('Daftar Koreksi'!$I$5:$I$92,'Daftar Koreksi'!$D$5:$D$92,'0500'!A1082,'Daftar Koreksi'!$G$5:$G$92,"Aset Henti Guna",'Daftar Koreksi'!$I$5:$I$92,"&lt;0")</f>
        <v>0</v>
      </c>
      <c r="G1099" s="17">
        <f t="shared" si="49"/>
        <v>-74970850</v>
      </c>
      <c r="H1099" s="122"/>
    </row>
    <row r="1100" spans="1:8" ht="21.95" customHeight="1">
      <c r="A1100" s="14"/>
      <c r="B1100" s="14"/>
      <c r="C1100" s="18" t="s">
        <v>2094</v>
      </c>
      <c r="D1100" s="19">
        <f>SUM(D1095:D1099)</f>
        <v>-2579904731</v>
      </c>
      <c r="E1100" s="19">
        <f>SUM(E1095:E1099)</f>
        <v>0</v>
      </c>
      <c r="F1100" s="19">
        <f>SUM(F1095:F1099)</f>
        <v>0</v>
      </c>
      <c r="G1100" s="19">
        <f t="shared" si="49"/>
        <v>-2579904731</v>
      </c>
      <c r="H1100" s="122"/>
    </row>
    <row r="1101" spans="1:8" ht="21.95" customHeight="1">
      <c r="A1101" s="14"/>
      <c r="B1101" s="14"/>
      <c r="C1101" s="18" t="s">
        <v>2095</v>
      </c>
      <c r="D1101" s="19">
        <f>VLOOKUP(A1082,'Neraca Unaudited SIMAK'!$A$2:$S$10004,18,FALSE)</f>
        <v>12710329187</v>
      </c>
      <c r="E1101" s="19">
        <f>E1100+E1094</f>
        <v>0</v>
      </c>
      <c r="F1101" s="19">
        <f>F1100+F1094</f>
        <v>0</v>
      </c>
      <c r="G1101" s="19">
        <f t="shared" si="49"/>
        <v>12710329187</v>
      </c>
      <c r="H1101" s="122"/>
    </row>
    <row r="1102" spans="1:8" ht="21.95" customHeight="1">
      <c r="A1102" s="14"/>
      <c r="B1102" s="14"/>
      <c r="C1102" s="16" t="s">
        <v>2091</v>
      </c>
      <c r="D1102" s="17">
        <f>VLOOKUP(A1082,'Neraca Unaudited SIMAK'!$A$2:$S$10004,19,FALSE)</f>
        <v>0</v>
      </c>
      <c r="E1102" s="25"/>
      <c r="F1102" s="25"/>
      <c r="G1102" s="17">
        <f t="shared" si="49"/>
        <v>0</v>
      </c>
      <c r="H1102" s="123"/>
    </row>
    <row r="1104" spans="1:8" ht="19.5" customHeight="1">
      <c r="A1104" s="11" t="str">
        <f>O51</f>
        <v>005010500401390000KD</v>
      </c>
      <c r="B1104" s="11" t="str">
        <f>P51</f>
        <v>PA. Trenggalek</v>
      </c>
      <c r="C1104" s="12" t="str">
        <f>A1104&amp;" "&amp;B1104</f>
        <v>005010500401390000KD PA. Trenggalek</v>
      </c>
      <c r="D1104" s="13"/>
      <c r="E1104" s="13"/>
      <c r="F1104" s="13"/>
      <c r="G1104" s="13"/>
      <c r="H1104" s="11"/>
    </row>
    <row r="1105" spans="1:8" ht="21.95" customHeight="1">
      <c r="A1105" s="14"/>
      <c r="B1105" s="14"/>
      <c r="C1105" s="124" t="s">
        <v>1982</v>
      </c>
      <c r="D1105" s="126" t="s">
        <v>1983</v>
      </c>
      <c r="E1105" s="132" t="s">
        <v>1984</v>
      </c>
      <c r="F1105" s="132"/>
      <c r="G1105" s="126" t="s">
        <v>1987</v>
      </c>
      <c r="H1105" s="130" t="s">
        <v>1175</v>
      </c>
    </row>
    <row r="1106" spans="1:8" ht="21.95" customHeight="1">
      <c r="A1106" s="14"/>
      <c r="B1106" s="14"/>
      <c r="C1106" s="125"/>
      <c r="D1106" s="127"/>
      <c r="E1106" s="26" t="s">
        <v>1985</v>
      </c>
      <c r="F1106" s="26" t="s">
        <v>1986</v>
      </c>
      <c r="G1106" s="127"/>
      <c r="H1106" s="131"/>
    </row>
    <row r="1107" spans="1:8" ht="21.95" customHeight="1">
      <c r="A1107" s="14"/>
      <c r="B1107" s="14"/>
      <c r="C1107" s="16" t="s">
        <v>1165</v>
      </c>
      <c r="D1107" s="17">
        <f>VLOOKUP(A1104,'Neraca Unaudited SIMAK'!$A$2:$S$10004,3,FALSE)</f>
        <v>453350</v>
      </c>
      <c r="E1107" s="25">
        <f>SUMIFS('Daftar Koreksi'!$H$5:$H$92,'Daftar Koreksi'!$D$5:$D$92,'0500'!A1104,'Daftar Koreksi'!$G$5:$G$92,"Persediaan",'Daftar Koreksi'!$H$5:$H$92,"&gt;0")</f>
        <v>0</v>
      </c>
      <c r="F1107" s="25">
        <f>SUMIFS('Daftar Koreksi'!$H$5:$H$92,'Daftar Koreksi'!$D$5:$D$92,'0500'!A1104,'Daftar Koreksi'!$G$5:$G$92,"Persediaan",'Daftar Koreksi'!$H$5:$H$92,"&lt;0")-SUMIFS('Daftar Koreksi'!$H$5:$H$92,'Daftar Koreksi'!$D$5:$D$92,'0500'!A1104,'Daftar Koreksi'!$G$5:$G$92,"Persediaan",'Daftar Koreksi'!$H$5:$H$92,"&lt;0")-SUMIFS('Daftar Koreksi'!$H$5:$H$92,'Daftar Koreksi'!$D$5:$D$92,'0500'!A1104,'Daftar Koreksi'!$G$5:$G$92,"Persediaan",'Daftar Koreksi'!$H$5:$H$92,"&lt;0")</f>
        <v>0</v>
      </c>
      <c r="G1107" s="17">
        <f>D1107+E1107-F1107</f>
        <v>453350</v>
      </c>
      <c r="H1107" s="121" t="str">
        <f>IF(ISNA(VLOOKUP(A1104,'Mutasi Neraca'!$A$3:$S$914,19,FALSE)),"-",VLOOKUP(A1104,'Mutasi Neraca'!$A$3:$S$914,19,FALSE))</f>
        <v>-</v>
      </c>
    </row>
    <row r="1108" spans="1:8" ht="21.95" customHeight="1">
      <c r="A1108" s="14"/>
      <c r="B1108" s="14"/>
      <c r="C1108" s="16" t="s">
        <v>1166</v>
      </c>
      <c r="D1108" s="17">
        <f>VLOOKUP(A1104,'Neraca Unaudited SIMAK'!$A$2:$S$10004,4,FALSE)</f>
        <v>1256235000</v>
      </c>
      <c r="E1108" s="25">
        <f>SUMIFS('Daftar Koreksi'!$H$5:$H$92,'Daftar Koreksi'!$D$5:$D$92,'0500'!A1104,'Daftar Koreksi'!$G$5:$G$92,"Tanah",'Daftar Koreksi'!$H$5:$H$92,"&gt;0")</f>
        <v>0</v>
      </c>
      <c r="F1108" s="25">
        <f>SUMIFS('Daftar Koreksi'!$H$5:$H$92,'Daftar Koreksi'!$D$5:$D$92,'0500'!A1104,'Daftar Koreksi'!$G$5:$G$92,"Tanah",'Daftar Koreksi'!$H$5:$H$92,"&lt;0")-SUMIFS('Daftar Koreksi'!$H$5:$H$92,'Daftar Koreksi'!$D$5:$D$92,'0500'!A1104,'Daftar Koreksi'!$G$5:$G$92,"Tanah",'Daftar Koreksi'!$H$5:$H$92,"&lt;0")-SUMIFS('Daftar Koreksi'!$H$5:$H$92,'Daftar Koreksi'!$D$5:$D$92,'0500'!A1104,'Daftar Koreksi'!$G$5:$G$92,"Tanah",'Daftar Koreksi'!$H$5:$H$92,"&lt;0")</f>
        <v>0</v>
      </c>
      <c r="G1108" s="17">
        <f t="shared" ref="G1108:G1124" si="50">D1108+E1108-F1108</f>
        <v>1256235000</v>
      </c>
      <c r="H1108" s="122"/>
    </row>
    <row r="1109" spans="1:8" ht="21.95" customHeight="1">
      <c r="A1109" s="14"/>
      <c r="B1109" s="14"/>
      <c r="C1109" s="16" t="s">
        <v>1167</v>
      </c>
      <c r="D1109" s="17">
        <f>VLOOKUP(A1104,'Neraca Unaudited SIMAK'!$A$2:$S$10004,5,FALSE)</f>
        <v>1091598134</v>
      </c>
      <c r="E1109" s="25">
        <f>SUMIFS('Daftar Koreksi'!$H$5:$H$92,'Daftar Koreksi'!$D$5:$D$92,'0500'!A1104,'Daftar Koreksi'!$G$5:$G$92,"Peralatan dan mesin",'Daftar Koreksi'!$H$5:$H$92,"&gt;0")</f>
        <v>0</v>
      </c>
      <c r="F1109" s="25">
        <f>SUMIFS('Daftar Koreksi'!$H$5:$H$92,'Daftar Koreksi'!$D$5:$D$92,'0500'!A1104,'Daftar Koreksi'!$G$5:$G$92,"Peralatan dan mesin",'Daftar Koreksi'!$H$5:$H$92,"&lt;0")-SUMIFS('Daftar Koreksi'!$H$5:$H$92,'Daftar Koreksi'!$D$5:$D$92,'0500'!A1104,'Daftar Koreksi'!$G$5:$G$92,"Peralatan dan mesin",'Daftar Koreksi'!$H$5:$H$92,"&lt;0")-SUMIFS('Daftar Koreksi'!$H$5:$H$92,'Daftar Koreksi'!$D$5:$D$92,'0500'!A1104,'Daftar Koreksi'!$G$5:$G$92,"Peralatan dan mesin",'Daftar Koreksi'!$H$5:$H$92,"&lt;0")</f>
        <v>0</v>
      </c>
      <c r="G1109" s="17">
        <f t="shared" si="50"/>
        <v>1091598134</v>
      </c>
      <c r="H1109" s="122"/>
    </row>
    <row r="1110" spans="1:8" ht="21.95" customHeight="1">
      <c r="A1110" s="14"/>
      <c r="B1110" s="14"/>
      <c r="C1110" s="16" t="s">
        <v>1168</v>
      </c>
      <c r="D1110" s="17">
        <f>VLOOKUP(A1104,'Neraca Unaudited SIMAK'!$A$2:$S$10004,6,FALSE)</f>
        <v>1023458000</v>
      </c>
      <c r="E1110" s="25">
        <f>SUMIFS('Daftar Koreksi'!$H$5:$H$92,'Daftar Koreksi'!$D$5:$D$92,'0500'!A1104,'Daftar Koreksi'!$G$5:$G$92,"Gedung dan Bangunan",'Daftar Koreksi'!$H$5:$H$92,"&gt;0")</f>
        <v>0</v>
      </c>
      <c r="F1110" s="25">
        <f>SUMIFS('Daftar Koreksi'!$H$5:$H$92,'Daftar Koreksi'!$D$5:$D$92,'0500'!A1104,'Daftar Koreksi'!$G$5:$G$92,"Gedung dan Bangunan",'Daftar Koreksi'!$H$5:$H$92,"&lt;0")-SUMIFS('Daftar Koreksi'!$H$5:$H$92,'Daftar Koreksi'!$D$5:$D$92,'0500'!A1104,'Daftar Koreksi'!$G$5:$G$92,"Gedung dan Bangunan",'Daftar Koreksi'!$H$5:$H$92,"&lt;0")-SUMIFS('Daftar Koreksi'!$H$5:$H$92,'Daftar Koreksi'!$D$5:$D$92,'0500'!A1104,'Daftar Koreksi'!$G$5:$G$92,"Gedung dan Bangunan",'Daftar Koreksi'!$H$5:$H$92,"&lt;0")</f>
        <v>0</v>
      </c>
      <c r="G1110" s="17">
        <f t="shared" si="50"/>
        <v>1023458000</v>
      </c>
      <c r="H1110" s="122"/>
    </row>
    <row r="1111" spans="1:8" ht="21.95" customHeight="1">
      <c r="A1111" s="14"/>
      <c r="B1111" s="14"/>
      <c r="C1111" s="16" t="s">
        <v>1169</v>
      </c>
      <c r="D1111" s="17">
        <f>VLOOKUP(A1104,'Neraca Unaudited SIMAK'!$A$2:$S$10004,7,FALSE)</f>
        <v>0</v>
      </c>
      <c r="E1111" s="25">
        <f>SUMIFS('Daftar Koreksi'!$H$5:$H$92,'Daftar Koreksi'!$D$5:$D$92,'0500'!A1104,'Daftar Koreksi'!$G$5:$G$92,"Jalan Irigasi Jaringan",'Daftar Koreksi'!$H$5:$H$92,"&gt;0")</f>
        <v>0</v>
      </c>
      <c r="F1111" s="25">
        <f>SUMIFS('Daftar Koreksi'!$H$5:$H$92,'Daftar Koreksi'!$D$5:$D$92,'0500'!A1104,'Daftar Koreksi'!$G$5:$G$92,"Jalan Irigasi Jaringan",'Daftar Koreksi'!$H$5:$H$92,"&lt;0")-SUMIFS('Daftar Koreksi'!$H$5:$H$92,'Daftar Koreksi'!$D$5:$D$92,'0500'!A1104,'Daftar Koreksi'!$G$5:$G$92,"Jalan Irigasi Jaringan",'Daftar Koreksi'!$H$5:$H$92,"&lt;0")-SUMIFS('Daftar Koreksi'!$H$5:$H$92,'Daftar Koreksi'!$D$5:$D$92,'0500'!A1104,'Daftar Koreksi'!$G$5:$G$92,"Jalan Irigasi Jaringan",'Daftar Koreksi'!$H$5:$H$92,"&lt;0")</f>
        <v>0</v>
      </c>
      <c r="G1111" s="17">
        <f t="shared" si="50"/>
        <v>0</v>
      </c>
      <c r="H1111" s="122"/>
    </row>
    <row r="1112" spans="1:8" ht="21.95" customHeight="1">
      <c r="A1112" s="14"/>
      <c r="B1112" s="14"/>
      <c r="C1112" s="16" t="s">
        <v>1170</v>
      </c>
      <c r="D1112" s="17">
        <f>VLOOKUP(A1104,'Neraca Unaudited SIMAK'!$A$2:$S$10004,8,FALSE)</f>
        <v>408000</v>
      </c>
      <c r="E1112" s="25">
        <f>SUMIFS('Daftar Koreksi'!$H$5:$H$92,'Daftar Koreksi'!$D$5:$D$92,'0500'!A1104,'Daftar Koreksi'!$G$5:$G$92,"Aset Tetap Lainnya",'Daftar Koreksi'!$H$5:$H$92,"&gt;0")</f>
        <v>0</v>
      </c>
      <c r="F1112" s="25">
        <f>SUMIFS('Daftar Koreksi'!$H$5:$H$92,'Daftar Koreksi'!$D$5:$D$92,'0500'!A1104,'Daftar Koreksi'!$G$5:$G$92,"Aset Tetap Lainnya",'Daftar Koreksi'!$H$5:$H$92,"&lt;0")-SUMIFS('Daftar Koreksi'!$H$5:$H$92,'Daftar Koreksi'!$D$5:$D$92,'0500'!A1104,'Daftar Koreksi'!$G$5:$G$92,"Aset Tetap Lainnya",'Daftar Koreksi'!$H$5:$H$92,"&lt;0")-SUMIFS('Daftar Koreksi'!$H$5:$H$92,'Daftar Koreksi'!$D$5:$D$92,'0500'!A1104,'Daftar Koreksi'!$G$5:$G$92,"Aset Tetap Lainnya",'Daftar Koreksi'!$H$5:$H$92,"&lt;0")</f>
        <v>0</v>
      </c>
      <c r="G1112" s="17">
        <f t="shared" si="50"/>
        <v>408000</v>
      </c>
      <c r="H1112" s="122"/>
    </row>
    <row r="1113" spans="1:8" ht="21.95" customHeight="1">
      <c r="A1113" s="14"/>
      <c r="B1113" s="14"/>
      <c r="C1113" s="16" t="s">
        <v>1171</v>
      </c>
      <c r="D1113" s="17">
        <f>VLOOKUP(A1104,'Neraca Unaudited SIMAK'!$A$2:$S$10004,9,FALSE)</f>
        <v>0</v>
      </c>
      <c r="E1113" s="25">
        <f>SUMIFS('Daftar Koreksi'!$H$5:$H$92,'Daftar Koreksi'!$D$5:$D$92,'0500'!A1104,'Daftar Koreksi'!$G$5:$G$92,"Kontruksi Dalam Pengerjaan",'Daftar Koreksi'!$H$5:$H$92,"&gt;0")</f>
        <v>0</v>
      </c>
      <c r="F1113" s="25">
        <f>SUMIFS('Daftar Koreksi'!$H$5:$H$92,'Daftar Koreksi'!$D$5:$D$92,'0500'!A1104,'Daftar Koreksi'!$G$5:$G$92,"Kontruksi Dalam Pengerjaan",'Daftar Koreksi'!$H$5:$H$92,"&lt;0")-SUMIFS('Daftar Koreksi'!$H$5:$H$92,'Daftar Koreksi'!$D$5:$D$92,'0500'!A1104,'Daftar Koreksi'!$G$5:$G$92,"Kontruksi Dalam Pengerjaan",'Daftar Koreksi'!$H$5:$H$92,"&lt;0")-SUMIFS('Daftar Koreksi'!$H$5:$H$92,'Daftar Koreksi'!$D$5:$D$92,'0500'!A1104,'Daftar Koreksi'!$G$5:$G$92,"Kontruksi Dalam Pengerjaan",'Daftar Koreksi'!$H$5:$H$92,"&lt;0")</f>
        <v>0</v>
      </c>
      <c r="G1113" s="17">
        <f t="shared" si="50"/>
        <v>0</v>
      </c>
      <c r="H1113" s="122"/>
    </row>
    <row r="1114" spans="1:8" ht="21.95" customHeight="1">
      <c r="A1114" s="14"/>
      <c r="B1114" s="14"/>
      <c r="C1114" s="16" t="s">
        <v>1172</v>
      </c>
      <c r="D1114" s="17">
        <f>VLOOKUP(A1104,'Neraca Unaudited SIMAK'!$A$2:$S$10004,10,FALSE)</f>
        <v>22200000</v>
      </c>
      <c r="E1114" s="25">
        <f>SUMIFS('Daftar Koreksi'!$H$5:$H$92,'Daftar Koreksi'!$D$5:$D$92,'0500'!A1104,'Daftar Koreksi'!$G$5:$G$92,"Aset Tak Berwujud",'Daftar Koreksi'!$H$5:$H$92,"&gt;0")</f>
        <v>0</v>
      </c>
      <c r="F1114" s="25">
        <f>SUMIFS('Daftar Koreksi'!$H$5:$H$92,'Daftar Koreksi'!$D$5:$D$92,'0500'!A1104,'Daftar Koreksi'!$G$5:$G$92,"Aset Tak Berwujud",'Daftar Koreksi'!$H$5:$H$92,"&lt;0")-SUMIFS('Daftar Koreksi'!$H$5:$H$92,'Daftar Koreksi'!$D$5:$D$92,'0500'!A1104,'Daftar Koreksi'!$G$5:$G$92,"Aset Tak Berwujud",'Daftar Koreksi'!$H$5:$H$92,"&lt;0")-SUMIFS('Daftar Koreksi'!$H$5:$H$92,'Daftar Koreksi'!$D$5:$D$92,'0500'!A1104,'Daftar Koreksi'!$G$5:$G$92,"Aset Tak Berwujud",'Daftar Koreksi'!$H$5:$H$92,"&lt;0")</f>
        <v>0</v>
      </c>
      <c r="G1114" s="17">
        <f t="shared" si="50"/>
        <v>22200000</v>
      </c>
      <c r="H1114" s="122"/>
    </row>
    <row r="1115" spans="1:8" ht="21.95" customHeight="1">
      <c r="A1115" s="14"/>
      <c r="B1115" s="14"/>
      <c r="C1115" s="16" t="s">
        <v>1173</v>
      </c>
      <c r="D1115" s="17">
        <f>VLOOKUP(A1104,'Neraca Unaudited SIMAK'!$A$2:$S$10004,11,FALSE)</f>
        <v>52298350</v>
      </c>
      <c r="E1115" s="25">
        <f>SUMIFS('Daftar Koreksi'!$H$5:$H$92,'Daftar Koreksi'!$D$5:$D$92,'0500'!A1104,'Daftar Koreksi'!$G$5:$G$92,"Aset Henti Guna",'Daftar Koreksi'!$H$5:$H$92,"&gt;0")</f>
        <v>0</v>
      </c>
      <c r="F1115" s="25">
        <f>SUMIFS('Daftar Koreksi'!$H$5:$H$92,'Daftar Koreksi'!$D$5:$D$92,'0500'!A1104,'Daftar Koreksi'!$G$5:$G$92,"Aset Henti Guna",'Daftar Koreksi'!$H$5:$H$92,"&lt;0")-SUMIFS('Daftar Koreksi'!$H$5:$H$92,'Daftar Koreksi'!$D$5:$D$92,'0500'!A1104,'Daftar Koreksi'!$G$5:$G$92,"Aset Henti Guna",'Daftar Koreksi'!$H$5:$H$92,"&lt;0")-SUMIFS('Daftar Koreksi'!$H$5:$H$92,'Daftar Koreksi'!$D$5:$D$92,'0500'!A1104,'Daftar Koreksi'!$G$5:$G$92,"Aset Henti Guna",'Daftar Koreksi'!$H$5:$H$92,"&lt;0")</f>
        <v>0</v>
      </c>
      <c r="G1115" s="17">
        <f t="shared" si="50"/>
        <v>52298350</v>
      </c>
      <c r="H1115" s="122"/>
    </row>
    <row r="1116" spans="1:8" ht="21.95" customHeight="1">
      <c r="A1116" s="14"/>
      <c r="B1116" s="14"/>
      <c r="C1116" s="18" t="s">
        <v>2093</v>
      </c>
      <c r="D1116" s="19">
        <f>VLOOKUP(A1104,'Neraca Unaudited SIMAK'!$A$2:$S$10004,12,FALSE)</f>
        <v>3446650834</v>
      </c>
      <c r="E1116" s="19">
        <f>SUM(E1107:E1115)</f>
        <v>0</v>
      </c>
      <c r="F1116" s="19">
        <f>SUM(F1107:F1115)</f>
        <v>0</v>
      </c>
      <c r="G1116" s="19">
        <f t="shared" si="50"/>
        <v>3446650834</v>
      </c>
      <c r="H1116" s="122"/>
    </row>
    <row r="1117" spans="1:8" ht="21.95" customHeight="1">
      <c r="A1117" s="14"/>
      <c r="B1117" s="14"/>
      <c r="C1117" s="16" t="s">
        <v>2087</v>
      </c>
      <c r="D1117" s="17">
        <f>VLOOKUP(A1104,'Neraca Unaudited SIMAK'!$A$2:$S$10004,13,FALSE)</f>
        <v>-973531208</v>
      </c>
      <c r="E1117" s="25">
        <f>SUMIFS('Daftar Koreksi'!$I$5:$I$92,'Daftar Koreksi'!$D$5:$D$92,'0500'!A1104,'Daftar Koreksi'!$G$5:$G$92,"Peralatan dan mesin",'Daftar Koreksi'!$I$5:$I$92,"&gt;0")</f>
        <v>0</v>
      </c>
      <c r="F1117" s="25">
        <f>SUMIFS('Daftar Koreksi'!$I$5:$I$92,'Daftar Koreksi'!$D$5:$D$92,'0500'!A1104,'Daftar Koreksi'!$G$5:$G$92,"Peralatan dan mesin",'Daftar Koreksi'!$I$5:$I$92,"&lt;0")-SUMIFS('Daftar Koreksi'!$I$5:$I$92,'Daftar Koreksi'!$D$5:$D$92,'0500'!A1104,'Daftar Koreksi'!$G$5:$G$92,"Peralatan dan mesin",'Daftar Koreksi'!$I$5:$I$92,"&lt;0")-SUMIFS('Daftar Koreksi'!$I$5:$I$92,'Daftar Koreksi'!$D$5:$D$92,'0500'!A1104,'Daftar Koreksi'!$G$5:$G$92,"Peralatan dan mesin",'Daftar Koreksi'!$I$5:$I$92,"&lt;0")</f>
        <v>0</v>
      </c>
      <c r="G1117" s="17">
        <f t="shared" si="50"/>
        <v>-973531208</v>
      </c>
      <c r="H1117" s="122"/>
    </row>
    <row r="1118" spans="1:8" ht="21.95" customHeight="1">
      <c r="A1118" s="14"/>
      <c r="B1118" s="14"/>
      <c r="C1118" s="16" t="s">
        <v>2088</v>
      </c>
      <c r="D1118" s="17">
        <f>VLOOKUP(A1104,'Neraca Unaudited SIMAK'!$A$2:$S$10004,14,FALSE)</f>
        <v>-205206881</v>
      </c>
      <c r="E1118" s="25">
        <f>SUMIFS('Daftar Koreksi'!$I$5:$I$92,'Daftar Koreksi'!$D$5:$D$92,'0500'!A1104,'Daftar Koreksi'!$G$5:$G$92,"Gedung dan Bangunan",'Daftar Koreksi'!$I$5:$I$92,"&gt;0")</f>
        <v>0</v>
      </c>
      <c r="F1118" s="25">
        <f>SUMIFS('Daftar Koreksi'!$I$5:$I$92,'Daftar Koreksi'!$D$5:$D$92,'0500'!A1104,'Daftar Koreksi'!$G$5:$G$92,"Gedung dan Bangunan",'Daftar Koreksi'!$I$5:$I$92,"&lt;0")-SUMIFS('Daftar Koreksi'!$I$5:$I$92,'Daftar Koreksi'!$D$5:$D$92,'0500'!A1104,'Daftar Koreksi'!$G$5:$G$92,"Gedung dan Bangunan",'Daftar Koreksi'!$I$5:$I$92,"&lt;0")-SUMIFS('Daftar Koreksi'!$I$5:$I$92,'Daftar Koreksi'!$D$5:$D$92,'0500'!A1104,'Daftar Koreksi'!$G$5:$G$92,"Gedung dan Bangunan",'Daftar Koreksi'!$I$5:$I$92,"&lt;0")</f>
        <v>0</v>
      </c>
      <c r="G1118" s="17">
        <f t="shared" si="50"/>
        <v>-205206881</v>
      </c>
      <c r="H1118" s="122"/>
    </row>
    <row r="1119" spans="1:8" ht="21.95" customHeight="1">
      <c r="A1119" s="14"/>
      <c r="B1119" s="14"/>
      <c r="C1119" s="16" t="s">
        <v>2089</v>
      </c>
      <c r="D1119" s="17">
        <f>VLOOKUP(A1104,'Neraca Unaudited SIMAK'!$A$2:$S$10004,15,FALSE)</f>
        <v>0</v>
      </c>
      <c r="E1119" s="25">
        <f>SUMIFS('Daftar Koreksi'!$I$5:$I$92,'Daftar Koreksi'!$D$5:$D$92,'0500'!A1104,'Daftar Koreksi'!$G$5:$G$92,"Jalan Irigasi Jaringan",'Daftar Koreksi'!$I$5:$I$92,"&gt;0")</f>
        <v>0</v>
      </c>
      <c r="F1119" s="25">
        <f>SUMIFS('Daftar Koreksi'!$I$5:$I$92,'Daftar Koreksi'!$D$5:$D$92,'0500'!A1104,'Daftar Koreksi'!$G$5:$G$92,"Jalan Irigasi Jaringan",'Daftar Koreksi'!$I$5:$I$92,"&lt;0")-SUMIFS('Daftar Koreksi'!$I$5:$I$92,'Daftar Koreksi'!$D$5:$D$92,'0500'!A1104,'Daftar Koreksi'!$G$5:$G$92,"Jalan Irigasi Jaringan",'Daftar Koreksi'!$I$5:$I$92,"&lt;0")-SUMIFS('Daftar Koreksi'!$I$5:$I$92,'Daftar Koreksi'!$D$5:$D$92,'0500'!A1104,'Daftar Koreksi'!$G$5:$G$92,"Jalan Irigasi Jaringan",'Daftar Koreksi'!$I$5:$I$92,"&lt;0")</f>
        <v>0</v>
      </c>
      <c r="G1119" s="17">
        <f t="shared" si="50"/>
        <v>0</v>
      </c>
      <c r="H1119" s="122"/>
    </row>
    <row r="1120" spans="1:8" ht="21.95" customHeight="1">
      <c r="A1120" s="14"/>
      <c r="B1120" s="14"/>
      <c r="C1120" s="16" t="s">
        <v>2090</v>
      </c>
      <c r="D1120" s="17">
        <f>VLOOKUP(A1104,'Neraca Unaudited SIMAK'!$A$2:$S$10004,16,FALSE)</f>
        <v>0</v>
      </c>
      <c r="E1120" s="25">
        <f>SUMIFS('Daftar Koreksi'!$I$5:$I$92,'Daftar Koreksi'!$D$5:$D$92,'0500'!A1104,'Daftar Koreksi'!$G$5:$G$92,"Aset Tetap Lainnya",'Daftar Koreksi'!$I$5:$I$92,"&gt;0")</f>
        <v>0</v>
      </c>
      <c r="F1120" s="25">
        <f>SUMIFS('Daftar Koreksi'!$I$5:$I$92,'Daftar Koreksi'!$D$5:$D$92,'0500'!A1104,'Daftar Koreksi'!$G$5:$G$92,"Aset Tetap Lainnya",'Daftar Koreksi'!$I$5:$I$92,"&lt;0")-SUMIFS('Daftar Koreksi'!$I$5:$I$92,'Daftar Koreksi'!$D$5:$D$92,'0500'!A1104,'Daftar Koreksi'!$G$5:$G$92,"Aset Tetap Lainnya",'Daftar Koreksi'!$I$5:$I$92,"&lt;0")-SUMIFS('Daftar Koreksi'!$I$5:$I$92,'Daftar Koreksi'!$D$5:$D$92,'0500'!A1104,'Daftar Koreksi'!$G$5:$G$92,"Aset Tetap Lainnya",'Daftar Koreksi'!$I$5:$I$92,"&lt;0")</f>
        <v>0</v>
      </c>
      <c r="G1120" s="17">
        <f t="shared" si="50"/>
        <v>0</v>
      </c>
      <c r="H1120" s="122"/>
    </row>
    <row r="1121" spans="1:8" ht="21.95" customHeight="1">
      <c r="A1121" s="14"/>
      <c r="B1121" s="14"/>
      <c r="C1121" s="16" t="s">
        <v>2020</v>
      </c>
      <c r="D1121" s="17">
        <f>VLOOKUP(A1104,'Neraca Unaudited SIMAK'!$A$2:$S$10004,17,FALSE)</f>
        <v>-52298350</v>
      </c>
      <c r="E1121" s="25">
        <f>SUMIFS('Daftar Koreksi'!$I$5:$I$92,'Daftar Koreksi'!$D$5:$D$92,'0500'!A1104,'Daftar Koreksi'!$G$5:$G$92,"Aset Henti Guna",'Daftar Koreksi'!$I$5:$I$92,"&gt;0")</f>
        <v>0</v>
      </c>
      <c r="F1121" s="25">
        <f>SUMIFS('Daftar Koreksi'!$I$5:$I$92,'Daftar Koreksi'!$D$5:$D$92,'0500'!A1104,'Daftar Koreksi'!$G$5:$G$92,"Aset Henti Guna",'Daftar Koreksi'!$I$5:$I$92,"&lt;0")-SUMIFS('Daftar Koreksi'!$I$5:$I$92,'Daftar Koreksi'!$D$5:$D$92,'0500'!A1104,'Daftar Koreksi'!$G$5:$G$92,"Aset Henti Guna",'Daftar Koreksi'!$I$5:$I$92,"&lt;0")-SUMIFS('Daftar Koreksi'!$I$5:$I$92,'Daftar Koreksi'!$D$5:$D$92,'0500'!A1104,'Daftar Koreksi'!$G$5:$G$92,"Aset Henti Guna",'Daftar Koreksi'!$I$5:$I$92,"&lt;0")</f>
        <v>0</v>
      </c>
      <c r="G1121" s="17">
        <f t="shared" si="50"/>
        <v>-52298350</v>
      </c>
      <c r="H1121" s="122"/>
    </row>
    <row r="1122" spans="1:8" ht="21.95" customHeight="1">
      <c r="A1122" s="14"/>
      <c r="B1122" s="14"/>
      <c r="C1122" s="18" t="s">
        <v>2094</v>
      </c>
      <c r="D1122" s="19">
        <f>SUM(D1117:D1121)</f>
        <v>-1231036439</v>
      </c>
      <c r="E1122" s="19">
        <f>SUM(E1117:E1121)</f>
        <v>0</v>
      </c>
      <c r="F1122" s="19">
        <f>SUM(F1117:F1121)</f>
        <v>0</v>
      </c>
      <c r="G1122" s="19">
        <f t="shared" si="50"/>
        <v>-1231036439</v>
      </c>
      <c r="H1122" s="122"/>
    </row>
    <row r="1123" spans="1:8" ht="21.95" customHeight="1">
      <c r="A1123" s="14"/>
      <c r="B1123" s="14"/>
      <c r="C1123" s="18" t="s">
        <v>2095</v>
      </c>
      <c r="D1123" s="19">
        <f>VLOOKUP(A1104,'Neraca Unaudited SIMAK'!$A$2:$S$10004,18,FALSE)</f>
        <v>2215614395</v>
      </c>
      <c r="E1123" s="19">
        <f>E1122+E1116</f>
        <v>0</v>
      </c>
      <c r="F1123" s="19">
        <f>F1122+F1116</f>
        <v>0</v>
      </c>
      <c r="G1123" s="19">
        <f t="shared" si="50"/>
        <v>2215614395</v>
      </c>
      <c r="H1123" s="122"/>
    </row>
    <row r="1124" spans="1:8" ht="21.95" customHeight="1">
      <c r="A1124" s="14"/>
      <c r="B1124" s="14"/>
      <c r="C1124" s="16" t="s">
        <v>2091</v>
      </c>
      <c r="D1124" s="17">
        <f>VLOOKUP(A1104,'Neraca Unaudited SIMAK'!$A$2:$S$10004,19,FALSE)</f>
        <v>0</v>
      </c>
      <c r="E1124" s="25"/>
      <c r="F1124" s="25"/>
      <c r="G1124" s="17">
        <f t="shared" si="50"/>
        <v>0</v>
      </c>
      <c r="H1124" s="123"/>
    </row>
    <row r="1126" spans="1:8" ht="19.5" customHeight="1">
      <c r="A1126" s="11" t="str">
        <f>O52</f>
        <v>005010500401401000KD</v>
      </c>
      <c r="B1126" s="11" t="str">
        <f>P52</f>
        <v>PA. Blitar</v>
      </c>
      <c r="C1126" s="12" t="str">
        <f>A1126&amp;" "&amp;B1126</f>
        <v>005010500401401000KD PA. Blitar</v>
      </c>
      <c r="D1126" s="13"/>
      <c r="E1126" s="13"/>
      <c r="F1126" s="13"/>
      <c r="G1126" s="13"/>
      <c r="H1126" s="11"/>
    </row>
    <row r="1127" spans="1:8" ht="21.95" customHeight="1">
      <c r="A1127" s="14"/>
      <c r="B1127" s="14"/>
      <c r="C1127" s="124" t="s">
        <v>1982</v>
      </c>
      <c r="D1127" s="126" t="s">
        <v>1983</v>
      </c>
      <c r="E1127" s="132" t="s">
        <v>1984</v>
      </c>
      <c r="F1127" s="132"/>
      <c r="G1127" s="126" t="s">
        <v>1987</v>
      </c>
      <c r="H1127" s="130" t="s">
        <v>1175</v>
      </c>
    </row>
    <row r="1128" spans="1:8" ht="21.95" customHeight="1">
      <c r="A1128" s="14"/>
      <c r="B1128" s="14"/>
      <c r="C1128" s="125"/>
      <c r="D1128" s="127"/>
      <c r="E1128" s="26" t="s">
        <v>1985</v>
      </c>
      <c r="F1128" s="26" t="s">
        <v>1986</v>
      </c>
      <c r="G1128" s="127"/>
      <c r="H1128" s="131"/>
    </row>
    <row r="1129" spans="1:8" ht="21.95" customHeight="1">
      <c r="A1129" s="14"/>
      <c r="B1129" s="14"/>
      <c r="C1129" s="16" t="s">
        <v>1165</v>
      </c>
      <c r="D1129" s="17">
        <f>VLOOKUP(A1126,'Neraca Unaudited SIMAK'!$A$2:$S$10004,3,FALSE)</f>
        <v>6638400</v>
      </c>
      <c r="E1129" s="25">
        <f>SUMIFS('Daftar Koreksi'!$H$5:$H$92,'Daftar Koreksi'!$D$5:$D$92,'0500'!A1126,'Daftar Koreksi'!$G$5:$G$92,"Persediaan",'Daftar Koreksi'!$H$5:$H$92,"&gt;0")</f>
        <v>0</v>
      </c>
      <c r="F1129" s="25">
        <f>SUMIFS('Daftar Koreksi'!$H$5:$H$92,'Daftar Koreksi'!$D$5:$D$92,'0500'!A1126,'Daftar Koreksi'!$G$5:$G$92,"Persediaan",'Daftar Koreksi'!$H$5:$H$92,"&lt;0")-SUMIFS('Daftar Koreksi'!$H$5:$H$92,'Daftar Koreksi'!$D$5:$D$92,'0500'!A1126,'Daftar Koreksi'!$G$5:$G$92,"Persediaan",'Daftar Koreksi'!$H$5:$H$92,"&lt;0")-SUMIFS('Daftar Koreksi'!$H$5:$H$92,'Daftar Koreksi'!$D$5:$D$92,'0500'!A1126,'Daftar Koreksi'!$G$5:$G$92,"Persediaan",'Daftar Koreksi'!$H$5:$H$92,"&lt;0")</f>
        <v>0</v>
      </c>
      <c r="G1129" s="17">
        <f>D1129+E1129-F1129</f>
        <v>6638400</v>
      </c>
      <c r="H1129" s="121" t="str">
        <f>IF(ISNA(VLOOKUP(A1126,'Mutasi Neraca'!$A$3:$S$914,19,FALSE)),"-",VLOOKUP(A1126,'Mutasi Neraca'!$A$3:$S$914,19,FALSE))</f>
        <v>-</v>
      </c>
    </row>
    <row r="1130" spans="1:8" ht="21.95" customHeight="1">
      <c r="A1130" s="14"/>
      <c r="B1130" s="14"/>
      <c r="C1130" s="16" t="s">
        <v>1166</v>
      </c>
      <c r="D1130" s="17">
        <f>VLOOKUP(A1126,'Neraca Unaudited SIMAK'!$A$2:$S$10004,4,FALSE)</f>
        <v>1210713000</v>
      </c>
      <c r="E1130" s="25">
        <f>SUMIFS('Daftar Koreksi'!$H$5:$H$92,'Daftar Koreksi'!$D$5:$D$92,'0500'!A1126,'Daftar Koreksi'!$G$5:$G$92,"Tanah",'Daftar Koreksi'!$H$5:$H$92,"&gt;0")</f>
        <v>0</v>
      </c>
      <c r="F1130" s="25">
        <f>SUMIFS('Daftar Koreksi'!$H$5:$H$92,'Daftar Koreksi'!$D$5:$D$92,'0500'!A1126,'Daftar Koreksi'!$G$5:$G$92,"Tanah",'Daftar Koreksi'!$H$5:$H$92,"&lt;0")-SUMIFS('Daftar Koreksi'!$H$5:$H$92,'Daftar Koreksi'!$D$5:$D$92,'0500'!A1126,'Daftar Koreksi'!$G$5:$G$92,"Tanah",'Daftar Koreksi'!$H$5:$H$92,"&lt;0")-SUMIFS('Daftar Koreksi'!$H$5:$H$92,'Daftar Koreksi'!$D$5:$D$92,'0500'!A1126,'Daftar Koreksi'!$G$5:$G$92,"Tanah",'Daftar Koreksi'!$H$5:$H$92,"&lt;0")</f>
        <v>0</v>
      </c>
      <c r="G1130" s="17">
        <f t="shared" ref="G1130:G1146" si="51">D1130+E1130-F1130</f>
        <v>1210713000</v>
      </c>
      <c r="H1130" s="122"/>
    </row>
    <row r="1131" spans="1:8" ht="21.95" customHeight="1">
      <c r="A1131" s="14"/>
      <c r="B1131" s="14"/>
      <c r="C1131" s="16" t="s">
        <v>1167</v>
      </c>
      <c r="D1131" s="17">
        <f>VLOOKUP(A1126,'Neraca Unaudited SIMAK'!$A$2:$S$10004,5,FALSE)</f>
        <v>1390618078</v>
      </c>
      <c r="E1131" s="25">
        <f>SUMIFS('Daftar Koreksi'!$H$5:$H$92,'Daftar Koreksi'!$D$5:$D$92,'0500'!A1126,'Daftar Koreksi'!$G$5:$G$92,"Peralatan dan mesin",'Daftar Koreksi'!$H$5:$H$92,"&gt;0")</f>
        <v>0</v>
      </c>
      <c r="F1131" s="25">
        <f>SUMIFS('Daftar Koreksi'!$H$5:$H$92,'Daftar Koreksi'!$D$5:$D$92,'0500'!A1126,'Daftar Koreksi'!$G$5:$G$92,"Peralatan dan mesin",'Daftar Koreksi'!$H$5:$H$92,"&lt;0")-SUMIFS('Daftar Koreksi'!$H$5:$H$92,'Daftar Koreksi'!$D$5:$D$92,'0500'!A1126,'Daftar Koreksi'!$G$5:$G$92,"Peralatan dan mesin",'Daftar Koreksi'!$H$5:$H$92,"&lt;0")-SUMIFS('Daftar Koreksi'!$H$5:$H$92,'Daftar Koreksi'!$D$5:$D$92,'0500'!A1126,'Daftar Koreksi'!$G$5:$G$92,"Peralatan dan mesin",'Daftar Koreksi'!$H$5:$H$92,"&lt;0")</f>
        <v>0</v>
      </c>
      <c r="G1131" s="17">
        <f t="shared" si="51"/>
        <v>1390618078</v>
      </c>
      <c r="H1131" s="122"/>
    </row>
    <row r="1132" spans="1:8" ht="21.95" customHeight="1">
      <c r="A1132" s="14"/>
      <c r="B1132" s="14"/>
      <c r="C1132" s="16" t="s">
        <v>1168</v>
      </c>
      <c r="D1132" s="17">
        <f>VLOOKUP(A1126,'Neraca Unaudited SIMAK'!$A$2:$S$10004,6,FALSE)</f>
        <v>3637826410</v>
      </c>
      <c r="E1132" s="25">
        <f>SUMIFS('Daftar Koreksi'!$H$5:$H$92,'Daftar Koreksi'!$D$5:$D$92,'0500'!A1126,'Daftar Koreksi'!$G$5:$G$92,"Gedung dan Bangunan",'Daftar Koreksi'!$H$5:$H$92,"&gt;0")</f>
        <v>0</v>
      </c>
      <c r="F1132" s="25">
        <f>SUMIFS('Daftar Koreksi'!$H$5:$H$92,'Daftar Koreksi'!$D$5:$D$92,'0500'!A1126,'Daftar Koreksi'!$G$5:$G$92,"Gedung dan Bangunan",'Daftar Koreksi'!$H$5:$H$92,"&lt;0")-SUMIFS('Daftar Koreksi'!$H$5:$H$92,'Daftar Koreksi'!$D$5:$D$92,'0500'!A1126,'Daftar Koreksi'!$G$5:$G$92,"Gedung dan Bangunan",'Daftar Koreksi'!$H$5:$H$92,"&lt;0")-SUMIFS('Daftar Koreksi'!$H$5:$H$92,'Daftar Koreksi'!$D$5:$D$92,'0500'!A1126,'Daftar Koreksi'!$G$5:$G$92,"Gedung dan Bangunan",'Daftar Koreksi'!$H$5:$H$92,"&lt;0")</f>
        <v>0</v>
      </c>
      <c r="G1132" s="17">
        <f t="shared" si="51"/>
        <v>3637826410</v>
      </c>
      <c r="H1132" s="122"/>
    </row>
    <row r="1133" spans="1:8" ht="21.95" customHeight="1">
      <c r="A1133" s="14"/>
      <c r="B1133" s="14"/>
      <c r="C1133" s="16" t="s">
        <v>1169</v>
      </c>
      <c r="D1133" s="17">
        <f>VLOOKUP(A1126,'Neraca Unaudited SIMAK'!$A$2:$S$10004,7,FALSE)</f>
        <v>0</v>
      </c>
      <c r="E1133" s="25">
        <f>SUMIFS('Daftar Koreksi'!$H$5:$H$92,'Daftar Koreksi'!$D$5:$D$92,'0500'!A1126,'Daftar Koreksi'!$G$5:$G$92,"Jalan Irigasi Jaringan",'Daftar Koreksi'!$H$5:$H$92,"&gt;0")</f>
        <v>0</v>
      </c>
      <c r="F1133" s="25">
        <f>SUMIFS('Daftar Koreksi'!$H$5:$H$92,'Daftar Koreksi'!$D$5:$D$92,'0500'!A1126,'Daftar Koreksi'!$G$5:$G$92,"Jalan Irigasi Jaringan",'Daftar Koreksi'!$H$5:$H$92,"&lt;0")-SUMIFS('Daftar Koreksi'!$H$5:$H$92,'Daftar Koreksi'!$D$5:$D$92,'0500'!A1126,'Daftar Koreksi'!$G$5:$G$92,"Jalan Irigasi Jaringan",'Daftar Koreksi'!$H$5:$H$92,"&lt;0")-SUMIFS('Daftar Koreksi'!$H$5:$H$92,'Daftar Koreksi'!$D$5:$D$92,'0500'!A1126,'Daftar Koreksi'!$G$5:$G$92,"Jalan Irigasi Jaringan",'Daftar Koreksi'!$H$5:$H$92,"&lt;0")</f>
        <v>0</v>
      </c>
      <c r="G1133" s="17">
        <f t="shared" si="51"/>
        <v>0</v>
      </c>
      <c r="H1133" s="122"/>
    </row>
    <row r="1134" spans="1:8" ht="21.95" customHeight="1">
      <c r="A1134" s="14"/>
      <c r="B1134" s="14"/>
      <c r="C1134" s="16" t="s">
        <v>1170</v>
      </c>
      <c r="D1134" s="17">
        <f>VLOOKUP(A1126,'Neraca Unaudited SIMAK'!$A$2:$S$10004,8,FALSE)</f>
        <v>408000</v>
      </c>
      <c r="E1134" s="25">
        <f>SUMIFS('Daftar Koreksi'!$H$5:$H$92,'Daftar Koreksi'!$D$5:$D$92,'0500'!A1126,'Daftar Koreksi'!$G$5:$G$92,"Aset Tetap Lainnya",'Daftar Koreksi'!$H$5:$H$92,"&gt;0")</f>
        <v>0</v>
      </c>
      <c r="F1134" s="25">
        <f>SUMIFS('Daftar Koreksi'!$H$5:$H$92,'Daftar Koreksi'!$D$5:$D$92,'0500'!A1126,'Daftar Koreksi'!$G$5:$G$92,"Aset Tetap Lainnya",'Daftar Koreksi'!$H$5:$H$92,"&lt;0")-SUMIFS('Daftar Koreksi'!$H$5:$H$92,'Daftar Koreksi'!$D$5:$D$92,'0500'!A1126,'Daftar Koreksi'!$G$5:$G$92,"Aset Tetap Lainnya",'Daftar Koreksi'!$H$5:$H$92,"&lt;0")-SUMIFS('Daftar Koreksi'!$H$5:$H$92,'Daftar Koreksi'!$D$5:$D$92,'0500'!A1126,'Daftar Koreksi'!$G$5:$G$92,"Aset Tetap Lainnya",'Daftar Koreksi'!$H$5:$H$92,"&lt;0")</f>
        <v>0</v>
      </c>
      <c r="G1134" s="17">
        <f t="shared" si="51"/>
        <v>408000</v>
      </c>
      <c r="H1134" s="122"/>
    </row>
    <row r="1135" spans="1:8" ht="21.95" customHeight="1">
      <c r="A1135" s="14"/>
      <c r="B1135" s="14"/>
      <c r="C1135" s="16" t="s">
        <v>1171</v>
      </c>
      <c r="D1135" s="17">
        <f>VLOOKUP(A1126,'Neraca Unaudited SIMAK'!$A$2:$S$10004,9,FALSE)</f>
        <v>0</v>
      </c>
      <c r="E1135" s="25">
        <f>SUMIFS('Daftar Koreksi'!$H$5:$H$92,'Daftar Koreksi'!$D$5:$D$92,'0500'!A1126,'Daftar Koreksi'!$G$5:$G$92,"Kontruksi Dalam Pengerjaan",'Daftar Koreksi'!$H$5:$H$92,"&gt;0")</f>
        <v>0</v>
      </c>
      <c r="F1135" s="25">
        <f>SUMIFS('Daftar Koreksi'!$H$5:$H$92,'Daftar Koreksi'!$D$5:$D$92,'0500'!A1126,'Daftar Koreksi'!$G$5:$G$92,"Kontruksi Dalam Pengerjaan",'Daftar Koreksi'!$H$5:$H$92,"&lt;0")-SUMIFS('Daftar Koreksi'!$H$5:$H$92,'Daftar Koreksi'!$D$5:$D$92,'0500'!A1126,'Daftar Koreksi'!$G$5:$G$92,"Kontruksi Dalam Pengerjaan",'Daftar Koreksi'!$H$5:$H$92,"&lt;0")-SUMIFS('Daftar Koreksi'!$H$5:$H$92,'Daftar Koreksi'!$D$5:$D$92,'0500'!A1126,'Daftar Koreksi'!$G$5:$G$92,"Kontruksi Dalam Pengerjaan",'Daftar Koreksi'!$H$5:$H$92,"&lt;0")</f>
        <v>0</v>
      </c>
      <c r="G1135" s="17">
        <f t="shared" si="51"/>
        <v>0</v>
      </c>
      <c r="H1135" s="122"/>
    </row>
    <row r="1136" spans="1:8" ht="21.95" customHeight="1">
      <c r="A1136" s="14"/>
      <c r="B1136" s="14"/>
      <c r="C1136" s="16" t="s">
        <v>1172</v>
      </c>
      <c r="D1136" s="17">
        <f>VLOOKUP(A1126,'Neraca Unaudited SIMAK'!$A$2:$S$10004,10,FALSE)</f>
        <v>7000000</v>
      </c>
      <c r="E1136" s="25">
        <f>SUMIFS('Daftar Koreksi'!$H$5:$H$92,'Daftar Koreksi'!$D$5:$D$92,'0500'!A1126,'Daftar Koreksi'!$G$5:$G$92,"Aset Tak Berwujud",'Daftar Koreksi'!$H$5:$H$92,"&gt;0")</f>
        <v>0</v>
      </c>
      <c r="F1136" s="25">
        <f>SUMIFS('Daftar Koreksi'!$H$5:$H$92,'Daftar Koreksi'!$D$5:$D$92,'0500'!A1126,'Daftar Koreksi'!$G$5:$G$92,"Aset Tak Berwujud",'Daftar Koreksi'!$H$5:$H$92,"&lt;0")-SUMIFS('Daftar Koreksi'!$H$5:$H$92,'Daftar Koreksi'!$D$5:$D$92,'0500'!A1126,'Daftar Koreksi'!$G$5:$G$92,"Aset Tak Berwujud",'Daftar Koreksi'!$H$5:$H$92,"&lt;0")-SUMIFS('Daftar Koreksi'!$H$5:$H$92,'Daftar Koreksi'!$D$5:$D$92,'0500'!A1126,'Daftar Koreksi'!$G$5:$G$92,"Aset Tak Berwujud",'Daftar Koreksi'!$H$5:$H$92,"&lt;0")</f>
        <v>0</v>
      </c>
      <c r="G1136" s="17">
        <f t="shared" si="51"/>
        <v>7000000</v>
      </c>
      <c r="H1136" s="122"/>
    </row>
    <row r="1137" spans="1:8" ht="21.95" customHeight="1">
      <c r="A1137" s="14"/>
      <c r="B1137" s="14"/>
      <c r="C1137" s="16" t="s">
        <v>1173</v>
      </c>
      <c r="D1137" s="17">
        <f>VLOOKUP(A1126,'Neraca Unaudited SIMAK'!$A$2:$S$10004,11,FALSE)</f>
        <v>0</v>
      </c>
      <c r="E1137" s="25">
        <f>SUMIFS('Daftar Koreksi'!$H$5:$H$92,'Daftar Koreksi'!$D$5:$D$92,'0500'!A1126,'Daftar Koreksi'!$G$5:$G$92,"Aset Henti Guna",'Daftar Koreksi'!$H$5:$H$92,"&gt;0")</f>
        <v>0</v>
      </c>
      <c r="F1137" s="25">
        <f>SUMIFS('Daftar Koreksi'!$H$5:$H$92,'Daftar Koreksi'!$D$5:$D$92,'0500'!A1126,'Daftar Koreksi'!$G$5:$G$92,"Aset Henti Guna",'Daftar Koreksi'!$H$5:$H$92,"&lt;0")-SUMIFS('Daftar Koreksi'!$H$5:$H$92,'Daftar Koreksi'!$D$5:$D$92,'0500'!A1126,'Daftar Koreksi'!$G$5:$G$92,"Aset Henti Guna",'Daftar Koreksi'!$H$5:$H$92,"&lt;0")-SUMIFS('Daftar Koreksi'!$H$5:$H$92,'Daftar Koreksi'!$D$5:$D$92,'0500'!A1126,'Daftar Koreksi'!$G$5:$G$92,"Aset Henti Guna",'Daftar Koreksi'!$H$5:$H$92,"&lt;0")</f>
        <v>0</v>
      </c>
      <c r="G1137" s="17">
        <f t="shared" si="51"/>
        <v>0</v>
      </c>
      <c r="H1137" s="122"/>
    </row>
    <row r="1138" spans="1:8" ht="21.95" customHeight="1">
      <c r="A1138" s="14"/>
      <c r="B1138" s="14"/>
      <c r="C1138" s="18" t="s">
        <v>2093</v>
      </c>
      <c r="D1138" s="19">
        <f>VLOOKUP(A1126,'Neraca Unaudited SIMAK'!$A$2:$S$10004,12,FALSE)</f>
        <v>6253203888</v>
      </c>
      <c r="E1138" s="19">
        <f>SUM(E1129:E1137)</f>
        <v>0</v>
      </c>
      <c r="F1138" s="19">
        <f>SUM(F1129:F1137)</f>
        <v>0</v>
      </c>
      <c r="G1138" s="19">
        <f t="shared" si="51"/>
        <v>6253203888</v>
      </c>
      <c r="H1138" s="122"/>
    </row>
    <row r="1139" spans="1:8" ht="21.95" customHeight="1">
      <c r="A1139" s="14"/>
      <c r="B1139" s="14"/>
      <c r="C1139" s="16" t="s">
        <v>2087</v>
      </c>
      <c r="D1139" s="17">
        <f>VLOOKUP(A1126,'Neraca Unaudited SIMAK'!$A$2:$S$10004,13,FALSE)</f>
        <v>-1073464658</v>
      </c>
      <c r="E1139" s="25">
        <f>SUMIFS('Daftar Koreksi'!$I$5:$I$92,'Daftar Koreksi'!$D$5:$D$92,'0500'!A1126,'Daftar Koreksi'!$G$5:$G$92,"Peralatan dan mesin",'Daftar Koreksi'!$I$5:$I$92,"&gt;0")</f>
        <v>0</v>
      </c>
      <c r="F1139" s="25">
        <f>SUMIFS('Daftar Koreksi'!$I$5:$I$92,'Daftar Koreksi'!$D$5:$D$92,'0500'!A1126,'Daftar Koreksi'!$G$5:$G$92,"Peralatan dan mesin",'Daftar Koreksi'!$I$5:$I$92,"&lt;0")-SUMIFS('Daftar Koreksi'!$I$5:$I$92,'Daftar Koreksi'!$D$5:$D$92,'0500'!A1126,'Daftar Koreksi'!$G$5:$G$92,"Peralatan dan mesin",'Daftar Koreksi'!$I$5:$I$92,"&lt;0")-SUMIFS('Daftar Koreksi'!$I$5:$I$92,'Daftar Koreksi'!$D$5:$D$92,'0500'!A1126,'Daftar Koreksi'!$G$5:$G$92,"Peralatan dan mesin",'Daftar Koreksi'!$I$5:$I$92,"&lt;0")</f>
        <v>0</v>
      </c>
      <c r="G1139" s="17">
        <f t="shared" si="51"/>
        <v>-1073464658</v>
      </c>
      <c r="H1139" s="122"/>
    </row>
    <row r="1140" spans="1:8" ht="21.95" customHeight="1">
      <c r="A1140" s="14"/>
      <c r="B1140" s="14"/>
      <c r="C1140" s="16" t="s">
        <v>2088</v>
      </c>
      <c r="D1140" s="17">
        <f>VLOOKUP(A1126,'Neraca Unaudited SIMAK'!$A$2:$S$10004,14,FALSE)</f>
        <v>-842267888</v>
      </c>
      <c r="E1140" s="25">
        <f>SUMIFS('Daftar Koreksi'!$I$5:$I$92,'Daftar Koreksi'!$D$5:$D$92,'0500'!A1126,'Daftar Koreksi'!$G$5:$G$92,"Gedung dan Bangunan",'Daftar Koreksi'!$I$5:$I$92,"&gt;0")</f>
        <v>0</v>
      </c>
      <c r="F1140" s="25">
        <f>SUMIFS('Daftar Koreksi'!$I$5:$I$92,'Daftar Koreksi'!$D$5:$D$92,'0500'!A1126,'Daftar Koreksi'!$G$5:$G$92,"Gedung dan Bangunan",'Daftar Koreksi'!$I$5:$I$92,"&lt;0")-SUMIFS('Daftar Koreksi'!$I$5:$I$92,'Daftar Koreksi'!$D$5:$D$92,'0500'!A1126,'Daftar Koreksi'!$G$5:$G$92,"Gedung dan Bangunan",'Daftar Koreksi'!$I$5:$I$92,"&lt;0")-SUMIFS('Daftar Koreksi'!$I$5:$I$92,'Daftar Koreksi'!$D$5:$D$92,'0500'!A1126,'Daftar Koreksi'!$G$5:$G$92,"Gedung dan Bangunan",'Daftar Koreksi'!$I$5:$I$92,"&lt;0")</f>
        <v>0</v>
      </c>
      <c r="G1140" s="17">
        <f t="shared" si="51"/>
        <v>-842267888</v>
      </c>
      <c r="H1140" s="122"/>
    </row>
    <row r="1141" spans="1:8" ht="21.95" customHeight="1">
      <c r="A1141" s="14"/>
      <c r="B1141" s="14"/>
      <c r="C1141" s="16" t="s">
        <v>2089</v>
      </c>
      <c r="D1141" s="17">
        <f>VLOOKUP(A1126,'Neraca Unaudited SIMAK'!$A$2:$S$10004,15,FALSE)</f>
        <v>0</v>
      </c>
      <c r="E1141" s="25">
        <f>SUMIFS('Daftar Koreksi'!$I$5:$I$92,'Daftar Koreksi'!$D$5:$D$92,'0500'!A1126,'Daftar Koreksi'!$G$5:$G$92,"Jalan Irigasi Jaringan",'Daftar Koreksi'!$I$5:$I$92,"&gt;0")</f>
        <v>0</v>
      </c>
      <c r="F1141" s="25">
        <f>SUMIFS('Daftar Koreksi'!$I$5:$I$92,'Daftar Koreksi'!$D$5:$D$92,'0500'!A1126,'Daftar Koreksi'!$G$5:$G$92,"Jalan Irigasi Jaringan",'Daftar Koreksi'!$I$5:$I$92,"&lt;0")-SUMIFS('Daftar Koreksi'!$I$5:$I$92,'Daftar Koreksi'!$D$5:$D$92,'0500'!A1126,'Daftar Koreksi'!$G$5:$G$92,"Jalan Irigasi Jaringan",'Daftar Koreksi'!$I$5:$I$92,"&lt;0")-SUMIFS('Daftar Koreksi'!$I$5:$I$92,'Daftar Koreksi'!$D$5:$D$92,'0500'!A1126,'Daftar Koreksi'!$G$5:$G$92,"Jalan Irigasi Jaringan",'Daftar Koreksi'!$I$5:$I$92,"&lt;0")</f>
        <v>0</v>
      </c>
      <c r="G1141" s="17">
        <f t="shared" si="51"/>
        <v>0</v>
      </c>
      <c r="H1141" s="122"/>
    </row>
    <row r="1142" spans="1:8" ht="21.95" customHeight="1">
      <c r="A1142" s="14"/>
      <c r="B1142" s="14"/>
      <c r="C1142" s="16" t="s">
        <v>2090</v>
      </c>
      <c r="D1142" s="17">
        <f>VLOOKUP(A1126,'Neraca Unaudited SIMAK'!$A$2:$S$10004,16,FALSE)</f>
        <v>0</v>
      </c>
      <c r="E1142" s="25">
        <f>SUMIFS('Daftar Koreksi'!$I$5:$I$92,'Daftar Koreksi'!$D$5:$D$92,'0500'!A1126,'Daftar Koreksi'!$G$5:$G$92,"Aset Tetap Lainnya",'Daftar Koreksi'!$I$5:$I$92,"&gt;0")</f>
        <v>0</v>
      </c>
      <c r="F1142" s="25">
        <f>SUMIFS('Daftar Koreksi'!$I$5:$I$92,'Daftar Koreksi'!$D$5:$D$92,'0500'!A1126,'Daftar Koreksi'!$G$5:$G$92,"Aset Tetap Lainnya",'Daftar Koreksi'!$I$5:$I$92,"&lt;0")-SUMIFS('Daftar Koreksi'!$I$5:$I$92,'Daftar Koreksi'!$D$5:$D$92,'0500'!A1126,'Daftar Koreksi'!$G$5:$G$92,"Aset Tetap Lainnya",'Daftar Koreksi'!$I$5:$I$92,"&lt;0")-SUMIFS('Daftar Koreksi'!$I$5:$I$92,'Daftar Koreksi'!$D$5:$D$92,'0500'!A1126,'Daftar Koreksi'!$G$5:$G$92,"Aset Tetap Lainnya",'Daftar Koreksi'!$I$5:$I$92,"&lt;0")</f>
        <v>0</v>
      </c>
      <c r="G1142" s="17">
        <f t="shared" si="51"/>
        <v>0</v>
      </c>
      <c r="H1142" s="122"/>
    </row>
    <row r="1143" spans="1:8" ht="21.95" customHeight="1">
      <c r="A1143" s="14"/>
      <c r="B1143" s="14"/>
      <c r="C1143" s="16" t="s">
        <v>2020</v>
      </c>
      <c r="D1143" s="17">
        <f>VLOOKUP(A1126,'Neraca Unaudited SIMAK'!$A$2:$S$10004,17,FALSE)</f>
        <v>0</v>
      </c>
      <c r="E1143" s="25">
        <f>SUMIFS('Daftar Koreksi'!$I$5:$I$92,'Daftar Koreksi'!$D$5:$D$92,'0500'!A1126,'Daftar Koreksi'!$G$5:$G$92,"Aset Henti Guna",'Daftar Koreksi'!$I$5:$I$92,"&gt;0")</f>
        <v>0</v>
      </c>
      <c r="F1143" s="25">
        <f>SUMIFS('Daftar Koreksi'!$I$5:$I$92,'Daftar Koreksi'!$D$5:$D$92,'0500'!A1126,'Daftar Koreksi'!$G$5:$G$92,"Aset Henti Guna",'Daftar Koreksi'!$I$5:$I$92,"&lt;0")-SUMIFS('Daftar Koreksi'!$I$5:$I$92,'Daftar Koreksi'!$D$5:$D$92,'0500'!A1126,'Daftar Koreksi'!$G$5:$G$92,"Aset Henti Guna",'Daftar Koreksi'!$I$5:$I$92,"&lt;0")-SUMIFS('Daftar Koreksi'!$I$5:$I$92,'Daftar Koreksi'!$D$5:$D$92,'0500'!A1126,'Daftar Koreksi'!$G$5:$G$92,"Aset Henti Guna",'Daftar Koreksi'!$I$5:$I$92,"&lt;0")</f>
        <v>0</v>
      </c>
      <c r="G1143" s="17">
        <f t="shared" si="51"/>
        <v>0</v>
      </c>
      <c r="H1143" s="122"/>
    </row>
    <row r="1144" spans="1:8" ht="21.95" customHeight="1">
      <c r="A1144" s="14"/>
      <c r="B1144" s="14"/>
      <c r="C1144" s="18" t="s">
        <v>2094</v>
      </c>
      <c r="D1144" s="19">
        <f>SUM(D1139:D1143)</f>
        <v>-1915732546</v>
      </c>
      <c r="E1144" s="19">
        <f>SUM(E1139:E1143)</f>
        <v>0</v>
      </c>
      <c r="F1144" s="19">
        <f>SUM(F1139:F1143)</f>
        <v>0</v>
      </c>
      <c r="G1144" s="19">
        <f t="shared" si="51"/>
        <v>-1915732546</v>
      </c>
      <c r="H1144" s="122"/>
    </row>
    <row r="1145" spans="1:8" ht="21.95" customHeight="1">
      <c r="A1145" s="14"/>
      <c r="B1145" s="14"/>
      <c r="C1145" s="18" t="s">
        <v>2095</v>
      </c>
      <c r="D1145" s="19">
        <f>VLOOKUP(A1126,'Neraca Unaudited SIMAK'!$A$2:$S$10004,18,FALSE)</f>
        <v>4337471342</v>
      </c>
      <c r="E1145" s="19">
        <f>E1144+E1138</f>
        <v>0</v>
      </c>
      <c r="F1145" s="19">
        <f>F1144+F1138</f>
        <v>0</v>
      </c>
      <c r="G1145" s="19">
        <f t="shared" si="51"/>
        <v>4337471342</v>
      </c>
      <c r="H1145" s="122"/>
    </row>
    <row r="1146" spans="1:8" ht="21.95" customHeight="1">
      <c r="A1146" s="14"/>
      <c r="B1146" s="14"/>
      <c r="C1146" s="16" t="s">
        <v>2091</v>
      </c>
      <c r="D1146" s="17">
        <f>VLOOKUP(A1126,'Neraca Unaudited SIMAK'!$A$2:$S$10004,19,FALSE)</f>
        <v>0</v>
      </c>
      <c r="E1146" s="25"/>
      <c r="F1146" s="25"/>
      <c r="G1146" s="17">
        <f t="shared" si="51"/>
        <v>0</v>
      </c>
      <c r="H1146" s="123"/>
    </row>
    <row r="1148" spans="1:8" ht="19.5" customHeight="1">
      <c r="A1148" s="11" t="str">
        <f>O53</f>
        <v>005010500401410000KD</v>
      </c>
      <c r="B1148" s="11" t="str">
        <f>P53</f>
        <v>PA. Nganjuk</v>
      </c>
      <c r="C1148" s="12" t="str">
        <f>A1148&amp;" "&amp;B1148</f>
        <v>005010500401410000KD PA. Nganjuk</v>
      </c>
      <c r="D1148" s="13"/>
      <c r="E1148" s="13"/>
      <c r="F1148" s="13"/>
      <c r="G1148" s="13"/>
      <c r="H1148" s="11"/>
    </row>
    <row r="1149" spans="1:8" ht="21.95" customHeight="1">
      <c r="A1149" s="14"/>
      <c r="B1149" s="14"/>
      <c r="C1149" s="124" t="s">
        <v>1982</v>
      </c>
      <c r="D1149" s="126" t="s">
        <v>1983</v>
      </c>
      <c r="E1149" s="132" t="s">
        <v>1984</v>
      </c>
      <c r="F1149" s="132"/>
      <c r="G1149" s="126" t="s">
        <v>1987</v>
      </c>
      <c r="H1149" s="130" t="s">
        <v>1175</v>
      </c>
    </row>
    <row r="1150" spans="1:8" ht="21.95" customHeight="1">
      <c r="A1150" s="14"/>
      <c r="B1150" s="14"/>
      <c r="C1150" s="125"/>
      <c r="D1150" s="127"/>
      <c r="E1150" s="26" t="s">
        <v>1985</v>
      </c>
      <c r="F1150" s="26" t="s">
        <v>1986</v>
      </c>
      <c r="G1150" s="127"/>
      <c r="H1150" s="131"/>
    </row>
    <row r="1151" spans="1:8" ht="21.95" customHeight="1">
      <c r="A1151" s="14"/>
      <c r="B1151" s="14"/>
      <c r="C1151" s="16" t="s">
        <v>1165</v>
      </c>
      <c r="D1151" s="17">
        <f>VLOOKUP(A1148,'Neraca Unaudited SIMAK'!$A$2:$S$10004,3,FALSE)</f>
        <v>51897</v>
      </c>
      <c r="E1151" s="25">
        <f>SUMIFS('Daftar Koreksi'!$H$5:$H$92,'Daftar Koreksi'!$D$5:$D$92,'0500'!A1148,'Daftar Koreksi'!$G$5:$G$92,"Persediaan",'Daftar Koreksi'!$H$5:$H$92,"&gt;0")</f>
        <v>0</v>
      </c>
      <c r="F1151" s="25">
        <f>SUMIFS('Daftar Koreksi'!$H$5:$H$92,'Daftar Koreksi'!$D$5:$D$92,'0500'!A1148,'Daftar Koreksi'!$G$5:$G$92,"Persediaan",'Daftar Koreksi'!$H$5:$H$92,"&lt;0")-SUMIFS('Daftar Koreksi'!$H$5:$H$92,'Daftar Koreksi'!$D$5:$D$92,'0500'!A1148,'Daftar Koreksi'!$G$5:$G$92,"Persediaan",'Daftar Koreksi'!$H$5:$H$92,"&lt;0")-SUMIFS('Daftar Koreksi'!$H$5:$H$92,'Daftar Koreksi'!$D$5:$D$92,'0500'!A1148,'Daftar Koreksi'!$G$5:$G$92,"Persediaan",'Daftar Koreksi'!$H$5:$H$92,"&lt;0")</f>
        <v>0</v>
      </c>
      <c r="G1151" s="17">
        <f>D1151+E1151-F1151</f>
        <v>51897</v>
      </c>
      <c r="H1151" s="121" t="str">
        <f>IF(ISNA(VLOOKUP(A1148,'Mutasi Neraca'!$A$3:$S$914,19,FALSE)),"-",VLOOKUP(A1148,'Mutasi Neraca'!$A$3:$S$914,19,FALSE))</f>
        <v>-</v>
      </c>
    </row>
    <row r="1152" spans="1:8" ht="21.95" customHeight="1">
      <c r="A1152" s="14"/>
      <c r="B1152" s="14"/>
      <c r="C1152" s="16" t="s">
        <v>1166</v>
      </c>
      <c r="D1152" s="17">
        <f>VLOOKUP(A1148,'Neraca Unaudited SIMAK'!$A$2:$S$10004,4,FALSE)</f>
        <v>2308780000</v>
      </c>
      <c r="E1152" s="25">
        <f>SUMIFS('Daftar Koreksi'!$H$5:$H$92,'Daftar Koreksi'!$D$5:$D$92,'0500'!A1148,'Daftar Koreksi'!$G$5:$G$92,"Tanah",'Daftar Koreksi'!$H$5:$H$92,"&gt;0")</f>
        <v>0</v>
      </c>
      <c r="F1152" s="25">
        <f>SUMIFS('Daftar Koreksi'!$H$5:$H$92,'Daftar Koreksi'!$D$5:$D$92,'0500'!A1148,'Daftar Koreksi'!$G$5:$G$92,"Tanah",'Daftar Koreksi'!$H$5:$H$92,"&lt;0")-SUMIFS('Daftar Koreksi'!$H$5:$H$92,'Daftar Koreksi'!$D$5:$D$92,'0500'!A1148,'Daftar Koreksi'!$G$5:$G$92,"Tanah",'Daftar Koreksi'!$H$5:$H$92,"&lt;0")-SUMIFS('Daftar Koreksi'!$H$5:$H$92,'Daftar Koreksi'!$D$5:$D$92,'0500'!A1148,'Daftar Koreksi'!$G$5:$G$92,"Tanah",'Daftar Koreksi'!$H$5:$H$92,"&lt;0")</f>
        <v>0</v>
      </c>
      <c r="G1152" s="17">
        <f t="shared" ref="G1152:G1168" si="52">D1152+E1152-F1152</f>
        <v>2308780000</v>
      </c>
      <c r="H1152" s="122"/>
    </row>
    <row r="1153" spans="1:8" ht="21.95" customHeight="1">
      <c r="A1153" s="14"/>
      <c r="B1153" s="14"/>
      <c r="C1153" s="16" t="s">
        <v>1167</v>
      </c>
      <c r="D1153" s="17">
        <f>VLOOKUP(A1148,'Neraca Unaudited SIMAK'!$A$2:$S$10004,5,FALSE)</f>
        <v>1156240236</v>
      </c>
      <c r="E1153" s="25">
        <f>SUMIFS('Daftar Koreksi'!$H$5:$H$92,'Daftar Koreksi'!$D$5:$D$92,'0500'!A1148,'Daftar Koreksi'!$G$5:$G$92,"Peralatan dan mesin",'Daftar Koreksi'!$H$5:$H$92,"&gt;0")</f>
        <v>0</v>
      </c>
      <c r="F1153" s="25">
        <f>SUMIFS('Daftar Koreksi'!$H$5:$H$92,'Daftar Koreksi'!$D$5:$D$92,'0500'!A1148,'Daftar Koreksi'!$G$5:$G$92,"Peralatan dan mesin",'Daftar Koreksi'!$H$5:$H$92,"&lt;0")-SUMIFS('Daftar Koreksi'!$H$5:$H$92,'Daftar Koreksi'!$D$5:$D$92,'0500'!A1148,'Daftar Koreksi'!$G$5:$G$92,"Peralatan dan mesin",'Daftar Koreksi'!$H$5:$H$92,"&lt;0")-SUMIFS('Daftar Koreksi'!$H$5:$H$92,'Daftar Koreksi'!$D$5:$D$92,'0500'!A1148,'Daftar Koreksi'!$G$5:$G$92,"Peralatan dan mesin",'Daftar Koreksi'!$H$5:$H$92,"&lt;0")</f>
        <v>0</v>
      </c>
      <c r="G1153" s="17">
        <f t="shared" si="52"/>
        <v>1156240236</v>
      </c>
      <c r="H1153" s="122"/>
    </row>
    <row r="1154" spans="1:8" ht="21.95" customHeight="1">
      <c r="A1154" s="14"/>
      <c r="B1154" s="14"/>
      <c r="C1154" s="16" t="s">
        <v>1168</v>
      </c>
      <c r="D1154" s="17">
        <f>VLOOKUP(A1148,'Neraca Unaudited SIMAK'!$A$2:$S$10004,6,FALSE)</f>
        <v>1319460800</v>
      </c>
      <c r="E1154" s="25">
        <f>SUMIFS('Daftar Koreksi'!$H$5:$H$92,'Daftar Koreksi'!$D$5:$D$92,'0500'!A1148,'Daftar Koreksi'!$G$5:$G$92,"Gedung dan Bangunan",'Daftar Koreksi'!$H$5:$H$92,"&gt;0")</f>
        <v>0</v>
      </c>
      <c r="F1154" s="25">
        <f>SUMIFS('Daftar Koreksi'!$H$5:$H$92,'Daftar Koreksi'!$D$5:$D$92,'0500'!A1148,'Daftar Koreksi'!$G$5:$G$92,"Gedung dan Bangunan",'Daftar Koreksi'!$H$5:$H$92,"&lt;0")-SUMIFS('Daftar Koreksi'!$H$5:$H$92,'Daftar Koreksi'!$D$5:$D$92,'0500'!A1148,'Daftar Koreksi'!$G$5:$G$92,"Gedung dan Bangunan",'Daftar Koreksi'!$H$5:$H$92,"&lt;0")-SUMIFS('Daftar Koreksi'!$H$5:$H$92,'Daftar Koreksi'!$D$5:$D$92,'0500'!A1148,'Daftar Koreksi'!$G$5:$G$92,"Gedung dan Bangunan",'Daftar Koreksi'!$H$5:$H$92,"&lt;0")</f>
        <v>0</v>
      </c>
      <c r="G1154" s="17">
        <f t="shared" si="52"/>
        <v>1319460800</v>
      </c>
      <c r="H1154" s="122"/>
    </row>
    <row r="1155" spans="1:8" ht="21.95" customHeight="1">
      <c r="A1155" s="14"/>
      <c r="B1155" s="14"/>
      <c r="C1155" s="16" t="s">
        <v>1169</v>
      </c>
      <c r="D1155" s="17">
        <f>VLOOKUP(A1148,'Neraca Unaudited SIMAK'!$A$2:$S$10004,7,FALSE)</f>
        <v>39837300</v>
      </c>
      <c r="E1155" s="25">
        <f>SUMIFS('Daftar Koreksi'!$H$5:$H$92,'Daftar Koreksi'!$D$5:$D$92,'0500'!A1148,'Daftar Koreksi'!$G$5:$G$92,"Jalan Irigasi Jaringan",'Daftar Koreksi'!$H$5:$H$92,"&gt;0")</f>
        <v>0</v>
      </c>
      <c r="F1155" s="25">
        <f>SUMIFS('Daftar Koreksi'!$H$5:$H$92,'Daftar Koreksi'!$D$5:$D$92,'0500'!A1148,'Daftar Koreksi'!$G$5:$G$92,"Jalan Irigasi Jaringan",'Daftar Koreksi'!$H$5:$H$92,"&lt;0")-SUMIFS('Daftar Koreksi'!$H$5:$H$92,'Daftar Koreksi'!$D$5:$D$92,'0500'!A1148,'Daftar Koreksi'!$G$5:$G$92,"Jalan Irigasi Jaringan",'Daftar Koreksi'!$H$5:$H$92,"&lt;0")-SUMIFS('Daftar Koreksi'!$H$5:$H$92,'Daftar Koreksi'!$D$5:$D$92,'0500'!A1148,'Daftar Koreksi'!$G$5:$G$92,"Jalan Irigasi Jaringan",'Daftar Koreksi'!$H$5:$H$92,"&lt;0")</f>
        <v>0</v>
      </c>
      <c r="G1155" s="17">
        <f t="shared" si="52"/>
        <v>39837300</v>
      </c>
      <c r="H1155" s="122"/>
    </row>
    <row r="1156" spans="1:8" ht="21.95" customHeight="1">
      <c r="A1156" s="14"/>
      <c r="B1156" s="14"/>
      <c r="C1156" s="16" t="s">
        <v>1170</v>
      </c>
      <c r="D1156" s="17">
        <f>VLOOKUP(A1148,'Neraca Unaudited SIMAK'!$A$2:$S$10004,8,FALSE)</f>
        <v>4088870</v>
      </c>
      <c r="E1156" s="25">
        <f>SUMIFS('Daftar Koreksi'!$H$5:$H$92,'Daftar Koreksi'!$D$5:$D$92,'0500'!A1148,'Daftar Koreksi'!$G$5:$G$92,"Aset Tetap Lainnya",'Daftar Koreksi'!$H$5:$H$92,"&gt;0")</f>
        <v>0</v>
      </c>
      <c r="F1156" s="25">
        <f>SUMIFS('Daftar Koreksi'!$H$5:$H$92,'Daftar Koreksi'!$D$5:$D$92,'0500'!A1148,'Daftar Koreksi'!$G$5:$G$92,"Aset Tetap Lainnya",'Daftar Koreksi'!$H$5:$H$92,"&lt;0")-SUMIFS('Daftar Koreksi'!$H$5:$H$92,'Daftar Koreksi'!$D$5:$D$92,'0500'!A1148,'Daftar Koreksi'!$G$5:$G$92,"Aset Tetap Lainnya",'Daftar Koreksi'!$H$5:$H$92,"&lt;0")-SUMIFS('Daftar Koreksi'!$H$5:$H$92,'Daftar Koreksi'!$D$5:$D$92,'0500'!A1148,'Daftar Koreksi'!$G$5:$G$92,"Aset Tetap Lainnya",'Daftar Koreksi'!$H$5:$H$92,"&lt;0")</f>
        <v>0</v>
      </c>
      <c r="G1156" s="17">
        <f t="shared" si="52"/>
        <v>4088870</v>
      </c>
      <c r="H1156" s="122"/>
    </row>
    <row r="1157" spans="1:8" ht="21.95" customHeight="1">
      <c r="A1157" s="14"/>
      <c r="B1157" s="14"/>
      <c r="C1157" s="16" t="s">
        <v>1171</v>
      </c>
      <c r="D1157" s="17">
        <f>VLOOKUP(A1148,'Neraca Unaudited SIMAK'!$A$2:$S$10004,9,FALSE)</f>
        <v>0</v>
      </c>
      <c r="E1157" s="25">
        <f>SUMIFS('Daftar Koreksi'!$H$5:$H$92,'Daftar Koreksi'!$D$5:$D$92,'0500'!A1148,'Daftar Koreksi'!$G$5:$G$92,"Kontruksi Dalam Pengerjaan",'Daftar Koreksi'!$H$5:$H$92,"&gt;0")</f>
        <v>0</v>
      </c>
      <c r="F1157" s="25">
        <f>SUMIFS('Daftar Koreksi'!$H$5:$H$92,'Daftar Koreksi'!$D$5:$D$92,'0500'!A1148,'Daftar Koreksi'!$G$5:$G$92,"Kontruksi Dalam Pengerjaan",'Daftar Koreksi'!$H$5:$H$92,"&lt;0")-SUMIFS('Daftar Koreksi'!$H$5:$H$92,'Daftar Koreksi'!$D$5:$D$92,'0500'!A1148,'Daftar Koreksi'!$G$5:$G$92,"Kontruksi Dalam Pengerjaan",'Daftar Koreksi'!$H$5:$H$92,"&lt;0")-SUMIFS('Daftar Koreksi'!$H$5:$H$92,'Daftar Koreksi'!$D$5:$D$92,'0500'!A1148,'Daftar Koreksi'!$G$5:$G$92,"Kontruksi Dalam Pengerjaan",'Daftar Koreksi'!$H$5:$H$92,"&lt;0")</f>
        <v>0</v>
      </c>
      <c r="G1157" s="17">
        <f t="shared" si="52"/>
        <v>0</v>
      </c>
      <c r="H1157" s="122"/>
    </row>
    <row r="1158" spans="1:8" ht="21.95" customHeight="1">
      <c r="A1158" s="14"/>
      <c r="B1158" s="14"/>
      <c r="C1158" s="16" t="s">
        <v>1172</v>
      </c>
      <c r="D1158" s="17">
        <f>VLOOKUP(A1148,'Neraca Unaudited SIMAK'!$A$2:$S$10004,10,FALSE)</f>
        <v>0</v>
      </c>
      <c r="E1158" s="25">
        <f>SUMIFS('Daftar Koreksi'!$H$5:$H$92,'Daftar Koreksi'!$D$5:$D$92,'0500'!A1148,'Daftar Koreksi'!$G$5:$G$92,"Aset Tak Berwujud",'Daftar Koreksi'!$H$5:$H$92,"&gt;0")</f>
        <v>0</v>
      </c>
      <c r="F1158" s="25">
        <f>SUMIFS('Daftar Koreksi'!$H$5:$H$92,'Daftar Koreksi'!$D$5:$D$92,'0500'!A1148,'Daftar Koreksi'!$G$5:$G$92,"Aset Tak Berwujud",'Daftar Koreksi'!$H$5:$H$92,"&lt;0")-SUMIFS('Daftar Koreksi'!$H$5:$H$92,'Daftar Koreksi'!$D$5:$D$92,'0500'!A1148,'Daftar Koreksi'!$G$5:$G$92,"Aset Tak Berwujud",'Daftar Koreksi'!$H$5:$H$92,"&lt;0")-SUMIFS('Daftar Koreksi'!$H$5:$H$92,'Daftar Koreksi'!$D$5:$D$92,'0500'!A1148,'Daftar Koreksi'!$G$5:$G$92,"Aset Tak Berwujud",'Daftar Koreksi'!$H$5:$H$92,"&lt;0")</f>
        <v>0</v>
      </c>
      <c r="G1158" s="17">
        <f t="shared" si="52"/>
        <v>0</v>
      </c>
      <c r="H1158" s="122"/>
    </row>
    <row r="1159" spans="1:8" ht="21.95" customHeight="1">
      <c r="A1159" s="14"/>
      <c r="B1159" s="14"/>
      <c r="C1159" s="16" t="s">
        <v>1173</v>
      </c>
      <c r="D1159" s="17">
        <f>VLOOKUP(A1148,'Neraca Unaudited SIMAK'!$A$2:$S$10004,11,FALSE)</f>
        <v>65321058</v>
      </c>
      <c r="E1159" s="25">
        <f>SUMIFS('Daftar Koreksi'!$H$5:$H$92,'Daftar Koreksi'!$D$5:$D$92,'0500'!A1148,'Daftar Koreksi'!$G$5:$G$92,"Aset Henti Guna",'Daftar Koreksi'!$H$5:$H$92,"&gt;0")</f>
        <v>0</v>
      </c>
      <c r="F1159" s="25">
        <f>SUMIFS('Daftar Koreksi'!$H$5:$H$92,'Daftar Koreksi'!$D$5:$D$92,'0500'!A1148,'Daftar Koreksi'!$G$5:$G$92,"Aset Henti Guna",'Daftar Koreksi'!$H$5:$H$92,"&lt;0")-SUMIFS('Daftar Koreksi'!$H$5:$H$92,'Daftar Koreksi'!$D$5:$D$92,'0500'!A1148,'Daftar Koreksi'!$G$5:$G$92,"Aset Henti Guna",'Daftar Koreksi'!$H$5:$H$92,"&lt;0")-SUMIFS('Daftar Koreksi'!$H$5:$H$92,'Daftar Koreksi'!$D$5:$D$92,'0500'!A1148,'Daftar Koreksi'!$G$5:$G$92,"Aset Henti Guna",'Daftar Koreksi'!$H$5:$H$92,"&lt;0")</f>
        <v>0</v>
      </c>
      <c r="G1159" s="17">
        <f t="shared" si="52"/>
        <v>65321058</v>
      </c>
      <c r="H1159" s="122"/>
    </row>
    <row r="1160" spans="1:8" ht="21.95" customHeight="1">
      <c r="A1160" s="14"/>
      <c r="B1160" s="14"/>
      <c r="C1160" s="18" t="s">
        <v>2093</v>
      </c>
      <c r="D1160" s="19">
        <f>VLOOKUP(A1148,'Neraca Unaudited SIMAK'!$A$2:$S$10004,12,FALSE)</f>
        <v>4893780161</v>
      </c>
      <c r="E1160" s="19">
        <f>SUM(E1151:E1159)</f>
        <v>0</v>
      </c>
      <c r="F1160" s="19">
        <f>SUM(F1151:F1159)</f>
        <v>0</v>
      </c>
      <c r="G1160" s="19">
        <f t="shared" si="52"/>
        <v>4893780161</v>
      </c>
      <c r="H1160" s="122"/>
    </row>
    <row r="1161" spans="1:8" ht="21.95" customHeight="1">
      <c r="A1161" s="14"/>
      <c r="B1161" s="14"/>
      <c r="C1161" s="16" t="s">
        <v>2087</v>
      </c>
      <c r="D1161" s="17">
        <f>VLOOKUP(A1148,'Neraca Unaudited SIMAK'!$A$2:$S$10004,13,FALSE)</f>
        <v>-785727714</v>
      </c>
      <c r="E1161" s="25">
        <f>SUMIFS('Daftar Koreksi'!$I$5:$I$92,'Daftar Koreksi'!$D$5:$D$92,'0500'!A1148,'Daftar Koreksi'!$G$5:$G$92,"Peralatan dan mesin",'Daftar Koreksi'!$I$5:$I$92,"&gt;0")</f>
        <v>0</v>
      </c>
      <c r="F1161" s="25">
        <f>SUMIFS('Daftar Koreksi'!$I$5:$I$92,'Daftar Koreksi'!$D$5:$D$92,'0500'!A1148,'Daftar Koreksi'!$G$5:$G$92,"Peralatan dan mesin",'Daftar Koreksi'!$I$5:$I$92,"&lt;0")-SUMIFS('Daftar Koreksi'!$I$5:$I$92,'Daftar Koreksi'!$D$5:$D$92,'0500'!A1148,'Daftar Koreksi'!$G$5:$G$92,"Peralatan dan mesin",'Daftar Koreksi'!$I$5:$I$92,"&lt;0")-SUMIFS('Daftar Koreksi'!$I$5:$I$92,'Daftar Koreksi'!$D$5:$D$92,'0500'!A1148,'Daftar Koreksi'!$G$5:$G$92,"Peralatan dan mesin",'Daftar Koreksi'!$I$5:$I$92,"&lt;0")</f>
        <v>0</v>
      </c>
      <c r="G1161" s="17">
        <f t="shared" si="52"/>
        <v>-785727714</v>
      </c>
      <c r="H1161" s="122"/>
    </row>
    <row r="1162" spans="1:8" ht="21.95" customHeight="1">
      <c r="A1162" s="14"/>
      <c r="B1162" s="14"/>
      <c r="C1162" s="16" t="s">
        <v>2088</v>
      </c>
      <c r="D1162" s="17">
        <f>VLOOKUP(A1148,'Neraca Unaudited SIMAK'!$A$2:$S$10004,14,FALSE)</f>
        <v>-71758544</v>
      </c>
      <c r="E1162" s="25">
        <f>SUMIFS('Daftar Koreksi'!$I$5:$I$92,'Daftar Koreksi'!$D$5:$D$92,'0500'!A1148,'Daftar Koreksi'!$G$5:$G$92,"Gedung dan Bangunan",'Daftar Koreksi'!$I$5:$I$92,"&gt;0")</f>
        <v>0</v>
      </c>
      <c r="F1162" s="25">
        <f>SUMIFS('Daftar Koreksi'!$I$5:$I$92,'Daftar Koreksi'!$D$5:$D$92,'0500'!A1148,'Daftar Koreksi'!$G$5:$G$92,"Gedung dan Bangunan",'Daftar Koreksi'!$I$5:$I$92,"&lt;0")-SUMIFS('Daftar Koreksi'!$I$5:$I$92,'Daftar Koreksi'!$D$5:$D$92,'0500'!A1148,'Daftar Koreksi'!$G$5:$G$92,"Gedung dan Bangunan",'Daftar Koreksi'!$I$5:$I$92,"&lt;0")-SUMIFS('Daftar Koreksi'!$I$5:$I$92,'Daftar Koreksi'!$D$5:$D$92,'0500'!A1148,'Daftar Koreksi'!$G$5:$G$92,"Gedung dan Bangunan",'Daftar Koreksi'!$I$5:$I$92,"&lt;0")</f>
        <v>0</v>
      </c>
      <c r="G1162" s="17">
        <f t="shared" si="52"/>
        <v>-71758544</v>
      </c>
      <c r="H1162" s="122"/>
    </row>
    <row r="1163" spans="1:8" ht="21.95" customHeight="1">
      <c r="A1163" s="14"/>
      <c r="B1163" s="14"/>
      <c r="C1163" s="16" t="s">
        <v>2089</v>
      </c>
      <c r="D1163" s="17">
        <f>VLOOKUP(A1148,'Neraca Unaudited SIMAK'!$A$2:$S$10004,15,FALSE)</f>
        <v>-5411399</v>
      </c>
      <c r="E1163" s="25">
        <f>SUMIFS('Daftar Koreksi'!$I$5:$I$92,'Daftar Koreksi'!$D$5:$D$92,'0500'!A1148,'Daftar Koreksi'!$G$5:$G$92,"Jalan Irigasi Jaringan",'Daftar Koreksi'!$I$5:$I$92,"&gt;0")</f>
        <v>0</v>
      </c>
      <c r="F1163" s="25">
        <f>SUMIFS('Daftar Koreksi'!$I$5:$I$92,'Daftar Koreksi'!$D$5:$D$92,'0500'!A1148,'Daftar Koreksi'!$G$5:$G$92,"Jalan Irigasi Jaringan",'Daftar Koreksi'!$I$5:$I$92,"&lt;0")-SUMIFS('Daftar Koreksi'!$I$5:$I$92,'Daftar Koreksi'!$D$5:$D$92,'0500'!A1148,'Daftar Koreksi'!$G$5:$G$92,"Jalan Irigasi Jaringan",'Daftar Koreksi'!$I$5:$I$92,"&lt;0")-SUMIFS('Daftar Koreksi'!$I$5:$I$92,'Daftar Koreksi'!$D$5:$D$92,'0500'!A1148,'Daftar Koreksi'!$G$5:$G$92,"Jalan Irigasi Jaringan",'Daftar Koreksi'!$I$5:$I$92,"&lt;0")</f>
        <v>0</v>
      </c>
      <c r="G1163" s="17">
        <f t="shared" si="52"/>
        <v>-5411399</v>
      </c>
      <c r="H1163" s="122"/>
    </row>
    <row r="1164" spans="1:8" ht="21.95" customHeight="1">
      <c r="A1164" s="14"/>
      <c r="B1164" s="14"/>
      <c r="C1164" s="16" t="s">
        <v>2090</v>
      </c>
      <c r="D1164" s="17">
        <f>VLOOKUP(A1148,'Neraca Unaudited SIMAK'!$A$2:$S$10004,16,FALSE)</f>
        <v>0</v>
      </c>
      <c r="E1164" s="25">
        <f>SUMIFS('Daftar Koreksi'!$I$5:$I$92,'Daftar Koreksi'!$D$5:$D$92,'0500'!A1148,'Daftar Koreksi'!$G$5:$G$92,"Aset Tetap Lainnya",'Daftar Koreksi'!$I$5:$I$92,"&gt;0")</f>
        <v>0</v>
      </c>
      <c r="F1164" s="25">
        <f>SUMIFS('Daftar Koreksi'!$I$5:$I$92,'Daftar Koreksi'!$D$5:$D$92,'0500'!A1148,'Daftar Koreksi'!$G$5:$G$92,"Aset Tetap Lainnya",'Daftar Koreksi'!$I$5:$I$92,"&lt;0")-SUMIFS('Daftar Koreksi'!$I$5:$I$92,'Daftar Koreksi'!$D$5:$D$92,'0500'!A1148,'Daftar Koreksi'!$G$5:$G$92,"Aset Tetap Lainnya",'Daftar Koreksi'!$I$5:$I$92,"&lt;0")-SUMIFS('Daftar Koreksi'!$I$5:$I$92,'Daftar Koreksi'!$D$5:$D$92,'0500'!A1148,'Daftar Koreksi'!$G$5:$G$92,"Aset Tetap Lainnya",'Daftar Koreksi'!$I$5:$I$92,"&lt;0")</f>
        <v>0</v>
      </c>
      <c r="G1164" s="17">
        <f t="shared" si="52"/>
        <v>0</v>
      </c>
      <c r="H1164" s="122"/>
    </row>
    <row r="1165" spans="1:8" ht="21.95" customHeight="1">
      <c r="A1165" s="14"/>
      <c r="B1165" s="14"/>
      <c r="C1165" s="16" t="s">
        <v>2020</v>
      </c>
      <c r="D1165" s="17">
        <f>VLOOKUP(A1148,'Neraca Unaudited SIMAK'!$A$2:$S$10004,17,FALSE)</f>
        <v>-65321058</v>
      </c>
      <c r="E1165" s="25">
        <f>SUMIFS('Daftar Koreksi'!$I$5:$I$92,'Daftar Koreksi'!$D$5:$D$92,'0500'!A1148,'Daftar Koreksi'!$G$5:$G$92,"Aset Henti Guna",'Daftar Koreksi'!$I$5:$I$92,"&gt;0")</f>
        <v>0</v>
      </c>
      <c r="F1165" s="25">
        <f>SUMIFS('Daftar Koreksi'!$I$5:$I$92,'Daftar Koreksi'!$D$5:$D$92,'0500'!A1148,'Daftar Koreksi'!$G$5:$G$92,"Aset Henti Guna",'Daftar Koreksi'!$I$5:$I$92,"&lt;0")-SUMIFS('Daftar Koreksi'!$I$5:$I$92,'Daftar Koreksi'!$D$5:$D$92,'0500'!A1148,'Daftar Koreksi'!$G$5:$G$92,"Aset Henti Guna",'Daftar Koreksi'!$I$5:$I$92,"&lt;0")-SUMIFS('Daftar Koreksi'!$I$5:$I$92,'Daftar Koreksi'!$D$5:$D$92,'0500'!A1148,'Daftar Koreksi'!$G$5:$G$92,"Aset Henti Guna",'Daftar Koreksi'!$I$5:$I$92,"&lt;0")</f>
        <v>0</v>
      </c>
      <c r="G1165" s="17">
        <f t="shared" si="52"/>
        <v>-65321058</v>
      </c>
      <c r="H1165" s="122"/>
    </row>
    <row r="1166" spans="1:8" ht="21.95" customHeight="1">
      <c r="A1166" s="14"/>
      <c r="B1166" s="14"/>
      <c r="C1166" s="18" t="s">
        <v>2094</v>
      </c>
      <c r="D1166" s="19">
        <f>SUM(D1161:D1165)</f>
        <v>-928218715</v>
      </c>
      <c r="E1166" s="19">
        <f>SUM(E1161:E1165)</f>
        <v>0</v>
      </c>
      <c r="F1166" s="19">
        <f>SUM(F1161:F1165)</f>
        <v>0</v>
      </c>
      <c r="G1166" s="19">
        <f t="shared" si="52"/>
        <v>-928218715</v>
      </c>
      <c r="H1166" s="122"/>
    </row>
    <row r="1167" spans="1:8" ht="21.95" customHeight="1">
      <c r="A1167" s="14"/>
      <c r="B1167" s="14"/>
      <c r="C1167" s="18" t="s">
        <v>2095</v>
      </c>
      <c r="D1167" s="19">
        <f>VLOOKUP(A1148,'Neraca Unaudited SIMAK'!$A$2:$S$10004,18,FALSE)</f>
        <v>3965561446</v>
      </c>
      <c r="E1167" s="19">
        <f>E1166+E1160</f>
        <v>0</v>
      </c>
      <c r="F1167" s="19">
        <f>F1166+F1160</f>
        <v>0</v>
      </c>
      <c r="G1167" s="19">
        <f t="shared" si="52"/>
        <v>3965561446</v>
      </c>
      <c r="H1167" s="122"/>
    </row>
    <row r="1168" spans="1:8" ht="21.95" customHeight="1">
      <c r="A1168" s="14"/>
      <c r="B1168" s="14"/>
      <c r="C1168" s="16" t="s">
        <v>2091</v>
      </c>
      <c r="D1168" s="17">
        <f>VLOOKUP(A1148,'Neraca Unaudited SIMAK'!$A$2:$S$10004,19,FALSE)</f>
        <v>0</v>
      </c>
      <c r="E1168" s="25"/>
      <c r="F1168" s="25"/>
      <c r="G1168" s="17">
        <f t="shared" si="52"/>
        <v>0</v>
      </c>
      <c r="H1168" s="123"/>
    </row>
    <row r="1170" spans="1:8" ht="19.5" customHeight="1">
      <c r="A1170" s="11" t="str">
        <f>O54</f>
        <v>005010500401426000KD</v>
      </c>
      <c r="B1170" s="11" t="str">
        <f>P54</f>
        <v>PA. Malang</v>
      </c>
      <c r="C1170" s="12" t="str">
        <f>A1170&amp;" "&amp;B1170</f>
        <v>005010500401426000KD PA. Malang</v>
      </c>
      <c r="D1170" s="13"/>
      <c r="E1170" s="13"/>
      <c r="F1170" s="13"/>
      <c r="G1170" s="13"/>
      <c r="H1170" s="11"/>
    </row>
    <row r="1171" spans="1:8" ht="21.95" customHeight="1">
      <c r="A1171" s="14"/>
      <c r="B1171" s="14"/>
      <c r="C1171" s="124" t="s">
        <v>1982</v>
      </c>
      <c r="D1171" s="126" t="s">
        <v>1983</v>
      </c>
      <c r="E1171" s="132" t="s">
        <v>1984</v>
      </c>
      <c r="F1171" s="132"/>
      <c r="G1171" s="126" t="s">
        <v>1987</v>
      </c>
      <c r="H1171" s="130" t="s">
        <v>1175</v>
      </c>
    </row>
    <row r="1172" spans="1:8" ht="21.95" customHeight="1">
      <c r="A1172" s="14"/>
      <c r="B1172" s="14"/>
      <c r="C1172" s="125"/>
      <c r="D1172" s="127"/>
      <c r="E1172" s="26" t="s">
        <v>1985</v>
      </c>
      <c r="F1172" s="26" t="s">
        <v>1986</v>
      </c>
      <c r="G1172" s="127"/>
      <c r="H1172" s="131"/>
    </row>
    <row r="1173" spans="1:8" ht="21.95" customHeight="1">
      <c r="A1173" s="14"/>
      <c r="B1173" s="14"/>
      <c r="C1173" s="16" t="s">
        <v>1165</v>
      </c>
      <c r="D1173" s="17">
        <f>VLOOKUP(A1170,'Neraca Unaudited SIMAK'!$A$2:$S$10004,3,FALSE)</f>
        <v>687445</v>
      </c>
      <c r="E1173" s="25">
        <f>SUMIFS('Daftar Koreksi'!$H$5:$H$92,'Daftar Koreksi'!$D$5:$D$92,'0500'!A1170,'Daftar Koreksi'!$G$5:$G$92,"Persediaan",'Daftar Koreksi'!$H$5:$H$92,"&gt;0")</f>
        <v>0</v>
      </c>
      <c r="F1173" s="25">
        <f>SUMIFS('Daftar Koreksi'!$H$5:$H$92,'Daftar Koreksi'!$D$5:$D$92,'0500'!A1170,'Daftar Koreksi'!$G$5:$G$92,"Persediaan",'Daftar Koreksi'!$H$5:$H$92,"&lt;0")-SUMIFS('Daftar Koreksi'!$H$5:$H$92,'Daftar Koreksi'!$D$5:$D$92,'0500'!A1170,'Daftar Koreksi'!$G$5:$G$92,"Persediaan",'Daftar Koreksi'!$H$5:$H$92,"&lt;0")-SUMIFS('Daftar Koreksi'!$H$5:$H$92,'Daftar Koreksi'!$D$5:$D$92,'0500'!A1170,'Daftar Koreksi'!$G$5:$G$92,"Persediaan",'Daftar Koreksi'!$H$5:$H$92,"&lt;0")</f>
        <v>0</v>
      </c>
      <c r="G1173" s="17">
        <f>D1173+E1173-F1173</f>
        <v>687445</v>
      </c>
      <c r="H1173" s="121" t="str">
        <f>IF(ISNA(VLOOKUP(A1170,'Mutasi Neraca'!$A$3:$S$914,19,FALSE)),"-",VLOOKUP(A1170,'Mutasi Neraca'!$A$3:$S$914,19,FALSE))</f>
        <v>-</v>
      </c>
    </row>
    <row r="1174" spans="1:8" ht="21.95" customHeight="1">
      <c r="A1174" s="14"/>
      <c r="B1174" s="14"/>
      <c r="C1174" s="16" t="s">
        <v>1166</v>
      </c>
      <c r="D1174" s="17">
        <f>VLOOKUP(A1170,'Neraca Unaudited SIMAK'!$A$2:$S$10004,4,FALSE)</f>
        <v>2830000000</v>
      </c>
      <c r="E1174" s="25">
        <f>SUMIFS('Daftar Koreksi'!$H$5:$H$92,'Daftar Koreksi'!$D$5:$D$92,'0500'!A1170,'Daftar Koreksi'!$G$5:$G$92,"Tanah",'Daftar Koreksi'!$H$5:$H$92,"&gt;0")</f>
        <v>0</v>
      </c>
      <c r="F1174" s="25">
        <f>SUMIFS('Daftar Koreksi'!$H$5:$H$92,'Daftar Koreksi'!$D$5:$D$92,'0500'!A1170,'Daftar Koreksi'!$G$5:$G$92,"Tanah",'Daftar Koreksi'!$H$5:$H$92,"&lt;0")-SUMIFS('Daftar Koreksi'!$H$5:$H$92,'Daftar Koreksi'!$D$5:$D$92,'0500'!A1170,'Daftar Koreksi'!$G$5:$G$92,"Tanah",'Daftar Koreksi'!$H$5:$H$92,"&lt;0")-SUMIFS('Daftar Koreksi'!$H$5:$H$92,'Daftar Koreksi'!$D$5:$D$92,'0500'!A1170,'Daftar Koreksi'!$G$5:$G$92,"Tanah",'Daftar Koreksi'!$H$5:$H$92,"&lt;0")</f>
        <v>0</v>
      </c>
      <c r="G1174" s="17">
        <f t="shared" ref="G1174:G1190" si="53">D1174+E1174-F1174</f>
        <v>2830000000</v>
      </c>
      <c r="H1174" s="122"/>
    </row>
    <row r="1175" spans="1:8" ht="21.95" customHeight="1">
      <c r="A1175" s="14"/>
      <c r="B1175" s="14"/>
      <c r="C1175" s="16" t="s">
        <v>1167</v>
      </c>
      <c r="D1175" s="17">
        <f>VLOOKUP(A1170,'Neraca Unaudited SIMAK'!$A$2:$S$10004,5,FALSE)</f>
        <v>1365547296</v>
      </c>
      <c r="E1175" s="25">
        <f>SUMIFS('Daftar Koreksi'!$H$5:$H$92,'Daftar Koreksi'!$D$5:$D$92,'0500'!A1170,'Daftar Koreksi'!$G$5:$G$92,"Peralatan dan mesin",'Daftar Koreksi'!$H$5:$H$92,"&gt;0")</f>
        <v>0</v>
      </c>
      <c r="F1175" s="25">
        <f>SUMIFS('Daftar Koreksi'!$H$5:$H$92,'Daftar Koreksi'!$D$5:$D$92,'0500'!A1170,'Daftar Koreksi'!$G$5:$G$92,"Peralatan dan mesin",'Daftar Koreksi'!$H$5:$H$92,"&lt;0")-SUMIFS('Daftar Koreksi'!$H$5:$H$92,'Daftar Koreksi'!$D$5:$D$92,'0500'!A1170,'Daftar Koreksi'!$G$5:$G$92,"Peralatan dan mesin",'Daftar Koreksi'!$H$5:$H$92,"&lt;0")-SUMIFS('Daftar Koreksi'!$H$5:$H$92,'Daftar Koreksi'!$D$5:$D$92,'0500'!A1170,'Daftar Koreksi'!$G$5:$G$92,"Peralatan dan mesin",'Daftar Koreksi'!$H$5:$H$92,"&lt;0")</f>
        <v>0</v>
      </c>
      <c r="G1175" s="17">
        <f t="shared" si="53"/>
        <v>1365547296</v>
      </c>
      <c r="H1175" s="122"/>
    </row>
    <row r="1176" spans="1:8" ht="21.95" customHeight="1">
      <c r="A1176" s="14"/>
      <c r="B1176" s="14"/>
      <c r="C1176" s="16" t="s">
        <v>1168</v>
      </c>
      <c r="D1176" s="17">
        <f>VLOOKUP(A1170,'Neraca Unaudited SIMAK'!$A$2:$S$10004,6,FALSE)</f>
        <v>4582994253</v>
      </c>
      <c r="E1176" s="25">
        <f>SUMIFS('Daftar Koreksi'!$H$5:$H$92,'Daftar Koreksi'!$D$5:$D$92,'0500'!A1170,'Daftar Koreksi'!$G$5:$G$92,"Gedung dan Bangunan",'Daftar Koreksi'!$H$5:$H$92,"&gt;0")</f>
        <v>0</v>
      </c>
      <c r="F1176" s="25">
        <f>SUMIFS('Daftar Koreksi'!$H$5:$H$92,'Daftar Koreksi'!$D$5:$D$92,'0500'!A1170,'Daftar Koreksi'!$G$5:$G$92,"Gedung dan Bangunan",'Daftar Koreksi'!$H$5:$H$92,"&lt;0")-SUMIFS('Daftar Koreksi'!$H$5:$H$92,'Daftar Koreksi'!$D$5:$D$92,'0500'!A1170,'Daftar Koreksi'!$G$5:$G$92,"Gedung dan Bangunan",'Daftar Koreksi'!$H$5:$H$92,"&lt;0")-SUMIFS('Daftar Koreksi'!$H$5:$H$92,'Daftar Koreksi'!$D$5:$D$92,'0500'!A1170,'Daftar Koreksi'!$G$5:$G$92,"Gedung dan Bangunan",'Daftar Koreksi'!$H$5:$H$92,"&lt;0")</f>
        <v>0</v>
      </c>
      <c r="G1176" s="17">
        <f t="shared" si="53"/>
        <v>4582994253</v>
      </c>
      <c r="H1176" s="122"/>
    </row>
    <row r="1177" spans="1:8" ht="21.95" customHeight="1">
      <c r="A1177" s="14"/>
      <c r="B1177" s="14"/>
      <c r="C1177" s="16" t="s">
        <v>1169</v>
      </c>
      <c r="D1177" s="17">
        <f>VLOOKUP(A1170,'Neraca Unaudited SIMAK'!$A$2:$S$10004,7,FALSE)</f>
        <v>25101900</v>
      </c>
      <c r="E1177" s="25">
        <f>SUMIFS('Daftar Koreksi'!$H$5:$H$92,'Daftar Koreksi'!$D$5:$D$92,'0500'!A1170,'Daftar Koreksi'!$G$5:$G$92,"Jalan Irigasi Jaringan",'Daftar Koreksi'!$H$5:$H$92,"&gt;0")</f>
        <v>0</v>
      </c>
      <c r="F1177" s="25">
        <f>SUMIFS('Daftar Koreksi'!$H$5:$H$92,'Daftar Koreksi'!$D$5:$D$92,'0500'!A1170,'Daftar Koreksi'!$G$5:$G$92,"Jalan Irigasi Jaringan",'Daftar Koreksi'!$H$5:$H$92,"&lt;0")-SUMIFS('Daftar Koreksi'!$H$5:$H$92,'Daftar Koreksi'!$D$5:$D$92,'0500'!A1170,'Daftar Koreksi'!$G$5:$G$92,"Jalan Irigasi Jaringan",'Daftar Koreksi'!$H$5:$H$92,"&lt;0")-SUMIFS('Daftar Koreksi'!$H$5:$H$92,'Daftar Koreksi'!$D$5:$D$92,'0500'!A1170,'Daftar Koreksi'!$G$5:$G$92,"Jalan Irigasi Jaringan",'Daftar Koreksi'!$H$5:$H$92,"&lt;0")</f>
        <v>0</v>
      </c>
      <c r="G1177" s="17">
        <f t="shared" si="53"/>
        <v>25101900</v>
      </c>
      <c r="H1177" s="122"/>
    </row>
    <row r="1178" spans="1:8" ht="21.95" customHeight="1">
      <c r="A1178" s="14"/>
      <c r="B1178" s="14"/>
      <c r="C1178" s="16" t="s">
        <v>1170</v>
      </c>
      <c r="D1178" s="17">
        <f>VLOOKUP(A1170,'Neraca Unaudited SIMAK'!$A$2:$S$10004,8,FALSE)</f>
        <v>5148370</v>
      </c>
      <c r="E1178" s="25">
        <f>SUMIFS('Daftar Koreksi'!$H$5:$H$92,'Daftar Koreksi'!$D$5:$D$92,'0500'!A1170,'Daftar Koreksi'!$G$5:$G$92,"Aset Tetap Lainnya",'Daftar Koreksi'!$H$5:$H$92,"&gt;0")</f>
        <v>0</v>
      </c>
      <c r="F1178" s="25">
        <f>SUMIFS('Daftar Koreksi'!$H$5:$H$92,'Daftar Koreksi'!$D$5:$D$92,'0500'!A1170,'Daftar Koreksi'!$G$5:$G$92,"Aset Tetap Lainnya",'Daftar Koreksi'!$H$5:$H$92,"&lt;0")-SUMIFS('Daftar Koreksi'!$H$5:$H$92,'Daftar Koreksi'!$D$5:$D$92,'0500'!A1170,'Daftar Koreksi'!$G$5:$G$92,"Aset Tetap Lainnya",'Daftar Koreksi'!$H$5:$H$92,"&lt;0")-SUMIFS('Daftar Koreksi'!$H$5:$H$92,'Daftar Koreksi'!$D$5:$D$92,'0500'!A1170,'Daftar Koreksi'!$G$5:$G$92,"Aset Tetap Lainnya",'Daftar Koreksi'!$H$5:$H$92,"&lt;0")</f>
        <v>0</v>
      </c>
      <c r="G1178" s="17">
        <f t="shared" si="53"/>
        <v>5148370</v>
      </c>
      <c r="H1178" s="122"/>
    </row>
    <row r="1179" spans="1:8" ht="21.95" customHeight="1">
      <c r="A1179" s="14"/>
      <c r="B1179" s="14"/>
      <c r="C1179" s="16" t="s">
        <v>1171</v>
      </c>
      <c r="D1179" s="17">
        <f>VLOOKUP(A1170,'Neraca Unaudited SIMAK'!$A$2:$S$10004,9,FALSE)</f>
        <v>0</v>
      </c>
      <c r="E1179" s="25">
        <f>SUMIFS('Daftar Koreksi'!$H$5:$H$92,'Daftar Koreksi'!$D$5:$D$92,'0500'!A1170,'Daftar Koreksi'!$G$5:$G$92,"Kontruksi Dalam Pengerjaan",'Daftar Koreksi'!$H$5:$H$92,"&gt;0")</f>
        <v>0</v>
      </c>
      <c r="F1179" s="25">
        <f>SUMIFS('Daftar Koreksi'!$H$5:$H$92,'Daftar Koreksi'!$D$5:$D$92,'0500'!A1170,'Daftar Koreksi'!$G$5:$G$92,"Kontruksi Dalam Pengerjaan",'Daftar Koreksi'!$H$5:$H$92,"&lt;0")-SUMIFS('Daftar Koreksi'!$H$5:$H$92,'Daftar Koreksi'!$D$5:$D$92,'0500'!A1170,'Daftar Koreksi'!$G$5:$G$92,"Kontruksi Dalam Pengerjaan",'Daftar Koreksi'!$H$5:$H$92,"&lt;0")-SUMIFS('Daftar Koreksi'!$H$5:$H$92,'Daftar Koreksi'!$D$5:$D$92,'0500'!A1170,'Daftar Koreksi'!$G$5:$G$92,"Kontruksi Dalam Pengerjaan",'Daftar Koreksi'!$H$5:$H$92,"&lt;0")</f>
        <v>0</v>
      </c>
      <c r="G1179" s="17">
        <f t="shared" si="53"/>
        <v>0</v>
      </c>
      <c r="H1179" s="122"/>
    </row>
    <row r="1180" spans="1:8" ht="21.95" customHeight="1">
      <c r="A1180" s="14"/>
      <c r="B1180" s="14"/>
      <c r="C1180" s="16" t="s">
        <v>1172</v>
      </c>
      <c r="D1180" s="17">
        <f>VLOOKUP(A1170,'Neraca Unaudited SIMAK'!$A$2:$S$10004,10,FALSE)</f>
        <v>0</v>
      </c>
      <c r="E1180" s="25">
        <f>SUMIFS('Daftar Koreksi'!$H$5:$H$92,'Daftar Koreksi'!$D$5:$D$92,'0500'!A1170,'Daftar Koreksi'!$G$5:$G$92,"Aset Tak Berwujud",'Daftar Koreksi'!$H$5:$H$92,"&gt;0")</f>
        <v>0</v>
      </c>
      <c r="F1180" s="25">
        <f>SUMIFS('Daftar Koreksi'!$H$5:$H$92,'Daftar Koreksi'!$D$5:$D$92,'0500'!A1170,'Daftar Koreksi'!$G$5:$G$92,"Aset Tak Berwujud",'Daftar Koreksi'!$H$5:$H$92,"&lt;0")-SUMIFS('Daftar Koreksi'!$H$5:$H$92,'Daftar Koreksi'!$D$5:$D$92,'0500'!A1170,'Daftar Koreksi'!$G$5:$G$92,"Aset Tak Berwujud",'Daftar Koreksi'!$H$5:$H$92,"&lt;0")-SUMIFS('Daftar Koreksi'!$H$5:$H$92,'Daftar Koreksi'!$D$5:$D$92,'0500'!A1170,'Daftar Koreksi'!$G$5:$G$92,"Aset Tak Berwujud",'Daftar Koreksi'!$H$5:$H$92,"&lt;0")</f>
        <v>0</v>
      </c>
      <c r="G1180" s="17">
        <f t="shared" si="53"/>
        <v>0</v>
      </c>
      <c r="H1180" s="122"/>
    </row>
    <row r="1181" spans="1:8" ht="21.95" customHeight="1">
      <c r="A1181" s="14"/>
      <c r="B1181" s="14"/>
      <c r="C1181" s="16" t="s">
        <v>1173</v>
      </c>
      <c r="D1181" s="17">
        <f>VLOOKUP(A1170,'Neraca Unaudited SIMAK'!$A$2:$S$10004,11,FALSE)</f>
        <v>0</v>
      </c>
      <c r="E1181" s="25">
        <f>SUMIFS('Daftar Koreksi'!$H$5:$H$92,'Daftar Koreksi'!$D$5:$D$92,'0500'!A1170,'Daftar Koreksi'!$G$5:$G$92,"Aset Henti Guna",'Daftar Koreksi'!$H$5:$H$92,"&gt;0")</f>
        <v>0</v>
      </c>
      <c r="F1181" s="25">
        <f>SUMIFS('Daftar Koreksi'!$H$5:$H$92,'Daftar Koreksi'!$D$5:$D$92,'0500'!A1170,'Daftar Koreksi'!$G$5:$G$92,"Aset Henti Guna",'Daftar Koreksi'!$H$5:$H$92,"&lt;0")-SUMIFS('Daftar Koreksi'!$H$5:$H$92,'Daftar Koreksi'!$D$5:$D$92,'0500'!A1170,'Daftar Koreksi'!$G$5:$G$92,"Aset Henti Guna",'Daftar Koreksi'!$H$5:$H$92,"&lt;0")-SUMIFS('Daftar Koreksi'!$H$5:$H$92,'Daftar Koreksi'!$D$5:$D$92,'0500'!A1170,'Daftar Koreksi'!$G$5:$G$92,"Aset Henti Guna",'Daftar Koreksi'!$H$5:$H$92,"&lt;0")</f>
        <v>0</v>
      </c>
      <c r="G1181" s="17">
        <f t="shared" si="53"/>
        <v>0</v>
      </c>
      <c r="H1181" s="122"/>
    </row>
    <row r="1182" spans="1:8" ht="21.95" customHeight="1">
      <c r="A1182" s="14"/>
      <c r="B1182" s="14"/>
      <c r="C1182" s="18" t="s">
        <v>2093</v>
      </c>
      <c r="D1182" s="19">
        <f>VLOOKUP(A1170,'Neraca Unaudited SIMAK'!$A$2:$S$10004,12,FALSE)</f>
        <v>8809479264</v>
      </c>
      <c r="E1182" s="19">
        <f>SUM(E1173:E1181)</f>
        <v>0</v>
      </c>
      <c r="F1182" s="19">
        <f>SUM(F1173:F1181)</f>
        <v>0</v>
      </c>
      <c r="G1182" s="19">
        <f t="shared" si="53"/>
        <v>8809479264</v>
      </c>
      <c r="H1182" s="122"/>
    </row>
    <row r="1183" spans="1:8" ht="21.95" customHeight="1">
      <c r="A1183" s="14"/>
      <c r="B1183" s="14"/>
      <c r="C1183" s="16" t="s">
        <v>2087</v>
      </c>
      <c r="D1183" s="17">
        <f>VLOOKUP(A1170,'Neraca Unaudited SIMAK'!$A$2:$S$10004,13,FALSE)</f>
        <v>-1039799944</v>
      </c>
      <c r="E1183" s="25">
        <f>SUMIFS('Daftar Koreksi'!$I$5:$I$92,'Daftar Koreksi'!$D$5:$D$92,'0500'!A1170,'Daftar Koreksi'!$G$5:$G$92,"Peralatan dan mesin",'Daftar Koreksi'!$I$5:$I$92,"&gt;0")</f>
        <v>0</v>
      </c>
      <c r="F1183" s="25">
        <f>SUMIFS('Daftar Koreksi'!$I$5:$I$92,'Daftar Koreksi'!$D$5:$D$92,'0500'!A1170,'Daftar Koreksi'!$G$5:$G$92,"Peralatan dan mesin",'Daftar Koreksi'!$I$5:$I$92,"&lt;0")-SUMIFS('Daftar Koreksi'!$I$5:$I$92,'Daftar Koreksi'!$D$5:$D$92,'0500'!A1170,'Daftar Koreksi'!$G$5:$G$92,"Peralatan dan mesin",'Daftar Koreksi'!$I$5:$I$92,"&lt;0")-SUMIFS('Daftar Koreksi'!$I$5:$I$92,'Daftar Koreksi'!$D$5:$D$92,'0500'!A1170,'Daftar Koreksi'!$G$5:$G$92,"Peralatan dan mesin",'Daftar Koreksi'!$I$5:$I$92,"&lt;0")</f>
        <v>0</v>
      </c>
      <c r="G1183" s="17">
        <f t="shared" si="53"/>
        <v>-1039799944</v>
      </c>
      <c r="H1183" s="122"/>
    </row>
    <row r="1184" spans="1:8" ht="21.95" customHeight="1">
      <c r="A1184" s="14"/>
      <c r="B1184" s="14"/>
      <c r="C1184" s="16" t="s">
        <v>2088</v>
      </c>
      <c r="D1184" s="17">
        <f>VLOOKUP(A1170,'Neraca Unaudited SIMAK'!$A$2:$S$10004,14,FALSE)</f>
        <v>-857989965</v>
      </c>
      <c r="E1184" s="25">
        <f>SUMIFS('Daftar Koreksi'!$I$5:$I$92,'Daftar Koreksi'!$D$5:$D$92,'0500'!A1170,'Daftar Koreksi'!$G$5:$G$92,"Gedung dan Bangunan",'Daftar Koreksi'!$I$5:$I$92,"&gt;0")</f>
        <v>0</v>
      </c>
      <c r="F1184" s="25">
        <f>SUMIFS('Daftar Koreksi'!$I$5:$I$92,'Daftar Koreksi'!$D$5:$D$92,'0500'!A1170,'Daftar Koreksi'!$G$5:$G$92,"Gedung dan Bangunan",'Daftar Koreksi'!$I$5:$I$92,"&lt;0")-SUMIFS('Daftar Koreksi'!$I$5:$I$92,'Daftar Koreksi'!$D$5:$D$92,'0500'!A1170,'Daftar Koreksi'!$G$5:$G$92,"Gedung dan Bangunan",'Daftar Koreksi'!$I$5:$I$92,"&lt;0")-SUMIFS('Daftar Koreksi'!$I$5:$I$92,'Daftar Koreksi'!$D$5:$D$92,'0500'!A1170,'Daftar Koreksi'!$G$5:$G$92,"Gedung dan Bangunan",'Daftar Koreksi'!$I$5:$I$92,"&lt;0")</f>
        <v>0</v>
      </c>
      <c r="G1184" s="17">
        <f t="shared" si="53"/>
        <v>-857989965</v>
      </c>
      <c r="H1184" s="122"/>
    </row>
    <row r="1185" spans="1:8" ht="21.95" customHeight="1">
      <c r="A1185" s="14"/>
      <c r="B1185" s="14"/>
      <c r="C1185" s="16" t="s">
        <v>2089</v>
      </c>
      <c r="D1185" s="17">
        <f>VLOOKUP(A1170,'Neraca Unaudited SIMAK'!$A$2:$S$10004,15,FALSE)</f>
        <v>-313774</v>
      </c>
      <c r="E1185" s="25">
        <f>SUMIFS('Daftar Koreksi'!$I$5:$I$92,'Daftar Koreksi'!$D$5:$D$92,'0500'!A1170,'Daftar Koreksi'!$G$5:$G$92,"Jalan Irigasi Jaringan",'Daftar Koreksi'!$I$5:$I$92,"&gt;0")</f>
        <v>0</v>
      </c>
      <c r="F1185" s="25">
        <f>SUMIFS('Daftar Koreksi'!$I$5:$I$92,'Daftar Koreksi'!$D$5:$D$92,'0500'!A1170,'Daftar Koreksi'!$G$5:$G$92,"Jalan Irigasi Jaringan",'Daftar Koreksi'!$I$5:$I$92,"&lt;0")-SUMIFS('Daftar Koreksi'!$I$5:$I$92,'Daftar Koreksi'!$D$5:$D$92,'0500'!A1170,'Daftar Koreksi'!$G$5:$G$92,"Jalan Irigasi Jaringan",'Daftar Koreksi'!$I$5:$I$92,"&lt;0")-SUMIFS('Daftar Koreksi'!$I$5:$I$92,'Daftar Koreksi'!$D$5:$D$92,'0500'!A1170,'Daftar Koreksi'!$G$5:$G$92,"Jalan Irigasi Jaringan",'Daftar Koreksi'!$I$5:$I$92,"&lt;0")</f>
        <v>0</v>
      </c>
      <c r="G1185" s="17">
        <f t="shared" si="53"/>
        <v>-313774</v>
      </c>
      <c r="H1185" s="122"/>
    </row>
    <row r="1186" spans="1:8" ht="21.95" customHeight="1">
      <c r="A1186" s="14"/>
      <c r="B1186" s="14"/>
      <c r="C1186" s="16" t="s">
        <v>2090</v>
      </c>
      <c r="D1186" s="17">
        <f>VLOOKUP(A1170,'Neraca Unaudited SIMAK'!$A$2:$S$10004,16,FALSE)</f>
        <v>0</v>
      </c>
      <c r="E1186" s="25">
        <f>SUMIFS('Daftar Koreksi'!$I$5:$I$92,'Daftar Koreksi'!$D$5:$D$92,'0500'!A1170,'Daftar Koreksi'!$G$5:$G$92,"Aset Tetap Lainnya",'Daftar Koreksi'!$I$5:$I$92,"&gt;0")</f>
        <v>0</v>
      </c>
      <c r="F1186" s="25">
        <f>SUMIFS('Daftar Koreksi'!$I$5:$I$92,'Daftar Koreksi'!$D$5:$D$92,'0500'!A1170,'Daftar Koreksi'!$G$5:$G$92,"Aset Tetap Lainnya",'Daftar Koreksi'!$I$5:$I$92,"&lt;0")-SUMIFS('Daftar Koreksi'!$I$5:$I$92,'Daftar Koreksi'!$D$5:$D$92,'0500'!A1170,'Daftar Koreksi'!$G$5:$G$92,"Aset Tetap Lainnya",'Daftar Koreksi'!$I$5:$I$92,"&lt;0")-SUMIFS('Daftar Koreksi'!$I$5:$I$92,'Daftar Koreksi'!$D$5:$D$92,'0500'!A1170,'Daftar Koreksi'!$G$5:$G$92,"Aset Tetap Lainnya",'Daftar Koreksi'!$I$5:$I$92,"&lt;0")</f>
        <v>0</v>
      </c>
      <c r="G1186" s="17">
        <f t="shared" si="53"/>
        <v>0</v>
      </c>
      <c r="H1186" s="122"/>
    </row>
    <row r="1187" spans="1:8" ht="21.95" customHeight="1">
      <c r="A1187" s="14"/>
      <c r="B1187" s="14"/>
      <c r="C1187" s="16" t="s">
        <v>2020</v>
      </c>
      <c r="D1187" s="17">
        <f>VLOOKUP(A1170,'Neraca Unaudited SIMAK'!$A$2:$S$10004,17,FALSE)</f>
        <v>0</v>
      </c>
      <c r="E1187" s="25">
        <f>SUMIFS('Daftar Koreksi'!$I$5:$I$92,'Daftar Koreksi'!$D$5:$D$92,'0500'!A1170,'Daftar Koreksi'!$G$5:$G$92,"Aset Henti Guna",'Daftar Koreksi'!$I$5:$I$92,"&gt;0")</f>
        <v>0</v>
      </c>
      <c r="F1187" s="25">
        <f>SUMIFS('Daftar Koreksi'!$I$5:$I$92,'Daftar Koreksi'!$D$5:$D$92,'0500'!A1170,'Daftar Koreksi'!$G$5:$G$92,"Aset Henti Guna",'Daftar Koreksi'!$I$5:$I$92,"&lt;0")-SUMIFS('Daftar Koreksi'!$I$5:$I$92,'Daftar Koreksi'!$D$5:$D$92,'0500'!A1170,'Daftar Koreksi'!$G$5:$G$92,"Aset Henti Guna",'Daftar Koreksi'!$I$5:$I$92,"&lt;0")-SUMIFS('Daftar Koreksi'!$I$5:$I$92,'Daftar Koreksi'!$D$5:$D$92,'0500'!A1170,'Daftar Koreksi'!$G$5:$G$92,"Aset Henti Guna",'Daftar Koreksi'!$I$5:$I$92,"&lt;0")</f>
        <v>0</v>
      </c>
      <c r="G1187" s="17">
        <f t="shared" si="53"/>
        <v>0</v>
      </c>
      <c r="H1187" s="122"/>
    </row>
    <row r="1188" spans="1:8" ht="21.95" customHeight="1">
      <c r="A1188" s="14"/>
      <c r="B1188" s="14"/>
      <c r="C1188" s="18" t="s">
        <v>2094</v>
      </c>
      <c r="D1188" s="19">
        <f>SUM(D1183:D1187)</f>
        <v>-1898103683</v>
      </c>
      <c r="E1188" s="19">
        <f>SUM(E1183:E1187)</f>
        <v>0</v>
      </c>
      <c r="F1188" s="19">
        <f>SUM(F1183:F1187)</f>
        <v>0</v>
      </c>
      <c r="G1188" s="19">
        <f t="shared" si="53"/>
        <v>-1898103683</v>
      </c>
      <c r="H1188" s="122"/>
    </row>
    <row r="1189" spans="1:8" ht="21.95" customHeight="1">
      <c r="A1189" s="14"/>
      <c r="B1189" s="14"/>
      <c r="C1189" s="18" t="s">
        <v>2095</v>
      </c>
      <c r="D1189" s="19">
        <f>VLOOKUP(A1170,'Neraca Unaudited SIMAK'!$A$2:$S$10004,18,FALSE)</f>
        <v>6911375581</v>
      </c>
      <c r="E1189" s="19">
        <f>E1188+E1182</f>
        <v>0</v>
      </c>
      <c r="F1189" s="19">
        <f>F1188+F1182</f>
        <v>0</v>
      </c>
      <c r="G1189" s="19">
        <f t="shared" si="53"/>
        <v>6911375581</v>
      </c>
      <c r="H1189" s="122"/>
    </row>
    <row r="1190" spans="1:8" ht="21.95" customHeight="1">
      <c r="A1190" s="14"/>
      <c r="B1190" s="14"/>
      <c r="C1190" s="16" t="s">
        <v>2091</v>
      </c>
      <c r="D1190" s="17">
        <f>VLOOKUP(A1170,'Neraca Unaudited SIMAK'!$A$2:$S$10004,19,FALSE)</f>
        <v>0</v>
      </c>
      <c r="E1190" s="25"/>
      <c r="F1190" s="25"/>
      <c r="G1190" s="17">
        <f t="shared" si="53"/>
        <v>0</v>
      </c>
      <c r="H1190" s="123"/>
    </row>
    <row r="1192" spans="1:8" ht="19.5" customHeight="1">
      <c r="A1192" s="11" t="str">
        <f>O55</f>
        <v>005010500401432000KD</v>
      </c>
      <c r="B1192" s="11" t="str">
        <f>P55</f>
        <v>PA. Pasuruan</v>
      </c>
      <c r="C1192" s="12" t="str">
        <f>A1192&amp;" "&amp;B1192</f>
        <v>005010500401432000KD PA. Pasuruan</v>
      </c>
      <c r="D1192" s="13"/>
      <c r="E1192" s="13"/>
      <c r="F1192" s="13"/>
      <c r="G1192" s="13"/>
      <c r="H1192" s="11"/>
    </row>
    <row r="1193" spans="1:8" ht="21.95" customHeight="1">
      <c r="A1193" s="14"/>
      <c r="B1193" s="14"/>
      <c r="C1193" s="124" t="s">
        <v>1982</v>
      </c>
      <c r="D1193" s="126" t="s">
        <v>1983</v>
      </c>
      <c r="E1193" s="132" t="s">
        <v>1984</v>
      </c>
      <c r="F1193" s="132"/>
      <c r="G1193" s="126" t="s">
        <v>1987</v>
      </c>
      <c r="H1193" s="130" t="s">
        <v>1175</v>
      </c>
    </row>
    <row r="1194" spans="1:8" ht="21.95" customHeight="1">
      <c r="A1194" s="14"/>
      <c r="B1194" s="14"/>
      <c r="C1194" s="125"/>
      <c r="D1194" s="127"/>
      <c r="E1194" s="26" t="s">
        <v>1985</v>
      </c>
      <c r="F1194" s="26" t="s">
        <v>1986</v>
      </c>
      <c r="G1194" s="127"/>
      <c r="H1194" s="131"/>
    </row>
    <row r="1195" spans="1:8" ht="21.95" customHeight="1">
      <c r="A1195" s="14"/>
      <c r="B1195" s="14"/>
      <c r="C1195" s="16" t="s">
        <v>1165</v>
      </c>
      <c r="D1195" s="17">
        <f>VLOOKUP(A1192,'Neraca Unaudited SIMAK'!$A$2:$S$10004,3,FALSE)</f>
        <v>4610000</v>
      </c>
      <c r="E1195" s="25">
        <f>SUMIFS('Daftar Koreksi'!$H$5:$H$92,'Daftar Koreksi'!$D$5:$D$92,'0500'!A1192,'Daftar Koreksi'!$G$5:$G$92,"Persediaan",'Daftar Koreksi'!$H$5:$H$92,"&gt;0")</f>
        <v>0</v>
      </c>
      <c r="F1195" s="25">
        <f>SUMIFS('Daftar Koreksi'!$H$5:$H$92,'Daftar Koreksi'!$D$5:$D$92,'0500'!A1192,'Daftar Koreksi'!$G$5:$G$92,"Persediaan",'Daftar Koreksi'!$H$5:$H$92,"&lt;0")-SUMIFS('Daftar Koreksi'!$H$5:$H$92,'Daftar Koreksi'!$D$5:$D$92,'0500'!A1192,'Daftar Koreksi'!$G$5:$G$92,"Persediaan",'Daftar Koreksi'!$H$5:$H$92,"&lt;0")-SUMIFS('Daftar Koreksi'!$H$5:$H$92,'Daftar Koreksi'!$D$5:$D$92,'0500'!A1192,'Daftar Koreksi'!$G$5:$G$92,"Persediaan",'Daftar Koreksi'!$H$5:$H$92,"&lt;0")</f>
        <v>0</v>
      </c>
      <c r="G1195" s="17">
        <f>D1195+E1195-F1195</f>
        <v>4610000</v>
      </c>
      <c r="H1195" s="121" t="str">
        <f>IF(ISNA(VLOOKUP(A1192,'Mutasi Neraca'!$A$3:$S$914,19,FALSE)),"-",VLOOKUP(A1192,'Mutasi Neraca'!$A$3:$S$914,19,FALSE))</f>
        <v>-</v>
      </c>
    </row>
    <row r="1196" spans="1:8" ht="21.95" customHeight="1">
      <c r="A1196" s="14"/>
      <c r="B1196" s="14"/>
      <c r="C1196" s="16" t="s">
        <v>1166</v>
      </c>
      <c r="D1196" s="17">
        <f>VLOOKUP(A1192,'Neraca Unaudited SIMAK'!$A$2:$S$10004,4,FALSE)</f>
        <v>1296100000</v>
      </c>
      <c r="E1196" s="25">
        <f>SUMIFS('Daftar Koreksi'!$H$5:$H$92,'Daftar Koreksi'!$D$5:$D$92,'0500'!A1192,'Daftar Koreksi'!$G$5:$G$92,"Tanah",'Daftar Koreksi'!$H$5:$H$92,"&gt;0")</f>
        <v>0</v>
      </c>
      <c r="F1196" s="25">
        <f>SUMIFS('Daftar Koreksi'!$H$5:$H$92,'Daftar Koreksi'!$D$5:$D$92,'0500'!A1192,'Daftar Koreksi'!$G$5:$G$92,"Tanah",'Daftar Koreksi'!$H$5:$H$92,"&lt;0")-SUMIFS('Daftar Koreksi'!$H$5:$H$92,'Daftar Koreksi'!$D$5:$D$92,'0500'!A1192,'Daftar Koreksi'!$G$5:$G$92,"Tanah",'Daftar Koreksi'!$H$5:$H$92,"&lt;0")-SUMIFS('Daftar Koreksi'!$H$5:$H$92,'Daftar Koreksi'!$D$5:$D$92,'0500'!A1192,'Daftar Koreksi'!$G$5:$G$92,"Tanah",'Daftar Koreksi'!$H$5:$H$92,"&lt;0")</f>
        <v>0</v>
      </c>
      <c r="G1196" s="17">
        <f t="shared" ref="G1196:G1212" si="54">D1196+E1196-F1196</f>
        <v>1296100000</v>
      </c>
      <c r="H1196" s="122"/>
    </row>
    <row r="1197" spans="1:8" ht="21.95" customHeight="1">
      <c r="A1197" s="14"/>
      <c r="B1197" s="14"/>
      <c r="C1197" s="16" t="s">
        <v>1167</v>
      </c>
      <c r="D1197" s="17">
        <f>VLOOKUP(A1192,'Neraca Unaudited SIMAK'!$A$2:$S$10004,5,FALSE)</f>
        <v>885929105</v>
      </c>
      <c r="E1197" s="25">
        <f>SUMIFS('Daftar Koreksi'!$H$5:$H$92,'Daftar Koreksi'!$D$5:$D$92,'0500'!A1192,'Daftar Koreksi'!$G$5:$G$92,"Peralatan dan mesin",'Daftar Koreksi'!$H$5:$H$92,"&gt;0")</f>
        <v>0</v>
      </c>
      <c r="F1197" s="25">
        <f>SUMIFS('Daftar Koreksi'!$H$5:$H$92,'Daftar Koreksi'!$D$5:$D$92,'0500'!A1192,'Daftar Koreksi'!$G$5:$G$92,"Peralatan dan mesin",'Daftar Koreksi'!$H$5:$H$92,"&lt;0")-SUMIFS('Daftar Koreksi'!$H$5:$H$92,'Daftar Koreksi'!$D$5:$D$92,'0500'!A1192,'Daftar Koreksi'!$G$5:$G$92,"Peralatan dan mesin",'Daftar Koreksi'!$H$5:$H$92,"&lt;0")-SUMIFS('Daftar Koreksi'!$H$5:$H$92,'Daftar Koreksi'!$D$5:$D$92,'0500'!A1192,'Daftar Koreksi'!$G$5:$G$92,"Peralatan dan mesin",'Daftar Koreksi'!$H$5:$H$92,"&lt;0")</f>
        <v>0</v>
      </c>
      <c r="G1197" s="17">
        <f t="shared" si="54"/>
        <v>885929105</v>
      </c>
      <c r="H1197" s="122"/>
    </row>
    <row r="1198" spans="1:8" ht="21.95" customHeight="1">
      <c r="A1198" s="14"/>
      <c r="B1198" s="14"/>
      <c r="C1198" s="16" t="s">
        <v>1168</v>
      </c>
      <c r="D1198" s="17">
        <f>VLOOKUP(A1192,'Neraca Unaudited SIMAK'!$A$2:$S$10004,6,FALSE)</f>
        <v>1101541400</v>
      </c>
      <c r="E1198" s="25">
        <f>SUMIFS('Daftar Koreksi'!$H$5:$H$92,'Daftar Koreksi'!$D$5:$D$92,'0500'!A1192,'Daftar Koreksi'!$G$5:$G$92,"Gedung dan Bangunan",'Daftar Koreksi'!$H$5:$H$92,"&gt;0")</f>
        <v>0</v>
      </c>
      <c r="F1198" s="25">
        <f>SUMIFS('Daftar Koreksi'!$H$5:$H$92,'Daftar Koreksi'!$D$5:$D$92,'0500'!A1192,'Daftar Koreksi'!$G$5:$G$92,"Gedung dan Bangunan",'Daftar Koreksi'!$H$5:$H$92,"&lt;0")-SUMIFS('Daftar Koreksi'!$H$5:$H$92,'Daftar Koreksi'!$D$5:$D$92,'0500'!A1192,'Daftar Koreksi'!$G$5:$G$92,"Gedung dan Bangunan",'Daftar Koreksi'!$H$5:$H$92,"&lt;0")-SUMIFS('Daftar Koreksi'!$H$5:$H$92,'Daftar Koreksi'!$D$5:$D$92,'0500'!A1192,'Daftar Koreksi'!$G$5:$G$92,"Gedung dan Bangunan",'Daftar Koreksi'!$H$5:$H$92,"&lt;0")</f>
        <v>0</v>
      </c>
      <c r="G1198" s="17">
        <f t="shared" si="54"/>
        <v>1101541400</v>
      </c>
      <c r="H1198" s="122"/>
    </row>
    <row r="1199" spans="1:8" ht="21.95" customHeight="1">
      <c r="A1199" s="14"/>
      <c r="B1199" s="14"/>
      <c r="C1199" s="16" t="s">
        <v>1169</v>
      </c>
      <c r="D1199" s="17">
        <f>VLOOKUP(A1192,'Neraca Unaudited SIMAK'!$A$2:$S$10004,7,FALSE)</f>
        <v>50577600</v>
      </c>
      <c r="E1199" s="25">
        <f>SUMIFS('Daftar Koreksi'!$H$5:$H$92,'Daftar Koreksi'!$D$5:$D$92,'0500'!A1192,'Daftar Koreksi'!$G$5:$G$92,"Jalan Irigasi Jaringan",'Daftar Koreksi'!$H$5:$H$92,"&gt;0")</f>
        <v>0</v>
      </c>
      <c r="F1199" s="25">
        <f>SUMIFS('Daftar Koreksi'!$H$5:$H$92,'Daftar Koreksi'!$D$5:$D$92,'0500'!A1192,'Daftar Koreksi'!$G$5:$G$92,"Jalan Irigasi Jaringan",'Daftar Koreksi'!$H$5:$H$92,"&lt;0")-SUMIFS('Daftar Koreksi'!$H$5:$H$92,'Daftar Koreksi'!$D$5:$D$92,'0500'!A1192,'Daftar Koreksi'!$G$5:$G$92,"Jalan Irigasi Jaringan",'Daftar Koreksi'!$H$5:$H$92,"&lt;0")-SUMIFS('Daftar Koreksi'!$H$5:$H$92,'Daftar Koreksi'!$D$5:$D$92,'0500'!A1192,'Daftar Koreksi'!$G$5:$G$92,"Jalan Irigasi Jaringan",'Daftar Koreksi'!$H$5:$H$92,"&lt;0")</f>
        <v>0</v>
      </c>
      <c r="G1199" s="17">
        <f t="shared" si="54"/>
        <v>50577600</v>
      </c>
      <c r="H1199" s="122"/>
    </row>
    <row r="1200" spans="1:8" ht="21.95" customHeight="1">
      <c r="A1200" s="14"/>
      <c r="B1200" s="14"/>
      <c r="C1200" s="16" t="s">
        <v>1170</v>
      </c>
      <c r="D1200" s="17">
        <f>VLOOKUP(A1192,'Neraca Unaudited SIMAK'!$A$2:$S$10004,8,FALSE)</f>
        <v>6865370</v>
      </c>
      <c r="E1200" s="25">
        <f>SUMIFS('Daftar Koreksi'!$H$5:$H$92,'Daftar Koreksi'!$D$5:$D$92,'0500'!A1192,'Daftar Koreksi'!$G$5:$G$92,"Aset Tetap Lainnya",'Daftar Koreksi'!$H$5:$H$92,"&gt;0")</f>
        <v>0</v>
      </c>
      <c r="F1200" s="25">
        <f>SUMIFS('Daftar Koreksi'!$H$5:$H$92,'Daftar Koreksi'!$D$5:$D$92,'0500'!A1192,'Daftar Koreksi'!$G$5:$G$92,"Aset Tetap Lainnya",'Daftar Koreksi'!$H$5:$H$92,"&lt;0")-SUMIFS('Daftar Koreksi'!$H$5:$H$92,'Daftar Koreksi'!$D$5:$D$92,'0500'!A1192,'Daftar Koreksi'!$G$5:$G$92,"Aset Tetap Lainnya",'Daftar Koreksi'!$H$5:$H$92,"&lt;0")-SUMIFS('Daftar Koreksi'!$H$5:$H$92,'Daftar Koreksi'!$D$5:$D$92,'0500'!A1192,'Daftar Koreksi'!$G$5:$G$92,"Aset Tetap Lainnya",'Daftar Koreksi'!$H$5:$H$92,"&lt;0")</f>
        <v>0</v>
      </c>
      <c r="G1200" s="17">
        <f t="shared" si="54"/>
        <v>6865370</v>
      </c>
      <c r="H1200" s="122"/>
    </row>
    <row r="1201" spans="1:8" ht="21.95" customHeight="1">
      <c r="A1201" s="14"/>
      <c r="B1201" s="14"/>
      <c r="C1201" s="16" t="s">
        <v>1171</v>
      </c>
      <c r="D1201" s="17">
        <f>VLOOKUP(A1192,'Neraca Unaudited SIMAK'!$A$2:$S$10004,9,FALSE)</f>
        <v>0</v>
      </c>
      <c r="E1201" s="25">
        <f>SUMIFS('Daftar Koreksi'!$H$5:$H$92,'Daftar Koreksi'!$D$5:$D$92,'0500'!A1192,'Daftar Koreksi'!$G$5:$G$92,"Kontruksi Dalam Pengerjaan",'Daftar Koreksi'!$H$5:$H$92,"&gt;0")</f>
        <v>0</v>
      </c>
      <c r="F1201" s="25">
        <f>SUMIFS('Daftar Koreksi'!$H$5:$H$92,'Daftar Koreksi'!$D$5:$D$92,'0500'!A1192,'Daftar Koreksi'!$G$5:$G$92,"Kontruksi Dalam Pengerjaan",'Daftar Koreksi'!$H$5:$H$92,"&lt;0")-SUMIFS('Daftar Koreksi'!$H$5:$H$92,'Daftar Koreksi'!$D$5:$D$92,'0500'!A1192,'Daftar Koreksi'!$G$5:$G$92,"Kontruksi Dalam Pengerjaan",'Daftar Koreksi'!$H$5:$H$92,"&lt;0")-SUMIFS('Daftar Koreksi'!$H$5:$H$92,'Daftar Koreksi'!$D$5:$D$92,'0500'!A1192,'Daftar Koreksi'!$G$5:$G$92,"Kontruksi Dalam Pengerjaan",'Daftar Koreksi'!$H$5:$H$92,"&lt;0")</f>
        <v>0</v>
      </c>
      <c r="G1201" s="17">
        <f t="shared" si="54"/>
        <v>0</v>
      </c>
      <c r="H1201" s="122"/>
    </row>
    <row r="1202" spans="1:8" ht="21.95" customHeight="1">
      <c r="A1202" s="14"/>
      <c r="B1202" s="14"/>
      <c r="C1202" s="16" t="s">
        <v>1172</v>
      </c>
      <c r="D1202" s="17">
        <f>VLOOKUP(A1192,'Neraca Unaudited SIMAK'!$A$2:$S$10004,10,FALSE)</f>
        <v>0</v>
      </c>
      <c r="E1202" s="25">
        <f>SUMIFS('Daftar Koreksi'!$H$5:$H$92,'Daftar Koreksi'!$D$5:$D$92,'0500'!A1192,'Daftar Koreksi'!$G$5:$G$92,"Aset Tak Berwujud",'Daftar Koreksi'!$H$5:$H$92,"&gt;0")</f>
        <v>0</v>
      </c>
      <c r="F1202" s="25">
        <f>SUMIFS('Daftar Koreksi'!$H$5:$H$92,'Daftar Koreksi'!$D$5:$D$92,'0500'!A1192,'Daftar Koreksi'!$G$5:$G$92,"Aset Tak Berwujud",'Daftar Koreksi'!$H$5:$H$92,"&lt;0")-SUMIFS('Daftar Koreksi'!$H$5:$H$92,'Daftar Koreksi'!$D$5:$D$92,'0500'!A1192,'Daftar Koreksi'!$G$5:$G$92,"Aset Tak Berwujud",'Daftar Koreksi'!$H$5:$H$92,"&lt;0")-SUMIFS('Daftar Koreksi'!$H$5:$H$92,'Daftar Koreksi'!$D$5:$D$92,'0500'!A1192,'Daftar Koreksi'!$G$5:$G$92,"Aset Tak Berwujud",'Daftar Koreksi'!$H$5:$H$92,"&lt;0")</f>
        <v>0</v>
      </c>
      <c r="G1202" s="17">
        <f t="shared" si="54"/>
        <v>0</v>
      </c>
      <c r="H1202" s="122"/>
    </row>
    <row r="1203" spans="1:8" ht="21.95" customHeight="1">
      <c r="A1203" s="14"/>
      <c r="B1203" s="14"/>
      <c r="C1203" s="16" t="s">
        <v>1173</v>
      </c>
      <c r="D1203" s="17">
        <f>VLOOKUP(A1192,'Neraca Unaudited SIMAK'!$A$2:$S$10004,11,FALSE)</f>
        <v>120239547</v>
      </c>
      <c r="E1203" s="25">
        <f>SUMIFS('Daftar Koreksi'!$H$5:$H$92,'Daftar Koreksi'!$D$5:$D$92,'0500'!A1192,'Daftar Koreksi'!$G$5:$G$92,"Aset Henti Guna",'Daftar Koreksi'!$H$5:$H$92,"&gt;0")</f>
        <v>0</v>
      </c>
      <c r="F1203" s="25">
        <f>SUMIFS('Daftar Koreksi'!$H$5:$H$92,'Daftar Koreksi'!$D$5:$D$92,'0500'!A1192,'Daftar Koreksi'!$G$5:$G$92,"Aset Henti Guna",'Daftar Koreksi'!$H$5:$H$92,"&lt;0")-SUMIFS('Daftar Koreksi'!$H$5:$H$92,'Daftar Koreksi'!$D$5:$D$92,'0500'!A1192,'Daftar Koreksi'!$G$5:$G$92,"Aset Henti Guna",'Daftar Koreksi'!$H$5:$H$92,"&lt;0")-SUMIFS('Daftar Koreksi'!$H$5:$H$92,'Daftar Koreksi'!$D$5:$D$92,'0500'!A1192,'Daftar Koreksi'!$G$5:$G$92,"Aset Henti Guna",'Daftar Koreksi'!$H$5:$H$92,"&lt;0")</f>
        <v>0</v>
      </c>
      <c r="G1203" s="17">
        <f t="shared" si="54"/>
        <v>120239547</v>
      </c>
      <c r="H1203" s="122"/>
    </row>
    <row r="1204" spans="1:8" ht="21.95" customHeight="1">
      <c r="A1204" s="14"/>
      <c r="B1204" s="14"/>
      <c r="C1204" s="18" t="s">
        <v>2093</v>
      </c>
      <c r="D1204" s="19">
        <f>VLOOKUP(A1192,'Neraca Unaudited SIMAK'!$A$2:$S$10004,12,FALSE)</f>
        <v>3465863022</v>
      </c>
      <c r="E1204" s="19">
        <f>SUM(E1195:E1203)</f>
        <v>0</v>
      </c>
      <c r="F1204" s="19">
        <f>SUM(F1195:F1203)</f>
        <v>0</v>
      </c>
      <c r="G1204" s="19">
        <f t="shared" si="54"/>
        <v>3465863022</v>
      </c>
      <c r="H1204" s="122"/>
    </row>
    <row r="1205" spans="1:8" ht="21.95" customHeight="1">
      <c r="A1205" s="14"/>
      <c r="B1205" s="14"/>
      <c r="C1205" s="16" t="s">
        <v>2087</v>
      </c>
      <c r="D1205" s="17">
        <f>VLOOKUP(A1192,'Neraca Unaudited SIMAK'!$A$2:$S$10004,13,FALSE)</f>
        <v>-772296443</v>
      </c>
      <c r="E1205" s="25">
        <f>SUMIFS('Daftar Koreksi'!$I$5:$I$92,'Daftar Koreksi'!$D$5:$D$92,'0500'!A1192,'Daftar Koreksi'!$G$5:$G$92,"Peralatan dan mesin",'Daftar Koreksi'!$I$5:$I$92,"&gt;0")</f>
        <v>0</v>
      </c>
      <c r="F1205" s="25">
        <f>SUMIFS('Daftar Koreksi'!$I$5:$I$92,'Daftar Koreksi'!$D$5:$D$92,'0500'!A1192,'Daftar Koreksi'!$G$5:$G$92,"Peralatan dan mesin",'Daftar Koreksi'!$I$5:$I$92,"&lt;0")-SUMIFS('Daftar Koreksi'!$I$5:$I$92,'Daftar Koreksi'!$D$5:$D$92,'0500'!A1192,'Daftar Koreksi'!$G$5:$G$92,"Peralatan dan mesin",'Daftar Koreksi'!$I$5:$I$92,"&lt;0")-SUMIFS('Daftar Koreksi'!$I$5:$I$92,'Daftar Koreksi'!$D$5:$D$92,'0500'!A1192,'Daftar Koreksi'!$G$5:$G$92,"Peralatan dan mesin",'Daftar Koreksi'!$I$5:$I$92,"&lt;0")</f>
        <v>0</v>
      </c>
      <c r="G1205" s="17">
        <f t="shared" si="54"/>
        <v>-772296443</v>
      </c>
      <c r="H1205" s="122"/>
    </row>
    <row r="1206" spans="1:8" ht="21.95" customHeight="1">
      <c r="A1206" s="14"/>
      <c r="B1206" s="14"/>
      <c r="C1206" s="16" t="s">
        <v>2088</v>
      </c>
      <c r="D1206" s="17">
        <f>VLOOKUP(A1192,'Neraca Unaudited SIMAK'!$A$2:$S$10004,14,FALSE)</f>
        <v>-312622038</v>
      </c>
      <c r="E1206" s="25">
        <f>SUMIFS('Daftar Koreksi'!$I$5:$I$92,'Daftar Koreksi'!$D$5:$D$92,'0500'!A1192,'Daftar Koreksi'!$G$5:$G$92,"Gedung dan Bangunan",'Daftar Koreksi'!$I$5:$I$92,"&gt;0")</f>
        <v>0</v>
      </c>
      <c r="F1206" s="25">
        <f>SUMIFS('Daftar Koreksi'!$I$5:$I$92,'Daftar Koreksi'!$D$5:$D$92,'0500'!A1192,'Daftar Koreksi'!$G$5:$G$92,"Gedung dan Bangunan",'Daftar Koreksi'!$I$5:$I$92,"&lt;0")-SUMIFS('Daftar Koreksi'!$I$5:$I$92,'Daftar Koreksi'!$D$5:$D$92,'0500'!A1192,'Daftar Koreksi'!$G$5:$G$92,"Gedung dan Bangunan",'Daftar Koreksi'!$I$5:$I$92,"&lt;0")-SUMIFS('Daftar Koreksi'!$I$5:$I$92,'Daftar Koreksi'!$D$5:$D$92,'0500'!A1192,'Daftar Koreksi'!$G$5:$G$92,"Gedung dan Bangunan",'Daftar Koreksi'!$I$5:$I$92,"&lt;0")</f>
        <v>0</v>
      </c>
      <c r="G1206" s="17">
        <f t="shared" si="54"/>
        <v>-312622038</v>
      </c>
      <c r="H1206" s="122"/>
    </row>
    <row r="1207" spans="1:8" ht="21.95" customHeight="1">
      <c r="A1207" s="14"/>
      <c r="B1207" s="14"/>
      <c r="C1207" s="16" t="s">
        <v>2089</v>
      </c>
      <c r="D1207" s="17">
        <f>VLOOKUP(A1192,'Neraca Unaudited SIMAK'!$A$2:$S$10004,15,FALSE)</f>
        <v>-30013373</v>
      </c>
      <c r="E1207" s="25">
        <f>SUMIFS('Daftar Koreksi'!$I$5:$I$92,'Daftar Koreksi'!$D$5:$D$92,'0500'!A1192,'Daftar Koreksi'!$G$5:$G$92,"Jalan Irigasi Jaringan",'Daftar Koreksi'!$I$5:$I$92,"&gt;0")</f>
        <v>0</v>
      </c>
      <c r="F1207" s="25">
        <f>SUMIFS('Daftar Koreksi'!$I$5:$I$92,'Daftar Koreksi'!$D$5:$D$92,'0500'!A1192,'Daftar Koreksi'!$G$5:$G$92,"Jalan Irigasi Jaringan",'Daftar Koreksi'!$I$5:$I$92,"&lt;0")-SUMIFS('Daftar Koreksi'!$I$5:$I$92,'Daftar Koreksi'!$D$5:$D$92,'0500'!A1192,'Daftar Koreksi'!$G$5:$G$92,"Jalan Irigasi Jaringan",'Daftar Koreksi'!$I$5:$I$92,"&lt;0")-SUMIFS('Daftar Koreksi'!$I$5:$I$92,'Daftar Koreksi'!$D$5:$D$92,'0500'!A1192,'Daftar Koreksi'!$G$5:$G$92,"Jalan Irigasi Jaringan",'Daftar Koreksi'!$I$5:$I$92,"&lt;0")</f>
        <v>0</v>
      </c>
      <c r="G1207" s="17">
        <f t="shared" si="54"/>
        <v>-30013373</v>
      </c>
      <c r="H1207" s="122"/>
    </row>
    <row r="1208" spans="1:8" ht="21.95" customHeight="1">
      <c r="A1208" s="14"/>
      <c r="B1208" s="14"/>
      <c r="C1208" s="16" t="s">
        <v>2090</v>
      </c>
      <c r="D1208" s="17">
        <f>VLOOKUP(A1192,'Neraca Unaudited SIMAK'!$A$2:$S$10004,16,FALSE)</f>
        <v>0</v>
      </c>
      <c r="E1208" s="25">
        <f>SUMIFS('Daftar Koreksi'!$I$5:$I$92,'Daftar Koreksi'!$D$5:$D$92,'0500'!A1192,'Daftar Koreksi'!$G$5:$G$92,"Aset Tetap Lainnya",'Daftar Koreksi'!$I$5:$I$92,"&gt;0")</f>
        <v>0</v>
      </c>
      <c r="F1208" s="25">
        <f>SUMIFS('Daftar Koreksi'!$I$5:$I$92,'Daftar Koreksi'!$D$5:$D$92,'0500'!A1192,'Daftar Koreksi'!$G$5:$G$92,"Aset Tetap Lainnya",'Daftar Koreksi'!$I$5:$I$92,"&lt;0")-SUMIFS('Daftar Koreksi'!$I$5:$I$92,'Daftar Koreksi'!$D$5:$D$92,'0500'!A1192,'Daftar Koreksi'!$G$5:$G$92,"Aset Tetap Lainnya",'Daftar Koreksi'!$I$5:$I$92,"&lt;0")-SUMIFS('Daftar Koreksi'!$I$5:$I$92,'Daftar Koreksi'!$D$5:$D$92,'0500'!A1192,'Daftar Koreksi'!$G$5:$G$92,"Aset Tetap Lainnya",'Daftar Koreksi'!$I$5:$I$92,"&lt;0")</f>
        <v>0</v>
      </c>
      <c r="G1208" s="17">
        <f t="shared" si="54"/>
        <v>0</v>
      </c>
      <c r="H1208" s="122"/>
    </row>
    <row r="1209" spans="1:8" ht="21.95" customHeight="1">
      <c r="A1209" s="14"/>
      <c r="B1209" s="14"/>
      <c r="C1209" s="16" t="s">
        <v>2020</v>
      </c>
      <c r="D1209" s="17">
        <f>VLOOKUP(A1192,'Neraca Unaudited SIMAK'!$A$2:$S$10004,17,FALSE)</f>
        <v>-120239547</v>
      </c>
      <c r="E1209" s="25">
        <f>SUMIFS('Daftar Koreksi'!$I$5:$I$92,'Daftar Koreksi'!$D$5:$D$92,'0500'!A1192,'Daftar Koreksi'!$G$5:$G$92,"Aset Henti Guna",'Daftar Koreksi'!$I$5:$I$92,"&gt;0")</f>
        <v>0</v>
      </c>
      <c r="F1209" s="25">
        <f>SUMIFS('Daftar Koreksi'!$I$5:$I$92,'Daftar Koreksi'!$D$5:$D$92,'0500'!A1192,'Daftar Koreksi'!$G$5:$G$92,"Aset Henti Guna",'Daftar Koreksi'!$I$5:$I$92,"&lt;0")-SUMIFS('Daftar Koreksi'!$I$5:$I$92,'Daftar Koreksi'!$D$5:$D$92,'0500'!A1192,'Daftar Koreksi'!$G$5:$G$92,"Aset Henti Guna",'Daftar Koreksi'!$I$5:$I$92,"&lt;0")-SUMIFS('Daftar Koreksi'!$I$5:$I$92,'Daftar Koreksi'!$D$5:$D$92,'0500'!A1192,'Daftar Koreksi'!$G$5:$G$92,"Aset Henti Guna",'Daftar Koreksi'!$I$5:$I$92,"&lt;0")</f>
        <v>0</v>
      </c>
      <c r="G1209" s="17">
        <f t="shared" si="54"/>
        <v>-120239547</v>
      </c>
      <c r="H1209" s="122"/>
    </row>
    <row r="1210" spans="1:8" ht="21.95" customHeight="1">
      <c r="A1210" s="14"/>
      <c r="B1210" s="14"/>
      <c r="C1210" s="18" t="s">
        <v>2094</v>
      </c>
      <c r="D1210" s="19">
        <f>SUM(D1205:D1209)</f>
        <v>-1235171401</v>
      </c>
      <c r="E1210" s="19">
        <f>SUM(E1205:E1209)</f>
        <v>0</v>
      </c>
      <c r="F1210" s="19">
        <f>SUM(F1205:F1209)</f>
        <v>0</v>
      </c>
      <c r="G1210" s="19">
        <f t="shared" si="54"/>
        <v>-1235171401</v>
      </c>
      <c r="H1210" s="122"/>
    </row>
    <row r="1211" spans="1:8" ht="21.95" customHeight="1">
      <c r="A1211" s="14"/>
      <c r="B1211" s="14"/>
      <c r="C1211" s="18" t="s">
        <v>2095</v>
      </c>
      <c r="D1211" s="19">
        <f>VLOOKUP(A1192,'Neraca Unaudited SIMAK'!$A$2:$S$10004,18,FALSE)</f>
        <v>2230691621</v>
      </c>
      <c r="E1211" s="19">
        <f>E1210+E1204</f>
        <v>0</v>
      </c>
      <c r="F1211" s="19">
        <f>F1210+F1204</f>
        <v>0</v>
      </c>
      <c r="G1211" s="19">
        <f t="shared" si="54"/>
        <v>2230691621</v>
      </c>
      <c r="H1211" s="122"/>
    </row>
    <row r="1212" spans="1:8" ht="21.95" customHeight="1">
      <c r="A1212" s="14"/>
      <c r="B1212" s="14"/>
      <c r="C1212" s="16" t="s">
        <v>2091</v>
      </c>
      <c r="D1212" s="17">
        <f>VLOOKUP(A1192,'Neraca Unaudited SIMAK'!$A$2:$S$10004,19,FALSE)</f>
        <v>0</v>
      </c>
      <c r="E1212" s="25"/>
      <c r="F1212" s="25"/>
      <c r="G1212" s="17">
        <f t="shared" si="54"/>
        <v>0</v>
      </c>
      <c r="H1212" s="123"/>
    </row>
    <row r="1214" spans="1:8" ht="19.5" customHeight="1">
      <c r="A1214" s="11" t="str">
        <f>O56</f>
        <v>005010500401441000KD</v>
      </c>
      <c r="B1214" s="11" t="str">
        <f>P56</f>
        <v>PA. Bangil</v>
      </c>
      <c r="C1214" s="12" t="str">
        <f>A1214&amp;" "&amp;B1214</f>
        <v>005010500401441000KD PA. Bangil</v>
      </c>
      <c r="D1214" s="13"/>
      <c r="E1214" s="13"/>
      <c r="F1214" s="13"/>
      <c r="G1214" s="13"/>
      <c r="H1214" s="11"/>
    </row>
    <row r="1215" spans="1:8" ht="21.95" customHeight="1">
      <c r="A1215" s="14"/>
      <c r="B1215" s="14"/>
      <c r="C1215" s="124" t="s">
        <v>1982</v>
      </c>
      <c r="D1215" s="126" t="s">
        <v>1983</v>
      </c>
      <c r="E1215" s="132" t="s">
        <v>1984</v>
      </c>
      <c r="F1215" s="132"/>
      <c r="G1215" s="126" t="s">
        <v>1987</v>
      </c>
      <c r="H1215" s="130" t="s">
        <v>1175</v>
      </c>
    </row>
    <row r="1216" spans="1:8" ht="21.95" customHeight="1">
      <c r="A1216" s="14"/>
      <c r="B1216" s="14"/>
      <c r="C1216" s="125"/>
      <c r="D1216" s="127"/>
      <c r="E1216" s="26" t="s">
        <v>1985</v>
      </c>
      <c r="F1216" s="26" t="s">
        <v>1986</v>
      </c>
      <c r="G1216" s="127"/>
      <c r="H1216" s="131"/>
    </row>
    <row r="1217" spans="1:8" ht="21.95" customHeight="1">
      <c r="A1217" s="14"/>
      <c r="B1217" s="14"/>
      <c r="C1217" s="16" t="s">
        <v>1165</v>
      </c>
      <c r="D1217" s="17">
        <f>VLOOKUP(A1214,'Neraca Unaudited SIMAK'!$A$2:$S$10004,3,FALSE)</f>
        <v>4751025</v>
      </c>
      <c r="E1217" s="25">
        <f>SUMIFS('Daftar Koreksi'!$H$5:$H$92,'Daftar Koreksi'!$D$5:$D$92,'0500'!A1214,'Daftar Koreksi'!$G$5:$G$92,"Persediaan",'Daftar Koreksi'!$H$5:$H$92,"&gt;0")</f>
        <v>0</v>
      </c>
      <c r="F1217" s="25">
        <f>SUMIFS('Daftar Koreksi'!$H$5:$H$92,'Daftar Koreksi'!$D$5:$D$92,'0500'!A1214,'Daftar Koreksi'!$G$5:$G$92,"Persediaan",'Daftar Koreksi'!$H$5:$H$92,"&lt;0")-SUMIFS('Daftar Koreksi'!$H$5:$H$92,'Daftar Koreksi'!$D$5:$D$92,'0500'!A1214,'Daftar Koreksi'!$G$5:$G$92,"Persediaan",'Daftar Koreksi'!$H$5:$H$92,"&lt;0")-SUMIFS('Daftar Koreksi'!$H$5:$H$92,'Daftar Koreksi'!$D$5:$D$92,'0500'!A1214,'Daftar Koreksi'!$G$5:$G$92,"Persediaan",'Daftar Koreksi'!$H$5:$H$92,"&lt;0")</f>
        <v>0</v>
      </c>
      <c r="G1217" s="17">
        <f>D1217+E1217-F1217</f>
        <v>4751025</v>
      </c>
      <c r="H1217" s="121" t="str">
        <f>IF(ISNA(VLOOKUP(A1214,'Mutasi Neraca'!$A$3:$S$914,19,FALSE)),"-",VLOOKUP(A1214,'Mutasi Neraca'!$A$3:$S$914,19,FALSE))</f>
        <v>TP Koreksi Hibah No. 15</v>
      </c>
    </row>
    <row r="1218" spans="1:8" ht="21.95" customHeight="1">
      <c r="A1218" s="14"/>
      <c r="B1218" s="14"/>
      <c r="C1218" s="16" t="s">
        <v>1166</v>
      </c>
      <c r="D1218" s="17">
        <f>VLOOKUP(A1214,'Neraca Unaudited SIMAK'!$A$2:$S$10004,4,FALSE)</f>
        <v>223920000</v>
      </c>
      <c r="E1218" s="25">
        <f>SUMIFS('Daftar Koreksi'!$H$5:$H$92,'Daftar Koreksi'!$D$5:$D$92,'0500'!A1214,'Daftar Koreksi'!$G$5:$G$92,"Tanah",'Daftar Koreksi'!$H$5:$H$92,"&gt;0")</f>
        <v>64430434</v>
      </c>
      <c r="F1218" s="25">
        <f>SUMIFS('Daftar Koreksi'!$H$5:$H$92,'Daftar Koreksi'!$D$5:$D$92,'0500'!A1214,'Daftar Koreksi'!$G$5:$G$92,"Tanah",'Daftar Koreksi'!$H$5:$H$92,"&lt;0")-SUMIFS('Daftar Koreksi'!$H$5:$H$92,'Daftar Koreksi'!$D$5:$D$92,'0500'!A1214,'Daftar Koreksi'!$G$5:$G$92,"Tanah",'Daftar Koreksi'!$H$5:$H$92,"&lt;0")-SUMIFS('Daftar Koreksi'!$H$5:$H$92,'Daftar Koreksi'!$D$5:$D$92,'0500'!A1214,'Daftar Koreksi'!$G$5:$G$92,"Tanah",'Daftar Koreksi'!$H$5:$H$92,"&lt;0")</f>
        <v>0</v>
      </c>
      <c r="G1218" s="17">
        <f t="shared" ref="G1218:G1234" si="55">D1218+E1218-F1218</f>
        <v>288350434</v>
      </c>
      <c r="H1218" s="122"/>
    </row>
    <row r="1219" spans="1:8" ht="21.95" customHeight="1">
      <c r="A1219" s="14"/>
      <c r="B1219" s="14"/>
      <c r="C1219" s="16" t="s">
        <v>1167</v>
      </c>
      <c r="D1219" s="17">
        <f>VLOOKUP(A1214,'Neraca Unaudited SIMAK'!$A$2:$S$10004,5,FALSE)</f>
        <v>1101684912</v>
      </c>
      <c r="E1219" s="25">
        <f>SUMIFS('Daftar Koreksi'!$H$5:$H$92,'Daftar Koreksi'!$D$5:$D$92,'0500'!A1214,'Daftar Koreksi'!$G$5:$G$92,"Peralatan dan mesin",'Daftar Koreksi'!$H$5:$H$92,"&gt;0")</f>
        <v>0</v>
      </c>
      <c r="F1219" s="25">
        <f>SUMIFS('Daftar Koreksi'!$H$5:$H$92,'Daftar Koreksi'!$D$5:$D$92,'0500'!A1214,'Daftar Koreksi'!$G$5:$G$92,"Peralatan dan mesin",'Daftar Koreksi'!$H$5:$H$92,"&lt;0")-SUMIFS('Daftar Koreksi'!$H$5:$H$92,'Daftar Koreksi'!$D$5:$D$92,'0500'!A1214,'Daftar Koreksi'!$G$5:$G$92,"Peralatan dan mesin",'Daftar Koreksi'!$H$5:$H$92,"&lt;0")-SUMIFS('Daftar Koreksi'!$H$5:$H$92,'Daftar Koreksi'!$D$5:$D$92,'0500'!A1214,'Daftar Koreksi'!$G$5:$G$92,"Peralatan dan mesin",'Daftar Koreksi'!$H$5:$H$92,"&lt;0")</f>
        <v>0</v>
      </c>
      <c r="G1219" s="17">
        <f t="shared" si="55"/>
        <v>1101684912</v>
      </c>
      <c r="H1219" s="122"/>
    </row>
    <row r="1220" spans="1:8" ht="21.95" customHeight="1">
      <c r="A1220" s="14"/>
      <c r="B1220" s="14"/>
      <c r="C1220" s="16" t="s">
        <v>1168</v>
      </c>
      <c r="D1220" s="17">
        <f>VLOOKUP(A1214,'Neraca Unaudited SIMAK'!$A$2:$S$10004,6,FALSE)</f>
        <v>3625554900</v>
      </c>
      <c r="E1220" s="25">
        <f>SUMIFS('Daftar Koreksi'!$H$5:$H$92,'Daftar Koreksi'!$D$5:$D$92,'0500'!A1214,'Daftar Koreksi'!$G$5:$G$92,"Gedung dan Bangunan",'Daftar Koreksi'!$H$5:$H$92,"&gt;0")</f>
        <v>0</v>
      </c>
      <c r="F1220" s="25">
        <f>SUMIFS('Daftar Koreksi'!$H$5:$H$92,'Daftar Koreksi'!$D$5:$D$92,'0500'!A1214,'Daftar Koreksi'!$G$5:$G$92,"Gedung dan Bangunan",'Daftar Koreksi'!$H$5:$H$92,"&lt;0")-SUMIFS('Daftar Koreksi'!$H$5:$H$92,'Daftar Koreksi'!$D$5:$D$92,'0500'!A1214,'Daftar Koreksi'!$G$5:$G$92,"Gedung dan Bangunan",'Daftar Koreksi'!$H$5:$H$92,"&lt;0")-SUMIFS('Daftar Koreksi'!$H$5:$H$92,'Daftar Koreksi'!$D$5:$D$92,'0500'!A1214,'Daftar Koreksi'!$G$5:$G$92,"Gedung dan Bangunan",'Daftar Koreksi'!$H$5:$H$92,"&lt;0")</f>
        <v>0</v>
      </c>
      <c r="G1220" s="17">
        <f t="shared" si="55"/>
        <v>3625554900</v>
      </c>
      <c r="H1220" s="122"/>
    </row>
    <row r="1221" spans="1:8" ht="21.95" customHeight="1">
      <c r="A1221" s="14"/>
      <c r="B1221" s="14"/>
      <c r="C1221" s="16" t="s">
        <v>1169</v>
      </c>
      <c r="D1221" s="17">
        <f>VLOOKUP(A1214,'Neraca Unaudited SIMAK'!$A$2:$S$10004,7,FALSE)</f>
        <v>12500000</v>
      </c>
      <c r="E1221" s="25">
        <f>SUMIFS('Daftar Koreksi'!$H$5:$H$92,'Daftar Koreksi'!$D$5:$D$92,'0500'!A1214,'Daftar Koreksi'!$G$5:$G$92,"Jalan Irigasi Jaringan",'Daftar Koreksi'!$H$5:$H$92,"&gt;0")</f>
        <v>0</v>
      </c>
      <c r="F1221" s="25">
        <f>SUMIFS('Daftar Koreksi'!$H$5:$H$92,'Daftar Koreksi'!$D$5:$D$92,'0500'!A1214,'Daftar Koreksi'!$G$5:$G$92,"Jalan Irigasi Jaringan",'Daftar Koreksi'!$H$5:$H$92,"&lt;0")-SUMIFS('Daftar Koreksi'!$H$5:$H$92,'Daftar Koreksi'!$D$5:$D$92,'0500'!A1214,'Daftar Koreksi'!$G$5:$G$92,"Jalan Irigasi Jaringan",'Daftar Koreksi'!$H$5:$H$92,"&lt;0")-SUMIFS('Daftar Koreksi'!$H$5:$H$92,'Daftar Koreksi'!$D$5:$D$92,'0500'!A1214,'Daftar Koreksi'!$G$5:$G$92,"Jalan Irigasi Jaringan",'Daftar Koreksi'!$H$5:$H$92,"&lt;0")</f>
        <v>0</v>
      </c>
      <c r="G1221" s="17">
        <f t="shared" si="55"/>
        <v>12500000</v>
      </c>
      <c r="H1221" s="122"/>
    </row>
    <row r="1222" spans="1:8" ht="21.95" customHeight="1">
      <c r="A1222" s="14"/>
      <c r="B1222" s="14"/>
      <c r="C1222" s="16" t="s">
        <v>1170</v>
      </c>
      <c r="D1222" s="17">
        <f>VLOOKUP(A1214,'Neraca Unaudited SIMAK'!$A$2:$S$10004,8,FALSE)</f>
        <v>11929870</v>
      </c>
      <c r="E1222" s="25">
        <f>SUMIFS('Daftar Koreksi'!$H$5:$H$92,'Daftar Koreksi'!$D$5:$D$92,'0500'!A1214,'Daftar Koreksi'!$G$5:$G$92,"Aset Tetap Lainnya",'Daftar Koreksi'!$H$5:$H$92,"&gt;0")</f>
        <v>0</v>
      </c>
      <c r="F1222" s="25">
        <f>SUMIFS('Daftar Koreksi'!$H$5:$H$92,'Daftar Koreksi'!$D$5:$D$92,'0500'!A1214,'Daftar Koreksi'!$G$5:$G$92,"Aset Tetap Lainnya",'Daftar Koreksi'!$H$5:$H$92,"&lt;0")-SUMIFS('Daftar Koreksi'!$H$5:$H$92,'Daftar Koreksi'!$D$5:$D$92,'0500'!A1214,'Daftar Koreksi'!$G$5:$G$92,"Aset Tetap Lainnya",'Daftar Koreksi'!$H$5:$H$92,"&lt;0")-SUMIFS('Daftar Koreksi'!$H$5:$H$92,'Daftar Koreksi'!$D$5:$D$92,'0500'!A1214,'Daftar Koreksi'!$G$5:$G$92,"Aset Tetap Lainnya",'Daftar Koreksi'!$H$5:$H$92,"&lt;0")</f>
        <v>0</v>
      </c>
      <c r="G1222" s="17">
        <f t="shared" si="55"/>
        <v>11929870</v>
      </c>
      <c r="H1222" s="122"/>
    </row>
    <row r="1223" spans="1:8" ht="21.95" customHeight="1">
      <c r="A1223" s="14"/>
      <c r="B1223" s="14"/>
      <c r="C1223" s="16" t="s">
        <v>1171</v>
      </c>
      <c r="D1223" s="17">
        <f>VLOOKUP(A1214,'Neraca Unaudited SIMAK'!$A$2:$S$10004,9,FALSE)</f>
        <v>0</v>
      </c>
      <c r="E1223" s="25">
        <f>SUMIFS('Daftar Koreksi'!$H$5:$H$92,'Daftar Koreksi'!$D$5:$D$92,'0500'!A1214,'Daftar Koreksi'!$G$5:$G$92,"Kontruksi Dalam Pengerjaan",'Daftar Koreksi'!$H$5:$H$92,"&gt;0")</f>
        <v>0</v>
      </c>
      <c r="F1223" s="25">
        <f>SUMIFS('Daftar Koreksi'!$H$5:$H$92,'Daftar Koreksi'!$D$5:$D$92,'0500'!A1214,'Daftar Koreksi'!$G$5:$G$92,"Kontruksi Dalam Pengerjaan",'Daftar Koreksi'!$H$5:$H$92,"&lt;0")-SUMIFS('Daftar Koreksi'!$H$5:$H$92,'Daftar Koreksi'!$D$5:$D$92,'0500'!A1214,'Daftar Koreksi'!$G$5:$G$92,"Kontruksi Dalam Pengerjaan",'Daftar Koreksi'!$H$5:$H$92,"&lt;0")-SUMIFS('Daftar Koreksi'!$H$5:$H$92,'Daftar Koreksi'!$D$5:$D$92,'0500'!A1214,'Daftar Koreksi'!$G$5:$G$92,"Kontruksi Dalam Pengerjaan",'Daftar Koreksi'!$H$5:$H$92,"&lt;0")</f>
        <v>0</v>
      </c>
      <c r="G1223" s="17">
        <f t="shared" si="55"/>
        <v>0</v>
      </c>
      <c r="H1223" s="122"/>
    </row>
    <row r="1224" spans="1:8" ht="21.95" customHeight="1">
      <c r="A1224" s="14"/>
      <c r="B1224" s="14"/>
      <c r="C1224" s="16" t="s">
        <v>1172</v>
      </c>
      <c r="D1224" s="17">
        <f>VLOOKUP(A1214,'Neraca Unaudited SIMAK'!$A$2:$S$10004,10,FALSE)</f>
        <v>0</v>
      </c>
      <c r="E1224" s="25">
        <f>SUMIFS('Daftar Koreksi'!$H$5:$H$92,'Daftar Koreksi'!$D$5:$D$92,'0500'!A1214,'Daftar Koreksi'!$G$5:$G$92,"Aset Tak Berwujud",'Daftar Koreksi'!$H$5:$H$92,"&gt;0")</f>
        <v>0</v>
      </c>
      <c r="F1224" s="25">
        <f>SUMIFS('Daftar Koreksi'!$H$5:$H$92,'Daftar Koreksi'!$D$5:$D$92,'0500'!A1214,'Daftar Koreksi'!$G$5:$G$92,"Aset Tak Berwujud",'Daftar Koreksi'!$H$5:$H$92,"&lt;0")-SUMIFS('Daftar Koreksi'!$H$5:$H$92,'Daftar Koreksi'!$D$5:$D$92,'0500'!A1214,'Daftar Koreksi'!$G$5:$G$92,"Aset Tak Berwujud",'Daftar Koreksi'!$H$5:$H$92,"&lt;0")-SUMIFS('Daftar Koreksi'!$H$5:$H$92,'Daftar Koreksi'!$D$5:$D$92,'0500'!A1214,'Daftar Koreksi'!$G$5:$G$92,"Aset Tak Berwujud",'Daftar Koreksi'!$H$5:$H$92,"&lt;0")</f>
        <v>0</v>
      </c>
      <c r="G1224" s="17">
        <f t="shared" si="55"/>
        <v>0</v>
      </c>
      <c r="H1224" s="122"/>
    </row>
    <row r="1225" spans="1:8" ht="21.95" customHeight="1">
      <c r="A1225" s="14"/>
      <c r="B1225" s="14"/>
      <c r="C1225" s="16" t="s">
        <v>1173</v>
      </c>
      <c r="D1225" s="17">
        <f>VLOOKUP(A1214,'Neraca Unaudited SIMAK'!$A$2:$S$10004,11,FALSE)</f>
        <v>62618050</v>
      </c>
      <c r="E1225" s="25">
        <f>SUMIFS('Daftar Koreksi'!$H$5:$H$92,'Daftar Koreksi'!$D$5:$D$92,'0500'!A1214,'Daftar Koreksi'!$G$5:$G$92,"Aset Henti Guna",'Daftar Koreksi'!$H$5:$H$92,"&gt;0")</f>
        <v>0</v>
      </c>
      <c r="F1225" s="25">
        <f>SUMIFS('Daftar Koreksi'!$H$5:$H$92,'Daftar Koreksi'!$D$5:$D$92,'0500'!A1214,'Daftar Koreksi'!$G$5:$G$92,"Aset Henti Guna",'Daftar Koreksi'!$H$5:$H$92,"&lt;0")-SUMIFS('Daftar Koreksi'!$H$5:$H$92,'Daftar Koreksi'!$D$5:$D$92,'0500'!A1214,'Daftar Koreksi'!$G$5:$G$92,"Aset Henti Guna",'Daftar Koreksi'!$H$5:$H$92,"&lt;0")-SUMIFS('Daftar Koreksi'!$H$5:$H$92,'Daftar Koreksi'!$D$5:$D$92,'0500'!A1214,'Daftar Koreksi'!$G$5:$G$92,"Aset Henti Guna",'Daftar Koreksi'!$H$5:$H$92,"&lt;0")</f>
        <v>0</v>
      </c>
      <c r="G1225" s="17">
        <f t="shared" si="55"/>
        <v>62618050</v>
      </c>
      <c r="H1225" s="122"/>
    </row>
    <row r="1226" spans="1:8" ht="21.95" customHeight="1">
      <c r="A1226" s="14"/>
      <c r="B1226" s="14"/>
      <c r="C1226" s="18" t="s">
        <v>2093</v>
      </c>
      <c r="D1226" s="19">
        <f>VLOOKUP(A1214,'Neraca Unaudited SIMAK'!$A$2:$S$10004,12,FALSE)</f>
        <v>5042958757</v>
      </c>
      <c r="E1226" s="19">
        <f>SUM(E1217:E1225)</f>
        <v>64430434</v>
      </c>
      <c r="F1226" s="19">
        <f>SUM(F1217:F1225)</f>
        <v>0</v>
      </c>
      <c r="G1226" s="19">
        <f t="shared" si="55"/>
        <v>5107389191</v>
      </c>
      <c r="H1226" s="122"/>
    </row>
    <row r="1227" spans="1:8" ht="21.95" customHeight="1">
      <c r="A1227" s="14"/>
      <c r="B1227" s="14"/>
      <c r="C1227" s="16" t="s">
        <v>2087</v>
      </c>
      <c r="D1227" s="17">
        <f>VLOOKUP(A1214,'Neraca Unaudited SIMAK'!$A$2:$S$10004,13,FALSE)</f>
        <v>-988975554</v>
      </c>
      <c r="E1227" s="25">
        <f>SUMIFS('Daftar Koreksi'!$I$5:$I$92,'Daftar Koreksi'!$D$5:$D$92,'0500'!A1214,'Daftar Koreksi'!$G$5:$G$92,"Peralatan dan mesin",'Daftar Koreksi'!$I$5:$I$92,"&gt;0")</f>
        <v>0</v>
      </c>
      <c r="F1227" s="25">
        <f>SUMIFS('Daftar Koreksi'!$I$5:$I$92,'Daftar Koreksi'!$D$5:$D$92,'0500'!A1214,'Daftar Koreksi'!$G$5:$G$92,"Peralatan dan mesin",'Daftar Koreksi'!$I$5:$I$92,"&lt;0")-SUMIFS('Daftar Koreksi'!$I$5:$I$92,'Daftar Koreksi'!$D$5:$D$92,'0500'!A1214,'Daftar Koreksi'!$G$5:$G$92,"Peralatan dan mesin",'Daftar Koreksi'!$I$5:$I$92,"&lt;0")-SUMIFS('Daftar Koreksi'!$I$5:$I$92,'Daftar Koreksi'!$D$5:$D$92,'0500'!A1214,'Daftar Koreksi'!$G$5:$G$92,"Peralatan dan mesin",'Daftar Koreksi'!$I$5:$I$92,"&lt;0")</f>
        <v>0</v>
      </c>
      <c r="G1227" s="17">
        <f t="shared" si="55"/>
        <v>-988975554</v>
      </c>
      <c r="H1227" s="122"/>
    </row>
    <row r="1228" spans="1:8" ht="21.95" customHeight="1">
      <c r="A1228" s="14"/>
      <c r="B1228" s="14"/>
      <c r="C1228" s="16" t="s">
        <v>2088</v>
      </c>
      <c r="D1228" s="17">
        <f>VLOOKUP(A1214,'Neraca Unaudited SIMAK'!$A$2:$S$10004,14,FALSE)</f>
        <v>-784071099</v>
      </c>
      <c r="E1228" s="25">
        <f>SUMIFS('Daftar Koreksi'!$I$5:$I$92,'Daftar Koreksi'!$D$5:$D$92,'0500'!A1214,'Daftar Koreksi'!$G$5:$G$92,"Gedung dan Bangunan",'Daftar Koreksi'!$I$5:$I$92,"&gt;0")</f>
        <v>0</v>
      </c>
      <c r="F1228" s="25">
        <f>SUMIFS('Daftar Koreksi'!$I$5:$I$92,'Daftar Koreksi'!$D$5:$D$92,'0500'!A1214,'Daftar Koreksi'!$G$5:$G$92,"Gedung dan Bangunan",'Daftar Koreksi'!$I$5:$I$92,"&lt;0")-SUMIFS('Daftar Koreksi'!$I$5:$I$92,'Daftar Koreksi'!$D$5:$D$92,'0500'!A1214,'Daftar Koreksi'!$G$5:$G$92,"Gedung dan Bangunan",'Daftar Koreksi'!$I$5:$I$92,"&lt;0")-SUMIFS('Daftar Koreksi'!$I$5:$I$92,'Daftar Koreksi'!$D$5:$D$92,'0500'!A1214,'Daftar Koreksi'!$G$5:$G$92,"Gedung dan Bangunan",'Daftar Koreksi'!$I$5:$I$92,"&lt;0")</f>
        <v>0</v>
      </c>
      <c r="G1228" s="17">
        <f t="shared" si="55"/>
        <v>-784071099</v>
      </c>
      <c r="H1228" s="122"/>
    </row>
    <row r="1229" spans="1:8" ht="21.95" customHeight="1">
      <c r="A1229" s="14"/>
      <c r="B1229" s="14"/>
      <c r="C1229" s="16" t="s">
        <v>2089</v>
      </c>
      <c r="D1229" s="17">
        <f>VLOOKUP(A1214,'Neraca Unaudited SIMAK'!$A$2:$S$10004,15,FALSE)</f>
        <v>-12500000</v>
      </c>
      <c r="E1229" s="25">
        <f>SUMIFS('Daftar Koreksi'!$I$5:$I$92,'Daftar Koreksi'!$D$5:$D$92,'0500'!A1214,'Daftar Koreksi'!$G$5:$G$92,"Jalan Irigasi Jaringan",'Daftar Koreksi'!$I$5:$I$92,"&gt;0")</f>
        <v>0</v>
      </c>
      <c r="F1229" s="25">
        <f>SUMIFS('Daftar Koreksi'!$I$5:$I$92,'Daftar Koreksi'!$D$5:$D$92,'0500'!A1214,'Daftar Koreksi'!$G$5:$G$92,"Jalan Irigasi Jaringan",'Daftar Koreksi'!$I$5:$I$92,"&lt;0")-SUMIFS('Daftar Koreksi'!$I$5:$I$92,'Daftar Koreksi'!$D$5:$D$92,'0500'!A1214,'Daftar Koreksi'!$G$5:$G$92,"Jalan Irigasi Jaringan",'Daftar Koreksi'!$I$5:$I$92,"&lt;0")-SUMIFS('Daftar Koreksi'!$I$5:$I$92,'Daftar Koreksi'!$D$5:$D$92,'0500'!A1214,'Daftar Koreksi'!$G$5:$G$92,"Jalan Irigasi Jaringan",'Daftar Koreksi'!$I$5:$I$92,"&lt;0")</f>
        <v>0</v>
      </c>
      <c r="G1229" s="17">
        <f t="shared" si="55"/>
        <v>-12500000</v>
      </c>
      <c r="H1229" s="122"/>
    </row>
    <row r="1230" spans="1:8" ht="21.95" customHeight="1">
      <c r="A1230" s="14"/>
      <c r="B1230" s="14"/>
      <c r="C1230" s="16" t="s">
        <v>2090</v>
      </c>
      <c r="D1230" s="17">
        <f>VLOOKUP(A1214,'Neraca Unaudited SIMAK'!$A$2:$S$10004,16,FALSE)</f>
        <v>0</v>
      </c>
      <c r="E1230" s="25">
        <f>SUMIFS('Daftar Koreksi'!$I$5:$I$92,'Daftar Koreksi'!$D$5:$D$92,'0500'!A1214,'Daftar Koreksi'!$G$5:$G$92,"Aset Tetap Lainnya",'Daftar Koreksi'!$I$5:$I$92,"&gt;0")</f>
        <v>0</v>
      </c>
      <c r="F1230" s="25">
        <f>SUMIFS('Daftar Koreksi'!$I$5:$I$92,'Daftar Koreksi'!$D$5:$D$92,'0500'!A1214,'Daftar Koreksi'!$G$5:$G$92,"Aset Tetap Lainnya",'Daftar Koreksi'!$I$5:$I$92,"&lt;0")-SUMIFS('Daftar Koreksi'!$I$5:$I$92,'Daftar Koreksi'!$D$5:$D$92,'0500'!A1214,'Daftar Koreksi'!$G$5:$G$92,"Aset Tetap Lainnya",'Daftar Koreksi'!$I$5:$I$92,"&lt;0")-SUMIFS('Daftar Koreksi'!$I$5:$I$92,'Daftar Koreksi'!$D$5:$D$92,'0500'!A1214,'Daftar Koreksi'!$G$5:$G$92,"Aset Tetap Lainnya",'Daftar Koreksi'!$I$5:$I$92,"&lt;0")</f>
        <v>0</v>
      </c>
      <c r="G1230" s="17">
        <f t="shared" si="55"/>
        <v>0</v>
      </c>
      <c r="H1230" s="122"/>
    </row>
    <row r="1231" spans="1:8" ht="21.95" customHeight="1">
      <c r="A1231" s="14"/>
      <c r="B1231" s="14"/>
      <c r="C1231" s="16" t="s">
        <v>2020</v>
      </c>
      <c r="D1231" s="17">
        <f>VLOOKUP(A1214,'Neraca Unaudited SIMAK'!$A$2:$S$10004,17,FALSE)</f>
        <v>-62618050</v>
      </c>
      <c r="E1231" s="25">
        <f>SUMIFS('Daftar Koreksi'!$I$5:$I$92,'Daftar Koreksi'!$D$5:$D$92,'0500'!A1214,'Daftar Koreksi'!$G$5:$G$92,"Aset Henti Guna",'Daftar Koreksi'!$I$5:$I$92,"&gt;0")</f>
        <v>0</v>
      </c>
      <c r="F1231" s="25">
        <f>SUMIFS('Daftar Koreksi'!$I$5:$I$92,'Daftar Koreksi'!$D$5:$D$92,'0500'!A1214,'Daftar Koreksi'!$G$5:$G$92,"Aset Henti Guna",'Daftar Koreksi'!$I$5:$I$92,"&lt;0")-SUMIFS('Daftar Koreksi'!$I$5:$I$92,'Daftar Koreksi'!$D$5:$D$92,'0500'!A1214,'Daftar Koreksi'!$G$5:$G$92,"Aset Henti Guna",'Daftar Koreksi'!$I$5:$I$92,"&lt;0")-SUMIFS('Daftar Koreksi'!$I$5:$I$92,'Daftar Koreksi'!$D$5:$D$92,'0500'!A1214,'Daftar Koreksi'!$G$5:$G$92,"Aset Henti Guna",'Daftar Koreksi'!$I$5:$I$92,"&lt;0")</f>
        <v>0</v>
      </c>
      <c r="G1231" s="17">
        <f t="shared" si="55"/>
        <v>-62618050</v>
      </c>
      <c r="H1231" s="122"/>
    </row>
    <row r="1232" spans="1:8" ht="21.95" customHeight="1">
      <c r="A1232" s="14"/>
      <c r="B1232" s="14"/>
      <c r="C1232" s="18" t="s">
        <v>2094</v>
      </c>
      <c r="D1232" s="19">
        <f>SUM(D1227:D1231)</f>
        <v>-1848164703</v>
      </c>
      <c r="E1232" s="19">
        <f>SUM(E1227:E1231)</f>
        <v>0</v>
      </c>
      <c r="F1232" s="19">
        <f>SUM(F1227:F1231)</f>
        <v>0</v>
      </c>
      <c r="G1232" s="19">
        <f t="shared" si="55"/>
        <v>-1848164703</v>
      </c>
      <c r="H1232" s="122"/>
    </row>
    <row r="1233" spans="1:8" ht="21.95" customHeight="1">
      <c r="A1233" s="14"/>
      <c r="B1233" s="14"/>
      <c r="C1233" s="18" t="s">
        <v>2095</v>
      </c>
      <c r="D1233" s="19">
        <f>VLOOKUP(A1214,'Neraca Unaudited SIMAK'!$A$2:$S$10004,18,FALSE)</f>
        <v>3194794054</v>
      </c>
      <c r="E1233" s="19">
        <f>E1232+E1226</f>
        <v>64430434</v>
      </c>
      <c r="F1233" s="19">
        <f>F1232+F1226</f>
        <v>0</v>
      </c>
      <c r="G1233" s="19">
        <f t="shared" si="55"/>
        <v>3259224488</v>
      </c>
      <c r="H1233" s="122"/>
    </row>
    <row r="1234" spans="1:8" ht="21.95" customHeight="1">
      <c r="A1234" s="14"/>
      <c r="B1234" s="14"/>
      <c r="C1234" s="16" t="s">
        <v>2091</v>
      </c>
      <c r="D1234" s="17">
        <f>VLOOKUP(A1214,'Neraca Unaudited SIMAK'!$A$2:$S$10004,19,FALSE)</f>
        <v>0</v>
      </c>
      <c r="E1234" s="25"/>
      <c r="F1234" s="25"/>
      <c r="G1234" s="17">
        <f t="shared" si="55"/>
        <v>0</v>
      </c>
      <c r="H1234" s="123"/>
    </row>
    <row r="1236" spans="1:8" ht="19.5" customHeight="1">
      <c r="A1236" s="11" t="str">
        <f>O57</f>
        <v>005010500401457000KD</v>
      </c>
      <c r="B1236" s="11" t="str">
        <f>P57</f>
        <v>PA. Probolinggo</v>
      </c>
      <c r="C1236" s="12" t="str">
        <f>A1236&amp;" "&amp;B1236</f>
        <v>005010500401457000KD PA. Probolinggo</v>
      </c>
      <c r="D1236" s="13"/>
      <c r="E1236" s="13"/>
      <c r="F1236" s="13"/>
      <c r="G1236" s="13"/>
      <c r="H1236" s="11"/>
    </row>
    <row r="1237" spans="1:8" ht="21.95" customHeight="1">
      <c r="A1237" s="14"/>
      <c r="B1237" s="14"/>
      <c r="C1237" s="124" t="s">
        <v>1982</v>
      </c>
      <c r="D1237" s="126" t="s">
        <v>1983</v>
      </c>
      <c r="E1237" s="132" t="s">
        <v>1984</v>
      </c>
      <c r="F1237" s="132"/>
      <c r="G1237" s="126" t="s">
        <v>1987</v>
      </c>
      <c r="H1237" s="130" t="s">
        <v>1175</v>
      </c>
    </row>
    <row r="1238" spans="1:8" ht="21.95" customHeight="1">
      <c r="A1238" s="14"/>
      <c r="B1238" s="14"/>
      <c r="C1238" s="125"/>
      <c r="D1238" s="127"/>
      <c r="E1238" s="26" t="s">
        <v>1985</v>
      </c>
      <c r="F1238" s="26" t="s">
        <v>1986</v>
      </c>
      <c r="G1238" s="127"/>
      <c r="H1238" s="131"/>
    </row>
    <row r="1239" spans="1:8" ht="21.95" customHeight="1">
      <c r="A1239" s="14"/>
      <c r="B1239" s="14"/>
      <c r="C1239" s="16" t="s">
        <v>1165</v>
      </c>
      <c r="D1239" s="17">
        <f>VLOOKUP(A1236,'Neraca Unaudited SIMAK'!$A$2:$S$10004,3,FALSE)</f>
        <v>175000</v>
      </c>
      <c r="E1239" s="25">
        <f>SUMIFS('Daftar Koreksi'!$H$5:$H$92,'Daftar Koreksi'!$D$5:$D$92,'0500'!A1236,'Daftar Koreksi'!$G$5:$G$92,"Persediaan",'Daftar Koreksi'!$H$5:$H$92,"&gt;0")</f>
        <v>0</v>
      </c>
      <c r="F1239" s="25">
        <f>SUMIFS('Daftar Koreksi'!$H$5:$H$92,'Daftar Koreksi'!$D$5:$D$92,'0500'!A1236,'Daftar Koreksi'!$G$5:$G$92,"Persediaan",'Daftar Koreksi'!$H$5:$H$92,"&lt;0")-SUMIFS('Daftar Koreksi'!$H$5:$H$92,'Daftar Koreksi'!$D$5:$D$92,'0500'!A1236,'Daftar Koreksi'!$G$5:$G$92,"Persediaan",'Daftar Koreksi'!$H$5:$H$92,"&lt;0")-SUMIFS('Daftar Koreksi'!$H$5:$H$92,'Daftar Koreksi'!$D$5:$D$92,'0500'!A1236,'Daftar Koreksi'!$G$5:$G$92,"Persediaan",'Daftar Koreksi'!$H$5:$H$92,"&lt;0")</f>
        <v>0</v>
      </c>
      <c r="G1239" s="17">
        <f>D1239+E1239-F1239</f>
        <v>175000</v>
      </c>
      <c r="H1239" s="121" t="str">
        <f>IF(ISNA(VLOOKUP(A1236,'Mutasi Neraca'!$A$3:$S$914,19,FALSE)),"-",VLOOKUP(A1236,'Mutasi Neraca'!$A$3:$S$914,19,FALSE))</f>
        <v>-</v>
      </c>
    </row>
    <row r="1240" spans="1:8" ht="21.95" customHeight="1">
      <c r="A1240" s="14"/>
      <c r="B1240" s="14"/>
      <c r="C1240" s="16" t="s">
        <v>1166</v>
      </c>
      <c r="D1240" s="17">
        <f>VLOOKUP(A1236,'Neraca Unaudited SIMAK'!$A$2:$S$10004,4,FALSE)</f>
        <v>2367591000</v>
      </c>
      <c r="E1240" s="25">
        <f>SUMIFS('Daftar Koreksi'!$H$5:$H$92,'Daftar Koreksi'!$D$5:$D$92,'0500'!A1236,'Daftar Koreksi'!$G$5:$G$92,"Tanah",'Daftar Koreksi'!$H$5:$H$92,"&gt;0")</f>
        <v>0</v>
      </c>
      <c r="F1240" s="25">
        <f>SUMIFS('Daftar Koreksi'!$H$5:$H$92,'Daftar Koreksi'!$D$5:$D$92,'0500'!A1236,'Daftar Koreksi'!$G$5:$G$92,"Tanah",'Daftar Koreksi'!$H$5:$H$92,"&lt;0")-SUMIFS('Daftar Koreksi'!$H$5:$H$92,'Daftar Koreksi'!$D$5:$D$92,'0500'!A1236,'Daftar Koreksi'!$G$5:$G$92,"Tanah",'Daftar Koreksi'!$H$5:$H$92,"&lt;0")-SUMIFS('Daftar Koreksi'!$H$5:$H$92,'Daftar Koreksi'!$D$5:$D$92,'0500'!A1236,'Daftar Koreksi'!$G$5:$G$92,"Tanah",'Daftar Koreksi'!$H$5:$H$92,"&lt;0")</f>
        <v>0</v>
      </c>
      <c r="G1240" s="17">
        <f t="shared" ref="G1240:G1256" si="56">D1240+E1240-F1240</f>
        <v>2367591000</v>
      </c>
      <c r="H1240" s="122"/>
    </row>
    <row r="1241" spans="1:8" ht="21.95" customHeight="1">
      <c r="A1241" s="14"/>
      <c r="B1241" s="14"/>
      <c r="C1241" s="16" t="s">
        <v>1167</v>
      </c>
      <c r="D1241" s="17">
        <f>VLOOKUP(A1236,'Neraca Unaudited SIMAK'!$A$2:$S$10004,5,FALSE)</f>
        <v>1642963264</v>
      </c>
      <c r="E1241" s="25">
        <f>SUMIFS('Daftar Koreksi'!$H$5:$H$92,'Daftar Koreksi'!$D$5:$D$92,'0500'!A1236,'Daftar Koreksi'!$G$5:$G$92,"Peralatan dan mesin",'Daftar Koreksi'!$H$5:$H$92,"&gt;0")</f>
        <v>0</v>
      </c>
      <c r="F1241" s="25">
        <f>SUMIFS('Daftar Koreksi'!$H$5:$H$92,'Daftar Koreksi'!$D$5:$D$92,'0500'!A1236,'Daftar Koreksi'!$G$5:$G$92,"Peralatan dan mesin",'Daftar Koreksi'!$H$5:$H$92,"&lt;0")-SUMIFS('Daftar Koreksi'!$H$5:$H$92,'Daftar Koreksi'!$D$5:$D$92,'0500'!A1236,'Daftar Koreksi'!$G$5:$G$92,"Peralatan dan mesin",'Daftar Koreksi'!$H$5:$H$92,"&lt;0")-SUMIFS('Daftar Koreksi'!$H$5:$H$92,'Daftar Koreksi'!$D$5:$D$92,'0500'!A1236,'Daftar Koreksi'!$G$5:$G$92,"Peralatan dan mesin",'Daftar Koreksi'!$H$5:$H$92,"&lt;0")</f>
        <v>0</v>
      </c>
      <c r="G1241" s="17">
        <f t="shared" si="56"/>
        <v>1642963264</v>
      </c>
      <c r="H1241" s="122"/>
    </row>
    <row r="1242" spans="1:8" ht="21.95" customHeight="1">
      <c r="A1242" s="14"/>
      <c r="B1242" s="14"/>
      <c r="C1242" s="16" t="s">
        <v>1168</v>
      </c>
      <c r="D1242" s="17">
        <f>VLOOKUP(A1236,'Neraca Unaudited SIMAK'!$A$2:$S$10004,6,FALSE)</f>
        <v>8244384600</v>
      </c>
      <c r="E1242" s="25">
        <f>SUMIFS('Daftar Koreksi'!$H$5:$H$92,'Daftar Koreksi'!$D$5:$D$92,'0500'!A1236,'Daftar Koreksi'!$G$5:$G$92,"Gedung dan Bangunan",'Daftar Koreksi'!$H$5:$H$92,"&gt;0")</f>
        <v>0</v>
      </c>
      <c r="F1242" s="25">
        <f>SUMIFS('Daftar Koreksi'!$H$5:$H$92,'Daftar Koreksi'!$D$5:$D$92,'0500'!A1236,'Daftar Koreksi'!$G$5:$G$92,"Gedung dan Bangunan",'Daftar Koreksi'!$H$5:$H$92,"&lt;0")-SUMIFS('Daftar Koreksi'!$H$5:$H$92,'Daftar Koreksi'!$D$5:$D$92,'0500'!A1236,'Daftar Koreksi'!$G$5:$G$92,"Gedung dan Bangunan",'Daftar Koreksi'!$H$5:$H$92,"&lt;0")-SUMIFS('Daftar Koreksi'!$H$5:$H$92,'Daftar Koreksi'!$D$5:$D$92,'0500'!A1236,'Daftar Koreksi'!$G$5:$G$92,"Gedung dan Bangunan",'Daftar Koreksi'!$H$5:$H$92,"&lt;0")</f>
        <v>0</v>
      </c>
      <c r="G1242" s="17">
        <f t="shared" si="56"/>
        <v>8244384600</v>
      </c>
      <c r="H1242" s="122"/>
    </row>
    <row r="1243" spans="1:8" ht="21.95" customHeight="1">
      <c r="A1243" s="14"/>
      <c r="B1243" s="14"/>
      <c r="C1243" s="16" t="s">
        <v>1169</v>
      </c>
      <c r="D1243" s="17">
        <f>VLOOKUP(A1236,'Neraca Unaudited SIMAK'!$A$2:$S$10004,7,FALSE)</f>
        <v>0</v>
      </c>
      <c r="E1243" s="25">
        <f>SUMIFS('Daftar Koreksi'!$H$5:$H$92,'Daftar Koreksi'!$D$5:$D$92,'0500'!A1236,'Daftar Koreksi'!$G$5:$G$92,"Jalan Irigasi Jaringan",'Daftar Koreksi'!$H$5:$H$92,"&gt;0")</f>
        <v>0</v>
      </c>
      <c r="F1243" s="25">
        <f>SUMIFS('Daftar Koreksi'!$H$5:$H$92,'Daftar Koreksi'!$D$5:$D$92,'0500'!A1236,'Daftar Koreksi'!$G$5:$G$92,"Jalan Irigasi Jaringan",'Daftar Koreksi'!$H$5:$H$92,"&lt;0")-SUMIFS('Daftar Koreksi'!$H$5:$H$92,'Daftar Koreksi'!$D$5:$D$92,'0500'!A1236,'Daftar Koreksi'!$G$5:$G$92,"Jalan Irigasi Jaringan",'Daftar Koreksi'!$H$5:$H$92,"&lt;0")-SUMIFS('Daftar Koreksi'!$H$5:$H$92,'Daftar Koreksi'!$D$5:$D$92,'0500'!A1236,'Daftar Koreksi'!$G$5:$G$92,"Jalan Irigasi Jaringan",'Daftar Koreksi'!$H$5:$H$92,"&lt;0")</f>
        <v>0</v>
      </c>
      <c r="G1243" s="17">
        <f t="shared" si="56"/>
        <v>0</v>
      </c>
      <c r="H1243" s="122"/>
    </row>
    <row r="1244" spans="1:8" ht="21.95" customHeight="1">
      <c r="A1244" s="14"/>
      <c r="B1244" s="14"/>
      <c r="C1244" s="16" t="s">
        <v>1170</v>
      </c>
      <c r="D1244" s="17">
        <f>VLOOKUP(A1236,'Neraca Unaudited SIMAK'!$A$2:$S$10004,8,FALSE)</f>
        <v>23191078</v>
      </c>
      <c r="E1244" s="25">
        <f>SUMIFS('Daftar Koreksi'!$H$5:$H$92,'Daftar Koreksi'!$D$5:$D$92,'0500'!A1236,'Daftar Koreksi'!$G$5:$G$92,"Aset Tetap Lainnya",'Daftar Koreksi'!$H$5:$H$92,"&gt;0")</f>
        <v>0</v>
      </c>
      <c r="F1244" s="25">
        <f>SUMIFS('Daftar Koreksi'!$H$5:$H$92,'Daftar Koreksi'!$D$5:$D$92,'0500'!A1236,'Daftar Koreksi'!$G$5:$G$92,"Aset Tetap Lainnya",'Daftar Koreksi'!$H$5:$H$92,"&lt;0")-SUMIFS('Daftar Koreksi'!$H$5:$H$92,'Daftar Koreksi'!$D$5:$D$92,'0500'!A1236,'Daftar Koreksi'!$G$5:$G$92,"Aset Tetap Lainnya",'Daftar Koreksi'!$H$5:$H$92,"&lt;0")-SUMIFS('Daftar Koreksi'!$H$5:$H$92,'Daftar Koreksi'!$D$5:$D$92,'0500'!A1236,'Daftar Koreksi'!$G$5:$G$92,"Aset Tetap Lainnya",'Daftar Koreksi'!$H$5:$H$92,"&lt;0")</f>
        <v>0</v>
      </c>
      <c r="G1244" s="17">
        <f t="shared" si="56"/>
        <v>23191078</v>
      </c>
      <c r="H1244" s="122"/>
    </row>
    <row r="1245" spans="1:8" ht="21.95" customHeight="1">
      <c r="A1245" s="14"/>
      <c r="B1245" s="14"/>
      <c r="C1245" s="16" t="s">
        <v>1171</v>
      </c>
      <c r="D1245" s="17">
        <f>VLOOKUP(A1236,'Neraca Unaudited SIMAK'!$A$2:$S$10004,9,FALSE)</f>
        <v>0</v>
      </c>
      <c r="E1245" s="25">
        <f>SUMIFS('Daftar Koreksi'!$H$5:$H$92,'Daftar Koreksi'!$D$5:$D$92,'0500'!A1236,'Daftar Koreksi'!$G$5:$G$92,"Kontruksi Dalam Pengerjaan",'Daftar Koreksi'!$H$5:$H$92,"&gt;0")</f>
        <v>0</v>
      </c>
      <c r="F1245" s="25">
        <f>SUMIFS('Daftar Koreksi'!$H$5:$H$92,'Daftar Koreksi'!$D$5:$D$92,'0500'!A1236,'Daftar Koreksi'!$G$5:$G$92,"Kontruksi Dalam Pengerjaan",'Daftar Koreksi'!$H$5:$H$92,"&lt;0")-SUMIFS('Daftar Koreksi'!$H$5:$H$92,'Daftar Koreksi'!$D$5:$D$92,'0500'!A1236,'Daftar Koreksi'!$G$5:$G$92,"Kontruksi Dalam Pengerjaan",'Daftar Koreksi'!$H$5:$H$92,"&lt;0")-SUMIFS('Daftar Koreksi'!$H$5:$H$92,'Daftar Koreksi'!$D$5:$D$92,'0500'!A1236,'Daftar Koreksi'!$G$5:$G$92,"Kontruksi Dalam Pengerjaan",'Daftar Koreksi'!$H$5:$H$92,"&lt;0")</f>
        <v>0</v>
      </c>
      <c r="G1245" s="17">
        <f t="shared" si="56"/>
        <v>0</v>
      </c>
      <c r="H1245" s="122"/>
    </row>
    <row r="1246" spans="1:8" ht="21.95" customHeight="1">
      <c r="A1246" s="14"/>
      <c r="B1246" s="14"/>
      <c r="C1246" s="16" t="s">
        <v>1172</v>
      </c>
      <c r="D1246" s="17">
        <f>VLOOKUP(A1236,'Neraca Unaudited SIMAK'!$A$2:$S$10004,10,FALSE)</f>
        <v>0</v>
      </c>
      <c r="E1246" s="25">
        <f>SUMIFS('Daftar Koreksi'!$H$5:$H$92,'Daftar Koreksi'!$D$5:$D$92,'0500'!A1236,'Daftar Koreksi'!$G$5:$G$92,"Aset Tak Berwujud",'Daftar Koreksi'!$H$5:$H$92,"&gt;0")</f>
        <v>0</v>
      </c>
      <c r="F1246" s="25">
        <f>SUMIFS('Daftar Koreksi'!$H$5:$H$92,'Daftar Koreksi'!$D$5:$D$92,'0500'!A1236,'Daftar Koreksi'!$G$5:$G$92,"Aset Tak Berwujud",'Daftar Koreksi'!$H$5:$H$92,"&lt;0")-SUMIFS('Daftar Koreksi'!$H$5:$H$92,'Daftar Koreksi'!$D$5:$D$92,'0500'!A1236,'Daftar Koreksi'!$G$5:$G$92,"Aset Tak Berwujud",'Daftar Koreksi'!$H$5:$H$92,"&lt;0")-SUMIFS('Daftar Koreksi'!$H$5:$H$92,'Daftar Koreksi'!$D$5:$D$92,'0500'!A1236,'Daftar Koreksi'!$G$5:$G$92,"Aset Tak Berwujud",'Daftar Koreksi'!$H$5:$H$92,"&lt;0")</f>
        <v>0</v>
      </c>
      <c r="G1246" s="17">
        <f t="shared" si="56"/>
        <v>0</v>
      </c>
      <c r="H1246" s="122"/>
    </row>
    <row r="1247" spans="1:8" ht="21.95" customHeight="1">
      <c r="A1247" s="14"/>
      <c r="B1247" s="14"/>
      <c r="C1247" s="16" t="s">
        <v>1173</v>
      </c>
      <c r="D1247" s="17">
        <f>VLOOKUP(A1236,'Neraca Unaudited SIMAK'!$A$2:$S$10004,11,FALSE)</f>
        <v>0</v>
      </c>
      <c r="E1247" s="25">
        <f>SUMIFS('Daftar Koreksi'!$H$5:$H$92,'Daftar Koreksi'!$D$5:$D$92,'0500'!A1236,'Daftar Koreksi'!$G$5:$G$92,"Aset Henti Guna",'Daftar Koreksi'!$H$5:$H$92,"&gt;0")</f>
        <v>0</v>
      </c>
      <c r="F1247" s="25">
        <f>SUMIFS('Daftar Koreksi'!$H$5:$H$92,'Daftar Koreksi'!$D$5:$D$92,'0500'!A1236,'Daftar Koreksi'!$G$5:$G$92,"Aset Henti Guna",'Daftar Koreksi'!$H$5:$H$92,"&lt;0")-SUMIFS('Daftar Koreksi'!$H$5:$H$92,'Daftar Koreksi'!$D$5:$D$92,'0500'!A1236,'Daftar Koreksi'!$G$5:$G$92,"Aset Henti Guna",'Daftar Koreksi'!$H$5:$H$92,"&lt;0")-SUMIFS('Daftar Koreksi'!$H$5:$H$92,'Daftar Koreksi'!$D$5:$D$92,'0500'!A1236,'Daftar Koreksi'!$G$5:$G$92,"Aset Henti Guna",'Daftar Koreksi'!$H$5:$H$92,"&lt;0")</f>
        <v>0</v>
      </c>
      <c r="G1247" s="17">
        <f t="shared" si="56"/>
        <v>0</v>
      </c>
      <c r="H1247" s="122"/>
    </row>
    <row r="1248" spans="1:8" ht="21.95" customHeight="1">
      <c r="A1248" s="14"/>
      <c r="B1248" s="14"/>
      <c r="C1248" s="18" t="s">
        <v>2093</v>
      </c>
      <c r="D1248" s="19">
        <f>VLOOKUP(A1236,'Neraca Unaudited SIMAK'!$A$2:$S$10004,12,FALSE)</f>
        <v>12278304942</v>
      </c>
      <c r="E1248" s="19">
        <f>SUM(E1239:E1247)</f>
        <v>0</v>
      </c>
      <c r="F1248" s="19">
        <f>SUM(F1239:F1247)</f>
        <v>0</v>
      </c>
      <c r="G1248" s="19">
        <f t="shared" si="56"/>
        <v>12278304942</v>
      </c>
      <c r="H1248" s="122"/>
    </row>
    <row r="1249" spans="1:8" ht="21.95" customHeight="1">
      <c r="A1249" s="14"/>
      <c r="B1249" s="14"/>
      <c r="C1249" s="16" t="s">
        <v>2087</v>
      </c>
      <c r="D1249" s="17">
        <f>VLOOKUP(A1236,'Neraca Unaudited SIMAK'!$A$2:$S$10004,13,FALSE)</f>
        <v>-989478178</v>
      </c>
      <c r="E1249" s="25">
        <f>SUMIFS('Daftar Koreksi'!$I$5:$I$92,'Daftar Koreksi'!$D$5:$D$92,'0500'!A1236,'Daftar Koreksi'!$G$5:$G$92,"Peralatan dan mesin",'Daftar Koreksi'!$I$5:$I$92,"&gt;0")</f>
        <v>0</v>
      </c>
      <c r="F1249" s="25">
        <f>SUMIFS('Daftar Koreksi'!$I$5:$I$92,'Daftar Koreksi'!$D$5:$D$92,'0500'!A1236,'Daftar Koreksi'!$G$5:$G$92,"Peralatan dan mesin",'Daftar Koreksi'!$I$5:$I$92,"&lt;0")-SUMIFS('Daftar Koreksi'!$I$5:$I$92,'Daftar Koreksi'!$D$5:$D$92,'0500'!A1236,'Daftar Koreksi'!$G$5:$G$92,"Peralatan dan mesin",'Daftar Koreksi'!$I$5:$I$92,"&lt;0")-SUMIFS('Daftar Koreksi'!$I$5:$I$92,'Daftar Koreksi'!$D$5:$D$92,'0500'!A1236,'Daftar Koreksi'!$G$5:$G$92,"Peralatan dan mesin",'Daftar Koreksi'!$I$5:$I$92,"&lt;0")</f>
        <v>0</v>
      </c>
      <c r="G1249" s="17">
        <f t="shared" si="56"/>
        <v>-989478178</v>
      </c>
      <c r="H1249" s="122"/>
    </row>
    <row r="1250" spans="1:8" ht="21.95" customHeight="1">
      <c r="A1250" s="14"/>
      <c r="B1250" s="14"/>
      <c r="C1250" s="16" t="s">
        <v>2088</v>
      </c>
      <c r="D1250" s="17">
        <f>VLOOKUP(A1236,'Neraca Unaudited SIMAK'!$A$2:$S$10004,14,FALSE)</f>
        <v>-170487644</v>
      </c>
      <c r="E1250" s="25">
        <f>SUMIFS('Daftar Koreksi'!$I$5:$I$92,'Daftar Koreksi'!$D$5:$D$92,'0500'!A1236,'Daftar Koreksi'!$G$5:$G$92,"Gedung dan Bangunan",'Daftar Koreksi'!$I$5:$I$92,"&gt;0")</f>
        <v>0</v>
      </c>
      <c r="F1250" s="25">
        <f>SUMIFS('Daftar Koreksi'!$I$5:$I$92,'Daftar Koreksi'!$D$5:$D$92,'0500'!A1236,'Daftar Koreksi'!$G$5:$G$92,"Gedung dan Bangunan",'Daftar Koreksi'!$I$5:$I$92,"&lt;0")-SUMIFS('Daftar Koreksi'!$I$5:$I$92,'Daftar Koreksi'!$D$5:$D$92,'0500'!A1236,'Daftar Koreksi'!$G$5:$G$92,"Gedung dan Bangunan",'Daftar Koreksi'!$I$5:$I$92,"&lt;0")-SUMIFS('Daftar Koreksi'!$I$5:$I$92,'Daftar Koreksi'!$D$5:$D$92,'0500'!A1236,'Daftar Koreksi'!$G$5:$G$92,"Gedung dan Bangunan",'Daftar Koreksi'!$I$5:$I$92,"&lt;0")</f>
        <v>0</v>
      </c>
      <c r="G1250" s="17">
        <f t="shared" si="56"/>
        <v>-170487644</v>
      </c>
      <c r="H1250" s="122"/>
    </row>
    <row r="1251" spans="1:8" ht="21.95" customHeight="1">
      <c r="A1251" s="14"/>
      <c r="B1251" s="14"/>
      <c r="C1251" s="16" t="s">
        <v>2089</v>
      </c>
      <c r="D1251" s="17">
        <f>VLOOKUP(A1236,'Neraca Unaudited SIMAK'!$A$2:$S$10004,15,FALSE)</f>
        <v>0</v>
      </c>
      <c r="E1251" s="25">
        <f>SUMIFS('Daftar Koreksi'!$I$5:$I$92,'Daftar Koreksi'!$D$5:$D$92,'0500'!A1236,'Daftar Koreksi'!$G$5:$G$92,"Jalan Irigasi Jaringan",'Daftar Koreksi'!$I$5:$I$92,"&gt;0")</f>
        <v>0</v>
      </c>
      <c r="F1251" s="25">
        <f>SUMIFS('Daftar Koreksi'!$I$5:$I$92,'Daftar Koreksi'!$D$5:$D$92,'0500'!A1236,'Daftar Koreksi'!$G$5:$G$92,"Jalan Irigasi Jaringan",'Daftar Koreksi'!$I$5:$I$92,"&lt;0")-SUMIFS('Daftar Koreksi'!$I$5:$I$92,'Daftar Koreksi'!$D$5:$D$92,'0500'!A1236,'Daftar Koreksi'!$G$5:$G$92,"Jalan Irigasi Jaringan",'Daftar Koreksi'!$I$5:$I$92,"&lt;0")-SUMIFS('Daftar Koreksi'!$I$5:$I$92,'Daftar Koreksi'!$D$5:$D$92,'0500'!A1236,'Daftar Koreksi'!$G$5:$G$92,"Jalan Irigasi Jaringan",'Daftar Koreksi'!$I$5:$I$92,"&lt;0")</f>
        <v>0</v>
      </c>
      <c r="G1251" s="17">
        <f t="shared" si="56"/>
        <v>0</v>
      </c>
      <c r="H1251" s="122"/>
    </row>
    <row r="1252" spans="1:8" ht="21.95" customHeight="1">
      <c r="A1252" s="14"/>
      <c r="B1252" s="14"/>
      <c r="C1252" s="16" t="s">
        <v>2090</v>
      </c>
      <c r="D1252" s="17">
        <f>VLOOKUP(A1236,'Neraca Unaudited SIMAK'!$A$2:$S$10004,16,FALSE)</f>
        <v>0</v>
      </c>
      <c r="E1252" s="25">
        <f>SUMIFS('Daftar Koreksi'!$I$5:$I$92,'Daftar Koreksi'!$D$5:$D$92,'0500'!A1236,'Daftar Koreksi'!$G$5:$G$92,"Aset Tetap Lainnya",'Daftar Koreksi'!$I$5:$I$92,"&gt;0")</f>
        <v>0</v>
      </c>
      <c r="F1252" s="25">
        <f>SUMIFS('Daftar Koreksi'!$I$5:$I$92,'Daftar Koreksi'!$D$5:$D$92,'0500'!A1236,'Daftar Koreksi'!$G$5:$G$92,"Aset Tetap Lainnya",'Daftar Koreksi'!$I$5:$I$92,"&lt;0")-SUMIFS('Daftar Koreksi'!$I$5:$I$92,'Daftar Koreksi'!$D$5:$D$92,'0500'!A1236,'Daftar Koreksi'!$G$5:$G$92,"Aset Tetap Lainnya",'Daftar Koreksi'!$I$5:$I$92,"&lt;0")-SUMIFS('Daftar Koreksi'!$I$5:$I$92,'Daftar Koreksi'!$D$5:$D$92,'0500'!A1236,'Daftar Koreksi'!$G$5:$G$92,"Aset Tetap Lainnya",'Daftar Koreksi'!$I$5:$I$92,"&lt;0")</f>
        <v>0</v>
      </c>
      <c r="G1252" s="17">
        <f t="shared" si="56"/>
        <v>0</v>
      </c>
      <c r="H1252" s="122"/>
    </row>
    <row r="1253" spans="1:8" ht="21.95" customHeight="1">
      <c r="A1253" s="14"/>
      <c r="B1253" s="14"/>
      <c r="C1253" s="16" t="s">
        <v>2020</v>
      </c>
      <c r="D1253" s="17">
        <f>VLOOKUP(A1236,'Neraca Unaudited SIMAK'!$A$2:$S$10004,17,FALSE)</f>
        <v>0</v>
      </c>
      <c r="E1253" s="25">
        <f>SUMIFS('Daftar Koreksi'!$I$5:$I$92,'Daftar Koreksi'!$D$5:$D$92,'0500'!A1236,'Daftar Koreksi'!$G$5:$G$92,"Aset Henti Guna",'Daftar Koreksi'!$I$5:$I$92,"&gt;0")</f>
        <v>0</v>
      </c>
      <c r="F1253" s="25">
        <f>SUMIFS('Daftar Koreksi'!$I$5:$I$92,'Daftar Koreksi'!$D$5:$D$92,'0500'!A1236,'Daftar Koreksi'!$G$5:$G$92,"Aset Henti Guna",'Daftar Koreksi'!$I$5:$I$92,"&lt;0")-SUMIFS('Daftar Koreksi'!$I$5:$I$92,'Daftar Koreksi'!$D$5:$D$92,'0500'!A1236,'Daftar Koreksi'!$G$5:$G$92,"Aset Henti Guna",'Daftar Koreksi'!$I$5:$I$92,"&lt;0")-SUMIFS('Daftar Koreksi'!$I$5:$I$92,'Daftar Koreksi'!$D$5:$D$92,'0500'!A1236,'Daftar Koreksi'!$G$5:$G$92,"Aset Henti Guna",'Daftar Koreksi'!$I$5:$I$92,"&lt;0")</f>
        <v>0</v>
      </c>
      <c r="G1253" s="17">
        <f t="shared" si="56"/>
        <v>0</v>
      </c>
      <c r="H1253" s="122"/>
    </row>
    <row r="1254" spans="1:8" ht="21.95" customHeight="1">
      <c r="A1254" s="14"/>
      <c r="B1254" s="14"/>
      <c r="C1254" s="18" t="s">
        <v>2094</v>
      </c>
      <c r="D1254" s="19">
        <f>SUM(D1249:D1253)</f>
        <v>-1159965822</v>
      </c>
      <c r="E1254" s="19">
        <f>SUM(E1249:E1253)</f>
        <v>0</v>
      </c>
      <c r="F1254" s="19">
        <f>SUM(F1249:F1253)</f>
        <v>0</v>
      </c>
      <c r="G1254" s="19">
        <f t="shared" si="56"/>
        <v>-1159965822</v>
      </c>
      <c r="H1254" s="122"/>
    </row>
    <row r="1255" spans="1:8" ht="21.95" customHeight="1">
      <c r="A1255" s="14"/>
      <c r="B1255" s="14"/>
      <c r="C1255" s="18" t="s">
        <v>2095</v>
      </c>
      <c r="D1255" s="19">
        <f>VLOOKUP(A1236,'Neraca Unaudited SIMAK'!$A$2:$S$10004,18,FALSE)</f>
        <v>11118339120</v>
      </c>
      <c r="E1255" s="19">
        <f>E1254+E1248</f>
        <v>0</v>
      </c>
      <c r="F1255" s="19">
        <f>F1254+F1248</f>
        <v>0</v>
      </c>
      <c r="G1255" s="19">
        <f t="shared" si="56"/>
        <v>11118339120</v>
      </c>
      <c r="H1255" s="122"/>
    </row>
    <row r="1256" spans="1:8" ht="21.95" customHeight="1">
      <c r="A1256" s="14"/>
      <c r="B1256" s="14"/>
      <c r="C1256" s="16" t="s">
        <v>2091</v>
      </c>
      <c r="D1256" s="17">
        <f>VLOOKUP(A1236,'Neraca Unaudited SIMAK'!$A$2:$S$10004,19,FALSE)</f>
        <v>0</v>
      </c>
      <c r="E1256" s="25"/>
      <c r="F1256" s="25"/>
      <c r="G1256" s="17">
        <f t="shared" si="56"/>
        <v>0</v>
      </c>
      <c r="H1256" s="123"/>
    </row>
    <row r="1258" spans="1:8" ht="19.5" customHeight="1">
      <c r="A1258" s="11" t="str">
        <f>O58</f>
        <v>005010500401463000KD</v>
      </c>
      <c r="B1258" s="11" t="str">
        <f>P58</f>
        <v>PA. Kraksaan</v>
      </c>
      <c r="C1258" s="12" t="str">
        <f>A1258&amp;" "&amp;B1258</f>
        <v>005010500401463000KD PA. Kraksaan</v>
      </c>
      <c r="D1258" s="13"/>
      <c r="E1258" s="13"/>
      <c r="F1258" s="13"/>
      <c r="G1258" s="13"/>
      <c r="H1258" s="11"/>
    </row>
    <row r="1259" spans="1:8" ht="21.95" customHeight="1">
      <c r="A1259" s="14"/>
      <c r="B1259" s="14"/>
      <c r="C1259" s="124" t="s">
        <v>1982</v>
      </c>
      <c r="D1259" s="126" t="s">
        <v>1983</v>
      </c>
      <c r="E1259" s="132" t="s">
        <v>1984</v>
      </c>
      <c r="F1259" s="132"/>
      <c r="G1259" s="126" t="s">
        <v>1987</v>
      </c>
      <c r="H1259" s="130" t="s">
        <v>1175</v>
      </c>
    </row>
    <row r="1260" spans="1:8" ht="21.95" customHeight="1">
      <c r="A1260" s="14"/>
      <c r="B1260" s="14"/>
      <c r="C1260" s="125"/>
      <c r="D1260" s="127"/>
      <c r="E1260" s="26" t="s">
        <v>1985</v>
      </c>
      <c r="F1260" s="26" t="s">
        <v>1986</v>
      </c>
      <c r="G1260" s="127"/>
      <c r="H1260" s="131"/>
    </row>
    <row r="1261" spans="1:8" ht="21.95" customHeight="1">
      <c r="A1261" s="14"/>
      <c r="B1261" s="14"/>
      <c r="C1261" s="16" t="s">
        <v>1165</v>
      </c>
      <c r="D1261" s="17">
        <f>VLOOKUP(A1258,'Neraca Unaudited SIMAK'!$A$2:$S$10004,3,FALSE)</f>
        <v>2338350</v>
      </c>
      <c r="E1261" s="25">
        <f>SUMIFS('Daftar Koreksi'!$H$5:$H$92,'Daftar Koreksi'!$D$5:$D$92,'0500'!A1258,'Daftar Koreksi'!$G$5:$G$92,"Persediaan",'Daftar Koreksi'!$H$5:$H$92,"&gt;0")</f>
        <v>0</v>
      </c>
      <c r="F1261" s="25">
        <f>SUMIFS('Daftar Koreksi'!$H$5:$H$92,'Daftar Koreksi'!$D$5:$D$92,'0500'!A1258,'Daftar Koreksi'!$G$5:$G$92,"Persediaan",'Daftar Koreksi'!$H$5:$H$92,"&lt;0")-SUMIFS('Daftar Koreksi'!$H$5:$H$92,'Daftar Koreksi'!$D$5:$D$92,'0500'!A1258,'Daftar Koreksi'!$G$5:$G$92,"Persediaan",'Daftar Koreksi'!$H$5:$H$92,"&lt;0")-SUMIFS('Daftar Koreksi'!$H$5:$H$92,'Daftar Koreksi'!$D$5:$D$92,'0500'!A1258,'Daftar Koreksi'!$G$5:$G$92,"Persediaan",'Daftar Koreksi'!$H$5:$H$92,"&lt;0")</f>
        <v>0</v>
      </c>
      <c r="G1261" s="17">
        <f>D1261+E1261-F1261</f>
        <v>2338350</v>
      </c>
      <c r="H1261" s="121" t="str">
        <f>IF(ISNA(VLOOKUP(A1258,'Mutasi Neraca'!$A$3:$S$914,19,FALSE)),"-",VLOOKUP(A1258,'Mutasi Neraca'!$A$3:$S$914,19,FALSE))</f>
        <v>-</v>
      </c>
    </row>
    <row r="1262" spans="1:8" ht="21.95" customHeight="1">
      <c r="A1262" s="14"/>
      <c r="B1262" s="14"/>
      <c r="C1262" s="16" t="s">
        <v>1166</v>
      </c>
      <c r="D1262" s="17">
        <f>VLOOKUP(A1258,'Neraca Unaudited SIMAK'!$A$2:$S$10004,4,FALSE)</f>
        <v>943104000</v>
      </c>
      <c r="E1262" s="25">
        <f>SUMIFS('Daftar Koreksi'!$H$5:$H$92,'Daftar Koreksi'!$D$5:$D$92,'0500'!A1258,'Daftar Koreksi'!$G$5:$G$92,"Tanah",'Daftar Koreksi'!$H$5:$H$92,"&gt;0")</f>
        <v>0</v>
      </c>
      <c r="F1262" s="25">
        <f>SUMIFS('Daftar Koreksi'!$H$5:$H$92,'Daftar Koreksi'!$D$5:$D$92,'0500'!A1258,'Daftar Koreksi'!$G$5:$G$92,"Tanah",'Daftar Koreksi'!$H$5:$H$92,"&lt;0")-SUMIFS('Daftar Koreksi'!$H$5:$H$92,'Daftar Koreksi'!$D$5:$D$92,'0500'!A1258,'Daftar Koreksi'!$G$5:$G$92,"Tanah",'Daftar Koreksi'!$H$5:$H$92,"&lt;0")-SUMIFS('Daftar Koreksi'!$H$5:$H$92,'Daftar Koreksi'!$D$5:$D$92,'0500'!A1258,'Daftar Koreksi'!$G$5:$G$92,"Tanah",'Daftar Koreksi'!$H$5:$H$92,"&lt;0")</f>
        <v>0</v>
      </c>
      <c r="G1262" s="17">
        <f t="shared" ref="G1262:G1278" si="57">D1262+E1262-F1262</f>
        <v>943104000</v>
      </c>
      <c r="H1262" s="122"/>
    </row>
    <row r="1263" spans="1:8" ht="21.95" customHeight="1">
      <c r="A1263" s="14"/>
      <c r="B1263" s="14"/>
      <c r="C1263" s="16" t="s">
        <v>1167</v>
      </c>
      <c r="D1263" s="17">
        <f>VLOOKUP(A1258,'Neraca Unaudited SIMAK'!$A$2:$S$10004,5,FALSE)</f>
        <v>1661351123</v>
      </c>
      <c r="E1263" s="25">
        <f>SUMIFS('Daftar Koreksi'!$H$5:$H$92,'Daftar Koreksi'!$D$5:$D$92,'0500'!A1258,'Daftar Koreksi'!$G$5:$G$92,"Peralatan dan mesin",'Daftar Koreksi'!$H$5:$H$92,"&gt;0")</f>
        <v>0</v>
      </c>
      <c r="F1263" s="25">
        <f>SUMIFS('Daftar Koreksi'!$H$5:$H$92,'Daftar Koreksi'!$D$5:$D$92,'0500'!A1258,'Daftar Koreksi'!$G$5:$G$92,"Peralatan dan mesin",'Daftar Koreksi'!$H$5:$H$92,"&lt;0")-SUMIFS('Daftar Koreksi'!$H$5:$H$92,'Daftar Koreksi'!$D$5:$D$92,'0500'!A1258,'Daftar Koreksi'!$G$5:$G$92,"Peralatan dan mesin",'Daftar Koreksi'!$H$5:$H$92,"&lt;0")-SUMIFS('Daftar Koreksi'!$H$5:$H$92,'Daftar Koreksi'!$D$5:$D$92,'0500'!A1258,'Daftar Koreksi'!$G$5:$G$92,"Peralatan dan mesin",'Daftar Koreksi'!$H$5:$H$92,"&lt;0")</f>
        <v>0</v>
      </c>
      <c r="G1263" s="17">
        <f t="shared" si="57"/>
        <v>1661351123</v>
      </c>
      <c r="H1263" s="122"/>
    </row>
    <row r="1264" spans="1:8" ht="21.95" customHeight="1">
      <c r="A1264" s="14"/>
      <c r="B1264" s="14"/>
      <c r="C1264" s="16" t="s">
        <v>1168</v>
      </c>
      <c r="D1264" s="17">
        <f>VLOOKUP(A1258,'Neraca Unaudited SIMAK'!$A$2:$S$10004,6,FALSE)</f>
        <v>3624998975</v>
      </c>
      <c r="E1264" s="25">
        <f>SUMIFS('Daftar Koreksi'!$H$5:$H$92,'Daftar Koreksi'!$D$5:$D$92,'0500'!A1258,'Daftar Koreksi'!$G$5:$G$92,"Gedung dan Bangunan",'Daftar Koreksi'!$H$5:$H$92,"&gt;0")</f>
        <v>0</v>
      </c>
      <c r="F1264" s="25">
        <f>SUMIFS('Daftar Koreksi'!$H$5:$H$92,'Daftar Koreksi'!$D$5:$D$92,'0500'!A1258,'Daftar Koreksi'!$G$5:$G$92,"Gedung dan Bangunan",'Daftar Koreksi'!$H$5:$H$92,"&lt;0")-SUMIFS('Daftar Koreksi'!$H$5:$H$92,'Daftar Koreksi'!$D$5:$D$92,'0500'!A1258,'Daftar Koreksi'!$G$5:$G$92,"Gedung dan Bangunan",'Daftar Koreksi'!$H$5:$H$92,"&lt;0")-SUMIFS('Daftar Koreksi'!$H$5:$H$92,'Daftar Koreksi'!$D$5:$D$92,'0500'!A1258,'Daftar Koreksi'!$G$5:$G$92,"Gedung dan Bangunan",'Daftar Koreksi'!$H$5:$H$92,"&lt;0")</f>
        <v>0</v>
      </c>
      <c r="G1264" s="17">
        <f t="shared" si="57"/>
        <v>3624998975</v>
      </c>
      <c r="H1264" s="122"/>
    </row>
    <row r="1265" spans="1:8" ht="21.95" customHeight="1">
      <c r="A1265" s="14"/>
      <c r="B1265" s="14"/>
      <c r="C1265" s="16" t="s">
        <v>1169</v>
      </c>
      <c r="D1265" s="17">
        <f>VLOOKUP(A1258,'Neraca Unaudited SIMAK'!$A$2:$S$10004,7,FALSE)</f>
        <v>0</v>
      </c>
      <c r="E1265" s="25">
        <f>SUMIFS('Daftar Koreksi'!$H$5:$H$92,'Daftar Koreksi'!$D$5:$D$92,'0500'!A1258,'Daftar Koreksi'!$G$5:$G$92,"Jalan Irigasi Jaringan",'Daftar Koreksi'!$H$5:$H$92,"&gt;0")</f>
        <v>0</v>
      </c>
      <c r="F1265" s="25">
        <f>SUMIFS('Daftar Koreksi'!$H$5:$H$92,'Daftar Koreksi'!$D$5:$D$92,'0500'!A1258,'Daftar Koreksi'!$G$5:$G$92,"Jalan Irigasi Jaringan",'Daftar Koreksi'!$H$5:$H$92,"&lt;0")-SUMIFS('Daftar Koreksi'!$H$5:$H$92,'Daftar Koreksi'!$D$5:$D$92,'0500'!A1258,'Daftar Koreksi'!$G$5:$G$92,"Jalan Irigasi Jaringan",'Daftar Koreksi'!$H$5:$H$92,"&lt;0")-SUMIFS('Daftar Koreksi'!$H$5:$H$92,'Daftar Koreksi'!$D$5:$D$92,'0500'!A1258,'Daftar Koreksi'!$G$5:$G$92,"Jalan Irigasi Jaringan",'Daftar Koreksi'!$H$5:$H$92,"&lt;0")</f>
        <v>0</v>
      </c>
      <c r="G1265" s="17">
        <f t="shared" si="57"/>
        <v>0</v>
      </c>
      <c r="H1265" s="122"/>
    </row>
    <row r="1266" spans="1:8" ht="21.95" customHeight="1">
      <c r="A1266" s="14"/>
      <c r="B1266" s="14"/>
      <c r="C1266" s="16" t="s">
        <v>1170</v>
      </c>
      <c r="D1266" s="17">
        <f>VLOOKUP(A1258,'Neraca Unaudited SIMAK'!$A$2:$S$10004,8,FALSE)</f>
        <v>8828270</v>
      </c>
      <c r="E1266" s="25">
        <f>SUMIFS('Daftar Koreksi'!$H$5:$H$92,'Daftar Koreksi'!$D$5:$D$92,'0500'!A1258,'Daftar Koreksi'!$G$5:$G$92,"Aset Tetap Lainnya",'Daftar Koreksi'!$H$5:$H$92,"&gt;0")</f>
        <v>0</v>
      </c>
      <c r="F1266" s="25">
        <f>SUMIFS('Daftar Koreksi'!$H$5:$H$92,'Daftar Koreksi'!$D$5:$D$92,'0500'!A1258,'Daftar Koreksi'!$G$5:$G$92,"Aset Tetap Lainnya",'Daftar Koreksi'!$H$5:$H$92,"&lt;0")-SUMIFS('Daftar Koreksi'!$H$5:$H$92,'Daftar Koreksi'!$D$5:$D$92,'0500'!A1258,'Daftar Koreksi'!$G$5:$G$92,"Aset Tetap Lainnya",'Daftar Koreksi'!$H$5:$H$92,"&lt;0")-SUMIFS('Daftar Koreksi'!$H$5:$H$92,'Daftar Koreksi'!$D$5:$D$92,'0500'!A1258,'Daftar Koreksi'!$G$5:$G$92,"Aset Tetap Lainnya",'Daftar Koreksi'!$H$5:$H$92,"&lt;0")</f>
        <v>0</v>
      </c>
      <c r="G1266" s="17">
        <f t="shared" si="57"/>
        <v>8828270</v>
      </c>
      <c r="H1266" s="122"/>
    </row>
    <row r="1267" spans="1:8" ht="21.95" customHeight="1">
      <c r="A1267" s="14"/>
      <c r="B1267" s="14"/>
      <c r="C1267" s="16" t="s">
        <v>1171</v>
      </c>
      <c r="D1267" s="17">
        <f>VLOOKUP(A1258,'Neraca Unaudited SIMAK'!$A$2:$S$10004,9,FALSE)</f>
        <v>0</v>
      </c>
      <c r="E1267" s="25">
        <f>SUMIFS('Daftar Koreksi'!$H$5:$H$92,'Daftar Koreksi'!$D$5:$D$92,'0500'!A1258,'Daftar Koreksi'!$G$5:$G$92,"Kontruksi Dalam Pengerjaan",'Daftar Koreksi'!$H$5:$H$92,"&gt;0")</f>
        <v>0</v>
      </c>
      <c r="F1267" s="25">
        <f>SUMIFS('Daftar Koreksi'!$H$5:$H$92,'Daftar Koreksi'!$D$5:$D$92,'0500'!A1258,'Daftar Koreksi'!$G$5:$G$92,"Kontruksi Dalam Pengerjaan",'Daftar Koreksi'!$H$5:$H$92,"&lt;0")-SUMIFS('Daftar Koreksi'!$H$5:$H$92,'Daftar Koreksi'!$D$5:$D$92,'0500'!A1258,'Daftar Koreksi'!$G$5:$G$92,"Kontruksi Dalam Pengerjaan",'Daftar Koreksi'!$H$5:$H$92,"&lt;0")-SUMIFS('Daftar Koreksi'!$H$5:$H$92,'Daftar Koreksi'!$D$5:$D$92,'0500'!A1258,'Daftar Koreksi'!$G$5:$G$92,"Kontruksi Dalam Pengerjaan",'Daftar Koreksi'!$H$5:$H$92,"&lt;0")</f>
        <v>0</v>
      </c>
      <c r="G1267" s="17">
        <f t="shared" si="57"/>
        <v>0</v>
      </c>
      <c r="H1267" s="122"/>
    </row>
    <row r="1268" spans="1:8" ht="21.95" customHeight="1">
      <c r="A1268" s="14"/>
      <c r="B1268" s="14"/>
      <c r="C1268" s="16" t="s">
        <v>1172</v>
      </c>
      <c r="D1268" s="17">
        <f>VLOOKUP(A1258,'Neraca Unaudited SIMAK'!$A$2:$S$10004,10,FALSE)</f>
        <v>0</v>
      </c>
      <c r="E1268" s="25">
        <f>SUMIFS('Daftar Koreksi'!$H$5:$H$92,'Daftar Koreksi'!$D$5:$D$92,'0500'!A1258,'Daftar Koreksi'!$G$5:$G$92,"Aset Tak Berwujud",'Daftar Koreksi'!$H$5:$H$92,"&gt;0")</f>
        <v>0</v>
      </c>
      <c r="F1268" s="25">
        <f>SUMIFS('Daftar Koreksi'!$H$5:$H$92,'Daftar Koreksi'!$D$5:$D$92,'0500'!A1258,'Daftar Koreksi'!$G$5:$G$92,"Aset Tak Berwujud",'Daftar Koreksi'!$H$5:$H$92,"&lt;0")-SUMIFS('Daftar Koreksi'!$H$5:$H$92,'Daftar Koreksi'!$D$5:$D$92,'0500'!A1258,'Daftar Koreksi'!$G$5:$G$92,"Aset Tak Berwujud",'Daftar Koreksi'!$H$5:$H$92,"&lt;0")-SUMIFS('Daftar Koreksi'!$H$5:$H$92,'Daftar Koreksi'!$D$5:$D$92,'0500'!A1258,'Daftar Koreksi'!$G$5:$G$92,"Aset Tak Berwujud",'Daftar Koreksi'!$H$5:$H$92,"&lt;0")</f>
        <v>0</v>
      </c>
      <c r="G1268" s="17">
        <f t="shared" si="57"/>
        <v>0</v>
      </c>
      <c r="H1268" s="122"/>
    </row>
    <row r="1269" spans="1:8" ht="21.95" customHeight="1">
      <c r="A1269" s="14"/>
      <c r="B1269" s="14"/>
      <c r="C1269" s="16" t="s">
        <v>1173</v>
      </c>
      <c r="D1269" s="17">
        <f>VLOOKUP(A1258,'Neraca Unaudited SIMAK'!$A$2:$S$10004,11,FALSE)</f>
        <v>107127055</v>
      </c>
      <c r="E1269" s="25">
        <f>SUMIFS('Daftar Koreksi'!$H$5:$H$92,'Daftar Koreksi'!$D$5:$D$92,'0500'!A1258,'Daftar Koreksi'!$G$5:$G$92,"Aset Henti Guna",'Daftar Koreksi'!$H$5:$H$92,"&gt;0")</f>
        <v>0</v>
      </c>
      <c r="F1269" s="25">
        <f>SUMIFS('Daftar Koreksi'!$H$5:$H$92,'Daftar Koreksi'!$D$5:$D$92,'0500'!A1258,'Daftar Koreksi'!$G$5:$G$92,"Aset Henti Guna",'Daftar Koreksi'!$H$5:$H$92,"&lt;0")-SUMIFS('Daftar Koreksi'!$H$5:$H$92,'Daftar Koreksi'!$D$5:$D$92,'0500'!A1258,'Daftar Koreksi'!$G$5:$G$92,"Aset Henti Guna",'Daftar Koreksi'!$H$5:$H$92,"&lt;0")-SUMIFS('Daftar Koreksi'!$H$5:$H$92,'Daftar Koreksi'!$D$5:$D$92,'0500'!A1258,'Daftar Koreksi'!$G$5:$G$92,"Aset Henti Guna",'Daftar Koreksi'!$H$5:$H$92,"&lt;0")</f>
        <v>0</v>
      </c>
      <c r="G1269" s="17">
        <f t="shared" si="57"/>
        <v>107127055</v>
      </c>
      <c r="H1269" s="122"/>
    </row>
    <row r="1270" spans="1:8" ht="21.95" customHeight="1">
      <c r="A1270" s="14"/>
      <c r="B1270" s="14"/>
      <c r="C1270" s="18" t="s">
        <v>2093</v>
      </c>
      <c r="D1270" s="19">
        <f>VLOOKUP(A1258,'Neraca Unaudited SIMAK'!$A$2:$S$10004,12,FALSE)</f>
        <v>6347747773</v>
      </c>
      <c r="E1270" s="19">
        <f>SUM(E1261:E1269)</f>
        <v>0</v>
      </c>
      <c r="F1270" s="19">
        <f>SUM(F1261:F1269)</f>
        <v>0</v>
      </c>
      <c r="G1270" s="19">
        <f t="shared" si="57"/>
        <v>6347747773</v>
      </c>
      <c r="H1270" s="122"/>
    </row>
    <row r="1271" spans="1:8" ht="21.95" customHeight="1">
      <c r="A1271" s="14"/>
      <c r="B1271" s="14"/>
      <c r="C1271" s="16" t="s">
        <v>2087</v>
      </c>
      <c r="D1271" s="17">
        <f>VLOOKUP(A1258,'Neraca Unaudited SIMAK'!$A$2:$S$10004,13,FALSE)</f>
        <v>-1169565669</v>
      </c>
      <c r="E1271" s="25">
        <f>SUMIFS('Daftar Koreksi'!$I$5:$I$92,'Daftar Koreksi'!$D$5:$D$92,'0500'!A1258,'Daftar Koreksi'!$G$5:$G$92,"Peralatan dan mesin",'Daftar Koreksi'!$I$5:$I$92,"&gt;0")</f>
        <v>0</v>
      </c>
      <c r="F1271" s="25">
        <f>SUMIFS('Daftar Koreksi'!$I$5:$I$92,'Daftar Koreksi'!$D$5:$D$92,'0500'!A1258,'Daftar Koreksi'!$G$5:$G$92,"Peralatan dan mesin",'Daftar Koreksi'!$I$5:$I$92,"&lt;0")-SUMIFS('Daftar Koreksi'!$I$5:$I$92,'Daftar Koreksi'!$D$5:$D$92,'0500'!A1258,'Daftar Koreksi'!$G$5:$G$92,"Peralatan dan mesin",'Daftar Koreksi'!$I$5:$I$92,"&lt;0")-SUMIFS('Daftar Koreksi'!$I$5:$I$92,'Daftar Koreksi'!$D$5:$D$92,'0500'!A1258,'Daftar Koreksi'!$G$5:$G$92,"Peralatan dan mesin",'Daftar Koreksi'!$I$5:$I$92,"&lt;0")</f>
        <v>0</v>
      </c>
      <c r="G1271" s="17">
        <f t="shared" si="57"/>
        <v>-1169565669</v>
      </c>
      <c r="H1271" s="122"/>
    </row>
    <row r="1272" spans="1:8" ht="21.95" customHeight="1">
      <c r="A1272" s="14"/>
      <c r="B1272" s="14"/>
      <c r="C1272" s="16" t="s">
        <v>2088</v>
      </c>
      <c r="D1272" s="17">
        <f>VLOOKUP(A1258,'Neraca Unaudited SIMAK'!$A$2:$S$10004,14,FALSE)</f>
        <v>-503520428</v>
      </c>
      <c r="E1272" s="25">
        <f>SUMIFS('Daftar Koreksi'!$I$5:$I$92,'Daftar Koreksi'!$D$5:$D$92,'0500'!A1258,'Daftar Koreksi'!$G$5:$G$92,"Gedung dan Bangunan",'Daftar Koreksi'!$I$5:$I$92,"&gt;0")</f>
        <v>0</v>
      </c>
      <c r="F1272" s="25">
        <f>SUMIFS('Daftar Koreksi'!$I$5:$I$92,'Daftar Koreksi'!$D$5:$D$92,'0500'!A1258,'Daftar Koreksi'!$G$5:$G$92,"Gedung dan Bangunan",'Daftar Koreksi'!$I$5:$I$92,"&lt;0")-SUMIFS('Daftar Koreksi'!$I$5:$I$92,'Daftar Koreksi'!$D$5:$D$92,'0500'!A1258,'Daftar Koreksi'!$G$5:$G$92,"Gedung dan Bangunan",'Daftar Koreksi'!$I$5:$I$92,"&lt;0")-SUMIFS('Daftar Koreksi'!$I$5:$I$92,'Daftar Koreksi'!$D$5:$D$92,'0500'!A1258,'Daftar Koreksi'!$G$5:$G$92,"Gedung dan Bangunan",'Daftar Koreksi'!$I$5:$I$92,"&lt;0")</f>
        <v>0</v>
      </c>
      <c r="G1272" s="17">
        <f t="shared" si="57"/>
        <v>-503520428</v>
      </c>
      <c r="H1272" s="122"/>
    </row>
    <row r="1273" spans="1:8" ht="21.95" customHeight="1">
      <c r="A1273" s="14"/>
      <c r="B1273" s="14"/>
      <c r="C1273" s="16" t="s">
        <v>2089</v>
      </c>
      <c r="D1273" s="17">
        <f>VLOOKUP(A1258,'Neraca Unaudited SIMAK'!$A$2:$S$10004,15,FALSE)</f>
        <v>0</v>
      </c>
      <c r="E1273" s="25">
        <f>SUMIFS('Daftar Koreksi'!$I$5:$I$92,'Daftar Koreksi'!$D$5:$D$92,'0500'!A1258,'Daftar Koreksi'!$G$5:$G$92,"Jalan Irigasi Jaringan",'Daftar Koreksi'!$I$5:$I$92,"&gt;0")</f>
        <v>0</v>
      </c>
      <c r="F1273" s="25">
        <f>SUMIFS('Daftar Koreksi'!$I$5:$I$92,'Daftar Koreksi'!$D$5:$D$92,'0500'!A1258,'Daftar Koreksi'!$G$5:$G$92,"Jalan Irigasi Jaringan",'Daftar Koreksi'!$I$5:$I$92,"&lt;0")-SUMIFS('Daftar Koreksi'!$I$5:$I$92,'Daftar Koreksi'!$D$5:$D$92,'0500'!A1258,'Daftar Koreksi'!$G$5:$G$92,"Jalan Irigasi Jaringan",'Daftar Koreksi'!$I$5:$I$92,"&lt;0")-SUMIFS('Daftar Koreksi'!$I$5:$I$92,'Daftar Koreksi'!$D$5:$D$92,'0500'!A1258,'Daftar Koreksi'!$G$5:$G$92,"Jalan Irigasi Jaringan",'Daftar Koreksi'!$I$5:$I$92,"&lt;0")</f>
        <v>0</v>
      </c>
      <c r="G1273" s="17">
        <f t="shared" si="57"/>
        <v>0</v>
      </c>
      <c r="H1273" s="122"/>
    </row>
    <row r="1274" spans="1:8" ht="21.95" customHeight="1">
      <c r="A1274" s="14"/>
      <c r="B1274" s="14"/>
      <c r="C1274" s="16" t="s">
        <v>2090</v>
      </c>
      <c r="D1274" s="17">
        <f>VLOOKUP(A1258,'Neraca Unaudited SIMAK'!$A$2:$S$10004,16,FALSE)</f>
        <v>0</v>
      </c>
      <c r="E1274" s="25">
        <f>SUMIFS('Daftar Koreksi'!$I$5:$I$92,'Daftar Koreksi'!$D$5:$D$92,'0500'!A1258,'Daftar Koreksi'!$G$5:$G$92,"Aset Tetap Lainnya",'Daftar Koreksi'!$I$5:$I$92,"&gt;0")</f>
        <v>0</v>
      </c>
      <c r="F1274" s="25">
        <f>SUMIFS('Daftar Koreksi'!$I$5:$I$92,'Daftar Koreksi'!$D$5:$D$92,'0500'!A1258,'Daftar Koreksi'!$G$5:$G$92,"Aset Tetap Lainnya",'Daftar Koreksi'!$I$5:$I$92,"&lt;0")-SUMIFS('Daftar Koreksi'!$I$5:$I$92,'Daftar Koreksi'!$D$5:$D$92,'0500'!A1258,'Daftar Koreksi'!$G$5:$G$92,"Aset Tetap Lainnya",'Daftar Koreksi'!$I$5:$I$92,"&lt;0")-SUMIFS('Daftar Koreksi'!$I$5:$I$92,'Daftar Koreksi'!$D$5:$D$92,'0500'!A1258,'Daftar Koreksi'!$G$5:$G$92,"Aset Tetap Lainnya",'Daftar Koreksi'!$I$5:$I$92,"&lt;0")</f>
        <v>0</v>
      </c>
      <c r="G1274" s="17">
        <f t="shared" si="57"/>
        <v>0</v>
      </c>
      <c r="H1274" s="122"/>
    </row>
    <row r="1275" spans="1:8" ht="21.95" customHeight="1">
      <c r="A1275" s="14"/>
      <c r="B1275" s="14"/>
      <c r="C1275" s="16" t="s">
        <v>2020</v>
      </c>
      <c r="D1275" s="17">
        <f>VLOOKUP(A1258,'Neraca Unaudited SIMAK'!$A$2:$S$10004,17,FALSE)</f>
        <v>-107127055</v>
      </c>
      <c r="E1275" s="25">
        <f>SUMIFS('Daftar Koreksi'!$I$5:$I$92,'Daftar Koreksi'!$D$5:$D$92,'0500'!A1258,'Daftar Koreksi'!$G$5:$G$92,"Aset Henti Guna",'Daftar Koreksi'!$I$5:$I$92,"&gt;0")</f>
        <v>0</v>
      </c>
      <c r="F1275" s="25">
        <f>SUMIFS('Daftar Koreksi'!$I$5:$I$92,'Daftar Koreksi'!$D$5:$D$92,'0500'!A1258,'Daftar Koreksi'!$G$5:$G$92,"Aset Henti Guna",'Daftar Koreksi'!$I$5:$I$92,"&lt;0")-SUMIFS('Daftar Koreksi'!$I$5:$I$92,'Daftar Koreksi'!$D$5:$D$92,'0500'!A1258,'Daftar Koreksi'!$G$5:$G$92,"Aset Henti Guna",'Daftar Koreksi'!$I$5:$I$92,"&lt;0")-SUMIFS('Daftar Koreksi'!$I$5:$I$92,'Daftar Koreksi'!$D$5:$D$92,'0500'!A1258,'Daftar Koreksi'!$G$5:$G$92,"Aset Henti Guna",'Daftar Koreksi'!$I$5:$I$92,"&lt;0")</f>
        <v>0</v>
      </c>
      <c r="G1275" s="17">
        <f t="shared" si="57"/>
        <v>-107127055</v>
      </c>
      <c r="H1275" s="122"/>
    </row>
    <row r="1276" spans="1:8" ht="21.95" customHeight="1">
      <c r="A1276" s="14"/>
      <c r="B1276" s="14"/>
      <c r="C1276" s="18" t="s">
        <v>2094</v>
      </c>
      <c r="D1276" s="19">
        <f>SUM(D1271:D1275)</f>
        <v>-1780213152</v>
      </c>
      <c r="E1276" s="19">
        <f>SUM(E1271:E1275)</f>
        <v>0</v>
      </c>
      <c r="F1276" s="19">
        <f>SUM(F1271:F1275)</f>
        <v>0</v>
      </c>
      <c r="G1276" s="19">
        <f t="shared" si="57"/>
        <v>-1780213152</v>
      </c>
      <c r="H1276" s="122"/>
    </row>
    <row r="1277" spans="1:8" ht="21.95" customHeight="1">
      <c r="A1277" s="14"/>
      <c r="B1277" s="14"/>
      <c r="C1277" s="18" t="s">
        <v>2095</v>
      </c>
      <c r="D1277" s="19">
        <f>VLOOKUP(A1258,'Neraca Unaudited SIMAK'!$A$2:$S$10004,18,FALSE)</f>
        <v>4567534621</v>
      </c>
      <c r="E1277" s="19">
        <f>E1276+E1270</f>
        <v>0</v>
      </c>
      <c r="F1277" s="19">
        <f>F1276+F1270</f>
        <v>0</v>
      </c>
      <c r="G1277" s="19">
        <f t="shared" si="57"/>
        <v>4567534621</v>
      </c>
      <c r="H1277" s="122"/>
    </row>
    <row r="1278" spans="1:8" ht="21.95" customHeight="1">
      <c r="A1278" s="14"/>
      <c r="B1278" s="14"/>
      <c r="C1278" s="16" t="s">
        <v>2091</v>
      </c>
      <c r="D1278" s="17">
        <f>VLOOKUP(A1258,'Neraca Unaudited SIMAK'!$A$2:$S$10004,19,FALSE)</f>
        <v>0</v>
      </c>
      <c r="E1278" s="25"/>
      <c r="F1278" s="25"/>
      <c r="G1278" s="17">
        <f t="shared" si="57"/>
        <v>0</v>
      </c>
      <c r="H1278" s="123"/>
    </row>
    <row r="1280" spans="1:8" ht="19.5" customHeight="1">
      <c r="A1280" s="11" t="str">
        <f>O59</f>
        <v>005010500401472000KD</v>
      </c>
      <c r="B1280" s="11" t="str">
        <f>P59</f>
        <v>PA. Lumajang</v>
      </c>
      <c r="C1280" s="12" t="str">
        <f>A1280&amp;" "&amp;B1280</f>
        <v>005010500401472000KD PA. Lumajang</v>
      </c>
      <c r="D1280" s="13"/>
      <c r="E1280" s="13"/>
      <c r="F1280" s="13"/>
      <c r="G1280" s="13"/>
      <c r="H1280" s="11"/>
    </row>
    <row r="1281" spans="1:8" ht="21.95" customHeight="1">
      <c r="A1281" s="14"/>
      <c r="B1281" s="14"/>
      <c r="C1281" s="124" t="s">
        <v>1982</v>
      </c>
      <c r="D1281" s="126" t="s">
        <v>1983</v>
      </c>
      <c r="E1281" s="132" t="s">
        <v>1984</v>
      </c>
      <c r="F1281" s="132"/>
      <c r="G1281" s="126" t="s">
        <v>1987</v>
      </c>
      <c r="H1281" s="130" t="s">
        <v>1175</v>
      </c>
    </row>
    <row r="1282" spans="1:8" ht="21.95" customHeight="1">
      <c r="A1282" s="14"/>
      <c r="B1282" s="14"/>
      <c r="C1282" s="125"/>
      <c r="D1282" s="127"/>
      <c r="E1282" s="26" t="s">
        <v>1985</v>
      </c>
      <c r="F1282" s="26" t="s">
        <v>1986</v>
      </c>
      <c r="G1282" s="127"/>
      <c r="H1282" s="131"/>
    </row>
    <row r="1283" spans="1:8" ht="21.95" customHeight="1">
      <c r="A1283" s="14"/>
      <c r="B1283" s="14"/>
      <c r="C1283" s="16" t="s">
        <v>1165</v>
      </c>
      <c r="D1283" s="17">
        <f>VLOOKUP(A1280,'Neraca Unaudited SIMAK'!$A$2:$S$10004,3,FALSE)</f>
        <v>10803980</v>
      </c>
      <c r="E1283" s="25">
        <f>SUMIFS('Daftar Koreksi'!$H$5:$H$92,'Daftar Koreksi'!$D$5:$D$92,'0500'!A1280,'Daftar Koreksi'!$G$5:$G$92,"Persediaan",'Daftar Koreksi'!$H$5:$H$92,"&gt;0")</f>
        <v>0</v>
      </c>
      <c r="F1283" s="25">
        <f>SUMIFS('Daftar Koreksi'!$H$5:$H$92,'Daftar Koreksi'!$D$5:$D$92,'0500'!A1280,'Daftar Koreksi'!$G$5:$G$92,"Persediaan",'Daftar Koreksi'!$H$5:$H$92,"&lt;0")-SUMIFS('Daftar Koreksi'!$H$5:$H$92,'Daftar Koreksi'!$D$5:$D$92,'0500'!A1280,'Daftar Koreksi'!$G$5:$G$92,"Persediaan",'Daftar Koreksi'!$H$5:$H$92,"&lt;0")-SUMIFS('Daftar Koreksi'!$H$5:$H$92,'Daftar Koreksi'!$D$5:$D$92,'0500'!A1280,'Daftar Koreksi'!$G$5:$G$92,"Persediaan",'Daftar Koreksi'!$H$5:$H$92,"&lt;0")</f>
        <v>0</v>
      </c>
      <c r="G1283" s="17">
        <f>D1283+E1283-F1283</f>
        <v>10803980</v>
      </c>
      <c r="H1283" s="121" t="str">
        <f>IF(ISNA(VLOOKUP(A1280,'Mutasi Neraca'!$A$3:$S$914,19,FALSE)),"-",VLOOKUP(A1280,'Mutasi Neraca'!$A$3:$S$914,19,FALSE))</f>
        <v>-</v>
      </c>
    </row>
    <row r="1284" spans="1:8" ht="21.95" customHeight="1">
      <c r="A1284" s="14"/>
      <c r="B1284" s="14"/>
      <c r="C1284" s="16" t="s">
        <v>1166</v>
      </c>
      <c r="D1284" s="17">
        <f>VLOOKUP(A1280,'Neraca Unaudited SIMAK'!$A$2:$S$10004,4,FALSE)</f>
        <v>4831100000</v>
      </c>
      <c r="E1284" s="25">
        <f>SUMIFS('Daftar Koreksi'!$H$5:$H$92,'Daftar Koreksi'!$D$5:$D$92,'0500'!A1280,'Daftar Koreksi'!$G$5:$G$92,"Tanah",'Daftar Koreksi'!$H$5:$H$92,"&gt;0")</f>
        <v>0</v>
      </c>
      <c r="F1284" s="25">
        <f>SUMIFS('Daftar Koreksi'!$H$5:$H$92,'Daftar Koreksi'!$D$5:$D$92,'0500'!A1280,'Daftar Koreksi'!$G$5:$G$92,"Tanah",'Daftar Koreksi'!$H$5:$H$92,"&lt;0")-SUMIFS('Daftar Koreksi'!$H$5:$H$92,'Daftar Koreksi'!$D$5:$D$92,'0500'!A1280,'Daftar Koreksi'!$G$5:$G$92,"Tanah",'Daftar Koreksi'!$H$5:$H$92,"&lt;0")-SUMIFS('Daftar Koreksi'!$H$5:$H$92,'Daftar Koreksi'!$D$5:$D$92,'0500'!A1280,'Daftar Koreksi'!$G$5:$G$92,"Tanah",'Daftar Koreksi'!$H$5:$H$92,"&lt;0")</f>
        <v>0</v>
      </c>
      <c r="G1284" s="17">
        <f t="shared" ref="G1284:G1300" si="58">D1284+E1284-F1284</f>
        <v>4831100000</v>
      </c>
      <c r="H1284" s="122"/>
    </row>
    <row r="1285" spans="1:8" ht="21.95" customHeight="1">
      <c r="A1285" s="14"/>
      <c r="B1285" s="14"/>
      <c r="C1285" s="16" t="s">
        <v>1167</v>
      </c>
      <c r="D1285" s="17">
        <f>VLOOKUP(A1280,'Neraca Unaudited SIMAK'!$A$2:$S$10004,5,FALSE)</f>
        <v>1542668954</v>
      </c>
      <c r="E1285" s="25">
        <f>SUMIFS('Daftar Koreksi'!$H$5:$H$92,'Daftar Koreksi'!$D$5:$D$92,'0500'!A1280,'Daftar Koreksi'!$G$5:$G$92,"Peralatan dan mesin",'Daftar Koreksi'!$H$5:$H$92,"&gt;0")</f>
        <v>0</v>
      </c>
      <c r="F1285" s="25">
        <f>SUMIFS('Daftar Koreksi'!$H$5:$H$92,'Daftar Koreksi'!$D$5:$D$92,'0500'!A1280,'Daftar Koreksi'!$G$5:$G$92,"Peralatan dan mesin",'Daftar Koreksi'!$H$5:$H$92,"&lt;0")-SUMIFS('Daftar Koreksi'!$H$5:$H$92,'Daftar Koreksi'!$D$5:$D$92,'0500'!A1280,'Daftar Koreksi'!$G$5:$G$92,"Peralatan dan mesin",'Daftar Koreksi'!$H$5:$H$92,"&lt;0")-SUMIFS('Daftar Koreksi'!$H$5:$H$92,'Daftar Koreksi'!$D$5:$D$92,'0500'!A1280,'Daftar Koreksi'!$G$5:$G$92,"Peralatan dan mesin",'Daftar Koreksi'!$H$5:$H$92,"&lt;0")</f>
        <v>0</v>
      </c>
      <c r="G1285" s="17">
        <f t="shared" si="58"/>
        <v>1542668954</v>
      </c>
      <c r="H1285" s="122"/>
    </row>
    <row r="1286" spans="1:8" ht="21.95" customHeight="1">
      <c r="A1286" s="14"/>
      <c r="B1286" s="14"/>
      <c r="C1286" s="16" t="s">
        <v>1168</v>
      </c>
      <c r="D1286" s="17">
        <f>VLOOKUP(A1280,'Neraca Unaudited SIMAK'!$A$2:$S$10004,6,FALSE)</f>
        <v>9175063200</v>
      </c>
      <c r="E1286" s="25">
        <f>SUMIFS('Daftar Koreksi'!$H$5:$H$92,'Daftar Koreksi'!$D$5:$D$92,'0500'!A1280,'Daftar Koreksi'!$G$5:$G$92,"Gedung dan Bangunan",'Daftar Koreksi'!$H$5:$H$92,"&gt;0")</f>
        <v>0</v>
      </c>
      <c r="F1286" s="25">
        <f>SUMIFS('Daftar Koreksi'!$H$5:$H$92,'Daftar Koreksi'!$D$5:$D$92,'0500'!A1280,'Daftar Koreksi'!$G$5:$G$92,"Gedung dan Bangunan",'Daftar Koreksi'!$H$5:$H$92,"&lt;0")-SUMIFS('Daftar Koreksi'!$H$5:$H$92,'Daftar Koreksi'!$D$5:$D$92,'0500'!A1280,'Daftar Koreksi'!$G$5:$G$92,"Gedung dan Bangunan",'Daftar Koreksi'!$H$5:$H$92,"&lt;0")-SUMIFS('Daftar Koreksi'!$H$5:$H$92,'Daftar Koreksi'!$D$5:$D$92,'0500'!A1280,'Daftar Koreksi'!$G$5:$G$92,"Gedung dan Bangunan",'Daftar Koreksi'!$H$5:$H$92,"&lt;0")</f>
        <v>0</v>
      </c>
      <c r="G1286" s="17">
        <f t="shared" si="58"/>
        <v>9175063200</v>
      </c>
      <c r="H1286" s="122"/>
    </row>
    <row r="1287" spans="1:8" ht="21.95" customHeight="1">
      <c r="A1287" s="14"/>
      <c r="B1287" s="14"/>
      <c r="C1287" s="16" t="s">
        <v>1169</v>
      </c>
      <c r="D1287" s="17">
        <f>VLOOKUP(A1280,'Neraca Unaudited SIMAK'!$A$2:$S$10004,7,FALSE)</f>
        <v>0</v>
      </c>
      <c r="E1287" s="25">
        <f>SUMIFS('Daftar Koreksi'!$H$5:$H$92,'Daftar Koreksi'!$D$5:$D$92,'0500'!A1280,'Daftar Koreksi'!$G$5:$G$92,"Jalan Irigasi Jaringan",'Daftar Koreksi'!$H$5:$H$92,"&gt;0")</f>
        <v>0</v>
      </c>
      <c r="F1287" s="25">
        <f>SUMIFS('Daftar Koreksi'!$H$5:$H$92,'Daftar Koreksi'!$D$5:$D$92,'0500'!A1280,'Daftar Koreksi'!$G$5:$G$92,"Jalan Irigasi Jaringan",'Daftar Koreksi'!$H$5:$H$92,"&lt;0")-SUMIFS('Daftar Koreksi'!$H$5:$H$92,'Daftar Koreksi'!$D$5:$D$92,'0500'!A1280,'Daftar Koreksi'!$G$5:$G$92,"Jalan Irigasi Jaringan",'Daftar Koreksi'!$H$5:$H$92,"&lt;0")-SUMIFS('Daftar Koreksi'!$H$5:$H$92,'Daftar Koreksi'!$D$5:$D$92,'0500'!A1280,'Daftar Koreksi'!$G$5:$G$92,"Jalan Irigasi Jaringan",'Daftar Koreksi'!$H$5:$H$92,"&lt;0")</f>
        <v>0</v>
      </c>
      <c r="G1287" s="17">
        <f t="shared" si="58"/>
        <v>0</v>
      </c>
      <c r="H1287" s="122"/>
    </row>
    <row r="1288" spans="1:8" ht="21.95" customHeight="1">
      <c r="A1288" s="14"/>
      <c r="B1288" s="14"/>
      <c r="C1288" s="16" t="s">
        <v>1170</v>
      </c>
      <c r="D1288" s="17">
        <f>VLOOKUP(A1280,'Neraca Unaudited SIMAK'!$A$2:$S$10004,8,FALSE)</f>
        <v>408000</v>
      </c>
      <c r="E1288" s="25">
        <f>SUMIFS('Daftar Koreksi'!$H$5:$H$92,'Daftar Koreksi'!$D$5:$D$92,'0500'!A1280,'Daftar Koreksi'!$G$5:$G$92,"Aset Tetap Lainnya",'Daftar Koreksi'!$H$5:$H$92,"&gt;0")</f>
        <v>0</v>
      </c>
      <c r="F1288" s="25">
        <f>SUMIFS('Daftar Koreksi'!$H$5:$H$92,'Daftar Koreksi'!$D$5:$D$92,'0500'!A1280,'Daftar Koreksi'!$G$5:$G$92,"Aset Tetap Lainnya",'Daftar Koreksi'!$H$5:$H$92,"&lt;0")-SUMIFS('Daftar Koreksi'!$H$5:$H$92,'Daftar Koreksi'!$D$5:$D$92,'0500'!A1280,'Daftar Koreksi'!$G$5:$G$92,"Aset Tetap Lainnya",'Daftar Koreksi'!$H$5:$H$92,"&lt;0")-SUMIFS('Daftar Koreksi'!$H$5:$H$92,'Daftar Koreksi'!$D$5:$D$92,'0500'!A1280,'Daftar Koreksi'!$G$5:$G$92,"Aset Tetap Lainnya",'Daftar Koreksi'!$H$5:$H$92,"&lt;0")</f>
        <v>0</v>
      </c>
      <c r="G1288" s="17">
        <f t="shared" si="58"/>
        <v>408000</v>
      </c>
      <c r="H1288" s="122"/>
    </row>
    <row r="1289" spans="1:8" ht="21.95" customHeight="1">
      <c r="A1289" s="14"/>
      <c r="B1289" s="14"/>
      <c r="C1289" s="16" t="s">
        <v>1171</v>
      </c>
      <c r="D1289" s="17">
        <f>VLOOKUP(A1280,'Neraca Unaudited SIMAK'!$A$2:$S$10004,9,FALSE)</f>
        <v>0</v>
      </c>
      <c r="E1289" s="25">
        <f>SUMIFS('Daftar Koreksi'!$H$5:$H$92,'Daftar Koreksi'!$D$5:$D$92,'0500'!A1280,'Daftar Koreksi'!$G$5:$G$92,"Kontruksi Dalam Pengerjaan",'Daftar Koreksi'!$H$5:$H$92,"&gt;0")</f>
        <v>0</v>
      </c>
      <c r="F1289" s="25">
        <f>SUMIFS('Daftar Koreksi'!$H$5:$H$92,'Daftar Koreksi'!$D$5:$D$92,'0500'!A1280,'Daftar Koreksi'!$G$5:$G$92,"Kontruksi Dalam Pengerjaan",'Daftar Koreksi'!$H$5:$H$92,"&lt;0")-SUMIFS('Daftar Koreksi'!$H$5:$H$92,'Daftar Koreksi'!$D$5:$D$92,'0500'!A1280,'Daftar Koreksi'!$G$5:$G$92,"Kontruksi Dalam Pengerjaan",'Daftar Koreksi'!$H$5:$H$92,"&lt;0")-SUMIFS('Daftar Koreksi'!$H$5:$H$92,'Daftar Koreksi'!$D$5:$D$92,'0500'!A1280,'Daftar Koreksi'!$G$5:$G$92,"Kontruksi Dalam Pengerjaan",'Daftar Koreksi'!$H$5:$H$92,"&lt;0")</f>
        <v>0</v>
      </c>
      <c r="G1289" s="17">
        <f t="shared" si="58"/>
        <v>0</v>
      </c>
      <c r="H1289" s="122"/>
    </row>
    <row r="1290" spans="1:8" ht="21.95" customHeight="1">
      <c r="A1290" s="14"/>
      <c r="B1290" s="14"/>
      <c r="C1290" s="16" t="s">
        <v>1172</v>
      </c>
      <c r="D1290" s="17">
        <f>VLOOKUP(A1280,'Neraca Unaudited SIMAK'!$A$2:$S$10004,10,FALSE)</f>
        <v>0</v>
      </c>
      <c r="E1290" s="25">
        <f>SUMIFS('Daftar Koreksi'!$H$5:$H$92,'Daftar Koreksi'!$D$5:$D$92,'0500'!A1280,'Daftar Koreksi'!$G$5:$G$92,"Aset Tak Berwujud",'Daftar Koreksi'!$H$5:$H$92,"&gt;0")</f>
        <v>0</v>
      </c>
      <c r="F1290" s="25">
        <f>SUMIFS('Daftar Koreksi'!$H$5:$H$92,'Daftar Koreksi'!$D$5:$D$92,'0500'!A1280,'Daftar Koreksi'!$G$5:$G$92,"Aset Tak Berwujud",'Daftar Koreksi'!$H$5:$H$92,"&lt;0")-SUMIFS('Daftar Koreksi'!$H$5:$H$92,'Daftar Koreksi'!$D$5:$D$92,'0500'!A1280,'Daftar Koreksi'!$G$5:$G$92,"Aset Tak Berwujud",'Daftar Koreksi'!$H$5:$H$92,"&lt;0")-SUMIFS('Daftar Koreksi'!$H$5:$H$92,'Daftar Koreksi'!$D$5:$D$92,'0500'!A1280,'Daftar Koreksi'!$G$5:$G$92,"Aset Tak Berwujud",'Daftar Koreksi'!$H$5:$H$92,"&lt;0")</f>
        <v>0</v>
      </c>
      <c r="G1290" s="17">
        <f t="shared" si="58"/>
        <v>0</v>
      </c>
      <c r="H1290" s="122"/>
    </row>
    <row r="1291" spans="1:8" ht="21.95" customHeight="1">
      <c r="A1291" s="14"/>
      <c r="B1291" s="14"/>
      <c r="C1291" s="16" t="s">
        <v>1173</v>
      </c>
      <c r="D1291" s="17">
        <f>VLOOKUP(A1280,'Neraca Unaudited SIMAK'!$A$2:$S$10004,11,FALSE)</f>
        <v>91123000</v>
      </c>
      <c r="E1291" s="25">
        <f>SUMIFS('Daftar Koreksi'!$H$5:$H$92,'Daftar Koreksi'!$D$5:$D$92,'0500'!A1280,'Daftar Koreksi'!$G$5:$G$92,"Aset Henti Guna",'Daftar Koreksi'!$H$5:$H$92,"&gt;0")</f>
        <v>0</v>
      </c>
      <c r="F1291" s="25">
        <f>SUMIFS('Daftar Koreksi'!$H$5:$H$92,'Daftar Koreksi'!$D$5:$D$92,'0500'!A1280,'Daftar Koreksi'!$G$5:$G$92,"Aset Henti Guna",'Daftar Koreksi'!$H$5:$H$92,"&lt;0")-SUMIFS('Daftar Koreksi'!$H$5:$H$92,'Daftar Koreksi'!$D$5:$D$92,'0500'!A1280,'Daftar Koreksi'!$G$5:$G$92,"Aset Henti Guna",'Daftar Koreksi'!$H$5:$H$92,"&lt;0")-SUMIFS('Daftar Koreksi'!$H$5:$H$92,'Daftar Koreksi'!$D$5:$D$92,'0500'!A1280,'Daftar Koreksi'!$G$5:$G$92,"Aset Henti Guna",'Daftar Koreksi'!$H$5:$H$92,"&lt;0")</f>
        <v>0</v>
      </c>
      <c r="G1291" s="17">
        <f t="shared" si="58"/>
        <v>91123000</v>
      </c>
      <c r="H1291" s="122"/>
    </row>
    <row r="1292" spans="1:8" ht="21.95" customHeight="1">
      <c r="A1292" s="14"/>
      <c r="B1292" s="14"/>
      <c r="C1292" s="18" t="s">
        <v>2093</v>
      </c>
      <c r="D1292" s="19">
        <f>VLOOKUP(A1280,'Neraca Unaudited SIMAK'!$A$2:$S$10004,12,FALSE)</f>
        <v>15651167134</v>
      </c>
      <c r="E1292" s="19">
        <f>SUM(E1283:E1291)</f>
        <v>0</v>
      </c>
      <c r="F1292" s="19">
        <f>SUM(F1283:F1291)</f>
        <v>0</v>
      </c>
      <c r="G1292" s="19">
        <f t="shared" si="58"/>
        <v>15651167134</v>
      </c>
      <c r="H1292" s="122"/>
    </row>
    <row r="1293" spans="1:8" ht="21.95" customHeight="1">
      <c r="A1293" s="14"/>
      <c r="B1293" s="14"/>
      <c r="C1293" s="16" t="s">
        <v>2087</v>
      </c>
      <c r="D1293" s="17">
        <f>VLOOKUP(A1280,'Neraca Unaudited SIMAK'!$A$2:$S$10004,13,FALSE)</f>
        <v>-965792952</v>
      </c>
      <c r="E1293" s="25">
        <f>SUMIFS('Daftar Koreksi'!$I$5:$I$92,'Daftar Koreksi'!$D$5:$D$92,'0500'!A1280,'Daftar Koreksi'!$G$5:$G$92,"Peralatan dan mesin",'Daftar Koreksi'!$I$5:$I$92,"&gt;0")</f>
        <v>0</v>
      </c>
      <c r="F1293" s="25">
        <f>SUMIFS('Daftar Koreksi'!$I$5:$I$92,'Daftar Koreksi'!$D$5:$D$92,'0500'!A1280,'Daftar Koreksi'!$G$5:$G$92,"Peralatan dan mesin",'Daftar Koreksi'!$I$5:$I$92,"&lt;0")-SUMIFS('Daftar Koreksi'!$I$5:$I$92,'Daftar Koreksi'!$D$5:$D$92,'0500'!A1280,'Daftar Koreksi'!$G$5:$G$92,"Peralatan dan mesin",'Daftar Koreksi'!$I$5:$I$92,"&lt;0")-SUMIFS('Daftar Koreksi'!$I$5:$I$92,'Daftar Koreksi'!$D$5:$D$92,'0500'!A1280,'Daftar Koreksi'!$G$5:$G$92,"Peralatan dan mesin",'Daftar Koreksi'!$I$5:$I$92,"&lt;0")</f>
        <v>0</v>
      </c>
      <c r="G1293" s="17">
        <f t="shared" si="58"/>
        <v>-965792952</v>
      </c>
      <c r="H1293" s="122"/>
    </row>
    <row r="1294" spans="1:8" ht="21.95" customHeight="1">
      <c r="A1294" s="14"/>
      <c r="B1294" s="14"/>
      <c r="C1294" s="16" t="s">
        <v>2088</v>
      </c>
      <c r="D1294" s="17">
        <f>VLOOKUP(A1280,'Neraca Unaudited SIMAK'!$A$2:$S$10004,14,FALSE)</f>
        <v>-619173333</v>
      </c>
      <c r="E1294" s="25">
        <f>SUMIFS('Daftar Koreksi'!$I$5:$I$92,'Daftar Koreksi'!$D$5:$D$92,'0500'!A1280,'Daftar Koreksi'!$G$5:$G$92,"Gedung dan Bangunan",'Daftar Koreksi'!$I$5:$I$92,"&gt;0")</f>
        <v>0</v>
      </c>
      <c r="F1294" s="25">
        <f>SUMIFS('Daftar Koreksi'!$I$5:$I$92,'Daftar Koreksi'!$D$5:$D$92,'0500'!A1280,'Daftar Koreksi'!$G$5:$G$92,"Gedung dan Bangunan",'Daftar Koreksi'!$I$5:$I$92,"&lt;0")-SUMIFS('Daftar Koreksi'!$I$5:$I$92,'Daftar Koreksi'!$D$5:$D$92,'0500'!A1280,'Daftar Koreksi'!$G$5:$G$92,"Gedung dan Bangunan",'Daftar Koreksi'!$I$5:$I$92,"&lt;0")-SUMIFS('Daftar Koreksi'!$I$5:$I$92,'Daftar Koreksi'!$D$5:$D$92,'0500'!A1280,'Daftar Koreksi'!$G$5:$G$92,"Gedung dan Bangunan",'Daftar Koreksi'!$I$5:$I$92,"&lt;0")</f>
        <v>0</v>
      </c>
      <c r="G1294" s="17">
        <f t="shared" si="58"/>
        <v>-619173333</v>
      </c>
      <c r="H1294" s="122"/>
    </row>
    <row r="1295" spans="1:8" ht="21.95" customHeight="1">
      <c r="A1295" s="14"/>
      <c r="B1295" s="14"/>
      <c r="C1295" s="16" t="s">
        <v>2089</v>
      </c>
      <c r="D1295" s="17">
        <f>VLOOKUP(A1280,'Neraca Unaudited SIMAK'!$A$2:$S$10004,15,FALSE)</f>
        <v>0</v>
      </c>
      <c r="E1295" s="25">
        <f>SUMIFS('Daftar Koreksi'!$I$5:$I$92,'Daftar Koreksi'!$D$5:$D$92,'0500'!A1280,'Daftar Koreksi'!$G$5:$G$92,"Jalan Irigasi Jaringan",'Daftar Koreksi'!$I$5:$I$92,"&gt;0")</f>
        <v>0</v>
      </c>
      <c r="F1295" s="25">
        <f>SUMIFS('Daftar Koreksi'!$I$5:$I$92,'Daftar Koreksi'!$D$5:$D$92,'0500'!A1280,'Daftar Koreksi'!$G$5:$G$92,"Jalan Irigasi Jaringan",'Daftar Koreksi'!$I$5:$I$92,"&lt;0")-SUMIFS('Daftar Koreksi'!$I$5:$I$92,'Daftar Koreksi'!$D$5:$D$92,'0500'!A1280,'Daftar Koreksi'!$G$5:$G$92,"Jalan Irigasi Jaringan",'Daftar Koreksi'!$I$5:$I$92,"&lt;0")-SUMIFS('Daftar Koreksi'!$I$5:$I$92,'Daftar Koreksi'!$D$5:$D$92,'0500'!A1280,'Daftar Koreksi'!$G$5:$G$92,"Jalan Irigasi Jaringan",'Daftar Koreksi'!$I$5:$I$92,"&lt;0")</f>
        <v>0</v>
      </c>
      <c r="G1295" s="17">
        <f t="shared" si="58"/>
        <v>0</v>
      </c>
      <c r="H1295" s="122"/>
    </row>
    <row r="1296" spans="1:8" ht="21.95" customHeight="1">
      <c r="A1296" s="14"/>
      <c r="B1296" s="14"/>
      <c r="C1296" s="16" t="s">
        <v>2090</v>
      </c>
      <c r="D1296" s="17">
        <f>VLOOKUP(A1280,'Neraca Unaudited SIMAK'!$A$2:$S$10004,16,FALSE)</f>
        <v>0</v>
      </c>
      <c r="E1296" s="25">
        <f>SUMIFS('Daftar Koreksi'!$I$5:$I$92,'Daftar Koreksi'!$D$5:$D$92,'0500'!A1280,'Daftar Koreksi'!$G$5:$G$92,"Aset Tetap Lainnya",'Daftar Koreksi'!$I$5:$I$92,"&gt;0")</f>
        <v>0</v>
      </c>
      <c r="F1296" s="25">
        <f>SUMIFS('Daftar Koreksi'!$I$5:$I$92,'Daftar Koreksi'!$D$5:$D$92,'0500'!A1280,'Daftar Koreksi'!$G$5:$G$92,"Aset Tetap Lainnya",'Daftar Koreksi'!$I$5:$I$92,"&lt;0")-SUMIFS('Daftar Koreksi'!$I$5:$I$92,'Daftar Koreksi'!$D$5:$D$92,'0500'!A1280,'Daftar Koreksi'!$G$5:$G$92,"Aset Tetap Lainnya",'Daftar Koreksi'!$I$5:$I$92,"&lt;0")-SUMIFS('Daftar Koreksi'!$I$5:$I$92,'Daftar Koreksi'!$D$5:$D$92,'0500'!A1280,'Daftar Koreksi'!$G$5:$G$92,"Aset Tetap Lainnya",'Daftar Koreksi'!$I$5:$I$92,"&lt;0")</f>
        <v>0</v>
      </c>
      <c r="G1296" s="17">
        <f t="shared" si="58"/>
        <v>0</v>
      </c>
      <c r="H1296" s="122"/>
    </row>
    <row r="1297" spans="1:10" ht="21.95" customHeight="1">
      <c r="A1297" s="14"/>
      <c r="B1297" s="14"/>
      <c r="C1297" s="16" t="s">
        <v>2020</v>
      </c>
      <c r="D1297" s="17">
        <f>VLOOKUP(A1280,'Neraca Unaudited SIMAK'!$A$2:$S$10004,17,FALSE)</f>
        <v>-91123000</v>
      </c>
      <c r="E1297" s="25">
        <f>SUMIFS('Daftar Koreksi'!$I$5:$I$92,'Daftar Koreksi'!$D$5:$D$92,'0500'!A1280,'Daftar Koreksi'!$G$5:$G$92,"Aset Henti Guna",'Daftar Koreksi'!$I$5:$I$92,"&gt;0")</f>
        <v>0</v>
      </c>
      <c r="F1297" s="25">
        <f>SUMIFS('Daftar Koreksi'!$I$5:$I$92,'Daftar Koreksi'!$D$5:$D$92,'0500'!A1280,'Daftar Koreksi'!$G$5:$G$92,"Aset Henti Guna",'Daftar Koreksi'!$I$5:$I$92,"&lt;0")-SUMIFS('Daftar Koreksi'!$I$5:$I$92,'Daftar Koreksi'!$D$5:$D$92,'0500'!A1280,'Daftar Koreksi'!$G$5:$G$92,"Aset Henti Guna",'Daftar Koreksi'!$I$5:$I$92,"&lt;0")-SUMIFS('Daftar Koreksi'!$I$5:$I$92,'Daftar Koreksi'!$D$5:$D$92,'0500'!A1280,'Daftar Koreksi'!$G$5:$G$92,"Aset Henti Guna",'Daftar Koreksi'!$I$5:$I$92,"&lt;0")</f>
        <v>0</v>
      </c>
      <c r="G1297" s="17">
        <f t="shared" si="58"/>
        <v>-91123000</v>
      </c>
      <c r="H1297" s="122"/>
    </row>
    <row r="1298" spans="1:10" ht="21.95" customHeight="1">
      <c r="A1298" s="14"/>
      <c r="B1298" s="14"/>
      <c r="C1298" s="18" t="s">
        <v>2094</v>
      </c>
      <c r="D1298" s="19">
        <f>SUM(D1293:D1297)</f>
        <v>-1676089285</v>
      </c>
      <c r="E1298" s="19">
        <f>SUM(E1293:E1297)</f>
        <v>0</v>
      </c>
      <c r="F1298" s="19">
        <f>SUM(F1293:F1297)</f>
        <v>0</v>
      </c>
      <c r="G1298" s="19">
        <f t="shared" si="58"/>
        <v>-1676089285</v>
      </c>
      <c r="H1298" s="122"/>
    </row>
    <row r="1299" spans="1:10" ht="21.95" customHeight="1">
      <c r="A1299" s="14"/>
      <c r="B1299" s="14"/>
      <c r="C1299" s="18" t="s">
        <v>2095</v>
      </c>
      <c r="D1299" s="19">
        <f>VLOOKUP(A1280,'Neraca Unaudited SIMAK'!$A$2:$S$10004,18,FALSE)</f>
        <v>13975077849</v>
      </c>
      <c r="E1299" s="19">
        <f>E1298+E1292</f>
        <v>0</v>
      </c>
      <c r="F1299" s="19">
        <f>F1298+F1292</f>
        <v>0</v>
      </c>
      <c r="G1299" s="19">
        <f t="shared" si="58"/>
        <v>13975077849</v>
      </c>
      <c r="H1299" s="122"/>
    </row>
    <row r="1300" spans="1:10" ht="21.95" customHeight="1">
      <c r="A1300" s="14"/>
      <c r="B1300" s="14"/>
      <c r="C1300" s="16" t="s">
        <v>2091</v>
      </c>
      <c r="D1300" s="17">
        <f>VLOOKUP(A1280,'Neraca Unaudited SIMAK'!$A$2:$S$10004,19,FALSE)</f>
        <v>0</v>
      </c>
      <c r="E1300" s="25"/>
      <c r="F1300" s="25"/>
      <c r="G1300" s="17">
        <f t="shared" si="58"/>
        <v>0</v>
      </c>
      <c r="H1300" s="123"/>
    </row>
    <row r="1302" spans="1:10" ht="19.5" customHeight="1">
      <c r="A1302" s="11" t="str">
        <f>O60</f>
        <v>005010500401488000KD</v>
      </c>
      <c r="B1302" s="11" t="str">
        <f>P60</f>
        <v>PA. Madiun</v>
      </c>
      <c r="C1302" s="12" t="str">
        <f>A1302&amp;" "&amp;B1302</f>
        <v>005010500401488000KD PA. Madiun</v>
      </c>
      <c r="D1302" s="13"/>
      <c r="E1302" s="13"/>
      <c r="F1302" s="13"/>
      <c r="G1302" s="13"/>
      <c r="H1302" s="11"/>
    </row>
    <row r="1303" spans="1:10" ht="21.95" customHeight="1">
      <c r="A1303" s="14"/>
      <c r="B1303" s="14"/>
      <c r="C1303" s="124" t="s">
        <v>1982</v>
      </c>
      <c r="D1303" s="126" t="s">
        <v>1983</v>
      </c>
      <c r="E1303" s="132" t="s">
        <v>1984</v>
      </c>
      <c r="F1303" s="132"/>
      <c r="G1303" s="126" t="s">
        <v>1987</v>
      </c>
      <c r="H1303" s="130" t="s">
        <v>1175</v>
      </c>
    </row>
    <row r="1304" spans="1:10" ht="21.95" customHeight="1">
      <c r="A1304" s="14"/>
      <c r="B1304" s="14"/>
      <c r="C1304" s="125"/>
      <c r="D1304" s="127"/>
      <c r="E1304" s="26" t="s">
        <v>1985</v>
      </c>
      <c r="F1304" s="26" t="s">
        <v>1986</v>
      </c>
      <c r="G1304" s="127"/>
      <c r="H1304" s="131"/>
    </row>
    <row r="1305" spans="1:10" ht="21.95" customHeight="1">
      <c r="A1305" s="14"/>
      <c r="B1305" s="14"/>
      <c r="C1305" s="16" t="s">
        <v>1165</v>
      </c>
      <c r="D1305" s="17">
        <f>VLOOKUP(A1302,'Neraca Unaudited SIMAK'!$A$2:$S$10004,3,FALSE)</f>
        <v>333000</v>
      </c>
      <c r="E1305" s="25">
        <f>SUMIFS('Daftar Koreksi'!$H$5:$H$92,'Daftar Koreksi'!$D$5:$D$92,'0500'!A1302,'Daftar Koreksi'!$G$5:$G$92,"Persediaan",'Daftar Koreksi'!$H$5:$H$92,"&gt;0")</f>
        <v>0</v>
      </c>
      <c r="F1305" s="25">
        <f>SUMIFS('Daftar Koreksi'!$H$5:$H$92,'Daftar Koreksi'!$D$5:$D$92,'0500'!A1302,'Daftar Koreksi'!$G$5:$G$92,"Persediaan",'Daftar Koreksi'!$H$5:$H$92,"&lt;0")-SUMIFS('Daftar Koreksi'!$H$5:$H$92,'Daftar Koreksi'!$D$5:$D$92,'0500'!A1302,'Daftar Koreksi'!$G$5:$G$92,"Persediaan",'Daftar Koreksi'!$H$5:$H$92,"&lt;0")-SUMIFS('Daftar Koreksi'!$H$5:$H$92,'Daftar Koreksi'!$D$5:$D$92,'0500'!A1302,'Daftar Koreksi'!$G$5:$G$92,"Persediaan",'Daftar Koreksi'!$H$5:$H$92,"&lt;0")</f>
        <v>0</v>
      </c>
      <c r="G1305" s="17">
        <f>D1305+E1305-F1305</f>
        <v>333000</v>
      </c>
      <c r="H1305" s="121" t="str">
        <f>IF(ISNA(VLOOKUP(A1302,'Mutasi Neraca'!$A$3:$S$914,19,FALSE)),"-",VLOOKUP(A1302,'Mutasi Neraca'!$A$3:$S$914,19,FALSE))</f>
        <v>-</v>
      </c>
      <c r="I1305" s="28"/>
      <c r="J1305" s="28"/>
    </row>
    <row r="1306" spans="1:10" ht="21.95" customHeight="1">
      <c r="A1306" s="14"/>
      <c r="B1306" s="14"/>
      <c r="C1306" s="16" t="s">
        <v>1166</v>
      </c>
      <c r="D1306" s="17">
        <f>VLOOKUP(A1302,'Neraca Unaudited SIMAK'!$A$2:$S$10004,4,FALSE)</f>
        <v>2951556850</v>
      </c>
      <c r="E1306" s="25">
        <f>SUMIFS('Daftar Koreksi'!$H$5:$H$92,'Daftar Koreksi'!$D$5:$D$92,'0500'!A1302,'Daftar Koreksi'!$G$5:$G$92,"Tanah",'Daftar Koreksi'!$H$5:$H$92,"&gt;0")</f>
        <v>0</v>
      </c>
      <c r="F1306" s="25">
        <f>SUMIFS('Daftar Koreksi'!$H$5:$H$92,'Daftar Koreksi'!$D$5:$D$92,'0500'!A1302,'Daftar Koreksi'!$G$5:$G$92,"Tanah",'Daftar Koreksi'!$H$5:$H$92,"&lt;0")-SUMIFS('Daftar Koreksi'!$H$5:$H$92,'Daftar Koreksi'!$D$5:$D$92,'0500'!A1302,'Daftar Koreksi'!$G$5:$G$92,"Tanah",'Daftar Koreksi'!$H$5:$H$92,"&lt;0")-SUMIFS('Daftar Koreksi'!$H$5:$H$92,'Daftar Koreksi'!$D$5:$D$92,'0500'!A1302,'Daftar Koreksi'!$G$5:$G$92,"Tanah",'Daftar Koreksi'!$H$5:$H$92,"&lt;0")</f>
        <v>0</v>
      </c>
      <c r="G1306" s="17">
        <f t="shared" ref="G1306:G1322" si="59">D1306+E1306-F1306</f>
        <v>2951556850</v>
      </c>
      <c r="H1306" s="122"/>
      <c r="I1306" s="28"/>
      <c r="J1306" s="28"/>
    </row>
    <row r="1307" spans="1:10" ht="21.95" customHeight="1">
      <c r="A1307" s="14"/>
      <c r="B1307" s="14"/>
      <c r="C1307" s="16" t="s">
        <v>1167</v>
      </c>
      <c r="D1307" s="17">
        <f>VLOOKUP(A1302,'Neraca Unaudited SIMAK'!$A$2:$S$10004,5,FALSE)</f>
        <v>820633541</v>
      </c>
      <c r="E1307" s="25">
        <f>SUMIFS('Daftar Koreksi'!$H$5:$H$92,'Daftar Koreksi'!$D$5:$D$92,'0500'!A1302,'Daftar Koreksi'!$G$5:$G$92,"Peralatan dan mesin",'Daftar Koreksi'!$H$5:$H$92,"&gt;0")</f>
        <v>0</v>
      </c>
      <c r="F1307" s="25">
        <f>SUMIFS('Daftar Koreksi'!$H$5:$H$92,'Daftar Koreksi'!$D$5:$D$92,'0500'!A1302,'Daftar Koreksi'!$G$5:$G$92,"Peralatan dan mesin",'Daftar Koreksi'!$H$5:$H$92,"&lt;0")-SUMIFS('Daftar Koreksi'!$H$5:$H$92,'Daftar Koreksi'!$D$5:$D$92,'0500'!A1302,'Daftar Koreksi'!$G$5:$G$92,"Peralatan dan mesin",'Daftar Koreksi'!$H$5:$H$92,"&lt;0")-SUMIFS('Daftar Koreksi'!$H$5:$H$92,'Daftar Koreksi'!$D$5:$D$92,'0500'!A1302,'Daftar Koreksi'!$G$5:$G$92,"Peralatan dan mesin",'Daftar Koreksi'!$H$5:$H$92,"&lt;0")</f>
        <v>0</v>
      </c>
      <c r="G1307" s="17">
        <f t="shared" si="59"/>
        <v>820633541</v>
      </c>
      <c r="H1307" s="122"/>
      <c r="I1307" s="28"/>
      <c r="J1307" s="28"/>
    </row>
    <row r="1308" spans="1:10" ht="21.95" customHeight="1">
      <c r="A1308" s="14"/>
      <c r="B1308" s="14"/>
      <c r="C1308" s="16" t="s">
        <v>1168</v>
      </c>
      <c r="D1308" s="17">
        <f>VLOOKUP(A1302,'Neraca Unaudited SIMAK'!$A$2:$S$10004,6,FALSE)</f>
        <v>3503279482</v>
      </c>
      <c r="E1308" s="25">
        <f>SUMIFS('Daftar Koreksi'!$H$5:$H$92,'Daftar Koreksi'!$D$5:$D$92,'0500'!A1302,'Daftar Koreksi'!$G$5:$G$92,"Gedung dan Bangunan",'Daftar Koreksi'!$H$5:$H$92,"&gt;0")</f>
        <v>0</v>
      </c>
      <c r="F1308" s="25">
        <f>SUMIFS('Daftar Koreksi'!$H$5:$H$92,'Daftar Koreksi'!$D$5:$D$92,'0500'!A1302,'Daftar Koreksi'!$G$5:$G$92,"Gedung dan Bangunan",'Daftar Koreksi'!$H$5:$H$92,"&lt;0")-SUMIFS('Daftar Koreksi'!$H$5:$H$92,'Daftar Koreksi'!$D$5:$D$92,'0500'!A1302,'Daftar Koreksi'!$G$5:$G$92,"Gedung dan Bangunan",'Daftar Koreksi'!$H$5:$H$92,"&lt;0")-SUMIFS('Daftar Koreksi'!$H$5:$H$92,'Daftar Koreksi'!$D$5:$D$92,'0500'!A1302,'Daftar Koreksi'!$G$5:$G$92,"Gedung dan Bangunan",'Daftar Koreksi'!$H$5:$H$92,"&lt;0")</f>
        <v>0</v>
      </c>
      <c r="G1308" s="17">
        <f t="shared" si="59"/>
        <v>3503279482</v>
      </c>
      <c r="H1308" s="122"/>
      <c r="I1308" s="28"/>
      <c r="J1308" s="28"/>
    </row>
    <row r="1309" spans="1:10" ht="21.95" customHeight="1">
      <c r="A1309" s="14"/>
      <c r="B1309" s="14"/>
      <c r="C1309" s="16" t="s">
        <v>1169</v>
      </c>
      <c r="D1309" s="17">
        <f>VLOOKUP(A1302,'Neraca Unaudited SIMAK'!$A$2:$S$10004,7,FALSE)</f>
        <v>0</v>
      </c>
      <c r="E1309" s="25">
        <f>SUMIFS('Daftar Koreksi'!$H$5:$H$92,'Daftar Koreksi'!$D$5:$D$92,'0500'!A1302,'Daftar Koreksi'!$G$5:$G$92,"Jalan Irigasi Jaringan",'Daftar Koreksi'!$H$5:$H$92,"&gt;0")</f>
        <v>0</v>
      </c>
      <c r="F1309" s="25">
        <f>SUMIFS('Daftar Koreksi'!$H$5:$H$92,'Daftar Koreksi'!$D$5:$D$92,'0500'!A1302,'Daftar Koreksi'!$G$5:$G$92,"Jalan Irigasi Jaringan",'Daftar Koreksi'!$H$5:$H$92,"&lt;0")-SUMIFS('Daftar Koreksi'!$H$5:$H$92,'Daftar Koreksi'!$D$5:$D$92,'0500'!A1302,'Daftar Koreksi'!$G$5:$G$92,"Jalan Irigasi Jaringan",'Daftar Koreksi'!$H$5:$H$92,"&lt;0")-SUMIFS('Daftar Koreksi'!$H$5:$H$92,'Daftar Koreksi'!$D$5:$D$92,'0500'!A1302,'Daftar Koreksi'!$G$5:$G$92,"Jalan Irigasi Jaringan",'Daftar Koreksi'!$H$5:$H$92,"&lt;0")</f>
        <v>0</v>
      </c>
      <c r="G1309" s="17">
        <f t="shared" si="59"/>
        <v>0</v>
      </c>
      <c r="H1309" s="122"/>
      <c r="I1309" s="28"/>
      <c r="J1309" s="28"/>
    </row>
    <row r="1310" spans="1:10" ht="21.95" customHeight="1">
      <c r="A1310" s="14"/>
      <c r="B1310" s="14"/>
      <c r="C1310" s="16" t="s">
        <v>1170</v>
      </c>
      <c r="D1310" s="17">
        <f>VLOOKUP(A1302,'Neraca Unaudited SIMAK'!$A$2:$S$10004,8,FALSE)</f>
        <v>88573500</v>
      </c>
      <c r="E1310" s="25">
        <f>SUMIFS('Daftar Koreksi'!$H$5:$H$92,'Daftar Koreksi'!$D$5:$D$92,'0500'!A1302,'Daftar Koreksi'!$G$5:$G$92,"Aset Tetap Lainnya",'Daftar Koreksi'!$H$5:$H$92,"&gt;0")</f>
        <v>0</v>
      </c>
      <c r="F1310" s="25">
        <f>SUMIFS('Daftar Koreksi'!$H$5:$H$92,'Daftar Koreksi'!$D$5:$D$92,'0500'!A1302,'Daftar Koreksi'!$G$5:$G$92,"Aset Tetap Lainnya",'Daftar Koreksi'!$H$5:$H$92,"&lt;0")-SUMIFS('Daftar Koreksi'!$H$5:$H$92,'Daftar Koreksi'!$D$5:$D$92,'0500'!A1302,'Daftar Koreksi'!$G$5:$G$92,"Aset Tetap Lainnya",'Daftar Koreksi'!$H$5:$H$92,"&lt;0")-SUMIFS('Daftar Koreksi'!$H$5:$H$92,'Daftar Koreksi'!$D$5:$D$92,'0500'!A1302,'Daftar Koreksi'!$G$5:$G$92,"Aset Tetap Lainnya",'Daftar Koreksi'!$H$5:$H$92,"&lt;0")</f>
        <v>0</v>
      </c>
      <c r="G1310" s="17">
        <f t="shared" si="59"/>
        <v>88573500</v>
      </c>
      <c r="H1310" s="122"/>
      <c r="I1310" s="28"/>
      <c r="J1310" s="28"/>
    </row>
    <row r="1311" spans="1:10" ht="21.95" customHeight="1">
      <c r="A1311" s="14"/>
      <c r="B1311" s="14"/>
      <c r="C1311" s="16" t="s">
        <v>1171</v>
      </c>
      <c r="D1311" s="17">
        <f>VLOOKUP(A1302,'Neraca Unaudited SIMAK'!$A$2:$S$10004,9,FALSE)</f>
        <v>0</v>
      </c>
      <c r="E1311" s="25">
        <f>SUMIFS('Daftar Koreksi'!$H$5:$H$92,'Daftar Koreksi'!$D$5:$D$92,'0500'!A1302,'Daftar Koreksi'!$G$5:$G$92,"Kontruksi Dalam Pengerjaan",'Daftar Koreksi'!$H$5:$H$92,"&gt;0")</f>
        <v>0</v>
      </c>
      <c r="F1311" s="25">
        <f>SUMIFS('Daftar Koreksi'!$H$5:$H$92,'Daftar Koreksi'!$D$5:$D$92,'0500'!A1302,'Daftar Koreksi'!$G$5:$G$92,"Kontruksi Dalam Pengerjaan",'Daftar Koreksi'!$H$5:$H$92,"&lt;0")-SUMIFS('Daftar Koreksi'!$H$5:$H$92,'Daftar Koreksi'!$D$5:$D$92,'0500'!A1302,'Daftar Koreksi'!$G$5:$G$92,"Kontruksi Dalam Pengerjaan",'Daftar Koreksi'!$H$5:$H$92,"&lt;0")-SUMIFS('Daftar Koreksi'!$H$5:$H$92,'Daftar Koreksi'!$D$5:$D$92,'0500'!A1302,'Daftar Koreksi'!$G$5:$G$92,"Kontruksi Dalam Pengerjaan",'Daftar Koreksi'!$H$5:$H$92,"&lt;0")</f>
        <v>0</v>
      </c>
      <c r="G1311" s="17">
        <f t="shared" si="59"/>
        <v>0</v>
      </c>
      <c r="H1311" s="122"/>
      <c r="I1311" s="28"/>
      <c r="J1311" s="28"/>
    </row>
    <row r="1312" spans="1:10" ht="21.95" customHeight="1">
      <c r="A1312" s="14"/>
      <c r="B1312" s="14"/>
      <c r="C1312" s="16" t="s">
        <v>1172</v>
      </c>
      <c r="D1312" s="17">
        <f>VLOOKUP(A1302,'Neraca Unaudited SIMAK'!$A$2:$S$10004,10,FALSE)</f>
        <v>12445000</v>
      </c>
      <c r="E1312" s="25">
        <f>SUMIFS('Daftar Koreksi'!$H$5:$H$92,'Daftar Koreksi'!$D$5:$D$92,'0500'!A1302,'Daftar Koreksi'!$G$5:$G$92,"Aset Tak Berwujud",'Daftar Koreksi'!$H$5:$H$92,"&gt;0")</f>
        <v>0</v>
      </c>
      <c r="F1312" s="25">
        <f>SUMIFS('Daftar Koreksi'!$H$5:$H$92,'Daftar Koreksi'!$D$5:$D$92,'0500'!A1302,'Daftar Koreksi'!$G$5:$G$92,"Aset Tak Berwujud",'Daftar Koreksi'!$H$5:$H$92,"&lt;0")-SUMIFS('Daftar Koreksi'!$H$5:$H$92,'Daftar Koreksi'!$D$5:$D$92,'0500'!A1302,'Daftar Koreksi'!$G$5:$G$92,"Aset Tak Berwujud",'Daftar Koreksi'!$H$5:$H$92,"&lt;0")-SUMIFS('Daftar Koreksi'!$H$5:$H$92,'Daftar Koreksi'!$D$5:$D$92,'0500'!A1302,'Daftar Koreksi'!$G$5:$G$92,"Aset Tak Berwujud",'Daftar Koreksi'!$H$5:$H$92,"&lt;0")</f>
        <v>0</v>
      </c>
      <c r="G1312" s="17">
        <f t="shared" si="59"/>
        <v>12445000</v>
      </c>
      <c r="H1312" s="122"/>
      <c r="I1312" s="28"/>
      <c r="J1312" s="28"/>
    </row>
    <row r="1313" spans="1:10" ht="21.95" customHeight="1">
      <c r="A1313" s="14"/>
      <c r="B1313" s="14"/>
      <c r="C1313" s="16" t="s">
        <v>1173</v>
      </c>
      <c r="D1313" s="17">
        <f>VLOOKUP(A1302,'Neraca Unaudited SIMAK'!$A$2:$S$10004,11,FALSE)</f>
        <v>0</v>
      </c>
      <c r="E1313" s="25">
        <f>SUMIFS('Daftar Koreksi'!$H$5:$H$92,'Daftar Koreksi'!$D$5:$D$92,'0500'!A1302,'Daftar Koreksi'!$G$5:$G$92,"Aset Henti Guna",'Daftar Koreksi'!$H$5:$H$92,"&gt;0")</f>
        <v>0</v>
      </c>
      <c r="F1313" s="25">
        <f>SUMIFS('Daftar Koreksi'!$H$5:$H$92,'Daftar Koreksi'!$D$5:$D$92,'0500'!A1302,'Daftar Koreksi'!$G$5:$G$92,"Aset Henti Guna",'Daftar Koreksi'!$H$5:$H$92,"&lt;0")-SUMIFS('Daftar Koreksi'!$H$5:$H$92,'Daftar Koreksi'!$D$5:$D$92,'0500'!A1302,'Daftar Koreksi'!$G$5:$G$92,"Aset Henti Guna",'Daftar Koreksi'!$H$5:$H$92,"&lt;0")-SUMIFS('Daftar Koreksi'!$H$5:$H$92,'Daftar Koreksi'!$D$5:$D$92,'0500'!A1302,'Daftar Koreksi'!$G$5:$G$92,"Aset Henti Guna",'Daftar Koreksi'!$H$5:$H$92,"&lt;0")</f>
        <v>0</v>
      </c>
      <c r="G1313" s="17">
        <f t="shared" si="59"/>
        <v>0</v>
      </c>
      <c r="H1313" s="122"/>
      <c r="I1313" s="28"/>
      <c r="J1313" s="28"/>
    </row>
    <row r="1314" spans="1:10" ht="21.95" customHeight="1">
      <c r="A1314" s="14"/>
      <c r="B1314" s="14"/>
      <c r="C1314" s="18" t="s">
        <v>2093</v>
      </c>
      <c r="D1314" s="19">
        <f>VLOOKUP(A1302,'Neraca Unaudited SIMAK'!$A$2:$S$10004,12,FALSE)</f>
        <v>7376821373</v>
      </c>
      <c r="E1314" s="19">
        <f>SUM(E1305:E1313)</f>
        <v>0</v>
      </c>
      <c r="F1314" s="19">
        <f>SUM(F1305:F1313)</f>
        <v>0</v>
      </c>
      <c r="G1314" s="19">
        <f t="shared" si="59"/>
        <v>7376821373</v>
      </c>
      <c r="H1314" s="122"/>
      <c r="I1314" s="28"/>
      <c r="J1314" s="28"/>
    </row>
    <row r="1315" spans="1:10" ht="21.95" customHeight="1">
      <c r="A1315" s="14"/>
      <c r="B1315" s="14"/>
      <c r="C1315" s="16" t="s">
        <v>2087</v>
      </c>
      <c r="D1315" s="17">
        <f>VLOOKUP(A1302,'Neraca Unaudited SIMAK'!$A$2:$S$10004,13,FALSE)</f>
        <v>-697014100</v>
      </c>
      <c r="E1315" s="25">
        <f>SUMIFS('Daftar Koreksi'!$I$5:$I$92,'Daftar Koreksi'!$D$5:$D$92,'0500'!A1302,'Daftar Koreksi'!$G$5:$G$92,"Peralatan dan mesin",'Daftar Koreksi'!$I$5:$I$92,"&gt;0")</f>
        <v>0</v>
      </c>
      <c r="F1315" s="25">
        <f>SUMIFS('Daftar Koreksi'!$I$5:$I$92,'Daftar Koreksi'!$D$5:$D$92,'0500'!A1302,'Daftar Koreksi'!$G$5:$G$92,"Peralatan dan mesin",'Daftar Koreksi'!$I$5:$I$92,"&lt;0")-SUMIFS('Daftar Koreksi'!$I$5:$I$92,'Daftar Koreksi'!$D$5:$D$92,'0500'!A1302,'Daftar Koreksi'!$G$5:$G$92,"Peralatan dan mesin",'Daftar Koreksi'!$I$5:$I$92,"&lt;0")-SUMIFS('Daftar Koreksi'!$I$5:$I$92,'Daftar Koreksi'!$D$5:$D$92,'0500'!A1302,'Daftar Koreksi'!$G$5:$G$92,"Peralatan dan mesin",'Daftar Koreksi'!$I$5:$I$92,"&lt;0")</f>
        <v>0</v>
      </c>
      <c r="G1315" s="17">
        <f t="shared" si="59"/>
        <v>-697014100</v>
      </c>
      <c r="H1315" s="122"/>
      <c r="I1315" s="28"/>
      <c r="J1315" s="28"/>
    </row>
    <row r="1316" spans="1:10" ht="21.95" customHeight="1">
      <c r="A1316" s="14"/>
      <c r="B1316" s="14"/>
      <c r="C1316" s="16" t="s">
        <v>2088</v>
      </c>
      <c r="D1316" s="17">
        <f>VLOOKUP(A1302,'Neraca Unaudited SIMAK'!$A$2:$S$10004,14,FALSE)</f>
        <v>-740119284</v>
      </c>
      <c r="E1316" s="25">
        <f>SUMIFS('Daftar Koreksi'!$I$5:$I$92,'Daftar Koreksi'!$D$5:$D$92,'0500'!A1302,'Daftar Koreksi'!$G$5:$G$92,"Gedung dan Bangunan",'Daftar Koreksi'!$I$5:$I$92,"&gt;0")</f>
        <v>0</v>
      </c>
      <c r="F1316" s="25">
        <f>SUMIFS('Daftar Koreksi'!$I$5:$I$92,'Daftar Koreksi'!$D$5:$D$92,'0500'!A1302,'Daftar Koreksi'!$G$5:$G$92,"Gedung dan Bangunan",'Daftar Koreksi'!$I$5:$I$92,"&lt;0")-SUMIFS('Daftar Koreksi'!$I$5:$I$92,'Daftar Koreksi'!$D$5:$D$92,'0500'!A1302,'Daftar Koreksi'!$G$5:$G$92,"Gedung dan Bangunan",'Daftar Koreksi'!$I$5:$I$92,"&lt;0")-SUMIFS('Daftar Koreksi'!$I$5:$I$92,'Daftar Koreksi'!$D$5:$D$92,'0500'!A1302,'Daftar Koreksi'!$G$5:$G$92,"Gedung dan Bangunan",'Daftar Koreksi'!$I$5:$I$92,"&lt;0")</f>
        <v>0</v>
      </c>
      <c r="G1316" s="17">
        <f t="shared" si="59"/>
        <v>-740119284</v>
      </c>
      <c r="H1316" s="122"/>
      <c r="I1316" s="28"/>
      <c r="J1316" s="28"/>
    </row>
    <row r="1317" spans="1:10" ht="21.95" customHeight="1">
      <c r="A1317" s="14"/>
      <c r="B1317" s="14"/>
      <c r="C1317" s="16" t="s">
        <v>2089</v>
      </c>
      <c r="D1317" s="17">
        <f>VLOOKUP(A1302,'Neraca Unaudited SIMAK'!$A$2:$S$10004,15,FALSE)</f>
        <v>0</v>
      </c>
      <c r="E1317" s="25">
        <f>SUMIFS('Daftar Koreksi'!$I$5:$I$92,'Daftar Koreksi'!$D$5:$D$92,'0500'!A1302,'Daftar Koreksi'!$G$5:$G$92,"Jalan Irigasi Jaringan",'Daftar Koreksi'!$I$5:$I$92,"&gt;0")</f>
        <v>0</v>
      </c>
      <c r="F1317" s="25">
        <f>SUMIFS('Daftar Koreksi'!$I$5:$I$92,'Daftar Koreksi'!$D$5:$D$92,'0500'!A1302,'Daftar Koreksi'!$G$5:$G$92,"Jalan Irigasi Jaringan",'Daftar Koreksi'!$I$5:$I$92,"&lt;0")-SUMIFS('Daftar Koreksi'!$I$5:$I$92,'Daftar Koreksi'!$D$5:$D$92,'0500'!A1302,'Daftar Koreksi'!$G$5:$G$92,"Jalan Irigasi Jaringan",'Daftar Koreksi'!$I$5:$I$92,"&lt;0")-SUMIFS('Daftar Koreksi'!$I$5:$I$92,'Daftar Koreksi'!$D$5:$D$92,'0500'!A1302,'Daftar Koreksi'!$G$5:$G$92,"Jalan Irigasi Jaringan",'Daftar Koreksi'!$I$5:$I$92,"&lt;0")</f>
        <v>0</v>
      </c>
      <c r="G1317" s="17">
        <f t="shared" si="59"/>
        <v>0</v>
      </c>
      <c r="H1317" s="122"/>
      <c r="I1317" s="28"/>
      <c r="J1317" s="28"/>
    </row>
    <row r="1318" spans="1:10" ht="21.95" customHeight="1">
      <c r="A1318" s="14"/>
      <c r="B1318" s="14"/>
      <c r="C1318" s="16" t="s">
        <v>2090</v>
      </c>
      <c r="D1318" s="17">
        <f>VLOOKUP(A1302,'Neraca Unaudited SIMAK'!$A$2:$S$10004,16,FALSE)</f>
        <v>0</v>
      </c>
      <c r="E1318" s="25">
        <f>SUMIFS('Daftar Koreksi'!$I$5:$I$92,'Daftar Koreksi'!$D$5:$D$92,'0500'!A1302,'Daftar Koreksi'!$G$5:$G$92,"Aset Tetap Lainnya",'Daftar Koreksi'!$I$5:$I$92,"&gt;0")</f>
        <v>0</v>
      </c>
      <c r="F1318" s="25">
        <f>SUMIFS('Daftar Koreksi'!$I$5:$I$92,'Daftar Koreksi'!$D$5:$D$92,'0500'!A1302,'Daftar Koreksi'!$G$5:$G$92,"Aset Tetap Lainnya",'Daftar Koreksi'!$I$5:$I$92,"&lt;0")-SUMIFS('Daftar Koreksi'!$I$5:$I$92,'Daftar Koreksi'!$D$5:$D$92,'0500'!A1302,'Daftar Koreksi'!$G$5:$G$92,"Aset Tetap Lainnya",'Daftar Koreksi'!$I$5:$I$92,"&lt;0")-SUMIFS('Daftar Koreksi'!$I$5:$I$92,'Daftar Koreksi'!$D$5:$D$92,'0500'!A1302,'Daftar Koreksi'!$G$5:$G$92,"Aset Tetap Lainnya",'Daftar Koreksi'!$I$5:$I$92,"&lt;0")</f>
        <v>0</v>
      </c>
      <c r="G1318" s="17">
        <f t="shared" si="59"/>
        <v>0</v>
      </c>
      <c r="H1318" s="122"/>
      <c r="I1318" s="28"/>
      <c r="J1318" s="28"/>
    </row>
    <row r="1319" spans="1:10" ht="21.95" customHeight="1">
      <c r="A1319" s="14"/>
      <c r="B1319" s="14"/>
      <c r="C1319" s="16" t="s">
        <v>2020</v>
      </c>
      <c r="D1319" s="17">
        <f>VLOOKUP(A1302,'Neraca Unaudited SIMAK'!$A$2:$S$10004,17,FALSE)</f>
        <v>0</v>
      </c>
      <c r="E1319" s="25">
        <f>SUMIFS('Daftar Koreksi'!$I$5:$I$92,'Daftar Koreksi'!$D$5:$D$92,'0500'!A1302,'Daftar Koreksi'!$G$5:$G$92,"Aset Henti Guna",'Daftar Koreksi'!$I$5:$I$92,"&gt;0")</f>
        <v>0</v>
      </c>
      <c r="F1319" s="25">
        <f>SUMIFS('Daftar Koreksi'!$I$5:$I$92,'Daftar Koreksi'!$D$5:$D$92,'0500'!A1302,'Daftar Koreksi'!$G$5:$G$92,"Aset Henti Guna",'Daftar Koreksi'!$I$5:$I$92,"&lt;0")-SUMIFS('Daftar Koreksi'!$I$5:$I$92,'Daftar Koreksi'!$D$5:$D$92,'0500'!A1302,'Daftar Koreksi'!$G$5:$G$92,"Aset Henti Guna",'Daftar Koreksi'!$I$5:$I$92,"&lt;0")-SUMIFS('Daftar Koreksi'!$I$5:$I$92,'Daftar Koreksi'!$D$5:$D$92,'0500'!A1302,'Daftar Koreksi'!$G$5:$G$92,"Aset Henti Guna",'Daftar Koreksi'!$I$5:$I$92,"&lt;0")</f>
        <v>0</v>
      </c>
      <c r="G1319" s="17">
        <f t="shared" si="59"/>
        <v>0</v>
      </c>
      <c r="H1319" s="122"/>
      <c r="I1319" s="28"/>
      <c r="J1319" s="28"/>
    </row>
    <row r="1320" spans="1:10" ht="21.95" customHeight="1">
      <c r="A1320" s="14"/>
      <c r="B1320" s="14"/>
      <c r="C1320" s="18" t="s">
        <v>2094</v>
      </c>
      <c r="D1320" s="19">
        <f>SUM(D1315:D1319)</f>
        <v>-1437133384</v>
      </c>
      <c r="E1320" s="19">
        <f>SUM(E1315:E1319)</f>
        <v>0</v>
      </c>
      <c r="F1320" s="19">
        <f>SUM(F1315:F1319)</f>
        <v>0</v>
      </c>
      <c r="G1320" s="19">
        <f t="shared" si="59"/>
        <v>-1437133384</v>
      </c>
      <c r="H1320" s="122"/>
      <c r="I1320" s="28"/>
      <c r="J1320" s="28"/>
    </row>
    <row r="1321" spans="1:10" ht="21.95" customHeight="1">
      <c r="A1321" s="14"/>
      <c r="B1321" s="14"/>
      <c r="C1321" s="18" t="s">
        <v>2095</v>
      </c>
      <c r="D1321" s="19">
        <f>VLOOKUP(A1302,'Neraca Unaudited SIMAK'!$A$2:$S$10004,18,FALSE)</f>
        <v>5939687989</v>
      </c>
      <c r="E1321" s="19">
        <f>E1320+E1314</f>
        <v>0</v>
      </c>
      <c r="F1321" s="19">
        <f>F1320+F1314</f>
        <v>0</v>
      </c>
      <c r="G1321" s="19">
        <f t="shared" si="59"/>
        <v>5939687989</v>
      </c>
      <c r="H1321" s="122"/>
      <c r="I1321" s="28"/>
      <c r="J1321" s="28"/>
    </row>
    <row r="1322" spans="1:10" ht="21.95" customHeight="1">
      <c r="A1322" s="14"/>
      <c r="B1322" s="14"/>
      <c r="C1322" s="16" t="s">
        <v>2091</v>
      </c>
      <c r="D1322" s="17">
        <f>VLOOKUP(A1302,'Neraca Unaudited SIMAK'!$A$2:$S$10004,19,FALSE)</f>
        <v>0</v>
      </c>
      <c r="E1322" s="25"/>
      <c r="F1322" s="25"/>
      <c r="G1322" s="17">
        <f t="shared" si="59"/>
        <v>0</v>
      </c>
      <c r="H1322" s="123"/>
      <c r="I1322" s="28"/>
      <c r="J1322" s="28"/>
    </row>
    <row r="1324" spans="1:10" ht="19.5" customHeight="1">
      <c r="A1324" s="11" t="str">
        <f>O61</f>
        <v>005010500401494000KD</v>
      </c>
      <c r="B1324" s="11" t="str">
        <f>P61</f>
        <v>PA. Magetan</v>
      </c>
      <c r="C1324" s="12" t="str">
        <f>A1324&amp;" "&amp;B1324</f>
        <v>005010500401494000KD PA. Magetan</v>
      </c>
      <c r="D1324" s="13"/>
      <c r="E1324" s="13"/>
      <c r="F1324" s="13"/>
      <c r="G1324" s="13"/>
      <c r="H1324" s="11"/>
    </row>
    <row r="1325" spans="1:10" ht="21.95" customHeight="1">
      <c r="A1325" s="14"/>
      <c r="B1325" s="14"/>
      <c r="C1325" s="124" t="s">
        <v>1982</v>
      </c>
      <c r="D1325" s="126" t="s">
        <v>1983</v>
      </c>
      <c r="E1325" s="132" t="s">
        <v>1984</v>
      </c>
      <c r="F1325" s="132"/>
      <c r="G1325" s="126" t="s">
        <v>1987</v>
      </c>
      <c r="H1325" s="130" t="s">
        <v>1175</v>
      </c>
    </row>
    <row r="1326" spans="1:10" ht="21.95" customHeight="1">
      <c r="A1326" s="14"/>
      <c r="B1326" s="14"/>
      <c r="C1326" s="125"/>
      <c r="D1326" s="127"/>
      <c r="E1326" s="26" t="s">
        <v>1985</v>
      </c>
      <c r="F1326" s="26" t="s">
        <v>1986</v>
      </c>
      <c r="G1326" s="127"/>
      <c r="H1326" s="131"/>
    </row>
    <row r="1327" spans="1:10" ht="21.95" customHeight="1">
      <c r="A1327" s="14"/>
      <c r="B1327" s="14"/>
      <c r="C1327" s="16" t="s">
        <v>1165</v>
      </c>
      <c r="D1327" s="17">
        <f>VLOOKUP(A1324,'Neraca Unaudited SIMAK'!$A$2:$S$10004,3,FALSE)</f>
        <v>372150</v>
      </c>
      <c r="E1327" s="25">
        <f>SUMIFS('Daftar Koreksi'!$H$5:$H$92,'Daftar Koreksi'!$D$5:$D$92,'0500'!A1324,'Daftar Koreksi'!$G$5:$G$92,"Persediaan",'Daftar Koreksi'!$H$5:$H$92,"&gt;0")</f>
        <v>0</v>
      </c>
      <c r="F1327" s="25">
        <f>SUMIFS('Daftar Koreksi'!$H$5:$H$92,'Daftar Koreksi'!$D$5:$D$92,'0500'!A1324,'Daftar Koreksi'!$G$5:$G$92,"Persediaan",'Daftar Koreksi'!$H$5:$H$92,"&lt;0")-SUMIFS('Daftar Koreksi'!$H$5:$H$92,'Daftar Koreksi'!$D$5:$D$92,'0500'!A1324,'Daftar Koreksi'!$G$5:$G$92,"Persediaan",'Daftar Koreksi'!$H$5:$H$92,"&lt;0")-SUMIFS('Daftar Koreksi'!$H$5:$H$92,'Daftar Koreksi'!$D$5:$D$92,'0500'!A1324,'Daftar Koreksi'!$G$5:$G$92,"Persediaan",'Daftar Koreksi'!$H$5:$H$92,"&lt;0")</f>
        <v>0</v>
      </c>
      <c r="G1327" s="17">
        <f>D1327+E1327-F1327</f>
        <v>372150</v>
      </c>
      <c r="H1327" s="121" t="str">
        <f>IF(ISNA(VLOOKUP(A1324,'Mutasi Neraca'!$A$3:$S$914,19,FALSE)),"-",VLOOKUP(A1324,'Mutasi Neraca'!$A$3:$S$914,19,FALSE))</f>
        <v>-</v>
      </c>
    </row>
    <row r="1328" spans="1:10" ht="21.95" customHeight="1">
      <c r="A1328" s="14"/>
      <c r="B1328" s="14"/>
      <c r="C1328" s="16" t="s">
        <v>1166</v>
      </c>
      <c r="D1328" s="17">
        <f>VLOOKUP(A1324,'Neraca Unaudited SIMAK'!$A$2:$S$10004,4,FALSE)</f>
        <v>1733409000</v>
      </c>
      <c r="E1328" s="25">
        <f>SUMIFS('Daftar Koreksi'!$H$5:$H$92,'Daftar Koreksi'!$D$5:$D$92,'0500'!A1324,'Daftar Koreksi'!$G$5:$G$92,"Tanah",'Daftar Koreksi'!$H$5:$H$92,"&gt;0")</f>
        <v>0</v>
      </c>
      <c r="F1328" s="25">
        <f>SUMIFS('Daftar Koreksi'!$H$5:$H$92,'Daftar Koreksi'!$D$5:$D$92,'0500'!A1324,'Daftar Koreksi'!$G$5:$G$92,"Tanah",'Daftar Koreksi'!$H$5:$H$92,"&lt;0")-SUMIFS('Daftar Koreksi'!$H$5:$H$92,'Daftar Koreksi'!$D$5:$D$92,'0500'!A1324,'Daftar Koreksi'!$G$5:$G$92,"Tanah",'Daftar Koreksi'!$H$5:$H$92,"&lt;0")-SUMIFS('Daftar Koreksi'!$H$5:$H$92,'Daftar Koreksi'!$D$5:$D$92,'0500'!A1324,'Daftar Koreksi'!$G$5:$G$92,"Tanah",'Daftar Koreksi'!$H$5:$H$92,"&lt;0")</f>
        <v>0</v>
      </c>
      <c r="G1328" s="17">
        <f t="shared" ref="G1328:G1344" si="60">D1328+E1328-F1328</f>
        <v>1733409000</v>
      </c>
      <c r="H1328" s="122"/>
    </row>
    <row r="1329" spans="1:8" ht="21.95" customHeight="1">
      <c r="A1329" s="14"/>
      <c r="B1329" s="14"/>
      <c r="C1329" s="16" t="s">
        <v>1167</v>
      </c>
      <c r="D1329" s="17">
        <f>VLOOKUP(A1324,'Neraca Unaudited SIMAK'!$A$2:$S$10004,5,FALSE)</f>
        <v>1638470997</v>
      </c>
      <c r="E1329" s="25">
        <f>SUMIFS('Daftar Koreksi'!$H$5:$H$92,'Daftar Koreksi'!$D$5:$D$92,'0500'!A1324,'Daftar Koreksi'!$G$5:$G$92,"Peralatan dan mesin",'Daftar Koreksi'!$H$5:$H$92,"&gt;0")</f>
        <v>0</v>
      </c>
      <c r="F1329" s="25">
        <f>SUMIFS('Daftar Koreksi'!$H$5:$H$92,'Daftar Koreksi'!$D$5:$D$92,'0500'!A1324,'Daftar Koreksi'!$G$5:$G$92,"Peralatan dan mesin",'Daftar Koreksi'!$H$5:$H$92,"&lt;0")-SUMIFS('Daftar Koreksi'!$H$5:$H$92,'Daftar Koreksi'!$D$5:$D$92,'0500'!A1324,'Daftar Koreksi'!$G$5:$G$92,"Peralatan dan mesin",'Daftar Koreksi'!$H$5:$H$92,"&lt;0")-SUMIFS('Daftar Koreksi'!$H$5:$H$92,'Daftar Koreksi'!$D$5:$D$92,'0500'!A1324,'Daftar Koreksi'!$G$5:$G$92,"Peralatan dan mesin",'Daftar Koreksi'!$H$5:$H$92,"&lt;0")</f>
        <v>0</v>
      </c>
      <c r="G1329" s="17">
        <f t="shared" si="60"/>
        <v>1638470997</v>
      </c>
      <c r="H1329" s="122"/>
    </row>
    <row r="1330" spans="1:8" ht="21.95" customHeight="1">
      <c r="A1330" s="14"/>
      <c r="B1330" s="14"/>
      <c r="C1330" s="16" t="s">
        <v>1168</v>
      </c>
      <c r="D1330" s="17">
        <f>VLOOKUP(A1324,'Neraca Unaudited SIMAK'!$A$2:$S$10004,6,FALSE)</f>
        <v>7512582850</v>
      </c>
      <c r="E1330" s="25">
        <f>SUMIFS('Daftar Koreksi'!$H$5:$H$92,'Daftar Koreksi'!$D$5:$D$92,'0500'!A1324,'Daftar Koreksi'!$G$5:$G$92,"Gedung dan Bangunan",'Daftar Koreksi'!$H$5:$H$92,"&gt;0")</f>
        <v>0</v>
      </c>
      <c r="F1330" s="25">
        <f>SUMIFS('Daftar Koreksi'!$H$5:$H$92,'Daftar Koreksi'!$D$5:$D$92,'0500'!A1324,'Daftar Koreksi'!$G$5:$G$92,"Gedung dan Bangunan",'Daftar Koreksi'!$H$5:$H$92,"&lt;0")-SUMIFS('Daftar Koreksi'!$H$5:$H$92,'Daftar Koreksi'!$D$5:$D$92,'0500'!A1324,'Daftar Koreksi'!$G$5:$G$92,"Gedung dan Bangunan",'Daftar Koreksi'!$H$5:$H$92,"&lt;0")-SUMIFS('Daftar Koreksi'!$H$5:$H$92,'Daftar Koreksi'!$D$5:$D$92,'0500'!A1324,'Daftar Koreksi'!$G$5:$G$92,"Gedung dan Bangunan",'Daftar Koreksi'!$H$5:$H$92,"&lt;0")</f>
        <v>0</v>
      </c>
      <c r="G1330" s="17">
        <f t="shared" si="60"/>
        <v>7512582850</v>
      </c>
      <c r="H1330" s="122"/>
    </row>
    <row r="1331" spans="1:8" ht="21.95" customHeight="1">
      <c r="A1331" s="14"/>
      <c r="B1331" s="14"/>
      <c r="C1331" s="16" t="s">
        <v>1169</v>
      </c>
      <c r="D1331" s="17">
        <f>VLOOKUP(A1324,'Neraca Unaudited SIMAK'!$A$2:$S$10004,7,FALSE)</f>
        <v>0</v>
      </c>
      <c r="E1331" s="25">
        <f>SUMIFS('Daftar Koreksi'!$H$5:$H$92,'Daftar Koreksi'!$D$5:$D$92,'0500'!A1324,'Daftar Koreksi'!$G$5:$G$92,"Jalan Irigasi Jaringan",'Daftar Koreksi'!$H$5:$H$92,"&gt;0")</f>
        <v>0</v>
      </c>
      <c r="F1331" s="25">
        <f>SUMIFS('Daftar Koreksi'!$H$5:$H$92,'Daftar Koreksi'!$D$5:$D$92,'0500'!A1324,'Daftar Koreksi'!$G$5:$G$92,"Jalan Irigasi Jaringan",'Daftar Koreksi'!$H$5:$H$92,"&lt;0")-SUMIFS('Daftar Koreksi'!$H$5:$H$92,'Daftar Koreksi'!$D$5:$D$92,'0500'!A1324,'Daftar Koreksi'!$G$5:$G$92,"Jalan Irigasi Jaringan",'Daftar Koreksi'!$H$5:$H$92,"&lt;0")-SUMIFS('Daftar Koreksi'!$H$5:$H$92,'Daftar Koreksi'!$D$5:$D$92,'0500'!A1324,'Daftar Koreksi'!$G$5:$G$92,"Jalan Irigasi Jaringan",'Daftar Koreksi'!$H$5:$H$92,"&lt;0")</f>
        <v>0</v>
      </c>
      <c r="G1331" s="17">
        <f t="shared" si="60"/>
        <v>0</v>
      </c>
      <c r="H1331" s="122"/>
    </row>
    <row r="1332" spans="1:8" ht="21.95" customHeight="1">
      <c r="A1332" s="14"/>
      <c r="B1332" s="14"/>
      <c r="C1332" s="16" t="s">
        <v>1170</v>
      </c>
      <c r="D1332" s="17">
        <f>VLOOKUP(A1324,'Neraca Unaudited SIMAK'!$A$2:$S$10004,8,FALSE)</f>
        <v>8684370</v>
      </c>
      <c r="E1332" s="25">
        <f>SUMIFS('Daftar Koreksi'!$H$5:$H$92,'Daftar Koreksi'!$D$5:$D$92,'0500'!A1324,'Daftar Koreksi'!$G$5:$G$92,"Aset Tetap Lainnya",'Daftar Koreksi'!$H$5:$H$92,"&gt;0")</f>
        <v>0</v>
      </c>
      <c r="F1332" s="25">
        <f>SUMIFS('Daftar Koreksi'!$H$5:$H$92,'Daftar Koreksi'!$D$5:$D$92,'0500'!A1324,'Daftar Koreksi'!$G$5:$G$92,"Aset Tetap Lainnya",'Daftar Koreksi'!$H$5:$H$92,"&lt;0")-SUMIFS('Daftar Koreksi'!$H$5:$H$92,'Daftar Koreksi'!$D$5:$D$92,'0500'!A1324,'Daftar Koreksi'!$G$5:$G$92,"Aset Tetap Lainnya",'Daftar Koreksi'!$H$5:$H$92,"&lt;0")-SUMIFS('Daftar Koreksi'!$H$5:$H$92,'Daftar Koreksi'!$D$5:$D$92,'0500'!A1324,'Daftar Koreksi'!$G$5:$G$92,"Aset Tetap Lainnya",'Daftar Koreksi'!$H$5:$H$92,"&lt;0")</f>
        <v>0</v>
      </c>
      <c r="G1332" s="17">
        <f t="shared" si="60"/>
        <v>8684370</v>
      </c>
      <c r="H1332" s="122"/>
    </row>
    <row r="1333" spans="1:8" ht="21.95" customHeight="1">
      <c r="A1333" s="14"/>
      <c r="B1333" s="14"/>
      <c r="C1333" s="16" t="s">
        <v>1171</v>
      </c>
      <c r="D1333" s="17">
        <f>VLOOKUP(A1324,'Neraca Unaudited SIMAK'!$A$2:$S$10004,9,FALSE)</f>
        <v>0</v>
      </c>
      <c r="E1333" s="25">
        <f>SUMIFS('Daftar Koreksi'!$H$5:$H$92,'Daftar Koreksi'!$D$5:$D$92,'0500'!A1324,'Daftar Koreksi'!$G$5:$G$92,"Kontruksi Dalam Pengerjaan",'Daftar Koreksi'!$H$5:$H$92,"&gt;0")</f>
        <v>0</v>
      </c>
      <c r="F1333" s="25">
        <f>SUMIFS('Daftar Koreksi'!$H$5:$H$92,'Daftar Koreksi'!$D$5:$D$92,'0500'!A1324,'Daftar Koreksi'!$G$5:$G$92,"Kontruksi Dalam Pengerjaan",'Daftar Koreksi'!$H$5:$H$92,"&lt;0")-SUMIFS('Daftar Koreksi'!$H$5:$H$92,'Daftar Koreksi'!$D$5:$D$92,'0500'!A1324,'Daftar Koreksi'!$G$5:$G$92,"Kontruksi Dalam Pengerjaan",'Daftar Koreksi'!$H$5:$H$92,"&lt;0")-SUMIFS('Daftar Koreksi'!$H$5:$H$92,'Daftar Koreksi'!$D$5:$D$92,'0500'!A1324,'Daftar Koreksi'!$G$5:$G$92,"Kontruksi Dalam Pengerjaan",'Daftar Koreksi'!$H$5:$H$92,"&lt;0")</f>
        <v>0</v>
      </c>
      <c r="G1333" s="17">
        <f t="shared" si="60"/>
        <v>0</v>
      </c>
      <c r="H1333" s="122"/>
    </row>
    <row r="1334" spans="1:8" ht="21.95" customHeight="1">
      <c r="A1334" s="14"/>
      <c r="B1334" s="14"/>
      <c r="C1334" s="16" t="s">
        <v>1172</v>
      </c>
      <c r="D1334" s="17">
        <f>VLOOKUP(A1324,'Neraca Unaudited SIMAK'!$A$2:$S$10004,10,FALSE)</f>
        <v>29200000</v>
      </c>
      <c r="E1334" s="25">
        <f>SUMIFS('Daftar Koreksi'!$H$5:$H$92,'Daftar Koreksi'!$D$5:$D$92,'0500'!A1324,'Daftar Koreksi'!$G$5:$G$92,"Aset Tak Berwujud",'Daftar Koreksi'!$H$5:$H$92,"&gt;0")</f>
        <v>0</v>
      </c>
      <c r="F1334" s="25">
        <f>SUMIFS('Daftar Koreksi'!$H$5:$H$92,'Daftar Koreksi'!$D$5:$D$92,'0500'!A1324,'Daftar Koreksi'!$G$5:$G$92,"Aset Tak Berwujud",'Daftar Koreksi'!$H$5:$H$92,"&lt;0")-SUMIFS('Daftar Koreksi'!$H$5:$H$92,'Daftar Koreksi'!$D$5:$D$92,'0500'!A1324,'Daftar Koreksi'!$G$5:$G$92,"Aset Tak Berwujud",'Daftar Koreksi'!$H$5:$H$92,"&lt;0")-SUMIFS('Daftar Koreksi'!$H$5:$H$92,'Daftar Koreksi'!$D$5:$D$92,'0500'!A1324,'Daftar Koreksi'!$G$5:$G$92,"Aset Tak Berwujud",'Daftar Koreksi'!$H$5:$H$92,"&lt;0")</f>
        <v>0</v>
      </c>
      <c r="G1334" s="17">
        <f t="shared" si="60"/>
        <v>29200000</v>
      </c>
      <c r="H1334" s="122"/>
    </row>
    <row r="1335" spans="1:8" ht="21.95" customHeight="1">
      <c r="A1335" s="14"/>
      <c r="B1335" s="14"/>
      <c r="C1335" s="16" t="s">
        <v>1173</v>
      </c>
      <c r="D1335" s="17">
        <f>VLOOKUP(A1324,'Neraca Unaudited SIMAK'!$A$2:$S$10004,11,FALSE)</f>
        <v>0</v>
      </c>
      <c r="E1335" s="25">
        <f>SUMIFS('Daftar Koreksi'!$H$5:$H$92,'Daftar Koreksi'!$D$5:$D$92,'0500'!A1324,'Daftar Koreksi'!$G$5:$G$92,"Aset Henti Guna",'Daftar Koreksi'!$H$5:$H$92,"&gt;0")</f>
        <v>0</v>
      </c>
      <c r="F1335" s="25">
        <f>SUMIFS('Daftar Koreksi'!$H$5:$H$92,'Daftar Koreksi'!$D$5:$D$92,'0500'!A1324,'Daftar Koreksi'!$G$5:$G$92,"Aset Henti Guna",'Daftar Koreksi'!$H$5:$H$92,"&lt;0")-SUMIFS('Daftar Koreksi'!$H$5:$H$92,'Daftar Koreksi'!$D$5:$D$92,'0500'!A1324,'Daftar Koreksi'!$G$5:$G$92,"Aset Henti Guna",'Daftar Koreksi'!$H$5:$H$92,"&lt;0")-SUMIFS('Daftar Koreksi'!$H$5:$H$92,'Daftar Koreksi'!$D$5:$D$92,'0500'!A1324,'Daftar Koreksi'!$G$5:$G$92,"Aset Henti Guna",'Daftar Koreksi'!$H$5:$H$92,"&lt;0")</f>
        <v>0</v>
      </c>
      <c r="G1335" s="17">
        <f t="shared" si="60"/>
        <v>0</v>
      </c>
      <c r="H1335" s="122"/>
    </row>
    <row r="1336" spans="1:8" ht="21.95" customHeight="1">
      <c r="A1336" s="14"/>
      <c r="B1336" s="14"/>
      <c r="C1336" s="18" t="s">
        <v>2093</v>
      </c>
      <c r="D1336" s="19">
        <f>VLOOKUP(A1324,'Neraca Unaudited SIMAK'!$A$2:$S$10004,12,FALSE)</f>
        <v>10922719367</v>
      </c>
      <c r="E1336" s="19">
        <f>SUM(E1327:E1335)</f>
        <v>0</v>
      </c>
      <c r="F1336" s="19">
        <f>SUM(F1327:F1335)</f>
        <v>0</v>
      </c>
      <c r="G1336" s="19">
        <f t="shared" si="60"/>
        <v>10922719367</v>
      </c>
      <c r="H1336" s="122"/>
    </row>
    <row r="1337" spans="1:8" ht="21.95" customHeight="1">
      <c r="A1337" s="14"/>
      <c r="B1337" s="14"/>
      <c r="C1337" s="16" t="s">
        <v>2087</v>
      </c>
      <c r="D1337" s="17">
        <f>VLOOKUP(A1324,'Neraca Unaudited SIMAK'!$A$2:$S$10004,13,FALSE)</f>
        <v>-1229137883</v>
      </c>
      <c r="E1337" s="25">
        <f>SUMIFS('Daftar Koreksi'!$I$5:$I$92,'Daftar Koreksi'!$D$5:$D$92,'0500'!A1324,'Daftar Koreksi'!$G$5:$G$92,"Peralatan dan mesin",'Daftar Koreksi'!$I$5:$I$92,"&gt;0")</f>
        <v>0</v>
      </c>
      <c r="F1337" s="25">
        <f>SUMIFS('Daftar Koreksi'!$I$5:$I$92,'Daftar Koreksi'!$D$5:$D$92,'0500'!A1324,'Daftar Koreksi'!$G$5:$G$92,"Peralatan dan mesin",'Daftar Koreksi'!$I$5:$I$92,"&lt;0")-SUMIFS('Daftar Koreksi'!$I$5:$I$92,'Daftar Koreksi'!$D$5:$D$92,'0500'!A1324,'Daftar Koreksi'!$G$5:$G$92,"Peralatan dan mesin",'Daftar Koreksi'!$I$5:$I$92,"&lt;0")-SUMIFS('Daftar Koreksi'!$I$5:$I$92,'Daftar Koreksi'!$D$5:$D$92,'0500'!A1324,'Daftar Koreksi'!$G$5:$G$92,"Peralatan dan mesin",'Daftar Koreksi'!$I$5:$I$92,"&lt;0")</f>
        <v>0</v>
      </c>
      <c r="G1337" s="17">
        <f t="shared" si="60"/>
        <v>-1229137883</v>
      </c>
      <c r="H1337" s="122"/>
    </row>
    <row r="1338" spans="1:8" ht="21.95" customHeight="1">
      <c r="A1338" s="14"/>
      <c r="B1338" s="14"/>
      <c r="C1338" s="16" t="s">
        <v>2088</v>
      </c>
      <c r="D1338" s="17">
        <f>VLOOKUP(A1324,'Neraca Unaudited SIMAK'!$A$2:$S$10004,14,FALSE)</f>
        <v>-1236694783</v>
      </c>
      <c r="E1338" s="25">
        <f>SUMIFS('Daftar Koreksi'!$I$5:$I$92,'Daftar Koreksi'!$D$5:$D$92,'0500'!A1324,'Daftar Koreksi'!$G$5:$G$92,"Gedung dan Bangunan",'Daftar Koreksi'!$I$5:$I$92,"&gt;0")</f>
        <v>0</v>
      </c>
      <c r="F1338" s="25">
        <f>SUMIFS('Daftar Koreksi'!$I$5:$I$92,'Daftar Koreksi'!$D$5:$D$92,'0500'!A1324,'Daftar Koreksi'!$G$5:$G$92,"Gedung dan Bangunan",'Daftar Koreksi'!$I$5:$I$92,"&lt;0")-SUMIFS('Daftar Koreksi'!$I$5:$I$92,'Daftar Koreksi'!$D$5:$D$92,'0500'!A1324,'Daftar Koreksi'!$G$5:$G$92,"Gedung dan Bangunan",'Daftar Koreksi'!$I$5:$I$92,"&lt;0")-SUMIFS('Daftar Koreksi'!$I$5:$I$92,'Daftar Koreksi'!$D$5:$D$92,'0500'!A1324,'Daftar Koreksi'!$G$5:$G$92,"Gedung dan Bangunan",'Daftar Koreksi'!$I$5:$I$92,"&lt;0")</f>
        <v>0</v>
      </c>
      <c r="G1338" s="17">
        <f t="shared" si="60"/>
        <v>-1236694783</v>
      </c>
      <c r="H1338" s="122"/>
    </row>
    <row r="1339" spans="1:8" ht="21.95" customHeight="1">
      <c r="A1339" s="14"/>
      <c r="B1339" s="14"/>
      <c r="C1339" s="16" t="s">
        <v>2089</v>
      </c>
      <c r="D1339" s="17">
        <f>VLOOKUP(A1324,'Neraca Unaudited SIMAK'!$A$2:$S$10004,15,FALSE)</f>
        <v>0</v>
      </c>
      <c r="E1339" s="25">
        <f>SUMIFS('Daftar Koreksi'!$I$5:$I$92,'Daftar Koreksi'!$D$5:$D$92,'0500'!A1324,'Daftar Koreksi'!$G$5:$G$92,"Jalan Irigasi Jaringan",'Daftar Koreksi'!$I$5:$I$92,"&gt;0")</f>
        <v>0</v>
      </c>
      <c r="F1339" s="25">
        <f>SUMIFS('Daftar Koreksi'!$I$5:$I$92,'Daftar Koreksi'!$D$5:$D$92,'0500'!A1324,'Daftar Koreksi'!$G$5:$G$92,"Jalan Irigasi Jaringan",'Daftar Koreksi'!$I$5:$I$92,"&lt;0")-SUMIFS('Daftar Koreksi'!$I$5:$I$92,'Daftar Koreksi'!$D$5:$D$92,'0500'!A1324,'Daftar Koreksi'!$G$5:$G$92,"Jalan Irigasi Jaringan",'Daftar Koreksi'!$I$5:$I$92,"&lt;0")-SUMIFS('Daftar Koreksi'!$I$5:$I$92,'Daftar Koreksi'!$D$5:$D$92,'0500'!A1324,'Daftar Koreksi'!$G$5:$G$92,"Jalan Irigasi Jaringan",'Daftar Koreksi'!$I$5:$I$92,"&lt;0")</f>
        <v>0</v>
      </c>
      <c r="G1339" s="17">
        <f t="shared" si="60"/>
        <v>0</v>
      </c>
      <c r="H1339" s="122"/>
    </row>
    <row r="1340" spans="1:8" ht="21.95" customHeight="1">
      <c r="A1340" s="14"/>
      <c r="B1340" s="14"/>
      <c r="C1340" s="16" t="s">
        <v>2090</v>
      </c>
      <c r="D1340" s="17">
        <f>VLOOKUP(A1324,'Neraca Unaudited SIMAK'!$A$2:$S$10004,16,FALSE)</f>
        <v>0</v>
      </c>
      <c r="E1340" s="25">
        <f>SUMIFS('Daftar Koreksi'!$I$5:$I$92,'Daftar Koreksi'!$D$5:$D$92,'0500'!A1324,'Daftar Koreksi'!$G$5:$G$92,"Aset Tetap Lainnya",'Daftar Koreksi'!$I$5:$I$92,"&gt;0")</f>
        <v>0</v>
      </c>
      <c r="F1340" s="25">
        <f>SUMIFS('Daftar Koreksi'!$I$5:$I$92,'Daftar Koreksi'!$D$5:$D$92,'0500'!A1324,'Daftar Koreksi'!$G$5:$G$92,"Aset Tetap Lainnya",'Daftar Koreksi'!$I$5:$I$92,"&lt;0")-SUMIFS('Daftar Koreksi'!$I$5:$I$92,'Daftar Koreksi'!$D$5:$D$92,'0500'!A1324,'Daftar Koreksi'!$G$5:$G$92,"Aset Tetap Lainnya",'Daftar Koreksi'!$I$5:$I$92,"&lt;0")-SUMIFS('Daftar Koreksi'!$I$5:$I$92,'Daftar Koreksi'!$D$5:$D$92,'0500'!A1324,'Daftar Koreksi'!$G$5:$G$92,"Aset Tetap Lainnya",'Daftar Koreksi'!$I$5:$I$92,"&lt;0")</f>
        <v>0</v>
      </c>
      <c r="G1340" s="17">
        <f t="shared" si="60"/>
        <v>0</v>
      </c>
      <c r="H1340" s="122"/>
    </row>
    <row r="1341" spans="1:8" ht="21.95" customHeight="1">
      <c r="A1341" s="14"/>
      <c r="B1341" s="14"/>
      <c r="C1341" s="16" t="s">
        <v>2020</v>
      </c>
      <c r="D1341" s="17">
        <f>VLOOKUP(A1324,'Neraca Unaudited SIMAK'!$A$2:$S$10004,17,FALSE)</f>
        <v>0</v>
      </c>
      <c r="E1341" s="25">
        <f>SUMIFS('Daftar Koreksi'!$I$5:$I$92,'Daftar Koreksi'!$D$5:$D$92,'0500'!A1324,'Daftar Koreksi'!$G$5:$G$92,"Aset Henti Guna",'Daftar Koreksi'!$I$5:$I$92,"&gt;0")</f>
        <v>0</v>
      </c>
      <c r="F1341" s="25">
        <f>SUMIFS('Daftar Koreksi'!$I$5:$I$92,'Daftar Koreksi'!$D$5:$D$92,'0500'!A1324,'Daftar Koreksi'!$G$5:$G$92,"Aset Henti Guna",'Daftar Koreksi'!$I$5:$I$92,"&lt;0")-SUMIFS('Daftar Koreksi'!$I$5:$I$92,'Daftar Koreksi'!$D$5:$D$92,'0500'!A1324,'Daftar Koreksi'!$G$5:$G$92,"Aset Henti Guna",'Daftar Koreksi'!$I$5:$I$92,"&lt;0")-SUMIFS('Daftar Koreksi'!$I$5:$I$92,'Daftar Koreksi'!$D$5:$D$92,'0500'!A1324,'Daftar Koreksi'!$G$5:$G$92,"Aset Henti Guna",'Daftar Koreksi'!$I$5:$I$92,"&lt;0")</f>
        <v>0</v>
      </c>
      <c r="G1341" s="17">
        <f t="shared" si="60"/>
        <v>0</v>
      </c>
      <c r="H1341" s="122"/>
    </row>
    <row r="1342" spans="1:8" ht="21.95" customHeight="1">
      <c r="A1342" s="14"/>
      <c r="B1342" s="14"/>
      <c r="C1342" s="18" t="s">
        <v>2094</v>
      </c>
      <c r="D1342" s="19">
        <f>SUM(D1337:D1341)</f>
        <v>-2465832666</v>
      </c>
      <c r="E1342" s="19">
        <f>SUM(E1337:E1341)</f>
        <v>0</v>
      </c>
      <c r="F1342" s="19">
        <f>SUM(F1337:F1341)</f>
        <v>0</v>
      </c>
      <c r="G1342" s="19">
        <f t="shared" si="60"/>
        <v>-2465832666</v>
      </c>
      <c r="H1342" s="122"/>
    </row>
    <row r="1343" spans="1:8" ht="21.95" customHeight="1">
      <c r="A1343" s="14"/>
      <c r="B1343" s="14"/>
      <c r="C1343" s="18" t="s">
        <v>2095</v>
      </c>
      <c r="D1343" s="19">
        <f>VLOOKUP(A1324,'Neraca Unaudited SIMAK'!$A$2:$S$10004,18,FALSE)</f>
        <v>8456886701</v>
      </c>
      <c r="E1343" s="19">
        <f>E1342+E1336</f>
        <v>0</v>
      </c>
      <c r="F1343" s="19">
        <f>F1342+F1336</f>
        <v>0</v>
      </c>
      <c r="G1343" s="19">
        <f t="shared" si="60"/>
        <v>8456886701</v>
      </c>
      <c r="H1343" s="122"/>
    </row>
    <row r="1344" spans="1:8" ht="21.95" customHeight="1">
      <c r="A1344" s="14"/>
      <c r="B1344" s="14"/>
      <c r="C1344" s="16" t="s">
        <v>2091</v>
      </c>
      <c r="D1344" s="17">
        <f>VLOOKUP(A1324,'Neraca Unaudited SIMAK'!$A$2:$S$10004,19,FALSE)</f>
        <v>0</v>
      </c>
      <c r="E1344" s="25"/>
      <c r="F1344" s="25"/>
      <c r="G1344" s="17">
        <f t="shared" si="60"/>
        <v>0</v>
      </c>
      <c r="H1344" s="123"/>
    </row>
    <row r="1346" spans="1:8" ht="19.5" customHeight="1">
      <c r="A1346" s="11" t="str">
        <f>O62</f>
        <v>005010500401508000KD</v>
      </c>
      <c r="B1346" s="11" t="str">
        <f>P62</f>
        <v>PA. Ngawi</v>
      </c>
      <c r="C1346" s="12" t="str">
        <f>A1346&amp;" "&amp;B1346</f>
        <v>005010500401508000KD PA. Ngawi</v>
      </c>
      <c r="D1346" s="13"/>
      <c r="E1346" s="13"/>
      <c r="F1346" s="13"/>
      <c r="G1346" s="13"/>
      <c r="H1346" s="11"/>
    </row>
    <row r="1347" spans="1:8" ht="21.95" customHeight="1">
      <c r="A1347" s="14"/>
      <c r="B1347" s="14"/>
      <c r="C1347" s="124" t="s">
        <v>1982</v>
      </c>
      <c r="D1347" s="126" t="s">
        <v>1983</v>
      </c>
      <c r="E1347" s="132" t="s">
        <v>1984</v>
      </c>
      <c r="F1347" s="132"/>
      <c r="G1347" s="126" t="s">
        <v>1987</v>
      </c>
      <c r="H1347" s="130" t="s">
        <v>1175</v>
      </c>
    </row>
    <row r="1348" spans="1:8" ht="21.95" customHeight="1">
      <c r="A1348" s="14"/>
      <c r="B1348" s="14"/>
      <c r="C1348" s="125"/>
      <c r="D1348" s="127"/>
      <c r="E1348" s="26" t="s">
        <v>1985</v>
      </c>
      <c r="F1348" s="26" t="s">
        <v>1986</v>
      </c>
      <c r="G1348" s="127"/>
      <c r="H1348" s="131"/>
    </row>
    <row r="1349" spans="1:8" ht="21.95" customHeight="1">
      <c r="A1349" s="14"/>
      <c r="B1349" s="14"/>
      <c r="C1349" s="16" t="s">
        <v>1165</v>
      </c>
      <c r="D1349" s="17">
        <f>VLOOKUP(A1346,'Neraca Unaudited SIMAK'!$A$2:$S$10004,3,FALSE)</f>
        <v>852400</v>
      </c>
      <c r="E1349" s="25">
        <f>SUMIFS('Daftar Koreksi'!$H$5:$H$92,'Daftar Koreksi'!$D$5:$D$92,'0500'!A1346,'Daftar Koreksi'!$G$5:$G$92,"Persediaan",'Daftar Koreksi'!$H$5:$H$92,"&gt;0")</f>
        <v>0</v>
      </c>
      <c r="F1349" s="25">
        <f>SUMIFS('Daftar Koreksi'!$H$5:$H$92,'Daftar Koreksi'!$D$5:$D$92,'0500'!A1346,'Daftar Koreksi'!$G$5:$G$92,"Persediaan",'Daftar Koreksi'!$H$5:$H$92,"&lt;0")-SUMIFS('Daftar Koreksi'!$H$5:$H$92,'Daftar Koreksi'!$D$5:$D$92,'0500'!A1346,'Daftar Koreksi'!$G$5:$G$92,"Persediaan",'Daftar Koreksi'!$H$5:$H$92,"&lt;0")-SUMIFS('Daftar Koreksi'!$H$5:$H$92,'Daftar Koreksi'!$D$5:$D$92,'0500'!A1346,'Daftar Koreksi'!$G$5:$G$92,"Persediaan",'Daftar Koreksi'!$H$5:$H$92,"&lt;0")</f>
        <v>0</v>
      </c>
      <c r="G1349" s="17">
        <f>D1349+E1349-F1349</f>
        <v>852400</v>
      </c>
      <c r="H1349" s="121" t="str">
        <f>IF(ISNA(VLOOKUP(A1346,'Mutasi Neraca'!$A$3:$S$914,19,FALSE)),"-",VLOOKUP(A1346,'Mutasi Neraca'!$A$3:$S$914,19,FALSE))</f>
        <v>-</v>
      </c>
    </row>
    <row r="1350" spans="1:8" ht="21.95" customHeight="1">
      <c r="A1350" s="14"/>
      <c r="B1350" s="14"/>
      <c r="C1350" s="16" t="s">
        <v>1166</v>
      </c>
      <c r="D1350" s="17">
        <f>VLOOKUP(A1346,'Neraca Unaudited SIMAK'!$A$2:$S$10004,4,FALSE)</f>
        <v>2092381000</v>
      </c>
      <c r="E1350" s="25">
        <f>SUMIFS('Daftar Koreksi'!$H$5:$H$92,'Daftar Koreksi'!$D$5:$D$92,'0500'!A1346,'Daftar Koreksi'!$G$5:$G$92,"Tanah",'Daftar Koreksi'!$H$5:$H$92,"&gt;0")</f>
        <v>0</v>
      </c>
      <c r="F1350" s="25">
        <f>SUMIFS('Daftar Koreksi'!$H$5:$H$92,'Daftar Koreksi'!$D$5:$D$92,'0500'!A1346,'Daftar Koreksi'!$G$5:$G$92,"Tanah",'Daftar Koreksi'!$H$5:$H$92,"&lt;0")-SUMIFS('Daftar Koreksi'!$H$5:$H$92,'Daftar Koreksi'!$D$5:$D$92,'0500'!A1346,'Daftar Koreksi'!$G$5:$G$92,"Tanah",'Daftar Koreksi'!$H$5:$H$92,"&lt;0")-SUMIFS('Daftar Koreksi'!$H$5:$H$92,'Daftar Koreksi'!$D$5:$D$92,'0500'!A1346,'Daftar Koreksi'!$G$5:$G$92,"Tanah",'Daftar Koreksi'!$H$5:$H$92,"&lt;0")</f>
        <v>0</v>
      </c>
      <c r="G1350" s="17">
        <f t="shared" ref="G1350:G1366" si="61">D1350+E1350-F1350</f>
        <v>2092381000</v>
      </c>
      <c r="H1350" s="122"/>
    </row>
    <row r="1351" spans="1:8" ht="21.95" customHeight="1">
      <c r="A1351" s="14"/>
      <c r="B1351" s="14"/>
      <c r="C1351" s="16" t="s">
        <v>1167</v>
      </c>
      <c r="D1351" s="17">
        <f>VLOOKUP(A1346,'Neraca Unaudited SIMAK'!$A$2:$S$10004,5,FALSE)</f>
        <v>925967723</v>
      </c>
      <c r="E1351" s="25">
        <f>SUMIFS('Daftar Koreksi'!$H$5:$H$92,'Daftar Koreksi'!$D$5:$D$92,'0500'!A1346,'Daftar Koreksi'!$G$5:$G$92,"Peralatan dan mesin",'Daftar Koreksi'!$H$5:$H$92,"&gt;0")</f>
        <v>0</v>
      </c>
      <c r="F1351" s="25">
        <f>SUMIFS('Daftar Koreksi'!$H$5:$H$92,'Daftar Koreksi'!$D$5:$D$92,'0500'!A1346,'Daftar Koreksi'!$G$5:$G$92,"Peralatan dan mesin",'Daftar Koreksi'!$H$5:$H$92,"&lt;0")-SUMIFS('Daftar Koreksi'!$H$5:$H$92,'Daftar Koreksi'!$D$5:$D$92,'0500'!A1346,'Daftar Koreksi'!$G$5:$G$92,"Peralatan dan mesin",'Daftar Koreksi'!$H$5:$H$92,"&lt;0")-SUMIFS('Daftar Koreksi'!$H$5:$H$92,'Daftar Koreksi'!$D$5:$D$92,'0500'!A1346,'Daftar Koreksi'!$G$5:$G$92,"Peralatan dan mesin",'Daftar Koreksi'!$H$5:$H$92,"&lt;0")</f>
        <v>0</v>
      </c>
      <c r="G1351" s="17">
        <f t="shared" si="61"/>
        <v>925967723</v>
      </c>
      <c r="H1351" s="122"/>
    </row>
    <row r="1352" spans="1:8" ht="21.95" customHeight="1">
      <c r="A1352" s="14"/>
      <c r="B1352" s="14"/>
      <c r="C1352" s="16" t="s">
        <v>1168</v>
      </c>
      <c r="D1352" s="17">
        <f>VLOOKUP(A1346,'Neraca Unaudited SIMAK'!$A$2:$S$10004,6,FALSE)</f>
        <v>668000000</v>
      </c>
      <c r="E1352" s="25">
        <f>SUMIFS('Daftar Koreksi'!$H$5:$H$92,'Daftar Koreksi'!$D$5:$D$92,'0500'!A1346,'Daftar Koreksi'!$G$5:$G$92,"Gedung dan Bangunan",'Daftar Koreksi'!$H$5:$H$92,"&gt;0")</f>
        <v>0</v>
      </c>
      <c r="F1352" s="25">
        <f>SUMIFS('Daftar Koreksi'!$H$5:$H$92,'Daftar Koreksi'!$D$5:$D$92,'0500'!A1346,'Daftar Koreksi'!$G$5:$G$92,"Gedung dan Bangunan",'Daftar Koreksi'!$H$5:$H$92,"&lt;0")-SUMIFS('Daftar Koreksi'!$H$5:$H$92,'Daftar Koreksi'!$D$5:$D$92,'0500'!A1346,'Daftar Koreksi'!$G$5:$G$92,"Gedung dan Bangunan",'Daftar Koreksi'!$H$5:$H$92,"&lt;0")-SUMIFS('Daftar Koreksi'!$H$5:$H$92,'Daftar Koreksi'!$D$5:$D$92,'0500'!A1346,'Daftar Koreksi'!$G$5:$G$92,"Gedung dan Bangunan",'Daftar Koreksi'!$H$5:$H$92,"&lt;0")</f>
        <v>0</v>
      </c>
      <c r="G1352" s="17">
        <f t="shared" si="61"/>
        <v>668000000</v>
      </c>
      <c r="H1352" s="122"/>
    </row>
    <row r="1353" spans="1:8" ht="21.95" customHeight="1">
      <c r="A1353" s="14"/>
      <c r="B1353" s="14"/>
      <c r="C1353" s="16" t="s">
        <v>1169</v>
      </c>
      <c r="D1353" s="17">
        <f>VLOOKUP(A1346,'Neraca Unaudited SIMAK'!$A$2:$S$10004,7,FALSE)</f>
        <v>0</v>
      </c>
      <c r="E1353" s="25">
        <f>SUMIFS('Daftar Koreksi'!$H$5:$H$92,'Daftar Koreksi'!$D$5:$D$92,'0500'!A1346,'Daftar Koreksi'!$G$5:$G$92,"Jalan Irigasi Jaringan",'Daftar Koreksi'!$H$5:$H$92,"&gt;0")</f>
        <v>0</v>
      </c>
      <c r="F1353" s="25">
        <f>SUMIFS('Daftar Koreksi'!$H$5:$H$92,'Daftar Koreksi'!$D$5:$D$92,'0500'!A1346,'Daftar Koreksi'!$G$5:$G$92,"Jalan Irigasi Jaringan",'Daftar Koreksi'!$H$5:$H$92,"&lt;0")-SUMIFS('Daftar Koreksi'!$H$5:$H$92,'Daftar Koreksi'!$D$5:$D$92,'0500'!A1346,'Daftar Koreksi'!$G$5:$G$92,"Jalan Irigasi Jaringan",'Daftar Koreksi'!$H$5:$H$92,"&lt;0")-SUMIFS('Daftar Koreksi'!$H$5:$H$92,'Daftar Koreksi'!$D$5:$D$92,'0500'!A1346,'Daftar Koreksi'!$G$5:$G$92,"Jalan Irigasi Jaringan",'Daftar Koreksi'!$H$5:$H$92,"&lt;0")</f>
        <v>0</v>
      </c>
      <c r="G1353" s="17">
        <f t="shared" si="61"/>
        <v>0</v>
      </c>
      <c r="H1353" s="122"/>
    </row>
    <row r="1354" spans="1:8" ht="21.95" customHeight="1">
      <c r="A1354" s="14"/>
      <c r="B1354" s="14"/>
      <c r="C1354" s="16" t="s">
        <v>1170</v>
      </c>
      <c r="D1354" s="17">
        <f>VLOOKUP(A1346,'Neraca Unaudited SIMAK'!$A$2:$S$10004,8,FALSE)</f>
        <v>408000</v>
      </c>
      <c r="E1354" s="25">
        <f>SUMIFS('Daftar Koreksi'!$H$5:$H$92,'Daftar Koreksi'!$D$5:$D$92,'0500'!A1346,'Daftar Koreksi'!$G$5:$G$92,"Aset Tetap Lainnya",'Daftar Koreksi'!$H$5:$H$92,"&gt;0")</f>
        <v>0</v>
      </c>
      <c r="F1354" s="25">
        <f>SUMIFS('Daftar Koreksi'!$H$5:$H$92,'Daftar Koreksi'!$D$5:$D$92,'0500'!A1346,'Daftar Koreksi'!$G$5:$G$92,"Aset Tetap Lainnya",'Daftar Koreksi'!$H$5:$H$92,"&lt;0")-SUMIFS('Daftar Koreksi'!$H$5:$H$92,'Daftar Koreksi'!$D$5:$D$92,'0500'!A1346,'Daftar Koreksi'!$G$5:$G$92,"Aset Tetap Lainnya",'Daftar Koreksi'!$H$5:$H$92,"&lt;0")-SUMIFS('Daftar Koreksi'!$H$5:$H$92,'Daftar Koreksi'!$D$5:$D$92,'0500'!A1346,'Daftar Koreksi'!$G$5:$G$92,"Aset Tetap Lainnya",'Daftar Koreksi'!$H$5:$H$92,"&lt;0")</f>
        <v>0</v>
      </c>
      <c r="G1354" s="17">
        <f t="shared" si="61"/>
        <v>408000</v>
      </c>
      <c r="H1354" s="122"/>
    </row>
    <row r="1355" spans="1:8" ht="21.95" customHeight="1">
      <c r="A1355" s="14"/>
      <c r="B1355" s="14"/>
      <c r="C1355" s="16" t="s">
        <v>1171</v>
      </c>
      <c r="D1355" s="17">
        <f>VLOOKUP(A1346,'Neraca Unaudited SIMAK'!$A$2:$S$10004,9,FALSE)</f>
        <v>2798020000</v>
      </c>
      <c r="E1355" s="25">
        <f>SUMIFS('Daftar Koreksi'!$H$5:$H$92,'Daftar Koreksi'!$D$5:$D$92,'0500'!A1346,'Daftar Koreksi'!$G$5:$G$92,"Kontruksi Dalam Pengerjaan",'Daftar Koreksi'!$H$5:$H$92,"&gt;0")</f>
        <v>0</v>
      </c>
      <c r="F1355" s="25">
        <f>SUMIFS('Daftar Koreksi'!$H$5:$H$92,'Daftar Koreksi'!$D$5:$D$92,'0500'!A1346,'Daftar Koreksi'!$G$5:$G$92,"Kontruksi Dalam Pengerjaan",'Daftar Koreksi'!$H$5:$H$92,"&lt;0")-SUMIFS('Daftar Koreksi'!$H$5:$H$92,'Daftar Koreksi'!$D$5:$D$92,'0500'!A1346,'Daftar Koreksi'!$G$5:$G$92,"Kontruksi Dalam Pengerjaan",'Daftar Koreksi'!$H$5:$H$92,"&lt;0")-SUMIFS('Daftar Koreksi'!$H$5:$H$92,'Daftar Koreksi'!$D$5:$D$92,'0500'!A1346,'Daftar Koreksi'!$G$5:$G$92,"Kontruksi Dalam Pengerjaan",'Daftar Koreksi'!$H$5:$H$92,"&lt;0")</f>
        <v>0</v>
      </c>
      <c r="G1355" s="17">
        <f t="shared" si="61"/>
        <v>2798020000</v>
      </c>
      <c r="H1355" s="122"/>
    </row>
    <row r="1356" spans="1:8" ht="21.95" customHeight="1">
      <c r="A1356" s="14"/>
      <c r="B1356" s="14"/>
      <c r="C1356" s="16" t="s">
        <v>1172</v>
      </c>
      <c r="D1356" s="17">
        <f>VLOOKUP(A1346,'Neraca Unaudited SIMAK'!$A$2:$S$10004,10,FALSE)</f>
        <v>6243000</v>
      </c>
      <c r="E1356" s="25">
        <f>SUMIFS('Daftar Koreksi'!$H$5:$H$92,'Daftar Koreksi'!$D$5:$D$92,'0500'!A1346,'Daftar Koreksi'!$G$5:$G$92,"Aset Tak Berwujud",'Daftar Koreksi'!$H$5:$H$92,"&gt;0")</f>
        <v>0</v>
      </c>
      <c r="F1356" s="25">
        <f>SUMIFS('Daftar Koreksi'!$H$5:$H$92,'Daftar Koreksi'!$D$5:$D$92,'0500'!A1346,'Daftar Koreksi'!$G$5:$G$92,"Aset Tak Berwujud",'Daftar Koreksi'!$H$5:$H$92,"&lt;0")-SUMIFS('Daftar Koreksi'!$H$5:$H$92,'Daftar Koreksi'!$D$5:$D$92,'0500'!A1346,'Daftar Koreksi'!$G$5:$G$92,"Aset Tak Berwujud",'Daftar Koreksi'!$H$5:$H$92,"&lt;0")-SUMIFS('Daftar Koreksi'!$H$5:$H$92,'Daftar Koreksi'!$D$5:$D$92,'0500'!A1346,'Daftar Koreksi'!$G$5:$G$92,"Aset Tak Berwujud",'Daftar Koreksi'!$H$5:$H$92,"&lt;0")</f>
        <v>0</v>
      </c>
      <c r="G1356" s="17">
        <f t="shared" si="61"/>
        <v>6243000</v>
      </c>
      <c r="H1356" s="122"/>
    </row>
    <row r="1357" spans="1:8" ht="21.95" customHeight="1">
      <c r="A1357" s="14"/>
      <c r="B1357" s="14"/>
      <c r="C1357" s="16" t="s">
        <v>1173</v>
      </c>
      <c r="D1357" s="17">
        <f>VLOOKUP(A1346,'Neraca Unaudited SIMAK'!$A$2:$S$10004,11,FALSE)</f>
        <v>0</v>
      </c>
      <c r="E1357" s="25">
        <f>SUMIFS('Daftar Koreksi'!$H$5:$H$92,'Daftar Koreksi'!$D$5:$D$92,'0500'!A1346,'Daftar Koreksi'!$G$5:$G$92,"Aset Henti Guna",'Daftar Koreksi'!$H$5:$H$92,"&gt;0")</f>
        <v>0</v>
      </c>
      <c r="F1357" s="25">
        <f>SUMIFS('Daftar Koreksi'!$H$5:$H$92,'Daftar Koreksi'!$D$5:$D$92,'0500'!A1346,'Daftar Koreksi'!$G$5:$G$92,"Aset Henti Guna",'Daftar Koreksi'!$H$5:$H$92,"&lt;0")-SUMIFS('Daftar Koreksi'!$H$5:$H$92,'Daftar Koreksi'!$D$5:$D$92,'0500'!A1346,'Daftar Koreksi'!$G$5:$G$92,"Aset Henti Guna",'Daftar Koreksi'!$H$5:$H$92,"&lt;0")-SUMIFS('Daftar Koreksi'!$H$5:$H$92,'Daftar Koreksi'!$D$5:$D$92,'0500'!A1346,'Daftar Koreksi'!$G$5:$G$92,"Aset Henti Guna",'Daftar Koreksi'!$H$5:$H$92,"&lt;0")</f>
        <v>0</v>
      </c>
      <c r="G1357" s="17">
        <f t="shared" si="61"/>
        <v>0</v>
      </c>
      <c r="H1357" s="122"/>
    </row>
    <row r="1358" spans="1:8" ht="21.95" customHeight="1">
      <c r="A1358" s="14"/>
      <c r="B1358" s="14"/>
      <c r="C1358" s="18" t="s">
        <v>2093</v>
      </c>
      <c r="D1358" s="19">
        <f>VLOOKUP(A1346,'Neraca Unaudited SIMAK'!$A$2:$S$10004,12,FALSE)</f>
        <v>6491872123</v>
      </c>
      <c r="E1358" s="19">
        <f>SUM(E1349:E1357)</f>
        <v>0</v>
      </c>
      <c r="F1358" s="19">
        <f>SUM(F1349:F1357)</f>
        <v>0</v>
      </c>
      <c r="G1358" s="19">
        <f t="shared" si="61"/>
        <v>6491872123</v>
      </c>
      <c r="H1358" s="122"/>
    </row>
    <row r="1359" spans="1:8" ht="21.95" customHeight="1">
      <c r="A1359" s="14"/>
      <c r="B1359" s="14"/>
      <c r="C1359" s="16" t="s">
        <v>2087</v>
      </c>
      <c r="D1359" s="17">
        <f>VLOOKUP(A1346,'Neraca Unaudited SIMAK'!$A$2:$S$10004,13,FALSE)</f>
        <v>-887566915</v>
      </c>
      <c r="E1359" s="25">
        <f>SUMIFS('Daftar Koreksi'!$I$5:$I$92,'Daftar Koreksi'!$D$5:$D$92,'0500'!A1346,'Daftar Koreksi'!$G$5:$G$92,"Peralatan dan mesin",'Daftar Koreksi'!$I$5:$I$92,"&gt;0")</f>
        <v>0</v>
      </c>
      <c r="F1359" s="25">
        <f>SUMIFS('Daftar Koreksi'!$I$5:$I$92,'Daftar Koreksi'!$D$5:$D$92,'0500'!A1346,'Daftar Koreksi'!$G$5:$G$92,"Peralatan dan mesin",'Daftar Koreksi'!$I$5:$I$92,"&lt;0")-SUMIFS('Daftar Koreksi'!$I$5:$I$92,'Daftar Koreksi'!$D$5:$D$92,'0500'!A1346,'Daftar Koreksi'!$G$5:$G$92,"Peralatan dan mesin",'Daftar Koreksi'!$I$5:$I$92,"&lt;0")-SUMIFS('Daftar Koreksi'!$I$5:$I$92,'Daftar Koreksi'!$D$5:$D$92,'0500'!A1346,'Daftar Koreksi'!$G$5:$G$92,"Peralatan dan mesin",'Daftar Koreksi'!$I$5:$I$92,"&lt;0")</f>
        <v>0</v>
      </c>
      <c r="G1359" s="17">
        <f t="shared" si="61"/>
        <v>-887566915</v>
      </c>
      <c r="H1359" s="122"/>
    </row>
    <row r="1360" spans="1:8" ht="21.95" customHeight="1">
      <c r="A1360" s="14"/>
      <c r="B1360" s="14"/>
      <c r="C1360" s="16" t="s">
        <v>2088</v>
      </c>
      <c r="D1360" s="17">
        <f>VLOOKUP(A1346,'Neraca Unaudited SIMAK'!$A$2:$S$10004,14,FALSE)</f>
        <v>-272600000</v>
      </c>
      <c r="E1360" s="25">
        <f>SUMIFS('Daftar Koreksi'!$I$5:$I$92,'Daftar Koreksi'!$D$5:$D$92,'0500'!A1346,'Daftar Koreksi'!$G$5:$G$92,"Gedung dan Bangunan",'Daftar Koreksi'!$I$5:$I$92,"&gt;0")</f>
        <v>0</v>
      </c>
      <c r="F1360" s="25">
        <f>SUMIFS('Daftar Koreksi'!$I$5:$I$92,'Daftar Koreksi'!$D$5:$D$92,'0500'!A1346,'Daftar Koreksi'!$G$5:$G$92,"Gedung dan Bangunan",'Daftar Koreksi'!$I$5:$I$92,"&lt;0")-SUMIFS('Daftar Koreksi'!$I$5:$I$92,'Daftar Koreksi'!$D$5:$D$92,'0500'!A1346,'Daftar Koreksi'!$G$5:$G$92,"Gedung dan Bangunan",'Daftar Koreksi'!$I$5:$I$92,"&lt;0")-SUMIFS('Daftar Koreksi'!$I$5:$I$92,'Daftar Koreksi'!$D$5:$D$92,'0500'!A1346,'Daftar Koreksi'!$G$5:$G$92,"Gedung dan Bangunan",'Daftar Koreksi'!$I$5:$I$92,"&lt;0")</f>
        <v>0</v>
      </c>
      <c r="G1360" s="17">
        <f t="shared" si="61"/>
        <v>-272600000</v>
      </c>
      <c r="H1360" s="122"/>
    </row>
    <row r="1361" spans="1:8" ht="21.95" customHeight="1">
      <c r="A1361" s="14"/>
      <c r="B1361" s="14"/>
      <c r="C1361" s="16" t="s">
        <v>2089</v>
      </c>
      <c r="D1361" s="17">
        <f>VLOOKUP(A1346,'Neraca Unaudited SIMAK'!$A$2:$S$10004,15,FALSE)</f>
        <v>0</v>
      </c>
      <c r="E1361" s="25">
        <f>SUMIFS('Daftar Koreksi'!$I$5:$I$92,'Daftar Koreksi'!$D$5:$D$92,'0500'!A1346,'Daftar Koreksi'!$G$5:$G$92,"Jalan Irigasi Jaringan",'Daftar Koreksi'!$I$5:$I$92,"&gt;0")</f>
        <v>0</v>
      </c>
      <c r="F1361" s="25">
        <f>SUMIFS('Daftar Koreksi'!$I$5:$I$92,'Daftar Koreksi'!$D$5:$D$92,'0500'!A1346,'Daftar Koreksi'!$G$5:$G$92,"Jalan Irigasi Jaringan",'Daftar Koreksi'!$I$5:$I$92,"&lt;0")-SUMIFS('Daftar Koreksi'!$I$5:$I$92,'Daftar Koreksi'!$D$5:$D$92,'0500'!A1346,'Daftar Koreksi'!$G$5:$G$92,"Jalan Irigasi Jaringan",'Daftar Koreksi'!$I$5:$I$92,"&lt;0")-SUMIFS('Daftar Koreksi'!$I$5:$I$92,'Daftar Koreksi'!$D$5:$D$92,'0500'!A1346,'Daftar Koreksi'!$G$5:$G$92,"Jalan Irigasi Jaringan",'Daftar Koreksi'!$I$5:$I$92,"&lt;0")</f>
        <v>0</v>
      </c>
      <c r="G1361" s="17">
        <f t="shared" si="61"/>
        <v>0</v>
      </c>
      <c r="H1361" s="122"/>
    </row>
    <row r="1362" spans="1:8" ht="21.95" customHeight="1">
      <c r="A1362" s="14"/>
      <c r="B1362" s="14"/>
      <c r="C1362" s="16" t="s">
        <v>2090</v>
      </c>
      <c r="D1362" s="17">
        <f>VLOOKUP(A1346,'Neraca Unaudited SIMAK'!$A$2:$S$10004,16,FALSE)</f>
        <v>0</v>
      </c>
      <c r="E1362" s="25">
        <f>SUMIFS('Daftar Koreksi'!$I$5:$I$92,'Daftar Koreksi'!$D$5:$D$92,'0500'!A1346,'Daftar Koreksi'!$G$5:$G$92,"Aset Tetap Lainnya",'Daftar Koreksi'!$I$5:$I$92,"&gt;0")</f>
        <v>0</v>
      </c>
      <c r="F1362" s="25">
        <f>SUMIFS('Daftar Koreksi'!$I$5:$I$92,'Daftar Koreksi'!$D$5:$D$92,'0500'!A1346,'Daftar Koreksi'!$G$5:$G$92,"Aset Tetap Lainnya",'Daftar Koreksi'!$I$5:$I$92,"&lt;0")-SUMIFS('Daftar Koreksi'!$I$5:$I$92,'Daftar Koreksi'!$D$5:$D$92,'0500'!A1346,'Daftar Koreksi'!$G$5:$G$92,"Aset Tetap Lainnya",'Daftar Koreksi'!$I$5:$I$92,"&lt;0")-SUMIFS('Daftar Koreksi'!$I$5:$I$92,'Daftar Koreksi'!$D$5:$D$92,'0500'!A1346,'Daftar Koreksi'!$G$5:$G$92,"Aset Tetap Lainnya",'Daftar Koreksi'!$I$5:$I$92,"&lt;0")</f>
        <v>0</v>
      </c>
      <c r="G1362" s="17">
        <f t="shared" si="61"/>
        <v>0</v>
      </c>
      <c r="H1362" s="122"/>
    </row>
    <row r="1363" spans="1:8" ht="21.95" customHeight="1">
      <c r="A1363" s="14"/>
      <c r="B1363" s="14"/>
      <c r="C1363" s="16" t="s">
        <v>2020</v>
      </c>
      <c r="D1363" s="17">
        <f>VLOOKUP(A1346,'Neraca Unaudited SIMAK'!$A$2:$S$10004,17,FALSE)</f>
        <v>0</v>
      </c>
      <c r="E1363" s="25">
        <f>SUMIFS('Daftar Koreksi'!$I$5:$I$92,'Daftar Koreksi'!$D$5:$D$92,'0500'!A1346,'Daftar Koreksi'!$G$5:$G$92,"Aset Henti Guna",'Daftar Koreksi'!$I$5:$I$92,"&gt;0")</f>
        <v>0</v>
      </c>
      <c r="F1363" s="25">
        <f>SUMIFS('Daftar Koreksi'!$I$5:$I$92,'Daftar Koreksi'!$D$5:$D$92,'0500'!A1346,'Daftar Koreksi'!$G$5:$G$92,"Aset Henti Guna",'Daftar Koreksi'!$I$5:$I$92,"&lt;0")-SUMIFS('Daftar Koreksi'!$I$5:$I$92,'Daftar Koreksi'!$D$5:$D$92,'0500'!A1346,'Daftar Koreksi'!$G$5:$G$92,"Aset Henti Guna",'Daftar Koreksi'!$I$5:$I$92,"&lt;0")-SUMIFS('Daftar Koreksi'!$I$5:$I$92,'Daftar Koreksi'!$D$5:$D$92,'0500'!A1346,'Daftar Koreksi'!$G$5:$G$92,"Aset Henti Guna",'Daftar Koreksi'!$I$5:$I$92,"&lt;0")</f>
        <v>0</v>
      </c>
      <c r="G1363" s="17">
        <f t="shared" si="61"/>
        <v>0</v>
      </c>
      <c r="H1363" s="122"/>
    </row>
    <row r="1364" spans="1:8" ht="21.95" customHeight="1">
      <c r="A1364" s="14"/>
      <c r="B1364" s="14"/>
      <c r="C1364" s="18" t="s">
        <v>2094</v>
      </c>
      <c r="D1364" s="19">
        <f>SUM(D1359:D1363)</f>
        <v>-1160166915</v>
      </c>
      <c r="E1364" s="19">
        <f>SUM(E1359:E1363)</f>
        <v>0</v>
      </c>
      <c r="F1364" s="19">
        <f>SUM(F1359:F1363)</f>
        <v>0</v>
      </c>
      <c r="G1364" s="19">
        <f t="shared" si="61"/>
        <v>-1160166915</v>
      </c>
      <c r="H1364" s="122"/>
    </row>
    <row r="1365" spans="1:8" ht="21.95" customHeight="1">
      <c r="A1365" s="14"/>
      <c r="B1365" s="14"/>
      <c r="C1365" s="18" t="s">
        <v>2095</v>
      </c>
      <c r="D1365" s="19">
        <f>VLOOKUP(A1346,'Neraca Unaudited SIMAK'!$A$2:$S$10004,18,FALSE)</f>
        <v>5331705208</v>
      </c>
      <c r="E1365" s="19">
        <f>E1364+E1358</f>
        <v>0</v>
      </c>
      <c r="F1365" s="19">
        <f>F1364+F1358</f>
        <v>0</v>
      </c>
      <c r="G1365" s="19">
        <f t="shared" si="61"/>
        <v>5331705208</v>
      </c>
      <c r="H1365" s="122"/>
    </row>
    <row r="1366" spans="1:8" ht="21.95" customHeight="1">
      <c r="A1366" s="14"/>
      <c r="B1366" s="14"/>
      <c r="C1366" s="16" t="s">
        <v>2091</v>
      </c>
      <c r="D1366" s="17">
        <f>VLOOKUP(A1346,'Neraca Unaudited SIMAK'!$A$2:$S$10004,19,FALSE)</f>
        <v>0</v>
      </c>
      <c r="E1366" s="25"/>
      <c r="F1366" s="25"/>
      <c r="G1366" s="17">
        <f t="shared" si="61"/>
        <v>0</v>
      </c>
      <c r="H1366" s="123"/>
    </row>
    <row r="1368" spans="1:8" ht="19.5" customHeight="1">
      <c r="A1368" s="11" t="str">
        <f>O63</f>
        <v>005010500401514000KD</v>
      </c>
      <c r="B1368" s="11" t="str">
        <f>P63</f>
        <v>PA. Ponorogo</v>
      </c>
      <c r="C1368" s="12" t="str">
        <f>A1368&amp;" "&amp;B1368</f>
        <v>005010500401514000KD PA. Ponorogo</v>
      </c>
      <c r="D1368" s="13"/>
      <c r="E1368" s="13"/>
      <c r="F1368" s="13"/>
      <c r="G1368" s="13"/>
      <c r="H1368" s="11"/>
    </row>
    <row r="1369" spans="1:8" ht="21.95" customHeight="1">
      <c r="A1369" s="14"/>
      <c r="B1369" s="14"/>
      <c r="C1369" s="124" t="s">
        <v>1982</v>
      </c>
      <c r="D1369" s="126" t="s">
        <v>1983</v>
      </c>
      <c r="E1369" s="132" t="s">
        <v>1984</v>
      </c>
      <c r="F1369" s="132"/>
      <c r="G1369" s="126" t="s">
        <v>1987</v>
      </c>
      <c r="H1369" s="130" t="s">
        <v>1175</v>
      </c>
    </row>
    <row r="1370" spans="1:8" ht="21.95" customHeight="1">
      <c r="A1370" s="14"/>
      <c r="B1370" s="14"/>
      <c r="C1370" s="125"/>
      <c r="D1370" s="127"/>
      <c r="E1370" s="26" t="s">
        <v>1985</v>
      </c>
      <c r="F1370" s="26" t="s">
        <v>1986</v>
      </c>
      <c r="G1370" s="127"/>
      <c r="H1370" s="131"/>
    </row>
    <row r="1371" spans="1:8" ht="21.95" customHeight="1">
      <c r="A1371" s="14"/>
      <c r="B1371" s="14"/>
      <c r="C1371" s="16" t="s">
        <v>1165</v>
      </c>
      <c r="D1371" s="17">
        <f>VLOOKUP(A1368,'Neraca Unaudited SIMAK'!$A$2:$S$10004,3,FALSE)</f>
        <v>898400</v>
      </c>
      <c r="E1371" s="25">
        <f>SUMIFS('Daftar Koreksi'!$H$5:$H$92,'Daftar Koreksi'!$D$5:$D$92,'0500'!A1368,'Daftar Koreksi'!$G$5:$G$92,"Persediaan",'Daftar Koreksi'!$H$5:$H$92,"&gt;0")</f>
        <v>0</v>
      </c>
      <c r="F1371" s="25">
        <f>SUMIFS('Daftar Koreksi'!$H$5:$H$92,'Daftar Koreksi'!$D$5:$D$92,'0500'!A1368,'Daftar Koreksi'!$G$5:$G$92,"Persediaan",'Daftar Koreksi'!$H$5:$H$92,"&lt;0")-SUMIFS('Daftar Koreksi'!$H$5:$H$92,'Daftar Koreksi'!$D$5:$D$92,'0500'!A1368,'Daftar Koreksi'!$G$5:$G$92,"Persediaan",'Daftar Koreksi'!$H$5:$H$92,"&lt;0")-SUMIFS('Daftar Koreksi'!$H$5:$H$92,'Daftar Koreksi'!$D$5:$D$92,'0500'!A1368,'Daftar Koreksi'!$G$5:$G$92,"Persediaan",'Daftar Koreksi'!$H$5:$H$92,"&lt;0")</f>
        <v>0</v>
      </c>
      <c r="G1371" s="17">
        <f>D1371+E1371-F1371</f>
        <v>898400</v>
      </c>
      <c r="H1371" s="121" t="str">
        <f>IF(ISNA(VLOOKUP(A1368,'Mutasi Neraca'!$A$3:$S$914,19,FALSE)),"-",VLOOKUP(A1368,'Mutasi Neraca'!$A$3:$S$914,19,FALSE))</f>
        <v>-</v>
      </c>
    </row>
    <row r="1372" spans="1:8" ht="21.95" customHeight="1">
      <c r="A1372" s="14"/>
      <c r="B1372" s="14"/>
      <c r="C1372" s="16" t="s">
        <v>1166</v>
      </c>
      <c r="D1372" s="17">
        <f>VLOOKUP(A1368,'Neraca Unaudited SIMAK'!$A$2:$S$10004,4,FALSE)</f>
        <v>1477876000</v>
      </c>
      <c r="E1372" s="25">
        <f>SUMIFS('Daftar Koreksi'!$H$5:$H$92,'Daftar Koreksi'!$D$5:$D$92,'0500'!A1368,'Daftar Koreksi'!$G$5:$G$92,"Tanah",'Daftar Koreksi'!$H$5:$H$92,"&gt;0")</f>
        <v>0</v>
      </c>
      <c r="F1372" s="25">
        <f>SUMIFS('Daftar Koreksi'!$H$5:$H$92,'Daftar Koreksi'!$D$5:$D$92,'0500'!A1368,'Daftar Koreksi'!$G$5:$G$92,"Tanah",'Daftar Koreksi'!$H$5:$H$92,"&lt;0")-SUMIFS('Daftar Koreksi'!$H$5:$H$92,'Daftar Koreksi'!$D$5:$D$92,'0500'!A1368,'Daftar Koreksi'!$G$5:$G$92,"Tanah",'Daftar Koreksi'!$H$5:$H$92,"&lt;0")-SUMIFS('Daftar Koreksi'!$H$5:$H$92,'Daftar Koreksi'!$D$5:$D$92,'0500'!A1368,'Daftar Koreksi'!$G$5:$G$92,"Tanah",'Daftar Koreksi'!$H$5:$H$92,"&lt;0")</f>
        <v>0</v>
      </c>
      <c r="G1372" s="17">
        <f t="shared" ref="G1372:G1388" si="62">D1372+E1372-F1372</f>
        <v>1477876000</v>
      </c>
      <c r="H1372" s="122"/>
    </row>
    <row r="1373" spans="1:8" ht="21.95" customHeight="1">
      <c r="A1373" s="14"/>
      <c r="B1373" s="14"/>
      <c r="C1373" s="16" t="s">
        <v>1167</v>
      </c>
      <c r="D1373" s="17">
        <f>VLOOKUP(A1368,'Neraca Unaudited SIMAK'!$A$2:$S$10004,5,FALSE)</f>
        <v>1073620926</v>
      </c>
      <c r="E1373" s="25">
        <f>SUMIFS('Daftar Koreksi'!$H$5:$H$92,'Daftar Koreksi'!$D$5:$D$92,'0500'!A1368,'Daftar Koreksi'!$G$5:$G$92,"Peralatan dan mesin",'Daftar Koreksi'!$H$5:$H$92,"&gt;0")</f>
        <v>0</v>
      </c>
      <c r="F1373" s="25">
        <f>SUMIFS('Daftar Koreksi'!$H$5:$H$92,'Daftar Koreksi'!$D$5:$D$92,'0500'!A1368,'Daftar Koreksi'!$G$5:$G$92,"Peralatan dan mesin",'Daftar Koreksi'!$H$5:$H$92,"&lt;0")-SUMIFS('Daftar Koreksi'!$H$5:$H$92,'Daftar Koreksi'!$D$5:$D$92,'0500'!A1368,'Daftar Koreksi'!$G$5:$G$92,"Peralatan dan mesin",'Daftar Koreksi'!$H$5:$H$92,"&lt;0")-SUMIFS('Daftar Koreksi'!$H$5:$H$92,'Daftar Koreksi'!$D$5:$D$92,'0500'!A1368,'Daftar Koreksi'!$G$5:$G$92,"Peralatan dan mesin",'Daftar Koreksi'!$H$5:$H$92,"&lt;0")</f>
        <v>0</v>
      </c>
      <c r="G1373" s="17">
        <f t="shared" si="62"/>
        <v>1073620926</v>
      </c>
      <c r="H1373" s="122"/>
    </row>
    <row r="1374" spans="1:8" ht="21.95" customHeight="1">
      <c r="A1374" s="14"/>
      <c r="B1374" s="14"/>
      <c r="C1374" s="16" t="s">
        <v>1168</v>
      </c>
      <c r="D1374" s="17">
        <f>VLOOKUP(A1368,'Neraca Unaudited SIMAK'!$A$2:$S$10004,6,FALSE)</f>
        <v>6908433183</v>
      </c>
      <c r="E1374" s="25">
        <f>SUMIFS('Daftar Koreksi'!$H$5:$H$92,'Daftar Koreksi'!$D$5:$D$92,'0500'!A1368,'Daftar Koreksi'!$G$5:$G$92,"Gedung dan Bangunan",'Daftar Koreksi'!$H$5:$H$92,"&gt;0")</f>
        <v>0</v>
      </c>
      <c r="F1374" s="25">
        <f>SUMIFS('Daftar Koreksi'!$H$5:$H$92,'Daftar Koreksi'!$D$5:$D$92,'0500'!A1368,'Daftar Koreksi'!$G$5:$G$92,"Gedung dan Bangunan",'Daftar Koreksi'!$H$5:$H$92,"&lt;0")-SUMIFS('Daftar Koreksi'!$H$5:$H$92,'Daftar Koreksi'!$D$5:$D$92,'0500'!A1368,'Daftar Koreksi'!$G$5:$G$92,"Gedung dan Bangunan",'Daftar Koreksi'!$H$5:$H$92,"&lt;0")-SUMIFS('Daftar Koreksi'!$H$5:$H$92,'Daftar Koreksi'!$D$5:$D$92,'0500'!A1368,'Daftar Koreksi'!$G$5:$G$92,"Gedung dan Bangunan",'Daftar Koreksi'!$H$5:$H$92,"&lt;0")</f>
        <v>0</v>
      </c>
      <c r="G1374" s="17">
        <f t="shared" si="62"/>
        <v>6908433183</v>
      </c>
      <c r="H1374" s="122"/>
    </row>
    <row r="1375" spans="1:8" ht="21.95" customHeight="1">
      <c r="A1375" s="14"/>
      <c r="B1375" s="14"/>
      <c r="C1375" s="16" t="s">
        <v>1169</v>
      </c>
      <c r="D1375" s="17">
        <f>VLOOKUP(A1368,'Neraca Unaudited SIMAK'!$A$2:$S$10004,7,FALSE)</f>
        <v>15180000</v>
      </c>
      <c r="E1375" s="25">
        <f>SUMIFS('Daftar Koreksi'!$H$5:$H$92,'Daftar Koreksi'!$D$5:$D$92,'0500'!A1368,'Daftar Koreksi'!$G$5:$G$92,"Jalan Irigasi Jaringan",'Daftar Koreksi'!$H$5:$H$92,"&gt;0")</f>
        <v>0</v>
      </c>
      <c r="F1375" s="25">
        <f>SUMIFS('Daftar Koreksi'!$H$5:$H$92,'Daftar Koreksi'!$D$5:$D$92,'0500'!A1368,'Daftar Koreksi'!$G$5:$G$92,"Jalan Irigasi Jaringan",'Daftar Koreksi'!$H$5:$H$92,"&lt;0")-SUMIFS('Daftar Koreksi'!$H$5:$H$92,'Daftar Koreksi'!$D$5:$D$92,'0500'!A1368,'Daftar Koreksi'!$G$5:$G$92,"Jalan Irigasi Jaringan",'Daftar Koreksi'!$H$5:$H$92,"&lt;0")-SUMIFS('Daftar Koreksi'!$H$5:$H$92,'Daftar Koreksi'!$D$5:$D$92,'0500'!A1368,'Daftar Koreksi'!$G$5:$G$92,"Jalan Irigasi Jaringan",'Daftar Koreksi'!$H$5:$H$92,"&lt;0")</f>
        <v>0</v>
      </c>
      <c r="G1375" s="17">
        <f t="shared" si="62"/>
        <v>15180000</v>
      </c>
      <c r="H1375" s="122"/>
    </row>
    <row r="1376" spans="1:8" ht="21.95" customHeight="1">
      <c r="A1376" s="14"/>
      <c r="B1376" s="14"/>
      <c r="C1376" s="16" t="s">
        <v>1170</v>
      </c>
      <c r="D1376" s="17">
        <f>VLOOKUP(A1368,'Neraca Unaudited SIMAK'!$A$2:$S$10004,8,FALSE)</f>
        <v>4536270</v>
      </c>
      <c r="E1376" s="25">
        <f>SUMIFS('Daftar Koreksi'!$H$5:$H$92,'Daftar Koreksi'!$D$5:$D$92,'0500'!A1368,'Daftar Koreksi'!$G$5:$G$92,"Aset Tetap Lainnya",'Daftar Koreksi'!$H$5:$H$92,"&gt;0")</f>
        <v>0</v>
      </c>
      <c r="F1376" s="25">
        <f>SUMIFS('Daftar Koreksi'!$H$5:$H$92,'Daftar Koreksi'!$D$5:$D$92,'0500'!A1368,'Daftar Koreksi'!$G$5:$G$92,"Aset Tetap Lainnya",'Daftar Koreksi'!$H$5:$H$92,"&lt;0")-SUMIFS('Daftar Koreksi'!$H$5:$H$92,'Daftar Koreksi'!$D$5:$D$92,'0500'!A1368,'Daftar Koreksi'!$G$5:$G$92,"Aset Tetap Lainnya",'Daftar Koreksi'!$H$5:$H$92,"&lt;0")-SUMIFS('Daftar Koreksi'!$H$5:$H$92,'Daftar Koreksi'!$D$5:$D$92,'0500'!A1368,'Daftar Koreksi'!$G$5:$G$92,"Aset Tetap Lainnya",'Daftar Koreksi'!$H$5:$H$92,"&lt;0")</f>
        <v>0</v>
      </c>
      <c r="G1376" s="17">
        <f t="shared" si="62"/>
        <v>4536270</v>
      </c>
      <c r="H1376" s="122"/>
    </row>
    <row r="1377" spans="1:8" ht="21.95" customHeight="1">
      <c r="A1377" s="14"/>
      <c r="B1377" s="14"/>
      <c r="C1377" s="16" t="s">
        <v>1171</v>
      </c>
      <c r="D1377" s="17">
        <f>VLOOKUP(A1368,'Neraca Unaudited SIMAK'!$A$2:$S$10004,9,FALSE)</f>
        <v>0</v>
      </c>
      <c r="E1377" s="25">
        <f>SUMIFS('Daftar Koreksi'!$H$5:$H$92,'Daftar Koreksi'!$D$5:$D$92,'0500'!A1368,'Daftar Koreksi'!$G$5:$G$92,"Kontruksi Dalam Pengerjaan",'Daftar Koreksi'!$H$5:$H$92,"&gt;0")</f>
        <v>0</v>
      </c>
      <c r="F1377" s="25">
        <f>SUMIFS('Daftar Koreksi'!$H$5:$H$92,'Daftar Koreksi'!$D$5:$D$92,'0500'!A1368,'Daftar Koreksi'!$G$5:$G$92,"Kontruksi Dalam Pengerjaan",'Daftar Koreksi'!$H$5:$H$92,"&lt;0")-SUMIFS('Daftar Koreksi'!$H$5:$H$92,'Daftar Koreksi'!$D$5:$D$92,'0500'!A1368,'Daftar Koreksi'!$G$5:$G$92,"Kontruksi Dalam Pengerjaan",'Daftar Koreksi'!$H$5:$H$92,"&lt;0")-SUMIFS('Daftar Koreksi'!$H$5:$H$92,'Daftar Koreksi'!$D$5:$D$92,'0500'!A1368,'Daftar Koreksi'!$G$5:$G$92,"Kontruksi Dalam Pengerjaan",'Daftar Koreksi'!$H$5:$H$92,"&lt;0")</f>
        <v>0</v>
      </c>
      <c r="G1377" s="17">
        <f t="shared" si="62"/>
        <v>0</v>
      </c>
      <c r="H1377" s="122"/>
    </row>
    <row r="1378" spans="1:8" ht="21.95" customHeight="1">
      <c r="A1378" s="14"/>
      <c r="B1378" s="14"/>
      <c r="C1378" s="16" t="s">
        <v>1172</v>
      </c>
      <c r="D1378" s="17">
        <f>VLOOKUP(A1368,'Neraca Unaudited SIMAK'!$A$2:$S$10004,10,FALSE)</f>
        <v>0</v>
      </c>
      <c r="E1378" s="25">
        <f>SUMIFS('Daftar Koreksi'!$H$5:$H$92,'Daftar Koreksi'!$D$5:$D$92,'0500'!A1368,'Daftar Koreksi'!$G$5:$G$92,"Aset Tak Berwujud",'Daftar Koreksi'!$H$5:$H$92,"&gt;0")</f>
        <v>0</v>
      </c>
      <c r="F1378" s="25">
        <f>SUMIFS('Daftar Koreksi'!$H$5:$H$92,'Daftar Koreksi'!$D$5:$D$92,'0500'!A1368,'Daftar Koreksi'!$G$5:$G$92,"Aset Tak Berwujud",'Daftar Koreksi'!$H$5:$H$92,"&lt;0")-SUMIFS('Daftar Koreksi'!$H$5:$H$92,'Daftar Koreksi'!$D$5:$D$92,'0500'!A1368,'Daftar Koreksi'!$G$5:$G$92,"Aset Tak Berwujud",'Daftar Koreksi'!$H$5:$H$92,"&lt;0")-SUMIFS('Daftar Koreksi'!$H$5:$H$92,'Daftar Koreksi'!$D$5:$D$92,'0500'!A1368,'Daftar Koreksi'!$G$5:$G$92,"Aset Tak Berwujud",'Daftar Koreksi'!$H$5:$H$92,"&lt;0")</f>
        <v>0</v>
      </c>
      <c r="G1378" s="17">
        <f t="shared" si="62"/>
        <v>0</v>
      </c>
      <c r="H1378" s="122"/>
    </row>
    <row r="1379" spans="1:8" ht="21.95" customHeight="1">
      <c r="A1379" s="14"/>
      <c r="B1379" s="14"/>
      <c r="C1379" s="16" t="s">
        <v>1173</v>
      </c>
      <c r="D1379" s="17">
        <f>VLOOKUP(A1368,'Neraca Unaudited SIMAK'!$A$2:$S$10004,11,FALSE)</f>
        <v>105028500</v>
      </c>
      <c r="E1379" s="25">
        <f>SUMIFS('Daftar Koreksi'!$H$5:$H$92,'Daftar Koreksi'!$D$5:$D$92,'0500'!A1368,'Daftar Koreksi'!$G$5:$G$92,"Aset Henti Guna",'Daftar Koreksi'!$H$5:$H$92,"&gt;0")</f>
        <v>0</v>
      </c>
      <c r="F1379" s="25">
        <f>SUMIFS('Daftar Koreksi'!$H$5:$H$92,'Daftar Koreksi'!$D$5:$D$92,'0500'!A1368,'Daftar Koreksi'!$G$5:$G$92,"Aset Henti Guna",'Daftar Koreksi'!$H$5:$H$92,"&lt;0")-SUMIFS('Daftar Koreksi'!$H$5:$H$92,'Daftar Koreksi'!$D$5:$D$92,'0500'!A1368,'Daftar Koreksi'!$G$5:$G$92,"Aset Henti Guna",'Daftar Koreksi'!$H$5:$H$92,"&lt;0")-SUMIFS('Daftar Koreksi'!$H$5:$H$92,'Daftar Koreksi'!$D$5:$D$92,'0500'!A1368,'Daftar Koreksi'!$G$5:$G$92,"Aset Henti Guna",'Daftar Koreksi'!$H$5:$H$92,"&lt;0")</f>
        <v>0</v>
      </c>
      <c r="G1379" s="17">
        <f t="shared" si="62"/>
        <v>105028500</v>
      </c>
      <c r="H1379" s="122"/>
    </row>
    <row r="1380" spans="1:8" ht="21.95" customHeight="1">
      <c r="A1380" s="14"/>
      <c r="B1380" s="14"/>
      <c r="C1380" s="18" t="s">
        <v>2093</v>
      </c>
      <c r="D1380" s="19">
        <f>VLOOKUP(A1368,'Neraca Unaudited SIMAK'!$A$2:$S$10004,12,FALSE)</f>
        <v>9585573279</v>
      </c>
      <c r="E1380" s="19">
        <f>SUM(E1371:E1379)</f>
        <v>0</v>
      </c>
      <c r="F1380" s="19">
        <f>SUM(F1371:F1379)</f>
        <v>0</v>
      </c>
      <c r="G1380" s="19">
        <f t="shared" si="62"/>
        <v>9585573279</v>
      </c>
      <c r="H1380" s="122"/>
    </row>
    <row r="1381" spans="1:8" ht="21.95" customHeight="1">
      <c r="A1381" s="14"/>
      <c r="B1381" s="14"/>
      <c r="C1381" s="16" t="s">
        <v>2087</v>
      </c>
      <c r="D1381" s="17">
        <f>VLOOKUP(A1368,'Neraca Unaudited SIMAK'!$A$2:$S$10004,13,FALSE)</f>
        <v>-873404667</v>
      </c>
      <c r="E1381" s="25">
        <f>SUMIFS('Daftar Koreksi'!$I$5:$I$92,'Daftar Koreksi'!$D$5:$D$92,'0500'!A1368,'Daftar Koreksi'!$G$5:$G$92,"Peralatan dan mesin",'Daftar Koreksi'!$I$5:$I$92,"&gt;0")</f>
        <v>0</v>
      </c>
      <c r="F1381" s="25">
        <f>SUMIFS('Daftar Koreksi'!$I$5:$I$92,'Daftar Koreksi'!$D$5:$D$92,'0500'!A1368,'Daftar Koreksi'!$G$5:$G$92,"Peralatan dan mesin",'Daftar Koreksi'!$I$5:$I$92,"&lt;0")-SUMIFS('Daftar Koreksi'!$I$5:$I$92,'Daftar Koreksi'!$D$5:$D$92,'0500'!A1368,'Daftar Koreksi'!$G$5:$G$92,"Peralatan dan mesin",'Daftar Koreksi'!$I$5:$I$92,"&lt;0")-SUMIFS('Daftar Koreksi'!$I$5:$I$92,'Daftar Koreksi'!$D$5:$D$92,'0500'!A1368,'Daftar Koreksi'!$G$5:$G$92,"Peralatan dan mesin",'Daftar Koreksi'!$I$5:$I$92,"&lt;0")</f>
        <v>0</v>
      </c>
      <c r="G1381" s="17">
        <f t="shared" si="62"/>
        <v>-873404667</v>
      </c>
      <c r="H1381" s="122"/>
    </row>
    <row r="1382" spans="1:8" ht="21.95" customHeight="1">
      <c r="A1382" s="14"/>
      <c r="B1382" s="14"/>
      <c r="C1382" s="16" t="s">
        <v>2088</v>
      </c>
      <c r="D1382" s="17">
        <f>VLOOKUP(A1368,'Neraca Unaudited SIMAK'!$A$2:$S$10004,14,FALSE)</f>
        <v>-1395091067</v>
      </c>
      <c r="E1382" s="25">
        <f>SUMIFS('Daftar Koreksi'!$I$5:$I$92,'Daftar Koreksi'!$D$5:$D$92,'0500'!A1368,'Daftar Koreksi'!$G$5:$G$92,"Gedung dan Bangunan",'Daftar Koreksi'!$I$5:$I$92,"&gt;0")</f>
        <v>0</v>
      </c>
      <c r="F1382" s="25">
        <f>SUMIFS('Daftar Koreksi'!$I$5:$I$92,'Daftar Koreksi'!$D$5:$D$92,'0500'!A1368,'Daftar Koreksi'!$G$5:$G$92,"Gedung dan Bangunan",'Daftar Koreksi'!$I$5:$I$92,"&lt;0")-SUMIFS('Daftar Koreksi'!$I$5:$I$92,'Daftar Koreksi'!$D$5:$D$92,'0500'!A1368,'Daftar Koreksi'!$G$5:$G$92,"Gedung dan Bangunan",'Daftar Koreksi'!$I$5:$I$92,"&lt;0")-SUMIFS('Daftar Koreksi'!$I$5:$I$92,'Daftar Koreksi'!$D$5:$D$92,'0500'!A1368,'Daftar Koreksi'!$G$5:$G$92,"Gedung dan Bangunan",'Daftar Koreksi'!$I$5:$I$92,"&lt;0")</f>
        <v>0</v>
      </c>
      <c r="G1382" s="17">
        <f t="shared" si="62"/>
        <v>-1395091067</v>
      </c>
      <c r="H1382" s="122"/>
    </row>
    <row r="1383" spans="1:8" ht="21.95" customHeight="1">
      <c r="A1383" s="14"/>
      <c r="B1383" s="14"/>
      <c r="C1383" s="16" t="s">
        <v>2089</v>
      </c>
      <c r="D1383" s="17">
        <f>VLOOKUP(A1368,'Neraca Unaudited SIMAK'!$A$2:$S$10004,15,FALSE)</f>
        <v>-2087250</v>
      </c>
      <c r="E1383" s="25">
        <f>SUMIFS('Daftar Koreksi'!$I$5:$I$92,'Daftar Koreksi'!$D$5:$D$92,'0500'!A1368,'Daftar Koreksi'!$G$5:$G$92,"Jalan Irigasi Jaringan",'Daftar Koreksi'!$I$5:$I$92,"&gt;0")</f>
        <v>0</v>
      </c>
      <c r="F1383" s="25">
        <f>SUMIFS('Daftar Koreksi'!$I$5:$I$92,'Daftar Koreksi'!$D$5:$D$92,'0500'!A1368,'Daftar Koreksi'!$G$5:$G$92,"Jalan Irigasi Jaringan",'Daftar Koreksi'!$I$5:$I$92,"&lt;0")-SUMIFS('Daftar Koreksi'!$I$5:$I$92,'Daftar Koreksi'!$D$5:$D$92,'0500'!A1368,'Daftar Koreksi'!$G$5:$G$92,"Jalan Irigasi Jaringan",'Daftar Koreksi'!$I$5:$I$92,"&lt;0")-SUMIFS('Daftar Koreksi'!$I$5:$I$92,'Daftar Koreksi'!$D$5:$D$92,'0500'!A1368,'Daftar Koreksi'!$G$5:$G$92,"Jalan Irigasi Jaringan",'Daftar Koreksi'!$I$5:$I$92,"&lt;0")</f>
        <v>0</v>
      </c>
      <c r="G1383" s="17">
        <f t="shared" si="62"/>
        <v>-2087250</v>
      </c>
      <c r="H1383" s="122"/>
    </row>
    <row r="1384" spans="1:8" ht="21.95" customHeight="1">
      <c r="A1384" s="14"/>
      <c r="B1384" s="14"/>
      <c r="C1384" s="16" t="s">
        <v>2090</v>
      </c>
      <c r="D1384" s="17">
        <f>VLOOKUP(A1368,'Neraca Unaudited SIMAK'!$A$2:$S$10004,16,FALSE)</f>
        <v>0</v>
      </c>
      <c r="E1384" s="25">
        <f>SUMIFS('Daftar Koreksi'!$I$5:$I$92,'Daftar Koreksi'!$D$5:$D$92,'0500'!A1368,'Daftar Koreksi'!$G$5:$G$92,"Aset Tetap Lainnya",'Daftar Koreksi'!$I$5:$I$92,"&gt;0")</f>
        <v>0</v>
      </c>
      <c r="F1384" s="25">
        <f>SUMIFS('Daftar Koreksi'!$I$5:$I$92,'Daftar Koreksi'!$D$5:$D$92,'0500'!A1368,'Daftar Koreksi'!$G$5:$G$92,"Aset Tetap Lainnya",'Daftar Koreksi'!$I$5:$I$92,"&lt;0")-SUMIFS('Daftar Koreksi'!$I$5:$I$92,'Daftar Koreksi'!$D$5:$D$92,'0500'!A1368,'Daftar Koreksi'!$G$5:$G$92,"Aset Tetap Lainnya",'Daftar Koreksi'!$I$5:$I$92,"&lt;0")-SUMIFS('Daftar Koreksi'!$I$5:$I$92,'Daftar Koreksi'!$D$5:$D$92,'0500'!A1368,'Daftar Koreksi'!$G$5:$G$92,"Aset Tetap Lainnya",'Daftar Koreksi'!$I$5:$I$92,"&lt;0")</f>
        <v>0</v>
      </c>
      <c r="G1384" s="17">
        <f t="shared" si="62"/>
        <v>0</v>
      </c>
      <c r="H1384" s="122"/>
    </row>
    <row r="1385" spans="1:8" ht="21.95" customHeight="1">
      <c r="A1385" s="14"/>
      <c r="B1385" s="14"/>
      <c r="C1385" s="16" t="s">
        <v>2020</v>
      </c>
      <c r="D1385" s="17">
        <f>VLOOKUP(A1368,'Neraca Unaudited SIMAK'!$A$2:$S$10004,17,FALSE)</f>
        <v>-101761831</v>
      </c>
      <c r="E1385" s="25">
        <f>SUMIFS('Daftar Koreksi'!$I$5:$I$92,'Daftar Koreksi'!$D$5:$D$92,'0500'!A1368,'Daftar Koreksi'!$G$5:$G$92,"Aset Henti Guna",'Daftar Koreksi'!$I$5:$I$92,"&gt;0")</f>
        <v>0</v>
      </c>
      <c r="F1385" s="25">
        <f>SUMIFS('Daftar Koreksi'!$I$5:$I$92,'Daftar Koreksi'!$D$5:$D$92,'0500'!A1368,'Daftar Koreksi'!$G$5:$G$92,"Aset Henti Guna",'Daftar Koreksi'!$I$5:$I$92,"&lt;0")-SUMIFS('Daftar Koreksi'!$I$5:$I$92,'Daftar Koreksi'!$D$5:$D$92,'0500'!A1368,'Daftar Koreksi'!$G$5:$G$92,"Aset Henti Guna",'Daftar Koreksi'!$I$5:$I$92,"&lt;0")-SUMIFS('Daftar Koreksi'!$I$5:$I$92,'Daftar Koreksi'!$D$5:$D$92,'0500'!A1368,'Daftar Koreksi'!$G$5:$G$92,"Aset Henti Guna",'Daftar Koreksi'!$I$5:$I$92,"&lt;0")</f>
        <v>0</v>
      </c>
      <c r="G1385" s="17">
        <f t="shared" si="62"/>
        <v>-101761831</v>
      </c>
      <c r="H1385" s="122"/>
    </row>
    <row r="1386" spans="1:8" ht="21.95" customHeight="1">
      <c r="A1386" s="14"/>
      <c r="B1386" s="14"/>
      <c r="C1386" s="18" t="s">
        <v>2094</v>
      </c>
      <c r="D1386" s="19">
        <f>SUM(D1381:D1385)</f>
        <v>-2372344815</v>
      </c>
      <c r="E1386" s="19">
        <f>SUM(E1381:E1385)</f>
        <v>0</v>
      </c>
      <c r="F1386" s="19">
        <f>SUM(F1381:F1385)</f>
        <v>0</v>
      </c>
      <c r="G1386" s="19">
        <f t="shared" si="62"/>
        <v>-2372344815</v>
      </c>
      <c r="H1386" s="122"/>
    </row>
    <row r="1387" spans="1:8" ht="21.95" customHeight="1">
      <c r="A1387" s="14"/>
      <c r="B1387" s="14"/>
      <c r="C1387" s="18" t="s">
        <v>2095</v>
      </c>
      <c r="D1387" s="19">
        <f>VLOOKUP(A1368,'Neraca Unaudited SIMAK'!$A$2:$S$10004,18,FALSE)</f>
        <v>7213228464</v>
      </c>
      <c r="E1387" s="19">
        <f>E1386+E1380</f>
        <v>0</v>
      </c>
      <c r="F1387" s="19">
        <f>F1386+F1380</f>
        <v>0</v>
      </c>
      <c r="G1387" s="19">
        <f t="shared" si="62"/>
        <v>7213228464</v>
      </c>
      <c r="H1387" s="122"/>
    </row>
    <row r="1388" spans="1:8" ht="21.95" customHeight="1">
      <c r="A1388" s="14"/>
      <c r="B1388" s="14"/>
      <c r="C1388" s="16" t="s">
        <v>2091</v>
      </c>
      <c r="D1388" s="17">
        <f>VLOOKUP(A1368,'Neraca Unaudited SIMAK'!$A$2:$S$10004,19,FALSE)</f>
        <v>0</v>
      </c>
      <c r="E1388" s="25"/>
      <c r="F1388" s="25"/>
      <c r="G1388" s="17">
        <f t="shared" si="62"/>
        <v>0</v>
      </c>
      <c r="H1388" s="123"/>
    </row>
    <row r="1390" spans="1:8" ht="19.5" customHeight="1">
      <c r="A1390" s="11" t="str">
        <f>O64</f>
        <v>005010500401520000KD</v>
      </c>
      <c r="B1390" s="11" t="str">
        <f>P64</f>
        <v>PA. Pacitan</v>
      </c>
      <c r="C1390" s="12" t="str">
        <f>A1390&amp;" "&amp;B1390</f>
        <v>005010500401520000KD PA. Pacitan</v>
      </c>
      <c r="D1390" s="13"/>
      <c r="E1390" s="13"/>
      <c r="F1390" s="13"/>
      <c r="G1390" s="13"/>
      <c r="H1390" s="11"/>
    </row>
    <row r="1391" spans="1:8" ht="21.95" customHeight="1">
      <c r="A1391" s="14"/>
      <c r="B1391" s="14"/>
      <c r="C1391" s="124" t="s">
        <v>1982</v>
      </c>
      <c r="D1391" s="126" t="s">
        <v>1983</v>
      </c>
      <c r="E1391" s="132" t="s">
        <v>1984</v>
      </c>
      <c r="F1391" s="132"/>
      <c r="G1391" s="126" t="s">
        <v>1987</v>
      </c>
      <c r="H1391" s="130" t="s">
        <v>1175</v>
      </c>
    </row>
    <row r="1392" spans="1:8" ht="21.95" customHeight="1">
      <c r="A1392" s="14"/>
      <c r="B1392" s="14"/>
      <c r="C1392" s="125"/>
      <c r="D1392" s="127"/>
      <c r="E1392" s="26" t="s">
        <v>1985</v>
      </c>
      <c r="F1392" s="26" t="s">
        <v>1986</v>
      </c>
      <c r="G1392" s="127"/>
      <c r="H1392" s="131"/>
    </row>
    <row r="1393" spans="1:8" ht="21.95" customHeight="1">
      <c r="A1393" s="14"/>
      <c r="B1393" s="14"/>
      <c r="C1393" s="16" t="s">
        <v>1165</v>
      </c>
      <c r="D1393" s="17">
        <f>VLOOKUP(A1390,'Neraca Unaudited SIMAK'!$A$2:$S$10004,3,FALSE)</f>
        <v>3502400</v>
      </c>
      <c r="E1393" s="25">
        <f>SUMIFS('Daftar Koreksi'!$H$5:$H$92,'Daftar Koreksi'!$D$5:$D$92,'0500'!A1390,'Daftar Koreksi'!$G$5:$G$92,"Persediaan",'Daftar Koreksi'!$H$5:$H$92,"&gt;0")</f>
        <v>0</v>
      </c>
      <c r="F1393" s="25">
        <f>SUMIFS('Daftar Koreksi'!$H$5:$H$92,'Daftar Koreksi'!$D$5:$D$92,'0500'!A1390,'Daftar Koreksi'!$G$5:$G$92,"Persediaan",'Daftar Koreksi'!$H$5:$H$92,"&lt;0")-SUMIFS('Daftar Koreksi'!$H$5:$H$92,'Daftar Koreksi'!$D$5:$D$92,'0500'!A1390,'Daftar Koreksi'!$G$5:$G$92,"Persediaan",'Daftar Koreksi'!$H$5:$H$92,"&lt;0")-SUMIFS('Daftar Koreksi'!$H$5:$H$92,'Daftar Koreksi'!$D$5:$D$92,'0500'!A1390,'Daftar Koreksi'!$G$5:$G$92,"Persediaan",'Daftar Koreksi'!$H$5:$H$92,"&lt;0")</f>
        <v>0</v>
      </c>
      <c r="G1393" s="17">
        <f>D1393+E1393-F1393</f>
        <v>3502400</v>
      </c>
      <c r="H1393" s="121" t="str">
        <f>IF(ISNA(VLOOKUP(A1390,'Mutasi Neraca'!$A$3:$S$914,19,FALSE)),"-",VLOOKUP(A1390,'Mutasi Neraca'!$A$3:$S$914,19,FALSE))</f>
        <v>-</v>
      </c>
    </row>
    <row r="1394" spans="1:8" ht="21.95" customHeight="1">
      <c r="A1394" s="14"/>
      <c r="B1394" s="14"/>
      <c r="C1394" s="16" t="s">
        <v>1166</v>
      </c>
      <c r="D1394" s="17">
        <f>VLOOKUP(A1390,'Neraca Unaudited SIMAK'!$A$2:$S$10004,4,FALSE)</f>
        <v>2308744000</v>
      </c>
      <c r="E1394" s="25">
        <f>SUMIFS('Daftar Koreksi'!$H$5:$H$92,'Daftar Koreksi'!$D$5:$D$92,'0500'!A1390,'Daftar Koreksi'!$G$5:$G$92,"Tanah",'Daftar Koreksi'!$H$5:$H$92,"&gt;0")</f>
        <v>0</v>
      </c>
      <c r="F1394" s="25">
        <f>SUMIFS('Daftar Koreksi'!$H$5:$H$92,'Daftar Koreksi'!$D$5:$D$92,'0500'!A1390,'Daftar Koreksi'!$G$5:$G$92,"Tanah",'Daftar Koreksi'!$H$5:$H$92,"&lt;0")-SUMIFS('Daftar Koreksi'!$H$5:$H$92,'Daftar Koreksi'!$D$5:$D$92,'0500'!A1390,'Daftar Koreksi'!$G$5:$G$92,"Tanah",'Daftar Koreksi'!$H$5:$H$92,"&lt;0")-SUMIFS('Daftar Koreksi'!$H$5:$H$92,'Daftar Koreksi'!$D$5:$D$92,'0500'!A1390,'Daftar Koreksi'!$G$5:$G$92,"Tanah",'Daftar Koreksi'!$H$5:$H$92,"&lt;0")</f>
        <v>0</v>
      </c>
      <c r="G1394" s="17">
        <f t="shared" ref="G1394:G1410" si="63">D1394+E1394-F1394</f>
        <v>2308744000</v>
      </c>
      <c r="H1394" s="122"/>
    </row>
    <row r="1395" spans="1:8" ht="21.95" customHeight="1">
      <c r="A1395" s="14"/>
      <c r="B1395" s="14"/>
      <c r="C1395" s="16" t="s">
        <v>1167</v>
      </c>
      <c r="D1395" s="17">
        <f>VLOOKUP(A1390,'Neraca Unaudited SIMAK'!$A$2:$S$10004,5,FALSE)</f>
        <v>1644501311</v>
      </c>
      <c r="E1395" s="25">
        <f>SUMIFS('Daftar Koreksi'!$H$5:$H$92,'Daftar Koreksi'!$D$5:$D$92,'0500'!A1390,'Daftar Koreksi'!$G$5:$G$92,"Peralatan dan mesin",'Daftar Koreksi'!$H$5:$H$92,"&gt;0")</f>
        <v>0</v>
      </c>
      <c r="F1395" s="25">
        <f>SUMIFS('Daftar Koreksi'!$H$5:$H$92,'Daftar Koreksi'!$D$5:$D$92,'0500'!A1390,'Daftar Koreksi'!$G$5:$G$92,"Peralatan dan mesin",'Daftar Koreksi'!$H$5:$H$92,"&lt;0")-SUMIFS('Daftar Koreksi'!$H$5:$H$92,'Daftar Koreksi'!$D$5:$D$92,'0500'!A1390,'Daftar Koreksi'!$G$5:$G$92,"Peralatan dan mesin",'Daftar Koreksi'!$H$5:$H$92,"&lt;0")-SUMIFS('Daftar Koreksi'!$H$5:$H$92,'Daftar Koreksi'!$D$5:$D$92,'0500'!A1390,'Daftar Koreksi'!$G$5:$G$92,"Peralatan dan mesin",'Daftar Koreksi'!$H$5:$H$92,"&lt;0")</f>
        <v>0</v>
      </c>
      <c r="G1395" s="17">
        <f t="shared" si="63"/>
        <v>1644501311</v>
      </c>
      <c r="H1395" s="122"/>
    </row>
    <row r="1396" spans="1:8" ht="21.95" customHeight="1">
      <c r="A1396" s="14"/>
      <c r="B1396" s="14"/>
      <c r="C1396" s="16" t="s">
        <v>1168</v>
      </c>
      <c r="D1396" s="17">
        <f>VLOOKUP(A1390,'Neraca Unaudited SIMAK'!$A$2:$S$10004,6,FALSE)</f>
        <v>6806445700</v>
      </c>
      <c r="E1396" s="25">
        <f>SUMIFS('Daftar Koreksi'!$H$5:$H$92,'Daftar Koreksi'!$D$5:$D$92,'0500'!A1390,'Daftar Koreksi'!$G$5:$G$92,"Gedung dan Bangunan",'Daftar Koreksi'!$H$5:$H$92,"&gt;0")</f>
        <v>0</v>
      </c>
      <c r="F1396" s="25">
        <f>SUMIFS('Daftar Koreksi'!$H$5:$H$92,'Daftar Koreksi'!$D$5:$D$92,'0500'!A1390,'Daftar Koreksi'!$G$5:$G$92,"Gedung dan Bangunan",'Daftar Koreksi'!$H$5:$H$92,"&lt;0")-SUMIFS('Daftar Koreksi'!$H$5:$H$92,'Daftar Koreksi'!$D$5:$D$92,'0500'!A1390,'Daftar Koreksi'!$G$5:$G$92,"Gedung dan Bangunan",'Daftar Koreksi'!$H$5:$H$92,"&lt;0")-SUMIFS('Daftar Koreksi'!$H$5:$H$92,'Daftar Koreksi'!$D$5:$D$92,'0500'!A1390,'Daftar Koreksi'!$G$5:$G$92,"Gedung dan Bangunan",'Daftar Koreksi'!$H$5:$H$92,"&lt;0")</f>
        <v>0</v>
      </c>
      <c r="G1396" s="17">
        <f t="shared" si="63"/>
        <v>6806445700</v>
      </c>
      <c r="H1396" s="122"/>
    </row>
    <row r="1397" spans="1:8" ht="21.95" customHeight="1">
      <c r="A1397" s="14"/>
      <c r="B1397" s="14"/>
      <c r="C1397" s="16" t="s">
        <v>1169</v>
      </c>
      <c r="D1397" s="17">
        <f>VLOOKUP(A1390,'Neraca Unaudited SIMAK'!$A$2:$S$10004,7,FALSE)</f>
        <v>0</v>
      </c>
      <c r="E1397" s="25">
        <f>SUMIFS('Daftar Koreksi'!$H$5:$H$92,'Daftar Koreksi'!$D$5:$D$92,'0500'!A1390,'Daftar Koreksi'!$G$5:$G$92,"Jalan Irigasi Jaringan",'Daftar Koreksi'!$H$5:$H$92,"&gt;0")</f>
        <v>0</v>
      </c>
      <c r="F1397" s="25">
        <f>SUMIFS('Daftar Koreksi'!$H$5:$H$92,'Daftar Koreksi'!$D$5:$D$92,'0500'!A1390,'Daftar Koreksi'!$G$5:$G$92,"Jalan Irigasi Jaringan",'Daftar Koreksi'!$H$5:$H$92,"&lt;0")-SUMIFS('Daftar Koreksi'!$H$5:$H$92,'Daftar Koreksi'!$D$5:$D$92,'0500'!A1390,'Daftar Koreksi'!$G$5:$G$92,"Jalan Irigasi Jaringan",'Daftar Koreksi'!$H$5:$H$92,"&lt;0")-SUMIFS('Daftar Koreksi'!$H$5:$H$92,'Daftar Koreksi'!$D$5:$D$92,'0500'!A1390,'Daftar Koreksi'!$G$5:$G$92,"Jalan Irigasi Jaringan",'Daftar Koreksi'!$H$5:$H$92,"&lt;0")</f>
        <v>0</v>
      </c>
      <c r="G1397" s="17">
        <f t="shared" si="63"/>
        <v>0</v>
      </c>
      <c r="H1397" s="122"/>
    </row>
    <row r="1398" spans="1:8" ht="21.95" customHeight="1">
      <c r="A1398" s="14"/>
      <c r="B1398" s="14"/>
      <c r="C1398" s="16" t="s">
        <v>1170</v>
      </c>
      <c r="D1398" s="17">
        <f>VLOOKUP(A1390,'Neraca Unaudited SIMAK'!$A$2:$S$10004,8,FALSE)</f>
        <v>33466770</v>
      </c>
      <c r="E1398" s="25">
        <f>SUMIFS('Daftar Koreksi'!$H$5:$H$92,'Daftar Koreksi'!$D$5:$D$92,'0500'!A1390,'Daftar Koreksi'!$G$5:$G$92,"Aset Tetap Lainnya",'Daftar Koreksi'!$H$5:$H$92,"&gt;0")</f>
        <v>0</v>
      </c>
      <c r="F1398" s="25">
        <f>SUMIFS('Daftar Koreksi'!$H$5:$H$92,'Daftar Koreksi'!$D$5:$D$92,'0500'!A1390,'Daftar Koreksi'!$G$5:$G$92,"Aset Tetap Lainnya",'Daftar Koreksi'!$H$5:$H$92,"&lt;0")-SUMIFS('Daftar Koreksi'!$H$5:$H$92,'Daftar Koreksi'!$D$5:$D$92,'0500'!A1390,'Daftar Koreksi'!$G$5:$G$92,"Aset Tetap Lainnya",'Daftar Koreksi'!$H$5:$H$92,"&lt;0")-SUMIFS('Daftar Koreksi'!$H$5:$H$92,'Daftar Koreksi'!$D$5:$D$92,'0500'!A1390,'Daftar Koreksi'!$G$5:$G$92,"Aset Tetap Lainnya",'Daftar Koreksi'!$H$5:$H$92,"&lt;0")</f>
        <v>0</v>
      </c>
      <c r="G1398" s="17">
        <f t="shared" si="63"/>
        <v>33466770</v>
      </c>
      <c r="H1398" s="122"/>
    </row>
    <row r="1399" spans="1:8" ht="21.95" customHeight="1">
      <c r="A1399" s="14"/>
      <c r="B1399" s="14"/>
      <c r="C1399" s="16" t="s">
        <v>1171</v>
      </c>
      <c r="D1399" s="17">
        <f>VLOOKUP(A1390,'Neraca Unaudited SIMAK'!$A$2:$S$10004,9,FALSE)</f>
        <v>0</v>
      </c>
      <c r="E1399" s="25">
        <f>SUMIFS('Daftar Koreksi'!$H$5:$H$92,'Daftar Koreksi'!$D$5:$D$92,'0500'!A1390,'Daftar Koreksi'!$G$5:$G$92,"Kontruksi Dalam Pengerjaan",'Daftar Koreksi'!$H$5:$H$92,"&gt;0")</f>
        <v>0</v>
      </c>
      <c r="F1399" s="25">
        <f>SUMIFS('Daftar Koreksi'!$H$5:$H$92,'Daftar Koreksi'!$D$5:$D$92,'0500'!A1390,'Daftar Koreksi'!$G$5:$G$92,"Kontruksi Dalam Pengerjaan",'Daftar Koreksi'!$H$5:$H$92,"&lt;0")-SUMIFS('Daftar Koreksi'!$H$5:$H$92,'Daftar Koreksi'!$D$5:$D$92,'0500'!A1390,'Daftar Koreksi'!$G$5:$G$92,"Kontruksi Dalam Pengerjaan",'Daftar Koreksi'!$H$5:$H$92,"&lt;0")-SUMIFS('Daftar Koreksi'!$H$5:$H$92,'Daftar Koreksi'!$D$5:$D$92,'0500'!A1390,'Daftar Koreksi'!$G$5:$G$92,"Kontruksi Dalam Pengerjaan",'Daftar Koreksi'!$H$5:$H$92,"&lt;0")</f>
        <v>0</v>
      </c>
      <c r="G1399" s="17">
        <f t="shared" si="63"/>
        <v>0</v>
      </c>
      <c r="H1399" s="122"/>
    </row>
    <row r="1400" spans="1:8" ht="21.95" customHeight="1">
      <c r="A1400" s="14"/>
      <c r="B1400" s="14"/>
      <c r="C1400" s="16" t="s">
        <v>1172</v>
      </c>
      <c r="D1400" s="17">
        <f>VLOOKUP(A1390,'Neraca Unaudited SIMAK'!$A$2:$S$10004,10,FALSE)</f>
        <v>0</v>
      </c>
      <c r="E1400" s="25">
        <f>SUMIFS('Daftar Koreksi'!$H$5:$H$92,'Daftar Koreksi'!$D$5:$D$92,'0500'!A1390,'Daftar Koreksi'!$G$5:$G$92,"Aset Tak Berwujud",'Daftar Koreksi'!$H$5:$H$92,"&gt;0")</f>
        <v>0</v>
      </c>
      <c r="F1400" s="25">
        <f>SUMIFS('Daftar Koreksi'!$H$5:$H$92,'Daftar Koreksi'!$D$5:$D$92,'0500'!A1390,'Daftar Koreksi'!$G$5:$G$92,"Aset Tak Berwujud",'Daftar Koreksi'!$H$5:$H$92,"&lt;0")-SUMIFS('Daftar Koreksi'!$H$5:$H$92,'Daftar Koreksi'!$D$5:$D$92,'0500'!A1390,'Daftar Koreksi'!$G$5:$G$92,"Aset Tak Berwujud",'Daftar Koreksi'!$H$5:$H$92,"&lt;0")-SUMIFS('Daftar Koreksi'!$H$5:$H$92,'Daftar Koreksi'!$D$5:$D$92,'0500'!A1390,'Daftar Koreksi'!$G$5:$G$92,"Aset Tak Berwujud",'Daftar Koreksi'!$H$5:$H$92,"&lt;0")</f>
        <v>0</v>
      </c>
      <c r="G1400" s="17">
        <f t="shared" si="63"/>
        <v>0</v>
      </c>
      <c r="H1400" s="122"/>
    </row>
    <row r="1401" spans="1:8" ht="21.95" customHeight="1">
      <c r="A1401" s="14"/>
      <c r="B1401" s="14"/>
      <c r="C1401" s="16" t="s">
        <v>1173</v>
      </c>
      <c r="D1401" s="17">
        <f>VLOOKUP(A1390,'Neraca Unaudited SIMAK'!$A$2:$S$10004,11,FALSE)</f>
        <v>14276205</v>
      </c>
      <c r="E1401" s="25">
        <f>SUMIFS('Daftar Koreksi'!$H$5:$H$92,'Daftar Koreksi'!$D$5:$D$92,'0500'!A1390,'Daftar Koreksi'!$G$5:$G$92,"Aset Henti Guna",'Daftar Koreksi'!$H$5:$H$92,"&gt;0")</f>
        <v>0</v>
      </c>
      <c r="F1401" s="25">
        <f>SUMIFS('Daftar Koreksi'!$H$5:$H$92,'Daftar Koreksi'!$D$5:$D$92,'0500'!A1390,'Daftar Koreksi'!$G$5:$G$92,"Aset Henti Guna",'Daftar Koreksi'!$H$5:$H$92,"&lt;0")-SUMIFS('Daftar Koreksi'!$H$5:$H$92,'Daftar Koreksi'!$D$5:$D$92,'0500'!A1390,'Daftar Koreksi'!$G$5:$G$92,"Aset Henti Guna",'Daftar Koreksi'!$H$5:$H$92,"&lt;0")-SUMIFS('Daftar Koreksi'!$H$5:$H$92,'Daftar Koreksi'!$D$5:$D$92,'0500'!A1390,'Daftar Koreksi'!$G$5:$G$92,"Aset Henti Guna",'Daftar Koreksi'!$H$5:$H$92,"&lt;0")</f>
        <v>0</v>
      </c>
      <c r="G1401" s="17">
        <f t="shared" si="63"/>
        <v>14276205</v>
      </c>
      <c r="H1401" s="122"/>
    </row>
    <row r="1402" spans="1:8" ht="21.95" customHeight="1">
      <c r="A1402" s="14"/>
      <c r="B1402" s="14"/>
      <c r="C1402" s="18" t="s">
        <v>2093</v>
      </c>
      <c r="D1402" s="19">
        <f>VLOOKUP(A1390,'Neraca Unaudited SIMAK'!$A$2:$S$10004,12,FALSE)</f>
        <v>10810936386</v>
      </c>
      <c r="E1402" s="19">
        <f>SUM(E1393:E1401)</f>
        <v>0</v>
      </c>
      <c r="F1402" s="19">
        <f>SUM(F1393:F1401)</f>
        <v>0</v>
      </c>
      <c r="G1402" s="19">
        <f t="shared" si="63"/>
        <v>10810936386</v>
      </c>
      <c r="H1402" s="122"/>
    </row>
    <row r="1403" spans="1:8" ht="21.95" customHeight="1">
      <c r="A1403" s="14"/>
      <c r="B1403" s="14"/>
      <c r="C1403" s="16" t="s">
        <v>2087</v>
      </c>
      <c r="D1403" s="17">
        <f>VLOOKUP(A1390,'Neraca Unaudited SIMAK'!$A$2:$S$10004,13,FALSE)</f>
        <v>-1175697737</v>
      </c>
      <c r="E1403" s="25">
        <f>SUMIFS('Daftar Koreksi'!$I$5:$I$92,'Daftar Koreksi'!$D$5:$D$92,'0500'!A1390,'Daftar Koreksi'!$G$5:$G$92,"Peralatan dan mesin",'Daftar Koreksi'!$I$5:$I$92,"&gt;0")</f>
        <v>0</v>
      </c>
      <c r="F1403" s="25">
        <f>SUMIFS('Daftar Koreksi'!$I$5:$I$92,'Daftar Koreksi'!$D$5:$D$92,'0500'!A1390,'Daftar Koreksi'!$G$5:$G$92,"Peralatan dan mesin",'Daftar Koreksi'!$I$5:$I$92,"&lt;0")-SUMIFS('Daftar Koreksi'!$I$5:$I$92,'Daftar Koreksi'!$D$5:$D$92,'0500'!A1390,'Daftar Koreksi'!$G$5:$G$92,"Peralatan dan mesin",'Daftar Koreksi'!$I$5:$I$92,"&lt;0")-SUMIFS('Daftar Koreksi'!$I$5:$I$92,'Daftar Koreksi'!$D$5:$D$92,'0500'!A1390,'Daftar Koreksi'!$G$5:$G$92,"Peralatan dan mesin",'Daftar Koreksi'!$I$5:$I$92,"&lt;0")</f>
        <v>0</v>
      </c>
      <c r="G1403" s="17">
        <f t="shared" si="63"/>
        <v>-1175697737</v>
      </c>
      <c r="H1403" s="122"/>
    </row>
    <row r="1404" spans="1:8" ht="21.95" customHeight="1">
      <c r="A1404" s="14"/>
      <c r="B1404" s="14"/>
      <c r="C1404" s="16" t="s">
        <v>2088</v>
      </c>
      <c r="D1404" s="17">
        <f>VLOOKUP(A1390,'Neraca Unaudited SIMAK'!$A$2:$S$10004,14,FALSE)</f>
        <v>-1348911228</v>
      </c>
      <c r="E1404" s="25">
        <f>SUMIFS('Daftar Koreksi'!$I$5:$I$92,'Daftar Koreksi'!$D$5:$D$92,'0500'!A1390,'Daftar Koreksi'!$G$5:$G$92,"Gedung dan Bangunan",'Daftar Koreksi'!$I$5:$I$92,"&gt;0")</f>
        <v>0</v>
      </c>
      <c r="F1404" s="25">
        <f>SUMIFS('Daftar Koreksi'!$I$5:$I$92,'Daftar Koreksi'!$D$5:$D$92,'0500'!A1390,'Daftar Koreksi'!$G$5:$G$92,"Gedung dan Bangunan",'Daftar Koreksi'!$I$5:$I$92,"&lt;0")-SUMIFS('Daftar Koreksi'!$I$5:$I$92,'Daftar Koreksi'!$D$5:$D$92,'0500'!A1390,'Daftar Koreksi'!$G$5:$G$92,"Gedung dan Bangunan",'Daftar Koreksi'!$I$5:$I$92,"&lt;0")-SUMIFS('Daftar Koreksi'!$I$5:$I$92,'Daftar Koreksi'!$D$5:$D$92,'0500'!A1390,'Daftar Koreksi'!$G$5:$G$92,"Gedung dan Bangunan",'Daftar Koreksi'!$I$5:$I$92,"&lt;0")</f>
        <v>0</v>
      </c>
      <c r="G1404" s="17">
        <f t="shared" si="63"/>
        <v>-1348911228</v>
      </c>
      <c r="H1404" s="122"/>
    </row>
    <row r="1405" spans="1:8" ht="21.95" customHeight="1">
      <c r="A1405" s="14"/>
      <c r="B1405" s="14"/>
      <c r="C1405" s="16" t="s">
        <v>2089</v>
      </c>
      <c r="D1405" s="17">
        <f>VLOOKUP(A1390,'Neraca Unaudited SIMAK'!$A$2:$S$10004,15,FALSE)</f>
        <v>0</v>
      </c>
      <c r="E1405" s="25">
        <f>SUMIFS('Daftar Koreksi'!$I$5:$I$92,'Daftar Koreksi'!$D$5:$D$92,'0500'!A1390,'Daftar Koreksi'!$G$5:$G$92,"Jalan Irigasi Jaringan",'Daftar Koreksi'!$I$5:$I$92,"&gt;0")</f>
        <v>0</v>
      </c>
      <c r="F1405" s="25">
        <f>SUMIFS('Daftar Koreksi'!$I$5:$I$92,'Daftar Koreksi'!$D$5:$D$92,'0500'!A1390,'Daftar Koreksi'!$G$5:$G$92,"Jalan Irigasi Jaringan",'Daftar Koreksi'!$I$5:$I$92,"&lt;0")-SUMIFS('Daftar Koreksi'!$I$5:$I$92,'Daftar Koreksi'!$D$5:$D$92,'0500'!A1390,'Daftar Koreksi'!$G$5:$G$92,"Jalan Irigasi Jaringan",'Daftar Koreksi'!$I$5:$I$92,"&lt;0")-SUMIFS('Daftar Koreksi'!$I$5:$I$92,'Daftar Koreksi'!$D$5:$D$92,'0500'!A1390,'Daftar Koreksi'!$G$5:$G$92,"Jalan Irigasi Jaringan",'Daftar Koreksi'!$I$5:$I$92,"&lt;0")</f>
        <v>0</v>
      </c>
      <c r="G1405" s="17">
        <f t="shared" si="63"/>
        <v>0</v>
      </c>
      <c r="H1405" s="122"/>
    </row>
    <row r="1406" spans="1:8" ht="21.95" customHeight="1">
      <c r="A1406" s="14"/>
      <c r="B1406" s="14"/>
      <c r="C1406" s="16" t="s">
        <v>2090</v>
      </c>
      <c r="D1406" s="17">
        <f>VLOOKUP(A1390,'Neraca Unaudited SIMAK'!$A$2:$S$10004,16,FALSE)</f>
        <v>0</v>
      </c>
      <c r="E1406" s="25">
        <f>SUMIFS('Daftar Koreksi'!$I$5:$I$92,'Daftar Koreksi'!$D$5:$D$92,'0500'!A1390,'Daftar Koreksi'!$G$5:$G$92,"Aset Tetap Lainnya",'Daftar Koreksi'!$I$5:$I$92,"&gt;0")</f>
        <v>0</v>
      </c>
      <c r="F1406" s="25">
        <f>SUMIFS('Daftar Koreksi'!$I$5:$I$92,'Daftar Koreksi'!$D$5:$D$92,'0500'!A1390,'Daftar Koreksi'!$G$5:$G$92,"Aset Tetap Lainnya",'Daftar Koreksi'!$I$5:$I$92,"&lt;0")-SUMIFS('Daftar Koreksi'!$I$5:$I$92,'Daftar Koreksi'!$D$5:$D$92,'0500'!A1390,'Daftar Koreksi'!$G$5:$G$92,"Aset Tetap Lainnya",'Daftar Koreksi'!$I$5:$I$92,"&lt;0")-SUMIFS('Daftar Koreksi'!$I$5:$I$92,'Daftar Koreksi'!$D$5:$D$92,'0500'!A1390,'Daftar Koreksi'!$G$5:$G$92,"Aset Tetap Lainnya",'Daftar Koreksi'!$I$5:$I$92,"&lt;0")</f>
        <v>0</v>
      </c>
      <c r="G1406" s="17">
        <f t="shared" si="63"/>
        <v>0</v>
      </c>
      <c r="H1406" s="122"/>
    </row>
    <row r="1407" spans="1:8" ht="21.95" customHeight="1">
      <c r="A1407" s="14"/>
      <c r="B1407" s="14"/>
      <c r="C1407" s="16" t="s">
        <v>2020</v>
      </c>
      <c r="D1407" s="17">
        <f>VLOOKUP(A1390,'Neraca Unaudited SIMAK'!$A$2:$S$10004,17,FALSE)</f>
        <v>-14276205</v>
      </c>
      <c r="E1407" s="25">
        <f>SUMIFS('Daftar Koreksi'!$I$5:$I$92,'Daftar Koreksi'!$D$5:$D$92,'0500'!A1390,'Daftar Koreksi'!$G$5:$G$92,"Aset Henti Guna",'Daftar Koreksi'!$I$5:$I$92,"&gt;0")</f>
        <v>0</v>
      </c>
      <c r="F1407" s="25">
        <f>SUMIFS('Daftar Koreksi'!$I$5:$I$92,'Daftar Koreksi'!$D$5:$D$92,'0500'!A1390,'Daftar Koreksi'!$G$5:$G$92,"Aset Henti Guna",'Daftar Koreksi'!$I$5:$I$92,"&lt;0")-SUMIFS('Daftar Koreksi'!$I$5:$I$92,'Daftar Koreksi'!$D$5:$D$92,'0500'!A1390,'Daftar Koreksi'!$G$5:$G$92,"Aset Henti Guna",'Daftar Koreksi'!$I$5:$I$92,"&lt;0")-SUMIFS('Daftar Koreksi'!$I$5:$I$92,'Daftar Koreksi'!$D$5:$D$92,'0500'!A1390,'Daftar Koreksi'!$G$5:$G$92,"Aset Henti Guna",'Daftar Koreksi'!$I$5:$I$92,"&lt;0")</f>
        <v>0</v>
      </c>
      <c r="G1407" s="17">
        <f t="shared" si="63"/>
        <v>-14276205</v>
      </c>
      <c r="H1407" s="122"/>
    </row>
    <row r="1408" spans="1:8" ht="21.95" customHeight="1">
      <c r="A1408" s="14"/>
      <c r="B1408" s="14"/>
      <c r="C1408" s="18" t="s">
        <v>2094</v>
      </c>
      <c r="D1408" s="19">
        <f>SUM(D1403:D1407)</f>
        <v>-2538885170</v>
      </c>
      <c r="E1408" s="19">
        <f>SUM(E1403:E1407)</f>
        <v>0</v>
      </c>
      <c r="F1408" s="19">
        <f>SUM(F1403:F1407)</f>
        <v>0</v>
      </c>
      <c r="G1408" s="19">
        <f t="shared" si="63"/>
        <v>-2538885170</v>
      </c>
      <c r="H1408" s="122"/>
    </row>
    <row r="1409" spans="1:8" ht="21.95" customHeight="1">
      <c r="A1409" s="14"/>
      <c r="B1409" s="14"/>
      <c r="C1409" s="18" t="s">
        <v>2095</v>
      </c>
      <c r="D1409" s="19">
        <f>VLOOKUP(A1390,'Neraca Unaudited SIMAK'!$A$2:$S$10004,18,FALSE)</f>
        <v>8272051216</v>
      </c>
      <c r="E1409" s="19">
        <f>E1408+E1402</f>
        <v>0</v>
      </c>
      <c r="F1409" s="19">
        <f>F1408+F1402</f>
        <v>0</v>
      </c>
      <c r="G1409" s="19">
        <f t="shared" si="63"/>
        <v>8272051216</v>
      </c>
      <c r="H1409" s="122"/>
    </row>
    <row r="1410" spans="1:8" ht="21.95" customHeight="1">
      <c r="A1410" s="14"/>
      <c r="B1410" s="14"/>
      <c r="C1410" s="16" t="s">
        <v>2091</v>
      </c>
      <c r="D1410" s="17">
        <f>VLOOKUP(A1390,'Neraca Unaudited SIMAK'!$A$2:$S$10004,19,FALSE)</f>
        <v>0</v>
      </c>
      <c r="E1410" s="25"/>
      <c r="F1410" s="25"/>
      <c r="G1410" s="17">
        <f t="shared" si="63"/>
        <v>0</v>
      </c>
      <c r="H1410" s="123"/>
    </row>
    <row r="1412" spans="1:8" ht="19.5" customHeight="1">
      <c r="A1412" s="11" t="str">
        <f>O65</f>
        <v>005010500401539000KD</v>
      </c>
      <c r="B1412" s="11" t="str">
        <f>P65</f>
        <v>PA. Pamekasan</v>
      </c>
      <c r="C1412" s="12" t="str">
        <f>A1412&amp;" "&amp;B1412</f>
        <v>005010500401539000KD PA. Pamekasan</v>
      </c>
      <c r="D1412" s="13"/>
      <c r="E1412" s="13"/>
      <c r="F1412" s="13"/>
      <c r="G1412" s="13"/>
      <c r="H1412" s="11"/>
    </row>
    <row r="1413" spans="1:8" ht="21.95" customHeight="1">
      <c r="A1413" s="14"/>
      <c r="B1413" s="14"/>
      <c r="C1413" s="124" t="s">
        <v>1982</v>
      </c>
      <c r="D1413" s="126" t="s">
        <v>1983</v>
      </c>
      <c r="E1413" s="132" t="s">
        <v>1984</v>
      </c>
      <c r="F1413" s="132"/>
      <c r="G1413" s="126" t="s">
        <v>1987</v>
      </c>
      <c r="H1413" s="130" t="s">
        <v>1175</v>
      </c>
    </row>
    <row r="1414" spans="1:8" ht="21.95" customHeight="1">
      <c r="A1414" s="14"/>
      <c r="B1414" s="14"/>
      <c r="C1414" s="125"/>
      <c r="D1414" s="127"/>
      <c r="E1414" s="26" t="s">
        <v>1985</v>
      </c>
      <c r="F1414" s="26" t="s">
        <v>1986</v>
      </c>
      <c r="G1414" s="127"/>
      <c r="H1414" s="131"/>
    </row>
    <row r="1415" spans="1:8" ht="21.95" customHeight="1">
      <c r="A1415" s="14"/>
      <c r="B1415" s="14"/>
      <c r="C1415" s="16" t="s">
        <v>1165</v>
      </c>
      <c r="D1415" s="17">
        <f>VLOOKUP(A1412,'Neraca Unaudited SIMAK'!$A$2:$S$10004,3,FALSE)</f>
        <v>99000</v>
      </c>
      <c r="E1415" s="25">
        <f>SUMIFS('Daftar Koreksi'!$H$5:$H$92,'Daftar Koreksi'!$D$5:$D$92,'0500'!A1412,'Daftar Koreksi'!$G$5:$G$92,"Persediaan",'Daftar Koreksi'!$H$5:$H$92,"&gt;0")</f>
        <v>0</v>
      </c>
      <c r="F1415" s="25">
        <f>SUMIFS('Daftar Koreksi'!$H$5:$H$92,'Daftar Koreksi'!$D$5:$D$92,'0500'!A1412,'Daftar Koreksi'!$G$5:$G$92,"Persediaan",'Daftar Koreksi'!$H$5:$H$92,"&lt;0")-SUMIFS('Daftar Koreksi'!$H$5:$H$92,'Daftar Koreksi'!$D$5:$D$92,'0500'!A1412,'Daftar Koreksi'!$G$5:$G$92,"Persediaan",'Daftar Koreksi'!$H$5:$H$92,"&lt;0")-SUMIFS('Daftar Koreksi'!$H$5:$H$92,'Daftar Koreksi'!$D$5:$D$92,'0500'!A1412,'Daftar Koreksi'!$G$5:$G$92,"Persediaan",'Daftar Koreksi'!$H$5:$H$92,"&lt;0")</f>
        <v>0</v>
      </c>
      <c r="G1415" s="17">
        <f>D1415+E1415-F1415</f>
        <v>99000</v>
      </c>
      <c r="H1415" s="121" t="str">
        <f>IF(ISNA(VLOOKUP(A1412,'Mutasi Neraca'!$A$3:$S$914,19,FALSE)),"-",VLOOKUP(A1412,'Mutasi Neraca'!$A$3:$S$914,19,FALSE))</f>
        <v>-</v>
      </c>
    </row>
    <row r="1416" spans="1:8" ht="21.95" customHeight="1">
      <c r="A1416" s="14"/>
      <c r="B1416" s="14"/>
      <c r="C1416" s="16" t="s">
        <v>1166</v>
      </c>
      <c r="D1416" s="17">
        <f>VLOOKUP(A1412,'Neraca Unaudited SIMAK'!$A$2:$S$10004,4,FALSE)</f>
        <v>1261821250</v>
      </c>
      <c r="E1416" s="25">
        <f>SUMIFS('Daftar Koreksi'!$H$5:$H$92,'Daftar Koreksi'!$D$5:$D$92,'0500'!A1412,'Daftar Koreksi'!$G$5:$G$92,"Tanah",'Daftar Koreksi'!$H$5:$H$92,"&gt;0")</f>
        <v>0</v>
      </c>
      <c r="F1416" s="25">
        <f>SUMIFS('Daftar Koreksi'!$H$5:$H$92,'Daftar Koreksi'!$D$5:$D$92,'0500'!A1412,'Daftar Koreksi'!$G$5:$G$92,"Tanah",'Daftar Koreksi'!$H$5:$H$92,"&lt;0")-SUMIFS('Daftar Koreksi'!$H$5:$H$92,'Daftar Koreksi'!$D$5:$D$92,'0500'!A1412,'Daftar Koreksi'!$G$5:$G$92,"Tanah",'Daftar Koreksi'!$H$5:$H$92,"&lt;0")-SUMIFS('Daftar Koreksi'!$H$5:$H$92,'Daftar Koreksi'!$D$5:$D$92,'0500'!A1412,'Daftar Koreksi'!$G$5:$G$92,"Tanah",'Daftar Koreksi'!$H$5:$H$92,"&lt;0")</f>
        <v>0</v>
      </c>
      <c r="G1416" s="17">
        <f t="shared" ref="G1416:G1432" si="64">D1416+E1416-F1416</f>
        <v>1261821250</v>
      </c>
      <c r="H1416" s="122"/>
    </row>
    <row r="1417" spans="1:8" ht="21.95" customHeight="1">
      <c r="A1417" s="14"/>
      <c r="B1417" s="14"/>
      <c r="C1417" s="16" t="s">
        <v>1167</v>
      </c>
      <c r="D1417" s="17">
        <f>VLOOKUP(A1412,'Neraca Unaudited SIMAK'!$A$2:$S$10004,5,FALSE)</f>
        <v>1214180904</v>
      </c>
      <c r="E1417" s="25">
        <f>SUMIFS('Daftar Koreksi'!$H$5:$H$92,'Daftar Koreksi'!$D$5:$D$92,'0500'!A1412,'Daftar Koreksi'!$G$5:$G$92,"Peralatan dan mesin",'Daftar Koreksi'!$H$5:$H$92,"&gt;0")</f>
        <v>0</v>
      </c>
      <c r="F1417" s="25">
        <f>SUMIFS('Daftar Koreksi'!$H$5:$H$92,'Daftar Koreksi'!$D$5:$D$92,'0500'!A1412,'Daftar Koreksi'!$G$5:$G$92,"Peralatan dan mesin",'Daftar Koreksi'!$H$5:$H$92,"&lt;0")-SUMIFS('Daftar Koreksi'!$H$5:$H$92,'Daftar Koreksi'!$D$5:$D$92,'0500'!A1412,'Daftar Koreksi'!$G$5:$G$92,"Peralatan dan mesin",'Daftar Koreksi'!$H$5:$H$92,"&lt;0")-SUMIFS('Daftar Koreksi'!$H$5:$H$92,'Daftar Koreksi'!$D$5:$D$92,'0500'!A1412,'Daftar Koreksi'!$G$5:$G$92,"Peralatan dan mesin",'Daftar Koreksi'!$H$5:$H$92,"&lt;0")</f>
        <v>0</v>
      </c>
      <c r="G1417" s="17">
        <f t="shared" si="64"/>
        <v>1214180904</v>
      </c>
      <c r="H1417" s="122"/>
    </row>
    <row r="1418" spans="1:8" ht="21.95" customHeight="1">
      <c r="A1418" s="14"/>
      <c r="B1418" s="14"/>
      <c r="C1418" s="16" t="s">
        <v>1168</v>
      </c>
      <c r="D1418" s="17">
        <f>VLOOKUP(A1412,'Neraca Unaudited SIMAK'!$A$2:$S$10004,6,FALSE)</f>
        <v>3338716435</v>
      </c>
      <c r="E1418" s="25">
        <f>SUMIFS('Daftar Koreksi'!$H$5:$H$92,'Daftar Koreksi'!$D$5:$D$92,'0500'!A1412,'Daftar Koreksi'!$G$5:$G$92,"Gedung dan Bangunan",'Daftar Koreksi'!$H$5:$H$92,"&gt;0")</f>
        <v>0</v>
      </c>
      <c r="F1418" s="25">
        <f>SUMIFS('Daftar Koreksi'!$H$5:$H$92,'Daftar Koreksi'!$D$5:$D$92,'0500'!A1412,'Daftar Koreksi'!$G$5:$G$92,"Gedung dan Bangunan",'Daftar Koreksi'!$H$5:$H$92,"&lt;0")-SUMIFS('Daftar Koreksi'!$H$5:$H$92,'Daftar Koreksi'!$D$5:$D$92,'0500'!A1412,'Daftar Koreksi'!$G$5:$G$92,"Gedung dan Bangunan",'Daftar Koreksi'!$H$5:$H$92,"&lt;0")-SUMIFS('Daftar Koreksi'!$H$5:$H$92,'Daftar Koreksi'!$D$5:$D$92,'0500'!A1412,'Daftar Koreksi'!$G$5:$G$92,"Gedung dan Bangunan",'Daftar Koreksi'!$H$5:$H$92,"&lt;0")</f>
        <v>0</v>
      </c>
      <c r="G1418" s="17">
        <f t="shared" si="64"/>
        <v>3338716435</v>
      </c>
      <c r="H1418" s="122"/>
    </row>
    <row r="1419" spans="1:8" ht="21.95" customHeight="1">
      <c r="A1419" s="14"/>
      <c r="B1419" s="14"/>
      <c r="C1419" s="16" t="s">
        <v>1169</v>
      </c>
      <c r="D1419" s="17">
        <f>VLOOKUP(A1412,'Neraca Unaudited SIMAK'!$A$2:$S$10004,7,FALSE)</f>
        <v>0</v>
      </c>
      <c r="E1419" s="25">
        <f>SUMIFS('Daftar Koreksi'!$H$5:$H$92,'Daftar Koreksi'!$D$5:$D$92,'0500'!A1412,'Daftar Koreksi'!$G$5:$G$92,"Jalan Irigasi Jaringan",'Daftar Koreksi'!$H$5:$H$92,"&gt;0")</f>
        <v>0</v>
      </c>
      <c r="F1419" s="25">
        <f>SUMIFS('Daftar Koreksi'!$H$5:$H$92,'Daftar Koreksi'!$D$5:$D$92,'0500'!A1412,'Daftar Koreksi'!$G$5:$G$92,"Jalan Irigasi Jaringan",'Daftar Koreksi'!$H$5:$H$92,"&lt;0")-SUMIFS('Daftar Koreksi'!$H$5:$H$92,'Daftar Koreksi'!$D$5:$D$92,'0500'!A1412,'Daftar Koreksi'!$G$5:$G$92,"Jalan Irigasi Jaringan",'Daftar Koreksi'!$H$5:$H$92,"&lt;0")-SUMIFS('Daftar Koreksi'!$H$5:$H$92,'Daftar Koreksi'!$D$5:$D$92,'0500'!A1412,'Daftar Koreksi'!$G$5:$G$92,"Jalan Irigasi Jaringan",'Daftar Koreksi'!$H$5:$H$92,"&lt;0")</f>
        <v>0</v>
      </c>
      <c r="G1419" s="17">
        <f t="shared" si="64"/>
        <v>0</v>
      </c>
      <c r="H1419" s="122"/>
    </row>
    <row r="1420" spans="1:8" ht="21.95" customHeight="1">
      <c r="A1420" s="14"/>
      <c r="B1420" s="14"/>
      <c r="C1420" s="16" t="s">
        <v>1170</v>
      </c>
      <c r="D1420" s="17">
        <f>VLOOKUP(A1412,'Neraca Unaudited SIMAK'!$A$2:$S$10004,8,FALSE)</f>
        <v>4611548</v>
      </c>
      <c r="E1420" s="25">
        <f>SUMIFS('Daftar Koreksi'!$H$5:$H$92,'Daftar Koreksi'!$D$5:$D$92,'0500'!A1412,'Daftar Koreksi'!$G$5:$G$92,"Aset Tetap Lainnya",'Daftar Koreksi'!$H$5:$H$92,"&gt;0")</f>
        <v>0</v>
      </c>
      <c r="F1420" s="25">
        <f>SUMIFS('Daftar Koreksi'!$H$5:$H$92,'Daftar Koreksi'!$D$5:$D$92,'0500'!A1412,'Daftar Koreksi'!$G$5:$G$92,"Aset Tetap Lainnya",'Daftar Koreksi'!$H$5:$H$92,"&lt;0")-SUMIFS('Daftar Koreksi'!$H$5:$H$92,'Daftar Koreksi'!$D$5:$D$92,'0500'!A1412,'Daftar Koreksi'!$G$5:$G$92,"Aset Tetap Lainnya",'Daftar Koreksi'!$H$5:$H$92,"&lt;0")-SUMIFS('Daftar Koreksi'!$H$5:$H$92,'Daftar Koreksi'!$D$5:$D$92,'0500'!A1412,'Daftar Koreksi'!$G$5:$G$92,"Aset Tetap Lainnya",'Daftar Koreksi'!$H$5:$H$92,"&lt;0")</f>
        <v>0</v>
      </c>
      <c r="G1420" s="17">
        <f t="shared" si="64"/>
        <v>4611548</v>
      </c>
      <c r="H1420" s="122"/>
    </row>
    <row r="1421" spans="1:8" ht="21.95" customHeight="1">
      <c r="A1421" s="14"/>
      <c r="B1421" s="14"/>
      <c r="C1421" s="16" t="s">
        <v>1171</v>
      </c>
      <c r="D1421" s="17">
        <f>VLOOKUP(A1412,'Neraca Unaudited SIMAK'!$A$2:$S$10004,9,FALSE)</f>
        <v>0</v>
      </c>
      <c r="E1421" s="25">
        <f>SUMIFS('Daftar Koreksi'!$H$5:$H$92,'Daftar Koreksi'!$D$5:$D$92,'0500'!A1412,'Daftar Koreksi'!$G$5:$G$92,"Kontruksi Dalam Pengerjaan",'Daftar Koreksi'!$H$5:$H$92,"&gt;0")</f>
        <v>0</v>
      </c>
      <c r="F1421" s="25">
        <f>SUMIFS('Daftar Koreksi'!$H$5:$H$92,'Daftar Koreksi'!$D$5:$D$92,'0500'!A1412,'Daftar Koreksi'!$G$5:$G$92,"Kontruksi Dalam Pengerjaan",'Daftar Koreksi'!$H$5:$H$92,"&lt;0")-SUMIFS('Daftar Koreksi'!$H$5:$H$92,'Daftar Koreksi'!$D$5:$D$92,'0500'!A1412,'Daftar Koreksi'!$G$5:$G$92,"Kontruksi Dalam Pengerjaan",'Daftar Koreksi'!$H$5:$H$92,"&lt;0")-SUMIFS('Daftar Koreksi'!$H$5:$H$92,'Daftar Koreksi'!$D$5:$D$92,'0500'!A1412,'Daftar Koreksi'!$G$5:$G$92,"Kontruksi Dalam Pengerjaan",'Daftar Koreksi'!$H$5:$H$92,"&lt;0")</f>
        <v>0</v>
      </c>
      <c r="G1421" s="17">
        <f t="shared" si="64"/>
        <v>0</v>
      </c>
      <c r="H1421" s="122"/>
    </row>
    <row r="1422" spans="1:8" ht="21.95" customHeight="1">
      <c r="A1422" s="14"/>
      <c r="B1422" s="14"/>
      <c r="C1422" s="16" t="s">
        <v>1172</v>
      </c>
      <c r="D1422" s="17">
        <f>VLOOKUP(A1412,'Neraca Unaudited SIMAK'!$A$2:$S$10004,10,FALSE)</f>
        <v>22200000</v>
      </c>
      <c r="E1422" s="25">
        <f>SUMIFS('Daftar Koreksi'!$H$5:$H$92,'Daftar Koreksi'!$D$5:$D$92,'0500'!A1412,'Daftar Koreksi'!$G$5:$G$92,"Aset Tak Berwujud",'Daftar Koreksi'!$H$5:$H$92,"&gt;0")</f>
        <v>0</v>
      </c>
      <c r="F1422" s="25">
        <f>SUMIFS('Daftar Koreksi'!$H$5:$H$92,'Daftar Koreksi'!$D$5:$D$92,'0500'!A1412,'Daftar Koreksi'!$G$5:$G$92,"Aset Tak Berwujud",'Daftar Koreksi'!$H$5:$H$92,"&lt;0")-SUMIFS('Daftar Koreksi'!$H$5:$H$92,'Daftar Koreksi'!$D$5:$D$92,'0500'!A1412,'Daftar Koreksi'!$G$5:$G$92,"Aset Tak Berwujud",'Daftar Koreksi'!$H$5:$H$92,"&lt;0")-SUMIFS('Daftar Koreksi'!$H$5:$H$92,'Daftar Koreksi'!$D$5:$D$92,'0500'!A1412,'Daftar Koreksi'!$G$5:$G$92,"Aset Tak Berwujud",'Daftar Koreksi'!$H$5:$H$92,"&lt;0")</f>
        <v>0</v>
      </c>
      <c r="G1422" s="17">
        <f t="shared" si="64"/>
        <v>22200000</v>
      </c>
      <c r="H1422" s="122"/>
    </row>
    <row r="1423" spans="1:8" ht="21.95" customHeight="1">
      <c r="A1423" s="14"/>
      <c r="B1423" s="14"/>
      <c r="C1423" s="16" t="s">
        <v>1173</v>
      </c>
      <c r="D1423" s="17">
        <f>VLOOKUP(A1412,'Neraca Unaudited SIMAK'!$A$2:$S$10004,11,FALSE)</f>
        <v>0</v>
      </c>
      <c r="E1423" s="25">
        <f>SUMIFS('Daftar Koreksi'!$H$5:$H$92,'Daftar Koreksi'!$D$5:$D$92,'0500'!A1412,'Daftar Koreksi'!$G$5:$G$92,"Aset Henti Guna",'Daftar Koreksi'!$H$5:$H$92,"&gt;0")</f>
        <v>0</v>
      </c>
      <c r="F1423" s="25">
        <f>SUMIFS('Daftar Koreksi'!$H$5:$H$92,'Daftar Koreksi'!$D$5:$D$92,'0500'!A1412,'Daftar Koreksi'!$G$5:$G$92,"Aset Henti Guna",'Daftar Koreksi'!$H$5:$H$92,"&lt;0")-SUMIFS('Daftar Koreksi'!$H$5:$H$92,'Daftar Koreksi'!$D$5:$D$92,'0500'!A1412,'Daftar Koreksi'!$G$5:$G$92,"Aset Henti Guna",'Daftar Koreksi'!$H$5:$H$92,"&lt;0")-SUMIFS('Daftar Koreksi'!$H$5:$H$92,'Daftar Koreksi'!$D$5:$D$92,'0500'!A1412,'Daftar Koreksi'!$G$5:$G$92,"Aset Henti Guna",'Daftar Koreksi'!$H$5:$H$92,"&lt;0")</f>
        <v>0</v>
      </c>
      <c r="G1423" s="17">
        <f t="shared" si="64"/>
        <v>0</v>
      </c>
      <c r="H1423" s="122"/>
    </row>
    <row r="1424" spans="1:8" ht="21.95" customHeight="1">
      <c r="A1424" s="14"/>
      <c r="B1424" s="14"/>
      <c r="C1424" s="18" t="s">
        <v>2093</v>
      </c>
      <c r="D1424" s="19">
        <f>VLOOKUP(A1412,'Neraca Unaudited SIMAK'!$A$2:$S$10004,12,FALSE)</f>
        <v>5841629137</v>
      </c>
      <c r="E1424" s="19">
        <f>SUM(E1415:E1423)</f>
        <v>0</v>
      </c>
      <c r="F1424" s="19">
        <f>SUM(F1415:F1423)</f>
        <v>0</v>
      </c>
      <c r="G1424" s="19">
        <f t="shared" si="64"/>
        <v>5841629137</v>
      </c>
      <c r="H1424" s="122"/>
    </row>
    <row r="1425" spans="1:8" ht="21.95" customHeight="1">
      <c r="A1425" s="14"/>
      <c r="B1425" s="14"/>
      <c r="C1425" s="16" t="s">
        <v>2087</v>
      </c>
      <c r="D1425" s="17">
        <f>VLOOKUP(A1412,'Neraca Unaudited SIMAK'!$A$2:$S$10004,13,FALSE)</f>
        <v>-1094604356</v>
      </c>
      <c r="E1425" s="25">
        <f>SUMIFS('Daftar Koreksi'!$I$5:$I$92,'Daftar Koreksi'!$D$5:$D$92,'0500'!A1412,'Daftar Koreksi'!$G$5:$G$92,"Peralatan dan mesin",'Daftar Koreksi'!$I$5:$I$92,"&gt;0")</f>
        <v>0</v>
      </c>
      <c r="F1425" s="25">
        <f>SUMIFS('Daftar Koreksi'!$I$5:$I$92,'Daftar Koreksi'!$D$5:$D$92,'0500'!A1412,'Daftar Koreksi'!$G$5:$G$92,"Peralatan dan mesin",'Daftar Koreksi'!$I$5:$I$92,"&lt;0")-SUMIFS('Daftar Koreksi'!$I$5:$I$92,'Daftar Koreksi'!$D$5:$D$92,'0500'!A1412,'Daftar Koreksi'!$G$5:$G$92,"Peralatan dan mesin",'Daftar Koreksi'!$I$5:$I$92,"&lt;0")-SUMIFS('Daftar Koreksi'!$I$5:$I$92,'Daftar Koreksi'!$D$5:$D$92,'0500'!A1412,'Daftar Koreksi'!$G$5:$G$92,"Peralatan dan mesin",'Daftar Koreksi'!$I$5:$I$92,"&lt;0")</f>
        <v>0</v>
      </c>
      <c r="G1425" s="17">
        <f t="shared" si="64"/>
        <v>-1094604356</v>
      </c>
      <c r="H1425" s="122"/>
    </row>
    <row r="1426" spans="1:8" ht="21.95" customHeight="1">
      <c r="A1426" s="14"/>
      <c r="B1426" s="14"/>
      <c r="C1426" s="16" t="s">
        <v>2088</v>
      </c>
      <c r="D1426" s="17">
        <f>VLOOKUP(A1412,'Neraca Unaudited SIMAK'!$A$2:$S$10004,14,FALSE)</f>
        <v>-593729842</v>
      </c>
      <c r="E1426" s="25">
        <f>SUMIFS('Daftar Koreksi'!$I$5:$I$92,'Daftar Koreksi'!$D$5:$D$92,'0500'!A1412,'Daftar Koreksi'!$G$5:$G$92,"Gedung dan Bangunan",'Daftar Koreksi'!$I$5:$I$92,"&gt;0")</f>
        <v>0</v>
      </c>
      <c r="F1426" s="25">
        <f>SUMIFS('Daftar Koreksi'!$I$5:$I$92,'Daftar Koreksi'!$D$5:$D$92,'0500'!A1412,'Daftar Koreksi'!$G$5:$G$92,"Gedung dan Bangunan",'Daftar Koreksi'!$I$5:$I$92,"&lt;0")-SUMIFS('Daftar Koreksi'!$I$5:$I$92,'Daftar Koreksi'!$D$5:$D$92,'0500'!A1412,'Daftar Koreksi'!$G$5:$G$92,"Gedung dan Bangunan",'Daftar Koreksi'!$I$5:$I$92,"&lt;0")-SUMIFS('Daftar Koreksi'!$I$5:$I$92,'Daftar Koreksi'!$D$5:$D$92,'0500'!A1412,'Daftar Koreksi'!$G$5:$G$92,"Gedung dan Bangunan",'Daftar Koreksi'!$I$5:$I$92,"&lt;0")</f>
        <v>0</v>
      </c>
      <c r="G1426" s="17">
        <f t="shared" si="64"/>
        <v>-593729842</v>
      </c>
      <c r="H1426" s="122"/>
    </row>
    <row r="1427" spans="1:8" ht="21.95" customHeight="1">
      <c r="A1427" s="14"/>
      <c r="B1427" s="14"/>
      <c r="C1427" s="16" t="s">
        <v>2089</v>
      </c>
      <c r="D1427" s="17">
        <f>VLOOKUP(A1412,'Neraca Unaudited SIMAK'!$A$2:$S$10004,15,FALSE)</f>
        <v>0</v>
      </c>
      <c r="E1427" s="25">
        <f>SUMIFS('Daftar Koreksi'!$I$5:$I$92,'Daftar Koreksi'!$D$5:$D$92,'0500'!A1412,'Daftar Koreksi'!$G$5:$G$92,"Jalan Irigasi Jaringan",'Daftar Koreksi'!$I$5:$I$92,"&gt;0")</f>
        <v>0</v>
      </c>
      <c r="F1427" s="25">
        <f>SUMIFS('Daftar Koreksi'!$I$5:$I$92,'Daftar Koreksi'!$D$5:$D$92,'0500'!A1412,'Daftar Koreksi'!$G$5:$G$92,"Jalan Irigasi Jaringan",'Daftar Koreksi'!$I$5:$I$92,"&lt;0")-SUMIFS('Daftar Koreksi'!$I$5:$I$92,'Daftar Koreksi'!$D$5:$D$92,'0500'!A1412,'Daftar Koreksi'!$G$5:$G$92,"Jalan Irigasi Jaringan",'Daftar Koreksi'!$I$5:$I$92,"&lt;0")-SUMIFS('Daftar Koreksi'!$I$5:$I$92,'Daftar Koreksi'!$D$5:$D$92,'0500'!A1412,'Daftar Koreksi'!$G$5:$G$92,"Jalan Irigasi Jaringan",'Daftar Koreksi'!$I$5:$I$92,"&lt;0")</f>
        <v>0</v>
      </c>
      <c r="G1427" s="17">
        <f t="shared" si="64"/>
        <v>0</v>
      </c>
      <c r="H1427" s="122"/>
    </row>
    <row r="1428" spans="1:8" ht="21.95" customHeight="1">
      <c r="A1428" s="14"/>
      <c r="B1428" s="14"/>
      <c r="C1428" s="16" t="s">
        <v>2090</v>
      </c>
      <c r="D1428" s="17">
        <f>VLOOKUP(A1412,'Neraca Unaudited SIMAK'!$A$2:$S$10004,16,FALSE)</f>
        <v>0</v>
      </c>
      <c r="E1428" s="25">
        <f>SUMIFS('Daftar Koreksi'!$I$5:$I$92,'Daftar Koreksi'!$D$5:$D$92,'0500'!A1412,'Daftar Koreksi'!$G$5:$G$92,"Aset Tetap Lainnya",'Daftar Koreksi'!$I$5:$I$92,"&gt;0")</f>
        <v>0</v>
      </c>
      <c r="F1428" s="25">
        <f>SUMIFS('Daftar Koreksi'!$I$5:$I$92,'Daftar Koreksi'!$D$5:$D$92,'0500'!A1412,'Daftar Koreksi'!$G$5:$G$92,"Aset Tetap Lainnya",'Daftar Koreksi'!$I$5:$I$92,"&lt;0")-SUMIFS('Daftar Koreksi'!$I$5:$I$92,'Daftar Koreksi'!$D$5:$D$92,'0500'!A1412,'Daftar Koreksi'!$G$5:$G$92,"Aset Tetap Lainnya",'Daftar Koreksi'!$I$5:$I$92,"&lt;0")-SUMIFS('Daftar Koreksi'!$I$5:$I$92,'Daftar Koreksi'!$D$5:$D$92,'0500'!A1412,'Daftar Koreksi'!$G$5:$G$92,"Aset Tetap Lainnya",'Daftar Koreksi'!$I$5:$I$92,"&lt;0")</f>
        <v>0</v>
      </c>
      <c r="G1428" s="17">
        <f t="shared" si="64"/>
        <v>0</v>
      </c>
      <c r="H1428" s="122"/>
    </row>
    <row r="1429" spans="1:8" ht="21.95" customHeight="1">
      <c r="A1429" s="14"/>
      <c r="B1429" s="14"/>
      <c r="C1429" s="16" t="s">
        <v>2020</v>
      </c>
      <c r="D1429" s="17">
        <f>VLOOKUP(A1412,'Neraca Unaudited SIMAK'!$A$2:$S$10004,17,FALSE)</f>
        <v>0</v>
      </c>
      <c r="E1429" s="25">
        <f>SUMIFS('Daftar Koreksi'!$I$5:$I$92,'Daftar Koreksi'!$D$5:$D$92,'0500'!A1412,'Daftar Koreksi'!$G$5:$G$92,"Aset Henti Guna",'Daftar Koreksi'!$I$5:$I$92,"&gt;0")</f>
        <v>0</v>
      </c>
      <c r="F1429" s="25">
        <f>SUMIFS('Daftar Koreksi'!$I$5:$I$92,'Daftar Koreksi'!$D$5:$D$92,'0500'!A1412,'Daftar Koreksi'!$G$5:$G$92,"Aset Henti Guna",'Daftar Koreksi'!$I$5:$I$92,"&lt;0")-SUMIFS('Daftar Koreksi'!$I$5:$I$92,'Daftar Koreksi'!$D$5:$D$92,'0500'!A1412,'Daftar Koreksi'!$G$5:$G$92,"Aset Henti Guna",'Daftar Koreksi'!$I$5:$I$92,"&lt;0")-SUMIFS('Daftar Koreksi'!$I$5:$I$92,'Daftar Koreksi'!$D$5:$D$92,'0500'!A1412,'Daftar Koreksi'!$G$5:$G$92,"Aset Henti Guna",'Daftar Koreksi'!$I$5:$I$92,"&lt;0")</f>
        <v>0</v>
      </c>
      <c r="G1429" s="17">
        <f t="shared" si="64"/>
        <v>0</v>
      </c>
      <c r="H1429" s="122"/>
    </row>
    <row r="1430" spans="1:8" ht="21.95" customHeight="1">
      <c r="A1430" s="14"/>
      <c r="B1430" s="14"/>
      <c r="C1430" s="18" t="s">
        <v>2094</v>
      </c>
      <c r="D1430" s="19">
        <f>SUM(D1425:D1429)</f>
        <v>-1688334198</v>
      </c>
      <c r="E1430" s="19">
        <f>SUM(E1425:E1429)</f>
        <v>0</v>
      </c>
      <c r="F1430" s="19">
        <f>SUM(F1425:F1429)</f>
        <v>0</v>
      </c>
      <c r="G1430" s="19">
        <f t="shared" si="64"/>
        <v>-1688334198</v>
      </c>
      <c r="H1430" s="122"/>
    </row>
    <row r="1431" spans="1:8" ht="21.95" customHeight="1">
      <c r="A1431" s="14"/>
      <c r="B1431" s="14"/>
      <c r="C1431" s="18" t="s">
        <v>2095</v>
      </c>
      <c r="D1431" s="19">
        <f>VLOOKUP(A1412,'Neraca Unaudited SIMAK'!$A$2:$S$10004,18,FALSE)</f>
        <v>4153294939</v>
      </c>
      <c r="E1431" s="19">
        <f>E1430+E1424</f>
        <v>0</v>
      </c>
      <c r="F1431" s="19">
        <f>F1430+F1424</f>
        <v>0</v>
      </c>
      <c r="G1431" s="19">
        <f t="shared" si="64"/>
        <v>4153294939</v>
      </c>
      <c r="H1431" s="122"/>
    </row>
    <row r="1432" spans="1:8" ht="21.95" customHeight="1">
      <c r="A1432" s="14"/>
      <c r="B1432" s="14"/>
      <c r="C1432" s="16" t="s">
        <v>2091</v>
      </c>
      <c r="D1432" s="17">
        <f>VLOOKUP(A1412,'Neraca Unaudited SIMAK'!$A$2:$S$10004,19,FALSE)</f>
        <v>0</v>
      </c>
      <c r="E1432" s="25"/>
      <c r="F1432" s="25"/>
      <c r="G1432" s="17">
        <f t="shared" si="64"/>
        <v>0</v>
      </c>
      <c r="H1432" s="123"/>
    </row>
    <row r="1434" spans="1:8" ht="19.5" customHeight="1">
      <c r="A1434" s="11" t="str">
        <f>O66</f>
        <v>005010500401545000KD</v>
      </c>
      <c r="B1434" s="11" t="str">
        <f>P66</f>
        <v>PA. Bangkalan</v>
      </c>
      <c r="C1434" s="12" t="str">
        <f>A1434&amp;" "&amp;B1434</f>
        <v>005010500401545000KD PA. Bangkalan</v>
      </c>
      <c r="D1434" s="13"/>
      <c r="E1434" s="13"/>
      <c r="F1434" s="13"/>
      <c r="G1434" s="13"/>
      <c r="H1434" s="11"/>
    </row>
    <row r="1435" spans="1:8" ht="21.95" customHeight="1">
      <c r="A1435" s="14"/>
      <c r="B1435" s="14"/>
      <c r="C1435" s="124" t="s">
        <v>1982</v>
      </c>
      <c r="D1435" s="126" t="s">
        <v>1983</v>
      </c>
      <c r="E1435" s="132" t="s">
        <v>1984</v>
      </c>
      <c r="F1435" s="132"/>
      <c r="G1435" s="126" t="s">
        <v>1987</v>
      </c>
      <c r="H1435" s="130" t="s">
        <v>1175</v>
      </c>
    </row>
    <row r="1436" spans="1:8" ht="21.95" customHeight="1">
      <c r="A1436" s="14"/>
      <c r="B1436" s="14"/>
      <c r="C1436" s="125"/>
      <c r="D1436" s="127"/>
      <c r="E1436" s="26" t="s">
        <v>1985</v>
      </c>
      <c r="F1436" s="26" t="s">
        <v>1986</v>
      </c>
      <c r="G1436" s="127"/>
      <c r="H1436" s="131"/>
    </row>
    <row r="1437" spans="1:8" ht="21.95" customHeight="1">
      <c r="A1437" s="14"/>
      <c r="B1437" s="14"/>
      <c r="C1437" s="16" t="s">
        <v>1165</v>
      </c>
      <c r="D1437" s="17">
        <f>VLOOKUP(A1434,'Neraca Unaudited SIMAK'!$A$2:$S$10004,3,FALSE)</f>
        <v>14436590</v>
      </c>
      <c r="E1437" s="25">
        <f>SUMIFS('Daftar Koreksi'!$H$5:$H$92,'Daftar Koreksi'!$D$5:$D$92,'0500'!A1434,'Daftar Koreksi'!$G$5:$G$92,"Persediaan",'Daftar Koreksi'!$H$5:$H$92,"&gt;0")</f>
        <v>0</v>
      </c>
      <c r="F1437" s="25">
        <f>SUMIFS('Daftar Koreksi'!$H$5:$H$92,'Daftar Koreksi'!$D$5:$D$92,'0500'!A1434,'Daftar Koreksi'!$G$5:$G$92,"Persediaan",'Daftar Koreksi'!$H$5:$H$92,"&lt;0")-SUMIFS('Daftar Koreksi'!$H$5:$H$92,'Daftar Koreksi'!$D$5:$D$92,'0500'!A1434,'Daftar Koreksi'!$G$5:$G$92,"Persediaan",'Daftar Koreksi'!$H$5:$H$92,"&lt;0")-SUMIFS('Daftar Koreksi'!$H$5:$H$92,'Daftar Koreksi'!$D$5:$D$92,'0500'!A1434,'Daftar Koreksi'!$G$5:$G$92,"Persediaan",'Daftar Koreksi'!$H$5:$H$92,"&lt;0")</f>
        <v>0</v>
      </c>
      <c r="G1437" s="17">
        <f>D1437+E1437-F1437</f>
        <v>14436590</v>
      </c>
      <c r="H1437" s="121" t="str">
        <f>IF(ISNA(VLOOKUP(A1434,'Mutasi Neraca'!$A$3:$S$914,19,FALSE)),"-",VLOOKUP(A1434,'Mutasi Neraca'!$A$3:$S$914,19,FALSE))</f>
        <v>-</v>
      </c>
    </row>
    <row r="1438" spans="1:8" ht="21.95" customHeight="1">
      <c r="A1438" s="14"/>
      <c r="B1438" s="14"/>
      <c r="C1438" s="16" t="s">
        <v>1166</v>
      </c>
      <c r="D1438" s="17">
        <f>VLOOKUP(A1434,'Neraca Unaudited SIMAK'!$A$2:$S$10004,4,FALSE)</f>
        <v>3484037444</v>
      </c>
      <c r="E1438" s="25">
        <f>SUMIFS('Daftar Koreksi'!$H$5:$H$92,'Daftar Koreksi'!$D$5:$D$92,'0500'!A1434,'Daftar Koreksi'!$G$5:$G$92,"Tanah",'Daftar Koreksi'!$H$5:$H$92,"&gt;0")</f>
        <v>0</v>
      </c>
      <c r="F1438" s="25">
        <f>SUMIFS('Daftar Koreksi'!$H$5:$H$92,'Daftar Koreksi'!$D$5:$D$92,'0500'!A1434,'Daftar Koreksi'!$G$5:$G$92,"Tanah",'Daftar Koreksi'!$H$5:$H$92,"&lt;0")-SUMIFS('Daftar Koreksi'!$H$5:$H$92,'Daftar Koreksi'!$D$5:$D$92,'0500'!A1434,'Daftar Koreksi'!$G$5:$G$92,"Tanah",'Daftar Koreksi'!$H$5:$H$92,"&lt;0")-SUMIFS('Daftar Koreksi'!$H$5:$H$92,'Daftar Koreksi'!$D$5:$D$92,'0500'!A1434,'Daftar Koreksi'!$G$5:$G$92,"Tanah",'Daftar Koreksi'!$H$5:$H$92,"&lt;0")</f>
        <v>0</v>
      </c>
      <c r="G1438" s="17">
        <f t="shared" ref="G1438:G1454" si="65">D1438+E1438-F1438</f>
        <v>3484037444</v>
      </c>
      <c r="H1438" s="122"/>
    </row>
    <row r="1439" spans="1:8" ht="21.95" customHeight="1">
      <c r="A1439" s="14"/>
      <c r="B1439" s="14"/>
      <c r="C1439" s="16" t="s">
        <v>1167</v>
      </c>
      <c r="D1439" s="17">
        <f>VLOOKUP(A1434,'Neraca Unaudited SIMAK'!$A$2:$S$10004,5,FALSE)</f>
        <v>1649903927</v>
      </c>
      <c r="E1439" s="25">
        <f>SUMIFS('Daftar Koreksi'!$H$5:$H$92,'Daftar Koreksi'!$D$5:$D$92,'0500'!A1434,'Daftar Koreksi'!$G$5:$G$92,"Peralatan dan mesin",'Daftar Koreksi'!$H$5:$H$92,"&gt;0")</f>
        <v>0</v>
      </c>
      <c r="F1439" s="25">
        <f>SUMIFS('Daftar Koreksi'!$H$5:$H$92,'Daftar Koreksi'!$D$5:$D$92,'0500'!A1434,'Daftar Koreksi'!$G$5:$G$92,"Peralatan dan mesin",'Daftar Koreksi'!$H$5:$H$92,"&lt;0")-SUMIFS('Daftar Koreksi'!$H$5:$H$92,'Daftar Koreksi'!$D$5:$D$92,'0500'!A1434,'Daftar Koreksi'!$G$5:$G$92,"Peralatan dan mesin",'Daftar Koreksi'!$H$5:$H$92,"&lt;0")-SUMIFS('Daftar Koreksi'!$H$5:$H$92,'Daftar Koreksi'!$D$5:$D$92,'0500'!A1434,'Daftar Koreksi'!$G$5:$G$92,"Peralatan dan mesin",'Daftar Koreksi'!$H$5:$H$92,"&lt;0")</f>
        <v>0</v>
      </c>
      <c r="G1439" s="17">
        <f t="shared" si="65"/>
        <v>1649903927</v>
      </c>
      <c r="H1439" s="122"/>
    </row>
    <row r="1440" spans="1:8" ht="21.95" customHeight="1">
      <c r="A1440" s="14"/>
      <c r="B1440" s="14"/>
      <c r="C1440" s="16" t="s">
        <v>1168</v>
      </c>
      <c r="D1440" s="17">
        <f>VLOOKUP(A1434,'Neraca Unaudited SIMAK'!$A$2:$S$10004,6,FALSE)</f>
        <v>9000435296</v>
      </c>
      <c r="E1440" s="25">
        <f>SUMIFS('Daftar Koreksi'!$H$5:$H$92,'Daftar Koreksi'!$D$5:$D$92,'0500'!A1434,'Daftar Koreksi'!$G$5:$G$92,"Gedung dan Bangunan",'Daftar Koreksi'!$H$5:$H$92,"&gt;0")</f>
        <v>0</v>
      </c>
      <c r="F1440" s="25">
        <f>SUMIFS('Daftar Koreksi'!$H$5:$H$92,'Daftar Koreksi'!$D$5:$D$92,'0500'!A1434,'Daftar Koreksi'!$G$5:$G$92,"Gedung dan Bangunan",'Daftar Koreksi'!$H$5:$H$92,"&lt;0")-SUMIFS('Daftar Koreksi'!$H$5:$H$92,'Daftar Koreksi'!$D$5:$D$92,'0500'!A1434,'Daftar Koreksi'!$G$5:$G$92,"Gedung dan Bangunan",'Daftar Koreksi'!$H$5:$H$92,"&lt;0")-SUMIFS('Daftar Koreksi'!$H$5:$H$92,'Daftar Koreksi'!$D$5:$D$92,'0500'!A1434,'Daftar Koreksi'!$G$5:$G$92,"Gedung dan Bangunan",'Daftar Koreksi'!$H$5:$H$92,"&lt;0")</f>
        <v>0</v>
      </c>
      <c r="G1440" s="17">
        <f t="shared" si="65"/>
        <v>9000435296</v>
      </c>
      <c r="H1440" s="122"/>
    </row>
    <row r="1441" spans="1:8" ht="21.95" customHeight="1">
      <c r="A1441" s="14"/>
      <c r="B1441" s="14"/>
      <c r="C1441" s="16" t="s">
        <v>1169</v>
      </c>
      <c r="D1441" s="17">
        <f>VLOOKUP(A1434,'Neraca Unaudited SIMAK'!$A$2:$S$10004,7,FALSE)</f>
        <v>27685183</v>
      </c>
      <c r="E1441" s="25">
        <f>SUMIFS('Daftar Koreksi'!$H$5:$H$92,'Daftar Koreksi'!$D$5:$D$92,'0500'!A1434,'Daftar Koreksi'!$G$5:$G$92,"Jalan Irigasi Jaringan",'Daftar Koreksi'!$H$5:$H$92,"&gt;0")</f>
        <v>0</v>
      </c>
      <c r="F1441" s="25">
        <f>SUMIFS('Daftar Koreksi'!$H$5:$H$92,'Daftar Koreksi'!$D$5:$D$92,'0500'!A1434,'Daftar Koreksi'!$G$5:$G$92,"Jalan Irigasi Jaringan",'Daftar Koreksi'!$H$5:$H$92,"&lt;0")-SUMIFS('Daftar Koreksi'!$H$5:$H$92,'Daftar Koreksi'!$D$5:$D$92,'0500'!A1434,'Daftar Koreksi'!$G$5:$G$92,"Jalan Irigasi Jaringan",'Daftar Koreksi'!$H$5:$H$92,"&lt;0")-SUMIFS('Daftar Koreksi'!$H$5:$H$92,'Daftar Koreksi'!$D$5:$D$92,'0500'!A1434,'Daftar Koreksi'!$G$5:$G$92,"Jalan Irigasi Jaringan",'Daftar Koreksi'!$H$5:$H$92,"&lt;0")</f>
        <v>0</v>
      </c>
      <c r="G1441" s="17">
        <f t="shared" si="65"/>
        <v>27685183</v>
      </c>
      <c r="H1441" s="122"/>
    </row>
    <row r="1442" spans="1:8" ht="21.95" customHeight="1">
      <c r="A1442" s="14"/>
      <c r="B1442" s="14"/>
      <c r="C1442" s="16" t="s">
        <v>1170</v>
      </c>
      <c r="D1442" s="17">
        <f>VLOOKUP(A1434,'Neraca Unaudited SIMAK'!$A$2:$S$10004,8,FALSE)</f>
        <v>408000</v>
      </c>
      <c r="E1442" s="25">
        <f>SUMIFS('Daftar Koreksi'!$H$5:$H$92,'Daftar Koreksi'!$D$5:$D$92,'0500'!A1434,'Daftar Koreksi'!$G$5:$G$92,"Aset Tetap Lainnya",'Daftar Koreksi'!$H$5:$H$92,"&gt;0")</f>
        <v>0</v>
      </c>
      <c r="F1442" s="25">
        <f>SUMIFS('Daftar Koreksi'!$H$5:$H$92,'Daftar Koreksi'!$D$5:$D$92,'0500'!A1434,'Daftar Koreksi'!$G$5:$G$92,"Aset Tetap Lainnya",'Daftar Koreksi'!$H$5:$H$92,"&lt;0")-SUMIFS('Daftar Koreksi'!$H$5:$H$92,'Daftar Koreksi'!$D$5:$D$92,'0500'!A1434,'Daftar Koreksi'!$G$5:$G$92,"Aset Tetap Lainnya",'Daftar Koreksi'!$H$5:$H$92,"&lt;0")-SUMIFS('Daftar Koreksi'!$H$5:$H$92,'Daftar Koreksi'!$D$5:$D$92,'0500'!A1434,'Daftar Koreksi'!$G$5:$G$92,"Aset Tetap Lainnya",'Daftar Koreksi'!$H$5:$H$92,"&lt;0")</f>
        <v>0</v>
      </c>
      <c r="G1442" s="17">
        <f t="shared" si="65"/>
        <v>408000</v>
      </c>
      <c r="H1442" s="122"/>
    </row>
    <row r="1443" spans="1:8" ht="21.95" customHeight="1">
      <c r="A1443" s="14"/>
      <c r="B1443" s="14"/>
      <c r="C1443" s="16" t="s">
        <v>1171</v>
      </c>
      <c r="D1443" s="17">
        <f>VLOOKUP(A1434,'Neraca Unaudited SIMAK'!$A$2:$S$10004,9,FALSE)</f>
        <v>0</v>
      </c>
      <c r="E1443" s="25">
        <f>SUMIFS('Daftar Koreksi'!$H$5:$H$92,'Daftar Koreksi'!$D$5:$D$92,'0500'!A1434,'Daftar Koreksi'!$G$5:$G$92,"Kontruksi Dalam Pengerjaan",'Daftar Koreksi'!$H$5:$H$92,"&gt;0")</f>
        <v>0</v>
      </c>
      <c r="F1443" s="25">
        <f>SUMIFS('Daftar Koreksi'!$H$5:$H$92,'Daftar Koreksi'!$D$5:$D$92,'0500'!A1434,'Daftar Koreksi'!$G$5:$G$92,"Kontruksi Dalam Pengerjaan",'Daftar Koreksi'!$H$5:$H$92,"&lt;0")-SUMIFS('Daftar Koreksi'!$H$5:$H$92,'Daftar Koreksi'!$D$5:$D$92,'0500'!A1434,'Daftar Koreksi'!$G$5:$G$92,"Kontruksi Dalam Pengerjaan",'Daftar Koreksi'!$H$5:$H$92,"&lt;0")-SUMIFS('Daftar Koreksi'!$H$5:$H$92,'Daftar Koreksi'!$D$5:$D$92,'0500'!A1434,'Daftar Koreksi'!$G$5:$G$92,"Kontruksi Dalam Pengerjaan",'Daftar Koreksi'!$H$5:$H$92,"&lt;0")</f>
        <v>0</v>
      </c>
      <c r="G1443" s="17">
        <f t="shared" si="65"/>
        <v>0</v>
      </c>
      <c r="H1443" s="122"/>
    </row>
    <row r="1444" spans="1:8" ht="21.95" customHeight="1">
      <c r="A1444" s="14"/>
      <c r="B1444" s="14"/>
      <c r="C1444" s="16" t="s">
        <v>1172</v>
      </c>
      <c r="D1444" s="17">
        <f>VLOOKUP(A1434,'Neraca Unaudited SIMAK'!$A$2:$S$10004,10,FALSE)</f>
        <v>0</v>
      </c>
      <c r="E1444" s="25">
        <f>SUMIFS('Daftar Koreksi'!$H$5:$H$92,'Daftar Koreksi'!$D$5:$D$92,'0500'!A1434,'Daftar Koreksi'!$G$5:$G$92,"Aset Tak Berwujud",'Daftar Koreksi'!$H$5:$H$92,"&gt;0")</f>
        <v>0</v>
      </c>
      <c r="F1444" s="25">
        <f>SUMIFS('Daftar Koreksi'!$H$5:$H$92,'Daftar Koreksi'!$D$5:$D$92,'0500'!A1434,'Daftar Koreksi'!$G$5:$G$92,"Aset Tak Berwujud",'Daftar Koreksi'!$H$5:$H$92,"&lt;0")-SUMIFS('Daftar Koreksi'!$H$5:$H$92,'Daftar Koreksi'!$D$5:$D$92,'0500'!A1434,'Daftar Koreksi'!$G$5:$G$92,"Aset Tak Berwujud",'Daftar Koreksi'!$H$5:$H$92,"&lt;0")-SUMIFS('Daftar Koreksi'!$H$5:$H$92,'Daftar Koreksi'!$D$5:$D$92,'0500'!A1434,'Daftar Koreksi'!$G$5:$G$92,"Aset Tak Berwujud",'Daftar Koreksi'!$H$5:$H$92,"&lt;0")</f>
        <v>0</v>
      </c>
      <c r="G1444" s="17">
        <f t="shared" si="65"/>
        <v>0</v>
      </c>
      <c r="H1444" s="122"/>
    </row>
    <row r="1445" spans="1:8" ht="21.95" customHeight="1">
      <c r="A1445" s="14"/>
      <c r="B1445" s="14"/>
      <c r="C1445" s="16" t="s">
        <v>1173</v>
      </c>
      <c r="D1445" s="17">
        <f>VLOOKUP(A1434,'Neraca Unaudited SIMAK'!$A$2:$S$10004,11,FALSE)</f>
        <v>10316750</v>
      </c>
      <c r="E1445" s="25">
        <f>SUMIFS('Daftar Koreksi'!$H$5:$H$92,'Daftar Koreksi'!$D$5:$D$92,'0500'!A1434,'Daftar Koreksi'!$G$5:$G$92,"Aset Henti Guna",'Daftar Koreksi'!$H$5:$H$92,"&gt;0")</f>
        <v>0</v>
      </c>
      <c r="F1445" s="25">
        <f>SUMIFS('Daftar Koreksi'!$H$5:$H$92,'Daftar Koreksi'!$D$5:$D$92,'0500'!A1434,'Daftar Koreksi'!$G$5:$G$92,"Aset Henti Guna",'Daftar Koreksi'!$H$5:$H$92,"&lt;0")-SUMIFS('Daftar Koreksi'!$H$5:$H$92,'Daftar Koreksi'!$D$5:$D$92,'0500'!A1434,'Daftar Koreksi'!$G$5:$G$92,"Aset Henti Guna",'Daftar Koreksi'!$H$5:$H$92,"&lt;0")-SUMIFS('Daftar Koreksi'!$H$5:$H$92,'Daftar Koreksi'!$D$5:$D$92,'0500'!A1434,'Daftar Koreksi'!$G$5:$G$92,"Aset Henti Guna",'Daftar Koreksi'!$H$5:$H$92,"&lt;0")</f>
        <v>0</v>
      </c>
      <c r="G1445" s="17">
        <f t="shared" si="65"/>
        <v>10316750</v>
      </c>
      <c r="H1445" s="122"/>
    </row>
    <row r="1446" spans="1:8" ht="21.95" customHeight="1">
      <c r="A1446" s="14"/>
      <c r="B1446" s="14"/>
      <c r="C1446" s="18" t="s">
        <v>2093</v>
      </c>
      <c r="D1446" s="19">
        <f>VLOOKUP(A1434,'Neraca Unaudited SIMAK'!$A$2:$S$10004,12,FALSE)</f>
        <v>14187223190</v>
      </c>
      <c r="E1446" s="19">
        <f>SUM(E1437:E1445)</f>
        <v>0</v>
      </c>
      <c r="F1446" s="19">
        <f>SUM(F1437:F1445)</f>
        <v>0</v>
      </c>
      <c r="G1446" s="19">
        <f t="shared" si="65"/>
        <v>14187223190</v>
      </c>
      <c r="H1446" s="122"/>
    </row>
    <row r="1447" spans="1:8" ht="21.95" customHeight="1">
      <c r="A1447" s="14"/>
      <c r="B1447" s="14"/>
      <c r="C1447" s="16" t="s">
        <v>2087</v>
      </c>
      <c r="D1447" s="17">
        <f>VLOOKUP(A1434,'Neraca Unaudited SIMAK'!$A$2:$S$10004,13,FALSE)</f>
        <v>-1033505699</v>
      </c>
      <c r="E1447" s="25">
        <f>SUMIFS('Daftar Koreksi'!$I$5:$I$92,'Daftar Koreksi'!$D$5:$D$92,'0500'!A1434,'Daftar Koreksi'!$G$5:$G$92,"Peralatan dan mesin",'Daftar Koreksi'!$I$5:$I$92,"&gt;0")</f>
        <v>0</v>
      </c>
      <c r="F1447" s="25">
        <f>SUMIFS('Daftar Koreksi'!$I$5:$I$92,'Daftar Koreksi'!$D$5:$D$92,'0500'!A1434,'Daftar Koreksi'!$G$5:$G$92,"Peralatan dan mesin",'Daftar Koreksi'!$I$5:$I$92,"&lt;0")-SUMIFS('Daftar Koreksi'!$I$5:$I$92,'Daftar Koreksi'!$D$5:$D$92,'0500'!A1434,'Daftar Koreksi'!$G$5:$G$92,"Peralatan dan mesin",'Daftar Koreksi'!$I$5:$I$92,"&lt;0")-SUMIFS('Daftar Koreksi'!$I$5:$I$92,'Daftar Koreksi'!$D$5:$D$92,'0500'!A1434,'Daftar Koreksi'!$G$5:$G$92,"Peralatan dan mesin",'Daftar Koreksi'!$I$5:$I$92,"&lt;0")</f>
        <v>0</v>
      </c>
      <c r="G1447" s="17">
        <f t="shared" si="65"/>
        <v>-1033505699</v>
      </c>
      <c r="H1447" s="122"/>
    </row>
    <row r="1448" spans="1:8" ht="21.95" customHeight="1">
      <c r="A1448" s="14"/>
      <c r="B1448" s="14"/>
      <c r="C1448" s="16" t="s">
        <v>2088</v>
      </c>
      <c r="D1448" s="17">
        <f>VLOOKUP(A1434,'Neraca Unaudited SIMAK'!$A$2:$S$10004,14,FALSE)</f>
        <v>-801621705</v>
      </c>
      <c r="E1448" s="25">
        <f>SUMIFS('Daftar Koreksi'!$I$5:$I$92,'Daftar Koreksi'!$D$5:$D$92,'0500'!A1434,'Daftar Koreksi'!$G$5:$G$92,"Gedung dan Bangunan",'Daftar Koreksi'!$I$5:$I$92,"&gt;0")</f>
        <v>0</v>
      </c>
      <c r="F1448" s="25">
        <f>SUMIFS('Daftar Koreksi'!$I$5:$I$92,'Daftar Koreksi'!$D$5:$D$92,'0500'!A1434,'Daftar Koreksi'!$G$5:$G$92,"Gedung dan Bangunan",'Daftar Koreksi'!$I$5:$I$92,"&lt;0")-SUMIFS('Daftar Koreksi'!$I$5:$I$92,'Daftar Koreksi'!$D$5:$D$92,'0500'!A1434,'Daftar Koreksi'!$G$5:$G$92,"Gedung dan Bangunan",'Daftar Koreksi'!$I$5:$I$92,"&lt;0")-SUMIFS('Daftar Koreksi'!$I$5:$I$92,'Daftar Koreksi'!$D$5:$D$92,'0500'!A1434,'Daftar Koreksi'!$G$5:$G$92,"Gedung dan Bangunan",'Daftar Koreksi'!$I$5:$I$92,"&lt;0")</f>
        <v>0</v>
      </c>
      <c r="G1448" s="17">
        <f t="shared" si="65"/>
        <v>-801621705</v>
      </c>
      <c r="H1448" s="122"/>
    </row>
    <row r="1449" spans="1:8" ht="21.95" customHeight="1">
      <c r="A1449" s="14"/>
      <c r="B1449" s="14"/>
      <c r="C1449" s="16" t="s">
        <v>2089</v>
      </c>
      <c r="D1449" s="17">
        <f>VLOOKUP(A1434,'Neraca Unaudited SIMAK'!$A$2:$S$10004,15,FALSE)</f>
        <v>-27685183</v>
      </c>
      <c r="E1449" s="25">
        <f>SUMIFS('Daftar Koreksi'!$I$5:$I$92,'Daftar Koreksi'!$D$5:$D$92,'0500'!A1434,'Daftar Koreksi'!$G$5:$G$92,"Jalan Irigasi Jaringan",'Daftar Koreksi'!$I$5:$I$92,"&gt;0")</f>
        <v>0</v>
      </c>
      <c r="F1449" s="25">
        <f>SUMIFS('Daftar Koreksi'!$I$5:$I$92,'Daftar Koreksi'!$D$5:$D$92,'0500'!A1434,'Daftar Koreksi'!$G$5:$G$92,"Jalan Irigasi Jaringan",'Daftar Koreksi'!$I$5:$I$92,"&lt;0")-SUMIFS('Daftar Koreksi'!$I$5:$I$92,'Daftar Koreksi'!$D$5:$D$92,'0500'!A1434,'Daftar Koreksi'!$G$5:$G$92,"Jalan Irigasi Jaringan",'Daftar Koreksi'!$I$5:$I$92,"&lt;0")-SUMIFS('Daftar Koreksi'!$I$5:$I$92,'Daftar Koreksi'!$D$5:$D$92,'0500'!A1434,'Daftar Koreksi'!$G$5:$G$92,"Jalan Irigasi Jaringan",'Daftar Koreksi'!$I$5:$I$92,"&lt;0")</f>
        <v>0</v>
      </c>
      <c r="G1449" s="17">
        <f t="shared" si="65"/>
        <v>-27685183</v>
      </c>
      <c r="H1449" s="122"/>
    </row>
    <row r="1450" spans="1:8" ht="21.95" customHeight="1">
      <c r="A1450" s="14"/>
      <c r="B1450" s="14"/>
      <c r="C1450" s="16" t="s">
        <v>2090</v>
      </c>
      <c r="D1450" s="17">
        <f>VLOOKUP(A1434,'Neraca Unaudited SIMAK'!$A$2:$S$10004,16,FALSE)</f>
        <v>0</v>
      </c>
      <c r="E1450" s="25">
        <f>SUMIFS('Daftar Koreksi'!$I$5:$I$92,'Daftar Koreksi'!$D$5:$D$92,'0500'!A1434,'Daftar Koreksi'!$G$5:$G$92,"Aset Tetap Lainnya",'Daftar Koreksi'!$I$5:$I$92,"&gt;0")</f>
        <v>0</v>
      </c>
      <c r="F1450" s="25">
        <f>SUMIFS('Daftar Koreksi'!$I$5:$I$92,'Daftar Koreksi'!$D$5:$D$92,'0500'!A1434,'Daftar Koreksi'!$G$5:$G$92,"Aset Tetap Lainnya",'Daftar Koreksi'!$I$5:$I$92,"&lt;0")-SUMIFS('Daftar Koreksi'!$I$5:$I$92,'Daftar Koreksi'!$D$5:$D$92,'0500'!A1434,'Daftar Koreksi'!$G$5:$G$92,"Aset Tetap Lainnya",'Daftar Koreksi'!$I$5:$I$92,"&lt;0")-SUMIFS('Daftar Koreksi'!$I$5:$I$92,'Daftar Koreksi'!$D$5:$D$92,'0500'!A1434,'Daftar Koreksi'!$G$5:$G$92,"Aset Tetap Lainnya",'Daftar Koreksi'!$I$5:$I$92,"&lt;0")</f>
        <v>0</v>
      </c>
      <c r="G1450" s="17">
        <f t="shared" si="65"/>
        <v>0</v>
      </c>
      <c r="H1450" s="122"/>
    </row>
    <row r="1451" spans="1:8" ht="21.95" customHeight="1">
      <c r="A1451" s="14"/>
      <c r="B1451" s="14"/>
      <c r="C1451" s="16" t="s">
        <v>2020</v>
      </c>
      <c r="D1451" s="17">
        <f>VLOOKUP(A1434,'Neraca Unaudited SIMAK'!$A$2:$S$10004,17,FALSE)</f>
        <v>-10316750</v>
      </c>
      <c r="E1451" s="25">
        <f>SUMIFS('Daftar Koreksi'!$I$5:$I$92,'Daftar Koreksi'!$D$5:$D$92,'0500'!A1434,'Daftar Koreksi'!$G$5:$G$92,"Aset Henti Guna",'Daftar Koreksi'!$I$5:$I$92,"&gt;0")</f>
        <v>0</v>
      </c>
      <c r="F1451" s="25">
        <f>SUMIFS('Daftar Koreksi'!$I$5:$I$92,'Daftar Koreksi'!$D$5:$D$92,'0500'!A1434,'Daftar Koreksi'!$G$5:$G$92,"Aset Henti Guna",'Daftar Koreksi'!$I$5:$I$92,"&lt;0")-SUMIFS('Daftar Koreksi'!$I$5:$I$92,'Daftar Koreksi'!$D$5:$D$92,'0500'!A1434,'Daftar Koreksi'!$G$5:$G$92,"Aset Henti Guna",'Daftar Koreksi'!$I$5:$I$92,"&lt;0")-SUMIFS('Daftar Koreksi'!$I$5:$I$92,'Daftar Koreksi'!$D$5:$D$92,'0500'!A1434,'Daftar Koreksi'!$G$5:$G$92,"Aset Henti Guna",'Daftar Koreksi'!$I$5:$I$92,"&lt;0")</f>
        <v>0</v>
      </c>
      <c r="G1451" s="17">
        <f t="shared" si="65"/>
        <v>-10316750</v>
      </c>
      <c r="H1451" s="122"/>
    </row>
    <row r="1452" spans="1:8" ht="21.95" customHeight="1">
      <c r="A1452" s="14"/>
      <c r="B1452" s="14"/>
      <c r="C1452" s="18" t="s">
        <v>2094</v>
      </c>
      <c r="D1452" s="19">
        <f>SUM(D1447:D1451)</f>
        <v>-1873129337</v>
      </c>
      <c r="E1452" s="19">
        <f>SUM(E1447:E1451)</f>
        <v>0</v>
      </c>
      <c r="F1452" s="19">
        <f>SUM(F1447:F1451)</f>
        <v>0</v>
      </c>
      <c r="G1452" s="19">
        <f t="shared" si="65"/>
        <v>-1873129337</v>
      </c>
      <c r="H1452" s="122"/>
    </row>
    <row r="1453" spans="1:8" ht="21.95" customHeight="1">
      <c r="A1453" s="14"/>
      <c r="B1453" s="14"/>
      <c r="C1453" s="18" t="s">
        <v>2095</v>
      </c>
      <c r="D1453" s="19">
        <f>VLOOKUP(A1434,'Neraca Unaudited SIMAK'!$A$2:$S$10004,18,FALSE)</f>
        <v>12314093853</v>
      </c>
      <c r="E1453" s="19">
        <f>E1452+E1446</f>
        <v>0</v>
      </c>
      <c r="F1453" s="19">
        <f>F1452+F1446</f>
        <v>0</v>
      </c>
      <c r="G1453" s="19">
        <f t="shared" si="65"/>
        <v>12314093853</v>
      </c>
      <c r="H1453" s="122"/>
    </row>
    <row r="1454" spans="1:8" ht="21.95" customHeight="1">
      <c r="A1454" s="14"/>
      <c r="B1454" s="14"/>
      <c r="C1454" s="16" t="s">
        <v>2091</v>
      </c>
      <c r="D1454" s="17">
        <f>VLOOKUP(A1434,'Neraca Unaudited SIMAK'!$A$2:$S$10004,19,FALSE)</f>
        <v>0</v>
      </c>
      <c r="E1454" s="25"/>
      <c r="F1454" s="25"/>
      <c r="G1454" s="17">
        <f t="shared" si="65"/>
        <v>0</v>
      </c>
      <c r="H1454" s="123"/>
    </row>
    <row r="1456" spans="1:8" ht="19.5" customHeight="1">
      <c r="A1456" s="11" t="str">
        <f>O67</f>
        <v>005010500401551000KD</v>
      </c>
      <c r="B1456" s="11" t="str">
        <f>P67</f>
        <v>PA. Sampang</v>
      </c>
      <c r="C1456" s="12" t="str">
        <f>A1456&amp;" "&amp;B1456</f>
        <v>005010500401551000KD PA. Sampang</v>
      </c>
      <c r="D1456" s="13"/>
      <c r="E1456" s="13"/>
      <c r="F1456" s="13"/>
      <c r="G1456" s="13"/>
      <c r="H1456" s="11"/>
    </row>
    <row r="1457" spans="1:8" ht="21.95" customHeight="1">
      <c r="A1457" s="14"/>
      <c r="B1457" s="14"/>
      <c r="C1457" s="124" t="s">
        <v>1982</v>
      </c>
      <c r="D1457" s="126" t="s">
        <v>1983</v>
      </c>
      <c r="E1457" s="132" t="s">
        <v>1984</v>
      </c>
      <c r="F1457" s="132"/>
      <c r="G1457" s="126" t="s">
        <v>1987</v>
      </c>
      <c r="H1457" s="130" t="s">
        <v>1175</v>
      </c>
    </row>
    <row r="1458" spans="1:8" ht="21.95" customHeight="1">
      <c r="A1458" s="14"/>
      <c r="B1458" s="14"/>
      <c r="C1458" s="125"/>
      <c r="D1458" s="127"/>
      <c r="E1458" s="26" t="s">
        <v>1985</v>
      </c>
      <c r="F1458" s="26" t="s">
        <v>1986</v>
      </c>
      <c r="G1458" s="127"/>
      <c r="H1458" s="131"/>
    </row>
    <row r="1459" spans="1:8" ht="21.95" customHeight="1">
      <c r="A1459" s="14"/>
      <c r="B1459" s="14"/>
      <c r="C1459" s="16" t="s">
        <v>1165</v>
      </c>
      <c r="D1459" s="17">
        <f>VLOOKUP(A1456,'Neraca Unaudited SIMAK'!$A$2:$S$10004,3,FALSE)</f>
        <v>229050</v>
      </c>
      <c r="E1459" s="25">
        <f>SUMIFS('Daftar Koreksi'!$H$5:$H$92,'Daftar Koreksi'!$D$5:$D$92,'0500'!A1456,'Daftar Koreksi'!$G$5:$G$92,"Persediaan",'Daftar Koreksi'!$H$5:$H$92,"&gt;0")</f>
        <v>0</v>
      </c>
      <c r="F1459" s="25">
        <f>SUMIFS('Daftar Koreksi'!$H$5:$H$92,'Daftar Koreksi'!$D$5:$D$92,'0500'!A1456,'Daftar Koreksi'!$G$5:$G$92,"Persediaan",'Daftar Koreksi'!$H$5:$H$92,"&lt;0")-SUMIFS('Daftar Koreksi'!$H$5:$H$92,'Daftar Koreksi'!$D$5:$D$92,'0500'!A1456,'Daftar Koreksi'!$G$5:$G$92,"Persediaan",'Daftar Koreksi'!$H$5:$H$92,"&lt;0")-SUMIFS('Daftar Koreksi'!$H$5:$H$92,'Daftar Koreksi'!$D$5:$D$92,'0500'!A1456,'Daftar Koreksi'!$G$5:$G$92,"Persediaan",'Daftar Koreksi'!$H$5:$H$92,"&lt;0")</f>
        <v>0</v>
      </c>
      <c r="G1459" s="17">
        <f>D1459+E1459-F1459</f>
        <v>229050</v>
      </c>
      <c r="H1459" s="121" t="str">
        <f>IF(ISNA(VLOOKUP(A1456,'Mutasi Neraca'!$A$3:$S$914,19,FALSE)),"-",VLOOKUP(A1456,'Mutasi Neraca'!$A$3:$S$914,19,FALSE))</f>
        <v>-</v>
      </c>
    </row>
    <row r="1460" spans="1:8" ht="21.95" customHeight="1">
      <c r="A1460" s="14"/>
      <c r="B1460" s="14"/>
      <c r="C1460" s="16" t="s">
        <v>1166</v>
      </c>
      <c r="D1460" s="17">
        <f>VLOOKUP(A1456,'Neraca Unaudited SIMAK'!$A$2:$S$10004,4,FALSE)</f>
        <v>2011476070</v>
      </c>
      <c r="E1460" s="25">
        <f>SUMIFS('Daftar Koreksi'!$H$5:$H$92,'Daftar Koreksi'!$D$5:$D$92,'0500'!A1456,'Daftar Koreksi'!$G$5:$G$92,"Tanah",'Daftar Koreksi'!$H$5:$H$92,"&gt;0")</f>
        <v>0</v>
      </c>
      <c r="F1460" s="25">
        <f>SUMIFS('Daftar Koreksi'!$H$5:$H$92,'Daftar Koreksi'!$D$5:$D$92,'0500'!A1456,'Daftar Koreksi'!$G$5:$G$92,"Tanah",'Daftar Koreksi'!$H$5:$H$92,"&lt;0")-SUMIFS('Daftar Koreksi'!$H$5:$H$92,'Daftar Koreksi'!$D$5:$D$92,'0500'!A1456,'Daftar Koreksi'!$G$5:$G$92,"Tanah",'Daftar Koreksi'!$H$5:$H$92,"&lt;0")-SUMIFS('Daftar Koreksi'!$H$5:$H$92,'Daftar Koreksi'!$D$5:$D$92,'0500'!A1456,'Daftar Koreksi'!$G$5:$G$92,"Tanah",'Daftar Koreksi'!$H$5:$H$92,"&lt;0")</f>
        <v>0</v>
      </c>
      <c r="G1460" s="17">
        <f t="shared" ref="G1460:G1476" si="66">D1460+E1460-F1460</f>
        <v>2011476070</v>
      </c>
      <c r="H1460" s="122"/>
    </row>
    <row r="1461" spans="1:8" ht="21.95" customHeight="1">
      <c r="A1461" s="14"/>
      <c r="B1461" s="14"/>
      <c r="C1461" s="16" t="s">
        <v>1167</v>
      </c>
      <c r="D1461" s="17">
        <f>VLOOKUP(A1456,'Neraca Unaudited SIMAK'!$A$2:$S$10004,5,FALSE)</f>
        <v>1386770853</v>
      </c>
      <c r="E1461" s="25">
        <f>SUMIFS('Daftar Koreksi'!$H$5:$H$92,'Daftar Koreksi'!$D$5:$D$92,'0500'!A1456,'Daftar Koreksi'!$G$5:$G$92,"Peralatan dan mesin",'Daftar Koreksi'!$H$5:$H$92,"&gt;0")</f>
        <v>0</v>
      </c>
      <c r="F1461" s="25">
        <f>SUMIFS('Daftar Koreksi'!$H$5:$H$92,'Daftar Koreksi'!$D$5:$D$92,'0500'!A1456,'Daftar Koreksi'!$G$5:$G$92,"Peralatan dan mesin",'Daftar Koreksi'!$H$5:$H$92,"&lt;0")-SUMIFS('Daftar Koreksi'!$H$5:$H$92,'Daftar Koreksi'!$D$5:$D$92,'0500'!A1456,'Daftar Koreksi'!$G$5:$G$92,"Peralatan dan mesin",'Daftar Koreksi'!$H$5:$H$92,"&lt;0")-SUMIFS('Daftar Koreksi'!$H$5:$H$92,'Daftar Koreksi'!$D$5:$D$92,'0500'!A1456,'Daftar Koreksi'!$G$5:$G$92,"Peralatan dan mesin",'Daftar Koreksi'!$H$5:$H$92,"&lt;0")</f>
        <v>0</v>
      </c>
      <c r="G1461" s="17">
        <f t="shared" si="66"/>
        <v>1386770853</v>
      </c>
      <c r="H1461" s="122"/>
    </row>
    <row r="1462" spans="1:8" ht="21.95" customHeight="1">
      <c r="A1462" s="14"/>
      <c r="B1462" s="14"/>
      <c r="C1462" s="16" t="s">
        <v>1168</v>
      </c>
      <c r="D1462" s="17">
        <f>VLOOKUP(A1456,'Neraca Unaudited SIMAK'!$A$2:$S$10004,6,FALSE)</f>
        <v>891021588</v>
      </c>
      <c r="E1462" s="25">
        <f>SUMIFS('Daftar Koreksi'!$H$5:$H$92,'Daftar Koreksi'!$D$5:$D$92,'0500'!A1456,'Daftar Koreksi'!$G$5:$G$92,"Gedung dan Bangunan",'Daftar Koreksi'!$H$5:$H$92,"&gt;0")</f>
        <v>0</v>
      </c>
      <c r="F1462" s="25">
        <f>SUMIFS('Daftar Koreksi'!$H$5:$H$92,'Daftar Koreksi'!$D$5:$D$92,'0500'!A1456,'Daftar Koreksi'!$G$5:$G$92,"Gedung dan Bangunan",'Daftar Koreksi'!$H$5:$H$92,"&lt;0")-SUMIFS('Daftar Koreksi'!$H$5:$H$92,'Daftar Koreksi'!$D$5:$D$92,'0500'!A1456,'Daftar Koreksi'!$G$5:$G$92,"Gedung dan Bangunan",'Daftar Koreksi'!$H$5:$H$92,"&lt;0")-SUMIFS('Daftar Koreksi'!$H$5:$H$92,'Daftar Koreksi'!$D$5:$D$92,'0500'!A1456,'Daftar Koreksi'!$G$5:$G$92,"Gedung dan Bangunan",'Daftar Koreksi'!$H$5:$H$92,"&lt;0")</f>
        <v>0</v>
      </c>
      <c r="G1462" s="17">
        <f t="shared" si="66"/>
        <v>891021588</v>
      </c>
      <c r="H1462" s="122"/>
    </row>
    <row r="1463" spans="1:8" ht="21.95" customHeight="1">
      <c r="A1463" s="14"/>
      <c r="B1463" s="14"/>
      <c r="C1463" s="16" t="s">
        <v>1169</v>
      </c>
      <c r="D1463" s="17">
        <f>VLOOKUP(A1456,'Neraca Unaudited SIMAK'!$A$2:$S$10004,7,FALSE)</f>
        <v>14973000</v>
      </c>
      <c r="E1463" s="25">
        <f>SUMIFS('Daftar Koreksi'!$H$5:$H$92,'Daftar Koreksi'!$D$5:$D$92,'0500'!A1456,'Daftar Koreksi'!$G$5:$G$92,"Jalan Irigasi Jaringan",'Daftar Koreksi'!$H$5:$H$92,"&gt;0")</f>
        <v>0</v>
      </c>
      <c r="F1463" s="25">
        <f>SUMIFS('Daftar Koreksi'!$H$5:$H$92,'Daftar Koreksi'!$D$5:$D$92,'0500'!A1456,'Daftar Koreksi'!$G$5:$G$92,"Jalan Irigasi Jaringan",'Daftar Koreksi'!$H$5:$H$92,"&lt;0")-SUMIFS('Daftar Koreksi'!$H$5:$H$92,'Daftar Koreksi'!$D$5:$D$92,'0500'!A1456,'Daftar Koreksi'!$G$5:$G$92,"Jalan Irigasi Jaringan",'Daftar Koreksi'!$H$5:$H$92,"&lt;0")-SUMIFS('Daftar Koreksi'!$H$5:$H$92,'Daftar Koreksi'!$D$5:$D$92,'0500'!A1456,'Daftar Koreksi'!$G$5:$G$92,"Jalan Irigasi Jaringan",'Daftar Koreksi'!$H$5:$H$92,"&lt;0")</f>
        <v>0</v>
      </c>
      <c r="G1463" s="17">
        <f t="shared" si="66"/>
        <v>14973000</v>
      </c>
      <c r="H1463" s="122"/>
    </row>
    <row r="1464" spans="1:8" ht="21.95" customHeight="1">
      <c r="A1464" s="14"/>
      <c r="B1464" s="14"/>
      <c r="C1464" s="16" t="s">
        <v>1170</v>
      </c>
      <c r="D1464" s="17">
        <f>VLOOKUP(A1456,'Neraca Unaudited SIMAK'!$A$2:$S$10004,8,FALSE)</f>
        <v>13239270</v>
      </c>
      <c r="E1464" s="25">
        <f>SUMIFS('Daftar Koreksi'!$H$5:$H$92,'Daftar Koreksi'!$D$5:$D$92,'0500'!A1456,'Daftar Koreksi'!$G$5:$G$92,"Aset Tetap Lainnya",'Daftar Koreksi'!$H$5:$H$92,"&gt;0")</f>
        <v>0</v>
      </c>
      <c r="F1464" s="25">
        <f>SUMIFS('Daftar Koreksi'!$H$5:$H$92,'Daftar Koreksi'!$D$5:$D$92,'0500'!A1456,'Daftar Koreksi'!$G$5:$G$92,"Aset Tetap Lainnya",'Daftar Koreksi'!$H$5:$H$92,"&lt;0")-SUMIFS('Daftar Koreksi'!$H$5:$H$92,'Daftar Koreksi'!$D$5:$D$92,'0500'!A1456,'Daftar Koreksi'!$G$5:$G$92,"Aset Tetap Lainnya",'Daftar Koreksi'!$H$5:$H$92,"&lt;0")-SUMIFS('Daftar Koreksi'!$H$5:$H$92,'Daftar Koreksi'!$D$5:$D$92,'0500'!A1456,'Daftar Koreksi'!$G$5:$G$92,"Aset Tetap Lainnya",'Daftar Koreksi'!$H$5:$H$92,"&lt;0")</f>
        <v>0</v>
      </c>
      <c r="G1464" s="17">
        <f t="shared" si="66"/>
        <v>13239270</v>
      </c>
      <c r="H1464" s="122"/>
    </row>
    <row r="1465" spans="1:8" ht="21.95" customHeight="1">
      <c r="A1465" s="14"/>
      <c r="B1465" s="14"/>
      <c r="C1465" s="16" t="s">
        <v>1171</v>
      </c>
      <c r="D1465" s="17">
        <f>VLOOKUP(A1456,'Neraca Unaudited SIMAK'!$A$2:$S$10004,9,FALSE)</f>
        <v>0</v>
      </c>
      <c r="E1465" s="25">
        <f>SUMIFS('Daftar Koreksi'!$H$5:$H$92,'Daftar Koreksi'!$D$5:$D$92,'0500'!A1456,'Daftar Koreksi'!$G$5:$G$92,"Kontruksi Dalam Pengerjaan",'Daftar Koreksi'!$H$5:$H$92,"&gt;0")</f>
        <v>0</v>
      </c>
      <c r="F1465" s="25">
        <f>SUMIFS('Daftar Koreksi'!$H$5:$H$92,'Daftar Koreksi'!$D$5:$D$92,'0500'!A1456,'Daftar Koreksi'!$G$5:$G$92,"Kontruksi Dalam Pengerjaan",'Daftar Koreksi'!$H$5:$H$92,"&lt;0")-SUMIFS('Daftar Koreksi'!$H$5:$H$92,'Daftar Koreksi'!$D$5:$D$92,'0500'!A1456,'Daftar Koreksi'!$G$5:$G$92,"Kontruksi Dalam Pengerjaan",'Daftar Koreksi'!$H$5:$H$92,"&lt;0")-SUMIFS('Daftar Koreksi'!$H$5:$H$92,'Daftar Koreksi'!$D$5:$D$92,'0500'!A1456,'Daftar Koreksi'!$G$5:$G$92,"Kontruksi Dalam Pengerjaan",'Daftar Koreksi'!$H$5:$H$92,"&lt;0")</f>
        <v>0</v>
      </c>
      <c r="G1465" s="17">
        <f t="shared" si="66"/>
        <v>0</v>
      </c>
      <c r="H1465" s="122"/>
    </row>
    <row r="1466" spans="1:8" ht="21.95" customHeight="1">
      <c r="A1466" s="14"/>
      <c r="B1466" s="14"/>
      <c r="C1466" s="16" t="s">
        <v>1172</v>
      </c>
      <c r="D1466" s="17">
        <f>VLOOKUP(A1456,'Neraca Unaudited SIMAK'!$A$2:$S$10004,10,FALSE)</f>
        <v>0</v>
      </c>
      <c r="E1466" s="25">
        <f>SUMIFS('Daftar Koreksi'!$H$5:$H$92,'Daftar Koreksi'!$D$5:$D$92,'0500'!A1456,'Daftar Koreksi'!$G$5:$G$92,"Aset Tak Berwujud",'Daftar Koreksi'!$H$5:$H$92,"&gt;0")</f>
        <v>0</v>
      </c>
      <c r="F1466" s="25">
        <f>SUMIFS('Daftar Koreksi'!$H$5:$H$92,'Daftar Koreksi'!$D$5:$D$92,'0500'!A1456,'Daftar Koreksi'!$G$5:$G$92,"Aset Tak Berwujud",'Daftar Koreksi'!$H$5:$H$92,"&lt;0")-SUMIFS('Daftar Koreksi'!$H$5:$H$92,'Daftar Koreksi'!$D$5:$D$92,'0500'!A1456,'Daftar Koreksi'!$G$5:$G$92,"Aset Tak Berwujud",'Daftar Koreksi'!$H$5:$H$92,"&lt;0")-SUMIFS('Daftar Koreksi'!$H$5:$H$92,'Daftar Koreksi'!$D$5:$D$92,'0500'!A1456,'Daftar Koreksi'!$G$5:$G$92,"Aset Tak Berwujud",'Daftar Koreksi'!$H$5:$H$92,"&lt;0")</f>
        <v>0</v>
      </c>
      <c r="G1466" s="17">
        <f t="shared" si="66"/>
        <v>0</v>
      </c>
      <c r="H1466" s="122"/>
    </row>
    <row r="1467" spans="1:8" ht="21.95" customHeight="1">
      <c r="A1467" s="14"/>
      <c r="B1467" s="14"/>
      <c r="C1467" s="16" t="s">
        <v>1173</v>
      </c>
      <c r="D1467" s="17">
        <f>VLOOKUP(A1456,'Neraca Unaudited SIMAK'!$A$2:$S$10004,11,FALSE)</f>
        <v>85137630</v>
      </c>
      <c r="E1467" s="25">
        <f>SUMIFS('Daftar Koreksi'!$H$5:$H$92,'Daftar Koreksi'!$D$5:$D$92,'0500'!A1456,'Daftar Koreksi'!$G$5:$G$92,"Aset Henti Guna",'Daftar Koreksi'!$H$5:$H$92,"&gt;0")</f>
        <v>0</v>
      </c>
      <c r="F1467" s="25">
        <f>SUMIFS('Daftar Koreksi'!$H$5:$H$92,'Daftar Koreksi'!$D$5:$D$92,'0500'!A1456,'Daftar Koreksi'!$G$5:$G$92,"Aset Henti Guna",'Daftar Koreksi'!$H$5:$H$92,"&lt;0")-SUMIFS('Daftar Koreksi'!$H$5:$H$92,'Daftar Koreksi'!$D$5:$D$92,'0500'!A1456,'Daftar Koreksi'!$G$5:$G$92,"Aset Henti Guna",'Daftar Koreksi'!$H$5:$H$92,"&lt;0")-SUMIFS('Daftar Koreksi'!$H$5:$H$92,'Daftar Koreksi'!$D$5:$D$92,'0500'!A1456,'Daftar Koreksi'!$G$5:$G$92,"Aset Henti Guna",'Daftar Koreksi'!$H$5:$H$92,"&lt;0")</f>
        <v>0</v>
      </c>
      <c r="G1467" s="17">
        <f t="shared" si="66"/>
        <v>85137630</v>
      </c>
      <c r="H1467" s="122"/>
    </row>
    <row r="1468" spans="1:8" ht="21.95" customHeight="1">
      <c r="A1468" s="14"/>
      <c r="B1468" s="14"/>
      <c r="C1468" s="18" t="s">
        <v>2093</v>
      </c>
      <c r="D1468" s="19">
        <f>VLOOKUP(A1456,'Neraca Unaudited SIMAK'!$A$2:$S$10004,12,FALSE)</f>
        <v>4402847461</v>
      </c>
      <c r="E1468" s="19">
        <f>SUM(E1459:E1467)</f>
        <v>0</v>
      </c>
      <c r="F1468" s="19">
        <f>SUM(F1459:F1467)</f>
        <v>0</v>
      </c>
      <c r="G1468" s="19">
        <f t="shared" si="66"/>
        <v>4402847461</v>
      </c>
      <c r="H1468" s="122"/>
    </row>
    <row r="1469" spans="1:8" ht="21.95" customHeight="1">
      <c r="A1469" s="14"/>
      <c r="B1469" s="14"/>
      <c r="C1469" s="16" t="s">
        <v>2087</v>
      </c>
      <c r="D1469" s="17">
        <f>VLOOKUP(A1456,'Neraca Unaudited SIMAK'!$A$2:$S$10004,13,FALSE)</f>
        <v>-1005195370</v>
      </c>
      <c r="E1469" s="25">
        <f>SUMIFS('Daftar Koreksi'!$I$5:$I$92,'Daftar Koreksi'!$D$5:$D$92,'0500'!A1456,'Daftar Koreksi'!$G$5:$G$92,"Peralatan dan mesin",'Daftar Koreksi'!$I$5:$I$92,"&gt;0")</f>
        <v>0</v>
      </c>
      <c r="F1469" s="25">
        <f>SUMIFS('Daftar Koreksi'!$I$5:$I$92,'Daftar Koreksi'!$D$5:$D$92,'0500'!A1456,'Daftar Koreksi'!$G$5:$G$92,"Peralatan dan mesin",'Daftar Koreksi'!$I$5:$I$92,"&lt;0")-SUMIFS('Daftar Koreksi'!$I$5:$I$92,'Daftar Koreksi'!$D$5:$D$92,'0500'!A1456,'Daftar Koreksi'!$G$5:$G$92,"Peralatan dan mesin",'Daftar Koreksi'!$I$5:$I$92,"&lt;0")-SUMIFS('Daftar Koreksi'!$I$5:$I$92,'Daftar Koreksi'!$D$5:$D$92,'0500'!A1456,'Daftar Koreksi'!$G$5:$G$92,"Peralatan dan mesin",'Daftar Koreksi'!$I$5:$I$92,"&lt;0")</f>
        <v>0</v>
      </c>
      <c r="G1469" s="17">
        <f t="shared" si="66"/>
        <v>-1005195370</v>
      </c>
      <c r="H1469" s="122"/>
    </row>
    <row r="1470" spans="1:8" ht="21.95" customHeight="1">
      <c r="A1470" s="14"/>
      <c r="B1470" s="14"/>
      <c r="C1470" s="16" t="s">
        <v>2088</v>
      </c>
      <c r="D1470" s="17">
        <f>VLOOKUP(A1456,'Neraca Unaudited SIMAK'!$A$2:$S$10004,14,FALSE)</f>
        <v>-122471189</v>
      </c>
      <c r="E1470" s="25">
        <f>SUMIFS('Daftar Koreksi'!$I$5:$I$92,'Daftar Koreksi'!$D$5:$D$92,'0500'!A1456,'Daftar Koreksi'!$G$5:$G$92,"Gedung dan Bangunan",'Daftar Koreksi'!$I$5:$I$92,"&gt;0")</f>
        <v>0</v>
      </c>
      <c r="F1470" s="25">
        <f>SUMIFS('Daftar Koreksi'!$I$5:$I$92,'Daftar Koreksi'!$D$5:$D$92,'0500'!A1456,'Daftar Koreksi'!$G$5:$G$92,"Gedung dan Bangunan",'Daftar Koreksi'!$I$5:$I$92,"&lt;0")-SUMIFS('Daftar Koreksi'!$I$5:$I$92,'Daftar Koreksi'!$D$5:$D$92,'0500'!A1456,'Daftar Koreksi'!$G$5:$G$92,"Gedung dan Bangunan",'Daftar Koreksi'!$I$5:$I$92,"&lt;0")-SUMIFS('Daftar Koreksi'!$I$5:$I$92,'Daftar Koreksi'!$D$5:$D$92,'0500'!A1456,'Daftar Koreksi'!$G$5:$G$92,"Gedung dan Bangunan",'Daftar Koreksi'!$I$5:$I$92,"&lt;0")</f>
        <v>0</v>
      </c>
      <c r="G1470" s="17">
        <f t="shared" si="66"/>
        <v>-122471189</v>
      </c>
      <c r="H1470" s="122"/>
    </row>
    <row r="1471" spans="1:8" ht="21.95" customHeight="1">
      <c r="A1471" s="14"/>
      <c r="B1471" s="14"/>
      <c r="C1471" s="16" t="s">
        <v>2089</v>
      </c>
      <c r="D1471" s="17">
        <f>VLOOKUP(A1456,'Neraca Unaudited SIMAK'!$A$2:$S$10004,15,FALSE)</f>
        <v>-2245950</v>
      </c>
      <c r="E1471" s="25">
        <f>SUMIFS('Daftar Koreksi'!$I$5:$I$92,'Daftar Koreksi'!$D$5:$D$92,'0500'!A1456,'Daftar Koreksi'!$G$5:$G$92,"Jalan Irigasi Jaringan",'Daftar Koreksi'!$I$5:$I$92,"&gt;0")</f>
        <v>0</v>
      </c>
      <c r="F1471" s="25">
        <f>SUMIFS('Daftar Koreksi'!$I$5:$I$92,'Daftar Koreksi'!$D$5:$D$92,'0500'!A1456,'Daftar Koreksi'!$G$5:$G$92,"Jalan Irigasi Jaringan",'Daftar Koreksi'!$I$5:$I$92,"&lt;0")-SUMIFS('Daftar Koreksi'!$I$5:$I$92,'Daftar Koreksi'!$D$5:$D$92,'0500'!A1456,'Daftar Koreksi'!$G$5:$G$92,"Jalan Irigasi Jaringan",'Daftar Koreksi'!$I$5:$I$92,"&lt;0")-SUMIFS('Daftar Koreksi'!$I$5:$I$92,'Daftar Koreksi'!$D$5:$D$92,'0500'!A1456,'Daftar Koreksi'!$G$5:$G$92,"Jalan Irigasi Jaringan",'Daftar Koreksi'!$I$5:$I$92,"&lt;0")</f>
        <v>0</v>
      </c>
      <c r="G1471" s="17">
        <f t="shared" si="66"/>
        <v>-2245950</v>
      </c>
      <c r="H1471" s="122"/>
    </row>
    <row r="1472" spans="1:8" ht="21.95" customHeight="1">
      <c r="A1472" s="14"/>
      <c r="B1472" s="14"/>
      <c r="C1472" s="16" t="s">
        <v>2090</v>
      </c>
      <c r="D1472" s="17">
        <f>VLOOKUP(A1456,'Neraca Unaudited SIMAK'!$A$2:$S$10004,16,FALSE)</f>
        <v>0</v>
      </c>
      <c r="E1472" s="25">
        <f>SUMIFS('Daftar Koreksi'!$I$5:$I$92,'Daftar Koreksi'!$D$5:$D$92,'0500'!A1456,'Daftar Koreksi'!$G$5:$G$92,"Aset Tetap Lainnya",'Daftar Koreksi'!$I$5:$I$92,"&gt;0")</f>
        <v>0</v>
      </c>
      <c r="F1472" s="25">
        <f>SUMIFS('Daftar Koreksi'!$I$5:$I$92,'Daftar Koreksi'!$D$5:$D$92,'0500'!A1456,'Daftar Koreksi'!$G$5:$G$92,"Aset Tetap Lainnya",'Daftar Koreksi'!$I$5:$I$92,"&lt;0")-SUMIFS('Daftar Koreksi'!$I$5:$I$92,'Daftar Koreksi'!$D$5:$D$92,'0500'!A1456,'Daftar Koreksi'!$G$5:$G$92,"Aset Tetap Lainnya",'Daftar Koreksi'!$I$5:$I$92,"&lt;0")-SUMIFS('Daftar Koreksi'!$I$5:$I$92,'Daftar Koreksi'!$D$5:$D$92,'0500'!A1456,'Daftar Koreksi'!$G$5:$G$92,"Aset Tetap Lainnya",'Daftar Koreksi'!$I$5:$I$92,"&lt;0")</f>
        <v>0</v>
      </c>
      <c r="G1472" s="17">
        <f t="shared" si="66"/>
        <v>0</v>
      </c>
      <c r="H1472" s="122"/>
    </row>
    <row r="1473" spans="1:8" ht="21.95" customHeight="1">
      <c r="A1473" s="14"/>
      <c r="B1473" s="14"/>
      <c r="C1473" s="16" t="s">
        <v>2020</v>
      </c>
      <c r="D1473" s="17">
        <f>VLOOKUP(A1456,'Neraca Unaudited SIMAK'!$A$2:$S$10004,17,FALSE)</f>
        <v>-85137630</v>
      </c>
      <c r="E1473" s="25">
        <f>SUMIFS('Daftar Koreksi'!$I$5:$I$92,'Daftar Koreksi'!$D$5:$D$92,'0500'!A1456,'Daftar Koreksi'!$G$5:$G$92,"Aset Henti Guna",'Daftar Koreksi'!$I$5:$I$92,"&gt;0")</f>
        <v>0</v>
      </c>
      <c r="F1473" s="25">
        <f>SUMIFS('Daftar Koreksi'!$I$5:$I$92,'Daftar Koreksi'!$D$5:$D$92,'0500'!A1456,'Daftar Koreksi'!$G$5:$G$92,"Aset Henti Guna",'Daftar Koreksi'!$I$5:$I$92,"&lt;0")-SUMIFS('Daftar Koreksi'!$I$5:$I$92,'Daftar Koreksi'!$D$5:$D$92,'0500'!A1456,'Daftar Koreksi'!$G$5:$G$92,"Aset Henti Guna",'Daftar Koreksi'!$I$5:$I$92,"&lt;0")-SUMIFS('Daftar Koreksi'!$I$5:$I$92,'Daftar Koreksi'!$D$5:$D$92,'0500'!A1456,'Daftar Koreksi'!$G$5:$G$92,"Aset Henti Guna",'Daftar Koreksi'!$I$5:$I$92,"&lt;0")</f>
        <v>0</v>
      </c>
      <c r="G1473" s="17">
        <f t="shared" si="66"/>
        <v>-85137630</v>
      </c>
      <c r="H1473" s="122"/>
    </row>
    <row r="1474" spans="1:8" ht="21.95" customHeight="1">
      <c r="A1474" s="14"/>
      <c r="B1474" s="14"/>
      <c r="C1474" s="18" t="s">
        <v>2094</v>
      </c>
      <c r="D1474" s="19">
        <f>SUM(D1469:D1473)</f>
        <v>-1215050139</v>
      </c>
      <c r="E1474" s="19">
        <f>SUM(E1469:E1473)</f>
        <v>0</v>
      </c>
      <c r="F1474" s="19">
        <f>SUM(F1469:F1473)</f>
        <v>0</v>
      </c>
      <c r="G1474" s="19">
        <f t="shared" si="66"/>
        <v>-1215050139</v>
      </c>
      <c r="H1474" s="122"/>
    </row>
    <row r="1475" spans="1:8" ht="21.95" customHeight="1">
      <c r="A1475" s="14"/>
      <c r="B1475" s="14"/>
      <c r="C1475" s="18" t="s">
        <v>2095</v>
      </c>
      <c r="D1475" s="19">
        <f>VLOOKUP(A1456,'Neraca Unaudited SIMAK'!$A$2:$S$10004,18,FALSE)</f>
        <v>3187797322</v>
      </c>
      <c r="E1475" s="19">
        <f>E1474+E1468</f>
        <v>0</v>
      </c>
      <c r="F1475" s="19">
        <f>F1474+F1468</f>
        <v>0</v>
      </c>
      <c r="G1475" s="19">
        <f t="shared" si="66"/>
        <v>3187797322</v>
      </c>
      <c r="H1475" s="122"/>
    </row>
    <row r="1476" spans="1:8" ht="21.95" customHeight="1">
      <c r="A1476" s="14"/>
      <c r="B1476" s="14"/>
      <c r="C1476" s="16" t="s">
        <v>2091</v>
      </c>
      <c r="D1476" s="17">
        <f>VLOOKUP(A1456,'Neraca Unaudited SIMAK'!$A$2:$S$10004,19,FALSE)</f>
        <v>0</v>
      </c>
      <c r="E1476" s="25"/>
      <c r="F1476" s="25"/>
      <c r="G1476" s="17">
        <f t="shared" si="66"/>
        <v>0</v>
      </c>
      <c r="H1476" s="123"/>
    </row>
    <row r="1478" spans="1:8" ht="19.5" customHeight="1">
      <c r="A1478" s="11" t="str">
        <f>O68</f>
        <v>005010500401560000KD</v>
      </c>
      <c r="B1478" s="11" t="str">
        <f>P68</f>
        <v>PA. Sumenep</v>
      </c>
      <c r="C1478" s="12" t="str">
        <f>A1478&amp;" "&amp;B1478</f>
        <v>005010500401560000KD PA. Sumenep</v>
      </c>
      <c r="D1478" s="13"/>
      <c r="E1478" s="13"/>
      <c r="F1478" s="13"/>
      <c r="G1478" s="13"/>
      <c r="H1478" s="11"/>
    </row>
    <row r="1479" spans="1:8" ht="21.95" customHeight="1">
      <c r="A1479" s="14"/>
      <c r="B1479" s="14"/>
      <c r="C1479" s="124" t="s">
        <v>1982</v>
      </c>
      <c r="D1479" s="126" t="s">
        <v>1983</v>
      </c>
      <c r="E1479" s="132" t="s">
        <v>1984</v>
      </c>
      <c r="F1479" s="132"/>
      <c r="G1479" s="126" t="s">
        <v>1987</v>
      </c>
      <c r="H1479" s="130" t="s">
        <v>1175</v>
      </c>
    </row>
    <row r="1480" spans="1:8" ht="21.95" customHeight="1">
      <c r="A1480" s="14"/>
      <c r="B1480" s="14"/>
      <c r="C1480" s="125"/>
      <c r="D1480" s="127"/>
      <c r="E1480" s="26" t="s">
        <v>1985</v>
      </c>
      <c r="F1480" s="26" t="s">
        <v>1986</v>
      </c>
      <c r="G1480" s="127"/>
      <c r="H1480" s="131"/>
    </row>
    <row r="1481" spans="1:8" ht="21.95" customHeight="1">
      <c r="A1481" s="14"/>
      <c r="B1481" s="14"/>
      <c r="C1481" s="16" t="s">
        <v>1165</v>
      </c>
      <c r="D1481" s="17">
        <f>VLOOKUP(A1478,'Neraca Unaudited SIMAK'!$A$2:$S$10004,3,FALSE)</f>
        <v>129000</v>
      </c>
      <c r="E1481" s="25">
        <f>SUMIFS('Daftar Koreksi'!$H$5:$H$92,'Daftar Koreksi'!$D$5:$D$92,'0500'!A1478,'Daftar Koreksi'!$G$5:$G$92,"Persediaan",'Daftar Koreksi'!$H$5:$H$92,"&gt;0")</f>
        <v>0</v>
      </c>
      <c r="F1481" s="25">
        <f>SUMIFS('Daftar Koreksi'!$H$5:$H$92,'Daftar Koreksi'!$D$5:$D$92,'0500'!A1478,'Daftar Koreksi'!$G$5:$G$92,"Persediaan",'Daftar Koreksi'!$H$5:$H$92,"&lt;0")-SUMIFS('Daftar Koreksi'!$H$5:$H$92,'Daftar Koreksi'!$D$5:$D$92,'0500'!A1478,'Daftar Koreksi'!$G$5:$G$92,"Persediaan",'Daftar Koreksi'!$H$5:$H$92,"&lt;0")-SUMIFS('Daftar Koreksi'!$H$5:$H$92,'Daftar Koreksi'!$D$5:$D$92,'0500'!A1478,'Daftar Koreksi'!$G$5:$G$92,"Persediaan",'Daftar Koreksi'!$H$5:$H$92,"&lt;0")</f>
        <v>0</v>
      </c>
      <c r="G1481" s="17">
        <f>D1481+E1481-F1481</f>
        <v>129000</v>
      </c>
      <c r="H1481" s="121" t="str">
        <f>IF(ISNA(VLOOKUP(A1478,'Mutasi Neraca'!$A$3:$S$914,19,FALSE)),"-",VLOOKUP(A1478,'Mutasi Neraca'!$A$3:$S$914,19,FALSE))</f>
        <v>-</v>
      </c>
    </row>
    <row r="1482" spans="1:8" ht="21.95" customHeight="1">
      <c r="A1482" s="14"/>
      <c r="B1482" s="14"/>
      <c r="C1482" s="16" t="s">
        <v>1166</v>
      </c>
      <c r="D1482" s="17">
        <f>VLOOKUP(A1478,'Neraca Unaudited SIMAK'!$A$2:$S$10004,4,FALSE)</f>
        <v>2832156550</v>
      </c>
      <c r="E1482" s="25">
        <f>SUMIFS('Daftar Koreksi'!$H$5:$H$92,'Daftar Koreksi'!$D$5:$D$92,'0500'!A1478,'Daftar Koreksi'!$G$5:$G$92,"Tanah",'Daftar Koreksi'!$H$5:$H$92,"&gt;0")</f>
        <v>0</v>
      </c>
      <c r="F1482" s="25">
        <f>SUMIFS('Daftar Koreksi'!$H$5:$H$92,'Daftar Koreksi'!$D$5:$D$92,'0500'!A1478,'Daftar Koreksi'!$G$5:$G$92,"Tanah",'Daftar Koreksi'!$H$5:$H$92,"&lt;0")-SUMIFS('Daftar Koreksi'!$H$5:$H$92,'Daftar Koreksi'!$D$5:$D$92,'0500'!A1478,'Daftar Koreksi'!$G$5:$G$92,"Tanah",'Daftar Koreksi'!$H$5:$H$92,"&lt;0")-SUMIFS('Daftar Koreksi'!$H$5:$H$92,'Daftar Koreksi'!$D$5:$D$92,'0500'!A1478,'Daftar Koreksi'!$G$5:$G$92,"Tanah",'Daftar Koreksi'!$H$5:$H$92,"&lt;0")</f>
        <v>0</v>
      </c>
      <c r="G1482" s="17">
        <f t="shared" ref="G1482:G1498" si="67">D1482+E1482-F1482</f>
        <v>2832156550</v>
      </c>
      <c r="H1482" s="122"/>
    </row>
    <row r="1483" spans="1:8" ht="21.95" customHeight="1">
      <c r="A1483" s="14"/>
      <c r="B1483" s="14"/>
      <c r="C1483" s="16" t="s">
        <v>1167</v>
      </c>
      <c r="D1483" s="17">
        <f>VLOOKUP(A1478,'Neraca Unaudited SIMAK'!$A$2:$S$10004,5,FALSE)</f>
        <v>1796653798</v>
      </c>
      <c r="E1483" s="25">
        <f>SUMIFS('Daftar Koreksi'!$H$5:$H$92,'Daftar Koreksi'!$D$5:$D$92,'0500'!A1478,'Daftar Koreksi'!$G$5:$G$92,"Peralatan dan mesin",'Daftar Koreksi'!$H$5:$H$92,"&gt;0")</f>
        <v>0</v>
      </c>
      <c r="F1483" s="25">
        <f>SUMIFS('Daftar Koreksi'!$H$5:$H$92,'Daftar Koreksi'!$D$5:$D$92,'0500'!A1478,'Daftar Koreksi'!$G$5:$G$92,"Peralatan dan mesin",'Daftar Koreksi'!$H$5:$H$92,"&lt;0")-SUMIFS('Daftar Koreksi'!$H$5:$H$92,'Daftar Koreksi'!$D$5:$D$92,'0500'!A1478,'Daftar Koreksi'!$G$5:$G$92,"Peralatan dan mesin",'Daftar Koreksi'!$H$5:$H$92,"&lt;0")-SUMIFS('Daftar Koreksi'!$H$5:$H$92,'Daftar Koreksi'!$D$5:$D$92,'0500'!A1478,'Daftar Koreksi'!$G$5:$G$92,"Peralatan dan mesin",'Daftar Koreksi'!$H$5:$H$92,"&lt;0")</f>
        <v>0</v>
      </c>
      <c r="G1483" s="17">
        <f t="shared" si="67"/>
        <v>1796653798</v>
      </c>
      <c r="H1483" s="122"/>
    </row>
    <row r="1484" spans="1:8" ht="21.95" customHeight="1">
      <c r="A1484" s="14"/>
      <c r="B1484" s="14"/>
      <c r="C1484" s="16" t="s">
        <v>1168</v>
      </c>
      <c r="D1484" s="17">
        <f>VLOOKUP(A1478,'Neraca Unaudited SIMAK'!$A$2:$S$10004,6,FALSE)</f>
        <v>8126761425</v>
      </c>
      <c r="E1484" s="25">
        <f>SUMIFS('Daftar Koreksi'!$H$5:$H$92,'Daftar Koreksi'!$D$5:$D$92,'0500'!A1478,'Daftar Koreksi'!$G$5:$G$92,"Gedung dan Bangunan",'Daftar Koreksi'!$H$5:$H$92,"&gt;0")</f>
        <v>0</v>
      </c>
      <c r="F1484" s="25">
        <f>SUMIFS('Daftar Koreksi'!$H$5:$H$92,'Daftar Koreksi'!$D$5:$D$92,'0500'!A1478,'Daftar Koreksi'!$G$5:$G$92,"Gedung dan Bangunan",'Daftar Koreksi'!$H$5:$H$92,"&lt;0")-SUMIFS('Daftar Koreksi'!$H$5:$H$92,'Daftar Koreksi'!$D$5:$D$92,'0500'!A1478,'Daftar Koreksi'!$G$5:$G$92,"Gedung dan Bangunan",'Daftar Koreksi'!$H$5:$H$92,"&lt;0")-SUMIFS('Daftar Koreksi'!$H$5:$H$92,'Daftar Koreksi'!$D$5:$D$92,'0500'!A1478,'Daftar Koreksi'!$G$5:$G$92,"Gedung dan Bangunan",'Daftar Koreksi'!$H$5:$H$92,"&lt;0")</f>
        <v>0</v>
      </c>
      <c r="G1484" s="17">
        <f t="shared" si="67"/>
        <v>8126761425</v>
      </c>
      <c r="H1484" s="122"/>
    </row>
    <row r="1485" spans="1:8" ht="21.95" customHeight="1">
      <c r="A1485" s="14"/>
      <c r="B1485" s="14"/>
      <c r="C1485" s="16" t="s">
        <v>1169</v>
      </c>
      <c r="D1485" s="17">
        <f>VLOOKUP(A1478,'Neraca Unaudited SIMAK'!$A$2:$S$10004,7,FALSE)</f>
        <v>0</v>
      </c>
      <c r="E1485" s="25">
        <f>SUMIFS('Daftar Koreksi'!$H$5:$H$92,'Daftar Koreksi'!$D$5:$D$92,'0500'!A1478,'Daftar Koreksi'!$G$5:$G$92,"Jalan Irigasi Jaringan",'Daftar Koreksi'!$H$5:$H$92,"&gt;0")</f>
        <v>0</v>
      </c>
      <c r="F1485" s="25">
        <f>SUMIFS('Daftar Koreksi'!$H$5:$H$92,'Daftar Koreksi'!$D$5:$D$92,'0500'!A1478,'Daftar Koreksi'!$G$5:$G$92,"Jalan Irigasi Jaringan",'Daftar Koreksi'!$H$5:$H$92,"&lt;0")-SUMIFS('Daftar Koreksi'!$H$5:$H$92,'Daftar Koreksi'!$D$5:$D$92,'0500'!A1478,'Daftar Koreksi'!$G$5:$G$92,"Jalan Irigasi Jaringan",'Daftar Koreksi'!$H$5:$H$92,"&lt;0")-SUMIFS('Daftar Koreksi'!$H$5:$H$92,'Daftar Koreksi'!$D$5:$D$92,'0500'!A1478,'Daftar Koreksi'!$G$5:$G$92,"Jalan Irigasi Jaringan",'Daftar Koreksi'!$H$5:$H$92,"&lt;0")</f>
        <v>0</v>
      </c>
      <c r="G1485" s="17">
        <f t="shared" si="67"/>
        <v>0</v>
      </c>
      <c r="H1485" s="122"/>
    </row>
    <row r="1486" spans="1:8" ht="21.95" customHeight="1">
      <c r="A1486" s="14"/>
      <c r="B1486" s="14"/>
      <c r="C1486" s="16" t="s">
        <v>1170</v>
      </c>
      <c r="D1486" s="17">
        <f>VLOOKUP(A1478,'Neraca Unaudited SIMAK'!$A$2:$S$10004,8,FALSE)</f>
        <v>19982320</v>
      </c>
      <c r="E1486" s="25">
        <f>SUMIFS('Daftar Koreksi'!$H$5:$H$92,'Daftar Koreksi'!$D$5:$D$92,'0500'!A1478,'Daftar Koreksi'!$G$5:$G$92,"Aset Tetap Lainnya",'Daftar Koreksi'!$H$5:$H$92,"&gt;0")</f>
        <v>0</v>
      </c>
      <c r="F1486" s="25">
        <f>SUMIFS('Daftar Koreksi'!$H$5:$H$92,'Daftar Koreksi'!$D$5:$D$92,'0500'!A1478,'Daftar Koreksi'!$G$5:$G$92,"Aset Tetap Lainnya",'Daftar Koreksi'!$H$5:$H$92,"&lt;0")-SUMIFS('Daftar Koreksi'!$H$5:$H$92,'Daftar Koreksi'!$D$5:$D$92,'0500'!A1478,'Daftar Koreksi'!$G$5:$G$92,"Aset Tetap Lainnya",'Daftar Koreksi'!$H$5:$H$92,"&lt;0")-SUMIFS('Daftar Koreksi'!$H$5:$H$92,'Daftar Koreksi'!$D$5:$D$92,'0500'!A1478,'Daftar Koreksi'!$G$5:$G$92,"Aset Tetap Lainnya",'Daftar Koreksi'!$H$5:$H$92,"&lt;0")</f>
        <v>0</v>
      </c>
      <c r="G1486" s="17">
        <f t="shared" si="67"/>
        <v>19982320</v>
      </c>
      <c r="H1486" s="122"/>
    </row>
    <row r="1487" spans="1:8" ht="21.95" customHeight="1">
      <c r="A1487" s="14"/>
      <c r="B1487" s="14"/>
      <c r="C1487" s="16" t="s">
        <v>1171</v>
      </c>
      <c r="D1487" s="17">
        <f>VLOOKUP(A1478,'Neraca Unaudited SIMAK'!$A$2:$S$10004,9,FALSE)</f>
        <v>0</v>
      </c>
      <c r="E1487" s="25">
        <f>SUMIFS('Daftar Koreksi'!$H$5:$H$92,'Daftar Koreksi'!$D$5:$D$92,'0500'!A1478,'Daftar Koreksi'!$G$5:$G$92,"Kontruksi Dalam Pengerjaan",'Daftar Koreksi'!$H$5:$H$92,"&gt;0")</f>
        <v>0</v>
      </c>
      <c r="F1487" s="25">
        <f>SUMIFS('Daftar Koreksi'!$H$5:$H$92,'Daftar Koreksi'!$D$5:$D$92,'0500'!A1478,'Daftar Koreksi'!$G$5:$G$92,"Kontruksi Dalam Pengerjaan",'Daftar Koreksi'!$H$5:$H$92,"&lt;0")-SUMIFS('Daftar Koreksi'!$H$5:$H$92,'Daftar Koreksi'!$D$5:$D$92,'0500'!A1478,'Daftar Koreksi'!$G$5:$G$92,"Kontruksi Dalam Pengerjaan",'Daftar Koreksi'!$H$5:$H$92,"&lt;0")-SUMIFS('Daftar Koreksi'!$H$5:$H$92,'Daftar Koreksi'!$D$5:$D$92,'0500'!A1478,'Daftar Koreksi'!$G$5:$G$92,"Kontruksi Dalam Pengerjaan",'Daftar Koreksi'!$H$5:$H$92,"&lt;0")</f>
        <v>0</v>
      </c>
      <c r="G1487" s="17">
        <f t="shared" si="67"/>
        <v>0</v>
      </c>
      <c r="H1487" s="122"/>
    </row>
    <row r="1488" spans="1:8" ht="21.95" customHeight="1">
      <c r="A1488" s="14"/>
      <c r="B1488" s="14"/>
      <c r="C1488" s="16" t="s">
        <v>1172</v>
      </c>
      <c r="D1488" s="17">
        <f>VLOOKUP(A1478,'Neraca Unaudited SIMAK'!$A$2:$S$10004,10,FALSE)</f>
        <v>7000000</v>
      </c>
      <c r="E1488" s="25">
        <f>SUMIFS('Daftar Koreksi'!$H$5:$H$92,'Daftar Koreksi'!$D$5:$D$92,'0500'!A1478,'Daftar Koreksi'!$G$5:$G$92,"Aset Tak Berwujud",'Daftar Koreksi'!$H$5:$H$92,"&gt;0")</f>
        <v>0</v>
      </c>
      <c r="F1488" s="25">
        <f>SUMIFS('Daftar Koreksi'!$H$5:$H$92,'Daftar Koreksi'!$D$5:$D$92,'0500'!A1478,'Daftar Koreksi'!$G$5:$G$92,"Aset Tak Berwujud",'Daftar Koreksi'!$H$5:$H$92,"&lt;0")-SUMIFS('Daftar Koreksi'!$H$5:$H$92,'Daftar Koreksi'!$D$5:$D$92,'0500'!A1478,'Daftar Koreksi'!$G$5:$G$92,"Aset Tak Berwujud",'Daftar Koreksi'!$H$5:$H$92,"&lt;0")-SUMIFS('Daftar Koreksi'!$H$5:$H$92,'Daftar Koreksi'!$D$5:$D$92,'0500'!A1478,'Daftar Koreksi'!$G$5:$G$92,"Aset Tak Berwujud",'Daftar Koreksi'!$H$5:$H$92,"&lt;0")</f>
        <v>0</v>
      </c>
      <c r="G1488" s="17">
        <f t="shared" si="67"/>
        <v>7000000</v>
      </c>
      <c r="H1488" s="122"/>
    </row>
    <row r="1489" spans="1:8" ht="21.95" customHeight="1">
      <c r="A1489" s="14"/>
      <c r="B1489" s="14"/>
      <c r="C1489" s="16" t="s">
        <v>1173</v>
      </c>
      <c r="D1489" s="17">
        <f>VLOOKUP(A1478,'Neraca Unaudited SIMAK'!$A$2:$S$10004,11,FALSE)</f>
        <v>6954653</v>
      </c>
      <c r="E1489" s="25">
        <f>SUMIFS('Daftar Koreksi'!$H$5:$H$92,'Daftar Koreksi'!$D$5:$D$92,'0500'!A1478,'Daftar Koreksi'!$G$5:$G$92,"Aset Henti Guna",'Daftar Koreksi'!$H$5:$H$92,"&gt;0")</f>
        <v>0</v>
      </c>
      <c r="F1489" s="25">
        <f>SUMIFS('Daftar Koreksi'!$H$5:$H$92,'Daftar Koreksi'!$D$5:$D$92,'0500'!A1478,'Daftar Koreksi'!$G$5:$G$92,"Aset Henti Guna",'Daftar Koreksi'!$H$5:$H$92,"&lt;0")-SUMIFS('Daftar Koreksi'!$H$5:$H$92,'Daftar Koreksi'!$D$5:$D$92,'0500'!A1478,'Daftar Koreksi'!$G$5:$G$92,"Aset Henti Guna",'Daftar Koreksi'!$H$5:$H$92,"&lt;0")-SUMIFS('Daftar Koreksi'!$H$5:$H$92,'Daftar Koreksi'!$D$5:$D$92,'0500'!A1478,'Daftar Koreksi'!$G$5:$G$92,"Aset Henti Guna",'Daftar Koreksi'!$H$5:$H$92,"&lt;0")</f>
        <v>0</v>
      </c>
      <c r="G1489" s="17">
        <f t="shared" si="67"/>
        <v>6954653</v>
      </c>
      <c r="H1489" s="122"/>
    </row>
    <row r="1490" spans="1:8" ht="21.95" customHeight="1">
      <c r="A1490" s="14"/>
      <c r="B1490" s="14"/>
      <c r="C1490" s="18" t="s">
        <v>2093</v>
      </c>
      <c r="D1490" s="19">
        <f>VLOOKUP(A1478,'Neraca Unaudited SIMAK'!$A$2:$S$10004,12,FALSE)</f>
        <v>12789637746</v>
      </c>
      <c r="E1490" s="19">
        <f>SUM(E1481:E1489)</f>
        <v>0</v>
      </c>
      <c r="F1490" s="19">
        <f>SUM(F1481:F1489)</f>
        <v>0</v>
      </c>
      <c r="G1490" s="19">
        <f t="shared" si="67"/>
        <v>12789637746</v>
      </c>
      <c r="H1490" s="122"/>
    </row>
    <row r="1491" spans="1:8" ht="21.95" customHeight="1">
      <c r="A1491" s="14"/>
      <c r="B1491" s="14"/>
      <c r="C1491" s="16" t="s">
        <v>2087</v>
      </c>
      <c r="D1491" s="17">
        <f>VLOOKUP(A1478,'Neraca Unaudited SIMAK'!$A$2:$S$10004,13,FALSE)</f>
        <v>-1360135246</v>
      </c>
      <c r="E1491" s="25">
        <f>SUMIFS('Daftar Koreksi'!$I$5:$I$92,'Daftar Koreksi'!$D$5:$D$92,'0500'!A1478,'Daftar Koreksi'!$G$5:$G$92,"Peralatan dan mesin",'Daftar Koreksi'!$I$5:$I$92,"&gt;0")</f>
        <v>0</v>
      </c>
      <c r="F1491" s="25">
        <f>SUMIFS('Daftar Koreksi'!$I$5:$I$92,'Daftar Koreksi'!$D$5:$D$92,'0500'!A1478,'Daftar Koreksi'!$G$5:$G$92,"Peralatan dan mesin",'Daftar Koreksi'!$I$5:$I$92,"&lt;0")-SUMIFS('Daftar Koreksi'!$I$5:$I$92,'Daftar Koreksi'!$D$5:$D$92,'0500'!A1478,'Daftar Koreksi'!$G$5:$G$92,"Peralatan dan mesin",'Daftar Koreksi'!$I$5:$I$92,"&lt;0")-SUMIFS('Daftar Koreksi'!$I$5:$I$92,'Daftar Koreksi'!$D$5:$D$92,'0500'!A1478,'Daftar Koreksi'!$G$5:$G$92,"Peralatan dan mesin",'Daftar Koreksi'!$I$5:$I$92,"&lt;0")</f>
        <v>0</v>
      </c>
      <c r="G1491" s="17">
        <f t="shared" si="67"/>
        <v>-1360135246</v>
      </c>
      <c r="H1491" s="122"/>
    </row>
    <row r="1492" spans="1:8" ht="21.95" customHeight="1">
      <c r="A1492" s="14"/>
      <c r="B1492" s="14"/>
      <c r="C1492" s="16" t="s">
        <v>2088</v>
      </c>
      <c r="D1492" s="17">
        <f>VLOOKUP(A1478,'Neraca Unaudited SIMAK'!$A$2:$S$10004,14,FALSE)</f>
        <v>-1053867338</v>
      </c>
      <c r="E1492" s="25">
        <f>SUMIFS('Daftar Koreksi'!$I$5:$I$92,'Daftar Koreksi'!$D$5:$D$92,'0500'!A1478,'Daftar Koreksi'!$G$5:$G$92,"Gedung dan Bangunan",'Daftar Koreksi'!$I$5:$I$92,"&gt;0")</f>
        <v>0</v>
      </c>
      <c r="F1492" s="25">
        <f>SUMIFS('Daftar Koreksi'!$I$5:$I$92,'Daftar Koreksi'!$D$5:$D$92,'0500'!A1478,'Daftar Koreksi'!$G$5:$G$92,"Gedung dan Bangunan",'Daftar Koreksi'!$I$5:$I$92,"&lt;0")-SUMIFS('Daftar Koreksi'!$I$5:$I$92,'Daftar Koreksi'!$D$5:$D$92,'0500'!A1478,'Daftar Koreksi'!$G$5:$G$92,"Gedung dan Bangunan",'Daftar Koreksi'!$I$5:$I$92,"&lt;0")-SUMIFS('Daftar Koreksi'!$I$5:$I$92,'Daftar Koreksi'!$D$5:$D$92,'0500'!A1478,'Daftar Koreksi'!$G$5:$G$92,"Gedung dan Bangunan",'Daftar Koreksi'!$I$5:$I$92,"&lt;0")</f>
        <v>0</v>
      </c>
      <c r="G1492" s="17">
        <f t="shared" si="67"/>
        <v>-1053867338</v>
      </c>
      <c r="H1492" s="122"/>
    </row>
    <row r="1493" spans="1:8" ht="21.95" customHeight="1">
      <c r="A1493" s="14"/>
      <c r="B1493" s="14"/>
      <c r="C1493" s="16" t="s">
        <v>2089</v>
      </c>
      <c r="D1493" s="17">
        <f>VLOOKUP(A1478,'Neraca Unaudited SIMAK'!$A$2:$S$10004,15,FALSE)</f>
        <v>0</v>
      </c>
      <c r="E1493" s="25">
        <f>SUMIFS('Daftar Koreksi'!$I$5:$I$92,'Daftar Koreksi'!$D$5:$D$92,'0500'!A1478,'Daftar Koreksi'!$G$5:$G$92,"Jalan Irigasi Jaringan",'Daftar Koreksi'!$I$5:$I$92,"&gt;0")</f>
        <v>0</v>
      </c>
      <c r="F1493" s="25">
        <f>SUMIFS('Daftar Koreksi'!$I$5:$I$92,'Daftar Koreksi'!$D$5:$D$92,'0500'!A1478,'Daftar Koreksi'!$G$5:$G$92,"Jalan Irigasi Jaringan",'Daftar Koreksi'!$I$5:$I$92,"&lt;0")-SUMIFS('Daftar Koreksi'!$I$5:$I$92,'Daftar Koreksi'!$D$5:$D$92,'0500'!A1478,'Daftar Koreksi'!$G$5:$G$92,"Jalan Irigasi Jaringan",'Daftar Koreksi'!$I$5:$I$92,"&lt;0")-SUMIFS('Daftar Koreksi'!$I$5:$I$92,'Daftar Koreksi'!$D$5:$D$92,'0500'!A1478,'Daftar Koreksi'!$G$5:$G$92,"Jalan Irigasi Jaringan",'Daftar Koreksi'!$I$5:$I$92,"&lt;0")</f>
        <v>0</v>
      </c>
      <c r="G1493" s="17">
        <f t="shared" si="67"/>
        <v>0</v>
      </c>
      <c r="H1493" s="122"/>
    </row>
    <row r="1494" spans="1:8" ht="21.95" customHeight="1">
      <c r="A1494" s="14"/>
      <c r="B1494" s="14"/>
      <c r="C1494" s="16" t="s">
        <v>2090</v>
      </c>
      <c r="D1494" s="17">
        <f>VLOOKUP(A1478,'Neraca Unaudited SIMAK'!$A$2:$S$10004,16,FALSE)</f>
        <v>0</v>
      </c>
      <c r="E1494" s="25">
        <f>SUMIFS('Daftar Koreksi'!$I$5:$I$92,'Daftar Koreksi'!$D$5:$D$92,'0500'!A1478,'Daftar Koreksi'!$G$5:$G$92,"Aset Tetap Lainnya",'Daftar Koreksi'!$I$5:$I$92,"&gt;0")</f>
        <v>0</v>
      </c>
      <c r="F1494" s="25">
        <f>SUMIFS('Daftar Koreksi'!$I$5:$I$92,'Daftar Koreksi'!$D$5:$D$92,'0500'!A1478,'Daftar Koreksi'!$G$5:$G$92,"Aset Tetap Lainnya",'Daftar Koreksi'!$I$5:$I$92,"&lt;0")-SUMIFS('Daftar Koreksi'!$I$5:$I$92,'Daftar Koreksi'!$D$5:$D$92,'0500'!A1478,'Daftar Koreksi'!$G$5:$G$92,"Aset Tetap Lainnya",'Daftar Koreksi'!$I$5:$I$92,"&lt;0")-SUMIFS('Daftar Koreksi'!$I$5:$I$92,'Daftar Koreksi'!$D$5:$D$92,'0500'!A1478,'Daftar Koreksi'!$G$5:$G$92,"Aset Tetap Lainnya",'Daftar Koreksi'!$I$5:$I$92,"&lt;0")</f>
        <v>0</v>
      </c>
      <c r="G1494" s="17">
        <f t="shared" si="67"/>
        <v>0</v>
      </c>
      <c r="H1494" s="122"/>
    </row>
    <row r="1495" spans="1:8" ht="21.95" customHeight="1">
      <c r="A1495" s="14"/>
      <c r="B1495" s="14"/>
      <c r="C1495" s="16" t="s">
        <v>2020</v>
      </c>
      <c r="D1495" s="17">
        <f>VLOOKUP(A1478,'Neraca Unaudited SIMAK'!$A$2:$S$10004,17,FALSE)</f>
        <v>-6954653</v>
      </c>
      <c r="E1495" s="25">
        <f>SUMIFS('Daftar Koreksi'!$I$5:$I$92,'Daftar Koreksi'!$D$5:$D$92,'0500'!A1478,'Daftar Koreksi'!$G$5:$G$92,"Aset Henti Guna",'Daftar Koreksi'!$I$5:$I$92,"&gt;0")</f>
        <v>0</v>
      </c>
      <c r="F1495" s="25">
        <f>SUMIFS('Daftar Koreksi'!$I$5:$I$92,'Daftar Koreksi'!$D$5:$D$92,'0500'!A1478,'Daftar Koreksi'!$G$5:$G$92,"Aset Henti Guna",'Daftar Koreksi'!$I$5:$I$92,"&lt;0")-SUMIFS('Daftar Koreksi'!$I$5:$I$92,'Daftar Koreksi'!$D$5:$D$92,'0500'!A1478,'Daftar Koreksi'!$G$5:$G$92,"Aset Henti Guna",'Daftar Koreksi'!$I$5:$I$92,"&lt;0")-SUMIFS('Daftar Koreksi'!$I$5:$I$92,'Daftar Koreksi'!$D$5:$D$92,'0500'!A1478,'Daftar Koreksi'!$G$5:$G$92,"Aset Henti Guna",'Daftar Koreksi'!$I$5:$I$92,"&lt;0")</f>
        <v>0</v>
      </c>
      <c r="G1495" s="17">
        <f t="shared" si="67"/>
        <v>-6954653</v>
      </c>
      <c r="H1495" s="122"/>
    </row>
    <row r="1496" spans="1:8" ht="21.95" customHeight="1">
      <c r="A1496" s="14"/>
      <c r="B1496" s="14"/>
      <c r="C1496" s="18" t="s">
        <v>2094</v>
      </c>
      <c r="D1496" s="19">
        <f>SUM(D1491:D1495)</f>
        <v>-2420957237</v>
      </c>
      <c r="E1496" s="19">
        <f>SUM(E1491:E1495)</f>
        <v>0</v>
      </c>
      <c r="F1496" s="19">
        <f>SUM(F1491:F1495)</f>
        <v>0</v>
      </c>
      <c r="G1496" s="19">
        <f t="shared" si="67"/>
        <v>-2420957237</v>
      </c>
      <c r="H1496" s="122"/>
    </row>
    <row r="1497" spans="1:8" ht="21.95" customHeight="1">
      <c r="A1497" s="14"/>
      <c r="B1497" s="14"/>
      <c r="C1497" s="18" t="s">
        <v>2095</v>
      </c>
      <c r="D1497" s="19">
        <f>VLOOKUP(A1478,'Neraca Unaudited SIMAK'!$A$2:$S$10004,18,FALSE)</f>
        <v>10368680509</v>
      </c>
      <c r="E1497" s="19">
        <f>E1496+E1490</f>
        <v>0</v>
      </c>
      <c r="F1497" s="19">
        <f>F1496+F1490</f>
        <v>0</v>
      </c>
      <c r="G1497" s="19">
        <f t="shared" si="67"/>
        <v>10368680509</v>
      </c>
      <c r="H1497" s="122"/>
    </row>
    <row r="1498" spans="1:8" ht="21.95" customHeight="1">
      <c r="A1498" s="14"/>
      <c r="B1498" s="14"/>
      <c r="C1498" s="16" t="s">
        <v>2091</v>
      </c>
      <c r="D1498" s="17">
        <f>VLOOKUP(A1478,'Neraca Unaudited SIMAK'!$A$2:$S$10004,19,FALSE)</f>
        <v>0</v>
      </c>
      <c r="E1498" s="25"/>
      <c r="F1498" s="25"/>
      <c r="G1498" s="17">
        <f t="shared" si="67"/>
        <v>0</v>
      </c>
      <c r="H1498" s="123"/>
    </row>
    <row r="1500" spans="1:8" ht="19.5" customHeight="1">
      <c r="A1500" s="11" t="str">
        <f>O69</f>
        <v>005010500401576000KD</v>
      </c>
      <c r="B1500" s="11" t="str">
        <f>P69</f>
        <v>PA. Kangean</v>
      </c>
      <c r="C1500" s="12" t="str">
        <f>A1500&amp;" "&amp;B1500</f>
        <v>005010500401576000KD PA. Kangean</v>
      </c>
      <c r="D1500" s="13"/>
      <c r="E1500" s="13"/>
      <c r="F1500" s="13"/>
      <c r="G1500" s="13"/>
      <c r="H1500" s="11"/>
    </row>
    <row r="1501" spans="1:8" ht="21.95" customHeight="1">
      <c r="A1501" s="14"/>
      <c r="B1501" s="14"/>
      <c r="C1501" s="124" t="s">
        <v>1982</v>
      </c>
      <c r="D1501" s="126" t="s">
        <v>1983</v>
      </c>
      <c r="E1501" s="132" t="s">
        <v>1984</v>
      </c>
      <c r="F1501" s="132"/>
      <c r="G1501" s="126" t="s">
        <v>1987</v>
      </c>
      <c r="H1501" s="130" t="s">
        <v>1175</v>
      </c>
    </row>
    <row r="1502" spans="1:8" ht="21.95" customHeight="1">
      <c r="A1502" s="14"/>
      <c r="B1502" s="14"/>
      <c r="C1502" s="125"/>
      <c r="D1502" s="127"/>
      <c r="E1502" s="26" t="s">
        <v>1985</v>
      </c>
      <c r="F1502" s="26" t="s">
        <v>1986</v>
      </c>
      <c r="G1502" s="127"/>
      <c r="H1502" s="131"/>
    </row>
    <row r="1503" spans="1:8" ht="21.95" customHeight="1">
      <c r="A1503" s="14"/>
      <c r="B1503" s="14"/>
      <c r="C1503" s="16" t="s">
        <v>1165</v>
      </c>
      <c r="D1503" s="17">
        <f>VLOOKUP(A1500,'Neraca Unaudited SIMAK'!$A$2:$S$10004,3,FALSE)</f>
        <v>5197200</v>
      </c>
      <c r="E1503" s="25">
        <f>SUMIFS('Daftar Koreksi'!$H$5:$H$92,'Daftar Koreksi'!$D$5:$D$92,'0500'!A1500,'Daftar Koreksi'!$G$5:$G$92,"Persediaan",'Daftar Koreksi'!$H$5:$H$92,"&gt;0")</f>
        <v>0</v>
      </c>
      <c r="F1503" s="25">
        <f>SUMIFS('Daftar Koreksi'!$H$5:$H$92,'Daftar Koreksi'!$D$5:$D$92,'0500'!A1500,'Daftar Koreksi'!$G$5:$G$92,"Persediaan",'Daftar Koreksi'!$H$5:$H$92,"&lt;0")-SUMIFS('Daftar Koreksi'!$H$5:$H$92,'Daftar Koreksi'!$D$5:$D$92,'0500'!A1500,'Daftar Koreksi'!$G$5:$G$92,"Persediaan",'Daftar Koreksi'!$H$5:$H$92,"&lt;0")-SUMIFS('Daftar Koreksi'!$H$5:$H$92,'Daftar Koreksi'!$D$5:$D$92,'0500'!A1500,'Daftar Koreksi'!$G$5:$G$92,"Persediaan",'Daftar Koreksi'!$H$5:$H$92,"&lt;0")</f>
        <v>0</v>
      </c>
      <c r="G1503" s="17">
        <f>D1503+E1503-F1503</f>
        <v>5197200</v>
      </c>
      <c r="H1503" s="121" t="str">
        <f>IF(ISNA(VLOOKUP(A1500,'Mutasi Neraca'!$A$3:$S$914,19,FALSE)),"-",VLOOKUP(A1500,'Mutasi Neraca'!$A$3:$S$914,19,FALSE))</f>
        <v>-</v>
      </c>
    </row>
    <row r="1504" spans="1:8" ht="21.95" customHeight="1">
      <c r="A1504" s="14"/>
      <c r="B1504" s="14"/>
      <c r="C1504" s="16" t="s">
        <v>1166</v>
      </c>
      <c r="D1504" s="17">
        <f>VLOOKUP(A1500,'Neraca Unaudited SIMAK'!$A$2:$S$10004,4,FALSE)</f>
        <v>1303245090</v>
      </c>
      <c r="E1504" s="25">
        <f>SUMIFS('Daftar Koreksi'!$H$5:$H$92,'Daftar Koreksi'!$D$5:$D$92,'0500'!A1500,'Daftar Koreksi'!$G$5:$G$92,"Tanah",'Daftar Koreksi'!$H$5:$H$92,"&gt;0")</f>
        <v>0</v>
      </c>
      <c r="F1504" s="25">
        <f>SUMIFS('Daftar Koreksi'!$H$5:$H$92,'Daftar Koreksi'!$D$5:$D$92,'0500'!A1500,'Daftar Koreksi'!$G$5:$G$92,"Tanah",'Daftar Koreksi'!$H$5:$H$92,"&lt;0")-SUMIFS('Daftar Koreksi'!$H$5:$H$92,'Daftar Koreksi'!$D$5:$D$92,'0500'!A1500,'Daftar Koreksi'!$G$5:$G$92,"Tanah",'Daftar Koreksi'!$H$5:$H$92,"&lt;0")-SUMIFS('Daftar Koreksi'!$H$5:$H$92,'Daftar Koreksi'!$D$5:$D$92,'0500'!A1500,'Daftar Koreksi'!$G$5:$G$92,"Tanah",'Daftar Koreksi'!$H$5:$H$92,"&lt;0")</f>
        <v>0</v>
      </c>
      <c r="G1504" s="17">
        <f t="shared" ref="G1504:G1520" si="68">D1504+E1504-F1504</f>
        <v>1303245090</v>
      </c>
      <c r="H1504" s="122"/>
    </row>
    <row r="1505" spans="1:8" ht="21.95" customHeight="1">
      <c r="A1505" s="14"/>
      <c r="B1505" s="14"/>
      <c r="C1505" s="16" t="s">
        <v>1167</v>
      </c>
      <c r="D1505" s="17">
        <f>VLOOKUP(A1500,'Neraca Unaudited SIMAK'!$A$2:$S$10004,5,FALSE)</f>
        <v>1060431937</v>
      </c>
      <c r="E1505" s="25">
        <f>SUMIFS('Daftar Koreksi'!$H$5:$H$92,'Daftar Koreksi'!$D$5:$D$92,'0500'!A1500,'Daftar Koreksi'!$G$5:$G$92,"Peralatan dan mesin",'Daftar Koreksi'!$H$5:$H$92,"&gt;0")</f>
        <v>0</v>
      </c>
      <c r="F1505" s="25">
        <f>SUMIFS('Daftar Koreksi'!$H$5:$H$92,'Daftar Koreksi'!$D$5:$D$92,'0500'!A1500,'Daftar Koreksi'!$G$5:$G$92,"Peralatan dan mesin",'Daftar Koreksi'!$H$5:$H$92,"&lt;0")-SUMIFS('Daftar Koreksi'!$H$5:$H$92,'Daftar Koreksi'!$D$5:$D$92,'0500'!A1500,'Daftar Koreksi'!$G$5:$G$92,"Peralatan dan mesin",'Daftar Koreksi'!$H$5:$H$92,"&lt;0")-SUMIFS('Daftar Koreksi'!$H$5:$H$92,'Daftar Koreksi'!$D$5:$D$92,'0500'!A1500,'Daftar Koreksi'!$G$5:$G$92,"Peralatan dan mesin",'Daftar Koreksi'!$H$5:$H$92,"&lt;0")</f>
        <v>0</v>
      </c>
      <c r="G1505" s="17">
        <f t="shared" si="68"/>
        <v>1060431937</v>
      </c>
      <c r="H1505" s="122"/>
    </row>
    <row r="1506" spans="1:8" ht="21.95" customHeight="1">
      <c r="A1506" s="14"/>
      <c r="B1506" s="14"/>
      <c r="C1506" s="16" t="s">
        <v>1168</v>
      </c>
      <c r="D1506" s="17">
        <f>VLOOKUP(A1500,'Neraca Unaudited SIMAK'!$A$2:$S$10004,6,FALSE)</f>
        <v>428955070</v>
      </c>
      <c r="E1506" s="25">
        <f>SUMIFS('Daftar Koreksi'!$H$5:$H$92,'Daftar Koreksi'!$D$5:$D$92,'0500'!A1500,'Daftar Koreksi'!$G$5:$G$92,"Gedung dan Bangunan",'Daftar Koreksi'!$H$5:$H$92,"&gt;0")</f>
        <v>0</v>
      </c>
      <c r="F1506" s="25">
        <f>SUMIFS('Daftar Koreksi'!$H$5:$H$92,'Daftar Koreksi'!$D$5:$D$92,'0500'!A1500,'Daftar Koreksi'!$G$5:$G$92,"Gedung dan Bangunan",'Daftar Koreksi'!$H$5:$H$92,"&lt;0")-SUMIFS('Daftar Koreksi'!$H$5:$H$92,'Daftar Koreksi'!$D$5:$D$92,'0500'!A1500,'Daftar Koreksi'!$G$5:$G$92,"Gedung dan Bangunan",'Daftar Koreksi'!$H$5:$H$92,"&lt;0")-SUMIFS('Daftar Koreksi'!$H$5:$H$92,'Daftar Koreksi'!$D$5:$D$92,'0500'!A1500,'Daftar Koreksi'!$G$5:$G$92,"Gedung dan Bangunan",'Daftar Koreksi'!$H$5:$H$92,"&lt;0")</f>
        <v>0</v>
      </c>
      <c r="G1506" s="17">
        <f t="shared" si="68"/>
        <v>428955070</v>
      </c>
      <c r="H1506" s="122"/>
    </row>
    <row r="1507" spans="1:8" ht="21.95" customHeight="1">
      <c r="A1507" s="14"/>
      <c r="B1507" s="14"/>
      <c r="C1507" s="16" t="s">
        <v>1169</v>
      </c>
      <c r="D1507" s="17">
        <f>VLOOKUP(A1500,'Neraca Unaudited SIMAK'!$A$2:$S$10004,7,FALSE)</f>
        <v>0</v>
      </c>
      <c r="E1507" s="25">
        <f>SUMIFS('Daftar Koreksi'!$H$5:$H$92,'Daftar Koreksi'!$D$5:$D$92,'0500'!A1500,'Daftar Koreksi'!$G$5:$G$92,"Jalan Irigasi Jaringan",'Daftar Koreksi'!$H$5:$H$92,"&gt;0")</f>
        <v>0</v>
      </c>
      <c r="F1507" s="25">
        <f>SUMIFS('Daftar Koreksi'!$H$5:$H$92,'Daftar Koreksi'!$D$5:$D$92,'0500'!A1500,'Daftar Koreksi'!$G$5:$G$92,"Jalan Irigasi Jaringan",'Daftar Koreksi'!$H$5:$H$92,"&lt;0")-SUMIFS('Daftar Koreksi'!$H$5:$H$92,'Daftar Koreksi'!$D$5:$D$92,'0500'!A1500,'Daftar Koreksi'!$G$5:$G$92,"Jalan Irigasi Jaringan",'Daftar Koreksi'!$H$5:$H$92,"&lt;0")-SUMIFS('Daftar Koreksi'!$H$5:$H$92,'Daftar Koreksi'!$D$5:$D$92,'0500'!A1500,'Daftar Koreksi'!$G$5:$G$92,"Jalan Irigasi Jaringan",'Daftar Koreksi'!$H$5:$H$92,"&lt;0")</f>
        <v>0</v>
      </c>
      <c r="G1507" s="17">
        <f t="shared" si="68"/>
        <v>0</v>
      </c>
      <c r="H1507" s="122"/>
    </row>
    <row r="1508" spans="1:8" ht="21.95" customHeight="1">
      <c r="A1508" s="14"/>
      <c r="B1508" s="14"/>
      <c r="C1508" s="16" t="s">
        <v>1170</v>
      </c>
      <c r="D1508" s="17">
        <f>VLOOKUP(A1500,'Neraca Unaudited SIMAK'!$A$2:$S$10004,8,FALSE)</f>
        <v>1602920</v>
      </c>
      <c r="E1508" s="25">
        <f>SUMIFS('Daftar Koreksi'!$H$5:$H$92,'Daftar Koreksi'!$D$5:$D$92,'0500'!A1500,'Daftar Koreksi'!$G$5:$G$92,"Aset Tetap Lainnya",'Daftar Koreksi'!$H$5:$H$92,"&gt;0")</f>
        <v>0</v>
      </c>
      <c r="F1508" s="25">
        <f>SUMIFS('Daftar Koreksi'!$H$5:$H$92,'Daftar Koreksi'!$D$5:$D$92,'0500'!A1500,'Daftar Koreksi'!$G$5:$G$92,"Aset Tetap Lainnya",'Daftar Koreksi'!$H$5:$H$92,"&lt;0")-SUMIFS('Daftar Koreksi'!$H$5:$H$92,'Daftar Koreksi'!$D$5:$D$92,'0500'!A1500,'Daftar Koreksi'!$G$5:$G$92,"Aset Tetap Lainnya",'Daftar Koreksi'!$H$5:$H$92,"&lt;0")-SUMIFS('Daftar Koreksi'!$H$5:$H$92,'Daftar Koreksi'!$D$5:$D$92,'0500'!A1500,'Daftar Koreksi'!$G$5:$G$92,"Aset Tetap Lainnya",'Daftar Koreksi'!$H$5:$H$92,"&lt;0")</f>
        <v>0</v>
      </c>
      <c r="G1508" s="17">
        <f t="shared" si="68"/>
        <v>1602920</v>
      </c>
      <c r="H1508" s="122"/>
    </row>
    <row r="1509" spans="1:8" ht="21.95" customHeight="1">
      <c r="A1509" s="14"/>
      <c r="B1509" s="14"/>
      <c r="C1509" s="16" t="s">
        <v>1171</v>
      </c>
      <c r="D1509" s="17">
        <f>VLOOKUP(A1500,'Neraca Unaudited SIMAK'!$A$2:$S$10004,9,FALSE)</f>
        <v>0</v>
      </c>
      <c r="E1509" s="25">
        <f>SUMIFS('Daftar Koreksi'!$H$5:$H$92,'Daftar Koreksi'!$D$5:$D$92,'0500'!A1500,'Daftar Koreksi'!$G$5:$G$92,"Kontruksi Dalam Pengerjaan",'Daftar Koreksi'!$H$5:$H$92,"&gt;0")</f>
        <v>0</v>
      </c>
      <c r="F1509" s="25">
        <f>SUMIFS('Daftar Koreksi'!$H$5:$H$92,'Daftar Koreksi'!$D$5:$D$92,'0500'!A1500,'Daftar Koreksi'!$G$5:$G$92,"Kontruksi Dalam Pengerjaan",'Daftar Koreksi'!$H$5:$H$92,"&lt;0")-SUMIFS('Daftar Koreksi'!$H$5:$H$92,'Daftar Koreksi'!$D$5:$D$92,'0500'!A1500,'Daftar Koreksi'!$G$5:$G$92,"Kontruksi Dalam Pengerjaan",'Daftar Koreksi'!$H$5:$H$92,"&lt;0")-SUMIFS('Daftar Koreksi'!$H$5:$H$92,'Daftar Koreksi'!$D$5:$D$92,'0500'!A1500,'Daftar Koreksi'!$G$5:$G$92,"Kontruksi Dalam Pengerjaan",'Daftar Koreksi'!$H$5:$H$92,"&lt;0")</f>
        <v>0</v>
      </c>
      <c r="G1509" s="17">
        <f t="shared" si="68"/>
        <v>0</v>
      </c>
      <c r="H1509" s="122"/>
    </row>
    <row r="1510" spans="1:8" ht="21.95" customHeight="1">
      <c r="A1510" s="14"/>
      <c r="B1510" s="14"/>
      <c r="C1510" s="16" t="s">
        <v>1172</v>
      </c>
      <c r="D1510" s="17">
        <f>VLOOKUP(A1500,'Neraca Unaudited SIMAK'!$A$2:$S$10004,10,FALSE)</f>
        <v>29200000</v>
      </c>
      <c r="E1510" s="25">
        <f>SUMIFS('Daftar Koreksi'!$H$5:$H$92,'Daftar Koreksi'!$D$5:$D$92,'0500'!A1500,'Daftar Koreksi'!$G$5:$G$92,"Aset Tak Berwujud",'Daftar Koreksi'!$H$5:$H$92,"&gt;0")</f>
        <v>0</v>
      </c>
      <c r="F1510" s="25">
        <f>SUMIFS('Daftar Koreksi'!$H$5:$H$92,'Daftar Koreksi'!$D$5:$D$92,'0500'!A1500,'Daftar Koreksi'!$G$5:$G$92,"Aset Tak Berwujud",'Daftar Koreksi'!$H$5:$H$92,"&lt;0")-SUMIFS('Daftar Koreksi'!$H$5:$H$92,'Daftar Koreksi'!$D$5:$D$92,'0500'!A1500,'Daftar Koreksi'!$G$5:$G$92,"Aset Tak Berwujud",'Daftar Koreksi'!$H$5:$H$92,"&lt;0")-SUMIFS('Daftar Koreksi'!$H$5:$H$92,'Daftar Koreksi'!$D$5:$D$92,'0500'!A1500,'Daftar Koreksi'!$G$5:$G$92,"Aset Tak Berwujud",'Daftar Koreksi'!$H$5:$H$92,"&lt;0")</f>
        <v>0</v>
      </c>
      <c r="G1510" s="17">
        <f t="shared" si="68"/>
        <v>29200000</v>
      </c>
      <c r="H1510" s="122"/>
    </row>
    <row r="1511" spans="1:8" ht="21.95" customHeight="1">
      <c r="A1511" s="14"/>
      <c r="B1511" s="14"/>
      <c r="C1511" s="16" t="s">
        <v>1173</v>
      </c>
      <c r="D1511" s="17">
        <f>VLOOKUP(A1500,'Neraca Unaudited SIMAK'!$A$2:$S$10004,11,FALSE)</f>
        <v>0</v>
      </c>
      <c r="E1511" s="25">
        <f>SUMIFS('Daftar Koreksi'!$H$5:$H$92,'Daftar Koreksi'!$D$5:$D$92,'0500'!A1500,'Daftar Koreksi'!$G$5:$G$92,"Aset Henti Guna",'Daftar Koreksi'!$H$5:$H$92,"&gt;0")</f>
        <v>0</v>
      </c>
      <c r="F1511" s="25">
        <f>SUMIFS('Daftar Koreksi'!$H$5:$H$92,'Daftar Koreksi'!$D$5:$D$92,'0500'!A1500,'Daftar Koreksi'!$G$5:$G$92,"Aset Henti Guna",'Daftar Koreksi'!$H$5:$H$92,"&lt;0")-SUMIFS('Daftar Koreksi'!$H$5:$H$92,'Daftar Koreksi'!$D$5:$D$92,'0500'!A1500,'Daftar Koreksi'!$G$5:$G$92,"Aset Henti Guna",'Daftar Koreksi'!$H$5:$H$92,"&lt;0")-SUMIFS('Daftar Koreksi'!$H$5:$H$92,'Daftar Koreksi'!$D$5:$D$92,'0500'!A1500,'Daftar Koreksi'!$G$5:$G$92,"Aset Henti Guna",'Daftar Koreksi'!$H$5:$H$92,"&lt;0")</f>
        <v>0</v>
      </c>
      <c r="G1511" s="17">
        <f t="shared" si="68"/>
        <v>0</v>
      </c>
      <c r="H1511" s="122"/>
    </row>
    <row r="1512" spans="1:8" ht="21.95" customHeight="1">
      <c r="A1512" s="14"/>
      <c r="B1512" s="14"/>
      <c r="C1512" s="18" t="s">
        <v>2093</v>
      </c>
      <c r="D1512" s="19">
        <f>VLOOKUP(A1500,'Neraca Unaudited SIMAK'!$A$2:$S$10004,12,FALSE)</f>
        <v>2828632217</v>
      </c>
      <c r="E1512" s="19">
        <f>SUM(E1503:E1511)</f>
        <v>0</v>
      </c>
      <c r="F1512" s="19">
        <f>SUM(F1503:F1511)</f>
        <v>0</v>
      </c>
      <c r="G1512" s="19">
        <f t="shared" si="68"/>
        <v>2828632217</v>
      </c>
      <c r="H1512" s="122"/>
    </row>
    <row r="1513" spans="1:8" ht="21.95" customHeight="1">
      <c r="A1513" s="14"/>
      <c r="B1513" s="14"/>
      <c r="C1513" s="16" t="s">
        <v>2087</v>
      </c>
      <c r="D1513" s="17">
        <f>VLOOKUP(A1500,'Neraca Unaudited SIMAK'!$A$2:$S$10004,13,FALSE)</f>
        <v>-841430007</v>
      </c>
      <c r="E1513" s="25">
        <f>SUMIFS('Daftar Koreksi'!$I$5:$I$92,'Daftar Koreksi'!$D$5:$D$92,'0500'!A1500,'Daftar Koreksi'!$G$5:$G$92,"Peralatan dan mesin",'Daftar Koreksi'!$I$5:$I$92,"&gt;0")</f>
        <v>0</v>
      </c>
      <c r="F1513" s="25">
        <f>SUMIFS('Daftar Koreksi'!$I$5:$I$92,'Daftar Koreksi'!$D$5:$D$92,'0500'!A1500,'Daftar Koreksi'!$G$5:$G$92,"Peralatan dan mesin",'Daftar Koreksi'!$I$5:$I$92,"&lt;0")-SUMIFS('Daftar Koreksi'!$I$5:$I$92,'Daftar Koreksi'!$D$5:$D$92,'0500'!A1500,'Daftar Koreksi'!$G$5:$G$92,"Peralatan dan mesin",'Daftar Koreksi'!$I$5:$I$92,"&lt;0")-SUMIFS('Daftar Koreksi'!$I$5:$I$92,'Daftar Koreksi'!$D$5:$D$92,'0500'!A1500,'Daftar Koreksi'!$G$5:$G$92,"Peralatan dan mesin",'Daftar Koreksi'!$I$5:$I$92,"&lt;0")</f>
        <v>0</v>
      </c>
      <c r="G1513" s="17">
        <f t="shared" si="68"/>
        <v>-841430007</v>
      </c>
      <c r="H1513" s="122"/>
    </row>
    <row r="1514" spans="1:8" ht="21.95" customHeight="1">
      <c r="A1514" s="14"/>
      <c r="B1514" s="14"/>
      <c r="C1514" s="16" t="s">
        <v>2088</v>
      </c>
      <c r="D1514" s="17">
        <f>VLOOKUP(A1500,'Neraca Unaudited SIMAK'!$A$2:$S$10004,14,FALSE)</f>
        <v>-304732750</v>
      </c>
      <c r="E1514" s="25">
        <f>SUMIFS('Daftar Koreksi'!$I$5:$I$92,'Daftar Koreksi'!$D$5:$D$92,'0500'!A1500,'Daftar Koreksi'!$G$5:$G$92,"Gedung dan Bangunan",'Daftar Koreksi'!$I$5:$I$92,"&gt;0")</f>
        <v>0</v>
      </c>
      <c r="F1514" s="25">
        <f>SUMIFS('Daftar Koreksi'!$I$5:$I$92,'Daftar Koreksi'!$D$5:$D$92,'0500'!A1500,'Daftar Koreksi'!$G$5:$G$92,"Gedung dan Bangunan",'Daftar Koreksi'!$I$5:$I$92,"&lt;0")-SUMIFS('Daftar Koreksi'!$I$5:$I$92,'Daftar Koreksi'!$D$5:$D$92,'0500'!A1500,'Daftar Koreksi'!$G$5:$G$92,"Gedung dan Bangunan",'Daftar Koreksi'!$I$5:$I$92,"&lt;0")-SUMIFS('Daftar Koreksi'!$I$5:$I$92,'Daftar Koreksi'!$D$5:$D$92,'0500'!A1500,'Daftar Koreksi'!$G$5:$G$92,"Gedung dan Bangunan",'Daftar Koreksi'!$I$5:$I$92,"&lt;0")</f>
        <v>0</v>
      </c>
      <c r="G1514" s="17">
        <f t="shared" si="68"/>
        <v>-304732750</v>
      </c>
      <c r="H1514" s="122"/>
    </row>
    <row r="1515" spans="1:8" ht="21.95" customHeight="1">
      <c r="A1515" s="14"/>
      <c r="B1515" s="14"/>
      <c r="C1515" s="16" t="s">
        <v>2089</v>
      </c>
      <c r="D1515" s="17">
        <f>VLOOKUP(A1500,'Neraca Unaudited SIMAK'!$A$2:$S$10004,15,FALSE)</f>
        <v>0</v>
      </c>
      <c r="E1515" s="25">
        <f>SUMIFS('Daftar Koreksi'!$I$5:$I$92,'Daftar Koreksi'!$D$5:$D$92,'0500'!A1500,'Daftar Koreksi'!$G$5:$G$92,"Jalan Irigasi Jaringan",'Daftar Koreksi'!$I$5:$I$92,"&gt;0")</f>
        <v>0</v>
      </c>
      <c r="F1515" s="25">
        <f>SUMIFS('Daftar Koreksi'!$I$5:$I$92,'Daftar Koreksi'!$D$5:$D$92,'0500'!A1500,'Daftar Koreksi'!$G$5:$G$92,"Jalan Irigasi Jaringan",'Daftar Koreksi'!$I$5:$I$92,"&lt;0")-SUMIFS('Daftar Koreksi'!$I$5:$I$92,'Daftar Koreksi'!$D$5:$D$92,'0500'!A1500,'Daftar Koreksi'!$G$5:$G$92,"Jalan Irigasi Jaringan",'Daftar Koreksi'!$I$5:$I$92,"&lt;0")-SUMIFS('Daftar Koreksi'!$I$5:$I$92,'Daftar Koreksi'!$D$5:$D$92,'0500'!A1500,'Daftar Koreksi'!$G$5:$G$92,"Jalan Irigasi Jaringan",'Daftar Koreksi'!$I$5:$I$92,"&lt;0")</f>
        <v>0</v>
      </c>
      <c r="G1515" s="17">
        <f t="shared" si="68"/>
        <v>0</v>
      </c>
      <c r="H1515" s="122"/>
    </row>
    <row r="1516" spans="1:8" ht="21.95" customHeight="1">
      <c r="A1516" s="14"/>
      <c r="B1516" s="14"/>
      <c r="C1516" s="16" t="s">
        <v>2090</v>
      </c>
      <c r="D1516" s="17">
        <f>VLOOKUP(A1500,'Neraca Unaudited SIMAK'!$A$2:$S$10004,16,FALSE)</f>
        <v>0</v>
      </c>
      <c r="E1516" s="25">
        <f>SUMIFS('Daftar Koreksi'!$I$5:$I$92,'Daftar Koreksi'!$D$5:$D$92,'0500'!A1500,'Daftar Koreksi'!$G$5:$G$92,"Aset Tetap Lainnya",'Daftar Koreksi'!$I$5:$I$92,"&gt;0")</f>
        <v>0</v>
      </c>
      <c r="F1516" s="25">
        <f>SUMIFS('Daftar Koreksi'!$I$5:$I$92,'Daftar Koreksi'!$D$5:$D$92,'0500'!A1500,'Daftar Koreksi'!$G$5:$G$92,"Aset Tetap Lainnya",'Daftar Koreksi'!$I$5:$I$92,"&lt;0")-SUMIFS('Daftar Koreksi'!$I$5:$I$92,'Daftar Koreksi'!$D$5:$D$92,'0500'!A1500,'Daftar Koreksi'!$G$5:$G$92,"Aset Tetap Lainnya",'Daftar Koreksi'!$I$5:$I$92,"&lt;0")-SUMIFS('Daftar Koreksi'!$I$5:$I$92,'Daftar Koreksi'!$D$5:$D$92,'0500'!A1500,'Daftar Koreksi'!$G$5:$G$92,"Aset Tetap Lainnya",'Daftar Koreksi'!$I$5:$I$92,"&lt;0")</f>
        <v>0</v>
      </c>
      <c r="G1516" s="17">
        <f t="shared" si="68"/>
        <v>0</v>
      </c>
      <c r="H1516" s="122"/>
    </row>
    <row r="1517" spans="1:8" ht="21.95" customHeight="1">
      <c r="A1517" s="14"/>
      <c r="B1517" s="14"/>
      <c r="C1517" s="16" t="s">
        <v>2020</v>
      </c>
      <c r="D1517" s="17">
        <f>VLOOKUP(A1500,'Neraca Unaudited SIMAK'!$A$2:$S$10004,17,FALSE)</f>
        <v>0</v>
      </c>
      <c r="E1517" s="25">
        <f>SUMIFS('Daftar Koreksi'!$I$5:$I$92,'Daftar Koreksi'!$D$5:$D$92,'0500'!A1500,'Daftar Koreksi'!$G$5:$G$92,"Aset Henti Guna",'Daftar Koreksi'!$I$5:$I$92,"&gt;0")</f>
        <v>0</v>
      </c>
      <c r="F1517" s="25">
        <f>SUMIFS('Daftar Koreksi'!$I$5:$I$92,'Daftar Koreksi'!$D$5:$D$92,'0500'!A1500,'Daftar Koreksi'!$G$5:$G$92,"Aset Henti Guna",'Daftar Koreksi'!$I$5:$I$92,"&lt;0")-SUMIFS('Daftar Koreksi'!$I$5:$I$92,'Daftar Koreksi'!$D$5:$D$92,'0500'!A1500,'Daftar Koreksi'!$G$5:$G$92,"Aset Henti Guna",'Daftar Koreksi'!$I$5:$I$92,"&lt;0")-SUMIFS('Daftar Koreksi'!$I$5:$I$92,'Daftar Koreksi'!$D$5:$D$92,'0500'!A1500,'Daftar Koreksi'!$G$5:$G$92,"Aset Henti Guna",'Daftar Koreksi'!$I$5:$I$92,"&lt;0")</f>
        <v>0</v>
      </c>
      <c r="G1517" s="17">
        <f t="shared" si="68"/>
        <v>0</v>
      </c>
      <c r="H1517" s="122"/>
    </row>
    <row r="1518" spans="1:8" ht="21.95" customHeight="1">
      <c r="A1518" s="14"/>
      <c r="B1518" s="14"/>
      <c r="C1518" s="18" t="s">
        <v>2094</v>
      </c>
      <c r="D1518" s="19">
        <f>SUM(D1513:D1517)</f>
        <v>-1146162757</v>
      </c>
      <c r="E1518" s="19">
        <f>SUM(E1513:E1517)</f>
        <v>0</v>
      </c>
      <c r="F1518" s="19">
        <f>SUM(F1513:F1517)</f>
        <v>0</v>
      </c>
      <c r="G1518" s="19">
        <f t="shared" si="68"/>
        <v>-1146162757</v>
      </c>
      <c r="H1518" s="122"/>
    </row>
    <row r="1519" spans="1:8" ht="21.95" customHeight="1">
      <c r="A1519" s="14"/>
      <c r="B1519" s="14"/>
      <c r="C1519" s="18" t="s">
        <v>2095</v>
      </c>
      <c r="D1519" s="19">
        <f>VLOOKUP(A1500,'Neraca Unaudited SIMAK'!$A$2:$S$10004,18,FALSE)</f>
        <v>1682469460</v>
      </c>
      <c r="E1519" s="19">
        <f>E1518+E1512</f>
        <v>0</v>
      </c>
      <c r="F1519" s="19">
        <f>F1518+F1512</f>
        <v>0</v>
      </c>
      <c r="G1519" s="19">
        <f t="shared" si="68"/>
        <v>1682469460</v>
      </c>
      <c r="H1519" s="122"/>
    </row>
    <row r="1520" spans="1:8" ht="21.95" customHeight="1">
      <c r="A1520" s="14"/>
      <c r="B1520" s="14"/>
      <c r="C1520" s="16" t="s">
        <v>2091</v>
      </c>
      <c r="D1520" s="17">
        <f>VLOOKUP(A1500,'Neraca Unaudited SIMAK'!$A$2:$S$10004,19,FALSE)</f>
        <v>0</v>
      </c>
      <c r="E1520" s="25"/>
      <c r="F1520" s="25"/>
      <c r="G1520" s="17">
        <f t="shared" si="68"/>
        <v>0</v>
      </c>
      <c r="H1520" s="123"/>
    </row>
    <row r="1522" spans="1:10" ht="19.5" customHeight="1">
      <c r="A1522" s="11" t="str">
        <f>O70</f>
        <v>005010500403030000KD</v>
      </c>
      <c r="B1522" s="11" t="str">
        <f>P70</f>
        <v>PA. Kab. Madiun</v>
      </c>
      <c r="C1522" s="12" t="str">
        <f>A1522&amp;" "&amp;B1522</f>
        <v>005010500403030000KD PA. Kab. Madiun</v>
      </c>
      <c r="D1522" s="13"/>
      <c r="E1522" s="13"/>
      <c r="F1522" s="13"/>
      <c r="G1522" s="13"/>
      <c r="H1522" s="11"/>
    </row>
    <row r="1523" spans="1:10" ht="21.95" customHeight="1">
      <c r="A1523" s="14"/>
      <c r="B1523" s="14"/>
      <c r="C1523" s="124" t="s">
        <v>1982</v>
      </c>
      <c r="D1523" s="126" t="s">
        <v>1983</v>
      </c>
      <c r="E1523" s="132" t="s">
        <v>1984</v>
      </c>
      <c r="F1523" s="132"/>
      <c r="G1523" s="126" t="s">
        <v>1987</v>
      </c>
      <c r="H1523" s="130" t="s">
        <v>1175</v>
      </c>
    </row>
    <row r="1524" spans="1:10" ht="21.95" customHeight="1">
      <c r="A1524" s="14"/>
      <c r="B1524" s="14"/>
      <c r="C1524" s="125"/>
      <c r="D1524" s="127"/>
      <c r="E1524" s="26" t="s">
        <v>1985</v>
      </c>
      <c r="F1524" s="26" t="s">
        <v>1986</v>
      </c>
      <c r="G1524" s="127"/>
      <c r="H1524" s="131"/>
    </row>
    <row r="1525" spans="1:10" ht="21.95" customHeight="1">
      <c r="A1525" s="14"/>
      <c r="B1525" s="14"/>
      <c r="C1525" s="16" t="s">
        <v>1165</v>
      </c>
      <c r="D1525" s="17">
        <f>VLOOKUP(A1522,'Neraca Unaudited SIMAK'!$A$2:$S$10004,3,FALSE)</f>
        <v>524000</v>
      </c>
      <c r="E1525" s="25">
        <f>SUMIFS('Daftar Koreksi'!$H$5:$H$92,'Daftar Koreksi'!$D$5:$D$92,'0500'!A1522,'Daftar Koreksi'!$G$5:$G$92,"Persediaan",'Daftar Koreksi'!$H$5:$H$92,"&gt;0")</f>
        <v>0</v>
      </c>
      <c r="F1525" s="25">
        <f>SUMIFS('Daftar Koreksi'!$H$5:$H$92,'Daftar Koreksi'!$D$5:$D$92,'0500'!A1522,'Daftar Koreksi'!$G$5:$G$92,"Persediaan",'Daftar Koreksi'!$H$5:$H$92,"&lt;0")-SUMIFS('Daftar Koreksi'!$H$5:$H$92,'Daftar Koreksi'!$D$5:$D$92,'0500'!A1522,'Daftar Koreksi'!$G$5:$G$92,"Persediaan",'Daftar Koreksi'!$H$5:$H$92,"&lt;0")-SUMIFS('Daftar Koreksi'!$H$5:$H$92,'Daftar Koreksi'!$D$5:$D$92,'0500'!A1522,'Daftar Koreksi'!$G$5:$G$92,"Persediaan",'Daftar Koreksi'!$H$5:$H$92,"&lt;0")</f>
        <v>0</v>
      </c>
      <c r="G1525" s="17">
        <f>D1525+E1525-F1525</f>
        <v>524000</v>
      </c>
      <c r="H1525" s="121" t="str">
        <f>IF(ISNA(VLOOKUP(A1522,'Mutasi Neraca'!$A$3:$S$914,19,FALSE)),"-",VLOOKUP(A1522,'Mutasi Neraca'!$A$3:$S$914,19,FALSE))</f>
        <v>-</v>
      </c>
      <c r="I1525" s="28"/>
      <c r="J1525" s="28"/>
    </row>
    <row r="1526" spans="1:10" ht="21.95" customHeight="1">
      <c r="A1526" s="14"/>
      <c r="B1526" s="14"/>
      <c r="C1526" s="16" t="s">
        <v>1166</v>
      </c>
      <c r="D1526" s="17">
        <f>VLOOKUP(A1522,'Neraca Unaudited SIMAK'!$A$2:$S$10004,4,FALSE)</f>
        <v>403573000</v>
      </c>
      <c r="E1526" s="25">
        <f>SUMIFS('Daftar Koreksi'!$H$5:$H$92,'Daftar Koreksi'!$D$5:$D$92,'0500'!A1522,'Daftar Koreksi'!$G$5:$G$92,"Tanah",'Daftar Koreksi'!$H$5:$H$92,"&gt;0")</f>
        <v>0</v>
      </c>
      <c r="F1526" s="25">
        <f>SUMIFS('Daftar Koreksi'!$H$5:$H$92,'Daftar Koreksi'!$D$5:$D$92,'0500'!A1522,'Daftar Koreksi'!$G$5:$G$92,"Tanah",'Daftar Koreksi'!$H$5:$H$92,"&lt;0")-SUMIFS('Daftar Koreksi'!$H$5:$H$92,'Daftar Koreksi'!$D$5:$D$92,'0500'!A1522,'Daftar Koreksi'!$G$5:$G$92,"Tanah",'Daftar Koreksi'!$H$5:$H$92,"&lt;0")-SUMIFS('Daftar Koreksi'!$H$5:$H$92,'Daftar Koreksi'!$D$5:$D$92,'0500'!A1522,'Daftar Koreksi'!$G$5:$G$92,"Tanah",'Daftar Koreksi'!$H$5:$H$92,"&lt;0")</f>
        <v>0</v>
      </c>
      <c r="G1526" s="17">
        <f t="shared" ref="G1526:G1542" si="69">D1526+E1526-F1526</f>
        <v>403573000</v>
      </c>
      <c r="H1526" s="122"/>
      <c r="I1526" s="28"/>
      <c r="J1526" s="28"/>
    </row>
    <row r="1527" spans="1:10" ht="21.95" customHeight="1">
      <c r="A1527" s="14"/>
      <c r="B1527" s="14"/>
      <c r="C1527" s="16" t="s">
        <v>1167</v>
      </c>
      <c r="D1527" s="17">
        <f>VLOOKUP(A1522,'Neraca Unaudited SIMAK'!$A$2:$S$10004,5,FALSE)</f>
        <v>1373057289</v>
      </c>
      <c r="E1527" s="25">
        <f>SUMIFS('Daftar Koreksi'!$H$5:$H$92,'Daftar Koreksi'!$D$5:$D$92,'0500'!A1522,'Daftar Koreksi'!$G$5:$G$92,"Peralatan dan mesin",'Daftar Koreksi'!$H$5:$H$92,"&gt;0")</f>
        <v>0</v>
      </c>
      <c r="F1527" s="25">
        <f>SUMIFS('Daftar Koreksi'!$H$5:$H$92,'Daftar Koreksi'!$D$5:$D$92,'0500'!A1522,'Daftar Koreksi'!$G$5:$G$92,"Peralatan dan mesin",'Daftar Koreksi'!$H$5:$H$92,"&lt;0")-SUMIFS('Daftar Koreksi'!$H$5:$H$92,'Daftar Koreksi'!$D$5:$D$92,'0500'!A1522,'Daftar Koreksi'!$G$5:$G$92,"Peralatan dan mesin",'Daftar Koreksi'!$H$5:$H$92,"&lt;0")-SUMIFS('Daftar Koreksi'!$H$5:$H$92,'Daftar Koreksi'!$D$5:$D$92,'0500'!A1522,'Daftar Koreksi'!$G$5:$G$92,"Peralatan dan mesin",'Daftar Koreksi'!$H$5:$H$92,"&lt;0")</f>
        <v>0</v>
      </c>
      <c r="G1527" s="17">
        <f t="shared" si="69"/>
        <v>1373057289</v>
      </c>
      <c r="H1527" s="122"/>
      <c r="I1527" s="28"/>
      <c r="J1527" s="28"/>
    </row>
    <row r="1528" spans="1:10" ht="21.95" customHeight="1">
      <c r="A1528" s="14"/>
      <c r="B1528" s="14"/>
      <c r="C1528" s="16" t="s">
        <v>1168</v>
      </c>
      <c r="D1528" s="17">
        <f>VLOOKUP(A1522,'Neraca Unaudited SIMAK'!$A$2:$S$10004,6,FALSE)</f>
        <v>3288988050</v>
      </c>
      <c r="E1528" s="25">
        <f>SUMIFS('Daftar Koreksi'!$H$5:$H$92,'Daftar Koreksi'!$D$5:$D$92,'0500'!A1522,'Daftar Koreksi'!$G$5:$G$92,"Gedung dan Bangunan",'Daftar Koreksi'!$H$5:$H$92,"&gt;0")</f>
        <v>0</v>
      </c>
      <c r="F1528" s="25">
        <f>SUMIFS('Daftar Koreksi'!$H$5:$H$92,'Daftar Koreksi'!$D$5:$D$92,'0500'!A1522,'Daftar Koreksi'!$G$5:$G$92,"Gedung dan Bangunan",'Daftar Koreksi'!$H$5:$H$92,"&lt;0")-SUMIFS('Daftar Koreksi'!$H$5:$H$92,'Daftar Koreksi'!$D$5:$D$92,'0500'!A1522,'Daftar Koreksi'!$G$5:$G$92,"Gedung dan Bangunan",'Daftar Koreksi'!$H$5:$H$92,"&lt;0")-SUMIFS('Daftar Koreksi'!$H$5:$H$92,'Daftar Koreksi'!$D$5:$D$92,'0500'!A1522,'Daftar Koreksi'!$G$5:$G$92,"Gedung dan Bangunan",'Daftar Koreksi'!$H$5:$H$92,"&lt;0")</f>
        <v>0</v>
      </c>
      <c r="G1528" s="17">
        <f t="shared" si="69"/>
        <v>3288988050</v>
      </c>
      <c r="H1528" s="122"/>
      <c r="I1528" s="28"/>
      <c r="J1528" s="28"/>
    </row>
    <row r="1529" spans="1:10" ht="21.95" customHeight="1">
      <c r="A1529" s="14"/>
      <c r="B1529" s="14"/>
      <c r="C1529" s="16" t="s">
        <v>1169</v>
      </c>
      <c r="D1529" s="17">
        <f>VLOOKUP(A1522,'Neraca Unaudited SIMAK'!$A$2:$S$10004,7,FALSE)</f>
        <v>26500000</v>
      </c>
      <c r="E1529" s="25">
        <f>SUMIFS('Daftar Koreksi'!$H$5:$H$92,'Daftar Koreksi'!$D$5:$D$92,'0500'!A1522,'Daftar Koreksi'!$G$5:$G$92,"Jalan Irigasi Jaringan",'Daftar Koreksi'!$H$5:$H$92,"&gt;0")</f>
        <v>0</v>
      </c>
      <c r="F1529" s="25">
        <f>SUMIFS('Daftar Koreksi'!$H$5:$H$92,'Daftar Koreksi'!$D$5:$D$92,'0500'!A1522,'Daftar Koreksi'!$G$5:$G$92,"Jalan Irigasi Jaringan",'Daftar Koreksi'!$H$5:$H$92,"&lt;0")-SUMIFS('Daftar Koreksi'!$H$5:$H$92,'Daftar Koreksi'!$D$5:$D$92,'0500'!A1522,'Daftar Koreksi'!$G$5:$G$92,"Jalan Irigasi Jaringan",'Daftar Koreksi'!$H$5:$H$92,"&lt;0")-SUMIFS('Daftar Koreksi'!$H$5:$H$92,'Daftar Koreksi'!$D$5:$D$92,'0500'!A1522,'Daftar Koreksi'!$G$5:$G$92,"Jalan Irigasi Jaringan",'Daftar Koreksi'!$H$5:$H$92,"&lt;0")</f>
        <v>0</v>
      </c>
      <c r="G1529" s="17">
        <f t="shared" si="69"/>
        <v>26500000</v>
      </c>
      <c r="H1529" s="122"/>
      <c r="I1529" s="28"/>
      <c r="J1529" s="28"/>
    </row>
    <row r="1530" spans="1:10" ht="21.95" customHeight="1">
      <c r="A1530" s="14"/>
      <c r="B1530" s="14"/>
      <c r="C1530" s="16" t="s">
        <v>1170</v>
      </c>
      <c r="D1530" s="17">
        <f>VLOOKUP(A1522,'Neraca Unaudited SIMAK'!$A$2:$S$10004,8,FALSE)</f>
        <v>13864870</v>
      </c>
      <c r="E1530" s="25">
        <f>SUMIFS('Daftar Koreksi'!$H$5:$H$92,'Daftar Koreksi'!$D$5:$D$92,'0500'!A1522,'Daftar Koreksi'!$G$5:$G$92,"Aset Tetap Lainnya",'Daftar Koreksi'!$H$5:$H$92,"&gt;0")</f>
        <v>0</v>
      </c>
      <c r="F1530" s="25">
        <f>SUMIFS('Daftar Koreksi'!$H$5:$H$92,'Daftar Koreksi'!$D$5:$D$92,'0500'!A1522,'Daftar Koreksi'!$G$5:$G$92,"Aset Tetap Lainnya",'Daftar Koreksi'!$H$5:$H$92,"&lt;0")-SUMIFS('Daftar Koreksi'!$H$5:$H$92,'Daftar Koreksi'!$D$5:$D$92,'0500'!A1522,'Daftar Koreksi'!$G$5:$G$92,"Aset Tetap Lainnya",'Daftar Koreksi'!$H$5:$H$92,"&lt;0")-SUMIFS('Daftar Koreksi'!$H$5:$H$92,'Daftar Koreksi'!$D$5:$D$92,'0500'!A1522,'Daftar Koreksi'!$G$5:$G$92,"Aset Tetap Lainnya",'Daftar Koreksi'!$H$5:$H$92,"&lt;0")</f>
        <v>0</v>
      </c>
      <c r="G1530" s="17">
        <f t="shared" si="69"/>
        <v>13864870</v>
      </c>
      <c r="H1530" s="122"/>
      <c r="I1530" s="28"/>
      <c r="J1530" s="28"/>
    </row>
    <row r="1531" spans="1:10" ht="21.95" customHeight="1">
      <c r="A1531" s="14"/>
      <c r="B1531" s="14"/>
      <c r="C1531" s="16" t="s">
        <v>1171</v>
      </c>
      <c r="D1531" s="17">
        <f>VLOOKUP(A1522,'Neraca Unaudited SIMAK'!$A$2:$S$10004,9,FALSE)</f>
        <v>0</v>
      </c>
      <c r="E1531" s="25">
        <f>SUMIFS('Daftar Koreksi'!$H$5:$H$92,'Daftar Koreksi'!$D$5:$D$92,'0500'!A1522,'Daftar Koreksi'!$G$5:$G$92,"Kontruksi Dalam Pengerjaan",'Daftar Koreksi'!$H$5:$H$92,"&gt;0")</f>
        <v>0</v>
      </c>
      <c r="F1531" s="25">
        <f>SUMIFS('Daftar Koreksi'!$H$5:$H$92,'Daftar Koreksi'!$D$5:$D$92,'0500'!A1522,'Daftar Koreksi'!$G$5:$G$92,"Kontruksi Dalam Pengerjaan",'Daftar Koreksi'!$H$5:$H$92,"&lt;0")-SUMIFS('Daftar Koreksi'!$H$5:$H$92,'Daftar Koreksi'!$D$5:$D$92,'0500'!A1522,'Daftar Koreksi'!$G$5:$G$92,"Kontruksi Dalam Pengerjaan",'Daftar Koreksi'!$H$5:$H$92,"&lt;0")-SUMIFS('Daftar Koreksi'!$H$5:$H$92,'Daftar Koreksi'!$D$5:$D$92,'0500'!A1522,'Daftar Koreksi'!$G$5:$G$92,"Kontruksi Dalam Pengerjaan",'Daftar Koreksi'!$H$5:$H$92,"&lt;0")</f>
        <v>0</v>
      </c>
      <c r="G1531" s="17">
        <f t="shared" si="69"/>
        <v>0</v>
      </c>
      <c r="H1531" s="122"/>
      <c r="I1531" s="28"/>
      <c r="J1531" s="28"/>
    </row>
    <row r="1532" spans="1:10" ht="21.95" customHeight="1">
      <c r="A1532" s="14"/>
      <c r="B1532" s="14"/>
      <c r="C1532" s="16" t="s">
        <v>1172</v>
      </c>
      <c r="D1532" s="17">
        <f>VLOOKUP(A1522,'Neraca Unaudited SIMAK'!$A$2:$S$10004,10,FALSE)</f>
        <v>0</v>
      </c>
      <c r="E1532" s="25">
        <f>SUMIFS('Daftar Koreksi'!$H$5:$H$92,'Daftar Koreksi'!$D$5:$D$92,'0500'!A1522,'Daftar Koreksi'!$G$5:$G$92,"Aset Tak Berwujud",'Daftar Koreksi'!$H$5:$H$92,"&gt;0")</f>
        <v>0</v>
      </c>
      <c r="F1532" s="25">
        <f>SUMIFS('Daftar Koreksi'!$H$5:$H$92,'Daftar Koreksi'!$D$5:$D$92,'0500'!A1522,'Daftar Koreksi'!$G$5:$G$92,"Aset Tak Berwujud",'Daftar Koreksi'!$H$5:$H$92,"&lt;0")-SUMIFS('Daftar Koreksi'!$H$5:$H$92,'Daftar Koreksi'!$D$5:$D$92,'0500'!A1522,'Daftar Koreksi'!$G$5:$G$92,"Aset Tak Berwujud",'Daftar Koreksi'!$H$5:$H$92,"&lt;0")-SUMIFS('Daftar Koreksi'!$H$5:$H$92,'Daftar Koreksi'!$D$5:$D$92,'0500'!A1522,'Daftar Koreksi'!$G$5:$G$92,"Aset Tak Berwujud",'Daftar Koreksi'!$H$5:$H$92,"&lt;0")</f>
        <v>0</v>
      </c>
      <c r="G1532" s="17">
        <f t="shared" si="69"/>
        <v>0</v>
      </c>
      <c r="H1532" s="122"/>
      <c r="I1532" s="28"/>
      <c r="J1532" s="28"/>
    </row>
    <row r="1533" spans="1:10" ht="21.95" customHeight="1">
      <c r="A1533" s="14"/>
      <c r="B1533" s="14"/>
      <c r="C1533" s="16" t="s">
        <v>1173</v>
      </c>
      <c r="D1533" s="17">
        <f>VLOOKUP(A1522,'Neraca Unaudited SIMAK'!$A$2:$S$10004,11,FALSE)</f>
        <v>0</v>
      </c>
      <c r="E1533" s="25">
        <f>SUMIFS('Daftar Koreksi'!$H$5:$H$92,'Daftar Koreksi'!$D$5:$D$92,'0500'!A1522,'Daftar Koreksi'!$G$5:$G$92,"Aset Henti Guna",'Daftar Koreksi'!$H$5:$H$92,"&gt;0")</f>
        <v>0</v>
      </c>
      <c r="F1533" s="25">
        <f>SUMIFS('Daftar Koreksi'!$H$5:$H$92,'Daftar Koreksi'!$D$5:$D$92,'0500'!A1522,'Daftar Koreksi'!$G$5:$G$92,"Aset Henti Guna",'Daftar Koreksi'!$H$5:$H$92,"&lt;0")-SUMIFS('Daftar Koreksi'!$H$5:$H$92,'Daftar Koreksi'!$D$5:$D$92,'0500'!A1522,'Daftar Koreksi'!$G$5:$G$92,"Aset Henti Guna",'Daftar Koreksi'!$H$5:$H$92,"&lt;0")-SUMIFS('Daftar Koreksi'!$H$5:$H$92,'Daftar Koreksi'!$D$5:$D$92,'0500'!A1522,'Daftar Koreksi'!$G$5:$G$92,"Aset Henti Guna",'Daftar Koreksi'!$H$5:$H$92,"&lt;0")</f>
        <v>0</v>
      </c>
      <c r="G1533" s="17">
        <f t="shared" si="69"/>
        <v>0</v>
      </c>
      <c r="H1533" s="122"/>
      <c r="I1533" s="28"/>
      <c r="J1533" s="28"/>
    </row>
    <row r="1534" spans="1:10" ht="21.95" customHeight="1">
      <c r="A1534" s="14"/>
      <c r="B1534" s="14"/>
      <c r="C1534" s="18" t="s">
        <v>2093</v>
      </c>
      <c r="D1534" s="19">
        <f>VLOOKUP(A1522,'Neraca Unaudited SIMAK'!$A$2:$S$10004,12,FALSE)</f>
        <v>5106507209</v>
      </c>
      <c r="E1534" s="19">
        <f>SUM(E1525:E1533)</f>
        <v>0</v>
      </c>
      <c r="F1534" s="19">
        <f>SUM(F1525:F1533)</f>
        <v>0</v>
      </c>
      <c r="G1534" s="19">
        <f t="shared" si="69"/>
        <v>5106507209</v>
      </c>
      <c r="H1534" s="122"/>
      <c r="I1534" s="28"/>
      <c r="J1534" s="28"/>
    </row>
    <row r="1535" spans="1:10" ht="21.95" customHeight="1">
      <c r="A1535" s="14"/>
      <c r="B1535" s="14"/>
      <c r="C1535" s="16" t="s">
        <v>2087</v>
      </c>
      <c r="D1535" s="17">
        <f>VLOOKUP(A1522,'Neraca Unaudited SIMAK'!$A$2:$S$10004,13,FALSE)</f>
        <v>-1120993526</v>
      </c>
      <c r="E1535" s="25">
        <f>SUMIFS('Daftar Koreksi'!$I$5:$I$92,'Daftar Koreksi'!$D$5:$D$92,'0500'!A1522,'Daftar Koreksi'!$G$5:$G$92,"Peralatan dan mesin",'Daftar Koreksi'!$I$5:$I$92,"&gt;0")</f>
        <v>0</v>
      </c>
      <c r="F1535" s="25">
        <f>SUMIFS('Daftar Koreksi'!$I$5:$I$92,'Daftar Koreksi'!$D$5:$D$92,'0500'!A1522,'Daftar Koreksi'!$G$5:$G$92,"Peralatan dan mesin",'Daftar Koreksi'!$I$5:$I$92,"&lt;0")-SUMIFS('Daftar Koreksi'!$I$5:$I$92,'Daftar Koreksi'!$D$5:$D$92,'0500'!A1522,'Daftar Koreksi'!$G$5:$G$92,"Peralatan dan mesin",'Daftar Koreksi'!$I$5:$I$92,"&lt;0")-SUMIFS('Daftar Koreksi'!$I$5:$I$92,'Daftar Koreksi'!$D$5:$D$92,'0500'!A1522,'Daftar Koreksi'!$G$5:$G$92,"Peralatan dan mesin",'Daftar Koreksi'!$I$5:$I$92,"&lt;0")</f>
        <v>0</v>
      </c>
      <c r="G1535" s="17">
        <f t="shared" si="69"/>
        <v>-1120993526</v>
      </c>
      <c r="H1535" s="122"/>
      <c r="I1535" s="28"/>
      <c r="J1535" s="28"/>
    </row>
    <row r="1536" spans="1:10" ht="21.95" customHeight="1">
      <c r="A1536" s="14"/>
      <c r="B1536" s="14"/>
      <c r="C1536" s="16" t="s">
        <v>2088</v>
      </c>
      <c r="D1536" s="17">
        <f>VLOOKUP(A1522,'Neraca Unaudited SIMAK'!$A$2:$S$10004,14,FALSE)</f>
        <v>-598322905</v>
      </c>
      <c r="E1536" s="25">
        <f>SUMIFS('Daftar Koreksi'!$I$5:$I$92,'Daftar Koreksi'!$D$5:$D$92,'0500'!A1522,'Daftar Koreksi'!$G$5:$G$92,"Gedung dan Bangunan",'Daftar Koreksi'!$I$5:$I$92,"&gt;0")</f>
        <v>0</v>
      </c>
      <c r="F1536" s="25">
        <f>SUMIFS('Daftar Koreksi'!$I$5:$I$92,'Daftar Koreksi'!$D$5:$D$92,'0500'!A1522,'Daftar Koreksi'!$G$5:$G$92,"Gedung dan Bangunan",'Daftar Koreksi'!$I$5:$I$92,"&lt;0")-SUMIFS('Daftar Koreksi'!$I$5:$I$92,'Daftar Koreksi'!$D$5:$D$92,'0500'!A1522,'Daftar Koreksi'!$G$5:$G$92,"Gedung dan Bangunan",'Daftar Koreksi'!$I$5:$I$92,"&lt;0")-SUMIFS('Daftar Koreksi'!$I$5:$I$92,'Daftar Koreksi'!$D$5:$D$92,'0500'!A1522,'Daftar Koreksi'!$G$5:$G$92,"Gedung dan Bangunan",'Daftar Koreksi'!$I$5:$I$92,"&lt;0")</f>
        <v>0</v>
      </c>
      <c r="G1536" s="17">
        <f t="shared" si="69"/>
        <v>-598322905</v>
      </c>
      <c r="H1536" s="122"/>
      <c r="I1536" s="28"/>
      <c r="J1536" s="28"/>
    </row>
    <row r="1537" spans="1:10" ht="21.95" customHeight="1">
      <c r="A1537" s="14"/>
      <c r="B1537" s="14"/>
      <c r="C1537" s="16" t="s">
        <v>2089</v>
      </c>
      <c r="D1537" s="17">
        <f>VLOOKUP(A1522,'Neraca Unaudited SIMAK'!$A$2:$S$10004,15,FALSE)</f>
        <v>-3857325</v>
      </c>
      <c r="E1537" s="25">
        <f>SUMIFS('Daftar Koreksi'!$I$5:$I$92,'Daftar Koreksi'!$D$5:$D$92,'0500'!A1522,'Daftar Koreksi'!$G$5:$G$92,"Jalan Irigasi Jaringan",'Daftar Koreksi'!$I$5:$I$92,"&gt;0")</f>
        <v>0</v>
      </c>
      <c r="F1537" s="25">
        <f>SUMIFS('Daftar Koreksi'!$I$5:$I$92,'Daftar Koreksi'!$D$5:$D$92,'0500'!A1522,'Daftar Koreksi'!$G$5:$G$92,"Jalan Irigasi Jaringan",'Daftar Koreksi'!$I$5:$I$92,"&lt;0")-SUMIFS('Daftar Koreksi'!$I$5:$I$92,'Daftar Koreksi'!$D$5:$D$92,'0500'!A1522,'Daftar Koreksi'!$G$5:$G$92,"Jalan Irigasi Jaringan",'Daftar Koreksi'!$I$5:$I$92,"&lt;0")-SUMIFS('Daftar Koreksi'!$I$5:$I$92,'Daftar Koreksi'!$D$5:$D$92,'0500'!A1522,'Daftar Koreksi'!$G$5:$G$92,"Jalan Irigasi Jaringan",'Daftar Koreksi'!$I$5:$I$92,"&lt;0")</f>
        <v>0</v>
      </c>
      <c r="G1537" s="17">
        <f t="shared" si="69"/>
        <v>-3857325</v>
      </c>
      <c r="H1537" s="122"/>
      <c r="I1537" s="28"/>
      <c r="J1537" s="28"/>
    </row>
    <row r="1538" spans="1:10" ht="21.95" customHeight="1">
      <c r="A1538" s="14"/>
      <c r="B1538" s="14"/>
      <c r="C1538" s="16" t="s">
        <v>2090</v>
      </c>
      <c r="D1538" s="17">
        <f>VLOOKUP(A1522,'Neraca Unaudited SIMAK'!$A$2:$S$10004,16,FALSE)</f>
        <v>0</v>
      </c>
      <c r="E1538" s="25">
        <f>SUMIFS('Daftar Koreksi'!$I$5:$I$92,'Daftar Koreksi'!$D$5:$D$92,'0500'!A1522,'Daftar Koreksi'!$G$5:$G$92,"Aset Tetap Lainnya",'Daftar Koreksi'!$I$5:$I$92,"&gt;0")</f>
        <v>0</v>
      </c>
      <c r="F1538" s="25">
        <f>SUMIFS('Daftar Koreksi'!$I$5:$I$92,'Daftar Koreksi'!$D$5:$D$92,'0500'!A1522,'Daftar Koreksi'!$G$5:$G$92,"Aset Tetap Lainnya",'Daftar Koreksi'!$I$5:$I$92,"&lt;0")-SUMIFS('Daftar Koreksi'!$I$5:$I$92,'Daftar Koreksi'!$D$5:$D$92,'0500'!A1522,'Daftar Koreksi'!$G$5:$G$92,"Aset Tetap Lainnya",'Daftar Koreksi'!$I$5:$I$92,"&lt;0")-SUMIFS('Daftar Koreksi'!$I$5:$I$92,'Daftar Koreksi'!$D$5:$D$92,'0500'!A1522,'Daftar Koreksi'!$G$5:$G$92,"Aset Tetap Lainnya",'Daftar Koreksi'!$I$5:$I$92,"&lt;0")</f>
        <v>0</v>
      </c>
      <c r="G1538" s="17">
        <f t="shared" si="69"/>
        <v>0</v>
      </c>
      <c r="H1538" s="122"/>
      <c r="I1538" s="28"/>
      <c r="J1538" s="28"/>
    </row>
    <row r="1539" spans="1:10" ht="21.95" customHeight="1">
      <c r="A1539" s="14"/>
      <c r="B1539" s="14"/>
      <c r="C1539" s="16" t="s">
        <v>2020</v>
      </c>
      <c r="D1539" s="17">
        <f>VLOOKUP(A1522,'Neraca Unaudited SIMAK'!$A$2:$S$10004,17,FALSE)</f>
        <v>0</v>
      </c>
      <c r="E1539" s="25">
        <f>SUMIFS('Daftar Koreksi'!$I$5:$I$92,'Daftar Koreksi'!$D$5:$D$92,'0500'!A1522,'Daftar Koreksi'!$G$5:$G$92,"Aset Henti Guna",'Daftar Koreksi'!$I$5:$I$92,"&gt;0")</f>
        <v>0</v>
      </c>
      <c r="F1539" s="25">
        <f>SUMIFS('Daftar Koreksi'!$I$5:$I$92,'Daftar Koreksi'!$D$5:$D$92,'0500'!A1522,'Daftar Koreksi'!$G$5:$G$92,"Aset Henti Guna",'Daftar Koreksi'!$I$5:$I$92,"&lt;0")-SUMIFS('Daftar Koreksi'!$I$5:$I$92,'Daftar Koreksi'!$D$5:$D$92,'0500'!A1522,'Daftar Koreksi'!$G$5:$G$92,"Aset Henti Guna",'Daftar Koreksi'!$I$5:$I$92,"&lt;0")-SUMIFS('Daftar Koreksi'!$I$5:$I$92,'Daftar Koreksi'!$D$5:$D$92,'0500'!A1522,'Daftar Koreksi'!$G$5:$G$92,"Aset Henti Guna",'Daftar Koreksi'!$I$5:$I$92,"&lt;0")</f>
        <v>0</v>
      </c>
      <c r="G1539" s="17">
        <f t="shared" si="69"/>
        <v>0</v>
      </c>
      <c r="H1539" s="122"/>
      <c r="I1539" s="28"/>
      <c r="J1539" s="28"/>
    </row>
    <row r="1540" spans="1:10" ht="21.95" customHeight="1">
      <c r="A1540" s="14"/>
      <c r="B1540" s="14"/>
      <c r="C1540" s="18" t="s">
        <v>2094</v>
      </c>
      <c r="D1540" s="19">
        <f>SUM(D1535:D1539)</f>
        <v>-1723173756</v>
      </c>
      <c r="E1540" s="19">
        <f>SUM(E1535:E1539)</f>
        <v>0</v>
      </c>
      <c r="F1540" s="19">
        <f>SUM(F1535:F1539)</f>
        <v>0</v>
      </c>
      <c r="G1540" s="19">
        <f t="shared" si="69"/>
        <v>-1723173756</v>
      </c>
      <c r="H1540" s="122"/>
      <c r="I1540" s="28"/>
      <c r="J1540" s="28"/>
    </row>
    <row r="1541" spans="1:10" ht="21.95" customHeight="1">
      <c r="A1541" s="14"/>
      <c r="B1541" s="14"/>
      <c r="C1541" s="18" t="s">
        <v>2095</v>
      </c>
      <c r="D1541" s="19">
        <f>VLOOKUP(A1522,'Neraca Unaudited SIMAK'!$A$2:$S$10004,18,FALSE)</f>
        <v>3383333453</v>
      </c>
      <c r="E1541" s="19">
        <f>E1540+E1534</f>
        <v>0</v>
      </c>
      <c r="F1541" s="19">
        <f>F1540+F1534</f>
        <v>0</v>
      </c>
      <c r="G1541" s="19">
        <f t="shared" si="69"/>
        <v>3383333453</v>
      </c>
      <c r="H1541" s="122"/>
      <c r="I1541" s="28"/>
      <c r="J1541" s="28"/>
    </row>
    <row r="1542" spans="1:10" ht="21.95" customHeight="1">
      <c r="A1542" s="14"/>
      <c r="B1542" s="14"/>
      <c r="C1542" s="16" t="s">
        <v>2091</v>
      </c>
      <c r="D1542" s="17">
        <f>VLOOKUP(A1522,'Neraca Unaudited SIMAK'!$A$2:$S$10004,19,FALSE)</f>
        <v>0</v>
      </c>
      <c r="E1542" s="25"/>
      <c r="F1542" s="25"/>
      <c r="G1542" s="17">
        <f t="shared" si="69"/>
        <v>0</v>
      </c>
      <c r="H1542" s="123"/>
      <c r="I1542" s="28"/>
      <c r="J1542" s="28"/>
    </row>
    <row r="1544" spans="1:10" ht="19.5" customHeight="1">
      <c r="A1544" s="11" t="str">
        <f>O71</f>
        <v>005010500403046000KD</v>
      </c>
      <c r="B1544" s="11" t="str">
        <f>P71</f>
        <v>PA. Kediri</v>
      </c>
      <c r="C1544" s="12" t="str">
        <f>A1544&amp;" "&amp;B1544</f>
        <v>005010500403046000KD PA. Kediri</v>
      </c>
      <c r="D1544" s="13"/>
      <c r="E1544" s="13"/>
      <c r="F1544" s="13"/>
      <c r="G1544" s="13"/>
      <c r="H1544" s="11"/>
    </row>
    <row r="1545" spans="1:10" ht="21.95" customHeight="1">
      <c r="A1545" s="14"/>
      <c r="B1545" s="14"/>
      <c r="C1545" s="124" t="s">
        <v>1982</v>
      </c>
      <c r="D1545" s="126" t="s">
        <v>1983</v>
      </c>
      <c r="E1545" s="132" t="s">
        <v>1984</v>
      </c>
      <c r="F1545" s="132"/>
      <c r="G1545" s="126" t="s">
        <v>1987</v>
      </c>
      <c r="H1545" s="130" t="s">
        <v>1175</v>
      </c>
    </row>
    <row r="1546" spans="1:10" ht="21.95" customHeight="1">
      <c r="A1546" s="14"/>
      <c r="B1546" s="14"/>
      <c r="C1546" s="125"/>
      <c r="D1546" s="127"/>
      <c r="E1546" s="26" t="s">
        <v>1985</v>
      </c>
      <c r="F1546" s="26" t="s">
        <v>1986</v>
      </c>
      <c r="G1546" s="127"/>
      <c r="H1546" s="131"/>
    </row>
    <row r="1547" spans="1:10" ht="21.95" customHeight="1">
      <c r="A1547" s="14"/>
      <c r="B1547" s="14"/>
      <c r="C1547" s="16" t="s">
        <v>1165</v>
      </c>
      <c r="D1547" s="17">
        <f>VLOOKUP(A1544,'Neraca Unaudited SIMAK'!$A$2:$S$10004,3,FALSE)</f>
        <v>2154107</v>
      </c>
      <c r="E1547" s="25">
        <f>SUMIFS('Daftar Koreksi'!$H$5:$H$92,'Daftar Koreksi'!$D$5:$D$92,'0500'!A1544,'Daftar Koreksi'!$G$5:$G$92,"Persediaan",'Daftar Koreksi'!$H$5:$H$92,"&gt;0")</f>
        <v>0</v>
      </c>
      <c r="F1547" s="25">
        <f>SUMIFS('Daftar Koreksi'!$H$5:$H$92,'Daftar Koreksi'!$D$5:$D$92,'0500'!A1544,'Daftar Koreksi'!$G$5:$G$92,"Persediaan",'Daftar Koreksi'!$H$5:$H$92,"&lt;0")-SUMIFS('Daftar Koreksi'!$H$5:$H$92,'Daftar Koreksi'!$D$5:$D$92,'0500'!A1544,'Daftar Koreksi'!$G$5:$G$92,"Persediaan",'Daftar Koreksi'!$H$5:$H$92,"&lt;0")-SUMIFS('Daftar Koreksi'!$H$5:$H$92,'Daftar Koreksi'!$D$5:$D$92,'0500'!A1544,'Daftar Koreksi'!$G$5:$G$92,"Persediaan",'Daftar Koreksi'!$H$5:$H$92,"&lt;0")</f>
        <v>0</v>
      </c>
      <c r="G1547" s="17">
        <f>D1547+E1547-F1547</f>
        <v>2154107</v>
      </c>
      <c r="H1547" s="121" t="str">
        <f>IF(ISNA(VLOOKUP(A1544,'Mutasi Neraca'!$A$3:$S$914,19,FALSE)),"-",VLOOKUP(A1544,'Mutasi Neraca'!$A$3:$S$914,19,FALSE))</f>
        <v>-</v>
      </c>
    </row>
    <row r="1548" spans="1:10" ht="21.95" customHeight="1">
      <c r="A1548" s="14"/>
      <c r="B1548" s="14"/>
      <c r="C1548" s="16" t="s">
        <v>1166</v>
      </c>
      <c r="D1548" s="17">
        <f>VLOOKUP(A1544,'Neraca Unaudited SIMAK'!$A$2:$S$10004,4,FALSE)</f>
        <v>568250000</v>
      </c>
      <c r="E1548" s="25">
        <f>SUMIFS('Daftar Koreksi'!$H$5:$H$92,'Daftar Koreksi'!$D$5:$D$92,'0500'!A1544,'Daftar Koreksi'!$G$5:$G$92,"Tanah",'Daftar Koreksi'!$H$5:$H$92,"&gt;0")</f>
        <v>0</v>
      </c>
      <c r="F1548" s="25">
        <f>SUMIFS('Daftar Koreksi'!$H$5:$H$92,'Daftar Koreksi'!$D$5:$D$92,'0500'!A1544,'Daftar Koreksi'!$G$5:$G$92,"Tanah",'Daftar Koreksi'!$H$5:$H$92,"&lt;0")-SUMIFS('Daftar Koreksi'!$H$5:$H$92,'Daftar Koreksi'!$D$5:$D$92,'0500'!A1544,'Daftar Koreksi'!$G$5:$G$92,"Tanah",'Daftar Koreksi'!$H$5:$H$92,"&lt;0")-SUMIFS('Daftar Koreksi'!$H$5:$H$92,'Daftar Koreksi'!$D$5:$D$92,'0500'!A1544,'Daftar Koreksi'!$G$5:$G$92,"Tanah",'Daftar Koreksi'!$H$5:$H$92,"&lt;0")</f>
        <v>0</v>
      </c>
      <c r="G1548" s="17">
        <f t="shared" ref="G1548:G1564" si="70">D1548+E1548-F1548</f>
        <v>568250000</v>
      </c>
      <c r="H1548" s="122"/>
    </row>
    <row r="1549" spans="1:10" ht="21.95" customHeight="1">
      <c r="A1549" s="14"/>
      <c r="B1549" s="14"/>
      <c r="C1549" s="16" t="s">
        <v>1167</v>
      </c>
      <c r="D1549" s="17">
        <f>VLOOKUP(A1544,'Neraca Unaudited SIMAK'!$A$2:$S$10004,5,FALSE)</f>
        <v>1193004588</v>
      </c>
      <c r="E1549" s="25">
        <f>SUMIFS('Daftar Koreksi'!$H$5:$H$92,'Daftar Koreksi'!$D$5:$D$92,'0500'!A1544,'Daftar Koreksi'!$G$5:$G$92,"Peralatan dan mesin",'Daftar Koreksi'!$H$5:$H$92,"&gt;0")</f>
        <v>0</v>
      </c>
      <c r="F1549" s="25">
        <f>SUMIFS('Daftar Koreksi'!$H$5:$H$92,'Daftar Koreksi'!$D$5:$D$92,'0500'!A1544,'Daftar Koreksi'!$G$5:$G$92,"Peralatan dan mesin",'Daftar Koreksi'!$H$5:$H$92,"&lt;0")-SUMIFS('Daftar Koreksi'!$H$5:$H$92,'Daftar Koreksi'!$D$5:$D$92,'0500'!A1544,'Daftar Koreksi'!$G$5:$G$92,"Peralatan dan mesin",'Daftar Koreksi'!$H$5:$H$92,"&lt;0")-SUMIFS('Daftar Koreksi'!$H$5:$H$92,'Daftar Koreksi'!$D$5:$D$92,'0500'!A1544,'Daftar Koreksi'!$G$5:$G$92,"Peralatan dan mesin",'Daftar Koreksi'!$H$5:$H$92,"&lt;0")</f>
        <v>0</v>
      </c>
      <c r="G1549" s="17">
        <f t="shared" si="70"/>
        <v>1193004588</v>
      </c>
      <c r="H1549" s="122"/>
    </row>
    <row r="1550" spans="1:10" ht="21.95" customHeight="1">
      <c r="A1550" s="14"/>
      <c r="B1550" s="14"/>
      <c r="C1550" s="16" t="s">
        <v>1168</v>
      </c>
      <c r="D1550" s="17">
        <f>VLOOKUP(A1544,'Neraca Unaudited SIMAK'!$A$2:$S$10004,6,FALSE)</f>
        <v>503954462</v>
      </c>
      <c r="E1550" s="25">
        <f>SUMIFS('Daftar Koreksi'!$H$5:$H$92,'Daftar Koreksi'!$D$5:$D$92,'0500'!A1544,'Daftar Koreksi'!$G$5:$G$92,"Gedung dan Bangunan",'Daftar Koreksi'!$H$5:$H$92,"&gt;0")</f>
        <v>0</v>
      </c>
      <c r="F1550" s="25">
        <f>SUMIFS('Daftar Koreksi'!$H$5:$H$92,'Daftar Koreksi'!$D$5:$D$92,'0500'!A1544,'Daftar Koreksi'!$G$5:$G$92,"Gedung dan Bangunan",'Daftar Koreksi'!$H$5:$H$92,"&lt;0")-SUMIFS('Daftar Koreksi'!$H$5:$H$92,'Daftar Koreksi'!$D$5:$D$92,'0500'!A1544,'Daftar Koreksi'!$G$5:$G$92,"Gedung dan Bangunan",'Daftar Koreksi'!$H$5:$H$92,"&lt;0")-SUMIFS('Daftar Koreksi'!$H$5:$H$92,'Daftar Koreksi'!$D$5:$D$92,'0500'!A1544,'Daftar Koreksi'!$G$5:$G$92,"Gedung dan Bangunan",'Daftar Koreksi'!$H$5:$H$92,"&lt;0")</f>
        <v>0</v>
      </c>
      <c r="G1550" s="17">
        <f t="shared" si="70"/>
        <v>503954462</v>
      </c>
      <c r="H1550" s="122"/>
    </row>
    <row r="1551" spans="1:10" ht="21.95" customHeight="1">
      <c r="A1551" s="14"/>
      <c r="B1551" s="14"/>
      <c r="C1551" s="16" t="s">
        <v>1169</v>
      </c>
      <c r="D1551" s="17">
        <f>VLOOKUP(A1544,'Neraca Unaudited SIMAK'!$A$2:$S$10004,7,FALSE)</f>
        <v>63927384</v>
      </c>
      <c r="E1551" s="25">
        <f>SUMIFS('Daftar Koreksi'!$H$5:$H$92,'Daftar Koreksi'!$D$5:$D$92,'0500'!A1544,'Daftar Koreksi'!$G$5:$G$92,"Jalan Irigasi Jaringan",'Daftar Koreksi'!$H$5:$H$92,"&gt;0")</f>
        <v>0</v>
      </c>
      <c r="F1551" s="25">
        <f>SUMIFS('Daftar Koreksi'!$H$5:$H$92,'Daftar Koreksi'!$D$5:$D$92,'0500'!A1544,'Daftar Koreksi'!$G$5:$G$92,"Jalan Irigasi Jaringan",'Daftar Koreksi'!$H$5:$H$92,"&lt;0")-SUMIFS('Daftar Koreksi'!$H$5:$H$92,'Daftar Koreksi'!$D$5:$D$92,'0500'!A1544,'Daftar Koreksi'!$G$5:$G$92,"Jalan Irigasi Jaringan",'Daftar Koreksi'!$H$5:$H$92,"&lt;0")-SUMIFS('Daftar Koreksi'!$H$5:$H$92,'Daftar Koreksi'!$D$5:$D$92,'0500'!A1544,'Daftar Koreksi'!$G$5:$G$92,"Jalan Irigasi Jaringan",'Daftar Koreksi'!$H$5:$H$92,"&lt;0")</f>
        <v>0</v>
      </c>
      <c r="G1551" s="17">
        <f t="shared" si="70"/>
        <v>63927384</v>
      </c>
      <c r="H1551" s="122"/>
    </row>
    <row r="1552" spans="1:10" ht="21.95" customHeight="1">
      <c r="A1552" s="14"/>
      <c r="B1552" s="14"/>
      <c r="C1552" s="16" t="s">
        <v>1170</v>
      </c>
      <c r="D1552" s="17">
        <f>VLOOKUP(A1544,'Neraca Unaudited SIMAK'!$A$2:$S$10004,8,FALSE)</f>
        <v>788000</v>
      </c>
      <c r="E1552" s="25">
        <f>SUMIFS('Daftar Koreksi'!$H$5:$H$92,'Daftar Koreksi'!$D$5:$D$92,'0500'!A1544,'Daftar Koreksi'!$G$5:$G$92,"Aset Tetap Lainnya",'Daftar Koreksi'!$H$5:$H$92,"&gt;0")</f>
        <v>0</v>
      </c>
      <c r="F1552" s="25">
        <f>SUMIFS('Daftar Koreksi'!$H$5:$H$92,'Daftar Koreksi'!$D$5:$D$92,'0500'!A1544,'Daftar Koreksi'!$G$5:$G$92,"Aset Tetap Lainnya",'Daftar Koreksi'!$H$5:$H$92,"&lt;0")-SUMIFS('Daftar Koreksi'!$H$5:$H$92,'Daftar Koreksi'!$D$5:$D$92,'0500'!A1544,'Daftar Koreksi'!$G$5:$G$92,"Aset Tetap Lainnya",'Daftar Koreksi'!$H$5:$H$92,"&lt;0")-SUMIFS('Daftar Koreksi'!$H$5:$H$92,'Daftar Koreksi'!$D$5:$D$92,'0500'!A1544,'Daftar Koreksi'!$G$5:$G$92,"Aset Tetap Lainnya",'Daftar Koreksi'!$H$5:$H$92,"&lt;0")</f>
        <v>0</v>
      </c>
      <c r="G1552" s="17">
        <f t="shared" si="70"/>
        <v>788000</v>
      </c>
      <c r="H1552" s="122"/>
    </row>
    <row r="1553" spans="1:8" ht="21.95" customHeight="1">
      <c r="A1553" s="14"/>
      <c r="B1553" s="14"/>
      <c r="C1553" s="16" t="s">
        <v>1171</v>
      </c>
      <c r="D1553" s="17">
        <f>VLOOKUP(A1544,'Neraca Unaudited SIMAK'!$A$2:$S$10004,9,FALSE)</f>
        <v>0</v>
      </c>
      <c r="E1553" s="25">
        <f>SUMIFS('Daftar Koreksi'!$H$5:$H$92,'Daftar Koreksi'!$D$5:$D$92,'0500'!A1544,'Daftar Koreksi'!$G$5:$G$92,"Kontruksi Dalam Pengerjaan",'Daftar Koreksi'!$H$5:$H$92,"&gt;0")</f>
        <v>0</v>
      </c>
      <c r="F1553" s="25">
        <f>SUMIFS('Daftar Koreksi'!$H$5:$H$92,'Daftar Koreksi'!$D$5:$D$92,'0500'!A1544,'Daftar Koreksi'!$G$5:$G$92,"Kontruksi Dalam Pengerjaan",'Daftar Koreksi'!$H$5:$H$92,"&lt;0")-SUMIFS('Daftar Koreksi'!$H$5:$H$92,'Daftar Koreksi'!$D$5:$D$92,'0500'!A1544,'Daftar Koreksi'!$G$5:$G$92,"Kontruksi Dalam Pengerjaan",'Daftar Koreksi'!$H$5:$H$92,"&lt;0")-SUMIFS('Daftar Koreksi'!$H$5:$H$92,'Daftar Koreksi'!$D$5:$D$92,'0500'!A1544,'Daftar Koreksi'!$G$5:$G$92,"Kontruksi Dalam Pengerjaan",'Daftar Koreksi'!$H$5:$H$92,"&lt;0")</f>
        <v>0</v>
      </c>
      <c r="G1553" s="17">
        <f t="shared" si="70"/>
        <v>0</v>
      </c>
      <c r="H1553" s="122"/>
    </row>
    <row r="1554" spans="1:8" ht="21.95" customHeight="1">
      <c r="A1554" s="14"/>
      <c r="B1554" s="14"/>
      <c r="C1554" s="16" t="s">
        <v>1172</v>
      </c>
      <c r="D1554" s="17">
        <f>VLOOKUP(A1544,'Neraca Unaudited SIMAK'!$A$2:$S$10004,10,FALSE)</f>
        <v>3480000</v>
      </c>
      <c r="E1554" s="25">
        <f>SUMIFS('Daftar Koreksi'!$H$5:$H$92,'Daftar Koreksi'!$D$5:$D$92,'0500'!A1544,'Daftar Koreksi'!$G$5:$G$92,"Aset Tak Berwujud",'Daftar Koreksi'!$H$5:$H$92,"&gt;0")</f>
        <v>0</v>
      </c>
      <c r="F1554" s="25">
        <f>SUMIFS('Daftar Koreksi'!$H$5:$H$92,'Daftar Koreksi'!$D$5:$D$92,'0500'!A1544,'Daftar Koreksi'!$G$5:$G$92,"Aset Tak Berwujud",'Daftar Koreksi'!$H$5:$H$92,"&lt;0")-SUMIFS('Daftar Koreksi'!$H$5:$H$92,'Daftar Koreksi'!$D$5:$D$92,'0500'!A1544,'Daftar Koreksi'!$G$5:$G$92,"Aset Tak Berwujud",'Daftar Koreksi'!$H$5:$H$92,"&lt;0")-SUMIFS('Daftar Koreksi'!$H$5:$H$92,'Daftar Koreksi'!$D$5:$D$92,'0500'!A1544,'Daftar Koreksi'!$G$5:$G$92,"Aset Tak Berwujud",'Daftar Koreksi'!$H$5:$H$92,"&lt;0")</f>
        <v>0</v>
      </c>
      <c r="G1554" s="17">
        <f t="shared" si="70"/>
        <v>3480000</v>
      </c>
      <c r="H1554" s="122"/>
    </row>
    <row r="1555" spans="1:8" ht="21.95" customHeight="1">
      <c r="A1555" s="14"/>
      <c r="B1555" s="14"/>
      <c r="C1555" s="16" t="s">
        <v>1173</v>
      </c>
      <c r="D1555" s="17">
        <f>VLOOKUP(A1544,'Neraca Unaudited SIMAK'!$A$2:$S$10004,11,FALSE)</f>
        <v>0</v>
      </c>
      <c r="E1555" s="25">
        <f>SUMIFS('Daftar Koreksi'!$H$5:$H$92,'Daftar Koreksi'!$D$5:$D$92,'0500'!A1544,'Daftar Koreksi'!$G$5:$G$92,"Aset Henti Guna",'Daftar Koreksi'!$H$5:$H$92,"&gt;0")</f>
        <v>0</v>
      </c>
      <c r="F1555" s="25">
        <f>SUMIFS('Daftar Koreksi'!$H$5:$H$92,'Daftar Koreksi'!$D$5:$D$92,'0500'!A1544,'Daftar Koreksi'!$G$5:$G$92,"Aset Henti Guna",'Daftar Koreksi'!$H$5:$H$92,"&lt;0")-SUMIFS('Daftar Koreksi'!$H$5:$H$92,'Daftar Koreksi'!$D$5:$D$92,'0500'!A1544,'Daftar Koreksi'!$G$5:$G$92,"Aset Henti Guna",'Daftar Koreksi'!$H$5:$H$92,"&lt;0")-SUMIFS('Daftar Koreksi'!$H$5:$H$92,'Daftar Koreksi'!$D$5:$D$92,'0500'!A1544,'Daftar Koreksi'!$G$5:$G$92,"Aset Henti Guna",'Daftar Koreksi'!$H$5:$H$92,"&lt;0")</f>
        <v>0</v>
      </c>
      <c r="G1555" s="17">
        <f t="shared" si="70"/>
        <v>0</v>
      </c>
      <c r="H1555" s="122"/>
    </row>
    <row r="1556" spans="1:8" ht="21.95" customHeight="1">
      <c r="A1556" s="14"/>
      <c r="B1556" s="14"/>
      <c r="C1556" s="18" t="s">
        <v>2093</v>
      </c>
      <c r="D1556" s="19">
        <f>VLOOKUP(A1544,'Neraca Unaudited SIMAK'!$A$2:$S$10004,12,FALSE)</f>
        <v>2335558541</v>
      </c>
      <c r="E1556" s="19">
        <f>SUM(E1547:E1555)</f>
        <v>0</v>
      </c>
      <c r="F1556" s="19">
        <f>SUM(F1547:F1555)</f>
        <v>0</v>
      </c>
      <c r="G1556" s="19">
        <f t="shared" si="70"/>
        <v>2335558541</v>
      </c>
      <c r="H1556" s="122"/>
    </row>
    <row r="1557" spans="1:8" ht="21.95" customHeight="1">
      <c r="A1557" s="14"/>
      <c r="B1557" s="14"/>
      <c r="C1557" s="16" t="s">
        <v>2087</v>
      </c>
      <c r="D1557" s="17">
        <f>VLOOKUP(A1544,'Neraca Unaudited SIMAK'!$A$2:$S$10004,13,FALSE)</f>
        <v>-811406879</v>
      </c>
      <c r="E1557" s="25">
        <f>SUMIFS('Daftar Koreksi'!$I$5:$I$92,'Daftar Koreksi'!$D$5:$D$92,'0500'!A1544,'Daftar Koreksi'!$G$5:$G$92,"Peralatan dan mesin",'Daftar Koreksi'!$I$5:$I$92,"&gt;0")</f>
        <v>0</v>
      </c>
      <c r="F1557" s="25">
        <f>SUMIFS('Daftar Koreksi'!$I$5:$I$92,'Daftar Koreksi'!$D$5:$D$92,'0500'!A1544,'Daftar Koreksi'!$G$5:$G$92,"Peralatan dan mesin",'Daftar Koreksi'!$I$5:$I$92,"&lt;0")-SUMIFS('Daftar Koreksi'!$I$5:$I$92,'Daftar Koreksi'!$D$5:$D$92,'0500'!A1544,'Daftar Koreksi'!$G$5:$G$92,"Peralatan dan mesin",'Daftar Koreksi'!$I$5:$I$92,"&lt;0")-SUMIFS('Daftar Koreksi'!$I$5:$I$92,'Daftar Koreksi'!$D$5:$D$92,'0500'!A1544,'Daftar Koreksi'!$G$5:$G$92,"Peralatan dan mesin",'Daftar Koreksi'!$I$5:$I$92,"&lt;0")</f>
        <v>0</v>
      </c>
      <c r="G1557" s="17">
        <f t="shared" si="70"/>
        <v>-811406879</v>
      </c>
      <c r="H1557" s="122"/>
    </row>
    <row r="1558" spans="1:8" ht="21.95" customHeight="1">
      <c r="A1558" s="14"/>
      <c r="B1558" s="14"/>
      <c r="C1558" s="16" t="s">
        <v>2088</v>
      </c>
      <c r="D1558" s="17">
        <f>VLOOKUP(A1544,'Neraca Unaudited SIMAK'!$A$2:$S$10004,14,FALSE)</f>
        <v>-181591689</v>
      </c>
      <c r="E1558" s="25">
        <f>SUMIFS('Daftar Koreksi'!$I$5:$I$92,'Daftar Koreksi'!$D$5:$D$92,'0500'!A1544,'Daftar Koreksi'!$G$5:$G$92,"Gedung dan Bangunan",'Daftar Koreksi'!$I$5:$I$92,"&gt;0")</f>
        <v>0</v>
      </c>
      <c r="F1558" s="25">
        <f>SUMIFS('Daftar Koreksi'!$I$5:$I$92,'Daftar Koreksi'!$D$5:$D$92,'0500'!A1544,'Daftar Koreksi'!$G$5:$G$92,"Gedung dan Bangunan",'Daftar Koreksi'!$I$5:$I$92,"&lt;0")-SUMIFS('Daftar Koreksi'!$I$5:$I$92,'Daftar Koreksi'!$D$5:$D$92,'0500'!A1544,'Daftar Koreksi'!$G$5:$G$92,"Gedung dan Bangunan",'Daftar Koreksi'!$I$5:$I$92,"&lt;0")-SUMIFS('Daftar Koreksi'!$I$5:$I$92,'Daftar Koreksi'!$D$5:$D$92,'0500'!A1544,'Daftar Koreksi'!$G$5:$G$92,"Gedung dan Bangunan",'Daftar Koreksi'!$I$5:$I$92,"&lt;0")</f>
        <v>0</v>
      </c>
      <c r="G1558" s="17">
        <f t="shared" si="70"/>
        <v>-181591689</v>
      </c>
      <c r="H1558" s="122"/>
    </row>
    <row r="1559" spans="1:8" ht="21.95" customHeight="1">
      <c r="A1559" s="14"/>
      <c r="B1559" s="14"/>
      <c r="C1559" s="16" t="s">
        <v>2089</v>
      </c>
      <c r="D1559" s="17">
        <f>VLOOKUP(A1544,'Neraca Unaudited SIMAK'!$A$2:$S$10004,15,FALSE)</f>
        <v>-46929038</v>
      </c>
      <c r="E1559" s="25">
        <f>SUMIFS('Daftar Koreksi'!$I$5:$I$92,'Daftar Koreksi'!$D$5:$D$92,'0500'!A1544,'Daftar Koreksi'!$G$5:$G$92,"Jalan Irigasi Jaringan",'Daftar Koreksi'!$I$5:$I$92,"&gt;0")</f>
        <v>0</v>
      </c>
      <c r="F1559" s="25">
        <f>SUMIFS('Daftar Koreksi'!$I$5:$I$92,'Daftar Koreksi'!$D$5:$D$92,'0500'!A1544,'Daftar Koreksi'!$G$5:$G$92,"Jalan Irigasi Jaringan",'Daftar Koreksi'!$I$5:$I$92,"&lt;0")-SUMIFS('Daftar Koreksi'!$I$5:$I$92,'Daftar Koreksi'!$D$5:$D$92,'0500'!A1544,'Daftar Koreksi'!$G$5:$G$92,"Jalan Irigasi Jaringan",'Daftar Koreksi'!$I$5:$I$92,"&lt;0")-SUMIFS('Daftar Koreksi'!$I$5:$I$92,'Daftar Koreksi'!$D$5:$D$92,'0500'!A1544,'Daftar Koreksi'!$G$5:$G$92,"Jalan Irigasi Jaringan",'Daftar Koreksi'!$I$5:$I$92,"&lt;0")</f>
        <v>0</v>
      </c>
      <c r="G1559" s="17">
        <f t="shared" si="70"/>
        <v>-46929038</v>
      </c>
      <c r="H1559" s="122"/>
    </row>
    <row r="1560" spans="1:8" ht="21.95" customHeight="1">
      <c r="A1560" s="14"/>
      <c r="B1560" s="14"/>
      <c r="C1560" s="16" t="s">
        <v>2090</v>
      </c>
      <c r="D1560" s="17">
        <f>VLOOKUP(A1544,'Neraca Unaudited SIMAK'!$A$2:$S$10004,16,FALSE)</f>
        <v>0</v>
      </c>
      <c r="E1560" s="25">
        <f>SUMIFS('Daftar Koreksi'!$I$5:$I$92,'Daftar Koreksi'!$D$5:$D$92,'0500'!A1544,'Daftar Koreksi'!$G$5:$G$92,"Aset Tetap Lainnya",'Daftar Koreksi'!$I$5:$I$92,"&gt;0")</f>
        <v>0</v>
      </c>
      <c r="F1560" s="25">
        <f>SUMIFS('Daftar Koreksi'!$I$5:$I$92,'Daftar Koreksi'!$D$5:$D$92,'0500'!A1544,'Daftar Koreksi'!$G$5:$G$92,"Aset Tetap Lainnya",'Daftar Koreksi'!$I$5:$I$92,"&lt;0")-SUMIFS('Daftar Koreksi'!$I$5:$I$92,'Daftar Koreksi'!$D$5:$D$92,'0500'!A1544,'Daftar Koreksi'!$G$5:$G$92,"Aset Tetap Lainnya",'Daftar Koreksi'!$I$5:$I$92,"&lt;0")-SUMIFS('Daftar Koreksi'!$I$5:$I$92,'Daftar Koreksi'!$D$5:$D$92,'0500'!A1544,'Daftar Koreksi'!$G$5:$G$92,"Aset Tetap Lainnya",'Daftar Koreksi'!$I$5:$I$92,"&lt;0")</f>
        <v>0</v>
      </c>
      <c r="G1560" s="17">
        <f t="shared" si="70"/>
        <v>0</v>
      </c>
      <c r="H1560" s="122"/>
    </row>
    <row r="1561" spans="1:8" ht="21.95" customHeight="1">
      <c r="A1561" s="14"/>
      <c r="B1561" s="14"/>
      <c r="C1561" s="16" t="s">
        <v>2020</v>
      </c>
      <c r="D1561" s="17">
        <f>VLOOKUP(A1544,'Neraca Unaudited SIMAK'!$A$2:$S$10004,17,FALSE)</f>
        <v>0</v>
      </c>
      <c r="E1561" s="25">
        <f>SUMIFS('Daftar Koreksi'!$I$5:$I$92,'Daftar Koreksi'!$D$5:$D$92,'0500'!A1544,'Daftar Koreksi'!$G$5:$G$92,"Aset Henti Guna",'Daftar Koreksi'!$I$5:$I$92,"&gt;0")</f>
        <v>0</v>
      </c>
      <c r="F1561" s="25">
        <f>SUMIFS('Daftar Koreksi'!$I$5:$I$92,'Daftar Koreksi'!$D$5:$D$92,'0500'!A1544,'Daftar Koreksi'!$G$5:$G$92,"Aset Henti Guna",'Daftar Koreksi'!$I$5:$I$92,"&lt;0")-SUMIFS('Daftar Koreksi'!$I$5:$I$92,'Daftar Koreksi'!$D$5:$D$92,'0500'!A1544,'Daftar Koreksi'!$G$5:$G$92,"Aset Henti Guna",'Daftar Koreksi'!$I$5:$I$92,"&lt;0")-SUMIFS('Daftar Koreksi'!$I$5:$I$92,'Daftar Koreksi'!$D$5:$D$92,'0500'!A1544,'Daftar Koreksi'!$G$5:$G$92,"Aset Henti Guna",'Daftar Koreksi'!$I$5:$I$92,"&lt;0")</f>
        <v>0</v>
      </c>
      <c r="G1561" s="17">
        <f t="shared" si="70"/>
        <v>0</v>
      </c>
      <c r="H1561" s="122"/>
    </row>
    <row r="1562" spans="1:8" ht="21.95" customHeight="1">
      <c r="A1562" s="14"/>
      <c r="B1562" s="14"/>
      <c r="C1562" s="18" t="s">
        <v>2094</v>
      </c>
      <c r="D1562" s="19">
        <f>SUM(D1557:D1561)</f>
        <v>-1039927606</v>
      </c>
      <c r="E1562" s="19">
        <f>SUM(E1557:E1561)</f>
        <v>0</v>
      </c>
      <c r="F1562" s="19">
        <f>SUM(F1557:F1561)</f>
        <v>0</v>
      </c>
      <c r="G1562" s="19">
        <f t="shared" si="70"/>
        <v>-1039927606</v>
      </c>
      <c r="H1562" s="122"/>
    </row>
    <row r="1563" spans="1:8" ht="21.95" customHeight="1">
      <c r="A1563" s="14"/>
      <c r="B1563" s="14"/>
      <c r="C1563" s="18" t="s">
        <v>2095</v>
      </c>
      <c r="D1563" s="19">
        <f>VLOOKUP(A1544,'Neraca Unaudited SIMAK'!$A$2:$S$10004,18,FALSE)</f>
        <v>1295630935</v>
      </c>
      <c r="E1563" s="19">
        <f>E1562+E1556</f>
        <v>0</v>
      </c>
      <c r="F1563" s="19">
        <f>F1562+F1556</f>
        <v>0</v>
      </c>
      <c r="G1563" s="19">
        <f t="shared" si="70"/>
        <v>1295630935</v>
      </c>
      <c r="H1563" s="122"/>
    </row>
    <row r="1564" spans="1:8" ht="21.95" customHeight="1">
      <c r="A1564" s="14"/>
      <c r="B1564" s="14"/>
      <c r="C1564" s="16" t="s">
        <v>2091</v>
      </c>
      <c r="D1564" s="17">
        <f>VLOOKUP(A1544,'Neraca Unaudited SIMAK'!$A$2:$S$10004,19,FALSE)</f>
        <v>0</v>
      </c>
      <c r="E1564" s="25"/>
      <c r="F1564" s="25"/>
      <c r="G1564" s="17">
        <f t="shared" si="70"/>
        <v>0</v>
      </c>
      <c r="H1564" s="123"/>
    </row>
    <row r="1566" spans="1:8" ht="19.5" customHeight="1">
      <c r="A1566" s="11" t="str">
        <f>O72</f>
        <v>005010500450737000KD</v>
      </c>
      <c r="B1566" s="11" t="str">
        <f>P72</f>
        <v>PA. Tuban</v>
      </c>
      <c r="C1566" s="12" t="str">
        <f>A1566&amp;" "&amp;B1566</f>
        <v>005010500450737000KD PA. Tuban</v>
      </c>
      <c r="D1566" s="13"/>
      <c r="E1566" s="13"/>
      <c r="F1566" s="13"/>
      <c r="G1566" s="13"/>
      <c r="H1566" s="11"/>
    </row>
    <row r="1567" spans="1:8" ht="21.95" customHeight="1">
      <c r="A1567" s="14"/>
      <c r="B1567" s="14"/>
      <c r="C1567" s="124" t="s">
        <v>1982</v>
      </c>
      <c r="D1567" s="126" t="s">
        <v>1983</v>
      </c>
      <c r="E1567" s="132" t="s">
        <v>1984</v>
      </c>
      <c r="F1567" s="132"/>
      <c r="G1567" s="126" t="s">
        <v>1987</v>
      </c>
      <c r="H1567" s="130" t="s">
        <v>1175</v>
      </c>
    </row>
    <row r="1568" spans="1:8" ht="21.95" customHeight="1">
      <c r="A1568" s="14"/>
      <c r="B1568" s="14"/>
      <c r="C1568" s="125"/>
      <c r="D1568" s="127"/>
      <c r="E1568" s="26" t="s">
        <v>1985</v>
      </c>
      <c r="F1568" s="26" t="s">
        <v>1986</v>
      </c>
      <c r="G1568" s="127"/>
      <c r="H1568" s="131"/>
    </row>
    <row r="1569" spans="1:8" ht="21.95" customHeight="1">
      <c r="A1569" s="14"/>
      <c r="B1569" s="14"/>
      <c r="C1569" s="16" t="s">
        <v>1165</v>
      </c>
      <c r="D1569" s="17">
        <f>VLOOKUP(A1566,'Neraca Unaudited SIMAK'!$A$2:$S$10004,3,FALSE)</f>
        <v>1213250</v>
      </c>
      <c r="E1569" s="25">
        <f>SUMIFS('Daftar Koreksi'!$H$5:$H$92,'Daftar Koreksi'!$D$5:$D$92,'0500'!A1566,'Daftar Koreksi'!$G$5:$G$92,"Persediaan",'Daftar Koreksi'!$H$5:$H$92,"&gt;0")</f>
        <v>0</v>
      </c>
      <c r="F1569" s="25">
        <f>SUMIFS('Daftar Koreksi'!$H$5:$H$92,'Daftar Koreksi'!$D$5:$D$92,'0500'!A1566,'Daftar Koreksi'!$G$5:$G$92,"Persediaan",'Daftar Koreksi'!$H$5:$H$92,"&lt;0")-SUMIFS('Daftar Koreksi'!$H$5:$H$92,'Daftar Koreksi'!$D$5:$D$92,'0500'!A1566,'Daftar Koreksi'!$G$5:$G$92,"Persediaan",'Daftar Koreksi'!$H$5:$H$92,"&lt;0")-SUMIFS('Daftar Koreksi'!$H$5:$H$92,'Daftar Koreksi'!$D$5:$D$92,'0500'!A1566,'Daftar Koreksi'!$G$5:$G$92,"Persediaan",'Daftar Koreksi'!$H$5:$H$92,"&lt;0")</f>
        <v>0</v>
      </c>
      <c r="G1569" s="17">
        <f>D1569+E1569-F1569</f>
        <v>1213250</v>
      </c>
      <c r="H1569" s="121" t="str">
        <f>IF(ISNA(VLOOKUP(A1566,'Mutasi Neraca'!$A$3:$S$914,19,FALSE)),"-",VLOOKUP(A1566,'Mutasi Neraca'!$A$3:$S$914,19,FALSE))</f>
        <v>-</v>
      </c>
    </row>
    <row r="1570" spans="1:8" ht="21.95" customHeight="1">
      <c r="A1570" s="14"/>
      <c r="B1570" s="14"/>
      <c r="C1570" s="16" t="s">
        <v>1166</v>
      </c>
      <c r="D1570" s="17">
        <f>VLOOKUP(A1566,'Neraca Unaudited SIMAK'!$A$2:$S$10004,4,FALSE)</f>
        <v>4396999990</v>
      </c>
      <c r="E1570" s="25">
        <f>SUMIFS('Daftar Koreksi'!$H$5:$H$92,'Daftar Koreksi'!$D$5:$D$92,'0500'!A1566,'Daftar Koreksi'!$G$5:$G$92,"Tanah",'Daftar Koreksi'!$H$5:$H$92,"&gt;0")</f>
        <v>0</v>
      </c>
      <c r="F1570" s="25">
        <f>SUMIFS('Daftar Koreksi'!$H$5:$H$92,'Daftar Koreksi'!$D$5:$D$92,'0500'!A1566,'Daftar Koreksi'!$G$5:$G$92,"Tanah",'Daftar Koreksi'!$H$5:$H$92,"&lt;0")-SUMIFS('Daftar Koreksi'!$H$5:$H$92,'Daftar Koreksi'!$D$5:$D$92,'0500'!A1566,'Daftar Koreksi'!$G$5:$G$92,"Tanah",'Daftar Koreksi'!$H$5:$H$92,"&lt;0")-SUMIFS('Daftar Koreksi'!$H$5:$H$92,'Daftar Koreksi'!$D$5:$D$92,'0500'!A1566,'Daftar Koreksi'!$G$5:$G$92,"Tanah",'Daftar Koreksi'!$H$5:$H$92,"&lt;0")</f>
        <v>0</v>
      </c>
      <c r="G1570" s="17">
        <f t="shared" ref="G1570:G1586" si="71">D1570+E1570-F1570</f>
        <v>4396999990</v>
      </c>
      <c r="H1570" s="122"/>
    </row>
    <row r="1571" spans="1:8" ht="21.95" customHeight="1">
      <c r="A1571" s="14"/>
      <c r="B1571" s="14"/>
      <c r="C1571" s="16" t="s">
        <v>1167</v>
      </c>
      <c r="D1571" s="17">
        <f>VLOOKUP(A1566,'Neraca Unaudited SIMAK'!$A$2:$S$10004,5,FALSE)</f>
        <v>1171267677</v>
      </c>
      <c r="E1571" s="25">
        <f>SUMIFS('Daftar Koreksi'!$H$5:$H$92,'Daftar Koreksi'!$D$5:$D$92,'0500'!A1566,'Daftar Koreksi'!$G$5:$G$92,"Peralatan dan mesin",'Daftar Koreksi'!$H$5:$H$92,"&gt;0")</f>
        <v>0</v>
      </c>
      <c r="F1571" s="25">
        <f>SUMIFS('Daftar Koreksi'!$H$5:$H$92,'Daftar Koreksi'!$D$5:$D$92,'0500'!A1566,'Daftar Koreksi'!$G$5:$G$92,"Peralatan dan mesin",'Daftar Koreksi'!$H$5:$H$92,"&lt;0")-SUMIFS('Daftar Koreksi'!$H$5:$H$92,'Daftar Koreksi'!$D$5:$D$92,'0500'!A1566,'Daftar Koreksi'!$G$5:$G$92,"Peralatan dan mesin",'Daftar Koreksi'!$H$5:$H$92,"&lt;0")-SUMIFS('Daftar Koreksi'!$H$5:$H$92,'Daftar Koreksi'!$D$5:$D$92,'0500'!A1566,'Daftar Koreksi'!$G$5:$G$92,"Peralatan dan mesin",'Daftar Koreksi'!$H$5:$H$92,"&lt;0")</f>
        <v>0</v>
      </c>
      <c r="G1571" s="17">
        <f t="shared" si="71"/>
        <v>1171267677</v>
      </c>
      <c r="H1571" s="122"/>
    </row>
    <row r="1572" spans="1:8" ht="21.95" customHeight="1">
      <c r="A1572" s="14"/>
      <c r="B1572" s="14"/>
      <c r="C1572" s="16" t="s">
        <v>1168</v>
      </c>
      <c r="D1572" s="17">
        <f>VLOOKUP(A1566,'Neraca Unaudited SIMAK'!$A$2:$S$10004,6,FALSE)</f>
        <v>1221076000</v>
      </c>
      <c r="E1572" s="25">
        <f>SUMIFS('Daftar Koreksi'!$H$5:$H$92,'Daftar Koreksi'!$D$5:$D$92,'0500'!A1566,'Daftar Koreksi'!$G$5:$G$92,"Gedung dan Bangunan",'Daftar Koreksi'!$H$5:$H$92,"&gt;0")</f>
        <v>0</v>
      </c>
      <c r="F1572" s="25">
        <f>SUMIFS('Daftar Koreksi'!$H$5:$H$92,'Daftar Koreksi'!$D$5:$D$92,'0500'!A1566,'Daftar Koreksi'!$G$5:$G$92,"Gedung dan Bangunan",'Daftar Koreksi'!$H$5:$H$92,"&lt;0")-SUMIFS('Daftar Koreksi'!$H$5:$H$92,'Daftar Koreksi'!$D$5:$D$92,'0500'!A1566,'Daftar Koreksi'!$G$5:$G$92,"Gedung dan Bangunan",'Daftar Koreksi'!$H$5:$H$92,"&lt;0")-SUMIFS('Daftar Koreksi'!$H$5:$H$92,'Daftar Koreksi'!$D$5:$D$92,'0500'!A1566,'Daftar Koreksi'!$G$5:$G$92,"Gedung dan Bangunan",'Daftar Koreksi'!$H$5:$H$92,"&lt;0")</f>
        <v>0</v>
      </c>
      <c r="G1572" s="17">
        <f t="shared" si="71"/>
        <v>1221076000</v>
      </c>
      <c r="H1572" s="122"/>
    </row>
    <row r="1573" spans="1:8" ht="21.95" customHeight="1">
      <c r="A1573" s="14"/>
      <c r="B1573" s="14"/>
      <c r="C1573" s="16" t="s">
        <v>1169</v>
      </c>
      <c r="D1573" s="17">
        <f>VLOOKUP(A1566,'Neraca Unaudited SIMAK'!$A$2:$S$10004,7,FALSE)</f>
        <v>0</v>
      </c>
      <c r="E1573" s="25">
        <f>SUMIFS('Daftar Koreksi'!$H$5:$H$92,'Daftar Koreksi'!$D$5:$D$92,'0500'!A1566,'Daftar Koreksi'!$G$5:$G$92,"Jalan Irigasi Jaringan",'Daftar Koreksi'!$H$5:$H$92,"&gt;0")</f>
        <v>0</v>
      </c>
      <c r="F1573" s="25">
        <f>SUMIFS('Daftar Koreksi'!$H$5:$H$92,'Daftar Koreksi'!$D$5:$D$92,'0500'!A1566,'Daftar Koreksi'!$G$5:$G$92,"Jalan Irigasi Jaringan",'Daftar Koreksi'!$H$5:$H$92,"&lt;0")-SUMIFS('Daftar Koreksi'!$H$5:$H$92,'Daftar Koreksi'!$D$5:$D$92,'0500'!A1566,'Daftar Koreksi'!$G$5:$G$92,"Jalan Irigasi Jaringan",'Daftar Koreksi'!$H$5:$H$92,"&lt;0")-SUMIFS('Daftar Koreksi'!$H$5:$H$92,'Daftar Koreksi'!$D$5:$D$92,'0500'!A1566,'Daftar Koreksi'!$G$5:$G$92,"Jalan Irigasi Jaringan",'Daftar Koreksi'!$H$5:$H$92,"&lt;0")</f>
        <v>0</v>
      </c>
      <c r="G1573" s="17">
        <f t="shared" si="71"/>
        <v>0</v>
      </c>
      <c r="H1573" s="122"/>
    </row>
    <row r="1574" spans="1:8" ht="21.95" customHeight="1">
      <c r="A1574" s="14"/>
      <c r="B1574" s="14"/>
      <c r="C1574" s="16" t="s">
        <v>1170</v>
      </c>
      <c r="D1574" s="17">
        <f>VLOOKUP(A1566,'Neraca Unaudited SIMAK'!$A$2:$S$10004,8,FALSE)</f>
        <v>4431470</v>
      </c>
      <c r="E1574" s="25">
        <f>SUMIFS('Daftar Koreksi'!$H$5:$H$92,'Daftar Koreksi'!$D$5:$D$92,'0500'!A1566,'Daftar Koreksi'!$G$5:$G$92,"Aset Tetap Lainnya",'Daftar Koreksi'!$H$5:$H$92,"&gt;0")</f>
        <v>0</v>
      </c>
      <c r="F1574" s="25">
        <f>SUMIFS('Daftar Koreksi'!$H$5:$H$92,'Daftar Koreksi'!$D$5:$D$92,'0500'!A1566,'Daftar Koreksi'!$G$5:$G$92,"Aset Tetap Lainnya",'Daftar Koreksi'!$H$5:$H$92,"&lt;0")-SUMIFS('Daftar Koreksi'!$H$5:$H$92,'Daftar Koreksi'!$D$5:$D$92,'0500'!A1566,'Daftar Koreksi'!$G$5:$G$92,"Aset Tetap Lainnya",'Daftar Koreksi'!$H$5:$H$92,"&lt;0")-SUMIFS('Daftar Koreksi'!$H$5:$H$92,'Daftar Koreksi'!$D$5:$D$92,'0500'!A1566,'Daftar Koreksi'!$G$5:$G$92,"Aset Tetap Lainnya",'Daftar Koreksi'!$H$5:$H$92,"&lt;0")</f>
        <v>0</v>
      </c>
      <c r="G1574" s="17">
        <f t="shared" si="71"/>
        <v>4431470</v>
      </c>
      <c r="H1574" s="122"/>
    </row>
    <row r="1575" spans="1:8" ht="21.95" customHeight="1">
      <c r="A1575" s="14"/>
      <c r="B1575" s="14"/>
      <c r="C1575" s="16" t="s">
        <v>1171</v>
      </c>
      <c r="D1575" s="17">
        <f>VLOOKUP(A1566,'Neraca Unaudited SIMAK'!$A$2:$S$10004,9,FALSE)</f>
        <v>0</v>
      </c>
      <c r="E1575" s="25">
        <f>SUMIFS('Daftar Koreksi'!$H$5:$H$92,'Daftar Koreksi'!$D$5:$D$92,'0500'!A1566,'Daftar Koreksi'!$G$5:$G$92,"Kontruksi Dalam Pengerjaan",'Daftar Koreksi'!$H$5:$H$92,"&gt;0")</f>
        <v>0</v>
      </c>
      <c r="F1575" s="25">
        <f>SUMIFS('Daftar Koreksi'!$H$5:$H$92,'Daftar Koreksi'!$D$5:$D$92,'0500'!A1566,'Daftar Koreksi'!$G$5:$G$92,"Kontruksi Dalam Pengerjaan",'Daftar Koreksi'!$H$5:$H$92,"&lt;0")-SUMIFS('Daftar Koreksi'!$H$5:$H$92,'Daftar Koreksi'!$D$5:$D$92,'0500'!A1566,'Daftar Koreksi'!$G$5:$G$92,"Kontruksi Dalam Pengerjaan",'Daftar Koreksi'!$H$5:$H$92,"&lt;0")-SUMIFS('Daftar Koreksi'!$H$5:$H$92,'Daftar Koreksi'!$D$5:$D$92,'0500'!A1566,'Daftar Koreksi'!$G$5:$G$92,"Kontruksi Dalam Pengerjaan",'Daftar Koreksi'!$H$5:$H$92,"&lt;0")</f>
        <v>0</v>
      </c>
      <c r="G1575" s="17">
        <f t="shared" si="71"/>
        <v>0</v>
      </c>
      <c r="H1575" s="122"/>
    </row>
    <row r="1576" spans="1:8" ht="21.95" customHeight="1">
      <c r="A1576" s="14"/>
      <c r="B1576" s="14"/>
      <c r="C1576" s="16" t="s">
        <v>1172</v>
      </c>
      <c r="D1576" s="17">
        <f>VLOOKUP(A1566,'Neraca Unaudited SIMAK'!$A$2:$S$10004,10,FALSE)</f>
        <v>0</v>
      </c>
      <c r="E1576" s="25">
        <f>SUMIFS('Daftar Koreksi'!$H$5:$H$92,'Daftar Koreksi'!$D$5:$D$92,'0500'!A1566,'Daftar Koreksi'!$G$5:$G$92,"Aset Tak Berwujud",'Daftar Koreksi'!$H$5:$H$92,"&gt;0")</f>
        <v>0</v>
      </c>
      <c r="F1576" s="25">
        <f>SUMIFS('Daftar Koreksi'!$H$5:$H$92,'Daftar Koreksi'!$D$5:$D$92,'0500'!A1566,'Daftar Koreksi'!$G$5:$G$92,"Aset Tak Berwujud",'Daftar Koreksi'!$H$5:$H$92,"&lt;0")-SUMIFS('Daftar Koreksi'!$H$5:$H$92,'Daftar Koreksi'!$D$5:$D$92,'0500'!A1566,'Daftar Koreksi'!$G$5:$G$92,"Aset Tak Berwujud",'Daftar Koreksi'!$H$5:$H$92,"&lt;0")-SUMIFS('Daftar Koreksi'!$H$5:$H$92,'Daftar Koreksi'!$D$5:$D$92,'0500'!A1566,'Daftar Koreksi'!$G$5:$G$92,"Aset Tak Berwujud",'Daftar Koreksi'!$H$5:$H$92,"&lt;0")</f>
        <v>0</v>
      </c>
      <c r="G1576" s="17">
        <f t="shared" si="71"/>
        <v>0</v>
      </c>
      <c r="H1576" s="122"/>
    </row>
    <row r="1577" spans="1:8" ht="21.95" customHeight="1">
      <c r="A1577" s="14"/>
      <c r="B1577" s="14"/>
      <c r="C1577" s="16" t="s">
        <v>1173</v>
      </c>
      <c r="D1577" s="17">
        <f>VLOOKUP(A1566,'Neraca Unaudited SIMAK'!$A$2:$S$10004,11,FALSE)</f>
        <v>10893000</v>
      </c>
      <c r="E1577" s="25">
        <f>SUMIFS('Daftar Koreksi'!$H$5:$H$92,'Daftar Koreksi'!$D$5:$D$92,'0500'!A1566,'Daftar Koreksi'!$G$5:$G$92,"Aset Henti Guna",'Daftar Koreksi'!$H$5:$H$92,"&gt;0")</f>
        <v>0</v>
      </c>
      <c r="F1577" s="25">
        <f>SUMIFS('Daftar Koreksi'!$H$5:$H$92,'Daftar Koreksi'!$D$5:$D$92,'0500'!A1566,'Daftar Koreksi'!$G$5:$G$92,"Aset Henti Guna",'Daftar Koreksi'!$H$5:$H$92,"&lt;0")-SUMIFS('Daftar Koreksi'!$H$5:$H$92,'Daftar Koreksi'!$D$5:$D$92,'0500'!A1566,'Daftar Koreksi'!$G$5:$G$92,"Aset Henti Guna",'Daftar Koreksi'!$H$5:$H$92,"&lt;0")-SUMIFS('Daftar Koreksi'!$H$5:$H$92,'Daftar Koreksi'!$D$5:$D$92,'0500'!A1566,'Daftar Koreksi'!$G$5:$G$92,"Aset Henti Guna",'Daftar Koreksi'!$H$5:$H$92,"&lt;0")</f>
        <v>0</v>
      </c>
      <c r="G1577" s="17">
        <f t="shared" si="71"/>
        <v>10893000</v>
      </c>
      <c r="H1577" s="122"/>
    </row>
    <row r="1578" spans="1:8" ht="21.95" customHeight="1">
      <c r="A1578" s="14"/>
      <c r="B1578" s="14"/>
      <c r="C1578" s="18" t="s">
        <v>2093</v>
      </c>
      <c r="D1578" s="19">
        <f>VLOOKUP(A1566,'Neraca Unaudited SIMAK'!$A$2:$S$10004,12,FALSE)</f>
        <v>6805881387</v>
      </c>
      <c r="E1578" s="19">
        <f>SUM(E1569:E1577)</f>
        <v>0</v>
      </c>
      <c r="F1578" s="19">
        <f>SUM(F1569:F1577)</f>
        <v>0</v>
      </c>
      <c r="G1578" s="19">
        <f t="shared" si="71"/>
        <v>6805881387</v>
      </c>
      <c r="H1578" s="122"/>
    </row>
    <row r="1579" spans="1:8" ht="21.95" customHeight="1">
      <c r="A1579" s="14"/>
      <c r="B1579" s="14"/>
      <c r="C1579" s="16" t="s">
        <v>2087</v>
      </c>
      <c r="D1579" s="17">
        <f>VLOOKUP(A1566,'Neraca Unaudited SIMAK'!$A$2:$S$10004,13,FALSE)</f>
        <v>-1058986824</v>
      </c>
      <c r="E1579" s="25">
        <f>SUMIFS('Daftar Koreksi'!$I$5:$I$92,'Daftar Koreksi'!$D$5:$D$92,'0500'!A1566,'Daftar Koreksi'!$G$5:$G$92,"Peralatan dan mesin",'Daftar Koreksi'!$I$5:$I$92,"&gt;0")</f>
        <v>0</v>
      </c>
      <c r="F1579" s="25">
        <f>SUMIFS('Daftar Koreksi'!$I$5:$I$92,'Daftar Koreksi'!$D$5:$D$92,'0500'!A1566,'Daftar Koreksi'!$G$5:$G$92,"Peralatan dan mesin",'Daftar Koreksi'!$I$5:$I$92,"&lt;0")-SUMIFS('Daftar Koreksi'!$I$5:$I$92,'Daftar Koreksi'!$D$5:$D$92,'0500'!A1566,'Daftar Koreksi'!$G$5:$G$92,"Peralatan dan mesin",'Daftar Koreksi'!$I$5:$I$92,"&lt;0")-SUMIFS('Daftar Koreksi'!$I$5:$I$92,'Daftar Koreksi'!$D$5:$D$92,'0500'!A1566,'Daftar Koreksi'!$G$5:$G$92,"Peralatan dan mesin",'Daftar Koreksi'!$I$5:$I$92,"&lt;0")</f>
        <v>0</v>
      </c>
      <c r="G1579" s="17">
        <f t="shared" si="71"/>
        <v>-1058986824</v>
      </c>
      <c r="H1579" s="122"/>
    </row>
    <row r="1580" spans="1:8" ht="21.95" customHeight="1">
      <c r="A1580" s="14"/>
      <c r="B1580" s="14"/>
      <c r="C1580" s="16" t="s">
        <v>2088</v>
      </c>
      <c r="D1580" s="17">
        <f>VLOOKUP(A1566,'Neraca Unaudited SIMAK'!$A$2:$S$10004,14,FALSE)</f>
        <v>-403816445</v>
      </c>
      <c r="E1580" s="25">
        <f>SUMIFS('Daftar Koreksi'!$I$5:$I$92,'Daftar Koreksi'!$D$5:$D$92,'0500'!A1566,'Daftar Koreksi'!$G$5:$G$92,"Gedung dan Bangunan",'Daftar Koreksi'!$I$5:$I$92,"&gt;0")</f>
        <v>0</v>
      </c>
      <c r="F1580" s="25">
        <f>SUMIFS('Daftar Koreksi'!$I$5:$I$92,'Daftar Koreksi'!$D$5:$D$92,'0500'!A1566,'Daftar Koreksi'!$G$5:$G$92,"Gedung dan Bangunan",'Daftar Koreksi'!$I$5:$I$92,"&lt;0")-SUMIFS('Daftar Koreksi'!$I$5:$I$92,'Daftar Koreksi'!$D$5:$D$92,'0500'!A1566,'Daftar Koreksi'!$G$5:$G$92,"Gedung dan Bangunan",'Daftar Koreksi'!$I$5:$I$92,"&lt;0")-SUMIFS('Daftar Koreksi'!$I$5:$I$92,'Daftar Koreksi'!$D$5:$D$92,'0500'!A1566,'Daftar Koreksi'!$G$5:$G$92,"Gedung dan Bangunan",'Daftar Koreksi'!$I$5:$I$92,"&lt;0")</f>
        <v>0</v>
      </c>
      <c r="G1580" s="17">
        <f t="shared" si="71"/>
        <v>-403816445</v>
      </c>
      <c r="H1580" s="122"/>
    </row>
    <row r="1581" spans="1:8" ht="21.95" customHeight="1">
      <c r="A1581" s="14"/>
      <c r="B1581" s="14"/>
      <c r="C1581" s="16" t="s">
        <v>2089</v>
      </c>
      <c r="D1581" s="17">
        <f>VLOOKUP(A1566,'Neraca Unaudited SIMAK'!$A$2:$S$10004,15,FALSE)</f>
        <v>0</v>
      </c>
      <c r="E1581" s="25">
        <f>SUMIFS('Daftar Koreksi'!$I$5:$I$92,'Daftar Koreksi'!$D$5:$D$92,'0500'!A1566,'Daftar Koreksi'!$G$5:$G$92,"Jalan Irigasi Jaringan",'Daftar Koreksi'!$I$5:$I$92,"&gt;0")</f>
        <v>0</v>
      </c>
      <c r="F1581" s="25">
        <f>SUMIFS('Daftar Koreksi'!$I$5:$I$92,'Daftar Koreksi'!$D$5:$D$92,'0500'!A1566,'Daftar Koreksi'!$G$5:$G$92,"Jalan Irigasi Jaringan",'Daftar Koreksi'!$I$5:$I$92,"&lt;0")-SUMIFS('Daftar Koreksi'!$I$5:$I$92,'Daftar Koreksi'!$D$5:$D$92,'0500'!A1566,'Daftar Koreksi'!$G$5:$G$92,"Jalan Irigasi Jaringan",'Daftar Koreksi'!$I$5:$I$92,"&lt;0")-SUMIFS('Daftar Koreksi'!$I$5:$I$92,'Daftar Koreksi'!$D$5:$D$92,'0500'!A1566,'Daftar Koreksi'!$G$5:$G$92,"Jalan Irigasi Jaringan",'Daftar Koreksi'!$I$5:$I$92,"&lt;0")</f>
        <v>0</v>
      </c>
      <c r="G1581" s="17">
        <f t="shared" si="71"/>
        <v>0</v>
      </c>
      <c r="H1581" s="122"/>
    </row>
    <row r="1582" spans="1:8" ht="21.95" customHeight="1">
      <c r="A1582" s="14"/>
      <c r="B1582" s="14"/>
      <c r="C1582" s="16" t="s">
        <v>2090</v>
      </c>
      <c r="D1582" s="17">
        <f>VLOOKUP(A1566,'Neraca Unaudited SIMAK'!$A$2:$S$10004,16,FALSE)</f>
        <v>0</v>
      </c>
      <c r="E1582" s="25">
        <f>SUMIFS('Daftar Koreksi'!$I$5:$I$92,'Daftar Koreksi'!$D$5:$D$92,'0500'!A1566,'Daftar Koreksi'!$G$5:$G$92,"Aset Tetap Lainnya",'Daftar Koreksi'!$I$5:$I$92,"&gt;0")</f>
        <v>0</v>
      </c>
      <c r="F1582" s="25">
        <f>SUMIFS('Daftar Koreksi'!$I$5:$I$92,'Daftar Koreksi'!$D$5:$D$92,'0500'!A1566,'Daftar Koreksi'!$G$5:$G$92,"Aset Tetap Lainnya",'Daftar Koreksi'!$I$5:$I$92,"&lt;0")-SUMIFS('Daftar Koreksi'!$I$5:$I$92,'Daftar Koreksi'!$D$5:$D$92,'0500'!A1566,'Daftar Koreksi'!$G$5:$G$92,"Aset Tetap Lainnya",'Daftar Koreksi'!$I$5:$I$92,"&lt;0")-SUMIFS('Daftar Koreksi'!$I$5:$I$92,'Daftar Koreksi'!$D$5:$D$92,'0500'!A1566,'Daftar Koreksi'!$G$5:$G$92,"Aset Tetap Lainnya",'Daftar Koreksi'!$I$5:$I$92,"&lt;0")</f>
        <v>0</v>
      </c>
      <c r="G1582" s="17">
        <f t="shared" si="71"/>
        <v>0</v>
      </c>
      <c r="H1582" s="122"/>
    </row>
    <row r="1583" spans="1:8" ht="21.95" customHeight="1">
      <c r="A1583" s="14"/>
      <c r="B1583" s="14"/>
      <c r="C1583" s="16" t="s">
        <v>2020</v>
      </c>
      <c r="D1583" s="17">
        <f>VLOOKUP(A1566,'Neraca Unaudited SIMAK'!$A$2:$S$10004,17,FALSE)</f>
        <v>-10893000</v>
      </c>
      <c r="E1583" s="25">
        <f>SUMIFS('Daftar Koreksi'!$I$5:$I$92,'Daftar Koreksi'!$D$5:$D$92,'0500'!A1566,'Daftar Koreksi'!$G$5:$G$92,"Aset Henti Guna",'Daftar Koreksi'!$I$5:$I$92,"&gt;0")</f>
        <v>0</v>
      </c>
      <c r="F1583" s="25">
        <f>SUMIFS('Daftar Koreksi'!$I$5:$I$92,'Daftar Koreksi'!$D$5:$D$92,'0500'!A1566,'Daftar Koreksi'!$G$5:$G$92,"Aset Henti Guna",'Daftar Koreksi'!$I$5:$I$92,"&lt;0")-SUMIFS('Daftar Koreksi'!$I$5:$I$92,'Daftar Koreksi'!$D$5:$D$92,'0500'!A1566,'Daftar Koreksi'!$G$5:$G$92,"Aset Henti Guna",'Daftar Koreksi'!$I$5:$I$92,"&lt;0")-SUMIFS('Daftar Koreksi'!$I$5:$I$92,'Daftar Koreksi'!$D$5:$D$92,'0500'!A1566,'Daftar Koreksi'!$G$5:$G$92,"Aset Henti Guna",'Daftar Koreksi'!$I$5:$I$92,"&lt;0")</f>
        <v>0</v>
      </c>
      <c r="G1583" s="17">
        <f t="shared" si="71"/>
        <v>-10893000</v>
      </c>
      <c r="H1583" s="122"/>
    </row>
    <row r="1584" spans="1:8" ht="21.95" customHeight="1">
      <c r="A1584" s="14"/>
      <c r="B1584" s="14"/>
      <c r="C1584" s="18" t="s">
        <v>2094</v>
      </c>
      <c r="D1584" s="19">
        <f>SUM(D1579:D1583)</f>
        <v>-1473696269</v>
      </c>
      <c r="E1584" s="19">
        <f>SUM(E1579:E1583)</f>
        <v>0</v>
      </c>
      <c r="F1584" s="19">
        <f>SUM(F1579:F1583)</f>
        <v>0</v>
      </c>
      <c r="G1584" s="19">
        <f t="shared" si="71"/>
        <v>-1473696269</v>
      </c>
      <c r="H1584" s="122"/>
    </row>
    <row r="1585" spans="1:8" ht="21.95" customHeight="1">
      <c r="A1585" s="14"/>
      <c r="B1585" s="14"/>
      <c r="C1585" s="18" t="s">
        <v>2095</v>
      </c>
      <c r="D1585" s="19">
        <f>VLOOKUP(A1566,'Neraca Unaudited SIMAK'!$A$2:$S$10004,18,FALSE)</f>
        <v>5332185118</v>
      </c>
      <c r="E1585" s="19">
        <f>E1584+E1578</f>
        <v>0</v>
      </c>
      <c r="F1585" s="19">
        <f>F1584+F1578</f>
        <v>0</v>
      </c>
      <c r="G1585" s="19">
        <f t="shared" si="71"/>
        <v>5332185118</v>
      </c>
      <c r="H1585" s="122"/>
    </row>
    <row r="1586" spans="1:8" ht="21.95" customHeight="1">
      <c r="A1586" s="14"/>
      <c r="B1586" s="14"/>
      <c r="C1586" s="16" t="s">
        <v>2091</v>
      </c>
      <c r="D1586" s="17">
        <f>VLOOKUP(A1566,'Neraca Unaudited SIMAK'!$A$2:$S$10004,19,FALSE)</f>
        <v>0</v>
      </c>
      <c r="E1586" s="25"/>
      <c r="F1586" s="25"/>
      <c r="G1586" s="17">
        <f t="shared" si="71"/>
        <v>0</v>
      </c>
      <c r="H1586" s="123"/>
    </row>
    <row r="1588" spans="1:8" ht="19.5" customHeight="1">
      <c r="A1588" s="11" t="str">
        <f>O73</f>
        <v>005010500526767000KD</v>
      </c>
      <c r="B1588" s="11" t="str">
        <f>P73</f>
        <v>PTUN. Surabaya</v>
      </c>
      <c r="C1588" s="12" t="str">
        <f>A1588&amp;" "&amp;B1588</f>
        <v>005010500526767000KD PTUN. Surabaya</v>
      </c>
      <c r="D1588" s="13"/>
      <c r="E1588" s="13"/>
      <c r="F1588" s="13"/>
      <c r="G1588" s="13"/>
      <c r="H1588" s="11"/>
    </row>
    <row r="1589" spans="1:8" ht="21.95" customHeight="1">
      <c r="A1589" s="14"/>
      <c r="B1589" s="14"/>
      <c r="C1589" s="124" t="s">
        <v>1982</v>
      </c>
      <c r="D1589" s="126" t="s">
        <v>1983</v>
      </c>
      <c r="E1589" s="132" t="s">
        <v>1984</v>
      </c>
      <c r="F1589" s="132"/>
      <c r="G1589" s="126" t="s">
        <v>1987</v>
      </c>
      <c r="H1589" s="130" t="s">
        <v>1175</v>
      </c>
    </row>
    <row r="1590" spans="1:8" ht="21.95" customHeight="1">
      <c r="A1590" s="14"/>
      <c r="B1590" s="14"/>
      <c r="C1590" s="125"/>
      <c r="D1590" s="127"/>
      <c r="E1590" s="26" t="s">
        <v>1985</v>
      </c>
      <c r="F1590" s="26" t="s">
        <v>1986</v>
      </c>
      <c r="G1590" s="127"/>
      <c r="H1590" s="131"/>
    </row>
    <row r="1591" spans="1:8" ht="21.95" customHeight="1">
      <c r="A1591" s="14"/>
      <c r="B1591" s="14"/>
      <c r="C1591" s="16" t="s">
        <v>1165</v>
      </c>
      <c r="D1591" s="17">
        <f>VLOOKUP(A1588,'Neraca Unaudited SIMAK'!$A$2:$S$10004,3,FALSE)</f>
        <v>7270389</v>
      </c>
      <c r="E1591" s="25">
        <f>SUMIFS('Daftar Koreksi'!$H$5:$H$92,'Daftar Koreksi'!$D$5:$D$92,'0500'!A1588,'Daftar Koreksi'!$G$5:$G$92,"Persediaan",'Daftar Koreksi'!$H$5:$H$92,"&gt;0")</f>
        <v>0</v>
      </c>
      <c r="F1591" s="25">
        <f>SUMIFS('Daftar Koreksi'!$H$5:$H$92,'Daftar Koreksi'!$D$5:$D$92,'0500'!A1588,'Daftar Koreksi'!$G$5:$G$92,"Persediaan",'Daftar Koreksi'!$H$5:$H$92,"&lt;0")-SUMIFS('Daftar Koreksi'!$H$5:$H$92,'Daftar Koreksi'!$D$5:$D$92,'0500'!A1588,'Daftar Koreksi'!$G$5:$G$92,"Persediaan",'Daftar Koreksi'!$H$5:$H$92,"&lt;0")-SUMIFS('Daftar Koreksi'!$H$5:$H$92,'Daftar Koreksi'!$D$5:$D$92,'0500'!A1588,'Daftar Koreksi'!$G$5:$G$92,"Persediaan",'Daftar Koreksi'!$H$5:$H$92,"&lt;0")</f>
        <v>0</v>
      </c>
      <c r="G1591" s="17">
        <f>D1591+E1591-F1591</f>
        <v>7270389</v>
      </c>
      <c r="H1591" s="121" t="str">
        <f>IF(ISNA(VLOOKUP(A1588,'Mutasi Neraca'!$A$3:$S$914,19,FALSE)),"-",VLOOKUP(A1588,'Mutasi Neraca'!$A$3:$S$914,19,FALSE))</f>
        <v>-</v>
      </c>
    </row>
    <row r="1592" spans="1:8" ht="21.95" customHeight="1">
      <c r="A1592" s="14"/>
      <c r="B1592" s="14"/>
      <c r="C1592" s="16" t="s">
        <v>1166</v>
      </c>
      <c r="D1592" s="17">
        <f>VLOOKUP(A1588,'Neraca Unaudited SIMAK'!$A$2:$S$10004,4,FALSE)</f>
        <v>3240000000</v>
      </c>
      <c r="E1592" s="25">
        <f>SUMIFS('Daftar Koreksi'!$H$5:$H$92,'Daftar Koreksi'!$D$5:$D$92,'0500'!A1588,'Daftar Koreksi'!$G$5:$G$92,"Tanah",'Daftar Koreksi'!$H$5:$H$92,"&gt;0")</f>
        <v>0</v>
      </c>
      <c r="F1592" s="25">
        <f>SUMIFS('Daftar Koreksi'!$H$5:$H$92,'Daftar Koreksi'!$D$5:$D$92,'0500'!A1588,'Daftar Koreksi'!$G$5:$G$92,"Tanah",'Daftar Koreksi'!$H$5:$H$92,"&lt;0")-SUMIFS('Daftar Koreksi'!$H$5:$H$92,'Daftar Koreksi'!$D$5:$D$92,'0500'!A1588,'Daftar Koreksi'!$G$5:$G$92,"Tanah",'Daftar Koreksi'!$H$5:$H$92,"&lt;0")-SUMIFS('Daftar Koreksi'!$H$5:$H$92,'Daftar Koreksi'!$D$5:$D$92,'0500'!A1588,'Daftar Koreksi'!$G$5:$G$92,"Tanah",'Daftar Koreksi'!$H$5:$H$92,"&lt;0")</f>
        <v>0</v>
      </c>
      <c r="G1592" s="17">
        <f t="shared" ref="G1592:G1608" si="72">D1592+E1592-F1592</f>
        <v>3240000000</v>
      </c>
      <c r="H1592" s="122"/>
    </row>
    <row r="1593" spans="1:8" ht="21.95" customHeight="1">
      <c r="A1593" s="14"/>
      <c r="B1593" s="14"/>
      <c r="C1593" s="16" t="s">
        <v>1167</v>
      </c>
      <c r="D1593" s="17">
        <f>VLOOKUP(A1588,'Neraca Unaudited SIMAK'!$A$2:$S$10004,5,FALSE)</f>
        <v>2234403255</v>
      </c>
      <c r="E1593" s="25">
        <f>SUMIFS('Daftar Koreksi'!$H$5:$H$92,'Daftar Koreksi'!$D$5:$D$92,'0500'!A1588,'Daftar Koreksi'!$G$5:$G$92,"Peralatan dan mesin",'Daftar Koreksi'!$H$5:$H$92,"&gt;0")</f>
        <v>0</v>
      </c>
      <c r="F1593" s="25">
        <f>SUMIFS('Daftar Koreksi'!$H$5:$H$92,'Daftar Koreksi'!$D$5:$D$92,'0500'!A1588,'Daftar Koreksi'!$G$5:$G$92,"Peralatan dan mesin",'Daftar Koreksi'!$H$5:$H$92,"&lt;0")-SUMIFS('Daftar Koreksi'!$H$5:$H$92,'Daftar Koreksi'!$D$5:$D$92,'0500'!A1588,'Daftar Koreksi'!$G$5:$G$92,"Peralatan dan mesin",'Daftar Koreksi'!$H$5:$H$92,"&lt;0")-SUMIFS('Daftar Koreksi'!$H$5:$H$92,'Daftar Koreksi'!$D$5:$D$92,'0500'!A1588,'Daftar Koreksi'!$G$5:$G$92,"Peralatan dan mesin",'Daftar Koreksi'!$H$5:$H$92,"&lt;0")</f>
        <v>0</v>
      </c>
      <c r="G1593" s="17">
        <f t="shared" si="72"/>
        <v>2234403255</v>
      </c>
      <c r="H1593" s="122"/>
    </row>
    <row r="1594" spans="1:8" ht="21.95" customHeight="1">
      <c r="A1594" s="14"/>
      <c r="B1594" s="14"/>
      <c r="C1594" s="16" t="s">
        <v>1168</v>
      </c>
      <c r="D1594" s="17">
        <f>VLOOKUP(A1588,'Neraca Unaudited SIMAK'!$A$2:$S$10004,6,FALSE)</f>
        <v>9600942605</v>
      </c>
      <c r="E1594" s="25">
        <f>SUMIFS('Daftar Koreksi'!$H$5:$H$92,'Daftar Koreksi'!$D$5:$D$92,'0500'!A1588,'Daftar Koreksi'!$G$5:$G$92,"Gedung dan Bangunan",'Daftar Koreksi'!$H$5:$H$92,"&gt;0")</f>
        <v>0</v>
      </c>
      <c r="F1594" s="25">
        <f>SUMIFS('Daftar Koreksi'!$H$5:$H$92,'Daftar Koreksi'!$D$5:$D$92,'0500'!A1588,'Daftar Koreksi'!$G$5:$G$92,"Gedung dan Bangunan",'Daftar Koreksi'!$H$5:$H$92,"&lt;0")-SUMIFS('Daftar Koreksi'!$H$5:$H$92,'Daftar Koreksi'!$D$5:$D$92,'0500'!A1588,'Daftar Koreksi'!$G$5:$G$92,"Gedung dan Bangunan",'Daftar Koreksi'!$H$5:$H$92,"&lt;0")-SUMIFS('Daftar Koreksi'!$H$5:$H$92,'Daftar Koreksi'!$D$5:$D$92,'0500'!A1588,'Daftar Koreksi'!$G$5:$G$92,"Gedung dan Bangunan",'Daftar Koreksi'!$H$5:$H$92,"&lt;0")</f>
        <v>0</v>
      </c>
      <c r="G1594" s="17">
        <f t="shared" si="72"/>
        <v>9600942605</v>
      </c>
      <c r="H1594" s="122"/>
    </row>
    <row r="1595" spans="1:8" ht="21.95" customHeight="1">
      <c r="A1595" s="14"/>
      <c r="B1595" s="14"/>
      <c r="C1595" s="16" t="s">
        <v>1169</v>
      </c>
      <c r="D1595" s="17">
        <f>VLOOKUP(A1588,'Neraca Unaudited SIMAK'!$A$2:$S$10004,7,FALSE)</f>
        <v>221092200</v>
      </c>
      <c r="E1595" s="25">
        <f>SUMIFS('Daftar Koreksi'!$H$5:$H$92,'Daftar Koreksi'!$D$5:$D$92,'0500'!A1588,'Daftar Koreksi'!$G$5:$G$92,"Jalan Irigasi Jaringan",'Daftar Koreksi'!$H$5:$H$92,"&gt;0")</f>
        <v>0</v>
      </c>
      <c r="F1595" s="25">
        <f>SUMIFS('Daftar Koreksi'!$H$5:$H$92,'Daftar Koreksi'!$D$5:$D$92,'0500'!A1588,'Daftar Koreksi'!$G$5:$G$92,"Jalan Irigasi Jaringan",'Daftar Koreksi'!$H$5:$H$92,"&lt;0")-SUMIFS('Daftar Koreksi'!$H$5:$H$92,'Daftar Koreksi'!$D$5:$D$92,'0500'!A1588,'Daftar Koreksi'!$G$5:$G$92,"Jalan Irigasi Jaringan",'Daftar Koreksi'!$H$5:$H$92,"&lt;0")-SUMIFS('Daftar Koreksi'!$H$5:$H$92,'Daftar Koreksi'!$D$5:$D$92,'0500'!A1588,'Daftar Koreksi'!$G$5:$G$92,"Jalan Irigasi Jaringan",'Daftar Koreksi'!$H$5:$H$92,"&lt;0")</f>
        <v>0</v>
      </c>
      <c r="G1595" s="17">
        <f t="shared" si="72"/>
        <v>221092200</v>
      </c>
      <c r="H1595" s="122"/>
    </row>
    <row r="1596" spans="1:8" ht="21.95" customHeight="1">
      <c r="A1596" s="14"/>
      <c r="B1596" s="14"/>
      <c r="C1596" s="16" t="s">
        <v>1170</v>
      </c>
      <c r="D1596" s="17">
        <f>VLOOKUP(A1588,'Neraca Unaudited SIMAK'!$A$2:$S$10004,8,FALSE)</f>
        <v>0</v>
      </c>
      <c r="E1596" s="25">
        <f>SUMIFS('Daftar Koreksi'!$H$5:$H$92,'Daftar Koreksi'!$D$5:$D$92,'0500'!A1588,'Daftar Koreksi'!$G$5:$G$92,"Aset Tetap Lainnya",'Daftar Koreksi'!$H$5:$H$92,"&gt;0")</f>
        <v>0</v>
      </c>
      <c r="F1596" s="25">
        <f>SUMIFS('Daftar Koreksi'!$H$5:$H$92,'Daftar Koreksi'!$D$5:$D$92,'0500'!A1588,'Daftar Koreksi'!$G$5:$G$92,"Aset Tetap Lainnya",'Daftar Koreksi'!$H$5:$H$92,"&lt;0")-SUMIFS('Daftar Koreksi'!$H$5:$H$92,'Daftar Koreksi'!$D$5:$D$92,'0500'!A1588,'Daftar Koreksi'!$G$5:$G$92,"Aset Tetap Lainnya",'Daftar Koreksi'!$H$5:$H$92,"&lt;0")-SUMIFS('Daftar Koreksi'!$H$5:$H$92,'Daftar Koreksi'!$D$5:$D$92,'0500'!A1588,'Daftar Koreksi'!$G$5:$G$92,"Aset Tetap Lainnya",'Daftar Koreksi'!$H$5:$H$92,"&lt;0")</f>
        <v>0</v>
      </c>
      <c r="G1596" s="17">
        <f t="shared" si="72"/>
        <v>0</v>
      </c>
      <c r="H1596" s="122"/>
    </row>
    <row r="1597" spans="1:8" ht="21.95" customHeight="1">
      <c r="A1597" s="14"/>
      <c r="B1597" s="14"/>
      <c r="C1597" s="16" t="s">
        <v>1171</v>
      </c>
      <c r="D1597" s="17">
        <f>VLOOKUP(A1588,'Neraca Unaudited SIMAK'!$A$2:$S$10004,9,FALSE)</f>
        <v>0</v>
      </c>
      <c r="E1597" s="25">
        <f>SUMIFS('Daftar Koreksi'!$H$5:$H$92,'Daftar Koreksi'!$D$5:$D$92,'0500'!A1588,'Daftar Koreksi'!$G$5:$G$92,"Kontruksi Dalam Pengerjaan",'Daftar Koreksi'!$H$5:$H$92,"&gt;0")</f>
        <v>0</v>
      </c>
      <c r="F1597" s="25">
        <f>SUMIFS('Daftar Koreksi'!$H$5:$H$92,'Daftar Koreksi'!$D$5:$D$92,'0500'!A1588,'Daftar Koreksi'!$G$5:$G$92,"Kontruksi Dalam Pengerjaan",'Daftar Koreksi'!$H$5:$H$92,"&lt;0")-SUMIFS('Daftar Koreksi'!$H$5:$H$92,'Daftar Koreksi'!$D$5:$D$92,'0500'!A1588,'Daftar Koreksi'!$G$5:$G$92,"Kontruksi Dalam Pengerjaan",'Daftar Koreksi'!$H$5:$H$92,"&lt;0")-SUMIFS('Daftar Koreksi'!$H$5:$H$92,'Daftar Koreksi'!$D$5:$D$92,'0500'!A1588,'Daftar Koreksi'!$G$5:$G$92,"Kontruksi Dalam Pengerjaan",'Daftar Koreksi'!$H$5:$H$92,"&lt;0")</f>
        <v>0</v>
      </c>
      <c r="G1597" s="17">
        <f t="shared" si="72"/>
        <v>0</v>
      </c>
      <c r="H1597" s="122"/>
    </row>
    <row r="1598" spans="1:8" ht="21.95" customHeight="1">
      <c r="A1598" s="14"/>
      <c r="B1598" s="14"/>
      <c r="C1598" s="16" t="s">
        <v>1172</v>
      </c>
      <c r="D1598" s="17">
        <f>VLOOKUP(A1588,'Neraca Unaudited SIMAK'!$A$2:$S$10004,10,FALSE)</f>
        <v>0</v>
      </c>
      <c r="E1598" s="25">
        <f>SUMIFS('Daftar Koreksi'!$H$5:$H$92,'Daftar Koreksi'!$D$5:$D$92,'0500'!A1588,'Daftar Koreksi'!$G$5:$G$92,"Aset Tak Berwujud",'Daftar Koreksi'!$H$5:$H$92,"&gt;0")</f>
        <v>0</v>
      </c>
      <c r="F1598" s="25">
        <f>SUMIFS('Daftar Koreksi'!$H$5:$H$92,'Daftar Koreksi'!$D$5:$D$92,'0500'!A1588,'Daftar Koreksi'!$G$5:$G$92,"Aset Tak Berwujud",'Daftar Koreksi'!$H$5:$H$92,"&lt;0")-SUMIFS('Daftar Koreksi'!$H$5:$H$92,'Daftar Koreksi'!$D$5:$D$92,'0500'!A1588,'Daftar Koreksi'!$G$5:$G$92,"Aset Tak Berwujud",'Daftar Koreksi'!$H$5:$H$92,"&lt;0")-SUMIFS('Daftar Koreksi'!$H$5:$H$92,'Daftar Koreksi'!$D$5:$D$92,'0500'!A1588,'Daftar Koreksi'!$G$5:$G$92,"Aset Tak Berwujud",'Daftar Koreksi'!$H$5:$H$92,"&lt;0")</f>
        <v>0</v>
      </c>
      <c r="G1598" s="17">
        <f t="shared" si="72"/>
        <v>0</v>
      </c>
      <c r="H1598" s="122"/>
    </row>
    <row r="1599" spans="1:8" ht="21.95" customHeight="1">
      <c r="A1599" s="14"/>
      <c r="B1599" s="14"/>
      <c r="C1599" s="16" t="s">
        <v>1173</v>
      </c>
      <c r="D1599" s="17">
        <f>VLOOKUP(A1588,'Neraca Unaudited SIMAK'!$A$2:$S$10004,11,FALSE)</f>
        <v>0</v>
      </c>
      <c r="E1599" s="25">
        <f>SUMIFS('Daftar Koreksi'!$H$5:$H$92,'Daftar Koreksi'!$D$5:$D$92,'0500'!A1588,'Daftar Koreksi'!$G$5:$G$92,"Aset Henti Guna",'Daftar Koreksi'!$H$5:$H$92,"&gt;0")</f>
        <v>0</v>
      </c>
      <c r="F1599" s="25">
        <f>SUMIFS('Daftar Koreksi'!$H$5:$H$92,'Daftar Koreksi'!$D$5:$D$92,'0500'!A1588,'Daftar Koreksi'!$G$5:$G$92,"Aset Henti Guna",'Daftar Koreksi'!$H$5:$H$92,"&lt;0")-SUMIFS('Daftar Koreksi'!$H$5:$H$92,'Daftar Koreksi'!$D$5:$D$92,'0500'!A1588,'Daftar Koreksi'!$G$5:$G$92,"Aset Henti Guna",'Daftar Koreksi'!$H$5:$H$92,"&lt;0")-SUMIFS('Daftar Koreksi'!$H$5:$H$92,'Daftar Koreksi'!$D$5:$D$92,'0500'!A1588,'Daftar Koreksi'!$G$5:$G$92,"Aset Henti Guna",'Daftar Koreksi'!$H$5:$H$92,"&lt;0")</f>
        <v>0</v>
      </c>
      <c r="G1599" s="17">
        <f t="shared" si="72"/>
        <v>0</v>
      </c>
      <c r="H1599" s="122"/>
    </row>
    <row r="1600" spans="1:8" ht="21.95" customHeight="1">
      <c r="A1600" s="14"/>
      <c r="B1600" s="14"/>
      <c r="C1600" s="18" t="s">
        <v>2093</v>
      </c>
      <c r="D1600" s="19">
        <f>VLOOKUP(A1588,'Neraca Unaudited SIMAK'!$A$2:$S$10004,12,FALSE)</f>
        <v>15303708449</v>
      </c>
      <c r="E1600" s="19">
        <f>SUM(E1591:E1599)</f>
        <v>0</v>
      </c>
      <c r="F1600" s="19">
        <f>SUM(F1591:F1599)</f>
        <v>0</v>
      </c>
      <c r="G1600" s="19">
        <f t="shared" si="72"/>
        <v>15303708449</v>
      </c>
      <c r="H1600" s="122"/>
    </row>
    <row r="1601" spans="1:8" ht="21.95" customHeight="1">
      <c r="A1601" s="14"/>
      <c r="B1601" s="14"/>
      <c r="C1601" s="16" t="s">
        <v>2087</v>
      </c>
      <c r="D1601" s="17">
        <f>VLOOKUP(A1588,'Neraca Unaudited SIMAK'!$A$2:$S$10004,13,FALSE)</f>
        <v>-1790011169</v>
      </c>
      <c r="E1601" s="25">
        <f>SUMIFS('Daftar Koreksi'!$I$5:$I$92,'Daftar Koreksi'!$D$5:$D$92,'0500'!A1588,'Daftar Koreksi'!$G$5:$G$92,"Peralatan dan mesin",'Daftar Koreksi'!$I$5:$I$92,"&gt;0")</f>
        <v>0</v>
      </c>
      <c r="F1601" s="25">
        <f>SUMIFS('Daftar Koreksi'!$I$5:$I$92,'Daftar Koreksi'!$D$5:$D$92,'0500'!A1588,'Daftar Koreksi'!$G$5:$G$92,"Peralatan dan mesin",'Daftar Koreksi'!$I$5:$I$92,"&lt;0")-SUMIFS('Daftar Koreksi'!$I$5:$I$92,'Daftar Koreksi'!$D$5:$D$92,'0500'!A1588,'Daftar Koreksi'!$G$5:$G$92,"Peralatan dan mesin",'Daftar Koreksi'!$I$5:$I$92,"&lt;0")-SUMIFS('Daftar Koreksi'!$I$5:$I$92,'Daftar Koreksi'!$D$5:$D$92,'0500'!A1588,'Daftar Koreksi'!$G$5:$G$92,"Peralatan dan mesin",'Daftar Koreksi'!$I$5:$I$92,"&lt;0")</f>
        <v>0</v>
      </c>
      <c r="G1601" s="17">
        <f t="shared" si="72"/>
        <v>-1790011169</v>
      </c>
      <c r="H1601" s="122"/>
    </row>
    <row r="1602" spans="1:8" ht="21.95" customHeight="1">
      <c r="A1602" s="14"/>
      <c r="B1602" s="14"/>
      <c r="C1602" s="16" t="s">
        <v>2088</v>
      </c>
      <c r="D1602" s="17">
        <f>VLOOKUP(A1588,'Neraca Unaudited SIMAK'!$A$2:$S$10004,14,FALSE)</f>
        <v>-1675612430</v>
      </c>
      <c r="E1602" s="25">
        <f>SUMIFS('Daftar Koreksi'!$I$5:$I$92,'Daftar Koreksi'!$D$5:$D$92,'0500'!A1588,'Daftar Koreksi'!$G$5:$G$92,"Gedung dan Bangunan",'Daftar Koreksi'!$I$5:$I$92,"&gt;0")</f>
        <v>0</v>
      </c>
      <c r="F1602" s="25">
        <f>SUMIFS('Daftar Koreksi'!$I$5:$I$92,'Daftar Koreksi'!$D$5:$D$92,'0500'!A1588,'Daftar Koreksi'!$G$5:$G$92,"Gedung dan Bangunan",'Daftar Koreksi'!$I$5:$I$92,"&lt;0")-SUMIFS('Daftar Koreksi'!$I$5:$I$92,'Daftar Koreksi'!$D$5:$D$92,'0500'!A1588,'Daftar Koreksi'!$G$5:$G$92,"Gedung dan Bangunan",'Daftar Koreksi'!$I$5:$I$92,"&lt;0")-SUMIFS('Daftar Koreksi'!$I$5:$I$92,'Daftar Koreksi'!$D$5:$D$92,'0500'!A1588,'Daftar Koreksi'!$G$5:$G$92,"Gedung dan Bangunan",'Daftar Koreksi'!$I$5:$I$92,"&lt;0")</f>
        <v>0</v>
      </c>
      <c r="G1602" s="17">
        <f t="shared" si="72"/>
        <v>-1675612430</v>
      </c>
      <c r="H1602" s="122"/>
    </row>
    <row r="1603" spans="1:8" ht="21.95" customHeight="1">
      <c r="A1603" s="14"/>
      <c r="B1603" s="14"/>
      <c r="C1603" s="16" t="s">
        <v>2089</v>
      </c>
      <c r="D1603" s="17">
        <f>VLOOKUP(A1588,'Neraca Unaudited SIMAK'!$A$2:$S$10004,15,FALSE)</f>
        <v>-41068527</v>
      </c>
      <c r="E1603" s="25">
        <f>SUMIFS('Daftar Koreksi'!$I$5:$I$92,'Daftar Koreksi'!$D$5:$D$92,'0500'!A1588,'Daftar Koreksi'!$G$5:$G$92,"Jalan Irigasi Jaringan",'Daftar Koreksi'!$I$5:$I$92,"&gt;0")</f>
        <v>0</v>
      </c>
      <c r="F1603" s="25">
        <f>SUMIFS('Daftar Koreksi'!$I$5:$I$92,'Daftar Koreksi'!$D$5:$D$92,'0500'!A1588,'Daftar Koreksi'!$G$5:$G$92,"Jalan Irigasi Jaringan",'Daftar Koreksi'!$I$5:$I$92,"&lt;0")-SUMIFS('Daftar Koreksi'!$I$5:$I$92,'Daftar Koreksi'!$D$5:$D$92,'0500'!A1588,'Daftar Koreksi'!$G$5:$G$92,"Jalan Irigasi Jaringan",'Daftar Koreksi'!$I$5:$I$92,"&lt;0")-SUMIFS('Daftar Koreksi'!$I$5:$I$92,'Daftar Koreksi'!$D$5:$D$92,'0500'!A1588,'Daftar Koreksi'!$G$5:$G$92,"Jalan Irigasi Jaringan",'Daftar Koreksi'!$I$5:$I$92,"&lt;0")</f>
        <v>0</v>
      </c>
      <c r="G1603" s="17">
        <f t="shared" si="72"/>
        <v>-41068527</v>
      </c>
      <c r="H1603" s="122"/>
    </row>
    <row r="1604" spans="1:8" ht="21.95" customHeight="1">
      <c r="A1604" s="14"/>
      <c r="B1604" s="14"/>
      <c r="C1604" s="16" t="s">
        <v>2090</v>
      </c>
      <c r="D1604" s="17">
        <f>VLOOKUP(A1588,'Neraca Unaudited SIMAK'!$A$2:$S$10004,16,FALSE)</f>
        <v>0</v>
      </c>
      <c r="E1604" s="25">
        <f>SUMIFS('Daftar Koreksi'!$I$5:$I$92,'Daftar Koreksi'!$D$5:$D$92,'0500'!A1588,'Daftar Koreksi'!$G$5:$G$92,"Aset Tetap Lainnya",'Daftar Koreksi'!$I$5:$I$92,"&gt;0")</f>
        <v>0</v>
      </c>
      <c r="F1604" s="25">
        <f>SUMIFS('Daftar Koreksi'!$I$5:$I$92,'Daftar Koreksi'!$D$5:$D$92,'0500'!A1588,'Daftar Koreksi'!$G$5:$G$92,"Aset Tetap Lainnya",'Daftar Koreksi'!$I$5:$I$92,"&lt;0")-SUMIFS('Daftar Koreksi'!$I$5:$I$92,'Daftar Koreksi'!$D$5:$D$92,'0500'!A1588,'Daftar Koreksi'!$G$5:$G$92,"Aset Tetap Lainnya",'Daftar Koreksi'!$I$5:$I$92,"&lt;0")-SUMIFS('Daftar Koreksi'!$I$5:$I$92,'Daftar Koreksi'!$D$5:$D$92,'0500'!A1588,'Daftar Koreksi'!$G$5:$G$92,"Aset Tetap Lainnya",'Daftar Koreksi'!$I$5:$I$92,"&lt;0")</f>
        <v>0</v>
      </c>
      <c r="G1604" s="17">
        <f t="shared" si="72"/>
        <v>0</v>
      </c>
      <c r="H1604" s="122"/>
    </row>
    <row r="1605" spans="1:8" ht="21.95" customHeight="1">
      <c r="A1605" s="14"/>
      <c r="B1605" s="14"/>
      <c r="C1605" s="16" t="s">
        <v>2020</v>
      </c>
      <c r="D1605" s="17">
        <f>VLOOKUP(A1588,'Neraca Unaudited SIMAK'!$A$2:$S$10004,17,FALSE)</f>
        <v>0</v>
      </c>
      <c r="E1605" s="25">
        <f>SUMIFS('Daftar Koreksi'!$I$5:$I$92,'Daftar Koreksi'!$D$5:$D$92,'0500'!A1588,'Daftar Koreksi'!$G$5:$G$92,"Aset Henti Guna",'Daftar Koreksi'!$I$5:$I$92,"&gt;0")</f>
        <v>0</v>
      </c>
      <c r="F1605" s="25">
        <f>SUMIFS('Daftar Koreksi'!$I$5:$I$92,'Daftar Koreksi'!$D$5:$D$92,'0500'!A1588,'Daftar Koreksi'!$G$5:$G$92,"Aset Henti Guna",'Daftar Koreksi'!$I$5:$I$92,"&lt;0")-SUMIFS('Daftar Koreksi'!$I$5:$I$92,'Daftar Koreksi'!$D$5:$D$92,'0500'!A1588,'Daftar Koreksi'!$G$5:$G$92,"Aset Henti Guna",'Daftar Koreksi'!$I$5:$I$92,"&lt;0")-SUMIFS('Daftar Koreksi'!$I$5:$I$92,'Daftar Koreksi'!$D$5:$D$92,'0500'!A1588,'Daftar Koreksi'!$G$5:$G$92,"Aset Henti Guna",'Daftar Koreksi'!$I$5:$I$92,"&lt;0")</f>
        <v>0</v>
      </c>
      <c r="G1605" s="17">
        <f t="shared" si="72"/>
        <v>0</v>
      </c>
      <c r="H1605" s="122"/>
    </row>
    <row r="1606" spans="1:8" ht="21.95" customHeight="1">
      <c r="A1606" s="14"/>
      <c r="B1606" s="14"/>
      <c r="C1606" s="18" t="s">
        <v>2094</v>
      </c>
      <c r="D1606" s="19">
        <f>SUM(D1601:D1605)</f>
        <v>-3506692126</v>
      </c>
      <c r="E1606" s="19">
        <f>SUM(E1601:E1605)</f>
        <v>0</v>
      </c>
      <c r="F1606" s="19">
        <f>SUM(F1601:F1605)</f>
        <v>0</v>
      </c>
      <c r="G1606" s="19">
        <f t="shared" si="72"/>
        <v>-3506692126</v>
      </c>
      <c r="H1606" s="122"/>
    </row>
    <row r="1607" spans="1:8" ht="21.95" customHeight="1">
      <c r="A1607" s="14"/>
      <c r="B1607" s="14"/>
      <c r="C1607" s="18" t="s">
        <v>2095</v>
      </c>
      <c r="D1607" s="19">
        <f>VLOOKUP(A1588,'Neraca Unaudited SIMAK'!$A$2:$S$10004,18,FALSE)</f>
        <v>11797016323</v>
      </c>
      <c r="E1607" s="19">
        <f>E1606+E1600</f>
        <v>0</v>
      </c>
      <c r="F1607" s="19">
        <f>F1606+F1600</f>
        <v>0</v>
      </c>
      <c r="G1607" s="19">
        <f t="shared" si="72"/>
        <v>11797016323</v>
      </c>
      <c r="H1607" s="122"/>
    </row>
    <row r="1608" spans="1:8" ht="21.95" customHeight="1">
      <c r="A1608" s="14"/>
      <c r="B1608" s="14"/>
      <c r="C1608" s="16" t="s">
        <v>2091</v>
      </c>
      <c r="D1608" s="17">
        <f>VLOOKUP(A1588,'Neraca Unaudited SIMAK'!$A$2:$S$10004,19,FALSE)</f>
        <v>0</v>
      </c>
      <c r="E1608" s="25"/>
      <c r="F1608" s="25"/>
      <c r="G1608" s="17">
        <f t="shared" si="72"/>
        <v>0</v>
      </c>
      <c r="H1608" s="123"/>
    </row>
    <row r="1610" spans="1:8" ht="19.5" customHeight="1">
      <c r="A1610" s="11" t="str">
        <f>O74</f>
        <v>005010500548940000KD</v>
      </c>
      <c r="B1610" s="11" t="str">
        <f>P74</f>
        <v>PT. TUN. Negara Surabaya</v>
      </c>
      <c r="C1610" s="12" t="str">
        <f>A1610&amp;" "&amp;B1610</f>
        <v>005010500548940000KD PT. TUN. Negara Surabaya</v>
      </c>
      <c r="D1610" s="13"/>
      <c r="E1610" s="13"/>
      <c r="F1610" s="13"/>
      <c r="G1610" s="13"/>
      <c r="H1610" s="11"/>
    </row>
    <row r="1611" spans="1:8" ht="21.95" customHeight="1">
      <c r="A1611" s="14"/>
      <c r="B1611" s="14"/>
      <c r="C1611" s="124" t="s">
        <v>1982</v>
      </c>
      <c r="D1611" s="126" t="s">
        <v>1983</v>
      </c>
      <c r="E1611" s="132" t="s">
        <v>1984</v>
      </c>
      <c r="F1611" s="132"/>
      <c r="G1611" s="126" t="s">
        <v>1987</v>
      </c>
      <c r="H1611" s="130" t="s">
        <v>1175</v>
      </c>
    </row>
    <row r="1612" spans="1:8" ht="21.95" customHeight="1">
      <c r="A1612" s="14"/>
      <c r="B1612" s="14"/>
      <c r="C1612" s="125"/>
      <c r="D1612" s="127"/>
      <c r="E1612" s="26" t="s">
        <v>1985</v>
      </c>
      <c r="F1612" s="26" t="s">
        <v>1986</v>
      </c>
      <c r="G1612" s="127"/>
      <c r="H1612" s="131"/>
    </row>
    <row r="1613" spans="1:8" ht="21.95" customHeight="1">
      <c r="A1613" s="14"/>
      <c r="B1613" s="14"/>
      <c r="C1613" s="16" t="s">
        <v>1165</v>
      </c>
      <c r="D1613" s="17">
        <f>VLOOKUP(A1610,'Neraca Unaudited SIMAK'!$A$2:$S$10004,3,FALSE)</f>
        <v>0</v>
      </c>
      <c r="E1613" s="25">
        <f>SUMIFS('Daftar Koreksi'!$H$5:$H$92,'Daftar Koreksi'!$D$5:$D$92,'0500'!A1610,'Daftar Koreksi'!$G$5:$G$92,"Persediaan",'Daftar Koreksi'!$H$5:$H$92,"&gt;0")</f>
        <v>0</v>
      </c>
      <c r="F1613" s="25">
        <f>SUMIFS('Daftar Koreksi'!$H$5:$H$92,'Daftar Koreksi'!$D$5:$D$92,'0500'!A1610,'Daftar Koreksi'!$G$5:$G$92,"Persediaan",'Daftar Koreksi'!$H$5:$H$92,"&lt;0")-SUMIFS('Daftar Koreksi'!$H$5:$H$92,'Daftar Koreksi'!$D$5:$D$92,'0500'!A1610,'Daftar Koreksi'!$G$5:$G$92,"Persediaan",'Daftar Koreksi'!$H$5:$H$92,"&lt;0")-SUMIFS('Daftar Koreksi'!$H$5:$H$92,'Daftar Koreksi'!$D$5:$D$92,'0500'!A1610,'Daftar Koreksi'!$G$5:$G$92,"Persediaan",'Daftar Koreksi'!$H$5:$H$92,"&lt;0")</f>
        <v>0</v>
      </c>
      <c r="G1613" s="17">
        <f>D1613+E1613-F1613</f>
        <v>0</v>
      </c>
      <c r="H1613" s="121" t="str">
        <f>IF(ISNA(VLOOKUP(A1610,'Mutasi Neraca'!$A$3:$S$914,19,FALSE)),"-",VLOOKUP(A1610,'Mutasi Neraca'!$A$3:$S$914,19,FALSE))</f>
        <v>-</v>
      </c>
    </row>
    <row r="1614" spans="1:8" ht="21.95" customHeight="1">
      <c r="A1614" s="14"/>
      <c r="B1614" s="14"/>
      <c r="C1614" s="16" t="s">
        <v>1166</v>
      </c>
      <c r="D1614" s="17">
        <f>VLOOKUP(A1610,'Neraca Unaudited SIMAK'!$A$2:$S$10004,4,FALSE)</f>
        <v>11754400000</v>
      </c>
      <c r="E1614" s="25">
        <f>SUMIFS('Daftar Koreksi'!$H$5:$H$92,'Daftar Koreksi'!$D$5:$D$92,'0500'!A1610,'Daftar Koreksi'!$G$5:$G$92,"Tanah",'Daftar Koreksi'!$H$5:$H$92,"&gt;0")</f>
        <v>0</v>
      </c>
      <c r="F1614" s="25">
        <f>SUMIFS('Daftar Koreksi'!$H$5:$H$92,'Daftar Koreksi'!$D$5:$D$92,'0500'!A1610,'Daftar Koreksi'!$G$5:$G$92,"Tanah",'Daftar Koreksi'!$H$5:$H$92,"&lt;0")-SUMIFS('Daftar Koreksi'!$H$5:$H$92,'Daftar Koreksi'!$D$5:$D$92,'0500'!A1610,'Daftar Koreksi'!$G$5:$G$92,"Tanah",'Daftar Koreksi'!$H$5:$H$92,"&lt;0")-SUMIFS('Daftar Koreksi'!$H$5:$H$92,'Daftar Koreksi'!$D$5:$D$92,'0500'!A1610,'Daftar Koreksi'!$G$5:$G$92,"Tanah",'Daftar Koreksi'!$H$5:$H$92,"&lt;0")</f>
        <v>0</v>
      </c>
      <c r="G1614" s="17">
        <f t="shared" ref="G1614:G1630" si="73">D1614+E1614-F1614</f>
        <v>11754400000</v>
      </c>
      <c r="H1614" s="122"/>
    </row>
    <row r="1615" spans="1:8" ht="21.95" customHeight="1">
      <c r="A1615" s="14"/>
      <c r="B1615" s="14"/>
      <c r="C1615" s="16" t="s">
        <v>1167</v>
      </c>
      <c r="D1615" s="17">
        <f>VLOOKUP(A1610,'Neraca Unaudited SIMAK'!$A$2:$S$10004,5,FALSE)</f>
        <v>3289339915</v>
      </c>
      <c r="E1615" s="25">
        <f>SUMIFS('Daftar Koreksi'!$H$5:$H$92,'Daftar Koreksi'!$D$5:$D$92,'0500'!A1610,'Daftar Koreksi'!$G$5:$G$92,"Peralatan dan mesin",'Daftar Koreksi'!$H$5:$H$92,"&gt;0")</f>
        <v>0</v>
      </c>
      <c r="F1615" s="25">
        <f>SUMIFS('Daftar Koreksi'!$H$5:$H$92,'Daftar Koreksi'!$D$5:$D$92,'0500'!A1610,'Daftar Koreksi'!$G$5:$G$92,"Peralatan dan mesin",'Daftar Koreksi'!$H$5:$H$92,"&lt;0")-SUMIFS('Daftar Koreksi'!$H$5:$H$92,'Daftar Koreksi'!$D$5:$D$92,'0500'!A1610,'Daftar Koreksi'!$G$5:$G$92,"Peralatan dan mesin",'Daftar Koreksi'!$H$5:$H$92,"&lt;0")-SUMIFS('Daftar Koreksi'!$H$5:$H$92,'Daftar Koreksi'!$D$5:$D$92,'0500'!A1610,'Daftar Koreksi'!$G$5:$G$92,"Peralatan dan mesin",'Daftar Koreksi'!$H$5:$H$92,"&lt;0")</f>
        <v>0</v>
      </c>
      <c r="G1615" s="17">
        <f t="shared" si="73"/>
        <v>3289339915</v>
      </c>
      <c r="H1615" s="122"/>
    </row>
    <row r="1616" spans="1:8" ht="21.95" customHeight="1">
      <c r="A1616" s="14"/>
      <c r="B1616" s="14"/>
      <c r="C1616" s="16" t="s">
        <v>1168</v>
      </c>
      <c r="D1616" s="17">
        <f>VLOOKUP(A1610,'Neraca Unaudited SIMAK'!$A$2:$S$10004,6,FALSE)</f>
        <v>11761221081</v>
      </c>
      <c r="E1616" s="25">
        <f>SUMIFS('Daftar Koreksi'!$H$5:$H$92,'Daftar Koreksi'!$D$5:$D$92,'0500'!A1610,'Daftar Koreksi'!$G$5:$G$92,"Gedung dan Bangunan",'Daftar Koreksi'!$H$5:$H$92,"&gt;0")</f>
        <v>0</v>
      </c>
      <c r="F1616" s="25">
        <f>SUMIFS('Daftar Koreksi'!$H$5:$H$92,'Daftar Koreksi'!$D$5:$D$92,'0500'!A1610,'Daftar Koreksi'!$G$5:$G$92,"Gedung dan Bangunan",'Daftar Koreksi'!$H$5:$H$92,"&lt;0")-SUMIFS('Daftar Koreksi'!$H$5:$H$92,'Daftar Koreksi'!$D$5:$D$92,'0500'!A1610,'Daftar Koreksi'!$G$5:$G$92,"Gedung dan Bangunan",'Daftar Koreksi'!$H$5:$H$92,"&lt;0")-SUMIFS('Daftar Koreksi'!$H$5:$H$92,'Daftar Koreksi'!$D$5:$D$92,'0500'!A1610,'Daftar Koreksi'!$G$5:$G$92,"Gedung dan Bangunan",'Daftar Koreksi'!$H$5:$H$92,"&lt;0")</f>
        <v>0</v>
      </c>
      <c r="G1616" s="17">
        <f t="shared" si="73"/>
        <v>11761221081</v>
      </c>
      <c r="H1616" s="122"/>
    </row>
    <row r="1617" spans="1:8" ht="21.95" customHeight="1">
      <c r="A1617" s="14"/>
      <c r="B1617" s="14"/>
      <c r="C1617" s="16" t="s">
        <v>1169</v>
      </c>
      <c r="D1617" s="17">
        <f>VLOOKUP(A1610,'Neraca Unaudited SIMAK'!$A$2:$S$10004,7,FALSE)</f>
        <v>200250000</v>
      </c>
      <c r="E1617" s="25">
        <f>SUMIFS('Daftar Koreksi'!$H$5:$H$92,'Daftar Koreksi'!$D$5:$D$92,'0500'!A1610,'Daftar Koreksi'!$G$5:$G$92,"Jalan Irigasi Jaringan",'Daftar Koreksi'!$H$5:$H$92,"&gt;0")</f>
        <v>0</v>
      </c>
      <c r="F1617" s="25">
        <f>SUMIFS('Daftar Koreksi'!$H$5:$H$92,'Daftar Koreksi'!$D$5:$D$92,'0500'!A1610,'Daftar Koreksi'!$G$5:$G$92,"Jalan Irigasi Jaringan",'Daftar Koreksi'!$H$5:$H$92,"&lt;0")-SUMIFS('Daftar Koreksi'!$H$5:$H$92,'Daftar Koreksi'!$D$5:$D$92,'0500'!A1610,'Daftar Koreksi'!$G$5:$G$92,"Jalan Irigasi Jaringan",'Daftar Koreksi'!$H$5:$H$92,"&lt;0")-SUMIFS('Daftar Koreksi'!$H$5:$H$92,'Daftar Koreksi'!$D$5:$D$92,'0500'!A1610,'Daftar Koreksi'!$G$5:$G$92,"Jalan Irigasi Jaringan",'Daftar Koreksi'!$H$5:$H$92,"&lt;0")</f>
        <v>0</v>
      </c>
      <c r="G1617" s="17">
        <f t="shared" si="73"/>
        <v>200250000</v>
      </c>
      <c r="H1617" s="122"/>
    </row>
    <row r="1618" spans="1:8" ht="21.95" customHeight="1">
      <c r="A1618" s="14"/>
      <c r="B1618" s="14"/>
      <c r="C1618" s="16" t="s">
        <v>1170</v>
      </c>
      <c r="D1618" s="17">
        <f>VLOOKUP(A1610,'Neraca Unaudited SIMAK'!$A$2:$S$10004,8,FALSE)</f>
        <v>0</v>
      </c>
      <c r="E1618" s="25">
        <f>SUMIFS('Daftar Koreksi'!$H$5:$H$92,'Daftar Koreksi'!$D$5:$D$92,'0500'!A1610,'Daftar Koreksi'!$G$5:$G$92,"Aset Tetap Lainnya",'Daftar Koreksi'!$H$5:$H$92,"&gt;0")</f>
        <v>0</v>
      </c>
      <c r="F1618" s="25">
        <f>SUMIFS('Daftar Koreksi'!$H$5:$H$92,'Daftar Koreksi'!$D$5:$D$92,'0500'!A1610,'Daftar Koreksi'!$G$5:$G$92,"Aset Tetap Lainnya",'Daftar Koreksi'!$H$5:$H$92,"&lt;0")-SUMIFS('Daftar Koreksi'!$H$5:$H$92,'Daftar Koreksi'!$D$5:$D$92,'0500'!A1610,'Daftar Koreksi'!$G$5:$G$92,"Aset Tetap Lainnya",'Daftar Koreksi'!$H$5:$H$92,"&lt;0")-SUMIFS('Daftar Koreksi'!$H$5:$H$92,'Daftar Koreksi'!$D$5:$D$92,'0500'!A1610,'Daftar Koreksi'!$G$5:$G$92,"Aset Tetap Lainnya",'Daftar Koreksi'!$H$5:$H$92,"&lt;0")</f>
        <v>0</v>
      </c>
      <c r="G1618" s="17">
        <f t="shared" si="73"/>
        <v>0</v>
      </c>
      <c r="H1618" s="122"/>
    </row>
    <row r="1619" spans="1:8" ht="21.95" customHeight="1">
      <c r="A1619" s="14"/>
      <c r="B1619" s="14"/>
      <c r="C1619" s="16" t="s">
        <v>1171</v>
      </c>
      <c r="D1619" s="17">
        <f>VLOOKUP(A1610,'Neraca Unaudited SIMAK'!$A$2:$S$10004,9,FALSE)</f>
        <v>0</v>
      </c>
      <c r="E1619" s="25">
        <f>SUMIFS('Daftar Koreksi'!$H$5:$H$92,'Daftar Koreksi'!$D$5:$D$92,'0500'!A1610,'Daftar Koreksi'!$G$5:$G$92,"Kontruksi Dalam Pengerjaan",'Daftar Koreksi'!$H$5:$H$92,"&gt;0")</f>
        <v>0</v>
      </c>
      <c r="F1619" s="25">
        <f>SUMIFS('Daftar Koreksi'!$H$5:$H$92,'Daftar Koreksi'!$D$5:$D$92,'0500'!A1610,'Daftar Koreksi'!$G$5:$G$92,"Kontruksi Dalam Pengerjaan",'Daftar Koreksi'!$H$5:$H$92,"&lt;0")-SUMIFS('Daftar Koreksi'!$H$5:$H$92,'Daftar Koreksi'!$D$5:$D$92,'0500'!A1610,'Daftar Koreksi'!$G$5:$G$92,"Kontruksi Dalam Pengerjaan",'Daftar Koreksi'!$H$5:$H$92,"&lt;0")-SUMIFS('Daftar Koreksi'!$H$5:$H$92,'Daftar Koreksi'!$D$5:$D$92,'0500'!A1610,'Daftar Koreksi'!$G$5:$G$92,"Kontruksi Dalam Pengerjaan",'Daftar Koreksi'!$H$5:$H$92,"&lt;0")</f>
        <v>0</v>
      </c>
      <c r="G1619" s="17">
        <f t="shared" si="73"/>
        <v>0</v>
      </c>
      <c r="H1619" s="122"/>
    </row>
    <row r="1620" spans="1:8" ht="21.95" customHeight="1">
      <c r="A1620" s="14"/>
      <c r="B1620" s="14"/>
      <c r="C1620" s="16" t="s">
        <v>1172</v>
      </c>
      <c r="D1620" s="17">
        <f>VLOOKUP(A1610,'Neraca Unaudited SIMAK'!$A$2:$S$10004,10,FALSE)</f>
        <v>0</v>
      </c>
      <c r="E1620" s="25">
        <f>SUMIFS('Daftar Koreksi'!$H$5:$H$92,'Daftar Koreksi'!$D$5:$D$92,'0500'!A1610,'Daftar Koreksi'!$G$5:$G$92,"Aset Tak Berwujud",'Daftar Koreksi'!$H$5:$H$92,"&gt;0")</f>
        <v>0</v>
      </c>
      <c r="F1620" s="25">
        <f>SUMIFS('Daftar Koreksi'!$H$5:$H$92,'Daftar Koreksi'!$D$5:$D$92,'0500'!A1610,'Daftar Koreksi'!$G$5:$G$92,"Aset Tak Berwujud",'Daftar Koreksi'!$H$5:$H$92,"&lt;0")-SUMIFS('Daftar Koreksi'!$H$5:$H$92,'Daftar Koreksi'!$D$5:$D$92,'0500'!A1610,'Daftar Koreksi'!$G$5:$G$92,"Aset Tak Berwujud",'Daftar Koreksi'!$H$5:$H$92,"&lt;0")-SUMIFS('Daftar Koreksi'!$H$5:$H$92,'Daftar Koreksi'!$D$5:$D$92,'0500'!A1610,'Daftar Koreksi'!$G$5:$G$92,"Aset Tak Berwujud",'Daftar Koreksi'!$H$5:$H$92,"&lt;0")</f>
        <v>0</v>
      </c>
      <c r="G1620" s="17">
        <f t="shared" si="73"/>
        <v>0</v>
      </c>
      <c r="H1620" s="122"/>
    </row>
    <row r="1621" spans="1:8" ht="21.95" customHeight="1">
      <c r="A1621" s="14"/>
      <c r="B1621" s="14"/>
      <c r="C1621" s="16" t="s">
        <v>1173</v>
      </c>
      <c r="D1621" s="17">
        <f>VLOOKUP(A1610,'Neraca Unaudited SIMAK'!$A$2:$S$10004,11,FALSE)</f>
        <v>0</v>
      </c>
      <c r="E1621" s="25">
        <f>SUMIFS('Daftar Koreksi'!$H$5:$H$92,'Daftar Koreksi'!$D$5:$D$92,'0500'!A1610,'Daftar Koreksi'!$G$5:$G$92,"Aset Henti Guna",'Daftar Koreksi'!$H$5:$H$92,"&gt;0")</f>
        <v>0</v>
      </c>
      <c r="F1621" s="25">
        <f>SUMIFS('Daftar Koreksi'!$H$5:$H$92,'Daftar Koreksi'!$D$5:$D$92,'0500'!A1610,'Daftar Koreksi'!$G$5:$G$92,"Aset Henti Guna",'Daftar Koreksi'!$H$5:$H$92,"&lt;0")-SUMIFS('Daftar Koreksi'!$H$5:$H$92,'Daftar Koreksi'!$D$5:$D$92,'0500'!A1610,'Daftar Koreksi'!$G$5:$G$92,"Aset Henti Guna",'Daftar Koreksi'!$H$5:$H$92,"&lt;0")-SUMIFS('Daftar Koreksi'!$H$5:$H$92,'Daftar Koreksi'!$D$5:$D$92,'0500'!A1610,'Daftar Koreksi'!$G$5:$G$92,"Aset Henti Guna",'Daftar Koreksi'!$H$5:$H$92,"&lt;0")</f>
        <v>0</v>
      </c>
      <c r="G1621" s="17">
        <f t="shared" si="73"/>
        <v>0</v>
      </c>
      <c r="H1621" s="122"/>
    </row>
    <row r="1622" spans="1:8" ht="21.95" customHeight="1">
      <c r="A1622" s="14"/>
      <c r="B1622" s="14"/>
      <c r="C1622" s="18" t="s">
        <v>2093</v>
      </c>
      <c r="D1622" s="19">
        <f>VLOOKUP(A1610,'Neraca Unaudited SIMAK'!$A$2:$S$10004,12,FALSE)</f>
        <v>27005210996</v>
      </c>
      <c r="E1622" s="19">
        <f>SUM(E1613:E1621)</f>
        <v>0</v>
      </c>
      <c r="F1622" s="19">
        <f>SUM(F1613:F1621)</f>
        <v>0</v>
      </c>
      <c r="G1622" s="19">
        <f t="shared" si="73"/>
        <v>27005210996</v>
      </c>
      <c r="H1622" s="122"/>
    </row>
    <row r="1623" spans="1:8" ht="21.95" customHeight="1">
      <c r="A1623" s="14"/>
      <c r="B1623" s="14"/>
      <c r="C1623" s="16" t="s">
        <v>2087</v>
      </c>
      <c r="D1623" s="17">
        <f>VLOOKUP(A1610,'Neraca Unaudited SIMAK'!$A$2:$S$10004,13,FALSE)</f>
        <v>-3114327804</v>
      </c>
      <c r="E1623" s="25">
        <f>SUMIFS('Daftar Koreksi'!$I$5:$I$92,'Daftar Koreksi'!$D$5:$D$92,'0500'!A1610,'Daftar Koreksi'!$G$5:$G$92,"Peralatan dan mesin",'Daftar Koreksi'!$I$5:$I$92,"&gt;0")</f>
        <v>0</v>
      </c>
      <c r="F1623" s="25">
        <f>SUMIFS('Daftar Koreksi'!$I$5:$I$92,'Daftar Koreksi'!$D$5:$D$92,'0500'!A1610,'Daftar Koreksi'!$G$5:$G$92,"Peralatan dan mesin",'Daftar Koreksi'!$I$5:$I$92,"&lt;0")-SUMIFS('Daftar Koreksi'!$I$5:$I$92,'Daftar Koreksi'!$D$5:$D$92,'0500'!A1610,'Daftar Koreksi'!$G$5:$G$92,"Peralatan dan mesin",'Daftar Koreksi'!$I$5:$I$92,"&lt;0")-SUMIFS('Daftar Koreksi'!$I$5:$I$92,'Daftar Koreksi'!$D$5:$D$92,'0500'!A1610,'Daftar Koreksi'!$G$5:$G$92,"Peralatan dan mesin",'Daftar Koreksi'!$I$5:$I$92,"&lt;0")</f>
        <v>0</v>
      </c>
      <c r="G1623" s="17">
        <f t="shared" si="73"/>
        <v>-3114327804</v>
      </c>
      <c r="H1623" s="122"/>
    </row>
    <row r="1624" spans="1:8" ht="21.95" customHeight="1">
      <c r="A1624" s="14"/>
      <c r="B1624" s="14"/>
      <c r="C1624" s="16" t="s">
        <v>2088</v>
      </c>
      <c r="D1624" s="17">
        <f>VLOOKUP(A1610,'Neraca Unaudited SIMAK'!$A$2:$S$10004,14,FALSE)</f>
        <v>-1758693138</v>
      </c>
      <c r="E1624" s="25">
        <f>SUMIFS('Daftar Koreksi'!$I$5:$I$92,'Daftar Koreksi'!$D$5:$D$92,'0500'!A1610,'Daftar Koreksi'!$G$5:$G$92,"Gedung dan Bangunan",'Daftar Koreksi'!$I$5:$I$92,"&gt;0")</f>
        <v>0</v>
      </c>
      <c r="F1624" s="25">
        <f>SUMIFS('Daftar Koreksi'!$I$5:$I$92,'Daftar Koreksi'!$D$5:$D$92,'0500'!A1610,'Daftar Koreksi'!$G$5:$G$92,"Gedung dan Bangunan",'Daftar Koreksi'!$I$5:$I$92,"&lt;0")-SUMIFS('Daftar Koreksi'!$I$5:$I$92,'Daftar Koreksi'!$D$5:$D$92,'0500'!A1610,'Daftar Koreksi'!$G$5:$G$92,"Gedung dan Bangunan",'Daftar Koreksi'!$I$5:$I$92,"&lt;0")-SUMIFS('Daftar Koreksi'!$I$5:$I$92,'Daftar Koreksi'!$D$5:$D$92,'0500'!A1610,'Daftar Koreksi'!$G$5:$G$92,"Gedung dan Bangunan",'Daftar Koreksi'!$I$5:$I$92,"&lt;0")</f>
        <v>0</v>
      </c>
      <c r="G1624" s="17">
        <f t="shared" si="73"/>
        <v>-1758693138</v>
      </c>
      <c r="H1624" s="122"/>
    </row>
    <row r="1625" spans="1:8" ht="21.95" customHeight="1">
      <c r="A1625" s="14"/>
      <c r="B1625" s="14"/>
      <c r="C1625" s="16" t="s">
        <v>2089</v>
      </c>
      <c r="D1625" s="17">
        <f>VLOOKUP(A1610,'Neraca Unaudited SIMAK'!$A$2:$S$10004,15,FALSE)</f>
        <v>-25031250</v>
      </c>
      <c r="E1625" s="25">
        <f>SUMIFS('Daftar Koreksi'!$I$5:$I$92,'Daftar Koreksi'!$D$5:$D$92,'0500'!A1610,'Daftar Koreksi'!$G$5:$G$92,"Jalan Irigasi Jaringan",'Daftar Koreksi'!$I$5:$I$92,"&gt;0")</f>
        <v>0</v>
      </c>
      <c r="F1625" s="25">
        <f>SUMIFS('Daftar Koreksi'!$I$5:$I$92,'Daftar Koreksi'!$D$5:$D$92,'0500'!A1610,'Daftar Koreksi'!$G$5:$G$92,"Jalan Irigasi Jaringan",'Daftar Koreksi'!$I$5:$I$92,"&lt;0")-SUMIFS('Daftar Koreksi'!$I$5:$I$92,'Daftar Koreksi'!$D$5:$D$92,'0500'!A1610,'Daftar Koreksi'!$G$5:$G$92,"Jalan Irigasi Jaringan",'Daftar Koreksi'!$I$5:$I$92,"&lt;0")-SUMIFS('Daftar Koreksi'!$I$5:$I$92,'Daftar Koreksi'!$D$5:$D$92,'0500'!A1610,'Daftar Koreksi'!$G$5:$G$92,"Jalan Irigasi Jaringan",'Daftar Koreksi'!$I$5:$I$92,"&lt;0")</f>
        <v>0</v>
      </c>
      <c r="G1625" s="17">
        <f t="shared" si="73"/>
        <v>-25031250</v>
      </c>
      <c r="H1625" s="122"/>
    </row>
    <row r="1626" spans="1:8" ht="21.95" customHeight="1">
      <c r="A1626" s="14"/>
      <c r="B1626" s="14"/>
      <c r="C1626" s="16" t="s">
        <v>2090</v>
      </c>
      <c r="D1626" s="17">
        <f>VLOOKUP(A1610,'Neraca Unaudited SIMAK'!$A$2:$S$10004,16,FALSE)</f>
        <v>0</v>
      </c>
      <c r="E1626" s="25">
        <f>SUMIFS('Daftar Koreksi'!$I$5:$I$92,'Daftar Koreksi'!$D$5:$D$92,'0500'!A1610,'Daftar Koreksi'!$G$5:$G$92,"Aset Tetap Lainnya",'Daftar Koreksi'!$I$5:$I$92,"&gt;0")</f>
        <v>0</v>
      </c>
      <c r="F1626" s="25">
        <f>SUMIFS('Daftar Koreksi'!$I$5:$I$92,'Daftar Koreksi'!$D$5:$D$92,'0500'!A1610,'Daftar Koreksi'!$G$5:$G$92,"Aset Tetap Lainnya",'Daftar Koreksi'!$I$5:$I$92,"&lt;0")-SUMIFS('Daftar Koreksi'!$I$5:$I$92,'Daftar Koreksi'!$D$5:$D$92,'0500'!A1610,'Daftar Koreksi'!$G$5:$G$92,"Aset Tetap Lainnya",'Daftar Koreksi'!$I$5:$I$92,"&lt;0")-SUMIFS('Daftar Koreksi'!$I$5:$I$92,'Daftar Koreksi'!$D$5:$D$92,'0500'!A1610,'Daftar Koreksi'!$G$5:$G$92,"Aset Tetap Lainnya",'Daftar Koreksi'!$I$5:$I$92,"&lt;0")</f>
        <v>0</v>
      </c>
      <c r="G1626" s="17">
        <f t="shared" si="73"/>
        <v>0</v>
      </c>
      <c r="H1626" s="122"/>
    </row>
    <row r="1627" spans="1:8" ht="21.95" customHeight="1">
      <c r="A1627" s="14"/>
      <c r="B1627" s="14"/>
      <c r="C1627" s="16" t="s">
        <v>2020</v>
      </c>
      <c r="D1627" s="17">
        <f>VLOOKUP(A1610,'Neraca Unaudited SIMAK'!$A$2:$S$10004,17,FALSE)</f>
        <v>0</v>
      </c>
      <c r="E1627" s="25">
        <f>SUMIFS('Daftar Koreksi'!$I$5:$I$92,'Daftar Koreksi'!$D$5:$D$92,'0500'!A1610,'Daftar Koreksi'!$G$5:$G$92,"Aset Henti Guna",'Daftar Koreksi'!$I$5:$I$92,"&gt;0")</f>
        <v>0</v>
      </c>
      <c r="F1627" s="25">
        <f>SUMIFS('Daftar Koreksi'!$I$5:$I$92,'Daftar Koreksi'!$D$5:$D$92,'0500'!A1610,'Daftar Koreksi'!$G$5:$G$92,"Aset Henti Guna",'Daftar Koreksi'!$I$5:$I$92,"&lt;0")-SUMIFS('Daftar Koreksi'!$I$5:$I$92,'Daftar Koreksi'!$D$5:$D$92,'0500'!A1610,'Daftar Koreksi'!$G$5:$G$92,"Aset Henti Guna",'Daftar Koreksi'!$I$5:$I$92,"&lt;0")-SUMIFS('Daftar Koreksi'!$I$5:$I$92,'Daftar Koreksi'!$D$5:$D$92,'0500'!A1610,'Daftar Koreksi'!$G$5:$G$92,"Aset Henti Guna",'Daftar Koreksi'!$I$5:$I$92,"&lt;0")</f>
        <v>0</v>
      </c>
      <c r="G1627" s="17">
        <f t="shared" si="73"/>
        <v>0</v>
      </c>
      <c r="H1627" s="122"/>
    </row>
    <row r="1628" spans="1:8" ht="21.95" customHeight="1">
      <c r="A1628" s="14"/>
      <c r="B1628" s="14"/>
      <c r="C1628" s="18" t="s">
        <v>2094</v>
      </c>
      <c r="D1628" s="19">
        <f>SUM(D1623:D1627)</f>
        <v>-4898052192</v>
      </c>
      <c r="E1628" s="19">
        <f>SUM(E1623:E1627)</f>
        <v>0</v>
      </c>
      <c r="F1628" s="19">
        <f>SUM(F1623:F1627)</f>
        <v>0</v>
      </c>
      <c r="G1628" s="19">
        <f t="shared" si="73"/>
        <v>-4898052192</v>
      </c>
      <c r="H1628" s="122"/>
    </row>
    <row r="1629" spans="1:8" ht="21.95" customHeight="1">
      <c r="A1629" s="14"/>
      <c r="B1629" s="14"/>
      <c r="C1629" s="18" t="s">
        <v>2095</v>
      </c>
      <c r="D1629" s="19">
        <f>VLOOKUP(A1610,'Neraca Unaudited SIMAK'!$A$2:$S$10004,18,FALSE)</f>
        <v>22107158804</v>
      </c>
      <c r="E1629" s="19">
        <f>E1628+E1622</f>
        <v>0</v>
      </c>
      <c r="F1629" s="19">
        <f>F1628+F1622</f>
        <v>0</v>
      </c>
      <c r="G1629" s="19">
        <f t="shared" si="73"/>
        <v>22107158804</v>
      </c>
      <c r="H1629" s="122"/>
    </row>
    <row r="1630" spans="1:8" ht="21.95" customHeight="1">
      <c r="A1630" s="14"/>
      <c r="B1630" s="14"/>
      <c r="C1630" s="16" t="s">
        <v>2091</v>
      </c>
      <c r="D1630" s="17">
        <f>VLOOKUP(A1610,'Neraca Unaudited SIMAK'!$A$2:$S$10004,19,FALSE)</f>
        <v>0</v>
      </c>
      <c r="E1630" s="25"/>
      <c r="F1630" s="25"/>
      <c r="G1630" s="17">
        <f t="shared" si="73"/>
        <v>0</v>
      </c>
      <c r="H1630" s="123"/>
    </row>
    <row r="1632" spans="1:8" ht="19.5" customHeight="1">
      <c r="A1632" s="11" t="str">
        <f>O75</f>
        <v>005010500604730000KD</v>
      </c>
      <c r="B1632" s="11" t="str">
        <f>P75</f>
        <v>PA. Malang Kab. Malang</v>
      </c>
      <c r="C1632" s="12" t="str">
        <f>A1632&amp;" "&amp;B1632</f>
        <v>005010500604730000KD PA. Malang Kab. Malang</v>
      </c>
      <c r="D1632" s="13"/>
      <c r="E1632" s="13"/>
      <c r="F1632" s="13"/>
      <c r="G1632" s="13"/>
      <c r="H1632" s="11"/>
    </row>
    <row r="1633" spans="1:8" ht="21.95" customHeight="1">
      <c r="A1633" s="14"/>
      <c r="B1633" s="14"/>
      <c r="C1633" s="124" t="s">
        <v>1982</v>
      </c>
      <c r="D1633" s="126" t="s">
        <v>1983</v>
      </c>
      <c r="E1633" s="132" t="s">
        <v>1984</v>
      </c>
      <c r="F1633" s="132"/>
      <c r="G1633" s="126" t="s">
        <v>1987</v>
      </c>
      <c r="H1633" s="130" t="s">
        <v>1175</v>
      </c>
    </row>
    <row r="1634" spans="1:8" ht="21.95" customHeight="1">
      <c r="A1634" s="14"/>
      <c r="B1634" s="14"/>
      <c r="C1634" s="125"/>
      <c r="D1634" s="127"/>
      <c r="E1634" s="26" t="s">
        <v>1985</v>
      </c>
      <c r="F1634" s="26" t="s">
        <v>1986</v>
      </c>
      <c r="G1634" s="127"/>
      <c r="H1634" s="131"/>
    </row>
    <row r="1635" spans="1:8" ht="21.95" customHeight="1">
      <c r="A1635" s="14"/>
      <c r="B1635" s="14"/>
      <c r="C1635" s="16" t="s">
        <v>1165</v>
      </c>
      <c r="D1635" s="17">
        <f>VLOOKUP(A1632,'Neraca Unaudited SIMAK'!$A$2:$S$10004,3,FALSE)</f>
        <v>2191250</v>
      </c>
      <c r="E1635" s="25">
        <f>SUMIFS('Daftar Koreksi'!$H$5:$H$92,'Daftar Koreksi'!$D$5:$D$92,'0500'!A1632,'Daftar Koreksi'!$G$5:$G$92,"Persediaan",'Daftar Koreksi'!$H$5:$H$92,"&gt;0")</f>
        <v>0</v>
      </c>
      <c r="F1635" s="25">
        <f>SUMIFS('Daftar Koreksi'!$H$5:$H$92,'Daftar Koreksi'!$D$5:$D$92,'0500'!A1632,'Daftar Koreksi'!$G$5:$G$92,"Persediaan",'Daftar Koreksi'!$H$5:$H$92,"&lt;0")-SUMIFS('Daftar Koreksi'!$H$5:$H$92,'Daftar Koreksi'!$D$5:$D$92,'0500'!A1632,'Daftar Koreksi'!$G$5:$G$92,"Persediaan",'Daftar Koreksi'!$H$5:$H$92,"&lt;0")-SUMIFS('Daftar Koreksi'!$H$5:$H$92,'Daftar Koreksi'!$D$5:$D$92,'0500'!A1632,'Daftar Koreksi'!$G$5:$G$92,"Persediaan",'Daftar Koreksi'!$H$5:$H$92,"&lt;0")</f>
        <v>0</v>
      </c>
      <c r="G1635" s="17">
        <f>D1635+E1635-F1635</f>
        <v>2191250</v>
      </c>
      <c r="H1635" s="121" t="str">
        <f>IF(ISNA(VLOOKUP(A1632,'Mutasi Neraca'!$A$3:$S$914,19,FALSE)),"-",VLOOKUP(A1632,'Mutasi Neraca'!$A$3:$S$914,19,FALSE))</f>
        <v>-</v>
      </c>
    </row>
    <row r="1636" spans="1:8" ht="21.95" customHeight="1">
      <c r="A1636" s="14"/>
      <c r="B1636" s="14"/>
      <c r="C1636" s="16" t="s">
        <v>1166</v>
      </c>
      <c r="D1636" s="17">
        <f>VLOOKUP(A1632,'Neraca Unaudited SIMAK'!$A$2:$S$10004,4,FALSE)</f>
        <v>6714855000</v>
      </c>
      <c r="E1636" s="25">
        <f>SUMIFS('Daftar Koreksi'!$H$5:$H$92,'Daftar Koreksi'!$D$5:$D$92,'0500'!A1632,'Daftar Koreksi'!$G$5:$G$92,"Tanah",'Daftar Koreksi'!$H$5:$H$92,"&gt;0")</f>
        <v>0</v>
      </c>
      <c r="F1636" s="25">
        <f>SUMIFS('Daftar Koreksi'!$H$5:$H$92,'Daftar Koreksi'!$D$5:$D$92,'0500'!A1632,'Daftar Koreksi'!$G$5:$G$92,"Tanah",'Daftar Koreksi'!$H$5:$H$92,"&lt;0")-SUMIFS('Daftar Koreksi'!$H$5:$H$92,'Daftar Koreksi'!$D$5:$D$92,'0500'!A1632,'Daftar Koreksi'!$G$5:$G$92,"Tanah",'Daftar Koreksi'!$H$5:$H$92,"&lt;0")-SUMIFS('Daftar Koreksi'!$H$5:$H$92,'Daftar Koreksi'!$D$5:$D$92,'0500'!A1632,'Daftar Koreksi'!$G$5:$G$92,"Tanah",'Daftar Koreksi'!$H$5:$H$92,"&lt;0")</f>
        <v>0</v>
      </c>
      <c r="G1636" s="17">
        <f t="shared" ref="G1636:G1652" si="74">D1636+E1636-F1636</f>
        <v>6714855000</v>
      </c>
      <c r="H1636" s="122"/>
    </row>
    <row r="1637" spans="1:8" ht="21.95" customHeight="1">
      <c r="A1637" s="14"/>
      <c r="B1637" s="14"/>
      <c r="C1637" s="16" t="s">
        <v>1167</v>
      </c>
      <c r="D1637" s="17">
        <f>VLOOKUP(A1632,'Neraca Unaudited SIMAK'!$A$2:$S$10004,5,FALSE)</f>
        <v>2609269483</v>
      </c>
      <c r="E1637" s="25">
        <f>SUMIFS('Daftar Koreksi'!$H$5:$H$92,'Daftar Koreksi'!$D$5:$D$92,'0500'!A1632,'Daftar Koreksi'!$G$5:$G$92,"Peralatan dan mesin",'Daftar Koreksi'!$H$5:$H$92,"&gt;0")</f>
        <v>0</v>
      </c>
      <c r="F1637" s="25">
        <f>SUMIFS('Daftar Koreksi'!$H$5:$H$92,'Daftar Koreksi'!$D$5:$D$92,'0500'!A1632,'Daftar Koreksi'!$G$5:$G$92,"Peralatan dan mesin",'Daftar Koreksi'!$H$5:$H$92,"&lt;0")-SUMIFS('Daftar Koreksi'!$H$5:$H$92,'Daftar Koreksi'!$D$5:$D$92,'0500'!A1632,'Daftar Koreksi'!$G$5:$G$92,"Peralatan dan mesin",'Daftar Koreksi'!$H$5:$H$92,"&lt;0")-SUMIFS('Daftar Koreksi'!$H$5:$H$92,'Daftar Koreksi'!$D$5:$D$92,'0500'!A1632,'Daftar Koreksi'!$G$5:$G$92,"Peralatan dan mesin",'Daftar Koreksi'!$H$5:$H$92,"&lt;0")</f>
        <v>0</v>
      </c>
      <c r="G1637" s="17">
        <f t="shared" si="74"/>
        <v>2609269483</v>
      </c>
      <c r="H1637" s="122"/>
    </row>
    <row r="1638" spans="1:8" ht="21.95" customHeight="1">
      <c r="A1638" s="14"/>
      <c r="B1638" s="14"/>
      <c r="C1638" s="16" t="s">
        <v>1168</v>
      </c>
      <c r="D1638" s="17">
        <f>VLOOKUP(A1632,'Neraca Unaudited SIMAK'!$A$2:$S$10004,6,FALSE)</f>
        <v>10392538800</v>
      </c>
      <c r="E1638" s="25">
        <f>SUMIFS('Daftar Koreksi'!$H$5:$H$92,'Daftar Koreksi'!$D$5:$D$92,'0500'!A1632,'Daftar Koreksi'!$G$5:$G$92,"Gedung dan Bangunan",'Daftar Koreksi'!$H$5:$H$92,"&gt;0")</f>
        <v>0</v>
      </c>
      <c r="F1638" s="25">
        <f>SUMIFS('Daftar Koreksi'!$H$5:$H$92,'Daftar Koreksi'!$D$5:$D$92,'0500'!A1632,'Daftar Koreksi'!$G$5:$G$92,"Gedung dan Bangunan",'Daftar Koreksi'!$H$5:$H$92,"&lt;0")-SUMIFS('Daftar Koreksi'!$H$5:$H$92,'Daftar Koreksi'!$D$5:$D$92,'0500'!A1632,'Daftar Koreksi'!$G$5:$G$92,"Gedung dan Bangunan",'Daftar Koreksi'!$H$5:$H$92,"&lt;0")-SUMIFS('Daftar Koreksi'!$H$5:$H$92,'Daftar Koreksi'!$D$5:$D$92,'0500'!A1632,'Daftar Koreksi'!$G$5:$G$92,"Gedung dan Bangunan",'Daftar Koreksi'!$H$5:$H$92,"&lt;0")</f>
        <v>0</v>
      </c>
      <c r="G1638" s="17">
        <f t="shared" si="74"/>
        <v>10392538800</v>
      </c>
      <c r="H1638" s="122"/>
    </row>
    <row r="1639" spans="1:8" ht="21.95" customHeight="1">
      <c r="A1639" s="14"/>
      <c r="B1639" s="14"/>
      <c r="C1639" s="16" t="s">
        <v>1169</v>
      </c>
      <c r="D1639" s="17">
        <f>VLOOKUP(A1632,'Neraca Unaudited SIMAK'!$A$2:$S$10004,7,FALSE)</f>
        <v>50000000</v>
      </c>
      <c r="E1639" s="25">
        <f>SUMIFS('Daftar Koreksi'!$H$5:$H$92,'Daftar Koreksi'!$D$5:$D$92,'0500'!A1632,'Daftar Koreksi'!$G$5:$G$92,"Jalan Irigasi Jaringan",'Daftar Koreksi'!$H$5:$H$92,"&gt;0")</f>
        <v>0</v>
      </c>
      <c r="F1639" s="25">
        <f>SUMIFS('Daftar Koreksi'!$H$5:$H$92,'Daftar Koreksi'!$D$5:$D$92,'0500'!A1632,'Daftar Koreksi'!$G$5:$G$92,"Jalan Irigasi Jaringan",'Daftar Koreksi'!$H$5:$H$92,"&lt;0")-SUMIFS('Daftar Koreksi'!$H$5:$H$92,'Daftar Koreksi'!$D$5:$D$92,'0500'!A1632,'Daftar Koreksi'!$G$5:$G$92,"Jalan Irigasi Jaringan",'Daftar Koreksi'!$H$5:$H$92,"&lt;0")-SUMIFS('Daftar Koreksi'!$H$5:$H$92,'Daftar Koreksi'!$D$5:$D$92,'0500'!A1632,'Daftar Koreksi'!$G$5:$G$92,"Jalan Irigasi Jaringan",'Daftar Koreksi'!$H$5:$H$92,"&lt;0")</f>
        <v>0</v>
      </c>
      <c r="G1639" s="17">
        <f t="shared" si="74"/>
        <v>50000000</v>
      </c>
      <c r="H1639" s="122"/>
    </row>
    <row r="1640" spans="1:8" ht="21.95" customHeight="1">
      <c r="A1640" s="14"/>
      <c r="B1640" s="14"/>
      <c r="C1640" s="16" t="s">
        <v>1170</v>
      </c>
      <c r="D1640" s="17">
        <f>VLOOKUP(A1632,'Neraca Unaudited SIMAK'!$A$2:$S$10004,8,FALSE)</f>
        <v>12465548</v>
      </c>
      <c r="E1640" s="25">
        <f>SUMIFS('Daftar Koreksi'!$H$5:$H$92,'Daftar Koreksi'!$D$5:$D$92,'0500'!A1632,'Daftar Koreksi'!$G$5:$G$92,"Aset Tetap Lainnya",'Daftar Koreksi'!$H$5:$H$92,"&gt;0")</f>
        <v>0</v>
      </c>
      <c r="F1640" s="25">
        <f>SUMIFS('Daftar Koreksi'!$H$5:$H$92,'Daftar Koreksi'!$D$5:$D$92,'0500'!A1632,'Daftar Koreksi'!$G$5:$G$92,"Aset Tetap Lainnya",'Daftar Koreksi'!$H$5:$H$92,"&lt;0")-SUMIFS('Daftar Koreksi'!$H$5:$H$92,'Daftar Koreksi'!$D$5:$D$92,'0500'!A1632,'Daftar Koreksi'!$G$5:$G$92,"Aset Tetap Lainnya",'Daftar Koreksi'!$H$5:$H$92,"&lt;0")-SUMIFS('Daftar Koreksi'!$H$5:$H$92,'Daftar Koreksi'!$D$5:$D$92,'0500'!A1632,'Daftar Koreksi'!$G$5:$G$92,"Aset Tetap Lainnya",'Daftar Koreksi'!$H$5:$H$92,"&lt;0")</f>
        <v>0</v>
      </c>
      <c r="G1640" s="17">
        <f t="shared" si="74"/>
        <v>12465548</v>
      </c>
      <c r="H1640" s="122"/>
    </row>
    <row r="1641" spans="1:8" ht="21.95" customHeight="1">
      <c r="A1641" s="14"/>
      <c r="B1641" s="14"/>
      <c r="C1641" s="16" t="s">
        <v>1171</v>
      </c>
      <c r="D1641" s="17">
        <f>VLOOKUP(A1632,'Neraca Unaudited SIMAK'!$A$2:$S$10004,9,FALSE)</f>
        <v>0</v>
      </c>
      <c r="E1641" s="25">
        <f>SUMIFS('Daftar Koreksi'!$H$5:$H$92,'Daftar Koreksi'!$D$5:$D$92,'0500'!A1632,'Daftar Koreksi'!$G$5:$G$92,"Kontruksi Dalam Pengerjaan",'Daftar Koreksi'!$H$5:$H$92,"&gt;0")</f>
        <v>0</v>
      </c>
      <c r="F1641" s="25">
        <f>SUMIFS('Daftar Koreksi'!$H$5:$H$92,'Daftar Koreksi'!$D$5:$D$92,'0500'!A1632,'Daftar Koreksi'!$G$5:$G$92,"Kontruksi Dalam Pengerjaan",'Daftar Koreksi'!$H$5:$H$92,"&lt;0")-SUMIFS('Daftar Koreksi'!$H$5:$H$92,'Daftar Koreksi'!$D$5:$D$92,'0500'!A1632,'Daftar Koreksi'!$G$5:$G$92,"Kontruksi Dalam Pengerjaan",'Daftar Koreksi'!$H$5:$H$92,"&lt;0")-SUMIFS('Daftar Koreksi'!$H$5:$H$92,'Daftar Koreksi'!$D$5:$D$92,'0500'!A1632,'Daftar Koreksi'!$G$5:$G$92,"Kontruksi Dalam Pengerjaan",'Daftar Koreksi'!$H$5:$H$92,"&lt;0")</f>
        <v>0</v>
      </c>
      <c r="G1641" s="17">
        <f t="shared" si="74"/>
        <v>0</v>
      </c>
      <c r="H1641" s="122"/>
    </row>
    <row r="1642" spans="1:8" ht="21.95" customHeight="1">
      <c r="A1642" s="14"/>
      <c r="B1642" s="14"/>
      <c r="C1642" s="16" t="s">
        <v>1172</v>
      </c>
      <c r="D1642" s="17">
        <f>VLOOKUP(A1632,'Neraca Unaudited SIMAK'!$A$2:$S$10004,10,FALSE)</f>
        <v>43900000</v>
      </c>
      <c r="E1642" s="25">
        <f>SUMIFS('Daftar Koreksi'!$H$5:$H$92,'Daftar Koreksi'!$D$5:$D$92,'0500'!A1632,'Daftar Koreksi'!$G$5:$G$92,"Aset Tak Berwujud",'Daftar Koreksi'!$H$5:$H$92,"&gt;0")</f>
        <v>0</v>
      </c>
      <c r="F1642" s="25">
        <f>SUMIFS('Daftar Koreksi'!$H$5:$H$92,'Daftar Koreksi'!$D$5:$D$92,'0500'!A1632,'Daftar Koreksi'!$G$5:$G$92,"Aset Tak Berwujud",'Daftar Koreksi'!$H$5:$H$92,"&lt;0")-SUMIFS('Daftar Koreksi'!$H$5:$H$92,'Daftar Koreksi'!$D$5:$D$92,'0500'!A1632,'Daftar Koreksi'!$G$5:$G$92,"Aset Tak Berwujud",'Daftar Koreksi'!$H$5:$H$92,"&lt;0")-SUMIFS('Daftar Koreksi'!$H$5:$H$92,'Daftar Koreksi'!$D$5:$D$92,'0500'!A1632,'Daftar Koreksi'!$G$5:$G$92,"Aset Tak Berwujud",'Daftar Koreksi'!$H$5:$H$92,"&lt;0")</f>
        <v>0</v>
      </c>
      <c r="G1642" s="17">
        <f t="shared" si="74"/>
        <v>43900000</v>
      </c>
      <c r="H1642" s="122"/>
    </row>
    <row r="1643" spans="1:8" ht="21.95" customHeight="1">
      <c r="A1643" s="14"/>
      <c r="B1643" s="14"/>
      <c r="C1643" s="16" t="s">
        <v>1173</v>
      </c>
      <c r="D1643" s="17">
        <f>VLOOKUP(A1632,'Neraca Unaudited SIMAK'!$A$2:$S$10004,11,FALSE)</f>
        <v>42962000</v>
      </c>
      <c r="E1643" s="25">
        <f>SUMIFS('Daftar Koreksi'!$H$5:$H$92,'Daftar Koreksi'!$D$5:$D$92,'0500'!A1632,'Daftar Koreksi'!$G$5:$G$92,"Aset Henti Guna",'Daftar Koreksi'!$H$5:$H$92,"&gt;0")</f>
        <v>0</v>
      </c>
      <c r="F1643" s="25">
        <f>SUMIFS('Daftar Koreksi'!$H$5:$H$92,'Daftar Koreksi'!$D$5:$D$92,'0500'!A1632,'Daftar Koreksi'!$G$5:$G$92,"Aset Henti Guna",'Daftar Koreksi'!$H$5:$H$92,"&lt;0")-SUMIFS('Daftar Koreksi'!$H$5:$H$92,'Daftar Koreksi'!$D$5:$D$92,'0500'!A1632,'Daftar Koreksi'!$G$5:$G$92,"Aset Henti Guna",'Daftar Koreksi'!$H$5:$H$92,"&lt;0")-SUMIFS('Daftar Koreksi'!$H$5:$H$92,'Daftar Koreksi'!$D$5:$D$92,'0500'!A1632,'Daftar Koreksi'!$G$5:$G$92,"Aset Henti Guna",'Daftar Koreksi'!$H$5:$H$92,"&lt;0")</f>
        <v>0</v>
      </c>
      <c r="G1643" s="17">
        <f t="shared" si="74"/>
        <v>42962000</v>
      </c>
      <c r="H1643" s="122"/>
    </row>
    <row r="1644" spans="1:8" ht="21.95" customHeight="1">
      <c r="A1644" s="14"/>
      <c r="B1644" s="14"/>
      <c r="C1644" s="18" t="s">
        <v>2093</v>
      </c>
      <c r="D1644" s="19">
        <f>VLOOKUP(A1632,'Neraca Unaudited SIMAK'!$A$2:$S$10004,12,FALSE)</f>
        <v>19868182081</v>
      </c>
      <c r="E1644" s="19">
        <f>SUM(E1635:E1643)</f>
        <v>0</v>
      </c>
      <c r="F1644" s="19">
        <f>SUM(F1635:F1643)</f>
        <v>0</v>
      </c>
      <c r="G1644" s="19">
        <f t="shared" si="74"/>
        <v>19868182081</v>
      </c>
      <c r="H1644" s="122"/>
    </row>
    <row r="1645" spans="1:8" ht="21.95" customHeight="1">
      <c r="A1645" s="14"/>
      <c r="B1645" s="14"/>
      <c r="C1645" s="16" t="s">
        <v>2087</v>
      </c>
      <c r="D1645" s="17">
        <f>VLOOKUP(A1632,'Neraca Unaudited SIMAK'!$A$2:$S$10004,13,FALSE)</f>
        <v>-1409642469</v>
      </c>
      <c r="E1645" s="25">
        <f>SUMIFS('Daftar Koreksi'!$I$5:$I$92,'Daftar Koreksi'!$D$5:$D$92,'0500'!A1632,'Daftar Koreksi'!$G$5:$G$92,"Peralatan dan mesin",'Daftar Koreksi'!$I$5:$I$92,"&gt;0")</f>
        <v>0</v>
      </c>
      <c r="F1645" s="25">
        <f>SUMIFS('Daftar Koreksi'!$I$5:$I$92,'Daftar Koreksi'!$D$5:$D$92,'0500'!A1632,'Daftar Koreksi'!$G$5:$G$92,"Peralatan dan mesin",'Daftar Koreksi'!$I$5:$I$92,"&lt;0")-SUMIFS('Daftar Koreksi'!$I$5:$I$92,'Daftar Koreksi'!$D$5:$D$92,'0500'!A1632,'Daftar Koreksi'!$G$5:$G$92,"Peralatan dan mesin",'Daftar Koreksi'!$I$5:$I$92,"&lt;0")-SUMIFS('Daftar Koreksi'!$I$5:$I$92,'Daftar Koreksi'!$D$5:$D$92,'0500'!A1632,'Daftar Koreksi'!$G$5:$G$92,"Peralatan dan mesin",'Daftar Koreksi'!$I$5:$I$92,"&lt;0")</f>
        <v>0</v>
      </c>
      <c r="G1645" s="17">
        <f t="shared" si="74"/>
        <v>-1409642469</v>
      </c>
      <c r="H1645" s="122"/>
    </row>
    <row r="1646" spans="1:8" ht="21.95" customHeight="1">
      <c r="A1646" s="14"/>
      <c r="B1646" s="14"/>
      <c r="C1646" s="16" t="s">
        <v>2088</v>
      </c>
      <c r="D1646" s="17">
        <f>VLOOKUP(A1632,'Neraca Unaudited SIMAK'!$A$2:$S$10004,14,FALSE)</f>
        <v>-853948320</v>
      </c>
      <c r="E1646" s="25">
        <f>SUMIFS('Daftar Koreksi'!$I$5:$I$92,'Daftar Koreksi'!$D$5:$D$92,'0500'!A1632,'Daftar Koreksi'!$G$5:$G$92,"Gedung dan Bangunan",'Daftar Koreksi'!$I$5:$I$92,"&gt;0")</f>
        <v>0</v>
      </c>
      <c r="F1646" s="25">
        <f>SUMIFS('Daftar Koreksi'!$I$5:$I$92,'Daftar Koreksi'!$D$5:$D$92,'0500'!A1632,'Daftar Koreksi'!$G$5:$G$92,"Gedung dan Bangunan",'Daftar Koreksi'!$I$5:$I$92,"&lt;0")-SUMIFS('Daftar Koreksi'!$I$5:$I$92,'Daftar Koreksi'!$D$5:$D$92,'0500'!A1632,'Daftar Koreksi'!$G$5:$G$92,"Gedung dan Bangunan",'Daftar Koreksi'!$I$5:$I$92,"&lt;0")-SUMIFS('Daftar Koreksi'!$I$5:$I$92,'Daftar Koreksi'!$D$5:$D$92,'0500'!A1632,'Daftar Koreksi'!$G$5:$G$92,"Gedung dan Bangunan",'Daftar Koreksi'!$I$5:$I$92,"&lt;0")</f>
        <v>0</v>
      </c>
      <c r="G1646" s="17">
        <f t="shared" si="74"/>
        <v>-853948320</v>
      </c>
      <c r="H1646" s="122"/>
    </row>
    <row r="1647" spans="1:8" ht="21.95" customHeight="1">
      <c r="A1647" s="14"/>
      <c r="B1647" s="14"/>
      <c r="C1647" s="16" t="s">
        <v>2089</v>
      </c>
      <c r="D1647" s="17">
        <f>VLOOKUP(A1632,'Neraca Unaudited SIMAK'!$A$2:$S$10004,15,FALSE)</f>
        <v>-7500000</v>
      </c>
      <c r="E1647" s="25">
        <f>SUMIFS('Daftar Koreksi'!$I$5:$I$92,'Daftar Koreksi'!$D$5:$D$92,'0500'!A1632,'Daftar Koreksi'!$G$5:$G$92,"Jalan Irigasi Jaringan",'Daftar Koreksi'!$I$5:$I$92,"&gt;0")</f>
        <v>0</v>
      </c>
      <c r="F1647" s="25">
        <f>SUMIFS('Daftar Koreksi'!$I$5:$I$92,'Daftar Koreksi'!$D$5:$D$92,'0500'!A1632,'Daftar Koreksi'!$G$5:$G$92,"Jalan Irigasi Jaringan",'Daftar Koreksi'!$I$5:$I$92,"&lt;0")-SUMIFS('Daftar Koreksi'!$I$5:$I$92,'Daftar Koreksi'!$D$5:$D$92,'0500'!A1632,'Daftar Koreksi'!$G$5:$G$92,"Jalan Irigasi Jaringan",'Daftar Koreksi'!$I$5:$I$92,"&lt;0")-SUMIFS('Daftar Koreksi'!$I$5:$I$92,'Daftar Koreksi'!$D$5:$D$92,'0500'!A1632,'Daftar Koreksi'!$G$5:$G$92,"Jalan Irigasi Jaringan",'Daftar Koreksi'!$I$5:$I$92,"&lt;0")</f>
        <v>0</v>
      </c>
      <c r="G1647" s="17">
        <f t="shared" si="74"/>
        <v>-7500000</v>
      </c>
      <c r="H1647" s="122"/>
    </row>
    <row r="1648" spans="1:8" ht="21.95" customHeight="1">
      <c r="A1648" s="14"/>
      <c r="B1648" s="14"/>
      <c r="C1648" s="16" t="s">
        <v>2090</v>
      </c>
      <c r="D1648" s="17">
        <f>VLOOKUP(A1632,'Neraca Unaudited SIMAK'!$A$2:$S$10004,16,FALSE)</f>
        <v>0</v>
      </c>
      <c r="E1648" s="25">
        <f>SUMIFS('Daftar Koreksi'!$I$5:$I$92,'Daftar Koreksi'!$D$5:$D$92,'0500'!A1632,'Daftar Koreksi'!$G$5:$G$92,"Aset Tetap Lainnya",'Daftar Koreksi'!$I$5:$I$92,"&gt;0")</f>
        <v>0</v>
      </c>
      <c r="F1648" s="25">
        <f>SUMIFS('Daftar Koreksi'!$I$5:$I$92,'Daftar Koreksi'!$D$5:$D$92,'0500'!A1632,'Daftar Koreksi'!$G$5:$G$92,"Aset Tetap Lainnya",'Daftar Koreksi'!$I$5:$I$92,"&lt;0")-SUMIFS('Daftar Koreksi'!$I$5:$I$92,'Daftar Koreksi'!$D$5:$D$92,'0500'!A1632,'Daftar Koreksi'!$G$5:$G$92,"Aset Tetap Lainnya",'Daftar Koreksi'!$I$5:$I$92,"&lt;0")-SUMIFS('Daftar Koreksi'!$I$5:$I$92,'Daftar Koreksi'!$D$5:$D$92,'0500'!A1632,'Daftar Koreksi'!$G$5:$G$92,"Aset Tetap Lainnya",'Daftar Koreksi'!$I$5:$I$92,"&lt;0")</f>
        <v>0</v>
      </c>
      <c r="G1648" s="17">
        <f t="shared" si="74"/>
        <v>0</v>
      </c>
      <c r="H1648" s="122"/>
    </row>
    <row r="1649" spans="1:10" ht="21.95" customHeight="1">
      <c r="A1649" s="14"/>
      <c r="B1649" s="14"/>
      <c r="C1649" s="16" t="s">
        <v>2020</v>
      </c>
      <c r="D1649" s="17">
        <f>VLOOKUP(A1632,'Neraca Unaudited SIMAK'!$A$2:$S$10004,17,FALSE)</f>
        <v>-42962000</v>
      </c>
      <c r="E1649" s="25">
        <f>SUMIFS('Daftar Koreksi'!$I$5:$I$92,'Daftar Koreksi'!$D$5:$D$92,'0500'!A1632,'Daftar Koreksi'!$G$5:$G$92,"Aset Henti Guna",'Daftar Koreksi'!$I$5:$I$92,"&gt;0")</f>
        <v>0</v>
      </c>
      <c r="F1649" s="25">
        <f>SUMIFS('Daftar Koreksi'!$I$5:$I$92,'Daftar Koreksi'!$D$5:$D$92,'0500'!A1632,'Daftar Koreksi'!$G$5:$G$92,"Aset Henti Guna",'Daftar Koreksi'!$I$5:$I$92,"&lt;0")-SUMIFS('Daftar Koreksi'!$I$5:$I$92,'Daftar Koreksi'!$D$5:$D$92,'0500'!A1632,'Daftar Koreksi'!$G$5:$G$92,"Aset Henti Guna",'Daftar Koreksi'!$I$5:$I$92,"&lt;0")-SUMIFS('Daftar Koreksi'!$I$5:$I$92,'Daftar Koreksi'!$D$5:$D$92,'0500'!A1632,'Daftar Koreksi'!$G$5:$G$92,"Aset Henti Guna",'Daftar Koreksi'!$I$5:$I$92,"&lt;0")</f>
        <v>0</v>
      </c>
      <c r="G1649" s="17">
        <f t="shared" si="74"/>
        <v>-42962000</v>
      </c>
      <c r="H1649" s="122"/>
    </row>
    <row r="1650" spans="1:10" ht="21.95" customHeight="1">
      <c r="A1650" s="14"/>
      <c r="B1650" s="14"/>
      <c r="C1650" s="18" t="s">
        <v>2094</v>
      </c>
      <c r="D1650" s="19">
        <f>SUM(D1645:D1649)</f>
        <v>-2314052789</v>
      </c>
      <c r="E1650" s="19">
        <f>SUM(E1645:E1649)</f>
        <v>0</v>
      </c>
      <c r="F1650" s="19">
        <f>SUM(F1645:F1649)</f>
        <v>0</v>
      </c>
      <c r="G1650" s="19">
        <f t="shared" si="74"/>
        <v>-2314052789</v>
      </c>
      <c r="H1650" s="122"/>
    </row>
    <row r="1651" spans="1:10" ht="21.95" customHeight="1">
      <c r="A1651" s="14"/>
      <c r="B1651" s="14"/>
      <c r="C1651" s="18" t="s">
        <v>2095</v>
      </c>
      <c r="D1651" s="19">
        <f>VLOOKUP(A1632,'Neraca Unaudited SIMAK'!$A$2:$S$10004,18,FALSE)</f>
        <v>17554129292</v>
      </c>
      <c r="E1651" s="19">
        <f>E1650+E1644</f>
        <v>0</v>
      </c>
      <c r="F1651" s="19">
        <f>F1650+F1644</f>
        <v>0</v>
      </c>
      <c r="G1651" s="19">
        <f t="shared" si="74"/>
        <v>17554129292</v>
      </c>
      <c r="H1651" s="122"/>
    </row>
    <row r="1652" spans="1:10" ht="21.95" customHeight="1">
      <c r="A1652" s="14"/>
      <c r="B1652" s="14"/>
      <c r="C1652" s="16" t="s">
        <v>2091</v>
      </c>
      <c r="D1652" s="17">
        <f>VLOOKUP(A1632,'Neraca Unaudited SIMAK'!$A$2:$S$10004,19,FALSE)</f>
        <v>0</v>
      </c>
      <c r="E1652" s="25"/>
      <c r="F1652" s="25"/>
      <c r="G1652" s="17">
        <f t="shared" si="74"/>
        <v>0</v>
      </c>
      <c r="H1652" s="123"/>
    </row>
    <row r="1654" spans="1:10" ht="19.5" customHeight="1">
      <c r="A1654" s="11" t="str">
        <f>O76</f>
        <v>005010500626156000KD</v>
      </c>
      <c r="B1654" s="11" t="str">
        <f>P76</f>
        <v>PN. Kab. Malang, Jawa Timur</v>
      </c>
      <c r="C1654" s="12" t="str">
        <f>A1654&amp;" "&amp;B1654</f>
        <v>005010500626156000KD PN. Kab. Malang, Jawa Timur</v>
      </c>
      <c r="D1654" s="13"/>
      <c r="E1654" s="13"/>
      <c r="F1654" s="13"/>
      <c r="G1654" s="13"/>
      <c r="H1654" s="11"/>
    </row>
    <row r="1655" spans="1:10" ht="21.95" customHeight="1">
      <c r="A1655" s="14"/>
      <c r="B1655" s="14"/>
      <c r="C1655" s="124" t="s">
        <v>1982</v>
      </c>
      <c r="D1655" s="126" t="s">
        <v>1983</v>
      </c>
      <c r="E1655" s="132" t="s">
        <v>1984</v>
      </c>
      <c r="F1655" s="132"/>
      <c r="G1655" s="126" t="s">
        <v>1987</v>
      </c>
      <c r="H1655" s="130" t="s">
        <v>1175</v>
      </c>
    </row>
    <row r="1656" spans="1:10" ht="21.95" customHeight="1">
      <c r="A1656" s="14"/>
      <c r="B1656" s="14"/>
      <c r="C1656" s="125"/>
      <c r="D1656" s="127"/>
      <c r="E1656" s="26" t="s">
        <v>1985</v>
      </c>
      <c r="F1656" s="26" t="s">
        <v>1986</v>
      </c>
      <c r="G1656" s="127"/>
      <c r="H1656" s="131"/>
    </row>
    <row r="1657" spans="1:10" ht="21.95" customHeight="1">
      <c r="A1657" s="14"/>
      <c r="B1657" s="14"/>
      <c r="C1657" s="16" t="s">
        <v>1165</v>
      </c>
      <c r="D1657" s="17">
        <f>VLOOKUP(A1654,'Neraca Unaudited SIMAK'!$A$2:$S$10004,3,FALSE)</f>
        <v>7037750</v>
      </c>
      <c r="E1657" s="25">
        <f>SUMIFS('Daftar Koreksi'!$H$5:$H$92,'Daftar Koreksi'!$D$5:$D$92,'0500'!A1654,'Daftar Koreksi'!$G$5:$G$92,"Persediaan",'Daftar Koreksi'!$H$5:$H$92,"&gt;0")</f>
        <v>0</v>
      </c>
      <c r="F1657" s="25">
        <f>SUMIFS('Daftar Koreksi'!$H$5:$H$92,'Daftar Koreksi'!$D$5:$D$92,'0500'!A1654,'Daftar Koreksi'!$G$5:$G$92,"Persediaan",'Daftar Koreksi'!$H$5:$H$92,"&lt;0")-SUMIFS('Daftar Koreksi'!$H$5:$H$92,'Daftar Koreksi'!$D$5:$D$92,'0500'!A1654,'Daftar Koreksi'!$G$5:$G$92,"Persediaan",'Daftar Koreksi'!$H$5:$H$92,"&lt;0")-SUMIFS('Daftar Koreksi'!$H$5:$H$92,'Daftar Koreksi'!$D$5:$D$92,'0500'!A1654,'Daftar Koreksi'!$G$5:$G$92,"Persediaan",'Daftar Koreksi'!$H$5:$H$92,"&lt;0")</f>
        <v>0</v>
      </c>
      <c r="G1657" s="17">
        <f>D1657+E1657-F1657</f>
        <v>7037750</v>
      </c>
      <c r="H1657" s="121" t="str">
        <f>IF(ISNA(VLOOKUP(A1654,'Mutasi Neraca'!$A$3:$S$914,19,FALSE)),"-",VLOOKUP(A1654,'Mutasi Neraca'!$A$3:$S$914,19,FALSE))</f>
        <v>-</v>
      </c>
      <c r="I1657" s="28"/>
      <c r="J1657" s="28"/>
    </row>
    <row r="1658" spans="1:10" ht="21.95" customHeight="1">
      <c r="A1658" s="14"/>
      <c r="B1658" s="14"/>
      <c r="C1658" s="16" t="s">
        <v>1166</v>
      </c>
      <c r="D1658" s="17">
        <f>VLOOKUP(A1654,'Neraca Unaudited SIMAK'!$A$2:$S$10004,4,FALSE)</f>
        <v>4357760000</v>
      </c>
      <c r="E1658" s="25">
        <f>SUMIFS('Daftar Koreksi'!$H$5:$H$92,'Daftar Koreksi'!$D$5:$D$92,'0500'!A1654,'Daftar Koreksi'!$G$5:$G$92,"Tanah",'Daftar Koreksi'!$H$5:$H$92,"&gt;0")</f>
        <v>0</v>
      </c>
      <c r="F1658" s="25">
        <f>SUMIFS('Daftar Koreksi'!$H$5:$H$92,'Daftar Koreksi'!$D$5:$D$92,'0500'!A1654,'Daftar Koreksi'!$G$5:$G$92,"Tanah",'Daftar Koreksi'!$H$5:$H$92,"&lt;0")-SUMIFS('Daftar Koreksi'!$H$5:$H$92,'Daftar Koreksi'!$D$5:$D$92,'0500'!A1654,'Daftar Koreksi'!$G$5:$G$92,"Tanah",'Daftar Koreksi'!$H$5:$H$92,"&lt;0")-SUMIFS('Daftar Koreksi'!$H$5:$H$92,'Daftar Koreksi'!$D$5:$D$92,'0500'!A1654,'Daftar Koreksi'!$G$5:$G$92,"Tanah",'Daftar Koreksi'!$H$5:$H$92,"&lt;0")</f>
        <v>0</v>
      </c>
      <c r="G1658" s="17">
        <f t="shared" ref="G1658:G1674" si="75">D1658+E1658-F1658</f>
        <v>4357760000</v>
      </c>
      <c r="H1658" s="122"/>
      <c r="I1658" s="28"/>
      <c r="J1658" s="28"/>
    </row>
    <row r="1659" spans="1:10" ht="21.95" customHeight="1">
      <c r="A1659" s="14"/>
      <c r="B1659" s="14"/>
      <c r="C1659" s="16" t="s">
        <v>1167</v>
      </c>
      <c r="D1659" s="17">
        <f>VLOOKUP(A1654,'Neraca Unaudited SIMAK'!$A$2:$S$10004,5,FALSE)</f>
        <v>2353584527</v>
      </c>
      <c r="E1659" s="25">
        <f>SUMIFS('Daftar Koreksi'!$H$5:$H$92,'Daftar Koreksi'!$D$5:$D$92,'0500'!A1654,'Daftar Koreksi'!$G$5:$G$92,"Peralatan dan mesin",'Daftar Koreksi'!$H$5:$H$92,"&gt;0")</f>
        <v>0</v>
      </c>
      <c r="F1659" s="25">
        <f>SUMIFS('Daftar Koreksi'!$H$5:$H$92,'Daftar Koreksi'!$D$5:$D$92,'0500'!A1654,'Daftar Koreksi'!$G$5:$G$92,"Peralatan dan mesin",'Daftar Koreksi'!$H$5:$H$92,"&lt;0")-SUMIFS('Daftar Koreksi'!$H$5:$H$92,'Daftar Koreksi'!$D$5:$D$92,'0500'!A1654,'Daftar Koreksi'!$G$5:$G$92,"Peralatan dan mesin",'Daftar Koreksi'!$H$5:$H$92,"&lt;0")-SUMIFS('Daftar Koreksi'!$H$5:$H$92,'Daftar Koreksi'!$D$5:$D$92,'0500'!A1654,'Daftar Koreksi'!$G$5:$G$92,"Peralatan dan mesin",'Daftar Koreksi'!$H$5:$H$92,"&lt;0")</f>
        <v>0</v>
      </c>
      <c r="G1659" s="17">
        <f t="shared" si="75"/>
        <v>2353584527</v>
      </c>
      <c r="H1659" s="122"/>
      <c r="I1659" s="28"/>
      <c r="J1659" s="28"/>
    </row>
    <row r="1660" spans="1:10" ht="21.95" customHeight="1">
      <c r="A1660" s="14"/>
      <c r="B1660" s="14"/>
      <c r="C1660" s="16" t="s">
        <v>1168</v>
      </c>
      <c r="D1660" s="17">
        <f>VLOOKUP(A1654,'Neraca Unaudited SIMAK'!$A$2:$S$10004,6,FALSE)</f>
        <v>5683837000</v>
      </c>
      <c r="E1660" s="25">
        <f>SUMIFS('Daftar Koreksi'!$H$5:$H$92,'Daftar Koreksi'!$D$5:$D$92,'0500'!A1654,'Daftar Koreksi'!$G$5:$G$92,"Gedung dan Bangunan",'Daftar Koreksi'!$H$5:$H$92,"&gt;0")</f>
        <v>0</v>
      </c>
      <c r="F1660" s="25">
        <f>SUMIFS('Daftar Koreksi'!$H$5:$H$92,'Daftar Koreksi'!$D$5:$D$92,'0500'!A1654,'Daftar Koreksi'!$G$5:$G$92,"Gedung dan Bangunan",'Daftar Koreksi'!$H$5:$H$92,"&lt;0")-SUMIFS('Daftar Koreksi'!$H$5:$H$92,'Daftar Koreksi'!$D$5:$D$92,'0500'!A1654,'Daftar Koreksi'!$G$5:$G$92,"Gedung dan Bangunan",'Daftar Koreksi'!$H$5:$H$92,"&lt;0")-SUMIFS('Daftar Koreksi'!$H$5:$H$92,'Daftar Koreksi'!$D$5:$D$92,'0500'!A1654,'Daftar Koreksi'!$G$5:$G$92,"Gedung dan Bangunan",'Daftar Koreksi'!$H$5:$H$92,"&lt;0")</f>
        <v>0</v>
      </c>
      <c r="G1660" s="17">
        <f t="shared" si="75"/>
        <v>5683837000</v>
      </c>
      <c r="H1660" s="122"/>
      <c r="I1660" s="28"/>
      <c r="J1660" s="28"/>
    </row>
    <row r="1661" spans="1:10" ht="21.95" customHeight="1">
      <c r="A1661" s="14"/>
      <c r="B1661" s="14"/>
      <c r="C1661" s="16" t="s">
        <v>1169</v>
      </c>
      <c r="D1661" s="17">
        <f>VLOOKUP(A1654,'Neraca Unaudited SIMAK'!$A$2:$S$10004,7,FALSE)</f>
        <v>49859700</v>
      </c>
      <c r="E1661" s="25">
        <f>SUMIFS('Daftar Koreksi'!$H$5:$H$92,'Daftar Koreksi'!$D$5:$D$92,'0500'!A1654,'Daftar Koreksi'!$G$5:$G$92,"Jalan Irigasi Jaringan",'Daftar Koreksi'!$H$5:$H$92,"&gt;0")</f>
        <v>0</v>
      </c>
      <c r="F1661" s="25">
        <f>SUMIFS('Daftar Koreksi'!$H$5:$H$92,'Daftar Koreksi'!$D$5:$D$92,'0500'!A1654,'Daftar Koreksi'!$G$5:$G$92,"Jalan Irigasi Jaringan",'Daftar Koreksi'!$H$5:$H$92,"&lt;0")-SUMIFS('Daftar Koreksi'!$H$5:$H$92,'Daftar Koreksi'!$D$5:$D$92,'0500'!A1654,'Daftar Koreksi'!$G$5:$G$92,"Jalan Irigasi Jaringan",'Daftar Koreksi'!$H$5:$H$92,"&lt;0")-SUMIFS('Daftar Koreksi'!$H$5:$H$92,'Daftar Koreksi'!$D$5:$D$92,'0500'!A1654,'Daftar Koreksi'!$G$5:$G$92,"Jalan Irigasi Jaringan",'Daftar Koreksi'!$H$5:$H$92,"&lt;0")</f>
        <v>0</v>
      </c>
      <c r="G1661" s="17">
        <f t="shared" si="75"/>
        <v>49859700</v>
      </c>
      <c r="H1661" s="122"/>
      <c r="I1661" s="28"/>
      <c r="J1661" s="28"/>
    </row>
    <row r="1662" spans="1:10" ht="21.95" customHeight="1">
      <c r="A1662" s="14"/>
      <c r="B1662" s="14"/>
      <c r="C1662" s="16" t="s">
        <v>1170</v>
      </c>
      <c r="D1662" s="17">
        <f>VLOOKUP(A1654,'Neraca Unaudited SIMAK'!$A$2:$S$10004,8,FALSE)</f>
        <v>6791562</v>
      </c>
      <c r="E1662" s="25">
        <f>SUMIFS('Daftar Koreksi'!$H$5:$H$92,'Daftar Koreksi'!$D$5:$D$92,'0500'!A1654,'Daftar Koreksi'!$G$5:$G$92,"Aset Tetap Lainnya",'Daftar Koreksi'!$H$5:$H$92,"&gt;0")</f>
        <v>0</v>
      </c>
      <c r="F1662" s="25">
        <f>SUMIFS('Daftar Koreksi'!$H$5:$H$92,'Daftar Koreksi'!$D$5:$D$92,'0500'!A1654,'Daftar Koreksi'!$G$5:$G$92,"Aset Tetap Lainnya",'Daftar Koreksi'!$H$5:$H$92,"&lt;0")-SUMIFS('Daftar Koreksi'!$H$5:$H$92,'Daftar Koreksi'!$D$5:$D$92,'0500'!A1654,'Daftar Koreksi'!$G$5:$G$92,"Aset Tetap Lainnya",'Daftar Koreksi'!$H$5:$H$92,"&lt;0")-SUMIFS('Daftar Koreksi'!$H$5:$H$92,'Daftar Koreksi'!$D$5:$D$92,'0500'!A1654,'Daftar Koreksi'!$G$5:$G$92,"Aset Tetap Lainnya",'Daftar Koreksi'!$H$5:$H$92,"&lt;0")</f>
        <v>0</v>
      </c>
      <c r="G1662" s="17">
        <f t="shared" si="75"/>
        <v>6791562</v>
      </c>
      <c r="H1662" s="122"/>
      <c r="I1662" s="28"/>
      <c r="J1662" s="28"/>
    </row>
    <row r="1663" spans="1:10" ht="21.95" customHeight="1">
      <c r="A1663" s="14"/>
      <c r="B1663" s="14"/>
      <c r="C1663" s="16" t="s">
        <v>1171</v>
      </c>
      <c r="D1663" s="17">
        <f>VLOOKUP(A1654,'Neraca Unaudited SIMAK'!$A$2:$S$10004,9,FALSE)</f>
        <v>0</v>
      </c>
      <c r="E1663" s="25">
        <f>SUMIFS('Daftar Koreksi'!$H$5:$H$92,'Daftar Koreksi'!$D$5:$D$92,'0500'!A1654,'Daftar Koreksi'!$G$5:$G$92,"Kontruksi Dalam Pengerjaan",'Daftar Koreksi'!$H$5:$H$92,"&gt;0")</f>
        <v>0</v>
      </c>
      <c r="F1663" s="25">
        <f>SUMIFS('Daftar Koreksi'!$H$5:$H$92,'Daftar Koreksi'!$D$5:$D$92,'0500'!A1654,'Daftar Koreksi'!$G$5:$G$92,"Kontruksi Dalam Pengerjaan",'Daftar Koreksi'!$H$5:$H$92,"&lt;0")-SUMIFS('Daftar Koreksi'!$H$5:$H$92,'Daftar Koreksi'!$D$5:$D$92,'0500'!A1654,'Daftar Koreksi'!$G$5:$G$92,"Kontruksi Dalam Pengerjaan",'Daftar Koreksi'!$H$5:$H$92,"&lt;0")-SUMIFS('Daftar Koreksi'!$H$5:$H$92,'Daftar Koreksi'!$D$5:$D$92,'0500'!A1654,'Daftar Koreksi'!$G$5:$G$92,"Kontruksi Dalam Pengerjaan",'Daftar Koreksi'!$H$5:$H$92,"&lt;0")</f>
        <v>0</v>
      </c>
      <c r="G1663" s="17">
        <f t="shared" si="75"/>
        <v>0</v>
      </c>
      <c r="H1663" s="122"/>
      <c r="I1663" s="28"/>
      <c r="J1663" s="28"/>
    </row>
    <row r="1664" spans="1:10" ht="21.95" customHeight="1">
      <c r="A1664" s="14"/>
      <c r="B1664" s="14"/>
      <c r="C1664" s="16" t="s">
        <v>1172</v>
      </c>
      <c r="D1664" s="17">
        <f>VLOOKUP(A1654,'Neraca Unaudited SIMAK'!$A$2:$S$10004,10,FALSE)</f>
        <v>0</v>
      </c>
      <c r="E1664" s="25">
        <f>SUMIFS('Daftar Koreksi'!$H$5:$H$92,'Daftar Koreksi'!$D$5:$D$92,'0500'!A1654,'Daftar Koreksi'!$G$5:$G$92,"Aset Tak Berwujud",'Daftar Koreksi'!$H$5:$H$92,"&gt;0")</f>
        <v>0</v>
      </c>
      <c r="F1664" s="25">
        <f>SUMIFS('Daftar Koreksi'!$H$5:$H$92,'Daftar Koreksi'!$D$5:$D$92,'0500'!A1654,'Daftar Koreksi'!$G$5:$G$92,"Aset Tak Berwujud",'Daftar Koreksi'!$H$5:$H$92,"&lt;0")-SUMIFS('Daftar Koreksi'!$H$5:$H$92,'Daftar Koreksi'!$D$5:$D$92,'0500'!A1654,'Daftar Koreksi'!$G$5:$G$92,"Aset Tak Berwujud",'Daftar Koreksi'!$H$5:$H$92,"&lt;0")-SUMIFS('Daftar Koreksi'!$H$5:$H$92,'Daftar Koreksi'!$D$5:$D$92,'0500'!A1654,'Daftar Koreksi'!$G$5:$G$92,"Aset Tak Berwujud",'Daftar Koreksi'!$H$5:$H$92,"&lt;0")</f>
        <v>0</v>
      </c>
      <c r="G1664" s="17">
        <f t="shared" si="75"/>
        <v>0</v>
      </c>
      <c r="H1664" s="122"/>
      <c r="I1664" s="28"/>
      <c r="J1664" s="28"/>
    </row>
    <row r="1665" spans="1:10" ht="21.95" customHeight="1">
      <c r="A1665" s="14"/>
      <c r="B1665" s="14"/>
      <c r="C1665" s="16" t="s">
        <v>1173</v>
      </c>
      <c r="D1665" s="17">
        <f>VLOOKUP(A1654,'Neraca Unaudited SIMAK'!$A$2:$S$10004,11,FALSE)</f>
        <v>99285608</v>
      </c>
      <c r="E1665" s="25">
        <f>SUMIFS('Daftar Koreksi'!$H$5:$H$92,'Daftar Koreksi'!$D$5:$D$92,'0500'!A1654,'Daftar Koreksi'!$G$5:$G$92,"Aset Henti Guna",'Daftar Koreksi'!$H$5:$H$92,"&gt;0")</f>
        <v>0</v>
      </c>
      <c r="F1665" s="25">
        <f>SUMIFS('Daftar Koreksi'!$H$5:$H$92,'Daftar Koreksi'!$D$5:$D$92,'0500'!A1654,'Daftar Koreksi'!$G$5:$G$92,"Aset Henti Guna",'Daftar Koreksi'!$H$5:$H$92,"&lt;0")-SUMIFS('Daftar Koreksi'!$H$5:$H$92,'Daftar Koreksi'!$D$5:$D$92,'0500'!A1654,'Daftar Koreksi'!$G$5:$G$92,"Aset Henti Guna",'Daftar Koreksi'!$H$5:$H$92,"&lt;0")-SUMIFS('Daftar Koreksi'!$H$5:$H$92,'Daftar Koreksi'!$D$5:$D$92,'0500'!A1654,'Daftar Koreksi'!$G$5:$G$92,"Aset Henti Guna",'Daftar Koreksi'!$H$5:$H$92,"&lt;0")</f>
        <v>0</v>
      </c>
      <c r="G1665" s="17">
        <f t="shared" si="75"/>
        <v>99285608</v>
      </c>
      <c r="H1665" s="122"/>
      <c r="I1665" s="28"/>
      <c r="J1665" s="28"/>
    </row>
    <row r="1666" spans="1:10" ht="21.95" customHeight="1">
      <c r="A1666" s="14"/>
      <c r="B1666" s="14"/>
      <c r="C1666" s="18" t="s">
        <v>2093</v>
      </c>
      <c r="D1666" s="19">
        <f>VLOOKUP(A1654,'Neraca Unaudited SIMAK'!$A$2:$S$10004,12,FALSE)</f>
        <v>12558156147</v>
      </c>
      <c r="E1666" s="19">
        <f>SUM(E1657:E1665)</f>
        <v>0</v>
      </c>
      <c r="F1666" s="19">
        <f>SUM(F1657:F1665)</f>
        <v>0</v>
      </c>
      <c r="G1666" s="19">
        <f t="shared" si="75"/>
        <v>12558156147</v>
      </c>
      <c r="H1666" s="122"/>
      <c r="I1666" s="28"/>
      <c r="J1666" s="28"/>
    </row>
    <row r="1667" spans="1:10" ht="21.95" customHeight="1">
      <c r="A1667" s="14"/>
      <c r="B1667" s="14"/>
      <c r="C1667" s="16" t="s">
        <v>2087</v>
      </c>
      <c r="D1667" s="17">
        <f>VLOOKUP(A1654,'Neraca Unaudited SIMAK'!$A$2:$S$10004,13,FALSE)</f>
        <v>-1814333354</v>
      </c>
      <c r="E1667" s="25">
        <f>SUMIFS('Daftar Koreksi'!$I$5:$I$92,'Daftar Koreksi'!$D$5:$D$92,'0500'!A1654,'Daftar Koreksi'!$G$5:$G$92,"Peralatan dan mesin",'Daftar Koreksi'!$I$5:$I$92,"&gt;0")</f>
        <v>0</v>
      </c>
      <c r="F1667" s="25">
        <f>SUMIFS('Daftar Koreksi'!$I$5:$I$92,'Daftar Koreksi'!$D$5:$D$92,'0500'!A1654,'Daftar Koreksi'!$G$5:$G$92,"Peralatan dan mesin",'Daftar Koreksi'!$I$5:$I$92,"&lt;0")-SUMIFS('Daftar Koreksi'!$I$5:$I$92,'Daftar Koreksi'!$D$5:$D$92,'0500'!A1654,'Daftar Koreksi'!$G$5:$G$92,"Peralatan dan mesin",'Daftar Koreksi'!$I$5:$I$92,"&lt;0")-SUMIFS('Daftar Koreksi'!$I$5:$I$92,'Daftar Koreksi'!$D$5:$D$92,'0500'!A1654,'Daftar Koreksi'!$G$5:$G$92,"Peralatan dan mesin",'Daftar Koreksi'!$I$5:$I$92,"&lt;0")</f>
        <v>0</v>
      </c>
      <c r="G1667" s="17">
        <f t="shared" si="75"/>
        <v>-1814333354</v>
      </c>
      <c r="H1667" s="122"/>
      <c r="I1667" s="28"/>
      <c r="J1667" s="28"/>
    </row>
    <row r="1668" spans="1:10" ht="21.95" customHeight="1">
      <c r="A1668" s="14"/>
      <c r="B1668" s="14"/>
      <c r="C1668" s="16" t="s">
        <v>2088</v>
      </c>
      <c r="D1668" s="17">
        <f>VLOOKUP(A1654,'Neraca Unaudited SIMAK'!$A$2:$S$10004,14,FALSE)</f>
        <v>-919281270</v>
      </c>
      <c r="E1668" s="25">
        <f>SUMIFS('Daftar Koreksi'!$I$5:$I$92,'Daftar Koreksi'!$D$5:$D$92,'0500'!A1654,'Daftar Koreksi'!$G$5:$G$92,"Gedung dan Bangunan",'Daftar Koreksi'!$I$5:$I$92,"&gt;0")</f>
        <v>0</v>
      </c>
      <c r="F1668" s="25">
        <f>SUMIFS('Daftar Koreksi'!$I$5:$I$92,'Daftar Koreksi'!$D$5:$D$92,'0500'!A1654,'Daftar Koreksi'!$G$5:$G$92,"Gedung dan Bangunan",'Daftar Koreksi'!$I$5:$I$92,"&lt;0")-SUMIFS('Daftar Koreksi'!$I$5:$I$92,'Daftar Koreksi'!$D$5:$D$92,'0500'!A1654,'Daftar Koreksi'!$G$5:$G$92,"Gedung dan Bangunan",'Daftar Koreksi'!$I$5:$I$92,"&lt;0")-SUMIFS('Daftar Koreksi'!$I$5:$I$92,'Daftar Koreksi'!$D$5:$D$92,'0500'!A1654,'Daftar Koreksi'!$G$5:$G$92,"Gedung dan Bangunan",'Daftar Koreksi'!$I$5:$I$92,"&lt;0")</f>
        <v>0</v>
      </c>
      <c r="G1668" s="17">
        <f t="shared" si="75"/>
        <v>-919281270</v>
      </c>
      <c r="H1668" s="122"/>
      <c r="I1668" s="28"/>
      <c r="J1668" s="28"/>
    </row>
    <row r="1669" spans="1:10" ht="21.95" customHeight="1">
      <c r="A1669" s="14"/>
      <c r="B1669" s="14"/>
      <c r="C1669" s="16" t="s">
        <v>2089</v>
      </c>
      <c r="D1669" s="17">
        <f>VLOOKUP(A1654,'Neraca Unaudited SIMAK'!$A$2:$S$10004,15,FALSE)</f>
        <v>-7478954</v>
      </c>
      <c r="E1669" s="25">
        <f>SUMIFS('Daftar Koreksi'!$I$5:$I$92,'Daftar Koreksi'!$D$5:$D$92,'0500'!A1654,'Daftar Koreksi'!$G$5:$G$92,"Jalan Irigasi Jaringan",'Daftar Koreksi'!$I$5:$I$92,"&gt;0")</f>
        <v>0</v>
      </c>
      <c r="F1669" s="25">
        <f>SUMIFS('Daftar Koreksi'!$I$5:$I$92,'Daftar Koreksi'!$D$5:$D$92,'0500'!A1654,'Daftar Koreksi'!$G$5:$G$92,"Jalan Irigasi Jaringan",'Daftar Koreksi'!$I$5:$I$92,"&lt;0")-SUMIFS('Daftar Koreksi'!$I$5:$I$92,'Daftar Koreksi'!$D$5:$D$92,'0500'!A1654,'Daftar Koreksi'!$G$5:$G$92,"Jalan Irigasi Jaringan",'Daftar Koreksi'!$I$5:$I$92,"&lt;0")-SUMIFS('Daftar Koreksi'!$I$5:$I$92,'Daftar Koreksi'!$D$5:$D$92,'0500'!A1654,'Daftar Koreksi'!$G$5:$G$92,"Jalan Irigasi Jaringan",'Daftar Koreksi'!$I$5:$I$92,"&lt;0")</f>
        <v>0</v>
      </c>
      <c r="G1669" s="17">
        <f t="shared" si="75"/>
        <v>-7478954</v>
      </c>
      <c r="H1669" s="122"/>
      <c r="I1669" s="28"/>
      <c r="J1669" s="28"/>
    </row>
    <row r="1670" spans="1:10" ht="21.95" customHeight="1">
      <c r="A1670" s="14"/>
      <c r="B1670" s="14"/>
      <c r="C1670" s="16" t="s">
        <v>2090</v>
      </c>
      <c r="D1670" s="17">
        <f>VLOOKUP(A1654,'Neraca Unaudited SIMAK'!$A$2:$S$10004,16,FALSE)</f>
        <v>0</v>
      </c>
      <c r="E1670" s="25">
        <f>SUMIFS('Daftar Koreksi'!$I$5:$I$92,'Daftar Koreksi'!$D$5:$D$92,'0500'!A1654,'Daftar Koreksi'!$G$5:$G$92,"Aset Tetap Lainnya",'Daftar Koreksi'!$I$5:$I$92,"&gt;0")</f>
        <v>0</v>
      </c>
      <c r="F1670" s="25">
        <f>SUMIFS('Daftar Koreksi'!$I$5:$I$92,'Daftar Koreksi'!$D$5:$D$92,'0500'!A1654,'Daftar Koreksi'!$G$5:$G$92,"Aset Tetap Lainnya",'Daftar Koreksi'!$I$5:$I$92,"&lt;0")-SUMIFS('Daftar Koreksi'!$I$5:$I$92,'Daftar Koreksi'!$D$5:$D$92,'0500'!A1654,'Daftar Koreksi'!$G$5:$G$92,"Aset Tetap Lainnya",'Daftar Koreksi'!$I$5:$I$92,"&lt;0")-SUMIFS('Daftar Koreksi'!$I$5:$I$92,'Daftar Koreksi'!$D$5:$D$92,'0500'!A1654,'Daftar Koreksi'!$G$5:$G$92,"Aset Tetap Lainnya",'Daftar Koreksi'!$I$5:$I$92,"&lt;0")</f>
        <v>0</v>
      </c>
      <c r="G1670" s="17">
        <f t="shared" si="75"/>
        <v>0</v>
      </c>
      <c r="H1670" s="122"/>
      <c r="I1670" s="28"/>
      <c r="J1670" s="28"/>
    </row>
    <row r="1671" spans="1:10" ht="21.95" customHeight="1">
      <c r="A1671" s="14"/>
      <c r="B1671" s="14"/>
      <c r="C1671" s="16" t="s">
        <v>2020</v>
      </c>
      <c r="D1671" s="17">
        <f>VLOOKUP(A1654,'Neraca Unaudited SIMAK'!$A$2:$S$10004,17,FALSE)</f>
        <v>-98691608</v>
      </c>
      <c r="E1671" s="25">
        <f>SUMIFS('Daftar Koreksi'!$I$5:$I$92,'Daftar Koreksi'!$D$5:$D$92,'0500'!A1654,'Daftar Koreksi'!$G$5:$G$92,"Aset Henti Guna",'Daftar Koreksi'!$I$5:$I$92,"&gt;0")</f>
        <v>0</v>
      </c>
      <c r="F1671" s="25">
        <f>SUMIFS('Daftar Koreksi'!$I$5:$I$92,'Daftar Koreksi'!$D$5:$D$92,'0500'!A1654,'Daftar Koreksi'!$G$5:$G$92,"Aset Henti Guna",'Daftar Koreksi'!$I$5:$I$92,"&lt;0")-SUMIFS('Daftar Koreksi'!$I$5:$I$92,'Daftar Koreksi'!$D$5:$D$92,'0500'!A1654,'Daftar Koreksi'!$G$5:$G$92,"Aset Henti Guna",'Daftar Koreksi'!$I$5:$I$92,"&lt;0")-SUMIFS('Daftar Koreksi'!$I$5:$I$92,'Daftar Koreksi'!$D$5:$D$92,'0500'!A1654,'Daftar Koreksi'!$G$5:$G$92,"Aset Henti Guna",'Daftar Koreksi'!$I$5:$I$92,"&lt;0")</f>
        <v>0</v>
      </c>
      <c r="G1671" s="17">
        <f t="shared" si="75"/>
        <v>-98691608</v>
      </c>
      <c r="H1671" s="122"/>
      <c r="I1671" s="28"/>
      <c r="J1671" s="28"/>
    </row>
    <row r="1672" spans="1:10" ht="21.95" customHeight="1">
      <c r="A1672" s="14"/>
      <c r="B1672" s="14"/>
      <c r="C1672" s="18" t="s">
        <v>2094</v>
      </c>
      <c r="D1672" s="19">
        <f>SUM(D1667:D1671)</f>
        <v>-2839785186</v>
      </c>
      <c r="E1672" s="19">
        <f>SUM(E1667:E1671)</f>
        <v>0</v>
      </c>
      <c r="F1672" s="19">
        <f>SUM(F1667:F1671)</f>
        <v>0</v>
      </c>
      <c r="G1672" s="19">
        <f t="shared" si="75"/>
        <v>-2839785186</v>
      </c>
      <c r="H1672" s="122"/>
      <c r="I1672" s="28"/>
      <c r="J1672" s="28"/>
    </row>
    <row r="1673" spans="1:10" ht="21.95" customHeight="1">
      <c r="A1673" s="14"/>
      <c r="B1673" s="14"/>
      <c r="C1673" s="18" t="s">
        <v>2095</v>
      </c>
      <c r="D1673" s="19">
        <f>VLOOKUP(A1654,'Neraca Unaudited SIMAK'!$A$2:$S$10004,18,FALSE)</f>
        <v>9718370961</v>
      </c>
      <c r="E1673" s="19">
        <f>E1672+E1666</f>
        <v>0</v>
      </c>
      <c r="F1673" s="19">
        <f>F1672+F1666</f>
        <v>0</v>
      </c>
      <c r="G1673" s="19">
        <f t="shared" si="75"/>
        <v>9718370961</v>
      </c>
      <c r="H1673" s="122"/>
      <c r="I1673" s="28"/>
      <c r="J1673" s="28"/>
    </row>
    <row r="1674" spans="1:10" ht="21.95" customHeight="1">
      <c r="A1674" s="14"/>
      <c r="B1674" s="14"/>
      <c r="C1674" s="16" t="s">
        <v>2091</v>
      </c>
      <c r="D1674" s="17">
        <f>VLOOKUP(A1654,'Neraca Unaudited SIMAK'!$A$2:$S$10004,19,FALSE)</f>
        <v>0</v>
      </c>
      <c r="E1674" s="25"/>
      <c r="F1674" s="25"/>
      <c r="G1674" s="17">
        <f t="shared" si="75"/>
        <v>0</v>
      </c>
      <c r="H1674" s="123"/>
      <c r="I1674" s="28"/>
      <c r="J1674" s="28"/>
    </row>
    <row r="1676" spans="1:10" ht="19.5" customHeight="1">
      <c r="A1676" s="11" t="str">
        <f>O77</f>
        <v>005010500663300000KD</v>
      </c>
      <c r="B1676" s="11" t="str">
        <f>P77</f>
        <v>DILMIL.  Tinggi III di Surabaya</v>
      </c>
      <c r="C1676" s="12" t="str">
        <f>A1676&amp;" "&amp;B1676</f>
        <v>005010500663300000KD DILMIL.  Tinggi III di Surabaya</v>
      </c>
      <c r="D1676" s="13"/>
      <c r="E1676" s="13"/>
      <c r="F1676" s="13"/>
      <c r="G1676" s="13"/>
      <c r="H1676" s="11"/>
    </row>
    <row r="1677" spans="1:10" ht="21.95" customHeight="1">
      <c r="A1677" s="14"/>
      <c r="B1677" s="14"/>
      <c r="C1677" s="124" t="s">
        <v>1982</v>
      </c>
      <c r="D1677" s="126" t="s">
        <v>1983</v>
      </c>
      <c r="E1677" s="132" t="s">
        <v>1984</v>
      </c>
      <c r="F1677" s="132"/>
      <c r="G1677" s="126" t="s">
        <v>1987</v>
      </c>
      <c r="H1677" s="130" t="s">
        <v>1175</v>
      </c>
    </row>
    <row r="1678" spans="1:10" ht="21.95" customHeight="1">
      <c r="A1678" s="14"/>
      <c r="B1678" s="14"/>
      <c r="C1678" s="125"/>
      <c r="D1678" s="127"/>
      <c r="E1678" s="26" t="s">
        <v>1985</v>
      </c>
      <c r="F1678" s="26" t="s">
        <v>1986</v>
      </c>
      <c r="G1678" s="127"/>
      <c r="H1678" s="131"/>
    </row>
    <row r="1679" spans="1:10" ht="21.95" customHeight="1">
      <c r="A1679" s="14"/>
      <c r="B1679" s="14"/>
      <c r="C1679" s="16" t="s">
        <v>1165</v>
      </c>
      <c r="D1679" s="17">
        <f>VLOOKUP(A1676,'Neraca Unaudited SIMAK'!$A$2:$S$10004,3,FALSE)</f>
        <v>0</v>
      </c>
      <c r="E1679" s="25">
        <f>SUMIFS('Daftar Koreksi'!$H$5:$H$92,'Daftar Koreksi'!$D$5:$D$92,'0500'!A1676,'Daftar Koreksi'!$G$5:$G$92,"Persediaan",'Daftar Koreksi'!$H$5:$H$92,"&gt;0")</f>
        <v>0</v>
      </c>
      <c r="F1679" s="25">
        <f>SUMIFS('Daftar Koreksi'!$H$5:$H$92,'Daftar Koreksi'!$D$5:$D$92,'0500'!A1676,'Daftar Koreksi'!$G$5:$G$92,"Persediaan",'Daftar Koreksi'!$H$5:$H$92,"&lt;0")-SUMIFS('Daftar Koreksi'!$H$5:$H$92,'Daftar Koreksi'!$D$5:$D$92,'0500'!A1676,'Daftar Koreksi'!$G$5:$G$92,"Persediaan",'Daftar Koreksi'!$H$5:$H$92,"&lt;0")-SUMIFS('Daftar Koreksi'!$H$5:$H$92,'Daftar Koreksi'!$D$5:$D$92,'0500'!A1676,'Daftar Koreksi'!$G$5:$G$92,"Persediaan",'Daftar Koreksi'!$H$5:$H$92,"&lt;0")</f>
        <v>0</v>
      </c>
      <c r="G1679" s="17">
        <f>D1679+E1679-F1679</f>
        <v>0</v>
      </c>
      <c r="H1679" s="121" t="str">
        <f>IF(ISNA(VLOOKUP(A1676,'Mutasi Neraca'!$A$3:$S$914,19,FALSE)),"-",VLOOKUP(A1676,'Mutasi Neraca'!$A$3:$S$914,19,FALSE))</f>
        <v>-</v>
      </c>
    </row>
    <row r="1680" spans="1:10" ht="21.95" customHeight="1">
      <c r="A1680" s="14"/>
      <c r="B1680" s="14"/>
      <c r="C1680" s="16" t="s">
        <v>1166</v>
      </c>
      <c r="D1680" s="17">
        <f>VLOOKUP(A1676,'Neraca Unaudited SIMAK'!$A$2:$S$10004,4,FALSE)</f>
        <v>3900000000</v>
      </c>
      <c r="E1680" s="25">
        <f>SUMIFS('Daftar Koreksi'!$H$5:$H$92,'Daftar Koreksi'!$D$5:$D$92,'0500'!A1676,'Daftar Koreksi'!$G$5:$G$92,"Tanah",'Daftar Koreksi'!$H$5:$H$92,"&gt;0")</f>
        <v>0</v>
      </c>
      <c r="F1680" s="25">
        <f>SUMIFS('Daftar Koreksi'!$H$5:$H$92,'Daftar Koreksi'!$D$5:$D$92,'0500'!A1676,'Daftar Koreksi'!$G$5:$G$92,"Tanah",'Daftar Koreksi'!$H$5:$H$92,"&lt;0")-SUMIFS('Daftar Koreksi'!$H$5:$H$92,'Daftar Koreksi'!$D$5:$D$92,'0500'!A1676,'Daftar Koreksi'!$G$5:$G$92,"Tanah",'Daftar Koreksi'!$H$5:$H$92,"&lt;0")-SUMIFS('Daftar Koreksi'!$H$5:$H$92,'Daftar Koreksi'!$D$5:$D$92,'0500'!A1676,'Daftar Koreksi'!$G$5:$G$92,"Tanah",'Daftar Koreksi'!$H$5:$H$92,"&lt;0")</f>
        <v>0</v>
      </c>
      <c r="G1680" s="17">
        <f t="shared" ref="G1680:G1696" si="76">D1680+E1680-F1680</f>
        <v>3900000000</v>
      </c>
      <c r="H1680" s="122"/>
    </row>
    <row r="1681" spans="1:8" ht="21.95" customHeight="1">
      <c r="A1681" s="14"/>
      <c r="B1681" s="14"/>
      <c r="C1681" s="16" t="s">
        <v>1167</v>
      </c>
      <c r="D1681" s="17">
        <f>VLOOKUP(A1676,'Neraca Unaudited SIMAK'!$A$2:$S$10004,5,FALSE)</f>
        <v>4693944135</v>
      </c>
      <c r="E1681" s="25">
        <f>SUMIFS('Daftar Koreksi'!$H$5:$H$92,'Daftar Koreksi'!$D$5:$D$92,'0500'!A1676,'Daftar Koreksi'!$G$5:$G$92,"Peralatan dan mesin",'Daftar Koreksi'!$H$5:$H$92,"&gt;0")</f>
        <v>0</v>
      </c>
      <c r="F1681" s="25">
        <f>SUMIFS('Daftar Koreksi'!$H$5:$H$92,'Daftar Koreksi'!$D$5:$D$92,'0500'!A1676,'Daftar Koreksi'!$G$5:$G$92,"Peralatan dan mesin",'Daftar Koreksi'!$H$5:$H$92,"&lt;0")-SUMIFS('Daftar Koreksi'!$H$5:$H$92,'Daftar Koreksi'!$D$5:$D$92,'0500'!A1676,'Daftar Koreksi'!$G$5:$G$92,"Peralatan dan mesin",'Daftar Koreksi'!$H$5:$H$92,"&lt;0")-SUMIFS('Daftar Koreksi'!$H$5:$H$92,'Daftar Koreksi'!$D$5:$D$92,'0500'!A1676,'Daftar Koreksi'!$G$5:$G$92,"Peralatan dan mesin",'Daftar Koreksi'!$H$5:$H$92,"&lt;0")</f>
        <v>0</v>
      </c>
      <c r="G1681" s="17">
        <f t="shared" si="76"/>
        <v>4693944135</v>
      </c>
      <c r="H1681" s="122"/>
    </row>
    <row r="1682" spans="1:8" ht="21.95" customHeight="1">
      <c r="A1682" s="14"/>
      <c r="B1682" s="14"/>
      <c r="C1682" s="16" t="s">
        <v>1168</v>
      </c>
      <c r="D1682" s="17">
        <f>VLOOKUP(A1676,'Neraca Unaudited SIMAK'!$A$2:$S$10004,6,FALSE)</f>
        <v>10756850260</v>
      </c>
      <c r="E1682" s="25">
        <f>SUMIFS('Daftar Koreksi'!$H$5:$H$92,'Daftar Koreksi'!$D$5:$D$92,'0500'!A1676,'Daftar Koreksi'!$G$5:$G$92,"Gedung dan Bangunan",'Daftar Koreksi'!$H$5:$H$92,"&gt;0")</f>
        <v>0</v>
      </c>
      <c r="F1682" s="25">
        <f>SUMIFS('Daftar Koreksi'!$H$5:$H$92,'Daftar Koreksi'!$D$5:$D$92,'0500'!A1676,'Daftar Koreksi'!$G$5:$G$92,"Gedung dan Bangunan",'Daftar Koreksi'!$H$5:$H$92,"&lt;0")-SUMIFS('Daftar Koreksi'!$H$5:$H$92,'Daftar Koreksi'!$D$5:$D$92,'0500'!A1676,'Daftar Koreksi'!$G$5:$G$92,"Gedung dan Bangunan",'Daftar Koreksi'!$H$5:$H$92,"&lt;0")-SUMIFS('Daftar Koreksi'!$H$5:$H$92,'Daftar Koreksi'!$D$5:$D$92,'0500'!A1676,'Daftar Koreksi'!$G$5:$G$92,"Gedung dan Bangunan",'Daftar Koreksi'!$H$5:$H$92,"&lt;0")</f>
        <v>0</v>
      </c>
      <c r="G1682" s="17">
        <f t="shared" si="76"/>
        <v>10756850260</v>
      </c>
      <c r="H1682" s="122"/>
    </row>
    <row r="1683" spans="1:8" ht="21.95" customHeight="1">
      <c r="A1683" s="14"/>
      <c r="B1683" s="14"/>
      <c r="C1683" s="16" t="s">
        <v>1169</v>
      </c>
      <c r="D1683" s="17">
        <f>VLOOKUP(A1676,'Neraca Unaudited SIMAK'!$A$2:$S$10004,7,FALSE)</f>
        <v>543854550</v>
      </c>
      <c r="E1683" s="25">
        <f>SUMIFS('Daftar Koreksi'!$H$5:$H$92,'Daftar Koreksi'!$D$5:$D$92,'0500'!A1676,'Daftar Koreksi'!$G$5:$G$92,"Jalan Irigasi Jaringan",'Daftar Koreksi'!$H$5:$H$92,"&gt;0")</f>
        <v>0</v>
      </c>
      <c r="F1683" s="25">
        <f>SUMIFS('Daftar Koreksi'!$H$5:$H$92,'Daftar Koreksi'!$D$5:$D$92,'0500'!A1676,'Daftar Koreksi'!$G$5:$G$92,"Jalan Irigasi Jaringan",'Daftar Koreksi'!$H$5:$H$92,"&lt;0")-SUMIFS('Daftar Koreksi'!$H$5:$H$92,'Daftar Koreksi'!$D$5:$D$92,'0500'!A1676,'Daftar Koreksi'!$G$5:$G$92,"Jalan Irigasi Jaringan",'Daftar Koreksi'!$H$5:$H$92,"&lt;0")-SUMIFS('Daftar Koreksi'!$H$5:$H$92,'Daftar Koreksi'!$D$5:$D$92,'0500'!A1676,'Daftar Koreksi'!$G$5:$G$92,"Jalan Irigasi Jaringan",'Daftar Koreksi'!$H$5:$H$92,"&lt;0")</f>
        <v>0</v>
      </c>
      <c r="G1683" s="17">
        <f t="shared" si="76"/>
        <v>543854550</v>
      </c>
      <c r="H1683" s="122"/>
    </row>
    <row r="1684" spans="1:8" ht="21.95" customHeight="1">
      <c r="A1684" s="14"/>
      <c r="B1684" s="14"/>
      <c r="C1684" s="16" t="s">
        <v>1170</v>
      </c>
      <c r="D1684" s="17">
        <f>VLOOKUP(A1676,'Neraca Unaudited SIMAK'!$A$2:$S$10004,8,FALSE)</f>
        <v>0</v>
      </c>
      <c r="E1684" s="25">
        <f>SUMIFS('Daftar Koreksi'!$H$5:$H$92,'Daftar Koreksi'!$D$5:$D$92,'0500'!A1676,'Daftar Koreksi'!$G$5:$G$92,"Aset Tetap Lainnya",'Daftar Koreksi'!$H$5:$H$92,"&gt;0")</f>
        <v>0</v>
      </c>
      <c r="F1684" s="25">
        <f>SUMIFS('Daftar Koreksi'!$H$5:$H$92,'Daftar Koreksi'!$D$5:$D$92,'0500'!A1676,'Daftar Koreksi'!$G$5:$G$92,"Aset Tetap Lainnya",'Daftar Koreksi'!$H$5:$H$92,"&lt;0")-SUMIFS('Daftar Koreksi'!$H$5:$H$92,'Daftar Koreksi'!$D$5:$D$92,'0500'!A1676,'Daftar Koreksi'!$G$5:$G$92,"Aset Tetap Lainnya",'Daftar Koreksi'!$H$5:$H$92,"&lt;0")-SUMIFS('Daftar Koreksi'!$H$5:$H$92,'Daftar Koreksi'!$D$5:$D$92,'0500'!A1676,'Daftar Koreksi'!$G$5:$G$92,"Aset Tetap Lainnya",'Daftar Koreksi'!$H$5:$H$92,"&lt;0")</f>
        <v>0</v>
      </c>
      <c r="G1684" s="17">
        <f t="shared" si="76"/>
        <v>0</v>
      </c>
      <c r="H1684" s="122"/>
    </row>
    <row r="1685" spans="1:8" ht="21.95" customHeight="1">
      <c r="A1685" s="14"/>
      <c r="B1685" s="14"/>
      <c r="C1685" s="16" t="s">
        <v>1171</v>
      </c>
      <c r="D1685" s="17">
        <f>VLOOKUP(A1676,'Neraca Unaudited SIMAK'!$A$2:$S$10004,9,FALSE)</f>
        <v>0</v>
      </c>
      <c r="E1685" s="25">
        <f>SUMIFS('Daftar Koreksi'!$H$5:$H$92,'Daftar Koreksi'!$D$5:$D$92,'0500'!A1676,'Daftar Koreksi'!$G$5:$G$92,"Kontruksi Dalam Pengerjaan",'Daftar Koreksi'!$H$5:$H$92,"&gt;0")</f>
        <v>0</v>
      </c>
      <c r="F1685" s="25">
        <f>SUMIFS('Daftar Koreksi'!$H$5:$H$92,'Daftar Koreksi'!$D$5:$D$92,'0500'!A1676,'Daftar Koreksi'!$G$5:$G$92,"Kontruksi Dalam Pengerjaan",'Daftar Koreksi'!$H$5:$H$92,"&lt;0")-SUMIFS('Daftar Koreksi'!$H$5:$H$92,'Daftar Koreksi'!$D$5:$D$92,'0500'!A1676,'Daftar Koreksi'!$G$5:$G$92,"Kontruksi Dalam Pengerjaan",'Daftar Koreksi'!$H$5:$H$92,"&lt;0")-SUMIFS('Daftar Koreksi'!$H$5:$H$92,'Daftar Koreksi'!$D$5:$D$92,'0500'!A1676,'Daftar Koreksi'!$G$5:$G$92,"Kontruksi Dalam Pengerjaan",'Daftar Koreksi'!$H$5:$H$92,"&lt;0")</f>
        <v>0</v>
      </c>
      <c r="G1685" s="17">
        <f t="shared" si="76"/>
        <v>0</v>
      </c>
      <c r="H1685" s="122"/>
    </row>
    <row r="1686" spans="1:8" ht="21.95" customHeight="1">
      <c r="A1686" s="14"/>
      <c r="B1686" s="14"/>
      <c r="C1686" s="16" t="s">
        <v>1172</v>
      </c>
      <c r="D1686" s="17">
        <f>VLOOKUP(A1676,'Neraca Unaudited SIMAK'!$A$2:$S$10004,10,FALSE)</f>
        <v>0</v>
      </c>
      <c r="E1686" s="25">
        <f>SUMIFS('Daftar Koreksi'!$H$5:$H$92,'Daftar Koreksi'!$D$5:$D$92,'0500'!A1676,'Daftar Koreksi'!$G$5:$G$92,"Aset Tak Berwujud",'Daftar Koreksi'!$H$5:$H$92,"&gt;0")</f>
        <v>0</v>
      </c>
      <c r="F1686" s="25">
        <f>SUMIFS('Daftar Koreksi'!$H$5:$H$92,'Daftar Koreksi'!$D$5:$D$92,'0500'!A1676,'Daftar Koreksi'!$G$5:$G$92,"Aset Tak Berwujud",'Daftar Koreksi'!$H$5:$H$92,"&lt;0")-SUMIFS('Daftar Koreksi'!$H$5:$H$92,'Daftar Koreksi'!$D$5:$D$92,'0500'!A1676,'Daftar Koreksi'!$G$5:$G$92,"Aset Tak Berwujud",'Daftar Koreksi'!$H$5:$H$92,"&lt;0")-SUMIFS('Daftar Koreksi'!$H$5:$H$92,'Daftar Koreksi'!$D$5:$D$92,'0500'!A1676,'Daftar Koreksi'!$G$5:$G$92,"Aset Tak Berwujud",'Daftar Koreksi'!$H$5:$H$92,"&lt;0")</f>
        <v>0</v>
      </c>
      <c r="G1686" s="17">
        <f t="shared" si="76"/>
        <v>0</v>
      </c>
      <c r="H1686" s="122"/>
    </row>
    <row r="1687" spans="1:8" ht="21.95" customHeight="1">
      <c r="A1687" s="14"/>
      <c r="B1687" s="14"/>
      <c r="C1687" s="16" t="s">
        <v>1173</v>
      </c>
      <c r="D1687" s="17">
        <f>VLOOKUP(A1676,'Neraca Unaudited SIMAK'!$A$2:$S$10004,11,FALSE)</f>
        <v>19775000</v>
      </c>
      <c r="E1687" s="25">
        <f>SUMIFS('Daftar Koreksi'!$H$5:$H$92,'Daftar Koreksi'!$D$5:$D$92,'0500'!A1676,'Daftar Koreksi'!$G$5:$G$92,"Aset Henti Guna",'Daftar Koreksi'!$H$5:$H$92,"&gt;0")</f>
        <v>0</v>
      </c>
      <c r="F1687" s="25">
        <f>SUMIFS('Daftar Koreksi'!$H$5:$H$92,'Daftar Koreksi'!$D$5:$D$92,'0500'!A1676,'Daftar Koreksi'!$G$5:$G$92,"Aset Henti Guna",'Daftar Koreksi'!$H$5:$H$92,"&lt;0")-SUMIFS('Daftar Koreksi'!$H$5:$H$92,'Daftar Koreksi'!$D$5:$D$92,'0500'!A1676,'Daftar Koreksi'!$G$5:$G$92,"Aset Henti Guna",'Daftar Koreksi'!$H$5:$H$92,"&lt;0")-SUMIFS('Daftar Koreksi'!$H$5:$H$92,'Daftar Koreksi'!$D$5:$D$92,'0500'!A1676,'Daftar Koreksi'!$G$5:$G$92,"Aset Henti Guna",'Daftar Koreksi'!$H$5:$H$92,"&lt;0")</f>
        <v>0</v>
      </c>
      <c r="G1687" s="17">
        <f t="shared" si="76"/>
        <v>19775000</v>
      </c>
      <c r="H1687" s="122"/>
    </row>
    <row r="1688" spans="1:8" ht="21.95" customHeight="1">
      <c r="A1688" s="14"/>
      <c r="B1688" s="14"/>
      <c r="C1688" s="18" t="s">
        <v>2093</v>
      </c>
      <c r="D1688" s="19">
        <f>VLOOKUP(A1676,'Neraca Unaudited SIMAK'!$A$2:$S$10004,12,FALSE)</f>
        <v>19914423945</v>
      </c>
      <c r="E1688" s="19">
        <f>SUM(E1679:E1687)</f>
        <v>0</v>
      </c>
      <c r="F1688" s="19">
        <f>SUM(F1679:F1687)</f>
        <v>0</v>
      </c>
      <c r="G1688" s="19">
        <f t="shared" si="76"/>
        <v>19914423945</v>
      </c>
      <c r="H1688" s="122"/>
    </row>
    <row r="1689" spans="1:8" ht="21.95" customHeight="1">
      <c r="A1689" s="14"/>
      <c r="B1689" s="14"/>
      <c r="C1689" s="16" t="s">
        <v>2087</v>
      </c>
      <c r="D1689" s="17">
        <f>VLOOKUP(A1676,'Neraca Unaudited SIMAK'!$A$2:$S$10004,13,FALSE)</f>
        <v>-3726849471</v>
      </c>
      <c r="E1689" s="25">
        <f>SUMIFS('Daftar Koreksi'!$I$5:$I$92,'Daftar Koreksi'!$D$5:$D$92,'0500'!A1676,'Daftar Koreksi'!$G$5:$G$92,"Peralatan dan mesin",'Daftar Koreksi'!$I$5:$I$92,"&gt;0")</f>
        <v>0</v>
      </c>
      <c r="F1689" s="25">
        <f>SUMIFS('Daftar Koreksi'!$I$5:$I$92,'Daftar Koreksi'!$D$5:$D$92,'0500'!A1676,'Daftar Koreksi'!$G$5:$G$92,"Peralatan dan mesin",'Daftar Koreksi'!$I$5:$I$92,"&lt;0")-SUMIFS('Daftar Koreksi'!$I$5:$I$92,'Daftar Koreksi'!$D$5:$D$92,'0500'!A1676,'Daftar Koreksi'!$G$5:$G$92,"Peralatan dan mesin",'Daftar Koreksi'!$I$5:$I$92,"&lt;0")-SUMIFS('Daftar Koreksi'!$I$5:$I$92,'Daftar Koreksi'!$D$5:$D$92,'0500'!A1676,'Daftar Koreksi'!$G$5:$G$92,"Peralatan dan mesin",'Daftar Koreksi'!$I$5:$I$92,"&lt;0")</f>
        <v>0</v>
      </c>
      <c r="G1689" s="17">
        <f t="shared" si="76"/>
        <v>-3726849471</v>
      </c>
      <c r="H1689" s="122"/>
    </row>
    <row r="1690" spans="1:8" ht="21.95" customHeight="1">
      <c r="A1690" s="14"/>
      <c r="B1690" s="14"/>
      <c r="C1690" s="16" t="s">
        <v>2088</v>
      </c>
      <c r="D1690" s="17">
        <f>VLOOKUP(A1676,'Neraca Unaudited SIMAK'!$A$2:$S$10004,14,FALSE)</f>
        <v>-1015954663</v>
      </c>
      <c r="E1690" s="25">
        <f>SUMIFS('Daftar Koreksi'!$I$5:$I$92,'Daftar Koreksi'!$D$5:$D$92,'0500'!A1676,'Daftar Koreksi'!$G$5:$G$92,"Gedung dan Bangunan",'Daftar Koreksi'!$I$5:$I$92,"&gt;0")</f>
        <v>0</v>
      </c>
      <c r="F1690" s="25">
        <f>SUMIFS('Daftar Koreksi'!$I$5:$I$92,'Daftar Koreksi'!$D$5:$D$92,'0500'!A1676,'Daftar Koreksi'!$G$5:$G$92,"Gedung dan Bangunan",'Daftar Koreksi'!$I$5:$I$92,"&lt;0")-SUMIFS('Daftar Koreksi'!$I$5:$I$92,'Daftar Koreksi'!$D$5:$D$92,'0500'!A1676,'Daftar Koreksi'!$G$5:$G$92,"Gedung dan Bangunan",'Daftar Koreksi'!$I$5:$I$92,"&lt;0")-SUMIFS('Daftar Koreksi'!$I$5:$I$92,'Daftar Koreksi'!$D$5:$D$92,'0500'!A1676,'Daftar Koreksi'!$G$5:$G$92,"Gedung dan Bangunan",'Daftar Koreksi'!$I$5:$I$92,"&lt;0")</f>
        <v>0</v>
      </c>
      <c r="G1690" s="17">
        <f t="shared" si="76"/>
        <v>-1015954663</v>
      </c>
      <c r="H1690" s="122"/>
    </row>
    <row r="1691" spans="1:8" ht="21.95" customHeight="1">
      <c r="A1691" s="14"/>
      <c r="B1691" s="14"/>
      <c r="C1691" s="16" t="s">
        <v>2089</v>
      </c>
      <c r="D1691" s="17">
        <f>VLOOKUP(A1676,'Neraca Unaudited SIMAK'!$A$2:$S$10004,15,FALSE)</f>
        <v>-323111803</v>
      </c>
      <c r="E1691" s="25">
        <f>SUMIFS('Daftar Koreksi'!$I$5:$I$92,'Daftar Koreksi'!$D$5:$D$92,'0500'!A1676,'Daftar Koreksi'!$G$5:$G$92,"Jalan Irigasi Jaringan",'Daftar Koreksi'!$I$5:$I$92,"&gt;0")</f>
        <v>0</v>
      </c>
      <c r="F1691" s="25">
        <f>SUMIFS('Daftar Koreksi'!$I$5:$I$92,'Daftar Koreksi'!$D$5:$D$92,'0500'!A1676,'Daftar Koreksi'!$G$5:$G$92,"Jalan Irigasi Jaringan",'Daftar Koreksi'!$I$5:$I$92,"&lt;0")-SUMIFS('Daftar Koreksi'!$I$5:$I$92,'Daftar Koreksi'!$D$5:$D$92,'0500'!A1676,'Daftar Koreksi'!$G$5:$G$92,"Jalan Irigasi Jaringan",'Daftar Koreksi'!$I$5:$I$92,"&lt;0")-SUMIFS('Daftar Koreksi'!$I$5:$I$92,'Daftar Koreksi'!$D$5:$D$92,'0500'!A1676,'Daftar Koreksi'!$G$5:$G$92,"Jalan Irigasi Jaringan",'Daftar Koreksi'!$I$5:$I$92,"&lt;0")</f>
        <v>0</v>
      </c>
      <c r="G1691" s="17">
        <f t="shared" si="76"/>
        <v>-323111803</v>
      </c>
      <c r="H1691" s="122"/>
    </row>
    <row r="1692" spans="1:8" ht="21.95" customHeight="1">
      <c r="A1692" s="14"/>
      <c r="B1692" s="14"/>
      <c r="C1692" s="16" t="s">
        <v>2090</v>
      </c>
      <c r="D1692" s="17">
        <f>VLOOKUP(A1676,'Neraca Unaudited SIMAK'!$A$2:$S$10004,16,FALSE)</f>
        <v>0</v>
      </c>
      <c r="E1692" s="25">
        <f>SUMIFS('Daftar Koreksi'!$I$5:$I$92,'Daftar Koreksi'!$D$5:$D$92,'0500'!A1676,'Daftar Koreksi'!$G$5:$G$92,"Aset Tetap Lainnya",'Daftar Koreksi'!$I$5:$I$92,"&gt;0")</f>
        <v>0</v>
      </c>
      <c r="F1692" s="25">
        <f>SUMIFS('Daftar Koreksi'!$I$5:$I$92,'Daftar Koreksi'!$D$5:$D$92,'0500'!A1676,'Daftar Koreksi'!$G$5:$G$92,"Aset Tetap Lainnya",'Daftar Koreksi'!$I$5:$I$92,"&lt;0")-SUMIFS('Daftar Koreksi'!$I$5:$I$92,'Daftar Koreksi'!$D$5:$D$92,'0500'!A1676,'Daftar Koreksi'!$G$5:$G$92,"Aset Tetap Lainnya",'Daftar Koreksi'!$I$5:$I$92,"&lt;0")-SUMIFS('Daftar Koreksi'!$I$5:$I$92,'Daftar Koreksi'!$D$5:$D$92,'0500'!A1676,'Daftar Koreksi'!$G$5:$G$92,"Aset Tetap Lainnya",'Daftar Koreksi'!$I$5:$I$92,"&lt;0")</f>
        <v>0</v>
      </c>
      <c r="G1692" s="17">
        <f t="shared" si="76"/>
        <v>0</v>
      </c>
      <c r="H1692" s="122"/>
    </row>
    <row r="1693" spans="1:8" ht="21.95" customHeight="1">
      <c r="A1693" s="14"/>
      <c r="B1693" s="14"/>
      <c r="C1693" s="16" t="s">
        <v>2020</v>
      </c>
      <c r="D1693" s="17">
        <f>VLOOKUP(A1676,'Neraca Unaudited SIMAK'!$A$2:$S$10004,17,FALSE)</f>
        <v>-19775000</v>
      </c>
      <c r="E1693" s="25">
        <f>SUMIFS('Daftar Koreksi'!$I$5:$I$92,'Daftar Koreksi'!$D$5:$D$92,'0500'!A1676,'Daftar Koreksi'!$G$5:$G$92,"Aset Henti Guna",'Daftar Koreksi'!$I$5:$I$92,"&gt;0")</f>
        <v>0</v>
      </c>
      <c r="F1693" s="25">
        <f>SUMIFS('Daftar Koreksi'!$I$5:$I$92,'Daftar Koreksi'!$D$5:$D$92,'0500'!A1676,'Daftar Koreksi'!$G$5:$G$92,"Aset Henti Guna",'Daftar Koreksi'!$I$5:$I$92,"&lt;0")-SUMIFS('Daftar Koreksi'!$I$5:$I$92,'Daftar Koreksi'!$D$5:$D$92,'0500'!A1676,'Daftar Koreksi'!$G$5:$G$92,"Aset Henti Guna",'Daftar Koreksi'!$I$5:$I$92,"&lt;0")-SUMIFS('Daftar Koreksi'!$I$5:$I$92,'Daftar Koreksi'!$D$5:$D$92,'0500'!A1676,'Daftar Koreksi'!$G$5:$G$92,"Aset Henti Guna",'Daftar Koreksi'!$I$5:$I$92,"&lt;0")</f>
        <v>0</v>
      </c>
      <c r="G1693" s="17">
        <f t="shared" si="76"/>
        <v>-19775000</v>
      </c>
      <c r="H1693" s="122"/>
    </row>
    <row r="1694" spans="1:8" ht="21.95" customHeight="1">
      <c r="A1694" s="14"/>
      <c r="B1694" s="14"/>
      <c r="C1694" s="18" t="s">
        <v>2094</v>
      </c>
      <c r="D1694" s="19">
        <f>SUM(D1689:D1693)</f>
        <v>-5085690937</v>
      </c>
      <c r="E1694" s="19">
        <f>SUM(E1689:E1693)</f>
        <v>0</v>
      </c>
      <c r="F1694" s="19">
        <f>SUM(F1689:F1693)</f>
        <v>0</v>
      </c>
      <c r="G1694" s="19">
        <f t="shared" si="76"/>
        <v>-5085690937</v>
      </c>
      <c r="H1694" s="122"/>
    </row>
    <row r="1695" spans="1:8" ht="21.95" customHeight="1">
      <c r="A1695" s="14"/>
      <c r="B1695" s="14"/>
      <c r="C1695" s="18" t="s">
        <v>2095</v>
      </c>
      <c r="D1695" s="19">
        <f>VLOOKUP(A1676,'Neraca Unaudited SIMAK'!$A$2:$S$10004,18,FALSE)</f>
        <v>14828733008</v>
      </c>
      <c r="E1695" s="19">
        <f>E1694+E1688</f>
        <v>0</v>
      </c>
      <c r="F1695" s="19">
        <f>F1694+F1688</f>
        <v>0</v>
      </c>
      <c r="G1695" s="19">
        <f t="shared" si="76"/>
        <v>14828733008</v>
      </c>
      <c r="H1695" s="122"/>
    </row>
    <row r="1696" spans="1:8" ht="21.95" customHeight="1">
      <c r="A1696" s="14"/>
      <c r="B1696" s="14"/>
      <c r="C1696" s="16" t="s">
        <v>2091</v>
      </c>
      <c r="D1696" s="17">
        <f>VLOOKUP(A1676,'Neraca Unaudited SIMAK'!$A$2:$S$10004,19,FALSE)</f>
        <v>0</v>
      </c>
      <c r="E1696" s="25"/>
      <c r="F1696" s="25"/>
      <c r="G1696" s="17">
        <f t="shared" si="76"/>
        <v>0</v>
      </c>
      <c r="H1696" s="123"/>
    </row>
    <row r="1698" spans="1:8" ht="19.5" customHeight="1">
      <c r="A1698" s="11" t="str">
        <f>O78</f>
        <v>005010500663314000KD</v>
      </c>
      <c r="B1698" s="11" t="str">
        <f>P78</f>
        <v>DILMIL.  III - 12 di Surabaya</v>
      </c>
      <c r="C1698" s="12" t="str">
        <f>A1698&amp;" "&amp;B1698</f>
        <v>005010500663314000KD DILMIL.  III - 12 di Surabaya</v>
      </c>
      <c r="D1698" s="13"/>
      <c r="E1698" s="13"/>
      <c r="F1698" s="13"/>
      <c r="G1698" s="13"/>
      <c r="H1698" s="11"/>
    </row>
    <row r="1699" spans="1:8" ht="21.95" customHeight="1">
      <c r="A1699" s="14"/>
      <c r="B1699" s="14"/>
      <c r="C1699" s="124" t="s">
        <v>1982</v>
      </c>
      <c r="D1699" s="126" t="s">
        <v>1983</v>
      </c>
      <c r="E1699" s="132" t="s">
        <v>1984</v>
      </c>
      <c r="F1699" s="132"/>
      <c r="G1699" s="126" t="s">
        <v>1987</v>
      </c>
      <c r="H1699" s="130" t="s">
        <v>1175</v>
      </c>
    </row>
    <row r="1700" spans="1:8" ht="21.95" customHeight="1">
      <c r="A1700" s="14"/>
      <c r="B1700" s="14"/>
      <c r="C1700" s="125"/>
      <c r="D1700" s="127"/>
      <c r="E1700" s="26" t="s">
        <v>1985</v>
      </c>
      <c r="F1700" s="26" t="s">
        <v>1986</v>
      </c>
      <c r="G1700" s="127"/>
      <c r="H1700" s="131"/>
    </row>
    <row r="1701" spans="1:8" ht="21.95" customHeight="1">
      <c r="A1701" s="14"/>
      <c r="B1701" s="14"/>
      <c r="C1701" s="16" t="s">
        <v>1165</v>
      </c>
      <c r="D1701" s="17">
        <f>VLOOKUP(A1698,'Neraca Unaudited SIMAK'!$A$2:$S$10004,3,FALSE)</f>
        <v>703450</v>
      </c>
      <c r="E1701" s="25">
        <f>SUMIFS('Daftar Koreksi'!$H$5:$H$92,'Daftar Koreksi'!$D$5:$D$92,'0500'!A1698,'Daftar Koreksi'!$G$5:$G$92,"Persediaan",'Daftar Koreksi'!$H$5:$H$92,"&gt;0")</f>
        <v>0</v>
      </c>
      <c r="F1701" s="25">
        <f>SUMIFS('Daftar Koreksi'!$H$5:$H$92,'Daftar Koreksi'!$D$5:$D$92,'0500'!A1698,'Daftar Koreksi'!$G$5:$G$92,"Persediaan",'Daftar Koreksi'!$H$5:$H$92,"&lt;0")-SUMIFS('Daftar Koreksi'!$H$5:$H$92,'Daftar Koreksi'!$D$5:$D$92,'0500'!A1698,'Daftar Koreksi'!$G$5:$G$92,"Persediaan",'Daftar Koreksi'!$H$5:$H$92,"&lt;0")-SUMIFS('Daftar Koreksi'!$H$5:$H$92,'Daftar Koreksi'!$D$5:$D$92,'0500'!A1698,'Daftar Koreksi'!$G$5:$G$92,"Persediaan",'Daftar Koreksi'!$H$5:$H$92,"&lt;0")</f>
        <v>0</v>
      </c>
      <c r="G1701" s="17">
        <f>D1701+E1701-F1701</f>
        <v>703450</v>
      </c>
      <c r="H1701" s="121" t="str">
        <f>IF(ISNA(VLOOKUP(A1698,'Mutasi Neraca'!$A$3:$S$914,19,FALSE)),"-",VLOOKUP(A1698,'Mutasi Neraca'!$A$3:$S$914,19,FALSE))</f>
        <v>-</v>
      </c>
    </row>
    <row r="1702" spans="1:8" ht="21.95" customHeight="1">
      <c r="A1702" s="14"/>
      <c r="B1702" s="14"/>
      <c r="C1702" s="16" t="s">
        <v>1166</v>
      </c>
      <c r="D1702" s="17">
        <f>VLOOKUP(A1698,'Neraca Unaudited SIMAK'!$A$2:$S$10004,4,FALSE)</f>
        <v>2600000000</v>
      </c>
      <c r="E1702" s="25">
        <f>SUMIFS('Daftar Koreksi'!$H$5:$H$92,'Daftar Koreksi'!$D$5:$D$92,'0500'!A1698,'Daftar Koreksi'!$G$5:$G$92,"Tanah",'Daftar Koreksi'!$H$5:$H$92,"&gt;0")</f>
        <v>0</v>
      </c>
      <c r="F1702" s="25">
        <f>SUMIFS('Daftar Koreksi'!$H$5:$H$92,'Daftar Koreksi'!$D$5:$D$92,'0500'!A1698,'Daftar Koreksi'!$G$5:$G$92,"Tanah",'Daftar Koreksi'!$H$5:$H$92,"&lt;0")-SUMIFS('Daftar Koreksi'!$H$5:$H$92,'Daftar Koreksi'!$D$5:$D$92,'0500'!A1698,'Daftar Koreksi'!$G$5:$G$92,"Tanah",'Daftar Koreksi'!$H$5:$H$92,"&lt;0")-SUMIFS('Daftar Koreksi'!$H$5:$H$92,'Daftar Koreksi'!$D$5:$D$92,'0500'!A1698,'Daftar Koreksi'!$G$5:$G$92,"Tanah",'Daftar Koreksi'!$H$5:$H$92,"&lt;0")</f>
        <v>0</v>
      </c>
      <c r="G1702" s="17">
        <f t="shared" ref="G1702:G1718" si="77">D1702+E1702-F1702</f>
        <v>2600000000</v>
      </c>
      <c r="H1702" s="122"/>
    </row>
    <row r="1703" spans="1:8" ht="21.95" customHeight="1">
      <c r="A1703" s="14"/>
      <c r="B1703" s="14"/>
      <c r="C1703" s="16" t="s">
        <v>1167</v>
      </c>
      <c r="D1703" s="17">
        <f>VLOOKUP(A1698,'Neraca Unaudited SIMAK'!$A$2:$S$10004,5,FALSE)</f>
        <v>2467073464</v>
      </c>
      <c r="E1703" s="25">
        <f>SUMIFS('Daftar Koreksi'!$H$5:$H$92,'Daftar Koreksi'!$D$5:$D$92,'0500'!A1698,'Daftar Koreksi'!$G$5:$G$92,"Peralatan dan mesin",'Daftar Koreksi'!$H$5:$H$92,"&gt;0")</f>
        <v>0</v>
      </c>
      <c r="F1703" s="25">
        <f>SUMIFS('Daftar Koreksi'!$H$5:$H$92,'Daftar Koreksi'!$D$5:$D$92,'0500'!A1698,'Daftar Koreksi'!$G$5:$G$92,"Peralatan dan mesin",'Daftar Koreksi'!$H$5:$H$92,"&lt;0")-SUMIFS('Daftar Koreksi'!$H$5:$H$92,'Daftar Koreksi'!$D$5:$D$92,'0500'!A1698,'Daftar Koreksi'!$G$5:$G$92,"Peralatan dan mesin",'Daftar Koreksi'!$H$5:$H$92,"&lt;0")-SUMIFS('Daftar Koreksi'!$H$5:$H$92,'Daftar Koreksi'!$D$5:$D$92,'0500'!A1698,'Daftar Koreksi'!$G$5:$G$92,"Peralatan dan mesin",'Daftar Koreksi'!$H$5:$H$92,"&lt;0")</f>
        <v>0</v>
      </c>
      <c r="G1703" s="17">
        <f t="shared" si="77"/>
        <v>2467073464</v>
      </c>
      <c r="H1703" s="122"/>
    </row>
    <row r="1704" spans="1:8" ht="21.95" customHeight="1">
      <c r="A1704" s="14"/>
      <c r="B1704" s="14"/>
      <c r="C1704" s="16" t="s">
        <v>1168</v>
      </c>
      <c r="D1704" s="17">
        <f>VLOOKUP(A1698,'Neraca Unaudited SIMAK'!$A$2:$S$10004,6,FALSE)</f>
        <v>7151994950</v>
      </c>
      <c r="E1704" s="25">
        <f>SUMIFS('Daftar Koreksi'!$H$5:$H$92,'Daftar Koreksi'!$D$5:$D$92,'0500'!A1698,'Daftar Koreksi'!$G$5:$G$92,"Gedung dan Bangunan",'Daftar Koreksi'!$H$5:$H$92,"&gt;0")</f>
        <v>0</v>
      </c>
      <c r="F1704" s="25">
        <f>SUMIFS('Daftar Koreksi'!$H$5:$H$92,'Daftar Koreksi'!$D$5:$D$92,'0500'!A1698,'Daftar Koreksi'!$G$5:$G$92,"Gedung dan Bangunan",'Daftar Koreksi'!$H$5:$H$92,"&lt;0")-SUMIFS('Daftar Koreksi'!$H$5:$H$92,'Daftar Koreksi'!$D$5:$D$92,'0500'!A1698,'Daftar Koreksi'!$G$5:$G$92,"Gedung dan Bangunan",'Daftar Koreksi'!$H$5:$H$92,"&lt;0")-SUMIFS('Daftar Koreksi'!$H$5:$H$92,'Daftar Koreksi'!$D$5:$D$92,'0500'!A1698,'Daftar Koreksi'!$G$5:$G$92,"Gedung dan Bangunan",'Daftar Koreksi'!$H$5:$H$92,"&lt;0")</f>
        <v>0</v>
      </c>
      <c r="G1704" s="17">
        <f t="shared" si="77"/>
        <v>7151994950</v>
      </c>
      <c r="H1704" s="122"/>
    </row>
    <row r="1705" spans="1:8" ht="21.95" customHeight="1">
      <c r="A1705" s="14"/>
      <c r="B1705" s="14"/>
      <c r="C1705" s="16" t="s">
        <v>1169</v>
      </c>
      <c r="D1705" s="17">
        <f>VLOOKUP(A1698,'Neraca Unaudited SIMAK'!$A$2:$S$10004,7,FALSE)</f>
        <v>264784694</v>
      </c>
      <c r="E1705" s="25">
        <f>SUMIFS('Daftar Koreksi'!$H$5:$H$92,'Daftar Koreksi'!$D$5:$D$92,'0500'!A1698,'Daftar Koreksi'!$G$5:$G$92,"Jalan Irigasi Jaringan",'Daftar Koreksi'!$H$5:$H$92,"&gt;0")</f>
        <v>0</v>
      </c>
      <c r="F1705" s="25">
        <f>SUMIFS('Daftar Koreksi'!$H$5:$H$92,'Daftar Koreksi'!$D$5:$D$92,'0500'!A1698,'Daftar Koreksi'!$G$5:$G$92,"Jalan Irigasi Jaringan",'Daftar Koreksi'!$H$5:$H$92,"&lt;0")-SUMIFS('Daftar Koreksi'!$H$5:$H$92,'Daftar Koreksi'!$D$5:$D$92,'0500'!A1698,'Daftar Koreksi'!$G$5:$G$92,"Jalan Irigasi Jaringan",'Daftar Koreksi'!$H$5:$H$92,"&lt;0")-SUMIFS('Daftar Koreksi'!$H$5:$H$92,'Daftar Koreksi'!$D$5:$D$92,'0500'!A1698,'Daftar Koreksi'!$G$5:$G$92,"Jalan Irigasi Jaringan",'Daftar Koreksi'!$H$5:$H$92,"&lt;0")</f>
        <v>0</v>
      </c>
      <c r="G1705" s="17">
        <f t="shared" si="77"/>
        <v>264784694</v>
      </c>
      <c r="H1705" s="122"/>
    </row>
    <row r="1706" spans="1:8" ht="21.95" customHeight="1">
      <c r="A1706" s="14"/>
      <c r="B1706" s="14"/>
      <c r="C1706" s="16" t="s">
        <v>1170</v>
      </c>
      <c r="D1706" s="17">
        <f>VLOOKUP(A1698,'Neraca Unaudited SIMAK'!$A$2:$S$10004,8,FALSE)</f>
        <v>0</v>
      </c>
      <c r="E1706" s="25">
        <f>SUMIFS('Daftar Koreksi'!$H$5:$H$92,'Daftar Koreksi'!$D$5:$D$92,'0500'!A1698,'Daftar Koreksi'!$G$5:$G$92,"Aset Tetap Lainnya",'Daftar Koreksi'!$H$5:$H$92,"&gt;0")</f>
        <v>0</v>
      </c>
      <c r="F1706" s="25">
        <f>SUMIFS('Daftar Koreksi'!$H$5:$H$92,'Daftar Koreksi'!$D$5:$D$92,'0500'!A1698,'Daftar Koreksi'!$G$5:$G$92,"Aset Tetap Lainnya",'Daftar Koreksi'!$H$5:$H$92,"&lt;0")-SUMIFS('Daftar Koreksi'!$H$5:$H$92,'Daftar Koreksi'!$D$5:$D$92,'0500'!A1698,'Daftar Koreksi'!$G$5:$G$92,"Aset Tetap Lainnya",'Daftar Koreksi'!$H$5:$H$92,"&lt;0")-SUMIFS('Daftar Koreksi'!$H$5:$H$92,'Daftar Koreksi'!$D$5:$D$92,'0500'!A1698,'Daftar Koreksi'!$G$5:$G$92,"Aset Tetap Lainnya",'Daftar Koreksi'!$H$5:$H$92,"&lt;0")</f>
        <v>0</v>
      </c>
      <c r="G1706" s="17">
        <f t="shared" si="77"/>
        <v>0</v>
      </c>
      <c r="H1706" s="122"/>
    </row>
    <row r="1707" spans="1:8" ht="21.95" customHeight="1">
      <c r="A1707" s="14"/>
      <c r="B1707" s="14"/>
      <c r="C1707" s="16" t="s">
        <v>1171</v>
      </c>
      <c r="D1707" s="17">
        <f>VLOOKUP(A1698,'Neraca Unaudited SIMAK'!$A$2:$S$10004,9,FALSE)</f>
        <v>0</v>
      </c>
      <c r="E1707" s="25">
        <f>SUMIFS('Daftar Koreksi'!$H$5:$H$92,'Daftar Koreksi'!$D$5:$D$92,'0500'!A1698,'Daftar Koreksi'!$G$5:$G$92,"Kontruksi Dalam Pengerjaan",'Daftar Koreksi'!$H$5:$H$92,"&gt;0")</f>
        <v>0</v>
      </c>
      <c r="F1707" s="25">
        <f>SUMIFS('Daftar Koreksi'!$H$5:$H$92,'Daftar Koreksi'!$D$5:$D$92,'0500'!A1698,'Daftar Koreksi'!$G$5:$G$92,"Kontruksi Dalam Pengerjaan",'Daftar Koreksi'!$H$5:$H$92,"&lt;0")-SUMIFS('Daftar Koreksi'!$H$5:$H$92,'Daftar Koreksi'!$D$5:$D$92,'0500'!A1698,'Daftar Koreksi'!$G$5:$G$92,"Kontruksi Dalam Pengerjaan",'Daftar Koreksi'!$H$5:$H$92,"&lt;0")-SUMIFS('Daftar Koreksi'!$H$5:$H$92,'Daftar Koreksi'!$D$5:$D$92,'0500'!A1698,'Daftar Koreksi'!$G$5:$G$92,"Kontruksi Dalam Pengerjaan",'Daftar Koreksi'!$H$5:$H$92,"&lt;0")</f>
        <v>0</v>
      </c>
      <c r="G1707" s="17">
        <f t="shared" si="77"/>
        <v>0</v>
      </c>
      <c r="H1707" s="122"/>
    </row>
    <row r="1708" spans="1:8" ht="21.95" customHeight="1">
      <c r="A1708" s="14"/>
      <c r="B1708" s="14"/>
      <c r="C1708" s="16" t="s">
        <v>1172</v>
      </c>
      <c r="D1708" s="17">
        <f>VLOOKUP(A1698,'Neraca Unaudited SIMAK'!$A$2:$S$10004,10,FALSE)</f>
        <v>0</v>
      </c>
      <c r="E1708" s="25">
        <f>SUMIFS('Daftar Koreksi'!$H$5:$H$92,'Daftar Koreksi'!$D$5:$D$92,'0500'!A1698,'Daftar Koreksi'!$G$5:$G$92,"Aset Tak Berwujud",'Daftar Koreksi'!$H$5:$H$92,"&gt;0")</f>
        <v>0</v>
      </c>
      <c r="F1708" s="25">
        <f>SUMIFS('Daftar Koreksi'!$H$5:$H$92,'Daftar Koreksi'!$D$5:$D$92,'0500'!A1698,'Daftar Koreksi'!$G$5:$G$92,"Aset Tak Berwujud",'Daftar Koreksi'!$H$5:$H$92,"&lt;0")-SUMIFS('Daftar Koreksi'!$H$5:$H$92,'Daftar Koreksi'!$D$5:$D$92,'0500'!A1698,'Daftar Koreksi'!$G$5:$G$92,"Aset Tak Berwujud",'Daftar Koreksi'!$H$5:$H$92,"&lt;0")-SUMIFS('Daftar Koreksi'!$H$5:$H$92,'Daftar Koreksi'!$D$5:$D$92,'0500'!A1698,'Daftar Koreksi'!$G$5:$G$92,"Aset Tak Berwujud",'Daftar Koreksi'!$H$5:$H$92,"&lt;0")</f>
        <v>0</v>
      </c>
      <c r="G1708" s="17">
        <f t="shared" si="77"/>
        <v>0</v>
      </c>
      <c r="H1708" s="122"/>
    </row>
    <row r="1709" spans="1:8" ht="21.95" customHeight="1">
      <c r="A1709" s="14"/>
      <c r="B1709" s="14"/>
      <c r="C1709" s="16" t="s">
        <v>1173</v>
      </c>
      <c r="D1709" s="17">
        <f>VLOOKUP(A1698,'Neraca Unaudited SIMAK'!$A$2:$S$10004,11,FALSE)</f>
        <v>0</v>
      </c>
      <c r="E1709" s="25">
        <f>SUMIFS('Daftar Koreksi'!$H$5:$H$92,'Daftar Koreksi'!$D$5:$D$92,'0500'!A1698,'Daftar Koreksi'!$G$5:$G$92,"Aset Henti Guna",'Daftar Koreksi'!$H$5:$H$92,"&gt;0")</f>
        <v>0</v>
      </c>
      <c r="F1709" s="25">
        <f>SUMIFS('Daftar Koreksi'!$H$5:$H$92,'Daftar Koreksi'!$D$5:$D$92,'0500'!A1698,'Daftar Koreksi'!$G$5:$G$92,"Aset Henti Guna",'Daftar Koreksi'!$H$5:$H$92,"&lt;0")-SUMIFS('Daftar Koreksi'!$H$5:$H$92,'Daftar Koreksi'!$D$5:$D$92,'0500'!A1698,'Daftar Koreksi'!$G$5:$G$92,"Aset Henti Guna",'Daftar Koreksi'!$H$5:$H$92,"&lt;0")-SUMIFS('Daftar Koreksi'!$H$5:$H$92,'Daftar Koreksi'!$D$5:$D$92,'0500'!A1698,'Daftar Koreksi'!$G$5:$G$92,"Aset Henti Guna",'Daftar Koreksi'!$H$5:$H$92,"&lt;0")</f>
        <v>0</v>
      </c>
      <c r="G1709" s="17">
        <f t="shared" si="77"/>
        <v>0</v>
      </c>
      <c r="H1709" s="122"/>
    </row>
    <row r="1710" spans="1:8" ht="21.95" customHeight="1">
      <c r="A1710" s="14"/>
      <c r="B1710" s="14"/>
      <c r="C1710" s="18" t="s">
        <v>2093</v>
      </c>
      <c r="D1710" s="19">
        <f>VLOOKUP(A1698,'Neraca Unaudited SIMAK'!$A$2:$S$10004,12,FALSE)</f>
        <v>12484556558</v>
      </c>
      <c r="E1710" s="19">
        <f>SUM(E1701:E1709)</f>
        <v>0</v>
      </c>
      <c r="F1710" s="19">
        <f>SUM(F1701:F1709)</f>
        <v>0</v>
      </c>
      <c r="G1710" s="19">
        <f t="shared" si="77"/>
        <v>12484556558</v>
      </c>
      <c r="H1710" s="122"/>
    </row>
    <row r="1711" spans="1:8" ht="21.95" customHeight="1">
      <c r="A1711" s="14"/>
      <c r="B1711" s="14"/>
      <c r="C1711" s="16" t="s">
        <v>2087</v>
      </c>
      <c r="D1711" s="17">
        <f>VLOOKUP(A1698,'Neraca Unaudited SIMAK'!$A$2:$S$10004,13,FALSE)</f>
        <v>-2002898207</v>
      </c>
      <c r="E1711" s="25">
        <f>SUMIFS('Daftar Koreksi'!$I$5:$I$92,'Daftar Koreksi'!$D$5:$D$92,'0500'!A1698,'Daftar Koreksi'!$G$5:$G$92,"Peralatan dan mesin",'Daftar Koreksi'!$I$5:$I$92,"&gt;0")</f>
        <v>0</v>
      </c>
      <c r="F1711" s="25">
        <f>SUMIFS('Daftar Koreksi'!$I$5:$I$92,'Daftar Koreksi'!$D$5:$D$92,'0500'!A1698,'Daftar Koreksi'!$G$5:$G$92,"Peralatan dan mesin",'Daftar Koreksi'!$I$5:$I$92,"&lt;0")-SUMIFS('Daftar Koreksi'!$I$5:$I$92,'Daftar Koreksi'!$D$5:$D$92,'0500'!A1698,'Daftar Koreksi'!$G$5:$G$92,"Peralatan dan mesin",'Daftar Koreksi'!$I$5:$I$92,"&lt;0")-SUMIFS('Daftar Koreksi'!$I$5:$I$92,'Daftar Koreksi'!$D$5:$D$92,'0500'!A1698,'Daftar Koreksi'!$G$5:$G$92,"Peralatan dan mesin",'Daftar Koreksi'!$I$5:$I$92,"&lt;0")</f>
        <v>0</v>
      </c>
      <c r="G1711" s="17">
        <f t="shared" si="77"/>
        <v>-2002898207</v>
      </c>
      <c r="H1711" s="122"/>
    </row>
    <row r="1712" spans="1:8" ht="21.95" customHeight="1">
      <c r="A1712" s="14"/>
      <c r="B1712" s="14"/>
      <c r="C1712" s="16" t="s">
        <v>2088</v>
      </c>
      <c r="D1712" s="17">
        <f>VLOOKUP(A1698,'Neraca Unaudited SIMAK'!$A$2:$S$10004,14,FALSE)</f>
        <v>-500639647</v>
      </c>
      <c r="E1712" s="25">
        <f>SUMIFS('Daftar Koreksi'!$I$5:$I$92,'Daftar Koreksi'!$D$5:$D$92,'0500'!A1698,'Daftar Koreksi'!$G$5:$G$92,"Gedung dan Bangunan",'Daftar Koreksi'!$I$5:$I$92,"&gt;0")</f>
        <v>0</v>
      </c>
      <c r="F1712" s="25">
        <f>SUMIFS('Daftar Koreksi'!$I$5:$I$92,'Daftar Koreksi'!$D$5:$D$92,'0500'!A1698,'Daftar Koreksi'!$G$5:$G$92,"Gedung dan Bangunan",'Daftar Koreksi'!$I$5:$I$92,"&lt;0")-SUMIFS('Daftar Koreksi'!$I$5:$I$92,'Daftar Koreksi'!$D$5:$D$92,'0500'!A1698,'Daftar Koreksi'!$G$5:$G$92,"Gedung dan Bangunan",'Daftar Koreksi'!$I$5:$I$92,"&lt;0")-SUMIFS('Daftar Koreksi'!$I$5:$I$92,'Daftar Koreksi'!$D$5:$D$92,'0500'!A1698,'Daftar Koreksi'!$G$5:$G$92,"Gedung dan Bangunan",'Daftar Koreksi'!$I$5:$I$92,"&lt;0")</f>
        <v>0</v>
      </c>
      <c r="G1712" s="17">
        <f t="shared" si="77"/>
        <v>-500639647</v>
      </c>
      <c r="H1712" s="122"/>
    </row>
    <row r="1713" spans="1:8" ht="21.95" customHeight="1">
      <c r="A1713" s="14"/>
      <c r="B1713" s="14"/>
      <c r="C1713" s="16" t="s">
        <v>2089</v>
      </c>
      <c r="D1713" s="17">
        <f>VLOOKUP(A1698,'Neraca Unaudited SIMAK'!$A$2:$S$10004,15,FALSE)</f>
        <v>-258557127</v>
      </c>
      <c r="E1713" s="25">
        <f>SUMIFS('Daftar Koreksi'!$I$5:$I$92,'Daftar Koreksi'!$D$5:$D$92,'0500'!A1698,'Daftar Koreksi'!$G$5:$G$92,"Jalan Irigasi Jaringan",'Daftar Koreksi'!$I$5:$I$92,"&gt;0")</f>
        <v>0</v>
      </c>
      <c r="F1713" s="25">
        <f>SUMIFS('Daftar Koreksi'!$I$5:$I$92,'Daftar Koreksi'!$D$5:$D$92,'0500'!A1698,'Daftar Koreksi'!$G$5:$G$92,"Jalan Irigasi Jaringan",'Daftar Koreksi'!$I$5:$I$92,"&lt;0")-SUMIFS('Daftar Koreksi'!$I$5:$I$92,'Daftar Koreksi'!$D$5:$D$92,'0500'!A1698,'Daftar Koreksi'!$G$5:$G$92,"Jalan Irigasi Jaringan",'Daftar Koreksi'!$I$5:$I$92,"&lt;0")-SUMIFS('Daftar Koreksi'!$I$5:$I$92,'Daftar Koreksi'!$D$5:$D$92,'0500'!A1698,'Daftar Koreksi'!$G$5:$G$92,"Jalan Irigasi Jaringan",'Daftar Koreksi'!$I$5:$I$92,"&lt;0")</f>
        <v>0</v>
      </c>
      <c r="G1713" s="17">
        <f t="shared" si="77"/>
        <v>-258557127</v>
      </c>
      <c r="H1713" s="122"/>
    </row>
    <row r="1714" spans="1:8" ht="21.95" customHeight="1">
      <c r="A1714" s="14"/>
      <c r="B1714" s="14"/>
      <c r="C1714" s="16" t="s">
        <v>2090</v>
      </c>
      <c r="D1714" s="17">
        <f>VLOOKUP(A1698,'Neraca Unaudited SIMAK'!$A$2:$S$10004,16,FALSE)</f>
        <v>0</v>
      </c>
      <c r="E1714" s="25">
        <f>SUMIFS('Daftar Koreksi'!$I$5:$I$92,'Daftar Koreksi'!$D$5:$D$92,'0500'!A1698,'Daftar Koreksi'!$G$5:$G$92,"Aset Tetap Lainnya",'Daftar Koreksi'!$I$5:$I$92,"&gt;0")</f>
        <v>0</v>
      </c>
      <c r="F1714" s="25">
        <f>SUMIFS('Daftar Koreksi'!$I$5:$I$92,'Daftar Koreksi'!$D$5:$D$92,'0500'!A1698,'Daftar Koreksi'!$G$5:$G$92,"Aset Tetap Lainnya",'Daftar Koreksi'!$I$5:$I$92,"&lt;0")-SUMIFS('Daftar Koreksi'!$I$5:$I$92,'Daftar Koreksi'!$D$5:$D$92,'0500'!A1698,'Daftar Koreksi'!$G$5:$G$92,"Aset Tetap Lainnya",'Daftar Koreksi'!$I$5:$I$92,"&lt;0")-SUMIFS('Daftar Koreksi'!$I$5:$I$92,'Daftar Koreksi'!$D$5:$D$92,'0500'!A1698,'Daftar Koreksi'!$G$5:$G$92,"Aset Tetap Lainnya",'Daftar Koreksi'!$I$5:$I$92,"&lt;0")</f>
        <v>0</v>
      </c>
      <c r="G1714" s="17">
        <f t="shared" si="77"/>
        <v>0</v>
      </c>
      <c r="H1714" s="122"/>
    </row>
    <row r="1715" spans="1:8" ht="21.95" customHeight="1">
      <c r="A1715" s="14"/>
      <c r="B1715" s="14"/>
      <c r="C1715" s="16" t="s">
        <v>2020</v>
      </c>
      <c r="D1715" s="17">
        <f>VLOOKUP(A1698,'Neraca Unaudited SIMAK'!$A$2:$S$10004,17,FALSE)</f>
        <v>0</v>
      </c>
      <c r="E1715" s="25">
        <f>SUMIFS('Daftar Koreksi'!$I$5:$I$92,'Daftar Koreksi'!$D$5:$D$92,'0500'!A1698,'Daftar Koreksi'!$G$5:$G$92,"Aset Henti Guna",'Daftar Koreksi'!$I$5:$I$92,"&gt;0")</f>
        <v>0</v>
      </c>
      <c r="F1715" s="25">
        <f>SUMIFS('Daftar Koreksi'!$I$5:$I$92,'Daftar Koreksi'!$D$5:$D$92,'0500'!A1698,'Daftar Koreksi'!$G$5:$G$92,"Aset Henti Guna",'Daftar Koreksi'!$I$5:$I$92,"&lt;0")-SUMIFS('Daftar Koreksi'!$I$5:$I$92,'Daftar Koreksi'!$D$5:$D$92,'0500'!A1698,'Daftar Koreksi'!$G$5:$G$92,"Aset Henti Guna",'Daftar Koreksi'!$I$5:$I$92,"&lt;0")-SUMIFS('Daftar Koreksi'!$I$5:$I$92,'Daftar Koreksi'!$D$5:$D$92,'0500'!A1698,'Daftar Koreksi'!$G$5:$G$92,"Aset Henti Guna",'Daftar Koreksi'!$I$5:$I$92,"&lt;0")</f>
        <v>0</v>
      </c>
      <c r="G1715" s="17">
        <f t="shared" si="77"/>
        <v>0</v>
      </c>
      <c r="H1715" s="122"/>
    </row>
    <row r="1716" spans="1:8" ht="21.95" customHeight="1">
      <c r="A1716" s="14"/>
      <c r="B1716" s="14"/>
      <c r="C1716" s="18" t="s">
        <v>2094</v>
      </c>
      <c r="D1716" s="19">
        <f>SUM(D1711:D1715)</f>
        <v>-2762094981</v>
      </c>
      <c r="E1716" s="19">
        <f>SUM(E1711:E1715)</f>
        <v>0</v>
      </c>
      <c r="F1716" s="19">
        <f>SUM(F1711:F1715)</f>
        <v>0</v>
      </c>
      <c r="G1716" s="19">
        <f t="shared" si="77"/>
        <v>-2762094981</v>
      </c>
      <c r="H1716" s="122"/>
    </row>
    <row r="1717" spans="1:8" ht="21.95" customHeight="1">
      <c r="A1717" s="14"/>
      <c r="B1717" s="14"/>
      <c r="C1717" s="18" t="s">
        <v>2095</v>
      </c>
      <c r="D1717" s="19">
        <f>VLOOKUP(A1698,'Neraca Unaudited SIMAK'!$A$2:$S$10004,18,FALSE)</f>
        <v>9722461577</v>
      </c>
      <c r="E1717" s="19">
        <f>E1716+E1710</f>
        <v>0</v>
      </c>
      <c r="F1717" s="19">
        <f>F1716+F1710</f>
        <v>0</v>
      </c>
      <c r="G1717" s="19">
        <f t="shared" si="77"/>
        <v>9722461577</v>
      </c>
      <c r="H1717" s="122"/>
    </row>
    <row r="1718" spans="1:8" ht="21.95" customHeight="1">
      <c r="A1718" s="14"/>
      <c r="B1718" s="14"/>
      <c r="C1718" s="16" t="s">
        <v>2091</v>
      </c>
      <c r="D1718" s="17">
        <f>VLOOKUP(A1698,'Neraca Unaudited SIMAK'!$A$2:$S$10004,19,FALSE)</f>
        <v>0</v>
      </c>
      <c r="E1718" s="25"/>
      <c r="F1718" s="25"/>
      <c r="G1718" s="17">
        <f t="shared" si="77"/>
        <v>0</v>
      </c>
      <c r="H1718" s="123"/>
    </row>
    <row r="1720" spans="1:8" ht="19.5" customHeight="1">
      <c r="A1720" s="11" t="str">
        <f>O79</f>
        <v>005010500663321000KD</v>
      </c>
      <c r="B1720" s="11" t="str">
        <f>P79</f>
        <v>DILMIL.  III - 13 di Madiun</v>
      </c>
      <c r="C1720" s="12" t="str">
        <f>A1720&amp;" "&amp;B1720</f>
        <v>005010500663321000KD DILMIL.  III - 13 di Madiun</v>
      </c>
      <c r="D1720" s="13"/>
      <c r="E1720" s="13"/>
      <c r="F1720" s="13"/>
      <c r="G1720" s="13"/>
      <c r="H1720" s="11"/>
    </row>
    <row r="1721" spans="1:8" ht="21.95" customHeight="1">
      <c r="A1721" s="14"/>
      <c r="B1721" s="14"/>
      <c r="C1721" s="124" t="s">
        <v>1982</v>
      </c>
      <c r="D1721" s="126" t="s">
        <v>1983</v>
      </c>
      <c r="E1721" s="132" t="s">
        <v>1984</v>
      </c>
      <c r="F1721" s="132"/>
      <c r="G1721" s="126" t="s">
        <v>1987</v>
      </c>
      <c r="H1721" s="130" t="s">
        <v>1175</v>
      </c>
    </row>
    <row r="1722" spans="1:8" ht="21.95" customHeight="1">
      <c r="A1722" s="14"/>
      <c r="B1722" s="14"/>
      <c r="C1722" s="125"/>
      <c r="D1722" s="127"/>
      <c r="E1722" s="26" t="s">
        <v>1985</v>
      </c>
      <c r="F1722" s="26" t="s">
        <v>1986</v>
      </c>
      <c r="G1722" s="127"/>
      <c r="H1722" s="131"/>
    </row>
    <row r="1723" spans="1:8" ht="21.95" customHeight="1">
      <c r="A1723" s="14"/>
      <c r="B1723" s="14"/>
      <c r="C1723" s="16" t="s">
        <v>1165</v>
      </c>
      <c r="D1723" s="17">
        <f>VLOOKUP(A1720,'Neraca Unaudited SIMAK'!$A$2:$S$10004,3,FALSE)</f>
        <v>2888450</v>
      </c>
      <c r="E1723" s="25">
        <f>SUMIFS('Daftar Koreksi'!$H$5:$H$92,'Daftar Koreksi'!$D$5:$D$92,'0500'!A1720,'Daftar Koreksi'!$G$5:$G$92,"Persediaan",'Daftar Koreksi'!$H$5:$H$92,"&gt;0")</f>
        <v>0</v>
      </c>
      <c r="F1723" s="25">
        <f>SUMIFS('Daftar Koreksi'!$H$5:$H$92,'Daftar Koreksi'!$D$5:$D$92,'0500'!A1720,'Daftar Koreksi'!$G$5:$G$92,"Persediaan",'Daftar Koreksi'!$H$5:$H$92,"&lt;0")-SUMIFS('Daftar Koreksi'!$H$5:$H$92,'Daftar Koreksi'!$D$5:$D$92,'0500'!A1720,'Daftar Koreksi'!$G$5:$G$92,"Persediaan",'Daftar Koreksi'!$H$5:$H$92,"&lt;0")-SUMIFS('Daftar Koreksi'!$H$5:$H$92,'Daftar Koreksi'!$D$5:$D$92,'0500'!A1720,'Daftar Koreksi'!$G$5:$G$92,"Persediaan",'Daftar Koreksi'!$H$5:$H$92,"&lt;0")</f>
        <v>0</v>
      </c>
      <c r="G1723" s="17">
        <f>D1723+E1723-F1723</f>
        <v>2888450</v>
      </c>
      <c r="H1723" s="121" t="str">
        <f>IF(ISNA(VLOOKUP(A1720,'Mutasi Neraca'!$A$3:$S$914,19,FALSE)),"-",VLOOKUP(A1720,'Mutasi Neraca'!$A$3:$S$914,19,FALSE))</f>
        <v>-</v>
      </c>
    </row>
    <row r="1724" spans="1:8" ht="21.95" customHeight="1">
      <c r="A1724" s="14"/>
      <c r="B1724" s="14"/>
      <c r="C1724" s="16" t="s">
        <v>1166</v>
      </c>
      <c r="D1724" s="17">
        <f>VLOOKUP(A1720,'Neraca Unaudited SIMAK'!$A$2:$S$10004,4,FALSE)</f>
        <v>1000000000</v>
      </c>
      <c r="E1724" s="25">
        <f>SUMIFS('Daftar Koreksi'!$H$5:$H$92,'Daftar Koreksi'!$D$5:$D$92,'0500'!A1720,'Daftar Koreksi'!$G$5:$G$92,"Tanah",'Daftar Koreksi'!$H$5:$H$92,"&gt;0")</f>
        <v>0</v>
      </c>
      <c r="F1724" s="25">
        <f>SUMIFS('Daftar Koreksi'!$H$5:$H$92,'Daftar Koreksi'!$D$5:$D$92,'0500'!A1720,'Daftar Koreksi'!$G$5:$G$92,"Tanah",'Daftar Koreksi'!$H$5:$H$92,"&lt;0")-SUMIFS('Daftar Koreksi'!$H$5:$H$92,'Daftar Koreksi'!$D$5:$D$92,'0500'!A1720,'Daftar Koreksi'!$G$5:$G$92,"Tanah",'Daftar Koreksi'!$H$5:$H$92,"&lt;0")-SUMIFS('Daftar Koreksi'!$H$5:$H$92,'Daftar Koreksi'!$D$5:$D$92,'0500'!A1720,'Daftar Koreksi'!$G$5:$G$92,"Tanah",'Daftar Koreksi'!$H$5:$H$92,"&lt;0")</f>
        <v>0</v>
      </c>
      <c r="G1724" s="17">
        <f t="shared" ref="G1724:G1740" si="78">D1724+E1724-F1724</f>
        <v>1000000000</v>
      </c>
      <c r="H1724" s="122"/>
    </row>
    <row r="1725" spans="1:8" ht="21.95" customHeight="1">
      <c r="A1725" s="14"/>
      <c r="B1725" s="14"/>
      <c r="C1725" s="16" t="s">
        <v>1167</v>
      </c>
      <c r="D1725" s="17">
        <f>VLOOKUP(A1720,'Neraca Unaudited SIMAK'!$A$2:$S$10004,5,FALSE)</f>
        <v>2431547017</v>
      </c>
      <c r="E1725" s="25">
        <f>SUMIFS('Daftar Koreksi'!$H$5:$H$92,'Daftar Koreksi'!$D$5:$D$92,'0500'!A1720,'Daftar Koreksi'!$G$5:$G$92,"Peralatan dan mesin",'Daftar Koreksi'!$H$5:$H$92,"&gt;0")</f>
        <v>0</v>
      </c>
      <c r="F1725" s="25">
        <f>SUMIFS('Daftar Koreksi'!$H$5:$H$92,'Daftar Koreksi'!$D$5:$D$92,'0500'!A1720,'Daftar Koreksi'!$G$5:$G$92,"Peralatan dan mesin",'Daftar Koreksi'!$H$5:$H$92,"&lt;0")-SUMIFS('Daftar Koreksi'!$H$5:$H$92,'Daftar Koreksi'!$D$5:$D$92,'0500'!A1720,'Daftar Koreksi'!$G$5:$G$92,"Peralatan dan mesin",'Daftar Koreksi'!$H$5:$H$92,"&lt;0")-SUMIFS('Daftar Koreksi'!$H$5:$H$92,'Daftar Koreksi'!$D$5:$D$92,'0500'!A1720,'Daftar Koreksi'!$G$5:$G$92,"Peralatan dan mesin",'Daftar Koreksi'!$H$5:$H$92,"&lt;0")</f>
        <v>0</v>
      </c>
      <c r="G1725" s="17">
        <f t="shared" si="78"/>
        <v>2431547017</v>
      </c>
      <c r="H1725" s="122"/>
    </row>
    <row r="1726" spans="1:8" ht="21.95" customHeight="1">
      <c r="A1726" s="14"/>
      <c r="B1726" s="14"/>
      <c r="C1726" s="16" t="s">
        <v>1168</v>
      </c>
      <c r="D1726" s="17">
        <f>VLOOKUP(A1720,'Neraca Unaudited SIMAK'!$A$2:$S$10004,6,FALSE)</f>
        <v>6949027234</v>
      </c>
      <c r="E1726" s="25">
        <f>SUMIFS('Daftar Koreksi'!$H$5:$H$92,'Daftar Koreksi'!$D$5:$D$92,'0500'!A1720,'Daftar Koreksi'!$G$5:$G$92,"Gedung dan Bangunan",'Daftar Koreksi'!$H$5:$H$92,"&gt;0")</f>
        <v>0</v>
      </c>
      <c r="F1726" s="25">
        <f>SUMIFS('Daftar Koreksi'!$H$5:$H$92,'Daftar Koreksi'!$D$5:$D$92,'0500'!A1720,'Daftar Koreksi'!$G$5:$G$92,"Gedung dan Bangunan",'Daftar Koreksi'!$H$5:$H$92,"&lt;0")-SUMIFS('Daftar Koreksi'!$H$5:$H$92,'Daftar Koreksi'!$D$5:$D$92,'0500'!A1720,'Daftar Koreksi'!$G$5:$G$92,"Gedung dan Bangunan",'Daftar Koreksi'!$H$5:$H$92,"&lt;0")-SUMIFS('Daftar Koreksi'!$H$5:$H$92,'Daftar Koreksi'!$D$5:$D$92,'0500'!A1720,'Daftar Koreksi'!$G$5:$G$92,"Gedung dan Bangunan",'Daftar Koreksi'!$H$5:$H$92,"&lt;0")</f>
        <v>0</v>
      </c>
      <c r="G1726" s="17">
        <f t="shared" si="78"/>
        <v>6949027234</v>
      </c>
      <c r="H1726" s="122"/>
    </row>
    <row r="1727" spans="1:8" ht="21.95" customHeight="1">
      <c r="A1727" s="14"/>
      <c r="B1727" s="14"/>
      <c r="C1727" s="16" t="s">
        <v>1169</v>
      </c>
      <c r="D1727" s="17">
        <f>VLOOKUP(A1720,'Neraca Unaudited SIMAK'!$A$2:$S$10004,7,FALSE)</f>
        <v>99100000</v>
      </c>
      <c r="E1727" s="25">
        <f>SUMIFS('Daftar Koreksi'!$H$5:$H$92,'Daftar Koreksi'!$D$5:$D$92,'0500'!A1720,'Daftar Koreksi'!$G$5:$G$92,"Jalan Irigasi Jaringan",'Daftar Koreksi'!$H$5:$H$92,"&gt;0")</f>
        <v>0</v>
      </c>
      <c r="F1727" s="25">
        <f>SUMIFS('Daftar Koreksi'!$H$5:$H$92,'Daftar Koreksi'!$D$5:$D$92,'0500'!A1720,'Daftar Koreksi'!$G$5:$G$92,"Jalan Irigasi Jaringan",'Daftar Koreksi'!$H$5:$H$92,"&lt;0")-SUMIFS('Daftar Koreksi'!$H$5:$H$92,'Daftar Koreksi'!$D$5:$D$92,'0500'!A1720,'Daftar Koreksi'!$G$5:$G$92,"Jalan Irigasi Jaringan",'Daftar Koreksi'!$H$5:$H$92,"&lt;0")-SUMIFS('Daftar Koreksi'!$H$5:$H$92,'Daftar Koreksi'!$D$5:$D$92,'0500'!A1720,'Daftar Koreksi'!$G$5:$G$92,"Jalan Irigasi Jaringan",'Daftar Koreksi'!$H$5:$H$92,"&lt;0")</f>
        <v>0</v>
      </c>
      <c r="G1727" s="17">
        <f t="shared" si="78"/>
        <v>99100000</v>
      </c>
      <c r="H1727" s="122"/>
    </row>
    <row r="1728" spans="1:8" ht="21.95" customHeight="1">
      <c r="A1728" s="14"/>
      <c r="B1728" s="14"/>
      <c r="C1728" s="16" t="s">
        <v>1170</v>
      </c>
      <c r="D1728" s="17">
        <f>VLOOKUP(A1720,'Neraca Unaudited SIMAK'!$A$2:$S$10004,8,FALSE)</f>
        <v>0</v>
      </c>
      <c r="E1728" s="25">
        <f>SUMIFS('Daftar Koreksi'!$H$5:$H$92,'Daftar Koreksi'!$D$5:$D$92,'0500'!A1720,'Daftar Koreksi'!$G$5:$G$92,"Aset Tetap Lainnya",'Daftar Koreksi'!$H$5:$H$92,"&gt;0")</f>
        <v>0</v>
      </c>
      <c r="F1728" s="25">
        <f>SUMIFS('Daftar Koreksi'!$H$5:$H$92,'Daftar Koreksi'!$D$5:$D$92,'0500'!A1720,'Daftar Koreksi'!$G$5:$G$92,"Aset Tetap Lainnya",'Daftar Koreksi'!$H$5:$H$92,"&lt;0")-SUMIFS('Daftar Koreksi'!$H$5:$H$92,'Daftar Koreksi'!$D$5:$D$92,'0500'!A1720,'Daftar Koreksi'!$G$5:$G$92,"Aset Tetap Lainnya",'Daftar Koreksi'!$H$5:$H$92,"&lt;0")-SUMIFS('Daftar Koreksi'!$H$5:$H$92,'Daftar Koreksi'!$D$5:$D$92,'0500'!A1720,'Daftar Koreksi'!$G$5:$G$92,"Aset Tetap Lainnya",'Daftar Koreksi'!$H$5:$H$92,"&lt;0")</f>
        <v>0</v>
      </c>
      <c r="G1728" s="17">
        <f t="shared" si="78"/>
        <v>0</v>
      </c>
      <c r="H1728" s="122"/>
    </row>
    <row r="1729" spans="1:8" ht="21.95" customHeight="1">
      <c r="A1729" s="14"/>
      <c r="B1729" s="14"/>
      <c r="C1729" s="16" t="s">
        <v>1171</v>
      </c>
      <c r="D1729" s="17">
        <f>VLOOKUP(A1720,'Neraca Unaudited SIMAK'!$A$2:$S$10004,9,FALSE)</f>
        <v>0</v>
      </c>
      <c r="E1729" s="25">
        <f>SUMIFS('Daftar Koreksi'!$H$5:$H$92,'Daftar Koreksi'!$D$5:$D$92,'0500'!A1720,'Daftar Koreksi'!$G$5:$G$92,"Kontruksi Dalam Pengerjaan",'Daftar Koreksi'!$H$5:$H$92,"&gt;0")</f>
        <v>0</v>
      </c>
      <c r="F1729" s="25">
        <f>SUMIFS('Daftar Koreksi'!$H$5:$H$92,'Daftar Koreksi'!$D$5:$D$92,'0500'!A1720,'Daftar Koreksi'!$G$5:$G$92,"Kontruksi Dalam Pengerjaan",'Daftar Koreksi'!$H$5:$H$92,"&lt;0")-SUMIFS('Daftar Koreksi'!$H$5:$H$92,'Daftar Koreksi'!$D$5:$D$92,'0500'!A1720,'Daftar Koreksi'!$G$5:$G$92,"Kontruksi Dalam Pengerjaan",'Daftar Koreksi'!$H$5:$H$92,"&lt;0")-SUMIFS('Daftar Koreksi'!$H$5:$H$92,'Daftar Koreksi'!$D$5:$D$92,'0500'!A1720,'Daftar Koreksi'!$G$5:$G$92,"Kontruksi Dalam Pengerjaan",'Daftar Koreksi'!$H$5:$H$92,"&lt;0")</f>
        <v>0</v>
      </c>
      <c r="G1729" s="17">
        <f t="shared" si="78"/>
        <v>0</v>
      </c>
      <c r="H1729" s="122"/>
    </row>
    <row r="1730" spans="1:8" ht="21.95" customHeight="1">
      <c r="A1730" s="14"/>
      <c r="B1730" s="14"/>
      <c r="C1730" s="16" t="s">
        <v>1172</v>
      </c>
      <c r="D1730" s="17">
        <f>VLOOKUP(A1720,'Neraca Unaudited SIMAK'!$A$2:$S$10004,10,FALSE)</f>
        <v>0</v>
      </c>
      <c r="E1730" s="25">
        <f>SUMIFS('Daftar Koreksi'!$H$5:$H$92,'Daftar Koreksi'!$D$5:$D$92,'0500'!A1720,'Daftar Koreksi'!$G$5:$G$92,"Aset Tak Berwujud",'Daftar Koreksi'!$H$5:$H$92,"&gt;0")</f>
        <v>0</v>
      </c>
      <c r="F1730" s="25">
        <f>SUMIFS('Daftar Koreksi'!$H$5:$H$92,'Daftar Koreksi'!$D$5:$D$92,'0500'!A1720,'Daftar Koreksi'!$G$5:$G$92,"Aset Tak Berwujud",'Daftar Koreksi'!$H$5:$H$92,"&lt;0")-SUMIFS('Daftar Koreksi'!$H$5:$H$92,'Daftar Koreksi'!$D$5:$D$92,'0500'!A1720,'Daftar Koreksi'!$G$5:$G$92,"Aset Tak Berwujud",'Daftar Koreksi'!$H$5:$H$92,"&lt;0")-SUMIFS('Daftar Koreksi'!$H$5:$H$92,'Daftar Koreksi'!$D$5:$D$92,'0500'!A1720,'Daftar Koreksi'!$G$5:$G$92,"Aset Tak Berwujud",'Daftar Koreksi'!$H$5:$H$92,"&lt;0")</f>
        <v>0</v>
      </c>
      <c r="G1730" s="17">
        <f t="shared" si="78"/>
        <v>0</v>
      </c>
      <c r="H1730" s="122"/>
    </row>
    <row r="1731" spans="1:8" ht="21.95" customHeight="1">
      <c r="A1731" s="14"/>
      <c r="B1731" s="14"/>
      <c r="C1731" s="16" t="s">
        <v>1173</v>
      </c>
      <c r="D1731" s="17">
        <f>VLOOKUP(A1720,'Neraca Unaudited SIMAK'!$A$2:$S$10004,11,FALSE)</f>
        <v>11863150</v>
      </c>
      <c r="E1731" s="25">
        <f>SUMIFS('Daftar Koreksi'!$H$5:$H$92,'Daftar Koreksi'!$D$5:$D$92,'0500'!A1720,'Daftar Koreksi'!$G$5:$G$92,"Aset Henti Guna",'Daftar Koreksi'!$H$5:$H$92,"&gt;0")</f>
        <v>0</v>
      </c>
      <c r="F1731" s="25">
        <f>SUMIFS('Daftar Koreksi'!$H$5:$H$92,'Daftar Koreksi'!$D$5:$D$92,'0500'!A1720,'Daftar Koreksi'!$G$5:$G$92,"Aset Henti Guna",'Daftar Koreksi'!$H$5:$H$92,"&lt;0")-SUMIFS('Daftar Koreksi'!$H$5:$H$92,'Daftar Koreksi'!$D$5:$D$92,'0500'!A1720,'Daftar Koreksi'!$G$5:$G$92,"Aset Henti Guna",'Daftar Koreksi'!$H$5:$H$92,"&lt;0")-SUMIFS('Daftar Koreksi'!$H$5:$H$92,'Daftar Koreksi'!$D$5:$D$92,'0500'!A1720,'Daftar Koreksi'!$G$5:$G$92,"Aset Henti Guna",'Daftar Koreksi'!$H$5:$H$92,"&lt;0")</f>
        <v>0</v>
      </c>
      <c r="G1731" s="17">
        <f t="shared" si="78"/>
        <v>11863150</v>
      </c>
      <c r="H1731" s="122"/>
    </row>
    <row r="1732" spans="1:8" ht="21.95" customHeight="1">
      <c r="A1732" s="14"/>
      <c r="B1732" s="14"/>
      <c r="C1732" s="18" t="s">
        <v>2093</v>
      </c>
      <c r="D1732" s="19">
        <f>VLOOKUP(A1720,'Neraca Unaudited SIMAK'!$A$2:$S$10004,12,FALSE)</f>
        <v>10494425851</v>
      </c>
      <c r="E1732" s="19">
        <f>SUM(E1723:E1731)</f>
        <v>0</v>
      </c>
      <c r="F1732" s="19">
        <f>SUM(F1723:F1731)</f>
        <v>0</v>
      </c>
      <c r="G1732" s="19">
        <f t="shared" si="78"/>
        <v>10494425851</v>
      </c>
      <c r="H1732" s="122"/>
    </row>
    <row r="1733" spans="1:8" ht="21.95" customHeight="1">
      <c r="A1733" s="14"/>
      <c r="B1733" s="14"/>
      <c r="C1733" s="16" t="s">
        <v>2087</v>
      </c>
      <c r="D1733" s="17">
        <f>VLOOKUP(A1720,'Neraca Unaudited SIMAK'!$A$2:$S$10004,13,FALSE)</f>
        <v>-1704839775</v>
      </c>
      <c r="E1733" s="25">
        <f>SUMIFS('Daftar Koreksi'!$I$5:$I$92,'Daftar Koreksi'!$D$5:$D$92,'0500'!A1720,'Daftar Koreksi'!$G$5:$G$92,"Peralatan dan mesin",'Daftar Koreksi'!$I$5:$I$92,"&gt;0")</f>
        <v>0</v>
      </c>
      <c r="F1733" s="25">
        <f>SUMIFS('Daftar Koreksi'!$I$5:$I$92,'Daftar Koreksi'!$D$5:$D$92,'0500'!A1720,'Daftar Koreksi'!$G$5:$G$92,"Peralatan dan mesin",'Daftar Koreksi'!$I$5:$I$92,"&lt;0")-SUMIFS('Daftar Koreksi'!$I$5:$I$92,'Daftar Koreksi'!$D$5:$D$92,'0500'!A1720,'Daftar Koreksi'!$G$5:$G$92,"Peralatan dan mesin",'Daftar Koreksi'!$I$5:$I$92,"&lt;0")-SUMIFS('Daftar Koreksi'!$I$5:$I$92,'Daftar Koreksi'!$D$5:$D$92,'0500'!A1720,'Daftar Koreksi'!$G$5:$G$92,"Peralatan dan mesin",'Daftar Koreksi'!$I$5:$I$92,"&lt;0")</f>
        <v>0</v>
      </c>
      <c r="G1733" s="17">
        <f t="shared" si="78"/>
        <v>-1704839775</v>
      </c>
      <c r="H1733" s="122"/>
    </row>
    <row r="1734" spans="1:8" ht="21.95" customHeight="1">
      <c r="A1734" s="14"/>
      <c r="B1734" s="14"/>
      <c r="C1734" s="16" t="s">
        <v>2088</v>
      </c>
      <c r="D1734" s="17">
        <f>VLOOKUP(A1720,'Neraca Unaudited SIMAK'!$A$2:$S$10004,14,FALSE)</f>
        <v>-415261632</v>
      </c>
      <c r="E1734" s="25">
        <f>SUMIFS('Daftar Koreksi'!$I$5:$I$92,'Daftar Koreksi'!$D$5:$D$92,'0500'!A1720,'Daftar Koreksi'!$G$5:$G$92,"Gedung dan Bangunan",'Daftar Koreksi'!$I$5:$I$92,"&gt;0")</f>
        <v>0</v>
      </c>
      <c r="F1734" s="25">
        <f>SUMIFS('Daftar Koreksi'!$I$5:$I$92,'Daftar Koreksi'!$D$5:$D$92,'0500'!A1720,'Daftar Koreksi'!$G$5:$G$92,"Gedung dan Bangunan",'Daftar Koreksi'!$I$5:$I$92,"&lt;0")-SUMIFS('Daftar Koreksi'!$I$5:$I$92,'Daftar Koreksi'!$D$5:$D$92,'0500'!A1720,'Daftar Koreksi'!$G$5:$G$92,"Gedung dan Bangunan",'Daftar Koreksi'!$I$5:$I$92,"&lt;0")-SUMIFS('Daftar Koreksi'!$I$5:$I$92,'Daftar Koreksi'!$D$5:$D$92,'0500'!A1720,'Daftar Koreksi'!$G$5:$G$92,"Gedung dan Bangunan",'Daftar Koreksi'!$I$5:$I$92,"&lt;0")</f>
        <v>0</v>
      </c>
      <c r="G1734" s="17">
        <f t="shared" si="78"/>
        <v>-415261632</v>
      </c>
      <c r="H1734" s="122"/>
    </row>
    <row r="1735" spans="1:8" ht="21.95" customHeight="1">
      <c r="A1735" s="14"/>
      <c r="B1735" s="14"/>
      <c r="C1735" s="16" t="s">
        <v>2089</v>
      </c>
      <c r="D1735" s="17">
        <f>VLOOKUP(A1720,'Neraca Unaudited SIMAK'!$A$2:$S$10004,15,FALSE)</f>
        <v>-59752504</v>
      </c>
      <c r="E1735" s="25">
        <f>SUMIFS('Daftar Koreksi'!$I$5:$I$92,'Daftar Koreksi'!$D$5:$D$92,'0500'!A1720,'Daftar Koreksi'!$G$5:$G$92,"Jalan Irigasi Jaringan",'Daftar Koreksi'!$I$5:$I$92,"&gt;0")</f>
        <v>0</v>
      </c>
      <c r="F1735" s="25">
        <f>SUMIFS('Daftar Koreksi'!$I$5:$I$92,'Daftar Koreksi'!$D$5:$D$92,'0500'!A1720,'Daftar Koreksi'!$G$5:$G$92,"Jalan Irigasi Jaringan",'Daftar Koreksi'!$I$5:$I$92,"&lt;0")-SUMIFS('Daftar Koreksi'!$I$5:$I$92,'Daftar Koreksi'!$D$5:$D$92,'0500'!A1720,'Daftar Koreksi'!$G$5:$G$92,"Jalan Irigasi Jaringan",'Daftar Koreksi'!$I$5:$I$92,"&lt;0")-SUMIFS('Daftar Koreksi'!$I$5:$I$92,'Daftar Koreksi'!$D$5:$D$92,'0500'!A1720,'Daftar Koreksi'!$G$5:$G$92,"Jalan Irigasi Jaringan",'Daftar Koreksi'!$I$5:$I$92,"&lt;0")</f>
        <v>0</v>
      </c>
      <c r="G1735" s="17">
        <f t="shared" si="78"/>
        <v>-59752504</v>
      </c>
      <c r="H1735" s="122"/>
    </row>
    <row r="1736" spans="1:8" ht="21.95" customHeight="1">
      <c r="A1736" s="14"/>
      <c r="B1736" s="14"/>
      <c r="C1736" s="16" t="s">
        <v>2090</v>
      </c>
      <c r="D1736" s="17">
        <f>VLOOKUP(A1720,'Neraca Unaudited SIMAK'!$A$2:$S$10004,16,FALSE)</f>
        <v>0</v>
      </c>
      <c r="E1736" s="25">
        <f>SUMIFS('Daftar Koreksi'!$I$5:$I$92,'Daftar Koreksi'!$D$5:$D$92,'0500'!A1720,'Daftar Koreksi'!$G$5:$G$92,"Aset Tetap Lainnya",'Daftar Koreksi'!$I$5:$I$92,"&gt;0")</f>
        <v>0</v>
      </c>
      <c r="F1736" s="25">
        <f>SUMIFS('Daftar Koreksi'!$I$5:$I$92,'Daftar Koreksi'!$D$5:$D$92,'0500'!A1720,'Daftar Koreksi'!$G$5:$G$92,"Aset Tetap Lainnya",'Daftar Koreksi'!$I$5:$I$92,"&lt;0")-SUMIFS('Daftar Koreksi'!$I$5:$I$92,'Daftar Koreksi'!$D$5:$D$92,'0500'!A1720,'Daftar Koreksi'!$G$5:$G$92,"Aset Tetap Lainnya",'Daftar Koreksi'!$I$5:$I$92,"&lt;0")-SUMIFS('Daftar Koreksi'!$I$5:$I$92,'Daftar Koreksi'!$D$5:$D$92,'0500'!A1720,'Daftar Koreksi'!$G$5:$G$92,"Aset Tetap Lainnya",'Daftar Koreksi'!$I$5:$I$92,"&lt;0")</f>
        <v>0</v>
      </c>
      <c r="G1736" s="17">
        <f t="shared" si="78"/>
        <v>0</v>
      </c>
      <c r="H1736" s="122"/>
    </row>
    <row r="1737" spans="1:8" ht="21.95" customHeight="1">
      <c r="A1737" s="14"/>
      <c r="B1737" s="14"/>
      <c r="C1737" s="16" t="s">
        <v>2020</v>
      </c>
      <c r="D1737" s="17">
        <f>VLOOKUP(A1720,'Neraca Unaudited SIMAK'!$A$2:$S$10004,17,FALSE)</f>
        <v>-11497510</v>
      </c>
      <c r="E1737" s="25">
        <f>SUMIFS('Daftar Koreksi'!$I$5:$I$92,'Daftar Koreksi'!$D$5:$D$92,'0500'!A1720,'Daftar Koreksi'!$G$5:$G$92,"Aset Henti Guna",'Daftar Koreksi'!$I$5:$I$92,"&gt;0")</f>
        <v>0</v>
      </c>
      <c r="F1737" s="25">
        <f>SUMIFS('Daftar Koreksi'!$I$5:$I$92,'Daftar Koreksi'!$D$5:$D$92,'0500'!A1720,'Daftar Koreksi'!$G$5:$G$92,"Aset Henti Guna",'Daftar Koreksi'!$I$5:$I$92,"&lt;0")-SUMIFS('Daftar Koreksi'!$I$5:$I$92,'Daftar Koreksi'!$D$5:$D$92,'0500'!A1720,'Daftar Koreksi'!$G$5:$G$92,"Aset Henti Guna",'Daftar Koreksi'!$I$5:$I$92,"&lt;0")-SUMIFS('Daftar Koreksi'!$I$5:$I$92,'Daftar Koreksi'!$D$5:$D$92,'0500'!A1720,'Daftar Koreksi'!$G$5:$G$92,"Aset Henti Guna",'Daftar Koreksi'!$I$5:$I$92,"&lt;0")</f>
        <v>0</v>
      </c>
      <c r="G1737" s="17">
        <f t="shared" si="78"/>
        <v>-11497510</v>
      </c>
      <c r="H1737" s="122"/>
    </row>
    <row r="1738" spans="1:8" ht="21.95" customHeight="1">
      <c r="A1738" s="14"/>
      <c r="B1738" s="14"/>
      <c r="C1738" s="18" t="s">
        <v>2094</v>
      </c>
      <c r="D1738" s="19">
        <f>SUM(D1733:D1737)</f>
        <v>-2191351421</v>
      </c>
      <c r="E1738" s="19">
        <f>SUM(E1733:E1737)</f>
        <v>0</v>
      </c>
      <c r="F1738" s="19">
        <f>SUM(F1733:F1737)</f>
        <v>0</v>
      </c>
      <c r="G1738" s="19">
        <f t="shared" si="78"/>
        <v>-2191351421</v>
      </c>
      <c r="H1738" s="122"/>
    </row>
    <row r="1739" spans="1:8" ht="21.95" customHeight="1">
      <c r="A1739" s="14"/>
      <c r="B1739" s="14"/>
      <c r="C1739" s="18" t="s">
        <v>2095</v>
      </c>
      <c r="D1739" s="19">
        <f>VLOOKUP(A1720,'Neraca Unaudited SIMAK'!$A$2:$S$10004,18,FALSE)</f>
        <v>8303074430</v>
      </c>
      <c r="E1739" s="19">
        <f>E1738+E1732</f>
        <v>0</v>
      </c>
      <c r="F1739" s="19">
        <f>F1738+F1732</f>
        <v>0</v>
      </c>
      <c r="G1739" s="19">
        <f t="shared" si="78"/>
        <v>8303074430</v>
      </c>
      <c r="H1739" s="122"/>
    </row>
    <row r="1740" spans="1:8" ht="21.95" customHeight="1">
      <c r="A1740" s="14"/>
      <c r="B1740" s="14"/>
      <c r="C1740" s="16" t="s">
        <v>2091</v>
      </c>
      <c r="D1740" s="17">
        <f>VLOOKUP(A1720,'Neraca Unaudited SIMAK'!$A$2:$S$10004,19,FALSE)</f>
        <v>0</v>
      </c>
      <c r="E1740" s="25"/>
      <c r="F1740" s="25"/>
      <c r="G1740" s="17">
        <f t="shared" si="78"/>
        <v>0</v>
      </c>
      <c r="H1740" s="123"/>
    </row>
  </sheetData>
  <mergeCells count="474">
    <mergeCell ref="H1437:H1454"/>
    <mergeCell ref="H1459:H1476"/>
    <mergeCell ref="H1481:H1498"/>
    <mergeCell ref="H1723:H1740"/>
    <mergeCell ref="H1525:H1542"/>
    <mergeCell ref="H1547:H1564"/>
    <mergeCell ref="H1569:H1586"/>
    <mergeCell ref="H1591:H1608"/>
    <mergeCell ref="H1613:H1630"/>
    <mergeCell ref="H1635:H1652"/>
    <mergeCell ref="H1657:H1674"/>
    <mergeCell ref="H1679:H1696"/>
    <mergeCell ref="H1701:H1718"/>
    <mergeCell ref="H1217:H1234"/>
    <mergeCell ref="H1239:H1256"/>
    <mergeCell ref="H1261:H1278"/>
    <mergeCell ref="H1283:H1300"/>
    <mergeCell ref="H1305:H1322"/>
    <mergeCell ref="H1349:H1366"/>
    <mergeCell ref="H1371:H1388"/>
    <mergeCell ref="H1393:H1410"/>
    <mergeCell ref="H1415:H1432"/>
    <mergeCell ref="H953:H970"/>
    <mergeCell ref="H975:H992"/>
    <mergeCell ref="H997:H1014"/>
    <mergeCell ref="H1019:H1036"/>
    <mergeCell ref="H995:H996"/>
    <mergeCell ref="H1129:H1146"/>
    <mergeCell ref="H1151:H1168"/>
    <mergeCell ref="H1173:H1190"/>
    <mergeCell ref="H1195:H1212"/>
    <mergeCell ref="H733:H750"/>
    <mergeCell ref="H755:H772"/>
    <mergeCell ref="H777:H794"/>
    <mergeCell ref="H799:H816"/>
    <mergeCell ref="H843:H860"/>
    <mergeCell ref="H865:H882"/>
    <mergeCell ref="H887:H904"/>
    <mergeCell ref="H909:H926"/>
    <mergeCell ref="H931:H948"/>
    <mergeCell ref="H381:H398"/>
    <mergeCell ref="H403:H420"/>
    <mergeCell ref="H425:H442"/>
    <mergeCell ref="H447:H464"/>
    <mergeCell ref="H469:H486"/>
    <mergeCell ref="H491:H508"/>
    <mergeCell ref="H513:H530"/>
    <mergeCell ref="H535:H552"/>
    <mergeCell ref="H557:H574"/>
    <mergeCell ref="H489:H490"/>
    <mergeCell ref="H445:H446"/>
    <mergeCell ref="H467:H468"/>
    <mergeCell ref="H401:H402"/>
    <mergeCell ref="H139:H156"/>
    <mergeCell ref="H161:H178"/>
    <mergeCell ref="H183:H200"/>
    <mergeCell ref="H205:H222"/>
    <mergeCell ref="H227:H244"/>
    <mergeCell ref="H249:H266"/>
    <mergeCell ref="H271:H288"/>
    <mergeCell ref="H293:H310"/>
    <mergeCell ref="H315:H332"/>
    <mergeCell ref="H247:H248"/>
    <mergeCell ref="H203:H204"/>
    <mergeCell ref="H225:H226"/>
    <mergeCell ref="C1721:C1722"/>
    <mergeCell ref="D1721:D1722"/>
    <mergeCell ref="E1721:F1721"/>
    <mergeCell ref="G1721:G1722"/>
    <mergeCell ref="H1721:H1722"/>
    <mergeCell ref="C1677:C1678"/>
    <mergeCell ref="D1677:D1678"/>
    <mergeCell ref="E1677:F1677"/>
    <mergeCell ref="G1677:G1678"/>
    <mergeCell ref="H1677:H1678"/>
    <mergeCell ref="C1699:C1700"/>
    <mergeCell ref="D1699:D1700"/>
    <mergeCell ref="E1699:F1699"/>
    <mergeCell ref="G1699:G1700"/>
    <mergeCell ref="H1699:H1700"/>
    <mergeCell ref="C1633:C1634"/>
    <mergeCell ref="D1633:D1634"/>
    <mergeCell ref="E1633:F1633"/>
    <mergeCell ref="G1633:G1634"/>
    <mergeCell ref="H1633:H1634"/>
    <mergeCell ref="C1655:C1656"/>
    <mergeCell ref="D1655:D1656"/>
    <mergeCell ref="E1655:F1655"/>
    <mergeCell ref="G1655:G1656"/>
    <mergeCell ref="H1655:H1656"/>
    <mergeCell ref="C1589:C1590"/>
    <mergeCell ref="D1589:D1590"/>
    <mergeCell ref="E1589:F1589"/>
    <mergeCell ref="G1589:G1590"/>
    <mergeCell ref="H1589:H1590"/>
    <mergeCell ref="C1611:C1612"/>
    <mergeCell ref="D1611:D1612"/>
    <mergeCell ref="E1611:F1611"/>
    <mergeCell ref="G1611:G1612"/>
    <mergeCell ref="H1611:H1612"/>
    <mergeCell ref="C1545:C1546"/>
    <mergeCell ref="D1545:D1546"/>
    <mergeCell ref="E1545:F1545"/>
    <mergeCell ref="G1545:G1546"/>
    <mergeCell ref="H1545:H1546"/>
    <mergeCell ref="C1567:C1568"/>
    <mergeCell ref="D1567:D1568"/>
    <mergeCell ref="E1567:F1567"/>
    <mergeCell ref="G1567:G1568"/>
    <mergeCell ref="H1567:H1568"/>
    <mergeCell ref="C1501:C1502"/>
    <mergeCell ref="D1501:D1502"/>
    <mergeCell ref="E1501:F1501"/>
    <mergeCell ref="G1501:G1502"/>
    <mergeCell ref="H1501:H1502"/>
    <mergeCell ref="C1523:C1524"/>
    <mergeCell ref="D1523:D1524"/>
    <mergeCell ref="E1523:F1523"/>
    <mergeCell ref="G1523:G1524"/>
    <mergeCell ref="H1523:H1524"/>
    <mergeCell ref="H1503:H1520"/>
    <mergeCell ref="C1457:C1458"/>
    <mergeCell ref="D1457:D1458"/>
    <mergeCell ref="E1457:F1457"/>
    <mergeCell ref="G1457:G1458"/>
    <mergeCell ref="H1457:H1458"/>
    <mergeCell ref="C1479:C1480"/>
    <mergeCell ref="D1479:D1480"/>
    <mergeCell ref="E1479:F1479"/>
    <mergeCell ref="G1479:G1480"/>
    <mergeCell ref="H1479:H1480"/>
    <mergeCell ref="C1413:C1414"/>
    <mergeCell ref="D1413:D1414"/>
    <mergeCell ref="E1413:F1413"/>
    <mergeCell ref="G1413:G1414"/>
    <mergeCell ref="H1413:H1414"/>
    <mergeCell ref="C1435:C1436"/>
    <mergeCell ref="D1435:D1436"/>
    <mergeCell ref="E1435:F1435"/>
    <mergeCell ref="G1435:G1436"/>
    <mergeCell ref="H1435:H1436"/>
    <mergeCell ref="C1369:C1370"/>
    <mergeCell ref="D1369:D1370"/>
    <mergeCell ref="E1369:F1369"/>
    <mergeCell ref="G1369:G1370"/>
    <mergeCell ref="H1369:H1370"/>
    <mergeCell ref="C1391:C1392"/>
    <mergeCell ref="D1391:D1392"/>
    <mergeCell ref="E1391:F1391"/>
    <mergeCell ref="G1391:G1392"/>
    <mergeCell ref="H1391:H1392"/>
    <mergeCell ref="C1325:C1326"/>
    <mergeCell ref="D1325:D1326"/>
    <mergeCell ref="E1325:F1325"/>
    <mergeCell ref="G1325:G1326"/>
    <mergeCell ref="H1325:H1326"/>
    <mergeCell ref="C1347:C1348"/>
    <mergeCell ref="D1347:D1348"/>
    <mergeCell ref="E1347:F1347"/>
    <mergeCell ref="G1347:G1348"/>
    <mergeCell ref="H1347:H1348"/>
    <mergeCell ref="H1327:H1344"/>
    <mergeCell ref="C1281:C1282"/>
    <mergeCell ref="D1281:D1282"/>
    <mergeCell ref="E1281:F1281"/>
    <mergeCell ref="G1281:G1282"/>
    <mergeCell ref="H1281:H1282"/>
    <mergeCell ref="C1303:C1304"/>
    <mergeCell ref="D1303:D1304"/>
    <mergeCell ref="E1303:F1303"/>
    <mergeCell ref="G1303:G1304"/>
    <mergeCell ref="H1303:H1304"/>
    <mergeCell ref="C1237:C1238"/>
    <mergeCell ref="D1237:D1238"/>
    <mergeCell ref="E1237:F1237"/>
    <mergeCell ref="G1237:G1238"/>
    <mergeCell ref="H1237:H1238"/>
    <mergeCell ref="C1259:C1260"/>
    <mergeCell ref="D1259:D1260"/>
    <mergeCell ref="E1259:F1259"/>
    <mergeCell ref="G1259:G1260"/>
    <mergeCell ref="H1259:H1260"/>
    <mergeCell ref="C1193:C1194"/>
    <mergeCell ref="D1193:D1194"/>
    <mergeCell ref="E1193:F1193"/>
    <mergeCell ref="G1193:G1194"/>
    <mergeCell ref="H1193:H1194"/>
    <mergeCell ref="C1215:C1216"/>
    <mergeCell ref="D1215:D1216"/>
    <mergeCell ref="E1215:F1215"/>
    <mergeCell ref="G1215:G1216"/>
    <mergeCell ref="H1215:H1216"/>
    <mergeCell ref="C1149:C1150"/>
    <mergeCell ref="D1149:D1150"/>
    <mergeCell ref="E1149:F1149"/>
    <mergeCell ref="G1149:G1150"/>
    <mergeCell ref="H1149:H1150"/>
    <mergeCell ref="C1171:C1172"/>
    <mergeCell ref="D1171:D1172"/>
    <mergeCell ref="E1171:F1171"/>
    <mergeCell ref="G1171:G1172"/>
    <mergeCell ref="H1171:H1172"/>
    <mergeCell ref="C973:C974"/>
    <mergeCell ref="D973:D974"/>
    <mergeCell ref="E973:F973"/>
    <mergeCell ref="G973:G974"/>
    <mergeCell ref="H973:H974"/>
    <mergeCell ref="C995:C996"/>
    <mergeCell ref="D995:D996"/>
    <mergeCell ref="E995:F995"/>
    <mergeCell ref="G995:G996"/>
    <mergeCell ref="C1061:C1062"/>
    <mergeCell ref="D1061:D1062"/>
    <mergeCell ref="E1061:F1061"/>
    <mergeCell ref="G1061:G1062"/>
    <mergeCell ref="H1061:H1062"/>
    <mergeCell ref="C1039:C1040"/>
    <mergeCell ref="D1039:D1040"/>
    <mergeCell ref="E1039:F1039"/>
    <mergeCell ref="G1039:G1040"/>
    <mergeCell ref="H1039:H1040"/>
    <mergeCell ref="G951:G952"/>
    <mergeCell ref="H951:H952"/>
    <mergeCell ref="C951:C952"/>
    <mergeCell ref="D951:D952"/>
    <mergeCell ref="E951:F951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C929:C930"/>
    <mergeCell ref="D929:D930"/>
    <mergeCell ref="E929:F929"/>
    <mergeCell ref="G929:G930"/>
    <mergeCell ref="H929:H930"/>
    <mergeCell ref="C753:C754"/>
    <mergeCell ref="D753:D754"/>
    <mergeCell ref="E753:F753"/>
    <mergeCell ref="G753:G754"/>
    <mergeCell ref="H753:H754"/>
    <mergeCell ref="C819:C820"/>
    <mergeCell ref="D819:D820"/>
    <mergeCell ref="E819:F819"/>
    <mergeCell ref="G819:G820"/>
    <mergeCell ref="H819:H820"/>
    <mergeCell ref="C775:C776"/>
    <mergeCell ref="D775:D776"/>
    <mergeCell ref="E775:F775"/>
    <mergeCell ref="G775:G776"/>
    <mergeCell ref="H775:H776"/>
    <mergeCell ref="C797:C798"/>
    <mergeCell ref="D797:D798"/>
    <mergeCell ref="E797:F797"/>
    <mergeCell ref="G797:G798"/>
    <mergeCell ref="H797:H798"/>
    <mergeCell ref="C533:C534"/>
    <mergeCell ref="D533:D534"/>
    <mergeCell ref="E533:F533"/>
    <mergeCell ref="G533:G534"/>
    <mergeCell ref="H533:H534"/>
    <mergeCell ref="C731:C732"/>
    <mergeCell ref="D731:D732"/>
    <mergeCell ref="E731:F731"/>
    <mergeCell ref="G731:G732"/>
    <mergeCell ref="H731:H732"/>
    <mergeCell ref="H623:H640"/>
    <mergeCell ref="H645:H662"/>
    <mergeCell ref="H667:H684"/>
    <mergeCell ref="H689:H706"/>
    <mergeCell ref="H711:H728"/>
    <mergeCell ref="C709:C710"/>
    <mergeCell ref="D709:D710"/>
    <mergeCell ref="E709:F709"/>
    <mergeCell ref="G709:G710"/>
    <mergeCell ref="H709:H710"/>
    <mergeCell ref="C643:C644"/>
    <mergeCell ref="D643:D644"/>
    <mergeCell ref="E643:F643"/>
    <mergeCell ref="G643:G644"/>
    <mergeCell ref="D423:D424"/>
    <mergeCell ref="E423:F423"/>
    <mergeCell ref="G423:G424"/>
    <mergeCell ref="H423:H424"/>
    <mergeCell ref="C511:C512"/>
    <mergeCell ref="D511:D512"/>
    <mergeCell ref="E511:F511"/>
    <mergeCell ref="G511:G512"/>
    <mergeCell ref="H511:H512"/>
    <mergeCell ref="C489:C490"/>
    <mergeCell ref="D489:D490"/>
    <mergeCell ref="E489:F489"/>
    <mergeCell ref="G489:G490"/>
    <mergeCell ref="C269:C270"/>
    <mergeCell ref="D269:D270"/>
    <mergeCell ref="E269:F269"/>
    <mergeCell ref="G269:G270"/>
    <mergeCell ref="H269:H270"/>
    <mergeCell ref="C335:C336"/>
    <mergeCell ref="D335:D336"/>
    <mergeCell ref="E335:F335"/>
    <mergeCell ref="G335:G336"/>
    <mergeCell ref="H335:H336"/>
    <mergeCell ref="C291:C292"/>
    <mergeCell ref="D291:D292"/>
    <mergeCell ref="E291:F291"/>
    <mergeCell ref="G291:G292"/>
    <mergeCell ref="H291:H292"/>
    <mergeCell ref="D159:D160"/>
    <mergeCell ref="E159:F159"/>
    <mergeCell ref="G159:G160"/>
    <mergeCell ref="H159:H160"/>
    <mergeCell ref="C181:C182"/>
    <mergeCell ref="D181:D182"/>
    <mergeCell ref="E181:F181"/>
    <mergeCell ref="G181:G182"/>
    <mergeCell ref="H181:H182"/>
    <mergeCell ref="C27:C28"/>
    <mergeCell ref="D27:D28"/>
    <mergeCell ref="E27:F27"/>
    <mergeCell ref="G27:G28"/>
    <mergeCell ref="H27:H28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93:C94"/>
    <mergeCell ref="D93:D94"/>
    <mergeCell ref="C467:C468"/>
    <mergeCell ref="D467:D468"/>
    <mergeCell ref="E467:F467"/>
    <mergeCell ref="C159:C160"/>
    <mergeCell ref="G467:G468"/>
    <mergeCell ref="C445:C446"/>
    <mergeCell ref="D445:D446"/>
    <mergeCell ref="E445:F445"/>
    <mergeCell ref="G445:G446"/>
    <mergeCell ref="H313:H314"/>
    <mergeCell ref="H357:H358"/>
    <mergeCell ref="H337:H354"/>
    <mergeCell ref="H359:H376"/>
    <mergeCell ref="H379:H380"/>
    <mergeCell ref="C225:C226"/>
    <mergeCell ref="D225:D226"/>
    <mergeCell ref="E225:F225"/>
    <mergeCell ref="C1017:C1018"/>
    <mergeCell ref="D1017:D1018"/>
    <mergeCell ref="E1017:F1017"/>
    <mergeCell ref="G1017:G1018"/>
    <mergeCell ref="H1017:H1018"/>
    <mergeCell ref="C1127:C1128"/>
    <mergeCell ref="D1127:D1128"/>
    <mergeCell ref="E1127:F1127"/>
    <mergeCell ref="G1127:G1128"/>
    <mergeCell ref="H1127:H1128"/>
    <mergeCell ref="C1105:C1106"/>
    <mergeCell ref="D1105:D1106"/>
    <mergeCell ref="E1105:F1105"/>
    <mergeCell ref="G1105:G1106"/>
    <mergeCell ref="H1105:H1106"/>
    <mergeCell ref="C1083:C1084"/>
    <mergeCell ref="D1083:D1084"/>
    <mergeCell ref="E1083:F1083"/>
    <mergeCell ref="G1083:G1084"/>
    <mergeCell ref="H1083:H1084"/>
    <mergeCell ref="H1041:H1058"/>
    <mergeCell ref="H1063:H1080"/>
    <mergeCell ref="H1085:H1102"/>
    <mergeCell ref="H1107:H1124"/>
    <mergeCell ref="C841:C842"/>
    <mergeCell ref="D841:D842"/>
    <mergeCell ref="E841:F841"/>
    <mergeCell ref="G841:G842"/>
    <mergeCell ref="H841:H842"/>
    <mergeCell ref="H821:H838"/>
    <mergeCell ref="C863:C864"/>
    <mergeCell ref="D863:D864"/>
    <mergeCell ref="E863:F863"/>
    <mergeCell ref="G863:G864"/>
    <mergeCell ref="H863:H864"/>
    <mergeCell ref="H643:H644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G357:G358"/>
    <mergeCell ref="C621:C622"/>
    <mergeCell ref="D621:D622"/>
    <mergeCell ref="E621:F621"/>
    <mergeCell ref="G621:G622"/>
    <mergeCell ref="H621:H622"/>
    <mergeCell ref="C555:C556"/>
    <mergeCell ref="D555:D556"/>
    <mergeCell ref="E555:F555"/>
    <mergeCell ref="G555:G556"/>
    <mergeCell ref="H555:H556"/>
    <mergeCell ref="C599:C600"/>
    <mergeCell ref="D599:D600"/>
    <mergeCell ref="E599:F599"/>
    <mergeCell ref="G599:G600"/>
    <mergeCell ref="H599:H600"/>
    <mergeCell ref="H579:H596"/>
    <mergeCell ref="H601:H618"/>
    <mergeCell ref="C577:C578"/>
    <mergeCell ref="D577:D578"/>
    <mergeCell ref="E577:F577"/>
    <mergeCell ref="G577:G578"/>
    <mergeCell ref="H577:H578"/>
    <mergeCell ref="C423:C424"/>
    <mergeCell ref="C401:C402"/>
    <mergeCell ref="D401:D402"/>
    <mergeCell ref="E401:F401"/>
    <mergeCell ref="G401:G402"/>
    <mergeCell ref="G225:G226"/>
    <mergeCell ref="C203:C204"/>
    <mergeCell ref="D203:D204"/>
    <mergeCell ref="E203:F203"/>
    <mergeCell ref="G203:G204"/>
    <mergeCell ref="C247:C248"/>
    <mergeCell ref="D247:D248"/>
    <mergeCell ref="E247:F247"/>
    <mergeCell ref="G247:G248"/>
    <mergeCell ref="C379:C380"/>
    <mergeCell ref="D379:D380"/>
    <mergeCell ref="E379:F379"/>
    <mergeCell ref="G379:G380"/>
    <mergeCell ref="C313:C314"/>
    <mergeCell ref="D313:D314"/>
    <mergeCell ref="E313:F313"/>
    <mergeCell ref="G313:G314"/>
    <mergeCell ref="C357:C358"/>
    <mergeCell ref="D357:D358"/>
    <mergeCell ref="E357:F357"/>
    <mergeCell ref="H5:H6"/>
    <mergeCell ref="C137:C138"/>
    <mergeCell ref="D137:D138"/>
    <mergeCell ref="E137:F137"/>
    <mergeCell ref="G137:G138"/>
    <mergeCell ref="C115:C116"/>
    <mergeCell ref="D115:D116"/>
    <mergeCell ref="E115:F115"/>
    <mergeCell ref="G115:G116"/>
    <mergeCell ref="C5:C6"/>
    <mergeCell ref="D5:D6"/>
    <mergeCell ref="E5:F5"/>
    <mergeCell ref="G5:G6"/>
    <mergeCell ref="H115:H116"/>
    <mergeCell ref="H137:H138"/>
    <mergeCell ref="E93:F93"/>
    <mergeCell ref="G93:G94"/>
    <mergeCell ref="H93:H94"/>
    <mergeCell ref="H7:H24"/>
    <mergeCell ref="H29:H46"/>
    <mergeCell ref="H51:H68"/>
    <mergeCell ref="H73:H90"/>
    <mergeCell ref="H95:H112"/>
    <mergeCell ref="H117:H13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38" manualBreakCount="38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  <brk id="927" max="7" man="1"/>
    <brk id="971" max="7" man="1"/>
    <brk id="1015" max="7" man="1"/>
    <brk id="1059" max="7" man="1"/>
    <brk id="1103" max="7" man="1"/>
    <brk id="1147" max="7" man="1"/>
    <brk id="1191" max="7" man="1"/>
    <brk id="1235" max="7" man="1"/>
    <brk id="1279" max="7" man="1"/>
    <brk id="1323" max="7" man="1"/>
    <brk id="1367" max="7" man="1"/>
    <brk id="1411" max="7" man="1"/>
    <brk id="1455" max="7" man="1"/>
    <brk id="1499" max="7" man="1"/>
    <brk id="1543" max="7" man="1"/>
    <brk id="1587" max="7" man="1"/>
    <brk id="1631" max="7" man="1"/>
    <brk id="1675" max="7" man="1"/>
    <brk id="1719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P926"/>
  <sheetViews>
    <sheetView view="pageBreakPreview" topLeftCell="C50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4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244</v>
      </c>
      <c r="P1" s="8" t="s">
        <v>1382</v>
      </c>
    </row>
    <row r="2" spans="1:16" ht="19.5" customHeight="1">
      <c r="C2" s="9" t="s">
        <v>2102</v>
      </c>
      <c r="O2" s="8" t="s">
        <v>245</v>
      </c>
      <c r="P2" s="8" t="s">
        <v>1383</v>
      </c>
    </row>
    <row r="3" spans="1:16" ht="19.5" customHeight="1">
      <c r="O3" s="8" t="s">
        <v>246</v>
      </c>
      <c r="P3" s="8" t="s">
        <v>1384</v>
      </c>
    </row>
    <row r="4" spans="1:16" ht="19.5" customHeight="1">
      <c r="A4" s="11" t="str">
        <f>O1</f>
        <v>005010600098434000KD</v>
      </c>
      <c r="B4" s="11" t="str">
        <f>P1</f>
        <v>PT. Banda Aceh</v>
      </c>
      <c r="C4" s="12" t="str">
        <f>A4&amp;" "&amp;B4</f>
        <v>005010600098434000KD PT. Banda Aceh</v>
      </c>
      <c r="D4" s="13"/>
      <c r="E4" s="13"/>
      <c r="F4" s="13"/>
      <c r="G4" s="13"/>
      <c r="H4" s="11"/>
      <c r="O4" s="8" t="s">
        <v>247</v>
      </c>
      <c r="P4" s="8" t="s">
        <v>1385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248</v>
      </c>
      <c r="P5" s="8" t="s">
        <v>1386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249</v>
      </c>
      <c r="P6" s="8" t="s">
        <v>1387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4236000</v>
      </c>
      <c r="E7" s="25">
        <f>SUMIFS('Daftar Koreksi'!$H$5:$H$92,'Daftar Koreksi'!$D$5:$D$92,'0600'!A4,'Daftar Koreksi'!$G$5:$G$92,"Persediaan",'Daftar Koreksi'!$H$5:$H$92,"&gt;0")</f>
        <v>0</v>
      </c>
      <c r="F7" s="25">
        <f>SUMIFS('Daftar Koreksi'!$H$5:$H$92,'Daftar Koreksi'!$D$5:$D$92,'0600'!A4,'Daftar Koreksi'!$G$5:$G$92,"Persediaan",'Daftar Koreksi'!$H$5:$H$92,"&lt;0")-SUMIFS('Daftar Koreksi'!$H$5:$H$92,'Daftar Koreksi'!$D$5:$D$92,'0600'!A4,'Daftar Koreksi'!$G$5:$G$92,"Persediaan",'Daftar Koreksi'!$H$5:$H$92,"&lt;0")-SUMIFS('Daftar Koreksi'!$H$5:$H$92,'Daftar Koreksi'!$D$5:$D$92,'0600'!A4,'Daftar Koreksi'!$G$5:$G$92,"Persediaan",'Daftar Koreksi'!$H$5:$H$92,"&lt;0")</f>
        <v>0</v>
      </c>
      <c r="G7" s="17">
        <f>D7+E7-F7</f>
        <v>4236000</v>
      </c>
      <c r="H7" s="121" t="str">
        <f>IF(ISNA(VLOOKUP(A4,'Mutasi Neraca'!$A$3:$S$914,19,FALSE)),"-",VLOOKUP(A4,'Mutasi Neraca'!$A$3:$S$914,19,FALSE))</f>
        <v>-</v>
      </c>
      <c r="O7" s="8" t="s">
        <v>250</v>
      </c>
      <c r="P7" s="8" t="s">
        <v>1388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13386112000</v>
      </c>
      <c r="E8" s="25">
        <f>SUMIFS('Daftar Koreksi'!$H$5:$H$92,'Daftar Koreksi'!$D$5:$D$92,'0600'!A4,'Daftar Koreksi'!$G$5:$G$92,"Tanah",'Daftar Koreksi'!$H$5:$H$92,"&gt;0")</f>
        <v>0</v>
      </c>
      <c r="F8" s="25">
        <f>SUMIFS('Daftar Koreksi'!$H$5:$H$92,'Daftar Koreksi'!$D$5:$D$92,'0600'!A4,'Daftar Koreksi'!$G$5:$G$92,"Tanah",'Daftar Koreksi'!$H$5:$H$92,"&lt;0")-SUMIFS('Daftar Koreksi'!$H$5:$H$92,'Daftar Koreksi'!$D$5:$D$92,'0600'!A4,'Daftar Koreksi'!$G$5:$G$92,"Tanah",'Daftar Koreksi'!$H$5:$H$92,"&lt;0")-SUMIFS('Daftar Koreksi'!$H$5:$H$92,'Daftar Koreksi'!$D$5:$D$92,'0600'!A4,'Daftar Koreksi'!$G$5:$G$92,"Tanah",'Daftar Koreksi'!$H$5:$H$92,"&lt;0")</f>
        <v>0</v>
      </c>
      <c r="G8" s="17">
        <f t="shared" ref="G8:G24" si="0">D8+E8-F8</f>
        <v>13386112000</v>
      </c>
      <c r="H8" s="122"/>
      <c r="O8" s="8" t="s">
        <v>251</v>
      </c>
      <c r="P8" s="8" t="s">
        <v>1389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5565013247</v>
      </c>
      <c r="E9" s="25">
        <f>SUMIFS('Daftar Koreksi'!$H$5:$H$92,'Daftar Koreksi'!$D$5:$D$92,'0600'!A4,'Daftar Koreksi'!$G$5:$G$92,"Peralatan dan mesin",'Daftar Koreksi'!$H$5:$H$92,"&gt;0")</f>
        <v>0</v>
      </c>
      <c r="F9" s="25">
        <f>SUMIFS('Daftar Koreksi'!$H$5:$H$92,'Daftar Koreksi'!$D$5:$D$92,'0600'!A4,'Daftar Koreksi'!$G$5:$G$92,"Peralatan dan mesin",'Daftar Koreksi'!$H$5:$H$92,"&lt;0")-SUMIFS('Daftar Koreksi'!$H$5:$H$92,'Daftar Koreksi'!$D$5:$D$92,'0600'!A4,'Daftar Koreksi'!$G$5:$G$92,"Peralatan dan mesin",'Daftar Koreksi'!$H$5:$H$92,"&lt;0")-SUMIFS('Daftar Koreksi'!$H$5:$H$92,'Daftar Koreksi'!$D$5:$D$92,'0600'!A4,'Daftar Koreksi'!$G$5:$G$92,"Peralatan dan mesin",'Daftar Koreksi'!$H$5:$H$92,"&lt;0")</f>
        <v>0</v>
      </c>
      <c r="G9" s="17">
        <f t="shared" si="0"/>
        <v>5565013247</v>
      </c>
      <c r="H9" s="122"/>
      <c r="O9" s="8" t="s">
        <v>252</v>
      </c>
      <c r="P9" s="8" t="s">
        <v>1390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31731513818</v>
      </c>
      <c r="E10" s="25">
        <f>SUMIFS('Daftar Koreksi'!$H$5:$H$92,'Daftar Koreksi'!$D$5:$D$92,'0600'!A4,'Daftar Koreksi'!$G$5:$G$92,"Gedung dan Bangunan",'Daftar Koreksi'!$H$5:$H$92,"&gt;0")</f>
        <v>0</v>
      </c>
      <c r="F10" s="25">
        <f>SUMIFS('Daftar Koreksi'!$H$5:$H$92,'Daftar Koreksi'!$D$5:$D$92,'0600'!A4,'Daftar Koreksi'!$G$5:$G$92,"Gedung dan Bangunan",'Daftar Koreksi'!$H$5:$H$92,"&lt;0")-SUMIFS('Daftar Koreksi'!$H$5:$H$92,'Daftar Koreksi'!$D$5:$D$92,'0600'!A4,'Daftar Koreksi'!$G$5:$G$92,"Gedung dan Bangunan",'Daftar Koreksi'!$H$5:$H$92,"&lt;0")-SUMIFS('Daftar Koreksi'!$H$5:$H$92,'Daftar Koreksi'!$D$5:$D$92,'0600'!A4,'Daftar Koreksi'!$G$5:$G$92,"Gedung dan Bangunan",'Daftar Koreksi'!$H$5:$H$92,"&lt;0")</f>
        <v>0</v>
      </c>
      <c r="G10" s="17">
        <f t="shared" si="0"/>
        <v>31731513818</v>
      </c>
      <c r="H10" s="122"/>
      <c r="O10" s="8" t="s">
        <v>253</v>
      </c>
      <c r="P10" s="8" t="s">
        <v>1391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Koreksi'!$D$5:$D$92,'0600'!A4,'Daftar Koreksi'!$G$5:$G$92,"Jalan Irigasi Jaringan",'Daftar Koreksi'!$H$5:$H$92,"&gt;0")</f>
        <v>0</v>
      </c>
      <c r="F11" s="25">
        <f>SUMIFS('Daftar Koreksi'!$H$5:$H$92,'Daftar Koreksi'!$D$5:$D$92,'0600'!A4,'Daftar Koreksi'!$G$5:$G$92,"Jalan Irigasi Jaringan",'Daftar Koreksi'!$H$5:$H$92,"&lt;0")-SUMIFS('Daftar Koreksi'!$H$5:$H$92,'Daftar Koreksi'!$D$5:$D$92,'0600'!A4,'Daftar Koreksi'!$G$5:$G$92,"Jalan Irigasi Jaringan",'Daftar Koreksi'!$H$5:$H$92,"&lt;0")-SUMIFS('Daftar Koreksi'!$H$5:$H$92,'Daftar Koreksi'!$D$5:$D$92,'0600'!A4,'Daftar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254</v>
      </c>
      <c r="P11" s="8" t="s">
        <v>1392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10375316</v>
      </c>
      <c r="E12" s="25">
        <f>SUMIFS('Daftar Koreksi'!$H$5:$H$92,'Daftar Koreksi'!$D$5:$D$92,'0600'!A4,'Daftar Koreksi'!$G$5:$G$92,"Aset Tetap Lainnya",'Daftar Koreksi'!$H$5:$H$92,"&gt;0")</f>
        <v>0</v>
      </c>
      <c r="F12" s="25">
        <f>SUMIFS('Daftar Koreksi'!$H$5:$H$92,'Daftar Koreksi'!$D$5:$D$92,'0600'!A4,'Daftar Koreksi'!$G$5:$G$92,"Aset Tetap Lainnya",'Daftar Koreksi'!$H$5:$H$92,"&lt;0")-SUMIFS('Daftar Koreksi'!$H$5:$H$92,'Daftar Koreksi'!$D$5:$D$92,'0600'!A4,'Daftar Koreksi'!$G$5:$G$92,"Aset Tetap Lainnya",'Daftar Koreksi'!$H$5:$H$92,"&lt;0")-SUMIFS('Daftar Koreksi'!$H$5:$H$92,'Daftar Koreksi'!$D$5:$D$92,'0600'!A4,'Daftar Koreksi'!$G$5:$G$92,"Aset Tetap Lainnya",'Daftar Koreksi'!$H$5:$H$92,"&lt;0")</f>
        <v>0</v>
      </c>
      <c r="G12" s="17">
        <f t="shared" si="0"/>
        <v>10375316</v>
      </c>
      <c r="H12" s="122"/>
      <c r="O12" s="8" t="s">
        <v>255</v>
      </c>
      <c r="P12" s="8" t="s">
        <v>1393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Koreksi'!$D$5:$D$92,'0600'!A4,'Daftar Koreksi'!$G$5:$G$92,"Kontruksi Dalam Pengerjaan",'Daftar Koreksi'!$H$5:$H$92,"&gt;0")</f>
        <v>0</v>
      </c>
      <c r="F13" s="25">
        <f>SUMIFS('Daftar Koreksi'!$H$5:$H$92,'Daftar Koreksi'!$D$5:$D$92,'0600'!A4,'Daftar Koreksi'!$G$5:$G$92,"Kontruksi Dalam Pengerjaan",'Daftar Koreksi'!$H$5:$H$92,"&lt;0")-SUMIFS('Daftar Koreksi'!$H$5:$H$92,'Daftar Koreksi'!$D$5:$D$92,'0600'!A4,'Daftar Koreksi'!$G$5:$G$92,"Kontruksi Dalam Pengerjaan",'Daftar Koreksi'!$H$5:$H$92,"&lt;0")-SUMIFS('Daftar Koreksi'!$H$5:$H$92,'Daftar Koreksi'!$D$5:$D$92,'0600'!A4,'Daftar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256</v>
      </c>
      <c r="P13" s="8" t="s">
        <v>1394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Koreksi'!$D$5:$D$92,'0600'!A4,'Daftar Koreksi'!$G$5:$G$92,"Aset Tak Berwujud",'Daftar Koreksi'!$H$5:$H$92,"&gt;0")</f>
        <v>0</v>
      </c>
      <c r="F14" s="25">
        <f>SUMIFS('Daftar Koreksi'!$H$5:$H$92,'Daftar Koreksi'!$D$5:$D$92,'0600'!A4,'Daftar Koreksi'!$G$5:$G$92,"Aset Tak Berwujud",'Daftar Koreksi'!$H$5:$H$92,"&lt;0")-SUMIFS('Daftar Koreksi'!$H$5:$H$92,'Daftar Koreksi'!$D$5:$D$92,'0600'!A4,'Daftar Koreksi'!$G$5:$G$92,"Aset Tak Berwujud",'Daftar Koreksi'!$H$5:$H$92,"&lt;0")-SUMIFS('Daftar Koreksi'!$H$5:$H$92,'Daftar Koreksi'!$D$5:$D$92,'0600'!A4,'Daftar Koreksi'!$G$5:$G$92,"Aset Tak Berwujud",'Daftar Koreksi'!$H$5:$H$92,"&lt;0")</f>
        <v>0</v>
      </c>
      <c r="G14" s="17">
        <f t="shared" si="0"/>
        <v>0</v>
      </c>
      <c r="H14" s="122"/>
      <c r="O14" s="8" t="s">
        <v>257</v>
      </c>
      <c r="P14" s="8" t="s">
        <v>1395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533352200</v>
      </c>
      <c r="E15" s="25">
        <f>SUMIFS('Daftar Koreksi'!$H$5:$H$92,'Daftar Koreksi'!$D$5:$D$92,'0600'!A4,'Daftar Koreksi'!$G$5:$G$92,"Aset Henti Guna",'Daftar Koreksi'!$H$5:$H$92,"&gt;0")</f>
        <v>0</v>
      </c>
      <c r="F15" s="25">
        <f>SUMIFS('Daftar Koreksi'!$H$5:$H$92,'Daftar Koreksi'!$D$5:$D$92,'0600'!A4,'Daftar Koreksi'!$G$5:$G$92,"Aset Henti Guna",'Daftar Koreksi'!$H$5:$H$92,"&lt;0")-SUMIFS('Daftar Koreksi'!$H$5:$H$92,'Daftar Koreksi'!$D$5:$D$92,'0600'!A4,'Daftar Koreksi'!$G$5:$G$92,"Aset Henti Guna",'Daftar Koreksi'!$H$5:$H$92,"&lt;0")-SUMIFS('Daftar Koreksi'!$H$5:$H$92,'Daftar Koreksi'!$D$5:$D$92,'0600'!A4,'Daftar Koreksi'!$G$5:$G$92,"Aset Henti Guna",'Daftar Koreksi'!$H$5:$H$92,"&lt;0")</f>
        <v>0</v>
      </c>
      <c r="G15" s="17">
        <f t="shared" si="0"/>
        <v>533352200</v>
      </c>
      <c r="H15" s="122"/>
      <c r="O15" s="8" t="s">
        <v>258</v>
      </c>
      <c r="P15" s="8" t="s">
        <v>1396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51230602581</v>
      </c>
      <c r="E16" s="19">
        <f>SUM(E7:E15)</f>
        <v>0</v>
      </c>
      <c r="F16" s="19">
        <f>SUM(F7:F15)</f>
        <v>0</v>
      </c>
      <c r="G16" s="19">
        <f t="shared" si="0"/>
        <v>51230602581</v>
      </c>
      <c r="H16" s="122"/>
      <c r="O16" s="8" t="s">
        <v>259</v>
      </c>
      <c r="P16" s="8" t="s">
        <v>1397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-4187989885</v>
      </c>
      <c r="E17" s="25">
        <f>SUMIFS('Daftar Koreksi'!$I$5:$I$92,'Daftar Koreksi'!$D$5:$D$92,'0600'!A4,'Daftar Koreksi'!$G$5:$G$92,"Peralatan dan mesin",'Daftar Koreksi'!$I$5:$I$92,"&gt;0")</f>
        <v>0</v>
      </c>
      <c r="F17" s="25">
        <f>SUMIFS('Daftar Koreksi'!$I$5:$I$92,'Daftar Koreksi'!$D$5:$D$92,'0600'!A4,'Daftar Koreksi'!$G$5:$G$92,"Peralatan dan mesin",'Daftar Koreksi'!$I$5:$I$92,"&lt;0")-SUMIFS('Daftar Koreksi'!$I$5:$I$92,'Daftar Koreksi'!$D$5:$D$92,'0600'!A4,'Daftar Koreksi'!$G$5:$G$92,"Peralatan dan mesin",'Daftar Koreksi'!$I$5:$I$92,"&lt;0")-SUMIFS('Daftar Koreksi'!$I$5:$I$92,'Daftar Koreksi'!$D$5:$D$92,'0600'!A4,'Daftar Koreksi'!$G$5:$G$92,"Peralatan dan mesin",'Daftar Koreksi'!$I$5:$I$92,"&lt;0")</f>
        <v>0</v>
      </c>
      <c r="G17" s="17">
        <f t="shared" si="0"/>
        <v>-4187989885</v>
      </c>
      <c r="H17" s="122"/>
      <c r="O17" s="8" t="s">
        <v>260</v>
      </c>
      <c r="P17" s="8" t="s">
        <v>1398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-17534227467</v>
      </c>
      <c r="E18" s="25">
        <f>SUMIFS('Daftar Koreksi'!$I$5:$I$92,'Daftar Koreksi'!$D$5:$D$92,'0600'!A4,'Daftar Koreksi'!$G$5:$G$92,"Gedung dan Bangunan",'Daftar Koreksi'!$I$5:$I$92,"&gt;0")</f>
        <v>0</v>
      </c>
      <c r="F18" s="25">
        <f>SUMIFS('Daftar Koreksi'!$I$5:$I$92,'Daftar Koreksi'!$D$5:$D$92,'0600'!A4,'Daftar Koreksi'!$G$5:$G$92,"Gedung dan Bangunan",'Daftar Koreksi'!$I$5:$I$92,"&lt;0")-SUMIFS('Daftar Koreksi'!$I$5:$I$92,'Daftar Koreksi'!$D$5:$D$92,'0600'!A4,'Daftar Koreksi'!$G$5:$G$92,"Gedung dan Bangunan",'Daftar Koreksi'!$I$5:$I$92,"&lt;0")-SUMIFS('Daftar Koreksi'!$I$5:$I$92,'Daftar Koreksi'!$D$5:$D$92,'0600'!A4,'Daftar Koreksi'!$G$5:$G$92,"Gedung dan Bangunan",'Daftar Koreksi'!$I$5:$I$92,"&lt;0")</f>
        <v>0</v>
      </c>
      <c r="G18" s="17">
        <f t="shared" si="0"/>
        <v>-17534227467</v>
      </c>
      <c r="H18" s="122"/>
      <c r="O18" s="8" t="s">
        <v>261</v>
      </c>
      <c r="P18" s="8" t="s">
        <v>1399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Koreksi'!$D$5:$D$92,'0600'!A4,'Daftar Koreksi'!$G$5:$G$92,"Jalan Irigasi Jaringan",'Daftar Koreksi'!$I$5:$I$92,"&gt;0")</f>
        <v>0</v>
      </c>
      <c r="F19" s="25">
        <f>SUMIFS('Daftar Koreksi'!$I$5:$I$92,'Daftar Koreksi'!$D$5:$D$92,'0600'!A4,'Daftar Koreksi'!$G$5:$G$92,"Jalan Irigasi Jaringan",'Daftar Koreksi'!$I$5:$I$92,"&lt;0")-SUMIFS('Daftar Koreksi'!$I$5:$I$92,'Daftar Koreksi'!$D$5:$D$92,'0600'!A4,'Daftar Koreksi'!$G$5:$G$92,"Jalan Irigasi Jaringan",'Daftar Koreksi'!$I$5:$I$92,"&lt;0")-SUMIFS('Daftar Koreksi'!$I$5:$I$92,'Daftar Koreksi'!$D$5:$D$92,'0600'!A4,'Daftar Koreksi'!$G$5:$G$92,"Jalan Irigasi Jaringan",'Daftar Koreksi'!$I$5:$I$92,"&lt;0")</f>
        <v>0</v>
      </c>
      <c r="G19" s="17">
        <f t="shared" si="0"/>
        <v>0</v>
      </c>
      <c r="H19" s="122"/>
      <c r="O19" s="8" t="s">
        <v>262</v>
      </c>
      <c r="P19" s="8" t="s">
        <v>1400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Koreksi'!$D$5:$D$92,'0600'!A4,'Daftar Koreksi'!$G$5:$G$92,"Aset Tetap Lainnya",'Daftar Koreksi'!$I$5:$I$92,"&gt;0")</f>
        <v>0</v>
      </c>
      <c r="F20" s="25">
        <f>SUMIFS('Daftar Koreksi'!$I$5:$I$92,'Daftar Koreksi'!$D$5:$D$92,'0600'!A4,'Daftar Koreksi'!$G$5:$G$92,"Aset Tetap Lainnya",'Daftar Koreksi'!$I$5:$I$92,"&lt;0")-SUMIFS('Daftar Koreksi'!$I$5:$I$92,'Daftar Koreksi'!$D$5:$D$92,'0600'!A4,'Daftar Koreksi'!$G$5:$G$92,"Aset Tetap Lainnya",'Daftar Koreksi'!$I$5:$I$92,"&lt;0")-SUMIFS('Daftar Koreksi'!$I$5:$I$92,'Daftar Koreksi'!$D$5:$D$92,'0600'!A4,'Daftar Koreksi'!$G$5:$G$92,"Aset Tetap Lainnya",'Daftar Koreksi'!$I$5:$I$92,"&lt;0")</f>
        <v>0</v>
      </c>
      <c r="G20" s="17">
        <f t="shared" si="0"/>
        <v>0</v>
      </c>
      <c r="H20" s="122"/>
      <c r="O20" s="8" t="s">
        <v>263</v>
      </c>
      <c r="P20" s="8" t="s">
        <v>1401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-533352200</v>
      </c>
      <c r="E21" s="25">
        <f>SUMIFS('Daftar Koreksi'!$I$5:$I$92,'Daftar Koreksi'!$D$5:$D$92,'0600'!A4,'Daftar Koreksi'!$G$5:$G$92,"Aset Henti Guna",'Daftar Koreksi'!$I$5:$I$92,"&gt;0")</f>
        <v>0</v>
      </c>
      <c r="F21" s="25">
        <f>SUMIFS('Daftar Koreksi'!$I$5:$I$92,'Daftar Koreksi'!$D$5:$D$92,'0600'!A4,'Daftar Koreksi'!$G$5:$G$92,"Aset Henti Guna",'Daftar Koreksi'!$I$5:$I$92,"&lt;0")-SUMIFS('Daftar Koreksi'!$I$5:$I$92,'Daftar Koreksi'!$D$5:$D$92,'0600'!A4,'Daftar Koreksi'!$G$5:$G$92,"Aset Henti Guna",'Daftar Koreksi'!$I$5:$I$92,"&lt;0")-SUMIFS('Daftar Koreksi'!$I$5:$I$92,'Daftar Koreksi'!$D$5:$D$92,'0600'!A4,'Daftar Koreksi'!$G$5:$G$92,"Aset Henti Guna",'Daftar Koreksi'!$I$5:$I$92,"&lt;0")</f>
        <v>0</v>
      </c>
      <c r="G21" s="17">
        <f t="shared" si="0"/>
        <v>-533352200</v>
      </c>
      <c r="H21" s="122"/>
      <c r="O21" s="8" t="s">
        <v>264</v>
      </c>
      <c r="P21" s="8" t="s">
        <v>1402</v>
      </c>
    </row>
    <row r="22" spans="1:16" ht="21.95" customHeight="1">
      <c r="A22" s="14"/>
      <c r="B22" s="14"/>
      <c r="C22" s="18" t="s">
        <v>2094</v>
      </c>
      <c r="D22" s="19">
        <f>SUM(D17:D21)</f>
        <v>-22255569552</v>
      </c>
      <c r="E22" s="19">
        <f>SUM(E17:E21)</f>
        <v>0</v>
      </c>
      <c r="F22" s="19">
        <f>SUM(F17:F21)</f>
        <v>0</v>
      </c>
      <c r="G22" s="19">
        <f t="shared" si="0"/>
        <v>-22255569552</v>
      </c>
      <c r="H22" s="122"/>
      <c r="O22" s="8" t="s">
        <v>265</v>
      </c>
      <c r="P22" s="8" t="s">
        <v>1403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28975033029</v>
      </c>
      <c r="E23" s="19">
        <f>E22+E16</f>
        <v>0</v>
      </c>
      <c r="F23" s="19">
        <f>F22+F16</f>
        <v>0</v>
      </c>
      <c r="G23" s="19">
        <f t="shared" si="0"/>
        <v>28975033029</v>
      </c>
      <c r="H23" s="122"/>
      <c r="O23" s="8" t="s">
        <v>266</v>
      </c>
      <c r="P23" s="8" t="s">
        <v>1404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267</v>
      </c>
      <c r="P24" s="8" t="s">
        <v>1405</v>
      </c>
    </row>
    <row r="25" spans="1:16" ht="19.5" customHeight="1">
      <c r="O25" s="8" t="s">
        <v>268</v>
      </c>
      <c r="P25" s="8" t="s">
        <v>1406</v>
      </c>
    </row>
    <row r="26" spans="1:16" ht="19.5" customHeight="1">
      <c r="A26" s="11" t="str">
        <f>O2</f>
        <v>005010600098441000KD</v>
      </c>
      <c r="B26" s="11" t="str">
        <f>P2</f>
        <v>PN. Banda Aceh</v>
      </c>
      <c r="C26" s="12" t="str">
        <f>A26&amp;" "&amp;B26</f>
        <v>005010600098441000KD PN. Banda Aceh</v>
      </c>
      <c r="D26" s="13"/>
      <c r="E26" s="13"/>
      <c r="F26" s="13"/>
      <c r="G26" s="13"/>
      <c r="H26" s="11"/>
      <c r="O26" s="8" t="s">
        <v>269</v>
      </c>
      <c r="P26" s="8" t="s">
        <v>1407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270</v>
      </c>
      <c r="P27" s="8" t="s">
        <v>1408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271</v>
      </c>
      <c r="P28" s="8" t="s">
        <v>1409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Koreksi'!$D$5:$D$92,'0600'!A26,'Daftar Koreksi'!$G$5:$G$92,"Persediaan",'Daftar Koreksi'!$H$5:$H$92,"&gt;0")</f>
        <v>0</v>
      </c>
      <c r="F29" s="25">
        <f>SUMIFS('Daftar Koreksi'!$H$5:$H$92,'Daftar Koreksi'!$D$5:$D$92,'0600'!A26,'Daftar Koreksi'!$G$5:$G$92,"Persediaan",'Daftar Koreksi'!$H$5:$H$92,"&lt;0")-SUMIFS('Daftar Koreksi'!$H$5:$H$92,'Daftar Koreksi'!$D$5:$D$92,'0600'!A26,'Daftar Koreksi'!$G$5:$G$92,"Persediaan",'Daftar Koreksi'!$H$5:$H$92,"&lt;0")-SUMIFS('Daftar Koreksi'!$H$5:$H$92,'Daftar Koreksi'!$D$5:$D$92,'0600'!A26,'Daftar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  <c r="O29" s="8" t="s">
        <v>272</v>
      </c>
      <c r="P29" s="8" t="s">
        <v>1410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12385684000</v>
      </c>
      <c r="E30" s="25">
        <f>SUMIFS('Daftar Koreksi'!$H$5:$H$92,'Daftar Koreksi'!$D$5:$D$92,'0600'!A26,'Daftar Koreksi'!$G$5:$G$92,"Tanah",'Daftar Koreksi'!$H$5:$H$92,"&gt;0")</f>
        <v>0</v>
      </c>
      <c r="F30" s="25">
        <f>SUMIFS('Daftar Koreksi'!$H$5:$H$92,'Daftar Koreksi'!$D$5:$D$92,'0600'!A26,'Daftar Koreksi'!$G$5:$G$92,"Tanah",'Daftar Koreksi'!$H$5:$H$92,"&lt;0")-SUMIFS('Daftar Koreksi'!$H$5:$H$92,'Daftar Koreksi'!$D$5:$D$92,'0600'!A26,'Daftar Koreksi'!$G$5:$G$92,"Tanah",'Daftar Koreksi'!$H$5:$H$92,"&lt;0")-SUMIFS('Daftar Koreksi'!$H$5:$H$92,'Daftar Koreksi'!$D$5:$D$92,'0600'!A26,'Daftar Koreksi'!$G$5:$G$92,"Tanah",'Daftar Koreksi'!$H$5:$H$92,"&lt;0")</f>
        <v>0</v>
      </c>
      <c r="G30" s="17">
        <f t="shared" ref="G30:G46" si="1">D30+E30-F30</f>
        <v>12385684000</v>
      </c>
      <c r="H30" s="122"/>
      <c r="O30" s="8" t="s">
        <v>273</v>
      </c>
      <c r="P30" s="8" t="s">
        <v>1411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8334983540</v>
      </c>
      <c r="E31" s="25">
        <f>SUMIFS('Daftar Koreksi'!$H$5:$H$92,'Daftar Koreksi'!$D$5:$D$92,'0600'!A26,'Daftar Koreksi'!$G$5:$G$92,"Peralatan dan mesin",'Daftar Koreksi'!$H$5:$H$92,"&gt;0")</f>
        <v>0</v>
      </c>
      <c r="F31" s="25">
        <f>SUMIFS('Daftar Koreksi'!$H$5:$H$92,'Daftar Koreksi'!$D$5:$D$92,'0600'!A26,'Daftar Koreksi'!$G$5:$G$92,"Peralatan dan mesin",'Daftar Koreksi'!$H$5:$H$92,"&lt;0")-SUMIFS('Daftar Koreksi'!$H$5:$H$92,'Daftar Koreksi'!$D$5:$D$92,'0600'!A26,'Daftar Koreksi'!$G$5:$G$92,"Peralatan dan mesin",'Daftar Koreksi'!$H$5:$H$92,"&lt;0")-SUMIFS('Daftar Koreksi'!$H$5:$H$92,'Daftar Koreksi'!$D$5:$D$92,'0600'!A26,'Daftar Koreksi'!$G$5:$G$92,"Peralatan dan mesin",'Daftar Koreksi'!$H$5:$H$92,"&lt;0")</f>
        <v>0</v>
      </c>
      <c r="G31" s="17">
        <f t="shared" si="1"/>
        <v>8334983540</v>
      </c>
      <c r="H31" s="122"/>
      <c r="O31" s="8" t="s">
        <v>274</v>
      </c>
      <c r="P31" s="8" t="s">
        <v>1412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24429662500</v>
      </c>
      <c r="E32" s="25">
        <f>SUMIFS('Daftar Koreksi'!$H$5:$H$92,'Daftar Koreksi'!$D$5:$D$92,'0600'!A26,'Daftar Koreksi'!$G$5:$G$92,"Gedung dan Bangunan",'Daftar Koreksi'!$H$5:$H$92,"&gt;0")</f>
        <v>0</v>
      </c>
      <c r="F32" s="25">
        <f>SUMIFS('Daftar Koreksi'!$H$5:$H$92,'Daftar Koreksi'!$D$5:$D$92,'0600'!A26,'Daftar Koreksi'!$G$5:$G$92,"Gedung dan Bangunan",'Daftar Koreksi'!$H$5:$H$92,"&lt;0")-SUMIFS('Daftar Koreksi'!$H$5:$H$92,'Daftar Koreksi'!$D$5:$D$92,'0600'!A26,'Daftar Koreksi'!$G$5:$G$92,"Gedung dan Bangunan",'Daftar Koreksi'!$H$5:$H$92,"&lt;0")-SUMIFS('Daftar Koreksi'!$H$5:$H$92,'Daftar Koreksi'!$D$5:$D$92,'0600'!A26,'Daftar Koreksi'!$G$5:$G$92,"Gedung dan Bangunan",'Daftar Koreksi'!$H$5:$H$92,"&lt;0")</f>
        <v>0</v>
      </c>
      <c r="G32" s="17">
        <f t="shared" si="1"/>
        <v>24429662500</v>
      </c>
      <c r="H32" s="122"/>
      <c r="O32" s="8" t="s">
        <v>275</v>
      </c>
      <c r="P32" s="8" t="s">
        <v>1413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99275000</v>
      </c>
      <c r="E33" s="25">
        <f>SUMIFS('Daftar Koreksi'!$H$5:$H$92,'Daftar Koreksi'!$D$5:$D$92,'0600'!A26,'Daftar Koreksi'!$G$5:$G$92,"Jalan Irigasi Jaringan",'Daftar Koreksi'!$H$5:$H$92,"&gt;0")</f>
        <v>0</v>
      </c>
      <c r="F33" s="25">
        <f>SUMIFS('Daftar Koreksi'!$H$5:$H$92,'Daftar Koreksi'!$D$5:$D$92,'0600'!A26,'Daftar Koreksi'!$G$5:$G$92,"Jalan Irigasi Jaringan",'Daftar Koreksi'!$H$5:$H$92,"&lt;0")-SUMIFS('Daftar Koreksi'!$H$5:$H$92,'Daftar Koreksi'!$D$5:$D$92,'0600'!A26,'Daftar Koreksi'!$G$5:$G$92,"Jalan Irigasi Jaringan",'Daftar Koreksi'!$H$5:$H$92,"&lt;0")-SUMIFS('Daftar Koreksi'!$H$5:$H$92,'Daftar Koreksi'!$D$5:$D$92,'0600'!A26,'Daftar Koreksi'!$G$5:$G$92,"Jalan Irigasi Jaringan",'Daftar Koreksi'!$H$5:$H$92,"&lt;0")</f>
        <v>0</v>
      </c>
      <c r="G33" s="17">
        <f t="shared" si="1"/>
        <v>99275000</v>
      </c>
      <c r="H33" s="122"/>
      <c r="O33" s="8" t="s">
        <v>276</v>
      </c>
      <c r="P33" s="8" t="s">
        <v>1414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4626840</v>
      </c>
      <c r="E34" s="25">
        <f>SUMIFS('Daftar Koreksi'!$H$5:$H$92,'Daftar Koreksi'!$D$5:$D$92,'0600'!A26,'Daftar Koreksi'!$G$5:$G$92,"Aset Tetap Lainnya",'Daftar Koreksi'!$H$5:$H$92,"&gt;0")</f>
        <v>0</v>
      </c>
      <c r="F34" s="25">
        <f>SUMIFS('Daftar Koreksi'!$H$5:$H$92,'Daftar Koreksi'!$D$5:$D$92,'0600'!A26,'Daftar Koreksi'!$G$5:$G$92,"Aset Tetap Lainnya",'Daftar Koreksi'!$H$5:$H$92,"&lt;0")-SUMIFS('Daftar Koreksi'!$H$5:$H$92,'Daftar Koreksi'!$D$5:$D$92,'0600'!A26,'Daftar Koreksi'!$G$5:$G$92,"Aset Tetap Lainnya",'Daftar Koreksi'!$H$5:$H$92,"&lt;0")-SUMIFS('Daftar Koreksi'!$H$5:$H$92,'Daftar Koreksi'!$D$5:$D$92,'0600'!A26,'Daftar Koreksi'!$G$5:$G$92,"Aset Tetap Lainnya",'Daftar Koreksi'!$H$5:$H$92,"&lt;0")</f>
        <v>0</v>
      </c>
      <c r="G34" s="17">
        <f t="shared" si="1"/>
        <v>4626840</v>
      </c>
      <c r="H34" s="122"/>
      <c r="O34" s="8" t="s">
        <v>277</v>
      </c>
      <c r="P34" s="8" t="s">
        <v>1415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Koreksi'!$D$5:$D$92,'0600'!A26,'Daftar Koreksi'!$G$5:$G$92,"Kontruksi Dalam Pengerjaan",'Daftar Koreksi'!$H$5:$H$92,"&gt;0")</f>
        <v>0</v>
      </c>
      <c r="F35" s="25">
        <f>SUMIFS('Daftar Koreksi'!$H$5:$H$92,'Daftar Koreksi'!$D$5:$D$92,'0600'!A26,'Daftar Koreksi'!$G$5:$G$92,"Kontruksi Dalam Pengerjaan",'Daftar Koreksi'!$H$5:$H$92,"&lt;0")-SUMIFS('Daftar Koreksi'!$H$5:$H$92,'Daftar Koreksi'!$D$5:$D$92,'0600'!A26,'Daftar Koreksi'!$G$5:$G$92,"Kontruksi Dalam Pengerjaan",'Daftar Koreksi'!$H$5:$H$92,"&lt;0")-SUMIFS('Daftar Koreksi'!$H$5:$H$92,'Daftar Koreksi'!$D$5:$D$92,'0600'!A26,'Daftar Koreksi'!$G$5:$G$92,"Kontruksi Dalam Pengerjaan",'Daftar Koreksi'!$H$5:$H$92,"&lt;0")</f>
        <v>0</v>
      </c>
      <c r="G35" s="17">
        <f t="shared" si="1"/>
        <v>0</v>
      </c>
      <c r="H35" s="122"/>
      <c r="O35" s="8" t="s">
        <v>278</v>
      </c>
      <c r="P35" s="8" t="s">
        <v>1416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77636754</v>
      </c>
      <c r="E36" s="25">
        <f>SUMIFS('Daftar Koreksi'!$H$5:$H$92,'Daftar Koreksi'!$D$5:$D$92,'0600'!A26,'Daftar Koreksi'!$G$5:$G$92,"Aset Tak Berwujud",'Daftar Koreksi'!$H$5:$H$92,"&gt;0")</f>
        <v>0</v>
      </c>
      <c r="F36" s="25">
        <f>SUMIFS('Daftar Koreksi'!$H$5:$H$92,'Daftar Koreksi'!$D$5:$D$92,'0600'!A26,'Daftar Koreksi'!$G$5:$G$92,"Aset Tak Berwujud",'Daftar Koreksi'!$H$5:$H$92,"&lt;0")-SUMIFS('Daftar Koreksi'!$H$5:$H$92,'Daftar Koreksi'!$D$5:$D$92,'0600'!A26,'Daftar Koreksi'!$G$5:$G$92,"Aset Tak Berwujud",'Daftar Koreksi'!$H$5:$H$92,"&lt;0")-SUMIFS('Daftar Koreksi'!$H$5:$H$92,'Daftar Koreksi'!$D$5:$D$92,'0600'!A26,'Daftar Koreksi'!$G$5:$G$92,"Aset Tak Berwujud",'Daftar Koreksi'!$H$5:$H$92,"&lt;0")</f>
        <v>0</v>
      </c>
      <c r="G36" s="17">
        <f t="shared" si="1"/>
        <v>77636754</v>
      </c>
      <c r="H36" s="122"/>
      <c r="O36" s="8" t="s">
        <v>279</v>
      </c>
      <c r="P36" s="8" t="s">
        <v>1417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Koreksi'!$D$5:$D$92,'0600'!A26,'Daftar Koreksi'!$G$5:$G$92,"Aset Henti Guna",'Daftar Koreksi'!$H$5:$H$92,"&gt;0")</f>
        <v>0</v>
      </c>
      <c r="F37" s="25">
        <f>SUMIFS('Daftar Koreksi'!$H$5:$H$92,'Daftar Koreksi'!$D$5:$D$92,'0600'!A26,'Daftar Koreksi'!$G$5:$G$92,"Aset Henti Guna",'Daftar Koreksi'!$H$5:$H$92,"&lt;0")-SUMIFS('Daftar Koreksi'!$H$5:$H$92,'Daftar Koreksi'!$D$5:$D$92,'0600'!A26,'Daftar Koreksi'!$G$5:$G$92,"Aset Henti Guna",'Daftar Koreksi'!$H$5:$H$92,"&lt;0")-SUMIFS('Daftar Koreksi'!$H$5:$H$92,'Daftar Koreksi'!$D$5:$D$92,'0600'!A26,'Daftar Koreksi'!$G$5:$G$92,"Aset Henti Guna",'Daftar Koreksi'!$H$5:$H$92,"&lt;0")</f>
        <v>0</v>
      </c>
      <c r="G37" s="17">
        <f t="shared" si="1"/>
        <v>0</v>
      </c>
      <c r="H37" s="122"/>
      <c r="O37" s="8" t="s">
        <v>280</v>
      </c>
      <c r="P37" s="8" t="s">
        <v>1418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45331868634</v>
      </c>
      <c r="E38" s="19">
        <f>SUM(E29:E37)</f>
        <v>0</v>
      </c>
      <c r="F38" s="19">
        <f>SUM(F29:F37)</f>
        <v>0</v>
      </c>
      <c r="G38" s="19">
        <f t="shared" si="1"/>
        <v>45331868634</v>
      </c>
      <c r="H38" s="122"/>
      <c r="O38" s="8" t="s">
        <v>281</v>
      </c>
      <c r="P38" s="8" t="s">
        <v>1419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-5086110448</v>
      </c>
      <c r="E39" s="25">
        <f>SUMIFS('Daftar Koreksi'!$I$5:$I$92,'Daftar Koreksi'!$D$5:$D$92,'0600'!A26,'Daftar Koreksi'!$G$5:$G$92,"Peralatan dan mesin",'Daftar Koreksi'!$I$5:$I$92,"&gt;0")</f>
        <v>0</v>
      </c>
      <c r="F39" s="25">
        <f>SUMIFS('Daftar Koreksi'!$I$5:$I$92,'Daftar Koreksi'!$D$5:$D$92,'0600'!A26,'Daftar Koreksi'!$G$5:$G$92,"Peralatan dan mesin",'Daftar Koreksi'!$I$5:$I$92,"&lt;0")-SUMIFS('Daftar Koreksi'!$I$5:$I$92,'Daftar Koreksi'!$D$5:$D$92,'0600'!A26,'Daftar Koreksi'!$G$5:$G$92,"Peralatan dan mesin",'Daftar Koreksi'!$I$5:$I$92,"&lt;0")-SUMIFS('Daftar Koreksi'!$I$5:$I$92,'Daftar Koreksi'!$D$5:$D$92,'0600'!A26,'Daftar Koreksi'!$G$5:$G$92,"Peralatan dan mesin",'Daftar Koreksi'!$I$5:$I$92,"&lt;0")</f>
        <v>0</v>
      </c>
      <c r="G39" s="17">
        <f t="shared" si="1"/>
        <v>-5086110448</v>
      </c>
      <c r="H39" s="122"/>
      <c r="O39" s="8" t="s">
        <v>282</v>
      </c>
      <c r="P39" s="8" t="s">
        <v>1420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-11718004685</v>
      </c>
      <c r="E40" s="25">
        <f>SUMIFS('Daftar Koreksi'!$I$5:$I$92,'Daftar Koreksi'!$D$5:$D$92,'0600'!A26,'Daftar Koreksi'!$G$5:$G$92,"Gedung dan Bangunan",'Daftar Koreksi'!$I$5:$I$92,"&gt;0")</f>
        <v>0</v>
      </c>
      <c r="F40" s="25">
        <f>SUMIFS('Daftar Koreksi'!$I$5:$I$92,'Daftar Koreksi'!$D$5:$D$92,'0600'!A26,'Daftar Koreksi'!$G$5:$G$92,"Gedung dan Bangunan",'Daftar Koreksi'!$I$5:$I$92,"&lt;0")-SUMIFS('Daftar Koreksi'!$I$5:$I$92,'Daftar Koreksi'!$D$5:$D$92,'0600'!A26,'Daftar Koreksi'!$G$5:$G$92,"Gedung dan Bangunan",'Daftar Koreksi'!$I$5:$I$92,"&lt;0")-SUMIFS('Daftar Koreksi'!$I$5:$I$92,'Daftar Koreksi'!$D$5:$D$92,'0600'!A26,'Daftar Koreksi'!$G$5:$G$92,"Gedung dan Bangunan",'Daftar Koreksi'!$I$5:$I$92,"&lt;0")</f>
        <v>0</v>
      </c>
      <c r="G40" s="17">
        <f t="shared" si="1"/>
        <v>-11718004685</v>
      </c>
      <c r="H40" s="122"/>
      <c r="O40" s="8" t="s">
        <v>283</v>
      </c>
      <c r="P40" s="8" t="s">
        <v>1421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-1240938</v>
      </c>
      <c r="E41" s="25">
        <f>SUMIFS('Daftar Koreksi'!$I$5:$I$92,'Daftar Koreksi'!$D$5:$D$92,'0600'!A26,'Daftar Koreksi'!$G$5:$G$92,"Jalan Irigasi Jaringan",'Daftar Koreksi'!$I$5:$I$92,"&gt;0")</f>
        <v>0</v>
      </c>
      <c r="F41" s="25">
        <f>SUMIFS('Daftar Koreksi'!$I$5:$I$92,'Daftar Koreksi'!$D$5:$D$92,'0600'!A26,'Daftar Koreksi'!$G$5:$G$92,"Jalan Irigasi Jaringan",'Daftar Koreksi'!$I$5:$I$92,"&lt;0")-SUMIFS('Daftar Koreksi'!$I$5:$I$92,'Daftar Koreksi'!$D$5:$D$92,'0600'!A26,'Daftar Koreksi'!$G$5:$G$92,"Jalan Irigasi Jaringan",'Daftar Koreksi'!$I$5:$I$92,"&lt;0")-SUMIFS('Daftar Koreksi'!$I$5:$I$92,'Daftar Koreksi'!$D$5:$D$92,'0600'!A26,'Daftar Koreksi'!$G$5:$G$92,"Jalan Irigasi Jaringan",'Daftar Koreksi'!$I$5:$I$92,"&lt;0")</f>
        <v>0</v>
      </c>
      <c r="G41" s="17">
        <f t="shared" si="1"/>
        <v>-1240938</v>
      </c>
      <c r="H41" s="122"/>
      <c r="O41" s="8" t="s">
        <v>284</v>
      </c>
      <c r="P41" s="8" t="s">
        <v>1422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Koreksi'!$D$5:$D$92,'0600'!A26,'Daftar Koreksi'!$G$5:$G$92,"Aset Tetap Lainnya",'Daftar Koreksi'!$I$5:$I$92,"&gt;0")</f>
        <v>0</v>
      </c>
      <c r="F42" s="25">
        <f>SUMIFS('Daftar Koreksi'!$I$5:$I$92,'Daftar Koreksi'!$D$5:$D$92,'0600'!A26,'Daftar Koreksi'!$G$5:$G$92,"Aset Tetap Lainnya",'Daftar Koreksi'!$I$5:$I$92,"&lt;0")-SUMIFS('Daftar Koreksi'!$I$5:$I$92,'Daftar Koreksi'!$D$5:$D$92,'0600'!A26,'Daftar Koreksi'!$G$5:$G$92,"Aset Tetap Lainnya",'Daftar Koreksi'!$I$5:$I$92,"&lt;0")-SUMIFS('Daftar Koreksi'!$I$5:$I$92,'Daftar Koreksi'!$D$5:$D$92,'0600'!A26,'Daftar Koreksi'!$G$5:$G$92,"Aset Tetap Lainnya",'Daftar Koreksi'!$I$5:$I$92,"&lt;0")</f>
        <v>0</v>
      </c>
      <c r="G42" s="17">
        <f t="shared" si="1"/>
        <v>0</v>
      </c>
      <c r="H42" s="122"/>
      <c r="O42" s="8" t="s">
        <v>285</v>
      </c>
      <c r="P42" s="8" t="s">
        <v>1423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Koreksi'!$D$5:$D$92,'0600'!A26,'Daftar Koreksi'!$G$5:$G$92,"Aset Henti Guna",'Daftar Koreksi'!$I$5:$I$92,"&gt;0")</f>
        <v>0</v>
      </c>
      <c r="F43" s="25">
        <f>SUMIFS('Daftar Koreksi'!$I$5:$I$92,'Daftar Koreksi'!$D$5:$D$92,'0600'!A26,'Daftar Koreksi'!$G$5:$G$92,"Aset Henti Guna",'Daftar Koreksi'!$I$5:$I$92,"&lt;0")-SUMIFS('Daftar Koreksi'!$I$5:$I$92,'Daftar Koreksi'!$D$5:$D$92,'0600'!A26,'Daftar Koreksi'!$G$5:$G$92,"Aset Henti Guna",'Daftar Koreksi'!$I$5:$I$92,"&lt;0")-SUMIFS('Daftar Koreksi'!$I$5:$I$92,'Daftar Koreksi'!$D$5:$D$92,'0600'!A26,'Daftar Koreksi'!$G$5:$G$92,"Aset Henti Guna",'Daftar Koreksi'!$I$5:$I$92,"&lt;0")</f>
        <v>0</v>
      </c>
      <c r="G43" s="17">
        <f t="shared" si="1"/>
        <v>0</v>
      </c>
      <c r="H43" s="122"/>
    </row>
    <row r="44" spans="1:16" ht="21.95" customHeight="1">
      <c r="A44" s="14"/>
      <c r="B44" s="14"/>
      <c r="C44" s="18" t="s">
        <v>2094</v>
      </c>
      <c r="D44" s="19">
        <f>SUM(D39:D43)</f>
        <v>-16805356071</v>
      </c>
      <c r="E44" s="19">
        <f>SUM(E39:E43)</f>
        <v>0</v>
      </c>
      <c r="F44" s="19">
        <f>SUM(F39:F43)</f>
        <v>0</v>
      </c>
      <c r="G44" s="19">
        <f t="shared" si="1"/>
        <v>-16805356071</v>
      </c>
      <c r="H44" s="122"/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28526512563</v>
      </c>
      <c r="E45" s="19">
        <f>E44+E38</f>
        <v>0</v>
      </c>
      <c r="F45" s="19">
        <f>F44+F38</f>
        <v>0</v>
      </c>
      <c r="G45" s="19">
        <f t="shared" si="1"/>
        <v>28526512563</v>
      </c>
      <c r="H45" s="122"/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16" ht="19.5" customHeight="1">
      <c r="A48" s="11" t="str">
        <f>O3</f>
        <v>005010600098455000KD</v>
      </c>
      <c r="B48" s="11" t="str">
        <f>P3</f>
        <v>PN. Sabang</v>
      </c>
      <c r="C48" s="12" t="str">
        <f>A48&amp;" "&amp;B48</f>
        <v>005010600098455000KD PN. Sabang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0</v>
      </c>
      <c r="E51" s="25">
        <f>SUMIFS('Daftar Koreksi'!$H$5:$H$92,'Daftar Koreksi'!$D$5:$D$92,'0600'!A48,'Daftar Koreksi'!$G$5:$G$92,"Persediaan",'Daftar Koreksi'!$H$5:$H$92,"&gt;0")</f>
        <v>0</v>
      </c>
      <c r="F51" s="25">
        <f>SUMIFS('Daftar Koreksi'!$H$5:$H$92,'Daftar Koreksi'!$D$5:$D$92,'0600'!A48,'Daftar Koreksi'!$G$5:$G$92,"Persediaan",'Daftar Koreksi'!$H$5:$H$92,"&lt;0")-SUMIFS('Daftar Koreksi'!$H$5:$H$92,'Daftar Koreksi'!$D$5:$D$92,'0600'!A48,'Daftar Koreksi'!$G$5:$G$92,"Persediaan",'Daftar Koreksi'!$H$5:$H$92,"&lt;0")-SUMIFS('Daftar Koreksi'!$H$5:$H$92,'Daftar Koreksi'!$D$5:$D$92,'0600'!A48,'Daftar Koreksi'!$G$5:$G$92,"Persediaan",'Daftar Koreksi'!$H$5:$H$92,"&lt;0")</f>
        <v>0</v>
      </c>
      <c r="G51" s="17">
        <f>D51+E51-F51</f>
        <v>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1067922000</v>
      </c>
      <c r="E52" s="25">
        <f>SUMIFS('Daftar Koreksi'!$H$5:$H$92,'Daftar Koreksi'!$D$5:$D$92,'0600'!A48,'Daftar Koreksi'!$G$5:$G$92,"Tanah",'Daftar Koreksi'!$H$5:$H$92,"&gt;0")</f>
        <v>0</v>
      </c>
      <c r="F52" s="25">
        <f>SUMIFS('Daftar Koreksi'!$H$5:$H$92,'Daftar Koreksi'!$D$5:$D$92,'0600'!A48,'Daftar Koreksi'!$G$5:$G$92,"Tanah",'Daftar Koreksi'!$H$5:$H$92,"&lt;0")-SUMIFS('Daftar Koreksi'!$H$5:$H$92,'Daftar Koreksi'!$D$5:$D$92,'0600'!A48,'Daftar Koreksi'!$G$5:$G$92,"Tanah",'Daftar Koreksi'!$H$5:$H$92,"&lt;0")-SUMIFS('Daftar Koreksi'!$H$5:$H$92,'Daftar Koreksi'!$D$5:$D$92,'0600'!A48,'Daftar Koreksi'!$G$5:$G$92,"Tanah",'Daftar Koreksi'!$H$5:$H$92,"&lt;0")</f>
        <v>0</v>
      </c>
      <c r="G52" s="17">
        <f t="shared" ref="G52:G68" si="2">D52+E52-F52</f>
        <v>1067922000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1648263025</v>
      </c>
      <c r="E53" s="25">
        <f>SUMIFS('Daftar Koreksi'!$H$5:$H$92,'Daftar Koreksi'!$D$5:$D$92,'0600'!A48,'Daftar Koreksi'!$G$5:$G$92,"Peralatan dan mesin",'Daftar Koreksi'!$H$5:$H$92,"&gt;0")</f>
        <v>0</v>
      </c>
      <c r="F53" s="25">
        <f>SUMIFS('Daftar Koreksi'!$H$5:$H$92,'Daftar Koreksi'!$D$5:$D$92,'0600'!A48,'Daftar Koreksi'!$G$5:$G$92,"Peralatan dan mesin",'Daftar Koreksi'!$H$5:$H$92,"&lt;0")-SUMIFS('Daftar Koreksi'!$H$5:$H$92,'Daftar Koreksi'!$D$5:$D$92,'0600'!A48,'Daftar Koreksi'!$G$5:$G$92,"Peralatan dan mesin",'Daftar Koreksi'!$H$5:$H$92,"&lt;0")-SUMIFS('Daftar Koreksi'!$H$5:$H$92,'Daftar Koreksi'!$D$5:$D$92,'0600'!A48,'Daftar Koreksi'!$G$5:$G$92,"Peralatan dan mesin",'Daftar Koreksi'!$H$5:$H$92,"&lt;0")</f>
        <v>0</v>
      </c>
      <c r="G53" s="17">
        <f t="shared" si="2"/>
        <v>1648263025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10659887900</v>
      </c>
      <c r="E54" s="25">
        <f>SUMIFS('Daftar Koreksi'!$H$5:$H$92,'Daftar Koreksi'!$D$5:$D$92,'0600'!A48,'Daftar Koreksi'!$G$5:$G$92,"Gedung dan Bangunan",'Daftar Koreksi'!$H$5:$H$92,"&gt;0")</f>
        <v>0</v>
      </c>
      <c r="F54" s="25">
        <f>SUMIFS('Daftar Koreksi'!$H$5:$H$92,'Daftar Koreksi'!$D$5:$D$92,'0600'!A48,'Daftar Koreksi'!$G$5:$G$92,"Gedung dan Bangunan",'Daftar Koreksi'!$H$5:$H$92,"&lt;0")-SUMIFS('Daftar Koreksi'!$H$5:$H$92,'Daftar Koreksi'!$D$5:$D$92,'0600'!A48,'Daftar Koreksi'!$G$5:$G$92,"Gedung dan Bangunan",'Daftar Koreksi'!$H$5:$H$92,"&lt;0")-SUMIFS('Daftar Koreksi'!$H$5:$H$92,'Daftar Koreksi'!$D$5:$D$92,'0600'!A48,'Daftar Koreksi'!$G$5:$G$92,"Gedung dan Bangunan",'Daftar Koreksi'!$H$5:$H$92,"&lt;0")</f>
        <v>0</v>
      </c>
      <c r="G54" s="17">
        <f t="shared" si="2"/>
        <v>10659887900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Koreksi'!$D$5:$D$92,'0600'!A48,'Daftar Koreksi'!$G$5:$G$92,"Jalan Irigasi Jaringan",'Daftar Koreksi'!$H$5:$H$92,"&gt;0")</f>
        <v>0</v>
      </c>
      <c r="F55" s="25">
        <f>SUMIFS('Daftar Koreksi'!$H$5:$H$92,'Daftar Koreksi'!$D$5:$D$92,'0600'!A48,'Daftar Koreksi'!$G$5:$G$92,"Jalan Irigasi Jaringan",'Daftar Koreksi'!$H$5:$H$92,"&lt;0")-SUMIFS('Daftar Koreksi'!$H$5:$H$92,'Daftar Koreksi'!$D$5:$D$92,'0600'!A48,'Daftar Koreksi'!$G$5:$G$92,"Jalan Irigasi Jaringan",'Daftar Koreksi'!$H$5:$H$92,"&lt;0")-SUMIFS('Daftar Koreksi'!$H$5:$H$92,'Daftar Koreksi'!$D$5:$D$92,'0600'!A48,'Daftar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1943440</v>
      </c>
      <c r="E56" s="25">
        <f>SUMIFS('Daftar Koreksi'!$H$5:$H$92,'Daftar Koreksi'!$D$5:$D$92,'0600'!A48,'Daftar Koreksi'!$G$5:$G$92,"Aset Tetap Lainnya",'Daftar Koreksi'!$H$5:$H$92,"&gt;0")</f>
        <v>0</v>
      </c>
      <c r="F56" s="25">
        <f>SUMIFS('Daftar Koreksi'!$H$5:$H$92,'Daftar Koreksi'!$D$5:$D$92,'0600'!A48,'Daftar Koreksi'!$G$5:$G$92,"Aset Tetap Lainnya",'Daftar Koreksi'!$H$5:$H$92,"&lt;0")-SUMIFS('Daftar Koreksi'!$H$5:$H$92,'Daftar Koreksi'!$D$5:$D$92,'0600'!A48,'Daftar Koreksi'!$G$5:$G$92,"Aset Tetap Lainnya",'Daftar Koreksi'!$H$5:$H$92,"&lt;0")-SUMIFS('Daftar Koreksi'!$H$5:$H$92,'Daftar Koreksi'!$D$5:$D$92,'0600'!A48,'Daftar Koreksi'!$G$5:$G$92,"Aset Tetap Lainnya",'Daftar Koreksi'!$H$5:$H$92,"&lt;0")</f>
        <v>0</v>
      </c>
      <c r="G56" s="17">
        <f t="shared" si="2"/>
        <v>1943440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Koreksi'!$D$5:$D$92,'0600'!A48,'Daftar Koreksi'!$G$5:$G$92,"Kontruksi Dalam Pengerjaan",'Daftar Koreksi'!$H$5:$H$92,"&gt;0")</f>
        <v>0</v>
      </c>
      <c r="F57" s="25">
        <f>SUMIFS('Daftar Koreksi'!$H$5:$H$92,'Daftar Koreksi'!$D$5:$D$92,'0600'!A48,'Daftar Koreksi'!$G$5:$G$92,"Kontruksi Dalam Pengerjaan",'Daftar Koreksi'!$H$5:$H$92,"&lt;0")-SUMIFS('Daftar Koreksi'!$H$5:$H$92,'Daftar Koreksi'!$D$5:$D$92,'0600'!A48,'Daftar Koreksi'!$G$5:$G$92,"Kontruksi Dalam Pengerjaan",'Daftar Koreksi'!$H$5:$H$92,"&lt;0")-SUMIFS('Daftar Koreksi'!$H$5:$H$92,'Daftar Koreksi'!$D$5:$D$92,'0600'!A48,'Daftar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Koreksi'!$D$5:$D$92,'0600'!A48,'Daftar Koreksi'!$G$5:$G$92,"Aset Tak Berwujud",'Daftar Koreksi'!$H$5:$H$92,"&gt;0")</f>
        <v>0</v>
      </c>
      <c r="F58" s="25">
        <f>SUMIFS('Daftar Koreksi'!$H$5:$H$92,'Daftar Koreksi'!$D$5:$D$92,'0600'!A48,'Daftar Koreksi'!$G$5:$G$92,"Aset Tak Berwujud",'Daftar Koreksi'!$H$5:$H$92,"&lt;0")-SUMIFS('Daftar Koreksi'!$H$5:$H$92,'Daftar Koreksi'!$D$5:$D$92,'0600'!A48,'Daftar Koreksi'!$G$5:$G$92,"Aset Tak Berwujud",'Daftar Koreksi'!$H$5:$H$92,"&lt;0")-SUMIFS('Daftar Koreksi'!$H$5:$H$92,'Daftar Koreksi'!$D$5:$D$92,'0600'!A48,'Daftar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15399390</v>
      </c>
      <c r="E59" s="25">
        <f>SUMIFS('Daftar Koreksi'!$H$5:$H$92,'Daftar Koreksi'!$D$5:$D$92,'0600'!A48,'Daftar Koreksi'!$G$5:$G$92,"Aset Henti Guna",'Daftar Koreksi'!$H$5:$H$92,"&gt;0")</f>
        <v>0</v>
      </c>
      <c r="F59" s="25">
        <f>SUMIFS('Daftar Koreksi'!$H$5:$H$92,'Daftar Koreksi'!$D$5:$D$92,'0600'!A48,'Daftar Koreksi'!$G$5:$G$92,"Aset Henti Guna",'Daftar Koreksi'!$H$5:$H$92,"&lt;0")-SUMIFS('Daftar Koreksi'!$H$5:$H$92,'Daftar Koreksi'!$D$5:$D$92,'0600'!A48,'Daftar Koreksi'!$G$5:$G$92,"Aset Henti Guna",'Daftar Koreksi'!$H$5:$H$92,"&lt;0")-SUMIFS('Daftar Koreksi'!$H$5:$H$92,'Daftar Koreksi'!$D$5:$D$92,'0600'!A48,'Daftar Koreksi'!$G$5:$G$92,"Aset Henti Guna",'Daftar Koreksi'!$H$5:$H$92,"&lt;0")</f>
        <v>0</v>
      </c>
      <c r="G59" s="17">
        <f t="shared" si="2"/>
        <v>15399390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13393415755</v>
      </c>
      <c r="E60" s="19">
        <f>SUM(E51:E59)</f>
        <v>0</v>
      </c>
      <c r="F60" s="19">
        <f>SUM(F51:F59)</f>
        <v>0</v>
      </c>
      <c r="G60" s="19">
        <f t="shared" si="2"/>
        <v>13393415755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-1406380915</v>
      </c>
      <c r="E61" s="25">
        <f>SUMIFS('Daftar Koreksi'!$I$5:$I$92,'Daftar Koreksi'!$D$5:$D$92,'0600'!A48,'Daftar Koreksi'!$G$5:$G$92,"Peralatan dan mesin",'Daftar Koreksi'!$I$5:$I$92,"&gt;0")</f>
        <v>0</v>
      </c>
      <c r="F61" s="25">
        <f>SUMIFS('Daftar Koreksi'!$I$5:$I$92,'Daftar Koreksi'!$D$5:$D$92,'0600'!A48,'Daftar Koreksi'!$G$5:$G$92,"Peralatan dan mesin",'Daftar Koreksi'!$I$5:$I$92,"&lt;0")-SUMIFS('Daftar Koreksi'!$I$5:$I$92,'Daftar Koreksi'!$D$5:$D$92,'0600'!A48,'Daftar Koreksi'!$G$5:$G$92,"Peralatan dan mesin",'Daftar Koreksi'!$I$5:$I$92,"&lt;0")-SUMIFS('Daftar Koreksi'!$I$5:$I$92,'Daftar Koreksi'!$D$5:$D$92,'0600'!A48,'Daftar Koreksi'!$G$5:$G$92,"Peralatan dan mesin",'Daftar Koreksi'!$I$5:$I$92,"&lt;0")</f>
        <v>0</v>
      </c>
      <c r="G61" s="17">
        <f t="shared" si="2"/>
        <v>-1406380915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-6742756814</v>
      </c>
      <c r="E62" s="25">
        <f>SUMIFS('Daftar Koreksi'!$I$5:$I$92,'Daftar Koreksi'!$D$5:$D$92,'0600'!A48,'Daftar Koreksi'!$G$5:$G$92,"Gedung dan Bangunan",'Daftar Koreksi'!$I$5:$I$92,"&gt;0")</f>
        <v>0</v>
      </c>
      <c r="F62" s="25">
        <f>SUMIFS('Daftar Koreksi'!$I$5:$I$92,'Daftar Koreksi'!$D$5:$D$92,'0600'!A48,'Daftar Koreksi'!$G$5:$G$92,"Gedung dan Bangunan",'Daftar Koreksi'!$I$5:$I$92,"&lt;0")-SUMIFS('Daftar Koreksi'!$I$5:$I$92,'Daftar Koreksi'!$D$5:$D$92,'0600'!A48,'Daftar Koreksi'!$G$5:$G$92,"Gedung dan Bangunan",'Daftar Koreksi'!$I$5:$I$92,"&lt;0")-SUMIFS('Daftar Koreksi'!$I$5:$I$92,'Daftar Koreksi'!$D$5:$D$92,'0600'!A48,'Daftar Koreksi'!$G$5:$G$92,"Gedung dan Bangunan",'Daftar Koreksi'!$I$5:$I$92,"&lt;0")</f>
        <v>0</v>
      </c>
      <c r="G62" s="17">
        <f t="shared" si="2"/>
        <v>-6742756814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Koreksi'!$D$5:$D$92,'0600'!A48,'Daftar Koreksi'!$G$5:$G$92,"Jalan Irigasi Jaringan",'Daftar Koreksi'!$I$5:$I$92,"&gt;0")</f>
        <v>0</v>
      </c>
      <c r="F63" s="25">
        <f>SUMIFS('Daftar Koreksi'!$I$5:$I$92,'Daftar Koreksi'!$D$5:$D$92,'0600'!A48,'Daftar Koreksi'!$G$5:$G$92,"Jalan Irigasi Jaringan",'Daftar Koreksi'!$I$5:$I$92,"&lt;0")-SUMIFS('Daftar Koreksi'!$I$5:$I$92,'Daftar Koreksi'!$D$5:$D$92,'0600'!A48,'Daftar Koreksi'!$G$5:$G$92,"Jalan Irigasi Jaringan",'Daftar Koreksi'!$I$5:$I$92,"&lt;0")-SUMIFS('Daftar Koreksi'!$I$5:$I$92,'Daftar Koreksi'!$D$5:$D$92,'0600'!A48,'Daftar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Koreksi'!$D$5:$D$92,'0600'!A48,'Daftar Koreksi'!$G$5:$G$92,"Aset Tetap Lainnya",'Daftar Koreksi'!$I$5:$I$92,"&gt;0")</f>
        <v>0</v>
      </c>
      <c r="F64" s="25">
        <f>SUMIFS('Daftar Koreksi'!$I$5:$I$92,'Daftar Koreksi'!$D$5:$D$92,'0600'!A48,'Daftar Koreksi'!$G$5:$G$92,"Aset Tetap Lainnya",'Daftar Koreksi'!$I$5:$I$92,"&lt;0")-SUMIFS('Daftar Koreksi'!$I$5:$I$92,'Daftar Koreksi'!$D$5:$D$92,'0600'!A48,'Daftar Koreksi'!$G$5:$G$92,"Aset Tetap Lainnya",'Daftar Koreksi'!$I$5:$I$92,"&lt;0")-SUMIFS('Daftar Koreksi'!$I$5:$I$92,'Daftar Koreksi'!$D$5:$D$92,'0600'!A48,'Daftar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-15399390</v>
      </c>
      <c r="E65" s="25">
        <f>SUMIFS('Daftar Koreksi'!$I$5:$I$92,'Daftar Koreksi'!$D$5:$D$92,'0600'!A48,'Daftar Koreksi'!$G$5:$G$92,"Aset Henti Guna",'Daftar Koreksi'!$I$5:$I$92,"&gt;0")</f>
        <v>0</v>
      </c>
      <c r="F65" s="25">
        <f>SUMIFS('Daftar Koreksi'!$I$5:$I$92,'Daftar Koreksi'!$D$5:$D$92,'0600'!A48,'Daftar Koreksi'!$G$5:$G$92,"Aset Henti Guna",'Daftar Koreksi'!$I$5:$I$92,"&lt;0")-SUMIFS('Daftar Koreksi'!$I$5:$I$92,'Daftar Koreksi'!$D$5:$D$92,'0600'!A48,'Daftar Koreksi'!$G$5:$G$92,"Aset Henti Guna",'Daftar Koreksi'!$I$5:$I$92,"&lt;0")-SUMIFS('Daftar Koreksi'!$I$5:$I$92,'Daftar Koreksi'!$D$5:$D$92,'0600'!A48,'Daftar Koreksi'!$G$5:$G$92,"Aset Henti Guna",'Daftar Koreksi'!$I$5:$I$92,"&lt;0")</f>
        <v>0</v>
      </c>
      <c r="G65" s="17">
        <f t="shared" si="2"/>
        <v>-15399390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-8164537119</v>
      </c>
      <c r="E66" s="19">
        <f>SUM(E61:E65)</f>
        <v>0</v>
      </c>
      <c r="F66" s="19">
        <f>SUM(F61:F65)</f>
        <v>0</v>
      </c>
      <c r="G66" s="19">
        <f t="shared" si="2"/>
        <v>-8164537119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5228878636</v>
      </c>
      <c r="E67" s="19">
        <f>E66+E60</f>
        <v>0</v>
      </c>
      <c r="F67" s="19">
        <f>F66+F60</f>
        <v>0</v>
      </c>
      <c r="G67" s="19">
        <f t="shared" si="2"/>
        <v>5228878636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005010600098462000KD</v>
      </c>
      <c r="B70" s="11" t="str">
        <f>P4</f>
        <v>PN. Sigli</v>
      </c>
      <c r="C70" s="12" t="str">
        <f>A70&amp;" "&amp;B70</f>
        <v>005010600098462000KD PN. Sigli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0</v>
      </c>
      <c r="E73" s="25">
        <f>SUMIFS('Daftar Koreksi'!$H$5:$H$92,'Daftar Koreksi'!$D$5:$D$92,'0600'!A70,'Daftar Koreksi'!$G$5:$G$92,"Persediaan",'Daftar Koreksi'!$H$5:$H$92,"&gt;0")</f>
        <v>0</v>
      </c>
      <c r="F73" s="25">
        <f>SUMIFS('Daftar Koreksi'!$H$5:$H$92,'Daftar Koreksi'!$D$5:$D$92,'0600'!A70,'Daftar Koreksi'!$G$5:$G$92,"Persediaan",'Daftar Koreksi'!$H$5:$H$92,"&lt;0")-SUMIFS('Daftar Koreksi'!$H$5:$H$92,'Daftar Koreksi'!$D$5:$D$92,'0600'!A70,'Daftar Koreksi'!$G$5:$G$92,"Persediaan",'Daftar Koreksi'!$H$5:$H$92,"&lt;0")-SUMIFS('Daftar Koreksi'!$H$5:$H$92,'Daftar Koreksi'!$D$5:$D$92,'0600'!A70,'Daftar Koreksi'!$G$5:$G$92,"Persediaan",'Daftar Koreksi'!$H$5:$H$92,"&lt;0")</f>
        <v>0</v>
      </c>
      <c r="G73" s="17">
        <f>D73+E73-F73</f>
        <v>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1292275749</v>
      </c>
      <c r="E74" s="25">
        <f>SUMIFS('Daftar Koreksi'!$H$5:$H$92,'Daftar Koreksi'!$D$5:$D$92,'0600'!A70,'Daftar Koreksi'!$G$5:$G$92,"Tanah",'Daftar Koreksi'!$H$5:$H$92,"&gt;0")</f>
        <v>0</v>
      </c>
      <c r="F74" s="25">
        <f>SUMIFS('Daftar Koreksi'!$H$5:$H$92,'Daftar Koreksi'!$D$5:$D$92,'0600'!A70,'Daftar Koreksi'!$G$5:$G$92,"Tanah",'Daftar Koreksi'!$H$5:$H$92,"&lt;0")-SUMIFS('Daftar Koreksi'!$H$5:$H$92,'Daftar Koreksi'!$D$5:$D$92,'0600'!A70,'Daftar Koreksi'!$G$5:$G$92,"Tanah",'Daftar Koreksi'!$H$5:$H$92,"&lt;0")-SUMIFS('Daftar Koreksi'!$H$5:$H$92,'Daftar Koreksi'!$D$5:$D$92,'0600'!A70,'Daftar Koreksi'!$G$5:$G$92,"Tanah",'Daftar Koreksi'!$H$5:$H$92,"&lt;0")</f>
        <v>0</v>
      </c>
      <c r="G74" s="17">
        <f t="shared" ref="G74:G90" si="3">D74+E74-F74</f>
        <v>1292275749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1598125749</v>
      </c>
      <c r="E75" s="25">
        <f>SUMIFS('Daftar Koreksi'!$H$5:$H$92,'Daftar Koreksi'!$D$5:$D$92,'0600'!A70,'Daftar Koreksi'!$G$5:$G$92,"Peralatan dan mesin",'Daftar Koreksi'!$H$5:$H$92,"&gt;0")</f>
        <v>0</v>
      </c>
      <c r="F75" s="25">
        <f>SUMIFS('Daftar Koreksi'!$H$5:$H$92,'Daftar Koreksi'!$D$5:$D$92,'0600'!A70,'Daftar Koreksi'!$G$5:$G$92,"Peralatan dan mesin",'Daftar Koreksi'!$H$5:$H$92,"&lt;0")-SUMIFS('Daftar Koreksi'!$H$5:$H$92,'Daftar Koreksi'!$D$5:$D$92,'0600'!A70,'Daftar Koreksi'!$G$5:$G$92,"Peralatan dan mesin",'Daftar Koreksi'!$H$5:$H$92,"&lt;0")-SUMIFS('Daftar Koreksi'!$H$5:$H$92,'Daftar Koreksi'!$D$5:$D$92,'0600'!A70,'Daftar Koreksi'!$G$5:$G$92,"Peralatan dan mesin",'Daftar Koreksi'!$H$5:$H$92,"&lt;0")</f>
        <v>0</v>
      </c>
      <c r="G75" s="17">
        <f t="shared" si="3"/>
        <v>1598125749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4943149100</v>
      </c>
      <c r="E76" s="25">
        <f>SUMIFS('Daftar Koreksi'!$H$5:$H$92,'Daftar Koreksi'!$D$5:$D$92,'0600'!A70,'Daftar Koreksi'!$G$5:$G$92,"Gedung dan Bangunan",'Daftar Koreksi'!$H$5:$H$92,"&gt;0")</f>
        <v>0</v>
      </c>
      <c r="F76" s="25">
        <f>SUMIFS('Daftar Koreksi'!$H$5:$H$92,'Daftar Koreksi'!$D$5:$D$92,'0600'!A70,'Daftar Koreksi'!$G$5:$G$92,"Gedung dan Bangunan",'Daftar Koreksi'!$H$5:$H$92,"&lt;0")-SUMIFS('Daftar Koreksi'!$H$5:$H$92,'Daftar Koreksi'!$D$5:$D$92,'0600'!A70,'Daftar Koreksi'!$G$5:$G$92,"Gedung dan Bangunan",'Daftar Koreksi'!$H$5:$H$92,"&lt;0")-SUMIFS('Daftar Koreksi'!$H$5:$H$92,'Daftar Koreksi'!$D$5:$D$92,'0600'!A70,'Daftar Koreksi'!$G$5:$G$92,"Gedung dan Bangunan",'Daftar Koreksi'!$H$5:$H$92,"&lt;0")</f>
        <v>0</v>
      </c>
      <c r="G76" s="17">
        <f t="shared" si="3"/>
        <v>4943149100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Koreksi'!$D$5:$D$92,'0600'!A70,'Daftar Koreksi'!$G$5:$G$92,"Jalan Irigasi Jaringan",'Daftar Koreksi'!$H$5:$H$92,"&gt;0")</f>
        <v>0</v>
      </c>
      <c r="F77" s="25">
        <f>SUMIFS('Daftar Koreksi'!$H$5:$H$92,'Daftar Koreksi'!$D$5:$D$92,'0600'!A70,'Daftar Koreksi'!$G$5:$G$92,"Jalan Irigasi Jaringan",'Daftar Koreksi'!$H$5:$H$92,"&lt;0")-SUMIFS('Daftar Koreksi'!$H$5:$H$92,'Daftar Koreksi'!$D$5:$D$92,'0600'!A70,'Daftar Koreksi'!$G$5:$G$92,"Jalan Irigasi Jaringan",'Daftar Koreksi'!$H$5:$H$92,"&lt;0")-SUMIFS('Daftar Koreksi'!$H$5:$H$92,'Daftar Koreksi'!$D$5:$D$92,'0600'!A70,'Daftar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Koreksi'!$D$5:$D$92,'0600'!A70,'Daftar Koreksi'!$G$5:$G$92,"Aset Tetap Lainnya",'Daftar Koreksi'!$H$5:$H$92,"&gt;0")</f>
        <v>0</v>
      </c>
      <c r="F78" s="25">
        <f>SUMIFS('Daftar Koreksi'!$H$5:$H$92,'Daftar Koreksi'!$D$5:$D$92,'0600'!A70,'Daftar Koreksi'!$G$5:$G$92,"Aset Tetap Lainnya",'Daftar Koreksi'!$H$5:$H$92,"&lt;0")-SUMIFS('Daftar Koreksi'!$H$5:$H$92,'Daftar Koreksi'!$D$5:$D$92,'0600'!A70,'Daftar Koreksi'!$G$5:$G$92,"Aset Tetap Lainnya",'Daftar Koreksi'!$H$5:$H$92,"&lt;0")-SUMIFS('Daftar Koreksi'!$H$5:$H$92,'Daftar Koreksi'!$D$5:$D$92,'0600'!A70,'Daftar Koreksi'!$G$5:$G$92,"Aset Tetap Lainnya",'Daftar Koreksi'!$H$5:$H$92,"&lt;0")</f>
        <v>0</v>
      </c>
      <c r="G78" s="17">
        <f t="shared" si="3"/>
        <v>1943440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Koreksi'!$D$5:$D$92,'0600'!A70,'Daftar Koreksi'!$G$5:$G$92,"Kontruksi Dalam Pengerjaan",'Daftar Koreksi'!$H$5:$H$92,"&gt;0")</f>
        <v>0</v>
      </c>
      <c r="F79" s="25">
        <f>SUMIFS('Daftar Koreksi'!$H$5:$H$92,'Daftar Koreksi'!$D$5:$D$92,'0600'!A70,'Daftar Koreksi'!$G$5:$G$92,"Kontruksi Dalam Pengerjaan",'Daftar Koreksi'!$H$5:$H$92,"&lt;0")-SUMIFS('Daftar Koreksi'!$H$5:$H$92,'Daftar Koreksi'!$D$5:$D$92,'0600'!A70,'Daftar Koreksi'!$G$5:$G$92,"Kontruksi Dalam Pengerjaan",'Daftar Koreksi'!$H$5:$H$92,"&lt;0")-SUMIFS('Daftar Koreksi'!$H$5:$H$92,'Daftar Koreksi'!$D$5:$D$92,'0600'!A70,'Daftar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Koreksi'!$D$5:$D$92,'0600'!A70,'Daftar Koreksi'!$G$5:$G$92,"Aset Tak Berwujud",'Daftar Koreksi'!$H$5:$H$92,"&gt;0")</f>
        <v>0</v>
      </c>
      <c r="F80" s="25">
        <f>SUMIFS('Daftar Koreksi'!$H$5:$H$92,'Daftar Koreksi'!$D$5:$D$92,'0600'!A70,'Daftar Koreksi'!$G$5:$G$92,"Aset Tak Berwujud",'Daftar Koreksi'!$H$5:$H$92,"&lt;0")-SUMIFS('Daftar Koreksi'!$H$5:$H$92,'Daftar Koreksi'!$D$5:$D$92,'0600'!A70,'Daftar Koreksi'!$G$5:$G$92,"Aset Tak Berwujud",'Daftar Koreksi'!$H$5:$H$92,"&lt;0")-SUMIFS('Daftar Koreksi'!$H$5:$H$92,'Daftar Koreksi'!$D$5:$D$92,'0600'!A70,'Daftar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18462621</v>
      </c>
      <c r="E81" s="25">
        <f>SUMIFS('Daftar Koreksi'!$H$5:$H$92,'Daftar Koreksi'!$D$5:$D$92,'0600'!A70,'Daftar Koreksi'!$G$5:$G$92,"Aset Henti Guna",'Daftar Koreksi'!$H$5:$H$92,"&gt;0")</f>
        <v>0</v>
      </c>
      <c r="F81" s="25">
        <f>SUMIFS('Daftar Koreksi'!$H$5:$H$92,'Daftar Koreksi'!$D$5:$D$92,'0600'!A70,'Daftar Koreksi'!$G$5:$G$92,"Aset Henti Guna",'Daftar Koreksi'!$H$5:$H$92,"&lt;0")-SUMIFS('Daftar Koreksi'!$H$5:$H$92,'Daftar Koreksi'!$D$5:$D$92,'0600'!A70,'Daftar Koreksi'!$G$5:$G$92,"Aset Henti Guna",'Daftar Koreksi'!$H$5:$H$92,"&lt;0")-SUMIFS('Daftar Koreksi'!$H$5:$H$92,'Daftar Koreksi'!$D$5:$D$92,'0600'!A70,'Daftar Koreksi'!$G$5:$G$92,"Aset Henti Guna",'Daftar Koreksi'!$H$5:$H$92,"&lt;0")</f>
        <v>0</v>
      </c>
      <c r="G81" s="17">
        <f t="shared" si="3"/>
        <v>18462621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7853956659</v>
      </c>
      <c r="E82" s="19">
        <f>SUM(E73:E81)</f>
        <v>0</v>
      </c>
      <c r="F82" s="19">
        <f>SUM(F73:F81)</f>
        <v>0</v>
      </c>
      <c r="G82" s="19">
        <f t="shared" si="3"/>
        <v>7853956659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-1360060302</v>
      </c>
      <c r="E83" s="25">
        <f>SUMIFS('Daftar Koreksi'!$I$5:$I$92,'Daftar Koreksi'!$D$5:$D$92,'0600'!A70,'Daftar Koreksi'!$G$5:$G$92,"Peralatan dan mesin",'Daftar Koreksi'!$I$5:$I$92,"&gt;0")</f>
        <v>0</v>
      </c>
      <c r="F83" s="25">
        <f>SUMIFS('Daftar Koreksi'!$I$5:$I$92,'Daftar Koreksi'!$D$5:$D$92,'0600'!A70,'Daftar Koreksi'!$G$5:$G$92,"Peralatan dan mesin",'Daftar Koreksi'!$I$5:$I$92,"&lt;0")-SUMIFS('Daftar Koreksi'!$I$5:$I$92,'Daftar Koreksi'!$D$5:$D$92,'0600'!A70,'Daftar Koreksi'!$G$5:$G$92,"Peralatan dan mesin",'Daftar Koreksi'!$I$5:$I$92,"&lt;0")-SUMIFS('Daftar Koreksi'!$I$5:$I$92,'Daftar Koreksi'!$D$5:$D$92,'0600'!A70,'Daftar Koreksi'!$G$5:$G$92,"Peralatan dan mesin",'Daftar Koreksi'!$I$5:$I$92,"&lt;0")</f>
        <v>0</v>
      </c>
      <c r="G83" s="17">
        <f t="shared" si="3"/>
        <v>-1360060302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-3711064190</v>
      </c>
      <c r="E84" s="25">
        <f>SUMIFS('Daftar Koreksi'!$I$5:$I$92,'Daftar Koreksi'!$D$5:$D$92,'0600'!A70,'Daftar Koreksi'!$G$5:$G$92,"Gedung dan Bangunan",'Daftar Koreksi'!$I$5:$I$92,"&gt;0")</f>
        <v>0</v>
      </c>
      <c r="F84" s="25">
        <f>SUMIFS('Daftar Koreksi'!$I$5:$I$92,'Daftar Koreksi'!$D$5:$D$92,'0600'!A70,'Daftar Koreksi'!$G$5:$G$92,"Gedung dan Bangunan",'Daftar Koreksi'!$I$5:$I$92,"&lt;0")-SUMIFS('Daftar Koreksi'!$I$5:$I$92,'Daftar Koreksi'!$D$5:$D$92,'0600'!A70,'Daftar Koreksi'!$G$5:$G$92,"Gedung dan Bangunan",'Daftar Koreksi'!$I$5:$I$92,"&lt;0")-SUMIFS('Daftar Koreksi'!$I$5:$I$92,'Daftar Koreksi'!$D$5:$D$92,'0600'!A70,'Daftar Koreksi'!$G$5:$G$92,"Gedung dan Bangunan",'Daftar Koreksi'!$I$5:$I$92,"&lt;0")</f>
        <v>0</v>
      </c>
      <c r="G84" s="17">
        <f t="shared" si="3"/>
        <v>-3711064190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Koreksi'!$D$5:$D$92,'0600'!A70,'Daftar Koreksi'!$G$5:$G$92,"Jalan Irigasi Jaringan",'Daftar Koreksi'!$I$5:$I$92,"&gt;0")</f>
        <v>0</v>
      </c>
      <c r="F85" s="25">
        <f>SUMIFS('Daftar Koreksi'!$I$5:$I$92,'Daftar Koreksi'!$D$5:$D$92,'0600'!A70,'Daftar Koreksi'!$G$5:$G$92,"Jalan Irigasi Jaringan",'Daftar Koreksi'!$I$5:$I$92,"&lt;0")-SUMIFS('Daftar Koreksi'!$I$5:$I$92,'Daftar Koreksi'!$D$5:$D$92,'0600'!A70,'Daftar Koreksi'!$G$5:$G$92,"Jalan Irigasi Jaringan",'Daftar Koreksi'!$I$5:$I$92,"&lt;0")-SUMIFS('Daftar Koreksi'!$I$5:$I$92,'Daftar Koreksi'!$D$5:$D$92,'0600'!A70,'Daftar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Koreksi'!$D$5:$D$92,'0600'!A70,'Daftar Koreksi'!$G$5:$G$92,"Aset Tetap Lainnya",'Daftar Koreksi'!$I$5:$I$92,"&gt;0")</f>
        <v>0</v>
      </c>
      <c r="F86" s="25">
        <f>SUMIFS('Daftar Koreksi'!$I$5:$I$92,'Daftar Koreksi'!$D$5:$D$92,'0600'!A70,'Daftar Koreksi'!$G$5:$G$92,"Aset Tetap Lainnya",'Daftar Koreksi'!$I$5:$I$92,"&lt;0")-SUMIFS('Daftar Koreksi'!$I$5:$I$92,'Daftar Koreksi'!$D$5:$D$92,'0600'!A70,'Daftar Koreksi'!$G$5:$G$92,"Aset Tetap Lainnya",'Daftar Koreksi'!$I$5:$I$92,"&lt;0")-SUMIFS('Daftar Koreksi'!$I$5:$I$92,'Daftar Koreksi'!$D$5:$D$92,'0600'!A70,'Daftar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-18261106</v>
      </c>
      <c r="E87" s="25">
        <f>SUMIFS('Daftar Koreksi'!$I$5:$I$92,'Daftar Koreksi'!$D$5:$D$92,'0600'!A70,'Daftar Koreksi'!$G$5:$G$92,"Aset Henti Guna",'Daftar Koreksi'!$I$5:$I$92,"&gt;0")</f>
        <v>0</v>
      </c>
      <c r="F87" s="25">
        <f>SUMIFS('Daftar Koreksi'!$I$5:$I$92,'Daftar Koreksi'!$D$5:$D$92,'0600'!A70,'Daftar Koreksi'!$G$5:$G$92,"Aset Henti Guna",'Daftar Koreksi'!$I$5:$I$92,"&lt;0")-SUMIFS('Daftar Koreksi'!$I$5:$I$92,'Daftar Koreksi'!$D$5:$D$92,'0600'!A70,'Daftar Koreksi'!$G$5:$G$92,"Aset Henti Guna",'Daftar Koreksi'!$I$5:$I$92,"&lt;0")-SUMIFS('Daftar Koreksi'!$I$5:$I$92,'Daftar Koreksi'!$D$5:$D$92,'0600'!A70,'Daftar Koreksi'!$G$5:$G$92,"Aset Henti Guna",'Daftar Koreksi'!$I$5:$I$92,"&lt;0")</f>
        <v>0</v>
      </c>
      <c r="G87" s="17">
        <f t="shared" si="3"/>
        <v>-18261106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-5089385598</v>
      </c>
      <c r="E88" s="19">
        <f>SUM(E83:E87)</f>
        <v>0</v>
      </c>
      <c r="F88" s="19">
        <f>SUM(F83:F87)</f>
        <v>0</v>
      </c>
      <c r="G88" s="19">
        <f t="shared" si="3"/>
        <v>-5089385598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2764571061</v>
      </c>
      <c r="E89" s="19">
        <f>E88+E82</f>
        <v>0</v>
      </c>
      <c r="F89" s="19">
        <f>F88+F82</f>
        <v>0</v>
      </c>
      <c r="G89" s="19">
        <f t="shared" si="3"/>
        <v>2764571061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005010600098476000KD</v>
      </c>
      <c r="B92" s="11" t="str">
        <f>P5</f>
        <v>PN. Beureun</v>
      </c>
      <c r="C92" s="12" t="str">
        <f>A92&amp;" "&amp;B92</f>
        <v>005010600098476000KD PN. Beureun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Koreksi'!$D$5:$D$92,'0600'!A92,'Daftar Koreksi'!$G$5:$G$92,"Persediaan",'Daftar Koreksi'!$H$5:$H$92,"&gt;0")</f>
        <v>0</v>
      </c>
      <c r="F95" s="25">
        <f>SUMIFS('Daftar Koreksi'!$H$5:$H$92,'Daftar Koreksi'!$D$5:$D$92,'0600'!A92,'Daftar Koreksi'!$G$5:$G$92,"Persediaan",'Daftar Koreksi'!$H$5:$H$92,"&lt;0")-SUMIFS('Daftar Koreksi'!$H$5:$H$92,'Daftar Koreksi'!$D$5:$D$92,'0600'!A92,'Daftar Koreksi'!$G$5:$G$92,"Persediaan",'Daftar Koreksi'!$H$5:$H$92,"&lt;0")-SUMIFS('Daftar Koreksi'!$H$5:$H$92,'Daftar Koreksi'!$D$5:$D$92,'0600'!A92,'Daftar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1915199850</v>
      </c>
      <c r="E96" s="25">
        <f>SUMIFS('Daftar Koreksi'!$H$5:$H$92,'Daftar Koreksi'!$D$5:$D$92,'0600'!A92,'Daftar Koreksi'!$G$5:$G$92,"Tanah",'Daftar Koreksi'!$H$5:$H$92,"&gt;0")</f>
        <v>0</v>
      </c>
      <c r="F96" s="25">
        <f>SUMIFS('Daftar Koreksi'!$H$5:$H$92,'Daftar Koreksi'!$D$5:$D$92,'0600'!A92,'Daftar Koreksi'!$G$5:$G$92,"Tanah",'Daftar Koreksi'!$H$5:$H$92,"&lt;0")-SUMIFS('Daftar Koreksi'!$H$5:$H$92,'Daftar Koreksi'!$D$5:$D$92,'0600'!A92,'Daftar Koreksi'!$G$5:$G$92,"Tanah",'Daftar Koreksi'!$H$5:$H$92,"&lt;0")-SUMIFS('Daftar Koreksi'!$H$5:$H$92,'Daftar Koreksi'!$D$5:$D$92,'0600'!A92,'Daftar Koreksi'!$G$5:$G$92,"Tanah",'Daftar Koreksi'!$H$5:$H$92,"&lt;0")</f>
        <v>0</v>
      </c>
      <c r="G96" s="17">
        <f t="shared" ref="G96:G112" si="4">D96+E96-F96</f>
        <v>1915199850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1555558352</v>
      </c>
      <c r="E97" s="25">
        <f>SUMIFS('Daftar Koreksi'!$H$5:$H$92,'Daftar Koreksi'!$D$5:$D$92,'0600'!A92,'Daftar Koreksi'!$G$5:$G$92,"Peralatan dan mesin",'Daftar Koreksi'!$H$5:$H$92,"&gt;0")</f>
        <v>0</v>
      </c>
      <c r="F97" s="25">
        <f>SUMIFS('Daftar Koreksi'!$H$5:$H$92,'Daftar Koreksi'!$D$5:$D$92,'0600'!A92,'Daftar Koreksi'!$G$5:$G$92,"Peralatan dan mesin",'Daftar Koreksi'!$H$5:$H$92,"&lt;0")-SUMIFS('Daftar Koreksi'!$H$5:$H$92,'Daftar Koreksi'!$D$5:$D$92,'0600'!A92,'Daftar Koreksi'!$G$5:$G$92,"Peralatan dan mesin",'Daftar Koreksi'!$H$5:$H$92,"&lt;0")-SUMIFS('Daftar Koreksi'!$H$5:$H$92,'Daftar Koreksi'!$D$5:$D$92,'0600'!A92,'Daftar Koreksi'!$G$5:$G$92,"Peralatan dan mesin",'Daftar Koreksi'!$H$5:$H$92,"&lt;0")</f>
        <v>0</v>
      </c>
      <c r="G97" s="17">
        <f t="shared" si="4"/>
        <v>1555558352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3166676000</v>
      </c>
      <c r="E98" s="25">
        <f>SUMIFS('Daftar Koreksi'!$H$5:$H$92,'Daftar Koreksi'!$D$5:$D$92,'0600'!A92,'Daftar Koreksi'!$G$5:$G$92,"Gedung dan Bangunan",'Daftar Koreksi'!$H$5:$H$92,"&gt;0")</f>
        <v>0</v>
      </c>
      <c r="F98" s="25">
        <f>SUMIFS('Daftar Koreksi'!$H$5:$H$92,'Daftar Koreksi'!$D$5:$D$92,'0600'!A92,'Daftar Koreksi'!$G$5:$G$92,"Gedung dan Bangunan",'Daftar Koreksi'!$H$5:$H$92,"&lt;0")-SUMIFS('Daftar Koreksi'!$H$5:$H$92,'Daftar Koreksi'!$D$5:$D$92,'0600'!A92,'Daftar Koreksi'!$G$5:$G$92,"Gedung dan Bangunan",'Daftar Koreksi'!$H$5:$H$92,"&lt;0")-SUMIFS('Daftar Koreksi'!$H$5:$H$92,'Daftar Koreksi'!$D$5:$D$92,'0600'!A92,'Daftar Koreksi'!$G$5:$G$92,"Gedung dan Bangunan",'Daftar Koreksi'!$H$5:$H$92,"&lt;0")</f>
        <v>0</v>
      </c>
      <c r="G98" s="17">
        <f t="shared" si="4"/>
        <v>3166676000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50000000</v>
      </c>
      <c r="E99" s="25">
        <f>SUMIFS('Daftar Koreksi'!$H$5:$H$92,'Daftar Koreksi'!$D$5:$D$92,'0600'!A92,'Daftar Koreksi'!$G$5:$G$92,"Jalan Irigasi Jaringan",'Daftar Koreksi'!$H$5:$H$92,"&gt;0")</f>
        <v>0</v>
      </c>
      <c r="F99" s="25">
        <f>SUMIFS('Daftar Koreksi'!$H$5:$H$92,'Daftar Koreksi'!$D$5:$D$92,'0600'!A92,'Daftar Koreksi'!$G$5:$G$92,"Jalan Irigasi Jaringan",'Daftar Koreksi'!$H$5:$H$92,"&lt;0")-SUMIFS('Daftar Koreksi'!$H$5:$H$92,'Daftar Koreksi'!$D$5:$D$92,'0600'!A92,'Daftar Koreksi'!$G$5:$G$92,"Jalan Irigasi Jaringan",'Daftar Koreksi'!$H$5:$H$92,"&lt;0")-SUMIFS('Daftar Koreksi'!$H$5:$H$92,'Daftar Koreksi'!$D$5:$D$92,'0600'!A92,'Daftar Koreksi'!$G$5:$G$92,"Jalan Irigasi Jaringan",'Daftar Koreksi'!$H$5:$H$92,"&lt;0")</f>
        <v>0</v>
      </c>
      <c r="G99" s="17">
        <f t="shared" si="4"/>
        <v>50000000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1943440</v>
      </c>
      <c r="E100" s="25">
        <f>SUMIFS('Daftar Koreksi'!$H$5:$H$92,'Daftar Koreksi'!$D$5:$D$92,'0600'!A92,'Daftar Koreksi'!$G$5:$G$92,"Aset Tetap Lainnya",'Daftar Koreksi'!$H$5:$H$92,"&gt;0")</f>
        <v>0</v>
      </c>
      <c r="F100" s="25">
        <f>SUMIFS('Daftar Koreksi'!$H$5:$H$92,'Daftar Koreksi'!$D$5:$D$92,'0600'!A92,'Daftar Koreksi'!$G$5:$G$92,"Aset Tetap Lainnya",'Daftar Koreksi'!$H$5:$H$92,"&lt;0")-SUMIFS('Daftar Koreksi'!$H$5:$H$92,'Daftar Koreksi'!$D$5:$D$92,'0600'!A92,'Daftar Koreksi'!$G$5:$G$92,"Aset Tetap Lainnya",'Daftar Koreksi'!$H$5:$H$92,"&lt;0")-SUMIFS('Daftar Koreksi'!$H$5:$H$92,'Daftar Koreksi'!$D$5:$D$92,'0600'!A92,'Daftar Koreksi'!$G$5:$G$92,"Aset Tetap Lainnya",'Daftar Koreksi'!$H$5:$H$92,"&lt;0")</f>
        <v>0</v>
      </c>
      <c r="G100" s="17">
        <f t="shared" si="4"/>
        <v>1943440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Koreksi'!$D$5:$D$92,'0600'!A92,'Daftar Koreksi'!$G$5:$G$92,"Kontruksi Dalam Pengerjaan",'Daftar Koreksi'!$H$5:$H$92,"&gt;0")</f>
        <v>0</v>
      </c>
      <c r="F101" s="25">
        <f>SUMIFS('Daftar Koreksi'!$H$5:$H$92,'Daftar Koreksi'!$D$5:$D$92,'0600'!A92,'Daftar Koreksi'!$G$5:$G$92,"Kontruksi Dalam Pengerjaan",'Daftar Koreksi'!$H$5:$H$92,"&lt;0")-SUMIFS('Daftar Koreksi'!$H$5:$H$92,'Daftar Koreksi'!$D$5:$D$92,'0600'!A92,'Daftar Koreksi'!$G$5:$G$92,"Kontruksi Dalam Pengerjaan",'Daftar Koreksi'!$H$5:$H$92,"&lt;0")-SUMIFS('Daftar Koreksi'!$H$5:$H$92,'Daftar Koreksi'!$D$5:$D$92,'0600'!A92,'Daftar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7600000</v>
      </c>
      <c r="E102" s="25">
        <f>SUMIFS('Daftar Koreksi'!$H$5:$H$92,'Daftar Koreksi'!$D$5:$D$92,'0600'!A92,'Daftar Koreksi'!$G$5:$G$92,"Aset Tak Berwujud",'Daftar Koreksi'!$H$5:$H$92,"&gt;0")</f>
        <v>0</v>
      </c>
      <c r="F102" s="25">
        <f>SUMIFS('Daftar Koreksi'!$H$5:$H$92,'Daftar Koreksi'!$D$5:$D$92,'0600'!A92,'Daftar Koreksi'!$G$5:$G$92,"Aset Tak Berwujud",'Daftar Koreksi'!$H$5:$H$92,"&lt;0")-SUMIFS('Daftar Koreksi'!$H$5:$H$92,'Daftar Koreksi'!$D$5:$D$92,'0600'!A92,'Daftar Koreksi'!$G$5:$G$92,"Aset Tak Berwujud",'Daftar Koreksi'!$H$5:$H$92,"&lt;0")-SUMIFS('Daftar Koreksi'!$H$5:$H$92,'Daftar Koreksi'!$D$5:$D$92,'0600'!A92,'Daftar Koreksi'!$G$5:$G$92,"Aset Tak Berwujud",'Daftar Koreksi'!$H$5:$H$92,"&lt;0")</f>
        <v>0</v>
      </c>
      <c r="G102" s="17">
        <f t="shared" si="4"/>
        <v>7600000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Koreksi'!$D$5:$D$92,'0600'!A92,'Daftar Koreksi'!$G$5:$G$92,"Aset Henti Guna",'Daftar Koreksi'!$H$5:$H$92,"&gt;0")</f>
        <v>0</v>
      </c>
      <c r="F103" s="25">
        <f>SUMIFS('Daftar Koreksi'!$H$5:$H$92,'Daftar Koreksi'!$D$5:$D$92,'0600'!A92,'Daftar Koreksi'!$G$5:$G$92,"Aset Henti Guna",'Daftar Koreksi'!$H$5:$H$92,"&lt;0")-SUMIFS('Daftar Koreksi'!$H$5:$H$92,'Daftar Koreksi'!$D$5:$D$92,'0600'!A92,'Daftar Koreksi'!$G$5:$G$92,"Aset Henti Guna",'Daftar Koreksi'!$H$5:$H$92,"&lt;0")-SUMIFS('Daftar Koreksi'!$H$5:$H$92,'Daftar Koreksi'!$D$5:$D$92,'0600'!A92,'Daftar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6696977642</v>
      </c>
      <c r="E104" s="19">
        <f>SUM(E95:E103)</f>
        <v>0</v>
      </c>
      <c r="F104" s="19">
        <f>SUM(F95:F103)</f>
        <v>0</v>
      </c>
      <c r="G104" s="19">
        <f t="shared" si="4"/>
        <v>6696977642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-1367742943</v>
      </c>
      <c r="E105" s="25">
        <f>SUMIFS('Daftar Koreksi'!$I$5:$I$92,'Daftar Koreksi'!$D$5:$D$92,'0600'!A92,'Daftar Koreksi'!$G$5:$G$92,"Peralatan dan mesin",'Daftar Koreksi'!$I$5:$I$92,"&gt;0")</f>
        <v>0</v>
      </c>
      <c r="F105" s="25">
        <f>SUMIFS('Daftar Koreksi'!$I$5:$I$92,'Daftar Koreksi'!$D$5:$D$92,'0600'!A92,'Daftar Koreksi'!$G$5:$G$92,"Peralatan dan mesin",'Daftar Koreksi'!$I$5:$I$92,"&lt;0")-SUMIFS('Daftar Koreksi'!$I$5:$I$92,'Daftar Koreksi'!$D$5:$D$92,'0600'!A92,'Daftar Koreksi'!$G$5:$G$92,"Peralatan dan mesin",'Daftar Koreksi'!$I$5:$I$92,"&lt;0")-SUMIFS('Daftar Koreksi'!$I$5:$I$92,'Daftar Koreksi'!$D$5:$D$92,'0600'!A92,'Daftar Koreksi'!$G$5:$G$92,"Peralatan dan mesin",'Daftar Koreksi'!$I$5:$I$92,"&lt;0")</f>
        <v>0</v>
      </c>
      <c r="G105" s="17">
        <f t="shared" si="4"/>
        <v>-1367742943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-2139802920</v>
      </c>
      <c r="E106" s="25">
        <f>SUMIFS('Daftar Koreksi'!$I$5:$I$92,'Daftar Koreksi'!$D$5:$D$92,'0600'!A92,'Daftar Koreksi'!$G$5:$G$92,"Gedung dan Bangunan",'Daftar Koreksi'!$I$5:$I$92,"&gt;0")</f>
        <v>0</v>
      </c>
      <c r="F106" s="25">
        <f>SUMIFS('Daftar Koreksi'!$I$5:$I$92,'Daftar Koreksi'!$D$5:$D$92,'0600'!A92,'Daftar Koreksi'!$G$5:$G$92,"Gedung dan Bangunan",'Daftar Koreksi'!$I$5:$I$92,"&lt;0")-SUMIFS('Daftar Koreksi'!$I$5:$I$92,'Daftar Koreksi'!$D$5:$D$92,'0600'!A92,'Daftar Koreksi'!$G$5:$G$92,"Gedung dan Bangunan",'Daftar Koreksi'!$I$5:$I$92,"&lt;0")-SUMIFS('Daftar Koreksi'!$I$5:$I$92,'Daftar Koreksi'!$D$5:$D$92,'0600'!A92,'Daftar Koreksi'!$G$5:$G$92,"Gedung dan Bangunan",'Daftar Koreksi'!$I$5:$I$92,"&lt;0")</f>
        <v>0</v>
      </c>
      <c r="G106" s="17">
        <f t="shared" si="4"/>
        <v>-2139802920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-40000000</v>
      </c>
      <c r="E107" s="25">
        <f>SUMIFS('Daftar Koreksi'!$I$5:$I$92,'Daftar Koreksi'!$D$5:$D$92,'0600'!A92,'Daftar Koreksi'!$G$5:$G$92,"Jalan Irigasi Jaringan",'Daftar Koreksi'!$I$5:$I$92,"&gt;0")</f>
        <v>0</v>
      </c>
      <c r="F107" s="25">
        <f>SUMIFS('Daftar Koreksi'!$I$5:$I$92,'Daftar Koreksi'!$D$5:$D$92,'0600'!A92,'Daftar Koreksi'!$G$5:$G$92,"Jalan Irigasi Jaringan",'Daftar Koreksi'!$I$5:$I$92,"&lt;0")-SUMIFS('Daftar Koreksi'!$I$5:$I$92,'Daftar Koreksi'!$D$5:$D$92,'0600'!A92,'Daftar Koreksi'!$G$5:$G$92,"Jalan Irigasi Jaringan",'Daftar Koreksi'!$I$5:$I$92,"&lt;0")-SUMIFS('Daftar Koreksi'!$I$5:$I$92,'Daftar Koreksi'!$D$5:$D$92,'0600'!A92,'Daftar Koreksi'!$G$5:$G$92,"Jalan Irigasi Jaringan",'Daftar Koreksi'!$I$5:$I$92,"&lt;0")</f>
        <v>0</v>
      </c>
      <c r="G107" s="17">
        <f t="shared" si="4"/>
        <v>-40000000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Koreksi'!$D$5:$D$92,'0600'!A92,'Daftar Koreksi'!$G$5:$G$92,"Aset Tetap Lainnya",'Daftar Koreksi'!$I$5:$I$92,"&gt;0")</f>
        <v>0</v>
      </c>
      <c r="F108" s="25">
        <f>SUMIFS('Daftar Koreksi'!$I$5:$I$92,'Daftar Koreksi'!$D$5:$D$92,'0600'!A92,'Daftar Koreksi'!$G$5:$G$92,"Aset Tetap Lainnya",'Daftar Koreksi'!$I$5:$I$92,"&lt;0")-SUMIFS('Daftar Koreksi'!$I$5:$I$92,'Daftar Koreksi'!$D$5:$D$92,'0600'!A92,'Daftar Koreksi'!$G$5:$G$92,"Aset Tetap Lainnya",'Daftar Koreksi'!$I$5:$I$92,"&lt;0")-SUMIFS('Daftar Koreksi'!$I$5:$I$92,'Daftar Koreksi'!$D$5:$D$92,'0600'!A92,'Daftar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Koreksi'!$D$5:$D$92,'0600'!A92,'Daftar Koreksi'!$G$5:$G$92,"Aset Henti Guna",'Daftar Koreksi'!$I$5:$I$92,"&gt;0")</f>
        <v>0</v>
      </c>
      <c r="F109" s="25">
        <f>SUMIFS('Daftar Koreksi'!$I$5:$I$92,'Daftar Koreksi'!$D$5:$D$92,'0600'!A92,'Daftar Koreksi'!$G$5:$G$92,"Aset Henti Guna",'Daftar Koreksi'!$I$5:$I$92,"&lt;0")-SUMIFS('Daftar Koreksi'!$I$5:$I$92,'Daftar Koreksi'!$D$5:$D$92,'0600'!A92,'Daftar Koreksi'!$G$5:$G$92,"Aset Henti Guna",'Daftar Koreksi'!$I$5:$I$92,"&lt;0")-SUMIFS('Daftar Koreksi'!$I$5:$I$92,'Daftar Koreksi'!$D$5:$D$92,'0600'!A92,'Daftar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-3547545863</v>
      </c>
      <c r="E110" s="19">
        <f>SUM(E105:E109)</f>
        <v>0</v>
      </c>
      <c r="F110" s="19">
        <f>SUM(F105:F109)</f>
        <v>0</v>
      </c>
      <c r="G110" s="19">
        <f t="shared" si="4"/>
        <v>-3547545863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3149431779</v>
      </c>
      <c r="E111" s="19">
        <f>E110+E104</f>
        <v>0</v>
      </c>
      <c r="F111" s="19">
        <f>F110+F104</f>
        <v>0</v>
      </c>
      <c r="G111" s="19">
        <f t="shared" si="4"/>
        <v>3149431779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005010600098480000KD</v>
      </c>
      <c r="B114" s="11" t="str">
        <f>P6</f>
        <v>PN. Lhok Sukon</v>
      </c>
      <c r="C114" s="12" t="str">
        <f>A114&amp;" "&amp;B114</f>
        <v>005010600098480000KD PN. Lhok Sukon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766500</v>
      </c>
      <c r="E117" s="25">
        <f>SUMIFS('Daftar Koreksi'!$H$5:$H$92,'Daftar Koreksi'!$D$5:$D$92,'0600'!A114,'Daftar Koreksi'!$G$5:$G$92,"Persediaan",'Daftar Koreksi'!$H$5:$H$92,"&gt;0")</f>
        <v>0</v>
      </c>
      <c r="F117" s="25">
        <f>SUMIFS('Daftar Koreksi'!$H$5:$H$92,'Daftar Koreksi'!$D$5:$D$92,'0600'!A114,'Daftar Koreksi'!$G$5:$G$92,"Persediaan",'Daftar Koreksi'!$H$5:$H$92,"&lt;0")-SUMIFS('Daftar Koreksi'!$H$5:$H$92,'Daftar Koreksi'!$D$5:$D$92,'0600'!A114,'Daftar Koreksi'!$G$5:$G$92,"Persediaan",'Daftar Koreksi'!$H$5:$H$92,"&lt;0")-SUMIFS('Daftar Koreksi'!$H$5:$H$92,'Daftar Koreksi'!$D$5:$D$92,'0600'!A114,'Daftar Koreksi'!$G$5:$G$92,"Persediaan",'Daftar Koreksi'!$H$5:$H$92,"&lt;0")</f>
        <v>0</v>
      </c>
      <c r="G117" s="17">
        <f>D117+E117-F117</f>
        <v>766500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2874867750</v>
      </c>
      <c r="E118" s="25">
        <f>SUMIFS('Daftar Koreksi'!$H$5:$H$92,'Daftar Koreksi'!$D$5:$D$92,'0600'!A114,'Daftar Koreksi'!$G$5:$G$92,"Tanah",'Daftar Koreksi'!$H$5:$H$92,"&gt;0")</f>
        <v>0</v>
      </c>
      <c r="F118" s="25">
        <f>SUMIFS('Daftar Koreksi'!$H$5:$H$92,'Daftar Koreksi'!$D$5:$D$92,'0600'!A114,'Daftar Koreksi'!$G$5:$G$92,"Tanah",'Daftar Koreksi'!$H$5:$H$92,"&lt;0")-SUMIFS('Daftar Koreksi'!$H$5:$H$92,'Daftar Koreksi'!$D$5:$D$92,'0600'!A114,'Daftar Koreksi'!$G$5:$G$92,"Tanah",'Daftar Koreksi'!$H$5:$H$92,"&lt;0")-SUMIFS('Daftar Koreksi'!$H$5:$H$92,'Daftar Koreksi'!$D$5:$D$92,'0600'!A114,'Daftar Koreksi'!$G$5:$G$92,"Tanah",'Daftar Koreksi'!$H$5:$H$92,"&lt;0")</f>
        <v>0</v>
      </c>
      <c r="G118" s="17">
        <f t="shared" ref="G118:G134" si="5">D118+E118-F118</f>
        <v>2874867750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1980854000</v>
      </c>
      <c r="E119" s="25">
        <f>SUMIFS('Daftar Koreksi'!$H$5:$H$92,'Daftar Koreksi'!$D$5:$D$92,'0600'!A114,'Daftar Koreksi'!$G$5:$G$92,"Peralatan dan mesin",'Daftar Koreksi'!$H$5:$H$92,"&gt;0")</f>
        <v>0</v>
      </c>
      <c r="F119" s="25">
        <f>SUMIFS('Daftar Koreksi'!$H$5:$H$92,'Daftar Koreksi'!$D$5:$D$92,'0600'!A114,'Daftar Koreksi'!$G$5:$G$92,"Peralatan dan mesin",'Daftar Koreksi'!$H$5:$H$92,"&lt;0")-SUMIFS('Daftar Koreksi'!$H$5:$H$92,'Daftar Koreksi'!$D$5:$D$92,'0600'!A114,'Daftar Koreksi'!$G$5:$G$92,"Peralatan dan mesin",'Daftar Koreksi'!$H$5:$H$92,"&lt;0")-SUMIFS('Daftar Koreksi'!$H$5:$H$92,'Daftar Koreksi'!$D$5:$D$92,'0600'!A114,'Daftar Koreksi'!$G$5:$G$92,"Peralatan dan mesin",'Daftar Koreksi'!$H$5:$H$92,"&lt;0")</f>
        <v>0</v>
      </c>
      <c r="G119" s="17">
        <f t="shared" si="5"/>
        <v>1980854000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16249605590</v>
      </c>
      <c r="E120" s="25">
        <f>SUMIFS('Daftar Koreksi'!$H$5:$H$92,'Daftar Koreksi'!$D$5:$D$92,'0600'!A114,'Daftar Koreksi'!$G$5:$G$92,"Gedung dan Bangunan",'Daftar Koreksi'!$H$5:$H$92,"&gt;0")</f>
        <v>0</v>
      </c>
      <c r="F120" s="25">
        <f>SUMIFS('Daftar Koreksi'!$H$5:$H$92,'Daftar Koreksi'!$D$5:$D$92,'0600'!A114,'Daftar Koreksi'!$G$5:$G$92,"Gedung dan Bangunan",'Daftar Koreksi'!$H$5:$H$92,"&lt;0")-SUMIFS('Daftar Koreksi'!$H$5:$H$92,'Daftar Koreksi'!$D$5:$D$92,'0600'!A114,'Daftar Koreksi'!$G$5:$G$92,"Gedung dan Bangunan",'Daftar Koreksi'!$H$5:$H$92,"&lt;0")-SUMIFS('Daftar Koreksi'!$H$5:$H$92,'Daftar Koreksi'!$D$5:$D$92,'0600'!A114,'Daftar Koreksi'!$G$5:$G$92,"Gedung dan Bangunan",'Daftar Koreksi'!$H$5:$H$92,"&lt;0")</f>
        <v>0</v>
      </c>
      <c r="G120" s="17">
        <f t="shared" si="5"/>
        <v>16249605590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Koreksi'!$D$5:$D$92,'0600'!A114,'Daftar Koreksi'!$G$5:$G$92,"Jalan Irigasi Jaringan",'Daftar Koreksi'!$H$5:$H$92,"&gt;0")</f>
        <v>0</v>
      </c>
      <c r="F121" s="25">
        <f>SUMIFS('Daftar Koreksi'!$H$5:$H$92,'Daftar Koreksi'!$D$5:$D$92,'0600'!A114,'Daftar Koreksi'!$G$5:$G$92,"Jalan Irigasi Jaringan",'Daftar Koreksi'!$H$5:$H$92,"&lt;0")-SUMIFS('Daftar Koreksi'!$H$5:$H$92,'Daftar Koreksi'!$D$5:$D$92,'0600'!A114,'Daftar Koreksi'!$G$5:$G$92,"Jalan Irigasi Jaringan",'Daftar Koreksi'!$H$5:$H$92,"&lt;0")-SUMIFS('Daftar Koreksi'!$H$5:$H$92,'Daftar Koreksi'!$D$5:$D$92,'0600'!A114,'Daftar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3543440</v>
      </c>
      <c r="E122" s="25">
        <f>SUMIFS('Daftar Koreksi'!$H$5:$H$92,'Daftar Koreksi'!$D$5:$D$92,'0600'!A114,'Daftar Koreksi'!$G$5:$G$92,"Aset Tetap Lainnya",'Daftar Koreksi'!$H$5:$H$92,"&gt;0")</f>
        <v>0</v>
      </c>
      <c r="F122" s="25">
        <f>SUMIFS('Daftar Koreksi'!$H$5:$H$92,'Daftar Koreksi'!$D$5:$D$92,'0600'!A114,'Daftar Koreksi'!$G$5:$G$92,"Aset Tetap Lainnya",'Daftar Koreksi'!$H$5:$H$92,"&lt;0")-SUMIFS('Daftar Koreksi'!$H$5:$H$92,'Daftar Koreksi'!$D$5:$D$92,'0600'!A114,'Daftar Koreksi'!$G$5:$G$92,"Aset Tetap Lainnya",'Daftar Koreksi'!$H$5:$H$92,"&lt;0")-SUMIFS('Daftar Koreksi'!$H$5:$H$92,'Daftar Koreksi'!$D$5:$D$92,'0600'!A114,'Daftar Koreksi'!$G$5:$G$92,"Aset Tetap Lainnya",'Daftar Koreksi'!$H$5:$H$92,"&lt;0")</f>
        <v>0</v>
      </c>
      <c r="G122" s="17">
        <f t="shared" si="5"/>
        <v>3543440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Koreksi'!$D$5:$D$92,'0600'!A114,'Daftar Koreksi'!$G$5:$G$92,"Kontruksi Dalam Pengerjaan",'Daftar Koreksi'!$H$5:$H$92,"&gt;0")</f>
        <v>0</v>
      </c>
      <c r="F123" s="25">
        <f>SUMIFS('Daftar Koreksi'!$H$5:$H$92,'Daftar Koreksi'!$D$5:$D$92,'0600'!A114,'Daftar Koreksi'!$G$5:$G$92,"Kontruksi Dalam Pengerjaan",'Daftar Koreksi'!$H$5:$H$92,"&lt;0")-SUMIFS('Daftar Koreksi'!$H$5:$H$92,'Daftar Koreksi'!$D$5:$D$92,'0600'!A114,'Daftar Koreksi'!$G$5:$G$92,"Kontruksi Dalam Pengerjaan",'Daftar Koreksi'!$H$5:$H$92,"&lt;0")-SUMIFS('Daftar Koreksi'!$H$5:$H$92,'Daftar Koreksi'!$D$5:$D$92,'0600'!A114,'Daftar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Koreksi'!$D$5:$D$92,'0600'!A114,'Daftar Koreksi'!$G$5:$G$92,"Aset Tak Berwujud",'Daftar Koreksi'!$H$5:$H$92,"&gt;0")</f>
        <v>0</v>
      </c>
      <c r="F124" s="25">
        <f>SUMIFS('Daftar Koreksi'!$H$5:$H$92,'Daftar Koreksi'!$D$5:$D$92,'0600'!A114,'Daftar Koreksi'!$G$5:$G$92,"Aset Tak Berwujud",'Daftar Koreksi'!$H$5:$H$92,"&lt;0")-SUMIFS('Daftar Koreksi'!$H$5:$H$92,'Daftar Koreksi'!$D$5:$D$92,'0600'!A114,'Daftar Koreksi'!$G$5:$G$92,"Aset Tak Berwujud",'Daftar Koreksi'!$H$5:$H$92,"&lt;0")-SUMIFS('Daftar Koreksi'!$H$5:$H$92,'Daftar Koreksi'!$D$5:$D$92,'0600'!A114,'Daftar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93320000</v>
      </c>
      <c r="E125" s="25">
        <f>SUMIFS('Daftar Koreksi'!$H$5:$H$92,'Daftar Koreksi'!$D$5:$D$92,'0600'!A114,'Daftar Koreksi'!$G$5:$G$92,"Aset Henti Guna",'Daftar Koreksi'!$H$5:$H$92,"&gt;0")</f>
        <v>0</v>
      </c>
      <c r="F125" s="25">
        <f>SUMIFS('Daftar Koreksi'!$H$5:$H$92,'Daftar Koreksi'!$D$5:$D$92,'0600'!A114,'Daftar Koreksi'!$G$5:$G$92,"Aset Henti Guna",'Daftar Koreksi'!$H$5:$H$92,"&lt;0")-SUMIFS('Daftar Koreksi'!$H$5:$H$92,'Daftar Koreksi'!$D$5:$D$92,'0600'!A114,'Daftar Koreksi'!$G$5:$G$92,"Aset Henti Guna",'Daftar Koreksi'!$H$5:$H$92,"&lt;0")-SUMIFS('Daftar Koreksi'!$H$5:$H$92,'Daftar Koreksi'!$D$5:$D$92,'0600'!A114,'Daftar Koreksi'!$G$5:$G$92,"Aset Henti Guna",'Daftar Koreksi'!$H$5:$H$92,"&lt;0")</f>
        <v>0</v>
      </c>
      <c r="G125" s="17">
        <f t="shared" si="5"/>
        <v>93320000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21202957280</v>
      </c>
      <c r="E126" s="19">
        <f>SUM(E117:E125)</f>
        <v>0</v>
      </c>
      <c r="F126" s="19">
        <f>SUM(F117:F125)</f>
        <v>0</v>
      </c>
      <c r="G126" s="19">
        <f t="shared" si="5"/>
        <v>21202957280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-1365979590</v>
      </c>
      <c r="E127" s="25">
        <f>SUMIFS('Daftar Koreksi'!$I$5:$I$92,'Daftar Koreksi'!$D$5:$D$92,'0600'!A114,'Daftar Koreksi'!$G$5:$G$92,"Peralatan dan mesin",'Daftar Koreksi'!$I$5:$I$92,"&gt;0")</f>
        <v>0</v>
      </c>
      <c r="F127" s="25">
        <f>SUMIFS('Daftar Koreksi'!$I$5:$I$92,'Daftar Koreksi'!$D$5:$D$92,'0600'!A114,'Daftar Koreksi'!$G$5:$G$92,"Peralatan dan mesin",'Daftar Koreksi'!$I$5:$I$92,"&lt;0")-SUMIFS('Daftar Koreksi'!$I$5:$I$92,'Daftar Koreksi'!$D$5:$D$92,'0600'!A114,'Daftar Koreksi'!$G$5:$G$92,"Peralatan dan mesin",'Daftar Koreksi'!$I$5:$I$92,"&lt;0")-SUMIFS('Daftar Koreksi'!$I$5:$I$92,'Daftar Koreksi'!$D$5:$D$92,'0600'!A114,'Daftar Koreksi'!$G$5:$G$92,"Peralatan dan mesin",'Daftar Koreksi'!$I$5:$I$92,"&lt;0")</f>
        <v>0</v>
      </c>
      <c r="G127" s="17">
        <f t="shared" si="5"/>
        <v>-1365979590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-4761221907</v>
      </c>
      <c r="E128" s="25">
        <f>SUMIFS('Daftar Koreksi'!$I$5:$I$92,'Daftar Koreksi'!$D$5:$D$92,'0600'!A114,'Daftar Koreksi'!$G$5:$G$92,"Gedung dan Bangunan",'Daftar Koreksi'!$I$5:$I$92,"&gt;0")</f>
        <v>0</v>
      </c>
      <c r="F128" s="25">
        <f>SUMIFS('Daftar Koreksi'!$I$5:$I$92,'Daftar Koreksi'!$D$5:$D$92,'0600'!A114,'Daftar Koreksi'!$G$5:$G$92,"Gedung dan Bangunan",'Daftar Koreksi'!$I$5:$I$92,"&lt;0")-SUMIFS('Daftar Koreksi'!$I$5:$I$92,'Daftar Koreksi'!$D$5:$D$92,'0600'!A114,'Daftar Koreksi'!$G$5:$G$92,"Gedung dan Bangunan",'Daftar Koreksi'!$I$5:$I$92,"&lt;0")-SUMIFS('Daftar Koreksi'!$I$5:$I$92,'Daftar Koreksi'!$D$5:$D$92,'0600'!A114,'Daftar Koreksi'!$G$5:$G$92,"Gedung dan Bangunan",'Daftar Koreksi'!$I$5:$I$92,"&lt;0")</f>
        <v>0</v>
      </c>
      <c r="G128" s="17">
        <f t="shared" si="5"/>
        <v>-4761221907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Koreksi'!$D$5:$D$92,'0600'!A114,'Daftar Koreksi'!$G$5:$G$92,"Jalan Irigasi Jaringan",'Daftar Koreksi'!$I$5:$I$92,"&gt;0")</f>
        <v>0</v>
      </c>
      <c r="F129" s="25">
        <f>SUMIFS('Daftar Koreksi'!$I$5:$I$92,'Daftar Koreksi'!$D$5:$D$92,'0600'!A114,'Daftar Koreksi'!$G$5:$G$92,"Jalan Irigasi Jaringan",'Daftar Koreksi'!$I$5:$I$92,"&lt;0")-SUMIFS('Daftar Koreksi'!$I$5:$I$92,'Daftar Koreksi'!$D$5:$D$92,'0600'!A114,'Daftar Koreksi'!$G$5:$G$92,"Jalan Irigasi Jaringan",'Daftar Koreksi'!$I$5:$I$92,"&lt;0")-SUMIFS('Daftar Koreksi'!$I$5:$I$92,'Daftar Koreksi'!$D$5:$D$92,'0600'!A114,'Daftar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Koreksi'!$D$5:$D$92,'0600'!A114,'Daftar Koreksi'!$G$5:$G$92,"Aset Tetap Lainnya",'Daftar Koreksi'!$I$5:$I$92,"&gt;0")</f>
        <v>0</v>
      </c>
      <c r="F130" s="25">
        <f>SUMIFS('Daftar Koreksi'!$I$5:$I$92,'Daftar Koreksi'!$D$5:$D$92,'0600'!A114,'Daftar Koreksi'!$G$5:$G$92,"Aset Tetap Lainnya",'Daftar Koreksi'!$I$5:$I$92,"&lt;0")-SUMIFS('Daftar Koreksi'!$I$5:$I$92,'Daftar Koreksi'!$D$5:$D$92,'0600'!A114,'Daftar Koreksi'!$G$5:$G$92,"Aset Tetap Lainnya",'Daftar Koreksi'!$I$5:$I$92,"&lt;0")-SUMIFS('Daftar Koreksi'!$I$5:$I$92,'Daftar Koreksi'!$D$5:$D$92,'0600'!A114,'Daftar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-93320000</v>
      </c>
      <c r="E131" s="25">
        <f>SUMIFS('Daftar Koreksi'!$I$5:$I$92,'Daftar Koreksi'!$D$5:$D$92,'0600'!A114,'Daftar Koreksi'!$G$5:$G$92,"Aset Henti Guna",'Daftar Koreksi'!$I$5:$I$92,"&gt;0")</f>
        <v>0</v>
      </c>
      <c r="F131" s="25">
        <f>SUMIFS('Daftar Koreksi'!$I$5:$I$92,'Daftar Koreksi'!$D$5:$D$92,'0600'!A114,'Daftar Koreksi'!$G$5:$G$92,"Aset Henti Guna",'Daftar Koreksi'!$I$5:$I$92,"&lt;0")-SUMIFS('Daftar Koreksi'!$I$5:$I$92,'Daftar Koreksi'!$D$5:$D$92,'0600'!A114,'Daftar Koreksi'!$G$5:$G$92,"Aset Henti Guna",'Daftar Koreksi'!$I$5:$I$92,"&lt;0")-SUMIFS('Daftar Koreksi'!$I$5:$I$92,'Daftar Koreksi'!$D$5:$D$92,'0600'!A114,'Daftar Koreksi'!$G$5:$G$92,"Aset Henti Guna",'Daftar Koreksi'!$I$5:$I$92,"&lt;0")</f>
        <v>0</v>
      </c>
      <c r="G131" s="17">
        <f t="shared" si="5"/>
        <v>-93320000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-6220521497</v>
      </c>
      <c r="E132" s="19">
        <f>SUM(E127:E131)</f>
        <v>0</v>
      </c>
      <c r="F132" s="19">
        <f>SUM(F127:F131)</f>
        <v>0</v>
      </c>
      <c r="G132" s="19">
        <f t="shared" si="5"/>
        <v>-6220521497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14982435783</v>
      </c>
      <c r="E133" s="19">
        <f>E132+E126</f>
        <v>0</v>
      </c>
      <c r="F133" s="19">
        <f>F132+F126</f>
        <v>0</v>
      </c>
      <c r="G133" s="19">
        <f t="shared" si="5"/>
        <v>14982435783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005010600098497000KD</v>
      </c>
      <c r="B136" s="11" t="str">
        <f>P7</f>
        <v>PN. Lhok Seumawe</v>
      </c>
      <c r="C136" s="12" t="str">
        <f>A136&amp;" "&amp;B136</f>
        <v>005010600098497000KD PN. Lhok Seumawe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2744600</v>
      </c>
      <c r="E139" s="25">
        <f>SUMIFS('Daftar Koreksi'!$H$5:$H$92,'Daftar Koreksi'!$D$5:$D$92,'0600'!A136,'Daftar Koreksi'!$G$5:$G$92,"Persediaan",'Daftar Koreksi'!$H$5:$H$92,"&gt;0")</f>
        <v>0</v>
      </c>
      <c r="F139" s="25">
        <f>SUMIFS('Daftar Koreksi'!$H$5:$H$92,'Daftar Koreksi'!$D$5:$D$92,'0600'!A136,'Daftar Koreksi'!$G$5:$G$92,"Persediaan",'Daftar Koreksi'!$H$5:$H$92,"&lt;0")-SUMIFS('Daftar Koreksi'!$H$5:$H$92,'Daftar Koreksi'!$D$5:$D$92,'0600'!A136,'Daftar Koreksi'!$G$5:$G$92,"Persediaan",'Daftar Koreksi'!$H$5:$H$92,"&lt;0")-SUMIFS('Daftar Koreksi'!$H$5:$H$92,'Daftar Koreksi'!$D$5:$D$92,'0600'!A136,'Daftar Koreksi'!$G$5:$G$92,"Persediaan",'Daftar Koreksi'!$H$5:$H$92,"&lt;0")</f>
        <v>0</v>
      </c>
      <c r="G139" s="17">
        <f>D139+E139-F139</f>
        <v>2744600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2732774700</v>
      </c>
      <c r="E140" s="25">
        <f>SUMIFS('Daftar Koreksi'!$H$5:$H$92,'Daftar Koreksi'!$D$5:$D$92,'0600'!A136,'Daftar Koreksi'!$G$5:$G$92,"Tanah",'Daftar Koreksi'!$H$5:$H$92,"&gt;0")</f>
        <v>0</v>
      </c>
      <c r="F140" s="25">
        <f>SUMIFS('Daftar Koreksi'!$H$5:$H$92,'Daftar Koreksi'!$D$5:$D$92,'0600'!A136,'Daftar Koreksi'!$G$5:$G$92,"Tanah",'Daftar Koreksi'!$H$5:$H$92,"&lt;0")-SUMIFS('Daftar Koreksi'!$H$5:$H$92,'Daftar Koreksi'!$D$5:$D$92,'0600'!A136,'Daftar Koreksi'!$G$5:$G$92,"Tanah",'Daftar Koreksi'!$H$5:$H$92,"&lt;0")-SUMIFS('Daftar Koreksi'!$H$5:$H$92,'Daftar Koreksi'!$D$5:$D$92,'0600'!A136,'Daftar Koreksi'!$G$5:$G$92,"Tanah",'Daftar Koreksi'!$H$5:$H$92,"&lt;0")</f>
        <v>0</v>
      </c>
      <c r="G140" s="17">
        <f t="shared" ref="G140:G156" si="6">D140+E140-F140</f>
        <v>2732774700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1486624237</v>
      </c>
      <c r="E141" s="25">
        <f>SUMIFS('Daftar Koreksi'!$H$5:$H$92,'Daftar Koreksi'!$D$5:$D$92,'0600'!A136,'Daftar Koreksi'!$G$5:$G$92,"Peralatan dan mesin",'Daftar Koreksi'!$H$5:$H$92,"&gt;0")</f>
        <v>0</v>
      </c>
      <c r="F141" s="25">
        <f>SUMIFS('Daftar Koreksi'!$H$5:$H$92,'Daftar Koreksi'!$D$5:$D$92,'0600'!A136,'Daftar Koreksi'!$G$5:$G$92,"Peralatan dan mesin",'Daftar Koreksi'!$H$5:$H$92,"&lt;0")-SUMIFS('Daftar Koreksi'!$H$5:$H$92,'Daftar Koreksi'!$D$5:$D$92,'0600'!A136,'Daftar Koreksi'!$G$5:$G$92,"Peralatan dan mesin",'Daftar Koreksi'!$H$5:$H$92,"&lt;0")-SUMIFS('Daftar Koreksi'!$H$5:$H$92,'Daftar Koreksi'!$D$5:$D$92,'0600'!A136,'Daftar Koreksi'!$G$5:$G$92,"Peralatan dan mesin",'Daftar Koreksi'!$H$5:$H$92,"&lt;0")</f>
        <v>0</v>
      </c>
      <c r="G141" s="17">
        <f t="shared" si="6"/>
        <v>1486624237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15962491836</v>
      </c>
      <c r="E142" s="25">
        <f>SUMIFS('Daftar Koreksi'!$H$5:$H$92,'Daftar Koreksi'!$D$5:$D$92,'0600'!A136,'Daftar Koreksi'!$G$5:$G$92,"Gedung dan Bangunan",'Daftar Koreksi'!$H$5:$H$92,"&gt;0")</f>
        <v>0</v>
      </c>
      <c r="F142" s="25">
        <f>SUMIFS('Daftar Koreksi'!$H$5:$H$92,'Daftar Koreksi'!$D$5:$D$92,'0600'!A136,'Daftar Koreksi'!$G$5:$G$92,"Gedung dan Bangunan",'Daftar Koreksi'!$H$5:$H$92,"&lt;0")-SUMIFS('Daftar Koreksi'!$H$5:$H$92,'Daftar Koreksi'!$D$5:$D$92,'0600'!A136,'Daftar Koreksi'!$G$5:$G$92,"Gedung dan Bangunan",'Daftar Koreksi'!$H$5:$H$92,"&lt;0")-SUMIFS('Daftar Koreksi'!$H$5:$H$92,'Daftar Koreksi'!$D$5:$D$92,'0600'!A136,'Daftar Koreksi'!$G$5:$G$92,"Gedung dan Bangunan",'Daftar Koreksi'!$H$5:$H$92,"&lt;0")</f>
        <v>0</v>
      </c>
      <c r="G142" s="17">
        <f t="shared" si="6"/>
        <v>15962491836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Koreksi'!$D$5:$D$92,'0600'!A136,'Daftar Koreksi'!$G$5:$G$92,"Jalan Irigasi Jaringan",'Daftar Koreksi'!$H$5:$H$92,"&gt;0")</f>
        <v>0</v>
      </c>
      <c r="F143" s="25">
        <f>SUMIFS('Daftar Koreksi'!$H$5:$H$92,'Daftar Koreksi'!$D$5:$D$92,'0600'!A136,'Daftar Koreksi'!$G$5:$G$92,"Jalan Irigasi Jaringan",'Daftar Koreksi'!$H$5:$H$92,"&lt;0")-SUMIFS('Daftar Koreksi'!$H$5:$H$92,'Daftar Koreksi'!$D$5:$D$92,'0600'!A136,'Daftar Koreksi'!$G$5:$G$92,"Jalan Irigasi Jaringan",'Daftar Koreksi'!$H$5:$H$92,"&lt;0")-SUMIFS('Daftar Koreksi'!$H$5:$H$92,'Daftar Koreksi'!$D$5:$D$92,'0600'!A136,'Daftar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1943440</v>
      </c>
      <c r="E144" s="25">
        <f>SUMIFS('Daftar Koreksi'!$H$5:$H$92,'Daftar Koreksi'!$D$5:$D$92,'0600'!A136,'Daftar Koreksi'!$G$5:$G$92,"Aset Tetap Lainnya",'Daftar Koreksi'!$H$5:$H$92,"&gt;0")</f>
        <v>0</v>
      </c>
      <c r="F144" s="25">
        <f>SUMIFS('Daftar Koreksi'!$H$5:$H$92,'Daftar Koreksi'!$D$5:$D$92,'0600'!A136,'Daftar Koreksi'!$G$5:$G$92,"Aset Tetap Lainnya",'Daftar Koreksi'!$H$5:$H$92,"&lt;0")-SUMIFS('Daftar Koreksi'!$H$5:$H$92,'Daftar Koreksi'!$D$5:$D$92,'0600'!A136,'Daftar Koreksi'!$G$5:$G$92,"Aset Tetap Lainnya",'Daftar Koreksi'!$H$5:$H$92,"&lt;0")-SUMIFS('Daftar Koreksi'!$H$5:$H$92,'Daftar Koreksi'!$D$5:$D$92,'0600'!A136,'Daftar Koreksi'!$G$5:$G$92,"Aset Tetap Lainnya",'Daftar Koreksi'!$H$5:$H$92,"&lt;0")</f>
        <v>0</v>
      </c>
      <c r="G144" s="17">
        <f t="shared" si="6"/>
        <v>1943440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Koreksi'!$D$5:$D$92,'0600'!A136,'Daftar Koreksi'!$G$5:$G$92,"Kontruksi Dalam Pengerjaan",'Daftar Koreksi'!$H$5:$H$92,"&gt;0")</f>
        <v>0</v>
      </c>
      <c r="F145" s="25">
        <f>SUMIFS('Daftar Koreksi'!$H$5:$H$92,'Daftar Koreksi'!$D$5:$D$92,'0600'!A136,'Daftar Koreksi'!$G$5:$G$92,"Kontruksi Dalam Pengerjaan",'Daftar Koreksi'!$H$5:$H$92,"&lt;0")-SUMIFS('Daftar Koreksi'!$H$5:$H$92,'Daftar Koreksi'!$D$5:$D$92,'0600'!A136,'Daftar Koreksi'!$G$5:$G$92,"Kontruksi Dalam Pengerjaan",'Daftar Koreksi'!$H$5:$H$92,"&lt;0")-SUMIFS('Daftar Koreksi'!$H$5:$H$92,'Daftar Koreksi'!$D$5:$D$92,'0600'!A136,'Daftar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Koreksi'!$D$5:$D$92,'0600'!A136,'Daftar Koreksi'!$G$5:$G$92,"Aset Tak Berwujud",'Daftar Koreksi'!$H$5:$H$92,"&gt;0")</f>
        <v>0</v>
      </c>
      <c r="F146" s="25">
        <f>SUMIFS('Daftar Koreksi'!$H$5:$H$92,'Daftar Koreksi'!$D$5:$D$92,'0600'!A136,'Daftar Koreksi'!$G$5:$G$92,"Aset Tak Berwujud",'Daftar Koreksi'!$H$5:$H$92,"&lt;0")-SUMIFS('Daftar Koreksi'!$H$5:$H$92,'Daftar Koreksi'!$D$5:$D$92,'0600'!A136,'Daftar Koreksi'!$G$5:$G$92,"Aset Tak Berwujud",'Daftar Koreksi'!$H$5:$H$92,"&lt;0")-SUMIFS('Daftar Koreksi'!$H$5:$H$92,'Daftar Koreksi'!$D$5:$D$92,'0600'!A136,'Daftar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2527481</v>
      </c>
      <c r="E147" s="25">
        <f>SUMIFS('Daftar Koreksi'!$H$5:$H$92,'Daftar Koreksi'!$D$5:$D$92,'0600'!A136,'Daftar Koreksi'!$G$5:$G$92,"Aset Henti Guna",'Daftar Koreksi'!$H$5:$H$92,"&gt;0")</f>
        <v>0</v>
      </c>
      <c r="F147" s="25">
        <f>SUMIFS('Daftar Koreksi'!$H$5:$H$92,'Daftar Koreksi'!$D$5:$D$92,'0600'!A136,'Daftar Koreksi'!$G$5:$G$92,"Aset Henti Guna",'Daftar Koreksi'!$H$5:$H$92,"&lt;0")-SUMIFS('Daftar Koreksi'!$H$5:$H$92,'Daftar Koreksi'!$D$5:$D$92,'0600'!A136,'Daftar Koreksi'!$G$5:$G$92,"Aset Henti Guna",'Daftar Koreksi'!$H$5:$H$92,"&lt;0")-SUMIFS('Daftar Koreksi'!$H$5:$H$92,'Daftar Koreksi'!$D$5:$D$92,'0600'!A136,'Daftar Koreksi'!$G$5:$G$92,"Aset Henti Guna",'Daftar Koreksi'!$H$5:$H$92,"&lt;0")</f>
        <v>0</v>
      </c>
      <c r="G147" s="17">
        <f t="shared" si="6"/>
        <v>2527481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20189106294</v>
      </c>
      <c r="E148" s="19">
        <f>SUM(E139:E147)</f>
        <v>0</v>
      </c>
      <c r="F148" s="19">
        <f>SUM(F139:F147)</f>
        <v>0</v>
      </c>
      <c r="G148" s="19">
        <f t="shared" si="6"/>
        <v>20189106294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-1313485916</v>
      </c>
      <c r="E149" s="25">
        <f>SUMIFS('Daftar Koreksi'!$I$5:$I$92,'Daftar Koreksi'!$D$5:$D$92,'0600'!A136,'Daftar Koreksi'!$G$5:$G$92,"Peralatan dan mesin",'Daftar Koreksi'!$I$5:$I$92,"&gt;0")</f>
        <v>0</v>
      </c>
      <c r="F149" s="25">
        <f>SUMIFS('Daftar Koreksi'!$I$5:$I$92,'Daftar Koreksi'!$D$5:$D$92,'0600'!A136,'Daftar Koreksi'!$G$5:$G$92,"Peralatan dan mesin",'Daftar Koreksi'!$I$5:$I$92,"&lt;0")-SUMIFS('Daftar Koreksi'!$I$5:$I$92,'Daftar Koreksi'!$D$5:$D$92,'0600'!A136,'Daftar Koreksi'!$G$5:$G$92,"Peralatan dan mesin",'Daftar Koreksi'!$I$5:$I$92,"&lt;0")-SUMIFS('Daftar Koreksi'!$I$5:$I$92,'Daftar Koreksi'!$D$5:$D$92,'0600'!A136,'Daftar Koreksi'!$G$5:$G$92,"Peralatan dan mesin",'Daftar Koreksi'!$I$5:$I$92,"&lt;0")</f>
        <v>0</v>
      </c>
      <c r="G149" s="17">
        <f t="shared" si="6"/>
        <v>-1313485916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-5638604222</v>
      </c>
      <c r="E150" s="25">
        <f>SUMIFS('Daftar Koreksi'!$I$5:$I$92,'Daftar Koreksi'!$D$5:$D$92,'0600'!A136,'Daftar Koreksi'!$G$5:$G$92,"Gedung dan Bangunan",'Daftar Koreksi'!$I$5:$I$92,"&gt;0")</f>
        <v>0</v>
      </c>
      <c r="F150" s="25">
        <f>SUMIFS('Daftar Koreksi'!$I$5:$I$92,'Daftar Koreksi'!$D$5:$D$92,'0600'!A136,'Daftar Koreksi'!$G$5:$G$92,"Gedung dan Bangunan",'Daftar Koreksi'!$I$5:$I$92,"&lt;0")-SUMIFS('Daftar Koreksi'!$I$5:$I$92,'Daftar Koreksi'!$D$5:$D$92,'0600'!A136,'Daftar Koreksi'!$G$5:$G$92,"Gedung dan Bangunan",'Daftar Koreksi'!$I$5:$I$92,"&lt;0")-SUMIFS('Daftar Koreksi'!$I$5:$I$92,'Daftar Koreksi'!$D$5:$D$92,'0600'!A136,'Daftar Koreksi'!$G$5:$G$92,"Gedung dan Bangunan",'Daftar Koreksi'!$I$5:$I$92,"&lt;0")</f>
        <v>0</v>
      </c>
      <c r="G150" s="17">
        <f t="shared" si="6"/>
        <v>-5638604222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Koreksi'!$D$5:$D$92,'0600'!A136,'Daftar Koreksi'!$G$5:$G$92,"Jalan Irigasi Jaringan",'Daftar Koreksi'!$I$5:$I$92,"&gt;0")</f>
        <v>0</v>
      </c>
      <c r="F151" s="25">
        <f>SUMIFS('Daftar Koreksi'!$I$5:$I$92,'Daftar Koreksi'!$D$5:$D$92,'0600'!A136,'Daftar Koreksi'!$G$5:$G$92,"Jalan Irigasi Jaringan",'Daftar Koreksi'!$I$5:$I$92,"&lt;0")-SUMIFS('Daftar Koreksi'!$I$5:$I$92,'Daftar Koreksi'!$D$5:$D$92,'0600'!A136,'Daftar Koreksi'!$G$5:$G$92,"Jalan Irigasi Jaringan",'Daftar Koreksi'!$I$5:$I$92,"&lt;0")-SUMIFS('Daftar Koreksi'!$I$5:$I$92,'Daftar Koreksi'!$D$5:$D$92,'0600'!A136,'Daftar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Koreksi'!$D$5:$D$92,'0600'!A136,'Daftar Koreksi'!$G$5:$G$92,"Aset Tetap Lainnya",'Daftar Koreksi'!$I$5:$I$92,"&gt;0")</f>
        <v>0</v>
      </c>
      <c r="F152" s="25">
        <f>SUMIFS('Daftar Koreksi'!$I$5:$I$92,'Daftar Koreksi'!$D$5:$D$92,'0600'!A136,'Daftar Koreksi'!$G$5:$G$92,"Aset Tetap Lainnya",'Daftar Koreksi'!$I$5:$I$92,"&lt;0")-SUMIFS('Daftar Koreksi'!$I$5:$I$92,'Daftar Koreksi'!$D$5:$D$92,'0600'!A136,'Daftar Koreksi'!$G$5:$G$92,"Aset Tetap Lainnya",'Daftar Koreksi'!$I$5:$I$92,"&lt;0")-SUMIFS('Daftar Koreksi'!$I$5:$I$92,'Daftar Koreksi'!$D$5:$D$92,'0600'!A136,'Daftar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-2527481</v>
      </c>
      <c r="E153" s="25">
        <f>SUMIFS('Daftar Koreksi'!$I$5:$I$92,'Daftar Koreksi'!$D$5:$D$92,'0600'!A136,'Daftar Koreksi'!$G$5:$G$92,"Aset Henti Guna",'Daftar Koreksi'!$I$5:$I$92,"&gt;0")</f>
        <v>0</v>
      </c>
      <c r="F153" s="25">
        <f>SUMIFS('Daftar Koreksi'!$I$5:$I$92,'Daftar Koreksi'!$D$5:$D$92,'0600'!A136,'Daftar Koreksi'!$G$5:$G$92,"Aset Henti Guna",'Daftar Koreksi'!$I$5:$I$92,"&lt;0")-SUMIFS('Daftar Koreksi'!$I$5:$I$92,'Daftar Koreksi'!$D$5:$D$92,'0600'!A136,'Daftar Koreksi'!$G$5:$G$92,"Aset Henti Guna",'Daftar Koreksi'!$I$5:$I$92,"&lt;0")-SUMIFS('Daftar Koreksi'!$I$5:$I$92,'Daftar Koreksi'!$D$5:$D$92,'0600'!A136,'Daftar Koreksi'!$G$5:$G$92,"Aset Henti Guna",'Daftar Koreksi'!$I$5:$I$92,"&lt;0")</f>
        <v>0</v>
      </c>
      <c r="G153" s="17">
        <f t="shared" si="6"/>
        <v>-2527481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-6954617619</v>
      </c>
      <c r="E154" s="19">
        <f>SUM(E149:E153)</f>
        <v>0</v>
      </c>
      <c r="F154" s="19">
        <f>SUM(F149:F153)</f>
        <v>0</v>
      </c>
      <c r="G154" s="19">
        <f t="shared" si="6"/>
        <v>-6954617619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13234488675</v>
      </c>
      <c r="E155" s="19">
        <f>E154+E148</f>
        <v>0</v>
      </c>
      <c r="F155" s="19">
        <f>F154+F148</f>
        <v>0</v>
      </c>
      <c r="G155" s="19">
        <f t="shared" si="6"/>
        <v>13234488675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005010600098502000KD</v>
      </c>
      <c r="B158" s="11" t="str">
        <f>P8</f>
        <v>PN. Takengon</v>
      </c>
      <c r="C158" s="12" t="str">
        <f>A158&amp;" "&amp;B158</f>
        <v>005010600098502000KD PN. Takengon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0</v>
      </c>
      <c r="E161" s="25">
        <f>SUMIFS('Daftar Koreksi'!$H$5:$H$92,'Daftar Koreksi'!$D$5:$D$92,'0600'!A158,'Daftar Koreksi'!$G$5:$G$92,"Persediaan",'Daftar Koreksi'!$H$5:$H$92,"&gt;0")</f>
        <v>0</v>
      </c>
      <c r="F161" s="25">
        <f>SUMIFS('Daftar Koreksi'!$H$5:$H$92,'Daftar Koreksi'!$D$5:$D$92,'0600'!A158,'Daftar Koreksi'!$G$5:$G$92,"Persediaan",'Daftar Koreksi'!$H$5:$H$92,"&lt;0")-SUMIFS('Daftar Koreksi'!$H$5:$H$92,'Daftar Koreksi'!$D$5:$D$92,'0600'!A158,'Daftar Koreksi'!$G$5:$G$92,"Persediaan",'Daftar Koreksi'!$H$5:$H$92,"&lt;0")-SUMIFS('Daftar Koreksi'!$H$5:$H$92,'Daftar Koreksi'!$D$5:$D$92,'0600'!A158,'Daftar Koreksi'!$G$5:$G$92,"Persediaan",'Daftar Koreksi'!$H$5:$H$92,"&lt;0")</f>
        <v>0</v>
      </c>
      <c r="G161" s="17">
        <f>D161+E161-F161</f>
        <v>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6181780000</v>
      </c>
      <c r="E162" s="25">
        <f>SUMIFS('Daftar Koreksi'!$H$5:$H$92,'Daftar Koreksi'!$D$5:$D$92,'0600'!A158,'Daftar Koreksi'!$G$5:$G$92,"Tanah",'Daftar Koreksi'!$H$5:$H$92,"&gt;0")</f>
        <v>0</v>
      </c>
      <c r="F162" s="25">
        <f>SUMIFS('Daftar Koreksi'!$H$5:$H$92,'Daftar Koreksi'!$D$5:$D$92,'0600'!A158,'Daftar Koreksi'!$G$5:$G$92,"Tanah",'Daftar Koreksi'!$H$5:$H$92,"&lt;0")-SUMIFS('Daftar Koreksi'!$H$5:$H$92,'Daftar Koreksi'!$D$5:$D$92,'0600'!A158,'Daftar Koreksi'!$G$5:$G$92,"Tanah",'Daftar Koreksi'!$H$5:$H$92,"&lt;0")-SUMIFS('Daftar Koreksi'!$H$5:$H$92,'Daftar Koreksi'!$D$5:$D$92,'0600'!A158,'Daftar Koreksi'!$G$5:$G$92,"Tanah",'Daftar Koreksi'!$H$5:$H$92,"&lt;0")</f>
        <v>0</v>
      </c>
      <c r="G162" s="17">
        <f t="shared" ref="G162:G178" si="7">D162+E162-F162</f>
        <v>6181780000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1517067853</v>
      </c>
      <c r="E163" s="25">
        <f>SUMIFS('Daftar Koreksi'!$H$5:$H$92,'Daftar Koreksi'!$D$5:$D$92,'0600'!A158,'Daftar Koreksi'!$G$5:$G$92,"Peralatan dan mesin",'Daftar Koreksi'!$H$5:$H$92,"&gt;0")</f>
        <v>0</v>
      </c>
      <c r="F163" s="25">
        <f>SUMIFS('Daftar Koreksi'!$H$5:$H$92,'Daftar Koreksi'!$D$5:$D$92,'0600'!A158,'Daftar Koreksi'!$G$5:$G$92,"Peralatan dan mesin",'Daftar Koreksi'!$H$5:$H$92,"&lt;0")-SUMIFS('Daftar Koreksi'!$H$5:$H$92,'Daftar Koreksi'!$D$5:$D$92,'0600'!A158,'Daftar Koreksi'!$G$5:$G$92,"Peralatan dan mesin",'Daftar Koreksi'!$H$5:$H$92,"&lt;0")-SUMIFS('Daftar Koreksi'!$H$5:$H$92,'Daftar Koreksi'!$D$5:$D$92,'0600'!A158,'Daftar Koreksi'!$G$5:$G$92,"Peralatan dan mesin",'Daftar Koreksi'!$H$5:$H$92,"&lt;0")</f>
        <v>0</v>
      </c>
      <c r="G163" s="17">
        <f t="shared" si="7"/>
        <v>1517067853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1789027500</v>
      </c>
      <c r="E164" s="25">
        <f>SUMIFS('Daftar Koreksi'!$H$5:$H$92,'Daftar Koreksi'!$D$5:$D$92,'0600'!A158,'Daftar Koreksi'!$G$5:$G$92,"Gedung dan Bangunan",'Daftar Koreksi'!$H$5:$H$92,"&gt;0")</f>
        <v>0</v>
      </c>
      <c r="F164" s="25">
        <f>SUMIFS('Daftar Koreksi'!$H$5:$H$92,'Daftar Koreksi'!$D$5:$D$92,'0600'!A158,'Daftar Koreksi'!$G$5:$G$92,"Gedung dan Bangunan",'Daftar Koreksi'!$H$5:$H$92,"&lt;0")-SUMIFS('Daftar Koreksi'!$H$5:$H$92,'Daftar Koreksi'!$D$5:$D$92,'0600'!A158,'Daftar Koreksi'!$G$5:$G$92,"Gedung dan Bangunan",'Daftar Koreksi'!$H$5:$H$92,"&lt;0")-SUMIFS('Daftar Koreksi'!$H$5:$H$92,'Daftar Koreksi'!$D$5:$D$92,'0600'!A158,'Daftar Koreksi'!$G$5:$G$92,"Gedung dan Bangunan",'Daftar Koreksi'!$H$5:$H$92,"&lt;0")</f>
        <v>0</v>
      </c>
      <c r="G164" s="17">
        <f t="shared" si="7"/>
        <v>1789027500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99000000</v>
      </c>
      <c r="E165" s="25">
        <f>SUMIFS('Daftar Koreksi'!$H$5:$H$92,'Daftar Koreksi'!$D$5:$D$92,'0600'!A158,'Daftar Koreksi'!$G$5:$G$92,"Jalan Irigasi Jaringan",'Daftar Koreksi'!$H$5:$H$92,"&gt;0")</f>
        <v>0</v>
      </c>
      <c r="F165" s="25">
        <f>SUMIFS('Daftar Koreksi'!$H$5:$H$92,'Daftar Koreksi'!$D$5:$D$92,'0600'!A158,'Daftar Koreksi'!$G$5:$G$92,"Jalan Irigasi Jaringan",'Daftar Koreksi'!$H$5:$H$92,"&lt;0")-SUMIFS('Daftar Koreksi'!$H$5:$H$92,'Daftar Koreksi'!$D$5:$D$92,'0600'!A158,'Daftar Koreksi'!$G$5:$G$92,"Jalan Irigasi Jaringan",'Daftar Koreksi'!$H$5:$H$92,"&lt;0")-SUMIFS('Daftar Koreksi'!$H$5:$H$92,'Daftar Koreksi'!$D$5:$D$92,'0600'!A158,'Daftar Koreksi'!$G$5:$G$92,"Jalan Irigasi Jaringan",'Daftar Koreksi'!$H$5:$H$92,"&lt;0")</f>
        <v>0</v>
      </c>
      <c r="G165" s="17">
        <f t="shared" si="7"/>
        <v>99000000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2178440</v>
      </c>
      <c r="E166" s="25">
        <f>SUMIFS('Daftar Koreksi'!$H$5:$H$92,'Daftar Koreksi'!$D$5:$D$92,'0600'!A158,'Daftar Koreksi'!$G$5:$G$92,"Aset Tetap Lainnya",'Daftar Koreksi'!$H$5:$H$92,"&gt;0")</f>
        <v>0</v>
      </c>
      <c r="F166" s="25">
        <f>SUMIFS('Daftar Koreksi'!$H$5:$H$92,'Daftar Koreksi'!$D$5:$D$92,'0600'!A158,'Daftar Koreksi'!$G$5:$G$92,"Aset Tetap Lainnya",'Daftar Koreksi'!$H$5:$H$92,"&lt;0")-SUMIFS('Daftar Koreksi'!$H$5:$H$92,'Daftar Koreksi'!$D$5:$D$92,'0600'!A158,'Daftar Koreksi'!$G$5:$G$92,"Aset Tetap Lainnya",'Daftar Koreksi'!$H$5:$H$92,"&lt;0")-SUMIFS('Daftar Koreksi'!$H$5:$H$92,'Daftar Koreksi'!$D$5:$D$92,'0600'!A158,'Daftar Koreksi'!$G$5:$G$92,"Aset Tetap Lainnya",'Daftar Koreksi'!$H$5:$H$92,"&lt;0")</f>
        <v>0</v>
      </c>
      <c r="G166" s="17">
        <f t="shared" si="7"/>
        <v>2178440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9010640000</v>
      </c>
      <c r="E167" s="25">
        <f>SUMIFS('Daftar Koreksi'!$H$5:$H$92,'Daftar Koreksi'!$D$5:$D$92,'0600'!A158,'Daftar Koreksi'!$G$5:$G$92,"Kontruksi Dalam Pengerjaan",'Daftar Koreksi'!$H$5:$H$92,"&gt;0")</f>
        <v>0</v>
      </c>
      <c r="F167" s="25">
        <f>SUMIFS('Daftar Koreksi'!$H$5:$H$92,'Daftar Koreksi'!$D$5:$D$92,'0600'!A158,'Daftar Koreksi'!$G$5:$G$92,"Kontruksi Dalam Pengerjaan",'Daftar Koreksi'!$H$5:$H$92,"&lt;0")-SUMIFS('Daftar Koreksi'!$H$5:$H$92,'Daftar Koreksi'!$D$5:$D$92,'0600'!A158,'Daftar Koreksi'!$G$5:$G$92,"Kontruksi Dalam Pengerjaan",'Daftar Koreksi'!$H$5:$H$92,"&lt;0")-SUMIFS('Daftar Koreksi'!$H$5:$H$92,'Daftar Koreksi'!$D$5:$D$92,'0600'!A158,'Daftar Koreksi'!$G$5:$G$92,"Kontruksi Dalam Pengerjaan",'Daftar Koreksi'!$H$5:$H$92,"&lt;0")</f>
        <v>0</v>
      </c>
      <c r="G167" s="17">
        <f t="shared" si="7"/>
        <v>9010640000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Koreksi'!$D$5:$D$92,'0600'!A158,'Daftar Koreksi'!$G$5:$G$92,"Aset Tak Berwujud",'Daftar Koreksi'!$H$5:$H$92,"&gt;0")</f>
        <v>0</v>
      </c>
      <c r="F168" s="25">
        <f>SUMIFS('Daftar Koreksi'!$H$5:$H$92,'Daftar Koreksi'!$D$5:$D$92,'0600'!A158,'Daftar Koreksi'!$G$5:$G$92,"Aset Tak Berwujud",'Daftar Koreksi'!$H$5:$H$92,"&lt;0")-SUMIFS('Daftar Koreksi'!$H$5:$H$92,'Daftar Koreksi'!$D$5:$D$92,'0600'!A158,'Daftar Koreksi'!$G$5:$G$92,"Aset Tak Berwujud",'Daftar Koreksi'!$H$5:$H$92,"&lt;0")-SUMIFS('Daftar Koreksi'!$H$5:$H$92,'Daftar Koreksi'!$D$5:$D$92,'0600'!A158,'Daftar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9574684850</v>
      </c>
      <c r="E169" s="25">
        <f>SUMIFS('Daftar Koreksi'!$H$5:$H$92,'Daftar Koreksi'!$D$5:$D$92,'0600'!A158,'Daftar Koreksi'!$G$5:$G$92,"Aset Henti Guna",'Daftar Koreksi'!$H$5:$H$92,"&gt;0")</f>
        <v>0</v>
      </c>
      <c r="F169" s="25">
        <f>SUMIFS('Daftar Koreksi'!$H$5:$H$92,'Daftar Koreksi'!$D$5:$D$92,'0600'!A158,'Daftar Koreksi'!$G$5:$G$92,"Aset Henti Guna",'Daftar Koreksi'!$H$5:$H$92,"&lt;0")-SUMIFS('Daftar Koreksi'!$H$5:$H$92,'Daftar Koreksi'!$D$5:$D$92,'0600'!A158,'Daftar Koreksi'!$G$5:$G$92,"Aset Henti Guna",'Daftar Koreksi'!$H$5:$H$92,"&lt;0")-SUMIFS('Daftar Koreksi'!$H$5:$H$92,'Daftar Koreksi'!$D$5:$D$92,'0600'!A158,'Daftar Koreksi'!$G$5:$G$92,"Aset Henti Guna",'Daftar Koreksi'!$H$5:$H$92,"&lt;0")</f>
        <v>0</v>
      </c>
      <c r="G169" s="17">
        <f t="shared" si="7"/>
        <v>9574684850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28174378643</v>
      </c>
      <c r="E170" s="19">
        <f>SUM(E161:E169)</f>
        <v>0</v>
      </c>
      <c r="F170" s="19">
        <f>SUM(F161:F169)</f>
        <v>0</v>
      </c>
      <c r="G170" s="19">
        <f t="shared" si="7"/>
        <v>28174378643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-1254132088</v>
      </c>
      <c r="E171" s="25">
        <f>SUMIFS('Daftar Koreksi'!$I$5:$I$92,'Daftar Koreksi'!$D$5:$D$92,'0600'!A158,'Daftar Koreksi'!$G$5:$G$92,"Peralatan dan mesin",'Daftar Koreksi'!$I$5:$I$92,"&gt;0")</f>
        <v>0</v>
      </c>
      <c r="F171" s="25">
        <f>SUMIFS('Daftar Koreksi'!$I$5:$I$92,'Daftar Koreksi'!$D$5:$D$92,'0600'!A158,'Daftar Koreksi'!$G$5:$G$92,"Peralatan dan mesin",'Daftar Koreksi'!$I$5:$I$92,"&lt;0")-SUMIFS('Daftar Koreksi'!$I$5:$I$92,'Daftar Koreksi'!$D$5:$D$92,'0600'!A158,'Daftar Koreksi'!$G$5:$G$92,"Peralatan dan mesin",'Daftar Koreksi'!$I$5:$I$92,"&lt;0")-SUMIFS('Daftar Koreksi'!$I$5:$I$92,'Daftar Koreksi'!$D$5:$D$92,'0600'!A158,'Daftar Koreksi'!$G$5:$G$92,"Peralatan dan mesin",'Daftar Koreksi'!$I$5:$I$92,"&lt;0")</f>
        <v>0</v>
      </c>
      <c r="G171" s="17">
        <f t="shared" si="7"/>
        <v>-1254132088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-1217672475</v>
      </c>
      <c r="E172" s="25">
        <f>SUMIFS('Daftar Koreksi'!$I$5:$I$92,'Daftar Koreksi'!$D$5:$D$92,'0600'!A158,'Daftar Koreksi'!$G$5:$G$92,"Gedung dan Bangunan",'Daftar Koreksi'!$I$5:$I$92,"&gt;0")</f>
        <v>0</v>
      </c>
      <c r="F172" s="25">
        <f>SUMIFS('Daftar Koreksi'!$I$5:$I$92,'Daftar Koreksi'!$D$5:$D$92,'0600'!A158,'Daftar Koreksi'!$G$5:$G$92,"Gedung dan Bangunan",'Daftar Koreksi'!$I$5:$I$92,"&lt;0")-SUMIFS('Daftar Koreksi'!$I$5:$I$92,'Daftar Koreksi'!$D$5:$D$92,'0600'!A158,'Daftar Koreksi'!$G$5:$G$92,"Gedung dan Bangunan",'Daftar Koreksi'!$I$5:$I$92,"&lt;0")-SUMIFS('Daftar Koreksi'!$I$5:$I$92,'Daftar Koreksi'!$D$5:$D$92,'0600'!A158,'Daftar Koreksi'!$G$5:$G$92,"Gedung dan Bangunan",'Daftar Koreksi'!$I$5:$I$92,"&lt;0")</f>
        <v>0</v>
      </c>
      <c r="G172" s="17">
        <f t="shared" si="7"/>
        <v>-1217672475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-32175000</v>
      </c>
      <c r="E173" s="25">
        <f>SUMIFS('Daftar Koreksi'!$I$5:$I$92,'Daftar Koreksi'!$D$5:$D$92,'0600'!A158,'Daftar Koreksi'!$G$5:$G$92,"Jalan Irigasi Jaringan",'Daftar Koreksi'!$I$5:$I$92,"&gt;0")</f>
        <v>0</v>
      </c>
      <c r="F173" s="25">
        <f>SUMIFS('Daftar Koreksi'!$I$5:$I$92,'Daftar Koreksi'!$D$5:$D$92,'0600'!A158,'Daftar Koreksi'!$G$5:$G$92,"Jalan Irigasi Jaringan",'Daftar Koreksi'!$I$5:$I$92,"&lt;0")-SUMIFS('Daftar Koreksi'!$I$5:$I$92,'Daftar Koreksi'!$D$5:$D$92,'0600'!A158,'Daftar Koreksi'!$G$5:$G$92,"Jalan Irigasi Jaringan",'Daftar Koreksi'!$I$5:$I$92,"&lt;0")-SUMIFS('Daftar Koreksi'!$I$5:$I$92,'Daftar Koreksi'!$D$5:$D$92,'0600'!A158,'Daftar Koreksi'!$G$5:$G$92,"Jalan Irigasi Jaringan",'Daftar Koreksi'!$I$5:$I$92,"&lt;0")</f>
        <v>0</v>
      </c>
      <c r="G173" s="17">
        <f t="shared" si="7"/>
        <v>-32175000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Koreksi'!$D$5:$D$92,'0600'!A158,'Daftar Koreksi'!$G$5:$G$92,"Aset Tetap Lainnya",'Daftar Koreksi'!$I$5:$I$92,"&gt;0")</f>
        <v>0</v>
      </c>
      <c r="F174" s="25">
        <f>SUMIFS('Daftar Koreksi'!$I$5:$I$92,'Daftar Koreksi'!$D$5:$D$92,'0600'!A158,'Daftar Koreksi'!$G$5:$G$92,"Aset Tetap Lainnya",'Daftar Koreksi'!$I$5:$I$92,"&lt;0")-SUMIFS('Daftar Koreksi'!$I$5:$I$92,'Daftar Koreksi'!$D$5:$D$92,'0600'!A158,'Daftar Koreksi'!$G$5:$G$92,"Aset Tetap Lainnya",'Daftar Koreksi'!$I$5:$I$92,"&lt;0")-SUMIFS('Daftar Koreksi'!$I$5:$I$92,'Daftar Koreksi'!$D$5:$D$92,'0600'!A158,'Daftar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-5322782851</v>
      </c>
      <c r="E175" s="25">
        <f>SUMIFS('Daftar Koreksi'!$I$5:$I$92,'Daftar Koreksi'!$D$5:$D$92,'0600'!A158,'Daftar Koreksi'!$G$5:$G$92,"Aset Henti Guna",'Daftar Koreksi'!$I$5:$I$92,"&gt;0")</f>
        <v>0</v>
      </c>
      <c r="F175" s="25">
        <f>SUMIFS('Daftar Koreksi'!$I$5:$I$92,'Daftar Koreksi'!$D$5:$D$92,'0600'!A158,'Daftar Koreksi'!$G$5:$G$92,"Aset Henti Guna",'Daftar Koreksi'!$I$5:$I$92,"&lt;0")-SUMIFS('Daftar Koreksi'!$I$5:$I$92,'Daftar Koreksi'!$D$5:$D$92,'0600'!A158,'Daftar Koreksi'!$G$5:$G$92,"Aset Henti Guna",'Daftar Koreksi'!$I$5:$I$92,"&lt;0")-SUMIFS('Daftar Koreksi'!$I$5:$I$92,'Daftar Koreksi'!$D$5:$D$92,'0600'!A158,'Daftar Koreksi'!$G$5:$G$92,"Aset Henti Guna",'Daftar Koreksi'!$I$5:$I$92,"&lt;0")</f>
        <v>0</v>
      </c>
      <c r="G175" s="17">
        <f t="shared" si="7"/>
        <v>-5322782851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-7826762414</v>
      </c>
      <c r="E176" s="19">
        <f>SUM(E171:E175)</f>
        <v>0</v>
      </c>
      <c r="F176" s="19">
        <f>SUM(F171:F175)</f>
        <v>0</v>
      </c>
      <c r="G176" s="19">
        <f t="shared" si="7"/>
        <v>-7826762414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20347616229</v>
      </c>
      <c r="E177" s="19">
        <f>E176+E170</f>
        <v>0</v>
      </c>
      <c r="F177" s="19">
        <f>F176+F170</f>
        <v>0</v>
      </c>
      <c r="G177" s="19">
        <f t="shared" si="7"/>
        <v>20347616229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005010600098519000KD</v>
      </c>
      <c r="B180" s="11" t="str">
        <f>P9</f>
        <v>PN. Langsa</v>
      </c>
      <c r="C180" s="12" t="str">
        <f>A180&amp;" "&amp;B180</f>
        <v>005010600098519000KD PN. Langsa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475500</v>
      </c>
      <c r="E183" s="25">
        <f>SUMIFS('Daftar Koreksi'!$H$5:$H$92,'Daftar Koreksi'!$D$5:$D$92,'0600'!A180,'Daftar Koreksi'!$G$5:$G$92,"Persediaan",'Daftar Koreksi'!$H$5:$H$92,"&gt;0")</f>
        <v>0</v>
      </c>
      <c r="F183" s="25">
        <f>SUMIFS('Daftar Koreksi'!$H$5:$H$92,'Daftar Koreksi'!$D$5:$D$92,'0600'!A180,'Daftar Koreksi'!$G$5:$G$92,"Persediaan",'Daftar Koreksi'!$H$5:$H$92,"&lt;0")-SUMIFS('Daftar Koreksi'!$H$5:$H$92,'Daftar Koreksi'!$D$5:$D$92,'0600'!A180,'Daftar Koreksi'!$G$5:$G$92,"Persediaan",'Daftar Koreksi'!$H$5:$H$92,"&lt;0")-SUMIFS('Daftar Koreksi'!$H$5:$H$92,'Daftar Koreksi'!$D$5:$D$92,'0600'!A180,'Daftar Koreksi'!$G$5:$G$92,"Persediaan",'Daftar Koreksi'!$H$5:$H$92,"&lt;0")</f>
        <v>0</v>
      </c>
      <c r="G183" s="17">
        <f>D183+E183-F183</f>
        <v>475500</v>
      </c>
      <c r="H183" s="121" t="str">
        <f>IF(ISNA(VLOOKUP(A180,'Mutasi Neraca'!$A$3:$S$914,19,FALSE)),"-",VLOOKUP(A180,'Mutasi Neraca'!$A$3:$S$914,19,FALSE))</f>
        <v>TP Koreksi Hibah No. 2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2952900000</v>
      </c>
      <c r="E184" s="25">
        <f>SUMIFS('Daftar Koreksi'!$H$5:$H$92,'Daftar Koreksi'!$D$5:$D$92,'0600'!A180,'Daftar Koreksi'!$G$5:$G$92,"Tanah",'Daftar Koreksi'!$H$5:$H$92,"&gt;0")</f>
        <v>0</v>
      </c>
      <c r="F184" s="25">
        <f>SUMIFS('Daftar Koreksi'!$H$5:$H$92,'Daftar Koreksi'!$D$5:$D$92,'0600'!A180,'Daftar Koreksi'!$G$5:$G$92,"Tanah",'Daftar Koreksi'!$H$5:$H$92,"&lt;0")-SUMIFS('Daftar Koreksi'!$H$5:$H$92,'Daftar Koreksi'!$D$5:$D$92,'0600'!A180,'Daftar Koreksi'!$G$5:$G$92,"Tanah",'Daftar Koreksi'!$H$5:$H$92,"&lt;0")-SUMIFS('Daftar Koreksi'!$H$5:$H$92,'Daftar Koreksi'!$D$5:$D$92,'0600'!A180,'Daftar Koreksi'!$G$5:$G$92,"Tanah",'Daftar Koreksi'!$H$5:$H$92,"&lt;0")</f>
        <v>0</v>
      </c>
      <c r="G184" s="17">
        <f t="shared" ref="G184:G200" si="8">D184+E184-F184</f>
        <v>2952900000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1334648008</v>
      </c>
      <c r="E185" s="25">
        <f>SUMIFS('Daftar Koreksi'!$H$5:$H$92,'Daftar Koreksi'!$D$5:$D$92,'0600'!A180,'Daftar Koreksi'!$G$5:$G$92,"Peralatan dan mesin",'Daftar Koreksi'!$H$5:$H$92,"&gt;0")</f>
        <v>0</v>
      </c>
      <c r="F185" s="25">
        <f>SUMIFS('Daftar Koreksi'!$H$5:$H$92,'Daftar Koreksi'!$D$5:$D$92,'0600'!A180,'Daftar Koreksi'!$G$5:$G$92,"Peralatan dan mesin",'Daftar Koreksi'!$H$5:$H$92,"&lt;0")-SUMIFS('Daftar Koreksi'!$H$5:$H$92,'Daftar Koreksi'!$D$5:$D$92,'0600'!A180,'Daftar Koreksi'!$G$5:$G$92,"Peralatan dan mesin",'Daftar Koreksi'!$H$5:$H$92,"&lt;0")-SUMIFS('Daftar Koreksi'!$H$5:$H$92,'Daftar Koreksi'!$D$5:$D$92,'0600'!A180,'Daftar Koreksi'!$G$5:$G$92,"Peralatan dan mesin",'Daftar Koreksi'!$H$5:$H$92,"&lt;0")</f>
        <v>0</v>
      </c>
      <c r="G185" s="17">
        <f t="shared" si="8"/>
        <v>1334648008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4056044584</v>
      </c>
      <c r="E186" s="25">
        <f>SUMIFS('Daftar Koreksi'!$H$5:$H$92,'Daftar Koreksi'!$D$5:$D$92,'0600'!A180,'Daftar Koreksi'!$G$5:$G$92,"Gedung dan Bangunan",'Daftar Koreksi'!$H$5:$H$92,"&gt;0")</f>
        <v>162200000</v>
      </c>
      <c r="F186" s="25">
        <f>SUMIFS('Daftar Koreksi'!$H$5:$H$92,'Daftar Koreksi'!$D$5:$D$92,'0600'!A180,'Daftar Koreksi'!$G$5:$G$92,"Gedung dan Bangunan",'Daftar Koreksi'!$H$5:$H$92,"&lt;0")-SUMIFS('Daftar Koreksi'!$H$5:$H$92,'Daftar Koreksi'!$D$5:$D$92,'0600'!A180,'Daftar Koreksi'!$G$5:$G$92,"Gedung dan Bangunan",'Daftar Koreksi'!$H$5:$H$92,"&lt;0")-SUMIFS('Daftar Koreksi'!$H$5:$H$92,'Daftar Koreksi'!$D$5:$D$92,'0600'!A180,'Daftar Koreksi'!$G$5:$G$92,"Gedung dan Bangunan",'Daftar Koreksi'!$H$5:$H$92,"&lt;0")</f>
        <v>0</v>
      </c>
      <c r="G186" s="17">
        <f t="shared" si="8"/>
        <v>4218244584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30500000</v>
      </c>
      <c r="E187" s="25">
        <f>SUMIFS('Daftar Koreksi'!$H$5:$H$92,'Daftar Koreksi'!$D$5:$D$92,'0600'!A180,'Daftar Koreksi'!$G$5:$G$92,"Jalan Irigasi Jaringan",'Daftar Koreksi'!$H$5:$H$92,"&gt;0")</f>
        <v>0</v>
      </c>
      <c r="F187" s="25">
        <f>SUMIFS('Daftar Koreksi'!$H$5:$H$92,'Daftar Koreksi'!$D$5:$D$92,'0600'!A180,'Daftar Koreksi'!$G$5:$G$92,"Jalan Irigasi Jaringan",'Daftar Koreksi'!$H$5:$H$92,"&lt;0")-SUMIFS('Daftar Koreksi'!$H$5:$H$92,'Daftar Koreksi'!$D$5:$D$92,'0600'!A180,'Daftar Koreksi'!$G$5:$G$92,"Jalan Irigasi Jaringan",'Daftar Koreksi'!$H$5:$H$92,"&lt;0")-SUMIFS('Daftar Koreksi'!$H$5:$H$92,'Daftar Koreksi'!$D$5:$D$92,'0600'!A180,'Daftar Koreksi'!$G$5:$G$92,"Jalan Irigasi Jaringan",'Daftar Koreksi'!$H$5:$H$92,"&lt;0")</f>
        <v>0</v>
      </c>
      <c r="G187" s="17">
        <f t="shared" si="8"/>
        <v>30500000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118943440</v>
      </c>
      <c r="E188" s="25">
        <f>SUMIFS('Daftar Koreksi'!$H$5:$H$92,'Daftar Koreksi'!$D$5:$D$92,'0600'!A180,'Daftar Koreksi'!$G$5:$G$92,"Aset Tetap Lainnya",'Daftar Koreksi'!$H$5:$H$92,"&gt;0")</f>
        <v>0</v>
      </c>
      <c r="F188" s="25">
        <f>SUMIFS('Daftar Koreksi'!$H$5:$H$92,'Daftar Koreksi'!$D$5:$D$92,'0600'!A180,'Daftar Koreksi'!$G$5:$G$92,"Aset Tetap Lainnya",'Daftar Koreksi'!$H$5:$H$92,"&lt;0")-SUMIFS('Daftar Koreksi'!$H$5:$H$92,'Daftar Koreksi'!$D$5:$D$92,'0600'!A180,'Daftar Koreksi'!$G$5:$G$92,"Aset Tetap Lainnya",'Daftar Koreksi'!$H$5:$H$92,"&lt;0")-SUMIFS('Daftar Koreksi'!$H$5:$H$92,'Daftar Koreksi'!$D$5:$D$92,'0600'!A180,'Daftar Koreksi'!$G$5:$G$92,"Aset Tetap Lainnya",'Daftar Koreksi'!$H$5:$H$92,"&lt;0")</f>
        <v>0</v>
      </c>
      <c r="G188" s="17">
        <f t="shared" si="8"/>
        <v>118943440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Koreksi'!$D$5:$D$92,'0600'!A180,'Daftar Koreksi'!$G$5:$G$92,"Kontruksi Dalam Pengerjaan",'Daftar Koreksi'!$H$5:$H$92,"&gt;0")</f>
        <v>0</v>
      </c>
      <c r="F189" s="25">
        <f>SUMIFS('Daftar Koreksi'!$H$5:$H$92,'Daftar Koreksi'!$D$5:$D$92,'0600'!A180,'Daftar Koreksi'!$G$5:$G$92,"Kontruksi Dalam Pengerjaan",'Daftar Koreksi'!$H$5:$H$92,"&lt;0")-SUMIFS('Daftar Koreksi'!$H$5:$H$92,'Daftar Koreksi'!$D$5:$D$92,'0600'!A180,'Daftar Koreksi'!$G$5:$G$92,"Kontruksi Dalam Pengerjaan",'Daftar Koreksi'!$H$5:$H$92,"&lt;0")-SUMIFS('Daftar Koreksi'!$H$5:$H$92,'Daftar Koreksi'!$D$5:$D$92,'0600'!A180,'Daftar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Koreksi'!$D$5:$D$92,'0600'!A180,'Daftar Koreksi'!$G$5:$G$92,"Aset Tak Berwujud",'Daftar Koreksi'!$H$5:$H$92,"&gt;0")</f>
        <v>0</v>
      </c>
      <c r="F190" s="25">
        <f>SUMIFS('Daftar Koreksi'!$H$5:$H$92,'Daftar Koreksi'!$D$5:$D$92,'0600'!A180,'Daftar Koreksi'!$G$5:$G$92,"Aset Tak Berwujud",'Daftar Koreksi'!$H$5:$H$92,"&lt;0")-SUMIFS('Daftar Koreksi'!$H$5:$H$92,'Daftar Koreksi'!$D$5:$D$92,'0600'!A180,'Daftar Koreksi'!$G$5:$G$92,"Aset Tak Berwujud",'Daftar Koreksi'!$H$5:$H$92,"&lt;0")-SUMIFS('Daftar Koreksi'!$H$5:$H$92,'Daftar Koreksi'!$D$5:$D$92,'0600'!A180,'Daftar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6442000</v>
      </c>
      <c r="E191" s="25">
        <f>SUMIFS('Daftar Koreksi'!$H$5:$H$92,'Daftar Koreksi'!$D$5:$D$92,'0600'!A180,'Daftar Koreksi'!$G$5:$G$92,"Aset Henti Guna",'Daftar Koreksi'!$H$5:$H$92,"&gt;0")</f>
        <v>0</v>
      </c>
      <c r="F191" s="25">
        <f>SUMIFS('Daftar Koreksi'!$H$5:$H$92,'Daftar Koreksi'!$D$5:$D$92,'0600'!A180,'Daftar Koreksi'!$G$5:$G$92,"Aset Henti Guna",'Daftar Koreksi'!$H$5:$H$92,"&lt;0")-SUMIFS('Daftar Koreksi'!$H$5:$H$92,'Daftar Koreksi'!$D$5:$D$92,'0600'!A180,'Daftar Koreksi'!$G$5:$G$92,"Aset Henti Guna",'Daftar Koreksi'!$H$5:$H$92,"&lt;0")-SUMIFS('Daftar Koreksi'!$H$5:$H$92,'Daftar Koreksi'!$D$5:$D$92,'0600'!A180,'Daftar Koreksi'!$G$5:$G$92,"Aset Henti Guna",'Daftar Koreksi'!$H$5:$H$92,"&lt;0")</f>
        <v>0</v>
      </c>
      <c r="G191" s="17">
        <f t="shared" si="8"/>
        <v>6442000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8499953532</v>
      </c>
      <c r="E192" s="19">
        <f>SUM(E183:E191)</f>
        <v>162200000</v>
      </c>
      <c r="F192" s="19">
        <f>SUM(F183:F191)</f>
        <v>0</v>
      </c>
      <c r="G192" s="19">
        <f t="shared" si="8"/>
        <v>8662153532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-1228799637</v>
      </c>
      <c r="E193" s="25">
        <f>SUMIFS('Daftar Koreksi'!$I$5:$I$92,'Daftar Koreksi'!$D$5:$D$92,'0600'!A180,'Daftar Koreksi'!$G$5:$G$92,"Peralatan dan mesin",'Daftar Koreksi'!$I$5:$I$92,"&gt;0")</f>
        <v>0</v>
      </c>
      <c r="F193" s="25">
        <f>SUMIFS('Daftar Koreksi'!$I$5:$I$92,'Daftar Koreksi'!$D$5:$D$92,'0600'!A180,'Daftar Koreksi'!$G$5:$G$92,"Peralatan dan mesin",'Daftar Koreksi'!$I$5:$I$92,"&lt;0")-SUMIFS('Daftar Koreksi'!$I$5:$I$92,'Daftar Koreksi'!$D$5:$D$92,'0600'!A180,'Daftar Koreksi'!$G$5:$G$92,"Peralatan dan mesin",'Daftar Koreksi'!$I$5:$I$92,"&lt;0")-SUMIFS('Daftar Koreksi'!$I$5:$I$92,'Daftar Koreksi'!$D$5:$D$92,'0600'!A180,'Daftar Koreksi'!$G$5:$G$92,"Peralatan dan mesin",'Daftar Koreksi'!$I$5:$I$92,"&lt;0")</f>
        <v>0</v>
      </c>
      <c r="G193" s="17">
        <f t="shared" si="8"/>
        <v>-1228799637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-2529483290</v>
      </c>
      <c r="E194" s="25">
        <f>SUMIFS('Daftar Koreksi'!$I$5:$I$92,'Daftar Koreksi'!$D$5:$D$92,'0600'!A180,'Daftar Koreksi'!$G$5:$G$92,"Gedung dan Bangunan",'Daftar Koreksi'!$I$5:$I$92,"&gt;0")</f>
        <v>0</v>
      </c>
      <c r="F194" s="25">
        <f>SUMIFS('Daftar Koreksi'!$I$5:$I$92,'Daftar Koreksi'!$D$5:$D$92,'0600'!A180,'Daftar Koreksi'!$G$5:$G$92,"Gedung dan Bangunan",'Daftar Koreksi'!$I$5:$I$92,"&lt;0")-SUMIFS('Daftar Koreksi'!$I$5:$I$92,'Daftar Koreksi'!$D$5:$D$92,'0600'!A180,'Daftar Koreksi'!$G$5:$G$92,"Gedung dan Bangunan",'Daftar Koreksi'!$I$5:$I$92,"&lt;0")-SUMIFS('Daftar Koreksi'!$I$5:$I$92,'Daftar Koreksi'!$D$5:$D$92,'0600'!A180,'Daftar Koreksi'!$G$5:$G$92,"Gedung dan Bangunan",'Daftar Koreksi'!$I$5:$I$92,"&lt;0")</f>
        <v>1622000</v>
      </c>
      <c r="G194" s="17">
        <f t="shared" si="8"/>
        <v>-2531105290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-3908331</v>
      </c>
      <c r="E195" s="25">
        <f>SUMIFS('Daftar Koreksi'!$I$5:$I$92,'Daftar Koreksi'!$D$5:$D$92,'0600'!A180,'Daftar Koreksi'!$G$5:$G$92,"Jalan Irigasi Jaringan",'Daftar Koreksi'!$I$5:$I$92,"&gt;0")</f>
        <v>0</v>
      </c>
      <c r="F195" s="25">
        <f>SUMIFS('Daftar Koreksi'!$I$5:$I$92,'Daftar Koreksi'!$D$5:$D$92,'0600'!A180,'Daftar Koreksi'!$G$5:$G$92,"Jalan Irigasi Jaringan",'Daftar Koreksi'!$I$5:$I$92,"&lt;0")-SUMIFS('Daftar Koreksi'!$I$5:$I$92,'Daftar Koreksi'!$D$5:$D$92,'0600'!A180,'Daftar Koreksi'!$G$5:$G$92,"Jalan Irigasi Jaringan",'Daftar Koreksi'!$I$5:$I$92,"&lt;0")-SUMIFS('Daftar Koreksi'!$I$5:$I$92,'Daftar Koreksi'!$D$5:$D$92,'0600'!A180,'Daftar Koreksi'!$G$5:$G$92,"Jalan Irigasi Jaringan",'Daftar Koreksi'!$I$5:$I$92,"&lt;0")</f>
        <v>0</v>
      </c>
      <c r="G195" s="17">
        <f t="shared" si="8"/>
        <v>-3908331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Koreksi'!$D$5:$D$92,'0600'!A180,'Daftar Koreksi'!$G$5:$G$92,"Aset Tetap Lainnya",'Daftar Koreksi'!$I$5:$I$92,"&gt;0")</f>
        <v>0</v>
      </c>
      <c r="F196" s="25">
        <f>SUMIFS('Daftar Koreksi'!$I$5:$I$92,'Daftar Koreksi'!$D$5:$D$92,'0600'!A180,'Daftar Koreksi'!$G$5:$G$92,"Aset Tetap Lainnya",'Daftar Koreksi'!$I$5:$I$92,"&lt;0")-SUMIFS('Daftar Koreksi'!$I$5:$I$92,'Daftar Koreksi'!$D$5:$D$92,'0600'!A180,'Daftar Koreksi'!$G$5:$G$92,"Aset Tetap Lainnya",'Daftar Koreksi'!$I$5:$I$92,"&lt;0")-SUMIFS('Daftar Koreksi'!$I$5:$I$92,'Daftar Koreksi'!$D$5:$D$92,'0600'!A180,'Daftar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-6442000</v>
      </c>
      <c r="E197" s="25">
        <f>SUMIFS('Daftar Koreksi'!$I$5:$I$92,'Daftar Koreksi'!$D$5:$D$92,'0600'!A180,'Daftar Koreksi'!$G$5:$G$92,"Aset Henti Guna",'Daftar Koreksi'!$I$5:$I$92,"&gt;0")</f>
        <v>0</v>
      </c>
      <c r="F197" s="25">
        <f>SUMIFS('Daftar Koreksi'!$I$5:$I$92,'Daftar Koreksi'!$D$5:$D$92,'0600'!A180,'Daftar Koreksi'!$G$5:$G$92,"Aset Henti Guna",'Daftar Koreksi'!$I$5:$I$92,"&lt;0")-SUMIFS('Daftar Koreksi'!$I$5:$I$92,'Daftar Koreksi'!$D$5:$D$92,'0600'!A180,'Daftar Koreksi'!$G$5:$G$92,"Aset Henti Guna",'Daftar Koreksi'!$I$5:$I$92,"&lt;0")-SUMIFS('Daftar Koreksi'!$I$5:$I$92,'Daftar Koreksi'!$D$5:$D$92,'0600'!A180,'Daftar Koreksi'!$G$5:$G$92,"Aset Henti Guna",'Daftar Koreksi'!$I$5:$I$92,"&lt;0")</f>
        <v>0</v>
      </c>
      <c r="G197" s="17">
        <f t="shared" si="8"/>
        <v>-6442000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-3768633258</v>
      </c>
      <c r="E198" s="19">
        <f>SUM(E193:E197)</f>
        <v>0</v>
      </c>
      <c r="F198" s="19">
        <f>SUM(F193:F197)</f>
        <v>1622000</v>
      </c>
      <c r="G198" s="19">
        <f t="shared" si="8"/>
        <v>-3770255258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4731320274</v>
      </c>
      <c r="E199" s="19">
        <f>E198+E192</f>
        <v>162200000</v>
      </c>
      <c r="F199" s="19">
        <f>F198+F192</f>
        <v>1622000</v>
      </c>
      <c r="G199" s="19">
        <f t="shared" si="8"/>
        <v>4891898274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005010600098523000KD</v>
      </c>
      <c r="B202" s="11" t="str">
        <f>P10</f>
        <v>PN. Idi</v>
      </c>
      <c r="C202" s="12" t="str">
        <f>A202&amp;" "&amp;B202</f>
        <v>005010600098523000KD PN. Idi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1883600</v>
      </c>
      <c r="E205" s="25">
        <f>SUMIFS('Daftar Koreksi'!$H$5:$H$92,'Daftar Koreksi'!$D$5:$D$92,'0600'!A202,'Daftar Koreksi'!$G$5:$G$92,"Persediaan",'Daftar Koreksi'!$H$5:$H$92,"&gt;0")</f>
        <v>0</v>
      </c>
      <c r="F205" s="25">
        <f>SUMIFS('Daftar Koreksi'!$H$5:$H$92,'Daftar Koreksi'!$D$5:$D$92,'0600'!A202,'Daftar Koreksi'!$G$5:$G$92,"Persediaan",'Daftar Koreksi'!$H$5:$H$92,"&lt;0")-SUMIFS('Daftar Koreksi'!$H$5:$H$92,'Daftar Koreksi'!$D$5:$D$92,'0600'!A202,'Daftar Koreksi'!$G$5:$G$92,"Persediaan",'Daftar Koreksi'!$H$5:$H$92,"&lt;0")-SUMIFS('Daftar Koreksi'!$H$5:$H$92,'Daftar Koreksi'!$D$5:$D$92,'0600'!A202,'Daftar Koreksi'!$G$5:$G$92,"Persediaan",'Daftar Koreksi'!$H$5:$H$92,"&lt;0")</f>
        <v>0</v>
      </c>
      <c r="G205" s="17">
        <f>D205+E205-F205</f>
        <v>1883600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2334014533</v>
      </c>
      <c r="E206" s="25">
        <f>SUMIFS('Daftar Koreksi'!$H$5:$H$92,'Daftar Koreksi'!$D$5:$D$92,'0600'!A202,'Daftar Koreksi'!$G$5:$G$92,"Tanah",'Daftar Koreksi'!$H$5:$H$92,"&gt;0")</f>
        <v>0</v>
      </c>
      <c r="F206" s="25">
        <f>SUMIFS('Daftar Koreksi'!$H$5:$H$92,'Daftar Koreksi'!$D$5:$D$92,'0600'!A202,'Daftar Koreksi'!$G$5:$G$92,"Tanah",'Daftar Koreksi'!$H$5:$H$92,"&lt;0")-SUMIFS('Daftar Koreksi'!$H$5:$H$92,'Daftar Koreksi'!$D$5:$D$92,'0600'!A202,'Daftar Koreksi'!$G$5:$G$92,"Tanah",'Daftar Koreksi'!$H$5:$H$92,"&lt;0")-SUMIFS('Daftar Koreksi'!$H$5:$H$92,'Daftar Koreksi'!$D$5:$D$92,'0600'!A202,'Daftar Koreksi'!$G$5:$G$92,"Tanah",'Daftar Koreksi'!$H$5:$H$92,"&lt;0")</f>
        <v>0</v>
      </c>
      <c r="G206" s="17">
        <f t="shared" ref="G206:G222" si="9">D206+E206-F206</f>
        <v>2334014533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974873584</v>
      </c>
      <c r="E207" s="25">
        <f>SUMIFS('Daftar Koreksi'!$H$5:$H$92,'Daftar Koreksi'!$D$5:$D$92,'0600'!A202,'Daftar Koreksi'!$G$5:$G$92,"Peralatan dan mesin",'Daftar Koreksi'!$H$5:$H$92,"&gt;0")</f>
        <v>0</v>
      </c>
      <c r="F207" s="25">
        <f>SUMIFS('Daftar Koreksi'!$H$5:$H$92,'Daftar Koreksi'!$D$5:$D$92,'0600'!A202,'Daftar Koreksi'!$G$5:$G$92,"Peralatan dan mesin",'Daftar Koreksi'!$H$5:$H$92,"&lt;0")-SUMIFS('Daftar Koreksi'!$H$5:$H$92,'Daftar Koreksi'!$D$5:$D$92,'0600'!A202,'Daftar Koreksi'!$G$5:$G$92,"Peralatan dan mesin",'Daftar Koreksi'!$H$5:$H$92,"&lt;0")-SUMIFS('Daftar Koreksi'!$H$5:$H$92,'Daftar Koreksi'!$D$5:$D$92,'0600'!A202,'Daftar Koreksi'!$G$5:$G$92,"Peralatan dan mesin",'Daftar Koreksi'!$H$5:$H$92,"&lt;0")</f>
        <v>0</v>
      </c>
      <c r="G207" s="17">
        <f t="shared" si="9"/>
        <v>974873584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18409855922</v>
      </c>
      <c r="E208" s="25">
        <f>SUMIFS('Daftar Koreksi'!$H$5:$H$92,'Daftar Koreksi'!$D$5:$D$92,'0600'!A202,'Daftar Koreksi'!$G$5:$G$92,"Gedung dan Bangunan",'Daftar Koreksi'!$H$5:$H$92,"&gt;0")</f>
        <v>0</v>
      </c>
      <c r="F208" s="25">
        <f>SUMIFS('Daftar Koreksi'!$H$5:$H$92,'Daftar Koreksi'!$D$5:$D$92,'0600'!A202,'Daftar Koreksi'!$G$5:$G$92,"Gedung dan Bangunan",'Daftar Koreksi'!$H$5:$H$92,"&lt;0")-SUMIFS('Daftar Koreksi'!$H$5:$H$92,'Daftar Koreksi'!$D$5:$D$92,'0600'!A202,'Daftar Koreksi'!$G$5:$G$92,"Gedung dan Bangunan",'Daftar Koreksi'!$H$5:$H$92,"&lt;0")-SUMIFS('Daftar Koreksi'!$H$5:$H$92,'Daftar Koreksi'!$D$5:$D$92,'0600'!A202,'Daftar Koreksi'!$G$5:$G$92,"Gedung dan Bangunan",'Daftar Koreksi'!$H$5:$H$92,"&lt;0")</f>
        <v>0</v>
      </c>
      <c r="G208" s="17">
        <f t="shared" si="9"/>
        <v>18409855922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Koreksi'!$D$5:$D$92,'0600'!A202,'Daftar Koreksi'!$G$5:$G$92,"Jalan Irigasi Jaringan",'Daftar Koreksi'!$H$5:$H$92,"&gt;0")</f>
        <v>0</v>
      </c>
      <c r="F209" s="25">
        <f>SUMIFS('Daftar Koreksi'!$H$5:$H$92,'Daftar Koreksi'!$D$5:$D$92,'0600'!A202,'Daftar Koreksi'!$G$5:$G$92,"Jalan Irigasi Jaringan",'Daftar Koreksi'!$H$5:$H$92,"&lt;0")-SUMIFS('Daftar Koreksi'!$H$5:$H$92,'Daftar Koreksi'!$D$5:$D$92,'0600'!A202,'Daftar Koreksi'!$G$5:$G$92,"Jalan Irigasi Jaringan",'Daftar Koreksi'!$H$5:$H$92,"&lt;0")-SUMIFS('Daftar Koreksi'!$H$5:$H$92,'Daftar Koreksi'!$D$5:$D$92,'0600'!A202,'Daftar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4772118</v>
      </c>
      <c r="E210" s="25">
        <f>SUMIFS('Daftar Koreksi'!$H$5:$H$92,'Daftar Koreksi'!$D$5:$D$92,'0600'!A202,'Daftar Koreksi'!$G$5:$G$92,"Aset Tetap Lainnya",'Daftar Koreksi'!$H$5:$H$92,"&gt;0")</f>
        <v>0</v>
      </c>
      <c r="F210" s="25">
        <f>SUMIFS('Daftar Koreksi'!$H$5:$H$92,'Daftar Koreksi'!$D$5:$D$92,'0600'!A202,'Daftar Koreksi'!$G$5:$G$92,"Aset Tetap Lainnya",'Daftar Koreksi'!$H$5:$H$92,"&lt;0")-SUMIFS('Daftar Koreksi'!$H$5:$H$92,'Daftar Koreksi'!$D$5:$D$92,'0600'!A202,'Daftar Koreksi'!$G$5:$G$92,"Aset Tetap Lainnya",'Daftar Koreksi'!$H$5:$H$92,"&lt;0")-SUMIFS('Daftar Koreksi'!$H$5:$H$92,'Daftar Koreksi'!$D$5:$D$92,'0600'!A202,'Daftar Koreksi'!$G$5:$G$92,"Aset Tetap Lainnya",'Daftar Koreksi'!$H$5:$H$92,"&lt;0")</f>
        <v>0</v>
      </c>
      <c r="G210" s="17">
        <f t="shared" si="9"/>
        <v>4772118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Koreksi'!$D$5:$D$92,'0600'!A202,'Daftar Koreksi'!$G$5:$G$92,"Kontruksi Dalam Pengerjaan",'Daftar Koreksi'!$H$5:$H$92,"&gt;0")</f>
        <v>0</v>
      </c>
      <c r="F211" s="25">
        <f>SUMIFS('Daftar Koreksi'!$H$5:$H$92,'Daftar Koreksi'!$D$5:$D$92,'0600'!A202,'Daftar Koreksi'!$G$5:$G$92,"Kontruksi Dalam Pengerjaan",'Daftar Koreksi'!$H$5:$H$92,"&lt;0")-SUMIFS('Daftar Koreksi'!$H$5:$H$92,'Daftar Koreksi'!$D$5:$D$92,'0600'!A202,'Daftar Koreksi'!$G$5:$G$92,"Kontruksi Dalam Pengerjaan",'Daftar Koreksi'!$H$5:$H$92,"&lt;0")-SUMIFS('Daftar Koreksi'!$H$5:$H$92,'Daftar Koreksi'!$D$5:$D$92,'0600'!A202,'Daftar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Koreksi'!$D$5:$D$92,'0600'!A202,'Daftar Koreksi'!$G$5:$G$92,"Aset Tak Berwujud",'Daftar Koreksi'!$H$5:$H$92,"&gt;0")</f>
        <v>0</v>
      </c>
      <c r="F212" s="25">
        <f>SUMIFS('Daftar Koreksi'!$H$5:$H$92,'Daftar Koreksi'!$D$5:$D$92,'0600'!A202,'Daftar Koreksi'!$G$5:$G$92,"Aset Tak Berwujud",'Daftar Koreksi'!$H$5:$H$92,"&lt;0")-SUMIFS('Daftar Koreksi'!$H$5:$H$92,'Daftar Koreksi'!$D$5:$D$92,'0600'!A202,'Daftar Koreksi'!$G$5:$G$92,"Aset Tak Berwujud",'Daftar Koreksi'!$H$5:$H$92,"&lt;0")-SUMIFS('Daftar Koreksi'!$H$5:$H$92,'Daftar Koreksi'!$D$5:$D$92,'0600'!A202,'Daftar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235521116</v>
      </c>
      <c r="E213" s="25">
        <f>SUMIFS('Daftar Koreksi'!$H$5:$H$92,'Daftar Koreksi'!$D$5:$D$92,'0600'!A202,'Daftar Koreksi'!$G$5:$G$92,"Aset Henti Guna",'Daftar Koreksi'!$H$5:$H$92,"&gt;0")</f>
        <v>0</v>
      </c>
      <c r="F213" s="25">
        <f>SUMIFS('Daftar Koreksi'!$H$5:$H$92,'Daftar Koreksi'!$D$5:$D$92,'0600'!A202,'Daftar Koreksi'!$G$5:$G$92,"Aset Henti Guna",'Daftar Koreksi'!$H$5:$H$92,"&lt;0")-SUMIFS('Daftar Koreksi'!$H$5:$H$92,'Daftar Koreksi'!$D$5:$D$92,'0600'!A202,'Daftar Koreksi'!$G$5:$G$92,"Aset Henti Guna",'Daftar Koreksi'!$H$5:$H$92,"&lt;0")-SUMIFS('Daftar Koreksi'!$H$5:$H$92,'Daftar Koreksi'!$D$5:$D$92,'0600'!A202,'Daftar Koreksi'!$G$5:$G$92,"Aset Henti Guna",'Daftar Koreksi'!$H$5:$H$92,"&lt;0")</f>
        <v>0</v>
      </c>
      <c r="G213" s="17">
        <f t="shared" si="9"/>
        <v>235521116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21960920873</v>
      </c>
      <c r="E214" s="19">
        <f>SUM(E205:E213)</f>
        <v>0</v>
      </c>
      <c r="F214" s="19">
        <f>SUM(F205:F213)</f>
        <v>0</v>
      </c>
      <c r="G214" s="19">
        <f t="shared" si="9"/>
        <v>21960920873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-845267310</v>
      </c>
      <c r="E215" s="25">
        <f>SUMIFS('Daftar Koreksi'!$I$5:$I$92,'Daftar Koreksi'!$D$5:$D$92,'0600'!A202,'Daftar Koreksi'!$G$5:$G$92,"Peralatan dan mesin",'Daftar Koreksi'!$I$5:$I$92,"&gt;0")</f>
        <v>0</v>
      </c>
      <c r="F215" s="25">
        <f>SUMIFS('Daftar Koreksi'!$I$5:$I$92,'Daftar Koreksi'!$D$5:$D$92,'0600'!A202,'Daftar Koreksi'!$G$5:$G$92,"Peralatan dan mesin",'Daftar Koreksi'!$I$5:$I$92,"&lt;0")-SUMIFS('Daftar Koreksi'!$I$5:$I$92,'Daftar Koreksi'!$D$5:$D$92,'0600'!A202,'Daftar Koreksi'!$G$5:$G$92,"Peralatan dan mesin",'Daftar Koreksi'!$I$5:$I$92,"&lt;0")-SUMIFS('Daftar Koreksi'!$I$5:$I$92,'Daftar Koreksi'!$D$5:$D$92,'0600'!A202,'Daftar Koreksi'!$G$5:$G$92,"Peralatan dan mesin",'Daftar Koreksi'!$I$5:$I$92,"&lt;0")</f>
        <v>0</v>
      </c>
      <c r="G215" s="17">
        <f t="shared" si="9"/>
        <v>-845267310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-1946826905</v>
      </c>
      <c r="E216" s="25">
        <f>SUMIFS('Daftar Koreksi'!$I$5:$I$92,'Daftar Koreksi'!$D$5:$D$92,'0600'!A202,'Daftar Koreksi'!$G$5:$G$92,"Gedung dan Bangunan",'Daftar Koreksi'!$I$5:$I$92,"&gt;0")</f>
        <v>0</v>
      </c>
      <c r="F216" s="25">
        <f>SUMIFS('Daftar Koreksi'!$I$5:$I$92,'Daftar Koreksi'!$D$5:$D$92,'0600'!A202,'Daftar Koreksi'!$G$5:$G$92,"Gedung dan Bangunan",'Daftar Koreksi'!$I$5:$I$92,"&lt;0")-SUMIFS('Daftar Koreksi'!$I$5:$I$92,'Daftar Koreksi'!$D$5:$D$92,'0600'!A202,'Daftar Koreksi'!$G$5:$G$92,"Gedung dan Bangunan",'Daftar Koreksi'!$I$5:$I$92,"&lt;0")-SUMIFS('Daftar Koreksi'!$I$5:$I$92,'Daftar Koreksi'!$D$5:$D$92,'0600'!A202,'Daftar Koreksi'!$G$5:$G$92,"Gedung dan Bangunan",'Daftar Koreksi'!$I$5:$I$92,"&lt;0")</f>
        <v>0</v>
      </c>
      <c r="G216" s="17">
        <f t="shared" si="9"/>
        <v>-1946826905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Koreksi'!$D$5:$D$92,'0600'!A202,'Daftar Koreksi'!$G$5:$G$92,"Jalan Irigasi Jaringan",'Daftar Koreksi'!$I$5:$I$92,"&gt;0")</f>
        <v>0</v>
      </c>
      <c r="F217" s="25">
        <f>SUMIFS('Daftar Koreksi'!$I$5:$I$92,'Daftar Koreksi'!$D$5:$D$92,'0600'!A202,'Daftar Koreksi'!$G$5:$G$92,"Jalan Irigasi Jaringan",'Daftar Koreksi'!$I$5:$I$92,"&lt;0")-SUMIFS('Daftar Koreksi'!$I$5:$I$92,'Daftar Koreksi'!$D$5:$D$92,'0600'!A202,'Daftar Koreksi'!$G$5:$G$92,"Jalan Irigasi Jaringan",'Daftar Koreksi'!$I$5:$I$92,"&lt;0")-SUMIFS('Daftar Koreksi'!$I$5:$I$92,'Daftar Koreksi'!$D$5:$D$92,'0600'!A202,'Daftar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Koreksi'!$D$5:$D$92,'0600'!A202,'Daftar Koreksi'!$G$5:$G$92,"Aset Tetap Lainnya",'Daftar Koreksi'!$I$5:$I$92,"&gt;0")</f>
        <v>0</v>
      </c>
      <c r="F218" s="25">
        <f>SUMIFS('Daftar Koreksi'!$I$5:$I$92,'Daftar Koreksi'!$D$5:$D$92,'0600'!A202,'Daftar Koreksi'!$G$5:$G$92,"Aset Tetap Lainnya",'Daftar Koreksi'!$I$5:$I$92,"&lt;0")-SUMIFS('Daftar Koreksi'!$I$5:$I$92,'Daftar Koreksi'!$D$5:$D$92,'0600'!A202,'Daftar Koreksi'!$G$5:$G$92,"Aset Tetap Lainnya",'Daftar Koreksi'!$I$5:$I$92,"&lt;0")-SUMIFS('Daftar Koreksi'!$I$5:$I$92,'Daftar Koreksi'!$D$5:$D$92,'0600'!A202,'Daftar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-235471116</v>
      </c>
      <c r="E219" s="25">
        <f>SUMIFS('Daftar Koreksi'!$I$5:$I$92,'Daftar Koreksi'!$D$5:$D$92,'0600'!A202,'Daftar Koreksi'!$G$5:$G$92,"Aset Henti Guna",'Daftar Koreksi'!$I$5:$I$92,"&gt;0")</f>
        <v>0</v>
      </c>
      <c r="F219" s="25">
        <f>SUMIFS('Daftar Koreksi'!$I$5:$I$92,'Daftar Koreksi'!$D$5:$D$92,'0600'!A202,'Daftar Koreksi'!$G$5:$G$92,"Aset Henti Guna",'Daftar Koreksi'!$I$5:$I$92,"&lt;0")-SUMIFS('Daftar Koreksi'!$I$5:$I$92,'Daftar Koreksi'!$D$5:$D$92,'0600'!A202,'Daftar Koreksi'!$G$5:$G$92,"Aset Henti Guna",'Daftar Koreksi'!$I$5:$I$92,"&lt;0")-SUMIFS('Daftar Koreksi'!$I$5:$I$92,'Daftar Koreksi'!$D$5:$D$92,'0600'!A202,'Daftar Koreksi'!$G$5:$G$92,"Aset Henti Guna",'Daftar Koreksi'!$I$5:$I$92,"&lt;0")</f>
        <v>0</v>
      </c>
      <c r="G219" s="17">
        <f t="shared" si="9"/>
        <v>-235471116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-3027565331</v>
      </c>
      <c r="E220" s="19">
        <f>SUM(E215:E219)</f>
        <v>0</v>
      </c>
      <c r="F220" s="19">
        <f>SUM(F215:F219)</f>
        <v>0</v>
      </c>
      <c r="G220" s="19">
        <f t="shared" si="9"/>
        <v>-3027565331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18933355542</v>
      </c>
      <c r="E221" s="19">
        <f>E220+E214</f>
        <v>0</v>
      </c>
      <c r="F221" s="19">
        <f>F220+F214</f>
        <v>0</v>
      </c>
      <c r="G221" s="19">
        <f t="shared" si="9"/>
        <v>18933355542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005010600098530000KD</v>
      </c>
      <c r="B224" s="11" t="str">
        <f>P11</f>
        <v>PN. Kuala Simpang</v>
      </c>
      <c r="C224" s="12" t="str">
        <f>A224&amp;" "&amp;B224</f>
        <v>005010600098530000KD PN. Kuala Simpang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0</v>
      </c>
      <c r="E227" s="25">
        <f>SUMIFS('Daftar Koreksi'!$H$5:$H$92,'Daftar Koreksi'!$D$5:$D$92,'0600'!A224,'Daftar Koreksi'!$G$5:$G$92,"Persediaan",'Daftar Koreksi'!$H$5:$H$92,"&gt;0")</f>
        <v>0</v>
      </c>
      <c r="F227" s="25">
        <f>SUMIFS('Daftar Koreksi'!$H$5:$H$92,'Daftar Koreksi'!$D$5:$D$92,'0600'!A224,'Daftar Koreksi'!$G$5:$G$92,"Persediaan",'Daftar Koreksi'!$H$5:$H$92,"&lt;0")-SUMIFS('Daftar Koreksi'!$H$5:$H$92,'Daftar Koreksi'!$D$5:$D$92,'0600'!A224,'Daftar Koreksi'!$G$5:$G$92,"Persediaan",'Daftar Koreksi'!$H$5:$H$92,"&lt;0")-SUMIFS('Daftar Koreksi'!$H$5:$H$92,'Daftar Koreksi'!$D$5:$D$92,'0600'!A224,'Daftar Koreksi'!$G$5:$G$92,"Persediaan",'Daftar Koreksi'!$H$5:$H$92,"&lt;0")</f>
        <v>0</v>
      </c>
      <c r="G227" s="17">
        <f>D227+E227-F227</f>
        <v>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3061303550</v>
      </c>
      <c r="E228" s="25">
        <f>SUMIFS('Daftar Koreksi'!$H$5:$H$92,'Daftar Koreksi'!$D$5:$D$92,'0600'!A224,'Daftar Koreksi'!$G$5:$G$92,"Tanah",'Daftar Koreksi'!$H$5:$H$92,"&gt;0")</f>
        <v>0</v>
      </c>
      <c r="F228" s="25">
        <f>SUMIFS('Daftar Koreksi'!$H$5:$H$92,'Daftar Koreksi'!$D$5:$D$92,'0600'!A224,'Daftar Koreksi'!$G$5:$G$92,"Tanah",'Daftar Koreksi'!$H$5:$H$92,"&lt;0")-SUMIFS('Daftar Koreksi'!$H$5:$H$92,'Daftar Koreksi'!$D$5:$D$92,'0600'!A224,'Daftar Koreksi'!$G$5:$G$92,"Tanah",'Daftar Koreksi'!$H$5:$H$92,"&lt;0")-SUMIFS('Daftar Koreksi'!$H$5:$H$92,'Daftar Koreksi'!$D$5:$D$92,'0600'!A224,'Daftar Koreksi'!$G$5:$G$92,"Tanah",'Daftar Koreksi'!$H$5:$H$92,"&lt;0")</f>
        <v>0</v>
      </c>
      <c r="G228" s="17">
        <f t="shared" ref="G228:G244" si="10">D228+E228-F228</f>
        <v>3061303550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1585061328</v>
      </c>
      <c r="E229" s="25">
        <f>SUMIFS('Daftar Koreksi'!$H$5:$H$92,'Daftar Koreksi'!$D$5:$D$92,'0600'!A224,'Daftar Koreksi'!$G$5:$G$92,"Peralatan dan mesin",'Daftar Koreksi'!$H$5:$H$92,"&gt;0")</f>
        <v>0</v>
      </c>
      <c r="F229" s="25">
        <f>SUMIFS('Daftar Koreksi'!$H$5:$H$92,'Daftar Koreksi'!$D$5:$D$92,'0600'!A224,'Daftar Koreksi'!$G$5:$G$92,"Peralatan dan mesin",'Daftar Koreksi'!$H$5:$H$92,"&lt;0")-SUMIFS('Daftar Koreksi'!$H$5:$H$92,'Daftar Koreksi'!$D$5:$D$92,'0600'!A224,'Daftar Koreksi'!$G$5:$G$92,"Peralatan dan mesin",'Daftar Koreksi'!$H$5:$H$92,"&lt;0")-SUMIFS('Daftar Koreksi'!$H$5:$H$92,'Daftar Koreksi'!$D$5:$D$92,'0600'!A224,'Daftar Koreksi'!$G$5:$G$92,"Peralatan dan mesin",'Daftar Koreksi'!$H$5:$H$92,"&lt;0")</f>
        <v>0</v>
      </c>
      <c r="G229" s="17">
        <f t="shared" si="10"/>
        <v>1585061328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10570837000</v>
      </c>
      <c r="E230" s="25">
        <f>SUMIFS('Daftar Koreksi'!$H$5:$H$92,'Daftar Koreksi'!$D$5:$D$92,'0600'!A224,'Daftar Koreksi'!$G$5:$G$92,"Gedung dan Bangunan",'Daftar Koreksi'!$H$5:$H$92,"&gt;0")</f>
        <v>0</v>
      </c>
      <c r="F230" s="25">
        <f>SUMIFS('Daftar Koreksi'!$H$5:$H$92,'Daftar Koreksi'!$D$5:$D$92,'0600'!A224,'Daftar Koreksi'!$G$5:$G$92,"Gedung dan Bangunan",'Daftar Koreksi'!$H$5:$H$92,"&lt;0")-SUMIFS('Daftar Koreksi'!$H$5:$H$92,'Daftar Koreksi'!$D$5:$D$92,'0600'!A224,'Daftar Koreksi'!$G$5:$G$92,"Gedung dan Bangunan",'Daftar Koreksi'!$H$5:$H$92,"&lt;0")-SUMIFS('Daftar Koreksi'!$H$5:$H$92,'Daftar Koreksi'!$D$5:$D$92,'0600'!A224,'Daftar Koreksi'!$G$5:$G$92,"Gedung dan Bangunan",'Daftar Koreksi'!$H$5:$H$92,"&lt;0")</f>
        <v>0</v>
      </c>
      <c r="G230" s="17">
        <f t="shared" si="10"/>
        <v>10570837000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Koreksi'!$D$5:$D$92,'0600'!A224,'Daftar Koreksi'!$G$5:$G$92,"Jalan Irigasi Jaringan",'Daftar Koreksi'!$H$5:$H$92,"&gt;0")</f>
        <v>0</v>
      </c>
      <c r="F231" s="25">
        <f>SUMIFS('Daftar Koreksi'!$H$5:$H$92,'Daftar Koreksi'!$D$5:$D$92,'0600'!A224,'Daftar Koreksi'!$G$5:$G$92,"Jalan Irigasi Jaringan",'Daftar Koreksi'!$H$5:$H$92,"&lt;0")-SUMIFS('Daftar Koreksi'!$H$5:$H$92,'Daftar Koreksi'!$D$5:$D$92,'0600'!A224,'Daftar Koreksi'!$G$5:$G$92,"Jalan Irigasi Jaringan",'Daftar Koreksi'!$H$5:$H$92,"&lt;0")-SUMIFS('Daftar Koreksi'!$H$5:$H$92,'Daftar Koreksi'!$D$5:$D$92,'0600'!A224,'Daftar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1943440</v>
      </c>
      <c r="E232" s="25">
        <f>SUMIFS('Daftar Koreksi'!$H$5:$H$92,'Daftar Koreksi'!$D$5:$D$92,'0600'!A224,'Daftar Koreksi'!$G$5:$G$92,"Aset Tetap Lainnya",'Daftar Koreksi'!$H$5:$H$92,"&gt;0")</f>
        <v>0</v>
      </c>
      <c r="F232" s="25">
        <f>SUMIFS('Daftar Koreksi'!$H$5:$H$92,'Daftar Koreksi'!$D$5:$D$92,'0600'!A224,'Daftar Koreksi'!$G$5:$G$92,"Aset Tetap Lainnya",'Daftar Koreksi'!$H$5:$H$92,"&lt;0")-SUMIFS('Daftar Koreksi'!$H$5:$H$92,'Daftar Koreksi'!$D$5:$D$92,'0600'!A224,'Daftar Koreksi'!$G$5:$G$92,"Aset Tetap Lainnya",'Daftar Koreksi'!$H$5:$H$92,"&lt;0")-SUMIFS('Daftar Koreksi'!$H$5:$H$92,'Daftar Koreksi'!$D$5:$D$92,'0600'!A224,'Daftar Koreksi'!$G$5:$G$92,"Aset Tetap Lainnya",'Daftar Koreksi'!$H$5:$H$92,"&lt;0")</f>
        <v>0</v>
      </c>
      <c r="G232" s="17">
        <f t="shared" si="10"/>
        <v>1943440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Koreksi'!$D$5:$D$92,'0600'!A224,'Daftar Koreksi'!$G$5:$G$92,"Kontruksi Dalam Pengerjaan",'Daftar Koreksi'!$H$5:$H$92,"&gt;0")</f>
        <v>0</v>
      </c>
      <c r="F233" s="25">
        <f>SUMIFS('Daftar Koreksi'!$H$5:$H$92,'Daftar Koreksi'!$D$5:$D$92,'0600'!A224,'Daftar Koreksi'!$G$5:$G$92,"Kontruksi Dalam Pengerjaan",'Daftar Koreksi'!$H$5:$H$92,"&lt;0")-SUMIFS('Daftar Koreksi'!$H$5:$H$92,'Daftar Koreksi'!$D$5:$D$92,'0600'!A224,'Daftar Koreksi'!$G$5:$G$92,"Kontruksi Dalam Pengerjaan",'Daftar Koreksi'!$H$5:$H$92,"&lt;0")-SUMIFS('Daftar Koreksi'!$H$5:$H$92,'Daftar Koreksi'!$D$5:$D$92,'0600'!A224,'Daftar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Koreksi'!$D$5:$D$92,'0600'!A224,'Daftar Koreksi'!$G$5:$G$92,"Aset Tak Berwujud",'Daftar Koreksi'!$H$5:$H$92,"&gt;0")</f>
        <v>0</v>
      </c>
      <c r="F234" s="25">
        <f>SUMIFS('Daftar Koreksi'!$H$5:$H$92,'Daftar Koreksi'!$D$5:$D$92,'0600'!A224,'Daftar Koreksi'!$G$5:$G$92,"Aset Tak Berwujud",'Daftar Koreksi'!$H$5:$H$92,"&lt;0")-SUMIFS('Daftar Koreksi'!$H$5:$H$92,'Daftar Koreksi'!$D$5:$D$92,'0600'!A224,'Daftar Koreksi'!$G$5:$G$92,"Aset Tak Berwujud",'Daftar Koreksi'!$H$5:$H$92,"&lt;0")-SUMIFS('Daftar Koreksi'!$H$5:$H$92,'Daftar Koreksi'!$D$5:$D$92,'0600'!A224,'Daftar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73588000</v>
      </c>
      <c r="E235" s="25">
        <f>SUMIFS('Daftar Koreksi'!$H$5:$H$92,'Daftar Koreksi'!$D$5:$D$92,'0600'!A224,'Daftar Koreksi'!$G$5:$G$92,"Aset Henti Guna",'Daftar Koreksi'!$H$5:$H$92,"&gt;0")</f>
        <v>0</v>
      </c>
      <c r="F235" s="25">
        <f>SUMIFS('Daftar Koreksi'!$H$5:$H$92,'Daftar Koreksi'!$D$5:$D$92,'0600'!A224,'Daftar Koreksi'!$G$5:$G$92,"Aset Henti Guna",'Daftar Koreksi'!$H$5:$H$92,"&lt;0")-SUMIFS('Daftar Koreksi'!$H$5:$H$92,'Daftar Koreksi'!$D$5:$D$92,'0600'!A224,'Daftar Koreksi'!$G$5:$G$92,"Aset Henti Guna",'Daftar Koreksi'!$H$5:$H$92,"&lt;0")-SUMIFS('Daftar Koreksi'!$H$5:$H$92,'Daftar Koreksi'!$D$5:$D$92,'0600'!A224,'Daftar Koreksi'!$G$5:$G$92,"Aset Henti Guna",'Daftar Koreksi'!$H$5:$H$92,"&lt;0")</f>
        <v>0</v>
      </c>
      <c r="G235" s="17">
        <f t="shared" si="10"/>
        <v>73588000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15292733318</v>
      </c>
      <c r="E236" s="19">
        <f>SUM(E227:E235)</f>
        <v>0</v>
      </c>
      <c r="F236" s="19">
        <f>SUM(F227:F235)</f>
        <v>0</v>
      </c>
      <c r="G236" s="19">
        <f t="shared" si="10"/>
        <v>15292733318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-1403194462</v>
      </c>
      <c r="E237" s="25">
        <f>SUMIFS('Daftar Koreksi'!$I$5:$I$92,'Daftar Koreksi'!$D$5:$D$92,'0600'!A224,'Daftar Koreksi'!$G$5:$G$92,"Peralatan dan mesin",'Daftar Koreksi'!$I$5:$I$92,"&gt;0")</f>
        <v>0</v>
      </c>
      <c r="F237" s="25">
        <f>SUMIFS('Daftar Koreksi'!$I$5:$I$92,'Daftar Koreksi'!$D$5:$D$92,'0600'!A224,'Daftar Koreksi'!$G$5:$G$92,"Peralatan dan mesin",'Daftar Koreksi'!$I$5:$I$92,"&lt;0")-SUMIFS('Daftar Koreksi'!$I$5:$I$92,'Daftar Koreksi'!$D$5:$D$92,'0600'!A224,'Daftar Koreksi'!$G$5:$G$92,"Peralatan dan mesin",'Daftar Koreksi'!$I$5:$I$92,"&lt;0")-SUMIFS('Daftar Koreksi'!$I$5:$I$92,'Daftar Koreksi'!$D$5:$D$92,'0600'!A224,'Daftar Koreksi'!$G$5:$G$92,"Peralatan dan mesin",'Daftar Koreksi'!$I$5:$I$92,"&lt;0")</f>
        <v>0</v>
      </c>
      <c r="G237" s="17">
        <f t="shared" si="10"/>
        <v>-1403194462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-5970445560</v>
      </c>
      <c r="E238" s="25">
        <f>SUMIFS('Daftar Koreksi'!$I$5:$I$92,'Daftar Koreksi'!$D$5:$D$92,'0600'!A224,'Daftar Koreksi'!$G$5:$G$92,"Gedung dan Bangunan",'Daftar Koreksi'!$I$5:$I$92,"&gt;0")</f>
        <v>0</v>
      </c>
      <c r="F238" s="25">
        <f>SUMIFS('Daftar Koreksi'!$I$5:$I$92,'Daftar Koreksi'!$D$5:$D$92,'0600'!A224,'Daftar Koreksi'!$G$5:$G$92,"Gedung dan Bangunan",'Daftar Koreksi'!$I$5:$I$92,"&lt;0")-SUMIFS('Daftar Koreksi'!$I$5:$I$92,'Daftar Koreksi'!$D$5:$D$92,'0600'!A224,'Daftar Koreksi'!$G$5:$G$92,"Gedung dan Bangunan",'Daftar Koreksi'!$I$5:$I$92,"&lt;0")-SUMIFS('Daftar Koreksi'!$I$5:$I$92,'Daftar Koreksi'!$D$5:$D$92,'0600'!A224,'Daftar Koreksi'!$G$5:$G$92,"Gedung dan Bangunan",'Daftar Koreksi'!$I$5:$I$92,"&lt;0")</f>
        <v>0</v>
      </c>
      <c r="G238" s="17">
        <f t="shared" si="10"/>
        <v>-5970445560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Koreksi'!$D$5:$D$92,'0600'!A224,'Daftar Koreksi'!$G$5:$G$92,"Jalan Irigasi Jaringan",'Daftar Koreksi'!$I$5:$I$92,"&gt;0")</f>
        <v>0</v>
      </c>
      <c r="F239" s="25">
        <f>SUMIFS('Daftar Koreksi'!$I$5:$I$92,'Daftar Koreksi'!$D$5:$D$92,'0600'!A224,'Daftar Koreksi'!$G$5:$G$92,"Jalan Irigasi Jaringan",'Daftar Koreksi'!$I$5:$I$92,"&lt;0")-SUMIFS('Daftar Koreksi'!$I$5:$I$92,'Daftar Koreksi'!$D$5:$D$92,'0600'!A224,'Daftar Koreksi'!$G$5:$G$92,"Jalan Irigasi Jaringan",'Daftar Koreksi'!$I$5:$I$92,"&lt;0")-SUMIFS('Daftar Koreksi'!$I$5:$I$92,'Daftar Koreksi'!$D$5:$D$92,'0600'!A224,'Daftar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Koreksi'!$D$5:$D$92,'0600'!A224,'Daftar Koreksi'!$G$5:$G$92,"Aset Tetap Lainnya",'Daftar Koreksi'!$I$5:$I$92,"&gt;0")</f>
        <v>0</v>
      </c>
      <c r="F240" s="25">
        <f>SUMIFS('Daftar Koreksi'!$I$5:$I$92,'Daftar Koreksi'!$D$5:$D$92,'0600'!A224,'Daftar Koreksi'!$G$5:$G$92,"Aset Tetap Lainnya",'Daftar Koreksi'!$I$5:$I$92,"&lt;0")-SUMIFS('Daftar Koreksi'!$I$5:$I$92,'Daftar Koreksi'!$D$5:$D$92,'0600'!A224,'Daftar Koreksi'!$G$5:$G$92,"Aset Tetap Lainnya",'Daftar Koreksi'!$I$5:$I$92,"&lt;0")-SUMIFS('Daftar Koreksi'!$I$5:$I$92,'Daftar Koreksi'!$D$5:$D$92,'0600'!A224,'Daftar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-73588000</v>
      </c>
      <c r="E241" s="25">
        <f>SUMIFS('Daftar Koreksi'!$I$5:$I$92,'Daftar Koreksi'!$D$5:$D$92,'0600'!A224,'Daftar Koreksi'!$G$5:$G$92,"Aset Henti Guna",'Daftar Koreksi'!$I$5:$I$92,"&gt;0")</f>
        <v>0</v>
      </c>
      <c r="F241" s="25">
        <f>SUMIFS('Daftar Koreksi'!$I$5:$I$92,'Daftar Koreksi'!$D$5:$D$92,'0600'!A224,'Daftar Koreksi'!$G$5:$G$92,"Aset Henti Guna",'Daftar Koreksi'!$I$5:$I$92,"&lt;0")-SUMIFS('Daftar Koreksi'!$I$5:$I$92,'Daftar Koreksi'!$D$5:$D$92,'0600'!A224,'Daftar Koreksi'!$G$5:$G$92,"Aset Henti Guna",'Daftar Koreksi'!$I$5:$I$92,"&lt;0")-SUMIFS('Daftar Koreksi'!$I$5:$I$92,'Daftar Koreksi'!$D$5:$D$92,'0600'!A224,'Daftar Koreksi'!$G$5:$G$92,"Aset Henti Guna",'Daftar Koreksi'!$I$5:$I$92,"&lt;0")</f>
        <v>0</v>
      </c>
      <c r="G241" s="17">
        <f t="shared" si="10"/>
        <v>-73588000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-7447228022</v>
      </c>
      <c r="E242" s="19">
        <f>SUM(E237:E241)</f>
        <v>0</v>
      </c>
      <c r="F242" s="19">
        <f>SUM(F237:F241)</f>
        <v>0</v>
      </c>
      <c r="G242" s="19">
        <f t="shared" si="10"/>
        <v>-7447228022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7845505296</v>
      </c>
      <c r="E243" s="19">
        <f>E242+E236</f>
        <v>0</v>
      </c>
      <c r="F243" s="19">
        <f>F242+F236</f>
        <v>0</v>
      </c>
      <c r="G243" s="19">
        <f t="shared" si="10"/>
        <v>7845505296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005010600098544000KD</v>
      </c>
      <c r="B246" s="11" t="str">
        <f>P12</f>
        <v>PN. Blangkajeren</v>
      </c>
      <c r="C246" s="12" t="str">
        <f>A246&amp;" "&amp;B246</f>
        <v>005010600098544000KD PN. Blangkajeren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0</v>
      </c>
      <c r="E249" s="25">
        <f>SUMIFS('Daftar Koreksi'!$H$5:$H$92,'Daftar Koreksi'!$D$5:$D$92,'0600'!A246,'Daftar Koreksi'!$G$5:$G$92,"Persediaan",'Daftar Koreksi'!$H$5:$H$92,"&gt;0")</f>
        <v>0</v>
      </c>
      <c r="F249" s="25">
        <f>SUMIFS('Daftar Koreksi'!$H$5:$H$92,'Daftar Koreksi'!$D$5:$D$92,'0600'!A246,'Daftar Koreksi'!$G$5:$G$92,"Persediaan",'Daftar Koreksi'!$H$5:$H$92,"&lt;0")-SUMIFS('Daftar Koreksi'!$H$5:$H$92,'Daftar Koreksi'!$D$5:$D$92,'0600'!A246,'Daftar Koreksi'!$G$5:$G$92,"Persediaan",'Daftar Koreksi'!$H$5:$H$92,"&lt;0")-SUMIFS('Daftar Koreksi'!$H$5:$H$92,'Daftar Koreksi'!$D$5:$D$92,'0600'!A246,'Daftar Koreksi'!$G$5:$G$92,"Persediaan",'Daftar Koreksi'!$H$5:$H$92,"&lt;0")</f>
        <v>0</v>
      </c>
      <c r="G249" s="17">
        <f>D249+E249-F249</f>
        <v>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2212360000</v>
      </c>
      <c r="E250" s="25">
        <f>SUMIFS('Daftar Koreksi'!$H$5:$H$92,'Daftar Koreksi'!$D$5:$D$92,'0600'!A246,'Daftar Koreksi'!$G$5:$G$92,"Tanah",'Daftar Koreksi'!$H$5:$H$92,"&gt;0")</f>
        <v>0</v>
      </c>
      <c r="F250" s="25">
        <f>SUMIFS('Daftar Koreksi'!$H$5:$H$92,'Daftar Koreksi'!$D$5:$D$92,'0600'!A246,'Daftar Koreksi'!$G$5:$G$92,"Tanah",'Daftar Koreksi'!$H$5:$H$92,"&lt;0")-SUMIFS('Daftar Koreksi'!$H$5:$H$92,'Daftar Koreksi'!$D$5:$D$92,'0600'!A246,'Daftar Koreksi'!$G$5:$G$92,"Tanah",'Daftar Koreksi'!$H$5:$H$92,"&lt;0")-SUMIFS('Daftar Koreksi'!$H$5:$H$92,'Daftar Koreksi'!$D$5:$D$92,'0600'!A246,'Daftar Koreksi'!$G$5:$G$92,"Tanah",'Daftar Koreksi'!$H$5:$H$92,"&lt;0")</f>
        <v>0</v>
      </c>
      <c r="G250" s="17">
        <f t="shared" ref="G250:G266" si="11">D250+E250-F250</f>
        <v>2212360000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815328120</v>
      </c>
      <c r="E251" s="25">
        <f>SUMIFS('Daftar Koreksi'!$H$5:$H$92,'Daftar Koreksi'!$D$5:$D$92,'0600'!A246,'Daftar Koreksi'!$G$5:$G$92,"Peralatan dan mesin",'Daftar Koreksi'!$H$5:$H$92,"&gt;0")</f>
        <v>0</v>
      </c>
      <c r="F251" s="25">
        <f>SUMIFS('Daftar Koreksi'!$H$5:$H$92,'Daftar Koreksi'!$D$5:$D$92,'0600'!A246,'Daftar Koreksi'!$G$5:$G$92,"Peralatan dan mesin",'Daftar Koreksi'!$H$5:$H$92,"&lt;0")-SUMIFS('Daftar Koreksi'!$H$5:$H$92,'Daftar Koreksi'!$D$5:$D$92,'0600'!A246,'Daftar Koreksi'!$G$5:$G$92,"Peralatan dan mesin",'Daftar Koreksi'!$H$5:$H$92,"&lt;0")-SUMIFS('Daftar Koreksi'!$H$5:$H$92,'Daftar Koreksi'!$D$5:$D$92,'0600'!A246,'Daftar Koreksi'!$G$5:$G$92,"Peralatan dan mesin",'Daftar Koreksi'!$H$5:$H$92,"&lt;0")</f>
        <v>0</v>
      </c>
      <c r="G251" s="17">
        <f t="shared" si="11"/>
        <v>815328120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5857375100</v>
      </c>
      <c r="E252" s="25">
        <f>SUMIFS('Daftar Koreksi'!$H$5:$H$92,'Daftar Koreksi'!$D$5:$D$92,'0600'!A246,'Daftar Koreksi'!$G$5:$G$92,"Gedung dan Bangunan",'Daftar Koreksi'!$H$5:$H$92,"&gt;0")</f>
        <v>0</v>
      </c>
      <c r="F252" s="25">
        <f>SUMIFS('Daftar Koreksi'!$H$5:$H$92,'Daftar Koreksi'!$D$5:$D$92,'0600'!A246,'Daftar Koreksi'!$G$5:$G$92,"Gedung dan Bangunan",'Daftar Koreksi'!$H$5:$H$92,"&lt;0")-SUMIFS('Daftar Koreksi'!$H$5:$H$92,'Daftar Koreksi'!$D$5:$D$92,'0600'!A246,'Daftar Koreksi'!$G$5:$G$92,"Gedung dan Bangunan",'Daftar Koreksi'!$H$5:$H$92,"&lt;0")-SUMIFS('Daftar Koreksi'!$H$5:$H$92,'Daftar Koreksi'!$D$5:$D$92,'0600'!A246,'Daftar Koreksi'!$G$5:$G$92,"Gedung dan Bangunan",'Daftar Koreksi'!$H$5:$H$92,"&lt;0")</f>
        <v>0</v>
      </c>
      <c r="G252" s="17">
        <f t="shared" si="11"/>
        <v>5857375100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Koreksi'!$D$5:$D$92,'0600'!A246,'Daftar Koreksi'!$G$5:$G$92,"Jalan Irigasi Jaringan",'Daftar Koreksi'!$H$5:$H$92,"&gt;0")</f>
        <v>0</v>
      </c>
      <c r="F253" s="25">
        <f>SUMIFS('Daftar Koreksi'!$H$5:$H$92,'Daftar Koreksi'!$D$5:$D$92,'0600'!A246,'Daftar Koreksi'!$G$5:$G$92,"Jalan Irigasi Jaringan",'Daftar Koreksi'!$H$5:$H$92,"&lt;0")-SUMIFS('Daftar Koreksi'!$H$5:$H$92,'Daftar Koreksi'!$D$5:$D$92,'0600'!A246,'Daftar Koreksi'!$G$5:$G$92,"Jalan Irigasi Jaringan",'Daftar Koreksi'!$H$5:$H$92,"&lt;0")-SUMIFS('Daftar Koreksi'!$H$5:$H$92,'Daftar Koreksi'!$D$5:$D$92,'0600'!A246,'Daftar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1943440</v>
      </c>
      <c r="E254" s="25">
        <f>SUMIFS('Daftar Koreksi'!$H$5:$H$92,'Daftar Koreksi'!$D$5:$D$92,'0600'!A246,'Daftar Koreksi'!$G$5:$G$92,"Aset Tetap Lainnya",'Daftar Koreksi'!$H$5:$H$92,"&gt;0")</f>
        <v>0</v>
      </c>
      <c r="F254" s="25">
        <f>SUMIFS('Daftar Koreksi'!$H$5:$H$92,'Daftar Koreksi'!$D$5:$D$92,'0600'!A246,'Daftar Koreksi'!$G$5:$G$92,"Aset Tetap Lainnya",'Daftar Koreksi'!$H$5:$H$92,"&lt;0")-SUMIFS('Daftar Koreksi'!$H$5:$H$92,'Daftar Koreksi'!$D$5:$D$92,'0600'!A246,'Daftar Koreksi'!$G$5:$G$92,"Aset Tetap Lainnya",'Daftar Koreksi'!$H$5:$H$92,"&lt;0")-SUMIFS('Daftar Koreksi'!$H$5:$H$92,'Daftar Koreksi'!$D$5:$D$92,'0600'!A246,'Daftar Koreksi'!$G$5:$G$92,"Aset Tetap Lainnya",'Daftar Koreksi'!$H$5:$H$92,"&lt;0")</f>
        <v>0</v>
      </c>
      <c r="G254" s="17">
        <f t="shared" si="11"/>
        <v>1943440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Koreksi'!$D$5:$D$92,'0600'!A246,'Daftar Koreksi'!$G$5:$G$92,"Kontruksi Dalam Pengerjaan",'Daftar Koreksi'!$H$5:$H$92,"&gt;0")</f>
        <v>0</v>
      </c>
      <c r="F255" s="25">
        <f>SUMIFS('Daftar Koreksi'!$H$5:$H$92,'Daftar Koreksi'!$D$5:$D$92,'0600'!A246,'Daftar Koreksi'!$G$5:$G$92,"Kontruksi Dalam Pengerjaan",'Daftar Koreksi'!$H$5:$H$92,"&lt;0")-SUMIFS('Daftar Koreksi'!$H$5:$H$92,'Daftar Koreksi'!$D$5:$D$92,'0600'!A246,'Daftar Koreksi'!$G$5:$G$92,"Kontruksi Dalam Pengerjaan",'Daftar Koreksi'!$H$5:$H$92,"&lt;0")-SUMIFS('Daftar Koreksi'!$H$5:$H$92,'Daftar Koreksi'!$D$5:$D$92,'0600'!A246,'Daftar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Koreksi'!$D$5:$D$92,'0600'!A246,'Daftar Koreksi'!$G$5:$G$92,"Aset Tak Berwujud",'Daftar Koreksi'!$H$5:$H$92,"&gt;0")</f>
        <v>0</v>
      </c>
      <c r="F256" s="25">
        <f>SUMIFS('Daftar Koreksi'!$H$5:$H$92,'Daftar Koreksi'!$D$5:$D$92,'0600'!A246,'Daftar Koreksi'!$G$5:$G$92,"Aset Tak Berwujud",'Daftar Koreksi'!$H$5:$H$92,"&lt;0")-SUMIFS('Daftar Koreksi'!$H$5:$H$92,'Daftar Koreksi'!$D$5:$D$92,'0600'!A246,'Daftar Koreksi'!$G$5:$G$92,"Aset Tak Berwujud",'Daftar Koreksi'!$H$5:$H$92,"&lt;0")-SUMIFS('Daftar Koreksi'!$H$5:$H$92,'Daftar Koreksi'!$D$5:$D$92,'0600'!A246,'Daftar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Koreksi'!$D$5:$D$92,'0600'!A246,'Daftar Koreksi'!$G$5:$G$92,"Aset Henti Guna",'Daftar Koreksi'!$H$5:$H$92,"&gt;0")</f>
        <v>0</v>
      </c>
      <c r="F257" s="25">
        <f>SUMIFS('Daftar Koreksi'!$H$5:$H$92,'Daftar Koreksi'!$D$5:$D$92,'0600'!A246,'Daftar Koreksi'!$G$5:$G$92,"Aset Henti Guna",'Daftar Koreksi'!$H$5:$H$92,"&lt;0")-SUMIFS('Daftar Koreksi'!$H$5:$H$92,'Daftar Koreksi'!$D$5:$D$92,'0600'!A246,'Daftar Koreksi'!$G$5:$G$92,"Aset Henti Guna",'Daftar Koreksi'!$H$5:$H$92,"&lt;0")-SUMIFS('Daftar Koreksi'!$H$5:$H$92,'Daftar Koreksi'!$D$5:$D$92,'0600'!A246,'Daftar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8887006660</v>
      </c>
      <c r="E258" s="19">
        <f>SUM(E249:E257)</f>
        <v>0</v>
      </c>
      <c r="F258" s="19">
        <f>SUM(F249:F257)</f>
        <v>0</v>
      </c>
      <c r="G258" s="19">
        <f t="shared" si="11"/>
        <v>8887006660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-730176469</v>
      </c>
      <c r="E259" s="25">
        <f>SUMIFS('Daftar Koreksi'!$I$5:$I$92,'Daftar Koreksi'!$D$5:$D$92,'0600'!A246,'Daftar Koreksi'!$G$5:$G$92,"Peralatan dan mesin",'Daftar Koreksi'!$I$5:$I$92,"&gt;0")</f>
        <v>0</v>
      </c>
      <c r="F259" s="25">
        <f>SUMIFS('Daftar Koreksi'!$I$5:$I$92,'Daftar Koreksi'!$D$5:$D$92,'0600'!A246,'Daftar Koreksi'!$G$5:$G$92,"Peralatan dan mesin",'Daftar Koreksi'!$I$5:$I$92,"&lt;0")-SUMIFS('Daftar Koreksi'!$I$5:$I$92,'Daftar Koreksi'!$D$5:$D$92,'0600'!A246,'Daftar Koreksi'!$G$5:$G$92,"Peralatan dan mesin",'Daftar Koreksi'!$I$5:$I$92,"&lt;0")-SUMIFS('Daftar Koreksi'!$I$5:$I$92,'Daftar Koreksi'!$D$5:$D$92,'0600'!A246,'Daftar Koreksi'!$G$5:$G$92,"Peralatan dan mesin",'Daftar Koreksi'!$I$5:$I$92,"&lt;0")</f>
        <v>0</v>
      </c>
      <c r="G259" s="17">
        <f t="shared" si="11"/>
        <v>-730176469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-3721755282</v>
      </c>
      <c r="E260" s="25">
        <f>SUMIFS('Daftar Koreksi'!$I$5:$I$92,'Daftar Koreksi'!$D$5:$D$92,'0600'!A246,'Daftar Koreksi'!$G$5:$G$92,"Gedung dan Bangunan",'Daftar Koreksi'!$I$5:$I$92,"&gt;0")</f>
        <v>0</v>
      </c>
      <c r="F260" s="25">
        <f>SUMIFS('Daftar Koreksi'!$I$5:$I$92,'Daftar Koreksi'!$D$5:$D$92,'0600'!A246,'Daftar Koreksi'!$G$5:$G$92,"Gedung dan Bangunan",'Daftar Koreksi'!$I$5:$I$92,"&lt;0")-SUMIFS('Daftar Koreksi'!$I$5:$I$92,'Daftar Koreksi'!$D$5:$D$92,'0600'!A246,'Daftar Koreksi'!$G$5:$G$92,"Gedung dan Bangunan",'Daftar Koreksi'!$I$5:$I$92,"&lt;0")-SUMIFS('Daftar Koreksi'!$I$5:$I$92,'Daftar Koreksi'!$D$5:$D$92,'0600'!A246,'Daftar Koreksi'!$G$5:$G$92,"Gedung dan Bangunan",'Daftar Koreksi'!$I$5:$I$92,"&lt;0")</f>
        <v>0</v>
      </c>
      <c r="G260" s="17">
        <f t="shared" si="11"/>
        <v>-3721755282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Koreksi'!$D$5:$D$92,'0600'!A246,'Daftar Koreksi'!$G$5:$G$92,"Jalan Irigasi Jaringan",'Daftar Koreksi'!$I$5:$I$92,"&gt;0")</f>
        <v>0</v>
      </c>
      <c r="F261" s="25">
        <f>SUMIFS('Daftar Koreksi'!$I$5:$I$92,'Daftar Koreksi'!$D$5:$D$92,'0600'!A246,'Daftar Koreksi'!$G$5:$G$92,"Jalan Irigasi Jaringan",'Daftar Koreksi'!$I$5:$I$92,"&lt;0")-SUMIFS('Daftar Koreksi'!$I$5:$I$92,'Daftar Koreksi'!$D$5:$D$92,'0600'!A246,'Daftar Koreksi'!$G$5:$G$92,"Jalan Irigasi Jaringan",'Daftar Koreksi'!$I$5:$I$92,"&lt;0")-SUMIFS('Daftar Koreksi'!$I$5:$I$92,'Daftar Koreksi'!$D$5:$D$92,'0600'!A246,'Daftar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Koreksi'!$D$5:$D$92,'0600'!A246,'Daftar Koreksi'!$G$5:$G$92,"Aset Tetap Lainnya",'Daftar Koreksi'!$I$5:$I$92,"&gt;0")</f>
        <v>0</v>
      </c>
      <c r="F262" s="25">
        <f>SUMIFS('Daftar Koreksi'!$I$5:$I$92,'Daftar Koreksi'!$D$5:$D$92,'0600'!A246,'Daftar Koreksi'!$G$5:$G$92,"Aset Tetap Lainnya",'Daftar Koreksi'!$I$5:$I$92,"&lt;0")-SUMIFS('Daftar Koreksi'!$I$5:$I$92,'Daftar Koreksi'!$D$5:$D$92,'0600'!A246,'Daftar Koreksi'!$G$5:$G$92,"Aset Tetap Lainnya",'Daftar Koreksi'!$I$5:$I$92,"&lt;0")-SUMIFS('Daftar Koreksi'!$I$5:$I$92,'Daftar Koreksi'!$D$5:$D$92,'0600'!A246,'Daftar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Koreksi'!$D$5:$D$92,'0600'!A246,'Daftar Koreksi'!$G$5:$G$92,"Aset Henti Guna",'Daftar Koreksi'!$I$5:$I$92,"&gt;0")</f>
        <v>0</v>
      </c>
      <c r="F263" s="25">
        <f>SUMIFS('Daftar Koreksi'!$I$5:$I$92,'Daftar Koreksi'!$D$5:$D$92,'0600'!A246,'Daftar Koreksi'!$G$5:$G$92,"Aset Henti Guna",'Daftar Koreksi'!$I$5:$I$92,"&lt;0")-SUMIFS('Daftar Koreksi'!$I$5:$I$92,'Daftar Koreksi'!$D$5:$D$92,'0600'!A246,'Daftar Koreksi'!$G$5:$G$92,"Aset Henti Guna",'Daftar Koreksi'!$I$5:$I$92,"&lt;0")-SUMIFS('Daftar Koreksi'!$I$5:$I$92,'Daftar Koreksi'!$D$5:$D$92,'0600'!A246,'Daftar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-4451931751</v>
      </c>
      <c r="E264" s="19">
        <f>SUM(E259:E263)</f>
        <v>0</v>
      </c>
      <c r="F264" s="19">
        <f>SUM(F259:F263)</f>
        <v>0</v>
      </c>
      <c r="G264" s="19">
        <f t="shared" si="11"/>
        <v>-4451931751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4435074909</v>
      </c>
      <c r="E265" s="19">
        <f>E264+E258</f>
        <v>0</v>
      </c>
      <c r="F265" s="19">
        <f>F264+F258</f>
        <v>0</v>
      </c>
      <c r="G265" s="19">
        <f t="shared" si="11"/>
        <v>4435074909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005010600098551000KD</v>
      </c>
      <c r="B268" s="11" t="str">
        <f>P13</f>
        <v>PN. Kutacane</v>
      </c>
      <c r="C268" s="12" t="str">
        <f>A268&amp;" "&amp;B268</f>
        <v>005010600098551000KD PN. Kutacane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Koreksi'!$D$5:$D$92,'0600'!A268,'Daftar Koreksi'!$G$5:$G$92,"Persediaan",'Daftar Koreksi'!$H$5:$H$92,"&gt;0")</f>
        <v>0</v>
      </c>
      <c r="F271" s="25">
        <f>SUMIFS('Daftar Koreksi'!$H$5:$H$92,'Daftar Koreksi'!$D$5:$D$92,'0600'!A268,'Daftar Koreksi'!$G$5:$G$92,"Persediaan",'Daftar Koreksi'!$H$5:$H$92,"&lt;0")-SUMIFS('Daftar Koreksi'!$H$5:$H$92,'Daftar Koreksi'!$D$5:$D$92,'0600'!A268,'Daftar Koreksi'!$G$5:$G$92,"Persediaan",'Daftar Koreksi'!$H$5:$H$92,"&lt;0")-SUMIFS('Daftar Koreksi'!$H$5:$H$92,'Daftar Koreksi'!$D$5:$D$92,'0600'!A268,'Daftar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2230164000</v>
      </c>
      <c r="E272" s="25">
        <f>SUMIFS('Daftar Koreksi'!$H$5:$H$92,'Daftar Koreksi'!$D$5:$D$92,'0600'!A268,'Daftar Koreksi'!$G$5:$G$92,"Tanah",'Daftar Koreksi'!$H$5:$H$92,"&gt;0")</f>
        <v>0</v>
      </c>
      <c r="F272" s="25">
        <f>SUMIFS('Daftar Koreksi'!$H$5:$H$92,'Daftar Koreksi'!$D$5:$D$92,'0600'!A268,'Daftar Koreksi'!$G$5:$G$92,"Tanah",'Daftar Koreksi'!$H$5:$H$92,"&lt;0")-SUMIFS('Daftar Koreksi'!$H$5:$H$92,'Daftar Koreksi'!$D$5:$D$92,'0600'!A268,'Daftar Koreksi'!$G$5:$G$92,"Tanah",'Daftar Koreksi'!$H$5:$H$92,"&lt;0")-SUMIFS('Daftar Koreksi'!$H$5:$H$92,'Daftar Koreksi'!$D$5:$D$92,'0600'!A268,'Daftar Koreksi'!$G$5:$G$92,"Tanah",'Daftar Koreksi'!$H$5:$H$92,"&lt;0")</f>
        <v>0</v>
      </c>
      <c r="G272" s="17">
        <f t="shared" ref="G272:G288" si="12">D272+E272-F272</f>
        <v>2230164000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1948082080</v>
      </c>
      <c r="E273" s="25">
        <f>SUMIFS('Daftar Koreksi'!$H$5:$H$92,'Daftar Koreksi'!$D$5:$D$92,'0600'!A268,'Daftar Koreksi'!$G$5:$G$92,"Peralatan dan mesin",'Daftar Koreksi'!$H$5:$H$92,"&gt;0")</f>
        <v>0</v>
      </c>
      <c r="F273" s="25">
        <f>SUMIFS('Daftar Koreksi'!$H$5:$H$92,'Daftar Koreksi'!$D$5:$D$92,'0600'!A268,'Daftar Koreksi'!$G$5:$G$92,"Peralatan dan mesin",'Daftar Koreksi'!$H$5:$H$92,"&lt;0")-SUMIFS('Daftar Koreksi'!$H$5:$H$92,'Daftar Koreksi'!$D$5:$D$92,'0600'!A268,'Daftar Koreksi'!$G$5:$G$92,"Peralatan dan mesin",'Daftar Koreksi'!$H$5:$H$92,"&lt;0")-SUMIFS('Daftar Koreksi'!$H$5:$H$92,'Daftar Koreksi'!$D$5:$D$92,'0600'!A268,'Daftar Koreksi'!$G$5:$G$92,"Peralatan dan mesin",'Daftar Koreksi'!$H$5:$H$92,"&lt;0")</f>
        <v>0</v>
      </c>
      <c r="G273" s="17">
        <f t="shared" si="12"/>
        <v>1948082080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9054314425</v>
      </c>
      <c r="E274" s="25">
        <f>SUMIFS('Daftar Koreksi'!$H$5:$H$92,'Daftar Koreksi'!$D$5:$D$92,'0600'!A268,'Daftar Koreksi'!$G$5:$G$92,"Gedung dan Bangunan",'Daftar Koreksi'!$H$5:$H$92,"&gt;0")</f>
        <v>0</v>
      </c>
      <c r="F274" s="25">
        <f>SUMIFS('Daftar Koreksi'!$H$5:$H$92,'Daftar Koreksi'!$D$5:$D$92,'0600'!A268,'Daftar Koreksi'!$G$5:$G$92,"Gedung dan Bangunan",'Daftar Koreksi'!$H$5:$H$92,"&lt;0")-SUMIFS('Daftar Koreksi'!$H$5:$H$92,'Daftar Koreksi'!$D$5:$D$92,'0600'!A268,'Daftar Koreksi'!$G$5:$G$92,"Gedung dan Bangunan",'Daftar Koreksi'!$H$5:$H$92,"&lt;0")-SUMIFS('Daftar Koreksi'!$H$5:$H$92,'Daftar Koreksi'!$D$5:$D$92,'0600'!A268,'Daftar Koreksi'!$G$5:$G$92,"Gedung dan Bangunan",'Daftar Koreksi'!$H$5:$H$92,"&lt;0")</f>
        <v>0</v>
      </c>
      <c r="G274" s="17">
        <f t="shared" si="12"/>
        <v>9054314425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Koreksi'!$D$5:$D$92,'0600'!A268,'Daftar Koreksi'!$G$5:$G$92,"Jalan Irigasi Jaringan",'Daftar Koreksi'!$H$5:$H$92,"&gt;0")</f>
        <v>0</v>
      </c>
      <c r="F275" s="25">
        <f>SUMIFS('Daftar Koreksi'!$H$5:$H$92,'Daftar Koreksi'!$D$5:$D$92,'0600'!A268,'Daftar Koreksi'!$G$5:$G$92,"Jalan Irigasi Jaringan",'Daftar Koreksi'!$H$5:$H$92,"&lt;0")-SUMIFS('Daftar Koreksi'!$H$5:$H$92,'Daftar Koreksi'!$D$5:$D$92,'0600'!A268,'Daftar Koreksi'!$G$5:$G$92,"Jalan Irigasi Jaringan",'Daftar Koreksi'!$H$5:$H$92,"&lt;0")-SUMIFS('Daftar Koreksi'!$H$5:$H$92,'Daftar Koreksi'!$D$5:$D$92,'0600'!A268,'Daftar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19428440</v>
      </c>
      <c r="E276" s="25">
        <f>SUMIFS('Daftar Koreksi'!$H$5:$H$92,'Daftar Koreksi'!$D$5:$D$92,'0600'!A268,'Daftar Koreksi'!$G$5:$G$92,"Aset Tetap Lainnya",'Daftar Koreksi'!$H$5:$H$92,"&gt;0")</f>
        <v>0</v>
      </c>
      <c r="F276" s="25">
        <f>SUMIFS('Daftar Koreksi'!$H$5:$H$92,'Daftar Koreksi'!$D$5:$D$92,'0600'!A268,'Daftar Koreksi'!$G$5:$G$92,"Aset Tetap Lainnya",'Daftar Koreksi'!$H$5:$H$92,"&lt;0")-SUMIFS('Daftar Koreksi'!$H$5:$H$92,'Daftar Koreksi'!$D$5:$D$92,'0600'!A268,'Daftar Koreksi'!$G$5:$G$92,"Aset Tetap Lainnya",'Daftar Koreksi'!$H$5:$H$92,"&lt;0")-SUMIFS('Daftar Koreksi'!$H$5:$H$92,'Daftar Koreksi'!$D$5:$D$92,'0600'!A268,'Daftar Koreksi'!$G$5:$G$92,"Aset Tetap Lainnya",'Daftar Koreksi'!$H$5:$H$92,"&lt;0")</f>
        <v>0</v>
      </c>
      <c r="G276" s="17">
        <f t="shared" si="12"/>
        <v>19428440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Koreksi'!$D$5:$D$92,'0600'!A268,'Daftar Koreksi'!$G$5:$G$92,"Kontruksi Dalam Pengerjaan",'Daftar Koreksi'!$H$5:$H$92,"&gt;0")</f>
        <v>0</v>
      </c>
      <c r="F277" s="25">
        <f>SUMIFS('Daftar Koreksi'!$H$5:$H$92,'Daftar Koreksi'!$D$5:$D$92,'0600'!A268,'Daftar Koreksi'!$G$5:$G$92,"Kontruksi Dalam Pengerjaan",'Daftar Koreksi'!$H$5:$H$92,"&lt;0")-SUMIFS('Daftar Koreksi'!$H$5:$H$92,'Daftar Koreksi'!$D$5:$D$92,'0600'!A268,'Daftar Koreksi'!$G$5:$G$92,"Kontruksi Dalam Pengerjaan",'Daftar Koreksi'!$H$5:$H$92,"&lt;0")-SUMIFS('Daftar Koreksi'!$H$5:$H$92,'Daftar Koreksi'!$D$5:$D$92,'0600'!A268,'Daftar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Koreksi'!$D$5:$D$92,'0600'!A268,'Daftar Koreksi'!$G$5:$G$92,"Aset Tak Berwujud",'Daftar Koreksi'!$H$5:$H$92,"&gt;0")</f>
        <v>0</v>
      </c>
      <c r="F278" s="25">
        <f>SUMIFS('Daftar Koreksi'!$H$5:$H$92,'Daftar Koreksi'!$D$5:$D$92,'0600'!A268,'Daftar Koreksi'!$G$5:$G$92,"Aset Tak Berwujud",'Daftar Koreksi'!$H$5:$H$92,"&lt;0")-SUMIFS('Daftar Koreksi'!$H$5:$H$92,'Daftar Koreksi'!$D$5:$D$92,'0600'!A268,'Daftar Koreksi'!$G$5:$G$92,"Aset Tak Berwujud",'Daftar Koreksi'!$H$5:$H$92,"&lt;0")-SUMIFS('Daftar Koreksi'!$H$5:$H$92,'Daftar Koreksi'!$D$5:$D$92,'0600'!A268,'Daftar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483577747</v>
      </c>
      <c r="E279" s="25">
        <f>SUMIFS('Daftar Koreksi'!$H$5:$H$92,'Daftar Koreksi'!$D$5:$D$92,'0600'!A268,'Daftar Koreksi'!$G$5:$G$92,"Aset Henti Guna",'Daftar Koreksi'!$H$5:$H$92,"&gt;0")</f>
        <v>0</v>
      </c>
      <c r="F279" s="25">
        <f>SUMIFS('Daftar Koreksi'!$H$5:$H$92,'Daftar Koreksi'!$D$5:$D$92,'0600'!A268,'Daftar Koreksi'!$G$5:$G$92,"Aset Henti Guna",'Daftar Koreksi'!$H$5:$H$92,"&lt;0")-SUMIFS('Daftar Koreksi'!$H$5:$H$92,'Daftar Koreksi'!$D$5:$D$92,'0600'!A268,'Daftar Koreksi'!$G$5:$G$92,"Aset Henti Guna",'Daftar Koreksi'!$H$5:$H$92,"&lt;0")-SUMIFS('Daftar Koreksi'!$H$5:$H$92,'Daftar Koreksi'!$D$5:$D$92,'0600'!A268,'Daftar Koreksi'!$G$5:$G$92,"Aset Henti Guna",'Daftar Koreksi'!$H$5:$H$92,"&lt;0")</f>
        <v>0</v>
      </c>
      <c r="G279" s="17">
        <f t="shared" si="12"/>
        <v>483577747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13735566692</v>
      </c>
      <c r="E280" s="19">
        <f>SUM(E271:E279)</f>
        <v>0</v>
      </c>
      <c r="F280" s="19">
        <f>SUM(F271:F279)</f>
        <v>0</v>
      </c>
      <c r="G280" s="19">
        <f t="shared" si="12"/>
        <v>13735566692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-1209412726</v>
      </c>
      <c r="E281" s="25">
        <f>SUMIFS('Daftar Koreksi'!$I$5:$I$92,'Daftar Koreksi'!$D$5:$D$92,'0600'!A268,'Daftar Koreksi'!$G$5:$G$92,"Peralatan dan mesin",'Daftar Koreksi'!$I$5:$I$92,"&gt;0")</f>
        <v>0</v>
      </c>
      <c r="F281" s="25">
        <f>SUMIFS('Daftar Koreksi'!$I$5:$I$92,'Daftar Koreksi'!$D$5:$D$92,'0600'!A268,'Daftar Koreksi'!$G$5:$G$92,"Peralatan dan mesin",'Daftar Koreksi'!$I$5:$I$92,"&lt;0")-SUMIFS('Daftar Koreksi'!$I$5:$I$92,'Daftar Koreksi'!$D$5:$D$92,'0600'!A268,'Daftar Koreksi'!$G$5:$G$92,"Peralatan dan mesin",'Daftar Koreksi'!$I$5:$I$92,"&lt;0")-SUMIFS('Daftar Koreksi'!$I$5:$I$92,'Daftar Koreksi'!$D$5:$D$92,'0600'!A268,'Daftar Koreksi'!$G$5:$G$92,"Peralatan dan mesin",'Daftar Koreksi'!$I$5:$I$92,"&lt;0")</f>
        <v>0</v>
      </c>
      <c r="G281" s="17">
        <f t="shared" si="12"/>
        <v>-1209412726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-2224985921</v>
      </c>
      <c r="E282" s="25">
        <f>SUMIFS('Daftar Koreksi'!$I$5:$I$92,'Daftar Koreksi'!$D$5:$D$92,'0600'!A268,'Daftar Koreksi'!$G$5:$G$92,"Gedung dan Bangunan",'Daftar Koreksi'!$I$5:$I$92,"&gt;0")</f>
        <v>0</v>
      </c>
      <c r="F282" s="25">
        <f>SUMIFS('Daftar Koreksi'!$I$5:$I$92,'Daftar Koreksi'!$D$5:$D$92,'0600'!A268,'Daftar Koreksi'!$G$5:$G$92,"Gedung dan Bangunan",'Daftar Koreksi'!$I$5:$I$92,"&lt;0")-SUMIFS('Daftar Koreksi'!$I$5:$I$92,'Daftar Koreksi'!$D$5:$D$92,'0600'!A268,'Daftar Koreksi'!$G$5:$G$92,"Gedung dan Bangunan",'Daftar Koreksi'!$I$5:$I$92,"&lt;0")-SUMIFS('Daftar Koreksi'!$I$5:$I$92,'Daftar Koreksi'!$D$5:$D$92,'0600'!A268,'Daftar Koreksi'!$G$5:$G$92,"Gedung dan Bangunan",'Daftar Koreksi'!$I$5:$I$92,"&lt;0")</f>
        <v>0</v>
      </c>
      <c r="G282" s="17">
        <f t="shared" si="12"/>
        <v>-2224985921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Koreksi'!$D$5:$D$92,'0600'!A268,'Daftar Koreksi'!$G$5:$G$92,"Jalan Irigasi Jaringan",'Daftar Koreksi'!$I$5:$I$92,"&gt;0")</f>
        <v>0</v>
      </c>
      <c r="F283" s="25">
        <f>SUMIFS('Daftar Koreksi'!$I$5:$I$92,'Daftar Koreksi'!$D$5:$D$92,'0600'!A268,'Daftar Koreksi'!$G$5:$G$92,"Jalan Irigasi Jaringan",'Daftar Koreksi'!$I$5:$I$92,"&lt;0")-SUMIFS('Daftar Koreksi'!$I$5:$I$92,'Daftar Koreksi'!$D$5:$D$92,'0600'!A268,'Daftar Koreksi'!$G$5:$G$92,"Jalan Irigasi Jaringan",'Daftar Koreksi'!$I$5:$I$92,"&lt;0")-SUMIFS('Daftar Koreksi'!$I$5:$I$92,'Daftar Koreksi'!$D$5:$D$92,'0600'!A268,'Daftar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Koreksi'!$D$5:$D$92,'0600'!A268,'Daftar Koreksi'!$G$5:$G$92,"Aset Tetap Lainnya",'Daftar Koreksi'!$I$5:$I$92,"&gt;0")</f>
        <v>0</v>
      </c>
      <c r="F284" s="25">
        <f>SUMIFS('Daftar Koreksi'!$I$5:$I$92,'Daftar Koreksi'!$D$5:$D$92,'0600'!A268,'Daftar Koreksi'!$G$5:$G$92,"Aset Tetap Lainnya",'Daftar Koreksi'!$I$5:$I$92,"&lt;0")-SUMIFS('Daftar Koreksi'!$I$5:$I$92,'Daftar Koreksi'!$D$5:$D$92,'0600'!A268,'Daftar Koreksi'!$G$5:$G$92,"Aset Tetap Lainnya",'Daftar Koreksi'!$I$5:$I$92,"&lt;0")-SUMIFS('Daftar Koreksi'!$I$5:$I$92,'Daftar Koreksi'!$D$5:$D$92,'0600'!A268,'Daftar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-478902481</v>
      </c>
      <c r="E285" s="25">
        <f>SUMIFS('Daftar Koreksi'!$I$5:$I$92,'Daftar Koreksi'!$D$5:$D$92,'0600'!A268,'Daftar Koreksi'!$G$5:$G$92,"Aset Henti Guna",'Daftar Koreksi'!$I$5:$I$92,"&gt;0")</f>
        <v>0</v>
      </c>
      <c r="F285" s="25">
        <f>SUMIFS('Daftar Koreksi'!$I$5:$I$92,'Daftar Koreksi'!$D$5:$D$92,'0600'!A268,'Daftar Koreksi'!$G$5:$G$92,"Aset Henti Guna",'Daftar Koreksi'!$I$5:$I$92,"&lt;0")-SUMIFS('Daftar Koreksi'!$I$5:$I$92,'Daftar Koreksi'!$D$5:$D$92,'0600'!A268,'Daftar Koreksi'!$G$5:$G$92,"Aset Henti Guna",'Daftar Koreksi'!$I$5:$I$92,"&lt;0")-SUMIFS('Daftar Koreksi'!$I$5:$I$92,'Daftar Koreksi'!$D$5:$D$92,'0600'!A268,'Daftar Koreksi'!$G$5:$G$92,"Aset Henti Guna",'Daftar Koreksi'!$I$5:$I$92,"&lt;0")</f>
        <v>0</v>
      </c>
      <c r="G285" s="17">
        <f t="shared" si="12"/>
        <v>-478902481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-3913301128</v>
      </c>
      <c r="E286" s="19">
        <f>SUM(E281:E285)</f>
        <v>0</v>
      </c>
      <c r="F286" s="19">
        <f>SUM(F281:F285)</f>
        <v>0</v>
      </c>
      <c r="G286" s="19">
        <f t="shared" si="12"/>
        <v>-3913301128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9822265564</v>
      </c>
      <c r="E287" s="19">
        <f>E286+E280</f>
        <v>0</v>
      </c>
      <c r="F287" s="19">
        <f>F286+F280</f>
        <v>0</v>
      </c>
      <c r="G287" s="19">
        <f t="shared" si="12"/>
        <v>9822265564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10" ht="19.5" customHeight="1">
      <c r="A290" s="11" t="str">
        <f>O14</f>
        <v>005010600098565000KD</v>
      </c>
      <c r="B290" s="11" t="str">
        <f>P14</f>
        <v>PN. Meulaboh</v>
      </c>
      <c r="C290" s="12" t="str">
        <f>A290&amp;" "&amp;B290</f>
        <v>005010600098565000KD PN. Meulaboh</v>
      </c>
      <c r="D290" s="13"/>
      <c r="E290" s="13"/>
      <c r="F290" s="13"/>
      <c r="G290" s="13"/>
      <c r="H290" s="11"/>
    </row>
    <row r="291" spans="1:10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10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10" ht="21.95" customHeight="1">
      <c r="A293" s="14"/>
      <c r="B293" s="14"/>
      <c r="C293" s="16" t="s">
        <v>1165</v>
      </c>
      <c r="D293" s="17">
        <f>VLOOKUP(A290,'Neraca Unaudited SIMAK'!$A$2:$S$10004,3,FALSE)</f>
        <v>1105500</v>
      </c>
      <c r="E293" s="25">
        <f>SUMIFS('Daftar Koreksi'!$H$5:$H$92,'Daftar Koreksi'!$D$5:$D$92,'0600'!A290,'Daftar Koreksi'!$G$5:$G$92,"Persediaan",'Daftar Koreksi'!$H$5:$H$92,"&gt;0")</f>
        <v>0</v>
      </c>
      <c r="F293" s="25">
        <f>SUMIFS('Daftar Koreksi'!$H$5:$H$92,'Daftar Koreksi'!$D$5:$D$92,'0600'!A290,'Daftar Koreksi'!$G$5:$G$92,"Persediaan",'Daftar Koreksi'!$H$5:$H$92,"&lt;0")-SUMIFS('Daftar Koreksi'!$H$5:$H$92,'Daftar Koreksi'!$D$5:$D$92,'0600'!A290,'Daftar Koreksi'!$G$5:$G$92,"Persediaan",'Daftar Koreksi'!$H$5:$H$92,"&lt;0")-SUMIFS('Daftar Koreksi'!$H$5:$H$92,'Daftar Koreksi'!$D$5:$D$92,'0600'!A290,'Daftar Koreksi'!$G$5:$G$92,"Persediaan",'Daftar Koreksi'!$H$5:$H$92,"&lt;0")</f>
        <v>0</v>
      </c>
      <c r="G293" s="17">
        <f>D293+E293-F293</f>
        <v>1105500</v>
      </c>
      <c r="H293" s="121" t="str">
        <f>IF(ISNA(VLOOKUP(A290,'Mutasi Neraca'!$A$3:$S$914,19,FALSE)),"-",VLOOKUP(A290,'Mutasi Neraca'!$A$3:$S$914,19,FALSE))</f>
        <v>-</v>
      </c>
      <c r="I293" s="28"/>
      <c r="J293" s="28"/>
    </row>
    <row r="294" spans="1:10" ht="21.95" customHeight="1">
      <c r="A294" s="14"/>
      <c r="B294" s="14"/>
      <c r="C294" s="16" t="s">
        <v>1166</v>
      </c>
      <c r="D294" s="17">
        <f>VLOOKUP(A290,'Neraca Unaudited SIMAK'!$A$2:$S$10004,4,FALSE)</f>
        <v>1665520000</v>
      </c>
      <c r="E294" s="25">
        <f>SUMIFS('Daftar Koreksi'!$H$5:$H$92,'Daftar Koreksi'!$D$5:$D$92,'0600'!A290,'Daftar Koreksi'!$G$5:$G$92,"Tanah",'Daftar Koreksi'!$H$5:$H$92,"&gt;0")</f>
        <v>0</v>
      </c>
      <c r="F294" s="25">
        <f>SUMIFS('Daftar Koreksi'!$H$5:$H$92,'Daftar Koreksi'!$D$5:$D$92,'0600'!A290,'Daftar Koreksi'!$G$5:$G$92,"Tanah",'Daftar Koreksi'!$H$5:$H$92,"&lt;0")-SUMIFS('Daftar Koreksi'!$H$5:$H$92,'Daftar Koreksi'!$D$5:$D$92,'0600'!A290,'Daftar Koreksi'!$G$5:$G$92,"Tanah",'Daftar Koreksi'!$H$5:$H$92,"&lt;0")-SUMIFS('Daftar Koreksi'!$H$5:$H$92,'Daftar Koreksi'!$D$5:$D$92,'0600'!A290,'Daftar Koreksi'!$G$5:$G$92,"Tanah",'Daftar Koreksi'!$H$5:$H$92,"&lt;0")</f>
        <v>0</v>
      </c>
      <c r="G294" s="17">
        <f t="shared" ref="G294:G310" si="13">D294+E294-F294</f>
        <v>1665520000</v>
      </c>
      <c r="H294" s="122"/>
      <c r="I294" s="28"/>
      <c r="J294" s="28"/>
    </row>
    <row r="295" spans="1:10" ht="21.95" customHeight="1">
      <c r="A295" s="14"/>
      <c r="B295" s="14"/>
      <c r="C295" s="16" t="s">
        <v>1167</v>
      </c>
      <c r="D295" s="17">
        <f>VLOOKUP(A290,'Neraca Unaudited SIMAK'!$A$2:$S$10004,5,FALSE)</f>
        <v>1691592862</v>
      </c>
      <c r="E295" s="25">
        <f>SUMIFS('Daftar Koreksi'!$H$5:$H$92,'Daftar Koreksi'!$D$5:$D$92,'0600'!A290,'Daftar Koreksi'!$G$5:$G$92,"Peralatan dan mesin",'Daftar Koreksi'!$H$5:$H$92,"&gt;0")</f>
        <v>0</v>
      </c>
      <c r="F295" s="25">
        <f>SUMIFS('Daftar Koreksi'!$H$5:$H$92,'Daftar Koreksi'!$D$5:$D$92,'0600'!A290,'Daftar Koreksi'!$G$5:$G$92,"Peralatan dan mesin",'Daftar Koreksi'!$H$5:$H$92,"&lt;0")-SUMIFS('Daftar Koreksi'!$H$5:$H$92,'Daftar Koreksi'!$D$5:$D$92,'0600'!A290,'Daftar Koreksi'!$G$5:$G$92,"Peralatan dan mesin",'Daftar Koreksi'!$H$5:$H$92,"&lt;0")-SUMIFS('Daftar Koreksi'!$H$5:$H$92,'Daftar Koreksi'!$D$5:$D$92,'0600'!A290,'Daftar Koreksi'!$G$5:$G$92,"Peralatan dan mesin",'Daftar Koreksi'!$H$5:$H$92,"&lt;0")</f>
        <v>0</v>
      </c>
      <c r="G295" s="17">
        <f t="shared" si="13"/>
        <v>1691592862</v>
      </c>
      <c r="H295" s="122"/>
      <c r="I295" s="28"/>
      <c r="J295" s="28"/>
    </row>
    <row r="296" spans="1:10" ht="21.95" customHeight="1">
      <c r="A296" s="14"/>
      <c r="B296" s="14"/>
      <c r="C296" s="16" t="s">
        <v>1168</v>
      </c>
      <c r="D296" s="17">
        <f>VLOOKUP(A290,'Neraca Unaudited SIMAK'!$A$2:$S$10004,6,FALSE)</f>
        <v>6142963900</v>
      </c>
      <c r="E296" s="25">
        <f>SUMIFS('Daftar Koreksi'!$H$5:$H$92,'Daftar Koreksi'!$D$5:$D$92,'0600'!A290,'Daftar Koreksi'!$G$5:$G$92,"Gedung dan Bangunan",'Daftar Koreksi'!$H$5:$H$92,"&gt;0")</f>
        <v>0</v>
      </c>
      <c r="F296" s="25">
        <f>SUMIFS('Daftar Koreksi'!$H$5:$H$92,'Daftar Koreksi'!$D$5:$D$92,'0600'!A290,'Daftar Koreksi'!$G$5:$G$92,"Gedung dan Bangunan",'Daftar Koreksi'!$H$5:$H$92,"&lt;0")-SUMIFS('Daftar Koreksi'!$H$5:$H$92,'Daftar Koreksi'!$D$5:$D$92,'0600'!A290,'Daftar Koreksi'!$G$5:$G$92,"Gedung dan Bangunan",'Daftar Koreksi'!$H$5:$H$92,"&lt;0")-SUMIFS('Daftar Koreksi'!$H$5:$H$92,'Daftar Koreksi'!$D$5:$D$92,'0600'!A290,'Daftar Koreksi'!$G$5:$G$92,"Gedung dan Bangunan",'Daftar Koreksi'!$H$5:$H$92,"&lt;0")</f>
        <v>0</v>
      </c>
      <c r="G296" s="17">
        <f t="shared" si="13"/>
        <v>6142963900</v>
      </c>
      <c r="H296" s="122"/>
      <c r="I296" s="28"/>
      <c r="J296" s="28"/>
    </row>
    <row r="297" spans="1:10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Koreksi'!$D$5:$D$92,'0600'!A290,'Daftar Koreksi'!$G$5:$G$92,"Jalan Irigasi Jaringan",'Daftar Koreksi'!$H$5:$H$92,"&gt;0")</f>
        <v>0</v>
      </c>
      <c r="F297" s="25">
        <f>SUMIFS('Daftar Koreksi'!$H$5:$H$92,'Daftar Koreksi'!$D$5:$D$92,'0600'!A290,'Daftar Koreksi'!$G$5:$G$92,"Jalan Irigasi Jaringan",'Daftar Koreksi'!$H$5:$H$92,"&lt;0")-SUMIFS('Daftar Koreksi'!$H$5:$H$92,'Daftar Koreksi'!$D$5:$D$92,'0600'!A290,'Daftar Koreksi'!$G$5:$G$92,"Jalan Irigasi Jaringan",'Daftar Koreksi'!$H$5:$H$92,"&lt;0")-SUMIFS('Daftar Koreksi'!$H$5:$H$92,'Daftar Koreksi'!$D$5:$D$92,'0600'!A290,'Daftar Koreksi'!$G$5:$G$92,"Jalan Irigasi Jaringan",'Daftar Koreksi'!$H$5:$H$92,"&lt;0")</f>
        <v>0</v>
      </c>
      <c r="G297" s="17">
        <f t="shared" si="13"/>
        <v>0</v>
      </c>
      <c r="H297" s="122"/>
      <c r="I297" s="28"/>
      <c r="J297" s="28"/>
    </row>
    <row r="298" spans="1:10" ht="21.95" customHeight="1">
      <c r="A298" s="14"/>
      <c r="B298" s="14"/>
      <c r="C298" s="16" t="s">
        <v>1170</v>
      </c>
      <c r="D298" s="17">
        <f>VLOOKUP(A290,'Neraca Unaudited SIMAK'!$A$2:$S$10004,8,FALSE)</f>
        <v>1943440</v>
      </c>
      <c r="E298" s="25">
        <f>SUMIFS('Daftar Koreksi'!$H$5:$H$92,'Daftar Koreksi'!$D$5:$D$92,'0600'!A290,'Daftar Koreksi'!$G$5:$G$92,"Aset Tetap Lainnya",'Daftar Koreksi'!$H$5:$H$92,"&gt;0")</f>
        <v>0</v>
      </c>
      <c r="F298" s="25">
        <f>SUMIFS('Daftar Koreksi'!$H$5:$H$92,'Daftar Koreksi'!$D$5:$D$92,'0600'!A290,'Daftar Koreksi'!$G$5:$G$92,"Aset Tetap Lainnya",'Daftar Koreksi'!$H$5:$H$92,"&lt;0")-SUMIFS('Daftar Koreksi'!$H$5:$H$92,'Daftar Koreksi'!$D$5:$D$92,'0600'!A290,'Daftar Koreksi'!$G$5:$G$92,"Aset Tetap Lainnya",'Daftar Koreksi'!$H$5:$H$92,"&lt;0")-SUMIFS('Daftar Koreksi'!$H$5:$H$92,'Daftar Koreksi'!$D$5:$D$92,'0600'!A290,'Daftar Koreksi'!$G$5:$G$92,"Aset Tetap Lainnya",'Daftar Koreksi'!$H$5:$H$92,"&lt;0")</f>
        <v>0</v>
      </c>
      <c r="G298" s="17">
        <f t="shared" si="13"/>
        <v>1943440</v>
      </c>
      <c r="H298" s="122"/>
      <c r="I298" s="28"/>
      <c r="J298" s="28"/>
    </row>
    <row r="299" spans="1:10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Koreksi'!$D$5:$D$92,'0600'!A290,'Daftar Koreksi'!$G$5:$G$92,"Kontruksi Dalam Pengerjaan",'Daftar Koreksi'!$H$5:$H$92,"&gt;0")</f>
        <v>0</v>
      </c>
      <c r="F299" s="25">
        <f>SUMIFS('Daftar Koreksi'!$H$5:$H$92,'Daftar Koreksi'!$D$5:$D$92,'0600'!A290,'Daftar Koreksi'!$G$5:$G$92,"Kontruksi Dalam Pengerjaan",'Daftar Koreksi'!$H$5:$H$92,"&lt;0")-SUMIFS('Daftar Koreksi'!$H$5:$H$92,'Daftar Koreksi'!$D$5:$D$92,'0600'!A290,'Daftar Koreksi'!$G$5:$G$92,"Kontruksi Dalam Pengerjaan",'Daftar Koreksi'!$H$5:$H$92,"&lt;0")-SUMIFS('Daftar Koreksi'!$H$5:$H$92,'Daftar Koreksi'!$D$5:$D$92,'0600'!A290,'Daftar Koreksi'!$G$5:$G$92,"Kontruksi Dalam Pengerjaan",'Daftar Koreksi'!$H$5:$H$92,"&lt;0")</f>
        <v>0</v>
      </c>
      <c r="G299" s="17">
        <f t="shared" si="13"/>
        <v>0</v>
      </c>
      <c r="H299" s="122"/>
      <c r="I299" s="28"/>
      <c r="J299" s="28"/>
    </row>
    <row r="300" spans="1:10" ht="21.95" customHeight="1">
      <c r="A300" s="14"/>
      <c r="B300" s="14"/>
      <c r="C300" s="16" t="s">
        <v>1172</v>
      </c>
      <c r="D300" s="17">
        <f>VLOOKUP(A290,'Neraca Unaudited SIMAK'!$A$2:$S$10004,10,FALSE)</f>
        <v>5445300</v>
      </c>
      <c r="E300" s="25">
        <f>SUMIFS('Daftar Koreksi'!$H$5:$H$92,'Daftar Koreksi'!$D$5:$D$92,'0600'!A290,'Daftar Koreksi'!$G$5:$G$92,"Aset Tak Berwujud",'Daftar Koreksi'!$H$5:$H$92,"&gt;0")</f>
        <v>0</v>
      </c>
      <c r="F300" s="25">
        <f>SUMIFS('Daftar Koreksi'!$H$5:$H$92,'Daftar Koreksi'!$D$5:$D$92,'0600'!A290,'Daftar Koreksi'!$G$5:$G$92,"Aset Tak Berwujud",'Daftar Koreksi'!$H$5:$H$92,"&lt;0")-SUMIFS('Daftar Koreksi'!$H$5:$H$92,'Daftar Koreksi'!$D$5:$D$92,'0600'!A290,'Daftar Koreksi'!$G$5:$G$92,"Aset Tak Berwujud",'Daftar Koreksi'!$H$5:$H$92,"&lt;0")-SUMIFS('Daftar Koreksi'!$H$5:$H$92,'Daftar Koreksi'!$D$5:$D$92,'0600'!A290,'Daftar Koreksi'!$G$5:$G$92,"Aset Tak Berwujud",'Daftar Koreksi'!$H$5:$H$92,"&lt;0")</f>
        <v>0</v>
      </c>
      <c r="G300" s="17">
        <f t="shared" si="13"/>
        <v>5445300</v>
      </c>
      <c r="H300" s="122"/>
      <c r="I300" s="28"/>
      <c r="J300" s="28"/>
    </row>
    <row r="301" spans="1:10" ht="21.95" customHeight="1">
      <c r="A301" s="14"/>
      <c r="B301" s="14"/>
      <c r="C301" s="16" t="s">
        <v>1173</v>
      </c>
      <c r="D301" s="17">
        <f>VLOOKUP(A290,'Neraca Unaudited SIMAK'!$A$2:$S$10004,11,FALSE)</f>
        <v>484372500</v>
      </c>
      <c r="E301" s="25">
        <f>SUMIFS('Daftar Koreksi'!$H$5:$H$92,'Daftar Koreksi'!$D$5:$D$92,'0600'!A290,'Daftar Koreksi'!$G$5:$G$92,"Aset Henti Guna",'Daftar Koreksi'!$H$5:$H$92,"&gt;0")</f>
        <v>0</v>
      </c>
      <c r="F301" s="25">
        <f>SUMIFS('Daftar Koreksi'!$H$5:$H$92,'Daftar Koreksi'!$D$5:$D$92,'0600'!A290,'Daftar Koreksi'!$G$5:$G$92,"Aset Henti Guna",'Daftar Koreksi'!$H$5:$H$92,"&lt;0")-SUMIFS('Daftar Koreksi'!$H$5:$H$92,'Daftar Koreksi'!$D$5:$D$92,'0600'!A290,'Daftar Koreksi'!$G$5:$G$92,"Aset Henti Guna",'Daftar Koreksi'!$H$5:$H$92,"&lt;0")-SUMIFS('Daftar Koreksi'!$H$5:$H$92,'Daftar Koreksi'!$D$5:$D$92,'0600'!A290,'Daftar Koreksi'!$G$5:$G$92,"Aset Henti Guna",'Daftar Koreksi'!$H$5:$H$92,"&lt;0")</f>
        <v>0</v>
      </c>
      <c r="G301" s="17">
        <f t="shared" si="13"/>
        <v>484372500</v>
      </c>
      <c r="H301" s="122"/>
      <c r="I301" s="28"/>
      <c r="J301" s="28"/>
    </row>
    <row r="302" spans="1:10" ht="21.95" customHeight="1">
      <c r="A302" s="14"/>
      <c r="B302" s="14"/>
      <c r="C302" s="18" t="s">
        <v>2093</v>
      </c>
      <c r="D302" s="19">
        <f>VLOOKUP(A290,'Neraca Unaudited SIMAK'!$A$2:$S$10004,12,FALSE)</f>
        <v>9992943502</v>
      </c>
      <c r="E302" s="19">
        <f>SUM(E293:E301)</f>
        <v>0</v>
      </c>
      <c r="F302" s="19">
        <f>SUM(F293:F301)</f>
        <v>0</v>
      </c>
      <c r="G302" s="19">
        <f t="shared" si="13"/>
        <v>9992943502</v>
      </c>
      <c r="H302" s="122"/>
      <c r="I302" s="28"/>
      <c r="J302" s="28"/>
    </row>
    <row r="303" spans="1:10" ht="21.95" customHeight="1">
      <c r="A303" s="14"/>
      <c r="B303" s="14"/>
      <c r="C303" s="16" t="s">
        <v>2087</v>
      </c>
      <c r="D303" s="17">
        <f>VLOOKUP(A290,'Neraca Unaudited SIMAK'!$A$2:$S$10004,13,FALSE)</f>
        <v>-1088720622</v>
      </c>
      <c r="E303" s="25">
        <f>SUMIFS('Daftar Koreksi'!$I$5:$I$92,'Daftar Koreksi'!$D$5:$D$92,'0600'!A290,'Daftar Koreksi'!$G$5:$G$92,"Peralatan dan mesin",'Daftar Koreksi'!$I$5:$I$92,"&gt;0")</f>
        <v>0</v>
      </c>
      <c r="F303" s="25">
        <f>SUMIFS('Daftar Koreksi'!$I$5:$I$92,'Daftar Koreksi'!$D$5:$D$92,'0600'!A290,'Daftar Koreksi'!$G$5:$G$92,"Peralatan dan mesin",'Daftar Koreksi'!$I$5:$I$92,"&lt;0")-SUMIFS('Daftar Koreksi'!$I$5:$I$92,'Daftar Koreksi'!$D$5:$D$92,'0600'!A290,'Daftar Koreksi'!$G$5:$G$92,"Peralatan dan mesin",'Daftar Koreksi'!$I$5:$I$92,"&lt;0")-SUMIFS('Daftar Koreksi'!$I$5:$I$92,'Daftar Koreksi'!$D$5:$D$92,'0600'!A290,'Daftar Koreksi'!$G$5:$G$92,"Peralatan dan mesin",'Daftar Koreksi'!$I$5:$I$92,"&lt;0")</f>
        <v>0</v>
      </c>
      <c r="G303" s="17">
        <f t="shared" si="13"/>
        <v>-1088720622</v>
      </c>
      <c r="H303" s="122"/>
      <c r="I303" s="28"/>
      <c r="J303" s="28"/>
    </row>
    <row r="304" spans="1:10" ht="21.95" customHeight="1">
      <c r="A304" s="14"/>
      <c r="B304" s="14"/>
      <c r="C304" s="16" t="s">
        <v>2088</v>
      </c>
      <c r="D304" s="17">
        <f>VLOOKUP(A290,'Neraca Unaudited SIMAK'!$A$2:$S$10004,14,FALSE)</f>
        <v>-1159502003</v>
      </c>
      <c r="E304" s="25">
        <f>SUMIFS('Daftar Koreksi'!$I$5:$I$92,'Daftar Koreksi'!$D$5:$D$92,'0600'!A290,'Daftar Koreksi'!$G$5:$G$92,"Gedung dan Bangunan",'Daftar Koreksi'!$I$5:$I$92,"&gt;0")</f>
        <v>0</v>
      </c>
      <c r="F304" s="25">
        <f>SUMIFS('Daftar Koreksi'!$I$5:$I$92,'Daftar Koreksi'!$D$5:$D$92,'0600'!A290,'Daftar Koreksi'!$G$5:$G$92,"Gedung dan Bangunan",'Daftar Koreksi'!$I$5:$I$92,"&lt;0")-SUMIFS('Daftar Koreksi'!$I$5:$I$92,'Daftar Koreksi'!$D$5:$D$92,'0600'!A290,'Daftar Koreksi'!$G$5:$G$92,"Gedung dan Bangunan",'Daftar Koreksi'!$I$5:$I$92,"&lt;0")-SUMIFS('Daftar Koreksi'!$I$5:$I$92,'Daftar Koreksi'!$D$5:$D$92,'0600'!A290,'Daftar Koreksi'!$G$5:$G$92,"Gedung dan Bangunan",'Daftar Koreksi'!$I$5:$I$92,"&lt;0")</f>
        <v>0</v>
      </c>
      <c r="G304" s="17">
        <f t="shared" si="13"/>
        <v>-1159502003</v>
      </c>
      <c r="H304" s="122"/>
      <c r="I304" s="28"/>
      <c r="J304" s="28"/>
    </row>
    <row r="305" spans="1:10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Koreksi'!$D$5:$D$92,'0600'!A290,'Daftar Koreksi'!$G$5:$G$92,"Jalan Irigasi Jaringan",'Daftar Koreksi'!$I$5:$I$92,"&gt;0")</f>
        <v>0</v>
      </c>
      <c r="F305" s="25">
        <f>SUMIFS('Daftar Koreksi'!$I$5:$I$92,'Daftar Koreksi'!$D$5:$D$92,'0600'!A290,'Daftar Koreksi'!$G$5:$G$92,"Jalan Irigasi Jaringan",'Daftar Koreksi'!$I$5:$I$92,"&lt;0")-SUMIFS('Daftar Koreksi'!$I$5:$I$92,'Daftar Koreksi'!$D$5:$D$92,'0600'!A290,'Daftar Koreksi'!$G$5:$G$92,"Jalan Irigasi Jaringan",'Daftar Koreksi'!$I$5:$I$92,"&lt;0")-SUMIFS('Daftar Koreksi'!$I$5:$I$92,'Daftar Koreksi'!$D$5:$D$92,'0600'!A290,'Daftar Koreksi'!$G$5:$G$92,"Jalan Irigasi Jaringan",'Daftar Koreksi'!$I$5:$I$92,"&lt;0")</f>
        <v>0</v>
      </c>
      <c r="G305" s="17">
        <f t="shared" si="13"/>
        <v>0</v>
      </c>
      <c r="H305" s="122"/>
      <c r="I305" s="28"/>
      <c r="J305" s="28"/>
    </row>
    <row r="306" spans="1:10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Koreksi'!$D$5:$D$92,'0600'!A290,'Daftar Koreksi'!$G$5:$G$92,"Aset Tetap Lainnya",'Daftar Koreksi'!$I$5:$I$92,"&gt;0")</f>
        <v>0</v>
      </c>
      <c r="F306" s="25">
        <f>SUMIFS('Daftar Koreksi'!$I$5:$I$92,'Daftar Koreksi'!$D$5:$D$92,'0600'!A290,'Daftar Koreksi'!$G$5:$G$92,"Aset Tetap Lainnya",'Daftar Koreksi'!$I$5:$I$92,"&lt;0")-SUMIFS('Daftar Koreksi'!$I$5:$I$92,'Daftar Koreksi'!$D$5:$D$92,'0600'!A290,'Daftar Koreksi'!$G$5:$G$92,"Aset Tetap Lainnya",'Daftar Koreksi'!$I$5:$I$92,"&lt;0")-SUMIFS('Daftar Koreksi'!$I$5:$I$92,'Daftar Koreksi'!$D$5:$D$92,'0600'!A290,'Daftar Koreksi'!$G$5:$G$92,"Aset Tetap Lainnya",'Daftar Koreksi'!$I$5:$I$92,"&lt;0")</f>
        <v>0</v>
      </c>
      <c r="G306" s="17">
        <f t="shared" si="13"/>
        <v>0</v>
      </c>
      <c r="H306" s="122"/>
      <c r="I306" s="28"/>
      <c r="J306" s="28"/>
    </row>
    <row r="307" spans="1:10" ht="21.95" customHeight="1">
      <c r="A307" s="14"/>
      <c r="B307" s="14"/>
      <c r="C307" s="16" t="s">
        <v>2020</v>
      </c>
      <c r="D307" s="17">
        <f>VLOOKUP(A290,'Neraca Unaudited SIMAK'!$A$2:$S$10004,17,FALSE)</f>
        <v>-484372500</v>
      </c>
      <c r="E307" s="25">
        <f>SUMIFS('Daftar Koreksi'!$I$5:$I$92,'Daftar Koreksi'!$D$5:$D$92,'0600'!A290,'Daftar Koreksi'!$G$5:$G$92,"Aset Henti Guna",'Daftar Koreksi'!$I$5:$I$92,"&gt;0")</f>
        <v>0</v>
      </c>
      <c r="F307" s="25">
        <f>SUMIFS('Daftar Koreksi'!$I$5:$I$92,'Daftar Koreksi'!$D$5:$D$92,'0600'!A290,'Daftar Koreksi'!$G$5:$G$92,"Aset Henti Guna",'Daftar Koreksi'!$I$5:$I$92,"&lt;0")-SUMIFS('Daftar Koreksi'!$I$5:$I$92,'Daftar Koreksi'!$D$5:$D$92,'0600'!A290,'Daftar Koreksi'!$G$5:$G$92,"Aset Henti Guna",'Daftar Koreksi'!$I$5:$I$92,"&lt;0")-SUMIFS('Daftar Koreksi'!$I$5:$I$92,'Daftar Koreksi'!$D$5:$D$92,'0600'!A290,'Daftar Koreksi'!$G$5:$G$92,"Aset Henti Guna",'Daftar Koreksi'!$I$5:$I$92,"&lt;0")</f>
        <v>0</v>
      </c>
      <c r="G307" s="17">
        <f t="shared" si="13"/>
        <v>-484372500</v>
      </c>
      <c r="H307" s="122"/>
      <c r="I307" s="28"/>
      <c r="J307" s="28"/>
    </row>
    <row r="308" spans="1:10" ht="21.95" customHeight="1">
      <c r="A308" s="14"/>
      <c r="B308" s="14"/>
      <c r="C308" s="18" t="s">
        <v>2094</v>
      </c>
      <c r="D308" s="19">
        <f>SUM(D303:D307)</f>
        <v>-2732595125</v>
      </c>
      <c r="E308" s="19">
        <f>SUM(E303:E307)</f>
        <v>0</v>
      </c>
      <c r="F308" s="19">
        <f>SUM(F303:F307)</f>
        <v>0</v>
      </c>
      <c r="G308" s="19">
        <f t="shared" si="13"/>
        <v>-2732595125</v>
      </c>
      <c r="H308" s="122"/>
      <c r="I308" s="28"/>
      <c r="J308" s="28"/>
    </row>
    <row r="309" spans="1:10" ht="21.95" customHeight="1">
      <c r="A309" s="14"/>
      <c r="B309" s="14"/>
      <c r="C309" s="18" t="s">
        <v>2095</v>
      </c>
      <c r="D309" s="19">
        <f>VLOOKUP(A290,'Neraca Unaudited SIMAK'!$A$2:$S$10004,18,FALSE)</f>
        <v>7260348377</v>
      </c>
      <c r="E309" s="19">
        <f>E308+E302</f>
        <v>0</v>
      </c>
      <c r="F309" s="19">
        <f>F308+F302</f>
        <v>0</v>
      </c>
      <c r="G309" s="19">
        <f t="shared" si="13"/>
        <v>7260348377</v>
      </c>
      <c r="H309" s="122"/>
      <c r="I309" s="28"/>
      <c r="J309" s="28"/>
    </row>
    <row r="310" spans="1:10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  <c r="I310" s="28"/>
      <c r="J310" s="28"/>
    </row>
    <row r="312" spans="1:10" ht="19.5" customHeight="1">
      <c r="A312" s="11" t="str">
        <f>O15</f>
        <v>005010600098572000KD</v>
      </c>
      <c r="B312" s="11" t="str">
        <f>P15</f>
        <v>PN. Calang</v>
      </c>
      <c r="C312" s="12" t="str">
        <f>A312&amp;" "&amp;B312</f>
        <v>005010600098572000KD PN. Calang</v>
      </c>
      <c r="D312" s="13"/>
      <c r="E312" s="13"/>
      <c r="F312" s="13"/>
      <c r="G312" s="13"/>
      <c r="H312" s="11"/>
    </row>
    <row r="313" spans="1:10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10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10" ht="21.95" customHeight="1">
      <c r="A315" s="14"/>
      <c r="B315" s="14"/>
      <c r="C315" s="16" t="s">
        <v>1165</v>
      </c>
      <c r="D315" s="17">
        <f>VLOOKUP(A312,'Neraca Unaudited SIMAK'!$A$2:$S$10004,3,FALSE)</f>
        <v>295550</v>
      </c>
      <c r="E315" s="25">
        <f>SUMIFS('Daftar Koreksi'!$H$5:$H$92,'Daftar Koreksi'!$D$5:$D$92,'0600'!A312,'Daftar Koreksi'!$G$5:$G$92,"Persediaan",'Daftar Koreksi'!$H$5:$H$92,"&gt;0")</f>
        <v>0</v>
      </c>
      <c r="F315" s="25">
        <f>SUMIFS('Daftar Koreksi'!$H$5:$H$92,'Daftar Koreksi'!$D$5:$D$92,'0600'!A312,'Daftar Koreksi'!$G$5:$G$92,"Persediaan",'Daftar Koreksi'!$H$5:$H$92,"&lt;0")-SUMIFS('Daftar Koreksi'!$H$5:$H$92,'Daftar Koreksi'!$D$5:$D$92,'0600'!A312,'Daftar Koreksi'!$G$5:$G$92,"Persediaan",'Daftar Koreksi'!$H$5:$H$92,"&lt;0")-SUMIFS('Daftar Koreksi'!$H$5:$H$92,'Daftar Koreksi'!$D$5:$D$92,'0600'!A312,'Daftar Koreksi'!$G$5:$G$92,"Persediaan",'Daftar Koreksi'!$H$5:$H$92,"&lt;0")</f>
        <v>0</v>
      </c>
      <c r="G315" s="17">
        <f>D315+E315-F315</f>
        <v>295550</v>
      </c>
      <c r="H315" s="121" t="str">
        <f>IF(ISNA(VLOOKUP(A312,'Mutasi Neraca'!$A$3:$S$914,19,FALSE)),"-",VLOOKUP(A312,'Mutasi Neraca'!$A$3:$S$914,19,FALSE))</f>
        <v>-</v>
      </c>
    </row>
    <row r="316" spans="1:10" ht="21.95" customHeight="1">
      <c r="A316" s="14"/>
      <c r="B316" s="14"/>
      <c r="C316" s="16" t="s">
        <v>1166</v>
      </c>
      <c r="D316" s="17">
        <f>VLOOKUP(A312,'Neraca Unaudited SIMAK'!$A$2:$S$10004,4,FALSE)</f>
        <v>1478058200</v>
      </c>
      <c r="E316" s="25">
        <f>SUMIFS('Daftar Koreksi'!$H$5:$H$92,'Daftar Koreksi'!$D$5:$D$92,'0600'!A312,'Daftar Koreksi'!$G$5:$G$92,"Tanah",'Daftar Koreksi'!$H$5:$H$92,"&gt;0")</f>
        <v>0</v>
      </c>
      <c r="F316" s="25">
        <f>SUMIFS('Daftar Koreksi'!$H$5:$H$92,'Daftar Koreksi'!$D$5:$D$92,'0600'!A312,'Daftar Koreksi'!$G$5:$G$92,"Tanah",'Daftar Koreksi'!$H$5:$H$92,"&lt;0")-SUMIFS('Daftar Koreksi'!$H$5:$H$92,'Daftar Koreksi'!$D$5:$D$92,'0600'!A312,'Daftar Koreksi'!$G$5:$G$92,"Tanah",'Daftar Koreksi'!$H$5:$H$92,"&lt;0")-SUMIFS('Daftar Koreksi'!$H$5:$H$92,'Daftar Koreksi'!$D$5:$D$92,'0600'!A312,'Daftar Koreksi'!$G$5:$G$92,"Tanah",'Daftar Koreksi'!$H$5:$H$92,"&lt;0")</f>
        <v>0</v>
      </c>
      <c r="G316" s="17">
        <f t="shared" ref="G316:G332" si="14">D316+E316-F316</f>
        <v>1478058200</v>
      </c>
      <c r="H316" s="122"/>
    </row>
    <row r="317" spans="1:10" ht="21.95" customHeight="1">
      <c r="A317" s="14"/>
      <c r="B317" s="14"/>
      <c r="C317" s="16" t="s">
        <v>1167</v>
      </c>
      <c r="D317" s="17">
        <f>VLOOKUP(A312,'Neraca Unaudited SIMAK'!$A$2:$S$10004,5,FALSE)</f>
        <v>1157895000</v>
      </c>
      <c r="E317" s="25">
        <f>SUMIFS('Daftar Koreksi'!$H$5:$H$92,'Daftar Koreksi'!$D$5:$D$92,'0600'!A312,'Daftar Koreksi'!$G$5:$G$92,"Peralatan dan mesin",'Daftar Koreksi'!$H$5:$H$92,"&gt;0")</f>
        <v>0</v>
      </c>
      <c r="F317" s="25">
        <f>SUMIFS('Daftar Koreksi'!$H$5:$H$92,'Daftar Koreksi'!$D$5:$D$92,'0600'!A312,'Daftar Koreksi'!$G$5:$G$92,"Peralatan dan mesin",'Daftar Koreksi'!$H$5:$H$92,"&lt;0")-SUMIFS('Daftar Koreksi'!$H$5:$H$92,'Daftar Koreksi'!$D$5:$D$92,'0600'!A312,'Daftar Koreksi'!$G$5:$G$92,"Peralatan dan mesin",'Daftar Koreksi'!$H$5:$H$92,"&lt;0")-SUMIFS('Daftar Koreksi'!$H$5:$H$92,'Daftar Koreksi'!$D$5:$D$92,'0600'!A312,'Daftar Koreksi'!$G$5:$G$92,"Peralatan dan mesin",'Daftar Koreksi'!$H$5:$H$92,"&lt;0")</f>
        <v>0</v>
      </c>
      <c r="G317" s="17">
        <f t="shared" si="14"/>
        <v>1157895000</v>
      </c>
      <c r="H317" s="122"/>
    </row>
    <row r="318" spans="1:10" ht="21.95" customHeight="1">
      <c r="A318" s="14"/>
      <c r="B318" s="14"/>
      <c r="C318" s="16" t="s">
        <v>1168</v>
      </c>
      <c r="D318" s="17">
        <f>VLOOKUP(A312,'Neraca Unaudited SIMAK'!$A$2:$S$10004,6,FALSE)</f>
        <v>4494702574</v>
      </c>
      <c r="E318" s="25">
        <f>SUMIFS('Daftar Koreksi'!$H$5:$H$92,'Daftar Koreksi'!$D$5:$D$92,'0600'!A312,'Daftar Koreksi'!$G$5:$G$92,"Gedung dan Bangunan",'Daftar Koreksi'!$H$5:$H$92,"&gt;0")</f>
        <v>0</v>
      </c>
      <c r="F318" s="25">
        <f>SUMIFS('Daftar Koreksi'!$H$5:$H$92,'Daftar Koreksi'!$D$5:$D$92,'0600'!A312,'Daftar Koreksi'!$G$5:$G$92,"Gedung dan Bangunan",'Daftar Koreksi'!$H$5:$H$92,"&lt;0")-SUMIFS('Daftar Koreksi'!$H$5:$H$92,'Daftar Koreksi'!$D$5:$D$92,'0600'!A312,'Daftar Koreksi'!$G$5:$G$92,"Gedung dan Bangunan",'Daftar Koreksi'!$H$5:$H$92,"&lt;0")-SUMIFS('Daftar Koreksi'!$H$5:$H$92,'Daftar Koreksi'!$D$5:$D$92,'0600'!A312,'Daftar Koreksi'!$G$5:$G$92,"Gedung dan Bangunan",'Daftar Koreksi'!$H$5:$H$92,"&lt;0")</f>
        <v>0</v>
      </c>
      <c r="G318" s="17">
        <f t="shared" si="14"/>
        <v>4494702574</v>
      </c>
      <c r="H318" s="122"/>
    </row>
    <row r="319" spans="1:10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Koreksi'!$D$5:$D$92,'0600'!A312,'Daftar Koreksi'!$G$5:$G$92,"Jalan Irigasi Jaringan",'Daftar Koreksi'!$H$5:$H$92,"&gt;0")</f>
        <v>0</v>
      </c>
      <c r="F319" s="25">
        <f>SUMIFS('Daftar Koreksi'!$H$5:$H$92,'Daftar Koreksi'!$D$5:$D$92,'0600'!A312,'Daftar Koreksi'!$G$5:$G$92,"Jalan Irigasi Jaringan",'Daftar Koreksi'!$H$5:$H$92,"&lt;0")-SUMIFS('Daftar Koreksi'!$H$5:$H$92,'Daftar Koreksi'!$D$5:$D$92,'0600'!A312,'Daftar Koreksi'!$G$5:$G$92,"Jalan Irigasi Jaringan",'Daftar Koreksi'!$H$5:$H$92,"&lt;0")-SUMIFS('Daftar Koreksi'!$H$5:$H$92,'Daftar Koreksi'!$D$5:$D$92,'0600'!A312,'Daftar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10" ht="21.95" customHeight="1">
      <c r="A320" s="14"/>
      <c r="B320" s="14"/>
      <c r="C320" s="16" t="s">
        <v>1170</v>
      </c>
      <c r="D320" s="17">
        <f>VLOOKUP(A312,'Neraca Unaudited SIMAK'!$A$2:$S$10004,8,FALSE)</f>
        <v>1943440</v>
      </c>
      <c r="E320" s="25">
        <f>SUMIFS('Daftar Koreksi'!$H$5:$H$92,'Daftar Koreksi'!$D$5:$D$92,'0600'!A312,'Daftar Koreksi'!$G$5:$G$92,"Aset Tetap Lainnya",'Daftar Koreksi'!$H$5:$H$92,"&gt;0")</f>
        <v>0</v>
      </c>
      <c r="F320" s="25">
        <f>SUMIFS('Daftar Koreksi'!$H$5:$H$92,'Daftar Koreksi'!$D$5:$D$92,'0600'!A312,'Daftar Koreksi'!$G$5:$G$92,"Aset Tetap Lainnya",'Daftar Koreksi'!$H$5:$H$92,"&lt;0")-SUMIFS('Daftar Koreksi'!$H$5:$H$92,'Daftar Koreksi'!$D$5:$D$92,'0600'!A312,'Daftar Koreksi'!$G$5:$G$92,"Aset Tetap Lainnya",'Daftar Koreksi'!$H$5:$H$92,"&lt;0")-SUMIFS('Daftar Koreksi'!$H$5:$H$92,'Daftar Koreksi'!$D$5:$D$92,'0600'!A312,'Daftar Koreksi'!$G$5:$G$92,"Aset Tetap Lainnya",'Daftar Koreksi'!$H$5:$H$92,"&lt;0")</f>
        <v>0</v>
      </c>
      <c r="G320" s="17">
        <f t="shared" si="14"/>
        <v>1943440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Koreksi'!$D$5:$D$92,'0600'!A312,'Daftar Koreksi'!$G$5:$G$92,"Kontruksi Dalam Pengerjaan",'Daftar Koreksi'!$H$5:$H$92,"&gt;0")</f>
        <v>0</v>
      </c>
      <c r="F321" s="25">
        <f>SUMIFS('Daftar Koreksi'!$H$5:$H$92,'Daftar Koreksi'!$D$5:$D$92,'0600'!A312,'Daftar Koreksi'!$G$5:$G$92,"Kontruksi Dalam Pengerjaan",'Daftar Koreksi'!$H$5:$H$92,"&lt;0")-SUMIFS('Daftar Koreksi'!$H$5:$H$92,'Daftar Koreksi'!$D$5:$D$92,'0600'!A312,'Daftar Koreksi'!$G$5:$G$92,"Kontruksi Dalam Pengerjaan",'Daftar Koreksi'!$H$5:$H$92,"&lt;0")-SUMIFS('Daftar Koreksi'!$H$5:$H$92,'Daftar Koreksi'!$D$5:$D$92,'0600'!A312,'Daftar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79800000</v>
      </c>
      <c r="E322" s="25">
        <f>SUMIFS('Daftar Koreksi'!$H$5:$H$92,'Daftar Koreksi'!$D$5:$D$92,'0600'!A312,'Daftar Koreksi'!$G$5:$G$92,"Aset Tak Berwujud",'Daftar Koreksi'!$H$5:$H$92,"&gt;0")</f>
        <v>0</v>
      </c>
      <c r="F322" s="25">
        <f>SUMIFS('Daftar Koreksi'!$H$5:$H$92,'Daftar Koreksi'!$D$5:$D$92,'0600'!A312,'Daftar Koreksi'!$G$5:$G$92,"Aset Tak Berwujud",'Daftar Koreksi'!$H$5:$H$92,"&lt;0")-SUMIFS('Daftar Koreksi'!$H$5:$H$92,'Daftar Koreksi'!$D$5:$D$92,'0600'!A312,'Daftar Koreksi'!$G$5:$G$92,"Aset Tak Berwujud",'Daftar Koreksi'!$H$5:$H$92,"&lt;0")-SUMIFS('Daftar Koreksi'!$H$5:$H$92,'Daftar Koreksi'!$D$5:$D$92,'0600'!A312,'Daftar Koreksi'!$G$5:$G$92,"Aset Tak Berwujud",'Daftar Koreksi'!$H$5:$H$92,"&lt;0")</f>
        <v>0</v>
      </c>
      <c r="G322" s="17">
        <f t="shared" si="14"/>
        <v>79800000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89600000</v>
      </c>
      <c r="E323" s="25">
        <f>SUMIFS('Daftar Koreksi'!$H$5:$H$92,'Daftar Koreksi'!$D$5:$D$92,'0600'!A312,'Daftar Koreksi'!$G$5:$G$92,"Aset Henti Guna",'Daftar Koreksi'!$H$5:$H$92,"&gt;0")</f>
        <v>0</v>
      </c>
      <c r="F323" s="25">
        <f>SUMIFS('Daftar Koreksi'!$H$5:$H$92,'Daftar Koreksi'!$D$5:$D$92,'0600'!A312,'Daftar Koreksi'!$G$5:$G$92,"Aset Henti Guna",'Daftar Koreksi'!$H$5:$H$92,"&lt;0")-SUMIFS('Daftar Koreksi'!$H$5:$H$92,'Daftar Koreksi'!$D$5:$D$92,'0600'!A312,'Daftar Koreksi'!$G$5:$G$92,"Aset Henti Guna",'Daftar Koreksi'!$H$5:$H$92,"&lt;0")-SUMIFS('Daftar Koreksi'!$H$5:$H$92,'Daftar Koreksi'!$D$5:$D$92,'0600'!A312,'Daftar Koreksi'!$G$5:$G$92,"Aset Henti Guna",'Daftar Koreksi'!$H$5:$H$92,"&lt;0")</f>
        <v>0</v>
      </c>
      <c r="G323" s="17">
        <f t="shared" si="14"/>
        <v>89600000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7302294764</v>
      </c>
      <c r="E324" s="19">
        <f>SUM(E315:E323)</f>
        <v>0</v>
      </c>
      <c r="F324" s="19">
        <f>SUM(F315:F323)</f>
        <v>0</v>
      </c>
      <c r="G324" s="19">
        <f t="shared" si="14"/>
        <v>7302294764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-908015928</v>
      </c>
      <c r="E325" s="25">
        <f>SUMIFS('Daftar Koreksi'!$I$5:$I$92,'Daftar Koreksi'!$D$5:$D$92,'0600'!A312,'Daftar Koreksi'!$G$5:$G$92,"Peralatan dan mesin",'Daftar Koreksi'!$I$5:$I$92,"&gt;0")</f>
        <v>0</v>
      </c>
      <c r="F325" s="25">
        <f>SUMIFS('Daftar Koreksi'!$I$5:$I$92,'Daftar Koreksi'!$D$5:$D$92,'0600'!A312,'Daftar Koreksi'!$G$5:$G$92,"Peralatan dan mesin",'Daftar Koreksi'!$I$5:$I$92,"&lt;0")-SUMIFS('Daftar Koreksi'!$I$5:$I$92,'Daftar Koreksi'!$D$5:$D$92,'0600'!A312,'Daftar Koreksi'!$G$5:$G$92,"Peralatan dan mesin",'Daftar Koreksi'!$I$5:$I$92,"&lt;0")-SUMIFS('Daftar Koreksi'!$I$5:$I$92,'Daftar Koreksi'!$D$5:$D$92,'0600'!A312,'Daftar Koreksi'!$G$5:$G$92,"Peralatan dan mesin",'Daftar Koreksi'!$I$5:$I$92,"&lt;0")</f>
        <v>0</v>
      </c>
      <c r="G325" s="17">
        <f t="shared" si="14"/>
        <v>-908015928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-816403929</v>
      </c>
      <c r="E326" s="25">
        <f>SUMIFS('Daftar Koreksi'!$I$5:$I$92,'Daftar Koreksi'!$D$5:$D$92,'0600'!A312,'Daftar Koreksi'!$G$5:$G$92,"Gedung dan Bangunan",'Daftar Koreksi'!$I$5:$I$92,"&gt;0")</f>
        <v>0</v>
      </c>
      <c r="F326" s="25">
        <f>SUMIFS('Daftar Koreksi'!$I$5:$I$92,'Daftar Koreksi'!$D$5:$D$92,'0600'!A312,'Daftar Koreksi'!$G$5:$G$92,"Gedung dan Bangunan",'Daftar Koreksi'!$I$5:$I$92,"&lt;0")-SUMIFS('Daftar Koreksi'!$I$5:$I$92,'Daftar Koreksi'!$D$5:$D$92,'0600'!A312,'Daftar Koreksi'!$G$5:$G$92,"Gedung dan Bangunan",'Daftar Koreksi'!$I$5:$I$92,"&lt;0")-SUMIFS('Daftar Koreksi'!$I$5:$I$92,'Daftar Koreksi'!$D$5:$D$92,'0600'!A312,'Daftar Koreksi'!$G$5:$G$92,"Gedung dan Bangunan",'Daftar Koreksi'!$I$5:$I$92,"&lt;0")</f>
        <v>0</v>
      </c>
      <c r="G326" s="17">
        <f t="shared" si="14"/>
        <v>-816403929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Koreksi'!$D$5:$D$92,'0600'!A312,'Daftar Koreksi'!$G$5:$G$92,"Jalan Irigasi Jaringan",'Daftar Koreksi'!$I$5:$I$92,"&gt;0")</f>
        <v>0</v>
      </c>
      <c r="F327" s="25">
        <f>SUMIFS('Daftar Koreksi'!$I$5:$I$92,'Daftar Koreksi'!$D$5:$D$92,'0600'!A312,'Daftar Koreksi'!$G$5:$G$92,"Jalan Irigasi Jaringan",'Daftar Koreksi'!$I$5:$I$92,"&lt;0")-SUMIFS('Daftar Koreksi'!$I$5:$I$92,'Daftar Koreksi'!$D$5:$D$92,'0600'!A312,'Daftar Koreksi'!$G$5:$G$92,"Jalan Irigasi Jaringan",'Daftar Koreksi'!$I$5:$I$92,"&lt;0")-SUMIFS('Daftar Koreksi'!$I$5:$I$92,'Daftar Koreksi'!$D$5:$D$92,'0600'!A312,'Daftar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Koreksi'!$D$5:$D$92,'0600'!A312,'Daftar Koreksi'!$G$5:$G$92,"Aset Tetap Lainnya",'Daftar Koreksi'!$I$5:$I$92,"&gt;0")</f>
        <v>0</v>
      </c>
      <c r="F328" s="25">
        <f>SUMIFS('Daftar Koreksi'!$I$5:$I$92,'Daftar Koreksi'!$D$5:$D$92,'0600'!A312,'Daftar Koreksi'!$G$5:$G$92,"Aset Tetap Lainnya",'Daftar Koreksi'!$I$5:$I$92,"&lt;0")-SUMIFS('Daftar Koreksi'!$I$5:$I$92,'Daftar Koreksi'!$D$5:$D$92,'0600'!A312,'Daftar Koreksi'!$G$5:$G$92,"Aset Tetap Lainnya",'Daftar Koreksi'!$I$5:$I$92,"&lt;0")-SUMIFS('Daftar Koreksi'!$I$5:$I$92,'Daftar Koreksi'!$D$5:$D$92,'0600'!A312,'Daftar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-89600000</v>
      </c>
      <c r="E329" s="25">
        <f>SUMIFS('Daftar Koreksi'!$I$5:$I$92,'Daftar Koreksi'!$D$5:$D$92,'0600'!A312,'Daftar Koreksi'!$G$5:$G$92,"Aset Henti Guna",'Daftar Koreksi'!$I$5:$I$92,"&gt;0")</f>
        <v>0</v>
      </c>
      <c r="F329" s="25">
        <f>SUMIFS('Daftar Koreksi'!$I$5:$I$92,'Daftar Koreksi'!$D$5:$D$92,'0600'!A312,'Daftar Koreksi'!$G$5:$G$92,"Aset Henti Guna",'Daftar Koreksi'!$I$5:$I$92,"&lt;0")-SUMIFS('Daftar Koreksi'!$I$5:$I$92,'Daftar Koreksi'!$D$5:$D$92,'0600'!A312,'Daftar Koreksi'!$G$5:$G$92,"Aset Henti Guna",'Daftar Koreksi'!$I$5:$I$92,"&lt;0")-SUMIFS('Daftar Koreksi'!$I$5:$I$92,'Daftar Koreksi'!$D$5:$D$92,'0600'!A312,'Daftar Koreksi'!$G$5:$G$92,"Aset Henti Guna",'Daftar Koreksi'!$I$5:$I$92,"&lt;0")</f>
        <v>0</v>
      </c>
      <c r="G329" s="17">
        <f t="shared" si="14"/>
        <v>-89600000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-1814019857</v>
      </c>
      <c r="E330" s="19">
        <f>SUM(E325:E329)</f>
        <v>0</v>
      </c>
      <c r="F330" s="19">
        <f>SUM(F325:F329)</f>
        <v>0</v>
      </c>
      <c r="G330" s="19">
        <f t="shared" si="14"/>
        <v>-1814019857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5488274907</v>
      </c>
      <c r="E331" s="19">
        <f>E330+E324</f>
        <v>0</v>
      </c>
      <c r="F331" s="19">
        <f>F330+F324</f>
        <v>0</v>
      </c>
      <c r="G331" s="19">
        <f t="shared" si="14"/>
        <v>5488274907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005010600098586000KD</v>
      </c>
      <c r="B334" s="11" t="str">
        <f>P16</f>
        <v>PN. Sinabang</v>
      </c>
      <c r="C334" s="12" t="str">
        <f>A334&amp;" "&amp;B334</f>
        <v>005010600098586000KD PN. Sinabang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0</v>
      </c>
      <c r="E337" s="25">
        <f>SUMIFS('Daftar Koreksi'!$H$5:$H$92,'Daftar Koreksi'!$D$5:$D$92,'0600'!A334,'Daftar Koreksi'!$G$5:$G$92,"Persediaan",'Daftar Koreksi'!$H$5:$H$92,"&gt;0")</f>
        <v>0</v>
      </c>
      <c r="F337" s="25">
        <f>SUMIFS('Daftar Koreksi'!$H$5:$H$92,'Daftar Koreksi'!$D$5:$D$92,'0600'!A334,'Daftar Koreksi'!$G$5:$G$92,"Persediaan",'Daftar Koreksi'!$H$5:$H$92,"&lt;0")-SUMIFS('Daftar Koreksi'!$H$5:$H$92,'Daftar Koreksi'!$D$5:$D$92,'0600'!A334,'Daftar Koreksi'!$G$5:$G$92,"Persediaan",'Daftar Koreksi'!$H$5:$H$92,"&lt;0")-SUMIFS('Daftar Koreksi'!$H$5:$H$92,'Daftar Koreksi'!$D$5:$D$92,'0600'!A334,'Daftar Koreksi'!$G$5:$G$92,"Persediaan",'Daftar Koreksi'!$H$5:$H$92,"&lt;0")</f>
        <v>0</v>
      </c>
      <c r="G337" s="17">
        <f>D337+E337-F337</f>
        <v>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5459062470</v>
      </c>
      <c r="E338" s="25">
        <f>SUMIFS('Daftar Koreksi'!$H$5:$H$92,'Daftar Koreksi'!$D$5:$D$92,'0600'!A334,'Daftar Koreksi'!$G$5:$G$92,"Tanah",'Daftar Koreksi'!$H$5:$H$92,"&gt;0")</f>
        <v>0</v>
      </c>
      <c r="F338" s="25">
        <f>SUMIFS('Daftar Koreksi'!$H$5:$H$92,'Daftar Koreksi'!$D$5:$D$92,'0600'!A334,'Daftar Koreksi'!$G$5:$G$92,"Tanah",'Daftar Koreksi'!$H$5:$H$92,"&lt;0")-SUMIFS('Daftar Koreksi'!$H$5:$H$92,'Daftar Koreksi'!$D$5:$D$92,'0600'!A334,'Daftar Koreksi'!$G$5:$G$92,"Tanah",'Daftar Koreksi'!$H$5:$H$92,"&lt;0")-SUMIFS('Daftar Koreksi'!$H$5:$H$92,'Daftar Koreksi'!$D$5:$D$92,'0600'!A334,'Daftar Koreksi'!$G$5:$G$92,"Tanah",'Daftar Koreksi'!$H$5:$H$92,"&lt;0")</f>
        <v>0</v>
      </c>
      <c r="G338" s="17">
        <f t="shared" ref="G338:G354" si="15">D338+E338-F338</f>
        <v>5459062470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1919407165</v>
      </c>
      <c r="E339" s="25">
        <f>SUMIFS('Daftar Koreksi'!$H$5:$H$92,'Daftar Koreksi'!$D$5:$D$92,'0600'!A334,'Daftar Koreksi'!$G$5:$G$92,"Peralatan dan mesin",'Daftar Koreksi'!$H$5:$H$92,"&gt;0")</f>
        <v>0</v>
      </c>
      <c r="F339" s="25">
        <f>SUMIFS('Daftar Koreksi'!$H$5:$H$92,'Daftar Koreksi'!$D$5:$D$92,'0600'!A334,'Daftar Koreksi'!$G$5:$G$92,"Peralatan dan mesin",'Daftar Koreksi'!$H$5:$H$92,"&lt;0")-SUMIFS('Daftar Koreksi'!$H$5:$H$92,'Daftar Koreksi'!$D$5:$D$92,'0600'!A334,'Daftar Koreksi'!$G$5:$G$92,"Peralatan dan mesin",'Daftar Koreksi'!$H$5:$H$92,"&lt;0")-SUMIFS('Daftar Koreksi'!$H$5:$H$92,'Daftar Koreksi'!$D$5:$D$92,'0600'!A334,'Daftar Koreksi'!$G$5:$G$92,"Peralatan dan mesin",'Daftar Koreksi'!$H$5:$H$92,"&lt;0")</f>
        <v>0</v>
      </c>
      <c r="G339" s="17">
        <f t="shared" si="15"/>
        <v>1919407165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3610079650</v>
      </c>
      <c r="E340" s="25">
        <f>SUMIFS('Daftar Koreksi'!$H$5:$H$92,'Daftar Koreksi'!$D$5:$D$92,'0600'!A334,'Daftar Koreksi'!$G$5:$G$92,"Gedung dan Bangunan",'Daftar Koreksi'!$H$5:$H$92,"&gt;0")</f>
        <v>0</v>
      </c>
      <c r="F340" s="25">
        <f>SUMIFS('Daftar Koreksi'!$H$5:$H$92,'Daftar Koreksi'!$D$5:$D$92,'0600'!A334,'Daftar Koreksi'!$G$5:$G$92,"Gedung dan Bangunan",'Daftar Koreksi'!$H$5:$H$92,"&lt;0")-SUMIFS('Daftar Koreksi'!$H$5:$H$92,'Daftar Koreksi'!$D$5:$D$92,'0600'!A334,'Daftar Koreksi'!$G$5:$G$92,"Gedung dan Bangunan",'Daftar Koreksi'!$H$5:$H$92,"&lt;0")-SUMIFS('Daftar Koreksi'!$H$5:$H$92,'Daftar Koreksi'!$D$5:$D$92,'0600'!A334,'Daftar Koreksi'!$G$5:$G$92,"Gedung dan Bangunan",'Daftar Koreksi'!$H$5:$H$92,"&lt;0")</f>
        <v>0</v>
      </c>
      <c r="G340" s="17">
        <f t="shared" si="15"/>
        <v>3610079650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Koreksi'!$D$5:$D$92,'0600'!A334,'Daftar Koreksi'!$G$5:$G$92,"Jalan Irigasi Jaringan",'Daftar Koreksi'!$H$5:$H$92,"&gt;0")</f>
        <v>0</v>
      </c>
      <c r="F341" s="25">
        <f>SUMIFS('Daftar Koreksi'!$H$5:$H$92,'Daftar Koreksi'!$D$5:$D$92,'0600'!A334,'Daftar Koreksi'!$G$5:$G$92,"Jalan Irigasi Jaringan",'Daftar Koreksi'!$H$5:$H$92,"&lt;0")-SUMIFS('Daftar Koreksi'!$H$5:$H$92,'Daftar Koreksi'!$D$5:$D$92,'0600'!A334,'Daftar Koreksi'!$G$5:$G$92,"Jalan Irigasi Jaringan",'Daftar Koreksi'!$H$5:$H$92,"&lt;0")-SUMIFS('Daftar Koreksi'!$H$5:$H$92,'Daftar Koreksi'!$D$5:$D$92,'0600'!A334,'Daftar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1943440</v>
      </c>
      <c r="E342" s="25">
        <f>SUMIFS('Daftar Koreksi'!$H$5:$H$92,'Daftar Koreksi'!$D$5:$D$92,'0600'!A334,'Daftar Koreksi'!$G$5:$G$92,"Aset Tetap Lainnya",'Daftar Koreksi'!$H$5:$H$92,"&gt;0")</f>
        <v>0</v>
      </c>
      <c r="F342" s="25">
        <f>SUMIFS('Daftar Koreksi'!$H$5:$H$92,'Daftar Koreksi'!$D$5:$D$92,'0600'!A334,'Daftar Koreksi'!$G$5:$G$92,"Aset Tetap Lainnya",'Daftar Koreksi'!$H$5:$H$92,"&lt;0")-SUMIFS('Daftar Koreksi'!$H$5:$H$92,'Daftar Koreksi'!$D$5:$D$92,'0600'!A334,'Daftar Koreksi'!$G$5:$G$92,"Aset Tetap Lainnya",'Daftar Koreksi'!$H$5:$H$92,"&lt;0")-SUMIFS('Daftar Koreksi'!$H$5:$H$92,'Daftar Koreksi'!$D$5:$D$92,'0600'!A334,'Daftar Koreksi'!$G$5:$G$92,"Aset Tetap Lainnya",'Daftar Koreksi'!$H$5:$H$92,"&lt;0")</f>
        <v>0</v>
      </c>
      <c r="G342" s="17">
        <f t="shared" si="15"/>
        <v>1943440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9488617000</v>
      </c>
      <c r="E343" s="25">
        <f>SUMIFS('Daftar Koreksi'!$H$5:$H$92,'Daftar Koreksi'!$D$5:$D$92,'0600'!A334,'Daftar Koreksi'!$G$5:$G$92,"Kontruksi Dalam Pengerjaan",'Daftar Koreksi'!$H$5:$H$92,"&gt;0")</f>
        <v>0</v>
      </c>
      <c r="F343" s="25">
        <f>SUMIFS('Daftar Koreksi'!$H$5:$H$92,'Daftar Koreksi'!$D$5:$D$92,'0600'!A334,'Daftar Koreksi'!$G$5:$G$92,"Kontruksi Dalam Pengerjaan",'Daftar Koreksi'!$H$5:$H$92,"&lt;0")-SUMIFS('Daftar Koreksi'!$H$5:$H$92,'Daftar Koreksi'!$D$5:$D$92,'0600'!A334,'Daftar Koreksi'!$G$5:$G$92,"Kontruksi Dalam Pengerjaan",'Daftar Koreksi'!$H$5:$H$92,"&lt;0")-SUMIFS('Daftar Koreksi'!$H$5:$H$92,'Daftar Koreksi'!$D$5:$D$92,'0600'!A334,'Daftar Koreksi'!$G$5:$G$92,"Kontruksi Dalam Pengerjaan",'Daftar Koreksi'!$H$5:$H$92,"&lt;0")</f>
        <v>0</v>
      </c>
      <c r="G343" s="17">
        <f t="shared" si="15"/>
        <v>9488617000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Koreksi'!$D$5:$D$92,'0600'!A334,'Daftar Koreksi'!$G$5:$G$92,"Aset Tak Berwujud",'Daftar Koreksi'!$H$5:$H$92,"&gt;0")</f>
        <v>0</v>
      </c>
      <c r="F344" s="25">
        <f>SUMIFS('Daftar Koreksi'!$H$5:$H$92,'Daftar Koreksi'!$D$5:$D$92,'0600'!A334,'Daftar Koreksi'!$G$5:$G$92,"Aset Tak Berwujud",'Daftar Koreksi'!$H$5:$H$92,"&lt;0")-SUMIFS('Daftar Koreksi'!$H$5:$H$92,'Daftar Koreksi'!$D$5:$D$92,'0600'!A334,'Daftar Koreksi'!$G$5:$G$92,"Aset Tak Berwujud",'Daftar Koreksi'!$H$5:$H$92,"&lt;0")-SUMIFS('Daftar Koreksi'!$H$5:$H$92,'Daftar Koreksi'!$D$5:$D$92,'0600'!A334,'Daftar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1570397160</v>
      </c>
      <c r="E345" s="25">
        <f>SUMIFS('Daftar Koreksi'!$H$5:$H$92,'Daftar Koreksi'!$D$5:$D$92,'0600'!A334,'Daftar Koreksi'!$G$5:$G$92,"Aset Henti Guna",'Daftar Koreksi'!$H$5:$H$92,"&gt;0")</f>
        <v>0</v>
      </c>
      <c r="F345" s="25">
        <f>SUMIFS('Daftar Koreksi'!$H$5:$H$92,'Daftar Koreksi'!$D$5:$D$92,'0600'!A334,'Daftar Koreksi'!$G$5:$G$92,"Aset Henti Guna",'Daftar Koreksi'!$H$5:$H$92,"&lt;0")-SUMIFS('Daftar Koreksi'!$H$5:$H$92,'Daftar Koreksi'!$D$5:$D$92,'0600'!A334,'Daftar Koreksi'!$G$5:$G$92,"Aset Henti Guna",'Daftar Koreksi'!$H$5:$H$92,"&lt;0")-SUMIFS('Daftar Koreksi'!$H$5:$H$92,'Daftar Koreksi'!$D$5:$D$92,'0600'!A334,'Daftar Koreksi'!$G$5:$G$92,"Aset Henti Guna",'Daftar Koreksi'!$H$5:$H$92,"&lt;0")</f>
        <v>0</v>
      </c>
      <c r="G345" s="17">
        <f t="shared" si="15"/>
        <v>1570397160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22049506885</v>
      </c>
      <c r="E346" s="19">
        <f>SUM(E337:E345)</f>
        <v>0</v>
      </c>
      <c r="F346" s="19">
        <f>SUM(F337:F345)</f>
        <v>0</v>
      </c>
      <c r="G346" s="19">
        <f t="shared" si="15"/>
        <v>22049506885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-1445893833</v>
      </c>
      <c r="E347" s="25">
        <f>SUMIFS('Daftar Koreksi'!$I$5:$I$92,'Daftar Koreksi'!$D$5:$D$92,'0600'!A334,'Daftar Koreksi'!$G$5:$G$92,"Peralatan dan mesin",'Daftar Koreksi'!$I$5:$I$92,"&gt;0")</f>
        <v>0</v>
      </c>
      <c r="F347" s="25">
        <f>SUMIFS('Daftar Koreksi'!$I$5:$I$92,'Daftar Koreksi'!$D$5:$D$92,'0600'!A334,'Daftar Koreksi'!$G$5:$G$92,"Peralatan dan mesin",'Daftar Koreksi'!$I$5:$I$92,"&lt;0")-SUMIFS('Daftar Koreksi'!$I$5:$I$92,'Daftar Koreksi'!$D$5:$D$92,'0600'!A334,'Daftar Koreksi'!$G$5:$G$92,"Peralatan dan mesin",'Daftar Koreksi'!$I$5:$I$92,"&lt;0")-SUMIFS('Daftar Koreksi'!$I$5:$I$92,'Daftar Koreksi'!$D$5:$D$92,'0600'!A334,'Daftar Koreksi'!$G$5:$G$92,"Peralatan dan mesin",'Daftar Koreksi'!$I$5:$I$92,"&lt;0")</f>
        <v>0</v>
      </c>
      <c r="G347" s="17">
        <f t="shared" si="15"/>
        <v>-1445893833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-513135827</v>
      </c>
      <c r="E348" s="25">
        <f>SUMIFS('Daftar Koreksi'!$I$5:$I$92,'Daftar Koreksi'!$D$5:$D$92,'0600'!A334,'Daftar Koreksi'!$G$5:$G$92,"Gedung dan Bangunan",'Daftar Koreksi'!$I$5:$I$92,"&gt;0")</f>
        <v>0</v>
      </c>
      <c r="F348" s="25">
        <f>SUMIFS('Daftar Koreksi'!$I$5:$I$92,'Daftar Koreksi'!$D$5:$D$92,'0600'!A334,'Daftar Koreksi'!$G$5:$G$92,"Gedung dan Bangunan",'Daftar Koreksi'!$I$5:$I$92,"&lt;0")-SUMIFS('Daftar Koreksi'!$I$5:$I$92,'Daftar Koreksi'!$D$5:$D$92,'0600'!A334,'Daftar Koreksi'!$G$5:$G$92,"Gedung dan Bangunan",'Daftar Koreksi'!$I$5:$I$92,"&lt;0")-SUMIFS('Daftar Koreksi'!$I$5:$I$92,'Daftar Koreksi'!$D$5:$D$92,'0600'!A334,'Daftar Koreksi'!$G$5:$G$92,"Gedung dan Bangunan",'Daftar Koreksi'!$I$5:$I$92,"&lt;0")</f>
        <v>0</v>
      </c>
      <c r="G348" s="17">
        <f t="shared" si="15"/>
        <v>-513135827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Koreksi'!$D$5:$D$92,'0600'!A334,'Daftar Koreksi'!$G$5:$G$92,"Jalan Irigasi Jaringan",'Daftar Koreksi'!$I$5:$I$92,"&gt;0")</f>
        <v>0</v>
      </c>
      <c r="F349" s="25">
        <f>SUMIFS('Daftar Koreksi'!$I$5:$I$92,'Daftar Koreksi'!$D$5:$D$92,'0600'!A334,'Daftar Koreksi'!$G$5:$G$92,"Jalan Irigasi Jaringan",'Daftar Koreksi'!$I$5:$I$92,"&lt;0")-SUMIFS('Daftar Koreksi'!$I$5:$I$92,'Daftar Koreksi'!$D$5:$D$92,'0600'!A334,'Daftar Koreksi'!$G$5:$G$92,"Jalan Irigasi Jaringan",'Daftar Koreksi'!$I$5:$I$92,"&lt;0")-SUMIFS('Daftar Koreksi'!$I$5:$I$92,'Daftar Koreksi'!$D$5:$D$92,'0600'!A334,'Daftar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Koreksi'!$D$5:$D$92,'0600'!A334,'Daftar Koreksi'!$G$5:$G$92,"Aset Tetap Lainnya",'Daftar Koreksi'!$I$5:$I$92,"&gt;0")</f>
        <v>0</v>
      </c>
      <c r="F350" s="25">
        <f>SUMIFS('Daftar Koreksi'!$I$5:$I$92,'Daftar Koreksi'!$D$5:$D$92,'0600'!A334,'Daftar Koreksi'!$G$5:$G$92,"Aset Tetap Lainnya",'Daftar Koreksi'!$I$5:$I$92,"&lt;0")-SUMIFS('Daftar Koreksi'!$I$5:$I$92,'Daftar Koreksi'!$D$5:$D$92,'0600'!A334,'Daftar Koreksi'!$G$5:$G$92,"Aset Tetap Lainnya",'Daftar Koreksi'!$I$5:$I$92,"&lt;0")-SUMIFS('Daftar Koreksi'!$I$5:$I$92,'Daftar Koreksi'!$D$5:$D$92,'0600'!A334,'Daftar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-424007236</v>
      </c>
      <c r="E351" s="25">
        <f>SUMIFS('Daftar Koreksi'!$I$5:$I$92,'Daftar Koreksi'!$D$5:$D$92,'0600'!A334,'Daftar Koreksi'!$G$5:$G$92,"Aset Henti Guna",'Daftar Koreksi'!$I$5:$I$92,"&gt;0")</f>
        <v>0</v>
      </c>
      <c r="F351" s="25">
        <f>SUMIFS('Daftar Koreksi'!$I$5:$I$92,'Daftar Koreksi'!$D$5:$D$92,'0600'!A334,'Daftar Koreksi'!$G$5:$G$92,"Aset Henti Guna",'Daftar Koreksi'!$I$5:$I$92,"&lt;0")-SUMIFS('Daftar Koreksi'!$I$5:$I$92,'Daftar Koreksi'!$D$5:$D$92,'0600'!A334,'Daftar Koreksi'!$G$5:$G$92,"Aset Henti Guna",'Daftar Koreksi'!$I$5:$I$92,"&lt;0")-SUMIFS('Daftar Koreksi'!$I$5:$I$92,'Daftar Koreksi'!$D$5:$D$92,'0600'!A334,'Daftar Koreksi'!$G$5:$G$92,"Aset Henti Guna",'Daftar Koreksi'!$I$5:$I$92,"&lt;0")</f>
        <v>0</v>
      </c>
      <c r="G351" s="17">
        <f t="shared" si="15"/>
        <v>-424007236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-2383036896</v>
      </c>
      <c r="E352" s="19">
        <f>SUM(E347:E351)</f>
        <v>0</v>
      </c>
      <c r="F352" s="19">
        <f>SUM(F347:F351)</f>
        <v>0</v>
      </c>
      <c r="G352" s="19">
        <f t="shared" si="15"/>
        <v>-2383036896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19666469989</v>
      </c>
      <c r="E353" s="19">
        <f>E352+E346</f>
        <v>0</v>
      </c>
      <c r="F353" s="19">
        <f>F352+F346</f>
        <v>0</v>
      </c>
      <c r="G353" s="19">
        <f t="shared" si="15"/>
        <v>19666469989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005010600098590000KD</v>
      </c>
      <c r="B356" s="11" t="str">
        <f>P17</f>
        <v>PN. Tapak Tuan</v>
      </c>
      <c r="C356" s="12" t="str">
        <f>A356&amp;" "&amp;B356</f>
        <v>005010600098590000KD PN. Tapak Tuan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0</v>
      </c>
      <c r="E359" s="25">
        <f>SUMIFS('Daftar Koreksi'!$H$5:$H$92,'Daftar Koreksi'!$D$5:$D$92,'0600'!A356,'Daftar Koreksi'!$G$5:$G$92,"Persediaan",'Daftar Koreksi'!$H$5:$H$92,"&gt;0")</f>
        <v>0</v>
      </c>
      <c r="F359" s="25">
        <f>SUMIFS('Daftar Koreksi'!$H$5:$H$92,'Daftar Koreksi'!$D$5:$D$92,'0600'!A356,'Daftar Koreksi'!$G$5:$G$92,"Persediaan",'Daftar Koreksi'!$H$5:$H$92,"&lt;0")-SUMIFS('Daftar Koreksi'!$H$5:$H$92,'Daftar Koreksi'!$D$5:$D$92,'0600'!A356,'Daftar Koreksi'!$G$5:$G$92,"Persediaan",'Daftar Koreksi'!$H$5:$H$92,"&lt;0")-SUMIFS('Daftar Koreksi'!$H$5:$H$92,'Daftar Koreksi'!$D$5:$D$92,'0600'!A356,'Daftar Koreksi'!$G$5:$G$92,"Persediaan",'Daftar Koreksi'!$H$5:$H$92,"&lt;0")</f>
        <v>0</v>
      </c>
      <c r="G359" s="17">
        <f>D359+E359-F359</f>
        <v>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2037426000</v>
      </c>
      <c r="E360" s="25">
        <f>SUMIFS('Daftar Koreksi'!$H$5:$H$92,'Daftar Koreksi'!$D$5:$D$92,'0600'!A356,'Daftar Koreksi'!$G$5:$G$92,"Tanah",'Daftar Koreksi'!$H$5:$H$92,"&gt;0")</f>
        <v>0</v>
      </c>
      <c r="F360" s="25">
        <f>SUMIFS('Daftar Koreksi'!$H$5:$H$92,'Daftar Koreksi'!$D$5:$D$92,'0600'!A356,'Daftar Koreksi'!$G$5:$G$92,"Tanah",'Daftar Koreksi'!$H$5:$H$92,"&lt;0")-SUMIFS('Daftar Koreksi'!$H$5:$H$92,'Daftar Koreksi'!$D$5:$D$92,'0600'!A356,'Daftar Koreksi'!$G$5:$G$92,"Tanah",'Daftar Koreksi'!$H$5:$H$92,"&lt;0")-SUMIFS('Daftar Koreksi'!$H$5:$H$92,'Daftar Koreksi'!$D$5:$D$92,'0600'!A356,'Daftar Koreksi'!$G$5:$G$92,"Tanah",'Daftar Koreksi'!$H$5:$H$92,"&lt;0")</f>
        <v>0</v>
      </c>
      <c r="G360" s="17">
        <f t="shared" ref="G360:G376" si="16">D360+E360-F360</f>
        <v>2037426000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853709000</v>
      </c>
      <c r="E361" s="25">
        <f>SUMIFS('Daftar Koreksi'!$H$5:$H$92,'Daftar Koreksi'!$D$5:$D$92,'0600'!A356,'Daftar Koreksi'!$G$5:$G$92,"Peralatan dan mesin",'Daftar Koreksi'!$H$5:$H$92,"&gt;0")</f>
        <v>0</v>
      </c>
      <c r="F361" s="25">
        <f>SUMIFS('Daftar Koreksi'!$H$5:$H$92,'Daftar Koreksi'!$D$5:$D$92,'0600'!A356,'Daftar Koreksi'!$G$5:$G$92,"Peralatan dan mesin",'Daftar Koreksi'!$H$5:$H$92,"&lt;0")-SUMIFS('Daftar Koreksi'!$H$5:$H$92,'Daftar Koreksi'!$D$5:$D$92,'0600'!A356,'Daftar Koreksi'!$G$5:$G$92,"Peralatan dan mesin",'Daftar Koreksi'!$H$5:$H$92,"&lt;0")-SUMIFS('Daftar Koreksi'!$H$5:$H$92,'Daftar Koreksi'!$D$5:$D$92,'0600'!A356,'Daftar Koreksi'!$G$5:$G$92,"Peralatan dan mesin",'Daftar Koreksi'!$H$5:$H$92,"&lt;0")</f>
        <v>0</v>
      </c>
      <c r="G361" s="17">
        <f t="shared" si="16"/>
        <v>853709000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7031928000</v>
      </c>
      <c r="E362" s="25">
        <f>SUMIFS('Daftar Koreksi'!$H$5:$H$92,'Daftar Koreksi'!$D$5:$D$92,'0600'!A356,'Daftar Koreksi'!$G$5:$G$92,"Gedung dan Bangunan",'Daftar Koreksi'!$H$5:$H$92,"&gt;0")</f>
        <v>0</v>
      </c>
      <c r="F362" s="25">
        <f>SUMIFS('Daftar Koreksi'!$H$5:$H$92,'Daftar Koreksi'!$D$5:$D$92,'0600'!A356,'Daftar Koreksi'!$G$5:$G$92,"Gedung dan Bangunan",'Daftar Koreksi'!$H$5:$H$92,"&lt;0")-SUMIFS('Daftar Koreksi'!$H$5:$H$92,'Daftar Koreksi'!$D$5:$D$92,'0600'!A356,'Daftar Koreksi'!$G$5:$G$92,"Gedung dan Bangunan",'Daftar Koreksi'!$H$5:$H$92,"&lt;0")-SUMIFS('Daftar Koreksi'!$H$5:$H$92,'Daftar Koreksi'!$D$5:$D$92,'0600'!A356,'Daftar Koreksi'!$G$5:$G$92,"Gedung dan Bangunan",'Daftar Koreksi'!$H$5:$H$92,"&lt;0")</f>
        <v>0</v>
      </c>
      <c r="G362" s="17">
        <f t="shared" si="16"/>
        <v>7031928000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Koreksi'!$D$5:$D$92,'0600'!A356,'Daftar Koreksi'!$G$5:$G$92,"Jalan Irigasi Jaringan",'Daftar Koreksi'!$H$5:$H$92,"&gt;0")</f>
        <v>0</v>
      </c>
      <c r="F363" s="25">
        <f>SUMIFS('Daftar Koreksi'!$H$5:$H$92,'Daftar Koreksi'!$D$5:$D$92,'0600'!A356,'Daftar Koreksi'!$G$5:$G$92,"Jalan Irigasi Jaringan",'Daftar Koreksi'!$H$5:$H$92,"&lt;0")-SUMIFS('Daftar Koreksi'!$H$5:$H$92,'Daftar Koreksi'!$D$5:$D$92,'0600'!A356,'Daftar Koreksi'!$G$5:$G$92,"Jalan Irigasi Jaringan",'Daftar Koreksi'!$H$5:$H$92,"&lt;0")-SUMIFS('Daftar Koreksi'!$H$5:$H$92,'Daftar Koreksi'!$D$5:$D$92,'0600'!A356,'Daftar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1943440</v>
      </c>
      <c r="E364" s="25">
        <f>SUMIFS('Daftar Koreksi'!$H$5:$H$92,'Daftar Koreksi'!$D$5:$D$92,'0600'!A356,'Daftar Koreksi'!$G$5:$G$92,"Aset Tetap Lainnya",'Daftar Koreksi'!$H$5:$H$92,"&gt;0")</f>
        <v>0</v>
      </c>
      <c r="F364" s="25">
        <f>SUMIFS('Daftar Koreksi'!$H$5:$H$92,'Daftar Koreksi'!$D$5:$D$92,'0600'!A356,'Daftar Koreksi'!$G$5:$G$92,"Aset Tetap Lainnya",'Daftar Koreksi'!$H$5:$H$92,"&lt;0")-SUMIFS('Daftar Koreksi'!$H$5:$H$92,'Daftar Koreksi'!$D$5:$D$92,'0600'!A356,'Daftar Koreksi'!$G$5:$G$92,"Aset Tetap Lainnya",'Daftar Koreksi'!$H$5:$H$92,"&lt;0")-SUMIFS('Daftar Koreksi'!$H$5:$H$92,'Daftar Koreksi'!$D$5:$D$92,'0600'!A356,'Daftar Koreksi'!$G$5:$G$92,"Aset Tetap Lainnya",'Daftar Koreksi'!$H$5:$H$92,"&lt;0")</f>
        <v>0</v>
      </c>
      <c r="G364" s="17">
        <f t="shared" si="16"/>
        <v>1943440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Koreksi'!$D$5:$D$92,'0600'!A356,'Daftar Koreksi'!$G$5:$G$92,"Kontruksi Dalam Pengerjaan",'Daftar Koreksi'!$H$5:$H$92,"&gt;0")</f>
        <v>0</v>
      </c>
      <c r="F365" s="25">
        <f>SUMIFS('Daftar Koreksi'!$H$5:$H$92,'Daftar Koreksi'!$D$5:$D$92,'0600'!A356,'Daftar Koreksi'!$G$5:$G$92,"Kontruksi Dalam Pengerjaan",'Daftar Koreksi'!$H$5:$H$92,"&lt;0")-SUMIFS('Daftar Koreksi'!$H$5:$H$92,'Daftar Koreksi'!$D$5:$D$92,'0600'!A356,'Daftar Koreksi'!$G$5:$G$92,"Kontruksi Dalam Pengerjaan",'Daftar Koreksi'!$H$5:$H$92,"&lt;0")-SUMIFS('Daftar Koreksi'!$H$5:$H$92,'Daftar Koreksi'!$D$5:$D$92,'0600'!A356,'Daftar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59650000</v>
      </c>
      <c r="E366" s="25">
        <f>SUMIFS('Daftar Koreksi'!$H$5:$H$92,'Daftar Koreksi'!$D$5:$D$92,'0600'!A356,'Daftar Koreksi'!$G$5:$G$92,"Aset Tak Berwujud",'Daftar Koreksi'!$H$5:$H$92,"&gt;0")</f>
        <v>0</v>
      </c>
      <c r="F366" s="25">
        <f>SUMIFS('Daftar Koreksi'!$H$5:$H$92,'Daftar Koreksi'!$D$5:$D$92,'0600'!A356,'Daftar Koreksi'!$G$5:$G$92,"Aset Tak Berwujud",'Daftar Koreksi'!$H$5:$H$92,"&lt;0")-SUMIFS('Daftar Koreksi'!$H$5:$H$92,'Daftar Koreksi'!$D$5:$D$92,'0600'!A356,'Daftar Koreksi'!$G$5:$G$92,"Aset Tak Berwujud",'Daftar Koreksi'!$H$5:$H$92,"&lt;0")-SUMIFS('Daftar Koreksi'!$H$5:$H$92,'Daftar Koreksi'!$D$5:$D$92,'0600'!A356,'Daftar Koreksi'!$G$5:$G$92,"Aset Tak Berwujud",'Daftar Koreksi'!$H$5:$H$92,"&lt;0")</f>
        <v>0</v>
      </c>
      <c r="G366" s="17">
        <f t="shared" si="16"/>
        <v>59650000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Koreksi'!$D$5:$D$92,'0600'!A356,'Daftar Koreksi'!$G$5:$G$92,"Aset Henti Guna",'Daftar Koreksi'!$H$5:$H$92,"&gt;0")</f>
        <v>0</v>
      </c>
      <c r="F367" s="25">
        <f>SUMIFS('Daftar Koreksi'!$H$5:$H$92,'Daftar Koreksi'!$D$5:$D$92,'0600'!A356,'Daftar Koreksi'!$G$5:$G$92,"Aset Henti Guna",'Daftar Koreksi'!$H$5:$H$92,"&lt;0")-SUMIFS('Daftar Koreksi'!$H$5:$H$92,'Daftar Koreksi'!$D$5:$D$92,'0600'!A356,'Daftar Koreksi'!$G$5:$G$92,"Aset Henti Guna",'Daftar Koreksi'!$H$5:$H$92,"&lt;0")-SUMIFS('Daftar Koreksi'!$H$5:$H$92,'Daftar Koreksi'!$D$5:$D$92,'0600'!A356,'Daftar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9984656440</v>
      </c>
      <c r="E368" s="19">
        <f>SUM(E359:E367)</f>
        <v>0</v>
      </c>
      <c r="F368" s="19">
        <f>SUM(F359:F367)</f>
        <v>0</v>
      </c>
      <c r="G368" s="19">
        <f t="shared" si="16"/>
        <v>9984656440</v>
      </c>
      <c r="H368" s="122"/>
    </row>
    <row r="369" spans="1:10" ht="21.95" customHeight="1">
      <c r="A369" s="14"/>
      <c r="B369" s="14"/>
      <c r="C369" s="16" t="s">
        <v>2087</v>
      </c>
      <c r="D369" s="17">
        <f>VLOOKUP(A356,'Neraca Unaudited SIMAK'!$A$2:$S$10004,13,FALSE)</f>
        <v>-815269833</v>
      </c>
      <c r="E369" s="25">
        <f>SUMIFS('Daftar Koreksi'!$I$5:$I$92,'Daftar Koreksi'!$D$5:$D$92,'0600'!A356,'Daftar Koreksi'!$G$5:$G$92,"Peralatan dan mesin",'Daftar Koreksi'!$I$5:$I$92,"&gt;0")</f>
        <v>0</v>
      </c>
      <c r="F369" s="25">
        <f>SUMIFS('Daftar Koreksi'!$I$5:$I$92,'Daftar Koreksi'!$D$5:$D$92,'0600'!A356,'Daftar Koreksi'!$G$5:$G$92,"Peralatan dan mesin",'Daftar Koreksi'!$I$5:$I$92,"&lt;0")-SUMIFS('Daftar Koreksi'!$I$5:$I$92,'Daftar Koreksi'!$D$5:$D$92,'0600'!A356,'Daftar Koreksi'!$G$5:$G$92,"Peralatan dan mesin",'Daftar Koreksi'!$I$5:$I$92,"&lt;0")-SUMIFS('Daftar Koreksi'!$I$5:$I$92,'Daftar Koreksi'!$D$5:$D$92,'0600'!A356,'Daftar Koreksi'!$G$5:$G$92,"Peralatan dan mesin",'Daftar Koreksi'!$I$5:$I$92,"&lt;0")</f>
        <v>0</v>
      </c>
      <c r="G369" s="17">
        <f t="shared" si="16"/>
        <v>-815269833</v>
      </c>
      <c r="H369" s="122"/>
    </row>
    <row r="370" spans="1:10" ht="21.95" customHeight="1">
      <c r="A370" s="14"/>
      <c r="B370" s="14"/>
      <c r="C370" s="16" t="s">
        <v>2088</v>
      </c>
      <c r="D370" s="17">
        <f>VLOOKUP(A356,'Neraca Unaudited SIMAK'!$A$2:$S$10004,14,FALSE)</f>
        <v>-5446532490</v>
      </c>
      <c r="E370" s="25">
        <f>SUMIFS('Daftar Koreksi'!$I$5:$I$92,'Daftar Koreksi'!$D$5:$D$92,'0600'!A356,'Daftar Koreksi'!$G$5:$G$92,"Gedung dan Bangunan",'Daftar Koreksi'!$I$5:$I$92,"&gt;0")</f>
        <v>0</v>
      </c>
      <c r="F370" s="25">
        <f>SUMIFS('Daftar Koreksi'!$I$5:$I$92,'Daftar Koreksi'!$D$5:$D$92,'0600'!A356,'Daftar Koreksi'!$G$5:$G$92,"Gedung dan Bangunan",'Daftar Koreksi'!$I$5:$I$92,"&lt;0")-SUMIFS('Daftar Koreksi'!$I$5:$I$92,'Daftar Koreksi'!$D$5:$D$92,'0600'!A356,'Daftar Koreksi'!$G$5:$G$92,"Gedung dan Bangunan",'Daftar Koreksi'!$I$5:$I$92,"&lt;0")-SUMIFS('Daftar Koreksi'!$I$5:$I$92,'Daftar Koreksi'!$D$5:$D$92,'0600'!A356,'Daftar Koreksi'!$G$5:$G$92,"Gedung dan Bangunan",'Daftar Koreksi'!$I$5:$I$92,"&lt;0")</f>
        <v>0</v>
      </c>
      <c r="G370" s="17">
        <f t="shared" si="16"/>
        <v>-5446532490</v>
      </c>
      <c r="H370" s="122"/>
    </row>
    <row r="371" spans="1:10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Koreksi'!$D$5:$D$92,'0600'!A356,'Daftar Koreksi'!$G$5:$G$92,"Jalan Irigasi Jaringan",'Daftar Koreksi'!$I$5:$I$92,"&gt;0")</f>
        <v>0</v>
      </c>
      <c r="F371" s="25">
        <f>SUMIFS('Daftar Koreksi'!$I$5:$I$92,'Daftar Koreksi'!$D$5:$D$92,'0600'!A356,'Daftar Koreksi'!$G$5:$G$92,"Jalan Irigasi Jaringan",'Daftar Koreksi'!$I$5:$I$92,"&lt;0")-SUMIFS('Daftar Koreksi'!$I$5:$I$92,'Daftar Koreksi'!$D$5:$D$92,'0600'!A356,'Daftar Koreksi'!$G$5:$G$92,"Jalan Irigasi Jaringan",'Daftar Koreksi'!$I$5:$I$92,"&lt;0")-SUMIFS('Daftar Koreksi'!$I$5:$I$92,'Daftar Koreksi'!$D$5:$D$92,'0600'!A356,'Daftar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10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Koreksi'!$D$5:$D$92,'0600'!A356,'Daftar Koreksi'!$G$5:$G$92,"Aset Tetap Lainnya",'Daftar Koreksi'!$I$5:$I$92,"&gt;0")</f>
        <v>0</v>
      </c>
      <c r="F372" s="25">
        <f>SUMIFS('Daftar Koreksi'!$I$5:$I$92,'Daftar Koreksi'!$D$5:$D$92,'0600'!A356,'Daftar Koreksi'!$G$5:$G$92,"Aset Tetap Lainnya",'Daftar Koreksi'!$I$5:$I$92,"&lt;0")-SUMIFS('Daftar Koreksi'!$I$5:$I$92,'Daftar Koreksi'!$D$5:$D$92,'0600'!A356,'Daftar Koreksi'!$G$5:$G$92,"Aset Tetap Lainnya",'Daftar Koreksi'!$I$5:$I$92,"&lt;0")-SUMIFS('Daftar Koreksi'!$I$5:$I$92,'Daftar Koreksi'!$D$5:$D$92,'0600'!A356,'Daftar Koreksi'!$G$5:$G$92,"Aset Tetap Lainnya",'Daftar Koreksi'!$I$5:$I$92,"&lt;0")</f>
        <v>0</v>
      </c>
      <c r="G372" s="17">
        <f t="shared" si="16"/>
        <v>0</v>
      </c>
      <c r="H372" s="122"/>
    </row>
    <row r="373" spans="1:10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Koreksi'!$D$5:$D$92,'0600'!A356,'Daftar Koreksi'!$G$5:$G$92,"Aset Henti Guna",'Daftar Koreksi'!$I$5:$I$92,"&gt;0")</f>
        <v>0</v>
      </c>
      <c r="F373" s="25">
        <f>SUMIFS('Daftar Koreksi'!$I$5:$I$92,'Daftar Koreksi'!$D$5:$D$92,'0600'!A356,'Daftar Koreksi'!$G$5:$G$92,"Aset Henti Guna",'Daftar Koreksi'!$I$5:$I$92,"&lt;0")-SUMIFS('Daftar Koreksi'!$I$5:$I$92,'Daftar Koreksi'!$D$5:$D$92,'0600'!A356,'Daftar Koreksi'!$G$5:$G$92,"Aset Henti Guna",'Daftar Koreksi'!$I$5:$I$92,"&lt;0")-SUMIFS('Daftar Koreksi'!$I$5:$I$92,'Daftar Koreksi'!$D$5:$D$92,'0600'!A356,'Daftar Koreksi'!$G$5:$G$92,"Aset Henti Guna",'Daftar Koreksi'!$I$5:$I$92,"&lt;0")</f>
        <v>0</v>
      </c>
      <c r="G373" s="17">
        <f t="shared" si="16"/>
        <v>0</v>
      </c>
      <c r="H373" s="122"/>
    </row>
    <row r="374" spans="1:10" ht="21.95" customHeight="1">
      <c r="A374" s="14"/>
      <c r="B374" s="14"/>
      <c r="C374" s="18" t="s">
        <v>2094</v>
      </c>
      <c r="D374" s="19">
        <f>SUM(D369:D373)</f>
        <v>-6261802323</v>
      </c>
      <c r="E374" s="19">
        <f>SUM(E369:E373)</f>
        <v>0</v>
      </c>
      <c r="F374" s="19">
        <f>SUM(F369:F373)</f>
        <v>0</v>
      </c>
      <c r="G374" s="19">
        <f t="shared" si="16"/>
        <v>-6261802323</v>
      </c>
      <c r="H374" s="122"/>
    </row>
    <row r="375" spans="1:10" ht="21.95" customHeight="1">
      <c r="A375" s="14"/>
      <c r="B375" s="14"/>
      <c r="C375" s="18" t="s">
        <v>2095</v>
      </c>
      <c r="D375" s="19">
        <f>VLOOKUP(A356,'Neraca Unaudited SIMAK'!$A$2:$S$10004,18,FALSE)</f>
        <v>3722854117</v>
      </c>
      <c r="E375" s="19">
        <f>E374+E368</f>
        <v>0</v>
      </c>
      <c r="F375" s="19">
        <f>F374+F368</f>
        <v>0</v>
      </c>
      <c r="G375" s="19">
        <f t="shared" si="16"/>
        <v>3722854117</v>
      </c>
      <c r="H375" s="122"/>
    </row>
    <row r="376" spans="1:10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10" ht="19.5" customHeight="1">
      <c r="A378" s="11" t="str">
        <f>O18</f>
        <v>005010600098608000KD</v>
      </c>
      <c r="B378" s="11" t="str">
        <f>P18</f>
        <v>PN. Singkel</v>
      </c>
      <c r="C378" s="12" t="str">
        <f>A378&amp;" "&amp;B378</f>
        <v>005010600098608000KD PN. Singkel</v>
      </c>
      <c r="D378" s="13"/>
      <c r="E378" s="13"/>
      <c r="F378" s="13"/>
      <c r="G378" s="13"/>
      <c r="H378" s="11"/>
    </row>
    <row r="379" spans="1:10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10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10" ht="21.95" customHeight="1">
      <c r="A381" s="14"/>
      <c r="B381" s="14"/>
      <c r="C381" s="16" t="s">
        <v>1165</v>
      </c>
      <c r="D381" s="17">
        <f>VLOOKUP(A378,'Neraca Unaudited SIMAK'!$A$2:$S$10004,3,FALSE)</f>
        <v>5614500</v>
      </c>
      <c r="E381" s="25">
        <f>SUMIFS('Daftar Koreksi'!$H$5:$H$92,'Daftar Koreksi'!$D$5:$D$92,'0600'!A378,'Daftar Koreksi'!$G$5:$G$92,"Persediaan",'Daftar Koreksi'!$H$5:$H$92,"&gt;0")</f>
        <v>0</v>
      </c>
      <c r="F381" s="25">
        <f>SUMIFS('Daftar Koreksi'!$H$5:$H$92,'Daftar Koreksi'!$D$5:$D$92,'0600'!A378,'Daftar Koreksi'!$G$5:$G$92,"Persediaan",'Daftar Koreksi'!$H$5:$H$92,"&lt;0")-SUMIFS('Daftar Koreksi'!$H$5:$H$92,'Daftar Koreksi'!$D$5:$D$92,'0600'!A378,'Daftar Koreksi'!$G$5:$G$92,"Persediaan",'Daftar Koreksi'!$H$5:$H$92,"&lt;0")-SUMIFS('Daftar Koreksi'!$H$5:$H$92,'Daftar Koreksi'!$D$5:$D$92,'0600'!A378,'Daftar Koreksi'!$G$5:$G$92,"Persediaan",'Daftar Koreksi'!$H$5:$H$92,"&lt;0")</f>
        <v>0</v>
      </c>
      <c r="G381" s="17">
        <f>D381+E381-F381</f>
        <v>5614500</v>
      </c>
      <c r="H381" s="121" t="str">
        <f>IF(ISNA(VLOOKUP(A378,'Mutasi Neraca'!$A$3:$S$914,19,FALSE)),"-",VLOOKUP(A378,'Mutasi Neraca'!$A$3:$S$914,19,FALSE))</f>
        <v>-</v>
      </c>
      <c r="I381" s="28"/>
      <c r="J381" s="28"/>
    </row>
    <row r="382" spans="1:10" ht="21.95" customHeight="1">
      <c r="A382" s="14"/>
      <c r="B382" s="14"/>
      <c r="C382" s="16" t="s">
        <v>1166</v>
      </c>
      <c r="D382" s="17">
        <f>VLOOKUP(A378,'Neraca Unaudited SIMAK'!$A$2:$S$10004,4,FALSE)</f>
        <v>1410299300</v>
      </c>
      <c r="E382" s="25">
        <f>SUMIFS('Daftar Koreksi'!$H$5:$H$92,'Daftar Koreksi'!$D$5:$D$92,'0600'!A378,'Daftar Koreksi'!$G$5:$G$92,"Tanah",'Daftar Koreksi'!$H$5:$H$92,"&gt;0")</f>
        <v>0</v>
      </c>
      <c r="F382" s="25">
        <f>SUMIFS('Daftar Koreksi'!$H$5:$H$92,'Daftar Koreksi'!$D$5:$D$92,'0600'!A378,'Daftar Koreksi'!$G$5:$G$92,"Tanah",'Daftar Koreksi'!$H$5:$H$92,"&lt;0")-SUMIFS('Daftar Koreksi'!$H$5:$H$92,'Daftar Koreksi'!$D$5:$D$92,'0600'!A378,'Daftar Koreksi'!$G$5:$G$92,"Tanah",'Daftar Koreksi'!$H$5:$H$92,"&lt;0")-SUMIFS('Daftar Koreksi'!$H$5:$H$92,'Daftar Koreksi'!$D$5:$D$92,'0600'!A378,'Daftar Koreksi'!$G$5:$G$92,"Tanah",'Daftar Koreksi'!$H$5:$H$92,"&lt;0")</f>
        <v>0</v>
      </c>
      <c r="G382" s="17">
        <f t="shared" ref="G382:G398" si="17">D382+E382-F382</f>
        <v>1410299300</v>
      </c>
      <c r="H382" s="122"/>
      <c r="I382" s="28"/>
      <c r="J382" s="28"/>
    </row>
    <row r="383" spans="1:10" ht="21.95" customHeight="1">
      <c r="A383" s="14"/>
      <c r="B383" s="14"/>
      <c r="C383" s="16" t="s">
        <v>1167</v>
      </c>
      <c r="D383" s="17">
        <f>VLOOKUP(A378,'Neraca Unaudited SIMAK'!$A$2:$S$10004,5,FALSE)</f>
        <v>1723723728</v>
      </c>
      <c r="E383" s="25">
        <f>SUMIFS('Daftar Koreksi'!$H$5:$H$92,'Daftar Koreksi'!$D$5:$D$92,'0600'!A378,'Daftar Koreksi'!$G$5:$G$92,"Peralatan dan mesin",'Daftar Koreksi'!$H$5:$H$92,"&gt;0")</f>
        <v>0</v>
      </c>
      <c r="F383" s="25">
        <f>SUMIFS('Daftar Koreksi'!$H$5:$H$92,'Daftar Koreksi'!$D$5:$D$92,'0600'!A378,'Daftar Koreksi'!$G$5:$G$92,"Peralatan dan mesin",'Daftar Koreksi'!$H$5:$H$92,"&lt;0")-SUMIFS('Daftar Koreksi'!$H$5:$H$92,'Daftar Koreksi'!$D$5:$D$92,'0600'!A378,'Daftar Koreksi'!$G$5:$G$92,"Peralatan dan mesin",'Daftar Koreksi'!$H$5:$H$92,"&lt;0")-SUMIFS('Daftar Koreksi'!$H$5:$H$92,'Daftar Koreksi'!$D$5:$D$92,'0600'!A378,'Daftar Koreksi'!$G$5:$G$92,"Peralatan dan mesin",'Daftar Koreksi'!$H$5:$H$92,"&lt;0")</f>
        <v>0</v>
      </c>
      <c r="G383" s="17">
        <f t="shared" si="17"/>
        <v>1723723728</v>
      </c>
      <c r="H383" s="122"/>
      <c r="I383" s="28"/>
      <c r="J383" s="28"/>
    </row>
    <row r="384" spans="1:10" ht="21.95" customHeight="1">
      <c r="A384" s="14"/>
      <c r="B384" s="14"/>
      <c r="C384" s="16" t="s">
        <v>1168</v>
      </c>
      <c r="D384" s="17">
        <f>VLOOKUP(A378,'Neraca Unaudited SIMAK'!$A$2:$S$10004,6,FALSE)</f>
        <v>4145741300</v>
      </c>
      <c r="E384" s="25">
        <f>SUMIFS('Daftar Koreksi'!$H$5:$H$92,'Daftar Koreksi'!$D$5:$D$92,'0600'!A378,'Daftar Koreksi'!$G$5:$G$92,"Gedung dan Bangunan",'Daftar Koreksi'!$H$5:$H$92,"&gt;0")</f>
        <v>0</v>
      </c>
      <c r="F384" s="25">
        <f>SUMIFS('Daftar Koreksi'!$H$5:$H$92,'Daftar Koreksi'!$D$5:$D$92,'0600'!A378,'Daftar Koreksi'!$G$5:$G$92,"Gedung dan Bangunan",'Daftar Koreksi'!$H$5:$H$92,"&lt;0")-SUMIFS('Daftar Koreksi'!$H$5:$H$92,'Daftar Koreksi'!$D$5:$D$92,'0600'!A378,'Daftar Koreksi'!$G$5:$G$92,"Gedung dan Bangunan",'Daftar Koreksi'!$H$5:$H$92,"&lt;0")-SUMIFS('Daftar Koreksi'!$H$5:$H$92,'Daftar Koreksi'!$D$5:$D$92,'0600'!A378,'Daftar Koreksi'!$G$5:$G$92,"Gedung dan Bangunan",'Daftar Koreksi'!$H$5:$H$92,"&lt;0")</f>
        <v>0</v>
      </c>
      <c r="G384" s="17">
        <f t="shared" si="17"/>
        <v>4145741300</v>
      </c>
      <c r="H384" s="122"/>
      <c r="I384" s="28"/>
      <c r="J384" s="28"/>
    </row>
    <row r="385" spans="1:10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Koreksi'!$D$5:$D$92,'0600'!A378,'Daftar Koreksi'!$G$5:$G$92,"Jalan Irigasi Jaringan",'Daftar Koreksi'!$H$5:$H$92,"&gt;0")</f>
        <v>0</v>
      </c>
      <c r="F385" s="25">
        <f>SUMIFS('Daftar Koreksi'!$H$5:$H$92,'Daftar Koreksi'!$D$5:$D$92,'0600'!A378,'Daftar Koreksi'!$G$5:$G$92,"Jalan Irigasi Jaringan",'Daftar Koreksi'!$H$5:$H$92,"&lt;0")-SUMIFS('Daftar Koreksi'!$H$5:$H$92,'Daftar Koreksi'!$D$5:$D$92,'0600'!A378,'Daftar Koreksi'!$G$5:$G$92,"Jalan Irigasi Jaringan",'Daftar Koreksi'!$H$5:$H$92,"&lt;0")-SUMIFS('Daftar Koreksi'!$H$5:$H$92,'Daftar Koreksi'!$D$5:$D$92,'0600'!A378,'Daftar Koreksi'!$G$5:$G$92,"Jalan Irigasi Jaringan",'Daftar Koreksi'!$H$5:$H$92,"&lt;0")</f>
        <v>0</v>
      </c>
      <c r="G385" s="17">
        <f t="shared" si="17"/>
        <v>0</v>
      </c>
      <c r="H385" s="122"/>
      <c r="I385" s="28"/>
      <c r="J385" s="28"/>
    </row>
    <row r="386" spans="1:10" ht="21.95" customHeight="1">
      <c r="A386" s="14"/>
      <c r="B386" s="14"/>
      <c r="C386" s="16" t="s">
        <v>1170</v>
      </c>
      <c r="D386" s="17">
        <f>VLOOKUP(A378,'Neraca Unaudited SIMAK'!$A$2:$S$10004,8,FALSE)</f>
        <v>1943440</v>
      </c>
      <c r="E386" s="25">
        <f>SUMIFS('Daftar Koreksi'!$H$5:$H$92,'Daftar Koreksi'!$D$5:$D$92,'0600'!A378,'Daftar Koreksi'!$G$5:$G$92,"Aset Tetap Lainnya",'Daftar Koreksi'!$H$5:$H$92,"&gt;0")</f>
        <v>0</v>
      </c>
      <c r="F386" s="25">
        <f>SUMIFS('Daftar Koreksi'!$H$5:$H$92,'Daftar Koreksi'!$D$5:$D$92,'0600'!A378,'Daftar Koreksi'!$G$5:$G$92,"Aset Tetap Lainnya",'Daftar Koreksi'!$H$5:$H$92,"&lt;0")-SUMIFS('Daftar Koreksi'!$H$5:$H$92,'Daftar Koreksi'!$D$5:$D$92,'0600'!A378,'Daftar Koreksi'!$G$5:$G$92,"Aset Tetap Lainnya",'Daftar Koreksi'!$H$5:$H$92,"&lt;0")-SUMIFS('Daftar Koreksi'!$H$5:$H$92,'Daftar Koreksi'!$D$5:$D$92,'0600'!A378,'Daftar Koreksi'!$G$5:$G$92,"Aset Tetap Lainnya",'Daftar Koreksi'!$H$5:$H$92,"&lt;0")</f>
        <v>0</v>
      </c>
      <c r="G386" s="17">
        <f t="shared" si="17"/>
        <v>1943440</v>
      </c>
      <c r="H386" s="122"/>
      <c r="I386" s="28"/>
      <c r="J386" s="28"/>
    </row>
    <row r="387" spans="1:10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Koreksi'!$D$5:$D$92,'0600'!A378,'Daftar Koreksi'!$G$5:$G$92,"Kontruksi Dalam Pengerjaan",'Daftar Koreksi'!$H$5:$H$92,"&gt;0")</f>
        <v>0</v>
      </c>
      <c r="F387" s="25">
        <f>SUMIFS('Daftar Koreksi'!$H$5:$H$92,'Daftar Koreksi'!$D$5:$D$92,'0600'!A378,'Daftar Koreksi'!$G$5:$G$92,"Kontruksi Dalam Pengerjaan",'Daftar Koreksi'!$H$5:$H$92,"&lt;0")-SUMIFS('Daftar Koreksi'!$H$5:$H$92,'Daftar Koreksi'!$D$5:$D$92,'0600'!A378,'Daftar Koreksi'!$G$5:$G$92,"Kontruksi Dalam Pengerjaan",'Daftar Koreksi'!$H$5:$H$92,"&lt;0")-SUMIFS('Daftar Koreksi'!$H$5:$H$92,'Daftar Koreksi'!$D$5:$D$92,'0600'!A378,'Daftar Koreksi'!$G$5:$G$92,"Kontruksi Dalam Pengerjaan",'Daftar Koreksi'!$H$5:$H$92,"&lt;0")</f>
        <v>0</v>
      </c>
      <c r="G387" s="17">
        <f t="shared" si="17"/>
        <v>0</v>
      </c>
      <c r="H387" s="122"/>
      <c r="I387" s="28"/>
      <c r="J387" s="28"/>
    </row>
    <row r="388" spans="1:10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Koreksi'!$D$5:$D$92,'0600'!A378,'Daftar Koreksi'!$G$5:$G$92,"Aset Tak Berwujud",'Daftar Koreksi'!$H$5:$H$92,"&gt;0")</f>
        <v>0</v>
      </c>
      <c r="F388" s="25">
        <f>SUMIFS('Daftar Koreksi'!$H$5:$H$92,'Daftar Koreksi'!$D$5:$D$92,'0600'!A378,'Daftar Koreksi'!$G$5:$G$92,"Aset Tak Berwujud",'Daftar Koreksi'!$H$5:$H$92,"&lt;0")-SUMIFS('Daftar Koreksi'!$H$5:$H$92,'Daftar Koreksi'!$D$5:$D$92,'0600'!A378,'Daftar Koreksi'!$G$5:$G$92,"Aset Tak Berwujud",'Daftar Koreksi'!$H$5:$H$92,"&lt;0")-SUMIFS('Daftar Koreksi'!$H$5:$H$92,'Daftar Koreksi'!$D$5:$D$92,'0600'!A378,'Daftar Koreksi'!$G$5:$G$92,"Aset Tak Berwujud",'Daftar Koreksi'!$H$5:$H$92,"&lt;0")</f>
        <v>0</v>
      </c>
      <c r="G388" s="17">
        <f t="shared" si="17"/>
        <v>0</v>
      </c>
      <c r="H388" s="122"/>
      <c r="I388" s="28"/>
      <c r="J388" s="28"/>
    </row>
    <row r="389" spans="1:10" ht="21.95" customHeight="1">
      <c r="A389" s="14"/>
      <c r="B389" s="14"/>
      <c r="C389" s="16" t="s">
        <v>1173</v>
      </c>
      <c r="D389" s="17">
        <f>VLOOKUP(A378,'Neraca Unaudited SIMAK'!$A$2:$S$10004,11,FALSE)</f>
        <v>300626211</v>
      </c>
      <c r="E389" s="25">
        <f>SUMIFS('Daftar Koreksi'!$H$5:$H$92,'Daftar Koreksi'!$D$5:$D$92,'0600'!A378,'Daftar Koreksi'!$G$5:$G$92,"Aset Henti Guna",'Daftar Koreksi'!$H$5:$H$92,"&gt;0")</f>
        <v>0</v>
      </c>
      <c r="F389" s="25">
        <f>SUMIFS('Daftar Koreksi'!$H$5:$H$92,'Daftar Koreksi'!$D$5:$D$92,'0600'!A378,'Daftar Koreksi'!$G$5:$G$92,"Aset Henti Guna",'Daftar Koreksi'!$H$5:$H$92,"&lt;0")-SUMIFS('Daftar Koreksi'!$H$5:$H$92,'Daftar Koreksi'!$D$5:$D$92,'0600'!A378,'Daftar Koreksi'!$G$5:$G$92,"Aset Henti Guna",'Daftar Koreksi'!$H$5:$H$92,"&lt;0")-SUMIFS('Daftar Koreksi'!$H$5:$H$92,'Daftar Koreksi'!$D$5:$D$92,'0600'!A378,'Daftar Koreksi'!$G$5:$G$92,"Aset Henti Guna",'Daftar Koreksi'!$H$5:$H$92,"&lt;0")</f>
        <v>0</v>
      </c>
      <c r="G389" s="17">
        <f t="shared" si="17"/>
        <v>300626211</v>
      </c>
      <c r="H389" s="122"/>
      <c r="I389" s="28"/>
      <c r="J389" s="28"/>
    </row>
    <row r="390" spans="1:10" ht="21.95" customHeight="1">
      <c r="A390" s="14"/>
      <c r="B390" s="14"/>
      <c r="C390" s="18" t="s">
        <v>2093</v>
      </c>
      <c r="D390" s="19">
        <f>VLOOKUP(A378,'Neraca Unaudited SIMAK'!$A$2:$S$10004,12,FALSE)</f>
        <v>7587948479</v>
      </c>
      <c r="E390" s="19">
        <f>SUM(E381:E389)</f>
        <v>0</v>
      </c>
      <c r="F390" s="19">
        <f>SUM(F381:F389)</f>
        <v>0</v>
      </c>
      <c r="G390" s="19">
        <f t="shared" si="17"/>
        <v>7587948479</v>
      </c>
      <c r="H390" s="122"/>
      <c r="I390" s="28"/>
      <c r="J390" s="28"/>
    </row>
    <row r="391" spans="1:10" ht="21.95" customHeight="1">
      <c r="A391" s="14"/>
      <c r="B391" s="14"/>
      <c r="C391" s="16" t="s">
        <v>2087</v>
      </c>
      <c r="D391" s="17">
        <f>VLOOKUP(A378,'Neraca Unaudited SIMAK'!$A$2:$S$10004,13,FALSE)</f>
        <v>-1453031798</v>
      </c>
      <c r="E391" s="25">
        <f>SUMIFS('Daftar Koreksi'!$I$5:$I$92,'Daftar Koreksi'!$D$5:$D$92,'0600'!A378,'Daftar Koreksi'!$G$5:$G$92,"Peralatan dan mesin",'Daftar Koreksi'!$I$5:$I$92,"&gt;0")</f>
        <v>0</v>
      </c>
      <c r="F391" s="25">
        <f>SUMIFS('Daftar Koreksi'!$I$5:$I$92,'Daftar Koreksi'!$D$5:$D$92,'0600'!A378,'Daftar Koreksi'!$G$5:$G$92,"Peralatan dan mesin",'Daftar Koreksi'!$I$5:$I$92,"&lt;0")-SUMIFS('Daftar Koreksi'!$I$5:$I$92,'Daftar Koreksi'!$D$5:$D$92,'0600'!A378,'Daftar Koreksi'!$G$5:$G$92,"Peralatan dan mesin",'Daftar Koreksi'!$I$5:$I$92,"&lt;0")-SUMIFS('Daftar Koreksi'!$I$5:$I$92,'Daftar Koreksi'!$D$5:$D$92,'0600'!A378,'Daftar Koreksi'!$G$5:$G$92,"Peralatan dan mesin",'Daftar Koreksi'!$I$5:$I$92,"&lt;0")</f>
        <v>0</v>
      </c>
      <c r="G391" s="17">
        <f t="shared" si="17"/>
        <v>-1453031798</v>
      </c>
      <c r="H391" s="122"/>
      <c r="I391" s="28"/>
      <c r="J391" s="28"/>
    </row>
    <row r="392" spans="1:10" ht="21.95" customHeight="1">
      <c r="A392" s="14"/>
      <c r="B392" s="14"/>
      <c r="C392" s="16" t="s">
        <v>2088</v>
      </c>
      <c r="D392" s="17">
        <f>VLOOKUP(A378,'Neraca Unaudited SIMAK'!$A$2:$S$10004,14,FALSE)</f>
        <v>-387978435</v>
      </c>
      <c r="E392" s="25">
        <f>SUMIFS('Daftar Koreksi'!$I$5:$I$92,'Daftar Koreksi'!$D$5:$D$92,'0600'!A378,'Daftar Koreksi'!$G$5:$G$92,"Gedung dan Bangunan",'Daftar Koreksi'!$I$5:$I$92,"&gt;0")</f>
        <v>0</v>
      </c>
      <c r="F392" s="25">
        <f>SUMIFS('Daftar Koreksi'!$I$5:$I$92,'Daftar Koreksi'!$D$5:$D$92,'0600'!A378,'Daftar Koreksi'!$G$5:$G$92,"Gedung dan Bangunan",'Daftar Koreksi'!$I$5:$I$92,"&lt;0")-SUMIFS('Daftar Koreksi'!$I$5:$I$92,'Daftar Koreksi'!$D$5:$D$92,'0600'!A378,'Daftar Koreksi'!$G$5:$G$92,"Gedung dan Bangunan",'Daftar Koreksi'!$I$5:$I$92,"&lt;0")-SUMIFS('Daftar Koreksi'!$I$5:$I$92,'Daftar Koreksi'!$D$5:$D$92,'0600'!A378,'Daftar Koreksi'!$G$5:$G$92,"Gedung dan Bangunan",'Daftar Koreksi'!$I$5:$I$92,"&lt;0")</f>
        <v>0</v>
      </c>
      <c r="G392" s="17">
        <f t="shared" si="17"/>
        <v>-387978435</v>
      </c>
      <c r="H392" s="122"/>
      <c r="I392" s="28"/>
      <c r="J392" s="28"/>
    </row>
    <row r="393" spans="1:10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Koreksi'!$D$5:$D$92,'0600'!A378,'Daftar Koreksi'!$G$5:$G$92,"Jalan Irigasi Jaringan",'Daftar Koreksi'!$I$5:$I$92,"&gt;0")</f>
        <v>0</v>
      </c>
      <c r="F393" s="25">
        <f>SUMIFS('Daftar Koreksi'!$I$5:$I$92,'Daftar Koreksi'!$D$5:$D$92,'0600'!A378,'Daftar Koreksi'!$G$5:$G$92,"Jalan Irigasi Jaringan",'Daftar Koreksi'!$I$5:$I$92,"&lt;0")-SUMIFS('Daftar Koreksi'!$I$5:$I$92,'Daftar Koreksi'!$D$5:$D$92,'0600'!A378,'Daftar Koreksi'!$G$5:$G$92,"Jalan Irigasi Jaringan",'Daftar Koreksi'!$I$5:$I$92,"&lt;0")-SUMIFS('Daftar Koreksi'!$I$5:$I$92,'Daftar Koreksi'!$D$5:$D$92,'0600'!A378,'Daftar Koreksi'!$G$5:$G$92,"Jalan Irigasi Jaringan",'Daftar Koreksi'!$I$5:$I$92,"&lt;0")</f>
        <v>0</v>
      </c>
      <c r="G393" s="17">
        <f t="shared" si="17"/>
        <v>0</v>
      </c>
      <c r="H393" s="122"/>
      <c r="I393" s="28"/>
      <c r="J393" s="28"/>
    </row>
    <row r="394" spans="1:10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Koreksi'!$D$5:$D$92,'0600'!A378,'Daftar Koreksi'!$G$5:$G$92,"Aset Tetap Lainnya",'Daftar Koreksi'!$I$5:$I$92,"&gt;0")</f>
        <v>0</v>
      </c>
      <c r="F394" s="25">
        <f>SUMIFS('Daftar Koreksi'!$I$5:$I$92,'Daftar Koreksi'!$D$5:$D$92,'0600'!A378,'Daftar Koreksi'!$G$5:$G$92,"Aset Tetap Lainnya",'Daftar Koreksi'!$I$5:$I$92,"&lt;0")-SUMIFS('Daftar Koreksi'!$I$5:$I$92,'Daftar Koreksi'!$D$5:$D$92,'0600'!A378,'Daftar Koreksi'!$G$5:$G$92,"Aset Tetap Lainnya",'Daftar Koreksi'!$I$5:$I$92,"&lt;0")-SUMIFS('Daftar Koreksi'!$I$5:$I$92,'Daftar Koreksi'!$D$5:$D$92,'0600'!A378,'Daftar Koreksi'!$G$5:$G$92,"Aset Tetap Lainnya",'Daftar Koreksi'!$I$5:$I$92,"&lt;0")</f>
        <v>0</v>
      </c>
      <c r="G394" s="17">
        <f t="shared" si="17"/>
        <v>0</v>
      </c>
      <c r="H394" s="122"/>
      <c r="I394" s="28"/>
      <c r="J394" s="28"/>
    </row>
    <row r="395" spans="1:10" ht="21.95" customHeight="1">
      <c r="A395" s="14"/>
      <c r="B395" s="14"/>
      <c r="C395" s="16" t="s">
        <v>2020</v>
      </c>
      <c r="D395" s="17">
        <f>VLOOKUP(A378,'Neraca Unaudited SIMAK'!$A$2:$S$10004,17,FALSE)</f>
        <v>-218344547</v>
      </c>
      <c r="E395" s="25">
        <f>SUMIFS('Daftar Koreksi'!$I$5:$I$92,'Daftar Koreksi'!$D$5:$D$92,'0600'!A378,'Daftar Koreksi'!$G$5:$G$92,"Aset Henti Guna",'Daftar Koreksi'!$I$5:$I$92,"&gt;0")</f>
        <v>0</v>
      </c>
      <c r="F395" s="25">
        <f>SUMIFS('Daftar Koreksi'!$I$5:$I$92,'Daftar Koreksi'!$D$5:$D$92,'0600'!A378,'Daftar Koreksi'!$G$5:$G$92,"Aset Henti Guna",'Daftar Koreksi'!$I$5:$I$92,"&lt;0")-SUMIFS('Daftar Koreksi'!$I$5:$I$92,'Daftar Koreksi'!$D$5:$D$92,'0600'!A378,'Daftar Koreksi'!$G$5:$G$92,"Aset Henti Guna",'Daftar Koreksi'!$I$5:$I$92,"&lt;0")-SUMIFS('Daftar Koreksi'!$I$5:$I$92,'Daftar Koreksi'!$D$5:$D$92,'0600'!A378,'Daftar Koreksi'!$G$5:$G$92,"Aset Henti Guna",'Daftar Koreksi'!$I$5:$I$92,"&lt;0")</f>
        <v>0</v>
      </c>
      <c r="G395" s="17">
        <f t="shared" si="17"/>
        <v>-218344547</v>
      </c>
      <c r="H395" s="122"/>
      <c r="I395" s="28"/>
      <c r="J395" s="28"/>
    </row>
    <row r="396" spans="1:10" ht="21.95" customHeight="1">
      <c r="A396" s="14"/>
      <c r="B396" s="14"/>
      <c r="C396" s="18" t="s">
        <v>2094</v>
      </c>
      <c r="D396" s="19">
        <f>SUM(D391:D395)</f>
        <v>-2059354780</v>
      </c>
      <c r="E396" s="19">
        <f>SUM(E391:E395)</f>
        <v>0</v>
      </c>
      <c r="F396" s="19">
        <f>SUM(F391:F395)</f>
        <v>0</v>
      </c>
      <c r="G396" s="19">
        <f t="shared" si="17"/>
        <v>-2059354780</v>
      </c>
      <c r="H396" s="122"/>
      <c r="I396" s="28"/>
      <c r="J396" s="28"/>
    </row>
    <row r="397" spans="1:10" ht="21.95" customHeight="1">
      <c r="A397" s="14"/>
      <c r="B397" s="14"/>
      <c r="C397" s="18" t="s">
        <v>2095</v>
      </c>
      <c r="D397" s="19">
        <f>VLOOKUP(A378,'Neraca Unaudited SIMAK'!$A$2:$S$10004,18,FALSE)</f>
        <v>5528593699</v>
      </c>
      <c r="E397" s="19">
        <f>E396+E390</f>
        <v>0</v>
      </c>
      <c r="F397" s="19">
        <f>F396+F390</f>
        <v>0</v>
      </c>
      <c r="G397" s="19">
        <f t="shared" si="17"/>
        <v>5528593699</v>
      </c>
      <c r="H397" s="122"/>
      <c r="I397" s="28"/>
      <c r="J397" s="28"/>
    </row>
    <row r="398" spans="1:10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  <c r="I398" s="28"/>
      <c r="J398" s="28"/>
    </row>
    <row r="400" spans="1:10" ht="19.5" customHeight="1">
      <c r="A400" s="11" t="str">
        <f>O19</f>
        <v>005010600400415000KD</v>
      </c>
      <c r="B400" s="11" t="str">
        <f>P19</f>
        <v>PN. Janthoi</v>
      </c>
      <c r="C400" s="12" t="str">
        <f>A400&amp;" "&amp;B400</f>
        <v>005010600400415000KD PN. Janthoi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0</v>
      </c>
      <c r="E403" s="25">
        <f>SUMIFS('Daftar Koreksi'!$H$5:$H$92,'Daftar Koreksi'!$D$5:$D$92,'0600'!A400,'Daftar Koreksi'!$G$5:$G$92,"Persediaan",'Daftar Koreksi'!$H$5:$H$92,"&gt;0")</f>
        <v>0</v>
      </c>
      <c r="F403" s="25">
        <f>SUMIFS('Daftar Koreksi'!$H$5:$H$92,'Daftar Koreksi'!$D$5:$D$92,'0600'!A400,'Daftar Koreksi'!$G$5:$G$92,"Persediaan",'Daftar Koreksi'!$H$5:$H$92,"&lt;0")-SUMIFS('Daftar Koreksi'!$H$5:$H$92,'Daftar Koreksi'!$D$5:$D$92,'0600'!A400,'Daftar Koreksi'!$G$5:$G$92,"Persediaan",'Daftar Koreksi'!$H$5:$H$92,"&lt;0")-SUMIFS('Daftar Koreksi'!$H$5:$H$92,'Daftar Koreksi'!$D$5:$D$92,'0600'!A400,'Daftar Koreksi'!$G$5:$G$92,"Persediaan",'Daftar Koreksi'!$H$5:$H$92,"&lt;0")</f>
        <v>0</v>
      </c>
      <c r="G403" s="17">
        <f>D403+E403-F403</f>
        <v>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1194505140</v>
      </c>
      <c r="E404" s="25">
        <f>SUMIFS('Daftar Koreksi'!$H$5:$H$92,'Daftar Koreksi'!$D$5:$D$92,'0600'!A400,'Daftar Koreksi'!$G$5:$G$92,"Tanah",'Daftar Koreksi'!$H$5:$H$92,"&gt;0")</f>
        <v>0</v>
      </c>
      <c r="F404" s="25">
        <f>SUMIFS('Daftar Koreksi'!$H$5:$H$92,'Daftar Koreksi'!$D$5:$D$92,'0600'!A400,'Daftar Koreksi'!$G$5:$G$92,"Tanah",'Daftar Koreksi'!$H$5:$H$92,"&lt;0")-SUMIFS('Daftar Koreksi'!$H$5:$H$92,'Daftar Koreksi'!$D$5:$D$92,'0600'!A400,'Daftar Koreksi'!$G$5:$G$92,"Tanah",'Daftar Koreksi'!$H$5:$H$92,"&lt;0")-SUMIFS('Daftar Koreksi'!$H$5:$H$92,'Daftar Koreksi'!$D$5:$D$92,'0600'!A400,'Daftar Koreksi'!$G$5:$G$92,"Tanah",'Daftar Koreksi'!$H$5:$H$92,"&lt;0")</f>
        <v>0</v>
      </c>
      <c r="G404" s="17">
        <f t="shared" ref="G404:G420" si="18">D404+E404-F404</f>
        <v>1194505140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1335761806</v>
      </c>
      <c r="E405" s="25">
        <f>SUMIFS('Daftar Koreksi'!$H$5:$H$92,'Daftar Koreksi'!$D$5:$D$92,'0600'!A400,'Daftar Koreksi'!$G$5:$G$92,"Peralatan dan mesin",'Daftar Koreksi'!$H$5:$H$92,"&gt;0")</f>
        <v>0</v>
      </c>
      <c r="F405" s="25">
        <f>SUMIFS('Daftar Koreksi'!$H$5:$H$92,'Daftar Koreksi'!$D$5:$D$92,'0600'!A400,'Daftar Koreksi'!$G$5:$G$92,"Peralatan dan mesin",'Daftar Koreksi'!$H$5:$H$92,"&lt;0")-SUMIFS('Daftar Koreksi'!$H$5:$H$92,'Daftar Koreksi'!$D$5:$D$92,'0600'!A400,'Daftar Koreksi'!$G$5:$G$92,"Peralatan dan mesin",'Daftar Koreksi'!$H$5:$H$92,"&lt;0")-SUMIFS('Daftar Koreksi'!$H$5:$H$92,'Daftar Koreksi'!$D$5:$D$92,'0600'!A400,'Daftar Koreksi'!$G$5:$G$92,"Peralatan dan mesin",'Daftar Koreksi'!$H$5:$H$92,"&lt;0")</f>
        <v>0</v>
      </c>
      <c r="G405" s="17">
        <f t="shared" si="18"/>
        <v>1335761806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4625491338</v>
      </c>
      <c r="E406" s="25">
        <f>SUMIFS('Daftar Koreksi'!$H$5:$H$92,'Daftar Koreksi'!$D$5:$D$92,'0600'!A400,'Daftar Koreksi'!$G$5:$G$92,"Gedung dan Bangunan",'Daftar Koreksi'!$H$5:$H$92,"&gt;0")</f>
        <v>0</v>
      </c>
      <c r="F406" s="25">
        <f>SUMIFS('Daftar Koreksi'!$H$5:$H$92,'Daftar Koreksi'!$D$5:$D$92,'0600'!A400,'Daftar Koreksi'!$G$5:$G$92,"Gedung dan Bangunan",'Daftar Koreksi'!$H$5:$H$92,"&lt;0")-SUMIFS('Daftar Koreksi'!$H$5:$H$92,'Daftar Koreksi'!$D$5:$D$92,'0600'!A400,'Daftar Koreksi'!$G$5:$G$92,"Gedung dan Bangunan",'Daftar Koreksi'!$H$5:$H$92,"&lt;0")-SUMIFS('Daftar Koreksi'!$H$5:$H$92,'Daftar Koreksi'!$D$5:$D$92,'0600'!A400,'Daftar Koreksi'!$G$5:$G$92,"Gedung dan Bangunan",'Daftar Koreksi'!$H$5:$H$92,"&lt;0")</f>
        <v>0</v>
      </c>
      <c r="G406" s="17">
        <f t="shared" si="18"/>
        <v>4625491338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0</v>
      </c>
      <c r="E407" s="25">
        <f>SUMIFS('Daftar Koreksi'!$H$5:$H$92,'Daftar Koreksi'!$D$5:$D$92,'0600'!A400,'Daftar Koreksi'!$G$5:$G$92,"Jalan Irigasi Jaringan",'Daftar Koreksi'!$H$5:$H$92,"&gt;0")</f>
        <v>0</v>
      </c>
      <c r="F407" s="25">
        <f>SUMIFS('Daftar Koreksi'!$H$5:$H$92,'Daftar Koreksi'!$D$5:$D$92,'0600'!A400,'Daftar Koreksi'!$G$5:$G$92,"Jalan Irigasi Jaringan",'Daftar Koreksi'!$H$5:$H$92,"&lt;0")-SUMIFS('Daftar Koreksi'!$H$5:$H$92,'Daftar Koreksi'!$D$5:$D$92,'0600'!A400,'Daftar Koreksi'!$G$5:$G$92,"Jalan Irigasi Jaringan",'Daftar Koreksi'!$H$5:$H$92,"&lt;0")-SUMIFS('Daftar Koreksi'!$H$5:$H$92,'Daftar Koreksi'!$D$5:$D$92,'0600'!A400,'Daftar Koreksi'!$G$5:$G$92,"Jalan Irigasi Jaringan",'Daftar Koreksi'!$H$5:$H$92,"&lt;0")</f>
        <v>0</v>
      </c>
      <c r="G407" s="17">
        <f t="shared" si="18"/>
        <v>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8943440</v>
      </c>
      <c r="E408" s="25">
        <f>SUMIFS('Daftar Koreksi'!$H$5:$H$92,'Daftar Koreksi'!$D$5:$D$92,'0600'!A400,'Daftar Koreksi'!$G$5:$G$92,"Aset Tetap Lainnya",'Daftar Koreksi'!$H$5:$H$92,"&gt;0")</f>
        <v>0</v>
      </c>
      <c r="F408" s="25">
        <f>SUMIFS('Daftar Koreksi'!$H$5:$H$92,'Daftar Koreksi'!$D$5:$D$92,'0600'!A400,'Daftar Koreksi'!$G$5:$G$92,"Aset Tetap Lainnya",'Daftar Koreksi'!$H$5:$H$92,"&lt;0")-SUMIFS('Daftar Koreksi'!$H$5:$H$92,'Daftar Koreksi'!$D$5:$D$92,'0600'!A400,'Daftar Koreksi'!$G$5:$G$92,"Aset Tetap Lainnya",'Daftar Koreksi'!$H$5:$H$92,"&lt;0")-SUMIFS('Daftar Koreksi'!$H$5:$H$92,'Daftar Koreksi'!$D$5:$D$92,'0600'!A400,'Daftar Koreksi'!$G$5:$G$92,"Aset Tetap Lainnya",'Daftar Koreksi'!$H$5:$H$92,"&lt;0")</f>
        <v>0</v>
      </c>
      <c r="G408" s="17">
        <f t="shared" si="18"/>
        <v>8943440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Koreksi'!$D$5:$D$92,'0600'!A400,'Daftar Koreksi'!$G$5:$G$92,"Kontruksi Dalam Pengerjaan",'Daftar Koreksi'!$H$5:$H$92,"&gt;0")</f>
        <v>0</v>
      </c>
      <c r="F409" s="25">
        <f>SUMIFS('Daftar Koreksi'!$H$5:$H$92,'Daftar Koreksi'!$D$5:$D$92,'0600'!A400,'Daftar Koreksi'!$G$5:$G$92,"Kontruksi Dalam Pengerjaan",'Daftar Koreksi'!$H$5:$H$92,"&lt;0")-SUMIFS('Daftar Koreksi'!$H$5:$H$92,'Daftar Koreksi'!$D$5:$D$92,'0600'!A400,'Daftar Koreksi'!$G$5:$G$92,"Kontruksi Dalam Pengerjaan",'Daftar Koreksi'!$H$5:$H$92,"&lt;0")-SUMIFS('Daftar Koreksi'!$H$5:$H$92,'Daftar Koreksi'!$D$5:$D$92,'0600'!A400,'Daftar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Koreksi'!$D$5:$D$92,'0600'!A400,'Daftar Koreksi'!$G$5:$G$92,"Aset Tak Berwujud",'Daftar Koreksi'!$H$5:$H$92,"&gt;0")</f>
        <v>0</v>
      </c>
      <c r="F410" s="25">
        <f>SUMIFS('Daftar Koreksi'!$H$5:$H$92,'Daftar Koreksi'!$D$5:$D$92,'0600'!A400,'Daftar Koreksi'!$G$5:$G$92,"Aset Tak Berwujud",'Daftar Koreksi'!$H$5:$H$92,"&lt;0")-SUMIFS('Daftar Koreksi'!$H$5:$H$92,'Daftar Koreksi'!$D$5:$D$92,'0600'!A400,'Daftar Koreksi'!$G$5:$G$92,"Aset Tak Berwujud",'Daftar Koreksi'!$H$5:$H$92,"&lt;0")-SUMIFS('Daftar Koreksi'!$H$5:$H$92,'Daftar Koreksi'!$D$5:$D$92,'0600'!A400,'Daftar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1790000</v>
      </c>
      <c r="E411" s="25">
        <f>SUMIFS('Daftar Koreksi'!$H$5:$H$92,'Daftar Koreksi'!$D$5:$D$92,'0600'!A400,'Daftar Koreksi'!$G$5:$G$92,"Aset Henti Guna",'Daftar Koreksi'!$H$5:$H$92,"&gt;0")</f>
        <v>0</v>
      </c>
      <c r="F411" s="25">
        <f>SUMIFS('Daftar Koreksi'!$H$5:$H$92,'Daftar Koreksi'!$D$5:$D$92,'0600'!A400,'Daftar Koreksi'!$G$5:$G$92,"Aset Henti Guna",'Daftar Koreksi'!$H$5:$H$92,"&lt;0")-SUMIFS('Daftar Koreksi'!$H$5:$H$92,'Daftar Koreksi'!$D$5:$D$92,'0600'!A400,'Daftar Koreksi'!$G$5:$G$92,"Aset Henti Guna",'Daftar Koreksi'!$H$5:$H$92,"&lt;0")-SUMIFS('Daftar Koreksi'!$H$5:$H$92,'Daftar Koreksi'!$D$5:$D$92,'0600'!A400,'Daftar Koreksi'!$G$5:$G$92,"Aset Henti Guna",'Daftar Koreksi'!$H$5:$H$92,"&lt;0")</f>
        <v>0</v>
      </c>
      <c r="G411" s="17">
        <f t="shared" si="18"/>
        <v>1790000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7166491724</v>
      </c>
      <c r="E412" s="19">
        <f>SUM(E403:E411)</f>
        <v>0</v>
      </c>
      <c r="F412" s="19">
        <f>SUM(F403:F411)</f>
        <v>0</v>
      </c>
      <c r="G412" s="19">
        <f t="shared" si="18"/>
        <v>7166491724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-1174305378</v>
      </c>
      <c r="E413" s="25">
        <f>SUMIFS('Daftar Koreksi'!$I$5:$I$92,'Daftar Koreksi'!$D$5:$D$92,'0600'!A400,'Daftar Koreksi'!$G$5:$G$92,"Peralatan dan mesin",'Daftar Koreksi'!$I$5:$I$92,"&gt;0")</f>
        <v>0</v>
      </c>
      <c r="F413" s="25">
        <f>SUMIFS('Daftar Koreksi'!$I$5:$I$92,'Daftar Koreksi'!$D$5:$D$92,'0600'!A400,'Daftar Koreksi'!$G$5:$G$92,"Peralatan dan mesin",'Daftar Koreksi'!$I$5:$I$92,"&lt;0")-SUMIFS('Daftar Koreksi'!$I$5:$I$92,'Daftar Koreksi'!$D$5:$D$92,'0600'!A400,'Daftar Koreksi'!$G$5:$G$92,"Peralatan dan mesin",'Daftar Koreksi'!$I$5:$I$92,"&lt;0")-SUMIFS('Daftar Koreksi'!$I$5:$I$92,'Daftar Koreksi'!$D$5:$D$92,'0600'!A400,'Daftar Koreksi'!$G$5:$G$92,"Peralatan dan mesin",'Daftar Koreksi'!$I$5:$I$92,"&lt;0")</f>
        <v>0</v>
      </c>
      <c r="G413" s="17">
        <f t="shared" si="18"/>
        <v>-1174305378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-891868448</v>
      </c>
      <c r="E414" s="25">
        <f>SUMIFS('Daftar Koreksi'!$I$5:$I$92,'Daftar Koreksi'!$D$5:$D$92,'0600'!A400,'Daftar Koreksi'!$G$5:$G$92,"Gedung dan Bangunan",'Daftar Koreksi'!$I$5:$I$92,"&gt;0")</f>
        <v>0</v>
      </c>
      <c r="F414" s="25">
        <f>SUMIFS('Daftar Koreksi'!$I$5:$I$92,'Daftar Koreksi'!$D$5:$D$92,'0600'!A400,'Daftar Koreksi'!$G$5:$G$92,"Gedung dan Bangunan",'Daftar Koreksi'!$I$5:$I$92,"&lt;0")-SUMIFS('Daftar Koreksi'!$I$5:$I$92,'Daftar Koreksi'!$D$5:$D$92,'0600'!A400,'Daftar Koreksi'!$G$5:$G$92,"Gedung dan Bangunan",'Daftar Koreksi'!$I$5:$I$92,"&lt;0")-SUMIFS('Daftar Koreksi'!$I$5:$I$92,'Daftar Koreksi'!$D$5:$D$92,'0600'!A400,'Daftar Koreksi'!$G$5:$G$92,"Gedung dan Bangunan",'Daftar Koreksi'!$I$5:$I$92,"&lt;0")</f>
        <v>0</v>
      </c>
      <c r="G414" s="17">
        <f t="shared" si="18"/>
        <v>-891868448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0</v>
      </c>
      <c r="E415" s="25">
        <f>SUMIFS('Daftar Koreksi'!$I$5:$I$92,'Daftar Koreksi'!$D$5:$D$92,'0600'!A400,'Daftar Koreksi'!$G$5:$G$92,"Jalan Irigasi Jaringan",'Daftar Koreksi'!$I$5:$I$92,"&gt;0")</f>
        <v>0</v>
      </c>
      <c r="F415" s="25">
        <f>SUMIFS('Daftar Koreksi'!$I$5:$I$92,'Daftar Koreksi'!$D$5:$D$92,'0600'!A400,'Daftar Koreksi'!$G$5:$G$92,"Jalan Irigasi Jaringan",'Daftar Koreksi'!$I$5:$I$92,"&lt;0")-SUMIFS('Daftar Koreksi'!$I$5:$I$92,'Daftar Koreksi'!$D$5:$D$92,'0600'!A400,'Daftar Koreksi'!$G$5:$G$92,"Jalan Irigasi Jaringan",'Daftar Koreksi'!$I$5:$I$92,"&lt;0")-SUMIFS('Daftar Koreksi'!$I$5:$I$92,'Daftar Koreksi'!$D$5:$D$92,'0600'!A400,'Daftar Koreksi'!$G$5:$G$92,"Jalan Irigasi Jaringan",'Daftar Koreksi'!$I$5:$I$92,"&lt;0")</f>
        <v>0</v>
      </c>
      <c r="G415" s="17">
        <f t="shared" si="18"/>
        <v>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Koreksi'!$D$5:$D$92,'0600'!A400,'Daftar Koreksi'!$G$5:$G$92,"Aset Tetap Lainnya",'Daftar Koreksi'!$I$5:$I$92,"&gt;0")</f>
        <v>0</v>
      </c>
      <c r="F416" s="25">
        <f>SUMIFS('Daftar Koreksi'!$I$5:$I$92,'Daftar Koreksi'!$D$5:$D$92,'0600'!A400,'Daftar Koreksi'!$G$5:$G$92,"Aset Tetap Lainnya",'Daftar Koreksi'!$I$5:$I$92,"&lt;0")-SUMIFS('Daftar Koreksi'!$I$5:$I$92,'Daftar Koreksi'!$D$5:$D$92,'0600'!A400,'Daftar Koreksi'!$G$5:$G$92,"Aset Tetap Lainnya",'Daftar Koreksi'!$I$5:$I$92,"&lt;0")-SUMIFS('Daftar Koreksi'!$I$5:$I$92,'Daftar Koreksi'!$D$5:$D$92,'0600'!A400,'Daftar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-1790000</v>
      </c>
      <c r="E417" s="25">
        <f>SUMIFS('Daftar Koreksi'!$I$5:$I$92,'Daftar Koreksi'!$D$5:$D$92,'0600'!A400,'Daftar Koreksi'!$G$5:$G$92,"Aset Henti Guna",'Daftar Koreksi'!$I$5:$I$92,"&gt;0")</f>
        <v>0</v>
      </c>
      <c r="F417" s="25">
        <f>SUMIFS('Daftar Koreksi'!$I$5:$I$92,'Daftar Koreksi'!$D$5:$D$92,'0600'!A400,'Daftar Koreksi'!$G$5:$G$92,"Aset Henti Guna",'Daftar Koreksi'!$I$5:$I$92,"&lt;0")-SUMIFS('Daftar Koreksi'!$I$5:$I$92,'Daftar Koreksi'!$D$5:$D$92,'0600'!A400,'Daftar Koreksi'!$G$5:$G$92,"Aset Henti Guna",'Daftar Koreksi'!$I$5:$I$92,"&lt;0")-SUMIFS('Daftar Koreksi'!$I$5:$I$92,'Daftar Koreksi'!$D$5:$D$92,'0600'!A400,'Daftar Koreksi'!$G$5:$G$92,"Aset Henti Guna",'Daftar Koreksi'!$I$5:$I$92,"&lt;0")</f>
        <v>0</v>
      </c>
      <c r="G417" s="17">
        <f t="shared" si="18"/>
        <v>-1790000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-2067963826</v>
      </c>
      <c r="E418" s="19">
        <f>SUM(E413:E417)</f>
        <v>0</v>
      </c>
      <c r="F418" s="19">
        <f>SUM(F413:F417)</f>
        <v>0</v>
      </c>
      <c r="G418" s="19">
        <f t="shared" si="18"/>
        <v>-2067963826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5098527898</v>
      </c>
      <c r="E419" s="19">
        <f>E418+E412</f>
        <v>0</v>
      </c>
      <c r="F419" s="19">
        <f>F418+F412</f>
        <v>0</v>
      </c>
      <c r="G419" s="19">
        <f t="shared" si="18"/>
        <v>5098527898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005010600401582000KD</v>
      </c>
      <c r="B422" s="11" t="str">
        <f>P20</f>
        <v>Mahkamah Syar'iyah Prop. Nad</v>
      </c>
      <c r="C422" s="12" t="str">
        <f>A422&amp;" "&amp;B422</f>
        <v>005010600401582000KD Mahkamah Syar'iyah Prop. Nad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3274100</v>
      </c>
      <c r="E425" s="25">
        <f>SUMIFS('Daftar Koreksi'!$H$5:$H$92,'Daftar Koreksi'!$D$5:$D$92,'0600'!A422,'Daftar Koreksi'!$G$5:$G$92,"Persediaan",'Daftar Koreksi'!$H$5:$H$92,"&gt;0")</f>
        <v>0</v>
      </c>
      <c r="F425" s="25">
        <f>SUMIFS('Daftar Koreksi'!$H$5:$H$92,'Daftar Koreksi'!$D$5:$D$92,'0600'!A422,'Daftar Koreksi'!$G$5:$G$92,"Persediaan",'Daftar Koreksi'!$H$5:$H$92,"&lt;0")-SUMIFS('Daftar Koreksi'!$H$5:$H$92,'Daftar Koreksi'!$D$5:$D$92,'0600'!A422,'Daftar Koreksi'!$G$5:$G$92,"Persediaan",'Daftar Koreksi'!$H$5:$H$92,"&lt;0")-SUMIFS('Daftar Koreksi'!$H$5:$H$92,'Daftar Koreksi'!$D$5:$D$92,'0600'!A422,'Daftar Koreksi'!$G$5:$G$92,"Persediaan",'Daftar Koreksi'!$H$5:$H$92,"&lt;0")</f>
        <v>0</v>
      </c>
      <c r="G425" s="17">
        <f>D425+E425-F425</f>
        <v>3274100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2609482000</v>
      </c>
      <c r="E426" s="25">
        <f>SUMIFS('Daftar Koreksi'!$H$5:$H$92,'Daftar Koreksi'!$D$5:$D$92,'0600'!A422,'Daftar Koreksi'!$G$5:$G$92,"Tanah",'Daftar Koreksi'!$H$5:$H$92,"&gt;0")</f>
        <v>0</v>
      </c>
      <c r="F426" s="25">
        <f>SUMIFS('Daftar Koreksi'!$H$5:$H$92,'Daftar Koreksi'!$D$5:$D$92,'0600'!A422,'Daftar Koreksi'!$G$5:$G$92,"Tanah",'Daftar Koreksi'!$H$5:$H$92,"&lt;0")-SUMIFS('Daftar Koreksi'!$H$5:$H$92,'Daftar Koreksi'!$D$5:$D$92,'0600'!A422,'Daftar Koreksi'!$G$5:$G$92,"Tanah",'Daftar Koreksi'!$H$5:$H$92,"&lt;0")-SUMIFS('Daftar Koreksi'!$H$5:$H$92,'Daftar Koreksi'!$D$5:$D$92,'0600'!A422,'Daftar Koreksi'!$G$5:$G$92,"Tanah",'Daftar Koreksi'!$H$5:$H$92,"&lt;0")</f>
        <v>0</v>
      </c>
      <c r="G426" s="17">
        <f t="shared" ref="G426:G442" si="19">D426+E426-F426</f>
        <v>2609482000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5950619936</v>
      </c>
      <c r="E427" s="25">
        <f>SUMIFS('Daftar Koreksi'!$H$5:$H$92,'Daftar Koreksi'!$D$5:$D$92,'0600'!A422,'Daftar Koreksi'!$G$5:$G$92,"Peralatan dan mesin",'Daftar Koreksi'!$H$5:$H$92,"&gt;0")</f>
        <v>0</v>
      </c>
      <c r="F427" s="25">
        <f>SUMIFS('Daftar Koreksi'!$H$5:$H$92,'Daftar Koreksi'!$D$5:$D$92,'0600'!A422,'Daftar Koreksi'!$G$5:$G$92,"Peralatan dan mesin",'Daftar Koreksi'!$H$5:$H$92,"&lt;0")-SUMIFS('Daftar Koreksi'!$H$5:$H$92,'Daftar Koreksi'!$D$5:$D$92,'0600'!A422,'Daftar Koreksi'!$G$5:$G$92,"Peralatan dan mesin",'Daftar Koreksi'!$H$5:$H$92,"&lt;0")-SUMIFS('Daftar Koreksi'!$H$5:$H$92,'Daftar Koreksi'!$D$5:$D$92,'0600'!A422,'Daftar Koreksi'!$G$5:$G$92,"Peralatan dan mesin",'Daftar Koreksi'!$H$5:$H$92,"&lt;0")</f>
        <v>0</v>
      </c>
      <c r="G427" s="17">
        <f t="shared" si="19"/>
        <v>5950619936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26555529750</v>
      </c>
      <c r="E428" s="25">
        <f>SUMIFS('Daftar Koreksi'!$H$5:$H$92,'Daftar Koreksi'!$D$5:$D$92,'0600'!A422,'Daftar Koreksi'!$G$5:$G$92,"Gedung dan Bangunan",'Daftar Koreksi'!$H$5:$H$92,"&gt;0")</f>
        <v>0</v>
      </c>
      <c r="F428" s="25">
        <f>SUMIFS('Daftar Koreksi'!$H$5:$H$92,'Daftar Koreksi'!$D$5:$D$92,'0600'!A422,'Daftar Koreksi'!$G$5:$G$92,"Gedung dan Bangunan",'Daftar Koreksi'!$H$5:$H$92,"&lt;0")-SUMIFS('Daftar Koreksi'!$H$5:$H$92,'Daftar Koreksi'!$D$5:$D$92,'0600'!A422,'Daftar Koreksi'!$G$5:$G$92,"Gedung dan Bangunan",'Daftar Koreksi'!$H$5:$H$92,"&lt;0")-SUMIFS('Daftar Koreksi'!$H$5:$H$92,'Daftar Koreksi'!$D$5:$D$92,'0600'!A422,'Daftar Koreksi'!$G$5:$G$92,"Gedung dan Bangunan",'Daftar Koreksi'!$H$5:$H$92,"&lt;0")</f>
        <v>0</v>
      </c>
      <c r="G428" s="17">
        <f t="shared" si="19"/>
        <v>26555529750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96200000</v>
      </c>
      <c r="E429" s="25">
        <f>SUMIFS('Daftar Koreksi'!$H$5:$H$92,'Daftar Koreksi'!$D$5:$D$92,'0600'!A422,'Daftar Koreksi'!$G$5:$G$92,"Jalan Irigasi Jaringan",'Daftar Koreksi'!$H$5:$H$92,"&gt;0")</f>
        <v>0</v>
      </c>
      <c r="F429" s="25">
        <f>SUMIFS('Daftar Koreksi'!$H$5:$H$92,'Daftar Koreksi'!$D$5:$D$92,'0600'!A422,'Daftar Koreksi'!$G$5:$G$92,"Jalan Irigasi Jaringan",'Daftar Koreksi'!$H$5:$H$92,"&lt;0")-SUMIFS('Daftar Koreksi'!$H$5:$H$92,'Daftar Koreksi'!$D$5:$D$92,'0600'!A422,'Daftar Koreksi'!$G$5:$G$92,"Jalan Irigasi Jaringan",'Daftar Koreksi'!$H$5:$H$92,"&lt;0")-SUMIFS('Daftar Koreksi'!$H$5:$H$92,'Daftar Koreksi'!$D$5:$D$92,'0600'!A422,'Daftar Koreksi'!$G$5:$G$92,"Jalan Irigasi Jaringan",'Daftar Koreksi'!$H$5:$H$92,"&lt;0")</f>
        <v>0</v>
      </c>
      <c r="G429" s="17">
        <f t="shared" si="19"/>
        <v>96200000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0</v>
      </c>
      <c r="E430" s="25">
        <f>SUMIFS('Daftar Koreksi'!$H$5:$H$92,'Daftar Koreksi'!$D$5:$D$92,'0600'!A422,'Daftar Koreksi'!$G$5:$G$92,"Aset Tetap Lainnya",'Daftar Koreksi'!$H$5:$H$92,"&gt;0")</f>
        <v>0</v>
      </c>
      <c r="F430" s="25">
        <f>SUMIFS('Daftar Koreksi'!$H$5:$H$92,'Daftar Koreksi'!$D$5:$D$92,'0600'!A422,'Daftar Koreksi'!$G$5:$G$92,"Aset Tetap Lainnya",'Daftar Koreksi'!$H$5:$H$92,"&lt;0")-SUMIFS('Daftar Koreksi'!$H$5:$H$92,'Daftar Koreksi'!$D$5:$D$92,'0600'!A422,'Daftar Koreksi'!$G$5:$G$92,"Aset Tetap Lainnya",'Daftar Koreksi'!$H$5:$H$92,"&lt;0")-SUMIFS('Daftar Koreksi'!$H$5:$H$92,'Daftar Koreksi'!$D$5:$D$92,'0600'!A422,'Daftar Koreksi'!$G$5:$G$92,"Aset Tetap Lainnya",'Daftar Koreksi'!$H$5:$H$92,"&lt;0")</f>
        <v>0</v>
      </c>
      <c r="G430" s="17">
        <f t="shared" si="19"/>
        <v>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Koreksi'!$D$5:$D$92,'0600'!A422,'Daftar Koreksi'!$G$5:$G$92,"Kontruksi Dalam Pengerjaan",'Daftar Koreksi'!$H$5:$H$92,"&gt;0")</f>
        <v>0</v>
      </c>
      <c r="F431" s="25">
        <f>SUMIFS('Daftar Koreksi'!$H$5:$H$92,'Daftar Koreksi'!$D$5:$D$92,'0600'!A422,'Daftar Koreksi'!$G$5:$G$92,"Kontruksi Dalam Pengerjaan",'Daftar Koreksi'!$H$5:$H$92,"&lt;0")-SUMIFS('Daftar Koreksi'!$H$5:$H$92,'Daftar Koreksi'!$D$5:$D$92,'0600'!A422,'Daftar Koreksi'!$G$5:$G$92,"Kontruksi Dalam Pengerjaan",'Daftar Koreksi'!$H$5:$H$92,"&lt;0")-SUMIFS('Daftar Koreksi'!$H$5:$H$92,'Daftar Koreksi'!$D$5:$D$92,'0600'!A422,'Daftar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Koreksi'!$D$5:$D$92,'0600'!A422,'Daftar Koreksi'!$G$5:$G$92,"Aset Tak Berwujud",'Daftar Koreksi'!$H$5:$H$92,"&gt;0")</f>
        <v>0</v>
      </c>
      <c r="F432" s="25">
        <f>SUMIFS('Daftar Koreksi'!$H$5:$H$92,'Daftar Koreksi'!$D$5:$D$92,'0600'!A422,'Daftar Koreksi'!$G$5:$G$92,"Aset Tak Berwujud",'Daftar Koreksi'!$H$5:$H$92,"&lt;0")-SUMIFS('Daftar Koreksi'!$H$5:$H$92,'Daftar Koreksi'!$D$5:$D$92,'0600'!A422,'Daftar Koreksi'!$G$5:$G$92,"Aset Tak Berwujud",'Daftar Koreksi'!$H$5:$H$92,"&lt;0")-SUMIFS('Daftar Koreksi'!$H$5:$H$92,'Daftar Koreksi'!$D$5:$D$92,'0600'!A422,'Daftar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Koreksi'!$D$5:$D$92,'0600'!A422,'Daftar Koreksi'!$G$5:$G$92,"Aset Henti Guna",'Daftar Koreksi'!$H$5:$H$92,"&gt;0")</f>
        <v>0</v>
      </c>
      <c r="F433" s="25">
        <f>SUMIFS('Daftar Koreksi'!$H$5:$H$92,'Daftar Koreksi'!$D$5:$D$92,'0600'!A422,'Daftar Koreksi'!$G$5:$G$92,"Aset Henti Guna",'Daftar Koreksi'!$H$5:$H$92,"&lt;0")-SUMIFS('Daftar Koreksi'!$H$5:$H$92,'Daftar Koreksi'!$D$5:$D$92,'0600'!A422,'Daftar Koreksi'!$G$5:$G$92,"Aset Henti Guna",'Daftar Koreksi'!$H$5:$H$92,"&lt;0")-SUMIFS('Daftar Koreksi'!$H$5:$H$92,'Daftar Koreksi'!$D$5:$D$92,'0600'!A422,'Daftar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35215105786</v>
      </c>
      <c r="E434" s="19">
        <f>SUM(E425:E433)</f>
        <v>0</v>
      </c>
      <c r="F434" s="19">
        <f>SUM(F425:F433)</f>
        <v>0</v>
      </c>
      <c r="G434" s="19">
        <f t="shared" si="19"/>
        <v>35215105786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-5741611104</v>
      </c>
      <c r="E435" s="25">
        <f>SUMIFS('Daftar Koreksi'!$I$5:$I$92,'Daftar Koreksi'!$D$5:$D$92,'0600'!A422,'Daftar Koreksi'!$G$5:$G$92,"Peralatan dan mesin",'Daftar Koreksi'!$I$5:$I$92,"&gt;0")</f>
        <v>0</v>
      </c>
      <c r="F435" s="25">
        <f>SUMIFS('Daftar Koreksi'!$I$5:$I$92,'Daftar Koreksi'!$D$5:$D$92,'0600'!A422,'Daftar Koreksi'!$G$5:$G$92,"Peralatan dan mesin",'Daftar Koreksi'!$I$5:$I$92,"&lt;0")-SUMIFS('Daftar Koreksi'!$I$5:$I$92,'Daftar Koreksi'!$D$5:$D$92,'0600'!A422,'Daftar Koreksi'!$G$5:$G$92,"Peralatan dan mesin",'Daftar Koreksi'!$I$5:$I$92,"&lt;0")-SUMIFS('Daftar Koreksi'!$I$5:$I$92,'Daftar Koreksi'!$D$5:$D$92,'0600'!A422,'Daftar Koreksi'!$G$5:$G$92,"Peralatan dan mesin",'Daftar Koreksi'!$I$5:$I$92,"&lt;0")</f>
        <v>0</v>
      </c>
      <c r="G435" s="17">
        <f t="shared" si="19"/>
        <v>-5741611104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-6912799183</v>
      </c>
      <c r="E436" s="25">
        <f>SUMIFS('Daftar Koreksi'!$I$5:$I$92,'Daftar Koreksi'!$D$5:$D$92,'0600'!A422,'Daftar Koreksi'!$G$5:$G$92,"Gedung dan Bangunan",'Daftar Koreksi'!$I$5:$I$92,"&gt;0")</f>
        <v>0</v>
      </c>
      <c r="F436" s="25">
        <f>SUMIFS('Daftar Koreksi'!$I$5:$I$92,'Daftar Koreksi'!$D$5:$D$92,'0600'!A422,'Daftar Koreksi'!$G$5:$G$92,"Gedung dan Bangunan",'Daftar Koreksi'!$I$5:$I$92,"&lt;0")-SUMIFS('Daftar Koreksi'!$I$5:$I$92,'Daftar Koreksi'!$D$5:$D$92,'0600'!A422,'Daftar Koreksi'!$G$5:$G$92,"Gedung dan Bangunan",'Daftar Koreksi'!$I$5:$I$92,"&lt;0")-SUMIFS('Daftar Koreksi'!$I$5:$I$92,'Daftar Koreksi'!$D$5:$D$92,'0600'!A422,'Daftar Koreksi'!$G$5:$G$92,"Gedung dan Bangunan",'Daftar Koreksi'!$I$5:$I$92,"&lt;0")</f>
        <v>0</v>
      </c>
      <c r="G436" s="17">
        <f t="shared" si="19"/>
        <v>-6912799183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-48100000</v>
      </c>
      <c r="E437" s="25">
        <f>SUMIFS('Daftar Koreksi'!$I$5:$I$92,'Daftar Koreksi'!$D$5:$D$92,'0600'!A422,'Daftar Koreksi'!$G$5:$G$92,"Jalan Irigasi Jaringan",'Daftar Koreksi'!$I$5:$I$92,"&gt;0")</f>
        <v>0</v>
      </c>
      <c r="F437" s="25">
        <f>SUMIFS('Daftar Koreksi'!$I$5:$I$92,'Daftar Koreksi'!$D$5:$D$92,'0600'!A422,'Daftar Koreksi'!$G$5:$G$92,"Jalan Irigasi Jaringan",'Daftar Koreksi'!$I$5:$I$92,"&lt;0")-SUMIFS('Daftar Koreksi'!$I$5:$I$92,'Daftar Koreksi'!$D$5:$D$92,'0600'!A422,'Daftar Koreksi'!$G$5:$G$92,"Jalan Irigasi Jaringan",'Daftar Koreksi'!$I$5:$I$92,"&lt;0")-SUMIFS('Daftar Koreksi'!$I$5:$I$92,'Daftar Koreksi'!$D$5:$D$92,'0600'!A422,'Daftar Koreksi'!$G$5:$G$92,"Jalan Irigasi Jaringan",'Daftar Koreksi'!$I$5:$I$92,"&lt;0")</f>
        <v>0</v>
      </c>
      <c r="G437" s="17">
        <f t="shared" si="19"/>
        <v>-48100000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Koreksi'!$D$5:$D$92,'0600'!A422,'Daftar Koreksi'!$G$5:$G$92,"Aset Tetap Lainnya",'Daftar Koreksi'!$I$5:$I$92,"&gt;0")</f>
        <v>0</v>
      </c>
      <c r="F438" s="25">
        <f>SUMIFS('Daftar Koreksi'!$I$5:$I$92,'Daftar Koreksi'!$D$5:$D$92,'0600'!A422,'Daftar Koreksi'!$G$5:$G$92,"Aset Tetap Lainnya",'Daftar Koreksi'!$I$5:$I$92,"&lt;0")-SUMIFS('Daftar Koreksi'!$I$5:$I$92,'Daftar Koreksi'!$D$5:$D$92,'0600'!A422,'Daftar Koreksi'!$G$5:$G$92,"Aset Tetap Lainnya",'Daftar Koreksi'!$I$5:$I$92,"&lt;0")-SUMIFS('Daftar Koreksi'!$I$5:$I$92,'Daftar Koreksi'!$D$5:$D$92,'0600'!A422,'Daftar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Koreksi'!$D$5:$D$92,'0600'!A422,'Daftar Koreksi'!$G$5:$G$92,"Aset Henti Guna",'Daftar Koreksi'!$I$5:$I$92,"&gt;0")</f>
        <v>0</v>
      </c>
      <c r="F439" s="25">
        <f>SUMIFS('Daftar Koreksi'!$I$5:$I$92,'Daftar Koreksi'!$D$5:$D$92,'0600'!A422,'Daftar Koreksi'!$G$5:$G$92,"Aset Henti Guna",'Daftar Koreksi'!$I$5:$I$92,"&lt;0")-SUMIFS('Daftar Koreksi'!$I$5:$I$92,'Daftar Koreksi'!$D$5:$D$92,'0600'!A422,'Daftar Koreksi'!$G$5:$G$92,"Aset Henti Guna",'Daftar Koreksi'!$I$5:$I$92,"&lt;0")-SUMIFS('Daftar Koreksi'!$I$5:$I$92,'Daftar Koreksi'!$D$5:$D$92,'0600'!A422,'Daftar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-12702510287</v>
      </c>
      <c r="E440" s="19">
        <f>SUM(E435:E439)</f>
        <v>0</v>
      </c>
      <c r="F440" s="19">
        <f>SUM(F435:F439)</f>
        <v>0</v>
      </c>
      <c r="G440" s="19">
        <f t="shared" si="19"/>
        <v>-12702510287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22512595499</v>
      </c>
      <c r="E441" s="19">
        <f>E440+E434</f>
        <v>0</v>
      </c>
      <c r="F441" s="19">
        <f>F440+F434</f>
        <v>0</v>
      </c>
      <c r="G441" s="19">
        <f t="shared" si="19"/>
        <v>22512595499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005010600401591000KD</v>
      </c>
      <c r="B444" s="11" t="str">
        <f>P21</f>
        <v>Mahkamah Syar'iyah Banda Aceh</v>
      </c>
      <c r="C444" s="12" t="str">
        <f>A444&amp;" "&amp;B444</f>
        <v>005010600401591000KD Mahkamah Syar'iyah Banda Aceh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0</v>
      </c>
      <c r="E447" s="25">
        <f>SUMIFS('Daftar Koreksi'!$H$5:$H$92,'Daftar Koreksi'!$D$5:$D$92,'0600'!A444,'Daftar Koreksi'!$G$5:$G$92,"Persediaan",'Daftar Koreksi'!$H$5:$H$92,"&gt;0")</f>
        <v>0</v>
      </c>
      <c r="F447" s="25">
        <f>SUMIFS('Daftar Koreksi'!$H$5:$H$92,'Daftar Koreksi'!$D$5:$D$92,'0600'!A444,'Daftar Koreksi'!$G$5:$G$92,"Persediaan",'Daftar Koreksi'!$H$5:$H$92,"&lt;0")-SUMIFS('Daftar Koreksi'!$H$5:$H$92,'Daftar Koreksi'!$D$5:$D$92,'0600'!A444,'Daftar Koreksi'!$G$5:$G$92,"Persediaan",'Daftar Koreksi'!$H$5:$H$92,"&lt;0")-SUMIFS('Daftar Koreksi'!$H$5:$H$92,'Daftar Koreksi'!$D$5:$D$92,'0600'!A444,'Daftar Koreksi'!$G$5:$G$92,"Persediaan",'Daftar Koreksi'!$H$5:$H$92,"&lt;0")</f>
        <v>0</v>
      </c>
      <c r="G447" s="17">
        <f>D447+E447-F447</f>
        <v>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1592676000</v>
      </c>
      <c r="E448" s="25">
        <f>SUMIFS('Daftar Koreksi'!$H$5:$H$92,'Daftar Koreksi'!$D$5:$D$92,'0600'!A444,'Daftar Koreksi'!$G$5:$G$92,"Tanah",'Daftar Koreksi'!$H$5:$H$92,"&gt;0")</f>
        <v>0</v>
      </c>
      <c r="F448" s="25">
        <f>SUMIFS('Daftar Koreksi'!$H$5:$H$92,'Daftar Koreksi'!$D$5:$D$92,'0600'!A444,'Daftar Koreksi'!$G$5:$G$92,"Tanah",'Daftar Koreksi'!$H$5:$H$92,"&lt;0")-SUMIFS('Daftar Koreksi'!$H$5:$H$92,'Daftar Koreksi'!$D$5:$D$92,'0600'!A444,'Daftar Koreksi'!$G$5:$G$92,"Tanah",'Daftar Koreksi'!$H$5:$H$92,"&lt;0")-SUMIFS('Daftar Koreksi'!$H$5:$H$92,'Daftar Koreksi'!$D$5:$D$92,'0600'!A444,'Daftar Koreksi'!$G$5:$G$92,"Tanah",'Daftar Koreksi'!$H$5:$H$92,"&lt;0")</f>
        <v>0</v>
      </c>
      <c r="G448" s="17">
        <f t="shared" ref="G448:G464" si="20">D448+E448-F448</f>
        <v>1592676000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2234834093</v>
      </c>
      <c r="E449" s="25">
        <f>SUMIFS('Daftar Koreksi'!$H$5:$H$92,'Daftar Koreksi'!$D$5:$D$92,'0600'!A444,'Daftar Koreksi'!$G$5:$G$92,"Peralatan dan mesin",'Daftar Koreksi'!$H$5:$H$92,"&gt;0")</f>
        <v>0</v>
      </c>
      <c r="F449" s="25">
        <f>SUMIFS('Daftar Koreksi'!$H$5:$H$92,'Daftar Koreksi'!$D$5:$D$92,'0600'!A444,'Daftar Koreksi'!$G$5:$G$92,"Peralatan dan mesin",'Daftar Koreksi'!$H$5:$H$92,"&lt;0")-SUMIFS('Daftar Koreksi'!$H$5:$H$92,'Daftar Koreksi'!$D$5:$D$92,'0600'!A444,'Daftar Koreksi'!$G$5:$G$92,"Peralatan dan mesin",'Daftar Koreksi'!$H$5:$H$92,"&lt;0")-SUMIFS('Daftar Koreksi'!$H$5:$H$92,'Daftar Koreksi'!$D$5:$D$92,'0600'!A444,'Daftar Koreksi'!$G$5:$G$92,"Peralatan dan mesin",'Daftar Koreksi'!$H$5:$H$92,"&lt;0")</f>
        <v>0</v>
      </c>
      <c r="G449" s="17">
        <f t="shared" si="20"/>
        <v>2234834093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14293194791</v>
      </c>
      <c r="E450" s="25">
        <f>SUMIFS('Daftar Koreksi'!$H$5:$H$92,'Daftar Koreksi'!$D$5:$D$92,'0600'!A444,'Daftar Koreksi'!$G$5:$G$92,"Gedung dan Bangunan",'Daftar Koreksi'!$H$5:$H$92,"&gt;0")</f>
        <v>0</v>
      </c>
      <c r="F450" s="25">
        <f>SUMIFS('Daftar Koreksi'!$H$5:$H$92,'Daftar Koreksi'!$D$5:$D$92,'0600'!A444,'Daftar Koreksi'!$G$5:$G$92,"Gedung dan Bangunan",'Daftar Koreksi'!$H$5:$H$92,"&lt;0")-SUMIFS('Daftar Koreksi'!$H$5:$H$92,'Daftar Koreksi'!$D$5:$D$92,'0600'!A444,'Daftar Koreksi'!$G$5:$G$92,"Gedung dan Bangunan",'Daftar Koreksi'!$H$5:$H$92,"&lt;0")-SUMIFS('Daftar Koreksi'!$H$5:$H$92,'Daftar Koreksi'!$D$5:$D$92,'0600'!A444,'Daftar Koreksi'!$G$5:$G$92,"Gedung dan Bangunan",'Daftar Koreksi'!$H$5:$H$92,"&lt;0")</f>
        <v>0</v>
      </c>
      <c r="G450" s="17">
        <f t="shared" si="20"/>
        <v>14293194791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Koreksi'!$D$5:$D$92,'0600'!A444,'Daftar Koreksi'!$G$5:$G$92,"Jalan Irigasi Jaringan",'Daftar Koreksi'!$H$5:$H$92,"&gt;0")</f>
        <v>0</v>
      </c>
      <c r="F451" s="25">
        <f>SUMIFS('Daftar Koreksi'!$H$5:$H$92,'Daftar Koreksi'!$D$5:$D$92,'0600'!A444,'Daftar Koreksi'!$G$5:$G$92,"Jalan Irigasi Jaringan",'Daftar Koreksi'!$H$5:$H$92,"&lt;0")-SUMIFS('Daftar Koreksi'!$H$5:$H$92,'Daftar Koreksi'!$D$5:$D$92,'0600'!A444,'Daftar Koreksi'!$G$5:$G$92,"Jalan Irigasi Jaringan",'Daftar Koreksi'!$H$5:$H$92,"&lt;0")-SUMIFS('Daftar Koreksi'!$H$5:$H$92,'Daftar Koreksi'!$D$5:$D$92,'0600'!A444,'Daftar Koreksi'!$G$5:$G$92,"Jalan Irigasi Jaringan",'Daftar Koreksi'!$H$5:$H$92,"&lt;0")</f>
        <v>0</v>
      </c>
      <c r="G451" s="17">
        <f t="shared" si="20"/>
        <v>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2683400</v>
      </c>
      <c r="E452" s="25">
        <f>SUMIFS('Daftar Koreksi'!$H$5:$H$92,'Daftar Koreksi'!$D$5:$D$92,'0600'!A444,'Daftar Koreksi'!$G$5:$G$92,"Aset Tetap Lainnya",'Daftar Koreksi'!$H$5:$H$92,"&gt;0")</f>
        <v>0</v>
      </c>
      <c r="F452" s="25">
        <f>SUMIFS('Daftar Koreksi'!$H$5:$H$92,'Daftar Koreksi'!$D$5:$D$92,'0600'!A444,'Daftar Koreksi'!$G$5:$G$92,"Aset Tetap Lainnya",'Daftar Koreksi'!$H$5:$H$92,"&lt;0")-SUMIFS('Daftar Koreksi'!$H$5:$H$92,'Daftar Koreksi'!$D$5:$D$92,'0600'!A444,'Daftar Koreksi'!$G$5:$G$92,"Aset Tetap Lainnya",'Daftar Koreksi'!$H$5:$H$92,"&lt;0")-SUMIFS('Daftar Koreksi'!$H$5:$H$92,'Daftar Koreksi'!$D$5:$D$92,'0600'!A444,'Daftar Koreksi'!$G$5:$G$92,"Aset Tetap Lainnya",'Daftar Koreksi'!$H$5:$H$92,"&lt;0")</f>
        <v>0</v>
      </c>
      <c r="G452" s="17">
        <f t="shared" si="20"/>
        <v>2683400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Koreksi'!$D$5:$D$92,'0600'!A444,'Daftar Koreksi'!$G$5:$G$92,"Kontruksi Dalam Pengerjaan",'Daftar Koreksi'!$H$5:$H$92,"&gt;0")</f>
        <v>0</v>
      </c>
      <c r="F453" s="25">
        <f>SUMIFS('Daftar Koreksi'!$H$5:$H$92,'Daftar Koreksi'!$D$5:$D$92,'0600'!A444,'Daftar Koreksi'!$G$5:$G$92,"Kontruksi Dalam Pengerjaan",'Daftar Koreksi'!$H$5:$H$92,"&lt;0")-SUMIFS('Daftar Koreksi'!$H$5:$H$92,'Daftar Koreksi'!$D$5:$D$92,'0600'!A444,'Daftar Koreksi'!$G$5:$G$92,"Kontruksi Dalam Pengerjaan",'Daftar Koreksi'!$H$5:$H$92,"&lt;0")-SUMIFS('Daftar Koreksi'!$H$5:$H$92,'Daftar Koreksi'!$D$5:$D$92,'0600'!A444,'Daftar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Koreksi'!$D$5:$D$92,'0600'!A444,'Daftar Koreksi'!$G$5:$G$92,"Aset Tak Berwujud",'Daftar Koreksi'!$H$5:$H$92,"&gt;0")</f>
        <v>0</v>
      </c>
      <c r="F454" s="25">
        <f>SUMIFS('Daftar Koreksi'!$H$5:$H$92,'Daftar Koreksi'!$D$5:$D$92,'0600'!A444,'Daftar Koreksi'!$G$5:$G$92,"Aset Tak Berwujud",'Daftar Koreksi'!$H$5:$H$92,"&lt;0")-SUMIFS('Daftar Koreksi'!$H$5:$H$92,'Daftar Koreksi'!$D$5:$D$92,'0600'!A444,'Daftar Koreksi'!$G$5:$G$92,"Aset Tak Berwujud",'Daftar Koreksi'!$H$5:$H$92,"&lt;0")-SUMIFS('Daftar Koreksi'!$H$5:$H$92,'Daftar Koreksi'!$D$5:$D$92,'0600'!A444,'Daftar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127385666</v>
      </c>
      <c r="E455" s="25">
        <f>SUMIFS('Daftar Koreksi'!$H$5:$H$92,'Daftar Koreksi'!$D$5:$D$92,'0600'!A444,'Daftar Koreksi'!$G$5:$G$92,"Aset Henti Guna",'Daftar Koreksi'!$H$5:$H$92,"&gt;0")</f>
        <v>0</v>
      </c>
      <c r="F455" s="25">
        <f>SUMIFS('Daftar Koreksi'!$H$5:$H$92,'Daftar Koreksi'!$D$5:$D$92,'0600'!A444,'Daftar Koreksi'!$G$5:$G$92,"Aset Henti Guna",'Daftar Koreksi'!$H$5:$H$92,"&lt;0")-SUMIFS('Daftar Koreksi'!$H$5:$H$92,'Daftar Koreksi'!$D$5:$D$92,'0600'!A444,'Daftar Koreksi'!$G$5:$G$92,"Aset Henti Guna",'Daftar Koreksi'!$H$5:$H$92,"&lt;0")-SUMIFS('Daftar Koreksi'!$H$5:$H$92,'Daftar Koreksi'!$D$5:$D$92,'0600'!A444,'Daftar Koreksi'!$G$5:$G$92,"Aset Henti Guna",'Daftar Koreksi'!$H$5:$H$92,"&lt;0")</f>
        <v>0</v>
      </c>
      <c r="G455" s="17">
        <f t="shared" si="20"/>
        <v>127385666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18250773950</v>
      </c>
      <c r="E456" s="19">
        <f>SUM(E447:E455)</f>
        <v>0</v>
      </c>
      <c r="F456" s="19">
        <f>SUM(F447:F455)</f>
        <v>0</v>
      </c>
      <c r="G456" s="19">
        <f t="shared" si="20"/>
        <v>18250773950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-1769610411</v>
      </c>
      <c r="E457" s="25">
        <f>SUMIFS('Daftar Koreksi'!$I$5:$I$92,'Daftar Koreksi'!$D$5:$D$92,'0600'!A444,'Daftar Koreksi'!$G$5:$G$92,"Peralatan dan mesin",'Daftar Koreksi'!$I$5:$I$92,"&gt;0")</f>
        <v>0</v>
      </c>
      <c r="F457" s="25">
        <f>SUMIFS('Daftar Koreksi'!$I$5:$I$92,'Daftar Koreksi'!$D$5:$D$92,'0600'!A444,'Daftar Koreksi'!$G$5:$G$92,"Peralatan dan mesin",'Daftar Koreksi'!$I$5:$I$92,"&lt;0")-SUMIFS('Daftar Koreksi'!$I$5:$I$92,'Daftar Koreksi'!$D$5:$D$92,'0600'!A444,'Daftar Koreksi'!$G$5:$G$92,"Peralatan dan mesin",'Daftar Koreksi'!$I$5:$I$92,"&lt;0")-SUMIFS('Daftar Koreksi'!$I$5:$I$92,'Daftar Koreksi'!$D$5:$D$92,'0600'!A444,'Daftar Koreksi'!$G$5:$G$92,"Peralatan dan mesin",'Daftar Koreksi'!$I$5:$I$92,"&lt;0")</f>
        <v>0</v>
      </c>
      <c r="G457" s="17">
        <f t="shared" si="20"/>
        <v>-1769610411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-1357311738</v>
      </c>
      <c r="E458" s="25">
        <f>SUMIFS('Daftar Koreksi'!$I$5:$I$92,'Daftar Koreksi'!$D$5:$D$92,'0600'!A444,'Daftar Koreksi'!$G$5:$G$92,"Gedung dan Bangunan",'Daftar Koreksi'!$I$5:$I$92,"&gt;0")</f>
        <v>0</v>
      </c>
      <c r="F458" s="25">
        <f>SUMIFS('Daftar Koreksi'!$I$5:$I$92,'Daftar Koreksi'!$D$5:$D$92,'0600'!A444,'Daftar Koreksi'!$G$5:$G$92,"Gedung dan Bangunan",'Daftar Koreksi'!$I$5:$I$92,"&lt;0")-SUMIFS('Daftar Koreksi'!$I$5:$I$92,'Daftar Koreksi'!$D$5:$D$92,'0600'!A444,'Daftar Koreksi'!$G$5:$G$92,"Gedung dan Bangunan",'Daftar Koreksi'!$I$5:$I$92,"&lt;0")-SUMIFS('Daftar Koreksi'!$I$5:$I$92,'Daftar Koreksi'!$D$5:$D$92,'0600'!A444,'Daftar Koreksi'!$G$5:$G$92,"Gedung dan Bangunan",'Daftar Koreksi'!$I$5:$I$92,"&lt;0")</f>
        <v>0</v>
      </c>
      <c r="G458" s="17">
        <f t="shared" si="20"/>
        <v>-1357311738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Koreksi'!$D$5:$D$92,'0600'!A444,'Daftar Koreksi'!$G$5:$G$92,"Jalan Irigasi Jaringan",'Daftar Koreksi'!$I$5:$I$92,"&gt;0")</f>
        <v>0</v>
      </c>
      <c r="F459" s="25">
        <f>SUMIFS('Daftar Koreksi'!$I$5:$I$92,'Daftar Koreksi'!$D$5:$D$92,'0600'!A444,'Daftar Koreksi'!$G$5:$G$92,"Jalan Irigasi Jaringan",'Daftar Koreksi'!$I$5:$I$92,"&lt;0")-SUMIFS('Daftar Koreksi'!$I$5:$I$92,'Daftar Koreksi'!$D$5:$D$92,'0600'!A444,'Daftar Koreksi'!$G$5:$G$92,"Jalan Irigasi Jaringan",'Daftar Koreksi'!$I$5:$I$92,"&lt;0")-SUMIFS('Daftar Koreksi'!$I$5:$I$92,'Daftar Koreksi'!$D$5:$D$92,'0600'!A444,'Daftar Koreksi'!$G$5:$G$92,"Jalan Irigasi Jaringan",'Daftar Koreksi'!$I$5:$I$92,"&lt;0")</f>
        <v>0</v>
      </c>
      <c r="G459" s="17">
        <f t="shared" si="20"/>
        <v>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Koreksi'!$D$5:$D$92,'0600'!A444,'Daftar Koreksi'!$G$5:$G$92,"Aset Tetap Lainnya",'Daftar Koreksi'!$I$5:$I$92,"&gt;0")</f>
        <v>0</v>
      </c>
      <c r="F460" s="25">
        <f>SUMIFS('Daftar Koreksi'!$I$5:$I$92,'Daftar Koreksi'!$D$5:$D$92,'0600'!A444,'Daftar Koreksi'!$G$5:$G$92,"Aset Tetap Lainnya",'Daftar Koreksi'!$I$5:$I$92,"&lt;0")-SUMIFS('Daftar Koreksi'!$I$5:$I$92,'Daftar Koreksi'!$D$5:$D$92,'0600'!A444,'Daftar Koreksi'!$G$5:$G$92,"Aset Tetap Lainnya",'Daftar Koreksi'!$I$5:$I$92,"&lt;0")-SUMIFS('Daftar Koreksi'!$I$5:$I$92,'Daftar Koreksi'!$D$5:$D$92,'0600'!A444,'Daftar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-127385666</v>
      </c>
      <c r="E461" s="25">
        <f>SUMIFS('Daftar Koreksi'!$I$5:$I$92,'Daftar Koreksi'!$D$5:$D$92,'0600'!A444,'Daftar Koreksi'!$G$5:$G$92,"Aset Henti Guna",'Daftar Koreksi'!$I$5:$I$92,"&gt;0")</f>
        <v>0</v>
      </c>
      <c r="F461" s="25">
        <f>SUMIFS('Daftar Koreksi'!$I$5:$I$92,'Daftar Koreksi'!$D$5:$D$92,'0600'!A444,'Daftar Koreksi'!$G$5:$G$92,"Aset Henti Guna",'Daftar Koreksi'!$I$5:$I$92,"&lt;0")-SUMIFS('Daftar Koreksi'!$I$5:$I$92,'Daftar Koreksi'!$D$5:$D$92,'0600'!A444,'Daftar Koreksi'!$G$5:$G$92,"Aset Henti Guna",'Daftar Koreksi'!$I$5:$I$92,"&lt;0")-SUMIFS('Daftar Koreksi'!$I$5:$I$92,'Daftar Koreksi'!$D$5:$D$92,'0600'!A444,'Daftar Koreksi'!$G$5:$G$92,"Aset Henti Guna",'Daftar Koreksi'!$I$5:$I$92,"&lt;0")</f>
        <v>0</v>
      </c>
      <c r="G461" s="17">
        <f t="shared" si="20"/>
        <v>-127385666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-3254307815</v>
      </c>
      <c r="E462" s="19">
        <f>SUM(E457:E461)</f>
        <v>0</v>
      </c>
      <c r="F462" s="19">
        <f>SUM(F457:F461)</f>
        <v>0</v>
      </c>
      <c r="G462" s="19">
        <f t="shared" si="20"/>
        <v>-3254307815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14996466135</v>
      </c>
      <c r="E463" s="19">
        <f>E462+E456</f>
        <v>0</v>
      </c>
      <c r="F463" s="19">
        <f>F462+F456</f>
        <v>0</v>
      </c>
      <c r="G463" s="19">
        <f t="shared" si="20"/>
        <v>14996466135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005010600401602000KD</v>
      </c>
      <c r="B466" s="11" t="str">
        <f>P22</f>
        <v>Mahkamah Syar'iyah Sabang</v>
      </c>
      <c r="C466" s="12" t="str">
        <f>A466&amp;" "&amp;B466</f>
        <v>005010600401602000KD Mahkamah Syar'iyah Sabang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2276000</v>
      </c>
      <c r="E469" s="25">
        <f>SUMIFS('Daftar Koreksi'!$H$5:$H$92,'Daftar Koreksi'!$D$5:$D$92,'0600'!A466,'Daftar Koreksi'!$G$5:$G$92,"Persediaan",'Daftar Koreksi'!$H$5:$H$92,"&gt;0")</f>
        <v>0</v>
      </c>
      <c r="F469" s="25">
        <f>SUMIFS('Daftar Koreksi'!$H$5:$H$92,'Daftar Koreksi'!$D$5:$D$92,'0600'!A466,'Daftar Koreksi'!$G$5:$G$92,"Persediaan",'Daftar Koreksi'!$H$5:$H$92,"&lt;0")-SUMIFS('Daftar Koreksi'!$H$5:$H$92,'Daftar Koreksi'!$D$5:$D$92,'0600'!A466,'Daftar Koreksi'!$G$5:$G$92,"Persediaan",'Daftar Koreksi'!$H$5:$H$92,"&lt;0")-SUMIFS('Daftar Koreksi'!$H$5:$H$92,'Daftar Koreksi'!$D$5:$D$92,'0600'!A466,'Daftar Koreksi'!$G$5:$G$92,"Persediaan",'Daftar Koreksi'!$H$5:$H$92,"&lt;0")</f>
        <v>0</v>
      </c>
      <c r="G469" s="17">
        <f>D469+E469-F469</f>
        <v>2276000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1150953750</v>
      </c>
      <c r="E470" s="25">
        <f>SUMIFS('Daftar Koreksi'!$H$5:$H$92,'Daftar Koreksi'!$D$5:$D$92,'0600'!A466,'Daftar Koreksi'!$G$5:$G$92,"Tanah",'Daftar Koreksi'!$H$5:$H$92,"&gt;0")</f>
        <v>0</v>
      </c>
      <c r="F470" s="25">
        <f>SUMIFS('Daftar Koreksi'!$H$5:$H$92,'Daftar Koreksi'!$D$5:$D$92,'0600'!A466,'Daftar Koreksi'!$G$5:$G$92,"Tanah",'Daftar Koreksi'!$H$5:$H$92,"&lt;0")-SUMIFS('Daftar Koreksi'!$H$5:$H$92,'Daftar Koreksi'!$D$5:$D$92,'0600'!A466,'Daftar Koreksi'!$G$5:$G$92,"Tanah",'Daftar Koreksi'!$H$5:$H$92,"&lt;0")-SUMIFS('Daftar Koreksi'!$H$5:$H$92,'Daftar Koreksi'!$D$5:$D$92,'0600'!A466,'Daftar Koreksi'!$G$5:$G$92,"Tanah",'Daftar Koreksi'!$H$5:$H$92,"&lt;0")</f>
        <v>0</v>
      </c>
      <c r="G470" s="17">
        <f t="shared" ref="G470:G486" si="21">D470+E470-F470</f>
        <v>1150953750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1399916037</v>
      </c>
      <c r="E471" s="25">
        <f>SUMIFS('Daftar Koreksi'!$H$5:$H$92,'Daftar Koreksi'!$D$5:$D$92,'0600'!A466,'Daftar Koreksi'!$G$5:$G$92,"Peralatan dan mesin",'Daftar Koreksi'!$H$5:$H$92,"&gt;0")</f>
        <v>0</v>
      </c>
      <c r="F471" s="25">
        <f>SUMIFS('Daftar Koreksi'!$H$5:$H$92,'Daftar Koreksi'!$D$5:$D$92,'0600'!A466,'Daftar Koreksi'!$G$5:$G$92,"Peralatan dan mesin",'Daftar Koreksi'!$H$5:$H$92,"&lt;0")-SUMIFS('Daftar Koreksi'!$H$5:$H$92,'Daftar Koreksi'!$D$5:$D$92,'0600'!A466,'Daftar Koreksi'!$G$5:$G$92,"Peralatan dan mesin",'Daftar Koreksi'!$H$5:$H$92,"&lt;0")-SUMIFS('Daftar Koreksi'!$H$5:$H$92,'Daftar Koreksi'!$D$5:$D$92,'0600'!A466,'Daftar Koreksi'!$G$5:$G$92,"Peralatan dan mesin",'Daftar Koreksi'!$H$5:$H$92,"&lt;0")</f>
        <v>0</v>
      </c>
      <c r="G471" s="17">
        <f t="shared" si="21"/>
        <v>1399916037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6573092096</v>
      </c>
      <c r="E472" s="25">
        <f>SUMIFS('Daftar Koreksi'!$H$5:$H$92,'Daftar Koreksi'!$D$5:$D$92,'0600'!A466,'Daftar Koreksi'!$G$5:$G$92,"Gedung dan Bangunan",'Daftar Koreksi'!$H$5:$H$92,"&gt;0")</f>
        <v>0</v>
      </c>
      <c r="F472" s="25">
        <f>SUMIFS('Daftar Koreksi'!$H$5:$H$92,'Daftar Koreksi'!$D$5:$D$92,'0600'!A466,'Daftar Koreksi'!$G$5:$G$92,"Gedung dan Bangunan",'Daftar Koreksi'!$H$5:$H$92,"&lt;0")-SUMIFS('Daftar Koreksi'!$H$5:$H$92,'Daftar Koreksi'!$D$5:$D$92,'0600'!A466,'Daftar Koreksi'!$G$5:$G$92,"Gedung dan Bangunan",'Daftar Koreksi'!$H$5:$H$92,"&lt;0")-SUMIFS('Daftar Koreksi'!$H$5:$H$92,'Daftar Koreksi'!$D$5:$D$92,'0600'!A466,'Daftar Koreksi'!$G$5:$G$92,"Gedung dan Bangunan",'Daftar Koreksi'!$H$5:$H$92,"&lt;0")</f>
        <v>0</v>
      </c>
      <c r="G472" s="17">
        <f t="shared" si="21"/>
        <v>6573092096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Koreksi'!$D$5:$D$92,'0600'!A466,'Daftar Koreksi'!$G$5:$G$92,"Jalan Irigasi Jaringan",'Daftar Koreksi'!$H$5:$H$92,"&gt;0")</f>
        <v>0</v>
      </c>
      <c r="F473" s="25">
        <f>SUMIFS('Daftar Koreksi'!$H$5:$H$92,'Daftar Koreksi'!$D$5:$D$92,'0600'!A466,'Daftar Koreksi'!$G$5:$G$92,"Jalan Irigasi Jaringan",'Daftar Koreksi'!$H$5:$H$92,"&lt;0")-SUMIFS('Daftar Koreksi'!$H$5:$H$92,'Daftar Koreksi'!$D$5:$D$92,'0600'!A466,'Daftar Koreksi'!$G$5:$G$92,"Jalan Irigasi Jaringan",'Daftar Koreksi'!$H$5:$H$92,"&lt;0")-SUMIFS('Daftar Koreksi'!$H$5:$H$92,'Daftar Koreksi'!$D$5:$D$92,'0600'!A466,'Daftar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0</v>
      </c>
      <c r="E474" s="25">
        <f>SUMIFS('Daftar Koreksi'!$H$5:$H$92,'Daftar Koreksi'!$D$5:$D$92,'0600'!A466,'Daftar Koreksi'!$G$5:$G$92,"Aset Tetap Lainnya",'Daftar Koreksi'!$H$5:$H$92,"&gt;0")</f>
        <v>0</v>
      </c>
      <c r="F474" s="25">
        <f>SUMIFS('Daftar Koreksi'!$H$5:$H$92,'Daftar Koreksi'!$D$5:$D$92,'0600'!A466,'Daftar Koreksi'!$G$5:$G$92,"Aset Tetap Lainnya",'Daftar Koreksi'!$H$5:$H$92,"&lt;0")-SUMIFS('Daftar Koreksi'!$H$5:$H$92,'Daftar Koreksi'!$D$5:$D$92,'0600'!A466,'Daftar Koreksi'!$G$5:$G$92,"Aset Tetap Lainnya",'Daftar Koreksi'!$H$5:$H$92,"&lt;0")-SUMIFS('Daftar Koreksi'!$H$5:$H$92,'Daftar Koreksi'!$D$5:$D$92,'0600'!A466,'Daftar Koreksi'!$G$5:$G$92,"Aset Tetap Lainnya",'Daftar Koreksi'!$H$5:$H$92,"&lt;0")</f>
        <v>0</v>
      </c>
      <c r="G474" s="17">
        <f t="shared" si="21"/>
        <v>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Koreksi'!$D$5:$D$92,'0600'!A466,'Daftar Koreksi'!$G$5:$G$92,"Kontruksi Dalam Pengerjaan",'Daftar Koreksi'!$H$5:$H$92,"&gt;0")</f>
        <v>0</v>
      </c>
      <c r="F475" s="25">
        <f>SUMIFS('Daftar Koreksi'!$H$5:$H$92,'Daftar Koreksi'!$D$5:$D$92,'0600'!A466,'Daftar Koreksi'!$G$5:$G$92,"Kontruksi Dalam Pengerjaan",'Daftar Koreksi'!$H$5:$H$92,"&lt;0")-SUMIFS('Daftar Koreksi'!$H$5:$H$92,'Daftar Koreksi'!$D$5:$D$92,'0600'!A466,'Daftar Koreksi'!$G$5:$G$92,"Kontruksi Dalam Pengerjaan",'Daftar Koreksi'!$H$5:$H$92,"&lt;0")-SUMIFS('Daftar Koreksi'!$H$5:$H$92,'Daftar Koreksi'!$D$5:$D$92,'0600'!A466,'Daftar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Koreksi'!$D$5:$D$92,'0600'!A466,'Daftar Koreksi'!$G$5:$G$92,"Aset Tak Berwujud",'Daftar Koreksi'!$H$5:$H$92,"&gt;0")</f>
        <v>0</v>
      </c>
      <c r="F476" s="25">
        <f>SUMIFS('Daftar Koreksi'!$H$5:$H$92,'Daftar Koreksi'!$D$5:$D$92,'0600'!A466,'Daftar Koreksi'!$G$5:$G$92,"Aset Tak Berwujud",'Daftar Koreksi'!$H$5:$H$92,"&lt;0")-SUMIFS('Daftar Koreksi'!$H$5:$H$92,'Daftar Koreksi'!$D$5:$D$92,'0600'!A466,'Daftar Koreksi'!$G$5:$G$92,"Aset Tak Berwujud",'Daftar Koreksi'!$H$5:$H$92,"&lt;0")-SUMIFS('Daftar Koreksi'!$H$5:$H$92,'Daftar Koreksi'!$D$5:$D$92,'0600'!A466,'Daftar Koreksi'!$G$5:$G$92,"Aset Tak Berwujud",'Daftar Koreksi'!$H$5:$H$92,"&lt;0")</f>
        <v>0</v>
      </c>
      <c r="G476" s="17">
        <f t="shared" si="21"/>
        <v>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3414000</v>
      </c>
      <c r="E477" s="25">
        <f>SUMIFS('Daftar Koreksi'!$H$5:$H$92,'Daftar Koreksi'!$D$5:$D$92,'0600'!A466,'Daftar Koreksi'!$G$5:$G$92,"Aset Henti Guna",'Daftar Koreksi'!$H$5:$H$92,"&gt;0")</f>
        <v>0</v>
      </c>
      <c r="F477" s="25">
        <f>SUMIFS('Daftar Koreksi'!$H$5:$H$92,'Daftar Koreksi'!$D$5:$D$92,'0600'!A466,'Daftar Koreksi'!$G$5:$G$92,"Aset Henti Guna",'Daftar Koreksi'!$H$5:$H$92,"&lt;0")-SUMIFS('Daftar Koreksi'!$H$5:$H$92,'Daftar Koreksi'!$D$5:$D$92,'0600'!A466,'Daftar Koreksi'!$G$5:$G$92,"Aset Henti Guna",'Daftar Koreksi'!$H$5:$H$92,"&lt;0")-SUMIFS('Daftar Koreksi'!$H$5:$H$92,'Daftar Koreksi'!$D$5:$D$92,'0600'!A466,'Daftar Koreksi'!$G$5:$G$92,"Aset Henti Guna",'Daftar Koreksi'!$H$5:$H$92,"&lt;0")</f>
        <v>0</v>
      </c>
      <c r="G477" s="17">
        <f t="shared" si="21"/>
        <v>3414000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9129651883</v>
      </c>
      <c r="E478" s="19">
        <f>SUM(E469:E477)</f>
        <v>0</v>
      </c>
      <c r="F478" s="19">
        <f>SUM(F469:F477)</f>
        <v>0</v>
      </c>
      <c r="G478" s="19">
        <f t="shared" si="21"/>
        <v>9129651883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-1208998537</v>
      </c>
      <c r="E479" s="25">
        <f>SUMIFS('Daftar Koreksi'!$I$5:$I$92,'Daftar Koreksi'!$D$5:$D$92,'0600'!A466,'Daftar Koreksi'!$G$5:$G$92,"Peralatan dan mesin",'Daftar Koreksi'!$I$5:$I$92,"&gt;0")</f>
        <v>0</v>
      </c>
      <c r="F479" s="25">
        <f>SUMIFS('Daftar Koreksi'!$I$5:$I$92,'Daftar Koreksi'!$D$5:$D$92,'0600'!A466,'Daftar Koreksi'!$G$5:$G$92,"Peralatan dan mesin",'Daftar Koreksi'!$I$5:$I$92,"&lt;0")-SUMIFS('Daftar Koreksi'!$I$5:$I$92,'Daftar Koreksi'!$D$5:$D$92,'0600'!A466,'Daftar Koreksi'!$G$5:$G$92,"Peralatan dan mesin",'Daftar Koreksi'!$I$5:$I$92,"&lt;0")-SUMIFS('Daftar Koreksi'!$I$5:$I$92,'Daftar Koreksi'!$D$5:$D$92,'0600'!A466,'Daftar Koreksi'!$G$5:$G$92,"Peralatan dan mesin",'Daftar Koreksi'!$I$5:$I$92,"&lt;0")</f>
        <v>0</v>
      </c>
      <c r="G479" s="17">
        <f t="shared" si="21"/>
        <v>-1208998537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-933870001</v>
      </c>
      <c r="E480" s="25">
        <f>SUMIFS('Daftar Koreksi'!$I$5:$I$92,'Daftar Koreksi'!$D$5:$D$92,'0600'!A466,'Daftar Koreksi'!$G$5:$G$92,"Gedung dan Bangunan",'Daftar Koreksi'!$I$5:$I$92,"&gt;0")</f>
        <v>0</v>
      </c>
      <c r="F480" s="25">
        <f>SUMIFS('Daftar Koreksi'!$I$5:$I$92,'Daftar Koreksi'!$D$5:$D$92,'0600'!A466,'Daftar Koreksi'!$G$5:$G$92,"Gedung dan Bangunan",'Daftar Koreksi'!$I$5:$I$92,"&lt;0")-SUMIFS('Daftar Koreksi'!$I$5:$I$92,'Daftar Koreksi'!$D$5:$D$92,'0600'!A466,'Daftar Koreksi'!$G$5:$G$92,"Gedung dan Bangunan",'Daftar Koreksi'!$I$5:$I$92,"&lt;0")-SUMIFS('Daftar Koreksi'!$I$5:$I$92,'Daftar Koreksi'!$D$5:$D$92,'0600'!A466,'Daftar Koreksi'!$G$5:$G$92,"Gedung dan Bangunan",'Daftar Koreksi'!$I$5:$I$92,"&lt;0")</f>
        <v>0</v>
      </c>
      <c r="G480" s="17">
        <f t="shared" si="21"/>
        <v>-933870001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Koreksi'!$D$5:$D$92,'0600'!A466,'Daftar Koreksi'!$G$5:$G$92,"Jalan Irigasi Jaringan",'Daftar Koreksi'!$I$5:$I$92,"&gt;0")</f>
        <v>0</v>
      </c>
      <c r="F481" s="25">
        <f>SUMIFS('Daftar Koreksi'!$I$5:$I$92,'Daftar Koreksi'!$D$5:$D$92,'0600'!A466,'Daftar Koreksi'!$G$5:$G$92,"Jalan Irigasi Jaringan",'Daftar Koreksi'!$I$5:$I$92,"&lt;0")-SUMIFS('Daftar Koreksi'!$I$5:$I$92,'Daftar Koreksi'!$D$5:$D$92,'0600'!A466,'Daftar Koreksi'!$G$5:$G$92,"Jalan Irigasi Jaringan",'Daftar Koreksi'!$I$5:$I$92,"&lt;0")-SUMIFS('Daftar Koreksi'!$I$5:$I$92,'Daftar Koreksi'!$D$5:$D$92,'0600'!A466,'Daftar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Koreksi'!$D$5:$D$92,'0600'!A466,'Daftar Koreksi'!$G$5:$G$92,"Aset Tetap Lainnya",'Daftar Koreksi'!$I$5:$I$92,"&gt;0")</f>
        <v>0</v>
      </c>
      <c r="F482" s="25">
        <f>SUMIFS('Daftar Koreksi'!$I$5:$I$92,'Daftar Koreksi'!$D$5:$D$92,'0600'!A466,'Daftar Koreksi'!$G$5:$G$92,"Aset Tetap Lainnya",'Daftar Koreksi'!$I$5:$I$92,"&lt;0")-SUMIFS('Daftar Koreksi'!$I$5:$I$92,'Daftar Koreksi'!$D$5:$D$92,'0600'!A466,'Daftar Koreksi'!$G$5:$G$92,"Aset Tetap Lainnya",'Daftar Koreksi'!$I$5:$I$92,"&lt;0")-SUMIFS('Daftar Koreksi'!$I$5:$I$92,'Daftar Koreksi'!$D$5:$D$92,'0600'!A466,'Daftar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-3414000</v>
      </c>
      <c r="E483" s="25">
        <f>SUMIFS('Daftar Koreksi'!$I$5:$I$92,'Daftar Koreksi'!$D$5:$D$92,'0600'!A466,'Daftar Koreksi'!$G$5:$G$92,"Aset Henti Guna",'Daftar Koreksi'!$I$5:$I$92,"&gt;0")</f>
        <v>0</v>
      </c>
      <c r="F483" s="25">
        <f>SUMIFS('Daftar Koreksi'!$I$5:$I$92,'Daftar Koreksi'!$D$5:$D$92,'0600'!A466,'Daftar Koreksi'!$G$5:$G$92,"Aset Henti Guna",'Daftar Koreksi'!$I$5:$I$92,"&lt;0")-SUMIFS('Daftar Koreksi'!$I$5:$I$92,'Daftar Koreksi'!$D$5:$D$92,'0600'!A466,'Daftar Koreksi'!$G$5:$G$92,"Aset Henti Guna",'Daftar Koreksi'!$I$5:$I$92,"&lt;0")-SUMIFS('Daftar Koreksi'!$I$5:$I$92,'Daftar Koreksi'!$D$5:$D$92,'0600'!A466,'Daftar Koreksi'!$G$5:$G$92,"Aset Henti Guna",'Daftar Koreksi'!$I$5:$I$92,"&lt;0")</f>
        <v>0</v>
      </c>
      <c r="G483" s="17">
        <f t="shared" si="21"/>
        <v>-3414000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-2146282538</v>
      </c>
      <c r="E484" s="19">
        <f>SUM(E479:E483)</f>
        <v>0</v>
      </c>
      <c r="F484" s="19">
        <f>SUM(F479:F483)</f>
        <v>0</v>
      </c>
      <c r="G484" s="19">
        <f t="shared" si="21"/>
        <v>-2146282538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6983369345</v>
      </c>
      <c r="E485" s="19">
        <f>E484+E478</f>
        <v>0</v>
      </c>
      <c r="F485" s="19">
        <f>F484+F478</f>
        <v>0</v>
      </c>
      <c r="G485" s="19">
        <f t="shared" si="21"/>
        <v>6983369345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005010600401611000KD</v>
      </c>
      <c r="B488" s="11" t="str">
        <f>P23</f>
        <v>Mahkamah Syar'iyah Sigli</v>
      </c>
      <c r="C488" s="12" t="str">
        <f>A488&amp;" "&amp;B488</f>
        <v>005010600401611000KD Mahkamah Syar'iyah Sigli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342700</v>
      </c>
      <c r="E491" s="25">
        <f>SUMIFS('Daftar Koreksi'!$H$5:$H$92,'Daftar Koreksi'!$D$5:$D$92,'0600'!A488,'Daftar Koreksi'!$G$5:$G$92,"Persediaan",'Daftar Koreksi'!$H$5:$H$92,"&gt;0")</f>
        <v>0</v>
      </c>
      <c r="F491" s="25">
        <f>SUMIFS('Daftar Koreksi'!$H$5:$H$92,'Daftar Koreksi'!$D$5:$D$92,'0600'!A488,'Daftar Koreksi'!$G$5:$G$92,"Persediaan",'Daftar Koreksi'!$H$5:$H$92,"&lt;0")-SUMIFS('Daftar Koreksi'!$H$5:$H$92,'Daftar Koreksi'!$D$5:$D$92,'0600'!A488,'Daftar Koreksi'!$G$5:$G$92,"Persediaan",'Daftar Koreksi'!$H$5:$H$92,"&lt;0")-SUMIFS('Daftar Koreksi'!$H$5:$H$92,'Daftar Koreksi'!$D$5:$D$92,'0600'!A488,'Daftar Koreksi'!$G$5:$G$92,"Persediaan",'Daftar Koreksi'!$H$5:$H$92,"&lt;0")</f>
        <v>0</v>
      </c>
      <c r="G491" s="17">
        <f>D491+E491-F491</f>
        <v>342700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1740831400</v>
      </c>
      <c r="E492" s="25">
        <f>SUMIFS('Daftar Koreksi'!$H$5:$H$92,'Daftar Koreksi'!$D$5:$D$92,'0600'!A488,'Daftar Koreksi'!$G$5:$G$92,"Tanah",'Daftar Koreksi'!$H$5:$H$92,"&gt;0")</f>
        <v>0</v>
      </c>
      <c r="F492" s="25">
        <f>SUMIFS('Daftar Koreksi'!$H$5:$H$92,'Daftar Koreksi'!$D$5:$D$92,'0600'!A488,'Daftar Koreksi'!$G$5:$G$92,"Tanah",'Daftar Koreksi'!$H$5:$H$92,"&lt;0")-SUMIFS('Daftar Koreksi'!$H$5:$H$92,'Daftar Koreksi'!$D$5:$D$92,'0600'!A488,'Daftar Koreksi'!$G$5:$G$92,"Tanah",'Daftar Koreksi'!$H$5:$H$92,"&lt;0")-SUMIFS('Daftar Koreksi'!$H$5:$H$92,'Daftar Koreksi'!$D$5:$D$92,'0600'!A488,'Daftar Koreksi'!$G$5:$G$92,"Tanah",'Daftar Koreksi'!$H$5:$H$92,"&lt;0")</f>
        <v>0</v>
      </c>
      <c r="G492" s="17">
        <f t="shared" ref="G492:G508" si="22">D492+E492-F492</f>
        <v>1740831400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1197963737</v>
      </c>
      <c r="E493" s="25">
        <f>SUMIFS('Daftar Koreksi'!$H$5:$H$92,'Daftar Koreksi'!$D$5:$D$92,'0600'!A488,'Daftar Koreksi'!$G$5:$G$92,"Peralatan dan mesin",'Daftar Koreksi'!$H$5:$H$92,"&gt;0")</f>
        <v>0</v>
      </c>
      <c r="F493" s="25">
        <f>SUMIFS('Daftar Koreksi'!$H$5:$H$92,'Daftar Koreksi'!$D$5:$D$92,'0600'!A488,'Daftar Koreksi'!$G$5:$G$92,"Peralatan dan mesin",'Daftar Koreksi'!$H$5:$H$92,"&lt;0")-SUMIFS('Daftar Koreksi'!$H$5:$H$92,'Daftar Koreksi'!$D$5:$D$92,'0600'!A488,'Daftar Koreksi'!$G$5:$G$92,"Peralatan dan mesin",'Daftar Koreksi'!$H$5:$H$92,"&lt;0")-SUMIFS('Daftar Koreksi'!$H$5:$H$92,'Daftar Koreksi'!$D$5:$D$92,'0600'!A488,'Daftar Koreksi'!$G$5:$G$92,"Peralatan dan mesin",'Daftar Koreksi'!$H$5:$H$92,"&lt;0")</f>
        <v>0</v>
      </c>
      <c r="G493" s="17">
        <f t="shared" si="22"/>
        <v>1197963737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8481237000</v>
      </c>
      <c r="E494" s="25">
        <f>SUMIFS('Daftar Koreksi'!$H$5:$H$92,'Daftar Koreksi'!$D$5:$D$92,'0600'!A488,'Daftar Koreksi'!$G$5:$G$92,"Gedung dan Bangunan",'Daftar Koreksi'!$H$5:$H$92,"&gt;0")</f>
        <v>0</v>
      </c>
      <c r="F494" s="25">
        <f>SUMIFS('Daftar Koreksi'!$H$5:$H$92,'Daftar Koreksi'!$D$5:$D$92,'0600'!A488,'Daftar Koreksi'!$G$5:$G$92,"Gedung dan Bangunan",'Daftar Koreksi'!$H$5:$H$92,"&lt;0")-SUMIFS('Daftar Koreksi'!$H$5:$H$92,'Daftar Koreksi'!$D$5:$D$92,'0600'!A488,'Daftar Koreksi'!$G$5:$G$92,"Gedung dan Bangunan",'Daftar Koreksi'!$H$5:$H$92,"&lt;0")-SUMIFS('Daftar Koreksi'!$H$5:$H$92,'Daftar Koreksi'!$D$5:$D$92,'0600'!A488,'Daftar Koreksi'!$G$5:$G$92,"Gedung dan Bangunan",'Daftar Koreksi'!$H$5:$H$92,"&lt;0")</f>
        <v>0</v>
      </c>
      <c r="G494" s="17">
        <f t="shared" si="22"/>
        <v>8481237000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27000000</v>
      </c>
      <c r="E495" s="25">
        <f>SUMIFS('Daftar Koreksi'!$H$5:$H$92,'Daftar Koreksi'!$D$5:$D$92,'0600'!A488,'Daftar Koreksi'!$G$5:$G$92,"Jalan Irigasi Jaringan",'Daftar Koreksi'!$H$5:$H$92,"&gt;0")</f>
        <v>0</v>
      </c>
      <c r="F495" s="25">
        <f>SUMIFS('Daftar Koreksi'!$H$5:$H$92,'Daftar Koreksi'!$D$5:$D$92,'0600'!A488,'Daftar Koreksi'!$G$5:$G$92,"Jalan Irigasi Jaringan",'Daftar Koreksi'!$H$5:$H$92,"&lt;0")-SUMIFS('Daftar Koreksi'!$H$5:$H$92,'Daftar Koreksi'!$D$5:$D$92,'0600'!A488,'Daftar Koreksi'!$G$5:$G$92,"Jalan Irigasi Jaringan",'Daftar Koreksi'!$H$5:$H$92,"&lt;0")-SUMIFS('Daftar Koreksi'!$H$5:$H$92,'Daftar Koreksi'!$D$5:$D$92,'0600'!A488,'Daftar Koreksi'!$G$5:$G$92,"Jalan Irigasi Jaringan",'Daftar Koreksi'!$H$5:$H$92,"&lt;0")</f>
        <v>0</v>
      </c>
      <c r="G495" s="17">
        <f t="shared" si="22"/>
        <v>27000000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0</v>
      </c>
      <c r="E496" s="25">
        <f>SUMIFS('Daftar Koreksi'!$H$5:$H$92,'Daftar Koreksi'!$D$5:$D$92,'0600'!A488,'Daftar Koreksi'!$G$5:$G$92,"Aset Tetap Lainnya",'Daftar Koreksi'!$H$5:$H$92,"&gt;0")</f>
        <v>0</v>
      </c>
      <c r="F496" s="25">
        <f>SUMIFS('Daftar Koreksi'!$H$5:$H$92,'Daftar Koreksi'!$D$5:$D$92,'0600'!A488,'Daftar Koreksi'!$G$5:$G$92,"Aset Tetap Lainnya",'Daftar Koreksi'!$H$5:$H$92,"&lt;0")-SUMIFS('Daftar Koreksi'!$H$5:$H$92,'Daftar Koreksi'!$D$5:$D$92,'0600'!A488,'Daftar Koreksi'!$G$5:$G$92,"Aset Tetap Lainnya",'Daftar Koreksi'!$H$5:$H$92,"&lt;0")-SUMIFS('Daftar Koreksi'!$H$5:$H$92,'Daftar Koreksi'!$D$5:$D$92,'0600'!A488,'Daftar Koreksi'!$G$5:$G$92,"Aset Tetap Lainnya",'Daftar Koreksi'!$H$5:$H$92,"&lt;0")</f>
        <v>0</v>
      </c>
      <c r="G496" s="17">
        <f t="shared" si="22"/>
        <v>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Koreksi'!$D$5:$D$92,'0600'!A488,'Daftar Koreksi'!$G$5:$G$92,"Kontruksi Dalam Pengerjaan",'Daftar Koreksi'!$H$5:$H$92,"&gt;0")</f>
        <v>0</v>
      </c>
      <c r="F497" s="25">
        <f>SUMIFS('Daftar Koreksi'!$H$5:$H$92,'Daftar Koreksi'!$D$5:$D$92,'0600'!A488,'Daftar Koreksi'!$G$5:$G$92,"Kontruksi Dalam Pengerjaan",'Daftar Koreksi'!$H$5:$H$92,"&lt;0")-SUMIFS('Daftar Koreksi'!$H$5:$H$92,'Daftar Koreksi'!$D$5:$D$92,'0600'!A488,'Daftar Koreksi'!$G$5:$G$92,"Kontruksi Dalam Pengerjaan",'Daftar Koreksi'!$H$5:$H$92,"&lt;0")-SUMIFS('Daftar Koreksi'!$H$5:$H$92,'Daftar Koreksi'!$D$5:$D$92,'0600'!A488,'Daftar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Koreksi'!$D$5:$D$92,'0600'!A488,'Daftar Koreksi'!$G$5:$G$92,"Aset Tak Berwujud",'Daftar Koreksi'!$H$5:$H$92,"&gt;0")</f>
        <v>0</v>
      </c>
      <c r="F498" s="25">
        <f>SUMIFS('Daftar Koreksi'!$H$5:$H$92,'Daftar Koreksi'!$D$5:$D$92,'0600'!A488,'Daftar Koreksi'!$G$5:$G$92,"Aset Tak Berwujud",'Daftar Koreksi'!$H$5:$H$92,"&lt;0")-SUMIFS('Daftar Koreksi'!$H$5:$H$92,'Daftar Koreksi'!$D$5:$D$92,'0600'!A488,'Daftar Koreksi'!$G$5:$G$92,"Aset Tak Berwujud",'Daftar Koreksi'!$H$5:$H$92,"&lt;0")-SUMIFS('Daftar Koreksi'!$H$5:$H$92,'Daftar Koreksi'!$D$5:$D$92,'0600'!A488,'Daftar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134447110</v>
      </c>
      <c r="E499" s="25">
        <f>SUMIFS('Daftar Koreksi'!$H$5:$H$92,'Daftar Koreksi'!$D$5:$D$92,'0600'!A488,'Daftar Koreksi'!$G$5:$G$92,"Aset Henti Guna",'Daftar Koreksi'!$H$5:$H$92,"&gt;0")</f>
        <v>0</v>
      </c>
      <c r="F499" s="25">
        <f>SUMIFS('Daftar Koreksi'!$H$5:$H$92,'Daftar Koreksi'!$D$5:$D$92,'0600'!A488,'Daftar Koreksi'!$G$5:$G$92,"Aset Henti Guna",'Daftar Koreksi'!$H$5:$H$92,"&lt;0")-SUMIFS('Daftar Koreksi'!$H$5:$H$92,'Daftar Koreksi'!$D$5:$D$92,'0600'!A488,'Daftar Koreksi'!$G$5:$G$92,"Aset Henti Guna",'Daftar Koreksi'!$H$5:$H$92,"&lt;0")-SUMIFS('Daftar Koreksi'!$H$5:$H$92,'Daftar Koreksi'!$D$5:$D$92,'0600'!A488,'Daftar Koreksi'!$G$5:$G$92,"Aset Henti Guna",'Daftar Koreksi'!$H$5:$H$92,"&lt;0")</f>
        <v>0</v>
      </c>
      <c r="G499" s="17">
        <f t="shared" si="22"/>
        <v>134447110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11581821947</v>
      </c>
      <c r="E500" s="19">
        <f>SUM(E491:E499)</f>
        <v>0</v>
      </c>
      <c r="F500" s="19">
        <f>SUM(F491:F499)</f>
        <v>0</v>
      </c>
      <c r="G500" s="19">
        <f t="shared" si="22"/>
        <v>11581821947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-927614261</v>
      </c>
      <c r="E501" s="25">
        <f>SUMIFS('Daftar Koreksi'!$I$5:$I$92,'Daftar Koreksi'!$D$5:$D$92,'0600'!A488,'Daftar Koreksi'!$G$5:$G$92,"Peralatan dan mesin",'Daftar Koreksi'!$I$5:$I$92,"&gt;0")</f>
        <v>0</v>
      </c>
      <c r="F501" s="25">
        <f>SUMIFS('Daftar Koreksi'!$I$5:$I$92,'Daftar Koreksi'!$D$5:$D$92,'0600'!A488,'Daftar Koreksi'!$G$5:$G$92,"Peralatan dan mesin",'Daftar Koreksi'!$I$5:$I$92,"&lt;0")-SUMIFS('Daftar Koreksi'!$I$5:$I$92,'Daftar Koreksi'!$D$5:$D$92,'0600'!A488,'Daftar Koreksi'!$G$5:$G$92,"Peralatan dan mesin",'Daftar Koreksi'!$I$5:$I$92,"&lt;0")-SUMIFS('Daftar Koreksi'!$I$5:$I$92,'Daftar Koreksi'!$D$5:$D$92,'0600'!A488,'Daftar Koreksi'!$G$5:$G$92,"Peralatan dan mesin",'Daftar Koreksi'!$I$5:$I$92,"&lt;0")</f>
        <v>0</v>
      </c>
      <c r="G501" s="17">
        <f t="shared" si="22"/>
        <v>-927614261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-1087013659</v>
      </c>
      <c r="E502" s="25">
        <f>SUMIFS('Daftar Koreksi'!$I$5:$I$92,'Daftar Koreksi'!$D$5:$D$92,'0600'!A488,'Daftar Koreksi'!$G$5:$G$92,"Gedung dan Bangunan",'Daftar Koreksi'!$I$5:$I$92,"&gt;0")</f>
        <v>0</v>
      </c>
      <c r="F502" s="25">
        <f>SUMIFS('Daftar Koreksi'!$I$5:$I$92,'Daftar Koreksi'!$D$5:$D$92,'0600'!A488,'Daftar Koreksi'!$G$5:$G$92,"Gedung dan Bangunan",'Daftar Koreksi'!$I$5:$I$92,"&lt;0")-SUMIFS('Daftar Koreksi'!$I$5:$I$92,'Daftar Koreksi'!$D$5:$D$92,'0600'!A488,'Daftar Koreksi'!$G$5:$G$92,"Gedung dan Bangunan",'Daftar Koreksi'!$I$5:$I$92,"&lt;0")-SUMIFS('Daftar Koreksi'!$I$5:$I$92,'Daftar Koreksi'!$D$5:$D$92,'0600'!A488,'Daftar Koreksi'!$G$5:$G$92,"Gedung dan Bangunan",'Daftar Koreksi'!$I$5:$I$92,"&lt;0")</f>
        <v>0</v>
      </c>
      <c r="G502" s="17">
        <f t="shared" si="22"/>
        <v>-1087013659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-6750000</v>
      </c>
      <c r="E503" s="25">
        <f>SUMIFS('Daftar Koreksi'!$I$5:$I$92,'Daftar Koreksi'!$D$5:$D$92,'0600'!A488,'Daftar Koreksi'!$G$5:$G$92,"Jalan Irigasi Jaringan",'Daftar Koreksi'!$I$5:$I$92,"&gt;0")</f>
        <v>0</v>
      </c>
      <c r="F503" s="25">
        <f>SUMIFS('Daftar Koreksi'!$I$5:$I$92,'Daftar Koreksi'!$D$5:$D$92,'0600'!A488,'Daftar Koreksi'!$G$5:$G$92,"Jalan Irigasi Jaringan",'Daftar Koreksi'!$I$5:$I$92,"&lt;0")-SUMIFS('Daftar Koreksi'!$I$5:$I$92,'Daftar Koreksi'!$D$5:$D$92,'0600'!A488,'Daftar Koreksi'!$G$5:$G$92,"Jalan Irigasi Jaringan",'Daftar Koreksi'!$I$5:$I$92,"&lt;0")-SUMIFS('Daftar Koreksi'!$I$5:$I$92,'Daftar Koreksi'!$D$5:$D$92,'0600'!A488,'Daftar Koreksi'!$G$5:$G$92,"Jalan Irigasi Jaringan",'Daftar Koreksi'!$I$5:$I$92,"&lt;0")</f>
        <v>0</v>
      </c>
      <c r="G503" s="17">
        <f t="shared" si="22"/>
        <v>-6750000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Koreksi'!$D$5:$D$92,'0600'!A488,'Daftar Koreksi'!$G$5:$G$92,"Aset Tetap Lainnya",'Daftar Koreksi'!$I$5:$I$92,"&gt;0")</f>
        <v>0</v>
      </c>
      <c r="F504" s="25">
        <f>SUMIFS('Daftar Koreksi'!$I$5:$I$92,'Daftar Koreksi'!$D$5:$D$92,'0600'!A488,'Daftar Koreksi'!$G$5:$G$92,"Aset Tetap Lainnya",'Daftar Koreksi'!$I$5:$I$92,"&lt;0")-SUMIFS('Daftar Koreksi'!$I$5:$I$92,'Daftar Koreksi'!$D$5:$D$92,'0600'!A488,'Daftar Koreksi'!$G$5:$G$92,"Aset Tetap Lainnya",'Daftar Koreksi'!$I$5:$I$92,"&lt;0")-SUMIFS('Daftar Koreksi'!$I$5:$I$92,'Daftar Koreksi'!$D$5:$D$92,'0600'!A488,'Daftar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-130223110</v>
      </c>
      <c r="E505" s="25">
        <f>SUMIFS('Daftar Koreksi'!$I$5:$I$92,'Daftar Koreksi'!$D$5:$D$92,'0600'!A488,'Daftar Koreksi'!$G$5:$G$92,"Aset Henti Guna",'Daftar Koreksi'!$I$5:$I$92,"&gt;0")</f>
        <v>0</v>
      </c>
      <c r="F505" s="25">
        <f>SUMIFS('Daftar Koreksi'!$I$5:$I$92,'Daftar Koreksi'!$D$5:$D$92,'0600'!A488,'Daftar Koreksi'!$G$5:$G$92,"Aset Henti Guna",'Daftar Koreksi'!$I$5:$I$92,"&lt;0")-SUMIFS('Daftar Koreksi'!$I$5:$I$92,'Daftar Koreksi'!$D$5:$D$92,'0600'!A488,'Daftar Koreksi'!$G$5:$G$92,"Aset Henti Guna",'Daftar Koreksi'!$I$5:$I$92,"&lt;0")-SUMIFS('Daftar Koreksi'!$I$5:$I$92,'Daftar Koreksi'!$D$5:$D$92,'0600'!A488,'Daftar Koreksi'!$G$5:$G$92,"Aset Henti Guna",'Daftar Koreksi'!$I$5:$I$92,"&lt;0")</f>
        <v>0</v>
      </c>
      <c r="G505" s="17">
        <f t="shared" si="22"/>
        <v>-130223110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-2151601030</v>
      </c>
      <c r="E506" s="19">
        <f>SUM(E501:E505)</f>
        <v>0</v>
      </c>
      <c r="F506" s="19">
        <f>SUM(F501:F505)</f>
        <v>0</v>
      </c>
      <c r="G506" s="19">
        <f t="shared" si="22"/>
        <v>-2151601030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9430220917</v>
      </c>
      <c r="E507" s="19">
        <f>E506+E500</f>
        <v>0</v>
      </c>
      <c r="F507" s="19">
        <f>F506+F500</f>
        <v>0</v>
      </c>
      <c r="G507" s="19">
        <f t="shared" si="22"/>
        <v>9430220917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005010600401627000KD</v>
      </c>
      <c r="B510" s="11" t="str">
        <f>P24</f>
        <v>Mahkamah Syar'iyah Meureudu</v>
      </c>
      <c r="C510" s="12" t="str">
        <f>A510&amp;" "&amp;B510</f>
        <v>005010600401627000KD Mahkamah Syar'iyah Meureudu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420000</v>
      </c>
      <c r="E513" s="25">
        <f>SUMIFS('Daftar Koreksi'!$H$5:$H$92,'Daftar Koreksi'!$D$5:$D$92,'0600'!A510,'Daftar Koreksi'!$G$5:$G$92,"Persediaan",'Daftar Koreksi'!$H$5:$H$92,"&gt;0")</f>
        <v>0</v>
      </c>
      <c r="F513" s="25">
        <f>SUMIFS('Daftar Koreksi'!$H$5:$H$92,'Daftar Koreksi'!$D$5:$D$92,'0600'!A510,'Daftar Koreksi'!$G$5:$G$92,"Persediaan",'Daftar Koreksi'!$H$5:$H$92,"&lt;0")-SUMIFS('Daftar Koreksi'!$H$5:$H$92,'Daftar Koreksi'!$D$5:$D$92,'0600'!A510,'Daftar Koreksi'!$G$5:$G$92,"Persediaan",'Daftar Koreksi'!$H$5:$H$92,"&lt;0")-SUMIFS('Daftar Koreksi'!$H$5:$H$92,'Daftar Koreksi'!$D$5:$D$92,'0600'!A510,'Daftar Koreksi'!$G$5:$G$92,"Persediaan",'Daftar Koreksi'!$H$5:$H$92,"&lt;0")</f>
        <v>0</v>
      </c>
      <c r="G513" s="17">
        <f>D513+E513-F513</f>
        <v>420000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491680000</v>
      </c>
      <c r="E514" s="25">
        <f>SUMIFS('Daftar Koreksi'!$H$5:$H$92,'Daftar Koreksi'!$D$5:$D$92,'0600'!A510,'Daftar Koreksi'!$G$5:$G$92,"Tanah",'Daftar Koreksi'!$H$5:$H$92,"&gt;0")</f>
        <v>0</v>
      </c>
      <c r="F514" s="25">
        <f>SUMIFS('Daftar Koreksi'!$H$5:$H$92,'Daftar Koreksi'!$D$5:$D$92,'0600'!A510,'Daftar Koreksi'!$G$5:$G$92,"Tanah",'Daftar Koreksi'!$H$5:$H$92,"&lt;0")-SUMIFS('Daftar Koreksi'!$H$5:$H$92,'Daftar Koreksi'!$D$5:$D$92,'0600'!A510,'Daftar Koreksi'!$G$5:$G$92,"Tanah",'Daftar Koreksi'!$H$5:$H$92,"&lt;0")-SUMIFS('Daftar Koreksi'!$H$5:$H$92,'Daftar Koreksi'!$D$5:$D$92,'0600'!A510,'Daftar Koreksi'!$G$5:$G$92,"Tanah",'Daftar Koreksi'!$H$5:$H$92,"&lt;0")</f>
        <v>0</v>
      </c>
      <c r="G514" s="17">
        <f t="shared" ref="G514:G530" si="23">D514+E514-F514</f>
        <v>491680000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998130634</v>
      </c>
      <c r="E515" s="25">
        <f>SUMIFS('Daftar Koreksi'!$H$5:$H$92,'Daftar Koreksi'!$D$5:$D$92,'0600'!A510,'Daftar Koreksi'!$G$5:$G$92,"Peralatan dan mesin",'Daftar Koreksi'!$H$5:$H$92,"&gt;0")</f>
        <v>0</v>
      </c>
      <c r="F515" s="25">
        <f>SUMIFS('Daftar Koreksi'!$H$5:$H$92,'Daftar Koreksi'!$D$5:$D$92,'0600'!A510,'Daftar Koreksi'!$G$5:$G$92,"Peralatan dan mesin",'Daftar Koreksi'!$H$5:$H$92,"&lt;0")-SUMIFS('Daftar Koreksi'!$H$5:$H$92,'Daftar Koreksi'!$D$5:$D$92,'0600'!A510,'Daftar Koreksi'!$G$5:$G$92,"Peralatan dan mesin",'Daftar Koreksi'!$H$5:$H$92,"&lt;0")-SUMIFS('Daftar Koreksi'!$H$5:$H$92,'Daftar Koreksi'!$D$5:$D$92,'0600'!A510,'Daftar Koreksi'!$G$5:$G$92,"Peralatan dan mesin",'Daftar Koreksi'!$H$5:$H$92,"&lt;0")</f>
        <v>0</v>
      </c>
      <c r="G515" s="17">
        <f t="shared" si="23"/>
        <v>998130634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9597564000</v>
      </c>
      <c r="E516" s="25">
        <f>SUMIFS('Daftar Koreksi'!$H$5:$H$92,'Daftar Koreksi'!$D$5:$D$92,'0600'!A510,'Daftar Koreksi'!$G$5:$G$92,"Gedung dan Bangunan",'Daftar Koreksi'!$H$5:$H$92,"&gt;0")</f>
        <v>0</v>
      </c>
      <c r="F516" s="25">
        <f>SUMIFS('Daftar Koreksi'!$H$5:$H$92,'Daftar Koreksi'!$D$5:$D$92,'0600'!A510,'Daftar Koreksi'!$G$5:$G$92,"Gedung dan Bangunan",'Daftar Koreksi'!$H$5:$H$92,"&lt;0")-SUMIFS('Daftar Koreksi'!$H$5:$H$92,'Daftar Koreksi'!$D$5:$D$92,'0600'!A510,'Daftar Koreksi'!$G$5:$G$92,"Gedung dan Bangunan",'Daftar Koreksi'!$H$5:$H$92,"&lt;0")-SUMIFS('Daftar Koreksi'!$H$5:$H$92,'Daftar Koreksi'!$D$5:$D$92,'0600'!A510,'Daftar Koreksi'!$G$5:$G$92,"Gedung dan Bangunan",'Daftar Koreksi'!$H$5:$H$92,"&lt;0")</f>
        <v>0</v>
      </c>
      <c r="G516" s="17">
        <f t="shared" si="23"/>
        <v>9597564000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0</v>
      </c>
      <c r="E517" s="25">
        <f>SUMIFS('Daftar Koreksi'!$H$5:$H$92,'Daftar Koreksi'!$D$5:$D$92,'0600'!A510,'Daftar Koreksi'!$G$5:$G$92,"Jalan Irigasi Jaringan",'Daftar Koreksi'!$H$5:$H$92,"&gt;0")</f>
        <v>0</v>
      </c>
      <c r="F517" s="25">
        <f>SUMIFS('Daftar Koreksi'!$H$5:$H$92,'Daftar Koreksi'!$D$5:$D$92,'0600'!A510,'Daftar Koreksi'!$G$5:$G$92,"Jalan Irigasi Jaringan",'Daftar Koreksi'!$H$5:$H$92,"&lt;0")-SUMIFS('Daftar Koreksi'!$H$5:$H$92,'Daftar Koreksi'!$D$5:$D$92,'0600'!A510,'Daftar Koreksi'!$G$5:$G$92,"Jalan Irigasi Jaringan",'Daftar Koreksi'!$H$5:$H$92,"&lt;0")-SUMIFS('Daftar Koreksi'!$H$5:$H$92,'Daftar Koreksi'!$D$5:$D$92,'0600'!A510,'Daftar Koreksi'!$G$5:$G$92,"Jalan Irigasi Jaringan",'Daftar Koreksi'!$H$5:$H$92,"&lt;0")</f>
        <v>0</v>
      </c>
      <c r="G517" s="17">
        <f t="shared" si="23"/>
        <v>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0</v>
      </c>
      <c r="E518" s="25">
        <f>SUMIFS('Daftar Koreksi'!$H$5:$H$92,'Daftar Koreksi'!$D$5:$D$92,'0600'!A510,'Daftar Koreksi'!$G$5:$G$92,"Aset Tetap Lainnya",'Daftar Koreksi'!$H$5:$H$92,"&gt;0")</f>
        <v>0</v>
      </c>
      <c r="F518" s="25">
        <f>SUMIFS('Daftar Koreksi'!$H$5:$H$92,'Daftar Koreksi'!$D$5:$D$92,'0600'!A510,'Daftar Koreksi'!$G$5:$G$92,"Aset Tetap Lainnya",'Daftar Koreksi'!$H$5:$H$92,"&lt;0")-SUMIFS('Daftar Koreksi'!$H$5:$H$92,'Daftar Koreksi'!$D$5:$D$92,'0600'!A510,'Daftar Koreksi'!$G$5:$G$92,"Aset Tetap Lainnya",'Daftar Koreksi'!$H$5:$H$92,"&lt;0")-SUMIFS('Daftar Koreksi'!$H$5:$H$92,'Daftar Koreksi'!$D$5:$D$92,'0600'!A510,'Daftar Koreksi'!$G$5:$G$92,"Aset Tetap Lainnya",'Daftar Koreksi'!$H$5:$H$92,"&lt;0")</f>
        <v>0</v>
      </c>
      <c r="G518" s="17">
        <f t="shared" si="23"/>
        <v>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Koreksi'!$D$5:$D$92,'0600'!A510,'Daftar Koreksi'!$G$5:$G$92,"Kontruksi Dalam Pengerjaan",'Daftar Koreksi'!$H$5:$H$92,"&gt;0")</f>
        <v>0</v>
      </c>
      <c r="F519" s="25">
        <f>SUMIFS('Daftar Koreksi'!$H$5:$H$92,'Daftar Koreksi'!$D$5:$D$92,'0600'!A510,'Daftar Koreksi'!$G$5:$G$92,"Kontruksi Dalam Pengerjaan",'Daftar Koreksi'!$H$5:$H$92,"&lt;0")-SUMIFS('Daftar Koreksi'!$H$5:$H$92,'Daftar Koreksi'!$D$5:$D$92,'0600'!A510,'Daftar Koreksi'!$G$5:$G$92,"Kontruksi Dalam Pengerjaan",'Daftar Koreksi'!$H$5:$H$92,"&lt;0")-SUMIFS('Daftar Koreksi'!$H$5:$H$92,'Daftar Koreksi'!$D$5:$D$92,'0600'!A510,'Daftar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0</v>
      </c>
      <c r="E520" s="25">
        <f>SUMIFS('Daftar Koreksi'!$H$5:$H$92,'Daftar Koreksi'!$D$5:$D$92,'0600'!A510,'Daftar Koreksi'!$G$5:$G$92,"Aset Tak Berwujud",'Daftar Koreksi'!$H$5:$H$92,"&gt;0")</f>
        <v>0</v>
      </c>
      <c r="F520" s="25">
        <f>SUMIFS('Daftar Koreksi'!$H$5:$H$92,'Daftar Koreksi'!$D$5:$D$92,'0600'!A510,'Daftar Koreksi'!$G$5:$G$92,"Aset Tak Berwujud",'Daftar Koreksi'!$H$5:$H$92,"&lt;0")-SUMIFS('Daftar Koreksi'!$H$5:$H$92,'Daftar Koreksi'!$D$5:$D$92,'0600'!A510,'Daftar Koreksi'!$G$5:$G$92,"Aset Tak Berwujud",'Daftar Koreksi'!$H$5:$H$92,"&lt;0")-SUMIFS('Daftar Koreksi'!$H$5:$H$92,'Daftar Koreksi'!$D$5:$D$92,'0600'!A510,'Daftar Koreksi'!$G$5:$G$92,"Aset Tak Berwujud",'Daftar Koreksi'!$H$5:$H$92,"&lt;0")</f>
        <v>0</v>
      </c>
      <c r="G520" s="17">
        <f t="shared" si="23"/>
        <v>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139848000</v>
      </c>
      <c r="E521" s="25">
        <f>SUMIFS('Daftar Koreksi'!$H$5:$H$92,'Daftar Koreksi'!$D$5:$D$92,'0600'!A510,'Daftar Koreksi'!$G$5:$G$92,"Aset Henti Guna",'Daftar Koreksi'!$H$5:$H$92,"&gt;0")</f>
        <v>0</v>
      </c>
      <c r="F521" s="25">
        <f>SUMIFS('Daftar Koreksi'!$H$5:$H$92,'Daftar Koreksi'!$D$5:$D$92,'0600'!A510,'Daftar Koreksi'!$G$5:$G$92,"Aset Henti Guna",'Daftar Koreksi'!$H$5:$H$92,"&lt;0")-SUMIFS('Daftar Koreksi'!$H$5:$H$92,'Daftar Koreksi'!$D$5:$D$92,'0600'!A510,'Daftar Koreksi'!$G$5:$G$92,"Aset Henti Guna",'Daftar Koreksi'!$H$5:$H$92,"&lt;0")-SUMIFS('Daftar Koreksi'!$H$5:$H$92,'Daftar Koreksi'!$D$5:$D$92,'0600'!A510,'Daftar Koreksi'!$G$5:$G$92,"Aset Henti Guna",'Daftar Koreksi'!$H$5:$H$92,"&lt;0")</f>
        <v>0</v>
      </c>
      <c r="G521" s="17">
        <f t="shared" si="23"/>
        <v>139848000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11227642634</v>
      </c>
      <c r="E522" s="19">
        <f>SUM(E513:E521)</f>
        <v>0</v>
      </c>
      <c r="F522" s="19">
        <f>SUM(F513:F521)</f>
        <v>0</v>
      </c>
      <c r="G522" s="19">
        <f t="shared" si="23"/>
        <v>11227642634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-871116779</v>
      </c>
      <c r="E523" s="25">
        <f>SUMIFS('Daftar Koreksi'!$I$5:$I$92,'Daftar Koreksi'!$D$5:$D$92,'0600'!A510,'Daftar Koreksi'!$G$5:$G$92,"Peralatan dan mesin",'Daftar Koreksi'!$I$5:$I$92,"&gt;0")</f>
        <v>0</v>
      </c>
      <c r="F523" s="25">
        <f>SUMIFS('Daftar Koreksi'!$I$5:$I$92,'Daftar Koreksi'!$D$5:$D$92,'0600'!A510,'Daftar Koreksi'!$G$5:$G$92,"Peralatan dan mesin",'Daftar Koreksi'!$I$5:$I$92,"&lt;0")-SUMIFS('Daftar Koreksi'!$I$5:$I$92,'Daftar Koreksi'!$D$5:$D$92,'0600'!A510,'Daftar Koreksi'!$G$5:$G$92,"Peralatan dan mesin",'Daftar Koreksi'!$I$5:$I$92,"&lt;0")-SUMIFS('Daftar Koreksi'!$I$5:$I$92,'Daftar Koreksi'!$D$5:$D$92,'0600'!A510,'Daftar Koreksi'!$G$5:$G$92,"Peralatan dan mesin",'Daftar Koreksi'!$I$5:$I$92,"&lt;0")</f>
        <v>0</v>
      </c>
      <c r="G523" s="17">
        <f t="shared" si="23"/>
        <v>-871116779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-655991920</v>
      </c>
      <c r="E524" s="25">
        <f>SUMIFS('Daftar Koreksi'!$I$5:$I$92,'Daftar Koreksi'!$D$5:$D$92,'0600'!A510,'Daftar Koreksi'!$G$5:$G$92,"Gedung dan Bangunan",'Daftar Koreksi'!$I$5:$I$92,"&gt;0")</f>
        <v>0</v>
      </c>
      <c r="F524" s="25">
        <f>SUMIFS('Daftar Koreksi'!$I$5:$I$92,'Daftar Koreksi'!$D$5:$D$92,'0600'!A510,'Daftar Koreksi'!$G$5:$G$92,"Gedung dan Bangunan",'Daftar Koreksi'!$I$5:$I$92,"&lt;0")-SUMIFS('Daftar Koreksi'!$I$5:$I$92,'Daftar Koreksi'!$D$5:$D$92,'0600'!A510,'Daftar Koreksi'!$G$5:$G$92,"Gedung dan Bangunan",'Daftar Koreksi'!$I$5:$I$92,"&lt;0")-SUMIFS('Daftar Koreksi'!$I$5:$I$92,'Daftar Koreksi'!$D$5:$D$92,'0600'!A510,'Daftar Koreksi'!$G$5:$G$92,"Gedung dan Bangunan",'Daftar Koreksi'!$I$5:$I$92,"&lt;0")</f>
        <v>0</v>
      </c>
      <c r="G524" s="17">
        <f t="shared" si="23"/>
        <v>-655991920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0</v>
      </c>
      <c r="E525" s="25">
        <f>SUMIFS('Daftar Koreksi'!$I$5:$I$92,'Daftar Koreksi'!$D$5:$D$92,'0600'!A510,'Daftar Koreksi'!$G$5:$G$92,"Jalan Irigasi Jaringan",'Daftar Koreksi'!$I$5:$I$92,"&gt;0")</f>
        <v>0</v>
      </c>
      <c r="F525" s="25">
        <f>SUMIFS('Daftar Koreksi'!$I$5:$I$92,'Daftar Koreksi'!$D$5:$D$92,'0600'!A510,'Daftar Koreksi'!$G$5:$G$92,"Jalan Irigasi Jaringan",'Daftar Koreksi'!$I$5:$I$92,"&lt;0")-SUMIFS('Daftar Koreksi'!$I$5:$I$92,'Daftar Koreksi'!$D$5:$D$92,'0600'!A510,'Daftar Koreksi'!$G$5:$G$92,"Jalan Irigasi Jaringan",'Daftar Koreksi'!$I$5:$I$92,"&lt;0")-SUMIFS('Daftar Koreksi'!$I$5:$I$92,'Daftar Koreksi'!$D$5:$D$92,'0600'!A510,'Daftar Koreksi'!$G$5:$G$92,"Jalan Irigasi Jaringan",'Daftar Koreksi'!$I$5:$I$92,"&lt;0")</f>
        <v>0</v>
      </c>
      <c r="G525" s="17">
        <f t="shared" si="23"/>
        <v>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Koreksi'!$D$5:$D$92,'0600'!A510,'Daftar Koreksi'!$G$5:$G$92,"Aset Tetap Lainnya",'Daftar Koreksi'!$I$5:$I$92,"&gt;0")</f>
        <v>0</v>
      </c>
      <c r="F526" s="25">
        <f>SUMIFS('Daftar Koreksi'!$I$5:$I$92,'Daftar Koreksi'!$D$5:$D$92,'0600'!A510,'Daftar Koreksi'!$G$5:$G$92,"Aset Tetap Lainnya",'Daftar Koreksi'!$I$5:$I$92,"&lt;0")-SUMIFS('Daftar Koreksi'!$I$5:$I$92,'Daftar Koreksi'!$D$5:$D$92,'0600'!A510,'Daftar Koreksi'!$G$5:$G$92,"Aset Tetap Lainnya",'Daftar Koreksi'!$I$5:$I$92,"&lt;0")-SUMIFS('Daftar Koreksi'!$I$5:$I$92,'Daftar Koreksi'!$D$5:$D$92,'0600'!A510,'Daftar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-139848000</v>
      </c>
      <c r="E527" s="25">
        <f>SUMIFS('Daftar Koreksi'!$I$5:$I$92,'Daftar Koreksi'!$D$5:$D$92,'0600'!A510,'Daftar Koreksi'!$G$5:$G$92,"Aset Henti Guna",'Daftar Koreksi'!$I$5:$I$92,"&gt;0")</f>
        <v>0</v>
      </c>
      <c r="F527" s="25">
        <f>SUMIFS('Daftar Koreksi'!$I$5:$I$92,'Daftar Koreksi'!$D$5:$D$92,'0600'!A510,'Daftar Koreksi'!$G$5:$G$92,"Aset Henti Guna",'Daftar Koreksi'!$I$5:$I$92,"&lt;0")-SUMIFS('Daftar Koreksi'!$I$5:$I$92,'Daftar Koreksi'!$D$5:$D$92,'0600'!A510,'Daftar Koreksi'!$G$5:$G$92,"Aset Henti Guna",'Daftar Koreksi'!$I$5:$I$92,"&lt;0")-SUMIFS('Daftar Koreksi'!$I$5:$I$92,'Daftar Koreksi'!$D$5:$D$92,'0600'!A510,'Daftar Koreksi'!$G$5:$G$92,"Aset Henti Guna",'Daftar Koreksi'!$I$5:$I$92,"&lt;0")</f>
        <v>0</v>
      </c>
      <c r="G527" s="17">
        <f t="shared" si="23"/>
        <v>-139848000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-1666956699</v>
      </c>
      <c r="E528" s="19">
        <f>SUM(E523:E527)</f>
        <v>0</v>
      </c>
      <c r="F528" s="19">
        <f>SUM(F523:F527)</f>
        <v>0</v>
      </c>
      <c r="G528" s="19">
        <f t="shared" si="23"/>
        <v>-1666956699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9560685935</v>
      </c>
      <c r="E529" s="19">
        <f>E528+E522</f>
        <v>0</v>
      </c>
      <c r="F529" s="19">
        <f>F528+F522</f>
        <v>0</v>
      </c>
      <c r="G529" s="19">
        <f t="shared" si="23"/>
        <v>9560685935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005010600401633000KD</v>
      </c>
      <c r="B532" s="11" t="str">
        <f>P25</f>
        <v>Mahkamah Syar'iyah Bireuen</v>
      </c>
      <c r="C532" s="12" t="str">
        <f>A532&amp;" "&amp;B532</f>
        <v>005010600401633000KD Mahkamah Syar'iyah Bireuen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130000</v>
      </c>
      <c r="E535" s="25">
        <f>SUMIFS('Daftar Koreksi'!$H$5:$H$92,'Daftar Koreksi'!$D$5:$D$92,'0600'!A532,'Daftar Koreksi'!$G$5:$G$92,"Persediaan",'Daftar Koreksi'!$H$5:$H$92,"&gt;0")</f>
        <v>0</v>
      </c>
      <c r="F535" s="25">
        <f>SUMIFS('Daftar Koreksi'!$H$5:$H$92,'Daftar Koreksi'!$D$5:$D$92,'0600'!A532,'Daftar Koreksi'!$G$5:$G$92,"Persediaan",'Daftar Koreksi'!$H$5:$H$92,"&lt;0")-SUMIFS('Daftar Koreksi'!$H$5:$H$92,'Daftar Koreksi'!$D$5:$D$92,'0600'!A532,'Daftar Koreksi'!$G$5:$G$92,"Persediaan",'Daftar Koreksi'!$H$5:$H$92,"&lt;0")-SUMIFS('Daftar Koreksi'!$H$5:$H$92,'Daftar Koreksi'!$D$5:$D$92,'0600'!A532,'Daftar Koreksi'!$G$5:$G$92,"Persediaan",'Daftar Koreksi'!$H$5:$H$92,"&lt;0")</f>
        <v>0</v>
      </c>
      <c r="G535" s="17">
        <f>D535+E535-F535</f>
        <v>130000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521000000</v>
      </c>
      <c r="E536" s="25">
        <f>SUMIFS('Daftar Koreksi'!$H$5:$H$92,'Daftar Koreksi'!$D$5:$D$92,'0600'!A532,'Daftar Koreksi'!$G$5:$G$92,"Tanah",'Daftar Koreksi'!$H$5:$H$92,"&gt;0")</f>
        <v>0</v>
      </c>
      <c r="F536" s="25">
        <f>SUMIFS('Daftar Koreksi'!$H$5:$H$92,'Daftar Koreksi'!$D$5:$D$92,'0600'!A532,'Daftar Koreksi'!$G$5:$G$92,"Tanah",'Daftar Koreksi'!$H$5:$H$92,"&lt;0")-SUMIFS('Daftar Koreksi'!$H$5:$H$92,'Daftar Koreksi'!$D$5:$D$92,'0600'!A532,'Daftar Koreksi'!$G$5:$G$92,"Tanah",'Daftar Koreksi'!$H$5:$H$92,"&lt;0")-SUMIFS('Daftar Koreksi'!$H$5:$H$92,'Daftar Koreksi'!$D$5:$D$92,'0600'!A532,'Daftar Koreksi'!$G$5:$G$92,"Tanah",'Daftar Koreksi'!$H$5:$H$92,"&lt;0")</f>
        <v>0</v>
      </c>
      <c r="G536" s="17">
        <f t="shared" ref="G536:G552" si="24">D536+E536-F536</f>
        <v>521000000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924575866</v>
      </c>
      <c r="E537" s="25">
        <f>SUMIFS('Daftar Koreksi'!$H$5:$H$92,'Daftar Koreksi'!$D$5:$D$92,'0600'!A532,'Daftar Koreksi'!$G$5:$G$92,"Peralatan dan mesin",'Daftar Koreksi'!$H$5:$H$92,"&gt;0")</f>
        <v>0</v>
      </c>
      <c r="F537" s="25">
        <f>SUMIFS('Daftar Koreksi'!$H$5:$H$92,'Daftar Koreksi'!$D$5:$D$92,'0600'!A532,'Daftar Koreksi'!$G$5:$G$92,"Peralatan dan mesin",'Daftar Koreksi'!$H$5:$H$92,"&lt;0")-SUMIFS('Daftar Koreksi'!$H$5:$H$92,'Daftar Koreksi'!$D$5:$D$92,'0600'!A532,'Daftar Koreksi'!$G$5:$G$92,"Peralatan dan mesin",'Daftar Koreksi'!$H$5:$H$92,"&lt;0")-SUMIFS('Daftar Koreksi'!$H$5:$H$92,'Daftar Koreksi'!$D$5:$D$92,'0600'!A532,'Daftar Koreksi'!$G$5:$G$92,"Peralatan dan mesin",'Daftar Koreksi'!$H$5:$H$92,"&lt;0")</f>
        <v>0</v>
      </c>
      <c r="G537" s="17">
        <f t="shared" si="24"/>
        <v>924575866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7220110150</v>
      </c>
      <c r="E538" s="25">
        <f>SUMIFS('Daftar Koreksi'!$H$5:$H$92,'Daftar Koreksi'!$D$5:$D$92,'0600'!A532,'Daftar Koreksi'!$G$5:$G$92,"Gedung dan Bangunan",'Daftar Koreksi'!$H$5:$H$92,"&gt;0")</f>
        <v>0</v>
      </c>
      <c r="F538" s="25">
        <f>SUMIFS('Daftar Koreksi'!$H$5:$H$92,'Daftar Koreksi'!$D$5:$D$92,'0600'!A532,'Daftar Koreksi'!$G$5:$G$92,"Gedung dan Bangunan",'Daftar Koreksi'!$H$5:$H$92,"&lt;0")-SUMIFS('Daftar Koreksi'!$H$5:$H$92,'Daftar Koreksi'!$D$5:$D$92,'0600'!A532,'Daftar Koreksi'!$G$5:$G$92,"Gedung dan Bangunan",'Daftar Koreksi'!$H$5:$H$92,"&lt;0")-SUMIFS('Daftar Koreksi'!$H$5:$H$92,'Daftar Koreksi'!$D$5:$D$92,'0600'!A532,'Daftar Koreksi'!$G$5:$G$92,"Gedung dan Bangunan",'Daftar Koreksi'!$H$5:$H$92,"&lt;0")</f>
        <v>0</v>
      </c>
      <c r="G538" s="17">
        <f t="shared" si="24"/>
        <v>7220110150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0</v>
      </c>
      <c r="E539" s="25">
        <f>SUMIFS('Daftar Koreksi'!$H$5:$H$92,'Daftar Koreksi'!$D$5:$D$92,'0600'!A532,'Daftar Koreksi'!$G$5:$G$92,"Jalan Irigasi Jaringan",'Daftar Koreksi'!$H$5:$H$92,"&gt;0")</f>
        <v>0</v>
      </c>
      <c r="F539" s="25">
        <f>SUMIFS('Daftar Koreksi'!$H$5:$H$92,'Daftar Koreksi'!$D$5:$D$92,'0600'!A532,'Daftar Koreksi'!$G$5:$G$92,"Jalan Irigasi Jaringan",'Daftar Koreksi'!$H$5:$H$92,"&lt;0")-SUMIFS('Daftar Koreksi'!$H$5:$H$92,'Daftar Koreksi'!$D$5:$D$92,'0600'!A532,'Daftar Koreksi'!$G$5:$G$92,"Jalan Irigasi Jaringan",'Daftar Koreksi'!$H$5:$H$92,"&lt;0")-SUMIFS('Daftar Koreksi'!$H$5:$H$92,'Daftar Koreksi'!$D$5:$D$92,'0600'!A532,'Daftar Koreksi'!$G$5:$G$92,"Jalan Irigasi Jaringan",'Daftar Koreksi'!$H$5:$H$92,"&lt;0")</f>
        <v>0</v>
      </c>
      <c r="G539" s="17">
        <f t="shared" si="24"/>
        <v>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0</v>
      </c>
      <c r="E540" s="25">
        <f>SUMIFS('Daftar Koreksi'!$H$5:$H$92,'Daftar Koreksi'!$D$5:$D$92,'0600'!A532,'Daftar Koreksi'!$G$5:$G$92,"Aset Tetap Lainnya",'Daftar Koreksi'!$H$5:$H$92,"&gt;0")</f>
        <v>0</v>
      </c>
      <c r="F540" s="25">
        <f>SUMIFS('Daftar Koreksi'!$H$5:$H$92,'Daftar Koreksi'!$D$5:$D$92,'0600'!A532,'Daftar Koreksi'!$G$5:$G$92,"Aset Tetap Lainnya",'Daftar Koreksi'!$H$5:$H$92,"&lt;0")-SUMIFS('Daftar Koreksi'!$H$5:$H$92,'Daftar Koreksi'!$D$5:$D$92,'0600'!A532,'Daftar Koreksi'!$G$5:$G$92,"Aset Tetap Lainnya",'Daftar Koreksi'!$H$5:$H$92,"&lt;0")-SUMIFS('Daftar Koreksi'!$H$5:$H$92,'Daftar Koreksi'!$D$5:$D$92,'0600'!A532,'Daftar Koreksi'!$G$5:$G$92,"Aset Tetap Lainnya",'Daftar Koreksi'!$H$5:$H$92,"&lt;0")</f>
        <v>0</v>
      </c>
      <c r="G540" s="17">
        <f t="shared" si="24"/>
        <v>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Koreksi'!$D$5:$D$92,'0600'!A532,'Daftar Koreksi'!$G$5:$G$92,"Kontruksi Dalam Pengerjaan",'Daftar Koreksi'!$H$5:$H$92,"&gt;0")</f>
        <v>0</v>
      </c>
      <c r="F541" s="25">
        <f>SUMIFS('Daftar Koreksi'!$H$5:$H$92,'Daftar Koreksi'!$D$5:$D$92,'0600'!A532,'Daftar Koreksi'!$G$5:$G$92,"Kontruksi Dalam Pengerjaan",'Daftar Koreksi'!$H$5:$H$92,"&lt;0")-SUMIFS('Daftar Koreksi'!$H$5:$H$92,'Daftar Koreksi'!$D$5:$D$92,'0600'!A532,'Daftar Koreksi'!$G$5:$G$92,"Kontruksi Dalam Pengerjaan",'Daftar Koreksi'!$H$5:$H$92,"&lt;0")-SUMIFS('Daftar Koreksi'!$H$5:$H$92,'Daftar Koreksi'!$D$5:$D$92,'0600'!A532,'Daftar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Koreksi'!$D$5:$D$92,'0600'!A532,'Daftar Koreksi'!$G$5:$G$92,"Aset Tak Berwujud",'Daftar Koreksi'!$H$5:$H$92,"&gt;0")</f>
        <v>0</v>
      </c>
      <c r="F542" s="25">
        <f>SUMIFS('Daftar Koreksi'!$H$5:$H$92,'Daftar Koreksi'!$D$5:$D$92,'0600'!A532,'Daftar Koreksi'!$G$5:$G$92,"Aset Tak Berwujud",'Daftar Koreksi'!$H$5:$H$92,"&lt;0")-SUMIFS('Daftar Koreksi'!$H$5:$H$92,'Daftar Koreksi'!$D$5:$D$92,'0600'!A532,'Daftar Koreksi'!$G$5:$G$92,"Aset Tak Berwujud",'Daftar Koreksi'!$H$5:$H$92,"&lt;0")-SUMIFS('Daftar Koreksi'!$H$5:$H$92,'Daftar Koreksi'!$D$5:$D$92,'0600'!A532,'Daftar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60237516</v>
      </c>
      <c r="E543" s="25">
        <f>SUMIFS('Daftar Koreksi'!$H$5:$H$92,'Daftar Koreksi'!$D$5:$D$92,'0600'!A532,'Daftar Koreksi'!$G$5:$G$92,"Aset Henti Guna",'Daftar Koreksi'!$H$5:$H$92,"&gt;0")</f>
        <v>0</v>
      </c>
      <c r="F543" s="25">
        <f>SUMIFS('Daftar Koreksi'!$H$5:$H$92,'Daftar Koreksi'!$D$5:$D$92,'0600'!A532,'Daftar Koreksi'!$G$5:$G$92,"Aset Henti Guna",'Daftar Koreksi'!$H$5:$H$92,"&lt;0")-SUMIFS('Daftar Koreksi'!$H$5:$H$92,'Daftar Koreksi'!$D$5:$D$92,'0600'!A532,'Daftar Koreksi'!$G$5:$G$92,"Aset Henti Guna",'Daftar Koreksi'!$H$5:$H$92,"&lt;0")-SUMIFS('Daftar Koreksi'!$H$5:$H$92,'Daftar Koreksi'!$D$5:$D$92,'0600'!A532,'Daftar Koreksi'!$G$5:$G$92,"Aset Henti Guna",'Daftar Koreksi'!$H$5:$H$92,"&lt;0")</f>
        <v>0</v>
      </c>
      <c r="G543" s="17">
        <f t="shared" si="24"/>
        <v>60237516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8726053532</v>
      </c>
      <c r="E544" s="19">
        <f>SUM(E535:E543)</f>
        <v>0</v>
      </c>
      <c r="F544" s="19">
        <f>SUM(F535:F543)</f>
        <v>0</v>
      </c>
      <c r="G544" s="19">
        <f t="shared" si="24"/>
        <v>8726053532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-763051914</v>
      </c>
      <c r="E545" s="25">
        <f>SUMIFS('Daftar Koreksi'!$I$5:$I$92,'Daftar Koreksi'!$D$5:$D$92,'0600'!A532,'Daftar Koreksi'!$G$5:$G$92,"Peralatan dan mesin",'Daftar Koreksi'!$I$5:$I$92,"&gt;0")</f>
        <v>0</v>
      </c>
      <c r="F545" s="25">
        <f>SUMIFS('Daftar Koreksi'!$I$5:$I$92,'Daftar Koreksi'!$D$5:$D$92,'0600'!A532,'Daftar Koreksi'!$G$5:$G$92,"Peralatan dan mesin",'Daftar Koreksi'!$I$5:$I$92,"&lt;0")-SUMIFS('Daftar Koreksi'!$I$5:$I$92,'Daftar Koreksi'!$D$5:$D$92,'0600'!A532,'Daftar Koreksi'!$G$5:$G$92,"Peralatan dan mesin",'Daftar Koreksi'!$I$5:$I$92,"&lt;0")-SUMIFS('Daftar Koreksi'!$I$5:$I$92,'Daftar Koreksi'!$D$5:$D$92,'0600'!A532,'Daftar Koreksi'!$G$5:$G$92,"Peralatan dan mesin",'Daftar Koreksi'!$I$5:$I$92,"&lt;0")</f>
        <v>0</v>
      </c>
      <c r="G545" s="17">
        <f t="shared" si="24"/>
        <v>-763051914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-638055873</v>
      </c>
      <c r="E546" s="25">
        <f>SUMIFS('Daftar Koreksi'!$I$5:$I$92,'Daftar Koreksi'!$D$5:$D$92,'0600'!A532,'Daftar Koreksi'!$G$5:$G$92,"Gedung dan Bangunan",'Daftar Koreksi'!$I$5:$I$92,"&gt;0")</f>
        <v>0</v>
      </c>
      <c r="F546" s="25">
        <f>SUMIFS('Daftar Koreksi'!$I$5:$I$92,'Daftar Koreksi'!$D$5:$D$92,'0600'!A532,'Daftar Koreksi'!$G$5:$G$92,"Gedung dan Bangunan",'Daftar Koreksi'!$I$5:$I$92,"&lt;0")-SUMIFS('Daftar Koreksi'!$I$5:$I$92,'Daftar Koreksi'!$D$5:$D$92,'0600'!A532,'Daftar Koreksi'!$G$5:$G$92,"Gedung dan Bangunan",'Daftar Koreksi'!$I$5:$I$92,"&lt;0")-SUMIFS('Daftar Koreksi'!$I$5:$I$92,'Daftar Koreksi'!$D$5:$D$92,'0600'!A532,'Daftar Koreksi'!$G$5:$G$92,"Gedung dan Bangunan",'Daftar Koreksi'!$I$5:$I$92,"&lt;0")</f>
        <v>0</v>
      </c>
      <c r="G546" s="17">
        <f t="shared" si="24"/>
        <v>-638055873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0</v>
      </c>
      <c r="E547" s="25">
        <f>SUMIFS('Daftar Koreksi'!$I$5:$I$92,'Daftar Koreksi'!$D$5:$D$92,'0600'!A532,'Daftar Koreksi'!$G$5:$G$92,"Jalan Irigasi Jaringan",'Daftar Koreksi'!$I$5:$I$92,"&gt;0")</f>
        <v>0</v>
      </c>
      <c r="F547" s="25">
        <f>SUMIFS('Daftar Koreksi'!$I$5:$I$92,'Daftar Koreksi'!$D$5:$D$92,'0600'!A532,'Daftar Koreksi'!$G$5:$G$92,"Jalan Irigasi Jaringan",'Daftar Koreksi'!$I$5:$I$92,"&lt;0")-SUMIFS('Daftar Koreksi'!$I$5:$I$92,'Daftar Koreksi'!$D$5:$D$92,'0600'!A532,'Daftar Koreksi'!$G$5:$G$92,"Jalan Irigasi Jaringan",'Daftar Koreksi'!$I$5:$I$92,"&lt;0")-SUMIFS('Daftar Koreksi'!$I$5:$I$92,'Daftar Koreksi'!$D$5:$D$92,'0600'!A532,'Daftar Koreksi'!$G$5:$G$92,"Jalan Irigasi Jaringan",'Daftar Koreksi'!$I$5:$I$92,"&lt;0")</f>
        <v>0</v>
      </c>
      <c r="G547" s="17">
        <f t="shared" si="24"/>
        <v>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Koreksi'!$D$5:$D$92,'0600'!A532,'Daftar Koreksi'!$G$5:$G$92,"Aset Tetap Lainnya",'Daftar Koreksi'!$I$5:$I$92,"&gt;0")</f>
        <v>0</v>
      </c>
      <c r="F548" s="25">
        <f>SUMIFS('Daftar Koreksi'!$I$5:$I$92,'Daftar Koreksi'!$D$5:$D$92,'0600'!A532,'Daftar Koreksi'!$G$5:$G$92,"Aset Tetap Lainnya",'Daftar Koreksi'!$I$5:$I$92,"&lt;0")-SUMIFS('Daftar Koreksi'!$I$5:$I$92,'Daftar Koreksi'!$D$5:$D$92,'0600'!A532,'Daftar Koreksi'!$G$5:$G$92,"Aset Tetap Lainnya",'Daftar Koreksi'!$I$5:$I$92,"&lt;0")-SUMIFS('Daftar Koreksi'!$I$5:$I$92,'Daftar Koreksi'!$D$5:$D$92,'0600'!A532,'Daftar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-60237516</v>
      </c>
      <c r="E549" s="25">
        <f>SUMIFS('Daftar Koreksi'!$I$5:$I$92,'Daftar Koreksi'!$D$5:$D$92,'0600'!A532,'Daftar Koreksi'!$G$5:$G$92,"Aset Henti Guna",'Daftar Koreksi'!$I$5:$I$92,"&gt;0")</f>
        <v>0</v>
      </c>
      <c r="F549" s="25">
        <f>SUMIFS('Daftar Koreksi'!$I$5:$I$92,'Daftar Koreksi'!$D$5:$D$92,'0600'!A532,'Daftar Koreksi'!$G$5:$G$92,"Aset Henti Guna",'Daftar Koreksi'!$I$5:$I$92,"&lt;0")-SUMIFS('Daftar Koreksi'!$I$5:$I$92,'Daftar Koreksi'!$D$5:$D$92,'0600'!A532,'Daftar Koreksi'!$G$5:$G$92,"Aset Henti Guna",'Daftar Koreksi'!$I$5:$I$92,"&lt;0")-SUMIFS('Daftar Koreksi'!$I$5:$I$92,'Daftar Koreksi'!$D$5:$D$92,'0600'!A532,'Daftar Koreksi'!$G$5:$G$92,"Aset Henti Guna",'Daftar Koreksi'!$I$5:$I$92,"&lt;0")</f>
        <v>0</v>
      </c>
      <c r="G549" s="17">
        <f t="shared" si="24"/>
        <v>-60237516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-1461345303</v>
      </c>
      <c r="E550" s="19">
        <f>SUM(E545:E549)</f>
        <v>0</v>
      </c>
      <c r="F550" s="19">
        <f>SUM(F545:F549)</f>
        <v>0</v>
      </c>
      <c r="G550" s="19">
        <f t="shared" si="24"/>
        <v>-1461345303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7264708229</v>
      </c>
      <c r="E551" s="19">
        <f>E550+E544</f>
        <v>0</v>
      </c>
      <c r="F551" s="19">
        <f>F550+F544</f>
        <v>0</v>
      </c>
      <c r="G551" s="19">
        <f t="shared" si="24"/>
        <v>7264708229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005010600401642000KD</v>
      </c>
      <c r="B554" s="11" t="str">
        <f>P26</f>
        <v>Mahkamah Syar'iyah Lhok Sukon</v>
      </c>
      <c r="C554" s="12" t="str">
        <f>A554&amp;" "&amp;B554</f>
        <v>005010600401642000KD Mahkamah Syar'iyah Lhok Sukon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1111000</v>
      </c>
      <c r="E557" s="25">
        <f>SUMIFS('Daftar Koreksi'!$H$5:$H$92,'Daftar Koreksi'!$D$5:$D$92,'0600'!A554,'Daftar Koreksi'!$G$5:$G$92,"Persediaan",'Daftar Koreksi'!$H$5:$H$92,"&gt;0")</f>
        <v>0</v>
      </c>
      <c r="F557" s="25">
        <f>SUMIFS('Daftar Koreksi'!$H$5:$H$92,'Daftar Koreksi'!$D$5:$D$92,'0600'!A554,'Daftar Koreksi'!$G$5:$G$92,"Persediaan",'Daftar Koreksi'!$H$5:$H$92,"&lt;0")-SUMIFS('Daftar Koreksi'!$H$5:$H$92,'Daftar Koreksi'!$D$5:$D$92,'0600'!A554,'Daftar Koreksi'!$G$5:$G$92,"Persediaan",'Daftar Koreksi'!$H$5:$H$92,"&lt;0")-SUMIFS('Daftar Koreksi'!$H$5:$H$92,'Daftar Koreksi'!$D$5:$D$92,'0600'!A554,'Daftar Koreksi'!$G$5:$G$92,"Persediaan",'Daftar Koreksi'!$H$5:$H$92,"&lt;0")</f>
        <v>0</v>
      </c>
      <c r="G557" s="17">
        <f>D557+E557-F557</f>
        <v>1111000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1032375000</v>
      </c>
      <c r="E558" s="25">
        <f>SUMIFS('Daftar Koreksi'!$H$5:$H$92,'Daftar Koreksi'!$D$5:$D$92,'0600'!A554,'Daftar Koreksi'!$G$5:$G$92,"Tanah",'Daftar Koreksi'!$H$5:$H$92,"&gt;0")</f>
        <v>0</v>
      </c>
      <c r="F558" s="25">
        <f>SUMIFS('Daftar Koreksi'!$H$5:$H$92,'Daftar Koreksi'!$D$5:$D$92,'0600'!A554,'Daftar Koreksi'!$G$5:$G$92,"Tanah",'Daftar Koreksi'!$H$5:$H$92,"&lt;0")-SUMIFS('Daftar Koreksi'!$H$5:$H$92,'Daftar Koreksi'!$D$5:$D$92,'0600'!A554,'Daftar Koreksi'!$G$5:$G$92,"Tanah",'Daftar Koreksi'!$H$5:$H$92,"&lt;0")-SUMIFS('Daftar Koreksi'!$H$5:$H$92,'Daftar Koreksi'!$D$5:$D$92,'0600'!A554,'Daftar Koreksi'!$G$5:$G$92,"Tanah",'Daftar Koreksi'!$H$5:$H$92,"&lt;0")</f>
        <v>0</v>
      </c>
      <c r="G558" s="17">
        <f t="shared" ref="G558:G574" si="25">D558+E558-F558</f>
        <v>1032375000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1888484650</v>
      </c>
      <c r="E559" s="25">
        <f>SUMIFS('Daftar Koreksi'!$H$5:$H$92,'Daftar Koreksi'!$D$5:$D$92,'0600'!A554,'Daftar Koreksi'!$G$5:$G$92,"Peralatan dan mesin",'Daftar Koreksi'!$H$5:$H$92,"&gt;0")</f>
        <v>0</v>
      </c>
      <c r="F559" s="25">
        <f>SUMIFS('Daftar Koreksi'!$H$5:$H$92,'Daftar Koreksi'!$D$5:$D$92,'0600'!A554,'Daftar Koreksi'!$G$5:$G$92,"Peralatan dan mesin",'Daftar Koreksi'!$H$5:$H$92,"&lt;0")-SUMIFS('Daftar Koreksi'!$H$5:$H$92,'Daftar Koreksi'!$D$5:$D$92,'0600'!A554,'Daftar Koreksi'!$G$5:$G$92,"Peralatan dan mesin",'Daftar Koreksi'!$H$5:$H$92,"&lt;0")-SUMIFS('Daftar Koreksi'!$H$5:$H$92,'Daftar Koreksi'!$D$5:$D$92,'0600'!A554,'Daftar Koreksi'!$G$5:$G$92,"Peralatan dan mesin",'Daftar Koreksi'!$H$5:$H$92,"&lt;0")</f>
        <v>0</v>
      </c>
      <c r="G559" s="17">
        <f t="shared" si="25"/>
        <v>1888484650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11887852720</v>
      </c>
      <c r="E560" s="25">
        <f>SUMIFS('Daftar Koreksi'!$H$5:$H$92,'Daftar Koreksi'!$D$5:$D$92,'0600'!A554,'Daftar Koreksi'!$G$5:$G$92,"Gedung dan Bangunan",'Daftar Koreksi'!$H$5:$H$92,"&gt;0")</f>
        <v>0</v>
      </c>
      <c r="F560" s="25">
        <f>SUMIFS('Daftar Koreksi'!$H$5:$H$92,'Daftar Koreksi'!$D$5:$D$92,'0600'!A554,'Daftar Koreksi'!$G$5:$G$92,"Gedung dan Bangunan",'Daftar Koreksi'!$H$5:$H$92,"&lt;0")-SUMIFS('Daftar Koreksi'!$H$5:$H$92,'Daftar Koreksi'!$D$5:$D$92,'0600'!A554,'Daftar Koreksi'!$G$5:$G$92,"Gedung dan Bangunan",'Daftar Koreksi'!$H$5:$H$92,"&lt;0")-SUMIFS('Daftar Koreksi'!$H$5:$H$92,'Daftar Koreksi'!$D$5:$D$92,'0600'!A554,'Daftar Koreksi'!$G$5:$G$92,"Gedung dan Bangunan",'Daftar Koreksi'!$H$5:$H$92,"&lt;0")</f>
        <v>0</v>
      </c>
      <c r="G560" s="17">
        <f t="shared" si="25"/>
        <v>11887852720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0</v>
      </c>
      <c r="E561" s="25">
        <f>SUMIFS('Daftar Koreksi'!$H$5:$H$92,'Daftar Koreksi'!$D$5:$D$92,'0600'!A554,'Daftar Koreksi'!$G$5:$G$92,"Jalan Irigasi Jaringan",'Daftar Koreksi'!$H$5:$H$92,"&gt;0")</f>
        <v>0</v>
      </c>
      <c r="F561" s="25">
        <f>SUMIFS('Daftar Koreksi'!$H$5:$H$92,'Daftar Koreksi'!$D$5:$D$92,'0600'!A554,'Daftar Koreksi'!$G$5:$G$92,"Jalan Irigasi Jaringan",'Daftar Koreksi'!$H$5:$H$92,"&lt;0")-SUMIFS('Daftar Koreksi'!$H$5:$H$92,'Daftar Koreksi'!$D$5:$D$92,'0600'!A554,'Daftar Koreksi'!$G$5:$G$92,"Jalan Irigasi Jaringan",'Daftar Koreksi'!$H$5:$H$92,"&lt;0")-SUMIFS('Daftar Koreksi'!$H$5:$H$92,'Daftar Koreksi'!$D$5:$D$92,'0600'!A554,'Daftar Koreksi'!$G$5:$G$92,"Jalan Irigasi Jaringan",'Daftar Koreksi'!$H$5:$H$92,"&lt;0")</f>
        <v>0</v>
      </c>
      <c r="G561" s="17">
        <f t="shared" si="25"/>
        <v>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35860000</v>
      </c>
      <c r="E562" s="25">
        <f>SUMIFS('Daftar Koreksi'!$H$5:$H$92,'Daftar Koreksi'!$D$5:$D$92,'0600'!A554,'Daftar Koreksi'!$G$5:$G$92,"Aset Tetap Lainnya",'Daftar Koreksi'!$H$5:$H$92,"&gt;0")</f>
        <v>0</v>
      </c>
      <c r="F562" s="25">
        <f>SUMIFS('Daftar Koreksi'!$H$5:$H$92,'Daftar Koreksi'!$D$5:$D$92,'0600'!A554,'Daftar Koreksi'!$G$5:$G$92,"Aset Tetap Lainnya",'Daftar Koreksi'!$H$5:$H$92,"&lt;0")-SUMIFS('Daftar Koreksi'!$H$5:$H$92,'Daftar Koreksi'!$D$5:$D$92,'0600'!A554,'Daftar Koreksi'!$G$5:$G$92,"Aset Tetap Lainnya",'Daftar Koreksi'!$H$5:$H$92,"&lt;0")-SUMIFS('Daftar Koreksi'!$H$5:$H$92,'Daftar Koreksi'!$D$5:$D$92,'0600'!A554,'Daftar Koreksi'!$G$5:$G$92,"Aset Tetap Lainnya",'Daftar Koreksi'!$H$5:$H$92,"&lt;0")</f>
        <v>0</v>
      </c>
      <c r="G562" s="17">
        <f t="shared" si="25"/>
        <v>35860000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Koreksi'!$D$5:$D$92,'0600'!A554,'Daftar Koreksi'!$G$5:$G$92,"Kontruksi Dalam Pengerjaan",'Daftar Koreksi'!$H$5:$H$92,"&gt;0")</f>
        <v>0</v>
      </c>
      <c r="F563" s="25">
        <f>SUMIFS('Daftar Koreksi'!$H$5:$H$92,'Daftar Koreksi'!$D$5:$D$92,'0600'!A554,'Daftar Koreksi'!$G$5:$G$92,"Kontruksi Dalam Pengerjaan",'Daftar Koreksi'!$H$5:$H$92,"&lt;0")-SUMIFS('Daftar Koreksi'!$H$5:$H$92,'Daftar Koreksi'!$D$5:$D$92,'0600'!A554,'Daftar Koreksi'!$G$5:$G$92,"Kontruksi Dalam Pengerjaan",'Daftar Koreksi'!$H$5:$H$92,"&lt;0")-SUMIFS('Daftar Koreksi'!$H$5:$H$92,'Daftar Koreksi'!$D$5:$D$92,'0600'!A554,'Daftar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Koreksi'!$D$5:$D$92,'0600'!A554,'Daftar Koreksi'!$G$5:$G$92,"Aset Tak Berwujud",'Daftar Koreksi'!$H$5:$H$92,"&gt;0")</f>
        <v>0</v>
      </c>
      <c r="F564" s="25">
        <f>SUMIFS('Daftar Koreksi'!$H$5:$H$92,'Daftar Koreksi'!$D$5:$D$92,'0600'!A554,'Daftar Koreksi'!$G$5:$G$92,"Aset Tak Berwujud",'Daftar Koreksi'!$H$5:$H$92,"&lt;0")-SUMIFS('Daftar Koreksi'!$H$5:$H$92,'Daftar Koreksi'!$D$5:$D$92,'0600'!A554,'Daftar Koreksi'!$G$5:$G$92,"Aset Tak Berwujud",'Daftar Koreksi'!$H$5:$H$92,"&lt;0")-SUMIFS('Daftar Koreksi'!$H$5:$H$92,'Daftar Koreksi'!$D$5:$D$92,'0600'!A554,'Daftar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190474487</v>
      </c>
      <c r="E565" s="25">
        <f>SUMIFS('Daftar Koreksi'!$H$5:$H$92,'Daftar Koreksi'!$D$5:$D$92,'0600'!A554,'Daftar Koreksi'!$G$5:$G$92,"Aset Henti Guna",'Daftar Koreksi'!$H$5:$H$92,"&gt;0")</f>
        <v>0</v>
      </c>
      <c r="F565" s="25">
        <f>SUMIFS('Daftar Koreksi'!$H$5:$H$92,'Daftar Koreksi'!$D$5:$D$92,'0600'!A554,'Daftar Koreksi'!$G$5:$G$92,"Aset Henti Guna",'Daftar Koreksi'!$H$5:$H$92,"&lt;0")-SUMIFS('Daftar Koreksi'!$H$5:$H$92,'Daftar Koreksi'!$D$5:$D$92,'0600'!A554,'Daftar Koreksi'!$G$5:$G$92,"Aset Henti Guna",'Daftar Koreksi'!$H$5:$H$92,"&lt;0")-SUMIFS('Daftar Koreksi'!$H$5:$H$92,'Daftar Koreksi'!$D$5:$D$92,'0600'!A554,'Daftar Koreksi'!$G$5:$G$92,"Aset Henti Guna",'Daftar Koreksi'!$H$5:$H$92,"&lt;0")</f>
        <v>0</v>
      </c>
      <c r="G565" s="17">
        <f t="shared" si="25"/>
        <v>190474487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15036157857</v>
      </c>
      <c r="E566" s="19">
        <f>SUM(E557:E565)</f>
        <v>0</v>
      </c>
      <c r="F566" s="19">
        <f>SUM(F557:F565)</f>
        <v>0</v>
      </c>
      <c r="G566" s="19">
        <f t="shared" si="25"/>
        <v>15036157857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-1216595415</v>
      </c>
      <c r="E567" s="25">
        <f>SUMIFS('Daftar Koreksi'!$I$5:$I$92,'Daftar Koreksi'!$D$5:$D$92,'0600'!A554,'Daftar Koreksi'!$G$5:$G$92,"Peralatan dan mesin",'Daftar Koreksi'!$I$5:$I$92,"&gt;0")</f>
        <v>0</v>
      </c>
      <c r="F567" s="25">
        <f>SUMIFS('Daftar Koreksi'!$I$5:$I$92,'Daftar Koreksi'!$D$5:$D$92,'0600'!A554,'Daftar Koreksi'!$G$5:$G$92,"Peralatan dan mesin",'Daftar Koreksi'!$I$5:$I$92,"&lt;0")-SUMIFS('Daftar Koreksi'!$I$5:$I$92,'Daftar Koreksi'!$D$5:$D$92,'0600'!A554,'Daftar Koreksi'!$G$5:$G$92,"Peralatan dan mesin",'Daftar Koreksi'!$I$5:$I$92,"&lt;0")-SUMIFS('Daftar Koreksi'!$I$5:$I$92,'Daftar Koreksi'!$D$5:$D$92,'0600'!A554,'Daftar Koreksi'!$G$5:$G$92,"Peralatan dan mesin",'Daftar Koreksi'!$I$5:$I$92,"&lt;0")</f>
        <v>0</v>
      </c>
      <c r="G567" s="17">
        <f t="shared" si="25"/>
        <v>-1216595415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-2017195884</v>
      </c>
      <c r="E568" s="25">
        <f>SUMIFS('Daftar Koreksi'!$I$5:$I$92,'Daftar Koreksi'!$D$5:$D$92,'0600'!A554,'Daftar Koreksi'!$G$5:$G$92,"Gedung dan Bangunan",'Daftar Koreksi'!$I$5:$I$92,"&gt;0")</f>
        <v>0</v>
      </c>
      <c r="F568" s="25">
        <f>SUMIFS('Daftar Koreksi'!$I$5:$I$92,'Daftar Koreksi'!$D$5:$D$92,'0600'!A554,'Daftar Koreksi'!$G$5:$G$92,"Gedung dan Bangunan",'Daftar Koreksi'!$I$5:$I$92,"&lt;0")-SUMIFS('Daftar Koreksi'!$I$5:$I$92,'Daftar Koreksi'!$D$5:$D$92,'0600'!A554,'Daftar Koreksi'!$G$5:$G$92,"Gedung dan Bangunan",'Daftar Koreksi'!$I$5:$I$92,"&lt;0")-SUMIFS('Daftar Koreksi'!$I$5:$I$92,'Daftar Koreksi'!$D$5:$D$92,'0600'!A554,'Daftar Koreksi'!$G$5:$G$92,"Gedung dan Bangunan",'Daftar Koreksi'!$I$5:$I$92,"&lt;0")</f>
        <v>0</v>
      </c>
      <c r="G568" s="17">
        <f t="shared" si="25"/>
        <v>-2017195884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0</v>
      </c>
      <c r="E569" s="25">
        <f>SUMIFS('Daftar Koreksi'!$I$5:$I$92,'Daftar Koreksi'!$D$5:$D$92,'0600'!A554,'Daftar Koreksi'!$G$5:$G$92,"Jalan Irigasi Jaringan",'Daftar Koreksi'!$I$5:$I$92,"&gt;0")</f>
        <v>0</v>
      </c>
      <c r="F569" s="25">
        <f>SUMIFS('Daftar Koreksi'!$I$5:$I$92,'Daftar Koreksi'!$D$5:$D$92,'0600'!A554,'Daftar Koreksi'!$G$5:$G$92,"Jalan Irigasi Jaringan",'Daftar Koreksi'!$I$5:$I$92,"&lt;0")-SUMIFS('Daftar Koreksi'!$I$5:$I$92,'Daftar Koreksi'!$D$5:$D$92,'0600'!A554,'Daftar Koreksi'!$G$5:$G$92,"Jalan Irigasi Jaringan",'Daftar Koreksi'!$I$5:$I$92,"&lt;0")-SUMIFS('Daftar Koreksi'!$I$5:$I$92,'Daftar Koreksi'!$D$5:$D$92,'0600'!A554,'Daftar Koreksi'!$G$5:$G$92,"Jalan Irigasi Jaringan",'Daftar Koreksi'!$I$5:$I$92,"&lt;0")</f>
        <v>0</v>
      </c>
      <c r="G569" s="17">
        <f t="shared" si="25"/>
        <v>0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Koreksi'!$D$5:$D$92,'0600'!A554,'Daftar Koreksi'!$G$5:$G$92,"Aset Tetap Lainnya",'Daftar Koreksi'!$I$5:$I$92,"&gt;0")</f>
        <v>0</v>
      </c>
      <c r="F570" s="25">
        <f>SUMIFS('Daftar Koreksi'!$I$5:$I$92,'Daftar Koreksi'!$D$5:$D$92,'0600'!A554,'Daftar Koreksi'!$G$5:$G$92,"Aset Tetap Lainnya",'Daftar Koreksi'!$I$5:$I$92,"&lt;0")-SUMIFS('Daftar Koreksi'!$I$5:$I$92,'Daftar Koreksi'!$D$5:$D$92,'0600'!A554,'Daftar Koreksi'!$G$5:$G$92,"Aset Tetap Lainnya",'Daftar Koreksi'!$I$5:$I$92,"&lt;0")-SUMIFS('Daftar Koreksi'!$I$5:$I$92,'Daftar Koreksi'!$D$5:$D$92,'0600'!A554,'Daftar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-190474487</v>
      </c>
      <c r="E571" s="25">
        <f>SUMIFS('Daftar Koreksi'!$I$5:$I$92,'Daftar Koreksi'!$D$5:$D$92,'0600'!A554,'Daftar Koreksi'!$G$5:$G$92,"Aset Henti Guna",'Daftar Koreksi'!$I$5:$I$92,"&gt;0")</f>
        <v>0</v>
      </c>
      <c r="F571" s="25">
        <f>SUMIFS('Daftar Koreksi'!$I$5:$I$92,'Daftar Koreksi'!$D$5:$D$92,'0600'!A554,'Daftar Koreksi'!$G$5:$G$92,"Aset Henti Guna",'Daftar Koreksi'!$I$5:$I$92,"&lt;0")-SUMIFS('Daftar Koreksi'!$I$5:$I$92,'Daftar Koreksi'!$D$5:$D$92,'0600'!A554,'Daftar Koreksi'!$G$5:$G$92,"Aset Henti Guna",'Daftar Koreksi'!$I$5:$I$92,"&lt;0")-SUMIFS('Daftar Koreksi'!$I$5:$I$92,'Daftar Koreksi'!$D$5:$D$92,'0600'!A554,'Daftar Koreksi'!$G$5:$G$92,"Aset Henti Guna",'Daftar Koreksi'!$I$5:$I$92,"&lt;0")</f>
        <v>0</v>
      </c>
      <c r="G571" s="17">
        <f t="shared" si="25"/>
        <v>-190474487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-3424265786</v>
      </c>
      <c r="E572" s="19">
        <f>SUM(E567:E571)</f>
        <v>0</v>
      </c>
      <c r="F572" s="19">
        <f>SUM(F567:F571)</f>
        <v>0</v>
      </c>
      <c r="G572" s="19">
        <f t="shared" si="25"/>
        <v>-3424265786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11611892071</v>
      </c>
      <c r="E573" s="19">
        <f>E572+E566</f>
        <v>0</v>
      </c>
      <c r="F573" s="19">
        <f>F572+F566</f>
        <v>0</v>
      </c>
      <c r="G573" s="19">
        <f t="shared" si="25"/>
        <v>11611892071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005010600401658000KD</v>
      </c>
      <c r="B576" s="11" t="str">
        <f>P27</f>
        <v>Mahkamah Syar'iyah Takengon</v>
      </c>
      <c r="C576" s="12" t="str">
        <f>A576&amp;" "&amp;B576</f>
        <v>005010600401658000KD Mahkamah Syar'iyah Takengon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335000</v>
      </c>
      <c r="E579" s="25">
        <f>SUMIFS('Daftar Koreksi'!$H$5:$H$92,'Daftar Koreksi'!$D$5:$D$92,'0600'!A576,'Daftar Koreksi'!$G$5:$G$92,"Persediaan",'Daftar Koreksi'!$H$5:$H$92,"&gt;0")</f>
        <v>0</v>
      </c>
      <c r="F579" s="25">
        <f>SUMIFS('Daftar Koreksi'!$H$5:$H$92,'Daftar Koreksi'!$D$5:$D$92,'0600'!A576,'Daftar Koreksi'!$G$5:$G$92,"Persediaan",'Daftar Koreksi'!$H$5:$H$92,"&lt;0")-SUMIFS('Daftar Koreksi'!$H$5:$H$92,'Daftar Koreksi'!$D$5:$D$92,'0600'!A576,'Daftar Koreksi'!$G$5:$G$92,"Persediaan",'Daftar Koreksi'!$H$5:$H$92,"&lt;0")-SUMIFS('Daftar Koreksi'!$H$5:$H$92,'Daftar Koreksi'!$D$5:$D$92,'0600'!A576,'Daftar Koreksi'!$G$5:$G$92,"Persediaan",'Daftar Koreksi'!$H$5:$H$92,"&lt;0")</f>
        <v>0</v>
      </c>
      <c r="G579" s="17">
        <f>D579+E579-F579</f>
        <v>335000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2812800000</v>
      </c>
      <c r="E580" s="25">
        <f>SUMIFS('Daftar Koreksi'!$H$5:$H$92,'Daftar Koreksi'!$D$5:$D$92,'0600'!A576,'Daftar Koreksi'!$G$5:$G$92,"Tanah",'Daftar Koreksi'!$H$5:$H$92,"&gt;0")</f>
        <v>0</v>
      </c>
      <c r="F580" s="25">
        <f>SUMIFS('Daftar Koreksi'!$H$5:$H$92,'Daftar Koreksi'!$D$5:$D$92,'0600'!A576,'Daftar Koreksi'!$G$5:$G$92,"Tanah",'Daftar Koreksi'!$H$5:$H$92,"&lt;0")-SUMIFS('Daftar Koreksi'!$H$5:$H$92,'Daftar Koreksi'!$D$5:$D$92,'0600'!A576,'Daftar Koreksi'!$G$5:$G$92,"Tanah",'Daftar Koreksi'!$H$5:$H$92,"&lt;0")-SUMIFS('Daftar Koreksi'!$H$5:$H$92,'Daftar Koreksi'!$D$5:$D$92,'0600'!A576,'Daftar Koreksi'!$G$5:$G$92,"Tanah",'Daftar Koreksi'!$H$5:$H$92,"&lt;0")</f>
        <v>0</v>
      </c>
      <c r="G580" s="17">
        <f t="shared" ref="G580:G596" si="26">D580+E580-F580</f>
        <v>2812800000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1564218154</v>
      </c>
      <c r="E581" s="25">
        <f>SUMIFS('Daftar Koreksi'!$H$5:$H$92,'Daftar Koreksi'!$D$5:$D$92,'0600'!A576,'Daftar Koreksi'!$G$5:$G$92,"Peralatan dan mesin",'Daftar Koreksi'!$H$5:$H$92,"&gt;0")</f>
        <v>0</v>
      </c>
      <c r="F581" s="25">
        <f>SUMIFS('Daftar Koreksi'!$H$5:$H$92,'Daftar Koreksi'!$D$5:$D$92,'0600'!A576,'Daftar Koreksi'!$G$5:$G$92,"Peralatan dan mesin",'Daftar Koreksi'!$H$5:$H$92,"&lt;0")-SUMIFS('Daftar Koreksi'!$H$5:$H$92,'Daftar Koreksi'!$D$5:$D$92,'0600'!A576,'Daftar Koreksi'!$G$5:$G$92,"Peralatan dan mesin",'Daftar Koreksi'!$H$5:$H$92,"&lt;0")-SUMIFS('Daftar Koreksi'!$H$5:$H$92,'Daftar Koreksi'!$D$5:$D$92,'0600'!A576,'Daftar Koreksi'!$G$5:$G$92,"Peralatan dan mesin",'Daftar Koreksi'!$H$5:$H$92,"&lt;0")</f>
        <v>0</v>
      </c>
      <c r="G581" s="17">
        <f t="shared" si="26"/>
        <v>1564218154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8603004000</v>
      </c>
      <c r="E582" s="25">
        <f>SUMIFS('Daftar Koreksi'!$H$5:$H$92,'Daftar Koreksi'!$D$5:$D$92,'0600'!A576,'Daftar Koreksi'!$G$5:$G$92,"Gedung dan Bangunan",'Daftar Koreksi'!$H$5:$H$92,"&gt;0")</f>
        <v>0</v>
      </c>
      <c r="F582" s="25">
        <f>SUMIFS('Daftar Koreksi'!$H$5:$H$92,'Daftar Koreksi'!$D$5:$D$92,'0600'!A576,'Daftar Koreksi'!$G$5:$G$92,"Gedung dan Bangunan",'Daftar Koreksi'!$H$5:$H$92,"&lt;0")-SUMIFS('Daftar Koreksi'!$H$5:$H$92,'Daftar Koreksi'!$D$5:$D$92,'0600'!A576,'Daftar Koreksi'!$G$5:$G$92,"Gedung dan Bangunan",'Daftar Koreksi'!$H$5:$H$92,"&lt;0")-SUMIFS('Daftar Koreksi'!$H$5:$H$92,'Daftar Koreksi'!$D$5:$D$92,'0600'!A576,'Daftar Koreksi'!$G$5:$G$92,"Gedung dan Bangunan",'Daftar Koreksi'!$H$5:$H$92,"&lt;0")</f>
        <v>0</v>
      </c>
      <c r="G582" s="17">
        <f t="shared" si="26"/>
        <v>8603004000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0</v>
      </c>
      <c r="E583" s="25">
        <f>SUMIFS('Daftar Koreksi'!$H$5:$H$92,'Daftar Koreksi'!$D$5:$D$92,'0600'!A576,'Daftar Koreksi'!$G$5:$G$92,"Jalan Irigasi Jaringan",'Daftar Koreksi'!$H$5:$H$92,"&gt;0")</f>
        <v>0</v>
      </c>
      <c r="F583" s="25">
        <f>SUMIFS('Daftar Koreksi'!$H$5:$H$92,'Daftar Koreksi'!$D$5:$D$92,'0600'!A576,'Daftar Koreksi'!$G$5:$G$92,"Jalan Irigasi Jaringan",'Daftar Koreksi'!$H$5:$H$92,"&lt;0")-SUMIFS('Daftar Koreksi'!$H$5:$H$92,'Daftar Koreksi'!$D$5:$D$92,'0600'!A576,'Daftar Koreksi'!$G$5:$G$92,"Jalan Irigasi Jaringan",'Daftar Koreksi'!$H$5:$H$92,"&lt;0")-SUMIFS('Daftar Koreksi'!$H$5:$H$92,'Daftar Koreksi'!$D$5:$D$92,'0600'!A576,'Daftar Koreksi'!$G$5:$G$92,"Jalan Irigasi Jaringan",'Daftar Koreksi'!$H$5:$H$92,"&lt;0")</f>
        <v>0</v>
      </c>
      <c r="G583" s="17">
        <f t="shared" si="26"/>
        <v>0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0</v>
      </c>
      <c r="E584" s="25">
        <f>SUMIFS('Daftar Koreksi'!$H$5:$H$92,'Daftar Koreksi'!$D$5:$D$92,'0600'!A576,'Daftar Koreksi'!$G$5:$G$92,"Aset Tetap Lainnya",'Daftar Koreksi'!$H$5:$H$92,"&gt;0")</f>
        <v>0</v>
      </c>
      <c r="F584" s="25">
        <f>SUMIFS('Daftar Koreksi'!$H$5:$H$92,'Daftar Koreksi'!$D$5:$D$92,'0600'!A576,'Daftar Koreksi'!$G$5:$G$92,"Aset Tetap Lainnya",'Daftar Koreksi'!$H$5:$H$92,"&lt;0")-SUMIFS('Daftar Koreksi'!$H$5:$H$92,'Daftar Koreksi'!$D$5:$D$92,'0600'!A576,'Daftar Koreksi'!$G$5:$G$92,"Aset Tetap Lainnya",'Daftar Koreksi'!$H$5:$H$92,"&lt;0")-SUMIFS('Daftar Koreksi'!$H$5:$H$92,'Daftar Koreksi'!$D$5:$D$92,'0600'!A576,'Daftar Koreksi'!$G$5:$G$92,"Aset Tetap Lainnya",'Daftar Koreksi'!$H$5:$H$92,"&lt;0")</f>
        <v>0</v>
      </c>
      <c r="G584" s="17">
        <f t="shared" si="26"/>
        <v>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Koreksi'!$D$5:$D$92,'0600'!A576,'Daftar Koreksi'!$G$5:$G$92,"Kontruksi Dalam Pengerjaan",'Daftar Koreksi'!$H$5:$H$92,"&gt;0")</f>
        <v>0</v>
      </c>
      <c r="F585" s="25">
        <f>SUMIFS('Daftar Koreksi'!$H$5:$H$92,'Daftar Koreksi'!$D$5:$D$92,'0600'!A576,'Daftar Koreksi'!$G$5:$G$92,"Kontruksi Dalam Pengerjaan",'Daftar Koreksi'!$H$5:$H$92,"&lt;0")-SUMIFS('Daftar Koreksi'!$H$5:$H$92,'Daftar Koreksi'!$D$5:$D$92,'0600'!A576,'Daftar Koreksi'!$G$5:$G$92,"Kontruksi Dalam Pengerjaan",'Daftar Koreksi'!$H$5:$H$92,"&lt;0")-SUMIFS('Daftar Koreksi'!$H$5:$H$92,'Daftar Koreksi'!$D$5:$D$92,'0600'!A576,'Daftar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0</v>
      </c>
      <c r="E586" s="25">
        <f>SUMIFS('Daftar Koreksi'!$H$5:$H$92,'Daftar Koreksi'!$D$5:$D$92,'0600'!A576,'Daftar Koreksi'!$G$5:$G$92,"Aset Tak Berwujud",'Daftar Koreksi'!$H$5:$H$92,"&gt;0")</f>
        <v>0</v>
      </c>
      <c r="F586" s="25">
        <f>SUMIFS('Daftar Koreksi'!$H$5:$H$92,'Daftar Koreksi'!$D$5:$D$92,'0600'!A576,'Daftar Koreksi'!$G$5:$G$92,"Aset Tak Berwujud",'Daftar Koreksi'!$H$5:$H$92,"&lt;0")-SUMIFS('Daftar Koreksi'!$H$5:$H$92,'Daftar Koreksi'!$D$5:$D$92,'0600'!A576,'Daftar Koreksi'!$G$5:$G$92,"Aset Tak Berwujud",'Daftar Koreksi'!$H$5:$H$92,"&lt;0")-SUMIFS('Daftar Koreksi'!$H$5:$H$92,'Daftar Koreksi'!$D$5:$D$92,'0600'!A576,'Daftar Koreksi'!$G$5:$G$92,"Aset Tak Berwujud",'Daftar Koreksi'!$H$5:$H$92,"&lt;0")</f>
        <v>0</v>
      </c>
      <c r="G586" s="17">
        <f t="shared" si="26"/>
        <v>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45042000</v>
      </c>
      <c r="E587" s="25">
        <f>SUMIFS('Daftar Koreksi'!$H$5:$H$92,'Daftar Koreksi'!$D$5:$D$92,'0600'!A576,'Daftar Koreksi'!$G$5:$G$92,"Aset Henti Guna",'Daftar Koreksi'!$H$5:$H$92,"&gt;0")</f>
        <v>0</v>
      </c>
      <c r="F587" s="25">
        <f>SUMIFS('Daftar Koreksi'!$H$5:$H$92,'Daftar Koreksi'!$D$5:$D$92,'0600'!A576,'Daftar Koreksi'!$G$5:$G$92,"Aset Henti Guna",'Daftar Koreksi'!$H$5:$H$92,"&lt;0")-SUMIFS('Daftar Koreksi'!$H$5:$H$92,'Daftar Koreksi'!$D$5:$D$92,'0600'!A576,'Daftar Koreksi'!$G$5:$G$92,"Aset Henti Guna",'Daftar Koreksi'!$H$5:$H$92,"&lt;0")-SUMIFS('Daftar Koreksi'!$H$5:$H$92,'Daftar Koreksi'!$D$5:$D$92,'0600'!A576,'Daftar Koreksi'!$G$5:$G$92,"Aset Henti Guna",'Daftar Koreksi'!$H$5:$H$92,"&lt;0")</f>
        <v>0</v>
      </c>
      <c r="G587" s="17">
        <f t="shared" si="26"/>
        <v>45042000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13025399154</v>
      </c>
      <c r="E588" s="19">
        <f>SUM(E579:E587)</f>
        <v>0</v>
      </c>
      <c r="F588" s="19">
        <f>SUM(F579:F587)</f>
        <v>0</v>
      </c>
      <c r="G588" s="19">
        <f t="shared" si="26"/>
        <v>13025399154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-1135636971</v>
      </c>
      <c r="E589" s="25">
        <f>SUMIFS('Daftar Koreksi'!$I$5:$I$92,'Daftar Koreksi'!$D$5:$D$92,'0600'!A576,'Daftar Koreksi'!$G$5:$G$92,"Peralatan dan mesin",'Daftar Koreksi'!$I$5:$I$92,"&gt;0")</f>
        <v>0</v>
      </c>
      <c r="F589" s="25">
        <f>SUMIFS('Daftar Koreksi'!$I$5:$I$92,'Daftar Koreksi'!$D$5:$D$92,'0600'!A576,'Daftar Koreksi'!$G$5:$G$92,"Peralatan dan mesin",'Daftar Koreksi'!$I$5:$I$92,"&lt;0")-SUMIFS('Daftar Koreksi'!$I$5:$I$92,'Daftar Koreksi'!$D$5:$D$92,'0600'!A576,'Daftar Koreksi'!$G$5:$G$92,"Peralatan dan mesin",'Daftar Koreksi'!$I$5:$I$92,"&lt;0")-SUMIFS('Daftar Koreksi'!$I$5:$I$92,'Daftar Koreksi'!$D$5:$D$92,'0600'!A576,'Daftar Koreksi'!$G$5:$G$92,"Peralatan dan mesin",'Daftar Koreksi'!$I$5:$I$92,"&lt;0")</f>
        <v>0</v>
      </c>
      <c r="G589" s="17">
        <f t="shared" si="26"/>
        <v>-1135636971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-1732391461</v>
      </c>
      <c r="E590" s="25">
        <f>SUMIFS('Daftar Koreksi'!$I$5:$I$92,'Daftar Koreksi'!$D$5:$D$92,'0600'!A576,'Daftar Koreksi'!$G$5:$G$92,"Gedung dan Bangunan",'Daftar Koreksi'!$I$5:$I$92,"&gt;0")</f>
        <v>0</v>
      </c>
      <c r="F590" s="25">
        <f>SUMIFS('Daftar Koreksi'!$I$5:$I$92,'Daftar Koreksi'!$D$5:$D$92,'0600'!A576,'Daftar Koreksi'!$G$5:$G$92,"Gedung dan Bangunan",'Daftar Koreksi'!$I$5:$I$92,"&lt;0")-SUMIFS('Daftar Koreksi'!$I$5:$I$92,'Daftar Koreksi'!$D$5:$D$92,'0600'!A576,'Daftar Koreksi'!$G$5:$G$92,"Gedung dan Bangunan",'Daftar Koreksi'!$I$5:$I$92,"&lt;0")-SUMIFS('Daftar Koreksi'!$I$5:$I$92,'Daftar Koreksi'!$D$5:$D$92,'0600'!A576,'Daftar Koreksi'!$G$5:$G$92,"Gedung dan Bangunan",'Daftar Koreksi'!$I$5:$I$92,"&lt;0")</f>
        <v>0</v>
      </c>
      <c r="G590" s="17">
        <f t="shared" si="26"/>
        <v>-1732391461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0</v>
      </c>
      <c r="E591" s="25">
        <f>SUMIFS('Daftar Koreksi'!$I$5:$I$92,'Daftar Koreksi'!$D$5:$D$92,'0600'!A576,'Daftar Koreksi'!$G$5:$G$92,"Jalan Irigasi Jaringan",'Daftar Koreksi'!$I$5:$I$92,"&gt;0")</f>
        <v>0</v>
      </c>
      <c r="F591" s="25">
        <f>SUMIFS('Daftar Koreksi'!$I$5:$I$92,'Daftar Koreksi'!$D$5:$D$92,'0600'!A576,'Daftar Koreksi'!$G$5:$G$92,"Jalan Irigasi Jaringan",'Daftar Koreksi'!$I$5:$I$92,"&lt;0")-SUMIFS('Daftar Koreksi'!$I$5:$I$92,'Daftar Koreksi'!$D$5:$D$92,'0600'!A576,'Daftar Koreksi'!$G$5:$G$92,"Jalan Irigasi Jaringan",'Daftar Koreksi'!$I$5:$I$92,"&lt;0")-SUMIFS('Daftar Koreksi'!$I$5:$I$92,'Daftar Koreksi'!$D$5:$D$92,'0600'!A576,'Daftar Koreksi'!$G$5:$G$92,"Jalan Irigasi Jaringan",'Daftar Koreksi'!$I$5:$I$92,"&lt;0")</f>
        <v>0</v>
      </c>
      <c r="G591" s="17">
        <f t="shared" si="26"/>
        <v>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Koreksi'!$D$5:$D$92,'0600'!A576,'Daftar Koreksi'!$G$5:$G$92,"Aset Tetap Lainnya",'Daftar Koreksi'!$I$5:$I$92,"&gt;0")</f>
        <v>0</v>
      </c>
      <c r="F592" s="25">
        <f>SUMIFS('Daftar Koreksi'!$I$5:$I$92,'Daftar Koreksi'!$D$5:$D$92,'0600'!A576,'Daftar Koreksi'!$G$5:$G$92,"Aset Tetap Lainnya",'Daftar Koreksi'!$I$5:$I$92,"&lt;0")-SUMIFS('Daftar Koreksi'!$I$5:$I$92,'Daftar Koreksi'!$D$5:$D$92,'0600'!A576,'Daftar Koreksi'!$G$5:$G$92,"Aset Tetap Lainnya",'Daftar Koreksi'!$I$5:$I$92,"&lt;0")-SUMIFS('Daftar Koreksi'!$I$5:$I$92,'Daftar Koreksi'!$D$5:$D$92,'0600'!A576,'Daftar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-45042000</v>
      </c>
      <c r="E593" s="25">
        <f>SUMIFS('Daftar Koreksi'!$I$5:$I$92,'Daftar Koreksi'!$D$5:$D$92,'0600'!A576,'Daftar Koreksi'!$G$5:$G$92,"Aset Henti Guna",'Daftar Koreksi'!$I$5:$I$92,"&gt;0")</f>
        <v>0</v>
      </c>
      <c r="F593" s="25">
        <f>SUMIFS('Daftar Koreksi'!$I$5:$I$92,'Daftar Koreksi'!$D$5:$D$92,'0600'!A576,'Daftar Koreksi'!$G$5:$G$92,"Aset Henti Guna",'Daftar Koreksi'!$I$5:$I$92,"&lt;0")-SUMIFS('Daftar Koreksi'!$I$5:$I$92,'Daftar Koreksi'!$D$5:$D$92,'0600'!A576,'Daftar Koreksi'!$G$5:$G$92,"Aset Henti Guna",'Daftar Koreksi'!$I$5:$I$92,"&lt;0")-SUMIFS('Daftar Koreksi'!$I$5:$I$92,'Daftar Koreksi'!$D$5:$D$92,'0600'!A576,'Daftar Koreksi'!$G$5:$G$92,"Aset Henti Guna",'Daftar Koreksi'!$I$5:$I$92,"&lt;0")</f>
        <v>0</v>
      </c>
      <c r="G593" s="17">
        <f t="shared" si="26"/>
        <v>-45042000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-2913070432</v>
      </c>
      <c r="E594" s="19">
        <f>SUM(E589:E593)</f>
        <v>0</v>
      </c>
      <c r="F594" s="19">
        <f>SUM(F589:F593)</f>
        <v>0</v>
      </c>
      <c r="G594" s="19">
        <f t="shared" si="26"/>
        <v>-2913070432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10112328722</v>
      </c>
      <c r="E595" s="19">
        <f>E594+E588</f>
        <v>0</v>
      </c>
      <c r="F595" s="19">
        <f>F594+F588</f>
        <v>0</v>
      </c>
      <c r="G595" s="19">
        <f t="shared" si="26"/>
        <v>10112328722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005010600401664000KD</v>
      </c>
      <c r="B598" s="11" t="str">
        <f>P28</f>
        <v>Mahkamah Syar'iyah Lhok Seumawe</v>
      </c>
      <c r="C598" s="12" t="str">
        <f>A598&amp;" "&amp;B598</f>
        <v>005010600401664000KD Mahkamah Syar'iyah Lhok Seumawe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0</v>
      </c>
      <c r="E601" s="25">
        <f>SUMIFS('Daftar Koreksi'!$H$5:$H$92,'Daftar Koreksi'!$D$5:$D$92,'0600'!A598,'Daftar Koreksi'!$G$5:$G$92,"Persediaan",'Daftar Koreksi'!$H$5:$H$92,"&gt;0")</f>
        <v>0</v>
      </c>
      <c r="F601" s="25">
        <f>SUMIFS('Daftar Koreksi'!$H$5:$H$92,'Daftar Koreksi'!$D$5:$D$92,'0600'!A598,'Daftar Koreksi'!$G$5:$G$92,"Persediaan",'Daftar Koreksi'!$H$5:$H$92,"&lt;0")-SUMIFS('Daftar Koreksi'!$H$5:$H$92,'Daftar Koreksi'!$D$5:$D$92,'0600'!A598,'Daftar Koreksi'!$G$5:$G$92,"Persediaan",'Daftar Koreksi'!$H$5:$H$92,"&lt;0")-SUMIFS('Daftar Koreksi'!$H$5:$H$92,'Daftar Koreksi'!$D$5:$D$92,'0600'!A598,'Daftar Koreksi'!$G$5:$G$92,"Persediaan",'Daftar Koreksi'!$H$5:$H$92,"&lt;0")</f>
        <v>0</v>
      </c>
      <c r="G601" s="17">
        <f>D601+E601-F601</f>
        <v>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3347904000</v>
      </c>
      <c r="E602" s="25">
        <f>SUMIFS('Daftar Koreksi'!$H$5:$H$92,'Daftar Koreksi'!$D$5:$D$92,'0600'!A598,'Daftar Koreksi'!$G$5:$G$92,"Tanah",'Daftar Koreksi'!$H$5:$H$92,"&gt;0")</f>
        <v>0</v>
      </c>
      <c r="F602" s="25">
        <f>SUMIFS('Daftar Koreksi'!$H$5:$H$92,'Daftar Koreksi'!$D$5:$D$92,'0600'!A598,'Daftar Koreksi'!$G$5:$G$92,"Tanah",'Daftar Koreksi'!$H$5:$H$92,"&lt;0")-SUMIFS('Daftar Koreksi'!$H$5:$H$92,'Daftar Koreksi'!$D$5:$D$92,'0600'!A598,'Daftar Koreksi'!$G$5:$G$92,"Tanah",'Daftar Koreksi'!$H$5:$H$92,"&lt;0")-SUMIFS('Daftar Koreksi'!$H$5:$H$92,'Daftar Koreksi'!$D$5:$D$92,'0600'!A598,'Daftar Koreksi'!$G$5:$G$92,"Tanah",'Daftar Koreksi'!$H$5:$H$92,"&lt;0")</f>
        <v>0</v>
      </c>
      <c r="G602" s="17">
        <f t="shared" ref="G602:G618" si="27">D602+E602-F602</f>
        <v>3347904000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1469294217</v>
      </c>
      <c r="E603" s="25">
        <f>SUMIFS('Daftar Koreksi'!$H$5:$H$92,'Daftar Koreksi'!$D$5:$D$92,'0600'!A598,'Daftar Koreksi'!$G$5:$G$92,"Peralatan dan mesin",'Daftar Koreksi'!$H$5:$H$92,"&gt;0")</f>
        <v>0</v>
      </c>
      <c r="F603" s="25">
        <f>SUMIFS('Daftar Koreksi'!$H$5:$H$92,'Daftar Koreksi'!$D$5:$D$92,'0600'!A598,'Daftar Koreksi'!$G$5:$G$92,"Peralatan dan mesin",'Daftar Koreksi'!$H$5:$H$92,"&lt;0")-SUMIFS('Daftar Koreksi'!$H$5:$H$92,'Daftar Koreksi'!$D$5:$D$92,'0600'!A598,'Daftar Koreksi'!$G$5:$G$92,"Peralatan dan mesin",'Daftar Koreksi'!$H$5:$H$92,"&lt;0")-SUMIFS('Daftar Koreksi'!$H$5:$H$92,'Daftar Koreksi'!$D$5:$D$92,'0600'!A598,'Daftar Koreksi'!$G$5:$G$92,"Peralatan dan mesin",'Daftar Koreksi'!$H$5:$H$92,"&lt;0")</f>
        <v>0</v>
      </c>
      <c r="G603" s="17">
        <f t="shared" si="27"/>
        <v>1469294217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8631967000</v>
      </c>
      <c r="E604" s="25">
        <f>SUMIFS('Daftar Koreksi'!$H$5:$H$92,'Daftar Koreksi'!$D$5:$D$92,'0600'!A598,'Daftar Koreksi'!$G$5:$G$92,"Gedung dan Bangunan",'Daftar Koreksi'!$H$5:$H$92,"&gt;0")</f>
        <v>0</v>
      </c>
      <c r="F604" s="25">
        <f>SUMIFS('Daftar Koreksi'!$H$5:$H$92,'Daftar Koreksi'!$D$5:$D$92,'0600'!A598,'Daftar Koreksi'!$G$5:$G$92,"Gedung dan Bangunan",'Daftar Koreksi'!$H$5:$H$92,"&lt;0")-SUMIFS('Daftar Koreksi'!$H$5:$H$92,'Daftar Koreksi'!$D$5:$D$92,'0600'!A598,'Daftar Koreksi'!$G$5:$G$92,"Gedung dan Bangunan",'Daftar Koreksi'!$H$5:$H$92,"&lt;0")-SUMIFS('Daftar Koreksi'!$H$5:$H$92,'Daftar Koreksi'!$D$5:$D$92,'0600'!A598,'Daftar Koreksi'!$G$5:$G$92,"Gedung dan Bangunan",'Daftar Koreksi'!$H$5:$H$92,"&lt;0")</f>
        <v>0</v>
      </c>
      <c r="G604" s="17">
        <f t="shared" si="27"/>
        <v>8631967000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0</v>
      </c>
      <c r="E605" s="25">
        <f>SUMIFS('Daftar Koreksi'!$H$5:$H$92,'Daftar Koreksi'!$D$5:$D$92,'0600'!A598,'Daftar Koreksi'!$G$5:$G$92,"Jalan Irigasi Jaringan",'Daftar Koreksi'!$H$5:$H$92,"&gt;0")</f>
        <v>0</v>
      </c>
      <c r="F605" s="25">
        <f>SUMIFS('Daftar Koreksi'!$H$5:$H$92,'Daftar Koreksi'!$D$5:$D$92,'0600'!A598,'Daftar Koreksi'!$G$5:$G$92,"Jalan Irigasi Jaringan",'Daftar Koreksi'!$H$5:$H$92,"&lt;0")-SUMIFS('Daftar Koreksi'!$H$5:$H$92,'Daftar Koreksi'!$D$5:$D$92,'0600'!A598,'Daftar Koreksi'!$G$5:$G$92,"Jalan Irigasi Jaringan",'Daftar Koreksi'!$H$5:$H$92,"&lt;0")-SUMIFS('Daftar Koreksi'!$H$5:$H$92,'Daftar Koreksi'!$D$5:$D$92,'0600'!A598,'Daftar Koreksi'!$G$5:$G$92,"Jalan Irigasi Jaringan",'Daftar Koreksi'!$H$5:$H$92,"&lt;0")</f>
        <v>0</v>
      </c>
      <c r="G605" s="17">
        <f t="shared" si="27"/>
        <v>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461000</v>
      </c>
      <c r="E606" s="25">
        <f>SUMIFS('Daftar Koreksi'!$H$5:$H$92,'Daftar Koreksi'!$D$5:$D$92,'0600'!A598,'Daftar Koreksi'!$G$5:$G$92,"Aset Tetap Lainnya",'Daftar Koreksi'!$H$5:$H$92,"&gt;0")</f>
        <v>0</v>
      </c>
      <c r="F606" s="25">
        <f>SUMIFS('Daftar Koreksi'!$H$5:$H$92,'Daftar Koreksi'!$D$5:$D$92,'0600'!A598,'Daftar Koreksi'!$G$5:$G$92,"Aset Tetap Lainnya",'Daftar Koreksi'!$H$5:$H$92,"&lt;0")-SUMIFS('Daftar Koreksi'!$H$5:$H$92,'Daftar Koreksi'!$D$5:$D$92,'0600'!A598,'Daftar Koreksi'!$G$5:$G$92,"Aset Tetap Lainnya",'Daftar Koreksi'!$H$5:$H$92,"&lt;0")-SUMIFS('Daftar Koreksi'!$H$5:$H$92,'Daftar Koreksi'!$D$5:$D$92,'0600'!A598,'Daftar Koreksi'!$G$5:$G$92,"Aset Tetap Lainnya",'Daftar Koreksi'!$H$5:$H$92,"&lt;0")</f>
        <v>0</v>
      </c>
      <c r="G606" s="17">
        <f t="shared" si="27"/>
        <v>461000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Koreksi'!$D$5:$D$92,'0600'!A598,'Daftar Koreksi'!$G$5:$G$92,"Kontruksi Dalam Pengerjaan",'Daftar Koreksi'!$H$5:$H$92,"&gt;0")</f>
        <v>0</v>
      </c>
      <c r="F607" s="25">
        <f>SUMIFS('Daftar Koreksi'!$H$5:$H$92,'Daftar Koreksi'!$D$5:$D$92,'0600'!A598,'Daftar Koreksi'!$G$5:$G$92,"Kontruksi Dalam Pengerjaan",'Daftar Koreksi'!$H$5:$H$92,"&lt;0")-SUMIFS('Daftar Koreksi'!$H$5:$H$92,'Daftar Koreksi'!$D$5:$D$92,'0600'!A598,'Daftar Koreksi'!$G$5:$G$92,"Kontruksi Dalam Pengerjaan",'Daftar Koreksi'!$H$5:$H$92,"&lt;0")-SUMIFS('Daftar Koreksi'!$H$5:$H$92,'Daftar Koreksi'!$D$5:$D$92,'0600'!A598,'Daftar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6820000</v>
      </c>
      <c r="E608" s="25">
        <f>SUMIFS('Daftar Koreksi'!$H$5:$H$92,'Daftar Koreksi'!$D$5:$D$92,'0600'!A598,'Daftar Koreksi'!$G$5:$G$92,"Aset Tak Berwujud",'Daftar Koreksi'!$H$5:$H$92,"&gt;0")</f>
        <v>0</v>
      </c>
      <c r="F608" s="25">
        <f>SUMIFS('Daftar Koreksi'!$H$5:$H$92,'Daftar Koreksi'!$D$5:$D$92,'0600'!A598,'Daftar Koreksi'!$G$5:$G$92,"Aset Tak Berwujud",'Daftar Koreksi'!$H$5:$H$92,"&lt;0")-SUMIFS('Daftar Koreksi'!$H$5:$H$92,'Daftar Koreksi'!$D$5:$D$92,'0600'!A598,'Daftar Koreksi'!$G$5:$G$92,"Aset Tak Berwujud",'Daftar Koreksi'!$H$5:$H$92,"&lt;0")-SUMIFS('Daftar Koreksi'!$H$5:$H$92,'Daftar Koreksi'!$D$5:$D$92,'0600'!A598,'Daftar Koreksi'!$G$5:$G$92,"Aset Tak Berwujud",'Daftar Koreksi'!$H$5:$H$92,"&lt;0")</f>
        <v>0</v>
      </c>
      <c r="G608" s="17">
        <f t="shared" si="27"/>
        <v>6820000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7631000</v>
      </c>
      <c r="E609" s="25">
        <f>SUMIFS('Daftar Koreksi'!$H$5:$H$92,'Daftar Koreksi'!$D$5:$D$92,'0600'!A598,'Daftar Koreksi'!$G$5:$G$92,"Aset Henti Guna",'Daftar Koreksi'!$H$5:$H$92,"&gt;0")</f>
        <v>0</v>
      </c>
      <c r="F609" s="25">
        <f>SUMIFS('Daftar Koreksi'!$H$5:$H$92,'Daftar Koreksi'!$D$5:$D$92,'0600'!A598,'Daftar Koreksi'!$G$5:$G$92,"Aset Henti Guna",'Daftar Koreksi'!$H$5:$H$92,"&lt;0")-SUMIFS('Daftar Koreksi'!$H$5:$H$92,'Daftar Koreksi'!$D$5:$D$92,'0600'!A598,'Daftar Koreksi'!$G$5:$G$92,"Aset Henti Guna",'Daftar Koreksi'!$H$5:$H$92,"&lt;0")-SUMIFS('Daftar Koreksi'!$H$5:$H$92,'Daftar Koreksi'!$D$5:$D$92,'0600'!A598,'Daftar Koreksi'!$G$5:$G$92,"Aset Henti Guna",'Daftar Koreksi'!$H$5:$H$92,"&lt;0")</f>
        <v>0</v>
      </c>
      <c r="G609" s="17">
        <f t="shared" si="27"/>
        <v>7631000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13464077217</v>
      </c>
      <c r="E610" s="19">
        <f>SUM(E601:E609)</f>
        <v>0</v>
      </c>
      <c r="F610" s="19">
        <f>SUM(F601:F609)</f>
        <v>0</v>
      </c>
      <c r="G610" s="19">
        <f t="shared" si="27"/>
        <v>13464077217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-1305710797</v>
      </c>
      <c r="E611" s="25">
        <f>SUMIFS('Daftar Koreksi'!$I$5:$I$92,'Daftar Koreksi'!$D$5:$D$92,'0600'!A598,'Daftar Koreksi'!$G$5:$G$92,"Peralatan dan mesin",'Daftar Koreksi'!$I$5:$I$92,"&gt;0")</f>
        <v>0</v>
      </c>
      <c r="F611" s="25">
        <f>SUMIFS('Daftar Koreksi'!$I$5:$I$92,'Daftar Koreksi'!$D$5:$D$92,'0600'!A598,'Daftar Koreksi'!$G$5:$G$92,"Peralatan dan mesin",'Daftar Koreksi'!$I$5:$I$92,"&lt;0")-SUMIFS('Daftar Koreksi'!$I$5:$I$92,'Daftar Koreksi'!$D$5:$D$92,'0600'!A598,'Daftar Koreksi'!$G$5:$G$92,"Peralatan dan mesin",'Daftar Koreksi'!$I$5:$I$92,"&lt;0")-SUMIFS('Daftar Koreksi'!$I$5:$I$92,'Daftar Koreksi'!$D$5:$D$92,'0600'!A598,'Daftar Koreksi'!$G$5:$G$92,"Peralatan dan mesin",'Daftar Koreksi'!$I$5:$I$92,"&lt;0")</f>
        <v>0</v>
      </c>
      <c r="G611" s="17">
        <f t="shared" si="27"/>
        <v>-1305710797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-790540438</v>
      </c>
      <c r="E612" s="25">
        <f>SUMIFS('Daftar Koreksi'!$I$5:$I$92,'Daftar Koreksi'!$D$5:$D$92,'0600'!A598,'Daftar Koreksi'!$G$5:$G$92,"Gedung dan Bangunan",'Daftar Koreksi'!$I$5:$I$92,"&gt;0")</f>
        <v>0</v>
      </c>
      <c r="F612" s="25">
        <f>SUMIFS('Daftar Koreksi'!$I$5:$I$92,'Daftar Koreksi'!$D$5:$D$92,'0600'!A598,'Daftar Koreksi'!$G$5:$G$92,"Gedung dan Bangunan",'Daftar Koreksi'!$I$5:$I$92,"&lt;0")-SUMIFS('Daftar Koreksi'!$I$5:$I$92,'Daftar Koreksi'!$D$5:$D$92,'0600'!A598,'Daftar Koreksi'!$G$5:$G$92,"Gedung dan Bangunan",'Daftar Koreksi'!$I$5:$I$92,"&lt;0")-SUMIFS('Daftar Koreksi'!$I$5:$I$92,'Daftar Koreksi'!$D$5:$D$92,'0600'!A598,'Daftar Koreksi'!$G$5:$G$92,"Gedung dan Bangunan",'Daftar Koreksi'!$I$5:$I$92,"&lt;0")</f>
        <v>0</v>
      </c>
      <c r="G612" s="17">
        <f t="shared" si="27"/>
        <v>-790540438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0</v>
      </c>
      <c r="E613" s="25">
        <f>SUMIFS('Daftar Koreksi'!$I$5:$I$92,'Daftar Koreksi'!$D$5:$D$92,'0600'!A598,'Daftar Koreksi'!$G$5:$G$92,"Jalan Irigasi Jaringan",'Daftar Koreksi'!$I$5:$I$92,"&gt;0")</f>
        <v>0</v>
      </c>
      <c r="F613" s="25">
        <f>SUMIFS('Daftar Koreksi'!$I$5:$I$92,'Daftar Koreksi'!$D$5:$D$92,'0600'!A598,'Daftar Koreksi'!$G$5:$G$92,"Jalan Irigasi Jaringan",'Daftar Koreksi'!$I$5:$I$92,"&lt;0")-SUMIFS('Daftar Koreksi'!$I$5:$I$92,'Daftar Koreksi'!$D$5:$D$92,'0600'!A598,'Daftar Koreksi'!$G$5:$G$92,"Jalan Irigasi Jaringan",'Daftar Koreksi'!$I$5:$I$92,"&lt;0")-SUMIFS('Daftar Koreksi'!$I$5:$I$92,'Daftar Koreksi'!$D$5:$D$92,'0600'!A598,'Daftar Koreksi'!$G$5:$G$92,"Jalan Irigasi Jaringan",'Daftar Koreksi'!$I$5:$I$92,"&lt;0")</f>
        <v>0</v>
      </c>
      <c r="G613" s="17">
        <f t="shared" si="27"/>
        <v>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Koreksi'!$D$5:$D$92,'0600'!A598,'Daftar Koreksi'!$G$5:$G$92,"Aset Tetap Lainnya",'Daftar Koreksi'!$I$5:$I$92,"&gt;0")</f>
        <v>0</v>
      </c>
      <c r="F614" s="25">
        <f>SUMIFS('Daftar Koreksi'!$I$5:$I$92,'Daftar Koreksi'!$D$5:$D$92,'0600'!A598,'Daftar Koreksi'!$G$5:$G$92,"Aset Tetap Lainnya",'Daftar Koreksi'!$I$5:$I$92,"&lt;0")-SUMIFS('Daftar Koreksi'!$I$5:$I$92,'Daftar Koreksi'!$D$5:$D$92,'0600'!A598,'Daftar Koreksi'!$G$5:$G$92,"Aset Tetap Lainnya",'Daftar Koreksi'!$I$5:$I$92,"&lt;0")-SUMIFS('Daftar Koreksi'!$I$5:$I$92,'Daftar Koreksi'!$D$5:$D$92,'0600'!A598,'Daftar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-7631000</v>
      </c>
      <c r="E615" s="25">
        <f>SUMIFS('Daftar Koreksi'!$I$5:$I$92,'Daftar Koreksi'!$D$5:$D$92,'0600'!A598,'Daftar Koreksi'!$G$5:$G$92,"Aset Henti Guna",'Daftar Koreksi'!$I$5:$I$92,"&gt;0")</f>
        <v>0</v>
      </c>
      <c r="F615" s="25">
        <f>SUMIFS('Daftar Koreksi'!$I$5:$I$92,'Daftar Koreksi'!$D$5:$D$92,'0600'!A598,'Daftar Koreksi'!$G$5:$G$92,"Aset Henti Guna",'Daftar Koreksi'!$I$5:$I$92,"&lt;0")-SUMIFS('Daftar Koreksi'!$I$5:$I$92,'Daftar Koreksi'!$D$5:$D$92,'0600'!A598,'Daftar Koreksi'!$G$5:$G$92,"Aset Henti Guna",'Daftar Koreksi'!$I$5:$I$92,"&lt;0")-SUMIFS('Daftar Koreksi'!$I$5:$I$92,'Daftar Koreksi'!$D$5:$D$92,'0600'!A598,'Daftar Koreksi'!$G$5:$G$92,"Aset Henti Guna",'Daftar Koreksi'!$I$5:$I$92,"&lt;0")</f>
        <v>0</v>
      </c>
      <c r="G615" s="17">
        <f t="shared" si="27"/>
        <v>-7631000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-2103882235</v>
      </c>
      <c r="E616" s="19">
        <f>SUM(E611:E615)</f>
        <v>0</v>
      </c>
      <c r="F616" s="19">
        <f>SUM(F611:F615)</f>
        <v>0</v>
      </c>
      <c r="G616" s="19">
        <f t="shared" si="27"/>
        <v>-2103882235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11360194982</v>
      </c>
      <c r="E617" s="19">
        <f>E616+E610</f>
        <v>0</v>
      </c>
      <c r="F617" s="19">
        <f>F616+F610</f>
        <v>0</v>
      </c>
      <c r="G617" s="19">
        <f t="shared" si="27"/>
        <v>11360194982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005010600401670000KD</v>
      </c>
      <c r="B620" s="11" t="str">
        <f>P29</f>
        <v>Mahkamah Syar'iyah Idi</v>
      </c>
      <c r="C620" s="12" t="str">
        <f>A620&amp;" "&amp;B620</f>
        <v>005010600401670000KD Mahkamah Syar'iyah Idi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343000</v>
      </c>
      <c r="E623" s="25">
        <f>SUMIFS('Daftar Koreksi'!$H$5:$H$92,'Daftar Koreksi'!$D$5:$D$92,'0600'!A620,'Daftar Koreksi'!$G$5:$G$92,"Persediaan",'Daftar Koreksi'!$H$5:$H$92,"&gt;0")</f>
        <v>0</v>
      </c>
      <c r="F623" s="25">
        <f>SUMIFS('Daftar Koreksi'!$H$5:$H$92,'Daftar Koreksi'!$D$5:$D$92,'0600'!A620,'Daftar Koreksi'!$G$5:$G$92,"Persediaan",'Daftar Koreksi'!$H$5:$H$92,"&lt;0")-SUMIFS('Daftar Koreksi'!$H$5:$H$92,'Daftar Koreksi'!$D$5:$D$92,'0600'!A620,'Daftar Koreksi'!$G$5:$G$92,"Persediaan",'Daftar Koreksi'!$H$5:$H$92,"&lt;0")-SUMIFS('Daftar Koreksi'!$H$5:$H$92,'Daftar Koreksi'!$D$5:$D$92,'0600'!A620,'Daftar Koreksi'!$G$5:$G$92,"Persediaan",'Daftar Koreksi'!$H$5:$H$92,"&lt;0")</f>
        <v>0</v>
      </c>
      <c r="G623" s="17">
        <f>D623+E623-F623</f>
        <v>343000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1773726888</v>
      </c>
      <c r="E624" s="25">
        <f>SUMIFS('Daftar Koreksi'!$H$5:$H$92,'Daftar Koreksi'!$D$5:$D$92,'0600'!A620,'Daftar Koreksi'!$G$5:$G$92,"Tanah",'Daftar Koreksi'!$H$5:$H$92,"&gt;0")</f>
        <v>0</v>
      </c>
      <c r="F624" s="25">
        <f>SUMIFS('Daftar Koreksi'!$H$5:$H$92,'Daftar Koreksi'!$D$5:$D$92,'0600'!A620,'Daftar Koreksi'!$G$5:$G$92,"Tanah",'Daftar Koreksi'!$H$5:$H$92,"&lt;0")-SUMIFS('Daftar Koreksi'!$H$5:$H$92,'Daftar Koreksi'!$D$5:$D$92,'0600'!A620,'Daftar Koreksi'!$G$5:$G$92,"Tanah",'Daftar Koreksi'!$H$5:$H$92,"&lt;0")-SUMIFS('Daftar Koreksi'!$H$5:$H$92,'Daftar Koreksi'!$D$5:$D$92,'0600'!A620,'Daftar Koreksi'!$G$5:$G$92,"Tanah",'Daftar Koreksi'!$H$5:$H$92,"&lt;0")</f>
        <v>0</v>
      </c>
      <c r="G624" s="17">
        <f t="shared" ref="G624:G640" si="28">D624+E624-F624</f>
        <v>1773726888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1124006903</v>
      </c>
      <c r="E625" s="25">
        <f>SUMIFS('Daftar Koreksi'!$H$5:$H$92,'Daftar Koreksi'!$D$5:$D$92,'0600'!A620,'Daftar Koreksi'!$G$5:$G$92,"Peralatan dan mesin",'Daftar Koreksi'!$H$5:$H$92,"&gt;0")</f>
        <v>0</v>
      </c>
      <c r="F625" s="25">
        <f>SUMIFS('Daftar Koreksi'!$H$5:$H$92,'Daftar Koreksi'!$D$5:$D$92,'0600'!A620,'Daftar Koreksi'!$G$5:$G$92,"Peralatan dan mesin",'Daftar Koreksi'!$H$5:$H$92,"&lt;0")-SUMIFS('Daftar Koreksi'!$H$5:$H$92,'Daftar Koreksi'!$D$5:$D$92,'0600'!A620,'Daftar Koreksi'!$G$5:$G$92,"Peralatan dan mesin",'Daftar Koreksi'!$H$5:$H$92,"&lt;0")-SUMIFS('Daftar Koreksi'!$H$5:$H$92,'Daftar Koreksi'!$D$5:$D$92,'0600'!A620,'Daftar Koreksi'!$G$5:$G$92,"Peralatan dan mesin",'Daftar Koreksi'!$H$5:$H$92,"&lt;0")</f>
        <v>0</v>
      </c>
      <c r="G625" s="17">
        <f t="shared" si="28"/>
        <v>1124006903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8781444500</v>
      </c>
      <c r="E626" s="25">
        <f>SUMIFS('Daftar Koreksi'!$H$5:$H$92,'Daftar Koreksi'!$D$5:$D$92,'0600'!A620,'Daftar Koreksi'!$G$5:$G$92,"Gedung dan Bangunan",'Daftar Koreksi'!$H$5:$H$92,"&gt;0")</f>
        <v>0</v>
      </c>
      <c r="F626" s="25">
        <f>SUMIFS('Daftar Koreksi'!$H$5:$H$92,'Daftar Koreksi'!$D$5:$D$92,'0600'!A620,'Daftar Koreksi'!$G$5:$G$92,"Gedung dan Bangunan",'Daftar Koreksi'!$H$5:$H$92,"&lt;0")-SUMIFS('Daftar Koreksi'!$H$5:$H$92,'Daftar Koreksi'!$D$5:$D$92,'0600'!A620,'Daftar Koreksi'!$G$5:$G$92,"Gedung dan Bangunan",'Daftar Koreksi'!$H$5:$H$92,"&lt;0")-SUMIFS('Daftar Koreksi'!$H$5:$H$92,'Daftar Koreksi'!$D$5:$D$92,'0600'!A620,'Daftar Koreksi'!$G$5:$G$92,"Gedung dan Bangunan",'Daftar Koreksi'!$H$5:$H$92,"&lt;0")</f>
        <v>0</v>
      </c>
      <c r="G626" s="17">
        <f t="shared" si="28"/>
        <v>8781444500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Koreksi'!$D$5:$D$92,'0600'!A620,'Daftar Koreksi'!$G$5:$G$92,"Jalan Irigasi Jaringan",'Daftar Koreksi'!$H$5:$H$92,"&gt;0")</f>
        <v>0</v>
      </c>
      <c r="F627" s="25">
        <f>SUMIFS('Daftar Koreksi'!$H$5:$H$92,'Daftar Koreksi'!$D$5:$D$92,'0600'!A620,'Daftar Koreksi'!$G$5:$G$92,"Jalan Irigasi Jaringan",'Daftar Koreksi'!$H$5:$H$92,"&lt;0")-SUMIFS('Daftar Koreksi'!$H$5:$H$92,'Daftar Koreksi'!$D$5:$D$92,'0600'!A620,'Daftar Koreksi'!$G$5:$G$92,"Jalan Irigasi Jaringan",'Daftar Koreksi'!$H$5:$H$92,"&lt;0")-SUMIFS('Daftar Koreksi'!$H$5:$H$92,'Daftar Koreksi'!$D$5:$D$92,'0600'!A620,'Daftar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290000</v>
      </c>
      <c r="E628" s="25">
        <f>SUMIFS('Daftar Koreksi'!$H$5:$H$92,'Daftar Koreksi'!$D$5:$D$92,'0600'!A620,'Daftar Koreksi'!$G$5:$G$92,"Aset Tetap Lainnya",'Daftar Koreksi'!$H$5:$H$92,"&gt;0")</f>
        <v>0</v>
      </c>
      <c r="F628" s="25">
        <f>SUMIFS('Daftar Koreksi'!$H$5:$H$92,'Daftar Koreksi'!$D$5:$D$92,'0600'!A620,'Daftar Koreksi'!$G$5:$G$92,"Aset Tetap Lainnya",'Daftar Koreksi'!$H$5:$H$92,"&lt;0")-SUMIFS('Daftar Koreksi'!$H$5:$H$92,'Daftar Koreksi'!$D$5:$D$92,'0600'!A620,'Daftar Koreksi'!$G$5:$G$92,"Aset Tetap Lainnya",'Daftar Koreksi'!$H$5:$H$92,"&lt;0")-SUMIFS('Daftar Koreksi'!$H$5:$H$92,'Daftar Koreksi'!$D$5:$D$92,'0600'!A620,'Daftar Koreksi'!$G$5:$G$92,"Aset Tetap Lainnya",'Daftar Koreksi'!$H$5:$H$92,"&lt;0")</f>
        <v>0</v>
      </c>
      <c r="G628" s="17">
        <f t="shared" si="28"/>
        <v>290000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Koreksi'!$D$5:$D$92,'0600'!A620,'Daftar Koreksi'!$G$5:$G$92,"Kontruksi Dalam Pengerjaan",'Daftar Koreksi'!$H$5:$H$92,"&gt;0")</f>
        <v>0</v>
      </c>
      <c r="F629" s="25">
        <f>SUMIFS('Daftar Koreksi'!$H$5:$H$92,'Daftar Koreksi'!$D$5:$D$92,'0600'!A620,'Daftar Koreksi'!$G$5:$G$92,"Kontruksi Dalam Pengerjaan",'Daftar Koreksi'!$H$5:$H$92,"&lt;0")-SUMIFS('Daftar Koreksi'!$H$5:$H$92,'Daftar Koreksi'!$D$5:$D$92,'0600'!A620,'Daftar Koreksi'!$G$5:$G$92,"Kontruksi Dalam Pengerjaan",'Daftar Koreksi'!$H$5:$H$92,"&lt;0")-SUMIFS('Daftar Koreksi'!$H$5:$H$92,'Daftar Koreksi'!$D$5:$D$92,'0600'!A620,'Daftar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0</v>
      </c>
      <c r="E630" s="25">
        <f>SUMIFS('Daftar Koreksi'!$H$5:$H$92,'Daftar Koreksi'!$D$5:$D$92,'0600'!A620,'Daftar Koreksi'!$G$5:$G$92,"Aset Tak Berwujud",'Daftar Koreksi'!$H$5:$H$92,"&gt;0")</f>
        <v>0</v>
      </c>
      <c r="F630" s="25">
        <f>SUMIFS('Daftar Koreksi'!$H$5:$H$92,'Daftar Koreksi'!$D$5:$D$92,'0600'!A620,'Daftar Koreksi'!$G$5:$G$92,"Aset Tak Berwujud",'Daftar Koreksi'!$H$5:$H$92,"&lt;0")-SUMIFS('Daftar Koreksi'!$H$5:$H$92,'Daftar Koreksi'!$D$5:$D$92,'0600'!A620,'Daftar Koreksi'!$G$5:$G$92,"Aset Tak Berwujud",'Daftar Koreksi'!$H$5:$H$92,"&lt;0")-SUMIFS('Daftar Koreksi'!$H$5:$H$92,'Daftar Koreksi'!$D$5:$D$92,'0600'!A620,'Daftar Koreksi'!$G$5:$G$92,"Aset Tak Berwujud",'Daftar Koreksi'!$H$5:$H$92,"&lt;0")</f>
        <v>0</v>
      </c>
      <c r="G630" s="17">
        <f t="shared" si="28"/>
        <v>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30857408</v>
      </c>
      <c r="E631" s="25">
        <f>SUMIFS('Daftar Koreksi'!$H$5:$H$92,'Daftar Koreksi'!$D$5:$D$92,'0600'!A620,'Daftar Koreksi'!$G$5:$G$92,"Aset Henti Guna",'Daftar Koreksi'!$H$5:$H$92,"&gt;0")</f>
        <v>0</v>
      </c>
      <c r="F631" s="25">
        <f>SUMIFS('Daftar Koreksi'!$H$5:$H$92,'Daftar Koreksi'!$D$5:$D$92,'0600'!A620,'Daftar Koreksi'!$G$5:$G$92,"Aset Henti Guna",'Daftar Koreksi'!$H$5:$H$92,"&lt;0")-SUMIFS('Daftar Koreksi'!$H$5:$H$92,'Daftar Koreksi'!$D$5:$D$92,'0600'!A620,'Daftar Koreksi'!$G$5:$G$92,"Aset Henti Guna",'Daftar Koreksi'!$H$5:$H$92,"&lt;0")-SUMIFS('Daftar Koreksi'!$H$5:$H$92,'Daftar Koreksi'!$D$5:$D$92,'0600'!A620,'Daftar Koreksi'!$G$5:$G$92,"Aset Henti Guna",'Daftar Koreksi'!$H$5:$H$92,"&lt;0")</f>
        <v>0</v>
      </c>
      <c r="G631" s="17">
        <f t="shared" si="28"/>
        <v>30857408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11710668699</v>
      </c>
      <c r="E632" s="19">
        <f>SUM(E623:E631)</f>
        <v>0</v>
      </c>
      <c r="F632" s="19">
        <f>SUM(F623:F631)</f>
        <v>0</v>
      </c>
      <c r="G632" s="19">
        <f t="shared" si="28"/>
        <v>11710668699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-1012382064</v>
      </c>
      <c r="E633" s="25">
        <f>SUMIFS('Daftar Koreksi'!$I$5:$I$92,'Daftar Koreksi'!$D$5:$D$92,'0600'!A620,'Daftar Koreksi'!$G$5:$G$92,"Peralatan dan mesin",'Daftar Koreksi'!$I$5:$I$92,"&gt;0")</f>
        <v>0</v>
      </c>
      <c r="F633" s="25">
        <f>SUMIFS('Daftar Koreksi'!$I$5:$I$92,'Daftar Koreksi'!$D$5:$D$92,'0600'!A620,'Daftar Koreksi'!$G$5:$G$92,"Peralatan dan mesin",'Daftar Koreksi'!$I$5:$I$92,"&lt;0")-SUMIFS('Daftar Koreksi'!$I$5:$I$92,'Daftar Koreksi'!$D$5:$D$92,'0600'!A620,'Daftar Koreksi'!$G$5:$G$92,"Peralatan dan mesin",'Daftar Koreksi'!$I$5:$I$92,"&lt;0")-SUMIFS('Daftar Koreksi'!$I$5:$I$92,'Daftar Koreksi'!$D$5:$D$92,'0600'!A620,'Daftar Koreksi'!$G$5:$G$92,"Peralatan dan mesin",'Daftar Koreksi'!$I$5:$I$92,"&lt;0")</f>
        <v>0</v>
      </c>
      <c r="G633" s="17">
        <f t="shared" si="28"/>
        <v>-1012382064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-416709439</v>
      </c>
      <c r="E634" s="25">
        <f>SUMIFS('Daftar Koreksi'!$I$5:$I$92,'Daftar Koreksi'!$D$5:$D$92,'0600'!A620,'Daftar Koreksi'!$G$5:$G$92,"Gedung dan Bangunan",'Daftar Koreksi'!$I$5:$I$92,"&gt;0")</f>
        <v>0</v>
      </c>
      <c r="F634" s="25">
        <f>SUMIFS('Daftar Koreksi'!$I$5:$I$92,'Daftar Koreksi'!$D$5:$D$92,'0600'!A620,'Daftar Koreksi'!$G$5:$G$92,"Gedung dan Bangunan",'Daftar Koreksi'!$I$5:$I$92,"&lt;0")-SUMIFS('Daftar Koreksi'!$I$5:$I$92,'Daftar Koreksi'!$D$5:$D$92,'0600'!A620,'Daftar Koreksi'!$G$5:$G$92,"Gedung dan Bangunan",'Daftar Koreksi'!$I$5:$I$92,"&lt;0")-SUMIFS('Daftar Koreksi'!$I$5:$I$92,'Daftar Koreksi'!$D$5:$D$92,'0600'!A620,'Daftar Koreksi'!$G$5:$G$92,"Gedung dan Bangunan",'Daftar Koreksi'!$I$5:$I$92,"&lt;0")</f>
        <v>0</v>
      </c>
      <c r="G634" s="17">
        <f t="shared" si="28"/>
        <v>-416709439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Koreksi'!$D$5:$D$92,'0600'!A620,'Daftar Koreksi'!$G$5:$G$92,"Jalan Irigasi Jaringan",'Daftar Koreksi'!$I$5:$I$92,"&gt;0")</f>
        <v>0</v>
      </c>
      <c r="F635" s="25">
        <f>SUMIFS('Daftar Koreksi'!$I$5:$I$92,'Daftar Koreksi'!$D$5:$D$92,'0600'!A620,'Daftar Koreksi'!$G$5:$G$92,"Jalan Irigasi Jaringan",'Daftar Koreksi'!$I$5:$I$92,"&lt;0")-SUMIFS('Daftar Koreksi'!$I$5:$I$92,'Daftar Koreksi'!$D$5:$D$92,'0600'!A620,'Daftar Koreksi'!$G$5:$G$92,"Jalan Irigasi Jaringan",'Daftar Koreksi'!$I$5:$I$92,"&lt;0")-SUMIFS('Daftar Koreksi'!$I$5:$I$92,'Daftar Koreksi'!$D$5:$D$92,'0600'!A620,'Daftar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Koreksi'!$D$5:$D$92,'0600'!A620,'Daftar Koreksi'!$G$5:$G$92,"Aset Tetap Lainnya",'Daftar Koreksi'!$I$5:$I$92,"&gt;0")</f>
        <v>0</v>
      </c>
      <c r="F636" s="25">
        <f>SUMIFS('Daftar Koreksi'!$I$5:$I$92,'Daftar Koreksi'!$D$5:$D$92,'0600'!A620,'Daftar Koreksi'!$G$5:$G$92,"Aset Tetap Lainnya",'Daftar Koreksi'!$I$5:$I$92,"&lt;0")-SUMIFS('Daftar Koreksi'!$I$5:$I$92,'Daftar Koreksi'!$D$5:$D$92,'0600'!A620,'Daftar Koreksi'!$G$5:$G$92,"Aset Tetap Lainnya",'Daftar Koreksi'!$I$5:$I$92,"&lt;0")-SUMIFS('Daftar Koreksi'!$I$5:$I$92,'Daftar Koreksi'!$D$5:$D$92,'0600'!A620,'Daftar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-30857408</v>
      </c>
      <c r="E637" s="25">
        <f>SUMIFS('Daftar Koreksi'!$I$5:$I$92,'Daftar Koreksi'!$D$5:$D$92,'0600'!A620,'Daftar Koreksi'!$G$5:$G$92,"Aset Henti Guna",'Daftar Koreksi'!$I$5:$I$92,"&gt;0")</f>
        <v>0</v>
      </c>
      <c r="F637" s="25">
        <f>SUMIFS('Daftar Koreksi'!$I$5:$I$92,'Daftar Koreksi'!$D$5:$D$92,'0600'!A620,'Daftar Koreksi'!$G$5:$G$92,"Aset Henti Guna",'Daftar Koreksi'!$I$5:$I$92,"&lt;0")-SUMIFS('Daftar Koreksi'!$I$5:$I$92,'Daftar Koreksi'!$D$5:$D$92,'0600'!A620,'Daftar Koreksi'!$G$5:$G$92,"Aset Henti Guna",'Daftar Koreksi'!$I$5:$I$92,"&lt;0")-SUMIFS('Daftar Koreksi'!$I$5:$I$92,'Daftar Koreksi'!$D$5:$D$92,'0600'!A620,'Daftar Koreksi'!$G$5:$G$92,"Aset Henti Guna",'Daftar Koreksi'!$I$5:$I$92,"&lt;0")</f>
        <v>0</v>
      </c>
      <c r="G637" s="17">
        <f t="shared" si="28"/>
        <v>-30857408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-1459948911</v>
      </c>
      <c r="E638" s="19">
        <f>SUM(E633:E637)</f>
        <v>0</v>
      </c>
      <c r="F638" s="19">
        <f>SUM(F633:F637)</f>
        <v>0</v>
      </c>
      <c r="G638" s="19">
        <f t="shared" si="28"/>
        <v>-1459948911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10250719788</v>
      </c>
      <c r="E639" s="19">
        <f>E638+E632</f>
        <v>0</v>
      </c>
      <c r="F639" s="19">
        <f>F638+F632</f>
        <v>0</v>
      </c>
      <c r="G639" s="19">
        <f t="shared" si="28"/>
        <v>10250719788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005010600401689000KD</v>
      </c>
      <c r="B642" s="11" t="str">
        <f>P30</f>
        <v>Mahkamah Syar'iyah Langsa</v>
      </c>
      <c r="C642" s="12" t="str">
        <f>A642&amp;" "&amp;B642</f>
        <v>005010600401689000KD Mahkamah Syar'iyah Langsa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432000</v>
      </c>
      <c r="E645" s="25">
        <f>SUMIFS('Daftar Koreksi'!$H$5:$H$92,'Daftar Koreksi'!$D$5:$D$92,'0600'!A642,'Daftar Koreksi'!$G$5:$G$92,"Persediaan",'Daftar Koreksi'!$H$5:$H$92,"&gt;0")</f>
        <v>0</v>
      </c>
      <c r="F645" s="25">
        <f>SUMIFS('Daftar Koreksi'!$H$5:$H$92,'Daftar Koreksi'!$D$5:$D$92,'0600'!A642,'Daftar Koreksi'!$G$5:$G$92,"Persediaan",'Daftar Koreksi'!$H$5:$H$92,"&lt;0")-SUMIFS('Daftar Koreksi'!$H$5:$H$92,'Daftar Koreksi'!$D$5:$D$92,'0600'!A642,'Daftar Koreksi'!$G$5:$G$92,"Persediaan",'Daftar Koreksi'!$H$5:$H$92,"&lt;0")-SUMIFS('Daftar Koreksi'!$H$5:$H$92,'Daftar Koreksi'!$D$5:$D$92,'0600'!A642,'Daftar Koreksi'!$G$5:$G$92,"Persediaan",'Daftar Koreksi'!$H$5:$H$92,"&lt;0")</f>
        <v>0</v>
      </c>
      <c r="G645" s="17">
        <f>D645+E645-F645</f>
        <v>432000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903800000</v>
      </c>
      <c r="E646" s="25">
        <f>SUMIFS('Daftar Koreksi'!$H$5:$H$92,'Daftar Koreksi'!$D$5:$D$92,'0600'!A642,'Daftar Koreksi'!$G$5:$G$92,"Tanah",'Daftar Koreksi'!$H$5:$H$92,"&gt;0")</f>
        <v>0</v>
      </c>
      <c r="F646" s="25">
        <f>SUMIFS('Daftar Koreksi'!$H$5:$H$92,'Daftar Koreksi'!$D$5:$D$92,'0600'!A642,'Daftar Koreksi'!$G$5:$G$92,"Tanah",'Daftar Koreksi'!$H$5:$H$92,"&lt;0")-SUMIFS('Daftar Koreksi'!$H$5:$H$92,'Daftar Koreksi'!$D$5:$D$92,'0600'!A642,'Daftar Koreksi'!$G$5:$G$92,"Tanah",'Daftar Koreksi'!$H$5:$H$92,"&lt;0")-SUMIFS('Daftar Koreksi'!$H$5:$H$92,'Daftar Koreksi'!$D$5:$D$92,'0600'!A642,'Daftar Koreksi'!$G$5:$G$92,"Tanah",'Daftar Koreksi'!$H$5:$H$92,"&lt;0")</f>
        <v>0</v>
      </c>
      <c r="G646" s="17">
        <f t="shared" ref="G646:G662" si="29">D646+E646-F646</f>
        <v>903800000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1521060500</v>
      </c>
      <c r="E647" s="25">
        <f>SUMIFS('Daftar Koreksi'!$H$5:$H$92,'Daftar Koreksi'!$D$5:$D$92,'0600'!A642,'Daftar Koreksi'!$G$5:$G$92,"Peralatan dan mesin",'Daftar Koreksi'!$H$5:$H$92,"&gt;0")</f>
        <v>0</v>
      </c>
      <c r="F647" s="25">
        <f>SUMIFS('Daftar Koreksi'!$H$5:$H$92,'Daftar Koreksi'!$D$5:$D$92,'0600'!A642,'Daftar Koreksi'!$G$5:$G$92,"Peralatan dan mesin",'Daftar Koreksi'!$H$5:$H$92,"&lt;0")-SUMIFS('Daftar Koreksi'!$H$5:$H$92,'Daftar Koreksi'!$D$5:$D$92,'0600'!A642,'Daftar Koreksi'!$G$5:$G$92,"Peralatan dan mesin",'Daftar Koreksi'!$H$5:$H$92,"&lt;0")-SUMIFS('Daftar Koreksi'!$H$5:$H$92,'Daftar Koreksi'!$D$5:$D$92,'0600'!A642,'Daftar Koreksi'!$G$5:$G$92,"Peralatan dan mesin",'Daftar Koreksi'!$H$5:$H$92,"&lt;0")</f>
        <v>0</v>
      </c>
      <c r="G647" s="17">
        <f t="shared" si="29"/>
        <v>1521060500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8702320000</v>
      </c>
      <c r="E648" s="25">
        <f>SUMIFS('Daftar Koreksi'!$H$5:$H$92,'Daftar Koreksi'!$D$5:$D$92,'0600'!A642,'Daftar Koreksi'!$G$5:$G$92,"Gedung dan Bangunan",'Daftar Koreksi'!$H$5:$H$92,"&gt;0")</f>
        <v>0</v>
      </c>
      <c r="F648" s="25">
        <f>SUMIFS('Daftar Koreksi'!$H$5:$H$92,'Daftar Koreksi'!$D$5:$D$92,'0600'!A642,'Daftar Koreksi'!$G$5:$G$92,"Gedung dan Bangunan",'Daftar Koreksi'!$H$5:$H$92,"&lt;0")-SUMIFS('Daftar Koreksi'!$H$5:$H$92,'Daftar Koreksi'!$D$5:$D$92,'0600'!A642,'Daftar Koreksi'!$G$5:$G$92,"Gedung dan Bangunan",'Daftar Koreksi'!$H$5:$H$92,"&lt;0")-SUMIFS('Daftar Koreksi'!$H$5:$H$92,'Daftar Koreksi'!$D$5:$D$92,'0600'!A642,'Daftar Koreksi'!$G$5:$G$92,"Gedung dan Bangunan",'Daftar Koreksi'!$H$5:$H$92,"&lt;0")</f>
        <v>0</v>
      </c>
      <c r="G648" s="17">
        <f t="shared" si="29"/>
        <v>8702320000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0</v>
      </c>
      <c r="E649" s="25">
        <f>SUMIFS('Daftar Koreksi'!$H$5:$H$92,'Daftar Koreksi'!$D$5:$D$92,'0600'!A642,'Daftar Koreksi'!$G$5:$G$92,"Jalan Irigasi Jaringan",'Daftar Koreksi'!$H$5:$H$92,"&gt;0")</f>
        <v>0</v>
      </c>
      <c r="F649" s="25">
        <f>SUMIFS('Daftar Koreksi'!$H$5:$H$92,'Daftar Koreksi'!$D$5:$D$92,'0600'!A642,'Daftar Koreksi'!$G$5:$G$92,"Jalan Irigasi Jaringan",'Daftar Koreksi'!$H$5:$H$92,"&lt;0")-SUMIFS('Daftar Koreksi'!$H$5:$H$92,'Daftar Koreksi'!$D$5:$D$92,'0600'!A642,'Daftar Koreksi'!$G$5:$G$92,"Jalan Irigasi Jaringan",'Daftar Koreksi'!$H$5:$H$92,"&lt;0")-SUMIFS('Daftar Koreksi'!$H$5:$H$92,'Daftar Koreksi'!$D$5:$D$92,'0600'!A642,'Daftar Koreksi'!$G$5:$G$92,"Jalan Irigasi Jaringan",'Daftar Koreksi'!$H$5:$H$92,"&lt;0")</f>
        <v>0</v>
      </c>
      <c r="G649" s="17">
        <f t="shared" si="29"/>
        <v>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0</v>
      </c>
      <c r="E650" s="25">
        <f>SUMIFS('Daftar Koreksi'!$H$5:$H$92,'Daftar Koreksi'!$D$5:$D$92,'0600'!A642,'Daftar Koreksi'!$G$5:$G$92,"Aset Tetap Lainnya",'Daftar Koreksi'!$H$5:$H$92,"&gt;0")</f>
        <v>0</v>
      </c>
      <c r="F650" s="25">
        <f>SUMIFS('Daftar Koreksi'!$H$5:$H$92,'Daftar Koreksi'!$D$5:$D$92,'0600'!A642,'Daftar Koreksi'!$G$5:$G$92,"Aset Tetap Lainnya",'Daftar Koreksi'!$H$5:$H$92,"&lt;0")-SUMIFS('Daftar Koreksi'!$H$5:$H$92,'Daftar Koreksi'!$D$5:$D$92,'0600'!A642,'Daftar Koreksi'!$G$5:$G$92,"Aset Tetap Lainnya",'Daftar Koreksi'!$H$5:$H$92,"&lt;0")-SUMIFS('Daftar Koreksi'!$H$5:$H$92,'Daftar Koreksi'!$D$5:$D$92,'0600'!A642,'Daftar Koreksi'!$G$5:$G$92,"Aset Tetap Lainnya",'Daftar Koreksi'!$H$5:$H$92,"&lt;0")</f>
        <v>0</v>
      </c>
      <c r="G650" s="17">
        <f t="shared" si="29"/>
        <v>0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Koreksi'!$D$5:$D$92,'0600'!A642,'Daftar Koreksi'!$G$5:$G$92,"Kontruksi Dalam Pengerjaan",'Daftar Koreksi'!$H$5:$H$92,"&gt;0")</f>
        <v>0</v>
      </c>
      <c r="F651" s="25">
        <f>SUMIFS('Daftar Koreksi'!$H$5:$H$92,'Daftar Koreksi'!$D$5:$D$92,'0600'!A642,'Daftar Koreksi'!$G$5:$G$92,"Kontruksi Dalam Pengerjaan",'Daftar Koreksi'!$H$5:$H$92,"&lt;0")-SUMIFS('Daftar Koreksi'!$H$5:$H$92,'Daftar Koreksi'!$D$5:$D$92,'0600'!A642,'Daftar Koreksi'!$G$5:$G$92,"Kontruksi Dalam Pengerjaan",'Daftar Koreksi'!$H$5:$H$92,"&lt;0")-SUMIFS('Daftar Koreksi'!$H$5:$H$92,'Daftar Koreksi'!$D$5:$D$92,'0600'!A642,'Daftar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Koreksi'!$D$5:$D$92,'0600'!A642,'Daftar Koreksi'!$G$5:$G$92,"Aset Tak Berwujud",'Daftar Koreksi'!$H$5:$H$92,"&gt;0")</f>
        <v>0</v>
      </c>
      <c r="F652" s="25">
        <f>SUMIFS('Daftar Koreksi'!$H$5:$H$92,'Daftar Koreksi'!$D$5:$D$92,'0600'!A642,'Daftar Koreksi'!$G$5:$G$92,"Aset Tak Berwujud",'Daftar Koreksi'!$H$5:$H$92,"&lt;0")-SUMIFS('Daftar Koreksi'!$H$5:$H$92,'Daftar Koreksi'!$D$5:$D$92,'0600'!A642,'Daftar Koreksi'!$G$5:$G$92,"Aset Tak Berwujud",'Daftar Koreksi'!$H$5:$H$92,"&lt;0")-SUMIFS('Daftar Koreksi'!$H$5:$H$92,'Daftar Koreksi'!$D$5:$D$92,'0600'!A642,'Daftar Koreksi'!$G$5:$G$92,"Aset Tak Berwujud",'Daftar Koreksi'!$H$5:$H$92,"&lt;0")</f>
        <v>0</v>
      </c>
      <c r="G652" s="17">
        <f t="shared" si="29"/>
        <v>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5915000</v>
      </c>
      <c r="E653" s="25">
        <f>SUMIFS('Daftar Koreksi'!$H$5:$H$92,'Daftar Koreksi'!$D$5:$D$92,'0600'!A642,'Daftar Koreksi'!$G$5:$G$92,"Aset Henti Guna",'Daftar Koreksi'!$H$5:$H$92,"&gt;0")</f>
        <v>0</v>
      </c>
      <c r="F653" s="25">
        <f>SUMIFS('Daftar Koreksi'!$H$5:$H$92,'Daftar Koreksi'!$D$5:$D$92,'0600'!A642,'Daftar Koreksi'!$G$5:$G$92,"Aset Henti Guna",'Daftar Koreksi'!$H$5:$H$92,"&lt;0")-SUMIFS('Daftar Koreksi'!$H$5:$H$92,'Daftar Koreksi'!$D$5:$D$92,'0600'!A642,'Daftar Koreksi'!$G$5:$G$92,"Aset Henti Guna",'Daftar Koreksi'!$H$5:$H$92,"&lt;0")-SUMIFS('Daftar Koreksi'!$H$5:$H$92,'Daftar Koreksi'!$D$5:$D$92,'0600'!A642,'Daftar Koreksi'!$G$5:$G$92,"Aset Henti Guna",'Daftar Koreksi'!$H$5:$H$92,"&lt;0")</f>
        <v>0</v>
      </c>
      <c r="G653" s="17">
        <f t="shared" si="29"/>
        <v>5915000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11133527500</v>
      </c>
      <c r="E654" s="19">
        <f>SUM(E645:E653)</f>
        <v>0</v>
      </c>
      <c r="F654" s="19">
        <f>SUM(F645:F653)</f>
        <v>0</v>
      </c>
      <c r="G654" s="19">
        <f t="shared" si="29"/>
        <v>11133527500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-1391358750</v>
      </c>
      <c r="E655" s="25">
        <f>SUMIFS('Daftar Koreksi'!$I$5:$I$92,'Daftar Koreksi'!$D$5:$D$92,'0600'!A642,'Daftar Koreksi'!$G$5:$G$92,"Peralatan dan mesin",'Daftar Koreksi'!$I$5:$I$92,"&gt;0")</f>
        <v>0</v>
      </c>
      <c r="F655" s="25">
        <f>SUMIFS('Daftar Koreksi'!$I$5:$I$92,'Daftar Koreksi'!$D$5:$D$92,'0600'!A642,'Daftar Koreksi'!$G$5:$G$92,"Peralatan dan mesin",'Daftar Koreksi'!$I$5:$I$92,"&lt;0")-SUMIFS('Daftar Koreksi'!$I$5:$I$92,'Daftar Koreksi'!$D$5:$D$92,'0600'!A642,'Daftar Koreksi'!$G$5:$G$92,"Peralatan dan mesin",'Daftar Koreksi'!$I$5:$I$92,"&lt;0")-SUMIFS('Daftar Koreksi'!$I$5:$I$92,'Daftar Koreksi'!$D$5:$D$92,'0600'!A642,'Daftar Koreksi'!$G$5:$G$92,"Peralatan dan mesin",'Daftar Koreksi'!$I$5:$I$92,"&lt;0")</f>
        <v>0</v>
      </c>
      <c r="G655" s="17">
        <f t="shared" si="29"/>
        <v>-1391358750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-469748600</v>
      </c>
      <c r="E656" s="25">
        <f>SUMIFS('Daftar Koreksi'!$I$5:$I$92,'Daftar Koreksi'!$D$5:$D$92,'0600'!A642,'Daftar Koreksi'!$G$5:$G$92,"Gedung dan Bangunan",'Daftar Koreksi'!$I$5:$I$92,"&gt;0")</f>
        <v>0</v>
      </c>
      <c r="F656" s="25">
        <f>SUMIFS('Daftar Koreksi'!$I$5:$I$92,'Daftar Koreksi'!$D$5:$D$92,'0600'!A642,'Daftar Koreksi'!$G$5:$G$92,"Gedung dan Bangunan",'Daftar Koreksi'!$I$5:$I$92,"&lt;0")-SUMIFS('Daftar Koreksi'!$I$5:$I$92,'Daftar Koreksi'!$D$5:$D$92,'0600'!A642,'Daftar Koreksi'!$G$5:$G$92,"Gedung dan Bangunan",'Daftar Koreksi'!$I$5:$I$92,"&lt;0")-SUMIFS('Daftar Koreksi'!$I$5:$I$92,'Daftar Koreksi'!$D$5:$D$92,'0600'!A642,'Daftar Koreksi'!$G$5:$G$92,"Gedung dan Bangunan",'Daftar Koreksi'!$I$5:$I$92,"&lt;0")</f>
        <v>0</v>
      </c>
      <c r="G656" s="17">
        <f t="shared" si="29"/>
        <v>-469748600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0</v>
      </c>
      <c r="E657" s="25">
        <f>SUMIFS('Daftar Koreksi'!$I$5:$I$92,'Daftar Koreksi'!$D$5:$D$92,'0600'!A642,'Daftar Koreksi'!$G$5:$G$92,"Jalan Irigasi Jaringan",'Daftar Koreksi'!$I$5:$I$92,"&gt;0")</f>
        <v>0</v>
      </c>
      <c r="F657" s="25">
        <f>SUMIFS('Daftar Koreksi'!$I$5:$I$92,'Daftar Koreksi'!$D$5:$D$92,'0600'!A642,'Daftar Koreksi'!$G$5:$G$92,"Jalan Irigasi Jaringan",'Daftar Koreksi'!$I$5:$I$92,"&lt;0")-SUMIFS('Daftar Koreksi'!$I$5:$I$92,'Daftar Koreksi'!$D$5:$D$92,'0600'!A642,'Daftar Koreksi'!$G$5:$G$92,"Jalan Irigasi Jaringan",'Daftar Koreksi'!$I$5:$I$92,"&lt;0")-SUMIFS('Daftar Koreksi'!$I$5:$I$92,'Daftar Koreksi'!$D$5:$D$92,'0600'!A642,'Daftar Koreksi'!$G$5:$G$92,"Jalan Irigasi Jaringan",'Daftar Koreksi'!$I$5:$I$92,"&lt;0")</f>
        <v>0</v>
      </c>
      <c r="G657" s="17">
        <f t="shared" si="29"/>
        <v>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Koreksi'!$D$5:$D$92,'0600'!A642,'Daftar Koreksi'!$G$5:$G$92,"Aset Tetap Lainnya",'Daftar Koreksi'!$I$5:$I$92,"&gt;0")</f>
        <v>0</v>
      </c>
      <c r="F658" s="25">
        <f>SUMIFS('Daftar Koreksi'!$I$5:$I$92,'Daftar Koreksi'!$D$5:$D$92,'0600'!A642,'Daftar Koreksi'!$G$5:$G$92,"Aset Tetap Lainnya",'Daftar Koreksi'!$I$5:$I$92,"&lt;0")-SUMIFS('Daftar Koreksi'!$I$5:$I$92,'Daftar Koreksi'!$D$5:$D$92,'0600'!A642,'Daftar Koreksi'!$G$5:$G$92,"Aset Tetap Lainnya",'Daftar Koreksi'!$I$5:$I$92,"&lt;0")-SUMIFS('Daftar Koreksi'!$I$5:$I$92,'Daftar Koreksi'!$D$5:$D$92,'0600'!A642,'Daftar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-5915000</v>
      </c>
      <c r="E659" s="25">
        <f>SUMIFS('Daftar Koreksi'!$I$5:$I$92,'Daftar Koreksi'!$D$5:$D$92,'0600'!A642,'Daftar Koreksi'!$G$5:$G$92,"Aset Henti Guna",'Daftar Koreksi'!$I$5:$I$92,"&gt;0")</f>
        <v>0</v>
      </c>
      <c r="F659" s="25">
        <f>SUMIFS('Daftar Koreksi'!$I$5:$I$92,'Daftar Koreksi'!$D$5:$D$92,'0600'!A642,'Daftar Koreksi'!$G$5:$G$92,"Aset Henti Guna",'Daftar Koreksi'!$I$5:$I$92,"&lt;0")-SUMIFS('Daftar Koreksi'!$I$5:$I$92,'Daftar Koreksi'!$D$5:$D$92,'0600'!A642,'Daftar Koreksi'!$G$5:$G$92,"Aset Henti Guna",'Daftar Koreksi'!$I$5:$I$92,"&lt;0")-SUMIFS('Daftar Koreksi'!$I$5:$I$92,'Daftar Koreksi'!$D$5:$D$92,'0600'!A642,'Daftar Koreksi'!$G$5:$G$92,"Aset Henti Guna",'Daftar Koreksi'!$I$5:$I$92,"&lt;0")</f>
        <v>0</v>
      </c>
      <c r="G659" s="17">
        <f t="shared" si="29"/>
        <v>-5915000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-1867022350</v>
      </c>
      <c r="E660" s="19">
        <f>SUM(E655:E659)</f>
        <v>0</v>
      </c>
      <c r="F660" s="19">
        <f>SUM(F655:F659)</f>
        <v>0</v>
      </c>
      <c r="G660" s="19">
        <f t="shared" si="29"/>
        <v>-1867022350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9266505150</v>
      </c>
      <c r="E661" s="19">
        <f>E660+E654</f>
        <v>0</v>
      </c>
      <c r="F661" s="19">
        <f>F660+F654</f>
        <v>0</v>
      </c>
      <c r="G661" s="19">
        <f t="shared" si="29"/>
        <v>9266505150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005010600401695000KD</v>
      </c>
      <c r="B664" s="11" t="str">
        <f>P31</f>
        <v>Mahkamah Syar'iyah Kuala Simpang</v>
      </c>
      <c r="C664" s="12" t="str">
        <f>A664&amp;" "&amp;B664</f>
        <v>005010600401695000KD Mahkamah Syar'iyah Kuala Simpang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0</v>
      </c>
      <c r="E667" s="25">
        <f>SUMIFS('Daftar Koreksi'!$H$5:$H$92,'Daftar Koreksi'!$D$5:$D$92,'0600'!A664,'Daftar Koreksi'!$G$5:$G$92,"Persediaan",'Daftar Koreksi'!$H$5:$H$92,"&gt;0")</f>
        <v>0</v>
      </c>
      <c r="F667" s="25">
        <f>SUMIFS('Daftar Koreksi'!$H$5:$H$92,'Daftar Koreksi'!$D$5:$D$92,'0600'!A664,'Daftar Koreksi'!$G$5:$G$92,"Persediaan",'Daftar Koreksi'!$H$5:$H$92,"&lt;0")-SUMIFS('Daftar Koreksi'!$H$5:$H$92,'Daftar Koreksi'!$D$5:$D$92,'0600'!A664,'Daftar Koreksi'!$G$5:$G$92,"Persediaan",'Daftar Koreksi'!$H$5:$H$92,"&lt;0")-SUMIFS('Daftar Koreksi'!$H$5:$H$92,'Daftar Koreksi'!$D$5:$D$92,'0600'!A664,'Daftar Koreksi'!$G$5:$G$92,"Persediaan",'Daftar Koreksi'!$H$5:$H$92,"&lt;0")</f>
        <v>0</v>
      </c>
      <c r="G667" s="17">
        <f>D667+E667-F667</f>
        <v>0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450012000</v>
      </c>
      <c r="E668" s="25">
        <f>SUMIFS('Daftar Koreksi'!$H$5:$H$92,'Daftar Koreksi'!$D$5:$D$92,'0600'!A664,'Daftar Koreksi'!$G$5:$G$92,"Tanah",'Daftar Koreksi'!$H$5:$H$92,"&gt;0")</f>
        <v>0</v>
      </c>
      <c r="F668" s="25">
        <f>SUMIFS('Daftar Koreksi'!$H$5:$H$92,'Daftar Koreksi'!$D$5:$D$92,'0600'!A664,'Daftar Koreksi'!$G$5:$G$92,"Tanah",'Daftar Koreksi'!$H$5:$H$92,"&lt;0")-SUMIFS('Daftar Koreksi'!$H$5:$H$92,'Daftar Koreksi'!$D$5:$D$92,'0600'!A664,'Daftar Koreksi'!$G$5:$G$92,"Tanah",'Daftar Koreksi'!$H$5:$H$92,"&lt;0")-SUMIFS('Daftar Koreksi'!$H$5:$H$92,'Daftar Koreksi'!$D$5:$D$92,'0600'!A664,'Daftar Koreksi'!$G$5:$G$92,"Tanah",'Daftar Koreksi'!$H$5:$H$92,"&lt;0")</f>
        <v>0</v>
      </c>
      <c r="G668" s="17">
        <f t="shared" ref="G668:G684" si="30">D668+E668-F668</f>
        <v>450012000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1336900066</v>
      </c>
      <c r="E669" s="25">
        <f>SUMIFS('Daftar Koreksi'!$H$5:$H$92,'Daftar Koreksi'!$D$5:$D$92,'0600'!A664,'Daftar Koreksi'!$G$5:$G$92,"Peralatan dan mesin",'Daftar Koreksi'!$H$5:$H$92,"&gt;0")</f>
        <v>0</v>
      </c>
      <c r="F669" s="25">
        <f>SUMIFS('Daftar Koreksi'!$H$5:$H$92,'Daftar Koreksi'!$D$5:$D$92,'0600'!A664,'Daftar Koreksi'!$G$5:$G$92,"Peralatan dan mesin",'Daftar Koreksi'!$H$5:$H$92,"&lt;0")-SUMIFS('Daftar Koreksi'!$H$5:$H$92,'Daftar Koreksi'!$D$5:$D$92,'0600'!A664,'Daftar Koreksi'!$G$5:$G$92,"Peralatan dan mesin",'Daftar Koreksi'!$H$5:$H$92,"&lt;0")-SUMIFS('Daftar Koreksi'!$H$5:$H$92,'Daftar Koreksi'!$D$5:$D$92,'0600'!A664,'Daftar Koreksi'!$G$5:$G$92,"Peralatan dan mesin",'Daftar Koreksi'!$H$5:$H$92,"&lt;0")</f>
        <v>0</v>
      </c>
      <c r="G669" s="17">
        <f t="shared" si="30"/>
        <v>1336900066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9152571000</v>
      </c>
      <c r="E670" s="25">
        <f>SUMIFS('Daftar Koreksi'!$H$5:$H$92,'Daftar Koreksi'!$D$5:$D$92,'0600'!A664,'Daftar Koreksi'!$G$5:$G$92,"Gedung dan Bangunan",'Daftar Koreksi'!$H$5:$H$92,"&gt;0")</f>
        <v>0</v>
      </c>
      <c r="F670" s="25">
        <f>SUMIFS('Daftar Koreksi'!$H$5:$H$92,'Daftar Koreksi'!$D$5:$D$92,'0600'!A664,'Daftar Koreksi'!$G$5:$G$92,"Gedung dan Bangunan",'Daftar Koreksi'!$H$5:$H$92,"&lt;0")-SUMIFS('Daftar Koreksi'!$H$5:$H$92,'Daftar Koreksi'!$D$5:$D$92,'0600'!A664,'Daftar Koreksi'!$G$5:$G$92,"Gedung dan Bangunan",'Daftar Koreksi'!$H$5:$H$92,"&lt;0")-SUMIFS('Daftar Koreksi'!$H$5:$H$92,'Daftar Koreksi'!$D$5:$D$92,'0600'!A664,'Daftar Koreksi'!$G$5:$G$92,"Gedung dan Bangunan",'Daftar Koreksi'!$H$5:$H$92,"&lt;0")</f>
        <v>0</v>
      </c>
      <c r="G670" s="17">
        <f t="shared" si="30"/>
        <v>9152571000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46000000</v>
      </c>
      <c r="E671" s="25">
        <f>SUMIFS('Daftar Koreksi'!$H$5:$H$92,'Daftar Koreksi'!$D$5:$D$92,'0600'!A664,'Daftar Koreksi'!$G$5:$G$92,"Jalan Irigasi Jaringan",'Daftar Koreksi'!$H$5:$H$92,"&gt;0")</f>
        <v>0</v>
      </c>
      <c r="F671" s="25">
        <f>SUMIFS('Daftar Koreksi'!$H$5:$H$92,'Daftar Koreksi'!$D$5:$D$92,'0600'!A664,'Daftar Koreksi'!$G$5:$G$92,"Jalan Irigasi Jaringan",'Daftar Koreksi'!$H$5:$H$92,"&lt;0")-SUMIFS('Daftar Koreksi'!$H$5:$H$92,'Daftar Koreksi'!$D$5:$D$92,'0600'!A664,'Daftar Koreksi'!$G$5:$G$92,"Jalan Irigasi Jaringan",'Daftar Koreksi'!$H$5:$H$92,"&lt;0")-SUMIFS('Daftar Koreksi'!$H$5:$H$92,'Daftar Koreksi'!$D$5:$D$92,'0600'!A664,'Daftar Koreksi'!$G$5:$G$92,"Jalan Irigasi Jaringan",'Daftar Koreksi'!$H$5:$H$92,"&lt;0")</f>
        <v>0</v>
      </c>
      <c r="G671" s="17">
        <f t="shared" si="30"/>
        <v>46000000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19900000</v>
      </c>
      <c r="E672" s="25">
        <f>SUMIFS('Daftar Koreksi'!$H$5:$H$92,'Daftar Koreksi'!$D$5:$D$92,'0600'!A664,'Daftar Koreksi'!$G$5:$G$92,"Aset Tetap Lainnya",'Daftar Koreksi'!$H$5:$H$92,"&gt;0")</f>
        <v>0</v>
      </c>
      <c r="F672" s="25">
        <f>SUMIFS('Daftar Koreksi'!$H$5:$H$92,'Daftar Koreksi'!$D$5:$D$92,'0600'!A664,'Daftar Koreksi'!$G$5:$G$92,"Aset Tetap Lainnya",'Daftar Koreksi'!$H$5:$H$92,"&lt;0")-SUMIFS('Daftar Koreksi'!$H$5:$H$92,'Daftar Koreksi'!$D$5:$D$92,'0600'!A664,'Daftar Koreksi'!$G$5:$G$92,"Aset Tetap Lainnya",'Daftar Koreksi'!$H$5:$H$92,"&lt;0")-SUMIFS('Daftar Koreksi'!$H$5:$H$92,'Daftar Koreksi'!$D$5:$D$92,'0600'!A664,'Daftar Koreksi'!$G$5:$G$92,"Aset Tetap Lainnya",'Daftar Koreksi'!$H$5:$H$92,"&lt;0")</f>
        <v>0</v>
      </c>
      <c r="G672" s="17">
        <f t="shared" si="30"/>
        <v>19900000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Koreksi'!$D$5:$D$92,'0600'!A664,'Daftar Koreksi'!$G$5:$G$92,"Kontruksi Dalam Pengerjaan",'Daftar Koreksi'!$H$5:$H$92,"&gt;0")</f>
        <v>0</v>
      </c>
      <c r="F673" s="25">
        <f>SUMIFS('Daftar Koreksi'!$H$5:$H$92,'Daftar Koreksi'!$D$5:$D$92,'0600'!A664,'Daftar Koreksi'!$G$5:$G$92,"Kontruksi Dalam Pengerjaan",'Daftar Koreksi'!$H$5:$H$92,"&lt;0")-SUMIFS('Daftar Koreksi'!$H$5:$H$92,'Daftar Koreksi'!$D$5:$D$92,'0600'!A664,'Daftar Koreksi'!$G$5:$G$92,"Kontruksi Dalam Pengerjaan",'Daftar Koreksi'!$H$5:$H$92,"&lt;0")-SUMIFS('Daftar Koreksi'!$H$5:$H$92,'Daftar Koreksi'!$D$5:$D$92,'0600'!A664,'Daftar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0</v>
      </c>
      <c r="E674" s="25">
        <f>SUMIFS('Daftar Koreksi'!$H$5:$H$92,'Daftar Koreksi'!$D$5:$D$92,'0600'!A664,'Daftar Koreksi'!$G$5:$G$92,"Aset Tak Berwujud",'Daftar Koreksi'!$H$5:$H$92,"&gt;0")</f>
        <v>0</v>
      </c>
      <c r="F674" s="25">
        <f>SUMIFS('Daftar Koreksi'!$H$5:$H$92,'Daftar Koreksi'!$D$5:$D$92,'0600'!A664,'Daftar Koreksi'!$G$5:$G$92,"Aset Tak Berwujud",'Daftar Koreksi'!$H$5:$H$92,"&lt;0")-SUMIFS('Daftar Koreksi'!$H$5:$H$92,'Daftar Koreksi'!$D$5:$D$92,'0600'!A664,'Daftar Koreksi'!$G$5:$G$92,"Aset Tak Berwujud",'Daftar Koreksi'!$H$5:$H$92,"&lt;0")-SUMIFS('Daftar Koreksi'!$H$5:$H$92,'Daftar Koreksi'!$D$5:$D$92,'0600'!A664,'Daftar Koreksi'!$G$5:$G$92,"Aset Tak Berwujud",'Daftar Koreksi'!$H$5:$H$92,"&lt;0")</f>
        <v>0</v>
      </c>
      <c r="G674" s="17">
        <f t="shared" si="30"/>
        <v>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31089750</v>
      </c>
      <c r="E675" s="25">
        <f>SUMIFS('Daftar Koreksi'!$H$5:$H$92,'Daftar Koreksi'!$D$5:$D$92,'0600'!A664,'Daftar Koreksi'!$G$5:$G$92,"Aset Henti Guna",'Daftar Koreksi'!$H$5:$H$92,"&gt;0")</f>
        <v>0</v>
      </c>
      <c r="F675" s="25">
        <f>SUMIFS('Daftar Koreksi'!$H$5:$H$92,'Daftar Koreksi'!$D$5:$D$92,'0600'!A664,'Daftar Koreksi'!$G$5:$G$92,"Aset Henti Guna",'Daftar Koreksi'!$H$5:$H$92,"&lt;0")-SUMIFS('Daftar Koreksi'!$H$5:$H$92,'Daftar Koreksi'!$D$5:$D$92,'0600'!A664,'Daftar Koreksi'!$G$5:$G$92,"Aset Henti Guna",'Daftar Koreksi'!$H$5:$H$92,"&lt;0")-SUMIFS('Daftar Koreksi'!$H$5:$H$92,'Daftar Koreksi'!$D$5:$D$92,'0600'!A664,'Daftar Koreksi'!$G$5:$G$92,"Aset Henti Guna",'Daftar Koreksi'!$H$5:$H$92,"&lt;0")</f>
        <v>0</v>
      </c>
      <c r="G675" s="17">
        <f t="shared" si="30"/>
        <v>31089750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11036472816</v>
      </c>
      <c r="E676" s="19">
        <f>SUM(E667:E675)</f>
        <v>0</v>
      </c>
      <c r="F676" s="19">
        <f>SUM(F667:F675)</f>
        <v>0</v>
      </c>
      <c r="G676" s="19">
        <f t="shared" si="30"/>
        <v>11036472816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-1185143194</v>
      </c>
      <c r="E677" s="25">
        <f>SUMIFS('Daftar Koreksi'!$I$5:$I$92,'Daftar Koreksi'!$D$5:$D$92,'0600'!A664,'Daftar Koreksi'!$G$5:$G$92,"Peralatan dan mesin",'Daftar Koreksi'!$I$5:$I$92,"&gt;0")</f>
        <v>0</v>
      </c>
      <c r="F677" s="25">
        <f>SUMIFS('Daftar Koreksi'!$I$5:$I$92,'Daftar Koreksi'!$D$5:$D$92,'0600'!A664,'Daftar Koreksi'!$G$5:$G$92,"Peralatan dan mesin",'Daftar Koreksi'!$I$5:$I$92,"&lt;0")-SUMIFS('Daftar Koreksi'!$I$5:$I$92,'Daftar Koreksi'!$D$5:$D$92,'0600'!A664,'Daftar Koreksi'!$G$5:$G$92,"Peralatan dan mesin",'Daftar Koreksi'!$I$5:$I$92,"&lt;0")-SUMIFS('Daftar Koreksi'!$I$5:$I$92,'Daftar Koreksi'!$D$5:$D$92,'0600'!A664,'Daftar Koreksi'!$G$5:$G$92,"Peralatan dan mesin",'Daftar Koreksi'!$I$5:$I$92,"&lt;0")</f>
        <v>0</v>
      </c>
      <c r="G677" s="17">
        <f t="shared" si="30"/>
        <v>-1185143194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-1596849599</v>
      </c>
      <c r="E678" s="25">
        <f>SUMIFS('Daftar Koreksi'!$I$5:$I$92,'Daftar Koreksi'!$D$5:$D$92,'0600'!A664,'Daftar Koreksi'!$G$5:$G$92,"Gedung dan Bangunan",'Daftar Koreksi'!$I$5:$I$92,"&gt;0")</f>
        <v>0</v>
      </c>
      <c r="F678" s="25">
        <f>SUMIFS('Daftar Koreksi'!$I$5:$I$92,'Daftar Koreksi'!$D$5:$D$92,'0600'!A664,'Daftar Koreksi'!$G$5:$G$92,"Gedung dan Bangunan",'Daftar Koreksi'!$I$5:$I$92,"&lt;0")-SUMIFS('Daftar Koreksi'!$I$5:$I$92,'Daftar Koreksi'!$D$5:$D$92,'0600'!A664,'Daftar Koreksi'!$G$5:$G$92,"Gedung dan Bangunan",'Daftar Koreksi'!$I$5:$I$92,"&lt;0")-SUMIFS('Daftar Koreksi'!$I$5:$I$92,'Daftar Koreksi'!$D$5:$D$92,'0600'!A664,'Daftar Koreksi'!$G$5:$G$92,"Gedung dan Bangunan",'Daftar Koreksi'!$I$5:$I$92,"&lt;0")</f>
        <v>0</v>
      </c>
      <c r="G678" s="17">
        <f t="shared" si="30"/>
        <v>-1596849599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-1150000</v>
      </c>
      <c r="E679" s="25">
        <f>SUMIFS('Daftar Koreksi'!$I$5:$I$92,'Daftar Koreksi'!$D$5:$D$92,'0600'!A664,'Daftar Koreksi'!$G$5:$G$92,"Jalan Irigasi Jaringan",'Daftar Koreksi'!$I$5:$I$92,"&gt;0")</f>
        <v>0</v>
      </c>
      <c r="F679" s="25">
        <f>SUMIFS('Daftar Koreksi'!$I$5:$I$92,'Daftar Koreksi'!$D$5:$D$92,'0600'!A664,'Daftar Koreksi'!$G$5:$G$92,"Jalan Irigasi Jaringan",'Daftar Koreksi'!$I$5:$I$92,"&lt;0")-SUMIFS('Daftar Koreksi'!$I$5:$I$92,'Daftar Koreksi'!$D$5:$D$92,'0600'!A664,'Daftar Koreksi'!$G$5:$G$92,"Jalan Irigasi Jaringan",'Daftar Koreksi'!$I$5:$I$92,"&lt;0")-SUMIFS('Daftar Koreksi'!$I$5:$I$92,'Daftar Koreksi'!$D$5:$D$92,'0600'!A664,'Daftar Koreksi'!$G$5:$G$92,"Jalan Irigasi Jaringan",'Daftar Koreksi'!$I$5:$I$92,"&lt;0")</f>
        <v>0</v>
      </c>
      <c r="G679" s="17">
        <f t="shared" si="30"/>
        <v>-1150000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Koreksi'!$D$5:$D$92,'0600'!A664,'Daftar Koreksi'!$G$5:$G$92,"Aset Tetap Lainnya",'Daftar Koreksi'!$I$5:$I$92,"&gt;0")</f>
        <v>0</v>
      </c>
      <c r="F680" s="25">
        <f>SUMIFS('Daftar Koreksi'!$I$5:$I$92,'Daftar Koreksi'!$D$5:$D$92,'0600'!A664,'Daftar Koreksi'!$G$5:$G$92,"Aset Tetap Lainnya",'Daftar Koreksi'!$I$5:$I$92,"&lt;0")-SUMIFS('Daftar Koreksi'!$I$5:$I$92,'Daftar Koreksi'!$D$5:$D$92,'0600'!A664,'Daftar Koreksi'!$G$5:$G$92,"Aset Tetap Lainnya",'Daftar Koreksi'!$I$5:$I$92,"&lt;0")-SUMIFS('Daftar Koreksi'!$I$5:$I$92,'Daftar Koreksi'!$D$5:$D$92,'0600'!A664,'Daftar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-31089750</v>
      </c>
      <c r="E681" s="25">
        <f>SUMIFS('Daftar Koreksi'!$I$5:$I$92,'Daftar Koreksi'!$D$5:$D$92,'0600'!A664,'Daftar Koreksi'!$G$5:$G$92,"Aset Henti Guna",'Daftar Koreksi'!$I$5:$I$92,"&gt;0")</f>
        <v>0</v>
      </c>
      <c r="F681" s="25">
        <f>SUMIFS('Daftar Koreksi'!$I$5:$I$92,'Daftar Koreksi'!$D$5:$D$92,'0600'!A664,'Daftar Koreksi'!$G$5:$G$92,"Aset Henti Guna",'Daftar Koreksi'!$I$5:$I$92,"&lt;0")-SUMIFS('Daftar Koreksi'!$I$5:$I$92,'Daftar Koreksi'!$D$5:$D$92,'0600'!A664,'Daftar Koreksi'!$G$5:$G$92,"Aset Henti Guna",'Daftar Koreksi'!$I$5:$I$92,"&lt;0")-SUMIFS('Daftar Koreksi'!$I$5:$I$92,'Daftar Koreksi'!$D$5:$D$92,'0600'!A664,'Daftar Koreksi'!$G$5:$G$92,"Aset Henti Guna",'Daftar Koreksi'!$I$5:$I$92,"&lt;0")</f>
        <v>0</v>
      </c>
      <c r="G681" s="17">
        <f t="shared" si="30"/>
        <v>-31089750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-2814232543</v>
      </c>
      <c r="E682" s="19">
        <f>SUM(E677:E681)</f>
        <v>0</v>
      </c>
      <c r="F682" s="19">
        <f>SUM(F677:F681)</f>
        <v>0</v>
      </c>
      <c r="G682" s="19">
        <f t="shared" si="30"/>
        <v>-2814232543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8222240273</v>
      </c>
      <c r="E683" s="19">
        <f>E682+E676</f>
        <v>0</v>
      </c>
      <c r="F683" s="19">
        <f>F682+F676</f>
        <v>0</v>
      </c>
      <c r="G683" s="19">
        <f t="shared" si="30"/>
        <v>8222240273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005010600401709000KD</v>
      </c>
      <c r="B686" s="11" t="str">
        <f>P32</f>
        <v>Mahkamah Syar'iyah Blangkajeren</v>
      </c>
      <c r="C686" s="12" t="str">
        <f>A686&amp;" "&amp;B686</f>
        <v>005010600401709000KD Mahkamah Syar'iyah Blangkajeren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62000</v>
      </c>
      <c r="E689" s="25">
        <f>SUMIFS('Daftar Koreksi'!$H$5:$H$92,'Daftar Koreksi'!$D$5:$D$92,'0600'!A686,'Daftar Koreksi'!$G$5:$G$92,"Persediaan",'Daftar Koreksi'!$H$5:$H$92,"&gt;0")</f>
        <v>0</v>
      </c>
      <c r="F689" s="25">
        <f>SUMIFS('Daftar Koreksi'!$H$5:$H$92,'Daftar Koreksi'!$D$5:$D$92,'0600'!A686,'Daftar Koreksi'!$G$5:$G$92,"Persediaan",'Daftar Koreksi'!$H$5:$H$92,"&lt;0")-SUMIFS('Daftar Koreksi'!$H$5:$H$92,'Daftar Koreksi'!$D$5:$D$92,'0600'!A686,'Daftar Koreksi'!$G$5:$G$92,"Persediaan",'Daftar Koreksi'!$H$5:$H$92,"&lt;0")-SUMIFS('Daftar Koreksi'!$H$5:$H$92,'Daftar Koreksi'!$D$5:$D$92,'0600'!A686,'Daftar Koreksi'!$G$5:$G$92,"Persediaan",'Daftar Koreksi'!$H$5:$H$92,"&lt;0")</f>
        <v>0</v>
      </c>
      <c r="G689" s="17">
        <f>D689+E689-F689</f>
        <v>62000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820208000</v>
      </c>
      <c r="E690" s="25">
        <f>SUMIFS('Daftar Koreksi'!$H$5:$H$92,'Daftar Koreksi'!$D$5:$D$92,'0600'!A686,'Daftar Koreksi'!$G$5:$G$92,"Tanah",'Daftar Koreksi'!$H$5:$H$92,"&gt;0")</f>
        <v>0</v>
      </c>
      <c r="F690" s="25">
        <f>SUMIFS('Daftar Koreksi'!$H$5:$H$92,'Daftar Koreksi'!$D$5:$D$92,'0600'!A686,'Daftar Koreksi'!$G$5:$G$92,"Tanah",'Daftar Koreksi'!$H$5:$H$92,"&lt;0")-SUMIFS('Daftar Koreksi'!$H$5:$H$92,'Daftar Koreksi'!$D$5:$D$92,'0600'!A686,'Daftar Koreksi'!$G$5:$G$92,"Tanah",'Daftar Koreksi'!$H$5:$H$92,"&lt;0")-SUMIFS('Daftar Koreksi'!$H$5:$H$92,'Daftar Koreksi'!$D$5:$D$92,'0600'!A686,'Daftar Koreksi'!$G$5:$G$92,"Tanah",'Daftar Koreksi'!$H$5:$H$92,"&lt;0")</f>
        <v>0</v>
      </c>
      <c r="G690" s="17">
        <f t="shared" ref="G690:G706" si="31">D690+E690-F690</f>
        <v>820208000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1230750338</v>
      </c>
      <c r="E691" s="25">
        <f>SUMIFS('Daftar Koreksi'!$H$5:$H$92,'Daftar Koreksi'!$D$5:$D$92,'0600'!A686,'Daftar Koreksi'!$G$5:$G$92,"Peralatan dan mesin",'Daftar Koreksi'!$H$5:$H$92,"&gt;0")</f>
        <v>0</v>
      </c>
      <c r="F691" s="25">
        <f>SUMIFS('Daftar Koreksi'!$H$5:$H$92,'Daftar Koreksi'!$D$5:$D$92,'0600'!A686,'Daftar Koreksi'!$G$5:$G$92,"Peralatan dan mesin",'Daftar Koreksi'!$H$5:$H$92,"&lt;0")-SUMIFS('Daftar Koreksi'!$H$5:$H$92,'Daftar Koreksi'!$D$5:$D$92,'0600'!A686,'Daftar Koreksi'!$G$5:$G$92,"Peralatan dan mesin",'Daftar Koreksi'!$H$5:$H$92,"&lt;0")-SUMIFS('Daftar Koreksi'!$H$5:$H$92,'Daftar Koreksi'!$D$5:$D$92,'0600'!A686,'Daftar Koreksi'!$G$5:$G$92,"Peralatan dan mesin",'Daftar Koreksi'!$H$5:$H$92,"&lt;0")</f>
        <v>0</v>
      </c>
      <c r="G691" s="17">
        <f t="shared" si="31"/>
        <v>1230750338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4216666054</v>
      </c>
      <c r="E692" s="25">
        <f>SUMIFS('Daftar Koreksi'!$H$5:$H$92,'Daftar Koreksi'!$D$5:$D$92,'0600'!A686,'Daftar Koreksi'!$G$5:$G$92,"Gedung dan Bangunan",'Daftar Koreksi'!$H$5:$H$92,"&gt;0")</f>
        <v>0</v>
      </c>
      <c r="F692" s="25">
        <f>SUMIFS('Daftar Koreksi'!$H$5:$H$92,'Daftar Koreksi'!$D$5:$D$92,'0600'!A686,'Daftar Koreksi'!$G$5:$G$92,"Gedung dan Bangunan",'Daftar Koreksi'!$H$5:$H$92,"&lt;0")-SUMIFS('Daftar Koreksi'!$H$5:$H$92,'Daftar Koreksi'!$D$5:$D$92,'0600'!A686,'Daftar Koreksi'!$G$5:$G$92,"Gedung dan Bangunan",'Daftar Koreksi'!$H$5:$H$92,"&lt;0")-SUMIFS('Daftar Koreksi'!$H$5:$H$92,'Daftar Koreksi'!$D$5:$D$92,'0600'!A686,'Daftar Koreksi'!$G$5:$G$92,"Gedung dan Bangunan",'Daftar Koreksi'!$H$5:$H$92,"&lt;0")</f>
        <v>0</v>
      </c>
      <c r="G692" s="17">
        <f t="shared" si="31"/>
        <v>4216666054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0</v>
      </c>
      <c r="E693" s="25">
        <f>SUMIFS('Daftar Koreksi'!$H$5:$H$92,'Daftar Koreksi'!$D$5:$D$92,'0600'!A686,'Daftar Koreksi'!$G$5:$G$92,"Jalan Irigasi Jaringan",'Daftar Koreksi'!$H$5:$H$92,"&gt;0")</f>
        <v>0</v>
      </c>
      <c r="F693" s="25">
        <f>SUMIFS('Daftar Koreksi'!$H$5:$H$92,'Daftar Koreksi'!$D$5:$D$92,'0600'!A686,'Daftar Koreksi'!$G$5:$G$92,"Jalan Irigasi Jaringan",'Daftar Koreksi'!$H$5:$H$92,"&lt;0")-SUMIFS('Daftar Koreksi'!$H$5:$H$92,'Daftar Koreksi'!$D$5:$D$92,'0600'!A686,'Daftar Koreksi'!$G$5:$G$92,"Jalan Irigasi Jaringan",'Daftar Koreksi'!$H$5:$H$92,"&lt;0")-SUMIFS('Daftar Koreksi'!$H$5:$H$92,'Daftar Koreksi'!$D$5:$D$92,'0600'!A686,'Daftar Koreksi'!$G$5:$G$92,"Jalan Irigasi Jaringan",'Daftar Koreksi'!$H$5:$H$92,"&lt;0")</f>
        <v>0</v>
      </c>
      <c r="G693" s="17">
        <f t="shared" si="31"/>
        <v>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0</v>
      </c>
      <c r="E694" s="25">
        <f>SUMIFS('Daftar Koreksi'!$H$5:$H$92,'Daftar Koreksi'!$D$5:$D$92,'0600'!A686,'Daftar Koreksi'!$G$5:$G$92,"Aset Tetap Lainnya",'Daftar Koreksi'!$H$5:$H$92,"&gt;0")</f>
        <v>0</v>
      </c>
      <c r="F694" s="25">
        <f>SUMIFS('Daftar Koreksi'!$H$5:$H$92,'Daftar Koreksi'!$D$5:$D$92,'0600'!A686,'Daftar Koreksi'!$G$5:$G$92,"Aset Tetap Lainnya",'Daftar Koreksi'!$H$5:$H$92,"&lt;0")-SUMIFS('Daftar Koreksi'!$H$5:$H$92,'Daftar Koreksi'!$D$5:$D$92,'0600'!A686,'Daftar Koreksi'!$G$5:$G$92,"Aset Tetap Lainnya",'Daftar Koreksi'!$H$5:$H$92,"&lt;0")-SUMIFS('Daftar Koreksi'!$H$5:$H$92,'Daftar Koreksi'!$D$5:$D$92,'0600'!A686,'Daftar Koreksi'!$G$5:$G$92,"Aset Tetap Lainnya",'Daftar Koreksi'!$H$5:$H$92,"&lt;0")</f>
        <v>0</v>
      </c>
      <c r="G694" s="17">
        <f t="shared" si="31"/>
        <v>0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Koreksi'!$D$5:$D$92,'0600'!A686,'Daftar Koreksi'!$G$5:$G$92,"Kontruksi Dalam Pengerjaan",'Daftar Koreksi'!$H$5:$H$92,"&gt;0")</f>
        <v>0</v>
      </c>
      <c r="F695" s="25">
        <f>SUMIFS('Daftar Koreksi'!$H$5:$H$92,'Daftar Koreksi'!$D$5:$D$92,'0600'!A686,'Daftar Koreksi'!$G$5:$G$92,"Kontruksi Dalam Pengerjaan",'Daftar Koreksi'!$H$5:$H$92,"&lt;0")-SUMIFS('Daftar Koreksi'!$H$5:$H$92,'Daftar Koreksi'!$D$5:$D$92,'0600'!A686,'Daftar Koreksi'!$G$5:$G$92,"Kontruksi Dalam Pengerjaan",'Daftar Koreksi'!$H$5:$H$92,"&lt;0")-SUMIFS('Daftar Koreksi'!$H$5:$H$92,'Daftar Koreksi'!$D$5:$D$92,'0600'!A686,'Daftar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6820000</v>
      </c>
      <c r="E696" s="25">
        <f>SUMIFS('Daftar Koreksi'!$H$5:$H$92,'Daftar Koreksi'!$D$5:$D$92,'0600'!A686,'Daftar Koreksi'!$G$5:$G$92,"Aset Tak Berwujud",'Daftar Koreksi'!$H$5:$H$92,"&gt;0")</f>
        <v>0</v>
      </c>
      <c r="F696" s="25">
        <f>SUMIFS('Daftar Koreksi'!$H$5:$H$92,'Daftar Koreksi'!$D$5:$D$92,'0600'!A686,'Daftar Koreksi'!$G$5:$G$92,"Aset Tak Berwujud",'Daftar Koreksi'!$H$5:$H$92,"&lt;0")-SUMIFS('Daftar Koreksi'!$H$5:$H$92,'Daftar Koreksi'!$D$5:$D$92,'0600'!A686,'Daftar Koreksi'!$G$5:$G$92,"Aset Tak Berwujud",'Daftar Koreksi'!$H$5:$H$92,"&lt;0")-SUMIFS('Daftar Koreksi'!$H$5:$H$92,'Daftar Koreksi'!$D$5:$D$92,'0600'!A686,'Daftar Koreksi'!$G$5:$G$92,"Aset Tak Berwujud",'Daftar Koreksi'!$H$5:$H$92,"&lt;0")</f>
        <v>0</v>
      </c>
      <c r="G696" s="17">
        <f t="shared" si="31"/>
        <v>6820000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779780</v>
      </c>
      <c r="E697" s="25">
        <f>SUMIFS('Daftar Koreksi'!$H$5:$H$92,'Daftar Koreksi'!$D$5:$D$92,'0600'!A686,'Daftar Koreksi'!$G$5:$G$92,"Aset Henti Guna",'Daftar Koreksi'!$H$5:$H$92,"&gt;0")</f>
        <v>0</v>
      </c>
      <c r="F697" s="25">
        <f>SUMIFS('Daftar Koreksi'!$H$5:$H$92,'Daftar Koreksi'!$D$5:$D$92,'0600'!A686,'Daftar Koreksi'!$G$5:$G$92,"Aset Henti Guna",'Daftar Koreksi'!$H$5:$H$92,"&lt;0")-SUMIFS('Daftar Koreksi'!$H$5:$H$92,'Daftar Koreksi'!$D$5:$D$92,'0600'!A686,'Daftar Koreksi'!$G$5:$G$92,"Aset Henti Guna",'Daftar Koreksi'!$H$5:$H$92,"&lt;0")-SUMIFS('Daftar Koreksi'!$H$5:$H$92,'Daftar Koreksi'!$D$5:$D$92,'0600'!A686,'Daftar Koreksi'!$G$5:$G$92,"Aset Henti Guna",'Daftar Koreksi'!$H$5:$H$92,"&lt;0")</f>
        <v>0</v>
      </c>
      <c r="G697" s="17">
        <f t="shared" si="31"/>
        <v>779780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6275286172</v>
      </c>
      <c r="E698" s="19">
        <f>SUM(E689:E697)</f>
        <v>0</v>
      </c>
      <c r="F698" s="19">
        <f>SUM(F689:F697)</f>
        <v>0</v>
      </c>
      <c r="G698" s="19">
        <f t="shared" si="31"/>
        <v>6275286172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-975737129</v>
      </c>
      <c r="E699" s="25">
        <f>SUMIFS('Daftar Koreksi'!$I$5:$I$92,'Daftar Koreksi'!$D$5:$D$92,'0600'!A686,'Daftar Koreksi'!$G$5:$G$92,"Peralatan dan mesin",'Daftar Koreksi'!$I$5:$I$92,"&gt;0")</f>
        <v>0</v>
      </c>
      <c r="F699" s="25">
        <f>SUMIFS('Daftar Koreksi'!$I$5:$I$92,'Daftar Koreksi'!$D$5:$D$92,'0600'!A686,'Daftar Koreksi'!$G$5:$G$92,"Peralatan dan mesin",'Daftar Koreksi'!$I$5:$I$92,"&lt;0")-SUMIFS('Daftar Koreksi'!$I$5:$I$92,'Daftar Koreksi'!$D$5:$D$92,'0600'!A686,'Daftar Koreksi'!$G$5:$G$92,"Peralatan dan mesin",'Daftar Koreksi'!$I$5:$I$92,"&lt;0")-SUMIFS('Daftar Koreksi'!$I$5:$I$92,'Daftar Koreksi'!$D$5:$D$92,'0600'!A686,'Daftar Koreksi'!$G$5:$G$92,"Peralatan dan mesin",'Daftar Koreksi'!$I$5:$I$92,"&lt;0")</f>
        <v>0</v>
      </c>
      <c r="G699" s="17">
        <f t="shared" si="31"/>
        <v>-975737129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-364329641</v>
      </c>
      <c r="E700" s="25">
        <f>SUMIFS('Daftar Koreksi'!$I$5:$I$92,'Daftar Koreksi'!$D$5:$D$92,'0600'!A686,'Daftar Koreksi'!$G$5:$G$92,"Gedung dan Bangunan",'Daftar Koreksi'!$I$5:$I$92,"&gt;0")</f>
        <v>0</v>
      </c>
      <c r="F700" s="25">
        <f>SUMIFS('Daftar Koreksi'!$I$5:$I$92,'Daftar Koreksi'!$D$5:$D$92,'0600'!A686,'Daftar Koreksi'!$G$5:$G$92,"Gedung dan Bangunan",'Daftar Koreksi'!$I$5:$I$92,"&lt;0")-SUMIFS('Daftar Koreksi'!$I$5:$I$92,'Daftar Koreksi'!$D$5:$D$92,'0600'!A686,'Daftar Koreksi'!$G$5:$G$92,"Gedung dan Bangunan",'Daftar Koreksi'!$I$5:$I$92,"&lt;0")-SUMIFS('Daftar Koreksi'!$I$5:$I$92,'Daftar Koreksi'!$D$5:$D$92,'0600'!A686,'Daftar Koreksi'!$G$5:$G$92,"Gedung dan Bangunan",'Daftar Koreksi'!$I$5:$I$92,"&lt;0")</f>
        <v>0</v>
      </c>
      <c r="G700" s="17">
        <f t="shared" si="31"/>
        <v>-364329641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0</v>
      </c>
      <c r="E701" s="25">
        <f>SUMIFS('Daftar Koreksi'!$I$5:$I$92,'Daftar Koreksi'!$D$5:$D$92,'0600'!A686,'Daftar Koreksi'!$G$5:$G$92,"Jalan Irigasi Jaringan",'Daftar Koreksi'!$I$5:$I$92,"&gt;0")</f>
        <v>0</v>
      </c>
      <c r="F701" s="25">
        <f>SUMIFS('Daftar Koreksi'!$I$5:$I$92,'Daftar Koreksi'!$D$5:$D$92,'0600'!A686,'Daftar Koreksi'!$G$5:$G$92,"Jalan Irigasi Jaringan",'Daftar Koreksi'!$I$5:$I$92,"&lt;0")-SUMIFS('Daftar Koreksi'!$I$5:$I$92,'Daftar Koreksi'!$D$5:$D$92,'0600'!A686,'Daftar Koreksi'!$G$5:$G$92,"Jalan Irigasi Jaringan",'Daftar Koreksi'!$I$5:$I$92,"&lt;0")-SUMIFS('Daftar Koreksi'!$I$5:$I$92,'Daftar Koreksi'!$D$5:$D$92,'0600'!A686,'Daftar Koreksi'!$G$5:$G$92,"Jalan Irigasi Jaringan",'Daftar Koreksi'!$I$5:$I$92,"&lt;0")</f>
        <v>0</v>
      </c>
      <c r="G701" s="17">
        <f t="shared" si="31"/>
        <v>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Koreksi'!$D$5:$D$92,'0600'!A686,'Daftar Koreksi'!$G$5:$G$92,"Aset Tetap Lainnya",'Daftar Koreksi'!$I$5:$I$92,"&gt;0")</f>
        <v>0</v>
      </c>
      <c r="F702" s="25">
        <f>SUMIFS('Daftar Koreksi'!$I$5:$I$92,'Daftar Koreksi'!$D$5:$D$92,'0600'!A686,'Daftar Koreksi'!$G$5:$G$92,"Aset Tetap Lainnya",'Daftar Koreksi'!$I$5:$I$92,"&lt;0")-SUMIFS('Daftar Koreksi'!$I$5:$I$92,'Daftar Koreksi'!$D$5:$D$92,'0600'!A686,'Daftar Koreksi'!$G$5:$G$92,"Aset Tetap Lainnya",'Daftar Koreksi'!$I$5:$I$92,"&lt;0")-SUMIFS('Daftar Koreksi'!$I$5:$I$92,'Daftar Koreksi'!$D$5:$D$92,'0600'!A686,'Daftar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-779780</v>
      </c>
      <c r="E703" s="25">
        <f>SUMIFS('Daftar Koreksi'!$I$5:$I$92,'Daftar Koreksi'!$D$5:$D$92,'0600'!A686,'Daftar Koreksi'!$G$5:$G$92,"Aset Henti Guna",'Daftar Koreksi'!$I$5:$I$92,"&gt;0")</f>
        <v>0</v>
      </c>
      <c r="F703" s="25">
        <f>SUMIFS('Daftar Koreksi'!$I$5:$I$92,'Daftar Koreksi'!$D$5:$D$92,'0600'!A686,'Daftar Koreksi'!$G$5:$G$92,"Aset Henti Guna",'Daftar Koreksi'!$I$5:$I$92,"&lt;0")-SUMIFS('Daftar Koreksi'!$I$5:$I$92,'Daftar Koreksi'!$D$5:$D$92,'0600'!A686,'Daftar Koreksi'!$G$5:$G$92,"Aset Henti Guna",'Daftar Koreksi'!$I$5:$I$92,"&lt;0")-SUMIFS('Daftar Koreksi'!$I$5:$I$92,'Daftar Koreksi'!$D$5:$D$92,'0600'!A686,'Daftar Koreksi'!$G$5:$G$92,"Aset Henti Guna",'Daftar Koreksi'!$I$5:$I$92,"&lt;0")</f>
        <v>0</v>
      </c>
      <c r="G703" s="17">
        <f t="shared" si="31"/>
        <v>-779780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-1340846550</v>
      </c>
      <c r="E704" s="19">
        <f>SUM(E699:E703)</f>
        <v>0</v>
      </c>
      <c r="F704" s="19">
        <f>SUM(F699:F703)</f>
        <v>0</v>
      </c>
      <c r="G704" s="19">
        <f t="shared" si="31"/>
        <v>-1340846550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4934439622</v>
      </c>
      <c r="E705" s="19">
        <f>E704+E698</f>
        <v>0</v>
      </c>
      <c r="F705" s="19">
        <f>F704+F698</f>
        <v>0</v>
      </c>
      <c r="G705" s="19">
        <f t="shared" si="31"/>
        <v>4934439622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005010600401715000KD</v>
      </c>
      <c r="B708" s="11" t="str">
        <f>P33</f>
        <v>Mahkamah Syar'iyah Kotacane</v>
      </c>
      <c r="C708" s="12" t="str">
        <f>A708&amp;" "&amp;B708</f>
        <v>005010600401715000KD Mahkamah Syar'iyah Kotacane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0</v>
      </c>
      <c r="E711" s="25">
        <f>SUMIFS('Daftar Koreksi'!$H$5:$H$92,'Daftar Koreksi'!$D$5:$D$92,'0600'!A708,'Daftar Koreksi'!$G$5:$G$92,"Persediaan",'Daftar Koreksi'!$H$5:$H$92,"&gt;0")</f>
        <v>0</v>
      </c>
      <c r="F711" s="25">
        <f>SUMIFS('Daftar Koreksi'!$H$5:$H$92,'Daftar Koreksi'!$D$5:$D$92,'0600'!A708,'Daftar Koreksi'!$G$5:$G$92,"Persediaan",'Daftar Koreksi'!$H$5:$H$92,"&lt;0")-SUMIFS('Daftar Koreksi'!$H$5:$H$92,'Daftar Koreksi'!$D$5:$D$92,'0600'!A708,'Daftar Koreksi'!$G$5:$G$92,"Persediaan",'Daftar Koreksi'!$H$5:$H$92,"&lt;0")-SUMIFS('Daftar Koreksi'!$H$5:$H$92,'Daftar Koreksi'!$D$5:$D$92,'0600'!A708,'Daftar Koreksi'!$G$5:$G$92,"Persediaan",'Daftar Koreksi'!$H$5:$H$92,"&lt;0")</f>
        <v>0</v>
      </c>
      <c r="G711" s="17">
        <f>D711+E711-F711</f>
        <v>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134549000</v>
      </c>
      <c r="E712" s="25">
        <f>SUMIFS('Daftar Koreksi'!$H$5:$H$92,'Daftar Koreksi'!$D$5:$D$92,'0600'!A708,'Daftar Koreksi'!$G$5:$G$92,"Tanah",'Daftar Koreksi'!$H$5:$H$92,"&gt;0")</f>
        <v>0</v>
      </c>
      <c r="F712" s="25">
        <f>SUMIFS('Daftar Koreksi'!$H$5:$H$92,'Daftar Koreksi'!$D$5:$D$92,'0600'!A708,'Daftar Koreksi'!$G$5:$G$92,"Tanah",'Daftar Koreksi'!$H$5:$H$92,"&lt;0")-SUMIFS('Daftar Koreksi'!$H$5:$H$92,'Daftar Koreksi'!$D$5:$D$92,'0600'!A708,'Daftar Koreksi'!$G$5:$G$92,"Tanah",'Daftar Koreksi'!$H$5:$H$92,"&lt;0")-SUMIFS('Daftar Koreksi'!$H$5:$H$92,'Daftar Koreksi'!$D$5:$D$92,'0600'!A708,'Daftar Koreksi'!$G$5:$G$92,"Tanah",'Daftar Koreksi'!$H$5:$H$92,"&lt;0")</f>
        <v>0</v>
      </c>
      <c r="G712" s="17">
        <f t="shared" ref="G712:G728" si="32">D712+E712-F712</f>
        <v>134549000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886866500</v>
      </c>
      <c r="E713" s="25">
        <f>SUMIFS('Daftar Koreksi'!$H$5:$H$92,'Daftar Koreksi'!$D$5:$D$92,'0600'!A708,'Daftar Koreksi'!$G$5:$G$92,"Peralatan dan mesin",'Daftar Koreksi'!$H$5:$H$92,"&gt;0")</f>
        <v>0</v>
      </c>
      <c r="F713" s="25">
        <f>SUMIFS('Daftar Koreksi'!$H$5:$H$92,'Daftar Koreksi'!$D$5:$D$92,'0600'!A708,'Daftar Koreksi'!$G$5:$G$92,"Peralatan dan mesin",'Daftar Koreksi'!$H$5:$H$92,"&lt;0")-SUMIFS('Daftar Koreksi'!$H$5:$H$92,'Daftar Koreksi'!$D$5:$D$92,'0600'!A708,'Daftar Koreksi'!$G$5:$G$92,"Peralatan dan mesin",'Daftar Koreksi'!$H$5:$H$92,"&lt;0")-SUMIFS('Daftar Koreksi'!$H$5:$H$92,'Daftar Koreksi'!$D$5:$D$92,'0600'!A708,'Daftar Koreksi'!$G$5:$G$92,"Peralatan dan mesin",'Daftar Koreksi'!$H$5:$H$92,"&lt;0")</f>
        <v>0</v>
      </c>
      <c r="G713" s="17">
        <f t="shared" si="32"/>
        <v>886866500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12297938000</v>
      </c>
      <c r="E714" s="25">
        <f>SUMIFS('Daftar Koreksi'!$H$5:$H$92,'Daftar Koreksi'!$D$5:$D$92,'0600'!A708,'Daftar Koreksi'!$G$5:$G$92,"Gedung dan Bangunan",'Daftar Koreksi'!$H$5:$H$92,"&gt;0")</f>
        <v>0</v>
      </c>
      <c r="F714" s="25">
        <f>SUMIFS('Daftar Koreksi'!$H$5:$H$92,'Daftar Koreksi'!$D$5:$D$92,'0600'!A708,'Daftar Koreksi'!$G$5:$G$92,"Gedung dan Bangunan",'Daftar Koreksi'!$H$5:$H$92,"&lt;0")-SUMIFS('Daftar Koreksi'!$H$5:$H$92,'Daftar Koreksi'!$D$5:$D$92,'0600'!A708,'Daftar Koreksi'!$G$5:$G$92,"Gedung dan Bangunan",'Daftar Koreksi'!$H$5:$H$92,"&lt;0")-SUMIFS('Daftar Koreksi'!$H$5:$H$92,'Daftar Koreksi'!$D$5:$D$92,'0600'!A708,'Daftar Koreksi'!$G$5:$G$92,"Gedung dan Bangunan",'Daftar Koreksi'!$H$5:$H$92,"&lt;0")</f>
        <v>0</v>
      </c>
      <c r="G714" s="17">
        <f t="shared" si="32"/>
        <v>12297938000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0</v>
      </c>
      <c r="E715" s="25">
        <f>SUMIFS('Daftar Koreksi'!$H$5:$H$92,'Daftar Koreksi'!$D$5:$D$92,'0600'!A708,'Daftar Koreksi'!$G$5:$G$92,"Jalan Irigasi Jaringan",'Daftar Koreksi'!$H$5:$H$92,"&gt;0")</f>
        <v>0</v>
      </c>
      <c r="F715" s="25">
        <f>SUMIFS('Daftar Koreksi'!$H$5:$H$92,'Daftar Koreksi'!$D$5:$D$92,'0600'!A708,'Daftar Koreksi'!$G$5:$G$92,"Jalan Irigasi Jaringan",'Daftar Koreksi'!$H$5:$H$92,"&lt;0")-SUMIFS('Daftar Koreksi'!$H$5:$H$92,'Daftar Koreksi'!$D$5:$D$92,'0600'!A708,'Daftar Koreksi'!$G$5:$G$92,"Jalan Irigasi Jaringan",'Daftar Koreksi'!$H$5:$H$92,"&lt;0")-SUMIFS('Daftar Koreksi'!$H$5:$H$92,'Daftar Koreksi'!$D$5:$D$92,'0600'!A708,'Daftar Koreksi'!$G$5:$G$92,"Jalan Irigasi Jaringan",'Daftar Koreksi'!$H$5:$H$92,"&lt;0")</f>
        <v>0</v>
      </c>
      <c r="G715" s="17">
        <f t="shared" si="32"/>
        <v>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0</v>
      </c>
      <c r="E716" s="25">
        <f>SUMIFS('Daftar Koreksi'!$H$5:$H$92,'Daftar Koreksi'!$D$5:$D$92,'0600'!A708,'Daftar Koreksi'!$G$5:$G$92,"Aset Tetap Lainnya",'Daftar Koreksi'!$H$5:$H$92,"&gt;0")</f>
        <v>0</v>
      </c>
      <c r="F716" s="25">
        <f>SUMIFS('Daftar Koreksi'!$H$5:$H$92,'Daftar Koreksi'!$D$5:$D$92,'0600'!A708,'Daftar Koreksi'!$G$5:$G$92,"Aset Tetap Lainnya",'Daftar Koreksi'!$H$5:$H$92,"&lt;0")-SUMIFS('Daftar Koreksi'!$H$5:$H$92,'Daftar Koreksi'!$D$5:$D$92,'0600'!A708,'Daftar Koreksi'!$G$5:$G$92,"Aset Tetap Lainnya",'Daftar Koreksi'!$H$5:$H$92,"&lt;0")-SUMIFS('Daftar Koreksi'!$H$5:$H$92,'Daftar Koreksi'!$D$5:$D$92,'0600'!A708,'Daftar Koreksi'!$G$5:$G$92,"Aset Tetap Lainnya",'Daftar Koreksi'!$H$5:$H$92,"&lt;0")</f>
        <v>0</v>
      </c>
      <c r="G716" s="17">
        <f t="shared" si="32"/>
        <v>0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Koreksi'!$D$5:$D$92,'0600'!A708,'Daftar Koreksi'!$G$5:$G$92,"Kontruksi Dalam Pengerjaan",'Daftar Koreksi'!$H$5:$H$92,"&gt;0")</f>
        <v>0</v>
      </c>
      <c r="F717" s="25">
        <f>SUMIFS('Daftar Koreksi'!$H$5:$H$92,'Daftar Koreksi'!$D$5:$D$92,'0600'!A708,'Daftar Koreksi'!$G$5:$G$92,"Kontruksi Dalam Pengerjaan",'Daftar Koreksi'!$H$5:$H$92,"&lt;0")-SUMIFS('Daftar Koreksi'!$H$5:$H$92,'Daftar Koreksi'!$D$5:$D$92,'0600'!A708,'Daftar Koreksi'!$G$5:$G$92,"Kontruksi Dalam Pengerjaan",'Daftar Koreksi'!$H$5:$H$92,"&lt;0")-SUMIFS('Daftar Koreksi'!$H$5:$H$92,'Daftar Koreksi'!$D$5:$D$92,'0600'!A708,'Daftar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Koreksi'!$D$5:$D$92,'0600'!A708,'Daftar Koreksi'!$G$5:$G$92,"Aset Tak Berwujud",'Daftar Koreksi'!$H$5:$H$92,"&gt;0")</f>
        <v>0</v>
      </c>
      <c r="F718" s="25">
        <f>SUMIFS('Daftar Koreksi'!$H$5:$H$92,'Daftar Koreksi'!$D$5:$D$92,'0600'!A708,'Daftar Koreksi'!$G$5:$G$92,"Aset Tak Berwujud",'Daftar Koreksi'!$H$5:$H$92,"&lt;0")-SUMIFS('Daftar Koreksi'!$H$5:$H$92,'Daftar Koreksi'!$D$5:$D$92,'0600'!A708,'Daftar Koreksi'!$G$5:$G$92,"Aset Tak Berwujud",'Daftar Koreksi'!$H$5:$H$92,"&lt;0")-SUMIFS('Daftar Koreksi'!$H$5:$H$92,'Daftar Koreksi'!$D$5:$D$92,'0600'!A708,'Daftar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359884017</v>
      </c>
      <c r="E719" s="25">
        <f>SUMIFS('Daftar Koreksi'!$H$5:$H$92,'Daftar Koreksi'!$D$5:$D$92,'0600'!A708,'Daftar Koreksi'!$G$5:$G$92,"Aset Henti Guna",'Daftar Koreksi'!$H$5:$H$92,"&gt;0")</f>
        <v>0</v>
      </c>
      <c r="F719" s="25">
        <f>SUMIFS('Daftar Koreksi'!$H$5:$H$92,'Daftar Koreksi'!$D$5:$D$92,'0600'!A708,'Daftar Koreksi'!$G$5:$G$92,"Aset Henti Guna",'Daftar Koreksi'!$H$5:$H$92,"&lt;0")-SUMIFS('Daftar Koreksi'!$H$5:$H$92,'Daftar Koreksi'!$D$5:$D$92,'0600'!A708,'Daftar Koreksi'!$G$5:$G$92,"Aset Henti Guna",'Daftar Koreksi'!$H$5:$H$92,"&lt;0")-SUMIFS('Daftar Koreksi'!$H$5:$H$92,'Daftar Koreksi'!$D$5:$D$92,'0600'!A708,'Daftar Koreksi'!$G$5:$G$92,"Aset Henti Guna",'Daftar Koreksi'!$H$5:$H$92,"&lt;0")</f>
        <v>0</v>
      </c>
      <c r="G719" s="17">
        <f t="shared" si="32"/>
        <v>359884017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13679237517</v>
      </c>
      <c r="E720" s="19">
        <f>SUM(E711:E719)</f>
        <v>0</v>
      </c>
      <c r="F720" s="19">
        <f>SUM(F711:F719)</f>
        <v>0</v>
      </c>
      <c r="G720" s="19">
        <f t="shared" si="32"/>
        <v>13679237517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-718558894</v>
      </c>
      <c r="E721" s="25">
        <f>SUMIFS('Daftar Koreksi'!$I$5:$I$92,'Daftar Koreksi'!$D$5:$D$92,'0600'!A708,'Daftar Koreksi'!$G$5:$G$92,"Peralatan dan mesin",'Daftar Koreksi'!$I$5:$I$92,"&gt;0")</f>
        <v>0</v>
      </c>
      <c r="F721" s="25">
        <f>SUMIFS('Daftar Koreksi'!$I$5:$I$92,'Daftar Koreksi'!$D$5:$D$92,'0600'!A708,'Daftar Koreksi'!$G$5:$G$92,"Peralatan dan mesin",'Daftar Koreksi'!$I$5:$I$92,"&lt;0")-SUMIFS('Daftar Koreksi'!$I$5:$I$92,'Daftar Koreksi'!$D$5:$D$92,'0600'!A708,'Daftar Koreksi'!$G$5:$G$92,"Peralatan dan mesin",'Daftar Koreksi'!$I$5:$I$92,"&lt;0")-SUMIFS('Daftar Koreksi'!$I$5:$I$92,'Daftar Koreksi'!$D$5:$D$92,'0600'!A708,'Daftar Koreksi'!$G$5:$G$92,"Peralatan dan mesin",'Daftar Koreksi'!$I$5:$I$92,"&lt;0")</f>
        <v>0</v>
      </c>
      <c r="G721" s="17">
        <f t="shared" si="32"/>
        <v>-718558894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-811850242</v>
      </c>
      <c r="E722" s="25">
        <f>SUMIFS('Daftar Koreksi'!$I$5:$I$92,'Daftar Koreksi'!$D$5:$D$92,'0600'!A708,'Daftar Koreksi'!$G$5:$G$92,"Gedung dan Bangunan",'Daftar Koreksi'!$I$5:$I$92,"&gt;0")</f>
        <v>0</v>
      </c>
      <c r="F722" s="25">
        <f>SUMIFS('Daftar Koreksi'!$I$5:$I$92,'Daftar Koreksi'!$D$5:$D$92,'0600'!A708,'Daftar Koreksi'!$G$5:$G$92,"Gedung dan Bangunan",'Daftar Koreksi'!$I$5:$I$92,"&lt;0")-SUMIFS('Daftar Koreksi'!$I$5:$I$92,'Daftar Koreksi'!$D$5:$D$92,'0600'!A708,'Daftar Koreksi'!$G$5:$G$92,"Gedung dan Bangunan",'Daftar Koreksi'!$I$5:$I$92,"&lt;0")-SUMIFS('Daftar Koreksi'!$I$5:$I$92,'Daftar Koreksi'!$D$5:$D$92,'0600'!A708,'Daftar Koreksi'!$G$5:$G$92,"Gedung dan Bangunan",'Daftar Koreksi'!$I$5:$I$92,"&lt;0")</f>
        <v>0</v>
      </c>
      <c r="G722" s="17">
        <f t="shared" si="32"/>
        <v>-811850242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0</v>
      </c>
      <c r="E723" s="25">
        <f>SUMIFS('Daftar Koreksi'!$I$5:$I$92,'Daftar Koreksi'!$D$5:$D$92,'0600'!A708,'Daftar Koreksi'!$G$5:$G$92,"Jalan Irigasi Jaringan",'Daftar Koreksi'!$I$5:$I$92,"&gt;0")</f>
        <v>0</v>
      </c>
      <c r="F723" s="25">
        <f>SUMIFS('Daftar Koreksi'!$I$5:$I$92,'Daftar Koreksi'!$D$5:$D$92,'0600'!A708,'Daftar Koreksi'!$G$5:$G$92,"Jalan Irigasi Jaringan",'Daftar Koreksi'!$I$5:$I$92,"&lt;0")-SUMIFS('Daftar Koreksi'!$I$5:$I$92,'Daftar Koreksi'!$D$5:$D$92,'0600'!A708,'Daftar Koreksi'!$G$5:$G$92,"Jalan Irigasi Jaringan",'Daftar Koreksi'!$I$5:$I$92,"&lt;0")-SUMIFS('Daftar Koreksi'!$I$5:$I$92,'Daftar Koreksi'!$D$5:$D$92,'0600'!A708,'Daftar Koreksi'!$G$5:$G$92,"Jalan Irigasi Jaringan",'Daftar Koreksi'!$I$5:$I$92,"&lt;0")</f>
        <v>0</v>
      </c>
      <c r="G723" s="17">
        <f t="shared" si="32"/>
        <v>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Koreksi'!$D$5:$D$92,'0600'!A708,'Daftar Koreksi'!$G$5:$G$92,"Aset Tetap Lainnya",'Daftar Koreksi'!$I$5:$I$92,"&gt;0")</f>
        <v>0</v>
      </c>
      <c r="F724" s="25">
        <f>SUMIFS('Daftar Koreksi'!$I$5:$I$92,'Daftar Koreksi'!$D$5:$D$92,'0600'!A708,'Daftar Koreksi'!$G$5:$G$92,"Aset Tetap Lainnya",'Daftar Koreksi'!$I$5:$I$92,"&lt;0")-SUMIFS('Daftar Koreksi'!$I$5:$I$92,'Daftar Koreksi'!$D$5:$D$92,'0600'!A708,'Daftar Koreksi'!$G$5:$G$92,"Aset Tetap Lainnya",'Daftar Koreksi'!$I$5:$I$92,"&lt;0")-SUMIFS('Daftar Koreksi'!$I$5:$I$92,'Daftar Koreksi'!$D$5:$D$92,'0600'!A708,'Daftar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-352954017</v>
      </c>
      <c r="E725" s="25">
        <f>SUMIFS('Daftar Koreksi'!$I$5:$I$92,'Daftar Koreksi'!$D$5:$D$92,'0600'!A708,'Daftar Koreksi'!$G$5:$G$92,"Aset Henti Guna",'Daftar Koreksi'!$I$5:$I$92,"&gt;0")</f>
        <v>0</v>
      </c>
      <c r="F725" s="25">
        <f>SUMIFS('Daftar Koreksi'!$I$5:$I$92,'Daftar Koreksi'!$D$5:$D$92,'0600'!A708,'Daftar Koreksi'!$G$5:$G$92,"Aset Henti Guna",'Daftar Koreksi'!$I$5:$I$92,"&lt;0")-SUMIFS('Daftar Koreksi'!$I$5:$I$92,'Daftar Koreksi'!$D$5:$D$92,'0600'!A708,'Daftar Koreksi'!$G$5:$G$92,"Aset Henti Guna",'Daftar Koreksi'!$I$5:$I$92,"&lt;0")-SUMIFS('Daftar Koreksi'!$I$5:$I$92,'Daftar Koreksi'!$D$5:$D$92,'0600'!A708,'Daftar Koreksi'!$G$5:$G$92,"Aset Henti Guna",'Daftar Koreksi'!$I$5:$I$92,"&lt;0")</f>
        <v>0</v>
      </c>
      <c r="G725" s="17">
        <f t="shared" si="32"/>
        <v>-352954017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-1883363153</v>
      </c>
      <c r="E726" s="19">
        <f>SUM(E721:E725)</f>
        <v>0</v>
      </c>
      <c r="F726" s="19">
        <f>SUM(F721:F725)</f>
        <v>0</v>
      </c>
      <c r="G726" s="19">
        <f t="shared" si="32"/>
        <v>-1883363153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11795874364</v>
      </c>
      <c r="E727" s="19">
        <f>E726+E720</f>
        <v>0</v>
      </c>
      <c r="F727" s="19">
        <f>F726+F720</f>
        <v>0</v>
      </c>
      <c r="G727" s="19">
        <f t="shared" si="32"/>
        <v>11795874364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005010600401721000KD</v>
      </c>
      <c r="B730" s="11" t="str">
        <f>P34</f>
        <v>Mahkamah Syar'iyah Meulaboh</v>
      </c>
      <c r="C730" s="12" t="str">
        <f>A730&amp;" "&amp;B730</f>
        <v>005010600401721000KD Mahkamah Syar'iyah Meulaboh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875000</v>
      </c>
      <c r="E733" s="25">
        <f>SUMIFS('Daftar Koreksi'!$H$5:$H$92,'Daftar Koreksi'!$D$5:$D$92,'0600'!A730,'Daftar Koreksi'!$G$5:$G$92,"Persediaan",'Daftar Koreksi'!$H$5:$H$92,"&gt;0")</f>
        <v>0</v>
      </c>
      <c r="F733" s="25">
        <f>SUMIFS('Daftar Koreksi'!$H$5:$H$92,'Daftar Koreksi'!$D$5:$D$92,'0600'!A730,'Daftar Koreksi'!$G$5:$G$92,"Persediaan",'Daftar Koreksi'!$H$5:$H$92,"&lt;0")-SUMIFS('Daftar Koreksi'!$H$5:$H$92,'Daftar Koreksi'!$D$5:$D$92,'0600'!A730,'Daftar Koreksi'!$G$5:$G$92,"Persediaan",'Daftar Koreksi'!$H$5:$H$92,"&lt;0")-SUMIFS('Daftar Koreksi'!$H$5:$H$92,'Daftar Koreksi'!$D$5:$D$92,'0600'!A730,'Daftar Koreksi'!$G$5:$G$92,"Persediaan",'Daftar Koreksi'!$H$5:$H$92,"&lt;0")</f>
        <v>0</v>
      </c>
      <c r="G733" s="17">
        <f>D733+E733-F733</f>
        <v>875000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1169594000</v>
      </c>
      <c r="E734" s="25">
        <f>SUMIFS('Daftar Koreksi'!$H$5:$H$92,'Daftar Koreksi'!$D$5:$D$92,'0600'!A730,'Daftar Koreksi'!$G$5:$G$92,"Tanah",'Daftar Koreksi'!$H$5:$H$92,"&gt;0")</f>
        <v>0</v>
      </c>
      <c r="F734" s="25">
        <f>SUMIFS('Daftar Koreksi'!$H$5:$H$92,'Daftar Koreksi'!$D$5:$D$92,'0600'!A730,'Daftar Koreksi'!$G$5:$G$92,"Tanah",'Daftar Koreksi'!$H$5:$H$92,"&lt;0")-SUMIFS('Daftar Koreksi'!$H$5:$H$92,'Daftar Koreksi'!$D$5:$D$92,'0600'!A730,'Daftar Koreksi'!$G$5:$G$92,"Tanah",'Daftar Koreksi'!$H$5:$H$92,"&lt;0")-SUMIFS('Daftar Koreksi'!$H$5:$H$92,'Daftar Koreksi'!$D$5:$D$92,'0600'!A730,'Daftar Koreksi'!$G$5:$G$92,"Tanah",'Daftar Koreksi'!$H$5:$H$92,"&lt;0")</f>
        <v>0</v>
      </c>
      <c r="G734" s="17">
        <f t="shared" ref="G734:G750" si="33">D734+E734-F734</f>
        <v>1169594000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1338719603</v>
      </c>
      <c r="E735" s="25">
        <f>SUMIFS('Daftar Koreksi'!$H$5:$H$92,'Daftar Koreksi'!$D$5:$D$92,'0600'!A730,'Daftar Koreksi'!$G$5:$G$92,"Peralatan dan mesin",'Daftar Koreksi'!$H$5:$H$92,"&gt;0")</f>
        <v>0</v>
      </c>
      <c r="F735" s="25">
        <f>SUMIFS('Daftar Koreksi'!$H$5:$H$92,'Daftar Koreksi'!$D$5:$D$92,'0600'!A730,'Daftar Koreksi'!$G$5:$G$92,"Peralatan dan mesin",'Daftar Koreksi'!$H$5:$H$92,"&lt;0")-SUMIFS('Daftar Koreksi'!$H$5:$H$92,'Daftar Koreksi'!$D$5:$D$92,'0600'!A730,'Daftar Koreksi'!$G$5:$G$92,"Peralatan dan mesin",'Daftar Koreksi'!$H$5:$H$92,"&lt;0")-SUMIFS('Daftar Koreksi'!$H$5:$H$92,'Daftar Koreksi'!$D$5:$D$92,'0600'!A730,'Daftar Koreksi'!$G$5:$G$92,"Peralatan dan mesin",'Daftar Koreksi'!$H$5:$H$92,"&lt;0")</f>
        <v>0</v>
      </c>
      <c r="G735" s="17">
        <f t="shared" si="33"/>
        <v>1338719603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345396065</v>
      </c>
      <c r="E736" s="25">
        <f>SUMIFS('Daftar Koreksi'!$H$5:$H$92,'Daftar Koreksi'!$D$5:$D$92,'0600'!A730,'Daftar Koreksi'!$G$5:$G$92,"Gedung dan Bangunan",'Daftar Koreksi'!$H$5:$H$92,"&gt;0")</f>
        <v>0</v>
      </c>
      <c r="F736" s="25">
        <f>SUMIFS('Daftar Koreksi'!$H$5:$H$92,'Daftar Koreksi'!$D$5:$D$92,'0600'!A730,'Daftar Koreksi'!$G$5:$G$92,"Gedung dan Bangunan",'Daftar Koreksi'!$H$5:$H$92,"&lt;0")-SUMIFS('Daftar Koreksi'!$H$5:$H$92,'Daftar Koreksi'!$D$5:$D$92,'0600'!A730,'Daftar Koreksi'!$G$5:$G$92,"Gedung dan Bangunan",'Daftar Koreksi'!$H$5:$H$92,"&lt;0")-SUMIFS('Daftar Koreksi'!$H$5:$H$92,'Daftar Koreksi'!$D$5:$D$92,'0600'!A730,'Daftar Koreksi'!$G$5:$G$92,"Gedung dan Bangunan",'Daftar Koreksi'!$H$5:$H$92,"&lt;0")</f>
        <v>0</v>
      </c>
      <c r="G736" s="17">
        <f t="shared" si="33"/>
        <v>345396065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0</v>
      </c>
      <c r="E737" s="25">
        <f>SUMIFS('Daftar Koreksi'!$H$5:$H$92,'Daftar Koreksi'!$D$5:$D$92,'0600'!A730,'Daftar Koreksi'!$G$5:$G$92,"Jalan Irigasi Jaringan",'Daftar Koreksi'!$H$5:$H$92,"&gt;0")</f>
        <v>0</v>
      </c>
      <c r="F737" s="25">
        <f>SUMIFS('Daftar Koreksi'!$H$5:$H$92,'Daftar Koreksi'!$D$5:$D$92,'0600'!A730,'Daftar Koreksi'!$G$5:$G$92,"Jalan Irigasi Jaringan",'Daftar Koreksi'!$H$5:$H$92,"&lt;0")-SUMIFS('Daftar Koreksi'!$H$5:$H$92,'Daftar Koreksi'!$D$5:$D$92,'0600'!A730,'Daftar Koreksi'!$G$5:$G$92,"Jalan Irigasi Jaringan",'Daftar Koreksi'!$H$5:$H$92,"&lt;0")-SUMIFS('Daftar Koreksi'!$H$5:$H$92,'Daftar Koreksi'!$D$5:$D$92,'0600'!A730,'Daftar Koreksi'!$G$5:$G$92,"Jalan Irigasi Jaringan",'Daftar Koreksi'!$H$5:$H$92,"&lt;0")</f>
        <v>0</v>
      </c>
      <c r="G737" s="17">
        <f t="shared" si="33"/>
        <v>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0</v>
      </c>
      <c r="E738" s="25">
        <f>SUMIFS('Daftar Koreksi'!$H$5:$H$92,'Daftar Koreksi'!$D$5:$D$92,'0600'!A730,'Daftar Koreksi'!$G$5:$G$92,"Aset Tetap Lainnya",'Daftar Koreksi'!$H$5:$H$92,"&gt;0")</f>
        <v>0</v>
      </c>
      <c r="F738" s="25">
        <f>SUMIFS('Daftar Koreksi'!$H$5:$H$92,'Daftar Koreksi'!$D$5:$D$92,'0600'!A730,'Daftar Koreksi'!$G$5:$G$92,"Aset Tetap Lainnya",'Daftar Koreksi'!$H$5:$H$92,"&lt;0")-SUMIFS('Daftar Koreksi'!$H$5:$H$92,'Daftar Koreksi'!$D$5:$D$92,'0600'!A730,'Daftar Koreksi'!$G$5:$G$92,"Aset Tetap Lainnya",'Daftar Koreksi'!$H$5:$H$92,"&lt;0")-SUMIFS('Daftar Koreksi'!$H$5:$H$92,'Daftar Koreksi'!$D$5:$D$92,'0600'!A730,'Daftar Koreksi'!$G$5:$G$92,"Aset Tetap Lainnya",'Daftar Koreksi'!$H$5:$H$92,"&lt;0")</f>
        <v>0</v>
      </c>
      <c r="G738" s="17">
        <f t="shared" si="33"/>
        <v>0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Koreksi'!$D$5:$D$92,'0600'!A730,'Daftar Koreksi'!$G$5:$G$92,"Kontruksi Dalam Pengerjaan",'Daftar Koreksi'!$H$5:$H$92,"&gt;0")</f>
        <v>0</v>
      </c>
      <c r="F739" s="25">
        <f>SUMIFS('Daftar Koreksi'!$H$5:$H$92,'Daftar Koreksi'!$D$5:$D$92,'0600'!A730,'Daftar Koreksi'!$G$5:$G$92,"Kontruksi Dalam Pengerjaan",'Daftar Koreksi'!$H$5:$H$92,"&lt;0")-SUMIFS('Daftar Koreksi'!$H$5:$H$92,'Daftar Koreksi'!$D$5:$D$92,'0600'!A730,'Daftar Koreksi'!$G$5:$G$92,"Kontruksi Dalam Pengerjaan",'Daftar Koreksi'!$H$5:$H$92,"&lt;0")-SUMIFS('Daftar Koreksi'!$H$5:$H$92,'Daftar Koreksi'!$D$5:$D$92,'0600'!A730,'Daftar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6820000</v>
      </c>
      <c r="E740" s="25">
        <f>SUMIFS('Daftar Koreksi'!$H$5:$H$92,'Daftar Koreksi'!$D$5:$D$92,'0600'!A730,'Daftar Koreksi'!$G$5:$G$92,"Aset Tak Berwujud",'Daftar Koreksi'!$H$5:$H$92,"&gt;0")</f>
        <v>0</v>
      </c>
      <c r="F740" s="25">
        <f>SUMIFS('Daftar Koreksi'!$H$5:$H$92,'Daftar Koreksi'!$D$5:$D$92,'0600'!A730,'Daftar Koreksi'!$G$5:$G$92,"Aset Tak Berwujud",'Daftar Koreksi'!$H$5:$H$92,"&lt;0")-SUMIFS('Daftar Koreksi'!$H$5:$H$92,'Daftar Koreksi'!$D$5:$D$92,'0600'!A730,'Daftar Koreksi'!$G$5:$G$92,"Aset Tak Berwujud",'Daftar Koreksi'!$H$5:$H$92,"&lt;0")-SUMIFS('Daftar Koreksi'!$H$5:$H$92,'Daftar Koreksi'!$D$5:$D$92,'0600'!A730,'Daftar Koreksi'!$G$5:$G$92,"Aset Tak Berwujud",'Daftar Koreksi'!$H$5:$H$92,"&lt;0")</f>
        <v>0</v>
      </c>
      <c r="G740" s="17">
        <f t="shared" si="33"/>
        <v>6820000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0</v>
      </c>
      <c r="E741" s="25">
        <f>SUMIFS('Daftar Koreksi'!$H$5:$H$92,'Daftar Koreksi'!$D$5:$D$92,'0600'!A730,'Daftar Koreksi'!$G$5:$G$92,"Aset Henti Guna",'Daftar Koreksi'!$H$5:$H$92,"&gt;0")</f>
        <v>0</v>
      </c>
      <c r="F741" s="25">
        <f>SUMIFS('Daftar Koreksi'!$H$5:$H$92,'Daftar Koreksi'!$D$5:$D$92,'0600'!A730,'Daftar Koreksi'!$G$5:$G$92,"Aset Henti Guna",'Daftar Koreksi'!$H$5:$H$92,"&lt;0")-SUMIFS('Daftar Koreksi'!$H$5:$H$92,'Daftar Koreksi'!$D$5:$D$92,'0600'!A730,'Daftar Koreksi'!$G$5:$G$92,"Aset Henti Guna",'Daftar Koreksi'!$H$5:$H$92,"&lt;0")-SUMIFS('Daftar Koreksi'!$H$5:$H$92,'Daftar Koreksi'!$D$5:$D$92,'0600'!A730,'Daftar Koreksi'!$G$5:$G$92,"Aset Henti Guna",'Daftar Koreksi'!$H$5:$H$92,"&lt;0")</f>
        <v>0</v>
      </c>
      <c r="G741" s="17">
        <f t="shared" si="33"/>
        <v>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2861404668</v>
      </c>
      <c r="E742" s="19">
        <f>SUM(E733:E741)</f>
        <v>0</v>
      </c>
      <c r="F742" s="19">
        <f>SUM(F733:F741)</f>
        <v>0</v>
      </c>
      <c r="G742" s="19">
        <f t="shared" si="33"/>
        <v>2861404668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-1204176140</v>
      </c>
      <c r="E743" s="25">
        <f>SUMIFS('Daftar Koreksi'!$I$5:$I$92,'Daftar Koreksi'!$D$5:$D$92,'0600'!A730,'Daftar Koreksi'!$G$5:$G$92,"Peralatan dan mesin",'Daftar Koreksi'!$I$5:$I$92,"&gt;0")</f>
        <v>0</v>
      </c>
      <c r="F743" s="25">
        <f>SUMIFS('Daftar Koreksi'!$I$5:$I$92,'Daftar Koreksi'!$D$5:$D$92,'0600'!A730,'Daftar Koreksi'!$G$5:$G$92,"Peralatan dan mesin",'Daftar Koreksi'!$I$5:$I$92,"&lt;0")-SUMIFS('Daftar Koreksi'!$I$5:$I$92,'Daftar Koreksi'!$D$5:$D$92,'0600'!A730,'Daftar Koreksi'!$G$5:$G$92,"Peralatan dan mesin",'Daftar Koreksi'!$I$5:$I$92,"&lt;0")-SUMIFS('Daftar Koreksi'!$I$5:$I$92,'Daftar Koreksi'!$D$5:$D$92,'0600'!A730,'Daftar Koreksi'!$G$5:$G$92,"Peralatan dan mesin",'Daftar Koreksi'!$I$5:$I$92,"&lt;0")</f>
        <v>0</v>
      </c>
      <c r="G743" s="17">
        <f t="shared" si="33"/>
        <v>-1204176140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-209807594</v>
      </c>
      <c r="E744" s="25">
        <f>SUMIFS('Daftar Koreksi'!$I$5:$I$92,'Daftar Koreksi'!$D$5:$D$92,'0600'!A730,'Daftar Koreksi'!$G$5:$G$92,"Gedung dan Bangunan",'Daftar Koreksi'!$I$5:$I$92,"&gt;0")</f>
        <v>0</v>
      </c>
      <c r="F744" s="25">
        <f>SUMIFS('Daftar Koreksi'!$I$5:$I$92,'Daftar Koreksi'!$D$5:$D$92,'0600'!A730,'Daftar Koreksi'!$G$5:$G$92,"Gedung dan Bangunan",'Daftar Koreksi'!$I$5:$I$92,"&lt;0")-SUMIFS('Daftar Koreksi'!$I$5:$I$92,'Daftar Koreksi'!$D$5:$D$92,'0600'!A730,'Daftar Koreksi'!$G$5:$G$92,"Gedung dan Bangunan",'Daftar Koreksi'!$I$5:$I$92,"&lt;0")-SUMIFS('Daftar Koreksi'!$I$5:$I$92,'Daftar Koreksi'!$D$5:$D$92,'0600'!A730,'Daftar Koreksi'!$G$5:$G$92,"Gedung dan Bangunan",'Daftar Koreksi'!$I$5:$I$92,"&lt;0")</f>
        <v>0</v>
      </c>
      <c r="G744" s="17">
        <f t="shared" si="33"/>
        <v>-209807594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0</v>
      </c>
      <c r="E745" s="25">
        <f>SUMIFS('Daftar Koreksi'!$I$5:$I$92,'Daftar Koreksi'!$D$5:$D$92,'0600'!A730,'Daftar Koreksi'!$G$5:$G$92,"Jalan Irigasi Jaringan",'Daftar Koreksi'!$I$5:$I$92,"&gt;0")</f>
        <v>0</v>
      </c>
      <c r="F745" s="25">
        <f>SUMIFS('Daftar Koreksi'!$I$5:$I$92,'Daftar Koreksi'!$D$5:$D$92,'0600'!A730,'Daftar Koreksi'!$G$5:$G$92,"Jalan Irigasi Jaringan",'Daftar Koreksi'!$I$5:$I$92,"&lt;0")-SUMIFS('Daftar Koreksi'!$I$5:$I$92,'Daftar Koreksi'!$D$5:$D$92,'0600'!A730,'Daftar Koreksi'!$G$5:$G$92,"Jalan Irigasi Jaringan",'Daftar Koreksi'!$I$5:$I$92,"&lt;0")-SUMIFS('Daftar Koreksi'!$I$5:$I$92,'Daftar Koreksi'!$D$5:$D$92,'0600'!A730,'Daftar Koreksi'!$G$5:$G$92,"Jalan Irigasi Jaringan",'Daftar Koreksi'!$I$5:$I$92,"&lt;0")</f>
        <v>0</v>
      </c>
      <c r="G745" s="17">
        <f t="shared" si="33"/>
        <v>0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Koreksi'!$D$5:$D$92,'0600'!A730,'Daftar Koreksi'!$G$5:$G$92,"Aset Tetap Lainnya",'Daftar Koreksi'!$I$5:$I$92,"&gt;0")</f>
        <v>0</v>
      </c>
      <c r="F746" s="25">
        <f>SUMIFS('Daftar Koreksi'!$I$5:$I$92,'Daftar Koreksi'!$D$5:$D$92,'0600'!A730,'Daftar Koreksi'!$G$5:$G$92,"Aset Tetap Lainnya",'Daftar Koreksi'!$I$5:$I$92,"&lt;0")-SUMIFS('Daftar Koreksi'!$I$5:$I$92,'Daftar Koreksi'!$D$5:$D$92,'0600'!A730,'Daftar Koreksi'!$G$5:$G$92,"Aset Tetap Lainnya",'Daftar Koreksi'!$I$5:$I$92,"&lt;0")-SUMIFS('Daftar Koreksi'!$I$5:$I$92,'Daftar Koreksi'!$D$5:$D$92,'0600'!A730,'Daftar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0</v>
      </c>
      <c r="E747" s="25">
        <f>SUMIFS('Daftar Koreksi'!$I$5:$I$92,'Daftar Koreksi'!$D$5:$D$92,'0600'!A730,'Daftar Koreksi'!$G$5:$G$92,"Aset Henti Guna",'Daftar Koreksi'!$I$5:$I$92,"&gt;0")</f>
        <v>0</v>
      </c>
      <c r="F747" s="25">
        <f>SUMIFS('Daftar Koreksi'!$I$5:$I$92,'Daftar Koreksi'!$D$5:$D$92,'0600'!A730,'Daftar Koreksi'!$G$5:$G$92,"Aset Henti Guna",'Daftar Koreksi'!$I$5:$I$92,"&lt;0")-SUMIFS('Daftar Koreksi'!$I$5:$I$92,'Daftar Koreksi'!$D$5:$D$92,'0600'!A730,'Daftar Koreksi'!$G$5:$G$92,"Aset Henti Guna",'Daftar Koreksi'!$I$5:$I$92,"&lt;0")-SUMIFS('Daftar Koreksi'!$I$5:$I$92,'Daftar Koreksi'!$D$5:$D$92,'0600'!A730,'Daftar Koreksi'!$G$5:$G$92,"Aset Henti Guna",'Daftar Koreksi'!$I$5:$I$92,"&lt;0")</f>
        <v>0</v>
      </c>
      <c r="G747" s="17">
        <f t="shared" si="33"/>
        <v>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-1413983734</v>
      </c>
      <c r="E748" s="19">
        <f>SUM(E743:E747)</f>
        <v>0</v>
      </c>
      <c r="F748" s="19">
        <f>SUM(F743:F747)</f>
        <v>0</v>
      </c>
      <c r="G748" s="19">
        <f t="shared" si="33"/>
        <v>-1413983734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1447420934</v>
      </c>
      <c r="E749" s="19">
        <f>E748+E742</f>
        <v>0</v>
      </c>
      <c r="F749" s="19">
        <f>F748+F742</f>
        <v>0</v>
      </c>
      <c r="G749" s="19">
        <f t="shared" si="33"/>
        <v>1447420934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005010600401730000KD</v>
      </c>
      <c r="B752" s="11" t="str">
        <f>P35</f>
        <v>Mahkamah Syar'iyah Sinabang</v>
      </c>
      <c r="C752" s="12" t="str">
        <f>A752&amp;" "&amp;B752</f>
        <v>005010600401730000KD Mahkamah Syar'iyah Sinabang</v>
      </c>
      <c r="D752" s="13"/>
      <c r="E752" s="13"/>
      <c r="F752" s="13"/>
      <c r="G752" s="13"/>
      <c r="H752" s="11"/>
    </row>
    <row r="753" spans="1:10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10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10" ht="21.95" customHeight="1">
      <c r="A755" s="14"/>
      <c r="B755" s="14"/>
      <c r="C755" s="16" t="s">
        <v>1165</v>
      </c>
      <c r="D755" s="17">
        <f>VLOOKUP(A752,'Neraca Unaudited SIMAK'!$A$2:$S$10004,3,FALSE)</f>
        <v>45000</v>
      </c>
      <c r="E755" s="25">
        <f>SUMIFS('Daftar Koreksi'!$H$5:$H$92,'Daftar Koreksi'!$D$5:$D$92,'0600'!A752,'Daftar Koreksi'!$G$5:$G$92,"Persediaan",'Daftar Koreksi'!$H$5:$H$92,"&gt;0")</f>
        <v>0</v>
      </c>
      <c r="F755" s="25">
        <f>SUMIFS('Daftar Koreksi'!$H$5:$H$92,'Daftar Koreksi'!$D$5:$D$92,'0600'!A752,'Daftar Koreksi'!$G$5:$G$92,"Persediaan",'Daftar Koreksi'!$H$5:$H$92,"&lt;0")-SUMIFS('Daftar Koreksi'!$H$5:$H$92,'Daftar Koreksi'!$D$5:$D$92,'0600'!A752,'Daftar Koreksi'!$G$5:$G$92,"Persediaan",'Daftar Koreksi'!$H$5:$H$92,"&lt;0")-SUMIFS('Daftar Koreksi'!$H$5:$H$92,'Daftar Koreksi'!$D$5:$D$92,'0600'!A752,'Daftar Koreksi'!$G$5:$G$92,"Persediaan",'Daftar Koreksi'!$H$5:$H$92,"&lt;0")</f>
        <v>0</v>
      </c>
      <c r="G755" s="17">
        <f>D755+E755-F755</f>
        <v>45000</v>
      </c>
      <c r="H755" s="121" t="str">
        <f>IF(ISNA(VLOOKUP(A752,'Mutasi Neraca'!$A$3:$S$914,19,FALSE)),"-",VLOOKUP(A752,'Mutasi Neraca'!$A$3:$S$914,19,FALSE))</f>
        <v>-</v>
      </c>
      <c r="I755" s="28"/>
      <c r="J755" s="28"/>
    </row>
    <row r="756" spans="1:10" ht="21.95" customHeight="1">
      <c r="A756" s="14"/>
      <c r="B756" s="14"/>
      <c r="C756" s="16" t="s">
        <v>1166</v>
      </c>
      <c r="D756" s="17">
        <f>VLOOKUP(A752,'Neraca Unaudited SIMAK'!$A$2:$S$10004,4,FALSE)</f>
        <v>1366900000</v>
      </c>
      <c r="E756" s="25">
        <f>SUMIFS('Daftar Koreksi'!$H$5:$H$92,'Daftar Koreksi'!$D$5:$D$92,'0600'!A752,'Daftar Koreksi'!$G$5:$G$92,"Tanah",'Daftar Koreksi'!$H$5:$H$92,"&gt;0")</f>
        <v>0</v>
      </c>
      <c r="F756" s="25">
        <f>SUMIFS('Daftar Koreksi'!$H$5:$H$92,'Daftar Koreksi'!$D$5:$D$92,'0600'!A752,'Daftar Koreksi'!$G$5:$G$92,"Tanah",'Daftar Koreksi'!$H$5:$H$92,"&lt;0")-SUMIFS('Daftar Koreksi'!$H$5:$H$92,'Daftar Koreksi'!$D$5:$D$92,'0600'!A752,'Daftar Koreksi'!$G$5:$G$92,"Tanah",'Daftar Koreksi'!$H$5:$H$92,"&lt;0")-SUMIFS('Daftar Koreksi'!$H$5:$H$92,'Daftar Koreksi'!$D$5:$D$92,'0600'!A752,'Daftar Koreksi'!$G$5:$G$92,"Tanah",'Daftar Koreksi'!$H$5:$H$92,"&lt;0")</f>
        <v>0</v>
      </c>
      <c r="G756" s="17">
        <f t="shared" ref="G756:G772" si="34">D756+E756-F756</f>
        <v>1366900000</v>
      </c>
      <c r="H756" s="122"/>
      <c r="I756" s="28"/>
      <c r="J756" s="28"/>
    </row>
    <row r="757" spans="1:10" ht="21.95" customHeight="1">
      <c r="A757" s="14"/>
      <c r="B757" s="14"/>
      <c r="C757" s="16" t="s">
        <v>1167</v>
      </c>
      <c r="D757" s="17">
        <f>VLOOKUP(A752,'Neraca Unaudited SIMAK'!$A$2:$S$10004,5,FALSE)</f>
        <v>991206350</v>
      </c>
      <c r="E757" s="25">
        <f>SUMIFS('Daftar Koreksi'!$H$5:$H$92,'Daftar Koreksi'!$D$5:$D$92,'0600'!A752,'Daftar Koreksi'!$G$5:$G$92,"Peralatan dan mesin",'Daftar Koreksi'!$H$5:$H$92,"&gt;0")</f>
        <v>0</v>
      </c>
      <c r="F757" s="25">
        <f>SUMIFS('Daftar Koreksi'!$H$5:$H$92,'Daftar Koreksi'!$D$5:$D$92,'0600'!A752,'Daftar Koreksi'!$G$5:$G$92,"Peralatan dan mesin",'Daftar Koreksi'!$H$5:$H$92,"&lt;0")-SUMIFS('Daftar Koreksi'!$H$5:$H$92,'Daftar Koreksi'!$D$5:$D$92,'0600'!A752,'Daftar Koreksi'!$G$5:$G$92,"Peralatan dan mesin",'Daftar Koreksi'!$H$5:$H$92,"&lt;0")-SUMIFS('Daftar Koreksi'!$H$5:$H$92,'Daftar Koreksi'!$D$5:$D$92,'0600'!A752,'Daftar Koreksi'!$G$5:$G$92,"Peralatan dan mesin",'Daftar Koreksi'!$H$5:$H$92,"&lt;0")</f>
        <v>0</v>
      </c>
      <c r="G757" s="17">
        <f t="shared" si="34"/>
        <v>991206350</v>
      </c>
      <c r="H757" s="122"/>
      <c r="I757" s="28"/>
      <c r="J757" s="28"/>
    </row>
    <row r="758" spans="1:10" ht="21.95" customHeight="1">
      <c r="A758" s="14"/>
      <c r="B758" s="14"/>
      <c r="C758" s="16" t="s">
        <v>1168</v>
      </c>
      <c r="D758" s="17">
        <f>VLOOKUP(A752,'Neraca Unaudited SIMAK'!$A$2:$S$10004,6,FALSE)</f>
        <v>6431779424</v>
      </c>
      <c r="E758" s="25">
        <f>SUMIFS('Daftar Koreksi'!$H$5:$H$92,'Daftar Koreksi'!$D$5:$D$92,'0600'!A752,'Daftar Koreksi'!$G$5:$G$92,"Gedung dan Bangunan",'Daftar Koreksi'!$H$5:$H$92,"&gt;0")</f>
        <v>0</v>
      </c>
      <c r="F758" s="25">
        <f>SUMIFS('Daftar Koreksi'!$H$5:$H$92,'Daftar Koreksi'!$D$5:$D$92,'0600'!A752,'Daftar Koreksi'!$G$5:$G$92,"Gedung dan Bangunan",'Daftar Koreksi'!$H$5:$H$92,"&lt;0")-SUMIFS('Daftar Koreksi'!$H$5:$H$92,'Daftar Koreksi'!$D$5:$D$92,'0600'!A752,'Daftar Koreksi'!$G$5:$G$92,"Gedung dan Bangunan",'Daftar Koreksi'!$H$5:$H$92,"&lt;0")-SUMIFS('Daftar Koreksi'!$H$5:$H$92,'Daftar Koreksi'!$D$5:$D$92,'0600'!A752,'Daftar Koreksi'!$G$5:$G$92,"Gedung dan Bangunan",'Daftar Koreksi'!$H$5:$H$92,"&lt;0")</f>
        <v>0</v>
      </c>
      <c r="G758" s="17">
        <f t="shared" si="34"/>
        <v>6431779424</v>
      </c>
      <c r="H758" s="122"/>
      <c r="I758" s="28"/>
      <c r="J758" s="28"/>
    </row>
    <row r="759" spans="1:10" ht="21.95" customHeight="1">
      <c r="A759" s="14"/>
      <c r="B759" s="14"/>
      <c r="C759" s="16" t="s">
        <v>1169</v>
      </c>
      <c r="D759" s="17">
        <f>VLOOKUP(A752,'Neraca Unaudited SIMAK'!$A$2:$S$10004,7,FALSE)</f>
        <v>0</v>
      </c>
      <c r="E759" s="25">
        <f>SUMIFS('Daftar Koreksi'!$H$5:$H$92,'Daftar Koreksi'!$D$5:$D$92,'0600'!A752,'Daftar Koreksi'!$G$5:$G$92,"Jalan Irigasi Jaringan",'Daftar Koreksi'!$H$5:$H$92,"&gt;0")</f>
        <v>0</v>
      </c>
      <c r="F759" s="25">
        <f>SUMIFS('Daftar Koreksi'!$H$5:$H$92,'Daftar Koreksi'!$D$5:$D$92,'0600'!A752,'Daftar Koreksi'!$G$5:$G$92,"Jalan Irigasi Jaringan",'Daftar Koreksi'!$H$5:$H$92,"&lt;0")-SUMIFS('Daftar Koreksi'!$H$5:$H$92,'Daftar Koreksi'!$D$5:$D$92,'0600'!A752,'Daftar Koreksi'!$G$5:$G$92,"Jalan Irigasi Jaringan",'Daftar Koreksi'!$H$5:$H$92,"&lt;0")-SUMIFS('Daftar Koreksi'!$H$5:$H$92,'Daftar Koreksi'!$D$5:$D$92,'0600'!A752,'Daftar Koreksi'!$G$5:$G$92,"Jalan Irigasi Jaringan",'Daftar Koreksi'!$H$5:$H$92,"&lt;0")</f>
        <v>0</v>
      </c>
      <c r="G759" s="17">
        <f t="shared" si="34"/>
        <v>0</v>
      </c>
      <c r="H759" s="122"/>
      <c r="I759" s="28"/>
      <c r="J759" s="28"/>
    </row>
    <row r="760" spans="1:10" ht="21.95" customHeight="1">
      <c r="A760" s="14"/>
      <c r="B760" s="14"/>
      <c r="C760" s="16" t="s">
        <v>1170</v>
      </c>
      <c r="D760" s="17">
        <f>VLOOKUP(A752,'Neraca Unaudited SIMAK'!$A$2:$S$10004,8,FALSE)</f>
        <v>0</v>
      </c>
      <c r="E760" s="25">
        <f>SUMIFS('Daftar Koreksi'!$H$5:$H$92,'Daftar Koreksi'!$D$5:$D$92,'0600'!A752,'Daftar Koreksi'!$G$5:$G$92,"Aset Tetap Lainnya",'Daftar Koreksi'!$H$5:$H$92,"&gt;0")</f>
        <v>0</v>
      </c>
      <c r="F760" s="25">
        <f>SUMIFS('Daftar Koreksi'!$H$5:$H$92,'Daftar Koreksi'!$D$5:$D$92,'0600'!A752,'Daftar Koreksi'!$G$5:$G$92,"Aset Tetap Lainnya",'Daftar Koreksi'!$H$5:$H$92,"&lt;0")-SUMIFS('Daftar Koreksi'!$H$5:$H$92,'Daftar Koreksi'!$D$5:$D$92,'0600'!A752,'Daftar Koreksi'!$G$5:$G$92,"Aset Tetap Lainnya",'Daftar Koreksi'!$H$5:$H$92,"&lt;0")-SUMIFS('Daftar Koreksi'!$H$5:$H$92,'Daftar Koreksi'!$D$5:$D$92,'0600'!A752,'Daftar Koreksi'!$G$5:$G$92,"Aset Tetap Lainnya",'Daftar Koreksi'!$H$5:$H$92,"&lt;0")</f>
        <v>0</v>
      </c>
      <c r="G760" s="17">
        <f t="shared" si="34"/>
        <v>0</v>
      </c>
      <c r="H760" s="122"/>
      <c r="I760" s="28"/>
      <c r="J760" s="28"/>
    </row>
    <row r="761" spans="1:10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Koreksi'!$D$5:$D$92,'0600'!A752,'Daftar Koreksi'!$G$5:$G$92,"Kontruksi Dalam Pengerjaan",'Daftar Koreksi'!$H$5:$H$92,"&gt;0")</f>
        <v>0</v>
      </c>
      <c r="F761" s="25">
        <f>SUMIFS('Daftar Koreksi'!$H$5:$H$92,'Daftar Koreksi'!$D$5:$D$92,'0600'!A752,'Daftar Koreksi'!$G$5:$G$92,"Kontruksi Dalam Pengerjaan",'Daftar Koreksi'!$H$5:$H$92,"&lt;0")-SUMIFS('Daftar Koreksi'!$H$5:$H$92,'Daftar Koreksi'!$D$5:$D$92,'0600'!A752,'Daftar Koreksi'!$G$5:$G$92,"Kontruksi Dalam Pengerjaan",'Daftar Koreksi'!$H$5:$H$92,"&lt;0")-SUMIFS('Daftar Koreksi'!$H$5:$H$92,'Daftar Koreksi'!$D$5:$D$92,'0600'!A752,'Daftar Koreksi'!$G$5:$G$92,"Kontruksi Dalam Pengerjaan",'Daftar Koreksi'!$H$5:$H$92,"&lt;0")</f>
        <v>0</v>
      </c>
      <c r="G761" s="17">
        <f t="shared" si="34"/>
        <v>0</v>
      </c>
      <c r="H761" s="122"/>
      <c r="I761" s="28"/>
      <c r="J761" s="28"/>
    </row>
    <row r="762" spans="1:10" ht="21.95" customHeight="1">
      <c r="A762" s="14"/>
      <c r="B762" s="14"/>
      <c r="C762" s="16" t="s">
        <v>1172</v>
      </c>
      <c r="D762" s="17">
        <f>VLOOKUP(A752,'Neraca Unaudited SIMAK'!$A$2:$S$10004,10,FALSE)</f>
        <v>0</v>
      </c>
      <c r="E762" s="25">
        <f>SUMIFS('Daftar Koreksi'!$H$5:$H$92,'Daftar Koreksi'!$D$5:$D$92,'0600'!A752,'Daftar Koreksi'!$G$5:$G$92,"Aset Tak Berwujud",'Daftar Koreksi'!$H$5:$H$92,"&gt;0")</f>
        <v>0</v>
      </c>
      <c r="F762" s="25">
        <f>SUMIFS('Daftar Koreksi'!$H$5:$H$92,'Daftar Koreksi'!$D$5:$D$92,'0600'!A752,'Daftar Koreksi'!$G$5:$G$92,"Aset Tak Berwujud",'Daftar Koreksi'!$H$5:$H$92,"&lt;0")-SUMIFS('Daftar Koreksi'!$H$5:$H$92,'Daftar Koreksi'!$D$5:$D$92,'0600'!A752,'Daftar Koreksi'!$G$5:$G$92,"Aset Tak Berwujud",'Daftar Koreksi'!$H$5:$H$92,"&lt;0")-SUMIFS('Daftar Koreksi'!$H$5:$H$92,'Daftar Koreksi'!$D$5:$D$92,'0600'!A752,'Daftar Koreksi'!$G$5:$G$92,"Aset Tak Berwujud",'Daftar Koreksi'!$H$5:$H$92,"&lt;0")</f>
        <v>0</v>
      </c>
      <c r="G762" s="17">
        <f t="shared" si="34"/>
        <v>0</v>
      </c>
      <c r="H762" s="122"/>
      <c r="I762" s="28"/>
      <c r="J762" s="28"/>
    </row>
    <row r="763" spans="1:10" ht="21.95" customHeight="1">
      <c r="A763" s="14"/>
      <c r="B763" s="14"/>
      <c r="C763" s="16" t="s">
        <v>1173</v>
      </c>
      <c r="D763" s="17">
        <f>VLOOKUP(A752,'Neraca Unaudited SIMAK'!$A$2:$S$10004,11,FALSE)</f>
        <v>145678360</v>
      </c>
      <c r="E763" s="25">
        <f>SUMIFS('Daftar Koreksi'!$H$5:$H$92,'Daftar Koreksi'!$D$5:$D$92,'0600'!A752,'Daftar Koreksi'!$G$5:$G$92,"Aset Henti Guna",'Daftar Koreksi'!$H$5:$H$92,"&gt;0")</f>
        <v>0</v>
      </c>
      <c r="F763" s="25">
        <f>SUMIFS('Daftar Koreksi'!$H$5:$H$92,'Daftar Koreksi'!$D$5:$D$92,'0600'!A752,'Daftar Koreksi'!$G$5:$G$92,"Aset Henti Guna",'Daftar Koreksi'!$H$5:$H$92,"&lt;0")-SUMIFS('Daftar Koreksi'!$H$5:$H$92,'Daftar Koreksi'!$D$5:$D$92,'0600'!A752,'Daftar Koreksi'!$G$5:$G$92,"Aset Henti Guna",'Daftar Koreksi'!$H$5:$H$92,"&lt;0")-SUMIFS('Daftar Koreksi'!$H$5:$H$92,'Daftar Koreksi'!$D$5:$D$92,'0600'!A752,'Daftar Koreksi'!$G$5:$G$92,"Aset Henti Guna",'Daftar Koreksi'!$H$5:$H$92,"&lt;0")</f>
        <v>0</v>
      </c>
      <c r="G763" s="17">
        <f t="shared" si="34"/>
        <v>145678360</v>
      </c>
      <c r="H763" s="122"/>
      <c r="I763" s="28"/>
      <c r="J763" s="28"/>
    </row>
    <row r="764" spans="1:10" ht="21.95" customHeight="1">
      <c r="A764" s="14"/>
      <c r="B764" s="14"/>
      <c r="C764" s="18" t="s">
        <v>2093</v>
      </c>
      <c r="D764" s="19">
        <f>VLOOKUP(A752,'Neraca Unaudited SIMAK'!$A$2:$S$10004,12,FALSE)</f>
        <v>8935609134</v>
      </c>
      <c r="E764" s="19">
        <f>SUM(E755:E763)</f>
        <v>0</v>
      </c>
      <c r="F764" s="19">
        <f>SUM(F755:F763)</f>
        <v>0</v>
      </c>
      <c r="G764" s="19">
        <f t="shared" si="34"/>
        <v>8935609134</v>
      </c>
      <c r="H764" s="122"/>
      <c r="I764" s="28"/>
      <c r="J764" s="28"/>
    </row>
    <row r="765" spans="1:10" ht="21.95" customHeight="1">
      <c r="A765" s="14"/>
      <c r="B765" s="14"/>
      <c r="C765" s="16" t="s">
        <v>2087</v>
      </c>
      <c r="D765" s="17">
        <f>VLOOKUP(A752,'Neraca Unaudited SIMAK'!$A$2:$S$10004,13,FALSE)</f>
        <v>-865618850</v>
      </c>
      <c r="E765" s="25">
        <f>SUMIFS('Daftar Koreksi'!$I$5:$I$92,'Daftar Koreksi'!$D$5:$D$92,'0600'!A752,'Daftar Koreksi'!$G$5:$G$92,"Peralatan dan mesin",'Daftar Koreksi'!$I$5:$I$92,"&gt;0")</f>
        <v>0</v>
      </c>
      <c r="F765" s="25">
        <f>SUMIFS('Daftar Koreksi'!$I$5:$I$92,'Daftar Koreksi'!$D$5:$D$92,'0600'!A752,'Daftar Koreksi'!$G$5:$G$92,"Peralatan dan mesin",'Daftar Koreksi'!$I$5:$I$92,"&lt;0")-SUMIFS('Daftar Koreksi'!$I$5:$I$92,'Daftar Koreksi'!$D$5:$D$92,'0600'!A752,'Daftar Koreksi'!$G$5:$G$92,"Peralatan dan mesin",'Daftar Koreksi'!$I$5:$I$92,"&lt;0")-SUMIFS('Daftar Koreksi'!$I$5:$I$92,'Daftar Koreksi'!$D$5:$D$92,'0600'!A752,'Daftar Koreksi'!$G$5:$G$92,"Peralatan dan mesin",'Daftar Koreksi'!$I$5:$I$92,"&lt;0")</f>
        <v>0</v>
      </c>
      <c r="G765" s="17">
        <f t="shared" si="34"/>
        <v>-865618850</v>
      </c>
      <c r="H765" s="122"/>
      <c r="I765" s="28"/>
      <c r="J765" s="28"/>
    </row>
    <row r="766" spans="1:10" ht="21.95" customHeight="1">
      <c r="A766" s="14"/>
      <c r="B766" s="14"/>
      <c r="C766" s="16" t="s">
        <v>2088</v>
      </c>
      <c r="D766" s="17">
        <f>VLOOKUP(A752,'Neraca Unaudited SIMAK'!$A$2:$S$10004,14,FALSE)</f>
        <v>-597192545</v>
      </c>
      <c r="E766" s="25">
        <f>SUMIFS('Daftar Koreksi'!$I$5:$I$92,'Daftar Koreksi'!$D$5:$D$92,'0600'!A752,'Daftar Koreksi'!$G$5:$G$92,"Gedung dan Bangunan",'Daftar Koreksi'!$I$5:$I$92,"&gt;0")</f>
        <v>0</v>
      </c>
      <c r="F766" s="25">
        <f>SUMIFS('Daftar Koreksi'!$I$5:$I$92,'Daftar Koreksi'!$D$5:$D$92,'0600'!A752,'Daftar Koreksi'!$G$5:$G$92,"Gedung dan Bangunan",'Daftar Koreksi'!$I$5:$I$92,"&lt;0")-SUMIFS('Daftar Koreksi'!$I$5:$I$92,'Daftar Koreksi'!$D$5:$D$92,'0600'!A752,'Daftar Koreksi'!$G$5:$G$92,"Gedung dan Bangunan",'Daftar Koreksi'!$I$5:$I$92,"&lt;0")-SUMIFS('Daftar Koreksi'!$I$5:$I$92,'Daftar Koreksi'!$D$5:$D$92,'0600'!A752,'Daftar Koreksi'!$G$5:$G$92,"Gedung dan Bangunan",'Daftar Koreksi'!$I$5:$I$92,"&lt;0")</f>
        <v>0</v>
      </c>
      <c r="G766" s="17">
        <f t="shared" si="34"/>
        <v>-597192545</v>
      </c>
      <c r="H766" s="122"/>
      <c r="I766" s="28"/>
      <c r="J766" s="28"/>
    </row>
    <row r="767" spans="1:10" ht="21.95" customHeight="1">
      <c r="A767" s="14"/>
      <c r="B767" s="14"/>
      <c r="C767" s="16" t="s">
        <v>2089</v>
      </c>
      <c r="D767" s="17">
        <f>VLOOKUP(A752,'Neraca Unaudited SIMAK'!$A$2:$S$10004,15,FALSE)</f>
        <v>0</v>
      </c>
      <c r="E767" s="25">
        <f>SUMIFS('Daftar Koreksi'!$I$5:$I$92,'Daftar Koreksi'!$D$5:$D$92,'0600'!A752,'Daftar Koreksi'!$G$5:$G$92,"Jalan Irigasi Jaringan",'Daftar Koreksi'!$I$5:$I$92,"&gt;0")</f>
        <v>0</v>
      </c>
      <c r="F767" s="25">
        <f>SUMIFS('Daftar Koreksi'!$I$5:$I$92,'Daftar Koreksi'!$D$5:$D$92,'0600'!A752,'Daftar Koreksi'!$G$5:$G$92,"Jalan Irigasi Jaringan",'Daftar Koreksi'!$I$5:$I$92,"&lt;0")-SUMIFS('Daftar Koreksi'!$I$5:$I$92,'Daftar Koreksi'!$D$5:$D$92,'0600'!A752,'Daftar Koreksi'!$G$5:$G$92,"Jalan Irigasi Jaringan",'Daftar Koreksi'!$I$5:$I$92,"&lt;0")-SUMIFS('Daftar Koreksi'!$I$5:$I$92,'Daftar Koreksi'!$D$5:$D$92,'0600'!A752,'Daftar Koreksi'!$G$5:$G$92,"Jalan Irigasi Jaringan",'Daftar Koreksi'!$I$5:$I$92,"&lt;0")</f>
        <v>0</v>
      </c>
      <c r="G767" s="17">
        <f t="shared" si="34"/>
        <v>0</v>
      </c>
      <c r="H767" s="122"/>
      <c r="I767" s="28"/>
      <c r="J767" s="28"/>
    </row>
    <row r="768" spans="1:10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Koreksi'!$D$5:$D$92,'0600'!A752,'Daftar Koreksi'!$G$5:$G$92,"Aset Tetap Lainnya",'Daftar Koreksi'!$I$5:$I$92,"&gt;0")</f>
        <v>0</v>
      </c>
      <c r="F768" s="25">
        <f>SUMIFS('Daftar Koreksi'!$I$5:$I$92,'Daftar Koreksi'!$D$5:$D$92,'0600'!A752,'Daftar Koreksi'!$G$5:$G$92,"Aset Tetap Lainnya",'Daftar Koreksi'!$I$5:$I$92,"&lt;0")-SUMIFS('Daftar Koreksi'!$I$5:$I$92,'Daftar Koreksi'!$D$5:$D$92,'0600'!A752,'Daftar Koreksi'!$G$5:$G$92,"Aset Tetap Lainnya",'Daftar Koreksi'!$I$5:$I$92,"&lt;0")-SUMIFS('Daftar Koreksi'!$I$5:$I$92,'Daftar Koreksi'!$D$5:$D$92,'0600'!A752,'Daftar Koreksi'!$G$5:$G$92,"Aset Tetap Lainnya",'Daftar Koreksi'!$I$5:$I$92,"&lt;0")</f>
        <v>0</v>
      </c>
      <c r="G768" s="17">
        <f t="shared" si="34"/>
        <v>0</v>
      </c>
      <c r="H768" s="122"/>
      <c r="I768" s="28"/>
      <c r="J768" s="28"/>
    </row>
    <row r="769" spans="1:10" ht="21.95" customHeight="1">
      <c r="A769" s="14"/>
      <c r="B769" s="14"/>
      <c r="C769" s="16" t="s">
        <v>2020</v>
      </c>
      <c r="D769" s="17">
        <f>VLOOKUP(A752,'Neraca Unaudited SIMAK'!$A$2:$S$10004,17,FALSE)</f>
        <v>-145678360</v>
      </c>
      <c r="E769" s="25">
        <f>SUMIFS('Daftar Koreksi'!$I$5:$I$92,'Daftar Koreksi'!$D$5:$D$92,'0600'!A752,'Daftar Koreksi'!$G$5:$G$92,"Aset Henti Guna",'Daftar Koreksi'!$I$5:$I$92,"&gt;0")</f>
        <v>0</v>
      </c>
      <c r="F769" s="25">
        <f>SUMIFS('Daftar Koreksi'!$I$5:$I$92,'Daftar Koreksi'!$D$5:$D$92,'0600'!A752,'Daftar Koreksi'!$G$5:$G$92,"Aset Henti Guna",'Daftar Koreksi'!$I$5:$I$92,"&lt;0")-SUMIFS('Daftar Koreksi'!$I$5:$I$92,'Daftar Koreksi'!$D$5:$D$92,'0600'!A752,'Daftar Koreksi'!$G$5:$G$92,"Aset Henti Guna",'Daftar Koreksi'!$I$5:$I$92,"&lt;0")-SUMIFS('Daftar Koreksi'!$I$5:$I$92,'Daftar Koreksi'!$D$5:$D$92,'0600'!A752,'Daftar Koreksi'!$G$5:$G$92,"Aset Henti Guna",'Daftar Koreksi'!$I$5:$I$92,"&lt;0")</f>
        <v>0</v>
      </c>
      <c r="G769" s="17">
        <f t="shared" si="34"/>
        <v>-145678360</v>
      </c>
      <c r="H769" s="122"/>
      <c r="I769" s="28"/>
      <c r="J769" s="28"/>
    </row>
    <row r="770" spans="1:10" ht="21.95" customHeight="1">
      <c r="A770" s="14"/>
      <c r="B770" s="14"/>
      <c r="C770" s="18" t="s">
        <v>2094</v>
      </c>
      <c r="D770" s="19">
        <f>SUM(D765:D769)</f>
        <v>-1608489755</v>
      </c>
      <c r="E770" s="19">
        <f>SUM(E765:E769)</f>
        <v>0</v>
      </c>
      <c r="F770" s="19">
        <f>SUM(F765:F769)</f>
        <v>0</v>
      </c>
      <c r="G770" s="19">
        <f t="shared" si="34"/>
        <v>-1608489755</v>
      </c>
      <c r="H770" s="122"/>
      <c r="I770" s="28"/>
      <c r="J770" s="28"/>
    </row>
    <row r="771" spans="1:10" ht="21.95" customHeight="1">
      <c r="A771" s="14"/>
      <c r="B771" s="14"/>
      <c r="C771" s="18" t="s">
        <v>2095</v>
      </c>
      <c r="D771" s="19">
        <f>VLOOKUP(A752,'Neraca Unaudited SIMAK'!$A$2:$S$10004,18,FALSE)</f>
        <v>7327119379</v>
      </c>
      <c r="E771" s="19">
        <f>E770+E764</f>
        <v>0</v>
      </c>
      <c r="F771" s="19">
        <f>F770+F764</f>
        <v>0</v>
      </c>
      <c r="G771" s="19">
        <f t="shared" si="34"/>
        <v>7327119379</v>
      </c>
      <c r="H771" s="122"/>
      <c r="I771" s="28"/>
      <c r="J771" s="28"/>
    </row>
    <row r="772" spans="1:10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  <c r="I772" s="28"/>
      <c r="J772" s="28"/>
    </row>
    <row r="774" spans="1:10" ht="19.5" customHeight="1">
      <c r="A774" s="11" t="str">
        <f>O36</f>
        <v>005010600401746000KD</v>
      </c>
      <c r="B774" s="11" t="str">
        <f>P36</f>
        <v>Mahkamah Syar'iyah Calang</v>
      </c>
      <c r="C774" s="12" t="str">
        <f>A774&amp;" "&amp;B774</f>
        <v>005010600401746000KD Mahkamah Syar'iyah Calang</v>
      </c>
      <c r="D774" s="13"/>
      <c r="E774" s="13"/>
      <c r="F774" s="13"/>
      <c r="G774" s="13"/>
      <c r="H774" s="11"/>
    </row>
    <row r="775" spans="1:10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10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10" ht="21.95" customHeight="1">
      <c r="A777" s="14"/>
      <c r="B777" s="14"/>
      <c r="C777" s="16" t="s">
        <v>1165</v>
      </c>
      <c r="D777" s="17">
        <f>VLOOKUP(A774,'Neraca Unaudited SIMAK'!$A$2:$S$10004,3,FALSE)</f>
        <v>626100</v>
      </c>
      <c r="E777" s="25">
        <f>SUMIFS('Daftar Koreksi'!$H$5:$H$92,'Daftar Koreksi'!$D$5:$D$92,'0600'!A774,'Daftar Koreksi'!$G$5:$G$92,"Persediaan",'Daftar Koreksi'!$H$5:$H$92,"&gt;0")</f>
        <v>0</v>
      </c>
      <c r="F777" s="25">
        <f>SUMIFS('Daftar Koreksi'!$H$5:$H$92,'Daftar Koreksi'!$D$5:$D$92,'0600'!A774,'Daftar Koreksi'!$G$5:$G$92,"Persediaan",'Daftar Koreksi'!$H$5:$H$92,"&lt;0")-SUMIFS('Daftar Koreksi'!$H$5:$H$92,'Daftar Koreksi'!$D$5:$D$92,'0600'!A774,'Daftar Koreksi'!$G$5:$G$92,"Persediaan",'Daftar Koreksi'!$H$5:$H$92,"&lt;0")-SUMIFS('Daftar Koreksi'!$H$5:$H$92,'Daftar Koreksi'!$D$5:$D$92,'0600'!A774,'Daftar Koreksi'!$G$5:$G$92,"Persediaan",'Daftar Koreksi'!$H$5:$H$92,"&lt;0")</f>
        <v>0</v>
      </c>
      <c r="G777" s="17">
        <f>D777+E777-F777</f>
        <v>626100</v>
      </c>
      <c r="H777" s="121" t="str">
        <f>IF(ISNA(VLOOKUP(A774,'Mutasi Neraca'!$A$3:$S$914,19,FALSE)),"-",VLOOKUP(A774,'Mutasi Neraca'!$A$3:$S$914,19,FALSE))</f>
        <v>-</v>
      </c>
    </row>
    <row r="778" spans="1:10" ht="21.95" customHeight="1">
      <c r="A778" s="14"/>
      <c r="B778" s="14"/>
      <c r="C778" s="16" t="s">
        <v>1166</v>
      </c>
      <c r="D778" s="17">
        <f>VLOOKUP(A774,'Neraca Unaudited SIMAK'!$A$2:$S$10004,4,FALSE)</f>
        <v>397750000</v>
      </c>
      <c r="E778" s="25">
        <f>SUMIFS('Daftar Koreksi'!$H$5:$H$92,'Daftar Koreksi'!$D$5:$D$92,'0600'!A774,'Daftar Koreksi'!$G$5:$G$92,"Tanah",'Daftar Koreksi'!$H$5:$H$92,"&gt;0")</f>
        <v>0</v>
      </c>
      <c r="F778" s="25">
        <f>SUMIFS('Daftar Koreksi'!$H$5:$H$92,'Daftar Koreksi'!$D$5:$D$92,'0600'!A774,'Daftar Koreksi'!$G$5:$G$92,"Tanah",'Daftar Koreksi'!$H$5:$H$92,"&lt;0")-SUMIFS('Daftar Koreksi'!$H$5:$H$92,'Daftar Koreksi'!$D$5:$D$92,'0600'!A774,'Daftar Koreksi'!$G$5:$G$92,"Tanah",'Daftar Koreksi'!$H$5:$H$92,"&lt;0")-SUMIFS('Daftar Koreksi'!$H$5:$H$92,'Daftar Koreksi'!$D$5:$D$92,'0600'!A774,'Daftar Koreksi'!$G$5:$G$92,"Tanah",'Daftar Koreksi'!$H$5:$H$92,"&lt;0")</f>
        <v>0</v>
      </c>
      <c r="G778" s="17">
        <f t="shared" ref="G778:G794" si="35">D778+E778-F778</f>
        <v>397750000</v>
      </c>
      <c r="H778" s="122"/>
    </row>
    <row r="779" spans="1:10" ht="21.95" customHeight="1">
      <c r="A779" s="14"/>
      <c r="B779" s="14"/>
      <c r="C779" s="16" t="s">
        <v>1167</v>
      </c>
      <c r="D779" s="17">
        <f>VLOOKUP(A774,'Neraca Unaudited SIMAK'!$A$2:$S$10004,5,FALSE)</f>
        <v>1325884528</v>
      </c>
      <c r="E779" s="25">
        <f>SUMIFS('Daftar Koreksi'!$H$5:$H$92,'Daftar Koreksi'!$D$5:$D$92,'0600'!A774,'Daftar Koreksi'!$G$5:$G$92,"Peralatan dan mesin",'Daftar Koreksi'!$H$5:$H$92,"&gt;0")</f>
        <v>0</v>
      </c>
      <c r="F779" s="25">
        <f>SUMIFS('Daftar Koreksi'!$H$5:$H$92,'Daftar Koreksi'!$D$5:$D$92,'0600'!A774,'Daftar Koreksi'!$G$5:$G$92,"Peralatan dan mesin",'Daftar Koreksi'!$H$5:$H$92,"&lt;0")-SUMIFS('Daftar Koreksi'!$H$5:$H$92,'Daftar Koreksi'!$D$5:$D$92,'0600'!A774,'Daftar Koreksi'!$G$5:$G$92,"Peralatan dan mesin",'Daftar Koreksi'!$H$5:$H$92,"&lt;0")-SUMIFS('Daftar Koreksi'!$H$5:$H$92,'Daftar Koreksi'!$D$5:$D$92,'0600'!A774,'Daftar Koreksi'!$G$5:$G$92,"Peralatan dan mesin",'Daftar Koreksi'!$H$5:$H$92,"&lt;0")</f>
        <v>0</v>
      </c>
      <c r="G779" s="17">
        <f t="shared" si="35"/>
        <v>1325884528</v>
      </c>
      <c r="H779" s="122"/>
    </row>
    <row r="780" spans="1:10" ht="21.95" customHeight="1">
      <c r="A780" s="14"/>
      <c r="B780" s="14"/>
      <c r="C780" s="16" t="s">
        <v>1168</v>
      </c>
      <c r="D780" s="17">
        <f>VLOOKUP(A774,'Neraca Unaudited SIMAK'!$A$2:$S$10004,6,FALSE)</f>
        <v>1574730000</v>
      </c>
      <c r="E780" s="25">
        <f>SUMIFS('Daftar Koreksi'!$H$5:$H$92,'Daftar Koreksi'!$D$5:$D$92,'0600'!A774,'Daftar Koreksi'!$G$5:$G$92,"Gedung dan Bangunan",'Daftar Koreksi'!$H$5:$H$92,"&gt;0")</f>
        <v>0</v>
      </c>
      <c r="F780" s="25">
        <f>SUMIFS('Daftar Koreksi'!$H$5:$H$92,'Daftar Koreksi'!$D$5:$D$92,'0600'!A774,'Daftar Koreksi'!$G$5:$G$92,"Gedung dan Bangunan",'Daftar Koreksi'!$H$5:$H$92,"&lt;0")-SUMIFS('Daftar Koreksi'!$H$5:$H$92,'Daftar Koreksi'!$D$5:$D$92,'0600'!A774,'Daftar Koreksi'!$G$5:$G$92,"Gedung dan Bangunan",'Daftar Koreksi'!$H$5:$H$92,"&lt;0")-SUMIFS('Daftar Koreksi'!$H$5:$H$92,'Daftar Koreksi'!$D$5:$D$92,'0600'!A774,'Daftar Koreksi'!$G$5:$G$92,"Gedung dan Bangunan",'Daftar Koreksi'!$H$5:$H$92,"&lt;0")</f>
        <v>0</v>
      </c>
      <c r="G780" s="17">
        <f t="shared" si="35"/>
        <v>1574730000</v>
      </c>
      <c r="H780" s="122"/>
    </row>
    <row r="781" spans="1:10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Koreksi'!$D$5:$D$92,'0600'!A774,'Daftar Koreksi'!$G$5:$G$92,"Jalan Irigasi Jaringan",'Daftar Koreksi'!$H$5:$H$92,"&gt;0")</f>
        <v>0</v>
      </c>
      <c r="F781" s="25">
        <f>SUMIFS('Daftar Koreksi'!$H$5:$H$92,'Daftar Koreksi'!$D$5:$D$92,'0600'!A774,'Daftar Koreksi'!$G$5:$G$92,"Jalan Irigasi Jaringan",'Daftar Koreksi'!$H$5:$H$92,"&lt;0")-SUMIFS('Daftar Koreksi'!$H$5:$H$92,'Daftar Koreksi'!$D$5:$D$92,'0600'!A774,'Daftar Koreksi'!$G$5:$G$92,"Jalan Irigasi Jaringan",'Daftar Koreksi'!$H$5:$H$92,"&lt;0")-SUMIFS('Daftar Koreksi'!$H$5:$H$92,'Daftar Koreksi'!$D$5:$D$92,'0600'!A774,'Daftar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10" ht="21.95" customHeight="1">
      <c r="A782" s="14"/>
      <c r="B782" s="14"/>
      <c r="C782" s="16" t="s">
        <v>1170</v>
      </c>
      <c r="D782" s="17">
        <f>VLOOKUP(A774,'Neraca Unaudited SIMAK'!$A$2:$S$10004,8,FALSE)</f>
        <v>200000</v>
      </c>
      <c r="E782" s="25">
        <f>SUMIFS('Daftar Koreksi'!$H$5:$H$92,'Daftar Koreksi'!$D$5:$D$92,'0600'!A774,'Daftar Koreksi'!$G$5:$G$92,"Aset Tetap Lainnya",'Daftar Koreksi'!$H$5:$H$92,"&gt;0")</f>
        <v>0</v>
      </c>
      <c r="F782" s="25">
        <f>SUMIFS('Daftar Koreksi'!$H$5:$H$92,'Daftar Koreksi'!$D$5:$D$92,'0600'!A774,'Daftar Koreksi'!$G$5:$G$92,"Aset Tetap Lainnya",'Daftar Koreksi'!$H$5:$H$92,"&lt;0")-SUMIFS('Daftar Koreksi'!$H$5:$H$92,'Daftar Koreksi'!$D$5:$D$92,'0600'!A774,'Daftar Koreksi'!$G$5:$G$92,"Aset Tetap Lainnya",'Daftar Koreksi'!$H$5:$H$92,"&lt;0")-SUMIFS('Daftar Koreksi'!$H$5:$H$92,'Daftar Koreksi'!$D$5:$D$92,'0600'!A774,'Daftar Koreksi'!$G$5:$G$92,"Aset Tetap Lainnya",'Daftar Koreksi'!$H$5:$H$92,"&lt;0")</f>
        <v>0</v>
      </c>
      <c r="G782" s="17">
        <f t="shared" si="35"/>
        <v>200000</v>
      </c>
      <c r="H782" s="122"/>
    </row>
    <row r="783" spans="1:10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Koreksi'!$D$5:$D$92,'0600'!A774,'Daftar Koreksi'!$G$5:$G$92,"Kontruksi Dalam Pengerjaan",'Daftar Koreksi'!$H$5:$H$92,"&gt;0")</f>
        <v>0</v>
      </c>
      <c r="F783" s="25">
        <f>SUMIFS('Daftar Koreksi'!$H$5:$H$92,'Daftar Koreksi'!$D$5:$D$92,'0600'!A774,'Daftar Koreksi'!$G$5:$G$92,"Kontruksi Dalam Pengerjaan",'Daftar Koreksi'!$H$5:$H$92,"&lt;0")-SUMIFS('Daftar Koreksi'!$H$5:$H$92,'Daftar Koreksi'!$D$5:$D$92,'0600'!A774,'Daftar Koreksi'!$G$5:$G$92,"Kontruksi Dalam Pengerjaan",'Daftar Koreksi'!$H$5:$H$92,"&lt;0")-SUMIFS('Daftar Koreksi'!$H$5:$H$92,'Daftar Koreksi'!$D$5:$D$92,'0600'!A774,'Daftar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10" ht="21.95" customHeight="1">
      <c r="A784" s="14"/>
      <c r="B784" s="14"/>
      <c r="C784" s="16" t="s">
        <v>1172</v>
      </c>
      <c r="D784" s="17">
        <f>VLOOKUP(A774,'Neraca Unaudited SIMAK'!$A$2:$S$10004,10,FALSE)</f>
        <v>0</v>
      </c>
      <c r="E784" s="25">
        <f>SUMIFS('Daftar Koreksi'!$H$5:$H$92,'Daftar Koreksi'!$D$5:$D$92,'0600'!A774,'Daftar Koreksi'!$G$5:$G$92,"Aset Tak Berwujud",'Daftar Koreksi'!$H$5:$H$92,"&gt;0")</f>
        <v>0</v>
      </c>
      <c r="F784" s="25">
        <f>SUMIFS('Daftar Koreksi'!$H$5:$H$92,'Daftar Koreksi'!$D$5:$D$92,'0600'!A774,'Daftar Koreksi'!$G$5:$G$92,"Aset Tak Berwujud",'Daftar Koreksi'!$H$5:$H$92,"&lt;0")-SUMIFS('Daftar Koreksi'!$H$5:$H$92,'Daftar Koreksi'!$D$5:$D$92,'0600'!A774,'Daftar Koreksi'!$G$5:$G$92,"Aset Tak Berwujud",'Daftar Koreksi'!$H$5:$H$92,"&lt;0")-SUMIFS('Daftar Koreksi'!$H$5:$H$92,'Daftar Koreksi'!$D$5:$D$92,'0600'!A774,'Daftar Koreksi'!$G$5:$G$92,"Aset Tak Berwujud",'Daftar Koreksi'!$H$5:$H$92,"&lt;0")</f>
        <v>0</v>
      </c>
      <c r="G784" s="17">
        <f t="shared" si="35"/>
        <v>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0</v>
      </c>
      <c r="E785" s="25">
        <f>SUMIFS('Daftar Koreksi'!$H$5:$H$92,'Daftar Koreksi'!$D$5:$D$92,'0600'!A774,'Daftar Koreksi'!$G$5:$G$92,"Aset Henti Guna",'Daftar Koreksi'!$H$5:$H$92,"&gt;0")</f>
        <v>0</v>
      </c>
      <c r="F785" s="25">
        <f>SUMIFS('Daftar Koreksi'!$H$5:$H$92,'Daftar Koreksi'!$D$5:$D$92,'0600'!A774,'Daftar Koreksi'!$G$5:$G$92,"Aset Henti Guna",'Daftar Koreksi'!$H$5:$H$92,"&lt;0")-SUMIFS('Daftar Koreksi'!$H$5:$H$92,'Daftar Koreksi'!$D$5:$D$92,'0600'!A774,'Daftar Koreksi'!$G$5:$G$92,"Aset Henti Guna",'Daftar Koreksi'!$H$5:$H$92,"&lt;0")-SUMIFS('Daftar Koreksi'!$H$5:$H$92,'Daftar Koreksi'!$D$5:$D$92,'0600'!A774,'Daftar Koreksi'!$G$5:$G$92,"Aset Henti Guna",'Daftar Koreksi'!$H$5:$H$92,"&lt;0")</f>
        <v>0</v>
      </c>
      <c r="G785" s="17">
        <f t="shared" si="35"/>
        <v>0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3299190628</v>
      </c>
      <c r="E786" s="19">
        <f>SUM(E777:E785)</f>
        <v>0</v>
      </c>
      <c r="F786" s="19">
        <f>SUM(F777:F785)</f>
        <v>0</v>
      </c>
      <c r="G786" s="19">
        <f t="shared" si="35"/>
        <v>3299190628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-1195803792</v>
      </c>
      <c r="E787" s="25">
        <f>SUMIFS('Daftar Koreksi'!$I$5:$I$92,'Daftar Koreksi'!$D$5:$D$92,'0600'!A774,'Daftar Koreksi'!$G$5:$G$92,"Peralatan dan mesin",'Daftar Koreksi'!$I$5:$I$92,"&gt;0")</f>
        <v>0</v>
      </c>
      <c r="F787" s="25">
        <f>SUMIFS('Daftar Koreksi'!$I$5:$I$92,'Daftar Koreksi'!$D$5:$D$92,'0600'!A774,'Daftar Koreksi'!$G$5:$G$92,"Peralatan dan mesin",'Daftar Koreksi'!$I$5:$I$92,"&lt;0")-SUMIFS('Daftar Koreksi'!$I$5:$I$92,'Daftar Koreksi'!$D$5:$D$92,'0600'!A774,'Daftar Koreksi'!$G$5:$G$92,"Peralatan dan mesin",'Daftar Koreksi'!$I$5:$I$92,"&lt;0")-SUMIFS('Daftar Koreksi'!$I$5:$I$92,'Daftar Koreksi'!$D$5:$D$92,'0600'!A774,'Daftar Koreksi'!$G$5:$G$92,"Peralatan dan mesin",'Daftar Koreksi'!$I$5:$I$92,"&lt;0")</f>
        <v>0</v>
      </c>
      <c r="G787" s="17">
        <f t="shared" si="35"/>
        <v>-1195803792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-296260080</v>
      </c>
      <c r="E788" s="25">
        <f>SUMIFS('Daftar Koreksi'!$I$5:$I$92,'Daftar Koreksi'!$D$5:$D$92,'0600'!A774,'Daftar Koreksi'!$G$5:$G$92,"Gedung dan Bangunan",'Daftar Koreksi'!$I$5:$I$92,"&gt;0")</f>
        <v>0</v>
      </c>
      <c r="F788" s="25">
        <f>SUMIFS('Daftar Koreksi'!$I$5:$I$92,'Daftar Koreksi'!$D$5:$D$92,'0600'!A774,'Daftar Koreksi'!$G$5:$G$92,"Gedung dan Bangunan",'Daftar Koreksi'!$I$5:$I$92,"&lt;0")-SUMIFS('Daftar Koreksi'!$I$5:$I$92,'Daftar Koreksi'!$D$5:$D$92,'0600'!A774,'Daftar Koreksi'!$G$5:$G$92,"Gedung dan Bangunan",'Daftar Koreksi'!$I$5:$I$92,"&lt;0")-SUMIFS('Daftar Koreksi'!$I$5:$I$92,'Daftar Koreksi'!$D$5:$D$92,'0600'!A774,'Daftar Koreksi'!$G$5:$G$92,"Gedung dan Bangunan",'Daftar Koreksi'!$I$5:$I$92,"&lt;0")</f>
        <v>0</v>
      </c>
      <c r="G788" s="17">
        <f t="shared" si="35"/>
        <v>-296260080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Koreksi'!$D$5:$D$92,'0600'!A774,'Daftar Koreksi'!$G$5:$G$92,"Jalan Irigasi Jaringan",'Daftar Koreksi'!$I$5:$I$92,"&gt;0")</f>
        <v>0</v>
      </c>
      <c r="F789" s="25">
        <f>SUMIFS('Daftar Koreksi'!$I$5:$I$92,'Daftar Koreksi'!$D$5:$D$92,'0600'!A774,'Daftar Koreksi'!$G$5:$G$92,"Jalan Irigasi Jaringan",'Daftar Koreksi'!$I$5:$I$92,"&lt;0")-SUMIFS('Daftar Koreksi'!$I$5:$I$92,'Daftar Koreksi'!$D$5:$D$92,'0600'!A774,'Daftar Koreksi'!$G$5:$G$92,"Jalan Irigasi Jaringan",'Daftar Koreksi'!$I$5:$I$92,"&lt;0")-SUMIFS('Daftar Koreksi'!$I$5:$I$92,'Daftar Koreksi'!$D$5:$D$92,'0600'!A774,'Daftar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Koreksi'!$D$5:$D$92,'0600'!A774,'Daftar Koreksi'!$G$5:$G$92,"Aset Tetap Lainnya",'Daftar Koreksi'!$I$5:$I$92,"&gt;0")</f>
        <v>0</v>
      </c>
      <c r="F790" s="25">
        <f>SUMIFS('Daftar Koreksi'!$I$5:$I$92,'Daftar Koreksi'!$D$5:$D$92,'0600'!A774,'Daftar Koreksi'!$G$5:$G$92,"Aset Tetap Lainnya",'Daftar Koreksi'!$I$5:$I$92,"&lt;0")-SUMIFS('Daftar Koreksi'!$I$5:$I$92,'Daftar Koreksi'!$D$5:$D$92,'0600'!A774,'Daftar Koreksi'!$G$5:$G$92,"Aset Tetap Lainnya",'Daftar Koreksi'!$I$5:$I$92,"&lt;0")-SUMIFS('Daftar Koreksi'!$I$5:$I$92,'Daftar Koreksi'!$D$5:$D$92,'0600'!A774,'Daftar Koreksi'!$G$5:$G$92,"Aset Tetap Lainnya",'Daftar Koreksi'!$I$5:$I$92,"&lt;0")</f>
        <v>0</v>
      </c>
      <c r="G790" s="17">
        <f t="shared" si="35"/>
        <v>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0</v>
      </c>
      <c r="E791" s="25">
        <f>SUMIFS('Daftar Koreksi'!$I$5:$I$92,'Daftar Koreksi'!$D$5:$D$92,'0600'!A774,'Daftar Koreksi'!$G$5:$G$92,"Aset Henti Guna",'Daftar Koreksi'!$I$5:$I$92,"&gt;0")</f>
        <v>0</v>
      </c>
      <c r="F791" s="25">
        <f>SUMIFS('Daftar Koreksi'!$I$5:$I$92,'Daftar Koreksi'!$D$5:$D$92,'0600'!A774,'Daftar Koreksi'!$G$5:$G$92,"Aset Henti Guna",'Daftar Koreksi'!$I$5:$I$92,"&lt;0")-SUMIFS('Daftar Koreksi'!$I$5:$I$92,'Daftar Koreksi'!$D$5:$D$92,'0600'!A774,'Daftar Koreksi'!$G$5:$G$92,"Aset Henti Guna",'Daftar Koreksi'!$I$5:$I$92,"&lt;0")-SUMIFS('Daftar Koreksi'!$I$5:$I$92,'Daftar Koreksi'!$D$5:$D$92,'0600'!A774,'Daftar Koreksi'!$G$5:$G$92,"Aset Henti Guna",'Daftar Koreksi'!$I$5:$I$92,"&lt;0")</f>
        <v>0</v>
      </c>
      <c r="G791" s="17">
        <f t="shared" si="35"/>
        <v>0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-1492063872</v>
      </c>
      <c r="E792" s="19">
        <f>SUM(E787:E791)</f>
        <v>0</v>
      </c>
      <c r="F792" s="19">
        <f>SUM(F787:F791)</f>
        <v>0</v>
      </c>
      <c r="G792" s="19">
        <f t="shared" si="35"/>
        <v>-1492063872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1807126756</v>
      </c>
      <c r="E793" s="19">
        <f>E792+E786</f>
        <v>0</v>
      </c>
      <c r="F793" s="19">
        <f>F792+F786</f>
        <v>0</v>
      </c>
      <c r="G793" s="19">
        <f t="shared" si="35"/>
        <v>1807126756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8" ht="19.5" customHeight="1">
      <c r="A796" s="11" t="str">
        <f>O37</f>
        <v>005010600401752000KD</v>
      </c>
      <c r="B796" s="11" t="str">
        <f>P37</f>
        <v>Mahkamah Syar'iyah Singkil</v>
      </c>
      <c r="C796" s="12" t="str">
        <f>A796&amp;" "&amp;B796</f>
        <v>005010600401752000KD Mahkamah Syar'iyah Singkil</v>
      </c>
      <c r="D796" s="13"/>
      <c r="E796" s="13"/>
      <c r="F796" s="13"/>
      <c r="G796" s="13"/>
      <c r="H796" s="11"/>
    </row>
    <row r="797" spans="1:8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8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8" ht="21.95" customHeight="1">
      <c r="A799" s="14"/>
      <c r="B799" s="14"/>
      <c r="C799" s="16" t="s">
        <v>1165</v>
      </c>
      <c r="D799" s="17">
        <f>VLOOKUP(A796,'Neraca Unaudited SIMAK'!$A$2:$S$10004,3,FALSE)</f>
        <v>98000</v>
      </c>
      <c r="E799" s="25">
        <f>SUMIFS('Daftar Koreksi'!$H$5:$H$92,'Daftar Koreksi'!$D$5:$D$92,'0600'!A796,'Daftar Koreksi'!$G$5:$G$92,"Persediaan",'Daftar Koreksi'!$H$5:$H$92,"&gt;0")</f>
        <v>0</v>
      </c>
      <c r="F799" s="25">
        <f>SUMIFS('Daftar Koreksi'!$H$5:$H$92,'Daftar Koreksi'!$D$5:$D$92,'0600'!A796,'Daftar Koreksi'!$G$5:$G$92,"Persediaan",'Daftar Koreksi'!$H$5:$H$92,"&lt;0")-SUMIFS('Daftar Koreksi'!$H$5:$H$92,'Daftar Koreksi'!$D$5:$D$92,'0600'!A796,'Daftar Koreksi'!$G$5:$G$92,"Persediaan",'Daftar Koreksi'!$H$5:$H$92,"&lt;0")-SUMIFS('Daftar Koreksi'!$H$5:$H$92,'Daftar Koreksi'!$D$5:$D$92,'0600'!A796,'Daftar Koreksi'!$G$5:$G$92,"Persediaan",'Daftar Koreksi'!$H$5:$H$92,"&lt;0")</f>
        <v>0</v>
      </c>
      <c r="G799" s="17">
        <f>D799+E799-F799</f>
        <v>98000</v>
      </c>
      <c r="H799" s="121" t="str">
        <f>IF(ISNA(VLOOKUP(A796,'Mutasi Neraca'!$A$3:$S$914,19,FALSE)),"-",VLOOKUP(A796,'Mutasi Neraca'!$A$3:$S$914,19,FALSE))</f>
        <v>-</v>
      </c>
    </row>
    <row r="800" spans="1:8" ht="21.95" customHeight="1">
      <c r="A800" s="14"/>
      <c r="B800" s="14"/>
      <c r="C800" s="16" t="s">
        <v>1166</v>
      </c>
      <c r="D800" s="17">
        <f>VLOOKUP(A796,'Neraca Unaudited SIMAK'!$A$2:$S$10004,4,FALSE)</f>
        <v>718291600</v>
      </c>
      <c r="E800" s="25">
        <f>SUMIFS('Daftar Koreksi'!$H$5:$H$92,'Daftar Koreksi'!$D$5:$D$92,'0600'!A796,'Daftar Koreksi'!$G$5:$G$92,"Tanah",'Daftar Koreksi'!$H$5:$H$92,"&gt;0")</f>
        <v>0</v>
      </c>
      <c r="F800" s="25">
        <f>SUMIFS('Daftar Koreksi'!$H$5:$H$92,'Daftar Koreksi'!$D$5:$D$92,'0600'!A796,'Daftar Koreksi'!$G$5:$G$92,"Tanah",'Daftar Koreksi'!$H$5:$H$92,"&lt;0")-SUMIFS('Daftar Koreksi'!$H$5:$H$92,'Daftar Koreksi'!$D$5:$D$92,'0600'!A796,'Daftar Koreksi'!$G$5:$G$92,"Tanah",'Daftar Koreksi'!$H$5:$H$92,"&lt;0")-SUMIFS('Daftar Koreksi'!$H$5:$H$92,'Daftar Koreksi'!$D$5:$D$92,'0600'!A796,'Daftar Koreksi'!$G$5:$G$92,"Tanah",'Daftar Koreksi'!$H$5:$H$92,"&lt;0")</f>
        <v>0</v>
      </c>
      <c r="G800" s="17">
        <f t="shared" ref="G800:G816" si="36">D800+E800-F800</f>
        <v>718291600</v>
      </c>
      <c r="H800" s="122"/>
    </row>
    <row r="801" spans="1:8" ht="21.95" customHeight="1">
      <c r="A801" s="14"/>
      <c r="B801" s="14"/>
      <c r="C801" s="16" t="s">
        <v>1167</v>
      </c>
      <c r="D801" s="17">
        <f>VLOOKUP(A796,'Neraca Unaudited SIMAK'!$A$2:$S$10004,5,FALSE)</f>
        <v>912638491</v>
      </c>
      <c r="E801" s="25">
        <f>SUMIFS('Daftar Koreksi'!$H$5:$H$92,'Daftar Koreksi'!$D$5:$D$92,'0600'!A796,'Daftar Koreksi'!$G$5:$G$92,"Peralatan dan mesin",'Daftar Koreksi'!$H$5:$H$92,"&gt;0")</f>
        <v>0</v>
      </c>
      <c r="F801" s="25">
        <f>SUMIFS('Daftar Koreksi'!$H$5:$H$92,'Daftar Koreksi'!$D$5:$D$92,'0600'!A796,'Daftar Koreksi'!$G$5:$G$92,"Peralatan dan mesin",'Daftar Koreksi'!$H$5:$H$92,"&lt;0")-SUMIFS('Daftar Koreksi'!$H$5:$H$92,'Daftar Koreksi'!$D$5:$D$92,'0600'!A796,'Daftar Koreksi'!$G$5:$G$92,"Peralatan dan mesin",'Daftar Koreksi'!$H$5:$H$92,"&lt;0")-SUMIFS('Daftar Koreksi'!$H$5:$H$92,'Daftar Koreksi'!$D$5:$D$92,'0600'!A796,'Daftar Koreksi'!$G$5:$G$92,"Peralatan dan mesin",'Daftar Koreksi'!$H$5:$H$92,"&lt;0")</f>
        <v>0</v>
      </c>
      <c r="G801" s="17">
        <f t="shared" si="36"/>
        <v>912638491</v>
      </c>
      <c r="H801" s="122"/>
    </row>
    <row r="802" spans="1:8" ht="21.95" customHeight="1">
      <c r="A802" s="14"/>
      <c r="B802" s="14"/>
      <c r="C802" s="16" t="s">
        <v>1168</v>
      </c>
      <c r="D802" s="17">
        <f>VLOOKUP(A796,'Neraca Unaudited SIMAK'!$A$2:$S$10004,6,FALSE)</f>
        <v>384821500</v>
      </c>
      <c r="E802" s="25">
        <f>SUMIFS('Daftar Koreksi'!$H$5:$H$92,'Daftar Koreksi'!$D$5:$D$92,'0600'!A796,'Daftar Koreksi'!$G$5:$G$92,"Gedung dan Bangunan",'Daftar Koreksi'!$H$5:$H$92,"&gt;0")</f>
        <v>0</v>
      </c>
      <c r="F802" s="25">
        <f>SUMIFS('Daftar Koreksi'!$H$5:$H$92,'Daftar Koreksi'!$D$5:$D$92,'0600'!A796,'Daftar Koreksi'!$G$5:$G$92,"Gedung dan Bangunan",'Daftar Koreksi'!$H$5:$H$92,"&lt;0")-SUMIFS('Daftar Koreksi'!$H$5:$H$92,'Daftar Koreksi'!$D$5:$D$92,'0600'!A796,'Daftar Koreksi'!$G$5:$G$92,"Gedung dan Bangunan",'Daftar Koreksi'!$H$5:$H$92,"&lt;0")-SUMIFS('Daftar Koreksi'!$H$5:$H$92,'Daftar Koreksi'!$D$5:$D$92,'0600'!A796,'Daftar Koreksi'!$G$5:$G$92,"Gedung dan Bangunan",'Daftar Koreksi'!$H$5:$H$92,"&lt;0")</f>
        <v>0</v>
      </c>
      <c r="G802" s="17">
        <f t="shared" si="36"/>
        <v>384821500</v>
      </c>
      <c r="H802" s="122"/>
    </row>
    <row r="803" spans="1:8" ht="21.95" customHeight="1">
      <c r="A803" s="14"/>
      <c r="B803" s="14"/>
      <c r="C803" s="16" t="s">
        <v>1169</v>
      </c>
      <c r="D803" s="17">
        <f>VLOOKUP(A796,'Neraca Unaudited SIMAK'!$A$2:$S$10004,7,FALSE)</f>
        <v>0</v>
      </c>
      <c r="E803" s="25">
        <f>SUMIFS('Daftar Koreksi'!$H$5:$H$92,'Daftar Koreksi'!$D$5:$D$92,'0600'!A796,'Daftar Koreksi'!$G$5:$G$92,"Jalan Irigasi Jaringan",'Daftar Koreksi'!$H$5:$H$92,"&gt;0")</f>
        <v>0</v>
      </c>
      <c r="F803" s="25">
        <f>SUMIFS('Daftar Koreksi'!$H$5:$H$92,'Daftar Koreksi'!$D$5:$D$92,'0600'!A796,'Daftar Koreksi'!$G$5:$G$92,"Jalan Irigasi Jaringan",'Daftar Koreksi'!$H$5:$H$92,"&lt;0")-SUMIFS('Daftar Koreksi'!$H$5:$H$92,'Daftar Koreksi'!$D$5:$D$92,'0600'!A796,'Daftar Koreksi'!$G$5:$G$92,"Jalan Irigasi Jaringan",'Daftar Koreksi'!$H$5:$H$92,"&lt;0")-SUMIFS('Daftar Koreksi'!$H$5:$H$92,'Daftar Koreksi'!$D$5:$D$92,'0600'!A796,'Daftar Koreksi'!$G$5:$G$92,"Jalan Irigasi Jaringan",'Daftar Koreksi'!$H$5:$H$92,"&lt;0")</f>
        <v>0</v>
      </c>
      <c r="G803" s="17">
        <f t="shared" si="36"/>
        <v>0</v>
      </c>
      <c r="H803" s="122"/>
    </row>
    <row r="804" spans="1:8" ht="21.95" customHeight="1">
      <c r="A804" s="14"/>
      <c r="B804" s="14"/>
      <c r="C804" s="16" t="s">
        <v>1170</v>
      </c>
      <c r="D804" s="17">
        <f>VLOOKUP(A796,'Neraca Unaudited SIMAK'!$A$2:$S$10004,8,FALSE)</f>
        <v>20000000</v>
      </c>
      <c r="E804" s="25">
        <f>SUMIFS('Daftar Koreksi'!$H$5:$H$92,'Daftar Koreksi'!$D$5:$D$92,'0600'!A796,'Daftar Koreksi'!$G$5:$G$92,"Aset Tetap Lainnya",'Daftar Koreksi'!$H$5:$H$92,"&gt;0")</f>
        <v>0</v>
      </c>
      <c r="F804" s="25">
        <f>SUMIFS('Daftar Koreksi'!$H$5:$H$92,'Daftar Koreksi'!$D$5:$D$92,'0600'!A796,'Daftar Koreksi'!$G$5:$G$92,"Aset Tetap Lainnya",'Daftar Koreksi'!$H$5:$H$92,"&lt;0")-SUMIFS('Daftar Koreksi'!$H$5:$H$92,'Daftar Koreksi'!$D$5:$D$92,'0600'!A796,'Daftar Koreksi'!$G$5:$G$92,"Aset Tetap Lainnya",'Daftar Koreksi'!$H$5:$H$92,"&lt;0")-SUMIFS('Daftar Koreksi'!$H$5:$H$92,'Daftar Koreksi'!$D$5:$D$92,'0600'!A796,'Daftar Koreksi'!$G$5:$G$92,"Aset Tetap Lainnya",'Daftar Koreksi'!$H$5:$H$92,"&lt;0")</f>
        <v>0</v>
      </c>
      <c r="G804" s="17">
        <f t="shared" si="36"/>
        <v>20000000</v>
      </c>
      <c r="H804" s="122"/>
    </row>
    <row r="805" spans="1:8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Koreksi'!$D$5:$D$92,'0600'!A796,'Daftar Koreksi'!$G$5:$G$92,"Kontruksi Dalam Pengerjaan",'Daftar Koreksi'!$H$5:$H$92,"&gt;0")</f>
        <v>0</v>
      </c>
      <c r="F805" s="25">
        <f>SUMIFS('Daftar Koreksi'!$H$5:$H$92,'Daftar Koreksi'!$D$5:$D$92,'0600'!A796,'Daftar Koreksi'!$G$5:$G$92,"Kontruksi Dalam Pengerjaan",'Daftar Koreksi'!$H$5:$H$92,"&lt;0")-SUMIFS('Daftar Koreksi'!$H$5:$H$92,'Daftar Koreksi'!$D$5:$D$92,'0600'!A796,'Daftar Koreksi'!$G$5:$G$92,"Kontruksi Dalam Pengerjaan",'Daftar Koreksi'!$H$5:$H$92,"&lt;0")-SUMIFS('Daftar Koreksi'!$H$5:$H$92,'Daftar Koreksi'!$D$5:$D$92,'0600'!A796,'Daftar Koreksi'!$G$5:$G$92,"Kontruksi Dalam Pengerjaan",'Daftar Koreksi'!$H$5:$H$92,"&lt;0")</f>
        <v>0</v>
      </c>
      <c r="G805" s="17">
        <f t="shared" si="36"/>
        <v>0</v>
      </c>
      <c r="H805" s="122"/>
    </row>
    <row r="806" spans="1:8" ht="21.95" customHeight="1">
      <c r="A806" s="14"/>
      <c r="B806" s="14"/>
      <c r="C806" s="16" t="s">
        <v>1172</v>
      </c>
      <c r="D806" s="17">
        <f>VLOOKUP(A796,'Neraca Unaudited SIMAK'!$A$2:$S$10004,10,FALSE)</f>
        <v>0</v>
      </c>
      <c r="E806" s="25">
        <f>SUMIFS('Daftar Koreksi'!$H$5:$H$92,'Daftar Koreksi'!$D$5:$D$92,'0600'!A796,'Daftar Koreksi'!$G$5:$G$92,"Aset Tak Berwujud",'Daftar Koreksi'!$H$5:$H$92,"&gt;0")</f>
        <v>0</v>
      </c>
      <c r="F806" s="25">
        <f>SUMIFS('Daftar Koreksi'!$H$5:$H$92,'Daftar Koreksi'!$D$5:$D$92,'0600'!A796,'Daftar Koreksi'!$G$5:$G$92,"Aset Tak Berwujud",'Daftar Koreksi'!$H$5:$H$92,"&lt;0")-SUMIFS('Daftar Koreksi'!$H$5:$H$92,'Daftar Koreksi'!$D$5:$D$92,'0600'!A796,'Daftar Koreksi'!$G$5:$G$92,"Aset Tak Berwujud",'Daftar Koreksi'!$H$5:$H$92,"&lt;0")-SUMIFS('Daftar Koreksi'!$H$5:$H$92,'Daftar Koreksi'!$D$5:$D$92,'0600'!A796,'Daftar Koreksi'!$G$5:$G$92,"Aset Tak Berwujud",'Daftar Koreksi'!$H$5:$H$92,"&lt;0")</f>
        <v>0</v>
      </c>
      <c r="G806" s="17">
        <f t="shared" si="36"/>
        <v>0</v>
      </c>
      <c r="H806" s="122"/>
    </row>
    <row r="807" spans="1:8" ht="21.95" customHeight="1">
      <c r="A807" s="14"/>
      <c r="B807" s="14"/>
      <c r="C807" s="16" t="s">
        <v>1173</v>
      </c>
      <c r="D807" s="17">
        <f>VLOOKUP(A796,'Neraca Unaudited SIMAK'!$A$2:$S$10004,11,FALSE)</f>
        <v>0</v>
      </c>
      <c r="E807" s="25">
        <f>SUMIFS('Daftar Koreksi'!$H$5:$H$92,'Daftar Koreksi'!$D$5:$D$92,'0600'!A796,'Daftar Koreksi'!$G$5:$G$92,"Aset Henti Guna",'Daftar Koreksi'!$H$5:$H$92,"&gt;0")</f>
        <v>0</v>
      </c>
      <c r="F807" s="25">
        <f>SUMIFS('Daftar Koreksi'!$H$5:$H$92,'Daftar Koreksi'!$D$5:$D$92,'0600'!A796,'Daftar Koreksi'!$G$5:$G$92,"Aset Henti Guna",'Daftar Koreksi'!$H$5:$H$92,"&lt;0")-SUMIFS('Daftar Koreksi'!$H$5:$H$92,'Daftar Koreksi'!$D$5:$D$92,'0600'!A796,'Daftar Koreksi'!$G$5:$G$92,"Aset Henti Guna",'Daftar Koreksi'!$H$5:$H$92,"&lt;0")-SUMIFS('Daftar Koreksi'!$H$5:$H$92,'Daftar Koreksi'!$D$5:$D$92,'0600'!A796,'Daftar Koreksi'!$G$5:$G$92,"Aset Henti Guna",'Daftar Koreksi'!$H$5:$H$92,"&lt;0")</f>
        <v>0</v>
      </c>
      <c r="G807" s="17">
        <f t="shared" si="36"/>
        <v>0</v>
      </c>
      <c r="H807" s="122"/>
    </row>
    <row r="808" spans="1:8" ht="21.95" customHeight="1">
      <c r="A808" s="14"/>
      <c r="B808" s="14"/>
      <c r="C808" s="18" t="s">
        <v>2093</v>
      </c>
      <c r="D808" s="19">
        <f>VLOOKUP(A796,'Neraca Unaudited SIMAK'!$A$2:$S$10004,12,FALSE)</f>
        <v>2035849591</v>
      </c>
      <c r="E808" s="19">
        <f>SUM(E799:E807)</f>
        <v>0</v>
      </c>
      <c r="F808" s="19">
        <f>SUM(F799:F807)</f>
        <v>0</v>
      </c>
      <c r="G808" s="19">
        <f t="shared" si="36"/>
        <v>2035849591</v>
      </c>
      <c r="H808" s="122"/>
    </row>
    <row r="809" spans="1:8" ht="21.95" customHeight="1">
      <c r="A809" s="14"/>
      <c r="B809" s="14"/>
      <c r="C809" s="16" t="s">
        <v>2087</v>
      </c>
      <c r="D809" s="17">
        <f>VLOOKUP(A796,'Neraca Unaudited SIMAK'!$A$2:$S$10004,13,FALSE)</f>
        <v>-758930270</v>
      </c>
      <c r="E809" s="25">
        <f>SUMIFS('Daftar Koreksi'!$I$5:$I$92,'Daftar Koreksi'!$D$5:$D$92,'0600'!A796,'Daftar Koreksi'!$G$5:$G$92,"Peralatan dan mesin",'Daftar Koreksi'!$I$5:$I$92,"&gt;0")</f>
        <v>0</v>
      </c>
      <c r="F809" s="25">
        <f>SUMIFS('Daftar Koreksi'!$I$5:$I$92,'Daftar Koreksi'!$D$5:$D$92,'0600'!A796,'Daftar Koreksi'!$G$5:$G$92,"Peralatan dan mesin",'Daftar Koreksi'!$I$5:$I$92,"&lt;0")-SUMIFS('Daftar Koreksi'!$I$5:$I$92,'Daftar Koreksi'!$D$5:$D$92,'0600'!A796,'Daftar Koreksi'!$G$5:$G$92,"Peralatan dan mesin",'Daftar Koreksi'!$I$5:$I$92,"&lt;0")-SUMIFS('Daftar Koreksi'!$I$5:$I$92,'Daftar Koreksi'!$D$5:$D$92,'0600'!A796,'Daftar Koreksi'!$G$5:$G$92,"Peralatan dan mesin",'Daftar Koreksi'!$I$5:$I$92,"&lt;0")</f>
        <v>0</v>
      </c>
      <c r="G809" s="17">
        <f t="shared" si="36"/>
        <v>-758930270</v>
      </c>
      <c r="H809" s="122"/>
    </row>
    <row r="810" spans="1:8" ht="21.95" customHeight="1">
      <c r="A810" s="14"/>
      <c r="B810" s="14"/>
      <c r="C810" s="16" t="s">
        <v>2088</v>
      </c>
      <c r="D810" s="17">
        <f>VLOOKUP(A796,'Neraca Unaudited SIMAK'!$A$2:$S$10004,14,FALSE)</f>
        <v>-209037890</v>
      </c>
      <c r="E810" s="25">
        <f>SUMIFS('Daftar Koreksi'!$I$5:$I$92,'Daftar Koreksi'!$D$5:$D$92,'0600'!A796,'Daftar Koreksi'!$G$5:$G$92,"Gedung dan Bangunan",'Daftar Koreksi'!$I$5:$I$92,"&gt;0")</f>
        <v>0</v>
      </c>
      <c r="F810" s="25">
        <f>SUMIFS('Daftar Koreksi'!$I$5:$I$92,'Daftar Koreksi'!$D$5:$D$92,'0600'!A796,'Daftar Koreksi'!$G$5:$G$92,"Gedung dan Bangunan",'Daftar Koreksi'!$I$5:$I$92,"&lt;0")-SUMIFS('Daftar Koreksi'!$I$5:$I$92,'Daftar Koreksi'!$D$5:$D$92,'0600'!A796,'Daftar Koreksi'!$G$5:$G$92,"Gedung dan Bangunan",'Daftar Koreksi'!$I$5:$I$92,"&lt;0")-SUMIFS('Daftar Koreksi'!$I$5:$I$92,'Daftar Koreksi'!$D$5:$D$92,'0600'!A796,'Daftar Koreksi'!$G$5:$G$92,"Gedung dan Bangunan",'Daftar Koreksi'!$I$5:$I$92,"&lt;0")</f>
        <v>0</v>
      </c>
      <c r="G810" s="17">
        <f t="shared" si="36"/>
        <v>-209037890</v>
      </c>
      <c r="H810" s="122"/>
    </row>
    <row r="811" spans="1:8" ht="21.95" customHeight="1">
      <c r="A811" s="14"/>
      <c r="B811" s="14"/>
      <c r="C811" s="16" t="s">
        <v>2089</v>
      </c>
      <c r="D811" s="17">
        <f>VLOOKUP(A796,'Neraca Unaudited SIMAK'!$A$2:$S$10004,15,FALSE)</f>
        <v>0</v>
      </c>
      <c r="E811" s="25">
        <f>SUMIFS('Daftar Koreksi'!$I$5:$I$92,'Daftar Koreksi'!$D$5:$D$92,'0600'!A796,'Daftar Koreksi'!$G$5:$G$92,"Jalan Irigasi Jaringan",'Daftar Koreksi'!$I$5:$I$92,"&gt;0")</f>
        <v>0</v>
      </c>
      <c r="F811" s="25">
        <f>SUMIFS('Daftar Koreksi'!$I$5:$I$92,'Daftar Koreksi'!$D$5:$D$92,'0600'!A796,'Daftar Koreksi'!$G$5:$G$92,"Jalan Irigasi Jaringan",'Daftar Koreksi'!$I$5:$I$92,"&lt;0")-SUMIFS('Daftar Koreksi'!$I$5:$I$92,'Daftar Koreksi'!$D$5:$D$92,'0600'!A796,'Daftar Koreksi'!$G$5:$G$92,"Jalan Irigasi Jaringan",'Daftar Koreksi'!$I$5:$I$92,"&lt;0")-SUMIFS('Daftar Koreksi'!$I$5:$I$92,'Daftar Koreksi'!$D$5:$D$92,'0600'!A796,'Daftar Koreksi'!$G$5:$G$92,"Jalan Irigasi Jaringan",'Daftar Koreksi'!$I$5:$I$92,"&lt;0")</f>
        <v>0</v>
      </c>
      <c r="G811" s="17">
        <f t="shared" si="36"/>
        <v>0</v>
      </c>
      <c r="H811" s="122"/>
    </row>
    <row r="812" spans="1:8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Koreksi'!$D$5:$D$92,'0600'!A796,'Daftar Koreksi'!$G$5:$G$92,"Aset Tetap Lainnya",'Daftar Koreksi'!$I$5:$I$92,"&gt;0")</f>
        <v>0</v>
      </c>
      <c r="F812" s="25">
        <f>SUMIFS('Daftar Koreksi'!$I$5:$I$92,'Daftar Koreksi'!$D$5:$D$92,'0600'!A796,'Daftar Koreksi'!$G$5:$G$92,"Aset Tetap Lainnya",'Daftar Koreksi'!$I$5:$I$92,"&lt;0")-SUMIFS('Daftar Koreksi'!$I$5:$I$92,'Daftar Koreksi'!$D$5:$D$92,'0600'!A796,'Daftar Koreksi'!$G$5:$G$92,"Aset Tetap Lainnya",'Daftar Koreksi'!$I$5:$I$92,"&lt;0")-SUMIFS('Daftar Koreksi'!$I$5:$I$92,'Daftar Koreksi'!$D$5:$D$92,'0600'!A796,'Daftar Koreksi'!$G$5:$G$92,"Aset Tetap Lainnya",'Daftar Koreksi'!$I$5:$I$92,"&lt;0")</f>
        <v>0</v>
      </c>
      <c r="G812" s="17">
        <f t="shared" si="36"/>
        <v>0</v>
      </c>
      <c r="H812" s="122"/>
    </row>
    <row r="813" spans="1:8" ht="21.95" customHeight="1">
      <c r="A813" s="14"/>
      <c r="B813" s="14"/>
      <c r="C813" s="16" t="s">
        <v>2020</v>
      </c>
      <c r="D813" s="17">
        <f>VLOOKUP(A796,'Neraca Unaudited SIMAK'!$A$2:$S$10004,17,FALSE)</f>
        <v>0</v>
      </c>
      <c r="E813" s="25">
        <f>SUMIFS('Daftar Koreksi'!$I$5:$I$92,'Daftar Koreksi'!$D$5:$D$92,'0600'!A796,'Daftar Koreksi'!$G$5:$G$92,"Aset Henti Guna",'Daftar Koreksi'!$I$5:$I$92,"&gt;0")</f>
        <v>0</v>
      </c>
      <c r="F813" s="25">
        <f>SUMIFS('Daftar Koreksi'!$I$5:$I$92,'Daftar Koreksi'!$D$5:$D$92,'0600'!A796,'Daftar Koreksi'!$G$5:$G$92,"Aset Henti Guna",'Daftar Koreksi'!$I$5:$I$92,"&lt;0")-SUMIFS('Daftar Koreksi'!$I$5:$I$92,'Daftar Koreksi'!$D$5:$D$92,'0600'!A796,'Daftar Koreksi'!$G$5:$G$92,"Aset Henti Guna",'Daftar Koreksi'!$I$5:$I$92,"&lt;0")-SUMIFS('Daftar Koreksi'!$I$5:$I$92,'Daftar Koreksi'!$D$5:$D$92,'0600'!A796,'Daftar Koreksi'!$G$5:$G$92,"Aset Henti Guna",'Daftar Koreksi'!$I$5:$I$92,"&lt;0")</f>
        <v>0</v>
      </c>
      <c r="G813" s="17">
        <f t="shared" si="36"/>
        <v>0</v>
      </c>
      <c r="H813" s="122"/>
    </row>
    <row r="814" spans="1:8" ht="21.95" customHeight="1">
      <c r="A814" s="14"/>
      <c r="B814" s="14"/>
      <c r="C814" s="18" t="s">
        <v>2094</v>
      </c>
      <c r="D814" s="19">
        <f>SUM(D809:D813)</f>
        <v>-967968160</v>
      </c>
      <c r="E814" s="19">
        <f>SUM(E809:E813)</f>
        <v>0</v>
      </c>
      <c r="F814" s="19">
        <f>SUM(F809:F813)</f>
        <v>0</v>
      </c>
      <c r="G814" s="19">
        <f t="shared" si="36"/>
        <v>-967968160</v>
      </c>
      <c r="H814" s="122"/>
    </row>
    <row r="815" spans="1:8" ht="21.95" customHeight="1">
      <c r="A815" s="14"/>
      <c r="B815" s="14"/>
      <c r="C815" s="18" t="s">
        <v>2095</v>
      </c>
      <c r="D815" s="19">
        <f>VLOOKUP(A796,'Neraca Unaudited SIMAK'!$A$2:$S$10004,18,FALSE)</f>
        <v>1067881431</v>
      </c>
      <c r="E815" s="19">
        <f>E814+E808</f>
        <v>0</v>
      </c>
      <c r="F815" s="19">
        <f>F814+F808</f>
        <v>0</v>
      </c>
      <c r="G815" s="19">
        <f t="shared" si="36"/>
        <v>1067881431</v>
      </c>
      <c r="H815" s="122"/>
    </row>
    <row r="816" spans="1:8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</row>
    <row r="818" spans="1:8" ht="19.5" customHeight="1">
      <c r="A818" s="11" t="str">
        <f>O38</f>
        <v>005010600401761000KD</v>
      </c>
      <c r="B818" s="11" t="str">
        <f>P38</f>
        <v>Mahkamah Syar'iyah Tapak Tuan</v>
      </c>
      <c r="C818" s="12" t="str">
        <f>A818&amp;" "&amp;B818</f>
        <v>005010600401761000KD Mahkamah Syar'iyah Tapak Tuan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0</v>
      </c>
      <c r="E821" s="25">
        <f>SUMIFS('Daftar Koreksi'!$H$5:$H$92,'Daftar Koreksi'!$D$5:$D$92,'0600'!A818,'Daftar Koreksi'!$G$5:$G$92,"Persediaan",'Daftar Koreksi'!$H$5:$H$92,"&gt;0")</f>
        <v>0</v>
      </c>
      <c r="F821" s="25">
        <f>SUMIFS('Daftar Koreksi'!$H$5:$H$92,'Daftar Koreksi'!$D$5:$D$92,'0600'!A818,'Daftar Koreksi'!$G$5:$G$92,"Persediaan",'Daftar Koreksi'!$H$5:$H$92,"&lt;0")-SUMIFS('Daftar Koreksi'!$H$5:$H$92,'Daftar Koreksi'!$D$5:$D$92,'0600'!A818,'Daftar Koreksi'!$G$5:$G$92,"Persediaan",'Daftar Koreksi'!$H$5:$H$92,"&lt;0")-SUMIFS('Daftar Koreksi'!$H$5:$H$92,'Daftar Koreksi'!$D$5:$D$92,'0600'!A818,'Daftar Koreksi'!$G$5:$G$92,"Persediaan",'Daftar Koreksi'!$H$5:$H$92,"&lt;0")</f>
        <v>0</v>
      </c>
      <c r="G821" s="17">
        <f>D821+E821-F821</f>
        <v>0</v>
      </c>
      <c r="H821" s="121" t="str">
        <f>IF(ISNA(VLOOKUP(A818,'Mutasi Neraca'!$A$3:$S$914,19,FALSE)),"-",VLOOKUP(A818,'Mutasi Neraca'!$A$3:$S$914,19,FALSE))</f>
        <v>TP Koreksi Hibah No. 10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2124280000</v>
      </c>
      <c r="E822" s="25">
        <f>SUMIFS('Daftar Koreksi'!$H$5:$H$92,'Daftar Koreksi'!$D$5:$D$92,'0600'!A818,'Daftar Koreksi'!$G$5:$G$92,"Tanah",'Daftar Koreksi'!$H$5:$H$92,"&gt;0")</f>
        <v>0</v>
      </c>
      <c r="F822" s="25">
        <f>SUMIFS('Daftar Koreksi'!$H$5:$H$92,'Daftar Koreksi'!$D$5:$D$92,'0600'!A818,'Daftar Koreksi'!$G$5:$G$92,"Tanah",'Daftar Koreksi'!$H$5:$H$92,"&lt;0")-SUMIFS('Daftar Koreksi'!$H$5:$H$92,'Daftar Koreksi'!$D$5:$D$92,'0600'!A818,'Daftar Koreksi'!$G$5:$G$92,"Tanah",'Daftar Koreksi'!$H$5:$H$92,"&lt;0")-SUMIFS('Daftar Koreksi'!$H$5:$H$92,'Daftar Koreksi'!$D$5:$D$92,'0600'!A818,'Daftar Koreksi'!$G$5:$G$92,"Tanah",'Daftar Koreksi'!$H$5:$H$92,"&lt;0")</f>
        <v>0</v>
      </c>
      <c r="G822" s="17">
        <f t="shared" ref="G822:G838" si="37">D822+E822-F822</f>
        <v>2124280000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958519588</v>
      </c>
      <c r="E823" s="25">
        <f>SUMIFS('Daftar Koreksi'!$H$5:$H$92,'Daftar Koreksi'!$D$5:$D$92,'0600'!A818,'Daftar Koreksi'!$G$5:$G$92,"Peralatan dan mesin",'Daftar Koreksi'!$H$5:$H$92,"&gt;0")</f>
        <v>50000000</v>
      </c>
      <c r="F823" s="25">
        <f>SUMIFS('Daftar Koreksi'!$H$5:$H$92,'Daftar Koreksi'!$D$5:$D$92,'0600'!A818,'Daftar Koreksi'!$G$5:$G$92,"Peralatan dan mesin",'Daftar Koreksi'!$H$5:$H$92,"&lt;0")-SUMIFS('Daftar Koreksi'!$H$5:$H$92,'Daftar Koreksi'!$D$5:$D$92,'0600'!A818,'Daftar Koreksi'!$G$5:$G$92,"Peralatan dan mesin",'Daftar Koreksi'!$H$5:$H$92,"&lt;0")-SUMIFS('Daftar Koreksi'!$H$5:$H$92,'Daftar Koreksi'!$D$5:$D$92,'0600'!A818,'Daftar Koreksi'!$G$5:$G$92,"Peralatan dan mesin",'Daftar Koreksi'!$H$5:$H$92,"&lt;0")</f>
        <v>0</v>
      </c>
      <c r="G823" s="17">
        <f t="shared" si="37"/>
        <v>1008519588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9660741182</v>
      </c>
      <c r="E824" s="25">
        <f>SUMIFS('Daftar Koreksi'!$H$5:$H$92,'Daftar Koreksi'!$D$5:$D$92,'0600'!A818,'Daftar Koreksi'!$G$5:$G$92,"Gedung dan Bangunan",'Daftar Koreksi'!$H$5:$H$92,"&gt;0")</f>
        <v>0</v>
      </c>
      <c r="F824" s="25">
        <f>SUMIFS('Daftar Koreksi'!$H$5:$H$92,'Daftar Koreksi'!$D$5:$D$92,'0600'!A818,'Daftar Koreksi'!$G$5:$G$92,"Gedung dan Bangunan",'Daftar Koreksi'!$H$5:$H$92,"&lt;0")-SUMIFS('Daftar Koreksi'!$H$5:$H$92,'Daftar Koreksi'!$D$5:$D$92,'0600'!A818,'Daftar Koreksi'!$G$5:$G$92,"Gedung dan Bangunan",'Daftar Koreksi'!$H$5:$H$92,"&lt;0")-SUMIFS('Daftar Koreksi'!$H$5:$H$92,'Daftar Koreksi'!$D$5:$D$92,'0600'!A818,'Daftar Koreksi'!$G$5:$G$92,"Gedung dan Bangunan",'Daftar Koreksi'!$H$5:$H$92,"&lt;0")</f>
        <v>0</v>
      </c>
      <c r="G824" s="17">
        <f t="shared" si="37"/>
        <v>9660741182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0</v>
      </c>
      <c r="E825" s="25">
        <f>SUMIFS('Daftar Koreksi'!$H$5:$H$92,'Daftar Koreksi'!$D$5:$D$92,'0600'!A818,'Daftar Koreksi'!$G$5:$G$92,"Jalan Irigasi Jaringan",'Daftar Koreksi'!$H$5:$H$92,"&gt;0")</f>
        <v>0</v>
      </c>
      <c r="F825" s="25">
        <f>SUMIFS('Daftar Koreksi'!$H$5:$H$92,'Daftar Koreksi'!$D$5:$D$92,'0600'!A818,'Daftar Koreksi'!$G$5:$G$92,"Jalan Irigasi Jaringan",'Daftar Koreksi'!$H$5:$H$92,"&lt;0")-SUMIFS('Daftar Koreksi'!$H$5:$H$92,'Daftar Koreksi'!$D$5:$D$92,'0600'!A818,'Daftar Koreksi'!$G$5:$G$92,"Jalan Irigasi Jaringan",'Daftar Koreksi'!$H$5:$H$92,"&lt;0")-SUMIFS('Daftar Koreksi'!$H$5:$H$92,'Daftar Koreksi'!$D$5:$D$92,'0600'!A818,'Daftar Koreksi'!$G$5:$G$92,"Jalan Irigasi Jaringan",'Daftar Koreksi'!$H$5:$H$92,"&lt;0")</f>
        <v>0</v>
      </c>
      <c r="G825" s="17">
        <f t="shared" si="37"/>
        <v>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0</v>
      </c>
      <c r="E826" s="25">
        <f>SUMIFS('Daftar Koreksi'!$H$5:$H$92,'Daftar Koreksi'!$D$5:$D$92,'0600'!A818,'Daftar Koreksi'!$G$5:$G$92,"Aset Tetap Lainnya",'Daftar Koreksi'!$H$5:$H$92,"&gt;0")</f>
        <v>0</v>
      </c>
      <c r="F826" s="25">
        <f>SUMIFS('Daftar Koreksi'!$H$5:$H$92,'Daftar Koreksi'!$D$5:$D$92,'0600'!A818,'Daftar Koreksi'!$G$5:$G$92,"Aset Tetap Lainnya",'Daftar Koreksi'!$H$5:$H$92,"&lt;0")-SUMIFS('Daftar Koreksi'!$H$5:$H$92,'Daftar Koreksi'!$D$5:$D$92,'0600'!A818,'Daftar Koreksi'!$G$5:$G$92,"Aset Tetap Lainnya",'Daftar Koreksi'!$H$5:$H$92,"&lt;0")-SUMIFS('Daftar Koreksi'!$H$5:$H$92,'Daftar Koreksi'!$D$5:$D$92,'0600'!A818,'Daftar Koreksi'!$G$5:$G$92,"Aset Tetap Lainnya",'Daftar Koreksi'!$H$5:$H$92,"&lt;0")</f>
        <v>0</v>
      </c>
      <c r="G826" s="17">
        <f t="shared" si="37"/>
        <v>0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Koreksi'!$D$5:$D$92,'0600'!A818,'Daftar Koreksi'!$G$5:$G$92,"Kontruksi Dalam Pengerjaan",'Daftar Koreksi'!$H$5:$H$92,"&gt;0")</f>
        <v>0</v>
      </c>
      <c r="F827" s="25">
        <f>SUMIFS('Daftar Koreksi'!$H$5:$H$92,'Daftar Koreksi'!$D$5:$D$92,'0600'!A818,'Daftar Koreksi'!$G$5:$G$92,"Kontruksi Dalam Pengerjaan",'Daftar Koreksi'!$H$5:$H$92,"&lt;0")-SUMIFS('Daftar Koreksi'!$H$5:$H$92,'Daftar Koreksi'!$D$5:$D$92,'0600'!A818,'Daftar Koreksi'!$G$5:$G$92,"Kontruksi Dalam Pengerjaan",'Daftar Koreksi'!$H$5:$H$92,"&lt;0")-SUMIFS('Daftar Koreksi'!$H$5:$H$92,'Daftar Koreksi'!$D$5:$D$92,'0600'!A818,'Daftar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0</v>
      </c>
      <c r="E828" s="25">
        <f>SUMIFS('Daftar Koreksi'!$H$5:$H$92,'Daftar Koreksi'!$D$5:$D$92,'0600'!A818,'Daftar Koreksi'!$G$5:$G$92,"Aset Tak Berwujud",'Daftar Koreksi'!$H$5:$H$92,"&gt;0")</f>
        <v>0</v>
      </c>
      <c r="F828" s="25">
        <f>SUMIFS('Daftar Koreksi'!$H$5:$H$92,'Daftar Koreksi'!$D$5:$D$92,'0600'!A818,'Daftar Koreksi'!$G$5:$G$92,"Aset Tak Berwujud",'Daftar Koreksi'!$H$5:$H$92,"&lt;0")-SUMIFS('Daftar Koreksi'!$H$5:$H$92,'Daftar Koreksi'!$D$5:$D$92,'0600'!A818,'Daftar Koreksi'!$G$5:$G$92,"Aset Tak Berwujud",'Daftar Koreksi'!$H$5:$H$92,"&lt;0")-SUMIFS('Daftar Koreksi'!$H$5:$H$92,'Daftar Koreksi'!$D$5:$D$92,'0600'!A818,'Daftar Koreksi'!$G$5:$G$92,"Aset Tak Berwujud",'Daftar Koreksi'!$H$5:$H$92,"&lt;0")</f>
        <v>0</v>
      </c>
      <c r="G828" s="17">
        <f t="shared" si="37"/>
        <v>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2159250</v>
      </c>
      <c r="E829" s="25">
        <f>SUMIFS('Daftar Koreksi'!$H$5:$H$92,'Daftar Koreksi'!$D$5:$D$92,'0600'!A818,'Daftar Koreksi'!$G$5:$G$92,"Aset Henti Guna",'Daftar Koreksi'!$H$5:$H$92,"&gt;0")</f>
        <v>0</v>
      </c>
      <c r="F829" s="25">
        <f>SUMIFS('Daftar Koreksi'!$H$5:$H$92,'Daftar Koreksi'!$D$5:$D$92,'0600'!A818,'Daftar Koreksi'!$G$5:$G$92,"Aset Henti Guna",'Daftar Koreksi'!$H$5:$H$92,"&lt;0")-SUMIFS('Daftar Koreksi'!$H$5:$H$92,'Daftar Koreksi'!$D$5:$D$92,'0600'!A818,'Daftar Koreksi'!$G$5:$G$92,"Aset Henti Guna",'Daftar Koreksi'!$H$5:$H$92,"&lt;0")-SUMIFS('Daftar Koreksi'!$H$5:$H$92,'Daftar Koreksi'!$D$5:$D$92,'0600'!A818,'Daftar Koreksi'!$G$5:$G$92,"Aset Henti Guna",'Daftar Koreksi'!$H$5:$H$92,"&lt;0")</f>
        <v>0</v>
      </c>
      <c r="G829" s="17">
        <f t="shared" si="37"/>
        <v>2159250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12745700020</v>
      </c>
      <c r="E830" s="19">
        <f>SUM(E821:E829)</f>
        <v>50000000</v>
      </c>
      <c r="F830" s="19">
        <f>SUM(F821:F829)</f>
        <v>0</v>
      </c>
      <c r="G830" s="19">
        <f t="shared" si="37"/>
        <v>12795700020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-856071255</v>
      </c>
      <c r="E831" s="25">
        <f>SUMIFS('Daftar Koreksi'!$I$5:$I$92,'Daftar Koreksi'!$D$5:$D$92,'0600'!A818,'Daftar Koreksi'!$G$5:$G$92,"Peralatan dan mesin",'Daftar Koreksi'!$I$5:$I$92,"&gt;0")</f>
        <v>0</v>
      </c>
      <c r="F831" s="25">
        <f>SUMIFS('Daftar Koreksi'!$I$5:$I$92,'Daftar Koreksi'!$D$5:$D$92,'0600'!A818,'Daftar Koreksi'!$G$5:$G$92,"Peralatan dan mesin",'Daftar Koreksi'!$I$5:$I$92,"&lt;0")-SUMIFS('Daftar Koreksi'!$I$5:$I$92,'Daftar Koreksi'!$D$5:$D$92,'0600'!A818,'Daftar Koreksi'!$G$5:$G$92,"Peralatan dan mesin",'Daftar Koreksi'!$I$5:$I$92,"&lt;0")-SUMIFS('Daftar Koreksi'!$I$5:$I$92,'Daftar Koreksi'!$D$5:$D$92,'0600'!A818,'Daftar Koreksi'!$G$5:$G$92,"Peralatan dan mesin",'Daftar Koreksi'!$I$5:$I$92,"&lt;0")</f>
        <v>5000000</v>
      </c>
      <c r="G831" s="17">
        <f t="shared" si="37"/>
        <v>-861071255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-1601555914</v>
      </c>
      <c r="E832" s="25">
        <f>SUMIFS('Daftar Koreksi'!$I$5:$I$92,'Daftar Koreksi'!$D$5:$D$92,'0600'!A818,'Daftar Koreksi'!$G$5:$G$92,"Gedung dan Bangunan",'Daftar Koreksi'!$I$5:$I$92,"&gt;0")</f>
        <v>0</v>
      </c>
      <c r="F832" s="25">
        <f>SUMIFS('Daftar Koreksi'!$I$5:$I$92,'Daftar Koreksi'!$D$5:$D$92,'0600'!A818,'Daftar Koreksi'!$G$5:$G$92,"Gedung dan Bangunan",'Daftar Koreksi'!$I$5:$I$92,"&lt;0")-SUMIFS('Daftar Koreksi'!$I$5:$I$92,'Daftar Koreksi'!$D$5:$D$92,'0600'!A818,'Daftar Koreksi'!$G$5:$G$92,"Gedung dan Bangunan",'Daftar Koreksi'!$I$5:$I$92,"&lt;0")-SUMIFS('Daftar Koreksi'!$I$5:$I$92,'Daftar Koreksi'!$D$5:$D$92,'0600'!A818,'Daftar Koreksi'!$G$5:$G$92,"Gedung dan Bangunan",'Daftar Koreksi'!$I$5:$I$92,"&lt;0")</f>
        <v>0</v>
      </c>
      <c r="G832" s="17">
        <f t="shared" si="37"/>
        <v>-1601555914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0</v>
      </c>
      <c r="E833" s="25">
        <f>SUMIFS('Daftar Koreksi'!$I$5:$I$92,'Daftar Koreksi'!$D$5:$D$92,'0600'!A818,'Daftar Koreksi'!$G$5:$G$92,"Jalan Irigasi Jaringan",'Daftar Koreksi'!$I$5:$I$92,"&gt;0")</f>
        <v>0</v>
      </c>
      <c r="F833" s="25">
        <f>SUMIFS('Daftar Koreksi'!$I$5:$I$92,'Daftar Koreksi'!$D$5:$D$92,'0600'!A818,'Daftar Koreksi'!$G$5:$G$92,"Jalan Irigasi Jaringan",'Daftar Koreksi'!$I$5:$I$92,"&lt;0")-SUMIFS('Daftar Koreksi'!$I$5:$I$92,'Daftar Koreksi'!$D$5:$D$92,'0600'!A818,'Daftar Koreksi'!$G$5:$G$92,"Jalan Irigasi Jaringan",'Daftar Koreksi'!$I$5:$I$92,"&lt;0")-SUMIFS('Daftar Koreksi'!$I$5:$I$92,'Daftar Koreksi'!$D$5:$D$92,'0600'!A818,'Daftar Koreksi'!$G$5:$G$92,"Jalan Irigasi Jaringan",'Daftar Koreksi'!$I$5:$I$92,"&lt;0")</f>
        <v>0</v>
      </c>
      <c r="G833" s="17">
        <f t="shared" si="37"/>
        <v>0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Koreksi'!$D$5:$D$92,'0600'!A818,'Daftar Koreksi'!$G$5:$G$92,"Aset Tetap Lainnya",'Daftar Koreksi'!$I$5:$I$92,"&gt;0")</f>
        <v>0</v>
      </c>
      <c r="F834" s="25">
        <f>SUMIFS('Daftar Koreksi'!$I$5:$I$92,'Daftar Koreksi'!$D$5:$D$92,'0600'!A818,'Daftar Koreksi'!$G$5:$G$92,"Aset Tetap Lainnya",'Daftar Koreksi'!$I$5:$I$92,"&lt;0")-SUMIFS('Daftar Koreksi'!$I$5:$I$92,'Daftar Koreksi'!$D$5:$D$92,'0600'!A818,'Daftar Koreksi'!$G$5:$G$92,"Aset Tetap Lainnya",'Daftar Koreksi'!$I$5:$I$92,"&lt;0")-SUMIFS('Daftar Koreksi'!$I$5:$I$92,'Daftar Koreksi'!$D$5:$D$92,'0600'!A818,'Daftar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-2159250</v>
      </c>
      <c r="E835" s="25">
        <f>SUMIFS('Daftar Koreksi'!$I$5:$I$92,'Daftar Koreksi'!$D$5:$D$92,'0600'!A818,'Daftar Koreksi'!$G$5:$G$92,"Aset Henti Guna",'Daftar Koreksi'!$I$5:$I$92,"&gt;0")</f>
        <v>0</v>
      </c>
      <c r="F835" s="25">
        <f>SUMIFS('Daftar Koreksi'!$I$5:$I$92,'Daftar Koreksi'!$D$5:$D$92,'0600'!A818,'Daftar Koreksi'!$G$5:$G$92,"Aset Henti Guna",'Daftar Koreksi'!$I$5:$I$92,"&lt;0")-SUMIFS('Daftar Koreksi'!$I$5:$I$92,'Daftar Koreksi'!$D$5:$D$92,'0600'!A818,'Daftar Koreksi'!$G$5:$G$92,"Aset Henti Guna",'Daftar Koreksi'!$I$5:$I$92,"&lt;0")-SUMIFS('Daftar Koreksi'!$I$5:$I$92,'Daftar Koreksi'!$D$5:$D$92,'0600'!A818,'Daftar Koreksi'!$G$5:$G$92,"Aset Henti Guna",'Daftar Koreksi'!$I$5:$I$92,"&lt;0")</f>
        <v>0</v>
      </c>
      <c r="G835" s="17">
        <f t="shared" si="37"/>
        <v>-2159250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-2459786419</v>
      </c>
      <c r="E836" s="19">
        <f>SUM(E831:E835)</f>
        <v>0</v>
      </c>
      <c r="F836" s="19">
        <f>SUM(F831:F835)</f>
        <v>5000000</v>
      </c>
      <c r="G836" s="19">
        <f t="shared" si="37"/>
        <v>-2464786419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10285913601</v>
      </c>
      <c r="E837" s="19">
        <f>E836+E830</f>
        <v>50000000</v>
      </c>
      <c r="F837" s="19">
        <f>F836+F830</f>
        <v>5000000</v>
      </c>
      <c r="G837" s="19">
        <f t="shared" si="37"/>
        <v>10330913601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005010600402607000KD</v>
      </c>
      <c r="B840" s="11" t="str">
        <f>P39</f>
        <v>Mahkamah Syar'iyah Jantho</v>
      </c>
      <c r="C840" s="12" t="str">
        <f>A840&amp;" "&amp;B840</f>
        <v>005010600402607000KD Mahkamah Syar'iyah Jantho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0</v>
      </c>
      <c r="E843" s="25">
        <f>SUMIFS('Daftar Koreksi'!$H$5:$H$92,'Daftar Koreksi'!$D$5:$D$92,'0600'!A840,'Daftar Koreksi'!$G$5:$G$92,"Persediaan",'Daftar Koreksi'!$H$5:$H$92,"&gt;0")</f>
        <v>0</v>
      </c>
      <c r="F843" s="25">
        <f>SUMIFS('Daftar Koreksi'!$H$5:$H$92,'Daftar Koreksi'!$D$5:$D$92,'0600'!A840,'Daftar Koreksi'!$G$5:$G$92,"Persediaan",'Daftar Koreksi'!$H$5:$H$92,"&lt;0")-SUMIFS('Daftar Koreksi'!$H$5:$H$92,'Daftar Koreksi'!$D$5:$D$92,'0600'!A840,'Daftar Koreksi'!$G$5:$G$92,"Persediaan",'Daftar Koreksi'!$H$5:$H$92,"&lt;0")-SUMIFS('Daftar Koreksi'!$H$5:$H$92,'Daftar Koreksi'!$D$5:$D$92,'0600'!A840,'Daftar Koreksi'!$G$5:$G$92,"Persediaan",'Daftar Koreksi'!$H$5:$H$92,"&lt;0")</f>
        <v>0</v>
      </c>
      <c r="G843" s="17">
        <f>D843+E843-F843</f>
        <v>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1400327000</v>
      </c>
      <c r="E844" s="25">
        <f>SUMIFS('Daftar Koreksi'!$H$5:$H$92,'Daftar Koreksi'!$D$5:$D$92,'0600'!A840,'Daftar Koreksi'!$G$5:$G$92,"Tanah",'Daftar Koreksi'!$H$5:$H$92,"&gt;0")</f>
        <v>0</v>
      </c>
      <c r="F844" s="25">
        <f>SUMIFS('Daftar Koreksi'!$H$5:$H$92,'Daftar Koreksi'!$D$5:$D$92,'0600'!A840,'Daftar Koreksi'!$G$5:$G$92,"Tanah",'Daftar Koreksi'!$H$5:$H$92,"&lt;0")-SUMIFS('Daftar Koreksi'!$H$5:$H$92,'Daftar Koreksi'!$D$5:$D$92,'0600'!A840,'Daftar Koreksi'!$G$5:$G$92,"Tanah",'Daftar Koreksi'!$H$5:$H$92,"&lt;0")-SUMIFS('Daftar Koreksi'!$H$5:$H$92,'Daftar Koreksi'!$D$5:$D$92,'0600'!A840,'Daftar Koreksi'!$G$5:$G$92,"Tanah",'Daftar Koreksi'!$H$5:$H$92,"&lt;0")</f>
        <v>0</v>
      </c>
      <c r="G844" s="17">
        <f t="shared" ref="G844:G860" si="38">D844+E844-F844</f>
        <v>1400327000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1351377698</v>
      </c>
      <c r="E845" s="25">
        <f>SUMIFS('Daftar Koreksi'!$H$5:$H$92,'Daftar Koreksi'!$D$5:$D$92,'0600'!A840,'Daftar Koreksi'!$G$5:$G$92,"Peralatan dan mesin",'Daftar Koreksi'!$H$5:$H$92,"&gt;0")</f>
        <v>0</v>
      </c>
      <c r="F845" s="25">
        <f>SUMIFS('Daftar Koreksi'!$H$5:$H$92,'Daftar Koreksi'!$D$5:$D$92,'0600'!A840,'Daftar Koreksi'!$G$5:$G$92,"Peralatan dan mesin",'Daftar Koreksi'!$H$5:$H$92,"&lt;0")-SUMIFS('Daftar Koreksi'!$H$5:$H$92,'Daftar Koreksi'!$D$5:$D$92,'0600'!A840,'Daftar Koreksi'!$G$5:$G$92,"Peralatan dan mesin",'Daftar Koreksi'!$H$5:$H$92,"&lt;0")-SUMIFS('Daftar Koreksi'!$H$5:$H$92,'Daftar Koreksi'!$D$5:$D$92,'0600'!A840,'Daftar Koreksi'!$G$5:$G$92,"Peralatan dan mesin",'Daftar Koreksi'!$H$5:$H$92,"&lt;0")</f>
        <v>0</v>
      </c>
      <c r="G845" s="17">
        <f t="shared" si="38"/>
        <v>1351377698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6657170580</v>
      </c>
      <c r="E846" s="25">
        <f>SUMIFS('Daftar Koreksi'!$H$5:$H$92,'Daftar Koreksi'!$D$5:$D$92,'0600'!A840,'Daftar Koreksi'!$G$5:$G$92,"Gedung dan Bangunan",'Daftar Koreksi'!$H$5:$H$92,"&gt;0")</f>
        <v>0</v>
      </c>
      <c r="F846" s="25">
        <f>SUMIFS('Daftar Koreksi'!$H$5:$H$92,'Daftar Koreksi'!$D$5:$D$92,'0600'!A840,'Daftar Koreksi'!$G$5:$G$92,"Gedung dan Bangunan",'Daftar Koreksi'!$H$5:$H$92,"&lt;0")-SUMIFS('Daftar Koreksi'!$H$5:$H$92,'Daftar Koreksi'!$D$5:$D$92,'0600'!A840,'Daftar Koreksi'!$G$5:$G$92,"Gedung dan Bangunan",'Daftar Koreksi'!$H$5:$H$92,"&lt;0")-SUMIFS('Daftar Koreksi'!$H$5:$H$92,'Daftar Koreksi'!$D$5:$D$92,'0600'!A840,'Daftar Koreksi'!$G$5:$G$92,"Gedung dan Bangunan",'Daftar Koreksi'!$H$5:$H$92,"&lt;0")</f>
        <v>0</v>
      </c>
      <c r="G846" s="17">
        <f t="shared" si="38"/>
        <v>6657170580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0</v>
      </c>
      <c r="E847" s="25">
        <f>SUMIFS('Daftar Koreksi'!$H$5:$H$92,'Daftar Koreksi'!$D$5:$D$92,'0600'!A840,'Daftar Koreksi'!$G$5:$G$92,"Jalan Irigasi Jaringan",'Daftar Koreksi'!$H$5:$H$92,"&gt;0")</f>
        <v>0</v>
      </c>
      <c r="F847" s="25">
        <f>SUMIFS('Daftar Koreksi'!$H$5:$H$92,'Daftar Koreksi'!$D$5:$D$92,'0600'!A840,'Daftar Koreksi'!$G$5:$G$92,"Jalan Irigasi Jaringan",'Daftar Koreksi'!$H$5:$H$92,"&lt;0")-SUMIFS('Daftar Koreksi'!$H$5:$H$92,'Daftar Koreksi'!$D$5:$D$92,'0600'!A840,'Daftar Koreksi'!$G$5:$G$92,"Jalan Irigasi Jaringan",'Daftar Koreksi'!$H$5:$H$92,"&lt;0")-SUMIFS('Daftar Koreksi'!$H$5:$H$92,'Daftar Koreksi'!$D$5:$D$92,'0600'!A840,'Daftar Koreksi'!$G$5:$G$92,"Jalan Irigasi Jaringan",'Daftar Koreksi'!$H$5:$H$92,"&lt;0")</f>
        <v>0</v>
      </c>
      <c r="G847" s="17">
        <f t="shared" si="38"/>
        <v>0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0</v>
      </c>
      <c r="E848" s="25">
        <f>SUMIFS('Daftar Koreksi'!$H$5:$H$92,'Daftar Koreksi'!$D$5:$D$92,'0600'!A840,'Daftar Koreksi'!$G$5:$G$92,"Aset Tetap Lainnya",'Daftar Koreksi'!$H$5:$H$92,"&gt;0")</f>
        <v>0</v>
      </c>
      <c r="F848" s="25">
        <f>SUMIFS('Daftar Koreksi'!$H$5:$H$92,'Daftar Koreksi'!$D$5:$D$92,'0600'!A840,'Daftar Koreksi'!$G$5:$G$92,"Aset Tetap Lainnya",'Daftar Koreksi'!$H$5:$H$92,"&lt;0")-SUMIFS('Daftar Koreksi'!$H$5:$H$92,'Daftar Koreksi'!$D$5:$D$92,'0600'!A840,'Daftar Koreksi'!$G$5:$G$92,"Aset Tetap Lainnya",'Daftar Koreksi'!$H$5:$H$92,"&lt;0")-SUMIFS('Daftar Koreksi'!$H$5:$H$92,'Daftar Koreksi'!$D$5:$D$92,'0600'!A840,'Daftar Koreksi'!$G$5:$G$92,"Aset Tetap Lainnya",'Daftar Koreksi'!$H$5:$H$92,"&lt;0")</f>
        <v>0</v>
      </c>
      <c r="G848" s="17">
        <f t="shared" si="38"/>
        <v>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Koreksi'!$D$5:$D$92,'0600'!A840,'Daftar Koreksi'!$G$5:$G$92,"Kontruksi Dalam Pengerjaan",'Daftar Koreksi'!$H$5:$H$92,"&gt;0")</f>
        <v>0</v>
      </c>
      <c r="F849" s="25">
        <f>SUMIFS('Daftar Koreksi'!$H$5:$H$92,'Daftar Koreksi'!$D$5:$D$92,'0600'!A840,'Daftar Koreksi'!$G$5:$G$92,"Kontruksi Dalam Pengerjaan",'Daftar Koreksi'!$H$5:$H$92,"&lt;0")-SUMIFS('Daftar Koreksi'!$H$5:$H$92,'Daftar Koreksi'!$D$5:$D$92,'0600'!A840,'Daftar Koreksi'!$G$5:$G$92,"Kontruksi Dalam Pengerjaan",'Daftar Koreksi'!$H$5:$H$92,"&lt;0")-SUMIFS('Daftar Koreksi'!$H$5:$H$92,'Daftar Koreksi'!$D$5:$D$92,'0600'!A840,'Daftar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5289100</v>
      </c>
      <c r="E850" s="25">
        <f>SUMIFS('Daftar Koreksi'!$H$5:$H$92,'Daftar Koreksi'!$D$5:$D$92,'0600'!A840,'Daftar Koreksi'!$G$5:$G$92,"Aset Tak Berwujud",'Daftar Koreksi'!$H$5:$H$92,"&gt;0")</f>
        <v>0</v>
      </c>
      <c r="F850" s="25">
        <f>SUMIFS('Daftar Koreksi'!$H$5:$H$92,'Daftar Koreksi'!$D$5:$D$92,'0600'!A840,'Daftar Koreksi'!$G$5:$G$92,"Aset Tak Berwujud",'Daftar Koreksi'!$H$5:$H$92,"&lt;0")-SUMIFS('Daftar Koreksi'!$H$5:$H$92,'Daftar Koreksi'!$D$5:$D$92,'0600'!A840,'Daftar Koreksi'!$G$5:$G$92,"Aset Tak Berwujud",'Daftar Koreksi'!$H$5:$H$92,"&lt;0")-SUMIFS('Daftar Koreksi'!$H$5:$H$92,'Daftar Koreksi'!$D$5:$D$92,'0600'!A840,'Daftar Koreksi'!$G$5:$G$92,"Aset Tak Berwujud",'Daftar Koreksi'!$H$5:$H$92,"&lt;0")</f>
        <v>0</v>
      </c>
      <c r="G850" s="17">
        <f t="shared" si="38"/>
        <v>5289100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0</v>
      </c>
      <c r="E851" s="25">
        <f>SUMIFS('Daftar Koreksi'!$H$5:$H$92,'Daftar Koreksi'!$D$5:$D$92,'0600'!A840,'Daftar Koreksi'!$G$5:$G$92,"Aset Henti Guna",'Daftar Koreksi'!$H$5:$H$92,"&gt;0")</f>
        <v>0</v>
      </c>
      <c r="F851" s="25">
        <f>SUMIFS('Daftar Koreksi'!$H$5:$H$92,'Daftar Koreksi'!$D$5:$D$92,'0600'!A840,'Daftar Koreksi'!$G$5:$G$92,"Aset Henti Guna",'Daftar Koreksi'!$H$5:$H$92,"&lt;0")-SUMIFS('Daftar Koreksi'!$H$5:$H$92,'Daftar Koreksi'!$D$5:$D$92,'0600'!A840,'Daftar Koreksi'!$G$5:$G$92,"Aset Henti Guna",'Daftar Koreksi'!$H$5:$H$92,"&lt;0")-SUMIFS('Daftar Koreksi'!$H$5:$H$92,'Daftar Koreksi'!$D$5:$D$92,'0600'!A840,'Daftar Koreksi'!$G$5:$G$92,"Aset Henti Guna",'Daftar Koreksi'!$H$5:$H$92,"&lt;0")</f>
        <v>0</v>
      </c>
      <c r="G851" s="17">
        <f t="shared" si="38"/>
        <v>0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9414164378</v>
      </c>
      <c r="E852" s="19">
        <f>SUM(E843:E851)</f>
        <v>0</v>
      </c>
      <c r="F852" s="19">
        <f>SUM(F843:F851)</f>
        <v>0</v>
      </c>
      <c r="G852" s="19">
        <f t="shared" si="38"/>
        <v>9414164378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-1183143768</v>
      </c>
      <c r="E853" s="25">
        <f>SUMIFS('Daftar Koreksi'!$I$5:$I$92,'Daftar Koreksi'!$D$5:$D$92,'0600'!A840,'Daftar Koreksi'!$G$5:$G$92,"Peralatan dan mesin",'Daftar Koreksi'!$I$5:$I$92,"&gt;0")</f>
        <v>0</v>
      </c>
      <c r="F853" s="25">
        <f>SUMIFS('Daftar Koreksi'!$I$5:$I$92,'Daftar Koreksi'!$D$5:$D$92,'0600'!A840,'Daftar Koreksi'!$G$5:$G$92,"Peralatan dan mesin",'Daftar Koreksi'!$I$5:$I$92,"&lt;0")-SUMIFS('Daftar Koreksi'!$I$5:$I$92,'Daftar Koreksi'!$D$5:$D$92,'0600'!A840,'Daftar Koreksi'!$G$5:$G$92,"Peralatan dan mesin",'Daftar Koreksi'!$I$5:$I$92,"&lt;0")-SUMIFS('Daftar Koreksi'!$I$5:$I$92,'Daftar Koreksi'!$D$5:$D$92,'0600'!A840,'Daftar Koreksi'!$G$5:$G$92,"Peralatan dan mesin",'Daftar Koreksi'!$I$5:$I$92,"&lt;0")</f>
        <v>0</v>
      </c>
      <c r="G853" s="17">
        <f t="shared" si="38"/>
        <v>-1183143768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-656457200</v>
      </c>
      <c r="E854" s="25">
        <f>SUMIFS('Daftar Koreksi'!$I$5:$I$92,'Daftar Koreksi'!$D$5:$D$92,'0600'!A840,'Daftar Koreksi'!$G$5:$G$92,"Gedung dan Bangunan",'Daftar Koreksi'!$I$5:$I$92,"&gt;0")</f>
        <v>0</v>
      </c>
      <c r="F854" s="25">
        <f>SUMIFS('Daftar Koreksi'!$I$5:$I$92,'Daftar Koreksi'!$D$5:$D$92,'0600'!A840,'Daftar Koreksi'!$G$5:$G$92,"Gedung dan Bangunan",'Daftar Koreksi'!$I$5:$I$92,"&lt;0")-SUMIFS('Daftar Koreksi'!$I$5:$I$92,'Daftar Koreksi'!$D$5:$D$92,'0600'!A840,'Daftar Koreksi'!$G$5:$G$92,"Gedung dan Bangunan",'Daftar Koreksi'!$I$5:$I$92,"&lt;0")-SUMIFS('Daftar Koreksi'!$I$5:$I$92,'Daftar Koreksi'!$D$5:$D$92,'0600'!A840,'Daftar Koreksi'!$G$5:$G$92,"Gedung dan Bangunan",'Daftar Koreksi'!$I$5:$I$92,"&lt;0")</f>
        <v>0</v>
      </c>
      <c r="G854" s="17">
        <f t="shared" si="38"/>
        <v>-656457200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0</v>
      </c>
      <c r="E855" s="25">
        <f>SUMIFS('Daftar Koreksi'!$I$5:$I$92,'Daftar Koreksi'!$D$5:$D$92,'0600'!A840,'Daftar Koreksi'!$G$5:$G$92,"Jalan Irigasi Jaringan",'Daftar Koreksi'!$I$5:$I$92,"&gt;0")</f>
        <v>0</v>
      </c>
      <c r="F855" s="25">
        <f>SUMIFS('Daftar Koreksi'!$I$5:$I$92,'Daftar Koreksi'!$D$5:$D$92,'0600'!A840,'Daftar Koreksi'!$G$5:$G$92,"Jalan Irigasi Jaringan",'Daftar Koreksi'!$I$5:$I$92,"&lt;0")-SUMIFS('Daftar Koreksi'!$I$5:$I$92,'Daftar Koreksi'!$D$5:$D$92,'0600'!A840,'Daftar Koreksi'!$G$5:$G$92,"Jalan Irigasi Jaringan",'Daftar Koreksi'!$I$5:$I$92,"&lt;0")-SUMIFS('Daftar Koreksi'!$I$5:$I$92,'Daftar Koreksi'!$D$5:$D$92,'0600'!A840,'Daftar Koreksi'!$G$5:$G$92,"Jalan Irigasi Jaringan",'Daftar Koreksi'!$I$5:$I$92,"&lt;0")</f>
        <v>0</v>
      </c>
      <c r="G855" s="17">
        <f t="shared" si="38"/>
        <v>0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Koreksi'!$D$5:$D$92,'0600'!A840,'Daftar Koreksi'!$G$5:$G$92,"Aset Tetap Lainnya",'Daftar Koreksi'!$I$5:$I$92,"&gt;0")</f>
        <v>0</v>
      </c>
      <c r="F856" s="25">
        <f>SUMIFS('Daftar Koreksi'!$I$5:$I$92,'Daftar Koreksi'!$D$5:$D$92,'0600'!A840,'Daftar Koreksi'!$G$5:$G$92,"Aset Tetap Lainnya",'Daftar Koreksi'!$I$5:$I$92,"&lt;0")-SUMIFS('Daftar Koreksi'!$I$5:$I$92,'Daftar Koreksi'!$D$5:$D$92,'0600'!A840,'Daftar Koreksi'!$G$5:$G$92,"Aset Tetap Lainnya",'Daftar Koreksi'!$I$5:$I$92,"&lt;0")-SUMIFS('Daftar Koreksi'!$I$5:$I$92,'Daftar Koreksi'!$D$5:$D$92,'0600'!A840,'Daftar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0</v>
      </c>
      <c r="E857" s="25">
        <f>SUMIFS('Daftar Koreksi'!$I$5:$I$92,'Daftar Koreksi'!$D$5:$D$92,'0600'!A840,'Daftar Koreksi'!$G$5:$G$92,"Aset Henti Guna",'Daftar Koreksi'!$I$5:$I$92,"&gt;0")</f>
        <v>0</v>
      </c>
      <c r="F857" s="25">
        <f>SUMIFS('Daftar Koreksi'!$I$5:$I$92,'Daftar Koreksi'!$D$5:$D$92,'0600'!A840,'Daftar Koreksi'!$G$5:$G$92,"Aset Henti Guna",'Daftar Koreksi'!$I$5:$I$92,"&lt;0")-SUMIFS('Daftar Koreksi'!$I$5:$I$92,'Daftar Koreksi'!$D$5:$D$92,'0600'!A840,'Daftar Koreksi'!$G$5:$G$92,"Aset Henti Guna",'Daftar Koreksi'!$I$5:$I$92,"&lt;0")-SUMIFS('Daftar Koreksi'!$I$5:$I$92,'Daftar Koreksi'!$D$5:$D$92,'0600'!A840,'Daftar Koreksi'!$G$5:$G$92,"Aset Henti Guna",'Daftar Koreksi'!$I$5:$I$92,"&lt;0")</f>
        <v>0</v>
      </c>
      <c r="G857" s="17">
        <f t="shared" si="38"/>
        <v>0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-1839600968</v>
      </c>
      <c r="E858" s="19">
        <f>SUM(E853:E857)</f>
        <v>0</v>
      </c>
      <c r="F858" s="19">
        <f>SUM(F853:F857)</f>
        <v>0</v>
      </c>
      <c r="G858" s="19">
        <f t="shared" si="38"/>
        <v>-1839600968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7574563410</v>
      </c>
      <c r="E859" s="19">
        <f>E858+E852</f>
        <v>0</v>
      </c>
      <c r="F859" s="19">
        <f>F858+F852</f>
        <v>0</v>
      </c>
      <c r="G859" s="19">
        <f t="shared" si="38"/>
        <v>7574563410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005010600578818000KD</v>
      </c>
      <c r="B862" s="11" t="str">
        <f>P40</f>
        <v>PTUN. Banda Aceh</v>
      </c>
      <c r="C862" s="12" t="str">
        <f>A862&amp;" "&amp;B862</f>
        <v>005010600578818000KD PTUN. Banda Aceh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10" ht="21.95" customHeight="1">
      <c r="A865" s="14"/>
      <c r="B865" s="14"/>
      <c r="C865" s="16" t="s">
        <v>1165</v>
      </c>
      <c r="D865" s="17">
        <f>VLOOKUP(A862,'Neraca Unaudited SIMAK'!$A$2:$S$10004,3,FALSE)</f>
        <v>919620</v>
      </c>
      <c r="E865" s="25">
        <f>SUMIFS('Daftar Koreksi'!$H$5:$H$92,'Daftar Koreksi'!$D$5:$D$92,'0600'!A862,'Daftar Koreksi'!$G$5:$G$92,"Persediaan",'Daftar Koreksi'!$H$5:$H$92,"&gt;0")</f>
        <v>0</v>
      </c>
      <c r="F865" s="25">
        <f>SUMIFS('Daftar Koreksi'!$H$5:$H$92,'Daftar Koreksi'!$D$5:$D$92,'0600'!A862,'Daftar Koreksi'!$G$5:$G$92,"Persediaan",'Daftar Koreksi'!$H$5:$H$92,"&lt;0")-SUMIFS('Daftar Koreksi'!$H$5:$H$92,'Daftar Koreksi'!$D$5:$D$92,'0600'!A862,'Daftar Koreksi'!$G$5:$G$92,"Persediaan",'Daftar Koreksi'!$H$5:$H$92,"&lt;0")-SUMIFS('Daftar Koreksi'!$H$5:$H$92,'Daftar Koreksi'!$D$5:$D$92,'0600'!A862,'Daftar Koreksi'!$G$5:$G$92,"Persediaan",'Daftar Koreksi'!$H$5:$H$92,"&lt;0")</f>
        <v>0</v>
      </c>
      <c r="G865" s="17">
        <f>D865+E865-F865</f>
        <v>919620</v>
      </c>
      <c r="H865" s="121" t="str">
        <f>IF(ISNA(VLOOKUP(A862,'Mutasi Neraca'!$A$3:$S$914,19,FALSE)),"-",VLOOKUP(A862,'Mutasi Neraca'!$A$3:$S$914,19,FALSE))</f>
        <v>-</v>
      </c>
    </row>
    <row r="866" spans="1:10" ht="21.95" customHeight="1">
      <c r="A866" s="14"/>
      <c r="B866" s="14"/>
      <c r="C866" s="16" t="s">
        <v>1166</v>
      </c>
      <c r="D866" s="17">
        <f>VLOOKUP(A862,'Neraca Unaudited SIMAK'!$A$2:$S$10004,4,FALSE)</f>
        <v>1918278250</v>
      </c>
      <c r="E866" s="25">
        <f>SUMIFS('Daftar Koreksi'!$H$5:$H$92,'Daftar Koreksi'!$D$5:$D$92,'0600'!A862,'Daftar Koreksi'!$G$5:$G$92,"Tanah",'Daftar Koreksi'!$H$5:$H$92,"&gt;0")</f>
        <v>0</v>
      </c>
      <c r="F866" s="25">
        <f>SUMIFS('Daftar Koreksi'!$H$5:$H$92,'Daftar Koreksi'!$D$5:$D$92,'0600'!A862,'Daftar Koreksi'!$G$5:$G$92,"Tanah",'Daftar Koreksi'!$H$5:$H$92,"&lt;0")-SUMIFS('Daftar Koreksi'!$H$5:$H$92,'Daftar Koreksi'!$D$5:$D$92,'0600'!A862,'Daftar Koreksi'!$G$5:$G$92,"Tanah",'Daftar Koreksi'!$H$5:$H$92,"&lt;0")-SUMIFS('Daftar Koreksi'!$H$5:$H$92,'Daftar Koreksi'!$D$5:$D$92,'0600'!A862,'Daftar Koreksi'!$G$5:$G$92,"Tanah",'Daftar Koreksi'!$H$5:$H$92,"&lt;0")</f>
        <v>0</v>
      </c>
      <c r="G866" s="17">
        <f t="shared" ref="G866:G882" si="39">D866+E866-F866</f>
        <v>1918278250</v>
      </c>
      <c r="H866" s="122"/>
    </row>
    <row r="867" spans="1:10" ht="21.95" customHeight="1">
      <c r="A867" s="14"/>
      <c r="B867" s="14"/>
      <c r="C867" s="16" t="s">
        <v>1167</v>
      </c>
      <c r="D867" s="17">
        <f>VLOOKUP(A862,'Neraca Unaudited SIMAK'!$A$2:$S$10004,5,FALSE)</f>
        <v>2366920686</v>
      </c>
      <c r="E867" s="25">
        <f>SUMIFS('Daftar Koreksi'!$H$5:$H$92,'Daftar Koreksi'!$D$5:$D$92,'0600'!A862,'Daftar Koreksi'!$G$5:$G$92,"Peralatan dan mesin",'Daftar Koreksi'!$H$5:$H$92,"&gt;0")</f>
        <v>0</v>
      </c>
      <c r="F867" s="25">
        <f>SUMIFS('Daftar Koreksi'!$H$5:$H$92,'Daftar Koreksi'!$D$5:$D$92,'0600'!A862,'Daftar Koreksi'!$G$5:$G$92,"Peralatan dan mesin",'Daftar Koreksi'!$H$5:$H$92,"&lt;0")-SUMIFS('Daftar Koreksi'!$H$5:$H$92,'Daftar Koreksi'!$D$5:$D$92,'0600'!A862,'Daftar Koreksi'!$G$5:$G$92,"Peralatan dan mesin",'Daftar Koreksi'!$H$5:$H$92,"&lt;0")-SUMIFS('Daftar Koreksi'!$H$5:$H$92,'Daftar Koreksi'!$D$5:$D$92,'0600'!A862,'Daftar Koreksi'!$G$5:$G$92,"Peralatan dan mesin",'Daftar Koreksi'!$H$5:$H$92,"&lt;0")</f>
        <v>0</v>
      </c>
      <c r="G867" s="17">
        <f t="shared" si="39"/>
        <v>2366920686</v>
      </c>
      <c r="H867" s="122"/>
    </row>
    <row r="868" spans="1:10" ht="21.95" customHeight="1">
      <c r="A868" s="14"/>
      <c r="B868" s="14"/>
      <c r="C868" s="16" t="s">
        <v>1168</v>
      </c>
      <c r="D868" s="17">
        <f>VLOOKUP(A862,'Neraca Unaudited SIMAK'!$A$2:$S$10004,6,FALSE)</f>
        <v>14082166100</v>
      </c>
      <c r="E868" s="25">
        <f>SUMIFS('Daftar Koreksi'!$H$5:$H$92,'Daftar Koreksi'!$D$5:$D$92,'0600'!A862,'Daftar Koreksi'!$G$5:$G$92,"Gedung dan Bangunan",'Daftar Koreksi'!$H$5:$H$92,"&gt;0")</f>
        <v>0</v>
      </c>
      <c r="F868" s="25">
        <f>SUMIFS('Daftar Koreksi'!$H$5:$H$92,'Daftar Koreksi'!$D$5:$D$92,'0600'!A862,'Daftar Koreksi'!$G$5:$G$92,"Gedung dan Bangunan",'Daftar Koreksi'!$H$5:$H$92,"&lt;0")-SUMIFS('Daftar Koreksi'!$H$5:$H$92,'Daftar Koreksi'!$D$5:$D$92,'0600'!A862,'Daftar Koreksi'!$G$5:$G$92,"Gedung dan Bangunan",'Daftar Koreksi'!$H$5:$H$92,"&lt;0")-SUMIFS('Daftar Koreksi'!$H$5:$H$92,'Daftar Koreksi'!$D$5:$D$92,'0600'!A862,'Daftar Koreksi'!$G$5:$G$92,"Gedung dan Bangunan",'Daftar Koreksi'!$H$5:$H$92,"&lt;0")</f>
        <v>0</v>
      </c>
      <c r="G868" s="17">
        <f t="shared" si="39"/>
        <v>14082166100</v>
      </c>
      <c r="H868" s="122"/>
    </row>
    <row r="869" spans="1:10" ht="21.95" customHeight="1">
      <c r="A869" s="14"/>
      <c r="B869" s="14"/>
      <c r="C869" s="16" t="s">
        <v>1169</v>
      </c>
      <c r="D869" s="17">
        <f>VLOOKUP(A862,'Neraca Unaudited SIMAK'!$A$2:$S$10004,7,FALSE)</f>
        <v>0</v>
      </c>
      <c r="E869" s="25">
        <f>SUMIFS('Daftar Koreksi'!$H$5:$H$92,'Daftar Koreksi'!$D$5:$D$92,'0600'!A862,'Daftar Koreksi'!$G$5:$G$92,"Jalan Irigasi Jaringan",'Daftar Koreksi'!$H$5:$H$92,"&gt;0")</f>
        <v>0</v>
      </c>
      <c r="F869" s="25">
        <f>SUMIFS('Daftar Koreksi'!$H$5:$H$92,'Daftar Koreksi'!$D$5:$D$92,'0600'!A862,'Daftar Koreksi'!$G$5:$G$92,"Jalan Irigasi Jaringan",'Daftar Koreksi'!$H$5:$H$92,"&lt;0")-SUMIFS('Daftar Koreksi'!$H$5:$H$92,'Daftar Koreksi'!$D$5:$D$92,'0600'!A862,'Daftar Koreksi'!$G$5:$G$92,"Jalan Irigasi Jaringan",'Daftar Koreksi'!$H$5:$H$92,"&lt;0")-SUMIFS('Daftar Koreksi'!$H$5:$H$92,'Daftar Koreksi'!$D$5:$D$92,'0600'!A862,'Daftar Koreksi'!$G$5:$G$92,"Jalan Irigasi Jaringan",'Daftar Koreksi'!$H$5:$H$92,"&lt;0")</f>
        <v>0</v>
      </c>
      <c r="G869" s="17">
        <f t="shared" si="39"/>
        <v>0</v>
      </c>
      <c r="H869" s="122"/>
    </row>
    <row r="870" spans="1:10" ht="21.95" customHeight="1">
      <c r="A870" s="14"/>
      <c r="B870" s="14"/>
      <c r="C870" s="16" t="s">
        <v>1170</v>
      </c>
      <c r="D870" s="17">
        <f>VLOOKUP(A862,'Neraca Unaudited SIMAK'!$A$2:$S$10004,8,FALSE)</f>
        <v>0</v>
      </c>
      <c r="E870" s="25">
        <f>SUMIFS('Daftar Koreksi'!$H$5:$H$92,'Daftar Koreksi'!$D$5:$D$92,'0600'!A862,'Daftar Koreksi'!$G$5:$G$92,"Aset Tetap Lainnya",'Daftar Koreksi'!$H$5:$H$92,"&gt;0")</f>
        <v>0</v>
      </c>
      <c r="F870" s="25">
        <f>SUMIFS('Daftar Koreksi'!$H$5:$H$92,'Daftar Koreksi'!$D$5:$D$92,'0600'!A862,'Daftar Koreksi'!$G$5:$G$92,"Aset Tetap Lainnya",'Daftar Koreksi'!$H$5:$H$92,"&lt;0")-SUMIFS('Daftar Koreksi'!$H$5:$H$92,'Daftar Koreksi'!$D$5:$D$92,'0600'!A862,'Daftar Koreksi'!$G$5:$G$92,"Aset Tetap Lainnya",'Daftar Koreksi'!$H$5:$H$92,"&lt;0")-SUMIFS('Daftar Koreksi'!$H$5:$H$92,'Daftar Koreksi'!$D$5:$D$92,'0600'!A862,'Daftar Koreksi'!$G$5:$G$92,"Aset Tetap Lainnya",'Daftar Koreksi'!$H$5:$H$92,"&lt;0")</f>
        <v>0</v>
      </c>
      <c r="G870" s="17">
        <f t="shared" si="39"/>
        <v>0</v>
      </c>
      <c r="H870" s="122"/>
    </row>
    <row r="871" spans="1:10" ht="21.95" customHeight="1">
      <c r="A871" s="14"/>
      <c r="B871" s="14"/>
      <c r="C871" s="16" t="s">
        <v>1171</v>
      </c>
      <c r="D871" s="17">
        <f>VLOOKUP(A862,'Neraca Unaudited SIMAK'!$A$2:$S$10004,9,FALSE)</f>
        <v>0</v>
      </c>
      <c r="E871" s="25">
        <f>SUMIFS('Daftar Koreksi'!$H$5:$H$92,'Daftar Koreksi'!$D$5:$D$92,'0600'!A862,'Daftar Koreksi'!$G$5:$G$92,"Kontruksi Dalam Pengerjaan",'Daftar Koreksi'!$H$5:$H$92,"&gt;0")</f>
        <v>0</v>
      </c>
      <c r="F871" s="25">
        <f>SUMIFS('Daftar Koreksi'!$H$5:$H$92,'Daftar Koreksi'!$D$5:$D$92,'0600'!A862,'Daftar Koreksi'!$G$5:$G$92,"Kontruksi Dalam Pengerjaan",'Daftar Koreksi'!$H$5:$H$92,"&lt;0")-SUMIFS('Daftar Koreksi'!$H$5:$H$92,'Daftar Koreksi'!$D$5:$D$92,'0600'!A862,'Daftar Koreksi'!$G$5:$G$92,"Kontruksi Dalam Pengerjaan",'Daftar Koreksi'!$H$5:$H$92,"&lt;0")-SUMIFS('Daftar Koreksi'!$H$5:$H$92,'Daftar Koreksi'!$D$5:$D$92,'0600'!A862,'Daftar Koreksi'!$G$5:$G$92,"Kontruksi Dalam Pengerjaan",'Daftar Koreksi'!$H$5:$H$92,"&lt;0")</f>
        <v>0</v>
      </c>
      <c r="G871" s="17">
        <f t="shared" si="39"/>
        <v>0</v>
      </c>
      <c r="H871" s="122"/>
    </row>
    <row r="872" spans="1:10" ht="21.95" customHeight="1">
      <c r="A872" s="14"/>
      <c r="B872" s="14"/>
      <c r="C872" s="16" t="s">
        <v>1172</v>
      </c>
      <c r="D872" s="17">
        <f>VLOOKUP(A862,'Neraca Unaudited SIMAK'!$A$2:$S$10004,10,FALSE)</f>
        <v>79000000</v>
      </c>
      <c r="E872" s="25">
        <f>SUMIFS('Daftar Koreksi'!$H$5:$H$92,'Daftar Koreksi'!$D$5:$D$92,'0600'!A862,'Daftar Koreksi'!$G$5:$G$92,"Aset Tak Berwujud",'Daftar Koreksi'!$H$5:$H$92,"&gt;0")</f>
        <v>0</v>
      </c>
      <c r="F872" s="25">
        <f>SUMIFS('Daftar Koreksi'!$H$5:$H$92,'Daftar Koreksi'!$D$5:$D$92,'0600'!A862,'Daftar Koreksi'!$G$5:$G$92,"Aset Tak Berwujud",'Daftar Koreksi'!$H$5:$H$92,"&lt;0")-SUMIFS('Daftar Koreksi'!$H$5:$H$92,'Daftar Koreksi'!$D$5:$D$92,'0600'!A862,'Daftar Koreksi'!$G$5:$G$92,"Aset Tak Berwujud",'Daftar Koreksi'!$H$5:$H$92,"&lt;0")-SUMIFS('Daftar Koreksi'!$H$5:$H$92,'Daftar Koreksi'!$D$5:$D$92,'0600'!A862,'Daftar Koreksi'!$G$5:$G$92,"Aset Tak Berwujud",'Daftar Koreksi'!$H$5:$H$92,"&lt;0")</f>
        <v>0</v>
      </c>
      <c r="G872" s="17">
        <f t="shared" si="39"/>
        <v>79000000</v>
      </c>
      <c r="H872" s="122"/>
    </row>
    <row r="873" spans="1:10" ht="21.95" customHeight="1">
      <c r="A873" s="14"/>
      <c r="B873" s="14"/>
      <c r="C873" s="16" t="s">
        <v>1173</v>
      </c>
      <c r="D873" s="17">
        <f>VLOOKUP(A862,'Neraca Unaudited SIMAK'!$A$2:$S$10004,11,FALSE)</f>
        <v>212177650</v>
      </c>
      <c r="E873" s="25">
        <f>SUMIFS('Daftar Koreksi'!$H$5:$H$92,'Daftar Koreksi'!$D$5:$D$92,'0600'!A862,'Daftar Koreksi'!$G$5:$G$92,"Aset Henti Guna",'Daftar Koreksi'!$H$5:$H$92,"&gt;0")</f>
        <v>0</v>
      </c>
      <c r="F873" s="25">
        <f>SUMIFS('Daftar Koreksi'!$H$5:$H$92,'Daftar Koreksi'!$D$5:$D$92,'0600'!A862,'Daftar Koreksi'!$G$5:$G$92,"Aset Henti Guna",'Daftar Koreksi'!$H$5:$H$92,"&lt;0")-SUMIFS('Daftar Koreksi'!$H$5:$H$92,'Daftar Koreksi'!$D$5:$D$92,'0600'!A862,'Daftar Koreksi'!$G$5:$G$92,"Aset Henti Guna",'Daftar Koreksi'!$H$5:$H$92,"&lt;0")-SUMIFS('Daftar Koreksi'!$H$5:$H$92,'Daftar Koreksi'!$D$5:$D$92,'0600'!A862,'Daftar Koreksi'!$G$5:$G$92,"Aset Henti Guna",'Daftar Koreksi'!$H$5:$H$92,"&lt;0")</f>
        <v>0</v>
      </c>
      <c r="G873" s="17">
        <f t="shared" si="39"/>
        <v>212177650</v>
      </c>
      <c r="H873" s="122"/>
    </row>
    <row r="874" spans="1:10" ht="21.95" customHeight="1">
      <c r="A874" s="14"/>
      <c r="B874" s="14"/>
      <c r="C874" s="18" t="s">
        <v>2093</v>
      </c>
      <c r="D874" s="19">
        <f>VLOOKUP(A862,'Neraca Unaudited SIMAK'!$A$2:$S$10004,12,FALSE)</f>
        <v>18659462306</v>
      </c>
      <c r="E874" s="19">
        <f>SUM(E865:E873)</f>
        <v>0</v>
      </c>
      <c r="F874" s="19">
        <f>SUM(F865:F873)</f>
        <v>0</v>
      </c>
      <c r="G874" s="19">
        <f t="shared" si="39"/>
        <v>18659462306</v>
      </c>
      <c r="H874" s="122"/>
    </row>
    <row r="875" spans="1:10" ht="21.95" customHeight="1">
      <c r="A875" s="14"/>
      <c r="B875" s="14"/>
      <c r="C875" s="16" t="s">
        <v>2087</v>
      </c>
      <c r="D875" s="17">
        <f>VLOOKUP(A862,'Neraca Unaudited SIMAK'!$A$2:$S$10004,13,FALSE)</f>
        <v>-1985010803</v>
      </c>
      <c r="E875" s="25">
        <f>SUMIFS('Daftar Koreksi'!$I$5:$I$92,'Daftar Koreksi'!$D$5:$D$92,'0600'!A862,'Daftar Koreksi'!$G$5:$G$92,"Peralatan dan mesin",'Daftar Koreksi'!$I$5:$I$92,"&gt;0")</f>
        <v>0</v>
      </c>
      <c r="F875" s="25">
        <f>SUMIFS('Daftar Koreksi'!$I$5:$I$92,'Daftar Koreksi'!$D$5:$D$92,'0600'!A862,'Daftar Koreksi'!$G$5:$G$92,"Peralatan dan mesin",'Daftar Koreksi'!$I$5:$I$92,"&lt;0")-SUMIFS('Daftar Koreksi'!$I$5:$I$92,'Daftar Koreksi'!$D$5:$D$92,'0600'!A862,'Daftar Koreksi'!$G$5:$G$92,"Peralatan dan mesin",'Daftar Koreksi'!$I$5:$I$92,"&lt;0")-SUMIFS('Daftar Koreksi'!$I$5:$I$92,'Daftar Koreksi'!$D$5:$D$92,'0600'!A862,'Daftar Koreksi'!$G$5:$G$92,"Peralatan dan mesin",'Daftar Koreksi'!$I$5:$I$92,"&lt;0")</f>
        <v>0</v>
      </c>
      <c r="G875" s="17">
        <f t="shared" si="39"/>
        <v>-1985010803</v>
      </c>
      <c r="H875" s="122"/>
    </row>
    <row r="876" spans="1:10" ht="21.95" customHeight="1">
      <c r="A876" s="14"/>
      <c r="B876" s="14"/>
      <c r="C876" s="16" t="s">
        <v>2088</v>
      </c>
      <c r="D876" s="17">
        <f>VLOOKUP(A862,'Neraca Unaudited SIMAK'!$A$2:$S$10004,14,FALSE)</f>
        <v>-1658310694</v>
      </c>
      <c r="E876" s="25">
        <f>SUMIFS('Daftar Koreksi'!$I$5:$I$92,'Daftar Koreksi'!$D$5:$D$92,'0600'!A862,'Daftar Koreksi'!$G$5:$G$92,"Gedung dan Bangunan",'Daftar Koreksi'!$I$5:$I$92,"&gt;0")</f>
        <v>0</v>
      </c>
      <c r="F876" s="25">
        <f>SUMIFS('Daftar Koreksi'!$I$5:$I$92,'Daftar Koreksi'!$D$5:$D$92,'0600'!A862,'Daftar Koreksi'!$G$5:$G$92,"Gedung dan Bangunan",'Daftar Koreksi'!$I$5:$I$92,"&lt;0")-SUMIFS('Daftar Koreksi'!$I$5:$I$92,'Daftar Koreksi'!$D$5:$D$92,'0600'!A862,'Daftar Koreksi'!$G$5:$G$92,"Gedung dan Bangunan",'Daftar Koreksi'!$I$5:$I$92,"&lt;0")-SUMIFS('Daftar Koreksi'!$I$5:$I$92,'Daftar Koreksi'!$D$5:$D$92,'0600'!A862,'Daftar Koreksi'!$G$5:$G$92,"Gedung dan Bangunan",'Daftar Koreksi'!$I$5:$I$92,"&lt;0")</f>
        <v>0</v>
      </c>
      <c r="G876" s="17">
        <f t="shared" si="39"/>
        <v>-1658310694</v>
      </c>
      <c r="H876" s="122"/>
      <c r="J876" s="10"/>
    </row>
    <row r="877" spans="1:10" ht="21.95" customHeight="1">
      <c r="A877" s="14"/>
      <c r="B877" s="14"/>
      <c r="C877" s="16" t="s">
        <v>2089</v>
      </c>
      <c r="D877" s="17">
        <f>VLOOKUP(A862,'Neraca Unaudited SIMAK'!$A$2:$S$10004,15,FALSE)</f>
        <v>0</v>
      </c>
      <c r="E877" s="25">
        <f>SUMIFS('Daftar Koreksi'!$I$5:$I$92,'Daftar Koreksi'!$D$5:$D$92,'0600'!A862,'Daftar Koreksi'!$G$5:$G$92,"Jalan Irigasi Jaringan",'Daftar Koreksi'!$I$5:$I$92,"&gt;0")</f>
        <v>0</v>
      </c>
      <c r="F877" s="25">
        <f>SUMIFS('Daftar Koreksi'!$I$5:$I$92,'Daftar Koreksi'!$D$5:$D$92,'0600'!A862,'Daftar Koreksi'!$G$5:$G$92,"Jalan Irigasi Jaringan",'Daftar Koreksi'!$I$5:$I$92,"&lt;0")-SUMIFS('Daftar Koreksi'!$I$5:$I$92,'Daftar Koreksi'!$D$5:$D$92,'0600'!A862,'Daftar Koreksi'!$G$5:$G$92,"Jalan Irigasi Jaringan",'Daftar Koreksi'!$I$5:$I$92,"&lt;0")-SUMIFS('Daftar Koreksi'!$I$5:$I$92,'Daftar Koreksi'!$D$5:$D$92,'0600'!A862,'Daftar Koreksi'!$G$5:$G$92,"Jalan Irigasi Jaringan",'Daftar Koreksi'!$I$5:$I$92,"&lt;0")</f>
        <v>0</v>
      </c>
      <c r="G877" s="17">
        <f t="shared" si="39"/>
        <v>0</v>
      </c>
      <c r="H877" s="122"/>
    </row>
    <row r="878" spans="1:10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Koreksi'!$D$5:$D$92,'0600'!A862,'Daftar Koreksi'!$G$5:$G$92,"Aset Tetap Lainnya",'Daftar Koreksi'!$I$5:$I$92,"&gt;0")</f>
        <v>0</v>
      </c>
      <c r="F878" s="25">
        <f>SUMIFS('Daftar Koreksi'!$I$5:$I$92,'Daftar Koreksi'!$D$5:$D$92,'0600'!A862,'Daftar Koreksi'!$G$5:$G$92,"Aset Tetap Lainnya",'Daftar Koreksi'!$I$5:$I$92,"&lt;0")-SUMIFS('Daftar Koreksi'!$I$5:$I$92,'Daftar Koreksi'!$D$5:$D$92,'0600'!A862,'Daftar Koreksi'!$G$5:$G$92,"Aset Tetap Lainnya",'Daftar Koreksi'!$I$5:$I$92,"&lt;0")-SUMIFS('Daftar Koreksi'!$I$5:$I$92,'Daftar Koreksi'!$D$5:$D$92,'0600'!A862,'Daftar Koreksi'!$G$5:$G$92,"Aset Tetap Lainnya",'Daftar Koreksi'!$I$5:$I$92,"&lt;0")</f>
        <v>0</v>
      </c>
      <c r="G878" s="17">
        <f t="shared" si="39"/>
        <v>0</v>
      </c>
      <c r="H878" s="122"/>
    </row>
    <row r="879" spans="1:10" ht="21.95" customHeight="1">
      <c r="A879" s="14"/>
      <c r="B879" s="14"/>
      <c r="C879" s="16" t="s">
        <v>2020</v>
      </c>
      <c r="D879" s="17">
        <f>VLOOKUP(A862,'Neraca Unaudited SIMAK'!$A$2:$S$10004,17,FALSE)</f>
        <v>-211734825</v>
      </c>
      <c r="E879" s="25">
        <f>SUMIFS('Daftar Koreksi'!$I$5:$I$92,'Daftar Koreksi'!$D$5:$D$92,'0600'!A862,'Daftar Koreksi'!$G$5:$G$92,"Aset Henti Guna",'Daftar Koreksi'!$I$5:$I$92,"&gt;0")</f>
        <v>0</v>
      </c>
      <c r="F879" s="25">
        <f>SUMIFS('Daftar Koreksi'!$I$5:$I$92,'Daftar Koreksi'!$D$5:$D$92,'0600'!A862,'Daftar Koreksi'!$G$5:$G$92,"Aset Henti Guna",'Daftar Koreksi'!$I$5:$I$92,"&lt;0")-SUMIFS('Daftar Koreksi'!$I$5:$I$92,'Daftar Koreksi'!$D$5:$D$92,'0600'!A862,'Daftar Koreksi'!$G$5:$G$92,"Aset Henti Guna",'Daftar Koreksi'!$I$5:$I$92,"&lt;0")-SUMIFS('Daftar Koreksi'!$I$5:$I$92,'Daftar Koreksi'!$D$5:$D$92,'0600'!A862,'Daftar Koreksi'!$G$5:$G$92,"Aset Henti Guna",'Daftar Koreksi'!$I$5:$I$92,"&lt;0")</f>
        <v>0</v>
      </c>
      <c r="G879" s="17">
        <f t="shared" si="39"/>
        <v>-211734825</v>
      </c>
      <c r="H879" s="122"/>
    </row>
    <row r="880" spans="1:10" ht="21.95" customHeight="1">
      <c r="A880" s="14"/>
      <c r="B880" s="14"/>
      <c r="C880" s="18" t="s">
        <v>2094</v>
      </c>
      <c r="D880" s="19">
        <f>SUM(D875:D879)</f>
        <v>-3855056322</v>
      </c>
      <c r="E880" s="19">
        <f>SUM(E875:E879)</f>
        <v>0</v>
      </c>
      <c r="F880" s="19">
        <f>SUM(F875:F879)</f>
        <v>0</v>
      </c>
      <c r="G880" s="19">
        <f t="shared" si="39"/>
        <v>-3855056322</v>
      </c>
      <c r="H880" s="122"/>
    </row>
    <row r="881" spans="1:8" ht="21.95" customHeight="1">
      <c r="A881" s="14"/>
      <c r="B881" s="14"/>
      <c r="C881" s="18" t="s">
        <v>2095</v>
      </c>
      <c r="D881" s="19">
        <f>VLOOKUP(A862,'Neraca Unaudited SIMAK'!$A$2:$S$10004,18,FALSE)</f>
        <v>14804405984</v>
      </c>
      <c r="E881" s="19">
        <f>E880+E874</f>
        <v>0</v>
      </c>
      <c r="F881" s="19">
        <f>F880+F874</f>
        <v>0</v>
      </c>
      <c r="G881" s="19">
        <f t="shared" si="39"/>
        <v>14804405984</v>
      </c>
      <c r="H881" s="122"/>
    </row>
    <row r="882" spans="1:8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</row>
    <row r="884" spans="1:8" ht="19.5" customHeight="1">
      <c r="A884" s="11" t="str">
        <f>O41</f>
        <v>005010600663182000KD</v>
      </c>
      <c r="B884" s="11" t="str">
        <f>P41</f>
        <v>DILMIL.  I - 01 di Banda Aceh</v>
      </c>
      <c r="C884" s="12" t="str">
        <f>A884&amp;" "&amp;B884</f>
        <v>005010600663182000KD DILMIL.  I - 01 di Banda Aceh</v>
      </c>
      <c r="D884" s="13"/>
      <c r="E884" s="13"/>
      <c r="F884" s="13"/>
      <c r="G884" s="13"/>
      <c r="H884" s="11"/>
    </row>
    <row r="885" spans="1:8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8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8" ht="21.95" customHeight="1">
      <c r="A887" s="14"/>
      <c r="B887" s="14"/>
      <c r="C887" s="16" t="s">
        <v>1165</v>
      </c>
      <c r="D887" s="17">
        <f>VLOOKUP(A884,'Neraca Unaudited SIMAK'!$A$2:$S$10004,3,FALSE)</f>
        <v>3956020</v>
      </c>
      <c r="E887" s="25">
        <f>SUMIFS('Daftar Koreksi'!$H$5:$H$92,'Daftar Koreksi'!$D$5:$D$92,'0600'!A884,'Daftar Koreksi'!$G$5:$G$92,"Persediaan",'Daftar Koreksi'!$H$5:$H$92,"&gt;0")</f>
        <v>0</v>
      </c>
      <c r="F887" s="25">
        <f>SUMIFS('Daftar Koreksi'!$H$5:$H$92,'Daftar Koreksi'!$D$5:$D$92,'0600'!A884,'Daftar Koreksi'!$G$5:$G$92,"Persediaan",'Daftar Koreksi'!$H$5:$H$92,"&lt;0")-SUMIFS('Daftar Koreksi'!$H$5:$H$92,'Daftar Koreksi'!$D$5:$D$92,'0600'!A884,'Daftar Koreksi'!$G$5:$G$92,"Persediaan",'Daftar Koreksi'!$H$5:$H$92,"&lt;0")-SUMIFS('Daftar Koreksi'!$H$5:$H$92,'Daftar Koreksi'!$D$5:$D$92,'0600'!A884,'Daftar Koreksi'!$G$5:$G$92,"Persediaan",'Daftar Koreksi'!$H$5:$H$92,"&lt;0")</f>
        <v>0</v>
      </c>
      <c r="G887" s="17">
        <f>D887+E887-F887</f>
        <v>3956020</v>
      </c>
      <c r="H887" s="121" t="str">
        <f>IF(ISNA(VLOOKUP(A884,'Mutasi Neraca'!$A$3:$S$914,19,FALSE)),"-",VLOOKUP(A884,'Mutasi Neraca'!$A$3:$S$914,19,FALSE))</f>
        <v>-</v>
      </c>
    </row>
    <row r="888" spans="1:8" ht="21.95" customHeight="1">
      <c r="A888" s="14"/>
      <c r="B888" s="14"/>
      <c r="C888" s="16" t="s">
        <v>1166</v>
      </c>
      <c r="D888" s="17">
        <f>VLOOKUP(A884,'Neraca Unaudited SIMAK'!$A$2:$S$10004,4,FALSE)</f>
        <v>5586675000</v>
      </c>
      <c r="E888" s="25">
        <f>SUMIFS('Daftar Koreksi'!$H$5:$H$92,'Daftar Koreksi'!$D$5:$D$92,'0600'!A884,'Daftar Koreksi'!$G$5:$G$92,"Tanah",'Daftar Koreksi'!$H$5:$H$92,"&gt;0")</f>
        <v>0</v>
      </c>
      <c r="F888" s="25">
        <f>SUMIFS('Daftar Koreksi'!$H$5:$H$92,'Daftar Koreksi'!$D$5:$D$92,'0600'!A884,'Daftar Koreksi'!$G$5:$G$92,"Tanah",'Daftar Koreksi'!$H$5:$H$92,"&lt;0")-SUMIFS('Daftar Koreksi'!$H$5:$H$92,'Daftar Koreksi'!$D$5:$D$92,'0600'!A884,'Daftar Koreksi'!$G$5:$G$92,"Tanah",'Daftar Koreksi'!$H$5:$H$92,"&lt;0")-SUMIFS('Daftar Koreksi'!$H$5:$H$92,'Daftar Koreksi'!$D$5:$D$92,'0600'!A884,'Daftar Koreksi'!$G$5:$G$92,"Tanah",'Daftar Koreksi'!$H$5:$H$92,"&lt;0")</f>
        <v>0</v>
      </c>
      <c r="G888" s="17">
        <f t="shared" ref="G888:G904" si="40">D888+E888-F888</f>
        <v>5586675000</v>
      </c>
      <c r="H888" s="122"/>
    </row>
    <row r="889" spans="1:8" ht="21.95" customHeight="1">
      <c r="A889" s="14"/>
      <c r="B889" s="14"/>
      <c r="C889" s="16" t="s">
        <v>1167</v>
      </c>
      <c r="D889" s="17">
        <f>VLOOKUP(A884,'Neraca Unaudited SIMAK'!$A$2:$S$10004,5,FALSE)</f>
        <v>1930986673</v>
      </c>
      <c r="E889" s="25">
        <f>SUMIFS('Daftar Koreksi'!$H$5:$H$92,'Daftar Koreksi'!$D$5:$D$92,'0600'!A884,'Daftar Koreksi'!$G$5:$G$92,"Peralatan dan mesin",'Daftar Koreksi'!$H$5:$H$92,"&gt;0")</f>
        <v>0</v>
      </c>
      <c r="F889" s="25">
        <f>SUMIFS('Daftar Koreksi'!$H$5:$H$92,'Daftar Koreksi'!$D$5:$D$92,'0600'!A884,'Daftar Koreksi'!$G$5:$G$92,"Peralatan dan mesin",'Daftar Koreksi'!$H$5:$H$92,"&lt;0")-SUMIFS('Daftar Koreksi'!$H$5:$H$92,'Daftar Koreksi'!$D$5:$D$92,'0600'!A884,'Daftar Koreksi'!$G$5:$G$92,"Peralatan dan mesin",'Daftar Koreksi'!$H$5:$H$92,"&lt;0")-SUMIFS('Daftar Koreksi'!$H$5:$H$92,'Daftar Koreksi'!$D$5:$D$92,'0600'!A884,'Daftar Koreksi'!$G$5:$G$92,"Peralatan dan mesin",'Daftar Koreksi'!$H$5:$H$92,"&lt;0")</f>
        <v>0</v>
      </c>
      <c r="G889" s="17">
        <f t="shared" si="40"/>
        <v>1930986673</v>
      </c>
      <c r="H889" s="122"/>
    </row>
    <row r="890" spans="1:8" ht="21.95" customHeight="1">
      <c r="A890" s="14"/>
      <c r="B890" s="14"/>
      <c r="C890" s="16" t="s">
        <v>1168</v>
      </c>
      <c r="D890" s="17">
        <f>VLOOKUP(A884,'Neraca Unaudited SIMAK'!$A$2:$S$10004,6,FALSE)</f>
        <v>6666042800</v>
      </c>
      <c r="E890" s="25">
        <f>SUMIFS('Daftar Koreksi'!$H$5:$H$92,'Daftar Koreksi'!$D$5:$D$92,'0600'!A884,'Daftar Koreksi'!$G$5:$G$92,"Gedung dan Bangunan",'Daftar Koreksi'!$H$5:$H$92,"&gt;0")</f>
        <v>0</v>
      </c>
      <c r="F890" s="25">
        <f>SUMIFS('Daftar Koreksi'!$H$5:$H$92,'Daftar Koreksi'!$D$5:$D$92,'0600'!A884,'Daftar Koreksi'!$G$5:$G$92,"Gedung dan Bangunan",'Daftar Koreksi'!$H$5:$H$92,"&lt;0")-SUMIFS('Daftar Koreksi'!$H$5:$H$92,'Daftar Koreksi'!$D$5:$D$92,'0600'!A884,'Daftar Koreksi'!$G$5:$G$92,"Gedung dan Bangunan",'Daftar Koreksi'!$H$5:$H$92,"&lt;0")-SUMIFS('Daftar Koreksi'!$H$5:$H$92,'Daftar Koreksi'!$D$5:$D$92,'0600'!A884,'Daftar Koreksi'!$G$5:$G$92,"Gedung dan Bangunan",'Daftar Koreksi'!$H$5:$H$92,"&lt;0")</f>
        <v>0</v>
      </c>
      <c r="G890" s="17">
        <f t="shared" si="40"/>
        <v>6666042800</v>
      </c>
      <c r="H890" s="122"/>
    </row>
    <row r="891" spans="1:8" ht="21.95" customHeight="1">
      <c r="A891" s="14"/>
      <c r="B891" s="14"/>
      <c r="C891" s="16" t="s">
        <v>1169</v>
      </c>
      <c r="D891" s="17">
        <f>VLOOKUP(A884,'Neraca Unaudited SIMAK'!$A$2:$S$10004,7,FALSE)</f>
        <v>164946000</v>
      </c>
      <c r="E891" s="25">
        <f>SUMIFS('Daftar Koreksi'!$H$5:$H$92,'Daftar Koreksi'!$D$5:$D$92,'0600'!A884,'Daftar Koreksi'!$G$5:$G$92,"Jalan Irigasi Jaringan",'Daftar Koreksi'!$H$5:$H$92,"&gt;0")</f>
        <v>0</v>
      </c>
      <c r="F891" s="25">
        <f>SUMIFS('Daftar Koreksi'!$H$5:$H$92,'Daftar Koreksi'!$D$5:$D$92,'0600'!A884,'Daftar Koreksi'!$G$5:$G$92,"Jalan Irigasi Jaringan",'Daftar Koreksi'!$H$5:$H$92,"&lt;0")-SUMIFS('Daftar Koreksi'!$H$5:$H$92,'Daftar Koreksi'!$D$5:$D$92,'0600'!A884,'Daftar Koreksi'!$G$5:$G$92,"Jalan Irigasi Jaringan",'Daftar Koreksi'!$H$5:$H$92,"&lt;0")-SUMIFS('Daftar Koreksi'!$H$5:$H$92,'Daftar Koreksi'!$D$5:$D$92,'0600'!A884,'Daftar Koreksi'!$G$5:$G$92,"Jalan Irigasi Jaringan",'Daftar Koreksi'!$H$5:$H$92,"&lt;0")</f>
        <v>0</v>
      </c>
      <c r="G891" s="17">
        <f t="shared" si="40"/>
        <v>164946000</v>
      </c>
      <c r="H891" s="122"/>
    </row>
    <row r="892" spans="1:8" ht="21.95" customHeight="1">
      <c r="A892" s="14"/>
      <c r="B892" s="14"/>
      <c r="C892" s="16" t="s">
        <v>1170</v>
      </c>
      <c r="D892" s="17">
        <f>VLOOKUP(A884,'Neraca Unaudited SIMAK'!$A$2:$S$10004,8,FALSE)</f>
        <v>0</v>
      </c>
      <c r="E892" s="25">
        <f>SUMIFS('Daftar Koreksi'!$H$5:$H$92,'Daftar Koreksi'!$D$5:$D$92,'0600'!A884,'Daftar Koreksi'!$G$5:$G$92,"Aset Tetap Lainnya",'Daftar Koreksi'!$H$5:$H$92,"&gt;0")</f>
        <v>0</v>
      </c>
      <c r="F892" s="25">
        <f>SUMIFS('Daftar Koreksi'!$H$5:$H$92,'Daftar Koreksi'!$D$5:$D$92,'0600'!A884,'Daftar Koreksi'!$G$5:$G$92,"Aset Tetap Lainnya",'Daftar Koreksi'!$H$5:$H$92,"&lt;0")-SUMIFS('Daftar Koreksi'!$H$5:$H$92,'Daftar Koreksi'!$D$5:$D$92,'0600'!A884,'Daftar Koreksi'!$G$5:$G$92,"Aset Tetap Lainnya",'Daftar Koreksi'!$H$5:$H$92,"&lt;0")-SUMIFS('Daftar Koreksi'!$H$5:$H$92,'Daftar Koreksi'!$D$5:$D$92,'0600'!A884,'Daftar Koreksi'!$G$5:$G$92,"Aset Tetap Lainnya",'Daftar Koreksi'!$H$5:$H$92,"&lt;0")</f>
        <v>0</v>
      </c>
      <c r="G892" s="17">
        <f t="shared" si="40"/>
        <v>0</v>
      </c>
      <c r="H892" s="122"/>
    </row>
    <row r="893" spans="1:8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Koreksi'!$D$5:$D$92,'0600'!A884,'Daftar Koreksi'!$G$5:$G$92,"Kontruksi Dalam Pengerjaan",'Daftar Koreksi'!$H$5:$H$92,"&gt;0")</f>
        <v>0</v>
      </c>
      <c r="F893" s="25">
        <f>SUMIFS('Daftar Koreksi'!$H$5:$H$92,'Daftar Koreksi'!$D$5:$D$92,'0600'!A884,'Daftar Koreksi'!$G$5:$G$92,"Kontruksi Dalam Pengerjaan",'Daftar Koreksi'!$H$5:$H$92,"&lt;0")-SUMIFS('Daftar Koreksi'!$H$5:$H$92,'Daftar Koreksi'!$D$5:$D$92,'0600'!A884,'Daftar Koreksi'!$G$5:$G$92,"Kontruksi Dalam Pengerjaan",'Daftar Koreksi'!$H$5:$H$92,"&lt;0")-SUMIFS('Daftar Koreksi'!$H$5:$H$92,'Daftar Koreksi'!$D$5:$D$92,'0600'!A884,'Daftar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8" ht="21.95" customHeight="1">
      <c r="A894" s="14"/>
      <c r="B894" s="14"/>
      <c r="C894" s="16" t="s">
        <v>1172</v>
      </c>
      <c r="D894" s="17">
        <f>VLOOKUP(A884,'Neraca Unaudited SIMAK'!$A$2:$S$10004,10,FALSE)</f>
        <v>0</v>
      </c>
      <c r="E894" s="25">
        <f>SUMIFS('Daftar Koreksi'!$H$5:$H$92,'Daftar Koreksi'!$D$5:$D$92,'0600'!A884,'Daftar Koreksi'!$G$5:$G$92,"Aset Tak Berwujud",'Daftar Koreksi'!$H$5:$H$92,"&gt;0")</f>
        <v>0</v>
      </c>
      <c r="F894" s="25">
        <f>SUMIFS('Daftar Koreksi'!$H$5:$H$92,'Daftar Koreksi'!$D$5:$D$92,'0600'!A884,'Daftar Koreksi'!$G$5:$G$92,"Aset Tak Berwujud",'Daftar Koreksi'!$H$5:$H$92,"&lt;0")-SUMIFS('Daftar Koreksi'!$H$5:$H$92,'Daftar Koreksi'!$D$5:$D$92,'0600'!A884,'Daftar Koreksi'!$G$5:$G$92,"Aset Tak Berwujud",'Daftar Koreksi'!$H$5:$H$92,"&lt;0")-SUMIFS('Daftar Koreksi'!$H$5:$H$92,'Daftar Koreksi'!$D$5:$D$92,'0600'!A884,'Daftar Koreksi'!$G$5:$G$92,"Aset Tak Berwujud",'Daftar Koreksi'!$H$5:$H$92,"&lt;0")</f>
        <v>0</v>
      </c>
      <c r="G894" s="17">
        <f t="shared" si="40"/>
        <v>0</v>
      </c>
      <c r="H894" s="122"/>
    </row>
    <row r="895" spans="1:8" ht="21.95" customHeight="1">
      <c r="A895" s="14"/>
      <c r="B895" s="14"/>
      <c r="C895" s="16" t="s">
        <v>1173</v>
      </c>
      <c r="D895" s="17">
        <f>VLOOKUP(A884,'Neraca Unaudited SIMAK'!$A$2:$S$10004,11,FALSE)</f>
        <v>0</v>
      </c>
      <c r="E895" s="25">
        <f>SUMIFS('Daftar Koreksi'!$H$5:$H$92,'Daftar Koreksi'!$D$5:$D$92,'0600'!A884,'Daftar Koreksi'!$G$5:$G$92,"Aset Henti Guna",'Daftar Koreksi'!$H$5:$H$92,"&gt;0")</f>
        <v>0</v>
      </c>
      <c r="F895" s="25">
        <f>SUMIFS('Daftar Koreksi'!$H$5:$H$92,'Daftar Koreksi'!$D$5:$D$92,'0600'!A884,'Daftar Koreksi'!$G$5:$G$92,"Aset Henti Guna",'Daftar Koreksi'!$H$5:$H$92,"&lt;0")-SUMIFS('Daftar Koreksi'!$H$5:$H$92,'Daftar Koreksi'!$D$5:$D$92,'0600'!A884,'Daftar Koreksi'!$G$5:$G$92,"Aset Henti Guna",'Daftar Koreksi'!$H$5:$H$92,"&lt;0")-SUMIFS('Daftar Koreksi'!$H$5:$H$92,'Daftar Koreksi'!$D$5:$D$92,'0600'!A884,'Daftar Koreksi'!$G$5:$G$92,"Aset Henti Guna",'Daftar Koreksi'!$H$5:$H$92,"&lt;0")</f>
        <v>0</v>
      </c>
      <c r="G895" s="17">
        <f t="shared" si="40"/>
        <v>0</v>
      </c>
      <c r="H895" s="122"/>
    </row>
    <row r="896" spans="1:8" ht="21.95" customHeight="1">
      <c r="A896" s="14"/>
      <c r="B896" s="14"/>
      <c r="C896" s="18" t="s">
        <v>2093</v>
      </c>
      <c r="D896" s="19">
        <f>VLOOKUP(A884,'Neraca Unaudited SIMAK'!$A$2:$S$10004,12,FALSE)</f>
        <v>14352606493</v>
      </c>
      <c r="E896" s="19">
        <f>SUM(E887:E895)</f>
        <v>0</v>
      </c>
      <c r="F896" s="19">
        <f>SUM(F887:F895)</f>
        <v>0</v>
      </c>
      <c r="G896" s="19">
        <f t="shared" si="40"/>
        <v>14352606493</v>
      </c>
      <c r="H896" s="122"/>
    </row>
    <row r="897" spans="1:8" ht="21.95" customHeight="1">
      <c r="A897" s="14"/>
      <c r="B897" s="14"/>
      <c r="C897" s="16" t="s">
        <v>2087</v>
      </c>
      <c r="D897" s="17">
        <f>VLOOKUP(A884,'Neraca Unaudited SIMAK'!$A$2:$S$10004,13,FALSE)</f>
        <v>-1350263110</v>
      </c>
      <c r="E897" s="25">
        <f>SUMIFS('Daftar Koreksi'!$I$5:$I$92,'Daftar Koreksi'!$D$5:$D$92,'0600'!A884,'Daftar Koreksi'!$G$5:$G$92,"Peralatan dan mesin",'Daftar Koreksi'!$I$5:$I$92,"&gt;0")</f>
        <v>0</v>
      </c>
      <c r="F897" s="25">
        <f>SUMIFS('Daftar Koreksi'!$I$5:$I$92,'Daftar Koreksi'!$D$5:$D$92,'0600'!A884,'Daftar Koreksi'!$G$5:$G$92,"Peralatan dan mesin",'Daftar Koreksi'!$I$5:$I$92,"&lt;0")-SUMIFS('Daftar Koreksi'!$I$5:$I$92,'Daftar Koreksi'!$D$5:$D$92,'0600'!A884,'Daftar Koreksi'!$G$5:$G$92,"Peralatan dan mesin",'Daftar Koreksi'!$I$5:$I$92,"&lt;0")-SUMIFS('Daftar Koreksi'!$I$5:$I$92,'Daftar Koreksi'!$D$5:$D$92,'0600'!A884,'Daftar Koreksi'!$G$5:$G$92,"Peralatan dan mesin",'Daftar Koreksi'!$I$5:$I$92,"&lt;0")</f>
        <v>0</v>
      </c>
      <c r="G897" s="17">
        <f t="shared" si="40"/>
        <v>-1350263110</v>
      </c>
      <c r="H897" s="122"/>
    </row>
    <row r="898" spans="1:8" ht="21.95" customHeight="1">
      <c r="A898" s="14"/>
      <c r="B898" s="14"/>
      <c r="C898" s="16" t="s">
        <v>2088</v>
      </c>
      <c r="D898" s="17">
        <f>VLOOKUP(A884,'Neraca Unaudited SIMAK'!$A$2:$S$10004,14,FALSE)</f>
        <v>-698248676</v>
      </c>
      <c r="E898" s="25">
        <f>SUMIFS('Daftar Koreksi'!$I$5:$I$92,'Daftar Koreksi'!$D$5:$D$92,'0600'!A884,'Daftar Koreksi'!$G$5:$G$92,"Gedung dan Bangunan",'Daftar Koreksi'!$I$5:$I$92,"&gt;0")</f>
        <v>0</v>
      </c>
      <c r="F898" s="25">
        <f>SUMIFS('Daftar Koreksi'!$I$5:$I$92,'Daftar Koreksi'!$D$5:$D$92,'0600'!A884,'Daftar Koreksi'!$G$5:$G$92,"Gedung dan Bangunan",'Daftar Koreksi'!$I$5:$I$92,"&lt;0")-SUMIFS('Daftar Koreksi'!$I$5:$I$92,'Daftar Koreksi'!$D$5:$D$92,'0600'!A884,'Daftar Koreksi'!$G$5:$G$92,"Gedung dan Bangunan",'Daftar Koreksi'!$I$5:$I$92,"&lt;0")-SUMIFS('Daftar Koreksi'!$I$5:$I$92,'Daftar Koreksi'!$D$5:$D$92,'0600'!A884,'Daftar Koreksi'!$G$5:$G$92,"Gedung dan Bangunan",'Daftar Koreksi'!$I$5:$I$92,"&lt;0")</f>
        <v>0</v>
      </c>
      <c r="G898" s="17">
        <f t="shared" si="40"/>
        <v>-698248676</v>
      </c>
      <c r="H898" s="122"/>
    </row>
    <row r="899" spans="1:8" ht="21.95" customHeight="1">
      <c r="A899" s="14"/>
      <c r="B899" s="14"/>
      <c r="C899" s="16" t="s">
        <v>2089</v>
      </c>
      <c r="D899" s="17">
        <f>VLOOKUP(A884,'Neraca Unaudited SIMAK'!$A$2:$S$10004,15,FALSE)</f>
        <v>-103244100</v>
      </c>
      <c r="E899" s="25">
        <f>SUMIFS('Daftar Koreksi'!$I$5:$I$92,'Daftar Koreksi'!$D$5:$D$92,'0600'!A884,'Daftar Koreksi'!$G$5:$G$92,"Jalan Irigasi Jaringan",'Daftar Koreksi'!$I$5:$I$92,"&gt;0")</f>
        <v>0</v>
      </c>
      <c r="F899" s="25">
        <f>SUMIFS('Daftar Koreksi'!$I$5:$I$92,'Daftar Koreksi'!$D$5:$D$92,'0600'!A884,'Daftar Koreksi'!$G$5:$G$92,"Jalan Irigasi Jaringan",'Daftar Koreksi'!$I$5:$I$92,"&lt;0")-SUMIFS('Daftar Koreksi'!$I$5:$I$92,'Daftar Koreksi'!$D$5:$D$92,'0600'!A884,'Daftar Koreksi'!$G$5:$G$92,"Jalan Irigasi Jaringan",'Daftar Koreksi'!$I$5:$I$92,"&lt;0")-SUMIFS('Daftar Koreksi'!$I$5:$I$92,'Daftar Koreksi'!$D$5:$D$92,'0600'!A884,'Daftar Koreksi'!$G$5:$G$92,"Jalan Irigasi Jaringan",'Daftar Koreksi'!$I$5:$I$92,"&lt;0")</f>
        <v>0</v>
      </c>
      <c r="G899" s="17">
        <f t="shared" si="40"/>
        <v>-103244100</v>
      </c>
      <c r="H899" s="122"/>
    </row>
    <row r="900" spans="1:8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Koreksi'!$D$5:$D$92,'0600'!A884,'Daftar Koreksi'!$G$5:$G$92,"Aset Tetap Lainnya",'Daftar Koreksi'!$I$5:$I$92,"&gt;0")</f>
        <v>0</v>
      </c>
      <c r="F900" s="25">
        <f>SUMIFS('Daftar Koreksi'!$I$5:$I$92,'Daftar Koreksi'!$D$5:$D$92,'0600'!A884,'Daftar Koreksi'!$G$5:$G$92,"Aset Tetap Lainnya",'Daftar Koreksi'!$I$5:$I$92,"&lt;0")-SUMIFS('Daftar Koreksi'!$I$5:$I$92,'Daftar Koreksi'!$D$5:$D$92,'0600'!A884,'Daftar Koreksi'!$G$5:$G$92,"Aset Tetap Lainnya",'Daftar Koreksi'!$I$5:$I$92,"&lt;0")-SUMIFS('Daftar Koreksi'!$I$5:$I$92,'Daftar Koreksi'!$D$5:$D$92,'0600'!A884,'Daftar Koreksi'!$G$5:$G$92,"Aset Tetap Lainnya",'Daftar Koreksi'!$I$5:$I$92,"&lt;0")</f>
        <v>0</v>
      </c>
      <c r="G900" s="17">
        <f t="shared" si="40"/>
        <v>0</v>
      </c>
      <c r="H900" s="122"/>
    </row>
    <row r="901" spans="1:8" ht="21.95" customHeight="1">
      <c r="A901" s="14"/>
      <c r="B901" s="14"/>
      <c r="C901" s="16" t="s">
        <v>2020</v>
      </c>
      <c r="D901" s="17">
        <f>VLOOKUP(A884,'Neraca Unaudited SIMAK'!$A$2:$S$10004,17,FALSE)</f>
        <v>0</v>
      </c>
      <c r="E901" s="25">
        <f>SUMIFS('Daftar Koreksi'!$I$5:$I$92,'Daftar Koreksi'!$D$5:$D$92,'0600'!A884,'Daftar Koreksi'!$G$5:$G$92,"Aset Henti Guna",'Daftar Koreksi'!$I$5:$I$92,"&gt;0")</f>
        <v>0</v>
      </c>
      <c r="F901" s="25">
        <f>SUMIFS('Daftar Koreksi'!$I$5:$I$92,'Daftar Koreksi'!$D$5:$D$92,'0600'!A884,'Daftar Koreksi'!$G$5:$G$92,"Aset Henti Guna",'Daftar Koreksi'!$I$5:$I$92,"&lt;0")-SUMIFS('Daftar Koreksi'!$I$5:$I$92,'Daftar Koreksi'!$D$5:$D$92,'0600'!A884,'Daftar Koreksi'!$G$5:$G$92,"Aset Henti Guna",'Daftar Koreksi'!$I$5:$I$92,"&lt;0")-SUMIFS('Daftar Koreksi'!$I$5:$I$92,'Daftar Koreksi'!$D$5:$D$92,'0600'!A884,'Daftar Koreksi'!$G$5:$G$92,"Aset Henti Guna",'Daftar Koreksi'!$I$5:$I$92,"&lt;0")</f>
        <v>0</v>
      </c>
      <c r="G901" s="17">
        <f t="shared" si="40"/>
        <v>0</v>
      </c>
      <c r="H901" s="122"/>
    </row>
    <row r="902" spans="1:8" ht="21.95" customHeight="1">
      <c r="A902" s="14"/>
      <c r="B902" s="14"/>
      <c r="C902" s="18" t="s">
        <v>2094</v>
      </c>
      <c r="D902" s="19">
        <f>SUM(D897:D901)</f>
        <v>-2151755886</v>
      </c>
      <c r="E902" s="19">
        <f>SUM(E897:E901)</f>
        <v>0</v>
      </c>
      <c r="F902" s="19">
        <f>SUM(F897:F901)</f>
        <v>0</v>
      </c>
      <c r="G902" s="19">
        <f t="shared" si="40"/>
        <v>-2151755886</v>
      </c>
      <c r="H902" s="122"/>
    </row>
    <row r="903" spans="1:8" ht="21.95" customHeight="1">
      <c r="A903" s="14"/>
      <c r="B903" s="14"/>
      <c r="C903" s="18" t="s">
        <v>2095</v>
      </c>
      <c r="D903" s="19">
        <f>VLOOKUP(A884,'Neraca Unaudited SIMAK'!$A$2:$S$10004,18,FALSE)</f>
        <v>12200850607</v>
      </c>
      <c r="E903" s="19">
        <f>E902+E896</f>
        <v>0</v>
      </c>
      <c r="F903" s="19">
        <f>F902+F896</f>
        <v>0</v>
      </c>
      <c r="G903" s="19">
        <f t="shared" si="40"/>
        <v>12200850607</v>
      </c>
      <c r="H903" s="122"/>
    </row>
    <row r="904" spans="1:8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8" ht="19.5" customHeight="1">
      <c r="A906" s="11" t="str">
        <f>O42</f>
        <v>005010600682228000KD</v>
      </c>
      <c r="B906" s="11" t="str">
        <f>P42</f>
        <v>Mahkamah Syar'iyah Redelong</v>
      </c>
      <c r="C906" s="12" t="str">
        <f>A906&amp;" "&amp;B906</f>
        <v>005010600682228000KD Mahkamah Syar'iyah Redelong</v>
      </c>
      <c r="D906" s="13"/>
      <c r="E906" s="13"/>
      <c r="F906" s="13"/>
      <c r="G906" s="13"/>
      <c r="H906" s="11"/>
    </row>
    <row r="907" spans="1:8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8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8" ht="21.95" customHeight="1">
      <c r="A909" s="14"/>
      <c r="B909" s="14"/>
      <c r="C909" s="16" t="s">
        <v>1165</v>
      </c>
      <c r="D909" s="17">
        <f>VLOOKUP(A906,'Neraca Unaudited SIMAK'!$A$2:$S$10004,3,FALSE)</f>
        <v>0</v>
      </c>
      <c r="E909" s="25">
        <f>SUMIFS('Daftar Koreksi'!$H$5:$H$92,'Daftar Koreksi'!$D$5:$D$92,'0600'!A906,'Daftar Koreksi'!$G$5:$G$92,"Persediaan",'Daftar Koreksi'!$H$5:$H$92,"&gt;0")</f>
        <v>0</v>
      </c>
      <c r="F909" s="25">
        <f>SUMIFS('Daftar Koreksi'!$H$5:$H$92,'Daftar Koreksi'!$D$5:$D$92,'0600'!A906,'Daftar Koreksi'!$G$5:$G$92,"Persediaan",'Daftar Koreksi'!$H$5:$H$92,"&lt;0")-SUMIFS('Daftar Koreksi'!$H$5:$H$92,'Daftar Koreksi'!$D$5:$D$92,'0600'!A906,'Daftar Koreksi'!$G$5:$G$92,"Persediaan",'Daftar Koreksi'!$H$5:$H$92,"&lt;0")-SUMIFS('Daftar Koreksi'!$H$5:$H$92,'Daftar Koreksi'!$D$5:$D$92,'0600'!A906,'Daftar Koreksi'!$G$5:$G$92,"Persediaan",'Daftar Koreksi'!$H$5:$H$92,"&lt;0")</f>
        <v>0</v>
      </c>
      <c r="G909" s="17">
        <f>D909+E909-F909</f>
        <v>0</v>
      </c>
      <c r="H909" s="121" t="str">
        <f>IF(ISNA(VLOOKUP(A906,'Mutasi Neraca'!$A$3:$S$914,19,FALSE)),"-",VLOOKUP(A906,'Mutasi Neraca'!$A$3:$S$914,19,FALSE))</f>
        <v>-</v>
      </c>
    </row>
    <row r="910" spans="1:8" ht="21.95" customHeight="1">
      <c r="A910" s="14"/>
      <c r="B910" s="14"/>
      <c r="C910" s="16" t="s">
        <v>1166</v>
      </c>
      <c r="D910" s="17">
        <f>VLOOKUP(A906,'Neraca Unaudited SIMAK'!$A$2:$S$10004,4,FALSE)</f>
        <v>2000000000</v>
      </c>
      <c r="E910" s="25">
        <f>SUMIFS('Daftar Koreksi'!$H$5:$H$92,'Daftar Koreksi'!$D$5:$D$92,'0600'!A906,'Daftar Koreksi'!$G$5:$G$92,"Tanah",'Daftar Koreksi'!$H$5:$H$92,"&gt;0")</f>
        <v>0</v>
      </c>
      <c r="F910" s="25">
        <f>SUMIFS('Daftar Koreksi'!$H$5:$H$92,'Daftar Koreksi'!$D$5:$D$92,'0600'!A906,'Daftar Koreksi'!$G$5:$G$92,"Tanah",'Daftar Koreksi'!$H$5:$H$92,"&lt;0")-SUMIFS('Daftar Koreksi'!$H$5:$H$92,'Daftar Koreksi'!$D$5:$D$92,'0600'!A906,'Daftar Koreksi'!$G$5:$G$92,"Tanah",'Daftar Koreksi'!$H$5:$H$92,"&lt;0")-SUMIFS('Daftar Koreksi'!$H$5:$H$92,'Daftar Koreksi'!$D$5:$D$92,'0600'!A906,'Daftar Koreksi'!$G$5:$G$92,"Tanah",'Daftar Koreksi'!$H$5:$H$92,"&lt;0")</f>
        <v>0</v>
      </c>
      <c r="G910" s="17">
        <f t="shared" ref="G910:G926" si="41">D910+E910-F910</f>
        <v>2000000000</v>
      </c>
      <c r="H910" s="122"/>
    </row>
    <row r="911" spans="1:8" ht="21.95" customHeight="1">
      <c r="A911" s="14"/>
      <c r="B911" s="14"/>
      <c r="C911" s="16" t="s">
        <v>1167</v>
      </c>
      <c r="D911" s="17">
        <f>VLOOKUP(A906,'Neraca Unaudited SIMAK'!$A$2:$S$10004,5,FALSE)</f>
        <v>575855000</v>
      </c>
      <c r="E911" s="25">
        <f>SUMIFS('Daftar Koreksi'!$H$5:$H$92,'Daftar Koreksi'!$D$5:$D$92,'0600'!A906,'Daftar Koreksi'!$G$5:$G$92,"Peralatan dan mesin",'Daftar Koreksi'!$H$5:$H$92,"&gt;0")</f>
        <v>0</v>
      </c>
      <c r="F911" s="25">
        <f>SUMIFS('Daftar Koreksi'!$H$5:$H$92,'Daftar Koreksi'!$D$5:$D$92,'0600'!A906,'Daftar Koreksi'!$G$5:$G$92,"Peralatan dan mesin",'Daftar Koreksi'!$H$5:$H$92,"&lt;0")-SUMIFS('Daftar Koreksi'!$H$5:$H$92,'Daftar Koreksi'!$D$5:$D$92,'0600'!A906,'Daftar Koreksi'!$G$5:$G$92,"Peralatan dan mesin",'Daftar Koreksi'!$H$5:$H$92,"&lt;0")-SUMIFS('Daftar Koreksi'!$H$5:$H$92,'Daftar Koreksi'!$D$5:$D$92,'0600'!A906,'Daftar Koreksi'!$G$5:$G$92,"Peralatan dan mesin",'Daftar Koreksi'!$H$5:$H$92,"&lt;0")</f>
        <v>0</v>
      </c>
      <c r="G911" s="17">
        <f t="shared" si="41"/>
        <v>575855000</v>
      </c>
      <c r="H911" s="122"/>
    </row>
    <row r="912" spans="1:8" ht="21.95" customHeight="1">
      <c r="A912" s="14"/>
      <c r="B912" s="14"/>
      <c r="C912" s="16" t="s">
        <v>1168</v>
      </c>
      <c r="D912" s="17">
        <f>VLOOKUP(A906,'Neraca Unaudited SIMAK'!$A$2:$S$10004,6,FALSE)</f>
        <v>7569591000</v>
      </c>
      <c r="E912" s="25">
        <f>SUMIFS('Daftar Koreksi'!$H$5:$H$92,'Daftar Koreksi'!$D$5:$D$92,'0600'!A906,'Daftar Koreksi'!$G$5:$G$92,"Gedung dan Bangunan",'Daftar Koreksi'!$H$5:$H$92,"&gt;0")</f>
        <v>0</v>
      </c>
      <c r="F912" s="25">
        <f>SUMIFS('Daftar Koreksi'!$H$5:$H$92,'Daftar Koreksi'!$D$5:$D$92,'0600'!A906,'Daftar Koreksi'!$G$5:$G$92,"Gedung dan Bangunan",'Daftar Koreksi'!$H$5:$H$92,"&lt;0")-SUMIFS('Daftar Koreksi'!$H$5:$H$92,'Daftar Koreksi'!$D$5:$D$92,'0600'!A906,'Daftar Koreksi'!$G$5:$G$92,"Gedung dan Bangunan",'Daftar Koreksi'!$H$5:$H$92,"&lt;0")-SUMIFS('Daftar Koreksi'!$H$5:$H$92,'Daftar Koreksi'!$D$5:$D$92,'0600'!A906,'Daftar Koreksi'!$G$5:$G$92,"Gedung dan Bangunan",'Daftar Koreksi'!$H$5:$H$92,"&lt;0")</f>
        <v>0</v>
      </c>
      <c r="G912" s="17">
        <f t="shared" si="41"/>
        <v>7569591000</v>
      </c>
      <c r="H912" s="122"/>
    </row>
    <row r="913" spans="1:8" ht="21.95" customHeight="1">
      <c r="A913" s="14"/>
      <c r="B913" s="14"/>
      <c r="C913" s="16" t="s">
        <v>1169</v>
      </c>
      <c r="D913" s="17">
        <f>VLOOKUP(A906,'Neraca Unaudited SIMAK'!$A$2:$S$10004,7,FALSE)</f>
        <v>0</v>
      </c>
      <c r="E913" s="25">
        <f>SUMIFS('Daftar Koreksi'!$H$5:$H$92,'Daftar Koreksi'!$D$5:$D$92,'0600'!A906,'Daftar Koreksi'!$G$5:$G$92,"Jalan Irigasi Jaringan",'Daftar Koreksi'!$H$5:$H$92,"&gt;0")</f>
        <v>0</v>
      </c>
      <c r="F913" s="25">
        <f>SUMIFS('Daftar Koreksi'!$H$5:$H$92,'Daftar Koreksi'!$D$5:$D$92,'0600'!A906,'Daftar Koreksi'!$G$5:$G$92,"Jalan Irigasi Jaringan",'Daftar Koreksi'!$H$5:$H$92,"&lt;0")-SUMIFS('Daftar Koreksi'!$H$5:$H$92,'Daftar Koreksi'!$D$5:$D$92,'0600'!A906,'Daftar Koreksi'!$G$5:$G$92,"Jalan Irigasi Jaringan",'Daftar Koreksi'!$H$5:$H$92,"&lt;0")-SUMIFS('Daftar Koreksi'!$H$5:$H$92,'Daftar Koreksi'!$D$5:$D$92,'0600'!A906,'Daftar Koreksi'!$G$5:$G$92,"Jalan Irigasi Jaringan",'Daftar Koreksi'!$H$5:$H$92,"&lt;0")</f>
        <v>0</v>
      </c>
      <c r="G913" s="17">
        <f t="shared" si="41"/>
        <v>0</v>
      </c>
      <c r="H913" s="122"/>
    </row>
    <row r="914" spans="1:8" ht="21.95" customHeight="1">
      <c r="A914" s="14"/>
      <c r="B914" s="14"/>
      <c r="C914" s="16" t="s">
        <v>1170</v>
      </c>
      <c r="D914" s="17">
        <f>VLOOKUP(A906,'Neraca Unaudited SIMAK'!$A$2:$S$10004,8,FALSE)</f>
        <v>0</v>
      </c>
      <c r="E914" s="25">
        <f>SUMIFS('Daftar Koreksi'!$H$5:$H$92,'Daftar Koreksi'!$D$5:$D$92,'0600'!A906,'Daftar Koreksi'!$G$5:$G$92,"Aset Tetap Lainnya",'Daftar Koreksi'!$H$5:$H$92,"&gt;0")</f>
        <v>0</v>
      </c>
      <c r="F914" s="25">
        <f>SUMIFS('Daftar Koreksi'!$H$5:$H$92,'Daftar Koreksi'!$D$5:$D$92,'0600'!A906,'Daftar Koreksi'!$G$5:$G$92,"Aset Tetap Lainnya",'Daftar Koreksi'!$H$5:$H$92,"&lt;0")-SUMIFS('Daftar Koreksi'!$H$5:$H$92,'Daftar Koreksi'!$D$5:$D$92,'0600'!A906,'Daftar Koreksi'!$G$5:$G$92,"Aset Tetap Lainnya",'Daftar Koreksi'!$H$5:$H$92,"&lt;0")-SUMIFS('Daftar Koreksi'!$H$5:$H$92,'Daftar Koreksi'!$D$5:$D$92,'0600'!A906,'Daftar Koreksi'!$G$5:$G$92,"Aset Tetap Lainnya",'Daftar Koreksi'!$H$5:$H$92,"&lt;0")</f>
        <v>0</v>
      </c>
      <c r="G914" s="17">
        <f t="shared" si="41"/>
        <v>0</v>
      </c>
      <c r="H914" s="122"/>
    </row>
    <row r="915" spans="1:8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Koreksi'!$D$5:$D$92,'0600'!A906,'Daftar Koreksi'!$G$5:$G$92,"Kontruksi Dalam Pengerjaan",'Daftar Koreksi'!$H$5:$H$92,"&gt;0")</f>
        <v>0</v>
      </c>
      <c r="F915" s="25">
        <f>SUMIFS('Daftar Koreksi'!$H$5:$H$92,'Daftar Koreksi'!$D$5:$D$92,'0600'!A906,'Daftar Koreksi'!$G$5:$G$92,"Kontruksi Dalam Pengerjaan",'Daftar Koreksi'!$H$5:$H$92,"&lt;0")-SUMIFS('Daftar Koreksi'!$H$5:$H$92,'Daftar Koreksi'!$D$5:$D$92,'0600'!A906,'Daftar Koreksi'!$G$5:$G$92,"Kontruksi Dalam Pengerjaan",'Daftar Koreksi'!$H$5:$H$92,"&lt;0")-SUMIFS('Daftar Koreksi'!$H$5:$H$92,'Daftar Koreksi'!$D$5:$D$92,'0600'!A906,'Daftar Koreksi'!$G$5:$G$92,"Kontruksi Dalam Pengerjaan",'Daftar Koreksi'!$H$5:$H$92,"&lt;0")</f>
        <v>0</v>
      </c>
      <c r="G915" s="17">
        <f t="shared" si="41"/>
        <v>0</v>
      </c>
      <c r="H915" s="122"/>
    </row>
    <row r="916" spans="1:8" ht="21.95" customHeight="1">
      <c r="A916" s="14"/>
      <c r="B916" s="14"/>
      <c r="C916" s="16" t="s">
        <v>1172</v>
      </c>
      <c r="D916" s="17">
        <f>VLOOKUP(A906,'Neraca Unaudited SIMAK'!$A$2:$S$10004,10,FALSE)</f>
        <v>0</v>
      </c>
      <c r="E916" s="25">
        <f>SUMIFS('Daftar Koreksi'!$H$5:$H$92,'Daftar Koreksi'!$D$5:$D$92,'0600'!A906,'Daftar Koreksi'!$G$5:$G$92,"Aset Tak Berwujud",'Daftar Koreksi'!$H$5:$H$92,"&gt;0")</f>
        <v>0</v>
      </c>
      <c r="F916" s="25">
        <f>SUMIFS('Daftar Koreksi'!$H$5:$H$92,'Daftar Koreksi'!$D$5:$D$92,'0600'!A906,'Daftar Koreksi'!$G$5:$G$92,"Aset Tak Berwujud",'Daftar Koreksi'!$H$5:$H$92,"&lt;0")-SUMIFS('Daftar Koreksi'!$H$5:$H$92,'Daftar Koreksi'!$D$5:$D$92,'0600'!A906,'Daftar Koreksi'!$G$5:$G$92,"Aset Tak Berwujud",'Daftar Koreksi'!$H$5:$H$92,"&lt;0")-SUMIFS('Daftar Koreksi'!$H$5:$H$92,'Daftar Koreksi'!$D$5:$D$92,'0600'!A906,'Daftar Koreksi'!$G$5:$G$92,"Aset Tak Berwujud",'Daftar Koreksi'!$H$5:$H$92,"&lt;0")</f>
        <v>0</v>
      </c>
      <c r="G916" s="17">
        <f t="shared" si="41"/>
        <v>0</v>
      </c>
      <c r="H916" s="122"/>
    </row>
    <row r="917" spans="1:8" ht="21.95" customHeight="1">
      <c r="A917" s="14"/>
      <c r="B917" s="14"/>
      <c r="C917" s="16" t="s">
        <v>1173</v>
      </c>
      <c r="D917" s="17">
        <f>VLOOKUP(A906,'Neraca Unaudited SIMAK'!$A$2:$S$10004,11,FALSE)</f>
        <v>0</v>
      </c>
      <c r="E917" s="25">
        <f>SUMIFS('Daftar Koreksi'!$H$5:$H$92,'Daftar Koreksi'!$D$5:$D$92,'0600'!A906,'Daftar Koreksi'!$G$5:$G$92,"Aset Henti Guna",'Daftar Koreksi'!$H$5:$H$92,"&gt;0")</f>
        <v>0</v>
      </c>
      <c r="F917" s="25">
        <f>SUMIFS('Daftar Koreksi'!$H$5:$H$92,'Daftar Koreksi'!$D$5:$D$92,'0600'!A906,'Daftar Koreksi'!$G$5:$G$92,"Aset Henti Guna",'Daftar Koreksi'!$H$5:$H$92,"&lt;0")-SUMIFS('Daftar Koreksi'!$H$5:$H$92,'Daftar Koreksi'!$D$5:$D$92,'0600'!A906,'Daftar Koreksi'!$G$5:$G$92,"Aset Henti Guna",'Daftar Koreksi'!$H$5:$H$92,"&lt;0")-SUMIFS('Daftar Koreksi'!$H$5:$H$92,'Daftar Koreksi'!$D$5:$D$92,'0600'!A906,'Daftar Koreksi'!$G$5:$G$92,"Aset Henti Guna",'Daftar Koreksi'!$H$5:$H$92,"&lt;0")</f>
        <v>0</v>
      </c>
      <c r="G917" s="17">
        <f t="shared" si="41"/>
        <v>0</v>
      </c>
      <c r="H917" s="122"/>
    </row>
    <row r="918" spans="1:8" ht="21.95" customHeight="1">
      <c r="A918" s="14"/>
      <c r="B918" s="14"/>
      <c r="C918" s="18" t="s">
        <v>2093</v>
      </c>
      <c r="D918" s="19">
        <f>VLOOKUP(A906,'Neraca Unaudited SIMAK'!$A$2:$S$10004,12,FALSE)</f>
        <v>10145446000</v>
      </c>
      <c r="E918" s="19">
        <f>SUM(E909:E917)</f>
        <v>0</v>
      </c>
      <c r="F918" s="19">
        <f>SUM(F909:F917)</f>
        <v>0</v>
      </c>
      <c r="G918" s="19">
        <f t="shared" si="41"/>
        <v>10145446000</v>
      </c>
      <c r="H918" s="122"/>
    </row>
    <row r="919" spans="1:8" ht="21.95" customHeight="1">
      <c r="A919" s="14"/>
      <c r="B919" s="14"/>
      <c r="C919" s="16" t="s">
        <v>2087</v>
      </c>
      <c r="D919" s="17">
        <f>VLOOKUP(A906,'Neraca Unaudited SIMAK'!$A$2:$S$10004,13,FALSE)</f>
        <v>-317474286</v>
      </c>
      <c r="E919" s="25">
        <f>SUMIFS('Daftar Koreksi'!$I$5:$I$92,'Daftar Koreksi'!$D$5:$D$92,'0600'!A906,'Daftar Koreksi'!$G$5:$G$92,"Peralatan dan mesin",'Daftar Koreksi'!$I$5:$I$92,"&gt;0")</f>
        <v>0</v>
      </c>
      <c r="F919" s="25">
        <f>SUMIFS('Daftar Koreksi'!$I$5:$I$92,'Daftar Koreksi'!$D$5:$D$92,'0600'!A906,'Daftar Koreksi'!$G$5:$G$92,"Peralatan dan mesin",'Daftar Koreksi'!$I$5:$I$92,"&lt;0")-SUMIFS('Daftar Koreksi'!$I$5:$I$92,'Daftar Koreksi'!$D$5:$D$92,'0600'!A906,'Daftar Koreksi'!$G$5:$G$92,"Peralatan dan mesin",'Daftar Koreksi'!$I$5:$I$92,"&lt;0")-SUMIFS('Daftar Koreksi'!$I$5:$I$92,'Daftar Koreksi'!$D$5:$D$92,'0600'!A906,'Daftar Koreksi'!$G$5:$G$92,"Peralatan dan mesin",'Daftar Koreksi'!$I$5:$I$92,"&lt;0")</f>
        <v>0</v>
      </c>
      <c r="G919" s="17">
        <f t="shared" si="41"/>
        <v>-317474286</v>
      </c>
      <c r="H919" s="122"/>
    </row>
    <row r="920" spans="1:8" ht="21.95" customHeight="1">
      <c r="A920" s="14"/>
      <c r="B920" s="14"/>
      <c r="C920" s="16" t="s">
        <v>2088</v>
      </c>
      <c r="D920" s="17">
        <f>VLOOKUP(A906,'Neraca Unaudited SIMAK'!$A$2:$S$10004,14,FALSE)</f>
        <v>-151391820</v>
      </c>
      <c r="E920" s="25">
        <f>SUMIFS('Daftar Koreksi'!$I$5:$I$92,'Daftar Koreksi'!$D$5:$D$92,'0600'!A906,'Daftar Koreksi'!$G$5:$G$92,"Gedung dan Bangunan",'Daftar Koreksi'!$I$5:$I$92,"&gt;0")</f>
        <v>0</v>
      </c>
      <c r="F920" s="25">
        <f>SUMIFS('Daftar Koreksi'!$I$5:$I$92,'Daftar Koreksi'!$D$5:$D$92,'0600'!A906,'Daftar Koreksi'!$G$5:$G$92,"Gedung dan Bangunan",'Daftar Koreksi'!$I$5:$I$92,"&lt;0")-SUMIFS('Daftar Koreksi'!$I$5:$I$92,'Daftar Koreksi'!$D$5:$D$92,'0600'!A906,'Daftar Koreksi'!$G$5:$G$92,"Gedung dan Bangunan",'Daftar Koreksi'!$I$5:$I$92,"&lt;0")-SUMIFS('Daftar Koreksi'!$I$5:$I$92,'Daftar Koreksi'!$D$5:$D$92,'0600'!A906,'Daftar Koreksi'!$G$5:$G$92,"Gedung dan Bangunan",'Daftar Koreksi'!$I$5:$I$92,"&lt;0")</f>
        <v>0</v>
      </c>
      <c r="G920" s="17">
        <f t="shared" si="41"/>
        <v>-151391820</v>
      </c>
      <c r="H920" s="122"/>
    </row>
    <row r="921" spans="1:8" ht="21.95" customHeight="1">
      <c r="A921" s="14"/>
      <c r="B921" s="14"/>
      <c r="C921" s="16" t="s">
        <v>2089</v>
      </c>
      <c r="D921" s="17">
        <f>VLOOKUP(A906,'Neraca Unaudited SIMAK'!$A$2:$S$10004,15,FALSE)</f>
        <v>0</v>
      </c>
      <c r="E921" s="25">
        <f>SUMIFS('Daftar Koreksi'!$I$5:$I$92,'Daftar Koreksi'!$D$5:$D$92,'0600'!A906,'Daftar Koreksi'!$G$5:$G$92,"Jalan Irigasi Jaringan",'Daftar Koreksi'!$I$5:$I$92,"&gt;0")</f>
        <v>0</v>
      </c>
      <c r="F921" s="25">
        <f>SUMIFS('Daftar Koreksi'!$I$5:$I$92,'Daftar Koreksi'!$D$5:$D$92,'0600'!A906,'Daftar Koreksi'!$G$5:$G$92,"Jalan Irigasi Jaringan",'Daftar Koreksi'!$I$5:$I$92,"&lt;0")-SUMIFS('Daftar Koreksi'!$I$5:$I$92,'Daftar Koreksi'!$D$5:$D$92,'0600'!A906,'Daftar Koreksi'!$G$5:$G$92,"Jalan Irigasi Jaringan",'Daftar Koreksi'!$I$5:$I$92,"&lt;0")-SUMIFS('Daftar Koreksi'!$I$5:$I$92,'Daftar Koreksi'!$D$5:$D$92,'0600'!A906,'Daftar Koreksi'!$G$5:$G$92,"Jalan Irigasi Jaringan",'Daftar Koreksi'!$I$5:$I$92,"&lt;0")</f>
        <v>0</v>
      </c>
      <c r="G921" s="17">
        <f t="shared" si="41"/>
        <v>0</v>
      </c>
      <c r="H921" s="122"/>
    </row>
    <row r="922" spans="1:8" ht="21.95" customHeight="1">
      <c r="A922" s="14"/>
      <c r="B922" s="14"/>
      <c r="C922" s="16" t="s">
        <v>2090</v>
      </c>
      <c r="D922" s="17">
        <f>VLOOKUP(A906,'Neraca Unaudited SIMAK'!$A$2:$S$10004,16,FALSE)</f>
        <v>0</v>
      </c>
      <c r="E922" s="25">
        <f>SUMIFS('Daftar Koreksi'!$I$5:$I$92,'Daftar Koreksi'!$D$5:$D$92,'0600'!A906,'Daftar Koreksi'!$G$5:$G$92,"Aset Tetap Lainnya",'Daftar Koreksi'!$I$5:$I$92,"&gt;0")</f>
        <v>0</v>
      </c>
      <c r="F922" s="25">
        <f>SUMIFS('Daftar Koreksi'!$I$5:$I$92,'Daftar Koreksi'!$D$5:$D$92,'0600'!A906,'Daftar Koreksi'!$G$5:$G$92,"Aset Tetap Lainnya",'Daftar Koreksi'!$I$5:$I$92,"&lt;0")-SUMIFS('Daftar Koreksi'!$I$5:$I$92,'Daftar Koreksi'!$D$5:$D$92,'0600'!A906,'Daftar Koreksi'!$G$5:$G$92,"Aset Tetap Lainnya",'Daftar Koreksi'!$I$5:$I$92,"&lt;0")-SUMIFS('Daftar Koreksi'!$I$5:$I$92,'Daftar Koreksi'!$D$5:$D$92,'0600'!A906,'Daftar Koreksi'!$G$5:$G$92,"Aset Tetap Lainnya",'Daftar Koreksi'!$I$5:$I$92,"&lt;0")</f>
        <v>0</v>
      </c>
      <c r="G922" s="17">
        <f t="shared" si="41"/>
        <v>0</v>
      </c>
      <c r="H922" s="122"/>
    </row>
    <row r="923" spans="1:8" ht="21.95" customHeight="1">
      <c r="A923" s="14"/>
      <c r="B923" s="14"/>
      <c r="C923" s="16" t="s">
        <v>2020</v>
      </c>
      <c r="D923" s="17">
        <f>VLOOKUP(A906,'Neraca Unaudited SIMAK'!$A$2:$S$10004,17,FALSE)</f>
        <v>0</v>
      </c>
      <c r="E923" s="25">
        <f>SUMIFS('Daftar Koreksi'!$I$5:$I$92,'Daftar Koreksi'!$D$5:$D$92,'0600'!A906,'Daftar Koreksi'!$G$5:$G$92,"Aset Henti Guna",'Daftar Koreksi'!$I$5:$I$92,"&gt;0")</f>
        <v>0</v>
      </c>
      <c r="F923" s="25">
        <f>SUMIFS('Daftar Koreksi'!$I$5:$I$92,'Daftar Koreksi'!$D$5:$D$92,'0600'!A906,'Daftar Koreksi'!$G$5:$G$92,"Aset Henti Guna",'Daftar Koreksi'!$I$5:$I$92,"&lt;0")-SUMIFS('Daftar Koreksi'!$I$5:$I$92,'Daftar Koreksi'!$D$5:$D$92,'0600'!A906,'Daftar Koreksi'!$G$5:$G$92,"Aset Henti Guna",'Daftar Koreksi'!$I$5:$I$92,"&lt;0")-SUMIFS('Daftar Koreksi'!$I$5:$I$92,'Daftar Koreksi'!$D$5:$D$92,'0600'!A906,'Daftar Koreksi'!$G$5:$G$92,"Aset Henti Guna",'Daftar Koreksi'!$I$5:$I$92,"&lt;0")</f>
        <v>0</v>
      </c>
      <c r="G923" s="17">
        <f t="shared" si="41"/>
        <v>0</v>
      </c>
      <c r="H923" s="122"/>
    </row>
    <row r="924" spans="1:8" ht="21.95" customHeight="1">
      <c r="A924" s="14"/>
      <c r="B924" s="14"/>
      <c r="C924" s="18" t="s">
        <v>2094</v>
      </c>
      <c r="D924" s="19">
        <f>SUM(D919:D923)</f>
        <v>-468866106</v>
      </c>
      <c r="E924" s="19">
        <f>SUM(E919:E923)</f>
        <v>0</v>
      </c>
      <c r="F924" s="19">
        <f>SUM(F919:F923)</f>
        <v>0</v>
      </c>
      <c r="G924" s="19">
        <f t="shared" si="41"/>
        <v>-468866106</v>
      </c>
      <c r="H924" s="122"/>
    </row>
    <row r="925" spans="1:8" ht="21.95" customHeight="1">
      <c r="A925" s="14"/>
      <c r="B925" s="14"/>
      <c r="C925" s="18" t="s">
        <v>2095</v>
      </c>
      <c r="D925" s="19">
        <f>VLOOKUP(A906,'Neraca Unaudited SIMAK'!$A$2:$S$10004,18,FALSE)</f>
        <v>9676579894</v>
      </c>
      <c r="E925" s="19">
        <f>E924+E918</f>
        <v>0</v>
      </c>
      <c r="F925" s="19">
        <f>F924+F918</f>
        <v>0</v>
      </c>
      <c r="G925" s="19">
        <f t="shared" si="41"/>
        <v>9676579894</v>
      </c>
      <c r="H925" s="122"/>
    </row>
    <row r="926" spans="1:8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</row>
  </sheetData>
  <mergeCells count="252">
    <mergeCell ref="H909:H926"/>
    <mergeCell ref="H689:H706"/>
    <mergeCell ref="H711:H728"/>
    <mergeCell ref="H733:H750"/>
    <mergeCell ref="H755:H772"/>
    <mergeCell ref="H777:H794"/>
    <mergeCell ref="H799:H816"/>
    <mergeCell ref="H821:H838"/>
    <mergeCell ref="H843:H860"/>
    <mergeCell ref="H865:H882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H887:H904"/>
    <mergeCell ref="C841:C842"/>
    <mergeCell ref="D841:D842"/>
    <mergeCell ref="E841:F841"/>
    <mergeCell ref="G841:G842"/>
    <mergeCell ref="H841:H842"/>
    <mergeCell ref="C863:C864"/>
    <mergeCell ref="D863:D864"/>
    <mergeCell ref="E863:F863"/>
    <mergeCell ref="G863:G864"/>
    <mergeCell ref="H863:H864"/>
    <mergeCell ref="C797:C798"/>
    <mergeCell ref="D797:D798"/>
    <mergeCell ref="E797:F797"/>
    <mergeCell ref="G797:G798"/>
    <mergeCell ref="H797:H798"/>
    <mergeCell ref="C819:C820"/>
    <mergeCell ref="D819:D820"/>
    <mergeCell ref="E819:F819"/>
    <mergeCell ref="G819:G820"/>
    <mergeCell ref="H819:H820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9" manualBreakCount="19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970"/>
  <sheetViews>
    <sheetView view="pageBreakPreview" topLeftCell="C93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85546875" style="28" bestFit="1" customWidth="1"/>
    <col min="10" max="10" width="14" style="2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286</v>
      </c>
      <c r="P1" s="8" t="s">
        <v>1424</v>
      </c>
    </row>
    <row r="2" spans="1:16" ht="19.5" customHeight="1">
      <c r="C2" s="9" t="s">
        <v>2103</v>
      </c>
      <c r="O2" s="8" t="s">
        <v>287</v>
      </c>
      <c r="P2" s="8" t="s">
        <v>1425</v>
      </c>
    </row>
    <row r="3" spans="1:16" ht="19.5" customHeight="1">
      <c r="O3" s="8" t="s">
        <v>288</v>
      </c>
      <c r="P3" s="8" t="s">
        <v>1426</v>
      </c>
    </row>
    <row r="4" spans="1:16" ht="19.5" customHeight="1">
      <c r="A4" s="11" t="str">
        <f>O1</f>
        <v>005010700098612000KD</v>
      </c>
      <c r="B4" s="11" t="str">
        <f>P1</f>
        <v>PT. Medan</v>
      </c>
      <c r="C4" s="12" t="str">
        <f>A4&amp;" "&amp;B4</f>
        <v>005010700098612000KD PT. Medan</v>
      </c>
      <c r="D4" s="13"/>
      <c r="E4" s="13"/>
      <c r="F4" s="13"/>
      <c r="G4" s="13"/>
      <c r="H4" s="11"/>
      <c r="O4" s="8" t="s">
        <v>289</v>
      </c>
      <c r="P4" s="8" t="s">
        <v>1427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290</v>
      </c>
      <c r="P5" s="8" t="s">
        <v>1428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291</v>
      </c>
      <c r="P6" s="8" t="s">
        <v>1429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14511610</v>
      </c>
      <c r="E7" s="25">
        <f>SUMIFS('Daftar Koreksi'!$H$5:$H$92,'Daftar Koreksi'!$D$5:$D$92,'0700'!A4,'Daftar Koreksi'!$G$5:$G$92,"Persediaan",'Daftar Koreksi'!$H$5:$H$92,"&gt;0")</f>
        <v>0</v>
      </c>
      <c r="F7" s="25">
        <f>SUMIFS('Daftar Koreksi'!$H$5:$H$92,'Daftar Koreksi'!$D$5:$D$92,'0700'!A4,'Daftar Koreksi'!$G$5:$G$92,"Persediaan",'Daftar Koreksi'!$H$5:$H$92,"&lt;0")-SUMIFS('Daftar Koreksi'!$H$5:$H$92,'Daftar Koreksi'!$D$5:$D$92,'0700'!A4,'Daftar Koreksi'!$G$5:$G$92,"Persediaan",'Daftar Koreksi'!$H$5:$H$92,"&lt;0")-SUMIFS('Daftar Koreksi'!$H$5:$H$92,'Daftar Koreksi'!$D$5:$D$92,'0700'!A4,'Daftar Koreksi'!$G$5:$G$92,"Persediaan",'Daftar Koreksi'!$H$5:$H$92,"&lt;0")</f>
        <v>0</v>
      </c>
      <c r="G7" s="17">
        <f>D7+E7-F7</f>
        <v>14511610</v>
      </c>
      <c r="H7" s="121" t="str">
        <f>IF(ISNA(VLOOKUP(A4,'Mutasi Neraca'!$A$3:$S$914,19,FALSE)),"-",VLOOKUP(A4,'Mutasi Neraca'!$A$3:$S$914,19,FALSE))</f>
        <v>-</v>
      </c>
      <c r="O7" s="8" t="s">
        <v>292</v>
      </c>
      <c r="P7" s="8" t="s">
        <v>1430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69304824900</v>
      </c>
      <c r="E8" s="25">
        <f>SUMIFS('Daftar Koreksi'!$H$5:$H$92,'Daftar Koreksi'!$D$5:$D$92,'0700'!A4,'Daftar Koreksi'!$G$5:$G$92,"Tanah",'Daftar Koreksi'!$H$5:$H$92,"&gt;0")</f>
        <v>0</v>
      </c>
      <c r="F8" s="25">
        <f>SUMIFS('Daftar Koreksi'!$H$5:$H$92,'Daftar Koreksi'!$D$5:$D$92,'0700'!A4,'Daftar Koreksi'!$G$5:$G$92,"Tanah",'Daftar Koreksi'!$H$5:$H$92,"&lt;0")-SUMIFS('Daftar Koreksi'!$H$5:$H$92,'Daftar Koreksi'!$D$5:$D$92,'0700'!A4,'Daftar Koreksi'!$G$5:$G$92,"Tanah",'Daftar Koreksi'!$H$5:$H$92,"&lt;0")-SUMIFS('Daftar Koreksi'!$H$5:$H$92,'Daftar Koreksi'!$D$5:$D$92,'0700'!A4,'Daftar Koreksi'!$G$5:$G$92,"Tanah",'Daftar Koreksi'!$H$5:$H$92,"&lt;0")</f>
        <v>0</v>
      </c>
      <c r="G8" s="17">
        <f t="shared" ref="G8:G24" si="0">D8+E8-F8</f>
        <v>69304824900</v>
      </c>
      <c r="H8" s="122"/>
      <c r="O8" s="8" t="s">
        <v>293</v>
      </c>
      <c r="P8" s="8" t="s">
        <v>1431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6878384635</v>
      </c>
      <c r="E9" s="25">
        <f>SUMIFS('Daftar Koreksi'!$H$5:$H$92,'Daftar Koreksi'!$D$5:$D$92,'0700'!A4,'Daftar Koreksi'!$G$5:$G$92,"Peralatan dan mesin",'Daftar Koreksi'!$H$5:$H$92,"&gt;0")</f>
        <v>0</v>
      </c>
      <c r="F9" s="25">
        <f>SUMIFS('Daftar Koreksi'!$H$5:$H$92,'Daftar Koreksi'!$D$5:$D$92,'0700'!A4,'Daftar Koreksi'!$G$5:$G$92,"Peralatan dan mesin",'Daftar Koreksi'!$H$5:$H$92,"&lt;0")-SUMIFS('Daftar Koreksi'!$H$5:$H$92,'Daftar Koreksi'!$D$5:$D$92,'0700'!A4,'Daftar Koreksi'!$G$5:$G$92,"Peralatan dan mesin",'Daftar Koreksi'!$H$5:$H$92,"&lt;0")-SUMIFS('Daftar Koreksi'!$H$5:$H$92,'Daftar Koreksi'!$D$5:$D$92,'0700'!A4,'Daftar Koreksi'!$G$5:$G$92,"Peralatan dan mesin",'Daftar Koreksi'!$H$5:$H$92,"&lt;0")</f>
        <v>0</v>
      </c>
      <c r="G9" s="17">
        <f t="shared" si="0"/>
        <v>6878384635</v>
      </c>
      <c r="H9" s="122"/>
      <c r="O9" s="8" t="s">
        <v>294</v>
      </c>
      <c r="P9" s="8" t="s">
        <v>1432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33319093673</v>
      </c>
      <c r="E10" s="25">
        <f>SUMIFS('Daftar Koreksi'!$H$5:$H$92,'Daftar Koreksi'!$D$5:$D$92,'0700'!A4,'Daftar Koreksi'!$G$5:$G$92,"Gedung dan Bangunan",'Daftar Koreksi'!$H$5:$H$92,"&gt;0")</f>
        <v>0</v>
      </c>
      <c r="F10" s="25">
        <f>SUMIFS('Daftar Koreksi'!$H$5:$H$92,'Daftar Koreksi'!$D$5:$D$92,'0700'!A4,'Daftar Koreksi'!$G$5:$G$92,"Gedung dan Bangunan",'Daftar Koreksi'!$H$5:$H$92,"&lt;0")-SUMIFS('Daftar Koreksi'!$H$5:$H$92,'Daftar Koreksi'!$D$5:$D$92,'0700'!A4,'Daftar Koreksi'!$G$5:$G$92,"Gedung dan Bangunan",'Daftar Koreksi'!$H$5:$H$92,"&lt;0")-SUMIFS('Daftar Koreksi'!$H$5:$H$92,'Daftar Koreksi'!$D$5:$D$92,'0700'!A4,'Daftar Koreksi'!$G$5:$G$92,"Gedung dan Bangunan",'Daftar Koreksi'!$H$5:$H$92,"&lt;0")</f>
        <v>0</v>
      </c>
      <c r="G10" s="17">
        <f t="shared" si="0"/>
        <v>33319093673</v>
      </c>
      <c r="H10" s="122"/>
      <c r="O10" s="8" t="s">
        <v>295</v>
      </c>
      <c r="P10" s="8" t="s">
        <v>1433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778111400</v>
      </c>
      <c r="E11" s="25">
        <f>SUMIFS('Daftar Koreksi'!$H$5:$H$92,'Daftar Koreksi'!$D$5:$D$92,'0700'!A4,'Daftar Koreksi'!$G$5:$G$92,"Jalan Irigasi Jaringan",'Daftar Koreksi'!$H$5:$H$92,"&gt;0")</f>
        <v>0</v>
      </c>
      <c r="F11" s="25">
        <f>SUMIFS('Daftar Koreksi'!$H$5:$H$92,'Daftar Koreksi'!$D$5:$D$92,'0700'!A4,'Daftar Koreksi'!$G$5:$G$92,"Jalan Irigasi Jaringan",'Daftar Koreksi'!$H$5:$H$92,"&lt;0")-SUMIFS('Daftar Koreksi'!$H$5:$H$92,'Daftar Koreksi'!$D$5:$D$92,'0700'!A4,'Daftar Koreksi'!$G$5:$G$92,"Jalan Irigasi Jaringan",'Daftar Koreksi'!$H$5:$H$92,"&lt;0")-SUMIFS('Daftar Koreksi'!$H$5:$H$92,'Daftar Koreksi'!$D$5:$D$92,'0700'!A4,'Daftar Koreksi'!$G$5:$G$92,"Jalan Irigasi Jaringan",'Daftar Koreksi'!$H$5:$H$92,"&lt;0")</f>
        <v>0</v>
      </c>
      <c r="G11" s="17">
        <f t="shared" si="0"/>
        <v>778111400</v>
      </c>
      <c r="H11" s="122"/>
      <c r="O11" s="8" t="s">
        <v>296</v>
      </c>
      <c r="P11" s="8" t="s">
        <v>1434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5131904</v>
      </c>
      <c r="E12" s="25">
        <f>SUMIFS('Daftar Koreksi'!$H$5:$H$92,'Daftar Koreksi'!$D$5:$D$92,'0700'!A4,'Daftar Koreksi'!$G$5:$G$92,"Aset Tetap Lainnya",'Daftar Koreksi'!$H$5:$H$92,"&gt;0")</f>
        <v>0</v>
      </c>
      <c r="F12" s="25">
        <f>SUMIFS('Daftar Koreksi'!$H$5:$H$92,'Daftar Koreksi'!$D$5:$D$92,'0700'!A4,'Daftar Koreksi'!$G$5:$G$92,"Aset Tetap Lainnya",'Daftar Koreksi'!$H$5:$H$92,"&lt;0")-SUMIFS('Daftar Koreksi'!$H$5:$H$92,'Daftar Koreksi'!$D$5:$D$92,'0700'!A4,'Daftar Koreksi'!$G$5:$G$92,"Aset Tetap Lainnya",'Daftar Koreksi'!$H$5:$H$92,"&lt;0")-SUMIFS('Daftar Koreksi'!$H$5:$H$92,'Daftar Koreksi'!$D$5:$D$92,'0700'!A4,'Daftar Koreksi'!$G$5:$G$92,"Aset Tetap Lainnya",'Daftar Koreksi'!$H$5:$H$92,"&lt;0")</f>
        <v>0</v>
      </c>
      <c r="G12" s="17">
        <f t="shared" si="0"/>
        <v>5131904</v>
      </c>
      <c r="H12" s="122"/>
      <c r="O12" s="8" t="s">
        <v>297</v>
      </c>
      <c r="P12" s="8" t="s">
        <v>1435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Koreksi'!$D$5:$D$92,'0700'!A4,'Daftar Koreksi'!$G$5:$G$92,"Kontruksi Dalam Pengerjaan",'Daftar Koreksi'!$H$5:$H$92,"&gt;0")</f>
        <v>0</v>
      </c>
      <c r="F13" s="25">
        <f>SUMIFS('Daftar Koreksi'!$H$5:$H$92,'Daftar Koreksi'!$D$5:$D$92,'0700'!A4,'Daftar Koreksi'!$G$5:$G$92,"Kontruksi Dalam Pengerjaan",'Daftar Koreksi'!$H$5:$H$92,"&lt;0")-SUMIFS('Daftar Koreksi'!$H$5:$H$92,'Daftar Koreksi'!$D$5:$D$92,'0700'!A4,'Daftar Koreksi'!$G$5:$G$92,"Kontruksi Dalam Pengerjaan",'Daftar Koreksi'!$H$5:$H$92,"&lt;0")-SUMIFS('Daftar Koreksi'!$H$5:$H$92,'Daftar Koreksi'!$D$5:$D$92,'0700'!A4,'Daftar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298</v>
      </c>
      <c r="P13" s="8" t="s">
        <v>1436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60600000</v>
      </c>
      <c r="E14" s="25">
        <f>SUMIFS('Daftar Koreksi'!$H$5:$H$92,'Daftar Koreksi'!$D$5:$D$92,'0700'!A4,'Daftar Koreksi'!$G$5:$G$92,"Aset Tak Berwujud",'Daftar Koreksi'!$H$5:$H$92,"&gt;0")</f>
        <v>0</v>
      </c>
      <c r="F14" s="25">
        <f>SUMIFS('Daftar Koreksi'!$H$5:$H$92,'Daftar Koreksi'!$D$5:$D$92,'0700'!A4,'Daftar Koreksi'!$G$5:$G$92,"Aset Tak Berwujud",'Daftar Koreksi'!$H$5:$H$92,"&lt;0")-SUMIFS('Daftar Koreksi'!$H$5:$H$92,'Daftar Koreksi'!$D$5:$D$92,'0700'!A4,'Daftar Koreksi'!$G$5:$G$92,"Aset Tak Berwujud",'Daftar Koreksi'!$H$5:$H$92,"&lt;0")-SUMIFS('Daftar Koreksi'!$H$5:$H$92,'Daftar Koreksi'!$D$5:$D$92,'0700'!A4,'Daftar Koreksi'!$G$5:$G$92,"Aset Tak Berwujud",'Daftar Koreksi'!$H$5:$H$92,"&lt;0")</f>
        <v>0</v>
      </c>
      <c r="G14" s="17">
        <f t="shared" si="0"/>
        <v>60600000</v>
      </c>
      <c r="H14" s="122"/>
      <c r="O14" s="8" t="s">
        <v>299</v>
      </c>
      <c r="P14" s="8" t="s">
        <v>1437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Koreksi'!$D$5:$D$92,'0700'!A4,'Daftar Koreksi'!$G$5:$G$92,"Aset Henti Guna",'Daftar Koreksi'!$H$5:$H$92,"&gt;0")</f>
        <v>0</v>
      </c>
      <c r="F15" s="25">
        <f>SUMIFS('Daftar Koreksi'!$H$5:$H$92,'Daftar Koreksi'!$D$5:$D$92,'0700'!A4,'Daftar Koreksi'!$G$5:$G$92,"Aset Henti Guna",'Daftar Koreksi'!$H$5:$H$92,"&lt;0")-SUMIFS('Daftar Koreksi'!$H$5:$H$92,'Daftar Koreksi'!$D$5:$D$92,'0700'!A4,'Daftar Koreksi'!$G$5:$G$92,"Aset Henti Guna",'Daftar Koreksi'!$H$5:$H$92,"&lt;0")-SUMIFS('Daftar Koreksi'!$H$5:$H$92,'Daftar Koreksi'!$D$5:$D$92,'0700'!A4,'Daftar Koreksi'!$G$5:$G$92,"Aset Henti Guna",'Daftar Koreksi'!$H$5:$H$92,"&lt;0")</f>
        <v>0</v>
      </c>
      <c r="G15" s="17">
        <f t="shared" si="0"/>
        <v>0</v>
      </c>
      <c r="H15" s="122"/>
      <c r="O15" s="8" t="s">
        <v>300</v>
      </c>
      <c r="P15" s="8" t="s">
        <v>1438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110360658122</v>
      </c>
      <c r="E16" s="19">
        <f>SUM(E7:E15)</f>
        <v>0</v>
      </c>
      <c r="F16" s="19">
        <f>SUM(F7:F15)</f>
        <v>0</v>
      </c>
      <c r="G16" s="19">
        <f t="shared" si="0"/>
        <v>110360658122</v>
      </c>
      <c r="H16" s="122"/>
      <c r="O16" s="8" t="s">
        <v>301</v>
      </c>
      <c r="P16" s="8" t="s">
        <v>1439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-3670380962</v>
      </c>
      <c r="E17" s="25">
        <f>SUMIFS('Daftar Koreksi'!$I$5:$I$92,'Daftar Koreksi'!$D$5:$D$92,'0700'!A4,'Daftar Koreksi'!$G$5:$G$92,"Peralatan dan mesin",'Daftar Koreksi'!$I$5:$I$92,"&gt;0")</f>
        <v>0</v>
      </c>
      <c r="F17" s="25">
        <f>SUMIFS('Daftar Koreksi'!$I$5:$I$92,'Daftar Koreksi'!$D$5:$D$92,'0700'!A4,'Daftar Koreksi'!$G$5:$G$92,"Peralatan dan mesin",'Daftar Koreksi'!$I$5:$I$92,"&lt;0")-SUMIFS('Daftar Koreksi'!$I$5:$I$92,'Daftar Koreksi'!$D$5:$D$92,'0700'!A4,'Daftar Koreksi'!$G$5:$G$92,"Peralatan dan mesin",'Daftar Koreksi'!$I$5:$I$92,"&lt;0")-SUMIFS('Daftar Koreksi'!$I$5:$I$92,'Daftar Koreksi'!$D$5:$D$92,'0700'!A4,'Daftar Koreksi'!$G$5:$G$92,"Peralatan dan mesin",'Daftar Koreksi'!$I$5:$I$92,"&lt;0")</f>
        <v>0</v>
      </c>
      <c r="G17" s="17">
        <f t="shared" si="0"/>
        <v>-3670380962</v>
      </c>
      <c r="H17" s="122"/>
      <c r="O17" s="8" t="s">
        <v>302</v>
      </c>
      <c r="P17" s="8" t="s">
        <v>1440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-5682258365</v>
      </c>
      <c r="E18" s="25">
        <f>SUMIFS('Daftar Koreksi'!$I$5:$I$92,'Daftar Koreksi'!$D$5:$D$92,'0700'!A4,'Daftar Koreksi'!$G$5:$G$92,"Gedung dan Bangunan",'Daftar Koreksi'!$I$5:$I$92,"&gt;0")</f>
        <v>0</v>
      </c>
      <c r="F18" s="25">
        <f>SUMIFS('Daftar Koreksi'!$I$5:$I$92,'Daftar Koreksi'!$D$5:$D$92,'0700'!A4,'Daftar Koreksi'!$G$5:$G$92,"Gedung dan Bangunan",'Daftar Koreksi'!$I$5:$I$92,"&lt;0")-SUMIFS('Daftar Koreksi'!$I$5:$I$92,'Daftar Koreksi'!$D$5:$D$92,'0700'!A4,'Daftar Koreksi'!$G$5:$G$92,"Gedung dan Bangunan",'Daftar Koreksi'!$I$5:$I$92,"&lt;0")-SUMIFS('Daftar Koreksi'!$I$5:$I$92,'Daftar Koreksi'!$D$5:$D$92,'0700'!A4,'Daftar Koreksi'!$G$5:$G$92,"Gedung dan Bangunan",'Daftar Koreksi'!$I$5:$I$92,"&lt;0")</f>
        <v>0</v>
      </c>
      <c r="G18" s="17">
        <f t="shared" si="0"/>
        <v>-5682258365</v>
      </c>
      <c r="H18" s="122"/>
      <c r="O18" s="8" t="s">
        <v>303</v>
      </c>
      <c r="P18" s="8" t="s">
        <v>1441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-243380025</v>
      </c>
      <c r="E19" s="25">
        <f>SUMIFS('Daftar Koreksi'!$I$5:$I$92,'Daftar Koreksi'!$D$5:$D$92,'0700'!A4,'Daftar Koreksi'!$G$5:$G$92,"Jalan Irigasi Jaringan",'Daftar Koreksi'!$I$5:$I$92,"&gt;0")</f>
        <v>0</v>
      </c>
      <c r="F19" s="25">
        <f>SUMIFS('Daftar Koreksi'!$I$5:$I$92,'Daftar Koreksi'!$D$5:$D$92,'0700'!A4,'Daftar Koreksi'!$G$5:$G$92,"Jalan Irigasi Jaringan",'Daftar Koreksi'!$I$5:$I$92,"&lt;0")-SUMIFS('Daftar Koreksi'!$I$5:$I$92,'Daftar Koreksi'!$D$5:$D$92,'0700'!A4,'Daftar Koreksi'!$G$5:$G$92,"Jalan Irigasi Jaringan",'Daftar Koreksi'!$I$5:$I$92,"&lt;0")-SUMIFS('Daftar Koreksi'!$I$5:$I$92,'Daftar Koreksi'!$D$5:$D$92,'0700'!A4,'Daftar Koreksi'!$G$5:$G$92,"Jalan Irigasi Jaringan",'Daftar Koreksi'!$I$5:$I$92,"&lt;0")</f>
        <v>0</v>
      </c>
      <c r="G19" s="17">
        <f t="shared" si="0"/>
        <v>-243380025</v>
      </c>
      <c r="H19" s="122"/>
      <c r="O19" s="8" t="s">
        <v>304</v>
      </c>
      <c r="P19" s="8" t="s">
        <v>1442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Koreksi'!$D$5:$D$92,'0700'!A4,'Daftar Koreksi'!$G$5:$G$92,"Aset Tetap Lainnya",'Daftar Koreksi'!$I$5:$I$92,"&gt;0")</f>
        <v>0</v>
      </c>
      <c r="F20" s="25">
        <f>SUMIFS('Daftar Koreksi'!$I$5:$I$92,'Daftar Koreksi'!$D$5:$D$92,'0700'!A4,'Daftar Koreksi'!$G$5:$G$92,"Aset Tetap Lainnya",'Daftar Koreksi'!$I$5:$I$92,"&lt;0")-SUMIFS('Daftar Koreksi'!$I$5:$I$92,'Daftar Koreksi'!$D$5:$D$92,'0700'!A4,'Daftar Koreksi'!$G$5:$G$92,"Aset Tetap Lainnya",'Daftar Koreksi'!$I$5:$I$92,"&lt;0")-SUMIFS('Daftar Koreksi'!$I$5:$I$92,'Daftar Koreksi'!$D$5:$D$92,'0700'!A4,'Daftar Koreksi'!$G$5:$G$92,"Aset Tetap Lainnya",'Daftar Koreksi'!$I$5:$I$92,"&lt;0")</f>
        <v>0</v>
      </c>
      <c r="G20" s="17">
        <f t="shared" si="0"/>
        <v>0</v>
      </c>
      <c r="H20" s="122"/>
      <c r="O20" s="8" t="s">
        <v>305</v>
      </c>
      <c r="P20" s="8" t="s">
        <v>1443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Koreksi'!$D$5:$D$92,'0700'!A4,'Daftar Koreksi'!$G$5:$G$92,"Aset Henti Guna",'Daftar Koreksi'!$I$5:$I$92,"&gt;0")</f>
        <v>0</v>
      </c>
      <c r="F21" s="25">
        <f>SUMIFS('Daftar Koreksi'!$I$5:$I$92,'Daftar Koreksi'!$D$5:$D$92,'0700'!A4,'Daftar Koreksi'!$G$5:$G$92,"Aset Henti Guna",'Daftar Koreksi'!$I$5:$I$92,"&lt;0")-SUMIFS('Daftar Koreksi'!$I$5:$I$92,'Daftar Koreksi'!$D$5:$D$92,'0700'!A4,'Daftar Koreksi'!$G$5:$G$92,"Aset Henti Guna",'Daftar Koreksi'!$I$5:$I$92,"&lt;0")-SUMIFS('Daftar Koreksi'!$I$5:$I$92,'Daftar Koreksi'!$D$5:$D$92,'0700'!A4,'Daftar Koreksi'!$G$5:$G$92,"Aset Henti Guna",'Daftar Koreksi'!$I$5:$I$92,"&lt;0")</f>
        <v>0</v>
      </c>
      <c r="G21" s="17">
        <f t="shared" si="0"/>
        <v>0</v>
      </c>
      <c r="H21" s="122"/>
      <c r="O21" s="8" t="s">
        <v>306</v>
      </c>
      <c r="P21" s="8" t="s">
        <v>1444</v>
      </c>
    </row>
    <row r="22" spans="1:16" ht="21.95" customHeight="1">
      <c r="A22" s="14"/>
      <c r="B22" s="14"/>
      <c r="C22" s="18" t="s">
        <v>2094</v>
      </c>
      <c r="D22" s="19">
        <f>SUM(D17:D21)</f>
        <v>-9596019352</v>
      </c>
      <c r="E22" s="19">
        <f>SUM(E17:E21)</f>
        <v>0</v>
      </c>
      <c r="F22" s="19">
        <f>SUM(F17:F21)</f>
        <v>0</v>
      </c>
      <c r="G22" s="19">
        <f t="shared" si="0"/>
        <v>-9596019352</v>
      </c>
      <c r="H22" s="122"/>
      <c r="O22" s="8" t="s">
        <v>307</v>
      </c>
      <c r="P22" s="8" t="s">
        <v>1445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100764638770</v>
      </c>
      <c r="E23" s="19">
        <f>E22+E16</f>
        <v>0</v>
      </c>
      <c r="F23" s="19">
        <f>F22+F16</f>
        <v>0</v>
      </c>
      <c r="G23" s="19">
        <f t="shared" si="0"/>
        <v>100764638770</v>
      </c>
      <c r="H23" s="122"/>
      <c r="O23" s="8" t="s">
        <v>308</v>
      </c>
      <c r="P23" s="8" t="s">
        <v>1446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309</v>
      </c>
      <c r="P24" s="8" t="s">
        <v>1447</v>
      </c>
    </row>
    <row r="25" spans="1:16" ht="19.5" customHeight="1">
      <c r="O25" s="8" t="s">
        <v>310</v>
      </c>
      <c r="P25" s="8" t="s">
        <v>1448</v>
      </c>
    </row>
    <row r="26" spans="1:16" ht="19.5" customHeight="1">
      <c r="A26" s="11" t="str">
        <f>O2</f>
        <v>005010700098629000KD</v>
      </c>
      <c r="B26" s="11" t="str">
        <f>P2</f>
        <v>PN. Medan</v>
      </c>
      <c r="C26" s="12" t="str">
        <f>A26&amp;" "&amp;B26</f>
        <v>005010700098629000KD PN. Medan</v>
      </c>
      <c r="D26" s="13"/>
      <c r="E26" s="13"/>
      <c r="F26" s="13"/>
      <c r="G26" s="13"/>
      <c r="H26" s="11"/>
      <c r="O26" s="8" t="s">
        <v>311</v>
      </c>
      <c r="P26" s="8" t="s">
        <v>1449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312</v>
      </c>
      <c r="P27" s="8" t="s">
        <v>1450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313</v>
      </c>
      <c r="P28" s="8" t="s">
        <v>1451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Koreksi'!$D$5:$D$92,'0700'!A26,'Daftar Koreksi'!$G$5:$G$92,"Persediaan",'Daftar Koreksi'!$H$5:$H$92,"&gt;0")</f>
        <v>0</v>
      </c>
      <c r="F29" s="25">
        <f>SUMIFS('Daftar Koreksi'!$H$5:$H$92,'Daftar Koreksi'!$D$5:$D$92,'0700'!A26,'Daftar Koreksi'!$G$5:$G$92,"Persediaan",'Daftar Koreksi'!$H$5:$H$92,"&lt;0")-SUMIFS('Daftar Koreksi'!$H$5:$H$92,'Daftar Koreksi'!$D$5:$D$92,'0700'!A26,'Daftar Koreksi'!$G$5:$G$92,"Persediaan",'Daftar Koreksi'!$H$5:$H$92,"&lt;0")-SUMIFS('Daftar Koreksi'!$H$5:$H$92,'Daftar Koreksi'!$D$5:$D$92,'0700'!A26,'Daftar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  <c r="O29" s="8" t="s">
        <v>314</v>
      </c>
      <c r="P29" s="8" t="s">
        <v>1452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75370855280</v>
      </c>
      <c r="E30" s="25">
        <f>SUMIFS('Daftar Koreksi'!$H$5:$H$92,'Daftar Koreksi'!$D$5:$D$92,'0700'!A26,'Daftar Koreksi'!$G$5:$G$92,"Tanah",'Daftar Koreksi'!$H$5:$H$92,"&gt;0")</f>
        <v>0</v>
      </c>
      <c r="F30" s="25">
        <f>SUMIFS('Daftar Koreksi'!$H$5:$H$92,'Daftar Koreksi'!$D$5:$D$92,'0700'!A26,'Daftar Koreksi'!$G$5:$G$92,"Tanah",'Daftar Koreksi'!$H$5:$H$92,"&lt;0")-SUMIFS('Daftar Koreksi'!$H$5:$H$92,'Daftar Koreksi'!$D$5:$D$92,'0700'!A26,'Daftar Koreksi'!$G$5:$G$92,"Tanah",'Daftar Koreksi'!$H$5:$H$92,"&lt;0")-SUMIFS('Daftar Koreksi'!$H$5:$H$92,'Daftar Koreksi'!$D$5:$D$92,'0700'!A26,'Daftar Koreksi'!$G$5:$G$92,"Tanah",'Daftar Koreksi'!$H$5:$H$92,"&lt;0")</f>
        <v>0</v>
      </c>
      <c r="G30" s="17">
        <f t="shared" ref="G30:G46" si="1">D30+E30-F30</f>
        <v>75370855280</v>
      </c>
      <c r="H30" s="122"/>
      <c r="O30" s="8" t="s">
        <v>315</v>
      </c>
      <c r="P30" s="8" t="s">
        <v>1453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4987131964</v>
      </c>
      <c r="E31" s="25">
        <f>SUMIFS('Daftar Koreksi'!$H$5:$H$92,'Daftar Koreksi'!$D$5:$D$92,'0700'!A26,'Daftar Koreksi'!$G$5:$G$92,"Peralatan dan mesin",'Daftar Koreksi'!$H$5:$H$92,"&gt;0")</f>
        <v>0</v>
      </c>
      <c r="F31" s="25">
        <f>SUMIFS('Daftar Koreksi'!$H$5:$H$92,'Daftar Koreksi'!$D$5:$D$92,'0700'!A26,'Daftar Koreksi'!$G$5:$G$92,"Peralatan dan mesin",'Daftar Koreksi'!$H$5:$H$92,"&lt;0")-SUMIFS('Daftar Koreksi'!$H$5:$H$92,'Daftar Koreksi'!$D$5:$D$92,'0700'!A26,'Daftar Koreksi'!$G$5:$G$92,"Peralatan dan mesin",'Daftar Koreksi'!$H$5:$H$92,"&lt;0")-SUMIFS('Daftar Koreksi'!$H$5:$H$92,'Daftar Koreksi'!$D$5:$D$92,'0700'!A26,'Daftar Koreksi'!$G$5:$G$92,"Peralatan dan mesin",'Daftar Koreksi'!$H$5:$H$92,"&lt;0")</f>
        <v>0</v>
      </c>
      <c r="G31" s="17">
        <f t="shared" si="1"/>
        <v>4987131964</v>
      </c>
      <c r="H31" s="122"/>
      <c r="O31" s="8" t="s">
        <v>316</v>
      </c>
      <c r="P31" s="8" t="s">
        <v>1454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9397879000</v>
      </c>
      <c r="E32" s="25">
        <f>SUMIFS('Daftar Koreksi'!$H$5:$H$92,'Daftar Koreksi'!$D$5:$D$92,'0700'!A26,'Daftar Koreksi'!$G$5:$G$92,"Gedung dan Bangunan",'Daftar Koreksi'!$H$5:$H$92,"&gt;0")</f>
        <v>0</v>
      </c>
      <c r="F32" s="25">
        <f>SUMIFS('Daftar Koreksi'!$H$5:$H$92,'Daftar Koreksi'!$D$5:$D$92,'0700'!A26,'Daftar Koreksi'!$G$5:$G$92,"Gedung dan Bangunan",'Daftar Koreksi'!$H$5:$H$92,"&lt;0")-SUMIFS('Daftar Koreksi'!$H$5:$H$92,'Daftar Koreksi'!$D$5:$D$92,'0700'!A26,'Daftar Koreksi'!$G$5:$G$92,"Gedung dan Bangunan",'Daftar Koreksi'!$H$5:$H$92,"&lt;0")-SUMIFS('Daftar Koreksi'!$H$5:$H$92,'Daftar Koreksi'!$D$5:$D$92,'0700'!A26,'Daftar Koreksi'!$G$5:$G$92,"Gedung dan Bangunan",'Daftar Koreksi'!$H$5:$H$92,"&lt;0")</f>
        <v>0</v>
      </c>
      <c r="G32" s="17">
        <f t="shared" si="1"/>
        <v>9397879000</v>
      </c>
      <c r="H32" s="122"/>
      <c r="O32" s="8" t="s">
        <v>317</v>
      </c>
      <c r="P32" s="8" t="s">
        <v>1455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223483000</v>
      </c>
      <c r="E33" s="25">
        <f>SUMIFS('Daftar Koreksi'!$H$5:$H$92,'Daftar Koreksi'!$D$5:$D$92,'0700'!A26,'Daftar Koreksi'!$G$5:$G$92,"Jalan Irigasi Jaringan",'Daftar Koreksi'!$H$5:$H$92,"&gt;0")</f>
        <v>0</v>
      </c>
      <c r="F33" s="25">
        <f>SUMIFS('Daftar Koreksi'!$H$5:$H$92,'Daftar Koreksi'!$D$5:$D$92,'0700'!A26,'Daftar Koreksi'!$G$5:$G$92,"Jalan Irigasi Jaringan",'Daftar Koreksi'!$H$5:$H$92,"&lt;0")-SUMIFS('Daftar Koreksi'!$H$5:$H$92,'Daftar Koreksi'!$D$5:$D$92,'0700'!A26,'Daftar Koreksi'!$G$5:$G$92,"Jalan Irigasi Jaringan",'Daftar Koreksi'!$H$5:$H$92,"&lt;0")-SUMIFS('Daftar Koreksi'!$H$5:$H$92,'Daftar Koreksi'!$D$5:$D$92,'0700'!A26,'Daftar Koreksi'!$G$5:$G$92,"Jalan Irigasi Jaringan",'Daftar Koreksi'!$H$5:$H$92,"&lt;0")</f>
        <v>0</v>
      </c>
      <c r="G33" s="17">
        <f t="shared" si="1"/>
        <v>223483000</v>
      </c>
      <c r="H33" s="122"/>
      <c r="O33" s="8" t="s">
        <v>318</v>
      </c>
      <c r="P33" s="8" t="s">
        <v>1456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2001440</v>
      </c>
      <c r="E34" s="25">
        <f>SUMIFS('Daftar Koreksi'!$H$5:$H$92,'Daftar Koreksi'!$D$5:$D$92,'0700'!A26,'Daftar Koreksi'!$G$5:$G$92,"Aset Tetap Lainnya",'Daftar Koreksi'!$H$5:$H$92,"&gt;0")</f>
        <v>0</v>
      </c>
      <c r="F34" s="25">
        <f>SUMIFS('Daftar Koreksi'!$H$5:$H$92,'Daftar Koreksi'!$D$5:$D$92,'0700'!A26,'Daftar Koreksi'!$G$5:$G$92,"Aset Tetap Lainnya",'Daftar Koreksi'!$H$5:$H$92,"&lt;0")-SUMIFS('Daftar Koreksi'!$H$5:$H$92,'Daftar Koreksi'!$D$5:$D$92,'0700'!A26,'Daftar Koreksi'!$G$5:$G$92,"Aset Tetap Lainnya",'Daftar Koreksi'!$H$5:$H$92,"&lt;0")-SUMIFS('Daftar Koreksi'!$H$5:$H$92,'Daftar Koreksi'!$D$5:$D$92,'0700'!A26,'Daftar Koreksi'!$G$5:$G$92,"Aset Tetap Lainnya",'Daftar Koreksi'!$H$5:$H$92,"&lt;0")</f>
        <v>0</v>
      </c>
      <c r="G34" s="17">
        <f t="shared" si="1"/>
        <v>2001440</v>
      </c>
      <c r="H34" s="122"/>
      <c r="O34" s="8" t="s">
        <v>319</v>
      </c>
      <c r="P34" s="8" t="s">
        <v>1457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Koreksi'!$D$5:$D$92,'0700'!A26,'Daftar Koreksi'!$G$5:$G$92,"Kontruksi Dalam Pengerjaan",'Daftar Koreksi'!$H$5:$H$92,"&gt;0")</f>
        <v>0</v>
      </c>
      <c r="F35" s="25">
        <f>SUMIFS('Daftar Koreksi'!$H$5:$H$92,'Daftar Koreksi'!$D$5:$D$92,'0700'!A26,'Daftar Koreksi'!$G$5:$G$92,"Kontruksi Dalam Pengerjaan",'Daftar Koreksi'!$H$5:$H$92,"&lt;0")-SUMIFS('Daftar Koreksi'!$H$5:$H$92,'Daftar Koreksi'!$D$5:$D$92,'0700'!A26,'Daftar Koreksi'!$G$5:$G$92,"Kontruksi Dalam Pengerjaan",'Daftar Koreksi'!$H$5:$H$92,"&lt;0")-SUMIFS('Daftar Koreksi'!$H$5:$H$92,'Daftar Koreksi'!$D$5:$D$92,'0700'!A26,'Daftar Koreksi'!$G$5:$G$92,"Kontruksi Dalam Pengerjaan",'Daftar Koreksi'!$H$5:$H$92,"&lt;0")</f>
        <v>0</v>
      </c>
      <c r="G35" s="17">
        <f t="shared" si="1"/>
        <v>0</v>
      </c>
      <c r="H35" s="122"/>
      <c r="O35" s="8" t="s">
        <v>320</v>
      </c>
      <c r="P35" s="8" t="s">
        <v>1458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Koreksi'!$D$5:$D$92,'0700'!A26,'Daftar Koreksi'!$G$5:$G$92,"Aset Tak Berwujud",'Daftar Koreksi'!$H$5:$H$92,"&gt;0")</f>
        <v>0</v>
      </c>
      <c r="F36" s="25">
        <f>SUMIFS('Daftar Koreksi'!$H$5:$H$92,'Daftar Koreksi'!$D$5:$D$92,'0700'!A26,'Daftar Koreksi'!$G$5:$G$92,"Aset Tak Berwujud",'Daftar Koreksi'!$H$5:$H$92,"&lt;0")-SUMIFS('Daftar Koreksi'!$H$5:$H$92,'Daftar Koreksi'!$D$5:$D$92,'0700'!A26,'Daftar Koreksi'!$G$5:$G$92,"Aset Tak Berwujud",'Daftar Koreksi'!$H$5:$H$92,"&lt;0")-SUMIFS('Daftar Koreksi'!$H$5:$H$92,'Daftar Koreksi'!$D$5:$D$92,'0700'!A26,'Daftar Koreksi'!$G$5:$G$92,"Aset Tak Berwujud",'Daftar Koreksi'!$H$5:$H$92,"&lt;0")</f>
        <v>0</v>
      </c>
      <c r="G36" s="17">
        <f t="shared" si="1"/>
        <v>0</v>
      </c>
      <c r="H36" s="122"/>
      <c r="O36" s="8" t="s">
        <v>321</v>
      </c>
      <c r="P36" s="8" t="s">
        <v>1459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83570395</v>
      </c>
      <c r="E37" s="25">
        <f>SUMIFS('Daftar Koreksi'!$H$5:$H$92,'Daftar Koreksi'!$D$5:$D$92,'0700'!A26,'Daftar Koreksi'!$G$5:$G$92,"Aset Henti Guna",'Daftar Koreksi'!$H$5:$H$92,"&gt;0")</f>
        <v>0</v>
      </c>
      <c r="F37" s="25">
        <f>SUMIFS('Daftar Koreksi'!$H$5:$H$92,'Daftar Koreksi'!$D$5:$D$92,'0700'!A26,'Daftar Koreksi'!$G$5:$G$92,"Aset Henti Guna",'Daftar Koreksi'!$H$5:$H$92,"&lt;0")-SUMIFS('Daftar Koreksi'!$H$5:$H$92,'Daftar Koreksi'!$D$5:$D$92,'0700'!A26,'Daftar Koreksi'!$G$5:$G$92,"Aset Henti Guna",'Daftar Koreksi'!$H$5:$H$92,"&lt;0")-SUMIFS('Daftar Koreksi'!$H$5:$H$92,'Daftar Koreksi'!$D$5:$D$92,'0700'!A26,'Daftar Koreksi'!$G$5:$G$92,"Aset Henti Guna",'Daftar Koreksi'!$H$5:$H$92,"&lt;0")</f>
        <v>0</v>
      </c>
      <c r="G37" s="17">
        <f t="shared" si="1"/>
        <v>83570395</v>
      </c>
      <c r="H37" s="122"/>
      <c r="O37" s="8" t="s">
        <v>322</v>
      </c>
      <c r="P37" s="8" t="s">
        <v>1460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90064921079</v>
      </c>
      <c r="E38" s="19">
        <f>SUM(E29:E37)</f>
        <v>0</v>
      </c>
      <c r="F38" s="19">
        <f>SUM(F29:F37)</f>
        <v>0</v>
      </c>
      <c r="G38" s="19">
        <f t="shared" si="1"/>
        <v>90064921079</v>
      </c>
      <c r="H38" s="122"/>
      <c r="O38" s="8" t="s">
        <v>323</v>
      </c>
      <c r="P38" s="8" t="s">
        <v>1461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-4602455964</v>
      </c>
      <c r="E39" s="25">
        <f>SUMIFS('Daftar Koreksi'!$I$5:$I$92,'Daftar Koreksi'!$D$5:$D$92,'0700'!A26,'Daftar Koreksi'!$G$5:$G$92,"Peralatan dan mesin",'Daftar Koreksi'!$I$5:$I$92,"&gt;0")</f>
        <v>0</v>
      </c>
      <c r="F39" s="25">
        <f>SUMIFS('Daftar Koreksi'!$I$5:$I$92,'Daftar Koreksi'!$D$5:$D$92,'0700'!A26,'Daftar Koreksi'!$G$5:$G$92,"Peralatan dan mesin",'Daftar Koreksi'!$I$5:$I$92,"&lt;0")-SUMIFS('Daftar Koreksi'!$I$5:$I$92,'Daftar Koreksi'!$D$5:$D$92,'0700'!A26,'Daftar Koreksi'!$G$5:$G$92,"Peralatan dan mesin",'Daftar Koreksi'!$I$5:$I$92,"&lt;0")-SUMIFS('Daftar Koreksi'!$I$5:$I$92,'Daftar Koreksi'!$D$5:$D$92,'0700'!A26,'Daftar Koreksi'!$G$5:$G$92,"Peralatan dan mesin",'Daftar Koreksi'!$I$5:$I$92,"&lt;0")</f>
        <v>0</v>
      </c>
      <c r="G39" s="17">
        <f t="shared" si="1"/>
        <v>-4602455964</v>
      </c>
      <c r="H39" s="122"/>
      <c r="O39" s="8" t="s">
        <v>324</v>
      </c>
      <c r="P39" s="8" t="s">
        <v>1462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-8263847800</v>
      </c>
      <c r="E40" s="25">
        <f>SUMIFS('Daftar Koreksi'!$I$5:$I$92,'Daftar Koreksi'!$D$5:$D$92,'0700'!A26,'Daftar Koreksi'!$G$5:$G$92,"Gedung dan Bangunan",'Daftar Koreksi'!$I$5:$I$92,"&gt;0")</f>
        <v>0</v>
      </c>
      <c r="F40" s="25">
        <f>SUMIFS('Daftar Koreksi'!$I$5:$I$92,'Daftar Koreksi'!$D$5:$D$92,'0700'!A26,'Daftar Koreksi'!$G$5:$G$92,"Gedung dan Bangunan",'Daftar Koreksi'!$I$5:$I$92,"&lt;0")-SUMIFS('Daftar Koreksi'!$I$5:$I$92,'Daftar Koreksi'!$D$5:$D$92,'0700'!A26,'Daftar Koreksi'!$G$5:$G$92,"Gedung dan Bangunan",'Daftar Koreksi'!$I$5:$I$92,"&lt;0")-SUMIFS('Daftar Koreksi'!$I$5:$I$92,'Daftar Koreksi'!$D$5:$D$92,'0700'!A26,'Daftar Koreksi'!$G$5:$G$92,"Gedung dan Bangunan",'Daftar Koreksi'!$I$5:$I$92,"&lt;0")</f>
        <v>0</v>
      </c>
      <c r="G40" s="17">
        <f t="shared" si="1"/>
        <v>-8263847800</v>
      </c>
      <c r="H40" s="122"/>
      <c r="O40" s="8" t="s">
        <v>325</v>
      </c>
      <c r="P40" s="8" t="s">
        <v>1463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-41903063</v>
      </c>
      <c r="E41" s="25">
        <f>SUMIFS('Daftar Koreksi'!$I$5:$I$92,'Daftar Koreksi'!$D$5:$D$92,'0700'!A26,'Daftar Koreksi'!$G$5:$G$92,"Jalan Irigasi Jaringan",'Daftar Koreksi'!$I$5:$I$92,"&gt;0")</f>
        <v>0</v>
      </c>
      <c r="F41" s="25">
        <f>SUMIFS('Daftar Koreksi'!$I$5:$I$92,'Daftar Koreksi'!$D$5:$D$92,'0700'!A26,'Daftar Koreksi'!$G$5:$G$92,"Jalan Irigasi Jaringan",'Daftar Koreksi'!$I$5:$I$92,"&lt;0")-SUMIFS('Daftar Koreksi'!$I$5:$I$92,'Daftar Koreksi'!$D$5:$D$92,'0700'!A26,'Daftar Koreksi'!$G$5:$G$92,"Jalan Irigasi Jaringan",'Daftar Koreksi'!$I$5:$I$92,"&lt;0")-SUMIFS('Daftar Koreksi'!$I$5:$I$92,'Daftar Koreksi'!$D$5:$D$92,'0700'!A26,'Daftar Koreksi'!$G$5:$G$92,"Jalan Irigasi Jaringan",'Daftar Koreksi'!$I$5:$I$92,"&lt;0")</f>
        <v>0</v>
      </c>
      <c r="G41" s="17">
        <f t="shared" si="1"/>
        <v>-41903063</v>
      </c>
      <c r="H41" s="122"/>
      <c r="O41" s="8" t="s">
        <v>326</v>
      </c>
      <c r="P41" s="8" t="s">
        <v>1464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Koreksi'!$D$5:$D$92,'0700'!A26,'Daftar Koreksi'!$G$5:$G$92,"Aset Tetap Lainnya",'Daftar Koreksi'!$I$5:$I$92,"&gt;0")</f>
        <v>0</v>
      </c>
      <c r="F42" s="25">
        <f>SUMIFS('Daftar Koreksi'!$I$5:$I$92,'Daftar Koreksi'!$D$5:$D$92,'0700'!A26,'Daftar Koreksi'!$G$5:$G$92,"Aset Tetap Lainnya",'Daftar Koreksi'!$I$5:$I$92,"&lt;0")-SUMIFS('Daftar Koreksi'!$I$5:$I$92,'Daftar Koreksi'!$D$5:$D$92,'0700'!A26,'Daftar Koreksi'!$G$5:$G$92,"Aset Tetap Lainnya",'Daftar Koreksi'!$I$5:$I$92,"&lt;0")-SUMIFS('Daftar Koreksi'!$I$5:$I$92,'Daftar Koreksi'!$D$5:$D$92,'0700'!A26,'Daftar Koreksi'!$G$5:$G$92,"Aset Tetap Lainnya",'Daftar Koreksi'!$I$5:$I$92,"&lt;0")</f>
        <v>0</v>
      </c>
      <c r="G42" s="17">
        <f t="shared" si="1"/>
        <v>0</v>
      </c>
      <c r="H42" s="122"/>
      <c r="O42" s="8" t="s">
        <v>327</v>
      </c>
      <c r="P42" s="8" t="s">
        <v>1465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-82852895</v>
      </c>
      <c r="E43" s="25">
        <f>SUMIFS('Daftar Koreksi'!$I$5:$I$92,'Daftar Koreksi'!$D$5:$D$92,'0700'!A26,'Daftar Koreksi'!$G$5:$G$92,"Aset Henti Guna",'Daftar Koreksi'!$I$5:$I$92,"&gt;0")</f>
        <v>0</v>
      </c>
      <c r="F43" s="25">
        <f>SUMIFS('Daftar Koreksi'!$I$5:$I$92,'Daftar Koreksi'!$D$5:$D$92,'0700'!A26,'Daftar Koreksi'!$G$5:$G$92,"Aset Henti Guna",'Daftar Koreksi'!$I$5:$I$92,"&lt;0")-SUMIFS('Daftar Koreksi'!$I$5:$I$92,'Daftar Koreksi'!$D$5:$D$92,'0700'!A26,'Daftar Koreksi'!$G$5:$G$92,"Aset Henti Guna",'Daftar Koreksi'!$I$5:$I$92,"&lt;0")-SUMIFS('Daftar Koreksi'!$I$5:$I$92,'Daftar Koreksi'!$D$5:$D$92,'0700'!A26,'Daftar Koreksi'!$G$5:$G$92,"Aset Henti Guna",'Daftar Koreksi'!$I$5:$I$92,"&lt;0")</f>
        <v>0</v>
      </c>
      <c r="G43" s="17">
        <f t="shared" si="1"/>
        <v>-82852895</v>
      </c>
      <c r="H43" s="122"/>
      <c r="O43" s="8" t="s">
        <v>328</v>
      </c>
      <c r="P43" s="8" t="s">
        <v>1466</v>
      </c>
    </row>
    <row r="44" spans="1:16" ht="21.95" customHeight="1">
      <c r="A44" s="14"/>
      <c r="B44" s="14"/>
      <c r="C44" s="18" t="s">
        <v>2094</v>
      </c>
      <c r="D44" s="19">
        <f>SUM(D39:D43)</f>
        <v>-12991059722</v>
      </c>
      <c r="E44" s="19">
        <f>SUM(E39:E43)</f>
        <v>0</v>
      </c>
      <c r="F44" s="19">
        <f>SUM(F39:F43)</f>
        <v>0</v>
      </c>
      <c r="G44" s="19">
        <f t="shared" si="1"/>
        <v>-12991059722</v>
      </c>
      <c r="H44" s="122"/>
      <c r="O44" s="8" t="s">
        <v>329</v>
      </c>
      <c r="P44" s="8" t="s">
        <v>1467</v>
      </c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77073861357</v>
      </c>
      <c r="E45" s="19">
        <f>E44+E38</f>
        <v>0</v>
      </c>
      <c r="F45" s="19">
        <f>F44+F38</f>
        <v>0</v>
      </c>
      <c r="G45" s="19">
        <f t="shared" si="1"/>
        <v>77073861357</v>
      </c>
      <c r="H45" s="122"/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16" ht="19.5" customHeight="1">
      <c r="A48" s="11" t="str">
        <f>O3</f>
        <v>005010700098633000KD</v>
      </c>
      <c r="B48" s="11" t="str">
        <f>P3</f>
        <v>PN. Binjai</v>
      </c>
      <c r="C48" s="12" t="str">
        <f>A48&amp;" "&amp;B48</f>
        <v>005010700098633000KD PN. Binjai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382250</v>
      </c>
      <c r="E51" s="25">
        <f>SUMIFS('Daftar Koreksi'!$H$5:$H$92,'Daftar Koreksi'!$D$5:$D$92,'0700'!A48,'Daftar Koreksi'!$G$5:$G$92,"Persediaan",'Daftar Koreksi'!$H$5:$H$92,"&gt;0")</f>
        <v>0</v>
      </c>
      <c r="F51" s="25">
        <f>SUMIFS('Daftar Koreksi'!$H$5:$H$92,'Daftar Koreksi'!$D$5:$D$92,'0700'!A48,'Daftar Koreksi'!$G$5:$G$92,"Persediaan",'Daftar Koreksi'!$H$5:$H$92,"&lt;0")-SUMIFS('Daftar Koreksi'!$H$5:$H$92,'Daftar Koreksi'!$D$5:$D$92,'0700'!A48,'Daftar Koreksi'!$G$5:$G$92,"Persediaan",'Daftar Koreksi'!$H$5:$H$92,"&lt;0")-SUMIFS('Daftar Koreksi'!$H$5:$H$92,'Daftar Koreksi'!$D$5:$D$92,'0700'!A48,'Daftar Koreksi'!$G$5:$G$92,"Persediaan",'Daftar Koreksi'!$H$5:$H$92,"&lt;0")</f>
        <v>0</v>
      </c>
      <c r="G51" s="17">
        <f>D51+E51-F51</f>
        <v>382250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3367960800</v>
      </c>
      <c r="E52" s="25">
        <f>SUMIFS('Daftar Koreksi'!$H$5:$H$92,'Daftar Koreksi'!$D$5:$D$92,'0700'!A48,'Daftar Koreksi'!$G$5:$G$92,"Tanah",'Daftar Koreksi'!$H$5:$H$92,"&gt;0")</f>
        <v>0</v>
      </c>
      <c r="F52" s="25">
        <f>SUMIFS('Daftar Koreksi'!$H$5:$H$92,'Daftar Koreksi'!$D$5:$D$92,'0700'!A48,'Daftar Koreksi'!$G$5:$G$92,"Tanah",'Daftar Koreksi'!$H$5:$H$92,"&lt;0")-SUMIFS('Daftar Koreksi'!$H$5:$H$92,'Daftar Koreksi'!$D$5:$D$92,'0700'!A48,'Daftar Koreksi'!$G$5:$G$92,"Tanah",'Daftar Koreksi'!$H$5:$H$92,"&lt;0")-SUMIFS('Daftar Koreksi'!$H$5:$H$92,'Daftar Koreksi'!$D$5:$D$92,'0700'!A48,'Daftar Koreksi'!$G$5:$G$92,"Tanah",'Daftar Koreksi'!$H$5:$H$92,"&lt;0")</f>
        <v>0</v>
      </c>
      <c r="G52" s="17">
        <f t="shared" ref="G52:G68" si="2">D52+E52-F52</f>
        <v>3367960800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1053336133</v>
      </c>
      <c r="E53" s="25">
        <f>SUMIFS('Daftar Koreksi'!$H$5:$H$92,'Daftar Koreksi'!$D$5:$D$92,'0700'!A48,'Daftar Koreksi'!$G$5:$G$92,"Peralatan dan mesin",'Daftar Koreksi'!$H$5:$H$92,"&gt;0")</f>
        <v>0</v>
      </c>
      <c r="F53" s="25">
        <f>SUMIFS('Daftar Koreksi'!$H$5:$H$92,'Daftar Koreksi'!$D$5:$D$92,'0700'!A48,'Daftar Koreksi'!$G$5:$G$92,"Peralatan dan mesin",'Daftar Koreksi'!$H$5:$H$92,"&lt;0")-SUMIFS('Daftar Koreksi'!$H$5:$H$92,'Daftar Koreksi'!$D$5:$D$92,'0700'!A48,'Daftar Koreksi'!$G$5:$G$92,"Peralatan dan mesin",'Daftar Koreksi'!$H$5:$H$92,"&lt;0")-SUMIFS('Daftar Koreksi'!$H$5:$H$92,'Daftar Koreksi'!$D$5:$D$92,'0700'!A48,'Daftar Koreksi'!$G$5:$G$92,"Peralatan dan mesin",'Daftar Koreksi'!$H$5:$H$92,"&lt;0")</f>
        <v>0</v>
      </c>
      <c r="G53" s="17">
        <f t="shared" si="2"/>
        <v>1053336133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7261645700</v>
      </c>
      <c r="E54" s="25">
        <f>SUMIFS('Daftar Koreksi'!$H$5:$H$92,'Daftar Koreksi'!$D$5:$D$92,'0700'!A48,'Daftar Koreksi'!$G$5:$G$92,"Gedung dan Bangunan",'Daftar Koreksi'!$H$5:$H$92,"&gt;0")</f>
        <v>0</v>
      </c>
      <c r="F54" s="25">
        <f>SUMIFS('Daftar Koreksi'!$H$5:$H$92,'Daftar Koreksi'!$D$5:$D$92,'0700'!A48,'Daftar Koreksi'!$G$5:$G$92,"Gedung dan Bangunan",'Daftar Koreksi'!$H$5:$H$92,"&lt;0")-SUMIFS('Daftar Koreksi'!$H$5:$H$92,'Daftar Koreksi'!$D$5:$D$92,'0700'!A48,'Daftar Koreksi'!$G$5:$G$92,"Gedung dan Bangunan",'Daftar Koreksi'!$H$5:$H$92,"&lt;0")-SUMIFS('Daftar Koreksi'!$H$5:$H$92,'Daftar Koreksi'!$D$5:$D$92,'0700'!A48,'Daftar Koreksi'!$G$5:$G$92,"Gedung dan Bangunan",'Daftar Koreksi'!$H$5:$H$92,"&lt;0")</f>
        <v>0</v>
      </c>
      <c r="G54" s="17">
        <f t="shared" si="2"/>
        <v>7261645700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Koreksi'!$D$5:$D$92,'0700'!A48,'Daftar Koreksi'!$G$5:$G$92,"Jalan Irigasi Jaringan",'Daftar Koreksi'!$H$5:$H$92,"&gt;0")</f>
        <v>0</v>
      </c>
      <c r="F55" s="25">
        <f>SUMIFS('Daftar Koreksi'!$H$5:$H$92,'Daftar Koreksi'!$D$5:$D$92,'0700'!A48,'Daftar Koreksi'!$G$5:$G$92,"Jalan Irigasi Jaringan",'Daftar Koreksi'!$H$5:$H$92,"&lt;0")-SUMIFS('Daftar Koreksi'!$H$5:$H$92,'Daftar Koreksi'!$D$5:$D$92,'0700'!A48,'Daftar Koreksi'!$G$5:$G$92,"Jalan Irigasi Jaringan",'Daftar Koreksi'!$H$5:$H$92,"&lt;0")-SUMIFS('Daftar Koreksi'!$H$5:$H$92,'Daftar Koreksi'!$D$5:$D$92,'0700'!A48,'Daftar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73443440</v>
      </c>
      <c r="E56" s="25">
        <f>SUMIFS('Daftar Koreksi'!$H$5:$H$92,'Daftar Koreksi'!$D$5:$D$92,'0700'!A48,'Daftar Koreksi'!$G$5:$G$92,"Aset Tetap Lainnya",'Daftar Koreksi'!$H$5:$H$92,"&gt;0")</f>
        <v>0</v>
      </c>
      <c r="F56" s="25">
        <f>SUMIFS('Daftar Koreksi'!$H$5:$H$92,'Daftar Koreksi'!$D$5:$D$92,'0700'!A48,'Daftar Koreksi'!$G$5:$G$92,"Aset Tetap Lainnya",'Daftar Koreksi'!$H$5:$H$92,"&lt;0")-SUMIFS('Daftar Koreksi'!$H$5:$H$92,'Daftar Koreksi'!$D$5:$D$92,'0700'!A48,'Daftar Koreksi'!$G$5:$G$92,"Aset Tetap Lainnya",'Daftar Koreksi'!$H$5:$H$92,"&lt;0")-SUMIFS('Daftar Koreksi'!$H$5:$H$92,'Daftar Koreksi'!$D$5:$D$92,'0700'!A48,'Daftar Koreksi'!$G$5:$G$92,"Aset Tetap Lainnya",'Daftar Koreksi'!$H$5:$H$92,"&lt;0")</f>
        <v>0</v>
      </c>
      <c r="G56" s="17">
        <f t="shared" si="2"/>
        <v>73443440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Koreksi'!$D$5:$D$92,'0700'!A48,'Daftar Koreksi'!$G$5:$G$92,"Kontruksi Dalam Pengerjaan",'Daftar Koreksi'!$H$5:$H$92,"&gt;0")</f>
        <v>0</v>
      </c>
      <c r="F57" s="25">
        <f>SUMIFS('Daftar Koreksi'!$H$5:$H$92,'Daftar Koreksi'!$D$5:$D$92,'0700'!A48,'Daftar Koreksi'!$G$5:$G$92,"Kontruksi Dalam Pengerjaan",'Daftar Koreksi'!$H$5:$H$92,"&lt;0")-SUMIFS('Daftar Koreksi'!$H$5:$H$92,'Daftar Koreksi'!$D$5:$D$92,'0700'!A48,'Daftar Koreksi'!$G$5:$G$92,"Kontruksi Dalam Pengerjaan",'Daftar Koreksi'!$H$5:$H$92,"&lt;0")-SUMIFS('Daftar Koreksi'!$H$5:$H$92,'Daftar Koreksi'!$D$5:$D$92,'0700'!A48,'Daftar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Koreksi'!$D$5:$D$92,'0700'!A48,'Daftar Koreksi'!$G$5:$G$92,"Aset Tak Berwujud",'Daftar Koreksi'!$H$5:$H$92,"&gt;0")</f>
        <v>0</v>
      </c>
      <c r="F58" s="25">
        <f>SUMIFS('Daftar Koreksi'!$H$5:$H$92,'Daftar Koreksi'!$D$5:$D$92,'0700'!A48,'Daftar Koreksi'!$G$5:$G$92,"Aset Tak Berwujud",'Daftar Koreksi'!$H$5:$H$92,"&lt;0")-SUMIFS('Daftar Koreksi'!$H$5:$H$92,'Daftar Koreksi'!$D$5:$D$92,'0700'!A48,'Daftar Koreksi'!$G$5:$G$92,"Aset Tak Berwujud",'Daftar Koreksi'!$H$5:$H$92,"&lt;0")-SUMIFS('Daftar Koreksi'!$H$5:$H$92,'Daftar Koreksi'!$D$5:$D$92,'0700'!A48,'Daftar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Koreksi'!$D$5:$D$92,'0700'!A48,'Daftar Koreksi'!$G$5:$G$92,"Aset Henti Guna",'Daftar Koreksi'!$H$5:$H$92,"&gt;0")</f>
        <v>0</v>
      </c>
      <c r="F59" s="25">
        <f>SUMIFS('Daftar Koreksi'!$H$5:$H$92,'Daftar Koreksi'!$D$5:$D$92,'0700'!A48,'Daftar Koreksi'!$G$5:$G$92,"Aset Henti Guna",'Daftar Koreksi'!$H$5:$H$92,"&lt;0")-SUMIFS('Daftar Koreksi'!$H$5:$H$92,'Daftar Koreksi'!$D$5:$D$92,'0700'!A48,'Daftar Koreksi'!$G$5:$G$92,"Aset Henti Guna",'Daftar Koreksi'!$H$5:$H$92,"&lt;0")-SUMIFS('Daftar Koreksi'!$H$5:$H$92,'Daftar Koreksi'!$D$5:$D$92,'0700'!A48,'Daftar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11756768323</v>
      </c>
      <c r="E60" s="19">
        <f>SUM(E51:E59)</f>
        <v>0</v>
      </c>
      <c r="F60" s="19">
        <f>SUM(F51:F59)</f>
        <v>0</v>
      </c>
      <c r="G60" s="19">
        <f t="shared" si="2"/>
        <v>11756768323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-994019831</v>
      </c>
      <c r="E61" s="25">
        <f>SUMIFS('Daftar Koreksi'!$I$5:$I$92,'Daftar Koreksi'!$D$5:$D$92,'0700'!A48,'Daftar Koreksi'!$G$5:$G$92,"Peralatan dan mesin",'Daftar Koreksi'!$I$5:$I$92,"&gt;0")</f>
        <v>0</v>
      </c>
      <c r="F61" s="25">
        <f>SUMIFS('Daftar Koreksi'!$I$5:$I$92,'Daftar Koreksi'!$D$5:$D$92,'0700'!A48,'Daftar Koreksi'!$G$5:$G$92,"Peralatan dan mesin",'Daftar Koreksi'!$I$5:$I$92,"&lt;0")-SUMIFS('Daftar Koreksi'!$I$5:$I$92,'Daftar Koreksi'!$D$5:$D$92,'0700'!A48,'Daftar Koreksi'!$G$5:$G$92,"Peralatan dan mesin",'Daftar Koreksi'!$I$5:$I$92,"&lt;0")-SUMIFS('Daftar Koreksi'!$I$5:$I$92,'Daftar Koreksi'!$D$5:$D$92,'0700'!A48,'Daftar Koreksi'!$G$5:$G$92,"Peralatan dan mesin",'Daftar Koreksi'!$I$5:$I$92,"&lt;0")</f>
        <v>0</v>
      </c>
      <c r="G61" s="17">
        <f t="shared" si="2"/>
        <v>-994019831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-2876362610</v>
      </c>
      <c r="E62" s="25">
        <f>SUMIFS('Daftar Koreksi'!$I$5:$I$92,'Daftar Koreksi'!$D$5:$D$92,'0700'!A48,'Daftar Koreksi'!$G$5:$G$92,"Gedung dan Bangunan",'Daftar Koreksi'!$I$5:$I$92,"&gt;0")</f>
        <v>0</v>
      </c>
      <c r="F62" s="25">
        <f>SUMIFS('Daftar Koreksi'!$I$5:$I$92,'Daftar Koreksi'!$D$5:$D$92,'0700'!A48,'Daftar Koreksi'!$G$5:$G$92,"Gedung dan Bangunan",'Daftar Koreksi'!$I$5:$I$92,"&lt;0")-SUMIFS('Daftar Koreksi'!$I$5:$I$92,'Daftar Koreksi'!$D$5:$D$92,'0700'!A48,'Daftar Koreksi'!$G$5:$G$92,"Gedung dan Bangunan",'Daftar Koreksi'!$I$5:$I$92,"&lt;0")-SUMIFS('Daftar Koreksi'!$I$5:$I$92,'Daftar Koreksi'!$D$5:$D$92,'0700'!A48,'Daftar Koreksi'!$G$5:$G$92,"Gedung dan Bangunan",'Daftar Koreksi'!$I$5:$I$92,"&lt;0")</f>
        <v>0</v>
      </c>
      <c r="G62" s="17">
        <f t="shared" si="2"/>
        <v>-2876362610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Koreksi'!$D$5:$D$92,'0700'!A48,'Daftar Koreksi'!$G$5:$G$92,"Jalan Irigasi Jaringan",'Daftar Koreksi'!$I$5:$I$92,"&gt;0")</f>
        <v>0</v>
      </c>
      <c r="F63" s="25">
        <f>SUMIFS('Daftar Koreksi'!$I$5:$I$92,'Daftar Koreksi'!$D$5:$D$92,'0700'!A48,'Daftar Koreksi'!$G$5:$G$92,"Jalan Irigasi Jaringan",'Daftar Koreksi'!$I$5:$I$92,"&lt;0")-SUMIFS('Daftar Koreksi'!$I$5:$I$92,'Daftar Koreksi'!$D$5:$D$92,'0700'!A48,'Daftar Koreksi'!$G$5:$G$92,"Jalan Irigasi Jaringan",'Daftar Koreksi'!$I$5:$I$92,"&lt;0")-SUMIFS('Daftar Koreksi'!$I$5:$I$92,'Daftar Koreksi'!$D$5:$D$92,'0700'!A48,'Daftar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Koreksi'!$D$5:$D$92,'0700'!A48,'Daftar Koreksi'!$G$5:$G$92,"Aset Tetap Lainnya",'Daftar Koreksi'!$I$5:$I$92,"&gt;0")</f>
        <v>0</v>
      </c>
      <c r="F64" s="25">
        <f>SUMIFS('Daftar Koreksi'!$I$5:$I$92,'Daftar Koreksi'!$D$5:$D$92,'0700'!A48,'Daftar Koreksi'!$G$5:$G$92,"Aset Tetap Lainnya",'Daftar Koreksi'!$I$5:$I$92,"&lt;0")-SUMIFS('Daftar Koreksi'!$I$5:$I$92,'Daftar Koreksi'!$D$5:$D$92,'0700'!A48,'Daftar Koreksi'!$G$5:$G$92,"Aset Tetap Lainnya",'Daftar Koreksi'!$I$5:$I$92,"&lt;0")-SUMIFS('Daftar Koreksi'!$I$5:$I$92,'Daftar Koreksi'!$D$5:$D$92,'0700'!A48,'Daftar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Koreksi'!$D$5:$D$92,'0700'!A48,'Daftar Koreksi'!$G$5:$G$92,"Aset Henti Guna",'Daftar Koreksi'!$I$5:$I$92,"&gt;0")</f>
        <v>0</v>
      </c>
      <c r="F65" s="25">
        <f>SUMIFS('Daftar Koreksi'!$I$5:$I$92,'Daftar Koreksi'!$D$5:$D$92,'0700'!A48,'Daftar Koreksi'!$G$5:$G$92,"Aset Henti Guna",'Daftar Koreksi'!$I$5:$I$92,"&lt;0")-SUMIFS('Daftar Koreksi'!$I$5:$I$92,'Daftar Koreksi'!$D$5:$D$92,'0700'!A48,'Daftar Koreksi'!$G$5:$G$92,"Aset Henti Guna",'Daftar Koreksi'!$I$5:$I$92,"&lt;0")-SUMIFS('Daftar Koreksi'!$I$5:$I$92,'Daftar Koreksi'!$D$5:$D$92,'0700'!A48,'Daftar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-3870382441</v>
      </c>
      <c r="E66" s="19">
        <f>SUM(E61:E65)</f>
        <v>0</v>
      </c>
      <c r="F66" s="19">
        <f>SUM(F61:F65)</f>
        <v>0</v>
      </c>
      <c r="G66" s="19">
        <f t="shared" si="2"/>
        <v>-3870382441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7886385882</v>
      </c>
      <c r="E67" s="19">
        <f>E66+E60</f>
        <v>0</v>
      </c>
      <c r="F67" s="19">
        <f>F66+F60</f>
        <v>0</v>
      </c>
      <c r="G67" s="19">
        <f t="shared" si="2"/>
        <v>7886385882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005010700098640000KD</v>
      </c>
      <c r="B70" s="11" t="str">
        <f>P4</f>
        <v>PN. Tanjung Balai Asahan</v>
      </c>
      <c r="C70" s="12" t="str">
        <f>A70&amp;" "&amp;B70</f>
        <v>005010700098640000KD PN. Tanjung Balai Asahan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300000</v>
      </c>
      <c r="E73" s="25">
        <f>SUMIFS('Daftar Koreksi'!$H$5:$H$92,'Daftar Koreksi'!$D$5:$D$92,'0700'!A70,'Daftar Koreksi'!$G$5:$G$92,"Persediaan",'Daftar Koreksi'!$H$5:$H$92,"&gt;0")</f>
        <v>0</v>
      </c>
      <c r="F73" s="25">
        <f>SUMIFS('Daftar Koreksi'!$H$5:$H$92,'Daftar Koreksi'!$D$5:$D$92,'0700'!A70,'Daftar Koreksi'!$G$5:$G$92,"Persediaan",'Daftar Koreksi'!$H$5:$H$92,"&lt;0")-SUMIFS('Daftar Koreksi'!$H$5:$H$92,'Daftar Koreksi'!$D$5:$D$92,'0700'!A70,'Daftar Koreksi'!$G$5:$G$92,"Persediaan",'Daftar Koreksi'!$H$5:$H$92,"&lt;0")-SUMIFS('Daftar Koreksi'!$H$5:$H$92,'Daftar Koreksi'!$D$5:$D$92,'0700'!A70,'Daftar Koreksi'!$G$5:$G$92,"Persediaan",'Daftar Koreksi'!$H$5:$H$92,"&lt;0")</f>
        <v>0</v>
      </c>
      <c r="G73" s="17">
        <f>D73+E73-F73</f>
        <v>300000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1844930000</v>
      </c>
      <c r="E74" s="25">
        <f>SUMIFS('Daftar Koreksi'!$H$5:$H$92,'Daftar Koreksi'!$D$5:$D$92,'0700'!A70,'Daftar Koreksi'!$G$5:$G$92,"Tanah",'Daftar Koreksi'!$H$5:$H$92,"&gt;0")</f>
        <v>0</v>
      </c>
      <c r="F74" s="25">
        <f>SUMIFS('Daftar Koreksi'!$H$5:$H$92,'Daftar Koreksi'!$D$5:$D$92,'0700'!A70,'Daftar Koreksi'!$G$5:$G$92,"Tanah",'Daftar Koreksi'!$H$5:$H$92,"&lt;0")-SUMIFS('Daftar Koreksi'!$H$5:$H$92,'Daftar Koreksi'!$D$5:$D$92,'0700'!A70,'Daftar Koreksi'!$G$5:$G$92,"Tanah",'Daftar Koreksi'!$H$5:$H$92,"&lt;0")-SUMIFS('Daftar Koreksi'!$H$5:$H$92,'Daftar Koreksi'!$D$5:$D$92,'0700'!A70,'Daftar Koreksi'!$G$5:$G$92,"Tanah",'Daftar Koreksi'!$H$5:$H$92,"&lt;0")</f>
        <v>0</v>
      </c>
      <c r="G74" s="17">
        <f t="shared" ref="G74:G90" si="3">D74+E74-F74</f>
        <v>1844930000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912430503</v>
      </c>
      <c r="E75" s="25">
        <f>SUMIFS('Daftar Koreksi'!$H$5:$H$92,'Daftar Koreksi'!$D$5:$D$92,'0700'!A70,'Daftar Koreksi'!$G$5:$G$92,"Peralatan dan mesin",'Daftar Koreksi'!$H$5:$H$92,"&gt;0")</f>
        <v>0</v>
      </c>
      <c r="F75" s="25">
        <f>SUMIFS('Daftar Koreksi'!$H$5:$H$92,'Daftar Koreksi'!$D$5:$D$92,'0700'!A70,'Daftar Koreksi'!$G$5:$G$92,"Peralatan dan mesin",'Daftar Koreksi'!$H$5:$H$92,"&lt;0")-SUMIFS('Daftar Koreksi'!$H$5:$H$92,'Daftar Koreksi'!$D$5:$D$92,'0700'!A70,'Daftar Koreksi'!$G$5:$G$92,"Peralatan dan mesin",'Daftar Koreksi'!$H$5:$H$92,"&lt;0")-SUMIFS('Daftar Koreksi'!$H$5:$H$92,'Daftar Koreksi'!$D$5:$D$92,'0700'!A70,'Daftar Koreksi'!$G$5:$G$92,"Peralatan dan mesin",'Daftar Koreksi'!$H$5:$H$92,"&lt;0")</f>
        <v>0</v>
      </c>
      <c r="G75" s="17">
        <f t="shared" si="3"/>
        <v>912430503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2876313000</v>
      </c>
      <c r="E76" s="25">
        <f>SUMIFS('Daftar Koreksi'!$H$5:$H$92,'Daftar Koreksi'!$D$5:$D$92,'0700'!A70,'Daftar Koreksi'!$G$5:$G$92,"Gedung dan Bangunan",'Daftar Koreksi'!$H$5:$H$92,"&gt;0")</f>
        <v>0</v>
      </c>
      <c r="F76" s="25">
        <f>SUMIFS('Daftar Koreksi'!$H$5:$H$92,'Daftar Koreksi'!$D$5:$D$92,'0700'!A70,'Daftar Koreksi'!$G$5:$G$92,"Gedung dan Bangunan",'Daftar Koreksi'!$H$5:$H$92,"&lt;0")-SUMIFS('Daftar Koreksi'!$H$5:$H$92,'Daftar Koreksi'!$D$5:$D$92,'0700'!A70,'Daftar Koreksi'!$G$5:$G$92,"Gedung dan Bangunan",'Daftar Koreksi'!$H$5:$H$92,"&lt;0")-SUMIFS('Daftar Koreksi'!$H$5:$H$92,'Daftar Koreksi'!$D$5:$D$92,'0700'!A70,'Daftar Koreksi'!$G$5:$G$92,"Gedung dan Bangunan",'Daftar Koreksi'!$H$5:$H$92,"&lt;0")</f>
        <v>0</v>
      </c>
      <c r="G76" s="17">
        <f t="shared" si="3"/>
        <v>2876313000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173408840</v>
      </c>
      <c r="E77" s="25">
        <f>SUMIFS('Daftar Koreksi'!$H$5:$H$92,'Daftar Koreksi'!$D$5:$D$92,'0700'!A70,'Daftar Koreksi'!$G$5:$G$92,"Jalan Irigasi Jaringan",'Daftar Koreksi'!$H$5:$H$92,"&gt;0")</f>
        <v>0</v>
      </c>
      <c r="F77" s="25">
        <f>SUMIFS('Daftar Koreksi'!$H$5:$H$92,'Daftar Koreksi'!$D$5:$D$92,'0700'!A70,'Daftar Koreksi'!$G$5:$G$92,"Jalan Irigasi Jaringan",'Daftar Koreksi'!$H$5:$H$92,"&lt;0")-SUMIFS('Daftar Koreksi'!$H$5:$H$92,'Daftar Koreksi'!$D$5:$D$92,'0700'!A70,'Daftar Koreksi'!$G$5:$G$92,"Jalan Irigasi Jaringan",'Daftar Koreksi'!$H$5:$H$92,"&lt;0")-SUMIFS('Daftar Koreksi'!$H$5:$H$92,'Daftar Koreksi'!$D$5:$D$92,'0700'!A70,'Daftar Koreksi'!$G$5:$G$92,"Jalan Irigasi Jaringan",'Daftar Koreksi'!$H$5:$H$92,"&lt;0")</f>
        <v>0</v>
      </c>
      <c r="G77" s="17">
        <f t="shared" si="3"/>
        <v>173408840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1947440</v>
      </c>
      <c r="E78" s="25">
        <f>SUMIFS('Daftar Koreksi'!$H$5:$H$92,'Daftar Koreksi'!$D$5:$D$92,'0700'!A70,'Daftar Koreksi'!$G$5:$G$92,"Aset Tetap Lainnya",'Daftar Koreksi'!$H$5:$H$92,"&gt;0")</f>
        <v>0</v>
      </c>
      <c r="F78" s="25">
        <f>SUMIFS('Daftar Koreksi'!$H$5:$H$92,'Daftar Koreksi'!$D$5:$D$92,'0700'!A70,'Daftar Koreksi'!$G$5:$G$92,"Aset Tetap Lainnya",'Daftar Koreksi'!$H$5:$H$92,"&lt;0")-SUMIFS('Daftar Koreksi'!$H$5:$H$92,'Daftar Koreksi'!$D$5:$D$92,'0700'!A70,'Daftar Koreksi'!$G$5:$G$92,"Aset Tetap Lainnya",'Daftar Koreksi'!$H$5:$H$92,"&lt;0")-SUMIFS('Daftar Koreksi'!$H$5:$H$92,'Daftar Koreksi'!$D$5:$D$92,'0700'!A70,'Daftar Koreksi'!$G$5:$G$92,"Aset Tetap Lainnya",'Daftar Koreksi'!$H$5:$H$92,"&lt;0")</f>
        <v>0</v>
      </c>
      <c r="G78" s="17">
        <f t="shared" si="3"/>
        <v>1947440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Koreksi'!$D$5:$D$92,'0700'!A70,'Daftar Koreksi'!$G$5:$G$92,"Kontruksi Dalam Pengerjaan",'Daftar Koreksi'!$H$5:$H$92,"&gt;0")</f>
        <v>0</v>
      </c>
      <c r="F79" s="25">
        <f>SUMIFS('Daftar Koreksi'!$H$5:$H$92,'Daftar Koreksi'!$D$5:$D$92,'0700'!A70,'Daftar Koreksi'!$G$5:$G$92,"Kontruksi Dalam Pengerjaan",'Daftar Koreksi'!$H$5:$H$92,"&lt;0")-SUMIFS('Daftar Koreksi'!$H$5:$H$92,'Daftar Koreksi'!$D$5:$D$92,'0700'!A70,'Daftar Koreksi'!$G$5:$G$92,"Kontruksi Dalam Pengerjaan",'Daftar Koreksi'!$H$5:$H$92,"&lt;0")-SUMIFS('Daftar Koreksi'!$H$5:$H$92,'Daftar Koreksi'!$D$5:$D$92,'0700'!A70,'Daftar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Koreksi'!$D$5:$D$92,'0700'!A70,'Daftar Koreksi'!$G$5:$G$92,"Aset Tak Berwujud",'Daftar Koreksi'!$H$5:$H$92,"&gt;0")</f>
        <v>0</v>
      </c>
      <c r="F80" s="25">
        <f>SUMIFS('Daftar Koreksi'!$H$5:$H$92,'Daftar Koreksi'!$D$5:$D$92,'0700'!A70,'Daftar Koreksi'!$G$5:$G$92,"Aset Tak Berwujud",'Daftar Koreksi'!$H$5:$H$92,"&lt;0")-SUMIFS('Daftar Koreksi'!$H$5:$H$92,'Daftar Koreksi'!$D$5:$D$92,'0700'!A70,'Daftar Koreksi'!$G$5:$G$92,"Aset Tak Berwujud",'Daftar Koreksi'!$H$5:$H$92,"&lt;0")-SUMIFS('Daftar Koreksi'!$H$5:$H$92,'Daftar Koreksi'!$D$5:$D$92,'0700'!A70,'Daftar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23013000</v>
      </c>
      <c r="E81" s="25">
        <f>SUMIFS('Daftar Koreksi'!$H$5:$H$92,'Daftar Koreksi'!$D$5:$D$92,'0700'!A70,'Daftar Koreksi'!$G$5:$G$92,"Aset Henti Guna",'Daftar Koreksi'!$H$5:$H$92,"&gt;0")</f>
        <v>0</v>
      </c>
      <c r="F81" s="25">
        <f>SUMIFS('Daftar Koreksi'!$H$5:$H$92,'Daftar Koreksi'!$D$5:$D$92,'0700'!A70,'Daftar Koreksi'!$G$5:$G$92,"Aset Henti Guna",'Daftar Koreksi'!$H$5:$H$92,"&lt;0")-SUMIFS('Daftar Koreksi'!$H$5:$H$92,'Daftar Koreksi'!$D$5:$D$92,'0700'!A70,'Daftar Koreksi'!$G$5:$G$92,"Aset Henti Guna",'Daftar Koreksi'!$H$5:$H$92,"&lt;0")-SUMIFS('Daftar Koreksi'!$H$5:$H$92,'Daftar Koreksi'!$D$5:$D$92,'0700'!A70,'Daftar Koreksi'!$G$5:$G$92,"Aset Henti Guna",'Daftar Koreksi'!$H$5:$H$92,"&lt;0")</f>
        <v>0</v>
      </c>
      <c r="G81" s="17">
        <f t="shared" si="3"/>
        <v>23013000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5832342783</v>
      </c>
      <c r="E82" s="19">
        <f>SUM(E73:E81)</f>
        <v>0</v>
      </c>
      <c r="F82" s="19">
        <f>SUM(F73:F81)</f>
        <v>0</v>
      </c>
      <c r="G82" s="19">
        <f t="shared" si="3"/>
        <v>5832342783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-784631326</v>
      </c>
      <c r="E83" s="25">
        <f>SUMIFS('Daftar Koreksi'!$I$5:$I$92,'Daftar Koreksi'!$D$5:$D$92,'0700'!A70,'Daftar Koreksi'!$G$5:$G$92,"Peralatan dan mesin",'Daftar Koreksi'!$I$5:$I$92,"&gt;0")</f>
        <v>0</v>
      </c>
      <c r="F83" s="25">
        <f>SUMIFS('Daftar Koreksi'!$I$5:$I$92,'Daftar Koreksi'!$D$5:$D$92,'0700'!A70,'Daftar Koreksi'!$G$5:$G$92,"Peralatan dan mesin",'Daftar Koreksi'!$I$5:$I$92,"&lt;0")-SUMIFS('Daftar Koreksi'!$I$5:$I$92,'Daftar Koreksi'!$D$5:$D$92,'0700'!A70,'Daftar Koreksi'!$G$5:$G$92,"Peralatan dan mesin",'Daftar Koreksi'!$I$5:$I$92,"&lt;0")-SUMIFS('Daftar Koreksi'!$I$5:$I$92,'Daftar Koreksi'!$D$5:$D$92,'0700'!A70,'Daftar Koreksi'!$G$5:$G$92,"Peralatan dan mesin",'Daftar Koreksi'!$I$5:$I$92,"&lt;0")</f>
        <v>0</v>
      </c>
      <c r="G83" s="17">
        <f t="shared" si="3"/>
        <v>-784631326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-1003521693</v>
      </c>
      <c r="E84" s="25">
        <f>SUMIFS('Daftar Koreksi'!$I$5:$I$92,'Daftar Koreksi'!$D$5:$D$92,'0700'!A70,'Daftar Koreksi'!$G$5:$G$92,"Gedung dan Bangunan",'Daftar Koreksi'!$I$5:$I$92,"&gt;0")</f>
        <v>0</v>
      </c>
      <c r="F84" s="25">
        <f>SUMIFS('Daftar Koreksi'!$I$5:$I$92,'Daftar Koreksi'!$D$5:$D$92,'0700'!A70,'Daftar Koreksi'!$G$5:$G$92,"Gedung dan Bangunan",'Daftar Koreksi'!$I$5:$I$92,"&lt;0")-SUMIFS('Daftar Koreksi'!$I$5:$I$92,'Daftar Koreksi'!$D$5:$D$92,'0700'!A70,'Daftar Koreksi'!$G$5:$G$92,"Gedung dan Bangunan",'Daftar Koreksi'!$I$5:$I$92,"&lt;0")-SUMIFS('Daftar Koreksi'!$I$5:$I$92,'Daftar Koreksi'!$D$5:$D$92,'0700'!A70,'Daftar Koreksi'!$G$5:$G$92,"Gedung dan Bangunan",'Daftar Koreksi'!$I$5:$I$92,"&lt;0")</f>
        <v>0</v>
      </c>
      <c r="G84" s="17">
        <f t="shared" si="3"/>
        <v>-1003521693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-56357873</v>
      </c>
      <c r="E85" s="25">
        <f>SUMIFS('Daftar Koreksi'!$I$5:$I$92,'Daftar Koreksi'!$D$5:$D$92,'0700'!A70,'Daftar Koreksi'!$G$5:$G$92,"Jalan Irigasi Jaringan",'Daftar Koreksi'!$I$5:$I$92,"&gt;0")</f>
        <v>0</v>
      </c>
      <c r="F85" s="25">
        <f>SUMIFS('Daftar Koreksi'!$I$5:$I$92,'Daftar Koreksi'!$D$5:$D$92,'0700'!A70,'Daftar Koreksi'!$G$5:$G$92,"Jalan Irigasi Jaringan",'Daftar Koreksi'!$I$5:$I$92,"&lt;0")-SUMIFS('Daftar Koreksi'!$I$5:$I$92,'Daftar Koreksi'!$D$5:$D$92,'0700'!A70,'Daftar Koreksi'!$G$5:$G$92,"Jalan Irigasi Jaringan",'Daftar Koreksi'!$I$5:$I$92,"&lt;0")-SUMIFS('Daftar Koreksi'!$I$5:$I$92,'Daftar Koreksi'!$D$5:$D$92,'0700'!A70,'Daftar Koreksi'!$G$5:$G$92,"Jalan Irigasi Jaringan",'Daftar Koreksi'!$I$5:$I$92,"&lt;0")</f>
        <v>0</v>
      </c>
      <c r="G85" s="17">
        <f t="shared" si="3"/>
        <v>-56357873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Koreksi'!$D$5:$D$92,'0700'!A70,'Daftar Koreksi'!$G$5:$G$92,"Aset Tetap Lainnya",'Daftar Koreksi'!$I$5:$I$92,"&gt;0")</f>
        <v>0</v>
      </c>
      <c r="F86" s="25">
        <f>SUMIFS('Daftar Koreksi'!$I$5:$I$92,'Daftar Koreksi'!$D$5:$D$92,'0700'!A70,'Daftar Koreksi'!$G$5:$G$92,"Aset Tetap Lainnya",'Daftar Koreksi'!$I$5:$I$92,"&lt;0")-SUMIFS('Daftar Koreksi'!$I$5:$I$92,'Daftar Koreksi'!$D$5:$D$92,'0700'!A70,'Daftar Koreksi'!$G$5:$G$92,"Aset Tetap Lainnya",'Daftar Koreksi'!$I$5:$I$92,"&lt;0")-SUMIFS('Daftar Koreksi'!$I$5:$I$92,'Daftar Koreksi'!$D$5:$D$92,'0700'!A70,'Daftar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-23013000</v>
      </c>
      <c r="E87" s="25">
        <f>SUMIFS('Daftar Koreksi'!$I$5:$I$92,'Daftar Koreksi'!$D$5:$D$92,'0700'!A70,'Daftar Koreksi'!$G$5:$G$92,"Aset Henti Guna",'Daftar Koreksi'!$I$5:$I$92,"&gt;0")</f>
        <v>0</v>
      </c>
      <c r="F87" s="25">
        <f>SUMIFS('Daftar Koreksi'!$I$5:$I$92,'Daftar Koreksi'!$D$5:$D$92,'0700'!A70,'Daftar Koreksi'!$G$5:$G$92,"Aset Henti Guna",'Daftar Koreksi'!$I$5:$I$92,"&lt;0")-SUMIFS('Daftar Koreksi'!$I$5:$I$92,'Daftar Koreksi'!$D$5:$D$92,'0700'!A70,'Daftar Koreksi'!$G$5:$G$92,"Aset Henti Guna",'Daftar Koreksi'!$I$5:$I$92,"&lt;0")-SUMIFS('Daftar Koreksi'!$I$5:$I$92,'Daftar Koreksi'!$D$5:$D$92,'0700'!A70,'Daftar Koreksi'!$G$5:$G$92,"Aset Henti Guna",'Daftar Koreksi'!$I$5:$I$92,"&lt;0")</f>
        <v>0</v>
      </c>
      <c r="G87" s="17">
        <f t="shared" si="3"/>
        <v>-23013000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-1867523892</v>
      </c>
      <c r="E88" s="19">
        <f>SUM(E83:E87)</f>
        <v>0</v>
      </c>
      <c r="F88" s="19">
        <f>SUM(F83:F87)</f>
        <v>0</v>
      </c>
      <c r="G88" s="19">
        <f t="shared" si="3"/>
        <v>-1867523892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3964818891</v>
      </c>
      <c r="E89" s="19">
        <f>E88+E82</f>
        <v>0</v>
      </c>
      <c r="F89" s="19">
        <f>F88+F82</f>
        <v>0</v>
      </c>
      <c r="G89" s="19">
        <f t="shared" si="3"/>
        <v>3964818891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005010700098654000KD</v>
      </c>
      <c r="B92" s="11" t="str">
        <f>P5</f>
        <v>PN. Sidikalang</v>
      </c>
      <c r="C92" s="12" t="str">
        <f>A92&amp;" "&amp;B92</f>
        <v>005010700098654000KD PN. Sidikalang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868500</v>
      </c>
      <c r="E95" s="25">
        <f>SUMIFS('Daftar Koreksi'!$H$5:$H$92,'Daftar Koreksi'!$D$5:$D$92,'0700'!A92,'Daftar Koreksi'!$G$5:$G$92,"Persediaan",'Daftar Koreksi'!$H$5:$H$92,"&gt;0")</f>
        <v>0</v>
      </c>
      <c r="F95" s="25">
        <f>SUMIFS('Daftar Koreksi'!$H$5:$H$92,'Daftar Koreksi'!$D$5:$D$92,'0700'!A92,'Daftar Koreksi'!$G$5:$G$92,"Persediaan",'Daftar Koreksi'!$H$5:$H$92,"&lt;0")-SUMIFS('Daftar Koreksi'!$H$5:$H$92,'Daftar Koreksi'!$D$5:$D$92,'0700'!A92,'Daftar Koreksi'!$G$5:$G$92,"Persediaan",'Daftar Koreksi'!$H$5:$H$92,"&lt;0")-SUMIFS('Daftar Koreksi'!$H$5:$H$92,'Daftar Koreksi'!$D$5:$D$92,'0700'!A92,'Daftar Koreksi'!$G$5:$G$92,"Persediaan",'Daftar Koreksi'!$H$5:$H$92,"&lt;0")</f>
        <v>0</v>
      </c>
      <c r="G95" s="17">
        <f>D95+E95-F95</f>
        <v>868500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1581900000</v>
      </c>
      <c r="E96" s="25">
        <f>SUMIFS('Daftar Koreksi'!$H$5:$H$92,'Daftar Koreksi'!$D$5:$D$92,'0700'!A92,'Daftar Koreksi'!$G$5:$G$92,"Tanah",'Daftar Koreksi'!$H$5:$H$92,"&gt;0")</f>
        <v>0</v>
      </c>
      <c r="F96" s="25">
        <f>SUMIFS('Daftar Koreksi'!$H$5:$H$92,'Daftar Koreksi'!$D$5:$D$92,'0700'!A92,'Daftar Koreksi'!$G$5:$G$92,"Tanah",'Daftar Koreksi'!$H$5:$H$92,"&lt;0")-SUMIFS('Daftar Koreksi'!$H$5:$H$92,'Daftar Koreksi'!$D$5:$D$92,'0700'!A92,'Daftar Koreksi'!$G$5:$G$92,"Tanah",'Daftar Koreksi'!$H$5:$H$92,"&lt;0")-SUMIFS('Daftar Koreksi'!$H$5:$H$92,'Daftar Koreksi'!$D$5:$D$92,'0700'!A92,'Daftar Koreksi'!$G$5:$G$92,"Tanah",'Daftar Koreksi'!$H$5:$H$92,"&lt;0")</f>
        <v>0</v>
      </c>
      <c r="G96" s="17">
        <f t="shared" ref="G96:G112" si="4">D96+E96-F96</f>
        <v>1581900000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1107882034</v>
      </c>
      <c r="E97" s="25">
        <f>SUMIFS('Daftar Koreksi'!$H$5:$H$92,'Daftar Koreksi'!$D$5:$D$92,'0700'!A92,'Daftar Koreksi'!$G$5:$G$92,"Peralatan dan mesin",'Daftar Koreksi'!$H$5:$H$92,"&gt;0")</f>
        <v>0</v>
      </c>
      <c r="F97" s="25">
        <f>SUMIFS('Daftar Koreksi'!$H$5:$H$92,'Daftar Koreksi'!$D$5:$D$92,'0700'!A92,'Daftar Koreksi'!$G$5:$G$92,"Peralatan dan mesin",'Daftar Koreksi'!$H$5:$H$92,"&lt;0")-SUMIFS('Daftar Koreksi'!$H$5:$H$92,'Daftar Koreksi'!$D$5:$D$92,'0700'!A92,'Daftar Koreksi'!$G$5:$G$92,"Peralatan dan mesin",'Daftar Koreksi'!$H$5:$H$92,"&lt;0")-SUMIFS('Daftar Koreksi'!$H$5:$H$92,'Daftar Koreksi'!$D$5:$D$92,'0700'!A92,'Daftar Koreksi'!$G$5:$G$92,"Peralatan dan mesin",'Daftar Koreksi'!$H$5:$H$92,"&lt;0")</f>
        <v>0</v>
      </c>
      <c r="G97" s="17">
        <f t="shared" si="4"/>
        <v>1107882034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5413469500</v>
      </c>
      <c r="E98" s="25">
        <f>SUMIFS('Daftar Koreksi'!$H$5:$H$92,'Daftar Koreksi'!$D$5:$D$92,'0700'!A92,'Daftar Koreksi'!$G$5:$G$92,"Gedung dan Bangunan",'Daftar Koreksi'!$H$5:$H$92,"&gt;0")</f>
        <v>0</v>
      </c>
      <c r="F98" s="25">
        <f>SUMIFS('Daftar Koreksi'!$H$5:$H$92,'Daftar Koreksi'!$D$5:$D$92,'0700'!A92,'Daftar Koreksi'!$G$5:$G$92,"Gedung dan Bangunan",'Daftar Koreksi'!$H$5:$H$92,"&lt;0")-SUMIFS('Daftar Koreksi'!$H$5:$H$92,'Daftar Koreksi'!$D$5:$D$92,'0700'!A92,'Daftar Koreksi'!$G$5:$G$92,"Gedung dan Bangunan",'Daftar Koreksi'!$H$5:$H$92,"&lt;0")-SUMIFS('Daftar Koreksi'!$H$5:$H$92,'Daftar Koreksi'!$D$5:$D$92,'0700'!A92,'Daftar Koreksi'!$G$5:$G$92,"Gedung dan Bangunan",'Daftar Koreksi'!$H$5:$H$92,"&lt;0")</f>
        <v>0</v>
      </c>
      <c r="G98" s="17">
        <f t="shared" si="4"/>
        <v>5413469500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83795909</v>
      </c>
      <c r="E99" s="25">
        <f>SUMIFS('Daftar Koreksi'!$H$5:$H$92,'Daftar Koreksi'!$D$5:$D$92,'0700'!A92,'Daftar Koreksi'!$G$5:$G$92,"Jalan Irigasi Jaringan",'Daftar Koreksi'!$H$5:$H$92,"&gt;0")</f>
        <v>0</v>
      </c>
      <c r="F99" s="25">
        <f>SUMIFS('Daftar Koreksi'!$H$5:$H$92,'Daftar Koreksi'!$D$5:$D$92,'0700'!A92,'Daftar Koreksi'!$G$5:$G$92,"Jalan Irigasi Jaringan",'Daftar Koreksi'!$H$5:$H$92,"&lt;0")-SUMIFS('Daftar Koreksi'!$H$5:$H$92,'Daftar Koreksi'!$D$5:$D$92,'0700'!A92,'Daftar Koreksi'!$G$5:$G$92,"Jalan Irigasi Jaringan",'Daftar Koreksi'!$H$5:$H$92,"&lt;0")-SUMIFS('Daftar Koreksi'!$H$5:$H$92,'Daftar Koreksi'!$D$5:$D$92,'0700'!A92,'Daftar Koreksi'!$G$5:$G$92,"Jalan Irigasi Jaringan",'Daftar Koreksi'!$H$5:$H$92,"&lt;0")</f>
        <v>0</v>
      </c>
      <c r="G99" s="17">
        <f t="shared" si="4"/>
        <v>83795909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16599490</v>
      </c>
      <c r="E100" s="25">
        <f>SUMIFS('Daftar Koreksi'!$H$5:$H$92,'Daftar Koreksi'!$D$5:$D$92,'0700'!A92,'Daftar Koreksi'!$G$5:$G$92,"Aset Tetap Lainnya",'Daftar Koreksi'!$H$5:$H$92,"&gt;0")</f>
        <v>0</v>
      </c>
      <c r="F100" s="25">
        <f>SUMIFS('Daftar Koreksi'!$H$5:$H$92,'Daftar Koreksi'!$D$5:$D$92,'0700'!A92,'Daftar Koreksi'!$G$5:$G$92,"Aset Tetap Lainnya",'Daftar Koreksi'!$H$5:$H$92,"&lt;0")-SUMIFS('Daftar Koreksi'!$H$5:$H$92,'Daftar Koreksi'!$D$5:$D$92,'0700'!A92,'Daftar Koreksi'!$G$5:$G$92,"Aset Tetap Lainnya",'Daftar Koreksi'!$H$5:$H$92,"&lt;0")-SUMIFS('Daftar Koreksi'!$H$5:$H$92,'Daftar Koreksi'!$D$5:$D$92,'0700'!A92,'Daftar Koreksi'!$G$5:$G$92,"Aset Tetap Lainnya",'Daftar Koreksi'!$H$5:$H$92,"&lt;0")</f>
        <v>0</v>
      </c>
      <c r="G100" s="17">
        <f t="shared" si="4"/>
        <v>16599490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Koreksi'!$D$5:$D$92,'0700'!A92,'Daftar Koreksi'!$G$5:$G$92,"Kontruksi Dalam Pengerjaan",'Daftar Koreksi'!$H$5:$H$92,"&gt;0")</f>
        <v>0</v>
      </c>
      <c r="F101" s="25">
        <f>SUMIFS('Daftar Koreksi'!$H$5:$H$92,'Daftar Koreksi'!$D$5:$D$92,'0700'!A92,'Daftar Koreksi'!$G$5:$G$92,"Kontruksi Dalam Pengerjaan",'Daftar Koreksi'!$H$5:$H$92,"&lt;0")-SUMIFS('Daftar Koreksi'!$H$5:$H$92,'Daftar Koreksi'!$D$5:$D$92,'0700'!A92,'Daftar Koreksi'!$G$5:$G$92,"Kontruksi Dalam Pengerjaan",'Daftar Koreksi'!$H$5:$H$92,"&lt;0")-SUMIFS('Daftar Koreksi'!$H$5:$H$92,'Daftar Koreksi'!$D$5:$D$92,'0700'!A92,'Daftar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35000000</v>
      </c>
      <c r="E102" s="25">
        <f>SUMIFS('Daftar Koreksi'!$H$5:$H$92,'Daftar Koreksi'!$D$5:$D$92,'0700'!A92,'Daftar Koreksi'!$G$5:$G$92,"Aset Tak Berwujud",'Daftar Koreksi'!$H$5:$H$92,"&gt;0")</f>
        <v>0</v>
      </c>
      <c r="F102" s="25">
        <f>SUMIFS('Daftar Koreksi'!$H$5:$H$92,'Daftar Koreksi'!$D$5:$D$92,'0700'!A92,'Daftar Koreksi'!$G$5:$G$92,"Aset Tak Berwujud",'Daftar Koreksi'!$H$5:$H$92,"&lt;0")-SUMIFS('Daftar Koreksi'!$H$5:$H$92,'Daftar Koreksi'!$D$5:$D$92,'0700'!A92,'Daftar Koreksi'!$G$5:$G$92,"Aset Tak Berwujud",'Daftar Koreksi'!$H$5:$H$92,"&lt;0")-SUMIFS('Daftar Koreksi'!$H$5:$H$92,'Daftar Koreksi'!$D$5:$D$92,'0700'!A92,'Daftar Koreksi'!$G$5:$G$92,"Aset Tak Berwujud",'Daftar Koreksi'!$H$5:$H$92,"&lt;0")</f>
        <v>0</v>
      </c>
      <c r="G102" s="17">
        <f t="shared" si="4"/>
        <v>35000000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Koreksi'!$D$5:$D$92,'0700'!A92,'Daftar Koreksi'!$G$5:$G$92,"Aset Henti Guna",'Daftar Koreksi'!$H$5:$H$92,"&gt;0")</f>
        <v>0</v>
      </c>
      <c r="F103" s="25">
        <f>SUMIFS('Daftar Koreksi'!$H$5:$H$92,'Daftar Koreksi'!$D$5:$D$92,'0700'!A92,'Daftar Koreksi'!$G$5:$G$92,"Aset Henti Guna",'Daftar Koreksi'!$H$5:$H$92,"&lt;0")-SUMIFS('Daftar Koreksi'!$H$5:$H$92,'Daftar Koreksi'!$D$5:$D$92,'0700'!A92,'Daftar Koreksi'!$G$5:$G$92,"Aset Henti Guna",'Daftar Koreksi'!$H$5:$H$92,"&lt;0")-SUMIFS('Daftar Koreksi'!$H$5:$H$92,'Daftar Koreksi'!$D$5:$D$92,'0700'!A92,'Daftar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8239515433</v>
      </c>
      <c r="E104" s="19">
        <f>SUM(E95:E103)</f>
        <v>0</v>
      </c>
      <c r="F104" s="19">
        <f>SUM(F95:F103)</f>
        <v>0</v>
      </c>
      <c r="G104" s="19">
        <f t="shared" si="4"/>
        <v>8239515433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-1050071926</v>
      </c>
      <c r="E105" s="25">
        <f>SUMIFS('Daftar Koreksi'!$I$5:$I$92,'Daftar Koreksi'!$D$5:$D$92,'0700'!A92,'Daftar Koreksi'!$G$5:$G$92,"Peralatan dan mesin",'Daftar Koreksi'!$I$5:$I$92,"&gt;0")</f>
        <v>0</v>
      </c>
      <c r="F105" s="25">
        <f>SUMIFS('Daftar Koreksi'!$I$5:$I$92,'Daftar Koreksi'!$D$5:$D$92,'0700'!A92,'Daftar Koreksi'!$G$5:$G$92,"Peralatan dan mesin",'Daftar Koreksi'!$I$5:$I$92,"&lt;0")-SUMIFS('Daftar Koreksi'!$I$5:$I$92,'Daftar Koreksi'!$D$5:$D$92,'0700'!A92,'Daftar Koreksi'!$G$5:$G$92,"Peralatan dan mesin",'Daftar Koreksi'!$I$5:$I$92,"&lt;0")-SUMIFS('Daftar Koreksi'!$I$5:$I$92,'Daftar Koreksi'!$D$5:$D$92,'0700'!A92,'Daftar Koreksi'!$G$5:$G$92,"Peralatan dan mesin",'Daftar Koreksi'!$I$5:$I$92,"&lt;0")</f>
        <v>0</v>
      </c>
      <c r="G105" s="17">
        <f t="shared" si="4"/>
        <v>-1050071926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-1710361662</v>
      </c>
      <c r="E106" s="25">
        <f>SUMIFS('Daftar Koreksi'!$I$5:$I$92,'Daftar Koreksi'!$D$5:$D$92,'0700'!A92,'Daftar Koreksi'!$G$5:$G$92,"Gedung dan Bangunan",'Daftar Koreksi'!$I$5:$I$92,"&gt;0")</f>
        <v>0</v>
      </c>
      <c r="F106" s="25">
        <f>SUMIFS('Daftar Koreksi'!$I$5:$I$92,'Daftar Koreksi'!$D$5:$D$92,'0700'!A92,'Daftar Koreksi'!$G$5:$G$92,"Gedung dan Bangunan",'Daftar Koreksi'!$I$5:$I$92,"&lt;0")-SUMIFS('Daftar Koreksi'!$I$5:$I$92,'Daftar Koreksi'!$D$5:$D$92,'0700'!A92,'Daftar Koreksi'!$G$5:$G$92,"Gedung dan Bangunan",'Daftar Koreksi'!$I$5:$I$92,"&lt;0")-SUMIFS('Daftar Koreksi'!$I$5:$I$92,'Daftar Koreksi'!$D$5:$D$92,'0700'!A92,'Daftar Koreksi'!$G$5:$G$92,"Gedung dan Bangunan",'Daftar Koreksi'!$I$5:$I$92,"&lt;0")</f>
        <v>0</v>
      </c>
      <c r="G106" s="17">
        <f t="shared" si="4"/>
        <v>-1710361662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-10616525</v>
      </c>
      <c r="E107" s="25">
        <f>SUMIFS('Daftar Koreksi'!$I$5:$I$92,'Daftar Koreksi'!$D$5:$D$92,'0700'!A92,'Daftar Koreksi'!$G$5:$G$92,"Jalan Irigasi Jaringan",'Daftar Koreksi'!$I$5:$I$92,"&gt;0")</f>
        <v>0</v>
      </c>
      <c r="F107" s="25">
        <f>SUMIFS('Daftar Koreksi'!$I$5:$I$92,'Daftar Koreksi'!$D$5:$D$92,'0700'!A92,'Daftar Koreksi'!$G$5:$G$92,"Jalan Irigasi Jaringan",'Daftar Koreksi'!$I$5:$I$92,"&lt;0")-SUMIFS('Daftar Koreksi'!$I$5:$I$92,'Daftar Koreksi'!$D$5:$D$92,'0700'!A92,'Daftar Koreksi'!$G$5:$G$92,"Jalan Irigasi Jaringan",'Daftar Koreksi'!$I$5:$I$92,"&lt;0")-SUMIFS('Daftar Koreksi'!$I$5:$I$92,'Daftar Koreksi'!$D$5:$D$92,'0700'!A92,'Daftar Koreksi'!$G$5:$G$92,"Jalan Irigasi Jaringan",'Daftar Koreksi'!$I$5:$I$92,"&lt;0")</f>
        <v>0</v>
      </c>
      <c r="G107" s="17">
        <f t="shared" si="4"/>
        <v>-10616525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Koreksi'!$D$5:$D$92,'0700'!A92,'Daftar Koreksi'!$G$5:$G$92,"Aset Tetap Lainnya",'Daftar Koreksi'!$I$5:$I$92,"&gt;0")</f>
        <v>0</v>
      </c>
      <c r="F108" s="25">
        <f>SUMIFS('Daftar Koreksi'!$I$5:$I$92,'Daftar Koreksi'!$D$5:$D$92,'0700'!A92,'Daftar Koreksi'!$G$5:$G$92,"Aset Tetap Lainnya",'Daftar Koreksi'!$I$5:$I$92,"&lt;0")-SUMIFS('Daftar Koreksi'!$I$5:$I$92,'Daftar Koreksi'!$D$5:$D$92,'0700'!A92,'Daftar Koreksi'!$G$5:$G$92,"Aset Tetap Lainnya",'Daftar Koreksi'!$I$5:$I$92,"&lt;0")-SUMIFS('Daftar Koreksi'!$I$5:$I$92,'Daftar Koreksi'!$D$5:$D$92,'0700'!A92,'Daftar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Koreksi'!$D$5:$D$92,'0700'!A92,'Daftar Koreksi'!$G$5:$G$92,"Aset Henti Guna",'Daftar Koreksi'!$I$5:$I$92,"&gt;0")</f>
        <v>0</v>
      </c>
      <c r="F109" s="25">
        <f>SUMIFS('Daftar Koreksi'!$I$5:$I$92,'Daftar Koreksi'!$D$5:$D$92,'0700'!A92,'Daftar Koreksi'!$G$5:$G$92,"Aset Henti Guna",'Daftar Koreksi'!$I$5:$I$92,"&lt;0")-SUMIFS('Daftar Koreksi'!$I$5:$I$92,'Daftar Koreksi'!$D$5:$D$92,'0700'!A92,'Daftar Koreksi'!$G$5:$G$92,"Aset Henti Guna",'Daftar Koreksi'!$I$5:$I$92,"&lt;0")-SUMIFS('Daftar Koreksi'!$I$5:$I$92,'Daftar Koreksi'!$D$5:$D$92,'0700'!A92,'Daftar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-2771050113</v>
      </c>
      <c r="E110" s="19">
        <f>SUM(E105:E109)</f>
        <v>0</v>
      </c>
      <c r="F110" s="19">
        <f>SUM(F105:F109)</f>
        <v>0</v>
      </c>
      <c r="G110" s="19">
        <f t="shared" si="4"/>
        <v>-2771050113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5468465320</v>
      </c>
      <c r="E111" s="19">
        <f>E110+E104</f>
        <v>0</v>
      </c>
      <c r="F111" s="19">
        <f>F110+F104</f>
        <v>0</v>
      </c>
      <c r="G111" s="19">
        <f t="shared" si="4"/>
        <v>5468465320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005010700098661000KD</v>
      </c>
      <c r="B114" s="11" t="str">
        <f>P6</f>
        <v>PN. Kabanjahe</v>
      </c>
      <c r="C114" s="12" t="str">
        <f>A114&amp;" "&amp;B114</f>
        <v>005010700098661000KD PN. Kabanjahe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571000</v>
      </c>
      <c r="E117" s="25">
        <f>SUMIFS('Daftar Koreksi'!$H$5:$H$92,'Daftar Koreksi'!$D$5:$D$92,'0700'!A114,'Daftar Koreksi'!$G$5:$G$92,"Persediaan",'Daftar Koreksi'!$H$5:$H$92,"&gt;0")</f>
        <v>0</v>
      </c>
      <c r="F117" s="25">
        <f>SUMIFS('Daftar Koreksi'!$H$5:$H$92,'Daftar Koreksi'!$D$5:$D$92,'0700'!A114,'Daftar Koreksi'!$G$5:$G$92,"Persediaan",'Daftar Koreksi'!$H$5:$H$92,"&lt;0")-SUMIFS('Daftar Koreksi'!$H$5:$H$92,'Daftar Koreksi'!$D$5:$D$92,'0700'!A114,'Daftar Koreksi'!$G$5:$G$92,"Persediaan",'Daftar Koreksi'!$H$5:$H$92,"&lt;0")-SUMIFS('Daftar Koreksi'!$H$5:$H$92,'Daftar Koreksi'!$D$5:$D$92,'0700'!A114,'Daftar Koreksi'!$G$5:$G$92,"Persediaan",'Daftar Koreksi'!$H$5:$H$92,"&lt;0")</f>
        <v>0</v>
      </c>
      <c r="G117" s="17">
        <f>D117+E117-F117</f>
        <v>571000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2292702316</v>
      </c>
      <c r="E118" s="25">
        <f>SUMIFS('Daftar Koreksi'!$H$5:$H$92,'Daftar Koreksi'!$D$5:$D$92,'0700'!A114,'Daftar Koreksi'!$G$5:$G$92,"Tanah",'Daftar Koreksi'!$H$5:$H$92,"&gt;0")</f>
        <v>0</v>
      </c>
      <c r="F118" s="25">
        <f>SUMIFS('Daftar Koreksi'!$H$5:$H$92,'Daftar Koreksi'!$D$5:$D$92,'0700'!A114,'Daftar Koreksi'!$G$5:$G$92,"Tanah",'Daftar Koreksi'!$H$5:$H$92,"&lt;0")-SUMIFS('Daftar Koreksi'!$H$5:$H$92,'Daftar Koreksi'!$D$5:$D$92,'0700'!A114,'Daftar Koreksi'!$G$5:$G$92,"Tanah",'Daftar Koreksi'!$H$5:$H$92,"&lt;0")-SUMIFS('Daftar Koreksi'!$H$5:$H$92,'Daftar Koreksi'!$D$5:$D$92,'0700'!A114,'Daftar Koreksi'!$G$5:$G$92,"Tanah",'Daftar Koreksi'!$H$5:$H$92,"&lt;0")</f>
        <v>0</v>
      </c>
      <c r="G118" s="17">
        <f t="shared" ref="G118:G134" si="5">D118+E118-F118</f>
        <v>2292702316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1863380028</v>
      </c>
      <c r="E119" s="25">
        <f>SUMIFS('Daftar Koreksi'!$H$5:$H$92,'Daftar Koreksi'!$D$5:$D$92,'0700'!A114,'Daftar Koreksi'!$G$5:$G$92,"Peralatan dan mesin",'Daftar Koreksi'!$H$5:$H$92,"&gt;0")</f>
        <v>0</v>
      </c>
      <c r="F119" s="25">
        <f>SUMIFS('Daftar Koreksi'!$H$5:$H$92,'Daftar Koreksi'!$D$5:$D$92,'0700'!A114,'Daftar Koreksi'!$G$5:$G$92,"Peralatan dan mesin",'Daftar Koreksi'!$H$5:$H$92,"&lt;0")-SUMIFS('Daftar Koreksi'!$H$5:$H$92,'Daftar Koreksi'!$D$5:$D$92,'0700'!A114,'Daftar Koreksi'!$G$5:$G$92,"Peralatan dan mesin",'Daftar Koreksi'!$H$5:$H$92,"&lt;0")-SUMIFS('Daftar Koreksi'!$H$5:$H$92,'Daftar Koreksi'!$D$5:$D$92,'0700'!A114,'Daftar Koreksi'!$G$5:$G$92,"Peralatan dan mesin",'Daftar Koreksi'!$H$5:$H$92,"&lt;0")</f>
        <v>0</v>
      </c>
      <c r="G119" s="17">
        <f t="shared" si="5"/>
        <v>1863380028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6965509522</v>
      </c>
      <c r="E120" s="25">
        <f>SUMIFS('Daftar Koreksi'!$H$5:$H$92,'Daftar Koreksi'!$D$5:$D$92,'0700'!A114,'Daftar Koreksi'!$G$5:$G$92,"Gedung dan Bangunan",'Daftar Koreksi'!$H$5:$H$92,"&gt;0")</f>
        <v>0</v>
      </c>
      <c r="F120" s="25">
        <f>SUMIFS('Daftar Koreksi'!$H$5:$H$92,'Daftar Koreksi'!$D$5:$D$92,'0700'!A114,'Daftar Koreksi'!$G$5:$G$92,"Gedung dan Bangunan",'Daftar Koreksi'!$H$5:$H$92,"&lt;0")-SUMIFS('Daftar Koreksi'!$H$5:$H$92,'Daftar Koreksi'!$D$5:$D$92,'0700'!A114,'Daftar Koreksi'!$G$5:$G$92,"Gedung dan Bangunan",'Daftar Koreksi'!$H$5:$H$92,"&lt;0")-SUMIFS('Daftar Koreksi'!$H$5:$H$92,'Daftar Koreksi'!$D$5:$D$92,'0700'!A114,'Daftar Koreksi'!$G$5:$G$92,"Gedung dan Bangunan",'Daftar Koreksi'!$H$5:$H$92,"&lt;0")</f>
        <v>0</v>
      </c>
      <c r="G120" s="17">
        <f t="shared" si="5"/>
        <v>6965509522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Koreksi'!$D$5:$D$92,'0700'!A114,'Daftar Koreksi'!$G$5:$G$92,"Jalan Irigasi Jaringan",'Daftar Koreksi'!$H$5:$H$92,"&gt;0")</f>
        <v>0</v>
      </c>
      <c r="F121" s="25">
        <f>SUMIFS('Daftar Koreksi'!$H$5:$H$92,'Daftar Koreksi'!$D$5:$D$92,'0700'!A114,'Daftar Koreksi'!$G$5:$G$92,"Jalan Irigasi Jaringan",'Daftar Koreksi'!$H$5:$H$92,"&lt;0")-SUMIFS('Daftar Koreksi'!$H$5:$H$92,'Daftar Koreksi'!$D$5:$D$92,'0700'!A114,'Daftar Koreksi'!$G$5:$G$92,"Jalan Irigasi Jaringan",'Daftar Koreksi'!$H$5:$H$92,"&lt;0")-SUMIFS('Daftar Koreksi'!$H$5:$H$92,'Daftar Koreksi'!$D$5:$D$92,'0700'!A114,'Daftar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73726145</v>
      </c>
      <c r="E122" s="25">
        <f>SUMIFS('Daftar Koreksi'!$H$5:$H$92,'Daftar Koreksi'!$D$5:$D$92,'0700'!A114,'Daftar Koreksi'!$G$5:$G$92,"Aset Tetap Lainnya",'Daftar Koreksi'!$H$5:$H$92,"&gt;0")</f>
        <v>0</v>
      </c>
      <c r="F122" s="25">
        <f>SUMIFS('Daftar Koreksi'!$H$5:$H$92,'Daftar Koreksi'!$D$5:$D$92,'0700'!A114,'Daftar Koreksi'!$G$5:$G$92,"Aset Tetap Lainnya",'Daftar Koreksi'!$H$5:$H$92,"&lt;0")-SUMIFS('Daftar Koreksi'!$H$5:$H$92,'Daftar Koreksi'!$D$5:$D$92,'0700'!A114,'Daftar Koreksi'!$G$5:$G$92,"Aset Tetap Lainnya",'Daftar Koreksi'!$H$5:$H$92,"&lt;0")-SUMIFS('Daftar Koreksi'!$H$5:$H$92,'Daftar Koreksi'!$D$5:$D$92,'0700'!A114,'Daftar Koreksi'!$G$5:$G$92,"Aset Tetap Lainnya",'Daftar Koreksi'!$H$5:$H$92,"&lt;0")</f>
        <v>0</v>
      </c>
      <c r="G122" s="17">
        <f t="shared" si="5"/>
        <v>73726145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Koreksi'!$D$5:$D$92,'0700'!A114,'Daftar Koreksi'!$G$5:$G$92,"Kontruksi Dalam Pengerjaan",'Daftar Koreksi'!$H$5:$H$92,"&gt;0")</f>
        <v>0</v>
      </c>
      <c r="F123" s="25">
        <f>SUMIFS('Daftar Koreksi'!$H$5:$H$92,'Daftar Koreksi'!$D$5:$D$92,'0700'!A114,'Daftar Koreksi'!$G$5:$G$92,"Kontruksi Dalam Pengerjaan",'Daftar Koreksi'!$H$5:$H$92,"&lt;0")-SUMIFS('Daftar Koreksi'!$H$5:$H$92,'Daftar Koreksi'!$D$5:$D$92,'0700'!A114,'Daftar Koreksi'!$G$5:$G$92,"Kontruksi Dalam Pengerjaan",'Daftar Koreksi'!$H$5:$H$92,"&lt;0")-SUMIFS('Daftar Koreksi'!$H$5:$H$92,'Daftar Koreksi'!$D$5:$D$92,'0700'!A114,'Daftar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Koreksi'!$D$5:$D$92,'0700'!A114,'Daftar Koreksi'!$G$5:$G$92,"Aset Tak Berwujud",'Daftar Koreksi'!$H$5:$H$92,"&gt;0")</f>
        <v>0</v>
      </c>
      <c r="F124" s="25">
        <f>SUMIFS('Daftar Koreksi'!$H$5:$H$92,'Daftar Koreksi'!$D$5:$D$92,'0700'!A114,'Daftar Koreksi'!$G$5:$G$92,"Aset Tak Berwujud",'Daftar Koreksi'!$H$5:$H$92,"&lt;0")-SUMIFS('Daftar Koreksi'!$H$5:$H$92,'Daftar Koreksi'!$D$5:$D$92,'0700'!A114,'Daftar Koreksi'!$G$5:$G$92,"Aset Tak Berwujud",'Daftar Koreksi'!$H$5:$H$92,"&lt;0")-SUMIFS('Daftar Koreksi'!$H$5:$H$92,'Daftar Koreksi'!$D$5:$D$92,'0700'!A114,'Daftar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Koreksi'!$D$5:$D$92,'0700'!A114,'Daftar Koreksi'!$G$5:$G$92,"Aset Henti Guna",'Daftar Koreksi'!$H$5:$H$92,"&gt;0")</f>
        <v>0</v>
      </c>
      <c r="F125" s="25">
        <f>SUMIFS('Daftar Koreksi'!$H$5:$H$92,'Daftar Koreksi'!$D$5:$D$92,'0700'!A114,'Daftar Koreksi'!$G$5:$G$92,"Aset Henti Guna",'Daftar Koreksi'!$H$5:$H$92,"&lt;0")-SUMIFS('Daftar Koreksi'!$H$5:$H$92,'Daftar Koreksi'!$D$5:$D$92,'0700'!A114,'Daftar Koreksi'!$G$5:$G$92,"Aset Henti Guna",'Daftar Koreksi'!$H$5:$H$92,"&lt;0")-SUMIFS('Daftar Koreksi'!$H$5:$H$92,'Daftar Koreksi'!$D$5:$D$92,'0700'!A114,'Daftar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11195889011</v>
      </c>
      <c r="E126" s="19">
        <f>SUM(E117:E125)</f>
        <v>0</v>
      </c>
      <c r="F126" s="19">
        <f>SUM(F117:F125)</f>
        <v>0</v>
      </c>
      <c r="G126" s="19">
        <f t="shared" si="5"/>
        <v>11195889011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-1295441185</v>
      </c>
      <c r="E127" s="25">
        <f>SUMIFS('Daftar Koreksi'!$I$5:$I$92,'Daftar Koreksi'!$D$5:$D$92,'0700'!A114,'Daftar Koreksi'!$G$5:$G$92,"Peralatan dan mesin",'Daftar Koreksi'!$I$5:$I$92,"&gt;0")</f>
        <v>0</v>
      </c>
      <c r="F127" s="25">
        <f>SUMIFS('Daftar Koreksi'!$I$5:$I$92,'Daftar Koreksi'!$D$5:$D$92,'0700'!A114,'Daftar Koreksi'!$G$5:$G$92,"Peralatan dan mesin",'Daftar Koreksi'!$I$5:$I$92,"&lt;0")-SUMIFS('Daftar Koreksi'!$I$5:$I$92,'Daftar Koreksi'!$D$5:$D$92,'0700'!A114,'Daftar Koreksi'!$G$5:$G$92,"Peralatan dan mesin",'Daftar Koreksi'!$I$5:$I$92,"&lt;0")-SUMIFS('Daftar Koreksi'!$I$5:$I$92,'Daftar Koreksi'!$D$5:$D$92,'0700'!A114,'Daftar Koreksi'!$G$5:$G$92,"Peralatan dan mesin",'Daftar Koreksi'!$I$5:$I$92,"&lt;0")</f>
        <v>0</v>
      </c>
      <c r="G127" s="17">
        <f t="shared" si="5"/>
        <v>-1295441185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-1680556058</v>
      </c>
      <c r="E128" s="25">
        <f>SUMIFS('Daftar Koreksi'!$I$5:$I$92,'Daftar Koreksi'!$D$5:$D$92,'0700'!A114,'Daftar Koreksi'!$G$5:$G$92,"Gedung dan Bangunan",'Daftar Koreksi'!$I$5:$I$92,"&gt;0")</f>
        <v>0</v>
      </c>
      <c r="F128" s="25">
        <f>SUMIFS('Daftar Koreksi'!$I$5:$I$92,'Daftar Koreksi'!$D$5:$D$92,'0700'!A114,'Daftar Koreksi'!$G$5:$G$92,"Gedung dan Bangunan",'Daftar Koreksi'!$I$5:$I$92,"&lt;0")-SUMIFS('Daftar Koreksi'!$I$5:$I$92,'Daftar Koreksi'!$D$5:$D$92,'0700'!A114,'Daftar Koreksi'!$G$5:$G$92,"Gedung dan Bangunan",'Daftar Koreksi'!$I$5:$I$92,"&lt;0")-SUMIFS('Daftar Koreksi'!$I$5:$I$92,'Daftar Koreksi'!$D$5:$D$92,'0700'!A114,'Daftar Koreksi'!$G$5:$G$92,"Gedung dan Bangunan",'Daftar Koreksi'!$I$5:$I$92,"&lt;0")</f>
        <v>0</v>
      </c>
      <c r="G128" s="17">
        <f t="shared" si="5"/>
        <v>-1680556058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Koreksi'!$D$5:$D$92,'0700'!A114,'Daftar Koreksi'!$G$5:$G$92,"Jalan Irigasi Jaringan",'Daftar Koreksi'!$I$5:$I$92,"&gt;0")</f>
        <v>0</v>
      </c>
      <c r="F129" s="25">
        <f>SUMIFS('Daftar Koreksi'!$I$5:$I$92,'Daftar Koreksi'!$D$5:$D$92,'0700'!A114,'Daftar Koreksi'!$G$5:$G$92,"Jalan Irigasi Jaringan",'Daftar Koreksi'!$I$5:$I$92,"&lt;0")-SUMIFS('Daftar Koreksi'!$I$5:$I$92,'Daftar Koreksi'!$D$5:$D$92,'0700'!A114,'Daftar Koreksi'!$G$5:$G$92,"Jalan Irigasi Jaringan",'Daftar Koreksi'!$I$5:$I$92,"&lt;0")-SUMIFS('Daftar Koreksi'!$I$5:$I$92,'Daftar Koreksi'!$D$5:$D$92,'0700'!A114,'Daftar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Koreksi'!$D$5:$D$92,'0700'!A114,'Daftar Koreksi'!$G$5:$G$92,"Aset Tetap Lainnya",'Daftar Koreksi'!$I$5:$I$92,"&gt;0")</f>
        <v>0</v>
      </c>
      <c r="F130" s="25">
        <f>SUMIFS('Daftar Koreksi'!$I$5:$I$92,'Daftar Koreksi'!$D$5:$D$92,'0700'!A114,'Daftar Koreksi'!$G$5:$G$92,"Aset Tetap Lainnya",'Daftar Koreksi'!$I$5:$I$92,"&lt;0")-SUMIFS('Daftar Koreksi'!$I$5:$I$92,'Daftar Koreksi'!$D$5:$D$92,'0700'!A114,'Daftar Koreksi'!$G$5:$G$92,"Aset Tetap Lainnya",'Daftar Koreksi'!$I$5:$I$92,"&lt;0")-SUMIFS('Daftar Koreksi'!$I$5:$I$92,'Daftar Koreksi'!$D$5:$D$92,'0700'!A114,'Daftar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Koreksi'!$D$5:$D$92,'0700'!A114,'Daftar Koreksi'!$G$5:$G$92,"Aset Henti Guna",'Daftar Koreksi'!$I$5:$I$92,"&gt;0")</f>
        <v>0</v>
      </c>
      <c r="F131" s="25">
        <f>SUMIFS('Daftar Koreksi'!$I$5:$I$92,'Daftar Koreksi'!$D$5:$D$92,'0700'!A114,'Daftar Koreksi'!$G$5:$G$92,"Aset Henti Guna",'Daftar Koreksi'!$I$5:$I$92,"&lt;0")-SUMIFS('Daftar Koreksi'!$I$5:$I$92,'Daftar Koreksi'!$D$5:$D$92,'0700'!A114,'Daftar Koreksi'!$G$5:$G$92,"Aset Henti Guna",'Daftar Koreksi'!$I$5:$I$92,"&lt;0")-SUMIFS('Daftar Koreksi'!$I$5:$I$92,'Daftar Koreksi'!$D$5:$D$92,'0700'!A114,'Daftar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-2975997243</v>
      </c>
      <c r="E132" s="19">
        <f>SUM(E127:E131)</f>
        <v>0</v>
      </c>
      <c r="F132" s="19">
        <f>SUM(F127:F131)</f>
        <v>0</v>
      </c>
      <c r="G132" s="19">
        <f t="shared" si="5"/>
        <v>-2975997243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8219891768</v>
      </c>
      <c r="E133" s="19">
        <f>E132+E126</f>
        <v>0</v>
      </c>
      <c r="F133" s="19">
        <f>F132+F126</f>
        <v>0</v>
      </c>
      <c r="G133" s="19">
        <f t="shared" si="5"/>
        <v>8219891768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005010700098675000KD</v>
      </c>
      <c r="B136" s="11" t="str">
        <f>P7</f>
        <v>PN. Rantau Prapat</v>
      </c>
      <c r="C136" s="12" t="str">
        <f>A136&amp;" "&amp;B136</f>
        <v>005010700098675000KD PN. Rantau Prapat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2356825</v>
      </c>
      <c r="E139" s="25">
        <f>SUMIFS('Daftar Koreksi'!$H$5:$H$92,'Daftar Koreksi'!$D$5:$D$92,'0700'!A136,'Daftar Koreksi'!$G$5:$G$92,"Persediaan",'Daftar Koreksi'!$H$5:$H$92,"&gt;0")</f>
        <v>0</v>
      </c>
      <c r="F139" s="25">
        <f>SUMIFS('Daftar Koreksi'!$H$5:$H$92,'Daftar Koreksi'!$D$5:$D$92,'0700'!A136,'Daftar Koreksi'!$G$5:$G$92,"Persediaan",'Daftar Koreksi'!$H$5:$H$92,"&lt;0")-SUMIFS('Daftar Koreksi'!$H$5:$H$92,'Daftar Koreksi'!$D$5:$D$92,'0700'!A136,'Daftar Koreksi'!$G$5:$G$92,"Persediaan",'Daftar Koreksi'!$H$5:$H$92,"&lt;0")-SUMIFS('Daftar Koreksi'!$H$5:$H$92,'Daftar Koreksi'!$D$5:$D$92,'0700'!A136,'Daftar Koreksi'!$G$5:$G$92,"Persediaan",'Daftar Koreksi'!$H$5:$H$92,"&lt;0")</f>
        <v>0</v>
      </c>
      <c r="G139" s="17">
        <f>D139+E139-F139</f>
        <v>2356825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5096820000</v>
      </c>
      <c r="E140" s="25">
        <f>SUMIFS('Daftar Koreksi'!$H$5:$H$92,'Daftar Koreksi'!$D$5:$D$92,'0700'!A136,'Daftar Koreksi'!$G$5:$G$92,"Tanah",'Daftar Koreksi'!$H$5:$H$92,"&gt;0")</f>
        <v>0</v>
      </c>
      <c r="F140" s="25">
        <f>SUMIFS('Daftar Koreksi'!$H$5:$H$92,'Daftar Koreksi'!$D$5:$D$92,'0700'!A136,'Daftar Koreksi'!$G$5:$G$92,"Tanah",'Daftar Koreksi'!$H$5:$H$92,"&lt;0")-SUMIFS('Daftar Koreksi'!$H$5:$H$92,'Daftar Koreksi'!$D$5:$D$92,'0700'!A136,'Daftar Koreksi'!$G$5:$G$92,"Tanah",'Daftar Koreksi'!$H$5:$H$92,"&lt;0")-SUMIFS('Daftar Koreksi'!$H$5:$H$92,'Daftar Koreksi'!$D$5:$D$92,'0700'!A136,'Daftar Koreksi'!$G$5:$G$92,"Tanah",'Daftar Koreksi'!$H$5:$H$92,"&lt;0")</f>
        <v>0</v>
      </c>
      <c r="G140" s="17">
        <f t="shared" ref="G140:G156" si="6">D140+E140-F140</f>
        <v>5096820000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1443054384</v>
      </c>
      <c r="E141" s="25">
        <f>SUMIFS('Daftar Koreksi'!$H$5:$H$92,'Daftar Koreksi'!$D$5:$D$92,'0700'!A136,'Daftar Koreksi'!$G$5:$G$92,"Peralatan dan mesin",'Daftar Koreksi'!$H$5:$H$92,"&gt;0")</f>
        <v>0</v>
      </c>
      <c r="F141" s="25">
        <f>SUMIFS('Daftar Koreksi'!$H$5:$H$92,'Daftar Koreksi'!$D$5:$D$92,'0700'!A136,'Daftar Koreksi'!$G$5:$G$92,"Peralatan dan mesin",'Daftar Koreksi'!$H$5:$H$92,"&lt;0")-SUMIFS('Daftar Koreksi'!$H$5:$H$92,'Daftar Koreksi'!$D$5:$D$92,'0700'!A136,'Daftar Koreksi'!$G$5:$G$92,"Peralatan dan mesin",'Daftar Koreksi'!$H$5:$H$92,"&lt;0")-SUMIFS('Daftar Koreksi'!$H$5:$H$92,'Daftar Koreksi'!$D$5:$D$92,'0700'!A136,'Daftar Koreksi'!$G$5:$G$92,"Peralatan dan mesin",'Daftar Koreksi'!$H$5:$H$92,"&lt;0")</f>
        <v>0</v>
      </c>
      <c r="G141" s="17">
        <f t="shared" si="6"/>
        <v>1443054384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2886402799</v>
      </c>
      <c r="E142" s="25">
        <f>SUMIFS('Daftar Koreksi'!$H$5:$H$92,'Daftar Koreksi'!$D$5:$D$92,'0700'!A136,'Daftar Koreksi'!$G$5:$G$92,"Gedung dan Bangunan",'Daftar Koreksi'!$H$5:$H$92,"&gt;0")</f>
        <v>0</v>
      </c>
      <c r="F142" s="25">
        <f>SUMIFS('Daftar Koreksi'!$H$5:$H$92,'Daftar Koreksi'!$D$5:$D$92,'0700'!A136,'Daftar Koreksi'!$G$5:$G$92,"Gedung dan Bangunan",'Daftar Koreksi'!$H$5:$H$92,"&lt;0")-SUMIFS('Daftar Koreksi'!$H$5:$H$92,'Daftar Koreksi'!$D$5:$D$92,'0700'!A136,'Daftar Koreksi'!$G$5:$G$92,"Gedung dan Bangunan",'Daftar Koreksi'!$H$5:$H$92,"&lt;0")-SUMIFS('Daftar Koreksi'!$H$5:$H$92,'Daftar Koreksi'!$D$5:$D$92,'0700'!A136,'Daftar Koreksi'!$G$5:$G$92,"Gedung dan Bangunan",'Daftar Koreksi'!$H$5:$H$92,"&lt;0")</f>
        <v>0</v>
      </c>
      <c r="G142" s="17">
        <f t="shared" si="6"/>
        <v>2886402799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60960000</v>
      </c>
      <c r="E143" s="25">
        <f>SUMIFS('Daftar Koreksi'!$H$5:$H$92,'Daftar Koreksi'!$D$5:$D$92,'0700'!A136,'Daftar Koreksi'!$G$5:$G$92,"Jalan Irigasi Jaringan",'Daftar Koreksi'!$H$5:$H$92,"&gt;0")</f>
        <v>0</v>
      </c>
      <c r="F143" s="25">
        <f>SUMIFS('Daftar Koreksi'!$H$5:$H$92,'Daftar Koreksi'!$D$5:$D$92,'0700'!A136,'Daftar Koreksi'!$G$5:$G$92,"Jalan Irigasi Jaringan",'Daftar Koreksi'!$H$5:$H$92,"&lt;0")-SUMIFS('Daftar Koreksi'!$H$5:$H$92,'Daftar Koreksi'!$D$5:$D$92,'0700'!A136,'Daftar Koreksi'!$G$5:$G$92,"Jalan Irigasi Jaringan",'Daftar Koreksi'!$H$5:$H$92,"&lt;0")-SUMIFS('Daftar Koreksi'!$H$5:$H$92,'Daftar Koreksi'!$D$5:$D$92,'0700'!A136,'Daftar Koreksi'!$G$5:$G$92,"Jalan Irigasi Jaringan",'Daftar Koreksi'!$H$5:$H$92,"&lt;0")</f>
        <v>0</v>
      </c>
      <c r="G143" s="17">
        <f t="shared" si="6"/>
        <v>60960000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57323440</v>
      </c>
      <c r="E144" s="25">
        <f>SUMIFS('Daftar Koreksi'!$H$5:$H$92,'Daftar Koreksi'!$D$5:$D$92,'0700'!A136,'Daftar Koreksi'!$G$5:$G$92,"Aset Tetap Lainnya",'Daftar Koreksi'!$H$5:$H$92,"&gt;0")</f>
        <v>0</v>
      </c>
      <c r="F144" s="25">
        <f>SUMIFS('Daftar Koreksi'!$H$5:$H$92,'Daftar Koreksi'!$D$5:$D$92,'0700'!A136,'Daftar Koreksi'!$G$5:$G$92,"Aset Tetap Lainnya",'Daftar Koreksi'!$H$5:$H$92,"&lt;0")-SUMIFS('Daftar Koreksi'!$H$5:$H$92,'Daftar Koreksi'!$D$5:$D$92,'0700'!A136,'Daftar Koreksi'!$G$5:$G$92,"Aset Tetap Lainnya",'Daftar Koreksi'!$H$5:$H$92,"&lt;0")-SUMIFS('Daftar Koreksi'!$H$5:$H$92,'Daftar Koreksi'!$D$5:$D$92,'0700'!A136,'Daftar Koreksi'!$G$5:$G$92,"Aset Tetap Lainnya",'Daftar Koreksi'!$H$5:$H$92,"&lt;0")</f>
        <v>0</v>
      </c>
      <c r="G144" s="17">
        <f t="shared" si="6"/>
        <v>57323440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Koreksi'!$D$5:$D$92,'0700'!A136,'Daftar Koreksi'!$G$5:$G$92,"Kontruksi Dalam Pengerjaan",'Daftar Koreksi'!$H$5:$H$92,"&gt;0")</f>
        <v>0</v>
      </c>
      <c r="F145" s="25">
        <f>SUMIFS('Daftar Koreksi'!$H$5:$H$92,'Daftar Koreksi'!$D$5:$D$92,'0700'!A136,'Daftar Koreksi'!$G$5:$G$92,"Kontruksi Dalam Pengerjaan",'Daftar Koreksi'!$H$5:$H$92,"&lt;0")-SUMIFS('Daftar Koreksi'!$H$5:$H$92,'Daftar Koreksi'!$D$5:$D$92,'0700'!A136,'Daftar Koreksi'!$G$5:$G$92,"Kontruksi Dalam Pengerjaan",'Daftar Koreksi'!$H$5:$H$92,"&lt;0")-SUMIFS('Daftar Koreksi'!$H$5:$H$92,'Daftar Koreksi'!$D$5:$D$92,'0700'!A136,'Daftar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76829590</v>
      </c>
      <c r="E146" s="25">
        <f>SUMIFS('Daftar Koreksi'!$H$5:$H$92,'Daftar Koreksi'!$D$5:$D$92,'0700'!A136,'Daftar Koreksi'!$G$5:$G$92,"Aset Tak Berwujud",'Daftar Koreksi'!$H$5:$H$92,"&gt;0")</f>
        <v>0</v>
      </c>
      <c r="F146" s="25">
        <f>SUMIFS('Daftar Koreksi'!$H$5:$H$92,'Daftar Koreksi'!$D$5:$D$92,'0700'!A136,'Daftar Koreksi'!$G$5:$G$92,"Aset Tak Berwujud",'Daftar Koreksi'!$H$5:$H$92,"&lt;0")-SUMIFS('Daftar Koreksi'!$H$5:$H$92,'Daftar Koreksi'!$D$5:$D$92,'0700'!A136,'Daftar Koreksi'!$G$5:$G$92,"Aset Tak Berwujud",'Daftar Koreksi'!$H$5:$H$92,"&lt;0")-SUMIFS('Daftar Koreksi'!$H$5:$H$92,'Daftar Koreksi'!$D$5:$D$92,'0700'!A136,'Daftar Koreksi'!$G$5:$G$92,"Aset Tak Berwujud",'Daftar Koreksi'!$H$5:$H$92,"&lt;0")</f>
        <v>0</v>
      </c>
      <c r="G146" s="17">
        <f t="shared" si="6"/>
        <v>76829590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Koreksi'!$D$5:$D$92,'0700'!A136,'Daftar Koreksi'!$G$5:$G$92,"Aset Henti Guna",'Daftar Koreksi'!$H$5:$H$92,"&gt;0")</f>
        <v>0</v>
      </c>
      <c r="F147" s="25">
        <f>SUMIFS('Daftar Koreksi'!$H$5:$H$92,'Daftar Koreksi'!$D$5:$D$92,'0700'!A136,'Daftar Koreksi'!$G$5:$G$92,"Aset Henti Guna",'Daftar Koreksi'!$H$5:$H$92,"&lt;0")-SUMIFS('Daftar Koreksi'!$H$5:$H$92,'Daftar Koreksi'!$D$5:$D$92,'0700'!A136,'Daftar Koreksi'!$G$5:$G$92,"Aset Henti Guna",'Daftar Koreksi'!$H$5:$H$92,"&lt;0")-SUMIFS('Daftar Koreksi'!$H$5:$H$92,'Daftar Koreksi'!$D$5:$D$92,'0700'!A136,'Daftar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9623747038</v>
      </c>
      <c r="E148" s="19">
        <f>SUM(E139:E147)</f>
        <v>0</v>
      </c>
      <c r="F148" s="19">
        <f>SUM(F139:F147)</f>
        <v>0</v>
      </c>
      <c r="G148" s="19">
        <f t="shared" si="6"/>
        <v>9623747038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-1184176016</v>
      </c>
      <c r="E149" s="25">
        <f>SUMIFS('Daftar Koreksi'!$I$5:$I$92,'Daftar Koreksi'!$D$5:$D$92,'0700'!A136,'Daftar Koreksi'!$G$5:$G$92,"Peralatan dan mesin",'Daftar Koreksi'!$I$5:$I$92,"&gt;0")</f>
        <v>0</v>
      </c>
      <c r="F149" s="25">
        <f>SUMIFS('Daftar Koreksi'!$I$5:$I$92,'Daftar Koreksi'!$D$5:$D$92,'0700'!A136,'Daftar Koreksi'!$G$5:$G$92,"Peralatan dan mesin",'Daftar Koreksi'!$I$5:$I$92,"&lt;0")-SUMIFS('Daftar Koreksi'!$I$5:$I$92,'Daftar Koreksi'!$D$5:$D$92,'0700'!A136,'Daftar Koreksi'!$G$5:$G$92,"Peralatan dan mesin",'Daftar Koreksi'!$I$5:$I$92,"&lt;0")-SUMIFS('Daftar Koreksi'!$I$5:$I$92,'Daftar Koreksi'!$D$5:$D$92,'0700'!A136,'Daftar Koreksi'!$G$5:$G$92,"Peralatan dan mesin",'Daftar Koreksi'!$I$5:$I$92,"&lt;0")</f>
        <v>0</v>
      </c>
      <c r="G149" s="17">
        <f t="shared" si="6"/>
        <v>-1184176016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-1243069412</v>
      </c>
      <c r="E150" s="25">
        <f>SUMIFS('Daftar Koreksi'!$I$5:$I$92,'Daftar Koreksi'!$D$5:$D$92,'0700'!A136,'Daftar Koreksi'!$G$5:$G$92,"Gedung dan Bangunan",'Daftar Koreksi'!$I$5:$I$92,"&gt;0")</f>
        <v>0</v>
      </c>
      <c r="F150" s="25">
        <f>SUMIFS('Daftar Koreksi'!$I$5:$I$92,'Daftar Koreksi'!$D$5:$D$92,'0700'!A136,'Daftar Koreksi'!$G$5:$G$92,"Gedung dan Bangunan",'Daftar Koreksi'!$I$5:$I$92,"&lt;0")-SUMIFS('Daftar Koreksi'!$I$5:$I$92,'Daftar Koreksi'!$D$5:$D$92,'0700'!A136,'Daftar Koreksi'!$G$5:$G$92,"Gedung dan Bangunan",'Daftar Koreksi'!$I$5:$I$92,"&lt;0")-SUMIFS('Daftar Koreksi'!$I$5:$I$92,'Daftar Koreksi'!$D$5:$D$92,'0700'!A136,'Daftar Koreksi'!$G$5:$G$92,"Gedung dan Bangunan",'Daftar Koreksi'!$I$5:$I$92,"&lt;0")</f>
        <v>0</v>
      </c>
      <c r="G150" s="17">
        <f t="shared" si="6"/>
        <v>-1243069412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-5334000</v>
      </c>
      <c r="E151" s="25">
        <f>SUMIFS('Daftar Koreksi'!$I$5:$I$92,'Daftar Koreksi'!$D$5:$D$92,'0700'!A136,'Daftar Koreksi'!$G$5:$G$92,"Jalan Irigasi Jaringan",'Daftar Koreksi'!$I$5:$I$92,"&gt;0")</f>
        <v>0</v>
      </c>
      <c r="F151" s="25">
        <f>SUMIFS('Daftar Koreksi'!$I$5:$I$92,'Daftar Koreksi'!$D$5:$D$92,'0700'!A136,'Daftar Koreksi'!$G$5:$G$92,"Jalan Irigasi Jaringan",'Daftar Koreksi'!$I$5:$I$92,"&lt;0")-SUMIFS('Daftar Koreksi'!$I$5:$I$92,'Daftar Koreksi'!$D$5:$D$92,'0700'!A136,'Daftar Koreksi'!$G$5:$G$92,"Jalan Irigasi Jaringan",'Daftar Koreksi'!$I$5:$I$92,"&lt;0")-SUMIFS('Daftar Koreksi'!$I$5:$I$92,'Daftar Koreksi'!$D$5:$D$92,'0700'!A136,'Daftar Koreksi'!$G$5:$G$92,"Jalan Irigasi Jaringan",'Daftar Koreksi'!$I$5:$I$92,"&lt;0")</f>
        <v>0</v>
      </c>
      <c r="G151" s="17">
        <f t="shared" si="6"/>
        <v>-5334000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Koreksi'!$D$5:$D$92,'0700'!A136,'Daftar Koreksi'!$G$5:$G$92,"Aset Tetap Lainnya",'Daftar Koreksi'!$I$5:$I$92,"&gt;0")</f>
        <v>0</v>
      </c>
      <c r="F152" s="25">
        <f>SUMIFS('Daftar Koreksi'!$I$5:$I$92,'Daftar Koreksi'!$D$5:$D$92,'0700'!A136,'Daftar Koreksi'!$G$5:$G$92,"Aset Tetap Lainnya",'Daftar Koreksi'!$I$5:$I$92,"&lt;0")-SUMIFS('Daftar Koreksi'!$I$5:$I$92,'Daftar Koreksi'!$D$5:$D$92,'0700'!A136,'Daftar Koreksi'!$G$5:$G$92,"Aset Tetap Lainnya",'Daftar Koreksi'!$I$5:$I$92,"&lt;0")-SUMIFS('Daftar Koreksi'!$I$5:$I$92,'Daftar Koreksi'!$D$5:$D$92,'0700'!A136,'Daftar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Koreksi'!$D$5:$D$92,'0700'!A136,'Daftar Koreksi'!$G$5:$G$92,"Aset Henti Guna",'Daftar Koreksi'!$I$5:$I$92,"&gt;0")</f>
        <v>0</v>
      </c>
      <c r="F153" s="25">
        <f>SUMIFS('Daftar Koreksi'!$I$5:$I$92,'Daftar Koreksi'!$D$5:$D$92,'0700'!A136,'Daftar Koreksi'!$G$5:$G$92,"Aset Henti Guna",'Daftar Koreksi'!$I$5:$I$92,"&lt;0")-SUMIFS('Daftar Koreksi'!$I$5:$I$92,'Daftar Koreksi'!$D$5:$D$92,'0700'!A136,'Daftar Koreksi'!$G$5:$G$92,"Aset Henti Guna",'Daftar Koreksi'!$I$5:$I$92,"&lt;0")-SUMIFS('Daftar Koreksi'!$I$5:$I$92,'Daftar Koreksi'!$D$5:$D$92,'0700'!A136,'Daftar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-2432579428</v>
      </c>
      <c r="E154" s="19">
        <f>SUM(E149:E153)</f>
        <v>0</v>
      </c>
      <c r="F154" s="19">
        <f>SUM(F149:F153)</f>
        <v>0</v>
      </c>
      <c r="G154" s="19">
        <f t="shared" si="6"/>
        <v>-2432579428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7191167610</v>
      </c>
      <c r="E155" s="19">
        <f>E154+E148</f>
        <v>0</v>
      </c>
      <c r="F155" s="19">
        <f>F154+F148</f>
        <v>0</v>
      </c>
      <c r="G155" s="19">
        <f t="shared" si="6"/>
        <v>7191167610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005010700098682000KD</v>
      </c>
      <c r="B158" s="11" t="str">
        <f>P8</f>
        <v>PN. Tebing Tinggi</v>
      </c>
      <c r="C158" s="12" t="str">
        <f>A158&amp;" "&amp;B158</f>
        <v>005010700098682000KD PN. Tebing Tinggi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2313450</v>
      </c>
      <c r="E161" s="25">
        <f>SUMIFS('Daftar Koreksi'!$H$5:$H$92,'Daftar Koreksi'!$D$5:$D$92,'0700'!A158,'Daftar Koreksi'!$G$5:$G$92,"Persediaan",'Daftar Koreksi'!$H$5:$H$92,"&gt;0")</f>
        <v>0</v>
      </c>
      <c r="F161" s="25">
        <f>SUMIFS('Daftar Koreksi'!$H$5:$H$92,'Daftar Koreksi'!$D$5:$D$92,'0700'!A158,'Daftar Koreksi'!$G$5:$G$92,"Persediaan",'Daftar Koreksi'!$H$5:$H$92,"&lt;0")-SUMIFS('Daftar Koreksi'!$H$5:$H$92,'Daftar Koreksi'!$D$5:$D$92,'0700'!A158,'Daftar Koreksi'!$G$5:$G$92,"Persediaan",'Daftar Koreksi'!$H$5:$H$92,"&lt;0")-SUMIFS('Daftar Koreksi'!$H$5:$H$92,'Daftar Koreksi'!$D$5:$D$92,'0700'!A158,'Daftar Koreksi'!$G$5:$G$92,"Persediaan",'Daftar Koreksi'!$H$5:$H$92,"&lt;0")</f>
        <v>0</v>
      </c>
      <c r="G161" s="17">
        <f>D161+E161-F161</f>
        <v>2313450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4935248100</v>
      </c>
      <c r="E162" s="25">
        <f>SUMIFS('Daftar Koreksi'!$H$5:$H$92,'Daftar Koreksi'!$D$5:$D$92,'0700'!A158,'Daftar Koreksi'!$G$5:$G$92,"Tanah",'Daftar Koreksi'!$H$5:$H$92,"&gt;0")</f>
        <v>0</v>
      </c>
      <c r="F162" s="25">
        <f>SUMIFS('Daftar Koreksi'!$H$5:$H$92,'Daftar Koreksi'!$D$5:$D$92,'0700'!A158,'Daftar Koreksi'!$G$5:$G$92,"Tanah",'Daftar Koreksi'!$H$5:$H$92,"&lt;0")-SUMIFS('Daftar Koreksi'!$H$5:$H$92,'Daftar Koreksi'!$D$5:$D$92,'0700'!A158,'Daftar Koreksi'!$G$5:$G$92,"Tanah",'Daftar Koreksi'!$H$5:$H$92,"&lt;0")-SUMIFS('Daftar Koreksi'!$H$5:$H$92,'Daftar Koreksi'!$D$5:$D$92,'0700'!A158,'Daftar Koreksi'!$G$5:$G$92,"Tanah",'Daftar Koreksi'!$H$5:$H$92,"&lt;0")</f>
        <v>0</v>
      </c>
      <c r="G162" s="17">
        <f t="shared" ref="G162:G178" si="7">D162+E162-F162</f>
        <v>4935248100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1447070898</v>
      </c>
      <c r="E163" s="25">
        <f>SUMIFS('Daftar Koreksi'!$H$5:$H$92,'Daftar Koreksi'!$D$5:$D$92,'0700'!A158,'Daftar Koreksi'!$G$5:$G$92,"Peralatan dan mesin",'Daftar Koreksi'!$H$5:$H$92,"&gt;0")</f>
        <v>0</v>
      </c>
      <c r="F163" s="25">
        <f>SUMIFS('Daftar Koreksi'!$H$5:$H$92,'Daftar Koreksi'!$D$5:$D$92,'0700'!A158,'Daftar Koreksi'!$G$5:$G$92,"Peralatan dan mesin",'Daftar Koreksi'!$H$5:$H$92,"&lt;0")-SUMIFS('Daftar Koreksi'!$H$5:$H$92,'Daftar Koreksi'!$D$5:$D$92,'0700'!A158,'Daftar Koreksi'!$G$5:$G$92,"Peralatan dan mesin",'Daftar Koreksi'!$H$5:$H$92,"&lt;0")-SUMIFS('Daftar Koreksi'!$H$5:$H$92,'Daftar Koreksi'!$D$5:$D$92,'0700'!A158,'Daftar Koreksi'!$G$5:$G$92,"Peralatan dan mesin",'Daftar Koreksi'!$H$5:$H$92,"&lt;0")</f>
        <v>0</v>
      </c>
      <c r="G163" s="17">
        <f t="shared" si="7"/>
        <v>1447070898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1406801500</v>
      </c>
      <c r="E164" s="25">
        <f>SUMIFS('Daftar Koreksi'!$H$5:$H$92,'Daftar Koreksi'!$D$5:$D$92,'0700'!A158,'Daftar Koreksi'!$G$5:$G$92,"Gedung dan Bangunan",'Daftar Koreksi'!$H$5:$H$92,"&gt;0")</f>
        <v>0</v>
      </c>
      <c r="F164" s="25">
        <f>SUMIFS('Daftar Koreksi'!$H$5:$H$92,'Daftar Koreksi'!$D$5:$D$92,'0700'!A158,'Daftar Koreksi'!$G$5:$G$92,"Gedung dan Bangunan",'Daftar Koreksi'!$H$5:$H$92,"&lt;0")-SUMIFS('Daftar Koreksi'!$H$5:$H$92,'Daftar Koreksi'!$D$5:$D$92,'0700'!A158,'Daftar Koreksi'!$G$5:$G$92,"Gedung dan Bangunan",'Daftar Koreksi'!$H$5:$H$92,"&lt;0")-SUMIFS('Daftar Koreksi'!$H$5:$H$92,'Daftar Koreksi'!$D$5:$D$92,'0700'!A158,'Daftar Koreksi'!$G$5:$G$92,"Gedung dan Bangunan",'Daftar Koreksi'!$H$5:$H$92,"&lt;0")</f>
        <v>0</v>
      </c>
      <c r="G164" s="17">
        <f t="shared" si="7"/>
        <v>1406801500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214265530</v>
      </c>
      <c r="E165" s="25">
        <f>SUMIFS('Daftar Koreksi'!$H$5:$H$92,'Daftar Koreksi'!$D$5:$D$92,'0700'!A158,'Daftar Koreksi'!$G$5:$G$92,"Jalan Irigasi Jaringan",'Daftar Koreksi'!$H$5:$H$92,"&gt;0")</f>
        <v>0</v>
      </c>
      <c r="F165" s="25">
        <f>SUMIFS('Daftar Koreksi'!$H$5:$H$92,'Daftar Koreksi'!$D$5:$D$92,'0700'!A158,'Daftar Koreksi'!$G$5:$G$92,"Jalan Irigasi Jaringan",'Daftar Koreksi'!$H$5:$H$92,"&lt;0")-SUMIFS('Daftar Koreksi'!$H$5:$H$92,'Daftar Koreksi'!$D$5:$D$92,'0700'!A158,'Daftar Koreksi'!$G$5:$G$92,"Jalan Irigasi Jaringan",'Daftar Koreksi'!$H$5:$H$92,"&lt;0")-SUMIFS('Daftar Koreksi'!$H$5:$H$92,'Daftar Koreksi'!$D$5:$D$92,'0700'!A158,'Daftar Koreksi'!$G$5:$G$92,"Jalan Irigasi Jaringan",'Daftar Koreksi'!$H$5:$H$92,"&lt;0")</f>
        <v>0</v>
      </c>
      <c r="G165" s="17">
        <f t="shared" si="7"/>
        <v>214265530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49694040</v>
      </c>
      <c r="E166" s="25">
        <f>SUMIFS('Daftar Koreksi'!$H$5:$H$92,'Daftar Koreksi'!$D$5:$D$92,'0700'!A158,'Daftar Koreksi'!$G$5:$G$92,"Aset Tetap Lainnya",'Daftar Koreksi'!$H$5:$H$92,"&gt;0")</f>
        <v>0</v>
      </c>
      <c r="F166" s="25">
        <f>SUMIFS('Daftar Koreksi'!$H$5:$H$92,'Daftar Koreksi'!$D$5:$D$92,'0700'!A158,'Daftar Koreksi'!$G$5:$G$92,"Aset Tetap Lainnya",'Daftar Koreksi'!$H$5:$H$92,"&lt;0")-SUMIFS('Daftar Koreksi'!$H$5:$H$92,'Daftar Koreksi'!$D$5:$D$92,'0700'!A158,'Daftar Koreksi'!$G$5:$G$92,"Aset Tetap Lainnya",'Daftar Koreksi'!$H$5:$H$92,"&lt;0")-SUMIFS('Daftar Koreksi'!$H$5:$H$92,'Daftar Koreksi'!$D$5:$D$92,'0700'!A158,'Daftar Koreksi'!$G$5:$G$92,"Aset Tetap Lainnya",'Daftar Koreksi'!$H$5:$H$92,"&lt;0")</f>
        <v>0</v>
      </c>
      <c r="G166" s="17">
        <f t="shared" si="7"/>
        <v>49694040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Koreksi'!$D$5:$D$92,'0700'!A158,'Daftar Koreksi'!$G$5:$G$92,"Kontruksi Dalam Pengerjaan",'Daftar Koreksi'!$H$5:$H$92,"&gt;0")</f>
        <v>0</v>
      </c>
      <c r="F167" s="25">
        <f>SUMIFS('Daftar Koreksi'!$H$5:$H$92,'Daftar Koreksi'!$D$5:$D$92,'0700'!A158,'Daftar Koreksi'!$G$5:$G$92,"Kontruksi Dalam Pengerjaan",'Daftar Koreksi'!$H$5:$H$92,"&lt;0")-SUMIFS('Daftar Koreksi'!$H$5:$H$92,'Daftar Koreksi'!$D$5:$D$92,'0700'!A158,'Daftar Koreksi'!$G$5:$G$92,"Kontruksi Dalam Pengerjaan",'Daftar Koreksi'!$H$5:$H$92,"&lt;0")-SUMIFS('Daftar Koreksi'!$H$5:$H$92,'Daftar Koreksi'!$D$5:$D$92,'0700'!A158,'Daftar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Koreksi'!$D$5:$D$92,'0700'!A158,'Daftar Koreksi'!$G$5:$G$92,"Aset Tak Berwujud",'Daftar Koreksi'!$H$5:$H$92,"&gt;0")</f>
        <v>0</v>
      </c>
      <c r="F168" s="25">
        <f>SUMIFS('Daftar Koreksi'!$H$5:$H$92,'Daftar Koreksi'!$D$5:$D$92,'0700'!A158,'Daftar Koreksi'!$G$5:$G$92,"Aset Tak Berwujud",'Daftar Koreksi'!$H$5:$H$92,"&lt;0")-SUMIFS('Daftar Koreksi'!$H$5:$H$92,'Daftar Koreksi'!$D$5:$D$92,'0700'!A158,'Daftar Koreksi'!$G$5:$G$92,"Aset Tak Berwujud",'Daftar Koreksi'!$H$5:$H$92,"&lt;0")-SUMIFS('Daftar Koreksi'!$H$5:$H$92,'Daftar Koreksi'!$D$5:$D$92,'0700'!A158,'Daftar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161737590</v>
      </c>
      <c r="E169" s="25">
        <f>SUMIFS('Daftar Koreksi'!$H$5:$H$92,'Daftar Koreksi'!$D$5:$D$92,'0700'!A158,'Daftar Koreksi'!$G$5:$G$92,"Aset Henti Guna",'Daftar Koreksi'!$H$5:$H$92,"&gt;0")</f>
        <v>0</v>
      </c>
      <c r="F169" s="25">
        <f>SUMIFS('Daftar Koreksi'!$H$5:$H$92,'Daftar Koreksi'!$D$5:$D$92,'0700'!A158,'Daftar Koreksi'!$G$5:$G$92,"Aset Henti Guna",'Daftar Koreksi'!$H$5:$H$92,"&lt;0")-SUMIFS('Daftar Koreksi'!$H$5:$H$92,'Daftar Koreksi'!$D$5:$D$92,'0700'!A158,'Daftar Koreksi'!$G$5:$G$92,"Aset Henti Guna",'Daftar Koreksi'!$H$5:$H$92,"&lt;0")-SUMIFS('Daftar Koreksi'!$H$5:$H$92,'Daftar Koreksi'!$D$5:$D$92,'0700'!A158,'Daftar Koreksi'!$G$5:$G$92,"Aset Henti Guna",'Daftar Koreksi'!$H$5:$H$92,"&lt;0")</f>
        <v>0</v>
      </c>
      <c r="G169" s="17">
        <f t="shared" si="7"/>
        <v>161737590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8217131108</v>
      </c>
      <c r="E170" s="19">
        <f>SUM(E161:E169)</f>
        <v>0</v>
      </c>
      <c r="F170" s="19">
        <f>SUM(F161:F169)</f>
        <v>0</v>
      </c>
      <c r="G170" s="19">
        <f t="shared" si="7"/>
        <v>8217131108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-1045119728</v>
      </c>
      <c r="E171" s="25">
        <f>SUMIFS('Daftar Koreksi'!$I$5:$I$92,'Daftar Koreksi'!$D$5:$D$92,'0700'!A158,'Daftar Koreksi'!$G$5:$G$92,"Peralatan dan mesin",'Daftar Koreksi'!$I$5:$I$92,"&gt;0")</f>
        <v>0</v>
      </c>
      <c r="F171" s="25">
        <f>SUMIFS('Daftar Koreksi'!$I$5:$I$92,'Daftar Koreksi'!$D$5:$D$92,'0700'!A158,'Daftar Koreksi'!$G$5:$G$92,"Peralatan dan mesin",'Daftar Koreksi'!$I$5:$I$92,"&lt;0")-SUMIFS('Daftar Koreksi'!$I$5:$I$92,'Daftar Koreksi'!$D$5:$D$92,'0700'!A158,'Daftar Koreksi'!$G$5:$G$92,"Peralatan dan mesin",'Daftar Koreksi'!$I$5:$I$92,"&lt;0")-SUMIFS('Daftar Koreksi'!$I$5:$I$92,'Daftar Koreksi'!$D$5:$D$92,'0700'!A158,'Daftar Koreksi'!$G$5:$G$92,"Peralatan dan mesin",'Daftar Koreksi'!$I$5:$I$92,"&lt;0")</f>
        <v>0</v>
      </c>
      <c r="G171" s="17">
        <f t="shared" si="7"/>
        <v>-1045119728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-934511153</v>
      </c>
      <c r="E172" s="25">
        <f>SUMIFS('Daftar Koreksi'!$I$5:$I$92,'Daftar Koreksi'!$D$5:$D$92,'0700'!A158,'Daftar Koreksi'!$G$5:$G$92,"Gedung dan Bangunan",'Daftar Koreksi'!$I$5:$I$92,"&gt;0")</f>
        <v>0</v>
      </c>
      <c r="F172" s="25">
        <f>SUMIFS('Daftar Koreksi'!$I$5:$I$92,'Daftar Koreksi'!$D$5:$D$92,'0700'!A158,'Daftar Koreksi'!$G$5:$G$92,"Gedung dan Bangunan",'Daftar Koreksi'!$I$5:$I$92,"&lt;0")-SUMIFS('Daftar Koreksi'!$I$5:$I$92,'Daftar Koreksi'!$D$5:$D$92,'0700'!A158,'Daftar Koreksi'!$G$5:$G$92,"Gedung dan Bangunan",'Daftar Koreksi'!$I$5:$I$92,"&lt;0")-SUMIFS('Daftar Koreksi'!$I$5:$I$92,'Daftar Koreksi'!$D$5:$D$92,'0700'!A158,'Daftar Koreksi'!$G$5:$G$92,"Gedung dan Bangunan",'Daftar Koreksi'!$I$5:$I$92,"&lt;0")</f>
        <v>0</v>
      </c>
      <c r="G172" s="17">
        <f t="shared" si="7"/>
        <v>-934511153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-62729907</v>
      </c>
      <c r="E173" s="25">
        <f>SUMIFS('Daftar Koreksi'!$I$5:$I$92,'Daftar Koreksi'!$D$5:$D$92,'0700'!A158,'Daftar Koreksi'!$G$5:$G$92,"Jalan Irigasi Jaringan",'Daftar Koreksi'!$I$5:$I$92,"&gt;0")</f>
        <v>0</v>
      </c>
      <c r="F173" s="25">
        <f>SUMIFS('Daftar Koreksi'!$I$5:$I$92,'Daftar Koreksi'!$D$5:$D$92,'0700'!A158,'Daftar Koreksi'!$G$5:$G$92,"Jalan Irigasi Jaringan",'Daftar Koreksi'!$I$5:$I$92,"&lt;0")-SUMIFS('Daftar Koreksi'!$I$5:$I$92,'Daftar Koreksi'!$D$5:$D$92,'0700'!A158,'Daftar Koreksi'!$G$5:$G$92,"Jalan Irigasi Jaringan",'Daftar Koreksi'!$I$5:$I$92,"&lt;0")-SUMIFS('Daftar Koreksi'!$I$5:$I$92,'Daftar Koreksi'!$D$5:$D$92,'0700'!A158,'Daftar Koreksi'!$G$5:$G$92,"Jalan Irigasi Jaringan",'Daftar Koreksi'!$I$5:$I$92,"&lt;0")</f>
        <v>0</v>
      </c>
      <c r="G173" s="17">
        <f t="shared" si="7"/>
        <v>-62729907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Koreksi'!$D$5:$D$92,'0700'!A158,'Daftar Koreksi'!$G$5:$G$92,"Aset Tetap Lainnya",'Daftar Koreksi'!$I$5:$I$92,"&gt;0")</f>
        <v>0</v>
      </c>
      <c r="F174" s="25">
        <f>SUMIFS('Daftar Koreksi'!$I$5:$I$92,'Daftar Koreksi'!$D$5:$D$92,'0700'!A158,'Daftar Koreksi'!$G$5:$G$92,"Aset Tetap Lainnya",'Daftar Koreksi'!$I$5:$I$92,"&lt;0")-SUMIFS('Daftar Koreksi'!$I$5:$I$92,'Daftar Koreksi'!$D$5:$D$92,'0700'!A158,'Daftar Koreksi'!$G$5:$G$92,"Aset Tetap Lainnya",'Daftar Koreksi'!$I$5:$I$92,"&lt;0")-SUMIFS('Daftar Koreksi'!$I$5:$I$92,'Daftar Koreksi'!$D$5:$D$92,'0700'!A158,'Daftar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-142993590</v>
      </c>
      <c r="E175" s="25">
        <f>SUMIFS('Daftar Koreksi'!$I$5:$I$92,'Daftar Koreksi'!$D$5:$D$92,'0700'!A158,'Daftar Koreksi'!$G$5:$G$92,"Aset Henti Guna",'Daftar Koreksi'!$I$5:$I$92,"&gt;0")</f>
        <v>0</v>
      </c>
      <c r="F175" s="25">
        <f>SUMIFS('Daftar Koreksi'!$I$5:$I$92,'Daftar Koreksi'!$D$5:$D$92,'0700'!A158,'Daftar Koreksi'!$G$5:$G$92,"Aset Henti Guna",'Daftar Koreksi'!$I$5:$I$92,"&lt;0")-SUMIFS('Daftar Koreksi'!$I$5:$I$92,'Daftar Koreksi'!$D$5:$D$92,'0700'!A158,'Daftar Koreksi'!$G$5:$G$92,"Aset Henti Guna",'Daftar Koreksi'!$I$5:$I$92,"&lt;0")-SUMIFS('Daftar Koreksi'!$I$5:$I$92,'Daftar Koreksi'!$D$5:$D$92,'0700'!A158,'Daftar Koreksi'!$G$5:$G$92,"Aset Henti Guna",'Daftar Koreksi'!$I$5:$I$92,"&lt;0")</f>
        <v>0</v>
      </c>
      <c r="G175" s="17">
        <f t="shared" si="7"/>
        <v>-142993590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-2185354378</v>
      </c>
      <c r="E176" s="19">
        <f>SUM(E171:E175)</f>
        <v>0</v>
      </c>
      <c r="F176" s="19">
        <f>SUM(F171:F175)</f>
        <v>0</v>
      </c>
      <c r="G176" s="19">
        <f t="shared" si="7"/>
        <v>-2185354378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6031776730</v>
      </c>
      <c r="E177" s="19">
        <f>E176+E170</f>
        <v>0</v>
      </c>
      <c r="F177" s="19">
        <f>F176+F170</f>
        <v>0</v>
      </c>
      <c r="G177" s="19">
        <f t="shared" si="7"/>
        <v>6031776730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005010700098696000KD</v>
      </c>
      <c r="B180" s="11" t="str">
        <f>P9</f>
        <v>PN. Gunung Sitoli</v>
      </c>
      <c r="C180" s="12" t="str">
        <f>A180&amp;" "&amp;B180</f>
        <v>005010700098696000KD PN. Gunung Sitoli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184000</v>
      </c>
      <c r="E183" s="25">
        <f>SUMIFS('Daftar Koreksi'!$H$5:$H$92,'Daftar Koreksi'!$D$5:$D$92,'0700'!A180,'Daftar Koreksi'!$G$5:$G$92,"Persediaan",'Daftar Koreksi'!$H$5:$H$92,"&gt;0")</f>
        <v>0</v>
      </c>
      <c r="F183" s="25">
        <f>SUMIFS('Daftar Koreksi'!$H$5:$H$92,'Daftar Koreksi'!$D$5:$D$92,'0700'!A180,'Daftar Koreksi'!$G$5:$G$92,"Persediaan",'Daftar Koreksi'!$H$5:$H$92,"&lt;0")-SUMIFS('Daftar Koreksi'!$H$5:$H$92,'Daftar Koreksi'!$D$5:$D$92,'0700'!A180,'Daftar Koreksi'!$G$5:$G$92,"Persediaan",'Daftar Koreksi'!$H$5:$H$92,"&lt;0")-SUMIFS('Daftar Koreksi'!$H$5:$H$92,'Daftar Koreksi'!$D$5:$D$92,'0700'!A180,'Daftar Koreksi'!$G$5:$G$92,"Persediaan",'Daftar Koreksi'!$H$5:$H$92,"&lt;0")</f>
        <v>0</v>
      </c>
      <c r="G183" s="17">
        <f>D183+E183-F183</f>
        <v>184000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4905689000</v>
      </c>
      <c r="E184" s="25">
        <f>SUMIFS('Daftar Koreksi'!$H$5:$H$92,'Daftar Koreksi'!$D$5:$D$92,'0700'!A180,'Daftar Koreksi'!$G$5:$G$92,"Tanah",'Daftar Koreksi'!$H$5:$H$92,"&gt;0")</f>
        <v>0</v>
      </c>
      <c r="F184" s="25">
        <f>SUMIFS('Daftar Koreksi'!$H$5:$H$92,'Daftar Koreksi'!$D$5:$D$92,'0700'!A180,'Daftar Koreksi'!$G$5:$G$92,"Tanah",'Daftar Koreksi'!$H$5:$H$92,"&lt;0")-SUMIFS('Daftar Koreksi'!$H$5:$H$92,'Daftar Koreksi'!$D$5:$D$92,'0700'!A180,'Daftar Koreksi'!$G$5:$G$92,"Tanah",'Daftar Koreksi'!$H$5:$H$92,"&lt;0")-SUMIFS('Daftar Koreksi'!$H$5:$H$92,'Daftar Koreksi'!$D$5:$D$92,'0700'!A180,'Daftar Koreksi'!$G$5:$G$92,"Tanah",'Daftar Koreksi'!$H$5:$H$92,"&lt;0")</f>
        <v>0</v>
      </c>
      <c r="G184" s="17">
        <f t="shared" ref="G184:G200" si="8">D184+E184-F184</f>
        <v>4905689000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1190373403</v>
      </c>
      <c r="E185" s="25">
        <f>SUMIFS('Daftar Koreksi'!$H$5:$H$92,'Daftar Koreksi'!$D$5:$D$92,'0700'!A180,'Daftar Koreksi'!$G$5:$G$92,"Peralatan dan mesin",'Daftar Koreksi'!$H$5:$H$92,"&gt;0")</f>
        <v>0</v>
      </c>
      <c r="F185" s="25">
        <f>SUMIFS('Daftar Koreksi'!$H$5:$H$92,'Daftar Koreksi'!$D$5:$D$92,'0700'!A180,'Daftar Koreksi'!$G$5:$G$92,"Peralatan dan mesin",'Daftar Koreksi'!$H$5:$H$92,"&lt;0")-SUMIFS('Daftar Koreksi'!$H$5:$H$92,'Daftar Koreksi'!$D$5:$D$92,'0700'!A180,'Daftar Koreksi'!$G$5:$G$92,"Peralatan dan mesin",'Daftar Koreksi'!$H$5:$H$92,"&lt;0")-SUMIFS('Daftar Koreksi'!$H$5:$H$92,'Daftar Koreksi'!$D$5:$D$92,'0700'!A180,'Daftar Koreksi'!$G$5:$G$92,"Peralatan dan mesin",'Daftar Koreksi'!$H$5:$H$92,"&lt;0")</f>
        <v>0</v>
      </c>
      <c r="G185" s="17">
        <f t="shared" si="8"/>
        <v>1190373403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3892566900</v>
      </c>
      <c r="E186" s="25">
        <f>SUMIFS('Daftar Koreksi'!$H$5:$H$92,'Daftar Koreksi'!$D$5:$D$92,'0700'!A180,'Daftar Koreksi'!$G$5:$G$92,"Gedung dan Bangunan",'Daftar Koreksi'!$H$5:$H$92,"&gt;0")</f>
        <v>0</v>
      </c>
      <c r="F186" s="25">
        <f>SUMIFS('Daftar Koreksi'!$H$5:$H$92,'Daftar Koreksi'!$D$5:$D$92,'0700'!A180,'Daftar Koreksi'!$G$5:$G$92,"Gedung dan Bangunan",'Daftar Koreksi'!$H$5:$H$92,"&lt;0")-SUMIFS('Daftar Koreksi'!$H$5:$H$92,'Daftar Koreksi'!$D$5:$D$92,'0700'!A180,'Daftar Koreksi'!$G$5:$G$92,"Gedung dan Bangunan",'Daftar Koreksi'!$H$5:$H$92,"&lt;0")-SUMIFS('Daftar Koreksi'!$H$5:$H$92,'Daftar Koreksi'!$D$5:$D$92,'0700'!A180,'Daftar Koreksi'!$G$5:$G$92,"Gedung dan Bangunan",'Daftar Koreksi'!$H$5:$H$92,"&lt;0")</f>
        <v>0</v>
      </c>
      <c r="G186" s="17">
        <f t="shared" si="8"/>
        <v>3892566900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137000000</v>
      </c>
      <c r="E187" s="25">
        <f>SUMIFS('Daftar Koreksi'!$H$5:$H$92,'Daftar Koreksi'!$D$5:$D$92,'0700'!A180,'Daftar Koreksi'!$G$5:$G$92,"Jalan Irigasi Jaringan",'Daftar Koreksi'!$H$5:$H$92,"&gt;0")</f>
        <v>0</v>
      </c>
      <c r="F187" s="25">
        <f>SUMIFS('Daftar Koreksi'!$H$5:$H$92,'Daftar Koreksi'!$D$5:$D$92,'0700'!A180,'Daftar Koreksi'!$G$5:$G$92,"Jalan Irigasi Jaringan",'Daftar Koreksi'!$H$5:$H$92,"&lt;0")-SUMIFS('Daftar Koreksi'!$H$5:$H$92,'Daftar Koreksi'!$D$5:$D$92,'0700'!A180,'Daftar Koreksi'!$G$5:$G$92,"Jalan Irigasi Jaringan",'Daftar Koreksi'!$H$5:$H$92,"&lt;0")-SUMIFS('Daftar Koreksi'!$H$5:$H$92,'Daftar Koreksi'!$D$5:$D$92,'0700'!A180,'Daftar Koreksi'!$G$5:$G$92,"Jalan Irigasi Jaringan",'Daftar Koreksi'!$H$5:$H$92,"&lt;0")</f>
        <v>0</v>
      </c>
      <c r="G187" s="17">
        <f t="shared" si="8"/>
        <v>137000000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3190440</v>
      </c>
      <c r="E188" s="25">
        <f>SUMIFS('Daftar Koreksi'!$H$5:$H$92,'Daftar Koreksi'!$D$5:$D$92,'0700'!A180,'Daftar Koreksi'!$G$5:$G$92,"Aset Tetap Lainnya",'Daftar Koreksi'!$H$5:$H$92,"&gt;0")</f>
        <v>0</v>
      </c>
      <c r="F188" s="25">
        <f>SUMIFS('Daftar Koreksi'!$H$5:$H$92,'Daftar Koreksi'!$D$5:$D$92,'0700'!A180,'Daftar Koreksi'!$G$5:$G$92,"Aset Tetap Lainnya",'Daftar Koreksi'!$H$5:$H$92,"&lt;0")-SUMIFS('Daftar Koreksi'!$H$5:$H$92,'Daftar Koreksi'!$D$5:$D$92,'0700'!A180,'Daftar Koreksi'!$G$5:$G$92,"Aset Tetap Lainnya",'Daftar Koreksi'!$H$5:$H$92,"&lt;0")-SUMIFS('Daftar Koreksi'!$H$5:$H$92,'Daftar Koreksi'!$D$5:$D$92,'0700'!A180,'Daftar Koreksi'!$G$5:$G$92,"Aset Tetap Lainnya",'Daftar Koreksi'!$H$5:$H$92,"&lt;0")</f>
        <v>0</v>
      </c>
      <c r="G188" s="17">
        <f t="shared" si="8"/>
        <v>3190440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Koreksi'!$D$5:$D$92,'0700'!A180,'Daftar Koreksi'!$G$5:$G$92,"Kontruksi Dalam Pengerjaan",'Daftar Koreksi'!$H$5:$H$92,"&gt;0")</f>
        <v>0</v>
      </c>
      <c r="F189" s="25">
        <f>SUMIFS('Daftar Koreksi'!$H$5:$H$92,'Daftar Koreksi'!$D$5:$D$92,'0700'!A180,'Daftar Koreksi'!$G$5:$G$92,"Kontruksi Dalam Pengerjaan",'Daftar Koreksi'!$H$5:$H$92,"&lt;0")-SUMIFS('Daftar Koreksi'!$H$5:$H$92,'Daftar Koreksi'!$D$5:$D$92,'0700'!A180,'Daftar Koreksi'!$G$5:$G$92,"Kontruksi Dalam Pengerjaan",'Daftar Koreksi'!$H$5:$H$92,"&lt;0")-SUMIFS('Daftar Koreksi'!$H$5:$H$92,'Daftar Koreksi'!$D$5:$D$92,'0700'!A180,'Daftar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Koreksi'!$D$5:$D$92,'0700'!A180,'Daftar Koreksi'!$G$5:$G$92,"Aset Tak Berwujud",'Daftar Koreksi'!$H$5:$H$92,"&gt;0")</f>
        <v>0</v>
      </c>
      <c r="F190" s="25">
        <f>SUMIFS('Daftar Koreksi'!$H$5:$H$92,'Daftar Koreksi'!$D$5:$D$92,'0700'!A180,'Daftar Koreksi'!$G$5:$G$92,"Aset Tak Berwujud",'Daftar Koreksi'!$H$5:$H$92,"&lt;0")-SUMIFS('Daftar Koreksi'!$H$5:$H$92,'Daftar Koreksi'!$D$5:$D$92,'0700'!A180,'Daftar Koreksi'!$G$5:$G$92,"Aset Tak Berwujud",'Daftar Koreksi'!$H$5:$H$92,"&lt;0")-SUMIFS('Daftar Koreksi'!$H$5:$H$92,'Daftar Koreksi'!$D$5:$D$92,'0700'!A180,'Daftar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Koreksi'!$D$5:$D$92,'0700'!A180,'Daftar Koreksi'!$G$5:$G$92,"Aset Henti Guna",'Daftar Koreksi'!$H$5:$H$92,"&gt;0")</f>
        <v>0</v>
      </c>
      <c r="F191" s="25">
        <f>SUMIFS('Daftar Koreksi'!$H$5:$H$92,'Daftar Koreksi'!$D$5:$D$92,'0700'!A180,'Daftar Koreksi'!$G$5:$G$92,"Aset Henti Guna",'Daftar Koreksi'!$H$5:$H$92,"&lt;0")-SUMIFS('Daftar Koreksi'!$H$5:$H$92,'Daftar Koreksi'!$D$5:$D$92,'0700'!A180,'Daftar Koreksi'!$G$5:$G$92,"Aset Henti Guna",'Daftar Koreksi'!$H$5:$H$92,"&lt;0")-SUMIFS('Daftar Koreksi'!$H$5:$H$92,'Daftar Koreksi'!$D$5:$D$92,'0700'!A180,'Daftar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10129003743</v>
      </c>
      <c r="E192" s="19">
        <f>SUM(E183:E191)</f>
        <v>0</v>
      </c>
      <c r="F192" s="19">
        <f>SUM(F183:F191)</f>
        <v>0</v>
      </c>
      <c r="G192" s="19">
        <f t="shared" si="8"/>
        <v>10129003743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-1134822972</v>
      </c>
      <c r="E193" s="25">
        <f>SUMIFS('Daftar Koreksi'!$I$5:$I$92,'Daftar Koreksi'!$D$5:$D$92,'0700'!A180,'Daftar Koreksi'!$G$5:$G$92,"Peralatan dan mesin",'Daftar Koreksi'!$I$5:$I$92,"&gt;0")</f>
        <v>0</v>
      </c>
      <c r="F193" s="25">
        <f>SUMIFS('Daftar Koreksi'!$I$5:$I$92,'Daftar Koreksi'!$D$5:$D$92,'0700'!A180,'Daftar Koreksi'!$G$5:$G$92,"Peralatan dan mesin",'Daftar Koreksi'!$I$5:$I$92,"&lt;0")-SUMIFS('Daftar Koreksi'!$I$5:$I$92,'Daftar Koreksi'!$D$5:$D$92,'0700'!A180,'Daftar Koreksi'!$G$5:$G$92,"Peralatan dan mesin",'Daftar Koreksi'!$I$5:$I$92,"&lt;0")-SUMIFS('Daftar Koreksi'!$I$5:$I$92,'Daftar Koreksi'!$D$5:$D$92,'0700'!A180,'Daftar Koreksi'!$G$5:$G$92,"Peralatan dan mesin",'Daftar Koreksi'!$I$5:$I$92,"&lt;0")</f>
        <v>0</v>
      </c>
      <c r="G193" s="17">
        <f t="shared" si="8"/>
        <v>-1134822972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-465522873</v>
      </c>
      <c r="E194" s="25">
        <f>SUMIFS('Daftar Koreksi'!$I$5:$I$92,'Daftar Koreksi'!$D$5:$D$92,'0700'!A180,'Daftar Koreksi'!$G$5:$G$92,"Gedung dan Bangunan",'Daftar Koreksi'!$I$5:$I$92,"&gt;0")</f>
        <v>0</v>
      </c>
      <c r="F194" s="25">
        <f>SUMIFS('Daftar Koreksi'!$I$5:$I$92,'Daftar Koreksi'!$D$5:$D$92,'0700'!A180,'Daftar Koreksi'!$G$5:$G$92,"Gedung dan Bangunan",'Daftar Koreksi'!$I$5:$I$92,"&lt;0")-SUMIFS('Daftar Koreksi'!$I$5:$I$92,'Daftar Koreksi'!$D$5:$D$92,'0700'!A180,'Daftar Koreksi'!$G$5:$G$92,"Gedung dan Bangunan",'Daftar Koreksi'!$I$5:$I$92,"&lt;0")-SUMIFS('Daftar Koreksi'!$I$5:$I$92,'Daftar Koreksi'!$D$5:$D$92,'0700'!A180,'Daftar Koreksi'!$G$5:$G$92,"Gedung dan Bangunan",'Daftar Koreksi'!$I$5:$I$92,"&lt;0")</f>
        <v>0</v>
      </c>
      <c r="G194" s="17">
        <f t="shared" si="8"/>
        <v>-465522873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-42190000</v>
      </c>
      <c r="E195" s="25">
        <f>SUMIFS('Daftar Koreksi'!$I$5:$I$92,'Daftar Koreksi'!$D$5:$D$92,'0700'!A180,'Daftar Koreksi'!$G$5:$G$92,"Jalan Irigasi Jaringan",'Daftar Koreksi'!$I$5:$I$92,"&gt;0")</f>
        <v>0</v>
      </c>
      <c r="F195" s="25">
        <f>SUMIFS('Daftar Koreksi'!$I$5:$I$92,'Daftar Koreksi'!$D$5:$D$92,'0700'!A180,'Daftar Koreksi'!$G$5:$G$92,"Jalan Irigasi Jaringan",'Daftar Koreksi'!$I$5:$I$92,"&lt;0")-SUMIFS('Daftar Koreksi'!$I$5:$I$92,'Daftar Koreksi'!$D$5:$D$92,'0700'!A180,'Daftar Koreksi'!$G$5:$G$92,"Jalan Irigasi Jaringan",'Daftar Koreksi'!$I$5:$I$92,"&lt;0")-SUMIFS('Daftar Koreksi'!$I$5:$I$92,'Daftar Koreksi'!$D$5:$D$92,'0700'!A180,'Daftar Koreksi'!$G$5:$G$92,"Jalan Irigasi Jaringan",'Daftar Koreksi'!$I$5:$I$92,"&lt;0")</f>
        <v>0</v>
      </c>
      <c r="G195" s="17">
        <f t="shared" si="8"/>
        <v>-42190000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Koreksi'!$D$5:$D$92,'0700'!A180,'Daftar Koreksi'!$G$5:$G$92,"Aset Tetap Lainnya",'Daftar Koreksi'!$I$5:$I$92,"&gt;0")</f>
        <v>0</v>
      </c>
      <c r="F196" s="25">
        <f>SUMIFS('Daftar Koreksi'!$I$5:$I$92,'Daftar Koreksi'!$D$5:$D$92,'0700'!A180,'Daftar Koreksi'!$G$5:$G$92,"Aset Tetap Lainnya",'Daftar Koreksi'!$I$5:$I$92,"&lt;0")-SUMIFS('Daftar Koreksi'!$I$5:$I$92,'Daftar Koreksi'!$D$5:$D$92,'0700'!A180,'Daftar Koreksi'!$G$5:$G$92,"Aset Tetap Lainnya",'Daftar Koreksi'!$I$5:$I$92,"&lt;0")-SUMIFS('Daftar Koreksi'!$I$5:$I$92,'Daftar Koreksi'!$D$5:$D$92,'0700'!A180,'Daftar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Koreksi'!$D$5:$D$92,'0700'!A180,'Daftar Koreksi'!$G$5:$G$92,"Aset Henti Guna",'Daftar Koreksi'!$I$5:$I$92,"&gt;0")</f>
        <v>0</v>
      </c>
      <c r="F197" s="25">
        <f>SUMIFS('Daftar Koreksi'!$I$5:$I$92,'Daftar Koreksi'!$D$5:$D$92,'0700'!A180,'Daftar Koreksi'!$G$5:$G$92,"Aset Henti Guna",'Daftar Koreksi'!$I$5:$I$92,"&lt;0")-SUMIFS('Daftar Koreksi'!$I$5:$I$92,'Daftar Koreksi'!$D$5:$D$92,'0700'!A180,'Daftar Koreksi'!$G$5:$G$92,"Aset Henti Guna",'Daftar Koreksi'!$I$5:$I$92,"&lt;0")-SUMIFS('Daftar Koreksi'!$I$5:$I$92,'Daftar Koreksi'!$D$5:$D$92,'0700'!A180,'Daftar Koreksi'!$G$5:$G$92,"Aset Henti Guna",'Daftar Koreksi'!$I$5:$I$92,"&lt;0")</f>
        <v>0</v>
      </c>
      <c r="G197" s="17">
        <f t="shared" si="8"/>
        <v>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-1642535845</v>
      </c>
      <c r="E198" s="19">
        <f>SUM(E193:E197)</f>
        <v>0</v>
      </c>
      <c r="F198" s="19">
        <f>SUM(F193:F197)</f>
        <v>0</v>
      </c>
      <c r="G198" s="19">
        <f t="shared" si="8"/>
        <v>-1642535845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8486467898</v>
      </c>
      <c r="E199" s="19">
        <f>E198+E192</f>
        <v>0</v>
      </c>
      <c r="F199" s="19">
        <f>F198+F192</f>
        <v>0</v>
      </c>
      <c r="G199" s="19">
        <f t="shared" si="8"/>
        <v>8486467898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005010700098701000KD</v>
      </c>
      <c r="B202" s="11" t="str">
        <f>P10</f>
        <v>PN. Pematang Siantar</v>
      </c>
      <c r="C202" s="12" t="str">
        <f>A202&amp;" "&amp;B202</f>
        <v>005010700098701000KD PN. Pematang Siantar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1855750</v>
      </c>
      <c r="E205" s="25">
        <f>SUMIFS('Daftar Koreksi'!$H$5:$H$92,'Daftar Koreksi'!$D$5:$D$92,'0700'!A202,'Daftar Koreksi'!$G$5:$G$92,"Persediaan",'Daftar Koreksi'!$H$5:$H$92,"&gt;0")</f>
        <v>0</v>
      </c>
      <c r="F205" s="25">
        <f>SUMIFS('Daftar Koreksi'!$H$5:$H$92,'Daftar Koreksi'!$D$5:$D$92,'0700'!A202,'Daftar Koreksi'!$G$5:$G$92,"Persediaan",'Daftar Koreksi'!$H$5:$H$92,"&lt;0")-SUMIFS('Daftar Koreksi'!$H$5:$H$92,'Daftar Koreksi'!$D$5:$D$92,'0700'!A202,'Daftar Koreksi'!$G$5:$G$92,"Persediaan",'Daftar Koreksi'!$H$5:$H$92,"&lt;0")-SUMIFS('Daftar Koreksi'!$H$5:$H$92,'Daftar Koreksi'!$D$5:$D$92,'0700'!A202,'Daftar Koreksi'!$G$5:$G$92,"Persediaan",'Daftar Koreksi'!$H$5:$H$92,"&lt;0")</f>
        <v>0</v>
      </c>
      <c r="G205" s="17">
        <f>D205+E205-F205</f>
        <v>1855750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10049352000</v>
      </c>
      <c r="E206" s="25">
        <f>SUMIFS('Daftar Koreksi'!$H$5:$H$92,'Daftar Koreksi'!$D$5:$D$92,'0700'!A202,'Daftar Koreksi'!$G$5:$G$92,"Tanah",'Daftar Koreksi'!$H$5:$H$92,"&gt;0")</f>
        <v>0</v>
      </c>
      <c r="F206" s="25">
        <f>SUMIFS('Daftar Koreksi'!$H$5:$H$92,'Daftar Koreksi'!$D$5:$D$92,'0700'!A202,'Daftar Koreksi'!$G$5:$G$92,"Tanah",'Daftar Koreksi'!$H$5:$H$92,"&lt;0")-SUMIFS('Daftar Koreksi'!$H$5:$H$92,'Daftar Koreksi'!$D$5:$D$92,'0700'!A202,'Daftar Koreksi'!$G$5:$G$92,"Tanah",'Daftar Koreksi'!$H$5:$H$92,"&lt;0")-SUMIFS('Daftar Koreksi'!$H$5:$H$92,'Daftar Koreksi'!$D$5:$D$92,'0700'!A202,'Daftar Koreksi'!$G$5:$G$92,"Tanah",'Daftar Koreksi'!$H$5:$H$92,"&lt;0")</f>
        <v>0</v>
      </c>
      <c r="G206" s="17">
        <f t="shared" ref="G206:G222" si="9">D206+E206-F206</f>
        <v>10049352000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1007549000</v>
      </c>
      <c r="E207" s="25">
        <f>SUMIFS('Daftar Koreksi'!$H$5:$H$92,'Daftar Koreksi'!$D$5:$D$92,'0700'!A202,'Daftar Koreksi'!$G$5:$G$92,"Peralatan dan mesin",'Daftar Koreksi'!$H$5:$H$92,"&gt;0")</f>
        <v>0</v>
      </c>
      <c r="F207" s="25">
        <f>SUMIFS('Daftar Koreksi'!$H$5:$H$92,'Daftar Koreksi'!$D$5:$D$92,'0700'!A202,'Daftar Koreksi'!$G$5:$G$92,"Peralatan dan mesin",'Daftar Koreksi'!$H$5:$H$92,"&lt;0")-SUMIFS('Daftar Koreksi'!$H$5:$H$92,'Daftar Koreksi'!$D$5:$D$92,'0700'!A202,'Daftar Koreksi'!$G$5:$G$92,"Peralatan dan mesin",'Daftar Koreksi'!$H$5:$H$92,"&lt;0")-SUMIFS('Daftar Koreksi'!$H$5:$H$92,'Daftar Koreksi'!$D$5:$D$92,'0700'!A202,'Daftar Koreksi'!$G$5:$G$92,"Peralatan dan mesin",'Daftar Koreksi'!$H$5:$H$92,"&lt;0")</f>
        <v>0</v>
      </c>
      <c r="G207" s="17">
        <f t="shared" si="9"/>
        <v>1007549000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3651808450</v>
      </c>
      <c r="E208" s="25">
        <f>SUMIFS('Daftar Koreksi'!$H$5:$H$92,'Daftar Koreksi'!$D$5:$D$92,'0700'!A202,'Daftar Koreksi'!$G$5:$G$92,"Gedung dan Bangunan",'Daftar Koreksi'!$H$5:$H$92,"&gt;0")</f>
        <v>0</v>
      </c>
      <c r="F208" s="25">
        <f>SUMIFS('Daftar Koreksi'!$H$5:$H$92,'Daftar Koreksi'!$D$5:$D$92,'0700'!A202,'Daftar Koreksi'!$G$5:$G$92,"Gedung dan Bangunan",'Daftar Koreksi'!$H$5:$H$92,"&lt;0")-SUMIFS('Daftar Koreksi'!$H$5:$H$92,'Daftar Koreksi'!$D$5:$D$92,'0700'!A202,'Daftar Koreksi'!$G$5:$G$92,"Gedung dan Bangunan",'Daftar Koreksi'!$H$5:$H$92,"&lt;0")-SUMIFS('Daftar Koreksi'!$H$5:$H$92,'Daftar Koreksi'!$D$5:$D$92,'0700'!A202,'Daftar Koreksi'!$G$5:$G$92,"Gedung dan Bangunan",'Daftar Koreksi'!$H$5:$H$92,"&lt;0")</f>
        <v>0</v>
      </c>
      <c r="G208" s="17">
        <f t="shared" si="9"/>
        <v>3651808450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143220000</v>
      </c>
      <c r="E209" s="25">
        <f>SUMIFS('Daftar Koreksi'!$H$5:$H$92,'Daftar Koreksi'!$D$5:$D$92,'0700'!A202,'Daftar Koreksi'!$G$5:$G$92,"Jalan Irigasi Jaringan",'Daftar Koreksi'!$H$5:$H$92,"&gt;0")</f>
        <v>0</v>
      </c>
      <c r="F209" s="25">
        <f>SUMIFS('Daftar Koreksi'!$H$5:$H$92,'Daftar Koreksi'!$D$5:$D$92,'0700'!A202,'Daftar Koreksi'!$G$5:$G$92,"Jalan Irigasi Jaringan",'Daftar Koreksi'!$H$5:$H$92,"&lt;0")-SUMIFS('Daftar Koreksi'!$H$5:$H$92,'Daftar Koreksi'!$D$5:$D$92,'0700'!A202,'Daftar Koreksi'!$G$5:$G$92,"Jalan Irigasi Jaringan",'Daftar Koreksi'!$H$5:$H$92,"&lt;0")-SUMIFS('Daftar Koreksi'!$H$5:$H$92,'Daftar Koreksi'!$D$5:$D$92,'0700'!A202,'Daftar Koreksi'!$G$5:$G$92,"Jalan Irigasi Jaringan",'Daftar Koreksi'!$H$5:$H$92,"&lt;0")</f>
        <v>0</v>
      </c>
      <c r="G209" s="17">
        <f t="shared" si="9"/>
        <v>143220000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1943440</v>
      </c>
      <c r="E210" s="25">
        <f>SUMIFS('Daftar Koreksi'!$H$5:$H$92,'Daftar Koreksi'!$D$5:$D$92,'0700'!A202,'Daftar Koreksi'!$G$5:$G$92,"Aset Tetap Lainnya",'Daftar Koreksi'!$H$5:$H$92,"&gt;0")</f>
        <v>0</v>
      </c>
      <c r="F210" s="25">
        <f>SUMIFS('Daftar Koreksi'!$H$5:$H$92,'Daftar Koreksi'!$D$5:$D$92,'0700'!A202,'Daftar Koreksi'!$G$5:$G$92,"Aset Tetap Lainnya",'Daftar Koreksi'!$H$5:$H$92,"&lt;0")-SUMIFS('Daftar Koreksi'!$H$5:$H$92,'Daftar Koreksi'!$D$5:$D$92,'0700'!A202,'Daftar Koreksi'!$G$5:$G$92,"Aset Tetap Lainnya",'Daftar Koreksi'!$H$5:$H$92,"&lt;0")-SUMIFS('Daftar Koreksi'!$H$5:$H$92,'Daftar Koreksi'!$D$5:$D$92,'0700'!A202,'Daftar Koreksi'!$G$5:$G$92,"Aset Tetap Lainnya",'Daftar Koreksi'!$H$5:$H$92,"&lt;0")</f>
        <v>0</v>
      </c>
      <c r="G210" s="17">
        <f t="shared" si="9"/>
        <v>1943440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Koreksi'!$D$5:$D$92,'0700'!A202,'Daftar Koreksi'!$G$5:$G$92,"Kontruksi Dalam Pengerjaan",'Daftar Koreksi'!$H$5:$H$92,"&gt;0")</f>
        <v>0</v>
      </c>
      <c r="F211" s="25">
        <f>SUMIFS('Daftar Koreksi'!$H$5:$H$92,'Daftar Koreksi'!$D$5:$D$92,'0700'!A202,'Daftar Koreksi'!$G$5:$G$92,"Kontruksi Dalam Pengerjaan",'Daftar Koreksi'!$H$5:$H$92,"&lt;0")-SUMIFS('Daftar Koreksi'!$H$5:$H$92,'Daftar Koreksi'!$D$5:$D$92,'0700'!A202,'Daftar Koreksi'!$G$5:$G$92,"Kontruksi Dalam Pengerjaan",'Daftar Koreksi'!$H$5:$H$92,"&lt;0")-SUMIFS('Daftar Koreksi'!$H$5:$H$92,'Daftar Koreksi'!$D$5:$D$92,'0700'!A202,'Daftar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Koreksi'!$D$5:$D$92,'0700'!A202,'Daftar Koreksi'!$G$5:$G$92,"Aset Tak Berwujud",'Daftar Koreksi'!$H$5:$H$92,"&gt;0")</f>
        <v>0</v>
      </c>
      <c r="F212" s="25">
        <f>SUMIFS('Daftar Koreksi'!$H$5:$H$92,'Daftar Koreksi'!$D$5:$D$92,'0700'!A202,'Daftar Koreksi'!$G$5:$G$92,"Aset Tak Berwujud",'Daftar Koreksi'!$H$5:$H$92,"&lt;0")-SUMIFS('Daftar Koreksi'!$H$5:$H$92,'Daftar Koreksi'!$D$5:$D$92,'0700'!A202,'Daftar Koreksi'!$G$5:$G$92,"Aset Tak Berwujud",'Daftar Koreksi'!$H$5:$H$92,"&lt;0")-SUMIFS('Daftar Koreksi'!$H$5:$H$92,'Daftar Koreksi'!$D$5:$D$92,'0700'!A202,'Daftar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22502900</v>
      </c>
      <c r="E213" s="25">
        <f>SUMIFS('Daftar Koreksi'!$H$5:$H$92,'Daftar Koreksi'!$D$5:$D$92,'0700'!A202,'Daftar Koreksi'!$G$5:$G$92,"Aset Henti Guna",'Daftar Koreksi'!$H$5:$H$92,"&gt;0")</f>
        <v>0</v>
      </c>
      <c r="F213" s="25">
        <f>SUMIFS('Daftar Koreksi'!$H$5:$H$92,'Daftar Koreksi'!$D$5:$D$92,'0700'!A202,'Daftar Koreksi'!$G$5:$G$92,"Aset Henti Guna",'Daftar Koreksi'!$H$5:$H$92,"&lt;0")-SUMIFS('Daftar Koreksi'!$H$5:$H$92,'Daftar Koreksi'!$D$5:$D$92,'0700'!A202,'Daftar Koreksi'!$G$5:$G$92,"Aset Henti Guna",'Daftar Koreksi'!$H$5:$H$92,"&lt;0")-SUMIFS('Daftar Koreksi'!$H$5:$H$92,'Daftar Koreksi'!$D$5:$D$92,'0700'!A202,'Daftar Koreksi'!$G$5:$G$92,"Aset Henti Guna",'Daftar Koreksi'!$H$5:$H$92,"&lt;0")</f>
        <v>0</v>
      </c>
      <c r="G213" s="17">
        <f t="shared" si="9"/>
        <v>22502900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14878231540</v>
      </c>
      <c r="E214" s="19">
        <f>SUM(E205:E213)</f>
        <v>0</v>
      </c>
      <c r="F214" s="19">
        <f>SUM(F205:F213)</f>
        <v>0</v>
      </c>
      <c r="G214" s="19">
        <f t="shared" si="9"/>
        <v>14878231540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-866410516</v>
      </c>
      <c r="E215" s="25">
        <f>SUMIFS('Daftar Koreksi'!$I$5:$I$92,'Daftar Koreksi'!$D$5:$D$92,'0700'!A202,'Daftar Koreksi'!$G$5:$G$92,"Peralatan dan mesin",'Daftar Koreksi'!$I$5:$I$92,"&gt;0")</f>
        <v>0</v>
      </c>
      <c r="F215" s="25">
        <f>SUMIFS('Daftar Koreksi'!$I$5:$I$92,'Daftar Koreksi'!$D$5:$D$92,'0700'!A202,'Daftar Koreksi'!$G$5:$G$92,"Peralatan dan mesin",'Daftar Koreksi'!$I$5:$I$92,"&lt;0")-SUMIFS('Daftar Koreksi'!$I$5:$I$92,'Daftar Koreksi'!$D$5:$D$92,'0700'!A202,'Daftar Koreksi'!$G$5:$G$92,"Peralatan dan mesin",'Daftar Koreksi'!$I$5:$I$92,"&lt;0")-SUMIFS('Daftar Koreksi'!$I$5:$I$92,'Daftar Koreksi'!$D$5:$D$92,'0700'!A202,'Daftar Koreksi'!$G$5:$G$92,"Peralatan dan mesin",'Daftar Koreksi'!$I$5:$I$92,"&lt;0")</f>
        <v>0</v>
      </c>
      <c r="G215" s="17">
        <f t="shared" si="9"/>
        <v>-866410516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-2994461890</v>
      </c>
      <c r="E216" s="25">
        <f>SUMIFS('Daftar Koreksi'!$I$5:$I$92,'Daftar Koreksi'!$D$5:$D$92,'0700'!A202,'Daftar Koreksi'!$G$5:$G$92,"Gedung dan Bangunan",'Daftar Koreksi'!$I$5:$I$92,"&gt;0")</f>
        <v>0</v>
      </c>
      <c r="F216" s="25">
        <f>SUMIFS('Daftar Koreksi'!$I$5:$I$92,'Daftar Koreksi'!$D$5:$D$92,'0700'!A202,'Daftar Koreksi'!$G$5:$G$92,"Gedung dan Bangunan",'Daftar Koreksi'!$I$5:$I$92,"&lt;0")-SUMIFS('Daftar Koreksi'!$I$5:$I$92,'Daftar Koreksi'!$D$5:$D$92,'0700'!A202,'Daftar Koreksi'!$G$5:$G$92,"Gedung dan Bangunan",'Daftar Koreksi'!$I$5:$I$92,"&lt;0")-SUMIFS('Daftar Koreksi'!$I$5:$I$92,'Daftar Koreksi'!$D$5:$D$92,'0700'!A202,'Daftar Koreksi'!$G$5:$G$92,"Gedung dan Bangunan",'Daftar Koreksi'!$I$5:$I$92,"&lt;0")</f>
        <v>0</v>
      </c>
      <c r="G216" s="17">
        <f t="shared" si="9"/>
        <v>-2994461890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-22313500</v>
      </c>
      <c r="E217" s="25">
        <f>SUMIFS('Daftar Koreksi'!$I$5:$I$92,'Daftar Koreksi'!$D$5:$D$92,'0700'!A202,'Daftar Koreksi'!$G$5:$G$92,"Jalan Irigasi Jaringan",'Daftar Koreksi'!$I$5:$I$92,"&gt;0")</f>
        <v>0</v>
      </c>
      <c r="F217" s="25">
        <f>SUMIFS('Daftar Koreksi'!$I$5:$I$92,'Daftar Koreksi'!$D$5:$D$92,'0700'!A202,'Daftar Koreksi'!$G$5:$G$92,"Jalan Irigasi Jaringan",'Daftar Koreksi'!$I$5:$I$92,"&lt;0")-SUMIFS('Daftar Koreksi'!$I$5:$I$92,'Daftar Koreksi'!$D$5:$D$92,'0700'!A202,'Daftar Koreksi'!$G$5:$G$92,"Jalan Irigasi Jaringan",'Daftar Koreksi'!$I$5:$I$92,"&lt;0")-SUMIFS('Daftar Koreksi'!$I$5:$I$92,'Daftar Koreksi'!$D$5:$D$92,'0700'!A202,'Daftar Koreksi'!$G$5:$G$92,"Jalan Irigasi Jaringan",'Daftar Koreksi'!$I$5:$I$92,"&lt;0")</f>
        <v>0</v>
      </c>
      <c r="G217" s="17">
        <f t="shared" si="9"/>
        <v>-22313500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Koreksi'!$D$5:$D$92,'0700'!A202,'Daftar Koreksi'!$G$5:$G$92,"Aset Tetap Lainnya",'Daftar Koreksi'!$I$5:$I$92,"&gt;0")</f>
        <v>0</v>
      </c>
      <c r="F218" s="25">
        <f>SUMIFS('Daftar Koreksi'!$I$5:$I$92,'Daftar Koreksi'!$D$5:$D$92,'0700'!A202,'Daftar Koreksi'!$G$5:$G$92,"Aset Tetap Lainnya",'Daftar Koreksi'!$I$5:$I$92,"&lt;0")-SUMIFS('Daftar Koreksi'!$I$5:$I$92,'Daftar Koreksi'!$D$5:$D$92,'0700'!A202,'Daftar Koreksi'!$G$5:$G$92,"Aset Tetap Lainnya",'Daftar Koreksi'!$I$5:$I$92,"&lt;0")-SUMIFS('Daftar Koreksi'!$I$5:$I$92,'Daftar Koreksi'!$D$5:$D$92,'0700'!A202,'Daftar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-22502900</v>
      </c>
      <c r="E219" s="25">
        <f>SUMIFS('Daftar Koreksi'!$I$5:$I$92,'Daftar Koreksi'!$D$5:$D$92,'0700'!A202,'Daftar Koreksi'!$G$5:$G$92,"Aset Henti Guna",'Daftar Koreksi'!$I$5:$I$92,"&gt;0")</f>
        <v>0</v>
      </c>
      <c r="F219" s="25">
        <f>SUMIFS('Daftar Koreksi'!$I$5:$I$92,'Daftar Koreksi'!$D$5:$D$92,'0700'!A202,'Daftar Koreksi'!$G$5:$G$92,"Aset Henti Guna",'Daftar Koreksi'!$I$5:$I$92,"&lt;0")-SUMIFS('Daftar Koreksi'!$I$5:$I$92,'Daftar Koreksi'!$D$5:$D$92,'0700'!A202,'Daftar Koreksi'!$G$5:$G$92,"Aset Henti Guna",'Daftar Koreksi'!$I$5:$I$92,"&lt;0")-SUMIFS('Daftar Koreksi'!$I$5:$I$92,'Daftar Koreksi'!$D$5:$D$92,'0700'!A202,'Daftar Koreksi'!$G$5:$G$92,"Aset Henti Guna",'Daftar Koreksi'!$I$5:$I$92,"&lt;0")</f>
        <v>0</v>
      </c>
      <c r="G219" s="17">
        <f t="shared" si="9"/>
        <v>-22502900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-3905688806</v>
      </c>
      <c r="E220" s="19">
        <f>SUM(E215:E219)</f>
        <v>0</v>
      </c>
      <c r="F220" s="19">
        <f>SUM(F215:F219)</f>
        <v>0</v>
      </c>
      <c r="G220" s="19">
        <f t="shared" si="9"/>
        <v>-3905688806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10972542734</v>
      </c>
      <c r="E221" s="19">
        <f>E220+E214</f>
        <v>0</v>
      </c>
      <c r="F221" s="19">
        <f>F220+F214</f>
        <v>0</v>
      </c>
      <c r="G221" s="19">
        <f t="shared" si="9"/>
        <v>10972542734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005010700098718000KD</v>
      </c>
      <c r="B224" s="11" t="str">
        <f>P11</f>
        <v>PN. Tarutung</v>
      </c>
      <c r="C224" s="12" t="str">
        <f>A224&amp;" "&amp;B224</f>
        <v>005010700098718000KD PN. Tarutung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2800000</v>
      </c>
      <c r="E227" s="25">
        <f>SUMIFS('Daftar Koreksi'!$H$5:$H$92,'Daftar Koreksi'!$D$5:$D$92,'0700'!A224,'Daftar Koreksi'!$G$5:$G$92,"Persediaan",'Daftar Koreksi'!$H$5:$H$92,"&gt;0")</f>
        <v>0</v>
      </c>
      <c r="F227" s="25">
        <f>SUMIFS('Daftar Koreksi'!$H$5:$H$92,'Daftar Koreksi'!$D$5:$D$92,'0700'!A224,'Daftar Koreksi'!$G$5:$G$92,"Persediaan",'Daftar Koreksi'!$H$5:$H$92,"&lt;0")-SUMIFS('Daftar Koreksi'!$H$5:$H$92,'Daftar Koreksi'!$D$5:$D$92,'0700'!A224,'Daftar Koreksi'!$G$5:$G$92,"Persediaan",'Daftar Koreksi'!$H$5:$H$92,"&lt;0")-SUMIFS('Daftar Koreksi'!$H$5:$H$92,'Daftar Koreksi'!$D$5:$D$92,'0700'!A224,'Daftar Koreksi'!$G$5:$G$92,"Persediaan",'Daftar Koreksi'!$H$5:$H$92,"&lt;0")</f>
        <v>0</v>
      </c>
      <c r="G227" s="17">
        <f>D227+E227-F227</f>
        <v>2800000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4725460000</v>
      </c>
      <c r="E228" s="25">
        <f>SUMIFS('Daftar Koreksi'!$H$5:$H$92,'Daftar Koreksi'!$D$5:$D$92,'0700'!A224,'Daftar Koreksi'!$G$5:$G$92,"Tanah",'Daftar Koreksi'!$H$5:$H$92,"&gt;0")</f>
        <v>0</v>
      </c>
      <c r="F228" s="25">
        <f>SUMIFS('Daftar Koreksi'!$H$5:$H$92,'Daftar Koreksi'!$D$5:$D$92,'0700'!A224,'Daftar Koreksi'!$G$5:$G$92,"Tanah",'Daftar Koreksi'!$H$5:$H$92,"&lt;0")-SUMIFS('Daftar Koreksi'!$H$5:$H$92,'Daftar Koreksi'!$D$5:$D$92,'0700'!A224,'Daftar Koreksi'!$G$5:$G$92,"Tanah",'Daftar Koreksi'!$H$5:$H$92,"&lt;0")-SUMIFS('Daftar Koreksi'!$H$5:$H$92,'Daftar Koreksi'!$D$5:$D$92,'0700'!A224,'Daftar Koreksi'!$G$5:$G$92,"Tanah",'Daftar Koreksi'!$H$5:$H$92,"&lt;0")</f>
        <v>0</v>
      </c>
      <c r="G228" s="17">
        <f t="shared" ref="G228:G244" si="10">D228+E228-F228</f>
        <v>4725460000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1632728664</v>
      </c>
      <c r="E229" s="25">
        <f>SUMIFS('Daftar Koreksi'!$H$5:$H$92,'Daftar Koreksi'!$D$5:$D$92,'0700'!A224,'Daftar Koreksi'!$G$5:$G$92,"Peralatan dan mesin",'Daftar Koreksi'!$H$5:$H$92,"&gt;0")</f>
        <v>0</v>
      </c>
      <c r="F229" s="25">
        <f>SUMIFS('Daftar Koreksi'!$H$5:$H$92,'Daftar Koreksi'!$D$5:$D$92,'0700'!A224,'Daftar Koreksi'!$G$5:$G$92,"Peralatan dan mesin",'Daftar Koreksi'!$H$5:$H$92,"&lt;0")-SUMIFS('Daftar Koreksi'!$H$5:$H$92,'Daftar Koreksi'!$D$5:$D$92,'0700'!A224,'Daftar Koreksi'!$G$5:$G$92,"Peralatan dan mesin",'Daftar Koreksi'!$H$5:$H$92,"&lt;0")-SUMIFS('Daftar Koreksi'!$H$5:$H$92,'Daftar Koreksi'!$D$5:$D$92,'0700'!A224,'Daftar Koreksi'!$G$5:$G$92,"Peralatan dan mesin",'Daftar Koreksi'!$H$5:$H$92,"&lt;0")</f>
        <v>0</v>
      </c>
      <c r="G229" s="17">
        <f t="shared" si="10"/>
        <v>1632728664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11961511320</v>
      </c>
      <c r="E230" s="25">
        <f>SUMIFS('Daftar Koreksi'!$H$5:$H$92,'Daftar Koreksi'!$D$5:$D$92,'0700'!A224,'Daftar Koreksi'!$G$5:$G$92,"Gedung dan Bangunan",'Daftar Koreksi'!$H$5:$H$92,"&gt;0")</f>
        <v>0</v>
      </c>
      <c r="F230" s="25">
        <f>SUMIFS('Daftar Koreksi'!$H$5:$H$92,'Daftar Koreksi'!$D$5:$D$92,'0700'!A224,'Daftar Koreksi'!$G$5:$G$92,"Gedung dan Bangunan",'Daftar Koreksi'!$H$5:$H$92,"&lt;0")-SUMIFS('Daftar Koreksi'!$H$5:$H$92,'Daftar Koreksi'!$D$5:$D$92,'0700'!A224,'Daftar Koreksi'!$G$5:$G$92,"Gedung dan Bangunan",'Daftar Koreksi'!$H$5:$H$92,"&lt;0")-SUMIFS('Daftar Koreksi'!$H$5:$H$92,'Daftar Koreksi'!$D$5:$D$92,'0700'!A224,'Daftar Koreksi'!$G$5:$G$92,"Gedung dan Bangunan",'Daftar Koreksi'!$H$5:$H$92,"&lt;0")</f>
        <v>0</v>
      </c>
      <c r="G230" s="17">
        <f t="shared" si="10"/>
        <v>11961511320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Koreksi'!$D$5:$D$92,'0700'!A224,'Daftar Koreksi'!$G$5:$G$92,"Jalan Irigasi Jaringan",'Daftar Koreksi'!$H$5:$H$92,"&gt;0")</f>
        <v>0</v>
      </c>
      <c r="F231" s="25">
        <f>SUMIFS('Daftar Koreksi'!$H$5:$H$92,'Daftar Koreksi'!$D$5:$D$92,'0700'!A224,'Daftar Koreksi'!$G$5:$G$92,"Jalan Irigasi Jaringan",'Daftar Koreksi'!$H$5:$H$92,"&lt;0")-SUMIFS('Daftar Koreksi'!$H$5:$H$92,'Daftar Koreksi'!$D$5:$D$92,'0700'!A224,'Daftar Koreksi'!$G$5:$G$92,"Jalan Irigasi Jaringan",'Daftar Koreksi'!$H$5:$H$92,"&lt;0")-SUMIFS('Daftar Koreksi'!$H$5:$H$92,'Daftar Koreksi'!$D$5:$D$92,'0700'!A224,'Daftar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152521610</v>
      </c>
      <c r="E232" s="25">
        <f>SUMIFS('Daftar Koreksi'!$H$5:$H$92,'Daftar Koreksi'!$D$5:$D$92,'0700'!A224,'Daftar Koreksi'!$G$5:$G$92,"Aset Tetap Lainnya",'Daftar Koreksi'!$H$5:$H$92,"&gt;0")</f>
        <v>0</v>
      </c>
      <c r="F232" s="25">
        <f>SUMIFS('Daftar Koreksi'!$H$5:$H$92,'Daftar Koreksi'!$D$5:$D$92,'0700'!A224,'Daftar Koreksi'!$G$5:$G$92,"Aset Tetap Lainnya",'Daftar Koreksi'!$H$5:$H$92,"&lt;0")-SUMIFS('Daftar Koreksi'!$H$5:$H$92,'Daftar Koreksi'!$D$5:$D$92,'0700'!A224,'Daftar Koreksi'!$G$5:$G$92,"Aset Tetap Lainnya",'Daftar Koreksi'!$H$5:$H$92,"&lt;0")-SUMIFS('Daftar Koreksi'!$H$5:$H$92,'Daftar Koreksi'!$D$5:$D$92,'0700'!A224,'Daftar Koreksi'!$G$5:$G$92,"Aset Tetap Lainnya",'Daftar Koreksi'!$H$5:$H$92,"&lt;0")</f>
        <v>0</v>
      </c>
      <c r="G232" s="17">
        <f t="shared" si="10"/>
        <v>152521610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Koreksi'!$D$5:$D$92,'0700'!A224,'Daftar Koreksi'!$G$5:$G$92,"Kontruksi Dalam Pengerjaan",'Daftar Koreksi'!$H$5:$H$92,"&gt;0")</f>
        <v>0</v>
      </c>
      <c r="F233" s="25">
        <f>SUMIFS('Daftar Koreksi'!$H$5:$H$92,'Daftar Koreksi'!$D$5:$D$92,'0700'!A224,'Daftar Koreksi'!$G$5:$G$92,"Kontruksi Dalam Pengerjaan",'Daftar Koreksi'!$H$5:$H$92,"&lt;0")-SUMIFS('Daftar Koreksi'!$H$5:$H$92,'Daftar Koreksi'!$D$5:$D$92,'0700'!A224,'Daftar Koreksi'!$G$5:$G$92,"Kontruksi Dalam Pengerjaan",'Daftar Koreksi'!$H$5:$H$92,"&lt;0")-SUMIFS('Daftar Koreksi'!$H$5:$H$92,'Daftar Koreksi'!$D$5:$D$92,'0700'!A224,'Daftar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38500000</v>
      </c>
      <c r="E234" s="25">
        <f>SUMIFS('Daftar Koreksi'!$H$5:$H$92,'Daftar Koreksi'!$D$5:$D$92,'0700'!A224,'Daftar Koreksi'!$G$5:$G$92,"Aset Tak Berwujud",'Daftar Koreksi'!$H$5:$H$92,"&gt;0")</f>
        <v>0</v>
      </c>
      <c r="F234" s="25">
        <f>SUMIFS('Daftar Koreksi'!$H$5:$H$92,'Daftar Koreksi'!$D$5:$D$92,'0700'!A224,'Daftar Koreksi'!$G$5:$G$92,"Aset Tak Berwujud",'Daftar Koreksi'!$H$5:$H$92,"&lt;0")-SUMIFS('Daftar Koreksi'!$H$5:$H$92,'Daftar Koreksi'!$D$5:$D$92,'0700'!A224,'Daftar Koreksi'!$G$5:$G$92,"Aset Tak Berwujud",'Daftar Koreksi'!$H$5:$H$92,"&lt;0")-SUMIFS('Daftar Koreksi'!$H$5:$H$92,'Daftar Koreksi'!$D$5:$D$92,'0700'!A224,'Daftar Koreksi'!$G$5:$G$92,"Aset Tak Berwujud",'Daftar Koreksi'!$H$5:$H$92,"&lt;0")</f>
        <v>0</v>
      </c>
      <c r="G234" s="17">
        <f t="shared" si="10"/>
        <v>38500000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0</v>
      </c>
      <c r="E235" s="25">
        <f>SUMIFS('Daftar Koreksi'!$H$5:$H$92,'Daftar Koreksi'!$D$5:$D$92,'0700'!A224,'Daftar Koreksi'!$G$5:$G$92,"Aset Henti Guna",'Daftar Koreksi'!$H$5:$H$92,"&gt;0")</f>
        <v>0</v>
      </c>
      <c r="F235" s="25">
        <f>SUMIFS('Daftar Koreksi'!$H$5:$H$92,'Daftar Koreksi'!$D$5:$D$92,'0700'!A224,'Daftar Koreksi'!$G$5:$G$92,"Aset Henti Guna",'Daftar Koreksi'!$H$5:$H$92,"&lt;0")-SUMIFS('Daftar Koreksi'!$H$5:$H$92,'Daftar Koreksi'!$D$5:$D$92,'0700'!A224,'Daftar Koreksi'!$G$5:$G$92,"Aset Henti Guna",'Daftar Koreksi'!$H$5:$H$92,"&lt;0")-SUMIFS('Daftar Koreksi'!$H$5:$H$92,'Daftar Koreksi'!$D$5:$D$92,'0700'!A224,'Daftar Koreksi'!$G$5:$G$92,"Aset Henti Guna",'Daftar Koreksi'!$H$5:$H$92,"&lt;0")</f>
        <v>0</v>
      </c>
      <c r="G235" s="17">
        <f t="shared" si="10"/>
        <v>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18513521594</v>
      </c>
      <c r="E236" s="19">
        <f>SUM(E227:E235)</f>
        <v>0</v>
      </c>
      <c r="F236" s="19">
        <f>SUM(F227:F235)</f>
        <v>0</v>
      </c>
      <c r="G236" s="19">
        <f t="shared" si="10"/>
        <v>18513521594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-1415393237</v>
      </c>
      <c r="E237" s="25">
        <f>SUMIFS('Daftar Koreksi'!$I$5:$I$92,'Daftar Koreksi'!$D$5:$D$92,'0700'!A224,'Daftar Koreksi'!$G$5:$G$92,"Peralatan dan mesin",'Daftar Koreksi'!$I$5:$I$92,"&gt;0")</f>
        <v>0</v>
      </c>
      <c r="F237" s="25">
        <f>SUMIFS('Daftar Koreksi'!$I$5:$I$92,'Daftar Koreksi'!$D$5:$D$92,'0700'!A224,'Daftar Koreksi'!$G$5:$G$92,"Peralatan dan mesin",'Daftar Koreksi'!$I$5:$I$92,"&lt;0")-SUMIFS('Daftar Koreksi'!$I$5:$I$92,'Daftar Koreksi'!$D$5:$D$92,'0700'!A224,'Daftar Koreksi'!$G$5:$G$92,"Peralatan dan mesin",'Daftar Koreksi'!$I$5:$I$92,"&lt;0")-SUMIFS('Daftar Koreksi'!$I$5:$I$92,'Daftar Koreksi'!$D$5:$D$92,'0700'!A224,'Daftar Koreksi'!$G$5:$G$92,"Peralatan dan mesin",'Daftar Koreksi'!$I$5:$I$92,"&lt;0")</f>
        <v>0</v>
      </c>
      <c r="G237" s="17">
        <f t="shared" si="10"/>
        <v>-1415393237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-1604497939</v>
      </c>
      <c r="E238" s="25">
        <f>SUMIFS('Daftar Koreksi'!$I$5:$I$92,'Daftar Koreksi'!$D$5:$D$92,'0700'!A224,'Daftar Koreksi'!$G$5:$G$92,"Gedung dan Bangunan",'Daftar Koreksi'!$I$5:$I$92,"&gt;0")</f>
        <v>0</v>
      </c>
      <c r="F238" s="25">
        <f>SUMIFS('Daftar Koreksi'!$I$5:$I$92,'Daftar Koreksi'!$D$5:$D$92,'0700'!A224,'Daftar Koreksi'!$G$5:$G$92,"Gedung dan Bangunan",'Daftar Koreksi'!$I$5:$I$92,"&lt;0")-SUMIFS('Daftar Koreksi'!$I$5:$I$92,'Daftar Koreksi'!$D$5:$D$92,'0700'!A224,'Daftar Koreksi'!$G$5:$G$92,"Gedung dan Bangunan",'Daftar Koreksi'!$I$5:$I$92,"&lt;0")-SUMIFS('Daftar Koreksi'!$I$5:$I$92,'Daftar Koreksi'!$D$5:$D$92,'0700'!A224,'Daftar Koreksi'!$G$5:$G$92,"Gedung dan Bangunan",'Daftar Koreksi'!$I$5:$I$92,"&lt;0")</f>
        <v>0</v>
      </c>
      <c r="G238" s="17">
        <f t="shared" si="10"/>
        <v>-1604497939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Koreksi'!$D$5:$D$92,'0700'!A224,'Daftar Koreksi'!$G$5:$G$92,"Jalan Irigasi Jaringan",'Daftar Koreksi'!$I$5:$I$92,"&gt;0")</f>
        <v>0</v>
      </c>
      <c r="F239" s="25">
        <f>SUMIFS('Daftar Koreksi'!$I$5:$I$92,'Daftar Koreksi'!$D$5:$D$92,'0700'!A224,'Daftar Koreksi'!$G$5:$G$92,"Jalan Irigasi Jaringan",'Daftar Koreksi'!$I$5:$I$92,"&lt;0")-SUMIFS('Daftar Koreksi'!$I$5:$I$92,'Daftar Koreksi'!$D$5:$D$92,'0700'!A224,'Daftar Koreksi'!$G$5:$G$92,"Jalan Irigasi Jaringan",'Daftar Koreksi'!$I$5:$I$92,"&lt;0")-SUMIFS('Daftar Koreksi'!$I$5:$I$92,'Daftar Koreksi'!$D$5:$D$92,'0700'!A224,'Daftar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Koreksi'!$D$5:$D$92,'0700'!A224,'Daftar Koreksi'!$G$5:$G$92,"Aset Tetap Lainnya",'Daftar Koreksi'!$I$5:$I$92,"&gt;0")</f>
        <v>0</v>
      </c>
      <c r="F240" s="25">
        <f>SUMIFS('Daftar Koreksi'!$I$5:$I$92,'Daftar Koreksi'!$D$5:$D$92,'0700'!A224,'Daftar Koreksi'!$G$5:$G$92,"Aset Tetap Lainnya",'Daftar Koreksi'!$I$5:$I$92,"&lt;0")-SUMIFS('Daftar Koreksi'!$I$5:$I$92,'Daftar Koreksi'!$D$5:$D$92,'0700'!A224,'Daftar Koreksi'!$G$5:$G$92,"Aset Tetap Lainnya",'Daftar Koreksi'!$I$5:$I$92,"&lt;0")-SUMIFS('Daftar Koreksi'!$I$5:$I$92,'Daftar Koreksi'!$D$5:$D$92,'0700'!A224,'Daftar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0</v>
      </c>
      <c r="E241" s="25">
        <f>SUMIFS('Daftar Koreksi'!$I$5:$I$92,'Daftar Koreksi'!$D$5:$D$92,'0700'!A224,'Daftar Koreksi'!$G$5:$G$92,"Aset Henti Guna",'Daftar Koreksi'!$I$5:$I$92,"&gt;0")</f>
        <v>0</v>
      </c>
      <c r="F241" s="25">
        <f>SUMIFS('Daftar Koreksi'!$I$5:$I$92,'Daftar Koreksi'!$D$5:$D$92,'0700'!A224,'Daftar Koreksi'!$G$5:$G$92,"Aset Henti Guna",'Daftar Koreksi'!$I$5:$I$92,"&lt;0")-SUMIFS('Daftar Koreksi'!$I$5:$I$92,'Daftar Koreksi'!$D$5:$D$92,'0700'!A224,'Daftar Koreksi'!$G$5:$G$92,"Aset Henti Guna",'Daftar Koreksi'!$I$5:$I$92,"&lt;0")-SUMIFS('Daftar Koreksi'!$I$5:$I$92,'Daftar Koreksi'!$D$5:$D$92,'0700'!A224,'Daftar Koreksi'!$G$5:$G$92,"Aset Henti Guna",'Daftar Koreksi'!$I$5:$I$92,"&lt;0")</f>
        <v>0</v>
      </c>
      <c r="G241" s="17">
        <f t="shared" si="10"/>
        <v>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-3019891176</v>
      </c>
      <c r="E242" s="19">
        <f>SUM(E237:E241)</f>
        <v>0</v>
      </c>
      <c r="F242" s="19">
        <f>SUM(F237:F241)</f>
        <v>0</v>
      </c>
      <c r="G242" s="19">
        <f t="shared" si="10"/>
        <v>-3019891176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15493630418</v>
      </c>
      <c r="E243" s="19">
        <f>E242+E236</f>
        <v>0</v>
      </c>
      <c r="F243" s="19">
        <f>F242+F236</f>
        <v>0</v>
      </c>
      <c r="G243" s="19">
        <f t="shared" si="10"/>
        <v>15493630418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005010700098722000KD</v>
      </c>
      <c r="B246" s="11" t="str">
        <f>P12</f>
        <v>PN. Padang Sidempuan</v>
      </c>
      <c r="C246" s="12" t="str">
        <f>A246&amp;" "&amp;B246</f>
        <v>005010700098722000KD PN. Padang Sidempuan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210000</v>
      </c>
      <c r="E249" s="25">
        <f>SUMIFS('Daftar Koreksi'!$H$5:$H$92,'Daftar Koreksi'!$D$5:$D$92,'0700'!A246,'Daftar Koreksi'!$G$5:$G$92,"Persediaan",'Daftar Koreksi'!$H$5:$H$92,"&gt;0")</f>
        <v>0</v>
      </c>
      <c r="F249" s="25">
        <f>SUMIFS('Daftar Koreksi'!$H$5:$H$92,'Daftar Koreksi'!$D$5:$D$92,'0700'!A246,'Daftar Koreksi'!$G$5:$G$92,"Persediaan",'Daftar Koreksi'!$H$5:$H$92,"&lt;0")-SUMIFS('Daftar Koreksi'!$H$5:$H$92,'Daftar Koreksi'!$D$5:$D$92,'0700'!A246,'Daftar Koreksi'!$G$5:$G$92,"Persediaan",'Daftar Koreksi'!$H$5:$H$92,"&lt;0")-SUMIFS('Daftar Koreksi'!$H$5:$H$92,'Daftar Koreksi'!$D$5:$D$92,'0700'!A246,'Daftar Koreksi'!$G$5:$G$92,"Persediaan",'Daftar Koreksi'!$H$5:$H$92,"&lt;0")</f>
        <v>0</v>
      </c>
      <c r="G249" s="17">
        <f>D249+E249-F249</f>
        <v>210000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2694512814</v>
      </c>
      <c r="E250" s="25">
        <f>SUMIFS('Daftar Koreksi'!$H$5:$H$92,'Daftar Koreksi'!$D$5:$D$92,'0700'!A246,'Daftar Koreksi'!$G$5:$G$92,"Tanah",'Daftar Koreksi'!$H$5:$H$92,"&gt;0")</f>
        <v>0</v>
      </c>
      <c r="F250" s="25">
        <f>SUMIFS('Daftar Koreksi'!$H$5:$H$92,'Daftar Koreksi'!$D$5:$D$92,'0700'!A246,'Daftar Koreksi'!$G$5:$G$92,"Tanah",'Daftar Koreksi'!$H$5:$H$92,"&lt;0")-SUMIFS('Daftar Koreksi'!$H$5:$H$92,'Daftar Koreksi'!$D$5:$D$92,'0700'!A246,'Daftar Koreksi'!$G$5:$G$92,"Tanah",'Daftar Koreksi'!$H$5:$H$92,"&lt;0")-SUMIFS('Daftar Koreksi'!$H$5:$H$92,'Daftar Koreksi'!$D$5:$D$92,'0700'!A246,'Daftar Koreksi'!$G$5:$G$92,"Tanah",'Daftar Koreksi'!$H$5:$H$92,"&lt;0")</f>
        <v>0</v>
      </c>
      <c r="G250" s="17">
        <f t="shared" ref="G250:G266" si="11">D250+E250-F250</f>
        <v>2694512814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1194299285</v>
      </c>
      <c r="E251" s="25">
        <f>SUMIFS('Daftar Koreksi'!$H$5:$H$92,'Daftar Koreksi'!$D$5:$D$92,'0700'!A246,'Daftar Koreksi'!$G$5:$G$92,"Peralatan dan mesin",'Daftar Koreksi'!$H$5:$H$92,"&gt;0")</f>
        <v>0</v>
      </c>
      <c r="F251" s="25">
        <f>SUMIFS('Daftar Koreksi'!$H$5:$H$92,'Daftar Koreksi'!$D$5:$D$92,'0700'!A246,'Daftar Koreksi'!$G$5:$G$92,"Peralatan dan mesin",'Daftar Koreksi'!$H$5:$H$92,"&lt;0")-SUMIFS('Daftar Koreksi'!$H$5:$H$92,'Daftar Koreksi'!$D$5:$D$92,'0700'!A246,'Daftar Koreksi'!$G$5:$G$92,"Peralatan dan mesin",'Daftar Koreksi'!$H$5:$H$92,"&lt;0")-SUMIFS('Daftar Koreksi'!$H$5:$H$92,'Daftar Koreksi'!$D$5:$D$92,'0700'!A246,'Daftar Koreksi'!$G$5:$G$92,"Peralatan dan mesin",'Daftar Koreksi'!$H$5:$H$92,"&lt;0")</f>
        <v>0</v>
      </c>
      <c r="G251" s="17">
        <f t="shared" si="11"/>
        <v>1194299285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6396471300</v>
      </c>
      <c r="E252" s="25">
        <f>SUMIFS('Daftar Koreksi'!$H$5:$H$92,'Daftar Koreksi'!$D$5:$D$92,'0700'!A246,'Daftar Koreksi'!$G$5:$G$92,"Gedung dan Bangunan",'Daftar Koreksi'!$H$5:$H$92,"&gt;0")</f>
        <v>0</v>
      </c>
      <c r="F252" s="25">
        <f>SUMIFS('Daftar Koreksi'!$H$5:$H$92,'Daftar Koreksi'!$D$5:$D$92,'0700'!A246,'Daftar Koreksi'!$G$5:$G$92,"Gedung dan Bangunan",'Daftar Koreksi'!$H$5:$H$92,"&lt;0")-SUMIFS('Daftar Koreksi'!$H$5:$H$92,'Daftar Koreksi'!$D$5:$D$92,'0700'!A246,'Daftar Koreksi'!$G$5:$G$92,"Gedung dan Bangunan",'Daftar Koreksi'!$H$5:$H$92,"&lt;0")-SUMIFS('Daftar Koreksi'!$H$5:$H$92,'Daftar Koreksi'!$D$5:$D$92,'0700'!A246,'Daftar Koreksi'!$G$5:$G$92,"Gedung dan Bangunan",'Daftar Koreksi'!$H$5:$H$92,"&lt;0")</f>
        <v>0</v>
      </c>
      <c r="G252" s="17">
        <f t="shared" si="11"/>
        <v>6396471300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185658290</v>
      </c>
      <c r="E253" s="25">
        <f>SUMIFS('Daftar Koreksi'!$H$5:$H$92,'Daftar Koreksi'!$D$5:$D$92,'0700'!A246,'Daftar Koreksi'!$G$5:$G$92,"Jalan Irigasi Jaringan",'Daftar Koreksi'!$H$5:$H$92,"&gt;0")</f>
        <v>0</v>
      </c>
      <c r="F253" s="25">
        <f>SUMIFS('Daftar Koreksi'!$H$5:$H$92,'Daftar Koreksi'!$D$5:$D$92,'0700'!A246,'Daftar Koreksi'!$G$5:$G$92,"Jalan Irigasi Jaringan",'Daftar Koreksi'!$H$5:$H$92,"&lt;0")-SUMIFS('Daftar Koreksi'!$H$5:$H$92,'Daftar Koreksi'!$D$5:$D$92,'0700'!A246,'Daftar Koreksi'!$G$5:$G$92,"Jalan Irigasi Jaringan",'Daftar Koreksi'!$H$5:$H$92,"&lt;0")-SUMIFS('Daftar Koreksi'!$H$5:$H$92,'Daftar Koreksi'!$D$5:$D$92,'0700'!A246,'Daftar Koreksi'!$G$5:$G$92,"Jalan Irigasi Jaringan",'Daftar Koreksi'!$H$5:$H$92,"&lt;0")</f>
        <v>0</v>
      </c>
      <c r="G253" s="17">
        <f t="shared" si="11"/>
        <v>185658290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37569420</v>
      </c>
      <c r="E254" s="25">
        <f>SUMIFS('Daftar Koreksi'!$H$5:$H$92,'Daftar Koreksi'!$D$5:$D$92,'0700'!A246,'Daftar Koreksi'!$G$5:$G$92,"Aset Tetap Lainnya",'Daftar Koreksi'!$H$5:$H$92,"&gt;0")</f>
        <v>0</v>
      </c>
      <c r="F254" s="25">
        <f>SUMIFS('Daftar Koreksi'!$H$5:$H$92,'Daftar Koreksi'!$D$5:$D$92,'0700'!A246,'Daftar Koreksi'!$G$5:$G$92,"Aset Tetap Lainnya",'Daftar Koreksi'!$H$5:$H$92,"&lt;0")-SUMIFS('Daftar Koreksi'!$H$5:$H$92,'Daftar Koreksi'!$D$5:$D$92,'0700'!A246,'Daftar Koreksi'!$G$5:$G$92,"Aset Tetap Lainnya",'Daftar Koreksi'!$H$5:$H$92,"&lt;0")-SUMIFS('Daftar Koreksi'!$H$5:$H$92,'Daftar Koreksi'!$D$5:$D$92,'0700'!A246,'Daftar Koreksi'!$G$5:$G$92,"Aset Tetap Lainnya",'Daftar Koreksi'!$H$5:$H$92,"&lt;0")</f>
        <v>0</v>
      </c>
      <c r="G254" s="17">
        <f t="shared" si="11"/>
        <v>37569420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Koreksi'!$D$5:$D$92,'0700'!A246,'Daftar Koreksi'!$G$5:$G$92,"Kontruksi Dalam Pengerjaan",'Daftar Koreksi'!$H$5:$H$92,"&gt;0")</f>
        <v>0</v>
      </c>
      <c r="F255" s="25">
        <f>SUMIFS('Daftar Koreksi'!$H$5:$H$92,'Daftar Koreksi'!$D$5:$D$92,'0700'!A246,'Daftar Koreksi'!$G$5:$G$92,"Kontruksi Dalam Pengerjaan",'Daftar Koreksi'!$H$5:$H$92,"&lt;0")-SUMIFS('Daftar Koreksi'!$H$5:$H$92,'Daftar Koreksi'!$D$5:$D$92,'0700'!A246,'Daftar Koreksi'!$G$5:$G$92,"Kontruksi Dalam Pengerjaan",'Daftar Koreksi'!$H$5:$H$92,"&lt;0")-SUMIFS('Daftar Koreksi'!$H$5:$H$92,'Daftar Koreksi'!$D$5:$D$92,'0700'!A246,'Daftar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38500000</v>
      </c>
      <c r="E256" s="25">
        <f>SUMIFS('Daftar Koreksi'!$H$5:$H$92,'Daftar Koreksi'!$D$5:$D$92,'0700'!A246,'Daftar Koreksi'!$G$5:$G$92,"Aset Tak Berwujud",'Daftar Koreksi'!$H$5:$H$92,"&gt;0")</f>
        <v>0</v>
      </c>
      <c r="F256" s="25">
        <f>SUMIFS('Daftar Koreksi'!$H$5:$H$92,'Daftar Koreksi'!$D$5:$D$92,'0700'!A246,'Daftar Koreksi'!$G$5:$G$92,"Aset Tak Berwujud",'Daftar Koreksi'!$H$5:$H$92,"&lt;0")-SUMIFS('Daftar Koreksi'!$H$5:$H$92,'Daftar Koreksi'!$D$5:$D$92,'0700'!A246,'Daftar Koreksi'!$G$5:$G$92,"Aset Tak Berwujud",'Daftar Koreksi'!$H$5:$H$92,"&lt;0")-SUMIFS('Daftar Koreksi'!$H$5:$H$92,'Daftar Koreksi'!$D$5:$D$92,'0700'!A246,'Daftar Koreksi'!$G$5:$G$92,"Aset Tak Berwujud",'Daftar Koreksi'!$H$5:$H$92,"&lt;0")</f>
        <v>0</v>
      </c>
      <c r="G256" s="17">
        <f t="shared" si="11"/>
        <v>38500000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8100000</v>
      </c>
      <c r="E257" s="25">
        <f>SUMIFS('Daftar Koreksi'!$H$5:$H$92,'Daftar Koreksi'!$D$5:$D$92,'0700'!A246,'Daftar Koreksi'!$G$5:$G$92,"Aset Henti Guna",'Daftar Koreksi'!$H$5:$H$92,"&gt;0")</f>
        <v>0</v>
      </c>
      <c r="F257" s="25">
        <f>SUMIFS('Daftar Koreksi'!$H$5:$H$92,'Daftar Koreksi'!$D$5:$D$92,'0700'!A246,'Daftar Koreksi'!$G$5:$G$92,"Aset Henti Guna",'Daftar Koreksi'!$H$5:$H$92,"&lt;0")-SUMIFS('Daftar Koreksi'!$H$5:$H$92,'Daftar Koreksi'!$D$5:$D$92,'0700'!A246,'Daftar Koreksi'!$G$5:$G$92,"Aset Henti Guna",'Daftar Koreksi'!$H$5:$H$92,"&lt;0")-SUMIFS('Daftar Koreksi'!$H$5:$H$92,'Daftar Koreksi'!$D$5:$D$92,'0700'!A246,'Daftar Koreksi'!$G$5:$G$92,"Aset Henti Guna",'Daftar Koreksi'!$H$5:$H$92,"&lt;0")</f>
        <v>0</v>
      </c>
      <c r="G257" s="17">
        <f t="shared" si="11"/>
        <v>8100000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10555321109</v>
      </c>
      <c r="E258" s="19">
        <f>SUM(E249:E257)</f>
        <v>0</v>
      </c>
      <c r="F258" s="19">
        <f>SUM(F249:F257)</f>
        <v>0</v>
      </c>
      <c r="G258" s="19">
        <f t="shared" si="11"/>
        <v>10555321109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-1141189197</v>
      </c>
      <c r="E259" s="25">
        <f>SUMIFS('Daftar Koreksi'!$I$5:$I$92,'Daftar Koreksi'!$D$5:$D$92,'0700'!A246,'Daftar Koreksi'!$G$5:$G$92,"Peralatan dan mesin",'Daftar Koreksi'!$I$5:$I$92,"&gt;0")</f>
        <v>0</v>
      </c>
      <c r="F259" s="25">
        <f>SUMIFS('Daftar Koreksi'!$I$5:$I$92,'Daftar Koreksi'!$D$5:$D$92,'0700'!A246,'Daftar Koreksi'!$G$5:$G$92,"Peralatan dan mesin",'Daftar Koreksi'!$I$5:$I$92,"&lt;0")-SUMIFS('Daftar Koreksi'!$I$5:$I$92,'Daftar Koreksi'!$D$5:$D$92,'0700'!A246,'Daftar Koreksi'!$G$5:$G$92,"Peralatan dan mesin",'Daftar Koreksi'!$I$5:$I$92,"&lt;0")-SUMIFS('Daftar Koreksi'!$I$5:$I$92,'Daftar Koreksi'!$D$5:$D$92,'0700'!A246,'Daftar Koreksi'!$G$5:$G$92,"Peralatan dan mesin",'Daftar Koreksi'!$I$5:$I$92,"&lt;0")</f>
        <v>0</v>
      </c>
      <c r="G259" s="17">
        <f t="shared" si="11"/>
        <v>-1141189197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-1427362165</v>
      </c>
      <c r="E260" s="25">
        <f>SUMIFS('Daftar Koreksi'!$I$5:$I$92,'Daftar Koreksi'!$D$5:$D$92,'0700'!A246,'Daftar Koreksi'!$G$5:$G$92,"Gedung dan Bangunan",'Daftar Koreksi'!$I$5:$I$92,"&gt;0")</f>
        <v>0</v>
      </c>
      <c r="F260" s="25">
        <f>SUMIFS('Daftar Koreksi'!$I$5:$I$92,'Daftar Koreksi'!$D$5:$D$92,'0700'!A246,'Daftar Koreksi'!$G$5:$G$92,"Gedung dan Bangunan",'Daftar Koreksi'!$I$5:$I$92,"&lt;0")-SUMIFS('Daftar Koreksi'!$I$5:$I$92,'Daftar Koreksi'!$D$5:$D$92,'0700'!A246,'Daftar Koreksi'!$G$5:$G$92,"Gedung dan Bangunan",'Daftar Koreksi'!$I$5:$I$92,"&lt;0")-SUMIFS('Daftar Koreksi'!$I$5:$I$92,'Daftar Koreksi'!$D$5:$D$92,'0700'!A246,'Daftar Koreksi'!$G$5:$G$92,"Gedung dan Bangunan",'Daftar Koreksi'!$I$5:$I$92,"&lt;0")</f>
        <v>0</v>
      </c>
      <c r="G260" s="17">
        <f t="shared" si="11"/>
        <v>-1427362165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-41838479</v>
      </c>
      <c r="E261" s="25">
        <f>SUMIFS('Daftar Koreksi'!$I$5:$I$92,'Daftar Koreksi'!$D$5:$D$92,'0700'!A246,'Daftar Koreksi'!$G$5:$G$92,"Jalan Irigasi Jaringan",'Daftar Koreksi'!$I$5:$I$92,"&gt;0")</f>
        <v>0</v>
      </c>
      <c r="F261" s="25">
        <f>SUMIFS('Daftar Koreksi'!$I$5:$I$92,'Daftar Koreksi'!$D$5:$D$92,'0700'!A246,'Daftar Koreksi'!$G$5:$G$92,"Jalan Irigasi Jaringan",'Daftar Koreksi'!$I$5:$I$92,"&lt;0")-SUMIFS('Daftar Koreksi'!$I$5:$I$92,'Daftar Koreksi'!$D$5:$D$92,'0700'!A246,'Daftar Koreksi'!$G$5:$G$92,"Jalan Irigasi Jaringan",'Daftar Koreksi'!$I$5:$I$92,"&lt;0")-SUMIFS('Daftar Koreksi'!$I$5:$I$92,'Daftar Koreksi'!$D$5:$D$92,'0700'!A246,'Daftar Koreksi'!$G$5:$G$92,"Jalan Irigasi Jaringan",'Daftar Koreksi'!$I$5:$I$92,"&lt;0")</f>
        <v>0</v>
      </c>
      <c r="G261" s="17">
        <f t="shared" si="11"/>
        <v>-41838479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Koreksi'!$D$5:$D$92,'0700'!A246,'Daftar Koreksi'!$G$5:$G$92,"Aset Tetap Lainnya",'Daftar Koreksi'!$I$5:$I$92,"&gt;0")</f>
        <v>0</v>
      </c>
      <c r="F262" s="25">
        <f>SUMIFS('Daftar Koreksi'!$I$5:$I$92,'Daftar Koreksi'!$D$5:$D$92,'0700'!A246,'Daftar Koreksi'!$G$5:$G$92,"Aset Tetap Lainnya",'Daftar Koreksi'!$I$5:$I$92,"&lt;0")-SUMIFS('Daftar Koreksi'!$I$5:$I$92,'Daftar Koreksi'!$D$5:$D$92,'0700'!A246,'Daftar Koreksi'!$G$5:$G$92,"Aset Tetap Lainnya",'Daftar Koreksi'!$I$5:$I$92,"&lt;0")-SUMIFS('Daftar Koreksi'!$I$5:$I$92,'Daftar Koreksi'!$D$5:$D$92,'0700'!A246,'Daftar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-8100000</v>
      </c>
      <c r="E263" s="25">
        <f>SUMIFS('Daftar Koreksi'!$I$5:$I$92,'Daftar Koreksi'!$D$5:$D$92,'0700'!A246,'Daftar Koreksi'!$G$5:$G$92,"Aset Henti Guna",'Daftar Koreksi'!$I$5:$I$92,"&gt;0")</f>
        <v>0</v>
      </c>
      <c r="F263" s="25">
        <f>SUMIFS('Daftar Koreksi'!$I$5:$I$92,'Daftar Koreksi'!$D$5:$D$92,'0700'!A246,'Daftar Koreksi'!$G$5:$G$92,"Aset Henti Guna",'Daftar Koreksi'!$I$5:$I$92,"&lt;0")-SUMIFS('Daftar Koreksi'!$I$5:$I$92,'Daftar Koreksi'!$D$5:$D$92,'0700'!A246,'Daftar Koreksi'!$G$5:$G$92,"Aset Henti Guna",'Daftar Koreksi'!$I$5:$I$92,"&lt;0")-SUMIFS('Daftar Koreksi'!$I$5:$I$92,'Daftar Koreksi'!$D$5:$D$92,'0700'!A246,'Daftar Koreksi'!$G$5:$G$92,"Aset Henti Guna",'Daftar Koreksi'!$I$5:$I$92,"&lt;0")</f>
        <v>0</v>
      </c>
      <c r="G263" s="17">
        <f t="shared" si="11"/>
        <v>-8100000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-2618489841</v>
      </c>
      <c r="E264" s="19">
        <f>SUM(E259:E263)</f>
        <v>0</v>
      </c>
      <c r="F264" s="19">
        <f>SUM(F259:F263)</f>
        <v>0</v>
      </c>
      <c r="G264" s="19">
        <f t="shared" si="11"/>
        <v>-2618489841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7936831268</v>
      </c>
      <c r="E265" s="19">
        <f>E264+E258</f>
        <v>0</v>
      </c>
      <c r="F265" s="19">
        <f>F264+F258</f>
        <v>0</v>
      </c>
      <c r="G265" s="19">
        <f t="shared" si="11"/>
        <v>7936831268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005010700098739000KD</v>
      </c>
      <c r="B268" s="11" t="str">
        <f>P13</f>
        <v>PN. Sibolga</v>
      </c>
      <c r="C268" s="12" t="str">
        <f>A268&amp;" "&amp;B268</f>
        <v>005010700098739000KD PN. Sibolga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125000</v>
      </c>
      <c r="E271" s="25">
        <f>SUMIFS('Daftar Koreksi'!$H$5:$H$92,'Daftar Koreksi'!$D$5:$D$92,'0700'!A268,'Daftar Koreksi'!$G$5:$G$92,"Persediaan",'Daftar Koreksi'!$H$5:$H$92,"&gt;0")</f>
        <v>0</v>
      </c>
      <c r="F271" s="25">
        <f>SUMIFS('Daftar Koreksi'!$H$5:$H$92,'Daftar Koreksi'!$D$5:$D$92,'0700'!A268,'Daftar Koreksi'!$G$5:$G$92,"Persediaan",'Daftar Koreksi'!$H$5:$H$92,"&lt;0")-SUMIFS('Daftar Koreksi'!$H$5:$H$92,'Daftar Koreksi'!$D$5:$D$92,'0700'!A268,'Daftar Koreksi'!$G$5:$G$92,"Persediaan",'Daftar Koreksi'!$H$5:$H$92,"&lt;0")-SUMIFS('Daftar Koreksi'!$H$5:$H$92,'Daftar Koreksi'!$D$5:$D$92,'0700'!A268,'Daftar Koreksi'!$G$5:$G$92,"Persediaan",'Daftar Koreksi'!$H$5:$H$92,"&lt;0")</f>
        <v>0</v>
      </c>
      <c r="G271" s="17">
        <f>D271+E271-F271</f>
        <v>125000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3975523000</v>
      </c>
      <c r="E272" s="25">
        <f>SUMIFS('Daftar Koreksi'!$H$5:$H$92,'Daftar Koreksi'!$D$5:$D$92,'0700'!A268,'Daftar Koreksi'!$G$5:$G$92,"Tanah",'Daftar Koreksi'!$H$5:$H$92,"&gt;0")</f>
        <v>0</v>
      </c>
      <c r="F272" s="25">
        <f>SUMIFS('Daftar Koreksi'!$H$5:$H$92,'Daftar Koreksi'!$D$5:$D$92,'0700'!A268,'Daftar Koreksi'!$G$5:$G$92,"Tanah",'Daftar Koreksi'!$H$5:$H$92,"&lt;0")-SUMIFS('Daftar Koreksi'!$H$5:$H$92,'Daftar Koreksi'!$D$5:$D$92,'0700'!A268,'Daftar Koreksi'!$G$5:$G$92,"Tanah",'Daftar Koreksi'!$H$5:$H$92,"&lt;0")-SUMIFS('Daftar Koreksi'!$H$5:$H$92,'Daftar Koreksi'!$D$5:$D$92,'0700'!A268,'Daftar Koreksi'!$G$5:$G$92,"Tanah",'Daftar Koreksi'!$H$5:$H$92,"&lt;0")</f>
        <v>0</v>
      </c>
      <c r="G272" s="17">
        <f t="shared" ref="G272:G288" si="12">D272+E272-F272</f>
        <v>3975523000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927821728</v>
      </c>
      <c r="E273" s="25">
        <f>SUMIFS('Daftar Koreksi'!$H$5:$H$92,'Daftar Koreksi'!$D$5:$D$92,'0700'!A268,'Daftar Koreksi'!$G$5:$G$92,"Peralatan dan mesin",'Daftar Koreksi'!$H$5:$H$92,"&gt;0")</f>
        <v>0</v>
      </c>
      <c r="F273" s="25">
        <f>SUMIFS('Daftar Koreksi'!$H$5:$H$92,'Daftar Koreksi'!$D$5:$D$92,'0700'!A268,'Daftar Koreksi'!$G$5:$G$92,"Peralatan dan mesin",'Daftar Koreksi'!$H$5:$H$92,"&lt;0")-SUMIFS('Daftar Koreksi'!$H$5:$H$92,'Daftar Koreksi'!$D$5:$D$92,'0700'!A268,'Daftar Koreksi'!$G$5:$G$92,"Peralatan dan mesin",'Daftar Koreksi'!$H$5:$H$92,"&lt;0")-SUMIFS('Daftar Koreksi'!$H$5:$H$92,'Daftar Koreksi'!$D$5:$D$92,'0700'!A268,'Daftar Koreksi'!$G$5:$G$92,"Peralatan dan mesin",'Daftar Koreksi'!$H$5:$H$92,"&lt;0")</f>
        <v>0</v>
      </c>
      <c r="G273" s="17">
        <f t="shared" si="12"/>
        <v>927821728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11667905000</v>
      </c>
      <c r="E274" s="25">
        <f>SUMIFS('Daftar Koreksi'!$H$5:$H$92,'Daftar Koreksi'!$D$5:$D$92,'0700'!A268,'Daftar Koreksi'!$G$5:$G$92,"Gedung dan Bangunan",'Daftar Koreksi'!$H$5:$H$92,"&gt;0")</f>
        <v>0</v>
      </c>
      <c r="F274" s="25">
        <f>SUMIFS('Daftar Koreksi'!$H$5:$H$92,'Daftar Koreksi'!$D$5:$D$92,'0700'!A268,'Daftar Koreksi'!$G$5:$G$92,"Gedung dan Bangunan",'Daftar Koreksi'!$H$5:$H$92,"&lt;0")-SUMIFS('Daftar Koreksi'!$H$5:$H$92,'Daftar Koreksi'!$D$5:$D$92,'0700'!A268,'Daftar Koreksi'!$G$5:$G$92,"Gedung dan Bangunan",'Daftar Koreksi'!$H$5:$H$92,"&lt;0")-SUMIFS('Daftar Koreksi'!$H$5:$H$92,'Daftar Koreksi'!$D$5:$D$92,'0700'!A268,'Daftar Koreksi'!$G$5:$G$92,"Gedung dan Bangunan",'Daftar Koreksi'!$H$5:$H$92,"&lt;0")</f>
        <v>0</v>
      </c>
      <c r="G274" s="17">
        <f t="shared" si="12"/>
        <v>11667905000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99385000</v>
      </c>
      <c r="E275" s="25">
        <f>SUMIFS('Daftar Koreksi'!$H$5:$H$92,'Daftar Koreksi'!$D$5:$D$92,'0700'!A268,'Daftar Koreksi'!$G$5:$G$92,"Jalan Irigasi Jaringan",'Daftar Koreksi'!$H$5:$H$92,"&gt;0")</f>
        <v>0</v>
      </c>
      <c r="F275" s="25">
        <f>SUMIFS('Daftar Koreksi'!$H$5:$H$92,'Daftar Koreksi'!$D$5:$D$92,'0700'!A268,'Daftar Koreksi'!$G$5:$G$92,"Jalan Irigasi Jaringan",'Daftar Koreksi'!$H$5:$H$92,"&lt;0")-SUMIFS('Daftar Koreksi'!$H$5:$H$92,'Daftar Koreksi'!$D$5:$D$92,'0700'!A268,'Daftar Koreksi'!$G$5:$G$92,"Jalan Irigasi Jaringan",'Daftar Koreksi'!$H$5:$H$92,"&lt;0")-SUMIFS('Daftar Koreksi'!$H$5:$H$92,'Daftar Koreksi'!$D$5:$D$92,'0700'!A268,'Daftar Koreksi'!$G$5:$G$92,"Jalan Irigasi Jaringan",'Daftar Koreksi'!$H$5:$H$92,"&lt;0")</f>
        <v>0</v>
      </c>
      <c r="G275" s="17">
        <f t="shared" si="12"/>
        <v>99385000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84243442</v>
      </c>
      <c r="E276" s="25">
        <f>SUMIFS('Daftar Koreksi'!$H$5:$H$92,'Daftar Koreksi'!$D$5:$D$92,'0700'!A268,'Daftar Koreksi'!$G$5:$G$92,"Aset Tetap Lainnya",'Daftar Koreksi'!$H$5:$H$92,"&gt;0")</f>
        <v>0</v>
      </c>
      <c r="F276" s="25">
        <f>SUMIFS('Daftar Koreksi'!$H$5:$H$92,'Daftar Koreksi'!$D$5:$D$92,'0700'!A268,'Daftar Koreksi'!$G$5:$G$92,"Aset Tetap Lainnya",'Daftar Koreksi'!$H$5:$H$92,"&lt;0")-SUMIFS('Daftar Koreksi'!$H$5:$H$92,'Daftar Koreksi'!$D$5:$D$92,'0700'!A268,'Daftar Koreksi'!$G$5:$G$92,"Aset Tetap Lainnya",'Daftar Koreksi'!$H$5:$H$92,"&lt;0")-SUMIFS('Daftar Koreksi'!$H$5:$H$92,'Daftar Koreksi'!$D$5:$D$92,'0700'!A268,'Daftar Koreksi'!$G$5:$G$92,"Aset Tetap Lainnya",'Daftar Koreksi'!$H$5:$H$92,"&lt;0")</f>
        <v>0</v>
      </c>
      <c r="G276" s="17">
        <f t="shared" si="12"/>
        <v>84243442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2115333000</v>
      </c>
      <c r="E277" s="25">
        <f>SUMIFS('Daftar Koreksi'!$H$5:$H$92,'Daftar Koreksi'!$D$5:$D$92,'0700'!A268,'Daftar Koreksi'!$G$5:$G$92,"Kontruksi Dalam Pengerjaan",'Daftar Koreksi'!$H$5:$H$92,"&gt;0")</f>
        <v>0</v>
      </c>
      <c r="F277" s="25">
        <f>SUMIFS('Daftar Koreksi'!$H$5:$H$92,'Daftar Koreksi'!$D$5:$D$92,'0700'!A268,'Daftar Koreksi'!$G$5:$G$92,"Kontruksi Dalam Pengerjaan",'Daftar Koreksi'!$H$5:$H$92,"&lt;0")-SUMIFS('Daftar Koreksi'!$H$5:$H$92,'Daftar Koreksi'!$D$5:$D$92,'0700'!A268,'Daftar Koreksi'!$G$5:$G$92,"Kontruksi Dalam Pengerjaan",'Daftar Koreksi'!$H$5:$H$92,"&lt;0")-SUMIFS('Daftar Koreksi'!$H$5:$H$92,'Daftar Koreksi'!$D$5:$D$92,'0700'!A268,'Daftar Koreksi'!$G$5:$G$92,"Kontruksi Dalam Pengerjaan",'Daftar Koreksi'!$H$5:$H$92,"&lt;0")</f>
        <v>0</v>
      </c>
      <c r="G277" s="17">
        <f t="shared" si="12"/>
        <v>2115333000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Koreksi'!$D$5:$D$92,'0700'!A268,'Daftar Koreksi'!$G$5:$G$92,"Aset Tak Berwujud",'Daftar Koreksi'!$H$5:$H$92,"&gt;0")</f>
        <v>0</v>
      </c>
      <c r="F278" s="25">
        <f>SUMIFS('Daftar Koreksi'!$H$5:$H$92,'Daftar Koreksi'!$D$5:$D$92,'0700'!A268,'Daftar Koreksi'!$G$5:$G$92,"Aset Tak Berwujud",'Daftar Koreksi'!$H$5:$H$92,"&lt;0")-SUMIFS('Daftar Koreksi'!$H$5:$H$92,'Daftar Koreksi'!$D$5:$D$92,'0700'!A268,'Daftar Koreksi'!$G$5:$G$92,"Aset Tak Berwujud",'Daftar Koreksi'!$H$5:$H$92,"&lt;0")-SUMIFS('Daftar Koreksi'!$H$5:$H$92,'Daftar Koreksi'!$D$5:$D$92,'0700'!A268,'Daftar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20296999</v>
      </c>
      <c r="E279" s="25">
        <f>SUMIFS('Daftar Koreksi'!$H$5:$H$92,'Daftar Koreksi'!$D$5:$D$92,'0700'!A268,'Daftar Koreksi'!$G$5:$G$92,"Aset Henti Guna",'Daftar Koreksi'!$H$5:$H$92,"&gt;0")</f>
        <v>0</v>
      </c>
      <c r="F279" s="25">
        <f>SUMIFS('Daftar Koreksi'!$H$5:$H$92,'Daftar Koreksi'!$D$5:$D$92,'0700'!A268,'Daftar Koreksi'!$G$5:$G$92,"Aset Henti Guna",'Daftar Koreksi'!$H$5:$H$92,"&lt;0")-SUMIFS('Daftar Koreksi'!$H$5:$H$92,'Daftar Koreksi'!$D$5:$D$92,'0700'!A268,'Daftar Koreksi'!$G$5:$G$92,"Aset Henti Guna",'Daftar Koreksi'!$H$5:$H$92,"&lt;0")-SUMIFS('Daftar Koreksi'!$H$5:$H$92,'Daftar Koreksi'!$D$5:$D$92,'0700'!A268,'Daftar Koreksi'!$G$5:$G$92,"Aset Henti Guna",'Daftar Koreksi'!$H$5:$H$92,"&lt;0")</f>
        <v>0</v>
      </c>
      <c r="G279" s="17">
        <f t="shared" si="12"/>
        <v>20296999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18890633169</v>
      </c>
      <c r="E280" s="19">
        <f>SUM(E271:E279)</f>
        <v>0</v>
      </c>
      <c r="F280" s="19">
        <f>SUM(F271:F279)</f>
        <v>0</v>
      </c>
      <c r="G280" s="19">
        <f t="shared" si="12"/>
        <v>18890633169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-841338231</v>
      </c>
      <c r="E281" s="25">
        <f>SUMIFS('Daftar Koreksi'!$I$5:$I$92,'Daftar Koreksi'!$D$5:$D$92,'0700'!A268,'Daftar Koreksi'!$G$5:$G$92,"Peralatan dan mesin",'Daftar Koreksi'!$I$5:$I$92,"&gt;0")</f>
        <v>0</v>
      </c>
      <c r="F281" s="25">
        <f>SUMIFS('Daftar Koreksi'!$I$5:$I$92,'Daftar Koreksi'!$D$5:$D$92,'0700'!A268,'Daftar Koreksi'!$G$5:$G$92,"Peralatan dan mesin",'Daftar Koreksi'!$I$5:$I$92,"&lt;0")-SUMIFS('Daftar Koreksi'!$I$5:$I$92,'Daftar Koreksi'!$D$5:$D$92,'0700'!A268,'Daftar Koreksi'!$G$5:$G$92,"Peralatan dan mesin",'Daftar Koreksi'!$I$5:$I$92,"&lt;0")-SUMIFS('Daftar Koreksi'!$I$5:$I$92,'Daftar Koreksi'!$D$5:$D$92,'0700'!A268,'Daftar Koreksi'!$G$5:$G$92,"Peralatan dan mesin",'Daftar Koreksi'!$I$5:$I$92,"&lt;0")</f>
        <v>0</v>
      </c>
      <c r="G281" s="17">
        <f t="shared" si="12"/>
        <v>-841338231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-3125936074</v>
      </c>
      <c r="E282" s="25">
        <f>SUMIFS('Daftar Koreksi'!$I$5:$I$92,'Daftar Koreksi'!$D$5:$D$92,'0700'!A268,'Daftar Koreksi'!$G$5:$G$92,"Gedung dan Bangunan",'Daftar Koreksi'!$I$5:$I$92,"&gt;0")</f>
        <v>0</v>
      </c>
      <c r="F282" s="25">
        <f>SUMIFS('Daftar Koreksi'!$I$5:$I$92,'Daftar Koreksi'!$D$5:$D$92,'0700'!A268,'Daftar Koreksi'!$G$5:$G$92,"Gedung dan Bangunan",'Daftar Koreksi'!$I$5:$I$92,"&lt;0")-SUMIFS('Daftar Koreksi'!$I$5:$I$92,'Daftar Koreksi'!$D$5:$D$92,'0700'!A268,'Daftar Koreksi'!$G$5:$G$92,"Gedung dan Bangunan",'Daftar Koreksi'!$I$5:$I$92,"&lt;0")-SUMIFS('Daftar Koreksi'!$I$5:$I$92,'Daftar Koreksi'!$D$5:$D$92,'0700'!A268,'Daftar Koreksi'!$G$5:$G$92,"Gedung dan Bangunan",'Daftar Koreksi'!$I$5:$I$92,"&lt;0")</f>
        <v>0</v>
      </c>
      <c r="G282" s="17">
        <f t="shared" si="12"/>
        <v>-3125936074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-34784750</v>
      </c>
      <c r="E283" s="25">
        <f>SUMIFS('Daftar Koreksi'!$I$5:$I$92,'Daftar Koreksi'!$D$5:$D$92,'0700'!A268,'Daftar Koreksi'!$G$5:$G$92,"Jalan Irigasi Jaringan",'Daftar Koreksi'!$I$5:$I$92,"&gt;0")</f>
        <v>0</v>
      </c>
      <c r="F283" s="25">
        <f>SUMIFS('Daftar Koreksi'!$I$5:$I$92,'Daftar Koreksi'!$D$5:$D$92,'0700'!A268,'Daftar Koreksi'!$G$5:$G$92,"Jalan Irigasi Jaringan",'Daftar Koreksi'!$I$5:$I$92,"&lt;0")-SUMIFS('Daftar Koreksi'!$I$5:$I$92,'Daftar Koreksi'!$D$5:$D$92,'0700'!A268,'Daftar Koreksi'!$G$5:$G$92,"Jalan Irigasi Jaringan",'Daftar Koreksi'!$I$5:$I$92,"&lt;0")-SUMIFS('Daftar Koreksi'!$I$5:$I$92,'Daftar Koreksi'!$D$5:$D$92,'0700'!A268,'Daftar Koreksi'!$G$5:$G$92,"Jalan Irigasi Jaringan",'Daftar Koreksi'!$I$5:$I$92,"&lt;0")</f>
        <v>0</v>
      </c>
      <c r="G283" s="17">
        <f t="shared" si="12"/>
        <v>-34784750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Koreksi'!$D$5:$D$92,'0700'!A268,'Daftar Koreksi'!$G$5:$G$92,"Aset Tetap Lainnya",'Daftar Koreksi'!$I$5:$I$92,"&gt;0")</f>
        <v>0</v>
      </c>
      <c r="F284" s="25">
        <f>SUMIFS('Daftar Koreksi'!$I$5:$I$92,'Daftar Koreksi'!$D$5:$D$92,'0700'!A268,'Daftar Koreksi'!$G$5:$G$92,"Aset Tetap Lainnya",'Daftar Koreksi'!$I$5:$I$92,"&lt;0")-SUMIFS('Daftar Koreksi'!$I$5:$I$92,'Daftar Koreksi'!$D$5:$D$92,'0700'!A268,'Daftar Koreksi'!$G$5:$G$92,"Aset Tetap Lainnya",'Daftar Koreksi'!$I$5:$I$92,"&lt;0")-SUMIFS('Daftar Koreksi'!$I$5:$I$92,'Daftar Koreksi'!$D$5:$D$92,'0700'!A268,'Daftar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-20297000</v>
      </c>
      <c r="E285" s="25">
        <f>SUMIFS('Daftar Koreksi'!$I$5:$I$92,'Daftar Koreksi'!$D$5:$D$92,'0700'!A268,'Daftar Koreksi'!$G$5:$G$92,"Aset Henti Guna",'Daftar Koreksi'!$I$5:$I$92,"&gt;0")</f>
        <v>0</v>
      </c>
      <c r="F285" s="25">
        <f>SUMIFS('Daftar Koreksi'!$I$5:$I$92,'Daftar Koreksi'!$D$5:$D$92,'0700'!A268,'Daftar Koreksi'!$G$5:$G$92,"Aset Henti Guna",'Daftar Koreksi'!$I$5:$I$92,"&lt;0")-SUMIFS('Daftar Koreksi'!$I$5:$I$92,'Daftar Koreksi'!$D$5:$D$92,'0700'!A268,'Daftar Koreksi'!$G$5:$G$92,"Aset Henti Guna",'Daftar Koreksi'!$I$5:$I$92,"&lt;0")-SUMIFS('Daftar Koreksi'!$I$5:$I$92,'Daftar Koreksi'!$D$5:$D$92,'0700'!A268,'Daftar Koreksi'!$G$5:$G$92,"Aset Henti Guna",'Daftar Koreksi'!$I$5:$I$92,"&lt;0")</f>
        <v>0</v>
      </c>
      <c r="G285" s="17">
        <f t="shared" si="12"/>
        <v>-20297000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-4022356055</v>
      </c>
      <c r="E286" s="19">
        <f>SUM(E281:E285)</f>
        <v>0</v>
      </c>
      <c r="F286" s="19">
        <f>SUM(F281:F285)</f>
        <v>0</v>
      </c>
      <c r="G286" s="19">
        <f t="shared" si="12"/>
        <v>-4022356055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14868277114</v>
      </c>
      <c r="E287" s="19">
        <f>E286+E280</f>
        <v>0</v>
      </c>
      <c r="F287" s="19">
        <f>F286+F280</f>
        <v>0</v>
      </c>
      <c r="G287" s="19">
        <f t="shared" si="12"/>
        <v>14868277114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005010700108025000KD</v>
      </c>
      <c r="B290" s="11" t="str">
        <f>P14</f>
        <v>PN. Stabat</v>
      </c>
      <c r="C290" s="12" t="str">
        <f>A290&amp;" "&amp;B290</f>
        <v>005010700108025000KD PN. Stabat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8000</v>
      </c>
      <c r="E293" s="25">
        <f>SUMIFS('Daftar Koreksi'!$H$5:$H$92,'Daftar Koreksi'!$D$5:$D$92,'0700'!A290,'Daftar Koreksi'!$G$5:$G$92,"Persediaan",'Daftar Koreksi'!$H$5:$H$92,"&gt;0")</f>
        <v>0</v>
      </c>
      <c r="F293" s="25">
        <f>SUMIFS('Daftar Koreksi'!$H$5:$H$92,'Daftar Koreksi'!$D$5:$D$92,'0700'!A290,'Daftar Koreksi'!$G$5:$G$92,"Persediaan",'Daftar Koreksi'!$H$5:$H$92,"&lt;0")-SUMIFS('Daftar Koreksi'!$H$5:$H$92,'Daftar Koreksi'!$D$5:$D$92,'0700'!A290,'Daftar Koreksi'!$G$5:$G$92,"Persediaan",'Daftar Koreksi'!$H$5:$H$92,"&lt;0")-SUMIFS('Daftar Koreksi'!$H$5:$H$92,'Daftar Koreksi'!$D$5:$D$92,'0700'!A290,'Daftar Koreksi'!$G$5:$G$92,"Persediaan",'Daftar Koreksi'!$H$5:$H$92,"&lt;0")</f>
        <v>0</v>
      </c>
      <c r="G293" s="17">
        <f>D293+E293-F293</f>
        <v>8000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9459345000</v>
      </c>
      <c r="E294" s="25">
        <f>SUMIFS('Daftar Koreksi'!$H$5:$H$92,'Daftar Koreksi'!$D$5:$D$92,'0700'!A290,'Daftar Koreksi'!$G$5:$G$92,"Tanah",'Daftar Koreksi'!$H$5:$H$92,"&gt;0")</f>
        <v>0</v>
      </c>
      <c r="F294" s="25">
        <f>SUMIFS('Daftar Koreksi'!$H$5:$H$92,'Daftar Koreksi'!$D$5:$D$92,'0700'!A290,'Daftar Koreksi'!$G$5:$G$92,"Tanah",'Daftar Koreksi'!$H$5:$H$92,"&lt;0")-SUMIFS('Daftar Koreksi'!$H$5:$H$92,'Daftar Koreksi'!$D$5:$D$92,'0700'!A290,'Daftar Koreksi'!$G$5:$G$92,"Tanah",'Daftar Koreksi'!$H$5:$H$92,"&lt;0")-SUMIFS('Daftar Koreksi'!$H$5:$H$92,'Daftar Koreksi'!$D$5:$D$92,'0700'!A290,'Daftar Koreksi'!$G$5:$G$92,"Tanah",'Daftar Koreksi'!$H$5:$H$92,"&lt;0")</f>
        <v>0</v>
      </c>
      <c r="G294" s="17">
        <f t="shared" ref="G294:G310" si="13">D294+E294-F294</f>
        <v>9459345000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1624717400</v>
      </c>
      <c r="E295" s="25">
        <f>SUMIFS('Daftar Koreksi'!$H$5:$H$92,'Daftar Koreksi'!$D$5:$D$92,'0700'!A290,'Daftar Koreksi'!$G$5:$G$92,"Peralatan dan mesin",'Daftar Koreksi'!$H$5:$H$92,"&gt;0")</f>
        <v>0</v>
      </c>
      <c r="F295" s="25">
        <f>SUMIFS('Daftar Koreksi'!$H$5:$H$92,'Daftar Koreksi'!$D$5:$D$92,'0700'!A290,'Daftar Koreksi'!$G$5:$G$92,"Peralatan dan mesin",'Daftar Koreksi'!$H$5:$H$92,"&lt;0")-SUMIFS('Daftar Koreksi'!$H$5:$H$92,'Daftar Koreksi'!$D$5:$D$92,'0700'!A290,'Daftar Koreksi'!$G$5:$G$92,"Peralatan dan mesin",'Daftar Koreksi'!$H$5:$H$92,"&lt;0")-SUMIFS('Daftar Koreksi'!$H$5:$H$92,'Daftar Koreksi'!$D$5:$D$92,'0700'!A290,'Daftar Koreksi'!$G$5:$G$92,"Peralatan dan mesin",'Daftar Koreksi'!$H$5:$H$92,"&lt;0")</f>
        <v>0</v>
      </c>
      <c r="G295" s="17">
        <f t="shared" si="13"/>
        <v>1624717400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5937376685</v>
      </c>
      <c r="E296" s="25">
        <f>SUMIFS('Daftar Koreksi'!$H$5:$H$92,'Daftar Koreksi'!$D$5:$D$92,'0700'!A290,'Daftar Koreksi'!$G$5:$G$92,"Gedung dan Bangunan",'Daftar Koreksi'!$H$5:$H$92,"&gt;0")</f>
        <v>0</v>
      </c>
      <c r="F296" s="25">
        <f>SUMIFS('Daftar Koreksi'!$H$5:$H$92,'Daftar Koreksi'!$D$5:$D$92,'0700'!A290,'Daftar Koreksi'!$G$5:$G$92,"Gedung dan Bangunan",'Daftar Koreksi'!$H$5:$H$92,"&lt;0")-SUMIFS('Daftar Koreksi'!$H$5:$H$92,'Daftar Koreksi'!$D$5:$D$92,'0700'!A290,'Daftar Koreksi'!$G$5:$G$92,"Gedung dan Bangunan",'Daftar Koreksi'!$H$5:$H$92,"&lt;0")-SUMIFS('Daftar Koreksi'!$H$5:$H$92,'Daftar Koreksi'!$D$5:$D$92,'0700'!A290,'Daftar Koreksi'!$G$5:$G$92,"Gedung dan Bangunan",'Daftar Koreksi'!$H$5:$H$92,"&lt;0")</f>
        <v>0</v>
      </c>
      <c r="G296" s="17">
        <f t="shared" si="13"/>
        <v>5937376685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172120000</v>
      </c>
      <c r="E297" s="25">
        <f>SUMIFS('Daftar Koreksi'!$H$5:$H$92,'Daftar Koreksi'!$D$5:$D$92,'0700'!A290,'Daftar Koreksi'!$G$5:$G$92,"Jalan Irigasi Jaringan",'Daftar Koreksi'!$H$5:$H$92,"&gt;0")</f>
        <v>0</v>
      </c>
      <c r="F297" s="25">
        <f>SUMIFS('Daftar Koreksi'!$H$5:$H$92,'Daftar Koreksi'!$D$5:$D$92,'0700'!A290,'Daftar Koreksi'!$G$5:$G$92,"Jalan Irigasi Jaringan",'Daftar Koreksi'!$H$5:$H$92,"&lt;0")-SUMIFS('Daftar Koreksi'!$H$5:$H$92,'Daftar Koreksi'!$D$5:$D$92,'0700'!A290,'Daftar Koreksi'!$G$5:$G$92,"Jalan Irigasi Jaringan",'Daftar Koreksi'!$H$5:$H$92,"&lt;0")-SUMIFS('Daftar Koreksi'!$H$5:$H$92,'Daftar Koreksi'!$D$5:$D$92,'0700'!A290,'Daftar Koreksi'!$G$5:$G$92,"Jalan Irigasi Jaringan",'Daftar Koreksi'!$H$5:$H$92,"&lt;0")</f>
        <v>0</v>
      </c>
      <c r="G297" s="17">
        <f t="shared" si="13"/>
        <v>172120000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21801440</v>
      </c>
      <c r="E298" s="25">
        <f>SUMIFS('Daftar Koreksi'!$H$5:$H$92,'Daftar Koreksi'!$D$5:$D$92,'0700'!A290,'Daftar Koreksi'!$G$5:$G$92,"Aset Tetap Lainnya",'Daftar Koreksi'!$H$5:$H$92,"&gt;0")</f>
        <v>0</v>
      </c>
      <c r="F298" s="25">
        <f>SUMIFS('Daftar Koreksi'!$H$5:$H$92,'Daftar Koreksi'!$D$5:$D$92,'0700'!A290,'Daftar Koreksi'!$G$5:$G$92,"Aset Tetap Lainnya",'Daftar Koreksi'!$H$5:$H$92,"&lt;0")-SUMIFS('Daftar Koreksi'!$H$5:$H$92,'Daftar Koreksi'!$D$5:$D$92,'0700'!A290,'Daftar Koreksi'!$G$5:$G$92,"Aset Tetap Lainnya",'Daftar Koreksi'!$H$5:$H$92,"&lt;0")-SUMIFS('Daftar Koreksi'!$H$5:$H$92,'Daftar Koreksi'!$D$5:$D$92,'0700'!A290,'Daftar Koreksi'!$G$5:$G$92,"Aset Tetap Lainnya",'Daftar Koreksi'!$H$5:$H$92,"&lt;0")</f>
        <v>0</v>
      </c>
      <c r="G298" s="17">
        <f t="shared" si="13"/>
        <v>21801440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Koreksi'!$D$5:$D$92,'0700'!A290,'Daftar Koreksi'!$G$5:$G$92,"Kontruksi Dalam Pengerjaan",'Daftar Koreksi'!$H$5:$H$92,"&gt;0")</f>
        <v>0</v>
      </c>
      <c r="F299" s="25">
        <f>SUMIFS('Daftar Koreksi'!$H$5:$H$92,'Daftar Koreksi'!$D$5:$D$92,'0700'!A290,'Daftar Koreksi'!$G$5:$G$92,"Kontruksi Dalam Pengerjaan",'Daftar Koreksi'!$H$5:$H$92,"&lt;0")-SUMIFS('Daftar Koreksi'!$H$5:$H$92,'Daftar Koreksi'!$D$5:$D$92,'0700'!A290,'Daftar Koreksi'!$G$5:$G$92,"Kontruksi Dalam Pengerjaan",'Daftar Koreksi'!$H$5:$H$92,"&lt;0")-SUMIFS('Daftar Koreksi'!$H$5:$H$92,'Daftar Koreksi'!$D$5:$D$92,'0700'!A290,'Daftar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Koreksi'!$D$5:$D$92,'0700'!A290,'Daftar Koreksi'!$G$5:$G$92,"Aset Tak Berwujud",'Daftar Koreksi'!$H$5:$H$92,"&gt;0")</f>
        <v>0</v>
      </c>
      <c r="F300" s="25">
        <f>SUMIFS('Daftar Koreksi'!$H$5:$H$92,'Daftar Koreksi'!$D$5:$D$92,'0700'!A290,'Daftar Koreksi'!$G$5:$G$92,"Aset Tak Berwujud",'Daftar Koreksi'!$H$5:$H$92,"&lt;0")-SUMIFS('Daftar Koreksi'!$H$5:$H$92,'Daftar Koreksi'!$D$5:$D$92,'0700'!A290,'Daftar Koreksi'!$G$5:$G$92,"Aset Tak Berwujud",'Daftar Koreksi'!$H$5:$H$92,"&lt;0")-SUMIFS('Daftar Koreksi'!$H$5:$H$92,'Daftar Koreksi'!$D$5:$D$92,'0700'!A290,'Daftar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54363000</v>
      </c>
      <c r="E301" s="25">
        <f>SUMIFS('Daftar Koreksi'!$H$5:$H$92,'Daftar Koreksi'!$D$5:$D$92,'0700'!A290,'Daftar Koreksi'!$G$5:$G$92,"Aset Henti Guna",'Daftar Koreksi'!$H$5:$H$92,"&gt;0")</f>
        <v>0</v>
      </c>
      <c r="F301" s="25">
        <f>SUMIFS('Daftar Koreksi'!$H$5:$H$92,'Daftar Koreksi'!$D$5:$D$92,'0700'!A290,'Daftar Koreksi'!$G$5:$G$92,"Aset Henti Guna",'Daftar Koreksi'!$H$5:$H$92,"&lt;0")-SUMIFS('Daftar Koreksi'!$H$5:$H$92,'Daftar Koreksi'!$D$5:$D$92,'0700'!A290,'Daftar Koreksi'!$G$5:$G$92,"Aset Henti Guna",'Daftar Koreksi'!$H$5:$H$92,"&lt;0")-SUMIFS('Daftar Koreksi'!$H$5:$H$92,'Daftar Koreksi'!$D$5:$D$92,'0700'!A290,'Daftar Koreksi'!$G$5:$G$92,"Aset Henti Guna",'Daftar Koreksi'!$H$5:$H$92,"&lt;0")</f>
        <v>0</v>
      </c>
      <c r="G301" s="17">
        <f t="shared" si="13"/>
        <v>54363000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17269731525</v>
      </c>
      <c r="E302" s="19">
        <f>SUM(E293:E301)</f>
        <v>0</v>
      </c>
      <c r="F302" s="19">
        <f>SUM(F293:F301)</f>
        <v>0</v>
      </c>
      <c r="G302" s="19">
        <f t="shared" si="13"/>
        <v>17269731525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-1404716208</v>
      </c>
      <c r="E303" s="25">
        <f>SUMIFS('Daftar Koreksi'!$I$5:$I$92,'Daftar Koreksi'!$D$5:$D$92,'0700'!A290,'Daftar Koreksi'!$G$5:$G$92,"Peralatan dan mesin",'Daftar Koreksi'!$I$5:$I$92,"&gt;0")</f>
        <v>0</v>
      </c>
      <c r="F303" s="25">
        <f>SUMIFS('Daftar Koreksi'!$I$5:$I$92,'Daftar Koreksi'!$D$5:$D$92,'0700'!A290,'Daftar Koreksi'!$G$5:$G$92,"Peralatan dan mesin",'Daftar Koreksi'!$I$5:$I$92,"&lt;0")-SUMIFS('Daftar Koreksi'!$I$5:$I$92,'Daftar Koreksi'!$D$5:$D$92,'0700'!A290,'Daftar Koreksi'!$G$5:$G$92,"Peralatan dan mesin",'Daftar Koreksi'!$I$5:$I$92,"&lt;0")-SUMIFS('Daftar Koreksi'!$I$5:$I$92,'Daftar Koreksi'!$D$5:$D$92,'0700'!A290,'Daftar Koreksi'!$G$5:$G$92,"Peralatan dan mesin",'Daftar Koreksi'!$I$5:$I$92,"&lt;0")</f>
        <v>0</v>
      </c>
      <c r="G303" s="17">
        <f t="shared" si="13"/>
        <v>-1404716208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-1421089935</v>
      </c>
      <c r="E304" s="25">
        <f>SUMIFS('Daftar Koreksi'!$I$5:$I$92,'Daftar Koreksi'!$D$5:$D$92,'0700'!A290,'Daftar Koreksi'!$G$5:$G$92,"Gedung dan Bangunan",'Daftar Koreksi'!$I$5:$I$92,"&gt;0")</f>
        <v>0</v>
      </c>
      <c r="F304" s="25">
        <f>SUMIFS('Daftar Koreksi'!$I$5:$I$92,'Daftar Koreksi'!$D$5:$D$92,'0700'!A290,'Daftar Koreksi'!$G$5:$G$92,"Gedung dan Bangunan",'Daftar Koreksi'!$I$5:$I$92,"&lt;0")-SUMIFS('Daftar Koreksi'!$I$5:$I$92,'Daftar Koreksi'!$D$5:$D$92,'0700'!A290,'Daftar Koreksi'!$G$5:$G$92,"Gedung dan Bangunan",'Daftar Koreksi'!$I$5:$I$92,"&lt;0")-SUMIFS('Daftar Koreksi'!$I$5:$I$92,'Daftar Koreksi'!$D$5:$D$92,'0700'!A290,'Daftar Koreksi'!$G$5:$G$92,"Gedung dan Bangunan",'Daftar Koreksi'!$I$5:$I$92,"&lt;0")</f>
        <v>0</v>
      </c>
      <c r="G304" s="17">
        <f t="shared" si="13"/>
        <v>-1421089935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-168970000</v>
      </c>
      <c r="E305" s="25">
        <f>SUMIFS('Daftar Koreksi'!$I$5:$I$92,'Daftar Koreksi'!$D$5:$D$92,'0700'!A290,'Daftar Koreksi'!$G$5:$G$92,"Jalan Irigasi Jaringan",'Daftar Koreksi'!$I$5:$I$92,"&gt;0")</f>
        <v>0</v>
      </c>
      <c r="F305" s="25">
        <f>SUMIFS('Daftar Koreksi'!$I$5:$I$92,'Daftar Koreksi'!$D$5:$D$92,'0700'!A290,'Daftar Koreksi'!$G$5:$G$92,"Jalan Irigasi Jaringan",'Daftar Koreksi'!$I$5:$I$92,"&lt;0")-SUMIFS('Daftar Koreksi'!$I$5:$I$92,'Daftar Koreksi'!$D$5:$D$92,'0700'!A290,'Daftar Koreksi'!$G$5:$G$92,"Jalan Irigasi Jaringan",'Daftar Koreksi'!$I$5:$I$92,"&lt;0")-SUMIFS('Daftar Koreksi'!$I$5:$I$92,'Daftar Koreksi'!$D$5:$D$92,'0700'!A290,'Daftar Koreksi'!$G$5:$G$92,"Jalan Irigasi Jaringan",'Daftar Koreksi'!$I$5:$I$92,"&lt;0")</f>
        <v>0</v>
      </c>
      <c r="G305" s="17">
        <f t="shared" si="13"/>
        <v>-168970000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Koreksi'!$D$5:$D$92,'0700'!A290,'Daftar Koreksi'!$G$5:$G$92,"Aset Tetap Lainnya",'Daftar Koreksi'!$I$5:$I$92,"&gt;0")</f>
        <v>0</v>
      </c>
      <c r="F306" s="25">
        <f>SUMIFS('Daftar Koreksi'!$I$5:$I$92,'Daftar Koreksi'!$D$5:$D$92,'0700'!A290,'Daftar Koreksi'!$G$5:$G$92,"Aset Tetap Lainnya",'Daftar Koreksi'!$I$5:$I$92,"&lt;0")-SUMIFS('Daftar Koreksi'!$I$5:$I$92,'Daftar Koreksi'!$D$5:$D$92,'0700'!A290,'Daftar Koreksi'!$G$5:$G$92,"Aset Tetap Lainnya",'Daftar Koreksi'!$I$5:$I$92,"&lt;0")-SUMIFS('Daftar Koreksi'!$I$5:$I$92,'Daftar Koreksi'!$D$5:$D$92,'0700'!A290,'Daftar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-50118294</v>
      </c>
      <c r="E307" s="25">
        <f>SUMIFS('Daftar Koreksi'!$I$5:$I$92,'Daftar Koreksi'!$D$5:$D$92,'0700'!A290,'Daftar Koreksi'!$G$5:$G$92,"Aset Henti Guna",'Daftar Koreksi'!$I$5:$I$92,"&gt;0")</f>
        <v>0</v>
      </c>
      <c r="F307" s="25">
        <f>SUMIFS('Daftar Koreksi'!$I$5:$I$92,'Daftar Koreksi'!$D$5:$D$92,'0700'!A290,'Daftar Koreksi'!$G$5:$G$92,"Aset Henti Guna",'Daftar Koreksi'!$I$5:$I$92,"&lt;0")-SUMIFS('Daftar Koreksi'!$I$5:$I$92,'Daftar Koreksi'!$D$5:$D$92,'0700'!A290,'Daftar Koreksi'!$G$5:$G$92,"Aset Henti Guna",'Daftar Koreksi'!$I$5:$I$92,"&lt;0")-SUMIFS('Daftar Koreksi'!$I$5:$I$92,'Daftar Koreksi'!$D$5:$D$92,'0700'!A290,'Daftar Koreksi'!$G$5:$G$92,"Aset Henti Guna",'Daftar Koreksi'!$I$5:$I$92,"&lt;0")</f>
        <v>0</v>
      </c>
      <c r="G307" s="17">
        <f t="shared" si="13"/>
        <v>-50118294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-3044894437</v>
      </c>
      <c r="E308" s="19">
        <f>SUM(E303:E307)</f>
        <v>0</v>
      </c>
      <c r="F308" s="19">
        <f>SUM(F303:F307)</f>
        <v>0</v>
      </c>
      <c r="G308" s="19">
        <f t="shared" si="13"/>
        <v>-3044894437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14224837088</v>
      </c>
      <c r="E309" s="19">
        <f>E308+E302</f>
        <v>0</v>
      </c>
      <c r="F309" s="19">
        <f>F308+F302</f>
        <v>0</v>
      </c>
      <c r="G309" s="19">
        <f t="shared" si="13"/>
        <v>14224837088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005010700400370000KD</v>
      </c>
      <c r="B312" s="11" t="str">
        <f>P15</f>
        <v>PN. Simalungun</v>
      </c>
      <c r="C312" s="12" t="str">
        <f>A312&amp;" "&amp;B312</f>
        <v>005010700400370000KD PN. Simalungun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227500</v>
      </c>
      <c r="E315" s="25">
        <f>SUMIFS('Daftar Koreksi'!$H$5:$H$92,'Daftar Koreksi'!$D$5:$D$92,'0700'!A312,'Daftar Koreksi'!$G$5:$G$92,"Persediaan",'Daftar Koreksi'!$H$5:$H$92,"&gt;0")</f>
        <v>0</v>
      </c>
      <c r="F315" s="25">
        <f>SUMIFS('Daftar Koreksi'!$H$5:$H$92,'Daftar Koreksi'!$D$5:$D$92,'0700'!A312,'Daftar Koreksi'!$G$5:$G$92,"Persediaan",'Daftar Koreksi'!$H$5:$H$92,"&lt;0")-SUMIFS('Daftar Koreksi'!$H$5:$H$92,'Daftar Koreksi'!$D$5:$D$92,'0700'!A312,'Daftar Koreksi'!$G$5:$G$92,"Persediaan",'Daftar Koreksi'!$H$5:$H$92,"&lt;0")-SUMIFS('Daftar Koreksi'!$H$5:$H$92,'Daftar Koreksi'!$D$5:$D$92,'0700'!A312,'Daftar Koreksi'!$G$5:$G$92,"Persediaan",'Daftar Koreksi'!$H$5:$H$92,"&lt;0")</f>
        <v>0</v>
      </c>
      <c r="G315" s="17">
        <f>D315+E315-F315</f>
        <v>227500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1906900000</v>
      </c>
      <c r="E316" s="25">
        <f>SUMIFS('Daftar Koreksi'!$H$5:$H$92,'Daftar Koreksi'!$D$5:$D$92,'0700'!A312,'Daftar Koreksi'!$G$5:$G$92,"Tanah",'Daftar Koreksi'!$H$5:$H$92,"&gt;0")</f>
        <v>0</v>
      </c>
      <c r="F316" s="25">
        <f>SUMIFS('Daftar Koreksi'!$H$5:$H$92,'Daftar Koreksi'!$D$5:$D$92,'0700'!A312,'Daftar Koreksi'!$G$5:$G$92,"Tanah",'Daftar Koreksi'!$H$5:$H$92,"&lt;0")-SUMIFS('Daftar Koreksi'!$H$5:$H$92,'Daftar Koreksi'!$D$5:$D$92,'0700'!A312,'Daftar Koreksi'!$G$5:$G$92,"Tanah",'Daftar Koreksi'!$H$5:$H$92,"&lt;0")-SUMIFS('Daftar Koreksi'!$H$5:$H$92,'Daftar Koreksi'!$D$5:$D$92,'0700'!A312,'Daftar Koreksi'!$G$5:$G$92,"Tanah",'Daftar Koreksi'!$H$5:$H$92,"&lt;0")</f>
        <v>0</v>
      </c>
      <c r="G316" s="17">
        <f t="shared" ref="G316:G332" si="14">D316+E316-F316</f>
        <v>1906900000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1462758284</v>
      </c>
      <c r="E317" s="25">
        <f>SUMIFS('Daftar Koreksi'!$H$5:$H$92,'Daftar Koreksi'!$D$5:$D$92,'0700'!A312,'Daftar Koreksi'!$G$5:$G$92,"Peralatan dan mesin",'Daftar Koreksi'!$H$5:$H$92,"&gt;0")</f>
        <v>0</v>
      </c>
      <c r="F317" s="25">
        <f>SUMIFS('Daftar Koreksi'!$H$5:$H$92,'Daftar Koreksi'!$D$5:$D$92,'0700'!A312,'Daftar Koreksi'!$G$5:$G$92,"Peralatan dan mesin",'Daftar Koreksi'!$H$5:$H$92,"&lt;0")-SUMIFS('Daftar Koreksi'!$H$5:$H$92,'Daftar Koreksi'!$D$5:$D$92,'0700'!A312,'Daftar Koreksi'!$G$5:$G$92,"Peralatan dan mesin",'Daftar Koreksi'!$H$5:$H$92,"&lt;0")-SUMIFS('Daftar Koreksi'!$H$5:$H$92,'Daftar Koreksi'!$D$5:$D$92,'0700'!A312,'Daftar Koreksi'!$G$5:$G$92,"Peralatan dan mesin",'Daftar Koreksi'!$H$5:$H$92,"&lt;0")</f>
        <v>0</v>
      </c>
      <c r="G317" s="17">
        <f t="shared" si="14"/>
        <v>1462758284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3503850602</v>
      </c>
      <c r="E318" s="25">
        <f>SUMIFS('Daftar Koreksi'!$H$5:$H$92,'Daftar Koreksi'!$D$5:$D$92,'0700'!A312,'Daftar Koreksi'!$G$5:$G$92,"Gedung dan Bangunan",'Daftar Koreksi'!$H$5:$H$92,"&gt;0")</f>
        <v>0</v>
      </c>
      <c r="F318" s="25">
        <f>SUMIFS('Daftar Koreksi'!$H$5:$H$92,'Daftar Koreksi'!$D$5:$D$92,'0700'!A312,'Daftar Koreksi'!$G$5:$G$92,"Gedung dan Bangunan",'Daftar Koreksi'!$H$5:$H$92,"&lt;0")-SUMIFS('Daftar Koreksi'!$H$5:$H$92,'Daftar Koreksi'!$D$5:$D$92,'0700'!A312,'Daftar Koreksi'!$G$5:$G$92,"Gedung dan Bangunan",'Daftar Koreksi'!$H$5:$H$92,"&lt;0")-SUMIFS('Daftar Koreksi'!$H$5:$H$92,'Daftar Koreksi'!$D$5:$D$92,'0700'!A312,'Daftar Koreksi'!$G$5:$G$92,"Gedung dan Bangunan",'Daftar Koreksi'!$H$5:$H$92,"&lt;0")</f>
        <v>0</v>
      </c>
      <c r="G318" s="17">
        <f t="shared" si="14"/>
        <v>3503850602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Koreksi'!$D$5:$D$92,'0700'!A312,'Daftar Koreksi'!$G$5:$G$92,"Jalan Irigasi Jaringan",'Daftar Koreksi'!$H$5:$H$92,"&gt;0")</f>
        <v>0</v>
      </c>
      <c r="F319" s="25">
        <f>SUMIFS('Daftar Koreksi'!$H$5:$H$92,'Daftar Koreksi'!$D$5:$D$92,'0700'!A312,'Daftar Koreksi'!$G$5:$G$92,"Jalan Irigasi Jaringan",'Daftar Koreksi'!$H$5:$H$92,"&lt;0")-SUMIFS('Daftar Koreksi'!$H$5:$H$92,'Daftar Koreksi'!$D$5:$D$92,'0700'!A312,'Daftar Koreksi'!$G$5:$G$92,"Jalan Irigasi Jaringan",'Daftar Koreksi'!$H$5:$H$92,"&lt;0")-SUMIFS('Daftar Koreksi'!$H$5:$H$92,'Daftar Koreksi'!$D$5:$D$92,'0700'!A312,'Daftar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7755516</v>
      </c>
      <c r="E320" s="25">
        <f>SUMIFS('Daftar Koreksi'!$H$5:$H$92,'Daftar Koreksi'!$D$5:$D$92,'0700'!A312,'Daftar Koreksi'!$G$5:$G$92,"Aset Tetap Lainnya",'Daftar Koreksi'!$H$5:$H$92,"&gt;0")</f>
        <v>0</v>
      </c>
      <c r="F320" s="25">
        <f>SUMIFS('Daftar Koreksi'!$H$5:$H$92,'Daftar Koreksi'!$D$5:$D$92,'0700'!A312,'Daftar Koreksi'!$G$5:$G$92,"Aset Tetap Lainnya",'Daftar Koreksi'!$H$5:$H$92,"&lt;0")-SUMIFS('Daftar Koreksi'!$H$5:$H$92,'Daftar Koreksi'!$D$5:$D$92,'0700'!A312,'Daftar Koreksi'!$G$5:$G$92,"Aset Tetap Lainnya",'Daftar Koreksi'!$H$5:$H$92,"&lt;0")-SUMIFS('Daftar Koreksi'!$H$5:$H$92,'Daftar Koreksi'!$D$5:$D$92,'0700'!A312,'Daftar Koreksi'!$G$5:$G$92,"Aset Tetap Lainnya",'Daftar Koreksi'!$H$5:$H$92,"&lt;0")</f>
        <v>0</v>
      </c>
      <c r="G320" s="17">
        <f t="shared" si="14"/>
        <v>7755516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Koreksi'!$D$5:$D$92,'0700'!A312,'Daftar Koreksi'!$G$5:$G$92,"Kontruksi Dalam Pengerjaan",'Daftar Koreksi'!$H$5:$H$92,"&gt;0")</f>
        <v>0</v>
      </c>
      <c r="F321" s="25">
        <f>SUMIFS('Daftar Koreksi'!$H$5:$H$92,'Daftar Koreksi'!$D$5:$D$92,'0700'!A312,'Daftar Koreksi'!$G$5:$G$92,"Kontruksi Dalam Pengerjaan",'Daftar Koreksi'!$H$5:$H$92,"&lt;0")-SUMIFS('Daftar Koreksi'!$H$5:$H$92,'Daftar Koreksi'!$D$5:$D$92,'0700'!A312,'Daftar Koreksi'!$G$5:$G$92,"Kontruksi Dalam Pengerjaan",'Daftar Koreksi'!$H$5:$H$92,"&lt;0")-SUMIFS('Daftar Koreksi'!$H$5:$H$92,'Daftar Koreksi'!$D$5:$D$92,'0700'!A312,'Daftar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Koreksi'!$D$5:$D$92,'0700'!A312,'Daftar Koreksi'!$G$5:$G$92,"Aset Tak Berwujud",'Daftar Koreksi'!$H$5:$H$92,"&gt;0")</f>
        <v>0</v>
      </c>
      <c r="F322" s="25">
        <f>SUMIFS('Daftar Koreksi'!$H$5:$H$92,'Daftar Koreksi'!$D$5:$D$92,'0700'!A312,'Daftar Koreksi'!$G$5:$G$92,"Aset Tak Berwujud",'Daftar Koreksi'!$H$5:$H$92,"&lt;0")-SUMIFS('Daftar Koreksi'!$H$5:$H$92,'Daftar Koreksi'!$D$5:$D$92,'0700'!A312,'Daftar Koreksi'!$G$5:$G$92,"Aset Tak Berwujud",'Daftar Koreksi'!$H$5:$H$92,"&lt;0")-SUMIFS('Daftar Koreksi'!$H$5:$H$92,'Daftar Koreksi'!$D$5:$D$92,'0700'!A312,'Daftar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121923550</v>
      </c>
      <c r="E323" s="25">
        <f>SUMIFS('Daftar Koreksi'!$H$5:$H$92,'Daftar Koreksi'!$D$5:$D$92,'0700'!A312,'Daftar Koreksi'!$G$5:$G$92,"Aset Henti Guna",'Daftar Koreksi'!$H$5:$H$92,"&gt;0")</f>
        <v>0</v>
      </c>
      <c r="F323" s="25">
        <f>SUMIFS('Daftar Koreksi'!$H$5:$H$92,'Daftar Koreksi'!$D$5:$D$92,'0700'!A312,'Daftar Koreksi'!$G$5:$G$92,"Aset Henti Guna",'Daftar Koreksi'!$H$5:$H$92,"&lt;0")-SUMIFS('Daftar Koreksi'!$H$5:$H$92,'Daftar Koreksi'!$D$5:$D$92,'0700'!A312,'Daftar Koreksi'!$G$5:$G$92,"Aset Henti Guna",'Daftar Koreksi'!$H$5:$H$92,"&lt;0")-SUMIFS('Daftar Koreksi'!$H$5:$H$92,'Daftar Koreksi'!$D$5:$D$92,'0700'!A312,'Daftar Koreksi'!$G$5:$G$92,"Aset Henti Guna",'Daftar Koreksi'!$H$5:$H$92,"&lt;0")</f>
        <v>0</v>
      </c>
      <c r="G323" s="17">
        <f t="shared" si="14"/>
        <v>121923550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7003415452</v>
      </c>
      <c r="E324" s="19">
        <f>SUM(E315:E323)</f>
        <v>0</v>
      </c>
      <c r="F324" s="19">
        <f>SUM(F315:F323)</f>
        <v>0</v>
      </c>
      <c r="G324" s="19">
        <f t="shared" si="14"/>
        <v>7003415452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-1343312748</v>
      </c>
      <c r="E325" s="25">
        <f>SUMIFS('Daftar Koreksi'!$I$5:$I$92,'Daftar Koreksi'!$D$5:$D$92,'0700'!A312,'Daftar Koreksi'!$G$5:$G$92,"Peralatan dan mesin",'Daftar Koreksi'!$I$5:$I$92,"&gt;0")</f>
        <v>0</v>
      </c>
      <c r="F325" s="25">
        <f>SUMIFS('Daftar Koreksi'!$I$5:$I$92,'Daftar Koreksi'!$D$5:$D$92,'0700'!A312,'Daftar Koreksi'!$G$5:$G$92,"Peralatan dan mesin",'Daftar Koreksi'!$I$5:$I$92,"&lt;0")-SUMIFS('Daftar Koreksi'!$I$5:$I$92,'Daftar Koreksi'!$D$5:$D$92,'0700'!A312,'Daftar Koreksi'!$G$5:$G$92,"Peralatan dan mesin",'Daftar Koreksi'!$I$5:$I$92,"&lt;0")-SUMIFS('Daftar Koreksi'!$I$5:$I$92,'Daftar Koreksi'!$D$5:$D$92,'0700'!A312,'Daftar Koreksi'!$G$5:$G$92,"Peralatan dan mesin",'Daftar Koreksi'!$I$5:$I$92,"&lt;0")</f>
        <v>0</v>
      </c>
      <c r="G325" s="17">
        <f t="shared" si="14"/>
        <v>-1343312748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-1450958995</v>
      </c>
      <c r="E326" s="25">
        <f>SUMIFS('Daftar Koreksi'!$I$5:$I$92,'Daftar Koreksi'!$D$5:$D$92,'0700'!A312,'Daftar Koreksi'!$G$5:$G$92,"Gedung dan Bangunan",'Daftar Koreksi'!$I$5:$I$92,"&gt;0")</f>
        <v>0</v>
      </c>
      <c r="F326" s="25">
        <f>SUMIFS('Daftar Koreksi'!$I$5:$I$92,'Daftar Koreksi'!$D$5:$D$92,'0700'!A312,'Daftar Koreksi'!$G$5:$G$92,"Gedung dan Bangunan",'Daftar Koreksi'!$I$5:$I$92,"&lt;0")-SUMIFS('Daftar Koreksi'!$I$5:$I$92,'Daftar Koreksi'!$D$5:$D$92,'0700'!A312,'Daftar Koreksi'!$G$5:$G$92,"Gedung dan Bangunan",'Daftar Koreksi'!$I$5:$I$92,"&lt;0")-SUMIFS('Daftar Koreksi'!$I$5:$I$92,'Daftar Koreksi'!$D$5:$D$92,'0700'!A312,'Daftar Koreksi'!$G$5:$G$92,"Gedung dan Bangunan",'Daftar Koreksi'!$I$5:$I$92,"&lt;0")</f>
        <v>0</v>
      </c>
      <c r="G326" s="17">
        <f t="shared" si="14"/>
        <v>-1450958995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Koreksi'!$D$5:$D$92,'0700'!A312,'Daftar Koreksi'!$G$5:$G$92,"Jalan Irigasi Jaringan",'Daftar Koreksi'!$I$5:$I$92,"&gt;0")</f>
        <v>0</v>
      </c>
      <c r="F327" s="25">
        <f>SUMIFS('Daftar Koreksi'!$I$5:$I$92,'Daftar Koreksi'!$D$5:$D$92,'0700'!A312,'Daftar Koreksi'!$G$5:$G$92,"Jalan Irigasi Jaringan",'Daftar Koreksi'!$I$5:$I$92,"&lt;0")-SUMIFS('Daftar Koreksi'!$I$5:$I$92,'Daftar Koreksi'!$D$5:$D$92,'0700'!A312,'Daftar Koreksi'!$G$5:$G$92,"Jalan Irigasi Jaringan",'Daftar Koreksi'!$I$5:$I$92,"&lt;0")-SUMIFS('Daftar Koreksi'!$I$5:$I$92,'Daftar Koreksi'!$D$5:$D$92,'0700'!A312,'Daftar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Koreksi'!$D$5:$D$92,'0700'!A312,'Daftar Koreksi'!$G$5:$G$92,"Aset Tetap Lainnya",'Daftar Koreksi'!$I$5:$I$92,"&gt;0")</f>
        <v>0</v>
      </c>
      <c r="F328" s="25">
        <f>SUMIFS('Daftar Koreksi'!$I$5:$I$92,'Daftar Koreksi'!$D$5:$D$92,'0700'!A312,'Daftar Koreksi'!$G$5:$G$92,"Aset Tetap Lainnya",'Daftar Koreksi'!$I$5:$I$92,"&lt;0")-SUMIFS('Daftar Koreksi'!$I$5:$I$92,'Daftar Koreksi'!$D$5:$D$92,'0700'!A312,'Daftar Koreksi'!$G$5:$G$92,"Aset Tetap Lainnya",'Daftar Koreksi'!$I$5:$I$92,"&lt;0")-SUMIFS('Daftar Koreksi'!$I$5:$I$92,'Daftar Koreksi'!$D$5:$D$92,'0700'!A312,'Daftar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-121761050</v>
      </c>
      <c r="E329" s="25">
        <f>SUMIFS('Daftar Koreksi'!$I$5:$I$92,'Daftar Koreksi'!$D$5:$D$92,'0700'!A312,'Daftar Koreksi'!$G$5:$G$92,"Aset Henti Guna",'Daftar Koreksi'!$I$5:$I$92,"&gt;0")</f>
        <v>0</v>
      </c>
      <c r="F329" s="25">
        <f>SUMIFS('Daftar Koreksi'!$I$5:$I$92,'Daftar Koreksi'!$D$5:$D$92,'0700'!A312,'Daftar Koreksi'!$G$5:$G$92,"Aset Henti Guna",'Daftar Koreksi'!$I$5:$I$92,"&lt;0")-SUMIFS('Daftar Koreksi'!$I$5:$I$92,'Daftar Koreksi'!$D$5:$D$92,'0700'!A312,'Daftar Koreksi'!$G$5:$G$92,"Aset Henti Guna",'Daftar Koreksi'!$I$5:$I$92,"&lt;0")-SUMIFS('Daftar Koreksi'!$I$5:$I$92,'Daftar Koreksi'!$D$5:$D$92,'0700'!A312,'Daftar Koreksi'!$G$5:$G$92,"Aset Henti Guna",'Daftar Koreksi'!$I$5:$I$92,"&lt;0")</f>
        <v>0</v>
      </c>
      <c r="G329" s="17">
        <f t="shared" si="14"/>
        <v>-121761050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-2916032793</v>
      </c>
      <c r="E330" s="19">
        <f>SUM(E325:E329)</f>
        <v>0</v>
      </c>
      <c r="F330" s="19">
        <f>SUM(F325:F329)</f>
        <v>0</v>
      </c>
      <c r="G330" s="19">
        <f t="shared" si="14"/>
        <v>-2916032793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4087382659</v>
      </c>
      <c r="E331" s="19">
        <f>E330+E324</f>
        <v>0</v>
      </c>
      <c r="F331" s="19">
        <f>F330+F324</f>
        <v>0</v>
      </c>
      <c r="G331" s="19">
        <f t="shared" si="14"/>
        <v>4087382659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005010700400389000KD</v>
      </c>
      <c r="B334" s="11" t="str">
        <f>P16</f>
        <v>PN. Kisaran</v>
      </c>
      <c r="C334" s="12" t="str">
        <f>A334&amp;" "&amp;B334</f>
        <v>005010700400389000KD PN. Kisaran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1327600</v>
      </c>
      <c r="E337" s="25">
        <f>SUMIFS('Daftar Koreksi'!$H$5:$H$92,'Daftar Koreksi'!$D$5:$D$92,'0700'!A334,'Daftar Koreksi'!$G$5:$G$92,"Persediaan",'Daftar Koreksi'!$H$5:$H$92,"&gt;0")</f>
        <v>0</v>
      </c>
      <c r="F337" s="25">
        <f>SUMIFS('Daftar Koreksi'!$H$5:$H$92,'Daftar Koreksi'!$D$5:$D$92,'0700'!A334,'Daftar Koreksi'!$G$5:$G$92,"Persediaan",'Daftar Koreksi'!$H$5:$H$92,"&lt;0")-SUMIFS('Daftar Koreksi'!$H$5:$H$92,'Daftar Koreksi'!$D$5:$D$92,'0700'!A334,'Daftar Koreksi'!$G$5:$G$92,"Persediaan",'Daftar Koreksi'!$H$5:$H$92,"&lt;0")-SUMIFS('Daftar Koreksi'!$H$5:$H$92,'Daftar Koreksi'!$D$5:$D$92,'0700'!A334,'Daftar Koreksi'!$G$5:$G$92,"Persediaan",'Daftar Koreksi'!$H$5:$H$92,"&lt;0")</f>
        <v>0</v>
      </c>
      <c r="G337" s="17">
        <f>D337+E337-F337</f>
        <v>1327600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2456455000</v>
      </c>
      <c r="E338" s="25">
        <f>SUMIFS('Daftar Koreksi'!$H$5:$H$92,'Daftar Koreksi'!$D$5:$D$92,'0700'!A334,'Daftar Koreksi'!$G$5:$G$92,"Tanah",'Daftar Koreksi'!$H$5:$H$92,"&gt;0")</f>
        <v>0</v>
      </c>
      <c r="F338" s="25">
        <f>SUMIFS('Daftar Koreksi'!$H$5:$H$92,'Daftar Koreksi'!$D$5:$D$92,'0700'!A334,'Daftar Koreksi'!$G$5:$G$92,"Tanah",'Daftar Koreksi'!$H$5:$H$92,"&lt;0")-SUMIFS('Daftar Koreksi'!$H$5:$H$92,'Daftar Koreksi'!$D$5:$D$92,'0700'!A334,'Daftar Koreksi'!$G$5:$G$92,"Tanah",'Daftar Koreksi'!$H$5:$H$92,"&lt;0")-SUMIFS('Daftar Koreksi'!$H$5:$H$92,'Daftar Koreksi'!$D$5:$D$92,'0700'!A334,'Daftar Koreksi'!$G$5:$G$92,"Tanah",'Daftar Koreksi'!$H$5:$H$92,"&lt;0")</f>
        <v>0</v>
      </c>
      <c r="G338" s="17">
        <f t="shared" ref="G338:G354" si="15">D338+E338-F338</f>
        <v>2456455000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1313193359</v>
      </c>
      <c r="E339" s="25">
        <f>SUMIFS('Daftar Koreksi'!$H$5:$H$92,'Daftar Koreksi'!$D$5:$D$92,'0700'!A334,'Daftar Koreksi'!$G$5:$G$92,"Peralatan dan mesin",'Daftar Koreksi'!$H$5:$H$92,"&gt;0")</f>
        <v>0</v>
      </c>
      <c r="F339" s="25">
        <f>SUMIFS('Daftar Koreksi'!$H$5:$H$92,'Daftar Koreksi'!$D$5:$D$92,'0700'!A334,'Daftar Koreksi'!$G$5:$G$92,"Peralatan dan mesin",'Daftar Koreksi'!$H$5:$H$92,"&lt;0")-SUMIFS('Daftar Koreksi'!$H$5:$H$92,'Daftar Koreksi'!$D$5:$D$92,'0700'!A334,'Daftar Koreksi'!$G$5:$G$92,"Peralatan dan mesin",'Daftar Koreksi'!$H$5:$H$92,"&lt;0")-SUMIFS('Daftar Koreksi'!$H$5:$H$92,'Daftar Koreksi'!$D$5:$D$92,'0700'!A334,'Daftar Koreksi'!$G$5:$G$92,"Peralatan dan mesin",'Daftar Koreksi'!$H$5:$H$92,"&lt;0")</f>
        <v>0</v>
      </c>
      <c r="G339" s="17">
        <f t="shared" si="15"/>
        <v>1313193359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6392509649</v>
      </c>
      <c r="E340" s="25">
        <f>SUMIFS('Daftar Koreksi'!$H$5:$H$92,'Daftar Koreksi'!$D$5:$D$92,'0700'!A334,'Daftar Koreksi'!$G$5:$G$92,"Gedung dan Bangunan",'Daftar Koreksi'!$H$5:$H$92,"&gt;0")</f>
        <v>0</v>
      </c>
      <c r="F340" s="25">
        <f>SUMIFS('Daftar Koreksi'!$H$5:$H$92,'Daftar Koreksi'!$D$5:$D$92,'0700'!A334,'Daftar Koreksi'!$G$5:$G$92,"Gedung dan Bangunan",'Daftar Koreksi'!$H$5:$H$92,"&lt;0")-SUMIFS('Daftar Koreksi'!$H$5:$H$92,'Daftar Koreksi'!$D$5:$D$92,'0700'!A334,'Daftar Koreksi'!$G$5:$G$92,"Gedung dan Bangunan",'Daftar Koreksi'!$H$5:$H$92,"&lt;0")-SUMIFS('Daftar Koreksi'!$H$5:$H$92,'Daftar Koreksi'!$D$5:$D$92,'0700'!A334,'Daftar Koreksi'!$G$5:$G$92,"Gedung dan Bangunan",'Daftar Koreksi'!$H$5:$H$92,"&lt;0")</f>
        <v>0</v>
      </c>
      <c r="G340" s="17">
        <f t="shared" si="15"/>
        <v>6392509649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150225000</v>
      </c>
      <c r="E341" s="25">
        <f>SUMIFS('Daftar Koreksi'!$H$5:$H$92,'Daftar Koreksi'!$D$5:$D$92,'0700'!A334,'Daftar Koreksi'!$G$5:$G$92,"Jalan Irigasi Jaringan",'Daftar Koreksi'!$H$5:$H$92,"&gt;0")</f>
        <v>0</v>
      </c>
      <c r="F341" s="25">
        <f>SUMIFS('Daftar Koreksi'!$H$5:$H$92,'Daftar Koreksi'!$D$5:$D$92,'0700'!A334,'Daftar Koreksi'!$G$5:$G$92,"Jalan Irigasi Jaringan",'Daftar Koreksi'!$H$5:$H$92,"&lt;0")-SUMIFS('Daftar Koreksi'!$H$5:$H$92,'Daftar Koreksi'!$D$5:$D$92,'0700'!A334,'Daftar Koreksi'!$G$5:$G$92,"Jalan Irigasi Jaringan",'Daftar Koreksi'!$H$5:$H$92,"&lt;0")-SUMIFS('Daftar Koreksi'!$H$5:$H$92,'Daftar Koreksi'!$D$5:$D$92,'0700'!A334,'Daftar Koreksi'!$G$5:$G$92,"Jalan Irigasi Jaringan",'Daftar Koreksi'!$H$5:$H$92,"&lt;0")</f>
        <v>0</v>
      </c>
      <c r="G341" s="17">
        <f t="shared" si="15"/>
        <v>150225000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7271288</v>
      </c>
      <c r="E342" s="25">
        <f>SUMIFS('Daftar Koreksi'!$H$5:$H$92,'Daftar Koreksi'!$D$5:$D$92,'0700'!A334,'Daftar Koreksi'!$G$5:$G$92,"Aset Tetap Lainnya",'Daftar Koreksi'!$H$5:$H$92,"&gt;0")</f>
        <v>0</v>
      </c>
      <c r="F342" s="25">
        <f>SUMIFS('Daftar Koreksi'!$H$5:$H$92,'Daftar Koreksi'!$D$5:$D$92,'0700'!A334,'Daftar Koreksi'!$G$5:$G$92,"Aset Tetap Lainnya",'Daftar Koreksi'!$H$5:$H$92,"&lt;0")-SUMIFS('Daftar Koreksi'!$H$5:$H$92,'Daftar Koreksi'!$D$5:$D$92,'0700'!A334,'Daftar Koreksi'!$G$5:$G$92,"Aset Tetap Lainnya",'Daftar Koreksi'!$H$5:$H$92,"&lt;0")-SUMIFS('Daftar Koreksi'!$H$5:$H$92,'Daftar Koreksi'!$D$5:$D$92,'0700'!A334,'Daftar Koreksi'!$G$5:$G$92,"Aset Tetap Lainnya",'Daftar Koreksi'!$H$5:$H$92,"&lt;0")</f>
        <v>0</v>
      </c>
      <c r="G342" s="17">
        <f t="shared" si="15"/>
        <v>7271288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Koreksi'!$D$5:$D$92,'0700'!A334,'Daftar Koreksi'!$G$5:$G$92,"Kontruksi Dalam Pengerjaan",'Daftar Koreksi'!$H$5:$H$92,"&gt;0")</f>
        <v>0</v>
      </c>
      <c r="F343" s="25">
        <f>SUMIFS('Daftar Koreksi'!$H$5:$H$92,'Daftar Koreksi'!$D$5:$D$92,'0700'!A334,'Daftar Koreksi'!$G$5:$G$92,"Kontruksi Dalam Pengerjaan",'Daftar Koreksi'!$H$5:$H$92,"&lt;0")-SUMIFS('Daftar Koreksi'!$H$5:$H$92,'Daftar Koreksi'!$D$5:$D$92,'0700'!A334,'Daftar Koreksi'!$G$5:$G$92,"Kontruksi Dalam Pengerjaan",'Daftar Koreksi'!$H$5:$H$92,"&lt;0")-SUMIFS('Daftar Koreksi'!$H$5:$H$92,'Daftar Koreksi'!$D$5:$D$92,'0700'!A334,'Daftar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Koreksi'!$D$5:$D$92,'0700'!A334,'Daftar Koreksi'!$G$5:$G$92,"Aset Tak Berwujud",'Daftar Koreksi'!$H$5:$H$92,"&gt;0")</f>
        <v>0</v>
      </c>
      <c r="F344" s="25">
        <f>SUMIFS('Daftar Koreksi'!$H$5:$H$92,'Daftar Koreksi'!$D$5:$D$92,'0700'!A334,'Daftar Koreksi'!$G$5:$G$92,"Aset Tak Berwujud",'Daftar Koreksi'!$H$5:$H$92,"&lt;0")-SUMIFS('Daftar Koreksi'!$H$5:$H$92,'Daftar Koreksi'!$D$5:$D$92,'0700'!A334,'Daftar Koreksi'!$G$5:$G$92,"Aset Tak Berwujud",'Daftar Koreksi'!$H$5:$H$92,"&lt;0")-SUMIFS('Daftar Koreksi'!$H$5:$H$92,'Daftar Koreksi'!$D$5:$D$92,'0700'!A334,'Daftar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Koreksi'!$D$5:$D$92,'0700'!A334,'Daftar Koreksi'!$G$5:$G$92,"Aset Henti Guna",'Daftar Koreksi'!$H$5:$H$92,"&gt;0")</f>
        <v>0</v>
      </c>
      <c r="F345" s="25">
        <f>SUMIFS('Daftar Koreksi'!$H$5:$H$92,'Daftar Koreksi'!$D$5:$D$92,'0700'!A334,'Daftar Koreksi'!$G$5:$G$92,"Aset Henti Guna",'Daftar Koreksi'!$H$5:$H$92,"&lt;0")-SUMIFS('Daftar Koreksi'!$H$5:$H$92,'Daftar Koreksi'!$D$5:$D$92,'0700'!A334,'Daftar Koreksi'!$G$5:$G$92,"Aset Henti Guna",'Daftar Koreksi'!$H$5:$H$92,"&lt;0")-SUMIFS('Daftar Koreksi'!$H$5:$H$92,'Daftar Koreksi'!$D$5:$D$92,'0700'!A334,'Daftar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10320981896</v>
      </c>
      <c r="E346" s="19">
        <f>SUM(E337:E345)</f>
        <v>0</v>
      </c>
      <c r="F346" s="19">
        <f>SUM(F337:F345)</f>
        <v>0</v>
      </c>
      <c r="G346" s="19">
        <f t="shared" si="15"/>
        <v>10320981896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-836392735</v>
      </c>
      <c r="E347" s="25">
        <f>SUMIFS('Daftar Koreksi'!$I$5:$I$92,'Daftar Koreksi'!$D$5:$D$92,'0700'!A334,'Daftar Koreksi'!$G$5:$G$92,"Peralatan dan mesin",'Daftar Koreksi'!$I$5:$I$92,"&gt;0")</f>
        <v>0</v>
      </c>
      <c r="F347" s="25">
        <f>SUMIFS('Daftar Koreksi'!$I$5:$I$92,'Daftar Koreksi'!$D$5:$D$92,'0700'!A334,'Daftar Koreksi'!$G$5:$G$92,"Peralatan dan mesin",'Daftar Koreksi'!$I$5:$I$92,"&lt;0")-SUMIFS('Daftar Koreksi'!$I$5:$I$92,'Daftar Koreksi'!$D$5:$D$92,'0700'!A334,'Daftar Koreksi'!$G$5:$G$92,"Peralatan dan mesin",'Daftar Koreksi'!$I$5:$I$92,"&lt;0")-SUMIFS('Daftar Koreksi'!$I$5:$I$92,'Daftar Koreksi'!$D$5:$D$92,'0700'!A334,'Daftar Koreksi'!$G$5:$G$92,"Peralatan dan mesin",'Daftar Koreksi'!$I$5:$I$92,"&lt;0")</f>
        <v>0</v>
      </c>
      <c r="G347" s="17">
        <f t="shared" si="15"/>
        <v>-836392735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-1562400345</v>
      </c>
      <c r="E348" s="25">
        <f>SUMIFS('Daftar Koreksi'!$I$5:$I$92,'Daftar Koreksi'!$D$5:$D$92,'0700'!A334,'Daftar Koreksi'!$G$5:$G$92,"Gedung dan Bangunan",'Daftar Koreksi'!$I$5:$I$92,"&gt;0")</f>
        <v>0</v>
      </c>
      <c r="F348" s="25">
        <f>SUMIFS('Daftar Koreksi'!$I$5:$I$92,'Daftar Koreksi'!$D$5:$D$92,'0700'!A334,'Daftar Koreksi'!$G$5:$G$92,"Gedung dan Bangunan",'Daftar Koreksi'!$I$5:$I$92,"&lt;0")-SUMIFS('Daftar Koreksi'!$I$5:$I$92,'Daftar Koreksi'!$D$5:$D$92,'0700'!A334,'Daftar Koreksi'!$G$5:$G$92,"Gedung dan Bangunan",'Daftar Koreksi'!$I$5:$I$92,"&lt;0")-SUMIFS('Daftar Koreksi'!$I$5:$I$92,'Daftar Koreksi'!$D$5:$D$92,'0700'!A334,'Daftar Koreksi'!$G$5:$G$92,"Gedung dan Bangunan",'Daftar Koreksi'!$I$5:$I$92,"&lt;0")</f>
        <v>0</v>
      </c>
      <c r="G348" s="17">
        <f t="shared" si="15"/>
        <v>-1562400345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-46010625</v>
      </c>
      <c r="E349" s="25">
        <f>SUMIFS('Daftar Koreksi'!$I$5:$I$92,'Daftar Koreksi'!$D$5:$D$92,'0700'!A334,'Daftar Koreksi'!$G$5:$G$92,"Jalan Irigasi Jaringan",'Daftar Koreksi'!$I$5:$I$92,"&gt;0")</f>
        <v>0</v>
      </c>
      <c r="F349" s="25">
        <f>SUMIFS('Daftar Koreksi'!$I$5:$I$92,'Daftar Koreksi'!$D$5:$D$92,'0700'!A334,'Daftar Koreksi'!$G$5:$G$92,"Jalan Irigasi Jaringan",'Daftar Koreksi'!$I$5:$I$92,"&lt;0")-SUMIFS('Daftar Koreksi'!$I$5:$I$92,'Daftar Koreksi'!$D$5:$D$92,'0700'!A334,'Daftar Koreksi'!$G$5:$G$92,"Jalan Irigasi Jaringan",'Daftar Koreksi'!$I$5:$I$92,"&lt;0")-SUMIFS('Daftar Koreksi'!$I$5:$I$92,'Daftar Koreksi'!$D$5:$D$92,'0700'!A334,'Daftar Koreksi'!$G$5:$G$92,"Jalan Irigasi Jaringan",'Daftar Koreksi'!$I$5:$I$92,"&lt;0")</f>
        <v>0</v>
      </c>
      <c r="G349" s="17">
        <f t="shared" si="15"/>
        <v>-46010625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Koreksi'!$D$5:$D$92,'0700'!A334,'Daftar Koreksi'!$G$5:$G$92,"Aset Tetap Lainnya",'Daftar Koreksi'!$I$5:$I$92,"&gt;0")</f>
        <v>0</v>
      </c>
      <c r="F350" s="25">
        <f>SUMIFS('Daftar Koreksi'!$I$5:$I$92,'Daftar Koreksi'!$D$5:$D$92,'0700'!A334,'Daftar Koreksi'!$G$5:$G$92,"Aset Tetap Lainnya",'Daftar Koreksi'!$I$5:$I$92,"&lt;0")-SUMIFS('Daftar Koreksi'!$I$5:$I$92,'Daftar Koreksi'!$D$5:$D$92,'0700'!A334,'Daftar Koreksi'!$G$5:$G$92,"Aset Tetap Lainnya",'Daftar Koreksi'!$I$5:$I$92,"&lt;0")-SUMIFS('Daftar Koreksi'!$I$5:$I$92,'Daftar Koreksi'!$D$5:$D$92,'0700'!A334,'Daftar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Koreksi'!$D$5:$D$92,'0700'!A334,'Daftar Koreksi'!$G$5:$G$92,"Aset Henti Guna",'Daftar Koreksi'!$I$5:$I$92,"&gt;0")</f>
        <v>0</v>
      </c>
      <c r="F351" s="25">
        <f>SUMIFS('Daftar Koreksi'!$I$5:$I$92,'Daftar Koreksi'!$D$5:$D$92,'0700'!A334,'Daftar Koreksi'!$G$5:$G$92,"Aset Henti Guna",'Daftar Koreksi'!$I$5:$I$92,"&lt;0")-SUMIFS('Daftar Koreksi'!$I$5:$I$92,'Daftar Koreksi'!$D$5:$D$92,'0700'!A334,'Daftar Koreksi'!$G$5:$G$92,"Aset Henti Guna",'Daftar Koreksi'!$I$5:$I$92,"&lt;0")-SUMIFS('Daftar Koreksi'!$I$5:$I$92,'Daftar Koreksi'!$D$5:$D$92,'0700'!A334,'Daftar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-2444803705</v>
      </c>
      <c r="E352" s="19">
        <f>SUM(E347:E351)</f>
        <v>0</v>
      </c>
      <c r="F352" s="19">
        <f>SUM(F347:F351)</f>
        <v>0</v>
      </c>
      <c r="G352" s="19">
        <f t="shared" si="15"/>
        <v>-2444803705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7876178191</v>
      </c>
      <c r="E353" s="19">
        <f>E352+E346</f>
        <v>0</v>
      </c>
      <c r="F353" s="19">
        <f>F352+F346</f>
        <v>0</v>
      </c>
      <c r="G353" s="19">
        <f t="shared" si="15"/>
        <v>7876178191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005010700400395000KD</v>
      </c>
      <c r="B356" s="11" t="str">
        <f>P17</f>
        <v>PN. Lubuk Pakam</v>
      </c>
      <c r="C356" s="12" t="str">
        <f>A356&amp;" "&amp;B356</f>
        <v>005010700400395000KD PN. Lubuk Pakam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1030200</v>
      </c>
      <c r="E359" s="25">
        <f>SUMIFS('Daftar Koreksi'!$H$5:$H$92,'Daftar Koreksi'!$D$5:$D$92,'0700'!A356,'Daftar Koreksi'!$G$5:$G$92,"Persediaan",'Daftar Koreksi'!$H$5:$H$92,"&gt;0")</f>
        <v>0</v>
      </c>
      <c r="F359" s="25">
        <f>SUMIFS('Daftar Koreksi'!$H$5:$H$92,'Daftar Koreksi'!$D$5:$D$92,'0700'!A356,'Daftar Koreksi'!$G$5:$G$92,"Persediaan",'Daftar Koreksi'!$H$5:$H$92,"&lt;0")-SUMIFS('Daftar Koreksi'!$H$5:$H$92,'Daftar Koreksi'!$D$5:$D$92,'0700'!A356,'Daftar Koreksi'!$G$5:$G$92,"Persediaan",'Daftar Koreksi'!$H$5:$H$92,"&lt;0")-SUMIFS('Daftar Koreksi'!$H$5:$H$92,'Daftar Koreksi'!$D$5:$D$92,'0700'!A356,'Daftar Koreksi'!$G$5:$G$92,"Persediaan",'Daftar Koreksi'!$H$5:$H$92,"&lt;0")</f>
        <v>0</v>
      </c>
      <c r="G359" s="17">
        <f>D359+E359-F359</f>
        <v>1030200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4757000000</v>
      </c>
      <c r="E360" s="25">
        <f>SUMIFS('Daftar Koreksi'!$H$5:$H$92,'Daftar Koreksi'!$D$5:$D$92,'0700'!A356,'Daftar Koreksi'!$G$5:$G$92,"Tanah",'Daftar Koreksi'!$H$5:$H$92,"&gt;0")</f>
        <v>0</v>
      </c>
      <c r="F360" s="25">
        <f>SUMIFS('Daftar Koreksi'!$H$5:$H$92,'Daftar Koreksi'!$D$5:$D$92,'0700'!A356,'Daftar Koreksi'!$G$5:$G$92,"Tanah",'Daftar Koreksi'!$H$5:$H$92,"&lt;0")-SUMIFS('Daftar Koreksi'!$H$5:$H$92,'Daftar Koreksi'!$D$5:$D$92,'0700'!A356,'Daftar Koreksi'!$G$5:$G$92,"Tanah",'Daftar Koreksi'!$H$5:$H$92,"&lt;0")-SUMIFS('Daftar Koreksi'!$H$5:$H$92,'Daftar Koreksi'!$D$5:$D$92,'0700'!A356,'Daftar Koreksi'!$G$5:$G$92,"Tanah",'Daftar Koreksi'!$H$5:$H$92,"&lt;0")</f>
        <v>0</v>
      </c>
      <c r="G360" s="17">
        <f t="shared" ref="G360:G376" si="16">D360+E360-F360</f>
        <v>4757000000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1319365277</v>
      </c>
      <c r="E361" s="25">
        <f>SUMIFS('Daftar Koreksi'!$H$5:$H$92,'Daftar Koreksi'!$D$5:$D$92,'0700'!A356,'Daftar Koreksi'!$G$5:$G$92,"Peralatan dan mesin",'Daftar Koreksi'!$H$5:$H$92,"&gt;0")</f>
        <v>0</v>
      </c>
      <c r="F361" s="25">
        <f>SUMIFS('Daftar Koreksi'!$H$5:$H$92,'Daftar Koreksi'!$D$5:$D$92,'0700'!A356,'Daftar Koreksi'!$G$5:$G$92,"Peralatan dan mesin",'Daftar Koreksi'!$H$5:$H$92,"&lt;0")-SUMIFS('Daftar Koreksi'!$H$5:$H$92,'Daftar Koreksi'!$D$5:$D$92,'0700'!A356,'Daftar Koreksi'!$G$5:$G$92,"Peralatan dan mesin",'Daftar Koreksi'!$H$5:$H$92,"&lt;0")-SUMIFS('Daftar Koreksi'!$H$5:$H$92,'Daftar Koreksi'!$D$5:$D$92,'0700'!A356,'Daftar Koreksi'!$G$5:$G$92,"Peralatan dan mesin",'Daftar Koreksi'!$H$5:$H$92,"&lt;0")</f>
        <v>0</v>
      </c>
      <c r="G361" s="17">
        <f t="shared" si="16"/>
        <v>1319365277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5334310795</v>
      </c>
      <c r="E362" s="25">
        <f>SUMIFS('Daftar Koreksi'!$H$5:$H$92,'Daftar Koreksi'!$D$5:$D$92,'0700'!A356,'Daftar Koreksi'!$G$5:$G$92,"Gedung dan Bangunan",'Daftar Koreksi'!$H$5:$H$92,"&gt;0")</f>
        <v>0</v>
      </c>
      <c r="F362" s="25">
        <f>SUMIFS('Daftar Koreksi'!$H$5:$H$92,'Daftar Koreksi'!$D$5:$D$92,'0700'!A356,'Daftar Koreksi'!$G$5:$G$92,"Gedung dan Bangunan",'Daftar Koreksi'!$H$5:$H$92,"&lt;0")-SUMIFS('Daftar Koreksi'!$H$5:$H$92,'Daftar Koreksi'!$D$5:$D$92,'0700'!A356,'Daftar Koreksi'!$G$5:$G$92,"Gedung dan Bangunan",'Daftar Koreksi'!$H$5:$H$92,"&lt;0")-SUMIFS('Daftar Koreksi'!$H$5:$H$92,'Daftar Koreksi'!$D$5:$D$92,'0700'!A356,'Daftar Koreksi'!$G$5:$G$92,"Gedung dan Bangunan",'Daftar Koreksi'!$H$5:$H$92,"&lt;0")</f>
        <v>0</v>
      </c>
      <c r="G362" s="17">
        <f t="shared" si="16"/>
        <v>5334310795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Koreksi'!$D$5:$D$92,'0700'!A356,'Daftar Koreksi'!$G$5:$G$92,"Jalan Irigasi Jaringan",'Daftar Koreksi'!$H$5:$H$92,"&gt;0")</f>
        <v>0</v>
      </c>
      <c r="F363" s="25">
        <f>SUMIFS('Daftar Koreksi'!$H$5:$H$92,'Daftar Koreksi'!$D$5:$D$92,'0700'!A356,'Daftar Koreksi'!$G$5:$G$92,"Jalan Irigasi Jaringan",'Daftar Koreksi'!$H$5:$H$92,"&lt;0")-SUMIFS('Daftar Koreksi'!$H$5:$H$92,'Daftar Koreksi'!$D$5:$D$92,'0700'!A356,'Daftar Koreksi'!$G$5:$G$92,"Jalan Irigasi Jaringan",'Daftar Koreksi'!$H$5:$H$92,"&lt;0")-SUMIFS('Daftar Koreksi'!$H$5:$H$92,'Daftar Koreksi'!$D$5:$D$92,'0700'!A356,'Daftar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28241880</v>
      </c>
      <c r="E364" s="25">
        <f>SUMIFS('Daftar Koreksi'!$H$5:$H$92,'Daftar Koreksi'!$D$5:$D$92,'0700'!A356,'Daftar Koreksi'!$G$5:$G$92,"Aset Tetap Lainnya",'Daftar Koreksi'!$H$5:$H$92,"&gt;0")</f>
        <v>0</v>
      </c>
      <c r="F364" s="25">
        <f>SUMIFS('Daftar Koreksi'!$H$5:$H$92,'Daftar Koreksi'!$D$5:$D$92,'0700'!A356,'Daftar Koreksi'!$G$5:$G$92,"Aset Tetap Lainnya",'Daftar Koreksi'!$H$5:$H$92,"&lt;0")-SUMIFS('Daftar Koreksi'!$H$5:$H$92,'Daftar Koreksi'!$D$5:$D$92,'0700'!A356,'Daftar Koreksi'!$G$5:$G$92,"Aset Tetap Lainnya",'Daftar Koreksi'!$H$5:$H$92,"&lt;0")-SUMIFS('Daftar Koreksi'!$H$5:$H$92,'Daftar Koreksi'!$D$5:$D$92,'0700'!A356,'Daftar Koreksi'!$G$5:$G$92,"Aset Tetap Lainnya",'Daftar Koreksi'!$H$5:$H$92,"&lt;0")</f>
        <v>0</v>
      </c>
      <c r="G364" s="17">
        <f t="shared" si="16"/>
        <v>28241880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Koreksi'!$D$5:$D$92,'0700'!A356,'Daftar Koreksi'!$G$5:$G$92,"Kontruksi Dalam Pengerjaan",'Daftar Koreksi'!$H$5:$H$92,"&gt;0")</f>
        <v>0</v>
      </c>
      <c r="F365" s="25">
        <f>SUMIFS('Daftar Koreksi'!$H$5:$H$92,'Daftar Koreksi'!$D$5:$D$92,'0700'!A356,'Daftar Koreksi'!$G$5:$G$92,"Kontruksi Dalam Pengerjaan",'Daftar Koreksi'!$H$5:$H$92,"&lt;0")-SUMIFS('Daftar Koreksi'!$H$5:$H$92,'Daftar Koreksi'!$D$5:$D$92,'0700'!A356,'Daftar Koreksi'!$G$5:$G$92,"Kontruksi Dalam Pengerjaan",'Daftar Koreksi'!$H$5:$H$92,"&lt;0")-SUMIFS('Daftar Koreksi'!$H$5:$H$92,'Daftar Koreksi'!$D$5:$D$92,'0700'!A356,'Daftar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43000000</v>
      </c>
      <c r="E366" s="25">
        <f>SUMIFS('Daftar Koreksi'!$H$5:$H$92,'Daftar Koreksi'!$D$5:$D$92,'0700'!A356,'Daftar Koreksi'!$G$5:$G$92,"Aset Tak Berwujud",'Daftar Koreksi'!$H$5:$H$92,"&gt;0")</f>
        <v>0</v>
      </c>
      <c r="F366" s="25">
        <f>SUMIFS('Daftar Koreksi'!$H$5:$H$92,'Daftar Koreksi'!$D$5:$D$92,'0700'!A356,'Daftar Koreksi'!$G$5:$G$92,"Aset Tak Berwujud",'Daftar Koreksi'!$H$5:$H$92,"&lt;0")-SUMIFS('Daftar Koreksi'!$H$5:$H$92,'Daftar Koreksi'!$D$5:$D$92,'0700'!A356,'Daftar Koreksi'!$G$5:$G$92,"Aset Tak Berwujud",'Daftar Koreksi'!$H$5:$H$92,"&lt;0")-SUMIFS('Daftar Koreksi'!$H$5:$H$92,'Daftar Koreksi'!$D$5:$D$92,'0700'!A356,'Daftar Koreksi'!$G$5:$G$92,"Aset Tak Berwujud",'Daftar Koreksi'!$H$5:$H$92,"&lt;0")</f>
        <v>0</v>
      </c>
      <c r="G366" s="17">
        <f t="shared" si="16"/>
        <v>43000000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131000000</v>
      </c>
      <c r="E367" s="25">
        <f>SUMIFS('Daftar Koreksi'!$H$5:$H$92,'Daftar Koreksi'!$D$5:$D$92,'0700'!A356,'Daftar Koreksi'!$G$5:$G$92,"Aset Henti Guna",'Daftar Koreksi'!$H$5:$H$92,"&gt;0")</f>
        <v>0</v>
      </c>
      <c r="F367" s="25">
        <f>SUMIFS('Daftar Koreksi'!$H$5:$H$92,'Daftar Koreksi'!$D$5:$D$92,'0700'!A356,'Daftar Koreksi'!$G$5:$G$92,"Aset Henti Guna",'Daftar Koreksi'!$H$5:$H$92,"&lt;0")-SUMIFS('Daftar Koreksi'!$H$5:$H$92,'Daftar Koreksi'!$D$5:$D$92,'0700'!A356,'Daftar Koreksi'!$G$5:$G$92,"Aset Henti Guna",'Daftar Koreksi'!$H$5:$H$92,"&lt;0")-SUMIFS('Daftar Koreksi'!$H$5:$H$92,'Daftar Koreksi'!$D$5:$D$92,'0700'!A356,'Daftar Koreksi'!$G$5:$G$92,"Aset Henti Guna",'Daftar Koreksi'!$H$5:$H$92,"&lt;0")</f>
        <v>0</v>
      </c>
      <c r="G367" s="17">
        <f t="shared" si="16"/>
        <v>131000000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11613948152</v>
      </c>
      <c r="E368" s="19">
        <f>SUM(E359:E367)</f>
        <v>0</v>
      </c>
      <c r="F368" s="19">
        <f>SUM(F359:F367)</f>
        <v>0</v>
      </c>
      <c r="G368" s="19">
        <f t="shared" si="16"/>
        <v>11613948152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-1054531323</v>
      </c>
      <c r="E369" s="25">
        <f>SUMIFS('Daftar Koreksi'!$I$5:$I$92,'Daftar Koreksi'!$D$5:$D$92,'0700'!A356,'Daftar Koreksi'!$G$5:$G$92,"Peralatan dan mesin",'Daftar Koreksi'!$I$5:$I$92,"&gt;0")</f>
        <v>0</v>
      </c>
      <c r="F369" s="25">
        <f>SUMIFS('Daftar Koreksi'!$I$5:$I$92,'Daftar Koreksi'!$D$5:$D$92,'0700'!A356,'Daftar Koreksi'!$G$5:$G$92,"Peralatan dan mesin",'Daftar Koreksi'!$I$5:$I$92,"&lt;0")-SUMIFS('Daftar Koreksi'!$I$5:$I$92,'Daftar Koreksi'!$D$5:$D$92,'0700'!A356,'Daftar Koreksi'!$G$5:$G$92,"Peralatan dan mesin",'Daftar Koreksi'!$I$5:$I$92,"&lt;0")-SUMIFS('Daftar Koreksi'!$I$5:$I$92,'Daftar Koreksi'!$D$5:$D$92,'0700'!A356,'Daftar Koreksi'!$G$5:$G$92,"Peralatan dan mesin",'Daftar Koreksi'!$I$5:$I$92,"&lt;0")</f>
        <v>0</v>
      </c>
      <c r="G369" s="17">
        <f t="shared" si="16"/>
        <v>-1054531323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-1243832563</v>
      </c>
      <c r="E370" s="25">
        <f>SUMIFS('Daftar Koreksi'!$I$5:$I$92,'Daftar Koreksi'!$D$5:$D$92,'0700'!A356,'Daftar Koreksi'!$G$5:$G$92,"Gedung dan Bangunan",'Daftar Koreksi'!$I$5:$I$92,"&gt;0")</f>
        <v>0</v>
      </c>
      <c r="F370" s="25">
        <f>SUMIFS('Daftar Koreksi'!$I$5:$I$92,'Daftar Koreksi'!$D$5:$D$92,'0700'!A356,'Daftar Koreksi'!$G$5:$G$92,"Gedung dan Bangunan",'Daftar Koreksi'!$I$5:$I$92,"&lt;0")-SUMIFS('Daftar Koreksi'!$I$5:$I$92,'Daftar Koreksi'!$D$5:$D$92,'0700'!A356,'Daftar Koreksi'!$G$5:$G$92,"Gedung dan Bangunan",'Daftar Koreksi'!$I$5:$I$92,"&lt;0")-SUMIFS('Daftar Koreksi'!$I$5:$I$92,'Daftar Koreksi'!$D$5:$D$92,'0700'!A356,'Daftar Koreksi'!$G$5:$G$92,"Gedung dan Bangunan",'Daftar Koreksi'!$I$5:$I$92,"&lt;0")</f>
        <v>0</v>
      </c>
      <c r="G370" s="17">
        <f t="shared" si="16"/>
        <v>-1243832563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Koreksi'!$D$5:$D$92,'0700'!A356,'Daftar Koreksi'!$G$5:$G$92,"Jalan Irigasi Jaringan",'Daftar Koreksi'!$I$5:$I$92,"&gt;0")</f>
        <v>0</v>
      </c>
      <c r="F371" s="25">
        <f>SUMIFS('Daftar Koreksi'!$I$5:$I$92,'Daftar Koreksi'!$D$5:$D$92,'0700'!A356,'Daftar Koreksi'!$G$5:$G$92,"Jalan Irigasi Jaringan",'Daftar Koreksi'!$I$5:$I$92,"&lt;0")-SUMIFS('Daftar Koreksi'!$I$5:$I$92,'Daftar Koreksi'!$D$5:$D$92,'0700'!A356,'Daftar Koreksi'!$G$5:$G$92,"Jalan Irigasi Jaringan",'Daftar Koreksi'!$I$5:$I$92,"&lt;0")-SUMIFS('Daftar Koreksi'!$I$5:$I$92,'Daftar Koreksi'!$D$5:$D$92,'0700'!A356,'Daftar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Koreksi'!$D$5:$D$92,'0700'!A356,'Daftar Koreksi'!$G$5:$G$92,"Aset Tetap Lainnya",'Daftar Koreksi'!$I$5:$I$92,"&gt;0")</f>
        <v>0</v>
      </c>
      <c r="F372" s="25">
        <f>SUMIFS('Daftar Koreksi'!$I$5:$I$92,'Daftar Koreksi'!$D$5:$D$92,'0700'!A356,'Daftar Koreksi'!$G$5:$G$92,"Aset Tetap Lainnya",'Daftar Koreksi'!$I$5:$I$92,"&lt;0")-SUMIFS('Daftar Koreksi'!$I$5:$I$92,'Daftar Koreksi'!$D$5:$D$92,'0700'!A356,'Daftar Koreksi'!$G$5:$G$92,"Aset Tetap Lainnya",'Daftar Koreksi'!$I$5:$I$92,"&lt;0")-SUMIFS('Daftar Koreksi'!$I$5:$I$92,'Daftar Koreksi'!$D$5:$D$92,'0700'!A356,'Daftar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-131000000</v>
      </c>
      <c r="E373" s="25">
        <f>SUMIFS('Daftar Koreksi'!$I$5:$I$92,'Daftar Koreksi'!$D$5:$D$92,'0700'!A356,'Daftar Koreksi'!$G$5:$G$92,"Aset Henti Guna",'Daftar Koreksi'!$I$5:$I$92,"&gt;0")</f>
        <v>0</v>
      </c>
      <c r="F373" s="25">
        <f>SUMIFS('Daftar Koreksi'!$I$5:$I$92,'Daftar Koreksi'!$D$5:$D$92,'0700'!A356,'Daftar Koreksi'!$G$5:$G$92,"Aset Henti Guna",'Daftar Koreksi'!$I$5:$I$92,"&lt;0")-SUMIFS('Daftar Koreksi'!$I$5:$I$92,'Daftar Koreksi'!$D$5:$D$92,'0700'!A356,'Daftar Koreksi'!$G$5:$G$92,"Aset Henti Guna",'Daftar Koreksi'!$I$5:$I$92,"&lt;0")-SUMIFS('Daftar Koreksi'!$I$5:$I$92,'Daftar Koreksi'!$D$5:$D$92,'0700'!A356,'Daftar Koreksi'!$G$5:$G$92,"Aset Henti Guna",'Daftar Koreksi'!$I$5:$I$92,"&lt;0")</f>
        <v>0</v>
      </c>
      <c r="G373" s="17">
        <f t="shared" si="16"/>
        <v>-131000000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-2429363886</v>
      </c>
      <c r="E374" s="19">
        <f>SUM(E369:E373)</f>
        <v>0</v>
      </c>
      <c r="F374" s="19">
        <f>SUM(F369:F373)</f>
        <v>0</v>
      </c>
      <c r="G374" s="19">
        <f t="shared" si="16"/>
        <v>-2429363886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9184584266</v>
      </c>
      <c r="E375" s="19">
        <f>E374+E368</f>
        <v>0</v>
      </c>
      <c r="F375" s="19">
        <f>F374+F368</f>
        <v>0</v>
      </c>
      <c r="G375" s="19">
        <f t="shared" si="16"/>
        <v>9184584266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005010700401777000KD</v>
      </c>
      <c r="B378" s="11" t="str">
        <f>P18</f>
        <v>PTA. Medan</v>
      </c>
      <c r="C378" s="12" t="str">
        <f>A378&amp;" "&amp;B378</f>
        <v>005010700401777000KD PTA. Medan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4505275</v>
      </c>
      <c r="E381" s="25">
        <f>SUMIFS('Daftar Koreksi'!$H$5:$H$92,'Daftar Koreksi'!$D$5:$D$92,'0700'!A378,'Daftar Koreksi'!$G$5:$G$92,"Persediaan",'Daftar Koreksi'!$H$5:$H$92,"&gt;0")</f>
        <v>0</v>
      </c>
      <c r="F381" s="25">
        <f>SUMIFS('Daftar Koreksi'!$H$5:$H$92,'Daftar Koreksi'!$D$5:$D$92,'0700'!A378,'Daftar Koreksi'!$G$5:$G$92,"Persediaan",'Daftar Koreksi'!$H$5:$H$92,"&lt;0")-SUMIFS('Daftar Koreksi'!$H$5:$H$92,'Daftar Koreksi'!$D$5:$D$92,'0700'!A378,'Daftar Koreksi'!$G$5:$G$92,"Persediaan",'Daftar Koreksi'!$H$5:$H$92,"&lt;0")-SUMIFS('Daftar Koreksi'!$H$5:$H$92,'Daftar Koreksi'!$D$5:$D$92,'0700'!A378,'Daftar Koreksi'!$G$5:$G$92,"Persediaan",'Daftar Koreksi'!$H$5:$H$92,"&lt;0")</f>
        <v>0</v>
      </c>
      <c r="G381" s="17">
        <f>D381+E381-F381</f>
        <v>4505275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2690000000</v>
      </c>
      <c r="E382" s="25">
        <f>SUMIFS('Daftar Koreksi'!$H$5:$H$92,'Daftar Koreksi'!$D$5:$D$92,'0700'!A378,'Daftar Koreksi'!$G$5:$G$92,"Tanah",'Daftar Koreksi'!$H$5:$H$92,"&gt;0")</f>
        <v>0</v>
      </c>
      <c r="F382" s="25">
        <f>SUMIFS('Daftar Koreksi'!$H$5:$H$92,'Daftar Koreksi'!$D$5:$D$92,'0700'!A378,'Daftar Koreksi'!$G$5:$G$92,"Tanah",'Daftar Koreksi'!$H$5:$H$92,"&lt;0")-SUMIFS('Daftar Koreksi'!$H$5:$H$92,'Daftar Koreksi'!$D$5:$D$92,'0700'!A378,'Daftar Koreksi'!$G$5:$G$92,"Tanah",'Daftar Koreksi'!$H$5:$H$92,"&lt;0")-SUMIFS('Daftar Koreksi'!$H$5:$H$92,'Daftar Koreksi'!$D$5:$D$92,'0700'!A378,'Daftar Koreksi'!$G$5:$G$92,"Tanah",'Daftar Koreksi'!$H$5:$H$92,"&lt;0")</f>
        <v>0</v>
      </c>
      <c r="G382" s="17">
        <f t="shared" ref="G382:G398" si="17">D382+E382-F382</f>
        <v>2690000000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4486776998</v>
      </c>
      <c r="E383" s="25">
        <f>SUMIFS('Daftar Koreksi'!$H$5:$H$92,'Daftar Koreksi'!$D$5:$D$92,'0700'!A378,'Daftar Koreksi'!$G$5:$G$92,"Peralatan dan mesin",'Daftar Koreksi'!$H$5:$H$92,"&gt;0")</f>
        <v>0</v>
      </c>
      <c r="F383" s="25">
        <f>SUMIFS('Daftar Koreksi'!$H$5:$H$92,'Daftar Koreksi'!$D$5:$D$92,'0700'!A378,'Daftar Koreksi'!$G$5:$G$92,"Peralatan dan mesin",'Daftar Koreksi'!$H$5:$H$92,"&lt;0")-SUMIFS('Daftar Koreksi'!$H$5:$H$92,'Daftar Koreksi'!$D$5:$D$92,'0700'!A378,'Daftar Koreksi'!$G$5:$G$92,"Peralatan dan mesin",'Daftar Koreksi'!$H$5:$H$92,"&lt;0")-SUMIFS('Daftar Koreksi'!$H$5:$H$92,'Daftar Koreksi'!$D$5:$D$92,'0700'!A378,'Daftar Koreksi'!$G$5:$G$92,"Peralatan dan mesin",'Daftar Koreksi'!$H$5:$H$92,"&lt;0")</f>
        <v>0</v>
      </c>
      <c r="G383" s="17">
        <f t="shared" si="17"/>
        <v>4486776998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6714500497</v>
      </c>
      <c r="E384" s="25">
        <f>SUMIFS('Daftar Koreksi'!$H$5:$H$92,'Daftar Koreksi'!$D$5:$D$92,'0700'!A378,'Daftar Koreksi'!$G$5:$G$92,"Gedung dan Bangunan",'Daftar Koreksi'!$H$5:$H$92,"&gt;0")</f>
        <v>0</v>
      </c>
      <c r="F384" s="25">
        <f>SUMIFS('Daftar Koreksi'!$H$5:$H$92,'Daftar Koreksi'!$D$5:$D$92,'0700'!A378,'Daftar Koreksi'!$G$5:$G$92,"Gedung dan Bangunan",'Daftar Koreksi'!$H$5:$H$92,"&lt;0")-SUMIFS('Daftar Koreksi'!$H$5:$H$92,'Daftar Koreksi'!$D$5:$D$92,'0700'!A378,'Daftar Koreksi'!$G$5:$G$92,"Gedung dan Bangunan",'Daftar Koreksi'!$H$5:$H$92,"&lt;0")-SUMIFS('Daftar Koreksi'!$H$5:$H$92,'Daftar Koreksi'!$D$5:$D$92,'0700'!A378,'Daftar Koreksi'!$G$5:$G$92,"Gedung dan Bangunan",'Daftar Koreksi'!$H$5:$H$92,"&lt;0")</f>
        <v>0</v>
      </c>
      <c r="G384" s="17">
        <f t="shared" si="17"/>
        <v>6714500497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3600000</v>
      </c>
      <c r="E385" s="25">
        <f>SUMIFS('Daftar Koreksi'!$H$5:$H$92,'Daftar Koreksi'!$D$5:$D$92,'0700'!A378,'Daftar Koreksi'!$G$5:$G$92,"Jalan Irigasi Jaringan",'Daftar Koreksi'!$H$5:$H$92,"&gt;0")</f>
        <v>0</v>
      </c>
      <c r="F385" s="25">
        <f>SUMIFS('Daftar Koreksi'!$H$5:$H$92,'Daftar Koreksi'!$D$5:$D$92,'0700'!A378,'Daftar Koreksi'!$G$5:$G$92,"Jalan Irigasi Jaringan",'Daftar Koreksi'!$H$5:$H$92,"&lt;0")-SUMIFS('Daftar Koreksi'!$H$5:$H$92,'Daftar Koreksi'!$D$5:$D$92,'0700'!A378,'Daftar Koreksi'!$G$5:$G$92,"Jalan Irigasi Jaringan",'Daftar Koreksi'!$H$5:$H$92,"&lt;0")-SUMIFS('Daftar Koreksi'!$H$5:$H$92,'Daftar Koreksi'!$D$5:$D$92,'0700'!A378,'Daftar Koreksi'!$G$5:$G$92,"Jalan Irigasi Jaringan",'Daftar Koreksi'!$H$5:$H$92,"&lt;0")</f>
        <v>0</v>
      </c>
      <c r="G385" s="17">
        <f t="shared" si="17"/>
        <v>3600000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4052676</v>
      </c>
      <c r="E386" s="25">
        <f>SUMIFS('Daftar Koreksi'!$H$5:$H$92,'Daftar Koreksi'!$D$5:$D$92,'0700'!A378,'Daftar Koreksi'!$G$5:$G$92,"Aset Tetap Lainnya",'Daftar Koreksi'!$H$5:$H$92,"&gt;0")</f>
        <v>0</v>
      </c>
      <c r="F386" s="25">
        <f>SUMIFS('Daftar Koreksi'!$H$5:$H$92,'Daftar Koreksi'!$D$5:$D$92,'0700'!A378,'Daftar Koreksi'!$G$5:$G$92,"Aset Tetap Lainnya",'Daftar Koreksi'!$H$5:$H$92,"&lt;0")-SUMIFS('Daftar Koreksi'!$H$5:$H$92,'Daftar Koreksi'!$D$5:$D$92,'0700'!A378,'Daftar Koreksi'!$G$5:$G$92,"Aset Tetap Lainnya",'Daftar Koreksi'!$H$5:$H$92,"&lt;0")-SUMIFS('Daftar Koreksi'!$H$5:$H$92,'Daftar Koreksi'!$D$5:$D$92,'0700'!A378,'Daftar Koreksi'!$G$5:$G$92,"Aset Tetap Lainnya",'Daftar Koreksi'!$H$5:$H$92,"&lt;0")</f>
        <v>0</v>
      </c>
      <c r="G386" s="17">
        <f t="shared" si="17"/>
        <v>4052676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Koreksi'!$D$5:$D$92,'0700'!A378,'Daftar Koreksi'!$G$5:$G$92,"Kontruksi Dalam Pengerjaan",'Daftar Koreksi'!$H$5:$H$92,"&gt;0")</f>
        <v>0</v>
      </c>
      <c r="F387" s="25">
        <f>SUMIFS('Daftar Koreksi'!$H$5:$H$92,'Daftar Koreksi'!$D$5:$D$92,'0700'!A378,'Daftar Koreksi'!$G$5:$G$92,"Kontruksi Dalam Pengerjaan",'Daftar Koreksi'!$H$5:$H$92,"&lt;0")-SUMIFS('Daftar Koreksi'!$H$5:$H$92,'Daftar Koreksi'!$D$5:$D$92,'0700'!A378,'Daftar Koreksi'!$G$5:$G$92,"Kontruksi Dalam Pengerjaan",'Daftar Koreksi'!$H$5:$H$92,"&lt;0")-SUMIFS('Daftar Koreksi'!$H$5:$H$92,'Daftar Koreksi'!$D$5:$D$92,'0700'!A378,'Daftar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62500000</v>
      </c>
      <c r="E388" s="25">
        <f>SUMIFS('Daftar Koreksi'!$H$5:$H$92,'Daftar Koreksi'!$D$5:$D$92,'0700'!A378,'Daftar Koreksi'!$G$5:$G$92,"Aset Tak Berwujud",'Daftar Koreksi'!$H$5:$H$92,"&gt;0")</f>
        <v>0</v>
      </c>
      <c r="F388" s="25">
        <f>SUMIFS('Daftar Koreksi'!$H$5:$H$92,'Daftar Koreksi'!$D$5:$D$92,'0700'!A378,'Daftar Koreksi'!$G$5:$G$92,"Aset Tak Berwujud",'Daftar Koreksi'!$H$5:$H$92,"&lt;0")-SUMIFS('Daftar Koreksi'!$H$5:$H$92,'Daftar Koreksi'!$D$5:$D$92,'0700'!A378,'Daftar Koreksi'!$G$5:$G$92,"Aset Tak Berwujud",'Daftar Koreksi'!$H$5:$H$92,"&lt;0")-SUMIFS('Daftar Koreksi'!$H$5:$H$92,'Daftar Koreksi'!$D$5:$D$92,'0700'!A378,'Daftar Koreksi'!$G$5:$G$92,"Aset Tak Berwujud",'Daftar Koreksi'!$H$5:$H$92,"&lt;0")</f>
        <v>0</v>
      </c>
      <c r="G388" s="17">
        <f t="shared" si="17"/>
        <v>62500000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14697000</v>
      </c>
      <c r="E389" s="25">
        <f>SUMIFS('Daftar Koreksi'!$H$5:$H$92,'Daftar Koreksi'!$D$5:$D$92,'0700'!A378,'Daftar Koreksi'!$G$5:$G$92,"Aset Henti Guna",'Daftar Koreksi'!$H$5:$H$92,"&gt;0")</f>
        <v>0</v>
      </c>
      <c r="F389" s="25">
        <f>SUMIFS('Daftar Koreksi'!$H$5:$H$92,'Daftar Koreksi'!$D$5:$D$92,'0700'!A378,'Daftar Koreksi'!$G$5:$G$92,"Aset Henti Guna",'Daftar Koreksi'!$H$5:$H$92,"&lt;0")-SUMIFS('Daftar Koreksi'!$H$5:$H$92,'Daftar Koreksi'!$D$5:$D$92,'0700'!A378,'Daftar Koreksi'!$G$5:$G$92,"Aset Henti Guna",'Daftar Koreksi'!$H$5:$H$92,"&lt;0")-SUMIFS('Daftar Koreksi'!$H$5:$H$92,'Daftar Koreksi'!$D$5:$D$92,'0700'!A378,'Daftar Koreksi'!$G$5:$G$92,"Aset Henti Guna",'Daftar Koreksi'!$H$5:$H$92,"&lt;0")</f>
        <v>0</v>
      </c>
      <c r="G389" s="17">
        <f t="shared" si="17"/>
        <v>14697000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13980632446</v>
      </c>
      <c r="E390" s="19">
        <f>SUM(E381:E389)</f>
        <v>0</v>
      </c>
      <c r="F390" s="19">
        <f>SUM(F381:F389)</f>
        <v>0</v>
      </c>
      <c r="G390" s="19">
        <f t="shared" si="17"/>
        <v>13980632446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-4163646391</v>
      </c>
      <c r="E391" s="25">
        <f>SUMIFS('Daftar Koreksi'!$I$5:$I$92,'Daftar Koreksi'!$D$5:$D$92,'0700'!A378,'Daftar Koreksi'!$G$5:$G$92,"Peralatan dan mesin",'Daftar Koreksi'!$I$5:$I$92,"&gt;0")</f>
        <v>0</v>
      </c>
      <c r="F391" s="25">
        <f>SUMIFS('Daftar Koreksi'!$I$5:$I$92,'Daftar Koreksi'!$D$5:$D$92,'0700'!A378,'Daftar Koreksi'!$G$5:$G$92,"Peralatan dan mesin",'Daftar Koreksi'!$I$5:$I$92,"&lt;0")-SUMIFS('Daftar Koreksi'!$I$5:$I$92,'Daftar Koreksi'!$D$5:$D$92,'0700'!A378,'Daftar Koreksi'!$G$5:$G$92,"Peralatan dan mesin",'Daftar Koreksi'!$I$5:$I$92,"&lt;0")-SUMIFS('Daftar Koreksi'!$I$5:$I$92,'Daftar Koreksi'!$D$5:$D$92,'0700'!A378,'Daftar Koreksi'!$G$5:$G$92,"Peralatan dan mesin",'Daftar Koreksi'!$I$5:$I$92,"&lt;0")</f>
        <v>0</v>
      </c>
      <c r="G391" s="17">
        <f t="shared" si="17"/>
        <v>-4163646391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-522204397</v>
      </c>
      <c r="E392" s="25">
        <f>SUMIFS('Daftar Koreksi'!$I$5:$I$92,'Daftar Koreksi'!$D$5:$D$92,'0700'!A378,'Daftar Koreksi'!$G$5:$G$92,"Gedung dan Bangunan",'Daftar Koreksi'!$I$5:$I$92,"&gt;0")</f>
        <v>0</v>
      </c>
      <c r="F392" s="25">
        <f>SUMIFS('Daftar Koreksi'!$I$5:$I$92,'Daftar Koreksi'!$D$5:$D$92,'0700'!A378,'Daftar Koreksi'!$G$5:$G$92,"Gedung dan Bangunan",'Daftar Koreksi'!$I$5:$I$92,"&lt;0")-SUMIFS('Daftar Koreksi'!$I$5:$I$92,'Daftar Koreksi'!$D$5:$D$92,'0700'!A378,'Daftar Koreksi'!$G$5:$G$92,"Gedung dan Bangunan",'Daftar Koreksi'!$I$5:$I$92,"&lt;0")-SUMIFS('Daftar Koreksi'!$I$5:$I$92,'Daftar Koreksi'!$D$5:$D$92,'0700'!A378,'Daftar Koreksi'!$G$5:$G$92,"Gedung dan Bangunan",'Daftar Koreksi'!$I$5:$I$92,"&lt;0")</f>
        <v>0</v>
      </c>
      <c r="G392" s="17">
        <f t="shared" si="17"/>
        <v>-522204397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-2880000</v>
      </c>
      <c r="E393" s="25">
        <f>SUMIFS('Daftar Koreksi'!$I$5:$I$92,'Daftar Koreksi'!$D$5:$D$92,'0700'!A378,'Daftar Koreksi'!$G$5:$G$92,"Jalan Irigasi Jaringan",'Daftar Koreksi'!$I$5:$I$92,"&gt;0")</f>
        <v>0</v>
      </c>
      <c r="F393" s="25">
        <f>SUMIFS('Daftar Koreksi'!$I$5:$I$92,'Daftar Koreksi'!$D$5:$D$92,'0700'!A378,'Daftar Koreksi'!$G$5:$G$92,"Jalan Irigasi Jaringan",'Daftar Koreksi'!$I$5:$I$92,"&lt;0")-SUMIFS('Daftar Koreksi'!$I$5:$I$92,'Daftar Koreksi'!$D$5:$D$92,'0700'!A378,'Daftar Koreksi'!$G$5:$G$92,"Jalan Irigasi Jaringan",'Daftar Koreksi'!$I$5:$I$92,"&lt;0")-SUMIFS('Daftar Koreksi'!$I$5:$I$92,'Daftar Koreksi'!$D$5:$D$92,'0700'!A378,'Daftar Koreksi'!$G$5:$G$92,"Jalan Irigasi Jaringan",'Daftar Koreksi'!$I$5:$I$92,"&lt;0")</f>
        <v>0</v>
      </c>
      <c r="G393" s="17">
        <f t="shared" si="17"/>
        <v>-2880000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Koreksi'!$D$5:$D$92,'0700'!A378,'Daftar Koreksi'!$G$5:$G$92,"Aset Tetap Lainnya",'Daftar Koreksi'!$I$5:$I$92,"&gt;0")</f>
        <v>0</v>
      </c>
      <c r="F394" s="25">
        <f>SUMIFS('Daftar Koreksi'!$I$5:$I$92,'Daftar Koreksi'!$D$5:$D$92,'0700'!A378,'Daftar Koreksi'!$G$5:$G$92,"Aset Tetap Lainnya",'Daftar Koreksi'!$I$5:$I$92,"&lt;0")-SUMIFS('Daftar Koreksi'!$I$5:$I$92,'Daftar Koreksi'!$D$5:$D$92,'0700'!A378,'Daftar Koreksi'!$G$5:$G$92,"Aset Tetap Lainnya",'Daftar Koreksi'!$I$5:$I$92,"&lt;0")-SUMIFS('Daftar Koreksi'!$I$5:$I$92,'Daftar Koreksi'!$D$5:$D$92,'0700'!A378,'Daftar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-10697000</v>
      </c>
      <c r="E395" s="25">
        <f>SUMIFS('Daftar Koreksi'!$I$5:$I$92,'Daftar Koreksi'!$D$5:$D$92,'0700'!A378,'Daftar Koreksi'!$G$5:$G$92,"Aset Henti Guna",'Daftar Koreksi'!$I$5:$I$92,"&gt;0")</f>
        <v>0</v>
      </c>
      <c r="F395" s="25">
        <f>SUMIFS('Daftar Koreksi'!$I$5:$I$92,'Daftar Koreksi'!$D$5:$D$92,'0700'!A378,'Daftar Koreksi'!$G$5:$G$92,"Aset Henti Guna",'Daftar Koreksi'!$I$5:$I$92,"&lt;0")-SUMIFS('Daftar Koreksi'!$I$5:$I$92,'Daftar Koreksi'!$D$5:$D$92,'0700'!A378,'Daftar Koreksi'!$G$5:$G$92,"Aset Henti Guna",'Daftar Koreksi'!$I$5:$I$92,"&lt;0")-SUMIFS('Daftar Koreksi'!$I$5:$I$92,'Daftar Koreksi'!$D$5:$D$92,'0700'!A378,'Daftar Koreksi'!$G$5:$G$92,"Aset Henti Guna",'Daftar Koreksi'!$I$5:$I$92,"&lt;0")</f>
        <v>0</v>
      </c>
      <c r="G395" s="17">
        <f t="shared" si="17"/>
        <v>-10697000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-4699427788</v>
      </c>
      <c r="E396" s="19">
        <f>SUM(E391:E395)</f>
        <v>0</v>
      </c>
      <c r="F396" s="19">
        <f>SUM(F391:F395)</f>
        <v>0</v>
      </c>
      <c r="G396" s="19">
        <f t="shared" si="17"/>
        <v>-4699427788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9281204658</v>
      </c>
      <c r="E397" s="19">
        <f>E396+E390</f>
        <v>0</v>
      </c>
      <c r="F397" s="19">
        <f>F396+F390</f>
        <v>0</v>
      </c>
      <c r="G397" s="19">
        <f t="shared" si="17"/>
        <v>9281204658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005010700401783000KD</v>
      </c>
      <c r="B400" s="11" t="str">
        <f>P19</f>
        <v>PA. Binjai</v>
      </c>
      <c r="C400" s="12" t="str">
        <f>A400&amp;" "&amp;B400</f>
        <v>005010700401783000KD PA. Binjai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128500</v>
      </c>
      <c r="E403" s="25">
        <f>SUMIFS('Daftar Koreksi'!$H$5:$H$92,'Daftar Koreksi'!$D$5:$D$92,'0700'!A400,'Daftar Koreksi'!$G$5:$G$92,"Persediaan",'Daftar Koreksi'!$H$5:$H$92,"&gt;0")</f>
        <v>0</v>
      </c>
      <c r="F403" s="25">
        <f>SUMIFS('Daftar Koreksi'!$H$5:$H$92,'Daftar Koreksi'!$D$5:$D$92,'0700'!A400,'Daftar Koreksi'!$G$5:$G$92,"Persediaan",'Daftar Koreksi'!$H$5:$H$92,"&lt;0")-SUMIFS('Daftar Koreksi'!$H$5:$H$92,'Daftar Koreksi'!$D$5:$D$92,'0700'!A400,'Daftar Koreksi'!$G$5:$G$92,"Persediaan",'Daftar Koreksi'!$H$5:$H$92,"&lt;0")-SUMIFS('Daftar Koreksi'!$H$5:$H$92,'Daftar Koreksi'!$D$5:$D$92,'0700'!A400,'Daftar Koreksi'!$G$5:$G$92,"Persediaan",'Daftar Koreksi'!$H$5:$H$92,"&lt;0")</f>
        <v>0</v>
      </c>
      <c r="G403" s="17">
        <f>D403+E403-F403</f>
        <v>128500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2241970200</v>
      </c>
      <c r="E404" s="25">
        <f>SUMIFS('Daftar Koreksi'!$H$5:$H$92,'Daftar Koreksi'!$D$5:$D$92,'0700'!A400,'Daftar Koreksi'!$G$5:$G$92,"Tanah",'Daftar Koreksi'!$H$5:$H$92,"&gt;0")</f>
        <v>0</v>
      </c>
      <c r="F404" s="25">
        <f>SUMIFS('Daftar Koreksi'!$H$5:$H$92,'Daftar Koreksi'!$D$5:$D$92,'0700'!A400,'Daftar Koreksi'!$G$5:$G$92,"Tanah",'Daftar Koreksi'!$H$5:$H$92,"&lt;0")-SUMIFS('Daftar Koreksi'!$H$5:$H$92,'Daftar Koreksi'!$D$5:$D$92,'0700'!A400,'Daftar Koreksi'!$G$5:$G$92,"Tanah",'Daftar Koreksi'!$H$5:$H$92,"&lt;0")-SUMIFS('Daftar Koreksi'!$H$5:$H$92,'Daftar Koreksi'!$D$5:$D$92,'0700'!A400,'Daftar Koreksi'!$G$5:$G$92,"Tanah",'Daftar Koreksi'!$H$5:$H$92,"&lt;0")</f>
        <v>0</v>
      </c>
      <c r="G404" s="17">
        <f t="shared" ref="G404:G420" si="18">D404+E404-F404</f>
        <v>2241970200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895136423</v>
      </c>
      <c r="E405" s="25">
        <f>SUMIFS('Daftar Koreksi'!$H$5:$H$92,'Daftar Koreksi'!$D$5:$D$92,'0700'!A400,'Daftar Koreksi'!$G$5:$G$92,"Peralatan dan mesin",'Daftar Koreksi'!$H$5:$H$92,"&gt;0")</f>
        <v>0</v>
      </c>
      <c r="F405" s="25">
        <f>SUMIFS('Daftar Koreksi'!$H$5:$H$92,'Daftar Koreksi'!$D$5:$D$92,'0700'!A400,'Daftar Koreksi'!$G$5:$G$92,"Peralatan dan mesin",'Daftar Koreksi'!$H$5:$H$92,"&lt;0")-SUMIFS('Daftar Koreksi'!$H$5:$H$92,'Daftar Koreksi'!$D$5:$D$92,'0700'!A400,'Daftar Koreksi'!$G$5:$G$92,"Peralatan dan mesin",'Daftar Koreksi'!$H$5:$H$92,"&lt;0")-SUMIFS('Daftar Koreksi'!$H$5:$H$92,'Daftar Koreksi'!$D$5:$D$92,'0700'!A400,'Daftar Koreksi'!$G$5:$G$92,"Peralatan dan mesin",'Daftar Koreksi'!$H$5:$H$92,"&lt;0")</f>
        <v>0</v>
      </c>
      <c r="G405" s="17">
        <f t="shared" si="18"/>
        <v>895136423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3023100400</v>
      </c>
      <c r="E406" s="25">
        <f>SUMIFS('Daftar Koreksi'!$H$5:$H$92,'Daftar Koreksi'!$D$5:$D$92,'0700'!A400,'Daftar Koreksi'!$G$5:$G$92,"Gedung dan Bangunan",'Daftar Koreksi'!$H$5:$H$92,"&gt;0")</f>
        <v>0</v>
      </c>
      <c r="F406" s="25">
        <f>SUMIFS('Daftar Koreksi'!$H$5:$H$92,'Daftar Koreksi'!$D$5:$D$92,'0700'!A400,'Daftar Koreksi'!$G$5:$G$92,"Gedung dan Bangunan",'Daftar Koreksi'!$H$5:$H$92,"&lt;0")-SUMIFS('Daftar Koreksi'!$H$5:$H$92,'Daftar Koreksi'!$D$5:$D$92,'0700'!A400,'Daftar Koreksi'!$G$5:$G$92,"Gedung dan Bangunan",'Daftar Koreksi'!$H$5:$H$92,"&lt;0")-SUMIFS('Daftar Koreksi'!$H$5:$H$92,'Daftar Koreksi'!$D$5:$D$92,'0700'!A400,'Daftar Koreksi'!$G$5:$G$92,"Gedung dan Bangunan",'Daftar Koreksi'!$H$5:$H$92,"&lt;0")</f>
        <v>0</v>
      </c>
      <c r="G406" s="17">
        <f t="shared" si="18"/>
        <v>3023100400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600000</v>
      </c>
      <c r="E407" s="25">
        <f>SUMIFS('Daftar Koreksi'!$H$5:$H$92,'Daftar Koreksi'!$D$5:$D$92,'0700'!A400,'Daftar Koreksi'!$G$5:$G$92,"Jalan Irigasi Jaringan",'Daftar Koreksi'!$H$5:$H$92,"&gt;0")</f>
        <v>0</v>
      </c>
      <c r="F407" s="25">
        <f>SUMIFS('Daftar Koreksi'!$H$5:$H$92,'Daftar Koreksi'!$D$5:$D$92,'0700'!A400,'Daftar Koreksi'!$G$5:$G$92,"Jalan Irigasi Jaringan",'Daftar Koreksi'!$H$5:$H$92,"&lt;0")-SUMIFS('Daftar Koreksi'!$H$5:$H$92,'Daftar Koreksi'!$D$5:$D$92,'0700'!A400,'Daftar Koreksi'!$G$5:$G$92,"Jalan Irigasi Jaringan",'Daftar Koreksi'!$H$5:$H$92,"&lt;0")-SUMIFS('Daftar Koreksi'!$H$5:$H$92,'Daftar Koreksi'!$D$5:$D$92,'0700'!A400,'Daftar Koreksi'!$G$5:$G$92,"Jalan Irigasi Jaringan",'Daftar Koreksi'!$H$5:$H$92,"&lt;0")</f>
        <v>0</v>
      </c>
      <c r="G407" s="17">
        <f t="shared" si="18"/>
        <v>600000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3414915</v>
      </c>
      <c r="E408" s="25">
        <f>SUMIFS('Daftar Koreksi'!$H$5:$H$92,'Daftar Koreksi'!$D$5:$D$92,'0700'!A400,'Daftar Koreksi'!$G$5:$G$92,"Aset Tetap Lainnya",'Daftar Koreksi'!$H$5:$H$92,"&gt;0")</f>
        <v>0</v>
      </c>
      <c r="F408" s="25">
        <f>SUMIFS('Daftar Koreksi'!$H$5:$H$92,'Daftar Koreksi'!$D$5:$D$92,'0700'!A400,'Daftar Koreksi'!$G$5:$G$92,"Aset Tetap Lainnya",'Daftar Koreksi'!$H$5:$H$92,"&lt;0")-SUMIFS('Daftar Koreksi'!$H$5:$H$92,'Daftar Koreksi'!$D$5:$D$92,'0700'!A400,'Daftar Koreksi'!$G$5:$G$92,"Aset Tetap Lainnya",'Daftar Koreksi'!$H$5:$H$92,"&lt;0")-SUMIFS('Daftar Koreksi'!$H$5:$H$92,'Daftar Koreksi'!$D$5:$D$92,'0700'!A400,'Daftar Koreksi'!$G$5:$G$92,"Aset Tetap Lainnya",'Daftar Koreksi'!$H$5:$H$92,"&lt;0")</f>
        <v>0</v>
      </c>
      <c r="G408" s="17">
        <f t="shared" si="18"/>
        <v>3414915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Koreksi'!$D$5:$D$92,'0700'!A400,'Daftar Koreksi'!$G$5:$G$92,"Kontruksi Dalam Pengerjaan",'Daftar Koreksi'!$H$5:$H$92,"&gt;0")</f>
        <v>0</v>
      </c>
      <c r="F409" s="25">
        <f>SUMIFS('Daftar Koreksi'!$H$5:$H$92,'Daftar Koreksi'!$D$5:$D$92,'0700'!A400,'Daftar Koreksi'!$G$5:$G$92,"Kontruksi Dalam Pengerjaan",'Daftar Koreksi'!$H$5:$H$92,"&lt;0")-SUMIFS('Daftar Koreksi'!$H$5:$H$92,'Daftar Koreksi'!$D$5:$D$92,'0700'!A400,'Daftar Koreksi'!$G$5:$G$92,"Kontruksi Dalam Pengerjaan",'Daftar Koreksi'!$H$5:$H$92,"&lt;0")-SUMIFS('Daftar Koreksi'!$H$5:$H$92,'Daftar Koreksi'!$D$5:$D$92,'0700'!A400,'Daftar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Koreksi'!$D$5:$D$92,'0700'!A400,'Daftar Koreksi'!$G$5:$G$92,"Aset Tak Berwujud",'Daftar Koreksi'!$H$5:$H$92,"&gt;0")</f>
        <v>0</v>
      </c>
      <c r="F410" s="25">
        <f>SUMIFS('Daftar Koreksi'!$H$5:$H$92,'Daftar Koreksi'!$D$5:$D$92,'0700'!A400,'Daftar Koreksi'!$G$5:$G$92,"Aset Tak Berwujud",'Daftar Koreksi'!$H$5:$H$92,"&lt;0")-SUMIFS('Daftar Koreksi'!$H$5:$H$92,'Daftar Koreksi'!$D$5:$D$92,'0700'!A400,'Daftar Koreksi'!$G$5:$G$92,"Aset Tak Berwujud",'Daftar Koreksi'!$H$5:$H$92,"&lt;0")-SUMIFS('Daftar Koreksi'!$H$5:$H$92,'Daftar Koreksi'!$D$5:$D$92,'0700'!A400,'Daftar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Koreksi'!$D$5:$D$92,'0700'!A400,'Daftar Koreksi'!$G$5:$G$92,"Aset Henti Guna",'Daftar Koreksi'!$H$5:$H$92,"&gt;0")</f>
        <v>0</v>
      </c>
      <c r="F411" s="25">
        <f>SUMIFS('Daftar Koreksi'!$H$5:$H$92,'Daftar Koreksi'!$D$5:$D$92,'0700'!A400,'Daftar Koreksi'!$G$5:$G$92,"Aset Henti Guna",'Daftar Koreksi'!$H$5:$H$92,"&lt;0")-SUMIFS('Daftar Koreksi'!$H$5:$H$92,'Daftar Koreksi'!$D$5:$D$92,'0700'!A400,'Daftar Koreksi'!$G$5:$G$92,"Aset Henti Guna",'Daftar Koreksi'!$H$5:$H$92,"&lt;0")-SUMIFS('Daftar Koreksi'!$H$5:$H$92,'Daftar Koreksi'!$D$5:$D$92,'0700'!A400,'Daftar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6164350438</v>
      </c>
      <c r="E412" s="19">
        <f>SUM(E403:E411)</f>
        <v>0</v>
      </c>
      <c r="F412" s="19">
        <f>SUM(F403:F411)</f>
        <v>0</v>
      </c>
      <c r="G412" s="19">
        <f t="shared" si="18"/>
        <v>6164350438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-817186197</v>
      </c>
      <c r="E413" s="25">
        <f>SUMIFS('Daftar Koreksi'!$I$5:$I$92,'Daftar Koreksi'!$D$5:$D$92,'0700'!A400,'Daftar Koreksi'!$G$5:$G$92,"Peralatan dan mesin",'Daftar Koreksi'!$I$5:$I$92,"&gt;0")</f>
        <v>0</v>
      </c>
      <c r="F413" s="25">
        <f>SUMIFS('Daftar Koreksi'!$I$5:$I$92,'Daftar Koreksi'!$D$5:$D$92,'0700'!A400,'Daftar Koreksi'!$G$5:$G$92,"Peralatan dan mesin",'Daftar Koreksi'!$I$5:$I$92,"&lt;0")-SUMIFS('Daftar Koreksi'!$I$5:$I$92,'Daftar Koreksi'!$D$5:$D$92,'0700'!A400,'Daftar Koreksi'!$G$5:$G$92,"Peralatan dan mesin",'Daftar Koreksi'!$I$5:$I$92,"&lt;0")-SUMIFS('Daftar Koreksi'!$I$5:$I$92,'Daftar Koreksi'!$D$5:$D$92,'0700'!A400,'Daftar Koreksi'!$G$5:$G$92,"Peralatan dan mesin",'Daftar Koreksi'!$I$5:$I$92,"&lt;0")</f>
        <v>0</v>
      </c>
      <c r="G413" s="17">
        <f t="shared" si="18"/>
        <v>-817186197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-354721441</v>
      </c>
      <c r="E414" s="25">
        <f>SUMIFS('Daftar Koreksi'!$I$5:$I$92,'Daftar Koreksi'!$D$5:$D$92,'0700'!A400,'Daftar Koreksi'!$G$5:$G$92,"Gedung dan Bangunan",'Daftar Koreksi'!$I$5:$I$92,"&gt;0")</f>
        <v>0</v>
      </c>
      <c r="F414" s="25">
        <f>SUMIFS('Daftar Koreksi'!$I$5:$I$92,'Daftar Koreksi'!$D$5:$D$92,'0700'!A400,'Daftar Koreksi'!$G$5:$G$92,"Gedung dan Bangunan",'Daftar Koreksi'!$I$5:$I$92,"&lt;0")-SUMIFS('Daftar Koreksi'!$I$5:$I$92,'Daftar Koreksi'!$D$5:$D$92,'0700'!A400,'Daftar Koreksi'!$G$5:$G$92,"Gedung dan Bangunan",'Daftar Koreksi'!$I$5:$I$92,"&lt;0")-SUMIFS('Daftar Koreksi'!$I$5:$I$92,'Daftar Koreksi'!$D$5:$D$92,'0700'!A400,'Daftar Koreksi'!$G$5:$G$92,"Gedung dan Bangunan",'Daftar Koreksi'!$I$5:$I$92,"&lt;0")</f>
        <v>0</v>
      </c>
      <c r="G414" s="17">
        <f t="shared" si="18"/>
        <v>-354721441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-120000</v>
      </c>
      <c r="E415" s="25">
        <f>SUMIFS('Daftar Koreksi'!$I$5:$I$92,'Daftar Koreksi'!$D$5:$D$92,'0700'!A400,'Daftar Koreksi'!$G$5:$G$92,"Jalan Irigasi Jaringan",'Daftar Koreksi'!$I$5:$I$92,"&gt;0")</f>
        <v>0</v>
      </c>
      <c r="F415" s="25">
        <f>SUMIFS('Daftar Koreksi'!$I$5:$I$92,'Daftar Koreksi'!$D$5:$D$92,'0700'!A400,'Daftar Koreksi'!$G$5:$G$92,"Jalan Irigasi Jaringan",'Daftar Koreksi'!$I$5:$I$92,"&lt;0")-SUMIFS('Daftar Koreksi'!$I$5:$I$92,'Daftar Koreksi'!$D$5:$D$92,'0700'!A400,'Daftar Koreksi'!$G$5:$G$92,"Jalan Irigasi Jaringan",'Daftar Koreksi'!$I$5:$I$92,"&lt;0")-SUMIFS('Daftar Koreksi'!$I$5:$I$92,'Daftar Koreksi'!$D$5:$D$92,'0700'!A400,'Daftar Koreksi'!$G$5:$G$92,"Jalan Irigasi Jaringan",'Daftar Koreksi'!$I$5:$I$92,"&lt;0")</f>
        <v>0</v>
      </c>
      <c r="G415" s="17">
        <f t="shared" si="18"/>
        <v>-120000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Koreksi'!$D$5:$D$92,'0700'!A400,'Daftar Koreksi'!$G$5:$G$92,"Aset Tetap Lainnya",'Daftar Koreksi'!$I$5:$I$92,"&gt;0")</f>
        <v>0</v>
      </c>
      <c r="F416" s="25">
        <f>SUMIFS('Daftar Koreksi'!$I$5:$I$92,'Daftar Koreksi'!$D$5:$D$92,'0700'!A400,'Daftar Koreksi'!$G$5:$G$92,"Aset Tetap Lainnya",'Daftar Koreksi'!$I$5:$I$92,"&lt;0")-SUMIFS('Daftar Koreksi'!$I$5:$I$92,'Daftar Koreksi'!$D$5:$D$92,'0700'!A400,'Daftar Koreksi'!$G$5:$G$92,"Aset Tetap Lainnya",'Daftar Koreksi'!$I$5:$I$92,"&lt;0")-SUMIFS('Daftar Koreksi'!$I$5:$I$92,'Daftar Koreksi'!$D$5:$D$92,'0700'!A400,'Daftar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Koreksi'!$D$5:$D$92,'0700'!A400,'Daftar Koreksi'!$G$5:$G$92,"Aset Henti Guna",'Daftar Koreksi'!$I$5:$I$92,"&gt;0")</f>
        <v>0</v>
      </c>
      <c r="F417" s="25">
        <f>SUMIFS('Daftar Koreksi'!$I$5:$I$92,'Daftar Koreksi'!$D$5:$D$92,'0700'!A400,'Daftar Koreksi'!$G$5:$G$92,"Aset Henti Guna",'Daftar Koreksi'!$I$5:$I$92,"&lt;0")-SUMIFS('Daftar Koreksi'!$I$5:$I$92,'Daftar Koreksi'!$D$5:$D$92,'0700'!A400,'Daftar Koreksi'!$G$5:$G$92,"Aset Henti Guna",'Daftar Koreksi'!$I$5:$I$92,"&lt;0")-SUMIFS('Daftar Koreksi'!$I$5:$I$92,'Daftar Koreksi'!$D$5:$D$92,'0700'!A400,'Daftar Koreksi'!$G$5:$G$92,"Aset Henti Guna",'Daftar Koreksi'!$I$5:$I$92,"&lt;0")</f>
        <v>0</v>
      </c>
      <c r="G417" s="17">
        <f t="shared" si="18"/>
        <v>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-1172027638</v>
      </c>
      <c r="E418" s="19">
        <f>SUM(E413:E417)</f>
        <v>0</v>
      </c>
      <c r="F418" s="19">
        <f>SUM(F413:F417)</f>
        <v>0</v>
      </c>
      <c r="G418" s="19">
        <f t="shared" si="18"/>
        <v>-1172027638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4992322800</v>
      </c>
      <c r="E419" s="19">
        <f>E418+E412</f>
        <v>0</v>
      </c>
      <c r="F419" s="19">
        <f>F418+F412</f>
        <v>0</v>
      </c>
      <c r="G419" s="19">
        <f t="shared" si="18"/>
        <v>4992322800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005010700401792000KD</v>
      </c>
      <c r="B422" s="11" t="str">
        <f>P20</f>
        <v>PA. Kabanjahe</v>
      </c>
      <c r="C422" s="12" t="str">
        <f>A422&amp;" "&amp;B422</f>
        <v>005010700401792000KD PA. Kabanjahe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78200</v>
      </c>
      <c r="E425" s="25">
        <f>SUMIFS('Daftar Koreksi'!$H$5:$H$92,'Daftar Koreksi'!$D$5:$D$92,'0700'!A422,'Daftar Koreksi'!$G$5:$G$92,"Persediaan",'Daftar Koreksi'!$H$5:$H$92,"&gt;0")</f>
        <v>0</v>
      </c>
      <c r="F425" s="25">
        <f>SUMIFS('Daftar Koreksi'!$H$5:$H$92,'Daftar Koreksi'!$D$5:$D$92,'0700'!A422,'Daftar Koreksi'!$G$5:$G$92,"Persediaan",'Daftar Koreksi'!$H$5:$H$92,"&lt;0")-SUMIFS('Daftar Koreksi'!$H$5:$H$92,'Daftar Koreksi'!$D$5:$D$92,'0700'!A422,'Daftar Koreksi'!$G$5:$G$92,"Persediaan",'Daftar Koreksi'!$H$5:$H$92,"&lt;0")-SUMIFS('Daftar Koreksi'!$H$5:$H$92,'Daftar Koreksi'!$D$5:$D$92,'0700'!A422,'Daftar Koreksi'!$G$5:$G$92,"Persediaan",'Daftar Koreksi'!$H$5:$H$92,"&lt;0")</f>
        <v>0</v>
      </c>
      <c r="G425" s="17">
        <f>D425+E425-F425</f>
        <v>78200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4081334736</v>
      </c>
      <c r="E426" s="25">
        <f>SUMIFS('Daftar Koreksi'!$H$5:$H$92,'Daftar Koreksi'!$D$5:$D$92,'0700'!A422,'Daftar Koreksi'!$G$5:$G$92,"Tanah",'Daftar Koreksi'!$H$5:$H$92,"&gt;0")</f>
        <v>0</v>
      </c>
      <c r="F426" s="25">
        <f>SUMIFS('Daftar Koreksi'!$H$5:$H$92,'Daftar Koreksi'!$D$5:$D$92,'0700'!A422,'Daftar Koreksi'!$G$5:$G$92,"Tanah",'Daftar Koreksi'!$H$5:$H$92,"&lt;0")-SUMIFS('Daftar Koreksi'!$H$5:$H$92,'Daftar Koreksi'!$D$5:$D$92,'0700'!A422,'Daftar Koreksi'!$G$5:$G$92,"Tanah",'Daftar Koreksi'!$H$5:$H$92,"&lt;0")-SUMIFS('Daftar Koreksi'!$H$5:$H$92,'Daftar Koreksi'!$D$5:$D$92,'0700'!A422,'Daftar Koreksi'!$G$5:$G$92,"Tanah",'Daftar Koreksi'!$H$5:$H$92,"&lt;0")</f>
        <v>0</v>
      </c>
      <c r="G426" s="17">
        <f t="shared" ref="G426:G442" si="19">D426+E426-F426</f>
        <v>4081334736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1523221698</v>
      </c>
      <c r="E427" s="25">
        <f>SUMIFS('Daftar Koreksi'!$H$5:$H$92,'Daftar Koreksi'!$D$5:$D$92,'0700'!A422,'Daftar Koreksi'!$G$5:$G$92,"Peralatan dan mesin",'Daftar Koreksi'!$H$5:$H$92,"&gt;0")</f>
        <v>0</v>
      </c>
      <c r="F427" s="25">
        <f>SUMIFS('Daftar Koreksi'!$H$5:$H$92,'Daftar Koreksi'!$D$5:$D$92,'0700'!A422,'Daftar Koreksi'!$G$5:$G$92,"Peralatan dan mesin",'Daftar Koreksi'!$H$5:$H$92,"&lt;0")-SUMIFS('Daftar Koreksi'!$H$5:$H$92,'Daftar Koreksi'!$D$5:$D$92,'0700'!A422,'Daftar Koreksi'!$G$5:$G$92,"Peralatan dan mesin",'Daftar Koreksi'!$H$5:$H$92,"&lt;0")-SUMIFS('Daftar Koreksi'!$H$5:$H$92,'Daftar Koreksi'!$D$5:$D$92,'0700'!A422,'Daftar Koreksi'!$G$5:$G$92,"Peralatan dan mesin",'Daftar Koreksi'!$H$5:$H$92,"&lt;0")</f>
        <v>0</v>
      </c>
      <c r="G427" s="17">
        <f t="shared" si="19"/>
        <v>1523221698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4267989420</v>
      </c>
      <c r="E428" s="25">
        <f>SUMIFS('Daftar Koreksi'!$H$5:$H$92,'Daftar Koreksi'!$D$5:$D$92,'0700'!A422,'Daftar Koreksi'!$G$5:$G$92,"Gedung dan Bangunan",'Daftar Koreksi'!$H$5:$H$92,"&gt;0")</f>
        <v>0</v>
      </c>
      <c r="F428" s="25">
        <f>SUMIFS('Daftar Koreksi'!$H$5:$H$92,'Daftar Koreksi'!$D$5:$D$92,'0700'!A422,'Daftar Koreksi'!$G$5:$G$92,"Gedung dan Bangunan",'Daftar Koreksi'!$H$5:$H$92,"&lt;0")-SUMIFS('Daftar Koreksi'!$H$5:$H$92,'Daftar Koreksi'!$D$5:$D$92,'0700'!A422,'Daftar Koreksi'!$G$5:$G$92,"Gedung dan Bangunan",'Daftar Koreksi'!$H$5:$H$92,"&lt;0")-SUMIFS('Daftar Koreksi'!$H$5:$H$92,'Daftar Koreksi'!$D$5:$D$92,'0700'!A422,'Daftar Koreksi'!$G$5:$G$92,"Gedung dan Bangunan",'Daftar Koreksi'!$H$5:$H$92,"&lt;0")</f>
        <v>0</v>
      </c>
      <c r="G428" s="17">
        <f t="shared" si="19"/>
        <v>4267989420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Koreksi'!$D$5:$D$92,'0700'!A422,'Daftar Koreksi'!$G$5:$G$92,"Jalan Irigasi Jaringan",'Daftar Koreksi'!$H$5:$H$92,"&gt;0")</f>
        <v>0</v>
      </c>
      <c r="F429" s="25">
        <f>SUMIFS('Daftar Koreksi'!$H$5:$H$92,'Daftar Koreksi'!$D$5:$D$92,'0700'!A422,'Daftar Koreksi'!$G$5:$G$92,"Jalan Irigasi Jaringan",'Daftar Koreksi'!$H$5:$H$92,"&lt;0")-SUMIFS('Daftar Koreksi'!$H$5:$H$92,'Daftar Koreksi'!$D$5:$D$92,'0700'!A422,'Daftar Koreksi'!$G$5:$G$92,"Jalan Irigasi Jaringan",'Daftar Koreksi'!$H$5:$H$92,"&lt;0")-SUMIFS('Daftar Koreksi'!$H$5:$H$92,'Daftar Koreksi'!$D$5:$D$92,'0700'!A422,'Daftar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4450678</v>
      </c>
      <c r="E430" s="25">
        <f>SUMIFS('Daftar Koreksi'!$H$5:$H$92,'Daftar Koreksi'!$D$5:$D$92,'0700'!A422,'Daftar Koreksi'!$G$5:$G$92,"Aset Tetap Lainnya",'Daftar Koreksi'!$H$5:$H$92,"&gt;0")</f>
        <v>0</v>
      </c>
      <c r="F430" s="25">
        <f>SUMIFS('Daftar Koreksi'!$H$5:$H$92,'Daftar Koreksi'!$D$5:$D$92,'0700'!A422,'Daftar Koreksi'!$G$5:$G$92,"Aset Tetap Lainnya",'Daftar Koreksi'!$H$5:$H$92,"&lt;0")-SUMIFS('Daftar Koreksi'!$H$5:$H$92,'Daftar Koreksi'!$D$5:$D$92,'0700'!A422,'Daftar Koreksi'!$G$5:$G$92,"Aset Tetap Lainnya",'Daftar Koreksi'!$H$5:$H$92,"&lt;0")-SUMIFS('Daftar Koreksi'!$H$5:$H$92,'Daftar Koreksi'!$D$5:$D$92,'0700'!A422,'Daftar Koreksi'!$G$5:$G$92,"Aset Tetap Lainnya",'Daftar Koreksi'!$H$5:$H$92,"&lt;0")</f>
        <v>0</v>
      </c>
      <c r="G430" s="17">
        <f t="shared" si="19"/>
        <v>4450678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Koreksi'!$D$5:$D$92,'0700'!A422,'Daftar Koreksi'!$G$5:$G$92,"Kontruksi Dalam Pengerjaan",'Daftar Koreksi'!$H$5:$H$92,"&gt;0")</f>
        <v>0</v>
      </c>
      <c r="F431" s="25">
        <f>SUMIFS('Daftar Koreksi'!$H$5:$H$92,'Daftar Koreksi'!$D$5:$D$92,'0700'!A422,'Daftar Koreksi'!$G$5:$G$92,"Kontruksi Dalam Pengerjaan",'Daftar Koreksi'!$H$5:$H$92,"&lt;0")-SUMIFS('Daftar Koreksi'!$H$5:$H$92,'Daftar Koreksi'!$D$5:$D$92,'0700'!A422,'Daftar Koreksi'!$G$5:$G$92,"Kontruksi Dalam Pengerjaan",'Daftar Koreksi'!$H$5:$H$92,"&lt;0")-SUMIFS('Daftar Koreksi'!$H$5:$H$92,'Daftar Koreksi'!$D$5:$D$92,'0700'!A422,'Daftar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Koreksi'!$D$5:$D$92,'0700'!A422,'Daftar Koreksi'!$G$5:$G$92,"Aset Tak Berwujud",'Daftar Koreksi'!$H$5:$H$92,"&gt;0")</f>
        <v>0</v>
      </c>
      <c r="F432" s="25">
        <f>SUMIFS('Daftar Koreksi'!$H$5:$H$92,'Daftar Koreksi'!$D$5:$D$92,'0700'!A422,'Daftar Koreksi'!$G$5:$G$92,"Aset Tak Berwujud",'Daftar Koreksi'!$H$5:$H$92,"&lt;0")-SUMIFS('Daftar Koreksi'!$H$5:$H$92,'Daftar Koreksi'!$D$5:$D$92,'0700'!A422,'Daftar Koreksi'!$G$5:$G$92,"Aset Tak Berwujud",'Daftar Koreksi'!$H$5:$H$92,"&lt;0")-SUMIFS('Daftar Koreksi'!$H$5:$H$92,'Daftar Koreksi'!$D$5:$D$92,'0700'!A422,'Daftar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10600555</v>
      </c>
      <c r="E433" s="25">
        <f>SUMIFS('Daftar Koreksi'!$H$5:$H$92,'Daftar Koreksi'!$D$5:$D$92,'0700'!A422,'Daftar Koreksi'!$G$5:$G$92,"Aset Henti Guna",'Daftar Koreksi'!$H$5:$H$92,"&gt;0")</f>
        <v>0</v>
      </c>
      <c r="F433" s="25">
        <f>SUMIFS('Daftar Koreksi'!$H$5:$H$92,'Daftar Koreksi'!$D$5:$D$92,'0700'!A422,'Daftar Koreksi'!$G$5:$G$92,"Aset Henti Guna",'Daftar Koreksi'!$H$5:$H$92,"&lt;0")-SUMIFS('Daftar Koreksi'!$H$5:$H$92,'Daftar Koreksi'!$D$5:$D$92,'0700'!A422,'Daftar Koreksi'!$G$5:$G$92,"Aset Henti Guna",'Daftar Koreksi'!$H$5:$H$92,"&lt;0")-SUMIFS('Daftar Koreksi'!$H$5:$H$92,'Daftar Koreksi'!$D$5:$D$92,'0700'!A422,'Daftar Koreksi'!$G$5:$G$92,"Aset Henti Guna",'Daftar Koreksi'!$H$5:$H$92,"&lt;0")</f>
        <v>0</v>
      </c>
      <c r="G433" s="17">
        <f t="shared" si="19"/>
        <v>10600555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9887675287</v>
      </c>
      <c r="E434" s="19">
        <f>SUM(E425:E433)</f>
        <v>0</v>
      </c>
      <c r="F434" s="19">
        <f>SUM(F425:F433)</f>
        <v>0</v>
      </c>
      <c r="G434" s="19">
        <f t="shared" si="19"/>
        <v>9887675287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-1435974478</v>
      </c>
      <c r="E435" s="25">
        <f>SUMIFS('Daftar Koreksi'!$I$5:$I$92,'Daftar Koreksi'!$D$5:$D$92,'0700'!A422,'Daftar Koreksi'!$G$5:$G$92,"Peralatan dan mesin",'Daftar Koreksi'!$I$5:$I$92,"&gt;0")</f>
        <v>0</v>
      </c>
      <c r="F435" s="25">
        <f>SUMIFS('Daftar Koreksi'!$I$5:$I$92,'Daftar Koreksi'!$D$5:$D$92,'0700'!A422,'Daftar Koreksi'!$G$5:$G$92,"Peralatan dan mesin",'Daftar Koreksi'!$I$5:$I$92,"&lt;0")-SUMIFS('Daftar Koreksi'!$I$5:$I$92,'Daftar Koreksi'!$D$5:$D$92,'0700'!A422,'Daftar Koreksi'!$G$5:$G$92,"Peralatan dan mesin",'Daftar Koreksi'!$I$5:$I$92,"&lt;0")-SUMIFS('Daftar Koreksi'!$I$5:$I$92,'Daftar Koreksi'!$D$5:$D$92,'0700'!A422,'Daftar Koreksi'!$G$5:$G$92,"Peralatan dan mesin",'Daftar Koreksi'!$I$5:$I$92,"&lt;0")</f>
        <v>0</v>
      </c>
      <c r="G435" s="17">
        <f t="shared" si="19"/>
        <v>-1435974478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-503254554</v>
      </c>
      <c r="E436" s="25">
        <f>SUMIFS('Daftar Koreksi'!$I$5:$I$92,'Daftar Koreksi'!$D$5:$D$92,'0700'!A422,'Daftar Koreksi'!$G$5:$G$92,"Gedung dan Bangunan",'Daftar Koreksi'!$I$5:$I$92,"&gt;0")</f>
        <v>0</v>
      </c>
      <c r="F436" s="25">
        <f>SUMIFS('Daftar Koreksi'!$I$5:$I$92,'Daftar Koreksi'!$D$5:$D$92,'0700'!A422,'Daftar Koreksi'!$G$5:$G$92,"Gedung dan Bangunan",'Daftar Koreksi'!$I$5:$I$92,"&lt;0")-SUMIFS('Daftar Koreksi'!$I$5:$I$92,'Daftar Koreksi'!$D$5:$D$92,'0700'!A422,'Daftar Koreksi'!$G$5:$G$92,"Gedung dan Bangunan",'Daftar Koreksi'!$I$5:$I$92,"&lt;0")-SUMIFS('Daftar Koreksi'!$I$5:$I$92,'Daftar Koreksi'!$D$5:$D$92,'0700'!A422,'Daftar Koreksi'!$G$5:$G$92,"Gedung dan Bangunan",'Daftar Koreksi'!$I$5:$I$92,"&lt;0")</f>
        <v>0</v>
      </c>
      <c r="G436" s="17">
        <f t="shared" si="19"/>
        <v>-503254554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Koreksi'!$D$5:$D$92,'0700'!A422,'Daftar Koreksi'!$G$5:$G$92,"Jalan Irigasi Jaringan",'Daftar Koreksi'!$I$5:$I$92,"&gt;0")</f>
        <v>0</v>
      </c>
      <c r="F437" s="25">
        <f>SUMIFS('Daftar Koreksi'!$I$5:$I$92,'Daftar Koreksi'!$D$5:$D$92,'0700'!A422,'Daftar Koreksi'!$G$5:$G$92,"Jalan Irigasi Jaringan",'Daftar Koreksi'!$I$5:$I$92,"&lt;0")-SUMIFS('Daftar Koreksi'!$I$5:$I$92,'Daftar Koreksi'!$D$5:$D$92,'0700'!A422,'Daftar Koreksi'!$G$5:$G$92,"Jalan Irigasi Jaringan",'Daftar Koreksi'!$I$5:$I$92,"&lt;0")-SUMIFS('Daftar Koreksi'!$I$5:$I$92,'Daftar Koreksi'!$D$5:$D$92,'0700'!A422,'Daftar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Koreksi'!$D$5:$D$92,'0700'!A422,'Daftar Koreksi'!$G$5:$G$92,"Aset Tetap Lainnya",'Daftar Koreksi'!$I$5:$I$92,"&gt;0")</f>
        <v>0</v>
      </c>
      <c r="F438" s="25">
        <f>SUMIFS('Daftar Koreksi'!$I$5:$I$92,'Daftar Koreksi'!$D$5:$D$92,'0700'!A422,'Daftar Koreksi'!$G$5:$G$92,"Aset Tetap Lainnya",'Daftar Koreksi'!$I$5:$I$92,"&lt;0")-SUMIFS('Daftar Koreksi'!$I$5:$I$92,'Daftar Koreksi'!$D$5:$D$92,'0700'!A422,'Daftar Koreksi'!$G$5:$G$92,"Aset Tetap Lainnya",'Daftar Koreksi'!$I$5:$I$92,"&lt;0")-SUMIFS('Daftar Koreksi'!$I$5:$I$92,'Daftar Koreksi'!$D$5:$D$92,'0700'!A422,'Daftar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-10600555</v>
      </c>
      <c r="E439" s="25">
        <f>SUMIFS('Daftar Koreksi'!$I$5:$I$92,'Daftar Koreksi'!$D$5:$D$92,'0700'!A422,'Daftar Koreksi'!$G$5:$G$92,"Aset Henti Guna",'Daftar Koreksi'!$I$5:$I$92,"&gt;0")</f>
        <v>0</v>
      </c>
      <c r="F439" s="25">
        <f>SUMIFS('Daftar Koreksi'!$I$5:$I$92,'Daftar Koreksi'!$D$5:$D$92,'0700'!A422,'Daftar Koreksi'!$G$5:$G$92,"Aset Henti Guna",'Daftar Koreksi'!$I$5:$I$92,"&lt;0")-SUMIFS('Daftar Koreksi'!$I$5:$I$92,'Daftar Koreksi'!$D$5:$D$92,'0700'!A422,'Daftar Koreksi'!$G$5:$G$92,"Aset Henti Guna",'Daftar Koreksi'!$I$5:$I$92,"&lt;0")-SUMIFS('Daftar Koreksi'!$I$5:$I$92,'Daftar Koreksi'!$D$5:$D$92,'0700'!A422,'Daftar Koreksi'!$G$5:$G$92,"Aset Henti Guna",'Daftar Koreksi'!$I$5:$I$92,"&lt;0")</f>
        <v>0</v>
      </c>
      <c r="G439" s="17">
        <f t="shared" si="19"/>
        <v>-10600555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-1949829587</v>
      </c>
      <c r="E440" s="19">
        <f>SUM(E435:E439)</f>
        <v>0</v>
      </c>
      <c r="F440" s="19">
        <f>SUM(F435:F439)</f>
        <v>0</v>
      </c>
      <c r="G440" s="19">
        <f t="shared" si="19"/>
        <v>-1949829587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7937845700</v>
      </c>
      <c r="E441" s="19">
        <f>E440+E434</f>
        <v>0</v>
      </c>
      <c r="F441" s="19">
        <f>F440+F434</f>
        <v>0</v>
      </c>
      <c r="G441" s="19">
        <f t="shared" si="19"/>
        <v>7937845700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005010700401803000KD</v>
      </c>
      <c r="B444" s="11" t="str">
        <f>P21</f>
        <v>PA. Medan</v>
      </c>
      <c r="C444" s="12" t="str">
        <f>A444&amp;" "&amp;B444</f>
        <v>005010700401803000KD PA. Medan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135000</v>
      </c>
      <c r="E447" s="25">
        <f>SUMIFS('Daftar Koreksi'!$H$5:$H$92,'Daftar Koreksi'!$D$5:$D$92,'0700'!A444,'Daftar Koreksi'!$G$5:$G$92,"Persediaan",'Daftar Koreksi'!$H$5:$H$92,"&gt;0")</f>
        <v>0</v>
      </c>
      <c r="F447" s="25">
        <f>SUMIFS('Daftar Koreksi'!$H$5:$H$92,'Daftar Koreksi'!$D$5:$D$92,'0700'!A444,'Daftar Koreksi'!$G$5:$G$92,"Persediaan",'Daftar Koreksi'!$H$5:$H$92,"&lt;0")-SUMIFS('Daftar Koreksi'!$H$5:$H$92,'Daftar Koreksi'!$D$5:$D$92,'0700'!A444,'Daftar Koreksi'!$G$5:$G$92,"Persediaan",'Daftar Koreksi'!$H$5:$H$92,"&lt;0")-SUMIFS('Daftar Koreksi'!$H$5:$H$92,'Daftar Koreksi'!$D$5:$D$92,'0700'!A444,'Daftar Koreksi'!$G$5:$G$92,"Persediaan",'Daftar Koreksi'!$H$5:$H$92,"&lt;0")</f>
        <v>0</v>
      </c>
      <c r="G447" s="17">
        <f>D447+E447-F447</f>
        <v>135000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2854800274</v>
      </c>
      <c r="E448" s="25">
        <f>SUMIFS('Daftar Koreksi'!$H$5:$H$92,'Daftar Koreksi'!$D$5:$D$92,'0700'!A444,'Daftar Koreksi'!$G$5:$G$92,"Tanah",'Daftar Koreksi'!$H$5:$H$92,"&gt;0")</f>
        <v>0</v>
      </c>
      <c r="F448" s="25">
        <f>SUMIFS('Daftar Koreksi'!$H$5:$H$92,'Daftar Koreksi'!$D$5:$D$92,'0700'!A444,'Daftar Koreksi'!$G$5:$G$92,"Tanah",'Daftar Koreksi'!$H$5:$H$92,"&lt;0")-SUMIFS('Daftar Koreksi'!$H$5:$H$92,'Daftar Koreksi'!$D$5:$D$92,'0700'!A444,'Daftar Koreksi'!$G$5:$G$92,"Tanah",'Daftar Koreksi'!$H$5:$H$92,"&lt;0")-SUMIFS('Daftar Koreksi'!$H$5:$H$92,'Daftar Koreksi'!$D$5:$D$92,'0700'!A444,'Daftar Koreksi'!$G$5:$G$92,"Tanah",'Daftar Koreksi'!$H$5:$H$92,"&lt;0")</f>
        <v>0</v>
      </c>
      <c r="G448" s="17">
        <f t="shared" ref="G448:G464" si="20">D448+E448-F448</f>
        <v>2854800274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2875939132</v>
      </c>
      <c r="E449" s="25">
        <f>SUMIFS('Daftar Koreksi'!$H$5:$H$92,'Daftar Koreksi'!$D$5:$D$92,'0700'!A444,'Daftar Koreksi'!$G$5:$G$92,"Peralatan dan mesin",'Daftar Koreksi'!$H$5:$H$92,"&gt;0")</f>
        <v>0</v>
      </c>
      <c r="F449" s="25">
        <f>SUMIFS('Daftar Koreksi'!$H$5:$H$92,'Daftar Koreksi'!$D$5:$D$92,'0700'!A444,'Daftar Koreksi'!$G$5:$G$92,"Peralatan dan mesin",'Daftar Koreksi'!$H$5:$H$92,"&lt;0")-SUMIFS('Daftar Koreksi'!$H$5:$H$92,'Daftar Koreksi'!$D$5:$D$92,'0700'!A444,'Daftar Koreksi'!$G$5:$G$92,"Peralatan dan mesin",'Daftar Koreksi'!$H$5:$H$92,"&lt;0")-SUMIFS('Daftar Koreksi'!$H$5:$H$92,'Daftar Koreksi'!$D$5:$D$92,'0700'!A444,'Daftar Koreksi'!$G$5:$G$92,"Peralatan dan mesin",'Daftar Koreksi'!$H$5:$H$92,"&lt;0")</f>
        <v>0</v>
      </c>
      <c r="G449" s="17">
        <f t="shared" si="20"/>
        <v>2875939132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4180168819</v>
      </c>
      <c r="E450" s="25">
        <f>SUMIFS('Daftar Koreksi'!$H$5:$H$92,'Daftar Koreksi'!$D$5:$D$92,'0700'!A444,'Daftar Koreksi'!$G$5:$G$92,"Gedung dan Bangunan",'Daftar Koreksi'!$H$5:$H$92,"&gt;0")</f>
        <v>0</v>
      </c>
      <c r="F450" s="25">
        <f>SUMIFS('Daftar Koreksi'!$H$5:$H$92,'Daftar Koreksi'!$D$5:$D$92,'0700'!A444,'Daftar Koreksi'!$G$5:$G$92,"Gedung dan Bangunan",'Daftar Koreksi'!$H$5:$H$92,"&lt;0")-SUMIFS('Daftar Koreksi'!$H$5:$H$92,'Daftar Koreksi'!$D$5:$D$92,'0700'!A444,'Daftar Koreksi'!$G$5:$G$92,"Gedung dan Bangunan",'Daftar Koreksi'!$H$5:$H$92,"&lt;0")-SUMIFS('Daftar Koreksi'!$H$5:$H$92,'Daftar Koreksi'!$D$5:$D$92,'0700'!A444,'Daftar Koreksi'!$G$5:$G$92,"Gedung dan Bangunan",'Daftar Koreksi'!$H$5:$H$92,"&lt;0")</f>
        <v>0</v>
      </c>
      <c r="G450" s="17">
        <f t="shared" si="20"/>
        <v>4180168819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275600000</v>
      </c>
      <c r="E451" s="25">
        <f>SUMIFS('Daftar Koreksi'!$H$5:$H$92,'Daftar Koreksi'!$D$5:$D$92,'0700'!A444,'Daftar Koreksi'!$G$5:$G$92,"Jalan Irigasi Jaringan",'Daftar Koreksi'!$H$5:$H$92,"&gt;0")</f>
        <v>0</v>
      </c>
      <c r="F451" s="25">
        <f>SUMIFS('Daftar Koreksi'!$H$5:$H$92,'Daftar Koreksi'!$D$5:$D$92,'0700'!A444,'Daftar Koreksi'!$G$5:$G$92,"Jalan Irigasi Jaringan",'Daftar Koreksi'!$H$5:$H$92,"&lt;0")-SUMIFS('Daftar Koreksi'!$H$5:$H$92,'Daftar Koreksi'!$D$5:$D$92,'0700'!A444,'Daftar Koreksi'!$G$5:$G$92,"Jalan Irigasi Jaringan",'Daftar Koreksi'!$H$5:$H$92,"&lt;0")-SUMIFS('Daftar Koreksi'!$H$5:$H$92,'Daftar Koreksi'!$D$5:$D$92,'0700'!A444,'Daftar Koreksi'!$G$5:$G$92,"Jalan Irigasi Jaringan",'Daftar Koreksi'!$H$5:$H$92,"&lt;0")</f>
        <v>0</v>
      </c>
      <c r="G451" s="17">
        <f t="shared" si="20"/>
        <v>275600000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3236680</v>
      </c>
      <c r="E452" s="25">
        <f>SUMIFS('Daftar Koreksi'!$H$5:$H$92,'Daftar Koreksi'!$D$5:$D$92,'0700'!A444,'Daftar Koreksi'!$G$5:$G$92,"Aset Tetap Lainnya",'Daftar Koreksi'!$H$5:$H$92,"&gt;0")</f>
        <v>0</v>
      </c>
      <c r="F452" s="25">
        <f>SUMIFS('Daftar Koreksi'!$H$5:$H$92,'Daftar Koreksi'!$D$5:$D$92,'0700'!A444,'Daftar Koreksi'!$G$5:$G$92,"Aset Tetap Lainnya",'Daftar Koreksi'!$H$5:$H$92,"&lt;0")-SUMIFS('Daftar Koreksi'!$H$5:$H$92,'Daftar Koreksi'!$D$5:$D$92,'0700'!A444,'Daftar Koreksi'!$G$5:$G$92,"Aset Tetap Lainnya",'Daftar Koreksi'!$H$5:$H$92,"&lt;0")-SUMIFS('Daftar Koreksi'!$H$5:$H$92,'Daftar Koreksi'!$D$5:$D$92,'0700'!A444,'Daftar Koreksi'!$G$5:$G$92,"Aset Tetap Lainnya",'Daftar Koreksi'!$H$5:$H$92,"&lt;0")</f>
        <v>0</v>
      </c>
      <c r="G452" s="17">
        <f t="shared" si="20"/>
        <v>3236680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Koreksi'!$D$5:$D$92,'0700'!A444,'Daftar Koreksi'!$G$5:$G$92,"Kontruksi Dalam Pengerjaan",'Daftar Koreksi'!$H$5:$H$92,"&gt;0")</f>
        <v>0</v>
      </c>
      <c r="F453" s="25">
        <f>SUMIFS('Daftar Koreksi'!$H$5:$H$92,'Daftar Koreksi'!$D$5:$D$92,'0700'!A444,'Daftar Koreksi'!$G$5:$G$92,"Kontruksi Dalam Pengerjaan",'Daftar Koreksi'!$H$5:$H$92,"&lt;0")-SUMIFS('Daftar Koreksi'!$H$5:$H$92,'Daftar Koreksi'!$D$5:$D$92,'0700'!A444,'Daftar Koreksi'!$G$5:$G$92,"Kontruksi Dalam Pengerjaan",'Daftar Koreksi'!$H$5:$H$92,"&lt;0")-SUMIFS('Daftar Koreksi'!$H$5:$H$92,'Daftar Koreksi'!$D$5:$D$92,'0700'!A444,'Daftar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Koreksi'!$D$5:$D$92,'0700'!A444,'Daftar Koreksi'!$G$5:$G$92,"Aset Tak Berwujud",'Daftar Koreksi'!$H$5:$H$92,"&gt;0")</f>
        <v>0</v>
      </c>
      <c r="F454" s="25">
        <f>SUMIFS('Daftar Koreksi'!$H$5:$H$92,'Daftar Koreksi'!$D$5:$D$92,'0700'!A444,'Daftar Koreksi'!$G$5:$G$92,"Aset Tak Berwujud",'Daftar Koreksi'!$H$5:$H$92,"&lt;0")-SUMIFS('Daftar Koreksi'!$H$5:$H$92,'Daftar Koreksi'!$D$5:$D$92,'0700'!A444,'Daftar Koreksi'!$G$5:$G$92,"Aset Tak Berwujud",'Daftar Koreksi'!$H$5:$H$92,"&lt;0")-SUMIFS('Daftar Koreksi'!$H$5:$H$92,'Daftar Koreksi'!$D$5:$D$92,'0700'!A444,'Daftar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205647951</v>
      </c>
      <c r="E455" s="25">
        <f>SUMIFS('Daftar Koreksi'!$H$5:$H$92,'Daftar Koreksi'!$D$5:$D$92,'0700'!A444,'Daftar Koreksi'!$G$5:$G$92,"Aset Henti Guna",'Daftar Koreksi'!$H$5:$H$92,"&gt;0")</f>
        <v>0</v>
      </c>
      <c r="F455" s="25">
        <f>SUMIFS('Daftar Koreksi'!$H$5:$H$92,'Daftar Koreksi'!$D$5:$D$92,'0700'!A444,'Daftar Koreksi'!$G$5:$G$92,"Aset Henti Guna",'Daftar Koreksi'!$H$5:$H$92,"&lt;0")-SUMIFS('Daftar Koreksi'!$H$5:$H$92,'Daftar Koreksi'!$D$5:$D$92,'0700'!A444,'Daftar Koreksi'!$G$5:$G$92,"Aset Henti Guna",'Daftar Koreksi'!$H$5:$H$92,"&lt;0")-SUMIFS('Daftar Koreksi'!$H$5:$H$92,'Daftar Koreksi'!$D$5:$D$92,'0700'!A444,'Daftar Koreksi'!$G$5:$G$92,"Aset Henti Guna",'Daftar Koreksi'!$H$5:$H$92,"&lt;0")</f>
        <v>0</v>
      </c>
      <c r="G455" s="17">
        <f t="shared" si="20"/>
        <v>205647951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10395527856</v>
      </c>
      <c r="E456" s="19">
        <f>SUM(E447:E455)</f>
        <v>0</v>
      </c>
      <c r="F456" s="19">
        <f>SUM(F447:F455)</f>
        <v>0</v>
      </c>
      <c r="G456" s="19">
        <f t="shared" si="20"/>
        <v>10395527856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-2510783880</v>
      </c>
      <c r="E457" s="25">
        <f>SUMIFS('Daftar Koreksi'!$I$5:$I$92,'Daftar Koreksi'!$D$5:$D$92,'0700'!A444,'Daftar Koreksi'!$G$5:$G$92,"Peralatan dan mesin",'Daftar Koreksi'!$I$5:$I$92,"&gt;0")</f>
        <v>0</v>
      </c>
      <c r="F457" s="25">
        <f>SUMIFS('Daftar Koreksi'!$I$5:$I$92,'Daftar Koreksi'!$D$5:$D$92,'0700'!A444,'Daftar Koreksi'!$G$5:$G$92,"Peralatan dan mesin",'Daftar Koreksi'!$I$5:$I$92,"&lt;0")-SUMIFS('Daftar Koreksi'!$I$5:$I$92,'Daftar Koreksi'!$D$5:$D$92,'0700'!A444,'Daftar Koreksi'!$G$5:$G$92,"Peralatan dan mesin",'Daftar Koreksi'!$I$5:$I$92,"&lt;0")-SUMIFS('Daftar Koreksi'!$I$5:$I$92,'Daftar Koreksi'!$D$5:$D$92,'0700'!A444,'Daftar Koreksi'!$G$5:$G$92,"Peralatan dan mesin",'Daftar Koreksi'!$I$5:$I$92,"&lt;0")</f>
        <v>0</v>
      </c>
      <c r="G457" s="17">
        <f t="shared" si="20"/>
        <v>-2510783880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-855821114</v>
      </c>
      <c r="E458" s="25">
        <f>SUMIFS('Daftar Koreksi'!$I$5:$I$92,'Daftar Koreksi'!$D$5:$D$92,'0700'!A444,'Daftar Koreksi'!$G$5:$G$92,"Gedung dan Bangunan",'Daftar Koreksi'!$I$5:$I$92,"&gt;0")</f>
        <v>0</v>
      </c>
      <c r="F458" s="25">
        <f>SUMIFS('Daftar Koreksi'!$I$5:$I$92,'Daftar Koreksi'!$D$5:$D$92,'0700'!A444,'Daftar Koreksi'!$G$5:$G$92,"Gedung dan Bangunan",'Daftar Koreksi'!$I$5:$I$92,"&lt;0")-SUMIFS('Daftar Koreksi'!$I$5:$I$92,'Daftar Koreksi'!$D$5:$D$92,'0700'!A444,'Daftar Koreksi'!$G$5:$G$92,"Gedung dan Bangunan",'Daftar Koreksi'!$I$5:$I$92,"&lt;0")-SUMIFS('Daftar Koreksi'!$I$5:$I$92,'Daftar Koreksi'!$D$5:$D$92,'0700'!A444,'Daftar Koreksi'!$G$5:$G$92,"Gedung dan Bangunan",'Daftar Koreksi'!$I$5:$I$92,"&lt;0")</f>
        <v>0</v>
      </c>
      <c r="G458" s="17">
        <f t="shared" si="20"/>
        <v>-855821114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-91095750</v>
      </c>
      <c r="E459" s="25">
        <f>SUMIFS('Daftar Koreksi'!$I$5:$I$92,'Daftar Koreksi'!$D$5:$D$92,'0700'!A444,'Daftar Koreksi'!$G$5:$G$92,"Jalan Irigasi Jaringan",'Daftar Koreksi'!$I$5:$I$92,"&gt;0")</f>
        <v>0</v>
      </c>
      <c r="F459" s="25">
        <f>SUMIFS('Daftar Koreksi'!$I$5:$I$92,'Daftar Koreksi'!$D$5:$D$92,'0700'!A444,'Daftar Koreksi'!$G$5:$G$92,"Jalan Irigasi Jaringan",'Daftar Koreksi'!$I$5:$I$92,"&lt;0")-SUMIFS('Daftar Koreksi'!$I$5:$I$92,'Daftar Koreksi'!$D$5:$D$92,'0700'!A444,'Daftar Koreksi'!$G$5:$G$92,"Jalan Irigasi Jaringan",'Daftar Koreksi'!$I$5:$I$92,"&lt;0")-SUMIFS('Daftar Koreksi'!$I$5:$I$92,'Daftar Koreksi'!$D$5:$D$92,'0700'!A444,'Daftar Koreksi'!$G$5:$G$92,"Jalan Irigasi Jaringan",'Daftar Koreksi'!$I$5:$I$92,"&lt;0")</f>
        <v>0</v>
      </c>
      <c r="G459" s="17">
        <f t="shared" si="20"/>
        <v>-91095750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Koreksi'!$D$5:$D$92,'0700'!A444,'Daftar Koreksi'!$G$5:$G$92,"Aset Tetap Lainnya",'Daftar Koreksi'!$I$5:$I$92,"&gt;0")</f>
        <v>0</v>
      </c>
      <c r="F460" s="25">
        <f>SUMIFS('Daftar Koreksi'!$I$5:$I$92,'Daftar Koreksi'!$D$5:$D$92,'0700'!A444,'Daftar Koreksi'!$G$5:$G$92,"Aset Tetap Lainnya",'Daftar Koreksi'!$I$5:$I$92,"&lt;0")-SUMIFS('Daftar Koreksi'!$I$5:$I$92,'Daftar Koreksi'!$D$5:$D$92,'0700'!A444,'Daftar Koreksi'!$G$5:$G$92,"Aset Tetap Lainnya",'Daftar Koreksi'!$I$5:$I$92,"&lt;0")-SUMIFS('Daftar Koreksi'!$I$5:$I$92,'Daftar Koreksi'!$D$5:$D$92,'0700'!A444,'Daftar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-205647951</v>
      </c>
      <c r="E461" s="25">
        <f>SUMIFS('Daftar Koreksi'!$I$5:$I$92,'Daftar Koreksi'!$D$5:$D$92,'0700'!A444,'Daftar Koreksi'!$G$5:$G$92,"Aset Henti Guna",'Daftar Koreksi'!$I$5:$I$92,"&gt;0")</f>
        <v>0</v>
      </c>
      <c r="F461" s="25">
        <f>SUMIFS('Daftar Koreksi'!$I$5:$I$92,'Daftar Koreksi'!$D$5:$D$92,'0700'!A444,'Daftar Koreksi'!$G$5:$G$92,"Aset Henti Guna",'Daftar Koreksi'!$I$5:$I$92,"&lt;0")-SUMIFS('Daftar Koreksi'!$I$5:$I$92,'Daftar Koreksi'!$D$5:$D$92,'0700'!A444,'Daftar Koreksi'!$G$5:$G$92,"Aset Henti Guna",'Daftar Koreksi'!$I$5:$I$92,"&lt;0")-SUMIFS('Daftar Koreksi'!$I$5:$I$92,'Daftar Koreksi'!$D$5:$D$92,'0700'!A444,'Daftar Koreksi'!$G$5:$G$92,"Aset Henti Guna",'Daftar Koreksi'!$I$5:$I$92,"&lt;0")</f>
        <v>0</v>
      </c>
      <c r="G461" s="17">
        <f t="shared" si="20"/>
        <v>-205647951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-3663348695</v>
      </c>
      <c r="E462" s="19">
        <f>SUM(E457:E461)</f>
        <v>0</v>
      </c>
      <c r="F462" s="19">
        <f>SUM(F457:F461)</f>
        <v>0</v>
      </c>
      <c r="G462" s="19">
        <f t="shared" si="20"/>
        <v>-3663348695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6732179161</v>
      </c>
      <c r="E463" s="19">
        <f>E462+E456</f>
        <v>0</v>
      </c>
      <c r="F463" s="19">
        <f>F462+F456</f>
        <v>0</v>
      </c>
      <c r="G463" s="19">
        <f t="shared" si="20"/>
        <v>6732179161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005010700401812000KD</v>
      </c>
      <c r="B466" s="11" t="str">
        <f>P22</f>
        <v>PA. Rantau Prapat</v>
      </c>
      <c r="C466" s="12" t="str">
        <f>A466&amp;" "&amp;B466</f>
        <v>005010700401812000KD PA. Rantau Prapat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3763955</v>
      </c>
      <c r="E469" s="25">
        <f>SUMIFS('Daftar Koreksi'!$H$5:$H$92,'Daftar Koreksi'!$D$5:$D$92,'0700'!A466,'Daftar Koreksi'!$G$5:$G$92,"Persediaan",'Daftar Koreksi'!$H$5:$H$92,"&gt;0")</f>
        <v>0</v>
      </c>
      <c r="F469" s="25">
        <f>SUMIFS('Daftar Koreksi'!$H$5:$H$92,'Daftar Koreksi'!$D$5:$D$92,'0700'!A466,'Daftar Koreksi'!$G$5:$G$92,"Persediaan",'Daftar Koreksi'!$H$5:$H$92,"&lt;0")-SUMIFS('Daftar Koreksi'!$H$5:$H$92,'Daftar Koreksi'!$D$5:$D$92,'0700'!A466,'Daftar Koreksi'!$G$5:$G$92,"Persediaan",'Daftar Koreksi'!$H$5:$H$92,"&lt;0")-SUMIFS('Daftar Koreksi'!$H$5:$H$92,'Daftar Koreksi'!$D$5:$D$92,'0700'!A466,'Daftar Koreksi'!$G$5:$G$92,"Persediaan",'Daftar Koreksi'!$H$5:$H$92,"&lt;0")</f>
        <v>0</v>
      </c>
      <c r="G469" s="17">
        <f>D469+E469-F469</f>
        <v>3763955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1048090000</v>
      </c>
      <c r="E470" s="25">
        <f>SUMIFS('Daftar Koreksi'!$H$5:$H$92,'Daftar Koreksi'!$D$5:$D$92,'0700'!A466,'Daftar Koreksi'!$G$5:$G$92,"Tanah",'Daftar Koreksi'!$H$5:$H$92,"&gt;0")</f>
        <v>0</v>
      </c>
      <c r="F470" s="25">
        <f>SUMIFS('Daftar Koreksi'!$H$5:$H$92,'Daftar Koreksi'!$D$5:$D$92,'0700'!A466,'Daftar Koreksi'!$G$5:$G$92,"Tanah",'Daftar Koreksi'!$H$5:$H$92,"&lt;0")-SUMIFS('Daftar Koreksi'!$H$5:$H$92,'Daftar Koreksi'!$D$5:$D$92,'0700'!A466,'Daftar Koreksi'!$G$5:$G$92,"Tanah",'Daftar Koreksi'!$H$5:$H$92,"&lt;0")-SUMIFS('Daftar Koreksi'!$H$5:$H$92,'Daftar Koreksi'!$D$5:$D$92,'0700'!A466,'Daftar Koreksi'!$G$5:$G$92,"Tanah",'Daftar Koreksi'!$H$5:$H$92,"&lt;0")</f>
        <v>0</v>
      </c>
      <c r="G470" s="17">
        <f t="shared" ref="G470:G486" si="21">D470+E470-F470</f>
        <v>1048090000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779746440</v>
      </c>
      <c r="E471" s="25">
        <f>SUMIFS('Daftar Koreksi'!$H$5:$H$92,'Daftar Koreksi'!$D$5:$D$92,'0700'!A466,'Daftar Koreksi'!$G$5:$G$92,"Peralatan dan mesin",'Daftar Koreksi'!$H$5:$H$92,"&gt;0")</f>
        <v>0</v>
      </c>
      <c r="F471" s="25">
        <f>SUMIFS('Daftar Koreksi'!$H$5:$H$92,'Daftar Koreksi'!$D$5:$D$92,'0700'!A466,'Daftar Koreksi'!$G$5:$G$92,"Peralatan dan mesin",'Daftar Koreksi'!$H$5:$H$92,"&lt;0")-SUMIFS('Daftar Koreksi'!$H$5:$H$92,'Daftar Koreksi'!$D$5:$D$92,'0700'!A466,'Daftar Koreksi'!$G$5:$G$92,"Peralatan dan mesin",'Daftar Koreksi'!$H$5:$H$92,"&lt;0")-SUMIFS('Daftar Koreksi'!$H$5:$H$92,'Daftar Koreksi'!$D$5:$D$92,'0700'!A466,'Daftar Koreksi'!$G$5:$G$92,"Peralatan dan mesin",'Daftar Koreksi'!$H$5:$H$92,"&lt;0")</f>
        <v>0</v>
      </c>
      <c r="G471" s="17">
        <f t="shared" si="21"/>
        <v>779746440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1398689000</v>
      </c>
      <c r="E472" s="25">
        <f>SUMIFS('Daftar Koreksi'!$H$5:$H$92,'Daftar Koreksi'!$D$5:$D$92,'0700'!A466,'Daftar Koreksi'!$G$5:$G$92,"Gedung dan Bangunan",'Daftar Koreksi'!$H$5:$H$92,"&gt;0")</f>
        <v>0</v>
      </c>
      <c r="F472" s="25">
        <f>SUMIFS('Daftar Koreksi'!$H$5:$H$92,'Daftar Koreksi'!$D$5:$D$92,'0700'!A466,'Daftar Koreksi'!$G$5:$G$92,"Gedung dan Bangunan",'Daftar Koreksi'!$H$5:$H$92,"&lt;0")-SUMIFS('Daftar Koreksi'!$H$5:$H$92,'Daftar Koreksi'!$D$5:$D$92,'0700'!A466,'Daftar Koreksi'!$G$5:$G$92,"Gedung dan Bangunan",'Daftar Koreksi'!$H$5:$H$92,"&lt;0")-SUMIFS('Daftar Koreksi'!$H$5:$H$92,'Daftar Koreksi'!$D$5:$D$92,'0700'!A466,'Daftar Koreksi'!$G$5:$G$92,"Gedung dan Bangunan",'Daftar Koreksi'!$H$5:$H$92,"&lt;0")</f>
        <v>0</v>
      </c>
      <c r="G472" s="17">
        <f t="shared" si="21"/>
        <v>1398689000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Koreksi'!$D$5:$D$92,'0700'!A466,'Daftar Koreksi'!$G$5:$G$92,"Jalan Irigasi Jaringan",'Daftar Koreksi'!$H$5:$H$92,"&gt;0")</f>
        <v>0</v>
      </c>
      <c r="F473" s="25">
        <f>SUMIFS('Daftar Koreksi'!$H$5:$H$92,'Daftar Koreksi'!$D$5:$D$92,'0700'!A466,'Daftar Koreksi'!$G$5:$G$92,"Jalan Irigasi Jaringan",'Daftar Koreksi'!$H$5:$H$92,"&lt;0")-SUMIFS('Daftar Koreksi'!$H$5:$H$92,'Daftar Koreksi'!$D$5:$D$92,'0700'!A466,'Daftar Koreksi'!$G$5:$G$92,"Jalan Irigasi Jaringan",'Daftar Koreksi'!$H$5:$H$92,"&lt;0")-SUMIFS('Daftar Koreksi'!$H$5:$H$92,'Daftar Koreksi'!$D$5:$D$92,'0700'!A466,'Daftar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4911000</v>
      </c>
      <c r="E474" s="25">
        <f>SUMIFS('Daftar Koreksi'!$H$5:$H$92,'Daftar Koreksi'!$D$5:$D$92,'0700'!A466,'Daftar Koreksi'!$G$5:$G$92,"Aset Tetap Lainnya",'Daftar Koreksi'!$H$5:$H$92,"&gt;0")</f>
        <v>0</v>
      </c>
      <c r="F474" s="25">
        <f>SUMIFS('Daftar Koreksi'!$H$5:$H$92,'Daftar Koreksi'!$D$5:$D$92,'0700'!A466,'Daftar Koreksi'!$G$5:$G$92,"Aset Tetap Lainnya",'Daftar Koreksi'!$H$5:$H$92,"&lt;0")-SUMIFS('Daftar Koreksi'!$H$5:$H$92,'Daftar Koreksi'!$D$5:$D$92,'0700'!A466,'Daftar Koreksi'!$G$5:$G$92,"Aset Tetap Lainnya",'Daftar Koreksi'!$H$5:$H$92,"&lt;0")-SUMIFS('Daftar Koreksi'!$H$5:$H$92,'Daftar Koreksi'!$D$5:$D$92,'0700'!A466,'Daftar Koreksi'!$G$5:$G$92,"Aset Tetap Lainnya",'Daftar Koreksi'!$H$5:$H$92,"&lt;0")</f>
        <v>0</v>
      </c>
      <c r="G474" s="17">
        <f t="shared" si="21"/>
        <v>4911000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Koreksi'!$D$5:$D$92,'0700'!A466,'Daftar Koreksi'!$G$5:$G$92,"Kontruksi Dalam Pengerjaan",'Daftar Koreksi'!$H$5:$H$92,"&gt;0")</f>
        <v>0</v>
      </c>
      <c r="F475" s="25">
        <f>SUMIFS('Daftar Koreksi'!$H$5:$H$92,'Daftar Koreksi'!$D$5:$D$92,'0700'!A466,'Daftar Koreksi'!$G$5:$G$92,"Kontruksi Dalam Pengerjaan",'Daftar Koreksi'!$H$5:$H$92,"&lt;0")-SUMIFS('Daftar Koreksi'!$H$5:$H$92,'Daftar Koreksi'!$D$5:$D$92,'0700'!A466,'Daftar Koreksi'!$G$5:$G$92,"Kontruksi Dalam Pengerjaan",'Daftar Koreksi'!$H$5:$H$92,"&lt;0")-SUMIFS('Daftar Koreksi'!$H$5:$H$92,'Daftar Koreksi'!$D$5:$D$92,'0700'!A466,'Daftar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Koreksi'!$D$5:$D$92,'0700'!A466,'Daftar Koreksi'!$G$5:$G$92,"Aset Tak Berwujud",'Daftar Koreksi'!$H$5:$H$92,"&gt;0")</f>
        <v>0</v>
      </c>
      <c r="F476" s="25">
        <f>SUMIFS('Daftar Koreksi'!$H$5:$H$92,'Daftar Koreksi'!$D$5:$D$92,'0700'!A466,'Daftar Koreksi'!$G$5:$G$92,"Aset Tak Berwujud",'Daftar Koreksi'!$H$5:$H$92,"&lt;0")-SUMIFS('Daftar Koreksi'!$H$5:$H$92,'Daftar Koreksi'!$D$5:$D$92,'0700'!A466,'Daftar Koreksi'!$G$5:$G$92,"Aset Tak Berwujud",'Daftar Koreksi'!$H$5:$H$92,"&lt;0")-SUMIFS('Daftar Koreksi'!$H$5:$H$92,'Daftar Koreksi'!$D$5:$D$92,'0700'!A466,'Daftar Koreksi'!$G$5:$G$92,"Aset Tak Berwujud",'Daftar Koreksi'!$H$5:$H$92,"&lt;0")</f>
        <v>0</v>
      </c>
      <c r="G476" s="17">
        <f t="shared" si="21"/>
        <v>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146979000</v>
      </c>
      <c r="E477" s="25">
        <f>SUMIFS('Daftar Koreksi'!$H$5:$H$92,'Daftar Koreksi'!$D$5:$D$92,'0700'!A466,'Daftar Koreksi'!$G$5:$G$92,"Aset Henti Guna",'Daftar Koreksi'!$H$5:$H$92,"&gt;0")</f>
        <v>0</v>
      </c>
      <c r="F477" s="25">
        <f>SUMIFS('Daftar Koreksi'!$H$5:$H$92,'Daftar Koreksi'!$D$5:$D$92,'0700'!A466,'Daftar Koreksi'!$G$5:$G$92,"Aset Henti Guna",'Daftar Koreksi'!$H$5:$H$92,"&lt;0")-SUMIFS('Daftar Koreksi'!$H$5:$H$92,'Daftar Koreksi'!$D$5:$D$92,'0700'!A466,'Daftar Koreksi'!$G$5:$G$92,"Aset Henti Guna",'Daftar Koreksi'!$H$5:$H$92,"&lt;0")-SUMIFS('Daftar Koreksi'!$H$5:$H$92,'Daftar Koreksi'!$D$5:$D$92,'0700'!A466,'Daftar Koreksi'!$G$5:$G$92,"Aset Henti Guna",'Daftar Koreksi'!$H$5:$H$92,"&lt;0")</f>
        <v>0</v>
      </c>
      <c r="G477" s="17">
        <f t="shared" si="21"/>
        <v>146979000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3382179395</v>
      </c>
      <c r="E478" s="19">
        <f>SUM(E469:E477)</f>
        <v>0</v>
      </c>
      <c r="F478" s="19">
        <f>SUM(F469:F477)</f>
        <v>0</v>
      </c>
      <c r="G478" s="19">
        <f t="shared" si="21"/>
        <v>3382179395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-686352473</v>
      </c>
      <c r="E479" s="25">
        <f>SUMIFS('Daftar Koreksi'!$I$5:$I$92,'Daftar Koreksi'!$D$5:$D$92,'0700'!A466,'Daftar Koreksi'!$G$5:$G$92,"Peralatan dan mesin",'Daftar Koreksi'!$I$5:$I$92,"&gt;0")</f>
        <v>0</v>
      </c>
      <c r="F479" s="25">
        <f>SUMIFS('Daftar Koreksi'!$I$5:$I$92,'Daftar Koreksi'!$D$5:$D$92,'0700'!A466,'Daftar Koreksi'!$G$5:$G$92,"Peralatan dan mesin",'Daftar Koreksi'!$I$5:$I$92,"&lt;0")-SUMIFS('Daftar Koreksi'!$I$5:$I$92,'Daftar Koreksi'!$D$5:$D$92,'0700'!A466,'Daftar Koreksi'!$G$5:$G$92,"Peralatan dan mesin",'Daftar Koreksi'!$I$5:$I$92,"&lt;0")-SUMIFS('Daftar Koreksi'!$I$5:$I$92,'Daftar Koreksi'!$D$5:$D$92,'0700'!A466,'Daftar Koreksi'!$G$5:$G$92,"Peralatan dan mesin",'Daftar Koreksi'!$I$5:$I$92,"&lt;0")</f>
        <v>0</v>
      </c>
      <c r="G479" s="17">
        <f t="shared" si="21"/>
        <v>-686352473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-221532661</v>
      </c>
      <c r="E480" s="25">
        <f>SUMIFS('Daftar Koreksi'!$I$5:$I$92,'Daftar Koreksi'!$D$5:$D$92,'0700'!A466,'Daftar Koreksi'!$G$5:$G$92,"Gedung dan Bangunan",'Daftar Koreksi'!$I$5:$I$92,"&gt;0")</f>
        <v>0</v>
      </c>
      <c r="F480" s="25">
        <f>SUMIFS('Daftar Koreksi'!$I$5:$I$92,'Daftar Koreksi'!$D$5:$D$92,'0700'!A466,'Daftar Koreksi'!$G$5:$G$92,"Gedung dan Bangunan",'Daftar Koreksi'!$I$5:$I$92,"&lt;0")-SUMIFS('Daftar Koreksi'!$I$5:$I$92,'Daftar Koreksi'!$D$5:$D$92,'0700'!A466,'Daftar Koreksi'!$G$5:$G$92,"Gedung dan Bangunan",'Daftar Koreksi'!$I$5:$I$92,"&lt;0")-SUMIFS('Daftar Koreksi'!$I$5:$I$92,'Daftar Koreksi'!$D$5:$D$92,'0700'!A466,'Daftar Koreksi'!$G$5:$G$92,"Gedung dan Bangunan",'Daftar Koreksi'!$I$5:$I$92,"&lt;0")</f>
        <v>0</v>
      </c>
      <c r="G480" s="17">
        <f t="shared" si="21"/>
        <v>-221532661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Koreksi'!$D$5:$D$92,'0700'!A466,'Daftar Koreksi'!$G$5:$G$92,"Jalan Irigasi Jaringan",'Daftar Koreksi'!$I$5:$I$92,"&gt;0")</f>
        <v>0</v>
      </c>
      <c r="F481" s="25">
        <f>SUMIFS('Daftar Koreksi'!$I$5:$I$92,'Daftar Koreksi'!$D$5:$D$92,'0700'!A466,'Daftar Koreksi'!$G$5:$G$92,"Jalan Irigasi Jaringan",'Daftar Koreksi'!$I$5:$I$92,"&lt;0")-SUMIFS('Daftar Koreksi'!$I$5:$I$92,'Daftar Koreksi'!$D$5:$D$92,'0700'!A466,'Daftar Koreksi'!$G$5:$G$92,"Jalan Irigasi Jaringan",'Daftar Koreksi'!$I$5:$I$92,"&lt;0")-SUMIFS('Daftar Koreksi'!$I$5:$I$92,'Daftar Koreksi'!$D$5:$D$92,'0700'!A466,'Daftar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Koreksi'!$D$5:$D$92,'0700'!A466,'Daftar Koreksi'!$G$5:$G$92,"Aset Tetap Lainnya",'Daftar Koreksi'!$I$5:$I$92,"&gt;0")</f>
        <v>0</v>
      </c>
      <c r="F482" s="25">
        <f>SUMIFS('Daftar Koreksi'!$I$5:$I$92,'Daftar Koreksi'!$D$5:$D$92,'0700'!A466,'Daftar Koreksi'!$G$5:$G$92,"Aset Tetap Lainnya",'Daftar Koreksi'!$I$5:$I$92,"&lt;0")-SUMIFS('Daftar Koreksi'!$I$5:$I$92,'Daftar Koreksi'!$D$5:$D$92,'0700'!A466,'Daftar Koreksi'!$G$5:$G$92,"Aset Tetap Lainnya",'Daftar Koreksi'!$I$5:$I$92,"&lt;0")-SUMIFS('Daftar Koreksi'!$I$5:$I$92,'Daftar Koreksi'!$D$5:$D$92,'0700'!A466,'Daftar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-9704000</v>
      </c>
      <c r="E483" s="25">
        <f>SUMIFS('Daftar Koreksi'!$I$5:$I$92,'Daftar Koreksi'!$D$5:$D$92,'0700'!A466,'Daftar Koreksi'!$G$5:$G$92,"Aset Henti Guna",'Daftar Koreksi'!$I$5:$I$92,"&gt;0")</f>
        <v>0</v>
      </c>
      <c r="F483" s="25">
        <f>SUMIFS('Daftar Koreksi'!$I$5:$I$92,'Daftar Koreksi'!$D$5:$D$92,'0700'!A466,'Daftar Koreksi'!$G$5:$G$92,"Aset Henti Guna",'Daftar Koreksi'!$I$5:$I$92,"&lt;0")-SUMIFS('Daftar Koreksi'!$I$5:$I$92,'Daftar Koreksi'!$D$5:$D$92,'0700'!A466,'Daftar Koreksi'!$G$5:$G$92,"Aset Henti Guna",'Daftar Koreksi'!$I$5:$I$92,"&lt;0")-SUMIFS('Daftar Koreksi'!$I$5:$I$92,'Daftar Koreksi'!$D$5:$D$92,'0700'!A466,'Daftar Koreksi'!$G$5:$G$92,"Aset Henti Guna",'Daftar Koreksi'!$I$5:$I$92,"&lt;0")</f>
        <v>0</v>
      </c>
      <c r="G483" s="17">
        <f t="shared" si="21"/>
        <v>-9704000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-917589134</v>
      </c>
      <c r="E484" s="19">
        <f>SUM(E479:E483)</f>
        <v>0</v>
      </c>
      <c r="F484" s="19">
        <f>SUM(F479:F483)</f>
        <v>0</v>
      </c>
      <c r="G484" s="19">
        <f t="shared" si="21"/>
        <v>-917589134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2464590261</v>
      </c>
      <c r="E485" s="19">
        <f>E484+E478</f>
        <v>0</v>
      </c>
      <c r="F485" s="19">
        <f>F484+F478</f>
        <v>0</v>
      </c>
      <c r="G485" s="19">
        <f t="shared" si="21"/>
        <v>2464590261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005010700401828000KD</v>
      </c>
      <c r="B488" s="11" t="str">
        <f>P23</f>
        <v>PA. Tanjung Balai</v>
      </c>
      <c r="C488" s="12" t="str">
        <f>A488&amp;" "&amp;B488</f>
        <v>005010700401828000KD PA. Tanjung Balai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0</v>
      </c>
      <c r="E491" s="25">
        <f>SUMIFS('Daftar Koreksi'!$H$5:$H$92,'Daftar Koreksi'!$D$5:$D$92,'0700'!A488,'Daftar Koreksi'!$G$5:$G$92,"Persediaan",'Daftar Koreksi'!$H$5:$H$92,"&gt;0")</f>
        <v>0</v>
      </c>
      <c r="F491" s="25">
        <f>SUMIFS('Daftar Koreksi'!$H$5:$H$92,'Daftar Koreksi'!$D$5:$D$92,'0700'!A488,'Daftar Koreksi'!$G$5:$G$92,"Persediaan",'Daftar Koreksi'!$H$5:$H$92,"&lt;0")-SUMIFS('Daftar Koreksi'!$H$5:$H$92,'Daftar Koreksi'!$D$5:$D$92,'0700'!A488,'Daftar Koreksi'!$G$5:$G$92,"Persediaan",'Daftar Koreksi'!$H$5:$H$92,"&lt;0")-SUMIFS('Daftar Koreksi'!$H$5:$H$92,'Daftar Koreksi'!$D$5:$D$92,'0700'!A488,'Daftar Koreksi'!$G$5:$G$92,"Persediaan",'Daftar Koreksi'!$H$5:$H$92,"&lt;0")</f>
        <v>0</v>
      </c>
      <c r="G491" s="17">
        <f>D491+E491-F491</f>
        <v>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1708751510</v>
      </c>
      <c r="E492" s="25">
        <f>SUMIFS('Daftar Koreksi'!$H$5:$H$92,'Daftar Koreksi'!$D$5:$D$92,'0700'!A488,'Daftar Koreksi'!$G$5:$G$92,"Tanah",'Daftar Koreksi'!$H$5:$H$92,"&gt;0")</f>
        <v>0</v>
      </c>
      <c r="F492" s="25">
        <f>SUMIFS('Daftar Koreksi'!$H$5:$H$92,'Daftar Koreksi'!$D$5:$D$92,'0700'!A488,'Daftar Koreksi'!$G$5:$G$92,"Tanah",'Daftar Koreksi'!$H$5:$H$92,"&lt;0")-SUMIFS('Daftar Koreksi'!$H$5:$H$92,'Daftar Koreksi'!$D$5:$D$92,'0700'!A488,'Daftar Koreksi'!$G$5:$G$92,"Tanah",'Daftar Koreksi'!$H$5:$H$92,"&lt;0")-SUMIFS('Daftar Koreksi'!$H$5:$H$92,'Daftar Koreksi'!$D$5:$D$92,'0700'!A488,'Daftar Koreksi'!$G$5:$G$92,"Tanah",'Daftar Koreksi'!$H$5:$H$92,"&lt;0")</f>
        <v>0</v>
      </c>
      <c r="G492" s="17">
        <f t="shared" ref="G492:G508" si="22">D492+E492-F492</f>
        <v>1708751510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545564169</v>
      </c>
      <c r="E493" s="25">
        <f>SUMIFS('Daftar Koreksi'!$H$5:$H$92,'Daftar Koreksi'!$D$5:$D$92,'0700'!A488,'Daftar Koreksi'!$G$5:$G$92,"Peralatan dan mesin",'Daftar Koreksi'!$H$5:$H$92,"&gt;0")</f>
        <v>0</v>
      </c>
      <c r="F493" s="25">
        <f>SUMIFS('Daftar Koreksi'!$H$5:$H$92,'Daftar Koreksi'!$D$5:$D$92,'0700'!A488,'Daftar Koreksi'!$G$5:$G$92,"Peralatan dan mesin",'Daftar Koreksi'!$H$5:$H$92,"&lt;0")-SUMIFS('Daftar Koreksi'!$H$5:$H$92,'Daftar Koreksi'!$D$5:$D$92,'0700'!A488,'Daftar Koreksi'!$G$5:$G$92,"Peralatan dan mesin",'Daftar Koreksi'!$H$5:$H$92,"&lt;0")-SUMIFS('Daftar Koreksi'!$H$5:$H$92,'Daftar Koreksi'!$D$5:$D$92,'0700'!A488,'Daftar Koreksi'!$G$5:$G$92,"Peralatan dan mesin",'Daftar Koreksi'!$H$5:$H$92,"&lt;0")</f>
        <v>0</v>
      </c>
      <c r="G493" s="17">
        <f t="shared" si="22"/>
        <v>545564169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1553134825</v>
      </c>
      <c r="E494" s="25">
        <f>SUMIFS('Daftar Koreksi'!$H$5:$H$92,'Daftar Koreksi'!$D$5:$D$92,'0700'!A488,'Daftar Koreksi'!$G$5:$G$92,"Gedung dan Bangunan",'Daftar Koreksi'!$H$5:$H$92,"&gt;0")</f>
        <v>0</v>
      </c>
      <c r="F494" s="25">
        <f>SUMIFS('Daftar Koreksi'!$H$5:$H$92,'Daftar Koreksi'!$D$5:$D$92,'0700'!A488,'Daftar Koreksi'!$G$5:$G$92,"Gedung dan Bangunan",'Daftar Koreksi'!$H$5:$H$92,"&lt;0")-SUMIFS('Daftar Koreksi'!$H$5:$H$92,'Daftar Koreksi'!$D$5:$D$92,'0700'!A488,'Daftar Koreksi'!$G$5:$G$92,"Gedung dan Bangunan",'Daftar Koreksi'!$H$5:$H$92,"&lt;0")-SUMIFS('Daftar Koreksi'!$H$5:$H$92,'Daftar Koreksi'!$D$5:$D$92,'0700'!A488,'Daftar Koreksi'!$G$5:$G$92,"Gedung dan Bangunan",'Daftar Koreksi'!$H$5:$H$92,"&lt;0")</f>
        <v>0</v>
      </c>
      <c r="G494" s="17">
        <f t="shared" si="22"/>
        <v>1553134825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117715000</v>
      </c>
      <c r="E495" s="25">
        <f>SUMIFS('Daftar Koreksi'!$H$5:$H$92,'Daftar Koreksi'!$D$5:$D$92,'0700'!A488,'Daftar Koreksi'!$G$5:$G$92,"Jalan Irigasi Jaringan",'Daftar Koreksi'!$H$5:$H$92,"&gt;0")</f>
        <v>0</v>
      </c>
      <c r="F495" s="25">
        <f>SUMIFS('Daftar Koreksi'!$H$5:$H$92,'Daftar Koreksi'!$D$5:$D$92,'0700'!A488,'Daftar Koreksi'!$G$5:$G$92,"Jalan Irigasi Jaringan",'Daftar Koreksi'!$H$5:$H$92,"&lt;0")-SUMIFS('Daftar Koreksi'!$H$5:$H$92,'Daftar Koreksi'!$D$5:$D$92,'0700'!A488,'Daftar Koreksi'!$G$5:$G$92,"Jalan Irigasi Jaringan",'Daftar Koreksi'!$H$5:$H$92,"&lt;0")-SUMIFS('Daftar Koreksi'!$H$5:$H$92,'Daftar Koreksi'!$D$5:$D$92,'0700'!A488,'Daftar Koreksi'!$G$5:$G$92,"Jalan Irigasi Jaringan",'Daftar Koreksi'!$H$5:$H$92,"&lt;0")</f>
        <v>0</v>
      </c>
      <c r="G495" s="17">
        <f t="shared" si="22"/>
        <v>117715000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100847270</v>
      </c>
      <c r="E496" s="25">
        <f>SUMIFS('Daftar Koreksi'!$H$5:$H$92,'Daftar Koreksi'!$D$5:$D$92,'0700'!A488,'Daftar Koreksi'!$G$5:$G$92,"Aset Tetap Lainnya",'Daftar Koreksi'!$H$5:$H$92,"&gt;0")</f>
        <v>0</v>
      </c>
      <c r="F496" s="25">
        <f>SUMIFS('Daftar Koreksi'!$H$5:$H$92,'Daftar Koreksi'!$D$5:$D$92,'0700'!A488,'Daftar Koreksi'!$G$5:$G$92,"Aset Tetap Lainnya",'Daftar Koreksi'!$H$5:$H$92,"&lt;0")-SUMIFS('Daftar Koreksi'!$H$5:$H$92,'Daftar Koreksi'!$D$5:$D$92,'0700'!A488,'Daftar Koreksi'!$G$5:$G$92,"Aset Tetap Lainnya",'Daftar Koreksi'!$H$5:$H$92,"&lt;0")-SUMIFS('Daftar Koreksi'!$H$5:$H$92,'Daftar Koreksi'!$D$5:$D$92,'0700'!A488,'Daftar Koreksi'!$G$5:$G$92,"Aset Tetap Lainnya",'Daftar Koreksi'!$H$5:$H$92,"&lt;0")</f>
        <v>0</v>
      </c>
      <c r="G496" s="17">
        <f t="shared" si="22"/>
        <v>100847270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Koreksi'!$D$5:$D$92,'0700'!A488,'Daftar Koreksi'!$G$5:$G$92,"Kontruksi Dalam Pengerjaan",'Daftar Koreksi'!$H$5:$H$92,"&gt;0")</f>
        <v>0</v>
      </c>
      <c r="F497" s="25">
        <f>SUMIFS('Daftar Koreksi'!$H$5:$H$92,'Daftar Koreksi'!$D$5:$D$92,'0700'!A488,'Daftar Koreksi'!$G$5:$G$92,"Kontruksi Dalam Pengerjaan",'Daftar Koreksi'!$H$5:$H$92,"&lt;0")-SUMIFS('Daftar Koreksi'!$H$5:$H$92,'Daftar Koreksi'!$D$5:$D$92,'0700'!A488,'Daftar Koreksi'!$G$5:$G$92,"Kontruksi Dalam Pengerjaan",'Daftar Koreksi'!$H$5:$H$92,"&lt;0")-SUMIFS('Daftar Koreksi'!$H$5:$H$92,'Daftar Koreksi'!$D$5:$D$92,'0700'!A488,'Daftar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Koreksi'!$D$5:$D$92,'0700'!A488,'Daftar Koreksi'!$G$5:$G$92,"Aset Tak Berwujud",'Daftar Koreksi'!$H$5:$H$92,"&gt;0")</f>
        <v>0</v>
      </c>
      <c r="F498" s="25">
        <f>SUMIFS('Daftar Koreksi'!$H$5:$H$92,'Daftar Koreksi'!$D$5:$D$92,'0700'!A488,'Daftar Koreksi'!$G$5:$G$92,"Aset Tak Berwujud",'Daftar Koreksi'!$H$5:$H$92,"&lt;0")-SUMIFS('Daftar Koreksi'!$H$5:$H$92,'Daftar Koreksi'!$D$5:$D$92,'0700'!A488,'Daftar Koreksi'!$G$5:$G$92,"Aset Tak Berwujud",'Daftar Koreksi'!$H$5:$H$92,"&lt;0")-SUMIFS('Daftar Koreksi'!$H$5:$H$92,'Daftar Koreksi'!$D$5:$D$92,'0700'!A488,'Daftar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250506825</v>
      </c>
      <c r="E499" s="25">
        <f>SUMIFS('Daftar Koreksi'!$H$5:$H$92,'Daftar Koreksi'!$D$5:$D$92,'0700'!A488,'Daftar Koreksi'!$G$5:$G$92,"Aset Henti Guna",'Daftar Koreksi'!$H$5:$H$92,"&gt;0")</f>
        <v>0</v>
      </c>
      <c r="F499" s="25">
        <f>SUMIFS('Daftar Koreksi'!$H$5:$H$92,'Daftar Koreksi'!$D$5:$D$92,'0700'!A488,'Daftar Koreksi'!$G$5:$G$92,"Aset Henti Guna",'Daftar Koreksi'!$H$5:$H$92,"&lt;0")-SUMIFS('Daftar Koreksi'!$H$5:$H$92,'Daftar Koreksi'!$D$5:$D$92,'0700'!A488,'Daftar Koreksi'!$G$5:$G$92,"Aset Henti Guna",'Daftar Koreksi'!$H$5:$H$92,"&lt;0")-SUMIFS('Daftar Koreksi'!$H$5:$H$92,'Daftar Koreksi'!$D$5:$D$92,'0700'!A488,'Daftar Koreksi'!$G$5:$G$92,"Aset Henti Guna",'Daftar Koreksi'!$H$5:$H$92,"&lt;0")</f>
        <v>0</v>
      </c>
      <c r="G499" s="17">
        <f t="shared" si="22"/>
        <v>250506825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4276519599</v>
      </c>
      <c r="E500" s="19">
        <f>SUM(E491:E499)</f>
        <v>0</v>
      </c>
      <c r="F500" s="19">
        <f>SUM(F491:F499)</f>
        <v>0</v>
      </c>
      <c r="G500" s="19">
        <f t="shared" si="22"/>
        <v>4276519599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-502922714</v>
      </c>
      <c r="E501" s="25">
        <f>SUMIFS('Daftar Koreksi'!$I$5:$I$92,'Daftar Koreksi'!$D$5:$D$92,'0700'!A488,'Daftar Koreksi'!$G$5:$G$92,"Peralatan dan mesin",'Daftar Koreksi'!$I$5:$I$92,"&gt;0")</f>
        <v>0</v>
      </c>
      <c r="F501" s="25">
        <f>SUMIFS('Daftar Koreksi'!$I$5:$I$92,'Daftar Koreksi'!$D$5:$D$92,'0700'!A488,'Daftar Koreksi'!$G$5:$G$92,"Peralatan dan mesin",'Daftar Koreksi'!$I$5:$I$92,"&lt;0")-SUMIFS('Daftar Koreksi'!$I$5:$I$92,'Daftar Koreksi'!$D$5:$D$92,'0700'!A488,'Daftar Koreksi'!$G$5:$G$92,"Peralatan dan mesin",'Daftar Koreksi'!$I$5:$I$92,"&lt;0")-SUMIFS('Daftar Koreksi'!$I$5:$I$92,'Daftar Koreksi'!$D$5:$D$92,'0700'!A488,'Daftar Koreksi'!$G$5:$G$92,"Peralatan dan mesin",'Daftar Koreksi'!$I$5:$I$92,"&lt;0")</f>
        <v>0</v>
      </c>
      <c r="G501" s="17">
        <f t="shared" si="22"/>
        <v>-502922714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-236889257</v>
      </c>
      <c r="E502" s="25">
        <f>SUMIFS('Daftar Koreksi'!$I$5:$I$92,'Daftar Koreksi'!$D$5:$D$92,'0700'!A488,'Daftar Koreksi'!$G$5:$G$92,"Gedung dan Bangunan",'Daftar Koreksi'!$I$5:$I$92,"&gt;0")</f>
        <v>0</v>
      </c>
      <c r="F502" s="25">
        <f>SUMIFS('Daftar Koreksi'!$I$5:$I$92,'Daftar Koreksi'!$D$5:$D$92,'0700'!A488,'Daftar Koreksi'!$G$5:$G$92,"Gedung dan Bangunan",'Daftar Koreksi'!$I$5:$I$92,"&lt;0")-SUMIFS('Daftar Koreksi'!$I$5:$I$92,'Daftar Koreksi'!$D$5:$D$92,'0700'!A488,'Daftar Koreksi'!$G$5:$G$92,"Gedung dan Bangunan",'Daftar Koreksi'!$I$5:$I$92,"&lt;0")-SUMIFS('Daftar Koreksi'!$I$5:$I$92,'Daftar Koreksi'!$D$5:$D$92,'0700'!A488,'Daftar Koreksi'!$G$5:$G$92,"Gedung dan Bangunan",'Daftar Koreksi'!$I$5:$I$92,"&lt;0")</f>
        <v>0</v>
      </c>
      <c r="G502" s="17">
        <f t="shared" si="22"/>
        <v>-236889257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-52971750</v>
      </c>
      <c r="E503" s="25">
        <f>SUMIFS('Daftar Koreksi'!$I$5:$I$92,'Daftar Koreksi'!$D$5:$D$92,'0700'!A488,'Daftar Koreksi'!$G$5:$G$92,"Jalan Irigasi Jaringan",'Daftar Koreksi'!$I$5:$I$92,"&gt;0")</f>
        <v>0</v>
      </c>
      <c r="F503" s="25">
        <f>SUMIFS('Daftar Koreksi'!$I$5:$I$92,'Daftar Koreksi'!$D$5:$D$92,'0700'!A488,'Daftar Koreksi'!$G$5:$G$92,"Jalan Irigasi Jaringan",'Daftar Koreksi'!$I$5:$I$92,"&lt;0")-SUMIFS('Daftar Koreksi'!$I$5:$I$92,'Daftar Koreksi'!$D$5:$D$92,'0700'!A488,'Daftar Koreksi'!$G$5:$G$92,"Jalan Irigasi Jaringan",'Daftar Koreksi'!$I$5:$I$92,"&lt;0")-SUMIFS('Daftar Koreksi'!$I$5:$I$92,'Daftar Koreksi'!$D$5:$D$92,'0700'!A488,'Daftar Koreksi'!$G$5:$G$92,"Jalan Irigasi Jaringan",'Daftar Koreksi'!$I$5:$I$92,"&lt;0")</f>
        <v>0</v>
      </c>
      <c r="G503" s="17">
        <f t="shared" si="22"/>
        <v>-52971750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Koreksi'!$D$5:$D$92,'0700'!A488,'Daftar Koreksi'!$G$5:$G$92,"Aset Tetap Lainnya",'Daftar Koreksi'!$I$5:$I$92,"&gt;0")</f>
        <v>0</v>
      </c>
      <c r="F504" s="25">
        <f>SUMIFS('Daftar Koreksi'!$I$5:$I$92,'Daftar Koreksi'!$D$5:$D$92,'0700'!A488,'Daftar Koreksi'!$G$5:$G$92,"Aset Tetap Lainnya",'Daftar Koreksi'!$I$5:$I$92,"&lt;0")-SUMIFS('Daftar Koreksi'!$I$5:$I$92,'Daftar Koreksi'!$D$5:$D$92,'0700'!A488,'Daftar Koreksi'!$G$5:$G$92,"Aset Tetap Lainnya",'Daftar Koreksi'!$I$5:$I$92,"&lt;0")-SUMIFS('Daftar Koreksi'!$I$5:$I$92,'Daftar Koreksi'!$D$5:$D$92,'0700'!A488,'Daftar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-246934871</v>
      </c>
      <c r="E505" s="25">
        <f>SUMIFS('Daftar Koreksi'!$I$5:$I$92,'Daftar Koreksi'!$D$5:$D$92,'0700'!A488,'Daftar Koreksi'!$G$5:$G$92,"Aset Henti Guna",'Daftar Koreksi'!$I$5:$I$92,"&gt;0")</f>
        <v>0</v>
      </c>
      <c r="F505" s="25">
        <f>SUMIFS('Daftar Koreksi'!$I$5:$I$92,'Daftar Koreksi'!$D$5:$D$92,'0700'!A488,'Daftar Koreksi'!$G$5:$G$92,"Aset Henti Guna",'Daftar Koreksi'!$I$5:$I$92,"&lt;0")-SUMIFS('Daftar Koreksi'!$I$5:$I$92,'Daftar Koreksi'!$D$5:$D$92,'0700'!A488,'Daftar Koreksi'!$G$5:$G$92,"Aset Henti Guna",'Daftar Koreksi'!$I$5:$I$92,"&lt;0")-SUMIFS('Daftar Koreksi'!$I$5:$I$92,'Daftar Koreksi'!$D$5:$D$92,'0700'!A488,'Daftar Koreksi'!$G$5:$G$92,"Aset Henti Guna",'Daftar Koreksi'!$I$5:$I$92,"&lt;0")</f>
        <v>0</v>
      </c>
      <c r="G505" s="17">
        <f t="shared" si="22"/>
        <v>-246934871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-1039718592</v>
      </c>
      <c r="E506" s="19">
        <f>SUM(E501:E505)</f>
        <v>0</v>
      </c>
      <c r="F506" s="19">
        <f>SUM(F501:F505)</f>
        <v>0</v>
      </c>
      <c r="G506" s="19">
        <f t="shared" si="22"/>
        <v>-1039718592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3236801007</v>
      </c>
      <c r="E507" s="19">
        <f>E506+E500</f>
        <v>0</v>
      </c>
      <c r="F507" s="19">
        <f>F506+F500</f>
        <v>0</v>
      </c>
      <c r="G507" s="19">
        <f t="shared" si="22"/>
        <v>3236801007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005010700401834000KD</v>
      </c>
      <c r="B510" s="11" t="str">
        <f>P24</f>
        <v>PA. Tebing Tinggi</v>
      </c>
      <c r="C510" s="12" t="str">
        <f>A510&amp;" "&amp;B510</f>
        <v>005010700401834000KD PA. Tebing Tinggi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301000</v>
      </c>
      <c r="E513" s="25">
        <f>SUMIFS('Daftar Koreksi'!$H$5:$H$92,'Daftar Koreksi'!$D$5:$D$92,'0700'!A510,'Daftar Koreksi'!$G$5:$G$92,"Persediaan",'Daftar Koreksi'!$H$5:$H$92,"&gt;0")</f>
        <v>0</v>
      </c>
      <c r="F513" s="25">
        <f>SUMIFS('Daftar Koreksi'!$H$5:$H$92,'Daftar Koreksi'!$D$5:$D$92,'0700'!A510,'Daftar Koreksi'!$G$5:$G$92,"Persediaan",'Daftar Koreksi'!$H$5:$H$92,"&lt;0")-SUMIFS('Daftar Koreksi'!$H$5:$H$92,'Daftar Koreksi'!$D$5:$D$92,'0700'!A510,'Daftar Koreksi'!$G$5:$G$92,"Persediaan",'Daftar Koreksi'!$H$5:$H$92,"&lt;0")-SUMIFS('Daftar Koreksi'!$H$5:$H$92,'Daftar Koreksi'!$D$5:$D$92,'0700'!A510,'Daftar Koreksi'!$G$5:$G$92,"Persediaan",'Daftar Koreksi'!$H$5:$H$92,"&lt;0")</f>
        <v>0</v>
      </c>
      <c r="G513" s="17">
        <f>D513+E513-F513</f>
        <v>301000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3492584000</v>
      </c>
      <c r="E514" s="25">
        <f>SUMIFS('Daftar Koreksi'!$H$5:$H$92,'Daftar Koreksi'!$D$5:$D$92,'0700'!A510,'Daftar Koreksi'!$G$5:$G$92,"Tanah",'Daftar Koreksi'!$H$5:$H$92,"&gt;0")</f>
        <v>0</v>
      </c>
      <c r="F514" s="25">
        <f>SUMIFS('Daftar Koreksi'!$H$5:$H$92,'Daftar Koreksi'!$D$5:$D$92,'0700'!A510,'Daftar Koreksi'!$G$5:$G$92,"Tanah",'Daftar Koreksi'!$H$5:$H$92,"&lt;0")-SUMIFS('Daftar Koreksi'!$H$5:$H$92,'Daftar Koreksi'!$D$5:$D$92,'0700'!A510,'Daftar Koreksi'!$G$5:$G$92,"Tanah",'Daftar Koreksi'!$H$5:$H$92,"&lt;0")-SUMIFS('Daftar Koreksi'!$H$5:$H$92,'Daftar Koreksi'!$D$5:$D$92,'0700'!A510,'Daftar Koreksi'!$G$5:$G$92,"Tanah",'Daftar Koreksi'!$H$5:$H$92,"&lt;0")</f>
        <v>0</v>
      </c>
      <c r="G514" s="17">
        <f t="shared" ref="G514:G530" si="23">D514+E514-F514</f>
        <v>3492584000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1408402828</v>
      </c>
      <c r="E515" s="25">
        <f>SUMIFS('Daftar Koreksi'!$H$5:$H$92,'Daftar Koreksi'!$D$5:$D$92,'0700'!A510,'Daftar Koreksi'!$G$5:$G$92,"Peralatan dan mesin",'Daftar Koreksi'!$H$5:$H$92,"&gt;0")</f>
        <v>0</v>
      </c>
      <c r="F515" s="25">
        <f>SUMIFS('Daftar Koreksi'!$H$5:$H$92,'Daftar Koreksi'!$D$5:$D$92,'0700'!A510,'Daftar Koreksi'!$G$5:$G$92,"Peralatan dan mesin",'Daftar Koreksi'!$H$5:$H$92,"&lt;0")-SUMIFS('Daftar Koreksi'!$H$5:$H$92,'Daftar Koreksi'!$D$5:$D$92,'0700'!A510,'Daftar Koreksi'!$G$5:$G$92,"Peralatan dan mesin",'Daftar Koreksi'!$H$5:$H$92,"&lt;0")-SUMIFS('Daftar Koreksi'!$H$5:$H$92,'Daftar Koreksi'!$D$5:$D$92,'0700'!A510,'Daftar Koreksi'!$G$5:$G$92,"Peralatan dan mesin",'Daftar Koreksi'!$H$5:$H$92,"&lt;0")</f>
        <v>0</v>
      </c>
      <c r="G515" s="17">
        <f t="shared" si="23"/>
        <v>1408402828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5551714700</v>
      </c>
      <c r="E516" s="25">
        <f>SUMIFS('Daftar Koreksi'!$H$5:$H$92,'Daftar Koreksi'!$D$5:$D$92,'0700'!A510,'Daftar Koreksi'!$G$5:$G$92,"Gedung dan Bangunan",'Daftar Koreksi'!$H$5:$H$92,"&gt;0")</f>
        <v>0</v>
      </c>
      <c r="F516" s="25">
        <f>SUMIFS('Daftar Koreksi'!$H$5:$H$92,'Daftar Koreksi'!$D$5:$D$92,'0700'!A510,'Daftar Koreksi'!$G$5:$G$92,"Gedung dan Bangunan",'Daftar Koreksi'!$H$5:$H$92,"&lt;0")-SUMIFS('Daftar Koreksi'!$H$5:$H$92,'Daftar Koreksi'!$D$5:$D$92,'0700'!A510,'Daftar Koreksi'!$G$5:$G$92,"Gedung dan Bangunan",'Daftar Koreksi'!$H$5:$H$92,"&lt;0")-SUMIFS('Daftar Koreksi'!$H$5:$H$92,'Daftar Koreksi'!$D$5:$D$92,'0700'!A510,'Daftar Koreksi'!$G$5:$G$92,"Gedung dan Bangunan",'Daftar Koreksi'!$H$5:$H$92,"&lt;0")</f>
        <v>0</v>
      </c>
      <c r="G516" s="17">
        <f t="shared" si="23"/>
        <v>5551714700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49584150</v>
      </c>
      <c r="E517" s="25">
        <f>SUMIFS('Daftar Koreksi'!$H$5:$H$92,'Daftar Koreksi'!$D$5:$D$92,'0700'!A510,'Daftar Koreksi'!$G$5:$G$92,"Jalan Irigasi Jaringan",'Daftar Koreksi'!$H$5:$H$92,"&gt;0")</f>
        <v>0</v>
      </c>
      <c r="F517" s="25">
        <f>SUMIFS('Daftar Koreksi'!$H$5:$H$92,'Daftar Koreksi'!$D$5:$D$92,'0700'!A510,'Daftar Koreksi'!$G$5:$G$92,"Jalan Irigasi Jaringan",'Daftar Koreksi'!$H$5:$H$92,"&lt;0")-SUMIFS('Daftar Koreksi'!$H$5:$H$92,'Daftar Koreksi'!$D$5:$D$92,'0700'!A510,'Daftar Koreksi'!$G$5:$G$92,"Jalan Irigasi Jaringan",'Daftar Koreksi'!$H$5:$H$92,"&lt;0")-SUMIFS('Daftar Koreksi'!$H$5:$H$92,'Daftar Koreksi'!$D$5:$D$92,'0700'!A510,'Daftar Koreksi'!$G$5:$G$92,"Jalan Irigasi Jaringan",'Daftar Koreksi'!$H$5:$H$92,"&lt;0")</f>
        <v>0</v>
      </c>
      <c r="G517" s="17">
        <f t="shared" si="23"/>
        <v>49584150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3236680</v>
      </c>
      <c r="E518" s="25">
        <f>SUMIFS('Daftar Koreksi'!$H$5:$H$92,'Daftar Koreksi'!$D$5:$D$92,'0700'!A510,'Daftar Koreksi'!$G$5:$G$92,"Aset Tetap Lainnya",'Daftar Koreksi'!$H$5:$H$92,"&gt;0")</f>
        <v>0</v>
      </c>
      <c r="F518" s="25">
        <f>SUMIFS('Daftar Koreksi'!$H$5:$H$92,'Daftar Koreksi'!$D$5:$D$92,'0700'!A510,'Daftar Koreksi'!$G$5:$G$92,"Aset Tetap Lainnya",'Daftar Koreksi'!$H$5:$H$92,"&lt;0")-SUMIFS('Daftar Koreksi'!$H$5:$H$92,'Daftar Koreksi'!$D$5:$D$92,'0700'!A510,'Daftar Koreksi'!$G$5:$G$92,"Aset Tetap Lainnya",'Daftar Koreksi'!$H$5:$H$92,"&lt;0")-SUMIFS('Daftar Koreksi'!$H$5:$H$92,'Daftar Koreksi'!$D$5:$D$92,'0700'!A510,'Daftar Koreksi'!$G$5:$G$92,"Aset Tetap Lainnya",'Daftar Koreksi'!$H$5:$H$92,"&lt;0")</f>
        <v>0</v>
      </c>
      <c r="G518" s="17">
        <f t="shared" si="23"/>
        <v>3236680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Koreksi'!$D$5:$D$92,'0700'!A510,'Daftar Koreksi'!$G$5:$G$92,"Kontruksi Dalam Pengerjaan",'Daftar Koreksi'!$H$5:$H$92,"&gt;0")</f>
        <v>0</v>
      </c>
      <c r="F519" s="25">
        <f>SUMIFS('Daftar Koreksi'!$H$5:$H$92,'Daftar Koreksi'!$D$5:$D$92,'0700'!A510,'Daftar Koreksi'!$G$5:$G$92,"Kontruksi Dalam Pengerjaan",'Daftar Koreksi'!$H$5:$H$92,"&lt;0")-SUMIFS('Daftar Koreksi'!$H$5:$H$92,'Daftar Koreksi'!$D$5:$D$92,'0700'!A510,'Daftar Koreksi'!$G$5:$G$92,"Kontruksi Dalam Pengerjaan",'Daftar Koreksi'!$H$5:$H$92,"&lt;0")-SUMIFS('Daftar Koreksi'!$H$5:$H$92,'Daftar Koreksi'!$D$5:$D$92,'0700'!A510,'Daftar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0</v>
      </c>
      <c r="E520" s="25">
        <f>SUMIFS('Daftar Koreksi'!$H$5:$H$92,'Daftar Koreksi'!$D$5:$D$92,'0700'!A510,'Daftar Koreksi'!$G$5:$G$92,"Aset Tak Berwujud",'Daftar Koreksi'!$H$5:$H$92,"&gt;0")</f>
        <v>0</v>
      </c>
      <c r="F520" s="25">
        <f>SUMIFS('Daftar Koreksi'!$H$5:$H$92,'Daftar Koreksi'!$D$5:$D$92,'0700'!A510,'Daftar Koreksi'!$G$5:$G$92,"Aset Tak Berwujud",'Daftar Koreksi'!$H$5:$H$92,"&lt;0")-SUMIFS('Daftar Koreksi'!$H$5:$H$92,'Daftar Koreksi'!$D$5:$D$92,'0700'!A510,'Daftar Koreksi'!$G$5:$G$92,"Aset Tak Berwujud",'Daftar Koreksi'!$H$5:$H$92,"&lt;0")-SUMIFS('Daftar Koreksi'!$H$5:$H$92,'Daftar Koreksi'!$D$5:$D$92,'0700'!A510,'Daftar Koreksi'!$G$5:$G$92,"Aset Tak Berwujud",'Daftar Koreksi'!$H$5:$H$92,"&lt;0")</f>
        <v>0</v>
      </c>
      <c r="G520" s="17">
        <f t="shared" si="23"/>
        <v>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0</v>
      </c>
      <c r="E521" s="25">
        <f>SUMIFS('Daftar Koreksi'!$H$5:$H$92,'Daftar Koreksi'!$D$5:$D$92,'0700'!A510,'Daftar Koreksi'!$G$5:$G$92,"Aset Henti Guna",'Daftar Koreksi'!$H$5:$H$92,"&gt;0")</f>
        <v>0</v>
      </c>
      <c r="F521" s="25">
        <f>SUMIFS('Daftar Koreksi'!$H$5:$H$92,'Daftar Koreksi'!$D$5:$D$92,'0700'!A510,'Daftar Koreksi'!$G$5:$G$92,"Aset Henti Guna",'Daftar Koreksi'!$H$5:$H$92,"&lt;0")-SUMIFS('Daftar Koreksi'!$H$5:$H$92,'Daftar Koreksi'!$D$5:$D$92,'0700'!A510,'Daftar Koreksi'!$G$5:$G$92,"Aset Henti Guna",'Daftar Koreksi'!$H$5:$H$92,"&lt;0")-SUMIFS('Daftar Koreksi'!$H$5:$H$92,'Daftar Koreksi'!$D$5:$D$92,'0700'!A510,'Daftar Koreksi'!$G$5:$G$92,"Aset Henti Guna",'Daftar Koreksi'!$H$5:$H$92,"&lt;0")</f>
        <v>0</v>
      </c>
      <c r="G521" s="17">
        <f t="shared" si="23"/>
        <v>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10505823358</v>
      </c>
      <c r="E522" s="19">
        <f>SUM(E513:E521)</f>
        <v>0</v>
      </c>
      <c r="F522" s="19">
        <f>SUM(F513:F521)</f>
        <v>0</v>
      </c>
      <c r="G522" s="19">
        <f t="shared" si="23"/>
        <v>10505823358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-1169365281</v>
      </c>
      <c r="E523" s="25">
        <f>SUMIFS('Daftar Koreksi'!$I$5:$I$92,'Daftar Koreksi'!$D$5:$D$92,'0700'!A510,'Daftar Koreksi'!$G$5:$G$92,"Peralatan dan mesin",'Daftar Koreksi'!$I$5:$I$92,"&gt;0")</f>
        <v>0</v>
      </c>
      <c r="F523" s="25">
        <f>SUMIFS('Daftar Koreksi'!$I$5:$I$92,'Daftar Koreksi'!$D$5:$D$92,'0700'!A510,'Daftar Koreksi'!$G$5:$G$92,"Peralatan dan mesin",'Daftar Koreksi'!$I$5:$I$92,"&lt;0")-SUMIFS('Daftar Koreksi'!$I$5:$I$92,'Daftar Koreksi'!$D$5:$D$92,'0700'!A510,'Daftar Koreksi'!$G$5:$G$92,"Peralatan dan mesin",'Daftar Koreksi'!$I$5:$I$92,"&lt;0")-SUMIFS('Daftar Koreksi'!$I$5:$I$92,'Daftar Koreksi'!$D$5:$D$92,'0700'!A510,'Daftar Koreksi'!$G$5:$G$92,"Peralatan dan mesin",'Daftar Koreksi'!$I$5:$I$92,"&lt;0")</f>
        <v>0</v>
      </c>
      <c r="G523" s="17">
        <f t="shared" si="23"/>
        <v>-1169365281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-252044437</v>
      </c>
      <c r="E524" s="25">
        <f>SUMIFS('Daftar Koreksi'!$I$5:$I$92,'Daftar Koreksi'!$D$5:$D$92,'0700'!A510,'Daftar Koreksi'!$G$5:$G$92,"Gedung dan Bangunan",'Daftar Koreksi'!$I$5:$I$92,"&gt;0")</f>
        <v>0</v>
      </c>
      <c r="F524" s="25">
        <f>SUMIFS('Daftar Koreksi'!$I$5:$I$92,'Daftar Koreksi'!$D$5:$D$92,'0700'!A510,'Daftar Koreksi'!$G$5:$G$92,"Gedung dan Bangunan",'Daftar Koreksi'!$I$5:$I$92,"&lt;0")-SUMIFS('Daftar Koreksi'!$I$5:$I$92,'Daftar Koreksi'!$D$5:$D$92,'0700'!A510,'Daftar Koreksi'!$G$5:$G$92,"Gedung dan Bangunan",'Daftar Koreksi'!$I$5:$I$92,"&lt;0")-SUMIFS('Daftar Koreksi'!$I$5:$I$92,'Daftar Koreksi'!$D$5:$D$92,'0700'!A510,'Daftar Koreksi'!$G$5:$G$92,"Gedung dan Bangunan",'Daftar Koreksi'!$I$5:$I$92,"&lt;0")</f>
        <v>0</v>
      </c>
      <c r="G524" s="17">
        <f t="shared" si="23"/>
        <v>-252044437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-1239604</v>
      </c>
      <c r="E525" s="25">
        <f>SUMIFS('Daftar Koreksi'!$I$5:$I$92,'Daftar Koreksi'!$D$5:$D$92,'0700'!A510,'Daftar Koreksi'!$G$5:$G$92,"Jalan Irigasi Jaringan",'Daftar Koreksi'!$I$5:$I$92,"&gt;0")</f>
        <v>0</v>
      </c>
      <c r="F525" s="25">
        <f>SUMIFS('Daftar Koreksi'!$I$5:$I$92,'Daftar Koreksi'!$D$5:$D$92,'0700'!A510,'Daftar Koreksi'!$G$5:$G$92,"Jalan Irigasi Jaringan",'Daftar Koreksi'!$I$5:$I$92,"&lt;0")-SUMIFS('Daftar Koreksi'!$I$5:$I$92,'Daftar Koreksi'!$D$5:$D$92,'0700'!A510,'Daftar Koreksi'!$G$5:$G$92,"Jalan Irigasi Jaringan",'Daftar Koreksi'!$I$5:$I$92,"&lt;0")-SUMIFS('Daftar Koreksi'!$I$5:$I$92,'Daftar Koreksi'!$D$5:$D$92,'0700'!A510,'Daftar Koreksi'!$G$5:$G$92,"Jalan Irigasi Jaringan",'Daftar Koreksi'!$I$5:$I$92,"&lt;0")</f>
        <v>0</v>
      </c>
      <c r="G525" s="17">
        <f t="shared" si="23"/>
        <v>-1239604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Koreksi'!$D$5:$D$92,'0700'!A510,'Daftar Koreksi'!$G$5:$G$92,"Aset Tetap Lainnya",'Daftar Koreksi'!$I$5:$I$92,"&gt;0")</f>
        <v>0</v>
      </c>
      <c r="F526" s="25">
        <f>SUMIFS('Daftar Koreksi'!$I$5:$I$92,'Daftar Koreksi'!$D$5:$D$92,'0700'!A510,'Daftar Koreksi'!$G$5:$G$92,"Aset Tetap Lainnya",'Daftar Koreksi'!$I$5:$I$92,"&lt;0")-SUMIFS('Daftar Koreksi'!$I$5:$I$92,'Daftar Koreksi'!$D$5:$D$92,'0700'!A510,'Daftar Koreksi'!$G$5:$G$92,"Aset Tetap Lainnya",'Daftar Koreksi'!$I$5:$I$92,"&lt;0")-SUMIFS('Daftar Koreksi'!$I$5:$I$92,'Daftar Koreksi'!$D$5:$D$92,'0700'!A510,'Daftar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0</v>
      </c>
      <c r="E527" s="25">
        <f>SUMIFS('Daftar Koreksi'!$I$5:$I$92,'Daftar Koreksi'!$D$5:$D$92,'0700'!A510,'Daftar Koreksi'!$G$5:$G$92,"Aset Henti Guna",'Daftar Koreksi'!$I$5:$I$92,"&gt;0")</f>
        <v>0</v>
      </c>
      <c r="F527" s="25">
        <f>SUMIFS('Daftar Koreksi'!$I$5:$I$92,'Daftar Koreksi'!$D$5:$D$92,'0700'!A510,'Daftar Koreksi'!$G$5:$G$92,"Aset Henti Guna",'Daftar Koreksi'!$I$5:$I$92,"&lt;0")-SUMIFS('Daftar Koreksi'!$I$5:$I$92,'Daftar Koreksi'!$D$5:$D$92,'0700'!A510,'Daftar Koreksi'!$G$5:$G$92,"Aset Henti Guna",'Daftar Koreksi'!$I$5:$I$92,"&lt;0")-SUMIFS('Daftar Koreksi'!$I$5:$I$92,'Daftar Koreksi'!$D$5:$D$92,'0700'!A510,'Daftar Koreksi'!$G$5:$G$92,"Aset Henti Guna",'Daftar Koreksi'!$I$5:$I$92,"&lt;0")</f>
        <v>0</v>
      </c>
      <c r="G527" s="17">
        <f t="shared" si="23"/>
        <v>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-1422649322</v>
      </c>
      <c r="E528" s="19">
        <f>SUM(E523:E527)</f>
        <v>0</v>
      </c>
      <c r="F528" s="19">
        <f>SUM(F523:F527)</f>
        <v>0</v>
      </c>
      <c r="G528" s="19">
        <f t="shared" si="23"/>
        <v>-1422649322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9083174036</v>
      </c>
      <c r="E529" s="19">
        <f>E528+E522</f>
        <v>0</v>
      </c>
      <c r="F529" s="19">
        <f>F528+F522</f>
        <v>0</v>
      </c>
      <c r="G529" s="19">
        <f t="shared" si="23"/>
        <v>9083174036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005010700401840000KD</v>
      </c>
      <c r="B532" s="11" t="str">
        <f>P25</f>
        <v>PA. Sidikalang</v>
      </c>
      <c r="C532" s="12" t="str">
        <f>A532&amp;" "&amp;B532</f>
        <v>005010700401840000KD PA. Sidikalang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0</v>
      </c>
      <c r="E535" s="25">
        <f>SUMIFS('Daftar Koreksi'!$H$5:$H$92,'Daftar Koreksi'!$D$5:$D$92,'0700'!A532,'Daftar Koreksi'!$G$5:$G$92,"Persediaan",'Daftar Koreksi'!$H$5:$H$92,"&gt;0")</f>
        <v>0</v>
      </c>
      <c r="F535" s="25">
        <f>SUMIFS('Daftar Koreksi'!$H$5:$H$92,'Daftar Koreksi'!$D$5:$D$92,'0700'!A532,'Daftar Koreksi'!$G$5:$G$92,"Persediaan",'Daftar Koreksi'!$H$5:$H$92,"&lt;0")-SUMIFS('Daftar Koreksi'!$H$5:$H$92,'Daftar Koreksi'!$D$5:$D$92,'0700'!A532,'Daftar Koreksi'!$G$5:$G$92,"Persediaan",'Daftar Koreksi'!$H$5:$H$92,"&lt;0")-SUMIFS('Daftar Koreksi'!$H$5:$H$92,'Daftar Koreksi'!$D$5:$D$92,'0700'!A532,'Daftar Koreksi'!$G$5:$G$92,"Persediaan",'Daftar Koreksi'!$H$5:$H$92,"&lt;0")</f>
        <v>0</v>
      </c>
      <c r="G535" s="17">
        <f>D535+E535-F535</f>
        <v>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2035399952</v>
      </c>
      <c r="E536" s="25">
        <f>SUMIFS('Daftar Koreksi'!$H$5:$H$92,'Daftar Koreksi'!$D$5:$D$92,'0700'!A532,'Daftar Koreksi'!$G$5:$G$92,"Tanah",'Daftar Koreksi'!$H$5:$H$92,"&gt;0")</f>
        <v>0</v>
      </c>
      <c r="F536" s="25">
        <f>SUMIFS('Daftar Koreksi'!$H$5:$H$92,'Daftar Koreksi'!$D$5:$D$92,'0700'!A532,'Daftar Koreksi'!$G$5:$G$92,"Tanah",'Daftar Koreksi'!$H$5:$H$92,"&lt;0")-SUMIFS('Daftar Koreksi'!$H$5:$H$92,'Daftar Koreksi'!$D$5:$D$92,'0700'!A532,'Daftar Koreksi'!$G$5:$G$92,"Tanah",'Daftar Koreksi'!$H$5:$H$92,"&lt;0")-SUMIFS('Daftar Koreksi'!$H$5:$H$92,'Daftar Koreksi'!$D$5:$D$92,'0700'!A532,'Daftar Koreksi'!$G$5:$G$92,"Tanah",'Daftar Koreksi'!$H$5:$H$92,"&lt;0")</f>
        <v>0</v>
      </c>
      <c r="G536" s="17">
        <f t="shared" ref="G536:G552" si="24">D536+E536-F536</f>
        <v>2035399952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1153632927</v>
      </c>
      <c r="E537" s="25">
        <f>SUMIFS('Daftar Koreksi'!$H$5:$H$92,'Daftar Koreksi'!$D$5:$D$92,'0700'!A532,'Daftar Koreksi'!$G$5:$G$92,"Peralatan dan mesin",'Daftar Koreksi'!$H$5:$H$92,"&gt;0")</f>
        <v>0</v>
      </c>
      <c r="F537" s="25">
        <f>SUMIFS('Daftar Koreksi'!$H$5:$H$92,'Daftar Koreksi'!$D$5:$D$92,'0700'!A532,'Daftar Koreksi'!$G$5:$G$92,"Peralatan dan mesin",'Daftar Koreksi'!$H$5:$H$92,"&lt;0")-SUMIFS('Daftar Koreksi'!$H$5:$H$92,'Daftar Koreksi'!$D$5:$D$92,'0700'!A532,'Daftar Koreksi'!$G$5:$G$92,"Peralatan dan mesin",'Daftar Koreksi'!$H$5:$H$92,"&lt;0")-SUMIFS('Daftar Koreksi'!$H$5:$H$92,'Daftar Koreksi'!$D$5:$D$92,'0700'!A532,'Daftar Koreksi'!$G$5:$G$92,"Peralatan dan mesin",'Daftar Koreksi'!$H$5:$H$92,"&lt;0")</f>
        <v>0</v>
      </c>
      <c r="G537" s="17">
        <f t="shared" si="24"/>
        <v>1153632927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1530458184</v>
      </c>
      <c r="E538" s="25">
        <f>SUMIFS('Daftar Koreksi'!$H$5:$H$92,'Daftar Koreksi'!$D$5:$D$92,'0700'!A532,'Daftar Koreksi'!$G$5:$G$92,"Gedung dan Bangunan",'Daftar Koreksi'!$H$5:$H$92,"&gt;0")</f>
        <v>0</v>
      </c>
      <c r="F538" s="25">
        <f>SUMIFS('Daftar Koreksi'!$H$5:$H$92,'Daftar Koreksi'!$D$5:$D$92,'0700'!A532,'Daftar Koreksi'!$G$5:$G$92,"Gedung dan Bangunan",'Daftar Koreksi'!$H$5:$H$92,"&lt;0")-SUMIFS('Daftar Koreksi'!$H$5:$H$92,'Daftar Koreksi'!$D$5:$D$92,'0700'!A532,'Daftar Koreksi'!$G$5:$G$92,"Gedung dan Bangunan",'Daftar Koreksi'!$H$5:$H$92,"&lt;0")-SUMIFS('Daftar Koreksi'!$H$5:$H$92,'Daftar Koreksi'!$D$5:$D$92,'0700'!A532,'Daftar Koreksi'!$G$5:$G$92,"Gedung dan Bangunan",'Daftar Koreksi'!$H$5:$H$92,"&lt;0")</f>
        <v>0</v>
      </c>
      <c r="G538" s="17">
        <f t="shared" si="24"/>
        <v>1530458184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0</v>
      </c>
      <c r="E539" s="25">
        <f>SUMIFS('Daftar Koreksi'!$H$5:$H$92,'Daftar Koreksi'!$D$5:$D$92,'0700'!A532,'Daftar Koreksi'!$G$5:$G$92,"Jalan Irigasi Jaringan",'Daftar Koreksi'!$H$5:$H$92,"&gt;0")</f>
        <v>0</v>
      </c>
      <c r="F539" s="25">
        <f>SUMIFS('Daftar Koreksi'!$H$5:$H$92,'Daftar Koreksi'!$D$5:$D$92,'0700'!A532,'Daftar Koreksi'!$G$5:$G$92,"Jalan Irigasi Jaringan",'Daftar Koreksi'!$H$5:$H$92,"&lt;0")-SUMIFS('Daftar Koreksi'!$H$5:$H$92,'Daftar Koreksi'!$D$5:$D$92,'0700'!A532,'Daftar Koreksi'!$G$5:$G$92,"Jalan Irigasi Jaringan",'Daftar Koreksi'!$H$5:$H$92,"&lt;0")-SUMIFS('Daftar Koreksi'!$H$5:$H$92,'Daftar Koreksi'!$D$5:$D$92,'0700'!A532,'Daftar Koreksi'!$G$5:$G$92,"Jalan Irigasi Jaringan",'Daftar Koreksi'!$H$5:$H$92,"&lt;0")</f>
        <v>0</v>
      </c>
      <c r="G539" s="17">
        <f t="shared" si="24"/>
        <v>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11267500</v>
      </c>
      <c r="E540" s="25">
        <f>SUMIFS('Daftar Koreksi'!$H$5:$H$92,'Daftar Koreksi'!$D$5:$D$92,'0700'!A532,'Daftar Koreksi'!$G$5:$G$92,"Aset Tetap Lainnya",'Daftar Koreksi'!$H$5:$H$92,"&gt;0")</f>
        <v>0</v>
      </c>
      <c r="F540" s="25">
        <f>SUMIFS('Daftar Koreksi'!$H$5:$H$92,'Daftar Koreksi'!$D$5:$D$92,'0700'!A532,'Daftar Koreksi'!$G$5:$G$92,"Aset Tetap Lainnya",'Daftar Koreksi'!$H$5:$H$92,"&lt;0")-SUMIFS('Daftar Koreksi'!$H$5:$H$92,'Daftar Koreksi'!$D$5:$D$92,'0700'!A532,'Daftar Koreksi'!$G$5:$G$92,"Aset Tetap Lainnya",'Daftar Koreksi'!$H$5:$H$92,"&lt;0")-SUMIFS('Daftar Koreksi'!$H$5:$H$92,'Daftar Koreksi'!$D$5:$D$92,'0700'!A532,'Daftar Koreksi'!$G$5:$G$92,"Aset Tetap Lainnya",'Daftar Koreksi'!$H$5:$H$92,"&lt;0")</f>
        <v>0</v>
      </c>
      <c r="G540" s="17">
        <f t="shared" si="24"/>
        <v>11267500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Koreksi'!$D$5:$D$92,'0700'!A532,'Daftar Koreksi'!$G$5:$G$92,"Kontruksi Dalam Pengerjaan",'Daftar Koreksi'!$H$5:$H$92,"&gt;0")</f>
        <v>0</v>
      </c>
      <c r="F541" s="25">
        <f>SUMIFS('Daftar Koreksi'!$H$5:$H$92,'Daftar Koreksi'!$D$5:$D$92,'0700'!A532,'Daftar Koreksi'!$G$5:$G$92,"Kontruksi Dalam Pengerjaan",'Daftar Koreksi'!$H$5:$H$92,"&lt;0")-SUMIFS('Daftar Koreksi'!$H$5:$H$92,'Daftar Koreksi'!$D$5:$D$92,'0700'!A532,'Daftar Koreksi'!$G$5:$G$92,"Kontruksi Dalam Pengerjaan",'Daftar Koreksi'!$H$5:$H$92,"&lt;0")-SUMIFS('Daftar Koreksi'!$H$5:$H$92,'Daftar Koreksi'!$D$5:$D$92,'0700'!A532,'Daftar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Koreksi'!$D$5:$D$92,'0700'!A532,'Daftar Koreksi'!$G$5:$G$92,"Aset Tak Berwujud",'Daftar Koreksi'!$H$5:$H$92,"&gt;0")</f>
        <v>0</v>
      </c>
      <c r="F542" s="25">
        <f>SUMIFS('Daftar Koreksi'!$H$5:$H$92,'Daftar Koreksi'!$D$5:$D$92,'0700'!A532,'Daftar Koreksi'!$G$5:$G$92,"Aset Tak Berwujud",'Daftar Koreksi'!$H$5:$H$92,"&lt;0")-SUMIFS('Daftar Koreksi'!$H$5:$H$92,'Daftar Koreksi'!$D$5:$D$92,'0700'!A532,'Daftar Koreksi'!$G$5:$G$92,"Aset Tak Berwujud",'Daftar Koreksi'!$H$5:$H$92,"&lt;0")-SUMIFS('Daftar Koreksi'!$H$5:$H$92,'Daftar Koreksi'!$D$5:$D$92,'0700'!A532,'Daftar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12169000</v>
      </c>
      <c r="E543" s="25">
        <f>SUMIFS('Daftar Koreksi'!$H$5:$H$92,'Daftar Koreksi'!$D$5:$D$92,'0700'!A532,'Daftar Koreksi'!$G$5:$G$92,"Aset Henti Guna",'Daftar Koreksi'!$H$5:$H$92,"&gt;0")</f>
        <v>0</v>
      </c>
      <c r="F543" s="25">
        <f>SUMIFS('Daftar Koreksi'!$H$5:$H$92,'Daftar Koreksi'!$D$5:$D$92,'0700'!A532,'Daftar Koreksi'!$G$5:$G$92,"Aset Henti Guna",'Daftar Koreksi'!$H$5:$H$92,"&lt;0")-SUMIFS('Daftar Koreksi'!$H$5:$H$92,'Daftar Koreksi'!$D$5:$D$92,'0700'!A532,'Daftar Koreksi'!$G$5:$G$92,"Aset Henti Guna",'Daftar Koreksi'!$H$5:$H$92,"&lt;0")-SUMIFS('Daftar Koreksi'!$H$5:$H$92,'Daftar Koreksi'!$D$5:$D$92,'0700'!A532,'Daftar Koreksi'!$G$5:$G$92,"Aset Henti Guna",'Daftar Koreksi'!$H$5:$H$92,"&lt;0")</f>
        <v>0</v>
      </c>
      <c r="G543" s="17">
        <f t="shared" si="24"/>
        <v>12169000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4742927563</v>
      </c>
      <c r="E544" s="19">
        <f>SUM(E535:E543)</f>
        <v>0</v>
      </c>
      <c r="F544" s="19">
        <f>SUM(F535:F543)</f>
        <v>0</v>
      </c>
      <c r="G544" s="19">
        <f t="shared" si="24"/>
        <v>4742927563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-1104064331</v>
      </c>
      <c r="E545" s="25">
        <f>SUMIFS('Daftar Koreksi'!$I$5:$I$92,'Daftar Koreksi'!$D$5:$D$92,'0700'!A532,'Daftar Koreksi'!$G$5:$G$92,"Peralatan dan mesin",'Daftar Koreksi'!$I$5:$I$92,"&gt;0")</f>
        <v>0</v>
      </c>
      <c r="F545" s="25">
        <f>SUMIFS('Daftar Koreksi'!$I$5:$I$92,'Daftar Koreksi'!$D$5:$D$92,'0700'!A532,'Daftar Koreksi'!$G$5:$G$92,"Peralatan dan mesin",'Daftar Koreksi'!$I$5:$I$92,"&lt;0")-SUMIFS('Daftar Koreksi'!$I$5:$I$92,'Daftar Koreksi'!$D$5:$D$92,'0700'!A532,'Daftar Koreksi'!$G$5:$G$92,"Peralatan dan mesin",'Daftar Koreksi'!$I$5:$I$92,"&lt;0")-SUMIFS('Daftar Koreksi'!$I$5:$I$92,'Daftar Koreksi'!$D$5:$D$92,'0700'!A532,'Daftar Koreksi'!$G$5:$G$92,"Peralatan dan mesin",'Daftar Koreksi'!$I$5:$I$92,"&lt;0")</f>
        <v>0</v>
      </c>
      <c r="G545" s="17">
        <f t="shared" si="24"/>
        <v>-1104064331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-642739722</v>
      </c>
      <c r="E546" s="25">
        <f>SUMIFS('Daftar Koreksi'!$I$5:$I$92,'Daftar Koreksi'!$D$5:$D$92,'0700'!A532,'Daftar Koreksi'!$G$5:$G$92,"Gedung dan Bangunan",'Daftar Koreksi'!$I$5:$I$92,"&gt;0")</f>
        <v>0</v>
      </c>
      <c r="F546" s="25">
        <f>SUMIFS('Daftar Koreksi'!$I$5:$I$92,'Daftar Koreksi'!$D$5:$D$92,'0700'!A532,'Daftar Koreksi'!$G$5:$G$92,"Gedung dan Bangunan",'Daftar Koreksi'!$I$5:$I$92,"&lt;0")-SUMIFS('Daftar Koreksi'!$I$5:$I$92,'Daftar Koreksi'!$D$5:$D$92,'0700'!A532,'Daftar Koreksi'!$G$5:$G$92,"Gedung dan Bangunan",'Daftar Koreksi'!$I$5:$I$92,"&lt;0")-SUMIFS('Daftar Koreksi'!$I$5:$I$92,'Daftar Koreksi'!$D$5:$D$92,'0700'!A532,'Daftar Koreksi'!$G$5:$G$92,"Gedung dan Bangunan",'Daftar Koreksi'!$I$5:$I$92,"&lt;0")</f>
        <v>0</v>
      </c>
      <c r="G546" s="17">
        <f t="shared" si="24"/>
        <v>-642739722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0</v>
      </c>
      <c r="E547" s="25">
        <f>SUMIFS('Daftar Koreksi'!$I$5:$I$92,'Daftar Koreksi'!$D$5:$D$92,'0700'!A532,'Daftar Koreksi'!$G$5:$G$92,"Jalan Irigasi Jaringan",'Daftar Koreksi'!$I$5:$I$92,"&gt;0")</f>
        <v>0</v>
      </c>
      <c r="F547" s="25">
        <f>SUMIFS('Daftar Koreksi'!$I$5:$I$92,'Daftar Koreksi'!$D$5:$D$92,'0700'!A532,'Daftar Koreksi'!$G$5:$G$92,"Jalan Irigasi Jaringan",'Daftar Koreksi'!$I$5:$I$92,"&lt;0")-SUMIFS('Daftar Koreksi'!$I$5:$I$92,'Daftar Koreksi'!$D$5:$D$92,'0700'!A532,'Daftar Koreksi'!$G$5:$G$92,"Jalan Irigasi Jaringan",'Daftar Koreksi'!$I$5:$I$92,"&lt;0")-SUMIFS('Daftar Koreksi'!$I$5:$I$92,'Daftar Koreksi'!$D$5:$D$92,'0700'!A532,'Daftar Koreksi'!$G$5:$G$92,"Jalan Irigasi Jaringan",'Daftar Koreksi'!$I$5:$I$92,"&lt;0")</f>
        <v>0</v>
      </c>
      <c r="G547" s="17">
        <f t="shared" si="24"/>
        <v>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Koreksi'!$D$5:$D$92,'0700'!A532,'Daftar Koreksi'!$G$5:$G$92,"Aset Tetap Lainnya",'Daftar Koreksi'!$I$5:$I$92,"&gt;0")</f>
        <v>0</v>
      </c>
      <c r="F548" s="25">
        <f>SUMIFS('Daftar Koreksi'!$I$5:$I$92,'Daftar Koreksi'!$D$5:$D$92,'0700'!A532,'Daftar Koreksi'!$G$5:$G$92,"Aset Tetap Lainnya",'Daftar Koreksi'!$I$5:$I$92,"&lt;0")-SUMIFS('Daftar Koreksi'!$I$5:$I$92,'Daftar Koreksi'!$D$5:$D$92,'0700'!A532,'Daftar Koreksi'!$G$5:$G$92,"Aset Tetap Lainnya",'Daftar Koreksi'!$I$5:$I$92,"&lt;0")-SUMIFS('Daftar Koreksi'!$I$5:$I$92,'Daftar Koreksi'!$D$5:$D$92,'0700'!A532,'Daftar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-12169000</v>
      </c>
      <c r="E549" s="25">
        <f>SUMIFS('Daftar Koreksi'!$I$5:$I$92,'Daftar Koreksi'!$D$5:$D$92,'0700'!A532,'Daftar Koreksi'!$G$5:$G$92,"Aset Henti Guna",'Daftar Koreksi'!$I$5:$I$92,"&gt;0")</f>
        <v>0</v>
      </c>
      <c r="F549" s="25">
        <f>SUMIFS('Daftar Koreksi'!$I$5:$I$92,'Daftar Koreksi'!$D$5:$D$92,'0700'!A532,'Daftar Koreksi'!$G$5:$G$92,"Aset Henti Guna",'Daftar Koreksi'!$I$5:$I$92,"&lt;0")-SUMIFS('Daftar Koreksi'!$I$5:$I$92,'Daftar Koreksi'!$D$5:$D$92,'0700'!A532,'Daftar Koreksi'!$G$5:$G$92,"Aset Henti Guna",'Daftar Koreksi'!$I$5:$I$92,"&lt;0")-SUMIFS('Daftar Koreksi'!$I$5:$I$92,'Daftar Koreksi'!$D$5:$D$92,'0700'!A532,'Daftar Koreksi'!$G$5:$G$92,"Aset Henti Guna",'Daftar Koreksi'!$I$5:$I$92,"&lt;0")</f>
        <v>0</v>
      </c>
      <c r="G549" s="17">
        <f t="shared" si="24"/>
        <v>-12169000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-1758973053</v>
      </c>
      <c r="E550" s="19">
        <f>SUM(E545:E549)</f>
        <v>0</v>
      </c>
      <c r="F550" s="19">
        <f>SUM(F545:F549)</f>
        <v>0</v>
      </c>
      <c r="G550" s="19">
        <f t="shared" si="24"/>
        <v>-1758973053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2983954510</v>
      </c>
      <c r="E551" s="19">
        <f>E550+E544</f>
        <v>0</v>
      </c>
      <c r="F551" s="19">
        <f>F550+F544</f>
        <v>0</v>
      </c>
      <c r="G551" s="19">
        <f t="shared" si="24"/>
        <v>2983954510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005010700401859000KD</v>
      </c>
      <c r="B554" s="11" t="str">
        <f>P26</f>
        <v>PA. Pematang Siantar</v>
      </c>
      <c r="C554" s="12" t="str">
        <f>A554&amp;" "&amp;B554</f>
        <v>005010700401859000KD PA. Pematang Siantar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159000</v>
      </c>
      <c r="E557" s="25">
        <f>SUMIFS('Daftar Koreksi'!$H$5:$H$92,'Daftar Koreksi'!$D$5:$D$92,'0700'!A554,'Daftar Koreksi'!$G$5:$G$92,"Persediaan",'Daftar Koreksi'!$H$5:$H$92,"&gt;0")</f>
        <v>0</v>
      </c>
      <c r="F557" s="25">
        <f>SUMIFS('Daftar Koreksi'!$H$5:$H$92,'Daftar Koreksi'!$D$5:$D$92,'0700'!A554,'Daftar Koreksi'!$G$5:$G$92,"Persediaan",'Daftar Koreksi'!$H$5:$H$92,"&lt;0")-SUMIFS('Daftar Koreksi'!$H$5:$H$92,'Daftar Koreksi'!$D$5:$D$92,'0700'!A554,'Daftar Koreksi'!$G$5:$G$92,"Persediaan",'Daftar Koreksi'!$H$5:$H$92,"&lt;0")-SUMIFS('Daftar Koreksi'!$H$5:$H$92,'Daftar Koreksi'!$D$5:$D$92,'0700'!A554,'Daftar Koreksi'!$G$5:$G$92,"Persediaan",'Daftar Koreksi'!$H$5:$H$92,"&lt;0")</f>
        <v>0</v>
      </c>
      <c r="G557" s="17">
        <f>D557+E557-F557</f>
        <v>159000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2196384000</v>
      </c>
      <c r="E558" s="25">
        <f>SUMIFS('Daftar Koreksi'!$H$5:$H$92,'Daftar Koreksi'!$D$5:$D$92,'0700'!A554,'Daftar Koreksi'!$G$5:$G$92,"Tanah",'Daftar Koreksi'!$H$5:$H$92,"&gt;0")</f>
        <v>0</v>
      </c>
      <c r="F558" s="25">
        <f>SUMIFS('Daftar Koreksi'!$H$5:$H$92,'Daftar Koreksi'!$D$5:$D$92,'0700'!A554,'Daftar Koreksi'!$G$5:$G$92,"Tanah",'Daftar Koreksi'!$H$5:$H$92,"&lt;0")-SUMIFS('Daftar Koreksi'!$H$5:$H$92,'Daftar Koreksi'!$D$5:$D$92,'0700'!A554,'Daftar Koreksi'!$G$5:$G$92,"Tanah",'Daftar Koreksi'!$H$5:$H$92,"&lt;0")-SUMIFS('Daftar Koreksi'!$H$5:$H$92,'Daftar Koreksi'!$D$5:$D$92,'0700'!A554,'Daftar Koreksi'!$G$5:$G$92,"Tanah",'Daftar Koreksi'!$H$5:$H$92,"&lt;0")</f>
        <v>0</v>
      </c>
      <c r="G558" s="17">
        <f t="shared" ref="G558:G574" si="25">D558+E558-F558</f>
        <v>2196384000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909865328</v>
      </c>
      <c r="E559" s="25">
        <f>SUMIFS('Daftar Koreksi'!$H$5:$H$92,'Daftar Koreksi'!$D$5:$D$92,'0700'!A554,'Daftar Koreksi'!$G$5:$G$92,"Peralatan dan mesin",'Daftar Koreksi'!$H$5:$H$92,"&gt;0")</f>
        <v>0</v>
      </c>
      <c r="F559" s="25">
        <f>SUMIFS('Daftar Koreksi'!$H$5:$H$92,'Daftar Koreksi'!$D$5:$D$92,'0700'!A554,'Daftar Koreksi'!$G$5:$G$92,"Peralatan dan mesin",'Daftar Koreksi'!$H$5:$H$92,"&lt;0")-SUMIFS('Daftar Koreksi'!$H$5:$H$92,'Daftar Koreksi'!$D$5:$D$92,'0700'!A554,'Daftar Koreksi'!$G$5:$G$92,"Peralatan dan mesin",'Daftar Koreksi'!$H$5:$H$92,"&lt;0")-SUMIFS('Daftar Koreksi'!$H$5:$H$92,'Daftar Koreksi'!$D$5:$D$92,'0700'!A554,'Daftar Koreksi'!$G$5:$G$92,"Peralatan dan mesin",'Daftar Koreksi'!$H$5:$H$92,"&lt;0")</f>
        <v>0</v>
      </c>
      <c r="G559" s="17">
        <f t="shared" si="25"/>
        <v>909865328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3641142655</v>
      </c>
      <c r="E560" s="25">
        <f>SUMIFS('Daftar Koreksi'!$H$5:$H$92,'Daftar Koreksi'!$D$5:$D$92,'0700'!A554,'Daftar Koreksi'!$G$5:$G$92,"Gedung dan Bangunan",'Daftar Koreksi'!$H$5:$H$92,"&gt;0")</f>
        <v>0</v>
      </c>
      <c r="F560" s="25">
        <f>SUMIFS('Daftar Koreksi'!$H$5:$H$92,'Daftar Koreksi'!$D$5:$D$92,'0700'!A554,'Daftar Koreksi'!$G$5:$G$92,"Gedung dan Bangunan",'Daftar Koreksi'!$H$5:$H$92,"&lt;0")-SUMIFS('Daftar Koreksi'!$H$5:$H$92,'Daftar Koreksi'!$D$5:$D$92,'0700'!A554,'Daftar Koreksi'!$G$5:$G$92,"Gedung dan Bangunan",'Daftar Koreksi'!$H$5:$H$92,"&lt;0")-SUMIFS('Daftar Koreksi'!$H$5:$H$92,'Daftar Koreksi'!$D$5:$D$92,'0700'!A554,'Daftar Koreksi'!$G$5:$G$92,"Gedung dan Bangunan",'Daftar Koreksi'!$H$5:$H$92,"&lt;0")</f>
        <v>0</v>
      </c>
      <c r="G560" s="17">
        <f t="shared" si="25"/>
        <v>3641142655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229882000</v>
      </c>
      <c r="E561" s="25">
        <f>SUMIFS('Daftar Koreksi'!$H$5:$H$92,'Daftar Koreksi'!$D$5:$D$92,'0700'!A554,'Daftar Koreksi'!$G$5:$G$92,"Jalan Irigasi Jaringan",'Daftar Koreksi'!$H$5:$H$92,"&gt;0")</f>
        <v>0</v>
      </c>
      <c r="F561" s="25">
        <f>SUMIFS('Daftar Koreksi'!$H$5:$H$92,'Daftar Koreksi'!$D$5:$D$92,'0700'!A554,'Daftar Koreksi'!$G$5:$G$92,"Jalan Irigasi Jaringan",'Daftar Koreksi'!$H$5:$H$92,"&lt;0")-SUMIFS('Daftar Koreksi'!$H$5:$H$92,'Daftar Koreksi'!$D$5:$D$92,'0700'!A554,'Daftar Koreksi'!$G$5:$G$92,"Jalan Irigasi Jaringan",'Daftar Koreksi'!$H$5:$H$92,"&lt;0")-SUMIFS('Daftar Koreksi'!$H$5:$H$92,'Daftar Koreksi'!$D$5:$D$92,'0700'!A554,'Daftar Koreksi'!$G$5:$G$92,"Jalan Irigasi Jaringan",'Daftar Koreksi'!$H$5:$H$92,"&lt;0")</f>
        <v>0</v>
      </c>
      <c r="G561" s="17">
        <f t="shared" si="25"/>
        <v>229882000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408000</v>
      </c>
      <c r="E562" s="25">
        <f>SUMIFS('Daftar Koreksi'!$H$5:$H$92,'Daftar Koreksi'!$D$5:$D$92,'0700'!A554,'Daftar Koreksi'!$G$5:$G$92,"Aset Tetap Lainnya",'Daftar Koreksi'!$H$5:$H$92,"&gt;0")</f>
        <v>0</v>
      </c>
      <c r="F562" s="25">
        <f>SUMIFS('Daftar Koreksi'!$H$5:$H$92,'Daftar Koreksi'!$D$5:$D$92,'0700'!A554,'Daftar Koreksi'!$G$5:$G$92,"Aset Tetap Lainnya",'Daftar Koreksi'!$H$5:$H$92,"&lt;0")-SUMIFS('Daftar Koreksi'!$H$5:$H$92,'Daftar Koreksi'!$D$5:$D$92,'0700'!A554,'Daftar Koreksi'!$G$5:$G$92,"Aset Tetap Lainnya",'Daftar Koreksi'!$H$5:$H$92,"&lt;0")-SUMIFS('Daftar Koreksi'!$H$5:$H$92,'Daftar Koreksi'!$D$5:$D$92,'0700'!A554,'Daftar Koreksi'!$G$5:$G$92,"Aset Tetap Lainnya",'Daftar Koreksi'!$H$5:$H$92,"&lt;0")</f>
        <v>0</v>
      </c>
      <c r="G562" s="17">
        <f t="shared" si="25"/>
        <v>408000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Koreksi'!$D$5:$D$92,'0700'!A554,'Daftar Koreksi'!$G$5:$G$92,"Kontruksi Dalam Pengerjaan",'Daftar Koreksi'!$H$5:$H$92,"&gt;0")</f>
        <v>0</v>
      </c>
      <c r="F563" s="25">
        <f>SUMIFS('Daftar Koreksi'!$H$5:$H$92,'Daftar Koreksi'!$D$5:$D$92,'0700'!A554,'Daftar Koreksi'!$G$5:$G$92,"Kontruksi Dalam Pengerjaan",'Daftar Koreksi'!$H$5:$H$92,"&lt;0")-SUMIFS('Daftar Koreksi'!$H$5:$H$92,'Daftar Koreksi'!$D$5:$D$92,'0700'!A554,'Daftar Koreksi'!$G$5:$G$92,"Kontruksi Dalam Pengerjaan",'Daftar Koreksi'!$H$5:$H$92,"&lt;0")-SUMIFS('Daftar Koreksi'!$H$5:$H$92,'Daftar Koreksi'!$D$5:$D$92,'0700'!A554,'Daftar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Koreksi'!$D$5:$D$92,'0700'!A554,'Daftar Koreksi'!$G$5:$G$92,"Aset Tak Berwujud",'Daftar Koreksi'!$H$5:$H$92,"&gt;0")</f>
        <v>0</v>
      </c>
      <c r="F564" s="25">
        <f>SUMIFS('Daftar Koreksi'!$H$5:$H$92,'Daftar Koreksi'!$D$5:$D$92,'0700'!A554,'Daftar Koreksi'!$G$5:$G$92,"Aset Tak Berwujud",'Daftar Koreksi'!$H$5:$H$92,"&lt;0")-SUMIFS('Daftar Koreksi'!$H$5:$H$92,'Daftar Koreksi'!$D$5:$D$92,'0700'!A554,'Daftar Koreksi'!$G$5:$G$92,"Aset Tak Berwujud",'Daftar Koreksi'!$H$5:$H$92,"&lt;0")-SUMIFS('Daftar Koreksi'!$H$5:$H$92,'Daftar Koreksi'!$D$5:$D$92,'0700'!A554,'Daftar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43117000</v>
      </c>
      <c r="E565" s="25">
        <f>SUMIFS('Daftar Koreksi'!$H$5:$H$92,'Daftar Koreksi'!$D$5:$D$92,'0700'!A554,'Daftar Koreksi'!$G$5:$G$92,"Aset Henti Guna",'Daftar Koreksi'!$H$5:$H$92,"&gt;0")</f>
        <v>0</v>
      </c>
      <c r="F565" s="25">
        <f>SUMIFS('Daftar Koreksi'!$H$5:$H$92,'Daftar Koreksi'!$D$5:$D$92,'0700'!A554,'Daftar Koreksi'!$G$5:$G$92,"Aset Henti Guna",'Daftar Koreksi'!$H$5:$H$92,"&lt;0")-SUMIFS('Daftar Koreksi'!$H$5:$H$92,'Daftar Koreksi'!$D$5:$D$92,'0700'!A554,'Daftar Koreksi'!$G$5:$G$92,"Aset Henti Guna",'Daftar Koreksi'!$H$5:$H$92,"&lt;0")-SUMIFS('Daftar Koreksi'!$H$5:$H$92,'Daftar Koreksi'!$D$5:$D$92,'0700'!A554,'Daftar Koreksi'!$G$5:$G$92,"Aset Henti Guna",'Daftar Koreksi'!$H$5:$H$92,"&lt;0")</f>
        <v>0</v>
      </c>
      <c r="G565" s="17">
        <f t="shared" si="25"/>
        <v>43117000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7020957983</v>
      </c>
      <c r="E566" s="19">
        <f>SUM(E557:E565)</f>
        <v>0</v>
      </c>
      <c r="F566" s="19">
        <f>SUM(F557:F565)</f>
        <v>0</v>
      </c>
      <c r="G566" s="19">
        <f t="shared" si="25"/>
        <v>7020957983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-740005578</v>
      </c>
      <c r="E567" s="25">
        <f>SUMIFS('Daftar Koreksi'!$I$5:$I$92,'Daftar Koreksi'!$D$5:$D$92,'0700'!A554,'Daftar Koreksi'!$G$5:$G$92,"Peralatan dan mesin",'Daftar Koreksi'!$I$5:$I$92,"&gt;0")</f>
        <v>0</v>
      </c>
      <c r="F567" s="25">
        <f>SUMIFS('Daftar Koreksi'!$I$5:$I$92,'Daftar Koreksi'!$D$5:$D$92,'0700'!A554,'Daftar Koreksi'!$G$5:$G$92,"Peralatan dan mesin",'Daftar Koreksi'!$I$5:$I$92,"&lt;0")-SUMIFS('Daftar Koreksi'!$I$5:$I$92,'Daftar Koreksi'!$D$5:$D$92,'0700'!A554,'Daftar Koreksi'!$G$5:$G$92,"Peralatan dan mesin",'Daftar Koreksi'!$I$5:$I$92,"&lt;0")-SUMIFS('Daftar Koreksi'!$I$5:$I$92,'Daftar Koreksi'!$D$5:$D$92,'0700'!A554,'Daftar Koreksi'!$G$5:$G$92,"Peralatan dan mesin",'Daftar Koreksi'!$I$5:$I$92,"&lt;0")</f>
        <v>0</v>
      </c>
      <c r="G567" s="17">
        <f t="shared" si="25"/>
        <v>-740005578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-729776954</v>
      </c>
      <c r="E568" s="25">
        <f>SUMIFS('Daftar Koreksi'!$I$5:$I$92,'Daftar Koreksi'!$D$5:$D$92,'0700'!A554,'Daftar Koreksi'!$G$5:$G$92,"Gedung dan Bangunan",'Daftar Koreksi'!$I$5:$I$92,"&gt;0")</f>
        <v>0</v>
      </c>
      <c r="F568" s="25">
        <f>SUMIFS('Daftar Koreksi'!$I$5:$I$92,'Daftar Koreksi'!$D$5:$D$92,'0700'!A554,'Daftar Koreksi'!$G$5:$G$92,"Gedung dan Bangunan",'Daftar Koreksi'!$I$5:$I$92,"&lt;0")-SUMIFS('Daftar Koreksi'!$I$5:$I$92,'Daftar Koreksi'!$D$5:$D$92,'0700'!A554,'Daftar Koreksi'!$G$5:$G$92,"Gedung dan Bangunan",'Daftar Koreksi'!$I$5:$I$92,"&lt;0")-SUMIFS('Daftar Koreksi'!$I$5:$I$92,'Daftar Koreksi'!$D$5:$D$92,'0700'!A554,'Daftar Koreksi'!$G$5:$G$92,"Gedung dan Bangunan",'Daftar Koreksi'!$I$5:$I$92,"&lt;0")</f>
        <v>0</v>
      </c>
      <c r="G568" s="17">
        <f t="shared" si="25"/>
        <v>-729776954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-109373892</v>
      </c>
      <c r="E569" s="25">
        <f>SUMIFS('Daftar Koreksi'!$I$5:$I$92,'Daftar Koreksi'!$D$5:$D$92,'0700'!A554,'Daftar Koreksi'!$G$5:$G$92,"Jalan Irigasi Jaringan",'Daftar Koreksi'!$I$5:$I$92,"&gt;0")</f>
        <v>0</v>
      </c>
      <c r="F569" s="25">
        <f>SUMIFS('Daftar Koreksi'!$I$5:$I$92,'Daftar Koreksi'!$D$5:$D$92,'0700'!A554,'Daftar Koreksi'!$G$5:$G$92,"Jalan Irigasi Jaringan",'Daftar Koreksi'!$I$5:$I$92,"&lt;0")-SUMIFS('Daftar Koreksi'!$I$5:$I$92,'Daftar Koreksi'!$D$5:$D$92,'0700'!A554,'Daftar Koreksi'!$G$5:$G$92,"Jalan Irigasi Jaringan",'Daftar Koreksi'!$I$5:$I$92,"&lt;0")-SUMIFS('Daftar Koreksi'!$I$5:$I$92,'Daftar Koreksi'!$D$5:$D$92,'0700'!A554,'Daftar Koreksi'!$G$5:$G$92,"Jalan Irigasi Jaringan",'Daftar Koreksi'!$I$5:$I$92,"&lt;0")</f>
        <v>0</v>
      </c>
      <c r="G569" s="17">
        <f t="shared" si="25"/>
        <v>-109373892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Koreksi'!$D$5:$D$92,'0700'!A554,'Daftar Koreksi'!$G$5:$G$92,"Aset Tetap Lainnya",'Daftar Koreksi'!$I$5:$I$92,"&gt;0")</f>
        <v>0</v>
      </c>
      <c r="F570" s="25">
        <f>SUMIFS('Daftar Koreksi'!$I$5:$I$92,'Daftar Koreksi'!$D$5:$D$92,'0700'!A554,'Daftar Koreksi'!$G$5:$G$92,"Aset Tetap Lainnya",'Daftar Koreksi'!$I$5:$I$92,"&lt;0")-SUMIFS('Daftar Koreksi'!$I$5:$I$92,'Daftar Koreksi'!$D$5:$D$92,'0700'!A554,'Daftar Koreksi'!$G$5:$G$92,"Aset Tetap Lainnya",'Daftar Koreksi'!$I$5:$I$92,"&lt;0")-SUMIFS('Daftar Koreksi'!$I$5:$I$92,'Daftar Koreksi'!$D$5:$D$92,'0700'!A554,'Daftar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-43117000</v>
      </c>
      <c r="E571" s="25">
        <f>SUMIFS('Daftar Koreksi'!$I$5:$I$92,'Daftar Koreksi'!$D$5:$D$92,'0700'!A554,'Daftar Koreksi'!$G$5:$G$92,"Aset Henti Guna",'Daftar Koreksi'!$I$5:$I$92,"&gt;0")</f>
        <v>0</v>
      </c>
      <c r="F571" s="25">
        <f>SUMIFS('Daftar Koreksi'!$I$5:$I$92,'Daftar Koreksi'!$D$5:$D$92,'0700'!A554,'Daftar Koreksi'!$G$5:$G$92,"Aset Henti Guna",'Daftar Koreksi'!$I$5:$I$92,"&lt;0")-SUMIFS('Daftar Koreksi'!$I$5:$I$92,'Daftar Koreksi'!$D$5:$D$92,'0700'!A554,'Daftar Koreksi'!$G$5:$G$92,"Aset Henti Guna",'Daftar Koreksi'!$I$5:$I$92,"&lt;0")-SUMIFS('Daftar Koreksi'!$I$5:$I$92,'Daftar Koreksi'!$D$5:$D$92,'0700'!A554,'Daftar Koreksi'!$G$5:$G$92,"Aset Henti Guna",'Daftar Koreksi'!$I$5:$I$92,"&lt;0")</f>
        <v>0</v>
      </c>
      <c r="G571" s="17">
        <f t="shared" si="25"/>
        <v>-43117000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-1622273424</v>
      </c>
      <c r="E572" s="19">
        <f>SUM(E567:E571)</f>
        <v>0</v>
      </c>
      <c r="F572" s="19">
        <f>SUM(F567:F571)</f>
        <v>0</v>
      </c>
      <c r="G572" s="19">
        <f t="shared" si="25"/>
        <v>-1622273424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5398684559</v>
      </c>
      <c r="E573" s="19">
        <f>E572+E566</f>
        <v>0</v>
      </c>
      <c r="F573" s="19">
        <f>F572+F566</f>
        <v>0</v>
      </c>
      <c r="G573" s="19">
        <f t="shared" si="25"/>
        <v>5398684559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005010700401865000KD</v>
      </c>
      <c r="B576" s="11" t="str">
        <f>P27</f>
        <v>PA. Balige</v>
      </c>
      <c r="C576" s="12" t="str">
        <f>A576&amp;" "&amp;B576</f>
        <v>005010700401865000KD PA. Balige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639500</v>
      </c>
      <c r="E579" s="25">
        <f>SUMIFS('Daftar Koreksi'!$H$5:$H$92,'Daftar Koreksi'!$D$5:$D$92,'0700'!A576,'Daftar Koreksi'!$G$5:$G$92,"Persediaan",'Daftar Koreksi'!$H$5:$H$92,"&gt;0")</f>
        <v>0</v>
      </c>
      <c r="F579" s="25">
        <f>SUMIFS('Daftar Koreksi'!$H$5:$H$92,'Daftar Koreksi'!$D$5:$D$92,'0700'!A576,'Daftar Koreksi'!$G$5:$G$92,"Persediaan",'Daftar Koreksi'!$H$5:$H$92,"&lt;0")-SUMIFS('Daftar Koreksi'!$H$5:$H$92,'Daftar Koreksi'!$D$5:$D$92,'0700'!A576,'Daftar Koreksi'!$G$5:$G$92,"Persediaan",'Daftar Koreksi'!$H$5:$H$92,"&lt;0")-SUMIFS('Daftar Koreksi'!$H$5:$H$92,'Daftar Koreksi'!$D$5:$D$92,'0700'!A576,'Daftar Koreksi'!$G$5:$G$92,"Persediaan",'Daftar Koreksi'!$H$5:$H$92,"&lt;0")</f>
        <v>0</v>
      </c>
      <c r="G579" s="17">
        <f>D579+E579-F579</f>
        <v>639500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1984165000</v>
      </c>
      <c r="E580" s="25">
        <f>SUMIFS('Daftar Koreksi'!$H$5:$H$92,'Daftar Koreksi'!$D$5:$D$92,'0700'!A576,'Daftar Koreksi'!$G$5:$G$92,"Tanah",'Daftar Koreksi'!$H$5:$H$92,"&gt;0")</f>
        <v>0</v>
      </c>
      <c r="F580" s="25">
        <f>SUMIFS('Daftar Koreksi'!$H$5:$H$92,'Daftar Koreksi'!$D$5:$D$92,'0700'!A576,'Daftar Koreksi'!$G$5:$G$92,"Tanah",'Daftar Koreksi'!$H$5:$H$92,"&lt;0")-SUMIFS('Daftar Koreksi'!$H$5:$H$92,'Daftar Koreksi'!$D$5:$D$92,'0700'!A576,'Daftar Koreksi'!$G$5:$G$92,"Tanah",'Daftar Koreksi'!$H$5:$H$92,"&lt;0")-SUMIFS('Daftar Koreksi'!$H$5:$H$92,'Daftar Koreksi'!$D$5:$D$92,'0700'!A576,'Daftar Koreksi'!$G$5:$G$92,"Tanah",'Daftar Koreksi'!$H$5:$H$92,"&lt;0")</f>
        <v>0</v>
      </c>
      <c r="G580" s="17">
        <f t="shared" ref="G580:G596" si="26">D580+E580-F580</f>
        <v>1984165000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846605841</v>
      </c>
      <c r="E581" s="25">
        <f>SUMIFS('Daftar Koreksi'!$H$5:$H$92,'Daftar Koreksi'!$D$5:$D$92,'0700'!A576,'Daftar Koreksi'!$G$5:$G$92,"Peralatan dan mesin",'Daftar Koreksi'!$H$5:$H$92,"&gt;0")</f>
        <v>0</v>
      </c>
      <c r="F581" s="25">
        <f>SUMIFS('Daftar Koreksi'!$H$5:$H$92,'Daftar Koreksi'!$D$5:$D$92,'0700'!A576,'Daftar Koreksi'!$G$5:$G$92,"Peralatan dan mesin",'Daftar Koreksi'!$H$5:$H$92,"&lt;0")-SUMIFS('Daftar Koreksi'!$H$5:$H$92,'Daftar Koreksi'!$D$5:$D$92,'0700'!A576,'Daftar Koreksi'!$G$5:$G$92,"Peralatan dan mesin",'Daftar Koreksi'!$H$5:$H$92,"&lt;0")-SUMIFS('Daftar Koreksi'!$H$5:$H$92,'Daftar Koreksi'!$D$5:$D$92,'0700'!A576,'Daftar Koreksi'!$G$5:$G$92,"Peralatan dan mesin",'Daftar Koreksi'!$H$5:$H$92,"&lt;0")</f>
        <v>0</v>
      </c>
      <c r="G581" s="17">
        <f t="shared" si="26"/>
        <v>846605841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5889240999</v>
      </c>
      <c r="E582" s="25">
        <f>SUMIFS('Daftar Koreksi'!$H$5:$H$92,'Daftar Koreksi'!$D$5:$D$92,'0700'!A576,'Daftar Koreksi'!$G$5:$G$92,"Gedung dan Bangunan",'Daftar Koreksi'!$H$5:$H$92,"&gt;0")</f>
        <v>0</v>
      </c>
      <c r="F582" s="25">
        <f>SUMIFS('Daftar Koreksi'!$H$5:$H$92,'Daftar Koreksi'!$D$5:$D$92,'0700'!A576,'Daftar Koreksi'!$G$5:$G$92,"Gedung dan Bangunan",'Daftar Koreksi'!$H$5:$H$92,"&lt;0")-SUMIFS('Daftar Koreksi'!$H$5:$H$92,'Daftar Koreksi'!$D$5:$D$92,'0700'!A576,'Daftar Koreksi'!$G$5:$G$92,"Gedung dan Bangunan",'Daftar Koreksi'!$H$5:$H$92,"&lt;0")-SUMIFS('Daftar Koreksi'!$H$5:$H$92,'Daftar Koreksi'!$D$5:$D$92,'0700'!A576,'Daftar Koreksi'!$G$5:$G$92,"Gedung dan Bangunan",'Daftar Koreksi'!$H$5:$H$92,"&lt;0")</f>
        <v>0</v>
      </c>
      <c r="G582" s="17">
        <f t="shared" si="26"/>
        <v>5889240999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1000000</v>
      </c>
      <c r="E583" s="25">
        <f>SUMIFS('Daftar Koreksi'!$H$5:$H$92,'Daftar Koreksi'!$D$5:$D$92,'0700'!A576,'Daftar Koreksi'!$G$5:$G$92,"Jalan Irigasi Jaringan",'Daftar Koreksi'!$H$5:$H$92,"&gt;0")</f>
        <v>0</v>
      </c>
      <c r="F583" s="25">
        <f>SUMIFS('Daftar Koreksi'!$H$5:$H$92,'Daftar Koreksi'!$D$5:$D$92,'0700'!A576,'Daftar Koreksi'!$G$5:$G$92,"Jalan Irigasi Jaringan",'Daftar Koreksi'!$H$5:$H$92,"&lt;0")-SUMIFS('Daftar Koreksi'!$H$5:$H$92,'Daftar Koreksi'!$D$5:$D$92,'0700'!A576,'Daftar Koreksi'!$G$5:$G$92,"Jalan Irigasi Jaringan",'Daftar Koreksi'!$H$5:$H$92,"&lt;0")-SUMIFS('Daftar Koreksi'!$H$5:$H$92,'Daftar Koreksi'!$D$5:$D$92,'0700'!A576,'Daftar Koreksi'!$G$5:$G$92,"Jalan Irigasi Jaringan",'Daftar Koreksi'!$H$5:$H$92,"&lt;0")</f>
        <v>0</v>
      </c>
      <c r="G583" s="17">
        <f t="shared" si="26"/>
        <v>1000000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126125680</v>
      </c>
      <c r="E584" s="25">
        <f>SUMIFS('Daftar Koreksi'!$H$5:$H$92,'Daftar Koreksi'!$D$5:$D$92,'0700'!A576,'Daftar Koreksi'!$G$5:$G$92,"Aset Tetap Lainnya",'Daftar Koreksi'!$H$5:$H$92,"&gt;0")</f>
        <v>0</v>
      </c>
      <c r="F584" s="25">
        <f>SUMIFS('Daftar Koreksi'!$H$5:$H$92,'Daftar Koreksi'!$D$5:$D$92,'0700'!A576,'Daftar Koreksi'!$G$5:$G$92,"Aset Tetap Lainnya",'Daftar Koreksi'!$H$5:$H$92,"&lt;0")-SUMIFS('Daftar Koreksi'!$H$5:$H$92,'Daftar Koreksi'!$D$5:$D$92,'0700'!A576,'Daftar Koreksi'!$G$5:$G$92,"Aset Tetap Lainnya",'Daftar Koreksi'!$H$5:$H$92,"&lt;0")-SUMIFS('Daftar Koreksi'!$H$5:$H$92,'Daftar Koreksi'!$D$5:$D$92,'0700'!A576,'Daftar Koreksi'!$G$5:$G$92,"Aset Tetap Lainnya",'Daftar Koreksi'!$H$5:$H$92,"&lt;0")</f>
        <v>0</v>
      </c>
      <c r="G584" s="17">
        <f t="shared" si="26"/>
        <v>126125680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Koreksi'!$D$5:$D$92,'0700'!A576,'Daftar Koreksi'!$G$5:$G$92,"Kontruksi Dalam Pengerjaan",'Daftar Koreksi'!$H$5:$H$92,"&gt;0")</f>
        <v>0</v>
      </c>
      <c r="F585" s="25">
        <f>SUMIFS('Daftar Koreksi'!$H$5:$H$92,'Daftar Koreksi'!$D$5:$D$92,'0700'!A576,'Daftar Koreksi'!$G$5:$G$92,"Kontruksi Dalam Pengerjaan",'Daftar Koreksi'!$H$5:$H$92,"&lt;0")-SUMIFS('Daftar Koreksi'!$H$5:$H$92,'Daftar Koreksi'!$D$5:$D$92,'0700'!A576,'Daftar Koreksi'!$G$5:$G$92,"Kontruksi Dalam Pengerjaan",'Daftar Koreksi'!$H$5:$H$92,"&lt;0")-SUMIFS('Daftar Koreksi'!$H$5:$H$92,'Daftar Koreksi'!$D$5:$D$92,'0700'!A576,'Daftar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13000000</v>
      </c>
      <c r="E586" s="25">
        <f>SUMIFS('Daftar Koreksi'!$H$5:$H$92,'Daftar Koreksi'!$D$5:$D$92,'0700'!A576,'Daftar Koreksi'!$G$5:$G$92,"Aset Tak Berwujud",'Daftar Koreksi'!$H$5:$H$92,"&gt;0")</f>
        <v>0</v>
      </c>
      <c r="F586" s="25">
        <f>SUMIFS('Daftar Koreksi'!$H$5:$H$92,'Daftar Koreksi'!$D$5:$D$92,'0700'!A576,'Daftar Koreksi'!$G$5:$G$92,"Aset Tak Berwujud",'Daftar Koreksi'!$H$5:$H$92,"&lt;0")-SUMIFS('Daftar Koreksi'!$H$5:$H$92,'Daftar Koreksi'!$D$5:$D$92,'0700'!A576,'Daftar Koreksi'!$G$5:$G$92,"Aset Tak Berwujud",'Daftar Koreksi'!$H$5:$H$92,"&lt;0")-SUMIFS('Daftar Koreksi'!$H$5:$H$92,'Daftar Koreksi'!$D$5:$D$92,'0700'!A576,'Daftar Koreksi'!$G$5:$G$92,"Aset Tak Berwujud",'Daftar Koreksi'!$H$5:$H$92,"&lt;0")</f>
        <v>0</v>
      </c>
      <c r="G586" s="17">
        <f t="shared" si="26"/>
        <v>13000000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124581962</v>
      </c>
      <c r="E587" s="25">
        <f>SUMIFS('Daftar Koreksi'!$H$5:$H$92,'Daftar Koreksi'!$D$5:$D$92,'0700'!A576,'Daftar Koreksi'!$G$5:$G$92,"Aset Henti Guna",'Daftar Koreksi'!$H$5:$H$92,"&gt;0")</f>
        <v>0</v>
      </c>
      <c r="F587" s="25">
        <f>SUMIFS('Daftar Koreksi'!$H$5:$H$92,'Daftar Koreksi'!$D$5:$D$92,'0700'!A576,'Daftar Koreksi'!$G$5:$G$92,"Aset Henti Guna",'Daftar Koreksi'!$H$5:$H$92,"&lt;0")-SUMIFS('Daftar Koreksi'!$H$5:$H$92,'Daftar Koreksi'!$D$5:$D$92,'0700'!A576,'Daftar Koreksi'!$G$5:$G$92,"Aset Henti Guna",'Daftar Koreksi'!$H$5:$H$92,"&lt;0")-SUMIFS('Daftar Koreksi'!$H$5:$H$92,'Daftar Koreksi'!$D$5:$D$92,'0700'!A576,'Daftar Koreksi'!$G$5:$G$92,"Aset Henti Guna",'Daftar Koreksi'!$H$5:$H$92,"&lt;0")</f>
        <v>0</v>
      </c>
      <c r="G587" s="17">
        <f t="shared" si="26"/>
        <v>124581962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8985358982</v>
      </c>
      <c r="E588" s="19">
        <f>SUM(E579:E587)</f>
        <v>0</v>
      </c>
      <c r="F588" s="19">
        <f>SUM(F579:F587)</f>
        <v>0</v>
      </c>
      <c r="G588" s="19">
        <f t="shared" si="26"/>
        <v>8985358982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-636700641</v>
      </c>
      <c r="E589" s="25">
        <f>SUMIFS('Daftar Koreksi'!$I$5:$I$92,'Daftar Koreksi'!$D$5:$D$92,'0700'!A576,'Daftar Koreksi'!$G$5:$G$92,"Peralatan dan mesin",'Daftar Koreksi'!$I$5:$I$92,"&gt;0")</f>
        <v>0</v>
      </c>
      <c r="F589" s="25">
        <f>SUMIFS('Daftar Koreksi'!$I$5:$I$92,'Daftar Koreksi'!$D$5:$D$92,'0700'!A576,'Daftar Koreksi'!$G$5:$G$92,"Peralatan dan mesin",'Daftar Koreksi'!$I$5:$I$92,"&lt;0")-SUMIFS('Daftar Koreksi'!$I$5:$I$92,'Daftar Koreksi'!$D$5:$D$92,'0700'!A576,'Daftar Koreksi'!$G$5:$G$92,"Peralatan dan mesin",'Daftar Koreksi'!$I$5:$I$92,"&lt;0")-SUMIFS('Daftar Koreksi'!$I$5:$I$92,'Daftar Koreksi'!$D$5:$D$92,'0700'!A576,'Daftar Koreksi'!$G$5:$G$92,"Peralatan dan mesin",'Daftar Koreksi'!$I$5:$I$92,"&lt;0")</f>
        <v>0</v>
      </c>
      <c r="G589" s="17">
        <f t="shared" si="26"/>
        <v>-636700641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-904257215</v>
      </c>
      <c r="E590" s="25">
        <f>SUMIFS('Daftar Koreksi'!$I$5:$I$92,'Daftar Koreksi'!$D$5:$D$92,'0700'!A576,'Daftar Koreksi'!$G$5:$G$92,"Gedung dan Bangunan",'Daftar Koreksi'!$I$5:$I$92,"&gt;0")</f>
        <v>0</v>
      </c>
      <c r="F590" s="25">
        <f>SUMIFS('Daftar Koreksi'!$I$5:$I$92,'Daftar Koreksi'!$D$5:$D$92,'0700'!A576,'Daftar Koreksi'!$G$5:$G$92,"Gedung dan Bangunan",'Daftar Koreksi'!$I$5:$I$92,"&lt;0")-SUMIFS('Daftar Koreksi'!$I$5:$I$92,'Daftar Koreksi'!$D$5:$D$92,'0700'!A576,'Daftar Koreksi'!$G$5:$G$92,"Gedung dan Bangunan",'Daftar Koreksi'!$I$5:$I$92,"&lt;0")-SUMIFS('Daftar Koreksi'!$I$5:$I$92,'Daftar Koreksi'!$D$5:$D$92,'0700'!A576,'Daftar Koreksi'!$G$5:$G$92,"Gedung dan Bangunan",'Daftar Koreksi'!$I$5:$I$92,"&lt;0")</f>
        <v>0</v>
      </c>
      <c r="G590" s="17">
        <f t="shared" si="26"/>
        <v>-904257215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-450000</v>
      </c>
      <c r="E591" s="25">
        <f>SUMIFS('Daftar Koreksi'!$I$5:$I$92,'Daftar Koreksi'!$D$5:$D$92,'0700'!A576,'Daftar Koreksi'!$G$5:$G$92,"Jalan Irigasi Jaringan",'Daftar Koreksi'!$I$5:$I$92,"&gt;0")</f>
        <v>0</v>
      </c>
      <c r="F591" s="25">
        <f>SUMIFS('Daftar Koreksi'!$I$5:$I$92,'Daftar Koreksi'!$D$5:$D$92,'0700'!A576,'Daftar Koreksi'!$G$5:$G$92,"Jalan Irigasi Jaringan",'Daftar Koreksi'!$I$5:$I$92,"&lt;0")-SUMIFS('Daftar Koreksi'!$I$5:$I$92,'Daftar Koreksi'!$D$5:$D$92,'0700'!A576,'Daftar Koreksi'!$G$5:$G$92,"Jalan Irigasi Jaringan",'Daftar Koreksi'!$I$5:$I$92,"&lt;0")-SUMIFS('Daftar Koreksi'!$I$5:$I$92,'Daftar Koreksi'!$D$5:$D$92,'0700'!A576,'Daftar Koreksi'!$G$5:$G$92,"Jalan Irigasi Jaringan",'Daftar Koreksi'!$I$5:$I$92,"&lt;0")</f>
        <v>0</v>
      </c>
      <c r="G591" s="17">
        <f t="shared" si="26"/>
        <v>-450000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Koreksi'!$D$5:$D$92,'0700'!A576,'Daftar Koreksi'!$G$5:$G$92,"Aset Tetap Lainnya",'Daftar Koreksi'!$I$5:$I$92,"&gt;0")</f>
        <v>0</v>
      </c>
      <c r="F592" s="25">
        <f>SUMIFS('Daftar Koreksi'!$I$5:$I$92,'Daftar Koreksi'!$D$5:$D$92,'0700'!A576,'Daftar Koreksi'!$G$5:$G$92,"Aset Tetap Lainnya",'Daftar Koreksi'!$I$5:$I$92,"&lt;0")-SUMIFS('Daftar Koreksi'!$I$5:$I$92,'Daftar Koreksi'!$D$5:$D$92,'0700'!A576,'Daftar Koreksi'!$G$5:$G$92,"Aset Tetap Lainnya",'Daftar Koreksi'!$I$5:$I$92,"&lt;0")-SUMIFS('Daftar Koreksi'!$I$5:$I$92,'Daftar Koreksi'!$D$5:$D$92,'0700'!A576,'Daftar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-123280962</v>
      </c>
      <c r="E593" s="25">
        <f>SUMIFS('Daftar Koreksi'!$I$5:$I$92,'Daftar Koreksi'!$D$5:$D$92,'0700'!A576,'Daftar Koreksi'!$G$5:$G$92,"Aset Henti Guna",'Daftar Koreksi'!$I$5:$I$92,"&gt;0")</f>
        <v>0</v>
      </c>
      <c r="F593" s="25">
        <f>SUMIFS('Daftar Koreksi'!$I$5:$I$92,'Daftar Koreksi'!$D$5:$D$92,'0700'!A576,'Daftar Koreksi'!$G$5:$G$92,"Aset Henti Guna",'Daftar Koreksi'!$I$5:$I$92,"&lt;0")-SUMIFS('Daftar Koreksi'!$I$5:$I$92,'Daftar Koreksi'!$D$5:$D$92,'0700'!A576,'Daftar Koreksi'!$G$5:$G$92,"Aset Henti Guna",'Daftar Koreksi'!$I$5:$I$92,"&lt;0")-SUMIFS('Daftar Koreksi'!$I$5:$I$92,'Daftar Koreksi'!$D$5:$D$92,'0700'!A576,'Daftar Koreksi'!$G$5:$G$92,"Aset Henti Guna",'Daftar Koreksi'!$I$5:$I$92,"&lt;0")</f>
        <v>0</v>
      </c>
      <c r="G593" s="17">
        <f t="shared" si="26"/>
        <v>-123280962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-1664688818</v>
      </c>
      <c r="E594" s="19">
        <f>SUM(E589:E593)</f>
        <v>0</v>
      </c>
      <c r="F594" s="19">
        <f>SUM(F589:F593)</f>
        <v>0</v>
      </c>
      <c r="G594" s="19">
        <f t="shared" si="26"/>
        <v>-1664688818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7320670164</v>
      </c>
      <c r="E595" s="19">
        <f>E594+E588</f>
        <v>0</v>
      </c>
      <c r="F595" s="19">
        <f>F594+F588</f>
        <v>0</v>
      </c>
      <c r="G595" s="19">
        <f t="shared" si="26"/>
        <v>7320670164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005010700401871000KD</v>
      </c>
      <c r="B598" s="11" t="str">
        <f>P28</f>
        <v>PA. Sibolga</v>
      </c>
      <c r="C598" s="12" t="str">
        <f>A598&amp;" "&amp;B598</f>
        <v>005010700401871000KD PA. Sibolga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190000</v>
      </c>
      <c r="E601" s="25">
        <f>SUMIFS('Daftar Koreksi'!$H$5:$H$92,'Daftar Koreksi'!$D$5:$D$92,'0700'!A598,'Daftar Koreksi'!$G$5:$G$92,"Persediaan",'Daftar Koreksi'!$H$5:$H$92,"&gt;0")</f>
        <v>0</v>
      </c>
      <c r="F601" s="25">
        <f>SUMIFS('Daftar Koreksi'!$H$5:$H$92,'Daftar Koreksi'!$D$5:$D$92,'0700'!A598,'Daftar Koreksi'!$G$5:$G$92,"Persediaan",'Daftar Koreksi'!$H$5:$H$92,"&lt;0")-SUMIFS('Daftar Koreksi'!$H$5:$H$92,'Daftar Koreksi'!$D$5:$D$92,'0700'!A598,'Daftar Koreksi'!$G$5:$G$92,"Persediaan",'Daftar Koreksi'!$H$5:$H$92,"&lt;0")-SUMIFS('Daftar Koreksi'!$H$5:$H$92,'Daftar Koreksi'!$D$5:$D$92,'0700'!A598,'Daftar Koreksi'!$G$5:$G$92,"Persediaan",'Daftar Koreksi'!$H$5:$H$92,"&lt;0")</f>
        <v>0</v>
      </c>
      <c r="G601" s="17">
        <f>D601+E601-F601</f>
        <v>190000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475500000</v>
      </c>
      <c r="E602" s="25">
        <f>SUMIFS('Daftar Koreksi'!$H$5:$H$92,'Daftar Koreksi'!$D$5:$D$92,'0700'!A598,'Daftar Koreksi'!$G$5:$G$92,"Tanah",'Daftar Koreksi'!$H$5:$H$92,"&gt;0")</f>
        <v>0</v>
      </c>
      <c r="F602" s="25">
        <f>SUMIFS('Daftar Koreksi'!$H$5:$H$92,'Daftar Koreksi'!$D$5:$D$92,'0700'!A598,'Daftar Koreksi'!$G$5:$G$92,"Tanah",'Daftar Koreksi'!$H$5:$H$92,"&lt;0")-SUMIFS('Daftar Koreksi'!$H$5:$H$92,'Daftar Koreksi'!$D$5:$D$92,'0700'!A598,'Daftar Koreksi'!$G$5:$G$92,"Tanah",'Daftar Koreksi'!$H$5:$H$92,"&lt;0")-SUMIFS('Daftar Koreksi'!$H$5:$H$92,'Daftar Koreksi'!$D$5:$D$92,'0700'!A598,'Daftar Koreksi'!$G$5:$G$92,"Tanah",'Daftar Koreksi'!$H$5:$H$92,"&lt;0")</f>
        <v>0</v>
      </c>
      <c r="G602" s="17">
        <f t="shared" ref="G602:G618" si="27">D602+E602-F602</f>
        <v>475500000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1083487900</v>
      </c>
      <c r="E603" s="25">
        <f>SUMIFS('Daftar Koreksi'!$H$5:$H$92,'Daftar Koreksi'!$D$5:$D$92,'0700'!A598,'Daftar Koreksi'!$G$5:$G$92,"Peralatan dan mesin",'Daftar Koreksi'!$H$5:$H$92,"&gt;0")</f>
        <v>0</v>
      </c>
      <c r="F603" s="25">
        <f>SUMIFS('Daftar Koreksi'!$H$5:$H$92,'Daftar Koreksi'!$D$5:$D$92,'0700'!A598,'Daftar Koreksi'!$G$5:$G$92,"Peralatan dan mesin",'Daftar Koreksi'!$H$5:$H$92,"&lt;0")-SUMIFS('Daftar Koreksi'!$H$5:$H$92,'Daftar Koreksi'!$D$5:$D$92,'0700'!A598,'Daftar Koreksi'!$G$5:$G$92,"Peralatan dan mesin",'Daftar Koreksi'!$H$5:$H$92,"&lt;0")-SUMIFS('Daftar Koreksi'!$H$5:$H$92,'Daftar Koreksi'!$D$5:$D$92,'0700'!A598,'Daftar Koreksi'!$G$5:$G$92,"Peralatan dan mesin",'Daftar Koreksi'!$H$5:$H$92,"&lt;0")</f>
        <v>0</v>
      </c>
      <c r="G603" s="17">
        <f t="shared" si="27"/>
        <v>1083487900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2127158000</v>
      </c>
      <c r="E604" s="25">
        <f>SUMIFS('Daftar Koreksi'!$H$5:$H$92,'Daftar Koreksi'!$D$5:$D$92,'0700'!A598,'Daftar Koreksi'!$G$5:$G$92,"Gedung dan Bangunan",'Daftar Koreksi'!$H$5:$H$92,"&gt;0")</f>
        <v>0</v>
      </c>
      <c r="F604" s="25">
        <f>SUMIFS('Daftar Koreksi'!$H$5:$H$92,'Daftar Koreksi'!$D$5:$D$92,'0700'!A598,'Daftar Koreksi'!$G$5:$G$92,"Gedung dan Bangunan",'Daftar Koreksi'!$H$5:$H$92,"&lt;0")-SUMIFS('Daftar Koreksi'!$H$5:$H$92,'Daftar Koreksi'!$D$5:$D$92,'0700'!A598,'Daftar Koreksi'!$G$5:$G$92,"Gedung dan Bangunan",'Daftar Koreksi'!$H$5:$H$92,"&lt;0")-SUMIFS('Daftar Koreksi'!$H$5:$H$92,'Daftar Koreksi'!$D$5:$D$92,'0700'!A598,'Daftar Koreksi'!$G$5:$G$92,"Gedung dan Bangunan",'Daftar Koreksi'!$H$5:$H$92,"&lt;0")</f>
        <v>0</v>
      </c>
      <c r="G604" s="17">
        <f t="shared" si="27"/>
        <v>2127158000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0</v>
      </c>
      <c r="E605" s="25">
        <f>SUMIFS('Daftar Koreksi'!$H$5:$H$92,'Daftar Koreksi'!$D$5:$D$92,'0700'!A598,'Daftar Koreksi'!$G$5:$G$92,"Jalan Irigasi Jaringan",'Daftar Koreksi'!$H$5:$H$92,"&gt;0")</f>
        <v>0</v>
      </c>
      <c r="F605" s="25">
        <f>SUMIFS('Daftar Koreksi'!$H$5:$H$92,'Daftar Koreksi'!$D$5:$D$92,'0700'!A598,'Daftar Koreksi'!$G$5:$G$92,"Jalan Irigasi Jaringan",'Daftar Koreksi'!$H$5:$H$92,"&lt;0")-SUMIFS('Daftar Koreksi'!$H$5:$H$92,'Daftar Koreksi'!$D$5:$D$92,'0700'!A598,'Daftar Koreksi'!$G$5:$G$92,"Jalan Irigasi Jaringan",'Daftar Koreksi'!$H$5:$H$92,"&lt;0")-SUMIFS('Daftar Koreksi'!$H$5:$H$92,'Daftar Koreksi'!$D$5:$D$92,'0700'!A598,'Daftar Koreksi'!$G$5:$G$92,"Jalan Irigasi Jaringan",'Daftar Koreksi'!$H$5:$H$92,"&lt;0")</f>
        <v>0</v>
      </c>
      <c r="G605" s="17">
        <f t="shared" si="27"/>
        <v>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408000</v>
      </c>
      <c r="E606" s="25">
        <f>SUMIFS('Daftar Koreksi'!$H$5:$H$92,'Daftar Koreksi'!$D$5:$D$92,'0700'!A598,'Daftar Koreksi'!$G$5:$G$92,"Aset Tetap Lainnya",'Daftar Koreksi'!$H$5:$H$92,"&gt;0")</f>
        <v>0</v>
      </c>
      <c r="F606" s="25">
        <f>SUMIFS('Daftar Koreksi'!$H$5:$H$92,'Daftar Koreksi'!$D$5:$D$92,'0700'!A598,'Daftar Koreksi'!$G$5:$G$92,"Aset Tetap Lainnya",'Daftar Koreksi'!$H$5:$H$92,"&lt;0")-SUMIFS('Daftar Koreksi'!$H$5:$H$92,'Daftar Koreksi'!$D$5:$D$92,'0700'!A598,'Daftar Koreksi'!$G$5:$G$92,"Aset Tetap Lainnya",'Daftar Koreksi'!$H$5:$H$92,"&lt;0")-SUMIFS('Daftar Koreksi'!$H$5:$H$92,'Daftar Koreksi'!$D$5:$D$92,'0700'!A598,'Daftar Koreksi'!$G$5:$G$92,"Aset Tetap Lainnya",'Daftar Koreksi'!$H$5:$H$92,"&lt;0")</f>
        <v>0</v>
      </c>
      <c r="G606" s="17">
        <f t="shared" si="27"/>
        <v>408000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Koreksi'!$D$5:$D$92,'0700'!A598,'Daftar Koreksi'!$G$5:$G$92,"Kontruksi Dalam Pengerjaan",'Daftar Koreksi'!$H$5:$H$92,"&gt;0")</f>
        <v>0</v>
      </c>
      <c r="F607" s="25">
        <f>SUMIFS('Daftar Koreksi'!$H$5:$H$92,'Daftar Koreksi'!$D$5:$D$92,'0700'!A598,'Daftar Koreksi'!$G$5:$G$92,"Kontruksi Dalam Pengerjaan",'Daftar Koreksi'!$H$5:$H$92,"&lt;0")-SUMIFS('Daftar Koreksi'!$H$5:$H$92,'Daftar Koreksi'!$D$5:$D$92,'0700'!A598,'Daftar Koreksi'!$G$5:$G$92,"Kontruksi Dalam Pengerjaan",'Daftar Koreksi'!$H$5:$H$92,"&lt;0")-SUMIFS('Daftar Koreksi'!$H$5:$H$92,'Daftar Koreksi'!$D$5:$D$92,'0700'!A598,'Daftar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0</v>
      </c>
      <c r="E608" s="25">
        <f>SUMIFS('Daftar Koreksi'!$H$5:$H$92,'Daftar Koreksi'!$D$5:$D$92,'0700'!A598,'Daftar Koreksi'!$G$5:$G$92,"Aset Tak Berwujud",'Daftar Koreksi'!$H$5:$H$92,"&gt;0")</f>
        <v>0</v>
      </c>
      <c r="F608" s="25">
        <f>SUMIFS('Daftar Koreksi'!$H$5:$H$92,'Daftar Koreksi'!$D$5:$D$92,'0700'!A598,'Daftar Koreksi'!$G$5:$G$92,"Aset Tak Berwujud",'Daftar Koreksi'!$H$5:$H$92,"&lt;0")-SUMIFS('Daftar Koreksi'!$H$5:$H$92,'Daftar Koreksi'!$D$5:$D$92,'0700'!A598,'Daftar Koreksi'!$G$5:$G$92,"Aset Tak Berwujud",'Daftar Koreksi'!$H$5:$H$92,"&lt;0")-SUMIFS('Daftar Koreksi'!$H$5:$H$92,'Daftar Koreksi'!$D$5:$D$92,'0700'!A598,'Daftar Koreksi'!$G$5:$G$92,"Aset Tak Berwujud",'Daftar Koreksi'!$H$5:$H$92,"&lt;0")</f>
        <v>0</v>
      </c>
      <c r="G608" s="17">
        <f t="shared" si="27"/>
        <v>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0</v>
      </c>
      <c r="E609" s="25">
        <f>SUMIFS('Daftar Koreksi'!$H$5:$H$92,'Daftar Koreksi'!$D$5:$D$92,'0700'!A598,'Daftar Koreksi'!$G$5:$G$92,"Aset Henti Guna",'Daftar Koreksi'!$H$5:$H$92,"&gt;0")</f>
        <v>0</v>
      </c>
      <c r="F609" s="25">
        <f>SUMIFS('Daftar Koreksi'!$H$5:$H$92,'Daftar Koreksi'!$D$5:$D$92,'0700'!A598,'Daftar Koreksi'!$G$5:$G$92,"Aset Henti Guna",'Daftar Koreksi'!$H$5:$H$92,"&lt;0")-SUMIFS('Daftar Koreksi'!$H$5:$H$92,'Daftar Koreksi'!$D$5:$D$92,'0700'!A598,'Daftar Koreksi'!$G$5:$G$92,"Aset Henti Guna",'Daftar Koreksi'!$H$5:$H$92,"&lt;0")-SUMIFS('Daftar Koreksi'!$H$5:$H$92,'Daftar Koreksi'!$D$5:$D$92,'0700'!A598,'Daftar Koreksi'!$G$5:$G$92,"Aset Henti Guna",'Daftar Koreksi'!$H$5:$H$92,"&lt;0")</f>
        <v>0</v>
      </c>
      <c r="G609" s="17">
        <f t="shared" si="27"/>
        <v>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3686743900</v>
      </c>
      <c r="E610" s="19">
        <f>SUM(E601:E609)</f>
        <v>0</v>
      </c>
      <c r="F610" s="19">
        <f>SUM(F601:F609)</f>
        <v>0</v>
      </c>
      <c r="G610" s="19">
        <f t="shared" si="27"/>
        <v>3686743900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-925331900</v>
      </c>
      <c r="E611" s="25">
        <f>SUMIFS('Daftar Koreksi'!$I$5:$I$92,'Daftar Koreksi'!$D$5:$D$92,'0700'!A598,'Daftar Koreksi'!$G$5:$G$92,"Peralatan dan mesin",'Daftar Koreksi'!$I$5:$I$92,"&gt;0")</f>
        <v>0</v>
      </c>
      <c r="F611" s="25">
        <f>SUMIFS('Daftar Koreksi'!$I$5:$I$92,'Daftar Koreksi'!$D$5:$D$92,'0700'!A598,'Daftar Koreksi'!$G$5:$G$92,"Peralatan dan mesin",'Daftar Koreksi'!$I$5:$I$92,"&lt;0")-SUMIFS('Daftar Koreksi'!$I$5:$I$92,'Daftar Koreksi'!$D$5:$D$92,'0700'!A598,'Daftar Koreksi'!$G$5:$G$92,"Peralatan dan mesin",'Daftar Koreksi'!$I$5:$I$92,"&lt;0")-SUMIFS('Daftar Koreksi'!$I$5:$I$92,'Daftar Koreksi'!$D$5:$D$92,'0700'!A598,'Daftar Koreksi'!$G$5:$G$92,"Peralatan dan mesin",'Daftar Koreksi'!$I$5:$I$92,"&lt;0")</f>
        <v>0</v>
      </c>
      <c r="G611" s="17">
        <f t="shared" si="27"/>
        <v>-925331900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-868294800</v>
      </c>
      <c r="E612" s="25">
        <f>SUMIFS('Daftar Koreksi'!$I$5:$I$92,'Daftar Koreksi'!$D$5:$D$92,'0700'!A598,'Daftar Koreksi'!$G$5:$G$92,"Gedung dan Bangunan",'Daftar Koreksi'!$I$5:$I$92,"&gt;0")</f>
        <v>0</v>
      </c>
      <c r="F612" s="25">
        <f>SUMIFS('Daftar Koreksi'!$I$5:$I$92,'Daftar Koreksi'!$D$5:$D$92,'0700'!A598,'Daftar Koreksi'!$G$5:$G$92,"Gedung dan Bangunan",'Daftar Koreksi'!$I$5:$I$92,"&lt;0")-SUMIFS('Daftar Koreksi'!$I$5:$I$92,'Daftar Koreksi'!$D$5:$D$92,'0700'!A598,'Daftar Koreksi'!$G$5:$G$92,"Gedung dan Bangunan",'Daftar Koreksi'!$I$5:$I$92,"&lt;0")-SUMIFS('Daftar Koreksi'!$I$5:$I$92,'Daftar Koreksi'!$D$5:$D$92,'0700'!A598,'Daftar Koreksi'!$G$5:$G$92,"Gedung dan Bangunan",'Daftar Koreksi'!$I$5:$I$92,"&lt;0")</f>
        <v>0</v>
      </c>
      <c r="G612" s="17">
        <f t="shared" si="27"/>
        <v>-868294800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0</v>
      </c>
      <c r="E613" s="25">
        <f>SUMIFS('Daftar Koreksi'!$I$5:$I$92,'Daftar Koreksi'!$D$5:$D$92,'0700'!A598,'Daftar Koreksi'!$G$5:$G$92,"Jalan Irigasi Jaringan",'Daftar Koreksi'!$I$5:$I$92,"&gt;0")</f>
        <v>0</v>
      </c>
      <c r="F613" s="25">
        <f>SUMIFS('Daftar Koreksi'!$I$5:$I$92,'Daftar Koreksi'!$D$5:$D$92,'0700'!A598,'Daftar Koreksi'!$G$5:$G$92,"Jalan Irigasi Jaringan",'Daftar Koreksi'!$I$5:$I$92,"&lt;0")-SUMIFS('Daftar Koreksi'!$I$5:$I$92,'Daftar Koreksi'!$D$5:$D$92,'0700'!A598,'Daftar Koreksi'!$G$5:$G$92,"Jalan Irigasi Jaringan",'Daftar Koreksi'!$I$5:$I$92,"&lt;0")-SUMIFS('Daftar Koreksi'!$I$5:$I$92,'Daftar Koreksi'!$D$5:$D$92,'0700'!A598,'Daftar Koreksi'!$G$5:$G$92,"Jalan Irigasi Jaringan",'Daftar Koreksi'!$I$5:$I$92,"&lt;0")</f>
        <v>0</v>
      </c>
      <c r="G613" s="17">
        <f t="shared" si="27"/>
        <v>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Koreksi'!$D$5:$D$92,'0700'!A598,'Daftar Koreksi'!$G$5:$G$92,"Aset Tetap Lainnya",'Daftar Koreksi'!$I$5:$I$92,"&gt;0")</f>
        <v>0</v>
      </c>
      <c r="F614" s="25">
        <f>SUMIFS('Daftar Koreksi'!$I$5:$I$92,'Daftar Koreksi'!$D$5:$D$92,'0700'!A598,'Daftar Koreksi'!$G$5:$G$92,"Aset Tetap Lainnya",'Daftar Koreksi'!$I$5:$I$92,"&lt;0")-SUMIFS('Daftar Koreksi'!$I$5:$I$92,'Daftar Koreksi'!$D$5:$D$92,'0700'!A598,'Daftar Koreksi'!$G$5:$G$92,"Aset Tetap Lainnya",'Daftar Koreksi'!$I$5:$I$92,"&lt;0")-SUMIFS('Daftar Koreksi'!$I$5:$I$92,'Daftar Koreksi'!$D$5:$D$92,'0700'!A598,'Daftar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0</v>
      </c>
      <c r="E615" s="25">
        <f>SUMIFS('Daftar Koreksi'!$I$5:$I$92,'Daftar Koreksi'!$D$5:$D$92,'0700'!A598,'Daftar Koreksi'!$G$5:$G$92,"Aset Henti Guna",'Daftar Koreksi'!$I$5:$I$92,"&gt;0")</f>
        <v>0</v>
      </c>
      <c r="F615" s="25">
        <f>SUMIFS('Daftar Koreksi'!$I$5:$I$92,'Daftar Koreksi'!$D$5:$D$92,'0700'!A598,'Daftar Koreksi'!$G$5:$G$92,"Aset Henti Guna",'Daftar Koreksi'!$I$5:$I$92,"&lt;0")-SUMIFS('Daftar Koreksi'!$I$5:$I$92,'Daftar Koreksi'!$D$5:$D$92,'0700'!A598,'Daftar Koreksi'!$G$5:$G$92,"Aset Henti Guna",'Daftar Koreksi'!$I$5:$I$92,"&lt;0")-SUMIFS('Daftar Koreksi'!$I$5:$I$92,'Daftar Koreksi'!$D$5:$D$92,'0700'!A598,'Daftar Koreksi'!$G$5:$G$92,"Aset Henti Guna",'Daftar Koreksi'!$I$5:$I$92,"&lt;0")</f>
        <v>0</v>
      </c>
      <c r="G615" s="17">
        <f t="shared" si="27"/>
        <v>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-1793626700</v>
      </c>
      <c r="E616" s="19">
        <f>SUM(E611:E615)</f>
        <v>0</v>
      </c>
      <c r="F616" s="19">
        <f>SUM(F611:F615)</f>
        <v>0</v>
      </c>
      <c r="G616" s="19">
        <f t="shared" si="27"/>
        <v>-1793626700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1893117200</v>
      </c>
      <c r="E617" s="19">
        <f>E616+E610</f>
        <v>0</v>
      </c>
      <c r="F617" s="19">
        <f>F616+F610</f>
        <v>0</v>
      </c>
      <c r="G617" s="19">
        <f t="shared" si="27"/>
        <v>1893117200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005010700401880000KD</v>
      </c>
      <c r="B620" s="11" t="str">
        <f>P29</f>
        <v>PA. Padang Sidempuan</v>
      </c>
      <c r="C620" s="12" t="str">
        <f>A620&amp;" "&amp;B620</f>
        <v>005010700401880000KD PA. Padang Sidempuan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1886000</v>
      </c>
      <c r="E623" s="25">
        <f>SUMIFS('Daftar Koreksi'!$H$5:$H$92,'Daftar Koreksi'!$D$5:$D$92,'0700'!A620,'Daftar Koreksi'!$G$5:$G$92,"Persediaan",'Daftar Koreksi'!$H$5:$H$92,"&gt;0")</f>
        <v>0</v>
      </c>
      <c r="F623" s="25">
        <f>SUMIFS('Daftar Koreksi'!$H$5:$H$92,'Daftar Koreksi'!$D$5:$D$92,'0700'!A620,'Daftar Koreksi'!$G$5:$G$92,"Persediaan",'Daftar Koreksi'!$H$5:$H$92,"&lt;0")-SUMIFS('Daftar Koreksi'!$H$5:$H$92,'Daftar Koreksi'!$D$5:$D$92,'0700'!A620,'Daftar Koreksi'!$G$5:$G$92,"Persediaan",'Daftar Koreksi'!$H$5:$H$92,"&lt;0")-SUMIFS('Daftar Koreksi'!$H$5:$H$92,'Daftar Koreksi'!$D$5:$D$92,'0700'!A620,'Daftar Koreksi'!$G$5:$G$92,"Persediaan",'Daftar Koreksi'!$H$5:$H$92,"&lt;0")</f>
        <v>0</v>
      </c>
      <c r="G623" s="17">
        <f>D623+E623-F623</f>
        <v>1886000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0</v>
      </c>
      <c r="E624" s="25">
        <f>SUMIFS('Daftar Koreksi'!$H$5:$H$92,'Daftar Koreksi'!$D$5:$D$92,'0700'!A620,'Daftar Koreksi'!$G$5:$G$92,"Tanah",'Daftar Koreksi'!$H$5:$H$92,"&gt;0")</f>
        <v>0</v>
      </c>
      <c r="F624" s="25">
        <f>SUMIFS('Daftar Koreksi'!$H$5:$H$92,'Daftar Koreksi'!$D$5:$D$92,'0700'!A620,'Daftar Koreksi'!$G$5:$G$92,"Tanah",'Daftar Koreksi'!$H$5:$H$92,"&lt;0")-SUMIFS('Daftar Koreksi'!$H$5:$H$92,'Daftar Koreksi'!$D$5:$D$92,'0700'!A620,'Daftar Koreksi'!$G$5:$G$92,"Tanah",'Daftar Koreksi'!$H$5:$H$92,"&lt;0")-SUMIFS('Daftar Koreksi'!$H$5:$H$92,'Daftar Koreksi'!$D$5:$D$92,'0700'!A620,'Daftar Koreksi'!$G$5:$G$92,"Tanah",'Daftar Koreksi'!$H$5:$H$92,"&lt;0")</f>
        <v>0</v>
      </c>
      <c r="G624" s="17">
        <f t="shared" ref="G624:G640" si="28">D624+E624-F624</f>
        <v>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1296793847</v>
      </c>
      <c r="E625" s="25">
        <f>SUMIFS('Daftar Koreksi'!$H$5:$H$92,'Daftar Koreksi'!$D$5:$D$92,'0700'!A620,'Daftar Koreksi'!$G$5:$G$92,"Peralatan dan mesin",'Daftar Koreksi'!$H$5:$H$92,"&gt;0")</f>
        <v>0</v>
      </c>
      <c r="F625" s="25">
        <f>SUMIFS('Daftar Koreksi'!$H$5:$H$92,'Daftar Koreksi'!$D$5:$D$92,'0700'!A620,'Daftar Koreksi'!$G$5:$G$92,"Peralatan dan mesin",'Daftar Koreksi'!$H$5:$H$92,"&lt;0")-SUMIFS('Daftar Koreksi'!$H$5:$H$92,'Daftar Koreksi'!$D$5:$D$92,'0700'!A620,'Daftar Koreksi'!$G$5:$G$92,"Peralatan dan mesin",'Daftar Koreksi'!$H$5:$H$92,"&lt;0")-SUMIFS('Daftar Koreksi'!$H$5:$H$92,'Daftar Koreksi'!$D$5:$D$92,'0700'!A620,'Daftar Koreksi'!$G$5:$G$92,"Peralatan dan mesin",'Daftar Koreksi'!$H$5:$H$92,"&lt;0")</f>
        <v>0</v>
      </c>
      <c r="G625" s="17">
        <f t="shared" si="28"/>
        <v>1296793847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10047303823</v>
      </c>
      <c r="E626" s="25">
        <f>SUMIFS('Daftar Koreksi'!$H$5:$H$92,'Daftar Koreksi'!$D$5:$D$92,'0700'!A620,'Daftar Koreksi'!$G$5:$G$92,"Gedung dan Bangunan",'Daftar Koreksi'!$H$5:$H$92,"&gt;0")</f>
        <v>0</v>
      </c>
      <c r="F626" s="25">
        <f>SUMIFS('Daftar Koreksi'!$H$5:$H$92,'Daftar Koreksi'!$D$5:$D$92,'0700'!A620,'Daftar Koreksi'!$G$5:$G$92,"Gedung dan Bangunan",'Daftar Koreksi'!$H$5:$H$92,"&lt;0")-SUMIFS('Daftar Koreksi'!$H$5:$H$92,'Daftar Koreksi'!$D$5:$D$92,'0700'!A620,'Daftar Koreksi'!$G$5:$G$92,"Gedung dan Bangunan",'Daftar Koreksi'!$H$5:$H$92,"&lt;0")-SUMIFS('Daftar Koreksi'!$H$5:$H$92,'Daftar Koreksi'!$D$5:$D$92,'0700'!A620,'Daftar Koreksi'!$G$5:$G$92,"Gedung dan Bangunan",'Daftar Koreksi'!$H$5:$H$92,"&lt;0")</f>
        <v>0</v>
      </c>
      <c r="G626" s="17">
        <f t="shared" si="28"/>
        <v>10047303823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Koreksi'!$D$5:$D$92,'0700'!A620,'Daftar Koreksi'!$G$5:$G$92,"Jalan Irigasi Jaringan",'Daftar Koreksi'!$H$5:$H$92,"&gt;0")</f>
        <v>0</v>
      </c>
      <c r="F627" s="25">
        <f>SUMIFS('Daftar Koreksi'!$H$5:$H$92,'Daftar Koreksi'!$D$5:$D$92,'0700'!A620,'Daftar Koreksi'!$G$5:$G$92,"Jalan Irigasi Jaringan",'Daftar Koreksi'!$H$5:$H$92,"&lt;0")-SUMIFS('Daftar Koreksi'!$H$5:$H$92,'Daftar Koreksi'!$D$5:$D$92,'0700'!A620,'Daftar Koreksi'!$G$5:$G$92,"Jalan Irigasi Jaringan",'Daftar Koreksi'!$H$5:$H$92,"&lt;0")-SUMIFS('Daftar Koreksi'!$H$5:$H$92,'Daftar Koreksi'!$D$5:$D$92,'0700'!A620,'Daftar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12814000</v>
      </c>
      <c r="E628" s="25">
        <f>SUMIFS('Daftar Koreksi'!$H$5:$H$92,'Daftar Koreksi'!$D$5:$D$92,'0700'!A620,'Daftar Koreksi'!$G$5:$G$92,"Aset Tetap Lainnya",'Daftar Koreksi'!$H$5:$H$92,"&gt;0")</f>
        <v>0</v>
      </c>
      <c r="F628" s="25">
        <f>SUMIFS('Daftar Koreksi'!$H$5:$H$92,'Daftar Koreksi'!$D$5:$D$92,'0700'!A620,'Daftar Koreksi'!$G$5:$G$92,"Aset Tetap Lainnya",'Daftar Koreksi'!$H$5:$H$92,"&lt;0")-SUMIFS('Daftar Koreksi'!$H$5:$H$92,'Daftar Koreksi'!$D$5:$D$92,'0700'!A620,'Daftar Koreksi'!$G$5:$G$92,"Aset Tetap Lainnya",'Daftar Koreksi'!$H$5:$H$92,"&lt;0")-SUMIFS('Daftar Koreksi'!$H$5:$H$92,'Daftar Koreksi'!$D$5:$D$92,'0700'!A620,'Daftar Koreksi'!$G$5:$G$92,"Aset Tetap Lainnya",'Daftar Koreksi'!$H$5:$H$92,"&lt;0")</f>
        <v>0</v>
      </c>
      <c r="G628" s="17">
        <f t="shared" si="28"/>
        <v>12814000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1321882000</v>
      </c>
      <c r="E629" s="25">
        <f>SUMIFS('Daftar Koreksi'!$H$5:$H$92,'Daftar Koreksi'!$D$5:$D$92,'0700'!A620,'Daftar Koreksi'!$G$5:$G$92,"Kontruksi Dalam Pengerjaan",'Daftar Koreksi'!$H$5:$H$92,"&gt;0")</f>
        <v>0</v>
      </c>
      <c r="F629" s="25">
        <f>SUMIFS('Daftar Koreksi'!$H$5:$H$92,'Daftar Koreksi'!$D$5:$D$92,'0700'!A620,'Daftar Koreksi'!$G$5:$G$92,"Kontruksi Dalam Pengerjaan",'Daftar Koreksi'!$H$5:$H$92,"&lt;0")-SUMIFS('Daftar Koreksi'!$H$5:$H$92,'Daftar Koreksi'!$D$5:$D$92,'0700'!A620,'Daftar Koreksi'!$G$5:$G$92,"Kontruksi Dalam Pengerjaan",'Daftar Koreksi'!$H$5:$H$92,"&lt;0")-SUMIFS('Daftar Koreksi'!$H$5:$H$92,'Daftar Koreksi'!$D$5:$D$92,'0700'!A620,'Daftar Koreksi'!$G$5:$G$92,"Kontruksi Dalam Pengerjaan",'Daftar Koreksi'!$H$5:$H$92,"&lt;0")</f>
        <v>0</v>
      </c>
      <c r="G629" s="17">
        <f t="shared" si="28"/>
        <v>1321882000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0</v>
      </c>
      <c r="E630" s="25">
        <f>SUMIFS('Daftar Koreksi'!$H$5:$H$92,'Daftar Koreksi'!$D$5:$D$92,'0700'!A620,'Daftar Koreksi'!$G$5:$G$92,"Aset Tak Berwujud",'Daftar Koreksi'!$H$5:$H$92,"&gt;0")</f>
        <v>0</v>
      </c>
      <c r="F630" s="25">
        <f>SUMIFS('Daftar Koreksi'!$H$5:$H$92,'Daftar Koreksi'!$D$5:$D$92,'0700'!A620,'Daftar Koreksi'!$G$5:$G$92,"Aset Tak Berwujud",'Daftar Koreksi'!$H$5:$H$92,"&lt;0")-SUMIFS('Daftar Koreksi'!$H$5:$H$92,'Daftar Koreksi'!$D$5:$D$92,'0700'!A620,'Daftar Koreksi'!$G$5:$G$92,"Aset Tak Berwujud",'Daftar Koreksi'!$H$5:$H$92,"&lt;0")-SUMIFS('Daftar Koreksi'!$H$5:$H$92,'Daftar Koreksi'!$D$5:$D$92,'0700'!A620,'Daftar Koreksi'!$G$5:$G$92,"Aset Tak Berwujud",'Daftar Koreksi'!$H$5:$H$92,"&lt;0")</f>
        <v>0</v>
      </c>
      <c r="G630" s="17">
        <f t="shared" si="28"/>
        <v>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21787470</v>
      </c>
      <c r="E631" s="25">
        <f>SUMIFS('Daftar Koreksi'!$H$5:$H$92,'Daftar Koreksi'!$D$5:$D$92,'0700'!A620,'Daftar Koreksi'!$G$5:$G$92,"Aset Henti Guna",'Daftar Koreksi'!$H$5:$H$92,"&gt;0")</f>
        <v>0</v>
      </c>
      <c r="F631" s="25">
        <f>SUMIFS('Daftar Koreksi'!$H$5:$H$92,'Daftar Koreksi'!$D$5:$D$92,'0700'!A620,'Daftar Koreksi'!$G$5:$G$92,"Aset Henti Guna",'Daftar Koreksi'!$H$5:$H$92,"&lt;0")-SUMIFS('Daftar Koreksi'!$H$5:$H$92,'Daftar Koreksi'!$D$5:$D$92,'0700'!A620,'Daftar Koreksi'!$G$5:$G$92,"Aset Henti Guna",'Daftar Koreksi'!$H$5:$H$92,"&lt;0")-SUMIFS('Daftar Koreksi'!$H$5:$H$92,'Daftar Koreksi'!$D$5:$D$92,'0700'!A620,'Daftar Koreksi'!$G$5:$G$92,"Aset Henti Guna",'Daftar Koreksi'!$H$5:$H$92,"&lt;0")</f>
        <v>0</v>
      </c>
      <c r="G631" s="17">
        <f t="shared" si="28"/>
        <v>21787470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12702467140</v>
      </c>
      <c r="E632" s="19">
        <f>SUM(E623:E631)</f>
        <v>0</v>
      </c>
      <c r="F632" s="19">
        <f>SUM(F623:F631)</f>
        <v>0</v>
      </c>
      <c r="G632" s="19">
        <f t="shared" si="28"/>
        <v>12702467140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-1167741522</v>
      </c>
      <c r="E633" s="25">
        <f>SUMIFS('Daftar Koreksi'!$I$5:$I$92,'Daftar Koreksi'!$D$5:$D$92,'0700'!A620,'Daftar Koreksi'!$G$5:$G$92,"Peralatan dan mesin",'Daftar Koreksi'!$I$5:$I$92,"&gt;0")</f>
        <v>0</v>
      </c>
      <c r="F633" s="25">
        <f>SUMIFS('Daftar Koreksi'!$I$5:$I$92,'Daftar Koreksi'!$D$5:$D$92,'0700'!A620,'Daftar Koreksi'!$G$5:$G$92,"Peralatan dan mesin",'Daftar Koreksi'!$I$5:$I$92,"&lt;0")-SUMIFS('Daftar Koreksi'!$I$5:$I$92,'Daftar Koreksi'!$D$5:$D$92,'0700'!A620,'Daftar Koreksi'!$G$5:$G$92,"Peralatan dan mesin",'Daftar Koreksi'!$I$5:$I$92,"&lt;0")-SUMIFS('Daftar Koreksi'!$I$5:$I$92,'Daftar Koreksi'!$D$5:$D$92,'0700'!A620,'Daftar Koreksi'!$G$5:$G$92,"Peralatan dan mesin",'Daftar Koreksi'!$I$5:$I$92,"&lt;0")</f>
        <v>0</v>
      </c>
      <c r="G633" s="17">
        <f t="shared" si="28"/>
        <v>-1167741522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-718789136</v>
      </c>
      <c r="E634" s="25">
        <f>SUMIFS('Daftar Koreksi'!$I$5:$I$92,'Daftar Koreksi'!$D$5:$D$92,'0700'!A620,'Daftar Koreksi'!$G$5:$G$92,"Gedung dan Bangunan",'Daftar Koreksi'!$I$5:$I$92,"&gt;0")</f>
        <v>0</v>
      </c>
      <c r="F634" s="25">
        <f>SUMIFS('Daftar Koreksi'!$I$5:$I$92,'Daftar Koreksi'!$D$5:$D$92,'0700'!A620,'Daftar Koreksi'!$G$5:$G$92,"Gedung dan Bangunan",'Daftar Koreksi'!$I$5:$I$92,"&lt;0")-SUMIFS('Daftar Koreksi'!$I$5:$I$92,'Daftar Koreksi'!$D$5:$D$92,'0700'!A620,'Daftar Koreksi'!$G$5:$G$92,"Gedung dan Bangunan",'Daftar Koreksi'!$I$5:$I$92,"&lt;0")-SUMIFS('Daftar Koreksi'!$I$5:$I$92,'Daftar Koreksi'!$D$5:$D$92,'0700'!A620,'Daftar Koreksi'!$G$5:$G$92,"Gedung dan Bangunan",'Daftar Koreksi'!$I$5:$I$92,"&lt;0")</f>
        <v>0</v>
      </c>
      <c r="G634" s="17">
        <f t="shared" si="28"/>
        <v>-718789136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Koreksi'!$D$5:$D$92,'0700'!A620,'Daftar Koreksi'!$G$5:$G$92,"Jalan Irigasi Jaringan",'Daftar Koreksi'!$I$5:$I$92,"&gt;0")</f>
        <v>0</v>
      </c>
      <c r="F635" s="25">
        <f>SUMIFS('Daftar Koreksi'!$I$5:$I$92,'Daftar Koreksi'!$D$5:$D$92,'0700'!A620,'Daftar Koreksi'!$G$5:$G$92,"Jalan Irigasi Jaringan",'Daftar Koreksi'!$I$5:$I$92,"&lt;0")-SUMIFS('Daftar Koreksi'!$I$5:$I$92,'Daftar Koreksi'!$D$5:$D$92,'0700'!A620,'Daftar Koreksi'!$G$5:$G$92,"Jalan Irigasi Jaringan",'Daftar Koreksi'!$I$5:$I$92,"&lt;0")-SUMIFS('Daftar Koreksi'!$I$5:$I$92,'Daftar Koreksi'!$D$5:$D$92,'0700'!A620,'Daftar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Koreksi'!$D$5:$D$92,'0700'!A620,'Daftar Koreksi'!$G$5:$G$92,"Aset Tetap Lainnya",'Daftar Koreksi'!$I$5:$I$92,"&gt;0")</f>
        <v>0</v>
      </c>
      <c r="F636" s="25">
        <f>SUMIFS('Daftar Koreksi'!$I$5:$I$92,'Daftar Koreksi'!$D$5:$D$92,'0700'!A620,'Daftar Koreksi'!$G$5:$G$92,"Aset Tetap Lainnya",'Daftar Koreksi'!$I$5:$I$92,"&lt;0")-SUMIFS('Daftar Koreksi'!$I$5:$I$92,'Daftar Koreksi'!$D$5:$D$92,'0700'!A620,'Daftar Koreksi'!$G$5:$G$92,"Aset Tetap Lainnya",'Daftar Koreksi'!$I$5:$I$92,"&lt;0")-SUMIFS('Daftar Koreksi'!$I$5:$I$92,'Daftar Koreksi'!$D$5:$D$92,'0700'!A620,'Daftar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-21787470</v>
      </c>
      <c r="E637" s="25">
        <f>SUMIFS('Daftar Koreksi'!$I$5:$I$92,'Daftar Koreksi'!$D$5:$D$92,'0700'!A620,'Daftar Koreksi'!$G$5:$G$92,"Aset Henti Guna",'Daftar Koreksi'!$I$5:$I$92,"&gt;0")</f>
        <v>0</v>
      </c>
      <c r="F637" s="25">
        <f>SUMIFS('Daftar Koreksi'!$I$5:$I$92,'Daftar Koreksi'!$D$5:$D$92,'0700'!A620,'Daftar Koreksi'!$G$5:$G$92,"Aset Henti Guna",'Daftar Koreksi'!$I$5:$I$92,"&lt;0")-SUMIFS('Daftar Koreksi'!$I$5:$I$92,'Daftar Koreksi'!$D$5:$D$92,'0700'!A620,'Daftar Koreksi'!$G$5:$G$92,"Aset Henti Guna",'Daftar Koreksi'!$I$5:$I$92,"&lt;0")-SUMIFS('Daftar Koreksi'!$I$5:$I$92,'Daftar Koreksi'!$D$5:$D$92,'0700'!A620,'Daftar Koreksi'!$G$5:$G$92,"Aset Henti Guna",'Daftar Koreksi'!$I$5:$I$92,"&lt;0")</f>
        <v>0</v>
      </c>
      <c r="G637" s="17">
        <f t="shared" si="28"/>
        <v>-21787470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-1908318128</v>
      </c>
      <c r="E638" s="19">
        <f>SUM(E633:E637)</f>
        <v>0</v>
      </c>
      <c r="F638" s="19">
        <f>SUM(F633:F637)</f>
        <v>0</v>
      </c>
      <c r="G638" s="19">
        <f t="shared" si="28"/>
        <v>-1908318128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10794149012</v>
      </c>
      <c r="E639" s="19">
        <f>E638+E632</f>
        <v>0</v>
      </c>
      <c r="F639" s="19">
        <f>F638+F632</f>
        <v>0</v>
      </c>
      <c r="G639" s="19">
        <f t="shared" si="28"/>
        <v>10794149012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005010700401896000KD</v>
      </c>
      <c r="B642" s="11" t="str">
        <f>P30</f>
        <v>PA. Gunung Sitoli</v>
      </c>
      <c r="C642" s="12" t="str">
        <f>A642&amp;" "&amp;B642</f>
        <v>005010700401896000KD PA. Gunung Sitoli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341000</v>
      </c>
      <c r="E645" s="25">
        <f>SUMIFS('Daftar Koreksi'!$H$5:$H$92,'Daftar Koreksi'!$D$5:$D$92,'0700'!A642,'Daftar Koreksi'!$G$5:$G$92,"Persediaan",'Daftar Koreksi'!$H$5:$H$92,"&gt;0")</f>
        <v>0</v>
      </c>
      <c r="F645" s="25">
        <f>SUMIFS('Daftar Koreksi'!$H$5:$H$92,'Daftar Koreksi'!$D$5:$D$92,'0700'!A642,'Daftar Koreksi'!$G$5:$G$92,"Persediaan",'Daftar Koreksi'!$H$5:$H$92,"&lt;0")-SUMIFS('Daftar Koreksi'!$H$5:$H$92,'Daftar Koreksi'!$D$5:$D$92,'0700'!A642,'Daftar Koreksi'!$G$5:$G$92,"Persediaan",'Daftar Koreksi'!$H$5:$H$92,"&lt;0")-SUMIFS('Daftar Koreksi'!$H$5:$H$92,'Daftar Koreksi'!$D$5:$D$92,'0700'!A642,'Daftar Koreksi'!$G$5:$G$92,"Persediaan",'Daftar Koreksi'!$H$5:$H$92,"&lt;0")</f>
        <v>0</v>
      </c>
      <c r="G645" s="17">
        <f>D645+E645-F645</f>
        <v>341000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2247007000</v>
      </c>
      <c r="E646" s="25">
        <f>SUMIFS('Daftar Koreksi'!$H$5:$H$92,'Daftar Koreksi'!$D$5:$D$92,'0700'!A642,'Daftar Koreksi'!$G$5:$G$92,"Tanah",'Daftar Koreksi'!$H$5:$H$92,"&gt;0")</f>
        <v>0</v>
      </c>
      <c r="F646" s="25">
        <f>SUMIFS('Daftar Koreksi'!$H$5:$H$92,'Daftar Koreksi'!$D$5:$D$92,'0700'!A642,'Daftar Koreksi'!$G$5:$G$92,"Tanah",'Daftar Koreksi'!$H$5:$H$92,"&lt;0")-SUMIFS('Daftar Koreksi'!$H$5:$H$92,'Daftar Koreksi'!$D$5:$D$92,'0700'!A642,'Daftar Koreksi'!$G$5:$G$92,"Tanah",'Daftar Koreksi'!$H$5:$H$92,"&lt;0")-SUMIFS('Daftar Koreksi'!$H$5:$H$92,'Daftar Koreksi'!$D$5:$D$92,'0700'!A642,'Daftar Koreksi'!$G$5:$G$92,"Tanah",'Daftar Koreksi'!$H$5:$H$92,"&lt;0")</f>
        <v>0</v>
      </c>
      <c r="G646" s="17">
        <f t="shared" ref="G646:G662" si="29">D646+E646-F646</f>
        <v>2247007000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1041014250</v>
      </c>
      <c r="E647" s="25">
        <f>SUMIFS('Daftar Koreksi'!$H$5:$H$92,'Daftar Koreksi'!$D$5:$D$92,'0700'!A642,'Daftar Koreksi'!$G$5:$G$92,"Peralatan dan mesin",'Daftar Koreksi'!$H$5:$H$92,"&gt;0")</f>
        <v>0</v>
      </c>
      <c r="F647" s="25">
        <f>SUMIFS('Daftar Koreksi'!$H$5:$H$92,'Daftar Koreksi'!$D$5:$D$92,'0700'!A642,'Daftar Koreksi'!$G$5:$G$92,"Peralatan dan mesin",'Daftar Koreksi'!$H$5:$H$92,"&lt;0")-SUMIFS('Daftar Koreksi'!$H$5:$H$92,'Daftar Koreksi'!$D$5:$D$92,'0700'!A642,'Daftar Koreksi'!$G$5:$G$92,"Peralatan dan mesin",'Daftar Koreksi'!$H$5:$H$92,"&lt;0")-SUMIFS('Daftar Koreksi'!$H$5:$H$92,'Daftar Koreksi'!$D$5:$D$92,'0700'!A642,'Daftar Koreksi'!$G$5:$G$92,"Peralatan dan mesin",'Daftar Koreksi'!$H$5:$H$92,"&lt;0")</f>
        <v>0</v>
      </c>
      <c r="G647" s="17">
        <f t="shared" si="29"/>
        <v>1041014250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1730178252</v>
      </c>
      <c r="E648" s="25">
        <f>SUMIFS('Daftar Koreksi'!$H$5:$H$92,'Daftar Koreksi'!$D$5:$D$92,'0700'!A642,'Daftar Koreksi'!$G$5:$G$92,"Gedung dan Bangunan",'Daftar Koreksi'!$H$5:$H$92,"&gt;0")</f>
        <v>0</v>
      </c>
      <c r="F648" s="25">
        <f>SUMIFS('Daftar Koreksi'!$H$5:$H$92,'Daftar Koreksi'!$D$5:$D$92,'0700'!A642,'Daftar Koreksi'!$G$5:$G$92,"Gedung dan Bangunan",'Daftar Koreksi'!$H$5:$H$92,"&lt;0")-SUMIFS('Daftar Koreksi'!$H$5:$H$92,'Daftar Koreksi'!$D$5:$D$92,'0700'!A642,'Daftar Koreksi'!$G$5:$G$92,"Gedung dan Bangunan",'Daftar Koreksi'!$H$5:$H$92,"&lt;0")-SUMIFS('Daftar Koreksi'!$H$5:$H$92,'Daftar Koreksi'!$D$5:$D$92,'0700'!A642,'Daftar Koreksi'!$G$5:$G$92,"Gedung dan Bangunan",'Daftar Koreksi'!$H$5:$H$92,"&lt;0")</f>
        <v>0</v>
      </c>
      <c r="G648" s="17">
        <f t="shared" si="29"/>
        <v>1730178252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98750000</v>
      </c>
      <c r="E649" s="25">
        <f>SUMIFS('Daftar Koreksi'!$H$5:$H$92,'Daftar Koreksi'!$D$5:$D$92,'0700'!A642,'Daftar Koreksi'!$G$5:$G$92,"Jalan Irigasi Jaringan",'Daftar Koreksi'!$H$5:$H$92,"&gt;0")</f>
        <v>0</v>
      </c>
      <c r="F649" s="25">
        <f>SUMIFS('Daftar Koreksi'!$H$5:$H$92,'Daftar Koreksi'!$D$5:$D$92,'0700'!A642,'Daftar Koreksi'!$G$5:$G$92,"Jalan Irigasi Jaringan",'Daftar Koreksi'!$H$5:$H$92,"&lt;0")-SUMIFS('Daftar Koreksi'!$H$5:$H$92,'Daftar Koreksi'!$D$5:$D$92,'0700'!A642,'Daftar Koreksi'!$G$5:$G$92,"Jalan Irigasi Jaringan",'Daftar Koreksi'!$H$5:$H$92,"&lt;0")-SUMIFS('Daftar Koreksi'!$H$5:$H$92,'Daftar Koreksi'!$D$5:$D$92,'0700'!A642,'Daftar Koreksi'!$G$5:$G$92,"Jalan Irigasi Jaringan",'Daftar Koreksi'!$H$5:$H$92,"&lt;0")</f>
        <v>0</v>
      </c>
      <c r="G649" s="17">
        <f t="shared" si="29"/>
        <v>98750000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413000</v>
      </c>
      <c r="E650" s="25">
        <f>SUMIFS('Daftar Koreksi'!$H$5:$H$92,'Daftar Koreksi'!$D$5:$D$92,'0700'!A642,'Daftar Koreksi'!$G$5:$G$92,"Aset Tetap Lainnya",'Daftar Koreksi'!$H$5:$H$92,"&gt;0")</f>
        <v>0</v>
      </c>
      <c r="F650" s="25">
        <f>SUMIFS('Daftar Koreksi'!$H$5:$H$92,'Daftar Koreksi'!$D$5:$D$92,'0700'!A642,'Daftar Koreksi'!$G$5:$G$92,"Aset Tetap Lainnya",'Daftar Koreksi'!$H$5:$H$92,"&lt;0")-SUMIFS('Daftar Koreksi'!$H$5:$H$92,'Daftar Koreksi'!$D$5:$D$92,'0700'!A642,'Daftar Koreksi'!$G$5:$G$92,"Aset Tetap Lainnya",'Daftar Koreksi'!$H$5:$H$92,"&lt;0")-SUMIFS('Daftar Koreksi'!$H$5:$H$92,'Daftar Koreksi'!$D$5:$D$92,'0700'!A642,'Daftar Koreksi'!$G$5:$G$92,"Aset Tetap Lainnya",'Daftar Koreksi'!$H$5:$H$92,"&lt;0")</f>
        <v>0</v>
      </c>
      <c r="G650" s="17">
        <f t="shared" si="29"/>
        <v>413000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Koreksi'!$D$5:$D$92,'0700'!A642,'Daftar Koreksi'!$G$5:$G$92,"Kontruksi Dalam Pengerjaan",'Daftar Koreksi'!$H$5:$H$92,"&gt;0")</f>
        <v>0</v>
      </c>
      <c r="F651" s="25">
        <f>SUMIFS('Daftar Koreksi'!$H$5:$H$92,'Daftar Koreksi'!$D$5:$D$92,'0700'!A642,'Daftar Koreksi'!$G$5:$G$92,"Kontruksi Dalam Pengerjaan",'Daftar Koreksi'!$H$5:$H$92,"&lt;0")-SUMIFS('Daftar Koreksi'!$H$5:$H$92,'Daftar Koreksi'!$D$5:$D$92,'0700'!A642,'Daftar Koreksi'!$G$5:$G$92,"Kontruksi Dalam Pengerjaan",'Daftar Koreksi'!$H$5:$H$92,"&lt;0")-SUMIFS('Daftar Koreksi'!$H$5:$H$92,'Daftar Koreksi'!$D$5:$D$92,'0700'!A642,'Daftar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Koreksi'!$D$5:$D$92,'0700'!A642,'Daftar Koreksi'!$G$5:$G$92,"Aset Tak Berwujud",'Daftar Koreksi'!$H$5:$H$92,"&gt;0")</f>
        <v>0</v>
      </c>
      <c r="F652" s="25">
        <f>SUMIFS('Daftar Koreksi'!$H$5:$H$92,'Daftar Koreksi'!$D$5:$D$92,'0700'!A642,'Daftar Koreksi'!$G$5:$G$92,"Aset Tak Berwujud",'Daftar Koreksi'!$H$5:$H$92,"&lt;0")-SUMIFS('Daftar Koreksi'!$H$5:$H$92,'Daftar Koreksi'!$D$5:$D$92,'0700'!A642,'Daftar Koreksi'!$G$5:$G$92,"Aset Tak Berwujud",'Daftar Koreksi'!$H$5:$H$92,"&lt;0")-SUMIFS('Daftar Koreksi'!$H$5:$H$92,'Daftar Koreksi'!$D$5:$D$92,'0700'!A642,'Daftar Koreksi'!$G$5:$G$92,"Aset Tak Berwujud",'Daftar Koreksi'!$H$5:$H$92,"&lt;0")</f>
        <v>0</v>
      </c>
      <c r="G652" s="17">
        <f t="shared" si="29"/>
        <v>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9327000</v>
      </c>
      <c r="E653" s="25">
        <f>SUMIFS('Daftar Koreksi'!$H$5:$H$92,'Daftar Koreksi'!$D$5:$D$92,'0700'!A642,'Daftar Koreksi'!$G$5:$G$92,"Aset Henti Guna",'Daftar Koreksi'!$H$5:$H$92,"&gt;0")</f>
        <v>0</v>
      </c>
      <c r="F653" s="25">
        <f>SUMIFS('Daftar Koreksi'!$H$5:$H$92,'Daftar Koreksi'!$D$5:$D$92,'0700'!A642,'Daftar Koreksi'!$G$5:$G$92,"Aset Henti Guna",'Daftar Koreksi'!$H$5:$H$92,"&lt;0")-SUMIFS('Daftar Koreksi'!$H$5:$H$92,'Daftar Koreksi'!$D$5:$D$92,'0700'!A642,'Daftar Koreksi'!$G$5:$G$92,"Aset Henti Guna",'Daftar Koreksi'!$H$5:$H$92,"&lt;0")-SUMIFS('Daftar Koreksi'!$H$5:$H$92,'Daftar Koreksi'!$D$5:$D$92,'0700'!A642,'Daftar Koreksi'!$G$5:$G$92,"Aset Henti Guna",'Daftar Koreksi'!$H$5:$H$92,"&lt;0")</f>
        <v>0</v>
      </c>
      <c r="G653" s="17">
        <f t="shared" si="29"/>
        <v>9327000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5127030502</v>
      </c>
      <c r="E654" s="19">
        <f>SUM(E645:E653)</f>
        <v>0</v>
      </c>
      <c r="F654" s="19">
        <f>SUM(F645:F653)</f>
        <v>0</v>
      </c>
      <c r="G654" s="19">
        <f t="shared" si="29"/>
        <v>5127030502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-992309250</v>
      </c>
      <c r="E655" s="25">
        <f>SUMIFS('Daftar Koreksi'!$I$5:$I$92,'Daftar Koreksi'!$D$5:$D$92,'0700'!A642,'Daftar Koreksi'!$G$5:$G$92,"Peralatan dan mesin",'Daftar Koreksi'!$I$5:$I$92,"&gt;0")</f>
        <v>0</v>
      </c>
      <c r="F655" s="25">
        <f>SUMIFS('Daftar Koreksi'!$I$5:$I$92,'Daftar Koreksi'!$D$5:$D$92,'0700'!A642,'Daftar Koreksi'!$G$5:$G$92,"Peralatan dan mesin",'Daftar Koreksi'!$I$5:$I$92,"&lt;0")-SUMIFS('Daftar Koreksi'!$I$5:$I$92,'Daftar Koreksi'!$D$5:$D$92,'0700'!A642,'Daftar Koreksi'!$G$5:$G$92,"Peralatan dan mesin",'Daftar Koreksi'!$I$5:$I$92,"&lt;0")-SUMIFS('Daftar Koreksi'!$I$5:$I$92,'Daftar Koreksi'!$D$5:$D$92,'0700'!A642,'Daftar Koreksi'!$G$5:$G$92,"Peralatan dan mesin",'Daftar Koreksi'!$I$5:$I$92,"&lt;0")</f>
        <v>0</v>
      </c>
      <c r="G655" s="17">
        <f t="shared" si="29"/>
        <v>-992309250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-387201198</v>
      </c>
      <c r="E656" s="25">
        <f>SUMIFS('Daftar Koreksi'!$I$5:$I$92,'Daftar Koreksi'!$D$5:$D$92,'0700'!A642,'Daftar Koreksi'!$G$5:$G$92,"Gedung dan Bangunan",'Daftar Koreksi'!$I$5:$I$92,"&gt;0")</f>
        <v>0</v>
      </c>
      <c r="F656" s="25">
        <f>SUMIFS('Daftar Koreksi'!$I$5:$I$92,'Daftar Koreksi'!$D$5:$D$92,'0700'!A642,'Daftar Koreksi'!$G$5:$G$92,"Gedung dan Bangunan",'Daftar Koreksi'!$I$5:$I$92,"&lt;0")-SUMIFS('Daftar Koreksi'!$I$5:$I$92,'Daftar Koreksi'!$D$5:$D$92,'0700'!A642,'Daftar Koreksi'!$G$5:$G$92,"Gedung dan Bangunan",'Daftar Koreksi'!$I$5:$I$92,"&lt;0")-SUMIFS('Daftar Koreksi'!$I$5:$I$92,'Daftar Koreksi'!$D$5:$D$92,'0700'!A642,'Daftar Koreksi'!$G$5:$G$92,"Gedung dan Bangunan",'Daftar Koreksi'!$I$5:$I$92,"&lt;0")</f>
        <v>0</v>
      </c>
      <c r="G656" s="17">
        <f t="shared" si="29"/>
        <v>-387201198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-64187500</v>
      </c>
      <c r="E657" s="25">
        <f>SUMIFS('Daftar Koreksi'!$I$5:$I$92,'Daftar Koreksi'!$D$5:$D$92,'0700'!A642,'Daftar Koreksi'!$G$5:$G$92,"Jalan Irigasi Jaringan",'Daftar Koreksi'!$I$5:$I$92,"&gt;0")</f>
        <v>0</v>
      </c>
      <c r="F657" s="25">
        <f>SUMIFS('Daftar Koreksi'!$I$5:$I$92,'Daftar Koreksi'!$D$5:$D$92,'0700'!A642,'Daftar Koreksi'!$G$5:$G$92,"Jalan Irigasi Jaringan",'Daftar Koreksi'!$I$5:$I$92,"&lt;0")-SUMIFS('Daftar Koreksi'!$I$5:$I$92,'Daftar Koreksi'!$D$5:$D$92,'0700'!A642,'Daftar Koreksi'!$G$5:$G$92,"Jalan Irigasi Jaringan",'Daftar Koreksi'!$I$5:$I$92,"&lt;0")-SUMIFS('Daftar Koreksi'!$I$5:$I$92,'Daftar Koreksi'!$D$5:$D$92,'0700'!A642,'Daftar Koreksi'!$G$5:$G$92,"Jalan Irigasi Jaringan",'Daftar Koreksi'!$I$5:$I$92,"&lt;0")</f>
        <v>0</v>
      </c>
      <c r="G657" s="17">
        <f t="shared" si="29"/>
        <v>-64187500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Koreksi'!$D$5:$D$92,'0700'!A642,'Daftar Koreksi'!$G$5:$G$92,"Aset Tetap Lainnya",'Daftar Koreksi'!$I$5:$I$92,"&gt;0")</f>
        <v>0</v>
      </c>
      <c r="F658" s="25">
        <f>SUMIFS('Daftar Koreksi'!$I$5:$I$92,'Daftar Koreksi'!$D$5:$D$92,'0700'!A642,'Daftar Koreksi'!$G$5:$G$92,"Aset Tetap Lainnya",'Daftar Koreksi'!$I$5:$I$92,"&lt;0")-SUMIFS('Daftar Koreksi'!$I$5:$I$92,'Daftar Koreksi'!$D$5:$D$92,'0700'!A642,'Daftar Koreksi'!$G$5:$G$92,"Aset Tetap Lainnya",'Daftar Koreksi'!$I$5:$I$92,"&lt;0")-SUMIFS('Daftar Koreksi'!$I$5:$I$92,'Daftar Koreksi'!$D$5:$D$92,'0700'!A642,'Daftar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-9327000</v>
      </c>
      <c r="E659" s="25">
        <f>SUMIFS('Daftar Koreksi'!$I$5:$I$92,'Daftar Koreksi'!$D$5:$D$92,'0700'!A642,'Daftar Koreksi'!$G$5:$G$92,"Aset Henti Guna",'Daftar Koreksi'!$I$5:$I$92,"&gt;0")</f>
        <v>0</v>
      </c>
      <c r="F659" s="25">
        <f>SUMIFS('Daftar Koreksi'!$I$5:$I$92,'Daftar Koreksi'!$D$5:$D$92,'0700'!A642,'Daftar Koreksi'!$G$5:$G$92,"Aset Henti Guna",'Daftar Koreksi'!$I$5:$I$92,"&lt;0")-SUMIFS('Daftar Koreksi'!$I$5:$I$92,'Daftar Koreksi'!$D$5:$D$92,'0700'!A642,'Daftar Koreksi'!$G$5:$G$92,"Aset Henti Guna",'Daftar Koreksi'!$I$5:$I$92,"&lt;0")-SUMIFS('Daftar Koreksi'!$I$5:$I$92,'Daftar Koreksi'!$D$5:$D$92,'0700'!A642,'Daftar Koreksi'!$G$5:$G$92,"Aset Henti Guna",'Daftar Koreksi'!$I$5:$I$92,"&lt;0")</f>
        <v>0</v>
      </c>
      <c r="G659" s="17">
        <f t="shared" si="29"/>
        <v>-9327000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-1453024948</v>
      </c>
      <c r="E660" s="19">
        <f>SUM(E655:E659)</f>
        <v>0</v>
      </c>
      <c r="F660" s="19">
        <f>SUM(F655:F659)</f>
        <v>0</v>
      </c>
      <c r="G660" s="19">
        <f t="shared" si="29"/>
        <v>-1453024948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3674005554</v>
      </c>
      <c r="E661" s="19">
        <f>E660+E654</f>
        <v>0</v>
      </c>
      <c r="F661" s="19">
        <f>F660+F654</f>
        <v>0</v>
      </c>
      <c r="G661" s="19">
        <f t="shared" si="29"/>
        <v>3674005554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005010700403061000KD</v>
      </c>
      <c r="B664" s="11" t="str">
        <f>P31</f>
        <v>PA. Kisaran</v>
      </c>
      <c r="C664" s="12" t="str">
        <f>A664&amp;" "&amp;B664</f>
        <v>005010700403061000KD PA. Kisaran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2787753</v>
      </c>
      <c r="E667" s="25">
        <f>SUMIFS('Daftar Koreksi'!$H$5:$H$92,'Daftar Koreksi'!$D$5:$D$92,'0700'!A664,'Daftar Koreksi'!$G$5:$G$92,"Persediaan",'Daftar Koreksi'!$H$5:$H$92,"&gt;0")</f>
        <v>0</v>
      </c>
      <c r="F667" s="25">
        <f>SUMIFS('Daftar Koreksi'!$H$5:$H$92,'Daftar Koreksi'!$D$5:$D$92,'0700'!A664,'Daftar Koreksi'!$G$5:$G$92,"Persediaan",'Daftar Koreksi'!$H$5:$H$92,"&lt;0")-SUMIFS('Daftar Koreksi'!$H$5:$H$92,'Daftar Koreksi'!$D$5:$D$92,'0700'!A664,'Daftar Koreksi'!$G$5:$G$92,"Persediaan",'Daftar Koreksi'!$H$5:$H$92,"&lt;0")-SUMIFS('Daftar Koreksi'!$H$5:$H$92,'Daftar Koreksi'!$D$5:$D$92,'0700'!A664,'Daftar Koreksi'!$G$5:$G$92,"Persediaan",'Daftar Koreksi'!$H$5:$H$92,"&lt;0")</f>
        <v>0</v>
      </c>
      <c r="G667" s="17">
        <f>D667+E667-F667</f>
        <v>2787753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2296366000</v>
      </c>
      <c r="E668" s="25">
        <f>SUMIFS('Daftar Koreksi'!$H$5:$H$92,'Daftar Koreksi'!$D$5:$D$92,'0700'!A664,'Daftar Koreksi'!$G$5:$G$92,"Tanah",'Daftar Koreksi'!$H$5:$H$92,"&gt;0")</f>
        <v>0</v>
      </c>
      <c r="F668" s="25">
        <f>SUMIFS('Daftar Koreksi'!$H$5:$H$92,'Daftar Koreksi'!$D$5:$D$92,'0700'!A664,'Daftar Koreksi'!$G$5:$G$92,"Tanah",'Daftar Koreksi'!$H$5:$H$92,"&lt;0")-SUMIFS('Daftar Koreksi'!$H$5:$H$92,'Daftar Koreksi'!$D$5:$D$92,'0700'!A664,'Daftar Koreksi'!$G$5:$G$92,"Tanah",'Daftar Koreksi'!$H$5:$H$92,"&lt;0")-SUMIFS('Daftar Koreksi'!$H$5:$H$92,'Daftar Koreksi'!$D$5:$D$92,'0700'!A664,'Daftar Koreksi'!$G$5:$G$92,"Tanah",'Daftar Koreksi'!$H$5:$H$92,"&lt;0")</f>
        <v>0</v>
      </c>
      <c r="G668" s="17">
        <f t="shared" ref="G668:G684" si="30">D668+E668-F668</f>
        <v>2296366000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1790577459</v>
      </c>
      <c r="E669" s="25">
        <f>SUMIFS('Daftar Koreksi'!$H$5:$H$92,'Daftar Koreksi'!$D$5:$D$92,'0700'!A664,'Daftar Koreksi'!$G$5:$G$92,"Peralatan dan mesin",'Daftar Koreksi'!$H$5:$H$92,"&gt;0")</f>
        <v>0</v>
      </c>
      <c r="F669" s="25">
        <f>SUMIFS('Daftar Koreksi'!$H$5:$H$92,'Daftar Koreksi'!$D$5:$D$92,'0700'!A664,'Daftar Koreksi'!$G$5:$G$92,"Peralatan dan mesin",'Daftar Koreksi'!$H$5:$H$92,"&lt;0")-SUMIFS('Daftar Koreksi'!$H$5:$H$92,'Daftar Koreksi'!$D$5:$D$92,'0700'!A664,'Daftar Koreksi'!$G$5:$G$92,"Peralatan dan mesin",'Daftar Koreksi'!$H$5:$H$92,"&lt;0")-SUMIFS('Daftar Koreksi'!$H$5:$H$92,'Daftar Koreksi'!$D$5:$D$92,'0700'!A664,'Daftar Koreksi'!$G$5:$G$92,"Peralatan dan mesin",'Daftar Koreksi'!$H$5:$H$92,"&lt;0")</f>
        <v>0</v>
      </c>
      <c r="G669" s="17">
        <f t="shared" si="30"/>
        <v>1790577459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4563104410</v>
      </c>
      <c r="E670" s="25">
        <f>SUMIFS('Daftar Koreksi'!$H$5:$H$92,'Daftar Koreksi'!$D$5:$D$92,'0700'!A664,'Daftar Koreksi'!$G$5:$G$92,"Gedung dan Bangunan",'Daftar Koreksi'!$H$5:$H$92,"&gt;0")</f>
        <v>0</v>
      </c>
      <c r="F670" s="25">
        <f>SUMIFS('Daftar Koreksi'!$H$5:$H$92,'Daftar Koreksi'!$D$5:$D$92,'0700'!A664,'Daftar Koreksi'!$G$5:$G$92,"Gedung dan Bangunan",'Daftar Koreksi'!$H$5:$H$92,"&lt;0")-SUMIFS('Daftar Koreksi'!$H$5:$H$92,'Daftar Koreksi'!$D$5:$D$92,'0700'!A664,'Daftar Koreksi'!$G$5:$G$92,"Gedung dan Bangunan",'Daftar Koreksi'!$H$5:$H$92,"&lt;0")-SUMIFS('Daftar Koreksi'!$H$5:$H$92,'Daftar Koreksi'!$D$5:$D$92,'0700'!A664,'Daftar Koreksi'!$G$5:$G$92,"Gedung dan Bangunan",'Daftar Koreksi'!$H$5:$H$92,"&lt;0")</f>
        <v>0</v>
      </c>
      <c r="G670" s="17">
        <f t="shared" si="30"/>
        <v>4563104410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61673100</v>
      </c>
      <c r="E671" s="25">
        <f>SUMIFS('Daftar Koreksi'!$H$5:$H$92,'Daftar Koreksi'!$D$5:$D$92,'0700'!A664,'Daftar Koreksi'!$G$5:$G$92,"Jalan Irigasi Jaringan",'Daftar Koreksi'!$H$5:$H$92,"&gt;0")</f>
        <v>0</v>
      </c>
      <c r="F671" s="25">
        <f>SUMIFS('Daftar Koreksi'!$H$5:$H$92,'Daftar Koreksi'!$D$5:$D$92,'0700'!A664,'Daftar Koreksi'!$G$5:$G$92,"Jalan Irigasi Jaringan",'Daftar Koreksi'!$H$5:$H$92,"&lt;0")-SUMIFS('Daftar Koreksi'!$H$5:$H$92,'Daftar Koreksi'!$D$5:$D$92,'0700'!A664,'Daftar Koreksi'!$G$5:$G$92,"Jalan Irigasi Jaringan",'Daftar Koreksi'!$H$5:$H$92,"&lt;0")-SUMIFS('Daftar Koreksi'!$H$5:$H$92,'Daftar Koreksi'!$D$5:$D$92,'0700'!A664,'Daftar Koreksi'!$G$5:$G$92,"Jalan Irigasi Jaringan",'Daftar Koreksi'!$H$5:$H$92,"&lt;0")</f>
        <v>0</v>
      </c>
      <c r="G671" s="17">
        <f t="shared" si="30"/>
        <v>61673100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66650000</v>
      </c>
      <c r="E672" s="25">
        <f>SUMIFS('Daftar Koreksi'!$H$5:$H$92,'Daftar Koreksi'!$D$5:$D$92,'0700'!A664,'Daftar Koreksi'!$G$5:$G$92,"Aset Tetap Lainnya",'Daftar Koreksi'!$H$5:$H$92,"&gt;0")</f>
        <v>0</v>
      </c>
      <c r="F672" s="25">
        <f>SUMIFS('Daftar Koreksi'!$H$5:$H$92,'Daftar Koreksi'!$D$5:$D$92,'0700'!A664,'Daftar Koreksi'!$G$5:$G$92,"Aset Tetap Lainnya",'Daftar Koreksi'!$H$5:$H$92,"&lt;0")-SUMIFS('Daftar Koreksi'!$H$5:$H$92,'Daftar Koreksi'!$D$5:$D$92,'0700'!A664,'Daftar Koreksi'!$G$5:$G$92,"Aset Tetap Lainnya",'Daftar Koreksi'!$H$5:$H$92,"&lt;0")-SUMIFS('Daftar Koreksi'!$H$5:$H$92,'Daftar Koreksi'!$D$5:$D$92,'0700'!A664,'Daftar Koreksi'!$G$5:$G$92,"Aset Tetap Lainnya",'Daftar Koreksi'!$H$5:$H$92,"&lt;0")</f>
        <v>0</v>
      </c>
      <c r="G672" s="17">
        <f t="shared" si="30"/>
        <v>66650000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Koreksi'!$D$5:$D$92,'0700'!A664,'Daftar Koreksi'!$G$5:$G$92,"Kontruksi Dalam Pengerjaan",'Daftar Koreksi'!$H$5:$H$92,"&gt;0")</f>
        <v>0</v>
      </c>
      <c r="F673" s="25">
        <f>SUMIFS('Daftar Koreksi'!$H$5:$H$92,'Daftar Koreksi'!$D$5:$D$92,'0700'!A664,'Daftar Koreksi'!$G$5:$G$92,"Kontruksi Dalam Pengerjaan",'Daftar Koreksi'!$H$5:$H$92,"&lt;0")-SUMIFS('Daftar Koreksi'!$H$5:$H$92,'Daftar Koreksi'!$D$5:$D$92,'0700'!A664,'Daftar Koreksi'!$G$5:$G$92,"Kontruksi Dalam Pengerjaan",'Daftar Koreksi'!$H$5:$H$92,"&lt;0")-SUMIFS('Daftar Koreksi'!$H$5:$H$92,'Daftar Koreksi'!$D$5:$D$92,'0700'!A664,'Daftar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0</v>
      </c>
      <c r="E674" s="25">
        <f>SUMIFS('Daftar Koreksi'!$H$5:$H$92,'Daftar Koreksi'!$D$5:$D$92,'0700'!A664,'Daftar Koreksi'!$G$5:$G$92,"Aset Tak Berwujud",'Daftar Koreksi'!$H$5:$H$92,"&gt;0")</f>
        <v>0</v>
      </c>
      <c r="F674" s="25">
        <f>SUMIFS('Daftar Koreksi'!$H$5:$H$92,'Daftar Koreksi'!$D$5:$D$92,'0700'!A664,'Daftar Koreksi'!$G$5:$G$92,"Aset Tak Berwujud",'Daftar Koreksi'!$H$5:$H$92,"&lt;0")-SUMIFS('Daftar Koreksi'!$H$5:$H$92,'Daftar Koreksi'!$D$5:$D$92,'0700'!A664,'Daftar Koreksi'!$G$5:$G$92,"Aset Tak Berwujud",'Daftar Koreksi'!$H$5:$H$92,"&lt;0")-SUMIFS('Daftar Koreksi'!$H$5:$H$92,'Daftar Koreksi'!$D$5:$D$92,'0700'!A664,'Daftar Koreksi'!$G$5:$G$92,"Aset Tak Berwujud",'Daftar Koreksi'!$H$5:$H$92,"&lt;0")</f>
        <v>0</v>
      </c>
      <c r="G674" s="17">
        <f t="shared" si="30"/>
        <v>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66278000</v>
      </c>
      <c r="E675" s="25">
        <f>SUMIFS('Daftar Koreksi'!$H$5:$H$92,'Daftar Koreksi'!$D$5:$D$92,'0700'!A664,'Daftar Koreksi'!$G$5:$G$92,"Aset Henti Guna",'Daftar Koreksi'!$H$5:$H$92,"&gt;0")</f>
        <v>0</v>
      </c>
      <c r="F675" s="25">
        <f>SUMIFS('Daftar Koreksi'!$H$5:$H$92,'Daftar Koreksi'!$D$5:$D$92,'0700'!A664,'Daftar Koreksi'!$G$5:$G$92,"Aset Henti Guna",'Daftar Koreksi'!$H$5:$H$92,"&lt;0")-SUMIFS('Daftar Koreksi'!$H$5:$H$92,'Daftar Koreksi'!$D$5:$D$92,'0700'!A664,'Daftar Koreksi'!$G$5:$G$92,"Aset Henti Guna",'Daftar Koreksi'!$H$5:$H$92,"&lt;0")-SUMIFS('Daftar Koreksi'!$H$5:$H$92,'Daftar Koreksi'!$D$5:$D$92,'0700'!A664,'Daftar Koreksi'!$G$5:$G$92,"Aset Henti Guna",'Daftar Koreksi'!$H$5:$H$92,"&lt;0")</f>
        <v>0</v>
      </c>
      <c r="G675" s="17">
        <f t="shared" si="30"/>
        <v>66278000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8847436722</v>
      </c>
      <c r="E676" s="19">
        <f>SUM(E667:E675)</f>
        <v>0</v>
      </c>
      <c r="F676" s="19">
        <f>SUM(F667:F675)</f>
        <v>0</v>
      </c>
      <c r="G676" s="19">
        <f t="shared" si="30"/>
        <v>8847436722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-1709480637</v>
      </c>
      <c r="E677" s="25">
        <f>SUMIFS('Daftar Koreksi'!$I$5:$I$92,'Daftar Koreksi'!$D$5:$D$92,'0700'!A664,'Daftar Koreksi'!$G$5:$G$92,"Peralatan dan mesin",'Daftar Koreksi'!$I$5:$I$92,"&gt;0")</f>
        <v>0</v>
      </c>
      <c r="F677" s="25">
        <f>SUMIFS('Daftar Koreksi'!$I$5:$I$92,'Daftar Koreksi'!$D$5:$D$92,'0700'!A664,'Daftar Koreksi'!$G$5:$G$92,"Peralatan dan mesin",'Daftar Koreksi'!$I$5:$I$92,"&lt;0")-SUMIFS('Daftar Koreksi'!$I$5:$I$92,'Daftar Koreksi'!$D$5:$D$92,'0700'!A664,'Daftar Koreksi'!$G$5:$G$92,"Peralatan dan mesin",'Daftar Koreksi'!$I$5:$I$92,"&lt;0")-SUMIFS('Daftar Koreksi'!$I$5:$I$92,'Daftar Koreksi'!$D$5:$D$92,'0700'!A664,'Daftar Koreksi'!$G$5:$G$92,"Peralatan dan mesin",'Daftar Koreksi'!$I$5:$I$92,"&lt;0")</f>
        <v>0</v>
      </c>
      <c r="G677" s="17">
        <f t="shared" si="30"/>
        <v>-1709480637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-924502361</v>
      </c>
      <c r="E678" s="25">
        <f>SUMIFS('Daftar Koreksi'!$I$5:$I$92,'Daftar Koreksi'!$D$5:$D$92,'0700'!A664,'Daftar Koreksi'!$G$5:$G$92,"Gedung dan Bangunan",'Daftar Koreksi'!$I$5:$I$92,"&gt;0")</f>
        <v>0</v>
      </c>
      <c r="F678" s="25">
        <f>SUMIFS('Daftar Koreksi'!$I$5:$I$92,'Daftar Koreksi'!$D$5:$D$92,'0700'!A664,'Daftar Koreksi'!$G$5:$G$92,"Gedung dan Bangunan",'Daftar Koreksi'!$I$5:$I$92,"&lt;0")-SUMIFS('Daftar Koreksi'!$I$5:$I$92,'Daftar Koreksi'!$D$5:$D$92,'0700'!A664,'Daftar Koreksi'!$G$5:$G$92,"Gedung dan Bangunan",'Daftar Koreksi'!$I$5:$I$92,"&lt;0")-SUMIFS('Daftar Koreksi'!$I$5:$I$92,'Daftar Koreksi'!$D$5:$D$92,'0700'!A664,'Daftar Koreksi'!$G$5:$G$92,"Gedung dan Bangunan",'Daftar Koreksi'!$I$5:$I$92,"&lt;0")</f>
        <v>0</v>
      </c>
      <c r="G678" s="17">
        <f t="shared" si="30"/>
        <v>-924502361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-6440009</v>
      </c>
      <c r="E679" s="25">
        <f>SUMIFS('Daftar Koreksi'!$I$5:$I$92,'Daftar Koreksi'!$D$5:$D$92,'0700'!A664,'Daftar Koreksi'!$G$5:$G$92,"Jalan Irigasi Jaringan",'Daftar Koreksi'!$I$5:$I$92,"&gt;0")</f>
        <v>0</v>
      </c>
      <c r="F679" s="25">
        <f>SUMIFS('Daftar Koreksi'!$I$5:$I$92,'Daftar Koreksi'!$D$5:$D$92,'0700'!A664,'Daftar Koreksi'!$G$5:$G$92,"Jalan Irigasi Jaringan",'Daftar Koreksi'!$I$5:$I$92,"&lt;0")-SUMIFS('Daftar Koreksi'!$I$5:$I$92,'Daftar Koreksi'!$D$5:$D$92,'0700'!A664,'Daftar Koreksi'!$G$5:$G$92,"Jalan Irigasi Jaringan",'Daftar Koreksi'!$I$5:$I$92,"&lt;0")-SUMIFS('Daftar Koreksi'!$I$5:$I$92,'Daftar Koreksi'!$D$5:$D$92,'0700'!A664,'Daftar Koreksi'!$G$5:$G$92,"Jalan Irigasi Jaringan",'Daftar Koreksi'!$I$5:$I$92,"&lt;0")</f>
        <v>0</v>
      </c>
      <c r="G679" s="17">
        <f t="shared" si="30"/>
        <v>-6440009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Koreksi'!$D$5:$D$92,'0700'!A664,'Daftar Koreksi'!$G$5:$G$92,"Aset Tetap Lainnya",'Daftar Koreksi'!$I$5:$I$92,"&gt;0")</f>
        <v>0</v>
      </c>
      <c r="F680" s="25">
        <f>SUMIFS('Daftar Koreksi'!$I$5:$I$92,'Daftar Koreksi'!$D$5:$D$92,'0700'!A664,'Daftar Koreksi'!$G$5:$G$92,"Aset Tetap Lainnya",'Daftar Koreksi'!$I$5:$I$92,"&lt;0")-SUMIFS('Daftar Koreksi'!$I$5:$I$92,'Daftar Koreksi'!$D$5:$D$92,'0700'!A664,'Daftar Koreksi'!$G$5:$G$92,"Aset Tetap Lainnya",'Daftar Koreksi'!$I$5:$I$92,"&lt;0")-SUMIFS('Daftar Koreksi'!$I$5:$I$92,'Daftar Koreksi'!$D$5:$D$92,'0700'!A664,'Daftar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-66278000</v>
      </c>
      <c r="E681" s="25">
        <f>SUMIFS('Daftar Koreksi'!$I$5:$I$92,'Daftar Koreksi'!$D$5:$D$92,'0700'!A664,'Daftar Koreksi'!$G$5:$G$92,"Aset Henti Guna",'Daftar Koreksi'!$I$5:$I$92,"&gt;0")</f>
        <v>0</v>
      </c>
      <c r="F681" s="25">
        <f>SUMIFS('Daftar Koreksi'!$I$5:$I$92,'Daftar Koreksi'!$D$5:$D$92,'0700'!A664,'Daftar Koreksi'!$G$5:$G$92,"Aset Henti Guna",'Daftar Koreksi'!$I$5:$I$92,"&lt;0")-SUMIFS('Daftar Koreksi'!$I$5:$I$92,'Daftar Koreksi'!$D$5:$D$92,'0700'!A664,'Daftar Koreksi'!$G$5:$G$92,"Aset Henti Guna",'Daftar Koreksi'!$I$5:$I$92,"&lt;0")-SUMIFS('Daftar Koreksi'!$I$5:$I$92,'Daftar Koreksi'!$D$5:$D$92,'0700'!A664,'Daftar Koreksi'!$G$5:$G$92,"Aset Henti Guna",'Daftar Koreksi'!$I$5:$I$92,"&lt;0")</f>
        <v>0</v>
      </c>
      <c r="G681" s="17">
        <f t="shared" si="30"/>
        <v>-66278000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-2706701007</v>
      </c>
      <c r="E682" s="19">
        <f>SUM(E677:E681)</f>
        <v>0</v>
      </c>
      <c r="F682" s="19">
        <f>SUM(F677:F681)</f>
        <v>0</v>
      </c>
      <c r="G682" s="19">
        <f t="shared" si="30"/>
        <v>-2706701007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6140735715</v>
      </c>
      <c r="E683" s="19">
        <f>E682+E676</f>
        <v>0</v>
      </c>
      <c r="F683" s="19">
        <f>F682+F676</f>
        <v>0</v>
      </c>
      <c r="G683" s="19">
        <f t="shared" si="30"/>
        <v>6140735715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005010700403077000KD</v>
      </c>
      <c r="B686" s="11" t="str">
        <f>P32</f>
        <v>PA. Lubuk Pakam</v>
      </c>
      <c r="C686" s="12" t="str">
        <f>A686&amp;" "&amp;B686</f>
        <v>005010700403077000KD PA. Lubuk Pakam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142515</v>
      </c>
      <c r="E689" s="25">
        <f>SUMIFS('Daftar Koreksi'!$H$5:$H$92,'Daftar Koreksi'!$D$5:$D$92,'0700'!A686,'Daftar Koreksi'!$G$5:$G$92,"Persediaan",'Daftar Koreksi'!$H$5:$H$92,"&gt;0")</f>
        <v>0</v>
      </c>
      <c r="F689" s="25">
        <f>SUMIFS('Daftar Koreksi'!$H$5:$H$92,'Daftar Koreksi'!$D$5:$D$92,'0700'!A686,'Daftar Koreksi'!$G$5:$G$92,"Persediaan",'Daftar Koreksi'!$H$5:$H$92,"&lt;0")-SUMIFS('Daftar Koreksi'!$H$5:$H$92,'Daftar Koreksi'!$D$5:$D$92,'0700'!A686,'Daftar Koreksi'!$G$5:$G$92,"Persediaan",'Daftar Koreksi'!$H$5:$H$92,"&lt;0")-SUMIFS('Daftar Koreksi'!$H$5:$H$92,'Daftar Koreksi'!$D$5:$D$92,'0700'!A686,'Daftar Koreksi'!$G$5:$G$92,"Persediaan",'Daftar Koreksi'!$H$5:$H$92,"&lt;0")</f>
        <v>0</v>
      </c>
      <c r="G689" s="17">
        <f>D689+E689-F689</f>
        <v>142515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314000000</v>
      </c>
      <c r="E690" s="25">
        <f>SUMIFS('Daftar Koreksi'!$H$5:$H$92,'Daftar Koreksi'!$D$5:$D$92,'0700'!A686,'Daftar Koreksi'!$G$5:$G$92,"Tanah",'Daftar Koreksi'!$H$5:$H$92,"&gt;0")</f>
        <v>0</v>
      </c>
      <c r="F690" s="25">
        <f>SUMIFS('Daftar Koreksi'!$H$5:$H$92,'Daftar Koreksi'!$D$5:$D$92,'0700'!A686,'Daftar Koreksi'!$G$5:$G$92,"Tanah",'Daftar Koreksi'!$H$5:$H$92,"&lt;0")-SUMIFS('Daftar Koreksi'!$H$5:$H$92,'Daftar Koreksi'!$D$5:$D$92,'0700'!A686,'Daftar Koreksi'!$G$5:$G$92,"Tanah",'Daftar Koreksi'!$H$5:$H$92,"&lt;0")-SUMIFS('Daftar Koreksi'!$H$5:$H$92,'Daftar Koreksi'!$D$5:$D$92,'0700'!A686,'Daftar Koreksi'!$G$5:$G$92,"Tanah",'Daftar Koreksi'!$H$5:$H$92,"&lt;0")</f>
        <v>0</v>
      </c>
      <c r="G690" s="17">
        <f t="shared" ref="G690:G706" si="31">D690+E690-F690</f>
        <v>314000000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876779796</v>
      </c>
      <c r="E691" s="25">
        <f>SUMIFS('Daftar Koreksi'!$H$5:$H$92,'Daftar Koreksi'!$D$5:$D$92,'0700'!A686,'Daftar Koreksi'!$G$5:$G$92,"Peralatan dan mesin",'Daftar Koreksi'!$H$5:$H$92,"&gt;0")</f>
        <v>0</v>
      </c>
      <c r="F691" s="25">
        <f>SUMIFS('Daftar Koreksi'!$H$5:$H$92,'Daftar Koreksi'!$D$5:$D$92,'0700'!A686,'Daftar Koreksi'!$G$5:$G$92,"Peralatan dan mesin",'Daftar Koreksi'!$H$5:$H$92,"&lt;0")-SUMIFS('Daftar Koreksi'!$H$5:$H$92,'Daftar Koreksi'!$D$5:$D$92,'0700'!A686,'Daftar Koreksi'!$G$5:$G$92,"Peralatan dan mesin",'Daftar Koreksi'!$H$5:$H$92,"&lt;0")-SUMIFS('Daftar Koreksi'!$H$5:$H$92,'Daftar Koreksi'!$D$5:$D$92,'0700'!A686,'Daftar Koreksi'!$G$5:$G$92,"Peralatan dan mesin",'Daftar Koreksi'!$H$5:$H$92,"&lt;0")</f>
        <v>0</v>
      </c>
      <c r="G691" s="17">
        <f t="shared" si="31"/>
        <v>876779796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5441622500</v>
      </c>
      <c r="E692" s="25">
        <f>SUMIFS('Daftar Koreksi'!$H$5:$H$92,'Daftar Koreksi'!$D$5:$D$92,'0700'!A686,'Daftar Koreksi'!$G$5:$G$92,"Gedung dan Bangunan",'Daftar Koreksi'!$H$5:$H$92,"&gt;0")</f>
        <v>0</v>
      </c>
      <c r="F692" s="25">
        <f>SUMIFS('Daftar Koreksi'!$H$5:$H$92,'Daftar Koreksi'!$D$5:$D$92,'0700'!A686,'Daftar Koreksi'!$G$5:$G$92,"Gedung dan Bangunan",'Daftar Koreksi'!$H$5:$H$92,"&lt;0")-SUMIFS('Daftar Koreksi'!$H$5:$H$92,'Daftar Koreksi'!$D$5:$D$92,'0700'!A686,'Daftar Koreksi'!$G$5:$G$92,"Gedung dan Bangunan",'Daftar Koreksi'!$H$5:$H$92,"&lt;0")-SUMIFS('Daftar Koreksi'!$H$5:$H$92,'Daftar Koreksi'!$D$5:$D$92,'0700'!A686,'Daftar Koreksi'!$G$5:$G$92,"Gedung dan Bangunan",'Daftar Koreksi'!$H$5:$H$92,"&lt;0")</f>
        <v>0</v>
      </c>
      <c r="G692" s="17">
        <f t="shared" si="31"/>
        <v>5441622500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49750000</v>
      </c>
      <c r="E693" s="25">
        <f>SUMIFS('Daftar Koreksi'!$H$5:$H$92,'Daftar Koreksi'!$D$5:$D$92,'0700'!A686,'Daftar Koreksi'!$G$5:$G$92,"Jalan Irigasi Jaringan",'Daftar Koreksi'!$H$5:$H$92,"&gt;0")</f>
        <v>0</v>
      </c>
      <c r="F693" s="25">
        <f>SUMIFS('Daftar Koreksi'!$H$5:$H$92,'Daftar Koreksi'!$D$5:$D$92,'0700'!A686,'Daftar Koreksi'!$G$5:$G$92,"Jalan Irigasi Jaringan",'Daftar Koreksi'!$H$5:$H$92,"&lt;0")-SUMIFS('Daftar Koreksi'!$H$5:$H$92,'Daftar Koreksi'!$D$5:$D$92,'0700'!A686,'Daftar Koreksi'!$G$5:$G$92,"Jalan Irigasi Jaringan",'Daftar Koreksi'!$H$5:$H$92,"&lt;0")-SUMIFS('Daftar Koreksi'!$H$5:$H$92,'Daftar Koreksi'!$D$5:$D$92,'0700'!A686,'Daftar Koreksi'!$G$5:$G$92,"Jalan Irigasi Jaringan",'Daftar Koreksi'!$H$5:$H$92,"&lt;0")</f>
        <v>0</v>
      </c>
      <c r="G693" s="17">
        <f t="shared" si="31"/>
        <v>49750000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430480</v>
      </c>
      <c r="E694" s="25">
        <f>SUMIFS('Daftar Koreksi'!$H$5:$H$92,'Daftar Koreksi'!$D$5:$D$92,'0700'!A686,'Daftar Koreksi'!$G$5:$G$92,"Aset Tetap Lainnya",'Daftar Koreksi'!$H$5:$H$92,"&gt;0")</f>
        <v>0</v>
      </c>
      <c r="F694" s="25">
        <f>SUMIFS('Daftar Koreksi'!$H$5:$H$92,'Daftar Koreksi'!$D$5:$D$92,'0700'!A686,'Daftar Koreksi'!$G$5:$G$92,"Aset Tetap Lainnya",'Daftar Koreksi'!$H$5:$H$92,"&lt;0")-SUMIFS('Daftar Koreksi'!$H$5:$H$92,'Daftar Koreksi'!$D$5:$D$92,'0700'!A686,'Daftar Koreksi'!$G$5:$G$92,"Aset Tetap Lainnya",'Daftar Koreksi'!$H$5:$H$92,"&lt;0")-SUMIFS('Daftar Koreksi'!$H$5:$H$92,'Daftar Koreksi'!$D$5:$D$92,'0700'!A686,'Daftar Koreksi'!$G$5:$G$92,"Aset Tetap Lainnya",'Daftar Koreksi'!$H$5:$H$92,"&lt;0")</f>
        <v>0</v>
      </c>
      <c r="G694" s="17">
        <f t="shared" si="31"/>
        <v>430480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Koreksi'!$D$5:$D$92,'0700'!A686,'Daftar Koreksi'!$G$5:$G$92,"Kontruksi Dalam Pengerjaan",'Daftar Koreksi'!$H$5:$H$92,"&gt;0")</f>
        <v>0</v>
      </c>
      <c r="F695" s="25">
        <f>SUMIFS('Daftar Koreksi'!$H$5:$H$92,'Daftar Koreksi'!$D$5:$D$92,'0700'!A686,'Daftar Koreksi'!$G$5:$G$92,"Kontruksi Dalam Pengerjaan",'Daftar Koreksi'!$H$5:$H$92,"&lt;0")-SUMIFS('Daftar Koreksi'!$H$5:$H$92,'Daftar Koreksi'!$D$5:$D$92,'0700'!A686,'Daftar Koreksi'!$G$5:$G$92,"Kontruksi Dalam Pengerjaan",'Daftar Koreksi'!$H$5:$H$92,"&lt;0")-SUMIFS('Daftar Koreksi'!$H$5:$H$92,'Daftar Koreksi'!$D$5:$D$92,'0700'!A686,'Daftar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Koreksi'!$D$5:$D$92,'0700'!A686,'Daftar Koreksi'!$G$5:$G$92,"Aset Tak Berwujud",'Daftar Koreksi'!$H$5:$H$92,"&gt;0")</f>
        <v>0</v>
      </c>
      <c r="F696" s="25">
        <f>SUMIFS('Daftar Koreksi'!$H$5:$H$92,'Daftar Koreksi'!$D$5:$D$92,'0700'!A686,'Daftar Koreksi'!$G$5:$G$92,"Aset Tak Berwujud",'Daftar Koreksi'!$H$5:$H$92,"&lt;0")-SUMIFS('Daftar Koreksi'!$H$5:$H$92,'Daftar Koreksi'!$D$5:$D$92,'0700'!A686,'Daftar Koreksi'!$G$5:$G$92,"Aset Tak Berwujud",'Daftar Koreksi'!$H$5:$H$92,"&lt;0")-SUMIFS('Daftar Koreksi'!$H$5:$H$92,'Daftar Koreksi'!$D$5:$D$92,'0700'!A686,'Daftar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429835391</v>
      </c>
      <c r="E697" s="25">
        <f>SUMIFS('Daftar Koreksi'!$H$5:$H$92,'Daftar Koreksi'!$D$5:$D$92,'0700'!A686,'Daftar Koreksi'!$G$5:$G$92,"Aset Henti Guna",'Daftar Koreksi'!$H$5:$H$92,"&gt;0")</f>
        <v>0</v>
      </c>
      <c r="F697" s="25">
        <f>SUMIFS('Daftar Koreksi'!$H$5:$H$92,'Daftar Koreksi'!$D$5:$D$92,'0700'!A686,'Daftar Koreksi'!$G$5:$G$92,"Aset Henti Guna",'Daftar Koreksi'!$H$5:$H$92,"&lt;0")-SUMIFS('Daftar Koreksi'!$H$5:$H$92,'Daftar Koreksi'!$D$5:$D$92,'0700'!A686,'Daftar Koreksi'!$G$5:$G$92,"Aset Henti Guna",'Daftar Koreksi'!$H$5:$H$92,"&lt;0")-SUMIFS('Daftar Koreksi'!$H$5:$H$92,'Daftar Koreksi'!$D$5:$D$92,'0700'!A686,'Daftar Koreksi'!$G$5:$G$92,"Aset Henti Guna",'Daftar Koreksi'!$H$5:$H$92,"&lt;0")</f>
        <v>0</v>
      </c>
      <c r="G697" s="17">
        <f t="shared" si="31"/>
        <v>429835391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7112560682</v>
      </c>
      <c r="E698" s="19">
        <f>SUM(E689:E697)</f>
        <v>0</v>
      </c>
      <c r="F698" s="19">
        <f>SUM(F689:F697)</f>
        <v>0</v>
      </c>
      <c r="G698" s="19">
        <f t="shared" si="31"/>
        <v>7112560682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-641385664</v>
      </c>
      <c r="E699" s="25">
        <f>SUMIFS('Daftar Koreksi'!$I$5:$I$92,'Daftar Koreksi'!$D$5:$D$92,'0700'!A686,'Daftar Koreksi'!$G$5:$G$92,"Peralatan dan mesin",'Daftar Koreksi'!$I$5:$I$92,"&gt;0")</f>
        <v>0</v>
      </c>
      <c r="F699" s="25">
        <f>SUMIFS('Daftar Koreksi'!$I$5:$I$92,'Daftar Koreksi'!$D$5:$D$92,'0700'!A686,'Daftar Koreksi'!$G$5:$G$92,"Peralatan dan mesin",'Daftar Koreksi'!$I$5:$I$92,"&lt;0")-SUMIFS('Daftar Koreksi'!$I$5:$I$92,'Daftar Koreksi'!$D$5:$D$92,'0700'!A686,'Daftar Koreksi'!$G$5:$G$92,"Peralatan dan mesin",'Daftar Koreksi'!$I$5:$I$92,"&lt;0")-SUMIFS('Daftar Koreksi'!$I$5:$I$92,'Daftar Koreksi'!$D$5:$D$92,'0700'!A686,'Daftar Koreksi'!$G$5:$G$92,"Peralatan dan mesin",'Daftar Koreksi'!$I$5:$I$92,"&lt;0")</f>
        <v>0</v>
      </c>
      <c r="G699" s="17">
        <f t="shared" si="31"/>
        <v>-641385664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-348733041</v>
      </c>
      <c r="E700" s="25">
        <f>SUMIFS('Daftar Koreksi'!$I$5:$I$92,'Daftar Koreksi'!$D$5:$D$92,'0700'!A686,'Daftar Koreksi'!$G$5:$G$92,"Gedung dan Bangunan",'Daftar Koreksi'!$I$5:$I$92,"&gt;0")</f>
        <v>0</v>
      </c>
      <c r="F700" s="25">
        <f>SUMIFS('Daftar Koreksi'!$I$5:$I$92,'Daftar Koreksi'!$D$5:$D$92,'0700'!A686,'Daftar Koreksi'!$G$5:$G$92,"Gedung dan Bangunan",'Daftar Koreksi'!$I$5:$I$92,"&lt;0")-SUMIFS('Daftar Koreksi'!$I$5:$I$92,'Daftar Koreksi'!$D$5:$D$92,'0700'!A686,'Daftar Koreksi'!$G$5:$G$92,"Gedung dan Bangunan",'Daftar Koreksi'!$I$5:$I$92,"&lt;0")-SUMIFS('Daftar Koreksi'!$I$5:$I$92,'Daftar Koreksi'!$D$5:$D$92,'0700'!A686,'Daftar Koreksi'!$G$5:$G$92,"Gedung dan Bangunan",'Daftar Koreksi'!$I$5:$I$92,"&lt;0")</f>
        <v>0</v>
      </c>
      <c r="G700" s="17">
        <f t="shared" si="31"/>
        <v>-348733041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-1243750</v>
      </c>
      <c r="E701" s="25">
        <f>SUMIFS('Daftar Koreksi'!$I$5:$I$92,'Daftar Koreksi'!$D$5:$D$92,'0700'!A686,'Daftar Koreksi'!$G$5:$G$92,"Jalan Irigasi Jaringan",'Daftar Koreksi'!$I$5:$I$92,"&gt;0")</f>
        <v>0</v>
      </c>
      <c r="F701" s="25">
        <f>SUMIFS('Daftar Koreksi'!$I$5:$I$92,'Daftar Koreksi'!$D$5:$D$92,'0700'!A686,'Daftar Koreksi'!$G$5:$G$92,"Jalan Irigasi Jaringan",'Daftar Koreksi'!$I$5:$I$92,"&lt;0")-SUMIFS('Daftar Koreksi'!$I$5:$I$92,'Daftar Koreksi'!$D$5:$D$92,'0700'!A686,'Daftar Koreksi'!$G$5:$G$92,"Jalan Irigasi Jaringan",'Daftar Koreksi'!$I$5:$I$92,"&lt;0")-SUMIFS('Daftar Koreksi'!$I$5:$I$92,'Daftar Koreksi'!$D$5:$D$92,'0700'!A686,'Daftar Koreksi'!$G$5:$G$92,"Jalan Irigasi Jaringan",'Daftar Koreksi'!$I$5:$I$92,"&lt;0")</f>
        <v>0</v>
      </c>
      <c r="G701" s="17">
        <f t="shared" si="31"/>
        <v>-1243750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Koreksi'!$D$5:$D$92,'0700'!A686,'Daftar Koreksi'!$G$5:$G$92,"Aset Tetap Lainnya",'Daftar Koreksi'!$I$5:$I$92,"&gt;0")</f>
        <v>0</v>
      </c>
      <c r="F702" s="25">
        <f>SUMIFS('Daftar Koreksi'!$I$5:$I$92,'Daftar Koreksi'!$D$5:$D$92,'0700'!A686,'Daftar Koreksi'!$G$5:$G$92,"Aset Tetap Lainnya",'Daftar Koreksi'!$I$5:$I$92,"&lt;0")-SUMIFS('Daftar Koreksi'!$I$5:$I$92,'Daftar Koreksi'!$D$5:$D$92,'0700'!A686,'Daftar Koreksi'!$G$5:$G$92,"Aset Tetap Lainnya",'Daftar Koreksi'!$I$5:$I$92,"&lt;0")-SUMIFS('Daftar Koreksi'!$I$5:$I$92,'Daftar Koreksi'!$D$5:$D$92,'0700'!A686,'Daftar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-429835391</v>
      </c>
      <c r="E703" s="25">
        <f>SUMIFS('Daftar Koreksi'!$I$5:$I$92,'Daftar Koreksi'!$D$5:$D$92,'0700'!A686,'Daftar Koreksi'!$G$5:$G$92,"Aset Henti Guna",'Daftar Koreksi'!$I$5:$I$92,"&gt;0")</f>
        <v>0</v>
      </c>
      <c r="F703" s="25">
        <f>SUMIFS('Daftar Koreksi'!$I$5:$I$92,'Daftar Koreksi'!$D$5:$D$92,'0700'!A686,'Daftar Koreksi'!$G$5:$G$92,"Aset Henti Guna",'Daftar Koreksi'!$I$5:$I$92,"&lt;0")-SUMIFS('Daftar Koreksi'!$I$5:$I$92,'Daftar Koreksi'!$D$5:$D$92,'0700'!A686,'Daftar Koreksi'!$G$5:$G$92,"Aset Henti Guna",'Daftar Koreksi'!$I$5:$I$92,"&lt;0")-SUMIFS('Daftar Koreksi'!$I$5:$I$92,'Daftar Koreksi'!$D$5:$D$92,'0700'!A686,'Daftar Koreksi'!$G$5:$G$92,"Aset Henti Guna",'Daftar Koreksi'!$I$5:$I$92,"&lt;0")</f>
        <v>0</v>
      </c>
      <c r="G703" s="17">
        <f t="shared" si="31"/>
        <v>-429835391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-1421197846</v>
      </c>
      <c r="E704" s="19">
        <f>SUM(E699:E703)</f>
        <v>0</v>
      </c>
      <c r="F704" s="19">
        <f>SUM(F699:F703)</f>
        <v>0</v>
      </c>
      <c r="G704" s="19">
        <f t="shared" si="31"/>
        <v>-1421197846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5691362836</v>
      </c>
      <c r="E705" s="19">
        <f>E704+E698</f>
        <v>0</v>
      </c>
      <c r="F705" s="19">
        <f>F704+F698</f>
        <v>0</v>
      </c>
      <c r="G705" s="19">
        <f t="shared" si="31"/>
        <v>5691362836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005010700403083000KD</v>
      </c>
      <c r="B708" s="11" t="str">
        <f>P33</f>
        <v>PA. Simalungun</v>
      </c>
      <c r="C708" s="12" t="str">
        <f>A708&amp;" "&amp;B708</f>
        <v>005010700403083000KD PA. Simalungun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443000</v>
      </c>
      <c r="E711" s="25">
        <f>SUMIFS('Daftar Koreksi'!$H$5:$H$92,'Daftar Koreksi'!$D$5:$D$92,'0700'!A708,'Daftar Koreksi'!$G$5:$G$92,"Persediaan",'Daftar Koreksi'!$H$5:$H$92,"&gt;0")</f>
        <v>0</v>
      </c>
      <c r="F711" s="25">
        <f>SUMIFS('Daftar Koreksi'!$H$5:$H$92,'Daftar Koreksi'!$D$5:$D$92,'0700'!A708,'Daftar Koreksi'!$G$5:$G$92,"Persediaan",'Daftar Koreksi'!$H$5:$H$92,"&lt;0")-SUMIFS('Daftar Koreksi'!$H$5:$H$92,'Daftar Koreksi'!$D$5:$D$92,'0700'!A708,'Daftar Koreksi'!$G$5:$G$92,"Persediaan",'Daftar Koreksi'!$H$5:$H$92,"&lt;0")-SUMIFS('Daftar Koreksi'!$H$5:$H$92,'Daftar Koreksi'!$D$5:$D$92,'0700'!A708,'Daftar Koreksi'!$G$5:$G$92,"Persediaan",'Daftar Koreksi'!$H$5:$H$92,"&lt;0")</f>
        <v>0</v>
      </c>
      <c r="G711" s="17">
        <f>D711+E711-F711</f>
        <v>443000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2485575000</v>
      </c>
      <c r="E712" s="25">
        <f>SUMIFS('Daftar Koreksi'!$H$5:$H$92,'Daftar Koreksi'!$D$5:$D$92,'0700'!A708,'Daftar Koreksi'!$G$5:$G$92,"Tanah",'Daftar Koreksi'!$H$5:$H$92,"&gt;0")</f>
        <v>0</v>
      </c>
      <c r="F712" s="25">
        <f>SUMIFS('Daftar Koreksi'!$H$5:$H$92,'Daftar Koreksi'!$D$5:$D$92,'0700'!A708,'Daftar Koreksi'!$G$5:$G$92,"Tanah",'Daftar Koreksi'!$H$5:$H$92,"&lt;0")-SUMIFS('Daftar Koreksi'!$H$5:$H$92,'Daftar Koreksi'!$D$5:$D$92,'0700'!A708,'Daftar Koreksi'!$G$5:$G$92,"Tanah",'Daftar Koreksi'!$H$5:$H$92,"&lt;0")-SUMIFS('Daftar Koreksi'!$H$5:$H$92,'Daftar Koreksi'!$D$5:$D$92,'0700'!A708,'Daftar Koreksi'!$G$5:$G$92,"Tanah",'Daftar Koreksi'!$H$5:$H$92,"&lt;0")</f>
        <v>0</v>
      </c>
      <c r="G712" s="17">
        <f t="shared" ref="G712:G728" si="32">D712+E712-F712</f>
        <v>2485575000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1313395346</v>
      </c>
      <c r="E713" s="25">
        <f>SUMIFS('Daftar Koreksi'!$H$5:$H$92,'Daftar Koreksi'!$D$5:$D$92,'0700'!A708,'Daftar Koreksi'!$G$5:$G$92,"Peralatan dan mesin",'Daftar Koreksi'!$H$5:$H$92,"&gt;0")</f>
        <v>0</v>
      </c>
      <c r="F713" s="25">
        <f>SUMIFS('Daftar Koreksi'!$H$5:$H$92,'Daftar Koreksi'!$D$5:$D$92,'0700'!A708,'Daftar Koreksi'!$G$5:$G$92,"Peralatan dan mesin",'Daftar Koreksi'!$H$5:$H$92,"&lt;0")-SUMIFS('Daftar Koreksi'!$H$5:$H$92,'Daftar Koreksi'!$D$5:$D$92,'0700'!A708,'Daftar Koreksi'!$G$5:$G$92,"Peralatan dan mesin",'Daftar Koreksi'!$H$5:$H$92,"&lt;0")-SUMIFS('Daftar Koreksi'!$H$5:$H$92,'Daftar Koreksi'!$D$5:$D$92,'0700'!A708,'Daftar Koreksi'!$G$5:$G$92,"Peralatan dan mesin",'Daftar Koreksi'!$H$5:$H$92,"&lt;0")</f>
        <v>0</v>
      </c>
      <c r="G713" s="17">
        <f t="shared" si="32"/>
        <v>1313395346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7485372000</v>
      </c>
      <c r="E714" s="25">
        <f>SUMIFS('Daftar Koreksi'!$H$5:$H$92,'Daftar Koreksi'!$D$5:$D$92,'0700'!A708,'Daftar Koreksi'!$G$5:$G$92,"Gedung dan Bangunan",'Daftar Koreksi'!$H$5:$H$92,"&gt;0")</f>
        <v>0</v>
      </c>
      <c r="F714" s="25">
        <f>SUMIFS('Daftar Koreksi'!$H$5:$H$92,'Daftar Koreksi'!$D$5:$D$92,'0700'!A708,'Daftar Koreksi'!$G$5:$G$92,"Gedung dan Bangunan",'Daftar Koreksi'!$H$5:$H$92,"&lt;0")-SUMIFS('Daftar Koreksi'!$H$5:$H$92,'Daftar Koreksi'!$D$5:$D$92,'0700'!A708,'Daftar Koreksi'!$G$5:$G$92,"Gedung dan Bangunan",'Daftar Koreksi'!$H$5:$H$92,"&lt;0")-SUMIFS('Daftar Koreksi'!$H$5:$H$92,'Daftar Koreksi'!$D$5:$D$92,'0700'!A708,'Daftar Koreksi'!$G$5:$G$92,"Gedung dan Bangunan",'Daftar Koreksi'!$H$5:$H$92,"&lt;0")</f>
        <v>0</v>
      </c>
      <c r="G714" s="17">
        <f t="shared" si="32"/>
        <v>7485372000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0</v>
      </c>
      <c r="E715" s="25">
        <f>SUMIFS('Daftar Koreksi'!$H$5:$H$92,'Daftar Koreksi'!$D$5:$D$92,'0700'!A708,'Daftar Koreksi'!$G$5:$G$92,"Jalan Irigasi Jaringan",'Daftar Koreksi'!$H$5:$H$92,"&gt;0")</f>
        <v>0</v>
      </c>
      <c r="F715" s="25">
        <f>SUMIFS('Daftar Koreksi'!$H$5:$H$92,'Daftar Koreksi'!$D$5:$D$92,'0700'!A708,'Daftar Koreksi'!$G$5:$G$92,"Jalan Irigasi Jaringan",'Daftar Koreksi'!$H$5:$H$92,"&lt;0")-SUMIFS('Daftar Koreksi'!$H$5:$H$92,'Daftar Koreksi'!$D$5:$D$92,'0700'!A708,'Daftar Koreksi'!$G$5:$G$92,"Jalan Irigasi Jaringan",'Daftar Koreksi'!$H$5:$H$92,"&lt;0")-SUMIFS('Daftar Koreksi'!$H$5:$H$92,'Daftar Koreksi'!$D$5:$D$92,'0700'!A708,'Daftar Koreksi'!$G$5:$G$92,"Jalan Irigasi Jaringan",'Daftar Koreksi'!$H$5:$H$92,"&lt;0")</f>
        <v>0</v>
      </c>
      <c r="G715" s="17">
        <f t="shared" si="32"/>
        <v>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26360000</v>
      </c>
      <c r="E716" s="25">
        <f>SUMIFS('Daftar Koreksi'!$H$5:$H$92,'Daftar Koreksi'!$D$5:$D$92,'0700'!A708,'Daftar Koreksi'!$G$5:$G$92,"Aset Tetap Lainnya",'Daftar Koreksi'!$H$5:$H$92,"&gt;0")</f>
        <v>0</v>
      </c>
      <c r="F716" s="25">
        <f>SUMIFS('Daftar Koreksi'!$H$5:$H$92,'Daftar Koreksi'!$D$5:$D$92,'0700'!A708,'Daftar Koreksi'!$G$5:$G$92,"Aset Tetap Lainnya",'Daftar Koreksi'!$H$5:$H$92,"&lt;0")-SUMIFS('Daftar Koreksi'!$H$5:$H$92,'Daftar Koreksi'!$D$5:$D$92,'0700'!A708,'Daftar Koreksi'!$G$5:$G$92,"Aset Tetap Lainnya",'Daftar Koreksi'!$H$5:$H$92,"&lt;0")-SUMIFS('Daftar Koreksi'!$H$5:$H$92,'Daftar Koreksi'!$D$5:$D$92,'0700'!A708,'Daftar Koreksi'!$G$5:$G$92,"Aset Tetap Lainnya",'Daftar Koreksi'!$H$5:$H$92,"&lt;0")</f>
        <v>0</v>
      </c>
      <c r="G716" s="17">
        <f t="shared" si="32"/>
        <v>26360000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Koreksi'!$D$5:$D$92,'0700'!A708,'Daftar Koreksi'!$G$5:$G$92,"Kontruksi Dalam Pengerjaan",'Daftar Koreksi'!$H$5:$H$92,"&gt;0")</f>
        <v>0</v>
      </c>
      <c r="F717" s="25">
        <f>SUMIFS('Daftar Koreksi'!$H$5:$H$92,'Daftar Koreksi'!$D$5:$D$92,'0700'!A708,'Daftar Koreksi'!$G$5:$G$92,"Kontruksi Dalam Pengerjaan",'Daftar Koreksi'!$H$5:$H$92,"&lt;0")-SUMIFS('Daftar Koreksi'!$H$5:$H$92,'Daftar Koreksi'!$D$5:$D$92,'0700'!A708,'Daftar Koreksi'!$G$5:$G$92,"Kontruksi Dalam Pengerjaan",'Daftar Koreksi'!$H$5:$H$92,"&lt;0")-SUMIFS('Daftar Koreksi'!$H$5:$H$92,'Daftar Koreksi'!$D$5:$D$92,'0700'!A708,'Daftar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2900000</v>
      </c>
      <c r="E718" s="25">
        <f>SUMIFS('Daftar Koreksi'!$H$5:$H$92,'Daftar Koreksi'!$D$5:$D$92,'0700'!A708,'Daftar Koreksi'!$G$5:$G$92,"Aset Tak Berwujud",'Daftar Koreksi'!$H$5:$H$92,"&gt;0")</f>
        <v>0</v>
      </c>
      <c r="F718" s="25">
        <f>SUMIFS('Daftar Koreksi'!$H$5:$H$92,'Daftar Koreksi'!$D$5:$D$92,'0700'!A708,'Daftar Koreksi'!$G$5:$G$92,"Aset Tak Berwujud",'Daftar Koreksi'!$H$5:$H$92,"&lt;0")-SUMIFS('Daftar Koreksi'!$H$5:$H$92,'Daftar Koreksi'!$D$5:$D$92,'0700'!A708,'Daftar Koreksi'!$G$5:$G$92,"Aset Tak Berwujud",'Daftar Koreksi'!$H$5:$H$92,"&lt;0")-SUMIFS('Daftar Koreksi'!$H$5:$H$92,'Daftar Koreksi'!$D$5:$D$92,'0700'!A708,'Daftar Koreksi'!$G$5:$G$92,"Aset Tak Berwujud",'Daftar Koreksi'!$H$5:$H$92,"&lt;0")</f>
        <v>0</v>
      </c>
      <c r="G718" s="17">
        <f t="shared" si="32"/>
        <v>2900000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33715000</v>
      </c>
      <c r="E719" s="25">
        <f>SUMIFS('Daftar Koreksi'!$H$5:$H$92,'Daftar Koreksi'!$D$5:$D$92,'0700'!A708,'Daftar Koreksi'!$G$5:$G$92,"Aset Henti Guna",'Daftar Koreksi'!$H$5:$H$92,"&gt;0")</f>
        <v>0</v>
      </c>
      <c r="F719" s="25">
        <f>SUMIFS('Daftar Koreksi'!$H$5:$H$92,'Daftar Koreksi'!$D$5:$D$92,'0700'!A708,'Daftar Koreksi'!$G$5:$G$92,"Aset Henti Guna",'Daftar Koreksi'!$H$5:$H$92,"&lt;0")-SUMIFS('Daftar Koreksi'!$H$5:$H$92,'Daftar Koreksi'!$D$5:$D$92,'0700'!A708,'Daftar Koreksi'!$G$5:$G$92,"Aset Henti Guna",'Daftar Koreksi'!$H$5:$H$92,"&lt;0")-SUMIFS('Daftar Koreksi'!$H$5:$H$92,'Daftar Koreksi'!$D$5:$D$92,'0700'!A708,'Daftar Koreksi'!$G$5:$G$92,"Aset Henti Guna",'Daftar Koreksi'!$H$5:$H$92,"&lt;0")</f>
        <v>0</v>
      </c>
      <c r="G719" s="17">
        <f t="shared" si="32"/>
        <v>33715000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11347760346</v>
      </c>
      <c r="E720" s="19">
        <f>SUM(E711:E719)</f>
        <v>0</v>
      </c>
      <c r="F720" s="19">
        <f>SUM(F711:F719)</f>
        <v>0</v>
      </c>
      <c r="G720" s="19">
        <f t="shared" si="32"/>
        <v>11347760346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-1091263118</v>
      </c>
      <c r="E721" s="25">
        <f>SUMIFS('Daftar Koreksi'!$I$5:$I$92,'Daftar Koreksi'!$D$5:$D$92,'0700'!A708,'Daftar Koreksi'!$G$5:$G$92,"Peralatan dan mesin",'Daftar Koreksi'!$I$5:$I$92,"&gt;0")</f>
        <v>0</v>
      </c>
      <c r="F721" s="25">
        <f>SUMIFS('Daftar Koreksi'!$I$5:$I$92,'Daftar Koreksi'!$D$5:$D$92,'0700'!A708,'Daftar Koreksi'!$G$5:$G$92,"Peralatan dan mesin",'Daftar Koreksi'!$I$5:$I$92,"&lt;0")-SUMIFS('Daftar Koreksi'!$I$5:$I$92,'Daftar Koreksi'!$D$5:$D$92,'0700'!A708,'Daftar Koreksi'!$G$5:$G$92,"Peralatan dan mesin",'Daftar Koreksi'!$I$5:$I$92,"&lt;0")-SUMIFS('Daftar Koreksi'!$I$5:$I$92,'Daftar Koreksi'!$D$5:$D$92,'0700'!A708,'Daftar Koreksi'!$G$5:$G$92,"Peralatan dan mesin",'Daftar Koreksi'!$I$5:$I$92,"&lt;0")</f>
        <v>0</v>
      </c>
      <c r="G721" s="17">
        <f t="shared" si="32"/>
        <v>-1091263118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-550081170</v>
      </c>
      <c r="E722" s="25">
        <f>SUMIFS('Daftar Koreksi'!$I$5:$I$92,'Daftar Koreksi'!$D$5:$D$92,'0700'!A708,'Daftar Koreksi'!$G$5:$G$92,"Gedung dan Bangunan",'Daftar Koreksi'!$I$5:$I$92,"&gt;0")</f>
        <v>0</v>
      </c>
      <c r="F722" s="25">
        <f>SUMIFS('Daftar Koreksi'!$I$5:$I$92,'Daftar Koreksi'!$D$5:$D$92,'0700'!A708,'Daftar Koreksi'!$G$5:$G$92,"Gedung dan Bangunan",'Daftar Koreksi'!$I$5:$I$92,"&lt;0")-SUMIFS('Daftar Koreksi'!$I$5:$I$92,'Daftar Koreksi'!$D$5:$D$92,'0700'!A708,'Daftar Koreksi'!$G$5:$G$92,"Gedung dan Bangunan",'Daftar Koreksi'!$I$5:$I$92,"&lt;0")-SUMIFS('Daftar Koreksi'!$I$5:$I$92,'Daftar Koreksi'!$D$5:$D$92,'0700'!A708,'Daftar Koreksi'!$G$5:$G$92,"Gedung dan Bangunan",'Daftar Koreksi'!$I$5:$I$92,"&lt;0")</f>
        <v>0</v>
      </c>
      <c r="G722" s="17">
        <f t="shared" si="32"/>
        <v>-550081170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0</v>
      </c>
      <c r="E723" s="25">
        <f>SUMIFS('Daftar Koreksi'!$I$5:$I$92,'Daftar Koreksi'!$D$5:$D$92,'0700'!A708,'Daftar Koreksi'!$G$5:$G$92,"Jalan Irigasi Jaringan",'Daftar Koreksi'!$I$5:$I$92,"&gt;0")</f>
        <v>0</v>
      </c>
      <c r="F723" s="25">
        <f>SUMIFS('Daftar Koreksi'!$I$5:$I$92,'Daftar Koreksi'!$D$5:$D$92,'0700'!A708,'Daftar Koreksi'!$G$5:$G$92,"Jalan Irigasi Jaringan",'Daftar Koreksi'!$I$5:$I$92,"&lt;0")-SUMIFS('Daftar Koreksi'!$I$5:$I$92,'Daftar Koreksi'!$D$5:$D$92,'0700'!A708,'Daftar Koreksi'!$G$5:$G$92,"Jalan Irigasi Jaringan",'Daftar Koreksi'!$I$5:$I$92,"&lt;0")-SUMIFS('Daftar Koreksi'!$I$5:$I$92,'Daftar Koreksi'!$D$5:$D$92,'0700'!A708,'Daftar Koreksi'!$G$5:$G$92,"Jalan Irigasi Jaringan",'Daftar Koreksi'!$I$5:$I$92,"&lt;0")</f>
        <v>0</v>
      </c>
      <c r="G723" s="17">
        <f t="shared" si="32"/>
        <v>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Koreksi'!$D$5:$D$92,'0700'!A708,'Daftar Koreksi'!$G$5:$G$92,"Aset Tetap Lainnya",'Daftar Koreksi'!$I$5:$I$92,"&gt;0")</f>
        <v>0</v>
      </c>
      <c r="F724" s="25">
        <f>SUMIFS('Daftar Koreksi'!$I$5:$I$92,'Daftar Koreksi'!$D$5:$D$92,'0700'!A708,'Daftar Koreksi'!$G$5:$G$92,"Aset Tetap Lainnya",'Daftar Koreksi'!$I$5:$I$92,"&lt;0")-SUMIFS('Daftar Koreksi'!$I$5:$I$92,'Daftar Koreksi'!$D$5:$D$92,'0700'!A708,'Daftar Koreksi'!$G$5:$G$92,"Aset Tetap Lainnya",'Daftar Koreksi'!$I$5:$I$92,"&lt;0")-SUMIFS('Daftar Koreksi'!$I$5:$I$92,'Daftar Koreksi'!$D$5:$D$92,'0700'!A708,'Daftar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-33260000</v>
      </c>
      <c r="E725" s="25">
        <f>SUMIFS('Daftar Koreksi'!$I$5:$I$92,'Daftar Koreksi'!$D$5:$D$92,'0700'!A708,'Daftar Koreksi'!$G$5:$G$92,"Aset Henti Guna",'Daftar Koreksi'!$I$5:$I$92,"&gt;0")</f>
        <v>0</v>
      </c>
      <c r="F725" s="25">
        <f>SUMIFS('Daftar Koreksi'!$I$5:$I$92,'Daftar Koreksi'!$D$5:$D$92,'0700'!A708,'Daftar Koreksi'!$G$5:$G$92,"Aset Henti Guna",'Daftar Koreksi'!$I$5:$I$92,"&lt;0")-SUMIFS('Daftar Koreksi'!$I$5:$I$92,'Daftar Koreksi'!$D$5:$D$92,'0700'!A708,'Daftar Koreksi'!$G$5:$G$92,"Aset Henti Guna",'Daftar Koreksi'!$I$5:$I$92,"&lt;0")-SUMIFS('Daftar Koreksi'!$I$5:$I$92,'Daftar Koreksi'!$D$5:$D$92,'0700'!A708,'Daftar Koreksi'!$G$5:$G$92,"Aset Henti Guna",'Daftar Koreksi'!$I$5:$I$92,"&lt;0")</f>
        <v>0</v>
      </c>
      <c r="G725" s="17">
        <f t="shared" si="32"/>
        <v>-33260000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-1674604288</v>
      </c>
      <c r="E726" s="19">
        <f>SUM(E721:E725)</f>
        <v>0</v>
      </c>
      <c r="F726" s="19">
        <f>SUM(F721:F725)</f>
        <v>0</v>
      </c>
      <c r="G726" s="19">
        <f t="shared" si="32"/>
        <v>-1674604288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9673156058</v>
      </c>
      <c r="E727" s="19">
        <f>E726+E720</f>
        <v>0</v>
      </c>
      <c r="F727" s="19">
        <f>F726+F720</f>
        <v>0</v>
      </c>
      <c r="G727" s="19">
        <f t="shared" si="32"/>
        <v>9673156058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005010700477399000KD</v>
      </c>
      <c r="B730" s="11" t="str">
        <f>P34</f>
        <v>PN. Mandailing Natal</v>
      </c>
      <c r="C730" s="12" t="str">
        <f>A730&amp;" "&amp;B730</f>
        <v>005010700477399000KD PN. Mandailing Natal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0</v>
      </c>
      <c r="E733" s="25">
        <f>SUMIFS('Daftar Koreksi'!$H$5:$H$92,'Daftar Koreksi'!$D$5:$D$92,'0700'!A730,'Daftar Koreksi'!$G$5:$G$92,"Persediaan",'Daftar Koreksi'!$H$5:$H$92,"&gt;0")</f>
        <v>0</v>
      </c>
      <c r="F733" s="25">
        <f>SUMIFS('Daftar Koreksi'!$H$5:$H$92,'Daftar Koreksi'!$D$5:$D$92,'0700'!A730,'Daftar Koreksi'!$G$5:$G$92,"Persediaan",'Daftar Koreksi'!$H$5:$H$92,"&lt;0")-SUMIFS('Daftar Koreksi'!$H$5:$H$92,'Daftar Koreksi'!$D$5:$D$92,'0700'!A730,'Daftar Koreksi'!$G$5:$G$92,"Persediaan",'Daftar Koreksi'!$H$5:$H$92,"&lt;0")-SUMIFS('Daftar Koreksi'!$H$5:$H$92,'Daftar Koreksi'!$D$5:$D$92,'0700'!A730,'Daftar Koreksi'!$G$5:$G$92,"Persediaan",'Daftar Koreksi'!$H$5:$H$92,"&lt;0")</f>
        <v>0</v>
      </c>
      <c r="G733" s="17">
        <f>D733+E733-F733</f>
        <v>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302300000</v>
      </c>
      <c r="E734" s="25">
        <f>SUMIFS('Daftar Koreksi'!$H$5:$H$92,'Daftar Koreksi'!$D$5:$D$92,'0700'!A730,'Daftar Koreksi'!$G$5:$G$92,"Tanah",'Daftar Koreksi'!$H$5:$H$92,"&gt;0")</f>
        <v>0</v>
      </c>
      <c r="F734" s="25">
        <f>SUMIFS('Daftar Koreksi'!$H$5:$H$92,'Daftar Koreksi'!$D$5:$D$92,'0700'!A730,'Daftar Koreksi'!$G$5:$G$92,"Tanah",'Daftar Koreksi'!$H$5:$H$92,"&lt;0")-SUMIFS('Daftar Koreksi'!$H$5:$H$92,'Daftar Koreksi'!$D$5:$D$92,'0700'!A730,'Daftar Koreksi'!$G$5:$G$92,"Tanah",'Daftar Koreksi'!$H$5:$H$92,"&lt;0")-SUMIFS('Daftar Koreksi'!$H$5:$H$92,'Daftar Koreksi'!$D$5:$D$92,'0700'!A730,'Daftar Koreksi'!$G$5:$G$92,"Tanah",'Daftar Koreksi'!$H$5:$H$92,"&lt;0")</f>
        <v>0</v>
      </c>
      <c r="G734" s="17">
        <f t="shared" ref="G734:G750" si="33">D734+E734-F734</f>
        <v>302300000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1435546368</v>
      </c>
      <c r="E735" s="25">
        <f>SUMIFS('Daftar Koreksi'!$H$5:$H$92,'Daftar Koreksi'!$D$5:$D$92,'0700'!A730,'Daftar Koreksi'!$G$5:$G$92,"Peralatan dan mesin",'Daftar Koreksi'!$H$5:$H$92,"&gt;0")</f>
        <v>0</v>
      </c>
      <c r="F735" s="25">
        <f>SUMIFS('Daftar Koreksi'!$H$5:$H$92,'Daftar Koreksi'!$D$5:$D$92,'0700'!A730,'Daftar Koreksi'!$G$5:$G$92,"Peralatan dan mesin",'Daftar Koreksi'!$H$5:$H$92,"&lt;0")-SUMIFS('Daftar Koreksi'!$H$5:$H$92,'Daftar Koreksi'!$D$5:$D$92,'0700'!A730,'Daftar Koreksi'!$G$5:$G$92,"Peralatan dan mesin",'Daftar Koreksi'!$H$5:$H$92,"&lt;0")-SUMIFS('Daftar Koreksi'!$H$5:$H$92,'Daftar Koreksi'!$D$5:$D$92,'0700'!A730,'Daftar Koreksi'!$G$5:$G$92,"Peralatan dan mesin",'Daftar Koreksi'!$H$5:$H$92,"&lt;0")</f>
        <v>0</v>
      </c>
      <c r="G735" s="17">
        <f t="shared" si="33"/>
        <v>1435546368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6581041851</v>
      </c>
      <c r="E736" s="25">
        <f>SUMIFS('Daftar Koreksi'!$H$5:$H$92,'Daftar Koreksi'!$D$5:$D$92,'0700'!A730,'Daftar Koreksi'!$G$5:$G$92,"Gedung dan Bangunan",'Daftar Koreksi'!$H$5:$H$92,"&gt;0")</f>
        <v>0</v>
      </c>
      <c r="F736" s="25">
        <f>SUMIFS('Daftar Koreksi'!$H$5:$H$92,'Daftar Koreksi'!$D$5:$D$92,'0700'!A730,'Daftar Koreksi'!$G$5:$G$92,"Gedung dan Bangunan",'Daftar Koreksi'!$H$5:$H$92,"&lt;0")-SUMIFS('Daftar Koreksi'!$H$5:$H$92,'Daftar Koreksi'!$D$5:$D$92,'0700'!A730,'Daftar Koreksi'!$G$5:$G$92,"Gedung dan Bangunan",'Daftar Koreksi'!$H$5:$H$92,"&lt;0")-SUMIFS('Daftar Koreksi'!$H$5:$H$92,'Daftar Koreksi'!$D$5:$D$92,'0700'!A730,'Daftar Koreksi'!$G$5:$G$92,"Gedung dan Bangunan",'Daftar Koreksi'!$H$5:$H$92,"&lt;0")</f>
        <v>0</v>
      </c>
      <c r="G736" s="17">
        <f t="shared" si="33"/>
        <v>6581041851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0</v>
      </c>
      <c r="E737" s="25">
        <f>SUMIFS('Daftar Koreksi'!$H$5:$H$92,'Daftar Koreksi'!$D$5:$D$92,'0700'!A730,'Daftar Koreksi'!$G$5:$G$92,"Jalan Irigasi Jaringan",'Daftar Koreksi'!$H$5:$H$92,"&gt;0")</f>
        <v>0</v>
      </c>
      <c r="F737" s="25">
        <f>SUMIFS('Daftar Koreksi'!$H$5:$H$92,'Daftar Koreksi'!$D$5:$D$92,'0700'!A730,'Daftar Koreksi'!$G$5:$G$92,"Jalan Irigasi Jaringan",'Daftar Koreksi'!$H$5:$H$92,"&lt;0")-SUMIFS('Daftar Koreksi'!$H$5:$H$92,'Daftar Koreksi'!$D$5:$D$92,'0700'!A730,'Daftar Koreksi'!$G$5:$G$92,"Jalan Irigasi Jaringan",'Daftar Koreksi'!$H$5:$H$92,"&lt;0")-SUMIFS('Daftar Koreksi'!$H$5:$H$92,'Daftar Koreksi'!$D$5:$D$92,'0700'!A730,'Daftar Koreksi'!$G$5:$G$92,"Jalan Irigasi Jaringan",'Daftar Koreksi'!$H$5:$H$92,"&lt;0")</f>
        <v>0</v>
      </c>
      <c r="G737" s="17">
        <f t="shared" si="33"/>
        <v>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2993440</v>
      </c>
      <c r="E738" s="25">
        <f>SUMIFS('Daftar Koreksi'!$H$5:$H$92,'Daftar Koreksi'!$D$5:$D$92,'0700'!A730,'Daftar Koreksi'!$G$5:$G$92,"Aset Tetap Lainnya",'Daftar Koreksi'!$H$5:$H$92,"&gt;0")</f>
        <v>0</v>
      </c>
      <c r="F738" s="25">
        <f>SUMIFS('Daftar Koreksi'!$H$5:$H$92,'Daftar Koreksi'!$D$5:$D$92,'0700'!A730,'Daftar Koreksi'!$G$5:$G$92,"Aset Tetap Lainnya",'Daftar Koreksi'!$H$5:$H$92,"&lt;0")-SUMIFS('Daftar Koreksi'!$H$5:$H$92,'Daftar Koreksi'!$D$5:$D$92,'0700'!A730,'Daftar Koreksi'!$G$5:$G$92,"Aset Tetap Lainnya",'Daftar Koreksi'!$H$5:$H$92,"&lt;0")-SUMIFS('Daftar Koreksi'!$H$5:$H$92,'Daftar Koreksi'!$D$5:$D$92,'0700'!A730,'Daftar Koreksi'!$G$5:$G$92,"Aset Tetap Lainnya",'Daftar Koreksi'!$H$5:$H$92,"&lt;0")</f>
        <v>0</v>
      </c>
      <c r="G738" s="17">
        <f t="shared" si="33"/>
        <v>2993440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Koreksi'!$D$5:$D$92,'0700'!A730,'Daftar Koreksi'!$G$5:$G$92,"Kontruksi Dalam Pengerjaan",'Daftar Koreksi'!$H$5:$H$92,"&gt;0")</f>
        <v>0</v>
      </c>
      <c r="F739" s="25">
        <f>SUMIFS('Daftar Koreksi'!$H$5:$H$92,'Daftar Koreksi'!$D$5:$D$92,'0700'!A730,'Daftar Koreksi'!$G$5:$G$92,"Kontruksi Dalam Pengerjaan",'Daftar Koreksi'!$H$5:$H$92,"&lt;0")-SUMIFS('Daftar Koreksi'!$H$5:$H$92,'Daftar Koreksi'!$D$5:$D$92,'0700'!A730,'Daftar Koreksi'!$G$5:$G$92,"Kontruksi Dalam Pengerjaan",'Daftar Koreksi'!$H$5:$H$92,"&lt;0")-SUMIFS('Daftar Koreksi'!$H$5:$H$92,'Daftar Koreksi'!$D$5:$D$92,'0700'!A730,'Daftar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0</v>
      </c>
      <c r="E740" s="25">
        <f>SUMIFS('Daftar Koreksi'!$H$5:$H$92,'Daftar Koreksi'!$D$5:$D$92,'0700'!A730,'Daftar Koreksi'!$G$5:$G$92,"Aset Tak Berwujud",'Daftar Koreksi'!$H$5:$H$92,"&gt;0")</f>
        <v>0</v>
      </c>
      <c r="F740" s="25">
        <f>SUMIFS('Daftar Koreksi'!$H$5:$H$92,'Daftar Koreksi'!$D$5:$D$92,'0700'!A730,'Daftar Koreksi'!$G$5:$G$92,"Aset Tak Berwujud",'Daftar Koreksi'!$H$5:$H$92,"&lt;0")-SUMIFS('Daftar Koreksi'!$H$5:$H$92,'Daftar Koreksi'!$D$5:$D$92,'0700'!A730,'Daftar Koreksi'!$G$5:$G$92,"Aset Tak Berwujud",'Daftar Koreksi'!$H$5:$H$92,"&lt;0")-SUMIFS('Daftar Koreksi'!$H$5:$H$92,'Daftar Koreksi'!$D$5:$D$92,'0700'!A730,'Daftar Koreksi'!$G$5:$G$92,"Aset Tak Berwujud",'Daftar Koreksi'!$H$5:$H$92,"&lt;0")</f>
        <v>0</v>
      </c>
      <c r="G740" s="17">
        <f t="shared" si="33"/>
        <v>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0</v>
      </c>
      <c r="E741" s="25">
        <f>SUMIFS('Daftar Koreksi'!$H$5:$H$92,'Daftar Koreksi'!$D$5:$D$92,'0700'!A730,'Daftar Koreksi'!$G$5:$G$92,"Aset Henti Guna",'Daftar Koreksi'!$H$5:$H$92,"&gt;0")</f>
        <v>0</v>
      </c>
      <c r="F741" s="25">
        <f>SUMIFS('Daftar Koreksi'!$H$5:$H$92,'Daftar Koreksi'!$D$5:$D$92,'0700'!A730,'Daftar Koreksi'!$G$5:$G$92,"Aset Henti Guna",'Daftar Koreksi'!$H$5:$H$92,"&lt;0")-SUMIFS('Daftar Koreksi'!$H$5:$H$92,'Daftar Koreksi'!$D$5:$D$92,'0700'!A730,'Daftar Koreksi'!$G$5:$G$92,"Aset Henti Guna",'Daftar Koreksi'!$H$5:$H$92,"&lt;0")-SUMIFS('Daftar Koreksi'!$H$5:$H$92,'Daftar Koreksi'!$D$5:$D$92,'0700'!A730,'Daftar Koreksi'!$G$5:$G$92,"Aset Henti Guna",'Daftar Koreksi'!$H$5:$H$92,"&lt;0")</f>
        <v>0</v>
      </c>
      <c r="G741" s="17">
        <f t="shared" si="33"/>
        <v>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8321881659</v>
      </c>
      <c r="E742" s="19">
        <f>SUM(E733:E741)</f>
        <v>0</v>
      </c>
      <c r="F742" s="19">
        <f>SUM(F733:F741)</f>
        <v>0</v>
      </c>
      <c r="G742" s="19">
        <f t="shared" si="33"/>
        <v>8321881659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-1360529278</v>
      </c>
      <c r="E743" s="25">
        <f>SUMIFS('Daftar Koreksi'!$I$5:$I$92,'Daftar Koreksi'!$D$5:$D$92,'0700'!A730,'Daftar Koreksi'!$G$5:$G$92,"Peralatan dan mesin",'Daftar Koreksi'!$I$5:$I$92,"&gt;0")</f>
        <v>0</v>
      </c>
      <c r="F743" s="25">
        <f>SUMIFS('Daftar Koreksi'!$I$5:$I$92,'Daftar Koreksi'!$D$5:$D$92,'0700'!A730,'Daftar Koreksi'!$G$5:$G$92,"Peralatan dan mesin",'Daftar Koreksi'!$I$5:$I$92,"&lt;0")-SUMIFS('Daftar Koreksi'!$I$5:$I$92,'Daftar Koreksi'!$D$5:$D$92,'0700'!A730,'Daftar Koreksi'!$G$5:$G$92,"Peralatan dan mesin",'Daftar Koreksi'!$I$5:$I$92,"&lt;0")-SUMIFS('Daftar Koreksi'!$I$5:$I$92,'Daftar Koreksi'!$D$5:$D$92,'0700'!A730,'Daftar Koreksi'!$G$5:$G$92,"Peralatan dan mesin",'Daftar Koreksi'!$I$5:$I$92,"&lt;0")</f>
        <v>0</v>
      </c>
      <c r="G743" s="17">
        <f t="shared" si="33"/>
        <v>-1360529278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-995447045</v>
      </c>
      <c r="E744" s="25">
        <f>SUMIFS('Daftar Koreksi'!$I$5:$I$92,'Daftar Koreksi'!$D$5:$D$92,'0700'!A730,'Daftar Koreksi'!$G$5:$G$92,"Gedung dan Bangunan",'Daftar Koreksi'!$I$5:$I$92,"&gt;0")</f>
        <v>0</v>
      </c>
      <c r="F744" s="25">
        <f>SUMIFS('Daftar Koreksi'!$I$5:$I$92,'Daftar Koreksi'!$D$5:$D$92,'0700'!A730,'Daftar Koreksi'!$G$5:$G$92,"Gedung dan Bangunan",'Daftar Koreksi'!$I$5:$I$92,"&lt;0")-SUMIFS('Daftar Koreksi'!$I$5:$I$92,'Daftar Koreksi'!$D$5:$D$92,'0700'!A730,'Daftar Koreksi'!$G$5:$G$92,"Gedung dan Bangunan",'Daftar Koreksi'!$I$5:$I$92,"&lt;0")-SUMIFS('Daftar Koreksi'!$I$5:$I$92,'Daftar Koreksi'!$D$5:$D$92,'0700'!A730,'Daftar Koreksi'!$G$5:$G$92,"Gedung dan Bangunan",'Daftar Koreksi'!$I$5:$I$92,"&lt;0")</f>
        <v>0</v>
      </c>
      <c r="G744" s="17">
        <f t="shared" si="33"/>
        <v>-995447045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0</v>
      </c>
      <c r="E745" s="25">
        <f>SUMIFS('Daftar Koreksi'!$I$5:$I$92,'Daftar Koreksi'!$D$5:$D$92,'0700'!A730,'Daftar Koreksi'!$G$5:$G$92,"Jalan Irigasi Jaringan",'Daftar Koreksi'!$I$5:$I$92,"&gt;0")</f>
        <v>0</v>
      </c>
      <c r="F745" s="25">
        <f>SUMIFS('Daftar Koreksi'!$I$5:$I$92,'Daftar Koreksi'!$D$5:$D$92,'0700'!A730,'Daftar Koreksi'!$G$5:$G$92,"Jalan Irigasi Jaringan",'Daftar Koreksi'!$I$5:$I$92,"&lt;0")-SUMIFS('Daftar Koreksi'!$I$5:$I$92,'Daftar Koreksi'!$D$5:$D$92,'0700'!A730,'Daftar Koreksi'!$G$5:$G$92,"Jalan Irigasi Jaringan",'Daftar Koreksi'!$I$5:$I$92,"&lt;0")-SUMIFS('Daftar Koreksi'!$I$5:$I$92,'Daftar Koreksi'!$D$5:$D$92,'0700'!A730,'Daftar Koreksi'!$G$5:$G$92,"Jalan Irigasi Jaringan",'Daftar Koreksi'!$I$5:$I$92,"&lt;0")</f>
        <v>0</v>
      </c>
      <c r="G745" s="17">
        <f t="shared" si="33"/>
        <v>0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Koreksi'!$D$5:$D$92,'0700'!A730,'Daftar Koreksi'!$G$5:$G$92,"Aset Tetap Lainnya",'Daftar Koreksi'!$I$5:$I$92,"&gt;0")</f>
        <v>0</v>
      </c>
      <c r="F746" s="25">
        <f>SUMIFS('Daftar Koreksi'!$I$5:$I$92,'Daftar Koreksi'!$D$5:$D$92,'0700'!A730,'Daftar Koreksi'!$G$5:$G$92,"Aset Tetap Lainnya",'Daftar Koreksi'!$I$5:$I$92,"&lt;0")-SUMIFS('Daftar Koreksi'!$I$5:$I$92,'Daftar Koreksi'!$D$5:$D$92,'0700'!A730,'Daftar Koreksi'!$G$5:$G$92,"Aset Tetap Lainnya",'Daftar Koreksi'!$I$5:$I$92,"&lt;0")-SUMIFS('Daftar Koreksi'!$I$5:$I$92,'Daftar Koreksi'!$D$5:$D$92,'0700'!A730,'Daftar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0</v>
      </c>
      <c r="E747" s="25">
        <f>SUMIFS('Daftar Koreksi'!$I$5:$I$92,'Daftar Koreksi'!$D$5:$D$92,'0700'!A730,'Daftar Koreksi'!$G$5:$G$92,"Aset Henti Guna",'Daftar Koreksi'!$I$5:$I$92,"&gt;0")</f>
        <v>0</v>
      </c>
      <c r="F747" s="25">
        <f>SUMIFS('Daftar Koreksi'!$I$5:$I$92,'Daftar Koreksi'!$D$5:$D$92,'0700'!A730,'Daftar Koreksi'!$G$5:$G$92,"Aset Henti Guna",'Daftar Koreksi'!$I$5:$I$92,"&lt;0")-SUMIFS('Daftar Koreksi'!$I$5:$I$92,'Daftar Koreksi'!$D$5:$D$92,'0700'!A730,'Daftar Koreksi'!$G$5:$G$92,"Aset Henti Guna",'Daftar Koreksi'!$I$5:$I$92,"&lt;0")-SUMIFS('Daftar Koreksi'!$I$5:$I$92,'Daftar Koreksi'!$D$5:$D$92,'0700'!A730,'Daftar Koreksi'!$G$5:$G$92,"Aset Henti Guna",'Daftar Koreksi'!$I$5:$I$92,"&lt;0")</f>
        <v>0</v>
      </c>
      <c r="G747" s="17">
        <f t="shared" si="33"/>
        <v>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-2355976323</v>
      </c>
      <c r="E748" s="19">
        <f>SUM(E743:E747)</f>
        <v>0</v>
      </c>
      <c r="F748" s="19">
        <f>SUM(F743:F747)</f>
        <v>0</v>
      </c>
      <c r="G748" s="19">
        <f t="shared" si="33"/>
        <v>-2355976323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5965905336</v>
      </c>
      <c r="E749" s="19">
        <f>E748+E742</f>
        <v>0</v>
      </c>
      <c r="F749" s="19">
        <f>F748+F742</f>
        <v>0</v>
      </c>
      <c r="G749" s="19">
        <f t="shared" si="33"/>
        <v>5965905336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005010700526725000KD</v>
      </c>
      <c r="B752" s="11" t="str">
        <f>P35</f>
        <v>PT. TUN. Negaramedan</v>
      </c>
      <c r="C752" s="12" t="str">
        <f>A752&amp;" "&amp;B752</f>
        <v>005010700526725000KD PT. TUN. Negaramedan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4141000</v>
      </c>
      <c r="E755" s="25">
        <f>SUMIFS('Daftar Koreksi'!$H$5:$H$92,'Daftar Koreksi'!$D$5:$D$92,'0700'!A752,'Daftar Koreksi'!$G$5:$G$92,"Persediaan",'Daftar Koreksi'!$H$5:$H$92,"&gt;0")</f>
        <v>0</v>
      </c>
      <c r="F755" s="25">
        <f>SUMIFS('Daftar Koreksi'!$H$5:$H$92,'Daftar Koreksi'!$D$5:$D$92,'0700'!A752,'Daftar Koreksi'!$G$5:$G$92,"Persediaan",'Daftar Koreksi'!$H$5:$H$92,"&lt;0")-SUMIFS('Daftar Koreksi'!$H$5:$H$92,'Daftar Koreksi'!$D$5:$D$92,'0700'!A752,'Daftar Koreksi'!$G$5:$G$92,"Persediaan",'Daftar Koreksi'!$H$5:$H$92,"&lt;0")-SUMIFS('Daftar Koreksi'!$H$5:$H$92,'Daftar Koreksi'!$D$5:$D$92,'0700'!A752,'Daftar Koreksi'!$G$5:$G$92,"Persediaan",'Daftar Koreksi'!$H$5:$H$92,"&lt;0")</f>
        <v>0</v>
      </c>
      <c r="G755" s="17">
        <f>D755+E755-F755</f>
        <v>4141000</v>
      </c>
      <c r="H755" s="121" t="str">
        <f>IF(ISNA(VLOOKUP(A752,'Mutasi Neraca'!$A$3:$S$914,19,FALSE)),"-",VLOOKUP(A752,'Mutasi Neraca'!$A$3:$S$914,19,FALSE))</f>
        <v>-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13321694000</v>
      </c>
      <c r="E756" s="25">
        <f>SUMIFS('Daftar Koreksi'!$H$5:$H$92,'Daftar Koreksi'!$D$5:$D$92,'0700'!A752,'Daftar Koreksi'!$G$5:$G$92,"Tanah",'Daftar Koreksi'!$H$5:$H$92,"&gt;0")</f>
        <v>0</v>
      </c>
      <c r="F756" s="25">
        <f>SUMIFS('Daftar Koreksi'!$H$5:$H$92,'Daftar Koreksi'!$D$5:$D$92,'0700'!A752,'Daftar Koreksi'!$G$5:$G$92,"Tanah",'Daftar Koreksi'!$H$5:$H$92,"&lt;0")-SUMIFS('Daftar Koreksi'!$H$5:$H$92,'Daftar Koreksi'!$D$5:$D$92,'0700'!A752,'Daftar Koreksi'!$G$5:$G$92,"Tanah",'Daftar Koreksi'!$H$5:$H$92,"&lt;0")-SUMIFS('Daftar Koreksi'!$H$5:$H$92,'Daftar Koreksi'!$D$5:$D$92,'0700'!A752,'Daftar Koreksi'!$G$5:$G$92,"Tanah",'Daftar Koreksi'!$H$5:$H$92,"&lt;0")</f>
        <v>0</v>
      </c>
      <c r="G756" s="17">
        <f t="shared" ref="G756:G772" si="34">D756+E756-F756</f>
        <v>13321694000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3642434440</v>
      </c>
      <c r="E757" s="25">
        <f>SUMIFS('Daftar Koreksi'!$H$5:$H$92,'Daftar Koreksi'!$D$5:$D$92,'0700'!A752,'Daftar Koreksi'!$G$5:$G$92,"Peralatan dan mesin",'Daftar Koreksi'!$H$5:$H$92,"&gt;0")</f>
        <v>0</v>
      </c>
      <c r="F757" s="25">
        <f>SUMIFS('Daftar Koreksi'!$H$5:$H$92,'Daftar Koreksi'!$D$5:$D$92,'0700'!A752,'Daftar Koreksi'!$G$5:$G$92,"Peralatan dan mesin",'Daftar Koreksi'!$H$5:$H$92,"&lt;0")-SUMIFS('Daftar Koreksi'!$H$5:$H$92,'Daftar Koreksi'!$D$5:$D$92,'0700'!A752,'Daftar Koreksi'!$G$5:$G$92,"Peralatan dan mesin",'Daftar Koreksi'!$H$5:$H$92,"&lt;0")-SUMIFS('Daftar Koreksi'!$H$5:$H$92,'Daftar Koreksi'!$D$5:$D$92,'0700'!A752,'Daftar Koreksi'!$G$5:$G$92,"Peralatan dan mesin",'Daftar Koreksi'!$H$5:$H$92,"&lt;0")</f>
        <v>0</v>
      </c>
      <c r="G757" s="17">
        <f t="shared" si="34"/>
        <v>3642434440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6684890275</v>
      </c>
      <c r="E758" s="25">
        <f>SUMIFS('Daftar Koreksi'!$H$5:$H$92,'Daftar Koreksi'!$D$5:$D$92,'0700'!A752,'Daftar Koreksi'!$G$5:$G$92,"Gedung dan Bangunan",'Daftar Koreksi'!$H$5:$H$92,"&gt;0")</f>
        <v>0</v>
      </c>
      <c r="F758" s="25">
        <f>SUMIFS('Daftar Koreksi'!$H$5:$H$92,'Daftar Koreksi'!$D$5:$D$92,'0700'!A752,'Daftar Koreksi'!$G$5:$G$92,"Gedung dan Bangunan",'Daftar Koreksi'!$H$5:$H$92,"&lt;0")-SUMIFS('Daftar Koreksi'!$H$5:$H$92,'Daftar Koreksi'!$D$5:$D$92,'0700'!A752,'Daftar Koreksi'!$G$5:$G$92,"Gedung dan Bangunan",'Daftar Koreksi'!$H$5:$H$92,"&lt;0")-SUMIFS('Daftar Koreksi'!$H$5:$H$92,'Daftar Koreksi'!$D$5:$D$92,'0700'!A752,'Daftar Koreksi'!$G$5:$G$92,"Gedung dan Bangunan",'Daftar Koreksi'!$H$5:$H$92,"&lt;0")</f>
        <v>0</v>
      </c>
      <c r="G758" s="17">
        <f t="shared" si="34"/>
        <v>6684890275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416489820</v>
      </c>
      <c r="E759" s="25">
        <f>SUMIFS('Daftar Koreksi'!$H$5:$H$92,'Daftar Koreksi'!$D$5:$D$92,'0700'!A752,'Daftar Koreksi'!$G$5:$G$92,"Jalan Irigasi Jaringan",'Daftar Koreksi'!$H$5:$H$92,"&gt;0")</f>
        <v>0</v>
      </c>
      <c r="F759" s="25">
        <f>SUMIFS('Daftar Koreksi'!$H$5:$H$92,'Daftar Koreksi'!$D$5:$D$92,'0700'!A752,'Daftar Koreksi'!$G$5:$G$92,"Jalan Irigasi Jaringan",'Daftar Koreksi'!$H$5:$H$92,"&lt;0")-SUMIFS('Daftar Koreksi'!$H$5:$H$92,'Daftar Koreksi'!$D$5:$D$92,'0700'!A752,'Daftar Koreksi'!$G$5:$G$92,"Jalan Irigasi Jaringan",'Daftar Koreksi'!$H$5:$H$92,"&lt;0")-SUMIFS('Daftar Koreksi'!$H$5:$H$92,'Daftar Koreksi'!$D$5:$D$92,'0700'!A752,'Daftar Koreksi'!$G$5:$G$92,"Jalan Irigasi Jaringan",'Daftar Koreksi'!$H$5:$H$92,"&lt;0")</f>
        <v>0</v>
      </c>
      <c r="G759" s="17">
        <f t="shared" si="34"/>
        <v>416489820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25833000</v>
      </c>
      <c r="E760" s="25">
        <f>SUMIFS('Daftar Koreksi'!$H$5:$H$92,'Daftar Koreksi'!$D$5:$D$92,'0700'!A752,'Daftar Koreksi'!$G$5:$G$92,"Aset Tetap Lainnya",'Daftar Koreksi'!$H$5:$H$92,"&gt;0")</f>
        <v>0</v>
      </c>
      <c r="F760" s="25">
        <f>SUMIFS('Daftar Koreksi'!$H$5:$H$92,'Daftar Koreksi'!$D$5:$D$92,'0700'!A752,'Daftar Koreksi'!$G$5:$G$92,"Aset Tetap Lainnya",'Daftar Koreksi'!$H$5:$H$92,"&lt;0")-SUMIFS('Daftar Koreksi'!$H$5:$H$92,'Daftar Koreksi'!$D$5:$D$92,'0700'!A752,'Daftar Koreksi'!$G$5:$G$92,"Aset Tetap Lainnya",'Daftar Koreksi'!$H$5:$H$92,"&lt;0")-SUMIFS('Daftar Koreksi'!$H$5:$H$92,'Daftar Koreksi'!$D$5:$D$92,'0700'!A752,'Daftar Koreksi'!$G$5:$G$92,"Aset Tetap Lainnya",'Daftar Koreksi'!$H$5:$H$92,"&lt;0")</f>
        <v>0</v>
      </c>
      <c r="G760" s="17">
        <f t="shared" si="34"/>
        <v>25833000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Koreksi'!$D$5:$D$92,'0700'!A752,'Daftar Koreksi'!$G$5:$G$92,"Kontruksi Dalam Pengerjaan",'Daftar Koreksi'!$H$5:$H$92,"&gt;0")</f>
        <v>0</v>
      </c>
      <c r="F761" s="25">
        <f>SUMIFS('Daftar Koreksi'!$H$5:$H$92,'Daftar Koreksi'!$D$5:$D$92,'0700'!A752,'Daftar Koreksi'!$G$5:$G$92,"Kontruksi Dalam Pengerjaan",'Daftar Koreksi'!$H$5:$H$92,"&lt;0")-SUMIFS('Daftar Koreksi'!$H$5:$H$92,'Daftar Koreksi'!$D$5:$D$92,'0700'!A752,'Daftar Koreksi'!$G$5:$G$92,"Kontruksi Dalam Pengerjaan",'Daftar Koreksi'!$H$5:$H$92,"&lt;0")-SUMIFS('Daftar Koreksi'!$H$5:$H$92,'Daftar Koreksi'!$D$5:$D$92,'0700'!A752,'Daftar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50000000</v>
      </c>
      <c r="E762" s="25">
        <f>SUMIFS('Daftar Koreksi'!$H$5:$H$92,'Daftar Koreksi'!$D$5:$D$92,'0700'!A752,'Daftar Koreksi'!$G$5:$G$92,"Aset Tak Berwujud",'Daftar Koreksi'!$H$5:$H$92,"&gt;0")</f>
        <v>0</v>
      </c>
      <c r="F762" s="25">
        <f>SUMIFS('Daftar Koreksi'!$H$5:$H$92,'Daftar Koreksi'!$D$5:$D$92,'0700'!A752,'Daftar Koreksi'!$G$5:$G$92,"Aset Tak Berwujud",'Daftar Koreksi'!$H$5:$H$92,"&lt;0")-SUMIFS('Daftar Koreksi'!$H$5:$H$92,'Daftar Koreksi'!$D$5:$D$92,'0700'!A752,'Daftar Koreksi'!$G$5:$G$92,"Aset Tak Berwujud",'Daftar Koreksi'!$H$5:$H$92,"&lt;0")-SUMIFS('Daftar Koreksi'!$H$5:$H$92,'Daftar Koreksi'!$D$5:$D$92,'0700'!A752,'Daftar Koreksi'!$G$5:$G$92,"Aset Tak Berwujud",'Daftar Koreksi'!$H$5:$H$92,"&lt;0")</f>
        <v>0</v>
      </c>
      <c r="G762" s="17">
        <f t="shared" si="34"/>
        <v>50000000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3231000</v>
      </c>
      <c r="E763" s="25">
        <f>SUMIFS('Daftar Koreksi'!$H$5:$H$92,'Daftar Koreksi'!$D$5:$D$92,'0700'!A752,'Daftar Koreksi'!$G$5:$G$92,"Aset Henti Guna",'Daftar Koreksi'!$H$5:$H$92,"&gt;0")</f>
        <v>0</v>
      </c>
      <c r="F763" s="25">
        <f>SUMIFS('Daftar Koreksi'!$H$5:$H$92,'Daftar Koreksi'!$D$5:$D$92,'0700'!A752,'Daftar Koreksi'!$G$5:$G$92,"Aset Henti Guna",'Daftar Koreksi'!$H$5:$H$92,"&lt;0")-SUMIFS('Daftar Koreksi'!$H$5:$H$92,'Daftar Koreksi'!$D$5:$D$92,'0700'!A752,'Daftar Koreksi'!$G$5:$G$92,"Aset Henti Guna",'Daftar Koreksi'!$H$5:$H$92,"&lt;0")-SUMIFS('Daftar Koreksi'!$H$5:$H$92,'Daftar Koreksi'!$D$5:$D$92,'0700'!A752,'Daftar Koreksi'!$G$5:$G$92,"Aset Henti Guna",'Daftar Koreksi'!$H$5:$H$92,"&lt;0")</f>
        <v>0</v>
      </c>
      <c r="G763" s="17">
        <f t="shared" si="34"/>
        <v>3231000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24148713535</v>
      </c>
      <c r="E764" s="19">
        <f>SUM(E755:E763)</f>
        <v>0</v>
      </c>
      <c r="F764" s="19">
        <f>SUM(F755:F763)</f>
        <v>0</v>
      </c>
      <c r="G764" s="19">
        <f t="shared" si="34"/>
        <v>24148713535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-3106955470</v>
      </c>
      <c r="E765" s="25">
        <f>SUMIFS('Daftar Koreksi'!$I$5:$I$92,'Daftar Koreksi'!$D$5:$D$92,'0700'!A752,'Daftar Koreksi'!$G$5:$G$92,"Peralatan dan mesin",'Daftar Koreksi'!$I$5:$I$92,"&gt;0")</f>
        <v>0</v>
      </c>
      <c r="F765" s="25">
        <f>SUMIFS('Daftar Koreksi'!$I$5:$I$92,'Daftar Koreksi'!$D$5:$D$92,'0700'!A752,'Daftar Koreksi'!$G$5:$G$92,"Peralatan dan mesin",'Daftar Koreksi'!$I$5:$I$92,"&lt;0")-SUMIFS('Daftar Koreksi'!$I$5:$I$92,'Daftar Koreksi'!$D$5:$D$92,'0700'!A752,'Daftar Koreksi'!$G$5:$G$92,"Peralatan dan mesin",'Daftar Koreksi'!$I$5:$I$92,"&lt;0")-SUMIFS('Daftar Koreksi'!$I$5:$I$92,'Daftar Koreksi'!$D$5:$D$92,'0700'!A752,'Daftar Koreksi'!$G$5:$G$92,"Peralatan dan mesin",'Daftar Koreksi'!$I$5:$I$92,"&lt;0")</f>
        <v>0</v>
      </c>
      <c r="G765" s="17">
        <f t="shared" si="34"/>
        <v>-3106955470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-2730200441</v>
      </c>
      <c r="E766" s="25">
        <f>SUMIFS('Daftar Koreksi'!$I$5:$I$92,'Daftar Koreksi'!$D$5:$D$92,'0700'!A752,'Daftar Koreksi'!$G$5:$G$92,"Gedung dan Bangunan",'Daftar Koreksi'!$I$5:$I$92,"&gt;0")</f>
        <v>0</v>
      </c>
      <c r="F766" s="25">
        <f>SUMIFS('Daftar Koreksi'!$I$5:$I$92,'Daftar Koreksi'!$D$5:$D$92,'0700'!A752,'Daftar Koreksi'!$G$5:$G$92,"Gedung dan Bangunan",'Daftar Koreksi'!$I$5:$I$92,"&lt;0")-SUMIFS('Daftar Koreksi'!$I$5:$I$92,'Daftar Koreksi'!$D$5:$D$92,'0700'!A752,'Daftar Koreksi'!$G$5:$G$92,"Gedung dan Bangunan",'Daftar Koreksi'!$I$5:$I$92,"&lt;0")-SUMIFS('Daftar Koreksi'!$I$5:$I$92,'Daftar Koreksi'!$D$5:$D$92,'0700'!A752,'Daftar Koreksi'!$G$5:$G$92,"Gedung dan Bangunan",'Daftar Koreksi'!$I$5:$I$92,"&lt;0")</f>
        <v>0</v>
      </c>
      <c r="G766" s="17">
        <f t="shared" si="34"/>
        <v>-2730200441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-213646361</v>
      </c>
      <c r="E767" s="25">
        <f>SUMIFS('Daftar Koreksi'!$I$5:$I$92,'Daftar Koreksi'!$D$5:$D$92,'0700'!A752,'Daftar Koreksi'!$G$5:$G$92,"Jalan Irigasi Jaringan",'Daftar Koreksi'!$I$5:$I$92,"&gt;0")</f>
        <v>0</v>
      </c>
      <c r="F767" s="25">
        <f>SUMIFS('Daftar Koreksi'!$I$5:$I$92,'Daftar Koreksi'!$D$5:$D$92,'0700'!A752,'Daftar Koreksi'!$G$5:$G$92,"Jalan Irigasi Jaringan",'Daftar Koreksi'!$I$5:$I$92,"&lt;0")-SUMIFS('Daftar Koreksi'!$I$5:$I$92,'Daftar Koreksi'!$D$5:$D$92,'0700'!A752,'Daftar Koreksi'!$G$5:$G$92,"Jalan Irigasi Jaringan",'Daftar Koreksi'!$I$5:$I$92,"&lt;0")-SUMIFS('Daftar Koreksi'!$I$5:$I$92,'Daftar Koreksi'!$D$5:$D$92,'0700'!A752,'Daftar Koreksi'!$G$5:$G$92,"Jalan Irigasi Jaringan",'Daftar Koreksi'!$I$5:$I$92,"&lt;0")</f>
        <v>0</v>
      </c>
      <c r="G767" s="17">
        <f t="shared" si="34"/>
        <v>-213646361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Koreksi'!$D$5:$D$92,'0700'!A752,'Daftar Koreksi'!$G$5:$G$92,"Aset Tetap Lainnya",'Daftar Koreksi'!$I$5:$I$92,"&gt;0")</f>
        <v>0</v>
      </c>
      <c r="F768" s="25">
        <f>SUMIFS('Daftar Koreksi'!$I$5:$I$92,'Daftar Koreksi'!$D$5:$D$92,'0700'!A752,'Daftar Koreksi'!$G$5:$G$92,"Aset Tetap Lainnya",'Daftar Koreksi'!$I$5:$I$92,"&lt;0")-SUMIFS('Daftar Koreksi'!$I$5:$I$92,'Daftar Koreksi'!$D$5:$D$92,'0700'!A752,'Daftar Koreksi'!$G$5:$G$92,"Aset Tetap Lainnya",'Daftar Koreksi'!$I$5:$I$92,"&lt;0")-SUMIFS('Daftar Koreksi'!$I$5:$I$92,'Daftar Koreksi'!$D$5:$D$92,'0700'!A752,'Daftar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-2903000</v>
      </c>
      <c r="E769" s="25">
        <f>SUMIFS('Daftar Koreksi'!$I$5:$I$92,'Daftar Koreksi'!$D$5:$D$92,'0700'!A752,'Daftar Koreksi'!$G$5:$G$92,"Aset Henti Guna",'Daftar Koreksi'!$I$5:$I$92,"&gt;0")</f>
        <v>0</v>
      </c>
      <c r="F769" s="25">
        <f>SUMIFS('Daftar Koreksi'!$I$5:$I$92,'Daftar Koreksi'!$D$5:$D$92,'0700'!A752,'Daftar Koreksi'!$G$5:$G$92,"Aset Henti Guna",'Daftar Koreksi'!$I$5:$I$92,"&lt;0")-SUMIFS('Daftar Koreksi'!$I$5:$I$92,'Daftar Koreksi'!$D$5:$D$92,'0700'!A752,'Daftar Koreksi'!$G$5:$G$92,"Aset Henti Guna",'Daftar Koreksi'!$I$5:$I$92,"&lt;0")-SUMIFS('Daftar Koreksi'!$I$5:$I$92,'Daftar Koreksi'!$D$5:$D$92,'0700'!A752,'Daftar Koreksi'!$G$5:$G$92,"Aset Henti Guna",'Daftar Koreksi'!$I$5:$I$92,"&lt;0")</f>
        <v>0</v>
      </c>
      <c r="G769" s="17">
        <f t="shared" si="34"/>
        <v>-2903000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-6053705272</v>
      </c>
      <c r="E770" s="19">
        <f>SUM(E765:E769)</f>
        <v>0</v>
      </c>
      <c r="F770" s="19">
        <f>SUM(F765:F769)</f>
        <v>0</v>
      </c>
      <c r="G770" s="19">
        <f t="shared" si="34"/>
        <v>-6053705272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18095008263</v>
      </c>
      <c r="E771" s="19">
        <f>E770+E764</f>
        <v>0</v>
      </c>
      <c r="F771" s="19">
        <f>F770+F764</f>
        <v>0</v>
      </c>
      <c r="G771" s="19">
        <f t="shared" si="34"/>
        <v>18095008263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005010700526746000KD</v>
      </c>
      <c r="B774" s="11" t="str">
        <f>P36</f>
        <v>PTUN. Medan</v>
      </c>
      <c r="C774" s="12" t="str">
        <f>A774&amp;" "&amp;B774</f>
        <v>005010700526746000KD PTUN. Medan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1250500</v>
      </c>
      <c r="E777" s="25">
        <f>SUMIFS('Daftar Koreksi'!$H$5:$H$92,'Daftar Koreksi'!$D$5:$D$92,'0700'!A774,'Daftar Koreksi'!$G$5:$G$92,"Persediaan",'Daftar Koreksi'!$H$5:$H$92,"&gt;0")</f>
        <v>0</v>
      </c>
      <c r="F777" s="25">
        <f>SUMIFS('Daftar Koreksi'!$H$5:$H$92,'Daftar Koreksi'!$D$5:$D$92,'0700'!A774,'Daftar Koreksi'!$G$5:$G$92,"Persediaan",'Daftar Koreksi'!$H$5:$H$92,"&lt;0")-SUMIFS('Daftar Koreksi'!$H$5:$H$92,'Daftar Koreksi'!$D$5:$D$92,'0700'!A774,'Daftar Koreksi'!$G$5:$G$92,"Persediaan",'Daftar Koreksi'!$H$5:$H$92,"&lt;0")-SUMIFS('Daftar Koreksi'!$H$5:$H$92,'Daftar Koreksi'!$D$5:$D$92,'0700'!A774,'Daftar Koreksi'!$G$5:$G$92,"Persediaan",'Daftar Koreksi'!$H$5:$H$92,"&lt;0")</f>
        <v>0</v>
      </c>
      <c r="G777" s="17">
        <f>D777+E777-F777</f>
        <v>1250500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5548179000</v>
      </c>
      <c r="E778" s="25">
        <f>SUMIFS('Daftar Koreksi'!$H$5:$H$92,'Daftar Koreksi'!$D$5:$D$92,'0700'!A774,'Daftar Koreksi'!$G$5:$G$92,"Tanah",'Daftar Koreksi'!$H$5:$H$92,"&gt;0")</f>
        <v>0</v>
      </c>
      <c r="F778" s="25">
        <f>SUMIFS('Daftar Koreksi'!$H$5:$H$92,'Daftar Koreksi'!$D$5:$D$92,'0700'!A774,'Daftar Koreksi'!$G$5:$G$92,"Tanah",'Daftar Koreksi'!$H$5:$H$92,"&lt;0")-SUMIFS('Daftar Koreksi'!$H$5:$H$92,'Daftar Koreksi'!$D$5:$D$92,'0700'!A774,'Daftar Koreksi'!$G$5:$G$92,"Tanah",'Daftar Koreksi'!$H$5:$H$92,"&lt;0")-SUMIFS('Daftar Koreksi'!$H$5:$H$92,'Daftar Koreksi'!$D$5:$D$92,'0700'!A774,'Daftar Koreksi'!$G$5:$G$92,"Tanah",'Daftar Koreksi'!$H$5:$H$92,"&lt;0")</f>
        <v>0</v>
      </c>
      <c r="G778" s="17">
        <f t="shared" ref="G778:G794" si="35">D778+E778-F778</f>
        <v>5548179000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2101172357</v>
      </c>
      <c r="E779" s="25">
        <f>SUMIFS('Daftar Koreksi'!$H$5:$H$92,'Daftar Koreksi'!$D$5:$D$92,'0700'!A774,'Daftar Koreksi'!$G$5:$G$92,"Peralatan dan mesin",'Daftar Koreksi'!$H$5:$H$92,"&gt;0")</f>
        <v>0</v>
      </c>
      <c r="F779" s="25">
        <f>SUMIFS('Daftar Koreksi'!$H$5:$H$92,'Daftar Koreksi'!$D$5:$D$92,'0700'!A774,'Daftar Koreksi'!$G$5:$G$92,"Peralatan dan mesin",'Daftar Koreksi'!$H$5:$H$92,"&lt;0")-SUMIFS('Daftar Koreksi'!$H$5:$H$92,'Daftar Koreksi'!$D$5:$D$92,'0700'!A774,'Daftar Koreksi'!$G$5:$G$92,"Peralatan dan mesin",'Daftar Koreksi'!$H$5:$H$92,"&lt;0")-SUMIFS('Daftar Koreksi'!$H$5:$H$92,'Daftar Koreksi'!$D$5:$D$92,'0700'!A774,'Daftar Koreksi'!$G$5:$G$92,"Peralatan dan mesin",'Daftar Koreksi'!$H$5:$H$92,"&lt;0")</f>
        <v>0</v>
      </c>
      <c r="G779" s="17">
        <f t="shared" si="35"/>
        <v>2101172357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8142348600</v>
      </c>
      <c r="E780" s="25">
        <f>SUMIFS('Daftar Koreksi'!$H$5:$H$92,'Daftar Koreksi'!$D$5:$D$92,'0700'!A774,'Daftar Koreksi'!$G$5:$G$92,"Gedung dan Bangunan",'Daftar Koreksi'!$H$5:$H$92,"&gt;0")</f>
        <v>0</v>
      </c>
      <c r="F780" s="25">
        <f>SUMIFS('Daftar Koreksi'!$H$5:$H$92,'Daftar Koreksi'!$D$5:$D$92,'0700'!A774,'Daftar Koreksi'!$G$5:$G$92,"Gedung dan Bangunan",'Daftar Koreksi'!$H$5:$H$92,"&lt;0")-SUMIFS('Daftar Koreksi'!$H$5:$H$92,'Daftar Koreksi'!$D$5:$D$92,'0700'!A774,'Daftar Koreksi'!$G$5:$G$92,"Gedung dan Bangunan",'Daftar Koreksi'!$H$5:$H$92,"&lt;0")-SUMIFS('Daftar Koreksi'!$H$5:$H$92,'Daftar Koreksi'!$D$5:$D$92,'0700'!A774,'Daftar Koreksi'!$G$5:$G$92,"Gedung dan Bangunan",'Daftar Koreksi'!$H$5:$H$92,"&lt;0")</f>
        <v>0</v>
      </c>
      <c r="G780" s="17">
        <f t="shared" si="35"/>
        <v>8142348600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Koreksi'!$D$5:$D$92,'0700'!A774,'Daftar Koreksi'!$G$5:$G$92,"Jalan Irigasi Jaringan",'Daftar Koreksi'!$H$5:$H$92,"&gt;0")</f>
        <v>0</v>
      </c>
      <c r="F781" s="25">
        <f>SUMIFS('Daftar Koreksi'!$H$5:$H$92,'Daftar Koreksi'!$D$5:$D$92,'0700'!A774,'Daftar Koreksi'!$G$5:$G$92,"Jalan Irigasi Jaringan",'Daftar Koreksi'!$H$5:$H$92,"&lt;0")-SUMIFS('Daftar Koreksi'!$H$5:$H$92,'Daftar Koreksi'!$D$5:$D$92,'0700'!A774,'Daftar Koreksi'!$G$5:$G$92,"Jalan Irigasi Jaringan",'Daftar Koreksi'!$H$5:$H$92,"&lt;0")-SUMIFS('Daftar Koreksi'!$H$5:$H$92,'Daftar Koreksi'!$D$5:$D$92,'0700'!A774,'Daftar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0</v>
      </c>
      <c r="E782" s="25">
        <f>SUMIFS('Daftar Koreksi'!$H$5:$H$92,'Daftar Koreksi'!$D$5:$D$92,'0700'!A774,'Daftar Koreksi'!$G$5:$G$92,"Aset Tetap Lainnya",'Daftar Koreksi'!$H$5:$H$92,"&gt;0")</f>
        <v>0</v>
      </c>
      <c r="F782" s="25">
        <f>SUMIFS('Daftar Koreksi'!$H$5:$H$92,'Daftar Koreksi'!$D$5:$D$92,'0700'!A774,'Daftar Koreksi'!$G$5:$G$92,"Aset Tetap Lainnya",'Daftar Koreksi'!$H$5:$H$92,"&lt;0")-SUMIFS('Daftar Koreksi'!$H$5:$H$92,'Daftar Koreksi'!$D$5:$D$92,'0700'!A774,'Daftar Koreksi'!$G$5:$G$92,"Aset Tetap Lainnya",'Daftar Koreksi'!$H$5:$H$92,"&lt;0")-SUMIFS('Daftar Koreksi'!$H$5:$H$92,'Daftar Koreksi'!$D$5:$D$92,'0700'!A774,'Daftar Koreksi'!$G$5:$G$92,"Aset Tetap Lainnya",'Daftar Koreksi'!$H$5:$H$92,"&lt;0")</f>
        <v>0</v>
      </c>
      <c r="G782" s="17">
        <f t="shared" si="35"/>
        <v>0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Koreksi'!$D$5:$D$92,'0700'!A774,'Daftar Koreksi'!$G$5:$G$92,"Kontruksi Dalam Pengerjaan",'Daftar Koreksi'!$H$5:$H$92,"&gt;0")</f>
        <v>0</v>
      </c>
      <c r="F783" s="25">
        <f>SUMIFS('Daftar Koreksi'!$H$5:$H$92,'Daftar Koreksi'!$D$5:$D$92,'0700'!A774,'Daftar Koreksi'!$G$5:$G$92,"Kontruksi Dalam Pengerjaan",'Daftar Koreksi'!$H$5:$H$92,"&lt;0")-SUMIFS('Daftar Koreksi'!$H$5:$H$92,'Daftar Koreksi'!$D$5:$D$92,'0700'!A774,'Daftar Koreksi'!$G$5:$G$92,"Kontruksi Dalam Pengerjaan",'Daftar Koreksi'!$H$5:$H$92,"&lt;0")-SUMIFS('Daftar Koreksi'!$H$5:$H$92,'Daftar Koreksi'!$D$5:$D$92,'0700'!A774,'Daftar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82885000</v>
      </c>
      <c r="E784" s="25">
        <f>SUMIFS('Daftar Koreksi'!$H$5:$H$92,'Daftar Koreksi'!$D$5:$D$92,'0700'!A774,'Daftar Koreksi'!$G$5:$G$92,"Aset Tak Berwujud",'Daftar Koreksi'!$H$5:$H$92,"&gt;0")</f>
        <v>0</v>
      </c>
      <c r="F784" s="25">
        <f>SUMIFS('Daftar Koreksi'!$H$5:$H$92,'Daftar Koreksi'!$D$5:$D$92,'0700'!A774,'Daftar Koreksi'!$G$5:$G$92,"Aset Tak Berwujud",'Daftar Koreksi'!$H$5:$H$92,"&lt;0")-SUMIFS('Daftar Koreksi'!$H$5:$H$92,'Daftar Koreksi'!$D$5:$D$92,'0700'!A774,'Daftar Koreksi'!$G$5:$G$92,"Aset Tak Berwujud",'Daftar Koreksi'!$H$5:$H$92,"&lt;0")-SUMIFS('Daftar Koreksi'!$H$5:$H$92,'Daftar Koreksi'!$D$5:$D$92,'0700'!A774,'Daftar Koreksi'!$G$5:$G$92,"Aset Tak Berwujud",'Daftar Koreksi'!$H$5:$H$92,"&lt;0")</f>
        <v>0</v>
      </c>
      <c r="G784" s="17">
        <f t="shared" si="35"/>
        <v>82885000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119209564</v>
      </c>
      <c r="E785" s="25">
        <f>SUMIFS('Daftar Koreksi'!$H$5:$H$92,'Daftar Koreksi'!$D$5:$D$92,'0700'!A774,'Daftar Koreksi'!$G$5:$G$92,"Aset Henti Guna",'Daftar Koreksi'!$H$5:$H$92,"&gt;0")</f>
        <v>0</v>
      </c>
      <c r="F785" s="25">
        <f>SUMIFS('Daftar Koreksi'!$H$5:$H$92,'Daftar Koreksi'!$D$5:$D$92,'0700'!A774,'Daftar Koreksi'!$G$5:$G$92,"Aset Henti Guna",'Daftar Koreksi'!$H$5:$H$92,"&lt;0")-SUMIFS('Daftar Koreksi'!$H$5:$H$92,'Daftar Koreksi'!$D$5:$D$92,'0700'!A774,'Daftar Koreksi'!$G$5:$G$92,"Aset Henti Guna",'Daftar Koreksi'!$H$5:$H$92,"&lt;0")-SUMIFS('Daftar Koreksi'!$H$5:$H$92,'Daftar Koreksi'!$D$5:$D$92,'0700'!A774,'Daftar Koreksi'!$G$5:$G$92,"Aset Henti Guna",'Daftar Koreksi'!$H$5:$H$92,"&lt;0")</f>
        <v>0</v>
      </c>
      <c r="G785" s="17">
        <f t="shared" si="35"/>
        <v>119209564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15995045021</v>
      </c>
      <c r="E786" s="19">
        <f>SUM(E777:E785)</f>
        <v>0</v>
      </c>
      <c r="F786" s="19">
        <f>SUM(F777:F785)</f>
        <v>0</v>
      </c>
      <c r="G786" s="19">
        <f t="shared" si="35"/>
        <v>15995045021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-1526517778</v>
      </c>
      <c r="E787" s="25">
        <f>SUMIFS('Daftar Koreksi'!$I$5:$I$92,'Daftar Koreksi'!$D$5:$D$92,'0700'!A774,'Daftar Koreksi'!$G$5:$G$92,"Peralatan dan mesin",'Daftar Koreksi'!$I$5:$I$92,"&gt;0")</f>
        <v>0</v>
      </c>
      <c r="F787" s="25">
        <f>SUMIFS('Daftar Koreksi'!$I$5:$I$92,'Daftar Koreksi'!$D$5:$D$92,'0700'!A774,'Daftar Koreksi'!$G$5:$G$92,"Peralatan dan mesin",'Daftar Koreksi'!$I$5:$I$92,"&lt;0")-SUMIFS('Daftar Koreksi'!$I$5:$I$92,'Daftar Koreksi'!$D$5:$D$92,'0700'!A774,'Daftar Koreksi'!$G$5:$G$92,"Peralatan dan mesin",'Daftar Koreksi'!$I$5:$I$92,"&lt;0")-SUMIFS('Daftar Koreksi'!$I$5:$I$92,'Daftar Koreksi'!$D$5:$D$92,'0700'!A774,'Daftar Koreksi'!$G$5:$G$92,"Peralatan dan mesin",'Daftar Koreksi'!$I$5:$I$92,"&lt;0")</f>
        <v>0</v>
      </c>
      <c r="G787" s="17">
        <f t="shared" si="35"/>
        <v>-1526517778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-1099026887</v>
      </c>
      <c r="E788" s="25">
        <f>SUMIFS('Daftar Koreksi'!$I$5:$I$92,'Daftar Koreksi'!$D$5:$D$92,'0700'!A774,'Daftar Koreksi'!$G$5:$G$92,"Gedung dan Bangunan",'Daftar Koreksi'!$I$5:$I$92,"&gt;0")</f>
        <v>0</v>
      </c>
      <c r="F788" s="25">
        <f>SUMIFS('Daftar Koreksi'!$I$5:$I$92,'Daftar Koreksi'!$D$5:$D$92,'0700'!A774,'Daftar Koreksi'!$G$5:$G$92,"Gedung dan Bangunan",'Daftar Koreksi'!$I$5:$I$92,"&lt;0")-SUMIFS('Daftar Koreksi'!$I$5:$I$92,'Daftar Koreksi'!$D$5:$D$92,'0700'!A774,'Daftar Koreksi'!$G$5:$G$92,"Gedung dan Bangunan",'Daftar Koreksi'!$I$5:$I$92,"&lt;0")-SUMIFS('Daftar Koreksi'!$I$5:$I$92,'Daftar Koreksi'!$D$5:$D$92,'0700'!A774,'Daftar Koreksi'!$G$5:$G$92,"Gedung dan Bangunan",'Daftar Koreksi'!$I$5:$I$92,"&lt;0")</f>
        <v>0</v>
      </c>
      <c r="G788" s="17">
        <f t="shared" si="35"/>
        <v>-1099026887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Koreksi'!$D$5:$D$92,'0700'!A774,'Daftar Koreksi'!$G$5:$G$92,"Jalan Irigasi Jaringan",'Daftar Koreksi'!$I$5:$I$92,"&gt;0")</f>
        <v>0</v>
      </c>
      <c r="F789" s="25">
        <f>SUMIFS('Daftar Koreksi'!$I$5:$I$92,'Daftar Koreksi'!$D$5:$D$92,'0700'!A774,'Daftar Koreksi'!$G$5:$G$92,"Jalan Irigasi Jaringan",'Daftar Koreksi'!$I$5:$I$92,"&lt;0")-SUMIFS('Daftar Koreksi'!$I$5:$I$92,'Daftar Koreksi'!$D$5:$D$92,'0700'!A774,'Daftar Koreksi'!$G$5:$G$92,"Jalan Irigasi Jaringan",'Daftar Koreksi'!$I$5:$I$92,"&lt;0")-SUMIFS('Daftar Koreksi'!$I$5:$I$92,'Daftar Koreksi'!$D$5:$D$92,'0700'!A774,'Daftar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Koreksi'!$D$5:$D$92,'0700'!A774,'Daftar Koreksi'!$G$5:$G$92,"Aset Tetap Lainnya",'Daftar Koreksi'!$I$5:$I$92,"&gt;0")</f>
        <v>0</v>
      </c>
      <c r="F790" s="25">
        <f>SUMIFS('Daftar Koreksi'!$I$5:$I$92,'Daftar Koreksi'!$D$5:$D$92,'0700'!A774,'Daftar Koreksi'!$G$5:$G$92,"Aset Tetap Lainnya",'Daftar Koreksi'!$I$5:$I$92,"&lt;0")-SUMIFS('Daftar Koreksi'!$I$5:$I$92,'Daftar Koreksi'!$D$5:$D$92,'0700'!A774,'Daftar Koreksi'!$G$5:$G$92,"Aset Tetap Lainnya",'Daftar Koreksi'!$I$5:$I$92,"&lt;0")-SUMIFS('Daftar Koreksi'!$I$5:$I$92,'Daftar Koreksi'!$D$5:$D$92,'0700'!A774,'Daftar Koreksi'!$G$5:$G$92,"Aset Tetap Lainnya",'Daftar Koreksi'!$I$5:$I$92,"&lt;0")</f>
        <v>0</v>
      </c>
      <c r="G790" s="17">
        <f t="shared" si="35"/>
        <v>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-119209564</v>
      </c>
      <c r="E791" s="25">
        <f>SUMIFS('Daftar Koreksi'!$I$5:$I$92,'Daftar Koreksi'!$D$5:$D$92,'0700'!A774,'Daftar Koreksi'!$G$5:$G$92,"Aset Henti Guna",'Daftar Koreksi'!$I$5:$I$92,"&gt;0")</f>
        <v>0</v>
      </c>
      <c r="F791" s="25">
        <f>SUMIFS('Daftar Koreksi'!$I$5:$I$92,'Daftar Koreksi'!$D$5:$D$92,'0700'!A774,'Daftar Koreksi'!$G$5:$G$92,"Aset Henti Guna",'Daftar Koreksi'!$I$5:$I$92,"&lt;0")-SUMIFS('Daftar Koreksi'!$I$5:$I$92,'Daftar Koreksi'!$D$5:$D$92,'0700'!A774,'Daftar Koreksi'!$G$5:$G$92,"Aset Henti Guna",'Daftar Koreksi'!$I$5:$I$92,"&lt;0")-SUMIFS('Daftar Koreksi'!$I$5:$I$92,'Daftar Koreksi'!$D$5:$D$92,'0700'!A774,'Daftar Koreksi'!$G$5:$G$92,"Aset Henti Guna",'Daftar Koreksi'!$I$5:$I$92,"&lt;0")</f>
        <v>0</v>
      </c>
      <c r="G791" s="17">
        <f t="shared" si="35"/>
        <v>-119209564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-2744754229</v>
      </c>
      <c r="E792" s="19">
        <f>SUM(E787:E791)</f>
        <v>0</v>
      </c>
      <c r="F792" s="19">
        <f>SUM(F787:F791)</f>
        <v>0</v>
      </c>
      <c r="G792" s="19">
        <f t="shared" si="35"/>
        <v>-2744754229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13250290792</v>
      </c>
      <c r="E793" s="19">
        <f>E792+E786</f>
        <v>0</v>
      </c>
      <c r="F793" s="19">
        <f>F792+F786</f>
        <v>0</v>
      </c>
      <c r="G793" s="19">
        <f t="shared" si="35"/>
        <v>13250290792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8" ht="19.5" customHeight="1">
      <c r="A796" s="11" t="str">
        <f>O37</f>
        <v>005010700547682000KD</v>
      </c>
      <c r="B796" s="11" t="str">
        <f>P37</f>
        <v>PA. Stabat</v>
      </c>
      <c r="C796" s="12" t="str">
        <f>A796&amp;" "&amp;B796</f>
        <v>005010700547682000KD PA. Stabat</v>
      </c>
      <c r="D796" s="13"/>
      <c r="E796" s="13"/>
      <c r="F796" s="13"/>
      <c r="G796" s="13"/>
      <c r="H796" s="11"/>
    </row>
    <row r="797" spans="1:8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8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8" ht="21.95" customHeight="1">
      <c r="A799" s="14"/>
      <c r="B799" s="14"/>
      <c r="C799" s="16" t="s">
        <v>1165</v>
      </c>
      <c r="D799" s="17">
        <f>VLOOKUP(A796,'Neraca Unaudited SIMAK'!$A$2:$S$10004,3,FALSE)</f>
        <v>430000</v>
      </c>
      <c r="E799" s="25">
        <f>SUMIFS('Daftar Koreksi'!$H$5:$H$92,'Daftar Koreksi'!$D$5:$D$92,'0700'!A796,'Daftar Koreksi'!$G$5:$G$92,"Persediaan",'Daftar Koreksi'!$H$5:$H$92,"&gt;0")</f>
        <v>0</v>
      </c>
      <c r="F799" s="25">
        <f>SUMIFS('Daftar Koreksi'!$H$5:$H$92,'Daftar Koreksi'!$D$5:$D$92,'0700'!A796,'Daftar Koreksi'!$G$5:$G$92,"Persediaan",'Daftar Koreksi'!$H$5:$H$92,"&lt;0")-SUMIFS('Daftar Koreksi'!$H$5:$H$92,'Daftar Koreksi'!$D$5:$D$92,'0700'!A796,'Daftar Koreksi'!$G$5:$G$92,"Persediaan",'Daftar Koreksi'!$H$5:$H$92,"&lt;0")-SUMIFS('Daftar Koreksi'!$H$5:$H$92,'Daftar Koreksi'!$D$5:$D$92,'0700'!A796,'Daftar Koreksi'!$G$5:$G$92,"Persediaan",'Daftar Koreksi'!$H$5:$H$92,"&lt;0")</f>
        <v>0</v>
      </c>
      <c r="G799" s="17">
        <f>D799+E799-F799</f>
        <v>430000</v>
      </c>
      <c r="H799" s="121" t="str">
        <f>IF(ISNA(VLOOKUP(A796,'Mutasi Neraca'!$A$3:$S$914,19,FALSE)),"-",VLOOKUP(A796,'Mutasi Neraca'!$A$3:$S$914,19,FALSE))</f>
        <v>-</v>
      </c>
    </row>
    <row r="800" spans="1:8" ht="21.95" customHeight="1">
      <c r="A800" s="14"/>
      <c r="B800" s="14"/>
      <c r="C800" s="16" t="s">
        <v>1166</v>
      </c>
      <c r="D800" s="17">
        <f>VLOOKUP(A796,'Neraca Unaudited SIMAK'!$A$2:$S$10004,4,FALSE)</f>
        <v>1435920000</v>
      </c>
      <c r="E800" s="25">
        <f>SUMIFS('Daftar Koreksi'!$H$5:$H$92,'Daftar Koreksi'!$D$5:$D$92,'0700'!A796,'Daftar Koreksi'!$G$5:$G$92,"Tanah",'Daftar Koreksi'!$H$5:$H$92,"&gt;0")</f>
        <v>0</v>
      </c>
      <c r="F800" s="25">
        <f>SUMIFS('Daftar Koreksi'!$H$5:$H$92,'Daftar Koreksi'!$D$5:$D$92,'0700'!A796,'Daftar Koreksi'!$G$5:$G$92,"Tanah",'Daftar Koreksi'!$H$5:$H$92,"&lt;0")-SUMIFS('Daftar Koreksi'!$H$5:$H$92,'Daftar Koreksi'!$D$5:$D$92,'0700'!A796,'Daftar Koreksi'!$G$5:$G$92,"Tanah",'Daftar Koreksi'!$H$5:$H$92,"&lt;0")-SUMIFS('Daftar Koreksi'!$H$5:$H$92,'Daftar Koreksi'!$D$5:$D$92,'0700'!A796,'Daftar Koreksi'!$G$5:$G$92,"Tanah",'Daftar Koreksi'!$H$5:$H$92,"&lt;0")</f>
        <v>0</v>
      </c>
      <c r="G800" s="17">
        <f t="shared" ref="G800:G816" si="36">D800+E800-F800</f>
        <v>1435920000</v>
      </c>
      <c r="H800" s="122"/>
    </row>
    <row r="801" spans="1:8" ht="21.95" customHeight="1">
      <c r="A801" s="14"/>
      <c r="B801" s="14"/>
      <c r="C801" s="16" t="s">
        <v>1167</v>
      </c>
      <c r="D801" s="17">
        <f>VLOOKUP(A796,'Neraca Unaudited SIMAK'!$A$2:$S$10004,5,FALSE)</f>
        <v>2245026134</v>
      </c>
      <c r="E801" s="25">
        <f>SUMIFS('Daftar Koreksi'!$H$5:$H$92,'Daftar Koreksi'!$D$5:$D$92,'0700'!A796,'Daftar Koreksi'!$G$5:$G$92,"Peralatan dan mesin",'Daftar Koreksi'!$H$5:$H$92,"&gt;0")</f>
        <v>0</v>
      </c>
      <c r="F801" s="25">
        <f>SUMIFS('Daftar Koreksi'!$H$5:$H$92,'Daftar Koreksi'!$D$5:$D$92,'0700'!A796,'Daftar Koreksi'!$G$5:$G$92,"Peralatan dan mesin",'Daftar Koreksi'!$H$5:$H$92,"&lt;0")-SUMIFS('Daftar Koreksi'!$H$5:$H$92,'Daftar Koreksi'!$D$5:$D$92,'0700'!A796,'Daftar Koreksi'!$G$5:$G$92,"Peralatan dan mesin",'Daftar Koreksi'!$H$5:$H$92,"&lt;0")-SUMIFS('Daftar Koreksi'!$H$5:$H$92,'Daftar Koreksi'!$D$5:$D$92,'0700'!A796,'Daftar Koreksi'!$G$5:$G$92,"Peralatan dan mesin",'Daftar Koreksi'!$H$5:$H$92,"&lt;0")</f>
        <v>0</v>
      </c>
      <c r="G801" s="17">
        <f t="shared" si="36"/>
        <v>2245026134</v>
      </c>
      <c r="H801" s="122"/>
    </row>
    <row r="802" spans="1:8" ht="21.95" customHeight="1">
      <c r="A802" s="14"/>
      <c r="B802" s="14"/>
      <c r="C802" s="16" t="s">
        <v>1168</v>
      </c>
      <c r="D802" s="17">
        <f>VLOOKUP(A796,'Neraca Unaudited SIMAK'!$A$2:$S$10004,6,FALSE)</f>
        <v>4838474700</v>
      </c>
      <c r="E802" s="25">
        <f>SUMIFS('Daftar Koreksi'!$H$5:$H$92,'Daftar Koreksi'!$D$5:$D$92,'0700'!A796,'Daftar Koreksi'!$G$5:$G$92,"Gedung dan Bangunan",'Daftar Koreksi'!$H$5:$H$92,"&gt;0")</f>
        <v>0</v>
      </c>
      <c r="F802" s="25">
        <f>SUMIFS('Daftar Koreksi'!$H$5:$H$92,'Daftar Koreksi'!$D$5:$D$92,'0700'!A796,'Daftar Koreksi'!$G$5:$G$92,"Gedung dan Bangunan",'Daftar Koreksi'!$H$5:$H$92,"&lt;0")-SUMIFS('Daftar Koreksi'!$H$5:$H$92,'Daftar Koreksi'!$D$5:$D$92,'0700'!A796,'Daftar Koreksi'!$G$5:$G$92,"Gedung dan Bangunan",'Daftar Koreksi'!$H$5:$H$92,"&lt;0")-SUMIFS('Daftar Koreksi'!$H$5:$H$92,'Daftar Koreksi'!$D$5:$D$92,'0700'!A796,'Daftar Koreksi'!$G$5:$G$92,"Gedung dan Bangunan",'Daftar Koreksi'!$H$5:$H$92,"&lt;0")</f>
        <v>0</v>
      </c>
      <c r="G802" s="17">
        <f t="shared" si="36"/>
        <v>4838474700</v>
      </c>
      <c r="H802" s="122"/>
    </row>
    <row r="803" spans="1:8" ht="21.95" customHeight="1">
      <c r="A803" s="14"/>
      <c r="B803" s="14"/>
      <c r="C803" s="16" t="s">
        <v>1169</v>
      </c>
      <c r="D803" s="17">
        <f>VLOOKUP(A796,'Neraca Unaudited SIMAK'!$A$2:$S$10004,7,FALSE)</f>
        <v>166992000</v>
      </c>
      <c r="E803" s="25">
        <f>SUMIFS('Daftar Koreksi'!$H$5:$H$92,'Daftar Koreksi'!$D$5:$D$92,'0700'!A796,'Daftar Koreksi'!$G$5:$G$92,"Jalan Irigasi Jaringan",'Daftar Koreksi'!$H$5:$H$92,"&gt;0")</f>
        <v>0</v>
      </c>
      <c r="F803" s="25">
        <f>SUMIFS('Daftar Koreksi'!$H$5:$H$92,'Daftar Koreksi'!$D$5:$D$92,'0700'!A796,'Daftar Koreksi'!$G$5:$G$92,"Jalan Irigasi Jaringan",'Daftar Koreksi'!$H$5:$H$92,"&lt;0")-SUMIFS('Daftar Koreksi'!$H$5:$H$92,'Daftar Koreksi'!$D$5:$D$92,'0700'!A796,'Daftar Koreksi'!$G$5:$G$92,"Jalan Irigasi Jaringan",'Daftar Koreksi'!$H$5:$H$92,"&lt;0")-SUMIFS('Daftar Koreksi'!$H$5:$H$92,'Daftar Koreksi'!$D$5:$D$92,'0700'!A796,'Daftar Koreksi'!$G$5:$G$92,"Jalan Irigasi Jaringan",'Daftar Koreksi'!$H$5:$H$92,"&lt;0")</f>
        <v>0</v>
      </c>
      <c r="G803" s="17">
        <f t="shared" si="36"/>
        <v>166992000</v>
      </c>
      <c r="H803" s="122"/>
    </row>
    <row r="804" spans="1:8" ht="21.95" customHeight="1">
      <c r="A804" s="14"/>
      <c r="B804" s="14"/>
      <c r="C804" s="16" t="s">
        <v>1170</v>
      </c>
      <c r="D804" s="17">
        <f>VLOOKUP(A796,'Neraca Unaudited SIMAK'!$A$2:$S$10004,8,FALSE)</f>
        <v>408000</v>
      </c>
      <c r="E804" s="25">
        <f>SUMIFS('Daftar Koreksi'!$H$5:$H$92,'Daftar Koreksi'!$D$5:$D$92,'0700'!A796,'Daftar Koreksi'!$G$5:$G$92,"Aset Tetap Lainnya",'Daftar Koreksi'!$H$5:$H$92,"&gt;0")</f>
        <v>0</v>
      </c>
      <c r="F804" s="25">
        <f>SUMIFS('Daftar Koreksi'!$H$5:$H$92,'Daftar Koreksi'!$D$5:$D$92,'0700'!A796,'Daftar Koreksi'!$G$5:$G$92,"Aset Tetap Lainnya",'Daftar Koreksi'!$H$5:$H$92,"&lt;0")-SUMIFS('Daftar Koreksi'!$H$5:$H$92,'Daftar Koreksi'!$D$5:$D$92,'0700'!A796,'Daftar Koreksi'!$G$5:$G$92,"Aset Tetap Lainnya",'Daftar Koreksi'!$H$5:$H$92,"&lt;0")-SUMIFS('Daftar Koreksi'!$H$5:$H$92,'Daftar Koreksi'!$D$5:$D$92,'0700'!A796,'Daftar Koreksi'!$G$5:$G$92,"Aset Tetap Lainnya",'Daftar Koreksi'!$H$5:$H$92,"&lt;0")</f>
        <v>0</v>
      </c>
      <c r="G804" s="17">
        <f t="shared" si="36"/>
        <v>408000</v>
      </c>
      <c r="H804" s="122"/>
    </row>
    <row r="805" spans="1:8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Koreksi'!$D$5:$D$92,'0700'!A796,'Daftar Koreksi'!$G$5:$G$92,"Kontruksi Dalam Pengerjaan",'Daftar Koreksi'!$H$5:$H$92,"&gt;0")</f>
        <v>0</v>
      </c>
      <c r="F805" s="25">
        <f>SUMIFS('Daftar Koreksi'!$H$5:$H$92,'Daftar Koreksi'!$D$5:$D$92,'0700'!A796,'Daftar Koreksi'!$G$5:$G$92,"Kontruksi Dalam Pengerjaan",'Daftar Koreksi'!$H$5:$H$92,"&lt;0")-SUMIFS('Daftar Koreksi'!$H$5:$H$92,'Daftar Koreksi'!$D$5:$D$92,'0700'!A796,'Daftar Koreksi'!$G$5:$G$92,"Kontruksi Dalam Pengerjaan",'Daftar Koreksi'!$H$5:$H$92,"&lt;0")-SUMIFS('Daftar Koreksi'!$H$5:$H$92,'Daftar Koreksi'!$D$5:$D$92,'0700'!A796,'Daftar Koreksi'!$G$5:$G$92,"Kontruksi Dalam Pengerjaan",'Daftar Koreksi'!$H$5:$H$92,"&lt;0")</f>
        <v>0</v>
      </c>
      <c r="G805" s="17">
        <f t="shared" si="36"/>
        <v>0</v>
      </c>
      <c r="H805" s="122"/>
    </row>
    <row r="806" spans="1:8" ht="21.95" customHeight="1">
      <c r="A806" s="14"/>
      <c r="B806" s="14"/>
      <c r="C806" s="16" t="s">
        <v>1172</v>
      </c>
      <c r="D806" s="17">
        <f>VLOOKUP(A796,'Neraca Unaudited SIMAK'!$A$2:$S$10004,10,FALSE)</f>
        <v>0</v>
      </c>
      <c r="E806" s="25">
        <f>SUMIFS('Daftar Koreksi'!$H$5:$H$92,'Daftar Koreksi'!$D$5:$D$92,'0700'!A796,'Daftar Koreksi'!$G$5:$G$92,"Aset Tak Berwujud",'Daftar Koreksi'!$H$5:$H$92,"&gt;0")</f>
        <v>0</v>
      </c>
      <c r="F806" s="25">
        <f>SUMIFS('Daftar Koreksi'!$H$5:$H$92,'Daftar Koreksi'!$D$5:$D$92,'0700'!A796,'Daftar Koreksi'!$G$5:$G$92,"Aset Tak Berwujud",'Daftar Koreksi'!$H$5:$H$92,"&lt;0")-SUMIFS('Daftar Koreksi'!$H$5:$H$92,'Daftar Koreksi'!$D$5:$D$92,'0700'!A796,'Daftar Koreksi'!$G$5:$G$92,"Aset Tak Berwujud",'Daftar Koreksi'!$H$5:$H$92,"&lt;0")-SUMIFS('Daftar Koreksi'!$H$5:$H$92,'Daftar Koreksi'!$D$5:$D$92,'0700'!A796,'Daftar Koreksi'!$G$5:$G$92,"Aset Tak Berwujud",'Daftar Koreksi'!$H$5:$H$92,"&lt;0")</f>
        <v>0</v>
      </c>
      <c r="G806" s="17">
        <f t="shared" si="36"/>
        <v>0</v>
      </c>
      <c r="H806" s="122"/>
    </row>
    <row r="807" spans="1:8" ht="21.95" customHeight="1">
      <c r="A807" s="14"/>
      <c r="B807" s="14"/>
      <c r="C807" s="16" t="s">
        <v>1173</v>
      </c>
      <c r="D807" s="17">
        <f>VLOOKUP(A796,'Neraca Unaudited SIMAK'!$A$2:$S$10004,11,FALSE)</f>
        <v>0</v>
      </c>
      <c r="E807" s="25">
        <f>SUMIFS('Daftar Koreksi'!$H$5:$H$92,'Daftar Koreksi'!$D$5:$D$92,'0700'!A796,'Daftar Koreksi'!$G$5:$G$92,"Aset Henti Guna",'Daftar Koreksi'!$H$5:$H$92,"&gt;0")</f>
        <v>0</v>
      </c>
      <c r="F807" s="25">
        <f>SUMIFS('Daftar Koreksi'!$H$5:$H$92,'Daftar Koreksi'!$D$5:$D$92,'0700'!A796,'Daftar Koreksi'!$G$5:$G$92,"Aset Henti Guna",'Daftar Koreksi'!$H$5:$H$92,"&lt;0")-SUMIFS('Daftar Koreksi'!$H$5:$H$92,'Daftar Koreksi'!$D$5:$D$92,'0700'!A796,'Daftar Koreksi'!$G$5:$G$92,"Aset Henti Guna",'Daftar Koreksi'!$H$5:$H$92,"&lt;0")-SUMIFS('Daftar Koreksi'!$H$5:$H$92,'Daftar Koreksi'!$D$5:$D$92,'0700'!A796,'Daftar Koreksi'!$G$5:$G$92,"Aset Henti Guna",'Daftar Koreksi'!$H$5:$H$92,"&lt;0")</f>
        <v>0</v>
      </c>
      <c r="G807" s="17">
        <f t="shared" si="36"/>
        <v>0</v>
      </c>
      <c r="H807" s="122"/>
    </row>
    <row r="808" spans="1:8" ht="21.95" customHeight="1">
      <c r="A808" s="14"/>
      <c r="B808" s="14"/>
      <c r="C808" s="18" t="s">
        <v>2093</v>
      </c>
      <c r="D808" s="19">
        <f>VLOOKUP(A796,'Neraca Unaudited SIMAK'!$A$2:$S$10004,12,FALSE)</f>
        <v>8687250834</v>
      </c>
      <c r="E808" s="19">
        <f>SUM(E799:E807)</f>
        <v>0</v>
      </c>
      <c r="F808" s="19">
        <f>SUM(F799:F807)</f>
        <v>0</v>
      </c>
      <c r="G808" s="19">
        <f t="shared" si="36"/>
        <v>8687250834</v>
      </c>
      <c r="H808" s="122"/>
    </row>
    <row r="809" spans="1:8" ht="21.95" customHeight="1">
      <c r="A809" s="14"/>
      <c r="B809" s="14"/>
      <c r="C809" s="16" t="s">
        <v>2087</v>
      </c>
      <c r="D809" s="17">
        <f>VLOOKUP(A796,'Neraca Unaudited SIMAK'!$A$2:$S$10004,13,FALSE)</f>
        <v>-1234458289</v>
      </c>
      <c r="E809" s="25">
        <f>SUMIFS('Daftar Koreksi'!$I$5:$I$92,'Daftar Koreksi'!$D$5:$D$92,'0700'!A796,'Daftar Koreksi'!$G$5:$G$92,"Peralatan dan mesin",'Daftar Koreksi'!$I$5:$I$92,"&gt;0")</f>
        <v>0</v>
      </c>
      <c r="F809" s="25">
        <f>SUMIFS('Daftar Koreksi'!$I$5:$I$92,'Daftar Koreksi'!$D$5:$D$92,'0700'!A796,'Daftar Koreksi'!$G$5:$G$92,"Peralatan dan mesin",'Daftar Koreksi'!$I$5:$I$92,"&lt;0")-SUMIFS('Daftar Koreksi'!$I$5:$I$92,'Daftar Koreksi'!$D$5:$D$92,'0700'!A796,'Daftar Koreksi'!$G$5:$G$92,"Peralatan dan mesin",'Daftar Koreksi'!$I$5:$I$92,"&lt;0")-SUMIFS('Daftar Koreksi'!$I$5:$I$92,'Daftar Koreksi'!$D$5:$D$92,'0700'!A796,'Daftar Koreksi'!$G$5:$G$92,"Peralatan dan mesin",'Daftar Koreksi'!$I$5:$I$92,"&lt;0")</f>
        <v>0</v>
      </c>
      <c r="G809" s="17">
        <f t="shared" si="36"/>
        <v>-1234458289</v>
      </c>
      <c r="H809" s="122"/>
    </row>
    <row r="810" spans="1:8" ht="21.95" customHeight="1">
      <c r="A810" s="14"/>
      <c r="B810" s="14"/>
      <c r="C810" s="16" t="s">
        <v>2088</v>
      </c>
      <c r="D810" s="17">
        <f>VLOOKUP(A796,'Neraca Unaudited SIMAK'!$A$2:$S$10004,14,FALSE)</f>
        <v>-670238720</v>
      </c>
      <c r="E810" s="25">
        <f>SUMIFS('Daftar Koreksi'!$I$5:$I$92,'Daftar Koreksi'!$D$5:$D$92,'0700'!A796,'Daftar Koreksi'!$G$5:$G$92,"Gedung dan Bangunan",'Daftar Koreksi'!$I$5:$I$92,"&gt;0")</f>
        <v>0</v>
      </c>
      <c r="F810" s="25">
        <f>SUMIFS('Daftar Koreksi'!$I$5:$I$92,'Daftar Koreksi'!$D$5:$D$92,'0700'!A796,'Daftar Koreksi'!$G$5:$G$92,"Gedung dan Bangunan",'Daftar Koreksi'!$I$5:$I$92,"&lt;0")-SUMIFS('Daftar Koreksi'!$I$5:$I$92,'Daftar Koreksi'!$D$5:$D$92,'0700'!A796,'Daftar Koreksi'!$G$5:$G$92,"Gedung dan Bangunan",'Daftar Koreksi'!$I$5:$I$92,"&lt;0")-SUMIFS('Daftar Koreksi'!$I$5:$I$92,'Daftar Koreksi'!$D$5:$D$92,'0700'!A796,'Daftar Koreksi'!$G$5:$G$92,"Gedung dan Bangunan",'Daftar Koreksi'!$I$5:$I$92,"&lt;0")</f>
        <v>0</v>
      </c>
      <c r="G810" s="17">
        <f t="shared" si="36"/>
        <v>-670238720</v>
      </c>
      <c r="H810" s="122"/>
    </row>
    <row r="811" spans="1:8" ht="21.95" customHeight="1">
      <c r="A811" s="14"/>
      <c r="B811" s="14"/>
      <c r="C811" s="16" t="s">
        <v>2089</v>
      </c>
      <c r="D811" s="17">
        <f>VLOOKUP(A796,'Neraca Unaudited SIMAK'!$A$2:$S$10004,15,FALSE)</f>
        <v>-17740766</v>
      </c>
      <c r="E811" s="25">
        <f>SUMIFS('Daftar Koreksi'!$I$5:$I$92,'Daftar Koreksi'!$D$5:$D$92,'0700'!A796,'Daftar Koreksi'!$G$5:$G$92,"Jalan Irigasi Jaringan",'Daftar Koreksi'!$I$5:$I$92,"&gt;0")</f>
        <v>0</v>
      </c>
      <c r="F811" s="25">
        <f>SUMIFS('Daftar Koreksi'!$I$5:$I$92,'Daftar Koreksi'!$D$5:$D$92,'0700'!A796,'Daftar Koreksi'!$G$5:$G$92,"Jalan Irigasi Jaringan",'Daftar Koreksi'!$I$5:$I$92,"&lt;0")-SUMIFS('Daftar Koreksi'!$I$5:$I$92,'Daftar Koreksi'!$D$5:$D$92,'0700'!A796,'Daftar Koreksi'!$G$5:$G$92,"Jalan Irigasi Jaringan",'Daftar Koreksi'!$I$5:$I$92,"&lt;0")-SUMIFS('Daftar Koreksi'!$I$5:$I$92,'Daftar Koreksi'!$D$5:$D$92,'0700'!A796,'Daftar Koreksi'!$G$5:$G$92,"Jalan Irigasi Jaringan",'Daftar Koreksi'!$I$5:$I$92,"&lt;0")</f>
        <v>0</v>
      </c>
      <c r="G811" s="17">
        <f t="shared" si="36"/>
        <v>-17740766</v>
      </c>
      <c r="H811" s="122"/>
    </row>
    <row r="812" spans="1:8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Koreksi'!$D$5:$D$92,'0700'!A796,'Daftar Koreksi'!$G$5:$G$92,"Aset Tetap Lainnya",'Daftar Koreksi'!$I$5:$I$92,"&gt;0")</f>
        <v>0</v>
      </c>
      <c r="F812" s="25">
        <f>SUMIFS('Daftar Koreksi'!$I$5:$I$92,'Daftar Koreksi'!$D$5:$D$92,'0700'!A796,'Daftar Koreksi'!$G$5:$G$92,"Aset Tetap Lainnya",'Daftar Koreksi'!$I$5:$I$92,"&lt;0")-SUMIFS('Daftar Koreksi'!$I$5:$I$92,'Daftar Koreksi'!$D$5:$D$92,'0700'!A796,'Daftar Koreksi'!$G$5:$G$92,"Aset Tetap Lainnya",'Daftar Koreksi'!$I$5:$I$92,"&lt;0")-SUMIFS('Daftar Koreksi'!$I$5:$I$92,'Daftar Koreksi'!$D$5:$D$92,'0700'!A796,'Daftar Koreksi'!$G$5:$G$92,"Aset Tetap Lainnya",'Daftar Koreksi'!$I$5:$I$92,"&lt;0")</f>
        <v>0</v>
      </c>
      <c r="G812" s="17">
        <f t="shared" si="36"/>
        <v>0</v>
      </c>
      <c r="H812" s="122"/>
    </row>
    <row r="813" spans="1:8" ht="21.95" customHeight="1">
      <c r="A813" s="14"/>
      <c r="B813" s="14"/>
      <c r="C813" s="16" t="s">
        <v>2020</v>
      </c>
      <c r="D813" s="17">
        <f>VLOOKUP(A796,'Neraca Unaudited SIMAK'!$A$2:$S$10004,17,FALSE)</f>
        <v>0</v>
      </c>
      <c r="E813" s="25">
        <f>SUMIFS('Daftar Koreksi'!$I$5:$I$92,'Daftar Koreksi'!$D$5:$D$92,'0700'!A796,'Daftar Koreksi'!$G$5:$G$92,"Aset Henti Guna",'Daftar Koreksi'!$I$5:$I$92,"&gt;0")</f>
        <v>0</v>
      </c>
      <c r="F813" s="25">
        <f>SUMIFS('Daftar Koreksi'!$I$5:$I$92,'Daftar Koreksi'!$D$5:$D$92,'0700'!A796,'Daftar Koreksi'!$G$5:$G$92,"Aset Henti Guna",'Daftar Koreksi'!$I$5:$I$92,"&lt;0")-SUMIFS('Daftar Koreksi'!$I$5:$I$92,'Daftar Koreksi'!$D$5:$D$92,'0700'!A796,'Daftar Koreksi'!$G$5:$G$92,"Aset Henti Guna",'Daftar Koreksi'!$I$5:$I$92,"&lt;0")-SUMIFS('Daftar Koreksi'!$I$5:$I$92,'Daftar Koreksi'!$D$5:$D$92,'0700'!A796,'Daftar Koreksi'!$G$5:$G$92,"Aset Henti Guna",'Daftar Koreksi'!$I$5:$I$92,"&lt;0")</f>
        <v>0</v>
      </c>
      <c r="G813" s="17">
        <f t="shared" si="36"/>
        <v>0</v>
      </c>
      <c r="H813" s="122"/>
    </row>
    <row r="814" spans="1:8" ht="21.95" customHeight="1">
      <c r="A814" s="14"/>
      <c r="B814" s="14"/>
      <c r="C814" s="18" t="s">
        <v>2094</v>
      </c>
      <c r="D814" s="19">
        <f>SUM(D809:D813)</f>
        <v>-1922437775</v>
      </c>
      <c r="E814" s="19">
        <f>SUM(E809:E813)</f>
        <v>0</v>
      </c>
      <c r="F814" s="19">
        <f>SUM(F809:F813)</f>
        <v>0</v>
      </c>
      <c r="G814" s="19">
        <f t="shared" si="36"/>
        <v>-1922437775</v>
      </c>
      <c r="H814" s="122"/>
    </row>
    <row r="815" spans="1:8" ht="21.95" customHeight="1">
      <c r="A815" s="14"/>
      <c r="B815" s="14"/>
      <c r="C815" s="18" t="s">
        <v>2095</v>
      </c>
      <c r="D815" s="19">
        <f>VLOOKUP(A796,'Neraca Unaudited SIMAK'!$A$2:$S$10004,18,FALSE)</f>
        <v>6764813059</v>
      </c>
      <c r="E815" s="19">
        <f>E814+E808</f>
        <v>0</v>
      </c>
      <c r="F815" s="19">
        <f>F814+F808</f>
        <v>0</v>
      </c>
      <c r="G815" s="19">
        <f t="shared" si="36"/>
        <v>6764813059</v>
      </c>
      <c r="H815" s="122"/>
    </row>
    <row r="816" spans="1:8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</row>
    <row r="818" spans="1:8" ht="19.5" customHeight="1">
      <c r="A818" s="11" t="str">
        <f>O38</f>
        <v>005010700604744000KD</v>
      </c>
      <c r="B818" s="11" t="str">
        <f>P38</f>
        <v>PA. Pandan</v>
      </c>
      <c r="C818" s="12" t="str">
        <f>A818&amp;" "&amp;B818</f>
        <v>005010700604744000KD PA. Pandan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357600</v>
      </c>
      <c r="E821" s="25">
        <f>SUMIFS('Daftar Koreksi'!$H$5:$H$92,'Daftar Koreksi'!$D$5:$D$92,'0700'!A818,'Daftar Koreksi'!$G$5:$G$92,"Persediaan",'Daftar Koreksi'!$H$5:$H$92,"&gt;0")</f>
        <v>0</v>
      </c>
      <c r="F821" s="25">
        <f>SUMIFS('Daftar Koreksi'!$H$5:$H$92,'Daftar Koreksi'!$D$5:$D$92,'0700'!A818,'Daftar Koreksi'!$G$5:$G$92,"Persediaan",'Daftar Koreksi'!$H$5:$H$92,"&lt;0")-SUMIFS('Daftar Koreksi'!$H$5:$H$92,'Daftar Koreksi'!$D$5:$D$92,'0700'!A818,'Daftar Koreksi'!$G$5:$G$92,"Persediaan",'Daftar Koreksi'!$H$5:$H$92,"&lt;0")-SUMIFS('Daftar Koreksi'!$H$5:$H$92,'Daftar Koreksi'!$D$5:$D$92,'0700'!A818,'Daftar Koreksi'!$G$5:$G$92,"Persediaan",'Daftar Koreksi'!$H$5:$H$92,"&lt;0")</f>
        <v>0</v>
      </c>
      <c r="G821" s="17">
        <f>D821+E821-F821</f>
        <v>357600</v>
      </c>
      <c r="H821" s="121" t="str">
        <f>IF(ISNA(VLOOKUP(A818,'Mutasi Neraca'!$A$3:$S$914,19,FALSE)),"-",VLOOKUP(A818,'Mutasi Neraca'!$A$3:$S$914,19,FALSE))</f>
        <v>-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2829260000</v>
      </c>
      <c r="E822" s="25">
        <f>SUMIFS('Daftar Koreksi'!$H$5:$H$92,'Daftar Koreksi'!$D$5:$D$92,'0700'!A818,'Daftar Koreksi'!$G$5:$G$92,"Tanah",'Daftar Koreksi'!$H$5:$H$92,"&gt;0")</f>
        <v>0</v>
      </c>
      <c r="F822" s="25">
        <f>SUMIFS('Daftar Koreksi'!$H$5:$H$92,'Daftar Koreksi'!$D$5:$D$92,'0700'!A818,'Daftar Koreksi'!$G$5:$G$92,"Tanah",'Daftar Koreksi'!$H$5:$H$92,"&lt;0")-SUMIFS('Daftar Koreksi'!$H$5:$H$92,'Daftar Koreksi'!$D$5:$D$92,'0700'!A818,'Daftar Koreksi'!$G$5:$G$92,"Tanah",'Daftar Koreksi'!$H$5:$H$92,"&lt;0")-SUMIFS('Daftar Koreksi'!$H$5:$H$92,'Daftar Koreksi'!$D$5:$D$92,'0700'!A818,'Daftar Koreksi'!$G$5:$G$92,"Tanah",'Daftar Koreksi'!$H$5:$H$92,"&lt;0")</f>
        <v>0</v>
      </c>
      <c r="G822" s="17">
        <f t="shared" ref="G822:G838" si="37">D822+E822-F822</f>
        <v>2829260000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1122323594</v>
      </c>
      <c r="E823" s="25">
        <f>SUMIFS('Daftar Koreksi'!$H$5:$H$92,'Daftar Koreksi'!$D$5:$D$92,'0700'!A818,'Daftar Koreksi'!$G$5:$G$92,"Peralatan dan mesin",'Daftar Koreksi'!$H$5:$H$92,"&gt;0")</f>
        <v>0</v>
      </c>
      <c r="F823" s="25">
        <f>SUMIFS('Daftar Koreksi'!$H$5:$H$92,'Daftar Koreksi'!$D$5:$D$92,'0700'!A818,'Daftar Koreksi'!$G$5:$G$92,"Peralatan dan mesin",'Daftar Koreksi'!$H$5:$H$92,"&lt;0")-SUMIFS('Daftar Koreksi'!$H$5:$H$92,'Daftar Koreksi'!$D$5:$D$92,'0700'!A818,'Daftar Koreksi'!$G$5:$G$92,"Peralatan dan mesin",'Daftar Koreksi'!$H$5:$H$92,"&lt;0")-SUMIFS('Daftar Koreksi'!$H$5:$H$92,'Daftar Koreksi'!$D$5:$D$92,'0700'!A818,'Daftar Koreksi'!$G$5:$G$92,"Peralatan dan mesin",'Daftar Koreksi'!$H$5:$H$92,"&lt;0")</f>
        <v>0</v>
      </c>
      <c r="G823" s="17">
        <f t="shared" si="37"/>
        <v>1122323594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800586000</v>
      </c>
      <c r="E824" s="25">
        <f>SUMIFS('Daftar Koreksi'!$H$5:$H$92,'Daftar Koreksi'!$D$5:$D$92,'0700'!A818,'Daftar Koreksi'!$G$5:$G$92,"Gedung dan Bangunan",'Daftar Koreksi'!$H$5:$H$92,"&gt;0")</f>
        <v>0</v>
      </c>
      <c r="F824" s="25">
        <f>SUMIFS('Daftar Koreksi'!$H$5:$H$92,'Daftar Koreksi'!$D$5:$D$92,'0700'!A818,'Daftar Koreksi'!$G$5:$G$92,"Gedung dan Bangunan",'Daftar Koreksi'!$H$5:$H$92,"&lt;0")-SUMIFS('Daftar Koreksi'!$H$5:$H$92,'Daftar Koreksi'!$D$5:$D$92,'0700'!A818,'Daftar Koreksi'!$G$5:$G$92,"Gedung dan Bangunan",'Daftar Koreksi'!$H$5:$H$92,"&lt;0")-SUMIFS('Daftar Koreksi'!$H$5:$H$92,'Daftar Koreksi'!$D$5:$D$92,'0700'!A818,'Daftar Koreksi'!$G$5:$G$92,"Gedung dan Bangunan",'Daftar Koreksi'!$H$5:$H$92,"&lt;0")</f>
        <v>0</v>
      </c>
      <c r="G824" s="17">
        <f t="shared" si="37"/>
        <v>800586000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49996600</v>
      </c>
      <c r="E825" s="25">
        <f>SUMIFS('Daftar Koreksi'!$H$5:$H$92,'Daftar Koreksi'!$D$5:$D$92,'0700'!A818,'Daftar Koreksi'!$G$5:$G$92,"Jalan Irigasi Jaringan",'Daftar Koreksi'!$H$5:$H$92,"&gt;0")</f>
        <v>0</v>
      </c>
      <c r="F825" s="25">
        <f>SUMIFS('Daftar Koreksi'!$H$5:$H$92,'Daftar Koreksi'!$D$5:$D$92,'0700'!A818,'Daftar Koreksi'!$G$5:$G$92,"Jalan Irigasi Jaringan",'Daftar Koreksi'!$H$5:$H$92,"&lt;0")-SUMIFS('Daftar Koreksi'!$H$5:$H$92,'Daftar Koreksi'!$D$5:$D$92,'0700'!A818,'Daftar Koreksi'!$G$5:$G$92,"Jalan Irigasi Jaringan",'Daftar Koreksi'!$H$5:$H$92,"&lt;0")-SUMIFS('Daftar Koreksi'!$H$5:$H$92,'Daftar Koreksi'!$D$5:$D$92,'0700'!A818,'Daftar Koreksi'!$G$5:$G$92,"Jalan Irigasi Jaringan",'Daftar Koreksi'!$H$5:$H$92,"&lt;0")</f>
        <v>0</v>
      </c>
      <c r="G825" s="17">
        <f t="shared" si="37"/>
        <v>49996600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408000</v>
      </c>
      <c r="E826" s="25">
        <f>SUMIFS('Daftar Koreksi'!$H$5:$H$92,'Daftar Koreksi'!$D$5:$D$92,'0700'!A818,'Daftar Koreksi'!$G$5:$G$92,"Aset Tetap Lainnya",'Daftar Koreksi'!$H$5:$H$92,"&gt;0")</f>
        <v>0</v>
      </c>
      <c r="F826" s="25">
        <f>SUMIFS('Daftar Koreksi'!$H$5:$H$92,'Daftar Koreksi'!$D$5:$D$92,'0700'!A818,'Daftar Koreksi'!$G$5:$G$92,"Aset Tetap Lainnya",'Daftar Koreksi'!$H$5:$H$92,"&lt;0")-SUMIFS('Daftar Koreksi'!$H$5:$H$92,'Daftar Koreksi'!$D$5:$D$92,'0700'!A818,'Daftar Koreksi'!$G$5:$G$92,"Aset Tetap Lainnya",'Daftar Koreksi'!$H$5:$H$92,"&lt;0")-SUMIFS('Daftar Koreksi'!$H$5:$H$92,'Daftar Koreksi'!$D$5:$D$92,'0700'!A818,'Daftar Koreksi'!$G$5:$G$92,"Aset Tetap Lainnya",'Daftar Koreksi'!$H$5:$H$92,"&lt;0")</f>
        <v>0</v>
      </c>
      <c r="G826" s="17">
        <f t="shared" si="37"/>
        <v>408000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Koreksi'!$D$5:$D$92,'0700'!A818,'Daftar Koreksi'!$G$5:$G$92,"Kontruksi Dalam Pengerjaan",'Daftar Koreksi'!$H$5:$H$92,"&gt;0")</f>
        <v>0</v>
      </c>
      <c r="F827" s="25">
        <f>SUMIFS('Daftar Koreksi'!$H$5:$H$92,'Daftar Koreksi'!$D$5:$D$92,'0700'!A818,'Daftar Koreksi'!$G$5:$G$92,"Kontruksi Dalam Pengerjaan",'Daftar Koreksi'!$H$5:$H$92,"&lt;0")-SUMIFS('Daftar Koreksi'!$H$5:$H$92,'Daftar Koreksi'!$D$5:$D$92,'0700'!A818,'Daftar Koreksi'!$G$5:$G$92,"Kontruksi Dalam Pengerjaan",'Daftar Koreksi'!$H$5:$H$92,"&lt;0")-SUMIFS('Daftar Koreksi'!$H$5:$H$92,'Daftar Koreksi'!$D$5:$D$92,'0700'!A818,'Daftar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0</v>
      </c>
      <c r="E828" s="25">
        <f>SUMIFS('Daftar Koreksi'!$H$5:$H$92,'Daftar Koreksi'!$D$5:$D$92,'0700'!A818,'Daftar Koreksi'!$G$5:$G$92,"Aset Tak Berwujud",'Daftar Koreksi'!$H$5:$H$92,"&gt;0")</f>
        <v>0</v>
      </c>
      <c r="F828" s="25">
        <f>SUMIFS('Daftar Koreksi'!$H$5:$H$92,'Daftar Koreksi'!$D$5:$D$92,'0700'!A818,'Daftar Koreksi'!$G$5:$G$92,"Aset Tak Berwujud",'Daftar Koreksi'!$H$5:$H$92,"&lt;0")-SUMIFS('Daftar Koreksi'!$H$5:$H$92,'Daftar Koreksi'!$D$5:$D$92,'0700'!A818,'Daftar Koreksi'!$G$5:$G$92,"Aset Tak Berwujud",'Daftar Koreksi'!$H$5:$H$92,"&lt;0")-SUMIFS('Daftar Koreksi'!$H$5:$H$92,'Daftar Koreksi'!$D$5:$D$92,'0700'!A818,'Daftar Koreksi'!$G$5:$G$92,"Aset Tak Berwujud",'Daftar Koreksi'!$H$5:$H$92,"&lt;0")</f>
        <v>0</v>
      </c>
      <c r="G828" s="17">
        <f t="shared" si="37"/>
        <v>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14638298</v>
      </c>
      <c r="E829" s="25">
        <f>SUMIFS('Daftar Koreksi'!$H$5:$H$92,'Daftar Koreksi'!$D$5:$D$92,'0700'!A818,'Daftar Koreksi'!$G$5:$G$92,"Aset Henti Guna",'Daftar Koreksi'!$H$5:$H$92,"&gt;0")</f>
        <v>0</v>
      </c>
      <c r="F829" s="25">
        <f>SUMIFS('Daftar Koreksi'!$H$5:$H$92,'Daftar Koreksi'!$D$5:$D$92,'0700'!A818,'Daftar Koreksi'!$G$5:$G$92,"Aset Henti Guna",'Daftar Koreksi'!$H$5:$H$92,"&lt;0")-SUMIFS('Daftar Koreksi'!$H$5:$H$92,'Daftar Koreksi'!$D$5:$D$92,'0700'!A818,'Daftar Koreksi'!$G$5:$G$92,"Aset Henti Guna",'Daftar Koreksi'!$H$5:$H$92,"&lt;0")-SUMIFS('Daftar Koreksi'!$H$5:$H$92,'Daftar Koreksi'!$D$5:$D$92,'0700'!A818,'Daftar Koreksi'!$G$5:$G$92,"Aset Henti Guna",'Daftar Koreksi'!$H$5:$H$92,"&lt;0")</f>
        <v>0</v>
      </c>
      <c r="G829" s="17">
        <f t="shared" si="37"/>
        <v>14638298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4817570092</v>
      </c>
      <c r="E830" s="19">
        <f>SUM(E821:E829)</f>
        <v>0</v>
      </c>
      <c r="F830" s="19">
        <f>SUM(F821:F829)</f>
        <v>0</v>
      </c>
      <c r="G830" s="19">
        <f t="shared" si="37"/>
        <v>4817570092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-1076605844</v>
      </c>
      <c r="E831" s="25">
        <f>SUMIFS('Daftar Koreksi'!$I$5:$I$92,'Daftar Koreksi'!$D$5:$D$92,'0700'!A818,'Daftar Koreksi'!$G$5:$G$92,"Peralatan dan mesin",'Daftar Koreksi'!$I$5:$I$92,"&gt;0")</f>
        <v>0</v>
      </c>
      <c r="F831" s="25">
        <f>SUMIFS('Daftar Koreksi'!$I$5:$I$92,'Daftar Koreksi'!$D$5:$D$92,'0700'!A818,'Daftar Koreksi'!$G$5:$G$92,"Peralatan dan mesin",'Daftar Koreksi'!$I$5:$I$92,"&lt;0")-SUMIFS('Daftar Koreksi'!$I$5:$I$92,'Daftar Koreksi'!$D$5:$D$92,'0700'!A818,'Daftar Koreksi'!$G$5:$G$92,"Peralatan dan mesin",'Daftar Koreksi'!$I$5:$I$92,"&lt;0")-SUMIFS('Daftar Koreksi'!$I$5:$I$92,'Daftar Koreksi'!$D$5:$D$92,'0700'!A818,'Daftar Koreksi'!$G$5:$G$92,"Peralatan dan mesin",'Daftar Koreksi'!$I$5:$I$92,"&lt;0")</f>
        <v>0</v>
      </c>
      <c r="G831" s="17">
        <f t="shared" si="37"/>
        <v>-1076605844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-207766330</v>
      </c>
      <c r="E832" s="25">
        <f>SUMIFS('Daftar Koreksi'!$I$5:$I$92,'Daftar Koreksi'!$D$5:$D$92,'0700'!A818,'Daftar Koreksi'!$G$5:$G$92,"Gedung dan Bangunan",'Daftar Koreksi'!$I$5:$I$92,"&gt;0")</f>
        <v>0</v>
      </c>
      <c r="F832" s="25">
        <f>SUMIFS('Daftar Koreksi'!$I$5:$I$92,'Daftar Koreksi'!$D$5:$D$92,'0700'!A818,'Daftar Koreksi'!$G$5:$G$92,"Gedung dan Bangunan",'Daftar Koreksi'!$I$5:$I$92,"&lt;0")-SUMIFS('Daftar Koreksi'!$I$5:$I$92,'Daftar Koreksi'!$D$5:$D$92,'0700'!A818,'Daftar Koreksi'!$G$5:$G$92,"Gedung dan Bangunan",'Daftar Koreksi'!$I$5:$I$92,"&lt;0")-SUMIFS('Daftar Koreksi'!$I$5:$I$92,'Daftar Koreksi'!$D$5:$D$92,'0700'!A818,'Daftar Koreksi'!$G$5:$G$92,"Gedung dan Bangunan",'Daftar Koreksi'!$I$5:$I$92,"&lt;0")</f>
        <v>0</v>
      </c>
      <c r="G832" s="17">
        <f t="shared" si="37"/>
        <v>-207766330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-624958</v>
      </c>
      <c r="E833" s="25">
        <f>SUMIFS('Daftar Koreksi'!$I$5:$I$92,'Daftar Koreksi'!$D$5:$D$92,'0700'!A818,'Daftar Koreksi'!$G$5:$G$92,"Jalan Irigasi Jaringan",'Daftar Koreksi'!$I$5:$I$92,"&gt;0")</f>
        <v>0</v>
      </c>
      <c r="F833" s="25">
        <f>SUMIFS('Daftar Koreksi'!$I$5:$I$92,'Daftar Koreksi'!$D$5:$D$92,'0700'!A818,'Daftar Koreksi'!$G$5:$G$92,"Jalan Irigasi Jaringan",'Daftar Koreksi'!$I$5:$I$92,"&lt;0")-SUMIFS('Daftar Koreksi'!$I$5:$I$92,'Daftar Koreksi'!$D$5:$D$92,'0700'!A818,'Daftar Koreksi'!$G$5:$G$92,"Jalan Irigasi Jaringan",'Daftar Koreksi'!$I$5:$I$92,"&lt;0")-SUMIFS('Daftar Koreksi'!$I$5:$I$92,'Daftar Koreksi'!$D$5:$D$92,'0700'!A818,'Daftar Koreksi'!$G$5:$G$92,"Jalan Irigasi Jaringan",'Daftar Koreksi'!$I$5:$I$92,"&lt;0")</f>
        <v>0</v>
      </c>
      <c r="G833" s="17">
        <f t="shared" si="37"/>
        <v>-624958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Koreksi'!$D$5:$D$92,'0700'!A818,'Daftar Koreksi'!$G$5:$G$92,"Aset Tetap Lainnya",'Daftar Koreksi'!$I$5:$I$92,"&gt;0")</f>
        <v>0</v>
      </c>
      <c r="F834" s="25">
        <f>SUMIFS('Daftar Koreksi'!$I$5:$I$92,'Daftar Koreksi'!$D$5:$D$92,'0700'!A818,'Daftar Koreksi'!$G$5:$G$92,"Aset Tetap Lainnya",'Daftar Koreksi'!$I$5:$I$92,"&lt;0")-SUMIFS('Daftar Koreksi'!$I$5:$I$92,'Daftar Koreksi'!$D$5:$D$92,'0700'!A818,'Daftar Koreksi'!$G$5:$G$92,"Aset Tetap Lainnya",'Daftar Koreksi'!$I$5:$I$92,"&lt;0")-SUMIFS('Daftar Koreksi'!$I$5:$I$92,'Daftar Koreksi'!$D$5:$D$92,'0700'!A818,'Daftar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-14638298</v>
      </c>
      <c r="E835" s="25">
        <f>SUMIFS('Daftar Koreksi'!$I$5:$I$92,'Daftar Koreksi'!$D$5:$D$92,'0700'!A818,'Daftar Koreksi'!$G$5:$G$92,"Aset Henti Guna",'Daftar Koreksi'!$I$5:$I$92,"&gt;0")</f>
        <v>0</v>
      </c>
      <c r="F835" s="25">
        <f>SUMIFS('Daftar Koreksi'!$I$5:$I$92,'Daftar Koreksi'!$D$5:$D$92,'0700'!A818,'Daftar Koreksi'!$G$5:$G$92,"Aset Henti Guna",'Daftar Koreksi'!$I$5:$I$92,"&lt;0")-SUMIFS('Daftar Koreksi'!$I$5:$I$92,'Daftar Koreksi'!$D$5:$D$92,'0700'!A818,'Daftar Koreksi'!$G$5:$G$92,"Aset Henti Guna",'Daftar Koreksi'!$I$5:$I$92,"&lt;0")-SUMIFS('Daftar Koreksi'!$I$5:$I$92,'Daftar Koreksi'!$D$5:$D$92,'0700'!A818,'Daftar Koreksi'!$G$5:$G$92,"Aset Henti Guna",'Daftar Koreksi'!$I$5:$I$92,"&lt;0")</f>
        <v>0</v>
      </c>
      <c r="G835" s="17">
        <f t="shared" si="37"/>
        <v>-14638298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-1299635430</v>
      </c>
      <c r="E836" s="19">
        <f>SUM(E831:E835)</f>
        <v>0</v>
      </c>
      <c r="F836" s="19">
        <f>SUM(F831:F835)</f>
        <v>0</v>
      </c>
      <c r="G836" s="19">
        <f t="shared" si="37"/>
        <v>-1299635430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3517934662</v>
      </c>
      <c r="E837" s="19">
        <f>E836+E830</f>
        <v>0</v>
      </c>
      <c r="F837" s="19">
        <f>F836+F830</f>
        <v>0</v>
      </c>
      <c r="G837" s="19">
        <f t="shared" si="37"/>
        <v>3517934662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005010700631978000KD</v>
      </c>
      <c r="B840" s="11" t="str">
        <f>P39</f>
        <v>PA. Tarutung</v>
      </c>
      <c r="C840" s="12" t="str">
        <f>A840&amp;" "&amp;B840</f>
        <v>005010700631978000KD PA. Tarutung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238000</v>
      </c>
      <c r="E843" s="25">
        <f>SUMIFS('Daftar Koreksi'!$H$5:$H$92,'Daftar Koreksi'!$D$5:$D$92,'0700'!A840,'Daftar Koreksi'!$G$5:$G$92,"Persediaan",'Daftar Koreksi'!$H$5:$H$92,"&gt;0")</f>
        <v>0</v>
      </c>
      <c r="F843" s="25">
        <f>SUMIFS('Daftar Koreksi'!$H$5:$H$92,'Daftar Koreksi'!$D$5:$D$92,'0700'!A840,'Daftar Koreksi'!$G$5:$G$92,"Persediaan",'Daftar Koreksi'!$H$5:$H$92,"&lt;0")-SUMIFS('Daftar Koreksi'!$H$5:$H$92,'Daftar Koreksi'!$D$5:$D$92,'0700'!A840,'Daftar Koreksi'!$G$5:$G$92,"Persediaan",'Daftar Koreksi'!$H$5:$H$92,"&lt;0")-SUMIFS('Daftar Koreksi'!$H$5:$H$92,'Daftar Koreksi'!$D$5:$D$92,'0700'!A840,'Daftar Koreksi'!$G$5:$G$92,"Persediaan",'Daftar Koreksi'!$H$5:$H$92,"&lt;0")</f>
        <v>0</v>
      </c>
      <c r="G843" s="17">
        <f>D843+E843-F843</f>
        <v>238000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555400000</v>
      </c>
      <c r="E844" s="25">
        <f>SUMIFS('Daftar Koreksi'!$H$5:$H$92,'Daftar Koreksi'!$D$5:$D$92,'0700'!A840,'Daftar Koreksi'!$G$5:$G$92,"Tanah",'Daftar Koreksi'!$H$5:$H$92,"&gt;0")</f>
        <v>0</v>
      </c>
      <c r="F844" s="25">
        <f>SUMIFS('Daftar Koreksi'!$H$5:$H$92,'Daftar Koreksi'!$D$5:$D$92,'0700'!A840,'Daftar Koreksi'!$G$5:$G$92,"Tanah",'Daftar Koreksi'!$H$5:$H$92,"&lt;0")-SUMIFS('Daftar Koreksi'!$H$5:$H$92,'Daftar Koreksi'!$D$5:$D$92,'0700'!A840,'Daftar Koreksi'!$G$5:$G$92,"Tanah",'Daftar Koreksi'!$H$5:$H$92,"&lt;0")-SUMIFS('Daftar Koreksi'!$H$5:$H$92,'Daftar Koreksi'!$D$5:$D$92,'0700'!A840,'Daftar Koreksi'!$G$5:$G$92,"Tanah",'Daftar Koreksi'!$H$5:$H$92,"&lt;0")</f>
        <v>0</v>
      </c>
      <c r="G844" s="17">
        <f t="shared" ref="G844:G860" si="38">D844+E844-F844</f>
        <v>555400000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738550712</v>
      </c>
      <c r="E845" s="25">
        <f>SUMIFS('Daftar Koreksi'!$H$5:$H$92,'Daftar Koreksi'!$D$5:$D$92,'0700'!A840,'Daftar Koreksi'!$G$5:$G$92,"Peralatan dan mesin",'Daftar Koreksi'!$H$5:$H$92,"&gt;0")</f>
        <v>0</v>
      </c>
      <c r="F845" s="25">
        <f>SUMIFS('Daftar Koreksi'!$H$5:$H$92,'Daftar Koreksi'!$D$5:$D$92,'0700'!A840,'Daftar Koreksi'!$G$5:$G$92,"Peralatan dan mesin",'Daftar Koreksi'!$H$5:$H$92,"&lt;0")-SUMIFS('Daftar Koreksi'!$H$5:$H$92,'Daftar Koreksi'!$D$5:$D$92,'0700'!A840,'Daftar Koreksi'!$G$5:$G$92,"Peralatan dan mesin",'Daftar Koreksi'!$H$5:$H$92,"&lt;0")-SUMIFS('Daftar Koreksi'!$H$5:$H$92,'Daftar Koreksi'!$D$5:$D$92,'0700'!A840,'Daftar Koreksi'!$G$5:$G$92,"Peralatan dan mesin",'Daftar Koreksi'!$H$5:$H$92,"&lt;0")</f>
        <v>0</v>
      </c>
      <c r="G845" s="17">
        <f t="shared" si="38"/>
        <v>738550712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451600000</v>
      </c>
      <c r="E846" s="25">
        <f>SUMIFS('Daftar Koreksi'!$H$5:$H$92,'Daftar Koreksi'!$D$5:$D$92,'0700'!A840,'Daftar Koreksi'!$G$5:$G$92,"Gedung dan Bangunan",'Daftar Koreksi'!$H$5:$H$92,"&gt;0")</f>
        <v>0</v>
      </c>
      <c r="F846" s="25">
        <f>SUMIFS('Daftar Koreksi'!$H$5:$H$92,'Daftar Koreksi'!$D$5:$D$92,'0700'!A840,'Daftar Koreksi'!$G$5:$G$92,"Gedung dan Bangunan",'Daftar Koreksi'!$H$5:$H$92,"&lt;0")-SUMIFS('Daftar Koreksi'!$H$5:$H$92,'Daftar Koreksi'!$D$5:$D$92,'0700'!A840,'Daftar Koreksi'!$G$5:$G$92,"Gedung dan Bangunan",'Daftar Koreksi'!$H$5:$H$92,"&lt;0")-SUMIFS('Daftar Koreksi'!$H$5:$H$92,'Daftar Koreksi'!$D$5:$D$92,'0700'!A840,'Daftar Koreksi'!$G$5:$G$92,"Gedung dan Bangunan",'Daftar Koreksi'!$H$5:$H$92,"&lt;0")</f>
        <v>0</v>
      </c>
      <c r="G846" s="17">
        <f t="shared" si="38"/>
        <v>451600000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28500000</v>
      </c>
      <c r="E847" s="25">
        <f>SUMIFS('Daftar Koreksi'!$H$5:$H$92,'Daftar Koreksi'!$D$5:$D$92,'0700'!A840,'Daftar Koreksi'!$G$5:$G$92,"Jalan Irigasi Jaringan",'Daftar Koreksi'!$H$5:$H$92,"&gt;0")</f>
        <v>0</v>
      </c>
      <c r="F847" s="25">
        <f>SUMIFS('Daftar Koreksi'!$H$5:$H$92,'Daftar Koreksi'!$D$5:$D$92,'0700'!A840,'Daftar Koreksi'!$G$5:$G$92,"Jalan Irigasi Jaringan",'Daftar Koreksi'!$H$5:$H$92,"&lt;0")-SUMIFS('Daftar Koreksi'!$H$5:$H$92,'Daftar Koreksi'!$D$5:$D$92,'0700'!A840,'Daftar Koreksi'!$G$5:$G$92,"Jalan Irigasi Jaringan",'Daftar Koreksi'!$H$5:$H$92,"&lt;0")-SUMIFS('Daftar Koreksi'!$H$5:$H$92,'Daftar Koreksi'!$D$5:$D$92,'0700'!A840,'Daftar Koreksi'!$G$5:$G$92,"Jalan Irigasi Jaringan",'Daftar Koreksi'!$H$5:$H$92,"&lt;0")</f>
        <v>0</v>
      </c>
      <c r="G847" s="17">
        <f t="shared" si="38"/>
        <v>28500000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4927050</v>
      </c>
      <c r="E848" s="25">
        <f>SUMIFS('Daftar Koreksi'!$H$5:$H$92,'Daftar Koreksi'!$D$5:$D$92,'0700'!A840,'Daftar Koreksi'!$G$5:$G$92,"Aset Tetap Lainnya",'Daftar Koreksi'!$H$5:$H$92,"&gt;0")</f>
        <v>0</v>
      </c>
      <c r="F848" s="25">
        <f>SUMIFS('Daftar Koreksi'!$H$5:$H$92,'Daftar Koreksi'!$D$5:$D$92,'0700'!A840,'Daftar Koreksi'!$G$5:$G$92,"Aset Tetap Lainnya",'Daftar Koreksi'!$H$5:$H$92,"&lt;0")-SUMIFS('Daftar Koreksi'!$H$5:$H$92,'Daftar Koreksi'!$D$5:$D$92,'0700'!A840,'Daftar Koreksi'!$G$5:$G$92,"Aset Tetap Lainnya",'Daftar Koreksi'!$H$5:$H$92,"&lt;0")-SUMIFS('Daftar Koreksi'!$H$5:$H$92,'Daftar Koreksi'!$D$5:$D$92,'0700'!A840,'Daftar Koreksi'!$G$5:$G$92,"Aset Tetap Lainnya",'Daftar Koreksi'!$H$5:$H$92,"&lt;0")</f>
        <v>0</v>
      </c>
      <c r="G848" s="17">
        <f t="shared" si="38"/>
        <v>4927050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Koreksi'!$D$5:$D$92,'0700'!A840,'Daftar Koreksi'!$G$5:$G$92,"Kontruksi Dalam Pengerjaan",'Daftar Koreksi'!$H$5:$H$92,"&gt;0")</f>
        <v>0</v>
      </c>
      <c r="F849" s="25">
        <f>SUMIFS('Daftar Koreksi'!$H$5:$H$92,'Daftar Koreksi'!$D$5:$D$92,'0700'!A840,'Daftar Koreksi'!$G$5:$G$92,"Kontruksi Dalam Pengerjaan",'Daftar Koreksi'!$H$5:$H$92,"&lt;0")-SUMIFS('Daftar Koreksi'!$H$5:$H$92,'Daftar Koreksi'!$D$5:$D$92,'0700'!A840,'Daftar Koreksi'!$G$5:$G$92,"Kontruksi Dalam Pengerjaan",'Daftar Koreksi'!$H$5:$H$92,"&lt;0")-SUMIFS('Daftar Koreksi'!$H$5:$H$92,'Daftar Koreksi'!$D$5:$D$92,'0700'!A840,'Daftar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0</v>
      </c>
      <c r="E850" s="25">
        <f>SUMIFS('Daftar Koreksi'!$H$5:$H$92,'Daftar Koreksi'!$D$5:$D$92,'0700'!A840,'Daftar Koreksi'!$G$5:$G$92,"Aset Tak Berwujud",'Daftar Koreksi'!$H$5:$H$92,"&gt;0")</f>
        <v>0</v>
      </c>
      <c r="F850" s="25">
        <f>SUMIFS('Daftar Koreksi'!$H$5:$H$92,'Daftar Koreksi'!$D$5:$D$92,'0700'!A840,'Daftar Koreksi'!$G$5:$G$92,"Aset Tak Berwujud",'Daftar Koreksi'!$H$5:$H$92,"&lt;0")-SUMIFS('Daftar Koreksi'!$H$5:$H$92,'Daftar Koreksi'!$D$5:$D$92,'0700'!A840,'Daftar Koreksi'!$G$5:$G$92,"Aset Tak Berwujud",'Daftar Koreksi'!$H$5:$H$92,"&lt;0")-SUMIFS('Daftar Koreksi'!$H$5:$H$92,'Daftar Koreksi'!$D$5:$D$92,'0700'!A840,'Daftar Koreksi'!$G$5:$G$92,"Aset Tak Berwujud",'Daftar Koreksi'!$H$5:$H$92,"&lt;0")</f>
        <v>0</v>
      </c>
      <c r="G850" s="17">
        <f t="shared" si="38"/>
        <v>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78171886</v>
      </c>
      <c r="E851" s="25">
        <f>SUMIFS('Daftar Koreksi'!$H$5:$H$92,'Daftar Koreksi'!$D$5:$D$92,'0700'!A840,'Daftar Koreksi'!$G$5:$G$92,"Aset Henti Guna",'Daftar Koreksi'!$H$5:$H$92,"&gt;0")</f>
        <v>0</v>
      </c>
      <c r="F851" s="25">
        <f>SUMIFS('Daftar Koreksi'!$H$5:$H$92,'Daftar Koreksi'!$D$5:$D$92,'0700'!A840,'Daftar Koreksi'!$G$5:$G$92,"Aset Henti Guna",'Daftar Koreksi'!$H$5:$H$92,"&lt;0")-SUMIFS('Daftar Koreksi'!$H$5:$H$92,'Daftar Koreksi'!$D$5:$D$92,'0700'!A840,'Daftar Koreksi'!$G$5:$G$92,"Aset Henti Guna",'Daftar Koreksi'!$H$5:$H$92,"&lt;0")-SUMIFS('Daftar Koreksi'!$H$5:$H$92,'Daftar Koreksi'!$D$5:$D$92,'0700'!A840,'Daftar Koreksi'!$G$5:$G$92,"Aset Henti Guna",'Daftar Koreksi'!$H$5:$H$92,"&lt;0")</f>
        <v>0</v>
      </c>
      <c r="G851" s="17">
        <f t="shared" si="38"/>
        <v>78171886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1857387648</v>
      </c>
      <c r="E852" s="19">
        <f>SUM(E843:E851)</f>
        <v>0</v>
      </c>
      <c r="F852" s="19">
        <f>SUM(F843:F851)</f>
        <v>0</v>
      </c>
      <c r="G852" s="19">
        <f t="shared" si="38"/>
        <v>1857387648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-694910712</v>
      </c>
      <c r="E853" s="25">
        <f>SUMIFS('Daftar Koreksi'!$I$5:$I$92,'Daftar Koreksi'!$D$5:$D$92,'0700'!A840,'Daftar Koreksi'!$G$5:$G$92,"Peralatan dan mesin",'Daftar Koreksi'!$I$5:$I$92,"&gt;0")</f>
        <v>0</v>
      </c>
      <c r="F853" s="25">
        <f>SUMIFS('Daftar Koreksi'!$I$5:$I$92,'Daftar Koreksi'!$D$5:$D$92,'0700'!A840,'Daftar Koreksi'!$G$5:$G$92,"Peralatan dan mesin",'Daftar Koreksi'!$I$5:$I$92,"&lt;0")-SUMIFS('Daftar Koreksi'!$I$5:$I$92,'Daftar Koreksi'!$D$5:$D$92,'0700'!A840,'Daftar Koreksi'!$G$5:$G$92,"Peralatan dan mesin",'Daftar Koreksi'!$I$5:$I$92,"&lt;0")-SUMIFS('Daftar Koreksi'!$I$5:$I$92,'Daftar Koreksi'!$D$5:$D$92,'0700'!A840,'Daftar Koreksi'!$G$5:$G$92,"Peralatan dan mesin",'Daftar Koreksi'!$I$5:$I$92,"&lt;0")</f>
        <v>0</v>
      </c>
      <c r="G853" s="17">
        <f t="shared" si="38"/>
        <v>-694910712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-85804000</v>
      </c>
      <c r="E854" s="25">
        <f>SUMIFS('Daftar Koreksi'!$I$5:$I$92,'Daftar Koreksi'!$D$5:$D$92,'0700'!A840,'Daftar Koreksi'!$G$5:$G$92,"Gedung dan Bangunan",'Daftar Koreksi'!$I$5:$I$92,"&gt;0")</f>
        <v>0</v>
      </c>
      <c r="F854" s="25">
        <f>SUMIFS('Daftar Koreksi'!$I$5:$I$92,'Daftar Koreksi'!$D$5:$D$92,'0700'!A840,'Daftar Koreksi'!$G$5:$G$92,"Gedung dan Bangunan",'Daftar Koreksi'!$I$5:$I$92,"&lt;0")-SUMIFS('Daftar Koreksi'!$I$5:$I$92,'Daftar Koreksi'!$D$5:$D$92,'0700'!A840,'Daftar Koreksi'!$G$5:$G$92,"Gedung dan Bangunan",'Daftar Koreksi'!$I$5:$I$92,"&lt;0")-SUMIFS('Daftar Koreksi'!$I$5:$I$92,'Daftar Koreksi'!$D$5:$D$92,'0700'!A840,'Daftar Koreksi'!$G$5:$G$92,"Gedung dan Bangunan",'Daftar Koreksi'!$I$5:$I$92,"&lt;0")</f>
        <v>0</v>
      </c>
      <c r="G854" s="17">
        <f t="shared" si="38"/>
        <v>-85804000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-25087500</v>
      </c>
      <c r="E855" s="25">
        <f>SUMIFS('Daftar Koreksi'!$I$5:$I$92,'Daftar Koreksi'!$D$5:$D$92,'0700'!A840,'Daftar Koreksi'!$G$5:$G$92,"Jalan Irigasi Jaringan",'Daftar Koreksi'!$I$5:$I$92,"&gt;0")</f>
        <v>0</v>
      </c>
      <c r="F855" s="25">
        <f>SUMIFS('Daftar Koreksi'!$I$5:$I$92,'Daftar Koreksi'!$D$5:$D$92,'0700'!A840,'Daftar Koreksi'!$G$5:$G$92,"Jalan Irigasi Jaringan",'Daftar Koreksi'!$I$5:$I$92,"&lt;0")-SUMIFS('Daftar Koreksi'!$I$5:$I$92,'Daftar Koreksi'!$D$5:$D$92,'0700'!A840,'Daftar Koreksi'!$G$5:$G$92,"Jalan Irigasi Jaringan",'Daftar Koreksi'!$I$5:$I$92,"&lt;0")-SUMIFS('Daftar Koreksi'!$I$5:$I$92,'Daftar Koreksi'!$D$5:$D$92,'0700'!A840,'Daftar Koreksi'!$G$5:$G$92,"Jalan Irigasi Jaringan",'Daftar Koreksi'!$I$5:$I$92,"&lt;0")</f>
        <v>0</v>
      </c>
      <c r="G855" s="17">
        <f t="shared" si="38"/>
        <v>-25087500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Koreksi'!$D$5:$D$92,'0700'!A840,'Daftar Koreksi'!$G$5:$G$92,"Aset Tetap Lainnya",'Daftar Koreksi'!$I$5:$I$92,"&gt;0")</f>
        <v>0</v>
      </c>
      <c r="F856" s="25">
        <f>SUMIFS('Daftar Koreksi'!$I$5:$I$92,'Daftar Koreksi'!$D$5:$D$92,'0700'!A840,'Daftar Koreksi'!$G$5:$G$92,"Aset Tetap Lainnya",'Daftar Koreksi'!$I$5:$I$92,"&lt;0")-SUMIFS('Daftar Koreksi'!$I$5:$I$92,'Daftar Koreksi'!$D$5:$D$92,'0700'!A840,'Daftar Koreksi'!$G$5:$G$92,"Aset Tetap Lainnya",'Daftar Koreksi'!$I$5:$I$92,"&lt;0")-SUMIFS('Daftar Koreksi'!$I$5:$I$92,'Daftar Koreksi'!$D$5:$D$92,'0700'!A840,'Daftar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-78171886</v>
      </c>
      <c r="E857" s="25">
        <f>SUMIFS('Daftar Koreksi'!$I$5:$I$92,'Daftar Koreksi'!$D$5:$D$92,'0700'!A840,'Daftar Koreksi'!$G$5:$G$92,"Aset Henti Guna",'Daftar Koreksi'!$I$5:$I$92,"&gt;0")</f>
        <v>0</v>
      </c>
      <c r="F857" s="25">
        <f>SUMIFS('Daftar Koreksi'!$I$5:$I$92,'Daftar Koreksi'!$D$5:$D$92,'0700'!A840,'Daftar Koreksi'!$G$5:$G$92,"Aset Henti Guna",'Daftar Koreksi'!$I$5:$I$92,"&lt;0")-SUMIFS('Daftar Koreksi'!$I$5:$I$92,'Daftar Koreksi'!$D$5:$D$92,'0700'!A840,'Daftar Koreksi'!$G$5:$G$92,"Aset Henti Guna",'Daftar Koreksi'!$I$5:$I$92,"&lt;0")-SUMIFS('Daftar Koreksi'!$I$5:$I$92,'Daftar Koreksi'!$D$5:$D$92,'0700'!A840,'Daftar Koreksi'!$G$5:$G$92,"Aset Henti Guna",'Daftar Koreksi'!$I$5:$I$92,"&lt;0")</f>
        <v>0</v>
      </c>
      <c r="G857" s="17">
        <f t="shared" si="38"/>
        <v>-78171886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-883974098</v>
      </c>
      <c r="E858" s="19">
        <f>SUM(E853:E857)</f>
        <v>0</v>
      </c>
      <c r="F858" s="19">
        <f>SUM(F853:F857)</f>
        <v>0</v>
      </c>
      <c r="G858" s="19">
        <f t="shared" si="38"/>
        <v>-883974098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973413550</v>
      </c>
      <c r="E859" s="19">
        <f>E858+E852</f>
        <v>0</v>
      </c>
      <c r="F859" s="19">
        <f>F858+F852</f>
        <v>0</v>
      </c>
      <c r="G859" s="19">
        <f t="shared" si="38"/>
        <v>973413550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005010700631982000KD</v>
      </c>
      <c r="B862" s="11" t="str">
        <f>P40</f>
        <v>PA. Panyabungan</v>
      </c>
      <c r="C862" s="12" t="str">
        <f>A862&amp;" "&amp;B862</f>
        <v>005010700631982000KD PA. Panyabungan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8" ht="21.95" customHeight="1">
      <c r="A865" s="14"/>
      <c r="B865" s="14"/>
      <c r="C865" s="16" t="s">
        <v>1165</v>
      </c>
      <c r="D865" s="17">
        <f>VLOOKUP(A862,'Neraca Unaudited SIMAK'!$A$2:$S$10004,3,FALSE)</f>
        <v>90000</v>
      </c>
      <c r="E865" s="25">
        <f>SUMIFS('Daftar Koreksi'!$H$5:$H$92,'Daftar Koreksi'!$D$5:$D$92,'0700'!A862,'Daftar Koreksi'!$G$5:$G$92,"Persediaan",'Daftar Koreksi'!$H$5:$H$92,"&gt;0")</f>
        <v>0</v>
      </c>
      <c r="F865" s="25">
        <f>SUMIFS('Daftar Koreksi'!$H$5:$H$92,'Daftar Koreksi'!$D$5:$D$92,'0700'!A862,'Daftar Koreksi'!$G$5:$G$92,"Persediaan",'Daftar Koreksi'!$H$5:$H$92,"&lt;0")-SUMIFS('Daftar Koreksi'!$H$5:$H$92,'Daftar Koreksi'!$D$5:$D$92,'0700'!A862,'Daftar Koreksi'!$G$5:$G$92,"Persediaan",'Daftar Koreksi'!$H$5:$H$92,"&lt;0")-SUMIFS('Daftar Koreksi'!$H$5:$H$92,'Daftar Koreksi'!$D$5:$D$92,'0700'!A862,'Daftar Koreksi'!$G$5:$G$92,"Persediaan",'Daftar Koreksi'!$H$5:$H$92,"&lt;0")</f>
        <v>0</v>
      </c>
      <c r="G865" s="17">
        <f>D865+E865-F865</f>
        <v>90000</v>
      </c>
      <c r="H865" s="121" t="str">
        <f>IF(ISNA(VLOOKUP(A862,'Mutasi Neraca'!$A$3:$S$914,19,FALSE)),"-",VLOOKUP(A862,'Mutasi Neraca'!$A$3:$S$914,19,FALSE))</f>
        <v>-</v>
      </c>
    </row>
    <row r="866" spans="1:8" ht="21.95" customHeight="1">
      <c r="A866" s="14"/>
      <c r="B866" s="14"/>
      <c r="C866" s="16" t="s">
        <v>1166</v>
      </c>
      <c r="D866" s="17">
        <f>VLOOKUP(A862,'Neraca Unaudited SIMAK'!$A$2:$S$10004,4,FALSE)</f>
        <v>2769900000</v>
      </c>
      <c r="E866" s="25">
        <f>SUMIFS('Daftar Koreksi'!$H$5:$H$92,'Daftar Koreksi'!$D$5:$D$92,'0700'!A862,'Daftar Koreksi'!$G$5:$G$92,"Tanah",'Daftar Koreksi'!$H$5:$H$92,"&gt;0")</f>
        <v>0</v>
      </c>
      <c r="F866" s="25">
        <f>SUMIFS('Daftar Koreksi'!$H$5:$H$92,'Daftar Koreksi'!$D$5:$D$92,'0700'!A862,'Daftar Koreksi'!$G$5:$G$92,"Tanah",'Daftar Koreksi'!$H$5:$H$92,"&lt;0")-SUMIFS('Daftar Koreksi'!$H$5:$H$92,'Daftar Koreksi'!$D$5:$D$92,'0700'!A862,'Daftar Koreksi'!$G$5:$G$92,"Tanah",'Daftar Koreksi'!$H$5:$H$92,"&lt;0")-SUMIFS('Daftar Koreksi'!$H$5:$H$92,'Daftar Koreksi'!$D$5:$D$92,'0700'!A862,'Daftar Koreksi'!$G$5:$G$92,"Tanah",'Daftar Koreksi'!$H$5:$H$92,"&lt;0")</f>
        <v>0</v>
      </c>
      <c r="G866" s="17">
        <f t="shared" ref="G866:G882" si="39">D866+E866-F866</f>
        <v>2769900000</v>
      </c>
      <c r="H866" s="122"/>
    </row>
    <row r="867" spans="1:8" ht="21.95" customHeight="1">
      <c r="A867" s="14"/>
      <c r="B867" s="14"/>
      <c r="C867" s="16" t="s">
        <v>1167</v>
      </c>
      <c r="D867" s="17">
        <f>VLOOKUP(A862,'Neraca Unaudited SIMAK'!$A$2:$S$10004,5,FALSE)</f>
        <v>1008288207</v>
      </c>
      <c r="E867" s="25">
        <f>SUMIFS('Daftar Koreksi'!$H$5:$H$92,'Daftar Koreksi'!$D$5:$D$92,'0700'!A862,'Daftar Koreksi'!$G$5:$G$92,"Peralatan dan mesin",'Daftar Koreksi'!$H$5:$H$92,"&gt;0")</f>
        <v>0</v>
      </c>
      <c r="F867" s="25">
        <f>SUMIFS('Daftar Koreksi'!$H$5:$H$92,'Daftar Koreksi'!$D$5:$D$92,'0700'!A862,'Daftar Koreksi'!$G$5:$G$92,"Peralatan dan mesin",'Daftar Koreksi'!$H$5:$H$92,"&lt;0")-SUMIFS('Daftar Koreksi'!$H$5:$H$92,'Daftar Koreksi'!$D$5:$D$92,'0700'!A862,'Daftar Koreksi'!$G$5:$G$92,"Peralatan dan mesin",'Daftar Koreksi'!$H$5:$H$92,"&lt;0")-SUMIFS('Daftar Koreksi'!$H$5:$H$92,'Daftar Koreksi'!$D$5:$D$92,'0700'!A862,'Daftar Koreksi'!$G$5:$G$92,"Peralatan dan mesin",'Daftar Koreksi'!$H$5:$H$92,"&lt;0")</f>
        <v>0</v>
      </c>
      <c r="G867" s="17">
        <f t="shared" si="39"/>
        <v>1008288207</v>
      </c>
      <c r="H867" s="122"/>
    </row>
    <row r="868" spans="1:8" ht="21.95" customHeight="1">
      <c r="A868" s="14"/>
      <c r="B868" s="14"/>
      <c r="C868" s="16" t="s">
        <v>1168</v>
      </c>
      <c r="D868" s="17">
        <f>VLOOKUP(A862,'Neraca Unaudited SIMAK'!$A$2:$S$10004,6,FALSE)</f>
        <v>964609000</v>
      </c>
      <c r="E868" s="25">
        <f>SUMIFS('Daftar Koreksi'!$H$5:$H$92,'Daftar Koreksi'!$D$5:$D$92,'0700'!A862,'Daftar Koreksi'!$G$5:$G$92,"Gedung dan Bangunan",'Daftar Koreksi'!$H$5:$H$92,"&gt;0")</f>
        <v>0</v>
      </c>
      <c r="F868" s="25">
        <f>SUMIFS('Daftar Koreksi'!$H$5:$H$92,'Daftar Koreksi'!$D$5:$D$92,'0700'!A862,'Daftar Koreksi'!$G$5:$G$92,"Gedung dan Bangunan",'Daftar Koreksi'!$H$5:$H$92,"&lt;0")-SUMIFS('Daftar Koreksi'!$H$5:$H$92,'Daftar Koreksi'!$D$5:$D$92,'0700'!A862,'Daftar Koreksi'!$G$5:$G$92,"Gedung dan Bangunan",'Daftar Koreksi'!$H$5:$H$92,"&lt;0")-SUMIFS('Daftar Koreksi'!$H$5:$H$92,'Daftar Koreksi'!$D$5:$D$92,'0700'!A862,'Daftar Koreksi'!$G$5:$G$92,"Gedung dan Bangunan",'Daftar Koreksi'!$H$5:$H$92,"&lt;0")</f>
        <v>0</v>
      </c>
      <c r="G868" s="17">
        <f t="shared" si="39"/>
        <v>964609000</v>
      </c>
      <c r="H868" s="122"/>
    </row>
    <row r="869" spans="1:8" ht="21.95" customHeight="1">
      <c r="A869" s="14"/>
      <c r="B869" s="14"/>
      <c r="C869" s="16" t="s">
        <v>1169</v>
      </c>
      <c r="D869" s="17">
        <f>VLOOKUP(A862,'Neraca Unaudited SIMAK'!$A$2:$S$10004,7,FALSE)</f>
        <v>20705000</v>
      </c>
      <c r="E869" s="25">
        <f>SUMIFS('Daftar Koreksi'!$H$5:$H$92,'Daftar Koreksi'!$D$5:$D$92,'0700'!A862,'Daftar Koreksi'!$G$5:$G$92,"Jalan Irigasi Jaringan",'Daftar Koreksi'!$H$5:$H$92,"&gt;0")</f>
        <v>0</v>
      </c>
      <c r="F869" s="25">
        <f>SUMIFS('Daftar Koreksi'!$H$5:$H$92,'Daftar Koreksi'!$D$5:$D$92,'0700'!A862,'Daftar Koreksi'!$G$5:$G$92,"Jalan Irigasi Jaringan",'Daftar Koreksi'!$H$5:$H$92,"&lt;0")-SUMIFS('Daftar Koreksi'!$H$5:$H$92,'Daftar Koreksi'!$D$5:$D$92,'0700'!A862,'Daftar Koreksi'!$G$5:$G$92,"Jalan Irigasi Jaringan",'Daftar Koreksi'!$H$5:$H$92,"&lt;0")-SUMIFS('Daftar Koreksi'!$H$5:$H$92,'Daftar Koreksi'!$D$5:$D$92,'0700'!A862,'Daftar Koreksi'!$G$5:$G$92,"Jalan Irigasi Jaringan",'Daftar Koreksi'!$H$5:$H$92,"&lt;0")</f>
        <v>0</v>
      </c>
      <c r="G869" s="17">
        <f t="shared" si="39"/>
        <v>20705000</v>
      </c>
      <c r="H869" s="122"/>
    </row>
    <row r="870" spans="1:8" ht="21.95" customHeight="1">
      <c r="A870" s="14"/>
      <c r="B870" s="14"/>
      <c r="C870" s="16" t="s">
        <v>1170</v>
      </c>
      <c r="D870" s="17">
        <f>VLOOKUP(A862,'Neraca Unaudited SIMAK'!$A$2:$S$10004,8,FALSE)</f>
        <v>40908000</v>
      </c>
      <c r="E870" s="25">
        <f>SUMIFS('Daftar Koreksi'!$H$5:$H$92,'Daftar Koreksi'!$D$5:$D$92,'0700'!A862,'Daftar Koreksi'!$G$5:$G$92,"Aset Tetap Lainnya",'Daftar Koreksi'!$H$5:$H$92,"&gt;0")</f>
        <v>0</v>
      </c>
      <c r="F870" s="25">
        <f>SUMIFS('Daftar Koreksi'!$H$5:$H$92,'Daftar Koreksi'!$D$5:$D$92,'0700'!A862,'Daftar Koreksi'!$G$5:$G$92,"Aset Tetap Lainnya",'Daftar Koreksi'!$H$5:$H$92,"&lt;0")-SUMIFS('Daftar Koreksi'!$H$5:$H$92,'Daftar Koreksi'!$D$5:$D$92,'0700'!A862,'Daftar Koreksi'!$G$5:$G$92,"Aset Tetap Lainnya",'Daftar Koreksi'!$H$5:$H$92,"&lt;0")-SUMIFS('Daftar Koreksi'!$H$5:$H$92,'Daftar Koreksi'!$D$5:$D$92,'0700'!A862,'Daftar Koreksi'!$G$5:$G$92,"Aset Tetap Lainnya",'Daftar Koreksi'!$H$5:$H$92,"&lt;0")</f>
        <v>0</v>
      </c>
      <c r="G870" s="17">
        <f t="shared" si="39"/>
        <v>40908000</v>
      </c>
      <c r="H870" s="122"/>
    </row>
    <row r="871" spans="1:8" ht="21.95" customHeight="1">
      <c r="A871" s="14"/>
      <c r="B871" s="14"/>
      <c r="C871" s="16" t="s">
        <v>1171</v>
      </c>
      <c r="D871" s="17">
        <f>VLOOKUP(A862,'Neraca Unaudited SIMAK'!$A$2:$S$10004,9,FALSE)</f>
        <v>7565092000</v>
      </c>
      <c r="E871" s="25">
        <f>SUMIFS('Daftar Koreksi'!$H$5:$H$92,'Daftar Koreksi'!$D$5:$D$92,'0700'!A862,'Daftar Koreksi'!$G$5:$G$92,"Kontruksi Dalam Pengerjaan",'Daftar Koreksi'!$H$5:$H$92,"&gt;0")</f>
        <v>0</v>
      </c>
      <c r="F871" s="25">
        <f>SUMIFS('Daftar Koreksi'!$H$5:$H$92,'Daftar Koreksi'!$D$5:$D$92,'0700'!A862,'Daftar Koreksi'!$G$5:$G$92,"Kontruksi Dalam Pengerjaan",'Daftar Koreksi'!$H$5:$H$92,"&lt;0")-SUMIFS('Daftar Koreksi'!$H$5:$H$92,'Daftar Koreksi'!$D$5:$D$92,'0700'!A862,'Daftar Koreksi'!$G$5:$G$92,"Kontruksi Dalam Pengerjaan",'Daftar Koreksi'!$H$5:$H$92,"&lt;0")-SUMIFS('Daftar Koreksi'!$H$5:$H$92,'Daftar Koreksi'!$D$5:$D$92,'0700'!A862,'Daftar Koreksi'!$G$5:$G$92,"Kontruksi Dalam Pengerjaan",'Daftar Koreksi'!$H$5:$H$92,"&lt;0")</f>
        <v>0</v>
      </c>
      <c r="G871" s="17">
        <f t="shared" si="39"/>
        <v>7565092000</v>
      </c>
      <c r="H871" s="122"/>
    </row>
    <row r="872" spans="1:8" ht="21.95" customHeight="1">
      <c r="A872" s="14"/>
      <c r="B872" s="14"/>
      <c r="C872" s="16" t="s">
        <v>1172</v>
      </c>
      <c r="D872" s="17">
        <f>VLOOKUP(A862,'Neraca Unaudited SIMAK'!$A$2:$S$10004,10,FALSE)</f>
        <v>0</v>
      </c>
      <c r="E872" s="25">
        <f>SUMIFS('Daftar Koreksi'!$H$5:$H$92,'Daftar Koreksi'!$D$5:$D$92,'0700'!A862,'Daftar Koreksi'!$G$5:$G$92,"Aset Tak Berwujud",'Daftar Koreksi'!$H$5:$H$92,"&gt;0")</f>
        <v>0</v>
      </c>
      <c r="F872" s="25">
        <f>SUMIFS('Daftar Koreksi'!$H$5:$H$92,'Daftar Koreksi'!$D$5:$D$92,'0700'!A862,'Daftar Koreksi'!$G$5:$G$92,"Aset Tak Berwujud",'Daftar Koreksi'!$H$5:$H$92,"&lt;0")-SUMIFS('Daftar Koreksi'!$H$5:$H$92,'Daftar Koreksi'!$D$5:$D$92,'0700'!A862,'Daftar Koreksi'!$G$5:$G$92,"Aset Tak Berwujud",'Daftar Koreksi'!$H$5:$H$92,"&lt;0")-SUMIFS('Daftar Koreksi'!$H$5:$H$92,'Daftar Koreksi'!$D$5:$D$92,'0700'!A862,'Daftar Koreksi'!$G$5:$G$92,"Aset Tak Berwujud",'Daftar Koreksi'!$H$5:$H$92,"&lt;0")</f>
        <v>0</v>
      </c>
      <c r="G872" s="17">
        <f t="shared" si="39"/>
        <v>0</v>
      </c>
      <c r="H872" s="122"/>
    </row>
    <row r="873" spans="1:8" ht="21.95" customHeight="1">
      <c r="A873" s="14"/>
      <c r="B873" s="14"/>
      <c r="C873" s="16" t="s">
        <v>1173</v>
      </c>
      <c r="D873" s="17">
        <f>VLOOKUP(A862,'Neraca Unaudited SIMAK'!$A$2:$S$10004,11,FALSE)</f>
        <v>75849012</v>
      </c>
      <c r="E873" s="25">
        <f>SUMIFS('Daftar Koreksi'!$H$5:$H$92,'Daftar Koreksi'!$D$5:$D$92,'0700'!A862,'Daftar Koreksi'!$G$5:$G$92,"Aset Henti Guna",'Daftar Koreksi'!$H$5:$H$92,"&gt;0")</f>
        <v>0</v>
      </c>
      <c r="F873" s="25">
        <f>SUMIFS('Daftar Koreksi'!$H$5:$H$92,'Daftar Koreksi'!$D$5:$D$92,'0700'!A862,'Daftar Koreksi'!$G$5:$G$92,"Aset Henti Guna",'Daftar Koreksi'!$H$5:$H$92,"&lt;0")-SUMIFS('Daftar Koreksi'!$H$5:$H$92,'Daftar Koreksi'!$D$5:$D$92,'0700'!A862,'Daftar Koreksi'!$G$5:$G$92,"Aset Henti Guna",'Daftar Koreksi'!$H$5:$H$92,"&lt;0")-SUMIFS('Daftar Koreksi'!$H$5:$H$92,'Daftar Koreksi'!$D$5:$D$92,'0700'!A862,'Daftar Koreksi'!$G$5:$G$92,"Aset Henti Guna",'Daftar Koreksi'!$H$5:$H$92,"&lt;0")</f>
        <v>0</v>
      </c>
      <c r="G873" s="17">
        <f t="shared" si="39"/>
        <v>75849012</v>
      </c>
      <c r="H873" s="122"/>
    </row>
    <row r="874" spans="1:8" ht="21.95" customHeight="1">
      <c r="A874" s="14"/>
      <c r="B874" s="14"/>
      <c r="C874" s="18" t="s">
        <v>2093</v>
      </c>
      <c r="D874" s="19">
        <f>VLOOKUP(A862,'Neraca Unaudited SIMAK'!$A$2:$S$10004,12,FALSE)</f>
        <v>12445441219</v>
      </c>
      <c r="E874" s="19">
        <f>SUM(E865:E873)</f>
        <v>0</v>
      </c>
      <c r="F874" s="19">
        <f>SUM(F865:F873)</f>
        <v>0</v>
      </c>
      <c r="G874" s="19">
        <f t="shared" si="39"/>
        <v>12445441219</v>
      </c>
      <c r="H874" s="122"/>
    </row>
    <row r="875" spans="1:8" ht="21.95" customHeight="1">
      <c r="A875" s="14"/>
      <c r="B875" s="14"/>
      <c r="C875" s="16" t="s">
        <v>2087</v>
      </c>
      <c r="D875" s="17">
        <f>VLOOKUP(A862,'Neraca Unaudited SIMAK'!$A$2:$S$10004,13,FALSE)</f>
        <v>-700854722</v>
      </c>
      <c r="E875" s="25">
        <f>SUMIFS('Daftar Koreksi'!$I$5:$I$92,'Daftar Koreksi'!$D$5:$D$92,'0700'!A862,'Daftar Koreksi'!$G$5:$G$92,"Peralatan dan mesin",'Daftar Koreksi'!$I$5:$I$92,"&gt;0")</f>
        <v>0</v>
      </c>
      <c r="F875" s="25">
        <f>SUMIFS('Daftar Koreksi'!$I$5:$I$92,'Daftar Koreksi'!$D$5:$D$92,'0700'!A862,'Daftar Koreksi'!$G$5:$G$92,"Peralatan dan mesin",'Daftar Koreksi'!$I$5:$I$92,"&lt;0")-SUMIFS('Daftar Koreksi'!$I$5:$I$92,'Daftar Koreksi'!$D$5:$D$92,'0700'!A862,'Daftar Koreksi'!$G$5:$G$92,"Peralatan dan mesin",'Daftar Koreksi'!$I$5:$I$92,"&lt;0")-SUMIFS('Daftar Koreksi'!$I$5:$I$92,'Daftar Koreksi'!$D$5:$D$92,'0700'!A862,'Daftar Koreksi'!$G$5:$G$92,"Peralatan dan mesin",'Daftar Koreksi'!$I$5:$I$92,"&lt;0")</f>
        <v>0</v>
      </c>
      <c r="G875" s="17">
        <f t="shared" si="39"/>
        <v>-700854722</v>
      </c>
      <c r="H875" s="122"/>
    </row>
    <row r="876" spans="1:8" ht="21.95" customHeight="1">
      <c r="A876" s="14"/>
      <c r="B876" s="14"/>
      <c r="C876" s="16" t="s">
        <v>2088</v>
      </c>
      <c r="D876" s="17">
        <f>VLOOKUP(A862,'Neraca Unaudited SIMAK'!$A$2:$S$10004,14,FALSE)</f>
        <v>-116217105</v>
      </c>
      <c r="E876" s="25">
        <f>SUMIFS('Daftar Koreksi'!$I$5:$I$92,'Daftar Koreksi'!$D$5:$D$92,'0700'!A862,'Daftar Koreksi'!$G$5:$G$92,"Gedung dan Bangunan",'Daftar Koreksi'!$I$5:$I$92,"&gt;0")</f>
        <v>0</v>
      </c>
      <c r="F876" s="25">
        <f>SUMIFS('Daftar Koreksi'!$I$5:$I$92,'Daftar Koreksi'!$D$5:$D$92,'0700'!A862,'Daftar Koreksi'!$G$5:$G$92,"Gedung dan Bangunan",'Daftar Koreksi'!$I$5:$I$92,"&lt;0")-SUMIFS('Daftar Koreksi'!$I$5:$I$92,'Daftar Koreksi'!$D$5:$D$92,'0700'!A862,'Daftar Koreksi'!$G$5:$G$92,"Gedung dan Bangunan",'Daftar Koreksi'!$I$5:$I$92,"&lt;0")-SUMIFS('Daftar Koreksi'!$I$5:$I$92,'Daftar Koreksi'!$D$5:$D$92,'0700'!A862,'Daftar Koreksi'!$G$5:$G$92,"Gedung dan Bangunan",'Daftar Koreksi'!$I$5:$I$92,"&lt;0")</f>
        <v>0</v>
      </c>
      <c r="G876" s="17">
        <f t="shared" si="39"/>
        <v>-116217105</v>
      </c>
      <c r="H876" s="122"/>
    </row>
    <row r="877" spans="1:8" ht="21.95" customHeight="1">
      <c r="A877" s="14"/>
      <c r="B877" s="14"/>
      <c r="C877" s="16" t="s">
        <v>2089</v>
      </c>
      <c r="D877" s="17">
        <f>VLOOKUP(A862,'Neraca Unaudited SIMAK'!$A$2:$S$10004,15,FALSE)</f>
        <v>-20705000</v>
      </c>
      <c r="E877" s="25">
        <f>SUMIFS('Daftar Koreksi'!$I$5:$I$92,'Daftar Koreksi'!$D$5:$D$92,'0700'!A862,'Daftar Koreksi'!$G$5:$G$92,"Jalan Irigasi Jaringan",'Daftar Koreksi'!$I$5:$I$92,"&gt;0")</f>
        <v>0</v>
      </c>
      <c r="F877" s="25">
        <f>SUMIFS('Daftar Koreksi'!$I$5:$I$92,'Daftar Koreksi'!$D$5:$D$92,'0700'!A862,'Daftar Koreksi'!$G$5:$G$92,"Jalan Irigasi Jaringan",'Daftar Koreksi'!$I$5:$I$92,"&lt;0")-SUMIFS('Daftar Koreksi'!$I$5:$I$92,'Daftar Koreksi'!$D$5:$D$92,'0700'!A862,'Daftar Koreksi'!$G$5:$G$92,"Jalan Irigasi Jaringan",'Daftar Koreksi'!$I$5:$I$92,"&lt;0")-SUMIFS('Daftar Koreksi'!$I$5:$I$92,'Daftar Koreksi'!$D$5:$D$92,'0700'!A862,'Daftar Koreksi'!$G$5:$G$92,"Jalan Irigasi Jaringan",'Daftar Koreksi'!$I$5:$I$92,"&lt;0")</f>
        <v>0</v>
      </c>
      <c r="G877" s="17">
        <f t="shared" si="39"/>
        <v>-20705000</v>
      </c>
      <c r="H877" s="122"/>
    </row>
    <row r="878" spans="1:8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Koreksi'!$D$5:$D$92,'0700'!A862,'Daftar Koreksi'!$G$5:$G$92,"Aset Tetap Lainnya",'Daftar Koreksi'!$I$5:$I$92,"&gt;0")</f>
        <v>0</v>
      </c>
      <c r="F878" s="25">
        <f>SUMIFS('Daftar Koreksi'!$I$5:$I$92,'Daftar Koreksi'!$D$5:$D$92,'0700'!A862,'Daftar Koreksi'!$G$5:$G$92,"Aset Tetap Lainnya",'Daftar Koreksi'!$I$5:$I$92,"&lt;0")-SUMIFS('Daftar Koreksi'!$I$5:$I$92,'Daftar Koreksi'!$D$5:$D$92,'0700'!A862,'Daftar Koreksi'!$G$5:$G$92,"Aset Tetap Lainnya",'Daftar Koreksi'!$I$5:$I$92,"&lt;0")-SUMIFS('Daftar Koreksi'!$I$5:$I$92,'Daftar Koreksi'!$D$5:$D$92,'0700'!A862,'Daftar Koreksi'!$G$5:$G$92,"Aset Tetap Lainnya",'Daftar Koreksi'!$I$5:$I$92,"&lt;0")</f>
        <v>0</v>
      </c>
      <c r="G878" s="17">
        <f t="shared" si="39"/>
        <v>0</v>
      </c>
      <c r="H878" s="122"/>
    </row>
    <row r="879" spans="1:8" ht="21.95" customHeight="1">
      <c r="A879" s="14"/>
      <c r="B879" s="14"/>
      <c r="C879" s="16" t="s">
        <v>2020</v>
      </c>
      <c r="D879" s="17">
        <f>VLOOKUP(A862,'Neraca Unaudited SIMAK'!$A$2:$S$10004,17,FALSE)</f>
        <v>-73611000</v>
      </c>
      <c r="E879" s="25">
        <f>SUMIFS('Daftar Koreksi'!$I$5:$I$92,'Daftar Koreksi'!$D$5:$D$92,'0700'!A862,'Daftar Koreksi'!$G$5:$G$92,"Aset Henti Guna",'Daftar Koreksi'!$I$5:$I$92,"&gt;0")</f>
        <v>0</v>
      </c>
      <c r="F879" s="25">
        <f>SUMIFS('Daftar Koreksi'!$I$5:$I$92,'Daftar Koreksi'!$D$5:$D$92,'0700'!A862,'Daftar Koreksi'!$G$5:$G$92,"Aset Henti Guna",'Daftar Koreksi'!$I$5:$I$92,"&lt;0")-SUMIFS('Daftar Koreksi'!$I$5:$I$92,'Daftar Koreksi'!$D$5:$D$92,'0700'!A862,'Daftar Koreksi'!$G$5:$G$92,"Aset Henti Guna",'Daftar Koreksi'!$I$5:$I$92,"&lt;0")-SUMIFS('Daftar Koreksi'!$I$5:$I$92,'Daftar Koreksi'!$D$5:$D$92,'0700'!A862,'Daftar Koreksi'!$G$5:$G$92,"Aset Henti Guna",'Daftar Koreksi'!$I$5:$I$92,"&lt;0")</f>
        <v>0</v>
      </c>
      <c r="G879" s="17">
        <f t="shared" si="39"/>
        <v>-73611000</v>
      </c>
      <c r="H879" s="122"/>
    </row>
    <row r="880" spans="1:8" ht="21.95" customHeight="1">
      <c r="A880" s="14"/>
      <c r="B880" s="14"/>
      <c r="C880" s="18" t="s">
        <v>2094</v>
      </c>
      <c r="D880" s="19">
        <f>SUM(D875:D879)</f>
        <v>-911387827</v>
      </c>
      <c r="E880" s="19">
        <f>SUM(E875:E879)</f>
        <v>0</v>
      </c>
      <c r="F880" s="19">
        <f>SUM(F875:F879)</f>
        <v>0</v>
      </c>
      <c r="G880" s="19">
        <f t="shared" si="39"/>
        <v>-911387827</v>
      </c>
      <c r="H880" s="122"/>
    </row>
    <row r="881" spans="1:8" ht="21.95" customHeight="1">
      <c r="A881" s="14"/>
      <c r="B881" s="14"/>
      <c r="C881" s="18" t="s">
        <v>2095</v>
      </c>
      <c r="D881" s="19">
        <f>VLOOKUP(A862,'Neraca Unaudited SIMAK'!$A$2:$S$10004,18,FALSE)</f>
        <v>11534053392</v>
      </c>
      <c r="E881" s="19">
        <f>E880+E874</f>
        <v>0</v>
      </c>
      <c r="F881" s="19">
        <f>F880+F874</f>
        <v>0</v>
      </c>
      <c r="G881" s="19">
        <f t="shared" si="39"/>
        <v>11534053392</v>
      </c>
      <c r="H881" s="122"/>
    </row>
    <row r="882" spans="1:8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</row>
    <row r="884" spans="1:8" ht="19.5" customHeight="1">
      <c r="A884" s="11" t="str">
        <f>O41</f>
        <v>005010700663178000KD</v>
      </c>
      <c r="B884" s="11" t="str">
        <f>P41</f>
        <v>DILMILTI I - di Medan</v>
      </c>
      <c r="C884" s="12" t="str">
        <f>A884&amp;" "&amp;B884</f>
        <v>005010700663178000KD DILMILTI I - di Medan</v>
      </c>
      <c r="D884" s="13"/>
      <c r="E884" s="13"/>
      <c r="F884" s="13"/>
      <c r="G884" s="13"/>
      <c r="H884" s="11"/>
    </row>
    <row r="885" spans="1:8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8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8" ht="21.95" customHeight="1">
      <c r="A887" s="14"/>
      <c r="B887" s="14"/>
      <c r="C887" s="16" t="s">
        <v>1165</v>
      </c>
      <c r="D887" s="17">
        <f>VLOOKUP(A884,'Neraca Unaudited SIMAK'!$A$2:$S$10004,3,FALSE)</f>
        <v>6528009</v>
      </c>
      <c r="E887" s="25">
        <f>SUMIFS('Daftar Koreksi'!$H$5:$H$92,'Daftar Koreksi'!$D$5:$D$92,'0700'!A884,'Daftar Koreksi'!$G$5:$G$92,"Persediaan",'Daftar Koreksi'!$H$5:$H$92,"&gt;0")</f>
        <v>0</v>
      </c>
      <c r="F887" s="25">
        <f>SUMIFS('Daftar Koreksi'!$H$5:$H$92,'Daftar Koreksi'!$D$5:$D$92,'0700'!A884,'Daftar Koreksi'!$G$5:$G$92,"Persediaan",'Daftar Koreksi'!$H$5:$H$92,"&lt;0")-SUMIFS('Daftar Koreksi'!$H$5:$H$92,'Daftar Koreksi'!$D$5:$D$92,'0700'!A884,'Daftar Koreksi'!$G$5:$G$92,"Persediaan",'Daftar Koreksi'!$H$5:$H$92,"&lt;0")-SUMIFS('Daftar Koreksi'!$H$5:$H$92,'Daftar Koreksi'!$D$5:$D$92,'0700'!A884,'Daftar Koreksi'!$G$5:$G$92,"Persediaan",'Daftar Koreksi'!$H$5:$H$92,"&lt;0")</f>
        <v>0</v>
      </c>
      <c r="G887" s="17">
        <f>D887+E887-F887</f>
        <v>6528009</v>
      </c>
      <c r="H887" s="121" t="str">
        <f>IF(ISNA(VLOOKUP(A884,'Mutasi Neraca'!$A$3:$S$914,19,FALSE)),"-",VLOOKUP(A884,'Mutasi Neraca'!$A$3:$S$914,19,FALSE))</f>
        <v>-</v>
      </c>
    </row>
    <row r="888" spans="1:8" ht="21.95" customHeight="1">
      <c r="A888" s="14"/>
      <c r="B888" s="14"/>
      <c r="C888" s="16" t="s">
        <v>1166</v>
      </c>
      <c r="D888" s="17">
        <f>VLOOKUP(A884,'Neraca Unaudited SIMAK'!$A$2:$S$10004,4,FALSE)</f>
        <v>3750000000</v>
      </c>
      <c r="E888" s="25">
        <f>SUMIFS('Daftar Koreksi'!$H$5:$H$92,'Daftar Koreksi'!$D$5:$D$92,'0700'!A884,'Daftar Koreksi'!$G$5:$G$92,"Tanah",'Daftar Koreksi'!$H$5:$H$92,"&gt;0")</f>
        <v>0</v>
      </c>
      <c r="F888" s="25">
        <f>SUMIFS('Daftar Koreksi'!$H$5:$H$92,'Daftar Koreksi'!$D$5:$D$92,'0700'!A884,'Daftar Koreksi'!$G$5:$G$92,"Tanah",'Daftar Koreksi'!$H$5:$H$92,"&lt;0")-SUMIFS('Daftar Koreksi'!$H$5:$H$92,'Daftar Koreksi'!$D$5:$D$92,'0700'!A884,'Daftar Koreksi'!$G$5:$G$92,"Tanah",'Daftar Koreksi'!$H$5:$H$92,"&lt;0")-SUMIFS('Daftar Koreksi'!$H$5:$H$92,'Daftar Koreksi'!$D$5:$D$92,'0700'!A884,'Daftar Koreksi'!$G$5:$G$92,"Tanah",'Daftar Koreksi'!$H$5:$H$92,"&lt;0")</f>
        <v>0</v>
      </c>
      <c r="G888" s="17">
        <f t="shared" ref="G888:G904" si="40">D888+E888-F888</f>
        <v>3750000000</v>
      </c>
      <c r="H888" s="122"/>
    </row>
    <row r="889" spans="1:8" ht="21.95" customHeight="1">
      <c r="A889" s="14"/>
      <c r="B889" s="14"/>
      <c r="C889" s="16" t="s">
        <v>1167</v>
      </c>
      <c r="D889" s="17">
        <f>VLOOKUP(A884,'Neraca Unaudited SIMAK'!$A$2:$S$10004,5,FALSE)</f>
        <v>2753773291</v>
      </c>
      <c r="E889" s="25">
        <f>SUMIFS('Daftar Koreksi'!$H$5:$H$92,'Daftar Koreksi'!$D$5:$D$92,'0700'!A884,'Daftar Koreksi'!$G$5:$G$92,"Peralatan dan mesin",'Daftar Koreksi'!$H$5:$H$92,"&gt;0")</f>
        <v>0</v>
      </c>
      <c r="F889" s="25">
        <f>SUMIFS('Daftar Koreksi'!$H$5:$H$92,'Daftar Koreksi'!$D$5:$D$92,'0700'!A884,'Daftar Koreksi'!$G$5:$G$92,"Peralatan dan mesin",'Daftar Koreksi'!$H$5:$H$92,"&lt;0")-SUMIFS('Daftar Koreksi'!$H$5:$H$92,'Daftar Koreksi'!$D$5:$D$92,'0700'!A884,'Daftar Koreksi'!$G$5:$G$92,"Peralatan dan mesin",'Daftar Koreksi'!$H$5:$H$92,"&lt;0")-SUMIFS('Daftar Koreksi'!$H$5:$H$92,'Daftar Koreksi'!$D$5:$D$92,'0700'!A884,'Daftar Koreksi'!$G$5:$G$92,"Peralatan dan mesin",'Daftar Koreksi'!$H$5:$H$92,"&lt;0")</f>
        <v>0</v>
      </c>
      <c r="G889" s="17">
        <f t="shared" si="40"/>
        <v>2753773291</v>
      </c>
      <c r="H889" s="122"/>
    </row>
    <row r="890" spans="1:8" ht="21.95" customHeight="1">
      <c r="A890" s="14"/>
      <c r="B890" s="14"/>
      <c r="C890" s="16" t="s">
        <v>1168</v>
      </c>
      <c r="D890" s="17">
        <f>VLOOKUP(A884,'Neraca Unaudited SIMAK'!$A$2:$S$10004,6,FALSE)</f>
        <v>8883852370</v>
      </c>
      <c r="E890" s="25">
        <f>SUMIFS('Daftar Koreksi'!$H$5:$H$92,'Daftar Koreksi'!$D$5:$D$92,'0700'!A884,'Daftar Koreksi'!$G$5:$G$92,"Gedung dan Bangunan",'Daftar Koreksi'!$H$5:$H$92,"&gt;0")</f>
        <v>0</v>
      </c>
      <c r="F890" s="25">
        <f>SUMIFS('Daftar Koreksi'!$H$5:$H$92,'Daftar Koreksi'!$D$5:$D$92,'0700'!A884,'Daftar Koreksi'!$G$5:$G$92,"Gedung dan Bangunan",'Daftar Koreksi'!$H$5:$H$92,"&lt;0")-SUMIFS('Daftar Koreksi'!$H$5:$H$92,'Daftar Koreksi'!$D$5:$D$92,'0700'!A884,'Daftar Koreksi'!$G$5:$G$92,"Gedung dan Bangunan",'Daftar Koreksi'!$H$5:$H$92,"&lt;0")-SUMIFS('Daftar Koreksi'!$H$5:$H$92,'Daftar Koreksi'!$D$5:$D$92,'0700'!A884,'Daftar Koreksi'!$G$5:$G$92,"Gedung dan Bangunan",'Daftar Koreksi'!$H$5:$H$92,"&lt;0")</f>
        <v>0</v>
      </c>
      <c r="G890" s="17">
        <f t="shared" si="40"/>
        <v>8883852370</v>
      </c>
      <c r="H890" s="122"/>
    </row>
    <row r="891" spans="1:8" ht="21.95" customHeight="1">
      <c r="A891" s="14"/>
      <c r="B891" s="14"/>
      <c r="C891" s="16" t="s">
        <v>1169</v>
      </c>
      <c r="D891" s="17">
        <f>VLOOKUP(A884,'Neraca Unaudited SIMAK'!$A$2:$S$10004,7,FALSE)</f>
        <v>100300000</v>
      </c>
      <c r="E891" s="25">
        <f>SUMIFS('Daftar Koreksi'!$H$5:$H$92,'Daftar Koreksi'!$D$5:$D$92,'0700'!A884,'Daftar Koreksi'!$G$5:$G$92,"Jalan Irigasi Jaringan",'Daftar Koreksi'!$H$5:$H$92,"&gt;0")</f>
        <v>0</v>
      </c>
      <c r="F891" s="25">
        <f>SUMIFS('Daftar Koreksi'!$H$5:$H$92,'Daftar Koreksi'!$D$5:$D$92,'0700'!A884,'Daftar Koreksi'!$G$5:$G$92,"Jalan Irigasi Jaringan",'Daftar Koreksi'!$H$5:$H$92,"&lt;0")-SUMIFS('Daftar Koreksi'!$H$5:$H$92,'Daftar Koreksi'!$D$5:$D$92,'0700'!A884,'Daftar Koreksi'!$G$5:$G$92,"Jalan Irigasi Jaringan",'Daftar Koreksi'!$H$5:$H$92,"&lt;0")-SUMIFS('Daftar Koreksi'!$H$5:$H$92,'Daftar Koreksi'!$D$5:$D$92,'0700'!A884,'Daftar Koreksi'!$G$5:$G$92,"Jalan Irigasi Jaringan",'Daftar Koreksi'!$H$5:$H$92,"&lt;0")</f>
        <v>0</v>
      </c>
      <c r="G891" s="17">
        <f t="shared" si="40"/>
        <v>100300000</v>
      </c>
      <c r="H891" s="122"/>
    </row>
    <row r="892" spans="1:8" ht="21.95" customHeight="1">
      <c r="A892" s="14"/>
      <c r="B892" s="14"/>
      <c r="C892" s="16" t="s">
        <v>1170</v>
      </c>
      <c r="D892" s="17">
        <f>VLOOKUP(A884,'Neraca Unaudited SIMAK'!$A$2:$S$10004,8,FALSE)</f>
        <v>0</v>
      </c>
      <c r="E892" s="25">
        <f>SUMIFS('Daftar Koreksi'!$H$5:$H$92,'Daftar Koreksi'!$D$5:$D$92,'0700'!A884,'Daftar Koreksi'!$G$5:$G$92,"Aset Tetap Lainnya",'Daftar Koreksi'!$H$5:$H$92,"&gt;0")</f>
        <v>0</v>
      </c>
      <c r="F892" s="25">
        <f>SUMIFS('Daftar Koreksi'!$H$5:$H$92,'Daftar Koreksi'!$D$5:$D$92,'0700'!A884,'Daftar Koreksi'!$G$5:$G$92,"Aset Tetap Lainnya",'Daftar Koreksi'!$H$5:$H$92,"&lt;0")-SUMIFS('Daftar Koreksi'!$H$5:$H$92,'Daftar Koreksi'!$D$5:$D$92,'0700'!A884,'Daftar Koreksi'!$G$5:$G$92,"Aset Tetap Lainnya",'Daftar Koreksi'!$H$5:$H$92,"&lt;0")-SUMIFS('Daftar Koreksi'!$H$5:$H$92,'Daftar Koreksi'!$D$5:$D$92,'0700'!A884,'Daftar Koreksi'!$G$5:$G$92,"Aset Tetap Lainnya",'Daftar Koreksi'!$H$5:$H$92,"&lt;0")</f>
        <v>0</v>
      </c>
      <c r="G892" s="17">
        <f t="shared" si="40"/>
        <v>0</v>
      </c>
      <c r="H892" s="122"/>
    </row>
    <row r="893" spans="1:8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Koreksi'!$D$5:$D$92,'0700'!A884,'Daftar Koreksi'!$G$5:$G$92,"Kontruksi Dalam Pengerjaan",'Daftar Koreksi'!$H$5:$H$92,"&gt;0")</f>
        <v>0</v>
      </c>
      <c r="F893" s="25">
        <f>SUMIFS('Daftar Koreksi'!$H$5:$H$92,'Daftar Koreksi'!$D$5:$D$92,'0700'!A884,'Daftar Koreksi'!$G$5:$G$92,"Kontruksi Dalam Pengerjaan",'Daftar Koreksi'!$H$5:$H$92,"&lt;0")-SUMIFS('Daftar Koreksi'!$H$5:$H$92,'Daftar Koreksi'!$D$5:$D$92,'0700'!A884,'Daftar Koreksi'!$G$5:$G$92,"Kontruksi Dalam Pengerjaan",'Daftar Koreksi'!$H$5:$H$92,"&lt;0")-SUMIFS('Daftar Koreksi'!$H$5:$H$92,'Daftar Koreksi'!$D$5:$D$92,'0700'!A884,'Daftar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8" ht="21.95" customHeight="1">
      <c r="A894" s="14"/>
      <c r="B894" s="14"/>
      <c r="C894" s="16" t="s">
        <v>1172</v>
      </c>
      <c r="D894" s="17">
        <f>VLOOKUP(A884,'Neraca Unaudited SIMAK'!$A$2:$S$10004,10,FALSE)</f>
        <v>125275000</v>
      </c>
      <c r="E894" s="25">
        <f>SUMIFS('Daftar Koreksi'!$H$5:$H$92,'Daftar Koreksi'!$D$5:$D$92,'0700'!A884,'Daftar Koreksi'!$G$5:$G$92,"Aset Tak Berwujud",'Daftar Koreksi'!$H$5:$H$92,"&gt;0")</f>
        <v>0</v>
      </c>
      <c r="F894" s="25">
        <f>SUMIFS('Daftar Koreksi'!$H$5:$H$92,'Daftar Koreksi'!$D$5:$D$92,'0700'!A884,'Daftar Koreksi'!$G$5:$G$92,"Aset Tak Berwujud",'Daftar Koreksi'!$H$5:$H$92,"&lt;0")-SUMIFS('Daftar Koreksi'!$H$5:$H$92,'Daftar Koreksi'!$D$5:$D$92,'0700'!A884,'Daftar Koreksi'!$G$5:$G$92,"Aset Tak Berwujud",'Daftar Koreksi'!$H$5:$H$92,"&lt;0")-SUMIFS('Daftar Koreksi'!$H$5:$H$92,'Daftar Koreksi'!$D$5:$D$92,'0700'!A884,'Daftar Koreksi'!$G$5:$G$92,"Aset Tak Berwujud",'Daftar Koreksi'!$H$5:$H$92,"&lt;0")</f>
        <v>0</v>
      </c>
      <c r="G894" s="17">
        <f t="shared" si="40"/>
        <v>125275000</v>
      </c>
      <c r="H894" s="122"/>
    </row>
    <row r="895" spans="1:8" ht="21.95" customHeight="1">
      <c r="A895" s="14"/>
      <c r="B895" s="14"/>
      <c r="C895" s="16" t="s">
        <v>1173</v>
      </c>
      <c r="D895" s="17">
        <f>VLOOKUP(A884,'Neraca Unaudited SIMAK'!$A$2:$S$10004,11,FALSE)</f>
        <v>0</v>
      </c>
      <c r="E895" s="25">
        <f>SUMIFS('Daftar Koreksi'!$H$5:$H$92,'Daftar Koreksi'!$D$5:$D$92,'0700'!A884,'Daftar Koreksi'!$G$5:$G$92,"Aset Henti Guna",'Daftar Koreksi'!$H$5:$H$92,"&gt;0")</f>
        <v>0</v>
      </c>
      <c r="F895" s="25">
        <f>SUMIFS('Daftar Koreksi'!$H$5:$H$92,'Daftar Koreksi'!$D$5:$D$92,'0700'!A884,'Daftar Koreksi'!$G$5:$G$92,"Aset Henti Guna",'Daftar Koreksi'!$H$5:$H$92,"&lt;0")-SUMIFS('Daftar Koreksi'!$H$5:$H$92,'Daftar Koreksi'!$D$5:$D$92,'0700'!A884,'Daftar Koreksi'!$G$5:$G$92,"Aset Henti Guna",'Daftar Koreksi'!$H$5:$H$92,"&lt;0")-SUMIFS('Daftar Koreksi'!$H$5:$H$92,'Daftar Koreksi'!$D$5:$D$92,'0700'!A884,'Daftar Koreksi'!$G$5:$G$92,"Aset Henti Guna",'Daftar Koreksi'!$H$5:$H$92,"&lt;0")</f>
        <v>0</v>
      </c>
      <c r="G895" s="17">
        <f t="shared" si="40"/>
        <v>0</v>
      </c>
      <c r="H895" s="122"/>
    </row>
    <row r="896" spans="1:8" ht="21.95" customHeight="1">
      <c r="A896" s="14"/>
      <c r="B896" s="14"/>
      <c r="C896" s="18" t="s">
        <v>2093</v>
      </c>
      <c r="D896" s="19">
        <f>VLOOKUP(A884,'Neraca Unaudited SIMAK'!$A$2:$S$10004,12,FALSE)</f>
        <v>15619728670</v>
      </c>
      <c r="E896" s="19">
        <f>SUM(E887:E895)</f>
        <v>0</v>
      </c>
      <c r="F896" s="19">
        <f>SUM(F887:F895)</f>
        <v>0</v>
      </c>
      <c r="G896" s="19">
        <f t="shared" si="40"/>
        <v>15619728670</v>
      </c>
      <c r="H896" s="122"/>
    </row>
    <row r="897" spans="1:8" ht="21.95" customHeight="1">
      <c r="A897" s="14"/>
      <c r="B897" s="14"/>
      <c r="C897" s="16" t="s">
        <v>2087</v>
      </c>
      <c r="D897" s="17">
        <f>VLOOKUP(A884,'Neraca Unaudited SIMAK'!$A$2:$S$10004,13,FALSE)</f>
        <v>-2251527033</v>
      </c>
      <c r="E897" s="25">
        <f>SUMIFS('Daftar Koreksi'!$I$5:$I$92,'Daftar Koreksi'!$D$5:$D$92,'0700'!A884,'Daftar Koreksi'!$G$5:$G$92,"Peralatan dan mesin",'Daftar Koreksi'!$I$5:$I$92,"&gt;0")</f>
        <v>0</v>
      </c>
      <c r="F897" s="25">
        <f>SUMIFS('Daftar Koreksi'!$I$5:$I$92,'Daftar Koreksi'!$D$5:$D$92,'0700'!A884,'Daftar Koreksi'!$G$5:$G$92,"Peralatan dan mesin",'Daftar Koreksi'!$I$5:$I$92,"&lt;0")-SUMIFS('Daftar Koreksi'!$I$5:$I$92,'Daftar Koreksi'!$D$5:$D$92,'0700'!A884,'Daftar Koreksi'!$G$5:$G$92,"Peralatan dan mesin",'Daftar Koreksi'!$I$5:$I$92,"&lt;0")-SUMIFS('Daftar Koreksi'!$I$5:$I$92,'Daftar Koreksi'!$D$5:$D$92,'0700'!A884,'Daftar Koreksi'!$G$5:$G$92,"Peralatan dan mesin",'Daftar Koreksi'!$I$5:$I$92,"&lt;0")</f>
        <v>0</v>
      </c>
      <c r="G897" s="17">
        <f t="shared" si="40"/>
        <v>-2251527033</v>
      </c>
      <c r="H897" s="122"/>
    </row>
    <row r="898" spans="1:8" ht="21.95" customHeight="1">
      <c r="A898" s="14"/>
      <c r="B898" s="14"/>
      <c r="C898" s="16" t="s">
        <v>2088</v>
      </c>
      <c r="D898" s="17">
        <f>VLOOKUP(A884,'Neraca Unaudited SIMAK'!$A$2:$S$10004,14,FALSE)</f>
        <v>-1154900810</v>
      </c>
      <c r="E898" s="25">
        <f>SUMIFS('Daftar Koreksi'!$I$5:$I$92,'Daftar Koreksi'!$D$5:$D$92,'0700'!A884,'Daftar Koreksi'!$G$5:$G$92,"Gedung dan Bangunan",'Daftar Koreksi'!$I$5:$I$92,"&gt;0")</f>
        <v>0</v>
      </c>
      <c r="F898" s="25">
        <f>SUMIFS('Daftar Koreksi'!$I$5:$I$92,'Daftar Koreksi'!$D$5:$D$92,'0700'!A884,'Daftar Koreksi'!$G$5:$G$92,"Gedung dan Bangunan",'Daftar Koreksi'!$I$5:$I$92,"&lt;0")-SUMIFS('Daftar Koreksi'!$I$5:$I$92,'Daftar Koreksi'!$D$5:$D$92,'0700'!A884,'Daftar Koreksi'!$G$5:$G$92,"Gedung dan Bangunan",'Daftar Koreksi'!$I$5:$I$92,"&lt;0")-SUMIFS('Daftar Koreksi'!$I$5:$I$92,'Daftar Koreksi'!$D$5:$D$92,'0700'!A884,'Daftar Koreksi'!$G$5:$G$92,"Gedung dan Bangunan",'Daftar Koreksi'!$I$5:$I$92,"&lt;0")</f>
        <v>0</v>
      </c>
      <c r="G898" s="17">
        <f t="shared" si="40"/>
        <v>-1154900810</v>
      </c>
      <c r="H898" s="122"/>
    </row>
    <row r="899" spans="1:8" ht="21.95" customHeight="1">
      <c r="A899" s="14"/>
      <c r="B899" s="14"/>
      <c r="C899" s="16" t="s">
        <v>2089</v>
      </c>
      <c r="D899" s="17">
        <f>VLOOKUP(A884,'Neraca Unaudited SIMAK'!$A$2:$S$10004,15,FALSE)</f>
        <v>-38846669</v>
      </c>
      <c r="E899" s="25">
        <f>SUMIFS('Daftar Koreksi'!$I$5:$I$92,'Daftar Koreksi'!$D$5:$D$92,'0700'!A884,'Daftar Koreksi'!$G$5:$G$92,"Jalan Irigasi Jaringan",'Daftar Koreksi'!$I$5:$I$92,"&gt;0")</f>
        <v>0</v>
      </c>
      <c r="F899" s="25">
        <f>SUMIFS('Daftar Koreksi'!$I$5:$I$92,'Daftar Koreksi'!$D$5:$D$92,'0700'!A884,'Daftar Koreksi'!$G$5:$G$92,"Jalan Irigasi Jaringan",'Daftar Koreksi'!$I$5:$I$92,"&lt;0")-SUMIFS('Daftar Koreksi'!$I$5:$I$92,'Daftar Koreksi'!$D$5:$D$92,'0700'!A884,'Daftar Koreksi'!$G$5:$G$92,"Jalan Irigasi Jaringan",'Daftar Koreksi'!$I$5:$I$92,"&lt;0")-SUMIFS('Daftar Koreksi'!$I$5:$I$92,'Daftar Koreksi'!$D$5:$D$92,'0700'!A884,'Daftar Koreksi'!$G$5:$G$92,"Jalan Irigasi Jaringan",'Daftar Koreksi'!$I$5:$I$92,"&lt;0")</f>
        <v>0</v>
      </c>
      <c r="G899" s="17">
        <f t="shared" si="40"/>
        <v>-38846669</v>
      </c>
      <c r="H899" s="122"/>
    </row>
    <row r="900" spans="1:8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Koreksi'!$D$5:$D$92,'0700'!A884,'Daftar Koreksi'!$G$5:$G$92,"Aset Tetap Lainnya",'Daftar Koreksi'!$I$5:$I$92,"&gt;0")</f>
        <v>0</v>
      </c>
      <c r="F900" s="25">
        <f>SUMIFS('Daftar Koreksi'!$I$5:$I$92,'Daftar Koreksi'!$D$5:$D$92,'0700'!A884,'Daftar Koreksi'!$G$5:$G$92,"Aset Tetap Lainnya",'Daftar Koreksi'!$I$5:$I$92,"&lt;0")-SUMIFS('Daftar Koreksi'!$I$5:$I$92,'Daftar Koreksi'!$D$5:$D$92,'0700'!A884,'Daftar Koreksi'!$G$5:$G$92,"Aset Tetap Lainnya",'Daftar Koreksi'!$I$5:$I$92,"&lt;0")-SUMIFS('Daftar Koreksi'!$I$5:$I$92,'Daftar Koreksi'!$D$5:$D$92,'0700'!A884,'Daftar Koreksi'!$G$5:$G$92,"Aset Tetap Lainnya",'Daftar Koreksi'!$I$5:$I$92,"&lt;0")</f>
        <v>0</v>
      </c>
      <c r="G900" s="17">
        <f t="shared" si="40"/>
        <v>0</v>
      </c>
      <c r="H900" s="122"/>
    </row>
    <row r="901" spans="1:8" ht="21.95" customHeight="1">
      <c r="A901" s="14"/>
      <c r="B901" s="14"/>
      <c r="C901" s="16" t="s">
        <v>2020</v>
      </c>
      <c r="D901" s="17">
        <f>VLOOKUP(A884,'Neraca Unaudited SIMAK'!$A$2:$S$10004,17,FALSE)</f>
        <v>0</v>
      </c>
      <c r="E901" s="25">
        <f>SUMIFS('Daftar Koreksi'!$I$5:$I$92,'Daftar Koreksi'!$D$5:$D$92,'0700'!A884,'Daftar Koreksi'!$G$5:$G$92,"Aset Henti Guna",'Daftar Koreksi'!$I$5:$I$92,"&gt;0")</f>
        <v>0</v>
      </c>
      <c r="F901" s="25">
        <f>SUMIFS('Daftar Koreksi'!$I$5:$I$92,'Daftar Koreksi'!$D$5:$D$92,'0700'!A884,'Daftar Koreksi'!$G$5:$G$92,"Aset Henti Guna",'Daftar Koreksi'!$I$5:$I$92,"&lt;0")-SUMIFS('Daftar Koreksi'!$I$5:$I$92,'Daftar Koreksi'!$D$5:$D$92,'0700'!A884,'Daftar Koreksi'!$G$5:$G$92,"Aset Henti Guna",'Daftar Koreksi'!$I$5:$I$92,"&lt;0")-SUMIFS('Daftar Koreksi'!$I$5:$I$92,'Daftar Koreksi'!$D$5:$D$92,'0700'!A884,'Daftar Koreksi'!$G$5:$G$92,"Aset Henti Guna",'Daftar Koreksi'!$I$5:$I$92,"&lt;0")</f>
        <v>0</v>
      </c>
      <c r="G901" s="17">
        <f t="shared" si="40"/>
        <v>0</v>
      </c>
      <c r="H901" s="122"/>
    </row>
    <row r="902" spans="1:8" ht="21.95" customHeight="1">
      <c r="A902" s="14"/>
      <c r="B902" s="14"/>
      <c r="C902" s="18" t="s">
        <v>2094</v>
      </c>
      <c r="D902" s="19">
        <f>SUM(D897:D901)</f>
        <v>-3445274512</v>
      </c>
      <c r="E902" s="19">
        <f>SUM(E897:E901)</f>
        <v>0</v>
      </c>
      <c r="F902" s="19">
        <f>SUM(F897:F901)</f>
        <v>0</v>
      </c>
      <c r="G902" s="19">
        <f t="shared" si="40"/>
        <v>-3445274512</v>
      </c>
      <c r="H902" s="122"/>
    </row>
    <row r="903" spans="1:8" ht="21.95" customHeight="1">
      <c r="A903" s="14"/>
      <c r="B903" s="14"/>
      <c r="C903" s="18" t="s">
        <v>2095</v>
      </c>
      <c r="D903" s="19">
        <f>VLOOKUP(A884,'Neraca Unaudited SIMAK'!$A$2:$S$10004,18,FALSE)</f>
        <v>12174454158</v>
      </c>
      <c r="E903" s="19">
        <f>E902+E896</f>
        <v>0</v>
      </c>
      <c r="F903" s="19">
        <f>F902+F896</f>
        <v>0</v>
      </c>
      <c r="G903" s="19">
        <f t="shared" si="40"/>
        <v>12174454158</v>
      </c>
      <c r="H903" s="122"/>
    </row>
    <row r="904" spans="1:8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8" ht="19.5" customHeight="1">
      <c r="A906" s="11" t="str">
        <f>O42</f>
        <v>005010700663199000KD</v>
      </c>
      <c r="B906" s="11" t="str">
        <f>P42</f>
        <v>DILMIL.  I - 02 di Medan</v>
      </c>
      <c r="C906" s="12" t="str">
        <f>A906&amp;" "&amp;B906</f>
        <v>005010700663199000KD DILMIL.  I - 02 di Medan</v>
      </c>
      <c r="D906" s="13"/>
      <c r="E906" s="13"/>
      <c r="F906" s="13"/>
      <c r="G906" s="13"/>
      <c r="H906" s="11"/>
    </row>
    <row r="907" spans="1:8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8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8" ht="21.95" customHeight="1">
      <c r="A909" s="14"/>
      <c r="B909" s="14"/>
      <c r="C909" s="16" t="s">
        <v>1165</v>
      </c>
      <c r="D909" s="17">
        <f>VLOOKUP(A906,'Neraca Unaudited SIMAK'!$A$2:$S$10004,3,FALSE)</f>
        <v>221000</v>
      </c>
      <c r="E909" s="25">
        <f>SUMIFS('Daftar Koreksi'!$H$5:$H$92,'Daftar Koreksi'!$D$5:$D$92,'0700'!A906,'Daftar Koreksi'!$G$5:$G$92,"Persediaan",'Daftar Koreksi'!$H$5:$H$92,"&gt;0")</f>
        <v>0</v>
      </c>
      <c r="F909" s="25">
        <f>SUMIFS('Daftar Koreksi'!$H$5:$H$92,'Daftar Koreksi'!$D$5:$D$92,'0700'!A906,'Daftar Koreksi'!$G$5:$G$92,"Persediaan",'Daftar Koreksi'!$H$5:$H$92,"&lt;0")-SUMIFS('Daftar Koreksi'!$H$5:$H$92,'Daftar Koreksi'!$D$5:$D$92,'0700'!A906,'Daftar Koreksi'!$G$5:$G$92,"Persediaan",'Daftar Koreksi'!$H$5:$H$92,"&lt;0")-SUMIFS('Daftar Koreksi'!$H$5:$H$92,'Daftar Koreksi'!$D$5:$D$92,'0700'!A906,'Daftar Koreksi'!$G$5:$G$92,"Persediaan",'Daftar Koreksi'!$H$5:$H$92,"&lt;0")</f>
        <v>0</v>
      </c>
      <c r="G909" s="17">
        <f>D909+E909-F909</f>
        <v>221000</v>
      </c>
      <c r="H909" s="121" t="str">
        <f>IF(ISNA(VLOOKUP(A906,'Mutasi Neraca'!$A$3:$S$914,19,FALSE)),"-",VLOOKUP(A906,'Mutasi Neraca'!$A$3:$S$914,19,FALSE))</f>
        <v>-</v>
      </c>
    </row>
    <row r="910" spans="1:8" ht="21.95" customHeight="1">
      <c r="A910" s="14"/>
      <c r="B910" s="14"/>
      <c r="C910" s="16" t="s">
        <v>1166</v>
      </c>
      <c r="D910" s="17">
        <f>VLOOKUP(A906,'Neraca Unaudited SIMAK'!$A$2:$S$10004,4,FALSE)</f>
        <v>2500000000</v>
      </c>
      <c r="E910" s="25">
        <f>SUMIFS('Daftar Koreksi'!$H$5:$H$92,'Daftar Koreksi'!$D$5:$D$92,'0700'!A906,'Daftar Koreksi'!$G$5:$G$92,"Tanah",'Daftar Koreksi'!$H$5:$H$92,"&gt;0")</f>
        <v>0</v>
      </c>
      <c r="F910" s="25">
        <f>SUMIFS('Daftar Koreksi'!$H$5:$H$92,'Daftar Koreksi'!$D$5:$D$92,'0700'!A906,'Daftar Koreksi'!$G$5:$G$92,"Tanah",'Daftar Koreksi'!$H$5:$H$92,"&lt;0")-SUMIFS('Daftar Koreksi'!$H$5:$H$92,'Daftar Koreksi'!$D$5:$D$92,'0700'!A906,'Daftar Koreksi'!$G$5:$G$92,"Tanah",'Daftar Koreksi'!$H$5:$H$92,"&lt;0")-SUMIFS('Daftar Koreksi'!$H$5:$H$92,'Daftar Koreksi'!$D$5:$D$92,'0700'!A906,'Daftar Koreksi'!$G$5:$G$92,"Tanah",'Daftar Koreksi'!$H$5:$H$92,"&lt;0")</f>
        <v>0</v>
      </c>
      <c r="G910" s="17">
        <f t="shared" ref="G910:G926" si="41">D910+E910-F910</f>
        <v>2500000000</v>
      </c>
      <c r="H910" s="122"/>
    </row>
    <row r="911" spans="1:8" ht="21.95" customHeight="1">
      <c r="A911" s="14"/>
      <c r="B911" s="14"/>
      <c r="C911" s="16" t="s">
        <v>1167</v>
      </c>
      <c r="D911" s="17">
        <f>VLOOKUP(A906,'Neraca Unaudited SIMAK'!$A$2:$S$10004,5,FALSE)</f>
        <v>2046955724</v>
      </c>
      <c r="E911" s="25">
        <f>SUMIFS('Daftar Koreksi'!$H$5:$H$92,'Daftar Koreksi'!$D$5:$D$92,'0700'!A906,'Daftar Koreksi'!$G$5:$G$92,"Peralatan dan mesin",'Daftar Koreksi'!$H$5:$H$92,"&gt;0")</f>
        <v>0</v>
      </c>
      <c r="F911" s="25">
        <f>SUMIFS('Daftar Koreksi'!$H$5:$H$92,'Daftar Koreksi'!$D$5:$D$92,'0700'!A906,'Daftar Koreksi'!$G$5:$G$92,"Peralatan dan mesin",'Daftar Koreksi'!$H$5:$H$92,"&lt;0")-SUMIFS('Daftar Koreksi'!$H$5:$H$92,'Daftar Koreksi'!$D$5:$D$92,'0700'!A906,'Daftar Koreksi'!$G$5:$G$92,"Peralatan dan mesin",'Daftar Koreksi'!$H$5:$H$92,"&lt;0")-SUMIFS('Daftar Koreksi'!$H$5:$H$92,'Daftar Koreksi'!$D$5:$D$92,'0700'!A906,'Daftar Koreksi'!$G$5:$G$92,"Peralatan dan mesin",'Daftar Koreksi'!$H$5:$H$92,"&lt;0")</f>
        <v>0</v>
      </c>
      <c r="G911" s="17">
        <f t="shared" si="41"/>
        <v>2046955724</v>
      </c>
      <c r="H911" s="122"/>
    </row>
    <row r="912" spans="1:8" ht="21.95" customHeight="1">
      <c r="A912" s="14"/>
      <c r="B912" s="14"/>
      <c r="C912" s="16" t="s">
        <v>1168</v>
      </c>
      <c r="D912" s="17">
        <f>VLOOKUP(A906,'Neraca Unaudited SIMAK'!$A$2:$S$10004,6,FALSE)</f>
        <v>8542499182</v>
      </c>
      <c r="E912" s="25">
        <f>SUMIFS('Daftar Koreksi'!$H$5:$H$92,'Daftar Koreksi'!$D$5:$D$92,'0700'!A906,'Daftar Koreksi'!$G$5:$G$92,"Gedung dan Bangunan",'Daftar Koreksi'!$H$5:$H$92,"&gt;0")</f>
        <v>0</v>
      </c>
      <c r="F912" s="25">
        <f>SUMIFS('Daftar Koreksi'!$H$5:$H$92,'Daftar Koreksi'!$D$5:$D$92,'0700'!A906,'Daftar Koreksi'!$G$5:$G$92,"Gedung dan Bangunan",'Daftar Koreksi'!$H$5:$H$92,"&lt;0")-SUMIFS('Daftar Koreksi'!$H$5:$H$92,'Daftar Koreksi'!$D$5:$D$92,'0700'!A906,'Daftar Koreksi'!$G$5:$G$92,"Gedung dan Bangunan",'Daftar Koreksi'!$H$5:$H$92,"&lt;0")-SUMIFS('Daftar Koreksi'!$H$5:$H$92,'Daftar Koreksi'!$D$5:$D$92,'0700'!A906,'Daftar Koreksi'!$G$5:$G$92,"Gedung dan Bangunan",'Daftar Koreksi'!$H$5:$H$92,"&lt;0")</f>
        <v>0</v>
      </c>
      <c r="G912" s="17">
        <f t="shared" si="41"/>
        <v>8542499182</v>
      </c>
      <c r="H912" s="122"/>
    </row>
    <row r="913" spans="1:8" ht="21.95" customHeight="1">
      <c r="A913" s="14"/>
      <c r="B913" s="14"/>
      <c r="C913" s="16" t="s">
        <v>1169</v>
      </c>
      <c r="D913" s="17">
        <f>VLOOKUP(A906,'Neraca Unaudited SIMAK'!$A$2:$S$10004,7,FALSE)</f>
        <v>117038050</v>
      </c>
      <c r="E913" s="25">
        <f>SUMIFS('Daftar Koreksi'!$H$5:$H$92,'Daftar Koreksi'!$D$5:$D$92,'0700'!A906,'Daftar Koreksi'!$G$5:$G$92,"Jalan Irigasi Jaringan",'Daftar Koreksi'!$H$5:$H$92,"&gt;0")</f>
        <v>0</v>
      </c>
      <c r="F913" s="25">
        <f>SUMIFS('Daftar Koreksi'!$H$5:$H$92,'Daftar Koreksi'!$D$5:$D$92,'0700'!A906,'Daftar Koreksi'!$G$5:$G$92,"Jalan Irigasi Jaringan",'Daftar Koreksi'!$H$5:$H$92,"&lt;0")-SUMIFS('Daftar Koreksi'!$H$5:$H$92,'Daftar Koreksi'!$D$5:$D$92,'0700'!A906,'Daftar Koreksi'!$G$5:$G$92,"Jalan Irigasi Jaringan",'Daftar Koreksi'!$H$5:$H$92,"&lt;0")-SUMIFS('Daftar Koreksi'!$H$5:$H$92,'Daftar Koreksi'!$D$5:$D$92,'0700'!A906,'Daftar Koreksi'!$G$5:$G$92,"Jalan Irigasi Jaringan",'Daftar Koreksi'!$H$5:$H$92,"&lt;0")</f>
        <v>0</v>
      </c>
      <c r="G913" s="17">
        <f t="shared" si="41"/>
        <v>117038050</v>
      </c>
      <c r="H913" s="122"/>
    </row>
    <row r="914" spans="1:8" ht="21.95" customHeight="1">
      <c r="A914" s="14"/>
      <c r="B914" s="14"/>
      <c r="C914" s="16" t="s">
        <v>1170</v>
      </c>
      <c r="D914" s="17">
        <f>VLOOKUP(A906,'Neraca Unaudited SIMAK'!$A$2:$S$10004,8,FALSE)</f>
        <v>0</v>
      </c>
      <c r="E914" s="25">
        <f>SUMIFS('Daftar Koreksi'!$H$5:$H$92,'Daftar Koreksi'!$D$5:$D$92,'0700'!A906,'Daftar Koreksi'!$G$5:$G$92,"Aset Tetap Lainnya",'Daftar Koreksi'!$H$5:$H$92,"&gt;0")</f>
        <v>0</v>
      </c>
      <c r="F914" s="25">
        <f>SUMIFS('Daftar Koreksi'!$H$5:$H$92,'Daftar Koreksi'!$D$5:$D$92,'0700'!A906,'Daftar Koreksi'!$G$5:$G$92,"Aset Tetap Lainnya",'Daftar Koreksi'!$H$5:$H$92,"&lt;0")-SUMIFS('Daftar Koreksi'!$H$5:$H$92,'Daftar Koreksi'!$D$5:$D$92,'0700'!A906,'Daftar Koreksi'!$G$5:$G$92,"Aset Tetap Lainnya",'Daftar Koreksi'!$H$5:$H$92,"&lt;0")-SUMIFS('Daftar Koreksi'!$H$5:$H$92,'Daftar Koreksi'!$D$5:$D$92,'0700'!A906,'Daftar Koreksi'!$G$5:$G$92,"Aset Tetap Lainnya",'Daftar Koreksi'!$H$5:$H$92,"&lt;0")</f>
        <v>0</v>
      </c>
      <c r="G914" s="17">
        <f t="shared" si="41"/>
        <v>0</v>
      </c>
      <c r="H914" s="122"/>
    </row>
    <row r="915" spans="1:8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Koreksi'!$D$5:$D$92,'0700'!A906,'Daftar Koreksi'!$G$5:$G$92,"Kontruksi Dalam Pengerjaan",'Daftar Koreksi'!$H$5:$H$92,"&gt;0")</f>
        <v>0</v>
      </c>
      <c r="F915" s="25">
        <f>SUMIFS('Daftar Koreksi'!$H$5:$H$92,'Daftar Koreksi'!$D$5:$D$92,'0700'!A906,'Daftar Koreksi'!$G$5:$G$92,"Kontruksi Dalam Pengerjaan",'Daftar Koreksi'!$H$5:$H$92,"&lt;0")-SUMIFS('Daftar Koreksi'!$H$5:$H$92,'Daftar Koreksi'!$D$5:$D$92,'0700'!A906,'Daftar Koreksi'!$G$5:$G$92,"Kontruksi Dalam Pengerjaan",'Daftar Koreksi'!$H$5:$H$92,"&lt;0")-SUMIFS('Daftar Koreksi'!$H$5:$H$92,'Daftar Koreksi'!$D$5:$D$92,'0700'!A906,'Daftar Koreksi'!$G$5:$G$92,"Kontruksi Dalam Pengerjaan",'Daftar Koreksi'!$H$5:$H$92,"&lt;0")</f>
        <v>0</v>
      </c>
      <c r="G915" s="17">
        <f t="shared" si="41"/>
        <v>0</v>
      </c>
      <c r="H915" s="122"/>
    </row>
    <row r="916" spans="1:8" ht="21.95" customHeight="1">
      <c r="A916" s="14"/>
      <c r="B916" s="14"/>
      <c r="C916" s="16" t="s">
        <v>1172</v>
      </c>
      <c r="D916" s="17">
        <f>VLOOKUP(A906,'Neraca Unaudited SIMAK'!$A$2:$S$10004,10,FALSE)</f>
        <v>119437285</v>
      </c>
      <c r="E916" s="25">
        <f>SUMIFS('Daftar Koreksi'!$H$5:$H$92,'Daftar Koreksi'!$D$5:$D$92,'0700'!A906,'Daftar Koreksi'!$G$5:$G$92,"Aset Tak Berwujud",'Daftar Koreksi'!$H$5:$H$92,"&gt;0")</f>
        <v>0</v>
      </c>
      <c r="F916" s="25">
        <f>SUMIFS('Daftar Koreksi'!$H$5:$H$92,'Daftar Koreksi'!$D$5:$D$92,'0700'!A906,'Daftar Koreksi'!$G$5:$G$92,"Aset Tak Berwujud",'Daftar Koreksi'!$H$5:$H$92,"&lt;0")-SUMIFS('Daftar Koreksi'!$H$5:$H$92,'Daftar Koreksi'!$D$5:$D$92,'0700'!A906,'Daftar Koreksi'!$G$5:$G$92,"Aset Tak Berwujud",'Daftar Koreksi'!$H$5:$H$92,"&lt;0")-SUMIFS('Daftar Koreksi'!$H$5:$H$92,'Daftar Koreksi'!$D$5:$D$92,'0700'!A906,'Daftar Koreksi'!$G$5:$G$92,"Aset Tak Berwujud",'Daftar Koreksi'!$H$5:$H$92,"&lt;0")</f>
        <v>0</v>
      </c>
      <c r="G916" s="17">
        <f t="shared" si="41"/>
        <v>119437285</v>
      </c>
      <c r="H916" s="122"/>
    </row>
    <row r="917" spans="1:8" ht="21.95" customHeight="1">
      <c r="A917" s="14"/>
      <c r="B917" s="14"/>
      <c r="C917" s="16" t="s">
        <v>1173</v>
      </c>
      <c r="D917" s="17">
        <f>VLOOKUP(A906,'Neraca Unaudited SIMAK'!$A$2:$S$10004,11,FALSE)</f>
        <v>57800625</v>
      </c>
      <c r="E917" s="25">
        <f>SUMIFS('Daftar Koreksi'!$H$5:$H$92,'Daftar Koreksi'!$D$5:$D$92,'0700'!A906,'Daftar Koreksi'!$G$5:$G$92,"Aset Henti Guna",'Daftar Koreksi'!$H$5:$H$92,"&gt;0")</f>
        <v>0</v>
      </c>
      <c r="F917" s="25">
        <f>SUMIFS('Daftar Koreksi'!$H$5:$H$92,'Daftar Koreksi'!$D$5:$D$92,'0700'!A906,'Daftar Koreksi'!$G$5:$G$92,"Aset Henti Guna",'Daftar Koreksi'!$H$5:$H$92,"&lt;0")-SUMIFS('Daftar Koreksi'!$H$5:$H$92,'Daftar Koreksi'!$D$5:$D$92,'0700'!A906,'Daftar Koreksi'!$G$5:$G$92,"Aset Henti Guna",'Daftar Koreksi'!$H$5:$H$92,"&lt;0")-SUMIFS('Daftar Koreksi'!$H$5:$H$92,'Daftar Koreksi'!$D$5:$D$92,'0700'!A906,'Daftar Koreksi'!$G$5:$G$92,"Aset Henti Guna",'Daftar Koreksi'!$H$5:$H$92,"&lt;0")</f>
        <v>0</v>
      </c>
      <c r="G917" s="17">
        <f t="shared" si="41"/>
        <v>57800625</v>
      </c>
      <c r="H917" s="122"/>
    </row>
    <row r="918" spans="1:8" ht="21.95" customHeight="1">
      <c r="A918" s="14"/>
      <c r="B918" s="14"/>
      <c r="C918" s="18" t="s">
        <v>2093</v>
      </c>
      <c r="D918" s="19">
        <f>VLOOKUP(A906,'Neraca Unaudited SIMAK'!$A$2:$S$10004,12,FALSE)</f>
        <v>13383951866</v>
      </c>
      <c r="E918" s="19">
        <f>SUM(E909:E917)</f>
        <v>0</v>
      </c>
      <c r="F918" s="19">
        <f>SUM(F909:F917)</f>
        <v>0</v>
      </c>
      <c r="G918" s="19">
        <f t="shared" si="41"/>
        <v>13383951866</v>
      </c>
      <c r="H918" s="122"/>
    </row>
    <row r="919" spans="1:8" ht="21.95" customHeight="1">
      <c r="A919" s="14"/>
      <c r="B919" s="14"/>
      <c r="C919" s="16" t="s">
        <v>2087</v>
      </c>
      <c r="D919" s="17">
        <f>VLOOKUP(A906,'Neraca Unaudited SIMAK'!$A$2:$S$10004,13,FALSE)</f>
        <v>-1503353129</v>
      </c>
      <c r="E919" s="25">
        <f>SUMIFS('Daftar Koreksi'!$I$5:$I$92,'Daftar Koreksi'!$D$5:$D$92,'0700'!A906,'Daftar Koreksi'!$G$5:$G$92,"Peralatan dan mesin",'Daftar Koreksi'!$I$5:$I$92,"&gt;0")</f>
        <v>0</v>
      </c>
      <c r="F919" s="25">
        <f>SUMIFS('Daftar Koreksi'!$I$5:$I$92,'Daftar Koreksi'!$D$5:$D$92,'0700'!A906,'Daftar Koreksi'!$G$5:$G$92,"Peralatan dan mesin",'Daftar Koreksi'!$I$5:$I$92,"&lt;0")-SUMIFS('Daftar Koreksi'!$I$5:$I$92,'Daftar Koreksi'!$D$5:$D$92,'0700'!A906,'Daftar Koreksi'!$G$5:$G$92,"Peralatan dan mesin",'Daftar Koreksi'!$I$5:$I$92,"&lt;0")-SUMIFS('Daftar Koreksi'!$I$5:$I$92,'Daftar Koreksi'!$D$5:$D$92,'0700'!A906,'Daftar Koreksi'!$G$5:$G$92,"Peralatan dan mesin",'Daftar Koreksi'!$I$5:$I$92,"&lt;0")</f>
        <v>0</v>
      </c>
      <c r="G919" s="17">
        <f t="shared" si="41"/>
        <v>-1503353129</v>
      </c>
      <c r="H919" s="122"/>
    </row>
    <row r="920" spans="1:8" ht="21.95" customHeight="1">
      <c r="A920" s="14"/>
      <c r="B920" s="14"/>
      <c r="C920" s="16" t="s">
        <v>2088</v>
      </c>
      <c r="D920" s="17">
        <f>VLOOKUP(A906,'Neraca Unaudited SIMAK'!$A$2:$S$10004,14,FALSE)</f>
        <v>-597974944</v>
      </c>
      <c r="E920" s="25">
        <f>SUMIFS('Daftar Koreksi'!$I$5:$I$92,'Daftar Koreksi'!$D$5:$D$92,'0700'!A906,'Daftar Koreksi'!$G$5:$G$92,"Gedung dan Bangunan",'Daftar Koreksi'!$I$5:$I$92,"&gt;0")</f>
        <v>0</v>
      </c>
      <c r="F920" s="25">
        <f>SUMIFS('Daftar Koreksi'!$I$5:$I$92,'Daftar Koreksi'!$D$5:$D$92,'0700'!A906,'Daftar Koreksi'!$G$5:$G$92,"Gedung dan Bangunan",'Daftar Koreksi'!$I$5:$I$92,"&lt;0")-SUMIFS('Daftar Koreksi'!$I$5:$I$92,'Daftar Koreksi'!$D$5:$D$92,'0700'!A906,'Daftar Koreksi'!$G$5:$G$92,"Gedung dan Bangunan",'Daftar Koreksi'!$I$5:$I$92,"&lt;0")-SUMIFS('Daftar Koreksi'!$I$5:$I$92,'Daftar Koreksi'!$D$5:$D$92,'0700'!A906,'Daftar Koreksi'!$G$5:$G$92,"Gedung dan Bangunan",'Daftar Koreksi'!$I$5:$I$92,"&lt;0")</f>
        <v>0</v>
      </c>
      <c r="G920" s="17">
        <f t="shared" si="41"/>
        <v>-597974944</v>
      </c>
      <c r="H920" s="122"/>
    </row>
    <row r="921" spans="1:8" ht="21.95" customHeight="1">
      <c r="A921" s="14"/>
      <c r="B921" s="14"/>
      <c r="C921" s="16" t="s">
        <v>2089</v>
      </c>
      <c r="D921" s="17">
        <f>VLOOKUP(A906,'Neraca Unaudited SIMAK'!$A$2:$S$10004,15,FALSE)</f>
        <v>-99432160</v>
      </c>
      <c r="E921" s="25">
        <f>SUMIFS('Daftar Koreksi'!$I$5:$I$92,'Daftar Koreksi'!$D$5:$D$92,'0700'!A906,'Daftar Koreksi'!$G$5:$G$92,"Jalan Irigasi Jaringan",'Daftar Koreksi'!$I$5:$I$92,"&gt;0")</f>
        <v>0</v>
      </c>
      <c r="F921" s="25">
        <f>SUMIFS('Daftar Koreksi'!$I$5:$I$92,'Daftar Koreksi'!$D$5:$D$92,'0700'!A906,'Daftar Koreksi'!$G$5:$G$92,"Jalan Irigasi Jaringan",'Daftar Koreksi'!$I$5:$I$92,"&lt;0")-SUMIFS('Daftar Koreksi'!$I$5:$I$92,'Daftar Koreksi'!$D$5:$D$92,'0700'!A906,'Daftar Koreksi'!$G$5:$G$92,"Jalan Irigasi Jaringan",'Daftar Koreksi'!$I$5:$I$92,"&lt;0")-SUMIFS('Daftar Koreksi'!$I$5:$I$92,'Daftar Koreksi'!$D$5:$D$92,'0700'!A906,'Daftar Koreksi'!$G$5:$G$92,"Jalan Irigasi Jaringan",'Daftar Koreksi'!$I$5:$I$92,"&lt;0")</f>
        <v>0</v>
      </c>
      <c r="G921" s="17">
        <f t="shared" si="41"/>
        <v>-99432160</v>
      </c>
      <c r="H921" s="122"/>
    </row>
    <row r="922" spans="1:8" ht="21.95" customHeight="1">
      <c r="A922" s="14"/>
      <c r="B922" s="14"/>
      <c r="C922" s="16" t="s">
        <v>2090</v>
      </c>
      <c r="D922" s="17">
        <f>VLOOKUP(A906,'Neraca Unaudited SIMAK'!$A$2:$S$10004,16,FALSE)</f>
        <v>0</v>
      </c>
      <c r="E922" s="25">
        <f>SUMIFS('Daftar Koreksi'!$I$5:$I$92,'Daftar Koreksi'!$D$5:$D$92,'0700'!A906,'Daftar Koreksi'!$G$5:$G$92,"Aset Tetap Lainnya",'Daftar Koreksi'!$I$5:$I$92,"&gt;0")</f>
        <v>0</v>
      </c>
      <c r="F922" s="25">
        <f>SUMIFS('Daftar Koreksi'!$I$5:$I$92,'Daftar Koreksi'!$D$5:$D$92,'0700'!A906,'Daftar Koreksi'!$G$5:$G$92,"Aset Tetap Lainnya",'Daftar Koreksi'!$I$5:$I$92,"&lt;0")-SUMIFS('Daftar Koreksi'!$I$5:$I$92,'Daftar Koreksi'!$D$5:$D$92,'0700'!A906,'Daftar Koreksi'!$G$5:$G$92,"Aset Tetap Lainnya",'Daftar Koreksi'!$I$5:$I$92,"&lt;0")-SUMIFS('Daftar Koreksi'!$I$5:$I$92,'Daftar Koreksi'!$D$5:$D$92,'0700'!A906,'Daftar Koreksi'!$G$5:$G$92,"Aset Tetap Lainnya",'Daftar Koreksi'!$I$5:$I$92,"&lt;0")</f>
        <v>0</v>
      </c>
      <c r="G922" s="17">
        <f t="shared" si="41"/>
        <v>0</v>
      </c>
      <c r="H922" s="122"/>
    </row>
    <row r="923" spans="1:8" ht="21.95" customHeight="1">
      <c r="A923" s="14"/>
      <c r="B923" s="14"/>
      <c r="C923" s="16" t="s">
        <v>2020</v>
      </c>
      <c r="D923" s="17">
        <f>VLOOKUP(A906,'Neraca Unaudited SIMAK'!$A$2:$S$10004,17,FALSE)</f>
        <v>-54369141</v>
      </c>
      <c r="E923" s="25">
        <f>SUMIFS('Daftar Koreksi'!$I$5:$I$92,'Daftar Koreksi'!$D$5:$D$92,'0700'!A906,'Daftar Koreksi'!$G$5:$G$92,"Aset Henti Guna",'Daftar Koreksi'!$I$5:$I$92,"&gt;0")</f>
        <v>0</v>
      </c>
      <c r="F923" s="25">
        <f>SUMIFS('Daftar Koreksi'!$I$5:$I$92,'Daftar Koreksi'!$D$5:$D$92,'0700'!A906,'Daftar Koreksi'!$G$5:$G$92,"Aset Henti Guna",'Daftar Koreksi'!$I$5:$I$92,"&lt;0")-SUMIFS('Daftar Koreksi'!$I$5:$I$92,'Daftar Koreksi'!$D$5:$D$92,'0700'!A906,'Daftar Koreksi'!$G$5:$G$92,"Aset Henti Guna",'Daftar Koreksi'!$I$5:$I$92,"&lt;0")-SUMIFS('Daftar Koreksi'!$I$5:$I$92,'Daftar Koreksi'!$D$5:$D$92,'0700'!A906,'Daftar Koreksi'!$G$5:$G$92,"Aset Henti Guna",'Daftar Koreksi'!$I$5:$I$92,"&lt;0")</f>
        <v>0</v>
      </c>
      <c r="G923" s="17">
        <f t="shared" si="41"/>
        <v>-54369141</v>
      </c>
      <c r="H923" s="122"/>
    </row>
    <row r="924" spans="1:8" ht="21.95" customHeight="1">
      <c r="A924" s="14"/>
      <c r="B924" s="14"/>
      <c r="C924" s="18" t="s">
        <v>2094</v>
      </c>
      <c r="D924" s="19">
        <f>SUM(D919:D923)</f>
        <v>-2255129374</v>
      </c>
      <c r="E924" s="19">
        <f>SUM(E919:E923)</f>
        <v>0</v>
      </c>
      <c r="F924" s="19">
        <f>SUM(F919:F923)</f>
        <v>0</v>
      </c>
      <c r="G924" s="19">
        <f t="shared" si="41"/>
        <v>-2255129374</v>
      </c>
      <c r="H924" s="122"/>
    </row>
    <row r="925" spans="1:8" ht="21.95" customHeight="1">
      <c r="A925" s="14"/>
      <c r="B925" s="14"/>
      <c r="C925" s="18" t="s">
        <v>2095</v>
      </c>
      <c r="D925" s="19">
        <f>VLOOKUP(A906,'Neraca Unaudited SIMAK'!$A$2:$S$10004,18,FALSE)</f>
        <v>11128822492</v>
      </c>
      <c r="E925" s="19">
        <f>E924+E918</f>
        <v>0</v>
      </c>
      <c r="F925" s="19">
        <f>F924+F918</f>
        <v>0</v>
      </c>
      <c r="G925" s="19">
        <f t="shared" si="41"/>
        <v>11128822492</v>
      </c>
      <c r="H925" s="122"/>
    </row>
    <row r="926" spans="1:8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</row>
    <row r="928" spans="1:8" ht="19.5" customHeight="1">
      <c r="A928" s="11" t="str">
        <f>O43</f>
        <v>005010700672910000KD</v>
      </c>
      <c r="B928" s="11" t="str">
        <f>P43</f>
        <v>PN. Balige</v>
      </c>
      <c r="C928" s="12" t="str">
        <f>A928&amp;" "&amp;B928</f>
        <v>005010700672910000KD PN. Balige</v>
      </c>
      <c r="D928" s="13"/>
      <c r="E928" s="13"/>
      <c r="F928" s="13"/>
      <c r="G928" s="13"/>
      <c r="H928" s="11"/>
    </row>
    <row r="929" spans="1:8" ht="21.95" customHeight="1">
      <c r="A929" s="14"/>
      <c r="B929" s="14"/>
      <c r="C929" s="124" t="s">
        <v>1982</v>
      </c>
      <c r="D929" s="126" t="s">
        <v>1983</v>
      </c>
      <c r="E929" s="132" t="s">
        <v>1984</v>
      </c>
      <c r="F929" s="132"/>
      <c r="G929" s="126" t="s">
        <v>1987</v>
      </c>
      <c r="H929" s="130" t="s">
        <v>1175</v>
      </c>
    </row>
    <row r="930" spans="1:8" ht="21.95" customHeight="1">
      <c r="A930" s="14"/>
      <c r="B930" s="14"/>
      <c r="C930" s="125"/>
      <c r="D930" s="127"/>
      <c r="E930" s="26" t="s">
        <v>1985</v>
      </c>
      <c r="F930" s="26" t="s">
        <v>1986</v>
      </c>
      <c r="G930" s="127"/>
      <c r="H930" s="131"/>
    </row>
    <row r="931" spans="1:8" ht="21.95" customHeight="1">
      <c r="A931" s="14"/>
      <c r="B931" s="14"/>
      <c r="C931" s="16" t="s">
        <v>1165</v>
      </c>
      <c r="D931" s="17">
        <f>VLOOKUP(A928,'Neraca Unaudited SIMAK'!$A$2:$S$10004,3,FALSE)</f>
        <v>175000</v>
      </c>
      <c r="E931" s="25">
        <f>SUMIFS('Daftar Koreksi'!$H$5:$H$92,'Daftar Koreksi'!$D$5:$D$92,'0700'!A928,'Daftar Koreksi'!$G$5:$G$92,"Persediaan",'Daftar Koreksi'!$H$5:$H$92,"&gt;0")</f>
        <v>0</v>
      </c>
      <c r="F931" s="25">
        <f>SUMIFS('Daftar Koreksi'!$H$5:$H$92,'Daftar Koreksi'!$D$5:$D$92,'0700'!A928,'Daftar Koreksi'!$G$5:$G$92,"Persediaan",'Daftar Koreksi'!$H$5:$H$92,"&lt;0")-SUMIFS('Daftar Koreksi'!$H$5:$H$92,'Daftar Koreksi'!$D$5:$D$92,'0700'!A928,'Daftar Koreksi'!$G$5:$G$92,"Persediaan",'Daftar Koreksi'!$H$5:$H$92,"&lt;0")-SUMIFS('Daftar Koreksi'!$H$5:$H$92,'Daftar Koreksi'!$D$5:$D$92,'0700'!A928,'Daftar Koreksi'!$G$5:$G$92,"Persediaan",'Daftar Koreksi'!$H$5:$H$92,"&lt;0")</f>
        <v>0</v>
      </c>
      <c r="G931" s="17">
        <f>D931+E931-F931</f>
        <v>175000</v>
      </c>
      <c r="H931" s="121" t="str">
        <f>IF(ISNA(VLOOKUP(A928,'Mutasi Neraca'!$A$3:$S$914,19,FALSE)),"-",VLOOKUP(A928,'Mutasi Neraca'!$A$3:$S$914,19,FALSE))</f>
        <v>-</v>
      </c>
    </row>
    <row r="932" spans="1:8" ht="21.95" customHeight="1">
      <c r="A932" s="14"/>
      <c r="B932" s="14"/>
      <c r="C932" s="16" t="s">
        <v>1166</v>
      </c>
      <c r="D932" s="17">
        <f>VLOOKUP(A928,'Neraca Unaudited SIMAK'!$A$2:$S$10004,4,FALSE)</f>
        <v>3664193500</v>
      </c>
      <c r="E932" s="25">
        <f>SUMIFS('Daftar Koreksi'!$H$5:$H$92,'Daftar Koreksi'!$D$5:$D$92,'0700'!A928,'Daftar Koreksi'!$G$5:$G$92,"Tanah",'Daftar Koreksi'!$H$5:$H$92,"&gt;0")</f>
        <v>0</v>
      </c>
      <c r="F932" s="25">
        <f>SUMIFS('Daftar Koreksi'!$H$5:$H$92,'Daftar Koreksi'!$D$5:$D$92,'0700'!A928,'Daftar Koreksi'!$G$5:$G$92,"Tanah",'Daftar Koreksi'!$H$5:$H$92,"&lt;0")-SUMIFS('Daftar Koreksi'!$H$5:$H$92,'Daftar Koreksi'!$D$5:$D$92,'0700'!A928,'Daftar Koreksi'!$G$5:$G$92,"Tanah",'Daftar Koreksi'!$H$5:$H$92,"&lt;0")-SUMIFS('Daftar Koreksi'!$H$5:$H$92,'Daftar Koreksi'!$D$5:$D$92,'0700'!A928,'Daftar Koreksi'!$G$5:$G$92,"Tanah",'Daftar Koreksi'!$H$5:$H$92,"&lt;0")</f>
        <v>0</v>
      </c>
      <c r="G932" s="17">
        <f t="shared" ref="G932:G948" si="42">D932+E932-F932</f>
        <v>3664193500</v>
      </c>
      <c r="H932" s="122"/>
    </row>
    <row r="933" spans="1:8" ht="21.95" customHeight="1">
      <c r="A933" s="14"/>
      <c r="B933" s="14"/>
      <c r="C933" s="16" t="s">
        <v>1167</v>
      </c>
      <c r="D933" s="17">
        <f>VLOOKUP(A928,'Neraca Unaudited SIMAK'!$A$2:$S$10004,5,FALSE)</f>
        <v>1180420000</v>
      </c>
      <c r="E933" s="25">
        <f>SUMIFS('Daftar Koreksi'!$H$5:$H$92,'Daftar Koreksi'!$D$5:$D$92,'0700'!A928,'Daftar Koreksi'!$G$5:$G$92,"Peralatan dan mesin",'Daftar Koreksi'!$H$5:$H$92,"&gt;0")</f>
        <v>0</v>
      </c>
      <c r="F933" s="25">
        <f>SUMIFS('Daftar Koreksi'!$H$5:$H$92,'Daftar Koreksi'!$D$5:$D$92,'0700'!A928,'Daftar Koreksi'!$G$5:$G$92,"Peralatan dan mesin",'Daftar Koreksi'!$H$5:$H$92,"&lt;0")-SUMIFS('Daftar Koreksi'!$H$5:$H$92,'Daftar Koreksi'!$D$5:$D$92,'0700'!A928,'Daftar Koreksi'!$G$5:$G$92,"Peralatan dan mesin",'Daftar Koreksi'!$H$5:$H$92,"&lt;0")-SUMIFS('Daftar Koreksi'!$H$5:$H$92,'Daftar Koreksi'!$D$5:$D$92,'0700'!A928,'Daftar Koreksi'!$G$5:$G$92,"Peralatan dan mesin",'Daftar Koreksi'!$H$5:$H$92,"&lt;0")</f>
        <v>0</v>
      </c>
      <c r="G933" s="17">
        <f t="shared" si="42"/>
        <v>1180420000</v>
      </c>
      <c r="H933" s="122"/>
    </row>
    <row r="934" spans="1:8" ht="21.95" customHeight="1">
      <c r="A934" s="14"/>
      <c r="B934" s="14"/>
      <c r="C934" s="16" t="s">
        <v>1168</v>
      </c>
      <c r="D934" s="17">
        <f>VLOOKUP(A928,'Neraca Unaudited SIMAK'!$A$2:$S$10004,6,FALSE)</f>
        <v>6674711499</v>
      </c>
      <c r="E934" s="25">
        <f>SUMIFS('Daftar Koreksi'!$H$5:$H$92,'Daftar Koreksi'!$D$5:$D$92,'0700'!A928,'Daftar Koreksi'!$G$5:$G$92,"Gedung dan Bangunan",'Daftar Koreksi'!$H$5:$H$92,"&gt;0")</f>
        <v>0</v>
      </c>
      <c r="F934" s="25">
        <f>SUMIFS('Daftar Koreksi'!$H$5:$H$92,'Daftar Koreksi'!$D$5:$D$92,'0700'!A928,'Daftar Koreksi'!$G$5:$G$92,"Gedung dan Bangunan",'Daftar Koreksi'!$H$5:$H$92,"&lt;0")-SUMIFS('Daftar Koreksi'!$H$5:$H$92,'Daftar Koreksi'!$D$5:$D$92,'0700'!A928,'Daftar Koreksi'!$G$5:$G$92,"Gedung dan Bangunan",'Daftar Koreksi'!$H$5:$H$92,"&lt;0")-SUMIFS('Daftar Koreksi'!$H$5:$H$92,'Daftar Koreksi'!$D$5:$D$92,'0700'!A928,'Daftar Koreksi'!$G$5:$G$92,"Gedung dan Bangunan",'Daftar Koreksi'!$H$5:$H$92,"&lt;0")</f>
        <v>0</v>
      </c>
      <c r="G934" s="17">
        <f t="shared" si="42"/>
        <v>6674711499</v>
      </c>
      <c r="H934" s="122"/>
    </row>
    <row r="935" spans="1:8" ht="21.95" customHeight="1">
      <c r="A935" s="14"/>
      <c r="B935" s="14"/>
      <c r="C935" s="16" t="s">
        <v>1169</v>
      </c>
      <c r="D935" s="17">
        <f>VLOOKUP(A928,'Neraca Unaudited SIMAK'!$A$2:$S$10004,7,FALSE)</f>
        <v>0</v>
      </c>
      <c r="E935" s="25">
        <f>SUMIFS('Daftar Koreksi'!$H$5:$H$92,'Daftar Koreksi'!$D$5:$D$92,'0700'!A928,'Daftar Koreksi'!$G$5:$G$92,"Jalan Irigasi Jaringan",'Daftar Koreksi'!$H$5:$H$92,"&gt;0")</f>
        <v>0</v>
      </c>
      <c r="F935" s="25">
        <f>SUMIFS('Daftar Koreksi'!$H$5:$H$92,'Daftar Koreksi'!$D$5:$D$92,'0700'!A928,'Daftar Koreksi'!$G$5:$G$92,"Jalan Irigasi Jaringan",'Daftar Koreksi'!$H$5:$H$92,"&lt;0")-SUMIFS('Daftar Koreksi'!$H$5:$H$92,'Daftar Koreksi'!$D$5:$D$92,'0700'!A928,'Daftar Koreksi'!$G$5:$G$92,"Jalan Irigasi Jaringan",'Daftar Koreksi'!$H$5:$H$92,"&lt;0")-SUMIFS('Daftar Koreksi'!$H$5:$H$92,'Daftar Koreksi'!$D$5:$D$92,'0700'!A928,'Daftar Koreksi'!$G$5:$G$92,"Jalan Irigasi Jaringan",'Daftar Koreksi'!$H$5:$H$92,"&lt;0")</f>
        <v>0</v>
      </c>
      <c r="G935" s="17">
        <f t="shared" si="42"/>
        <v>0</v>
      </c>
      <c r="H935" s="122"/>
    </row>
    <row r="936" spans="1:8" ht="21.95" customHeight="1">
      <c r="A936" s="14"/>
      <c r="B936" s="14"/>
      <c r="C936" s="16" t="s">
        <v>1170</v>
      </c>
      <c r="D936" s="17">
        <f>VLOOKUP(A928,'Neraca Unaudited SIMAK'!$A$2:$S$10004,8,FALSE)</f>
        <v>1943440</v>
      </c>
      <c r="E936" s="25">
        <f>SUMIFS('Daftar Koreksi'!$H$5:$H$92,'Daftar Koreksi'!$D$5:$D$92,'0700'!A928,'Daftar Koreksi'!$G$5:$G$92,"Aset Tetap Lainnya",'Daftar Koreksi'!$H$5:$H$92,"&gt;0")</f>
        <v>0</v>
      </c>
      <c r="F936" s="25">
        <f>SUMIFS('Daftar Koreksi'!$H$5:$H$92,'Daftar Koreksi'!$D$5:$D$92,'0700'!A928,'Daftar Koreksi'!$G$5:$G$92,"Aset Tetap Lainnya",'Daftar Koreksi'!$H$5:$H$92,"&lt;0")-SUMIFS('Daftar Koreksi'!$H$5:$H$92,'Daftar Koreksi'!$D$5:$D$92,'0700'!A928,'Daftar Koreksi'!$G$5:$G$92,"Aset Tetap Lainnya",'Daftar Koreksi'!$H$5:$H$92,"&lt;0")-SUMIFS('Daftar Koreksi'!$H$5:$H$92,'Daftar Koreksi'!$D$5:$D$92,'0700'!A928,'Daftar Koreksi'!$G$5:$G$92,"Aset Tetap Lainnya",'Daftar Koreksi'!$H$5:$H$92,"&lt;0")</f>
        <v>0</v>
      </c>
      <c r="G936" s="17">
        <f t="shared" si="42"/>
        <v>1943440</v>
      </c>
      <c r="H936" s="122"/>
    </row>
    <row r="937" spans="1:8" ht="21.95" customHeight="1">
      <c r="A937" s="14"/>
      <c r="B937" s="14"/>
      <c r="C937" s="16" t="s">
        <v>1171</v>
      </c>
      <c r="D937" s="17">
        <f>VLOOKUP(A928,'Neraca Unaudited SIMAK'!$A$2:$S$10004,9,FALSE)</f>
        <v>0</v>
      </c>
      <c r="E937" s="25">
        <f>SUMIFS('Daftar Koreksi'!$H$5:$H$92,'Daftar Koreksi'!$D$5:$D$92,'0700'!A928,'Daftar Koreksi'!$G$5:$G$92,"Kontruksi Dalam Pengerjaan",'Daftar Koreksi'!$H$5:$H$92,"&gt;0")</f>
        <v>0</v>
      </c>
      <c r="F937" s="25">
        <f>SUMIFS('Daftar Koreksi'!$H$5:$H$92,'Daftar Koreksi'!$D$5:$D$92,'0700'!A928,'Daftar Koreksi'!$G$5:$G$92,"Kontruksi Dalam Pengerjaan",'Daftar Koreksi'!$H$5:$H$92,"&lt;0")-SUMIFS('Daftar Koreksi'!$H$5:$H$92,'Daftar Koreksi'!$D$5:$D$92,'0700'!A928,'Daftar Koreksi'!$G$5:$G$92,"Kontruksi Dalam Pengerjaan",'Daftar Koreksi'!$H$5:$H$92,"&lt;0")-SUMIFS('Daftar Koreksi'!$H$5:$H$92,'Daftar Koreksi'!$D$5:$D$92,'0700'!A928,'Daftar Koreksi'!$G$5:$G$92,"Kontruksi Dalam Pengerjaan",'Daftar Koreksi'!$H$5:$H$92,"&lt;0")</f>
        <v>0</v>
      </c>
      <c r="G937" s="17">
        <f t="shared" si="42"/>
        <v>0</v>
      </c>
      <c r="H937" s="122"/>
    </row>
    <row r="938" spans="1:8" ht="21.95" customHeight="1">
      <c r="A938" s="14"/>
      <c r="B938" s="14"/>
      <c r="C938" s="16" t="s">
        <v>1172</v>
      </c>
      <c r="D938" s="17">
        <f>VLOOKUP(A928,'Neraca Unaudited SIMAK'!$A$2:$S$10004,10,FALSE)</f>
        <v>0</v>
      </c>
      <c r="E938" s="25">
        <f>SUMIFS('Daftar Koreksi'!$H$5:$H$92,'Daftar Koreksi'!$D$5:$D$92,'0700'!A928,'Daftar Koreksi'!$G$5:$G$92,"Aset Tak Berwujud",'Daftar Koreksi'!$H$5:$H$92,"&gt;0")</f>
        <v>0</v>
      </c>
      <c r="F938" s="25">
        <f>SUMIFS('Daftar Koreksi'!$H$5:$H$92,'Daftar Koreksi'!$D$5:$D$92,'0700'!A928,'Daftar Koreksi'!$G$5:$G$92,"Aset Tak Berwujud",'Daftar Koreksi'!$H$5:$H$92,"&lt;0")-SUMIFS('Daftar Koreksi'!$H$5:$H$92,'Daftar Koreksi'!$D$5:$D$92,'0700'!A928,'Daftar Koreksi'!$G$5:$G$92,"Aset Tak Berwujud",'Daftar Koreksi'!$H$5:$H$92,"&lt;0")-SUMIFS('Daftar Koreksi'!$H$5:$H$92,'Daftar Koreksi'!$D$5:$D$92,'0700'!A928,'Daftar Koreksi'!$G$5:$G$92,"Aset Tak Berwujud",'Daftar Koreksi'!$H$5:$H$92,"&lt;0")</f>
        <v>0</v>
      </c>
      <c r="G938" s="17">
        <f t="shared" si="42"/>
        <v>0</v>
      </c>
      <c r="H938" s="122"/>
    </row>
    <row r="939" spans="1:8" ht="21.95" customHeight="1">
      <c r="A939" s="14"/>
      <c r="B939" s="14"/>
      <c r="C939" s="16" t="s">
        <v>1173</v>
      </c>
      <c r="D939" s="17">
        <f>VLOOKUP(A928,'Neraca Unaudited SIMAK'!$A$2:$S$10004,11,FALSE)</f>
        <v>0</v>
      </c>
      <c r="E939" s="25">
        <f>SUMIFS('Daftar Koreksi'!$H$5:$H$92,'Daftar Koreksi'!$D$5:$D$92,'0700'!A928,'Daftar Koreksi'!$G$5:$G$92,"Aset Henti Guna",'Daftar Koreksi'!$H$5:$H$92,"&gt;0")</f>
        <v>0</v>
      </c>
      <c r="F939" s="25">
        <f>SUMIFS('Daftar Koreksi'!$H$5:$H$92,'Daftar Koreksi'!$D$5:$D$92,'0700'!A928,'Daftar Koreksi'!$G$5:$G$92,"Aset Henti Guna",'Daftar Koreksi'!$H$5:$H$92,"&lt;0")-SUMIFS('Daftar Koreksi'!$H$5:$H$92,'Daftar Koreksi'!$D$5:$D$92,'0700'!A928,'Daftar Koreksi'!$G$5:$G$92,"Aset Henti Guna",'Daftar Koreksi'!$H$5:$H$92,"&lt;0")-SUMIFS('Daftar Koreksi'!$H$5:$H$92,'Daftar Koreksi'!$D$5:$D$92,'0700'!A928,'Daftar Koreksi'!$G$5:$G$92,"Aset Henti Guna",'Daftar Koreksi'!$H$5:$H$92,"&lt;0")</f>
        <v>0</v>
      </c>
      <c r="G939" s="17">
        <f t="shared" si="42"/>
        <v>0</v>
      </c>
      <c r="H939" s="122"/>
    </row>
    <row r="940" spans="1:8" ht="21.95" customHeight="1">
      <c r="A940" s="14"/>
      <c r="B940" s="14"/>
      <c r="C940" s="18" t="s">
        <v>2093</v>
      </c>
      <c r="D940" s="19">
        <f>VLOOKUP(A928,'Neraca Unaudited SIMAK'!$A$2:$S$10004,12,FALSE)</f>
        <v>11521443439</v>
      </c>
      <c r="E940" s="19">
        <f>SUM(E931:E939)</f>
        <v>0</v>
      </c>
      <c r="F940" s="19">
        <f>SUM(F931:F939)</f>
        <v>0</v>
      </c>
      <c r="G940" s="19">
        <f t="shared" si="42"/>
        <v>11521443439</v>
      </c>
      <c r="H940" s="122"/>
    </row>
    <row r="941" spans="1:8" ht="21.95" customHeight="1">
      <c r="A941" s="14"/>
      <c r="B941" s="14"/>
      <c r="C941" s="16" t="s">
        <v>2087</v>
      </c>
      <c r="D941" s="17">
        <f>VLOOKUP(A928,'Neraca Unaudited SIMAK'!$A$2:$S$10004,13,FALSE)</f>
        <v>-929204813</v>
      </c>
      <c r="E941" s="25">
        <f>SUMIFS('Daftar Koreksi'!$I$5:$I$92,'Daftar Koreksi'!$D$5:$D$92,'0700'!A928,'Daftar Koreksi'!$G$5:$G$92,"Peralatan dan mesin",'Daftar Koreksi'!$I$5:$I$92,"&gt;0")</f>
        <v>0</v>
      </c>
      <c r="F941" s="25">
        <f>SUMIFS('Daftar Koreksi'!$I$5:$I$92,'Daftar Koreksi'!$D$5:$D$92,'0700'!A928,'Daftar Koreksi'!$G$5:$G$92,"Peralatan dan mesin",'Daftar Koreksi'!$I$5:$I$92,"&lt;0")-SUMIFS('Daftar Koreksi'!$I$5:$I$92,'Daftar Koreksi'!$D$5:$D$92,'0700'!A928,'Daftar Koreksi'!$G$5:$G$92,"Peralatan dan mesin",'Daftar Koreksi'!$I$5:$I$92,"&lt;0")-SUMIFS('Daftar Koreksi'!$I$5:$I$92,'Daftar Koreksi'!$D$5:$D$92,'0700'!A928,'Daftar Koreksi'!$G$5:$G$92,"Peralatan dan mesin",'Daftar Koreksi'!$I$5:$I$92,"&lt;0")</f>
        <v>0</v>
      </c>
      <c r="G941" s="17">
        <f t="shared" si="42"/>
        <v>-929204813</v>
      </c>
      <c r="H941" s="122"/>
    </row>
    <row r="942" spans="1:8" ht="21.95" customHeight="1">
      <c r="A942" s="14"/>
      <c r="B942" s="14"/>
      <c r="C942" s="16" t="s">
        <v>2088</v>
      </c>
      <c r="D942" s="17">
        <f>VLOOKUP(A928,'Neraca Unaudited SIMAK'!$A$2:$S$10004,14,FALSE)</f>
        <v>-595985456</v>
      </c>
      <c r="E942" s="25">
        <f>SUMIFS('Daftar Koreksi'!$I$5:$I$92,'Daftar Koreksi'!$D$5:$D$92,'0700'!A928,'Daftar Koreksi'!$G$5:$G$92,"Gedung dan Bangunan",'Daftar Koreksi'!$I$5:$I$92,"&gt;0")</f>
        <v>0</v>
      </c>
      <c r="F942" s="25">
        <f>SUMIFS('Daftar Koreksi'!$I$5:$I$92,'Daftar Koreksi'!$D$5:$D$92,'0700'!A928,'Daftar Koreksi'!$G$5:$G$92,"Gedung dan Bangunan",'Daftar Koreksi'!$I$5:$I$92,"&lt;0")-SUMIFS('Daftar Koreksi'!$I$5:$I$92,'Daftar Koreksi'!$D$5:$D$92,'0700'!A928,'Daftar Koreksi'!$G$5:$G$92,"Gedung dan Bangunan",'Daftar Koreksi'!$I$5:$I$92,"&lt;0")-SUMIFS('Daftar Koreksi'!$I$5:$I$92,'Daftar Koreksi'!$D$5:$D$92,'0700'!A928,'Daftar Koreksi'!$G$5:$G$92,"Gedung dan Bangunan",'Daftar Koreksi'!$I$5:$I$92,"&lt;0")</f>
        <v>0</v>
      </c>
      <c r="G942" s="17">
        <f t="shared" si="42"/>
        <v>-595985456</v>
      </c>
      <c r="H942" s="122"/>
    </row>
    <row r="943" spans="1:8" ht="21.95" customHeight="1">
      <c r="A943" s="14"/>
      <c r="B943" s="14"/>
      <c r="C943" s="16" t="s">
        <v>2089</v>
      </c>
      <c r="D943" s="17">
        <f>VLOOKUP(A928,'Neraca Unaudited SIMAK'!$A$2:$S$10004,15,FALSE)</f>
        <v>0</v>
      </c>
      <c r="E943" s="25">
        <f>SUMIFS('Daftar Koreksi'!$I$5:$I$92,'Daftar Koreksi'!$D$5:$D$92,'0700'!A928,'Daftar Koreksi'!$G$5:$G$92,"Jalan Irigasi Jaringan",'Daftar Koreksi'!$I$5:$I$92,"&gt;0")</f>
        <v>0</v>
      </c>
      <c r="F943" s="25">
        <f>SUMIFS('Daftar Koreksi'!$I$5:$I$92,'Daftar Koreksi'!$D$5:$D$92,'0700'!A928,'Daftar Koreksi'!$G$5:$G$92,"Jalan Irigasi Jaringan",'Daftar Koreksi'!$I$5:$I$92,"&lt;0")-SUMIFS('Daftar Koreksi'!$I$5:$I$92,'Daftar Koreksi'!$D$5:$D$92,'0700'!A928,'Daftar Koreksi'!$G$5:$G$92,"Jalan Irigasi Jaringan",'Daftar Koreksi'!$I$5:$I$92,"&lt;0")-SUMIFS('Daftar Koreksi'!$I$5:$I$92,'Daftar Koreksi'!$D$5:$D$92,'0700'!A928,'Daftar Koreksi'!$G$5:$G$92,"Jalan Irigasi Jaringan",'Daftar Koreksi'!$I$5:$I$92,"&lt;0")</f>
        <v>0</v>
      </c>
      <c r="G943" s="17">
        <f t="shared" si="42"/>
        <v>0</v>
      </c>
      <c r="H943" s="122"/>
    </row>
    <row r="944" spans="1:8" ht="21.95" customHeight="1">
      <c r="A944" s="14"/>
      <c r="B944" s="14"/>
      <c r="C944" s="16" t="s">
        <v>2090</v>
      </c>
      <c r="D944" s="17">
        <f>VLOOKUP(A928,'Neraca Unaudited SIMAK'!$A$2:$S$10004,16,FALSE)</f>
        <v>0</v>
      </c>
      <c r="E944" s="25">
        <f>SUMIFS('Daftar Koreksi'!$I$5:$I$92,'Daftar Koreksi'!$D$5:$D$92,'0700'!A928,'Daftar Koreksi'!$G$5:$G$92,"Aset Tetap Lainnya",'Daftar Koreksi'!$I$5:$I$92,"&gt;0")</f>
        <v>0</v>
      </c>
      <c r="F944" s="25">
        <f>SUMIFS('Daftar Koreksi'!$I$5:$I$92,'Daftar Koreksi'!$D$5:$D$92,'0700'!A928,'Daftar Koreksi'!$G$5:$G$92,"Aset Tetap Lainnya",'Daftar Koreksi'!$I$5:$I$92,"&lt;0")-SUMIFS('Daftar Koreksi'!$I$5:$I$92,'Daftar Koreksi'!$D$5:$D$92,'0700'!A928,'Daftar Koreksi'!$G$5:$G$92,"Aset Tetap Lainnya",'Daftar Koreksi'!$I$5:$I$92,"&lt;0")-SUMIFS('Daftar Koreksi'!$I$5:$I$92,'Daftar Koreksi'!$D$5:$D$92,'0700'!A928,'Daftar Koreksi'!$G$5:$G$92,"Aset Tetap Lainnya",'Daftar Koreksi'!$I$5:$I$92,"&lt;0")</f>
        <v>0</v>
      </c>
      <c r="G944" s="17">
        <f t="shared" si="42"/>
        <v>0</v>
      </c>
      <c r="H944" s="122"/>
    </row>
    <row r="945" spans="1:8" ht="21.95" customHeight="1">
      <c r="A945" s="14"/>
      <c r="B945" s="14"/>
      <c r="C945" s="16" t="s">
        <v>2020</v>
      </c>
      <c r="D945" s="17">
        <f>VLOOKUP(A928,'Neraca Unaudited SIMAK'!$A$2:$S$10004,17,FALSE)</f>
        <v>0</v>
      </c>
      <c r="E945" s="25">
        <f>SUMIFS('Daftar Koreksi'!$I$5:$I$92,'Daftar Koreksi'!$D$5:$D$92,'0700'!A928,'Daftar Koreksi'!$G$5:$G$92,"Aset Henti Guna",'Daftar Koreksi'!$I$5:$I$92,"&gt;0")</f>
        <v>0</v>
      </c>
      <c r="F945" s="25">
        <f>SUMIFS('Daftar Koreksi'!$I$5:$I$92,'Daftar Koreksi'!$D$5:$D$92,'0700'!A928,'Daftar Koreksi'!$G$5:$G$92,"Aset Henti Guna",'Daftar Koreksi'!$I$5:$I$92,"&lt;0")-SUMIFS('Daftar Koreksi'!$I$5:$I$92,'Daftar Koreksi'!$D$5:$D$92,'0700'!A928,'Daftar Koreksi'!$G$5:$G$92,"Aset Henti Guna",'Daftar Koreksi'!$I$5:$I$92,"&lt;0")-SUMIFS('Daftar Koreksi'!$I$5:$I$92,'Daftar Koreksi'!$D$5:$D$92,'0700'!A928,'Daftar Koreksi'!$G$5:$G$92,"Aset Henti Guna",'Daftar Koreksi'!$I$5:$I$92,"&lt;0")</f>
        <v>0</v>
      </c>
      <c r="G945" s="17">
        <f t="shared" si="42"/>
        <v>0</v>
      </c>
      <c r="H945" s="122"/>
    </row>
    <row r="946" spans="1:8" ht="21.95" customHeight="1">
      <c r="A946" s="14"/>
      <c r="B946" s="14"/>
      <c r="C946" s="18" t="s">
        <v>2094</v>
      </c>
      <c r="D946" s="19">
        <f>SUM(D941:D945)</f>
        <v>-1525190269</v>
      </c>
      <c r="E946" s="19">
        <f>SUM(E941:E945)</f>
        <v>0</v>
      </c>
      <c r="F946" s="19">
        <f>SUM(F941:F945)</f>
        <v>0</v>
      </c>
      <c r="G946" s="19">
        <f t="shared" si="42"/>
        <v>-1525190269</v>
      </c>
      <c r="H946" s="122"/>
    </row>
    <row r="947" spans="1:8" ht="21.95" customHeight="1">
      <c r="A947" s="14"/>
      <c r="B947" s="14"/>
      <c r="C947" s="18" t="s">
        <v>2095</v>
      </c>
      <c r="D947" s="19">
        <f>VLOOKUP(A928,'Neraca Unaudited SIMAK'!$A$2:$S$10004,18,FALSE)</f>
        <v>9996253170</v>
      </c>
      <c r="E947" s="19">
        <f>E946+E940</f>
        <v>0</v>
      </c>
      <c r="F947" s="19">
        <f>F946+F940</f>
        <v>0</v>
      </c>
      <c r="G947" s="19">
        <f t="shared" si="42"/>
        <v>9996253170</v>
      </c>
      <c r="H947" s="122"/>
    </row>
    <row r="948" spans="1:8" ht="21.95" customHeight="1">
      <c r="A948" s="14"/>
      <c r="B948" s="14"/>
      <c r="C948" s="16" t="s">
        <v>2091</v>
      </c>
      <c r="D948" s="17">
        <f>VLOOKUP(A928,'Neraca Unaudited SIMAK'!$A$2:$S$10004,19,FALSE)</f>
        <v>0</v>
      </c>
      <c r="E948" s="25"/>
      <c r="F948" s="25"/>
      <c r="G948" s="17">
        <f t="shared" si="42"/>
        <v>0</v>
      </c>
      <c r="H948" s="123"/>
    </row>
    <row r="950" spans="1:8" ht="19.5" customHeight="1">
      <c r="A950" s="11" t="str">
        <f>O44</f>
        <v>005010700682232000KD</v>
      </c>
      <c r="B950" s="11" t="str">
        <f>P44</f>
        <v>PA. Kota Padang Sidimpuan</v>
      </c>
      <c r="C950" s="12" t="str">
        <f>A950&amp;" "&amp;B950</f>
        <v>005010700682232000KD PA. Kota Padang Sidimpuan</v>
      </c>
      <c r="D950" s="13"/>
      <c r="E950" s="13"/>
      <c r="F950" s="13"/>
      <c r="G950" s="13"/>
      <c r="H950" s="11"/>
    </row>
    <row r="951" spans="1:8" ht="21.95" customHeight="1">
      <c r="A951" s="14"/>
      <c r="B951" s="14"/>
      <c r="C951" s="124" t="s">
        <v>1982</v>
      </c>
      <c r="D951" s="126" t="s">
        <v>1983</v>
      </c>
      <c r="E951" s="132" t="s">
        <v>1984</v>
      </c>
      <c r="F951" s="132"/>
      <c r="G951" s="126" t="s">
        <v>1987</v>
      </c>
      <c r="H951" s="130" t="s">
        <v>1175</v>
      </c>
    </row>
    <row r="952" spans="1:8" ht="21.95" customHeight="1">
      <c r="A952" s="14"/>
      <c r="B952" s="14"/>
      <c r="C952" s="125"/>
      <c r="D952" s="127"/>
      <c r="E952" s="26" t="s">
        <v>1985</v>
      </c>
      <c r="F952" s="26" t="s">
        <v>1986</v>
      </c>
      <c r="G952" s="127"/>
      <c r="H952" s="131"/>
    </row>
    <row r="953" spans="1:8" ht="21.95" customHeight="1">
      <c r="A953" s="14"/>
      <c r="B953" s="14"/>
      <c r="C953" s="16" t="s">
        <v>1165</v>
      </c>
      <c r="D953" s="17">
        <f>VLOOKUP(A950,'Neraca Unaudited SIMAK'!$A$2:$S$10004,3,FALSE)</f>
        <v>123000</v>
      </c>
      <c r="E953" s="25">
        <f>SUMIFS('Daftar Koreksi'!$H$5:$H$92,'Daftar Koreksi'!$D$5:$D$92,'0700'!A950,'Daftar Koreksi'!$G$5:$G$92,"Persediaan",'Daftar Koreksi'!$H$5:$H$92,"&gt;0")</f>
        <v>0</v>
      </c>
      <c r="F953" s="25">
        <f>SUMIFS('Daftar Koreksi'!$H$5:$H$92,'Daftar Koreksi'!$D$5:$D$92,'0700'!A950,'Daftar Koreksi'!$G$5:$G$92,"Persediaan",'Daftar Koreksi'!$H$5:$H$92,"&lt;0")-SUMIFS('Daftar Koreksi'!$H$5:$H$92,'Daftar Koreksi'!$D$5:$D$92,'0700'!A950,'Daftar Koreksi'!$G$5:$G$92,"Persediaan",'Daftar Koreksi'!$H$5:$H$92,"&lt;0")-SUMIFS('Daftar Koreksi'!$H$5:$H$92,'Daftar Koreksi'!$D$5:$D$92,'0700'!A950,'Daftar Koreksi'!$G$5:$G$92,"Persediaan",'Daftar Koreksi'!$H$5:$H$92,"&lt;0")</f>
        <v>0</v>
      </c>
      <c r="G953" s="17">
        <f>D953+E953-F953</f>
        <v>123000</v>
      </c>
      <c r="H953" s="121" t="str">
        <f>IF(ISNA(VLOOKUP(A950,'Mutasi Neraca'!$A$3:$S$914,19,FALSE)),"-",VLOOKUP(A950,'Mutasi Neraca'!$A$3:$S$914,19,FALSE))</f>
        <v>-</v>
      </c>
    </row>
    <row r="954" spans="1:8" ht="21.95" customHeight="1">
      <c r="A954" s="14"/>
      <c r="B954" s="14"/>
      <c r="C954" s="16" t="s">
        <v>1166</v>
      </c>
      <c r="D954" s="17">
        <f>VLOOKUP(A950,'Neraca Unaudited SIMAK'!$A$2:$S$10004,4,FALSE)</f>
        <v>469400000</v>
      </c>
      <c r="E954" s="25">
        <f>SUMIFS('Daftar Koreksi'!$H$5:$H$92,'Daftar Koreksi'!$D$5:$D$92,'0700'!A950,'Daftar Koreksi'!$G$5:$G$92,"Tanah",'Daftar Koreksi'!$H$5:$H$92,"&gt;0")</f>
        <v>0</v>
      </c>
      <c r="F954" s="25">
        <f>SUMIFS('Daftar Koreksi'!$H$5:$H$92,'Daftar Koreksi'!$D$5:$D$92,'0700'!A950,'Daftar Koreksi'!$G$5:$G$92,"Tanah",'Daftar Koreksi'!$H$5:$H$92,"&lt;0")-SUMIFS('Daftar Koreksi'!$H$5:$H$92,'Daftar Koreksi'!$D$5:$D$92,'0700'!A950,'Daftar Koreksi'!$G$5:$G$92,"Tanah",'Daftar Koreksi'!$H$5:$H$92,"&lt;0")-SUMIFS('Daftar Koreksi'!$H$5:$H$92,'Daftar Koreksi'!$D$5:$D$92,'0700'!A950,'Daftar Koreksi'!$G$5:$G$92,"Tanah",'Daftar Koreksi'!$H$5:$H$92,"&lt;0")</f>
        <v>0</v>
      </c>
      <c r="G954" s="17">
        <f t="shared" ref="G954:G970" si="43">D954+E954-F954</f>
        <v>469400000</v>
      </c>
      <c r="H954" s="122"/>
    </row>
    <row r="955" spans="1:8" ht="21.95" customHeight="1">
      <c r="A955" s="14"/>
      <c r="B955" s="14"/>
      <c r="C955" s="16" t="s">
        <v>1167</v>
      </c>
      <c r="D955" s="17">
        <f>VLOOKUP(A950,'Neraca Unaudited SIMAK'!$A$2:$S$10004,5,FALSE)</f>
        <v>483194500</v>
      </c>
      <c r="E955" s="25">
        <f>SUMIFS('Daftar Koreksi'!$H$5:$H$92,'Daftar Koreksi'!$D$5:$D$92,'0700'!A950,'Daftar Koreksi'!$G$5:$G$92,"Peralatan dan mesin",'Daftar Koreksi'!$H$5:$H$92,"&gt;0")</f>
        <v>0</v>
      </c>
      <c r="F955" s="25">
        <f>SUMIFS('Daftar Koreksi'!$H$5:$H$92,'Daftar Koreksi'!$D$5:$D$92,'0700'!A950,'Daftar Koreksi'!$G$5:$G$92,"Peralatan dan mesin",'Daftar Koreksi'!$H$5:$H$92,"&lt;0")-SUMIFS('Daftar Koreksi'!$H$5:$H$92,'Daftar Koreksi'!$D$5:$D$92,'0700'!A950,'Daftar Koreksi'!$G$5:$G$92,"Peralatan dan mesin",'Daftar Koreksi'!$H$5:$H$92,"&lt;0")-SUMIFS('Daftar Koreksi'!$H$5:$H$92,'Daftar Koreksi'!$D$5:$D$92,'0700'!A950,'Daftar Koreksi'!$G$5:$G$92,"Peralatan dan mesin",'Daftar Koreksi'!$H$5:$H$92,"&lt;0")</f>
        <v>0</v>
      </c>
      <c r="G955" s="17">
        <f t="shared" si="43"/>
        <v>483194500</v>
      </c>
      <c r="H955" s="122"/>
    </row>
    <row r="956" spans="1:8" ht="21.95" customHeight="1">
      <c r="A956" s="14"/>
      <c r="B956" s="14"/>
      <c r="C956" s="16" t="s">
        <v>1168</v>
      </c>
      <c r="D956" s="17">
        <f>VLOOKUP(A950,'Neraca Unaudited SIMAK'!$A$2:$S$10004,6,FALSE)</f>
        <v>417000000</v>
      </c>
      <c r="E956" s="25">
        <f>SUMIFS('Daftar Koreksi'!$H$5:$H$92,'Daftar Koreksi'!$D$5:$D$92,'0700'!A950,'Daftar Koreksi'!$G$5:$G$92,"Gedung dan Bangunan",'Daftar Koreksi'!$H$5:$H$92,"&gt;0")</f>
        <v>0</v>
      </c>
      <c r="F956" s="25">
        <f>SUMIFS('Daftar Koreksi'!$H$5:$H$92,'Daftar Koreksi'!$D$5:$D$92,'0700'!A950,'Daftar Koreksi'!$G$5:$G$92,"Gedung dan Bangunan",'Daftar Koreksi'!$H$5:$H$92,"&lt;0")-SUMIFS('Daftar Koreksi'!$H$5:$H$92,'Daftar Koreksi'!$D$5:$D$92,'0700'!A950,'Daftar Koreksi'!$G$5:$G$92,"Gedung dan Bangunan",'Daftar Koreksi'!$H$5:$H$92,"&lt;0")-SUMIFS('Daftar Koreksi'!$H$5:$H$92,'Daftar Koreksi'!$D$5:$D$92,'0700'!A950,'Daftar Koreksi'!$G$5:$G$92,"Gedung dan Bangunan",'Daftar Koreksi'!$H$5:$H$92,"&lt;0")</f>
        <v>0</v>
      </c>
      <c r="G956" s="17">
        <f t="shared" si="43"/>
        <v>417000000</v>
      </c>
      <c r="H956" s="122"/>
    </row>
    <row r="957" spans="1:8" ht="21.95" customHeight="1">
      <c r="A957" s="14"/>
      <c r="B957" s="14"/>
      <c r="C957" s="16" t="s">
        <v>1169</v>
      </c>
      <c r="D957" s="17">
        <f>VLOOKUP(A950,'Neraca Unaudited SIMAK'!$A$2:$S$10004,7,FALSE)</f>
        <v>0</v>
      </c>
      <c r="E957" s="25">
        <f>SUMIFS('Daftar Koreksi'!$H$5:$H$92,'Daftar Koreksi'!$D$5:$D$92,'0700'!A950,'Daftar Koreksi'!$G$5:$G$92,"Jalan Irigasi Jaringan",'Daftar Koreksi'!$H$5:$H$92,"&gt;0")</f>
        <v>0</v>
      </c>
      <c r="F957" s="25">
        <f>SUMIFS('Daftar Koreksi'!$H$5:$H$92,'Daftar Koreksi'!$D$5:$D$92,'0700'!A950,'Daftar Koreksi'!$G$5:$G$92,"Jalan Irigasi Jaringan",'Daftar Koreksi'!$H$5:$H$92,"&lt;0")-SUMIFS('Daftar Koreksi'!$H$5:$H$92,'Daftar Koreksi'!$D$5:$D$92,'0700'!A950,'Daftar Koreksi'!$G$5:$G$92,"Jalan Irigasi Jaringan",'Daftar Koreksi'!$H$5:$H$92,"&lt;0")-SUMIFS('Daftar Koreksi'!$H$5:$H$92,'Daftar Koreksi'!$D$5:$D$92,'0700'!A950,'Daftar Koreksi'!$G$5:$G$92,"Jalan Irigasi Jaringan",'Daftar Koreksi'!$H$5:$H$92,"&lt;0")</f>
        <v>0</v>
      </c>
      <c r="G957" s="17">
        <f t="shared" si="43"/>
        <v>0</v>
      </c>
      <c r="H957" s="122"/>
    </row>
    <row r="958" spans="1:8" ht="21.95" customHeight="1">
      <c r="A958" s="14"/>
      <c r="B958" s="14"/>
      <c r="C958" s="16" t="s">
        <v>1170</v>
      </c>
      <c r="D958" s="17">
        <f>VLOOKUP(A950,'Neraca Unaudited SIMAK'!$A$2:$S$10004,8,FALSE)</f>
        <v>408000</v>
      </c>
      <c r="E958" s="25">
        <f>SUMIFS('Daftar Koreksi'!$H$5:$H$92,'Daftar Koreksi'!$D$5:$D$92,'0700'!A950,'Daftar Koreksi'!$G$5:$G$92,"Aset Tetap Lainnya",'Daftar Koreksi'!$H$5:$H$92,"&gt;0")</f>
        <v>0</v>
      </c>
      <c r="F958" s="25">
        <f>SUMIFS('Daftar Koreksi'!$H$5:$H$92,'Daftar Koreksi'!$D$5:$D$92,'0700'!A950,'Daftar Koreksi'!$G$5:$G$92,"Aset Tetap Lainnya",'Daftar Koreksi'!$H$5:$H$92,"&lt;0")-SUMIFS('Daftar Koreksi'!$H$5:$H$92,'Daftar Koreksi'!$D$5:$D$92,'0700'!A950,'Daftar Koreksi'!$G$5:$G$92,"Aset Tetap Lainnya",'Daftar Koreksi'!$H$5:$H$92,"&lt;0")-SUMIFS('Daftar Koreksi'!$H$5:$H$92,'Daftar Koreksi'!$D$5:$D$92,'0700'!A950,'Daftar Koreksi'!$G$5:$G$92,"Aset Tetap Lainnya",'Daftar Koreksi'!$H$5:$H$92,"&lt;0")</f>
        <v>0</v>
      </c>
      <c r="G958" s="17">
        <f t="shared" si="43"/>
        <v>408000</v>
      </c>
      <c r="H958" s="122"/>
    </row>
    <row r="959" spans="1:8" ht="21.95" customHeight="1">
      <c r="A959" s="14"/>
      <c r="B959" s="14"/>
      <c r="C959" s="16" t="s">
        <v>1171</v>
      </c>
      <c r="D959" s="17">
        <f>VLOOKUP(A950,'Neraca Unaudited SIMAK'!$A$2:$S$10004,9,FALSE)</f>
        <v>0</v>
      </c>
      <c r="E959" s="25">
        <f>SUMIFS('Daftar Koreksi'!$H$5:$H$92,'Daftar Koreksi'!$D$5:$D$92,'0700'!A950,'Daftar Koreksi'!$G$5:$G$92,"Kontruksi Dalam Pengerjaan",'Daftar Koreksi'!$H$5:$H$92,"&gt;0")</f>
        <v>0</v>
      </c>
      <c r="F959" s="25">
        <f>SUMIFS('Daftar Koreksi'!$H$5:$H$92,'Daftar Koreksi'!$D$5:$D$92,'0700'!A950,'Daftar Koreksi'!$G$5:$G$92,"Kontruksi Dalam Pengerjaan",'Daftar Koreksi'!$H$5:$H$92,"&lt;0")-SUMIFS('Daftar Koreksi'!$H$5:$H$92,'Daftar Koreksi'!$D$5:$D$92,'0700'!A950,'Daftar Koreksi'!$G$5:$G$92,"Kontruksi Dalam Pengerjaan",'Daftar Koreksi'!$H$5:$H$92,"&lt;0")-SUMIFS('Daftar Koreksi'!$H$5:$H$92,'Daftar Koreksi'!$D$5:$D$92,'0700'!A950,'Daftar Koreksi'!$G$5:$G$92,"Kontruksi Dalam Pengerjaan",'Daftar Koreksi'!$H$5:$H$92,"&lt;0")</f>
        <v>0</v>
      </c>
      <c r="G959" s="17">
        <f t="shared" si="43"/>
        <v>0</v>
      </c>
      <c r="H959" s="122"/>
    </row>
    <row r="960" spans="1:8" ht="21.95" customHeight="1">
      <c r="A960" s="14"/>
      <c r="B960" s="14"/>
      <c r="C960" s="16" t="s">
        <v>1172</v>
      </c>
      <c r="D960" s="17">
        <f>VLOOKUP(A950,'Neraca Unaudited SIMAK'!$A$2:$S$10004,10,FALSE)</f>
        <v>0</v>
      </c>
      <c r="E960" s="25">
        <f>SUMIFS('Daftar Koreksi'!$H$5:$H$92,'Daftar Koreksi'!$D$5:$D$92,'0700'!A950,'Daftar Koreksi'!$G$5:$G$92,"Aset Tak Berwujud",'Daftar Koreksi'!$H$5:$H$92,"&gt;0")</f>
        <v>0</v>
      </c>
      <c r="F960" s="25">
        <f>SUMIFS('Daftar Koreksi'!$H$5:$H$92,'Daftar Koreksi'!$D$5:$D$92,'0700'!A950,'Daftar Koreksi'!$G$5:$G$92,"Aset Tak Berwujud",'Daftar Koreksi'!$H$5:$H$92,"&lt;0")-SUMIFS('Daftar Koreksi'!$H$5:$H$92,'Daftar Koreksi'!$D$5:$D$92,'0700'!A950,'Daftar Koreksi'!$G$5:$G$92,"Aset Tak Berwujud",'Daftar Koreksi'!$H$5:$H$92,"&lt;0")-SUMIFS('Daftar Koreksi'!$H$5:$H$92,'Daftar Koreksi'!$D$5:$D$92,'0700'!A950,'Daftar Koreksi'!$G$5:$G$92,"Aset Tak Berwujud",'Daftar Koreksi'!$H$5:$H$92,"&lt;0")</f>
        <v>0</v>
      </c>
      <c r="G960" s="17">
        <f t="shared" si="43"/>
        <v>0</v>
      </c>
      <c r="H960" s="122"/>
    </row>
    <row r="961" spans="1:8" ht="21.95" customHeight="1">
      <c r="A961" s="14"/>
      <c r="B961" s="14"/>
      <c r="C961" s="16" t="s">
        <v>1173</v>
      </c>
      <c r="D961" s="17">
        <f>VLOOKUP(A950,'Neraca Unaudited SIMAK'!$A$2:$S$10004,11,FALSE)</f>
        <v>0</v>
      </c>
      <c r="E961" s="25">
        <f>SUMIFS('Daftar Koreksi'!$H$5:$H$92,'Daftar Koreksi'!$D$5:$D$92,'0700'!A950,'Daftar Koreksi'!$G$5:$G$92,"Aset Henti Guna",'Daftar Koreksi'!$H$5:$H$92,"&gt;0")</f>
        <v>0</v>
      </c>
      <c r="F961" s="25">
        <f>SUMIFS('Daftar Koreksi'!$H$5:$H$92,'Daftar Koreksi'!$D$5:$D$92,'0700'!A950,'Daftar Koreksi'!$G$5:$G$92,"Aset Henti Guna",'Daftar Koreksi'!$H$5:$H$92,"&lt;0")-SUMIFS('Daftar Koreksi'!$H$5:$H$92,'Daftar Koreksi'!$D$5:$D$92,'0700'!A950,'Daftar Koreksi'!$G$5:$G$92,"Aset Henti Guna",'Daftar Koreksi'!$H$5:$H$92,"&lt;0")-SUMIFS('Daftar Koreksi'!$H$5:$H$92,'Daftar Koreksi'!$D$5:$D$92,'0700'!A950,'Daftar Koreksi'!$G$5:$G$92,"Aset Henti Guna",'Daftar Koreksi'!$H$5:$H$92,"&lt;0")</f>
        <v>0</v>
      </c>
      <c r="G961" s="17">
        <f t="shared" si="43"/>
        <v>0</v>
      </c>
      <c r="H961" s="122"/>
    </row>
    <row r="962" spans="1:8" ht="21.95" customHeight="1">
      <c r="A962" s="14"/>
      <c r="B962" s="14"/>
      <c r="C962" s="18" t="s">
        <v>2093</v>
      </c>
      <c r="D962" s="19">
        <f>VLOOKUP(A950,'Neraca Unaudited SIMAK'!$A$2:$S$10004,12,FALSE)</f>
        <v>1370125500</v>
      </c>
      <c r="E962" s="19">
        <f>SUM(E953:E961)</f>
        <v>0</v>
      </c>
      <c r="F962" s="19">
        <f>SUM(F953:F961)</f>
        <v>0</v>
      </c>
      <c r="G962" s="19">
        <f t="shared" si="43"/>
        <v>1370125500</v>
      </c>
      <c r="H962" s="122"/>
    </row>
    <row r="963" spans="1:8" ht="21.95" customHeight="1">
      <c r="A963" s="14"/>
      <c r="B963" s="14"/>
      <c r="C963" s="16" t="s">
        <v>2087</v>
      </c>
      <c r="D963" s="17">
        <f>VLOOKUP(A950,'Neraca Unaudited SIMAK'!$A$2:$S$10004,13,FALSE)</f>
        <v>-307932206</v>
      </c>
      <c r="E963" s="25">
        <f>SUMIFS('Daftar Koreksi'!$I$5:$I$92,'Daftar Koreksi'!$D$5:$D$92,'0700'!A950,'Daftar Koreksi'!$G$5:$G$92,"Peralatan dan mesin",'Daftar Koreksi'!$I$5:$I$92,"&gt;0")</f>
        <v>0</v>
      </c>
      <c r="F963" s="25">
        <f>SUMIFS('Daftar Koreksi'!$I$5:$I$92,'Daftar Koreksi'!$D$5:$D$92,'0700'!A950,'Daftar Koreksi'!$G$5:$G$92,"Peralatan dan mesin",'Daftar Koreksi'!$I$5:$I$92,"&lt;0")-SUMIFS('Daftar Koreksi'!$I$5:$I$92,'Daftar Koreksi'!$D$5:$D$92,'0700'!A950,'Daftar Koreksi'!$G$5:$G$92,"Peralatan dan mesin",'Daftar Koreksi'!$I$5:$I$92,"&lt;0")-SUMIFS('Daftar Koreksi'!$I$5:$I$92,'Daftar Koreksi'!$D$5:$D$92,'0700'!A950,'Daftar Koreksi'!$G$5:$G$92,"Peralatan dan mesin",'Daftar Koreksi'!$I$5:$I$92,"&lt;0")</f>
        <v>0</v>
      </c>
      <c r="G963" s="17">
        <f t="shared" si="43"/>
        <v>-307932206</v>
      </c>
      <c r="H963" s="122"/>
    </row>
    <row r="964" spans="1:8" ht="21.95" customHeight="1">
      <c r="A964" s="14"/>
      <c r="B964" s="14"/>
      <c r="C964" s="16" t="s">
        <v>2088</v>
      </c>
      <c r="D964" s="17">
        <f>VLOOKUP(A950,'Neraca Unaudited SIMAK'!$A$2:$S$10004,14,FALSE)</f>
        <v>-277326000</v>
      </c>
      <c r="E964" s="25">
        <f>SUMIFS('Daftar Koreksi'!$I$5:$I$92,'Daftar Koreksi'!$D$5:$D$92,'0700'!A950,'Daftar Koreksi'!$G$5:$G$92,"Gedung dan Bangunan",'Daftar Koreksi'!$I$5:$I$92,"&gt;0")</f>
        <v>0</v>
      </c>
      <c r="F964" s="25">
        <f>SUMIFS('Daftar Koreksi'!$I$5:$I$92,'Daftar Koreksi'!$D$5:$D$92,'0700'!A950,'Daftar Koreksi'!$G$5:$G$92,"Gedung dan Bangunan",'Daftar Koreksi'!$I$5:$I$92,"&lt;0")-SUMIFS('Daftar Koreksi'!$I$5:$I$92,'Daftar Koreksi'!$D$5:$D$92,'0700'!A950,'Daftar Koreksi'!$G$5:$G$92,"Gedung dan Bangunan",'Daftar Koreksi'!$I$5:$I$92,"&lt;0")-SUMIFS('Daftar Koreksi'!$I$5:$I$92,'Daftar Koreksi'!$D$5:$D$92,'0700'!A950,'Daftar Koreksi'!$G$5:$G$92,"Gedung dan Bangunan",'Daftar Koreksi'!$I$5:$I$92,"&lt;0")</f>
        <v>0</v>
      </c>
      <c r="G964" s="17">
        <f t="shared" si="43"/>
        <v>-277326000</v>
      </c>
      <c r="H964" s="122"/>
    </row>
    <row r="965" spans="1:8" ht="21.95" customHeight="1">
      <c r="A965" s="14"/>
      <c r="B965" s="14"/>
      <c r="C965" s="16" t="s">
        <v>2089</v>
      </c>
      <c r="D965" s="17">
        <f>VLOOKUP(A950,'Neraca Unaudited SIMAK'!$A$2:$S$10004,15,FALSE)</f>
        <v>0</v>
      </c>
      <c r="E965" s="25">
        <f>SUMIFS('Daftar Koreksi'!$I$5:$I$92,'Daftar Koreksi'!$D$5:$D$92,'0700'!A950,'Daftar Koreksi'!$G$5:$G$92,"Jalan Irigasi Jaringan",'Daftar Koreksi'!$I$5:$I$92,"&gt;0")</f>
        <v>0</v>
      </c>
      <c r="F965" s="25">
        <f>SUMIFS('Daftar Koreksi'!$I$5:$I$92,'Daftar Koreksi'!$D$5:$D$92,'0700'!A950,'Daftar Koreksi'!$G$5:$G$92,"Jalan Irigasi Jaringan",'Daftar Koreksi'!$I$5:$I$92,"&lt;0")-SUMIFS('Daftar Koreksi'!$I$5:$I$92,'Daftar Koreksi'!$D$5:$D$92,'0700'!A950,'Daftar Koreksi'!$G$5:$G$92,"Jalan Irigasi Jaringan",'Daftar Koreksi'!$I$5:$I$92,"&lt;0")-SUMIFS('Daftar Koreksi'!$I$5:$I$92,'Daftar Koreksi'!$D$5:$D$92,'0700'!A950,'Daftar Koreksi'!$G$5:$G$92,"Jalan Irigasi Jaringan",'Daftar Koreksi'!$I$5:$I$92,"&lt;0")</f>
        <v>0</v>
      </c>
      <c r="G965" s="17">
        <f t="shared" si="43"/>
        <v>0</v>
      </c>
      <c r="H965" s="122"/>
    </row>
    <row r="966" spans="1:8" ht="21.95" customHeight="1">
      <c r="A966" s="14"/>
      <c r="B966" s="14"/>
      <c r="C966" s="16" t="s">
        <v>2090</v>
      </c>
      <c r="D966" s="17">
        <f>VLOOKUP(A950,'Neraca Unaudited SIMAK'!$A$2:$S$10004,16,FALSE)</f>
        <v>0</v>
      </c>
      <c r="E966" s="25">
        <f>SUMIFS('Daftar Koreksi'!$I$5:$I$92,'Daftar Koreksi'!$D$5:$D$92,'0700'!A950,'Daftar Koreksi'!$G$5:$G$92,"Aset Tetap Lainnya",'Daftar Koreksi'!$I$5:$I$92,"&gt;0")</f>
        <v>0</v>
      </c>
      <c r="F966" s="25">
        <f>SUMIFS('Daftar Koreksi'!$I$5:$I$92,'Daftar Koreksi'!$D$5:$D$92,'0700'!A950,'Daftar Koreksi'!$G$5:$G$92,"Aset Tetap Lainnya",'Daftar Koreksi'!$I$5:$I$92,"&lt;0")-SUMIFS('Daftar Koreksi'!$I$5:$I$92,'Daftar Koreksi'!$D$5:$D$92,'0700'!A950,'Daftar Koreksi'!$G$5:$G$92,"Aset Tetap Lainnya",'Daftar Koreksi'!$I$5:$I$92,"&lt;0")-SUMIFS('Daftar Koreksi'!$I$5:$I$92,'Daftar Koreksi'!$D$5:$D$92,'0700'!A950,'Daftar Koreksi'!$G$5:$G$92,"Aset Tetap Lainnya",'Daftar Koreksi'!$I$5:$I$92,"&lt;0")</f>
        <v>0</v>
      </c>
      <c r="G966" s="17">
        <f t="shared" si="43"/>
        <v>0</v>
      </c>
      <c r="H966" s="122"/>
    </row>
    <row r="967" spans="1:8" ht="21.95" customHeight="1">
      <c r="A967" s="14"/>
      <c r="B967" s="14"/>
      <c r="C967" s="16" t="s">
        <v>2020</v>
      </c>
      <c r="D967" s="17">
        <f>VLOOKUP(A950,'Neraca Unaudited SIMAK'!$A$2:$S$10004,17,FALSE)</f>
        <v>0</v>
      </c>
      <c r="E967" s="25">
        <f>SUMIFS('Daftar Koreksi'!$I$5:$I$92,'Daftar Koreksi'!$D$5:$D$92,'0700'!A950,'Daftar Koreksi'!$G$5:$G$92,"Aset Henti Guna",'Daftar Koreksi'!$I$5:$I$92,"&gt;0")</f>
        <v>0</v>
      </c>
      <c r="F967" s="25">
        <f>SUMIFS('Daftar Koreksi'!$I$5:$I$92,'Daftar Koreksi'!$D$5:$D$92,'0700'!A950,'Daftar Koreksi'!$G$5:$G$92,"Aset Henti Guna",'Daftar Koreksi'!$I$5:$I$92,"&lt;0")-SUMIFS('Daftar Koreksi'!$I$5:$I$92,'Daftar Koreksi'!$D$5:$D$92,'0700'!A950,'Daftar Koreksi'!$G$5:$G$92,"Aset Henti Guna",'Daftar Koreksi'!$I$5:$I$92,"&lt;0")-SUMIFS('Daftar Koreksi'!$I$5:$I$92,'Daftar Koreksi'!$D$5:$D$92,'0700'!A950,'Daftar Koreksi'!$G$5:$G$92,"Aset Henti Guna",'Daftar Koreksi'!$I$5:$I$92,"&lt;0")</f>
        <v>0</v>
      </c>
      <c r="G967" s="17">
        <f t="shared" si="43"/>
        <v>0</v>
      </c>
      <c r="H967" s="122"/>
    </row>
    <row r="968" spans="1:8" ht="21.95" customHeight="1">
      <c r="A968" s="14"/>
      <c r="B968" s="14"/>
      <c r="C968" s="18" t="s">
        <v>2094</v>
      </c>
      <c r="D968" s="19">
        <f>SUM(D963:D967)</f>
        <v>-585258206</v>
      </c>
      <c r="E968" s="19">
        <f>SUM(E963:E967)</f>
        <v>0</v>
      </c>
      <c r="F968" s="19">
        <f>SUM(F963:F967)</f>
        <v>0</v>
      </c>
      <c r="G968" s="19">
        <f t="shared" si="43"/>
        <v>-585258206</v>
      </c>
      <c r="H968" s="122"/>
    </row>
    <row r="969" spans="1:8" ht="21.95" customHeight="1">
      <c r="A969" s="14"/>
      <c r="B969" s="14"/>
      <c r="C969" s="18" t="s">
        <v>2095</v>
      </c>
      <c r="D969" s="19">
        <f>VLOOKUP(A950,'Neraca Unaudited SIMAK'!$A$2:$S$10004,18,FALSE)</f>
        <v>784867294</v>
      </c>
      <c r="E969" s="19">
        <f>E968+E962</f>
        <v>0</v>
      </c>
      <c r="F969" s="19">
        <f>F968+F962</f>
        <v>0</v>
      </c>
      <c r="G969" s="19">
        <f t="shared" si="43"/>
        <v>784867294</v>
      </c>
      <c r="H969" s="122"/>
    </row>
    <row r="970" spans="1:8" ht="21.95" customHeight="1">
      <c r="A970" s="14"/>
      <c r="B970" s="14"/>
      <c r="C970" s="16" t="s">
        <v>2091</v>
      </c>
      <c r="D970" s="17">
        <f>VLOOKUP(A950,'Neraca Unaudited SIMAK'!$A$2:$S$10004,19,FALSE)</f>
        <v>0</v>
      </c>
      <c r="E970" s="25"/>
      <c r="F970" s="25"/>
      <c r="G970" s="17">
        <f t="shared" si="43"/>
        <v>0</v>
      </c>
      <c r="H970" s="123"/>
    </row>
  </sheetData>
  <mergeCells count="264">
    <mergeCell ref="H909:H926"/>
    <mergeCell ref="H931:H948"/>
    <mergeCell ref="H953:H970"/>
    <mergeCell ref="H689:H706"/>
    <mergeCell ref="H711:H728"/>
    <mergeCell ref="H733:H750"/>
    <mergeCell ref="H755:H772"/>
    <mergeCell ref="H777:H794"/>
    <mergeCell ref="H799:H816"/>
    <mergeCell ref="H821:H838"/>
    <mergeCell ref="H843:H860"/>
    <mergeCell ref="H865:H882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929:C930"/>
    <mergeCell ref="D929:D930"/>
    <mergeCell ref="E929:F929"/>
    <mergeCell ref="G929:G930"/>
    <mergeCell ref="H929:H930"/>
    <mergeCell ref="C951:C952"/>
    <mergeCell ref="D951:D952"/>
    <mergeCell ref="E951:F951"/>
    <mergeCell ref="G951:G952"/>
    <mergeCell ref="H951:H952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H887:H904"/>
    <mergeCell ref="C841:C842"/>
    <mergeCell ref="D841:D842"/>
    <mergeCell ref="E841:F841"/>
    <mergeCell ref="G841:G842"/>
    <mergeCell ref="H841:H842"/>
    <mergeCell ref="C863:C864"/>
    <mergeCell ref="D863:D864"/>
    <mergeCell ref="E863:F863"/>
    <mergeCell ref="G863:G864"/>
    <mergeCell ref="H863:H864"/>
    <mergeCell ref="C797:C798"/>
    <mergeCell ref="D797:D798"/>
    <mergeCell ref="E797:F797"/>
    <mergeCell ref="G797:G798"/>
    <mergeCell ref="H797:H798"/>
    <mergeCell ref="C819:C820"/>
    <mergeCell ref="D819:D820"/>
    <mergeCell ref="E819:F819"/>
    <mergeCell ref="G819:G820"/>
    <mergeCell ref="H819:H820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20" manualBreakCount="20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  <brk id="927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P794"/>
  <sheetViews>
    <sheetView view="pageBreakPreview" topLeftCell="C518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2.7109375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330</v>
      </c>
      <c r="P1" s="8" t="s">
        <v>1468</v>
      </c>
    </row>
    <row r="2" spans="1:16" ht="19.5" customHeight="1">
      <c r="C2" s="9" t="s">
        <v>2104</v>
      </c>
      <c r="O2" s="8" t="s">
        <v>331</v>
      </c>
      <c r="P2" s="8" t="s">
        <v>1469</v>
      </c>
    </row>
    <row r="3" spans="1:16" ht="19.5" customHeight="1">
      <c r="O3" s="8" t="s">
        <v>332</v>
      </c>
      <c r="P3" s="8" t="s">
        <v>1470</v>
      </c>
    </row>
    <row r="4" spans="1:16" ht="19.5" customHeight="1">
      <c r="A4" s="11" t="str">
        <f>O1</f>
        <v>005010800098743000KD</v>
      </c>
      <c r="B4" s="11" t="str">
        <f>P1</f>
        <v>PT. Padang</v>
      </c>
      <c r="C4" s="12" t="str">
        <f>A4&amp;" "&amp;B4</f>
        <v>005010800098743000KD PT. Padang</v>
      </c>
      <c r="D4" s="13"/>
      <c r="E4" s="13"/>
      <c r="F4" s="13"/>
      <c r="G4" s="13"/>
      <c r="H4" s="11"/>
      <c r="O4" s="8" t="s">
        <v>333</v>
      </c>
      <c r="P4" s="8" t="s">
        <v>1471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334</v>
      </c>
      <c r="P5" s="8" t="s">
        <v>1472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335</v>
      </c>
      <c r="P6" s="8" t="s">
        <v>1473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1632750</v>
      </c>
      <c r="E7" s="25">
        <f>SUMIFS('Daftar Koreksi'!$H$5:$H$92,'Daftar Koreksi'!$D$5:$D$92,'0800'!A4,'Daftar Koreksi'!$G$5:$G$92,"Persediaan",'Daftar Koreksi'!$H$5:$H$92,"&gt;0")</f>
        <v>0</v>
      </c>
      <c r="F7" s="25">
        <f>SUMIFS('Daftar Koreksi'!$H$5:$H$92,'Daftar Koreksi'!$D$5:$D$92,'0800'!A4,'Daftar Koreksi'!$G$5:$G$92,"Persediaan",'Daftar Koreksi'!$H$5:$H$92,"&lt;0")-SUMIFS('Daftar Koreksi'!$H$5:$H$92,'Daftar Koreksi'!$D$5:$D$92,'0800'!A4,'Daftar Koreksi'!$G$5:$G$92,"Persediaan",'Daftar Koreksi'!$H$5:$H$92,"&lt;0")-SUMIFS('Daftar Koreksi'!$H$5:$H$92,'Daftar Koreksi'!$D$5:$D$92,'0800'!A4,'Daftar Koreksi'!$G$5:$G$92,"Persediaan",'Daftar Koreksi'!$H$5:$H$92,"&lt;0")</f>
        <v>0</v>
      </c>
      <c r="G7" s="17">
        <f>D7+E7-F7</f>
        <v>1632750</v>
      </c>
      <c r="H7" s="121" t="str">
        <f>IF(ISNA(VLOOKUP(A4,'Mutasi Neraca'!$A$3:$S$914,19,FALSE)),"-",VLOOKUP(A4,'Mutasi Neraca'!$A$3:$S$914,19,FALSE))</f>
        <v>-</v>
      </c>
      <c r="O7" s="8" t="s">
        <v>336</v>
      </c>
      <c r="P7" s="8" t="s">
        <v>1474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6224654000</v>
      </c>
      <c r="E8" s="25">
        <f>SUMIFS('Daftar Koreksi'!$H$5:$H$92,'Daftar Koreksi'!$D$5:$D$92,'0800'!A4,'Daftar Koreksi'!$G$5:$G$92,"Tanah",'Daftar Koreksi'!$H$5:$H$92,"&gt;0")</f>
        <v>0</v>
      </c>
      <c r="F8" s="25">
        <f>SUMIFS('Daftar Koreksi'!$H$5:$H$92,'Daftar Koreksi'!$D$5:$D$92,'0800'!A4,'Daftar Koreksi'!$G$5:$G$92,"Tanah",'Daftar Koreksi'!$H$5:$H$92,"&lt;0")-SUMIFS('Daftar Koreksi'!$H$5:$H$92,'Daftar Koreksi'!$D$5:$D$92,'0800'!A4,'Daftar Koreksi'!$G$5:$G$92,"Tanah",'Daftar Koreksi'!$H$5:$H$92,"&lt;0")-SUMIFS('Daftar Koreksi'!$H$5:$H$92,'Daftar Koreksi'!$D$5:$D$92,'0800'!A4,'Daftar Koreksi'!$G$5:$G$92,"Tanah",'Daftar Koreksi'!$H$5:$H$92,"&lt;0")</f>
        <v>0</v>
      </c>
      <c r="G8" s="17">
        <f t="shared" ref="G8:G24" si="0">D8+E8-F8</f>
        <v>6224654000</v>
      </c>
      <c r="H8" s="122"/>
      <c r="O8" s="8" t="s">
        <v>337</v>
      </c>
      <c r="P8" s="8" t="s">
        <v>1475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5033842957</v>
      </c>
      <c r="E9" s="25">
        <f>SUMIFS('Daftar Koreksi'!$H$5:$H$92,'Daftar Koreksi'!$D$5:$D$92,'0800'!A4,'Daftar Koreksi'!$G$5:$G$92,"Peralatan dan mesin",'Daftar Koreksi'!$H$5:$H$92,"&gt;0")</f>
        <v>0</v>
      </c>
      <c r="F9" s="25">
        <f>SUMIFS('Daftar Koreksi'!$H$5:$H$92,'Daftar Koreksi'!$D$5:$D$92,'0800'!A4,'Daftar Koreksi'!$G$5:$G$92,"Peralatan dan mesin",'Daftar Koreksi'!$H$5:$H$92,"&lt;0")-SUMIFS('Daftar Koreksi'!$H$5:$H$92,'Daftar Koreksi'!$D$5:$D$92,'0800'!A4,'Daftar Koreksi'!$G$5:$G$92,"Peralatan dan mesin",'Daftar Koreksi'!$H$5:$H$92,"&lt;0")-SUMIFS('Daftar Koreksi'!$H$5:$H$92,'Daftar Koreksi'!$D$5:$D$92,'0800'!A4,'Daftar Koreksi'!$G$5:$G$92,"Peralatan dan mesin",'Daftar Koreksi'!$H$5:$H$92,"&lt;0")</f>
        <v>0</v>
      </c>
      <c r="G9" s="17">
        <f t="shared" si="0"/>
        <v>5033842957</v>
      </c>
      <c r="H9" s="122"/>
      <c r="O9" s="8" t="s">
        <v>338</v>
      </c>
      <c r="P9" s="8" t="s">
        <v>1476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12103003250</v>
      </c>
      <c r="E10" s="25">
        <f>SUMIFS('Daftar Koreksi'!$H$5:$H$92,'Daftar Koreksi'!$D$5:$D$92,'0800'!A4,'Daftar Koreksi'!$G$5:$G$92,"Gedung dan Bangunan",'Daftar Koreksi'!$H$5:$H$92,"&gt;0")</f>
        <v>0</v>
      </c>
      <c r="F10" s="25">
        <f>SUMIFS('Daftar Koreksi'!$H$5:$H$92,'Daftar Koreksi'!$D$5:$D$92,'0800'!A4,'Daftar Koreksi'!$G$5:$G$92,"Gedung dan Bangunan",'Daftar Koreksi'!$H$5:$H$92,"&lt;0")-SUMIFS('Daftar Koreksi'!$H$5:$H$92,'Daftar Koreksi'!$D$5:$D$92,'0800'!A4,'Daftar Koreksi'!$G$5:$G$92,"Gedung dan Bangunan",'Daftar Koreksi'!$H$5:$H$92,"&lt;0")-SUMIFS('Daftar Koreksi'!$H$5:$H$92,'Daftar Koreksi'!$D$5:$D$92,'0800'!A4,'Daftar Koreksi'!$G$5:$G$92,"Gedung dan Bangunan",'Daftar Koreksi'!$H$5:$H$92,"&lt;0")</f>
        <v>0</v>
      </c>
      <c r="G10" s="17">
        <f t="shared" si="0"/>
        <v>12103003250</v>
      </c>
      <c r="H10" s="122"/>
      <c r="O10" s="8" t="s">
        <v>339</v>
      </c>
      <c r="P10" s="8" t="s">
        <v>1477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84460000</v>
      </c>
      <c r="E11" s="25">
        <f>SUMIFS('Daftar Koreksi'!$H$5:$H$92,'Daftar Koreksi'!$D$5:$D$92,'0800'!A4,'Daftar Koreksi'!$G$5:$G$92,"Jalan Irigasi Jaringan",'Daftar Koreksi'!$H$5:$H$92,"&gt;0")</f>
        <v>0</v>
      </c>
      <c r="F11" s="25">
        <f>SUMIFS('Daftar Koreksi'!$H$5:$H$92,'Daftar Koreksi'!$D$5:$D$92,'0800'!A4,'Daftar Koreksi'!$G$5:$G$92,"Jalan Irigasi Jaringan",'Daftar Koreksi'!$H$5:$H$92,"&lt;0")-SUMIFS('Daftar Koreksi'!$H$5:$H$92,'Daftar Koreksi'!$D$5:$D$92,'0800'!A4,'Daftar Koreksi'!$G$5:$G$92,"Jalan Irigasi Jaringan",'Daftar Koreksi'!$H$5:$H$92,"&lt;0")-SUMIFS('Daftar Koreksi'!$H$5:$H$92,'Daftar Koreksi'!$D$5:$D$92,'0800'!A4,'Daftar Koreksi'!$G$5:$G$92,"Jalan Irigasi Jaringan",'Daftar Koreksi'!$H$5:$H$92,"&lt;0")</f>
        <v>0</v>
      </c>
      <c r="G11" s="17">
        <f t="shared" si="0"/>
        <v>84460000</v>
      </c>
      <c r="H11" s="122"/>
      <c r="O11" s="8" t="s">
        <v>340</v>
      </c>
      <c r="P11" s="8" t="s">
        <v>1478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86351220</v>
      </c>
      <c r="E12" s="25">
        <f>SUMIFS('Daftar Koreksi'!$H$5:$H$92,'Daftar Koreksi'!$D$5:$D$92,'0800'!A4,'Daftar Koreksi'!$G$5:$G$92,"Aset Tetap Lainnya",'Daftar Koreksi'!$H$5:$H$92,"&gt;0")</f>
        <v>0</v>
      </c>
      <c r="F12" s="25">
        <f>SUMIFS('Daftar Koreksi'!$H$5:$H$92,'Daftar Koreksi'!$D$5:$D$92,'0800'!A4,'Daftar Koreksi'!$G$5:$G$92,"Aset Tetap Lainnya",'Daftar Koreksi'!$H$5:$H$92,"&lt;0")-SUMIFS('Daftar Koreksi'!$H$5:$H$92,'Daftar Koreksi'!$D$5:$D$92,'0800'!A4,'Daftar Koreksi'!$G$5:$G$92,"Aset Tetap Lainnya",'Daftar Koreksi'!$H$5:$H$92,"&lt;0")-SUMIFS('Daftar Koreksi'!$H$5:$H$92,'Daftar Koreksi'!$D$5:$D$92,'0800'!A4,'Daftar Koreksi'!$G$5:$G$92,"Aset Tetap Lainnya",'Daftar Koreksi'!$H$5:$H$92,"&lt;0")</f>
        <v>0</v>
      </c>
      <c r="G12" s="17">
        <f t="shared" si="0"/>
        <v>86351220</v>
      </c>
      <c r="H12" s="122"/>
      <c r="O12" s="8" t="s">
        <v>341</v>
      </c>
      <c r="P12" s="8" t="s">
        <v>1479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Koreksi'!$D$5:$D$92,'0800'!A4,'Daftar Koreksi'!$G$5:$G$92,"Kontruksi Dalam Pengerjaan",'Daftar Koreksi'!$H$5:$H$92,"&gt;0")</f>
        <v>0</v>
      </c>
      <c r="F13" s="25">
        <f>SUMIFS('Daftar Koreksi'!$H$5:$H$92,'Daftar Koreksi'!$D$5:$D$92,'0800'!A4,'Daftar Koreksi'!$G$5:$G$92,"Kontruksi Dalam Pengerjaan",'Daftar Koreksi'!$H$5:$H$92,"&lt;0")-SUMIFS('Daftar Koreksi'!$H$5:$H$92,'Daftar Koreksi'!$D$5:$D$92,'0800'!A4,'Daftar Koreksi'!$G$5:$G$92,"Kontruksi Dalam Pengerjaan",'Daftar Koreksi'!$H$5:$H$92,"&lt;0")-SUMIFS('Daftar Koreksi'!$H$5:$H$92,'Daftar Koreksi'!$D$5:$D$92,'0800'!A4,'Daftar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342</v>
      </c>
      <c r="P13" s="8" t="s">
        <v>1480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Koreksi'!$D$5:$D$92,'0800'!A4,'Daftar Koreksi'!$G$5:$G$92,"Aset Tak Berwujud",'Daftar Koreksi'!$H$5:$H$92,"&gt;0")</f>
        <v>0</v>
      </c>
      <c r="F14" s="25">
        <f>SUMIFS('Daftar Koreksi'!$H$5:$H$92,'Daftar Koreksi'!$D$5:$D$92,'0800'!A4,'Daftar Koreksi'!$G$5:$G$92,"Aset Tak Berwujud",'Daftar Koreksi'!$H$5:$H$92,"&lt;0")-SUMIFS('Daftar Koreksi'!$H$5:$H$92,'Daftar Koreksi'!$D$5:$D$92,'0800'!A4,'Daftar Koreksi'!$G$5:$G$92,"Aset Tak Berwujud",'Daftar Koreksi'!$H$5:$H$92,"&lt;0")-SUMIFS('Daftar Koreksi'!$H$5:$H$92,'Daftar Koreksi'!$D$5:$D$92,'0800'!A4,'Daftar Koreksi'!$G$5:$G$92,"Aset Tak Berwujud",'Daftar Koreksi'!$H$5:$H$92,"&lt;0")</f>
        <v>0</v>
      </c>
      <c r="G14" s="17">
        <f t="shared" si="0"/>
        <v>0</v>
      </c>
      <c r="H14" s="122"/>
      <c r="O14" s="8" t="s">
        <v>343</v>
      </c>
      <c r="P14" s="8" t="s">
        <v>1481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751126500</v>
      </c>
      <c r="E15" s="25">
        <f>SUMIFS('Daftar Koreksi'!$H$5:$H$92,'Daftar Koreksi'!$D$5:$D$92,'0800'!A4,'Daftar Koreksi'!$G$5:$G$92,"Aset Henti Guna",'Daftar Koreksi'!$H$5:$H$92,"&gt;0")</f>
        <v>0</v>
      </c>
      <c r="F15" s="25">
        <f>SUMIFS('Daftar Koreksi'!$H$5:$H$92,'Daftar Koreksi'!$D$5:$D$92,'0800'!A4,'Daftar Koreksi'!$G$5:$G$92,"Aset Henti Guna",'Daftar Koreksi'!$H$5:$H$92,"&lt;0")-SUMIFS('Daftar Koreksi'!$H$5:$H$92,'Daftar Koreksi'!$D$5:$D$92,'0800'!A4,'Daftar Koreksi'!$G$5:$G$92,"Aset Henti Guna",'Daftar Koreksi'!$H$5:$H$92,"&lt;0")-SUMIFS('Daftar Koreksi'!$H$5:$H$92,'Daftar Koreksi'!$D$5:$D$92,'0800'!A4,'Daftar Koreksi'!$G$5:$G$92,"Aset Henti Guna",'Daftar Koreksi'!$H$5:$H$92,"&lt;0")</f>
        <v>0</v>
      </c>
      <c r="G15" s="17">
        <f t="shared" si="0"/>
        <v>751126500</v>
      </c>
      <c r="H15" s="122"/>
      <c r="O15" s="8" t="s">
        <v>344</v>
      </c>
      <c r="P15" s="8" t="s">
        <v>1482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24285070677</v>
      </c>
      <c r="E16" s="19">
        <f>SUM(E7:E15)</f>
        <v>0</v>
      </c>
      <c r="F16" s="19">
        <f>SUM(F7:F15)</f>
        <v>0</v>
      </c>
      <c r="G16" s="19">
        <f t="shared" si="0"/>
        <v>24285070677</v>
      </c>
      <c r="H16" s="122"/>
      <c r="O16" s="8" t="s">
        <v>345</v>
      </c>
      <c r="P16" s="8" t="s">
        <v>1483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-4318316560</v>
      </c>
      <c r="E17" s="25">
        <f>SUMIFS('Daftar Koreksi'!$I$5:$I$92,'Daftar Koreksi'!$D$5:$D$92,'0800'!A4,'Daftar Koreksi'!$G$5:$G$92,"Peralatan dan mesin",'Daftar Koreksi'!$I$5:$I$92,"&gt;0")</f>
        <v>0</v>
      </c>
      <c r="F17" s="25">
        <f>SUMIFS('Daftar Koreksi'!$I$5:$I$92,'Daftar Koreksi'!$D$5:$D$92,'0800'!A4,'Daftar Koreksi'!$G$5:$G$92,"Peralatan dan mesin",'Daftar Koreksi'!$I$5:$I$92,"&lt;0")-SUMIFS('Daftar Koreksi'!$I$5:$I$92,'Daftar Koreksi'!$D$5:$D$92,'0800'!A4,'Daftar Koreksi'!$G$5:$G$92,"Peralatan dan mesin",'Daftar Koreksi'!$I$5:$I$92,"&lt;0")-SUMIFS('Daftar Koreksi'!$I$5:$I$92,'Daftar Koreksi'!$D$5:$D$92,'0800'!A4,'Daftar Koreksi'!$G$5:$G$92,"Peralatan dan mesin",'Daftar Koreksi'!$I$5:$I$92,"&lt;0")</f>
        <v>0</v>
      </c>
      <c r="G17" s="17">
        <f t="shared" si="0"/>
        <v>-4318316560</v>
      </c>
      <c r="H17" s="122"/>
      <c r="O17" s="8" t="s">
        <v>346</v>
      </c>
      <c r="P17" s="8" t="s">
        <v>1484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-8148248880</v>
      </c>
      <c r="E18" s="25">
        <f>SUMIFS('Daftar Koreksi'!$I$5:$I$92,'Daftar Koreksi'!$D$5:$D$92,'0800'!A4,'Daftar Koreksi'!$G$5:$G$92,"Gedung dan Bangunan",'Daftar Koreksi'!$I$5:$I$92,"&gt;0")</f>
        <v>0</v>
      </c>
      <c r="F18" s="25">
        <f>SUMIFS('Daftar Koreksi'!$I$5:$I$92,'Daftar Koreksi'!$D$5:$D$92,'0800'!A4,'Daftar Koreksi'!$G$5:$G$92,"Gedung dan Bangunan",'Daftar Koreksi'!$I$5:$I$92,"&lt;0")-SUMIFS('Daftar Koreksi'!$I$5:$I$92,'Daftar Koreksi'!$D$5:$D$92,'0800'!A4,'Daftar Koreksi'!$G$5:$G$92,"Gedung dan Bangunan",'Daftar Koreksi'!$I$5:$I$92,"&lt;0")-SUMIFS('Daftar Koreksi'!$I$5:$I$92,'Daftar Koreksi'!$D$5:$D$92,'0800'!A4,'Daftar Koreksi'!$G$5:$G$92,"Gedung dan Bangunan",'Daftar Koreksi'!$I$5:$I$92,"&lt;0")</f>
        <v>0</v>
      </c>
      <c r="G18" s="17">
        <f t="shared" si="0"/>
        <v>-8148248880</v>
      </c>
      <c r="H18" s="122"/>
      <c r="O18" s="8" t="s">
        <v>347</v>
      </c>
      <c r="P18" s="8" t="s">
        <v>1485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-15405438</v>
      </c>
      <c r="E19" s="25">
        <f>SUMIFS('Daftar Koreksi'!$I$5:$I$92,'Daftar Koreksi'!$D$5:$D$92,'0800'!A4,'Daftar Koreksi'!$G$5:$G$92,"Jalan Irigasi Jaringan",'Daftar Koreksi'!$I$5:$I$92,"&gt;0")</f>
        <v>0</v>
      </c>
      <c r="F19" s="25">
        <f>SUMIFS('Daftar Koreksi'!$I$5:$I$92,'Daftar Koreksi'!$D$5:$D$92,'0800'!A4,'Daftar Koreksi'!$G$5:$G$92,"Jalan Irigasi Jaringan",'Daftar Koreksi'!$I$5:$I$92,"&lt;0")-SUMIFS('Daftar Koreksi'!$I$5:$I$92,'Daftar Koreksi'!$D$5:$D$92,'0800'!A4,'Daftar Koreksi'!$G$5:$G$92,"Jalan Irigasi Jaringan",'Daftar Koreksi'!$I$5:$I$92,"&lt;0")-SUMIFS('Daftar Koreksi'!$I$5:$I$92,'Daftar Koreksi'!$D$5:$D$92,'0800'!A4,'Daftar Koreksi'!$G$5:$G$92,"Jalan Irigasi Jaringan",'Daftar Koreksi'!$I$5:$I$92,"&lt;0")</f>
        <v>0</v>
      </c>
      <c r="G19" s="17">
        <f t="shared" si="0"/>
        <v>-15405438</v>
      </c>
      <c r="H19" s="122"/>
      <c r="O19" s="8" t="s">
        <v>348</v>
      </c>
      <c r="P19" s="8" t="s">
        <v>1486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Koreksi'!$D$5:$D$92,'0800'!A4,'Daftar Koreksi'!$G$5:$G$92,"Aset Tetap Lainnya",'Daftar Koreksi'!$I$5:$I$92,"&gt;0")</f>
        <v>0</v>
      </c>
      <c r="F20" s="25">
        <f>SUMIFS('Daftar Koreksi'!$I$5:$I$92,'Daftar Koreksi'!$D$5:$D$92,'0800'!A4,'Daftar Koreksi'!$G$5:$G$92,"Aset Tetap Lainnya",'Daftar Koreksi'!$I$5:$I$92,"&lt;0")-SUMIFS('Daftar Koreksi'!$I$5:$I$92,'Daftar Koreksi'!$D$5:$D$92,'0800'!A4,'Daftar Koreksi'!$G$5:$G$92,"Aset Tetap Lainnya",'Daftar Koreksi'!$I$5:$I$92,"&lt;0")-SUMIFS('Daftar Koreksi'!$I$5:$I$92,'Daftar Koreksi'!$D$5:$D$92,'0800'!A4,'Daftar Koreksi'!$G$5:$G$92,"Aset Tetap Lainnya",'Daftar Koreksi'!$I$5:$I$92,"&lt;0")</f>
        <v>0</v>
      </c>
      <c r="G20" s="17">
        <f t="shared" si="0"/>
        <v>0</v>
      </c>
      <c r="H20" s="122"/>
      <c r="O20" s="8" t="s">
        <v>349</v>
      </c>
      <c r="P20" s="8" t="s">
        <v>1487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-751126500</v>
      </c>
      <c r="E21" s="25">
        <f>SUMIFS('Daftar Koreksi'!$I$5:$I$92,'Daftar Koreksi'!$D$5:$D$92,'0800'!A4,'Daftar Koreksi'!$G$5:$G$92,"Aset Henti Guna",'Daftar Koreksi'!$I$5:$I$92,"&gt;0")</f>
        <v>0</v>
      </c>
      <c r="F21" s="25">
        <f>SUMIFS('Daftar Koreksi'!$I$5:$I$92,'Daftar Koreksi'!$D$5:$D$92,'0800'!A4,'Daftar Koreksi'!$G$5:$G$92,"Aset Henti Guna",'Daftar Koreksi'!$I$5:$I$92,"&lt;0")-SUMIFS('Daftar Koreksi'!$I$5:$I$92,'Daftar Koreksi'!$D$5:$D$92,'0800'!A4,'Daftar Koreksi'!$G$5:$G$92,"Aset Henti Guna",'Daftar Koreksi'!$I$5:$I$92,"&lt;0")-SUMIFS('Daftar Koreksi'!$I$5:$I$92,'Daftar Koreksi'!$D$5:$D$92,'0800'!A4,'Daftar Koreksi'!$G$5:$G$92,"Aset Henti Guna",'Daftar Koreksi'!$I$5:$I$92,"&lt;0")</f>
        <v>0</v>
      </c>
      <c r="G21" s="17">
        <f t="shared" si="0"/>
        <v>-751126500</v>
      </c>
      <c r="H21" s="122"/>
      <c r="O21" s="8" t="s">
        <v>350</v>
      </c>
      <c r="P21" s="8" t="s">
        <v>1488</v>
      </c>
    </row>
    <row r="22" spans="1:16" ht="21.95" customHeight="1">
      <c r="A22" s="14"/>
      <c r="B22" s="14"/>
      <c r="C22" s="18" t="s">
        <v>2094</v>
      </c>
      <c r="D22" s="19">
        <f>SUM(D17:D21)</f>
        <v>-13233097378</v>
      </c>
      <c r="E22" s="19">
        <f>SUM(E17:E21)</f>
        <v>0</v>
      </c>
      <c r="F22" s="19">
        <f>SUM(F17:F21)</f>
        <v>0</v>
      </c>
      <c r="G22" s="19">
        <f t="shared" si="0"/>
        <v>-13233097378</v>
      </c>
      <c r="H22" s="122"/>
      <c r="O22" s="8" t="s">
        <v>351</v>
      </c>
      <c r="P22" s="8" t="s">
        <v>1489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11051973299</v>
      </c>
      <c r="E23" s="19">
        <f>E22+E16</f>
        <v>0</v>
      </c>
      <c r="F23" s="19">
        <f>F22+F16</f>
        <v>0</v>
      </c>
      <c r="G23" s="19">
        <f t="shared" si="0"/>
        <v>11051973299</v>
      </c>
      <c r="H23" s="122"/>
      <c r="O23" s="8" t="s">
        <v>352</v>
      </c>
      <c r="P23" s="8" t="s">
        <v>1490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353</v>
      </c>
      <c r="P24" s="8" t="s">
        <v>1491</v>
      </c>
    </row>
    <row r="25" spans="1:16" ht="19.5" customHeight="1">
      <c r="O25" s="8" t="s">
        <v>354</v>
      </c>
      <c r="P25" s="8" t="s">
        <v>1492</v>
      </c>
    </row>
    <row r="26" spans="1:16" ht="19.5" customHeight="1">
      <c r="A26" s="11" t="str">
        <f>O2</f>
        <v>005010800098750000KD</v>
      </c>
      <c r="B26" s="11" t="str">
        <f>P2</f>
        <v>PN. Padang</v>
      </c>
      <c r="C26" s="12" t="str">
        <f>A26&amp;" "&amp;B26</f>
        <v>005010800098750000KD PN. Padang</v>
      </c>
      <c r="D26" s="13"/>
      <c r="E26" s="13"/>
      <c r="F26" s="13"/>
      <c r="G26" s="13"/>
      <c r="H26" s="11"/>
      <c r="O26" s="8" t="s">
        <v>355</v>
      </c>
      <c r="P26" s="8" t="s">
        <v>1493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356</v>
      </c>
      <c r="P27" s="8" t="s">
        <v>1494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357</v>
      </c>
      <c r="P28" s="8" t="s">
        <v>1495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17286964</v>
      </c>
      <c r="E29" s="25">
        <f>SUMIFS('Daftar Koreksi'!$H$5:$H$92,'Daftar Koreksi'!$D$5:$D$92,'0800'!A26,'Daftar Koreksi'!$G$5:$G$92,"Persediaan",'Daftar Koreksi'!$H$5:$H$92,"&gt;0")</f>
        <v>0</v>
      </c>
      <c r="F29" s="25">
        <f>SUMIFS('Daftar Koreksi'!$H$5:$H$92,'Daftar Koreksi'!$D$5:$D$92,'0800'!A26,'Daftar Koreksi'!$G$5:$G$92,"Persediaan",'Daftar Koreksi'!$H$5:$H$92,"&lt;0")-SUMIFS('Daftar Koreksi'!$H$5:$H$92,'Daftar Koreksi'!$D$5:$D$92,'0800'!A26,'Daftar Koreksi'!$G$5:$G$92,"Persediaan",'Daftar Koreksi'!$H$5:$H$92,"&lt;0")-SUMIFS('Daftar Koreksi'!$H$5:$H$92,'Daftar Koreksi'!$D$5:$D$92,'0800'!A26,'Daftar Koreksi'!$G$5:$G$92,"Persediaan",'Daftar Koreksi'!$H$5:$H$92,"&lt;0")</f>
        <v>0</v>
      </c>
      <c r="G29" s="17">
        <f>D29+E29-F29</f>
        <v>17286964</v>
      </c>
      <c r="H29" s="121" t="str">
        <f>IF(ISNA(VLOOKUP(A26,'Mutasi Neraca'!$A$3:$S$914,19,FALSE)),"-",VLOOKUP(A26,'Mutasi Neraca'!$A$3:$S$914,19,FALSE))</f>
        <v>-</v>
      </c>
      <c r="I29" s="28"/>
      <c r="J29" s="28"/>
      <c r="O29" s="8" t="s">
        <v>358</v>
      </c>
      <c r="P29" s="8" t="s">
        <v>1496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9693550000</v>
      </c>
      <c r="E30" s="25">
        <f>SUMIFS('Daftar Koreksi'!$H$5:$H$92,'Daftar Koreksi'!$D$5:$D$92,'0800'!A26,'Daftar Koreksi'!$G$5:$G$92,"Tanah",'Daftar Koreksi'!$H$5:$H$92,"&gt;0")</f>
        <v>0</v>
      </c>
      <c r="F30" s="25">
        <f>SUMIFS('Daftar Koreksi'!$H$5:$H$92,'Daftar Koreksi'!$D$5:$D$92,'0800'!A26,'Daftar Koreksi'!$G$5:$G$92,"Tanah",'Daftar Koreksi'!$H$5:$H$92,"&lt;0")-SUMIFS('Daftar Koreksi'!$H$5:$H$92,'Daftar Koreksi'!$D$5:$D$92,'0800'!A26,'Daftar Koreksi'!$G$5:$G$92,"Tanah",'Daftar Koreksi'!$H$5:$H$92,"&lt;0")-SUMIFS('Daftar Koreksi'!$H$5:$H$92,'Daftar Koreksi'!$D$5:$D$92,'0800'!A26,'Daftar Koreksi'!$G$5:$G$92,"Tanah",'Daftar Koreksi'!$H$5:$H$92,"&lt;0")</f>
        <v>0</v>
      </c>
      <c r="G30" s="17">
        <f t="shared" ref="G30:G46" si="1">D30+E30-F30</f>
        <v>9693550000</v>
      </c>
      <c r="H30" s="122"/>
      <c r="I30" s="28"/>
      <c r="J30" s="28"/>
      <c r="O30" s="8" t="s">
        <v>359</v>
      </c>
      <c r="P30" s="8" t="s">
        <v>1497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3378386704</v>
      </c>
      <c r="E31" s="25">
        <f>SUMIFS('Daftar Koreksi'!$H$5:$H$92,'Daftar Koreksi'!$D$5:$D$92,'0800'!A26,'Daftar Koreksi'!$G$5:$G$92,"Peralatan dan mesin",'Daftar Koreksi'!$H$5:$H$92,"&gt;0")</f>
        <v>0</v>
      </c>
      <c r="F31" s="25">
        <f>SUMIFS('Daftar Koreksi'!$H$5:$H$92,'Daftar Koreksi'!$D$5:$D$92,'0800'!A26,'Daftar Koreksi'!$G$5:$G$92,"Peralatan dan mesin",'Daftar Koreksi'!$H$5:$H$92,"&lt;0")-SUMIFS('Daftar Koreksi'!$H$5:$H$92,'Daftar Koreksi'!$D$5:$D$92,'0800'!A26,'Daftar Koreksi'!$G$5:$G$92,"Peralatan dan mesin",'Daftar Koreksi'!$H$5:$H$92,"&lt;0")-SUMIFS('Daftar Koreksi'!$H$5:$H$92,'Daftar Koreksi'!$D$5:$D$92,'0800'!A26,'Daftar Koreksi'!$G$5:$G$92,"Peralatan dan mesin",'Daftar Koreksi'!$H$5:$H$92,"&lt;0")</f>
        <v>0</v>
      </c>
      <c r="G31" s="17">
        <f t="shared" si="1"/>
        <v>3378386704</v>
      </c>
      <c r="H31" s="122"/>
      <c r="I31" s="28"/>
      <c r="J31" s="28"/>
      <c r="O31" s="8" t="s">
        <v>360</v>
      </c>
      <c r="P31" s="8" t="s">
        <v>1498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13063350402</v>
      </c>
      <c r="E32" s="25">
        <f>SUMIFS('Daftar Koreksi'!$H$5:$H$92,'Daftar Koreksi'!$D$5:$D$92,'0800'!A26,'Daftar Koreksi'!$G$5:$G$92,"Gedung dan Bangunan",'Daftar Koreksi'!$H$5:$H$92,"&gt;0")</f>
        <v>0</v>
      </c>
      <c r="F32" s="25">
        <f>SUMIFS('Daftar Koreksi'!$H$5:$H$92,'Daftar Koreksi'!$D$5:$D$92,'0800'!A26,'Daftar Koreksi'!$G$5:$G$92,"Gedung dan Bangunan",'Daftar Koreksi'!$H$5:$H$92,"&lt;0")-SUMIFS('Daftar Koreksi'!$H$5:$H$92,'Daftar Koreksi'!$D$5:$D$92,'0800'!A26,'Daftar Koreksi'!$G$5:$G$92,"Gedung dan Bangunan",'Daftar Koreksi'!$H$5:$H$92,"&lt;0")-SUMIFS('Daftar Koreksi'!$H$5:$H$92,'Daftar Koreksi'!$D$5:$D$92,'0800'!A26,'Daftar Koreksi'!$G$5:$G$92,"Gedung dan Bangunan",'Daftar Koreksi'!$H$5:$H$92,"&lt;0")</f>
        <v>0</v>
      </c>
      <c r="G32" s="17">
        <f t="shared" si="1"/>
        <v>13063350402</v>
      </c>
      <c r="H32" s="122"/>
      <c r="I32" s="28"/>
      <c r="J32" s="28"/>
      <c r="O32" s="8" t="s">
        <v>361</v>
      </c>
      <c r="P32" s="8" t="s">
        <v>1499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74728000</v>
      </c>
      <c r="E33" s="25">
        <f>SUMIFS('Daftar Koreksi'!$H$5:$H$92,'Daftar Koreksi'!$D$5:$D$92,'0800'!A26,'Daftar Koreksi'!$G$5:$G$92,"Jalan Irigasi Jaringan",'Daftar Koreksi'!$H$5:$H$92,"&gt;0")</f>
        <v>0</v>
      </c>
      <c r="F33" s="25">
        <f>SUMIFS('Daftar Koreksi'!$H$5:$H$92,'Daftar Koreksi'!$D$5:$D$92,'0800'!A26,'Daftar Koreksi'!$G$5:$G$92,"Jalan Irigasi Jaringan",'Daftar Koreksi'!$H$5:$H$92,"&lt;0")-SUMIFS('Daftar Koreksi'!$H$5:$H$92,'Daftar Koreksi'!$D$5:$D$92,'0800'!A26,'Daftar Koreksi'!$G$5:$G$92,"Jalan Irigasi Jaringan",'Daftar Koreksi'!$H$5:$H$92,"&lt;0")-SUMIFS('Daftar Koreksi'!$H$5:$H$92,'Daftar Koreksi'!$D$5:$D$92,'0800'!A26,'Daftar Koreksi'!$G$5:$G$92,"Jalan Irigasi Jaringan",'Daftar Koreksi'!$H$5:$H$92,"&lt;0")</f>
        <v>0</v>
      </c>
      <c r="G33" s="17">
        <f t="shared" si="1"/>
        <v>74728000</v>
      </c>
      <c r="H33" s="122"/>
      <c r="I33" s="28"/>
      <c r="J33" s="28"/>
      <c r="O33" s="8" t="s">
        <v>362</v>
      </c>
      <c r="P33" s="8" t="s">
        <v>1500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93483440</v>
      </c>
      <c r="E34" s="25">
        <f>SUMIFS('Daftar Koreksi'!$H$5:$H$92,'Daftar Koreksi'!$D$5:$D$92,'0800'!A26,'Daftar Koreksi'!$G$5:$G$92,"Aset Tetap Lainnya",'Daftar Koreksi'!$H$5:$H$92,"&gt;0")</f>
        <v>0</v>
      </c>
      <c r="F34" s="25">
        <f>SUMIFS('Daftar Koreksi'!$H$5:$H$92,'Daftar Koreksi'!$D$5:$D$92,'0800'!A26,'Daftar Koreksi'!$G$5:$G$92,"Aset Tetap Lainnya",'Daftar Koreksi'!$H$5:$H$92,"&lt;0")-SUMIFS('Daftar Koreksi'!$H$5:$H$92,'Daftar Koreksi'!$D$5:$D$92,'0800'!A26,'Daftar Koreksi'!$G$5:$G$92,"Aset Tetap Lainnya",'Daftar Koreksi'!$H$5:$H$92,"&lt;0")-SUMIFS('Daftar Koreksi'!$H$5:$H$92,'Daftar Koreksi'!$D$5:$D$92,'0800'!A26,'Daftar Koreksi'!$G$5:$G$92,"Aset Tetap Lainnya",'Daftar Koreksi'!$H$5:$H$92,"&lt;0")</f>
        <v>0</v>
      </c>
      <c r="G34" s="17">
        <f t="shared" si="1"/>
        <v>93483440</v>
      </c>
      <c r="H34" s="122"/>
      <c r="I34" s="28"/>
      <c r="J34" s="28"/>
      <c r="O34" s="8" t="s">
        <v>363</v>
      </c>
      <c r="P34" s="8" t="s">
        <v>1501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Koreksi'!$D$5:$D$92,'0800'!A26,'Daftar Koreksi'!$G$5:$G$92,"Kontruksi Dalam Pengerjaan",'Daftar Koreksi'!$H$5:$H$92,"&gt;0")</f>
        <v>0</v>
      </c>
      <c r="F35" s="25">
        <f>SUMIFS('Daftar Koreksi'!$H$5:$H$92,'Daftar Koreksi'!$D$5:$D$92,'0800'!A26,'Daftar Koreksi'!$G$5:$G$92,"Kontruksi Dalam Pengerjaan",'Daftar Koreksi'!$H$5:$H$92,"&lt;0")-SUMIFS('Daftar Koreksi'!$H$5:$H$92,'Daftar Koreksi'!$D$5:$D$92,'0800'!A26,'Daftar Koreksi'!$G$5:$G$92,"Kontruksi Dalam Pengerjaan",'Daftar Koreksi'!$H$5:$H$92,"&lt;0")-SUMIFS('Daftar Koreksi'!$H$5:$H$92,'Daftar Koreksi'!$D$5:$D$92,'0800'!A26,'Daftar Koreksi'!$G$5:$G$92,"Kontruksi Dalam Pengerjaan",'Daftar Koreksi'!$H$5:$H$92,"&lt;0")</f>
        <v>0</v>
      </c>
      <c r="G35" s="17">
        <f t="shared" si="1"/>
        <v>0</v>
      </c>
      <c r="H35" s="122"/>
      <c r="I35" s="28"/>
      <c r="J35" s="28"/>
      <c r="O35" s="8" t="s">
        <v>364</v>
      </c>
      <c r="P35" s="8" t="s">
        <v>1502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65066935</v>
      </c>
      <c r="E36" s="25">
        <f>SUMIFS('Daftar Koreksi'!$H$5:$H$92,'Daftar Koreksi'!$D$5:$D$92,'0800'!A26,'Daftar Koreksi'!$G$5:$G$92,"Aset Tak Berwujud",'Daftar Koreksi'!$H$5:$H$92,"&gt;0")</f>
        <v>0</v>
      </c>
      <c r="F36" s="25">
        <f>SUMIFS('Daftar Koreksi'!$H$5:$H$92,'Daftar Koreksi'!$D$5:$D$92,'0800'!A26,'Daftar Koreksi'!$G$5:$G$92,"Aset Tak Berwujud",'Daftar Koreksi'!$H$5:$H$92,"&lt;0")-SUMIFS('Daftar Koreksi'!$H$5:$H$92,'Daftar Koreksi'!$D$5:$D$92,'0800'!A26,'Daftar Koreksi'!$G$5:$G$92,"Aset Tak Berwujud",'Daftar Koreksi'!$H$5:$H$92,"&lt;0")-SUMIFS('Daftar Koreksi'!$H$5:$H$92,'Daftar Koreksi'!$D$5:$D$92,'0800'!A26,'Daftar Koreksi'!$G$5:$G$92,"Aset Tak Berwujud",'Daftar Koreksi'!$H$5:$H$92,"&lt;0")</f>
        <v>0</v>
      </c>
      <c r="G36" s="17">
        <f t="shared" si="1"/>
        <v>65066935</v>
      </c>
      <c r="H36" s="122"/>
      <c r="I36" s="28"/>
      <c r="J36" s="28"/>
      <c r="O36" s="8" t="s">
        <v>365</v>
      </c>
      <c r="P36" s="8" t="s">
        <v>1503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20220000</v>
      </c>
      <c r="E37" s="25">
        <f>SUMIFS('Daftar Koreksi'!$H$5:$H$92,'Daftar Koreksi'!$D$5:$D$92,'0800'!A26,'Daftar Koreksi'!$G$5:$G$92,"Aset Henti Guna",'Daftar Koreksi'!$H$5:$H$92,"&gt;0")</f>
        <v>0</v>
      </c>
      <c r="F37" s="25">
        <f>SUMIFS('Daftar Koreksi'!$H$5:$H$92,'Daftar Koreksi'!$D$5:$D$92,'0800'!A26,'Daftar Koreksi'!$G$5:$G$92,"Aset Henti Guna",'Daftar Koreksi'!$H$5:$H$92,"&lt;0")-SUMIFS('Daftar Koreksi'!$H$5:$H$92,'Daftar Koreksi'!$D$5:$D$92,'0800'!A26,'Daftar Koreksi'!$G$5:$G$92,"Aset Henti Guna",'Daftar Koreksi'!$H$5:$H$92,"&lt;0")-SUMIFS('Daftar Koreksi'!$H$5:$H$92,'Daftar Koreksi'!$D$5:$D$92,'0800'!A26,'Daftar Koreksi'!$G$5:$G$92,"Aset Henti Guna",'Daftar Koreksi'!$H$5:$H$92,"&lt;0")</f>
        <v>0</v>
      </c>
      <c r="G37" s="17">
        <f t="shared" si="1"/>
        <v>20220000</v>
      </c>
      <c r="H37" s="122"/>
      <c r="I37" s="28"/>
      <c r="J37" s="28"/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26406072445</v>
      </c>
      <c r="E38" s="19">
        <f>SUM(E29:E37)</f>
        <v>0</v>
      </c>
      <c r="F38" s="19">
        <f>SUM(F29:F37)</f>
        <v>0</v>
      </c>
      <c r="G38" s="19">
        <f t="shared" si="1"/>
        <v>26406072445</v>
      </c>
      <c r="H38" s="122"/>
      <c r="I38" s="28"/>
      <c r="J38" s="28"/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-3035346948</v>
      </c>
      <c r="E39" s="25">
        <f>SUMIFS('Daftar Koreksi'!$I$5:$I$92,'Daftar Koreksi'!$D$5:$D$92,'0800'!A26,'Daftar Koreksi'!$G$5:$G$92,"Peralatan dan mesin",'Daftar Koreksi'!$I$5:$I$92,"&gt;0")</f>
        <v>0</v>
      </c>
      <c r="F39" s="25">
        <f>SUMIFS('Daftar Koreksi'!$I$5:$I$92,'Daftar Koreksi'!$D$5:$D$92,'0800'!A26,'Daftar Koreksi'!$G$5:$G$92,"Peralatan dan mesin",'Daftar Koreksi'!$I$5:$I$92,"&lt;0")-SUMIFS('Daftar Koreksi'!$I$5:$I$92,'Daftar Koreksi'!$D$5:$D$92,'0800'!A26,'Daftar Koreksi'!$G$5:$G$92,"Peralatan dan mesin",'Daftar Koreksi'!$I$5:$I$92,"&lt;0")-SUMIFS('Daftar Koreksi'!$I$5:$I$92,'Daftar Koreksi'!$D$5:$D$92,'0800'!A26,'Daftar Koreksi'!$G$5:$G$92,"Peralatan dan mesin",'Daftar Koreksi'!$I$5:$I$92,"&lt;0")</f>
        <v>0</v>
      </c>
      <c r="G39" s="17">
        <f t="shared" si="1"/>
        <v>-3035346948</v>
      </c>
      <c r="H39" s="122"/>
      <c r="I39" s="28"/>
      <c r="J39" s="28"/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-2171225810</v>
      </c>
      <c r="E40" s="25">
        <f>SUMIFS('Daftar Koreksi'!$I$5:$I$92,'Daftar Koreksi'!$D$5:$D$92,'0800'!A26,'Daftar Koreksi'!$G$5:$G$92,"Gedung dan Bangunan",'Daftar Koreksi'!$I$5:$I$92,"&gt;0")</f>
        <v>0</v>
      </c>
      <c r="F40" s="25">
        <f>SUMIFS('Daftar Koreksi'!$I$5:$I$92,'Daftar Koreksi'!$D$5:$D$92,'0800'!A26,'Daftar Koreksi'!$G$5:$G$92,"Gedung dan Bangunan",'Daftar Koreksi'!$I$5:$I$92,"&lt;0")-SUMIFS('Daftar Koreksi'!$I$5:$I$92,'Daftar Koreksi'!$D$5:$D$92,'0800'!A26,'Daftar Koreksi'!$G$5:$G$92,"Gedung dan Bangunan",'Daftar Koreksi'!$I$5:$I$92,"&lt;0")-SUMIFS('Daftar Koreksi'!$I$5:$I$92,'Daftar Koreksi'!$D$5:$D$92,'0800'!A26,'Daftar Koreksi'!$G$5:$G$92,"Gedung dan Bangunan",'Daftar Koreksi'!$I$5:$I$92,"&lt;0")</f>
        <v>0</v>
      </c>
      <c r="G40" s="17">
        <f t="shared" si="1"/>
        <v>-2171225810</v>
      </c>
      <c r="H40" s="122"/>
      <c r="I40" s="28"/>
      <c r="J40" s="28"/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-14959971</v>
      </c>
      <c r="E41" s="25">
        <f>SUMIFS('Daftar Koreksi'!$I$5:$I$92,'Daftar Koreksi'!$D$5:$D$92,'0800'!A26,'Daftar Koreksi'!$G$5:$G$92,"Jalan Irigasi Jaringan",'Daftar Koreksi'!$I$5:$I$92,"&gt;0")</f>
        <v>0</v>
      </c>
      <c r="F41" s="25">
        <f>SUMIFS('Daftar Koreksi'!$I$5:$I$92,'Daftar Koreksi'!$D$5:$D$92,'0800'!A26,'Daftar Koreksi'!$G$5:$G$92,"Jalan Irigasi Jaringan",'Daftar Koreksi'!$I$5:$I$92,"&lt;0")-SUMIFS('Daftar Koreksi'!$I$5:$I$92,'Daftar Koreksi'!$D$5:$D$92,'0800'!A26,'Daftar Koreksi'!$G$5:$G$92,"Jalan Irigasi Jaringan",'Daftar Koreksi'!$I$5:$I$92,"&lt;0")-SUMIFS('Daftar Koreksi'!$I$5:$I$92,'Daftar Koreksi'!$D$5:$D$92,'0800'!A26,'Daftar Koreksi'!$G$5:$G$92,"Jalan Irigasi Jaringan",'Daftar Koreksi'!$I$5:$I$92,"&lt;0")</f>
        <v>0</v>
      </c>
      <c r="G41" s="17">
        <f t="shared" si="1"/>
        <v>-14959971</v>
      </c>
      <c r="H41" s="122"/>
      <c r="I41" s="28"/>
      <c r="J41" s="28"/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Koreksi'!$D$5:$D$92,'0800'!A26,'Daftar Koreksi'!$G$5:$G$92,"Aset Tetap Lainnya",'Daftar Koreksi'!$I$5:$I$92,"&gt;0")</f>
        <v>0</v>
      </c>
      <c r="F42" s="25">
        <f>SUMIFS('Daftar Koreksi'!$I$5:$I$92,'Daftar Koreksi'!$D$5:$D$92,'0800'!A26,'Daftar Koreksi'!$G$5:$G$92,"Aset Tetap Lainnya",'Daftar Koreksi'!$I$5:$I$92,"&lt;0")-SUMIFS('Daftar Koreksi'!$I$5:$I$92,'Daftar Koreksi'!$D$5:$D$92,'0800'!A26,'Daftar Koreksi'!$G$5:$G$92,"Aset Tetap Lainnya",'Daftar Koreksi'!$I$5:$I$92,"&lt;0")-SUMIFS('Daftar Koreksi'!$I$5:$I$92,'Daftar Koreksi'!$D$5:$D$92,'0800'!A26,'Daftar Koreksi'!$G$5:$G$92,"Aset Tetap Lainnya",'Daftar Koreksi'!$I$5:$I$92,"&lt;0")</f>
        <v>0</v>
      </c>
      <c r="G42" s="17">
        <f t="shared" si="1"/>
        <v>0</v>
      </c>
      <c r="H42" s="122"/>
      <c r="I42" s="28"/>
      <c r="J42" s="28"/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-20220000</v>
      </c>
      <c r="E43" s="25">
        <f>SUMIFS('Daftar Koreksi'!$I$5:$I$92,'Daftar Koreksi'!$D$5:$D$92,'0800'!A26,'Daftar Koreksi'!$G$5:$G$92,"Aset Henti Guna",'Daftar Koreksi'!$I$5:$I$92,"&gt;0")</f>
        <v>0</v>
      </c>
      <c r="F43" s="25">
        <f>SUMIFS('Daftar Koreksi'!$I$5:$I$92,'Daftar Koreksi'!$D$5:$D$92,'0800'!A26,'Daftar Koreksi'!$G$5:$G$92,"Aset Henti Guna",'Daftar Koreksi'!$I$5:$I$92,"&lt;0")-SUMIFS('Daftar Koreksi'!$I$5:$I$92,'Daftar Koreksi'!$D$5:$D$92,'0800'!A26,'Daftar Koreksi'!$G$5:$G$92,"Aset Henti Guna",'Daftar Koreksi'!$I$5:$I$92,"&lt;0")-SUMIFS('Daftar Koreksi'!$I$5:$I$92,'Daftar Koreksi'!$D$5:$D$92,'0800'!A26,'Daftar Koreksi'!$G$5:$G$92,"Aset Henti Guna",'Daftar Koreksi'!$I$5:$I$92,"&lt;0")</f>
        <v>0</v>
      </c>
      <c r="G43" s="17">
        <f t="shared" si="1"/>
        <v>-20220000</v>
      </c>
      <c r="H43" s="122"/>
      <c r="I43" s="28"/>
      <c r="J43" s="28"/>
    </row>
    <row r="44" spans="1:16" ht="21.95" customHeight="1">
      <c r="A44" s="14"/>
      <c r="B44" s="14"/>
      <c r="C44" s="18" t="s">
        <v>2094</v>
      </c>
      <c r="D44" s="19">
        <f>SUM(D39:D43)</f>
        <v>-5241752729</v>
      </c>
      <c r="E44" s="19">
        <f>SUM(E39:E43)</f>
        <v>0</v>
      </c>
      <c r="F44" s="19">
        <f>SUM(F39:F43)</f>
        <v>0</v>
      </c>
      <c r="G44" s="19">
        <f t="shared" si="1"/>
        <v>-5241752729</v>
      </c>
      <c r="H44" s="122"/>
      <c r="I44" s="28"/>
      <c r="J44" s="28"/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21164319716</v>
      </c>
      <c r="E45" s="19">
        <f>E44+E38</f>
        <v>0</v>
      </c>
      <c r="F45" s="19">
        <f>F44+F38</f>
        <v>0</v>
      </c>
      <c r="G45" s="19">
        <f t="shared" si="1"/>
        <v>21164319716</v>
      </c>
      <c r="H45" s="122"/>
      <c r="I45" s="28"/>
      <c r="J45" s="28"/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I46" s="28"/>
      <c r="J46" s="28"/>
    </row>
    <row r="48" spans="1:16" ht="19.5" customHeight="1">
      <c r="A48" s="11" t="str">
        <f>O3</f>
        <v>005010800098764000KD</v>
      </c>
      <c r="B48" s="11" t="str">
        <f>P3</f>
        <v>PN. Sawah Luntho</v>
      </c>
      <c r="C48" s="12" t="str">
        <f>A48&amp;" "&amp;B48</f>
        <v>005010800098764000KD PN. Sawah Luntho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776422</v>
      </c>
      <c r="E51" s="25">
        <f>SUMIFS('Daftar Koreksi'!$H$5:$H$92,'Daftar Koreksi'!$D$5:$D$92,'0800'!A48,'Daftar Koreksi'!$G$5:$G$92,"Persediaan",'Daftar Koreksi'!$H$5:$H$92,"&gt;0")</f>
        <v>0</v>
      </c>
      <c r="F51" s="25">
        <f>SUMIFS('Daftar Koreksi'!$H$5:$H$92,'Daftar Koreksi'!$D$5:$D$92,'0800'!A48,'Daftar Koreksi'!$G$5:$G$92,"Persediaan",'Daftar Koreksi'!$H$5:$H$92,"&lt;0")-SUMIFS('Daftar Koreksi'!$H$5:$H$92,'Daftar Koreksi'!$D$5:$D$92,'0800'!A48,'Daftar Koreksi'!$G$5:$G$92,"Persediaan",'Daftar Koreksi'!$H$5:$H$92,"&lt;0")-SUMIFS('Daftar Koreksi'!$H$5:$H$92,'Daftar Koreksi'!$D$5:$D$92,'0800'!A48,'Daftar Koreksi'!$G$5:$G$92,"Persediaan",'Daftar Koreksi'!$H$5:$H$92,"&lt;0")</f>
        <v>0</v>
      </c>
      <c r="G51" s="17">
        <f>D51+E51-F51</f>
        <v>776422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1109100000</v>
      </c>
      <c r="E52" s="25">
        <f>SUMIFS('Daftar Koreksi'!$H$5:$H$92,'Daftar Koreksi'!$D$5:$D$92,'0800'!A48,'Daftar Koreksi'!$G$5:$G$92,"Tanah",'Daftar Koreksi'!$H$5:$H$92,"&gt;0")</f>
        <v>0</v>
      </c>
      <c r="F52" s="25">
        <f>SUMIFS('Daftar Koreksi'!$H$5:$H$92,'Daftar Koreksi'!$D$5:$D$92,'0800'!A48,'Daftar Koreksi'!$G$5:$G$92,"Tanah",'Daftar Koreksi'!$H$5:$H$92,"&lt;0")-SUMIFS('Daftar Koreksi'!$H$5:$H$92,'Daftar Koreksi'!$D$5:$D$92,'0800'!A48,'Daftar Koreksi'!$G$5:$G$92,"Tanah",'Daftar Koreksi'!$H$5:$H$92,"&lt;0")-SUMIFS('Daftar Koreksi'!$H$5:$H$92,'Daftar Koreksi'!$D$5:$D$92,'0800'!A48,'Daftar Koreksi'!$G$5:$G$92,"Tanah",'Daftar Koreksi'!$H$5:$H$92,"&lt;0")</f>
        <v>0</v>
      </c>
      <c r="G52" s="17">
        <f t="shared" ref="G52:G68" si="2">D52+E52-F52</f>
        <v>1109100000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1888978620</v>
      </c>
      <c r="E53" s="25">
        <f>SUMIFS('Daftar Koreksi'!$H$5:$H$92,'Daftar Koreksi'!$D$5:$D$92,'0800'!A48,'Daftar Koreksi'!$G$5:$G$92,"Peralatan dan mesin",'Daftar Koreksi'!$H$5:$H$92,"&gt;0")</f>
        <v>0</v>
      </c>
      <c r="F53" s="25">
        <f>SUMIFS('Daftar Koreksi'!$H$5:$H$92,'Daftar Koreksi'!$D$5:$D$92,'0800'!A48,'Daftar Koreksi'!$G$5:$G$92,"Peralatan dan mesin",'Daftar Koreksi'!$H$5:$H$92,"&lt;0")-SUMIFS('Daftar Koreksi'!$H$5:$H$92,'Daftar Koreksi'!$D$5:$D$92,'0800'!A48,'Daftar Koreksi'!$G$5:$G$92,"Peralatan dan mesin",'Daftar Koreksi'!$H$5:$H$92,"&lt;0")-SUMIFS('Daftar Koreksi'!$H$5:$H$92,'Daftar Koreksi'!$D$5:$D$92,'0800'!A48,'Daftar Koreksi'!$G$5:$G$92,"Peralatan dan mesin",'Daftar Koreksi'!$H$5:$H$92,"&lt;0")</f>
        <v>0</v>
      </c>
      <c r="G53" s="17">
        <f t="shared" si="2"/>
        <v>1888978620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1397170000</v>
      </c>
      <c r="E54" s="25">
        <f>SUMIFS('Daftar Koreksi'!$H$5:$H$92,'Daftar Koreksi'!$D$5:$D$92,'0800'!A48,'Daftar Koreksi'!$G$5:$G$92,"Gedung dan Bangunan",'Daftar Koreksi'!$H$5:$H$92,"&gt;0")</f>
        <v>0</v>
      </c>
      <c r="F54" s="25">
        <f>SUMIFS('Daftar Koreksi'!$H$5:$H$92,'Daftar Koreksi'!$D$5:$D$92,'0800'!A48,'Daftar Koreksi'!$G$5:$G$92,"Gedung dan Bangunan",'Daftar Koreksi'!$H$5:$H$92,"&lt;0")-SUMIFS('Daftar Koreksi'!$H$5:$H$92,'Daftar Koreksi'!$D$5:$D$92,'0800'!A48,'Daftar Koreksi'!$G$5:$G$92,"Gedung dan Bangunan",'Daftar Koreksi'!$H$5:$H$92,"&lt;0")-SUMIFS('Daftar Koreksi'!$H$5:$H$92,'Daftar Koreksi'!$D$5:$D$92,'0800'!A48,'Daftar Koreksi'!$G$5:$G$92,"Gedung dan Bangunan",'Daftar Koreksi'!$H$5:$H$92,"&lt;0")</f>
        <v>0</v>
      </c>
      <c r="G54" s="17">
        <f t="shared" si="2"/>
        <v>1397170000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Koreksi'!$D$5:$D$92,'0800'!A48,'Daftar Koreksi'!$G$5:$G$92,"Jalan Irigasi Jaringan",'Daftar Koreksi'!$H$5:$H$92,"&gt;0")</f>
        <v>0</v>
      </c>
      <c r="F55" s="25">
        <f>SUMIFS('Daftar Koreksi'!$H$5:$H$92,'Daftar Koreksi'!$D$5:$D$92,'0800'!A48,'Daftar Koreksi'!$G$5:$G$92,"Jalan Irigasi Jaringan",'Daftar Koreksi'!$H$5:$H$92,"&lt;0")-SUMIFS('Daftar Koreksi'!$H$5:$H$92,'Daftar Koreksi'!$D$5:$D$92,'0800'!A48,'Daftar Koreksi'!$G$5:$G$92,"Jalan Irigasi Jaringan",'Daftar Koreksi'!$H$5:$H$92,"&lt;0")-SUMIFS('Daftar Koreksi'!$H$5:$H$92,'Daftar Koreksi'!$D$5:$D$92,'0800'!A48,'Daftar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20461002</v>
      </c>
      <c r="E56" s="25">
        <f>SUMIFS('Daftar Koreksi'!$H$5:$H$92,'Daftar Koreksi'!$D$5:$D$92,'0800'!A48,'Daftar Koreksi'!$G$5:$G$92,"Aset Tetap Lainnya",'Daftar Koreksi'!$H$5:$H$92,"&gt;0")</f>
        <v>0</v>
      </c>
      <c r="F56" s="25">
        <f>SUMIFS('Daftar Koreksi'!$H$5:$H$92,'Daftar Koreksi'!$D$5:$D$92,'0800'!A48,'Daftar Koreksi'!$G$5:$G$92,"Aset Tetap Lainnya",'Daftar Koreksi'!$H$5:$H$92,"&lt;0")-SUMIFS('Daftar Koreksi'!$H$5:$H$92,'Daftar Koreksi'!$D$5:$D$92,'0800'!A48,'Daftar Koreksi'!$G$5:$G$92,"Aset Tetap Lainnya",'Daftar Koreksi'!$H$5:$H$92,"&lt;0")-SUMIFS('Daftar Koreksi'!$H$5:$H$92,'Daftar Koreksi'!$D$5:$D$92,'0800'!A48,'Daftar Koreksi'!$G$5:$G$92,"Aset Tetap Lainnya",'Daftar Koreksi'!$H$5:$H$92,"&lt;0")</f>
        <v>0</v>
      </c>
      <c r="G56" s="17">
        <f t="shared" si="2"/>
        <v>20461002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9961850594</v>
      </c>
      <c r="E57" s="25">
        <f>SUMIFS('Daftar Koreksi'!$H$5:$H$92,'Daftar Koreksi'!$D$5:$D$92,'0800'!A48,'Daftar Koreksi'!$G$5:$G$92,"Kontruksi Dalam Pengerjaan",'Daftar Koreksi'!$H$5:$H$92,"&gt;0")</f>
        <v>0</v>
      </c>
      <c r="F57" s="25">
        <f>SUMIFS('Daftar Koreksi'!$H$5:$H$92,'Daftar Koreksi'!$D$5:$D$92,'0800'!A48,'Daftar Koreksi'!$G$5:$G$92,"Kontruksi Dalam Pengerjaan",'Daftar Koreksi'!$H$5:$H$92,"&lt;0")-SUMIFS('Daftar Koreksi'!$H$5:$H$92,'Daftar Koreksi'!$D$5:$D$92,'0800'!A48,'Daftar Koreksi'!$G$5:$G$92,"Kontruksi Dalam Pengerjaan",'Daftar Koreksi'!$H$5:$H$92,"&lt;0")-SUMIFS('Daftar Koreksi'!$H$5:$H$92,'Daftar Koreksi'!$D$5:$D$92,'0800'!A48,'Daftar Koreksi'!$G$5:$G$92,"Kontruksi Dalam Pengerjaan",'Daftar Koreksi'!$H$5:$H$92,"&lt;0")</f>
        <v>0</v>
      </c>
      <c r="G57" s="17">
        <f t="shared" si="2"/>
        <v>9961850594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Koreksi'!$D$5:$D$92,'0800'!A48,'Daftar Koreksi'!$G$5:$G$92,"Aset Tak Berwujud",'Daftar Koreksi'!$H$5:$H$92,"&gt;0")</f>
        <v>0</v>
      </c>
      <c r="F58" s="25">
        <f>SUMIFS('Daftar Koreksi'!$H$5:$H$92,'Daftar Koreksi'!$D$5:$D$92,'0800'!A48,'Daftar Koreksi'!$G$5:$G$92,"Aset Tak Berwujud",'Daftar Koreksi'!$H$5:$H$92,"&lt;0")-SUMIFS('Daftar Koreksi'!$H$5:$H$92,'Daftar Koreksi'!$D$5:$D$92,'0800'!A48,'Daftar Koreksi'!$G$5:$G$92,"Aset Tak Berwujud",'Daftar Koreksi'!$H$5:$H$92,"&lt;0")-SUMIFS('Daftar Koreksi'!$H$5:$H$92,'Daftar Koreksi'!$D$5:$D$92,'0800'!A48,'Daftar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1055647600</v>
      </c>
      <c r="E59" s="25">
        <f>SUMIFS('Daftar Koreksi'!$H$5:$H$92,'Daftar Koreksi'!$D$5:$D$92,'0800'!A48,'Daftar Koreksi'!$G$5:$G$92,"Aset Henti Guna",'Daftar Koreksi'!$H$5:$H$92,"&gt;0")</f>
        <v>0</v>
      </c>
      <c r="F59" s="25">
        <f>SUMIFS('Daftar Koreksi'!$H$5:$H$92,'Daftar Koreksi'!$D$5:$D$92,'0800'!A48,'Daftar Koreksi'!$G$5:$G$92,"Aset Henti Guna",'Daftar Koreksi'!$H$5:$H$92,"&lt;0")-SUMIFS('Daftar Koreksi'!$H$5:$H$92,'Daftar Koreksi'!$D$5:$D$92,'0800'!A48,'Daftar Koreksi'!$G$5:$G$92,"Aset Henti Guna",'Daftar Koreksi'!$H$5:$H$92,"&lt;0")-SUMIFS('Daftar Koreksi'!$H$5:$H$92,'Daftar Koreksi'!$D$5:$D$92,'0800'!A48,'Daftar Koreksi'!$G$5:$G$92,"Aset Henti Guna",'Daftar Koreksi'!$H$5:$H$92,"&lt;0")</f>
        <v>0</v>
      </c>
      <c r="G59" s="17">
        <f t="shared" si="2"/>
        <v>1055647600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15433984238</v>
      </c>
      <c r="E60" s="19">
        <f>SUM(E51:E59)</f>
        <v>0</v>
      </c>
      <c r="F60" s="19">
        <f>SUM(F51:F59)</f>
        <v>0</v>
      </c>
      <c r="G60" s="19">
        <f t="shared" si="2"/>
        <v>15433984238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-1487681637</v>
      </c>
      <c r="E61" s="25">
        <f>SUMIFS('Daftar Koreksi'!$I$5:$I$92,'Daftar Koreksi'!$D$5:$D$92,'0800'!A48,'Daftar Koreksi'!$G$5:$G$92,"Peralatan dan mesin",'Daftar Koreksi'!$I$5:$I$92,"&gt;0")</f>
        <v>0</v>
      </c>
      <c r="F61" s="25">
        <f>SUMIFS('Daftar Koreksi'!$I$5:$I$92,'Daftar Koreksi'!$D$5:$D$92,'0800'!A48,'Daftar Koreksi'!$G$5:$G$92,"Peralatan dan mesin",'Daftar Koreksi'!$I$5:$I$92,"&lt;0")-SUMIFS('Daftar Koreksi'!$I$5:$I$92,'Daftar Koreksi'!$D$5:$D$92,'0800'!A48,'Daftar Koreksi'!$G$5:$G$92,"Peralatan dan mesin",'Daftar Koreksi'!$I$5:$I$92,"&lt;0")-SUMIFS('Daftar Koreksi'!$I$5:$I$92,'Daftar Koreksi'!$D$5:$D$92,'0800'!A48,'Daftar Koreksi'!$G$5:$G$92,"Peralatan dan mesin",'Daftar Koreksi'!$I$5:$I$92,"&lt;0")</f>
        <v>0</v>
      </c>
      <c r="G61" s="17">
        <f t="shared" si="2"/>
        <v>-1487681637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-844065880</v>
      </c>
      <c r="E62" s="25">
        <f>SUMIFS('Daftar Koreksi'!$I$5:$I$92,'Daftar Koreksi'!$D$5:$D$92,'0800'!A48,'Daftar Koreksi'!$G$5:$G$92,"Gedung dan Bangunan",'Daftar Koreksi'!$I$5:$I$92,"&gt;0")</f>
        <v>0</v>
      </c>
      <c r="F62" s="25">
        <f>SUMIFS('Daftar Koreksi'!$I$5:$I$92,'Daftar Koreksi'!$D$5:$D$92,'0800'!A48,'Daftar Koreksi'!$G$5:$G$92,"Gedung dan Bangunan",'Daftar Koreksi'!$I$5:$I$92,"&lt;0")-SUMIFS('Daftar Koreksi'!$I$5:$I$92,'Daftar Koreksi'!$D$5:$D$92,'0800'!A48,'Daftar Koreksi'!$G$5:$G$92,"Gedung dan Bangunan",'Daftar Koreksi'!$I$5:$I$92,"&lt;0")-SUMIFS('Daftar Koreksi'!$I$5:$I$92,'Daftar Koreksi'!$D$5:$D$92,'0800'!A48,'Daftar Koreksi'!$G$5:$G$92,"Gedung dan Bangunan",'Daftar Koreksi'!$I$5:$I$92,"&lt;0")</f>
        <v>0</v>
      </c>
      <c r="G62" s="17">
        <f t="shared" si="2"/>
        <v>-844065880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Koreksi'!$D$5:$D$92,'0800'!A48,'Daftar Koreksi'!$G$5:$G$92,"Jalan Irigasi Jaringan",'Daftar Koreksi'!$I$5:$I$92,"&gt;0")</f>
        <v>0</v>
      </c>
      <c r="F63" s="25">
        <f>SUMIFS('Daftar Koreksi'!$I$5:$I$92,'Daftar Koreksi'!$D$5:$D$92,'0800'!A48,'Daftar Koreksi'!$G$5:$G$92,"Jalan Irigasi Jaringan",'Daftar Koreksi'!$I$5:$I$92,"&lt;0")-SUMIFS('Daftar Koreksi'!$I$5:$I$92,'Daftar Koreksi'!$D$5:$D$92,'0800'!A48,'Daftar Koreksi'!$G$5:$G$92,"Jalan Irigasi Jaringan",'Daftar Koreksi'!$I$5:$I$92,"&lt;0")-SUMIFS('Daftar Koreksi'!$I$5:$I$92,'Daftar Koreksi'!$D$5:$D$92,'0800'!A48,'Daftar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Koreksi'!$D$5:$D$92,'0800'!A48,'Daftar Koreksi'!$G$5:$G$92,"Aset Tetap Lainnya",'Daftar Koreksi'!$I$5:$I$92,"&gt;0")</f>
        <v>0</v>
      </c>
      <c r="F64" s="25">
        <f>SUMIFS('Daftar Koreksi'!$I$5:$I$92,'Daftar Koreksi'!$D$5:$D$92,'0800'!A48,'Daftar Koreksi'!$G$5:$G$92,"Aset Tetap Lainnya",'Daftar Koreksi'!$I$5:$I$92,"&lt;0")-SUMIFS('Daftar Koreksi'!$I$5:$I$92,'Daftar Koreksi'!$D$5:$D$92,'0800'!A48,'Daftar Koreksi'!$G$5:$G$92,"Aset Tetap Lainnya",'Daftar Koreksi'!$I$5:$I$92,"&lt;0")-SUMIFS('Daftar Koreksi'!$I$5:$I$92,'Daftar Koreksi'!$D$5:$D$92,'0800'!A48,'Daftar Koreksi'!$G$5:$G$92,"Aset Tetap Lainnya",'Daftar Koreksi'!$I$5:$I$92,"&lt;0")</f>
        <v>0</v>
      </c>
      <c r="G64" s="17">
        <f t="shared" si="2"/>
        <v>0</v>
      </c>
      <c r="H64" s="122"/>
    </row>
    <row r="65" spans="1:10" ht="21.95" customHeight="1">
      <c r="A65" s="14"/>
      <c r="B65" s="14"/>
      <c r="C65" s="16" t="s">
        <v>2020</v>
      </c>
      <c r="D65" s="17">
        <f>VLOOKUP(A48,'Neraca Unaudited SIMAK'!$A$2:$S$10004,17,FALSE)</f>
        <v>-509170075</v>
      </c>
      <c r="E65" s="25">
        <f>SUMIFS('Daftar Koreksi'!$I$5:$I$92,'Daftar Koreksi'!$D$5:$D$92,'0800'!A48,'Daftar Koreksi'!$G$5:$G$92,"Aset Henti Guna",'Daftar Koreksi'!$I$5:$I$92,"&gt;0")</f>
        <v>0</v>
      </c>
      <c r="F65" s="25">
        <f>SUMIFS('Daftar Koreksi'!$I$5:$I$92,'Daftar Koreksi'!$D$5:$D$92,'0800'!A48,'Daftar Koreksi'!$G$5:$G$92,"Aset Henti Guna",'Daftar Koreksi'!$I$5:$I$92,"&lt;0")-SUMIFS('Daftar Koreksi'!$I$5:$I$92,'Daftar Koreksi'!$D$5:$D$92,'0800'!A48,'Daftar Koreksi'!$G$5:$G$92,"Aset Henti Guna",'Daftar Koreksi'!$I$5:$I$92,"&lt;0")-SUMIFS('Daftar Koreksi'!$I$5:$I$92,'Daftar Koreksi'!$D$5:$D$92,'0800'!A48,'Daftar Koreksi'!$G$5:$G$92,"Aset Henti Guna",'Daftar Koreksi'!$I$5:$I$92,"&lt;0")</f>
        <v>0</v>
      </c>
      <c r="G65" s="17">
        <f t="shared" si="2"/>
        <v>-509170075</v>
      </c>
      <c r="H65" s="122"/>
    </row>
    <row r="66" spans="1:10" ht="21.95" customHeight="1">
      <c r="A66" s="14"/>
      <c r="B66" s="14"/>
      <c r="C66" s="18" t="s">
        <v>2094</v>
      </c>
      <c r="D66" s="19">
        <f>SUM(D61:D65)</f>
        <v>-2840917592</v>
      </c>
      <c r="E66" s="19">
        <f>SUM(E61:E65)</f>
        <v>0</v>
      </c>
      <c r="F66" s="19">
        <f>SUM(F61:F65)</f>
        <v>0</v>
      </c>
      <c r="G66" s="19">
        <f t="shared" si="2"/>
        <v>-2840917592</v>
      </c>
      <c r="H66" s="122"/>
    </row>
    <row r="67" spans="1:10" ht="21.95" customHeight="1">
      <c r="A67" s="14"/>
      <c r="B67" s="14"/>
      <c r="C67" s="18" t="s">
        <v>2095</v>
      </c>
      <c r="D67" s="19">
        <f>VLOOKUP(A48,'Neraca Unaudited SIMAK'!$A$2:$S$10004,18,FALSE)</f>
        <v>12593066646</v>
      </c>
      <c r="E67" s="19">
        <f>E66+E60</f>
        <v>0</v>
      </c>
      <c r="F67" s="19">
        <f>F66+F60</f>
        <v>0</v>
      </c>
      <c r="G67" s="19">
        <f t="shared" si="2"/>
        <v>12593066646</v>
      </c>
      <c r="H67" s="122"/>
    </row>
    <row r="68" spans="1:10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10" ht="19.5" customHeight="1">
      <c r="A70" s="11" t="str">
        <f>O4</f>
        <v>005010800098771000KD</v>
      </c>
      <c r="B70" s="11" t="str">
        <f>P4</f>
        <v>PN. Batu Sangkar</v>
      </c>
      <c r="C70" s="12" t="str">
        <f>A70&amp;" "&amp;B70</f>
        <v>005010800098771000KD PN. Batu Sangkar</v>
      </c>
      <c r="D70" s="13"/>
      <c r="E70" s="13"/>
      <c r="F70" s="13"/>
      <c r="G70" s="13"/>
      <c r="H70" s="11"/>
    </row>
    <row r="71" spans="1:10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10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10" ht="21.95" customHeight="1">
      <c r="A73" s="14"/>
      <c r="B73" s="14"/>
      <c r="C73" s="16" t="s">
        <v>1165</v>
      </c>
      <c r="D73" s="17">
        <f>VLOOKUP(A70,'Neraca Unaudited SIMAK'!$A$2:$S$10004,3,FALSE)</f>
        <v>5676100</v>
      </c>
      <c r="E73" s="25">
        <f>SUMIFS('Daftar Koreksi'!$H$5:$H$92,'Daftar Koreksi'!$D$5:$D$92,'0800'!A70,'Daftar Koreksi'!$G$5:$G$92,"Persediaan",'Daftar Koreksi'!$H$5:$H$92,"&gt;0")</f>
        <v>0</v>
      </c>
      <c r="F73" s="25">
        <f>SUMIFS('Daftar Koreksi'!$H$5:$H$92,'Daftar Koreksi'!$D$5:$D$92,'0800'!A70,'Daftar Koreksi'!$G$5:$G$92,"Persediaan",'Daftar Koreksi'!$H$5:$H$92,"&lt;0")-SUMIFS('Daftar Koreksi'!$H$5:$H$92,'Daftar Koreksi'!$D$5:$D$92,'0800'!A70,'Daftar Koreksi'!$G$5:$G$92,"Persediaan",'Daftar Koreksi'!$H$5:$H$92,"&lt;0")-SUMIFS('Daftar Koreksi'!$H$5:$H$92,'Daftar Koreksi'!$D$5:$D$92,'0800'!A70,'Daftar Koreksi'!$G$5:$G$92,"Persediaan",'Daftar Koreksi'!$H$5:$H$92,"&lt;0")</f>
        <v>0</v>
      </c>
      <c r="G73" s="17">
        <f>D73+E73-F73</f>
        <v>5676100</v>
      </c>
      <c r="H73" s="121" t="str">
        <f>IF(ISNA(VLOOKUP(A70,'Mutasi Neraca'!$A$3:$S$914,19,FALSE)),"-",VLOOKUP(A70,'Mutasi Neraca'!$A$3:$S$914,19,FALSE))</f>
        <v>-</v>
      </c>
      <c r="I73" s="28"/>
      <c r="J73" s="28"/>
    </row>
    <row r="74" spans="1:10" ht="21.95" customHeight="1">
      <c r="A74" s="14"/>
      <c r="B74" s="14"/>
      <c r="C74" s="16" t="s">
        <v>1166</v>
      </c>
      <c r="D74" s="17">
        <f>VLOOKUP(A70,'Neraca Unaudited SIMAK'!$A$2:$S$10004,4,FALSE)</f>
        <v>1889796620</v>
      </c>
      <c r="E74" s="25">
        <f>SUMIFS('Daftar Koreksi'!$H$5:$H$92,'Daftar Koreksi'!$D$5:$D$92,'0800'!A70,'Daftar Koreksi'!$G$5:$G$92,"Tanah",'Daftar Koreksi'!$H$5:$H$92,"&gt;0")</f>
        <v>0</v>
      </c>
      <c r="F74" s="25">
        <f>SUMIFS('Daftar Koreksi'!$H$5:$H$92,'Daftar Koreksi'!$D$5:$D$92,'0800'!A70,'Daftar Koreksi'!$G$5:$G$92,"Tanah",'Daftar Koreksi'!$H$5:$H$92,"&lt;0")-SUMIFS('Daftar Koreksi'!$H$5:$H$92,'Daftar Koreksi'!$D$5:$D$92,'0800'!A70,'Daftar Koreksi'!$G$5:$G$92,"Tanah",'Daftar Koreksi'!$H$5:$H$92,"&lt;0")-SUMIFS('Daftar Koreksi'!$H$5:$H$92,'Daftar Koreksi'!$D$5:$D$92,'0800'!A70,'Daftar Koreksi'!$G$5:$G$92,"Tanah",'Daftar Koreksi'!$H$5:$H$92,"&lt;0")</f>
        <v>0</v>
      </c>
      <c r="G74" s="17">
        <f t="shared" ref="G74:G90" si="3">D74+E74-F74</f>
        <v>1889796620</v>
      </c>
      <c r="H74" s="122"/>
      <c r="I74" s="28"/>
      <c r="J74" s="28"/>
    </row>
    <row r="75" spans="1:10" ht="21.95" customHeight="1">
      <c r="A75" s="14"/>
      <c r="B75" s="14"/>
      <c r="C75" s="16" t="s">
        <v>1167</v>
      </c>
      <c r="D75" s="17">
        <f>VLOOKUP(A70,'Neraca Unaudited SIMAK'!$A$2:$S$10004,5,FALSE)</f>
        <v>1764471217</v>
      </c>
      <c r="E75" s="25">
        <f>SUMIFS('Daftar Koreksi'!$H$5:$H$92,'Daftar Koreksi'!$D$5:$D$92,'0800'!A70,'Daftar Koreksi'!$G$5:$G$92,"Peralatan dan mesin",'Daftar Koreksi'!$H$5:$H$92,"&gt;0")</f>
        <v>0</v>
      </c>
      <c r="F75" s="25">
        <f>SUMIFS('Daftar Koreksi'!$H$5:$H$92,'Daftar Koreksi'!$D$5:$D$92,'0800'!A70,'Daftar Koreksi'!$G$5:$G$92,"Peralatan dan mesin",'Daftar Koreksi'!$H$5:$H$92,"&lt;0")-SUMIFS('Daftar Koreksi'!$H$5:$H$92,'Daftar Koreksi'!$D$5:$D$92,'0800'!A70,'Daftar Koreksi'!$G$5:$G$92,"Peralatan dan mesin",'Daftar Koreksi'!$H$5:$H$92,"&lt;0")-SUMIFS('Daftar Koreksi'!$H$5:$H$92,'Daftar Koreksi'!$D$5:$D$92,'0800'!A70,'Daftar Koreksi'!$G$5:$G$92,"Peralatan dan mesin",'Daftar Koreksi'!$H$5:$H$92,"&lt;0")</f>
        <v>0</v>
      </c>
      <c r="G75" s="17">
        <f t="shared" si="3"/>
        <v>1764471217</v>
      </c>
      <c r="H75" s="122"/>
      <c r="I75" s="28"/>
      <c r="J75" s="28"/>
    </row>
    <row r="76" spans="1:10" ht="21.95" customHeight="1">
      <c r="A76" s="14"/>
      <c r="B76" s="14"/>
      <c r="C76" s="16" t="s">
        <v>1168</v>
      </c>
      <c r="D76" s="17">
        <f>VLOOKUP(A70,'Neraca Unaudited SIMAK'!$A$2:$S$10004,6,FALSE)</f>
        <v>3315210758</v>
      </c>
      <c r="E76" s="25">
        <f>SUMIFS('Daftar Koreksi'!$H$5:$H$92,'Daftar Koreksi'!$D$5:$D$92,'0800'!A70,'Daftar Koreksi'!$G$5:$G$92,"Gedung dan Bangunan",'Daftar Koreksi'!$H$5:$H$92,"&gt;0")</f>
        <v>0</v>
      </c>
      <c r="F76" s="25">
        <f>SUMIFS('Daftar Koreksi'!$H$5:$H$92,'Daftar Koreksi'!$D$5:$D$92,'0800'!A70,'Daftar Koreksi'!$G$5:$G$92,"Gedung dan Bangunan",'Daftar Koreksi'!$H$5:$H$92,"&lt;0")-SUMIFS('Daftar Koreksi'!$H$5:$H$92,'Daftar Koreksi'!$D$5:$D$92,'0800'!A70,'Daftar Koreksi'!$G$5:$G$92,"Gedung dan Bangunan",'Daftar Koreksi'!$H$5:$H$92,"&lt;0")-SUMIFS('Daftar Koreksi'!$H$5:$H$92,'Daftar Koreksi'!$D$5:$D$92,'0800'!A70,'Daftar Koreksi'!$G$5:$G$92,"Gedung dan Bangunan",'Daftar Koreksi'!$H$5:$H$92,"&lt;0")</f>
        <v>0</v>
      </c>
      <c r="G76" s="17">
        <f t="shared" si="3"/>
        <v>3315210758</v>
      </c>
      <c r="H76" s="122"/>
      <c r="I76" s="28"/>
      <c r="J76" s="28"/>
    </row>
    <row r="77" spans="1:10" ht="21.95" customHeight="1">
      <c r="A77" s="14"/>
      <c r="B77" s="14"/>
      <c r="C77" s="16" t="s">
        <v>1169</v>
      </c>
      <c r="D77" s="17">
        <f>VLOOKUP(A70,'Neraca Unaudited SIMAK'!$A$2:$S$10004,7,FALSE)</f>
        <v>24500000</v>
      </c>
      <c r="E77" s="25">
        <f>SUMIFS('Daftar Koreksi'!$H$5:$H$92,'Daftar Koreksi'!$D$5:$D$92,'0800'!A70,'Daftar Koreksi'!$G$5:$G$92,"Jalan Irigasi Jaringan",'Daftar Koreksi'!$H$5:$H$92,"&gt;0")</f>
        <v>0</v>
      </c>
      <c r="F77" s="25">
        <f>SUMIFS('Daftar Koreksi'!$H$5:$H$92,'Daftar Koreksi'!$D$5:$D$92,'0800'!A70,'Daftar Koreksi'!$G$5:$G$92,"Jalan Irigasi Jaringan",'Daftar Koreksi'!$H$5:$H$92,"&lt;0")-SUMIFS('Daftar Koreksi'!$H$5:$H$92,'Daftar Koreksi'!$D$5:$D$92,'0800'!A70,'Daftar Koreksi'!$G$5:$G$92,"Jalan Irigasi Jaringan",'Daftar Koreksi'!$H$5:$H$92,"&lt;0")-SUMIFS('Daftar Koreksi'!$H$5:$H$92,'Daftar Koreksi'!$D$5:$D$92,'0800'!A70,'Daftar Koreksi'!$G$5:$G$92,"Jalan Irigasi Jaringan",'Daftar Koreksi'!$H$5:$H$92,"&lt;0")</f>
        <v>0</v>
      </c>
      <c r="G77" s="17">
        <f t="shared" si="3"/>
        <v>24500000</v>
      </c>
      <c r="H77" s="122"/>
      <c r="I77" s="28"/>
      <c r="J77" s="28"/>
    </row>
    <row r="78" spans="1:10" ht="21.95" customHeight="1">
      <c r="A78" s="14"/>
      <c r="B78" s="14"/>
      <c r="C78" s="16" t="s">
        <v>1170</v>
      </c>
      <c r="D78" s="17">
        <f>VLOOKUP(A70,'Neraca Unaudited SIMAK'!$A$2:$S$10004,8,FALSE)</f>
        <v>53587002</v>
      </c>
      <c r="E78" s="25">
        <f>SUMIFS('Daftar Koreksi'!$H$5:$H$92,'Daftar Koreksi'!$D$5:$D$92,'0800'!A70,'Daftar Koreksi'!$G$5:$G$92,"Aset Tetap Lainnya",'Daftar Koreksi'!$H$5:$H$92,"&gt;0")</f>
        <v>0</v>
      </c>
      <c r="F78" s="25">
        <f>SUMIFS('Daftar Koreksi'!$H$5:$H$92,'Daftar Koreksi'!$D$5:$D$92,'0800'!A70,'Daftar Koreksi'!$G$5:$G$92,"Aset Tetap Lainnya",'Daftar Koreksi'!$H$5:$H$92,"&lt;0")-SUMIFS('Daftar Koreksi'!$H$5:$H$92,'Daftar Koreksi'!$D$5:$D$92,'0800'!A70,'Daftar Koreksi'!$G$5:$G$92,"Aset Tetap Lainnya",'Daftar Koreksi'!$H$5:$H$92,"&lt;0")-SUMIFS('Daftar Koreksi'!$H$5:$H$92,'Daftar Koreksi'!$D$5:$D$92,'0800'!A70,'Daftar Koreksi'!$G$5:$G$92,"Aset Tetap Lainnya",'Daftar Koreksi'!$H$5:$H$92,"&lt;0")</f>
        <v>0</v>
      </c>
      <c r="G78" s="17">
        <f t="shared" si="3"/>
        <v>53587002</v>
      </c>
      <c r="H78" s="122"/>
      <c r="I78" s="28"/>
      <c r="J78" s="28"/>
    </row>
    <row r="79" spans="1:10" ht="21.95" customHeight="1">
      <c r="A79" s="14"/>
      <c r="B79" s="14"/>
      <c r="C79" s="16" t="s">
        <v>1171</v>
      </c>
      <c r="D79" s="17">
        <f>VLOOKUP(A70,'Neraca Unaudited SIMAK'!$A$2:$S$10004,9,FALSE)</f>
        <v>8679162020</v>
      </c>
      <c r="E79" s="25">
        <f>SUMIFS('Daftar Koreksi'!$H$5:$H$92,'Daftar Koreksi'!$D$5:$D$92,'0800'!A70,'Daftar Koreksi'!$G$5:$G$92,"Kontruksi Dalam Pengerjaan",'Daftar Koreksi'!$H$5:$H$92,"&gt;0")</f>
        <v>0</v>
      </c>
      <c r="F79" s="25">
        <f>SUMIFS('Daftar Koreksi'!$H$5:$H$92,'Daftar Koreksi'!$D$5:$D$92,'0800'!A70,'Daftar Koreksi'!$G$5:$G$92,"Kontruksi Dalam Pengerjaan",'Daftar Koreksi'!$H$5:$H$92,"&lt;0")-SUMIFS('Daftar Koreksi'!$H$5:$H$92,'Daftar Koreksi'!$D$5:$D$92,'0800'!A70,'Daftar Koreksi'!$G$5:$G$92,"Kontruksi Dalam Pengerjaan",'Daftar Koreksi'!$H$5:$H$92,"&lt;0")-SUMIFS('Daftar Koreksi'!$H$5:$H$92,'Daftar Koreksi'!$D$5:$D$92,'0800'!A70,'Daftar Koreksi'!$G$5:$G$92,"Kontruksi Dalam Pengerjaan",'Daftar Koreksi'!$H$5:$H$92,"&lt;0")</f>
        <v>0</v>
      </c>
      <c r="G79" s="17">
        <f t="shared" si="3"/>
        <v>8679162020</v>
      </c>
      <c r="H79" s="122"/>
      <c r="I79" s="28"/>
      <c r="J79" s="28"/>
    </row>
    <row r="80" spans="1:10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Koreksi'!$D$5:$D$92,'0800'!A70,'Daftar Koreksi'!$G$5:$G$92,"Aset Tak Berwujud",'Daftar Koreksi'!$H$5:$H$92,"&gt;0")</f>
        <v>0</v>
      </c>
      <c r="F80" s="25">
        <f>SUMIFS('Daftar Koreksi'!$H$5:$H$92,'Daftar Koreksi'!$D$5:$D$92,'0800'!A70,'Daftar Koreksi'!$G$5:$G$92,"Aset Tak Berwujud",'Daftar Koreksi'!$H$5:$H$92,"&lt;0")-SUMIFS('Daftar Koreksi'!$H$5:$H$92,'Daftar Koreksi'!$D$5:$D$92,'0800'!A70,'Daftar Koreksi'!$G$5:$G$92,"Aset Tak Berwujud",'Daftar Koreksi'!$H$5:$H$92,"&lt;0")-SUMIFS('Daftar Koreksi'!$H$5:$H$92,'Daftar Koreksi'!$D$5:$D$92,'0800'!A70,'Daftar Koreksi'!$G$5:$G$92,"Aset Tak Berwujud",'Daftar Koreksi'!$H$5:$H$92,"&lt;0")</f>
        <v>0</v>
      </c>
      <c r="G80" s="17">
        <f t="shared" si="3"/>
        <v>0</v>
      </c>
      <c r="H80" s="122"/>
      <c r="I80" s="28"/>
      <c r="J80" s="28"/>
    </row>
    <row r="81" spans="1:10" ht="21.95" customHeight="1">
      <c r="A81" s="14"/>
      <c r="B81" s="14"/>
      <c r="C81" s="16" t="s">
        <v>1173</v>
      </c>
      <c r="D81" s="17">
        <f>VLOOKUP(A70,'Neraca Unaudited SIMAK'!$A$2:$S$10004,11,FALSE)</f>
        <v>7625000</v>
      </c>
      <c r="E81" s="25">
        <f>SUMIFS('Daftar Koreksi'!$H$5:$H$92,'Daftar Koreksi'!$D$5:$D$92,'0800'!A70,'Daftar Koreksi'!$G$5:$G$92,"Aset Henti Guna",'Daftar Koreksi'!$H$5:$H$92,"&gt;0")</f>
        <v>0</v>
      </c>
      <c r="F81" s="25">
        <f>SUMIFS('Daftar Koreksi'!$H$5:$H$92,'Daftar Koreksi'!$D$5:$D$92,'0800'!A70,'Daftar Koreksi'!$G$5:$G$92,"Aset Henti Guna",'Daftar Koreksi'!$H$5:$H$92,"&lt;0")-SUMIFS('Daftar Koreksi'!$H$5:$H$92,'Daftar Koreksi'!$D$5:$D$92,'0800'!A70,'Daftar Koreksi'!$G$5:$G$92,"Aset Henti Guna",'Daftar Koreksi'!$H$5:$H$92,"&lt;0")-SUMIFS('Daftar Koreksi'!$H$5:$H$92,'Daftar Koreksi'!$D$5:$D$92,'0800'!A70,'Daftar Koreksi'!$G$5:$G$92,"Aset Henti Guna",'Daftar Koreksi'!$H$5:$H$92,"&lt;0")</f>
        <v>0</v>
      </c>
      <c r="G81" s="17">
        <f t="shared" si="3"/>
        <v>7625000</v>
      </c>
      <c r="H81" s="122"/>
      <c r="I81" s="28"/>
      <c r="J81" s="28"/>
    </row>
    <row r="82" spans="1:10" ht="21.95" customHeight="1">
      <c r="A82" s="14"/>
      <c r="B82" s="14"/>
      <c r="C82" s="18" t="s">
        <v>2093</v>
      </c>
      <c r="D82" s="19">
        <f>VLOOKUP(A70,'Neraca Unaudited SIMAK'!$A$2:$S$10004,12,FALSE)</f>
        <v>15740028717</v>
      </c>
      <c r="E82" s="19">
        <f>SUM(E73:E81)</f>
        <v>0</v>
      </c>
      <c r="F82" s="19">
        <f>SUM(F73:F81)</f>
        <v>0</v>
      </c>
      <c r="G82" s="19">
        <f t="shared" si="3"/>
        <v>15740028717</v>
      </c>
      <c r="H82" s="122"/>
      <c r="I82" s="28"/>
      <c r="J82" s="28"/>
    </row>
    <row r="83" spans="1:10" ht="21.95" customHeight="1">
      <c r="A83" s="14"/>
      <c r="B83" s="14"/>
      <c r="C83" s="16" t="s">
        <v>2087</v>
      </c>
      <c r="D83" s="17">
        <f>VLOOKUP(A70,'Neraca Unaudited SIMAK'!$A$2:$S$10004,13,FALSE)</f>
        <v>-1560509096</v>
      </c>
      <c r="E83" s="25">
        <f>SUMIFS('Daftar Koreksi'!$I$5:$I$92,'Daftar Koreksi'!$D$5:$D$92,'0800'!A70,'Daftar Koreksi'!$G$5:$G$92,"Peralatan dan mesin",'Daftar Koreksi'!$I$5:$I$92,"&gt;0")</f>
        <v>0</v>
      </c>
      <c r="F83" s="25">
        <f>SUMIFS('Daftar Koreksi'!$I$5:$I$92,'Daftar Koreksi'!$D$5:$D$92,'0800'!A70,'Daftar Koreksi'!$G$5:$G$92,"Peralatan dan mesin",'Daftar Koreksi'!$I$5:$I$92,"&lt;0")-SUMIFS('Daftar Koreksi'!$I$5:$I$92,'Daftar Koreksi'!$D$5:$D$92,'0800'!A70,'Daftar Koreksi'!$G$5:$G$92,"Peralatan dan mesin",'Daftar Koreksi'!$I$5:$I$92,"&lt;0")-SUMIFS('Daftar Koreksi'!$I$5:$I$92,'Daftar Koreksi'!$D$5:$D$92,'0800'!A70,'Daftar Koreksi'!$G$5:$G$92,"Peralatan dan mesin",'Daftar Koreksi'!$I$5:$I$92,"&lt;0")</f>
        <v>0</v>
      </c>
      <c r="G83" s="17">
        <f t="shared" si="3"/>
        <v>-1560509096</v>
      </c>
      <c r="H83" s="122"/>
      <c r="I83" s="28"/>
      <c r="J83" s="28"/>
    </row>
    <row r="84" spans="1:10" ht="21.95" customHeight="1">
      <c r="A84" s="14"/>
      <c r="B84" s="14"/>
      <c r="C84" s="16" t="s">
        <v>2088</v>
      </c>
      <c r="D84" s="17">
        <f>VLOOKUP(A70,'Neraca Unaudited SIMAK'!$A$2:$S$10004,14,FALSE)</f>
        <v>-757014934</v>
      </c>
      <c r="E84" s="25">
        <f>SUMIFS('Daftar Koreksi'!$I$5:$I$92,'Daftar Koreksi'!$D$5:$D$92,'0800'!A70,'Daftar Koreksi'!$G$5:$G$92,"Gedung dan Bangunan",'Daftar Koreksi'!$I$5:$I$92,"&gt;0")</f>
        <v>0</v>
      </c>
      <c r="F84" s="25">
        <f>SUMIFS('Daftar Koreksi'!$I$5:$I$92,'Daftar Koreksi'!$D$5:$D$92,'0800'!A70,'Daftar Koreksi'!$G$5:$G$92,"Gedung dan Bangunan",'Daftar Koreksi'!$I$5:$I$92,"&lt;0")-SUMIFS('Daftar Koreksi'!$I$5:$I$92,'Daftar Koreksi'!$D$5:$D$92,'0800'!A70,'Daftar Koreksi'!$G$5:$G$92,"Gedung dan Bangunan",'Daftar Koreksi'!$I$5:$I$92,"&lt;0")-SUMIFS('Daftar Koreksi'!$I$5:$I$92,'Daftar Koreksi'!$D$5:$D$92,'0800'!A70,'Daftar Koreksi'!$G$5:$G$92,"Gedung dan Bangunan",'Daftar Koreksi'!$I$5:$I$92,"&lt;0")</f>
        <v>0</v>
      </c>
      <c r="G84" s="17">
        <f t="shared" si="3"/>
        <v>-757014934</v>
      </c>
      <c r="H84" s="122"/>
      <c r="I84" s="28"/>
      <c r="J84" s="28"/>
    </row>
    <row r="85" spans="1:10" ht="21.95" customHeight="1">
      <c r="A85" s="14"/>
      <c r="B85" s="14"/>
      <c r="C85" s="16" t="s">
        <v>2089</v>
      </c>
      <c r="D85" s="17">
        <f>VLOOKUP(A70,'Neraca Unaudited SIMAK'!$A$2:$S$10004,15,FALSE)</f>
        <v>-4593750</v>
      </c>
      <c r="E85" s="25">
        <f>SUMIFS('Daftar Koreksi'!$I$5:$I$92,'Daftar Koreksi'!$D$5:$D$92,'0800'!A70,'Daftar Koreksi'!$G$5:$G$92,"Jalan Irigasi Jaringan",'Daftar Koreksi'!$I$5:$I$92,"&gt;0")</f>
        <v>0</v>
      </c>
      <c r="F85" s="25">
        <f>SUMIFS('Daftar Koreksi'!$I$5:$I$92,'Daftar Koreksi'!$D$5:$D$92,'0800'!A70,'Daftar Koreksi'!$G$5:$G$92,"Jalan Irigasi Jaringan",'Daftar Koreksi'!$I$5:$I$92,"&lt;0")-SUMIFS('Daftar Koreksi'!$I$5:$I$92,'Daftar Koreksi'!$D$5:$D$92,'0800'!A70,'Daftar Koreksi'!$G$5:$G$92,"Jalan Irigasi Jaringan",'Daftar Koreksi'!$I$5:$I$92,"&lt;0")-SUMIFS('Daftar Koreksi'!$I$5:$I$92,'Daftar Koreksi'!$D$5:$D$92,'0800'!A70,'Daftar Koreksi'!$G$5:$G$92,"Jalan Irigasi Jaringan",'Daftar Koreksi'!$I$5:$I$92,"&lt;0")</f>
        <v>0</v>
      </c>
      <c r="G85" s="17">
        <f t="shared" si="3"/>
        <v>-4593750</v>
      </c>
      <c r="H85" s="122"/>
      <c r="I85" s="28"/>
      <c r="J85" s="28"/>
    </row>
    <row r="86" spans="1:10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Koreksi'!$D$5:$D$92,'0800'!A70,'Daftar Koreksi'!$G$5:$G$92,"Aset Tetap Lainnya",'Daftar Koreksi'!$I$5:$I$92,"&gt;0")</f>
        <v>0</v>
      </c>
      <c r="F86" s="25">
        <f>SUMIFS('Daftar Koreksi'!$I$5:$I$92,'Daftar Koreksi'!$D$5:$D$92,'0800'!A70,'Daftar Koreksi'!$G$5:$G$92,"Aset Tetap Lainnya",'Daftar Koreksi'!$I$5:$I$92,"&lt;0")-SUMIFS('Daftar Koreksi'!$I$5:$I$92,'Daftar Koreksi'!$D$5:$D$92,'0800'!A70,'Daftar Koreksi'!$G$5:$G$92,"Aset Tetap Lainnya",'Daftar Koreksi'!$I$5:$I$92,"&lt;0")-SUMIFS('Daftar Koreksi'!$I$5:$I$92,'Daftar Koreksi'!$D$5:$D$92,'0800'!A70,'Daftar Koreksi'!$G$5:$G$92,"Aset Tetap Lainnya",'Daftar Koreksi'!$I$5:$I$92,"&lt;0")</f>
        <v>0</v>
      </c>
      <c r="G86" s="17">
        <f t="shared" si="3"/>
        <v>0</v>
      </c>
      <c r="H86" s="122"/>
      <c r="I86" s="28"/>
      <c r="J86" s="28"/>
    </row>
    <row r="87" spans="1:10" ht="21.95" customHeight="1">
      <c r="A87" s="14"/>
      <c r="B87" s="14"/>
      <c r="C87" s="16" t="s">
        <v>2020</v>
      </c>
      <c r="D87" s="17">
        <f>VLOOKUP(A70,'Neraca Unaudited SIMAK'!$A$2:$S$10004,17,FALSE)</f>
        <v>-7625000</v>
      </c>
      <c r="E87" s="25">
        <f>SUMIFS('Daftar Koreksi'!$I$5:$I$92,'Daftar Koreksi'!$D$5:$D$92,'0800'!A70,'Daftar Koreksi'!$G$5:$G$92,"Aset Henti Guna",'Daftar Koreksi'!$I$5:$I$92,"&gt;0")</f>
        <v>0</v>
      </c>
      <c r="F87" s="25">
        <f>SUMIFS('Daftar Koreksi'!$I$5:$I$92,'Daftar Koreksi'!$D$5:$D$92,'0800'!A70,'Daftar Koreksi'!$G$5:$G$92,"Aset Henti Guna",'Daftar Koreksi'!$I$5:$I$92,"&lt;0")-SUMIFS('Daftar Koreksi'!$I$5:$I$92,'Daftar Koreksi'!$D$5:$D$92,'0800'!A70,'Daftar Koreksi'!$G$5:$G$92,"Aset Henti Guna",'Daftar Koreksi'!$I$5:$I$92,"&lt;0")-SUMIFS('Daftar Koreksi'!$I$5:$I$92,'Daftar Koreksi'!$D$5:$D$92,'0800'!A70,'Daftar Koreksi'!$G$5:$G$92,"Aset Henti Guna",'Daftar Koreksi'!$I$5:$I$92,"&lt;0")</f>
        <v>0</v>
      </c>
      <c r="G87" s="17">
        <f t="shared" si="3"/>
        <v>-7625000</v>
      </c>
      <c r="H87" s="122"/>
      <c r="I87" s="28"/>
      <c r="J87" s="28"/>
    </row>
    <row r="88" spans="1:10" ht="21.95" customHeight="1">
      <c r="A88" s="14"/>
      <c r="B88" s="14"/>
      <c r="C88" s="18" t="s">
        <v>2094</v>
      </c>
      <c r="D88" s="19">
        <f>SUM(D83:D87)</f>
        <v>-2329742780</v>
      </c>
      <c r="E88" s="19">
        <f>SUM(E83:E87)</f>
        <v>0</v>
      </c>
      <c r="F88" s="19">
        <f>SUM(F83:F87)</f>
        <v>0</v>
      </c>
      <c r="G88" s="19">
        <f t="shared" si="3"/>
        <v>-2329742780</v>
      </c>
      <c r="H88" s="122"/>
      <c r="I88" s="28"/>
      <c r="J88" s="28"/>
    </row>
    <row r="89" spans="1:10" ht="21.95" customHeight="1">
      <c r="A89" s="14"/>
      <c r="B89" s="14"/>
      <c r="C89" s="18" t="s">
        <v>2095</v>
      </c>
      <c r="D89" s="19">
        <f>VLOOKUP(A70,'Neraca Unaudited SIMAK'!$A$2:$S$10004,18,FALSE)</f>
        <v>13410285937</v>
      </c>
      <c r="E89" s="19">
        <f>E88+E82</f>
        <v>0</v>
      </c>
      <c r="F89" s="19">
        <f>F88+F82</f>
        <v>0</v>
      </c>
      <c r="G89" s="19">
        <f t="shared" si="3"/>
        <v>13410285937</v>
      </c>
      <c r="H89" s="122"/>
      <c r="I89" s="28"/>
      <c r="J89" s="28"/>
    </row>
    <row r="90" spans="1:10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  <c r="I90" s="28"/>
      <c r="J90" s="28"/>
    </row>
    <row r="92" spans="1:10" ht="19.5" customHeight="1">
      <c r="A92" s="11" t="str">
        <f>O5</f>
        <v>005010800098785000KD</v>
      </c>
      <c r="B92" s="11" t="str">
        <f>P5</f>
        <v>PN. Solok</v>
      </c>
      <c r="C92" s="12" t="str">
        <f>A92&amp;" "&amp;B92</f>
        <v>005010800098785000KD PN. Solok</v>
      </c>
      <c r="D92" s="13"/>
      <c r="E92" s="13"/>
      <c r="F92" s="13"/>
      <c r="G92" s="13"/>
      <c r="H92" s="11"/>
    </row>
    <row r="93" spans="1:10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10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10" ht="21.95" customHeight="1">
      <c r="A95" s="14"/>
      <c r="B95" s="14"/>
      <c r="C95" s="16" t="s">
        <v>1165</v>
      </c>
      <c r="D95" s="17">
        <f>VLOOKUP(A92,'Neraca Unaudited SIMAK'!$A$2:$S$10004,3,FALSE)</f>
        <v>696500</v>
      </c>
      <c r="E95" s="25">
        <f>SUMIFS('Daftar Koreksi'!$H$5:$H$92,'Daftar Koreksi'!$D$5:$D$92,'0800'!A92,'Daftar Koreksi'!$G$5:$G$92,"Persediaan",'Daftar Koreksi'!$H$5:$H$92,"&gt;0")</f>
        <v>0</v>
      </c>
      <c r="F95" s="25">
        <f>SUMIFS('Daftar Koreksi'!$H$5:$H$92,'Daftar Koreksi'!$D$5:$D$92,'0800'!A92,'Daftar Koreksi'!$G$5:$G$92,"Persediaan",'Daftar Koreksi'!$H$5:$H$92,"&lt;0")-SUMIFS('Daftar Koreksi'!$H$5:$H$92,'Daftar Koreksi'!$D$5:$D$92,'0800'!A92,'Daftar Koreksi'!$G$5:$G$92,"Persediaan",'Daftar Koreksi'!$H$5:$H$92,"&lt;0")-SUMIFS('Daftar Koreksi'!$H$5:$H$92,'Daftar Koreksi'!$D$5:$D$92,'0800'!A92,'Daftar Koreksi'!$G$5:$G$92,"Persediaan",'Daftar Koreksi'!$H$5:$H$92,"&lt;0")</f>
        <v>0</v>
      </c>
      <c r="G95" s="17">
        <f>D95+E95-F95</f>
        <v>696500</v>
      </c>
      <c r="H95" s="121" t="str">
        <f>IF(ISNA(VLOOKUP(A92,'Mutasi Neraca'!$A$3:$S$914,19,FALSE)),"-",VLOOKUP(A92,'Mutasi Neraca'!$A$3:$S$914,19,FALSE))</f>
        <v>-</v>
      </c>
    </row>
    <row r="96" spans="1:10" ht="21.95" customHeight="1">
      <c r="A96" s="14"/>
      <c r="B96" s="14"/>
      <c r="C96" s="16" t="s">
        <v>1166</v>
      </c>
      <c r="D96" s="17">
        <f>VLOOKUP(A92,'Neraca Unaudited SIMAK'!$A$2:$S$10004,4,FALSE)</f>
        <v>2096000000</v>
      </c>
      <c r="E96" s="25">
        <f>SUMIFS('Daftar Koreksi'!$H$5:$H$92,'Daftar Koreksi'!$D$5:$D$92,'0800'!A92,'Daftar Koreksi'!$G$5:$G$92,"Tanah",'Daftar Koreksi'!$H$5:$H$92,"&gt;0")</f>
        <v>0</v>
      </c>
      <c r="F96" s="25">
        <f>SUMIFS('Daftar Koreksi'!$H$5:$H$92,'Daftar Koreksi'!$D$5:$D$92,'0800'!A92,'Daftar Koreksi'!$G$5:$G$92,"Tanah",'Daftar Koreksi'!$H$5:$H$92,"&lt;0")-SUMIFS('Daftar Koreksi'!$H$5:$H$92,'Daftar Koreksi'!$D$5:$D$92,'0800'!A92,'Daftar Koreksi'!$G$5:$G$92,"Tanah",'Daftar Koreksi'!$H$5:$H$92,"&lt;0")-SUMIFS('Daftar Koreksi'!$H$5:$H$92,'Daftar Koreksi'!$D$5:$D$92,'0800'!A92,'Daftar Koreksi'!$G$5:$G$92,"Tanah",'Daftar Koreksi'!$H$5:$H$92,"&lt;0")</f>
        <v>0</v>
      </c>
      <c r="G96" s="17">
        <f t="shared" ref="G96:G112" si="4">D96+E96-F96</f>
        <v>2096000000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1924614176</v>
      </c>
      <c r="E97" s="25">
        <f>SUMIFS('Daftar Koreksi'!$H$5:$H$92,'Daftar Koreksi'!$D$5:$D$92,'0800'!A92,'Daftar Koreksi'!$G$5:$G$92,"Peralatan dan mesin",'Daftar Koreksi'!$H$5:$H$92,"&gt;0")</f>
        <v>0</v>
      </c>
      <c r="F97" s="25">
        <f>SUMIFS('Daftar Koreksi'!$H$5:$H$92,'Daftar Koreksi'!$D$5:$D$92,'0800'!A92,'Daftar Koreksi'!$G$5:$G$92,"Peralatan dan mesin",'Daftar Koreksi'!$H$5:$H$92,"&lt;0")-SUMIFS('Daftar Koreksi'!$H$5:$H$92,'Daftar Koreksi'!$D$5:$D$92,'0800'!A92,'Daftar Koreksi'!$G$5:$G$92,"Peralatan dan mesin",'Daftar Koreksi'!$H$5:$H$92,"&lt;0")-SUMIFS('Daftar Koreksi'!$H$5:$H$92,'Daftar Koreksi'!$D$5:$D$92,'0800'!A92,'Daftar Koreksi'!$G$5:$G$92,"Peralatan dan mesin",'Daftar Koreksi'!$H$5:$H$92,"&lt;0")</f>
        <v>0</v>
      </c>
      <c r="G97" s="17">
        <f t="shared" si="4"/>
        <v>1924614176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1563598000</v>
      </c>
      <c r="E98" s="25">
        <f>SUMIFS('Daftar Koreksi'!$H$5:$H$92,'Daftar Koreksi'!$D$5:$D$92,'0800'!A92,'Daftar Koreksi'!$G$5:$G$92,"Gedung dan Bangunan",'Daftar Koreksi'!$H$5:$H$92,"&gt;0")</f>
        <v>0</v>
      </c>
      <c r="F98" s="25">
        <f>SUMIFS('Daftar Koreksi'!$H$5:$H$92,'Daftar Koreksi'!$D$5:$D$92,'0800'!A92,'Daftar Koreksi'!$G$5:$G$92,"Gedung dan Bangunan",'Daftar Koreksi'!$H$5:$H$92,"&lt;0")-SUMIFS('Daftar Koreksi'!$H$5:$H$92,'Daftar Koreksi'!$D$5:$D$92,'0800'!A92,'Daftar Koreksi'!$G$5:$G$92,"Gedung dan Bangunan",'Daftar Koreksi'!$H$5:$H$92,"&lt;0")-SUMIFS('Daftar Koreksi'!$H$5:$H$92,'Daftar Koreksi'!$D$5:$D$92,'0800'!A92,'Daftar Koreksi'!$G$5:$G$92,"Gedung dan Bangunan",'Daftar Koreksi'!$H$5:$H$92,"&lt;0")</f>
        <v>0</v>
      </c>
      <c r="G98" s="17">
        <f t="shared" si="4"/>
        <v>1563598000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Koreksi'!$D$5:$D$92,'0800'!A92,'Daftar Koreksi'!$G$5:$G$92,"Jalan Irigasi Jaringan",'Daftar Koreksi'!$H$5:$H$92,"&gt;0")</f>
        <v>0</v>
      </c>
      <c r="F99" s="25">
        <f>SUMIFS('Daftar Koreksi'!$H$5:$H$92,'Daftar Koreksi'!$D$5:$D$92,'0800'!A92,'Daftar Koreksi'!$G$5:$G$92,"Jalan Irigasi Jaringan",'Daftar Koreksi'!$H$5:$H$92,"&lt;0")-SUMIFS('Daftar Koreksi'!$H$5:$H$92,'Daftar Koreksi'!$D$5:$D$92,'0800'!A92,'Daftar Koreksi'!$G$5:$G$92,"Jalan Irigasi Jaringan",'Daftar Koreksi'!$H$5:$H$92,"&lt;0")-SUMIFS('Daftar Koreksi'!$H$5:$H$92,'Daftar Koreksi'!$D$5:$D$92,'0800'!A92,'Daftar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5003987</v>
      </c>
      <c r="E100" s="25">
        <f>SUMIFS('Daftar Koreksi'!$H$5:$H$92,'Daftar Koreksi'!$D$5:$D$92,'0800'!A92,'Daftar Koreksi'!$G$5:$G$92,"Aset Tetap Lainnya",'Daftar Koreksi'!$H$5:$H$92,"&gt;0")</f>
        <v>0</v>
      </c>
      <c r="F100" s="25">
        <f>SUMIFS('Daftar Koreksi'!$H$5:$H$92,'Daftar Koreksi'!$D$5:$D$92,'0800'!A92,'Daftar Koreksi'!$G$5:$G$92,"Aset Tetap Lainnya",'Daftar Koreksi'!$H$5:$H$92,"&lt;0")-SUMIFS('Daftar Koreksi'!$H$5:$H$92,'Daftar Koreksi'!$D$5:$D$92,'0800'!A92,'Daftar Koreksi'!$G$5:$G$92,"Aset Tetap Lainnya",'Daftar Koreksi'!$H$5:$H$92,"&lt;0")-SUMIFS('Daftar Koreksi'!$H$5:$H$92,'Daftar Koreksi'!$D$5:$D$92,'0800'!A92,'Daftar Koreksi'!$G$5:$G$92,"Aset Tetap Lainnya",'Daftar Koreksi'!$H$5:$H$92,"&lt;0")</f>
        <v>0</v>
      </c>
      <c r="G100" s="17">
        <f t="shared" si="4"/>
        <v>5003987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Koreksi'!$D$5:$D$92,'0800'!A92,'Daftar Koreksi'!$G$5:$G$92,"Kontruksi Dalam Pengerjaan",'Daftar Koreksi'!$H$5:$H$92,"&gt;0")</f>
        <v>0</v>
      </c>
      <c r="F101" s="25">
        <f>SUMIFS('Daftar Koreksi'!$H$5:$H$92,'Daftar Koreksi'!$D$5:$D$92,'0800'!A92,'Daftar Koreksi'!$G$5:$G$92,"Kontruksi Dalam Pengerjaan",'Daftar Koreksi'!$H$5:$H$92,"&lt;0")-SUMIFS('Daftar Koreksi'!$H$5:$H$92,'Daftar Koreksi'!$D$5:$D$92,'0800'!A92,'Daftar Koreksi'!$G$5:$G$92,"Kontruksi Dalam Pengerjaan",'Daftar Koreksi'!$H$5:$H$92,"&lt;0")-SUMIFS('Daftar Koreksi'!$H$5:$H$92,'Daftar Koreksi'!$D$5:$D$92,'0800'!A92,'Daftar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Koreksi'!$D$5:$D$92,'0800'!A92,'Daftar Koreksi'!$G$5:$G$92,"Aset Tak Berwujud",'Daftar Koreksi'!$H$5:$H$92,"&gt;0")</f>
        <v>0</v>
      </c>
      <c r="F102" s="25">
        <f>SUMIFS('Daftar Koreksi'!$H$5:$H$92,'Daftar Koreksi'!$D$5:$D$92,'0800'!A92,'Daftar Koreksi'!$G$5:$G$92,"Aset Tak Berwujud",'Daftar Koreksi'!$H$5:$H$92,"&lt;0")-SUMIFS('Daftar Koreksi'!$H$5:$H$92,'Daftar Koreksi'!$D$5:$D$92,'0800'!A92,'Daftar Koreksi'!$G$5:$G$92,"Aset Tak Berwujud",'Daftar Koreksi'!$H$5:$H$92,"&lt;0")-SUMIFS('Daftar Koreksi'!$H$5:$H$92,'Daftar Koreksi'!$D$5:$D$92,'0800'!A92,'Daftar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165833000</v>
      </c>
      <c r="E103" s="25">
        <f>SUMIFS('Daftar Koreksi'!$H$5:$H$92,'Daftar Koreksi'!$D$5:$D$92,'0800'!A92,'Daftar Koreksi'!$G$5:$G$92,"Aset Henti Guna",'Daftar Koreksi'!$H$5:$H$92,"&gt;0")</f>
        <v>0</v>
      </c>
      <c r="F103" s="25">
        <f>SUMIFS('Daftar Koreksi'!$H$5:$H$92,'Daftar Koreksi'!$D$5:$D$92,'0800'!A92,'Daftar Koreksi'!$G$5:$G$92,"Aset Henti Guna",'Daftar Koreksi'!$H$5:$H$92,"&lt;0")-SUMIFS('Daftar Koreksi'!$H$5:$H$92,'Daftar Koreksi'!$D$5:$D$92,'0800'!A92,'Daftar Koreksi'!$G$5:$G$92,"Aset Henti Guna",'Daftar Koreksi'!$H$5:$H$92,"&lt;0")-SUMIFS('Daftar Koreksi'!$H$5:$H$92,'Daftar Koreksi'!$D$5:$D$92,'0800'!A92,'Daftar Koreksi'!$G$5:$G$92,"Aset Henti Guna",'Daftar Koreksi'!$H$5:$H$92,"&lt;0")</f>
        <v>0</v>
      </c>
      <c r="G103" s="17">
        <f t="shared" si="4"/>
        <v>165833000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5755745663</v>
      </c>
      <c r="E104" s="19">
        <f>SUM(E95:E103)</f>
        <v>0</v>
      </c>
      <c r="F104" s="19">
        <f>SUM(F95:F103)</f>
        <v>0</v>
      </c>
      <c r="G104" s="19">
        <f t="shared" si="4"/>
        <v>5755745663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-1487583922</v>
      </c>
      <c r="E105" s="25">
        <f>SUMIFS('Daftar Koreksi'!$I$5:$I$92,'Daftar Koreksi'!$D$5:$D$92,'0800'!A92,'Daftar Koreksi'!$G$5:$G$92,"Peralatan dan mesin",'Daftar Koreksi'!$I$5:$I$92,"&gt;0")</f>
        <v>0</v>
      </c>
      <c r="F105" s="25">
        <f>SUMIFS('Daftar Koreksi'!$I$5:$I$92,'Daftar Koreksi'!$D$5:$D$92,'0800'!A92,'Daftar Koreksi'!$G$5:$G$92,"Peralatan dan mesin",'Daftar Koreksi'!$I$5:$I$92,"&lt;0")-SUMIFS('Daftar Koreksi'!$I$5:$I$92,'Daftar Koreksi'!$D$5:$D$92,'0800'!A92,'Daftar Koreksi'!$G$5:$G$92,"Peralatan dan mesin",'Daftar Koreksi'!$I$5:$I$92,"&lt;0")-SUMIFS('Daftar Koreksi'!$I$5:$I$92,'Daftar Koreksi'!$D$5:$D$92,'0800'!A92,'Daftar Koreksi'!$G$5:$G$92,"Peralatan dan mesin",'Daftar Koreksi'!$I$5:$I$92,"&lt;0")</f>
        <v>0</v>
      </c>
      <c r="G105" s="17">
        <f t="shared" si="4"/>
        <v>-1487583922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-573139900</v>
      </c>
      <c r="E106" s="25">
        <f>SUMIFS('Daftar Koreksi'!$I$5:$I$92,'Daftar Koreksi'!$D$5:$D$92,'0800'!A92,'Daftar Koreksi'!$G$5:$G$92,"Gedung dan Bangunan",'Daftar Koreksi'!$I$5:$I$92,"&gt;0")</f>
        <v>0</v>
      </c>
      <c r="F106" s="25">
        <f>SUMIFS('Daftar Koreksi'!$I$5:$I$92,'Daftar Koreksi'!$D$5:$D$92,'0800'!A92,'Daftar Koreksi'!$G$5:$G$92,"Gedung dan Bangunan",'Daftar Koreksi'!$I$5:$I$92,"&lt;0")-SUMIFS('Daftar Koreksi'!$I$5:$I$92,'Daftar Koreksi'!$D$5:$D$92,'0800'!A92,'Daftar Koreksi'!$G$5:$G$92,"Gedung dan Bangunan",'Daftar Koreksi'!$I$5:$I$92,"&lt;0")-SUMIFS('Daftar Koreksi'!$I$5:$I$92,'Daftar Koreksi'!$D$5:$D$92,'0800'!A92,'Daftar Koreksi'!$G$5:$G$92,"Gedung dan Bangunan",'Daftar Koreksi'!$I$5:$I$92,"&lt;0")</f>
        <v>0</v>
      </c>
      <c r="G106" s="17">
        <f t="shared" si="4"/>
        <v>-573139900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Koreksi'!$D$5:$D$92,'0800'!A92,'Daftar Koreksi'!$G$5:$G$92,"Jalan Irigasi Jaringan",'Daftar Koreksi'!$I$5:$I$92,"&gt;0")</f>
        <v>0</v>
      </c>
      <c r="F107" s="25">
        <f>SUMIFS('Daftar Koreksi'!$I$5:$I$92,'Daftar Koreksi'!$D$5:$D$92,'0800'!A92,'Daftar Koreksi'!$G$5:$G$92,"Jalan Irigasi Jaringan",'Daftar Koreksi'!$I$5:$I$92,"&lt;0")-SUMIFS('Daftar Koreksi'!$I$5:$I$92,'Daftar Koreksi'!$D$5:$D$92,'0800'!A92,'Daftar Koreksi'!$G$5:$G$92,"Jalan Irigasi Jaringan",'Daftar Koreksi'!$I$5:$I$92,"&lt;0")-SUMIFS('Daftar Koreksi'!$I$5:$I$92,'Daftar Koreksi'!$D$5:$D$92,'0800'!A92,'Daftar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Koreksi'!$D$5:$D$92,'0800'!A92,'Daftar Koreksi'!$G$5:$G$92,"Aset Tetap Lainnya",'Daftar Koreksi'!$I$5:$I$92,"&gt;0")</f>
        <v>0</v>
      </c>
      <c r="F108" s="25">
        <f>SUMIFS('Daftar Koreksi'!$I$5:$I$92,'Daftar Koreksi'!$D$5:$D$92,'0800'!A92,'Daftar Koreksi'!$G$5:$G$92,"Aset Tetap Lainnya",'Daftar Koreksi'!$I$5:$I$92,"&lt;0")-SUMIFS('Daftar Koreksi'!$I$5:$I$92,'Daftar Koreksi'!$D$5:$D$92,'0800'!A92,'Daftar Koreksi'!$G$5:$G$92,"Aset Tetap Lainnya",'Daftar Koreksi'!$I$5:$I$92,"&lt;0")-SUMIFS('Daftar Koreksi'!$I$5:$I$92,'Daftar Koreksi'!$D$5:$D$92,'0800'!A92,'Daftar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-149143250</v>
      </c>
      <c r="E109" s="25">
        <f>SUMIFS('Daftar Koreksi'!$I$5:$I$92,'Daftar Koreksi'!$D$5:$D$92,'0800'!A92,'Daftar Koreksi'!$G$5:$G$92,"Aset Henti Guna",'Daftar Koreksi'!$I$5:$I$92,"&gt;0")</f>
        <v>0</v>
      </c>
      <c r="F109" s="25">
        <f>SUMIFS('Daftar Koreksi'!$I$5:$I$92,'Daftar Koreksi'!$D$5:$D$92,'0800'!A92,'Daftar Koreksi'!$G$5:$G$92,"Aset Henti Guna",'Daftar Koreksi'!$I$5:$I$92,"&lt;0")-SUMIFS('Daftar Koreksi'!$I$5:$I$92,'Daftar Koreksi'!$D$5:$D$92,'0800'!A92,'Daftar Koreksi'!$G$5:$G$92,"Aset Henti Guna",'Daftar Koreksi'!$I$5:$I$92,"&lt;0")-SUMIFS('Daftar Koreksi'!$I$5:$I$92,'Daftar Koreksi'!$D$5:$D$92,'0800'!A92,'Daftar Koreksi'!$G$5:$G$92,"Aset Henti Guna",'Daftar Koreksi'!$I$5:$I$92,"&lt;0")</f>
        <v>0</v>
      </c>
      <c r="G109" s="17">
        <f t="shared" si="4"/>
        <v>-149143250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-2209867072</v>
      </c>
      <c r="E110" s="19">
        <f>SUM(E105:E109)</f>
        <v>0</v>
      </c>
      <c r="F110" s="19">
        <f>SUM(F105:F109)</f>
        <v>0</v>
      </c>
      <c r="G110" s="19">
        <f t="shared" si="4"/>
        <v>-2209867072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3545878591</v>
      </c>
      <c r="E111" s="19">
        <f>E110+E104</f>
        <v>0</v>
      </c>
      <c r="F111" s="19">
        <f>F110+F104</f>
        <v>0</v>
      </c>
      <c r="G111" s="19">
        <f t="shared" si="4"/>
        <v>3545878591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005010800098792000KD</v>
      </c>
      <c r="B114" s="11" t="str">
        <f>P6</f>
        <v>PN. Pariaman</v>
      </c>
      <c r="C114" s="12" t="str">
        <f>A114&amp;" "&amp;B114</f>
        <v>005010800098792000KD PN. Pariaman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5522240</v>
      </c>
      <c r="E117" s="25">
        <f>SUMIFS('Daftar Koreksi'!$H$5:$H$92,'Daftar Koreksi'!$D$5:$D$92,'0800'!A114,'Daftar Koreksi'!$G$5:$G$92,"Persediaan",'Daftar Koreksi'!$H$5:$H$92,"&gt;0")</f>
        <v>0</v>
      </c>
      <c r="F117" s="25">
        <f>SUMIFS('Daftar Koreksi'!$H$5:$H$92,'Daftar Koreksi'!$D$5:$D$92,'0800'!A114,'Daftar Koreksi'!$G$5:$G$92,"Persediaan",'Daftar Koreksi'!$H$5:$H$92,"&lt;0")-SUMIFS('Daftar Koreksi'!$H$5:$H$92,'Daftar Koreksi'!$D$5:$D$92,'0800'!A114,'Daftar Koreksi'!$G$5:$G$92,"Persediaan",'Daftar Koreksi'!$H$5:$H$92,"&lt;0")-SUMIFS('Daftar Koreksi'!$H$5:$H$92,'Daftar Koreksi'!$D$5:$D$92,'0800'!A114,'Daftar Koreksi'!$G$5:$G$92,"Persediaan",'Daftar Koreksi'!$H$5:$H$92,"&lt;0")</f>
        <v>0</v>
      </c>
      <c r="G117" s="17">
        <f>D117+E117-F117</f>
        <v>5522240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2602466000</v>
      </c>
      <c r="E118" s="25">
        <f>SUMIFS('Daftar Koreksi'!$H$5:$H$92,'Daftar Koreksi'!$D$5:$D$92,'0800'!A114,'Daftar Koreksi'!$G$5:$G$92,"Tanah",'Daftar Koreksi'!$H$5:$H$92,"&gt;0")</f>
        <v>0</v>
      </c>
      <c r="F118" s="25">
        <f>SUMIFS('Daftar Koreksi'!$H$5:$H$92,'Daftar Koreksi'!$D$5:$D$92,'0800'!A114,'Daftar Koreksi'!$G$5:$G$92,"Tanah",'Daftar Koreksi'!$H$5:$H$92,"&lt;0")-SUMIFS('Daftar Koreksi'!$H$5:$H$92,'Daftar Koreksi'!$D$5:$D$92,'0800'!A114,'Daftar Koreksi'!$G$5:$G$92,"Tanah",'Daftar Koreksi'!$H$5:$H$92,"&lt;0")-SUMIFS('Daftar Koreksi'!$H$5:$H$92,'Daftar Koreksi'!$D$5:$D$92,'0800'!A114,'Daftar Koreksi'!$G$5:$G$92,"Tanah",'Daftar Koreksi'!$H$5:$H$92,"&lt;0")</f>
        <v>0</v>
      </c>
      <c r="G118" s="17">
        <f t="shared" ref="G118:G134" si="5">D118+E118-F118</f>
        <v>2602466000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1692241378</v>
      </c>
      <c r="E119" s="25">
        <f>SUMIFS('Daftar Koreksi'!$H$5:$H$92,'Daftar Koreksi'!$D$5:$D$92,'0800'!A114,'Daftar Koreksi'!$G$5:$G$92,"Peralatan dan mesin",'Daftar Koreksi'!$H$5:$H$92,"&gt;0")</f>
        <v>0</v>
      </c>
      <c r="F119" s="25">
        <f>SUMIFS('Daftar Koreksi'!$H$5:$H$92,'Daftar Koreksi'!$D$5:$D$92,'0800'!A114,'Daftar Koreksi'!$G$5:$G$92,"Peralatan dan mesin",'Daftar Koreksi'!$H$5:$H$92,"&lt;0")-SUMIFS('Daftar Koreksi'!$H$5:$H$92,'Daftar Koreksi'!$D$5:$D$92,'0800'!A114,'Daftar Koreksi'!$G$5:$G$92,"Peralatan dan mesin",'Daftar Koreksi'!$H$5:$H$92,"&lt;0")-SUMIFS('Daftar Koreksi'!$H$5:$H$92,'Daftar Koreksi'!$D$5:$D$92,'0800'!A114,'Daftar Koreksi'!$G$5:$G$92,"Peralatan dan mesin",'Daftar Koreksi'!$H$5:$H$92,"&lt;0")</f>
        <v>0</v>
      </c>
      <c r="G119" s="17">
        <f t="shared" si="5"/>
        <v>1692241378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3248982150</v>
      </c>
      <c r="E120" s="25">
        <f>SUMIFS('Daftar Koreksi'!$H$5:$H$92,'Daftar Koreksi'!$D$5:$D$92,'0800'!A114,'Daftar Koreksi'!$G$5:$G$92,"Gedung dan Bangunan",'Daftar Koreksi'!$H$5:$H$92,"&gt;0")</f>
        <v>0</v>
      </c>
      <c r="F120" s="25">
        <f>SUMIFS('Daftar Koreksi'!$H$5:$H$92,'Daftar Koreksi'!$D$5:$D$92,'0800'!A114,'Daftar Koreksi'!$G$5:$G$92,"Gedung dan Bangunan",'Daftar Koreksi'!$H$5:$H$92,"&lt;0")-SUMIFS('Daftar Koreksi'!$H$5:$H$92,'Daftar Koreksi'!$D$5:$D$92,'0800'!A114,'Daftar Koreksi'!$G$5:$G$92,"Gedung dan Bangunan",'Daftar Koreksi'!$H$5:$H$92,"&lt;0")-SUMIFS('Daftar Koreksi'!$H$5:$H$92,'Daftar Koreksi'!$D$5:$D$92,'0800'!A114,'Daftar Koreksi'!$G$5:$G$92,"Gedung dan Bangunan",'Daftar Koreksi'!$H$5:$H$92,"&lt;0")</f>
        <v>0</v>
      </c>
      <c r="G120" s="17">
        <f t="shared" si="5"/>
        <v>3248982150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Koreksi'!$D$5:$D$92,'0800'!A114,'Daftar Koreksi'!$G$5:$G$92,"Jalan Irigasi Jaringan",'Daftar Koreksi'!$H$5:$H$92,"&gt;0")</f>
        <v>0</v>
      </c>
      <c r="F121" s="25">
        <f>SUMIFS('Daftar Koreksi'!$H$5:$H$92,'Daftar Koreksi'!$D$5:$D$92,'0800'!A114,'Daftar Koreksi'!$G$5:$G$92,"Jalan Irigasi Jaringan",'Daftar Koreksi'!$H$5:$H$92,"&lt;0")-SUMIFS('Daftar Koreksi'!$H$5:$H$92,'Daftar Koreksi'!$D$5:$D$92,'0800'!A114,'Daftar Koreksi'!$G$5:$G$92,"Jalan Irigasi Jaringan",'Daftar Koreksi'!$H$5:$H$92,"&lt;0")-SUMIFS('Daftar Koreksi'!$H$5:$H$92,'Daftar Koreksi'!$D$5:$D$92,'0800'!A114,'Daftar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2343440</v>
      </c>
      <c r="E122" s="25">
        <f>SUMIFS('Daftar Koreksi'!$H$5:$H$92,'Daftar Koreksi'!$D$5:$D$92,'0800'!A114,'Daftar Koreksi'!$G$5:$G$92,"Aset Tetap Lainnya",'Daftar Koreksi'!$H$5:$H$92,"&gt;0")</f>
        <v>0</v>
      </c>
      <c r="F122" s="25">
        <f>SUMIFS('Daftar Koreksi'!$H$5:$H$92,'Daftar Koreksi'!$D$5:$D$92,'0800'!A114,'Daftar Koreksi'!$G$5:$G$92,"Aset Tetap Lainnya",'Daftar Koreksi'!$H$5:$H$92,"&lt;0")-SUMIFS('Daftar Koreksi'!$H$5:$H$92,'Daftar Koreksi'!$D$5:$D$92,'0800'!A114,'Daftar Koreksi'!$G$5:$G$92,"Aset Tetap Lainnya",'Daftar Koreksi'!$H$5:$H$92,"&lt;0")-SUMIFS('Daftar Koreksi'!$H$5:$H$92,'Daftar Koreksi'!$D$5:$D$92,'0800'!A114,'Daftar Koreksi'!$G$5:$G$92,"Aset Tetap Lainnya",'Daftar Koreksi'!$H$5:$H$92,"&lt;0")</f>
        <v>0</v>
      </c>
      <c r="G122" s="17">
        <f t="shared" si="5"/>
        <v>2343440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Koreksi'!$D$5:$D$92,'0800'!A114,'Daftar Koreksi'!$G$5:$G$92,"Kontruksi Dalam Pengerjaan",'Daftar Koreksi'!$H$5:$H$92,"&gt;0")</f>
        <v>0</v>
      </c>
      <c r="F123" s="25">
        <f>SUMIFS('Daftar Koreksi'!$H$5:$H$92,'Daftar Koreksi'!$D$5:$D$92,'0800'!A114,'Daftar Koreksi'!$G$5:$G$92,"Kontruksi Dalam Pengerjaan",'Daftar Koreksi'!$H$5:$H$92,"&lt;0")-SUMIFS('Daftar Koreksi'!$H$5:$H$92,'Daftar Koreksi'!$D$5:$D$92,'0800'!A114,'Daftar Koreksi'!$G$5:$G$92,"Kontruksi Dalam Pengerjaan",'Daftar Koreksi'!$H$5:$H$92,"&lt;0")-SUMIFS('Daftar Koreksi'!$H$5:$H$92,'Daftar Koreksi'!$D$5:$D$92,'0800'!A114,'Daftar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Koreksi'!$D$5:$D$92,'0800'!A114,'Daftar Koreksi'!$G$5:$G$92,"Aset Tak Berwujud",'Daftar Koreksi'!$H$5:$H$92,"&gt;0")</f>
        <v>0</v>
      </c>
      <c r="F124" s="25">
        <f>SUMIFS('Daftar Koreksi'!$H$5:$H$92,'Daftar Koreksi'!$D$5:$D$92,'0800'!A114,'Daftar Koreksi'!$G$5:$G$92,"Aset Tak Berwujud",'Daftar Koreksi'!$H$5:$H$92,"&lt;0")-SUMIFS('Daftar Koreksi'!$H$5:$H$92,'Daftar Koreksi'!$D$5:$D$92,'0800'!A114,'Daftar Koreksi'!$G$5:$G$92,"Aset Tak Berwujud",'Daftar Koreksi'!$H$5:$H$92,"&lt;0")-SUMIFS('Daftar Koreksi'!$H$5:$H$92,'Daftar Koreksi'!$D$5:$D$92,'0800'!A114,'Daftar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41907850</v>
      </c>
      <c r="E125" s="25">
        <f>SUMIFS('Daftar Koreksi'!$H$5:$H$92,'Daftar Koreksi'!$D$5:$D$92,'0800'!A114,'Daftar Koreksi'!$G$5:$G$92,"Aset Henti Guna",'Daftar Koreksi'!$H$5:$H$92,"&gt;0")</f>
        <v>0</v>
      </c>
      <c r="F125" s="25">
        <f>SUMIFS('Daftar Koreksi'!$H$5:$H$92,'Daftar Koreksi'!$D$5:$D$92,'0800'!A114,'Daftar Koreksi'!$G$5:$G$92,"Aset Henti Guna",'Daftar Koreksi'!$H$5:$H$92,"&lt;0")-SUMIFS('Daftar Koreksi'!$H$5:$H$92,'Daftar Koreksi'!$D$5:$D$92,'0800'!A114,'Daftar Koreksi'!$G$5:$G$92,"Aset Henti Guna",'Daftar Koreksi'!$H$5:$H$92,"&lt;0")-SUMIFS('Daftar Koreksi'!$H$5:$H$92,'Daftar Koreksi'!$D$5:$D$92,'0800'!A114,'Daftar Koreksi'!$G$5:$G$92,"Aset Henti Guna",'Daftar Koreksi'!$H$5:$H$92,"&lt;0")</f>
        <v>0</v>
      </c>
      <c r="G125" s="17">
        <f t="shared" si="5"/>
        <v>41907850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7593463058</v>
      </c>
      <c r="E126" s="19">
        <f>SUM(E117:E125)</f>
        <v>0</v>
      </c>
      <c r="F126" s="19">
        <f>SUM(F117:F125)</f>
        <v>0</v>
      </c>
      <c r="G126" s="19">
        <f t="shared" si="5"/>
        <v>7593463058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-1579004903</v>
      </c>
      <c r="E127" s="25">
        <f>SUMIFS('Daftar Koreksi'!$I$5:$I$92,'Daftar Koreksi'!$D$5:$D$92,'0800'!A114,'Daftar Koreksi'!$G$5:$G$92,"Peralatan dan mesin",'Daftar Koreksi'!$I$5:$I$92,"&gt;0")</f>
        <v>0</v>
      </c>
      <c r="F127" s="25">
        <f>SUMIFS('Daftar Koreksi'!$I$5:$I$92,'Daftar Koreksi'!$D$5:$D$92,'0800'!A114,'Daftar Koreksi'!$G$5:$G$92,"Peralatan dan mesin",'Daftar Koreksi'!$I$5:$I$92,"&lt;0")-SUMIFS('Daftar Koreksi'!$I$5:$I$92,'Daftar Koreksi'!$D$5:$D$92,'0800'!A114,'Daftar Koreksi'!$G$5:$G$92,"Peralatan dan mesin",'Daftar Koreksi'!$I$5:$I$92,"&lt;0")-SUMIFS('Daftar Koreksi'!$I$5:$I$92,'Daftar Koreksi'!$D$5:$D$92,'0800'!A114,'Daftar Koreksi'!$G$5:$G$92,"Peralatan dan mesin",'Daftar Koreksi'!$I$5:$I$92,"&lt;0")</f>
        <v>0</v>
      </c>
      <c r="G127" s="17">
        <f t="shared" si="5"/>
        <v>-1579004903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-1826162371</v>
      </c>
      <c r="E128" s="25">
        <f>SUMIFS('Daftar Koreksi'!$I$5:$I$92,'Daftar Koreksi'!$D$5:$D$92,'0800'!A114,'Daftar Koreksi'!$G$5:$G$92,"Gedung dan Bangunan",'Daftar Koreksi'!$I$5:$I$92,"&gt;0")</f>
        <v>0</v>
      </c>
      <c r="F128" s="25">
        <f>SUMIFS('Daftar Koreksi'!$I$5:$I$92,'Daftar Koreksi'!$D$5:$D$92,'0800'!A114,'Daftar Koreksi'!$G$5:$G$92,"Gedung dan Bangunan",'Daftar Koreksi'!$I$5:$I$92,"&lt;0")-SUMIFS('Daftar Koreksi'!$I$5:$I$92,'Daftar Koreksi'!$D$5:$D$92,'0800'!A114,'Daftar Koreksi'!$G$5:$G$92,"Gedung dan Bangunan",'Daftar Koreksi'!$I$5:$I$92,"&lt;0")-SUMIFS('Daftar Koreksi'!$I$5:$I$92,'Daftar Koreksi'!$D$5:$D$92,'0800'!A114,'Daftar Koreksi'!$G$5:$G$92,"Gedung dan Bangunan",'Daftar Koreksi'!$I$5:$I$92,"&lt;0")</f>
        <v>0</v>
      </c>
      <c r="G128" s="17">
        <f t="shared" si="5"/>
        <v>-1826162371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Koreksi'!$D$5:$D$92,'0800'!A114,'Daftar Koreksi'!$G$5:$G$92,"Jalan Irigasi Jaringan",'Daftar Koreksi'!$I$5:$I$92,"&gt;0")</f>
        <v>0</v>
      </c>
      <c r="F129" s="25">
        <f>SUMIFS('Daftar Koreksi'!$I$5:$I$92,'Daftar Koreksi'!$D$5:$D$92,'0800'!A114,'Daftar Koreksi'!$G$5:$G$92,"Jalan Irigasi Jaringan",'Daftar Koreksi'!$I$5:$I$92,"&lt;0")-SUMIFS('Daftar Koreksi'!$I$5:$I$92,'Daftar Koreksi'!$D$5:$D$92,'0800'!A114,'Daftar Koreksi'!$G$5:$G$92,"Jalan Irigasi Jaringan",'Daftar Koreksi'!$I$5:$I$92,"&lt;0")-SUMIFS('Daftar Koreksi'!$I$5:$I$92,'Daftar Koreksi'!$D$5:$D$92,'0800'!A114,'Daftar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Koreksi'!$D$5:$D$92,'0800'!A114,'Daftar Koreksi'!$G$5:$G$92,"Aset Tetap Lainnya",'Daftar Koreksi'!$I$5:$I$92,"&gt;0")</f>
        <v>0</v>
      </c>
      <c r="F130" s="25">
        <f>SUMIFS('Daftar Koreksi'!$I$5:$I$92,'Daftar Koreksi'!$D$5:$D$92,'0800'!A114,'Daftar Koreksi'!$G$5:$G$92,"Aset Tetap Lainnya",'Daftar Koreksi'!$I$5:$I$92,"&lt;0")-SUMIFS('Daftar Koreksi'!$I$5:$I$92,'Daftar Koreksi'!$D$5:$D$92,'0800'!A114,'Daftar Koreksi'!$G$5:$G$92,"Aset Tetap Lainnya",'Daftar Koreksi'!$I$5:$I$92,"&lt;0")-SUMIFS('Daftar Koreksi'!$I$5:$I$92,'Daftar Koreksi'!$D$5:$D$92,'0800'!A114,'Daftar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-41907850</v>
      </c>
      <c r="E131" s="25">
        <f>SUMIFS('Daftar Koreksi'!$I$5:$I$92,'Daftar Koreksi'!$D$5:$D$92,'0800'!A114,'Daftar Koreksi'!$G$5:$G$92,"Aset Henti Guna",'Daftar Koreksi'!$I$5:$I$92,"&gt;0")</f>
        <v>0</v>
      </c>
      <c r="F131" s="25">
        <f>SUMIFS('Daftar Koreksi'!$I$5:$I$92,'Daftar Koreksi'!$D$5:$D$92,'0800'!A114,'Daftar Koreksi'!$G$5:$G$92,"Aset Henti Guna",'Daftar Koreksi'!$I$5:$I$92,"&lt;0")-SUMIFS('Daftar Koreksi'!$I$5:$I$92,'Daftar Koreksi'!$D$5:$D$92,'0800'!A114,'Daftar Koreksi'!$G$5:$G$92,"Aset Henti Guna",'Daftar Koreksi'!$I$5:$I$92,"&lt;0")-SUMIFS('Daftar Koreksi'!$I$5:$I$92,'Daftar Koreksi'!$D$5:$D$92,'0800'!A114,'Daftar Koreksi'!$G$5:$G$92,"Aset Henti Guna",'Daftar Koreksi'!$I$5:$I$92,"&lt;0")</f>
        <v>0</v>
      </c>
      <c r="G131" s="17">
        <f t="shared" si="5"/>
        <v>-41907850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-3447075124</v>
      </c>
      <c r="E132" s="19">
        <f>SUM(E127:E131)</f>
        <v>0</v>
      </c>
      <c r="F132" s="19">
        <f>SUM(F127:F131)</f>
        <v>0</v>
      </c>
      <c r="G132" s="19">
        <f t="shared" si="5"/>
        <v>-3447075124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4146387934</v>
      </c>
      <c r="E133" s="19">
        <f>E132+E126</f>
        <v>0</v>
      </c>
      <c r="F133" s="19">
        <f>F132+F126</f>
        <v>0</v>
      </c>
      <c r="G133" s="19">
        <f t="shared" si="5"/>
        <v>4146387934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005010800098807000KD</v>
      </c>
      <c r="B136" s="11" t="str">
        <f>P7</f>
        <v>PN. Painan</v>
      </c>
      <c r="C136" s="12" t="str">
        <f>A136&amp;" "&amp;B136</f>
        <v>005010800098807000KD PN. Painan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5527400</v>
      </c>
      <c r="E139" s="25">
        <f>SUMIFS('Daftar Koreksi'!$H$5:$H$92,'Daftar Koreksi'!$D$5:$D$92,'0800'!A136,'Daftar Koreksi'!$G$5:$G$92,"Persediaan",'Daftar Koreksi'!$H$5:$H$92,"&gt;0")</f>
        <v>0</v>
      </c>
      <c r="F139" s="25">
        <f>SUMIFS('Daftar Koreksi'!$H$5:$H$92,'Daftar Koreksi'!$D$5:$D$92,'0800'!A136,'Daftar Koreksi'!$G$5:$G$92,"Persediaan",'Daftar Koreksi'!$H$5:$H$92,"&lt;0")-SUMIFS('Daftar Koreksi'!$H$5:$H$92,'Daftar Koreksi'!$D$5:$D$92,'0800'!A136,'Daftar Koreksi'!$G$5:$G$92,"Persediaan",'Daftar Koreksi'!$H$5:$H$92,"&lt;0")-SUMIFS('Daftar Koreksi'!$H$5:$H$92,'Daftar Koreksi'!$D$5:$D$92,'0800'!A136,'Daftar Koreksi'!$G$5:$G$92,"Persediaan",'Daftar Koreksi'!$H$5:$H$92,"&lt;0")</f>
        <v>0</v>
      </c>
      <c r="G139" s="17">
        <f>D139+E139-F139</f>
        <v>5527400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3125740000</v>
      </c>
      <c r="E140" s="25">
        <f>SUMIFS('Daftar Koreksi'!$H$5:$H$92,'Daftar Koreksi'!$D$5:$D$92,'0800'!A136,'Daftar Koreksi'!$G$5:$G$92,"Tanah",'Daftar Koreksi'!$H$5:$H$92,"&gt;0")</f>
        <v>0</v>
      </c>
      <c r="F140" s="25">
        <f>SUMIFS('Daftar Koreksi'!$H$5:$H$92,'Daftar Koreksi'!$D$5:$D$92,'0800'!A136,'Daftar Koreksi'!$G$5:$G$92,"Tanah",'Daftar Koreksi'!$H$5:$H$92,"&lt;0")-SUMIFS('Daftar Koreksi'!$H$5:$H$92,'Daftar Koreksi'!$D$5:$D$92,'0800'!A136,'Daftar Koreksi'!$G$5:$G$92,"Tanah",'Daftar Koreksi'!$H$5:$H$92,"&lt;0")-SUMIFS('Daftar Koreksi'!$H$5:$H$92,'Daftar Koreksi'!$D$5:$D$92,'0800'!A136,'Daftar Koreksi'!$G$5:$G$92,"Tanah",'Daftar Koreksi'!$H$5:$H$92,"&lt;0")</f>
        <v>0</v>
      </c>
      <c r="G140" s="17">
        <f t="shared" ref="G140:G156" si="6">D140+E140-F140</f>
        <v>3125740000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1965845287</v>
      </c>
      <c r="E141" s="25">
        <f>SUMIFS('Daftar Koreksi'!$H$5:$H$92,'Daftar Koreksi'!$D$5:$D$92,'0800'!A136,'Daftar Koreksi'!$G$5:$G$92,"Peralatan dan mesin",'Daftar Koreksi'!$H$5:$H$92,"&gt;0")</f>
        <v>0</v>
      </c>
      <c r="F141" s="25">
        <f>SUMIFS('Daftar Koreksi'!$H$5:$H$92,'Daftar Koreksi'!$D$5:$D$92,'0800'!A136,'Daftar Koreksi'!$G$5:$G$92,"Peralatan dan mesin",'Daftar Koreksi'!$H$5:$H$92,"&lt;0")-SUMIFS('Daftar Koreksi'!$H$5:$H$92,'Daftar Koreksi'!$D$5:$D$92,'0800'!A136,'Daftar Koreksi'!$G$5:$G$92,"Peralatan dan mesin",'Daftar Koreksi'!$H$5:$H$92,"&lt;0")-SUMIFS('Daftar Koreksi'!$H$5:$H$92,'Daftar Koreksi'!$D$5:$D$92,'0800'!A136,'Daftar Koreksi'!$G$5:$G$92,"Peralatan dan mesin",'Daftar Koreksi'!$H$5:$H$92,"&lt;0")</f>
        <v>0</v>
      </c>
      <c r="G141" s="17">
        <f t="shared" si="6"/>
        <v>1965845287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2144626000</v>
      </c>
      <c r="E142" s="25">
        <f>SUMIFS('Daftar Koreksi'!$H$5:$H$92,'Daftar Koreksi'!$D$5:$D$92,'0800'!A136,'Daftar Koreksi'!$G$5:$G$92,"Gedung dan Bangunan",'Daftar Koreksi'!$H$5:$H$92,"&gt;0")</f>
        <v>0</v>
      </c>
      <c r="F142" s="25">
        <f>SUMIFS('Daftar Koreksi'!$H$5:$H$92,'Daftar Koreksi'!$D$5:$D$92,'0800'!A136,'Daftar Koreksi'!$G$5:$G$92,"Gedung dan Bangunan",'Daftar Koreksi'!$H$5:$H$92,"&lt;0")-SUMIFS('Daftar Koreksi'!$H$5:$H$92,'Daftar Koreksi'!$D$5:$D$92,'0800'!A136,'Daftar Koreksi'!$G$5:$G$92,"Gedung dan Bangunan",'Daftar Koreksi'!$H$5:$H$92,"&lt;0")-SUMIFS('Daftar Koreksi'!$H$5:$H$92,'Daftar Koreksi'!$D$5:$D$92,'0800'!A136,'Daftar Koreksi'!$G$5:$G$92,"Gedung dan Bangunan",'Daftar Koreksi'!$H$5:$H$92,"&lt;0")</f>
        <v>0</v>
      </c>
      <c r="G142" s="17">
        <f t="shared" si="6"/>
        <v>2144626000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24933700</v>
      </c>
      <c r="E143" s="25">
        <f>SUMIFS('Daftar Koreksi'!$H$5:$H$92,'Daftar Koreksi'!$D$5:$D$92,'0800'!A136,'Daftar Koreksi'!$G$5:$G$92,"Jalan Irigasi Jaringan",'Daftar Koreksi'!$H$5:$H$92,"&gt;0")</f>
        <v>0</v>
      </c>
      <c r="F143" s="25">
        <f>SUMIFS('Daftar Koreksi'!$H$5:$H$92,'Daftar Koreksi'!$D$5:$D$92,'0800'!A136,'Daftar Koreksi'!$G$5:$G$92,"Jalan Irigasi Jaringan",'Daftar Koreksi'!$H$5:$H$92,"&lt;0")-SUMIFS('Daftar Koreksi'!$H$5:$H$92,'Daftar Koreksi'!$D$5:$D$92,'0800'!A136,'Daftar Koreksi'!$G$5:$G$92,"Jalan Irigasi Jaringan",'Daftar Koreksi'!$H$5:$H$92,"&lt;0")-SUMIFS('Daftar Koreksi'!$H$5:$H$92,'Daftar Koreksi'!$D$5:$D$92,'0800'!A136,'Daftar Koreksi'!$G$5:$G$92,"Jalan Irigasi Jaringan",'Daftar Koreksi'!$H$5:$H$92,"&lt;0")</f>
        <v>0</v>
      </c>
      <c r="G143" s="17">
        <f t="shared" si="6"/>
        <v>24933700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60223440</v>
      </c>
      <c r="E144" s="25">
        <f>SUMIFS('Daftar Koreksi'!$H$5:$H$92,'Daftar Koreksi'!$D$5:$D$92,'0800'!A136,'Daftar Koreksi'!$G$5:$G$92,"Aset Tetap Lainnya",'Daftar Koreksi'!$H$5:$H$92,"&gt;0")</f>
        <v>0</v>
      </c>
      <c r="F144" s="25">
        <f>SUMIFS('Daftar Koreksi'!$H$5:$H$92,'Daftar Koreksi'!$D$5:$D$92,'0800'!A136,'Daftar Koreksi'!$G$5:$G$92,"Aset Tetap Lainnya",'Daftar Koreksi'!$H$5:$H$92,"&lt;0")-SUMIFS('Daftar Koreksi'!$H$5:$H$92,'Daftar Koreksi'!$D$5:$D$92,'0800'!A136,'Daftar Koreksi'!$G$5:$G$92,"Aset Tetap Lainnya",'Daftar Koreksi'!$H$5:$H$92,"&lt;0")-SUMIFS('Daftar Koreksi'!$H$5:$H$92,'Daftar Koreksi'!$D$5:$D$92,'0800'!A136,'Daftar Koreksi'!$G$5:$G$92,"Aset Tetap Lainnya",'Daftar Koreksi'!$H$5:$H$92,"&lt;0")</f>
        <v>0</v>
      </c>
      <c r="G144" s="17">
        <f t="shared" si="6"/>
        <v>60223440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Koreksi'!$D$5:$D$92,'0800'!A136,'Daftar Koreksi'!$G$5:$G$92,"Kontruksi Dalam Pengerjaan",'Daftar Koreksi'!$H$5:$H$92,"&gt;0")</f>
        <v>0</v>
      </c>
      <c r="F145" s="25">
        <f>SUMIFS('Daftar Koreksi'!$H$5:$H$92,'Daftar Koreksi'!$D$5:$D$92,'0800'!A136,'Daftar Koreksi'!$G$5:$G$92,"Kontruksi Dalam Pengerjaan",'Daftar Koreksi'!$H$5:$H$92,"&lt;0")-SUMIFS('Daftar Koreksi'!$H$5:$H$92,'Daftar Koreksi'!$D$5:$D$92,'0800'!A136,'Daftar Koreksi'!$G$5:$G$92,"Kontruksi Dalam Pengerjaan",'Daftar Koreksi'!$H$5:$H$92,"&lt;0")-SUMIFS('Daftar Koreksi'!$H$5:$H$92,'Daftar Koreksi'!$D$5:$D$92,'0800'!A136,'Daftar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Koreksi'!$D$5:$D$92,'0800'!A136,'Daftar Koreksi'!$G$5:$G$92,"Aset Tak Berwujud",'Daftar Koreksi'!$H$5:$H$92,"&gt;0")</f>
        <v>0</v>
      </c>
      <c r="F146" s="25">
        <f>SUMIFS('Daftar Koreksi'!$H$5:$H$92,'Daftar Koreksi'!$D$5:$D$92,'0800'!A136,'Daftar Koreksi'!$G$5:$G$92,"Aset Tak Berwujud",'Daftar Koreksi'!$H$5:$H$92,"&lt;0")-SUMIFS('Daftar Koreksi'!$H$5:$H$92,'Daftar Koreksi'!$D$5:$D$92,'0800'!A136,'Daftar Koreksi'!$G$5:$G$92,"Aset Tak Berwujud",'Daftar Koreksi'!$H$5:$H$92,"&lt;0")-SUMIFS('Daftar Koreksi'!$H$5:$H$92,'Daftar Koreksi'!$D$5:$D$92,'0800'!A136,'Daftar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22794363</v>
      </c>
      <c r="E147" s="25">
        <f>SUMIFS('Daftar Koreksi'!$H$5:$H$92,'Daftar Koreksi'!$D$5:$D$92,'0800'!A136,'Daftar Koreksi'!$G$5:$G$92,"Aset Henti Guna",'Daftar Koreksi'!$H$5:$H$92,"&gt;0")</f>
        <v>0</v>
      </c>
      <c r="F147" s="25">
        <f>SUMIFS('Daftar Koreksi'!$H$5:$H$92,'Daftar Koreksi'!$D$5:$D$92,'0800'!A136,'Daftar Koreksi'!$G$5:$G$92,"Aset Henti Guna",'Daftar Koreksi'!$H$5:$H$92,"&lt;0")-SUMIFS('Daftar Koreksi'!$H$5:$H$92,'Daftar Koreksi'!$D$5:$D$92,'0800'!A136,'Daftar Koreksi'!$G$5:$G$92,"Aset Henti Guna",'Daftar Koreksi'!$H$5:$H$92,"&lt;0")-SUMIFS('Daftar Koreksi'!$H$5:$H$92,'Daftar Koreksi'!$D$5:$D$92,'0800'!A136,'Daftar Koreksi'!$G$5:$G$92,"Aset Henti Guna",'Daftar Koreksi'!$H$5:$H$92,"&lt;0")</f>
        <v>0</v>
      </c>
      <c r="G147" s="17">
        <f t="shared" si="6"/>
        <v>22794363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7349690190</v>
      </c>
      <c r="E148" s="19">
        <f>SUM(E139:E147)</f>
        <v>0</v>
      </c>
      <c r="F148" s="19">
        <f>SUM(F139:F147)</f>
        <v>0</v>
      </c>
      <c r="G148" s="19">
        <f t="shared" si="6"/>
        <v>7349690190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-1667841014</v>
      </c>
      <c r="E149" s="25">
        <f>SUMIFS('Daftar Koreksi'!$I$5:$I$92,'Daftar Koreksi'!$D$5:$D$92,'0800'!A136,'Daftar Koreksi'!$G$5:$G$92,"Peralatan dan mesin",'Daftar Koreksi'!$I$5:$I$92,"&gt;0")</f>
        <v>0</v>
      </c>
      <c r="F149" s="25">
        <f>SUMIFS('Daftar Koreksi'!$I$5:$I$92,'Daftar Koreksi'!$D$5:$D$92,'0800'!A136,'Daftar Koreksi'!$G$5:$G$92,"Peralatan dan mesin",'Daftar Koreksi'!$I$5:$I$92,"&lt;0")-SUMIFS('Daftar Koreksi'!$I$5:$I$92,'Daftar Koreksi'!$D$5:$D$92,'0800'!A136,'Daftar Koreksi'!$G$5:$G$92,"Peralatan dan mesin",'Daftar Koreksi'!$I$5:$I$92,"&lt;0")-SUMIFS('Daftar Koreksi'!$I$5:$I$92,'Daftar Koreksi'!$D$5:$D$92,'0800'!A136,'Daftar Koreksi'!$G$5:$G$92,"Peralatan dan mesin",'Daftar Koreksi'!$I$5:$I$92,"&lt;0")</f>
        <v>0</v>
      </c>
      <c r="G149" s="17">
        <f t="shared" si="6"/>
        <v>-1667841014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-1555191820</v>
      </c>
      <c r="E150" s="25">
        <f>SUMIFS('Daftar Koreksi'!$I$5:$I$92,'Daftar Koreksi'!$D$5:$D$92,'0800'!A136,'Daftar Koreksi'!$G$5:$G$92,"Gedung dan Bangunan",'Daftar Koreksi'!$I$5:$I$92,"&gt;0")</f>
        <v>0</v>
      </c>
      <c r="F150" s="25">
        <f>SUMIFS('Daftar Koreksi'!$I$5:$I$92,'Daftar Koreksi'!$D$5:$D$92,'0800'!A136,'Daftar Koreksi'!$G$5:$G$92,"Gedung dan Bangunan",'Daftar Koreksi'!$I$5:$I$92,"&lt;0")-SUMIFS('Daftar Koreksi'!$I$5:$I$92,'Daftar Koreksi'!$D$5:$D$92,'0800'!A136,'Daftar Koreksi'!$G$5:$G$92,"Gedung dan Bangunan",'Daftar Koreksi'!$I$5:$I$92,"&lt;0")-SUMIFS('Daftar Koreksi'!$I$5:$I$92,'Daftar Koreksi'!$D$5:$D$92,'0800'!A136,'Daftar Koreksi'!$G$5:$G$92,"Gedung dan Bangunan",'Daftar Koreksi'!$I$5:$I$92,"&lt;0")</f>
        <v>0</v>
      </c>
      <c r="G150" s="17">
        <f t="shared" si="6"/>
        <v>-1555191820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-4675067</v>
      </c>
      <c r="E151" s="25">
        <f>SUMIFS('Daftar Koreksi'!$I$5:$I$92,'Daftar Koreksi'!$D$5:$D$92,'0800'!A136,'Daftar Koreksi'!$G$5:$G$92,"Jalan Irigasi Jaringan",'Daftar Koreksi'!$I$5:$I$92,"&gt;0")</f>
        <v>0</v>
      </c>
      <c r="F151" s="25">
        <f>SUMIFS('Daftar Koreksi'!$I$5:$I$92,'Daftar Koreksi'!$D$5:$D$92,'0800'!A136,'Daftar Koreksi'!$G$5:$G$92,"Jalan Irigasi Jaringan",'Daftar Koreksi'!$I$5:$I$92,"&lt;0")-SUMIFS('Daftar Koreksi'!$I$5:$I$92,'Daftar Koreksi'!$D$5:$D$92,'0800'!A136,'Daftar Koreksi'!$G$5:$G$92,"Jalan Irigasi Jaringan",'Daftar Koreksi'!$I$5:$I$92,"&lt;0")-SUMIFS('Daftar Koreksi'!$I$5:$I$92,'Daftar Koreksi'!$D$5:$D$92,'0800'!A136,'Daftar Koreksi'!$G$5:$G$92,"Jalan Irigasi Jaringan",'Daftar Koreksi'!$I$5:$I$92,"&lt;0")</f>
        <v>0</v>
      </c>
      <c r="G151" s="17">
        <f t="shared" si="6"/>
        <v>-4675067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Koreksi'!$D$5:$D$92,'0800'!A136,'Daftar Koreksi'!$G$5:$G$92,"Aset Tetap Lainnya",'Daftar Koreksi'!$I$5:$I$92,"&gt;0")</f>
        <v>0</v>
      </c>
      <c r="F152" s="25">
        <f>SUMIFS('Daftar Koreksi'!$I$5:$I$92,'Daftar Koreksi'!$D$5:$D$92,'0800'!A136,'Daftar Koreksi'!$G$5:$G$92,"Aset Tetap Lainnya",'Daftar Koreksi'!$I$5:$I$92,"&lt;0")-SUMIFS('Daftar Koreksi'!$I$5:$I$92,'Daftar Koreksi'!$D$5:$D$92,'0800'!A136,'Daftar Koreksi'!$G$5:$G$92,"Aset Tetap Lainnya",'Daftar Koreksi'!$I$5:$I$92,"&lt;0")-SUMIFS('Daftar Koreksi'!$I$5:$I$92,'Daftar Koreksi'!$D$5:$D$92,'0800'!A136,'Daftar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-22794363</v>
      </c>
      <c r="E153" s="25">
        <f>SUMIFS('Daftar Koreksi'!$I$5:$I$92,'Daftar Koreksi'!$D$5:$D$92,'0800'!A136,'Daftar Koreksi'!$G$5:$G$92,"Aset Henti Guna",'Daftar Koreksi'!$I$5:$I$92,"&gt;0")</f>
        <v>0</v>
      </c>
      <c r="F153" s="25">
        <f>SUMIFS('Daftar Koreksi'!$I$5:$I$92,'Daftar Koreksi'!$D$5:$D$92,'0800'!A136,'Daftar Koreksi'!$G$5:$G$92,"Aset Henti Guna",'Daftar Koreksi'!$I$5:$I$92,"&lt;0")-SUMIFS('Daftar Koreksi'!$I$5:$I$92,'Daftar Koreksi'!$D$5:$D$92,'0800'!A136,'Daftar Koreksi'!$G$5:$G$92,"Aset Henti Guna",'Daftar Koreksi'!$I$5:$I$92,"&lt;0")-SUMIFS('Daftar Koreksi'!$I$5:$I$92,'Daftar Koreksi'!$D$5:$D$92,'0800'!A136,'Daftar Koreksi'!$G$5:$G$92,"Aset Henti Guna",'Daftar Koreksi'!$I$5:$I$92,"&lt;0")</f>
        <v>0</v>
      </c>
      <c r="G153" s="17">
        <f t="shared" si="6"/>
        <v>-22794363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-3250502264</v>
      </c>
      <c r="E154" s="19">
        <f>SUM(E149:E153)</f>
        <v>0</v>
      </c>
      <c r="F154" s="19">
        <f>SUM(F149:F153)</f>
        <v>0</v>
      </c>
      <c r="G154" s="19">
        <f t="shared" si="6"/>
        <v>-3250502264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4099187926</v>
      </c>
      <c r="E155" s="19">
        <f>E154+E148</f>
        <v>0</v>
      </c>
      <c r="F155" s="19">
        <f>F154+F148</f>
        <v>0</v>
      </c>
      <c r="G155" s="19">
        <f t="shared" si="6"/>
        <v>4099187926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005010800098811000KD</v>
      </c>
      <c r="B158" s="11" t="str">
        <f>P8</f>
        <v>PN. Bukit Tinggi</v>
      </c>
      <c r="C158" s="12" t="str">
        <f>A158&amp;" "&amp;B158</f>
        <v>005010800098811000KD PN. Bukit Tinggi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102850</v>
      </c>
      <c r="E161" s="25">
        <f>SUMIFS('Daftar Koreksi'!$H$5:$H$92,'Daftar Koreksi'!$D$5:$D$92,'0800'!A158,'Daftar Koreksi'!$G$5:$G$92,"Persediaan",'Daftar Koreksi'!$H$5:$H$92,"&gt;0")</f>
        <v>0</v>
      </c>
      <c r="F161" s="25">
        <f>SUMIFS('Daftar Koreksi'!$H$5:$H$92,'Daftar Koreksi'!$D$5:$D$92,'0800'!A158,'Daftar Koreksi'!$G$5:$G$92,"Persediaan",'Daftar Koreksi'!$H$5:$H$92,"&lt;0")-SUMIFS('Daftar Koreksi'!$H$5:$H$92,'Daftar Koreksi'!$D$5:$D$92,'0800'!A158,'Daftar Koreksi'!$G$5:$G$92,"Persediaan",'Daftar Koreksi'!$H$5:$H$92,"&lt;0")-SUMIFS('Daftar Koreksi'!$H$5:$H$92,'Daftar Koreksi'!$D$5:$D$92,'0800'!A158,'Daftar Koreksi'!$G$5:$G$92,"Persediaan",'Daftar Koreksi'!$H$5:$H$92,"&lt;0")</f>
        <v>0</v>
      </c>
      <c r="G161" s="17">
        <f>D161+E161-F161</f>
        <v>102850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5207150000</v>
      </c>
      <c r="E162" s="25">
        <f>SUMIFS('Daftar Koreksi'!$H$5:$H$92,'Daftar Koreksi'!$D$5:$D$92,'0800'!A158,'Daftar Koreksi'!$G$5:$G$92,"Tanah",'Daftar Koreksi'!$H$5:$H$92,"&gt;0")</f>
        <v>0</v>
      </c>
      <c r="F162" s="25">
        <f>SUMIFS('Daftar Koreksi'!$H$5:$H$92,'Daftar Koreksi'!$D$5:$D$92,'0800'!A158,'Daftar Koreksi'!$G$5:$G$92,"Tanah",'Daftar Koreksi'!$H$5:$H$92,"&lt;0")-SUMIFS('Daftar Koreksi'!$H$5:$H$92,'Daftar Koreksi'!$D$5:$D$92,'0800'!A158,'Daftar Koreksi'!$G$5:$G$92,"Tanah",'Daftar Koreksi'!$H$5:$H$92,"&lt;0")-SUMIFS('Daftar Koreksi'!$H$5:$H$92,'Daftar Koreksi'!$D$5:$D$92,'0800'!A158,'Daftar Koreksi'!$G$5:$G$92,"Tanah",'Daftar Koreksi'!$H$5:$H$92,"&lt;0")</f>
        <v>0</v>
      </c>
      <c r="G162" s="17">
        <f t="shared" ref="G162:G178" si="7">D162+E162-F162</f>
        <v>5207150000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2041345550</v>
      </c>
      <c r="E163" s="25">
        <f>SUMIFS('Daftar Koreksi'!$H$5:$H$92,'Daftar Koreksi'!$D$5:$D$92,'0800'!A158,'Daftar Koreksi'!$G$5:$G$92,"Peralatan dan mesin",'Daftar Koreksi'!$H$5:$H$92,"&gt;0")</f>
        <v>0</v>
      </c>
      <c r="F163" s="25">
        <f>SUMIFS('Daftar Koreksi'!$H$5:$H$92,'Daftar Koreksi'!$D$5:$D$92,'0800'!A158,'Daftar Koreksi'!$G$5:$G$92,"Peralatan dan mesin",'Daftar Koreksi'!$H$5:$H$92,"&lt;0")-SUMIFS('Daftar Koreksi'!$H$5:$H$92,'Daftar Koreksi'!$D$5:$D$92,'0800'!A158,'Daftar Koreksi'!$G$5:$G$92,"Peralatan dan mesin",'Daftar Koreksi'!$H$5:$H$92,"&lt;0")-SUMIFS('Daftar Koreksi'!$H$5:$H$92,'Daftar Koreksi'!$D$5:$D$92,'0800'!A158,'Daftar Koreksi'!$G$5:$G$92,"Peralatan dan mesin",'Daftar Koreksi'!$H$5:$H$92,"&lt;0")</f>
        <v>0</v>
      </c>
      <c r="G163" s="17">
        <f t="shared" si="7"/>
        <v>2041345550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6915130950</v>
      </c>
      <c r="E164" s="25">
        <f>SUMIFS('Daftar Koreksi'!$H$5:$H$92,'Daftar Koreksi'!$D$5:$D$92,'0800'!A158,'Daftar Koreksi'!$G$5:$G$92,"Gedung dan Bangunan",'Daftar Koreksi'!$H$5:$H$92,"&gt;0")</f>
        <v>0</v>
      </c>
      <c r="F164" s="25">
        <f>SUMIFS('Daftar Koreksi'!$H$5:$H$92,'Daftar Koreksi'!$D$5:$D$92,'0800'!A158,'Daftar Koreksi'!$G$5:$G$92,"Gedung dan Bangunan",'Daftar Koreksi'!$H$5:$H$92,"&lt;0")-SUMIFS('Daftar Koreksi'!$H$5:$H$92,'Daftar Koreksi'!$D$5:$D$92,'0800'!A158,'Daftar Koreksi'!$G$5:$G$92,"Gedung dan Bangunan",'Daftar Koreksi'!$H$5:$H$92,"&lt;0")-SUMIFS('Daftar Koreksi'!$H$5:$H$92,'Daftar Koreksi'!$D$5:$D$92,'0800'!A158,'Daftar Koreksi'!$G$5:$G$92,"Gedung dan Bangunan",'Daftar Koreksi'!$H$5:$H$92,"&lt;0")</f>
        <v>0</v>
      </c>
      <c r="G164" s="17">
        <f t="shared" si="7"/>
        <v>6915130950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12900000</v>
      </c>
      <c r="E165" s="25">
        <f>SUMIFS('Daftar Koreksi'!$H$5:$H$92,'Daftar Koreksi'!$D$5:$D$92,'0800'!A158,'Daftar Koreksi'!$G$5:$G$92,"Jalan Irigasi Jaringan",'Daftar Koreksi'!$H$5:$H$92,"&gt;0")</f>
        <v>0</v>
      </c>
      <c r="F165" s="25">
        <f>SUMIFS('Daftar Koreksi'!$H$5:$H$92,'Daftar Koreksi'!$D$5:$D$92,'0800'!A158,'Daftar Koreksi'!$G$5:$G$92,"Jalan Irigasi Jaringan",'Daftar Koreksi'!$H$5:$H$92,"&lt;0")-SUMIFS('Daftar Koreksi'!$H$5:$H$92,'Daftar Koreksi'!$D$5:$D$92,'0800'!A158,'Daftar Koreksi'!$G$5:$G$92,"Jalan Irigasi Jaringan",'Daftar Koreksi'!$H$5:$H$92,"&lt;0")-SUMIFS('Daftar Koreksi'!$H$5:$H$92,'Daftar Koreksi'!$D$5:$D$92,'0800'!A158,'Daftar Koreksi'!$G$5:$G$92,"Jalan Irigasi Jaringan",'Daftar Koreksi'!$H$5:$H$92,"&lt;0")</f>
        <v>0</v>
      </c>
      <c r="G165" s="17">
        <f t="shared" si="7"/>
        <v>12900000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19707840</v>
      </c>
      <c r="E166" s="25">
        <f>SUMIFS('Daftar Koreksi'!$H$5:$H$92,'Daftar Koreksi'!$D$5:$D$92,'0800'!A158,'Daftar Koreksi'!$G$5:$G$92,"Aset Tetap Lainnya",'Daftar Koreksi'!$H$5:$H$92,"&gt;0")</f>
        <v>0</v>
      </c>
      <c r="F166" s="25">
        <f>SUMIFS('Daftar Koreksi'!$H$5:$H$92,'Daftar Koreksi'!$D$5:$D$92,'0800'!A158,'Daftar Koreksi'!$G$5:$G$92,"Aset Tetap Lainnya",'Daftar Koreksi'!$H$5:$H$92,"&lt;0")-SUMIFS('Daftar Koreksi'!$H$5:$H$92,'Daftar Koreksi'!$D$5:$D$92,'0800'!A158,'Daftar Koreksi'!$G$5:$G$92,"Aset Tetap Lainnya",'Daftar Koreksi'!$H$5:$H$92,"&lt;0")-SUMIFS('Daftar Koreksi'!$H$5:$H$92,'Daftar Koreksi'!$D$5:$D$92,'0800'!A158,'Daftar Koreksi'!$G$5:$G$92,"Aset Tetap Lainnya",'Daftar Koreksi'!$H$5:$H$92,"&lt;0")</f>
        <v>0</v>
      </c>
      <c r="G166" s="17">
        <f t="shared" si="7"/>
        <v>19707840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Koreksi'!$D$5:$D$92,'0800'!A158,'Daftar Koreksi'!$G$5:$G$92,"Kontruksi Dalam Pengerjaan",'Daftar Koreksi'!$H$5:$H$92,"&gt;0")</f>
        <v>0</v>
      </c>
      <c r="F167" s="25">
        <f>SUMIFS('Daftar Koreksi'!$H$5:$H$92,'Daftar Koreksi'!$D$5:$D$92,'0800'!A158,'Daftar Koreksi'!$G$5:$G$92,"Kontruksi Dalam Pengerjaan",'Daftar Koreksi'!$H$5:$H$92,"&lt;0")-SUMIFS('Daftar Koreksi'!$H$5:$H$92,'Daftar Koreksi'!$D$5:$D$92,'0800'!A158,'Daftar Koreksi'!$G$5:$G$92,"Kontruksi Dalam Pengerjaan",'Daftar Koreksi'!$H$5:$H$92,"&lt;0")-SUMIFS('Daftar Koreksi'!$H$5:$H$92,'Daftar Koreksi'!$D$5:$D$92,'0800'!A158,'Daftar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22000000</v>
      </c>
      <c r="E168" s="25">
        <f>SUMIFS('Daftar Koreksi'!$H$5:$H$92,'Daftar Koreksi'!$D$5:$D$92,'0800'!A158,'Daftar Koreksi'!$G$5:$G$92,"Aset Tak Berwujud",'Daftar Koreksi'!$H$5:$H$92,"&gt;0")</f>
        <v>0</v>
      </c>
      <c r="F168" s="25">
        <f>SUMIFS('Daftar Koreksi'!$H$5:$H$92,'Daftar Koreksi'!$D$5:$D$92,'0800'!A158,'Daftar Koreksi'!$G$5:$G$92,"Aset Tak Berwujud",'Daftar Koreksi'!$H$5:$H$92,"&lt;0")-SUMIFS('Daftar Koreksi'!$H$5:$H$92,'Daftar Koreksi'!$D$5:$D$92,'0800'!A158,'Daftar Koreksi'!$G$5:$G$92,"Aset Tak Berwujud",'Daftar Koreksi'!$H$5:$H$92,"&lt;0")-SUMIFS('Daftar Koreksi'!$H$5:$H$92,'Daftar Koreksi'!$D$5:$D$92,'0800'!A158,'Daftar Koreksi'!$G$5:$G$92,"Aset Tak Berwujud",'Daftar Koreksi'!$H$5:$H$92,"&lt;0")</f>
        <v>0</v>
      </c>
      <c r="G168" s="17">
        <f t="shared" si="7"/>
        <v>22000000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6585000</v>
      </c>
      <c r="E169" s="25">
        <f>SUMIFS('Daftar Koreksi'!$H$5:$H$92,'Daftar Koreksi'!$D$5:$D$92,'0800'!A158,'Daftar Koreksi'!$G$5:$G$92,"Aset Henti Guna",'Daftar Koreksi'!$H$5:$H$92,"&gt;0")</f>
        <v>0</v>
      </c>
      <c r="F169" s="25">
        <f>SUMIFS('Daftar Koreksi'!$H$5:$H$92,'Daftar Koreksi'!$D$5:$D$92,'0800'!A158,'Daftar Koreksi'!$G$5:$G$92,"Aset Henti Guna",'Daftar Koreksi'!$H$5:$H$92,"&lt;0")-SUMIFS('Daftar Koreksi'!$H$5:$H$92,'Daftar Koreksi'!$D$5:$D$92,'0800'!A158,'Daftar Koreksi'!$G$5:$G$92,"Aset Henti Guna",'Daftar Koreksi'!$H$5:$H$92,"&lt;0")-SUMIFS('Daftar Koreksi'!$H$5:$H$92,'Daftar Koreksi'!$D$5:$D$92,'0800'!A158,'Daftar Koreksi'!$G$5:$G$92,"Aset Henti Guna",'Daftar Koreksi'!$H$5:$H$92,"&lt;0")</f>
        <v>0</v>
      </c>
      <c r="G169" s="17">
        <f t="shared" si="7"/>
        <v>6585000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14224922190</v>
      </c>
      <c r="E170" s="19">
        <f>SUM(E161:E169)</f>
        <v>0</v>
      </c>
      <c r="F170" s="19">
        <f>SUM(F161:F169)</f>
        <v>0</v>
      </c>
      <c r="G170" s="19">
        <f t="shared" si="7"/>
        <v>14224922190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-1802628428</v>
      </c>
      <c r="E171" s="25">
        <f>SUMIFS('Daftar Koreksi'!$I$5:$I$92,'Daftar Koreksi'!$D$5:$D$92,'0800'!A158,'Daftar Koreksi'!$G$5:$G$92,"Peralatan dan mesin",'Daftar Koreksi'!$I$5:$I$92,"&gt;0")</f>
        <v>0</v>
      </c>
      <c r="F171" s="25">
        <f>SUMIFS('Daftar Koreksi'!$I$5:$I$92,'Daftar Koreksi'!$D$5:$D$92,'0800'!A158,'Daftar Koreksi'!$G$5:$G$92,"Peralatan dan mesin",'Daftar Koreksi'!$I$5:$I$92,"&lt;0")-SUMIFS('Daftar Koreksi'!$I$5:$I$92,'Daftar Koreksi'!$D$5:$D$92,'0800'!A158,'Daftar Koreksi'!$G$5:$G$92,"Peralatan dan mesin",'Daftar Koreksi'!$I$5:$I$92,"&lt;0")-SUMIFS('Daftar Koreksi'!$I$5:$I$92,'Daftar Koreksi'!$D$5:$D$92,'0800'!A158,'Daftar Koreksi'!$G$5:$G$92,"Peralatan dan mesin",'Daftar Koreksi'!$I$5:$I$92,"&lt;0")</f>
        <v>0</v>
      </c>
      <c r="G171" s="17">
        <f t="shared" si="7"/>
        <v>-1802628428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-2671605531</v>
      </c>
      <c r="E172" s="25">
        <f>SUMIFS('Daftar Koreksi'!$I$5:$I$92,'Daftar Koreksi'!$D$5:$D$92,'0800'!A158,'Daftar Koreksi'!$G$5:$G$92,"Gedung dan Bangunan",'Daftar Koreksi'!$I$5:$I$92,"&gt;0")</f>
        <v>0</v>
      </c>
      <c r="F172" s="25">
        <f>SUMIFS('Daftar Koreksi'!$I$5:$I$92,'Daftar Koreksi'!$D$5:$D$92,'0800'!A158,'Daftar Koreksi'!$G$5:$G$92,"Gedung dan Bangunan",'Daftar Koreksi'!$I$5:$I$92,"&lt;0")-SUMIFS('Daftar Koreksi'!$I$5:$I$92,'Daftar Koreksi'!$D$5:$D$92,'0800'!A158,'Daftar Koreksi'!$G$5:$G$92,"Gedung dan Bangunan",'Daftar Koreksi'!$I$5:$I$92,"&lt;0")-SUMIFS('Daftar Koreksi'!$I$5:$I$92,'Daftar Koreksi'!$D$5:$D$92,'0800'!A158,'Daftar Koreksi'!$G$5:$G$92,"Gedung dan Bangunan",'Daftar Koreksi'!$I$5:$I$92,"&lt;0")</f>
        <v>0</v>
      </c>
      <c r="G172" s="17">
        <f t="shared" si="7"/>
        <v>-2671605531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-2795000</v>
      </c>
      <c r="E173" s="25">
        <f>SUMIFS('Daftar Koreksi'!$I$5:$I$92,'Daftar Koreksi'!$D$5:$D$92,'0800'!A158,'Daftar Koreksi'!$G$5:$G$92,"Jalan Irigasi Jaringan",'Daftar Koreksi'!$I$5:$I$92,"&gt;0")</f>
        <v>0</v>
      </c>
      <c r="F173" s="25">
        <f>SUMIFS('Daftar Koreksi'!$I$5:$I$92,'Daftar Koreksi'!$D$5:$D$92,'0800'!A158,'Daftar Koreksi'!$G$5:$G$92,"Jalan Irigasi Jaringan",'Daftar Koreksi'!$I$5:$I$92,"&lt;0")-SUMIFS('Daftar Koreksi'!$I$5:$I$92,'Daftar Koreksi'!$D$5:$D$92,'0800'!A158,'Daftar Koreksi'!$G$5:$G$92,"Jalan Irigasi Jaringan",'Daftar Koreksi'!$I$5:$I$92,"&lt;0")-SUMIFS('Daftar Koreksi'!$I$5:$I$92,'Daftar Koreksi'!$D$5:$D$92,'0800'!A158,'Daftar Koreksi'!$G$5:$G$92,"Jalan Irigasi Jaringan",'Daftar Koreksi'!$I$5:$I$92,"&lt;0")</f>
        <v>0</v>
      </c>
      <c r="G173" s="17">
        <f t="shared" si="7"/>
        <v>-2795000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Koreksi'!$D$5:$D$92,'0800'!A158,'Daftar Koreksi'!$G$5:$G$92,"Aset Tetap Lainnya",'Daftar Koreksi'!$I$5:$I$92,"&gt;0")</f>
        <v>0</v>
      </c>
      <c r="F174" s="25">
        <f>SUMIFS('Daftar Koreksi'!$I$5:$I$92,'Daftar Koreksi'!$D$5:$D$92,'0800'!A158,'Daftar Koreksi'!$G$5:$G$92,"Aset Tetap Lainnya",'Daftar Koreksi'!$I$5:$I$92,"&lt;0")-SUMIFS('Daftar Koreksi'!$I$5:$I$92,'Daftar Koreksi'!$D$5:$D$92,'0800'!A158,'Daftar Koreksi'!$G$5:$G$92,"Aset Tetap Lainnya",'Daftar Koreksi'!$I$5:$I$92,"&lt;0")-SUMIFS('Daftar Koreksi'!$I$5:$I$92,'Daftar Koreksi'!$D$5:$D$92,'0800'!A158,'Daftar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-6585000</v>
      </c>
      <c r="E175" s="25">
        <f>SUMIFS('Daftar Koreksi'!$I$5:$I$92,'Daftar Koreksi'!$D$5:$D$92,'0800'!A158,'Daftar Koreksi'!$G$5:$G$92,"Aset Henti Guna",'Daftar Koreksi'!$I$5:$I$92,"&gt;0")</f>
        <v>0</v>
      </c>
      <c r="F175" s="25">
        <f>SUMIFS('Daftar Koreksi'!$I$5:$I$92,'Daftar Koreksi'!$D$5:$D$92,'0800'!A158,'Daftar Koreksi'!$G$5:$G$92,"Aset Henti Guna",'Daftar Koreksi'!$I$5:$I$92,"&lt;0")-SUMIFS('Daftar Koreksi'!$I$5:$I$92,'Daftar Koreksi'!$D$5:$D$92,'0800'!A158,'Daftar Koreksi'!$G$5:$G$92,"Aset Henti Guna",'Daftar Koreksi'!$I$5:$I$92,"&lt;0")-SUMIFS('Daftar Koreksi'!$I$5:$I$92,'Daftar Koreksi'!$D$5:$D$92,'0800'!A158,'Daftar Koreksi'!$G$5:$G$92,"Aset Henti Guna",'Daftar Koreksi'!$I$5:$I$92,"&lt;0")</f>
        <v>0</v>
      </c>
      <c r="G175" s="17">
        <f t="shared" si="7"/>
        <v>-6585000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-4483613959</v>
      </c>
      <c r="E176" s="19">
        <f>SUM(E171:E175)</f>
        <v>0</v>
      </c>
      <c r="F176" s="19">
        <f>SUM(F171:F175)</f>
        <v>0</v>
      </c>
      <c r="G176" s="19">
        <f t="shared" si="7"/>
        <v>-4483613959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9741308231</v>
      </c>
      <c r="E177" s="19">
        <f>E176+E170</f>
        <v>0</v>
      </c>
      <c r="F177" s="19">
        <f>F176+F170</f>
        <v>0</v>
      </c>
      <c r="G177" s="19">
        <f t="shared" si="7"/>
        <v>9741308231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005010800098828000KD</v>
      </c>
      <c r="B180" s="11" t="str">
        <f>P9</f>
        <v>PN. Lubuk Sikaping</v>
      </c>
      <c r="C180" s="12" t="str">
        <f>A180&amp;" "&amp;B180</f>
        <v>005010800098828000KD PN. Lubuk Sikaping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4460500</v>
      </c>
      <c r="E183" s="25">
        <f>SUMIFS('Daftar Koreksi'!$H$5:$H$92,'Daftar Koreksi'!$D$5:$D$92,'0800'!A180,'Daftar Koreksi'!$G$5:$G$92,"Persediaan",'Daftar Koreksi'!$H$5:$H$92,"&gt;0")</f>
        <v>0</v>
      </c>
      <c r="F183" s="25">
        <f>SUMIFS('Daftar Koreksi'!$H$5:$H$92,'Daftar Koreksi'!$D$5:$D$92,'0800'!A180,'Daftar Koreksi'!$G$5:$G$92,"Persediaan",'Daftar Koreksi'!$H$5:$H$92,"&lt;0")-SUMIFS('Daftar Koreksi'!$H$5:$H$92,'Daftar Koreksi'!$D$5:$D$92,'0800'!A180,'Daftar Koreksi'!$G$5:$G$92,"Persediaan",'Daftar Koreksi'!$H$5:$H$92,"&lt;0")-SUMIFS('Daftar Koreksi'!$H$5:$H$92,'Daftar Koreksi'!$D$5:$D$92,'0800'!A180,'Daftar Koreksi'!$G$5:$G$92,"Persediaan",'Daftar Koreksi'!$H$5:$H$92,"&lt;0")</f>
        <v>0</v>
      </c>
      <c r="G183" s="17">
        <f>D183+E183-F183</f>
        <v>4460500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462212750</v>
      </c>
      <c r="E184" s="25">
        <f>SUMIFS('Daftar Koreksi'!$H$5:$H$92,'Daftar Koreksi'!$D$5:$D$92,'0800'!A180,'Daftar Koreksi'!$G$5:$G$92,"Tanah",'Daftar Koreksi'!$H$5:$H$92,"&gt;0")</f>
        <v>0</v>
      </c>
      <c r="F184" s="25">
        <f>SUMIFS('Daftar Koreksi'!$H$5:$H$92,'Daftar Koreksi'!$D$5:$D$92,'0800'!A180,'Daftar Koreksi'!$G$5:$G$92,"Tanah",'Daftar Koreksi'!$H$5:$H$92,"&lt;0")-SUMIFS('Daftar Koreksi'!$H$5:$H$92,'Daftar Koreksi'!$D$5:$D$92,'0800'!A180,'Daftar Koreksi'!$G$5:$G$92,"Tanah",'Daftar Koreksi'!$H$5:$H$92,"&lt;0")-SUMIFS('Daftar Koreksi'!$H$5:$H$92,'Daftar Koreksi'!$D$5:$D$92,'0800'!A180,'Daftar Koreksi'!$G$5:$G$92,"Tanah",'Daftar Koreksi'!$H$5:$H$92,"&lt;0")</f>
        <v>0</v>
      </c>
      <c r="G184" s="17">
        <f t="shared" ref="G184:G200" si="8">D184+E184-F184</f>
        <v>462212750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1822404750</v>
      </c>
      <c r="E185" s="25">
        <f>SUMIFS('Daftar Koreksi'!$H$5:$H$92,'Daftar Koreksi'!$D$5:$D$92,'0800'!A180,'Daftar Koreksi'!$G$5:$G$92,"Peralatan dan mesin",'Daftar Koreksi'!$H$5:$H$92,"&gt;0")</f>
        <v>0</v>
      </c>
      <c r="F185" s="25">
        <f>SUMIFS('Daftar Koreksi'!$H$5:$H$92,'Daftar Koreksi'!$D$5:$D$92,'0800'!A180,'Daftar Koreksi'!$G$5:$G$92,"Peralatan dan mesin",'Daftar Koreksi'!$H$5:$H$92,"&lt;0")-SUMIFS('Daftar Koreksi'!$H$5:$H$92,'Daftar Koreksi'!$D$5:$D$92,'0800'!A180,'Daftar Koreksi'!$G$5:$G$92,"Peralatan dan mesin",'Daftar Koreksi'!$H$5:$H$92,"&lt;0")-SUMIFS('Daftar Koreksi'!$H$5:$H$92,'Daftar Koreksi'!$D$5:$D$92,'0800'!A180,'Daftar Koreksi'!$G$5:$G$92,"Peralatan dan mesin",'Daftar Koreksi'!$H$5:$H$92,"&lt;0")</f>
        <v>0</v>
      </c>
      <c r="G185" s="17">
        <f t="shared" si="8"/>
        <v>1822404750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6269537553</v>
      </c>
      <c r="E186" s="25">
        <f>SUMIFS('Daftar Koreksi'!$H$5:$H$92,'Daftar Koreksi'!$D$5:$D$92,'0800'!A180,'Daftar Koreksi'!$G$5:$G$92,"Gedung dan Bangunan",'Daftar Koreksi'!$H$5:$H$92,"&gt;0")</f>
        <v>0</v>
      </c>
      <c r="F186" s="25">
        <f>SUMIFS('Daftar Koreksi'!$H$5:$H$92,'Daftar Koreksi'!$D$5:$D$92,'0800'!A180,'Daftar Koreksi'!$G$5:$G$92,"Gedung dan Bangunan",'Daftar Koreksi'!$H$5:$H$92,"&lt;0")-SUMIFS('Daftar Koreksi'!$H$5:$H$92,'Daftar Koreksi'!$D$5:$D$92,'0800'!A180,'Daftar Koreksi'!$G$5:$G$92,"Gedung dan Bangunan",'Daftar Koreksi'!$H$5:$H$92,"&lt;0")-SUMIFS('Daftar Koreksi'!$H$5:$H$92,'Daftar Koreksi'!$D$5:$D$92,'0800'!A180,'Daftar Koreksi'!$G$5:$G$92,"Gedung dan Bangunan",'Daftar Koreksi'!$H$5:$H$92,"&lt;0")</f>
        <v>0</v>
      </c>
      <c r="G186" s="17">
        <f t="shared" si="8"/>
        <v>6269537553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Koreksi'!$D$5:$D$92,'0800'!A180,'Daftar Koreksi'!$G$5:$G$92,"Jalan Irigasi Jaringan",'Daftar Koreksi'!$H$5:$H$92,"&gt;0")</f>
        <v>0</v>
      </c>
      <c r="F187" s="25">
        <f>SUMIFS('Daftar Koreksi'!$H$5:$H$92,'Daftar Koreksi'!$D$5:$D$92,'0800'!A180,'Daftar Koreksi'!$G$5:$G$92,"Jalan Irigasi Jaringan",'Daftar Koreksi'!$H$5:$H$92,"&lt;0")-SUMIFS('Daftar Koreksi'!$H$5:$H$92,'Daftar Koreksi'!$D$5:$D$92,'0800'!A180,'Daftar Koreksi'!$G$5:$G$92,"Jalan Irigasi Jaringan",'Daftar Koreksi'!$H$5:$H$92,"&lt;0")-SUMIFS('Daftar Koreksi'!$H$5:$H$92,'Daftar Koreksi'!$D$5:$D$92,'0800'!A180,'Daftar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84958440</v>
      </c>
      <c r="E188" s="25">
        <f>SUMIFS('Daftar Koreksi'!$H$5:$H$92,'Daftar Koreksi'!$D$5:$D$92,'0800'!A180,'Daftar Koreksi'!$G$5:$G$92,"Aset Tetap Lainnya",'Daftar Koreksi'!$H$5:$H$92,"&gt;0")</f>
        <v>0</v>
      </c>
      <c r="F188" s="25">
        <f>SUMIFS('Daftar Koreksi'!$H$5:$H$92,'Daftar Koreksi'!$D$5:$D$92,'0800'!A180,'Daftar Koreksi'!$G$5:$G$92,"Aset Tetap Lainnya",'Daftar Koreksi'!$H$5:$H$92,"&lt;0")-SUMIFS('Daftar Koreksi'!$H$5:$H$92,'Daftar Koreksi'!$D$5:$D$92,'0800'!A180,'Daftar Koreksi'!$G$5:$G$92,"Aset Tetap Lainnya",'Daftar Koreksi'!$H$5:$H$92,"&lt;0")-SUMIFS('Daftar Koreksi'!$H$5:$H$92,'Daftar Koreksi'!$D$5:$D$92,'0800'!A180,'Daftar Koreksi'!$G$5:$G$92,"Aset Tetap Lainnya",'Daftar Koreksi'!$H$5:$H$92,"&lt;0")</f>
        <v>0</v>
      </c>
      <c r="G188" s="17">
        <f t="shared" si="8"/>
        <v>84958440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Koreksi'!$D$5:$D$92,'0800'!A180,'Daftar Koreksi'!$G$5:$G$92,"Kontruksi Dalam Pengerjaan",'Daftar Koreksi'!$H$5:$H$92,"&gt;0")</f>
        <v>0</v>
      </c>
      <c r="F189" s="25">
        <f>SUMIFS('Daftar Koreksi'!$H$5:$H$92,'Daftar Koreksi'!$D$5:$D$92,'0800'!A180,'Daftar Koreksi'!$G$5:$G$92,"Kontruksi Dalam Pengerjaan",'Daftar Koreksi'!$H$5:$H$92,"&lt;0")-SUMIFS('Daftar Koreksi'!$H$5:$H$92,'Daftar Koreksi'!$D$5:$D$92,'0800'!A180,'Daftar Koreksi'!$G$5:$G$92,"Kontruksi Dalam Pengerjaan",'Daftar Koreksi'!$H$5:$H$92,"&lt;0")-SUMIFS('Daftar Koreksi'!$H$5:$H$92,'Daftar Koreksi'!$D$5:$D$92,'0800'!A180,'Daftar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12760000</v>
      </c>
      <c r="E190" s="25">
        <f>SUMIFS('Daftar Koreksi'!$H$5:$H$92,'Daftar Koreksi'!$D$5:$D$92,'0800'!A180,'Daftar Koreksi'!$G$5:$G$92,"Aset Tak Berwujud",'Daftar Koreksi'!$H$5:$H$92,"&gt;0")</f>
        <v>0</v>
      </c>
      <c r="F190" s="25">
        <f>SUMIFS('Daftar Koreksi'!$H$5:$H$92,'Daftar Koreksi'!$D$5:$D$92,'0800'!A180,'Daftar Koreksi'!$G$5:$G$92,"Aset Tak Berwujud",'Daftar Koreksi'!$H$5:$H$92,"&lt;0")-SUMIFS('Daftar Koreksi'!$H$5:$H$92,'Daftar Koreksi'!$D$5:$D$92,'0800'!A180,'Daftar Koreksi'!$G$5:$G$92,"Aset Tak Berwujud",'Daftar Koreksi'!$H$5:$H$92,"&lt;0")-SUMIFS('Daftar Koreksi'!$H$5:$H$92,'Daftar Koreksi'!$D$5:$D$92,'0800'!A180,'Daftar Koreksi'!$G$5:$G$92,"Aset Tak Berwujud",'Daftar Koreksi'!$H$5:$H$92,"&lt;0")</f>
        <v>0</v>
      </c>
      <c r="G190" s="17">
        <f t="shared" si="8"/>
        <v>12760000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54167000</v>
      </c>
      <c r="E191" s="25">
        <f>SUMIFS('Daftar Koreksi'!$H$5:$H$92,'Daftar Koreksi'!$D$5:$D$92,'0800'!A180,'Daftar Koreksi'!$G$5:$G$92,"Aset Henti Guna",'Daftar Koreksi'!$H$5:$H$92,"&gt;0")</f>
        <v>0</v>
      </c>
      <c r="F191" s="25">
        <f>SUMIFS('Daftar Koreksi'!$H$5:$H$92,'Daftar Koreksi'!$D$5:$D$92,'0800'!A180,'Daftar Koreksi'!$G$5:$G$92,"Aset Henti Guna",'Daftar Koreksi'!$H$5:$H$92,"&lt;0")-SUMIFS('Daftar Koreksi'!$H$5:$H$92,'Daftar Koreksi'!$D$5:$D$92,'0800'!A180,'Daftar Koreksi'!$G$5:$G$92,"Aset Henti Guna",'Daftar Koreksi'!$H$5:$H$92,"&lt;0")-SUMIFS('Daftar Koreksi'!$H$5:$H$92,'Daftar Koreksi'!$D$5:$D$92,'0800'!A180,'Daftar Koreksi'!$G$5:$G$92,"Aset Henti Guna",'Daftar Koreksi'!$H$5:$H$92,"&lt;0")</f>
        <v>0</v>
      </c>
      <c r="G191" s="17">
        <f t="shared" si="8"/>
        <v>54167000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8710500993</v>
      </c>
      <c r="E192" s="19">
        <f>SUM(E183:E191)</f>
        <v>0</v>
      </c>
      <c r="F192" s="19">
        <f>SUM(F183:F191)</f>
        <v>0</v>
      </c>
      <c r="G192" s="19">
        <f t="shared" si="8"/>
        <v>8710500993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-1197165429</v>
      </c>
      <c r="E193" s="25">
        <f>SUMIFS('Daftar Koreksi'!$I$5:$I$92,'Daftar Koreksi'!$D$5:$D$92,'0800'!A180,'Daftar Koreksi'!$G$5:$G$92,"Peralatan dan mesin",'Daftar Koreksi'!$I$5:$I$92,"&gt;0")</f>
        <v>0</v>
      </c>
      <c r="F193" s="25">
        <f>SUMIFS('Daftar Koreksi'!$I$5:$I$92,'Daftar Koreksi'!$D$5:$D$92,'0800'!A180,'Daftar Koreksi'!$G$5:$G$92,"Peralatan dan mesin",'Daftar Koreksi'!$I$5:$I$92,"&lt;0")-SUMIFS('Daftar Koreksi'!$I$5:$I$92,'Daftar Koreksi'!$D$5:$D$92,'0800'!A180,'Daftar Koreksi'!$G$5:$G$92,"Peralatan dan mesin",'Daftar Koreksi'!$I$5:$I$92,"&lt;0")-SUMIFS('Daftar Koreksi'!$I$5:$I$92,'Daftar Koreksi'!$D$5:$D$92,'0800'!A180,'Daftar Koreksi'!$G$5:$G$92,"Peralatan dan mesin",'Daftar Koreksi'!$I$5:$I$92,"&lt;0")</f>
        <v>0</v>
      </c>
      <c r="G193" s="17">
        <f t="shared" si="8"/>
        <v>-1197165429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-1332835009</v>
      </c>
      <c r="E194" s="25">
        <f>SUMIFS('Daftar Koreksi'!$I$5:$I$92,'Daftar Koreksi'!$D$5:$D$92,'0800'!A180,'Daftar Koreksi'!$G$5:$G$92,"Gedung dan Bangunan",'Daftar Koreksi'!$I$5:$I$92,"&gt;0")</f>
        <v>0</v>
      </c>
      <c r="F194" s="25">
        <f>SUMIFS('Daftar Koreksi'!$I$5:$I$92,'Daftar Koreksi'!$D$5:$D$92,'0800'!A180,'Daftar Koreksi'!$G$5:$G$92,"Gedung dan Bangunan",'Daftar Koreksi'!$I$5:$I$92,"&lt;0")-SUMIFS('Daftar Koreksi'!$I$5:$I$92,'Daftar Koreksi'!$D$5:$D$92,'0800'!A180,'Daftar Koreksi'!$G$5:$G$92,"Gedung dan Bangunan",'Daftar Koreksi'!$I$5:$I$92,"&lt;0")-SUMIFS('Daftar Koreksi'!$I$5:$I$92,'Daftar Koreksi'!$D$5:$D$92,'0800'!A180,'Daftar Koreksi'!$G$5:$G$92,"Gedung dan Bangunan",'Daftar Koreksi'!$I$5:$I$92,"&lt;0")</f>
        <v>0</v>
      </c>
      <c r="G194" s="17">
        <f t="shared" si="8"/>
        <v>-1332835009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Koreksi'!$D$5:$D$92,'0800'!A180,'Daftar Koreksi'!$G$5:$G$92,"Jalan Irigasi Jaringan",'Daftar Koreksi'!$I$5:$I$92,"&gt;0")</f>
        <v>0</v>
      </c>
      <c r="F195" s="25">
        <f>SUMIFS('Daftar Koreksi'!$I$5:$I$92,'Daftar Koreksi'!$D$5:$D$92,'0800'!A180,'Daftar Koreksi'!$G$5:$G$92,"Jalan Irigasi Jaringan",'Daftar Koreksi'!$I$5:$I$92,"&lt;0")-SUMIFS('Daftar Koreksi'!$I$5:$I$92,'Daftar Koreksi'!$D$5:$D$92,'0800'!A180,'Daftar Koreksi'!$G$5:$G$92,"Jalan Irigasi Jaringan",'Daftar Koreksi'!$I$5:$I$92,"&lt;0")-SUMIFS('Daftar Koreksi'!$I$5:$I$92,'Daftar Koreksi'!$D$5:$D$92,'0800'!A180,'Daftar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Koreksi'!$D$5:$D$92,'0800'!A180,'Daftar Koreksi'!$G$5:$G$92,"Aset Tetap Lainnya",'Daftar Koreksi'!$I$5:$I$92,"&gt;0")</f>
        <v>0</v>
      </c>
      <c r="F196" s="25">
        <f>SUMIFS('Daftar Koreksi'!$I$5:$I$92,'Daftar Koreksi'!$D$5:$D$92,'0800'!A180,'Daftar Koreksi'!$G$5:$G$92,"Aset Tetap Lainnya",'Daftar Koreksi'!$I$5:$I$92,"&lt;0")-SUMIFS('Daftar Koreksi'!$I$5:$I$92,'Daftar Koreksi'!$D$5:$D$92,'0800'!A180,'Daftar Koreksi'!$G$5:$G$92,"Aset Tetap Lainnya",'Daftar Koreksi'!$I$5:$I$92,"&lt;0")-SUMIFS('Daftar Koreksi'!$I$5:$I$92,'Daftar Koreksi'!$D$5:$D$92,'0800'!A180,'Daftar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-39000240</v>
      </c>
      <c r="E197" s="25">
        <f>SUMIFS('Daftar Koreksi'!$I$5:$I$92,'Daftar Koreksi'!$D$5:$D$92,'0800'!A180,'Daftar Koreksi'!$G$5:$G$92,"Aset Henti Guna",'Daftar Koreksi'!$I$5:$I$92,"&gt;0")</f>
        <v>0</v>
      </c>
      <c r="F197" s="25">
        <f>SUMIFS('Daftar Koreksi'!$I$5:$I$92,'Daftar Koreksi'!$D$5:$D$92,'0800'!A180,'Daftar Koreksi'!$G$5:$G$92,"Aset Henti Guna",'Daftar Koreksi'!$I$5:$I$92,"&lt;0")-SUMIFS('Daftar Koreksi'!$I$5:$I$92,'Daftar Koreksi'!$D$5:$D$92,'0800'!A180,'Daftar Koreksi'!$G$5:$G$92,"Aset Henti Guna",'Daftar Koreksi'!$I$5:$I$92,"&lt;0")-SUMIFS('Daftar Koreksi'!$I$5:$I$92,'Daftar Koreksi'!$D$5:$D$92,'0800'!A180,'Daftar Koreksi'!$G$5:$G$92,"Aset Henti Guna",'Daftar Koreksi'!$I$5:$I$92,"&lt;0")</f>
        <v>0</v>
      </c>
      <c r="G197" s="17">
        <f t="shared" si="8"/>
        <v>-39000240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-2569000678</v>
      </c>
      <c r="E198" s="19">
        <f>SUM(E193:E197)</f>
        <v>0</v>
      </c>
      <c r="F198" s="19">
        <f>SUM(F193:F197)</f>
        <v>0</v>
      </c>
      <c r="G198" s="19">
        <f t="shared" si="8"/>
        <v>-2569000678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6141500315</v>
      </c>
      <c r="E199" s="19">
        <f>E198+E192</f>
        <v>0</v>
      </c>
      <c r="F199" s="19">
        <f>F198+F192</f>
        <v>0</v>
      </c>
      <c r="G199" s="19">
        <f t="shared" si="8"/>
        <v>6141500315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005010800098832000KD</v>
      </c>
      <c r="B202" s="11" t="str">
        <f>P10</f>
        <v>PN. Payakumbuh</v>
      </c>
      <c r="C202" s="12" t="str">
        <f>A202&amp;" "&amp;B202</f>
        <v>005010800098832000KD PN. Payakumbuh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0</v>
      </c>
      <c r="E205" s="25">
        <f>SUMIFS('Daftar Koreksi'!$H$5:$H$92,'Daftar Koreksi'!$D$5:$D$92,'0800'!A202,'Daftar Koreksi'!$G$5:$G$92,"Persediaan",'Daftar Koreksi'!$H$5:$H$92,"&gt;0")</f>
        <v>0</v>
      </c>
      <c r="F205" s="25">
        <f>SUMIFS('Daftar Koreksi'!$H$5:$H$92,'Daftar Koreksi'!$D$5:$D$92,'0800'!A202,'Daftar Koreksi'!$G$5:$G$92,"Persediaan",'Daftar Koreksi'!$H$5:$H$92,"&lt;0")-SUMIFS('Daftar Koreksi'!$H$5:$H$92,'Daftar Koreksi'!$D$5:$D$92,'0800'!A202,'Daftar Koreksi'!$G$5:$G$92,"Persediaan",'Daftar Koreksi'!$H$5:$H$92,"&lt;0")-SUMIFS('Daftar Koreksi'!$H$5:$H$92,'Daftar Koreksi'!$D$5:$D$92,'0800'!A202,'Daftar Koreksi'!$G$5:$G$92,"Persediaan",'Daftar Koreksi'!$H$5:$H$92,"&lt;0")</f>
        <v>0</v>
      </c>
      <c r="G205" s="17">
        <f>D205+E205-F205</f>
        <v>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4965975118</v>
      </c>
      <c r="E206" s="25">
        <f>SUMIFS('Daftar Koreksi'!$H$5:$H$92,'Daftar Koreksi'!$D$5:$D$92,'0800'!A202,'Daftar Koreksi'!$G$5:$G$92,"Tanah",'Daftar Koreksi'!$H$5:$H$92,"&gt;0")</f>
        <v>0</v>
      </c>
      <c r="F206" s="25">
        <f>SUMIFS('Daftar Koreksi'!$H$5:$H$92,'Daftar Koreksi'!$D$5:$D$92,'0800'!A202,'Daftar Koreksi'!$G$5:$G$92,"Tanah",'Daftar Koreksi'!$H$5:$H$92,"&lt;0")-SUMIFS('Daftar Koreksi'!$H$5:$H$92,'Daftar Koreksi'!$D$5:$D$92,'0800'!A202,'Daftar Koreksi'!$G$5:$G$92,"Tanah",'Daftar Koreksi'!$H$5:$H$92,"&lt;0")-SUMIFS('Daftar Koreksi'!$H$5:$H$92,'Daftar Koreksi'!$D$5:$D$92,'0800'!A202,'Daftar Koreksi'!$G$5:$G$92,"Tanah",'Daftar Koreksi'!$H$5:$H$92,"&lt;0")</f>
        <v>0</v>
      </c>
      <c r="G206" s="17">
        <f t="shared" ref="G206:G222" si="9">D206+E206-F206</f>
        <v>4965975118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1820495828</v>
      </c>
      <c r="E207" s="25">
        <f>SUMIFS('Daftar Koreksi'!$H$5:$H$92,'Daftar Koreksi'!$D$5:$D$92,'0800'!A202,'Daftar Koreksi'!$G$5:$G$92,"Peralatan dan mesin",'Daftar Koreksi'!$H$5:$H$92,"&gt;0")</f>
        <v>0</v>
      </c>
      <c r="F207" s="25">
        <f>SUMIFS('Daftar Koreksi'!$H$5:$H$92,'Daftar Koreksi'!$D$5:$D$92,'0800'!A202,'Daftar Koreksi'!$G$5:$G$92,"Peralatan dan mesin",'Daftar Koreksi'!$H$5:$H$92,"&lt;0")-SUMIFS('Daftar Koreksi'!$H$5:$H$92,'Daftar Koreksi'!$D$5:$D$92,'0800'!A202,'Daftar Koreksi'!$G$5:$G$92,"Peralatan dan mesin",'Daftar Koreksi'!$H$5:$H$92,"&lt;0")-SUMIFS('Daftar Koreksi'!$H$5:$H$92,'Daftar Koreksi'!$D$5:$D$92,'0800'!A202,'Daftar Koreksi'!$G$5:$G$92,"Peralatan dan mesin",'Daftar Koreksi'!$H$5:$H$92,"&lt;0")</f>
        <v>0</v>
      </c>
      <c r="G207" s="17">
        <f t="shared" si="9"/>
        <v>1820495828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2336308622</v>
      </c>
      <c r="E208" s="25">
        <f>SUMIFS('Daftar Koreksi'!$H$5:$H$92,'Daftar Koreksi'!$D$5:$D$92,'0800'!A202,'Daftar Koreksi'!$G$5:$G$92,"Gedung dan Bangunan",'Daftar Koreksi'!$H$5:$H$92,"&gt;0")</f>
        <v>0</v>
      </c>
      <c r="F208" s="25">
        <f>SUMIFS('Daftar Koreksi'!$H$5:$H$92,'Daftar Koreksi'!$D$5:$D$92,'0800'!A202,'Daftar Koreksi'!$G$5:$G$92,"Gedung dan Bangunan",'Daftar Koreksi'!$H$5:$H$92,"&lt;0")-SUMIFS('Daftar Koreksi'!$H$5:$H$92,'Daftar Koreksi'!$D$5:$D$92,'0800'!A202,'Daftar Koreksi'!$G$5:$G$92,"Gedung dan Bangunan",'Daftar Koreksi'!$H$5:$H$92,"&lt;0")-SUMIFS('Daftar Koreksi'!$H$5:$H$92,'Daftar Koreksi'!$D$5:$D$92,'0800'!A202,'Daftar Koreksi'!$G$5:$G$92,"Gedung dan Bangunan",'Daftar Koreksi'!$H$5:$H$92,"&lt;0")</f>
        <v>0</v>
      </c>
      <c r="G208" s="17">
        <f t="shared" si="9"/>
        <v>2336308622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50738000</v>
      </c>
      <c r="E209" s="25">
        <f>SUMIFS('Daftar Koreksi'!$H$5:$H$92,'Daftar Koreksi'!$D$5:$D$92,'0800'!A202,'Daftar Koreksi'!$G$5:$G$92,"Jalan Irigasi Jaringan",'Daftar Koreksi'!$H$5:$H$92,"&gt;0")</f>
        <v>0</v>
      </c>
      <c r="F209" s="25">
        <f>SUMIFS('Daftar Koreksi'!$H$5:$H$92,'Daftar Koreksi'!$D$5:$D$92,'0800'!A202,'Daftar Koreksi'!$G$5:$G$92,"Jalan Irigasi Jaringan",'Daftar Koreksi'!$H$5:$H$92,"&lt;0")-SUMIFS('Daftar Koreksi'!$H$5:$H$92,'Daftar Koreksi'!$D$5:$D$92,'0800'!A202,'Daftar Koreksi'!$G$5:$G$92,"Jalan Irigasi Jaringan",'Daftar Koreksi'!$H$5:$H$92,"&lt;0")-SUMIFS('Daftar Koreksi'!$H$5:$H$92,'Daftar Koreksi'!$D$5:$D$92,'0800'!A202,'Daftar Koreksi'!$G$5:$G$92,"Jalan Irigasi Jaringan",'Daftar Koreksi'!$H$5:$H$92,"&lt;0")</f>
        <v>0</v>
      </c>
      <c r="G209" s="17">
        <f t="shared" si="9"/>
        <v>50738000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43908440</v>
      </c>
      <c r="E210" s="25">
        <f>SUMIFS('Daftar Koreksi'!$H$5:$H$92,'Daftar Koreksi'!$D$5:$D$92,'0800'!A202,'Daftar Koreksi'!$G$5:$G$92,"Aset Tetap Lainnya",'Daftar Koreksi'!$H$5:$H$92,"&gt;0")</f>
        <v>0</v>
      </c>
      <c r="F210" s="25">
        <f>SUMIFS('Daftar Koreksi'!$H$5:$H$92,'Daftar Koreksi'!$D$5:$D$92,'0800'!A202,'Daftar Koreksi'!$G$5:$G$92,"Aset Tetap Lainnya",'Daftar Koreksi'!$H$5:$H$92,"&lt;0")-SUMIFS('Daftar Koreksi'!$H$5:$H$92,'Daftar Koreksi'!$D$5:$D$92,'0800'!A202,'Daftar Koreksi'!$G$5:$G$92,"Aset Tetap Lainnya",'Daftar Koreksi'!$H$5:$H$92,"&lt;0")-SUMIFS('Daftar Koreksi'!$H$5:$H$92,'Daftar Koreksi'!$D$5:$D$92,'0800'!A202,'Daftar Koreksi'!$G$5:$G$92,"Aset Tetap Lainnya",'Daftar Koreksi'!$H$5:$H$92,"&lt;0")</f>
        <v>0</v>
      </c>
      <c r="G210" s="17">
        <f t="shared" si="9"/>
        <v>43908440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Koreksi'!$D$5:$D$92,'0800'!A202,'Daftar Koreksi'!$G$5:$G$92,"Kontruksi Dalam Pengerjaan",'Daftar Koreksi'!$H$5:$H$92,"&gt;0")</f>
        <v>0</v>
      </c>
      <c r="F211" s="25">
        <f>SUMIFS('Daftar Koreksi'!$H$5:$H$92,'Daftar Koreksi'!$D$5:$D$92,'0800'!A202,'Daftar Koreksi'!$G$5:$G$92,"Kontruksi Dalam Pengerjaan",'Daftar Koreksi'!$H$5:$H$92,"&lt;0")-SUMIFS('Daftar Koreksi'!$H$5:$H$92,'Daftar Koreksi'!$D$5:$D$92,'0800'!A202,'Daftar Koreksi'!$G$5:$G$92,"Kontruksi Dalam Pengerjaan",'Daftar Koreksi'!$H$5:$H$92,"&lt;0")-SUMIFS('Daftar Koreksi'!$H$5:$H$92,'Daftar Koreksi'!$D$5:$D$92,'0800'!A202,'Daftar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Koreksi'!$D$5:$D$92,'0800'!A202,'Daftar Koreksi'!$G$5:$G$92,"Aset Tak Berwujud",'Daftar Koreksi'!$H$5:$H$92,"&gt;0")</f>
        <v>0</v>
      </c>
      <c r="F212" s="25">
        <f>SUMIFS('Daftar Koreksi'!$H$5:$H$92,'Daftar Koreksi'!$D$5:$D$92,'0800'!A202,'Daftar Koreksi'!$G$5:$G$92,"Aset Tak Berwujud",'Daftar Koreksi'!$H$5:$H$92,"&lt;0")-SUMIFS('Daftar Koreksi'!$H$5:$H$92,'Daftar Koreksi'!$D$5:$D$92,'0800'!A202,'Daftar Koreksi'!$G$5:$G$92,"Aset Tak Berwujud",'Daftar Koreksi'!$H$5:$H$92,"&lt;0")-SUMIFS('Daftar Koreksi'!$H$5:$H$92,'Daftar Koreksi'!$D$5:$D$92,'0800'!A202,'Daftar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46276300</v>
      </c>
      <c r="E213" s="25">
        <f>SUMIFS('Daftar Koreksi'!$H$5:$H$92,'Daftar Koreksi'!$D$5:$D$92,'0800'!A202,'Daftar Koreksi'!$G$5:$G$92,"Aset Henti Guna",'Daftar Koreksi'!$H$5:$H$92,"&gt;0")</f>
        <v>0</v>
      </c>
      <c r="F213" s="25">
        <f>SUMIFS('Daftar Koreksi'!$H$5:$H$92,'Daftar Koreksi'!$D$5:$D$92,'0800'!A202,'Daftar Koreksi'!$G$5:$G$92,"Aset Henti Guna",'Daftar Koreksi'!$H$5:$H$92,"&lt;0")-SUMIFS('Daftar Koreksi'!$H$5:$H$92,'Daftar Koreksi'!$D$5:$D$92,'0800'!A202,'Daftar Koreksi'!$G$5:$G$92,"Aset Henti Guna",'Daftar Koreksi'!$H$5:$H$92,"&lt;0")-SUMIFS('Daftar Koreksi'!$H$5:$H$92,'Daftar Koreksi'!$D$5:$D$92,'0800'!A202,'Daftar Koreksi'!$G$5:$G$92,"Aset Henti Guna",'Daftar Koreksi'!$H$5:$H$92,"&lt;0")</f>
        <v>0</v>
      </c>
      <c r="G213" s="17">
        <f t="shared" si="9"/>
        <v>46276300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9263702308</v>
      </c>
      <c r="E214" s="19">
        <f>SUM(E205:E213)</f>
        <v>0</v>
      </c>
      <c r="F214" s="19">
        <f>SUM(F205:F213)</f>
        <v>0</v>
      </c>
      <c r="G214" s="19">
        <f t="shared" si="9"/>
        <v>9263702308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-1550692297</v>
      </c>
      <c r="E215" s="25">
        <f>SUMIFS('Daftar Koreksi'!$I$5:$I$92,'Daftar Koreksi'!$D$5:$D$92,'0800'!A202,'Daftar Koreksi'!$G$5:$G$92,"Peralatan dan mesin",'Daftar Koreksi'!$I$5:$I$92,"&gt;0")</f>
        <v>0</v>
      </c>
      <c r="F215" s="25">
        <f>SUMIFS('Daftar Koreksi'!$I$5:$I$92,'Daftar Koreksi'!$D$5:$D$92,'0800'!A202,'Daftar Koreksi'!$G$5:$G$92,"Peralatan dan mesin",'Daftar Koreksi'!$I$5:$I$92,"&lt;0")-SUMIFS('Daftar Koreksi'!$I$5:$I$92,'Daftar Koreksi'!$D$5:$D$92,'0800'!A202,'Daftar Koreksi'!$G$5:$G$92,"Peralatan dan mesin",'Daftar Koreksi'!$I$5:$I$92,"&lt;0")-SUMIFS('Daftar Koreksi'!$I$5:$I$92,'Daftar Koreksi'!$D$5:$D$92,'0800'!A202,'Daftar Koreksi'!$G$5:$G$92,"Peralatan dan mesin",'Daftar Koreksi'!$I$5:$I$92,"&lt;0")</f>
        <v>0</v>
      </c>
      <c r="G215" s="17">
        <f t="shared" si="9"/>
        <v>-1550692297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-1529721738</v>
      </c>
      <c r="E216" s="25">
        <f>SUMIFS('Daftar Koreksi'!$I$5:$I$92,'Daftar Koreksi'!$D$5:$D$92,'0800'!A202,'Daftar Koreksi'!$G$5:$G$92,"Gedung dan Bangunan",'Daftar Koreksi'!$I$5:$I$92,"&gt;0")</f>
        <v>0</v>
      </c>
      <c r="F216" s="25">
        <f>SUMIFS('Daftar Koreksi'!$I$5:$I$92,'Daftar Koreksi'!$D$5:$D$92,'0800'!A202,'Daftar Koreksi'!$G$5:$G$92,"Gedung dan Bangunan",'Daftar Koreksi'!$I$5:$I$92,"&lt;0")-SUMIFS('Daftar Koreksi'!$I$5:$I$92,'Daftar Koreksi'!$D$5:$D$92,'0800'!A202,'Daftar Koreksi'!$G$5:$G$92,"Gedung dan Bangunan",'Daftar Koreksi'!$I$5:$I$92,"&lt;0")-SUMIFS('Daftar Koreksi'!$I$5:$I$92,'Daftar Koreksi'!$D$5:$D$92,'0800'!A202,'Daftar Koreksi'!$G$5:$G$92,"Gedung dan Bangunan",'Daftar Koreksi'!$I$5:$I$92,"&lt;0")</f>
        <v>0</v>
      </c>
      <c r="G216" s="17">
        <f t="shared" si="9"/>
        <v>-1529721738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-9180888</v>
      </c>
      <c r="E217" s="25">
        <f>SUMIFS('Daftar Koreksi'!$I$5:$I$92,'Daftar Koreksi'!$D$5:$D$92,'0800'!A202,'Daftar Koreksi'!$G$5:$G$92,"Jalan Irigasi Jaringan",'Daftar Koreksi'!$I$5:$I$92,"&gt;0")</f>
        <v>0</v>
      </c>
      <c r="F217" s="25">
        <f>SUMIFS('Daftar Koreksi'!$I$5:$I$92,'Daftar Koreksi'!$D$5:$D$92,'0800'!A202,'Daftar Koreksi'!$G$5:$G$92,"Jalan Irigasi Jaringan",'Daftar Koreksi'!$I$5:$I$92,"&lt;0")-SUMIFS('Daftar Koreksi'!$I$5:$I$92,'Daftar Koreksi'!$D$5:$D$92,'0800'!A202,'Daftar Koreksi'!$G$5:$G$92,"Jalan Irigasi Jaringan",'Daftar Koreksi'!$I$5:$I$92,"&lt;0")-SUMIFS('Daftar Koreksi'!$I$5:$I$92,'Daftar Koreksi'!$D$5:$D$92,'0800'!A202,'Daftar Koreksi'!$G$5:$G$92,"Jalan Irigasi Jaringan",'Daftar Koreksi'!$I$5:$I$92,"&lt;0")</f>
        <v>0</v>
      </c>
      <c r="G217" s="17">
        <f t="shared" si="9"/>
        <v>-9180888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Koreksi'!$D$5:$D$92,'0800'!A202,'Daftar Koreksi'!$G$5:$G$92,"Aset Tetap Lainnya",'Daftar Koreksi'!$I$5:$I$92,"&gt;0")</f>
        <v>0</v>
      </c>
      <c r="F218" s="25">
        <f>SUMIFS('Daftar Koreksi'!$I$5:$I$92,'Daftar Koreksi'!$D$5:$D$92,'0800'!A202,'Daftar Koreksi'!$G$5:$G$92,"Aset Tetap Lainnya",'Daftar Koreksi'!$I$5:$I$92,"&lt;0")-SUMIFS('Daftar Koreksi'!$I$5:$I$92,'Daftar Koreksi'!$D$5:$D$92,'0800'!A202,'Daftar Koreksi'!$G$5:$G$92,"Aset Tetap Lainnya",'Daftar Koreksi'!$I$5:$I$92,"&lt;0")-SUMIFS('Daftar Koreksi'!$I$5:$I$92,'Daftar Koreksi'!$D$5:$D$92,'0800'!A202,'Daftar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-46276300</v>
      </c>
      <c r="E219" s="25">
        <f>SUMIFS('Daftar Koreksi'!$I$5:$I$92,'Daftar Koreksi'!$D$5:$D$92,'0800'!A202,'Daftar Koreksi'!$G$5:$G$92,"Aset Henti Guna",'Daftar Koreksi'!$I$5:$I$92,"&gt;0")</f>
        <v>0</v>
      </c>
      <c r="F219" s="25">
        <f>SUMIFS('Daftar Koreksi'!$I$5:$I$92,'Daftar Koreksi'!$D$5:$D$92,'0800'!A202,'Daftar Koreksi'!$G$5:$G$92,"Aset Henti Guna",'Daftar Koreksi'!$I$5:$I$92,"&lt;0")-SUMIFS('Daftar Koreksi'!$I$5:$I$92,'Daftar Koreksi'!$D$5:$D$92,'0800'!A202,'Daftar Koreksi'!$G$5:$G$92,"Aset Henti Guna",'Daftar Koreksi'!$I$5:$I$92,"&lt;0")-SUMIFS('Daftar Koreksi'!$I$5:$I$92,'Daftar Koreksi'!$D$5:$D$92,'0800'!A202,'Daftar Koreksi'!$G$5:$G$92,"Aset Henti Guna",'Daftar Koreksi'!$I$5:$I$92,"&lt;0")</f>
        <v>0</v>
      </c>
      <c r="G219" s="17">
        <f t="shared" si="9"/>
        <v>-46276300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-3135871223</v>
      </c>
      <c r="E220" s="19">
        <f>SUM(E215:E219)</f>
        <v>0</v>
      </c>
      <c r="F220" s="19">
        <f>SUM(F215:F219)</f>
        <v>0</v>
      </c>
      <c r="G220" s="19">
        <f t="shared" si="9"/>
        <v>-3135871223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6127831085</v>
      </c>
      <c r="E221" s="19">
        <f>E220+E214</f>
        <v>0</v>
      </c>
      <c r="F221" s="19">
        <f>F220+F214</f>
        <v>0</v>
      </c>
      <c r="G221" s="19">
        <f t="shared" si="9"/>
        <v>6127831085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005010800400188000KD</v>
      </c>
      <c r="B224" s="11" t="str">
        <f>P11</f>
        <v>PN. Padang Panjang</v>
      </c>
      <c r="C224" s="12" t="str">
        <f>A224&amp;" "&amp;B224</f>
        <v>005010800400188000KD PN. Padang Panjang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0</v>
      </c>
      <c r="E227" s="25">
        <f>SUMIFS('Daftar Koreksi'!$H$5:$H$92,'Daftar Koreksi'!$D$5:$D$92,'0800'!A224,'Daftar Koreksi'!$G$5:$G$92,"Persediaan",'Daftar Koreksi'!$H$5:$H$92,"&gt;0")</f>
        <v>0</v>
      </c>
      <c r="F227" s="25">
        <f>SUMIFS('Daftar Koreksi'!$H$5:$H$92,'Daftar Koreksi'!$D$5:$D$92,'0800'!A224,'Daftar Koreksi'!$G$5:$G$92,"Persediaan",'Daftar Koreksi'!$H$5:$H$92,"&lt;0")-SUMIFS('Daftar Koreksi'!$H$5:$H$92,'Daftar Koreksi'!$D$5:$D$92,'0800'!A224,'Daftar Koreksi'!$G$5:$G$92,"Persediaan",'Daftar Koreksi'!$H$5:$H$92,"&lt;0")-SUMIFS('Daftar Koreksi'!$H$5:$H$92,'Daftar Koreksi'!$D$5:$D$92,'0800'!A224,'Daftar Koreksi'!$G$5:$G$92,"Persediaan",'Daftar Koreksi'!$H$5:$H$92,"&lt;0")</f>
        <v>0</v>
      </c>
      <c r="G227" s="17">
        <f>D227+E227-F227</f>
        <v>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5648884000</v>
      </c>
      <c r="E228" s="25">
        <f>SUMIFS('Daftar Koreksi'!$H$5:$H$92,'Daftar Koreksi'!$D$5:$D$92,'0800'!A224,'Daftar Koreksi'!$G$5:$G$92,"Tanah",'Daftar Koreksi'!$H$5:$H$92,"&gt;0")</f>
        <v>0</v>
      </c>
      <c r="F228" s="25">
        <f>SUMIFS('Daftar Koreksi'!$H$5:$H$92,'Daftar Koreksi'!$D$5:$D$92,'0800'!A224,'Daftar Koreksi'!$G$5:$G$92,"Tanah",'Daftar Koreksi'!$H$5:$H$92,"&lt;0")-SUMIFS('Daftar Koreksi'!$H$5:$H$92,'Daftar Koreksi'!$D$5:$D$92,'0800'!A224,'Daftar Koreksi'!$G$5:$G$92,"Tanah",'Daftar Koreksi'!$H$5:$H$92,"&lt;0")-SUMIFS('Daftar Koreksi'!$H$5:$H$92,'Daftar Koreksi'!$D$5:$D$92,'0800'!A224,'Daftar Koreksi'!$G$5:$G$92,"Tanah",'Daftar Koreksi'!$H$5:$H$92,"&lt;0")</f>
        <v>0</v>
      </c>
      <c r="G228" s="17">
        <f t="shared" ref="G228:G244" si="10">D228+E228-F228</f>
        <v>5648884000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1807413230</v>
      </c>
      <c r="E229" s="25">
        <f>SUMIFS('Daftar Koreksi'!$H$5:$H$92,'Daftar Koreksi'!$D$5:$D$92,'0800'!A224,'Daftar Koreksi'!$G$5:$G$92,"Peralatan dan mesin",'Daftar Koreksi'!$H$5:$H$92,"&gt;0")</f>
        <v>0</v>
      </c>
      <c r="F229" s="25">
        <f>SUMIFS('Daftar Koreksi'!$H$5:$H$92,'Daftar Koreksi'!$D$5:$D$92,'0800'!A224,'Daftar Koreksi'!$G$5:$G$92,"Peralatan dan mesin",'Daftar Koreksi'!$H$5:$H$92,"&lt;0")-SUMIFS('Daftar Koreksi'!$H$5:$H$92,'Daftar Koreksi'!$D$5:$D$92,'0800'!A224,'Daftar Koreksi'!$G$5:$G$92,"Peralatan dan mesin",'Daftar Koreksi'!$H$5:$H$92,"&lt;0")-SUMIFS('Daftar Koreksi'!$H$5:$H$92,'Daftar Koreksi'!$D$5:$D$92,'0800'!A224,'Daftar Koreksi'!$G$5:$G$92,"Peralatan dan mesin",'Daftar Koreksi'!$H$5:$H$92,"&lt;0")</f>
        <v>0</v>
      </c>
      <c r="G229" s="17">
        <f t="shared" si="10"/>
        <v>1807413230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9642573520</v>
      </c>
      <c r="E230" s="25">
        <f>SUMIFS('Daftar Koreksi'!$H$5:$H$92,'Daftar Koreksi'!$D$5:$D$92,'0800'!A224,'Daftar Koreksi'!$G$5:$G$92,"Gedung dan Bangunan",'Daftar Koreksi'!$H$5:$H$92,"&gt;0")</f>
        <v>0</v>
      </c>
      <c r="F230" s="25">
        <f>SUMIFS('Daftar Koreksi'!$H$5:$H$92,'Daftar Koreksi'!$D$5:$D$92,'0800'!A224,'Daftar Koreksi'!$G$5:$G$92,"Gedung dan Bangunan",'Daftar Koreksi'!$H$5:$H$92,"&lt;0")-SUMIFS('Daftar Koreksi'!$H$5:$H$92,'Daftar Koreksi'!$D$5:$D$92,'0800'!A224,'Daftar Koreksi'!$G$5:$G$92,"Gedung dan Bangunan",'Daftar Koreksi'!$H$5:$H$92,"&lt;0")-SUMIFS('Daftar Koreksi'!$H$5:$H$92,'Daftar Koreksi'!$D$5:$D$92,'0800'!A224,'Daftar Koreksi'!$G$5:$G$92,"Gedung dan Bangunan",'Daftar Koreksi'!$H$5:$H$92,"&lt;0")</f>
        <v>0</v>
      </c>
      <c r="G230" s="17">
        <f t="shared" si="10"/>
        <v>9642573520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Koreksi'!$D$5:$D$92,'0800'!A224,'Daftar Koreksi'!$G$5:$G$92,"Jalan Irigasi Jaringan",'Daftar Koreksi'!$H$5:$H$92,"&gt;0")</f>
        <v>0</v>
      </c>
      <c r="F231" s="25">
        <f>SUMIFS('Daftar Koreksi'!$H$5:$H$92,'Daftar Koreksi'!$D$5:$D$92,'0800'!A224,'Daftar Koreksi'!$G$5:$G$92,"Jalan Irigasi Jaringan",'Daftar Koreksi'!$H$5:$H$92,"&lt;0")-SUMIFS('Daftar Koreksi'!$H$5:$H$92,'Daftar Koreksi'!$D$5:$D$92,'0800'!A224,'Daftar Koreksi'!$G$5:$G$92,"Jalan Irigasi Jaringan",'Daftar Koreksi'!$H$5:$H$92,"&lt;0")-SUMIFS('Daftar Koreksi'!$H$5:$H$92,'Daftar Koreksi'!$D$5:$D$92,'0800'!A224,'Daftar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10943440</v>
      </c>
      <c r="E232" s="25">
        <f>SUMIFS('Daftar Koreksi'!$H$5:$H$92,'Daftar Koreksi'!$D$5:$D$92,'0800'!A224,'Daftar Koreksi'!$G$5:$G$92,"Aset Tetap Lainnya",'Daftar Koreksi'!$H$5:$H$92,"&gt;0")</f>
        <v>0</v>
      </c>
      <c r="F232" s="25">
        <f>SUMIFS('Daftar Koreksi'!$H$5:$H$92,'Daftar Koreksi'!$D$5:$D$92,'0800'!A224,'Daftar Koreksi'!$G$5:$G$92,"Aset Tetap Lainnya",'Daftar Koreksi'!$H$5:$H$92,"&lt;0")-SUMIFS('Daftar Koreksi'!$H$5:$H$92,'Daftar Koreksi'!$D$5:$D$92,'0800'!A224,'Daftar Koreksi'!$G$5:$G$92,"Aset Tetap Lainnya",'Daftar Koreksi'!$H$5:$H$92,"&lt;0")-SUMIFS('Daftar Koreksi'!$H$5:$H$92,'Daftar Koreksi'!$D$5:$D$92,'0800'!A224,'Daftar Koreksi'!$G$5:$G$92,"Aset Tetap Lainnya",'Daftar Koreksi'!$H$5:$H$92,"&lt;0")</f>
        <v>0</v>
      </c>
      <c r="G232" s="17">
        <f t="shared" si="10"/>
        <v>10943440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Koreksi'!$D$5:$D$92,'0800'!A224,'Daftar Koreksi'!$G$5:$G$92,"Kontruksi Dalam Pengerjaan",'Daftar Koreksi'!$H$5:$H$92,"&gt;0")</f>
        <v>0</v>
      </c>
      <c r="F233" s="25">
        <f>SUMIFS('Daftar Koreksi'!$H$5:$H$92,'Daftar Koreksi'!$D$5:$D$92,'0800'!A224,'Daftar Koreksi'!$G$5:$G$92,"Kontruksi Dalam Pengerjaan",'Daftar Koreksi'!$H$5:$H$92,"&lt;0")-SUMIFS('Daftar Koreksi'!$H$5:$H$92,'Daftar Koreksi'!$D$5:$D$92,'0800'!A224,'Daftar Koreksi'!$G$5:$G$92,"Kontruksi Dalam Pengerjaan",'Daftar Koreksi'!$H$5:$H$92,"&lt;0")-SUMIFS('Daftar Koreksi'!$H$5:$H$92,'Daftar Koreksi'!$D$5:$D$92,'0800'!A224,'Daftar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30140000</v>
      </c>
      <c r="E234" s="25">
        <f>SUMIFS('Daftar Koreksi'!$H$5:$H$92,'Daftar Koreksi'!$D$5:$D$92,'0800'!A224,'Daftar Koreksi'!$G$5:$G$92,"Aset Tak Berwujud",'Daftar Koreksi'!$H$5:$H$92,"&gt;0")</f>
        <v>0</v>
      </c>
      <c r="F234" s="25">
        <f>SUMIFS('Daftar Koreksi'!$H$5:$H$92,'Daftar Koreksi'!$D$5:$D$92,'0800'!A224,'Daftar Koreksi'!$G$5:$G$92,"Aset Tak Berwujud",'Daftar Koreksi'!$H$5:$H$92,"&lt;0")-SUMIFS('Daftar Koreksi'!$H$5:$H$92,'Daftar Koreksi'!$D$5:$D$92,'0800'!A224,'Daftar Koreksi'!$G$5:$G$92,"Aset Tak Berwujud",'Daftar Koreksi'!$H$5:$H$92,"&lt;0")-SUMIFS('Daftar Koreksi'!$H$5:$H$92,'Daftar Koreksi'!$D$5:$D$92,'0800'!A224,'Daftar Koreksi'!$G$5:$G$92,"Aset Tak Berwujud",'Daftar Koreksi'!$H$5:$H$92,"&lt;0")</f>
        <v>0</v>
      </c>
      <c r="G234" s="17">
        <f t="shared" si="10"/>
        <v>30140000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170634900</v>
      </c>
      <c r="E235" s="25">
        <f>SUMIFS('Daftar Koreksi'!$H$5:$H$92,'Daftar Koreksi'!$D$5:$D$92,'0800'!A224,'Daftar Koreksi'!$G$5:$G$92,"Aset Henti Guna",'Daftar Koreksi'!$H$5:$H$92,"&gt;0")</f>
        <v>0</v>
      </c>
      <c r="F235" s="25">
        <f>SUMIFS('Daftar Koreksi'!$H$5:$H$92,'Daftar Koreksi'!$D$5:$D$92,'0800'!A224,'Daftar Koreksi'!$G$5:$G$92,"Aset Henti Guna",'Daftar Koreksi'!$H$5:$H$92,"&lt;0")-SUMIFS('Daftar Koreksi'!$H$5:$H$92,'Daftar Koreksi'!$D$5:$D$92,'0800'!A224,'Daftar Koreksi'!$G$5:$G$92,"Aset Henti Guna",'Daftar Koreksi'!$H$5:$H$92,"&lt;0")-SUMIFS('Daftar Koreksi'!$H$5:$H$92,'Daftar Koreksi'!$D$5:$D$92,'0800'!A224,'Daftar Koreksi'!$G$5:$G$92,"Aset Henti Guna",'Daftar Koreksi'!$H$5:$H$92,"&lt;0")</f>
        <v>0</v>
      </c>
      <c r="G235" s="17">
        <f t="shared" si="10"/>
        <v>170634900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17310589090</v>
      </c>
      <c r="E236" s="19">
        <f>SUM(E227:E235)</f>
        <v>0</v>
      </c>
      <c r="F236" s="19">
        <f>SUM(F227:F235)</f>
        <v>0</v>
      </c>
      <c r="G236" s="19">
        <f t="shared" si="10"/>
        <v>17310589090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-1287252841</v>
      </c>
      <c r="E237" s="25">
        <f>SUMIFS('Daftar Koreksi'!$I$5:$I$92,'Daftar Koreksi'!$D$5:$D$92,'0800'!A224,'Daftar Koreksi'!$G$5:$G$92,"Peralatan dan mesin",'Daftar Koreksi'!$I$5:$I$92,"&gt;0")</f>
        <v>0</v>
      </c>
      <c r="F237" s="25">
        <f>SUMIFS('Daftar Koreksi'!$I$5:$I$92,'Daftar Koreksi'!$D$5:$D$92,'0800'!A224,'Daftar Koreksi'!$G$5:$G$92,"Peralatan dan mesin",'Daftar Koreksi'!$I$5:$I$92,"&lt;0")-SUMIFS('Daftar Koreksi'!$I$5:$I$92,'Daftar Koreksi'!$D$5:$D$92,'0800'!A224,'Daftar Koreksi'!$G$5:$G$92,"Peralatan dan mesin",'Daftar Koreksi'!$I$5:$I$92,"&lt;0")-SUMIFS('Daftar Koreksi'!$I$5:$I$92,'Daftar Koreksi'!$D$5:$D$92,'0800'!A224,'Daftar Koreksi'!$G$5:$G$92,"Peralatan dan mesin",'Daftar Koreksi'!$I$5:$I$92,"&lt;0")</f>
        <v>0</v>
      </c>
      <c r="G237" s="17">
        <f t="shared" si="10"/>
        <v>-1287252841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-519933469</v>
      </c>
      <c r="E238" s="25">
        <f>SUMIFS('Daftar Koreksi'!$I$5:$I$92,'Daftar Koreksi'!$D$5:$D$92,'0800'!A224,'Daftar Koreksi'!$G$5:$G$92,"Gedung dan Bangunan",'Daftar Koreksi'!$I$5:$I$92,"&gt;0")</f>
        <v>0</v>
      </c>
      <c r="F238" s="25">
        <f>SUMIFS('Daftar Koreksi'!$I$5:$I$92,'Daftar Koreksi'!$D$5:$D$92,'0800'!A224,'Daftar Koreksi'!$G$5:$G$92,"Gedung dan Bangunan",'Daftar Koreksi'!$I$5:$I$92,"&lt;0")-SUMIFS('Daftar Koreksi'!$I$5:$I$92,'Daftar Koreksi'!$D$5:$D$92,'0800'!A224,'Daftar Koreksi'!$G$5:$G$92,"Gedung dan Bangunan",'Daftar Koreksi'!$I$5:$I$92,"&lt;0")-SUMIFS('Daftar Koreksi'!$I$5:$I$92,'Daftar Koreksi'!$D$5:$D$92,'0800'!A224,'Daftar Koreksi'!$G$5:$G$92,"Gedung dan Bangunan",'Daftar Koreksi'!$I$5:$I$92,"&lt;0")</f>
        <v>0</v>
      </c>
      <c r="G238" s="17">
        <f t="shared" si="10"/>
        <v>-519933469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Koreksi'!$D$5:$D$92,'0800'!A224,'Daftar Koreksi'!$G$5:$G$92,"Jalan Irigasi Jaringan",'Daftar Koreksi'!$I$5:$I$92,"&gt;0")</f>
        <v>0</v>
      </c>
      <c r="F239" s="25">
        <f>SUMIFS('Daftar Koreksi'!$I$5:$I$92,'Daftar Koreksi'!$D$5:$D$92,'0800'!A224,'Daftar Koreksi'!$G$5:$G$92,"Jalan Irigasi Jaringan",'Daftar Koreksi'!$I$5:$I$92,"&lt;0")-SUMIFS('Daftar Koreksi'!$I$5:$I$92,'Daftar Koreksi'!$D$5:$D$92,'0800'!A224,'Daftar Koreksi'!$G$5:$G$92,"Jalan Irigasi Jaringan",'Daftar Koreksi'!$I$5:$I$92,"&lt;0")-SUMIFS('Daftar Koreksi'!$I$5:$I$92,'Daftar Koreksi'!$D$5:$D$92,'0800'!A224,'Daftar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Koreksi'!$D$5:$D$92,'0800'!A224,'Daftar Koreksi'!$G$5:$G$92,"Aset Tetap Lainnya",'Daftar Koreksi'!$I$5:$I$92,"&gt;0")</f>
        <v>0</v>
      </c>
      <c r="F240" s="25">
        <f>SUMIFS('Daftar Koreksi'!$I$5:$I$92,'Daftar Koreksi'!$D$5:$D$92,'0800'!A224,'Daftar Koreksi'!$G$5:$G$92,"Aset Tetap Lainnya",'Daftar Koreksi'!$I$5:$I$92,"&lt;0")-SUMIFS('Daftar Koreksi'!$I$5:$I$92,'Daftar Koreksi'!$D$5:$D$92,'0800'!A224,'Daftar Koreksi'!$G$5:$G$92,"Aset Tetap Lainnya",'Daftar Koreksi'!$I$5:$I$92,"&lt;0")-SUMIFS('Daftar Koreksi'!$I$5:$I$92,'Daftar Koreksi'!$D$5:$D$92,'0800'!A224,'Daftar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-126902400</v>
      </c>
      <c r="E241" s="25">
        <f>SUMIFS('Daftar Koreksi'!$I$5:$I$92,'Daftar Koreksi'!$D$5:$D$92,'0800'!A224,'Daftar Koreksi'!$G$5:$G$92,"Aset Henti Guna",'Daftar Koreksi'!$I$5:$I$92,"&gt;0")</f>
        <v>0</v>
      </c>
      <c r="F241" s="25">
        <f>SUMIFS('Daftar Koreksi'!$I$5:$I$92,'Daftar Koreksi'!$D$5:$D$92,'0800'!A224,'Daftar Koreksi'!$G$5:$G$92,"Aset Henti Guna",'Daftar Koreksi'!$I$5:$I$92,"&lt;0")-SUMIFS('Daftar Koreksi'!$I$5:$I$92,'Daftar Koreksi'!$D$5:$D$92,'0800'!A224,'Daftar Koreksi'!$G$5:$G$92,"Aset Henti Guna",'Daftar Koreksi'!$I$5:$I$92,"&lt;0")-SUMIFS('Daftar Koreksi'!$I$5:$I$92,'Daftar Koreksi'!$D$5:$D$92,'0800'!A224,'Daftar Koreksi'!$G$5:$G$92,"Aset Henti Guna",'Daftar Koreksi'!$I$5:$I$92,"&lt;0")</f>
        <v>0</v>
      </c>
      <c r="G241" s="17">
        <f t="shared" si="10"/>
        <v>-126902400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-1934088710</v>
      </c>
      <c r="E242" s="19">
        <f>SUM(E237:E241)</f>
        <v>0</v>
      </c>
      <c r="F242" s="19">
        <f>SUM(F237:F241)</f>
        <v>0</v>
      </c>
      <c r="G242" s="19">
        <f t="shared" si="10"/>
        <v>-1934088710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15376500380</v>
      </c>
      <c r="E243" s="19">
        <f>E242+E236</f>
        <v>0</v>
      </c>
      <c r="F243" s="19">
        <f>F242+F236</f>
        <v>0</v>
      </c>
      <c r="G243" s="19">
        <f t="shared" si="10"/>
        <v>15376500380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005010800400333000KD</v>
      </c>
      <c r="B246" s="11" t="str">
        <f>P12</f>
        <v>PN. Lubuk Basung</v>
      </c>
      <c r="C246" s="12" t="str">
        <f>A246&amp;" "&amp;B246</f>
        <v>005010800400333000KD PN. Lubuk Basung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1597673</v>
      </c>
      <c r="E249" s="25">
        <f>SUMIFS('Daftar Koreksi'!$H$5:$H$92,'Daftar Koreksi'!$D$5:$D$92,'0800'!A246,'Daftar Koreksi'!$G$5:$G$92,"Persediaan",'Daftar Koreksi'!$H$5:$H$92,"&gt;0")</f>
        <v>0</v>
      </c>
      <c r="F249" s="25">
        <f>SUMIFS('Daftar Koreksi'!$H$5:$H$92,'Daftar Koreksi'!$D$5:$D$92,'0800'!A246,'Daftar Koreksi'!$G$5:$G$92,"Persediaan",'Daftar Koreksi'!$H$5:$H$92,"&lt;0")-SUMIFS('Daftar Koreksi'!$H$5:$H$92,'Daftar Koreksi'!$D$5:$D$92,'0800'!A246,'Daftar Koreksi'!$G$5:$G$92,"Persediaan",'Daftar Koreksi'!$H$5:$H$92,"&lt;0")-SUMIFS('Daftar Koreksi'!$H$5:$H$92,'Daftar Koreksi'!$D$5:$D$92,'0800'!A246,'Daftar Koreksi'!$G$5:$G$92,"Persediaan",'Daftar Koreksi'!$H$5:$H$92,"&lt;0")</f>
        <v>0</v>
      </c>
      <c r="G249" s="17">
        <f>D249+E249-F249</f>
        <v>1597673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2416900000</v>
      </c>
      <c r="E250" s="25">
        <f>SUMIFS('Daftar Koreksi'!$H$5:$H$92,'Daftar Koreksi'!$D$5:$D$92,'0800'!A246,'Daftar Koreksi'!$G$5:$G$92,"Tanah",'Daftar Koreksi'!$H$5:$H$92,"&gt;0")</f>
        <v>0</v>
      </c>
      <c r="F250" s="25">
        <f>SUMIFS('Daftar Koreksi'!$H$5:$H$92,'Daftar Koreksi'!$D$5:$D$92,'0800'!A246,'Daftar Koreksi'!$G$5:$G$92,"Tanah",'Daftar Koreksi'!$H$5:$H$92,"&lt;0")-SUMIFS('Daftar Koreksi'!$H$5:$H$92,'Daftar Koreksi'!$D$5:$D$92,'0800'!A246,'Daftar Koreksi'!$G$5:$G$92,"Tanah",'Daftar Koreksi'!$H$5:$H$92,"&lt;0")-SUMIFS('Daftar Koreksi'!$H$5:$H$92,'Daftar Koreksi'!$D$5:$D$92,'0800'!A246,'Daftar Koreksi'!$G$5:$G$92,"Tanah",'Daftar Koreksi'!$H$5:$H$92,"&lt;0")</f>
        <v>0</v>
      </c>
      <c r="G250" s="17">
        <f t="shared" ref="G250:G266" si="11">D250+E250-F250</f>
        <v>2416900000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1665097734</v>
      </c>
      <c r="E251" s="25">
        <f>SUMIFS('Daftar Koreksi'!$H$5:$H$92,'Daftar Koreksi'!$D$5:$D$92,'0800'!A246,'Daftar Koreksi'!$G$5:$G$92,"Peralatan dan mesin",'Daftar Koreksi'!$H$5:$H$92,"&gt;0")</f>
        <v>0</v>
      </c>
      <c r="F251" s="25">
        <f>SUMIFS('Daftar Koreksi'!$H$5:$H$92,'Daftar Koreksi'!$D$5:$D$92,'0800'!A246,'Daftar Koreksi'!$G$5:$G$92,"Peralatan dan mesin",'Daftar Koreksi'!$H$5:$H$92,"&lt;0")-SUMIFS('Daftar Koreksi'!$H$5:$H$92,'Daftar Koreksi'!$D$5:$D$92,'0800'!A246,'Daftar Koreksi'!$G$5:$G$92,"Peralatan dan mesin",'Daftar Koreksi'!$H$5:$H$92,"&lt;0")-SUMIFS('Daftar Koreksi'!$H$5:$H$92,'Daftar Koreksi'!$D$5:$D$92,'0800'!A246,'Daftar Koreksi'!$G$5:$G$92,"Peralatan dan mesin",'Daftar Koreksi'!$H$5:$H$92,"&lt;0")</f>
        <v>0</v>
      </c>
      <c r="G251" s="17">
        <f t="shared" si="11"/>
        <v>1665097734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6474711200</v>
      </c>
      <c r="E252" s="25">
        <f>SUMIFS('Daftar Koreksi'!$H$5:$H$92,'Daftar Koreksi'!$D$5:$D$92,'0800'!A246,'Daftar Koreksi'!$G$5:$G$92,"Gedung dan Bangunan",'Daftar Koreksi'!$H$5:$H$92,"&gt;0")</f>
        <v>0</v>
      </c>
      <c r="F252" s="25">
        <f>SUMIFS('Daftar Koreksi'!$H$5:$H$92,'Daftar Koreksi'!$D$5:$D$92,'0800'!A246,'Daftar Koreksi'!$G$5:$G$92,"Gedung dan Bangunan",'Daftar Koreksi'!$H$5:$H$92,"&lt;0")-SUMIFS('Daftar Koreksi'!$H$5:$H$92,'Daftar Koreksi'!$D$5:$D$92,'0800'!A246,'Daftar Koreksi'!$G$5:$G$92,"Gedung dan Bangunan",'Daftar Koreksi'!$H$5:$H$92,"&lt;0")-SUMIFS('Daftar Koreksi'!$H$5:$H$92,'Daftar Koreksi'!$D$5:$D$92,'0800'!A246,'Daftar Koreksi'!$G$5:$G$92,"Gedung dan Bangunan",'Daftar Koreksi'!$H$5:$H$92,"&lt;0")</f>
        <v>0</v>
      </c>
      <c r="G252" s="17">
        <f t="shared" si="11"/>
        <v>6474711200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116201700</v>
      </c>
      <c r="E253" s="25">
        <f>SUMIFS('Daftar Koreksi'!$H$5:$H$92,'Daftar Koreksi'!$D$5:$D$92,'0800'!A246,'Daftar Koreksi'!$G$5:$G$92,"Jalan Irigasi Jaringan",'Daftar Koreksi'!$H$5:$H$92,"&gt;0")</f>
        <v>0</v>
      </c>
      <c r="F253" s="25">
        <f>SUMIFS('Daftar Koreksi'!$H$5:$H$92,'Daftar Koreksi'!$D$5:$D$92,'0800'!A246,'Daftar Koreksi'!$G$5:$G$92,"Jalan Irigasi Jaringan",'Daftar Koreksi'!$H$5:$H$92,"&lt;0")-SUMIFS('Daftar Koreksi'!$H$5:$H$92,'Daftar Koreksi'!$D$5:$D$92,'0800'!A246,'Daftar Koreksi'!$G$5:$G$92,"Jalan Irigasi Jaringan",'Daftar Koreksi'!$H$5:$H$92,"&lt;0")-SUMIFS('Daftar Koreksi'!$H$5:$H$92,'Daftar Koreksi'!$D$5:$D$92,'0800'!A246,'Daftar Koreksi'!$G$5:$G$92,"Jalan Irigasi Jaringan",'Daftar Koreksi'!$H$5:$H$92,"&lt;0")</f>
        <v>0</v>
      </c>
      <c r="G253" s="17">
        <f t="shared" si="11"/>
        <v>116201700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7524688</v>
      </c>
      <c r="E254" s="25">
        <f>SUMIFS('Daftar Koreksi'!$H$5:$H$92,'Daftar Koreksi'!$D$5:$D$92,'0800'!A246,'Daftar Koreksi'!$G$5:$G$92,"Aset Tetap Lainnya",'Daftar Koreksi'!$H$5:$H$92,"&gt;0")</f>
        <v>0</v>
      </c>
      <c r="F254" s="25">
        <f>SUMIFS('Daftar Koreksi'!$H$5:$H$92,'Daftar Koreksi'!$D$5:$D$92,'0800'!A246,'Daftar Koreksi'!$G$5:$G$92,"Aset Tetap Lainnya",'Daftar Koreksi'!$H$5:$H$92,"&lt;0")-SUMIFS('Daftar Koreksi'!$H$5:$H$92,'Daftar Koreksi'!$D$5:$D$92,'0800'!A246,'Daftar Koreksi'!$G$5:$G$92,"Aset Tetap Lainnya",'Daftar Koreksi'!$H$5:$H$92,"&lt;0")-SUMIFS('Daftar Koreksi'!$H$5:$H$92,'Daftar Koreksi'!$D$5:$D$92,'0800'!A246,'Daftar Koreksi'!$G$5:$G$92,"Aset Tetap Lainnya",'Daftar Koreksi'!$H$5:$H$92,"&lt;0")</f>
        <v>0</v>
      </c>
      <c r="G254" s="17">
        <f t="shared" si="11"/>
        <v>7524688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Koreksi'!$D$5:$D$92,'0800'!A246,'Daftar Koreksi'!$G$5:$G$92,"Kontruksi Dalam Pengerjaan",'Daftar Koreksi'!$H$5:$H$92,"&gt;0")</f>
        <v>0</v>
      </c>
      <c r="F255" s="25">
        <f>SUMIFS('Daftar Koreksi'!$H$5:$H$92,'Daftar Koreksi'!$D$5:$D$92,'0800'!A246,'Daftar Koreksi'!$G$5:$G$92,"Kontruksi Dalam Pengerjaan",'Daftar Koreksi'!$H$5:$H$92,"&lt;0")-SUMIFS('Daftar Koreksi'!$H$5:$H$92,'Daftar Koreksi'!$D$5:$D$92,'0800'!A246,'Daftar Koreksi'!$G$5:$G$92,"Kontruksi Dalam Pengerjaan",'Daftar Koreksi'!$H$5:$H$92,"&lt;0")-SUMIFS('Daftar Koreksi'!$H$5:$H$92,'Daftar Koreksi'!$D$5:$D$92,'0800'!A246,'Daftar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Koreksi'!$D$5:$D$92,'0800'!A246,'Daftar Koreksi'!$G$5:$G$92,"Aset Tak Berwujud",'Daftar Koreksi'!$H$5:$H$92,"&gt;0")</f>
        <v>0</v>
      </c>
      <c r="F256" s="25">
        <f>SUMIFS('Daftar Koreksi'!$H$5:$H$92,'Daftar Koreksi'!$D$5:$D$92,'0800'!A246,'Daftar Koreksi'!$G$5:$G$92,"Aset Tak Berwujud",'Daftar Koreksi'!$H$5:$H$92,"&lt;0")-SUMIFS('Daftar Koreksi'!$H$5:$H$92,'Daftar Koreksi'!$D$5:$D$92,'0800'!A246,'Daftar Koreksi'!$G$5:$G$92,"Aset Tak Berwujud",'Daftar Koreksi'!$H$5:$H$92,"&lt;0")-SUMIFS('Daftar Koreksi'!$H$5:$H$92,'Daftar Koreksi'!$D$5:$D$92,'0800'!A246,'Daftar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10608500</v>
      </c>
      <c r="E257" s="25">
        <f>SUMIFS('Daftar Koreksi'!$H$5:$H$92,'Daftar Koreksi'!$D$5:$D$92,'0800'!A246,'Daftar Koreksi'!$G$5:$G$92,"Aset Henti Guna",'Daftar Koreksi'!$H$5:$H$92,"&gt;0")</f>
        <v>0</v>
      </c>
      <c r="F257" s="25">
        <f>SUMIFS('Daftar Koreksi'!$H$5:$H$92,'Daftar Koreksi'!$D$5:$D$92,'0800'!A246,'Daftar Koreksi'!$G$5:$G$92,"Aset Henti Guna",'Daftar Koreksi'!$H$5:$H$92,"&lt;0")-SUMIFS('Daftar Koreksi'!$H$5:$H$92,'Daftar Koreksi'!$D$5:$D$92,'0800'!A246,'Daftar Koreksi'!$G$5:$G$92,"Aset Henti Guna",'Daftar Koreksi'!$H$5:$H$92,"&lt;0")-SUMIFS('Daftar Koreksi'!$H$5:$H$92,'Daftar Koreksi'!$D$5:$D$92,'0800'!A246,'Daftar Koreksi'!$G$5:$G$92,"Aset Henti Guna",'Daftar Koreksi'!$H$5:$H$92,"&lt;0")</f>
        <v>0</v>
      </c>
      <c r="G257" s="17">
        <f t="shared" si="11"/>
        <v>10608500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10692641495</v>
      </c>
      <c r="E258" s="19">
        <f>SUM(E249:E257)</f>
        <v>0</v>
      </c>
      <c r="F258" s="19">
        <f>SUM(F249:F257)</f>
        <v>0</v>
      </c>
      <c r="G258" s="19">
        <f t="shared" si="11"/>
        <v>10692641495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-1468672740</v>
      </c>
      <c r="E259" s="25">
        <f>SUMIFS('Daftar Koreksi'!$I$5:$I$92,'Daftar Koreksi'!$D$5:$D$92,'0800'!A246,'Daftar Koreksi'!$G$5:$G$92,"Peralatan dan mesin",'Daftar Koreksi'!$I$5:$I$92,"&gt;0")</f>
        <v>0</v>
      </c>
      <c r="F259" s="25">
        <f>SUMIFS('Daftar Koreksi'!$I$5:$I$92,'Daftar Koreksi'!$D$5:$D$92,'0800'!A246,'Daftar Koreksi'!$G$5:$G$92,"Peralatan dan mesin",'Daftar Koreksi'!$I$5:$I$92,"&lt;0")-SUMIFS('Daftar Koreksi'!$I$5:$I$92,'Daftar Koreksi'!$D$5:$D$92,'0800'!A246,'Daftar Koreksi'!$G$5:$G$92,"Peralatan dan mesin",'Daftar Koreksi'!$I$5:$I$92,"&lt;0")-SUMIFS('Daftar Koreksi'!$I$5:$I$92,'Daftar Koreksi'!$D$5:$D$92,'0800'!A246,'Daftar Koreksi'!$G$5:$G$92,"Peralatan dan mesin",'Daftar Koreksi'!$I$5:$I$92,"&lt;0")</f>
        <v>0</v>
      </c>
      <c r="G259" s="17">
        <f t="shared" si="11"/>
        <v>-1468672740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-1891810268</v>
      </c>
      <c r="E260" s="25">
        <f>SUMIFS('Daftar Koreksi'!$I$5:$I$92,'Daftar Koreksi'!$D$5:$D$92,'0800'!A246,'Daftar Koreksi'!$G$5:$G$92,"Gedung dan Bangunan",'Daftar Koreksi'!$I$5:$I$92,"&gt;0")</f>
        <v>0</v>
      </c>
      <c r="F260" s="25">
        <f>SUMIFS('Daftar Koreksi'!$I$5:$I$92,'Daftar Koreksi'!$D$5:$D$92,'0800'!A246,'Daftar Koreksi'!$G$5:$G$92,"Gedung dan Bangunan",'Daftar Koreksi'!$I$5:$I$92,"&lt;0")-SUMIFS('Daftar Koreksi'!$I$5:$I$92,'Daftar Koreksi'!$D$5:$D$92,'0800'!A246,'Daftar Koreksi'!$G$5:$G$92,"Gedung dan Bangunan",'Daftar Koreksi'!$I$5:$I$92,"&lt;0")-SUMIFS('Daftar Koreksi'!$I$5:$I$92,'Daftar Koreksi'!$D$5:$D$92,'0800'!A246,'Daftar Koreksi'!$G$5:$G$92,"Gedung dan Bangunan",'Daftar Koreksi'!$I$5:$I$92,"&lt;0")</f>
        <v>0</v>
      </c>
      <c r="G260" s="17">
        <f t="shared" si="11"/>
        <v>-1891810268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-9597843</v>
      </c>
      <c r="E261" s="25">
        <f>SUMIFS('Daftar Koreksi'!$I$5:$I$92,'Daftar Koreksi'!$D$5:$D$92,'0800'!A246,'Daftar Koreksi'!$G$5:$G$92,"Jalan Irigasi Jaringan",'Daftar Koreksi'!$I$5:$I$92,"&gt;0")</f>
        <v>0</v>
      </c>
      <c r="F261" s="25">
        <f>SUMIFS('Daftar Koreksi'!$I$5:$I$92,'Daftar Koreksi'!$D$5:$D$92,'0800'!A246,'Daftar Koreksi'!$G$5:$G$92,"Jalan Irigasi Jaringan",'Daftar Koreksi'!$I$5:$I$92,"&lt;0")-SUMIFS('Daftar Koreksi'!$I$5:$I$92,'Daftar Koreksi'!$D$5:$D$92,'0800'!A246,'Daftar Koreksi'!$G$5:$G$92,"Jalan Irigasi Jaringan",'Daftar Koreksi'!$I$5:$I$92,"&lt;0")-SUMIFS('Daftar Koreksi'!$I$5:$I$92,'Daftar Koreksi'!$D$5:$D$92,'0800'!A246,'Daftar Koreksi'!$G$5:$G$92,"Jalan Irigasi Jaringan",'Daftar Koreksi'!$I$5:$I$92,"&lt;0")</f>
        <v>0</v>
      </c>
      <c r="G261" s="17">
        <f t="shared" si="11"/>
        <v>-9597843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Koreksi'!$D$5:$D$92,'0800'!A246,'Daftar Koreksi'!$G$5:$G$92,"Aset Tetap Lainnya",'Daftar Koreksi'!$I$5:$I$92,"&gt;0")</f>
        <v>0</v>
      </c>
      <c r="F262" s="25">
        <f>SUMIFS('Daftar Koreksi'!$I$5:$I$92,'Daftar Koreksi'!$D$5:$D$92,'0800'!A246,'Daftar Koreksi'!$G$5:$G$92,"Aset Tetap Lainnya",'Daftar Koreksi'!$I$5:$I$92,"&lt;0")-SUMIFS('Daftar Koreksi'!$I$5:$I$92,'Daftar Koreksi'!$D$5:$D$92,'0800'!A246,'Daftar Koreksi'!$G$5:$G$92,"Aset Tetap Lainnya",'Daftar Koreksi'!$I$5:$I$92,"&lt;0")-SUMIFS('Daftar Koreksi'!$I$5:$I$92,'Daftar Koreksi'!$D$5:$D$92,'0800'!A246,'Daftar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-10608500</v>
      </c>
      <c r="E263" s="25">
        <f>SUMIFS('Daftar Koreksi'!$I$5:$I$92,'Daftar Koreksi'!$D$5:$D$92,'0800'!A246,'Daftar Koreksi'!$G$5:$G$92,"Aset Henti Guna",'Daftar Koreksi'!$I$5:$I$92,"&gt;0")</f>
        <v>0</v>
      </c>
      <c r="F263" s="25">
        <f>SUMIFS('Daftar Koreksi'!$I$5:$I$92,'Daftar Koreksi'!$D$5:$D$92,'0800'!A246,'Daftar Koreksi'!$G$5:$G$92,"Aset Henti Guna",'Daftar Koreksi'!$I$5:$I$92,"&lt;0")-SUMIFS('Daftar Koreksi'!$I$5:$I$92,'Daftar Koreksi'!$D$5:$D$92,'0800'!A246,'Daftar Koreksi'!$G$5:$G$92,"Aset Henti Guna",'Daftar Koreksi'!$I$5:$I$92,"&lt;0")-SUMIFS('Daftar Koreksi'!$I$5:$I$92,'Daftar Koreksi'!$D$5:$D$92,'0800'!A246,'Daftar Koreksi'!$G$5:$G$92,"Aset Henti Guna",'Daftar Koreksi'!$I$5:$I$92,"&lt;0")</f>
        <v>0</v>
      </c>
      <c r="G263" s="17">
        <f t="shared" si="11"/>
        <v>-10608500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-3380689351</v>
      </c>
      <c r="E264" s="19">
        <f>SUM(E259:E263)</f>
        <v>0</v>
      </c>
      <c r="F264" s="19">
        <f>SUM(F259:F263)</f>
        <v>0</v>
      </c>
      <c r="G264" s="19">
        <f t="shared" si="11"/>
        <v>-3380689351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7311952144</v>
      </c>
      <c r="E265" s="19">
        <f>E264+E258</f>
        <v>0</v>
      </c>
      <c r="F265" s="19">
        <f>F264+F258</f>
        <v>0</v>
      </c>
      <c r="G265" s="19">
        <f t="shared" si="11"/>
        <v>7311952144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005010800400421000KD</v>
      </c>
      <c r="B268" s="11" t="str">
        <f>P13</f>
        <v>PN. Tanjung Pati</v>
      </c>
      <c r="C268" s="12" t="str">
        <f>A268&amp;" "&amp;B268</f>
        <v>005010800400421000KD PN. Tanjung Pati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1222290</v>
      </c>
      <c r="E271" s="25">
        <f>SUMIFS('Daftar Koreksi'!$H$5:$H$92,'Daftar Koreksi'!$D$5:$D$92,'0800'!A268,'Daftar Koreksi'!$G$5:$G$92,"Persediaan",'Daftar Koreksi'!$H$5:$H$92,"&gt;0")</f>
        <v>0</v>
      </c>
      <c r="F271" s="25">
        <f>SUMIFS('Daftar Koreksi'!$H$5:$H$92,'Daftar Koreksi'!$D$5:$D$92,'0800'!A268,'Daftar Koreksi'!$G$5:$G$92,"Persediaan",'Daftar Koreksi'!$H$5:$H$92,"&lt;0")-SUMIFS('Daftar Koreksi'!$H$5:$H$92,'Daftar Koreksi'!$D$5:$D$92,'0800'!A268,'Daftar Koreksi'!$G$5:$G$92,"Persediaan",'Daftar Koreksi'!$H$5:$H$92,"&lt;0")-SUMIFS('Daftar Koreksi'!$H$5:$H$92,'Daftar Koreksi'!$D$5:$D$92,'0800'!A268,'Daftar Koreksi'!$G$5:$G$92,"Persediaan",'Daftar Koreksi'!$H$5:$H$92,"&lt;0")</f>
        <v>0</v>
      </c>
      <c r="G271" s="17">
        <f>D271+E271-F271</f>
        <v>1222290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1694689080</v>
      </c>
      <c r="E272" s="25">
        <f>SUMIFS('Daftar Koreksi'!$H$5:$H$92,'Daftar Koreksi'!$D$5:$D$92,'0800'!A268,'Daftar Koreksi'!$G$5:$G$92,"Tanah",'Daftar Koreksi'!$H$5:$H$92,"&gt;0")</f>
        <v>0</v>
      </c>
      <c r="F272" s="25">
        <f>SUMIFS('Daftar Koreksi'!$H$5:$H$92,'Daftar Koreksi'!$D$5:$D$92,'0800'!A268,'Daftar Koreksi'!$G$5:$G$92,"Tanah",'Daftar Koreksi'!$H$5:$H$92,"&lt;0")-SUMIFS('Daftar Koreksi'!$H$5:$H$92,'Daftar Koreksi'!$D$5:$D$92,'0800'!A268,'Daftar Koreksi'!$G$5:$G$92,"Tanah",'Daftar Koreksi'!$H$5:$H$92,"&lt;0")-SUMIFS('Daftar Koreksi'!$H$5:$H$92,'Daftar Koreksi'!$D$5:$D$92,'0800'!A268,'Daftar Koreksi'!$G$5:$G$92,"Tanah",'Daftar Koreksi'!$H$5:$H$92,"&lt;0")</f>
        <v>0</v>
      </c>
      <c r="G272" s="17">
        <f t="shared" ref="G272:G288" si="12">D272+E272-F272</f>
        <v>1694689080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2029959416</v>
      </c>
      <c r="E273" s="25">
        <f>SUMIFS('Daftar Koreksi'!$H$5:$H$92,'Daftar Koreksi'!$D$5:$D$92,'0800'!A268,'Daftar Koreksi'!$G$5:$G$92,"Peralatan dan mesin",'Daftar Koreksi'!$H$5:$H$92,"&gt;0")</f>
        <v>0</v>
      </c>
      <c r="F273" s="25">
        <f>SUMIFS('Daftar Koreksi'!$H$5:$H$92,'Daftar Koreksi'!$D$5:$D$92,'0800'!A268,'Daftar Koreksi'!$G$5:$G$92,"Peralatan dan mesin",'Daftar Koreksi'!$H$5:$H$92,"&lt;0")-SUMIFS('Daftar Koreksi'!$H$5:$H$92,'Daftar Koreksi'!$D$5:$D$92,'0800'!A268,'Daftar Koreksi'!$G$5:$G$92,"Peralatan dan mesin",'Daftar Koreksi'!$H$5:$H$92,"&lt;0")-SUMIFS('Daftar Koreksi'!$H$5:$H$92,'Daftar Koreksi'!$D$5:$D$92,'0800'!A268,'Daftar Koreksi'!$G$5:$G$92,"Peralatan dan mesin",'Daftar Koreksi'!$H$5:$H$92,"&lt;0")</f>
        <v>0</v>
      </c>
      <c r="G273" s="17">
        <f t="shared" si="12"/>
        <v>2029959416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5757866190</v>
      </c>
      <c r="E274" s="25">
        <f>SUMIFS('Daftar Koreksi'!$H$5:$H$92,'Daftar Koreksi'!$D$5:$D$92,'0800'!A268,'Daftar Koreksi'!$G$5:$G$92,"Gedung dan Bangunan",'Daftar Koreksi'!$H$5:$H$92,"&gt;0")</f>
        <v>0</v>
      </c>
      <c r="F274" s="25">
        <f>SUMIFS('Daftar Koreksi'!$H$5:$H$92,'Daftar Koreksi'!$D$5:$D$92,'0800'!A268,'Daftar Koreksi'!$G$5:$G$92,"Gedung dan Bangunan",'Daftar Koreksi'!$H$5:$H$92,"&lt;0")-SUMIFS('Daftar Koreksi'!$H$5:$H$92,'Daftar Koreksi'!$D$5:$D$92,'0800'!A268,'Daftar Koreksi'!$G$5:$G$92,"Gedung dan Bangunan",'Daftar Koreksi'!$H$5:$H$92,"&lt;0")-SUMIFS('Daftar Koreksi'!$H$5:$H$92,'Daftar Koreksi'!$D$5:$D$92,'0800'!A268,'Daftar Koreksi'!$G$5:$G$92,"Gedung dan Bangunan",'Daftar Koreksi'!$H$5:$H$92,"&lt;0")</f>
        <v>0</v>
      </c>
      <c r="G274" s="17">
        <f t="shared" si="12"/>
        <v>5757866190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Koreksi'!$D$5:$D$92,'0800'!A268,'Daftar Koreksi'!$G$5:$G$92,"Jalan Irigasi Jaringan",'Daftar Koreksi'!$H$5:$H$92,"&gt;0")</f>
        <v>0</v>
      </c>
      <c r="F275" s="25">
        <f>SUMIFS('Daftar Koreksi'!$H$5:$H$92,'Daftar Koreksi'!$D$5:$D$92,'0800'!A268,'Daftar Koreksi'!$G$5:$G$92,"Jalan Irigasi Jaringan",'Daftar Koreksi'!$H$5:$H$92,"&lt;0")-SUMIFS('Daftar Koreksi'!$H$5:$H$92,'Daftar Koreksi'!$D$5:$D$92,'0800'!A268,'Daftar Koreksi'!$G$5:$G$92,"Jalan Irigasi Jaringan",'Daftar Koreksi'!$H$5:$H$92,"&lt;0")-SUMIFS('Daftar Koreksi'!$H$5:$H$92,'Daftar Koreksi'!$D$5:$D$92,'0800'!A268,'Daftar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30663840</v>
      </c>
      <c r="E276" s="25">
        <f>SUMIFS('Daftar Koreksi'!$H$5:$H$92,'Daftar Koreksi'!$D$5:$D$92,'0800'!A268,'Daftar Koreksi'!$G$5:$G$92,"Aset Tetap Lainnya",'Daftar Koreksi'!$H$5:$H$92,"&gt;0")</f>
        <v>0</v>
      </c>
      <c r="F276" s="25">
        <f>SUMIFS('Daftar Koreksi'!$H$5:$H$92,'Daftar Koreksi'!$D$5:$D$92,'0800'!A268,'Daftar Koreksi'!$G$5:$G$92,"Aset Tetap Lainnya",'Daftar Koreksi'!$H$5:$H$92,"&lt;0")-SUMIFS('Daftar Koreksi'!$H$5:$H$92,'Daftar Koreksi'!$D$5:$D$92,'0800'!A268,'Daftar Koreksi'!$G$5:$G$92,"Aset Tetap Lainnya",'Daftar Koreksi'!$H$5:$H$92,"&lt;0")-SUMIFS('Daftar Koreksi'!$H$5:$H$92,'Daftar Koreksi'!$D$5:$D$92,'0800'!A268,'Daftar Koreksi'!$G$5:$G$92,"Aset Tetap Lainnya",'Daftar Koreksi'!$H$5:$H$92,"&lt;0")</f>
        <v>0</v>
      </c>
      <c r="G276" s="17">
        <f t="shared" si="12"/>
        <v>30663840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Koreksi'!$D$5:$D$92,'0800'!A268,'Daftar Koreksi'!$G$5:$G$92,"Kontruksi Dalam Pengerjaan",'Daftar Koreksi'!$H$5:$H$92,"&gt;0")</f>
        <v>0</v>
      </c>
      <c r="F277" s="25">
        <f>SUMIFS('Daftar Koreksi'!$H$5:$H$92,'Daftar Koreksi'!$D$5:$D$92,'0800'!A268,'Daftar Koreksi'!$G$5:$G$92,"Kontruksi Dalam Pengerjaan",'Daftar Koreksi'!$H$5:$H$92,"&lt;0")-SUMIFS('Daftar Koreksi'!$H$5:$H$92,'Daftar Koreksi'!$D$5:$D$92,'0800'!A268,'Daftar Koreksi'!$G$5:$G$92,"Kontruksi Dalam Pengerjaan",'Daftar Koreksi'!$H$5:$H$92,"&lt;0")-SUMIFS('Daftar Koreksi'!$H$5:$H$92,'Daftar Koreksi'!$D$5:$D$92,'0800'!A268,'Daftar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20350000</v>
      </c>
      <c r="E278" s="25">
        <f>SUMIFS('Daftar Koreksi'!$H$5:$H$92,'Daftar Koreksi'!$D$5:$D$92,'0800'!A268,'Daftar Koreksi'!$G$5:$G$92,"Aset Tak Berwujud",'Daftar Koreksi'!$H$5:$H$92,"&gt;0")</f>
        <v>0</v>
      </c>
      <c r="F278" s="25">
        <f>SUMIFS('Daftar Koreksi'!$H$5:$H$92,'Daftar Koreksi'!$D$5:$D$92,'0800'!A268,'Daftar Koreksi'!$G$5:$G$92,"Aset Tak Berwujud",'Daftar Koreksi'!$H$5:$H$92,"&lt;0")-SUMIFS('Daftar Koreksi'!$H$5:$H$92,'Daftar Koreksi'!$D$5:$D$92,'0800'!A268,'Daftar Koreksi'!$G$5:$G$92,"Aset Tak Berwujud",'Daftar Koreksi'!$H$5:$H$92,"&lt;0")-SUMIFS('Daftar Koreksi'!$H$5:$H$92,'Daftar Koreksi'!$D$5:$D$92,'0800'!A268,'Daftar Koreksi'!$G$5:$G$92,"Aset Tak Berwujud",'Daftar Koreksi'!$H$5:$H$92,"&lt;0")</f>
        <v>0</v>
      </c>
      <c r="G278" s="17">
        <f t="shared" si="12"/>
        <v>20350000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144412329</v>
      </c>
      <c r="E279" s="25">
        <f>SUMIFS('Daftar Koreksi'!$H$5:$H$92,'Daftar Koreksi'!$D$5:$D$92,'0800'!A268,'Daftar Koreksi'!$G$5:$G$92,"Aset Henti Guna",'Daftar Koreksi'!$H$5:$H$92,"&gt;0")</f>
        <v>0</v>
      </c>
      <c r="F279" s="25">
        <f>SUMIFS('Daftar Koreksi'!$H$5:$H$92,'Daftar Koreksi'!$D$5:$D$92,'0800'!A268,'Daftar Koreksi'!$G$5:$G$92,"Aset Henti Guna",'Daftar Koreksi'!$H$5:$H$92,"&lt;0")-SUMIFS('Daftar Koreksi'!$H$5:$H$92,'Daftar Koreksi'!$D$5:$D$92,'0800'!A268,'Daftar Koreksi'!$G$5:$G$92,"Aset Henti Guna",'Daftar Koreksi'!$H$5:$H$92,"&lt;0")-SUMIFS('Daftar Koreksi'!$H$5:$H$92,'Daftar Koreksi'!$D$5:$D$92,'0800'!A268,'Daftar Koreksi'!$G$5:$G$92,"Aset Henti Guna",'Daftar Koreksi'!$H$5:$H$92,"&lt;0")</f>
        <v>0</v>
      </c>
      <c r="G279" s="17">
        <f t="shared" si="12"/>
        <v>144412329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9679163145</v>
      </c>
      <c r="E280" s="19">
        <f>SUM(E271:E279)</f>
        <v>0</v>
      </c>
      <c r="F280" s="19">
        <f>SUM(F271:F279)</f>
        <v>0</v>
      </c>
      <c r="G280" s="19">
        <f t="shared" si="12"/>
        <v>9679163145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-1702021852</v>
      </c>
      <c r="E281" s="25">
        <f>SUMIFS('Daftar Koreksi'!$I$5:$I$92,'Daftar Koreksi'!$D$5:$D$92,'0800'!A268,'Daftar Koreksi'!$G$5:$G$92,"Peralatan dan mesin",'Daftar Koreksi'!$I$5:$I$92,"&gt;0")</f>
        <v>0</v>
      </c>
      <c r="F281" s="25">
        <f>SUMIFS('Daftar Koreksi'!$I$5:$I$92,'Daftar Koreksi'!$D$5:$D$92,'0800'!A268,'Daftar Koreksi'!$G$5:$G$92,"Peralatan dan mesin",'Daftar Koreksi'!$I$5:$I$92,"&lt;0")-SUMIFS('Daftar Koreksi'!$I$5:$I$92,'Daftar Koreksi'!$D$5:$D$92,'0800'!A268,'Daftar Koreksi'!$G$5:$G$92,"Peralatan dan mesin",'Daftar Koreksi'!$I$5:$I$92,"&lt;0")-SUMIFS('Daftar Koreksi'!$I$5:$I$92,'Daftar Koreksi'!$D$5:$D$92,'0800'!A268,'Daftar Koreksi'!$G$5:$G$92,"Peralatan dan mesin",'Daftar Koreksi'!$I$5:$I$92,"&lt;0")</f>
        <v>0</v>
      </c>
      <c r="G281" s="17">
        <f t="shared" si="12"/>
        <v>-1702021852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-2412025104</v>
      </c>
      <c r="E282" s="25">
        <f>SUMIFS('Daftar Koreksi'!$I$5:$I$92,'Daftar Koreksi'!$D$5:$D$92,'0800'!A268,'Daftar Koreksi'!$G$5:$G$92,"Gedung dan Bangunan",'Daftar Koreksi'!$I$5:$I$92,"&gt;0")</f>
        <v>0</v>
      </c>
      <c r="F282" s="25">
        <f>SUMIFS('Daftar Koreksi'!$I$5:$I$92,'Daftar Koreksi'!$D$5:$D$92,'0800'!A268,'Daftar Koreksi'!$G$5:$G$92,"Gedung dan Bangunan",'Daftar Koreksi'!$I$5:$I$92,"&lt;0")-SUMIFS('Daftar Koreksi'!$I$5:$I$92,'Daftar Koreksi'!$D$5:$D$92,'0800'!A268,'Daftar Koreksi'!$G$5:$G$92,"Gedung dan Bangunan",'Daftar Koreksi'!$I$5:$I$92,"&lt;0")-SUMIFS('Daftar Koreksi'!$I$5:$I$92,'Daftar Koreksi'!$D$5:$D$92,'0800'!A268,'Daftar Koreksi'!$G$5:$G$92,"Gedung dan Bangunan",'Daftar Koreksi'!$I$5:$I$92,"&lt;0")</f>
        <v>0</v>
      </c>
      <c r="G282" s="17">
        <f t="shared" si="12"/>
        <v>-2412025104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Koreksi'!$D$5:$D$92,'0800'!A268,'Daftar Koreksi'!$G$5:$G$92,"Jalan Irigasi Jaringan",'Daftar Koreksi'!$I$5:$I$92,"&gt;0")</f>
        <v>0</v>
      </c>
      <c r="F283" s="25">
        <f>SUMIFS('Daftar Koreksi'!$I$5:$I$92,'Daftar Koreksi'!$D$5:$D$92,'0800'!A268,'Daftar Koreksi'!$G$5:$G$92,"Jalan Irigasi Jaringan",'Daftar Koreksi'!$I$5:$I$92,"&lt;0")-SUMIFS('Daftar Koreksi'!$I$5:$I$92,'Daftar Koreksi'!$D$5:$D$92,'0800'!A268,'Daftar Koreksi'!$G$5:$G$92,"Jalan Irigasi Jaringan",'Daftar Koreksi'!$I$5:$I$92,"&lt;0")-SUMIFS('Daftar Koreksi'!$I$5:$I$92,'Daftar Koreksi'!$D$5:$D$92,'0800'!A268,'Daftar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Koreksi'!$D$5:$D$92,'0800'!A268,'Daftar Koreksi'!$G$5:$G$92,"Aset Tetap Lainnya",'Daftar Koreksi'!$I$5:$I$92,"&gt;0")</f>
        <v>0</v>
      </c>
      <c r="F284" s="25">
        <f>SUMIFS('Daftar Koreksi'!$I$5:$I$92,'Daftar Koreksi'!$D$5:$D$92,'0800'!A268,'Daftar Koreksi'!$G$5:$G$92,"Aset Tetap Lainnya",'Daftar Koreksi'!$I$5:$I$92,"&lt;0")-SUMIFS('Daftar Koreksi'!$I$5:$I$92,'Daftar Koreksi'!$D$5:$D$92,'0800'!A268,'Daftar Koreksi'!$G$5:$G$92,"Aset Tetap Lainnya",'Daftar Koreksi'!$I$5:$I$92,"&lt;0")-SUMIFS('Daftar Koreksi'!$I$5:$I$92,'Daftar Koreksi'!$D$5:$D$92,'0800'!A268,'Daftar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-142755660</v>
      </c>
      <c r="E285" s="25">
        <f>SUMIFS('Daftar Koreksi'!$I$5:$I$92,'Daftar Koreksi'!$D$5:$D$92,'0800'!A268,'Daftar Koreksi'!$G$5:$G$92,"Aset Henti Guna",'Daftar Koreksi'!$I$5:$I$92,"&gt;0")</f>
        <v>0</v>
      </c>
      <c r="F285" s="25">
        <f>SUMIFS('Daftar Koreksi'!$I$5:$I$92,'Daftar Koreksi'!$D$5:$D$92,'0800'!A268,'Daftar Koreksi'!$G$5:$G$92,"Aset Henti Guna",'Daftar Koreksi'!$I$5:$I$92,"&lt;0")-SUMIFS('Daftar Koreksi'!$I$5:$I$92,'Daftar Koreksi'!$D$5:$D$92,'0800'!A268,'Daftar Koreksi'!$G$5:$G$92,"Aset Henti Guna",'Daftar Koreksi'!$I$5:$I$92,"&lt;0")-SUMIFS('Daftar Koreksi'!$I$5:$I$92,'Daftar Koreksi'!$D$5:$D$92,'0800'!A268,'Daftar Koreksi'!$G$5:$G$92,"Aset Henti Guna",'Daftar Koreksi'!$I$5:$I$92,"&lt;0")</f>
        <v>0</v>
      </c>
      <c r="G285" s="17">
        <f t="shared" si="12"/>
        <v>-142755660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-4256802616</v>
      </c>
      <c r="E286" s="19">
        <f>SUM(E281:E285)</f>
        <v>0</v>
      </c>
      <c r="F286" s="19">
        <f>SUM(F281:F285)</f>
        <v>0</v>
      </c>
      <c r="G286" s="19">
        <f t="shared" si="12"/>
        <v>-4256802616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5422360529</v>
      </c>
      <c r="E287" s="19">
        <f>E286+E280</f>
        <v>0</v>
      </c>
      <c r="F287" s="19">
        <f>F286+F280</f>
        <v>0</v>
      </c>
      <c r="G287" s="19">
        <f t="shared" si="12"/>
        <v>5422360529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005010800400446000KD</v>
      </c>
      <c r="B290" s="11" t="str">
        <f>P14</f>
        <v>PN. Koto Baru</v>
      </c>
      <c r="C290" s="12" t="str">
        <f>A290&amp;" "&amp;B290</f>
        <v>005010800400446000KD PN. Koto Baru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6291550</v>
      </c>
      <c r="E293" s="25">
        <f>SUMIFS('Daftar Koreksi'!$H$5:$H$92,'Daftar Koreksi'!$D$5:$D$92,'0800'!A290,'Daftar Koreksi'!$G$5:$G$92,"Persediaan",'Daftar Koreksi'!$H$5:$H$92,"&gt;0")</f>
        <v>0</v>
      </c>
      <c r="F293" s="25">
        <f>SUMIFS('Daftar Koreksi'!$H$5:$H$92,'Daftar Koreksi'!$D$5:$D$92,'0800'!A290,'Daftar Koreksi'!$G$5:$G$92,"Persediaan",'Daftar Koreksi'!$H$5:$H$92,"&lt;0")-SUMIFS('Daftar Koreksi'!$H$5:$H$92,'Daftar Koreksi'!$D$5:$D$92,'0800'!A290,'Daftar Koreksi'!$G$5:$G$92,"Persediaan",'Daftar Koreksi'!$H$5:$H$92,"&lt;0")-SUMIFS('Daftar Koreksi'!$H$5:$H$92,'Daftar Koreksi'!$D$5:$D$92,'0800'!A290,'Daftar Koreksi'!$G$5:$G$92,"Persediaan",'Daftar Koreksi'!$H$5:$H$92,"&lt;0")</f>
        <v>0</v>
      </c>
      <c r="G293" s="17">
        <f>D293+E293-F293</f>
        <v>6291550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2119000000</v>
      </c>
      <c r="E294" s="25">
        <f>SUMIFS('Daftar Koreksi'!$H$5:$H$92,'Daftar Koreksi'!$D$5:$D$92,'0800'!A290,'Daftar Koreksi'!$G$5:$G$92,"Tanah",'Daftar Koreksi'!$H$5:$H$92,"&gt;0")</f>
        <v>0</v>
      </c>
      <c r="F294" s="25">
        <f>SUMIFS('Daftar Koreksi'!$H$5:$H$92,'Daftar Koreksi'!$D$5:$D$92,'0800'!A290,'Daftar Koreksi'!$G$5:$G$92,"Tanah",'Daftar Koreksi'!$H$5:$H$92,"&lt;0")-SUMIFS('Daftar Koreksi'!$H$5:$H$92,'Daftar Koreksi'!$D$5:$D$92,'0800'!A290,'Daftar Koreksi'!$G$5:$G$92,"Tanah",'Daftar Koreksi'!$H$5:$H$92,"&lt;0")-SUMIFS('Daftar Koreksi'!$H$5:$H$92,'Daftar Koreksi'!$D$5:$D$92,'0800'!A290,'Daftar Koreksi'!$G$5:$G$92,"Tanah",'Daftar Koreksi'!$H$5:$H$92,"&lt;0")</f>
        <v>0</v>
      </c>
      <c r="G294" s="17">
        <f t="shared" ref="G294:G310" si="13">D294+E294-F294</f>
        <v>2119000000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1232459000</v>
      </c>
      <c r="E295" s="25">
        <f>SUMIFS('Daftar Koreksi'!$H$5:$H$92,'Daftar Koreksi'!$D$5:$D$92,'0800'!A290,'Daftar Koreksi'!$G$5:$G$92,"Peralatan dan mesin",'Daftar Koreksi'!$H$5:$H$92,"&gt;0")</f>
        <v>0</v>
      </c>
      <c r="F295" s="25">
        <f>SUMIFS('Daftar Koreksi'!$H$5:$H$92,'Daftar Koreksi'!$D$5:$D$92,'0800'!A290,'Daftar Koreksi'!$G$5:$G$92,"Peralatan dan mesin",'Daftar Koreksi'!$H$5:$H$92,"&lt;0")-SUMIFS('Daftar Koreksi'!$H$5:$H$92,'Daftar Koreksi'!$D$5:$D$92,'0800'!A290,'Daftar Koreksi'!$G$5:$G$92,"Peralatan dan mesin",'Daftar Koreksi'!$H$5:$H$92,"&lt;0")-SUMIFS('Daftar Koreksi'!$H$5:$H$92,'Daftar Koreksi'!$D$5:$D$92,'0800'!A290,'Daftar Koreksi'!$G$5:$G$92,"Peralatan dan mesin",'Daftar Koreksi'!$H$5:$H$92,"&lt;0")</f>
        <v>0</v>
      </c>
      <c r="G295" s="17">
        <f t="shared" si="13"/>
        <v>1232459000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2961181250</v>
      </c>
      <c r="E296" s="25">
        <f>SUMIFS('Daftar Koreksi'!$H$5:$H$92,'Daftar Koreksi'!$D$5:$D$92,'0800'!A290,'Daftar Koreksi'!$G$5:$G$92,"Gedung dan Bangunan",'Daftar Koreksi'!$H$5:$H$92,"&gt;0")</f>
        <v>0</v>
      </c>
      <c r="F296" s="25">
        <f>SUMIFS('Daftar Koreksi'!$H$5:$H$92,'Daftar Koreksi'!$D$5:$D$92,'0800'!A290,'Daftar Koreksi'!$G$5:$G$92,"Gedung dan Bangunan",'Daftar Koreksi'!$H$5:$H$92,"&lt;0")-SUMIFS('Daftar Koreksi'!$H$5:$H$92,'Daftar Koreksi'!$D$5:$D$92,'0800'!A290,'Daftar Koreksi'!$G$5:$G$92,"Gedung dan Bangunan",'Daftar Koreksi'!$H$5:$H$92,"&lt;0")-SUMIFS('Daftar Koreksi'!$H$5:$H$92,'Daftar Koreksi'!$D$5:$D$92,'0800'!A290,'Daftar Koreksi'!$G$5:$G$92,"Gedung dan Bangunan",'Daftar Koreksi'!$H$5:$H$92,"&lt;0")</f>
        <v>0</v>
      </c>
      <c r="G296" s="17">
        <f t="shared" si="13"/>
        <v>2961181250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44628000</v>
      </c>
      <c r="E297" s="25">
        <f>SUMIFS('Daftar Koreksi'!$H$5:$H$92,'Daftar Koreksi'!$D$5:$D$92,'0800'!A290,'Daftar Koreksi'!$G$5:$G$92,"Jalan Irigasi Jaringan",'Daftar Koreksi'!$H$5:$H$92,"&gt;0")</f>
        <v>0</v>
      </c>
      <c r="F297" s="25">
        <f>SUMIFS('Daftar Koreksi'!$H$5:$H$92,'Daftar Koreksi'!$D$5:$D$92,'0800'!A290,'Daftar Koreksi'!$G$5:$G$92,"Jalan Irigasi Jaringan",'Daftar Koreksi'!$H$5:$H$92,"&lt;0")-SUMIFS('Daftar Koreksi'!$H$5:$H$92,'Daftar Koreksi'!$D$5:$D$92,'0800'!A290,'Daftar Koreksi'!$G$5:$G$92,"Jalan Irigasi Jaringan",'Daftar Koreksi'!$H$5:$H$92,"&lt;0")-SUMIFS('Daftar Koreksi'!$H$5:$H$92,'Daftar Koreksi'!$D$5:$D$92,'0800'!A290,'Daftar Koreksi'!$G$5:$G$92,"Jalan Irigasi Jaringan",'Daftar Koreksi'!$H$5:$H$92,"&lt;0")</f>
        <v>0</v>
      </c>
      <c r="G297" s="17">
        <f t="shared" si="13"/>
        <v>44628000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9296082</v>
      </c>
      <c r="E298" s="25">
        <f>SUMIFS('Daftar Koreksi'!$H$5:$H$92,'Daftar Koreksi'!$D$5:$D$92,'0800'!A290,'Daftar Koreksi'!$G$5:$G$92,"Aset Tetap Lainnya",'Daftar Koreksi'!$H$5:$H$92,"&gt;0")</f>
        <v>0</v>
      </c>
      <c r="F298" s="25">
        <f>SUMIFS('Daftar Koreksi'!$H$5:$H$92,'Daftar Koreksi'!$D$5:$D$92,'0800'!A290,'Daftar Koreksi'!$G$5:$G$92,"Aset Tetap Lainnya",'Daftar Koreksi'!$H$5:$H$92,"&lt;0")-SUMIFS('Daftar Koreksi'!$H$5:$H$92,'Daftar Koreksi'!$D$5:$D$92,'0800'!A290,'Daftar Koreksi'!$G$5:$G$92,"Aset Tetap Lainnya",'Daftar Koreksi'!$H$5:$H$92,"&lt;0")-SUMIFS('Daftar Koreksi'!$H$5:$H$92,'Daftar Koreksi'!$D$5:$D$92,'0800'!A290,'Daftar Koreksi'!$G$5:$G$92,"Aset Tetap Lainnya",'Daftar Koreksi'!$H$5:$H$92,"&lt;0")</f>
        <v>0</v>
      </c>
      <c r="G298" s="17">
        <f t="shared" si="13"/>
        <v>9296082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Koreksi'!$D$5:$D$92,'0800'!A290,'Daftar Koreksi'!$G$5:$G$92,"Kontruksi Dalam Pengerjaan",'Daftar Koreksi'!$H$5:$H$92,"&gt;0")</f>
        <v>0</v>
      </c>
      <c r="F299" s="25">
        <f>SUMIFS('Daftar Koreksi'!$H$5:$H$92,'Daftar Koreksi'!$D$5:$D$92,'0800'!A290,'Daftar Koreksi'!$G$5:$G$92,"Kontruksi Dalam Pengerjaan",'Daftar Koreksi'!$H$5:$H$92,"&lt;0")-SUMIFS('Daftar Koreksi'!$H$5:$H$92,'Daftar Koreksi'!$D$5:$D$92,'0800'!A290,'Daftar Koreksi'!$G$5:$G$92,"Kontruksi Dalam Pengerjaan",'Daftar Koreksi'!$H$5:$H$92,"&lt;0")-SUMIFS('Daftar Koreksi'!$H$5:$H$92,'Daftar Koreksi'!$D$5:$D$92,'0800'!A290,'Daftar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22000000</v>
      </c>
      <c r="E300" s="25">
        <f>SUMIFS('Daftar Koreksi'!$H$5:$H$92,'Daftar Koreksi'!$D$5:$D$92,'0800'!A290,'Daftar Koreksi'!$G$5:$G$92,"Aset Tak Berwujud",'Daftar Koreksi'!$H$5:$H$92,"&gt;0")</f>
        <v>0</v>
      </c>
      <c r="F300" s="25">
        <f>SUMIFS('Daftar Koreksi'!$H$5:$H$92,'Daftar Koreksi'!$D$5:$D$92,'0800'!A290,'Daftar Koreksi'!$G$5:$G$92,"Aset Tak Berwujud",'Daftar Koreksi'!$H$5:$H$92,"&lt;0")-SUMIFS('Daftar Koreksi'!$H$5:$H$92,'Daftar Koreksi'!$D$5:$D$92,'0800'!A290,'Daftar Koreksi'!$G$5:$G$92,"Aset Tak Berwujud",'Daftar Koreksi'!$H$5:$H$92,"&lt;0")-SUMIFS('Daftar Koreksi'!$H$5:$H$92,'Daftar Koreksi'!$D$5:$D$92,'0800'!A290,'Daftar Koreksi'!$G$5:$G$92,"Aset Tak Berwujud",'Daftar Koreksi'!$H$5:$H$92,"&lt;0")</f>
        <v>0</v>
      </c>
      <c r="G300" s="17">
        <f t="shared" si="13"/>
        <v>22000000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41000000</v>
      </c>
      <c r="E301" s="25">
        <f>SUMIFS('Daftar Koreksi'!$H$5:$H$92,'Daftar Koreksi'!$D$5:$D$92,'0800'!A290,'Daftar Koreksi'!$G$5:$G$92,"Aset Henti Guna",'Daftar Koreksi'!$H$5:$H$92,"&gt;0")</f>
        <v>0</v>
      </c>
      <c r="F301" s="25">
        <f>SUMIFS('Daftar Koreksi'!$H$5:$H$92,'Daftar Koreksi'!$D$5:$D$92,'0800'!A290,'Daftar Koreksi'!$G$5:$G$92,"Aset Henti Guna",'Daftar Koreksi'!$H$5:$H$92,"&lt;0")-SUMIFS('Daftar Koreksi'!$H$5:$H$92,'Daftar Koreksi'!$D$5:$D$92,'0800'!A290,'Daftar Koreksi'!$G$5:$G$92,"Aset Henti Guna",'Daftar Koreksi'!$H$5:$H$92,"&lt;0")-SUMIFS('Daftar Koreksi'!$H$5:$H$92,'Daftar Koreksi'!$D$5:$D$92,'0800'!A290,'Daftar Koreksi'!$G$5:$G$92,"Aset Henti Guna",'Daftar Koreksi'!$H$5:$H$92,"&lt;0")</f>
        <v>0</v>
      </c>
      <c r="G301" s="17">
        <f t="shared" si="13"/>
        <v>41000000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6435855882</v>
      </c>
      <c r="E302" s="19">
        <f>SUM(E293:E301)</f>
        <v>0</v>
      </c>
      <c r="F302" s="19">
        <f>SUM(F293:F301)</f>
        <v>0</v>
      </c>
      <c r="G302" s="19">
        <f t="shared" si="13"/>
        <v>6435855882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-1112831777</v>
      </c>
      <c r="E303" s="25">
        <f>SUMIFS('Daftar Koreksi'!$I$5:$I$92,'Daftar Koreksi'!$D$5:$D$92,'0800'!A290,'Daftar Koreksi'!$G$5:$G$92,"Peralatan dan mesin",'Daftar Koreksi'!$I$5:$I$92,"&gt;0")</f>
        <v>0</v>
      </c>
      <c r="F303" s="25">
        <f>SUMIFS('Daftar Koreksi'!$I$5:$I$92,'Daftar Koreksi'!$D$5:$D$92,'0800'!A290,'Daftar Koreksi'!$G$5:$G$92,"Peralatan dan mesin",'Daftar Koreksi'!$I$5:$I$92,"&lt;0")-SUMIFS('Daftar Koreksi'!$I$5:$I$92,'Daftar Koreksi'!$D$5:$D$92,'0800'!A290,'Daftar Koreksi'!$G$5:$G$92,"Peralatan dan mesin",'Daftar Koreksi'!$I$5:$I$92,"&lt;0")-SUMIFS('Daftar Koreksi'!$I$5:$I$92,'Daftar Koreksi'!$D$5:$D$92,'0800'!A290,'Daftar Koreksi'!$G$5:$G$92,"Peralatan dan mesin",'Daftar Koreksi'!$I$5:$I$92,"&lt;0")</f>
        <v>0</v>
      </c>
      <c r="G303" s="17">
        <f t="shared" si="13"/>
        <v>-1112831777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-1975751610</v>
      </c>
      <c r="E304" s="25">
        <f>SUMIFS('Daftar Koreksi'!$I$5:$I$92,'Daftar Koreksi'!$D$5:$D$92,'0800'!A290,'Daftar Koreksi'!$G$5:$G$92,"Gedung dan Bangunan",'Daftar Koreksi'!$I$5:$I$92,"&gt;0")</f>
        <v>0</v>
      </c>
      <c r="F304" s="25">
        <f>SUMIFS('Daftar Koreksi'!$I$5:$I$92,'Daftar Koreksi'!$D$5:$D$92,'0800'!A290,'Daftar Koreksi'!$G$5:$G$92,"Gedung dan Bangunan",'Daftar Koreksi'!$I$5:$I$92,"&lt;0")-SUMIFS('Daftar Koreksi'!$I$5:$I$92,'Daftar Koreksi'!$D$5:$D$92,'0800'!A290,'Daftar Koreksi'!$G$5:$G$92,"Gedung dan Bangunan",'Daftar Koreksi'!$I$5:$I$92,"&lt;0")-SUMIFS('Daftar Koreksi'!$I$5:$I$92,'Daftar Koreksi'!$D$5:$D$92,'0800'!A290,'Daftar Koreksi'!$G$5:$G$92,"Gedung dan Bangunan",'Daftar Koreksi'!$I$5:$I$92,"&lt;0")</f>
        <v>0</v>
      </c>
      <c r="G304" s="17">
        <f t="shared" si="13"/>
        <v>-1975751610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-7252050</v>
      </c>
      <c r="E305" s="25">
        <f>SUMIFS('Daftar Koreksi'!$I$5:$I$92,'Daftar Koreksi'!$D$5:$D$92,'0800'!A290,'Daftar Koreksi'!$G$5:$G$92,"Jalan Irigasi Jaringan",'Daftar Koreksi'!$I$5:$I$92,"&gt;0")</f>
        <v>0</v>
      </c>
      <c r="F305" s="25">
        <f>SUMIFS('Daftar Koreksi'!$I$5:$I$92,'Daftar Koreksi'!$D$5:$D$92,'0800'!A290,'Daftar Koreksi'!$G$5:$G$92,"Jalan Irigasi Jaringan",'Daftar Koreksi'!$I$5:$I$92,"&lt;0")-SUMIFS('Daftar Koreksi'!$I$5:$I$92,'Daftar Koreksi'!$D$5:$D$92,'0800'!A290,'Daftar Koreksi'!$G$5:$G$92,"Jalan Irigasi Jaringan",'Daftar Koreksi'!$I$5:$I$92,"&lt;0")-SUMIFS('Daftar Koreksi'!$I$5:$I$92,'Daftar Koreksi'!$D$5:$D$92,'0800'!A290,'Daftar Koreksi'!$G$5:$G$92,"Jalan Irigasi Jaringan",'Daftar Koreksi'!$I$5:$I$92,"&lt;0")</f>
        <v>0</v>
      </c>
      <c r="G305" s="17">
        <f t="shared" si="13"/>
        <v>-7252050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Koreksi'!$D$5:$D$92,'0800'!A290,'Daftar Koreksi'!$G$5:$G$92,"Aset Tetap Lainnya",'Daftar Koreksi'!$I$5:$I$92,"&gt;0")</f>
        <v>0</v>
      </c>
      <c r="F306" s="25">
        <f>SUMIFS('Daftar Koreksi'!$I$5:$I$92,'Daftar Koreksi'!$D$5:$D$92,'0800'!A290,'Daftar Koreksi'!$G$5:$G$92,"Aset Tetap Lainnya",'Daftar Koreksi'!$I$5:$I$92,"&lt;0")-SUMIFS('Daftar Koreksi'!$I$5:$I$92,'Daftar Koreksi'!$D$5:$D$92,'0800'!A290,'Daftar Koreksi'!$G$5:$G$92,"Aset Tetap Lainnya",'Daftar Koreksi'!$I$5:$I$92,"&lt;0")-SUMIFS('Daftar Koreksi'!$I$5:$I$92,'Daftar Koreksi'!$D$5:$D$92,'0800'!A290,'Daftar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-41000000</v>
      </c>
      <c r="E307" s="25">
        <f>SUMIFS('Daftar Koreksi'!$I$5:$I$92,'Daftar Koreksi'!$D$5:$D$92,'0800'!A290,'Daftar Koreksi'!$G$5:$G$92,"Aset Henti Guna",'Daftar Koreksi'!$I$5:$I$92,"&gt;0")</f>
        <v>0</v>
      </c>
      <c r="F307" s="25">
        <f>SUMIFS('Daftar Koreksi'!$I$5:$I$92,'Daftar Koreksi'!$D$5:$D$92,'0800'!A290,'Daftar Koreksi'!$G$5:$G$92,"Aset Henti Guna",'Daftar Koreksi'!$I$5:$I$92,"&lt;0")-SUMIFS('Daftar Koreksi'!$I$5:$I$92,'Daftar Koreksi'!$D$5:$D$92,'0800'!A290,'Daftar Koreksi'!$G$5:$G$92,"Aset Henti Guna",'Daftar Koreksi'!$I$5:$I$92,"&lt;0")-SUMIFS('Daftar Koreksi'!$I$5:$I$92,'Daftar Koreksi'!$D$5:$D$92,'0800'!A290,'Daftar Koreksi'!$G$5:$G$92,"Aset Henti Guna",'Daftar Koreksi'!$I$5:$I$92,"&lt;0")</f>
        <v>0</v>
      </c>
      <c r="G307" s="17">
        <f t="shared" si="13"/>
        <v>-41000000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-3136835437</v>
      </c>
      <c r="E308" s="19">
        <f>SUM(E303:E307)</f>
        <v>0</v>
      </c>
      <c r="F308" s="19">
        <f>SUM(F303:F307)</f>
        <v>0</v>
      </c>
      <c r="G308" s="19">
        <f t="shared" si="13"/>
        <v>-3136835437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3299020445</v>
      </c>
      <c r="E309" s="19">
        <f>E308+E302</f>
        <v>0</v>
      </c>
      <c r="F309" s="19">
        <f>F308+F302</f>
        <v>0</v>
      </c>
      <c r="G309" s="19">
        <f t="shared" si="13"/>
        <v>3299020445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005010800400461000KD</v>
      </c>
      <c r="B312" s="11" t="str">
        <f>P15</f>
        <v>PN. Muaro</v>
      </c>
      <c r="C312" s="12" t="str">
        <f>A312&amp;" "&amp;B312</f>
        <v>005010800400461000KD PN. Muaro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992275</v>
      </c>
      <c r="E315" s="25">
        <f>SUMIFS('Daftar Koreksi'!$H$5:$H$92,'Daftar Koreksi'!$D$5:$D$92,'0800'!A312,'Daftar Koreksi'!$G$5:$G$92,"Persediaan",'Daftar Koreksi'!$H$5:$H$92,"&gt;0")</f>
        <v>0</v>
      </c>
      <c r="F315" s="25">
        <f>SUMIFS('Daftar Koreksi'!$H$5:$H$92,'Daftar Koreksi'!$D$5:$D$92,'0800'!A312,'Daftar Koreksi'!$G$5:$G$92,"Persediaan",'Daftar Koreksi'!$H$5:$H$92,"&lt;0")-SUMIFS('Daftar Koreksi'!$H$5:$H$92,'Daftar Koreksi'!$D$5:$D$92,'0800'!A312,'Daftar Koreksi'!$G$5:$G$92,"Persediaan",'Daftar Koreksi'!$H$5:$H$92,"&lt;0")-SUMIFS('Daftar Koreksi'!$H$5:$H$92,'Daftar Koreksi'!$D$5:$D$92,'0800'!A312,'Daftar Koreksi'!$G$5:$G$92,"Persediaan",'Daftar Koreksi'!$H$5:$H$92,"&lt;0")</f>
        <v>0</v>
      </c>
      <c r="G315" s="17">
        <f>D315+E315-F315</f>
        <v>992275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787500000</v>
      </c>
      <c r="E316" s="25">
        <f>SUMIFS('Daftar Koreksi'!$H$5:$H$92,'Daftar Koreksi'!$D$5:$D$92,'0800'!A312,'Daftar Koreksi'!$G$5:$G$92,"Tanah",'Daftar Koreksi'!$H$5:$H$92,"&gt;0")</f>
        <v>0</v>
      </c>
      <c r="F316" s="25">
        <f>SUMIFS('Daftar Koreksi'!$H$5:$H$92,'Daftar Koreksi'!$D$5:$D$92,'0800'!A312,'Daftar Koreksi'!$G$5:$G$92,"Tanah",'Daftar Koreksi'!$H$5:$H$92,"&lt;0")-SUMIFS('Daftar Koreksi'!$H$5:$H$92,'Daftar Koreksi'!$D$5:$D$92,'0800'!A312,'Daftar Koreksi'!$G$5:$G$92,"Tanah",'Daftar Koreksi'!$H$5:$H$92,"&lt;0")-SUMIFS('Daftar Koreksi'!$H$5:$H$92,'Daftar Koreksi'!$D$5:$D$92,'0800'!A312,'Daftar Koreksi'!$G$5:$G$92,"Tanah",'Daftar Koreksi'!$H$5:$H$92,"&lt;0")</f>
        <v>0</v>
      </c>
      <c r="G316" s="17">
        <f t="shared" ref="G316:G332" si="14">D316+E316-F316</f>
        <v>787500000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1874308613</v>
      </c>
      <c r="E317" s="25">
        <f>SUMIFS('Daftar Koreksi'!$H$5:$H$92,'Daftar Koreksi'!$D$5:$D$92,'0800'!A312,'Daftar Koreksi'!$G$5:$G$92,"Peralatan dan mesin",'Daftar Koreksi'!$H$5:$H$92,"&gt;0")</f>
        <v>0</v>
      </c>
      <c r="F317" s="25">
        <f>SUMIFS('Daftar Koreksi'!$H$5:$H$92,'Daftar Koreksi'!$D$5:$D$92,'0800'!A312,'Daftar Koreksi'!$G$5:$G$92,"Peralatan dan mesin",'Daftar Koreksi'!$H$5:$H$92,"&lt;0")-SUMIFS('Daftar Koreksi'!$H$5:$H$92,'Daftar Koreksi'!$D$5:$D$92,'0800'!A312,'Daftar Koreksi'!$G$5:$G$92,"Peralatan dan mesin",'Daftar Koreksi'!$H$5:$H$92,"&lt;0")-SUMIFS('Daftar Koreksi'!$H$5:$H$92,'Daftar Koreksi'!$D$5:$D$92,'0800'!A312,'Daftar Koreksi'!$G$5:$G$92,"Peralatan dan mesin",'Daftar Koreksi'!$H$5:$H$92,"&lt;0")</f>
        <v>0</v>
      </c>
      <c r="G317" s="17">
        <f t="shared" si="14"/>
        <v>1874308613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5428630000</v>
      </c>
      <c r="E318" s="25">
        <f>SUMIFS('Daftar Koreksi'!$H$5:$H$92,'Daftar Koreksi'!$D$5:$D$92,'0800'!A312,'Daftar Koreksi'!$G$5:$G$92,"Gedung dan Bangunan",'Daftar Koreksi'!$H$5:$H$92,"&gt;0")</f>
        <v>0</v>
      </c>
      <c r="F318" s="25">
        <f>SUMIFS('Daftar Koreksi'!$H$5:$H$92,'Daftar Koreksi'!$D$5:$D$92,'0800'!A312,'Daftar Koreksi'!$G$5:$G$92,"Gedung dan Bangunan",'Daftar Koreksi'!$H$5:$H$92,"&lt;0")-SUMIFS('Daftar Koreksi'!$H$5:$H$92,'Daftar Koreksi'!$D$5:$D$92,'0800'!A312,'Daftar Koreksi'!$G$5:$G$92,"Gedung dan Bangunan",'Daftar Koreksi'!$H$5:$H$92,"&lt;0")-SUMIFS('Daftar Koreksi'!$H$5:$H$92,'Daftar Koreksi'!$D$5:$D$92,'0800'!A312,'Daftar Koreksi'!$G$5:$G$92,"Gedung dan Bangunan",'Daftar Koreksi'!$H$5:$H$92,"&lt;0")</f>
        <v>0</v>
      </c>
      <c r="G318" s="17">
        <f t="shared" si="14"/>
        <v>5428630000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175063700</v>
      </c>
      <c r="E319" s="25">
        <f>SUMIFS('Daftar Koreksi'!$H$5:$H$92,'Daftar Koreksi'!$D$5:$D$92,'0800'!A312,'Daftar Koreksi'!$G$5:$G$92,"Jalan Irigasi Jaringan",'Daftar Koreksi'!$H$5:$H$92,"&gt;0")</f>
        <v>0</v>
      </c>
      <c r="F319" s="25">
        <f>SUMIFS('Daftar Koreksi'!$H$5:$H$92,'Daftar Koreksi'!$D$5:$D$92,'0800'!A312,'Daftar Koreksi'!$G$5:$G$92,"Jalan Irigasi Jaringan",'Daftar Koreksi'!$H$5:$H$92,"&lt;0")-SUMIFS('Daftar Koreksi'!$H$5:$H$92,'Daftar Koreksi'!$D$5:$D$92,'0800'!A312,'Daftar Koreksi'!$G$5:$G$92,"Jalan Irigasi Jaringan",'Daftar Koreksi'!$H$5:$H$92,"&lt;0")-SUMIFS('Daftar Koreksi'!$H$5:$H$92,'Daftar Koreksi'!$D$5:$D$92,'0800'!A312,'Daftar Koreksi'!$G$5:$G$92,"Jalan Irigasi Jaringan",'Daftar Koreksi'!$H$5:$H$92,"&lt;0")</f>
        <v>0</v>
      </c>
      <c r="G319" s="17">
        <f t="shared" si="14"/>
        <v>175063700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1943440</v>
      </c>
      <c r="E320" s="25">
        <f>SUMIFS('Daftar Koreksi'!$H$5:$H$92,'Daftar Koreksi'!$D$5:$D$92,'0800'!A312,'Daftar Koreksi'!$G$5:$G$92,"Aset Tetap Lainnya",'Daftar Koreksi'!$H$5:$H$92,"&gt;0")</f>
        <v>0</v>
      </c>
      <c r="F320" s="25">
        <f>SUMIFS('Daftar Koreksi'!$H$5:$H$92,'Daftar Koreksi'!$D$5:$D$92,'0800'!A312,'Daftar Koreksi'!$G$5:$G$92,"Aset Tetap Lainnya",'Daftar Koreksi'!$H$5:$H$92,"&lt;0")-SUMIFS('Daftar Koreksi'!$H$5:$H$92,'Daftar Koreksi'!$D$5:$D$92,'0800'!A312,'Daftar Koreksi'!$G$5:$G$92,"Aset Tetap Lainnya",'Daftar Koreksi'!$H$5:$H$92,"&lt;0")-SUMIFS('Daftar Koreksi'!$H$5:$H$92,'Daftar Koreksi'!$D$5:$D$92,'0800'!A312,'Daftar Koreksi'!$G$5:$G$92,"Aset Tetap Lainnya",'Daftar Koreksi'!$H$5:$H$92,"&lt;0")</f>
        <v>0</v>
      </c>
      <c r="G320" s="17">
        <f t="shared" si="14"/>
        <v>1943440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Koreksi'!$D$5:$D$92,'0800'!A312,'Daftar Koreksi'!$G$5:$G$92,"Kontruksi Dalam Pengerjaan",'Daftar Koreksi'!$H$5:$H$92,"&gt;0")</f>
        <v>0</v>
      </c>
      <c r="F321" s="25">
        <f>SUMIFS('Daftar Koreksi'!$H$5:$H$92,'Daftar Koreksi'!$D$5:$D$92,'0800'!A312,'Daftar Koreksi'!$G$5:$G$92,"Kontruksi Dalam Pengerjaan",'Daftar Koreksi'!$H$5:$H$92,"&lt;0")-SUMIFS('Daftar Koreksi'!$H$5:$H$92,'Daftar Koreksi'!$D$5:$D$92,'0800'!A312,'Daftar Koreksi'!$G$5:$G$92,"Kontruksi Dalam Pengerjaan",'Daftar Koreksi'!$H$5:$H$92,"&lt;0")-SUMIFS('Daftar Koreksi'!$H$5:$H$92,'Daftar Koreksi'!$D$5:$D$92,'0800'!A312,'Daftar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Koreksi'!$D$5:$D$92,'0800'!A312,'Daftar Koreksi'!$G$5:$G$92,"Aset Tak Berwujud",'Daftar Koreksi'!$H$5:$H$92,"&gt;0")</f>
        <v>0</v>
      </c>
      <c r="F322" s="25">
        <f>SUMIFS('Daftar Koreksi'!$H$5:$H$92,'Daftar Koreksi'!$D$5:$D$92,'0800'!A312,'Daftar Koreksi'!$G$5:$G$92,"Aset Tak Berwujud",'Daftar Koreksi'!$H$5:$H$92,"&lt;0")-SUMIFS('Daftar Koreksi'!$H$5:$H$92,'Daftar Koreksi'!$D$5:$D$92,'0800'!A312,'Daftar Koreksi'!$G$5:$G$92,"Aset Tak Berwujud",'Daftar Koreksi'!$H$5:$H$92,"&lt;0")-SUMIFS('Daftar Koreksi'!$H$5:$H$92,'Daftar Koreksi'!$D$5:$D$92,'0800'!A312,'Daftar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Koreksi'!$D$5:$D$92,'0800'!A312,'Daftar Koreksi'!$G$5:$G$92,"Aset Henti Guna",'Daftar Koreksi'!$H$5:$H$92,"&gt;0")</f>
        <v>0</v>
      </c>
      <c r="F323" s="25">
        <f>SUMIFS('Daftar Koreksi'!$H$5:$H$92,'Daftar Koreksi'!$D$5:$D$92,'0800'!A312,'Daftar Koreksi'!$G$5:$G$92,"Aset Henti Guna",'Daftar Koreksi'!$H$5:$H$92,"&lt;0")-SUMIFS('Daftar Koreksi'!$H$5:$H$92,'Daftar Koreksi'!$D$5:$D$92,'0800'!A312,'Daftar Koreksi'!$G$5:$G$92,"Aset Henti Guna",'Daftar Koreksi'!$H$5:$H$92,"&lt;0")-SUMIFS('Daftar Koreksi'!$H$5:$H$92,'Daftar Koreksi'!$D$5:$D$92,'0800'!A312,'Daftar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8268438028</v>
      </c>
      <c r="E324" s="19">
        <f>SUM(E315:E323)</f>
        <v>0</v>
      </c>
      <c r="F324" s="19">
        <f>SUM(F315:F323)</f>
        <v>0</v>
      </c>
      <c r="G324" s="19">
        <f t="shared" si="14"/>
        <v>8268438028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-1614258493</v>
      </c>
      <c r="E325" s="25">
        <f>SUMIFS('Daftar Koreksi'!$I$5:$I$92,'Daftar Koreksi'!$D$5:$D$92,'0800'!A312,'Daftar Koreksi'!$G$5:$G$92,"Peralatan dan mesin",'Daftar Koreksi'!$I$5:$I$92,"&gt;0")</f>
        <v>0</v>
      </c>
      <c r="F325" s="25">
        <f>SUMIFS('Daftar Koreksi'!$I$5:$I$92,'Daftar Koreksi'!$D$5:$D$92,'0800'!A312,'Daftar Koreksi'!$G$5:$G$92,"Peralatan dan mesin",'Daftar Koreksi'!$I$5:$I$92,"&lt;0")-SUMIFS('Daftar Koreksi'!$I$5:$I$92,'Daftar Koreksi'!$D$5:$D$92,'0800'!A312,'Daftar Koreksi'!$G$5:$G$92,"Peralatan dan mesin",'Daftar Koreksi'!$I$5:$I$92,"&lt;0")-SUMIFS('Daftar Koreksi'!$I$5:$I$92,'Daftar Koreksi'!$D$5:$D$92,'0800'!A312,'Daftar Koreksi'!$G$5:$G$92,"Peralatan dan mesin",'Daftar Koreksi'!$I$5:$I$92,"&lt;0")</f>
        <v>0</v>
      </c>
      <c r="G325" s="17">
        <f t="shared" si="14"/>
        <v>-1614258493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-1253436764</v>
      </c>
      <c r="E326" s="25">
        <f>SUMIFS('Daftar Koreksi'!$I$5:$I$92,'Daftar Koreksi'!$D$5:$D$92,'0800'!A312,'Daftar Koreksi'!$G$5:$G$92,"Gedung dan Bangunan",'Daftar Koreksi'!$I$5:$I$92,"&gt;0")</f>
        <v>0</v>
      </c>
      <c r="F326" s="25">
        <f>SUMIFS('Daftar Koreksi'!$I$5:$I$92,'Daftar Koreksi'!$D$5:$D$92,'0800'!A312,'Daftar Koreksi'!$G$5:$G$92,"Gedung dan Bangunan",'Daftar Koreksi'!$I$5:$I$92,"&lt;0")-SUMIFS('Daftar Koreksi'!$I$5:$I$92,'Daftar Koreksi'!$D$5:$D$92,'0800'!A312,'Daftar Koreksi'!$G$5:$G$92,"Gedung dan Bangunan",'Daftar Koreksi'!$I$5:$I$92,"&lt;0")-SUMIFS('Daftar Koreksi'!$I$5:$I$92,'Daftar Koreksi'!$D$5:$D$92,'0800'!A312,'Daftar Koreksi'!$G$5:$G$92,"Gedung dan Bangunan",'Daftar Koreksi'!$I$5:$I$92,"&lt;0")</f>
        <v>0</v>
      </c>
      <c r="G326" s="17">
        <f t="shared" si="14"/>
        <v>-1253436764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-108417690</v>
      </c>
      <c r="E327" s="25">
        <f>SUMIFS('Daftar Koreksi'!$I$5:$I$92,'Daftar Koreksi'!$D$5:$D$92,'0800'!A312,'Daftar Koreksi'!$G$5:$G$92,"Jalan Irigasi Jaringan",'Daftar Koreksi'!$I$5:$I$92,"&gt;0")</f>
        <v>0</v>
      </c>
      <c r="F327" s="25">
        <f>SUMIFS('Daftar Koreksi'!$I$5:$I$92,'Daftar Koreksi'!$D$5:$D$92,'0800'!A312,'Daftar Koreksi'!$G$5:$G$92,"Jalan Irigasi Jaringan",'Daftar Koreksi'!$I$5:$I$92,"&lt;0")-SUMIFS('Daftar Koreksi'!$I$5:$I$92,'Daftar Koreksi'!$D$5:$D$92,'0800'!A312,'Daftar Koreksi'!$G$5:$G$92,"Jalan Irigasi Jaringan",'Daftar Koreksi'!$I$5:$I$92,"&lt;0")-SUMIFS('Daftar Koreksi'!$I$5:$I$92,'Daftar Koreksi'!$D$5:$D$92,'0800'!A312,'Daftar Koreksi'!$G$5:$G$92,"Jalan Irigasi Jaringan",'Daftar Koreksi'!$I$5:$I$92,"&lt;0")</f>
        <v>0</v>
      </c>
      <c r="G327" s="17">
        <f t="shared" si="14"/>
        <v>-108417690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Koreksi'!$D$5:$D$92,'0800'!A312,'Daftar Koreksi'!$G$5:$G$92,"Aset Tetap Lainnya",'Daftar Koreksi'!$I$5:$I$92,"&gt;0")</f>
        <v>0</v>
      </c>
      <c r="F328" s="25">
        <f>SUMIFS('Daftar Koreksi'!$I$5:$I$92,'Daftar Koreksi'!$D$5:$D$92,'0800'!A312,'Daftar Koreksi'!$G$5:$G$92,"Aset Tetap Lainnya",'Daftar Koreksi'!$I$5:$I$92,"&lt;0")-SUMIFS('Daftar Koreksi'!$I$5:$I$92,'Daftar Koreksi'!$D$5:$D$92,'0800'!A312,'Daftar Koreksi'!$G$5:$G$92,"Aset Tetap Lainnya",'Daftar Koreksi'!$I$5:$I$92,"&lt;0")-SUMIFS('Daftar Koreksi'!$I$5:$I$92,'Daftar Koreksi'!$D$5:$D$92,'0800'!A312,'Daftar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Koreksi'!$D$5:$D$92,'0800'!A312,'Daftar Koreksi'!$G$5:$G$92,"Aset Henti Guna",'Daftar Koreksi'!$I$5:$I$92,"&gt;0")</f>
        <v>0</v>
      </c>
      <c r="F329" s="25">
        <f>SUMIFS('Daftar Koreksi'!$I$5:$I$92,'Daftar Koreksi'!$D$5:$D$92,'0800'!A312,'Daftar Koreksi'!$G$5:$G$92,"Aset Henti Guna",'Daftar Koreksi'!$I$5:$I$92,"&lt;0")-SUMIFS('Daftar Koreksi'!$I$5:$I$92,'Daftar Koreksi'!$D$5:$D$92,'0800'!A312,'Daftar Koreksi'!$G$5:$G$92,"Aset Henti Guna",'Daftar Koreksi'!$I$5:$I$92,"&lt;0")-SUMIFS('Daftar Koreksi'!$I$5:$I$92,'Daftar Koreksi'!$D$5:$D$92,'0800'!A312,'Daftar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-2976112947</v>
      </c>
      <c r="E330" s="19">
        <f>SUM(E325:E329)</f>
        <v>0</v>
      </c>
      <c r="F330" s="19">
        <f>SUM(F325:F329)</f>
        <v>0</v>
      </c>
      <c r="G330" s="19">
        <f t="shared" si="14"/>
        <v>-2976112947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5292325081</v>
      </c>
      <c r="E331" s="19">
        <f>E330+E324</f>
        <v>0</v>
      </c>
      <c r="F331" s="19">
        <f>F330+F324</f>
        <v>0</v>
      </c>
      <c r="G331" s="19">
        <f t="shared" si="14"/>
        <v>5292325081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005010800401900000KD</v>
      </c>
      <c r="B334" s="11" t="str">
        <f>P16</f>
        <v>PTA. Padang</v>
      </c>
      <c r="C334" s="12" t="str">
        <f>A334&amp;" "&amp;B334</f>
        <v>005010800401900000KD PTA. Padang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14033116</v>
      </c>
      <c r="E337" s="25">
        <f>SUMIFS('Daftar Koreksi'!$H$5:$H$92,'Daftar Koreksi'!$D$5:$D$92,'0800'!A334,'Daftar Koreksi'!$G$5:$G$92,"Persediaan",'Daftar Koreksi'!$H$5:$H$92,"&gt;0")</f>
        <v>0</v>
      </c>
      <c r="F337" s="25">
        <f>SUMIFS('Daftar Koreksi'!$H$5:$H$92,'Daftar Koreksi'!$D$5:$D$92,'0800'!A334,'Daftar Koreksi'!$G$5:$G$92,"Persediaan",'Daftar Koreksi'!$H$5:$H$92,"&lt;0")-SUMIFS('Daftar Koreksi'!$H$5:$H$92,'Daftar Koreksi'!$D$5:$D$92,'0800'!A334,'Daftar Koreksi'!$G$5:$G$92,"Persediaan",'Daftar Koreksi'!$H$5:$H$92,"&lt;0")-SUMIFS('Daftar Koreksi'!$H$5:$H$92,'Daftar Koreksi'!$D$5:$D$92,'0800'!A334,'Daftar Koreksi'!$G$5:$G$92,"Persediaan",'Daftar Koreksi'!$H$5:$H$92,"&lt;0")</f>
        <v>0</v>
      </c>
      <c r="G337" s="17">
        <f>D337+E337-F337</f>
        <v>14033116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2715202000</v>
      </c>
      <c r="E338" s="25">
        <f>SUMIFS('Daftar Koreksi'!$H$5:$H$92,'Daftar Koreksi'!$D$5:$D$92,'0800'!A334,'Daftar Koreksi'!$G$5:$G$92,"Tanah",'Daftar Koreksi'!$H$5:$H$92,"&gt;0")</f>
        <v>0</v>
      </c>
      <c r="F338" s="25">
        <f>SUMIFS('Daftar Koreksi'!$H$5:$H$92,'Daftar Koreksi'!$D$5:$D$92,'0800'!A334,'Daftar Koreksi'!$G$5:$G$92,"Tanah",'Daftar Koreksi'!$H$5:$H$92,"&lt;0")-SUMIFS('Daftar Koreksi'!$H$5:$H$92,'Daftar Koreksi'!$D$5:$D$92,'0800'!A334,'Daftar Koreksi'!$G$5:$G$92,"Tanah",'Daftar Koreksi'!$H$5:$H$92,"&lt;0")-SUMIFS('Daftar Koreksi'!$H$5:$H$92,'Daftar Koreksi'!$D$5:$D$92,'0800'!A334,'Daftar Koreksi'!$G$5:$G$92,"Tanah",'Daftar Koreksi'!$H$5:$H$92,"&lt;0")</f>
        <v>0</v>
      </c>
      <c r="G338" s="17">
        <f t="shared" ref="G338:G354" si="15">D338+E338-F338</f>
        <v>2715202000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4644091040</v>
      </c>
      <c r="E339" s="25">
        <f>SUMIFS('Daftar Koreksi'!$H$5:$H$92,'Daftar Koreksi'!$D$5:$D$92,'0800'!A334,'Daftar Koreksi'!$G$5:$G$92,"Peralatan dan mesin",'Daftar Koreksi'!$H$5:$H$92,"&gt;0")</f>
        <v>0</v>
      </c>
      <c r="F339" s="25">
        <f>SUMIFS('Daftar Koreksi'!$H$5:$H$92,'Daftar Koreksi'!$D$5:$D$92,'0800'!A334,'Daftar Koreksi'!$G$5:$G$92,"Peralatan dan mesin",'Daftar Koreksi'!$H$5:$H$92,"&lt;0")-SUMIFS('Daftar Koreksi'!$H$5:$H$92,'Daftar Koreksi'!$D$5:$D$92,'0800'!A334,'Daftar Koreksi'!$G$5:$G$92,"Peralatan dan mesin",'Daftar Koreksi'!$H$5:$H$92,"&lt;0")-SUMIFS('Daftar Koreksi'!$H$5:$H$92,'Daftar Koreksi'!$D$5:$D$92,'0800'!A334,'Daftar Koreksi'!$G$5:$G$92,"Peralatan dan mesin",'Daftar Koreksi'!$H$5:$H$92,"&lt;0")</f>
        <v>0</v>
      </c>
      <c r="G339" s="17">
        <f t="shared" si="15"/>
        <v>4644091040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15329825132</v>
      </c>
      <c r="E340" s="25">
        <f>SUMIFS('Daftar Koreksi'!$H$5:$H$92,'Daftar Koreksi'!$D$5:$D$92,'0800'!A334,'Daftar Koreksi'!$G$5:$G$92,"Gedung dan Bangunan",'Daftar Koreksi'!$H$5:$H$92,"&gt;0")</f>
        <v>0</v>
      </c>
      <c r="F340" s="25">
        <f>SUMIFS('Daftar Koreksi'!$H$5:$H$92,'Daftar Koreksi'!$D$5:$D$92,'0800'!A334,'Daftar Koreksi'!$G$5:$G$92,"Gedung dan Bangunan",'Daftar Koreksi'!$H$5:$H$92,"&lt;0")-SUMIFS('Daftar Koreksi'!$H$5:$H$92,'Daftar Koreksi'!$D$5:$D$92,'0800'!A334,'Daftar Koreksi'!$G$5:$G$92,"Gedung dan Bangunan",'Daftar Koreksi'!$H$5:$H$92,"&lt;0")-SUMIFS('Daftar Koreksi'!$H$5:$H$92,'Daftar Koreksi'!$D$5:$D$92,'0800'!A334,'Daftar Koreksi'!$G$5:$G$92,"Gedung dan Bangunan",'Daftar Koreksi'!$H$5:$H$92,"&lt;0")</f>
        <v>0</v>
      </c>
      <c r="G340" s="17">
        <f t="shared" si="15"/>
        <v>15329825132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196280000</v>
      </c>
      <c r="E341" s="25">
        <f>SUMIFS('Daftar Koreksi'!$H$5:$H$92,'Daftar Koreksi'!$D$5:$D$92,'0800'!A334,'Daftar Koreksi'!$G$5:$G$92,"Jalan Irigasi Jaringan",'Daftar Koreksi'!$H$5:$H$92,"&gt;0")</f>
        <v>0</v>
      </c>
      <c r="F341" s="25">
        <f>SUMIFS('Daftar Koreksi'!$H$5:$H$92,'Daftar Koreksi'!$D$5:$D$92,'0800'!A334,'Daftar Koreksi'!$G$5:$G$92,"Jalan Irigasi Jaringan",'Daftar Koreksi'!$H$5:$H$92,"&lt;0")-SUMIFS('Daftar Koreksi'!$H$5:$H$92,'Daftar Koreksi'!$D$5:$D$92,'0800'!A334,'Daftar Koreksi'!$G$5:$G$92,"Jalan Irigasi Jaringan",'Daftar Koreksi'!$H$5:$H$92,"&lt;0")-SUMIFS('Daftar Koreksi'!$H$5:$H$92,'Daftar Koreksi'!$D$5:$D$92,'0800'!A334,'Daftar Koreksi'!$G$5:$G$92,"Jalan Irigasi Jaringan",'Daftar Koreksi'!$H$5:$H$92,"&lt;0")</f>
        <v>0</v>
      </c>
      <c r="G341" s="17">
        <f t="shared" si="15"/>
        <v>196280000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48382335</v>
      </c>
      <c r="E342" s="25">
        <f>SUMIFS('Daftar Koreksi'!$H$5:$H$92,'Daftar Koreksi'!$D$5:$D$92,'0800'!A334,'Daftar Koreksi'!$G$5:$G$92,"Aset Tetap Lainnya",'Daftar Koreksi'!$H$5:$H$92,"&gt;0")</f>
        <v>0</v>
      </c>
      <c r="F342" s="25">
        <f>SUMIFS('Daftar Koreksi'!$H$5:$H$92,'Daftar Koreksi'!$D$5:$D$92,'0800'!A334,'Daftar Koreksi'!$G$5:$G$92,"Aset Tetap Lainnya",'Daftar Koreksi'!$H$5:$H$92,"&lt;0")-SUMIFS('Daftar Koreksi'!$H$5:$H$92,'Daftar Koreksi'!$D$5:$D$92,'0800'!A334,'Daftar Koreksi'!$G$5:$G$92,"Aset Tetap Lainnya",'Daftar Koreksi'!$H$5:$H$92,"&lt;0")-SUMIFS('Daftar Koreksi'!$H$5:$H$92,'Daftar Koreksi'!$D$5:$D$92,'0800'!A334,'Daftar Koreksi'!$G$5:$G$92,"Aset Tetap Lainnya",'Daftar Koreksi'!$H$5:$H$92,"&lt;0")</f>
        <v>0</v>
      </c>
      <c r="G342" s="17">
        <f t="shared" si="15"/>
        <v>48382335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Koreksi'!$D$5:$D$92,'0800'!A334,'Daftar Koreksi'!$G$5:$G$92,"Kontruksi Dalam Pengerjaan",'Daftar Koreksi'!$H$5:$H$92,"&gt;0")</f>
        <v>0</v>
      </c>
      <c r="F343" s="25">
        <f>SUMIFS('Daftar Koreksi'!$H$5:$H$92,'Daftar Koreksi'!$D$5:$D$92,'0800'!A334,'Daftar Koreksi'!$G$5:$G$92,"Kontruksi Dalam Pengerjaan",'Daftar Koreksi'!$H$5:$H$92,"&lt;0")-SUMIFS('Daftar Koreksi'!$H$5:$H$92,'Daftar Koreksi'!$D$5:$D$92,'0800'!A334,'Daftar Koreksi'!$G$5:$G$92,"Kontruksi Dalam Pengerjaan",'Daftar Koreksi'!$H$5:$H$92,"&lt;0")-SUMIFS('Daftar Koreksi'!$H$5:$H$92,'Daftar Koreksi'!$D$5:$D$92,'0800'!A334,'Daftar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10890000</v>
      </c>
      <c r="E344" s="25">
        <f>SUMIFS('Daftar Koreksi'!$H$5:$H$92,'Daftar Koreksi'!$D$5:$D$92,'0800'!A334,'Daftar Koreksi'!$G$5:$G$92,"Aset Tak Berwujud",'Daftar Koreksi'!$H$5:$H$92,"&gt;0")</f>
        <v>0</v>
      </c>
      <c r="F344" s="25">
        <f>SUMIFS('Daftar Koreksi'!$H$5:$H$92,'Daftar Koreksi'!$D$5:$D$92,'0800'!A334,'Daftar Koreksi'!$G$5:$G$92,"Aset Tak Berwujud",'Daftar Koreksi'!$H$5:$H$92,"&lt;0")-SUMIFS('Daftar Koreksi'!$H$5:$H$92,'Daftar Koreksi'!$D$5:$D$92,'0800'!A334,'Daftar Koreksi'!$G$5:$G$92,"Aset Tak Berwujud",'Daftar Koreksi'!$H$5:$H$92,"&lt;0")-SUMIFS('Daftar Koreksi'!$H$5:$H$92,'Daftar Koreksi'!$D$5:$D$92,'0800'!A334,'Daftar Koreksi'!$G$5:$G$92,"Aset Tak Berwujud",'Daftar Koreksi'!$H$5:$H$92,"&lt;0")</f>
        <v>0</v>
      </c>
      <c r="G344" s="17">
        <f t="shared" si="15"/>
        <v>10890000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150264314</v>
      </c>
      <c r="E345" s="25">
        <f>SUMIFS('Daftar Koreksi'!$H$5:$H$92,'Daftar Koreksi'!$D$5:$D$92,'0800'!A334,'Daftar Koreksi'!$G$5:$G$92,"Aset Henti Guna",'Daftar Koreksi'!$H$5:$H$92,"&gt;0")</f>
        <v>0</v>
      </c>
      <c r="F345" s="25">
        <f>SUMIFS('Daftar Koreksi'!$H$5:$H$92,'Daftar Koreksi'!$D$5:$D$92,'0800'!A334,'Daftar Koreksi'!$G$5:$G$92,"Aset Henti Guna",'Daftar Koreksi'!$H$5:$H$92,"&lt;0")-SUMIFS('Daftar Koreksi'!$H$5:$H$92,'Daftar Koreksi'!$D$5:$D$92,'0800'!A334,'Daftar Koreksi'!$G$5:$G$92,"Aset Henti Guna",'Daftar Koreksi'!$H$5:$H$92,"&lt;0")-SUMIFS('Daftar Koreksi'!$H$5:$H$92,'Daftar Koreksi'!$D$5:$D$92,'0800'!A334,'Daftar Koreksi'!$G$5:$G$92,"Aset Henti Guna",'Daftar Koreksi'!$H$5:$H$92,"&lt;0")</f>
        <v>0</v>
      </c>
      <c r="G345" s="17">
        <f t="shared" si="15"/>
        <v>150264314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23108967937</v>
      </c>
      <c r="E346" s="19">
        <f>SUM(E337:E345)</f>
        <v>0</v>
      </c>
      <c r="F346" s="19">
        <f>SUM(F337:F345)</f>
        <v>0</v>
      </c>
      <c r="G346" s="19">
        <f t="shared" si="15"/>
        <v>23108967937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-3483033175</v>
      </c>
      <c r="E347" s="25">
        <f>SUMIFS('Daftar Koreksi'!$I$5:$I$92,'Daftar Koreksi'!$D$5:$D$92,'0800'!A334,'Daftar Koreksi'!$G$5:$G$92,"Peralatan dan mesin",'Daftar Koreksi'!$I$5:$I$92,"&gt;0")</f>
        <v>0</v>
      </c>
      <c r="F347" s="25">
        <f>SUMIFS('Daftar Koreksi'!$I$5:$I$92,'Daftar Koreksi'!$D$5:$D$92,'0800'!A334,'Daftar Koreksi'!$G$5:$G$92,"Peralatan dan mesin",'Daftar Koreksi'!$I$5:$I$92,"&lt;0")-SUMIFS('Daftar Koreksi'!$I$5:$I$92,'Daftar Koreksi'!$D$5:$D$92,'0800'!A334,'Daftar Koreksi'!$G$5:$G$92,"Peralatan dan mesin",'Daftar Koreksi'!$I$5:$I$92,"&lt;0")-SUMIFS('Daftar Koreksi'!$I$5:$I$92,'Daftar Koreksi'!$D$5:$D$92,'0800'!A334,'Daftar Koreksi'!$G$5:$G$92,"Peralatan dan mesin",'Daftar Koreksi'!$I$5:$I$92,"&lt;0")</f>
        <v>0</v>
      </c>
      <c r="G347" s="17">
        <f t="shared" si="15"/>
        <v>-3483033175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-1128043185</v>
      </c>
      <c r="E348" s="25">
        <f>SUMIFS('Daftar Koreksi'!$I$5:$I$92,'Daftar Koreksi'!$D$5:$D$92,'0800'!A334,'Daftar Koreksi'!$G$5:$G$92,"Gedung dan Bangunan",'Daftar Koreksi'!$I$5:$I$92,"&gt;0")</f>
        <v>0</v>
      </c>
      <c r="F348" s="25">
        <f>SUMIFS('Daftar Koreksi'!$I$5:$I$92,'Daftar Koreksi'!$D$5:$D$92,'0800'!A334,'Daftar Koreksi'!$G$5:$G$92,"Gedung dan Bangunan",'Daftar Koreksi'!$I$5:$I$92,"&lt;0")-SUMIFS('Daftar Koreksi'!$I$5:$I$92,'Daftar Koreksi'!$D$5:$D$92,'0800'!A334,'Daftar Koreksi'!$G$5:$G$92,"Gedung dan Bangunan",'Daftar Koreksi'!$I$5:$I$92,"&lt;0")-SUMIFS('Daftar Koreksi'!$I$5:$I$92,'Daftar Koreksi'!$D$5:$D$92,'0800'!A334,'Daftar Koreksi'!$G$5:$G$92,"Gedung dan Bangunan",'Daftar Koreksi'!$I$5:$I$92,"&lt;0")</f>
        <v>0</v>
      </c>
      <c r="G348" s="17">
        <f t="shared" si="15"/>
        <v>-1128043185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-6542666</v>
      </c>
      <c r="E349" s="25">
        <f>SUMIFS('Daftar Koreksi'!$I$5:$I$92,'Daftar Koreksi'!$D$5:$D$92,'0800'!A334,'Daftar Koreksi'!$G$5:$G$92,"Jalan Irigasi Jaringan",'Daftar Koreksi'!$I$5:$I$92,"&gt;0")</f>
        <v>0</v>
      </c>
      <c r="F349" s="25">
        <f>SUMIFS('Daftar Koreksi'!$I$5:$I$92,'Daftar Koreksi'!$D$5:$D$92,'0800'!A334,'Daftar Koreksi'!$G$5:$G$92,"Jalan Irigasi Jaringan",'Daftar Koreksi'!$I$5:$I$92,"&lt;0")-SUMIFS('Daftar Koreksi'!$I$5:$I$92,'Daftar Koreksi'!$D$5:$D$92,'0800'!A334,'Daftar Koreksi'!$G$5:$G$92,"Jalan Irigasi Jaringan",'Daftar Koreksi'!$I$5:$I$92,"&lt;0")-SUMIFS('Daftar Koreksi'!$I$5:$I$92,'Daftar Koreksi'!$D$5:$D$92,'0800'!A334,'Daftar Koreksi'!$G$5:$G$92,"Jalan Irigasi Jaringan",'Daftar Koreksi'!$I$5:$I$92,"&lt;0")</f>
        <v>0</v>
      </c>
      <c r="G349" s="17">
        <f t="shared" si="15"/>
        <v>-6542666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Koreksi'!$D$5:$D$92,'0800'!A334,'Daftar Koreksi'!$G$5:$G$92,"Aset Tetap Lainnya",'Daftar Koreksi'!$I$5:$I$92,"&gt;0")</f>
        <v>0</v>
      </c>
      <c r="F350" s="25">
        <f>SUMIFS('Daftar Koreksi'!$I$5:$I$92,'Daftar Koreksi'!$D$5:$D$92,'0800'!A334,'Daftar Koreksi'!$G$5:$G$92,"Aset Tetap Lainnya",'Daftar Koreksi'!$I$5:$I$92,"&lt;0")-SUMIFS('Daftar Koreksi'!$I$5:$I$92,'Daftar Koreksi'!$D$5:$D$92,'0800'!A334,'Daftar Koreksi'!$G$5:$G$92,"Aset Tetap Lainnya",'Daftar Koreksi'!$I$5:$I$92,"&lt;0")-SUMIFS('Daftar Koreksi'!$I$5:$I$92,'Daftar Koreksi'!$D$5:$D$92,'0800'!A334,'Daftar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-147236499</v>
      </c>
      <c r="E351" s="25">
        <f>SUMIFS('Daftar Koreksi'!$I$5:$I$92,'Daftar Koreksi'!$D$5:$D$92,'0800'!A334,'Daftar Koreksi'!$G$5:$G$92,"Aset Henti Guna",'Daftar Koreksi'!$I$5:$I$92,"&gt;0")</f>
        <v>0</v>
      </c>
      <c r="F351" s="25">
        <f>SUMIFS('Daftar Koreksi'!$I$5:$I$92,'Daftar Koreksi'!$D$5:$D$92,'0800'!A334,'Daftar Koreksi'!$G$5:$G$92,"Aset Henti Guna",'Daftar Koreksi'!$I$5:$I$92,"&lt;0")-SUMIFS('Daftar Koreksi'!$I$5:$I$92,'Daftar Koreksi'!$D$5:$D$92,'0800'!A334,'Daftar Koreksi'!$G$5:$G$92,"Aset Henti Guna",'Daftar Koreksi'!$I$5:$I$92,"&lt;0")-SUMIFS('Daftar Koreksi'!$I$5:$I$92,'Daftar Koreksi'!$D$5:$D$92,'0800'!A334,'Daftar Koreksi'!$G$5:$G$92,"Aset Henti Guna",'Daftar Koreksi'!$I$5:$I$92,"&lt;0")</f>
        <v>0</v>
      </c>
      <c r="G351" s="17">
        <f t="shared" si="15"/>
        <v>-147236499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-4764855525</v>
      </c>
      <c r="E352" s="19">
        <f>SUM(E347:E351)</f>
        <v>0</v>
      </c>
      <c r="F352" s="19">
        <f>SUM(F347:F351)</f>
        <v>0</v>
      </c>
      <c r="G352" s="19">
        <f t="shared" si="15"/>
        <v>-4764855525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18344112412</v>
      </c>
      <c r="E353" s="19">
        <f>E352+E346</f>
        <v>0</v>
      </c>
      <c r="F353" s="19">
        <f>F352+F346</f>
        <v>0</v>
      </c>
      <c r="G353" s="19">
        <f t="shared" si="15"/>
        <v>18344112412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005010800401916000KD</v>
      </c>
      <c r="B356" s="11" t="str">
        <f>P17</f>
        <v>PA. Pariaman</v>
      </c>
      <c r="C356" s="12" t="str">
        <f>A356&amp;" "&amp;B356</f>
        <v>005010800401916000KD PA. Pariaman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9586891</v>
      </c>
      <c r="E359" s="25">
        <f>SUMIFS('Daftar Koreksi'!$H$5:$H$92,'Daftar Koreksi'!$D$5:$D$92,'0800'!A356,'Daftar Koreksi'!$G$5:$G$92,"Persediaan",'Daftar Koreksi'!$H$5:$H$92,"&gt;0")</f>
        <v>0</v>
      </c>
      <c r="F359" s="25">
        <f>SUMIFS('Daftar Koreksi'!$H$5:$H$92,'Daftar Koreksi'!$D$5:$D$92,'0800'!A356,'Daftar Koreksi'!$G$5:$G$92,"Persediaan",'Daftar Koreksi'!$H$5:$H$92,"&lt;0")-SUMIFS('Daftar Koreksi'!$H$5:$H$92,'Daftar Koreksi'!$D$5:$D$92,'0800'!A356,'Daftar Koreksi'!$G$5:$G$92,"Persediaan",'Daftar Koreksi'!$H$5:$H$92,"&lt;0")-SUMIFS('Daftar Koreksi'!$H$5:$H$92,'Daftar Koreksi'!$D$5:$D$92,'0800'!A356,'Daftar Koreksi'!$G$5:$G$92,"Persediaan",'Daftar Koreksi'!$H$5:$H$92,"&lt;0")</f>
        <v>0</v>
      </c>
      <c r="G359" s="17">
        <f>D359+E359-F359</f>
        <v>9586891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489448650</v>
      </c>
      <c r="E360" s="25">
        <f>SUMIFS('Daftar Koreksi'!$H$5:$H$92,'Daftar Koreksi'!$D$5:$D$92,'0800'!A356,'Daftar Koreksi'!$G$5:$G$92,"Tanah",'Daftar Koreksi'!$H$5:$H$92,"&gt;0")</f>
        <v>0</v>
      </c>
      <c r="F360" s="25">
        <f>SUMIFS('Daftar Koreksi'!$H$5:$H$92,'Daftar Koreksi'!$D$5:$D$92,'0800'!A356,'Daftar Koreksi'!$G$5:$G$92,"Tanah",'Daftar Koreksi'!$H$5:$H$92,"&lt;0")-SUMIFS('Daftar Koreksi'!$H$5:$H$92,'Daftar Koreksi'!$D$5:$D$92,'0800'!A356,'Daftar Koreksi'!$G$5:$G$92,"Tanah",'Daftar Koreksi'!$H$5:$H$92,"&lt;0")-SUMIFS('Daftar Koreksi'!$H$5:$H$92,'Daftar Koreksi'!$D$5:$D$92,'0800'!A356,'Daftar Koreksi'!$G$5:$G$92,"Tanah",'Daftar Koreksi'!$H$5:$H$92,"&lt;0")</f>
        <v>0</v>
      </c>
      <c r="G360" s="17">
        <f t="shared" ref="G360:G376" si="16">D360+E360-F360</f>
        <v>489448650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1511878887</v>
      </c>
      <c r="E361" s="25">
        <f>SUMIFS('Daftar Koreksi'!$H$5:$H$92,'Daftar Koreksi'!$D$5:$D$92,'0800'!A356,'Daftar Koreksi'!$G$5:$G$92,"Peralatan dan mesin",'Daftar Koreksi'!$H$5:$H$92,"&gt;0")</f>
        <v>0</v>
      </c>
      <c r="F361" s="25">
        <f>SUMIFS('Daftar Koreksi'!$H$5:$H$92,'Daftar Koreksi'!$D$5:$D$92,'0800'!A356,'Daftar Koreksi'!$G$5:$G$92,"Peralatan dan mesin",'Daftar Koreksi'!$H$5:$H$92,"&lt;0")-SUMIFS('Daftar Koreksi'!$H$5:$H$92,'Daftar Koreksi'!$D$5:$D$92,'0800'!A356,'Daftar Koreksi'!$G$5:$G$92,"Peralatan dan mesin",'Daftar Koreksi'!$H$5:$H$92,"&lt;0")-SUMIFS('Daftar Koreksi'!$H$5:$H$92,'Daftar Koreksi'!$D$5:$D$92,'0800'!A356,'Daftar Koreksi'!$G$5:$G$92,"Peralatan dan mesin",'Daftar Koreksi'!$H$5:$H$92,"&lt;0")</f>
        <v>0</v>
      </c>
      <c r="G361" s="17">
        <f t="shared" si="16"/>
        <v>1511878887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1791903600</v>
      </c>
      <c r="E362" s="25">
        <f>SUMIFS('Daftar Koreksi'!$H$5:$H$92,'Daftar Koreksi'!$D$5:$D$92,'0800'!A356,'Daftar Koreksi'!$G$5:$G$92,"Gedung dan Bangunan",'Daftar Koreksi'!$H$5:$H$92,"&gt;0")</f>
        <v>0</v>
      </c>
      <c r="F362" s="25">
        <f>SUMIFS('Daftar Koreksi'!$H$5:$H$92,'Daftar Koreksi'!$D$5:$D$92,'0800'!A356,'Daftar Koreksi'!$G$5:$G$92,"Gedung dan Bangunan",'Daftar Koreksi'!$H$5:$H$92,"&lt;0")-SUMIFS('Daftar Koreksi'!$H$5:$H$92,'Daftar Koreksi'!$D$5:$D$92,'0800'!A356,'Daftar Koreksi'!$G$5:$G$92,"Gedung dan Bangunan",'Daftar Koreksi'!$H$5:$H$92,"&lt;0")-SUMIFS('Daftar Koreksi'!$H$5:$H$92,'Daftar Koreksi'!$D$5:$D$92,'0800'!A356,'Daftar Koreksi'!$G$5:$G$92,"Gedung dan Bangunan",'Daftar Koreksi'!$H$5:$H$92,"&lt;0")</f>
        <v>0</v>
      </c>
      <c r="G362" s="17">
        <f t="shared" si="16"/>
        <v>1791903600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Koreksi'!$D$5:$D$92,'0800'!A356,'Daftar Koreksi'!$G$5:$G$92,"Jalan Irigasi Jaringan",'Daftar Koreksi'!$H$5:$H$92,"&gt;0")</f>
        <v>0</v>
      </c>
      <c r="F363" s="25">
        <f>SUMIFS('Daftar Koreksi'!$H$5:$H$92,'Daftar Koreksi'!$D$5:$D$92,'0800'!A356,'Daftar Koreksi'!$G$5:$G$92,"Jalan Irigasi Jaringan",'Daftar Koreksi'!$H$5:$H$92,"&lt;0")-SUMIFS('Daftar Koreksi'!$H$5:$H$92,'Daftar Koreksi'!$D$5:$D$92,'0800'!A356,'Daftar Koreksi'!$G$5:$G$92,"Jalan Irigasi Jaringan",'Daftar Koreksi'!$H$5:$H$92,"&lt;0")-SUMIFS('Daftar Koreksi'!$H$5:$H$92,'Daftar Koreksi'!$D$5:$D$92,'0800'!A356,'Daftar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8264740</v>
      </c>
      <c r="E364" s="25">
        <f>SUMIFS('Daftar Koreksi'!$H$5:$H$92,'Daftar Koreksi'!$D$5:$D$92,'0800'!A356,'Daftar Koreksi'!$G$5:$G$92,"Aset Tetap Lainnya",'Daftar Koreksi'!$H$5:$H$92,"&gt;0")</f>
        <v>0</v>
      </c>
      <c r="F364" s="25">
        <f>SUMIFS('Daftar Koreksi'!$H$5:$H$92,'Daftar Koreksi'!$D$5:$D$92,'0800'!A356,'Daftar Koreksi'!$G$5:$G$92,"Aset Tetap Lainnya",'Daftar Koreksi'!$H$5:$H$92,"&lt;0")-SUMIFS('Daftar Koreksi'!$H$5:$H$92,'Daftar Koreksi'!$D$5:$D$92,'0800'!A356,'Daftar Koreksi'!$G$5:$G$92,"Aset Tetap Lainnya",'Daftar Koreksi'!$H$5:$H$92,"&lt;0")-SUMIFS('Daftar Koreksi'!$H$5:$H$92,'Daftar Koreksi'!$D$5:$D$92,'0800'!A356,'Daftar Koreksi'!$G$5:$G$92,"Aset Tetap Lainnya",'Daftar Koreksi'!$H$5:$H$92,"&lt;0")</f>
        <v>0</v>
      </c>
      <c r="G364" s="17">
        <f t="shared" si="16"/>
        <v>8264740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Koreksi'!$D$5:$D$92,'0800'!A356,'Daftar Koreksi'!$G$5:$G$92,"Kontruksi Dalam Pengerjaan",'Daftar Koreksi'!$H$5:$H$92,"&gt;0")</f>
        <v>0</v>
      </c>
      <c r="F365" s="25">
        <f>SUMIFS('Daftar Koreksi'!$H$5:$H$92,'Daftar Koreksi'!$D$5:$D$92,'0800'!A356,'Daftar Koreksi'!$G$5:$G$92,"Kontruksi Dalam Pengerjaan",'Daftar Koreksi'!$H$5:$H$92,"&lt;0")-SUMIFS('Daftar Koreksi'!$H$5:$H$92,'Daftar Koreksi'!$D$5:$D$92,'0800'!A356,'Daftar Koreksi'!$G$5:$G$92,"Kontruksi Dalam Pengerjaan",'Daftar Koreksi'!$H$5:$H$92,"&lt;0")-SUMIFS('Daftar Koreksi'!$H$5:$H$92,'Daftar Koreksi'!$D$5:$D$92,'0800'!A356,'Daftar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28800000</v>
      </c>
      <c r="E366" s="25">
        <f>SUMIFS('Daftar Koreksi'!$H$5:$H$92,'Daftar Koreksi'!$D$5:$D$92,'0800'!A356,'Daftar Koreksi'!$G$5:$G$92,"Aset Tak Berwujud",'Daftar Koreksi'!$H$5:$H$92,"&gt;0")</f>
        <v>0</v>
      </c>
      <c r="F366" s="25">
        <f>SUMIFS('Daftar Koreksi'!$H$5:$H$92,'Daftar Koreksi'!$D$5:$D$92,'0800'!A356,'Daftar Koreksi'!$G$5:$G$92,"Aset Tak Berwujud",'Daftar Koreksi'!$H$5:$H$92,"&lt;0")-SUMIFS('Daftar Koreksi'!$H$5:$H$92,'Daftar Koreksi'!$D$5:$D$92,'0800'!A356,'Daftar Koreksi'!$G$5:$G$92,"Aset Tak Berwujud",'Daftar Koreksi'!$H$5:$H$92,"&lt;0")-SUMIFS('Daftar Koreksi'!$H$5:$H$92,'Daftar Koreksi'!$D$5:$D$92,'0800'!A356,'Daftar Koreksi'!$G$5:$G$92,"Aset Tak Berwujud",'Daftar Koreksi'!$H$5:$H$92,"&lt;0")</f>
        <v>0</v>
      </c>
      <c r="G366" s="17">
        <f t="shared" si="16"/>
        <v>28800000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Koreksi'!$D$5:$D$92,'0800'!A356,'Daftar Koreksi'!$G$5:$G$92,"Aset Henti Guna",'Daftar Koreksi'!$H$5:$H$92,"&gt;0")</f>
        <v>0</v>
      </c>
      <c r="F367" s="25">
        <f>SUMIFS('Daftar Koreksi'!$H$5:$H$92,'Daftar Koreksi'!$D$5:$D$92,'0800'!A356,'Daftar Koreksi'!$G$5:$G$92,"Aset Henti Guna",'Daftar Koreksi'!$H$5:$H$92,"&lt;0")-SUMIFS('Daftar Koreksi'!$H$5:$H$92,'Daftar Koreksi'!$D$5:$D$92,'0800'!A356,'Daftar Koreksi'!$G$5:$G$92,"Aset Henti Guna",'Daftar Koreksi'!$H$5:$H$92,"&lt;0")-SUMIFS('Daftar Koreksi'!$H$5:$H$92,'Daftar Koreksi'!$D$5:$D$92,'0800'!A356,'Daftar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3839882768</v>
      </c>
      <c r="E368" s="19">
        <f>SUM(E359:E367)</f>
        <v>0</v>
      </c>
      <c r="F368" s="19">
        <f>SUM(F359:F367)</f>
        <v>0</v>
      </c>
      <c r="G368" s="19">
        <f t="shared" si="16"/>
        <v>3839882768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-999294148</v>
      </c>
      <c r="E369" s="25">
        <f>SUMIFS('Daftar Koreksi'!$I$5:$I$92,'Daftar Koreksi'!$D$5:$D$92,'0800'!A356,'Daftar Koreksi'!$G$5:$G$92,"Peralatan dan mesin",'Daftar Koreksi'!$I$5:$I$92,"&gt;0")</f>
        <v>0</v>
      </c>
      <c r="F369" s="25">
        <f>SUMIFS('Daftar Koreksi'!$I$5:$I$92,'Daftar Koreksi'!$D$5:$D$92,'0800'!A356,'Daftar Koreksi'!$G$5:$G$92,"Peralatan dan mesin",'Daftar Koreksi'!$I$5:$I$92,"&lt;0")-SUMIFS('Daftar Koreksi'!$I$5:$I$92,'Daftar Koreksi'!$D$5:$D$92,'0800'!A356,'Daftar Koreksi'!$G$5:$G$92,"Peralatan dan mesin",'Daftar Koreksi'!$I$5:$I$92,"&lt;0")-SUMIFS('Daftar Koreksi'!$I$5:$I$92,'Daftar Koreksi'!$D$5:$D$92,'0800'!A356,'Daftar Koreksi'!$G$5:$G$92,"Peralatan dan mesin",'Daftar Koreksi'!$I$5:$I$92,"&lt;0")</f>
        <v>0</v>
      </c>
      <c r="G369" s="17">
        <f t="shared" si="16"/>
        <v>-999294148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-383361684</v>
      </c>
      <c r="E370" s="25">
        <f>SUMIFS('Daftar Koreksi'!$I$5:$I$92,'Daftar Koreksi'!$D$5:$D$92,'0800'!A356,'Daftar Koreksi'!$G$5:$G$92,"Gedung dan Bangunan",'Daftar Koreksi'!$I$5:$I$92,"&gt;0")</f>
        <v>0</v>
      </c>
      <c r="F370" s="25">
        <f>SUMIFS('Daftar Koreksi'!$I$5:$I$92,'Daftar Koreksi'!$D$5:$D$92,'0800'!A356,'Daftar Koreksi'!$G$5:$G$92,"Gedung dan Bangunan",'Daftar Koreksi'!$I$5:$I$92,"&lt;0")-SUMIFS('Daftar Koreksi'!$I$5:$I$92,'Daftar Koreksi'!$D$5:$D$92,'0800'!A356,'Daftar Koreksi'!$G$5:$G$92,"Gedung dan Bangunan",'Daftar Koreksi'!$I$5:$I$92,"&lt;0")-SUMIFS('Daftar Koreksi'!$I$5:$I$92,'Daftar Koreksi'!$D$5:$D$92,'0800'!A356,'Daftar Koreksi'!$G$5:$G$92,"Gedung dan Bangunan",'Daftar Koreksi'!$I$5:$I$92,"&lt;0")</f>
        <v>0</v>
      </c>
      <c r="G370" s="17">
        <f t="shared" si="16"/>
        <v>-383361684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Koreksi'!$D$5:$D$92,'0800'!A356,'Daftar Koreksi'!$G$5:$G$92,"Jalan Irigasi Jaringan",'Daftar Koreksi'!$I$5:$I$92,"&gt;0")</f>
        <v>0</v>
      </c>
      <c r="F371" s="25">
        <f>SUMIFS('Daftar Koreksi'!$I$5:$I$92,'Daftar Koreksi'!$D$5:$D$92,'0800'!A356,'Daftar Koreksi'!$G$5:$G$92,"Jalan Irigasi Jaringan",'Daftar Koreksi'!$I$5:$I$92,"&lt;0")-SUMIFS('Daftar Koreksi'!$I$5:$I$92,'Daftar Koreksi'!$D$5:$D$92,'0800'!A356,'Daftar Koreksi'!$G$5:$G$92,"Jalan Irigasi Jaringan",'Daftar Koreksi'!$I$5:$I$92,"&lt;0")-SUMIFS('Daftar Koreksi'!$I$5:$I$92,'Daftar Koreksi'!$D$5:$D$92,'0800'!A356,'Daftar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Koreksi'!$D$5:$D$92,'0800'!A356,'Daftar Koreksi'!$G$5:$G$92,"Aset Tetap Lainnya",'Daftar Koreksi'!$I$5:$I$92,"&gt;0")</f>
        <v>0</v>
      </c>
      <c r="F372" s="25">
        <f>SUMIFS('Daftar Koreksi'!$I$5:$I$92,'Daftar Koreksi'!$D$5:$D$92,'0800'!A356,'Daftar Koreksi'!$G$5:$G$92,"Aset Tetap Lainnya",'Daftar Koreksi'!$I$5:$I$92,"&lt;0")-SUMIFS('Daftar Koreksi'!$I$5:$I$92,'Daftar Koreksi'!$D$5:$D$92,'0800'!A356,'Daftar Koreksi'!$G$5:$G$92,"Aset Tetap Lainnya",'Daftar Koreksi'!$I$5:$I$92,"&lt;0")-SUMIFS('Daftar Koreksi'!$I$5:$I$92,'Daftar Koreksi'!$D$5:$D$92,'0800'!A356,'Daftar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Koreksi'!$D$5:$D$92,'0800'!A356,'Daftar Koreksi'!$G$5:$G$92,"Aset Henti Guna",'Daftar Koreksi'!$I$5:$I$92,"&gt;0")</f>
        <v>0</v>
      </c>
      <c r="F373" s="25">
        <f>SUMIFS('Daftar Koreksi'!$I$5:$I$92,'Daftar Koreksi'!$D$5:$D$92,'0800'!A356,'Daftar Koreksi'!$G$5:$G$92,"Aset Henti Guna",'Daftar Koreksi'!$I$5:$I$92,"&lt;0")-SUMIFS('Daftar Koreksi'!$I$5:$I$92,'Daftar Koreksi'!$D$5:$D$92,'0800'!A356,'Daftar Koreksi'!$G$5:$G$92,"Aset Henti Guna",'Daftar Koreksi'!$I$5:$I$92,"&lt;0")-SUMIFS('Daftar Koreksi'!$I$5:$I$92,'Daftar Koreksi'!$D$5:$D$92,'0800'!A356,'Daftar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-1382655832</v>
      </c>
      <c r="E374" s="19">
        <f>SUM(E369:E373)</f>
        <v>0</v>
      </c>
      <c r="F374" s="19">
        <f>SUM(F369:F373)</f>
        <v>0</v>
      </c>
      <c r="G374" s="19">
        <f t="shared" si="16"/>
        <v>-1382655832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2457226936</v>
      </c>
      <c r="E375" s="19">
        <f>E374+E368</f>
        <v>0</v>
      </c>
      <c r="F375" s="19">
        <f>F374+F368</f>
        <v>0</v>
      </c>
      <c r="G375" s="19">
        <f t="shared" si="16"/>
        <v>2457226936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005010800401922000KD</v>
      </c>
      <c r="B378" s="11" t="str">
        <f>P18</f>
        <v>PA. Solok</v>
      </c>
      <c r="C378" s="12" t="str">
        <f>A378&amp;" "&amp;B378</f>
        <v>005010800401922000KD PA. Solok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683200</v>
      </c>
      <c r="E381" s="25">
        <f>SUMIFS('Daftar Koreksi'!$H$5:$H$92,'Daftar Koreksi'!$D$5:$D$92,'0800'!A378,'Daftar Koreksi'!$G$5:$G$92,"Persediaan",'Daftar Koreksi'!$H$5:$H$92,"&gt;0")</f>
        <v>0</v>
      </c>
      <c r="F381" s="25">
        <f>SUMIFS('Daftar Koreksi'!$H$5:$H$92,'Daftar Koreksi'!$D$5:$D$92,'0800'!A378,'Daftar Koreksi'!$G$5:$G$92,"Persediaan",'Daftar Koreksi'!$H$5:$H$92,"&lt;0")-SUMIFS('Daftar Koreksi'!$H$5:$H$92,'Daftar Koreksi'!$D$5:$D$92,'0800'!A378,'Daftar Koreksi'!$G$5:$G$92,"Persediaan",'Daftar Koreksi'!$H$5:$H$92,"&lt;0")-SUMIFS('Daftar Koreksi'!$H$5:$H$92,'Daftar Koreksi'!$D$5:$D$92,'0800'!A378,'Daftar Koreksi'!$G$5:$G$92,"Persediaan",'Daftar Koreksi'!$H$5:$H$92,"&lt;0")</f>
        <v>0</v>
      </c>
      <c r="G381" s="17">
        <f>D381+E381-F381</f>
        <v>683200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654680000</v>
      </c>
      <c r="E382" s="25">
        <f>SUMIFS('Daftar Koreksi'!$H$5:$H$92,'Daftar Koreksi'!$D$5:$D$92,'0800'!A378,'Daftar Koreksi'!$G$5:$G$92,"Tanah",'Daftar Koreksi'!$H$5:$H$92,"&gt;0")</f>
        <v>0</v>
      </c>
      <c r="F382" s="25">
        <f>SUMIFS('Daftar Koreksi'!$H$5:$H$92,'Daftar Koreksi'!$D$5:$D$92,'0800'!A378,'Daftar Koreksi'!$G$5:$G$92,"Tanah",'Daftar Koreksi'!$H$5:$H$92,"&lt;0")-SUMIFS('Daftar Koreksi'!$H$5:$H$92,'Daftar Koreksi'!$D$5:$D$92,'0800'!A378,'Daftar Koreksi'!$G$5:$G$92,"Tanah",'Daftar Koreksi'!$H$5:$H$92,"&lt;0")-SUMIFS('Daftar Koreksi'!$H$5:$H$92,'Daftar Koreksi'!$D$5:$D$92,'0800'!A378,'Daftar Koreksi'!$G$5:$G$92,"Tanah",'Daftar Koreksi'!$H$5:$H$92,"&lt;0")</f>
        <v>0</v>
      </c>
      <c r="G382" s="17">
        <f t="shared" ref="G382:G398" si="17">D382+E382-F382</f>
        <v>654680000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1452475747</v>
      </c>
      <c r="E383" s="25">
        <f>SUMIFS('Daftar Koreksi'!$H$5:$H$92,'Daftar Koreksi'!$D$5:$D$92,'0800'!A378,'Daftar Koreksi'!$G$5:$G$92,"Peralatan dan mesin",'Daftar Koreksi'!$H$5:$H$92,"&gt;0")</f>
        <v>0</v>
      </c>
      <c r="F383" s="25">
        <f>SUMIFS('Daftar Koreksi'!$H$5:$H$92,'Daftar Koreksi'!$D$5:$D$92,'0800'!A378,'Daftar Koreksi'!$G$5:$G$92,"Peralatan dan mesin",'Daftar Koreksi'!$H$5:$H$92,"&lt;0")-SUMIFS('Daftar Koreksi'!$H$5:$H$92,'Daftar Koreksi'!$D$5:$D$92,'0800'!A378,'Daftar Koreksi'!$G$5:$G$92,"Peralatan dan mesin",'Daftar Koreksi'!$H$5:$H$92,"&lt;0")-SUMIFS('Daftar Koreksi'!$H$5:$H$92,'Daftar Koreksi'!$D$5:$D$92,'0800'!A378,'Daftar Koreksi'!$G$5:$G$92,"Peralatan dan mesin",'Daftar Koreksi'!$H$5:$H$92,"&lt;0")</f>
        <v>0</v>
      </c>
      <c r="G383" s="17">
        <f t="shared" si="17"/>
        <v>1452475747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6734009633</v>
      </c>
      <c r="E384" s="25">
        <f>SUMIFS('Daftar Koreksi'!$H$5:$H$92,'Daftar Koreksi'!$D$5:$D$92,'0800'!A378,'Daftar Koreksi'!$G$5:$G$92,"Gedung dan Bangunan",'Daftar Koreksi'!$H$5:$H$92,"&gt;0")</f>
        <v>0</v>
      </c>
      <c r="F384" s="25">
        <f>SUMIFS('Daftar Koreksi'!$H$5:$H$92,'Daftar Koreksi'!$D$5:$D$92,'0800'!A378,'Daftar Koreksi'!$G$5:$G$92,"Gedung dan Bangunan",'Daftar Koreksi'!$H$5:$H$92,"&lt;0")-SUMIFS('Daftar Koreksi'!$H$5:$H$92,'Daftar Koreksi'!$D$5:$D$92,'0800'!A378,'Daftar Koreksi'!$G$5:$G$92,"Gedung dan Bangunan",'Daftar Koreksi'!$H$5:$H$92,"&lt;0")-SUMIFS('Daftar Koreksi'!$H$5:$H$92,'Daftar Koreksi'!$D$5:$D$92,'0800'!A378,'Daftar Koreksi'!$G$5:$G$92,"Gedung dan Bangunan",'Daftar Koreksi'!$H$5:$H$92,"&lt;0")</f>
        <v>0</v>
      </c>
      <c r="G384" s="17">
        <f t="shared" si="17"/>
        <v>6734009633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70760000</v>
      </c>
      <c r="E385" s="25">
        <f>SUMIFS('Daftar Koreksi'!$H$5:$H$92,'Daftar Koreksi'!$D$5:$D$92,'0800'!A378,'Daftar Koreksi'!$G$5:$G$92,"Jalan Irigasi Jaringan",'Daftar Koreksi'!$H$5:$H$92,"&gt;0")</f>
        <v>0</v>
      </c>
      <c r="F385" s="25">
        <f>SUMIFS('Daftar Koreksi'!$H$5:$H$92,'Daftar Koreksi'!$D$5:$D$92,'0800'!A378,'Daftar Koreksi'!$G$5:$G$92,"Jalan Irigasi Jaringan",'Daftar Koreksi'!$H$5:$H$92,"&lt;0")-SUMIFS('Daftar Koreksi'!$H$5:$H$92,'Daftar Koreksi'!$D$5:$D$92,'0800'!A378,'Daftar Koreksi'!$G$5:$G$92,"Jalan Irigasi Jaringan",'Daftar Koreksi'!$H$5:$H$92,"&lt;0")-SUMIFS('Daftar Koreksi'!$H$5:$H$92,'Daftar Koreksi'!$D$5:$D$92,'0800'!A378,'Daftar Koreksi'!$G$5:$G$92,"Jalan Irigasi Jaringan",'Daftar Koreksi'!$H$5:$H$92,"&lt;0")</f>
        <v>0</v>
      </c>
      <c r="G385" s="17">
        <f t="shared" si="17"/>
        <v>70760000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23983390</v>
      </c>
      <c r="E386" s="25">
        <f>SUMIFS('Daftar Koreksi'!$H$5:$H$92,'Daftar Koreksi'!$D$5:$D$92,'0800'!A378,'Daftar Koreksi'!$G$5:$G$92,"Aset Tetap Lainnya",'Daftar Koreksi'!$H$5:$H$92,"&gt;0")</f>
        <v>0</v>
      </c>
      <c r="F386" s="25">
        <f>SUMIFS('Daftar Koreksi'!$H$5:$H$92,'Daftar Koreksi'!$D$5:$D$92,'0800'!A378,'Daftar Koreksi'!$G$5:$G$92,"Aset Tetap Lainnya",'Daftar Koreksi'!$H$5:$H$92,"&lt;0")-SUMIFS('Daftar Koreksi'!$H$5:$H$92,'Daftar Koreksi'!$D$5:$D$92,'0800'!A378,'Daftar Koreksi'!$G$5:$G$92,"Aset Tetap Lainnya",'Daftar Koreksi'!$H$5:$H$92,"&lt;0")-SUMIFS('Daftar Koreksi'!$H$5:$H$92,'Daftar Koreksi'!$D$5:$D$92,'0800'!A378,'Daftar Koreksi'!$G$5:$G$92,"Aset Tetap Lainnya",'Daftar Koreksi'!$H$5:$H$92,"&lt;0")</f>
        <v>0</v>
      </c>
      <c r="G386" s="17">
        <f t="shared" si="17"/>
        <v>23983390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Koreksi'!$D$5:$D$92,'0800'!A378,'Daftar Koreksi'!$G$5:$G$92,"Kontruksi Dalam Pengerjaan",'Daftar Koreksi'!$H$5:$H$92,"&gt;0")</f>
        <v>0</v>
      </c>
      <c r="F387" s="25">
        <f>SUMIFS('Daftar Koreksi'!$H$5:$H$92,'Daftar Koreksi'!$D$5:$D$92,'0800'!A378,'Daftar Koreksi'!$G$5:$G$92,"Kontruksi Dalam Pengerjaan",'Daftar Koreksi'!$H$5:$H$92,"&lt;0")-SUMIFS('Daftar Koreksi'!$H$5:$H$92,'Daftar Koreksi'!$D$5:$D$92,'0800'!A378,'Daftar Koreksi'!$G$5:$G$92,"Kontruksi Dalam Pengerjaan",'Daftar Koreksi'!$H$5:$H$92,"&lt;0")-SUMIFS('Daftar Koreksi'!$H$5:$H$92,'Daftar Koreksi'!$D$5:$D$92,'0800'!A378,'Daftar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Koreksi'!$D$5:$D$92,'0800'!A378,'Daftar Koreksi'!$G$5:$G$92,"Aset Tak Berwujud",'Daftar Koreksi'!$H$5:$H$92,"&gt;0")</f>
        <v>0</v>
      </c>
      <c r="F388" s="25">
        <f>SUMIFS('Daftar Koreksi'!$H$5:$H$92,'Daftar Koreksi'!$D$5:$D$92,'0800'!A378,'Daftar Koreksi'!$G$5:$G$92,"Aset Tak Berwujud",'Daftar Koreksi'!$H$5:$H$92,"&lt;0")-SUMIFS('Daftar Koreksi'!$H$5:$H$92,'Daftar Koreksi'!$D$5:$D$92,'0800'!A378,'Daftar Koreksi'!$G$5:$G$92,"Aset Tak Berwujud",'Daftar Koreksi'!$H$5:$H$92,"&lt;0")-SUMIFS('Daftar Koreksi'!$H$5:$H$92,'Daftar Koreksi'!$D$5:$D$92,'0800'!A378,'Daftar Koreksi'!$G$5:$G$92,"Aset Tak Berwujud",'Daftar Koreksi'!$H$5:$H$92,"&lt;0")</f>
        <v>0</v>
      </c>
      <c r="G388" s="17">
        <f t="shared" si="17"/>
        <v>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Koreksi'!$D$5:$D$92,'0800'!A378,'Daftar Koreksi'!$G$5:$G$92,"Aset Henti Guna",'Daftar Koreksi'!$H$5:$H$92,"&gt;0")</f>
        <v>0</v>
      </c>
      <c r="F389" s="25">
        <f>SUMIFS('Daftar Koreksi'!$H$5:$H$92,'Daftar Koreksi'!$D$5:$D$92,'0800'!A378,'Daftar Koreksi'!$G$5:$G$92,"Aset Henti Guna",'Daftar Koreksi'!$H$5:$H$92,"&lt;0")-SUMIFS('Daftar Koreksi'!$H$5:$H$92,'Daftar Koreksi'!$D$5:$D$92,'0800'!A378,'Daftar Koreksi'!$G$5:$G$92,"Aset Henti Guna",'Daftar Koreksi'!$H$5:$H$92,"&lt;0")-SUMIFS('Daftar Koreksi'!$H$5:$H$92,'Daftar Koreksi'!$D$5:$D$92,'0800'!A378,'Daftar Koreksi'!$G$5:$G$92,"Aset Henti Guna",'Daftar Koreksi'!$H$5:$H$92,"&lt;0")</f>
        <v>0</v>
      </c>
      <c r="G389" s="17">
        <f t="shared" si="17"/>
        <v>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8936591970</v>
      </c>
      <c r="E390" s="19">
        <f>SUM(E381:E389)</f>
        <v>0</v>
      </c>
      <c r="F390" s="19">
        <f>SUM(F381:F389)</f>
        <v>0</v>
      </c>
      <c r="G390" s="19">
        <f t="shared" si="17"/>
        <v>8936591970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-1255194777</v>
      </c>
      <c r="E391" s="25">
        <f>SUMIFS('Daftar Koreksi'!$I$5:$I$92,'Daftar Koreksi'!$D$5:$D$92,'0800'!A378,'Daftar Koreksi'!$G$5:$G$92,"Peralatan dan mesin",'Daftar Koreksi'!$I$5:$I$92,"&gt;0")</f>
        <v>0</v>
      </c>
      <c r="F391" s="25">
        <f>SUMIFS('Daftar Koreksi'!$I$5:$I$92,'Daftar Koreksi'!$D$5:$D$92,'0800'!A378,'Daftar Koreksi'!$G$5:$G$92,"Peralatan dan mesin",'Daftar Koreksi'!$I$5:$I$92,"&lt;0")-SUMIFS('Daftar Koreksi'!$I$5:$I$92,'Daftar Koreksi'!$D$5:$D$92,'0800'!A378,'Daftar Koreksi'!$G$5:$G$92,"Peralatan dan mesin",'Daftar Koreksi'!$I$5:$I$92,"&lt;0")-SUMIFS('Daftar Koreksi'!$I$5:$I$92,'Daftar Koreksi'!$D$5:$D$92,'0800'!A378,'Daftar Koreksi'!$G$5:$G$92,"Peralatan dan mesin",'Daftar Koreksi'!$I$5:$I$92,"&lt;0")</f>
        <v>0</v>
      </c>
      <c r="G391" s="17">
        <f t="shared" si="17"/>
        <v>-1255194777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-580182129</v>
      </c>
      <c r="E392" s="25">
        <f>SUMIFS('Daftar Koreksi'!$I$5:$I$92,'Daftar Koreksi'!$D$5:$D$92,'0800'!A378,'Daftar Koreksi'!$G$5:$G$92,"Gedung dan Bangunan",'Daftar Koreksi'!$I$5:$I$92,"&gt;0")</f>
        <v>0</v>
      </c>
      <c r="F392" s="25">
        <f>SUMIFS('Daftar Koreksi'!$I$5:$I$92,'Daftar Koreksi'!$D$5:$D$92,'0800'!A378,'Daftar Koreksi'!$G$5:$G$92,"Gedung dan Bangunan",'Daftar Koreksi'!$I$5:$I$92,"&lt;0")-SUMIFS('Daftar Koreksi'!$I$5:$I$92,'Daftar Koreksi'!$D$5:$D$92,'0800'!A378,'Daftar Koreksi'!$G$5:$G$92,"Gedung dan Bangunan",'Daftar Koreksi'!$I$5:$I$92,"&lt;0")-SUMIFS('Daftar Koreksi'!$I$5:$I$92,'Daftar Koreksi'!$D$5:$D$92,'0800'!A378,'Daftar Koreksi'!$G$5:$G$92,"Gedung dan Bangunan",'Daftar Koreksi'!$I$5:$I$92,"&lt;0")</f>
        <v>0</v>
      </c>
      <c r="G392" s="17">
        <f t="shared" si="17"/>
        <v>-580182129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-26471250</v>
      </c>
      <c r="E393" s="25">
        <f>SUMIFS('Daftar Koreksi'!$I$5:$I$92,'Daftar Koreksi'!$D$5:$D$92,'0800'!A378,'Daftar Koreksi'!$G$5:$G$92,"Jalan Irigasi Jaringan",'Daftar Koreksi'!$I$5:$I$92,"&gt;0")</f>
        <v>0</v>
      </c>
      <c r="F393" s="25">
        <f>SUMIFS('Daftar Koreksi'!$I$5:$I$92,'Daftar Koreksi'!$D$5:$D$92,'0800'!A378,'Daftar Koreksi'!$G$5:$G$92,"Jalan Irigasi Jaringan",'Daftar Koreksi'!$I$5:$I$92,"&lt;0")-SUMIFS('Daftar Koreksi'!$I$5:$I$92,'Daftar Koreksi'!$D$5:$D$92,'0800'!A378,'Daftar Koreksi'!$G$5:$G$92,"Jalan Irigasi Jaringan",'Daftar Koreksi'!$I$5:$I$92,"&lt;0")-SUMIFS('Daftar Koreksi'!$I$5:$I$92,'Daftar Koreksi'!$D$5:$D$92,'0800'!A378,'Daftar Koreksi'!$G$5:$G$92,"Jalan Irigasi Jaringan",'Daftar Koreksi'!$I$5:$I$92,"&lt;0")</f>
        <v>0</v>
      </c>
      <c r="G393" s="17">
        <f t="shared" si="17"/>
        <v>-26471250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Koreksi'!$D$5:$D$92,'0800'!A378,'Daftar Koreksi'!$G$5:$G$92,"Aset Tetap Lainnya",'Daftar Koreksi'!$I$5:$I$92,"&gt;0")</f>
        <v>0</v>
      </c>
      <c r="F394" s="25">
        <f>SUMIFS('Daftar Koreksi'!$I$5:$I$92,'Daftar Koreksi'!$D$5:$D$92,'0800'!A378,'Daftar Koreksi'!$G$5:$G$92,"Aset Tetap Lainnya",'Daftar Koreksi'!$I$5:$I$92,"&lt;0")-SUMIFS('Daftar Koreksi'!$I$5:$I$92,'Daftar Koreksi'!$D$5:$D$92,'0800'!A378,'Daftar Koreksi'!$G$5:$G$92,"Aset Tetap Lainnya",'Daftar Koreksi'!$I$5:$I$92,"&lt;0")-SUMIFS('Daftar Koreksi'!$I$5:$I$92,'Daftar Koreksi'!$D$5:$D$92,'0800'!A378,'Daftar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0</v>
      </c>
      <c r="E395" s="25">
        <f>SUMIFS('Daftar Koreksi'!$I$5:$I$92,'Daftar Koreksi'!$D$5:$D$92,'0800'!A378,'Daftar Koreksi'!$G$5:$G$92,"Aset Henti Guna",'Daftar Koreksi'!$I$5:$I$92,"&gt;0")</f>
        <v>0</v>
      </c>
      <c r="F395" s="25">
        <f>SUMIFS('Daftar Koreksi'!$I$5:$I$92,'Daftar Koreksi'!$D$5:$D$92,'0800'!A378,'Daftar Koreksi'!$G$5:$G$92,"Aset Henti Guna",'Daftar Koreksi'!$I$5:$I$92,"&lt;0")-SUMIFS('Daftar Koreksi'!$I$5:$I$92,'Daftar Koreksi'!$D$5:$D$92,'0800'!A378,'Daftar Koreksi'!$G$5:$G$92,"Aset Henti Guna",'Daftar Koreksi'!$I$5:$I$92,"&lt;0")-SUMIFS('Daftar Koreksi'!$I$5:$I$92,'Daftar Koreksi'!$D$5:$D$92,'0800'!A378,'Daftar Koreksi'!$G$5:$G$92,"Aset Henti Guna",'Daftar Koreksi'!$I$5:$I$92,"&lt;0")</f>
        <v>0</v>
      </c>
      <c r="G395" s="17">
        <f t="shared" si="17"/>
        <v>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-1861848156</v>
      </c>
      <c r="E396" s="19">
        <f>SUM(E391:E395)</f>
        <v>0</v>
      </c>
      <c r="F396" s="19">
        <f>SUM(F391:F395)</f>
        <v>0</v>
      </c>
      <c r="G396" s="19">
        <f t="shared" si="17"/>
        <v>-1861848156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7074743814</v>
      </c>
      <c r="E397" s="19">
        <f>E396+E390</f>
        <v>0</v>
      </c>
      <c r="F397" s="19">
        <f>F396+F390</f>
        <v>0</v>
      </c>
      <c r="G397" s="19">
        <f t="shared" si="17"/>
        <v>7074743814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005010800401931000KD</v>
      </c>
      <c r="B400" s="11" t="str">
        <f>P19</f>
        <v>PA. Sawah Luntho</v>
      </c>
      <c r="C400" s="12" t="str">
        <f>A400&amp;" "&amp;B400</f>
        <v>005010800401931000KD PA. Sawah Luntho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1132000</v>
      </c>
      <c r="E403" s="25">
        <f>SUMIFS('Daftar Koreksi'!$H$5:$H$92,'Daftar Koreksi'!$D$5:$D$92,'0800'!A400,'Daftar Koreksi'!$G$5:$G$92,"Persediaan",'Daftar Koreksi'!$H$5:$H$92,"&gt;0")</f>
        <v>0</v>
      </c>
      <c r="F403" s="25">
        <f>SUMIFS('Daftar Koreksi'!$H$5:$H$92,'Daftar Koreksi'!$D$5:$D$92,'0800'!A400,'Daftar Koreksi'!$G$5:$G$92,"Persediaan",'Daftar Koreksi'!$H$5:$H$92,"&lt;0")-SUMIFS('Daftar Koreksi'!$H$5:$H$92,'Daftar Koreksi'!$D$5:$D$92,'0800'!A400,'Daftar Koreksi'!$G$5:$G$92,"Persediaan",'Daftar Koreksi'!$H$5:$H$92,"&lt;0")-SUMIFS('Daftar Koreksi'!$H$5:$H$92,'Daftar Koreksi'!$D$5:$D$92,'0800'!A400,'Daftar Koreksi'!$G$5:$G$92,"Persediaan",'Daftar Koreksi'!$H$5:$H$92,"&lt;0")</f>
        <v>0</v>
      </c>
      <c r="G403" s="17">
        <f>D403+E403-F403</f>
        <v>1132000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1293663850</v>
      </c>
      <c r="E404" s="25">
        <f>SUMIFS('Daftar Koreksi'!$H$5:$H$92,'Daftar Koreksi'!$D$5:$D$92,'0800'!A400,'Daftar Koreksi'!$G$5:$G$92,"Tanah",'Daftar Koreksi'!$H$5:$H$92,"&gt;0")</f>
        <v>0</v>
      </c>
      <c r="F404" s="25">
        <f>SUMIFS('Daftar Koreksi'!$H$5:$H$92,'Daftar Koreksi'!$D$5:$D$92,'0800'!A400,'Daftar Koreksi'!$G$5:$G$92,"Tanah",'Daftar Koreksi'!$H$5:$H$92,"&lt;0")-SUMIFS('Daftar Koreksi'!$H$5:$H$92,'Daftar Koreksi'!$D$5:$D$92,'0800'!A400,'Daftar Koreksi'!$G$5:$G$92,"Tanah",'Daftar Koreksi'!$H$5:$H$92,"&lt;0")-SUMIFS('Daftar Koreksi'!$H$5:$H$92,'Daftar Koreksi'!$D$5:$D$92,'0800'!A400,'Daftar Koreksi'!$G$5:$G$92,"Tanah",'Daftar Koreksi'!$H$5:$H$92,"&lt;0")</f>
        <v>0</v>
      </c>
      <c r="G404" s="17">
        <f t="shared" ref="G404:G420" si="18">D404+E404-F404</f>
        <v>1293663850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1347302043</v>
      </c>
      <c r="E405" s="25">
        <f>SUMIFS('Daftar Koreksi'!$H$5:$H$92,'Daftar Koreksi'!$D$5:$D$92,'0800'!A400,'Daftar Koreksi'!$G$5:$G$92,"Peralatan dan mesin",'Daftar Koreksi'!$H$5:$H$92,"&gt;0")</f>
        <v>0</v>
      </c>
      <c r="F405" s="25">
        <f>SUMIFS('Daftar Koreksi'!$H$5:$H$92,'Daftar Koreksi'!$D$5:$D$92,'0800'!A400,'Daftar Koreksi'!$G$5:$G$92,"Peralatan dan mesin",'Daftar Koreksi'!$H$5:$H$92,"&lt;0")-SUMIFS('Daftar Koreksi'!$H$5:$H$92,'Daftar Koreksi'!$D$5:$D$92,'0800'!A400,'Daftar Koreksi'!$G$5:$G$92,"Peralatan dan mesin",'Daftar Koreksi'!$H$5:$H$92,"&lt;0")-SUMIFS('Daftar Koreksi'!$H$5:$H$92,'Daftar Koreksi'!$D$5:$D$92,'0800'!A400,'Daftar Koreksi'!$G$5:$G$92,"Peralatan dan mesin",'Daftar Koreksi'!$H$5:$H$92,"&lt;0")</f>
        <v>0</v>
      </c>
      <c r="G405" s="17">
        <f t="shared" si="18"/>
        <v>1347302043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9671602347</v>
      </c>
      <c r="E406" s="25">
        <f>SUMIFS('Daftar Koreksi'!$H$5:$H$92,'Daftar Koreksi'!$D$5:$D$92,'0800'!A400,'Daftar Koreksi'!$G$5:$G$92,"Gedung dan Bangunan",'Daftar Koreksi'!$H$5:$H$92,"&gt;0")</f>
        <v>0</v>
      </c>
      <c r="F406" s="25">
        <f>SUMIFS('Daftar Koreksi'!$H$5:$H$92,'Daftar Koreksi'!$D$5:$D$92,'0800'!A400,'Daftar Koreksi'!$G$5:$G$92,"Gedung dan Bangunan",'Daftar Koreksi'!$H$5:$H$92,"&lt;0")-SUMIFS('Daftar Koreksi'!$H$5:$H$92,'Daftar Koreksi'!$D$5:$D$92,'0800'!A400,'Daftar Koreksi'!$G$5:$G$92,"Gedung dan Bangunan",'Daftar Koreksi'!$H$5:$H$92,"&lt;0")-SUMIFS('Daftar Koreksi'!$H$5:$H$92,'Daftar Koreksi'!$D$5:$D$92,'0800'!A400,'Daftar Koreksi'!$G$5:$G$92,"Gedung dan Bangunan",'Daftar Koreksi'!$H$5:$H$92,"&lt;0")</f>
        <v>0</v>
      </c>
      <c r="G406" s="17">
        <f t="shared" si="18"/>
        <v>9671602347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29900000</v>
      </c>
      <c r="E407" s="25">
        <f>SUMIFS('Daftar Koreksi'!$H$5:$H$92,'Daftar Koreksi'!$D$5:$D$92,'0800'!A400,'Daftar Koreksi'!$G$5:$G$92,"Jalan Irigasi Jaringan",'Daftar Koreksi'!$H$5:$H$92,"&gt;0")</f>
        <v>0</v>
      </c>
      <c r="F407" s="25">
        <f>SUMIFS('Daftar Koreksi'!$H$5:$H$92,'Daftar Koreksi'!$D$5:$D$92,'0800'!A400,'Daftar Koreksi'!$G$5:$G$92,"Jalan Irigasi Jaringan",'Daftar Koreksi'!$H$5:$H$92,"&lt;0")-SUMIFS('Daftar Koreksi'!$H$5:$H$92,'Daftar Koreksi'!$D$5:$D$92,'0800'!A400,'Daftar Koreksi'!$G$5:$G$92,"Jalan Irigasi Jaringan",'Daftar Koreksi'!$H$5:$H$92,"&lt;0")-SUMIFS('Daftar Koreksi'!$H$5:$H$92,'Daftar Koreksi'!$D$5:$D$92,'0800'!A400,'Daftar Koreksi'!$G$5:$G$92,"Jalan Irigasi Jaringan",'Daftar Koreksi'!$H$5:$H$92,"&lt;0")</f>
        <v>0</v>
      </c>
      <c r="G407" s="17">
        <f t="shared" si="18"/>
        <v>29900000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11816738</v>
      </c>
      <c r="E408" s="25">
        <f>SUMIFS('Daftar Koreksi'!$H$5:$H$92,'Daftar Koreksi'!$D$5:$D$92,'0800'!A400,'Daftar Koreksi'!$G$5:$G$92,"Aset Tetap Lainnya",'Daftar Koreksi'!$H$5:$H$92,"&gt;0")</f>
        <v>0</v>
      </c>
      <c r="F408" s="25">
        <f>SUMIFS('Daftar Koreksi'!$H$5:$H$92,'Daftar Koreksi'!$D$5:$D$92,'0800'!A400,'Daftar Koreksi'!$G$5:$G$92,"Aset Tetap Lainnya",'Daftar Koreksi'!$H$5:$H$92,"&lt;0")-SUMIFS('Daftar Koreksi'!$H$5:$H$92,'Daftar Koreksi'!$D$5:$D$92,'0800'!A400,'Daftar Koreksi'!$G$5:$G$92,"Aset Tetap Lainnya",'Daftar Koreksi'!$H$5:$H$92,"&lt;0")-SUMIFS('Daftar Koreksi'!$H$5:$H$92,'Daftar Koreksi'!$D$5:$D$92,'0800'!A400,'Daftar Koreksi'!$G$5:$G$92,"Aset Tetap Lainnya",'Daftar Koreksi'!$H$5:$H$92,"&lt;0")</f>
        <v>0</v>
      </c>
      <c r="G408" s="17">
        <f t="shared" si="18"/>
        <v>11816738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Koreksi'!$D$5:$D$92,'0800'!A400,'Daftar Koreksi'!$G$5:$G$92,"Kontruksi Dalam Pengerjaan",'Daftar Koreksi'!$H$5:$H$92,"&gt;0")</f>
        <v>0</v>
      </c>
      <c r="F409" s="25">
        <f>SUMIFS('Daftar Koreksi'!$H$5:$H$92,'Daftar Koreksi'!$D$5:$D$92,'0800'!A400,'Daftar Koreksi'!$G$5:$G$92,"Kontruksi Dalam Pengerjaan",'Daftar Koreksi'!$H$5:$H$92,"&lt;0")-SUMIFS('Daftar Koreksi'!$H$5:$H$92,'Daftar Koreksi'!$D$5:$D$92,'0800'!A400,'Daftar Koreksi'!$G$5:$G$92,"Kontruksi Dalam Pengerjaan",'Daftar Koreksi'!$H$5:$H$92,"&lt;0")-SUMIFS('Daftar Koreksi'!$H$5:$H$92,'Daftar Koreksi'!$D$5:$D$92,'0800'!A400,'Daftar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Koreksi'!$D$5:$D$92,'0800'!A400,'Daftar Koreksi'!$G$5:$G$92,"Aset Tak Berwujud",'Daftar Koreksi'!$H$5:$H$92,"&gt;0")</f>
        <v>0</v>
      </c>
      <c r="F410" s="25">
        <f>SUMIFS('Daftar Koreksi'!$H$5:$H$92,'Daftar Koreksi'!$D$5:$D$92,'0800'!A400,'Daftar Koreksi'!$G$5:$G$92,"Aset Tak Berwujud",'Daftar Koreksi'!$H$5:$H$92,"&lt;0")-SUMIFS('Daftar Koreksi'!$H$5:$H$92,'Daftar Koreksi'!$D$5:$D$92,'0800'!A400,'Daftar Koreksi'!$G$5:$G$92,"Aset Tak Berwujud",'Daftar Koreksi'!$H$5:$H$92,"&lt;0")-SUMIFS('Daftar Koreksi'!$H$5:$H$92,'Daftar Koreksi'!$D$5:$D$92,'0800'!A400,'Daftar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173516500</v>
      </c>
      <c r="E411" s="25">
        <f>SUMIFS('Daftar Koreksi'!$H$5:$H$92,'Daftar Koreksi'!$D$5:$D$92,'0800'!A400,'Daftar Koreksi'!$G$5:$G$92,"Aset Henti Guna",'Daftar Koreksi'!$H$5:$H$92,"&gt;0")</f>
        <v>0</v>
      </c>
      <c r="F411" s="25">
        <f>SUMIFS('Daftar Koreksi'!$H$5:$H$92,'Daftar Koreksi'!$D$5:$D$92,'0800'!A400,'Daftar Koreksi'!$G$5:$G$92,"Aset Henti Guna",'Daftar Koreksi'!$H$5:$H$92,"&lt;0")-SUMIFS('Daftar Koreksi'!$H$5:$H$92,'Daftar Koreksi'!$D$5:$D$92,'0800'!A400,'Daftar Koreksi'!$G$5:$G$92,"Aset Henti Guna",'Daftar Koreksi'!$H$5:$H$92,"&lt;0")-SUMIFS('Daftar Koreksi'!$H$5:$H$92,'Daftar Koreksi'!$D$5:$D$92,'0800'!A400,'Daftar Koreksi'!$G$5:$G$92,"Aset Henti Guna",'Daftar Koreksi'!$H$5:$H$92,"&lt;0")</f>
        <v>0</v>
      </c>
      <c r="G411" s="17">
        <f t="shared" si="18"/>
        <v>173516500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12528933478</v>
      </c>
      <c r="E412" s="19">
        <f>SUM(E403:E411)</f>
        <v>0</v>
      </c>
      <c r="F412" s="19">
        <f>SUM(F403:F411)</f>
        <v>0</v>
      </c>
      <c r="G412" s="19">
        <f t="shared" si="18"/>
        <v>12528933478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-924185314</v>
      </c>
      <c r="E413" s="25">
        <f>SUMIFS('Daftar Koreksi'!$I$5:$I$92,'Daftar Koreksi'!$D$5:$D$92,'0800'!A400,'Daftar Koreksi'!$G$5:$G$92,"Peralatan dan mesin",'Daftar Koreksi'!$I$5:$I$92,"&gt;0")</f>
        <v>0</v>
      </c>
      <c r="F413" s="25">
        <f>SUMIFS('Daftar Koreksi'!$I$5:$I$92,'Daftar Koreksi'!$D$5:$D$92,'0800'!A400,'Daftar Koreksi'!$G$5:$G$92,"Peralatan dan mesin",'Daftar Koreksi'!$I$5:$I$92,"&lt;0")-SUMIFS('Daftar Koreksi'!$I$5:$I$92,'Daftar Koreksi'!$D$5:$D$92,'0800'!A400,'Daftar Koreksi'!$G$5:$G$92,"Peralatan dan mesin",'Daftar Koreksi'!$I$5:$I$92,"&lt;0")-SUMIFS('Daftar Koreksi'!$I$5:$I$92,'Daftar Koreksi'!$D$5:$D$92,'0800'!A400,'Daftar Koreksi'!$G$5:$G$92,"Peralatan dan mesin",'Daftar Koreksi'!$I$5:$I$92,"&lt;0")</f>
        <v>0</v>
      </c>
      <c r="G413" s="17">
        <f t="shared" si="18"/>
        <v>-924185314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-400083014</v>
      </c>
      <c r="E414" s="25">
        <f>SUMIFS('Daftar Koreksi'!$I$5:$I$92,'Daftar Koreksi'!$D$5:$D$92,'0800'!A400,'Daftar Koreksi'!$G$5:$G$92,"Gedung dan Bangunan",'Daftar Koreksi'!$I$5:$I$92,"&gt;0")</f>
        <v>0</v>
      </c>
      <c r="F414" s="25">
        <f>SUMIFS('Daftar Koreksi'!$I$5:$I$92,'Daftar Koreksi'!$D$5:$D$92,'0800'!A400,'Daftar Koreksi'!$G$5:$G$92,"Gedung dan Bangunan",'Daftar Koreksi'!$I$5:$I$92,"&lt;0")-SUMIFS('Daftar Koreksi'!$I$5:$I$92,'Daftar Koreksi'!$D$5:$D$92,'0800'!A400,'Daftar Koreksi'!$G$5:$G$92,"Gedung dan Bangunan",'Daftar Koreksi'!$I$5:$I$92,"&lt;0")-SUMIFS('Daftar Koreksi'!$I$5:$I$92,'Daftar Koreksi'!$D$5:$D$92,'0800'!A400,'Daftar Koreksi'!$G$5:$G$92,"Gedung dan Bangunan",'Daftar Koreksi'!$I$5:$I$92,"&lt;0")</f>
        <v>0</v>
      </c>
      <c r="G414" s="17">
        <f t="shared" si="18"/>
        <v>-400083014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-3737500</v>
      </c>
      <c r="E415" s="25">
        <f>SUMIFS('Daftar Koreksi'!$I$5:$I$92,'Daftar Koreksi'!$D$5:$D$92,'0800'!A400,'Daftar Koreksi'!$G$5:$G$92,"Jalan Irigasi Jaringan",'Daftar Koreksi'!$I$5:$I$92,"&gt;0")</f>
        <v>0</v>
      </c>
      <c r="F415" s="25">
        <f>SUMIFS('Daftar Koreksi'!$I$5:$I$92,'Daftar Koreksi'!$D$5:$D$92,'0800'!A400,'Daftar Koreksi'!$G$5:$G$92,"Jalan Irigasi Jaringan",'Daftar Koreksi'!$I$5:$I$92,"&lt;0")-SUMIFS('Daftar Koreksi'!$I$5:$I$92,'Daftar Koreksi'!$D$5:$D$92,'0800'!A400,'Daftar Koreksi'!$G$5:$G$92,"Jalan Irigasi Jaringan",'Daftar Koreksi'!$I$5:$I$92,"&lt;0")-SUMIFS('Daftar Koreksi'!$I$5:$I$92,'Daftar Koreksi'!$D$5:$D$92,'0800'!A400,'Daftar Koreksi'!$G$5:$G$92,"Jalan Irigasi Jaringan",'Daftar Koreksi'!$I$5:$I$92,"&lt;0")</f>
        <v>0</v>
      </c>
      <c r="G415" s="17">
        <f t="shared" si="18"/>
        <v>-3737500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Koreksi'!$D$5:$D$92,'0800'!A400,'Daftar Koreksi'!$G$5:$G$92,"Aset Tetap Lainnya",'Daftar Koreksi'!$I$5:$I$92,"&gt;0")</f>
        <v>0</v>
      </c>
      <c r="F416" s="25">
        <f>SUMIFS('Daftar Koreksi'!$I$5:$I$92,'Daftar Koreksi'!$D$5:$D$92,'0800'!A400,'Daftar Koreksi'!$G$5:$G$92,"Aset Tetap Lainnya",'Daftar Koreksi'!$I$5:$I$92,"&lt;0")-SUMIFS('Daftar Koreksi'!$I$5:$I$92,'Daftar Koreksi'!$D$5:$D$92,'0800'!A400,'Daftar Koreksi'!$G$5:$G$92,"Aset Tetap Lainnya",'Daftar Koreksi'!$I$5:$I$92,"&lt;0")-SUMIFS('Daftar Koreksi'!$I$5:$I$92,'Daftar Koreksi'!$D$5:$D$92,'0800'!A400,'Daftar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-172269831</v>
      </c>
      <c r="E417" s="25">
        <f>SUMIFS('Daftar Koreksi'!$I$5:$I$92,'Daftar Koreksi'!$D$5:$D$92,'0800'!A400,'Daftar Koreksi'!$G$5:$G$92,"Aset Henti Guna",'Daftar Koreksi'!$I$5:$I$92,"&gt;0")</f>
        <v>0</v>
      </c>
      <c r="F417" s="25">
        <f>SUMIFS('Daftar Koreksi'!$I$5:$I$92,'Daftar Koreksi'!$D$5:$D$92,'0800'!A400,'Daftar Koreksi'!$G$5:$G$92,"Aset Henti Guna",'Daftar Koreksi'!$I$5:$I$92,"&lt;0")-SUMIFS('Daftar Koreksi'!$I$5:$I$92,'Daftar Koreksi'!$D$5:$D$92,'0800'!A400,'Daftar Koreksi'!$G$5:$G$92,"Aset Henti Guna",'Daftar Koreksi'!$I$5:$I$92,"&lt;0")-SUMIFS('Daftar Koreksi'!$I$5:$I$92,'Daftar Koreksi'!$D$5:$D$92,'0800'!A400,'Daftar Koreksi'!$G$5:$G$92,"Aset Henti Guna",'Daftar Koreksi'!$I$5:$I$92,"&lt;0")</f>
        <v>0</v>
      </c>
      <c r="G417" s="17">
        <f t="shared" si="18"/>
        <v>-172269831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-1500275659</v>
      </c>
      <c r="E418" s="19">
        <f>SUM(E413:E417)</f>
        <v>0</v>
      </c>
      <c r="F418" s="19">
        <f>SUM(F413:F417)</f>
        <v>0</v>
      </c>
      <c r="G418" s="19">
        <f t="shared" si="18"/>
        <v>-1500275659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11028657819</v>
      </c>
      <c r="E419" s="19">
        <f>E418+E412</f>
        <v>0</v>
      </c>
      <c r="F419" s="19">
        <f>F418+F412</f>
        <v>0</v>
      </c>
      <c r="G419" s="19">
        <f t="shared" si="18"/>
        <v>11028657819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005010800401947000KD</v>
      </c>
      <c r="B422" s="11" t="str">
        <f>P20</f>
        <v>PA. Batu Sangkar</v>
      </c>
      <c r="C422" s="12" t="str">
        <f>A422&amp;" "&amp;B422</f>
        <v>005010800401947000KD PA. Batu Sangkar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5340463</v>
      </c>
      <c r="E425" s="25">
        <f>SUMIFS('Daftar Koreksi'!$H$5:$H$92,'Daftar Koreksi'!$D$5:$D$92,'0800'!A422,'Daftar Koreksi'!$G$5:$G$92,"Persediaan",'Daftar Koreksi'!$H$5:$H$92,"&gt;0")</f>
        <v>0</v>
      </c>
      <c r="F425" s="25">
        <f>SUMIFS('Daftar Koreksi'!$H$5:$H$92,'Daftar Koreksi'!$D$5:$D$92,'0800'!A422,'Daftar Koreksi'!$G$5:$G$92,"Persediaan",'Daftar Koreksi'!$H$5:$H$92,"&lt;0")-SUMIFS('Daftar Koreksi'!$H$5:$H$92,'Daftar Koreksi'!$D$5:$D$92,'0800'!A422,'Daftar Koreksi'!$G$5:$G$92,"Persediaan",'Daftar Koreksi'!$H$5:$H$92,"&lt;0")-SUMIFS('Daftar Koreksi'!$H$5:$H$92,'Daftar Koreksi'!$D$5:$D$92,'0800'!A422,'Daftar Koreksi'!$G$5:$G$92,"Persediaan",'Daftar Koreksi'!$H$5:$H$92,"&lt;0")</f>
        <v>0</v>
      </c>
      <c r="G425" s="17">
        <f>D425+E425-F425</f>
        <v>5340463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1407551538</v>
      </c>
      <c r="E426" s="25">
        <f>SUMIFS('Daftar Koreksi'!$H$5:$H$92,'Daftar Koreksi'!$D$5:$D$92,'0800'!A422,'Daftar Koreksi'!$G$5:$G$92,"Tanah",'Daftar Koreksi'!$H$5:$H$92,"&gt;0")</f>
        <v>0</v>
      </c>
      <c r="F426" s="25">
        <f>SUMIFS('Daftar Koreksi'!$H$5:$H$92,'Daftar Koreksi'!$D$5:$D$92,'0800'!A422,'Daftar Koreksi'!$G$5:$G$92,"Tanah",'Daftar Koreksi'!$H$5:$H$92,"&lt;0")-SUMIFS('Daftar Koreksi'!$H$5:$H$92,'Daftar Koreksi'!$D$5:$D$92,'0800'!A422,'Daftar Koreksi'!$G$5:$G$92,"Tanah",'Daftar Koreksi'!$H$5:$H$92,"&lt;0")-SUMIFS('Daftar Koreksi'!$H$5:$H$92,'Daftar Koreksi'!$D$5:$D$92,'0800'!A422,'Daftar Koreksi'!$G$5:$G$92,"Tanah",'Daftar Koreksi'!$H$5:$H$92,"&lt;0")</f>
        <v>0</v>
      </c>
      <c r="G426" s="17">
        <f t="shared" ref="G426:G442" si="19">D426+E426-F426</f>
        <v>1407551538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2595985311</v>
      </c>
      <c r="E427" s="25">
        <f>SUMIFS('Daftar Koreksi'!$H$5:$H$92,'Daftar Koreksi'!$D$5:$D$92,'0800'!A422,'Daftar Koreksi'!$G$5:$G$92,"Peralatan dan mesin",'Daftar Koreksi'!$H$5:$H$92,"&gt;0")</f>
        <v>0</v>
      </c>
      <c r="F427" s="25">
        <f>SUMIFS('Daftar Koreksi'!$H$5:$H$92,'Daftar Koreksi'!$D$5:$D$92,'0800'!A422,'Daftar Koreksi'!$G$5:$G$92,"Peralatan dan mesin",'Daftar Koreksi'!$H$5:$H$92,"&lt;0")-SUMIFS('Daftar Koreksi'!$H$5:$H$92,'Daftar Koreksi'!$D$5:$D$92,'0800'!A422,'Daftar Koreksi'!$G$5:$G$92,"Peralatan dan mesin",'Daftar Koreksi'!$H$5:$H$92,"&lt;0")-SUMIFS('Daftar Koreksi'!$H$5:$H$92,'Daftar Koreksi'!$D$5:$D$92,'0800'!A422,'Daftar Koreksi'!$G$5:$G$92,"Peralatan dan mesin",'Daftar Koreksi'!$H$5:$H$92,"&lt;0")</f>
        <v>0</v>
      </c>
      <c r="G427" s="17">
        <f t="shared" si="19"/>
        <v>2595985311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7792897299</v>
      </c>
      <c r="E428" s="25">
        <f>SUMIFS('Daftar Koreksi'!$H$5:$H$92,'Daftar Koreksi'!$D$5:$D$92,'0800'!A422,'Daftar Koreksi'!$G$5:$G$92,"Gedung dan Bangunan",'Daftar Koreksi'!$H$5:$H$92,"&gt;0")</f>
        <v>0</v>
      </c>
      <c r="F428" s="25">
        <f>SUMIFS('Daftar Koreksi'!$H$5:$H$92,'Daftar Koreksi'!$D$5:$D$92,'0800'!A422,'Daftar Koreksi'!$G$5:$G$92,"Gedung dan Bangunan",'Daftar Koreksi'!$H$5:$H$92,"&lt;0")-SUMIFS('Daftar Koreksi'!$H$5:$H$92,'Daftar Koreksi'!$D$5:$D$92,'0800'!A422,'Daftar Koreksi'!$G$5:$G$92,"Gedung dan Bangunan",'Daftar Koreksi'!$H$5:$H$92,"&lt;0")-SUMIFS('Daftar Koreksi'!$H$5:$H$92,'Daftar Koreksi'!$D$5:$D$92,'0800'!A422,'Daftar Koreksi'!$G$5:$G$92,"Gedung dan Bangunan",'Daftar Koreksi'!$H$5:$H$92,"&lt;0")</f>
        <v>0</v>
      </c>
      <c r="G428" s="17">
        <f t="shared" si="19"/>
        <v>7792897299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26526000</v>
      </c>
      <c r="E429" s="25">
        <f>SUMIFS('Daftar Koreksi'!$H$5:$H$92,'Daftar Koreksi'!$D$5:$D$92,'0800'!A422,'Daftar Koreksi'!$G$5:$G$92,"Jalan Irigasi Jaringan",'Daftar Koreksi'!$H$5:$H$92,"&gt;0")</f>
        <v>0</v>
      </c>
      <c r="F429" s="25">
        <f>SUMIFS('Daftar Koreksi'!$H$5:$H$92,'Daftar Koreksi'!$D$5:$D$92,'0800'!A422,'Daftar Koreksi'!$G$5:$G$92,"Jalan Irigasi Jaringan",'Daftar Koreksi'!$H$5:$H$92,"&lt;0")-SUMIFS('Daftar Koreksi'!$H$5:$H$92,'Daftar Koreksi'!$D$5:$D$92,'0800'!A422,'Daftar Koreksi'!$G$5:$G$92,"Jalan Irigasi Jaringan",'Daftar Koreksi'!$H$5:$H$92,"&lt;0")-SUMIFS('Daftar Koreksi'!$H$5:$H$92,'Daftar Koreksi'!$D$5:$D$92,'0800'!A422,'Daftar Koreksi'!$G$5:$G$92,"Jalan Irigasi Jaringan",'Daftar Koreksi'!$H$5:$H$92,"&lt;0")</f>
        <v>0</v>
      </c>
      <c r="G429" s="17">
        <f t="shared" si="19"/>
        <v>26526000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3106828</v>
      </c>
      <c r="E430" s="25">
        <f>SUMIFS('Daftar Koreksi'!$H$5:$H$92,'Daftar Koreksi'!$D$5:$D$92,'0800'!A422,'Daftar Koreksi'!$G$5:$G$92,"Aset Tetap Lainnya",'Daftar Koreksi'!$H$5:$H$92,"&gt;0")</f>
        <v>0</v>
      </c>
      <c r="F430" s="25">
        <f>SUMIFS('Daftar Koreksi'!$H$5:$H$92,'Daftar Koreksi'!$D$5:$D$92,'0800'!A422,'Daftar Koreksi'!$G$5:$G$92,"Aset Tetap Lainnya",'Daftar Koreksi'!$H$5:$H$92,"&lt;0")-SUMIFS('Daftar Koreksi'!$H$5:$H$92,'Daftar Koreksi'!$D$5:$D$92,'0800'!A422,'Daftar Koreksi'!$G$5:$G$92,"Aset Tetap Lainnya",'Daftar Koreksi'!$H$5:$H$92,"&lt;0")-SUMIFS('Daftar Koreksi'!$H$5:$H$92,'Daftar Koreksi'!$D$5:$D$92,'0800'!A422,'Daftar Koreksi'!$G$5:$G$92,"Aset Tetap Lainnya",'Daftar Koreksi'!$H$5:$H$92,"&lt;0")</f>
        <v>0</v>
      </c>
      <c r="G430" s="17">
        <f t="shared" si="19"/>
        <v>3106828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Koreksi'!$D$5:$D$92,'0800'!A422,'Daftar Koreksi'!$G$5:$G$92,"Kontruksi Dalam Pengerjaan",'Daftar Koreksi'!$H$5:$H$92,"&gt;0")</f>
        <v>0</v>
      </c>
      <c r="F431" s="25">
        <f>SUMIFS('Daftar Koreksi'!$H$5:$H$92,'Daftar Koreksi'!$D$5:$D$92,'0800'!A422,'Daftar Koreksi'!$G$5:$G$92,"Kontruksi Dalam Pengerjaan",'Daftar Koreksi'!$H$5:$H$92,"&lt;0")-SUMIFS('Daftar Koreksi'!$H$5:$H$92,'Daftar Koreksi'!$D$5:$D$92,'0800'!A422,'Daftar Koreksi'!$G$5:$G$92,"Kontruksi Dalam Pengerjaan",'Daftar Koreksi'!$H$5:$H$92,"&lt;0")-SUMIFS('Daftar Koreksi'!$H$5:$H$92,'Daftar Koreksi'!$D$5:$D$92,'0800'!A422,'Daftar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Koreksi'!$D$5:$D$92,'0800'!A422,'Daftar Koreksi'!$G$5:$G$92,"Aset Tak Berwujud",'Daftar Koreksi'!$H$5:$H$92,"&gt;0")</f>
        <v>0</v>
      </c>
      <c r="F432" s="25">
        <f>SUMIFS('Daftar Koreksi'!$H$5:$H$92,'Daftar Koreksi'!$D$5:$D$92,'0800'!A422,'Daftar Koreksi'!$G$5:$G$92,"Aset Tak Berwujud",'Daftar Koreksi'!$H$5:$H$92,"&lt;0")-SUMIFS('Daftar Koreksi'!$H$5:$H$92,'Daftar Koreksi'!$D$5:$D$92,'0800'!A422,'Daftar Koreksi'!$G$5:$G$92,"Aset Tak Berwujud",'Daftar Koreksi'!$H$5:$H$92,"&lt;0")-SUMIFS('Daftar Koreksi'!$H$5:$H$92,'Daftar Koreksi'!$D$5:$D$92,'0800'!A422,'Daftar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Koreksi'!$D$5:$D$92,'0800'!A422,'Daftar Koreksi'!$G$5:$G$92,"Aset Henti Guna",'Daftar Koreksi'!$H$5:$H$92,"&gt;0")</f>
        <v>0</v>
      </c>
      <c r="F433" s="25">
        <f>SUMIFS('Daftar Koreksi'!$H$5:$H$92,'Daftar Koreksi'!$D$5:$D$92,'0800'!A422,'Daftar Koreksi'!$G$5:$G$92,"Aset Henti Guna",'Daftar Koreksi'!$H$5:$H$92,"&lt;0")-SUMIFS('Daftar Koreksi'!$H$5:$H$92,'Daftar Koreksi'!$D$5:$D$92,'0800'!A422,'Daftar Koreksi'!$G$5:$G$92,"Aset Henti Guna",'Daftar Koreksi'!$H$5:$H$92,"&lt;0")-SUMIFS('Daftar Koreksi'!$H$5:$H$92,'Daftar Koreksi'!$D$5:$D$92,'0800'!A422,'Daftar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11831407439</v>
      </c>
      <c r="E434" s="19">
        <f>SUM(E425:E433)</f>
        <v>0</v>
      </c>
      <c r="F434" s="19">
        <f>SUM(F425:F433)</f>
        <v>0</v>
      </c>
      <c r="G434" s="19">
        <f t="shared" si="19"/>
        <v>11831407439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-1515812208</v>
      </c>
      <c r="E435" s="25">
        <f>SUMIFS('Daftar Koreksi'!$I$5:$I$92,'Daftar Koreksi'!$D$5:$D$92,'0800'!A422,'Daftar Koreksi'!$G$5:$G$92,"Peralatan dan mesin",'Daftar Koreksi'!$I$5:$I$92,"&gt;0")</f>
        <v>0</v>
      </c>
      <c r="F435" s="25">
        <f>SUMIFS('Daftar Koreksi'!$I$5:$I$92,'Daftar Koreksi'!$D$5:$D$92,'0800'!A422,'Daftar Koreksi'!$G$5:$G$92,"Peralatan dan mesin",'Daftar Koreksi'!$I$5:$I$92,"&lt;0")-SUMIFS('Daftar Koreksi'!$I$5:$I$92,'Daftar Koreksi'!$D$5:$D$92,'0800'!A422,'Daftar Koreksi'!$G$5:$G$92,"Peralatan dan mesin",'Daftar Koreksi'!$I$5:$I$92,"&lt;0")-SUMIFS('Daftar Koreksi'!$I$5:$I$92,'Daftar Koreksi'!$D$5:$D$92,'0800'!A422,'Daftar Koreksi'!$G$5:$G$92,"Peralatan dan mesin",'Daftar Koreksi'!$I$5:$I$92,"&lt;0")</f>
        <v>0</v>
      </c>
      <c r="G435" s="17">
        <f t="shared" si="19"/>
        <v>-1515812208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-440784873</v>
      </c>
      <c r="E436" s="25">
        <f>SUMIFS('Daftar Koreksi'!$I$5:$I$92,'Daftar Koreksi'!$D$5:$D$92,'0800'!A422,'Daftar Koreksi'!$G$5:$G$92,"Gedung dan Bangunan",'Daftar Koreksi'!$I$5:$I$92,"&gt;0")</f>
        <v>0</v>
      </c>
      <c r="F436" s="25">
        <f>SUMIFS('Daftar Koreksi'!$I$5:$I$92,'Daftar Koreksi'!$D$5:$D$92,'0800'!A422,'Daftar Koreksi'!$G$5:$G$92,"Gedung dan Bangunan",'Daftar Koreksi'!$I$5:$I$92,"&lt;0")-SUMIFS('Daftar Koreksi'!$I$5:$I$92,'Daftar Koreksi'!$D$5:$D$92,'0800'!A422,'Daftar Koreksi'!$G$5:$G$92,"Gedung dan Bangunan",'Daftar Koreksi'!$I$5:$I$92,"&lt;0")-SUMIFS('Daftar Koreksi'!$I$5:$I$92,'Daftar Koreksi'!$D$5:$D$92,'0800'!A422,'Daftar Koreksi'!$G$5:$G$92,"Gedung dan Bangunan",'Daftar Koreksi'!$I$5:$I$92,"&lt;0")</f>
        <v>0</v>
      </c>
      <c r="G436" s="17">
        <f t="shared" si="19"/>
        <v>-440784873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-3978900</v>
      </c>
      <c r="E437" s="25">
        <f>SUMIFS('Daftar Koreksi'!$I$5:$I$92,'Daftar Koreksi'!$D$5:$D$92,'0800'!A422,'Daftar Koreksi'!$G$5:$G$92,"Jalan Irigasi Jaringan",'Daftar Koreksi'!$I$5:$I$92,"&gt;0")</f>
        <v>0</v>
      </c>
      <c r="F437" s="25">
        <f>SUMIFS('Daftar Koreksi'!$I$5:$I$92,'Daftar Koreksi'!$D$5:$D$92,'0800'!A422,'Daftar Koreksi'!$G$5:$G$92,"Jalan Irigasi Jaringan",'Daftar Koreksi'!$I$5:$I$92,"&lt;0")-SUMIFS('Daftar Koreksi'!$I$5:$I$92,'Daftar Koreksi'!$D$5:$D$92,'0800'!A422,'Daftar Koreksi'!$G$5:$G$92,"Jalan Irigasi Jaringan",'Daftar Koreksi'!$I$5:$I$92,"&lt;0")-SUMIFS('Daftar Koreksi'!$I$5:$I$92,'Daftar Koreksi'!$D$5:$D$92,'0800'!A422,'Daftar Koreksi'!$G$5:$G$92,"Jalan Irigasi Jaringan",'Daftar Koreksi'!$I$5:$I$92,"&lt;0")</f>
        <v>0</v>
      </c>
      <c r="G437" s="17">
        <f t="shared" si="19"/>
        <v>-3978900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Koreksi'!$D$5:$D$92,'0800'!A422,'Daftar Koreksi'!$G$5:$G$92,"Aset Tetap Lainnya",'Daftar Koreksi'!$I$5:$I$92,"&gt;0")</f>
        <v>0</v>
      </c>
      <c r="F438" s="25">
        <f>SUMIFS('Daftar Koreksi'!$I$5:$I$92,'Daftar Koreksi'!$D$5:$D$92,'0800'!A422,'Daftar Koreksi'!$G$5:$G$92,"Aset Tetap Lainnya",'Daftar Koreksi'!$I$5:$I$92,"&lt;0")-SUMIFS('Daftar Koreksi'!$I$5:$I$92,'Daftar Koreksi'!$D$5:$D$92,'0800'!A422,'Daftar Koreksi'!$G$5:$G$92,"Aset Tetap Lainnya",'Daftar Koreksi'!$I$5:$I$92,"&lt;0")-SUMIFS('Daftar Koreksi'!$I$5:$I$92,'Daftar Koreksi'!$D$5:$D$92,'0800'!A422,'Daftar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Koreksi'!$D$5:$D$92,'0800'!A422,'Daftar Koreksi'!$G$5:$G$92,"Aset Henti Guna",'Daftar Koreksi'!$I$5:$I$92,"&gt;0")</f>
        <v>0</v>
      </c>
      <c r="F439" s="25">
        <f>SUMIFS('Daftar Koreksi'!$I$5:$I$92,'Daftar Koreksi'!$D$5:$D$92,'0800'!A422,'Daftar Koreksi'!$G$5:$G$92,"Aset Henti Guna",'Daftar Koreksi'!$I$5:$I$92,"&lt;0")-SUMIFS('Daftar Koreksi'!$I$5:$I$92,'Daftar Koreksi'!$D$5:$D$92,'0800'!A422,'Daftar Koreksi'!$G$5:$G$92,"Aset Henti Guna",'Daftar Koreksi'!$I$5:$I$92,"&lt;0")-SUMIFS('Daftar Koreksi'!$I$5:$I$92,'Daftar Koreksi'!$D$5:$D$92,'0800'!A422,'Daftar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-1960575981</v>
      </c>
      <c r="E440" s="19">
        <f>SUM(E435:E439)</f>
        <v>0</v>
      </c>
      <c r="F440" s="19">
        <f>SUM(F435:F439)</f>
        <v>0</v>
      </c>
      <c r="G440" s="19">
        <f t="shared" si="19"/>
        <v>-1960575981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9870831458</v>
      </c>
      <c r="E441" s="19">
        <f>E440+E434</f>
        <v>0</v>
      </c>
      <c r="F441" s="19">
        <f>F440+F434</f>
        <v>0</v>
      </c>
      <c r="G441" s="19">
        <f t="shared" si="19"/>
        <v>9870831458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005010800401953000KD</v>
      </c>
      <c r="B444" s="11" t="str">
        <f>P21</f>
        <v>PA. Padang</v>
      </c>
      <c r="C444" s="12" t="str">
        <f>A444&amp;" "&amp;B444</f>
        <v>005010800401953000KD PA. Padang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6606200</v>
      </c>
      <c r="E447" s="25">
        <f>SUMIFS('Daftar Koreksi'!$H$5:$H$92,'Daftar Koreksi'!$D$5:$D$92,'0800'!A444,'Daftar Koreksi'!$G$5:$G$92,"Persediaan",'Daftar Koreksi'!$H$5:$H$92,"&gt;0")</f>
        <v>0</v>
      </c>
      <c r="F447" s="25">
        <f>SUMIFS('Daftar Koreksi'!$H$5:$H$92,'Daftar Koreksi'!$D$5:$D$92,'0800'!A444,'Daftar Koreksi'!$G$5:$G$92,"Persediaan",'Daftar Koreksi'!$H$5:$H$92,"&lt;0")-SUMIFS('Daftar Koreksi'!$H$5:$H$92,'Daftar Koreksi'!$D$5:$D$92,'0800'!A444,'Daftar Koreksi'!$G$5:$G$92,"Persediaan",'Daftar Koreksi'!$H$5:$H$92,"&lt;0")-SUMIFS('Daftar Koreksi'!$H$5:$H$92,'Daftar Koreksi'!$D$5:$D$92,'0800'!A444,'Daftar Koreksi'!$G$5:$G$92,"Persediaan",'Daftar Koreksi'!$H$5:$H$92,"&lt;0")</f>
        <v>0</v>
      </c>
      <c r="G447" s="17">
        <f>D447+E447-F447</f>
        <v>6606200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1077200000</v>
      </c>
      <c r="E448" s="25">
        <f>SUMIFS('Daftar Koreksi'!$H$5:$H$92,'Daftar Koreksi'!$D$5:$D$92,'0800'!A444,'Daftar Koreksi'!$G$5:$G$92,"Tanah",'Daftar Koreksi'!$H$5:$H$92,"&gt;0")</f>
        <v>0</v>
      </c>
      <c r="F448" s="25">
        <f>SUMIFS('Daftar Koreksi'!$H$5:$H$92,'Daftar Koreksi'!$D$5:$D$92,'0800'!A444,'Daftar Koreksi'!$G$5:$G$92,"Tanah",'Daftar Koreksi'!$H$5:$H$92,"&lt;0")-SUMIFS('Daftar Koreksi'!$H$5:$H$92,'Daftar Koreksi'!$D$5:$D$92,'0800'!A444,'Daftar Koreksi'!$G$5:$G$92,"Tanah",'Daftar Koreksi'!$H$5:$H$92,"&lt;0")-SUMIFS('Daftar Koreksi'!$H$5:$H$92,'Daftar Koreksi'!$D$5:$D$92,'0800'!A444,'Daftar Koreksi'!$G$5:$G$92,"Tanah",'Daftar Koreksi'!$H$5:$H$92,"&lt;0")</f>
        <v>0</v>
      </c>
      <c r="G448" s="17">
        <f t="shared" ref="G448:G464" si="20">D448+E448-F448</f>
        <v>1077200000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1748922108</v>
      </c>
      <c r="E449" s="25">
        <f>SUMIFS('Daftar Koreksi'!$H$5:$H$92,'Daftar Koreksi'!$D$5:$D$92,'0800'!A444,'Daftar Koreksi'!$G$5:$G$92,"Peralatan dan mesin",'Daftar Koreksi'!$H$5:$H$92,"&gt;0")</f>
        <v>0</v>
      </c>
      <c r="F449" s="25">
        <f>SUMIFS('Daftar Koreksi'!$H$5:$H$92,'Daftar Koreksi'!$D$5:$D$92,'0800'!A444,'Daftar Koreksi'!$G$5:$G$92,"Peralatan dan mesin",'Daftar Koreksi'!$H$5:$H$92,"&lt;0")-SUMIFS('Daftar Koreksi'!$H$5:$H$92,'Daftar Koreksi'!$D$5:$D$92,'0800'!A444,'Daftar Koreksi'!$G$5:$G$92,"Peralatan dan mesin",'Daftar Koreksi'!$H$5:$H$92,"&lt;0")-SUMIFS('Daftar Koreksi'!$H$5:$H$92,'Daftar Koreksi'!$D$5:$D$92,'0800'!A444,'Daftar Koreksi'!$G$5:$G$92,"Peralatan dan mesin",'Daftar Koreksi'!$H$5:$H$92,"&lt;0")</f>
        <v>0</v>
      </c>
      <c r="G449" s="17">
        <f t="shared" si="20"/>
        <v>1748922108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2334802375</v>
      </c>
      <c r="E450" s="25">
        <f>SUMIFS('Daftar Koreksi'!$H$5:$H$92,'Daftar Koreksi'!$D$5:$D$92,'0800'!A444,'Daftar Koreksi'!$G$5:$G$92,"Gedung dan Bangunan",'Daftar Koreksi'!$H$5:$H$92,"&gt;0")</f>
        <v>0</v>
      </c>
      <c r="F450" s="25">
        <f>SUMIFS('Daftar Koreksi'!$H$5:$H$92,'Daftar Koreksi'!$D$5:$D$92,'0800'!A444,'Daftar Koreksi'!$G$5:$G$92,"Gedung dan Bangunan",'Daftar Koreksi'!$H$5:$H$92,"&lt;0")-SUMIFS('Daftar Koreksi'!$H$5:$H$92,'Daftar Koreksi'!$D$5:$D$92,'0800'!A444,'Daftar Koreksi'!$G$5:$G$92,"Gedung dan Bangunan",'Daftar Koreksi'!$H$5:$H$92,"&lt;0")-SUMIFS('Daftar Koreksi'!$H$5:$H$92,'Daftar Koreksi'!$D$5:$D$92,'0800'!A444,'Daftar Koreksi'!$G$5:$G$92,"Gedung dan Bangunan",'Daftar Koreksi'!$H$5:$H$92,"&lt;0")</f>
        <v>0</v>
      </c>
      <c r="G450" s="17">
        <f t="shared" si="20"/>
        <v>2334802375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Koreksi'!$D$5:$D$92,'0800'!A444,'Daftar Koreksi'!$G$5:$G$92,"Jalan Irigasi Jaringan",'Daftar Koreksi'!$H$5:$H$92,"&gt;0")</f>
        <v>0</v>
      </c>
      <c r="F451" s="25">
        <f>SUMIFS('Daftar Koreksi'!$H$5:$H$92,'Daftar Koreksi'!$D$5:$D$92,'0800'!A444,'Daftar Koreksi'!$G$5:$G$92,"Jalan Irigasi Jaringan",'Daftar Koreksi'!$H$5:$H$92,"&lt;0")-SUMIFS('Daftar Koreksi'!$H$5:$H$92,'Daftar Koreksi'!$D$5:$D$92,'0800'!A444,'Daftar Koreksi'!$G$5:$G$92,"Jalan Irigasi Jaringan",'Daftar Koreksi'!$H$5:$H$92,"&lt;0")-SUMIFS('Daftar Koreksi'!$H$5:$H$92,'Daftar Koreksi'!$D$5:$D$92,'0800'!A444,'Daftar Koreksi'!$G$5:$G$92,"Jalan Irigasi Jaringan",'Daftar Koreksi'!$H$5:$H$92,"&lt;0")</f>
        <v>0</v>
      </c>
      <c r="G451" s="17">
        <f t="shared" si="20"/>
        <v>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70345726</v>
      </c>
      <c r="E452" s="25">
        <f>SUMIFS('Daftar Koreksi'!$H$5:$H$92,'Daftar Koreksi'!$D$5:$D$92,'0800'!A444,'Daftar Koreksi'!$G$5:$G$92,"Aset Tetap Lainnya",'Daftar Koreksi'!$H$5:$H$92,"&gt;0")</f>
        <v>0</v>
      </c>
      <c r="F452" s="25">
        <f>SUMIFS('Daftar Koreksi'!$H$5:$H$92,'Daftar Koreksi'!$D$5:$D$92,'0800'!A444,'Daftar Koreksi'!$G$5:$G$92,"Aset Tetap Lainnya",'Daftar Koreksi'!$H$5:$H$92,"&lt;0")-SUMIFS('Daftar Koreksi'!$H$5:$H$92,'Daftar Koreksi'!$D$5:$D$92,'0800'!A444,'Daftar Koreksi'!$G$5:$G$92,"Aset Tetap Lainnya",'Daftar Koreksi'!$H$5:$H$92,"&lt;0")-SUMIFS('Daftar Koreksi'!$H$5:$H$92,'Daftar Koreksi'!$D$5:$D$92,'0800'!A444,'Daftar Koreksi'!$G$5:$G$92,"Aset Tetap Lainnya",'Daftar Koreksi'!$H$5:$H$92,"&lt;0")</f>
        <v>0</v>
      </c>
      <c r="G452" s="17">
        <f t="shared" si="20"/>
        <v>70345726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Koreksi'!$D$5:$D$92,'0800'!A444,'Daftar Koreksi'!$G$5:$G$92,"Kontruksi Dalam Pengerjaan",'Daftar Koreksi'!$H$5:$H$92,"&gt;0")</f>
        <v>0</v>
      </c>
      <c r="F453" s="25">
        <f>SUMIFS('Daftar Koreksi'!$H$5:$H$92,'Daftar Koreksi'!$D$5:$D$92,'0800'!A444,'Daftar Koreksi'!$G$5:$G$92,"Kontruksi Dalam Pengerjaan",'Daftar Koreksi'!$H$5:$H$92,"&lt;0")-SUMIFS('Daftar Koreksi'!$H$5:$H$92,'Daftar Koreksi'!$D$5:$D$92,'0800'!A444,'Daftar Koreksi'!$G$5:$G$92,"Kontruksi Dalam Pengerjaan",'Daftar Koreksi'!$H$5:$H$92,"&lt;0")-SUMIFS('Daftar Koreksi'!$H$5:$H$92,'Daftar Koreksi'!$D$5:$D$92,'0800'!A444,'Daftar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Koreksi'!$D$5:$D$92,'0800'!A444,'Daftar Koreksi'!$G$5:$G$92,"Aset Tak Berwujud",'Daftar Koreksi'!$H$5:$H$92,"&gt;0")</f>
        <v>0</v>
      </c>
      <c r="F454" s="25">
        <f>SUMIFS('Daftar Koreksi'!$H$5:$H$92,'Daftar Koreksi'!$D$5:$D$92,'0800'!A444,'Daftar Koreksi'!$G$5:$G$92,"Aset Tak Berwujud",'Daftar Koreksi'!$H$5:$H$92,"&lt;0")-SUMIFS('Daftar Koreksi'!$H$5:$H$92,'Daftar Koreksi'!$D$5:$D$92,'0800'!A444,'Daftar Koreksi'!$G$5:$G$92,"Aset Tak Berwujud",'Daftar Koreksi'!$H$5:$H$92,"&lt;0")-SUMIFS('Daftar Koreksi'!$H$5:$H$92,'Daftar Koreksi'!$D$5:$D$92,'0800'!A444,'Daftar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Koreksi'!$D$5:$D$92,'0800'!A444,'Daftar Koreksi'!$G$5:$G$92,"Aset Henti Guna",'Daftar Koreksi'!$H$5:$H$92,"&gt;0")</f>
        <v>0</v>
      </c>
      <c r="F455" s="25">
        <f>SUMIFS('Daftar Koreksi'!$H$5:$H$92,'Daftar Koreksi'!$D$5:$D$92,'0800'!A444,'Daftar Koreksi'!$G$5:$G$92,"Aset Henti Guna",'Daftar Koreksi'!$H$5:$H$92,"&lt;0")-SUMIFS('Daftar Koreksi'!$H$5:$H$92,'Daftar Koreksi'!$D$5:$D$92,'0800'!A444,'Daftar Koreksi'!$G$5:$G$92,"Aset Henti Guna",'Daftar Koreksi'!$H$5:$H$92,"&lt;0")-SUMIFS('Daftar Koreksi'!$H$5:$H$92,'Daftar Koreksi'!$D$5:$D$92,'0800'!A444,'Daftar Koreksi'!$G$5:$G$92,"Aset Henti Guna",'Daftar Koreksi'!$H$5:$H$92,"&lt;0")</f>
        <v>0</v>
      </c>
      <c r="G455" s="17">
        <f t="shared" si="20"/>
        <v>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5237876409</v>
      </c>
      <c r="E456" s="19">
        <f>SUM(E447:E455)</f>
        <v>0</v>
      </c>
      <c r="F456" s="19">
        <f>SUM(F447:F455)</f>
        <v>0</v>
      </c>
      <c r="G456" s="19">
        <f t="shared" si="20"/>
        <v>5237876409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-1598109762</v>
      </c>
      <c r="E457" s="25">
        <f>SUMIFS('Daftar Koreksi'!$I$5:$I$92,'Daftar Koreksi'!$D$5:$D$92,'0800'!A444,'Daftar Koreksi'!$G$5:$G$92,"Peralatan dan mesin",'Daftar Koreksi'!$I$5:$I$92,"&gt;0")</f>
        <v>0</v>
      </c>
      <c r="F457" s="25">
        <f>SUMIFS('Daftar Koreksi'!$I$5:$I$92,'Daftar Koreksi'!$D$5:$D$92,'0800'!A444,'Daftar Koreksi'!$G$5:$G$92,"Peralatan dan mesin",'Daftar Koreksi'!$I$5:$I$92,"&lt;0")-SUMIFS('Daftar Koreksi'!$I$5:$I$92,'Daftar Koreksi'!$D$5:$D$92,'0800'!A444,'Daftar Koreksi'!$G$5:$G$92,"Peralatan dan mesin",'Daftar Koreksi'!$I$5:$I$92,"&lt;0")-SUMIFS('Daftar Koreksi'!$I$5:$I$92,'Daftar Koreksi'!$D$5:$D$92,'0800'!A444,'Daftar Koreksi'!$G$5:$G$92,"Peralatan dan mesin",'Daftar Koreksi'!$I$5:$I$92,"&lt;0")</f>
        <v>0</v>
      </c>
      <c r="G457" s="17">
        <f t="shared" si="20"/>
        <v>-1598109762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-782716902</v>
      </c>
      <c r="E458" s="25">
        <f>SUMIFS('Daftar Koreksi'!$I$5:$I$92,'Daftar Koreksi'!$D$5:$D$92,'0800'!A444,'Daftar Koreksi'!$G$5:$G$92,"Gedung dan Bangunan",'Daftar Koreksi'!$I$5:$I$92,"&gt;0")</f>
        <v>0</v>
      </c>
      <c r="F458" s="25">
        <f>SUMIFS('Daftar Koreksi'!$I$5:$I$92,'Daftar Koreksi'!$D$5:$D$92,'0800'!A444,'Daftar Koreksi'!$G$5:$G$92,"Gedung dan Bangunan",'Daftar Koreksi'!$I$5:$I$92,"&lt;0")-SUMIFS('Daftar Koreksi'!$I$5:$I$92,'Daftar Koreksi'!$D$5:$D$92,'0800'!A444,'Daftar Koreksi'!$G$5:$G$92,"Gedung dan Bangunan",'Daftar Koreksi'!$I$5:$I$92,"&lt;0")-SUMIFS('Daftar Koreksi'!$I$5:$I$92,'Daftar Koreksi'!$D$5:$D$92,'0800'!A444,'Daftar Koreksi'!$G$5:$G$92,"Gedung dan Bangunan",'Daftar Koreksi'!$I$5:$I$92,"&lt;0")</f>
        <v>0</v>
      </c>
      <c r="G458" s="17">
        <f t="shared" si="20"/>
        <v>-782716902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Koreksi'!$D$5:$D$92,'0800'!A444,'Daftar Koreksi'!$G$5:$G$92,"Jalan Irigasi Jaringan",'Daftar Koreksi'!$I$5:$I$92,"&gt;0")</f>
        <v>0</v>
      </c>
      <c r="F459" s="25">
        <f>SUMIFS('Daftar Koreksi'!$I$5:$I$92,'Daftar Koreksi'!$D$5:$D$92,'0800'!A444,'Daftar Koreksi'!$G$5:$G$92,"Jalan Irigasi Jaringan",'Daftar Koreksi'!$I$5:$I$92,"&lt;0")-SUMIFS('Daftar Koreksi'!$I$5:$I$92,'Daftar Koreksi'!$D$5:$D$92,'0800'!A444,'Daftar Koreksi'!$G$5:$G$92,"Jalan Irigasi Jaringan",'Daftar Koreksi'!$I$5:$I$92,"&lt;0")-SUMIFS('Daftar Koreksi'!$I$5:$I$92,'Daftar Koreksi'!$D$5:$D$92,'0800'!A444,'Daftar Koreksi'!$G$5:$G$92,"Jalan Irigasi Jaringan",'Daftar Koreksi'!$I$5:$I$92,"&lt;0")</f>
        <v>0</v>
      </c>
      <c r="G459" s="17">
        <f t="shared" si="20"/>
        <v>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Koreksi'!$D$5:$D$92,'0800'!A444,'Daftar Koreksi'!$G$5:$G$92,"Aset Tetap Lainnya",'Daftar Koreksi'!$I$5:$I$92,"&gt;0")</f>
        <v>0</v>
      </c>
      <c r="F460" s="25">
        <f>SUMIFS('Daftar Koreksi'!$I$5:$I$92,'Daftar Koreksi'!$D$5:$D$92,'0800'!A444,'Daftar Koreksi'!$G$5:$G$92,"Aset Tetap Lainnya",'Daftar Koreksi'!$I$5:$I$92,"&lt;0")-SUMIFS('Daftar Koreksi'!$I$5:$I$92,'Daftar Koreksi'!$D$5:$D$92,'0800'!A444,'Daftar Koreksi'!$G$5:$G$92,"Aset Tetap Lainnya",'Daftar Koreksi'!$I$5:$I$92,"&lt;0")-SUMIFS('Daftar Koreksi'!$I$5:$I$92,'Daftar Koreksi'!$D$5:$D$92,'0800'!A444,'Daftar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Koreksi'!$D$5:$D$92,'0800'!A444,'Daftar Koreksi'!$G$5:$G$92,"Aset Henti Guna",'Daftar Koreksi'!$I$5:$I$92,"&gt;0")</f>
        <v>0</v>
      </c>
      <c r="F461" s="25">
        <f>SUMIFS('Daftar Koreksi'!$I$5:$I$92,'Daftar Koreksi'!$D$5:$D$92,'0800'!A444,'Daftar Koreksi'!$G$5:$G$92,"Aset Henti Guna",'Daftar Koreksi'!$I$5:$I$92,"&lt;0")-SUMIFS('Daftar Koreksi'!$I$5:$I$92,'Daftar Koreksi'!$D$5:$D$92,'0800'!A444,'Daftar Koreksi'!$G$5:$G$92,"Aset Henti Guna",'Daftar Koreksi'!$I$5:$I$92,"&lt;0")-SUMIFS('Daftar Koreksi'!$I$5:$I$92,'Daftar Koreksi'!$D$5:$D$92,'0800'!A444,'Daftar Koreksi'!$G$5:$G$92,"Aset Henti Guna",'Daftar Koreksi'!$I$5:$I$92,"&lt;0")</f>
        <v>0</v>
      </c>
      <c r="G461" s="17">
        <f t="shared" si="20"/>
        <v>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-2380826664</v>
      </c>
      <c r="E462" s="19">
        <f>SUM(E457:E461)</f>
        <v>0</v>
      </c>
      <c r="F462" s="19">
        <f>SUM(F457:F461)</f>
        <v>0</v>
      </c>
      <c r="G462" s="19">
        <f t="shared" si="20"/>
        <v>-2380826664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2857049745</v>
      </c>
      <c r="E463" s="19">
        <f>E462+E456</f>
        <v>0</v>
      </c>
      <c r="F463" s="19">
        <f>F462+F456</f>
        <v>0</v>
      </c>
      <c r="G463" s="19">
        <f t="shared" si="20"/>
        <v>2857049745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005010800401962000KD</v>
      </c>
      <c r="B466" s="11" t="str">
        <f>P22</f>
        <v>PA. Padang Panjang</v>
      </c>
      <c r="C466" s="12" t="str">
        <f>A466&amp;" "&amp;B466</f>
        <v>005010800401962000KD PA. Padang Panjang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16042395</v>
      </c>
      <c r="E469" s="25">
        <f>SUMIFS('Daftar Koreksi'!$H$5:$H$92,'Daftar Koreksi'!$D$5:$D$92,'0800'!A466,'Daftar Koreksi'!$G$5:$G$92,"Persediaan",'Daftar Koreksi'!$H$5:$H$92,"&gt;0")</f>
        <v>0</v>
      </c>
      <c r="F469" s="25">
        <f>SUMIFS('Daftar Koreksi'!$H$5:$H$92,'Daftar Koreksi'!$D$5:$D$92,'0800'!A466,'Daftar Koreksi'!$G$5:$G$92,"Persediaan",'Daftar Koreksi'!$H$5:$H$92,"&lt;0")-SUMIFS('Daftar Koreksi'!$H$5:$H$92,'Daftar Koreksi'!$D$5:$D$92,'0800'!A466,'Daftar Koreksi'!$G$5:$G$92,"Persediaan",'Daftar Koreksi'!$H$5:$H$92,"&lt;0")-SUMIFS('Daftar Koreksi'!$H$5:$H$92,'Daftar Koreksi'!$D$5:$D$92,'0800'!A466,'Daftar Koreksi'!$G$5:$G$92,"Persediaan",'Daftar Koreksi'!$H$5:$H$92,"&lt;0")</f>
        <v>0</v>
      </c>
      <c r="G469" s="17">
        <f>D469+E469-F469</f>
        <v>16042395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1186520000</v>
      </c>
      <c r="E470" s="25">
        <f>SUMIFS('Daftar Koreksi'!$H$5:$H$92,'Daftar Koreksi'!$D$5:$D$92,'0800'!A466,'Daftar Koreksi'!$G$5:$G$92,"Tanah",'Daftar Koreksi'!$H$5:$H$92,"&gt;0")</f>
        <v>0</v>
      </c>
      <c r="F470" s="25">
        <f>SUMIFS('Daftar Koreksi'!$H$5:$H$92,'Daftar Koreksi'!$D$5:$D$92,'0800'!A466,'Daftar Koreksi'!$G$5:$G$92,"Tanah",'Daftar Koreksi'!$H$5:$H$92,"&lt;0")-SUMIFS('Daftar Koreksi'!$H$5:$H$92,'Daftar Koreksi'!$D$5:$D$92,'0800'!A466,'Daftar Koreksi'!$G$5:$G$92,"Tanah",'Daftar Koreksi'!$H$5:$H$92,"&lt;0")-SUMIFS('Daftar Koreksi'!$H$5:$H$92,'Daftar Koreksi'!$D$5:$D$92,'0800'!A466,'Daftar Koreksi'!$G$5:$G$92,"Tanah",'Daftar Koreksi'!$H$5:$H$92,"&lt;0")</f>
        <v>0</v>
      </c>
      <c r="G470" s="17">
        <f t="shared" ref="G470:G486" si="21">D470+E470-F470</f>
        <v>1186520000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1270983353</v>
      </c>
      <c r="E471" s="25">
        <f>SUMIFS('Daftar Koreksi'!$H$5:$H$92,'Daftar Koreksi'!$D$5:$D$92,'0800'!A466,'Daftar Koreksi'!$G$5:$G$92,"Peralatan dan mesin",'Daftar Koreksi'!$H$5:$H$92,"&gt;0")</f>
        <v>0</v>
      </c>
      <c r="F471" s="25">
        <f>SUMIFS('Daftar Koreksi'!$H$5:$H$92,'Daftar Koreksi'!$D$5:$D$92,'0800'!A466,'Daftar Koreksi'!$G$5:$G$92,"Peralatan dan mesin",'Daftar Koreksi'!$H$5:$H$92,"&lt;0")-SUMIFS('Daftar Koreksi'!$H$5:$H$92,'Daftar Koreksi'!$D$5:$D$92,'0800'!A466,'Daftar Koreksi'!$G$5:$G$92,"Peralatan dan mesin",'Daftar Koreksi'!$H$5:$H$92,"&lt;0")-SUMIFS('Daftar Koreksi'!$H$5:$H$92,'Daftar Koreksi'!$D$5:$D$92,'0800'!A466,'Daftar Koreksi'!$G$5:$G$92,"Peralatan dan mesin",'Daftar Koreksi'!$H$5:$H$92,"&lt;0")</f>
        <v>0</v>
      </c>
      <c r="G471" s="17">
        <f t="shared" si="21"/>
        <v>1270983353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3251352200</v>
      </c>
      <c r="E472" s="25">
        <f>SUMIFS('Daftar Koreksi'!$H$5:$H$92,'Daftar Koreksi'!$D$5:$D$92,'0800'!A466,'Daftar Koreksi'!$G$5:$G$92,"Gedung dan Bangunan",'Daftar Koreksi'!$H$5:$H$92,"&gt;0")</f>
        <v>0</v>
      </c>
      <c r="F472" s="25">
        <f>SUMIFS('Daftar Koreksi'!$H$5:$H$92,'Daftar Koreksi'!$D$5:$D$92,'0800'!A466,'Daftar Koreksi'!$G$5:$G$92,"Gedung dan Bangunan",'Daftar Koreksi'!$H$5:$H$92,"&lt;0")-SUMIFS('Daftar Koreksi'!$H$5:$H$92,'Daftar Koreksi'!$D$5:$D$92,'0800'!A466,'Daftar Koreksi'!$G$5:$G$92,"Gedung dan Bangunan",'Daftar Koreksi'!$H$5:$H$92,"&lt;0")-SUMIFS('Daftar Koreksi'!$H$5:$H$92,'Daftar Koreksi'!$D$5:$D$92,'0800'!A466,'Daftar Koreksi'!$G$5:$G$92,"Gedung dan Bangunan",'Daftar Koreksi'!$H$5:$H$92,"&lt;0")</f>
        <v>0</v>
      </c>
      <c r="G472" s="17">
        <f t="shared" si="21"/>
        <v>3251352200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Koreksi'!$D$5:$D$92,'0800'!A466,'Daftar Koreksi'!$G$5:$G$92,"Jalan Irigasi Jaringan",'Daftar Koreksi'!$H$5:$H$92,"&gt;0")</f>
        <v>0</v>
      </c>
      <c r="F473" s="25">
        <f>SUMIFS('Daftar Koreksi'!$H$5:$H$92,'Daftar Koreksi'!$D$5:$D$92,'0800'!A466,'Daftar Koreksi'!$G$5:$G$92,"Jalan Irigasi Jaringan",'Daftar Koreksi'!$H$5:$H$92,"&lt;0")-SUMIFS('Daftar Koreksi'!$H$5:$H$92,'Daftar Koreksi'!$D$5:$D$92,'0800'!A466,'Daftar Koreksi'!$G$5:$G$92,"Jalan Irigasi Jaringan",'Daftar Koreksi'!$H$5:$H$92,"&lt;0")-SUMIFS('Daftar Koreksi'!$H$5:$H$92,'Daftar Koreksi'!$D$5:$D$92,'0800'!A466,'Daftar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46076740</v>
      </c>
      <c r="E474" s="25">
        <f>SUMIFS('Daftar Koreksi'!$H$5:$H$92,'Daftar Koreksi'!$D$5:$D$92,'0800'!A466,'Daftar Koreksi'!$G$5:$G$92,"Aset Tetap Lainnya",'Daftar Koreksi'!$H$5:$H$92,"&gt;0")</f>
        <v>0</v>
      </c>
      <c r="F474" s="25">
        <f>SUMIFS('Daftar Koreksi'!$H$5:$H$92,'Daftar Koreksi'!$D$5:$D$92,'0800'!A466,'Daftar Koreksi'!$G$5:$G$92,"Aset Tetap Lainnya",'Daftar Koreksi'!$H$5:$H$92,"&lt;0")-SUMIFS('Daftar Koreksi'!$H$5:$H$92,'Daftar Koreksi'!$D$5:$D$92,'0800'!A466,'Daftar Koreksi'!$G$5:$G$92,"Aset Tetap Lainnya",'Daftar Koreksi'!$H$5:$H$92,"&lt;0")-SUMIFS('Daftar Koreksi'!$H$5:$H$92,'Daftar Koreksi'!$D$5:$D$92,'0800'!A466,'Daftar Koreksi'!$G$5:$G$92,"Aset Tetap Lainnya",'Daftar Koreksi'!$H$5:$H$92,"&lt;0")</f>
        <v>0</v>
      </c>
      <c r="G474" s="17">
        <f t="shared" si="21"/>
        <v>46076740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Koreksi'!$D$5:$D$92,'0800'!A466,'Daftar Koreksi'!$G$5:$G$92,"Kontruksi Dalam Pengerjaan",'Daftar Koreksi'!$H$5:$H$92,"&gt;0")</f>
        <v>0</v>
      </c>
      <c r="F475" s="25">
        <f>SUMIFS('Daftar Koreksi'!$H$5:$H$92,'Daftar Koreksi'!$D$5:$D$92,'0800'!A466,'Daftar Koreksi'!$G$5:$G$92,"Kontruksi Dalam Pengerjaan",'Daftar Koreksi'!$H$5:$H$92,"&lt;0")-SUMIFS('Daftar Koreksi'!$H$5:$H$92,'Daftar Koreksi'!$D$5:$D$92,'0800'!A466,'Daftar Koreksi'!$G$5:$G$92,"Kontruksi Dalam Pengerjaan",'Daftar Koreksi'!$H$5:$H$92,"&lt;0")-SUMIFS('Daftar Koreksi'!$H$5:$H$92,'Daftar Koreksi'!$D$5:$D$92,'0800'!A466,'Daftar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6050000</v>
      </c>
      <c r="E476" s="25">
        <f>SUMIFS('Daftar Koreksi'!$H$5:$H$92,'Daftar Koreksi'!$D$5:$D$92,'0800'!A466,'Daftar Koreksi'!$G$5:$G$92,"Aset Tak Berwujud",'Daftar Koreksi'!$H$5:$H$92,"&gt;0")</f>
        <v>0</v>
      </c>
      <c r="F476" s="25">
        <f>SUMIFS('Daftar Koreksi'!$H$5:$H$92,'Daftar Koreksi'!$D$5:$D$92,'0800'!A466,'Daftar Koreksi'!$G$5:$G$92,"Aset Tak Berwujud",'Daftar Koreksi'!$H$5:$H$92,"&lt;0")-SUMIFS('Daftar Koreksi'!$H$5:$H$92,'Daftar Koreksi'!$D$5:$D$92,'0800'!A466,'Daftar Koreksi'!$G$5:$G$92,"Aset Tak Berwujud",'Daftar Koreksi'!$H$5:$H$92,"&lt;0")-SUMIFS('Daftar Koreksi'!$H$5:$H$92,'Daftar Koreksi'!$D$5:$D$92,'0800'!A466,'Daftar Koreksi'!$G$5:$G$92,"Aset Tak Berwujud",'Daftar Koreksi'!$H$5:$H$92,"&lt;0")</f>
        <v>0</v>
      </c>
      <c r="G476" s="17">
        <f t="shared" si="21"/>
        <v>6050000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164259500</v>
      </c>
      <c r="E477" s="25">
        <f>SUMIFS('Daftar Koreksi'!$H$5:$H$92,'Daftar Koreksi'!$D$5:$D$92,'0800'!A466,'Daftar Koreksi'!$G$5:$G$92,"Aset Henti Guna",'Daftar Koreksi'!$H$5:$H$92,"&gt;0")</f>
        <v>0</v>
      </c>
      <c r="F477" s="25">
        <f>SUMIFS('Daftar Koreksi'!$H$5:$H$92,'Daftar Koreksi'!$D$5:$D$92,'0800'!A466,'Daftar Koreksi'!$G$5:$G$92,"Aset Henti Guna",'Daftar Koreksi'!$H$5:$H$92,"&lt;0")-SUMIFS('Daftar Koreksi'!$H$5:$H$92,'Daftar Koreksi'!$D$5:$D$92,'0800'!A466,'Daftar Koreksi'!$G$5:$G$92,"Aset Henti Guna",'Daftar Koreksi'!$H$5:$H$92,"&lt;0")-SUMIFS('Daftar Koreksi'!$H$5:$H$92,'Daftar Koreksi'!$D$5:$D$92,'0800'!A466,'Daftar Koreksi'!$G$5:$G$92,"Aset Henti Guna",'Daftar Koreksi'!$H$5:$H$92,"&lt;0")</f>
        <v>0</v>
      </c>
      <c r="G477" s="17">
        <f t="shared" si="21"/>
        <v>164259500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5941284188</v>
      </c>
      <c r="E478" s="19">
        <f>SUM(E469:E477)</f>
        <v>0</v>
      </c>
      <c r="F478" s="19">
        <f>SUM(F469:F477)</f>
        <v>0</v>
      </c>
      <c r="G478" s="19">
        <f t="shared" si="21"/>
        <v>5941284188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-1167647491</v>
      </c>
      <c r="E479" s="25">
        <f>SUMIFS('Daftar Koreksi'!$I$5:$I$92,'Daftar Koreksi'!$D$5:$D$92,'0800'!A466,'Daftar Koreksi'!$G$5:$G$92,"Peralatan dan mesin",'Daftar Koreksi'!$I$5:$I$92,"&gt;0")</f>
        <v>0</v>
      </c>
      <c r="F479" s="25">
        <f>SUMIFS('Daftar Koreksi'!$I$5:$I$92,'Daftar Koreksi'!$D$5:$D$92,'0800'!A466,'Daftar Koreksi'!$G$5:$G$92,"Peralatan dan mesin",'Daftar Koreksi'!$I$5:$I$92,"&lt;0")-SUMIFS('Daftar Koreksi'!$I$5:$I$92,'Daftar Koreksi'!$D$5:$D$92,'0800'!A466,'Daftar Koreksi'!$G$5:$G$92,"Peralatan dan mesin",'Daftar Koreksi'!$I$5:$I$92,"&lt;0")-SUMIFS('Daftar Koreksi'!$I$5:$I$92,'Daftar Koreksi'!$D$5:$D$92,'0800'!A466,'Daftar Koreksi'!$G$5:$G$92,"Peralatan dan mesin",'Daftar Koreksi'!$I$5:$I$92,"&lt;0")</f>
        <v>0</v>
      </c>
      <c r="G479" s="17">
        <f t="shared" si="21"/>
        <v>-1167647491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-512420546</v>
      </c>
      <c r="E480" s="25">
        <f>SUMIFS('Daftar Koreksi'!$I$5:$I$92,'Daftar Koreksi'!$D$5:$D$92,'0800'!A466,'Daftar Koreksi'!$G$5:$G$92,"Gedung dan Bangunan",'Daftar Koreksi'!$I$5:$I$92,"&gt;0")</f>
        <v>0</v>
      </c>
      <c r="F480" s="25">
        <f>SUMIFS('Daftar Koreksi'!$I$5:$I$92,'Daftar Koreksi'!$D$5:$D$92,'0800'!A466,'Daftar Koreksi'!$G$5:$G$92,"Gedung dan Bangunan",'Daftar Koreksi'!$I$5:$I$92,"&lt;0")-SUMIFS('Daftar Koreksi'!$I$5:$I$92,'Daftar Koreksi'!$D$5:$D$92,'0800'!A466,'Daftar Koreksi'!$G$5:$G$92,"Gedung dan Bangunan",'Daftar Koreksi'!$I$5:$I$92,"&lt;0")-SUMIFS('Daftar Koreksi'!$I$5:$I$92,'Daftar Koreksi'!$D$5:$D$92,'0800'!A466,'Daftar Koreksi'!$G$5:$G$92,"Gedung dan Bangunan",'Daftar Koreksi'!$I$5:$I$92,"&lt;0")</f>
        <v>0</v>
      </c>
      <c r="G480" s="17">
        <f t="shared" si="21"/>
        <v>-512420546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Koreksi'!$D$5:$D$92,'0800'!A466,'Daftar Koreksi'!$G$5:$G$92,"Jalan Irigasi Jaringan",'Daftar Koreksi'!$I$5:$I$92,"&gt;0")</f>
        <v>0</v>
      </c>
      <c r="F481" s="25">
        <f>SUMIFS('Daftar Koreksi'!$I$5:$I$92,'Daftar Koreksi'!$D$5:$D$92,'0800'!A466,'Daftar Koreksi'!$G$5:$G$92,"Jalan Irigasi Jaringan",'Daftar Koreksi'!$I$5:$I$92,"&lt;0")-SUMIFS('Daftar Koreksi'!$I$5:$I$92,'Daftar Koreksi'!$D$5:$D$92,'0800'!A466,'Daftar Koreksi'!$G$5:$G$92,"Jalan Irigasi Jaringan",'Daftar Koreksi'!$I$5:$I$92,"&lt;0")-SUMIFS('Daftar Koreksi'!$I$5:$I$92,'Daftar Koreksi'!$D$5:$D$92,'0800'!A466,'Daftar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Koreksi'!$D$5:$D$92,'0800'!A466,'Daftar Koreksi'!$G$5:$G$92,"Aset Tetap Lainnya",'Daftar Koreksi'!$I$5:$I$92,"&gt;0")</f>
        <v>0</v>
      </c>
      <c r="F482" s="25">
        <f>SUMIFS('Daftar Koreksi'!$I$5:$I$92,'Daftar Koreksi'!$D$5:$D$92,'0800'!A466,'Daftar Koreksi'!$G$5:$G$92,"Aset Tetap Lainnya",'Daftar Koreksi'!$I$5:$I$92,"&lt;0")-SUMIFS('Daftar Koreksi'!$I$5:$I$92,'Daftar Koreksi'!$D$5:$D$92,'0800'!A466,'Daftar Koreksi'!$G$5:$G$92,"Aset Tetap Lainnya",'Daftar Koreksi'!$I$5:$I$92,"&lt;0")-SUMIFS('Daftar Koreksi'!$I$5:$I$92,'Daftar Koreksi'!$D$5:$D$92,'0800'!A466,'Daftar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-159879500</v>
      </c>
      <c r="E483" s="25">
        <f>SUMIFS('Daftar Koreksi'!$I$5:$I$92,'Daftar Koreksi'!$D$5:$D$92,'0800'!A466,'Daftar Koreksi'!$G$5:$G$92,"Aset Henti Guna",'Daftar Koreksi'!$I$5:$I$92,"&gt;0")</f>
        <v>0</v>
      </c>
      <c r="F483" s="25">
        <f>SUMIFS('Daftar Koreksi'!$I$5:$I$92,'Daftar Koreksi'!$D$5:$D$92,'0800'!A466,'Daftar Koreksi'!$G$5:$G$92,"Aset Henti Guna",'Daftar Koreksi'!$I$5:$I$92,"&lt;0")-SUMIFS('Daftar Koreksi'!$I$5:$I$92,'Daftar Koreksi'!$D$5:$D$92,'0800'!A466,'Daftar Koreksi'!$G$5:$G$92,"Aset Henti Guna",'Daftar Koreksi'!$I$5:$I$92,"&lt;0")-SUMIFS('Daftar Koreksi'!$I$5:$I$92,'Daftar Koreksi'!$D$5:$D$92,'0800'!A466,'Daftar Koreksi'!$G$5:$G$92,"Aset Henti Guna",'Daftar Koreksi'!$I$5:$I$92,"&lt;0")</f>
        <v>0</v>
      </c>
      <c r="G483" s="17">
        <f t="shared" si="21"/>
        <v>-159879500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-1839947537</v>
      </c>
      <c r="E484" s="19">
        <f>SUM(E479:E483)</f>
        <v>0</v>
      </c>
      <c r="F484" s="19">
        <f>SUM(F479:F483)</f>
        <v>0</v>
      </c>
      <c r="G484" s="19">
        <f t="shared" si="21"/>
        <v>-1839947537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4101336651</v>
      </c>
      <c r="E485" s="19">
        <f>E484+E478</f>
        <v>0</v>
      </c>
      <c r="F485" s="19">
        <f>F484+F478</f>
        <v>0</v>
      </c>
      <c r="G485" s="19">
        <f t="shared" si="21"/>
        <v>4101336651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005010800401978000KD</v>
      </c>
      <c r="B488" s="11" t="str">
        <f>P23</f>
        <v>PA. Sijunjung</v>
      </c>
      <c r="C488" s="12" t="str">
        <f>A488&amp;" "&amp;B488</f>
        <v>005010800401978000KD PA. Sijunjung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6116750</v>
      </c>
      <c r="E491" s="25">
        <f>SUMIFS('Daftar Koreksi'!$H$5:$H$92,'Daftar Koreksi'!$D$5:$D$92,'0800'!A488,'Daftar Koreksi'!$G$5:$G$92,"Persediaan",'Daftar Koreksi'!$H$5:$H$92,"&gt;0")</f>
        <v>0</v>
      </c>
      <c r="F491" s="25">
        <f>SUMIFS('Daftar Koreksi'!$H$5:$H$92,'Daftar Koreksi'!$D$5:$D$92,'0800'!A488,'Daftar Koreksi'!$G$5:$G$92,"Persediaan",'Daftar Koreksi'!$H$5:$H$92,"&lt;0")-SUMIFS('Daftar Koreksi'!$H$5:$H$92,'Daftar Koreksi'!$D$5:$D$92,'0800'!A488,'Daftar Koreksi'!$G$5:$G$92,"Persediaan",'Daftar Koreksi'!$H$5:$H$92,"&lt;0")-SUMIFS('Daftar Koreksi'!$H$5:$H$92,'Daftar Koreksi'!$D$5:$D$92,'0800'!A488,'Daftar Koreksi'!$G$5:$G$92,"Persediaan",'Daftar Koreksi'!$H$5:$H$92,"&lt;0")</f>
        <v>0</v>
      </c>
      <c r="G491" s="17">
        <f>D491+E491-F491</f>
        <v>6116750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230125000</v>
      </c>
      <c r="E492" s="25">
        <f>SUMIFS('Daftar Koreksi'!$H$5:$H$92,'Daftar Koreksi'!$D$5:$D$92,'0800'!A488,'Daftar Koreksi'!$G$5:$G$92,"Tanah",'Daftar Koreksi'!$H$5:$H$92,"&gt;0")</f>
        <v>0</v>
      </c>
      <c r="F492" s="25">
        <f>SUMIFS('Daftar Koreksi'!$H$5:$H$92,'Daftar Koreksi'!$D$5:$D$92,'0800'!A488,'Daftar Koreksi'!$G$5:$G$92,"Tanah",'Daftar Koreksi'!$H$5:$H$92,"&lt;0")-SUMIFS('Daftar Koreksi'!$H$5:$H$92,'Daftar Koreksi'!$D$5:$D$92,'0800'!A488,'Daftar Koreksi'!$G$5:$G$92,"Tanah",'Daftar Koreksi'!$H$5:$H$92,"&lt;0")-SUMIFS('Daftar Koreksi'!$H$5:$H$92,'Daftar Koreksi'!$D$5:$D$92,'0800'!A488,'Daftar Koreksi'!$G$5:$G$92,"Tanah",'Daftar Koreksi'!$H$5:$H$92,"&lt;0")</f>
        <v>0</v>
      </c>
      <c r="G492" s="17">
        <f t="shared" ref="G492:G508" si="22">D492+E492-F492</f>
        <v>230125000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1291680639</v>
      </c>
      <c r="E493" s="25">
        <f>SUMIFS('Daftar Koreksi'!$H$5:$H$92,'Daftar Koreksi'!$D$5:$D$92,'0800'!A488,'Daftar Koreksi'!$G$5:$G$92,"Peralatan dan mesin",'Daftar Koreksi'!$H$5:$H$92,"&gt;0")</f>
        <v>0</v>
      </c>
      <c r="F493" s="25">
        <f>SUMIFS('Daftar Koreksi'!$H$5:$H$92,'Daftar Koreksi'!$D$5:$D$92,'0800'!A488,'Daftar Koreksi'!$G$5:$G$92,"Peralatan dan mesin",'Daftar Koreksi'!$H$5:$H$92,"&lt;0")-SUMIFS('Daftar Koreksi'!$H$5:$H$92,'Daftar Koreksi'!$D$5:$D$92,'0800'!A488,'Daftar Koreksi'!$G$5:$G$92,"Peralatan dan mesin",'Daftar Koreksi'!$H$5:$H$92,"&lt;0")-SUMIFS('Daftar Koreksi'!$H$5:$H$92,'Daftar Koreksi'!$D$5:$D$92,'0800'!A488,'Daftar Koreksi'!$G$5:$G$92,"Peralatan dan mesin",'Daftar Koreksi'!$H$5:$H$92,"&lt;0")</f>
        <v>0</v>
      </c>
      <c r="G493" s="17">
        <f t="shared" si="22"/>
        <v>1291680639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2030106260</v>
      </c>
      <c r="E494" s="25">
        <f>SUMIFS('Daftar Koreksi'!$H$5:$H$92,'Daftar Koreksi'!$D$5:$D$92,'0800'!A488,'Daftar Koreksi'!$G$5:$G$92,"Gedung dan Bangunan",'Daftar Koreksi'!$H$5:$H$92,"&gt;0")</f>
        <v>0</v>
      </c>
      <c r="F494" s="25">
        <f>SUMIFS('Daftar Koreksi'!$H$5:$H$92,'Daftar Koreksi'!$D$5:$D$92,'0800'!A488,'Daftar Koreksi'!$G$5:$G$92,"Gedung dan Bangunan",'Daftar Koreksi'!$H$5:$H$92,"&lt;0")-SUMIFS('Daftar Koreksi'!$H$5:$H$92,'Daftar Koreksi'!$D$5:$D$92,'0800'!A488,'Daftar Koreksi'!$G$5:$G$92,"Gedung dan Bangunan",'Daftar Koreksi'!$H$5:$H$92,"&lt;0")-SUMIFS('Daftar Koreksi'!$H$5:$H$92,'Daftar Koreksi'!$D$5:$D$92,'0800'!A488,'Daftar Koreksi'!$G$5:$G$92,"Gedung dan Bangunan",'Daftar Koreksi'!$H$5:$H$92,"&lt;0")</f>
        <v>0</v>
      </c>
      <c r="G494" s="17">
        <f t="shared" si="22"/>
        <v>2030106260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0</v>
      </c>
      <c r="E495" s="25">
        <f>SUMIFS('Daftar Koreksi'!$H$5:$H$92,'Daftar Koreksi'!$D$5:$D$92,'0800'!A488,'Daftar Koreksi'!$G$5:$G$92,"Jalan Irigasi Jaringan",'Daftar Koreksi'!$H$5:$H$92,"&gt;0")</f>
        <v>0</v>
      </c>
      <c r="F495" s="25">
        <f>SUMIFS('Daftar Koreksi'!$H$5:$H$92,'Daftar Koreksi'!$D$5:$D$92,'0800'!A488,'Daftar Koreksi'!$G$5:$G$92,"Jalan Irigasi Jaringan",'Daftar Koreksi'!$H$5:$H$92,"&lt;0")-SUMIFS('Daftar Koreksi'!$H$5:$H$92,'Daftar Koreksi'!$D$5:$D$92,'0800'!A488,'Daftar Koreksi'!$G$5:$G$92,"Jalan Irigasi Jaringan",'Daftar Koreksi'!$H$5:$H$92,"&lt;0")-SUMIFS('Daftar Koreksi'!$H$5:$H$92,'Daftar Koreksi'!$D$5:$D$92,'0800'!A488,'Daftar Koreksi'!$G$5:$G$92,"Jalan Irigasi Jaringan",'Daftar Koreksi'!$H$5:$H$92,"&lt;0")</f>
        <v>0</v>
      </c>
      <c r="G495" s="17">
        <f t="shared" si="22"/>
        <v>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19013340</v>
      </c>
      <c r="E496" s="25">
        <f>SUMIFS('Daftar Koreksi'!$H$5:$H$92,'Daftar Koreksi'!$D$5:$D$92,'0800'!A488,'Daftar Koreksi'!$G$5:$G$92,"Aset Tetap Lainnya",'Daftar Koreksi'!$H$5:$H$92,"&gt;0")</f>
        <v>0</v>
      </c>
      <c r="F496" s="25">
        <f>SUMIFS('Daftar Koreksi'!$H$5:$H$92,'Daftar Koreksi'!$D$5:$D$92,'0800'!A488,'Daftar Koreksi'!$G$5:$G$92,"Aset Tetap Lainnya",'Daftar Koreksi'!$H$5:$H$92,"&lt;0")-SUMIFS('Daftar Koreksi'!$H$5:$H$92,'Daftar Koreksi'!$D$5:$D$92,'0800'!A488,'Daftar Koreksi'!$G$5:$G$92,"Aset Tetap Lainnya",'Daftar Koreksi'!$H$5:$H$92,"&lt;0")-SUMIFS('Daftar Koreksi'!$H$5:$H$92,'Daftar Koreksi'!$D$5:$D$92,'0800'!A488,'Daftar Koreksi'!$G$5:$G$92,"Aset Tetap Lainnya",'Daftar Koreksi'!$H$5:$H$92,"&lt;0")</f>
        <v>0</v>
      </c>
      <c r="G496" s="17">
        <f t="shared" si="22"/>
        <v>19013340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Koreksi'!$D$5:$D$92,'0800'!A488,'Daftar Koreksi'!$G$5:$G$92,"Kontruksi Dalam Pengerjaan",'Daftar Koreksi'!$H$5:$H$92,"&gt;0")</f>
        <v>0</v>
      </c>
      <c r="F497" s="25">
        <f>SUMIFS('Daftar Koreksi'!$H$5:$H$92,'Daftar Koreksi'!$D$5:$D$92,'0800'!A488,'Daftar Koreksi'!$G$5:$G$92,"Kontruksi Dalam Pengerjaan",'Daftar Koreksi'!$H$5:$H$92,"&lt;0")-SUMIFS('Daftar Koreksi'!$H$5:$H$92,'Daftar Koreksi'!$D$5:$D$92,'0800'!A488,'Daftar Koreksi'!$G$5:$G$92,"Kontruksi Dalam Pengerjaan",'Daftar Koreksi'!$H$5:$H$92,"&lt;0")-SUMIFS('Daftar Koreksi'!$H$5:$H$92,'Daftar Koreksi'!$D$5:$D$92,'0800'!A488,'Daftar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Koreksi'!$D$5:$D$92,'0800'!A488,'Daftar Koreksi'!$G$5:$G$92,"Aset Tak Berwujud",'Daftar Koreksi'!$H$5:$H$92,"&gt;0")</f>
        <v>0</v>
      </c>
      <c r="F498" s="25">
        <f>SUMIFS('Daftar Koreksi'!$H$5:$H$92,'Daftar Koreksi'!$D$5:$D$92,'0800'!A488,'Daftar Koreksi'!$G$5:$G$92,"Aset Tak Berwujud",'Daftar Koreksi'!$H$5:$H$92,"&lt;0")-SUMIFS('Daftar Koreksi'!$H$5:$H$92,'Daftar Koreksi'!$D$5:$D$92,'0800'!A488,'Daftar Koreksi'!$G$5:$G$92,"Aset Tak Berwujud",'Daftar Koreksi'!$H$5:$H$92,"&lt;0")-SUMIFS('Daftar Koreksi'!$H$5:$H$92,'Daftar Koreksi'!$D$5:$D$92,'0800'!A488,'Daftar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153711111</v>
      </c>
      <c r="E499" s="25">
        <f>SUMIFS('Daftar Koreksi'!$H$5:$H$92,'Daftar Koreksi'!$D$5:$D$92,'0800'!A488,'Daftar Koreksi'!$G$5:$G$92,"Aset Henti Guna",'Daftar Koreksi'!$H$5:$H$92,"&gt;0")</f>
        <v>0</v>
      </c>
      <c r="F499" s="25">
        <f>SUMIFS('Daftar Koreksi'!$H$5:$H$92,'Daftar Koreksi'!$D$5:$D$92,'0800'!A488,'Daftar Koreksi'!$G$5:$G$92,"Aset Henti Guna",'Daftar Koreksi'!$H$5:$H$92,"&lt;0")-SUMIFS('Daftar Koreksi'!$H$5:$H$92,'Daftar Koreksi'!$D$5:$D$92,'0800'!A488,'Daftar Koreksi'!$G$5:$G$92,"Aset Henti Guna",'Daftar Koreksi'!$H$5:$H$92,"&lt;0")-SUMIFS('Daftar Koreksi'!$H$5:$H$92,'Daftar Koreksi'!$D$5:$D$92,'0800'!A488,'Daftar Koreksi'!$G$5:$G$92,"Aset Henti Guna",'Daftar Koreksi'!$H$5:$H$92,"&lt;0")</f>
        <v>0</v>
      </c>
      <c r="G499" s="17">
        <f t="shared" si="22"/>
        <v>153711111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3730753100</v>
      </c>
      <c r="E500" s="19">
        <f>SUM(E491:E499)</f>
        <v>0</v>
      </c>
      <c r="F500" s="19">
        <f>SUM(F491:F499)</f>
        <v>0</v>
      </c>
      <c r="G500" s="19">
        <f t="shared" si="22"/>
        <v>3730753100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-923562797</v>
      </c>
      <c r="E501" s="25">
        <f>SUMIFS('Daftar Koreksi'!$I$5:$I$92,'Daftar Koreksi'!$D$5:$D$92,'0800'!A488,'Daftar Koreksi'!$G$5:$G$92,"Peralatan dan mesin",'Daftar Koreksi'!$I$5:$I$92,"&gt;0")</f>
        <v>0</v>
      </c>
      <c r="F501" s="25">
        <f>SUMIFS('Daftar Koreksi'!$I$5:$I$92,'Daftar Koreksi'!$D$5:$D$92,'0800'!A488,'Daftar Koreksi'!$G$5:$G$92,"Peralatan dan mesin",'Daftar Koreksi'!$I$5:$I$92,"&lt;0")-SUMIFS('Daftar Koreksi'!$I$5:$I$92,'Daftar Koreksi'!$D$5:$D$92,'0800'!A488,'Daftar Koreksi'!$G$5:$G$92,"Peralatan dan mesin",'Daftar Koreksi'!$I$5:$I$92,"&lt;0")-SUMIFS('Daftar Koreksi'!$I$5:$I$92,'Daftar Koreksi'!$D$5:$D$92,'0800'!A488,'Daftar Koreksi'!$G$5:$G$92,"Peralatan dan mesin",'Daftar Koreksi'!$I$5:$I$92,"&lt;0")</f>
        <v>0</v>
      </c>
      <c r="G501" s="17">
        <f t="shared" si="22"/>
        <v>-923562797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-132214635</v>
      </c>
      <c r="E502" s="25">
        <f>SUMIFS('Daftar Koreksi'!$I$5:$I$92,'Daftar Koreksi'!$D$5:$D$92,'0800'!A488,'Daftar Koreksi'!$G$5:$G$92,"Gedung dan Bangunan",'Daftar Koreksi'!$I$5:$I$92,"&gt;0")</f>
        <v>0</v>
      </c>
      <c r="F502" s="25">
        <f>SUMIFS('Daftar Koreksi'!$I$5:$I$92,'Daftar Koreksi'!$D$5:$D$92,'0800'!A488,'Daftar Koreksi'!$G$5:$G$92,"Gedung dan Bangunan",'Daftar Koreksi'!$I$5:$I$92,"&lt;0")-SUMIFS('Daftar Koreksi'!$I$5:$I$92,'Daftar Koreksi'!$D$5:$D$92,'0800'!A488,'Daftar Koreksi'!$G$5:$G$92,"Gedung dan Bangunan",'Daftar Koreksi'!$I$5:$I$92,"&lt;0")-SUMIFS('Daftar Koreksi'!$I$5:$I$92,'Daftar Koreksi'!$D$5:$D$92,'0800'!A488,'Daftar Koreksi'!$G$5:$G$92,"Gedung dan Bangunan",'Daftar Koreksi'!$I$5:$I$92,"&lt;0")</f>
        <v>0</v>
      </c>
      <c r="G502" s="17">
        <f t="shared" si="22"/>
        <v>-132214635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0</v>
      </c>
      <c r="E503" s="25">
        <f>SUMIFS('Daftar Koreksi'!$I$5:$I$92,'Daftar Koreksi'!$D$5:$D$92,'0800'!A488,'Daftar Koreksi'!$G$5:$G$92,"Jalan Irigasi Jaringan",'Daftar Koreksi'!$I$5:$I$92,"&gt;0")</f>
        <v>0</v>
      </c>
      <c r="F503" s="25">
        <f>SUMIFS('Daftar Koreksi'!$I$5:$I$92,'Daftar Koreksi'!$D$5:$D$92,'0800'!A488,'Daftar Koreksi'!$G$5:$G$92,"Jalan Irigasi Jaringan",'Daftar Koreksi'!$I$5:$I$92,"&lt;0")-SUMIFS('Daftar Koreksi'!$I$5:$I$92,'Daftar Koreksi'!$D$5:$D$92,'0800'!A488,'Daftar Koreksi'!$G$5:$G$92,"Jalan Irigasi Jaringan",'Daftar Koreksi'!$I$5:$I$92,"&lt;0")-SUMIFS('Daftar Koreksi'!$I$5:$I$92,'Daftar Koreksi'!$D$5:$D$92,'0800'!A488,'Daftar Koreksi'!$G$5:$G$92,"Jalan Irigasi Jaringan",'Daftar Koreksi'!$I$5:$I$92,"&lt;0")</f>
        <v>0</v>
      </c>
      <c r="G503" s="17">
        <f t="shared" si="22"/>
        <v>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Koreksi'!$D$5:$D$92,'0800'!A488,'Daftar Koreksi'!$G$5:$G$92,"Aset Tetap Lainnya",'Daftar Koreksi'!$I$5:$I$92,"&gt;0")</f>
        <v>0</v>
      </c>
      <c r="F504" s="25">
        <f>SUMIFS('Daftar Koreksi'!$I$5:$I$92,'Daftar Koreksi'!$D$5:$D$92,'0800'!A488,'Daftar Koreksi'!$G$5:$G$92,"Aset Tetap Lainnya",'Daftar Koreksi'!$I$5:$I$92,"&lt;0")-SUMIFS('Daftar Koreksi'!$I$5:$I$92,'Daftar Koreksi'!$D$5:$D$92,'0800'!A488,'Daftar Koreksi'!$G$5:$G$92,"Aset Tetap Lainnya",'Daftar Koreksi'!$I$5:$I$92,"&lt;0")-SUMIFS('Daftar Koreksi'!$I$5:$I$92,'Daftar Koreksi'!$D$5:$D$92,'0800'!A488,'Daftar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-153711111</v>
      </c>
      <c r="E505" s="25">
        <f>SUMIFS('Daftar Koreksi'!$I$5:$I$92,'Daftar Koreksi'!$D$5:$D$92,'0800'!A488,'Daftar Koreksi'!$G$5:$G$92,"Aset Henti Guna",'Daftar Koreksi'!$I$5:$I$92,"&gt;0")</f>
        <v>0</v>
      </c>
      <c r="F505" s="25">
        <f>SUMIFS('Daftar Koreksi'!$I$5:$I$92,'Daftar Koreksi'!$D$5:$D$92,'0800'!A488,'Daftar Koreksi'!$G$5:$G$92,"Aset Henti Guna",'Daftar Koreksi'!$I$5:$I$92,"&lt;0")-SUMIFS('Daftar Koreksi'!$I$5:$I$92,'Daftar Koreksi'!$D$5:$D$92,'0800'!A488,'Daftar Koreksi'!$G$5:$G$92,"Aset Henti Guna",'Daftar Koreksi'!$I$5:$I$92,"&lt;0")-SUMIFS('Daftar Koreksi'!$I$5:$I$92,'Daftar Koreksi'!$D$5:$D$92,'0800'!A488,'Daftar Koreksi'!$G$5:$G$92,"Aset Henti Guna",'Daftar Koreksi'!$I$5:$I$92,"&lt;0")</f>
        <v>0</v>
      </c>
      <c r="G505" s="17">
        <f t="shared" si="22"/>
        <v>-153711111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-1209488543</v>
      </c>
      <c r="E506" s="19">
        <f>SUM(E501:E505)</f>
        <v>0</v>
      </c>
      <c r="F506" s="19">
        <f>SUM(F501:F505)</f>
        <v>0</v>
      </c>
      <c r="G506" s="19">
        <f t="shared" si="22"/>
        <v>-1209488543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2521264557</v>
      </c>
      <c r="E507" s="19">
        <f>E506+E500</f>
        <v>0</v>
      </c>
      <c r="F507" s="19">
        <f>F506+F500</f>
        <v>0</v>
      </c>
      <c r="G507" s="19">
        <f t="shared" si="22"/>
        <v>2521264557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005010800401984000KD</v>
      </c>
      <c r="B510" s="11" t="str">
        <f>P24</f>
        <v>PA. Koto Baru</v>
      </c>
      <c r="C510" s="12" t="str">
        <f>A510&amp;" "&amp;B510</f>
        <v>005010800401984000KD PA. Koto Baru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7105220</v>
      </c>
      <c r="E513" s="25">
        <f>SUMIFS('Daftar Koreksi'!$H$5:$H$92,'Daftar Koreksi'!$D$5:$D$92,'0800'!A510,'Daftar Koreksi'!$G$5:$G$92,"Persediaan",'Daftar Koreksi'!$H$5:$H$92,"&gt;0")</f>
        <v>0</v>
      </c>
      <c r="F513" s="25">
        <f>SUMIFS('Daftar Koreksi'!$H$5:$H$92,'Daftar Koreksi'!$D$5:$D$92,'0800'!A510,'Daftar Koreksi'!$G$5:$G$92,"Persediaan",'Daftar Koreksi'!$H$5:$H$92,"&lt;0")-SUMIFS('Daftar Koreksi'!$H$5:$H$92,'Daftar Koreksi'!$D$5:$D$92,'0800'!A510,'Daftar Koreksi'!$G$5:$G$92,"Persediaan",'Daftar Koreksi'!$H$5:$H$92,"&lt;0")-SUMIFS('Daftar Koreksi'!$H$5:$H$92,'Daftar Koreksi'!$D$5:$D$92,'0800'!A510,'Daftar Koreksi'!$G$5:$G$92,"Persediaan",'Daftar Koreksi'!$H$5:$H$92,"&lt;0")</f>
        <v>0</v>
      </c>
      <c r="G513" s="17">
        <f>D513+E513-F513</f>
        <v>7105220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993937500</v>
      </c>
      <c r="E514" s="25">
        <f>SUMIFS('Daftar Koreksi'!$H$5:$H$92,'Daftar Koreksi'!$D$5:$D$92,'0800'!A510,'Daftar Koreksi'!$G$5:$G$92,"Tanah",'Daftar Koreksi'!$H$5:$H$92,"&gt;0")</f>
        <v>0</v>
      </c>
      <c r="F514" s="25">
        <f>SUMIFS('Daftar Koreksi'!$H$5:$H$92,'Daftar Koreksi'!$D$5:$D$92,'0800'!A510,'Daftar Koreksi'!$G$5:$G$92,"Tanah",'Daftar Koreksi'!$H$5:$H$92,"&lt;0")-SUMIFS('Daftar Koreksi'!$H$5:$H$92,'Daftar Koreksi'!$D$5:$D$92,'0800'!A510,'Daftar Koreksi'!$G$5:$G$92,"Tanah",'Daftar Koreksi'!$H$5:$H$92,"&lt;0")-SUMIFS('Daftar Koreksi'!$H$5:$H$92,'Daftar Koreksi'!$D$5:$D$92,'0800'!A510,'Daftar Koreksi'!$G$5:$G$92,"Tanah",'Daftar Koreksi'!$H$5:$H$92,"&lt;0")</f>
        <v>0</v>
      </c>
      <c r="G514" s="17">
        <f t="shared" ref="G514:G530" si="23">D514+E514-F514</f>
        <v>993937500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1444932928</v>
      </c>
      <c r="E515" s="25">
        <f>SUMIFS('Daftar Koreksi'!$H$5:$H$92,'Daftar Koreksi'!$D$5:$D$92,'0800'!A510,'Daftar Koreksi'!$G$5:$G$92,"Peralatan dan mesin",'Daftar Koreksi'!$H$5:$H$92,"&gt;0")</f>
        <v>0</v>
      </c>
      <c r="F515" s="25">
        <f>SUMIFS('Daftar Koreksi'!$H$5:$H$92,'Daftar Koreksi'!$D$5:$D$92,'0800'!A510,'Daftar Koreksi'!$G$5:$G$92,"Peralatan dan mesin",'Daftar Koreksi'!$H$5:$H$92,"&lt;0")-SUMIFS('Daftar Koreksi'!$H$5:$H$92,'Daftar Koreksi'!$D$5:$D$92,'0800'!A510,'Daftar Koreksi'!$G$5:$G$92,"Peralatan dan mesin",'Daftar Koreksi'!$H$5:$H$92,"&lt;0")-SUMIFS('Daftar Koreksi'!$H$5:$H$92,'Daftar Koreksi'!$D$5:$D$92,'0800'!A510,'Daftar Koreksi'!$G$5:$G$92,"Peralatan dan mesin",'Daftar Koreksi'!$H$5:$H$92,"&lt;0")</f>
        <v>0</v>
      </c>
      <c r="G515" s="17">
        <f t="shared" si="23"/>
        <v>1444932928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1037400138</v>
      </c>
      <c r="E516" s="25">
        <f>SUMIFS('Daftar Koreksi'!$H$5:$H$92,'Daftar Koreksi'!$D$5:$D$92,'0800'!A510,'Daftar Koreksi'!$G$5:$G$92,"Gedung dan Bangunan",'Daftar Koreksi'!$H$5:$H$92,"&gt;0")</f>
        <v>0</v>
      </c>
      <c r="F516" s="25">
        <f>SUMIFS('Daftar Koreksi'!$H$5:$H$92,'Daftar Koreksi'!$D$5:$D$92,'0800'!A510,'Daftar Koreksi'!$G$5:$G$92,"Gedung dan Bangunan",'Daftar Koreksi'!$H$5:$H$92,"&lt;0")-SUMIFS('Daftar Koreksi'!$H$5:$H$92,'Daftar Koreksi'!$D$5:$D$92,'0800'!A510,'Daftar Koreksi'!$G$5:$G$92,"Gedung dan Bangunan",'Daftar Koreksi'!$H$5:$H$92,"&lt;0")-SUMIFS('Daftar Koreksi'!$H$5:$H$92,'Daftar Koreksi'!$D$5:$D$92,'0800'!A510,'Daftar Koreksi'!$G$5:$G$92,"Gedung dan Bangunan",'Daftar Koreksi'!$H$5:$H$92,"&lt;0")</f>
        <v>0</v>
      </c>
      <c r="G516" s="17">
        <f t="shared" si="23"/>
        <v>1037400138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0</v>
      </c>
      <c r="E517" s="25">
        <f>SUMIFS('Daftar Koreksi'!$H$5:$H$92,'Daftar Koreksi'!$D$5:$D$92,'0800'!A510,'Daftar Koreksi'!$G$5:$G$92,"Jalan Irigasi Jaringan",'Daftar Koreksi'!$H$5:$H$92,"&gt;0")</f>
        <v>0</v>
      </c>
      <c r="F517" s="25">
        <f>SUMIFS('Daftar Koreksi'!$H$5:$H$92,'Daftar Koreksi'!$D$5:$D$92,'0800'!A510,'Daftar Koreksi'!$G$5:$G$92,"Jalan Irigasi Jaringan",'Daftar Koreksi'!$H$5:$H$92,"&lt;0")-SUMIFS('Daftar Koreksi'!$H$5:$H$92,'Daftar Koreksi'!$D$5:$D$92,'0800'!A510,'Daftar Koreksi'!$G$5:$G$92,"Jalan Irigasi Jaringan",'Daftar Koreksi'!$H$5:$H$92,"&lt;0")-SUMIFS('Daftar Koreksi'!$H$5:$H$92,'Daftar Koreksi'!$D$5:$D$92,'0800'!A510,'Daftar Koreksi'!$G$5:$G$92,"Jalan Irigasi Jaringan",'Daftar Koreksi'!$H$5:$H$92,"&lt;0")</f>
        <v>0</v>
      </c>
      <c r="G517" s="17">
        <f t="shared" si="23"/>
        <v>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35758140</v>
      </c>
      <c r="E518" s="25">
        <f>SUMIFS('Daftar Koreksi'!$H$5:$H$92,'Daftar Koreksi'!$D$5:$D$92,'0800'!A510,'Daftar Koreksi'!$G$5:$G$92,"Aset Tetap Lainnya",'Daftar Koreksi'!$H$5:$H$92,"&gt;0")</f>
        <v>0</v>
      </c>
      <c r="F518" s="25">
        <f>SUMIFS('Daftar Koreksi'!$H$5:$H$92,'Daftar Koreksi'!$D$5:$D$92,'0800'!A510,'Daftar Koreksi'!$G$5:$G$92,"Aset Tetap Lainnya",'Daftar Koreksi'!$H$5:$H$92,"&lt;0")-SUMIFS('Daftar Koreksi'!$H$5:$H$92,'Daftar Koreksi'!$D$5:$D$92,'0800'!A510,'Daftar Koreksi'!$G$5:$G$92,"Aset Tetap Lainnya",'Daftar Koreksi'!$H$5:$H$92,"&lt;0")-SUMIFS('Daftar Koreksi'!$H$5:$H$92,'Daftar Koreksi'!$D$5:$D$92,'0800'!A510,'Daftar Koreksi'!$G$5:$G$92,"Aset Tetap Lainnya",'Daftar Koreksi'!$H$5:$H$92,"&lt;0")</f>
        <v>0</v>
      </c>
      <c r="G518" s="17">
        <f t="shared" si="23"/>
        <v>35758140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8526616150</v>
      </c>
      <c r="E519" s="25">
        <f>SUMIFS('Daftar Koreksi'!$H$5:$H$92,'Daftar Koreksi'!$D$5:$D$92,'0800'!A510,'Daftar Koreksi'!$G$5:$G$92,"Kontruksi Dalam Pengerjaan",'Daftar Koreksi'!$H$5:$H$92,"&gt;0")</f>
        <v>0</v>
      </c>
      <c r="F519" s="25">
        <f>SUMIFS('Daftar Koreksi'!$H$5:$H$92,'Daftar Koreksi'!$D$5:$D$92,'0800'!A510,'Daftar Koreksi'!$G$5:$G$92,"Kontruksi Dalam Pengerjaan",'Daftar Koreksi'!$H$5:$H$92,"&lt;0")-SUMIFS('Daftar Koreksi'!$H$5:$H$92,'Daftar Koreksi'!$D$5:$D$92,'0800'!A510,'Daftar Koreksi'!$G$5:$G$92,"Kontruksi Dalam Pengerjaan",'Daftar Koreksi'!$H$5:$H$92,"&lt;0")-SUMIFS('Daftar Koreksi'!$H$5:$H$92,'Daftar Koreksi'!$D$5:$D$92,'0800'!A510,'Daftar Koreksi'!$G$5:$G$92,"Kontruksi Dalam Pengerjaan",'Daftar Koreksi'!$H$5:$H$92,"&lt;0")</f>
        <v>0</v>
      </c>
      <c r="G519" s="17">
        <f t="shared" si="23"/>
        <v>8526616150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0</v>
      </c>
      <c r="E520" s="25">
        <f>SUMIFS('Daftar Koreksi'!$H$5:$H$92,'Daftar Koreksi'!$D$5:$D$92,'0800'!A510,'Daftar Koreksi'!$G$5:$G$92,"Aset Tak Berwujud",'Daftar Koreksi'!$H$5:$H$92,"&gt;0")</f>
        <v>0</v>
      </c>
      <c r="F520" s="25">
        <f>SUMIFS('Daftar Koreksi'!$H$5:$H$92,'Daftar Koreksi'!$D$5:$D$92,'0800'!A510,'Daftar Koreksi'!$G$5:$G$92,"Aset Tak Berwujud",'Daftar Koreksi'!$H$5:$H$92,"&lt;0")-SUMIFS('Daftar Koreksi'!$H$5:$H$92,'Daftar Koreksi'!$D$5:$D$92,'0800'!A510,'Daftar Koreksi'!$G$5:$G$92,"Aset Tak Berwujud",'Daftar Koreksi'!$H$5:$H$92,"&lt;0")-SUMIFS('Daftar Koreksi'!$H$5:$H$92,'Daftar Koreksi'!$D$5:$D$92,'0800'!A510,'Daftar Koreksi'!$G$5:$G$92,"Aset Tak Berwujud",'Daftar Koreksi'!$H$5:$H$92,"&lt;0")</f>
        <v>0</v>
      </c>
      <c r="G520" s="17">
        <f t="shared" si="23"/>
        <v>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110197549</v>
      </c>
      <c r="E521" s="25">
        <f>SUMIFS('Daftar Koreksi'!$H$5:$H$92,'Daftar Koreksi'!$D$5:$D$92,'0800'!A510,'Daftar Koreksi'!$G$5:$G$92,"Aset Henti Guna",'Daftar Koreksi'!$H$5:$H$92,"&gt;0")</f>
        <v>0</v>
      </c>
      <c r="F521" s="25">
        <f>SUMIFS('Daftar Koreksi'!$H$5:$H$92,'Daftar Koreksi'!$D$5:$D$92,'0800'!A510,'Daftar Koreksi'!$G$5:$G$92,"Aset Henti Guna",'Daftar Koreksi'!$H$5:$H$92,"&lt;0")-SUMIFS('Daftar Koreksi'!$H$5:$H$92,'Daftar Koreksi'!$D$5:$D$92,'0800'!A510,'Daftar Koreksi'!$G$5:$G$92,"Aset Henti Guna",'Daftar Koreksi'!$H$5:$H$92,"&lt;0")-SUMIFS('Daftar Koreksi'!$H$5:$H$92,'Daftar Koreksi'!$D$5:$D$92,'0800'!A510,'Daftar Koreksi'!$G$5:$G$92,"Aset Henti Guna",'Daftar Koreksi'!$H$5:$H$92,"&lt;0")</f>
        <v>0</v>
      </c>
      <c r="G521" s="17">
        <f t="shared" si="23"/>
        <v>110197549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12155947625</v>
      </c>
      <c r="E522" s="19">
        <f>SUM(E513:E521)</f>
        <v>0</v>
      </c>
      <c r="F522" s="19">
        <f>SUM(F513:F521)</f>
        <v>0</v>
      </c>
      <c r="G522" s="19">
        <f t="shared" si="23"/>
        <v>12155947625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-957363234</v>
      </c>
      <c r="E523" s="25">
        <f>SUMIFS('Daftar Koreksi'!$I$5:$I$92,'Daftar Koreksi'!$D$5:$D$92,'0800'!A510,'Daftar Koreksi'!$G$5:$G$92,"Peralatan dan mesin",'Daftar Koreksi'!$I$5:$I$92,"&gt;0")</f>
        <v>0</v>
      </c>
      <c r="F523" s="25">
        <f>SUMIFS('Daftar Koreksi'!$I$5:$I$92,'Daftar Koreksi'!$D$5:$D$92,'0800'!A510,'Daftar Koreksi'!$G$5:$G$92,"Peralatan dan mesin",'Daftar Koreksi'!$I$5:$I$92,"&lt;0")-SUMIFS('Daftar Koreksi'!$I$5:$I$92,'Daftar Koreksi'!$D$5:$D$92,'0800'!A510,'Daftar Koreksi'!$G$5:$G$92,"Peralatan dan mesin",'Daftar Koreksi'!$I$5:$I$92,"&lt;0")-SUMIFS('Daftar Koreksi'!$I$5:$I$92,'Daftar Koreksi'!$D$5:$D$92,'0800'!A510,'Daftar Koreksi'!$G$5:$G$92,"Peralatan dan mesin",'Daftar Koreksi'!$I$5:$I$92,"&lt;0")</f>
        <v>0</v>
      </c>
      <c r="G523" s="17">
        <f t="shared" si="23"/>
        <v>-957363234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-422208190</v>
      </c>
      <c r="E524" s="25">
        <f>SUMIFS('Daftar Koreksi'!$I$5:$I$92,'Daftar Koreksi'!$D$5:$D$92,'0800'!A510,'Daftar Koreksi'!$G$5:$G$92,"Gedung dan Bangunan",'Daftar Koreksi'!$I$5:$I$92,"&gt;0")</f>
        <v>0</v>
      </c>
      <c r="F524" s="25">
        <f>SUMIFS('Daftar Koreksi'!$I$5:$I$92,'Daftar Koreksi'!$D$5:$D$92,'0800'!A510,'Daftar Koreksi'!$G$5:$G$92,"Gedung dan Bangunan",'Daftar Koreksi'!$I$5:$I$92,"&lt;0")-SUMIFS('Daftar Koreksi'!$I$5:$I$92,'Daftar Koreksi'!$D$5:$D$92,'0800'!A510,'Daftar Koreksi'!$G$5:$G$92,"Gedung dan Bangunan",'Daftar Koreksi'!$I$5:$I$92,"&lt;0")-SUMIFS('Daftar Koreksi'!$I$5:$I$92,'Daftar Koreksi'!$D$5:$D$92,'0800'!A510,'Daftar Koreksi'!$G$5:$G$92,"Gedung dan Bangunan",'Daftar Koreksi'!$I$5:$I$92,"&lt;0")</f>
        <v>0</v>
      </c>
      <c r="G524" s="17">
        <f t="shared" si="23"/>
        <v>-422208190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0</v>
      </c>
      <c r="E525" s="25">
        <f>SUMIFS('Daftar Koreksi'!$I$5:$I$92,'Daftar Koreksi'!$D$5:$D$92,'0800'!A510,'Daftar Koreksi'!$G$5:$G$92,"Jalan Irigasi Jaringan",'Daftar Koreksi'!$I$5:$I$92,"&gt;0")</f>
        <v>0</v>
      </c>
      <c r="F525" s="25">
        <f>SUMIFS('Daftar Koreksi'!$I$5:$I$92,'Daftar Koreksi'!$D$5:$D$92,'0800'!A510,'Daftar Koreksi'!$G$5:$G$92,"Jalan Irigasi Jaringan",'Daftar Koreksi'!$I$5:$I$92,"&lt;0")-SUMIFS('Daftar Koreksi'!$I$5:$I$92,'Daftar Koreksi'!$D$5:$D$92,'0800'!A510,'Daftar Koreksi'!$G$5:$G$92,"Jalan Irigasi Jaringan",'Daftar Koreksi'!$I$5:$I$92,"&lt;0")-SUMIFS('Daftar Koreksi'!$I$5:$I$92,'Daftar Koreksi'!$D$5:$D$92,'0800'!A510,'Daftar Koreksi'!$G$5:$G$92,"Jalan Irigasi Jaringan",'Daftar Koreksi'!$I$5:$I$92,"&lt;0")</f>
        <v>0</v>
      </c>
      <c r="G525" s="17">
        <f t="shared" si="23"/>
        <v>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Koreksi'!$D$5:$D$92,'0800'!A510,'Daftar Koreksi'!$G$5:$G$92,"Aset Tetap Lainnya",'Daftar Koreksi'!$I$5:$I$92,"&gt;0")</f>
        <v>0</v>
      </c>
      <c r="F526" s="25">
        <f>SUMIFS('Daftar Koreksi'!$I$5:$I$92,'Daftar Koreksi'!$D$5:$D$92,'0800'!A510,'Daftar Koreksi'!$G$5:$G$92,"Aset Tetap Lainnya",'Daftar Koreksi'!$I$5:$I$92,"&lt;0")-SUMIFS('Daftar Koreksi'!$I$5:$I$92,'Daftar Koreksi'!$D$5:$D$92,'0800'!A510,'Daftar Koreksi'!$G$5:$G$92,"Aset Tetap Lainnya",'Daftar Koreksi'!$I$5:$I$92,"&lt;0")-SUMIFS('Daftar Koreksi'!$I$5:$I$92,'Daftar Koreksi'!$D$5:$D$92,'0800'!A510,'Daftar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-101157499</v>
      </c>
      <c r="E527" s="25">
        <f>SUMIFS('Daftar Koreksi'!$I$5:$I$92,'Daftar Koreksi'!$D$5:$D$92,'0800'!A510,'Daftar Koreksi'!$G$5:$G$92,"Aset Henti Guna",'Daftar Koreksi'!$I$5:$I$92,"&gt;0")</f>
        <v>0</v>
      </c>
      <c r="F527" s="25">
        <f>SUMIFS('Daftar Koreksi'!$I$5:$I$92,'Daftar Koreksi'!$D$5:$D$92,'0800'!A510,'Daftar Koreksi'!$G$5:$G$92,"Aset Henti Guna",'Daftar Koreksi'!$I$5:$I$92,"&lt;0")-SUMIFS('Daftar Koreksi'!$I$5:$I$92,'Daftar Koreksi'!$D$5:$D$92,'0800'!A510,'Daftar Koreksi'!$G$5:$G$92,"Aset Henti Guna",'Daftar Koreksi'!$I$5:$I$92,"&lt;0")-SUMIFS('Daftar Koreksi'!$I$5:$I$92,'Daftar Koreksi'!$D$5:$D$92,'0800'!A510,'Daftar Koreksi'!$G$5:$G$92,"Aset Henti Guna",'Daftar Koreksi'!$I$5:$I$92,"&lt;0")</f>
        <v>0</v>
      </c>
      <c r="G527" s="17">
        <f t="shared" si="23"/>
        <v>-101157499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-1480728923</v>
      </c>
      <c r="E528" s="19">
        <f>SUM(E523:E527)</f>
        <v>0</v>
      </c>
      <c r="F528" s="19">
        <f>SUM(F523:F527)</f>
        <v>0</v>
      </c>
      <c r="G528" s="19">
        <f t="shared" si="23"/>
        <v>-1480728923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10675218702</v>
      </c>
      <c r="E529" s="19">
        <f>E528+E522</f>
        <v>0</v>
      </c>
      <c r="F529" s="19">
        <f>F528+F522</f>
        <v>0</v>
      </c>
      <c r="G529" s="19">
        <f t="shared" si="23"/>
        <v>10675218702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005010800401990000KD</v>
      </c>
      <c r="B532" s="11" t="str">
        <f>P25</f>
        <v>PA. Muara Labuh</v>
      </c>
      <c r="C532" s="12" t="str">
        <f>A532&amp;" "&amp;B532</f>
        <v>005010800401990000KD PA. Muara Labuh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197000</v>
      </c>
      <c r="E535" s="25">
        <f>SUMIFS('Daftar Koreksi'!$H$5:$H$92,'Daftar Koreksi'!$D$5:$D$92,'0800'!A532,'Daftar Koreksi'!$G$5:$G$92,"Persediaan",'Daftar Koreksi'!$H$5:$H$92,"&gt;0")</f>
        <v>0</v>
      </c>
      <c r="F535" s="25">
        <f>SUMIFS('Daftar Koreksi'!$H$5:$H$92,'Daftar Koreksi'!$D$5:$D$92,'0800'!A532,'Daftar Koreksi'!$G$5:$G$92,"Persediaan",'Daftar Koreksi'!$H$5:$H$92,"&lt;0")-SUMIFS('Daftar Koreksi'!$H$5:$H$92,'Daftar Koreksi'!$D$5:$D$92,'0800'!A532,'Daftar Koreksi'!$G$5:$G$92,"Persediaan",'Daftar Koreksi'!$H$5:$H$92,"&lt;0")-SUMIFS('Daftar Koreksi'!$H$5:$H$92,'Daftar Koreksi'!$D$5:$D$92,'0800'!A532,'Daftar Koreksi'!$G$5:$G$92,"Persediaan",'Daftar Koreksi'!$H$5:$H$92,"&lt;0")</f>
        <v>0</v>
      </c>
      <c r="G535" s="17">
        <f>D535+E535-F535</f>
        <v>197000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99615000</v>
      </c>
      <c r="E536" s="25">
        <f>SUMIFS('Daftar Koreksi'!$H$5:$H$92,'Daftar Koreksi'!$D$5:$D$92,'0800'!A532,'Daftar Koreksi'!$G$5:$G$92,"Tanah",'Daftar Koreksi'!$H$5:$H$92,"&gt;0")</f>
        <v>0</v>
      </c>
      <c r="F536" s="25">
        <f>SUMIFS('Daftar Koreksi'!$H$5:$H$92,'Daftar Koreksi'!$D$5:$D$92,'0800'!A532,'Daftar Koreksi'!$G$5:$G$92,"Tanah",'Daftar Koreksi'!$H$5:$H$92,"&lt;0")-SUMIFS('Daftar Koreksi'!$H$5:$H$92,'Daftar Koreksi'!$D$5:$D$92,'0800'!A532,'Daftar Koreksi'!$G$5:$G$92,"Tanah",'Daftar Koreksi'!$H$5:$H$92,"&lt;0")-SUMIFS('Daftar Koreksi'!$H$5:$H$92,'Daftar Koreksi'!$D$5:$D$92,'0800'!A532,'Daftar Koreksi'!$G$5:$G$92,"Tanah",'Daftar Koreksi'!$H$5:$H$92,"&lt;0")</f>
        <v>0</v>
      </c>
      <c r="G536" s="17">
        <f t="shared" ref="G536:G552" si="24">D536+E536-F536</f>
        <v>99615000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988184651</v>
      </c>
      <c r="E537" s="25">
        <f>SUMIFS('Daftar Koreksi'!$H$5:$H$92,'Daftar Koreksi'!$D$5:$D$92,'0800'!A532,'Daftar Koreksi'!$G$5:$G$92,"Peralatan dan mesin",'Daftar Koreksi'!$H$5:$H$92,"&gt;0")</f>
        <v>0</v>
      </c>
      <c r="F537" s="25">
        <f>SUMIFS('Daftar Koreksi'!$H$5:$H$92,'Daftar Koreksi'!$D$5:$D$92,'0800'!A532,'Daftar Koreksi'!$G$5:$G$92,"Peralatan dan mesin",'Daftar Koreksi'!$H$5:$H$92,"&lt;0")-SUMIFS('Daftar Koreksi'!$H$5:$H$92,'Daftar Koreksi'!$D$5:$D$92,'0800'!A532,'Daftar Koreksi'!$G$5:$G$92,"Peralatan dan mesin",'Daftar Koreksi'!$H$5:$H$92,"&lt;0")-SUMIFS('Daftar Koreksi'!$H$5:$H$92,'Daftar Koreksi'!$D$5:$D$92,'0800'!A532,'Daftar Koreksi'!$G$5:$G$92,"Peralatan dan mesin",'Daftar Koreksi'!$H$5:$H$92,"&lt;0")</f>
        <v>0</v>
      </c>
      <c r="G537" s="17">
        <f t="shared" si="24"/>
        <v>988184651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1220646270</v>
      </c>
      <c r="E538" s="25">
        <f>SUMIFS('Daftar Koreksi'!$H$5:$H$92,'Daftar Koreksi'!$D$5:$D$92,'0800'!A532,'Daftar Koreksi'!$G$5:$G$92,"Gedung dan Bangunan",'Daftar Koreksi'!$H$5:$H$92,"&gt;0")</f>
        <v>0</v>
      </c>
      <c r="F538" s="25">
        <f>SUMIFS('Daftar Koreksi'!$H$5:$H$92,'Daftar Koreksi'!$D$5:$D$92,'0800'!A532,'Daftar Koreksi'!$G$5:$G$92,"Gedung dan Bangunan",'Daftar Koreksi'!$H$5:$H$92,"&lt;0")-SUMIFS('Daftar Koreksi'!$H$5:$H$92,'Daftar Koreksi'!$D$5:$D$92,'0800'!A532,'Daftar Koreksi'!$G$5:$G$92,"Gedung dan Bangunan",'Daftar Koreksi'!$H$5:$H$92,"&lt;0")-SUMIFS('Daftar Koreksi'!$H$5:$H$92,'Daftar Koreksi'!$D$5:$D$92,'0800'!A532,'Daftar Koreksi'!$G$5:$G$92,"Gedung dan Bangunan",'Daftar Koreksi'!$H$5:$H$92,"&lt;0")</f>
        <v>0</v>
      </c>
      <c r="G538" s="17">
        <f t="shared" si="24"/>
        <v>1220646270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99550000</v>
      </c>
      <c r="E539" s="25">
        <f>SUMIFS('Daftar Koreksi'!$H$5:$H$92,'Daftar Koreksi'!$D$5:$D$92,'0800'!A532,'Daftar Koreksi'!$G$5:$G$92,"Jalan Irigasi Jaringan",'Daftar Koreksi'!$H$5:$H$92,"&gt;0")</f>
        <v>0</v>
      </c>
      <c r="F539" s="25">
        <f>SUMIFS('Daftar Koreksi'!$H$5:$H$92,'Daftar Koreksi'!$D$5:$D$92,'0800'!A532,'Daftar Koreksi'!$G$5:$G$92,"Jalan Irigasi Jaringan",'Daftar Koreksi'!$H$5:$H$92,"&lt;0")-SUMIFS('Daftar Koreksi'!$H$5:$H$92,'Daftar Koreksi'!$D$5:$D$92,'0800'!A532,'Daftar Koreksi'!$G$5:$G$92,"Jalan Irigasi Jaringan",'Daftar Koreksi'!$H$5:$H$92,"&lt;0")-SUMIFS('Daftar Koreksi'!$H$5:$H$92,'Daftar Koreksi'!$D$5:$D$92,'0800'!A532,'Daftar Koreksi'!$G$5:$G$92,"Jalan Irigasi Jaringan",'Daftar Koreksi'!$H$5:$H$92,"&lt;0")</f>
        <v>0</v>
      </c>
      <c r="G539" s="17">
        <f t="shared" si="24"/>
        <v>99550000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153510040</v>
      </c>
      <c r="E540" s="25">
        <f>SUMIFS('Daftar Koreksi'!$H$5:$H$92,'Daftar Koreksi'!$D$5:$D$92,'0800'!A532,'Daftar Koreksi'!$G$5:$G$92,"Aset Tetap Lainnya",'Daftar Koreksi'!$H$5:$H$92,"&gt;0")</f>
        <v>0</v>
      </c>
      <c r="F540" s="25">
        <f>SUMIFS('Daftar Koreksi'!$H$5:$H$92,'Daftar Koreksi'!$D$5:$D$92,'0800'!A532,'Daftar Koreksi'!$G$5:$G$92,"Aset Tetap Lainnya",'Daftar Koreksi'!$H$5:$H$92,"&lt;0")-SUMIFS('Daftar Koreksi'!$H$5:$H$92,'Daftar Koreksi'!$D$5:$D$92,'0800'!A532,'Daftar Koreksi'!$G$5:$G$92,"Aset Tetap Lainnya",'Daftar Koreksi'!$H$5:$H$92,"&lt;0")-SUMIFS('Daftar Koreksi'!$H$5:$H$92,'Daftar Koreksi'!$D$5:$D$92,'0800'!A532,'Daftar Koreksi'!$G$5:$G$92,"Aset Tetap Lainnya",'Daftar Koreksi'!$H$5:$H$92,"&lt;0")</f>
        <v>0</v>
      </c>
      <c r="G540" s="17">
        <f t="shared" si="24"/>
        <v>153510040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Koreksi'!$D$5:$D$92,'0800'!A532,'Daftar Koreksi'!$G$5:$G$92,"Kontruksi Dalam Pengerjaan",'Daftar Koreksi'!$H$5:$H$92,"&gt;0")</f>
        <v>0</v>
      </c>
      <c r="F541" s="25">
        <f>SUMIFS('Daftar Koreksi'!$H$5:$H$92,'Daftar Koreksi'!$D$5:$D$92,'0800'!A532,'Daftar Koreksi'!$G$5:$G$92,"Kontruksi Dalam Pengerjaan",'Daftar Koreksi'!$H$5:$H$92,"&lt;0")-SUMIFS('Daftar Koreksi'!$H$5:$H$92,'Daftar Koreksi'!$D$5:$D$92,'0800'!A532,'Daftar Koreksi'!$G$5:$G$92,"Kontruksi Dalam Pengerjaan",'Daftar Koreksi'!$H$5:$H$92,"&lt;0")-SUMIFS('Daftar Koreksi'!$H$5:$H$92,'Daftar Koreksi'!$D$5:$D$92,'0800'!A532,'Daftar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Koreksi'!$D$5:$D$92,'0800'!A532,'Daftar Koreksi'!$G$5:$G$92,"Aset Tak Berwujud",'Daftar Koreksi'!$H$5:$H$92,"&gt;0")</f>
        <v>0</v>
      </c>
      <c r="F542" s="25">
        <f>SUMIFS('Daftar Koreksi'!$H$5:$H$92,'Daftar Koreksi'!$D$5:$D$92,'0800'!A532,'Daftar Koreksi'!$G$5:$G$92,"Aset Tak Berwujud",'Daftar Koreksi'!$H$5:$H$92,"&lt;0")-SUMIFS('Daftar Koreksi'!$H$5:$H$92,'Daftar Koreksi'!$D$5:$D$92,'0800'!A532,'Daftar Koreksi'!$G$5:$G$92,"Aset Tak Berwujud",'Daftar Koreksi'!$H$5:$H$92,"&lt;0")-SUMIFS('Daftar Koreksi'!$H$5:$H$92,'Daftar Koreksi'!$D$5:$D$92,'0800'!A532,'Daftar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15939000</v>
      </c>
      <c r="E543" s="25">
        <f>SUMIFS('Daftar Koreksi'!$H$5:$H$92,'Daftar Koreksi'!$D$5:$D$92,'0800'!A532,'Daftar Koreksi'!$G$5:$G$92,"Aset Henti Guna",'Daftar Koreksi'!$H$5:$H$92,"&gt;0")</f>
        <v>0</v>
      </c>
      <c r="F543" s="25">
        <f>SUMIFS('Daftar Koreksi'!$H$5:$H$92,'Daftar Koreksi'!$D$5:$D$92,'0800'!A532,'Daftar Koreksi'!$G$5:$G$92,"Aset Henti Guna",'Daftar Koreksi'!$H$5:$H$92,"&lt;0")-SUMIFS('Daftar Koreksi'!$H$5:$H$92,'Daftar Koreksi'!$D$5:$D$92,'0800'!A532,'Daftar Koreksi'!$G$5:$G$92,"Aset Henti Guna",'Daftar Koreksi'!$H$5:$H$92,"&lt;0")-SUMIFS('Daftar Koreksi'!$H$5:$H$92,'Daftar Koreksi'!$D$5:$D$92,'0800'!A532,'Daftar Koreksi'!$G$5:$G$92,"Aset Henti Guna",'Daftar Koreksi'!$H$5:$H$92,"&lt;0")</f>
        <v>0</v>
      </c>
      <c r="G543" s="17">
        <f t="shared" si="24"/>
        <v>15939000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2577641961</v>
      </c>
      <c r="E544" s="19">
        <f>SUM(E535:E543)</f>
        <v>0</v>
      </c>
      <c r="F544" s="19">
        <f>SUM(F535:F543)</f>
        <v>0</v>
      </c>
      <c r="G544" s="19">
        <f t="shared" si="24"/>
        <v>2577641961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-744003535</v>
      </c>
      <c r="E545" s="25">
        <f>SUMIFS('Daftar Koreksi'!$I$5:$I$92,'Daftar Koreksi'!$D$5:$D$92,'0800'!A532,'Daftar Koreksi'!$G$5:$G$92,"Peralatan dan mesin",'Daftar Koreksi'!$I$5:$I$92,"&gt;0")</f>
        <v>0</v>
      </c>
      <c r="F545" s="25">
        <f>SUMIFS('Daftar Koreksi'!$I$5:$I$92,'Daftar Koreksi'!$D$5:$D$92,'0800'!A532,'Daftar Koreksi'!$G$5:$G$92,"Peralatan dan mesin",'Daftar Koreksi'!$I$5:$I$92,"&lt;0")-SUMIFS('Daftar Koreksi'!$I$5:$I$92,'Daftar Koreksi'!$D$5:$D$92,'0800'!A532,'Daftar Koreksi'!$G$5:$G$92,"Peralatan dan mesin",'Daftar Koreksi'!$I$5:$I$92,"&lt;0")-SUMIFS('Daftar Koreksi'!$I$5:$I$92,'Daftar Koreksi'!$D$5:$D$92,'0800'!A532,'Daftar Koreksi'!$G$5:$G$92,"Peralatan dan mesin",'Daftar Koreksi'!$I$5:$I$92,"&lt;0")</f>
        <v>0</v>
      </c>
      <c r="G545" s="17">
        <f t="shared" si="24"/>
        <v>-744003535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-251034183</v>
      </c>
      <c r="E546" s="25">
        <f>SUMIFS('Daftar Koreksi'!$I$5:$I$92,'Daftar Koreksi'!$D$5:$D$92,'0800'!A532,'Daftar Koreksi'!$G$5:$G$92,"Gedung dan Bangunan",'Daftar Koreksi'!$I$5:$I$92,"&gt;0")</f>
        <v>0</v>
      </c>
      <c r="F546" s="25">
        <f>SUMIFS('Daftar Koreksi'!$I$5:$I$92,'Daftar Koreksi'!$D$5:$D$92,'0800'!A532,'Daftar Koreksi'!$G$5:$G$92,"Gedung dan Bangunan",'Daftar Koreksi'!$I$5:$I$92,"&lt;0")-SUMIFS('Daftar Koreksi'!$I$5:$I$92,'Daftar Koreksi'!$D$5:$D$92,'0800'!A532,'Daftar Koreksi'!$G$5:$G$92,"Gedung dan Bangunan",'Daftar Koreksi'!$I$5:$I$92,"&lt;0")-SUMIFS('Daftar Koreksi'!$I$5:$I$92,'Daftar Koreksi'!$D$5:$D$92,'0800'!A532,'Daftar Koreksi'!$G$5:$G$92,"Gedung dan Bangunan",'Daftar Koreksi'!$I$5:$I$92,"&lt;0")</f>
        <v>0</v>
      </c>
      <c r="G546" s="17">
        <f t="shared" si="24"/>
        <v>-251034183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-26152500</v>
      </c>
      <c r="E547" s="25">
        <f>SUMIFS('Daftar Koreksi'!$I$5:$I$92,'Daftar Koreksi'!$D$5:$D$92,'0800'!A532,'Daftar Koreksi'!$G$5:$G$92,"Jalan Irigasi Jaringan",'Daftar Koreksi'!$I$5:$I$92,"&gt;0")</f>
        <v>0</v>
      </c>
      <c r="F547" s="25">
        <f>SUMIFS('Daftar Koreksi'!$I$5:$I$92,'Daftar Koreksi'!$D$5:$D$92,'0800'!A532,'Daftar Koreksi'!$G$5:$G$92,"Jalan Irigasi Jaringan",'Daftar Koreksi'!$I$5:$I$92,"&lt;0")-SUMIFS('Daftar Koreksi'!$I$5:$I$92,'Daftar Koreksi'!$D$5:$D$92,'0800'!A532,'Daftar Koreksi'!$G$5:$G$92,"Jalan Irigasi Jaringan",'Daftar Koreksi'!$I$5:$I$92,"&lt;0")-SUMIFS('Daftar Koreksi'!$I$5:$I$92,'Daftar Koreksi'!$D$5:$D$92,'0800'!A532,'Daftar Koreksi'!$G$5:$G$92,"Jalan Irigasi Jaringan",'Daftar Koreksi'!$I$5:$I$92,"&lt;0")</f>
        <v>0</v>
      </c>
      <c r="G547" s="17">
        <f t="shared" si="24"/>
        <v>-26152500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Koreksi'!$D$5:$D$92,'0800'!A532,'Daftar Koreksi'!$G$5:$G$92,"Aset Tetap Lainnya",'Daftar Koreksi'!$I$5:$I$92,"&gt;0")</f>
        <v>0</v>
      </c>
      <c r="F548" s="25">
        <f>SUMIFS('Daftar Koreksi'!$I$5:$I$92,'Daftar Koreksi'!$D$5:$D$92,'0800'!A532,'Daftar Koreksi'!$G$5:$G$92,"Aset Tetap Lainnya",'Daftar Koreksi'!$I$5:$I$92,"&lt;0")-SUMIFS('Daftar Koreksi'!$I$5:$I$92,'Daftar Koreksi'!$D$5:$D$92,'0800'!A532,'Daftar Koreksi'!$G$5:$G$92,"Aset Tetap Lainnya",'Daftar Koreksi'!$I$5:$I$92,"&lt;0")-SUMIFS('Daftar Koreksi'!$I$5:$I$92,'Daftar Koreksi'!$D$5:$D$92,'0800'!A532,'Daftar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-15939000</v>
      </c>
      <c r="E549" s="25">
        <f>SUMIFS('Daftar Koreksi'!$I$5:$I$92,'Daftar Koreksi'!$D$5:$D$92,'0800'!A532,'Daftar Koreksi'!$G$5:$G$92,"Aset Henti Guna",'Daftar Koreksi'!$I$5:$I$92,"&gt;0")</f>
        <v>0</v>
      </c>
      <c r="F549" s="25">
        <f>SUMIFS('Daftar Koreksi'!$I$5:$I$92,'Daftar Koreksi'!$D$5:$D$92,'0800'!A532,'Daftar Koreksi'!$G$5:$G$92,"Aset Henti Guna",'Daftar Koreksi'!$I$5:$I$92,"&lt;0")-SUMIFS('Daftar Koreksi'!$I$5:$I$92,'Daftar Koreksi'!$D$5:$D$92,'0800'!A532,'Daftar Koreksi'!$G$5:$G$92,"Aset Henti Guna",'Daftar Koreksi'!$I$5:$I$92,"&lt;0")-SUMIFS('Daftar Koreksi'!$I$5:$I$92,'Daftar Koreksi'!$D$5:$D$92,'0800'!A532,'Daftar Koreksi'!$G$5:$G$92,"Aset Henti Guna",'Daftar Koreksi'!$I$5:$I$92,"&lt;0")</f>
        <v>0</v>
      </c>
      <c r="G549" s="17">
        <f t="shared" si="24"/>
        <v>-15939000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-1037129218</v>
      </c>
      <c r="E550" s="19">
        <f>SUM(E545:E549)</f>
        <v>0</v>
      </c>
      <c r="F550" s="19">
        <f>SUM(F545:F549)</f>
        <v>0</v>
      </c>
      <c r="G550" s="19">
        <f t="shared" si="24"/>
        <v>-1037129218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1540512743</v>
      </c>
      <c r="E551" s="19">
        <f>E550+E544</f>
        <v>0</v>
      </c>
      <c r="F551" s="19">
        <f>F550+F544</f>
        <v>0</v>
      </c>
      <c r="G551" s="19">
        <f t="shared" si="24"/>
        <v>1540512743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005010800402004000KD</v>
      </c>
      <c r="B554" s="11" t="str">
        <f>P26</f>
        <v>PA. Painan</v>
      </c>
      <c r="C554" s="12" t="str">
        <f>A554&amp;" "&amp;B554</f>
        <v>005010800402004000KD PA. Painan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656644</v>
      </c>
      <c r="E557" s="25">
        <f>SUMIFS('Daftar Koreksi'!$H$5:$H$92,'Daftar Koreksi'!$D$5:$D$92,'0800'!A554,'Daftar Koreksi'!$G$5:$G$92,"Persediaan",'Daftar Koreksi'!$H$5:$H$92,"&gt;0")</f>
        <v>0</v>
      </c>
      <c r="F557" s="25">
        <f>SUMIFS('Daftar Koreksi'!$H$5:$H$92,'Daftar Koreksi'!$D$5:$D$92,'0800'!A554,'Daftar Koreksi'!$G$5:$G$92,"Persediaan",'Daftar Koreksi'!$H$5:$H$92,"&lt;0")-SUMIFS('Daftar Koreksi'!$H$5:$H$92,'Daftar Koreksi'!$D$5:$D$92,'0800'!A554,'Daftar Koreksi'!$G$5:$G$92,"Persediaan",'Daftar Koreksi'!$H$5:$H$92,"&lt;0")-SUMIFS('Daftar Koreksi'!$H$5:$H$92,'Daftar Koreksi'!$D$5:$D$92,'0800'!A554,'Daftar Koreksi'!$G$5:$G$92,"Persediaan",'Daftar Koreksi'!$H$5:$H$92,"&lt;0")</f>
        <v>0</v>
      </c>
      <c r="G557" s="17">
        <f>D557+E557-F557</f>
        <v>656644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383050000</v>
      </c>
      <c r="E558" s="25">
        <f>SUMIFS('Daftar Koreksi'!$H$5:$H$92,'Daftar Koreksi'!$D$5:$D$92,'0800'!A554,'Daftar Koreksi'!$G$5:$G$92,"Tanah",'Daftar Koreksi'!$H$5:$H$92,"&gt;0")</f>
        <v>0</v>
      </c>
      <c r="F558" s="25">
        <f>SUMIFS('Daftar Koreksi'!$H$5:$H$92,'Daftar Koreksi'!$D$5:$D$92,'0800'!A554,'Daftar Koreksi'!$G$5:$G$92,"Tanah",'Daftar Koreksi'!$H$5:$H$92,"&lt;0")-SUMIFS('Daftar Koreksi'!$H$5:$H$92,'Daftar Koreksi'!$D$5:$D$92,'0800'!A554,'Daftar Koreksi'!$G$5:$G$92,"Tanah",'Daftar Koreksi'!$H$5:$H$92,"&lt;0")-SUMIFS('Daftar Koreksi'!$H$5:$H$92,'Daftar Koreksi'!$D$5:$D$92,'0800'!A554,'Daftar Koreksi'!$G$5:$G$92,"Tanah",'Daftar Koreksi'!$H$5:$H$92,"&lt;0")</f>
        <v>0</v>
      </c>
      <c r="G558" s="17">
        <f t="shared" ref="G558:G574" si="25">D558+E558-F558</f>
        <v>383050000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1377224417</v>
      </c>
      <c r="E559" s="25">
        <f>SUMIFS('Daftar Koreksi'!$H$5:$H$92,'Daftar Koreksi'!$D$5:$D$92,'0800'!A554,'Daftar Koreksi'!$G$5:$G$92,"Peralatan dan mesin",'Daftar Koreksi'!$H$5:$H$92,"&gt;0")</f>
        <v>0</v>
      </c>
      <c r="F559" s="25">
        <f>SUMIFS('Daftar Koreksi'!$H$5:$H$92,'Daftar Koreksi'!$D$5:$D$92,'0800'!A554,'Daftar Koreksi'!$G$5:$G$92,"Peralatan dan mesin",'Daftar Koreksi'!$H$5:$H$92,"&lt;0")-SUMIFS('Daftar Koreksi'!$H$5:$H$92,'Daftar Koreksi'!$D$5:$D$92,'0800'!A554,'Daftar Koreksi'!$G$5:$G$92,"Peralatan dan mesin",'Daftar Koreksi'!$H$5:$H$92,"&lt;0")-SUMIFS('Daftar Koreksi'!$H$5:$H$92,'Daftar Koreksi'!$D$5:$D$92,'0800'!A554,'Daftar Koreksi'!$G$5:$G$92,"Peralatan dan mesin",'Daftar Koreksi'!$H$5:$H$92,"&lt;0")</f>
        <v>0</v>
      </c>
      <c r="G559" s="17">
        <f t="shared" si="25"/>
        <v>1377224417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1975572000</v>
      </c>
      <c r="E560" s="25">
        <f>SUMIFS('Daftar Koreksi'!$H$5:$H$92,'Daftar Koreksi'!$D$5:$D$92,'0800'!A554,'Daftar Koreksi'!$G$5:$G$92,"Gedung dan Bangunan",'Daftar Koreksi'!$H$5:$H$92,"&gt;0")</f>
        <v>0</v>
      </c>
      <c r="F560" s="25">
        <f>SUMIFS('Daftar Koreksi'!$H$5:$H$92,'Daftar Koreksi'!$D$5:$D$92,'0800'!A554,'Daftar Koreksi'!$G$5:$G$92,"Gedung dan Bangunan",'Daftar Koreksi'!$H$5:$H$92,"&lt;0")-SUMIFS('Daftar Koreksi'!$H$5:$H$92,'Daftar Koreksi'!$D$5:$D$92,'0800'!A554,'Daftar Koreksi'!$G$5:$G$92,"Gedung dan Bangunan",'Daftar Koreksi'!$H$5:$H$92,"&lt;0")-SUMIFS('Daftar Koreksi'!$H$5:$H$92,'Daftar Koreksi'!$D$5:$D$92,'0800'!A554,'Daftar Koreksi'!$G$5:$G$92,"Gedung dan Bangunan",'Daftar Koreksi'!$H$5:$H$92,"&lt;0")</f>
        <v>0</v>
      </c>
      <c r="G560" s="17">
        <f t="shared" si="25"/>
        <v>1975572000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27834470</v>
      </c>
      <c r="E561" s="25">
        <f>SUMIFS('Daftar Koreksi'!$H$5:$H$92,'Daftar Koreksi'!$D$5:$D$92,'0800'!A554,'Daftar Koreksi'!$G$5:$G$92,"Jalan Irigasi Jaringan",'Daftar Koreksi'!$H$5:$H$92,"&gt;0")</f>
        <v>0</v>
      </c>
      <c r="F561" s="25">
        <f>SUMIFS('Daftar Koreksi'!$H$5:$H$92,'Daftar Koreksi'!$D$5:$D$92,'0800'!A554,'Daftar Koreksi'!$G$5:$G$92,"Jalan Irigasi Jaringan",'Daftar Koreksi'!$H$5:$H$92,"&lt;0")-SUMIFS('Daftar Koreksi'!$H$5:$H$92,'Daftar Koreksi'!$D$5:$D$92,'0800'!A554,'Daftar Koreksi'!$G$5:$G$92,"Jalan Irigasi Jaringan",'Daftar Koreksi'!$H$5:$H$92,"&lt;0")-SUMIFS('Daftar Koreksi'!$H$5:$H$92,'Daftar Koreksi'!$D$5:$D$92,'0800'!A554,'Daftar Koreksi'!$G$5:$G$92,"Jalan Irigasi Jaringan",'Daftar Koreksi'!$H$5:$H$92,"&lt;0")</f>
        <v>0</v>
      </c>
      <c r="G561" s="17">
        <f t="shared" si="25"/>
        <v>27834470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63482190</v>
      </c>
      <c r="E562" s="25">
        <f>SUMIFS('Daftar Koreksi'!$H$5:$H$92,'Daftar Koreksi'!$D$5:$D$92,'0800'!A554,'Daftar Koreksi'!$G$5:$G$92,"Aset Tetap Lainnya",'Daftar Koreksi'!$H$5:$H$92,"&gt;0")</f>
        <v>0</v>
      </c>
      <c r="F562" s="25">
        <f>SUMIFS('Daftar Koreksi'!$H$5:$H$92,'Daftar Koreksi'!$D$5:$D$92,'0800'!A554,'Daftar Koreksi'!$G$5:$G$92,"Aset Tetap Lainnya",'Daftar Koreksi'!$H$5:$H$92,"&lt;0")-SUMIFS('Daftar Koreksi'!$H$5:$H$92,'Daftar Koreksi'!$D$5:$D$92,'0800'!A554,'Daftar Koreksi'!$G$5:$G$92,"Aset Tetap Lainnya",'Daftar Koreksi'!$H$5:$H$92,"&lt;0")-SUMIFS('Daftar Koreksi'!$H$5:$H$92,'Daftar Koreksi'!$D$5:$D$92,'0800'!A554,'Daftar Koreksi'!$G$5:$G$92,"Aset Tetap Lainnya",'Daftar Koreksi'!$H$5:$H$92,"&lt;0")</f>
        <v>0</v>
      </c>
      <c r="G562" s="17">
        <f t="shared" si="25"/>
        <v>63482190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Koreksi'!$D$5:$D$92,'0800'!A554,'Daftar Koreksi'!$G$5:$G$92,"Kontruksi Dalam Pengerjaan",'Daftar Koreksi'!$H$5:$H$92,"&gt;0")</f>
        <v>0</v>
      </c>
      <c r="F563" s="25">
        <f>SUMIFS('Daftar Koreksi'!$H$5:$H$92,'Daftar Koreksi'!$D$5:$D$92,'0800'!A554,'Daftar Koreksi'!$G$5:$G$92,"Kontruksi Dalam Pengerjaan",'Daftar Koreksi'!$H$5:$H$92,"&lt;0")-SUMIFS('Daftar Koreksi'!$H$5:$H$92,'Daftar Koreksi'!$D$5:$D$92,'0800'!A554,'Daftar Koreksi'!$G$5:$G$92,"Kontruksi Dalam Pengerjaan",'Daftar Koreksi'!$H$5:$H$92,"&lt;0")-SUMIFS('Daftar Koreksi'!$H$5:$H$92,'Daftar Koreksi'!$D$5:$D$92,'0800'!A554,'Daftar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6050000</v>
      </c>
      <c r="E564" s="25">
        <f>SUMIFS('Daftar Koreksi'!$H$5:$H$92,'Daftar Koreksi'!$D$5:$D$92,'0800'!A554,'Daftar Koreksi'!$G$5:$G$92,"Aset Tak Berwujud",'Daftar Koreksi'!$H$5:$H$92,"&gt;0")</f>
        <v>0</v>
      </c>
      <c r="F564" s="25">
        <f>SUMIFS('Daftar Koreksi'!$H$5:$H$92,'Daftar Koreksi'!$D$5:$D$92,'0800'!A554,'Daftar Koreksi'!$G$5:$G$92,"Aset Tak Berwujud",'Daftar Koreksi'!$H$5:$H$92,"&lt;0")-SUMIFS('Daftar Koreksi'!$H$5:$H$92,'Daftar Koreksi'!$D$5:$D$92,'0800'!A554,'Daftar Koreksi'!$G$5:$G$92,"Aset Tak Berwujud",'Daftar Koreksi'!$H$5:$H$92,"&lt;0")-SUMIFS('Daftar Koreksi'!$H$5:$H$92,'Daftar Koreksi'!$D$5:$D$92,'0800'!A554,'Daftar Koreksi'!$G$5:$G$92,"Aset Tak Berwujud",'Daftar Koreksi'!$H$5:$H$92,"&lt;0")</f>
        <v>0</v>
      </c>
      <c r="G564" s="17">
        <f t="shared" si="25"/>
        <v>6050000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0</v>
      </c>
      <c r="E565" s="25">
        <f>SUMIFS('Daftar Koreksi'!$H$5:$H$92,'Daftar Koreksi'!$D$5:$D$92,'0800'!A554,'Daftar Koreksi'!$G$5:$G$92,"Aset Henti Guna",'Daftar Koreksi'!$H$5:$H$92,"&gt;0")</f>
        <v>0</v>
      </c>
      <c r="F565" s="25">
        <f>SUMIFS('Daftar Koreksi'!$H$5:$H$92,'Daftar Koreksi'!$D$5:$D$92,'0800'!A554,'Daftar Koreksi'!$G$5:$G$92,"Aset Henti Guna",'Daftar Koreksi'!$H$5:$H$92,"&lt;0")-SUMIFS('Daftar Koreksi'!$H$5:$H$92,'Daftar Koreksi'!$D$5:$D$92,'0800'!A554,'Daftar Koreksi'!$G$5:$G$92,"Aset Henti Guna",'Daftar Koreksi'!$H$5:$H$92,"&lt;0")-SUMIFS('Daftar Koreksi'!$H$5:$H$92,'Daftar Koreksi'!$D$5:$D$92,'0800'!A554,'Daftar Koreksi'!$G$5:$G$92,"Aset Henti Guna",'Daftar Koreksi'!$H$5:$H$92,"&lt;0")</f>
        <v>0</v>
      </c>
      <c r="G565" s="17">
        <f t="shared" si="25"/>
        <v>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3833869721</v>
      </c>
      <c r="E566" s="19">
        <f>SUM(E557:E565)</f>
        <v>0</v>
      </c>
      <c r="F566" s="19">
        <f>SUM(F557:F565)</f>
        <v>0</v>
      </c>
      <c r="G566" s="19">
        <f t="shared" si="25"/>
        <v>3833869721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-1113594788</v>
      </c>
      <c r="E567" s="25">
        <f>SUMIFS('Daftar Koreksi'!$I$5:$I$92,'Daftar Koreksi'!$D$5:$D$92,'0800'!A554,'Daftar Koreksi'!$G$5:$G$92,"Peralatan dan mesin",'Daftar Koreksi'!$I$5:$I$92,"&gt;0")</f>
        <v>0</v>
      </c>
      <c r="F567" s="25">
        <f>SUMIFS('Daftar Koreksi'!$I$5:$I$92,'Daftar Koreksi'!$D$5:$D$92,'0800'!A554,'Daftar Koreksi'!$G$5:$G$92,"Peralatan dan mesin",'Daftar Koreksi'!$I$5:$I$92,"&lt;0")-SUMIFS('Daftar Koreksi'!$I$5:$I$92,'Daftar Koreksi'!$D$5:$D$92,'0800'!A554,'Daftar Koreksi'!$G$5:$G$92,"Peralatan dan mesin",'Daftar Koreksi'!$I$5:$I$92,"&lt;0")-SUMIFS('Daftar Koreksi'!$I$5:$I$92,'Daftar Koreksi'!$D$5:$D$92,'0800'!A554,'Daftar Koreksi'!$G$5:$G$92,"Peralatan dan mesin",'Daftar Koreksi'!$I$5:$I$92,"&lt;0")</f>
        <v>0</v>
      </c>
      <c r="G567" s="17">
        <f t="shared" si="25"/>
        <v>-1113594788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-375750680</v>
      </c>
      <c r="E568" s="25">
        <f>SUMIFS('Daftar Koreksi'!$I$5:$I$92,'Daftar Koreksi'!$D$5:$D$92,'0800'!A554,'Daftar Koreksi'!$G$5:$G$92,"Gedung dan Bangunan",'Daftar Koreksi'!$I$5:$I$92,"&gt;0")</f>
        <v>0</v>
      </c>
      <c r="F568" s="25">
        <f>SUMIFS('Daftar Koreksi'!$I$5:$I$92,'Daftar Koreksi'!$D$5:$D$92,'0800'!A554,'Daftar Koreksi'!$G$5:$G$92,"Gedung dan Bangunan",'Daftar Koreksi'!$I$5:$I$92,"&lt;0")-SUMIFS('Daftar Koreksi'!$I$5:$I$92,'Daftar Koreksi'!$D$5:$D$92,'0800'!A554,'Daftar Koreksi'!$G$5:$G$92,"Gedung dan Bangunan",'Daftar Koreksi'!$I$5:$I$92,"&lt;0")-SUMIFS('Daftar Koreksi'!$I$5:$I$92,'Daftar Koreksi'!$D$5:$D$92,'0800'!A554,'Daftar Koreksi'!$G$5:$G$92,"Gedung dan Bangunan",'Daftar Koreksi'!$I$5:$I$92,"&lt;0")</f>
        <v>0</v>
      </c>
      <c r="G568" s="17">
        <f t="shared" si="25"/>
        <v>-375750680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-10933339</v>
      </c>
      <c r="E569" s="25">
        <f>SUMIFS('Daftar Koreksi'!$I$5:$I$92,'Daftar Koreksi'!$D$5:$D$92,'0800'!A554,'Daftar Koreksi'!$G$5:$G$92,"Jalan Irigasi Jaringan",'Daftar Koreksi'!$I$5:$I$92,"&gt;0")</f>
        <v>0</v>
      </c>
      <c r="F569" s="25">
        <f>SUMIFS('Daftar Koreksi'!$I$5:$I$92,'Daftar Koreksi'!$D$5:$D$92,'0800'!A554,'Daftar Koreksi'!$G$5:$G$92,"Jalan Irigasi Jaringan",'Daftar Koreksi'!$I$5:$I$92,"&lt;0")-SUMIFS('Daftar Koreksi'!$I$5:$I$92,'Daftar Koreksi'!$D$5:$D$92,'0800'!A554,'Daftar Koreksi'!$G$5:$G$92,"Jalan Irigasi Jaringan",'Daftar Koreksi'!$I$5:$I$92,"&lt;0")-SUMIFS('Daftar Koreksi'!$I$5:$I$92,'Daftar Koreksi'!$D$5:$D$92,'0800'!A554,'Daftar Koreksi'!$G$5:$G$92,"Jalan Irigasi Jaringan",'Daftar Koreksi'!$I$5:$I$92,"&lt;0")</f>
        <v>0</v>
      </c>
      <c r="G569" s="17">
        <f t="shared" si="25"/>
        <v>-10933339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Koreksi'!$D$5:$D$92,'0800'!A554,'Daftar Koreksi'!$G$5:$G$92,"Aset Tetap Lainnya",'Daftar Koreksi'!$I$5:$I$92,"&gt;0")</f>
        <v>0</v>
      </c>
      <c r="F570" s="25">
        <f>SUMIFS('Daftar Koreksi'!$I$5:$I$92,'Daftar Koreksi'!$D$5:$D$92,'0800'!A554,'Daftar Koreksi'!$G$5:$G$92,"Aset Tetap Lainnya",'Daftar Koreksi'!$I$5:$I$92,"&lt;0")-SUMIFS('Daftar Koreksi'!$I$5:$I$92,'Daftar Koreksi'!$D$5:$D$92,'0800'!A554,'Daftar Koreksi'!$G$5:$G$92,"Aset Tetap Lainnya",'Daftar Koreksi'!$I$5:$I$92,"&lt;0")-SUMIFS('Daftar Koreksi'!$I$5:$I$92,'Daftar Koreksi'!$D$5:$D$92,'0800'!A554,'Daftar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0</v>
      </c>
      <c r="E571" s="25">
        <f>SUMIFS('Daftar Koreksi'!$I$5:$I$92,'Daftar Koreksi'!$D$5:$D$92,'0800'!A554,'Daftar Koreksi'!$G$5:$G$92,"Aset Henti Guna",'Daftar Koreksi'!$I$5:$I$92,"&gt;0")</f>
        <v>0</v>
      </c>
      <c r="F571" s="25">
        <f>SUMIFS('Daftar Koreksi'!$I$5:$I$92,'Daftar Koreksi'!$D$5:$D$92,'0800'!A554,'Daftar Koreksi'!$G$5:$G$92,"Aset Henti Guna",'Daftar Koreksi'!$I$5:$I$92,"&lt;0")-SUMIFS('Daftar Koreksi'!$I$5:$I$92,'Daftar Koreksi'!$D$5:$D$92,'0800'!A554,'Daftar Koreksi'!$G$5:$G$92,"Aset Henti Guna",'Daftar Koreksi'!$I$5:$I$92,"&lt;0")-SUMIFS('Daftar Koreksi'!$I$5:$I$92,'Daftar Koreksi'!$D$5:$D$92,'0800'!A554,'Daftar Koreksi'!$G$5:$G$92,"Aset Henti Guna",'Daftar Koreksi'!$I$5:$I$92,"&lt;0")</f>
        <v>0</v>
      </c>
      <c r="G571" s="17">
        <f t="shared" si="25"/>
        <v>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-1500278807</v>
      </c>
      <c r="E572" s="19">
        <f>SUM(E567:E571)</f>
        <v>0</v>
      </c>
      <c r="F572" s="19">
        <f>SUM(F567:F571)</f>
        <v>0</v>
      </c>
      <c r="G572" s="19">
        <f t="shared" si="25"/>
        <v>-1500278807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2333590914</v>
      </c>
      <c r="E573" s="19">
        <f>E572+E566</f>
        <v>0</v>
      </c>
      <c r="F573" s="19">
        <f>F572+F566</f>
        <v>0</v>
      </c>
      <c r="G573" s="19">
        <f t="shared" si="25"/>
        <v>2333590914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005010800402010000KD</v>
      </c>
      <c r="B576" s="11" t="str">
        <f>P27</f>
        <v>PA. Bukit Tinggi</v>
      </c>
      <c r="C576" s="12" t="str">
        <f>A576&amp;" "&amp;B576</f>
        <v>005010800402010000KD PA. Bukit Tinggi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9760500</v>
      </c>
      <c r="E579" s="25">
        <f>SUMIFS('Daftar Koreksi'!$H$5:$H$92,'Daftar Koreksi'!$D$5:$D$92,'0800'!A576,'Daftar Koreksi'!$G$5:$G$92,"Persediaan",'Daftar Koreksi'!$H$5:$H$92,"&gt;0")</f>
        <v>0</v>
      </c>
      <c r="F579" s="25">
        <f>SUMIFS('Daftar Koreksi'!$H$5:$H$92,'Daftar Koreksi'!$D$5:$D$92,'0800'!A576,'Daftar Koreksi'!$G$5:$G$92,"Persediaan",'Daftar Koreksi'!$H$5:$H$92,"&lt;0")-SUMIFS('Daftar Koreksi'!$H$5:$H$92,'Daftar Koreksi'!$D$5:$D$92,'0800'!A576,'Daftar Koreksi'!$G$5:$G$92,"Persediaan",'Daftar Koreksi'!$H$5:$H$92,"&lt;0")-SUMIFS('Daftar Koreksi'!$H$5:$H$92,'Daftar Koreksi'!$D$5:$D$92,'0800'!A576,'Daftar Koreksi'!$G$5:$G$92,"Persediaan",'Daftar Koreksi'!$H$5:$H$92,"&lt;0")</f>
        <v>0</v>
      </c>
      <c r="G579" s="17">
        <f>D579+E579-F579</f>
        <v>9760500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1292229400</v>
      </c>
      <c r="E580" s="25">
        <f>SUMIFS('Daftar Koreksi'!$H$5:$H$92,'Daftar Koreksi'!$D$5:$D$92,'0800'!A576,'Daftar Koreksi'!$G$5:$G$92,"Tanah",'Daftar Koreksi'!$H$5:$H$92,"&gt;0")</f>
        <v>0</v>
      </c>
      <c r="F580" s="25">
        <f>SUMIFS('Daftar Koreksi'!$H$5:$H$92,'Daftar Koreksi'!$D$5:$D$92,'0800'!A576,'Daftar Koreksi'!$G$5:$G$92,"Tanah",'Daftar Koreksi'!$H$5:$H$92,"&lt;0")-SUMIFS('Daftar Koreksi'!$H$5:$H$92,'Daftar Koreksi'!$D$5:$D$92,'0800'!A576,'Daftar Koreksi'!$G$5:$G$92,"Tanah",'Daftar Koreksi'!$H$5:$H$92,"&lt;0")-SUMIFS('Daftar Koreksi'!$H$5:$H$92,'Daftar Koreksi'!$D$5:$D$92,'0800'!A576,'Daftar Koreksi'!$G$5:$G$92,"Tanah",'Daftar Koreksi'!$H$5:$H$92,"&lt;0")</f>
        <v>0</v>
      </c>
      <c r="G580" s="17">
        <f t="shared" ref="G580:G596" si="26">D580+E580-F580</f>
        <v>1292229400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1941504056</v>
      </c>
      <c r="E581" s="25">
        <f>SUMIFS('Daftar Koreksi'!$H$5:$H$92,'Daftar Koreksi'!$D$5:$D$92,'0800'!A576,'Daftar Koreksi'!$G$5:$G$92,"Peralatan dan mesin",'Daftar Koreksi'!$H$5:$H$92,"&gt;0")</f>
        <v>0</v>
      </c>
      <c r="F581" s="25">
        <f>SUMIFS('Daftar Koreksi'!$H$5:$H$92,'Daftar Koreksi'!$D$5:$D$92,'0800'!A576,'Daftar Koreksi'!$G$5:$G$92,"Peralatan dan mesin",'Daftar Koreksi'!$H$5:$H$92,"&lt;0")-SUMIFS('Daftar Koreksi'!$H$5:$H$92,'Daftar Koreksi'!$D$5:$D$92,'0800'!A576,'Daftar Koreksi'!$G$5:$G$92,"Peralatan dan mesin",'Daftar Koreksi'!$H$5:$H$92,"&lt;0")-SUMIFS('Daftar Koreksi'!$H$5:$H$92,'Daftar Koreksi'!$D$5:$D$92,'0800'!A576,'Daftar Koreksi'!$G$5:$G$92,"Peralatan dan mesin",'Daftar Koreksi'!$H$5:$H$92,"&lt;0")</f>
        <v>0</v>
      </c>
      <c r="G581" s="17">
        <f t="shared" si="26"/>
        <v>1941504056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8093743027</v>
      </c>
      <c r="E582" s="25">
        <f>SUMIFS('Daftar Koreksi'!$H$5:$H$92,'Daftar Koreksi'!$D$5:$D$92,'0800'!A576,'Daftar Koreksi'!$G$5:$G$92,"Gedung dan Bangunan",'Daftar Koreksi'!$H$5:$H$92,"&gt;0")</f>
        <v>0</v>
      </c>
      <c r="F582" s="25">
        <f>SUMIFS('Daftar Koreksi'!$H$5:$H$92,'Daftar Koreksi'!$D$5:$D$92,'0800'!A576,'Daftar Koreksi'!$G$5:$G$92,"Gedung dan Bangunan",'Daftar Koreksi'!$H$5:$H$92,"&lt;0")-SUMIFS('Daftar Koreksi'!$H$5:$H$92,'Daftar Koreksi'!$D$5:$D$92,'0800'!A576,'Daftar Koreksi'!$G$5:$G$92,"Gedung dan Bangunan",'Daftar Koreksi'!$H$5:$H$92,"&lt;0")-SUMIFS('Daftar Koreksi'!$H$5:$H$92,'Daftar Koreksi'!$D$5:$D$92,'0800'!A576,'Daftar Koreksi'!$G$5:$G$92,"Gedung dan Bangunan",'Daftar Koreksi'!$H$5:$H$92,"&lt;0")</f>
        <v>0</v>
      </c>
      <c r="G582" s="17">
        <f t="shared" si="26"/>
        <v>8093743027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0</v>
      </c>
      <c r="E583" s="25">
        <f>SUMIFS('Daftar Koreksi'!$H$5:$H$92,'Daftar Koreksi'!$D$5:$D$92,'0800'!A576,'Daftar Koreksi'!$G$5:$G$92,"Jalan Irigasi Jaringan",'Daftar Koreksi'!$H$5:$H$92,"&gt;0")</f>
        <v>0</v>
      </c>
      <c r="F583" s="25">
        <f>SUMIFS('Daftar Koreksi'!$H$5:$H$92,'Daftar Koreksi'!$D$5:$D$92,'0800'!A576,'Daftar Koreksi'!$G$5:$G$92,"Jalan Irigasi Jaringan",'Daftar Koreksi'!$H$5:$H$92,"&lt;0")-SUMIFS('Daftar Koreksi'!$H$5:$H$92,'Daftar Koreksi'!$D$5:$D$92,'0800'!A576,'Daftar Koreksi'!$G$5:$G$92,"Jalan Irigasi Jaringan",'Daftar Koreksi'!$H$5:$H$92,"&lt;0")-SUMIFS('Daftar Koreksi'!$H$5:$H$92,'Daftar Koreksi'!$D$5:$D$92,'0800'!A576,'Daftar Koreksi'!$G$5:$G$92,"Jalan Irigasi Jaringan",'Daftar Koreksi'!$H$5:$H$92,"&lt;0")</f>
        <v>0</v>
      </c>
      <c r="G583" s="17">
        <f t="shared" si="26"/>
        <v>0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12891460</v>
      </c>
      <c r="E584" s="25">
        <f>SUMIFS('Daftar Koreksi'!$H$5:$H$92,'Daftar Koreksi'!$D$5:$D$92,'0800'!A576,'Daftar Koreksi'!$G$5:$G$92,"Aset Tetap Lainnya",'Daftar Koreksi'!$H$5:$H$92,"&gt;0")</f>
        <v>0</v>
      </c>
      <c r="F584" s="25">
        <f>SUMIFS('Daftar Koreksi'!$H$5:$H$92,'Daftar Koreksi'!$D$5:$D$92,'0800'!A576,'Daftar Koreksi'!$G$5:$G$92,"Aset Tetap Lainnya",'Daftar Koreksi'!$H$5:$H$92,"&lt;0")-SUMIFS('Daftar Koreksi'!$H$5:$H$92,'Daftar Koreksi'!$D$5:$D$92,'0800'!A576,'Daftar Koreksi'!$G$5:$G$92,"Aset Tetap Lainnya",'Daftar Koreksi'!$H$5:$H$92,"&lt;0")-SUMIFS('Daftar Koreksi'!$H$5:$H$92,'Daftar Koreksi'!$D$5:$D$92,'0800'!A576,'Daftar Koreksi'!$G$5:$G$92,"Aset Tetap Lainnya",'Daftar Koreksi'!$H$5:$H$92,"&lt;0")</f>
        <v>0</v>
      </c>
      <c r="G584" s="17">
        <f t="shared" si="26"/>
        <v>12891460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Koreksi'!$D$5:$D$92,'0800'!A576,'Daftar Koreksi'!$G$5:$G$92,"Kontruksi Dalam Pengerjaan",'Daftar Koreksi'!$H$5:$H$92,"&gt;0")</f>
        <v>0</v>
      </c>
      <c r="F585" s="25">
        <f>SUMIFS('Daftar Koreksi'!$H$5:$H$92,'Daftar Koreksi'!$D$5:$D$92,'0800'!A576,'Daftar Koreksi'!$G$5:$G$92,"Kontruksi Dalam Pengerjaan",'Daftar Koreksi'!$H$5:$H$92,"&lt;0")-SUMIFS('Daftar Koreksi'!$H$5:$H$92,'Daftar Koreksi'!$D$5:$D$92,'0800'!A576,'Daftar Koreksi'!$G$5:$G$92,"Kontruksi Dalam Pengerjaan",'Daftar Koreksi'!$H$5:$H$92,"&lt;0")-SUMIFS('Daftar Koreksi'!$H$5:$H$92,'Daftar Koreksi'!$D$5:$D$92,'0800'!A576,'Daftar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0</v>
      </c>
      <c r="E586" s="25">
        <f>SUMIFS('Daftar Koreksi'!$H$5:$H$92,'Daftar Koreksi'!$D$5:$D$92,'0800'!A576,'Daftar Koreksi'!$G$5:$G$92,"Aset Tak Berwujud",'Daftar Koreksi'!$H$5:$H$92,"&gt;0")</f>
        <v>0</v>
      </c>
      <c r="F586" s="25">
        <f>SUMIFS('Daftar Koreksi'!$H$5:$H$92,'Daftar Koreksi'!$D$5:$D$92,'0800'!A576,'Daftar Koreksi'!$G$5:$G$92,"Aset Tak Berwujud",'Daftar Koreksi'!$H$5:$H$92,"&lt;0")-SUMIFS('Daftar Koreksi'!$H$5:$H$92,'Daftar Koreksi'!$D$5:$D$92,'0800'!A576,'Daftar Koreksi'!$G$5:$G$92,"Aset Tak Berwujud",'Daftar Koreksi'!$H$5:$H$92,"&lt;0")-SUMIFS('Daftar Koreksi'!$H$5:$H$92,'Daftar Koreksi'!$D$5:$D$92,'0800'!A576,'Daftar Koreksi'!$G$5:$G$92,"Aset Tak Berwujud",'Daftar Koreksi'!$H$5:$H$92,"&lt;0")</f>
        <v>0</v>
      </c>
      <c r="G586" s="17">
        <f t="shared" si="26"/>
        <v>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0</v>
      </c>
      <c r="E587" s="25">
        <f>SUMIFS('Daftar Koreksi'!$H$5:$H$92,'Daftar Koreksi'!$D$5:$D$92,'0800'!A576,'Daftar Koreksi'!$G$5:$G$92,"Aset Henti Guna",'Daftar Koreksi'!$H$5:$H$92,"&gt;0")</f>
        <v>0</v>
      </c>
      <c r="F587" s="25">
        <f>SUMIFS('Daftar Koreksi'!$H$5:$H$92,'Daftar Koreksi'!$D$5:$D$92,'0800'!A576,'Daftar Koreksi'!$G$5:$G$92,"Aset Henti Guna",'Daftar Koreksi'!$H$5:$H$92,"&lt;0")-SUMIFS('Daftar Koreksi'!$H$5:$H$92,'Daftar Koreksi'!$D$5:$D$92,'0800'!A576,'Daftar Koreksi'!$G$5:$G$92,"Aset Henti Guna",'Daftar Koreksi'!$H$5:$H$92,"&lt;0")-SUMIFS('Daftar Koreksi'!$H$5:$H$92,'Daftar Koreksi'!$D$5:$D$92,'0800'!A576,'Daftar Koreksi'!$G$5:$G$92,"Aset Henti Guna",'Daftar Koreksi'!$H$5:$H$92,"&lt;0")</f>
        <v>0</v>
      </c>
      <c r="G587" s="17">
        <f t="shared" si="26"/>
        <v>0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11350128443</v>
      </c>
      <c r="E588" s="19">
        <f>SUM(E579:E587)</f>
        <v>0</v>
      </c>
      <c r="F588" s="19">
        <f>SUM(F579:F587)</f>
        <v>0</v>
      </c>
      <c r="G588" s="19">
        <f t="shared" si="26"/>
        <v>11350128443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-1430620118</v>
      </c>
      <c r="E589" s="25">
        <f>SUMIFS('Daftar Koreksi'!$I$5:$I$92,'Daftar Koreksi'!$D$5:$D$92,'0800'!A576,'Daftar Koreksi'!$G$5:$G$92,"Peralatan dan mesin",'Daftar Koreksi'!$I$5:$I$92,"&gt;0")</f>
        <v>0</v>
      </c>
      <c r="F589" s="25">
        <f>SUMIFS('Daftar Koreksi'!$I$5:$I$92,'Daftar Koreksi'!$D$5:$D$92,'0800'!A576,'Daftar Koreksi'!$G$5:$G$92,"Peralatan dan mesin",'Daftar Koreksi'!$I$5:$I$92,"&lt;0")-SUMIFS('Daftar Koreksi'!$I$5:$I$92,'Daftar Koreksi'!$D$5:$D$92,'0800'!A576,'Daftar Koreksi'!$G$5:$G$92,"Peralatan dan mesin",'Daftar Koreksi'!$I$5:$I$92,"&lt;0")-SUMIFS('Daftar Koreksi'!$I$5:$I$92,'Daftar Koreksi'!$D$5:$D$92,'0800'!A576,'Daftar Koreksi'!$G$5:$G$92,"Peralatan dan mesin",'Daftar Koreksi'!$I$5:$I$92,"&lt;0")</f>
        <v>0</v>
      </c>
      <c r="G589" s="17">
        <f t="shared" si="26"/>
        <v>-1430620118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-861926418</v>
      </c>
      <c r="E590" s="25">
        <f>SUMIFS('Daftar Koreksi'!$I$5:$I$92,'Daftar Koreksi'!$D$5:$D$92,'0800'!A576,'Daftar Koreksi'!$G$5:$G$92,"Gedung dan Bangunan",'Daftar Koreksi'!$I$5:$I$92,"&gt;0")</f>
        <v>0</v>
      </c>
      <c r="F590" s="25">
        <f>SUMIFS('Daftar Koreksi'!$I$5:$I$92,'Daftar Koreksi'!$D$5:$D$92,'0800'!A576,'Daftar Koreksi'!$G$5:$G$92,"Gedung dan Bangunan",'Daftar Koreksi'!$I$5:$I$92,"&lt;0")-SUMIFS('Daftar Koreksi'!$I$5:$I$92,'Daftar Koreksi'!$D$5:$D$92,'0800'!A576,'Daftar Koreksi'!$G$5:$G$92,"Gedung dan Bangunan",'Daftar Koreksi'!$I$5:$I$92,"&lt;0")-SUMIFS('Daftar Koreksi'!$I$5:$I$92,'Daftar Koreksi'!$D$5:$D$92,'0800'!A576,'Daftar Koreksi'!$G$5:$G$92,"Gedung dan Bangunan",'Daftar Koreksi'!$I$5:$I$92,"&lt;0")</f>
        <v>0</v>
      </c>
      <c r="G590" s="17">
        <f t="shared" si="26"/>
        <v>-861926418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0</v>
      </c>
      <c r="E591" s="25">
        <f>SUMIFS('Daftar Koreksi'!$I$5:$I$92,'Daftar Koreksi'!$D$5:$D$92,'0800'!A576,'Daftar Koreksi'!$G$5:$G$92,"Jalan Irigasi Jaringan",'Daftar Koreksi'!$I$5:$I$92,"&gt;0")</f>
        <v>0</v>
      </c>
      <c r="F591" s="25">
        <f>SUMIFS('Daftar Koreksi'!$I$5:$I$92,'Daftar Koreksi'!$D$5:$D$92,'0800'!A576,'Daftar Koreksi'!$G$5:$G$92,"Jalan Irigasi Jaringan",'Daftar Koreksi'!$I$5:$I$92,"&lt;0")-SUMIFS('Daftar Koreksi'!$I$5:$I$92,'Daftar Koreksi'!$D$5:$D$92,'0800'!A576,'Daftar Koreksi'!$G$5:$G$92,"Jalan Irigasi Jaringan",'Daftar Koreksi'!$I$5:$I$92,"&lt;0")-SUMIFS('Daftar Koreksi'!$I$5:$I$92,'Daftar Koreksi'!$D$5:$D$92,'0800'!A576,'Daftar Koreksi'!$G$5:$G$92,"Jalan Irigasi Jaringan",'Daftar Koreksi'!$I$5:$I$92,"&lt;0")</f>
        <v>0</v>
      </c>
      <c r="G591" s="17">
        <f t="shared" si="26"/>
        <v>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Koreksi'!$D$5:$D$92,'0800'!A576,'Daftar Koreksi'!$G$5:$G$92,"Aset Tetap Lainnya",'Daftar Koreksi'!$I$5:$I$92,"&gt;0")</f>
        <v>0</v>
      </c>
      <c r="F592" s="25">
        <f>SUMIFS('Daftar Koreksi'!$I$5:$I$92,'Daftar Koreksi'!$D$5:$D$92,'0800'!A576,'Daftar Koreksi'!$G$5:$G$92,"Aset Tetap Lainnya",'Daftar Koreksi'!$I$5:$I$92,"&lt;0")-SUMIFS('Daftar Koreksi'!$I$5:$I$92,'Daftar Koreksi'!$D$5:$D$92,'0800'!A576,'Daftar Koreksi'!$G$5:$G$92,"Aset Tetap Lainnya",'Daftar Koreksi'!$I$5:$I$92,"&lt;0")-SUMIFS('Daftar Koreksi'!$I$5:$I$92,'Daftar Koreksi'!$D$5:$D$92,'0800'!A576,'Daftar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0</v>
      </c>
      <c r="E593" s="25">
        <f>SUMIFS('Daftar Koreksi'!$I$5:$I$92,'Daftar Koreksi'!$D$5:$D$92,'0800'!A576,'Daftar Koreksi'!$G$5:$G$92,"Aset Henti Guna",'Daftar Koreksi'!$I$5:$I$92,"&gt;0")</f>
        <v>0</v>
      </c>
      <c r="F593" s="25">
        <f>SUMIFS('Daftar Koreksi'!$I$5:$I$92,'Daftar Koreksi'!$D$5:$D$92,'0800'!A576,'Daftar Koreksi'!$G$5:$G$92,"Aset Henti Guna",'Daftar Koreksi'!$I$5:$I$92,"&lt;0")-SUMIFS('Daftar Koreksi'!$I$5:$I$92,'Daftar Koreksi'!$D$5:$D$92,'0800'!A576,'Daftar Koreksi'!$G$5:$G$92,"Aset Henti Guna",'Daftar Koreksi'!$I$5:$I$92,"&lt;0")-SUMIFS('Daftar Koreksi'!$I$5:$I$92,'Daftar Koreksi'!$D$5:$D$92,'0800'!A576,'Daftar Koreksi'!$G$5:$G$92,"Aset Henti Guna",'Daftar Koreksi'!$I$5:$I$92,"&lt;0")</f>
        <v>0</v>
      </c>
      <c r="G593" s="17">
        <f t="shared" si="26"/>
        <v>0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-2292546536</v>
      </c>
      <c r="E594" s="19">
        <f>SUM(E589:E593)</f>
        <v>0</v>
      </c>
      <c r="F594" s="19">
        <f>SUM(F589:F593)</f>
        <v>0</v>
      </c>
      <c r="G594" s="19">
        <f t="shared" si="26"/>
        <v>-2292546536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9057581907</v>
      </c>
      <c r="E595" s="19">
        <f>E594+E588</f>
        <v>0</v>
      </c>
      <c r="F595" s="19">
        <f>F594+F588</f>
        <v>0</v>
      </c>
      <c r="G595" s="19">
        <f t="shared" si="26"/>
        <v>9057581907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005010800402029000KD</v>
      </c>
      <c r="B598" s="11" t="str">
        <f>P28</f>
        <v>PA. Lubuk Sikaping</v>
      </c>
      <c r="C598" s="12" t="str">
        <f>A598&amp;" "&amp;B598</f>
        <v>005010800402029000KD PA. Lubuk Sikaping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912900</v>
      </c>
      <c r="E601" s="25">
        <f>SUMIFS('Daftar Koreksi'!$H$5:$H$92,'Daftar Koreksi'!$D$5:$D$92,'0800'!A598,'Daftar Koreksi'!$G$5:$G$92,"Persediaan",'Daftar Koreksi'!$H$5:$H$92,"&gt;0")</f>
        <v>0</v>
      </c>
      <c r="F601" s="25">
        <f>SUMIFS('Daftar Koreksi'!$H$5:$H$92,'Daftar Koreksi'!$D$5:$D$92,'0800'!A598,'Daftar Koreksi'!$G$5:$G$92,"Persediaan",'Daftar Koreksi'!$H$5:$H$92,"&lt;0")-SUMIFS('Daftar Koreksi'!$H$5:$H$92,'Daftar Koreksi'!$D$5:$D$92,'0800'!A598,'Daftar Koreksi'!$G$5:$G$92,"Persediaan",'Daftar Koreksi'!$H$5:$H$92,"&lt;0")-SUMIFS('Daftar Koreksi'!$H$5:$H$92,'Daftar Koreksi'!$D$5:$D$92,'0800'!A598,'Daftar Koreksi'!$G$5:$G$92,"Persediaan",'Daftar Koreksi'!$H$5:$H$92,"&lt;0")</f>
        <v>0</v>
      </c>
      <c r="G601" s="17">
        <f>D601+E601-F601</f>
        <v>912900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1151186000</v>
      </c>
      <c r="E602" s="25">
        <f>SUMIFS('Daftar Koreksi'!$H$5:$H$92,'Daftar Koreksi'!$D$5:$D$92,'0800'!A598,'Daftar Koreksi'!$G$5:$G$92,"Tanah",'Daftar Koreksi'!$H$5:$H$92,"&gt;0")</f>
        <v>0</v>
      </c>
      <c r="F602" s="25">
        <f>SUMIFS('Daftar Koreksi'!$H$5:$H$92,'Daftar Koreksi'!$D$5:$D$92,'0800'!A598,'Daftar Koreksi'!$G$5:$G$92,"Tanah",'Daftar Koreksi'!$H$5:$H$92,"&lt;0")-SUMIFS('Daftar Koreksi'!$H$5:$H$92,'Daftar Koreksi'!$D$5:$D$92,'0800'!A598,'Daftar Koreksi'!$G$5:$G$92,"Tanah",'Daftar Koreksi'!$H$5:$H$92,"&lt;0")-SUMIFS('Daftar Koreksi'!$H$5:$H$92,'Daftar Koreksi'!$D$5:$D$92,'0800'!A598,'Daftar Koreksi'!$G$5:$G$92,"Tanah",'Daftar Koreksi'!$H$5:$H$92,"&lt;0")</f>
        <v>0</v>
      </c>
      <c r="G602" s="17">
        <f t="shared" ref="G602:G618" si="27">D602+E602-F602</f>
        <v>1151186000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1557117942</v>
      </c>
      <c r="E603" s="25">
        <f>SUMIFS('Daftar Koreksi'!$H$5:$H$92,'Daftar Koreksi'!$D$5:$D$92,'0800'!A598,'Daftar Koreksi'!$G$5:$G$92,"Peralatan dan mesin",'Daftar Koreksi'!$H$5:$H$92,"&gt;0")</f>
        <v>0</v>
      </c>
      <c r="F603" s="25">
        <f>SUMIFS('Daftar Koreksi'!$H$5:$H$92,'Daftar Koreksi'!$D$5:$D$92,'0800'!A598,'Daftar Koreksi'!$G$5:$G$92,"Peralatan dan mesin",'Daftar Koreksi'!$H$5:$H$92,"&lt;0")-SUMIFS('Daftar Koreksi'!$H$5:$H$92,'Daftar Koreksi'!$D$5:$D$92,'0800'!A598,'Daftar Koreksi'!$G$5:$G$92,"Peralatan dan mesin",'Daftar Koreksi'!$H$5:$H$92,"&lt;0")-SUMIFS('Daftar Koreksi'!$H$5:$H$92,'Daftar Koreksi'!$D$5:$D$92,'0800'!A598,'Daftar Koreksi'!$G$5:$G$92,"Peralatan dan mesin",'Daftar Koreksi'!$H$5:$H$92,"&lt;0")</f>
        <v>0</v>
      </c>
      <c r="G603" s="17">
        <f t="shared" si="27"/>
        <v>1557117942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1733680000</v>
      </c>
      <c r="E604" s="25">
        <f>SUMIFS('Daftar Koreksi'!$H$5:$H$92,'Daftar Koreksi'!$D$5:$D$92,'0800'!A598,'Daftar Koreksi'!$G$5:$G$92,"Gedung dan Bangunan",'Daftar Koreksi'!$H$5:$H$92,"&gt;0")</f>
        <v>0</v>
      </c>
      <c r="F604" s="25">
        <f>SUMIFS('Daftar Koreksi'!$H$5:$H$92,'Daftar Koreksi'!$D$5:$D$92,'0800'!A598,'Daftar Koreksi'!$G$5:$G$92,"Gedung dan Bangunan",'Daftar Koreksi'!$H$5:$H$92,"&lt;0")-SUMIFS('Daftar Koreksi'!$H$5:$H$92,'Daftar Koreksi'!$D$5:$D$92,'0800'!A598,'Daftar Koreksi'!$G$5:$G$92,"Gedung dan Bangunan",'Daftar Koreksi'!$H$5:$H$92,"&lt;0")-SUMIFS('Daftar Koreksi'!$H$5:$H$92,'Daftar Koreksi'!$D$5:$D$92,'0800'!A598,'Daftar Koreksi'!$G$5:$G$92,"Gedung dan Bangunan",'Daftar Koreksi'!$H$5:$H$92,"&lt;0")</f>
        <v>0</v>
      </c>
      <c r="G604" s="17">
        <f t="shared" si="27"/>
        <v>1733680000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0</v>
      </c>
      <c r="E605" s="25">
        <f>SUMIFS('Daftar Koreksi'!$H$5:$H$92,'Daftar Koreksi'!$D$5:$D$92,'0800'!A598,'Daftar Koreksi'!$G$5:$G$92,"Jalan Irigasi Jaringan",'Daftar Koreksi'!$H$5:$H$92,"&gt;0")</f>
        <v>0</v>
      </c>
      <c r="F605" s="25">
        <f>SUMIFS('Daftar Koreksi'!$H$5:$H$92,'Daftar Koreksi'!$D$5:$D$92,'0800'!A598,'Daftar Koreksi'!$G$5:$G$92,"Jalan Irigasi Jaringan",'Daftar Koreksi'!$H$5:$H$92,"&lt;0")-SUMIFS('Daftar Koreksi'!$H$5:$H$92,'Daftar Koreksi'!$D$5:$D$92,'0800'!A598,'Daftar Koreksi'!$G$5:$G$92,"Jalan Irigasi Jaringan",'Daftar Koreksi'!$H$5:$H$92,"&lt;0")-SUMIFS('Daftar Koreksi'!$H$5:$H$92,'Daftar Koreksi'!$D$5:$D$92,'0800'!A598,'Daftar Koreksi'!$G$5:$G$92,"Jalan Irigasi Jaringan",'Daftar Koreksi'!$H$5:$H$92,"&lt;0")</f>
        <v>0</v>
      </c>
      <c r="G605" s="17">
        <f t="shared" si="27"/>
        <v>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16107438</v>
      </c>
      <c r="E606" s="25">
        <f>SUMIFS('Daftar Koreksi'!$H$5:$H$92,'Daftar Koreksi'!$D$5:$D$92,'0800'!A598,'Daftar Koreksi'!$G$5:$G$92,"Aset Tetap Lainnya",'Daftar Koreksi'!$H$5:$H$92,"&gt;0")</f>
        <v>0</v>
      </c>
      <c r="F606" s="25">
        <f>SUMIFS('Daftar Koreksi'!$H$5:$H$92,'Daftar Koreksi'!$D$5:$D$92,'0800'!A598,'Daftar Koreksi'!$G$5:$G$92,"Aset Tetap Lainnya",'Daftar Koreksi'!$H$5:$H$92,"&lt;0")-SUMIFS('Daftar Koreksi'!$H$5:$H$92,'Daftar Koreksi'!$D$5:$D$92,'0800'!A598,'Daftar Koreksi'!$G$5:$G$92,"Aset Tetap Lainnya",'Daftar Koreksi'!$H$5:$H$92,"&lt;0")-SUMIFS('Daftar Koreksi'!$H$5:$H$92,'Daftar Koreksi'!$D$5:$D$92,'0800'!A598,'Daftar Koreksi'!$G$5:$G$92,"Aset Tetap Lainnya",'Daftar Koreksi'!$H$5:$H$92,"&lt;0")</f>
        <v>0</v>
      </c>
      <c r="G606" s="17">
        <f t="shared" si="27"/>
        <v>16107438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5108026884</v>
      </c>
      <c r="E607" s="25">
        <f>SUMIFS('Daftar Koreksi'!$H$5:$H$92,'Daftar Koreksi'!$D$5:$D$92,'0800'!A598,'Daftar Koreksi'!$G$5:$G$92,"Kontruksi Dalam Pengerjaan",'Daftar Koreksi'!$H$5:$H$92,"&gt;0")</f>
        <v>0</v>
      </c>
      <c r="F607" s="25">
        <f>SUMIFS('Daftar Koreksi'!$H$5:$H$92,'Daftar Koreksi'!$D$5:$D$92,'0800'!A598,'Daftar Koreksi'!$G$5:$G$92,"Kontruksi Dalam Pengerjaan",'Daftar Koreksi'!$H$5:$H$92,"&lt;0")-SUMIFS('Daftar Koreksi'!$H$5:$H$92,'Daftar Koreksi'!$D$5:$D$92,'0800'!A598,'Daftar Koreksi'!$G$5:$G$92,"Kontruksi Dalam Pengerjaan",'Daftar Koreksi'!$H$5:$H$92,"&lt;0")-SUMIFS('Daftar Koreksi'!$H$5:$H$92,'Daftar Koreksi'!$D$5:$D$92,'0800'!A598,'Daftar Koreksi'!$G$5:$G$92,"Kontruksi Dalam Pengerjaan",'Daftar Koreksi'!$H$5:$H$92,"&lt;0")</f>
        <v>0</v>
      </c>
      <c r="G607" s="17">
        <f t="shared" si="27"/>
        <v>5108026884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0</v>
      </c>
      <c r="E608" s="25">
        <f>SUMIFS('Daftar Koreksi'!$H$5:$H$92,'Daftar Koreksi'!$D$5:$D$92,'0800'!A598,'Daftar Koreksi'!$G$5:$G$92,"Aset Tak Berwujud",'Daftar Koreksi'!$H$5:$H$92,"&gt;0")</f>
        <v>0</v>
      </c>
      <c r="F608" s="25">
        <f>SUMIFS('Daftar Koreksi'!$H$5:$H$92,'Daftar Koreksi'!$D$5:$D$92,'0800'!A598,'Daftar Koreksi'!$G$5:$G$92,"Aset Tak Berwujud",'Daftar Koreksi'!$H$5:$H$92,"&lt;0")-SUMIFS('Daftar Koreksi'!$H$5:$H$92,'Daftar Koreksi'!$D$5:$D$92,'0800'!A598,'Daftar Koreksi'!$G$5:$G$92,"Aset Tak Berwujud",'Daftar Koreksi'!$H$5:$H$92,"&lt;0")-SUMIFS('Daftar Koreksi'!$H$5:$H$92,'Daftar Koreksi'!$D$5:$D$92,'0800'!A598,'Daftar Koreksi'!$G$5:$G$92,"Aset Tak Berwujud",'Daftar Koreksi'!$H$5:$H$92,"&lt;0")</f>
        <v>0</v>
      </c>
      <c r="G608" s="17">
        <f t="shared" si="27"/>
        <v>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18000</v>
      </c>
      <c r="E609" s="25">
        <f>SUMIFS('Daftar Koreksi'!$H$5:$H$92,'Daftar Koreksi'!$D$5:$D$92,'0800'!A598,'Daftar Koreksi'!$G$5:$G$92,"Aset Henti Guna",'Daftar Koreksi'!$H$5:$H$92,"&gt;0")</f>
        <v>0</v>
      </c>
      <c r="F609" s="25">
        <f>SUMIFS('Daftar Koreksi'!$H$5:$H$92,'Daftar Koreksi'!$D$5:$D$92,'0800'!A598,'Daftar Koreksi'!$G$5:$G$92,"Aset Henti Guna",'Daftar Koreksi'!$H$5:$H$92,"&lt;0")-SUMIFS('Daftar Koreksi'!$H$5:$H$92,'Daftar Koreksi'!$D$5:$D$92,'0800'!A598,'Daftar Koreksi'!$G$5:$G$92,"Aset Henti Guna",'Daftar Koreksi'!$H$5:$H$92,"&lt;0")-SUMIFS('Daftar Koreksi'!$H$5:$H$92,'Daftar Koreksi'!$D$5:$D$92,'0800'!A598,'Daftar Koreksi'!$G$5:$G$92,"Aset Henti Guna",'Daftar Koreksi'!$H$5:$H$92,"&lt;0")</f>
        <v>0</v>
      </c>
      <c r="G609" s="17">
        <f t="shared" si="27"/>
        <v>18000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9567049164</v>
      </c>
      <c r="E610" s="19">
        <f>SUM(E601:E609)</f>
        <v>0</v>
      </c>
      <c r="F610" s="19">
        <f>SUM(F601:F609)</f>
        <v>0</v>
      </c>
      <c r="G610" s="19">
        <f t="shared" si="27"/>
        <v>9567049164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-1235289317</v>
      </c>
      <c r="E611" s="25">
        <f>SUMIFS('Daftar Koreksi'!$I$5:$I$92,'Daftar Koreksi'!$D$5:$D$92,'0800'!A598,'Daftar Koreksi'!$G$5:$G$92,"Peralatan dan mesin",'Daftar Koreksi'!$I$5:$I$92,"&gt;0")</f>
        <v>0</v>
      </c>
      <c r="F611" s="25">
        <f>SUMIFS('Daftar Koreksi'!$I$5:$I$92,'Daftar Koreksi'!$D$5:$D$92,'0800'!A598,'Daftar Koreksi'!$G$5:$G$92,"Peralatan dan mesin",'Daftar Koreksi'!$I$5:$I$92,"&lt;0")-SUMIFS('Daftar Koreksi'!$I$5:$I$92,'Daftar Koreksi'!$D$5:$D$92,'0800'!A598,'Daftar Koreksi'!$G$5:$G$92,"Peralatan dan mesin",'Daftar Koreksi'!$I$5:$I$92,"&lt;0")-SUMIFS('Daftar Koreksi'!$I$5:$I$92,'Daftar Koreksi'!$D$5:$D$92,'0800'!A598,'Daftar Koreksi'!$G$5:$G$92,"Peralatan dan mesin",'Daftar Koreksi'!$I$5:$I$92,"&lt;0")</f>
        <v>0</v>
      </c>
      <c r="G611" s="17">
        <f t="shared" si="27"/>
        <v>-1235289317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-183931203</v>
      </c>
      <c r="E612" s="25">
        <f>SUMIFS('Daftar Koreksi'!$I$5:$I$92,'Daftar Koreksi'!$D$5:$D$92,'0800'!A598,'Daftar Koreksi'!$G$5:$G$92,"Gedung dan Bangunan",'Daftar Koreksi'!$I$5:$I$92,"&gt;0")</f>
        <v>0</v>
      </c>
      <c r="F612" s="25">
        <f>SUMIFS('Daftar Koreksi'!$I$5:$I$92,'Daftar Koreksi'!$D$5:$D$92,'0800'!A598,'Daftar Koreksi'!$G$5:$G$92,"Gedung dan Bangunan",'Daftar Koreksi'!$I$5:$I$92,"&lt;0")-SUMIFS('Daftar Koreksi'!$I$5:$I$92,'Daftar Koreksi'!$D$5:$D$92,'0800'!A598,'Daftar Koreksi'!$G$5:$G$92,"Gedung dan Bangunan",'Daftar Koreksi'!$I$5:$I$92,"&lt;0")-SUMIFS('Daftar Koreksi'!$I$5:$I$92,'Daftar Koreksi'!$D$5:$D$92,'0800'!A598,'Daftar Koreksi'!$G$5:$G$92,"Gedung dan Bangunan",'Daftar Koreksi'!$I$5:$I$92,"&lt;0")</f>
        <v>0</v>
      </c>
      <c r="G612" s="17">
        <f t="shared" si="27"/>
        <v>-183931203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0</v>
      </c>
      <c r="E613" s="25">
        <f>SUMIFS('Daftar Koreksi'!$I$5:$I$92,'Daftar Koreksi'!$D$5:$D$92,'0800'!A598,'Daftar Koreksi'!$G$5:$G$92,"Jalan Irigasi Jaringan",'Daftar Koreksi'!$I$5:$I$92,"&gt;0")</f>
        <v>0</v>
      </c>
      <c r="F613" s="25">
        <f>SUMIFS('Daftar Koreksi'!$I$5:$I$92,'Daftar Koreksi'!$D$5:$D$92,'0800'!A598,'Daftar Koreksi'!$G$5:$G$92,"Jalan Irigasi Jaringan",'Daftar Koreksi'!$I$5:$I$92,"&lt;0")-SUMIFS('Daftar Koreksi'!$I$5:$I$92,'Daftar Koreksi'!$D$5:$D$92,'0800'!A598,'Daftar Koreksi'!$G$5:$G$92,"Jalan Irigasi Jaringan",'Daftar Koreksi'!$I$5:$I$92,"&lt;0")-SUMIFS('Daftar Koreksi'!$I$5:$I$92,'Daftar Koreksi'!$D$5:$D$92,'0800'!A598,'Daftar Koreksi'!$G$5:$G$92,"Jalan Irigasi Jaringan",'Daftar Koreksi'!$I$5:$I$92,"&lt;0")</f>
        <v>0</v>
      </c>
      <c r="G613" s="17">
        <f t="shared" si="27"/>
        <v>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Koreksi'!$D$5:$D$92,'0800'!A598,'Daftar Koreksi'!$G$5:$G$92,"Aset Tetap Lainnya",'Daftar Koreksi'!$I$5:$I$92,"&gt;0")</f>
        <v>0</v>
      </c>
      <c r="F614" s="25">
        <f>SUMIFS('Daftar Koreksi'!$I$5:$I$92,'Daftar Koreksi'!$D$5:$D$92,'0800'!A598,'Daftar Koreksi'!$G$5:$G$92,"Aset Tetap Lainnya",'Daftar Koreksi'!$I$5:$I$92,"&lt;0")-SUMIFS('Daftar Koreksi'!$I$5:$I$92,'Daftar Koreksi'!$D$5:$D$92,'0800'!A598,'Daftar Koreksi'!$G$5:$G$92,"Aset Tetap Lainnya",'Daftar Koreksi'!$I$5:$I$92,"&lt;0")-SUMIFS('Daftar Koreksi'!$I$5:$I$92,'Daftar Koreksi'!$D$5:$D$92,'0800'!A598,'Daftar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-18000</v>
      </c>
      <c r="E615" s="25">
        <f>SUMIFS('Daftar Koreksi'!$I$5:$I$92,'Daftar Koreksi'!$D$5:$D$92,'0800'!A598,'Daftar Koreksi'!$G$5:$G$92,"Aset Henti Guna",'Daftar Koreksi'!$I$5:$I$92,"&gt;0")</f>
        <v>0</v>
      </c>
      <c r="F615" s="25">
        <f>SUMIFS('Daftar Koreksi'!$I$5:$I$92,'Daftar Koreksi'!$D$5:$D$92,'0800'!A598,'Daftar Koreksi'!$G$5:$G$92,"Aset Henti Guna",'Daftar Koreksi'!$I$5:$I$92,"&lt;0")-SUMIFS('Daftar Koreksi'!$I$5:$I$92,'Daftar Koreksi'!$D$5:$D$92,'0800'!A598,'Daftar Koreksi'!$G$5:$G$92,"Aset Henti Guna",'Daftar Koreksi'!$I$5:$I$92,"&lt;0")-SUMIFS('Daftar Koreksi'!$I$5:$I$92,'Daftar Koreksi'!$D$5:$D$92,'0800'!A598,'Daftar Koreksi'!$G$5:$G$92,"Aset Henti Guna",'Daftar Koreksi'!$I$5:$I$92,"&lt;0")</f>
        <v>0</v>
      </c>
      <c r="G615" s="17">
        <f t="shared" si="27"/>
        <v>-18000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-1419238520</v>
      </c>
      <c r="E616" s="19">
        <f>SUM(E611:E615)</f>
        <v>0</v>
      </c>
      <c r="F616" s="19">
        <f>SUM(F611:F615)</f>
        <v>0</v>
      </c>
      <c r="G616" s="19">
        <f t="shared" si="27"/>
        <v>-1419238520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8147810644</v>
      </c>
      <c r="E617" s="19">
        <f>E616+E610</f>
        <v>0</v>
      </c>
      <c r="F617" s="19">
        <f>F616+F610</f>
        <v>0</v>
      </c>
      <c r="G617" s="19">
        <f t="shared" si="27"/>
        <v>8147810644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005010800402035000KD</v>
      </c>
      <c r="B620" s="11" t="str">
        <f>P29</f>
        <v>PA. Talu</v>
      </c>
      <c r="C620" s="12" t="str">
        <f>A620&amp;" "&amp;B620</f>
        <v>005010800402035000KD PA. Talu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2575360</v>
      </c>
      <c r="E623" s="25">
        <f>SUMIFS('Daftar Koreksi'!$H$5:$H$92,'Daftar Koreksi'!$D$5:$D$92,'0800'!A620,'Daftar Koreksi'!$G$5:$G$92,"Persediaan",'Daftar Koreksi'!$H$5:$H$92,"&gt;0")</f>
        <v>0</v>
      </c>
      <c r="F623" s="25">
        <f>SUMIFS('Daftar Koreksi'!$H$5:$H$92,'Daftar Koreksi'!$D$5:$D$92,'0800'!A620,'Daftar Koreksi'!$G$5:$G$92,"Persediaan",'Daftar Koreksi'!$H$5:$H$92,"&lt;0")-SUMIFS('Daftar Koreksi'!$H$5:$H$92,'Daftar Koreksi'!$D$5:$D$92,'0800'!A620,'Daftar Koreksi'!$G$5:$G$92,"Persediaan",'Daftar Koreksi'!$H$5:$H$92,"&lt;0")-SUMIFS('Daftar Koreksi'!$H$5:$H$92,'Daftar Koreksi'!$D$5:$D$92,'0800'!A620,'Daftar Koreksi'!$G$5:$G$92,"Persediaan",'Daftar Koreksi'!$H$5:$H$92,"&lt;0")</f>
        <v>0</v>
      </c>
      <c r="G623" s="17">
        <f>D623+E623-F623</f>
        <v>2575360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584278000</v>
      </c>
      <c r="E624" s="25">
        <f>SUMIFS('Daftar Koreksi'!$H$5:$H$92,'Daftar Koreksi'!$D$5:$D$92,'0800'!A620,'Daftar Koreksi'!$G$5:$G$92,"Tanah",'Daftar Koreksi'!$H$5:$H$92,"&gt;0")</f>
        <v>0</v>
      </c>
      <c r="F624" s="25">
        <f>SUMIFS('Daftar Koreksi'!$H$5:$H$92,'Daftar Koreksi'!$D$5:$D$92,'0800'!A620,'Daftar Koreksi'!$G$5:$G$92,"Tanah",'Daftar Koreksi'!$H$5:$H$92,"&lt;0")-SUMIFS('Daftar Koreksi'!$H$5:$H$92,'Daftar Koreksi'!$D$5:$D$92,'0800'!A620,'Daftar Koreksi'!$G$5:$G$92,"Tanah",'Daftar Koreksi'!$H$5:$H$92,"&lt;0")-SUMIFS('Daftar Koreksi'!$H$5:$H$92,'Daftar Koreksi'!$D$5:$D$92,'0800'!A620,'Daftar Koreksi'!$G$5:$G$92,"Tanah",'Daftar Koreksi'!$H$5:$H$92,"&lt;0")</f>
        <v>0</v>
      </c>
      <c r="G624" s="17">
        <f t="shared" ref="G624:G640" si="28">D624+E624-F624</f>
        <v>584278000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1009445938</v>
      </c>
      <c r="E625" s="25">
        <f>SUMIFS('Daftar Koreksi'!$H$5:$H$92,'Daftar Koreksi'!$D$5:$D$92,'0800'!A620,'Daftar Koreksi'!$G$5:$G$92,"Peralatan dan mesin",'Daftar Koreksi'!$H$5:$H$92,"&gt;0")</f>
        <v>0</v>
      </c>
      <c r="F625" s="25">
        <f>SUMIFS('Daftar Koreksi'!$H$5:$H$92,'Daftar Koreksi'!$D$5:$D$92,'0800'!A620,'Daftar Koreksi'!$G$5:$G$92,"Peralatan dan mesin",'Daftar Koreksi'!$H$5:$H$92,"&lt;0")-SUMIFS('Daftar Koreksi'!$H$5:$H$92,'Daftar Koreksi'!$D$5:$D$92,'0800'!A620,'Daftar Koreksi'!$G$5:$G$92,"Peralatan dan mesin",'Daftar Koreksi'!$H$5:$H$92,"&lt;0")-SUMIFS('Daftar Koreksi'!$H$5:$H$92,'Daftar Koreksi'!$D$5:$D$92,'0800'!A620,'Daftar Koreksi'!$G$5:$G$92,"Peralatan dan mesin",'Daftar Koreksi'!$H$5:$H$92,"&lt;0")</f>
        <v>0</v>
      </c>
      <c r="G625" s="17">
        <f t="shared" si="28"/>
        <v>1009445938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1776727000</v>
      </c>
      <c r="E626" s="25">
        <f>SUMIFS('Daftar Koreksi'!$H$5:$H$92,'Daftar Koreksi'!$D$5:$D$92,'0800'!A620,'Daftar Koreksi'!$G$5:$G$92,"Gedung dan Bangunan",'Daftar Koreksi'!$H$5:$H$92,"&gt;0")</f>
        <v>0</v>
      </c>
      <c r="F626" s="25">
        <f>SUMIFS('Daftar Koreksi'!$H$5:$H$92,'Daftar Koreksi'!$D$5:$D$92,'0800'!A620,'Daftar Koreksi'!$G$5:$G$92,"Gedung dan Bangunan",'Daftar Koreksi'!$H$5:$H$92,"&lt;0")-SUMIFS('Daftar Koreksi'!$H$5:$H$92,'Daftar Koreksi'!$D$5:$D$92,'0800'!A620,'Daftar Koreksi'!$G$5:$G$92,"Gedung dan Bangunan",'Daftar Koreksi'!$H$5:$H$92,"&lt;0")-SUMIFS('Daftar Koreksi'!$H$5:$H$92,'Daftar Koreksi'!$D$5:$D$92,'0800'!A620,'Daftar Koreksi'!$G$5:$G$92,"Gedung dan Bangunan",'Daftar Koreksi'!$H$5:$H$92,"&lt;0")</f>
        <v>0</v>
      </c>
      <c r="G626" s="17">
        <f t="shared" si="28"/>
        <v>1776727000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Koreksi'!$D$5:$D$92,'0800'!A620,'Daftar Koreksi'!$G$5:$G$92,"Jalan Irigasi Jaringan",'Daftar Koreksi'!$H$5:$H$92,"&gt;0")</f>
        <v>0</v>
      </c>
      <c r="F627" s="25">
        <f>SUMIFS('Daftar Koreksi'!$H$5:$H$92,'Daftar Koreksi'!$D$5:$D$92,'0800'!A620,'Daftar Koreksi'!$G$5:$G$92,"Jalan Irigasi Jaringan",'Daftar Koreksi'!$H$5:$H$92,"&lt;0")-SUMIFS('Daftar Koreksi'!$H$5:$H$92,'Daftar Koreksi'!$D$5:$D$92,'0800'!A620,'Daftar Koreksi'!$G$5:$G$92,"Jalan Irigasi Jaringan",'Daftar Koreksi'!$H$5:$H$92,"&lt;0")-SUMIFS('Daftar Koreksi'!$H$5:$H$92,'Daftar Koreksi'!$D$5:$D$92,'0800'!A620,'Daftar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70502509</v>
      </c>
      <c r="E628" s="25">
        <f>SUMIFS('Daftar Koreksi'!$H$5:$H$92,'Daftar Koreksi'!$D$5:$D$92,'0800'!A620,'Daftar Koreksi'!$G$5:$G$92,"Aset Tetap Lainnya",'Daftar Koreksi'!$H$5:$H$92,"&gt;0")</f>
        <v>0</v>
      </c>
      <c r="F628" s="25">
        <f>SUMIFS('Daftar Koreksi'!$H$5:$H$92,'Daftar Koreksi'!$D$5:$D$92,'0800'!A620,'Daftar Koreksi'!$G$5:$G$92,"Aset Tetap Lainnya",'Daftar Koreksi'!$H$5:$H$92,"&lt;0")-SUMIFS('Daftar Koreksi'!$H$5:$H$92,'Daftar Koreksi'!$D$5:$D$92,'0800'!A620,'Daftar Koreksi'!$G$5:$G$92,"Aset Tetap Lainnya",'Daftar Koreksi'!$H$5:$H$92,"&lt;0")-SUMIFS('Daftar Koreksi'!$H$5:$H$92,'Daftar Koreksi'!$D$5:$D$92,'0800'!A620,'Daftar Koreksi'!$G$5:$G$92,"Aset Tetap Lainnya",'Daftar Koreksi'!$H$5:$H$92,"&lt;0")</f>
        <v>0</v>
      </c>
      <c r="G628" s="17">
        <f t="shared" si="28"/>
        <v>70502509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Koreksi'!$D$5:$D$92,'0800'!A620,'Daftar Koreksi'!$G$5:$G$92,"Kontruksi Dalam Pengerjaan",'Daftar Koreksi'!$H$5:$H$92,"&gt;0")</f>
        <v>0</v>
      </c>
      <c r="F629" s="25">
        <f>SUMIFS('Daftar Koreksi'!$H$5:$H$92,'Daftar Koreksi'!$D$5:$D$92,'0800'!A620,'Daftar Koreksi'!$G$5:$G$92,"Kontruksi Dalam Pengerjaan",'Daftar Koreksi'!$H$5:$H$92,"&lt;0")-SUMIFS('Daftar Koreksi'!$H$5:$H$92,'Daftar Koreksi'!$D$5:$D$92,'0800'!A620,'Daftar Koreksi'!$G$5:$G$92,"Kontruksi Dalam Pengerjaan",'Daftar Koreksi'!$H$5:$H$92,"&lt;0")-SUMIFS('Daftar Koreksi'!$H$5:$H$92,'Daftar Koreksi'!$D$5:$D$92,'0800'!A620,'Daftar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0</v>
      </c>
      <c r="E630" s="25">
        <f>SUMIFS('Daftar Koreksi'!$H$5:$H$92,'Daftar Koreksi'!$D$5:$D$92,'0800'!A620,'Daftar Koreksi'!$G$5:$G$92,"Aset Tak Berwujud",'Daftar Koreksi'!$H$5:$H$92,"&gt;0")</f>
        <v>0</v>
      </c>
      <c r="F630" s="25">
        <f>SUMIFS('Daftar Koreksi'!$H$5:$H$92,'Daftar Koreksi'!$D$5:$D$92,'0800'!A620,'Daftar Koreksi'!$G$5:$G$92,"Aset Tak Berwujud",'Daftar Koreksi'!$H$5:$H$92,"&lt;0")-SUMIFS('Daftar Koreksi'!$H$5:$H$92,'Daftar Koreksi'!$D$5:$D$92,'0800'!A620,'Daftar Koreksi'!$G$5:$G$92,"Aset Tak Berwujud",'Daftar Koreksi'!$H$5:$H$92,"&lt;0")-SUMIFS('Daftar Koreksi'!$H$5:$H$92,'Daftar Koreksi'!$D$5:$D$92,'0800'!A620,'Daftar Koreksi'!$G$5:$G$92,"Aset Tak Berwujud",'Daftar Koreksi'!$H$5:$H$92,"&lt;0")</f>
        <v>0</v>
      </c>
      <c r="G630" s="17">
        <f t="shared" si="28"/>
        <v>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106645940</v>
      </c>
      <c r="E631" s="25">
        <f>SUMIFS('Daftar Koreksi'!$H$5:$H$92,'Daftar Koreksi'!$D$5:$D$92,'0800'!A620,'Daftar Koreksi'!$G$5:$G$92,"Aset Henti Guna",'Daftar Koreksi'!$H$5:$H$92,"&gt;0")</f>
        <v>0</v>
      </c>
      <c r="F631" s="25">
        <f>SUMIFS('Daftar Koreksi'!$H$5:$H$92,'Daftar Koreksi'!$D$5:$D$92,'0800'!A620,'Daftar Koreksi'!$G$5:$G$92,"Aset Henti Guna",'Daftar Koreksi'!$H$5:$H$92,"&lt;0")-SUMIFS('Daftar Koreksi'!$H$5:$H$92,'Daftar Koreksi'!$D$5:$D$92,'0800'!A620,'Daftar Koreksi'!$G$5:$G$92,"Aset Henti Guna",'Daftar Koreksi'!$H$5:$H$92,"&lt;0")-SUMIFS('Daftar Koreksi'!$H$5:$H$92,'Daftar Koreksi'!$D$5:$D$92,'0800'!A620,'Daftar Koreksi'!$G$5:$G$92,"Aset Henti Guna",'Daftar Koreksi'!$H$5:$H$92,"&lt;0")</f>
        <v>0</v>
      </c>
      <c r="G631" s="17">
        <f t="shared" si="28"/>
        <v>106645940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3550174747</v>
      </c>
      <c r="E632" s="19">
        <f>SUM(E623:E631)</f>
        <v>0</v>
      </c>
      <c r="F632" s="19">
        <f>SUM(F623:F631)</f>
        <v>0</v>
      </c>
      <c r="G632" s="19">
        <f t="shared" si="28"/>
        <v>3550174747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-919179938</v>
      </c>
      <c r="E633" s="25">
        <f>SUMIFS('Daftar Koreksi'!$I$5:$I$92,'Daftar Koreksi'!$D$5:$D$92,'0800'!A620,'Daftar Koreksi'!$G$5:$G$92,"Peralatan dan mesin",'Daftar Koreksi'!$I$5:$I$92,"&gt;0")</f>
        <v>0</v>
      </c>
      <c r="F633" s="25">
        <f>SUMIFS('Daftar Koreksi'!$I$5:$I$92,'Daftar Koreksi'!$D$5:$D$92,'0800'!A620,'Daftar Koreksi'!$G$5:$G$92,"Peralatan dan mesin",'Daftar Koreksi'!$I$5:$I$92,"&lt;0")-SUMIFS('Daftar Koreksi'!$I$5:$I$92,'Daftar Koreksi'!$D$5:$D$92,'0800'!A620,'Daftar Koreksi'!$G$5:$G$92,"Peralatan dan mesin",'Daftar Koreksi'!$I$5:$I$92,"&lt;0")-SUMIFS('Daftar Koreksi'!$I$5:$I$92,'Daftar Koreksi'!$D$5:$D$92,'0800'!A620,'Daftar Koreksi'!$G$5:$G$92,"Peralatan dan mesin",'Daftar Koreksi'!$I$5:$I$92,"&lt;0")</f>
        <v>0</v>
      </c>
      <c r="G633" s="17">
        <f t="shared" si="28"/>
        <v>-919179938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-340527305</v>
      </c>
      <c r="E634" s="25">
        <f>SUMIFS('Daftar Koreksi'!$I$5:$I$92,'Daftar Koreksi'!$D$5:$D$92,'0800'!A620,'Daftar Koreksi'!$G$5:$G$92,"Gedung dan Bangunan",'Daftar Koreksi'!$I$5:$I$92,"&gt;0")</f>
        <v>0</v>
      </c>
      <c r="F634" s="25">
        <f>SUMIFS('Daftar Koreksi'!$I$5:$I$92,'Daftar Koreksi'!$D$5:$D$92,'0800'!A620,'Daftar Koreksi'!$G$5:$G$92,"Gedung dan Bangunan",'Daftar Koreksi'!$I$5:$I$92,"&lt;0")-SUMIFS('Daftar Koreksi'!$I$5:$I$92,'Daftar Koreksi'!$D$5:$D$92,'0800'!A620,'Daftar Koreksi'!$G$5:$G$92,"Gedung dan Bangunan",'Daftar Koreksi'!$I$5:$I$92,"&lt;0")-SUMIFS('Daftar Koreksi'!$I$5:$I$92,'Daftar Koreksi'!$D$5:$D$92,'0800'!A620,'Daftar Koreksi'!$G$5:$G$92,"Gedung dan Bangunan",'Daftar Koreksi'!$I$5:$I$92,"&lt;0")</f>
        <v>0</v>
      </c>
      <c r="G634" s="17">
        <f t="shared" si="28"/>
        <v>-340527305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Koreksi'!$D$5:$D$92,'0800'!A620,'Daftar Koreksi'!$G$5:$G$92,"Jalan Irigasi Jaringan",'Daftar Koreksi'!$I$5:$I$92,"&gt;0")</f>
        <v>0</v>
      </c>
      <c r="F635" s="25">
        <f>SUMIFS('Daftar Koreksi'!$I$5:$I$92,'Daftar Koreksi'!$D$5:$D$92,'0800'!A620,'Daftar Koreksi'!$G$5:$G$92,"Jalan Irigasi Jaringan",'Daftar Koreksi'!$I$5:$I$92,"&lt;0")-SUMIFS('Daftar Koreksi'!$I$5:$I$92,'Daftar Koreksi'!$D$5:$D$92,'0800'!A620,'Daftar Koreksi'!$G$5:$G$92,"Jalan Irigasi Jaringan",'Daftar Koreksi'!$I$5:$I$92,"&lt;0")-SUMIFS('Daftar Koreksi'!$I$5:$I$92,'Daftar Koreksi'!$D$5:$D$92,'0800'!A620,'Daftar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Koreksi'!$D$5:$D$92,'0800'!A620,'Daftar Koreksi'!$G$5:$G$92,"Aset Tetap Lainnya",'Daftar Koreksi'!$I$5:$I$92,"&gt;0")</f>
        <v>0</v>
      </c>
      <c r="F636" s="25">
        <f>SUMIFS('Daftar Koreksi'!$I$5:$I$92,'Daftar Koreksi'!$D$5:$D$92,'0800'!A620,'Daftar Koreksi'!$G$5:$G$92,"Aset Tetap Lainnya",'Daftar Koreksi'!$I$5:$I$92,"&lt;0")-SUMIFS('Daftar Koreksi'!$I$5:$I$92,'Daftar Koreksi'!$D$5:$D$92,'0800'!A620,'Daftar Koreksi'!$G$5:$G$92,"Aset Tetap Lainnya",'Daftar Koreksi'!$I$5:$I$92,"&lt;0")-SUMIFS('Daftar Koreksi'!$I$5:$I$92,'Daftar Koreksi'!$D$5:$D$92,'0800'!A620,'Daftar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-100083440</v>
      </c>
      <c r="E637" s="25">
        <f>SUMIFS('Daftar Koreksi'!$I$5:$I$92,'Daftar Koreksi'!$D$5:$D$92,'0800'!A620,'Daftar Koreksi'!$G$5:$G$92,"Aset Henti Guna",'Daftar Koreksi'!$I$5:$I$92,"&gt;0")</f>
        <v>0</v>
      </c>
      <c r="F637" s="25">
        <f>SUMIFS('Daftar Koreksi'!$I$5:$I$92,'Daftar Koreksi'!$D$5:$D$92,'0800'!A620,'Daftar Koreksi'!$G$5:$G$92,"Aset Henti Guna",'Daftar Koreksi'!$I$5:$I$92,"&lt;0")-SUMIFS('Daftar Koreksi'!$I$5:$I$92,'Daftar Koreksi'!$D$5:$D$92,'0800'!A620,'Daftar Koreksi'!$G$5:$G$92,"Aset Henti Guna",'Daftar Koreksi'!$I$5:$I$92,"&lt;0")-SUMIFS('Daftar Koreksi'!$I$5:$I$92,'Daftar Koreksi'!$D$5:$D$92,'0800'!A620,'Daftar Koreksi'!$G$5:$G$92,"Aset Henti Guna",'Daftar Koreksi'!$I$5:$I$92,"&lt;0")</f>
        <v>0</v>
      </c>
      <c r="G637" s="17">
        <f t="shared" si="28"/>
        <v>-100083440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-1359790683</v>
      </c>
      <c r="E638" s="19">
        <f>SUM(E633:E637)</f>
        <v>0</v>
      </c>
      <c r="F638" s="19">
        <f>SUM(F633:F637)</f>
        <v>0</v>
      </c>
      <c r="G638" s="19">
        <f t="shared" si="28"/>
        <v>-1359790683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2190384064</v>
      </c>
      <c r="E639" s="19">
        <f>E638+E632</f>
        <v>0</v>
      </c>
      <c r="F639" s="19">
        <f>F638+F632</f>
        <v>0</v>
      </c>
      <c r="G639" s="19">
        <f t="shared" si="28"/>
        <v>2190384064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005010800402041000KD</v>
      </c>
      <c r="B642" s="11" t="str">
        <f>P30</f>
        <v>PA. Maninjau</v>
      </c>
      <c r="C642" s="12" t="str">
        <f>A642&amp;" "&amp;B642</f>
        <v>005010800402041000KD PA. Maninjau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4563150</v>
      </c>
      <c r="E645" s="25">
        <f>SUMIFS('Daftar Koreksi'!$H$5:$H$92,'Daftar Koreksi'!$D$5:$D$92,'0800'!A642,'Daftar Koreksi'!$G$5:$G$92,"Persediaan",'Daftar Koreksi'!$H$5:$H$92,"&gt;0")</f>
        <v>0</v>
      </c>
      <c r="F645" s="25">
        <f>SUMIFS('Daftar Koreksi'!$H$5:$H$92,'Daftar Koreksi'!$D$5:$D$92,'0800'!A642,'Daftar Koreksi'!$G$5:$G$92,"Persediaan",'Daftar Koreksi'!$H$5:$H$92,"&lt;0")-SUMIFS('Daftar Koreksi'!$H$5:$H$92,'Daftar Koreksi'!$D$5:$D$92,'0800'!A642,'Daftar Koreksi'!$G$5:$G$92,"Persediaan",'Daftar Koreksi'!$H$5:$H$92,"&lt;0")-SUMIFS('Daftar Koreksi'!$H$5:$H$92,'Daftar Koreksi'!$D$5:$D$92,'0800'!A642,'Daftar Koreksi'!$G$5:$G$92,"Persediaan",'Daftar Koreksi'!$H$5:$H$92,"&lt;0")</f>
        <v>0</v>
      </c>
      <c r="G645" s="17">
        <f>D645+E645-F645</f>
        <v>4563150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1049443445</v>
      </c>
      <c r="E646" s="25">
        <f>SUMIFS('Daftar Koreksi'!$H$5:$H$92,'Daftar Koreksi'!$D$5:$D$92,'0800'!A642,'Daftar Koreksi'!$G$5:$G$92,"Tanah",'Daftar Koreksi'!$H$5:$H$92,"&gt;0")</f>
        <v>0</v>
      </c>
      <c r="F646" s="25">
        <f>SUMIFS('Daftar Koreksi'!$H$5:$H$92,'Daftar Koreksi'!$D$5:$D$92,'0800'!A642,'Daftar Koreksi'!$G$5:$G$92,"Tanah",'Daftar Koreksi'!$H$5:$H$92,"&lt;0")-SUMIFS('Daftar Koreksi'!$H$5:$H$92,'Daftar Koreksi'!$D$5:$D$92,'0800'!A642,'Daftar Koreksi'!$G$5:$G$92,"Tanah",'Daftar Koreksi'!$H$5:$H$92,"&lt;0")-SUMIFS('Daftar Koreksi'!$H$5:$H$92,'Daftar Koreksi'!$D$5:$D$92,'0800'!A642,'Daftar Koreksi'!$G$5:$G$92,"Tanah",'Daftar Koreksi'!$H$5:$H$92,"&lt;0")</f>
        <v>0</v>
      </c>
      <c r="G646" s="17">
        <f t="shared" ref="G646:G662" si="29">D646+E646-F646</f>
        <v>1049443445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1673623951</v>
      </c>
      <c r="E647" s="25">
        <f>SUMIFS('Daftar Koreksi'!$H$5:$H$92,'Daftar Koreksi'!$D$5:$D$92,'0800'!A642,'Daftar Koreksi'!$G$5:$G$92,"Peralatan dan mesin",'Daftar Koreksi'!$H$5:$H$92,"&gt;0")</f>
        <v>0</v>
      </c>
      <c r="F647" s="25">
        <f>SUMIFS('Daftar Koreksi'!$H$5:$H$92,'Daftar Koreksi'!$D$5:$D$92,'0800'!A642,'Daftar Koreksi'!$G$5:$G$92,"Peralatan dan mesin",'Daftar Koreksi'!$H$5:$H$92,"&lt;0")-SUMIFS('Daftar Koreksi'!$H$5:$H$92,'Daftar Koreksi'!$D$5:$D$92,'0800'!A642,'Daftar Koreksi'!$G$5:$G$92,"Peralatan dan mesin",'Daftar Koreksi'!$H$5:$H$92,"&lt;0")-SUMIFS('Daftar Koreksi'!$H$5:$H$92,'Daftar Koreksi'!$D$5:$D$92,'0800'!A642,'Daftar Koreksi'!$G$5:$G$92,"Peralatan dan mesin",'Daftar Koreksi'!$H$5:$H$92,"&lt;0")</f>
        <v>0</v>
      </c>
      <c r="G647" s="17">
        <f t="shared" si="29"/>
        <v>1673623951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8439137000</v>
      </c>
      <c r="E648" s="25">
        <f>SUMIFS('Daftar Koreksi'!$H$5:$H$92,'Daftar Koreksi'!$D$5:$D$92,'0800'!A642,'Daftar Koreksi'!$G$5:$G$92,"Gedung dan Bangunan",'Daftar Koreksi'!$H$5:$H$92,"&gt;0")</f>
        <v>0</v>
      </c>
      <c r="F648" s="25">
        <f>SUMIFS('Daftar Koreksi'!$H$5:$H$92,'Daftar Koreksi'!$D$5:$D$92,'0800'!A642,'Daftar Koreksi'!$G$5:$G$92,"Gedung dan Bangunan",'Daftar Koreksi'!$H$5:$H$92,"&lt;0")-SUMIFS('Daftar Koreksi'!$H$5:$H$92,'Daftar Koreksi'!$D$5:$D$92,'0800'!A642,'Daftar Koreksi'!$G$5:$G$92,"Gedung dan Bangunan",'Daftar Koreksi'!$H$5:$H$92,"&lt;0")-SUMIFS('Daftar Koreksi'!$H$5:$H$92,'Daftar Koreksi'!$D$5:$D$92,'0800'!A642,'Daftar Koreksi'!$G$5:$G$92,"Gedung dan Bangunan",'Daftar Koreksi'!$H$5:$H$92,"&lt;0")</f>
        <v>0</v>
      </c>
      <c r="G648" s="17">
        <f t="shared" si="29"/>
        <v>8439137000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32320000</v>
      </c>
      <c r="E649" s="25">
        <f>SUMIFS('Daftar Koreksi'!$H$5:$H$92,'Daftar Koreksi'!$D$5:$D$92,'0800'!A642,'Daftar Koreksi'!$G$5:$G$92,"Jalan Irigasi Jaringan",'Daftar Koreksi'!$H$5:$H$92,"&gt;0")</f>
        <v>0</v>
      </c>
      <c r="F649" s="25">
        <f>SUMIFS('Daftar Koreksi'!$H$5:$H$92,'Daftar Koreksi'!$D$5:$D$92,'0800'!A642,'Daftar Koreksi'!$G$5:$G$92,"Jalan Irigasi Jaringan",'Daftar Koreksi'!$H$5:$H$92,"&lt;0")-SUMIFS('Daftar Koreksi'!$H$5:$H$92,'Daftar Koreksi'!$D$5:$D$92,'0800'!A642,'Daftar Koreksi'!$G$5:$G$92,"Jalan Irigasi Jaringan",'Daftar Koreksi'!$H$5:$H$92,"&lt;0")-SUMIFS('Daftar Koreksi'!$H$5:$H$92,'Daftar Koreksi'!$D$5:$D$92,'0800'!A642,'Daftar Koreksi'!$G$5:$G$92,"Jalan Irigasi Jaringan",'Daftar Koreksi'!$H$5:$H$92,"&lt;0")</f>
        <v>0</v>
      </c>
      <c r="G649" s="17">
        <f t="shared" si="29"/>
        <v>32320000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84500828</v>
      </c>
      <c r="E650" s="25">
        <f>SUMIFS('Daftar Koreksi'!$H$5:$H$92,'Daftar Koreksi'!$D$5:$D$92,'0800'!A642,'Daftar Koreksi'!$G$5:$G$92,"Aset Tetap Lainnya",'Daftar Koreksi'!$H$5:$H$92,"&gt;0")</f>
        <v>0</v>
      </c>
      <c r="F650" s="25">
        <f>SUMIFS('Daftar Koreksi'!$H$5:$H$92,'Daftar Koreksi'!$D$5:$D$92,'0800'!A642,'Daftar Koreksi'!$G$5:$G$92,"Aset Tetap Lainnya",'Daftar Koreksi'!$H$5:$H$92,"&lt;0")-SUMIFS('Daftar Koreksi'!$H$5:$H$92,'Daftar Koreksi'!$D$5:$D$92,'0800'!A642,'Daftar Koreksi'!$G$5:$G$92,"Aset Tetap Lainnya",'Daftar Koreksi'!$H$5:$H$92,"&lt;0")-SUMIFS('Daftar Koreksi'!$H$5:$H$92,'Daftar Koreksi'!$D$5:$D$92,'0800'!A642,'Daftar Koreksi'!$G$5:$G$92,"Aset Tetap Lainnya",'Daftar Koreksi'!$H$5:$H$92,"&lt;0")</f>
        <v>0</v>
      </c>
      <c r="G650" s="17">
        <f t="shared" si="29"/>
        <v>84500828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Koreksi'!$D$5:$D$92,'0800'!A642,'Daftar Koreksi'!$G$5:$G$92,"Kontruksi Dalam Pengerjaan",'Daftar Koreksi'!$H$5:$H$92,"&gt;0")</f>
        <v>0</v>
      </c>
      <c r="F651" s="25">
        <f>SUMIFS('Daftar Koreksi'!$H$5:$H$92,'Daftar Koreksi'!$D$5:$D$92,'0800'!A642,'Daftar Koreksi'!$G$5:$G$92,"Kontruksi Dalam Pengerjaan",'Daftar Koreksi'!$H$5:$H$92,"&lt;0")-SUMIFS('Daftar Koreksi'!$H$5:$H$92,'Daftar Koreksi'!$D$5:$D$92,'0800'!A642,'Daftar Koreksi'!$G$5:$G$92,"Kontruksi Dalam Pengerjaan",'Daftar Koreksi'!$H$5:$H$92,"&lt;0")-SUMIFS('Daftar Koreksi'!$H$5:$H$92,'Daftar Koreksi'!$D$5:$D$92,'0800'!A642,'Daftar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Koreksi'!$D$5:$D$92,'0800'!A642,'Daftar Koreksi'!$G$5:$G$92,"Aset Tak Berwujud",'Daftar Koreksi'!$H$5:$H$92,"&gt;0")</f>
        <v>0</v>
      </c>
      <c r="F652" s="25">
        <f>SUMIFS('Daftar Koreksi'!$H$5:$H$92,'Daftar Koreksi'!$D$5:$D$92,'0800'!A642,'Daftar Koreksi'!$G$5:$G$92,"Aset Tak Berwujud",'Daftar Koreksi'!$H$5:$H$92,"&lt;0")-SUMIFS('Daftar Koreksi'!$H$5:$H$92,'Daftar Koreksi'!$D$5:$D$92,'0800'!A642,'Daftar Koreksi'!$G$5:$G$92,"Aset Tak Berwujud",'Daftar Koreksi'!$H$5:$H$92,"&lt;0")-SUMIFS('Daftar Koreksi'!$H$5:$H$92,'Daftar Koreksi'!$D$5:$D$92,'0800'!A642,'Daftar Koreksi'!$G$5:$G$92,"Aset Tak Berwujud",'Daftar Koreksi'!$H$5:$H$92,"&lt;0")</f>
        <v>0</v>
      </c>
      <c r="G652" s="17">
        <f t="shared" si="29"/>
        <v>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271729225</v>
      </c>
      <c r="E653" s="25">
        <f>SUMIFS('Daftar Koreksi'!$H$5:$H$92,'Daftar Koreksi'!$D$5:$D$92,'0800'!A642,'Daftar Koreksi'!$G$5:$G$92,"Aset Henti Guna",'Daftar Koreksi'!$H$5:$H$92,"&gt;0")</f>
        <v>0</v>
      </c>
      <c r="F653" s="25">
        <f>SUMIFS('Daftar Koreksi'!$H$5:$H$92,'Daftar Koreksi'!$D$5:$D$92,'0800'!A642,'Daftar Koreksi'!$G$5:$G$92,"Aset Henti Guna",'Daftar Koreksi'!$H$5:$H$92,"&lt;0")-SUMIFS('Daftar Koreksi'!$H$5:$H$92,'Daftar Koreksi'!$D$5:$D$92,'0800'!A642,'Daftar Koreksi'!$G$5:$G$92,"Aset Henti Guna",'Daftar Koreksi'!$H$5:$H$92,"&lt;0")-SUMIFS('Daftar Koreksi'!$H$5:$H$92,'Daftar Koreksi'!$D$5:$D$92,'0800'!A642,'Daftar Koreksi'!$G$5:$G$92,"Aset Henti Guna",'Daftar Koreksi'!$H$5:$H$92,"&lt;0")</f>
        <v>0</v>
      </c>
      <c r="G653" s="17">
        <f t="shared" si="29"/>
        <v>271729225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11555317599</v>
      </c>
      <c r="E654" s="19">
        <f>SUM(E645:E653)</f>
        <v>0</v>
      </c>
      <c r="F654" s="19">
        <f>SUM(F645:F653)</f>
        <v>0</v>
      </c>
      <c r="G654" s="19">
        <f t="shared" si="29"/>
        <v>11555317599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-997204070</v>
      </c>
      <c r="E655" s="25">
        <f>SUMIFS('Daftar Koreksi'!$I$5:$I$92,'Daftar Koreksi'!$D$5:$D$92,'0800'!A642,'Daftar Koreksi'!$G$5:$G$92,"Peralatan dan mesin",'Daftar Koreksi'!$I$5:$I$92,"&gt;0")</f>
        <v>0</v>
      </c>
      <c r="F655" s="25">
        <f>SUMIFS('Daftar Koreksi'!$I$5:$I$92,'Daftar Koreksi'!$D$5:$D$92,'0800'!A642,'Daftar Koreksi'!$G$5:$G$92,"Peralatan dan mesin",'Daftar Koreksi'!$I$5:$I$92,"&lt;0")-SUMIFS('Daftar Koreksi'!$I$5:$I$92,'Daftar Koreksi'!$D$5:$D$92,'0800'!A642,'Daftar Koreksi'!$G$5:$G$92,"Peralatan dan mesin",'Daftar Koreksi'!$I$5:$I$92,"&lt;0")-SUMIFS('Daftar Koreksi'!$I$5:$I$92,'Daftar Koreksi'!$D$5:$D$92,'0800'!A642,'Daftar Koreksi'!$G$5:$G$92,"Peralatan dan mesin",'Daftar Koreksi'!$I$5:$I$92,"&lt;0")</f>
        <v>0</v>
      </c>
      <c r="G655" s="17">
        <f t="shared" si="29"/>
        <v>-997204070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-291260397</v>
      </c>
      <c r="E656" s="25">
        <f>SUMIFS('Daftar Koreksi'!$I$5:$I$92,'Daftar Koreksi'!$D$5:$D$92,'0800'!A642,'Daftar Koreksi'!$G$5:$G$92,"Gedung dan Bangunan",'Daftar Koreksi'!$I$5:$I$92,"&gt;0")</f>
        <v>0</v>
      </c>
      <c r="F656" s="25">
        <f>SUMIFS('Daftar Koreksi'!$I$5:$I$92,'Daftar Koreksi'!$D$5:$D$92,'0800'!A642,'Daftar Koreksi'!$G$5:$G$92,"Gedung dan Bangunan",'Daftar Koreksi'!$I$5:$I$92,"&lt;0")-SUMIFS('Daftar Koreksi'!$I$5:$I$92,'Daftar Koreksi'!$D$5:$D$92,'0800'!A642,'Daftar Koreksi'!$G$5:$G$92,"Gedung dan Bangunan",'Daftar Koreksi'!$I$5:$I$92,"&lt;0")-SUMIFS('Daftar Koreksi'!$I$5:$I$92,'Daftar Koreksi'!$D$5:$D$92,'0800'!A642,'Daftar Koreksi'!$G$5:$G$92,"Gedung dan Bangunan",'Daftar Koreksi'!$I$5:$I$92,"&lt;0")</f>
        <v>0</v>
      </c>
      <c r="G656" s="17">
        <f t="shared" si="29"/>
        <v>-291260397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-30388000</v>
      </c>
      <c r="E657" s="25">
        <f>SUMIFS('Daftar Koreksi'!$I$5:$I$92,'Daftar Koreksi'!$D$5:$D$92,'0800'!A642,'Daftar Koreksi'!$G$5:$G$92,"Jalan Irigasi Jaringan",'Daftar Koreksi'!$I$5:$I$92,"&gt;0")</f>
        <v>0</v>
      </c>
      <c r="F657" s="25">
        <f>SUMIFS('Daftar Koreksi'!$I$5:$I$92,'Daftar Koreksi'!$D$5:$D$92,'0800'!A642,'Daftar Koreksi'!$G$5:$G$92,"Jalan Irigasi Jaringan",'Daftar Koreksi'!$I$5:$I$92,"&lt;0")-SUMIFS('Daftar Koreksi'!$I$5:$I$92,'Daftar Koreksi'!$D$5:$D$92,'0800'!A642,'Daftar Koreksi'!$G$5:$G$92,"Jalan Irigasi Jaringan",'Daftar Koreksi'!$I$5:$I$92,"&lt;0")-SUMIFS('Daftar Koreksi'!$I$5:$I$92,'Daftar Koreksi'!$D$5:$D$92,'0800'!A642,'Daftar Koreksi'!$G$5:$G$92,"Jalan Irigasi Jaringan",'Daftar Koreksi'!$I$5:$I$92,"&lt;0")</f>
        <v>0</v>
      </c>
      <c r="G657" s="17">
        <f t="shared" si="29"/>
        <v>-30388000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Koreksi'!$D$5:$D$92,'0800'!A642,'Daftar Koreksi'!$G$5:$G$92,"Aset Tetap Lainnya",'Daftar Koreksi'!$I$5:$I$92,"&gt;0")</f>
        <v>0</v>
      </c>
      <c r="F658" s="25">
        <f>SUMIFS('Daftar Koreksi'!$I$5:$I$92,'Daftar Koreksi'!$D$5:$D$92,'0800'!A642,'Daftar Koreksi'!$G$5:$G$92,"Aset Tetap Lainnya",'Daftar Koreksi'!$I$5:$I$92,"&lt;0")-SUMIFS('Daftar Koreksi'!$I$5:$I$92,'Daftar Koreksi'!$D$5:$D$92,'0800'!A642,'Daftar Koreksi'!$G$5:$G$92,"Aset Tetap Lainnya",'Daftar Koreksi'!$I$5:$I$92,"&lt;0")-SUMIFS('Daftar Koreksi'!$I$5:$I$92,'Daftar Koreksi'!$D$5:$D$92,'0800'!A642,'Daftar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-271054225</v>
      </c>
      <c r="E659" s="25">
        <f>SUMIFS('Daftar Koreksi'!$I$5:$I$92,'Daftar Koreksi'!$D$5:$D$92,'0800'!A642,'Daftar Koreksi'!$G$5:$G$92,"Aset Henti Guna",'Daftar Koreksi'!$I$5:$I$92,"&gt;0")</f>
        <v>0</v>
      </c>
      <c r="F659" s="25">
        <f>SUMIFS('Daftar Koreksi'!$I$5:$I$92,'Daftar Koreksi'!$D$5:$D$92,'0800'!A642,'Daftar Koreksi'!$G$5:$G$92,"Aset Henti Guna",'Daftar Koreksi'!$I$5:$I$92,"&lt;0")-SUMIFS('Daftar Koreksi'!$I$5:$I$92,'Daftar Koreksi'!$D$5:$D$92,'0800'!A642,'Daftar Koreksi'!$G$5:$G$92,"Aset Henti Guna",'Daftar Koreksi'!$I$5:$I$92,"&lt;0")-SUMIFS('Daftar Koreksi'!$I$5:$I$92,'Daftar Koreksi'!$D$5:$D$92,'0800'!A642,'Daftar Koreksi'!$G$5:$G$92,"Aset Henti Guna",'Daftar Koreksi'!$I$5:$I$92,"&lt;0")</f>
        <v>0</v>
      </c>
      <c r="G659" s="17">
        <f t="shared" si="29"/>
        <v>-271054225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-1589906692</v>
      </c>
      <c r="E660" s="19">
        <f>SUM(E655:E659)</f>
        <v>0</v>
      </c>
      <c r="F660" s="19">
        <f>SUM(F655:F659)</f>
        <v>0</v>
      </c>
      <c r="G660" s="19">
        <f t="shared" si="29"/>
        <v>-1589906692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9965410907</v>
      </c>
      <c r="E661" s="19">
        <f>E660+E654</f>
        <v>0</v>
      </c>
      <c r="F661" s="19">
        <f>F660+F654</f>
        <v>0</v>
      </c>
      <c r="G661" s="19">
        <f t="shared" si="29"/>
        <v>9965410907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005010800402050000KD</v>
      </c>
      <c r="B664" s="11" t="str">
        <f>P31</f>
        <v>PA. Payakumbuh</v>
      </c>
      <c r="C664" s="12" t="str">
        <f>A664&amp;" "&amp;B664</f>
        <v>005010800402050000KD PA. Payakumbuh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395000</v>
      </c>
      <c r="E667" s="25">
        <f>SUMIFS('Daftar Koreksi'!$H$5:$H$92,'Daftar Koreksi'!$D$5:$D$92,'0800'!A664,'Daftar Koreksi'!$G$5:$G$92,"Persediaan",'Daftar Koreksi'!$H$5:$H$92,"&gt;0")</f>
        <v>0</v>
      </c>
      <c r="F667" s="25">
        <f>SUMIFS('Daftar Koreksi'!$H$5:$H$92,'Daftar Koreksi'!$D$5:$D$92,'0800'!A664,'Daftar Koreksi'!$G$5:$G$92,"Persediaan",'Daftar Koreksi'!$H$5:$H$92,"&lt;0")-SUMIFS('Daftar Koreksi'!$H$5:$H$92,'Daftar Koreksi'!$D$5:$D$92,'0800'!A664,'Daftar Koreksi'!$G$5:$G$92,"Persediaan",'Daftar Koreksi'!$H$5:$H$92,"&lt;0")-SUMIFS('Daftar Koreksi'!$H$5:$H$92,'Daftar Koreksi'!$D$5:$D$92,'0800'!A664,'Daftar Koreksi'!$G$5:$G$92,"Persediaan",'Daftar Koreksi'!$H$5:$H$92,"&lt;0")</f>
        <v>0</v>
      </c>
      <c r="G667" s="17">
        <f>D667+E667-F667</f>
        <v>395000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2001129500</v>
      </c>
      <c r="E668" s="25">
        <f>SUMIFS('Daftar Koreksi'!$H$5:$H$92,'Daftar Koreksi'!$D$5:$D$92,'0800'!A664,'Daftar Koreksi'!$G$5:$G$92,"Tanah",'Daftar Koreksi'!$H$5:$H$92,"&gt;0")</f>
        <v>0</v>
      </c>
      <c r="F668" s="25">
        <f>SUMIFS('Daftar Koreksi'!$H$5:$H$92,'Daftar Koreksi'!$D$5:$D$92,'0800'!A664,'Daftar Koreksi'!$G$5:$G$92,"Tanah",'Daftar Koreksi'!$H$5:$H$92,"&lt;0")-SUMIFS('Daftar Koreksi'!$H$5:$H$92,'Daftar Koreksi'!$D$5:$D$92,'0800'!A664,'Daftar Koreksi'!$G$5:$G$92,"Tanah",'Daftar Koreksi'!$H$5:$H$92,"&lt;0")-SUMIFS('Daftar Koreksi'!$H$5:$H$92,'Daftar Koreksi'!$D$5:$D$92,'0800'!A664,'Daftar Koreksi'!$G$5:$G$92,"Tanah",'Daftar Koreksi'!$H$5:$H$92,"&lt;0")</f>
        <v>0</v>
      </c>
      <c r="G668" s="17">
        <f t="shared" ref="G668:G684" si="30">D668+E668-F668</f>
        <v>2001129500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1463151421</v>
      </c>
      <c r="E669" s="25">
        <f>SUMIFS('Daftar Koreksi'!$H$5:$H$92,'Daftar Koreksi'!$D$5:$D$92,'0800'!A664,'Daftar Koreksi'!$G$5:$G$92,"Peralatan dan mesin",'Daftar Koreksi'!$H$5:$H$92,"&gt;0")</f>
        <v>0</v>
      </c>
      <c r="F669" s="25">
        <f>SUMIFS('Daftar Koreksi'!$H$5:$H$92,'Daftar Koreksi'!$D$5:$D$92,'0800'!A664,'Daftar Koreksi'!$G$5:$G$92,"Peralatan dan mesin",'Daftar Koreksi'!$H$5:$H$92,"&lt;0")-SUMIFS('Daftar Koreksi'!$H$5:$H$92,'Daftar Koreksi'!$D$5:$D$92,'0800'!A664,'Daftar Koreksi'!$G$5:$G$92,"Peralatan dan mesin",'Daftar Koreksi'!$H$5:$H$92,"&lt;0")-SUMIFS('Daftar Koreksi'!$H$5:$H$92,'Daftar Koreksi'!$D$5:$D$92,'0800'!A664,'Daftar Koreksi'!$G$5:$G$92,"Peralatan dan mesin",'Daftar Koreksi'!$H$5:$H$92,"&lt;0")</f>
        <v>0</v>
      </c>
      <c r="G669" s="17">
        <f t="shared" si="30"/>
        <v>1463151421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35677743</v>
      </c>
      <c r="E670" s="25">
        <f>SUMIFS('Daftar Koreksi'!$H$5:$H$92,'Daftar Koreksi'!$D$5:$D$92,'0800'!A664,'Daftar Koreksi'!$G$5:$G$92,"Gedung dan Bangunan",'Daftar Koreksi'!$H$5:$H$92,"&gt;0")</f>
        <v>0</v>
      </c>
      <c r="F670" s="25">
        <f>SUMIFS('Daftar Koreksi'!$H$5:$H$92,'Daftar Koreksi'!$D$5:$D$92,'0800'!A664,'Daftar Koreksi'!$G$5:$G$92,"Gedung dan Bangunan",'Daftar Koreksi'!$H$5:$H$92,"&lt;0")-SUMIFS('Daftar Koreksi'!$H$5:$H$92,'Daftar Koreksi'!$D$5:$D$92,'0800'!A664,'Daftar Koreksi'!$G$5:$G$92,"Gedung dan Bangunan",'Daftar Koreksi'!$H$5:$H$92,"&lt;0")-SUMIFS('Daftar Koreksi'!$H$5:$H$92,'Daftar Koreksi'!$D$5:$D$92,'0800'!A664,'Daftar Koreksi'!$G$5:$G$92,"Gedung dan Bangunan",'Daftar Koreksi'!$H$5:$H$92,"&lt;0")</f>
        <v>0</v>
      </c>
      <c r="G670" s="17">
        <f t="shared" si="30"/>
        <v>35677743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0</v>
      </c>
      <c r="E671" s="25">
        <f>SUMIFS('Daftar Koreksi'!$H$5:$H$92,'Daftar Koreksi'!$D$5:$D$92,'0800'!A664,'Daftar Koreksi'!$G$5:$G$92,"Jalan Irigasi Jaringan",'Daftar Koreksi'!$H$5:$H$92,"&gt;0")</f>
        <v>0</v>
      </c>
      <c r="F671" s="25">
        <f>SUMIFS('Daftar Koreksi'!$H$5:$H$92,'Daftar Koreksi'!$D$5:$D$92,'0800'!A664,'Daftar Koreksi'!$G$5:$G$92,"Jalan Irigasi Jaringan",'Daftar Koreksi'!$H$5:$H$92,"&lt;0")-SUMIFS('Daftar Koreksi'!$H$5:$H$92,'Daftar Koreksi'!$D$5:$D$92,'0800'!A664,'Daftar Koreksi'!$G$5:$G$92,"Jalan Irigasi Jaringan",'Daftar Koreksi'!$H$5:$H$92,"&lt;0")-SUMIFS('Daftar Koreksi'!$H$5:$H$92,'Daftar Koreksi'!$D$5:$D$92,'0800'!A664,'Daftar Koreksi'!$G$5:$G$92,"Jalan Irigasi Jaringan",'Daftar Koreksi'!$H$5:$H$92,"&lt;0")</f>
        <v>0</v>
      </c>
      <c r="G671" s="17">
        <f t="shared" si="30"/>
        <v>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15246068</v>
      </c>
      <c r="E672" s="25">
        <f>SUMIFS('Daftar Koreksi'!$H$5:$H$92,'Daftar Koreksi'!$D$5:$D$92,'0800'!A664,'Daftar Koreksi'!$G$5:$G$92,"Aset Tetap Lainnya",'Daftar Koreksi'!$H$5:$H$92,"&gt;0")</f>
        <v>0</v>
      </c>
      <c r="F672" s="25">
        <f>SUMIFS('Daftar Koreksi'!$H$5:$H$92,'Daftar Koreksi'!$D$5:$D$92,'0800'!A664,'Daftar Koreksi'!$G$5:$G$92,"Aset Tetap Lainnya",'Daftar Koreksi'!$H$5:$H$92,"&lt;0")-SUMIFS('Daftar Koreksi'!$H$5:$H$92,'Daftar Koreksi'!$D$5:$D$92,'0800'!A664,'Daftar Koreksi'!$G$5:$G$92,"Aset Tetap Lainnya",'Daftar Koreksi'!$H$5:$H$92,"&lt;0")-SUMIFS('Daftar Koreksi'!$H$5:$H$92,'Daftar Koreksi'!$D$5:$D$92,'0800'!A664,'Daftar Koreksi'!$G$5:$G$92,"Aset Tetap Lainnya",'Daftar Koreksi'!$H$5:$H$92,"&lt;0")</f>
        <v>0</v>
      </c>
      <c r="G672" s="17">
        <f t="shared" si="30"/>
        <v>15246068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6930286400</v>
      </c>
      <c r="E673" s="25">
        <f>SUMIFS('Daftar Koreksi'!$H$5:$H$92,'Daftar Koreksi'!$D$5:$D$92,'0800'!A664,'Daftar Koreksi'!$G$5:$G$92,"Kontruksi Dalam Pengerjaan",'Daftar Koreksi'!$H$5:$H$92,"&gt;0")</f>
        <v>0</v>
      </c>
      <c r="F673" s="25">
        <f>SUMIFS('Daftar Koreksi'!$H$5:$H$92,'Daftar Koreksi'!$D$5:$D$92,'0800'!A664,'Daftar Koreksi'!$G$5:$G$92,"Kontruksi Dalam Pengerjaan",'Daftar Koreksi'!$H$5:$H$92,"&lt;0")-SUMIFS('Daftar Koreksi'!$H$5:$H$92,'Daftar Koreksi'!$D$5:$D$92,'0800'!A664,'Daftar Koreksi'!$G$5:$G$92,"Kontruksi Dalam Pengerjaan",'Daftar Koreksi'!$H$5:$H$92,"&lt;0")-SUMIFS('Daftar Koreksi'!$H$5:$H$92,'Daftar Koreksi'!$D$5:$D$92,'0800'!A664,'Daftar Koreksi'!$G$5:$G$92,"Kontruksi Dalam Pengerjaan",'Daftar Koreksi'!$H$5:$H$92,"&lt;0")</f>
        <v>0</v>
      </c>
      <c r="G673" s="17">
        <f t="shared" si="30"/>
        <v>6930286400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0</v>
      </c>
      <c r="E674" s="25">
        <f>SUMIFS('Daftar Koreksi'!$H$5:$H$92,'Daftar Koreksi'!$D$5:$D$92,'0800'!A664,'Daftar Koreksi'!$G$5:$G$92,"Aset Tak Berwujud",'Daftar Koreksi'!$H$5:$H$92,"&gt;0")</f>
        <v>0</v>
      </c>
      <c r="F674" s="25">
        <f>SUMIFS('Daftar Koreksi'!$H$5:$H$92,'Daftar Koreksi'!$D$5:$D$92,'0800'!A664,'Daftar Koreksi'!$G$5:$G$92,"Aset Tak Berwujud",'Daftar Koreksi'!$H$5:$H$92,"&lt;0")-SUMIFS('Daftar Koreksi'!$H$5:$H$92,'Daftar Koreksi'!$D$5:$D$92,'0800'!A664,'Daftar Koreksi'!$G$5:$G$92,"Aset Tak Berwujud",'Daftar Koreksi'!$H$5:$H$92,"&lt;0")-SUMIFS('Daftar Koreksi'!$H$5:$H$92,'Daftar Koreksi'!$D$5:$D$92,'0800'!A664,'Daftar Koreksi'!$G$5:$G$92,"Aset Tak Berwujud",'Daftar Koreksi'!$H$5:$H$92,"&lt;0")</f>
        <v>0</v>
      </c>
      <c r="G674" s="17">
        <f t="shared" si="30"/>
        <v>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11615000</v>
      </c>
      <c r="E675" s="25">
        <f>SUMIFS('Daftar Koreksi'!$H$5:$H$92,'Daftar Koreksi'!$D$5:$D$92,'0800'!A664,'Daftar Koreksi'!$G$5:$G$92,"Aset Henti Guna",'Daftar Koreksi'!$H$5:$H$92,"&gt;0")</f>
        <v>0</v>
      </c>
      <c r="F675" s="25">
        <f>SUMIFS('Daftar Koreksi'!$H$5:$H$92,'Daftar Koreksi'!$D$5:$D$92,'0800'!A664,'Daftar Koreksi'!$G$5:$G$92,"Aset Henti Guna",'Daftar Koreksi'!$H$5:$H$92,"&lt;0")-SUMIFS('Daftar Koreksi'!$H$5:$H$92,'Daftar Koreksi'!$D$5:$D$92,'0800'!A664,'Daftar Koreksi'!$G$5:$G$92,"Aset Henti Guna",'Daftar Koreksi'!$H$5:$H$92,"&lt;0")-SUMIFS('Daftar Koreksi'!$H$5:$H$92,'Daftar Koreksi'!$D$5:$D$92,'0800'!A664,'Daftar Koreksi'!$G$5:$G$92,"Aset Henti Guna",'Daftar Koreksi'!$H$5:$H$92,"&lt;0")</f>
        <v>0</v>
      </c>
      <c r="G675" s="17">
        <f t="shared" si="30"/>
        <v>11615000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10457501132</v>
      </c>
      <c r="E676" s="19">
        <f>SUM(E667:E675)</f>
        <v>0</v>
      </c>
      <c r="F676" s="19">
        <f>SUM(F667:F675)</f>
        <v>0</v>
      </c>
      <c r="G676" s="19">
        <f t="shared" si="30"/>
        <v>10457501132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-1232809913</v>
      </c>
      <c r="E677" s="25">
        <f>SUMIFS('Daftar Koreksi'!$I$5:$I$92,'Daftar Koreksi'!$D$5:$D$92,'0800'!A664,'Daftar Koreksi'!$G$5:$G$92,"Peralatan dan mesin",'Daftar Koreksi'!$I$5:$I$92,"&gt;0")</f>
        <v>0</v>
      </c>
      <c r="F677" s="25">
        <f>SUMIFS('Daftar Koreksi'!$I$5:$I$92,'Daftar Koreksi'!$D$5:$D$92,'0800'!A664,'Daftar Koreksi'!$G$5:$G$92,"Peralatan dan mesin",'Daftar Koreksi'!$I$5:$I$92,"&lt;0")-SUMIFS('Daftar Koreksi'!$I$5:$I$92,'Daftar Koreksi'!$D$5:$D$92,'0800'!A664,'Daftar Koreksi'!$G$5:$G$92,"Peralatan dan mesin",'Daftar Koreksi'!$I$5:$I$92,"&lt;0")-SUMIFS('Daftar Koreksi'!$I$5:$I$92,'Daftar Koreksi'!$D$5:$D$92,'0800'!A664,'Daftar Koreksi'!$G$5:$G$92,"Peralatan dan mesin",'Daftar Koreksi'!$I$5:$I$92,"&lt;0")</f>
        <v>0</v>
      </c>
      <c r="G677" s="17">
        <f t="shared" si="30"/>
        <v>-1232809913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-4459719</v>
      </c>
      <c r="E678" s="25">
        <f>SUMIFS('Daftar Koreksi'!$I$5:$I$92,'Daftar Koreksi'!$D$5:$D$92,'0800'!A664,'Daftar Koreksi'!$G$5:$G$92,"Gedung dan Bangunan",'Daftar Koreksi'!$I$5:$I$92,"&gt;0")</f>
        <v>0</v>
      </c>
      <c r="F678" s="25">
        <f>SUMIFS('Daftar Koreksi'!$I$5:$I$92,'Daftar Koreksi'!$D$5:$D$92,'0800'!A664,'Daftar Koreksi'!$G$5:$G$92,"Gedung dan Bangunan",'Daftar Koreksi'!$I$5:$I$92,"&lt;0")-SUMIFS('Daftar Koreksi'!$I$5:$I$92,'Daftar Koreksi'!$D$5:$D$92,'0800'!A664,'Daftar Koreksi'!$G$5:$G$92,"Gedung dan Bangunan",'Daftar Koreksi'!$I$5:$I$92,"&lt;0")-SUMIFS('Daftar Koreksi'!$I$5:$I$92,'Daftar Koreksi'!$D$5:$D$92,'0800'!A664,'Daftar Koreksi'!$G$5:$G$92,"Gedung dan Bangunan",'Daftar Koreksi'!$I$5:$I$92,"&lt;0")</f>
        <v>0</v>
      </c>
      <c r="G678" s="17">
        <f t="shared" si="30"/>
        <v>-4459719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0</v>
      </c>
      <c r="E679" s="25">
        <f>SUMIFS('Daftar Koreksi'!$I$5:$I$92,'Daftar Koreksi'!$D$5:$D$92,'0800'!A664,'Daftar Koreksi'!$G$5:$G$92,"Jalan Irigasi Jaringan",'Daftar Koreksi'!$I$5:$I$92,"&gt;0")</f>
        <v>0</v>
      </c>
      <c r="F679" s="25">
        <f>SUMIFS('Daftar Koreksi'!$I$5:$I$92,'Daftar Koreksi'!$D$5:$D$92,'0800'!A664,'Daftar Koreksi'!$G$5:$G$92,"Jalan Irigasi Jaringan",'Daftar Koreksi'!$I$5:$I$92,"&lt;0")-SUMIFS('Daftar Koreksi'!$I$5:$I$92,'Daftar Koreksi'!$D$5:$D$92,'0800'!A664,'Daftar Koreksi'!$G$5:$G$92,"Jalan Irigasi Jaringan",'Daftar Koreksi'!$I$5:$I$92,"&lt;0")-SUMIFS('Daftar Koreksi'!$I$5:$I$92,'Daftar Koreksi'!$D$5:$D$92,'0800'!A664,'Daftar Koreksi'!$G$5:$G$92,"Jalan Irigasi Jaringan",'Daftar Koreksi'!$I$5:$I$92,"&lt;0")</f>
        <v>0</v>
      </c>
      <c r="G679" s="17">
        <f t="shared" si="30"/>
        <v>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Koreksi'!$D$5:$D$92,'0800'!A664,'Daftar Koreksi'!$G$5:$G$92,"Aset Tetap Lainnya",'Daftar Koreksi'!$I$5:$I$92,"&gt;0")</f>
        <v>0</v>
      </c>
      <c r="F680" s="25">
        <f>SUMIFS('Daftar Koreksi'!$I$5:$I$92,'Daftar Koreksi'!$D$5:$D$92,'0800'!A664,'Daftar Koreksi'!$G$5:$G$92,"Aset Tetap Lainnya",'Daftar Koreksi'!$I$5:$I$92,"&lt;0")-SUMIFS('Daftar Koreksi'!$I$5:$I$92,'Daftar Koreksi'!$D$5:$D$92,'0800'!A664,'Daftar Koreksi'!$G$5:$G$92,"Aset Tetap Lainnya",'Daftar Koreksi'!$I$5:$I$92,"&lt;0")-SUMIFS('Daftar Koreksi'!$I$5:$I$92,'Daftar Koreksi'!$D$5:$D$92,'0800'!A664,'Daftar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-11615000</v>
      </c>
      <c r="E681" s="25">
        <f>SUMIFS('Daftar Koreksi'!$I$5:$I$92,'Daftar Koreksi'!$D$5:$D$92,'0800'!A664,'Daftar Koreksi'!$G$5:$G$92,"Aset Henti Guna",'Daftar Koreksi'!$I$5:$I$92,"&gt;0")</f>
        <v>0</v>
      </c>
      <c r="F681" s="25">
        <f>SUMIFS('Daftar Koreksi'!$I$5:$I$92,'Daftar Koreksi'!$D$5:$D$92,'0800'!A664,'Daftar Koreksi'!$G$5:$G$92,"Aset Henti Guna",'Daftar Koreksi'!$I$5:$I$92,"&lt;0")-SUMIFS('Daftar Koreksi'!$I$5:$I$92,'Daftar Koreksi'!$D$5:$D$92,'0800'!A664,'Daftar Koreksi'!$G$5:$G$92,"Aset Henti Guna",'Daftar Koreksi'!$I$5:$I$92,"&lt;0")-SUMIFS('Daftar Koreksi'!$I$5:$I$92,'Daftar Koreksi'!$D$5:$D$92,'0800'!A664,'Daftar Koreksi'!$G$5:$G$92,"Aset Henti Guna",'Daftar Koreksi'!$I$5:$I$92,"&lt;0")</f>
        <v>0</v>
      </c>
      <c r="G681" s="17">
        <f t="shared" si="30"/>
        <v>-11615000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-1248884632</v>
      </c>
      <c r="E682" s="19">
        <f>SUM(E677:E681)</f>
        <v>0</v>
      </c>
      <c r="F682" s="19">
        <f>SUM(F677:F681)</f>
        <v>0</v>
      </c>
      <c r="G682" s="19">
        <f t="shared" si="30"/>
        <v>-1248884632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9208616500</v>
      </c>
      <c r="E683" s="19">
        <f>E682+E676</f>
        <v>0</v>
      </c>
      <c r="F683" s="19">
        <f>F682+F676</f>
        <v>0</v>
      </c>
      <c r="G683" s="19">
        <f t="shared" si="30"/>
        <v>9208616500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005010800402066000KD</v>
      </c>
      <c r="B686" s="11" t="str">
        <f>P32</f>
        <v>PA. Tanjung Pati</v>
      </c>
      <c r="C686" s="12" t="str">
        <f>A686&amp;" "&amp;B686</f>
        <v>005010800402066000KD PA. Tanjung Pati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4188307</v>
      </c>
      <c r="E689" s="25">
        <f>SUMIFS('Daftar Koreksi'!$H$5:$H$92,'Daftar Koreksi'!$D$5:$D$92,'0800'!A686,'Daftar Koreksi'!$G$5:$G$92,"Persediaan",'Daftar Koreksi'!$H$5:$H$92,"&gt;0")</f>
        <v>0</v>
      </c>
      <c r="F689" s="25">
        <f>SUMIFS('Daftar Koreksi'!$H$5:$H$92,'Daftar Koreksi'!$D$5:$D$92,'0800'!A686,'Daftar Koreksi'!$G$5:$G$92,"Persediaan",'Daftar Koreksi'!$H$5:$H$92,"&lt;0")-SUMIFS('Daftar Koreksi'!$H$5:$H$92,'Daftar Koreksi'!$D$5:$D$92,'0800'!A686,'Daftar Koreksi'!$G$5:$G$92,"Persediaan",'Daftar Koreksi'!$H$5:$H$92,"&lt;0")-SUMIFS('Daftar Koreksi'!$H$5:$H$92,'Daftar Koreksi'!$D$5:$D$92,'0800'!A686,'Daftar Koreksi'!$G$5:$G$92,"Persediaan",'Daftar Koreksi'!$H$5:$H$92,"&lt;0")</f>
        <v>0</v>
      </c>
      <c r="G689" s="17">
        <f>D689+E689-F689</f>
        <v>4188307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1286420600</v>
      </c>
      <c r="E690" s="25">
        <f>SUMIFS('Daftar Koreksi'!$H$5:$H$92,'Daftar Koreksi'!$D$5:$D$92,'0800'!A686,'Daftar Koreksi'!$G$5:$G$92,"Tanah",'Daftar Koreksi'!$H$5:$H$92,"&gt;0")</f>
        <v>0</v>
      </c>
      <c r="F690" s="25">
        <f>SUMIFS('Daftar Koreksi'!$H$5:$H$92,'Daftar Koreksi'!$D$5:$D$92,'0800'!A686,'Daftar Koreksi'!$G$5:$G$92,"Tanah",'Daftar Koreksi'!$H$5:$H$92,"&lt;0")-SUMIFS('Daftar Koreksi'!$H$5:$H$92,'Daftar Koreksi'!$D$5:$D$92,'0800'!A686,'Daftar Koreksi'!$G$5:$G$92,"Tanah",'Daftar Koreksi'!$H$5:$H$92,"&lt;0")-SUMIFS('Daftar Koreksi'!$H$5:$H$92,'Daftar Koreksi'!$D$5:$D$92,'0800'!A686,'Daftar Koreksi'!$G$5:$G$92,"Tanah",'Daftar Koreksi'!$H$5:$H$92,"&lt;0")</f>
        <v>0</v>
      </c>
      <c r="G690" s="17">
        <f t="shared" ref="G690:G706" si="31">D690+E690-F690</f>
        <v>1286420600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1479834178</v>
      </c>
      <c r="E691" s="25">
        <f>SUMIFS('Daftar Koreksi'!$H$5:$H$92,'Daftar Koreksi'!$D$5:$D$92,'0800'!A686,'Daftar Koreksi'!$G$5:$G$92,"Peralatan dan mesin",'Daftar Koreksi'!$H$5:$H$92,"&gt;0")</f>
        <v>0</v>
      </c>
      <c r="F691" s="25">
        <f>SUMIFS('Daftar Koreksi'!$H$5:$H$92,'Daftar Koreksi'!$D$5:$D$92,'0800'!A686,'Daftar Koreksi'!$G$5:$G$92,"Peralatan dan mesin",'Daftar Koreksi'!$H$5:$H$92,"&lt;0")-SUMIFS('Daftar Koreksi'!$H$5:$H$92,'Daftar Koreksi'!$D$5:$D$92,'0800'!A686,'Daftar Koreksi'!$G$5:$G$92,"Peralatan dan mesin",'Daftar Koreksi'!$H$5:$H$92,"&lt;0")-SUMIFS('Daftar Koreksi'!$H$5:$H$92,'Daftar Koreksi'!$D$5:$D$92,'0800'!A686,'Daftar Koreksi'!$G$5:$G$92,"Peralatan dan mesin",'Daftar Koreksi'!$H$5:$H$92,"&lt;0")</f>
        <v>0</v>
      </c>
      <c r="G691" s="17">
        <f t="shared" si="31"/>
        <v>1479834178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8393493745</v>
      </c>
      <c r="E692" s="25">
        <f>SUMIFS('Daftar Koreksi'!$H$5:$H$92,'Daftar Koreksi'!$D$5:$D$92,'0800'!A686,'Daftar Koreksi'!$G$5:$G$92,"Gedung dan Bangunan",'Daftar Koreksi'!$H$5:$H$92,"&gt;0")</f>
        <v>0</v>
      </c>
      <c r="F692" s="25">
        <f>SUMIFS('Daftar Koreksi'!$H$5:$H$92,'Daftar Koreksi'!$D$5:$D$92,'0800'!A686,'Daftar Koreksi'!$G$5:$G$92,"Gedung dan Bangunan",'Daftar Koreksi'!$H$5:$H$92,"&lt;0")-SUMIFS('Daftar Koreksi'!$H$5:$H$92,'Daftar Koreksi'!$D$5:$D$92,'0800'!A686,'Daftar Koreksi'!$G$5:$G$92,"Gedung dan Bangunan",'Daftar Koreksi'!$H$5:$H$92,"&lt;0")-SUMIFS('Daftar Koreksi'!$H$5:$H$92,'Daftar Koreksi'!$D$5:$D$92,'0800'!A686,'Daftar Koreksi'!$G$5:$G$92,"Gedung dan Bangunan",'Daftar Koreksi'!$H$5:$H$92,"&lt;0")</f>
        <v>0</v>
      </c>
      <c r="G692" s="17">
        <f t="shared" si="31"/>
        <v>8393493745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0</v>
      </c>
      <c r="E693" s="25">
        <f>SUMIFS('Daftar Koreksi'!$H$5:$H$92,'Daftar Koreksi'!$D$5:$D$92,'0800'!A686,'Daftar Koreksi'!$G$5:$G$92,"Jalan Irigasi Jaringan",'Daftar Koreksi'!$H$5:$H$92,"&gt;0")</f>
        <v>0</v>
      </c>
      <c r="F693" s="25">
        <f>SUMIFS('Daftar Koreksi'!$H$5:$H$92,'Daftar Koreksi'!$D$5:$D$92,'0800'!A686,'Daftar Koreksi'!$G$5:$G$92,"Jalan Irigasi Jaringan",'Daftar Koreksi'!$H$5:$H$92,"&lt;0")-SUMIFS('Daftar Koreksi'!$H$5:$H$92,'Daftar Koreksi'!$D$5:$D$92,'0800'!A686,'Daftar Koreksi'!$G$5:$G$92,"Jalan Irigasi Jaringan",'Daftar Koreksi'!$H$5:$H$92,"&lt;0")-SUMIFS('Daftar Koreksi'!$H$5:$H$92,'Daftar Koreksi'!$D$5:$D$92,'0800'!A686,'Daftar Koreksi'!$G$5:$G$92,"Jalan Irigasi Jaringan",'Daftar Koreksi'!$H$5:$H$92,"&lt;0")</f>
        <v>0</v>
      </c>
      <c r="G693" s="17">
        <f t="shared" si="31"/>
        <v>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5409137</v>
      </c>
      <c r="E694" s="25">
        <f>SUMIFS('Daftar Koreksi'!$H$5:$H$92,'Daftar Koreksi'!$D$5:$D$92,'0800'!A686,'Daftar Koreksi'!$G$5:$G$92,"Aset Tetap Lainnya",'Daftar Koreksi'!$H$5:$H$92,"&gt;0")</f>
        <v>0</v>
      </c>
      <c r="F694" s="25">
        <f>SUMIFS('Daftar Koreksi'!$H$5:$H$92,'Daftar Koreksi'!$D$5:$D$92,'0800'!A686,'Daftar Koreksi'!$G$5:$G$92,"Aset Tetap Lainnya",'Daftar Koreksi'!$H$5:$H$92,"&lt;0")-SUMIFS('Daftar Koreksi'!$H$5:$H$92,'Daftar Koreksi'!$D$5:$D$92,'0800'!A686,'Daftar Koreksi'!$G$5:$G$92,"Aset Tetap Lainnya",'Daftar Koreksi'!$H$5:$H$92,"&lt;0")-SUMIFS('Daftar Koreksi'!$H$5:$H$92,'Daftar Koreksi'!$D$5:$D$92,'0800'!A686,'Daftar Koreksi'!$G$5:$G$92,"Aset Tetap Lainnya",'Daftar Koreksi'!$H$5:$H$92,"&lt;0")</f>
        <v>0</v>
      </c>
      <c r="G694" s="17">
        <f t="shared" si="31"/>
        <v>5409137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Koreksi'!$D$5:$D$92,'0800'!A686,'Daftar Koreksi'!$G$5:$G$92,"Kontruksi Dalam Pengerjaan",'Daftar Koreksi'!$H$5:$H$92,"&gt;0")</f>
        <v>0</v>
      </c>
      <c r="F695" s="25">
        <f>SUMIFS('Daftar Koreksi'!$H$5:$H$92,'Daftar Koreksi'!$D$5:$D$92,'0800'!A686,'Daftar Koreksi'!$G$5:$G$92,"Kontruksi Dalam Pengerjaan",'Daftar Koreksi'!$H$5:$H$92,"&lt;0")-SUMIFS('Daftar Koreksi'!$H$5:$H$92,'Daftar Koreksi'!$D$5:$D$92,'0800'!A686,'Daftar Koreksi'!$G$5:$G$92,"Kontruksi Dalam Pengerjaan",'Daftar Koreksi'!$H$5:$H$92,"&lt;0")-SUMIFS('Daftar Koreksi'!$H$5:$H$92,'Daftar Koreksi'!$D$5:$D$92,'0800'!A686,'Daftar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Koreksi'!$D$5:$D$92,'0800'!A686,'Daftar Koreksi'!$G$5:$G$92,"Aset Tak Berwujud",'Daftar Koreksi'!$H$5:$H$92,"&gt;0")</f>
        <v>0</v>
      </c>
      <c r="F696" s="25">
        <f>SUMIFS('Daftar Koreksi'!$H$5:$H$92,'Daftar Koreksi'!$D$5:$D$92,'0800'!A686,'Daftar Koreksi'!$G$5:$G$92,"Aset Tak Berwujud",'Daftar Koreksi'!$H$5:$H$92,"&lt;0")-SUMIFS('Daftar Koreksi'!$H$5:$H$92,'Daftar Koreksi'!$D$5:$D$92,'0800'!A686,'Daftar Koreksi'!$G$5:$G$92,"Aset Tak Berwujud",'Daftar Koreksi'!$H$5:$H$92,"&lt;0")-SUMIFS('Daftar Koreksi'!$H$5:$H$92,'Daftar Koreksi'!$D$5:$D$92,'0800'!A686,'Daftar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1286000</v>
      </c>
      <c r="E697" s="25">
        <f>SUMIFS('Daftar Koreksi'!$H$5:$H$92,'Daftar Koreksi'!$D$5:$D$92,'0800'!A686,'Daftar Koreksi'!$G$5:$G$92,"Aset Henti Guna",'Daftar Koreksi'!$H$5:$H$92,"&gt;0")</f>
        <v>0</v>
      </c>
      <c r="F697" s="25">
        <f>SUMIFS('Daftar Koreksi'!$H$5:$H$92,'Daftar Koreksi'!$D$5:$D$92,'0800'!A686,'Daftar Koreksi'!$G$5:$G$92,"Aset Henti Guna",'Daftar Koreksi'!$H$5:$H$92,"&lt;0")-SUMIFS('Daftar Koreksi'!$H$5:$H$92,'Daftar Koreksi'!$D$5:$D$92,'0800'!A686,'Daftar Koreksi'!$G$5:$G$92,"Aset Henti Guna",'Daftar Koreksi'!$H$5:$H$92,"&lt;0")-SUMIFS('Daftar Koreksi'!$H$5:$H$92,'Daftar Koreksi'!$D$5:$D$92,'0800'!A686,'Daftar Koreksi'!$G$5:$G$92,"Aset Henti Guna",'Daftar Koreksi'!$H$5:$H$92,"&lt;0")</f>
        <v>0</v>
      </c>
      <c r="G697" s="17">
        <f t="shared" si="31"/>
        <v>1286000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11170631967</v>
      </c>
      <c r="E698" s="19">
        <f>SUM(E689:E697)</f>
        <v>0</v>
      </c>
      <c r="F698" s="19">
        <f>SUM(F689:F697)</f>
        <v>0</v>
      </c>
      <c r="G698" s="19">
        <f t="shared" si="31"/>
        <v>11170631967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-1032019248</v>
      </c>
      <c r="E699" s="25">
        <f>SUMIFS('Daftar Koreksi'!$I$5:$I$92,'Daftar Koreksi'!$D$5:$D$92,'0800'!A686,'Daftar Koreksi'!$G$5:$G$92,"Peralatan dan mesin",'Daftar Koreksi'!$I$5:$I$92,"&gt;0")</f>
        <v>0</v>
      </c>
      <c r="F699" s="25">
        <f>SUMIFS('Daftar Koreksi'!$I$5:$I$92,'Daftar Koreksi'!$D$5:$D$92,'0800'!A686,'Daftar Koreksi'!$G$5:$G$92,"Peralatan dan mesin",'Daftar Koreksi'!$I$5:$I$92,"&lt;0")-SUMIFS('Daftar Koreksi'!$I$5:$I$92,'Daftar Koreksi'!$D$5:$D$92,'0800'!A686,'Daftar Koreksi'!$G$5:$G$92,"Peralatan dan mesin",'Daftar Koreksi'!$I$5:$I$92,"&lt;0")-SUMIFS('Daftar Koreksi'!$I$5:$I$92,'Daftar Koreksi'!$D$5:$D$92,'0800'!A686,'Daftar Koreksi'!$G$5:$G$92,"Peralatan dan mesin",'Daftar Koreksi'!$I$5:$I$92,"&lt;0")</f>
        <v>0</v>
      </c>
      <c r="G699" s="17">
        <f t="shared" si="31"/>
        <v>-1032019248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-355873908</v>
      </c>
      <c r="E700" s="25">
        <f>SUMIFS('Daftar Koreksi'!$I$5:$I$92,'Daftar Koreksi'!$D$5:$D$92,'0800'!A686,'Daftar Koreksi'!$G$5:$G$92,"Gedung dan Bangunan",'Daftar Koreksi'!$I$5:$I$92,"&gt;0")</f>
        <v>0</v>
      </c>
      <c r="F700" s="25">
        <f>SUMIFS('Daftar Koreksi'!$I$5:$I$92,'Daftar Koreksi'!$D$5:$D$92,'0800'!A686,'Daftar Koreksi'!$G$5:$G$92,"Gedung dan Bangunan",'Daftar Koreksi'!$I$5:$I$92,"&lt;0")-SUMIFS('Daftar Koreksi'!$I$5:$I$92,'Daftar Koreksi'!$D$5:$D$92,'0800'!A686,'Daftar Koreksi'!$G$5:$G$92,"Gedung dan Bangunan",'Daftar Koreksi'!$I$5:$I$92,"&lt;0")-SUMIFS('Daftar Koreksi'!$I$5:$I$92,'Daftar Koreksi'!$D$5:$D$92,'0800'!A686,'Daftar Koreksi'!$G$5:$G$92,"Gedung dan Bangunan",'Daftar Koreksi'!$I$5:$I$92,"&lt;0")</f>
        <v>0</v>
      </c>
      <c r="G700" s="17">
        <f t="shared" si="31"/>
        <v>-355873908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0</v>
      </c>
      <c r="E701" s="25">
        <f>SUMIFS('Daftar Koreksi'!$I$5:$I$92,'Daftar Koreksi'!$D$5:$D$92,'0800'!A686,'Daftar Koreksi'!$G$5:$G$92,"Jalan Irigasi Jaringan",'Daftar Koreksi'!$I$5:$I$92,"&gt;0")</f>
        <v>0</v>
      </c>
      <c r="F701" s="25">
        <f>SUMIFS('Daftar Koreksi'!$I$5:$I$92,'Daftar Koreksi'!$D$5:$D$92,'0800'!A686,'Daftar Koreksi'!$G$5:$G$92,"Jalan Irigasi Jaringan",'Daftar Koreksi'!$I$5:$I$92,"&lt;0")-SUMIFS('Daftar Koreksi'!$I$5:$I$92,'Daftar Koreksi'!$D$5:$D$92,'0800'!A686,'Daftar Koreksi'!$G$5:$G$92,"Jalan Irigasi Jaringan",'Daftar Koreksi'!$I$5:$I$92,"&lt;0")-SUMIFS('Daftar Koreksi'!$I$5:$I$92,'Daftar Koreksi'!$D$5:$D$92,'0800'!A686,'Daftar Koreksi'!$G$5:$G$92,"Jalan Irigasi Jaringan",'Daftar Koreksi'!$I$5:$I$92,"&lt;0")</f>
        <v>0</v>
      </c>
      <c r="G701" s="17">
        <f t="shared" si="31"/>
        <v>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Koreksi'!$D$5:$D$92,'0800'!A686,'Daftar Koreksi'!$G$5:$G$92,"Aset Tetap Lainnya",'Daftar Koreksi'!$I$5:$I$92,"&gt;0")</f>
        <v>0</v>
      </c>
      <c r="F702" s="25">
        <f>SUMIFS('Daftar Koreksi'!$I$5:$I$92,'Daftar Koreksi'!$D$5:$D$92,'0800'!A686,'Daftar Koreksi'!$G$5:$G$92,"Aset Tetap Lainnya",'Daftar Koreksi'!$I$5:$I$92,"&lt;0")-SUMIFS('Daftar Koreksi'!$I$5:$I$92,'Daftar Koreksi'!$D$5:$D$92,'0800'!A686,'Daftar Koreksi'!$G$5:$G$92,"Aset Tetap Lainnya",'Daftar Koreksi'!$I$5:$I$92,"&lt;0")-SUMIFS('Daftar Koreksi'!$I$5:$I$92,'Daftar Koreksi'!$D$5:$D$92,'0800'!A686,'Daftar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-1246000</v>
      </c>
      <c r="E703" s="25">
        <f>SUMIFS('Daftar Koreksi'!$I$5:$I$92,'Daftar Koreksi'!$D$5:$D$92,'0800'!A686,'Daftar Koreksi'!$G$5:$G$92,"Aset Henti Guna",'Daftar Koreksi'!$I$5:$I$92,"&gt;0")</f>
        <v>0</v>
      </c>
      <c r="F703" s="25">
        <f>SUMIFS('Daftar Koreksi'!$I$5:$I$92,'Daftar Koreksi'!$D$5:$D$92,'0800'!A686,'Daftar Koreksi'!$G$5:$G$92,"Aset Henti Guna",'Daftar Koreksi'!$I$5:$I$92,"&lt;0")-SUMIFS('Daftar Koreksi'!$I$5:$I$92,'Daftar Koreksi'!$D$5:$D$92,'0800'!A686,'Daftar Koreksi'!$G$5:$G$92,"Aset Henti Guna",'Daftar Koreksi'!$I$5:$I$92,"&lt;0")-SUMIFS('Daftar Koreksi'!$I$5:$I$92,'Daftar Koreksi'!$D$5:$D$92,'0800'!A686,'Daftar Koreksi'!$G$5:$G$92,"Aset Henti Guna",'Daftar Koreksi'!$I$5:$I$92,"&lt;0")</f>
        <v>0</v>
      </c>
      <c r="G703" s="17">
        <f t="shared" si="31"/>
        <v>-1246000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-1389139156</v>
      </c>
      <c r="E704" s="19">
        <f>SUM(E699:E703)</f>
        <v>0</v>
      </c>
      <c r="F704" s="19">
        <f>SUM(F699:F703)</f>
        <v>0</v>
      </c>
      <c r="G704" s="19">
        <f t="shared" si="31"/>
        <v>-1389139156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9781492811</v>
      </c>
      <c r="E705" s="19">
        <f>E704+E698</f>
        <v>0</v>
      </c>
      <c r="F705" s="19">
        <f>F704+F698</f>
        <v>0</v>
      </c>
      <c r="G705" s="19">
        <f t="shared" si="31"/>
        <v>9781492811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005010800402613000KD</v>
      </c>
      <c r="B708" s="11" t="str">
        <f>P33</f>
        <v>PA. Lubuk Basung</v>
      </c>
      <c r="C708" s="12" t="str">
        <f>A708&amp;" "&amp;B708</f>
        <v>005010800402613000KD PA. Lubuk Basung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4442078</v>
      </c>
      <c r="E711" s="25">
        <f>SUMIFS('Daftar Koreksi'!$H$5:$H$92,'Daftar Koreksi'!$D$5:$D$92,'0800'!A708,'Daftar Koreksi'!$G$5:$G$92,"Persediaan",'Daftar Koreksi'!$H$5:$H$92,"&gt;0")</f>
        <v>0</v>
      </c>
      <c r="F711" s="25">
        <f>SUMIFS('Daftar Koreksi'!$H$5:$H$92,'Daftar Koreksi'!$D$5:$D$92,'0800'!A708,'Daftar Koreksi'!$G$5:$G$92,"Persediaan",'Daftar Koreksi'!$H$5:$H$92,"&lt;0")-SUMIFS('Daftar Koreksi'!$H$5:$H$92,'Daftar Koreksi'!$D$5:$D$92,'0800'!A708,'Daftar Koreksi'!$G$5:$G$92,"Persediaan",'Daftar Koreksi'!$H$5:$H$92,"&lt;0")-SUMIFS('Daftar Koreksi'!$H$5:$H$92,'Daftar Koreksi'!$D$5:$D$92,'0800'!A708,'Daftar Koreksi'!$G$5:$G$92,"Persediaan",'Daftar Koreksi'!$H$5:$H$92,"&lt;0")</f>
        <v>0</v>
      </c>
      <c r="G711" s="17">
        <f>D711+E711-F711</f>
        <v>4442078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1213800000</v>
      </c>
      <c r="E712" s="25">
        <f>SUMIFS('Daftar Koreksi'!$H$5:$H$92,'Daftar Koreksi'!$D$5:$D$92,'0800'!A708,'Daftar Koreksi'!$G$5:$G$92,"Tanah",'Daftar Koreksi'!$H$5:$H$92,"&gt;0")</f>
        <v>0</v>
      </c>
      <c r="F712" s="25">
        <f>SUMIFS('Daftar Koreksi'!$H$5:$H$92,'Daftar Koreksi'!$D$5:$D$92,'0800'!A708,'Daftar Koreksi'!$G$5:$G$92,"Tanah",'Daftar Koreksi'!$H$5:$H$92,"&lt;0")-SUMIFS('Daftar Koreksi'!$H$5:$H$92,'Daftar Koreksi'!$D$5:$D$92,'0800'!A708,'Daftar Koreksi'!$G$5:$G$92,"Tanah",'Daftar Koreksi'!$H$5:$H$92,"&lt;0")-SUMIFS('Daftar Koreksi'!$H$5:$H$92,'Daftar Koreksi'!$D$5:$D$92,'0800'!A708,'Daftar Koreksi'!$G$5:$G$92,"Tanah",'Daftar Koreksi'!$H$5:$H$92,"&lt;0")</f>
        <v>0</v>
      </c>
      <c r="G712" s="17">
        <f t="shared" ref="G712:G728" si="32">D712+E712-F712</f>
        <v>1213800000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1239572000</v>
      </c>
      <c r="E713" s="25">
        <f>SUMIFS('Daftar Koreksi'!$H$5:$H$92,'Daftar Koreksi'!$D$5:$D$92,'0800'!A708,'Daftar Koreksi'!$G$5:$G$92,"Peralatan dan mesin",'Daftar Koreksi'!$H$5:$H$92,"&gt;0")</f>
        <v>0</v>
      </c>
      <c r="F713" s="25">
        <f>SUMIFS('Daftar Koreksi'!$H$5:$H$92,'Daftar Koreksi'!$D$5:$D$92,'0800'!A708,'Daftar Koreksi'!$G$5:$G$92,"Peralatan dan mesin",'Daftar Koreksi'!$H$5:$H$92,"&lt;0")-SUMIFS('Daftar Koreksi'!$H$5:$H$92,'Daftar Koreksi'!$D$5:$D$92,'0800'!A708,'Daftar Koreksi'!$G$5:$G$92,"Peralatan dan mesin",'Daftar Koreksi'!$H$5:$H$92,"&lt;0")-SUMIFS('Daftar Koreksi'!$H$5:$H$92,'Daftar Koreksi'!$D$5:$D$92,'0800'!A708,'Daftar Koreksi'!$G$5:$G$92,"Peralatan dan mesin",'Daftar Koreksi'!$H$5:$H$92,"&lt;0")</f>
        <v>0</v>
      </c>
      <c r="G713" s="17">
        <f t="shared" si="32"/>
        <v>1239572000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5682155545</v>
      </c>
      <c r="E714" s="25">
        <f>SUMIFS('Daftar Koreksi'!$H$5:$H$92,'Daftar Koreksi'!$D$5:$D$92,'0800'!A708,'Daftar Koreksi'!$G$5:$G$92,"Gedung dan Bangunan",'Daftar Koreksi'!$H$5:$H$92,"&gt;0")</f>
        <v>0</v>
      </c>
      <c r="F714" s="25">
        <f>SUMIFS('Daftar Koreksi'!$H$5:$H$92,'Daftar Koreksi'!$D$5:$D$92,'0800'!A708,'Daftar Koreksi'!$G$5:$G$92,"Gedung dan Bangunan",'Daftar Koreksi'!$H$5:$H$92,"&lt;0")-SUMIFS('Daftar Koreksi'!$H$5:$H$92,'Daftar Koreksi'!$D$5:$D$92,'0800'!A708,'Daftar Koreksi'!$G$5:$G$92,"Gedung dan Bangunan",'Daftar Koreksi'!$H$5:$H$92,"&lt;0")-SUMIFS('Daftar Koreksi'!$H$5:$H$92,'Daftar Koreksi'!$D$5:$D$92,'0800'!A708,'Daftar Koreksi'!$G$5:$G$92,"Gedung dan Bangunan",'Daftar Koreksi'!$H$5:$H$92,"&lt;0")</f>
        <v>0</v>
      </c>
      <c r="G714" s="17">
        <f t="shared" si="32"/>
        <v>5682155545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0</v>
      </c>
      <c r="E715" s="25">
        <f>SUMIFS('Daftar Koreksi'!$H$5:$H$92,'Daftar Koreksi'!$D$5:$D$92,'0800'!A708,'Daftar Koreksi'!$G$5:$G$92,"Jalan Irigasi Jaringan",'Daftar Koreksi'!$H$5:$H$92,"&gt;0")</f>
        <v>0</v>
      </c>
      <c r="F715" s="25">
        <f>SUMIFS('Daftar Koreksi'!$H$5:$H$92,'Daftar Koreksi'!$D$5:$D$92,'0800'!A708,'Daftar Koreksi'!$G$5:$G$92,"Jalan Irigasi Jaringan",'Daftar Koreksi'!$H$5:$H$92,"&lt;0")-SUMIFS('Daftar Koreksi'!$H$5:$H$92,'Daftar Koreksi'!$D$5:$D$92,'0800'!A708,'Daftar Koreksi'!$G$5:$G$92,"Jalan Irigasi Jaringan",'Daftar Koreksi'!$H$5:$H$92,"&lt;0")-SUMIFS('Daftar Koreksi'!$H$5:$H$92,'Daftar Koreksi'!$D$5:$D$92,'0800'!A708,'Daftar Koreksi'!$G$5:$G$92,"Jalan Irigasi Jaringan",'Daftar Koreksi'!$H$5:$H$92,"&lt;0")</f>
        <v>0</v>
      </c>
      <c r="G715" s="17">
        <f t="shared" si="32"/>
        <v>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25562340</v>
      </c>
      <c r="E716" s="25">
        <f>SUMIFS('Daftar Koreksi'!$H$5:$H$92,'Daftar Koreksi'!$D$5:$D$92,'0800'!A708,'Daftar Koreksi'!$G$5:$G$92,"Aset Tetap Lainnya",'Daftar Koreksi'!$H$5:$H$92,"&gt;0")</f>
        <v>0</v>
      </c>
      <c r="F716" s="25">
        <f>SUMIFS('Daftar Koreksi'!$H$5:$H$92,'Daftar Koreksi'!$D$5:$D$92,'0800'!A708,'Daftar Koreksi'!$G$5:$G$92,"Aset Tetap Lainnya",'Daftar Koreksi'!$H$5:$H$92,"&lt;0")-SUMIFS('Daftar Koreksi'!$H$5:$H$92,'Daftar Koreksi'!$D$5:$D$92,'0800'!A708,'Daftar Koreksi'!$G$5:$G$92,"Aset Tetap Lainnya",'Daftar Koreksi'!$H$5:$H$92,"&lt;0")-SUMIFS('Daftar Koreksi'!$H$5:$H$92,'Daftar Koreksi'!$D$5:$D$92,'0800'!A708,'Daftar Koreksi'!$G$5:$G$92,"Aset Tetap Lainnya",'Daftar Koreksi'!$H$5:$H$92,"&lt;0")</f>
        <v>0</v>
      </c>
      <c r="G716" s="17">
        <f t="shared" si="32"/>
        <v>25562340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Koreksi'!$D$5:$D$92,'0800'!A708,'Daftar Koreksi'!$G$5:$G$92,"Kontruksi Dalam Pengerjaan",'Daftar Koreksi'!$H$5:$H$92,"&gt;0")</f>
        <v>0</v>
      </c>
      <c r="F717" s="25">
        <f>SUMIFS('Daftar Koreksi'!$H$5:$H$92,'Daftar Koreksi'!$D$5:$D$92,'0800'!A708,'Daftar Koreksi'!$G$5:$G$92,"Kontruksi Dalam Pengerjaan",'Daftar Koreksi'!$H$5:$H$92,"&lt;0")-SUMIFS('Daftar Koreksi'!$H$5:$H$92,'Daftar Koreksi'!$D$5:$D$92,'0800'!A708,'Daftar Koreksi'!$G$5:$G$92,"Kontruksi Dalam Pengerjaan",'Daftar Koreksi'!$H$5:$H$92,"&lt;0")-SUMIFS('Daftar Koreksi'!$H$5:$H$92,'Daftar Koreksi'!$D$5:$D$92,'0800'!A708,'Daftar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Koreksi'!$D$5:$D$92,'0800'!A708,'Daftar Koreksi'!$G$5:$G$92,"Aset Tak Berwujud",'Daftar Koreksi'!$H$5:$H$92,"&gt;0")</f>
        <v>0</v>
      </c>
      <c r="F718" s="25">
        <f>SUMIFS('Daftar Koreksi'!$H$5:$H$92,'Daftar Koreksi'!$D$5:$D$92,'0800'!A708,'Daftar Koreksi'!$G$5:$G$92,"Aset Tak Berwujud",'Daftar Koreksi'!$H$5:$H$92,"&lt;0")-SUMIFS('Daftar Koreksi'!$H$5:$H$92,'Daftar Koreksi'!$D$5:$D$92,'0800'!A708,'Daftar Koreksi'!$G$5:$G$92,"Aset Tak Berwujud",'Daftar Koreksi'!$H$5:$H$92,"&lt;0")-SUMIFS('Daftar Koreksi'!$H$5:$H$92,'Daftar Koreksi'!$D$5:$D$92,'0800'!A708,'Daftar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0</v>
      </c>
      <c r="E719" s="25">
        <f>SUMIFS('Daftar Koreksi'!$H$5:$H$92,'Daftar Koreksi'!$D$5:$D$92,'0800'!A708,'Daftar Koreksi'!$G$5:$G$92,"Aset Henti Guna",'Daftar Koreksi'!$H$5:$H$92,"&gt;0")</f>
        <v>0</v>
      </c>
      <c r="F719" s="25">
        <f>SUMIFS('Daftar Koreksi'!$H$5:$H$92,'Daftar Koreksi'!$D$5:$D$92,'0800'!A708,'Daftar Koreksi'!$G$5:$G$92,"Aset Henti Guna",'Daftar Koreksi'!$H$5:$H$92,"&lt;0")-SUMIFS('Daftar Koreksi'!$H$5:$H$92,'Daftar Koreksi'!$D$5:$D$92,'0800'!A708,'Daftar Koreksi'!$G$5:$G$92,"Aset Henti Guna",'Daftar Koreksi'!$H$5:$H$92,"&lt;0")-SUMIFS('Daftar Koreksi'!$H$5:$H$92,'Daftar Koreksi'!$D$5:$D$92,'0800'!A708,'Daftar Koreksi'!$G$5:$G$92,"Aset Henti Guna",'Daftar Koreksi'!$H$5:$H$92,"&lt;0")</f>
        <v>0</v>
      </c>
      <c r="G719" s="17">
        <f t="shared" si="32"/>
        <v>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8165531963</v>
      </c>
      <c r="E720" s="19">
        <f>SUM(E711:E719)</f>
        <v>0</v>
      </c>
      <c r="F720" s="19">
        <f>SUM(F711:F719)</f>
        <v>0</v>
      </c>
      <c r="G720" s="19">
        <f t="shared" si="32"/>
        <v>8165531963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-1108637725</v>
      </c>
      <c r="E721" s="25">
        <f>SUMIFS('Daftar Koreksi'!$I$5:$I$92,'Daftar Koreksi'!$D$5:$D$92,'0800'!A708,'Daftar Koreksi'!$G$5:$G$92,"Peralatan dan mesin",'Daftar Koreksi'!$I$5:$I$92,"&gt;0")</f>
        <v>0</v>
      </c>
      <c r="F721" s="25">
        <f>SUMIFS('Daftar Koreksi'!$I$5:$I$92,'Daftar Koreksi'!$D$5:$D$92,'0800'!A708,'Daftar Koreksi'!$G$5:$G$92,"Peralatan dan mesin",'Daftar Koreksi'!$I$5:$I$92,"&lt;0")-SUMIFS('Daftar Koreksi'!$I$5:$I$92,'Daftar Koreksi'!$D$5:$D$92,'0800'!A708,'Daftar Koreksi'!$G$5:$G$92,"Peralatan dan mesin",'Daftar Koreksi'!$I$5:$I$92,"&lt;0")-SUMIFS('Daftar Koreksi'!$I$5:$I$92,'Daftar Koreksi'!$D$5:$D$92,'0800'!A708,'Daftar Koreksi'!$G$5:$G$92,"Peralatan dan mesin",'Daftar Koreksi'!$I$5:$I$92,"&lt;0")</f>
        <v>0</v>
      </c>
      <c r="G721" s="17">
        <f t="shared" si="32"/>
        <v>-1108637725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-622428777</v>
      </c>
      <c r="E722" s="25">
        <f>SUMIFS('Daftar Koreksi'!$I$5:$I$92,'Daftar Koreksi'!$D$5:$D$92,'0800'!A708,'Daftar Koreksi'!$G$5:$G$92,"Gedung dan Bangunan",'Daftar Koreksi'!$I$5:$I$92,"&gt;0")</f>
        <v>0</v>
      </c>
      <c r="F722" s="25">
        <f>SUMIFS('Daftar Koreksi'!$I$5:$I$92,'Daftar Koreksi'!$D$5:$D$92,'0800'!A708,'Daftar Koreksi'!$G$5:$G$92,"Gedung dan Bangunan",'Daftar Koreksi'!$I$5:$I$92,"&lt;0")-SUMIFS('Daftar Koreksi'!$I$5:$I$92,'Daftar Koreksi'!$D$5:$D$92,'0800'!A708,'Daftar Koreksi'!$G$5:$G$92,"Gedung dan Bangunan",'Daftar Koreksi'!$I$5:$I$92,"&lt;0")-SUMIFS('Daftar Koreksi'!$I$5:$I$92,'Daftar Koreksi'!$D$5:$D$92,'0800'!A708,'Daftar Koreksi'!$G$5:$G$92,"Gedung dan Bangunan",'Daftar Koreksi'!$I$5:$I$92,"&lt;0")</f>
        <v>0</v>
      </c>
      <c r="G722" s="17">
        <f t="shared" si="32"/>
        <v>-622428777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0</v>
      </c>
      <c r="E723" s="25">
        <f>SUMIFS('Daftar Koreksi'!$I$5:$I$92,'Daftar Koreksi'!$D$5:$D$92,'0800'!A708,'Daftar Koreksi'!$G$5:$G$92,"Jalan Irigasi Jaringan",'Daftar Koreksi'!$I$5:$I$92,"&gt;0")</f>
        <v>0</v>
      </c>
      <c r="F723" s="25">
        <f>SUMIFS('Daftar Koreksi'!$I$5:$I$92,'Daftar Koreksi'!$D$5:$D$92,'0800'!A708,'Daftar Koreksi'!$G$5:$G$92,"Jalan Irigasi Jaringan",'Daftar Koreksi'!$I$5:$I$92,"&lt;0")-SUMIFS('Daftar Koreksi'!$I$5:$I$92,'Daftar Koreksi'!$D$5:$D$92,'0800'!A708,'Daftar Koreksi'!$G$5:$G$92,"Jalan Irigasi Jaringan",'Daftar Koreksi'!$I$5:$I$92,"&lt;0")-SUMIFS('Daftar Koreksi'!$I$5:$I$92,'Daftar Koreksi'!$D$5:$D$92,'0800'!A708,'Daftar Koreksi'!$G$5:$G$92,"Jalan Irigasi Jaringan",'Daftar Koreksi'!$I$5:$I$92,"&lt;0")</f>
        <v>0</v>
      </c>
      <c r="G723" s="17">
        <f t="shared" si="32"/>
        <v>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Koreksi'!$D$5:$D$92,'0800'!A708,'Daftar Koreksi'!$G$5:$G$92,"Aset Tetap Lainnya",'Daftar Koreksi'!$I$5:$I$92,"&gt;0")</f>
        <v>0</v>
      </c>
      <c r="F724" s="25">
        <f>SUMIFS('Daftar Koreksi'!$I$5:$I$92,'Daftar Koreksi'!$D$5:$D$92,'0800'!A708,'Daftar Koreksi'!$G$5:$G$92,"Aset Tetap Lainnya",'Daftar Koreksi'!$I$5:$I$92,"&lt;0")-SUMIFS('Daftar Koreksi'!$I$5:$I$92,'Daftar Koreksi'!$D$5:$D$92,'0800'!A708,'Daftar Koreksi'!$G$5:$G$92,"Aset Tetap Lainnya",'Daftar Koreksi'!$I$5:$I$92,"&lt;0")-SUMIFS('Daftar Koreksi'!$I$5:$I$92,'Daftar Koreksi'!$D$5:$D$92,'0800'!A708,'Daftar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0</v>
      </c>
      <c r="E725" s="25">
        <f>SUMIFS('Daftar Koreksi'!$I$5:$I$92,'Daftar Koreksi'!$D$5:$D$92,'0800'!A708,'Daftar Koreksi'!$G$5:$G$92,"Aset Henti Guna",'Daftar Koreksi'!$I$5:$I$92,"&gt;0")</f>
        <v>0</v>
      </c>
      <c r="F725" s="25">
        <f>SUMIFS('Daftar Koreksi'!$I$5:$I$92,'Daftar Koreksi'!$D$5:$D$92,'0800'!A708,'Daftar Koreksi'!$G$5:$G$92,"Aset Henti Guna",'Daftar Koreksi'!$I$5:$I$92,"&lt;0")-SUMIFS('Daftar Koreksi'!$I$5:$I$92,'Daftar Koreksi'!$D$5:$D$92,'0800'!A708,'Daftar Koreksi'!$G$5:$G$92,"Aset Henti Guna",'Daftar Koreksi'!$I$5:$I$92,"&lt;0")-SUMIFS('Daftar Koreksi'!$I$5:$I$92,'Daftar Koreksi'!$D$5:$D$92,'0800'!A708,'Daftar Koreksi'!$G$5:$G$92,"Aset Henti Guna",'Daftar Koreksi'!$I$5:$I$92,"&lt;0")</f>
        <v>0</v>
      </c>
      <c r="G725" s="17">
        <f t="shared" si="32"/>
        <v>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-1731066502</v>
      </c>
      <c r="E726" s="19">
        <f>SUM(E721:E725)</f>
        <v>0</v>
      </c>
      <c r="F726" s="19">
        <f>SUM(F721:F725)</f>
        <v>0</v>
      </c>
      <c r="G726" s="19">
        <f t="shared" si="32"/>
        <v>-1731066502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6434465461</v>
      </c>
      <c r="E727" s="19">
        <f>E726+E720</f>
        <v>0</v>
      </c>
      <c r="F727" s="19">
        <f>F726+F720</f>
        <v>0</v>
      </c>
      <c r="G727" s="19">
        <f t="shared" si="32"/>
        <v>6434465461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005010800477352000KD</v>
      </c>
      <c r="B730" s="11" t="str">
        <f>P34</f>
        <v>PN. Pasaman Barat.</v>
      </c>
      <c r="C730" s="12" t="str">
        <f>A730&amp;" "&amp;B730</f>
        <v>005010800477352000KD PN. Pasaman Barat.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682500</v>
      </c>
      <c r="E733" s="25">
        <f>SUMIFS('Daftar Koreksi'!$H$5:$H$92,'Daftar Koreksi'!$D$5:$D$92,'0800'!A730,'Daftar Koreksi'!$G$5:$G$92,"Persediaan",'Daftar Koreksi'!$H$5:$H$92,"&gt;0")</f>
        <v>0</v>
      </c>
      <c r="F733" s="25">
        <f>SUMIFS('Daftar Koreksi'!$H$5:$H$92,'Daftar Koreksi'!$D$5:$D$92,'0800'!A730,'Daftar Koreksi'!$G$5:$G$92,"Persediaan",'Daftar Koreksi'!$H$5:$H$92,"&lt;0")-SUMIFS('Daftar Koreksi'!$H$5:$H$92,'Daftar Koreksi'!$D$5:$D$92,'0800'!A730,'Daftar Koreksi'!$G$5:$G$92,"Persediaan",'Daftar Koreksi'!$H$5:$H$92,"&lt;0")-SUMIFS('Daftar Koreksi'!$H$5:$H$92,'Daftar Koreksi'!$D$5:$D$92,'0800'!A730,'Daftar Koreksi'!$G$5:$G$92,"Persediaan",'Daftar Koreksi'!$H$5:$H$92,"&lt;0")</f>
        <v>0</v>
      </c>
      <c r="G733" s="17">
        <f>D733+E733-F733</f>
        <v>682500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936300000</v>
      </c>
      <c r="E734" s="25">
        <f>SUMIFS('Daftar Koreksi'!$H$5:$H$92,'Daftar Koreksi'!$D$5:$D$92,'0800'!A730,'Daftar Koreksi'!$G$5:$G$92,"Tanah",'Daftar Koreksi'!$H$5:$H$92,"&gt;0")</f>
        <v>0</v>
      </c>
      <c r="F734" s="25">
        <f>SUMIFS('Daftar Koreksi'!$H$5:$H$92,'Daftar Koreksi'!$D$5:$D$92,'0800'!A730,'Daftar Koreksi'!$G$5:$G$92,"Tanah",'Daftar Koreksi'!$H$5:$H$92,"&lt;0")-SUMIFS('Daftar Koreksi'!$H$5:$H$92,'Daftar Koreksi'!$D$5:$D$92,'0800'!A730,'Daftar Koreksi'!$G$5:$G$92,"Tanah",'Daftar Koreksi'!$H$5:$H$92,"&lt;0")-SUMIFS('Daftar Koreksi'!$H$5:$H$92,'Daftar Koreksi'!$D$5:$D$92,'0800'!A730,'Daftar Koreksi'!$G$5:$G$92,"Tanah",'Daftar Koreksi'!$H$5:$H$92,"&lt;0")</f>
        <v>0</v>
      </c>
      <c r="G734" s="17">
        <f t="shared" ref="G734:G750" si="33">D734+E734-F734</f>
        <v>936300000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1739464128</v>
      </c>
      <c r="E735" s="25">
        <f>SUMIFS('Daftar Koreksi'!$H$5:$H$92,'Daftar Koreksi'!$D$5:$D$92,'0800'!A730,'Daftar Koreksi'!$G$5:$G$92,"Peralatan dan mesin",'Daftar Koreksi'!$H$5:$H$92,"&gt;0")</f>
        <v>0</v>
      </c>
      <c r="F735" s="25">
        <f>SUMIFS('Daftar Koreksi'!$H$5:$H$92,'Daftar Koreksi'!$D$5:$D$92,'0800'!A730,'Daftar Koreksi'!$G$5:$G$92,"Peralatan dan mesin",'Daftar Koreksi'!$H$5:$H$92,"&lt;0")-SUMIFS('Daftar Koreksi'!$H$5:$H$92,'Daftar Koreksi'!$D$5:$D$92,'0800'!A730,'Daftar Koreksi'!$G$5:$G$92,"Peralatan dan mesin",'Daftar Koreksi'!$H$5:$H$92,"&lt;0")-SUMIFS('Daftar Koreksi'!$H$5:$H$92,'Daftar Koreksi'!$D$5:$D$92,'0800'!A730,'Daftar Koreksi'!$G$5:$G$92,"Peralatan dan mesin",'Daftar Koreksi'!$H$5:$H$92,"&lt;0")</f>
        <v>0</v>
      </c>
      <c r="G735" s="17">
        <f t="shared" si="33"/>
        <v>1739464128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7031704499</v>
      </c>
      <c r="E736" s="25">
        <f>SUMIFS('Daftar Koreksi'!$H$5:$H$92,'Daftar Koreksi'!$D$5:$D$92,'0800'!A730,'Daftar Koreksi'!$G$5:$G$92,"Gedung dan Bangunan",'Daftar Koreksi'!$H$5:$H$92,"&gt;0")</f>
        <v>0</v>
      </c>
      <c r="F736" s="25">
        <f>SUMIFS('Daftar Koreksi'!$H$5:$H$92,'Daftar Koreksi'!$D$5:$D$92,'0800'!A730,'Daftar Koreksi'!$G$5:$G$92,"Gedung dan Bangunan",'Daftar Koreksi'!$H$5:$H$92,"&lt;0")-SUMIFS('Daftar Koreksi'!$H$5:$H$92,'Daftar Koreksi'!$D$5:$D$92,'0800'!A730,'Daftar Koreksi'!$G$5:$G$92,"Gedung dan Bangunan",'Daftar Koreksi'!$H$5:$H$92,"&lt;0")-SUMIFS('Daftar Koreksi'!$H$5:$H$92,'Daftar Koreksi'!$D$5:$D$92,'0800'!A730,'Daftar Koreksi'!$G$5:$G$92,"Gedung dan Bangunan",'Daftar Koreksi'!$H$5:$H$92,"&lt;0")</f>
        <v>0</v>
      </c>
      <c r="G736" s="17">
        <f t="shared" si="33"/>
        <v>7031704499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216829950</v>
      </c>
      <c r="E737" s="25">
        <f>SUMIFS('Daftar Koreksi'!$H$5:$H$92,'Daftar Koreksi'!$D$5:$D$92,'0800'!A730,'Daftar Koreksi'!$G$5:$G$92,"Jalan Irigasi Jaringan",'Daftar Koreksi'!$H$5:$H$92,"&gt;0")</f>
        <v>0</v>
      </c>
      <c r="F737" s="25">
        <f>SUMIFS('Daftar Koreksi'!$H$5:$H$92,'Daftar Koreksi'!$D$5:$D$92,'0800'!A730,'Daftar Koreksi'!$G$5:$G$92,"Jalan Irigasi Jaringan",'Daftar Koreksi'!$H$5:$H$92,"&lt;0")-SUMIFS('Daftar Koreksi'!$H$5:$H$92,'Daftar Koreksi'!$D$5:$D$92,'0800'!A730,'Daftar Koreksi'!$G$5:$G$92,"Jalan Irigasi Jaringan",'Daftar Koreksi'!$H$5:$H$92,"&lt;0")-SUMIFS('Daftar Koreksi'!$H$5:$H$92,'Daftar Koreksi'!$D$5:$D$92,'0800'!A730,'Daftar Koreksi'!$G$5:$G$92,"Jalan Irigasi Jaringan",'Daftar Koreksi'!$H$5:$H$92,"&lt;0")</f>
        <v>0</v>
      </c>
      <c r="G737" s="17">
        <f t="shared" si="33"/>
        <v>216829950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1943440</v>
      </c>
      <c r="E738" s="25">
        <f>SUMIFS('Daftar Koreksi'!$H$5:$H$92,'Daftar Koreksi'!$D$5:$D$92,'0800'!A730,'Daftar Koreksi'!$G$5:$G$92,"Aset Tetap Lainnya",'Daftar Koreksi'!$H$5:$H$92,"&gt;0")</f>
        <v>0</v>
      </c>
      <c r="F738" s="25">
        <f>SUMIFS('Daftar Koreksi'!$H$5:$H$92,'Daftar Koreksi'!$D$5:$D$92,'0800'!A730,'Daftar Koreksi'!$G$5:$G$92,"Aset Tetap Lainnya",'Daftar Koreksi'!$H$5:$H$92,"&lt;0")-SUMIFS('Daftar Koreksi'!$H$5:$H$92,'Daftar Koreksi'!$D$5:$D$92,'0800'!A730,'Daftar Koreksi'!$G$5:$G$92,"Aset Tetap Lainnya",'Daftar Koreksi'!$H$5:$H$92,"&lt;0")-SUMIFS('Daftar Koreksi'!$H$5:$H$92,'Daftar Koreksi'!$D$5:$D$92,'0800'!A730,'Daftar Koreksi'!$G$5:$G$92,"Aset Tetap Lainnya",'Daftar Koreksi'!$H$5:$H$92,"&lt;0")</f>
        <v>0</v>
      </c>
      <c r="G738" s="17">
        <f t="shared" si="33"/>
        <v>1943440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Koreksi'!$D$5:$D$92,'0800'!A730,'Daftar Koreksi'!$G$5:$G$92,"Kontruksi Dalam Pengerjaan",'Daftar Koreksi'!$H$5:$H$92,"&gt;0")</f>
        <v>0</v>
      </c>
      <c r="F739" s="25">
        <f>SUMIFS('Daftar Koreksi'!$H$5:$H$92,'Daftar Koreksi'!$D$5:$D$92,'0800'!A730,'Daftar Koreksi'!$G$5:$G$92,"Kontruksi Dalam Pengerjaan",'Daftar Koreksi'!$H$5:$H$92,"&lt;0")-SUMIFS('Daftar Koreksi'!$H$5:$H$92,'Daftar Koreksi'!$D$5:$D$92,'0800'!A730,'Daftar Koreksi'!$G$5:$G$92,"Kontruksi Dalam Pengerjaan",'Daftar Koreksi'!$H$5:$H$92,"&lt;0")-SUMIFS('Daftar Koreksi'!$H$5:$H$92,'Daftar Koreksi'!$D$5:$D$92,'0800'!A730,'Daftar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25000000</v>
      </c>
      <c r="E740" s="25">
        <f>SUMIFS('Daftar Koreksi'!$H$5:$H$92,'Daftar Koreksi'!$D$5:$D$92,'0800'!A730,'Daftar Koreksi'!$G$5:$G$92,"Aset Tak Berwujud",'Daftar Koreksi'!$H$5:$H$92,"&gt;0")</f>
        <v>0</v>
      </c>
      <c r="F740" s="25">
        <f>SUMIFS('Daftar Koreksi'!$H$5:$H$92,'Daftar Koreksi'!$D$5:$D$92,'0800'!A730,'Daftar Koreksi'!$G$5:$G$92,"Aset Tak Berwujud",'Daftar Koreksi'!$H$5:$H$92,"&lt;0")-SUMIFS('Daftar Koreksi'!$H$5:$H$92,'Daftar Koreksi'!$D$5:$D$92,'0800'!A730,'Daftar Koreksi'!$G$5:$G$92,"Aset Tak Berwujud",'Daftar Koreksi'!$H$5:$H$92,"&lt;0")-SUMIFS('Daftar Koreksi'!$H$5:$H$92,'Daftar Koreksi'!$D$5:$D$92,'0800'!A730,'Daftar Koreksi'!$G$5:$G$92,"Aset Tak Berwujud",'Daftar Koreksi'!$H$5:$H$92,"&lt;0")</f>
        <v>0</v>
      </c>
      <c r="G740" s="17">
        <f t="shared" si="33"/>
        <v>25000000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36245000</v>
      </c>
      <c r="E741" s="25">
        <f>SUMIFS('Daftar Koreksi'!$H$5:$H$92,'Daftar Koreksi'!$D$5:$D$92,'0800'!A730,'Daftar Koreksi'!$G$5:$G$92,"Aset Henti Guna",'Daftar Koreksi'!$H$5:$H$92,"&gt;0")</f>
        <v>0</v>
      </c>
      <c r="F741" s="25">
        <f>SUMIFS('Daftar Koreksi'!$H$5:$H$92,'Daftar Koreksi'!$D$5:$D$92,'0800'!A730,'Daftar Koreksi'!$G$5:$G$92,"Aset Henti Guna",'Daftar Koreksi'!$H$5:$H$92,"&lt;0")-SUMIFS('Daftar Koreksi'!$H$5:$H$92,'Daftar Koreksi'!$D$5:$D$92,'0800'!A730,'Daftar Koreksi'!$G$5:$G$92,"Aset Henti Guna",'Daftar Koreksi'!$H$5:$H$92,"&lt;0")-SUMIFS('Daftar Koreksi'!$H$5:$H$92,'Daftar Koreksi'!$D$5:$D$92,'0800'!A730,'Daftar Koreksi'!$G$5:$G$92,"Aset Henti Guna",'Daftar Koreksi'!$H$5:$H$92,"&lt;0")</f>
        <v>0</v>
      </c>
      <c r="G741" s="17">
        <f t="shared" si="33"/>
        <v>36245000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9988169517</v>
      </c>
      <c r="E742" s="19">
        <f>SUM(E733:E741)</f>
        <v>0</v>
      </c>
      <c r="F742" s="19">
        <f>SUM(F733:F741)</f>
        <v>0</v>
      </c>
      <c r="G742" s="19">
        <f t="shared" si="33"/>
        <v>9988169517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-1447863146</v>
      </c>
      <c r="E743" s="25">
        <f>SUMIFS('Daftar Koreksi'!$I$5:$I$92,'Daftar Koreksi'!$D$5:$D$92,'0800'!A730,'Daftar Koreksi'!$G$5:$G$92,"Peralatan dan mesin",'Daftar Koreksi'!$I$5:$I$92,"&gt;0")</f>
        <v>0</v>
      </c>
      <c r="F743" s="25">
        <f>SUMIFS('Daftar Koreksi'!$I$5:$I$92,'Daftar Koreksi'!$D$5:$D$92,'0800'!A730,'Daftar Koreksi'!$G$5:$G$92,"Peralatan dan mesin",'Daftar Koreksi'!$I$5:$I$92,"&lt;0")-SUMIFS('Daftar Koreksi'!$I$5:$I$92,'Daftar Koreksi'!$D$5:$D$92,'0800'!A730,'Daftar Koreksi'!$G$5:$G$92,"Peralatan dan mesin",'Daftar Koreksi'!$I$5:$I$92,"&lt;0")-SUMIFS('Daftar Koreksi'!$I$5:$I$92,'Daftar Koreksi'!$D$5:$D$92,'0800'!A730,'Daftar Koreksi'!$G$5:$G$92,"Peralatan dan mesin",'Daftar Koreksi'!$I$5:$I$92,"&lt;0")</f>
        <v>0</v>
      </c>
      <c r="G743" s="17">
        <f t="shared" si="33"/>
        <v>-1447863146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-854252285</v>
      </c>
      <c r="E744" s="25">
        <f>SUMIFS('Daftar Koreksi'!$I$5:$I$92,'Daftar Koreksi'!$D$5:$D$92,'0800'!A730,'Daftar Koreksi'!$G$5:$G$92,"Gedung dan Bangunan",'Daftar Koreksi'!$I$5:$I$92,"&gt;0")</f>
        <v>0</v>
      </c>
      <c r="F744" s="25">
        <f>SUMIFS('Daftar Koreksi'!$I$5:$I$92,'Daftar Koreksi'!$D$5:$D$92,'0800'!A730,'Daftar Koreksi'!$G$5:$G$92,"Gedung dan Bangunan",'Daftar Koreksi'!$I$5:$I$92,"&lt;0")-SUMIFS('Daftar Koreksi'!$I$5:$I$92,'Daftar Koreksi'!$D$5:$D$92,'0800'!A730,'Daftar Koreksi'!$G$5:$G$92,"Gedung dan Bangunan",'Daftar Koreksi'!$I$5:$I$92,"&lt;0")-SUMIFS('Daftar Koreksi'!$I$5:$I$92,'Daftar Koreksi'!$D$5:$D$92,'0800'!A730,'Daftar Koreksi'!$G$5:$G$92,"Gedung dan Bangunan",'Daftar Koreksi'!$I$5:$I$92,"&lt;0")</f>
        <v>0</v>
      </c>
      <c r="G744" s="17">
        <f t="shared" si="33"/>
        <v>-854252285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-36658615</v>
      </c>
      <c r="E745" s="25">
        <f>SUMIFS('Daftar Koreksi'!$I$5:$I$92,'Daftar Koreksi'!$D$5:$D$92,'0800'!A730,'Daftar Koreksi'!$G$5:$G$92,"Jalan Irigasi Jaringan",'Daftar Koreksi'!$I$5:$I$92,"&gt;0")</f>
        <v>0</v>
      </c>
      <c r="F745" s="25">
        <f>SUMIFS('Daftar Koreksi'!$I$5:$I$92,'Daftar Koreksi'!$D$5:$D$92,'0800'!A730,'Daftar Koreksi'!$G$5:$G$92,"Jalan Irigasi Jaringan",'Daftar Koreksi'!$I$5:$I$92,"&lt;0")-SUMIFS('Daftar Koreksi'!$I$5:$I$92,'Daftar Koreksi'!$D$5:$D$92,'0800'!A730,'Daftar Koreksi'!$G$5:$G$92,"Jalan Irigasi Jaringan",'Daftar Koreksi'!$I$5:$I$92,"&lt;0")-SUMIFS('Daftar Koreksi'!$I$5:$I$92,'Daftar Koreksi'!$D$5:$D$92,'0800'!A730,'Daftar Koreksi'!$G$5:$G$92,"Jalan Irigasi Jaringan",'Daftar Koreksi'!$I$5:$I$92,"&lt;0")</f>
        <v>0</v>
      </c>
      <c r="G745" s="17">
        <f t="shared" si="33"/>
        <v>-36658615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Koreksi'!$D$5:$D$92,'0800'!A730,'Daftar Koreksi'!$G$5:$G$92,"Aset Tetap Lainnya",'Daftar Koreksi'!$I$5:$I$92,"&gt;0")</f>
        <v>0</v>
      </c>
      <c r="F746" s="25">
        <f>SUMIFS('Daftar Koreksi'!$I$5:$I$92,'Daftar Koreksi'!$D$5:$D$92,'0800'!A730,'Daftar Koreksi'!$G$5:$G$92,"Aset Tetap Lainnya",'Daftar Koreksi'!$I$5:$I$92,"&lt;0")-SUMIFS('Daftar Koreksi'!$I$5:$I$92,'Daftar Koreksi'!$D$5:$D$92,'0800'!A730,'Daftar Koreksi'!$G$5:$G$92,"Aset Tetap Lainnya",'Daftar Koreksi'!$I$5:$I$92,"&lt;0")-SUMIFS('Daftar Koreksi'!$I$5:$I$92,'Daftar Koreksi'!$D$5:$D$92,'0800'!A730,'Daftar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-36245000</v>
      </c>
      <c r="E747" s="25">
        <f>SUMIFS('Daftar Koreksi'!$I$5:$I$92,'Daftar Koreksi'!$D$5:$D$92,'0800'!A730,'Daftar Koreksi'!$G$5:$G$92,"Aset Henti Guna",'Daftar Koreksi'!$I$5:$I$92,"&gt;0")</f>
        <v>0</v>
      </c>
      <c r="F747" s="25">
        <f>SUMIFS('Daftar Koreksi'!$I$5:$I$92,'Daftar Koreksi'!$D$5:$D$92,'0800'!A730,'Daftar Koreksi'!$G$5:$G$92,"Aset Henti Guna",'Daftar Koreksi'!$I$5:$I$92,"&lt;0")-SUMIFS('Daftar Koreksi'!$I$5:$I$92,'Daftar Koreksi'!$D$5:$D$92,'0800'!A730,'Daftar Koreksi'!$G$5:$G$92,"Aset Henti Guna",'Daftar Koreksi'!$I$5:$I$92,"&lt;0")-SUMIFS('Daftar Koreksi'!$I$5:$I$92,'Daftar Koreksi'!$D$5:$D$92,'0800'!A730,'Daftar Koreksi'!$G$5:$G$92,"Aset Henti Guna",'Daftar Koreksi'!$I$5:$I$92,"&lt;0")</f>
        <v>0</v>
      </c>
      <c r="G747" s="17">
        <f t="shared" si="33"/>
        <v>-36245000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-2375019046</v>
      </c>
      <c r="E748" s="19">
        <f>SUM(E743:E747)</f>
        <v>0</v>
      </c>
      <c r="F748" s="19">
        <f>SUM(F743:F747)</f>
        <v>0</v>
      </c>
      <c r="G748" s="19">
        <f t="shared" si="33"/>
        <v>-2375019046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7613150471</v>
      </c>
      <c r="E749" s="19">
        <f>E748+E742</f>
        <v>0</v>
      </c>
      <c r="F749" s="19">
        <f>F748+F742</f>
        <v>0</v>
      </c>
      <c r="G749" s="19">
        <f t="shared" si="33"/>
        <v>7613150471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005010800531844000KD</v>
      </c>
      <c r="B752" s="11" t="str">
        <f>P35</f>
        <v>PTUN. Padang</v>
      </c>
      <c r="C752" s="12" t="str">
        <f>A752&amp;" "&amp;B752</f>
        <v>005010800531844000KD PTUN. Padang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2981200</v>
      </c>
      <c r="E755" s="25">
        <f>SUMIFS('Daftar Koreksi'!$H$5:$H$92,'Daftar Koreksi'!$D$5:$D$92,'0800'!A752,'Daftar Koreksi'!$G$5:$G$92,"Persediaan",'Daftar Koreksi'!$H$5:$H$92,"&gt;0")</f>
        <v>0</v>
      </c>
      <c r="F755" s="25">
        <f>SUMIFS('Daftar Koreksi'!$H$5:$H$92,'Daftar Koreksi'!$D$5:$D$92,'0800'!A752,'Daftar Koreksi'!$G$5:$G$92,"Persediaan",'Daftar Koreksi'!$H$5:$H$92,"&lt;0")-SUMIFS('Daftar Koreksi'!$H$5:$H$92,'Daftar Koreksi'!$D$5:$D$92,'0800'!A752,'Daftar Koreksi'!$G$5:$G$92,"Persediaan",'Daftar Koreksi'!$H$5:$H$92,"&lt;0")-SUMIFS('Daftar Koreksi'!$H$5:$H$92,'Daftar Koreksi'!$D$5:$D$92,'0800'!A752,'Daftar Koreksi'!$G$5:$G$92,"Persediaan",'Daftar Koreksi'!$H$5:$H$92,"&lt;0")</f>
        <v>0</v>
      </c>
      <c r="G755" s="17">
        <f>D755+E755-F755</f>
        <v>2981200</v>
      </c>
      <c r="H755" s="121" t="str">
        <f>IF(ISNA(VLOOKUP(A752,'Mutasi Neraca'!$A$3:$S$914,19,FALSE)),"-",VLOOKUP(A752,'Mutasi Neraca'!$A$3:$S$914,19,FALSE))</f>
        <v>-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13275812500</v>
      </c>
      <c r="E756" s="25">
        <f>SUMIFS('Daftar Koreksi'!$H$5:$H$92,'Daftar Koreksi'!$D$5:$D$92,'0800'!A752,'Daftar Koreksi'!$G$5:$G$92,"Tanah",'Daftar Koreksi'!$H$5:$H$92,"&gt;0")</f>
        <v>0</v>
      </c>
      <c r="F756" s="25">
        <f>SUMIFS('Daftar Koreksi'!$H$5:$H$92,'Daftar Koreksi'!$D$5:$D$92,'0800'!A752,'Daftar Koreksi'!$G$5:$G$92,"Tanah",'Daftar Koreksi'!$H$5:$H$92,"&lt;0")-SUMIFS('Daftar Koreksi'!$H$5:$H$92,'Daftar Koreksi'!$D$5:$D$92,'0800'!A752,'Daftar Koreksi'!$G$5:$G$92,"Tanah",'Daftar Koreksi'!$H$5:$H$92,"&lt;0")-SUMIFS('Daftar Koreksi'!$H$5:$H$92,'Daftar Koreksi'!$D$5:$D$92,'0800'!A752,'Daftar Koreksi'!$G$5:$G$92,"Tanah",'Daftar Koreksi'!$H$5:$H$92,"&lt;0")</f>
        <v>0</v>
      </c>
      <c r="G756" s="17">
        <f t="shared" ref="G756:G772" si="34">D756+E756-F756</f>
        <v>13275812500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1740899188</v>
      </c>
      <c r="E757" s="25">
        <f>SUMIFS('Daftar Koreksi'!$H$5:$H$92,'Daftar Koreksi'!$D$5:$D$92,'0800'!A752,'Daftar Koreksi'!$G$5:$G$92,"Peralatan dan mesin",'Daftar Koreksi'!$H$5:$H$92,"&gt;0")</f>
        <v>0</v>
      </c>
      <c r="F757" s="25">
        <f>SUMIFS('Daftar Koreksi'!$H$5:$H$92,'Daftar Koreksi'!$D$5:$D$92,'0800'!A752,'Daftar Koreksi'!$G$5:$G$92,"Peralatan dan mesin",'Daftar Koreksi'!$H$5:$H$92,"&lt;0")-SUMIFS('Daftar Koreksi'!$H$5:$H$92,'Daftar Koreksi'!$D$5:$D$92,'0800'!A752,'Daftar Koreksi'!$G$5:$G$92,"Peralatan dan mesin",'Daftar Koreksi'!$H$5:$H$92,"&lt;0")-SUMIFS('Daftar Koreksi'!$H$5:$H$92,'Daftar Koreksi'!$D$5:$D$92,'0800'!A752,'Daftar Koreksi'!$G$5:$G$92,"Peralatan dan mesin",'Daftar Koreksi'!$H$5:$H$92,"&lt;0")</f>
        <v>0</v>
      </c>
      <c r="G757" s="17">
        <f t="shared" si="34"/>
        <v>1740899188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7478739594</v>
      </c>
      <c r="E758" s="25">
        <f>SUMIFS('Daftar Koreksi'!$H$5:$H$92,'Daftar Koreksi'!$D$5:$D$92,'0800'!A752,'Daftar Koreksi'!$G$5:$G$92,"Gedung dan Bangunan",'Daftar Koreksi'!$H$5:$H$92,"&gt;0")</f>
        <v>0</v>
      </c>
      <c r="F758" s="25">
        <f>SUMIFS('Daftar Koreksi'!$H$5:$H$92,'Daftar Koreksi'!$D$5:$D$92,'0800'!A752,'Daftar Koreksi'!$G$5:$G$92,"Gedung dan Bangunan",'Daftar Koreksi'!$H$5:$H$92,"&lt;0")-SUMIFS('Daftar Koreksi'!$H$5:$H$92,'Daftar Koreksi'!$D$5:$D$92,'0800'!A752,'Daftar Koreksi'!$G$5:$G$92,"Gedung dan Bangunan",'Daftar Koreksi'!$H$5:$H$92,"&lt;0")-SUMIFS('Daftar Koreksi'!$H$5:$H$92,'Daftar Koreksi'!$D$5:$D$92,'0800'!A752,'Daftar Koreksi'!$G$5:$G$92,"Gedung dan Bangunan",'Daftar Koreksi'!$H$5:$H$92,"&lt;0")</f>
        <v>0</v>
      </c>
      <c r="G758" s="17">
        <f t="shared" si="34"/>
        <v>7478739594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0</v>
      </c>
      <c r="E759" s="25">
        <f>SUMIFS('Daftar Koreksi'!$H$5:$H$92,'Daftar Koreksi'!$D$5:$D$92,'0800'!A752,'Daftar Koreksi'!$G$5:$G$92,"Jalan Irigasi Jaringan",'Daftar Koreksi'!$H$5:$H$92,"&gt;0")</f>
        <v>0</v>
      </c>
      <c r="F759" s="25">
        <f>SUMIFS('Daftar Koreksi'!$H$5:$H$92,'Daftar Koreksi'!$D$5:$D$92,'0800'!A752,'Daftar Koreksi'!$G$5:$G$92,"Jalan Irigasi Jaringan",'Daftar Koreksi'!$H$5:$H$92,"&lt;0")-SUMIFS('Daftar Koreksi'!$H$5:$H$92,'Daftar Koreksi'!$D$5:$D$92,'0800'!A752,'Daftar Koreksi'!$G$5:$G$92,"Jalan Irigasi Jaringan",'Daftar Koreksi'!$H$5:$H$92,"&lt;0")-SUMIFS('Daftar Koreksi'!$H$5:$H$92,'Daftar Koreksi'!$D$5:$D$92,'0800'!A752,'Daftar Koreksi'!$G$5:$G$92,"Jalan Irigasi Jaringan",'Daftar Koreksi'!$H$5:$H$92,"&lt;0")</f>
        <v>0</v>
      </c>
      <c r="G759" s="17">
        <f t="shared" si="34"/>
        <v>0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2637275</v>
      </c>
      <c r="E760" s="25">
        <f>SUMIFS('Daftar Koreksi'!$H$5:$H$92,'Daftar Koreksi'!$D$5:$D$92,'0800'!A752,'Daftar Koreksi'!$G$5:$G$92,"Aset Tetap Lainnya",'Daftar Koreksi'!$H$5:$H$92,"&gt;0")</f>
        <v>0</v>
      </c>
      <c r="F760" s="25">
        <f>SUMIFS('Daftar Koreksi'!$H$5:$H$92,'Daftar Koreksi'!$D$5:$D$92,'0800'!A752,'Daftar Koreksi'!$G$5:$G$92,"Aset Tetap Lainnya",'Daftar Koreksi'!$H$5:$H$92,"&lt;0")-SUMIFS('Daftar Koreksi'!$H$5:$H$92,'Daftar Koreksi'!$D$5:$D$92,'0800'!A752,'Daftar Koreksi'!$G$5:$G$92,"Aset Tetap Lainnya",'Daftar Koreksi'!$H$5:$H$92,"&lt;0")-SUMIFS('Daftar Koreksi'!$H$5:$H$92,'Daftar Koreksi'!$D$5:$D$92,'0800'!A752,'Daftar Koreksi'!$G$5:$G$92,"Aset Tetap Lainnya",'Daftar Koreksi'!$H$5:$H$92,"&lt;0")</f>
        <v>0</v>
      </c>
      <c r="G760" s="17">
        <f t="shared" si="34"/>
        <v>2637275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Koreksi'!$D$5:$D$92,'0800'!A752,'Daftar Koreksi'!$G$5:$G$92,"Kontruksi Dalam Pengerjaan",'Daftar Koreksi'!$H$5:$H$92,"&gt;0")</f>
        <v>0</v>
      </c>
      <c r="F761" s="25">
        <f>SUMIFS('Daftar Koreksi'!$H$5:$H$92,'Daftar Koreksi'!$D$5:$D$92,'0800'!A752,'Daftar Koreksi'!$G$5:$G$92,"Kontruksi Dalam Pengerjaan",'Daftar Koreksi'!$H$5:$H$92,"&lt;0")-SUMIFS('Daftar Koreksi'!$H$5:$H$92,'Daftar Koreksi'!$D$5:$D$92,'0800'!A752,'Daftar Koreksi'!$G$5:$G$92,"Kontruksi Dalam Pengerjaan",'Daftar Koreksi'!$H$5:$H$92,"&lt;0")-SUMIFS('Daftar Koreksi'!$H$5:$H$92,'Daftar Koreksi'!$D$5:$D$92,'0800'!A752,'Daftar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68750000</v>
      </c>
      <c r="E762" s="25">
        <f>SUMIFS('Daftar Koreksi'!$H$5:$H$92,'Daftar Koreksi'!$D$5:$D$92,'0800'!A752,'Daftar Koreksi'!$G$5:$G$92,"Aset Tak Berwujud",'Daftar Koreksi'!$H$5:$H$92,"&gt;0")</f>
        <v>0</v>
      </c>
      <c r="F762" s="25">
        <f>SUMIFS('Daftar Koreksi'!$H$5:$H$92,'Daftar Koreksi'!$D$5:$D$92,'0800'!A752,'Daftar Koreksi'!$G$5:$G$92,"Aset Tak Berwujud",'Daftar Koreksi'!$H$5:$H$92,"&lt;0")-SUMIFS('Daftar Koreksi'!$H$5:$H$92,'Daftar Koreksi'!$D$5:$D$92,'0800'!A752,'Daftar Koreksi'!$G$5:$G$92,"Aset Tak Berwujud",'Daftar Koreksi'!$H$5:$H$92,"&lt;0")-SUMIFS('Daftar Koreksi'!$H$5:$H$92,'Daftar Koreksi'!$D$5:$D$92,'0800'!A752,'Daftar Koreksi'!$G$5:$G$92,"Aset Tak Berwujud",'Daftar Koreksi'!$H$5:$H$92,"&lt;0")</f>
        <v>0</v>
      </c>
      <c r="G762" s="17">
        <f t="shared" si="34"/>
        <v>68750000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0</v>
      </c>
      <c r="E763" s="25">
        <f>SUMIFS('Daftar Koreksi'!$H$5:$H$92,'Daftar Koreksi'!$D$5:$D$92,'0800'!A752,'Daftar Koreksi'!$G$5:$G$92,"Aset Henti Guna",'Daftar Koreksi'!$H$5:$H$92,"&gt;0")</f>
        <v>0</v>
      </c>
      <c r="F763" s="25">
        <f>SUMIFS('Daftar Koreksi'!$H$5:$H$92,'Daftar Koreksi'!$D$5:$D$92,'0800'!A752,'Daftar Koreksi'!$G$5:$G$92,"Aset Henti Guna",'Daftar Koreksi'!$H$5:$H$92,"&lt;0")-SUMIFS('Daftar Koreksi'!$H$5:$H$92,'Daftar Koreksi'!$D$5:$D$92,'0800'!A752,'Daftar Koreksi'!$G$5:$G$92,"Aset Henti Guna",'Daftar Koreksi'!$H$5:$H$92,"&lt;0")-SUMIFS('Daftar Koreksi'!$H$5:$H$92,'Daftar Koreksi'!$D$5:$D$92,'0800'!A752,'Daftar Koreksi'!$G$5:$G$92,"Aset Henti Guna",'Daftar Koreksi'!$H$5:$H$92,"&lt;0")</f>
        <v>0</v>
      </c>
      <c r="G763" s="17">
        <f t="shared" si="34"/>
        <v>0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22569819757</v>
      </c>
      <c r="E764" s="19">
        <f>SUM(E755:E763)</f>
        <v>0</v>
      </c>
      <c r="F764" s="19">
        <f>SUM(F755:F763)</f>
        <v>0</v>
      </c>
      <c r="G764" s="19">
        <f t="shared" si="34"/>
        <v>22569819757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-1491287418</v>
      </c>
      <c r="E765" s="25">
        <f>SUMIFS('Daftar Koreksi'!$I$5:$I$92,'Daftar Koreksi'!$D$5:$D$92,'0800'!A752,'Daftar Koreksi'!$G$5:$G$92,"Peralatan dan mesin",'Daftar Koreksi'!$I$5:$I$92,"&gt;0")</f>
        <v>0</v>
      </c>
      <c r="F765" s="25">
        <f>SUMIFS('Daftar Koreksi'!$I$5:$I$92,'Daftar Koreksi'!$D$5:$D$92,'0800'!A752,'Daftar Koreksi'!$G$5:$G$92,"Peralatan dan mesin",'Daftar Koreksi'!$I$5:$I$92,"&lt;0")-SUMIFS('Daftar Koreksi'!$I$5:$I$92,'Daftar Koreksi'!$D$5:$D$92,'0800'!A752,'Daftar Koreksi'!$G$5:$G$92,"Peralatan dan mesin",'Daftar Koreksi'!$I$5:$I$92,"&lt;0")-SUMIFS('Daftar Koreksi'!$I$5:$I$92,'Daftar Koreksi'!$D$5:$D$92,'0800'!A752,'Daftar Koreksi'!$G$5:$G$92,"Peralatan dan mesin",'Daftar Koreksi'!$I$5:$I$92,"&lt;0")</f>
        <v>0</v>
      </c>
      <c r="G765" s="17">
        <f t="shared" si="34"/>
        <v>-1491287418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-3468318844</v>
      </c>
      <c r="E766" s="25">
        <f>SUMIFS('Daftar Koreksi'!$I$5:$I$92,'Daftar Koreksi'!$D$5:$D$92,'0800'!A752,'Daftar Koreksi'!$G$5:$G$92,"Gedung dan Bangunan",'Daftar Koreksi'!$I$5:$I$92,"&gt;0")</f>
        <v>0</v>
      </c>
      <c r="F766" s="25">
        <f>SUMIFS('Daftar Koreksi'!$I$5:$I$92,'Daftar Koreksi'!$D$5:$D$92,'0800'!A752,'Daftar Koreksi'!$G$5:$G$92,"Gedung dan Bangunan",'Daftar Koreksi'!$I$5:$I$92,"&lt;0")-SUMIFS('Daftar Koreksi'!$I$5:$I$92,'Daftar Koreksi'!$D$5:$D$92,'0800'!A752,'Daftar Koreksi'!$G$5:$G$92,"Gedung dan Bangunan",'Daftar Koreksi'!$I$5:$I$92,"&lt;0")-SUMIFS('Daftar Koreksi'!$I$5:$I$92,'Daftar Koreksi'!$D$5:$D$92,'0800'!A752,'Daftar Koreksi'!$G$5:$G$92,"Gedung dan Bangunan",'Daftar Koreksi'!$I$5:$I$92,"&lt;0")</f>
        <v>0</v>
      </c>
      <c r="G766" s="17">
        <f t="shared" si="34"/>
        <v>-3468318844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0</v>
      </c>
      <c r="E767" s="25">
        <f>SUMIFS('Daftar Koreksi'!$I$5:$I$92,'Daftar Koreksi'!$D$5:$D$92,'0800'!A752,'Daftar Koreksi'!$G$5:$G$92,"Jalan Irigasi Jaringan",'Daftar Koreksi'!$I$5:$I$92,"&gt;0")</f>
        <v>0</v>
      </c>
      <c r="F767" s="25">
        <f>SUMIFS('Daftar Koreksi'!$I$5:$I$92,'Daftar Koreksi'!$D$5:$D$92,'0800'!A752,'Daftar Koreksi'!$G$5:$G$92,"Jalan Irigasi Jaringan",'Daftar Koreksi'!$I$5:$I$92,"&lt;0")-SUMIFS('Daftar Koreksi'!$I$5:$I$92,'Daftar Koreksi'!$D$5:$D$92,'0800'!A752,'Daftar Koreksi'!$G$5:$G$92,"Jalan Irigasi Jaringan",'Daftar Koreksi'!$I$5:$I$92,"&lt;0")-SUMIFS('Daftar Koreksi'!$I$5:$I$92,'Daftar Koreksi'!$D$5:$D$92,'0800'!A752,'Daftar Koreksi'!$G$5:$G$92,"Jalan Irigasi Jaringan",'Daftar Koreksi'!$I$5:$I$92,"&lt;0")</f>
        <v>0</v>
      </c>
      <c r="G767" s="17">
        <f t="shared" si="34"/>
        <v>0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Koreksi'!$D$5:$D$92,'0800'!A752,'Daftar Koreksi'!$G$5:$G$92,"Aset Tetap Lainnya",'Daftar Koreksi'!$I$5:$I$92,"&gt;0")</f>
        <v>0</v>
      </c>
      <c r="F768" s="25">
        <f>SUMIFS('Daftar Koreksi'!$I$5:$I$92,'Daftar Koreksi'!$D$5:$D$92,'0800'!A752,'Daftar Koreksi'!$G$5:$G$92,"Aset Tetap Lainnya",'Daftar Koreksi'!$I$5:$I$92,"&lt;0")-SUMIFS('Daftar Koreksi'!$I$5:$I$92,'Daftar Koreksi'!$D$5:$D$92,'0800'!A752,'Daftar Koreksi'!$G$5:$G$92,"Aset Tetap Lainnya",'Daftar Koreksi'!$I$5:$I$92,"&lt;0")-SUMIFS('Daftar Koreksi'!$I$5:$I$92,'Daftar Koreksi'!$D$5:$D$92,'0800'!A752,'Daftar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0</v>
      </c>
      <c r="E769" s="25">
        <f>SUMIFS('Daftar Koreksi'!$I$5:$I$92,'Daftar Koreksi'!$D$5:$D$92,'0800'!A752,'Daftar Koreksi'!$G$5:$G$92,"Aset Henti Guna",'Daftar Koreksi'!$I$5:$I$92,"&gt;0")</f>
        <v>0</v>
      </c>
      <c r="F769" s="25">
        <f>SUMIFS('Daftar Koreksi'!$I$5:$I$92,'Daftar Koreksi'!$D$5:$D$92,'0800'!A752,'Daftar Koreksi'!$G$5:$G$92,"Aset Henti Guna",'Daftar Koreksi'!$I$5:$I$92,"&lt;0")-SUMIFS('Daftar Koreksi'!$I$5:$I$92,'Daftar Koreksi'!$D$5:$D$92,'0800'!A752,'Daftar Koreksi'!$G$5:$G$92,"Aset Henti Guna",'Daftar Koreksi'!$I$5:$I$92,"&lt;0")-SUMIFS('Daftar Koreksi'!$I$5:$I$92,'Daftar Koreksi'!$D$5:$D$92,'0800'!A752,'Daftar Koreksi'!$G$5:$G$92,"Aset Henti Guna",'Daftar Koreksi'!$I$5:$I$92,"&lt;0")</f>
        <v>0</v>
      </c>
      <c r="G769" s="17">
        <f t="shared" si="34"/>
        <v>0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-4959606262</v>
      </c>
      <c r="E770" s="19">
        <f>SUM(E765:E769)</f>
        <v>0</v>
      </c>
      <c r="F770" s="19">
        <f>SUM(F765:F769)</f>
        <v>0</v>
      </c>
      <c r="G770" s="19">
        <f t="shared" si="34"/>
        <v>-4959606262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17610213495</v>
      </c>
      <c r="E771" s="19">
        <f>E770+E764</f>
        <v>0</v>
      </c>
      <c r="F771" s="19">
        <f>F770+F764</f>
        <v>0</v>
      </c>
      <c r="G771" s="19">
        <f t="shared" si="34"/>
        <v>17610213495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005010800663204000KD</v>
      </c>
      <c r="B774" s="11" t="str">
        <f>P36</f>
        <v>Dilmil. 1-03 Padang</v>
      </c>
      <c r="C774" s="12" t="str">
        <f>A774&amp;" "&amp;B774</f>
        <v>005010800663204000KD Dilmil. 1-03 Padang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1195000</v>
      </c>
      <c r="E777" s="25">
        <f>SUMIFS('Daftar Koreksi'!$H$5:$H$92,'Daftar Koreksi'!$D$5:$D$92,'0800'!A774,'Daftar Koreksi'!$G$5:$G$92,"Persediaan",'Daftar Koreksi'!$H$5:$H$92,"&gt;0")</f>
        <v>0</v>
      </c>
      <c r="F777" s="25">
        <f>SUMIFS('Daftar Koreksi'!$H$5:$H$92,'Daftar Koreksi'!$D$5:$D$92,'0800'!A774,'Daftar Koreksi'!$G$5:$G$92,"Persediaan",'Daftar Koreksi'!$H$5:$H$92,"&lt;0")-SUMIFS('Daftar Koreksi'!$H$5:$H$92,'Daftar Koreksi'!$D$5:$D$92,'0800'!A774,'Daftar Koreksi'!$G$5:$G$92,"Persediaan",'Daftar Koreksi'!$H$5:$H$92,"&lt;0")-SUMIFS('Daftar Koreksi'!$H$5:$H$92,'Daftar Koreksi'!$D$5:$D$92,'0800'!A774,'Daftar Koreksi'!$G$5:$G$92,"Persediaan",'Daftar Koreksi'!$H$5:$H$92,"&lt;0")</f>
        <v>0</v>
      </c>
      <c r="G777" s="17">
        <f>D777+E777-F777</f>
        <v>1195000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1295085000</v>
      </c>
      <c r="E778" s="25">
        <f>SUMIFS('Daftar Koreksi'!$H$5:$H$92,'Daftar Koreksi'!$D$5:$D$92,'0800'!A774,'Daftar Koreksi'!$G$5:$G$92,"Tanah",'Daftar Koreksi'!$H$5:$H$92,"&gt;0")</f>
        <v>0</v>
      </c>
      <c r="F778" s="25">
        <f>SUMIFS('Daftar Koreksi'!$H$5:$H$92,'Daftar Koreksi'!$D$5:$D$92,'0800'!A774,'Daftar Koreksi'!$G$5:$G$92,"Tanah",'Daftar Koreksi'!$H$5:$H$92,"&lt;0")-SUMIFS('Daftar Koreksi'!$H$5:$H$92,'Daftar Koreksi'!$D$5:$D$92,'0800'!A774,'Daftar Koreksi'!$G$5:$G$92,"Tanah",'Daftar Koreksi'!$H$5:$H$92,"&lt;0")-SUMIFS('Daftar Koreksi'!$H$5:$H$92,'Daftar Koreksi'!$D$5:$D$92,'0800'!A774,'Daftar Koreksi'!$G$5:$G$92,"Tanah",'Daftar Koreksi'!$H$5:$H$92,"&lt;0")</f>
        <v>0</v>
      </c>
      <c r="G778" s="17">
        <f t="shared" ref="G778:G794" si="35">D778+E778-F778</f>
        <v>1295085000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2468227660</v>
      </c>
      <c r="E779" s="25">
        <f>SUMIFS('Daftar Koreksi'!$H$5:$H$92,'Daftar Koreksi'!$D$5:$D$92,'0800'!A774,'Daftar Koreksi'!$G$5:$G$92,"Peralatan dan mesin",'Daftar Koreksi'!$H$5:$H$92,"&gt;0")</f>
        <v>0</v>
      </c>
      <c r="F779" s="25">
        <f>SUMIFS('Daftar Koreksi'!$H$5:$H$92,'Daftar Koreksi'!$D$5:$D$92,'0800'!A774,'Daftar Koreksi'!$G$5:$G$92,"Peralatan dan mesin",'Daftar Koreksi'!$H$5:$H$92,"&lt;0")-SUMIFS('Daftar Koreksi'!$H$5:$H$92,'Daftar Koreksi'!$D$5:$D$92,'0800'!A774,'Daftar Koreksi'!$G$5:$G$92,"Peralatan dan mesin",'Daftar Koreksi'!$H$5:$H$92,"&lt;0")-SUMIFS('Daftar Koreksi'!$H$5:$H$92,'Daftar Koreksi'!$D$5:$D$92,'0800'!A774,'Daftar Koreksi'!$G$5:$G$92,"Peralatan dan mesin",'Daftar Koreksi'!$H$5:$H$92,"&lt;0")</f>
        <v>0</v>
      </c>
      <c r="G779" s="17">
        <f t="shared" si="35"/>
        <v>2468227660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6751122214</v>
      </c>
      <c r="E780" s="25">
        <f>SUMIFS('Daftar Koreksi'!$H$5:$H$92,'Daftar Koreksi'!$D$5:$D$92,'0800'!A774,'Daftar Koreksi'!$G$5:$G$92,"Gedung dan Bangunan",'Daftar Koreksi'!$H$5:$H$92,"&gt;0")</f>
        <v>0</v>
      </c>
      <c r="F780" s="25">
        <f>SUMIFS('Daftar Koreksi'!$H$5:$H$92,'Daftar Koreksi'!$D$5:$D$92,'0800'!A774,'Daftar Koreksi'!$G$5:$G$92,"Gedung dan Bangunan",'Daftar Koreksi'!$H$5:$H$92,"&lt;0")-SUMIFS('Daftar Koreksi'!$H$5:$H$92,'Daftar Koreksi'!$D$5:$D$92,'0800'!A774,'Daftar Koreksi'!$G$5:$G$92,"Gedung dan Bangunan",'Daftar Koreksi'!$H$5:$H$92,"&lt;0")-SUMIFS('Daftar Koreksi'!$H$5:$H$92,'Daftar Koreksi'!$D$5:$D$92,'0800'!A774,'Daftar Koreksi'!$G$5:$G$92,"Gedung dan Bangunan",'Daftar Koreksi'!$H$5:$H$92,"&lt;0")</f>
        <v>0</v>
      </c>
      <c r="G780" s="17">
        <f t="shared" si="35"/>
        <v>6751122214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Koreksi'!$D$5:$D$92,'0800'!A774,'Daftar Koreksi'!$G$5:$G$92,"Jalan Irigasi Jaringan",'Daftar Koreksi'!$H$5:$H$92,"&gt;0")</f>
        <v>0</v>
      </c>
      <c r="F781" s="25">
        <f>SUMIFS('Daftar Koreksi'!$H$5:$H$92,'Daftar Koreksi'!$D$5:$D$92,'0800'!A774,'Daftar Koreksi'!$G$5:$G$92,"Jalan Irigasi Jaringan",'Daftar Koreksi'!$H$5:$H$92,"&lt;0")-SUMIFS('Daftar Koreksi'!$H$5:$H$92,'Daftar Koreksi'!$D$5:$D$92,'0800'!A774,'Daftar Koreksi'!$G$5:$G$92,"Jalan Irigasi Jaringan",'Daftar Koreksi'!$H$5:$H$92,"&lt;0")-SUMIFS('Daftar Koreksi'!$H$5:$H$92,'Daftar Koreksi'!$D$5:$D$92,'0800'!A774,'Daftar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2760800</v>
      </c>
      <c r="E782" s="25">
        <f>SUMIFS('Daftar Koreksi'!$H$5:$H$92,'Daftar Koreksi'!$D$5:$D$92,'0800'!A774,'Daftar Koreksi'!$G$5:$G$92,"Aset Tetap Lainnya",'Daftar Koreksi'!$H$5:$H$92,"&gt;0")</f>
        <v>0</v>
      </c>
      <c r="F782" s="25">
        <f>SUMIFS('Daftar Koreksi'!$H$5:$H$92,'Daftar Koreksi'!$D$5:$D$92,'0800'!A774,'Daftar Koreksi'!$G$5:$G$92,"Aset Tetap Lainnya",'Daftar Koreksi'!$H$5:$H$92,"&lt;0")-SUMIFS('Daftar Koreksi'!$H$5:$H$92,'Daftar Koreksi'!$D$5:$D$92,'0800'!A774,'Daftar Koreksi'!$G$5:$G$92,"Aset Tetap Lainnya",'Daftar Koreksi'!$H$5:$H$92,"&lt;0")-SUMIFS('Daftar Koreksi'!$H$5:$H$92,'Daftar Koreksi'!$D$5:$D$92,'0800'!A774,'Daftar Koreksi'!$G$5:$G$92,"Aset Tetap Lainnya",'Daftar Koreksi'!$H$5:$H$92,"&lt;0")</f>
        <v>0</v>
      </c>
      <c r="G782" s="17">
        <f t="shared" si="35"/>
        <v>2760800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Koreksi'!$D$5:$D$92,'0800'!A774,'Daftar Koreksi'!$G$5:$G$92,"Kontruksi Dalam Pengerjaan",'Daftar Koreksi'!$H$5:$H$92,"&gt;0")</f>
        <v>0</v>
      </c>
      <c r="F783" s="25">
        <f>SUMIFS('Daftar Koreksi'!$H$5:$H$92,'Daftar Koreksi'!$D$5:$D$92,'0800'!A774,'Daftar Koreksi'!$G$5:$G$92,"Kontruksi Dalam Pengerjaan",'Daftar Koreksi'!$H$5:$H$92,"&lt;0")-SUMIFS('Daftar Koreksi'!$H$5:$H$92,'Daftar Koreksi'!$D$5:$D$92,'0800'!A774,'Daftar Koreksi'!$G$5:$G$92,"Kontruksi Dalam Pengerjaan",'Daftar Koreksi'!$H$5:$H$92,"&lt;0")-SUMIFS('Daftar Koreksi'!$H$5:$H$92,'Daftar Koreksi'!$D$5:$D$92,'0800'!A774,'Daftar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119490000</v>
      </c>
      <c r="E784" s="25">
        <f>SUMIFS('Daftar Koreksi'!$H$5:$H$92,'Daftar Koreksi'!$D$5:$D$92,'0800'!A774,'Daftar Koreksi'!$G$5:$G$92,"Aset Tak Berwujud",'Daftar Koreksi'!$H$5:$H$92,"&gt;0")</f>
        <v>0</v>
      </c>
      <c r="F784" s="25">
        <f>SUMIFS('Daftar Koreksi'!$H$5:$H$92,'Daftar Koreksi'!$D$5:$D$92,'0800'!A774,'Daftar Koreksi'!$G$5:$G$92,"Aset Tak Berwujud",'Daftar Koreksi'!$H$5:$H$92,"&lt;0")-SUMIFS('Daftar Koreksi'!$H$5:$H$92,'Daftar Koreksi'!$D$5:$D$92,'0800'!A774,'Daftar Koreksi'!$G$5:$G$92,"Aset Tak Berwujud",'Daftar Koreksi'!$H$5:$H$92,"&lt;0")-SUMIFS('Daftar Koreksi'!$H$5:$H$92,'Daftar Koreksi'!$D$5:$D$92,'0800'!A774,'Daftar Koreksi'!$G$5:$G$92,"Aset Tak Berwujud",'Daftar Koreksi'!$H$5:$H$92,"&lt;0")</f>
        <v>0</v>
      </c>
      <c r="G784" s="17">
        <f t="shared" si="35"/>
        <v>119490000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0</v>
      </c>
      <c r="E785" s="25">
        <f>SUMIFS('Daftar Koreksi'!$H$5:$H$92,'Daftar Koreksi'!$D$5:$D$92,'0800'!A774,'Daftar Koreksi'!$G$5:$G$92,"Aset Henti Guna",'Daftar Koreksi'!$H$5:$H$92,"&gt;0")</f>
        <v>0</v>
      </c>
      <c r="F785" s="25">
        <f>SUMIFS('Daftar Koreksi'!$H$5:$H$92,'Daftar Koreksi'!$D$5:$D$92,'0800'!A774,'Daftar Koreksi'!$G$5:$G$92,"Aset Henti Guna",'Daftar Koreksi'!$H$5:$H$92,"&lt;0")-SUMIFS('Daftar Koreksi'!$H$5:$H$92,'Daftar Koreksi'!$D$5:$D$92,'0800'!A774,'Daftar Koreksi'!$G$5:$G$92,"Aset Henti Guna",'Daftar Koreksi'!$H$5:$H$92,"&lt;0")-SUMIFS('Daftar Koreksi'!$H$5:$H$92,'Daftar Koreksi'!$D$5:$D$92,'0800'!A774,'Daftar Koreksi'!$G$5:$G$92,"Aset Henti Guna",'Daftar Koreksi'!$H$5:$H$92,"&lt;0")</f>
        <v>0</v>
      </c>
      <c r="G785" s="17">
        <f t="shared" si="35"/>
        <v>0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10637880674</v>
      </c>
      <c r="E786" s="19">
        <f>SUM(E777:E785)</f>
        <v>0</v>
      </c>
      <c r="F786" s="19">
        <f>SUM(F777:F785)</f>
        <v>0</v>
      </c>
      <c r="G786" s="19">
        <f t="shared" si="35"/>
        <v>10637880674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-2145228393</v>
      </c>
      <c r="E787" s="25">
        <f>SUMIFS('Daftar Koreksi'!$I$5:$I$92,'Daftar Koreksi'!$D$5:$D$92,'0800'!A774,'Daftar Koreksi'!$G$5:$G$92,"Peralatan dan mesin",'Daftar Koreksi'!$I$5:$I$92,"&gt;0")</f>
        <v>0</v>
      </c>
      <c r="F787" s="25">
        <f>SUMIFS('Daftar Koreksi'!$I$5:$I$92,'Daftar Koreksi'!$D$5:$D$92,'0800'!A774,'Daftar Koreksi'!$G$5:$G$92,"Peralatan dan mesin",'Daftar Koreksi'!$I$5:$I$92,"&lt;0")-SUMIFS('Daftar Koreksi'!$I$5:$I$92,'Daftar Koreksi'!$D$5:$D$92,'0800'!A774,'Daftar Koreksi'!$G$5:$G$92,"Peralatan dan mesin",'Daftar Koreksi'!$I$5:$I$92,"&lt;0")-SUMIFS('Daftar Koreksi'!$I$5:$I$92,'Daftar Koreksi'!$D$5:$D$92,'0800'!A774,'Daftar Koreksi'!$G$5:$G$92,"Peralatan dan mesin",'Daftar Koreksi'!$I$5:$I$92,"&lt;0")</f>
        <v>0</v>
      </c>
      <c r="G787" s="17">
        <f t="shared" si="35"/>
        <v>-2145228393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-860911491</v>
      </c>
      <c r="E788" s="25">
        <f>SUMIFS('Daftar Koreksi'!$I$5:$I$92,'Daftar Koreksi'!$D$5:$D$92,'0800'!A774,'Daftar Koreksi'!$G$5:$G$92,"Gedung dan Bangunan",'Daftar Koreksi'!$I$5:$I$92,"&gt;0")</f>
        <v>0</v>
      </c>
      <c r="F788" s="25">
        <f>SUMIFS('Daftar Koreksi'!$I$5:$I$92,'Daftar Koreksi'!$D$5:$D$92,'0800'!A774,'Daftar Koreksi'!$G$5:$G$92,"Gedung dan Bangunan",'Daftar Koreksi'!$I$5:$I$92,"&lt;0")-SUMIFS('Daftar Koreksi'!$I$5:$I$92,'Daftar Koreksi'!$D$5:$D$92,'0800'!A774,'Daftar Koreksi'!$G$5:$G$92,"Gedung dan Bangunan",'Daftar Koreksi'!$I$5:$I$92,"&lt;0")-SUMIFS('Daftar Koreksi'!$I$5:$I$92,'Daftar Koreksi'!$D$5:$D$92,'0800'!A774,'Daftar Koreksi'!$G$5:$G$92,"Gedung dan Bangunan",'Daftar Koreksi'!$I$5:$I$92,"&lt;0")</f>
        <v>0</v>
      </c>
      <c r="G788" s="17">
        <f t="shared" si="35"/>
        <v>-860911491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Koreksi'!$D$5:$D$92,'0800'!A774,'Daftar Koreksi'!$G$5:$G$92,"Jalan Irigasi Jaringan",'Daftar Koreksi'!$I$5:$I$92,"&gt;0")</f>
        <v>0</v>
      </c>
      <c r="F789" s="25">
        <f>SUMIFS('Daftar Koreksi'!$I$5:$I$92,'Daftar Koreksi'!$D$5:$D$92,'0800'!A774,'Daftar Koreksi'!$G$5:$G$92,"Jalan Irigasi Jaringan",'Daftar Koreksi'!$I$5:$I$92,"&lt;0")-SUMIFS('Daftar Koreksi'!$I$5:$I$92,'Daftar Koreksi'!$D$5:$D$92,'0800'!A774,'Daftar Koreksi'!$G$5:$G$92,"Jalan Irigasi Jaringan",'Daftar Koreksi'!$I$5:$I$92,"&lt;0")-SUMIFS('Daftar Koreksi'!$I$5:$I$92,'Daftar Koreksi'!$D$5:$D$92,'0800'!A774,'Daftar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Koreksi'!$D$5:$D$92,'0800'!A774,'Daftar Koreksi'!$G$5:$G$92,"Aset Tetap Lainnya",'Daftar Koreksi'!$I$5:$I$92,"&gt;0")</f>
        <v>0</v>
      </c>
      <c r="F790" s="25">
        <f>SUMIFS('Daftar Koreksi'!$I$5:$I$92,'Daftar Koreksi'!$D$5:$D$92,'0800'!A774,'Daftar Koreksi'!$G$5:$G$92,"Aset Tetap Lainnya",'Daftar Koreksi'!$I$5:$I$92,"&lt;0")-SUMIFS('Daftar Koreksi'!$I$5:$I$92,'Daftar Koreksi'!$D$5:$D$92,'0800'!A774,'Daftar Koreksi'!$G$5:$G$92,"Aset Tetap Lainnya",'Daftar Koreksi'!$I$5:$I$92,"&lt;0")-SUMIFS('Daftar Koreksi'!$I$5:$I$92,'Daftar Koreksi'!$D$5:$D$92,'0800'!A774,'Daftar Koreksi'!$G$5:$G$92,"Aset Tetap Lainnya",'Daftar Koreksi'!$I$5:$I$92,"&lt;0")</f>
        <v>0</v>
      </c>
      <c r="G790" s="17">
        <f t="shared" si="35"/>
        <v>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0</v>
      </c>
      <c r="E791" s="25">
        <f>SUMIFS('Daftar Koreksi'!$I$5:$I$92,'Daftar Koreksi'!$D$5:$D$92,'0800'!A774,'Daftar Koreksi'!$G$5:$G$92,"Aset Henti Guna",'Daftar Koreksi'!$I$5:$I$92,"&gt;0")</f>
        <v>0</v>
      </c>
      <c r="F791" s="25">
        <f>SUMIFS('Daftar Koreksi'!$I$5:$I$92,'Daftar Koreksi'!$D$5:$D$92,'0800'!A774,'Daftar Koreksi'!$G$5:$G$92,"Aset Henti Guna",'Daftar Koreksi'!$I$5:$I$92,"&lt;0")-SUMIFS('Daftar Koreksi'!$I$5:$I$92,'Daftar Koreksi'!$D$5:$D$92,'0800'!A774,'Daftar Koreksi'!$G$5:$G$92,"Aset Henti Guna",'Daftar Koreksi'!$I$5:$I$92,"&lt;0")-SUMIFS('Daftar Koreksi'!$I$5:$I$92,'Daftar Koreksi'!$D$5:$D$92,'0800'!A774,'Daftar Koreksi'!$G$5:$G$92,"Aset Henti Guna",'Daftar Koreksi'!$I$5:$I$92,"&lt;0")</f>
        <v>0</v>
      </c>
      <c r="G791" s="17">
        <f t="shared" si="35"/>
        <v>0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-3006139884</v>
      </c>
      <c r="E792" s="19">
        <f>SUM(E787:E791)</f>
        <v>0</v>
      </c>
      <c r="F792" s="19">
        <f>SUM(F787:F791)</f>
        <v>0</v>
      </c>
      <c r="G792" s="19">
        <f t="shared" si="35"/>
        <v>-3006139884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7631740790</v>
      </c>
      <c r="E793" s="19">
        <f>E792+E786</f>
        <v>0</v>
      </c>
      <c r="F793" s="19">
        <f>F792+F786</f>
        <v>0</v>
      </c>
      <c r="G793" s="19">
        <f t="shared" si="35"/>
        <v>7631740790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</sheetData>
  <mergeCells count="216">
    <mergeCell ref="H689:H706"/>
    <mergeCell ref="H711:H728"/>
    <mergeCell ref="H733:H750"/>
    <mergeCell ref="H755:H772"/>
    <mergeCell ref="H777:H794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6" manualBreakCount="16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P508"/>
  <sheetViews>
    <sheetView view="pageBreakPreview" topLeftCell="C139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0" width="15.71093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366</v>
      </c>
      <c r="P1" s="8" t="s">
        <v>1504</v>
      </c>
    </row>
    <row r="2" spans="1:16" ht="19.5" customHeight="1">
      <c r="C2" s="9" t="s">
        <v>2105</v>
      </c>
      <c r="O2" s="8" t="s">
        <v>367</v>
      </c>
      <c r="P2" s="8" t="s">
        <v>1505</v>
      </c>
    </row>
    <row r="3" spans="1:16" ht="19.5" customHeight="1">
      <c r="O3" s="8" t="s">
        <v>368</v>
      </c>
      <c r="P3" s="8" t="s">
        <v>1506</v>
      </c>
    </row>
    <row r="4" spans="1:16" ht="19.5" customHeight="1">
      <c r="A4" s="11" t="str">
        <f>O1</f>
        <v>005010900098849000KD</v>
      </c>
      <c r="B4" s="11" t="str">
        <f>P1</f>
        <v>PN. Pekanbaru</v>
      </c>
      <c r="C4" s="12" t="str">
        <f>A4&amp;" "&amp;B4</f>
        <v>005010900098849000KD PN. Pekanbaru</v>
      </c>
      <c r="D4" s="13"/>
      <c r="E4" s="13"/>
      <c r="F4" s="13"/>
      <c r="G4" s="13"/>
      <c r="H4" s="11"/>
      <c r="O4" s="8" t="s">
        <v>369</v>
      </c>
      <c r="P4" s="8" t="s">
        <v>1507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370</v>
      </c>
      <c r="P5" s="8" t="s">
        <v>1508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371</v>
      </c>
      <c r="P6" s="8" t="s">
        <v>1509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676000</v>
      </c>
      <c r="E7" s="25">
        <f>SUMIFS('Daftar Koreksi'!$H$5:$H$92,'Daftar Koreksi'!$D$5:$D$92,'0900'!A4,'Daftar Koreksi'!$G$5:$G$92,"Persediaan",'Daftar Koreksi'!$H$5:$H$92,"&gt;0")</f>
        <v>0</v>
      </c>
      <c r="F7" s="25">
        <f>SUMIFS('Daftar Koreksi'!$H$5:$H$92,'Daftar Koreksi'!$D$5:$D$92,'0900'!A4,'Daftar Koreksi'!$G$5:$G$92,"Persediaan",'Daftar Koreksi'!$H$5:$H$92,"&lt;0")-SUMIFS('Daftar Koreksi'!$H$5:$H$92,'Daftar Koreksi'!$D$5:$D$92,'0900'!A4,'Daftar Koreksi'!$G$5:$G$92,"Persediaan",'Daftar Koreksi'!$H$5:$H$92,"&lt;0")-SUMIFS('Daftar Koreksi'!$H$5:$H$92,'Daftar Koreksi'!$D$5:$D$92,'0900'!A4,'Daftar Koreksi'!$G$5:$G$92,"Persediaan",'Daftar Koreksi'!$H$5:$H$92,"&lt;0")</f>
        <v>0</v>
      </c>
      <c r="G7" s="17">
        <f>D7+E7-F7</f>
        <v>676000</v>
      </c>
      <c r="H7" s="121" t="str">
        <f>IF(ISNA(VLOOKUP(A4,'Mutasi Neraca'!$A$3:$S$914,19,FALSE)),"-",VLOOKUP(A4,'Mutasi Neraca'!$A$3:$S$914,19,FALSE))</f>
        <v>-</v>
      </c>
      <c r="O7" s="8" t="s">
        <v>372</v>
      </c>
      <c r="P7" s="8" t="s">
        <v>1510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11780191550</v>
      </c>
      <c r="E8" s="25">
        <f>SUMIFS('Daftar Koreksi'!$H$5:$H$92,'Daftar Koreksi'!$D$5:$D$92,'0900'!A4,'Daftar Koreksi'!$G$5:$G$92,"Tanah",'Daftar Koreksi'!$H$5:$H$92,"&gt;0")</f>
        <v>0</v>
      </c>
      <c r="F8" s="25">
        <f>SUMIFS('Daftar Koreksi'!$H$5:$H$92,'Daftar Koreksi'!$D$5:$D$92,'0900'!A4,'Daftar Koreksi'!$G$5:$G$92,"Tanah",'Daftar Koreksi'!$H$5:$H$92,"&lt;0")-SUMIFS('Daftar Koreksi'!$H$5:$H$92,'Daftar Koreksi'!$D$5:$D$92,'0900'!A4,'Daftar Koreksi'!$G$5:$G$92,"Tanah",'Daftar Koreksi'!$H$5:$H$92,"&lt;0")-SUMIFS('Daftar Koreksi'!$H$5:$H$92,'Daftar Koreksi'!$D$5:$D$92,'0900'!A4,'Daftar Koreksi'!$G$5:$G$92,"Tanah",'Daftar Koreksi'!$H$5:$H$92,"&lt;0")</f>
        <v>0</v>
      </c>
      <c r="G8" s="17">
        <f t="shared" ref="G8:G24" si="0">D8+E8-F8</f>
        <v>11780191550</v>
      </c>
      <c r="H8" s="122"/>
      <c r="O8" s="8" t="s">
        <v>373</v>
      </c>
      <c r="P8" s="8" t="s">
        <v>1511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4531311319</v>
      </c>
      <c r="E9" s="25">
        <f>SUMIFS('Daftar Koreksi'!$H$5:$H$92,'Daftar Koreksi'!$D$5:$D$92,'0900'!A4,'Daftar Koreksi'!$G$5:$G$92,"Peralatan dan mesin",'Daftar Koreksi'!$H$5:$H$92,"&gt;0")</f>
        <v>0</v>
      </c>
      <c r="F9" s="25">
        <f>SUMIFS('Daftar Koreksi'!$H$5:$H$92,'Daftar Koreksi'!$D$5:$D$92,'0900'!A4,'Daftar Koreksi'!$G$5:$G$92,"Peralatan dan mesin",'Daftar Koreksi'!$H$5:$H$92,"&lt;0")-SUMIFS('Daftar Koreksi'!$H$5:$H$92,'Daftar Koreksi'!$D$5:$D$92,'0900'!A4,'Daftar Koreksi'!$G$5:$G$92,"Peralatan dan mesin",'Daftar Koreksi'!$H$5:$H$92,"&lt;0")-SUMIFS('Daftar Koreksi'!$H$5:$H$92,'Daftar Koreksi'!$D$5:$D$92,'0900'!A4,'Daftar Koreksi'!$G$5:$G$92,"Peralatan dan mesin",'Daftar Koreksi'!$H$5:$H$92,"&lt;0")</f>
        <v>0</v>
      </c>
      <c r="G9" s="17">
        <f t="shared" si="0"/>
        <v>4531311319</v>
      </c>
      <c r="H9" s="122"/>
      <c r="O9" s="8" t="s">
        <v>374</v>
      </c>
      <c r="P9" s="8" t="s">
        <v>1512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4952033686</v>
      </c>
      <c r="E10" s="25">
        <f>SUMIFS('Daftar Koreksi'!$H$5:$H$92,'Daftar Koreksi'!$D$5:$D$92,'0900'!A4,'Daftar Koreksi'!$G$5:$G$92,"Gedung dan Bangunan",'Daftar Koreksi'!$H$5:$H$92,"&gt;0")</f>
        <v>0</v>
      </c>
      <c r="F10" s="25">
        <f>SUMIFS('Daftar Koreksi'!$H$5:$H$92,'Daftar Koreksi'!$D$5:$D$92,'0900'!A4,'Daftar Koreksi'!$G$5:$G$92,"Gedung dan Bangunan",'Daftar Koreksi'!$H$5:$H$92,"&lt;0")-SUMIFS('Daftar Koreksi'!$H$5:$H$92,'Daftar Koreksi'!$D$5:$D$92,'0900'!A4,'Daftar Koreksi'!$G$5:$G$92,"Gedung dan Bangunan",'Daftar Koreksi'!$H$5:$H$92,"&lt;0")-SUMIFS('Daftar Koreksi'!$H$5:$H$92,'Daftar Koreksi'!$D$5:$D$92,'0900'!A4,'Daftar Koreksi'!$G$5:$G$92,"Gedung dan Bangunan",'Daftar Koreksi'!$H$5:$H$92,"&lt;0")</f>
        <v>0</v>
      </c>
      <c r="G10" s="17">
        <f t="shared" si="0"/>
        <v>4952033686</v>
      </c>
      <c r="H10" s="122"/>
      <c r="O10" s="8" t="s">
        <v>375</v>
      </c>
      <c r="P10" s="8" t="s">
        <v>1513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25960000</v>
      </c>
      <c r="E11" s="25">
        <f>SUMIFS('Daftar Koreksi'!$H$5:$H$92,'Daftar Koreksi'!$D$5:$D$92,'0900'!A4,'Daftar Koreksi'!$G$5:$G$92,"Jalan Irigasi Jaringan",'Daftar Koreksi'!$H$5:$H$92,"&gt;0")</f>
        <v>0</v>
      </c>
      <c r="F11" s="25">
        <f>SUMIFS('Daftar Koreksi'!$H$5:$H$92,'Daftar Koreksi'!$D$5:$D$92,'0900'!A4,'Daftar Koreksi'!$G$5:$G$92,"Jalan Irigasi Jaringan",'Daftar Koreksi'!$H$5:$H$92,"&lt;0")-SUMIFS('Daftar Koreksi'!$H$5:$H$92,'Daftar Koreksi'!$D$5:$D$92,'0900'!A4,'Daftar Koreksi'!$G$5:$G$92,"Jalan Irigasi Jaringan",'Daftar Koreksi'!$H$5:$H$92,"&lt;0")-SUMIFS('Daftar Koreksi'!$H$5:$H$92,'Daftar Koreksi'!$D$5:$D$92,'0900'!A4,'Daftar Koreksi'!$G$5:$G$92,"Jalan Irigasi Jaringan",'Daftar Koreksi'!$H$5:$H$92,"&lt;0")</f>
        <v>0</v>
      </c>
      <c r="G11" s="17">
        <f t="shared" si="0"/>
        <v>25960000</v>
      </c>
      <c r="H11" s="122"/>
      <c r="O11" s="8" t="s">
        <v>376</v>
      </c>
      <c r="P11" s="8" t="s">
        <v>1514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1943440</v>
      </c>
      <c r="E12" s="25">
        <f>SUMIFS('Daftar Koreksi'!$H$5:$H$92,'Daftar Koreksi'!$D$5:$D$92,'0900'!A4,'Daftar Koreksi'!$G$5:$G$92,"Aset Tetap Lainnya",'Daftar Koreksi'!$H$5:$H$92,"&gt;0")</f>
        <v>0</v>
      </c>
      <c r="F12" s="25">
        <f>SUMIFS('Daftar Koreksi'!$H$5:$H$92,'Daftar Koreksi'!$D$5:$D$92,'0900'!A4,'Daftar Koreksi'!$G$5:$G$92,"Aset Tetap Lainnya",'Daftar Koreksi'!$H$5:$H$92,"&lt;0")-SUMIFS('Daftar Koreksi'!$H$5:$H$92,'Daftar Koreksi'!$D$5:$D$92,'0900'!A4,'Daftar Koreksi'!$G$5:$G$92,"Aset Tetap Lainnya",'Daftar Koreksi'!$H$5:$H$92,"&lt;0")-SUMIFS('Daftar Koreksi'!$H$5:$H$92,'Daftar Koreksi'!$D$5:$D$92,'0900'!A4,'Daftar Koreksi'!$G$5:$G$92,"Aset Tetap Lainnya",'Daftar Koreksi'!$H$5:$H$92,"&lt;0")</f>
        <v>0</v>
      </c>
      <c r="G12" s="17">
        <f t="shared" si="0"/>
        <v>1943440</v>
      </c>
      <c r="H12" s="122"/>
      <c r="O12" s="8" t="s">
        <v>377</v>
      </c>
      <c r="P12" s="8" t="s">
        <v>1515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Koreksi'!$D$5:$D$92,'0900'!A4,'Daftar Koreksi'!$G$5:$G$92,"Kontruksi Dalam Pengerjaan",'Daftar Koreksi'!$H$5:$H$92,"&gt;0")</f>
        <v>0</v>
      </c>
      <c r="F13" s="25">
        <f>SUMIFS('Daftar Koreksi'!$H$5:$H$92,'Daftar Koreksi'!$D$5:$D$92,'0900'!A4,'Daftar Koreksi'!$G$5:$G$92,"Kontruksi Dalam Pengerjaan",'Daftar Koreksi'!$H$5:$H$92,"&lt;0")-SUMIFS('Daftar Koreksi'!$H$5:$H$92,'Daftar Koreksi'!$D$5:$D$92,'0900'!A4,'Daftar Koreksi'!$G$5:$G$92,"Kontruksi Dalam Pengerjaan",'Daftar Koreksi'!$H$5:$H$92,"&lt;0")-SUMIFS('Daftar Koreksi'!$H$5:$H$92,'Daftar Koreksi'!$D$5:$D$92,'0900'!A4,'Daftar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378</v>
      </c>
      <c r="P13" s="8" t="s">
        <v>1516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Koreksi'!$D$5:$D$92,'0900'!A4,'Daftar Koreksi'!$G$5:$G$92,"Aset Tak Berwujud",'Daftar Koreksi'!$H$5:$H$92,"&gt;0")</f>
        <v>0</v>
      </c>
      <c r="F14" s="25">
        <f>SUMIFS('Daftar Koreksi'!$H$5:$H$92,'Daftar Koreksi'!$D$5:$D$92,'0900'!A4,'Daftar Koreksi'!$G$5:$G$92,"Aset Tak Berwujud",'Daftar Koreksi'!$H$5:$H$92,"&lt;0")-SUMIFS('Daftar Koreksi'!$H$5:$H$92,'Daftar Koreksi'!$D$5:$D$92,'0900'!A4,'Daftar Koreksi'!$G$5:$G$92,"Aset Tak Berwujud",'Daftar Koreksi'!$H$5:$H$92,"&lt;0")-SUMIFS('Daftar Koreksi'!$H$5:$H$92,'Daftar Koreksi'!$D$5:$D$92,'0900'!A4,'Daftar Koreksi'!$G$5:$G$92,"Aset Tak Berwujud",'Daftar Koreksi'!$H$5:$H$92,"&lt;0")</f>
        <v>0</v>
      </c>
      <c r="G14" s="17">
        <f t="shared" si="0"/>
        <v>0</v>
      </c>
      <c r="H14" s="122"/>
      <c r="O14" s="8" t="s">
        <v>379</v>
      </c>
      <c r="P14" s="8" t="s">
        <v>1517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Koreksi'!$D$5:$D$92,'0900'!A4,'Daftar Koreksi'!$G$5:$G$92,"Aset Henti Guna",'Daftar Koreksi'!$H$5:$H$92,"&gt;0")</f>
        <v>0</v>
      </c>
      <c r="F15" s="25">
        <f>SUMIFS('Daftar Koreksi'!$H$5:$H$92,'Daftar Koreksi'!$D$5:$D$92,'0900'!A4,'Daftar Koreksi'!$G$5:$G$92,"Aset Henti Guna",'Daftar Koreksi'!$H$5:$H$92,"&lt;0")-SUMIFS('Daftar Koreksi'!$H$5:$H$92,'Daftar Koreksi'!$D$5:$D$92,'0900'!A4,'Daftar Koreksi'!$G$5:$G$92,"Aset Henti Guna",'Daftar Koreksi'!$H$5:$H$92,"&lt;0")-SUMIFS('Daftar Koreksi'!$H$5:$H$92,'Daftar Koreksi'!$D$5:$D$92,'0900'!A4,'Daftar Koreksi'!$G$5:$G$92,"Aset Henti Guna",'Daftar Koreksi'!$H$5:$H$92,"&lt;0")</f>
        <v>0</v>
      </c>
      <c r="G15" s="17">
        <f t="shared" si="0"/>
        <v>0</v>
      </c>
      <c r="H15" s="122"/>
      <c r="O15" s="8" t="s">
        <v>380</v>
      </c>
      <c r="P15" s="8" t="s">
        <v>1518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21292115995</v>
      </c>
      <c r="E16" s="19">
        <f>SUM(E7:E15)</f>
        <v>0</v>
      </c>
      <c r="F16" s="19">
        <f>SUM(F7:F15)</f>
        <v>0</v>
      </c>
      <c r="G16" s="19">
        <f t="shared" si="0"/>
        <v>21292115995</v>
      </c>
      <c r="H16" s="122"/>
      <c r="O16" s="8" t="s">
        <v>381</v>
      </c>
      <c r="P16" s="8" t="s">
        <v>1519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-3998864401</v>
      </c>
      <c r="E17" s="25">
        <f>SUMIFS('Daftar Koreksi'!$I$5:$I$92,'Daftar Koreksi'!$D$5:$D$92,'0900'!A4,'Daftar Koreksi'!$G$5:$G$92,"Peralatan dan mesin",'Daftar Koreksi'!$I$5:$I$92,"&gt;0")</f>
        <v>0</v>
      </c>
      <c r="F17" s="25">
        <f>SUMIFS('Daftar Koreksi'!$I$5:$I$92,'Daftar Koreksi'!$D$5:$D$92,'0900'!A4,'Daftar Koreksi'!$G$5:$G$92,"Peralatan dan mesin",'Daftar Koreksi'!$I$5:$I$92,"&lt;0")-SUMIFS('Daftar Koreksi'!$I$5:$I$92,'Daftar Koreksi'!$D$5:$D$92,'0900'!A4,'Daftar Koreksi'!$G$5:$G$92,"Peralatan dan mesin",'Daftar Koreksi'!$I$5:$I$92,"&lt;0")-SUMIFS('Daftar Koreksi'!$I$5:$I$92,'Daftar Koreksi'!$D$5:$D$92,'0900'!A4,'Daftar Koreksi'!$G$5:$G$92,"Peralatan dan mesin",'Daftar Koreksi'!$I$5:$I$92,"&lt;0")</f>
        <v>0</v>
      </c>
      <c r="G17" s="17">
        <f t="shared" si="0"/>
        <v>-3998864401</v>
      </c>
      <c r="H17" s="122"/>
      <c r="O17" s="8" t="s">
        <v>382</v>
      </c>
      <c r="P17" s="8" t="s">
        <v>1520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-3783220208</v>
      </c>
      <c r="E18" s="25">
        <f>SUMIFS('Daftar Koreksi'!$I$5:$I$92,'Daftar Koreksi'!$D$5:$D$92,'0900'!A4,'Daftar Koreksi'!$G$5:$G$92,"Gedung dan Bangunan",'Daftar Koreksi'!$I$5:$I$92,"&gt;0")</f>
        <v>0</v>
      </c>
      <c r="F18" s="25">
        <f>SUMIFS('Daftar Koreksi'!$I$5:$I$92,'Daftar Koreksi'!$D$5:$D$92,'0900'!A4,'Daftar Koreksi'!$G$5:$G$92,"Gedung dan Bangunan",'Daftar Koreksi'!$I$5:$I$92,"&lt;0")-SUMIFS('Daftar Koreksi'!$I$5:$I$92,'Daftar Koreksi'!$D$5:$D$92,'0900'!A4,'Daftar Koreksi'!$G$5:$G$92,"Gedung dan Bangunan",'Daftar Koreksi'!$I$5:$I$92,"&lt;0")-SUMIFS('Daftar Koreksi'!$I$5:$I$92,'Daftar Koreksi'!$D$5:$D$92,'0900'!A4,'Daftar Koreksi'!$G$5:$G$92,"Gedung dan Bangunan",'Daftar Koreksi'!$I$5:$I$92,"&lt;0")</f>
        <v>0</v>
      </c>
      <c r="G18" s="17">
        <f t="shared" si="0"/>
        <v>-3783220208</v>
      </c>
      <c r="H18" s="122"/>
      <c r="O18" s="8" t="s">
        <v>383</v>
      </c>
      <c r="P18" s="8" t="s">
        <v>1521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-25960000</v>
      </c>
      <c r="E19" s="25">
        <f>SUMIFS('Daftar Koreksi'!$I$5:$I$92,'Daftar Koreksi'!$D$5:$D$92,'0900'!A4,'Daftar Koreksi'!$G$5:$G$92,"Jalan Irigasi Jaringan",'Daftar Koreksi'!$I$5:$I$92,"&gt;0")</f>
        <v>0</v>
      </c>
      <c r="F19" s="25">
        <f>SUMIFS('Daftar Koreksi'!$I$5:$I$92,'Daftar Koreksi'!$D$5:$D$92,'0900'!A4,'Daftar Koreksi'!$G$5:$G$92,"Jalan Irigasi Jaringan",'Daftar Koreksi'!$I$5:$I$92,"&lt;0")-SUMIFS('Daftar Koreksi'!$I$5:$I$92,'Daftar Koreksi'!$D$5:$D$92,'0900'!A4,'Daftar Koreksi'!$G$5:$G$92,"Jalan Irigasi Jaringan",'Daftar Koreksi'!$I$5:$I$92,"&lt;0")-SUMIFS('Daftar Koreksi'!$I$5:$I$92,'Daftar Koreksi'!$D$5:$D$92,'0900'!A4,'Daftar Koreksi'!$G$5:$G$92,"Jalan Irigasi Jaringan",'Daftar Koreksi'!$I$5:$I$92,"&lt;0")</f>
        <v>0</v>
      </c>
      <c r="G19" s="17">
        <f t="shared" si="0"/>
        <v>-25960000</v>
      </c>
      <c r="H19" s="122"/>
      <c r="O19" s="8" t="s">
        <v>384</v>
      </c>
      <c r="P19" s="8" t="s">
        <v>1522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Koreksi'!$D$5:$D$92,'0900'!A4,'Daftar Koreksi'!$G$5:$G$92,"Aset Tetap Lainnya",'Daftar Koreksi'!$I$5:$I$92,"&gt;0")</f>
        <v>0</v>
      </c>
      <c r="F20" s="25">
        <f>SUMIFS('Daftar Koreksi'!$I$5:$I$92,'Daftar Koreksi'!$D$5:$D$92,'0900'!A4,'Daftar Koreksi'!$G$5:$G$92,"Aset Tetap Lainnya",'Daftar Koreksi'!$I$5:$I$92,"&lt;0")-SUMIFS('Daftar Koreksi'!$I$5:$I$92,'Daftar Koreksi'!$D$5:$D$92,'0900'!A4,'Daftar Koreksi'!$G$5:$G$92,"Aset Tetap Lainnya",'Daftar Koreksi'!$I$5:$I$92,"&lt;0")-SUMIFS('Daftar Koreksi'!$I$5:$I$92,'Daftar Koreksi'!$D$5:$D$92,'0900'!A4,'Daftar Koreksi'!$G$5:$G$92,"Aset Tetap Lainnya",'Daftar Koreksi'!$I$5:$I$92,"&lt;0")</f>
        <v>0</v>
      </c>
      <c r="G20" s="17">
        <f t="shared" si="0"/>
        <v>0</v>
      </c>
      <c r="H20" s="122"/>
      <c r="O20" s="8" t="s">
        <v>385</v>
      </c>
      <c r="P20" s="8" t="s">
        <v>1523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Koreksi'!$D$5:$D$92,'0900'!A4,'Daftar Koreksi'!$G$5:$G$92,"Aset Henti Guna",'Daftar Koreksi'!$I$5:$I$92,"&gt;0")</f>
        <v>0</v>
      </c>
      <c r="F21" s="25">
        <f>SUMIFS('Daftar Koreksi'!$I$5:$I$92,'Daftar Koreksi'!$D$5:$D$92,'0900'!A4,'Daftar Koreksi'!$G$5:$G$92,"Aset Henti Guna",'Daftar Koreksi'!$I$5:$I$92,"&lt;0")-SUMIFS('Daftar Koreksi'!$I$5:$I$92,'Daftar Koreksi'!$D$5:$D$92,'0900'!A4,'Daftar Koreksi'!$G$5:$G$92,"Aset Henti Guna",'Daftar Koreksi'!$I$5:$I$92,"&lt;0")-SUMIFS('Daftar Koreksi'!$I$5:$I$92,'Daftar Koreksi'!$D$5:$D$92,'0900'!A4,'Daftar Koreksi'!$G$5:$G$92,"Aset Henti Guna",'Daftar Koreksi'!$I$5:$I$92,"&lt;0")</f>
        <v>0</v>
      </c>
      <c r="G21" s="17">
        <f t="shared" si="0"/>
        <v>0</v>
      </c>
      <c r="H21" s="122"/>
      <c r="O21" s="8" t="s">
        <v>386</v>
      </c>
      <c r="P21" s="8" t="s">
        <v>1524</v>
      </c>
    </row>
    <row r="22" spans="1:16" ht="21.95" customHeight="1">
      <c r="A22" s="14"/>
      <c r="B22" s="14"/>
      <c r="C22" s="18" t="s">
        <v>2094</v>
      </c>
      <c r="D22" s="19">
        <f>SUM(D17:D21)</f>
        <v>-7808044609</v>
      </c>
      <c r="E22" s="19">
        <f>SUM(E17:E21)</f>
        <v>0</v>
      </c>
      <c r="F22" s="19">
        <f>SUM(F17:F21)</f>
        <v>0</v>
      </c>
      <c r="G22" s="19">
        <f t="shared" si="0"/>
        <v>-7808044609</v>
      </c>
      <c r="H22" s="122"/>
      <c r="O22" s="8" t="s">
        <v>387</v>
      </c>
      <c r="P22" s="8" t="s">
        <v>1525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13484071386</v>
      </c>
      <c r="E23" s="19">
        <f>E22+E16</f>
        <v>0</v>
      </c>
      <c r="F23" s="19">
        <f>F22+F16</f>
        <v>0</v>
      </c>
      <c r="G23" s="19">
        <f t="shared" si="0"/>
        <v>13484071386</v>
      </c>
      <c r="H23" s="122"/>
      <c r="O23" s="8" t="s">
        <v>388</v>
      </c>
      <c r="P23" s="8" t="s">
        <v>1526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005010900098853000KD</v>
      </c>
      <c r="B26" s="11" t="str">
        <f>P2</f>
        <v>PN. Bengkalis</v>
      </c>
      <c r="C26" s="12" t="str">
        <f>A26&amp;" "&amp;B26</f>
        <v>005010900098853000KD PN. Bengkalis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856750</v>
      </c>
      <c r="E29" s="25">
        <f>SUMIFS('Daftar Koreksi'!$H$5:$H$92,'Daftar Koreksi'!$D$5:$D$92,'0900'!A26,'Daftar Koreksi'!$G$5:$G$92,"Persediaan",'Daftar Koreksi'!$H$5:$H$92,"&gt;0")</f>
        <v>0</v>
      </c>
      <c r="F29" s="25">
        <f>SUMIFS('Daftar Koreksi'!$H$5:$H$92,'Daftar Koreksi'!$D$5:$D$92,'0900'!A26,'Daftar Koreksi'!$G$5:$G$92,"Persediaan",'Daftar Koreksi'!$H$5:$H$92,"&lt;0")-SUMIFS('Daftar Koreksi'!$H$5:$H$92,'Daftar Koreksi'!$D$5:$D$92,'0900'!A26,'Daftar Koreksi'!$G$5:$G$92,"Persediaan",'Daftar Koreksi'!$H$5:$H$92,"&lt;0")-SUMIFS('Daftar Koreksi'!$H$5:$H$92,'Daftar Koreksi'!$D$5:$D$92,'0900'!A26,'Daftar Koreksi'!$G$5:$G$92,"Persediaan",'Daftar Koreksi'!$H$5:$H$92,"&lt;0")</f>
        <v>0</v>
      </c>
      <c r="G29" s="17">
        <f>D29+E29-F29</f>
        <v>856750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8467982000</v>
      </c>
      <c r="E30" s="25">
        <f>SUMIFS('Daftar Koreksi'!$H$5:$H$92,'Daftar Koreksi'!$D$5:$D$92,'0900'!A26,'Daftar Koreksi'!$G$5:$G$92,"Tanah",'Daftar Koreksi'!$H$5:$H$92,"&gt;0")</f>
        <v>0</v>
      </c>
      <c r="F30" s="25">
        <f>SUMIFS('Daftar Koreksi'!$H$5:$H$92,'Daftar Koreksi'!$D$5:$D$92,'0900'!A26,'Daftar Koreksi'!$G$5:$G$92,"Tanah",'Daftar Koreksi'!$H$5:$H$92,"&lt;0")-SUMIFS('Daftar Koreksi'!$H$5:$H$92,'Daftar Koreksi'!$D$5:$D$92,'0900'!A26,'Daftar Koreksi'!$G$5:$G$92,"Tanah",'Daftar Koreksi'!$H$5:$H$92,"&lt;0")-SUMIFS('Daftar Koreksi'!$H$5:$H$92,'Daftar Koreksi'!$D$5:$D$92,'0900'!A26,'Daftar Koreksi'!$G$5:$G$92,"Tanah",'Daftar Koreksi'!$H$5:$H$92,"&lt;0")</f>
        <v>0</v>
      </c>
      <c r="G30" s="17">
        <f t="shared" ref="G30:G46" si="1">D30+E30-F30</f>
        <v>8467982000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1549160217</v>
      </c>
      <c r="E31" s="25">
        <f>SUMIFS('Daftar Koreksi'!$H$5:$H$92,'Daftar Koreksi'!$D$5:$D$92,'0900'!A26,'Daftar Koreksi'!$G$5:$G$92,"Peralatan dan mesin",'Daftar Koreksi'!$H$5:$H$92,"&gt;0")</f>
        <v>0</v>
      </c>
      <c r="F31" s="25">
        <f>SUMIFS('Daftar Koreksi'!$H$5:$H$92,'Daftar Koreksi'!$D$5:$D$92,'0900'!A26,'Daftar Koreksi'!$G$5:$G$92,"Peralatan dan mesin",'Daftar Koreksi'!$H$5:$H$92,"&lt;0")-SUMIFS('Daftar Koreksi'!$H$5:$H$92,'Daftar Koreksi'!$D$5:$D$92,'0900'!A26,'Daftar Koreksi'!$G$5:$G$92,"Peralatan dan mesin",'Daftar Koreksi'!$H$5:$H$92,"&lt;0")-SUMIFS('Daftar Koreksi'!$H$5:$H$92,'Daftar Koreksi'!$D$5:$D$92,'0900'!A26,'Daftar Koreksi'!$G$5:$G$92,"Peralatan dan mesin",'Daftar Koreksi'!$H$5:$H$92,"&lt;0")</f>
        <v>0</v>
      </c>
      <c r="G31" s="17">
        <f t="shared" si="1"/>
        <v>1549160217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3530784925</v>
      </c>
      <c r="E32" s="25">
        <f>SUMIFS('Daftar Koreksi'!$H$5:$H$92,'Daftar Koreksi'!$D$5:$D$92,'0900'!A26,'Daftar Koreksi'!$G$5:$G$92,"Gedung dan Bangunan",'Daftar Koreksi'!$H$5:$H$92,"&gt;0")</f>
        <v>0</v>
      </c>
      <c r="F32" s="25">
        <f>SUMIFS('Daftar Koreksi'!$H$5:$H$92,'Daftar Koreksi'!$D$5:$D$92,'0900'!A26,'Daftar Koreksi'!$G$5:$G$92,"Gedung dan Bangunan",'Daftar Koreksi'!$H$5:$H$92,"&lt;0")-SUMIFS('Daftar Koreksi'!$H$5:$H$92,'Daftar Koreksi'!$D$5:$D$92,'0900'!A26,'Daftar Koreksi'!$G$5:$G$92,"Gedung dan Bangunan",'Daftar Koreksi'!$H$5:$H$92,"&lt;0")-SUMIFS('Daftar Koreksi'!$H$5:$H$92,'Daftar Koreksi'!$D$5:$D$92,'0900'!A26,'Daftar Koreksi'!$G$5:$G$92,"Gedung dan Bangunan",'Daftar Koreksi'!$H$5:$H$92,"&lt;0")</f>
        <v>0</v>
      </c>
      <c r="G32" s="17">
        <f t="shared" si="1"/>
        <v>3530784925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4500000</v>
      </c>
      <c r="E33" s="25">
        <f>SUMIFS('Daftar Koreksi'!$H$5:$H$92,'Daftar Koreksi'!$D$5:$D$92,'0900'!A26,'Daftar Koreksi'!$G$5:$G$92,"Jalan Irigasi Jaringan",'Daftar Koreksi'!$H$5:$H$92,"&gt;0")</f>
        <v>0</v>
      </c>
      <c r="F33" s="25">
        <f>SUMIFS('Daftar Koreksi'!$H$5:$H$92,'Daftar Koreksi'!$D$5:$D$92,'0900'!A26,'Daftar Koreksi'!$G$5:$G$92,"Jalan Irigasi Jaringan",'Daftar Koreksi'!$H$5:$H$92,"&lt;0")-SUMIFS('Daftar Koreksi'!$H$5:$H$92,'Daftar Koreksi'!$D$5:$D$92,'0900'!A26,'Daftar Koreksi'!$G$5:$G$92,"Jalan Irigasi Jaringan",'Daftar Koreksi'!$H$5:$H$92,"&lt;0")-SUMIFS('Daftar Koreksi'!$H$5:$H$92,'Daftar Koreksi'!$D$5:$D$92,'0900'!A26,'Daftar Koreksi'!$G$5:$G$92,"Jalan Irigasi Jaringan",'Daftar Koreksi'!$H$5:$H$92,"&lt;0")</f>
        <v>0</v>
      </c>
      <c r="G33" s="17">
        <f t="shared" si="1"/>
        <v>4500000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1943440</v>
      </c>
      <c r="E34" s="25">
        <f>SUMIFS('Daftar Koreksi'!$H$5:$H$92,'Daftar Koreksi'!$D$5:$D$92,'0900'!A26,'Daftar Koreksi'!$G$5:$G$92,"Aset Tetap Lainnya",'Daftar Koreksi'!$H$5:$H$92,"&gt;0")</f>
        <v>0</v>
      </c>
      <c r="F34" s="25">
        <f>SUMIFS('Daftar Koreksi'!$H$5:$H$92,'Daftar Koreksi'!$D$5:$D$92,'0900'!A26,'Daftar Koreksi'!$G$5:$G$92,"Aset Tetap Lainnya",'Daftar Koreksi'!$H$5:$H$92,"&lt;0")-SUMIFS('Daftar Koreksi'!$H$5:$H$92,'Daftar Koreksi'!$D$5:$D$92,'0900'!A26,'Daftar Koreksi'!$G$5:$G$92,"Aset Tetap Lainnya",'Daftar Koreksi'!$H$5:$H$92,"&lt;0")-SUMIFS('Daftar Koreksi'!$H$5:$H$92,'Daftar Koreksi'!$D$5:$D$92,'0900'!A26,'Daftar Koreksi'!$G$5:$G$92,"Aset Tetap Lainnya",'Daftar Koreksi'!$H$5:$H$92,"&lt;0")</f>
        <v>0</v>
      </c>
      <c r="G34" s="17">
        <f t="shared" si="1"/>
        <v>1943440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Koreksi'!$D$5:$D$92,'0900'!A26,'Daftar Koreksi'!$G$5:$G$92,"Kontruksi Dalam Pengerjaan",'Daftar Koreksi'!$H$5:$H$92,"&gt;0")</f>
        <v>0</v>
      </c>
      <c r="F35" s="25">
        <f>SUMIFS('Daftar Koreksi'!$H$5:$H$92,'Daftar Koreksi'!$D$5:$D$92,'0900'!A26,'Daftar Koreksi'!$G$5:$G$92,"Kontruksi Dalam Pengerjaan",'Daftar Koreksi'!$H$5:$H$92,"&lt;0")-SUMIFS('Daftar Koreksi'!$H$5:$H$92,'Daftar Koreksi'!$D$5:$D$92,'0900'!A26,'Daftar Koreksi'!$G$5:$G$92,"Kontruksi Dalam Pengerjaan",'Daftar Koreksi'!$H$5:$H$92,"&lt;0")-SUMIFS('Daftar Koreksi'!$H$5:$H$92,'Daftar Koreksi'!$D$5:$D$92,'0900'!A26,'Daftar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Koreksi'!$D$5:$D$92,'0900'!A26,'Daftar Koreksi'!$G$5:$G$92,"Aset Tak Berwujud",'Daftar Koreksi'!$H$5:$H$92,"&gt;0")</f>
        <v>0</v>
      </c>
      <c r="F36" s="25">
        <f>SUMIFS('Daftar Koreksi'!$H$5:$H$92,'Daftar Koreksi'!$D$5:$D$92,'0900'!A26,'Daftar Koreksi'!$G$5:$G$92,"Aset Tak Berwujud",'Daftar Koreksi'!$H$5:$H$92,"&lt;0")-SUMIFS('Daftar Koreksi'!$H$5:$H$92,'Daftar Koreksi'!$D$5:$D$92,'0900'!A26,'Daftar Koreksi'!$G$5:$G$92,"Aset Tak Berwujud",'Daftar Koreksi'!$H$5:$H$92,"&lt;0")-SUMIFS('Daftar Koreksi'!$H$5:$H$92,'Daftar Koreksi'!$D$5:$D$92,'0900'!A26,'Daftar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36756067</v>
      </c>
      <c r="E37" s="25">
        <f>SUMIFS('Daftar Koreksi'!$H$5:$H$92,'Daftar Koreksi'!$D$5:$D$92,'0900'!A26,'Daftar Koreksi'!$G$5:$G$92,"Aset Henti Guna",'Daftar Koreksi'!$H$5:$H$92,"&gt;0")</f>
        <v>0</v>
      </c>
      <c r="F37" s="25">
        <f>SUMIFS('Daftar Koreksi'!$H$5:$H$92,'Daftar Koreksi'!$D$5:$D$92,'0900'!A26,'Daftar Koreksi'!$G$5:$G$92,"Aset Henti Guna",'Daftar Koreksi'!$H$5:$H$92,"&lt;0")-SUMIFS('Daftar Koreksi'!$H$5:$H$92,'Daftar Koreksi'!$D$5:$D$92,'0900'!A26,'Daftar Koreksi'!$G$5:$G$92,"Aset Henti Guna",'Daftar Koreksi'!$H$5:$H$92,"&lt;0")-SUMIFS('Daftar Koreksi'!$H$5:$H$92,'Daftar Koreksi'!$D$5:$D$92,'0900'!A26,'Daftar Koreksi'!$G$5:$G$92,"Aset Henti Guna",'Daftar Koreksi'!$H$5:$H$92,"&lt;0")</f>
        <v>0</v>
      </c>
      <c r="G37" s="17">
        <f t="shared" si="1"/>
        <v>36756067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13591983399</v>
      </c>
      <c r="E38" s="19">
        <f>SUM(E29:E37)</f>
        <v>0</v>
      </c>
      <c r="F38" s="19">
        <f>SUM(F29:F37)</f>
        <v>0</v>
      </c>
      <c r="G38" s="19">
        <f t="shared" si="1"/>
        <v>13591983399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-1451104034</v>
      </c>
      <c r="E39" s="25">
        <f>SUMIFS('Daftar Koreksi'!$I$5:$I$92,'Daftar Koreksi'!$D$5:$D$92,'0900'!A26,'Daftar Koreksi'!$G$5:$G$92,"Peralatan dan mesin",'Daftar Koreksi'!$I$5:$I$92,"&gt;0")</f>
        <v>0</v>
      </c>
      <c r="F39" s="25">
        <f>SUMIFS('Daftar Koreksi'!$I$5:$I$92,'Daftar Koreksi'!$D$5:$D$92,'0900'!A26,'Daftar Koreksi'!$G$5:$G$92,"Peralatan dan mesin",'Daftar Koreksi'!$I$5:$I$92,"&lt;0")-SUMIFS('Daftar Koreksi'!$I$5:$I$92,'Daftar Koreksi'!$D$5:$D$92,'0900'!A26,'Daftar Koreksi'!$G$5:$G$92,"Peralatan dan mesin",'Daftar Koreksi'!$I$5:$I$92,"&lt;0")-SUMIFS('Daftar Koreksi'!$I$5:$I$92,'Daftar Koreksi'!$D$5:$D$92,'0900'!A26,'Daftar Koreksi'!$G$5:$G$92,"Peralatan dan mesin",'Daftar Koreksi'!$I$5:$I$92,"&lt;0")</f>
        <v>0</v>
      </c>
      <c r="G39" s="17">
        <f t="shared" si="1"/>
        <v>-1451104034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-2003436521</v>
      </c>
      <c r="E40" s="25">
        <f>SUMIFS('Daftar Koreksi'!$I$5:$I$92,'Daftar Koreksi'!$D$5:$D$92,'0900'!A26,'Daftar Koreksi'!$G$5:$G$92,"Gedung dan Bangunan",'Daftar Koreksi'!$I$5:$I$92,"&gt;0")</f>
        <v>0</v>
      </c>
      <c r="F40" s="25">
        <f>SUMIFS('Daftar Koreksi'!$I$5:$I$92,'Daftar Koreksi'!$D$5:$D$92,'0900'!A26,'Daftar Koreksi'!$G$5:$G$92,"Gedung dan Bangunan",'Daftar Koreksi'!$I$5:$I$92,"&lt;0")-SUMIFS('Daftar Koreksi'!$I$5:$I$92,'Daftar Koreksi'!$D$5:$D$92,'0900'!A26,'Daftar Koreksi'!$G$5:$G$92,"Gedung dan Bangunan",'Daftar Koreksi'!$I$5:$I$92,"&lt;0")-SUMIFS('Daftar Koreksi'!$I$5:$I$92,'Daftar Koreksi'!$D$5:$D$92,'0900'!A26,'Daftar Koreksi'!$G$5:$G$92,"Gedung dan Bangunan",'Daftar Koreksi'!$I$5:$I$92,"&lt;0")</f>
        <v>0</v>
      </c>
      <c r="G40" s="17">
        <f t="shared" si="1"/>
        <v>-2003436521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-975000</v>
      </c>
      <c r="E41" s="25">
        <f>SUMIFS('Daftar Koreksi'!$I$5:$I$92,'Daftar Koreksi'!$D$5:$D$92,'0900'!A26,'Daftar Koreksi'!$G$5:$G$92,"Jalan Irigasi Jaringan",'Daftar Koreksi'!$I$5:$I$92,"&gt;0")</f>
        <v>0</v>
      </c>
      <c r="F41" s="25">
        <f>SUMIFS('Daftar Koreksi'!$I$5:$I$92,'Daftar Koreksi'!$D$5:$D$92,'0900'!A26,'Daftar Koreksi'!$G$5:$G$92,"Jalan Irigasi Jaringan",'Daftar Koreksi'!$I$5:$I$92,"&lt;0")-SUMIFS('Daftar Koreksi'!$I$5:$I$92,'Daftar Koreksi'!$D$5:$D$92,'0900'!A26,'Daftar Koreksi'!$G$5:$G$92,"Jalan Irigasi Jaringan",'Daftar Koreksi'!$I$5:$I$92,"&lt;0")-SUMIFS('Daftar Koreksi'!$I$5:$I$92,'Daftar Koreksi'!$D$5:$D$92,'0900'!A26,'Daftar Koreksi'!$G$5:$G$92,"Jalan Irigasi Jaringan",'Daftar Koreksi'!$I$5:$I$92,"&lt;0")</f>
        <v>0</v>
      </c>
      <c r="G41" s="17">
        <f t="shared" si="1"/>
        <v>-975000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Koreksi'!$D$5:$D$92,'0900'!A26,'Daftar Koreksi'!$G$5:$G$92,"Aset Tetap Lainnya",'Daftar Koreksi'!$I$5:$I$92,"&gt;0")</f>
        <v>0</v>
      </c>
      <c r="F42" s="25">
        <f>SUMIFS('Daftar Koreksi'!$I$5:$I$92,'Daftar Koreksi'!$D$5:$D$92,'0900'!A26,'Daftar Koreksi'!$G$5:$G$92,"Aset Tetap Lainnya",'Daftar Koreksi'!$I$5:$I$92,"&lt;0")-SUMIFS('Daftar Koreksi'!$I$5:$I$92,'Daftar Koreksi'!$D$5:$D$92,'0900'!A26,'Daftar Koreksi'!$G$5:$G$92,"Aset Tetap Lainnya",'Daftar Koreksi'!$I$5:$I$92,"&lt;0")-SUMIFS('Daftar Koreksi'!$I$5:$I$92,'Daftar Koreksi'!$D$5:$D$92,'0900'!A26,'Daftar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-36368067</v>
      </c>
      <c r="E43" s="25">
        <f>SUMIFS('Daftar Koreksi'!$I$5:$I$92,'Daftar Koreksi'!$D$5:$D$92,'0900'!A26,'Daftar Koreksi'!$G$5:$G$92,"Aset Henti Guna",'Daftar Koreksi'!$I$5:$I$92,"&gt;0")</f>
        <v>0</v>
      </c>
      <c r="F43" s="25">
        <f>SUMIFS('Daftar Koreksi'!$I$5:$I$92,'Daftar Koreksi'!$D$5:$D$92,'0900'!A26,'Daftar Koreksi'!$G$5:$G$92,"Aset Henti Guna",'Daftar Koreksi'!$I$5:$I$92,"&lt;0")-SUMIFS('Daftar Koreksi'!$I$5:$I$92,'Daftar Koreksi'!$D$5:$D$92,'0900'!A26,'Daftar Koreksi'!$G$5:$G$92,"Aset Henti Guna",'Daftar Koreksi'!$I$5:$I$92,"&lt;0")-SUMIFS('Daftar Koreksi'!$I$5:$I$92,'Daftar Koreksi'!$D$5:$D$92,'0900'!A26,'Daftar Koreksi'!$G$5:$G$92,"Aset Henti Guna",'Daftar Koreksi'!$I$5:$I$92,"&lt;0")</f>
        <v>0</v>
      </c>
      <c r="G43" s="17">
        <f t="shared" si="1"/>
        <v>-36368067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-3491883622</v>
      </c>
      <c r="E44" s="19">
        <f>SUM(E39:E43)</f>
        <v>0</v>
      </c>
      <c r="F44" s="19">
        <f>SUM(F39:F43)</f>
        <v>0</v>
      </c>
      <c r="G44" s="19">
        <f t="shared" si="1"/>
        <v>-3491883622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10100099777</v>
      </c>
      <c r="E45" s="19">
        <f>E44+E38</f>
        <v>0</v>
      </c>
      <c r="F45" s="19">
        <f>F44+F38</f>
        <v>0</v>
      </c>
      <c r="G45" s="19">
        <f t="shared" si="1"/>
        <v>10100099777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005010900098860000KD</v>
      </c>
      <c r="B48" s="11" t="str">
        <f>P3</f>
        <v>PN. Rengat/Indragiri</v>
      </c>
      <c r="C48" s="12" t="str">
        <f>A48&amp;" "&amp;B48</f>
        <v>005010900098860000KD PN. Rengat/Indragiri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684260</v>
      </c>
      <c r="E51" s="25">
        <f>SUMIFS('Daftar Koreksi'!$H$5:$H$92,'Daftar Koreksi'!$D$5:$D$92,'0900'!A48,'Daftar Koreksi'!$G$5:$G$92,"Persediaan",'Daftar Koreksi'!$H$5:$H$92,"&gt;0")</f>
        <v>0</v>
      </c>
      <c r="F51" s="25">
        <f>SUMIFS('Daftar Koreksi'!$H$5:$H$92,'Daftar Koreksi'!$D$5:$D$92,'0900'!A48,'Daftar Koreksi'!$G$5:$G$92,"Persediaan",'Daftar Koreksi'!$H$5:$H$92,"&lt;0")-SUMIFS('Daftar Koreksi'!$H$5:$H$92,'Daftar Koreksi'!$D$5:$D$92,'0900'!A48,'Daftar Koreksi'!$G$5:$G$92,"Persediaan",'Daftar Koreksi'!$H$5:$H$92,"&lt;0")-SUMIFS('Daftar Koreksi'!$H$5:$H$92,'Daftar Koreksi'!$D$5:$D$92,'0900'!A48,'Daftar Koreksi'!$G$5:$G$92,"Persediaan",'Daftar Koreksi'!$H$5:$H$92,"&lt;0")</f>
        <v>0</v>
      </c>
      <c r="G51" s="17">
        <f>D51+E51-F51</f>
        <v>684260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5816261600</v>
      </c>
      <c r="E52" s="25">
        <f>SUMIFS('Daftar Koreksi'!$H$5:$H$92,'Daftar Koreksi'!$D$5:$D$92,'0900'!A48,'Daftar Koreksi'!$G$5:$G$92,"Tanah",'Daftar Koreksi'!$H$5:$H$92,"&gt;0")</f>
        <v>0</v>
      </c>
      <c r="F52" s="25">
        <f>SUMIFS('Daftar Koreksi'!$H$5:$H$92,'Daftar Koreksi'!$D$5:$D$92,'0900'!A48,'Daftar Koreksi'!$G$5:$G$92,"Tanah",'Daftar Koreksi'!$H$5:$H$92,"&lt;0")-SUMIFS('Daftar Koreksi'!$H$5:$H$92,'Daftar Koreksi'!$D$5:$D$92,'0900'!A48,'Daftar Koreksi'!$G$5:$G$92,"Tanah",'Daftar Koreksi'!$H$5:$H$92,"&lt;0")-SUMIFS('Daftar Koreksi'!$H$5:$H$92,'Daftar Koreksi'!$D$5:$D$92,'0900'!A48,'Daftar Koreksi'!$G$5:$G$92,"Tanah",'Daftar Koreksi'!$H$5:$H$92,"&lt;0")</f>
        <v>0</v>
      </c>
      <c r="G52" s="17">
        <f t="shared" ref="G52:G68" si="2">D52+E52-F52</f>
        <v>5816261600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1634779389</v>
      </c>
      <c r="E53" s="25">
        <f>SUMIFS('Daftar Koreksi'!$H$5:$H$92,'Daftar Koreksi'!$D$5:$D$92,'0900'!A48,'Daftar Koreksi'!$G$5:$G$92,"Peralatan dan mesin",'Daftar Koreksi'!$H$5:$H$92,"&gt;0")</f>
        <v>0</v>
      </c>
      <c r="F53" s="25">
        <f>SUMIFS('Daftar Koreksi'!$H$5:$H$92,'Daftar Koreksi'!$D$5:$D$92,'0900'!A48,'Daftar Koreksi'!$G$5:$G$92,"Peralatan dan mesin",'Daftar Koreksi'!$H$5:$H$92,"&lt;0")-SUMIFS('Daftar Koreksi'!$H$5:$H$92,'Daftar Koreksi'!$D$5:$D$92,'0900'!A48,'Daftar Koreksi'!$G$5:$G$92,"Peralatan dan mesin",'Daftar Koreksi'!$H$5:$H$92,"&lt;0")-SUMIFS('Daftar Koreksi'!$H$5:$H$92,'Daftar Koreksi'!$D$5:$D$92,'0900'!A48,'Daftar Koreksi'!$G$5:$G$92,"Peralatan dan mesin",'Daftar Koreksi'!$H$5:$H$92,"&lt;0")</f>
        <v>0</v>
      </c>
      <c r="G53" s="17">
        <f t="shared" si="2"/>
        <v>1634779389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3423025679</v>
      </c>
      <c r="E54" s="25">
        <f>SUMIFS('Daftar Koreksi'!$H$5:$H$92,'Daftar Koreksi'!$D$5:$D$92,'0900'!A48,'Daftar Koreksi'!$G$5:$G$92,"Gedung dan Bangunan",'Daftar Koreksi'!$H$5:$H$92,"&gt;0")</f>
        <v>0</v>
      </c>
      <c r="F54" s="25">
        <f>SUMIFS('Daftar Koreksi'!$H$5:$H$92,'Daftar Koreksi'!$D$5:$D$92,'0900'!A48,'Daftar Koreksi'!$G$5:$G$92,"Gedung dan Bangunan",'Daftar Koreksi'!$H$5:$H$92,"&lt;0")-SUMIFS('Daftar Koreksi'!$H$5:$H$92,'Daftar Koreksi'!$D$5:$D$92,'0900'!A48,'Daftar Koreksi'!$G$5:$G$92,"Gedung dan Bangunan",'Daftar Koreksi'!$H$5:$H$92,"&lt;0")-SUMIFS('Daftar Koreksi'!$H$5:$H$92,'Daftar Koreksi'!$D$5:$D$92,'0900'!A48,'Daftar Koreksi'!$G$5:$G$92,"Gedung dan Bangunan",'Daftar Koreksi'!$H$5:$H$92,"&lt;0")</f>
        <v>0</v>
      </c>
      <c r="G54" s="17">
        <f t="shared" si="2"/>
        <v>3423025679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37635000</v>
      </c>
      <c r="E55" s="25">
        <f>SUMIFS('Daftar Koreksi'!$H$5:$H$92,'Daftar Koreksi'!$D$5:$D$92,'0900'!A48,'Daftar Koreksi'!$G$5:$G$92,"Jalan Irigasi Jaringan",'Daftar Koreksi'!$H$5:$H$92,"&gt;0")</f>
        <v>0</v>
      </c>
      <c r="F55" s="25">
        <f>SUMIFS('Daftar Koreksi'!$H$5:$H$92,'Daftar Koreksi'!$D$5:$D$92,'0900'!A48,'Daftar Koreksi'!$G$5:$G$92,"Jalan Irigasi Jaringan",'Daftar Koreksi'!$H$5:$H$92,"&lt;0")-SUMIFS('Daftar Koreksi'!$H$5:$H$92,'Daftar Koreksi'!$D$5:$D$92,'0900'!A48,'Daftar Koreksi'!$G$5:$G$92,"Jalan Irigasi Jaringan",'Daftar Koreksi'!$H$5:$H$92,"&lt;0")-SUMIFS('Daftar Koreksi'!$H$5:$H$92,'Daftar Koreksi'!$D$5:$D$92,'0900'!A48,'Daftar Koreksi'!$G$5:$G$92,"Jalan Irigasi Jaringan",'Daftar Koreksi'!$H$5:$H$92,"&lt;0")</f>
        <v>0</v>
      </c>
      <c r="G55" s="17">
        <f t="shared" si="2"/>
        <v>37635000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7542000</v>
      </c>
      <c r="E56" s="25">
        <f>SUMIFS('Daftar Koreksi'!$H$5:$H$92,'Daftar Koreksi'!$D$5:$D$92,'0900'!A48,'Daftar Koreksi'!$G$5:$G$92,"Aset Tetap Lainnya",'Daftar Koreksi'!$H$5:$H$92,"&gt;0")</f>
        <v>0</v>
      </c>
      <c r="F56" s="25">
        <f>SUMIFS('Daftar Koreksi'!$H$5:$H$92,'Daftar Koreksi'!$D$5:$D$92,'0900'!A48,'Daftar Koreksi'!$G$5:$G$92,"Aset Tetap Lainnya",'Daftar Koreksi'!$H$5:$H$92,"&lt;0")-SUMIFS('Daftar Koreksi'!$H$5:$H$92,'Daftar Koreksi'!$D$5:$D$92,'0900'!A48,'Daftar Koreksi'!$G$5:$G$92,"Aset Tetap Lainnya",'Daftar Koreksi'!$H$5:$H$92,"&lt;0")-SUMIFS('Daftar Koreksi'!$H$5:$H$92,'Daftar Koreksi'!$D$5:$D$92,'0900'!A48,'Daftar Koreksi'!$G$5:$G$92,"Aset Tetap Lainnya",'Daftar Koreksi'!$H$5:$H$92,"&lt;0")</f>
        <v>0</v>
      </c>
      <c r="G56" s="17">
        <f t="shared" si="2"/>
        <v>7542000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Koreksi'!$D$5:$D$92,'0900'!A48,'Daftar Koreksi'!$G$5:$G$92,"Kontruksi Dalam Pengerjaan",'Daftar Koreksi'!$H$5:$H$92,"&gt;0")</f>
        <v>0</v>
      </c>
      <c r="F57" s="25">
        <f>SUMIFS('Daftar Koreksi'!$H$5:$H$92,'Daftar Koreksi'!$D$5:$D$92,'0900'!A48,'Daftar Koreksi'!$G$5:$G$92,"Kontruksi Dalam Pengerjaan",'Daftar Koreksi'!$H$5:$H$92,"&lt;0")-SUMIFS('Daftar Koreksi'!$H$5:$H$92,'Daftar Koreksi'!$D$5:$D$92,'0900'!A48,'Daftar Koreksi'!$G$5:$G$92,"Kontruksi Dalam Pengerjaan",'Daftar Koreksi'!$H$5:$H$92,"&lt;0")-SUMIFS('Daftar Koreksi'!$H$5:$H$92,'Daftar Koreksi'!$D$5:$D$92,'0900'!A48,'Daftar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Koreksi'!$D$5:$D$92,'0900'!A48,'Daftar Koreksi'!$G$5:$G$92,"Aset Tak Berwujud",'Daftar Koreksi'!$H$5:$H$92,"&gt;0")</f>
        <v>0</v>
      </c>
      <c r="F58" s="25">
        <f>SUMIFS('Daftar Koreksi'!$H$5:$H$92,'Daftar Koreksi'!$D$5:$D$92,'0900'!A48,'Daftar Koreksi'!$G$5:$G$92,"Aset Tak Berwujud",'Daftar Koreksi'!$H$5:$H$92,"&lt;0")-SUMIFS('Daftar Koreksi'!$H$5:$H$92,'Daftar Koreksi'!$D$5:$D$92,'0900'!A48,'Daftar Koreksi'!$G$5:$G$92,"Aset Tak Berwujud",'Daftar Koreksi'!$H$5:$H$92,"&lt;0")-SUMIFS('Daftar Koreksi'!$H$5:$H$92,'Daftar Koreksi'!$D$5:$D$92,'0900'!A48,'Daftar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89667120</v>
      </c>
      <c r="E59" s="25">
        <f>SUMIFS('Daftar Koreksi'!$H$5:$H$92,'Daftar Koreksi'!$D$5:$D$92,'0900'!A48,'Daftar Koreksi'!$G$5:$G$92,"Aset Henti Guna",'Daftar Koreksi'!$H$5:$H$92,"&gt;0")</f>
        <v>0</v>
      </c>
      <c r="F59" s="25">
        <f>SUMIFS('Daftar Koreksi'!$H$5:$H$92,'Daftar Koreksi'!$D$5:$D$92,'0900'!A48,'Daftar Koreksi'!$G$5:$G$92,"Aset Henti Guna",'Daftar Koreksi'!$H$5:$H$92,"&lt;0")-SUMIFS('Daftar Koreksi'!$H$5:$H$92,'Daftar Koreksi'!$D$5:$D$92,'0900'!A48,'Daftar Koreksi'!$G$5:$G$92,"Aset Henti Guna",'Daftar Koreksi'!$H$5:$H$92,"&lt;0")-SUMIFS('Daftar Koreksi'!$H$5:$H$92,'Daftar Koreksi'!$D$5:$D$92,'0900'!A48,'Daftar Koreksi'!$G$5:$G$92,"Aset Henti Guna",'Daftar Koreksi'!$H$5:$H$92,"&lt;0")</f>
        <v>0</v>
      </c>
      <c r="G59" s="17">
        <f t="shared" si="2"/>
        <v>89667120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11009595048</v>
      </c>
      <c r="E60" s="19">
        <f>SUM(E51:E59)</f>
        <v>0</v>
      </c>
      <c r="F60" s="19">
        <f>SUM(F51:F59)</f>
        <v>0</v>
      </c>
      <c r="G60" s="19">
        <f t="shared" si="2"/>
        <v>11009595048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-1369764890</v>
      </c>
      <c r="E61" s="25">
        <f>SUMIFS('Daftar Koreksi'!$I$5:$I$92,'Daftar Koreksi'!$D$5:$D$92,'0900'!A48,'Daftar Koreksi'!$G$5:$G$92,"Peralatan dan mesin",'Daftar Koreksi'!$I$5:$I$92,"&gt;0")</f>
        <v>0</v>
      </c>
      <c r="F61" s="25">
        <f>SUMIFS('Daftar Koreksi'!$I$5:$I$92,'Daftar Koreksi'!$D$5:$D$92,'0900'!A48,'Daftar Koreksi'!$G$5:$G$92,"Peralatan dan mesin",'Daftar Koreksi'!$I$5:$I$92,"&lt;0")-SUMIFS('Daftar Koreksi'!$I$5:$I$92,'Daftar Koreksi'!$D$5:$D$92,'0900'!A48,'Daftar Koreksi'!$G$5:$G$92,"Peralatan dan mesin",'Daftar Koreksi'!$I$5:$I$92,"&lt;0")-SUMIFS('Daftar Koreksi'!$I$5:$I$92,'Daftar Koreksi'!$D$5:$D$92,'0900'!A48,'Daftar Koreksi'!$G$5:$G$92,"Peralatan dan mesin",'Daftar Koreksi'!$I$5:$I$92,"&lt;0")</f>
        <v>0</v>
      </c>
      <c r="G61" s="17">
        <f t="shared" si="2"/>
        <v>-1369764890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-1570359405</v>
      </c>
      <c r="E62" s="25">
        <f>SUMIFS('Daftar Koreksi'!$I$5:$I$92,'Daftar Koreksi'!$D$5:$D$92,'0900'!A48,'Daftar Koreksi'!$G$5:$G$92,"Gedung dan Bangunan",'Daftar Koreksi'!$I$5:$I$92,"&gt;0")</f>
        <v>0</v>
      </c>
      <c r="F62" s="25">
        <f>SUMIFS('Daftar Koreksi'!$I$5:$I$92,'Daftar Koreksi'!$D$5:$D$92,'0900'!A48,'Daftar Koreksi'!$G$5:$G$92,"Gedung dan Bangunan",'Daftar Koreksi'!$I$5:$I$92,"&lt;0")-SUMIFS('Daftar Koreksi'!$I$5:$I$92,'Daftar Koreksi'!$D$5:$D$92,'0900'!A48,'Daftar Koreksi'!$G$5:$G$92,"Gedung dan Bangunan",'Daftar Koreksi'!$I$5:$I$92,"&lt;0")-SUMIFS('Daftar Koreksi'!$I$5:$I$92,'Daftar Koreksi'!$D$5:$D$92,'0900'!A48,'Daftar Koreksi'!$G$5:$G$92,"Gedung dan Bangunan",'Daftar Koreksi'!$I$5:$I$92,"&lt;0")</f>
        <v>0</v>
      </c>
      <c r="G62" s="17">
        <f t="shared" si="2"/>
        <v>-1570359405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-19567500</v>
      </c>
      <c r="E63" s="25">
        <f>SUMIFS('Daftar Koreksi'!$I$5:$I$92,'Daftar Koreksi'!$D$5:$D$92,'0900'!A48,'Daftar Koreksi'!$G$5:$G$92,"Jalan Irigasi Jaringan",'Daftar Koreksi'!$I$5:$I$92,"&gt;0")</f>
        <v>0</v>
      </c>
      <c r="F63" s="25">
        <f>SUMIFS('Daftar Koreksi'!$I$5:$I$92,'Daftar Koreksi'!$D$5:$D$92,'0900'!A48,'Daftar Koreksi'!$G$5:$G$92,"Jalan Irigasi Jaringan",'Daftar Koreksi'!$I$5:$I$92,"&lt;0")-SUMIFS('Daftar Koreksi'!$I$5:$I$92,'Daftar Koreksi'!$D$5:$D$92,'0900'!A48,'Daftar Koreksi'!$G$5:$G$92,"Jalan Irigasi Jaringan",'Daftar Koreksi'!$I$5:$I$92,"&lt;0")-SUMIFS('Daftar Koreksi'!$I$5:$I$92,'Daftar Koreksi'!$D$5:$D$92,'0900'!A48,'Daftar Koreksi'!$G$5:$G$92,"Jalan Irigasi Jaringan",'Daftar Koreksi'!$I$5:$I$92,"&lt;0")</f>
        <v>0</v>
      </c>
      <c r="G63" s="17">
        <f t="shared" si="2"/>
        <v>-19567500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Koreksi'!$D$5:$D$92,'0900'!A48,'Daftar Koreksi'!$G$5:$G$92,"Aset Tetap Lainnya",'Daftar Koreksi'!$I$5:$I$92,"&gt;0")</f>
        <v>0</v>
      </c>
      <c r="F64" s="25">
        <f>SUMIFS('Daftar Koreksi'!$I$5:$I$92,'Daftar Koreksi'!$D$5:$D$92,'0900'!A48,'Daftar Koreksi'!$G$5:$G$92,"Aset Tetap Lainnya",'Daftar Koreksi'!$I$5:$I$92,"&lt;0")-SUMIFS('Daftar Koreksi'!$I$5:$I$92,'Daftar Koreksi'!$D$5:$D$92,'0900'!A48,'Daftar Koreksi'!$G$5:$G$92,"Aset Tetap Lainnya",'Daftar Koreksi'!$I$5:$I$92,"&lt;0")-SUMIFS('Daftar Koreksi'!$I$5:$I$92,'Daftar Koreksi'!$D$5:$D$92,'0900'!A48,'Daftar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-76049994</v>
      </c>
      <c r="E65" s="25">
        <f>SUMIFS('Daftar Koreksi'!$I$5:$I$92,'Daftar Koreksi'!$D$5:$D$92,'0900'!A48,'Daftar Koreksi'!$G$5:$G$92,"Aset Henti Guna",'Daftar Koreksi'!$I$5:$I$92,"&gt;0")</f>
        <v>0</v>
      </c>
      <c r="F65" s="25">
        <f>SUMIFS('Daftar Koreksi'!$I$5:$I$92,'Daftar Koreksi'!$D$5:$D$92,'0900'!A48,'Daftar Koreksi'!$G$5:$G$92,"Aset Henti Guna",'Daftar Koreksi'!$I$5:$I$92,"&lt;0")-SUMIFS('Daftar Koreksi'!$I$5:$I$92,'Daftar Koreksi'!$D$5:$D$92,'0900'!A48,'Daftar Koreksi'!$G$5:$G$92,"Aset Henti Guna",'Daftar Koreksi'!$I$5:$I$92,"&lt;0")-SUMIFS('Daftar Koreksi'!$I$5:$I$92,'Daftar Koreksi'!$D$5:$D$92,'0900'!A48,'Daftar Koreksi'!$G$5:$G$92,"Aset Henti Guna",'Daftar Koreksi'!$I$5:$I$92,"&lt;0")</f>
        <v>0</v>
      </c>
      <c r="G65" s="17">
        <f t="shared" si="2"/>
        <v>-76049994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-3035741789</v>
      </c>
      <c r="E66" s="19">
        <f>SUM(E61:E65)</f>
        <v>0</v>
      </c>
      <c r="F66" s="19">
        <f>SUM(F61:F65)</f>
        <v>0</v>
      </c>
      <c r="G66" s="19">
        <f t="shared" si="2"/>
        <v>-3035741789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7973853259</v>
      </c>
      <c r="E67" s="19">
        <f>E66+E60</f>
        <v>0</v>
      </c>
      <c r="F67" s="19">
        <f>F66+F60</f>
        <v>0</v>
      </c>
      <c r="G67" s="19">
        <f t="shared" si="2"/>
        <v>7973853259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005010900098874000KD</v>
      </c>
      <c r="B70" s="11" t="str">
        <f>P4</f>
        <v>PN. Tembilahan</v>
      </c>
      <c r="C70" s="12" t="str">
        <f>A70&amp;" "&amp;B70</f>
        <v>005010900098874000KD PN. Tembilahan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6746144</v>
      </c>
      <c r="E73" s="25">
        <f>SUMIFS('Daftar Koreksi'!$H$5:$H$92,'Daftar Koreksi'!$D$5:$D$92,'0900'!A70,'Daftar Koreksi'!$G$5:$G$92,"Persediaan",'Daftar Koreksi'!$H$5:$H$92,"&gt;0")</f>
        <v>0</v>
      </c>
      <c r="F73" s="25">
        <f>SUMIFS('Daftar Koreksi'!$H$5:$H$92,'Daftar Koreksi'!$D$5:$D$92,'0900'!A70,'Daftar Koreksi'!$G$5:$G$92,"Persediaan",'Daftar Koreksi'!$H$5:$H$92,"&lt;0")-SUMIFS('Daftar Koreksi'!$H$5:$H$92,'Daftar Koreksi'!$D$5:$D$92,'0900'!A70,'Daftar Koreksi'!$G$5:$G$92,"Persediaan",'Daftar Koreksi'!$H$5:$H$92,"&lt;0")-SUMIFS('Daftar Koreksi'!$H$5:$H$92,'Daftar Koreksi'!$D$5:$D$92,'0900'!A70,'Daftar Koreksi'!$G$5:$G$92,"Persediaan",'Daftar Koreksi'!$H$5:$H$92,"&lt;0")</f>
        <v>0</v>
      </c>
      <c r="G73" s="17">
        <f>D73+E73-F73</f>
        <v>6746144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4376155000</v>
      </c>
      <c r="E74" s="25">
        <f>SUMIFS('Daftar Koreksi'!$H$5:$H$92,'Daftar Koreksi'!$D$5:$D$92,'0900'!A70,'Daftar Koreksi'!$G$5:$G$92,"Tanah",'Daftar Koreksi'!$H$5:$H$92,"&gt;0")</f>
        <v>0</v>
      </c>
      <c r="F74" s="25">
        <f>SUMIFS('Daftar Koreksi'!$H$5:$H$92,'Daftar Koreksi'!$D$5:$D$92,'0900'!A70,'Daftar Koreksi'!$G$5:$G$92,"Tanah",'Daftar Koreksi'!$H$5:$H$92,"&lt;0")-SUMIFS('Daftar Koreksi'!$H$5:$H$92,'Daftar Koreksi'!$D$5:$D$92,'0900'!A70,'Daftar Koreksi'!$G$5:$G$92,"Tanah",'Daftar Koreksi'!$H$5:$H$92,"&lt;0")-SUMIFS('Daftar Koreksi'!$H$5:$H$92,'Daftar Koreksi'!$D$5:$D$92,'0900'!A70,'Daftar Koreksi'!$G$5:$G$92,"Tanah",'Daftar Koreksi'!$H$5:$H$92,"&lt;0")</f>
        <v>0</v>
      </c>
      <c r="G74" s="17">
        <f t="shared" ref="G74:G90" si="3">D74+E74-F74</f>
        <v>4376155000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1695785878</v>
      </c>
      <c r="E75" s="25">
        <f>SUMIFS('Daftar Koreksi'!$H$5:$H$92,'Daftar Koreksi'!$D$5:$D$92,'0900'!A70,'Daftar Koreksi'!$G$5:$G$92,"Peralatan dan mesin",'Daftar Koreksi'!$H$5:$H$92,"&gt;0")</f>
        <v>0</v>
      </c>
      <c r="F75" s="25">
        <f>SUMIFS('Daftar Koreksi'!$H$5:$H$92,'Daftar Koreksi'!$D$5:$D$92,'0900'!A70,'Daftar Koreksi'!$G$5:$G$92,"Peralatan dan mesin",'Daftar Koreksi'!$H$5:$H$92,"&lt;0")-SUMIFS('Daftar Koreksi'!$H$5:$H$92,'Daftar Koreksi'!$D$5:$D$92,'0900'!A70,'Daftar Koreksi'!$G$5:$G$92,"Peralatan dan mesin",'Daftar Koreksi'!$H$5:$H$92,"&lt;0")-SUMIFS('Daftar Koreksi'!$H$5:$H$92,'Daftar Koreksi'!$D$5:$D$92,'0900'!A70,'Daftar Koreksi'!$G$5:$G$92,"Peralatan dan mesin",'Daftar Koreksi'!$H$5:$H$92,"&lt;0")</f>
        <v>0</v>
      </c>
      <c r="G75" s="17">
        <f t="shared" si="3"/>
        <v>1695785878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2655224112</v>
      </c>
      <c r="E76" s="25">
        <f>SUMIFS('Daftar Koreksi'!$H$5:$H$92,'Daftar Koreksi'!$D$5:$D$92,'0900'!A70,'Daftar Koreksi'!$G$5:$G$92,"Gedung dan Bangunan",'Daftar Koreksi'!$H$5:$H$92,"&gt;0")</f>
        <v>0</v>
      </c>
      <c r="F76" s="25">
        <f>SUMIFS('Daftar Koreksi'!$H$5:$H$92,'Daftar Koreksi'!$D$5:$D$92,'0900'!A70,'Daftar Koreksi'!$G$5:$G$92,"Gedung dan Bangunan",'Daftar Koreksi'!$H$5:$H$92,"&lt;0")-SUMIFS('Daftar Koreksi'!$H$5:$H$92,'Daftar Koreksi'!$D$5:$D$92,'0900'!A70,'Daftar Koreksi'!$G$5:$G$92,"Gedung dan Bangunan",'Daftar Koreksi'!$H$5:$H$92,"&lt;0")-SUMIFS('Daftar Koreksi'!$H$5:$H$92,'Daftar Koreksi'!$D$5:$D$92,'0900'!A70,'Daftar Koreksi'!$G$5:$G$92,"Gedung dan Bangunan",'Daftar Koreksi'!$H$5:$H$92,"&lt;0")</f>
        <v>0</v>
      </c>
      <c r="G76" s="17">
        <f t="shared" si="3"/>
        <v>2655224112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95127000</v>
      </c>
      <c r="E77" s="25">
        <f>SUMIFS('Daftar Koreksi'!$H$5:$H$92,'Daftar Koreksi'!$D$5:$D$92,'0900'!A70,'Daftar Koreksi'!$G$5:$G$92,"Jalan Irigasi Jaringan",'Daftar Koreksi'!$H$5:$H$92,"&gt;0")</f>
        <v>0</v>
      </c>
      <c r="F77" s="25">
        <f>SUMIFS('Daftar Koreksi'!$H$5:$H$92,'Daftar Koreksi'!$D$5:$D$92,'0900'!A70,'Daftar Koreksi'!$G$5:$G$92,"Jalan Irigasi Jaringan",'Daftar Koreksi'!$H$5:$H$92,"&lt;0")-SUMIFS('Daftar Koreksi'!$H$5:$H$92,'Daftar Koreksi'!$D$5:$D$92,'0900'!A70,'Daftar Koreksi'!$G$5:$G$92,"Jalan Irigasi Jaringan",'Daftar Koreksi'!$H$5:$H$92,"&lt;0")-SUMIFS('Daftar Koreksi'!$H$5:$H$92,'Daftar Koreksi'!$D$5:$D$92,'0900'!A70,'Daftar Koreksi'!$G$5:$G$92,"Jalan Irigasi Jaringan",'Daftar Koreksi'!$H$5:$H$92,"&lt;0")</f>
        <v>0</v>
      </c>
      <c r="G77" s="17">
        <f t="shared" si="3"/>
        <v>95127000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Koreksi'!$D$5:$D$92,'0900'!A70,'Daftar Koreksi'!$G$5:$G$92,"Aset Tetap Lainnya",'Daftar Koreksi'!$H$5:$H$92,"&gt;0")</f>
        <v>0</v>
      </c>
      <c r="F78" s="25">
        <f>SUMIFS('Daftar Koreksi'!$H$5:$H$92,'Daftar Koreksi'!$D$5:$D$92,'0900'!A70,'Daftar Koreksi'!$G$5:$G$92,"Aset Tetap Lainnya",'Daftar Koreksi'!$H$5:$H$92,"&lt;0")-SUMIFS('Daftar Koreksi'!$H$5:$H$92,'Daftar Koreksi'!$D$5:$D$92,'0900'!A70,'Daftar Koreksi'!$G$5:$G$92,"Aset Tetap Lainnya",'Daftar Koreksi'!$H$5:$H$92,"&lt;0")-SUMIFS('Daftar Koreksi'!$H$5:$H$92,'Daftar Koreksi'!$D$5:$D$92,'0900'!A70,'Daftar Koreksi'!$G$5:$G$92,"Aset Tetap Lainnya",'Daftar Koreksi'!$H$5:$H$92,"&lt;0")</f>
        <v>0</v>
      </c>
      <c r="G78" s="17">
        <f t="shared" si="3"/>
        <v>1943440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Koreksi'!$D$5:$D$92,'0900'!A70,'Daftar Koreksi'!$G$5:$G$92,"Kontruksi Dalam Pengerjaan",'Daftar Koreksi'!$H$5:$H$92,"&gt;0")</f>
        <v>0</v>
      </c>
      <c r="F79" s="25">
        <f>SUMIFS('Daftar Koreksi'!$H$5:$H$92,'Daftar Koreksi'!$D$5:$D$92,'0900'!A70,'Daftar Koreksi'!$G$5:$G$92,"Kontruksi Dalam Pengerjaan",'Daftar Koreksi'!$H$5:$H$92,"&lt;0")-SUMIFS('Daftar Koreksi'!$H$5:$H$92,'Daftar Koreksi'!$D$5:$D$92,'0900'!A70,'Daftar Koreksi'!$G$5:$G$92,"Kontruksi Dalam Pengerjaan",'Daftar Koreksi'!$H$5:$H$92,"&lt;0")-SUMIFS('Daftar Koreksi'!$H$5:$H$92,'Daftar Koreksi'!$D$5:$D$92,'0900'!A70,'Daftar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4945357</v>
      </c>
      <c r="E80" s="25">
        <f>SUMIFS('Daftar Koreksi'!$H$5:$H$92,'Daftar Koreksi'!$D$5:$D$92,'0900'!A70,'Daftar Koreksi'!$G$5:$G$92,"Aset Tak Berwujud",'Daftar Koreksi'!$H$5:$H$92,"&gt;0")</f>
        <v>0</v>
      </c>
      <c r="F80" s="25">
        <f>SUMIFS('Daftar Koreksi'!$H$5:$H$92,'Daftar Koreksi'!$D$5:$D$92,'0900'!A70,'Daftar Koreksi'!$G$5:$G$92,"Aset Tak Berwujud",'Daftar Koreksi'!$H$5:$H$92,"&lt;0")-SUMIFS('Daftar Koreksi'!$H$5:$H$92,'Daftar Koreksi'!$D$5:$D$92,'0900'!A70,'Daftar Koreksi'!$G$5:$G$92,"Aset Tak Berwujud",'Daftar Koreksi'!$H$5:$H$92,"&lt;0")-SUMIFS('Daftar Koreksi'!$H$5:$H$92,'Daftar Koreksi'!$D$5:$D$92,'0900'!A70,'Daftar Koreksi'!$G$5:$G$92,"Aset Tak Berwujud",'Daftar Koreksi'!$H$5:$H$92,"&lt;0")</f>
        <v>0</v>
      </c>
      <c r="G80" s="17">
        <f t="shared" si="3"/>
        <v>4945357</v>
      </c>
      <c r="H80" s="122"/>
    </row>
    <row r="81" spans="1:10" ht="21.95" customHeight="1">
      <c r="A81" s="14"/>
      <c r="B81" s="14"/>
      <c r="C81" s="16" t="s">
        <v>1173</v>
      </c>
      <c r="D81" s="17">
        <f>VLOOKUP(A70,'Neraca Unaudited SIMAK'!$A$2:$S$10004,11,FALSE)</f>
        <v>1398000</v>
      </c>
      <c r="E81" s="25">
        <f>SUMIFS('Daftar Koreksi'!$H$5:$H$92,'Daftar Koreksi'!$D$5:$D$92,'0900'!A70,'Daftar Koreksi'!$G$5:$G$92,"Aset Henti Guna",'Daftar Koreksi'!$H$5:$H$92,"&gt;0")</f>
        <v>0</v>
      </c>
      <c r="F81" s="25">
        <f>SUMIFS('Daftar Koreksi'!$H$5:$H$92,'Daftar Koreksi'!$D$5:$D$92,'0900'!A70,'Daftar Koreksi'!$G$5:$G$92,"Aset Henti Guna",'Daftar Koreksi'!$H$5:$H$92,"&lt;0")-SUMIFS('Daftar Koreksi'!$H$5:$H$92,'Daftar Koreksi'!$D$5:$D$92,'0900'!A70,'Daftar Koreksi'!$G$5:$G$92,"Aset Henti Guna",'Daftar Koreksi'!$H$5:$H$92,"&lt;0")-SUMIFS('Daftar Koreksi'!$H$5:$H$92,'Daftar Koreksi'!$D$5:$D$92,'0900'!A70,'Daftar Koreksi'!$G$5:$G$92,"Aset Henti Guna",'Daftar Koreksi'!$H$5:$H$92,"&lt;0")</f>
        <v>0</v>
      </c>
      <c r="G81" s="17">
        <f t="shared" si="3"/>
        <v>1398000</v>
      </c>
      <c r="H81" s="122"/>
    </row>
    <row r="82" spans="1:10" ht="21.95" customHeight="1">
      <c r="A82" s="14"/>
      <c r="B82" s="14"/>
      <c r="C82" s="18" t="s">
        <v>2093</v>
      </c>
      <c r="D82" s="19">
        <f>VLOOKUP(A70,'Neraca Unaudited SIMAK'!$A$2:$S$10004,12,FALSE)</f>
        <v>8837324931</v>
      </c>
      <c r="E82" s="19">
        <f>SUM(E73:E81)</f>
        <v>0</v>
      </c>
      <c r="F82" s="19">
        <f>SUM(F73:F81)</f>
        <v>0</v>
      </c>
      <c r="G82" s="19">
        <f t="shared" si="3"/>
        <v>8837324931</v>
      </c>
      <c r="H82" s="122"/>
    </row>
    <row r="83" spans="1:10" ht="21.95" customHeight="1">
      <c r="A83" s="14"/>
      <c r="B83" s="14"/>
      <c r="C83" s="16" t="s">
        <v>2087</v>
      </c>
      <c r="D83" s="17">
        <f>VLOOKUP(A70,'Neraca Unaudited SIMAK'!$A$2:$S$10004,13,FALSE)</f>
        <v>-1321345501</v>
      </c>
      <c r="E83" s="25">
        <f>SUMIFS('Daftar Koreksi'!$I$5:$I$92,'Daftar Koreksi'!$D$5:$D$92,'0900'!A70,'Daftar Koreksi'!$G$5:$G$92,"Peralatan dan mesin",'Daftar Koreksi'!$I$5:$I$92,"&gt;0")</f>
        <v>0</v>
      </c>
      <c r="F83" s="25">
        <f>SUMIFS('Daftar Koreksi'!$I$5:$I$92,'Daftar Koreksi'!$D$5:$D$92,'0900'!A70,'Daftar Koreksi'!$G$5:$G$92,"Peralatan dan mesin",'Daftar Koreksi'!$I$5:$I$92,"&lt;0")-SUMIFS('Daftar Koreksi'!$I$5:$I$92,'Daftar Koreksi'!$D$5:$D$92,'0900'!A70,'Daftar Koreksi'!$G$5:$G$92,"Peralatan dan mesin",'Daftar Koreksi'!$I$5:$I$92,"&lt;0")-SUMIFS('Daftar Koreksi'!$I$5:$I$92,'Daftar Koreksi'!$D$5:$D$92,'0900'!A70,'Daftar Koreksi'!$G$5:$G$92,"Peralatan dan mesin",'Daftar Koreksi'!$I$5:$I$92,"&lt;0")</f>
        <v>0</v>
      </c>
      <c r="G83" s="17">
        <f t="shared" si="3"/>
        <v>-1321345501</v>
      </c>
      <c r="H83" s="122"/>
    </row>
    <row r="84" spans="1:10" ht="21.95" customHeight="1">
      <c r="A84" s="14"/>
      <c r="B84" s="14"/>
      <c r="C84" s="16" t="s">
        <v>2088</v>
      </c>
      <c r="D84" s="17">
        <f>VLOOKUP(A70,'Neraca Unaudited SIMAK'!$A$2:$S$10004,14,FALSE)</f>
        <v>-890569664</v>
      </c>
      <c r="E84" s="25">
        <f>SUMIFS('Daftar Koreksi'!$I$5:$I$92,'Daftar Koreksi'!$D$5:$D$92,'0900'!A70,'Daftar Koreksi'!$G$5:$G$92,"Gedung dan Bangunan",'Daftar Koreksi'!$I$5:$I$92,"&gt;0")</f>
        <v>0</v>
      </c>
      <c r="F84" s="25">
        <f>SUMIFS('Daftar Koreksi'!$I$5:$I$92,'Daftar Koreksi'!$D$5:$D$92,'0900'!A70,'Daftar Koreksi'!$G$5:$G$92,"Gedung dan Bangunan",'Daftar Koreksi'!$I$5:$I$92,"&lt;0")-SUMIFS('Daftar Koreksi'!$I$5:$I$92,'Daftar Koreksi'!$D$5:$D$92,'0900'!A70,'Daftar Koreksi'!$G$5:$G$92,"Gedung dan Bangunan",'Daftar Koreksi'!$I$5:$I$92,"&lt;0")-SUMIFS('Daftar Koreksi'!$I$5:$I$92,'Daftar Koreksi'!$D$5:$D$92,'0900'!A70,'Daftar Koreksi'!$G$5:$G$92,"Gedung dan Bangunan",'Daftar Koreksi'!$I$5:$I$92,"&lt;0")</f>
        <v>0</v>
      </c>
      <c r="G84" s="17">
        <f t="shared" si="3"/>
        <v>-890569664</v>
      </c>
      <c r="H84" s="122"/>
    </row>
    <row r="85" spans="1:10" ht="21.95" customHeight="1">
      <c r="A85" s="14"/>
      <c r="B85" s="14"/>
      <c r="C85" s="16" t="s">
        <v>2089</v>
      </c>
      <c r="D85" s="17">
        <f>VLOOKUP(A70,'Neraca Unaudited SIMAK'!$A$2:$S$10004,15,FALSE)</f>
        <v>-15458138</v>
      </c>
      <c r="E85" s="25">
        <f>SUMIFS('Daftar Koreksi'!$I$5:$I$92,'Daftar Koreksi'!$D$5:$D$92,'0900'!A70,'Daftar Koreksi'!$G$5:$G$92,"Jalan Irigasi Jaringan",'Daftar Koreksi'!$I$5:$I$92,"&gt;0")</f>
        <v>0</v>
      </c>
      <c r="F85" s="25">
        <f>SUMIFS('Daftar Koreksi'!$I$5:$I$92,'Daftar Koreksi'!$D$5:$D$92,'0900'!A70,'Daftar Koreksi'!$G$5:$G$92,"Jalan Irigasi Jaringan",'Daftar Koreksi'!$I$5:$I$92,"&lt;0")-SUMIFS('Daftar Koreksi'!$I$5:$I$92,'Daftar Koreksi'!$D$5:$D$92,'0900'!A70,'Daftar Koreksi'!$G$5:$G$92,"Jalan Irigasi Jaringan",'Daftar Koreksi'!$I$5:$I$92,"&lt;0")-SUMIFS('Daftar Koreksi'!$I$5:$I$92,'Daftar Koreksi'!$D$5:$D$92,'0900'!A70,'Daftar Koreksi'!$G$5:$G$92,"Jalan Irigasi Jaringan",'Daftar Koreksi'!$I$5:$I$92,"&lt;0")</f>
        <v>0</v>
      </c>
      <c r="G85" s="17">
        <f t="shared" si="3"/>
        <v>-15458138</v>
      </c>
      <c r="H85" s="122"/>
    </row>
    <row r="86" spans="1:10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Koreksi'!$D$5:$D$92,'0900'!A70,'Daftar Koreksi'!$G$5:$G$92,"Aset Tetap Lainnya",'Daftar Koreksi'!$I$5:$I$92,"&gt;0")</f>
        <v>0</v>
      </c>
      <c r="F86" s="25">
        <f>SUMIFS('Daftar Koreksi'!$I$5:$I$92,'Daftar Koreksi'!$D$5:$D$92,'0900'!A70,'Daftar Koreksi'!$G$5:$G$92,"Aset Tetap Lainnya",'Daftar Koreksi'!$I$5:$I$92,"&lt;0")-SUMIFS('Daftar Koreksi'!$I$5:$I$92,'Daftar Koreksi'!$D$5:$D$92,'0900'!A70,'Daftar Koreksi'!$G$5:$G$92,"Aset Tetap Lainnya",'Daftar Koreksi'!$I$5:$I$92,"&lt;0")-SUMIFS('Daftar Koreksi'!$I$5:$I$92,'Daftar Koreksi'!$D$5:$D$92,'0900'!A70,'Daftar Koreksi'!$G$5:$G$92,"Aset Tetap Lainnya",'Daftar Koreksi'!$I$5:$I$92,"&lt;0")</f>
        <v>0</v>
      </c>
      <c r="G86" s="17">
        <f t="shared" si="3"/>
        <v>0</v>
      </c>
      <c r="H86" s="122"/>
    </row>
    <row r="87" spans="1:10" ht="21.95" customHeight="1">
      <c r="A87" s="14"/>
      <c r="B87" s="14"/>
      <c r="C87" s="16" t="s">
        <v>2020</v>
      </c>
      <c r="D87" s="17">
        <f>VLOOKUP(A70,'Neraca Unaudited SIMAK'!$A$2:$S$10004,17,FALSE)</f>
        <v>-1398000</v>
      </c>
      <c r="E87" s="25">
        <f>SUMIFS('Daftar Koreksi'!$I$5:$I$92,'Daftar Koreksi'!$D$5:$D$92,'0900'!A70,'Daftar Koreksi'!$G$5:$G$92,"Aset Henti Guna",'Daftar Koreksi'!$I$5:$I$92,"&gt;0")</f>
        <v>0</v>
      </c>
      <c r="F87" s="25">
        <f>SUMIFS('Daftar Koreksi'!$I$5:$I$92,'Daftar Koreksi'!$D$5:$D$92,'0900'!A70,'Daftar Koreksi'!$G$5:$G$92,"Aset Henti Guna",'Daftar Koreksi'!$I$5:$I$92,"&lt;0")-SUMIFS('Daftar Koreksi'!$I$5:$I$92,'Daftar Koreksi'!$D$5:$D$92,'0900'!A70,'Daftar Koreksi'!$G$5:$G$92,"Aset Henti Guna",'Daftar Koreksi'!$I$5:$I$92,"&lt;0")-SUMIFS('Daftar Koreksi'!$I$5:$I$92,'Daftar Koreksi'!$D$5:$D$92,'0900'!A70,'Daftar Koreksi'!$G$5:$G$92,"Aset Henti Guna",'Daftar Koreksi'!$I$5:$I$92,"&lt;0")</f>
        <v>0</v>
      </c>
      <c r="G87" s="17">
        <f t="shared" si="3"/>
        <v>-1398000</v>
      </c>
      <c r="H87" s="122"/>
    </row>
    <row r="88" spans="1:10" ht="21.95" customHeight="1">
      <c r="A88" s="14"/>
      <c r="B88" s="14"/>
      <c r="C88" s="18" t="s">
        <v>2094</v>
      </c>
      <c r="D88" s="19">
        <f>SUM(D83:D87)</f>
        <v>-2228771303</v>
      </c>
      <c r="E88" s="19">
        <f>SUM(E83:E87)</f>
        <v>0</v>
      </c>
      <c r="F88" s="19">
        <f>SUM(F83:F87)</f>
        <v>0</v>
      </c>
      <c r="G88" s="19">
        <f t="shared" si="3"/>
        <v>-2228771303</v>
      </c>
      <c r="H88" s="122"/>
    </row>
    <row r="89" spans="1:10" ht="21.95" customHeight="1">
      <c r="A89" s="14"/>
      <c r="B89" s="14"/>
      <c r="C89" s="18" t="s">
        <v>2095</v>
      </c>
      <c r="D89" s="19">
        <f>VLOOKUP(A70,'Neraca Unaudited SIMAK'!$A$2:$S$10004,18,FALSE)</f>
        <v>6608553628</v>
      </c>
      <c r="E89" s="19">
        <f>E88+E82</f>
        <v>0</v>
      </c>
      <c r="F89" s="19">
        <f>F88+F82</f>
        <v>0</v>
      </c>
      <c r="G89" s="19">
        <f t="shared" si="3"/>
        <v>6608553628</v>
      </c>
      <c r="H89" s="122"/>
    </row>
    <row r="90" spans="1:10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10" ht="19.5" customHeight="1">
      <c r="A92" s="11" t="str">
        <f>O5</f>
        <v>005010900400141000KD</v>
      </c>
      <c r="B92" s="11" t="str">
        <f>P5</f>
        <v>PN. Bangkinang</v>
      </c>
      <c r="C92" s="12" t="str">
        <f>A92&amp;" "&amp;B92</f>
        <v>005010900400141000KD PN. Bangkinang</v>
      </c>
      <c r="D92" s="13"/>
      <c r="E92" s="13"/>
      <c r="F92" s="13"/>
      <c r="G92" s="13"/>
      <c r="H92" s="11"/>
    </row>
    <row r="93" spans="1:10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10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10" ht="21.95" customHeight="1">
      <c r="A95" s="14"/>
      <c r="B95" s="14"/>
      <c r="C95" s="16" t="s">
        <v>1165</v>
      </c>
      <c r="D95" s="17">
        <f>VLOOKUP(A92,'Neraca Unaudited SIMAK'!$A$2:$S$10004,3,FALSE)</f>
        <v>8510000</v>
      </c>
      <c r="E95" s="25">
        <f>SUMIFS('Daftar Koreksi'!$H$5:$H$92,'Daftar Koreksi'!$D$5:$D$92,'0900'!A92,'Daftar Koreksi'!$G$5:$G$92,"Persediaan",'Daftar Koreksi'!$H$5:$H$92,"&gt;0")</f>
        <v>0</v>
      </c>
      <c r="F95" s="25">
        <f>SUMIFS('Daftar Koreksi'!$H$5:$H$92,'Daftar Koreksi'!$D$5:$D$92,'0900'!A92,'Daftar Koreksi'!$G$5:$G$92,"Persediaan",'Daftar Koreksi'!$H$5:$H$92,"&lt;0")-SUMIFS('Daftar Koreksi'!$H$5:$H$92,'Daftar Koreksi'!$D$5:$D$92,'0900'!A92,'Daftar Koreksi'!$G$5:$G$92,"Persediaan",'Daftar Koreksi'!$H$5:$H$92,"&lt;0")-SUMIFS('Daftar Koreksi'!$H$5:$H$92,'Daftar Koreksi'!$D$5:$D$92,'0900'!A92,'Daftar Koreksi'!$G$5:$G$92,"Persediaan",'Daftar Koreksi'!$H$5:$H$92,"&lt;0")</f>
        <v>0</v>
      </c>
      <c r="G95" s="17">
        <f>D95+E95-F95</f>
        <v>8510000</v>
      </c>
      <c r="H95" s="121" t="str">
        <f>IF(ISNA(VLOOKUP(A92,'Mutasi Neraca'!$A$3:$S$914,19,FALSE)),"-",VLOOKUP(A92,'Mutasi Neraca'!$A$3:$S$914,19,FALSE))</f>
        <v>-</v>
      </c>
      <c r="I95" s="28"/>
      <c r="J95" s="28"/>
    </row>
    <row r="96" spans="1:10" ht="21.95" customHeight="1">
      <c r="A96" s="14"/>
      <c r="B96" s="14"/>
      <c r="C96" s="16" t="s">
        <v>1166</v>
      </c>
      <c r="D96" s="17">
        <f>VLOOKUP(A92,'Neraca Unaudited SIMAK'!$A$2:$S$10004,4,FALSE)</f>
        <v>2678300000</v>
      </c>
      <c r="E96" s="25">
        <f>SUMIFS('Daftar Koreksi'!$H$5:$H$92,'Daftar Koreksi'!$D$5:$D$92,'0900'!A92,'Daftar Koreksi'!$G$5:$G$92,"Tanah",'Daftar Koreksi'!$H$5:$H$92,"&gt;0")</f>
        <v>0</v>
      </c>
      <c r="F96" s="25">
        <f>SUMIFS('Daftar Koreksi'!$H$5:$H$92,'Daftar Koreksi'!$D$5:$D$92,'0900'!A92,'Daftar Koreksi'!$G$5:$G$92,"Tanah",'Daftar Koreksi'!$H$5:$H$92,"&lt;0")-SUMIFS('Daftar Koreksi'!$H$5:$H$92,'Daftar Koreksi'!$D$5:$D$92,'0900'!A92,'Daftar Koreksi'!$G$5:$G$92,"Tanah",'Daftar Koreksi'!$H$5:$H$92,"&lt;0")-SUMIFS('Daftar Koreksi'!$H$5:$H$92,'Daftar Koreksi'!$D$5:$D$92,'0900'!A92,'Daftar Koreksi'!$G$5:$G$92,"Tanah",'Daftar Koreksi'!$H$5:$H$92,"&lt;0")</f>
        <v>0</v>
      </c>
      <c r="G96" s="17">
        <f t="shared" ref="G96:G112" si="4">D96+E96-F96</f>
        <v>2678300000</v>
      </c>
      <c r="H96" s="122"/>
      <c r="I96" s="28"/>
      <c r="J96" s="28"/>
    </row>
    <row r="97" spans="1:10" ht="21.95" customHeight="1">
      <c r="A97" s="14"/>
      <c r="B97" s="14"/>
      <c r="C97" s="16" t="s">
        <v>1167</v>
      </c>
      <c r="D97" s="17">
        <f>VLOOKUP(A92,'Neraca Unaudited SIMAK'!$A$2:$S$10004,5,FALSE)</f>
        <v>1944612465</v>
      </c>
      <c r="E97" s="25">
        <f>SUMIFS('Daftar Koreksi'!$H$5:$H$92,'Daftar Koreksi'!$D$5:$D$92,'0900'!A92,'Daftar Koreksi'!$G$5:$G$92,"Peralatan dan mesin",'Daftar Koreksi'!$H$5:$H$92,"&gt;0")</f>
        <v>0</v>
      </c>
      <c r="F97" s="25">
        <f>SUMIFS('Daftar Koreksi'!$H$5:$H$92,'Daftar Koreksi'!$D$5:$D$92,'0900'!A92,'Daftar Koreksi'!$G$5:$G$92,"Peralatan dan mesin",'Daftar Koreksi'!$H$5:$H$92,"&lt;0")-SUMIFS('Daftar Koreksi'!$H$5:$H$92,'Daftar Koreksi'!$D$5:$D$92,'0900'!A92,'Daftar Koreksi'!$G$5:$G$92,"Peralatan dan mesin",'Daftar Koreksi'!$H$5:$H$92,"&lt;0")-SUMIFS('Daftar Koreksi'!$H$5:$H$92,'Daftar Koreksi'!$D$5:$D$92,'0900'!A92,'Daftar Koreksi'!$G$5:$G$92,"Peralatan dan mesin",'Daftar Koreksi'!$H$5:$H$92,"&lt;0")</f>
        <v>0</v>
      </c>
      <c r="G97" s="17">
        <f t="shared" si="4"/>
        <v>1944612465</v>
      </c>
      <c r="H97" s="122"/>
      <c r="I97" s="28"/>
      <c r="J97" s="28"/>
    </row>
    <row r="98" spans="1:10" ht="21.95" customHeight="1">
      <c r="A98" s="14"/>
      <c r="B98" s="14"/>
      <c r="C98" s="16" t="s">
        <v>1168</v>
      </c>
      <c r="D98" s="17">
        <f>VLOOKUP(A92,'Neraca Unaudited SIMAK'!$A$2:$S$10004,6,FALSE)</f>
        <v>5148735800</v>
      </c>
      <c r="E98" s="25">
        <f>SUMIFS('Daftar Koreksi'!$H$5:$H$92,'Daftar Koreksi'!$D$5:$D$92,'0900'!A92,'Daftar Koreksi'!$G$5:$G$92,"Gedung dan Bangunan",'Daftar Koreksi'!$H$5:$H$92,"&gt;0")</f>
        <v>0</v>
      </c>
      <c r="F98" s="25">
        <f>SUMIFS('Daftar Koreksi'!$H$5:$H$92,'Daftar Koreksi'!$D$5:$D$92,'0900'!A92,'Daftar Koreksi'!$G$5:$G$92,"Gedung dan Bangunan",'Daftar Koreksi'!$H$5:$H$92,"&lt;0")-SUMIFS('Daftar Koreksi'!$H$5:$H$92,'Daftar Koreksi'!$D$5:$D$92,'0900'!A92,'Daftar Koreksi'!$G$5:$G$92,"Gedung dan Bangunan",'Daftar Koreksi'!$H$5:$H$92,"&lt;0")-SUMIFS('Daftar Koreksi'!$H$5:$H$92,'Daftar Koreksi'!$D$5:$D$92,'0900'!A92,'Daftar Koreksi'!$G$5:$G$92,"Gedung dan Bangunan",'Daftar Koreksi'!$H$5:$H$92,"&lt;0")</f>
        <v>0</v>
      </c>
      <c r="G98" s="17">
        <f t="shared" si="4"/>
        <v>5148735800</v>
      </c>
      <c r="H98" s="122"/>
      <c r="I98" s="28"/>
      <c r="J98" s="28"/>
    </row>
    <row r="99" spans="1:10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Koreksi'!$D$5:$D$92,'0900'!A92,'Daftar Koreksi'!$G$5:$G$92,"Jalan Irigasi Jaringan",'Daftar Koreksi'!$H$5:$H$92,"&gt;0")</f>
        <v>0</v>
      </c>
      <c r="F99" s="25">
        <f>SUMIFS('Daftar Koreksi'!$H$5:$H$92,'Daftar Koreksi'!$D$5:$D$92,'0900'!A92,'Daftar Koreksi'!$G$5:$G$92,"Jalan Irigasi Jaringan",'Daftar Koreksi'!$H$5:$H$92,"&lt;0")-SUMIFS('Daftar Koreksi'!$H$5:$H$92,'Daftar Koreksi'!$D$5:$D$92,'0900'!A92,'Daftar Koreksi'!$G$5:$G$92,"Jalan Irigasi Jaringan",'Daftar Koreksi'!$H$5:$H$92,"&lt;0")-SUMIFS('Daftar Koreksi'!$H$5:$H$92,'Daftar Koreksi'!$D$5:$D$92,'0900'!A92,'Daftar Koreksi'!$G$5:$G$92,"Jalan Irigasi Jaringan",'Daftar Koreksi'!$H$5:$H$92,"&lt;0")</f>
        <v>0</v>
      </c>
      <c r="G99" s="17">
        <f t="shared" si="4"/>
        <v>0</v>
      </c>
      <c r="H99" s="122"/>
      <c r="I99" s="28"/>
      <c r="J99" s="28"/>
    </row>
    <row r="100" spans="1:10" ht="21.95" customHeight="1">
      <c r="A100" s="14"/>
      <c r="B100" s="14"/>
      <c r="C100" s="16" t="s">
        <v>1170</v>
      </c>
      <c r="D100" s="17">
        <f>VLOOKUP(A92,'Neraca Unaudited SIMAK'!$A$2:$S$10004,8,FALSE)</f>
        <v>84477440</v>
      </c>
      <c r="E100" s="25">
        <f>SUMIFS('Daftar Koreksi'!$H$5:$H$92,'Daftar Koreksi'!$D$5:$D$92,'0900'!A92,'Daftar Koreksi'!$G$5:$G$92,"Aset Tetap Lainnya",'Daftar Koreksi'!$H$5:$H$92,"&gt;0")</f>
        <v>0</v>
      </c>
      <c r="F100" s="25">
        <f>SUMIFS('Daftar Koreksi'!$H$5:$H$92,'Daftar Koreksi'!$D$5:$D$92,'0900'!A92,'Daftar Koreksi'!$G$5:$G$92,"Aset Tetap Lainnya",'Daftar Koreksi'!$H$5:$H$92,"&lt;0")-SUMIFS('Daftar Koreksi'!$H$5:$H$92,'Daftar Koreksi'!$D$5:$D$92,'0900'!A92,'Daftar Koreksi'!$G$5:$G$92,"Aset Tetap Lainnya",'Daftar Koreksi'!$H$5:$H$92,"&lt;0")-SUMIFS('Daftar Koreksi'!$H$5:$H$92,'Daftar Koreksi'!$D$5:$D$92,'0900'!A92,'Daftar Koreksi'!$G$5:$G$92,"Aset Tetap Lainnya",'Daftar Koreksi'!$H$5:$H$92,"&lt;0")</f>
        <v>0</v>
      </c>
      <c r="G100" s="17">
        <f t="shared" si="4"/>
        <v>84477440</v>
      </c>
      <c r="H100" s="122"/>
      <c r="I100" s="28"/>
      <c r="J100" s="28"/>
    </row>
    <row r="101" spans="1:10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Koreksi'!$D$5:$D$92,'0900'!A92,'Daftar Koreksi'!$G$5:$G$92,"Kontruksi Dalam Pengerjaan",'Daftar Koreksi'!$H$5:$H$92,"&gt;0")</f>
        <v>0</v>
      </c>
      <c r="F101" s="25">
        <f>SUMIFS('Daftar Koreksi'!$H$5:$H$92,'Daftar Koreksi'!$D$5:$D$92,'0900'!A92,'Daftar Koreksi'!$G$5:$G$92,"Kontruksi Dalam Pengerjaan",'Daftar Koreksi'!$H$5:$H$92,"&lt;0")-SUMIFS('Daftar Koreksi'!$H$5:$H$92,'Daftar Koreksi'!$D$5:$D$92,'0900'!A92,'Daftar Koreksi'!$G$5:$G$92,"Kontruksi Dalam Pengerjaan",'Daftar Koreksi'!$H$5:$H$92,"&lt;0")-SUMIFS('Daftar Koreksi'!$H$5:$H$92,'Daftar Koreksi'!$D$5:$D$92,'0900'!A92,'Daftar Koreksi'!$G$5:$G$92,"Kontruksi Dalam Pengerjaan",'Daftar Koreksi'!$H$5:$H$92,"&lt;0")</f>
        <v>0</v>
      </c>
      <c r="G101" s="17">
        <f t="shared" si="4"/>
        <v>0</v>
      </c>
      <c r="H101" s="122"/>
      <c r="I101" s="28"/>
      <c r="J101" s="28"/>
    </row>
    <row r="102" spans="1:10" ht="21.95" customHeight="1">
      <c r="A102" s="14"/>
      <c r="B102" s="14"/>
      <c r="C102" s="16" t="s">
        <v>1172</v>
      </c>
      <c r="D102" s="17">
        <f>VLOOKUP(A92,'Neraca Unaudited SIMAK'!$A$2:$S$10004,10,FALSE)</f>
        <v>29480000</v>
      </c>
      <c r="E102" s="25">
        <f>SUMIFS('Daftar Koreksi'!$H$5:$H$92,'Daftar Koreksi'!$D$5:$D$92,'0900'!A92,'Daftar Koreksi'!$G$5:$G$92,"Aset Tak Berwujud",'Daftar Koreksi'!$H$5:$H$92,"&gt;0")</f>
        <v>0</v>
      </c>
      <c r="F102" s="25">
        <f>SUMIFS('Daftar Koreksi'!$H$5:$H$92,'Daftar Koreksi'!$D$5:$D$92,'0900'!A92,'Daftar Koreksi'!$G$5:$G$92,"Aset Tak Berwujud",'Daftar Koreksi'!$H$5:$H$92,"&lt;0")-SUMIFS('Daftar Koreksi'!$H$5:$H$92,'Daftar Koreksi'!$D$5:$D$92,'0900'!A92,'Daftar Koreksi'!$G$5:$G$92,"Aset Tak Berwujud",'Daftar Koreksi'!$H$5:$H$92,"&lt;0")-SUMIFS('Daftar Koreksi'!$H$5:$H$92,'Daftar Koreksi'!$D$5:$D$92,'0900'!A92,'Daftar Koreksi'!$G$5:$G$92,"Aset Tak Berwujud",'Daftar Koreksi'!$H$5:$H$92,"&lt;0")</f>
        <v>0</v>
      </c>
      <c r="G102" s="17">
        <f t="shared" si="4"/>
        <v>29480000</v>
      </c>
      <c r="H102" s="122"/>
      <c r="I102" s="28"/>
      <c r="J102" s="28"/>
    </row>
    <row r="103" spans="1:10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Koreksi'!$D$5:$D$92,'0900'!A92,'Daftar Koreksi'!$G$5:$G$92,"Aset Henti Guna",'Daftar Koreksi'!$H$5:$H$92,"&gt;0")</f>
        <v>0</v>
      </c>
      <c r="F103" s="25">
        <f>SUMIFS('Daftar Koreksi'!$H$5:$H$92,'Daftar Koreksi'!$D$5:$D$92,'0900'!A92,'Daftar Koreksi'!$G$5:$G$92,"Aset Henti Guna",'Daftar Koreksi'!$H$5:$H$92,"&lt;0")-SUMIFS('Daftar Koreksi'!$H$5:$H$92,'Daftar Koreksi'!$D$5:$D$92,'0900'!A92,'Daftar Koreksi'!$G$5:$G$92,"Aset Henti Guna",'Daftar Koreksi'!$H$5:$H$92,"&lt;0")-SUMIFS('Daftar Koreksi'!$H$5:$H$92,'Daftar Koreksi'!$D$5:$D$92,'0900'!A92,'Daftar Koreksi'!$G$5:$G$92,"Aset Henti Guna",'Daftar Koreksi'!$H$5:$H$92,"&lt;0")</f>
        <v>0</v>
      </c>
      <c r="G103" s="17">
        <f t="shared" si="4"/>
        <v>0</v>
      </c>
      <c r="H103" s="122"/>
      <c r="I103" s="28"/>
      <c r="J103" s="28"/>
    </row>
    <row r="104" spans="1:10" ht="21.95" customHeight="1">
      <c r="A104" s="14"/>
      <c r="B104" s="14"/>
      <c r="C104" s="18" t="s">
        <v>2093</v>
      </c>
      <c r="D104" s="19">
        <f>VLOOKUP(A92,'Neraca Unaudited SIMAK'!$A$2:$S$10004,12,FALSE)</f>
        <v>9894115705</v>
      </c>
      <c r="E104" s="19">
        <f>SUM(E95:E103)</f>
        <v>0</v>
      </c>
      <c r="F104" s="19">
        <f>SUM(F95:F103)</f>
        <v>0</v>
      </c>
      <c r="G104" s="19">
        <f t="shared" si="4"/>
        <v>9894115705</v>
      </c>
      <c r="H104" s="122"/>
      <c r="I104" s="28"/>
      <c r="J104" s="28"/>
    </row>
    <row r="105" spans="1:10" ht="21.95" customHeight="1">
      <c r="A105" s="14"/>
      <c r="B105" s="14"/>
      <c r="C105" s="16" t="s">
        <v>2087</v>
      </c>
      <c r="D105" s="17">
        <f>VLOOKUP(A92,'Neraca Unaudited SIMAK'!$A$2:$S$10004,13,FALSE)</f>
        <v>-1541863212</v>
      </c>
      <c r="E105" s="25">
        <f>SUMIFS('Daftar Koreksi'!$I$5:$I$92,'Daftar Koreksi'!$D$5:$D$92,'0900'!A92,'Daftar Koreksi'!$G$5:$G$92,"Peralatan dan mesin",'Daftar Koreksi'!$I$5:$I$92,"&gt;0")</f>
        <v>0</v>
      </c>
      <c r="F105" s="25">
        <f>SUMIFS('Daftar Koreksi'!$I$5:$I$92,'Daftar Koreksi'!$D$5:$D$92,'0900'!A92,'Daftar Koreksi'!$G$5:$G$92,"Peralatan dan mesin",'Daftar Koreksi'!$I$5:$I$92,"&lt;0")-SUMIFS('Daftar Koreksi'!$I$5:$I$92,'Daftar Koreksi'!$D$5:$D$92,'0900'!A92,'Daftar Koreksi'!$G$5:$G$92,"Peralatan dan mesin",'Daftar Koreksi'!$I$5:$I$92,"&lt;0")-SUMIFS('Daftar Koreksi'!$I$5:$I$92,'Daftar Koreksi'!$D$5:$D$92,'0900'!A92,'Daftar Koreksi'!$G$5:$G$92,"Peralatan dan mesin",'Daftar Koreksi'!$I$5:$I$92,"&lt;0")</f>
        <v>0</v>
      </c>
      <c r="G105" s="17">
        <f t="shared" si="4"/>
        <v>-1541863212</v>
      </c>
      <c r="H105" s="122"/>
      <c r="I105" s="28"/>
      <c r="J105" s="28"/>
    </row>
    <row r="106" spans="1:10" ht="21.95" customHeight="1">
      <c r="A106" s="14"/>
      <c r="B106" s="14"/>
      <c r="C106" s="16" t="s">
        <v>2088</v>
      </c>
      <c r="D106" s="17">
        <f>VLOOKUP(A92,'Neraca Unaudited SIMAK'!$A$2:$S$10004,14,FALSE)</f>
        <v>-2060237306</v>
      </c>
      <c r="E106" s="25">
        <f>SUMIFS('Daftar Koreksi'!$I$5:$I$92,'Daftar Koreksi'!$D$5:$D$92,'0900'!A92,'Daftar Koreksi'!$G$5:$G$92,"Gedung dan Bangunan",'Daftar Koreksi'!$I$5:$I$92,"&gt;0")</f>
        <v>0</v>
      </c>
      <c r="F106" s="25">
        <f>SUMIFS('Daftar Koreksi'!$I$5:$I$92,'Daftar Koreksi'!$D$5:$D$92,'0900'!A92,'Daftar Koreksi'!$G$5:$G$92,"Gedung dan Bangunan",'Daftar Koreksi'!$I$5:$I$92,"&lt;0")-SUMIFS('Daftar Koreksi'!$I$5:$I$92,'Daftar Koreksi'!$D$5:$D$92,'0900'!A92,'Daftar Koreksi'!$G$5:$G$92,"Gedung dan Bangunan",'Daftar Koreksi'!$I$5:$I$92,"&lt;0")-SUMIFS('Daftar Koreksi'!$I$5:$I$92,'Daftar Koreksi'!$D$5:$D$92,'0900'!A92,'Daftar Koreksi'!$G$5:$G$92,"Gedung dan Bangunan",'Daftar Koreksi'!$I$5:$I$92,"&lt;0")</f>
        <v>0</v>
      </c>
      <c r="G106" s="17">
        <f t="shared" si="4"/>
        <v>-2060237306</v>
      </c>
      <c r="H106" s="122"/>
      <c r="I106" s="28"/>
      <c r="J106" s="28"/>
    </row>
    <row r="107" spans="1:10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Koreksi'!$D$5:$D$92,'0900'!A92,'Daftar Koreksi'!$G$5:$G$92,"Jalan Irigasi Jaringan",'Daftar Koreksi'!$I$5:$I$92,"&gt;0")</f>
        <v>0</v>
      </c>
      <c r="F107" s="25">
        <f>SUMIFS('Daftar Koreksi'!$I$5:$I$92,'Daftar Koreksi'!$D$5:$D$92,'0900'!A92,'Daftar Koreksi'!$G$5:$G$92,"Jalan Irigasi Jaringan",'Daftar Koreksi'!$I$5:$I$92,"&lt;0")-SUMIFS('Daftar Koreksi'!$I$5:$I$92,'Daftar Koreksi'!$D$5:$D$92,'0900'!A92,'Daftar Koreksi'!$G$5:$G$92,"Jalan Irigasi Jaringan",'Daftar Koreksi'!$I$5:$I$92,"&lt;0")-SUMIFS('Daftar Koreksi'!$I$5:$I$92,'Daftar Koreksi'!$D$5:$D$92,'0900'!A92,'Daftar Koreksi'!$G$5:$G$92,"Jalan Irigasi Jaringan",'Daftar Koreksi'!$I$5:$I$92,"&lt;0")</f>
        <v>0</v>
      </c>
      <c r="G107" s="17">
        <f t="shared" si="4"/>
        <v>0</v>
      </c>
      <c r="H107" s="122"/>
      <c r="I107" s="28"/>
      <c r="J107" s="28"/>
    </row>
    <row r="108" spans="1:10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Koreksi'!$D$5:$D$92,'0900'!A92,'Daftar Koreksi'!$G$5:$G$92,"Aset Tetap Lainnya",'Daftar Koreksi'!$I$5:$I$92,"&gt;0")</f>
        <v>0</v>
      </c>
      <c r="F108" s="25">
        <f>SUMIFS('Daftar Koreksi'!$I$5:$I$92,'Daftar Koreksi'!$D$5:$D$92,'0900'!A92,'Daftar Koreksi'!$G$5:$G$92,"Aset Tetap Lainnya",'Daftar Koreksi'!$I$5:$I$92,"&lt;0")-SUMIFS('Daftar Koreksi'!$I$5:$I$92,'Daftar Koreksi'!$D$5:$D$92,'0900'!A92,'Daftar Koreksi'!$G$5:$G$92,"Aset Tetap Lainnya",'Daftar Koreksi'!$I$5:$I$92,"&lt;0")-SUMIFS('Daftar Koreksi'!$I$5:$I$92,'Daftar Koreksi'!$D$5:$D$92,'0900'!A92,'Daftar Koreksi'!$G$5:$G$92,"Aset Tetap Lainnya",'Daftar Koreksi'!$I$5:$I$92,"&lt;0")</f>
        <v>0</v>
      </c>
      <c r="G108" s="17">
        <f t="shared" si="4"/>
        <v>0</v>
      </c>
      <c r="H108" s="122"/>
      <c r="I108" s="28"/>
      <c r="J108" s="28"/>
    </row>
    <row r="109" spans="1:10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Koreksi'!$D$5:$D$92,'0900'!A92,'Daftar Koreksi'!$G$5:$G$92,"Aset Henti Guna",'Daftar Koreksi'!$I$5:$I$92,"&gt;0")</f>
        <v>0</v>
      </c>
      <c r="F109" s="25">
        <f>SUMIFS('Daftar Koreksi'!$I$5:$I$92,'Daftar Koreksi'!$D$5:$D$92,'0900'!A92,'Daftar Koreksi'!$G$5:$G$92,"Aset Henti Guna",'Daftar Koreksi'!$I$5:$I$92,"&lt;0")-SUMIFS('Daftar Koreksi'!$I$5:$I$92,'Daftar Koreksi'!$D$5:$D$92,'0900'!A92,'Daftar Koreksi'!$G$5:$G$92,"Aset Henti Guna",'Daftar Koreksi'!$I$5:$I$92,"&lt;0")-SUMIFS('Daftar Koreksi'!$I$5:$I$92,'Daftar Koreksi'!$D$5:$D$92,'0900'!A92,'Daftar Koreksi'!$G$5:$G$92,"Aset Henti Guna",'Daftar Koreksi'!$I$5:$I$92,"&lt;0")</f>
        <v>0</v>
      </c>
      <c r="G109" s="17">
        <f t="shared" si="4"/>
        <v>0</v>
      </c>
      <c r="H109" s="122"/>
      <c r="I109" s="28"/>
      <c r="J109" s="28"/>
    </row>
    <row r="110" spans="1:10" ht="21.95" customHeight="1">
      <c r="A110" s="14"/>
      <c r="B110" s="14"/>
      <c r="C110" s="18" t="s">
        <v>2094</v>
      </c>
      <c r="D110" s="19">
        <f>SUM(D105:D109)</f>
        <v>-3602100518</v>
      </c>
      <c r="E110" s="19">
        <f>SUM(E105:E109)</f>
        <v>0</v>
      </c>
      <c r="F110" s="19">
        <f>SUM(F105:F109)</f>
        <v>0</v>
      </c>
      <c r="G110" s="19">
        <f t="shared" si="4"/>
        <v>-3602100518</v>
      </c>
      <c r="H110" s="122"/>
      <c r="I110" s="28"/>
      <c r="J110" s="28"/>
    </row>
    <row r="111" spans="1:10" ht="21.95" customHeight="1">
      <c r="A111" s="14"/>
      <c r="B111" s="14"/>
      <c r="C111" s="18" t="s">
        <v>2095</v>
      </c>
      <c r="D111" s="19">
        <f>VLOOKUP(A92,'Neraca Unaudited SIMAK'!$A$2:$S$10004,18,FALSE)</f>
        <v>6292015187</v>
      </c>
      <c r="E111" s="19">
        <f>E110+E104</f>
        <v>0</v>
      </c>
      <c r="F111" s="19">
        <f>F110+F104</f>
        <v>0</v>
      </c>
      <c r="G111" s="19">
        <f t="shared" si="4"/>
        <v>6292015187</v>
      </c>
      <c r="H111" s="122"/>
      <c r="I111" s="28"/>
      <c r="J111" s="28"/>
    </row>
    <row r="112" spans="1:10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  <c r="I112" s="28"/>
      <c r="J112" s="28"/>
    </row>
    <row r="114" spans="1:8" ht="19.5" customHeight="1">
      <c r="A114" s="11" t="str">
        <f>O6</f>
        <v>005010900400327000KD</v>
      </c>
      <c r="B114" s="11" t="str">
        <f>P6</f>
        <v>PN. Dumai</v>
      </c>
      <c r="C114" s="12" t="str">
        <f>A114&amp;" "&amp;B114</f>
        <v>005010900400327000KD PN. Dumai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795000</v>
      </c>
      <c r="E117" s="25">
        <f>SUMIFS('Daftar Koreksi'!$H$5:$H$92,'Daftar Koreksi'!$D$5:$D$92,'0900'!A114,'Daftar Koreksi'!$G$5:$G$92,"Persediaan",'Daftar Koreksi'!$H$5:$H$92,"&gt;0")</f>
        <v>0</v>
      </c>
      <c r="F117" s="25">
        <f>SUMIFS('Daftar Koreksi'!$H$5:$H$92,'Daftar Koreksi'!$D$5:$D$92,'0900'!A114,'Daftar Koreksi'!$G$5:$G$92,"Persediaan",'Daftar Koreksi'!$H$5:$H$92,"&lt;0")-SUMIFS('Daftar Koreksi'!$H$5:$H$92,'Daftar Koreksi'!$D$5:$D$92,'0900'!A114,'Daftar Koreksi'!$G$5:$G$92,"Persediaan",'Daftar Koreksi'!$H$5:$H$92,"&lt;0")-SUMIFS('Daftar Koreksi'!$H$5:$H$92,'Daftar Koreksi'!$D$5:$D$92,'0900'!A114,'Daftar Koreksi'!$G$5:$G$92,"Persediaan",'Daftar Koreksi'!$H$5:$H$92,"&lt;0")</f>
        <v>0</v>
      </c>
      <c r="G117" s="17">
        <f>D117+E117-F117</f>
        <v>795000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8747642000</v>
      </c>
      <c r="E118" s="25">
        <f>SUMIFS('Daftar Koreksi'!$H$5:$H$92,'Daftar Koreksi'!$D$5:$D$92,'0900'!A114,'Daftar Koreksi'!$G$5:$G$92,"Tanah",'Daftar Koreksi'!$H$5:$H$92,"&gt;0")</f>
        <v>0</v>
      </c>
      <c r="F118" s="25">
        <f>SUMIFS('Daftar Koreksi'!$H$5:$H$92,'Daftar Koreksi'!$D$5:$D$92,'0900'!A114,'Daftar Koreksi'!$G$5:$G$92,"Tanah",'Daftar Koreksi'!$H$5:$H$92,"&lt;0")-SUMIFS('Daftar Koreksi'!$H$5:$H$92,'Daftar Koreksi'!$D$5:$D$92,'0900'!A114,'Daftar Koreksi'!$G$5:$G$92,"Tanah",'Daftar Koreksi'!$H$5:$H$92,"&lt;0")-SUMIFS('Daftar Koreksi'!$H$5:$H$92,'Daftar Koreksi'!$D$5:$D$92,'0900'!A114,'Daftar Koreksi'!$G$5:$G$92,"Tanah",'Daftar Koreksi'!$H$5:$H$92,"&lt;0")</f>
        <v>0</v>
      </c>
      <c r="G118" s="17">
        <f t="shared" ref="G118:G134" si="5">D118+E118-F118</f>
        <v>8747642000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1103780828</v>
      </c>
      <c r="E119" s="25">
        <f>SUMIFS('Daftar Koreksi'!$H$5:$H$92,'Daftar Koreksi'!$D$5:$D$92,'0900'!A114,'Daftar Koreksi'!$G$5:$G$92,"Peralatan dan mesin",'Daftar Koreksi'!$H$5:$H$92,"&gt;0")</f>
        <v>0</v>
      </c>
      <c r="F119" s="25">
        <f>SUMIFS('Daftar Koreksi'!$H$5:$H$92,'Daftar Koreksi'!$D$5:$D$92,'0900'!A114,'Daftar Koreksi'!$G$5:$G$92,"Peralatan dan mesin",'Daftar Koreksi'!$H$5:$H$92,"&lt;0")-SUMIFS('Daftar Koreksi'!$H$5:$H$92,'Daftar Koreksi'!$D$5:$D$92,'0900'!A114,'Daftar Koreksi'!$G$5:$G$92,"Peralatan dan mesin",'Daftar Koreksi'!$H$5:$H$92,"&lt;0")-SUMIFS('Daftar Koreksi'!$H$5:$H$92,'Daftar Koreksi'!$D$5:$D$92,'0900'!A114,'Daftar Koreksi'!$G$5:$G$92,"Peralatan dan mesin",'Daftar Koreksi'!$H$5:$H$92,"&lt;0")</f>
        <v>0</v>
      </c>
      <c r="G119" s="17">
        <f t="shared" si="5"/>
        <v>1103780828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1188612000</v>
      </c>
      <c r="E120" s="25">
        <f>SUMIFS('Daftar Koreksi'!$H$5:$H$92,'Daftar Koreksi'!$D$5:$D$92,'0900'!A114,'Daftar Koreksi'!$G$5:$G$92,"Gedung dan Bangunan",'Daftar Koreksi'!$H$5:$H$92,"&gt;0")</f>
        <v>0</v>
      </c>
      <c r="F120" s="25">
        <f>SUMIFS('Daftar Koreksi'!$H$5:$H$92,'Daftar Koreksi'!$D$5:$D$92,'0900'!A114,'Daftar Koreksi'!$G$5:$G$92,"Gedung dan Bangunan",'Daftar Koreksi'!$H$5:$H$92,"&lt;0")-SUMIFS('Daftar Koreksi'!$H$5:$H$92,'Daftar Koreksi'!$D$5:$D$92,'0900'!A114,'Daftar Koreksi'!$G$5:$G$92,"Gedung dan Bangunan",'Daftar Koreksi'!$H$5:$H$92,"&lt;0")-SUMIFS('Daftar Koreksi'!$H$5:$H$92,'Daftar Koreksi'!$D$5:$D$92,'0900'!A114,'Daftar Koreksi'!$G$5:$G$92,"Gedung dan Bangunan",'Daftar Koreksi'!$H$5:$H$92,"&lt;0")</f>
        <v>0</v>
      </c>
      <c r="G120" s="17">
        <f t="shared" si="5"/>
        <v>1188612000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Koreksi'!$D$5:$D$92,'0900'!A114,'Daftar Koreksi'!$G$5:$G$92,"Jalan Irigasi Jaringan",'Daftar Koreksi'!$H$5:$H$92,"&gt;0")</f>
        <v>0</v>
      </c>
      <c r="F121" s="25">
        <f>SUMIFS('Daftar Koreksi'!$H$5:$H$92,'Daftar Koreksi'!$D$5:$D$92,'0900'!A114,'Daftar Koreksi'!$G$5:$G$92,"Jalan Irigasi Jaringan",'Daftar Koreksi'!$H$5:$H$92,"&lt;0")-SUMIFS('Daftar Koreksi'!$H$5:$H$92,'Daftar Koreksi'!$D$5:$D$92,'0900'!A114,'Daftar Koreksi'!$G$5:$G$92,"Jalan Irigasi Jaringan",'Daftar Koreksi'!$H$5:$H$92,"&lt;0")-SUMIFS('Daftar Koreksi'!$H$5:$H$92,'Daftar Koreksi'!$D$5:$D$92,'0900'!A114,'Daftar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15453440</v>
      </c>
      <c r="E122" s="25">
        <f>SUMIFS('Daftar Koreksi'!$H$5:$H$92,'Daftar Koreksi'!$D$5:$D$92,'0900'!A114,'Daftar Koreksi'!$G$5:$G$92,"Aset Tetap Lainnya",'Daftar Koreksi'!$H$5:$H$92,"&gt;0")</f>
        <v>0</v>
      </c>
      <c r="F122" s="25">
        <f>SUMIFS('Daftar Koreksi'!$H$5:$H$92,'Daftar Koreksi'!$D$5:$D$92,'0900'!A114,'Daftar Koreksi'!$G$5:$G$92,"Aset Tetap Lainnya",'Daftar Koreksi'!$H$5:$H$92,"&lt;0")-SUMIFS('Daftar Koreksi'!$H$5:$H$92,'Daftar Koreksi'!$D$5:$D$92,'0900'!A114,'Daftar Koreksi'!$G$5:$G$92,"Aset Tetap Lainnya",'Daftar Koreksi'!$H$5:$H$92,"&lt;0")-SUMIFS('Daftar Koreksi'!$H$5:$H$92,'Daftar Koreksi'!$D$5:$D$92,'0900'!A114,'Daftar Koreksi'!$G$5:$G$92,"Aset Tetap Lainnya",'Daftar Koreksi'!$H$5:$H$92,"&lt;0")</f>
        <v>0</v>
      </c>
      <c r="G122" s="17">
        <f t="shared" si="5"/>
        <v>15453440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Koreksi'!$D$5:$D$92,'0900'!A114,'Daftar Koreksi'!$G$5:$G$92,"Kontruksi Dalam Pengerjaan",'Daftar Koreksi'!$H$5:$H$92,"&gt;0")</f>
        <v>0</v>
      </c>
      <c r="F123" s="25">
        <f>SUMIFS('Daftar Koreksi'!$H$5:$H$92,'Daftar Koreksi'!$D$5:$D$92,'0900'!A114,'Daftar Koreksi'!$G$5:$G$92,"Kontruksi Dalam Pengerjaan",'Daftar Koreksi'!$H$5:$H$92,"&lt;0")-SUMIFS('Daftar Koreksi'!$H$5:$H$92,'Daftar Koreksi'!$D$5:$D$92,'0900'!A114,'Daftar Koreksi'!$G$5:$G$92,"Kontruksi Dalam Pengerjaan",'Daftar Koreksi'!$H$5:$H$92,"&lt;0")-SUMIFS('Daftar Koreksi'!$H$5:$H$92,'Daftar Koreksi'!$D$5:$D$92,'0900'!A114,'Daftar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Koreksi'!$D$5:$D$92,'0900'!A114,'Daftar Koreksi'!$G$5:$G$92,"Aset Tak Berwujud",'Daftar Koreksi'!$H$5:$H$92,"&gt;0")</f>
        <v>0</v>
      </c>
      <c r="F124" s="25">
        <f>SUMIFS('Daftar Koreksi'!$H$5:$H$92,'Daftar Koreksi'!$D$5:$D$92,'0900'!A114,'Daftar Koreksi'!$G$5:$G$92,"Aset Tak Berwujud",'Daftar Koreksi'!$H$5:$H$92,"&lt;0")-SUMIFS('Daftar Koreksi'!$H$5:$H$92,'Daftar Koreksi'!$D$5:$D$92,'0900'!A114,'Daftar Koreksi'!$G$5:$G$92,"Aset Tak Berwujud",'Daftar Koreksi'!$H$5:$H$92,"&lt;0")-SUMIFS('Daftar Koreksi'!$H$5:$H$92,'Daftar Koreksi'!$D$5:$D$92,'0900'!A114,'Daftar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Koreksi'!$D$5:$D$92,'0900'!A114,'Daftar Koreksi'!$G$5:$G$92,"Aset Henti Guna",'Daftar Koreksi'!$H$5:$H$92,"&gt;0")</f>
        <v>0</v>
      </c>
      <c r="F125" s="25">
        <f>SUMIFS('Daftar Koreksi'!$H$5:$H$92,'Daftar Koreksi'!$D$5:$D$92,'0900'!A114,'Daftar Koreksi'!$G$5:$G$92,"Aset Henti Guna",'Daftar Koreksi'!$H$5:$H$92,"&lt;0")-SUMIFS('Daftar Koreksi'!$H$5:$H$92,'Daftar Koreksi'!$D$5:$D$92,'0900'!A114,'Daftar Koreksi'!$G$5:$G$92,"Aset Henti Guna",'Daftar Koreksi'!$H$5:$H$92,"&lt;0")-SUMIFS('Daftar Koreksi'!$H$5:$H$92,'Daftar Koreksi'!$D$5:$D$92,'0900'!A114,'Daftar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11056283268</v>
      </c>
      <c r="E126" s="19">
        <f>SUM(E117:E125)</f>
        <v>0</v>
      </c>
      <c r="F126" s="19">
        <f>SUM(F117:F125)</f>
        <v>0</v>
      </c>
      <c r="G126" s="19">
        <f t="shared" si="5"/>
        <v>11056283268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-1024748578</v>
      </c>
      <c r="E127" s="25">
        <f>SUMIFS('Daftar Koreksi'!$I$5:$I$92,'Daftar Koreksi'!$D$5:$D$92,'0900'!A114,'Daftar Koreksi'!$G$5:$G$92,"Peralatan dan mesin",'Daftar Koreksi'!$I$5:$I$92,"&gt;0")</f>
        <v>0</v>
      </c>
      <c r="F127" s="25">
        <f>SUMIFS('Daftar Koreksi'!$I$5:$I$92,'Daftar Koreksi'!$D$5:$D$92,'0900'!A114,'Daftar Koreksi'!$G$5:$G$92,"Peralatan dan mesin",'Daftar Koreksi'!$I$5:$I$92,"&lt;0")-SUMIFS('Daftar Koreksi'!$I$5:$I$92,'Daftar Koreksi'!$D$5:$D$92,'0900'!A114,'Daftar Koreksi'!$G$5:$G$92,"Peralatan dan mesin",'Daftar Koreksi'!$I$5:$I$92,"&lt;0")-SUMIFS('Daftar Koreksi'!$I$5:$I$92,'Daftar Koreksi'!$D$5:$D$92,'0900'!A114,'Daftar Koreksi'!$G$5:$G$92,"Peralatan dan mesin",'Daftar Koreksi'!$I$5:$I$92,"&lt;0")</f>
        <v>0</v>
      </c>
      <c r="G127" s="17">
        <f t="shared" si="5"/>
        <v>-1024748578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-567954940</v>
      </c>
      <c r="E128" s="25">
        <f>SUMIFS('Daftar Koreksi'!$I$5:$I$92,'Daftar Koreksi'!$D$5:$D$92,'0900'!A114,'Daftar Koreksi'!$G$5:$G$92,"Gedung dan Bangunan",'Daftar Koreksi'!$I$5:$I$92,"&gt;0")</f>
        <v>0</v>
      </c>
      <c r="F128" s="25">
        <f>SUMIFS('Daftar Koreksi'!$I$5:$I$92,'Daftar Koreksi'!$D$5:$D$92,'0900'!A114,'Daftar Koreksi'!$G$5:$G$92,"Gedung dan Bangunan",'Daftar Koreksi'!$I$5:$I$92,"&lt;0")-SUMIFS('Daftar Koreksi'!$I$5:$I$92,'Daftar Koreksi'!$D$5:$D$92,'0900'!A114,'Daftar Koreksi'!$G$5:$G$92,"Gedung dan Bangunan",'Daftar Koreksi'!$I$5:$I$92,"&lt;0")-SUMIFS('Daftar Koreksi'!$I$5:$I$92,'Daftar Koreksi'!$D$5:$D$92,'0900'!A114,'Daftar Koreksi'!$G$5:$G$92,"Gedung dan Bangunan",'Daftar Koreksi'!$I$5:$I$92,"&lt;0")</f>
        <v>0</v>
      </c>
      <c r="G128" s="17">
        <f t="shared" si="5"/>
        <v>-567954940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Koreksi'!$D$5:$D$92,'0900'!A114,'Daftar Koreksi'!$G$5:$G$92,"Jalan Irigasi Jaringan",'Daftar Koreksi'!$I$5:$I$92,"&gt;0")</f>
        <v>0</v>
      </c>
      <c r="F129" s="25">
        <f>SUMIFS('Daftar Koreksi'!$I$5:$I$92,'Daftar Koreksi'!$D$5:$D$92,'0900'!A114,'Daftar Koreksi'!$G$5:$G$92,"Jalan Irigasi Jaringan",'Daftar Koreksi'!$I$5:$I$92,"&lt;0")-SUMIFS('Daftar Koreksi'!$I$5:$I$92,'Daftar Koreksi'!$D$5:$D$92,'0900'!A114,'Daftar Koreksi'!$G$5:$G$92,"Jalan Irigasi Jaringan",'Daftar Koreksi'!$I$5:$I$92,"&lt;0")-SUMIFS('Daftar Koreksi'!$I$5:$I$92,'Daftar Koreksi'!$D$5:$D$92,'0900'!A114,'Daftar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Koreksi'!$D$5:$D$92,'0900'!A114,'Daftar Koreksi'!$G$5:$G$92,"Aset Tetap Lainnya",'Daftar Koreksi'!$I$5:$I$92,"&gt;0")</f>
        <v>0</v>
      </c>
      <c r="F130" s="25">
        <f>SUMIFS('Daftar Koreksi'!$I$5:$I$92,'Daftar Koreksi'!$D$5:$D$92,'0900'!A114,'Daftar Koreksi'!$G$5:$G$92,"Aset Tetap Lainnya",'Daftar Koreksi'!$I$5:$I$92,"&lt;0")-SUMIFS('Daftar Koreksi'!$I$5:$I$92,'Daftar Koreksi'!$D$5:$D$92,'0900'!A114,'Daftar Koreksi'!$G$5:$G$92,"Aset Tetap Lainnya",'Daftar Koreksi'!$I$5:$I$92,"&lt;0")-SUMIFS('Daftar Koreksi'!$I$5:$I$92,'Daftar Koreksi'!$D$5:$D$92,'0900'!A114,'Daftar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Koreksi'!$D$5:$D$92,'0900'!A114,'Daftar Koreksi'!$G$5:$G$92,"Aset Henti Guna",'Daftar Koreksi'!$I$5:$I$92,"&gt;0")</f>
        <v>0</v>
      </c>
      <c r="F131" s="25">
        <f>SUMIFS('Daftar Koreksi'!$I$5:$I$92,'Daftar Koreksi'!$D$5:$D$92,'0900'!A114,'Daftar Koreksi'!$G$5:$G$92,"Aset Henti Guna",'Daftar Koreksi'!$I$5:$I$92,"&lt;0")-SUMIFS('Daftar Koreksi'!$I$5:$I$92,'Daftar Koreksi'!$D$5:$D$92,'0900'!A114,'Daftar Koreksi'!$G$5:$G$92,"Aset Henti Guna",'Daftar Koreksi'!$I$5:$I$92,"&lt;0")-SUMIFS('Daftar Koreksi'!$I$5:$I$92,'Daftar Koreksi'!$D$5:$D$92,'0900'!A114,'Daftar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-1592703518</v>
      </c>
      <c r="E132" s="19">
        <f>SUM(E127:E131)</f>
        <v>0</v>
      </c>
      <c r="F132" s="19">
        <f>SUM(F127:F131)</f>
        <v>0</v>
      </c>
      <c r="G132" s="19">
        <f t="shared" si="5"/>
        <v>-1592703518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9463579750</v>
      </c>
      <c r="E133" s="19">
        <f>E132+E126</f>
        <v>0</v>
      </c>
      <c r="F133" s="19">
        <f>F132+F126</f>
        <v>0</v>
      </c>
      <c r="G133" s="19">
        <f t="shared" si="5"/>
        <v>9463579750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005010900400492000KD</v>
      </c>
      <c r="B136" s="11" t="str">
        <f>P7</f>
        <v>PT. Pekanbaru</v>
      </c>
      <c r="C136" s="12" t="str">
        <f>A136&amp;" "&amp;B136</f>
        <v>005010900400492000KD PT. Pekanbaru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26346300</v>
      </c>
      <c r="E139" s="25">
        <f>SUMIFS('Daftar Koreksi'!$H$5:$H$92,'Daftar Koreksi'!$D$5:$D$92,'0900'!A136,'Daftar Koreksi'!$G$5:$G$92,"Persediaan",'Daftar Koreksi'!$H$5:$H$92,"&gt;0")</f>
        <v>0</v>
      </c>
      <c r="F139" s="25">
        <f>SUMIFS('Daftar Koreksi'!$H$5:$H$92,'Daftar Koreksi'!$D$5:$D$92,'0900'!A136,'Daftar Koreksi'!$G$5:$G$92,"Persediaan",'Daftar Koreksi'!$H$5:$H$92,"&lt;0")-SUMIFS('Daftar Koreksi'!$H$5:$H$92,'Daftar Koreksi'!$D$5:$D$92,'0900'!A136,'Daftar Koreksi'!$G$5:$G$92,"Persediaan",'Daftar Koreksi'!$H$5:$H$92,"&lt;0")-SUMIFS('Daftar Koreksi'!$H$5:$H$92,'Daftar Koreksi'!$D$5:$D$92,'0900'!A136,'Daftar Koreksi'!$G$5:$G$92,"Persediaan",'Daftar Koreksi'!$H$5:$H$92,"&lt;0")</f>
        <v>0</v>
      </c>
      <c r="G139" s="17">
        <f>D139+E139-F139</f>
        <v>26346300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26454075000</v>
      </c>
      <c r="E140" s="25">
        <f>SUMIFS('Daftar Koreksi'!$H$5:$H$92,'Daftar Koreksi'!$D$5:$D$92,'0900'!A136,'Daftar Koreksi'!$G$5:$G$92,"Tanah",'Daftar Koreksi'!$H$5:$H$92,"&gt;0")</f>
        <v>0</v>
      </c>
      <c r="F140" s="25">
        <f>SUMIFS('Daftar Koreksi'!$H$5:$H$92,'Daftar Koreksi'!$D$5:$D$92,'0900'!A136,'Daftar Koreksi'!$G$5:$G$92,"Tanah",'Daftar Koreksi'!$H$5:$H$92,"&lt;0")-SUMIFS('Daftar Koreksi'!$H$5:$H$92,'Daftar Koreksi'!$D$5:$D$92,'0900'!A136,'Daftar Koreksi'!$G$5:$G$92,"Tanah",'Daftar Koreksi'!$H$5:$H$92,"&lt;0")-SUMIFS('Daftar Koreksi'!$H$5:$H$92,'Daftar Koreksi'!$D$5:$D$92,'0900'!A136,'Daftar Koreksi'!$G$5:$G$92,"Tanah",'Daftar Koreksi'!$H$5:$H$92,"&lt;0")</f>
        <v>0</v>
      </c>
      <c r="G140" s="17">
        <f t="shared" ref="G140:G156" si="6">D140+E140-F140</f>
        <v>26454075000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3519761246</v>
      </c>
      <c r="E141" s="25">
        <f>SUMIFS('Daftar Koreksi'!$H$5:$H$92,'Daftar Koreksi'!$D$5:$D$92,'0900'!A136,'Daftar Koreksi'!$G$5:$G$92,"Peralatan dan mesin",'Daftar Koreksi'!$H$5:$H$92,"&gt;0")</f>
        <v>0</v>
      </c>
      <c r="F141" s="25">
        <f>SUMIFS('Daftar Koreksi'!$H$5:$H$92,'Daftar Koreksi'!$D$5:$D$92,'0900'!A136,'Daftar Koreksi'!$G$5:$G$92,"Peralatan dan mesin",'Daftar Koreksi'!$H$5:$H$92,"&lt;0")-SUMIFS('Daftar Koreksi'!$H$5:$H$92,'Daftar Koreksi'!$D$5:$D$92,'0900'!A136,'Daftar Koreksi'!$G$5:$G$92,"Peralatan dan mesin",'Daftar Koreksi'!$H$5:$H$92,"&lt;0")-SUMIFS('Daftar Koreksi'!$H$5:$H$92,'Daftar Koreksi'!$D$5:$D$92,'0900'!A136,'Daftar Koreksi'!$G$5:$G$92,"Peralatan dan mesin",'Daftar Koreksi'!$H$5:$H$92,"&lt;0")</f>
        <v>0</v>
      </c>
      <c r="G141" s="17">
        <f t="shared" si="6"/>
        <v>3519761246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9783920781</v>
      </c>
      <c r="E142" s="25">
        <f>SUMIFS('Daftar Koreksi'!$H$5:$H$92,'Daftar Koreksi'!$D$5:$D$92,'0900'!A136,'Daftar Koreksi'!$G$5:$G$92,"Gedung dan Bangunan",'Daftar Koreksi'!$H$5:$H$92,"&gt;0")</f>
        <v>0</v>
      </c>
      <c r="F142" s="25">
        <f>SUMIFS('Daftar Koreksi'!$H$5:$H$92,'Daftar Koreksi'!$D$5:$D$92,'0900'!A136,'Daftar Koreksi'!$G$5:$G$92,"Gedung dan Bangunan",'Daftar Koreksi'!$H$5:$H$92,"&lt;0")-SUMIFS('Daftar Koreksi'!$H$5:$H$92,'Daftar Koreksi'!$D$5:$D$92,'0900'!A136,'Daftar Koreksi'!$G$5:$G$92,"Gedung dan Bangunan",'Daftar Koreksi'!$H$5:$H$92,"&lt;0")-SUMIFS('Daftar Koreksi'!$H$5:$H$92,'Daftar Koreksi'!$D$5:$D$92,'0900'!A136,'Daftar Koreksi'!$G$5:$G$92,"Gedung dan Bangunan",'Daftar Koreksi'!$H$5:$H$92,"&lt;0")</f>
        <v>0</v>
      </c>
      <c r="G142" s="17">
        <f t="shared" si="6"/>
        <v>9783920781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Koreksi'!$D$5:$D$92,'0900'!A136,'Daftar Koreksi'!$G$5:$G$92,"Jalan Irigasi Jaringan",'Daftar Koreksi'!$H$5:$H$92,"&gt;0")</f>
        <v>0</v>
      </c>
      <c r="F143" s="25">
        <f>SUMIFS('Daftar Koreksi'!$H$5:$H$92,'Daftar Koreksi'!$D$5:$D$92,'0900'!A136,'Daftar Koreksi'!$G$5:$G$92,"Jalan Irigasi Jaringan",'Daftar Koreksi'!$H$5:$H$92,"&lt;0")-SUMIFS('Daftar Koreksi'!$H$5:$H$92,'Daftar Koreksi'!$D$5:$D$92,'0900'!A136,'Daftar Koreksi'!$G$5:$G$92,"Jalan Irigasi Jaringan",'Daftar Koreksi'!$H$5:$H$92,"&lt;0")-SUMIFS('Daftar Koreksi'!$H$5:$H$92,'Daftar Koreksi'!$D$5:$D$92,'0900'!A136,'Daftar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16943440</v>
      </c>
      <c r="E144" s="25">
        <f>SUMIFS('Daftar Koreksi'!$H$5:$H$92,'Daftar Koreksi'!$D$5:$D$92,'0900'!A136,'Daftar Koreksi'!$G$5:$G$92,"Aset Tetap Lainnya",'Daftar Koreksi'!$H$5:$H$92,"&gt;0")</f>
        <v>0</v>
      </c>
      <c r="F144" s="25">
        <f>SUMIFS('Daftar Koreksi'!$H$5:$H$92,'Daftar Koreksi'!$D$5:$D$92,'0900'!A136,'Daftar Koreksi'!$G$5:$G$92,"Aset Tetap Lainnya",'Daftar Koreksi'!$H$5:$H$92,"&lt;0")-SUMIFS('Daftar Koreksi'!$H$5:$H$92,'Daftar Koreksi'!$D$5:$D$92,'0900'!A136,'Daftar Koreksi'!$G$5:$G$92,"Aset Tetap Lainnya",'Daftar Koreksi'!$H$5:$H$92,"&lt;0")-SUMIFS('Daftar Koreksi'!$H$5:$H$92,'Daftar Koreksi'!$D$5:$D$92,'0900'!A136,'Daftar Koreksi'!$G$5:$G$92,"Aset Tetap Lainnya",'Daftar Koreksi'!$H$5:$H$92,"&lt;0")</f>
        <v>0</v>
      </c>
      <c r="G144" s="17">
        <f t="shared" si="6"/>
        <v>16943440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Koreksi'!$D$5:$D$92,'0900'!A136,'Daftar Koreksi'!$G$5:$G$92,"Kontruksi Dalam Pengerjaan",'Daftar Koreksi'!$H$5:$H$92,"&gt;0")</f>
        <v>0</v>
      </c>
      <c r="F145" s="25">
        <f>SUMIFS('Daftar Koreksi'!$H$5:$H$92,'Daftar Koreksi'!$D$5:$D$92,'0900'!A136,'Daftar Koreksi'!$G$5:$G$92,"Kontruksi Dalam Pengerjaan",'Daftar Koreksi'!$H$5:$H$92,"&lt;0")-SUMIFS('Daftar Koreksi'!$H$5:$H$92,'Daftar Koreksi'!$D$5:$D$92,'0900'!A136,'Daftar Koreksi'!$G$5:$G$92,"Kontruksi Dalam Pengerjaan",'Daftar Koreksi'!$H$5:$H$92,"&lt;0")-SUMIFS('Daftar Koreksi'!$H$5:$H$92,'Daftar Koreksi'!$D$5:$D$92,'0900'!A136,'Daftar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106612000</v>
      </c>
      <c r="E146" s="25">
        <f>SUMIFS('Daftar Koreksi'!$H$5:$H$92,'Daftar Koreksi'!$D$5:$D$92,'0900'!A136,'Daftar Koreksi'!$G$5:$G$92,"Aset Tak Berwujud",'Daftar Koreksi'!$H$5:$H$92,"&gt;0")</f>
        <v>0</v>
      </c>
      <c r="F146" s="25">
        <f>SUMIFS('Daftar Koreksi'!$H$5:$H$92,'Daftar Koreksi'!$D$5:$D$92,'0900'!A136,'Daftar Koreksi'!$G$5:$G$92,"Aset Tak Berwujud",'Daftar Koreksi'!$H$5:$H$92,"&lt;0")-SUMIFS('Daftar Koreksi'!$H$5:$H$92,'Daftar Koreksi'!$D$5:$D$92,'0900'!A136,'Daftar Koreksi'!$G$5:$G$92,"Aset Tak Berwujud",'Daftar Koreksi'!$H$5:$H$92,"&lt;0")-SUMIFS('Daftar Koreksi'!$H$5:$H$92,'Daftar Koreksi'!$D$5:$D$92,'0900'!A136,'Daftar Koreksi'!$G$5:$G$92,"Aset Tak Berwujud",'Daftar Koreksi'!$H$5:$H$92,"&lt;0")</f>
        <v>0</v>
      </c>
      <c r="G146" s="17">
        <f t="shared" si="6"/>
        <v>106612000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Koreksi'!$D$5:$D$92,'0900'!A136,'Daftar Koreksi'!$G$5:$G$92,"Aset Henti Guna",'Daftar Koreksi'!$H$5:$H$92,"&gt;0")</f>
        <v>0</v>
      </c>
      <c r="F147" s="25">
        <f>SUMIFS('Daftar Koreksi'!$H$5:$H$92,'Daftar Koreksi'!$D$5:$D$92,'0900'!A136,'Daftar Koreksi'!$G$5:$G$92,"Aset Henti Guna",'Daftar Koreksi'!$H$5:$H$92,"&lt;0")-SUMIFS('Daftar Koreksi'!$H$5:$H$92,'Daftar Koreksi'!$D$5:$D$92,'0900'!A136,'Daftar Koreksi'!$G$5:$G$92,"Aset Henti Guna",'Daftar Koreksi'!$H$5:$H$92,"&lt;0")-SUMIFS('Daftar Koreksi'!$H$5:$H$92,'Daftar Koreksi'!$D$5:$D$92,'0900'!A136,'Daftar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39907658767</v>
      </c>
      <c r="E148" s="19">
        <f>SUM(E139:E147)</f>
        <v>0</v>
      </c>
      <c r="F148" s="19">
        <f>SUM(F139:F147)</f>
        <v>0</v>
      </c>
      <c r="G148" s="19">
        <f t="shared" si="6"/>
        <v>39907658767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-2906610843</v>
      </c>
      <c r="E149" s="25">
        <f>SUMIFS('Daftar Koreksi'!$I$5:$I$92,'Daftar Koreksi'!$D$5:$D$92,'0900'!A136,'Daftar Koreksi'!$G$5:$G$92,"Peralatan dan mesin",'Daftar Koreksi'!$I$5:$I$92,"&gt;0")</f>
        <v>0</v>
      </c>
      <c r="F149" s="25">
        <f>SUMIFS('Daftar Koreksi'!$I$5:$I$92,'Daftar Koreksi'!$D$5:$D$92,'0900'!A136,'Daftar Koreksi'!$G$5:$G$92,"Peralatan dan mesin",'Daftar Koreksi'!$I$5:$I$92,"&lt;0")-SUMIFS('Daftar Koreksi'!$I$5:$I$92,'Daftar Koreksi'!$D$5:$D$92,'0900'!A136,'Daftar Koreksi'!$G$5:$G$92,"Peralatan dan mesin",'Daftar Koreksi'!$I$5:$I$92,"&lt;0")-SUMIFS('Daftar Koreksi'!$I$5:$I$92,'Daftar Koreksi'!$D$5:$D$92,'0900'!A136,'Daftar Koreksi'!$G$5:$G$92,"Peralatan dan mesin",'Daftar Koreksi'!$I$5:$I$92,"&lt;0")</f>
        <v>0</v>
      </c>
      <c r="G149" s="17">
        <f t="shared" si="6"/>
        <v>-2906610843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-5466489177</v>
      </c>
      <c r="E150" s="25">
        <f>SUMIFS('Daftar Koreksi'!$I$5:$I$92,'Daftar Koreksi'!$D$5:$D$92,'0900'!A136,'Daftar Koreksi'!$G$5:$G$92,"Gedung dan Bangunan",'Daftar Koreksi'!$I$5:$I$92,"&gt;0")</f>
        <v>0</v>
      </c>
      <c r="F150" s="25">
        <f>SUMIFS('Daftar Koreksi'!$I$5:$I$92,'Daftar Koreksi'!$D$5:$D$92,'0900'!A136,'Daftar Koreksi'!$G$5:$G$92,"Gedung dan Bangunan",'Daftar Koreksi'!$I$5:$I$92,"&lt;0")-SUMIFS('Daftar Koreksi'!$I$5:$I$92,'Daftar Koreksi'!$D$5:$D$92,'0900'!A136,'Daftar Koreksi'!$G$5:$G$92,"Gedung dan Bangunan",'Daftar Koreksi'!$I$5:$I$92,"&lt;0")-SUMIFS('Daftar Koreksi'!$I$5:$I$92,'Daftar Koreksi'!$D$5:$D$92,'0900'!A136,'Daftar Koreksi'!$G$5:$G$92,"Gedung dan Bangunan",'Daftar Koreksi'!$I$5:$I$92,"&lt;0")</f>
        <v>0</v>
      </c>
      <c r="G150" s="17">
        <f t="shared" si="6"/>
        <v>-5466489177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Koreksi'!$D$5:$D$92,'0900'!A136,'Daftar Koreksi'!$G$5:$G$92,"Jalan Irigasi Jaringan",'Daftar Koreksi'!$I$5:$I$92,"&gt;0")</f>
        <v>0</v>
      </c>
      <c r="F151" s="25">
        <f>SUMIFS('Daftar Koreksi'!$I$5:$I$92,'Daftar Koreksi'!$D$5:$D$92,'0900'!A136,'Daftar Koreksi'!$G$5:$G$92,"Jalan Irigasi Jaringan",'Daftar Koreksi'!$I$5:$I$92,"&lt;0")-SUMIFS('Daftar Koreksi'!$I$5:$I$92,'Daftar Koreksi'!$D$5:$D$92,'0900'!A136,'Daftar Koreksi'!$G$5:$G$92,"Jalan Irigasi Jaringan",'Daftar Koreksi'!$I$5:$I$92,"&lt;0")-SUMIFS('Daftar Koreksi'!$I$5:$I$92,'Daftar Koreksi'!$D$5:$D$92,'0900'!A136,'Daftar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-15000000</v>
      </c>
      <c r="E152" s="25">
        <f>SUMIFS('Daftar Koreksi'!$I$5:$I$92,'Daftar Koreksi'!$D$5:$D$92,'0900'!A136,'Daftar Koreksi'!$G$5:$G$92,"Aset Tetap Lainnya",'Daftar Koreksi'!$I$5:$I$92,"&gt;0")</f>
        <v>0</v>
      </c>
      <c r="F152" s="25">
        <f>SUMIFS('Daftar Koreksi'!$I$5:$I$92,'Daftar Koreksi'!$D$5:$D$92,'0900'!A136,'Daftar Koreksi'!$G$5:$G$92,"Aset Tetap Lainnya",'Daftar Koreksi'!$I$5:$I$92,"&lt;0")-SUMIFS('Daftar Koreksi'!$I$5:$I$92,'Daftar Koreksi'!$D$5:$D$92,'0900'!A136,'Daftar Koreksi'!$G$5:$G$92,"Aset Tetap Lainnya",'Daftar Koreksi'!$I$5:$I$92,"&lt;0")-SUMIFS('Daftar Koreksi'!$I$5:$I$92,'Daftar Koreksi'!$D$5:$D$92,'0900'!A136,'Daftar Koreksi'!$G$5:$G$92,"Aset Tetap Lainnya",'Daftar Koreksi'!$I$5:$I$92,"&lt;0")</f>
        <v>0</v>
      </c>
      <c r="G152" s="17">
        <f t="shared" si="6"/>
        <v>-15000000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Koreksi'!$D$5:$D$92,'0900'!A136,'Daftar Koreksi'!$G$5:$G$92,"Aset Henti Guna",'Daftar Koreksi'!$I$5:$I$92,"&gt;0")</f>
        <v>0</v>
      </c>
      <c r="F153" s="25">
        <f>SUMIFS('Daftar Koreksi'!$I$5:$I$92,'Daftar Koreksi'!$D$5:$D$92,'0900'!A136,'Daftar Koreksi'!$G$5:$G$92,"Aset Henti Guna",'Daftar Koreksi'!$I$5:$I$92,"&lt;0")-SUMIFS('Daftar Koreksi'!$I$5:$I$92,'Daftar Koreksi'!$D$5:$D$92,'0900'!A136,'Daftar Koreksi'!$G$5:$G$92,"Aset Henti Guna",'Daftar Koreksi'!$I$5:$I$92,"&lt;0")-SUMIFS('Daftar Koreksi'!$I$5:$I$92,'Daftar Koreksi'!$D$5:$D$92,'0900'!A136,'Daftar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-8388100020</v>
      </c>
      <c r="E154" s="19">
        <f>SUM(E149:E153)</f>
        <v>0</v>
      </c>
      <c r="F154" s="19">
        <f>SUM(F149:F153)</f>
        <v>0</v>
      </c>
      <c r="G154" s="19">
        <f t="shared" si="6"/>
        <v>-8388100020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31519558747</v>
      </c>
      <c r="E155" s="19">
        <f>E154+E148</f>
        <v>0</v>
      </c>
      <c r="F155" s="19">
        <f>F154+F148</f>
        <v>0</v>
      </c>
      <c r="G155" s="19">
        <f t="shared" si="6"/>
        <v>31519558747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005010900402072000KD</v>
      </c>
      <c r="B158" s="11" t="str">
        <f>P8</f>
        <v>PA. Pekanbaru</v>
      </c>
      <c r="C158" s="12" t="str">
        <f>A158&amp;" "&amp;B158</f>
        <v>005010900402072000KD PA. Pekanbaru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3151813</v>
      </c>
      <c r="E161" s="25">
        <f>SUMIFS('Daftar Koreksi'!$H$5:$H$92,'Daftar Koreksi'!$D$5:$D$92,'0900'!A158,'Daftar Koreksi'!$G$5:$G$92,"Persediaan",'Daftar Koreksi'!$H$5:$H$92,"&gt;0")</f>
        <v>0</v>
      </c>
      <c r="F161" s="25">
        <f>SUMIFS('Daftar Koreksi'!$H$5:$H$92,'Daftar Koreksi'!$D$5:$D$92,'0900'!A158,'Daftar Koreksi'!$G$5:$G$92,"Persediaan",'Daftar Koreksi'!$H$5:$H$92,"&lt;0")-SUMIFS('Daftar Koreksi'!$H$5:$H$92,'Daftar Koreksi'!$D$5:$D$92,'0900'!A158,'Daftar Koreksi'!$G$5:$G$92,"Persediaan",'Daftar Koreksi'!$H$5:$H$92,"&lt;0")-SUMIFS('Daftar Koreksi'!$H$5:$H$92,'Daftar Koreksi'!$D$5:$D$92,'0900'!A158,'Daftar Koreksi'!$G$5:$G$92,"Persediaan",'Daftar Koreksi'!$H$5:$H$92,"&lt;0")</f>
        <v>0</v>
      </c>
      <c r="G161" s="17">
        <f>D161+E161-F161</f>
        <v>3151813</v>
      </c>
      <c r="H161" s="121" t="str">
        <f>IF(ISNA(VLOOKUP(A158,'Mutasi Neraca'!$A$3:$S$914,19,FALSE)),"-",VLOOKUP(A158,'Mutasi Neraca'!$A$3:$S$914,19,FALSE))</f>
        <v>Tp. No 1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4870601580</v>
      </c>
      <c r="E162" s="25">
        <f>SUMIFS('Daftar Koreksi'!$H$5:$H$92,'Daftar Koreksi'!$D$5:$D$92,'0900'!A158,'Daftar Koreksi'!$G$5:$G$92,"Tanah",'Daftar Koreksi'!$H$5:$H$92,"&gt;0")</f>
        <v>0</v>
      </c>
      <c r="F162" s="25">
        <f>SUMIFS('Daftar Koreksi'!$H$5:$H$92,'Daftar Koreksi'!$D$5:$D$92,'0900'!A158,'Daftar Koreksi'!$G$5:$G$92,"Tanah",'Daftar Koreksi'!$H$5:$H$92,"&lt;0")-SUMIFS('Daftar Koreksi'!$H$5:$H$92,'Daftar Koreksi'!$D$5:$D$92,'0900'!A158,'Daftar Koreksi'!$G$5:$G$92,"Tanah",'Daftar Koreksi'!$H$5:$H$92,"&lt;0")-SUMIFS('Daftar Koreksi'!$H$5:$H$92,'Daftar Koreksi'!$D$5:$D$92,'0900'!A158,'Daftar Koreksi'!$G$5:$G$92,"Tanah",'Daftar Koreksi'!$H$5:$H$92,"&lt;0")</f>
        <v>719249200</v>
      </c>
      <c r="G162" s="17">
        <f t="shared" ref="G162:G178" si="7">D162+E162-F162</f>
        <v>4151352380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1913825078</v>
      </c>
      <c r="E163" s="25">
        <f>SUMIFS('Daftar Koreksi'!$H$5:$H$92,'Daftar Koreksi'!$D$5:$D$92,'0900'!A158,'Daftar Koreksi'!$G$5:$G$92,"Peralatan dan mesin",'Daftar Koreksi'!$H$5:$H$92,"&gt;0")</f>
        <v>0</v>
      </c>
      <c r="F163" s="25">
        <f>SUMIFS('Daftar Koreksi'!$H$5:$H$92,'Daftar Koreksi'!$D$5:$D$92,'0900'!A158,'Daftar Koreksi'!$G$5:$G$92,"Peralatan dan mesin",'Daftar Koreksi'!$H$5:$H$92,"&lt;0")-SUMIFS('Daftar Koreksi'!$H$5:$H$92,'Daftar Koreksi'!$D$5:$D$92,'0900'!A158,'Daftar Koreksi'!$G$5:$G$92,"Peralatan dan mesin",'Daftar Koreksi'!$H$5:$H$92,"&lt;0")-SUMIFS('Daftar Koreksi'!$H$5:$H$92,'Daftar Koreksi'!$D$5:$D$92,'0900'!A158,'Daftar Koreksi'!$G$5:$G$92,"Peralatan dan mesin",'Daftar Koreksi'!$H$5:$H$92,"&lt;0")</f>
        <v>0</v>
      </c>
      <c r="G163" s="17">
        <f t="shared" si="7"/>
        <v>1913825078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12429805500</v>
      </c>
      <c r="E164" s="25">
        <f>SUMIFS('Daftar Koreksi'!$H$5:$H$92,'Daftar Koreksi'!$D$5:$D$92,'0900'!A158,'Daftar Koreksi'!$G$5:$G$92,"Gedung dan Bangunan",'Daftar Koreksi'!$H$5:$H$92,"&gt;0")</f>
        <v>0</v>
      </c>
      <c r="F164" s="25">
        <f>SUMIFS('Daftar Koreksi'!$H$5:$H$92,'Daftar Koreksi'!$D$5:$D$92,'0900'!A158,'Daftar Koreksi'!$G$5:$G$92,"Gedung dan Bangunan",'Daftar Koreksi'!$H$5:$H$92,"&lt;0")-SUMIFS('Daftar Koreksi'!$H$5:$H$92,'Daftar Koreksi'!$D$5:$D$92,'0900'!A158,'Daftar Koreksi'!$G$5:$G$92,"Gedung dan Bangunan",'Daftar Koreksi'!$H$5:$H$92,"&lt;0")-SUMIFS('Daftar Koreksi'!$H$5:$H$92,'Daftar Koreksi'!$D$5:$D$92,'0900'!A158,'Daftar Koreksi'!$G$5:$G$92,"Gedung dan Bangunan",'Daftar Koreksi'!$H$5:$H$92,"&lt;0")</f>
        <v>2960714100</v>
      </c>
      <c r="G164" s="17">
        <f t="shared" si="7"/>
        <v>9469091400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89348200</v>
      </c>
      <c r="E165" s="25">
        <f>SUMIFS('Daftar Koreksi'!$H$5:$H$92,'Daftar Koreksi'!$D$5:$D$92,'0900'!A158,'Daftar Koreksi'!$G$5:$G$92,"Jalan Irigasi Jaringan",'Daftar Koreksi'!$H$5:$H$92,"&gt;0")</f>
        <v>0</v>
      </c>
      <c r="F165" s="25">
        <f>SUMIFS('Daftar Koreksi'!$H$5:$H$92,'Daftar Koreksi'!$D$5:$D$92,'0900'!A158,'Daftar Koreksi'!$G$5:$G$92,"Jalan Irigasi Jaringan",'Daftar Koreksi'!$H$5:$H$92,"&lt;0")-SUMIFS('Daftar Koreksi'!$H$5:$H$92,'Daftar Koreksi'!$D$5:$D$92,'0900'!A158,'Daftar Koreksi'!$G$5:$G$92,"Jalan Irigasi Jaringan",'Daftar Koreksi'!$H$5:$H$92,"&lt;0")-SUMIFS('Daftar Koreksi'!$H$5:$H$92,'Daftar Koreksi'!$D$5:$D$92,'0900'!A158,'Daftar Koreksi'!$G$5:$G$92,"Jalan Irigasi Jaringan",'Daftar Koreksi'!$H$5:$H$92,"&lt;0")</f>
        <v>0</v>
      </c>
      <c r="G165" s="17">
        <f t="shared" si="7"/>
        <v>89348200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846000</v>
      </c>
      <c r="E166" s="25">
        <f>SUMIFS('Daftar Koreksi'!$H$5:$H$92,'Daftar Koreksi'!$D$5:$D$92,'0900'!A158,'Daftar Koreksi'!$G$5:$G$92,"Aset Tetap Lainnya",'Daftar Koreksi'!$H$5:$H$92,"&gt;0")</f>
        <v>0</v>
      </c>
      <c r="F166" s="25">
        <f>SUMIFS('Daftar Koreksi'!$H$5:$H$92,'Daftar Koreksi'!$D$5:$D$92,'0900'!A158,'Daftar Koreksi'!$G$5:$G$92,"Aset Tetap Lainnya",'Daftar Koreksi'!$H$5:$H$92,"&lt;0")-SUMIFS('Daftar Koreksi'!$H$5:$H$92,'Daftar Koreksi'!$D$5:$D$92,'0900'!A158,'Daftar Koreksi'!$G$5:$G$92,"Aset Tetap Lainnya",'Daftar Koreksi'!$H$5:$H$92,"&lt;0")-SUMIFS('Daftar Koreksi'!$H$5:$H$92,'Daftar Koreksi'!$D$5:$D$92,'0900'!A158,'Daftar Koreksi'!$G$5:$G$92,"Aset Tetap Lainnya",'Daftar Koreksi'!$H$5:$H$92,"&lt;0")</f>
        <v>0</v>
      </c>
      <c r="G166" s="17">
        <f t="shared" si="7"/>
        <v>846000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800000000</v>
      </c>
      <c r="E167" s="25">
        <f>SUMIFS('Daftar Koreksi'!$H$5:$H$92,'Daftar Koreksi'!$D$5:$D$92,'0900'!A158,'Daftar Koreksi'!$G$5:$G$92,"Kontruksi Dalam Pengerjaan",'Daftar Koreksi'!$H$5:$H$92,"&gt;0")</f>
        <v>0</v>
      </c>
      <c r="F167" s="25">
        <f>SUMIFS('Daftar Koreksi'!$H$5:$H$92,'Daftar Koreksi'!$D$5:$D$92,'0900'!A158,'Daftar Koreksi'!$G$5:$G$92,"Kontruksi Dalam Pengerjaan",'Daftar Koreksi'!$H$5:$H$92,"&lt;0")-SUMIFS('Daftar Koreksi'!$H$5:$H$92,'Daftar Koreksi'!$D$5:$D$92,'0900'!A158,'Daftar Koreksi'!$G$5:$G$92,"Kontruksi Dalam Pengerjaan",'Daftar Koreksi'!$H$5:$H$92,"&lt;0")-SUMIFS('Daftar Koreksi'!$H$5:$H$92,'Daftar Koreksi'!$D$5:$D$92,'0900'!A158,'Daftar Koreksi'!$G$5:$G$92,"Kontruksi Dalam Pengerjaan",'Daftar Koreksi'!$H$5:$H$92,"&lt;0")</f>
        <v>0</v>
      </c>
      <c r="G167" s="17">
        <f t="shared" si="7"/>
        <v>800000000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3967150</v>
      </c>
      <c r="E168" s="25">
        <f>SUMIFS('Daftar Koreksi'!$H$5:$H$92,'Daftar Koreksi'!$D$5:$D$92,'0900'!A158,'Daftar Koreksi'!$G$5:$G$92,"Aset Tak Berwujud",'Daftar Koreksi'!$H$5:$H$92,"&gt;0")</f>
        <v>0</v>
      </c>
      <c r="F168" s="25">
        <f>SUMIFS('Daftar Koreksi'!$H$5:$H$92,'Daftar Koreksi'!$D$5:$D$92,'0900'!A158,'Daftar Koreksi'!$G$5:$G$92,"Aset Tak Berwujud",'Daftar Koreksi'!$H$5:$H$92,"&lt;0")-SUMIFS('Daftar Koreksi'!$H$5:$H$92,'Daftar Koreksi'!$D$5:$D$92,'0900'!A158,'Daftar Koreksi'!$G$5:$G$92,"Aset Tak Berwujud",'Daftar Koreksi'!$H$5:$H$92,"&lt;0")-SUMIFS('Daftar Koreksi'!$H$5:$H$92,'Daftar Koreksi'!$D$5:$D$92,'0900'!A158,'Daftar Koreksi'!$G$5:$G$92,"Aset Tak Berwujud",'Daftar Koreksi'!$H$5:$H$92,"&lt;0")</f>
        <v>0</v>
      </c>
      <c r="G168" s="17">
        <f t="shared" si="7"/>
        <v>3967150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161678647</v>
      </c>
      <c r="E169" s="25">
        <f>SUMIFS('Daftar Koreksi'!$H$5:$H$92,'Daftar Koreksi'!$D$5:$D$92,'0900'!A158,'Daftar Koreksi'!$G$5:$G$92,"Aset Henti Guna",'Daftar Koreksi'!$H$5:$H$92,"&gt;0")</f>
        <v>0</v>
      </c>
      <c r="F169" s="25">
        <f>SUMIFS('Daftar Koreksi'!$H$5:$H$92,'Daftar Koreksi'!$D$5:$D$92,'0900'!A158,'Daftar Koreksi'!$G$5:$G$92,"Aset Henti Guna",'Daftar Koreksi'!$H$5:$H$92,"&lt;0")-SUMIFS('Daftar Koreksi'!$H$5:$H$92,'Daftar Koreksi'!$D$5:$D$92,'0900'!A158,'Daftar Koreksi'!$G$5:$G$92,"Aset Henti Guna",'Daftar Koreksi'!$H$5:$H$92,"&lt;0")-SUMIFS('Daftar Koreksi'!$H$5:$H$92,'Daftar Koreksi'!$D$5:$D$92,'0900'!A158,'Daftar Koreksi'!$G$5:$G$92,"Aset Henti Guna",'Daftar Koreksi'!$H$5:$H$92,"&lt;0")</f>
        <v>0</v>
      </c>
      <c r="G169" s="17">
        <f t="shared" si="7"/>
        <v>161678647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20273223968</v>
      </c>
      <c r="E170" s="19">
        <f>SUM(E161:E169)</f>
        <v>0</v>
      </c>
      <c r="F170" s="19">
        <f>SUM(F161:F169)</f>
        <v>3679963300</v>
      </c>
      <c r="G170" s="19">
        <f t="shared" si="7"/>
        <v>16593260668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-1279015473</v>
      </c>
      <c r="E171" s="25">
        <f>SUMIFS('Daftar Koreksi'!$I$5:$I$92,'Daftar Koreksi'!$D$5:$D$92,'0900'!A158,'Daftar Koreksi'!$G$5:$G$92,"Peralatan dan mesin",'Daftar Koreksi'!$I$5:$I$92,"&gt;0")</f>
        <v>0</v>
      </c>
      <c r="F171" s="25">
        <f>SUMIFS('Daftar Koreksi'!$I$5:$I$92,'Daftar Koreksi'!$D$5:$D$92,'0900'!A158,'Daftar Koreksi'!$G$5:$G$92,"Peralatan dan mesin",'Daftar Koreksi'!$I$5:$I$92,"&lt;0")-SUMIFS('Daftar Koreksi'!$I$5:$I$92,'Daftar Koreksi'!$D$5:$D$92,'0900'!A158,'Daftar Koreksi'!$G$5:$G$92,"Peralatan dan mesin",'Daftar Koreksi'!$I$5:$I$92,"&lt;0")-SUMIFS('Daftar Koreksi'!$I$5:$I$92,'Daftar Koreksi'!$D$5:$D$92,'0900'!A158,'Daftar Koreksi'!$G$5:$G$92,"Peralatan dan mesin",'Daftar Koreksi'!$I$5:$I$92,"&lt;0")</f>
        <v>0</v>
      </c>
      <c r="G171" s="17">
        <f t="shared" si="7"/>
        <v>-1279015473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-811425605</v>
      </c>
      <c r="E172" s="25">
        <f>SUMIFS('Daftar Koreksi'!$I$5:$I$92,'Daftar Koreksi'!$D$5:$D$92,'0900'!A158,'Daftar Koreksi'!$G$5:$G$92,"Gedung dan Bangunan",'Daftar Koreksi'!$I$5:$I$92,"&gt;0")</f>
        <v>520569497</v>
      </c>
      <c r="F172" s="25">
        <f>SUMIFS('Daftar Koreksi'!$I$5:$I$92,'Daftar Koreksi'!$D$5:$D$92,'0900'!A158,'Daftar Koreksi'!$G$5:$G$92,"Gedung dan Bangunan",'Daftar Koreksi'!$I$5:$I$92,"&lt;0")-SUMIFS('Daftar Koreksi'!$I$5:$I$92,'Daftar Koreksi'!$D$5:$D$92,'0900'!A158,'Daftar Koreksi'!$G$5:$G$92,"Gedung dan Bangunan",'Daftar Koreksi'!$I$5:$I$92,"&lt;0")-SUMIFS('Daftar Koreksi'!$I$5:$I$92,'Daftar Koreksi'!$D$5:$D$92,'0900'!A158,'Daftar Koreksi'!$G$5:$G$92,"Gedung dan Bangunan",'Daftar Koreksi'!$I$5:$I$92,"&lt;0")</f>
        <v>0</v>
      </c>
      <c r="G172" s="17">
        <f t="shared" si="7"/>
        <v>-290856108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-18199798</v>
      </c>
      <c r="E173" s="25">
        <f>SUMIFS('Daftar Koreksi'!$I$5:$I$92,'Daftar Koreksi'!$D$5:$D$92,'0900'!A158,'Daftar Koreksi'!$G$5:$G$92,"Jalan Irigasi Jaringan",'Daftar Koreksi'!$I$5:$I$92,"&gt;0")</f>
        <v>0</v>
      </c>
      <c r="F173" s="25">
        <f>SUMIFS('Daftar Koreksi'!$I$5:$I$92,'Daftar Koreksi'!$D$5:$D$92,'0900'!A158,'Daftar Koreksi'!$G$5:$G$92,"Jalan Irigasi Jaringan",'Daftar Koreksi'!$I$5:$I$92,"&lt;0")-SUMIFS('Daftar Koreksi'!$I$5:$I$92,'Daftar Koreksi'!$D$5:$D$92,'0900'!A158,'Daftar Koreksi'!$G$5:$G$92,"Jalan Irigasi Jaringan",'Daftar Koreksi'!$I$5:$I$92,"&lt;0")-SUMIFS('Daftar Koreksi'!$I$5:$I$92,'Daftar Koreksi'!$D$5:$D$92,'0900'!A158,'Daftar Koreksi'!$G$5:$G$92,"Jalan Irigasi Jaringan",'Daftar Koreksi'!$I$5:$I$92,"&lt;0")</f>
        <v>0</v>
      </c>
      <c r="G173" s="17">
        <f t="shared" si="7"/>
        <v>-18199798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Koreksi'!$D$5:$D$92,'0900'!A158,'Daftar Koreksi'!$G$5:$G$92,"Aset Tetap Lainnya",'Daftar Koreksi'!$I$5:$I$92,"&gt;0")</f>
        <v>0</v>
      </c>
      <c r="F174" s="25">
        <f>SUMIFS('Daftar Koreksi'!$I$5:$I$92,'Daftar Koreksi'!$D$5:$D$92,'0900'!A158,'Daftar Koreksi'!$G$5:$G$92,"Aset Tetap Lainnya",'Daftar Koreksi'!$I$5:$I$92,"&lt;0")-SUMIFS('Daftar Koreksi'!$I$5:$I$92,'Daftar Koreksi'!$D$5:$D$92,'0900'!A158,'Daftar Koreksi'!$G$5:$G$92,"Aset Tetap Lainnya",'Daftar Koreksi'!$I$5:$I$92,"&lt;0")-SUMIFS('Daftar Koreksi'!$I$5:$I$92,'Daftar Koreksi'!$D$5:$D$92,'0900'!A158,'Daftar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-160776215</v>
      </c>
      <c r="E175" s="25">
        <f>SUMIFS('Daftar Koreksi'!$I$5:$I$92,'Daftar Koreksi'!$D$5:$D$92,'0900'!A158,'Daftar Koreksi'!$G$5:$G$92,"Aset Henti Guna",'Daftar Koreksi'!$I$5:$I$92,"&gt;0")</f>
        <v>0</v>
      </c>
      <c r="F175" s="25">
        <f>SUMIFS('Daftar Koreksi'!$I$5:$I$92,'Daftar Koreksi'!$D$5:$D$92,'0900'!A158,'Daftar Koreksi'!$G$5:$G$92,"Aset Henti Guna",'Daftar Koreksi'!$I$5:$I$92,"&lt;0")-SUMIFS('Daftar Koreksi'!$I$5:$I$92,'Daftar Koreksi'!$D$5:$D$92,'0900'!A158,'Daftar Koreksi'!$G$5:$G$92,"Aset Henti Guna",'Daftar Koreksi'!$I$5:$I$92,"&lt;0")-SUMIFS('Daftar Koreksi'!$I$5:$I$92,'Daftar Koreksi'!$D$5:$D$92,'0900'!A158,'Daftar Koreksi'!$G$5:$G$92,"Aset Henti Guna",'Daftar Koreksi'!$I$5:$I$92,"&lt;0")</f>
        <v>0</v>
      </c>
      <c r="G175" s="17">
        <f t="shared" si="7"/>
        <v>-160776215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-2269417091</v>
      </c>
      <c r="E176" s="19">
        <f>SUM(E171:E175)</f>
        <v>520569497</v>
      </c>
      <c r="F176" s="19">
        <f>SUM(F171:F175)</f>
        <v>0</v>
      </c>
      <c r="G176" s="19">
        <f t="shared" si="7"/>
        <v>-1748847594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18003806877</v>
      </c>
      <c r="E177" s="19">
        <f>E176+E170</f>
        <v>520569497</v>
      </c>
      <c r="F177" s="19">
        <f>F176+F170</f>
        <v>3679963300</v>
      </c>
      <c r="G177" s="19">
        <f t="shared" si="7"/>
        <v>14844413074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005010900402081000KD</v>
      </c>
      <c r="B180" s="11" t="str">
        <f>P9</f>
        <v>PA. Rengat</v>
      </c>
      <c r="C180" s="12" t="str">
        <f>A180&amp;" "&amp;B180</f>
        <v>005010900402081000KD PA. Rengat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4481750</v>
      </c>
      <c r="E183" s="25">
        <f>SUMIFS('Daftar Koreksi'!$H$5:$H$92,'Daftar Koreksi'!$D$5:$D$92,'0900'!A180,'Daftar Koreksi'!$G$5:$G$92,"Persediaan",'Daftar Koreksi'!$H$5:$H$92,"&gt;0")</f>
        <v>0</v>
      </c>
      <c r="F183" s="25">
        <f>SUMIFS('Daftar Koreksi'!$H$5:$H$92,'Daftar Koreksi'!$D$5:$D$92,'0900'!A180,'Daftar Koreksi'!$G$5:$G$92,"Persediaan",'Daftar Koreksi'!$H$5:$H$92,"&lt;0")-SUMIFS('Daftar Koreksi'!$H$5:$H$92,'Daftar Koreksi'!$D$5:$D$92,'0900'!A180,'Daftar Koreksi'!$G$5:$G$92,"Persediaan",'Daftar Koreksi'!$H$5:$H$92,"&lt;0")-SUMIFS('Daftar Koreksi'!$H$5:$H$92,'Daftar Koreksi'!$D$5:$D$92,'0900'!A180,'Daftar Koreksi'!$G$5:$G$92,"Persediaan",'Daftar Koreksi'!$H$5:$H$92,"&lt;0")</f>
        <v>0</v>
      </c>
      <c r="G183" s="17">
        <f>D183+E183-F183</f>
        <v>4481750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1419641000</v>
      </c>
      <c r="E184" s="25">
        <f>SUMIFS('Daftar Koreksi'!$H$5:$H$92,'Daftar Koreksi'!$D$5:$D$92,'0900'!A180,'Daftar Koreksi'!$G$5:$G$92,"Tanah",'Daftar Koreksi'!$H$5:$H$92,"&gt;0")</f>
        <v>0</v>
      </c>
      <c r="F184" s="25">
        <f>SUMIFS('Daftar Koreksi'!$H$5:$H$92,'Daftar Koreksi'!$D$5:$D$92,'0900'!A180,'Daftar Koreksi'!$G$5:$G$92,"Tanah",'Daftar Koreksi'!$H$5:$H$92,"&lt;0")-SUMIFS('Daftar Koreksi'!$H$5:$H$92,'Daftar Koreksi'!$D$5:$D$92,'0900'!A180,'Daftar Koreksi'!$G$5:$G$92,"Tanah",'Daftar Koreksi'!$H$5:$H$92,"&lt;0")-SUMIFS('Daftar Koreksi'!$H$5:$H$92,'Daftar Koreksi'!$D$5:$D$92,'0900'!A180,'Daftar Koreksi'!$G$5:$G$92,"Tanah",'Daftar Koreksi'!$H$5:$H$92,"&lt;0")</f>
        <v>0</v>
      </c>
      <c r="G184" s="17">
        <f t="shared" ref="G184:G200" si="8">D184+E184-F184</f>
        <v>1419641000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813842737</v>
      </c>
      <c r="E185" s="25">
        <f>SUMIFS('Daftar Koreksi'!$H$5:$H$92,'Daftar Koreksi'!$D$5:$D$92,'0900'!A180,'Daftar Koreksi'!$G$5:$G$92,"Peralatan dan mesin",'Daftar Koreksi'!$H$5:$H$92,"&gt;0")</f>
        <v>0</v>
      </c>
      <c r="F185" s="25">
        <f>SUMIFS('Daftar Koreksi'!$H$5:$H$92,'Daftar Koreksi'!$D$5:$D$92,'0900'!A180,'Daftar Koreksi'!$G$5:$G$92,"Peralatan dan mesin",'Daftar Koreksi'!$H$5:$H$92,"&lt;0")-SUMIFS('Daftar Koreksi'!$H$5:$H$92,'Daftar Koreksi'!$D$5:$D$92,'0900'!A180,'Daftar Koreksi'!$G$5:$G$92,"Peralatan dan mesin",'Daftar Koreksi'!$H$5:$H$92,"&lt;0")-SUMIFS('Daftar Koreksi'!$H$5:$H$92,'Daftar Koreksi'!$D$5:$D$92,'0900'!A180,'Daftar Koreksi'!$G$5:$G$92,"Peralatan dan mesin",'Daftar Koreksi'!$H$5:$H$92,"&lt;0")</f>
        <v>0</v>
      </c>
      <c r="G185" s="17">
        <f t="shared" si="8"/>
        <v>813842737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1291894000</v>
      </c>
      <c r="E186" s="25">
        <f>SUMIFS('Daftar Koreksi'!$H$5:$H$92,'Daftar Koreksi'!$D$5:$D$92,'0900'!A180,'Daftar Koreksi'!$G$5:$G$92,"Gedung dan Bangunan",'Daftar Koreksi'!$H$5:$H$92,"&gt;0")</f>
        <v>0</v>
      </c>
      <c r="F186" s="25">
        <f>SUMIFS('Daftar Koreksi'!$H$5:$H$92,'Daftar Koreksi'!$D$5:$D$92,'0900'!A180,'Daftar Koreksi'!$G$5:$G$92,"Gedung dan Bangunan",'Daftar Koreksi'!$H$5:$H$92,"&lt;0")-SUMIFS('Daftar Koreksi'!$H$5:$H$92,'Daftar Koreksi'!$D$5:$D$92,'0900'!A180,'Daftar Koreksi'!$G$5:$G$92,"Gedung dan Bangunan",'Daftar Koreksi'!$H$5:$H$92,"&lt;0")-SUMIFS('Daftar Koreksi'!$H$5:$H$92,'Daftar Koreksi'!$D$5:$D$92,'0900'!A180,'Daftar Koreksi'!$G$5:$G$92,"Gedung dan Bangunan",'Daftar Koreksi'!$H$5:$H$92,"&lt;0")</f>
        <v>0</v>
      </c>
      <c r="G186" s="17">
        <f t="shared" si="8"/>
        <v>1291894000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Koreksi'!$D$5:$D$92,'0900'!A180,'Daftar Koreksi'!$G$5:$G$92,"Jalan Irigasi Jaringan",'Daftar Koreksi'!$H$5:$H$92,"&gt;0")</f>
        <v>0</v>
      </c>
      <c r="F187" s="25">
        <f>SUMIFS('Daftar Koreksi'!$H$5:$H$92,'Daftar Koreksi'!$D$5:$D$92,'0900'!A180,'Daftar Koreksi'!$G$5:$G$92,"Jalan Irigasi Jaringan",'Daftar Koreksi'!$H$5:$H$92,"&lt;0")-SUMIFS('Daftar Koreksi'!$H$5:$H$92,'Daftar Koreksi'!$D$5:$D$92,'0900'!A180,'Daftar Koreksi'!$G$5:$G$92,"Jalan Irigasi Jaringan",'Daftar Koreksi'!$H$5:$H$92,"&lt;0")-SUMIFS('Daftar Koreksi'!$H$5:$H$92,'Daftar Koreksi'!$D$5:$D$92,'0900'!A180,'Daftar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4786030</v>
      </c>
      <c r="E188" s="25">
        <f>SUMIFS('Daftar Koreksi'!$H$5:$H$92,'Daftar Koreksi'!$D$5:$D$92,'0900'!A180,'Daftar Koreksi'!$G$5:$G$92,"Aset Tetap Lainnya",'Daftar Koreksi'!$H$5:$H$92,"&gt;0")</f>
        <v>0</v>
      </c>
      <c r="F188" s="25">
        <f>SUMIFS('Daftar Koreksi'!$H$5:$H$92,'Daftar Koreksi'!$D$5:$D$92,'0900'!A180,'Daftar Koreksi'!$G$5:$G$92,"Aset Tetap Lainnya",'Daftar Koreksi'!$H$5:$H$92,"&lt;0")-SUMIFS('Daftar Koreksi'!$H$5:$H$92,'Daftar Koreksi'!$D$5:$D$92,'0900'!A180,'Daftar Koreksi'!$G$5:$G$92,"Aset Tetap Lainnya",'Daftar Koreksi'!$H$5:$H$92,"&lt;0")-SUMIFS('Daftar Koreksi'!$H$5:$H$92,'Daftar Koreksi'!$D$5:$D$92,'0900'!A180,'Daftar Koreksi'!$G$5:$G$92,"Aset Tetap Lainnya",'Daftar Koreksi'!$H$5:$H$92,"&lt;0")</f>
        <v>0</v>
      </c>
      <c r="G188" s="17">
        <f t="shared" si="8"/>
        <v>4786030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Koreksi'!$D$5:$D$92,'0900'!A180,'Daftar Koreksi'!$G$5:$G$92,"Kontruksi Dalam Pengerjaan",'Daftar Koreksi'!$H$5:$H$92,"&gt;0")</f>
        <v>0</v>
      </c>
      <c r="F189" s="25">
        <f>SUMIFS('Daftar Koreksi'!$H$5:$H$92,'Daftar Koreksi'!$D$5:$D$92,'0900'!A180,'Daftar Koreksi'!$G$5:$G$92,"Kontruksi Dalam Pengerjaan",'Daftar Koreksi'!$H$5:$H$92,"&lt;0")-SUMIFS('Daftar Koreksi'!$H$5:$H$92,'Daftar Koreksi'!$D$5:$D$92,'0900'!A180,'Daftar Koreksi'!$G$5:$G$92,"Kontruksi Dalam Pengerjaan",'Daftar Koreksi'!$H$5:$H$92,"&lt;0")-SUMIFS('Daftar Koreksi'!$H$5:$H$92,'Daftar Koreksi'!$D$5:$D$92,'0900'!A180,'Daftar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Koreksi'!$D$5:$D$92,'0900'!A180,'Daftar Koreksi'!$G$5:$G$92,"Aset Tak Berwujud",'Daftar Koreksi'!$H$5:$H$92,"&gt;0")</f>
        <v>0</v>
      </c>
      <c r="F190" s="25">
        <f>SUMIFS('Daftar Koreksi'!$H$5:$H$92,'Daftar Koreksi'!$D$5:$D$92,'0900'!A180,'Daftar Koreksi'!$G$5:$G$92,"Aset Tak Berwujud",'Daftar Koreksi'!$H$5:$H$92,"&lt;0")-SUMIFS('Daftar Koreksi'!$H$5:$H$92,'Daftar Koreksi'!$D$5:$D$92,'0900'!A180,'Daftar Koreksi'!$G$5:$G$92,"Aset Tak Berwujud",'Daftar Koreksi'!$H$5:$H$92,"&lt;0")-SUMIFS('Daftar Koreksi'!$H$5:$H$92,'Daftar Koreksi'!$D$5:$D$92,'0900'!A180,'Daftar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184000</v>
      </c>
      <c r="E191" s="25">
        <f>SUMIFS('Daftar Koreksi'!$H$5:$H$92,'Daftar Koreksi'!$D$5:$D$92,'0900'!A180,'Daftar Koreksi'!$G$5:$G$92,"Aset Henti Guna",'Daftar Koreksi'!$H$5:$H$92,"&gt;0")</f>
        <v>0</v>
      </c>
      <c r="F191" s="25">
        <f>SUMIFS('Daftar Koreksi'!$H$5:$H$92,'Daftar Koreksi'!$D$5:$D$92,'0900'!A180,'Daftar Koreksi'!$G$5:$G$92,"Aset Henti Guna",'Daftar Koreksi'!$H$5:$H$92,"&lt;0")-SUMIFS('Daftar Koreksi'!$H$5:$H$92,'Daftar Koreksi'!$D$5:$D$92,'0900'!A180,'Daftar Koreksi'!$G$5:$G$92,"Aset Henti Guna",'Daftar Koreksi'!$H$5:$H$92,"&lt;0")-SUMIFS('Daftar Koreksi'!$H$5:$H$92,'Daftar Koreksi'!$D$5:$D$92,'0900'!A180,'Daftar Koreksi'!$G$5:$G$92,"Aset Henti Guna",'Daftar Koreksi'!$H$5:$H$92,"&lt;0")</f>
        <v>0</v>
      </c>
      <c r="G191" s="17">
        <f t="shared" si="8"/>
        <v>184000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3534829517</v>
      </c>
      <c r="E192" s="19">
        <f>SUM(E183:E191)</f>
        <v>0</v>
      </c>
      <c r="F192" s="19">
        <f>SUM(F183:F191)</f>
        <v>0</v>
      </c>
      <c r="G192" s="19">
        <f t="shared" si="8"/>
        <v>3534829517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-671327470</v>
      </c>
      <c r="E193" s="25">
        <f>SUMIFS('Daftar Koreksi'!$I$5:$I$92,'Daftar Koreksi'!$D$5:$D$92,'0900'!A180,'Daftar Koreksi'!$G$5:$G$92,"Peralatan dan mesin",'Daftar Koreksi'!$I$5:$I$92,"&gt;0")</f>
        <v>0</v>
      </c>
      <c r="F193" s="25">
        <f>SUMIFS('Daftar Koreksi'!$I$5:$I$92,'Daftar Koreksi'!$D$5:$D$92,'0900'!A180,'Daftar Koreksi'!$G$5:$G$92,"Peralatan dan mesin",'Daftar Koreksi'!$I$5:$I$92,"&lt;0")-SUMIFS('Daftar Koreksi'!$I$5:$I$92,'Daftar Koreksi'!$D$5:$D$92,'0900'!A180,'Daftar Koreksi'!$G$5:$G$92,"Peralatan dan mesin",'Daftar Koreksi'!$I$5:$I$92,"&lt;0")-SUMIFS('Daftar Koreksi'!$I$5:$I$92,'Daftar Koreksi'!$D$5:$D$92,'0900'!A180,'Daftar Koreksi'!$G$5:$G$92,"Peralatan dan mesin",'Daftar Koreksi'!$I$5:$I$92,"&lt;0")</f>
        <v>0</v>
      </c>
      <c r="G193" s="17">
        <f t="shared" si="8"/>
        <v>-671327470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-369381040</v>
      </c>
      <c r="E194" s="25">
        <f>SUMIFS('Daftar Koreksi'!$I$5:$I$92,'Daftar Koreksi'!$D$5:$D$92,'0900'!A180,'Daftar Koreksi'!$G$5:$G$92,"Gedung dan Bangunan",'Daftar Koreksi'!$I$5:$I$92,"&gt;0")</f>
        <v>0</v>
      </c>
      <c r="F194" s="25">
        <f>SUMIFS('Daftar Koreksi'!$I$5:$I$92,'Daftar Koreksi'!$D$5:$D$92,'0900'!A180,'Daftar Koreksi'!$G$5:$G$92,"Gedung dan Bangunan",'Daftar Koreksi'!$I$5:$I$92,"&lt;0")-SUMIFS('Daftar Koreksi'!$I$5:$I$92,'Daftar Koreksi'!$D$5:$D$92,'0900'!A180,'Daftar Koreksi'!$G$5:$G$92,"Gedung dan Bangunan",'Daftar Koreksi'!$I$5:$I$92,"&lt;0")-SUMIFS('Daftar Koreksi'!$I$5:$I$92,'Daftar Koreksi'!$D$5:$D$92,'0900'!A180,'Daftar Koreksi'!$G$5:$G$92,"Gedung dan Bangunan",'Daftar Koreksi'!$I$5:$I$92,"&lt;0")</f>
        <v>0</v>
      </c>
      <c r="G194" s="17">
        <f t="shared" si="8"/>
        <v>-369381040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Koreksi'!$D$5:$D$92,'0900'!A180,'Daftar Koreksi'!$G$5:$G$92,"Jalan Irigasi Jaringan",'Daftar Koreksi'!$I$5:$I$92,"&gt;0")</f>
        <v>0</v>
      </c>
      <c r="F195" s="25">
        <f>SUMIFS('Daftar Koreksi'!$I$5:$I$92,'Daftar Koreksi'!$D$5:$D$92,'0900'!A180,'Daftar Koreksi'!$G$5:$G$92,"Jalan Irigasi Jaringan",'Daftar Koreksi'!$I$5:$I$92,"&lt;0")-SUMIFS('Daftar Koreksi'!$I$5:$I$92,'Daftar Koreksi'!$D$5:$D$92,'0900'!A180,'Daftar Koreksi'!$G$5:$G$92,"Jalan Irigasi Jaringan",'Daftar Koreksi'!$I$5:$I$92,"&lt;0")-SUMIFS('Daftar Koreksi'!$I$5:$I$92,'Daftar Koreksi'!$D$5:$D$92,'0900'!A180,'Daftar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Koreksi'!$D$5:$D$92,'0900'!A180,'Daftar Koreksi'!$G$5:$G$92,"Aset Tetap Lainnya",'Daftar Koreksi'!$I$5:$I$92,"&gt;0")</f>
        <v>0</v>
      </c>
      <c r="F196" s="25">
        <f>SUMIFS('Daftar Koreksi'!$I$5:$I$92,'Daftar Koreksi'!$D$5:$D$92,'0900'!A180,'Daftar Koreksi'!$G$5:$G$92,"Aset Tetap Lainnya",'Daftar Koreksi'!$I$5:$I$92,"&lt;0")-SUMIFS('Daftar Koreksi'!$I$5:$I$92,'Daftar Koreksi'!$D$5:$D$92,'0900'!A180,'Daftar Koreksi'!$G$5:$G$92,"Aset Tetap Lainnya",'Daftar Koreksi'!$I$5:$I$92,"&lt;0")-SUMIFS('Daftar Koreksi'!$I$5:$I$92,'Daftar Koreksi'!$D$5:$D$92,'0900'!A180,'Daftar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-184000</v>
      </c>
      <c r="E197" s="25">
        <f>SUMIFS('Daftar Koreksi'!$I$5:$I$92,'Daftar Koreksi'!$D$5:$D$92,'0900'!A180,'Daftar Koreksi'!$G$5:$G$92,"Aset Henti Guna",'Daftar Koreksi'!$I$5:$I$92,"&gt;0")</f>
        <v>0</v>
      </c>
      <c r="F197" s="25">
        <f>SUMIFS('Daftar Koreksi'!$I$5:$I$92,'Daftar Koreksi'!$D$5:$D$92,'0900'!A180,'Daftar Koreksi'!$G$5:$G$92,"Aset Henti Guna",'Daftar Koreksi'!$I$5:$I$92,"&lt;0")-SUMIFS('Daftar Koreksi'!$I$5:$I$92,'Daftar Koreksi'!$D$5:$D$92,'0900'!A180,'Daftar Koreksi'!$G$5:$G$92,"Aset Henti Guna",'Daftar Koreksi'!$I$5:$I$92,"&lt;0")-SUMIFS('Daftar Koreksi'!$I$5:$I$92,'Daftar Koreksi'!$D$5:$D$92,'0900'!A180,'Daftar Koreksi'!$G$5:$G$92,"Aset Henti Guna",'Daftar Koreksi'!$I$5:$I$92,"&lt;0")</f>
        <v>0</v>
      </c>
      <c r="G197" s="17">
        <f t="shared" si="8"/>
        <v>-184000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-1040892510</v>
      </c>
      <c r="E198" s="19">
        <f>SUM(E193:E197)</f>
        <v>0</v>
      </c>
      <c r="F198" s="19">
        <f>SUM(F193:F197)</f>
        <v>0</v>
      </c>
      <c r="G198" s="19">
        <f t="shared" si="8"/>
        <v>-1040892510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2493937007</v>
      </c>
      <c r="E199" s="19">
        <f>E198+E192</f>
        <v>0</v>
      </c>
      <c r="F199" s="19">
        <f>F198+F192</f>
        <v>0</v>
      </c>
      <c r="G199" s="19">
        <f t="shared" si="8"/>
        <v>2493937007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005010900402097000KD</v>
      </c>
      <c r="B202" s="11" t="str">
        <f>P10</f>
        <v>PA. Tembilahan</v>
      </c>
      <c r="C202" s="12" t="str">
        <f>A202&amp;" "&amp;B202</f>
        <v>005010900402097000KD PA. Tembilahan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1409000</v>
      </c>
      <c r="E205" s="25">
        <f>SUMIFS('Daftar Koreksi'!$H$5:$H$92,'Daftar Koreksi'!$D$5:$D$92,'0900'!A202,'Daftar Koreksi'!$G$5:$G$92,"Persediaan",'Daftar Koreksi'!$H$5:$H$92,"&gt;0")</f>
        <v>0</v>
      </c>
      <c r="F205" s="25">
        <f>SUMIFS('Daftar Koreksi'!$H$5:$H$92,'Daftar Koreksi'!$D$5:$D$92,'0900'!A202,'Daftar Koreksi'!$G$5:$G$92,"Persediaan",'Daftar Koreksi'!$H$5:$H$92,"&lt;0")-SUMIFS('Daftar Koreksi'!$H$5:$H$92,'Daftar Koreksi'!$D$5:$D$92,'0900'!A202,'Daftar Koreksi'!$G$5:$G$92,"Persediaan",'Daftar Koreksi'!$H$5:$H$92,"&lt;0")-SUMIFS('Daftar Koreksi'!$H$5:$H$92,'Daftar Koreksi'!$D$5:$D$92,'0900'!A202,'Daftar Koreksi'!$G$5:$G$92,"Persediaan",'Daftar Koreksi'!$H$5:$H$92,"&lt;0")</f>
        <v>0</v>
      </c>
      <c r="G205" s="17">
        <f>D205+E205-F205</f>
        <v>1409000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1503338000</v>
      </c>
      <c r="E206" s="25">
        <f>SUMIFS('Daftar Koreksi'!$H$5:$H$92,'Daftar Koreksi'!$D$5:$D$92,'0900'!A202,'Daftar Koreksi'!$G$5:$G$92,"Tanah",'Daftar Koreksi'!$H$5:$H$92,"&gt;0")</f>
        <v>0</v>
      </c>
      <c r="F206" s="25">
        <f>SUMIFS('Daftar Koreksi'!$H$5:$H$92,'Daftar Koreksi'!$D$5:$D$92,'0900'!A202,'Daftar Koreksi'!$G$5:$G$92,"Tanah",'Daftar Koreksi'!$H$5:$H$92,"&lt;0")-SUMIFS('Daftar Koreksi'!$H$5:$H$92,'Daftar Koreksi'!$D$5:$D$92,'0900'!A202,'Daftar Koreksi'!$G$5:$G$92,"Tanah",'Daftar Koreksi'!$H$5:$H$92,"&lt;0")-SUMIFS('Daftar Koreksi'!$H$5:$H$92,'Daftar Koreksi'!$D$5:$D$92,'0900'!A202,'Daftar Koreksi'!$G$5:$G$92,"Tanah",'Daftar Koreksi'!$H$5:$H$92,"&lt;0")</f>
        <v>0</v>
      </c>
      <c r="G206" s="17">
        <f t="shared" ref="G206:G222" si="9">D206+E206-F206</f>
        <v>1503338000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1031743634</v>
      </c>
      <c r="E207" s="25">
        <f>SUMIFS('Daftar Koreksi'!$H$5:$H$92,'Daftar Koreksi'!$D$5:$D$92,'0900'!A202,'Daftar Koreksi'!$G$5:$G$92,"Peralatan dan mesin",'Daftar Koreksi'!$H$5:$H$92,"&gt;0")</f>
        <v>0</v>
      </c>
      <c r="F207" s="25">
        <f>SUMIFS('Daftar Koreksi'!$H$5:$H$92,'Daftar Koreksi'!$D$5:$D$92,'0900'!A202,'Daftar Koreksi'!$G$5:$G$92,"Peralatan dan mesin",'Daftar Koreksi'!$H$5:$H$92,"&lt;0")-SUMIFS('Daftar Koreksi'!$H$5:$H$92,'Daftar Koreksi'!$D$5:$D$92,'0900'!A202,'Daftar Koreksi'!$G$5:$G$92,"Peralatan dan mesin",'Daftar Koreksi'!$H$5:$H$92,"&lt;0")-SUMIFS('Daftar Koreksi'!$H$5:$H$92,'Daftar Koreksi'!$D$5:$D$92,'0900'!A202,'Daftar Koreksi'!$G$5:$G$92,"Peralatan dan mesin",'Daftar Koreksi'!$H$5:$H$92,"&lt;0")</f>
        <v>0</v>
      </c>
      <c r="G207" s="17">
        <f t="shared" si="9"/>
        <v>1031743634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1030481000</v>
      </c>
      <c r="E208" s="25">
        <f>SUMIFS('Daftar Koreksi'!$H$5:$H$92,'Daftar Koreksi'!$D$5:$D$92,'0900'!A202,'Daftar Koreksi'!$G$5:$G$92,"Gedung dan Bangunan",'Daftar Koreksi'!$H$5:$H$92,"&gt;0")</f>
        <v>0</v>
      </c>
      <c r="F208" s="25">
        <f>SUMIFS('Daftar Koreksi'!$H$5:$H$92,'Daftar Koreksi'!$D$5:$D$92,'0900'!A202,'Daftar Koreksi'!$G$5:$G$92,"Gedung dan Bangunan",'Daftar Koreksi'!$H$5:$H$92,"&lt;0")-SUMIFS('Daftar Koreksi'!$H$5:$H$92,'Daftar Koreksi'!$D$5:$D$92,'0900'!A202,'Daftar Koreksi'!$G$5:$G$92,"Gedung dan Bangunan",'Daftar Koreksi'!$H$5:$H$92,"&lt;0")-SUMIFS('Daftar Koreksi'!$H$5:$H$92,'Daftar Koreksi'!$D$5:$D$92,'0900'!A202,'Daftar Koreksi'!$G$5:$G$92,"Gedung dan Bangunan",'Daftar Koreksi'!$H$5:$H$92,"&lt;0")</f>
        <v>0</v>
      </c>
      <c r="G208" s="17">
        <f t="shared" si="9"/>
        <v>1030481000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Koreksi'!$D$5:$D$92,'0900'!A202,'Daftar Koreksi'!$G$5:$G$92,"Jalan Irigasi Jaringan",'Daftar Koreksi'!$H$5:$H$92,"&gt;0")</f>
        <v>0</v>
      </c>
      <c r="F209" s="25">
        <f>SUMIFS('Daftar Koreksi'!$H$5:$H$92,'Daftar Koreksi'!$D$5:$D$92,'0900'!A202,'Daftar Koreksi'!$G$5:$G$92,"Jalan Irigasi Jaringan",'Daftar Koreksi'!$H$5:$H$92,"&lt;0")-SUMIFS('Daftar Koreksi'!$H$5:$H$92,'Daftar Koreksi'!$D$5:$D$92,'0900'!A202,'Daftar Koreksi'!$G$5:$G$92,"Jalan Irigasi Jaringan",'Daftar Koreksi'!$H$5:$H$92,"&lt;0")-SUMIFS('Daftar Koreksi'!$H$5:$H$92,'Daftar Koreksi'!$D$5:$D$92,'0900'!A202,'Daftar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3674676</v>
      </c>
      <c r="E210" s="25">
        <f>SUMIFS('Daftar Koreksi'!$H$5:$H$92,'Daftar Koreksi'!$D$5:$D$92,'0900'!A202,'Daftar Koreksi'!$G$5:$G$92,"Aset Tetap Lainnya",'Daftar Koreksi'!$H$5:$H$92,"&gt;0")</f>
        <v>0</v>
      </c>
      <c r="F210" s="25">
        <f>SUMIFS('Daftar Koreksi'!$H$5:$H$92,'Daftar Koreksi'!$D$5:$D$92,'0900'!A202,'Daftar Koreksi'!$G$5:$G$92,"Aset Tetap Lainnya",'Daftar Koreksi'!$H$5:$H$92,"&lt;0")-SUMIFS('Daftar Koreksi'!$H$5:$H$92,'Daftar Koreksi'!$D$5:$D$92,'0900'!A202,'Daftar Koreksi'!$G$5:$G$92,"Aset Tetap Lainnya",'Daftar Koreksi'!$H$5:$H$92,"&lt;0")-SUMIFS('Daftar Koreksi'!$H$5:$H$92,'Daftar Koreksi'!$D$5:$D$92,'0900'!A202,'Daftar Koreksi'!$G$5:$G$92,"Aset Tetap Lainnya",'Daftar Koreksi'!$H$5:$H$92,"&lt;0")</f>
        <v>0</v>
      </c>
      <c r="G210" s="17">
        <f t="shared" si="9"/>
        <v>3674676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7373038600</v>
      </c>
      <c r="E211" s="25">
        <f>SUMIFS('Daftar Koreksi'!$H$5:$H$92,'Daftar Koreksi'!$D$5:$D$92,'0900'!A202,'Daftar Koreksi'!$G$5:$G$92,"Kontruksi Dalam Pengerjaan",'Daftar Koreksi'!$H$5:$H$92,"&gt;0")</f>
        <v>0</v>
      </c>
      <c r="F211" s="25">
        <f>SUMIFS('Daftar Koreksi'!$H$5:$H$92,'Daftar Koreksi'!$D$5:$D$92,'0900'!A202,'Daftar Koreksi'!$G$5:$G$92,"Kontruksi Dalam Pengerjaan",'Daftar Koreksi'!$H$5:$H$92,"&lt;0")-SUMIFS('Daftar Koreksi'!$H$5:$H$92,'Daftar Koreksi'!$D$5:$D$92,'0900'!A202,'Daftar Koreksi'!$G$5:$G$92,"Kontruksi Dalam Pengerjaan",'Daftar Koreksi'!$H$5:$H$92,"&lt;0")-SUMIFS('Daftar Koreksi'!$H$5:$H$92,'Daftar Koreksi'!$D$5:$D$92,'0900'!A202,'Daftar Koreksi'!$G$5:$G$92,"Kontruksi Dalam Pengerjaan",'Daftar Koreksi'!$H$5:$H$92,"&lt;0")</f>
        <v>0</v>
      </c>
      <c r="G211" s="17">
        <f t="shared" si="9"/>
        <v>7373038600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Koreksi'!$D$5:$D$92,'0900'!A202,'Daftar Koreksi'!$G$5:$G$92,"Aset Tak Berwujud",'Daftar Koreksi'!$H$5:$H$92,"&gt;0")</f>
        <v>0</v>
      </c>
      <c r="F212" s="25">
        <f>SUMIFS('Daftar Koreksi'!$H$5:$H$92,'Daftar Koreksi'!$D$5:$D$92,'0900'!A202,'Daftar Koreksi'!$G$5:$G$92,"Aset Tak Berwujud",'Daftar Koreksi'!$H$5:$H$92,"&lt;0")-SUMIFS('Daftar Koreksi'!$H$5:$H$92,'Daftar Koreksi'!$D$5:$D$92,'0900'!A202,'Daftar Koreksi'!$G$5:$G$92,"Aset Tak Berwujud",'Daftar Koreksi'!$H$5:$H$92,"&lt;0")-SUMIFS('Daftar Koreksi'!$H$5:$H$92,'Daftar Koreksi'!$D$5:$D$92,'0900'!A202,'Daftar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Koreksi'!$D$5:$D$92,'0900'!A202,'Daftar Koreksi'!$G$5:$G$92,"Aset Henti Guna",'Daftar Koreksi'!$H$5:$H$92,"&gt;0")</f>
        <v>0</v>
      </c>
      <c r="F213" s="25">
        <f>SUMIFS('Daftar Koreksi'!$H$5:$H$92,'Daftar Koreksi'!$D$5:$D$92,'0900'!A202,'Daftar Koreksi'!$G$5:$G$92,"Aset Henti Guna",'Daftar Koreksi'!$H$5:$H$92,"&lt;0")-SUMIFS('Daftar Koreksi'!$H$5:$H$92,'Daftar Koreksi'!$D$5:$D$92,'0900'!A202,'Daftar Koreksi'!$G$5:$G$92,"Aset Henti Guna",'Daftar Koreksi'!$H$5:$H$92,"&lt;0")-SUMIFS('Daftar Koreksi'!$H$5:$H$92,'Daftar Koreksi'!$D$5:$D$92,'0900'!A202,'Daftar Koreksi'!$G$5:$G$92,"Aset Henti Guna",'Daftar Koreksi'!$H$5:$H$92,"&lt;0")</f>
        <v>0</v>
      </c>
      <c r="G213" s="17">
        <f t="shared" si="9"/>
        <v>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10943684910</v>
      </c>
      <c r="E214" s="19">
        <f>SUM(E205:E213)</f>
        <v>0</v>
      </c>
      <c r="F214" s="19">
        <f>SUM(F205:F213)</f>
        <v>0</v>
      </c>
      <c r="G214" s="19">
        <f t="shared" si="9"/>
        <v>10943684910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-914193382</v>
      </c>
      <c r="E215" s="25">
        <f>SUMIFS('Daftar Koreksi'!$I$5:$I$92,'Daftar Koreksi'!$D$5:$D$92,'0900'!A202,'Daftar Koreksi'!$G$5:$G$92,"Peralatan dan mesin",'Daftar Koreksi'!$I$5:$I$92,"&gt;0")</f>
        <v>0</v>
      </c>
      <c r="F215" s="25">
        <f>SUMIFS('Daftar Koreksi'!$I$5:$I$92,'Daftar Koreksi'!$D$5:$D$92,'0900'!A202,'Daftar Koreksi'!$G$5:$G$92,"Peralatan dan mesin",'Daftar Koreksi'!$I$5:$I$92,"&lt;0")-SUMIFS('Daftar Koreksi'!$I$5:$I$92,'Daftar Koreksi'!$D$5:$D$92,'0900'!A202,'Daftar Koreksi'!$G$5:$G$92,"Peralatan dan mesin",'Daftar Koreksi'!$I$5:$I$92,"&lt;0")-SUMIFS('Daftar Koreksi'!$I$5:$I$92,'Daftar Koreksi'!$D$5:$D$92,'0900'!A202,'Daftar Koreksi'!$G$5:$G$92,"Peralatan dan mesin",'Daftar Koreksi'!$I$5:$I$92,"&lt;0")</f>
        <v>0</v>
      </c>
      <c r="G215" s="17">
        <f t="shared" si="9"/>
        <v>-914193382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-729056690</v>
      </c>
      <c r="E216" s="25">
        <f>SUMIFS('Daftar Koreksi'!$I$5:$I$92,'Daftar Koreksi'!$D$5:$D$92,'0900'!A202,'Daftar Koreksi'!$G$5:$G$92,"Gedung dan Bangunan",'Daftar Koreksi'!$I$5:$I$92,"&gt;0")</f>
        <v>0</v>
      </c>
      <c r="F216" s="25">
        <f>SUMIFS('Daftar Koreksi'!$I$5:$I$92,'Daftar Koreksi'!$D$5:$D$92,'0900'!A202,'Daftar Koreksi'!$G$5:$G$92,"Gedung dan Bangunan",'Daftar Koreksi'!$I$5:$I$92,"&lt;0")-SUMIFS('Daftar Koreksi'!$I$5:$I$92,'Daftar Koreksi'!$D$5:$D$92,'0900'!A202,'Daftar Koreksi'!$G$5:$G$92,"Gedung dan Bangunan",'Daftar Koreksi'!$I$5:$I$92,"&lt;0")-SUMIFS('Daftar Koreksi'!$I$5:$I$92,'Daftar Koreksi'!$D$5:$D$92,'0900'!A202,'Daftar Koreksi'!$G$5:$G$92,"Gedung dan Bangunan",'Daftar Koreksi'!$I$5:$I$92,"&lt;0")</f>
        <v>0</v>
      </c>
      <c r="G216" s="17">
        <f t="shared" si="9"/>
        <v>-729056690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Koreksi'!$D$5:$D$92,'0900'!A202,'Daftar Koreksi'!$G$5:$G$92,"Jalan Irigasi Jaringan",'Daftar Koreksi'!$I$5:$I$92,"&gt;0")</f>
        <v>0</v>
      </c>
      <c r="F217" s="25">
        <f>SUMIFS('Daftar Koreksi'!$I$5:$I$92,'Daftar Koreksi'!$D$5:$D$92,'0900'!A202,'Daftar Koreksi'!$G$5:$G$92,"Jalan Irigasi Jaringan",'Daftar Koreksi'!$I$5:$I$92,"&lt;0")-SUMIFS('Daftar Koreksi'!$I$5:$I$92,'Daftar Koreksi'!$D$5:$D$92,'0900'!A202,'Daftar Koreksi'!$G$5:$G$92,"Jalan Irigasi Jaringan",'Daftar Koreksi'!$I$5:$I$92,"&lt;0")-SUMIFS('Daftar Koreksi'!$I$5:$I$92,'Daftar Koreksi'!$D$5:$D$92,'0900'!A202,'Daftar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Koreksi'!$D$5:$D$92,'0900'!A202,'Daftar Koreksi'!$G$5:$G$92,"Aset Tetap Lainnya",'Daftar Koreksi'!$I$5:$I$92,"&gt;0")</f>
        <v>0</v>
      </c>
      <c r="F218" s="25">
        <f>SUMIFS('Daftar Koreksi'!$I$5:$I$92,'Daftar Koreksi'!$D$5:$D$92,'0900'!A202,'Daftar Koreksi'!$G$5:$G$92,"Aset Tetap Lainnya",'Daftar Koreksi'!$I$5:$I$92,"&lt;0")-SUMIFS('Daftar Koreksi'!$I$5:$I$92,'Daftar Koreksi'!$D$5:$D$92,'0900'!A202,'Daftar Koreksi'!$G$5:$G$92,"Aset Tetap Lainnya",'Daftar Koreksi'!$I$5:$I$92,"&lt;0")-SUMIFS('Daftar Koreksi'!$I$5:$I$92,'Daftar Koreksi'!$D$5:$D$92,'0900'!A202,'Daftar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Koreksi'!$D$5:$D$92,'0900'!A202,'Daftar Koreksi'!$G$5:$G$92,"Aset Henti Guna",'Daftar Koreksi'!$I$5:$I$92,"&gt;0")</f>
        <v>0</v>
      </c>
      <c r="F219" s="25">
        <f>SUMIFS('Daftar Koreksi'!$I$5:$I$92,'Daftar Koreksi'!$D$5:$D$92,'0900'!A202,'Daftar Koreksi'!$G$5:$G$92,"Aset Henti Guna",'Daftar Koreksi'!$I$5:$I$92,"&lt;0")-SUMIFS('Daftar Koreksi'!$I$5:$I$92,'Daftar Koreksi'!$D$5:$D$92,'0900'!A202,'Daftar Koreksi'!$G$5:$G$92,"Aset Henti Guna",'Daftar Koreksi'!$I$5:$I$92,"&lt;0")-SUMIFS('Daftar Koreksi'!$I$5:$I$92,'Daftar Koreksi'!$D$5:$D$92,'0900'!A202,'Daftar Koreksi'!$G$5:$G$92,"Aset Henti Guna",'Daftar Koreksi'!$I$5:$I$92,"&lt;0")</f>
        <v>0</v>
      </c>
      <c r="G219" s="17">
        <f t="shared" si="9"/>
        <v>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-1643250072</v>
      </c>
      <c r="E220" s="19">
        <f>SUM(E215:E219)</f>
        <v>0</v>
      </c>
      <c r="F220" s="19">
        <f>SUM(F215:F219)</f>
        <v>0</v>
      </c>
      <c r="G220" s="19">
        <f t="shared" si="9"/>
        <v>-1643250072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9300434838</v>
      </c>
      <c r="E221" s="19">
        <f>E220+E214</f>
        <v>0</v>
      </c>
      <c r="F221" s="19">
        <f>F220+F214</f>
        <v>0</v>
      </c>
      <c r="G221" s="19">
        <f t="shared" si="9"/>
        <v>9300434838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005010900402101000KD</v>
      </c>
      <c r="B224" s="11" t="str">
        <f>P11</f>
        <v>PA. Bangkinang</v>
      </c>
      <c r="C224" s="12" t="str">
        <f>A224&amp;" "&amp;B224</f>
        <v>005010900402101000KD PA. Bangkinang</v>
      </c>
      <c r="D224" s="13"/>
      <c r="E224" s="13"/>
      <c r="F224" s="13"/>
      <c r="G224" s="13"/>
      <c r="H224" s="11"/>
    </row>
    <row r="225" spans="1:10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10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10" ht="21.95" customHeight="1">
      <c r="A227" s="14"/>
      <c r="B227" s="14"/>
      <c r="C227" s="16" t="s">
        <v>1165</v>
      </c>
      <c r="D227" s="17">
        <f>VLOOKUP(A224,'Neraca Unaudited SIMAK'!$A$2:$S$10004,3,FALSE)</f>
        <v>816000</v>
      </c>
      <c r="E227" s="25">
        <f>SUMIFS('Daftar Koreksi'!$H$5:$H$92,'Daftar Koreksi'!$D$5:$D$92,'0900'!A224,'Daftar Koreksi'!$G$5:$G$92,"Persediaan",'Daftar Koreksi'!$H$5:$H$92,"&gt;0")</f>
        <v>0</v>
      </c>
      <c r="F227" s="25">
        <f>SUMIFS('Daftar Koreksi'!$H$5:$H$92,'Daftar Koreksi'!$D$5:$D$92,'0900'!A224,'Daftar Koreksi'!$G$5:$G$92,"Persediaan",'Daftar Koreksi'!$H$5:$H$92,"&lt;0")-SUMIFS('Daftar Koreksi'!$H$5:$H$92,'Daftar Koreksi'!$D$5:$D$92,'0900'!A224,'Daftar Koreksi'!$G$5:$G$92,"Persediaan",'Daftar Koreksi'!$H$5:$H$92,"&lt;0")-SUMIFS('Daftar Koreksi'!$H$5:$H$92,'Daftar Koreksi'!$D$5:$D$92,'0900'!A224,'Daftar Koreksi'!$G$5:$G$92,"Persediaan",'Daftar Koreksi'!$H$5:$H$92,"&lt;0")</f>
        <v>0</v>
      </c>
      <c r="G227" s="17">
        <f>D227+E227-F227</f>
        <v>816000</v>
      </c>
      <c r="H227" s="121" t="str">
        <f>IF(ISNA(VLOOKUP(A224,'Mutasi Neraca'!$A$3:$S$914,19,FALSE)),"-",VLOOKUP(A224,'Mutasi Neraca'!$A$3:$S$914,19,FALSE))</f>
        <v>-</v>
      </c>
      <c r="I227" s="28"/>
      <c r="J227" s="28"/>
    </row>
    <row r="228" spans="1:10" ht="21.95" customHeight="1">
      <c r="A228" s="14"/>
      <c r="B228" s="14"/>
      <c r="C228" s="16" t="s">
        <v>1166</v>
      </c>
      <c r="D228" s="17">
        <f>VLOOKUP(A224,'Neraca Unaudited SIMAK'!$A$2:$S$10004,4,FALSE)</f>
        <v>928900000</v>
      </c>
      <c r="E228" s="25">
        <f>SUMIFS('Daftar Koreksi'!$H$5:$H$92,'Daftar Koreksi'!$D$5:$D$92,'0900'!A224,'Daftar Koreksi'!$G$5:$G$92,"Tanah",'Daftar Koreksi'!$H$5:$H$92,"&gt;0")</f>
        <v>0</v>
      </c>
      <c r="F228" s="25">
        <f>SUMIFS('Daftar Koreksi'!$H$5:$H$92,'Daftar Koreksi'!$D$5:$D$92,'0900'!A224,'Daftar Koreksi'!$G$5:$G$92,"Tanah",'Daftar Koreksi'!$H$5:$H$92,"&lt;0")-SUMIFS('Daftar Koreksi'!$H$5:$H$92,'Daftar Koreksi'!$D$5:$D$92,'0900'!A224,'Daftar Koreksi'!$G$5:$G$92,"Tanah",'Daftar Koreksi'!$H$5:$H$92,"&lt;0")-SUMIFS('Daftar Koreksi'!$H$5:$H$92,'Daftar Koreksi'!$D$5:$D$92,'0900'!A224,'Daftar Koreksi'!$G$5:$G$92,"Tanah",'Daftar Koreksi'!$H$5:$H$92,"&lt;0")</f>
        <v>0</v>
      </c>
      <c r="G228" s="17">
        <f t="shared" ref="G228:G244" si="10">D228+E228-F228</f>
        <v>928900000</v>
      </c>
      <c r="H228" s="122"/>
      <c r="I228" s="28"/>
      <c r="J228" s="28"/>
    </row>
    <row r="229" spans="1:10" ht="21.95" customHeight="1">
      <c r="A229" s="14"/>
      <c r="B229" s="14"/>
      <c r="C229" s="16" t="s">
        <v>1167</v>
      </c>
      <c r="D229" s="17">
        <f>VLOOKUP(A224,'Neraca Unaudited SIMAK'!$A$2:$S$10004,5,FALSE)</f>
        <v>1253088419</v>
      </c>
      <c r="E229" s="25">
        <f>SUMIFS('Daftar Koreksi'!$H$5:$H$92,'Daftar Koreksi'!$D$5:$D$92,'0900'!A224,'Daftar Koreksi'!$G$5:$G$92,"Peralatan dan mesin",'Daftar Koreksi'!$H$5:$H$92,"&gt;0")</f>
        <v>0</v>
      </c>
      <c r="F229" s="25">
        <f>SUMIFS('Daftar Koreksi'!$H$5:$H$92,'Daftar Koreksi'!$D$5:$D$92,'0900'!A224,'Daftar Koreksi'!$G$5:$G$92,"Peralatan dan mesin",'Daftar Koreksi'!$H$5:$H$92,"&lt;0")-SUMIFS('Daftar Koreksi'!$H$5:$H$92,'Daftar Koreksi'!$D$5:$D$92,'0900'!A224,'Daftar Koreksi'!$G$5:$G$92,"Peralatan dan mesin",'Daftar Koreksi'!$H$5:$H$92,"&lt;0")-SUMIFS('Daftar Koreksi'!$H$5:$H$92,'Daftar Koreksi'!$D$5:$D$92,'0900'!A224,'Daftar Koreksi'!$G$5:$G$92,"Peralatan dan mesin",'Daftar Koreksi'!$H$5:$H$92,"&lt;0")</f>
        <v>0</v>
      </c>
      <c r="G229" s="17">
        <f t="shared" si="10"/>
        <v>1253088419</v>
      </c>
      <c r="H229" s="122"/>
      <c r="I229" s="28"/>
      <c r="J229" s="28"/>
    </row>
    <row r="230" spans="1:10" ht="21.95" customHeight="1">
      <c r="A230" s="14"/>
      <c r="B230" s="14"/>
      <c r="C230" s="16" t="s">
        <v>1168</v>
      </c>
      <c r="D230" s="17">
        <f>VLOOKUP(A224,'Neraca Unaudited SIMAK'!$A$2:$S$10004,6,FALSE)</f>
        <v>10019950400</v>
      </c>
      <c r="E230" s="25">
        <f>SUMIFS('Daftar Koreksi'!$H$5:$H$92,'Daftar Koreksi'!$D$5:$D$92,'0900'!A224,'Daftar Koreksi'!$G$5:$G$92,"Gedung dan Bangunan",'Daftar Koreksi'!$H$5:$H$92,"&gt;0")</f>
        <v>0</v>
      </c>
      <c r="F230" s="25">
        <f>SUMIFS('Daftar Koreksi'!$H$5:$H$92,'Daftar Koreksi'!$D$5:$D$92,'0900'!A224,'Daftar Koreksi'!$G$5:$G$92,"Gedung dan Bangunan",'Daftar Koreksi'!$H$5:$H$92,"&lt;0")-SUMIFS('Daftar Koreksi'!$H$5:$H$92,'Daftar Koreksi'!$D$5:$D$92,'0900'!A224,'Daftar Koreksi'!$G$5:$G$92,"Gedung dan Bangunan",'Daftar Koreksi'!$H$5:$H$92,"&lt;0")-SUMIFS('Daftar Koreksi'!$H$5:$H$92,'Daftar Koreksi'!$D$5:$D$92,'0900'!A224,'Daftar Koreksi'!$G$5:$G$92,"Gedung dan Bangunan",'Daftar Koreksi'!$H$5:$H$92,"&lt;0")</f>
        <v>0</v>
      </c>
      <c r="G230" s="17">
        <f t="shared" si="10"/>
        <v>10019950400</v>
      </c>
      <c r="H230" s="122"/>
      <c r="I230" s="28"/>
      <c r="J230" s="28"/>
    </row>
    <row r="231" spans="1:10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Koreksi'!$D$5:$D$92,'0900'!A224,'Daftar Koreksi'!$G$5:$G$92,"Jalan Irigasi Jaringan",'Daftar Koreksi'!$H$5:$H$92,"&gt;0")</f>
        <v>0</v>
      </c>
      <c r="F231" s="25">
        <f>SUMIFS('Daftar Koreksi'!$H$5:$H$92,'Daftar Koreksi'!$D$5:$D$92,'0900'!A224,'Daftar Koreksi'!$G$5:$G$92,"Jalan Irigasi Jaringan",'Daftar Koreksi'!$H$5:$H$92,"&lt;0")-SUMIFS('Daftar Koreksi'!$H$5:$H$92,'Daftar Koreksi'!$D$5:$D$92,'0900'!A224,'Daftar Koreksi'!$G$5:$G$92,"Jalan Irigasi Jaringan",'Daftar Koreksi'!$H$5:$H$92,"&lt;0")-SUMIFS('Daftar Koreksi'!$H$5:$H$92,'Daftar Koreksi'!$D$5:$D$92,'0900'!A224,'Daftar Koreksi'!$G$5:$G$92,"Jalan Irigasi Jaringan",'Daftar Koreksi'!$H$5:$H$92,"&lt;0")</f>
        <v>0</v>
      </c>
      <c r="G231" s="17">
        <f t="shared" si="10"/>
        <v>0</v>
      </c>
      <c r="H231" s="122"/>
      <c r="I231" s="28"/>
      <c r="J231" s="28"/>
    </row>
    <row r="232" spans="1:10" ht="21.95" customHeight="1">
      <c r="A232" s="14"/>
      <c r="B232" s="14"/>
      <c r="C232" s="16" t="s">
        <v>1170</v>
      </c>
      <c r="D232" s="17">
        <f>VLOOKUP(A224,'Neraca Unaudited SIMAK'!$A$2:$S$10004,8,FALSE)</f>
        <v>1237220</v>
      </c>
      <c r="E232" s="25">
        <f>SUMIFS('Daftar Koreksi'!$H$5:$H$92,'Daftar Koreksi'!$D$5:$D$92,'0900'!A224,'Daftar Koreksi'!$G$5:$G$92,"Aset Tetap Lainnya",'Daftar Koreksi'!$H$5:$H$92,"&gt;0")</f>
        <v>0</v>
      </c>
      <c r="F232" s="25">
        <f>SUMIFS('Daftar Koreksi'!$H$5:$H$92,'Daftar Koreksi'!$D$5:$D$92,'0900'!A224,'Daftar Koreksi'!$G$5:$G$92,"Aset Tetap Lainnya",'Daftar Koreksi'!$H$5:$H$92,"&lt;0")-SUMIFS('Daftar Koreksi'!$H$5:$H$92,'Daftar Koreksi'!$D$5:$D$92,'0900'!A224,'Daftar Koreksi'!$G$5:$G$92,"Aset Tetap Lainnya",'Daftar Koreksi'!$H$5:$H$92,"&lt;0")-SUMIFS('Daftar Koreksi'!$H$5:$H$92,'Daftar Koreksi'!$D$5:$D$92,'0900'!A224,'Daftar Koreksi'!$G$5:$G$92,"Aset Tetap Lainnya",'Daftar Koreksi'!$H$5:$H$92,"&lt;0")</f>
        <v>0</v>
      </c>
      <c r="G232" s="17">
        <f t="shared" si="10"/>
        <v>1237220</v>
      </c>
      <c r="H232" s="122"/>
      <c r="I232" s="28"/>
      <c r="J232" s="28"/>
    </row>
    <row r="233" spans="1:10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Koreksi'!$D$5:$D$92,'0900'!A224,'Daftar Koreksi'!$G$5:$G$92,"Kontruksi Dalam Pengerjaan",'Daftar Koreksi'!$H$5:$H$92,"&gt;0")</f>
        <v>0</v>
      </c>
      <c r="F233" s="25">
        <f>SUMIFS('Daftar Koreksi'!$H$5:$H$92,'Daftar Koreksi'!$D$5:$D$92,'0900'!A224,'Daftar Koreksi'!$G$5:$G$92,"Kontruksi Dalam Pengerjaan",'Daftar Koreksi'!$H$5:$H$92,"&lt;0")-SUMIFS('Daftar Koreksi'!$H$5:$H$92,'Daftar Koreksi'!$D$5:$D$92,'0900'!A224,'Daftar Koreksi'!$G$5:$G$92,"Kontruksi Dalam Pengerjaan",'Daftar Koreksi'!$H$5:$H$92,"&lt;0")-SUMIFS('Daftar Koreksi'!$H$5:$H$92,'Daftar Koreksi'!$D$5:$D$92,'0900'!A224,'Daftar Koreksi'!$G$5:$G$92,"Kontruksi Dalam Pengerjaan",'Daftar Koreksi'!$H$5:$H$92,"&lt;0")</f>
        <v>0</v>
      </c>
      <c r="G233" s="17">
        <f t="shared" si="10"/>
        <v>0</v>
      </c>
      <c r="H233" s="122"/>
      <c r="I233" s="28"/>
      <c r="J233" s="28"/>
    </row>
    <row r="234" spans="1:10" ht="21.95" customHeight="1">
      <c r="A234" s="14"/>
      <c r="B234" s="14"/>
      <c r="C234" s="16" t="s">
        <v>1172</v>
      </c>
      <c r="D234" s="17">
        <f>VLOOKUP(A224,'Neraca Unaudited SIMAK'!$A$2:$S$10004,10,FALSE)</f>
        <v>20750000</v>
      </c>
      <c r="E234" s="25">
        <f>SUMIFS('Daftar Koreksi'!$H$5:$H$92,'Daftar Koreksi'!$D$5:$D$92,'0900'!A224,'Daftar Koreksi'!$G$5:$G$92,"Aset Tak Berwujud",'Daftar Koreksi'!$H$5:$H$92,"&gt;0")</f>
        <v>0</v>
      </c>
      <c r="F234" s="25">
        <f>SUMIFS('Daftar Koreksi'!$H$5:$H$92,'Daftar Koreksi'!$D$5:$D$92,'0900'!A224,'Daftar Koreksi'!$G$5:$G$92,"Aset Tak Berwujud",'Daftar Koreksi'!$H$5:$H$92,"&lt;0")-SUMIFS('Daftar Koreksi'!$H$5:$H$92,'Daftar Koreksi'!$D$5:$D$92,'0900'!A224,'Daftar Koreksi'!$G$5:$G$92,"Aset Tak Berwujud",'Daftar Koreksi'!$H$5:$H$92,"&lt;0")-SUMIFS('Daftar Koreksi'!$H$5:$H$92,'Daftar Koreksi'!$D$5:$D$92,'0900'!A224,'Daftar Koreksi'!$G$5:$G$92,"Aset Tak Berwujud",'Daftar Koreksi'!$H$5:$H$92,"&lt;0")</f>
        <v>0</v>
      </c>
      <c r="G234" s="17">
        <f t="shared" si="10"/>
        <v>20750000</v>
      </c>
      <c r="H234" s="122"/>
      <c r="I234" s="28"/>
      <c r="J234" s="28"/>
    </row>
    <row r="235" spans="1:10" ht="21.95" customHeight="1">
      <c r="A235" s="14"/>
      <c r="B235" s="14"/>
      <c r="C235" s="16" t="s">
        <v>1173</v>
      </c>
      <c r="D235" s="17">
        <f>VLOOKUP(A224,'Neraca Unaudited SIMAK'!$A$2:$S$10004,11,FALSE)</f>
        <v>6638823</v>
      </c>
      <c r="E235" s="25">
        <f>SUMIFS('Daftar Koreksi'!$H$5:$H$92,'Daftar Koreksi'!$D$5:$D$92,'0900'!A224,'Daftar Koreksi'!$G$5:$G$92,"Aset Henti Guna",'Daftar Koreksi'!$H$5:$H$92,"&gt;0")</f>
        <v>0</v>
      </c>
      <c r="F235" s="25">
        <f>SUMIFS('Daftar Koreksi'!$H$5:$H$92,'Daftar Koreksi'!$D$5:$D$92,'0900'!A224,'Daftar Koreksi'!$G$5:$G$92,"Aset Henti Guna",'Daftar Koreksi'!$H$5:$H$92,"&lt;0")-SUMIFS('Daftar Koreksi'!$H$5:$H$92,'Daftar Koreksi'!$D$5:$D$92,'0900'!A224,'Daftar Koreksi'!$G$5:$G$92,"Aset Henti Guna",'Daftar Koreksi'!$H$5:$H$92,"&lt;0")-SUMIFS('Daftar Koreksi'!$H$5:$H$92,'Daftar Koreksi'!$D$5:$D$92,'0900'!A224,'Daftar Koreksi'!$G$5:$G$92,"Aset Henti Guna",'Daftar Koreksi'!$H$5:$H$92,"&lt;0")</f>
        <v>0</v>
      </c>
      <c r="G235" s="17">
        <f t="shared" si="10"/>
        <v>6638823</v>
      </c>
      <c r="H235" s="122"/>
      <c r="I235" s="28"/>
      <c r="J235" s="28"/>
    </row>
    <row r="236" spans="1:10" ht="21.95" customHeight="1">
      <c r="A236" s="14"/>
      <c r="B236" s="14"/>
      <c r="C236" s="18" t="s">
        <v>2093</v>
      </c>
      <c r="D236" s="19">
        <f>VLOOKUP(A224,'Neraca Unaudited SIMAK'!$A$2:$S$10004,12,FALSE)</f>
        <v>12231380862</v>
      </c>
      <c r="E236" s="19">
        <f>SUM(E227:E235)</f>
        <v>0</v>
      </c>
      <c r="F236" s="19">
        <f>SUM(F227:F235)</f>
        <v>0</v>
      </c>
      <c r="G236" s="19">
        <f t="shared" si="10"/>
        <v>12231380862</v>
      </c>
      <c r="H236" s="122"/>
      <c r="I236" s="28"/>
      <c r="J236" s="28"/>
    </row>
    <row r="237" spans="1:10" ht="21.95" customHeight="1">
      <c r="A237" s="14"/>
      <c r="B237" s="14"/>
      <c r="C237" s="16" t="s">
        <v>2087</v>
      </c>
      <c r="D237" s="17">
        <f>VLOOKUP(A224,'Neraca Unaudited SIMAK'!$A$2:$S$10004,13,FALSE)</f>
        <v>-678304117</v>
      </c>
      <c r="E237" s="25">
        <f>SUMIFS('Daftar Koreksi'!$I$5:$I$92,'Daftar Koreksi'!$D$5:$D$92,'0900'!A224,'Daftar Koreksi'!$G$5:$G$92,"Peralatan dan mesin",'Daftar Koreksi'!$I$5:$I$92,"&gt;0")</f>
        <v>0</v>
      </c>
      <c r="F237" s="25">
        <f>SUMIFS('Daftar Koreksi'!$I$5:$I$92,'Daftar Koreksi'!$D$5:$D$92,'0900'!A224,'Daftar Koreksi'!$G$5:$G$92,"Peralatan dan mesin",'Daftar Koreksi'!$I$5:$I$92,"&lt;0")-SUMIFS('Daftar Koreksi'!$I$5:$I$92,'Daftar Koreksi'!$D$5:$D$92,'0900'!A224,'Daftar Koreksi'!$G$5:$G$92,"Peralatan dan mesin",'Daftar Koreksi'!$I$5:$I$92,"&lt;0")-SUMIFS('Daftar Koreksi'!$I$5:$I$92,'Daftar Koreksi'!$D$5:$D$92,'0900'!A224,'Daftar Koreksi'!$G$5:$G$92,"Peralatan dan mesin",'Daftar Koreksi'!$I$5:$I$92,"&lt;0")</f>
        <v>0</v>
      </c>
      <c r="G237" s="17">
        <f t="shared" si="10"/>
        <v>-678304117</v>
      </c>
      <c r="H237" s="122"/>
      <c r="I237" s="28"/>
      <c r="J237" s="28"/>
    </row>
    <row r="238" spans="1:10" ht="21.95" customHeight="1">
      <c r="A238" s="14"/>
      <c r="B238" s="14"/>
      <c r="C238" s="16" t="s">
        <v>2088</v>
      </c>
      <c r="D238" s="17">
        <f>VLOOKUP(A224,'Neraca Unaudited SIMAK'!$A$2:$S$10004,14,FALSE)</f>
        <v>-259716028</v>
      </c>
      <c r="E238" s="25">
        <f>SUMIFS('Daftar Koreksi'!$I$5:$I$92,'Daftar Koreksi'!$D$5:$D$92,'0900'!A224,'Daftar Koreksi'!$G$5:$G$92,"Gedung dan Bangunan",'Daftar Koreksi'!$I$5:$I$92,"&gt;0")</f>
        <v>0</v>
      </c>
      <c r="F238" s="25">
        <f>SUMIFS('Daftar Koreksi'!$I$5:$I$92,'Daftar Koreksi'!$D$5:$D$92,'0900'!A224,'Daftar Koreksi'!$G$5:$G$92,"Gedung dan Bangunan",'Daftar Koreksi'!$I$5:$I$92,"&lt;0")-SUMIFS('Daftar Koreksi'!$I$5:$I$92,'Daftar Koreksi'!$D$5:$D$92,'0900'!A224,'Daftar Koreksi'!$G$5:$G$92,"Gedung dan Bangunan",'Daftar Koreksi'!$I$5:$I$92,"&lt;0")-SUMIFS('Daftar Koreksi'!$I$5:$I$92,'Daftar Koreksi'!$D$5:$D$92,'0900'!A224,'Daftar Koreksi'!$G$5:$G$92,"Gedung dan Bangunan",'Daftar Koreksi'!$I$5:$I$92,"&lt;0")</f>
        <v>0</v>
      </c>
      <c r="G238" s="17">
        <f t="shared" si="10"/>
        <v>-259716028</v>
      </c>
      <c r="H238" s="122"/>
      <c r="I238" s="28"/>
      <c r="J238" s="28"/>
    </row>
    <row r="239" spans="1:10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Koreksi'!$D$5:$D$92,'0900'!A224,'Daftar Koreksi'!$G$5:$G$92,"Jalan Irigasi Jaringan",'Daftar Koreksi'!$I$5:$I$92,"&gt;0")</f>
        <v>0</v>
      </c>
      <c r="F239" s="25">
        <f>SUMIFS('Daftar Koreksi'!$I$5:$I$92,'Daftar Koreksi'!$D$5:$D$92,'0900'!A224,'Daftar Koreksi'!$G$5:$G$92,"Jalan Irigasi Jaringan",'Daftar Koreksi'!$I$5:$I$92,"&lt;0")-SUMIFS('Daftar Koreksi'!$I$5:$I$92,'Daftar Koreksi'!$D$5:$D$92,'0900'!A224,'Daftar Koreksi'!$G$5:$G$92,"Jalan Irigasi Jaringan",'Daftar Koreksi'!$I$5:$I$92,"&lt;0")-SUMIFS('Daftar Koreksi'!$I$5:$I$92,'Daftar Koreksi'!$D$5:$D$92,'0900'!A224,'Daftar Koreksi'!$G$5:$G$92,"Jalan Irigasi Jaringan",'Daftar Koreksi'!$I$5:$I$92,"&lt;0")</f>
        <v>0</v>
      </c>
      <c r="G239" s="17">
        <f t="shared" si="10"/>
        <v>0</v>
      </c>
      <c r="H239" s="122"/>
      <c r="I239" s="28"/>
      <c r="J239" s="28"/>
    </row>
    <row r="240" spans="1:10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Koreksi'!$D$5:$D$92,'0900'!A224,'Daftar Koreksi'!$G$5:$G$92,"Aset Tetap Lainnya",'Daftar Koreksi'!$I$5:$I$92,"&gt;0")</f>
        <v>0</v>
      </c>
      <c r="F240" s="25">
        <f>SUMIFS('Daftar Koreksi'!$I$5:$I$92,'Daftar Koreksi'!$D$5:$D$92,'0900'!A224,'Daftar Koreksi'!$G$5:$G$92,"Aset Tetap Lainnya",'Daftar Koreksi'!$I$5:$I$92,"&lt;0")-SUMIFS('Daftar Koreksi'!$I$5:$I$92,'Daftar Koreksi'!$D$5:$D$92,'0900'!A224,'Daftar Koreksi'!$G$5:$G$92,"Aset Tetap Lainnya",'Daftar Koreksi'!$I$5:$I$92,"&lt;0")-SUMIFS('Daftar Koreksi'!$I$5:$I$92,'Daftar Koreksi'!$D$5:$D$92,'0900'!A224,'Daftar Koreksi'!$G$5:$G$92,"Aset Tetap Lainnya",'Daftar Koreksi'!$I$5:$I$92,"&lt;0")</f>
        <v>0</v>
      </c>
      <c r="G240" s="17">
        <f t="shared" si="10"/>
        <v>0</v>
      </c>
      <c r="H240" s="122"/>
      <c r="I240" s="28"/>
      <c r="J240" s="28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-6638823</v>
      </c>
      <c r="E241" s="25">
        <f>SUMIFS('Daftar Koreksi'!$I$5:$I$92,'Daftar Koreksi'!$D$5:$D$92,'0900'!A224,'Daftar Koreksi'!$G$5:$G$92,"Aset Henti Guna",'Daftar Koreksi'!$I$5:$I$92,"&gt;0")</f>
        <v>0</v>
      </c>
      <c r="F241" s="25">
        <f>SUMIFS('Daftar Koreksi'!$I$5:$I$92,'Daftar Koreksi'!$D$5:$D$92,'0900'!A224,'Daftar Koreksi'!$G$5:$G$92,"Aset Henti Guna",'Daftar Koreksi'!$I$5:$I$92,"&lt;0")-SUMIFS('Daftar Koreksi'!$I$5:$I$92,'Daftar Koreksi'!$D$5:$D$92,'0900'!A224,'Daftar Koreksi'!$G$5:$G$92,"Aset Henti Guna",'Daftar Koreksi'!$I$5:$I$92,"&lt;0")-SUMIFS('Daftar Koreksi'!$I$5:$I$92,'Daftar Koreksi'!$D$5:$D$92,'0900'!A224,'Daftar Koreksi'!$G$5:$G$92,"Aset Henti Guna",'Daftar Koreksi'!$I$5:$I$92,"&lt;0")</f>
        <v>0</v>
      </c>
      <c r="G241" s="17">
        <f t="shared" si="10"/>
        <v>-6638823</v>
      </c>
      <c r="H241" s="122"/>
      <c r="I241" s="28"/>
      <c r="J241" s="28"/>
    </row>
    <row r="242" spans="1:10" ht="21.95" customHeight="1">
      <c r="A242" s="14"/>
      <c r="B242" s="14"/>
      <c r="C242" s="18" t="s">
        <v>2094</v>
      </c>
      <c r="D242" s="19">
        <f>SUM(D237:D241)</f>
        <v>-944658968</v>
      </c>
      <c r="E242" s="19">
        <f>SUM(E237:E241)</f>
        <v>0</v>
      </c>
      <c r="F242" s="19">
        <f>SUM(F237:F241)</f>
        <v>0</v>
      </c>
      <c r="G242" s="19">
        <f t="shared" si="10"/>
        <v>-944658968</v>
      </c>
      <c r="H242" s="122"/>
      <c r="I242" s="28"/>
      <c r="J242" s="28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11286721894</v>
      </c>
      <c r="E243" s="19">
        <f>E242+E236</f>
        <v>0</v>
      </c>
      <c r="F243" s="19">
        <f>F242+F236</f>
        <v>0</v>
      </c>
      <c r="G243" s="19">
        <f t="shared" si="10"/>
        <v>11286721894</v>
      </c>
      <c r="H243" s="122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10" ht="19.5" customHeight="1">
      <c r="A246" s="11" t="str">
        <f>O12</f>
        <v>005010900402117000KD</v>
      </c>
      <c r="B246" s="11" t="str">
        <f>P12</f>
        <v>PA. Bengkalis</v>
      </c>
      <c r="C246" s="12" t="str">
        <f>A246&amp;" "&amp;B246</f>
        <v>005010900402117000KD PA. Bengkalis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2463500</v>
      </c>
      <c r="E249" s="25">
        <f>SUMIFS('Daftar Koreksi'!$H$5:$H$92,'Daftar Koreksi'!$D$5:$D$92,'0900'!A246,'Daftar Koreksi'!$G$5:$G$92,"Persediaan",'Daftar Koreksi'!$H$5:$H$92,"&gt;0")</f>
        <v>0</v>
      </c>
      <c r="F249" s="25">
        <f>SUMIFS('Daftar Koreksi'!$H$5:$H$92,'Daftar Koreksi'!$D$5:$D$92,'0900'!A246,'Daftar Koreksi'!$G$5:$G$92,"Persediaan",'Daftar Koreksi'!$H$5:$H$92,"&lt;0")-SUMIFS('Daftar Koreksi'!$H$5:$H$92,'Daftar Koreksi'!$D$5:$D$92,'0900'!A246,'Daftar Koreksi'!$G$5:$G$92,"Persediaan",'Daftar Koreksi'!$H$5:$H$92,"&lt;0")-SUMIFS('Daftar Koreksi'!$H$5:$H$92,'Daftar Koreksi'!$D$5:$D$92,'0900'!A246,'Daftar Koreksi'!$G$5:$G$92,"Persediaan",'Daftar Koreksi'!$H$5:$H$92,"&lt;0")</f>
        <v>0</v>
      </c>
      <c r="G249" s="17">
        <f>D249+E249-F249</f>
        <v>2463500</v>
      </c>
      <c r="H249" s="121" t="str">
        <f>IF(ISNA(VLOOKUP(A246,'Mutasi Neraca'!$A$3:$S$914,19,FALSE)),"-",VLOOKUP(A246,'Mutasi Neraca'!$A$3:$S$914,19,FALSE))</f>
        <v>-</v>
      </c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255500000</v>
      </c>
      <c r="E250" s="25">
        <f>SUMIFS('Daftar Koreksi'!$H$5:$H$92,'Daftar Koreksi'!$D$5:$D$92,'0900'!A246,'Daftar Koreksi'!$G$5:$G$92,"Tanah",'Daftar Koreksi'!$H$5:$H$92,"&gt;0")</f>
        <v>0</v>
      </c>
      <c r="F250" s="25">
        <f>SUMIFS('Daftar Koreksi'!$H$5:$H$92,'Daftar Koreksi'!$D$5:$D$92,'0900'!A246,'Daftar Koreksi'!$G$5:$G$92,"Tanah",'Daftar Koreksi'!$H$5:$H$92,"&lt;0")-SUMIFS('Daftar Koreksi'!$H$5:$H$92,'Daftar Koreksi'!$D$5:$D$92,'0900'!A246,'Daftar Koreksi'!$G$5:$G$92,"Tanah",'Daftar Koreksi'!$H$5:$H$92,"&lt;0")-SUMIFS('Daftar Koreksi'!$H$5:$H$92,'Daftar Koreksi'!$D$5:$D$92,'0900'!A246,'Daftar Koreksi'!$G$5:$G$92,"Tanah",'Daftar Koreksi'!$H$5:$H$92,"&lt;0")</f>
        <v>0</v>
      </c>
      <c r="G250" s="17">
        <f t="shared" ref="G250:G266" si="11">D250+E250-F250</f>
        <v>255500000</v>
      </c>
      <c r="H250" s="122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1278394634</v>
      </c>
      <c r="E251" s="25">
        <f>SUMIFS('Daftar Koreksi'!$H$5:$H$92,'Daftar Koreksi'!$D$5:$D$92,'0900'!A246,'Daftar Koreksi'!$G$5:$G$92,"Peralatan dan mesin",'Daftar Koreksi'!$H$5:$H$92,"&gt;0")</f>
        <v>0</v>
      </c>
      <c r="F251" s="25">
        <f>SUMIFS('Daftar Koreksi'!$H$5:$H$92,'Daftar Koreksi'!$D$5:$D$92,'0900'!A246,'Daftar Koreksi'!$G$5:$G$92,"Peralatan dan mesin",'Daftar Koreksi'!$H$5:$H$92,"&lt;0")-SUMIFS('Daftar Koreksi'!$H$5:$H$92,'Daftar Koreksi'!$D$5:$D$92,'0900'!A246,'Daftar Koreksi'!$G$5:$G$92,"Peralatan dan mesin",'Daftar Koreksi'!$H$5:$H$92,"&lt;0")-SUMIFS('Daftar Koreksi'!$H$5:$H$92,'Daftar Koreksi'!$D$5:$D$92,'0900'!A246,'Daftar Koreksi'!$G$5:$G$92,"Peralatan dan mesin",'Daftar Koreksi'!$H$5:$H$92,"&lt;0")</f>
        <v>0</v>
      </c>
      <c r="G251" s="17">
        <f t="shared" si="11"/>
        <v>1278394634</v>
      </c>
      <c r="H251" s="122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5846624178</v>
      </c>
      <c r="E252" s="25">
        <f>SUMIFS('Daftar Koreksi'!$H$5:$H$92,'Daftar Koreksi'!$D$5:$D$92,'0900'!A246,'Daftar Koreksi'!$G$5:$G$92,"Gedung dan Bangunan",'Daftar Koreksi'!$H$5:$H$92,"&gt;0")</f>
        <v>0</v>
      </c>
      <c r="F252" s="25">
        <f>SUMIFS('Daftar Koreksi'!$H$5:$H$92,'Daftar Koreksi'!$D$5:$D$92,'0900'!A246,'Daftar Koreksi'!$G$5:$G$92,"Gedung dan Bangunan",'Daftar Koreksi'!$H$5:$H$92,"&lt;0")-SUMIFS('Daftar Koreksi'!$H$5:$H$92,'Daftar Koreksi'!$D$5:$D$92,'0900'!A246,'Daftar Koreksi'!$G$5:$G$92,"Gedung dan Bangunan",'Daftar Koreksi'!$H$5:$H$92,"&lt;0")-SUMIFS('Daftar Koreksi'!$H$5:$H$92,'Daftar Koreksi'!$D$5:$D$92,'0900'!A246,'Daftar Koreksi'!$G$5:$G$92,"Gedung dan Bangunan",'Daftar Koreksi'!$H$5:$H$92,"&lt;0")</f>
        <v>0</v>
      </c>
      <c r="G252" s="17">
        <f t="shared" si="11"/>
        <v>5846624178</v>
      </c>
      <c r="H252" s="122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Koreksi'!$D$5:$D$92,'0900'!A246,'Daftar Koreksi'!$G$5:$G$92,"Jalan Irigasi Jaringan",'Daftar Koreksi'!$H$5:$H$92,"&gt;0")</f>
        <v>0</v>
      </c>
      <c r="F253" s="25">
        <f>SUMIFS('Daftar Koreksi'!$H$5:$H$92,'Daftar Koreksi'!$D$5:$D$92,'0900'!A246,'Daftar Koreksi'!$G$5:$G$92,"Jalan Irigasi Jaringan",'Daftar Koreksi'!$H$5:$H$92,"&lt;0")-SUMIFS('Daftar Koreksi'!$H$5:$H$92,'Daftar Koreksi'!$D$5:$D$92,'0900'!A246,'Daftar Koreksi'!$G$5:$G$92,"Jalan Irigasi Jaringan",'Daftar Koreksi'!$H$5:$H$92,"&lt;0")-SUMIFS('Daftar Koreksi'!$H$5:$H$92,'Daftar Koreksi'!$D$5:$D$92,'0900'!A246,'Daftar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17560518</v>
      </c>
      <c r="E254" s="25">
        <f>SUMIFS('Daftar Koreksi'!$H$5:$H$92,'Daftar Koreksi'!$D$5:$D$92,'0900'!A246,'Daftar Koreksi'!$G$5:$G$92,"Aset Tetap Lainnya",'Daftar Koreksi'!$H$5:$H$92,"&gt;0")</f>
        <v>0</v>
      </c>
      <c r="F254" s="25">
        <f>SUMIFS('Daftar Koreksi'!$H$5:$H$92,'Daftar Koreksi'!$D$5:$D$92,'0900'!A246,'Daftar Koreksi'!$G$5:$G$92,"Aset Tetap Lainnya",'Daftar Koreksi'!$H$5:$H$92,"&lt;0")-SUMIFS('Daftar Koreksi'!$H$5:$H$92,'Daftar Koreksi'!$D$5:$D$92,'0900'!A246,'Daftar Koreksi'!$G$5:$G$92,"Aset Tetap Lainnya",'Daftar Koreksi'!$H$5:$H$92,"&lt;0")-SUMIFS('Daftar Koreksi'!$H$5:$H$92,'Daftar Koreksi'!$D$5:$D$92,'0900'!A246,'Daftar Koreksi'!$G$5:$G$92,"Aset Tetap Lainnya",'Daftar Koreksi'!$H$5:$H$92,"&lt;0")</f>
        <v>0</v>
      </c>
      <c r="G254" s="17">
        <f t="shared" si="11"/>
        <v>17560518</v>
      </c>
      <c r="H254" s="122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Koreksi'!$D$5:$D$92,'0900'!A246,'Daftar Koreksi'!$G$5:$G$92,"Kontruksi Dalam Pengerjaan",'Daftar Koreksi'!$H$5:$H$92,"&gt;0")</f>
        <v>0</v>
      </c>
      <c r="F255" s="25">
        <f>SUMIFS('Daftar Koreksi'!$H$5:$H$92,'Daftar Koreksi'!$D$5:$D$92,'0900'!A246,'Daftar Koreksi'!$G$5:$G$92,"Kontruksi Dalam Pengerjaan",'Daftar Koreksi'!$H$5:$H$92,"&lt;0")-SUMIFS('Daftar Koreksi'!$H$5:$H$92,'Daftar Koreksi'!$D$5:$D$92,'0900'!A246,'Daftar Koreksi'!$G$5:$G$92,"Kontruksi Dalam Pengerjaan",'Daftar Koreksi'!$H$5:$H$92,"&lt;0")-SUMIFS('Daftar Koreksi'!$H$5:$H$92,'Daftar Koreksi'!$D$5:$D$92,'0900'!A246,'Daftar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13000000</v>
      </c>
      <c r="E256" s="25">
        <f>SUMIFS('Daftar Koreksi'!$H$5:$H$92,'Daftar Koreksi'!$D$5:$D$92,'0900'!A246,'Daftar Koreksi'!$G$5:$G$92,"Aset Tak Berwujud",'Daftar Koreksi'!$H$5:$H$92,"&gt;0")</f>
        <v>0</v>
      </c>
      <c r="F256" s="25">
        <f>SUMIFS('Daftar Koreksi'!$H$5:$H$92,'Daftar Koreksi'!$D$5:$D$92,'0900'!A246,'Daftar Koreksi'!$G$5:$G$92,"Aset Tak Berwujud",'Daftar Koreksi'!$H$5:$H$92,"&lt;0")-SUMIFS('Daftar Koreksi'!$H$5:$H$92,'Daftar Koreksi'!$D$5:$D$92,'0900'!A246,'Daftar Koreksi'!$G$5:$G$92,"Aset Tak Berwujud",'Daftar Koreksi'!$H$5:$H$92,"&lt;0")-SUMIFS('Daftar Koreksi'!$H$5:$H$92,'Daftar Koreksi'!$D$5:$D$92,'0900'!A246,'Daftar Koreksi'!$G$5:$G$92,"Aset Tak Berwujud",'Daftar Koreksi'!$H$5:$H$92,"&lt;0")</f>
        <v>0</v>
      </c>
      <c r="G256" s="17">
        <f t="shared" si="11"/>
        <v>13000000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19252000</v>
      </c>
      <c r="E257" s="25">
        <f>SUMIFS('Daftar Koreksi'!$H$5:$H$92,'Daftar Koreksi'!$D$5:$D$92,'0900'!A246,'Daftar Koreksi'!$G$5:$G$92,"Aset Henti Guna",'Daftar Koreksi'!$H$5:$H$92,"&gt;0")</f>
        <v>0</v>
      </c>
      <c r="F257" s="25">
        <f>SUMIFS('Daftar Koreksi'!$H$5:$H$92,'Daftar Koreksi'!$D$5:$D$92,'0900'!A246,'Daftar Koreksi'!$G$5:$G$92,"Aset Henti Guna",'Daftar Koreksi'!$H$5:$H$92,"&lt;0")-SUMIFS('Daftar Koreksi'!$H$5:$H$92,'Daftar Koreksi'!$D$5:$D$92,'0900'!A246,'Daftar Koreksi'!$G$5:$G$92,"Aset Henti Guna",'Daftar Koreksi'!$H$5:$H$92,"&lt;0")-SUMIFS('Daftar Koreksi'!$H$5:$H$92,'Daftar Koreksi'!$D$5:$D$92,'0900'!A246,'Daftar Koreksi'!$G$5:$G$92,"Aset Henti Guna",'Daftar Koreksi'!$H$5:$H$92,"&lt;0")</f>
        <v>0</v>
      </c>
      <c r="G257" s="17">
        <f t="shared" si="11"/>
        <v>19252000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7432794830</v>
      </c>
      <c r="E258" s="19">
        <f>SUM(E249:E257)</f>
        <v>0</v>
      </c>
      <c r="F258" s="19">
        <f>SUM(F249:F257)</f>
        <v>0</v>
      </c>
      <c r="G258" s="19">
        <f t="shared" si="11"/>
        <v>7432794830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-771647516</v>
      </c>
      <c r="E259" s="25">
        <f>SUMIFS('Daftar Koreksi'!$I$5:$I$92,'Daftar Koreksi'!$D$5:$D$92,'0900'!A246,'Daftar Koreksi'!$G$5:$G$92,"Peralatan dan mesin",'Daftar Koreksi'!$I$5:$I$92,"&gt;0")</f>
        <v>0</v>
      </c>
      <c r="F259" s="25">
        <f>SUMIFS('Daftar Koreksi'!$I$5:$I$92,'Daftar Koreksi'!$D$5:$D$92,'0900'!A246,'Daftar Koreksi'!$G$5:$G$92,"Peralatan dan mesin",'Daftar Koreksi'!$I$5:$I$92,"&lt;0")-SUMIFS('Daftar Koreksi'!$I$5:$I$92,'Daftar Koreksi'!$D$5:$D$92,'0900'!A246,'Daftar Koreksi'!$G$5:$G$92,"Peralatan dan mesin",'Daftar Koreksi'!$I$5:$I$92,"&lt;0")-SUMIFS('Daftar Koreksi'!$I$5:$I$92,'Daftar Koreksi'!$D$5:$D$92,'0900'!A246,'Daftar Koreksi'!$G$5:$G$92,"Peralatan dan mesin",'Daftar Koreksi'!$I$5:$I$92,"&lt;0")</f>
        <v>0</v>
      </c>
      <c r="G259" s="17">
        <f t="shared" si="11"/>
        <v>-771647516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-630499716</v>
      </c>
      <c r="E260" s="25">
        <f>SUMIFS('Daftar Koreksi'!$I$5:$I$92,'Daftar Koreksi'!$D$5:$D$92,'0900'!A246,'Daftar Koreksi'!$G$5:$G$92,"Gedung dan Bangunan",'Daftar Koreksi'!$I$5:$I$92,"&gt;0")</f>
        <v>0</v>
      </c>
      <c r="F260" s="25">
        <f>SUMIFS('Daftar Koreksi'!$I$5:$I$92,'Daftar Koreksi'!$D$5:$D$92,'0900'!A246,'Daftar Koreksi'!$G$5:$G$92,"Gedung dan Bangunan",'Daftar Koreksi'!$I$5:$I$92,"&lt;0")-SUMIFS('Daftar Koreksi'!$I$5:$I$92,'Daftar Koreksi'!$D$5:$D$92,'0900'!A246,'Daftar Koreksi'!$G$5:$G$92,"Gedung dan Bangunan",'Daftar Koreksi'!$I$5:$I$92,"&lt;0")-SUMIFS('Daftar Koreksi'!$I$5:$I$92,'Daftar Koreksi'!$D$5:$D$92,'0900'!A246,'Daftar Koreksi'!$G$5:$G$92,"Gedung dan Bangunan",'Daftar Koreksi'!$I$5:$I$92,"&lt;0")</f>
        <v>0</v>
      </c>
      <c r="G260" s="17">
        <f t="shared" si="11"/>
        <v>-630499716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Koreksi'!$D$5:$D$92,'0900'!A246,'Daftar Koreksi'!$G$5:$G$92,"Jalan Irigasi Jaringan",'Daftar Koreksi'!$I$5:$I$92,"&gt;0")</f>
        <v>0</v>
      </c>
      <c r="F261" s="25">
        <f>SUMIFS('Daftar Koreksi'!$I$5:$I$92,'Daftar Koreksi'!$D$5:$D$92,'0900'!A246,'Daftar Koreksi'!$G$5:$G$92,"Jalan Irigasi Jaringan",'Daftar Koreksi'!$I$5:$I$92,"&lt;0")-SUMIFS('Daftar Koreksi'!$I$5:$I$92,'Daftar Koreksi'!$D$5:$D$92,'0900'!A246,'Daftar Koreksi'!$G$5:$G$92,"Jalan Irigasi Jaringan",'Daftar Koreksi'!$I$5:$I$92,"&lt;0")-SUMIFS('Daftar Koreksi'!$I$5:$I$92,'Daftar Koreksi'!$D$5:$D$92,'0900'!A246,'Daftar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Koreksi'!$D$5:$D$92,'0900'!A246,'Daftar Koreksi'!$G$5:$G$92,"Aset Tetap Lainnya",'Daftar Koreksi'!$I$5:$I$92,"&gt;0")</f>
        <v>0</v>
      </c>
      <c r="F262" s="25">
        <f>SUMIFS('Daftar Koreksi'!$I$5:$I$92,'Daftar Koreksi'!$D$5:$D$92,'0900'!A246,'Daftar Koreksi'!$G$5:$G$92,"Aset Tetap Lainnya",'Daftar Koreksi'!$I$5:$I$92,"&lt;0")-SUMIFS('Daftar Koreksi'!$I$5:$I$92,'Daftar Koreksi'!$D$5:$D$92,'0900'!A246,'Daftar Koreksi'!$G$5:$G$92,"Aset Tetap Lainnya",'Daftar Koreksi'!$I$5:$I$92,"&lt;0")-SUMIFS('Daftar Koreksi'!$I$5:$I$92,'Daftar Koreksi'!$D$5:$D$92,'0900'!A246,'Daftar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-19252000</v>
      </c>
      <c r="E263" s="25">
        <f>SUMIFS('Daftar Koreksi'!$I$5:$I$92,'Daftar Koreksi'!$D$5:$D$92,'0900'!A246,'Daftar Koreksi'!$G$5:$G$92,"Aset Henti Guna",'Daftar Koreksi'!$I$5:$I$92,"&gt;0")</f>
        <v>0</v>
      </c>
      <c r="F263" s="25">
        <f>SUMIFS('Daftar Koreksi'!$I$5:$I$92,'Daftar Koreksi'!$D$5:$D$92,'0900'!A246,'Daftar Koreksi'!$G$5:$G$92,"Aset Henti Guna",'Daftar Koreksi'!$I$5:$I$92,"&lt;0")-SUMIFS('Daftar Koreksi'!$I$5:$I$92,'Daftar Koreksi'!$D$5:$D$92,'0900'!A246,'Daftar Koreksi'!$G$5:$G$92,"Aset Henti Guna",'Daftar Koreksi'!$I$5:$I$92,"&lt;0")-SUMIFS('Daftar Koreksi'!$I$5:$I$92,'Daftar Koreksi'!$D$5:$D$92,'0900'!A246,'Daftar Koreksi'!$G$5:$G$92,"Aset Henti Guna",'Daftar Koreksi'!$I$5:$I$92,"&lt;0")</f>
        <v>0</v>
      </c>
      <c r="G263" s="17">
        <f t="shared" si="11"/>
        <v>-19252000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-1421399232</v>
      </c>
      <c r="E264" s="19">
        <f>SUM(E259:E263)</f>
        <v>0</v>
      </c>
      <c r="F264" s="19">
        <f>SUM(F259:F263)</f>
        <v>0</v>
      </c>
      <c r="G264" s="19">
        <f t="shared" si="11"/>
        <v>-1421399232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6011395598</v>
      </c>
      <c r="E265" s="19">
        <f>E264+E258</f>
        <v>0</v>
      </c>
      <c r="F265" s="19">
        <f>F264+F258</f>
        <v>0</v>
      </c>
      <c r="G265" s="19">
        <f t="shared" si="11"/>
        <v>6011395598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005010900402123000KD</v>
      </c>
      <c r="B268" s="11" t="str">
        <f>P13</f>
        <v>PA. Pasir Pangarayan</v>
      </c>
      <c r="C268" s="12" t="str">
        <f>A268&amp;" "&amp;B268</f>
        <v>005010900402123000KD PA. Pasir Pangarayan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365000</v>
      </c>
      <c r="E271" s="25">
        <f>SUMIFS('Daftar Koreksi'!$H$5:$H$92,'Daftar Koreksi'!$D$5:$D$92,'0900'!A268,'Daftar Koreksi'!$G$5:$G$92,"Persediaan",'Daftar Koreksi'!$H$5:$H$92,"&gt;0")</f>
        <v>0</v>
      </c>
      <c r="F271" s="25">
        <f>SUMIFS('Daftar Koreksi'!$H$5:$H$92,'Daftar Koreksi'!$D$5:$D$92,'0900'!A268,'Daftar Koreksi'!$G$5:$G$92,"Persediaan",'Daftar Koreksi'!$H$5:$H$92,"&lt;0")-SUMIFS('Daftar Koreksi'!$H$5:$H$92,'Daftar Koreksi'!$D$5:$D$92,'0900'!A268,'Daftar Koreksi'!$G$5:$G$92,"Persediaan",'Daftar Koreksi'!$H$5:$H$92,"&lt;0")-SUMIFS('Daftar Koreksi'!$H$5:$H$92,'Daftar Koreksi'!$D$5:$D$92,'0900'!A268,'Daftar Koreksi'!$G$5:$G$92,"Persediaan",'Daftar Koreksi'!$H$5:$H$92,"&lt;0")</f>
        <v>0</v>
      </c>
      <c r="G271" s="17">
        <f>D271+E271-F271</f>
        <v>365000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1621638820</v>
      </c>
      <c r="E272" s="25">
        <f>SUMIFS('Daftar Koreksi'!$H$5:$H$92,'Daftar Koreksi'!$D$5:$D$92,'0900'!A268,'Daftar Koreksi'!$G$5:$G$92,"Tanah",'Daftar Koreksi'!$H$5:$H$92,"&gt;0")</f>
        <v>0</v>
      </c>
      <c r="F272" s="25">
        <f>SUMIFS('Daftar Koreksi'!$H$5:$H$92,'Daftar Koreksi'!$D$5:$D$92,'0900'!A268,'Daftar Koreksi'!$G$5:$G$92,"Tanah",'Daftar Koreksi'!$H$5:$H$92,"&lt;0")-SUMIFS('Daftar Koreksi'!$H$5:$H$92,'Daftar Koreksi'!$D$5:$D$92,'0900'!A268,'Daftar Koreksi'!$G$5:$G$92,"Tanah",'Daftar Koreksi'!$H$5:$H$92,"&lt;0")-SUMIFS('Daftar Koreksi'!$H$5:$H$92,'Daftar Koreksi'!$D$5:$D$92,'0900'!A268,'Daftar Koreksi'!$G$5:$G$92,"Tanah",'Daftar Koreksi'!$H$5:$H$92,"&lt;0")</f>
        <v>0</v>
      </c>
      <c r="G272" s="17">
        <f t="shared" ref="G272:G288" si="12">D272+E272-F272</f>
        <v>1621638820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731243763</v>
      </c>
      <c r="E273" s="25">
        <f>SUMIFS('Daftar Koreksi'!$H$5:$H$92,'Daftar Koreksi'!$D$5:$D$92,'0900'!A268,'Daftar Koreksi'!$G$5:$G$92,"Peralatan dan mesin",'Daftar Koreksi'!$H$5:$H$92,"&gt;0")</f>
        <v>0</v>
      </c>
      <c r="F273" s="25">
        <f>SUMIFS('Daftar Koreksi'!$H$5:$H$92,'Daftar Koreksi'!$D$5:$D$92,'0900'!A268,'Daftar Koreksi'!$G$5:$G$92,"Peralatan dan mesin",'Daftar Koreksi'!$H$5:$H$92,"&lt;0")-SUMIFS('Daftar Koreksi'!$H$5:$H$92,'Daftar Koreksi'!$D$5:$D$92,'0900'!A268,'Daftar Koreksi'!$G$5:$G$92,"Peralatan dan mesin",'Daftar Koreksi'!$H$5:$H$92,"&lt;0")-SUMIFS('Daftar Koreksi'!$H$5:$H$92,'Daftar Koreksi'!$D$5:$D$92,'0900'!A268,'Daftar Koreksi'!$G$5:$G$92,"Peralatan dan mesin",'Daftar Koreksi'!$H$5:$H$92,"&lt;0")</f>
        <v>0</v>
      </c>
      <c r="G273" s="17">
        <f t="shared" si="12"/>
        <v>731243763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734639864</v>
      </c>
      <c r="E274" s="25">
        <f>SUMIFS('Daftar Koreksi'!$H$5:$H$92,'Daftar Koreksi'!$D$5:$D$92,'0900'!A268,'Daftar Koreksi'!$G$5:$G$92,"Gedung dan Bangunan",'Daftar Koreksi'!$H$5:$H$92,"&gt;0")</f>
        <v>0</v>
      </c>
      <c r="F274" s="25">
        <f>SUMIFS('Daftar Koreksi'!$H$5:$H$92,'Daftar Koreksi'!$D$5:$D$92,'0900'!A268,'Daftar Koreksi'!$G$5:$G$92,"Gedung dan Bangunan",'Daftar Koreksi'!$H$5:$H$92,"&lt;0")-SUMIFS('Daftar Koreksi'!$H$5:$H$92,'Daftar Koreksi'!$D$5:$D$92,'0900'!A268,'Daftar Koreksi'!$G$5:$G$92,"Gedung dan Bangunan",'Daftar Koreksi'!$H$5:$H$92,"&lt;0")-SUMIFS('Daftar Koreksi'!$H$5:$H$92,'Daftar Koreksi'!$D$5:$D$92,'0900'!A268,'Daftar Koreksi'!$G$5:$G$92,"Gedung dan Bangunan",'Daftar Koreksi'!$H$5:$H$92,"&lt;0")</f>
        <v>0</v>
      </c>
      <c r="G274" s="17">
        <f t="shared" si="12"/>
        <v>734639864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50530000</v>
      </c>
      <c r="E275" s="25">
        <f>SUMIFS('Daftar Koreksi'!$H$5:$H$92,'Daftar Koreksi'!$D$5:$D$92,'0900'!A268,'Daftar Koreksi'!$G$5:$G$92,"Jalan Irigasi Jaringan",'Daftar Koreksi'!$H$5:$H$92,"&gt;0")</f>
        <v>0</v>
      </c>
      <c r="F275" s="25">
        <f>SUMIFS('Daftar Koreksi'!$H$5:$H$92,'Daftar Koreksi'!$D$5:$D$92,'0900'!A268,'Daftar Koreksi'!$G$5:$G$92,"Jalan Irigasi Jaringan",'Daftar Koreksi'!$H$5:$H$92,"&lt;0")-SUMIFS('Daftar Koreksi'!$H$5:$H$92,'Daftar Koreksi'!$D$5:$D$92,'0900'!A268,'Daftar Koreksi'!$G$5:$G$92,"Jalan Irigasi Jaringan",'Daftar Koreksi'!$H$5:$H$92,"&lt;0")-SUMIFS('Daftar Koreksi'!$H$5:$H$92,'Daftar Koreksi'!$D$5:$D$92,'0900'!A268,'Daftar Koreksi'!$G$5:$G$92,"Jalan Irigasi Jaringan",'Daftar Koreksi'!$H$5:$H$92,"&lt;0")</f>
        <v>0</v>
      </c>
      <c r="G275" s="17">
        <f t="shared" si="12"/>
        <v>50530000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0</v>
      </c>
      <c r="E276" s="25">
        <f>SUMIFS('Daftar Koreksi'!$H$5:$H$92,'Daftar Koreksi'!$D$5:$D$92,'0900'!A268,'Daftar Koreksi'!$G$5:$G$92,"Aset Tetap Lainnya",'Daftar Koreksi'!$H$5:$H$92,"&gt;0")</f>
        <v>0</v>
      </c>
      <c r="F276" s="25">
        <f>SUMIFS('Daftar Koreksi'!$H$5:$H$92,'Daftar Koreksi'!$D$5:$D$92,'0900'!A268,'Daftar Koreksi'!$G$5:$G$92,"Aset Tetap Lainnya",'Daftar Koreksi'!$H$5:$H$92,"&lt;0")-SUMIFS('Daftar Koreksi'!$H$5:$H$92,'Daftar Koreksi'!$D$5:$D$92,'0900'!A268,'Daftar Koreksi'!$G$5:$G$92,"Aset Tetap Lainnya",'Daftar Koreksi'!$H$5:$H$92,"&lt;0")-SUMIFS('Daftar Koreksi'!$H$5:$H$92,'Daftar Koreksi'!$D$5:$D$92,'0900'!A268,'Daftar Koreksi'!$G$5:$G$92,"Aset Tetap Lainnya",'Daftar Koreksi'!$H$5:$H$92,"&lt;0")</f>
        <v>0</v>
      </c>
      <c r="G276" s="17">
        <f t="shared" si="12"/>
        <v>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Koreksi'!$D$5:$D$92,'0900'!A268,'Daftar Koreksi'!$G$5:$G$92,"Kontruksi Dalam Pengerjaan",'Daftar Koreksi'!$H$5:$H$92,"&gt;0")</f>
        <v>0</v>
      </c>
      <c r="F277" s="25">
        <f>SUMIFS('Daftar Koreksi'!$H$5:$H$92,'Daftar Koreksi'!$D$5:$D$92,'0900'!A268,'Daftar Koreksi'!$G$5:$G$92,"Kontruksi Dalam Pengerjaan",'Daftar Koreksi'!$H$5:$H$92,"&lt;0")-SUMIFS('Daftar Koreksi'!$H$5:$H$92,'Daftar Koreksi'!$D$5:$D$92,'0900'!A268,'Daftar Koreksi'!$G$5:$G$92,"Kontruksi Dalam Pengerjaan",'Daftar Koreksi'!$H$5:$H$92,"&lt;0")-SUMIFS('Daftar Koreksi'!$H$5:$H$92,'Daftar Koreksi'!$D$5:$D$92,'0900'!A268,'Daftar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Koreksi'!$D$5:$D$92,'0900'!A268,'Daftar Koreksi'!$G$5:$G$92,"Aset Tak Berwujud",'Daftar Koreksi'!$H$5:$H$92,"&gt;0")</f>
        <v>0</v>
      </c>
      <c r="F278" s="25">
        <f>SUMIFS('Daftar Koreksi'!$H$5:$H$92,'Daftar Koreksi'!$D$5:$D$92,'0900'!A268,'Daftar Koreksi'!$G$5:$G$92,"Aset Tak Berwujud",'Daftar Koreksi'!$H$5:$H$92,"&lt;0")-SUMIFS('Daftar Koreksi'!$H$5:$H$92,'Daftar Koreksi'!$D$5:$D$92,'0900'!A268,'Daftar Koreksi'!$G$5:$G$92,"Aset Tak Berwujud",'Daftar Koreksi'!$H$5:$H$92,"&lt;0")-SUMIFS('Daftar Koreksi'!$H$5:$H$92,'Daftar Koreksi'!$D$5:$D$92,'0900'!A268,'Daftar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Koreksi'!$D$5:$D$92,'0900'!A268,'Daftar Koreksi'!$G$5:$G$92,"Aset Henti Guna",'Daftar Koreksi'!$H$5:$H$92,"&gt;0")</f>
        <v>0</v>
      </c>
      <c r="F279" s="25">
        <f>SUMIFS('Daftar Koreksi'!$H$5:$H$92,'Daftar Koreksi'!$D$5:$D$92,'0900'!A268,'Daftar Koreksi'!$G$5:$G$92,"Aset Henti Guna",'Daftar Koreksi'!$H$5:$H$92,"&lt;0")-SUMIFS('Daftar Koreksi'!$H$5:$H$92,'Daftar Koreksi'!$D$5:$D$92,'0900'!A268,'Daftar Koreksi'!$G$5:$G$92,"Aset Henti Guna",'Daftar Koreksi'!$H$5:$H$92,"&lt;0")-SUMIFS('Daftar Koreksi'!$H$5:$H$92,'Daftar Koreksi'!$D$5:$D$92,'0900'!A268,'Daftar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3138417447</v>
      </c>
      <c r="E280" s="19">
        <f>SUM(E271:E279)</f>
        <v>0</v>
      </c>
      <c r="F280" s="19">
        <f>SUM(F271:F279)</f>
        <v>0</v>
      </c>
      <c r="G280" s="19">
        <f t="shared" si="12"/>
        <v>3138417447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-628626461</v>
      </c>
      <c r="E281" s="25">
        <f>SUMIFS('Daftar Koreksi'!$I$5:$I$92,'Daftar Koreksi'!$D$5:$D$92,'0900'!A268,'Daftar Koreksi'!$G$5:$G$92,"Peralatan dan mesin",'Daftar Koreksi'!$I$5:$I$92,"&gt;0")</f>
        <v>0</v>
      </c>
      <c r="F281" s="25">
        <f>SUMIFS('Daftar Koreksi'!$I$5:$I$92,'Daftar Koreksi'!$D$5:$D$92,'0900'!A268,'Daftar Koreksi'!$G$5:$G$92,"Peralatan dan mesin",'Daftar Koreksi'!$I$5:$I$92,"&lt;0")-SUMIFS('Daftar Koreksi'!$I$5:$I$92,'Daftar Koreksi'!$D$5:$D$92,'0900'!A268,'Daftar Koreksi'!$G$5:$G$92,"Peralatan dan mesin",'Daftar Koreksi'!$I$5:$I$92,"&lt;0")-SUMIFS('Daftar Koreksi'!$I$5:$I$92,'Daftar Koreksi'!$D$5:$D$92,'0900'!A268,'Daftar Koreksi'!$G$5:$G$92,"Peralatan dan mesin",'Daftar Koreksi'!$I$5:$I$92,"&lt;0")</f>
        <v>0</v>
      </c>
      <c r="G281" s="17">
        <f t="shared" si="12"/>
        <v>-628626461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-121309277</v>
      </c>
      <c r="E282" s="25">
        <f>SUMIFS('Daftar Koreksi'!$I$5:$I$92,'Daftar Koreksi'!$D$5:$D$92,'0900'!A268,'Daftar Koreksi'!$G$5:$G$92,"Gedung dan Bangunan",'Daftar Koreksi'!$I$5:$I$92,"&gt;0")</f>
        <v>0</v>
      </c>
      <c r="F282" s="25">
        <f>SUMIFS('Daftar Koreksi'!$I$5:$I$92,'Daftar Koreksi'!$D$5:$D$92,'0900'!A268,'Daftar Koreksi'!$G$5:$G$92,"Gedung dan Bangunan",'Daftar Koreksi'!$I$5:$I$92,"&lt;0")-SUMIFS('Daftar Koreksi'!$I$5:$I$92,'Daftar Koreksi'!$D$5:$D$92,'0900'!A268,'Daftar Koreksi'!$G$5:$G$92,"Gedung dan Bangunan",'Daftar Koreksi'!$I$5:$I$92,"&lt;0")-SUMIFS('Daftar Koreksi'!$I$5:$I$92,'Daftar Koreksi'!$D$5:$D$92,'0900'!A268,'Daftar Koreksi'!$G$5:$G$92,"Gedung dan Bangunan",'Daftar Koreksi'!$I$5:$I$92,"&lt;0")</f>
        <v>0</v>
      </c>
      <c r="G282" s="17">
        <f t="shared" si="12"/>
        <v>-121309277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-17670500</v>
      </c>
      <c r="E283" s="25">
        <f>SUMIFS('Daftar Koreksi'!$I$5:$I$92,'Daftar Koreksi'!$D$5:$D$92,'0900'!A268,'Daftar Koreksi'!$G$5:$G$92,"Jalan Irigasi Jaringan",'Daftar Koreksi'!$I$5:$I$92,"&gt;0")</f>
        <v>0</v>
      </c>
      <c r="F283" s="25">
        <f>SUMIFS('Daftar Koreksi'!$I$5:$I$92,'Daftar Koreksi'!$D$5:$D$92,'0900'!A268,'Daftar Koreksi'!$G$5:$G$92,"Jalan Irigasi Jaringan",'Daftar Koreksi'!$I$5:$I$92,"&lt;0")-SUMIFS('Daftar Koreksi'!$I$5:$I$92,'Daftar Koreksi'!$D$5:$D$92,'0900'!A268,'Daftar Koreksi'!$G$5:$G$92,"Jalan Irigasi Jaringan",'Daftar Koreksi'!$I$5:$I$92,"&lt;0")-SUMIFS('Daftar Koreksi'!$I$5:$I$92,'Daftar Koreksi'!$D$5:$D$92,'0900'!A268,'Daftar Koreksi'!$G$5:$G$92,"Jalan Irigasi Jaringan",'Daftar Koreksi'!$I$5:$I$92,"&lt;0")</f>
        <v>0</v>
      </c>
      <c r="G283" s="17">
        <f t="shared" si="12"/>
        <v>-17670500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Koreksi'!$D$5:$D$92,'0900'!A268,'Daftar Koreksi'!$G$5:$G$92,"Aset Tetap Lainnya",'Daftar Koreksi'!$I$5:$I$92,"&gt;0")</f>
        <v>0</v>
      </c>
      <c r="F284" s="25">
        <f>SUMIFS('Daftar Koreksi'!$I$5:$I$92,'Daftar Koreksi'!$D$5:$D$92,'0900'!A268,'Daftar Koreksi'!$G$5:$G$92,"Aset Tetap Lainnya",'Daftar Koreksi'!$I$5:$I$92,"&lt;0")-SUMIFS('Daftar Koreksi'!$I$5:$I$92,'Daftar Koreksi'!$D$5:$D$92,'0900'!A268,'Daftar Koreksi'!$G$5:$G$92,"Aset Tetap Lainnya",'Daftar Koreksi'!$I$5:$I$92,"&lt;0")-SUMIFS('Daftar Koreksi'!$I$5:$I$92,'Daftar Koreksi'!$D$5:$D$92,'0900'!A268,'Daftar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Koreksi'!$D$5:$D$92,'0900'!A268,'Daftar Koreksi'!$G$5:$G$92,"Aset Henti Guna",'Daftar Koreksi'!$I$5:$I$92,"&gt;0")</f>
        <v>0</v>
      </c>
      <c r="F285" s="25">
        <f>SUMIFS('Daftar Koreksi'!$I$5:$I$92,'Daftar Koreksi'!$D$5:$D$92,'0900'!A268,'Daftar Koreksi'!$G$5:$G$92,"Aset Henti Guna",'Daftar Koreksi'!$I$5:$I$92,"&lt;0")-SUMIFS('Daftar Koreksi'!$I$5:$I$92,'Daftar Koreksi'!$D$5:$D$92,'0900'!A268,'Daftar Koreksi'!$G$5:$G$92,"Aset Henti Guna",'Daftar Koreksi'!$I$5:$I$92,"&lt;0")-SUMIFS('Daftar Koreksi'!$I$5:$I$92,'Daftar Koreksi'!$D$5:$D$92,'0900'!A268,'Daftar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-767606238</v>
      </c>
      <c r="E286" s="19">
        <f>SUM(E281:E285)</f>
        <v>0</v>
      </c>
      <c r="F286" s="19">
        <f>SUM(F281:F285)</f>
        <v>0</v>
      </c>
      <c r="G286" s="19">
        <f t="shared" si="12"/>
        <v>-767606238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2370811209</v>
      </c>
      <c r="E287" s="19">
        <f>E286+E280</f>
        <v>0</v>
      </c>
      <c r="F287" s="19">
        <f>F286+F280</f>
        <v>0</v>
      </c>
      <c r="G287" s="19">
        <f t="shared" si="12"/>
        <v>2370811209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005010900402132000KD</v>
      </c>
      <c r="B290" s="11" t="str">
        <f>P14</f>
        <v>PA. Selat Panjang</v>
      </c>
      <c r="C290" s="12" t="str">
        <f>A290&amp;" "&amp;B290</f>
        <v>005010900402132000KD PA. Selat Panjang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945500</v>
      </c>
      <c r="E293" s="25">
        <f>SUMIFS('Daftar Koreksi'!$H$5:$H$92,'Daftar Koreksi'!$D$5:$D$92,'0900'!A290,'Daftar Koreksi'!$G$5:$G$92,"Persediaan",'Daftar Koreksi'!$H$5:$H$92,"&gt;0")</f>
        <v>0</v>
      </c>
      <c r="F293" s="25">
        <f>SUMIFS('Daftar Koreksi'!$H$5:$H$92,'Daftar Koreksi'!$D$5:$D$92,'0900'!A290,'Daftar Koreksi'!$G$5:$G$92,"Persediaan",'Daftar Koreksi'!$H$5:$H$92,"&lt;0")-SUMIFS('Daftar Koreksi'!$H$5:$H$92,'Daftar Koreksi'!$D$5:$D$92,'0900'!A290,'Daftar Koreksi'!$G$5:$G$92,"Persediaan",'Daftar Koreksi'!$H$5:$H$92,"&lt;0")-SUMIFS('Daftar Koreksi'!$H$5:$H$92,'Daftar Koreksi'!$D$5:$D$92,'0900'!A290,'Daftar Koreksi'!$G$5:$G$92,"Persediaan",'Daftar Koreksi'!$H$5:$H$92,"&lt;0")</f>
        <v>0</v>
      </c>
      <c r="G293" s="17">
        <f>D293+E293-F293</f>
        <v>945500</v>
      </c>
      <c r="H293" s="121" t="str">
        <f>IF(ISNA(VLOOKUP(A290,'Mutasi Neraca'!$A$3:$S$914,19,FALSE)),"-",VLOOKUP(A290,'Mutasi Neraca'!$A$3:$S$914,19,FALSE))</f>
        <v>TP Koreksi Hibah No. 24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304710000</v>
      </c>
      <c r="E294" s="25">
        <f>SUMIFS('Daftar Koreksi'!$H$5:$H$92,'Daftar Koreksi'!$D$5:$D$92,'0900'!A290,'Daftar Koreksi'!$G$5:$G$92,"Tanah",'Daftar Koreksi'!$H$5:$H$92,"&gt;0")</f>
        <v>50000000</v>
      </c>
      <c r="F294" s="25">
        <f>SUMIFS('Daftar Koreksi'!$H$5:$H$92,'Daftar Koreksi'!$D$5:$D$92,'0900'!A290,'Daftar Koreksi'!$G$5:$G$92,"Tanah",'Daftar Koreksi'!$H$5:$H$92,"&lt;0")-SUMIFS('Daftar Koreksi'!$H$5:$H$92,'Daftar Koreksi'!$D$5:$D$92,'0900'!A290,'Daftar Koreksi'!$G$5:$G$92,"Tanah",'Daftar Koreksi'!$H$5:$H$92,"&lt;0")-SUMIFS('Daftar Koreksi'!$H$5:$H$92,'Daftar Koreksi'!$D$5:$D$92,'0900'!A290,'Daftar Koreksi'!$G$5:$G$92,"Tanah",'Daftar Koreksi'!$H$5:$H$92,"&lt;0")</f>
        <v>0</v>
      </c>
      <c r="G294" s="17">
        <f t="shared" ref="G294:G310" si="13">D294+E294-F294</f>
        <v>354710000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1176300237</v>
      </c>
      <c r="E295" s="25">
        <f>SUMIFS('Daftar Koreksi'!$H$5:$H$92,'Daftar Koreksi'!$D$5:$D$92,'0900'!A290,'Daftar Koreksi'!$G$5:$G$92,"Peralatan dan mesin",'Daftar Koreksi'!$H$5:$H$92,"&gt;0")</f>
        <v>0</v>
      </c>
      <c r="F295" s="25">
        <f>SUMIFS('Daftar Koreksi'!$H$5:$H$92,'Daftar Koreksi'!$D$5:$D$92,'0900'!A290,'Daftar Koreksi'!$G$5:$G$92,"Peralatan dan mesin",'Daftar Koreksi'!$H$5:$H$92,"&lt;0")-SUMIFS('Daftar Koreksi'!$H$5:$H$92,'Daftar Koreksi'!$D$5:$D$92,'0900'!A290,'Daftar Koreksi'!$G$5:$G$92,"Peralatan dan mesin",'Daftar Koreksi'!$H$5:$H$92,"&lt;0")-SUMIFS('Daftar Koreksi'!$H$5:$H$92,'Daftar Koreksi'!$D$5:$D$92,'0900'!A290,'Daftar Koreksi'!$G$5:$G$92,"Peralatan dan mesin",'Daftar Koreksi'!$H$5:$H$92,"&lt;0")</f>
        <v>0</v>
      </c>
      <c r="G295" s="17">
        <f t="shared" si="13"/>
        <v>1176300237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5962939000</v>
      </c>
      <c r="E296" s="25">
        <f>SUMIFS('Daftar Koreksi'!$H$5:$H$92,'Daftar Koreksi'!$D$5:$D$92,'0900'!A290,'Daftar Koreksi'!$G$5:$G$92,"Gedung dan Bangunan",'Daftar Koreksi'!$H$5:$H$92,"&gt;0")</f>
        <v>0</v>
      </c>
      <c r="F296" s="25">
        <f>SUMIFS('Daftar Koreksi'!$H$5:$H$92,'Daftar Koreksi'!$D$5:$D$92,'0900'!A290,'Daftar Koreksi'!$G$5:$G$92,"Gedung dan Bangunan",'Daftar Koreksi'!$H$5:$H$92,"&lt;0")-SUMIFS('Daftar Koreksi'!$H$5:$H$92,'Daftar Koreksi'!$D$5:$D$92,'0900'!A290,'Daftar Koreksi'!$G$5:$G$92,"Gedung dan Bangunan",'Daftar Koreksi'!$H$5:$H$92,"&lt;0")-SUMIFS('Daftar Koreksi'!$H$5:$H$92,'Daftar Koreksi'!$D$5:$D$92,'0900'!A290,'Daftar Koreksi'!$G$5:$G$92,"Gedung dan Bangunan",'Daftar Koreksi'!$H$5:$H$92,"&lt;0")</f>
        <v>0</v>
      </c>
      <c r="G296" s="17">
        <f t="shared" si="13"/>
        <v>5962939000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169571000</v>
      </c>
      <c r="E297" s="25">
        <f>SUMIFS('Daftar Koreksi'!$H$5:$H$92,'Daftar Koreksi'!$D$5:$D$92,'0900'!A290,'Daftar Koreksi'!$G$5:$G$92,"Jalan Irigasi Jaringan",'Daftar Koreksi'!$H$5:$H$92,"&gt;0")</f>
        <v>0</v>
      </c>
      <c r="F297" s="25">
        <f>SUMIFS('Daftar Koreksi'!$H$5:$H$92,'Daftar Koreksi'!$D$5:$D$92,'0900'!A290,'Daftar Koreksi'!$G$5:$G$92,"Jalan Irigasi Jaringan",'Daftar Koreksi'!$H$5:$H$92,"&lt;0")-SUMIFS('Daftar Koreksi'!$H$5:$H$92,'Daftar Koreksi'!$D$5:$D$92,'0900'!A290,'Daftar Koreksi'!$G$5:$G$92,"Jalan Irigasi Jaringan",'Daftar Koreksi'!$H$5:$H$92,"&lt;0")-SUMIFS('Daftar Koreksi'!$H$5:$H$92,'Daftar Koreksi'!$D$5:$D$92,'0900'!A290,'Daftar Koreksi'!$G$5:$G$92,"Jalan Irigasi Jaringan",'Daftar Koreksi'!$H$5:$H$92,"&lt;0")</f>
        <v>0</v>
      </c>
      <c r="G297" s="17">
        <f t="shared" si="13"/>
        <v>169571000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17733705</v>
      </c>
      <c r="E298" s="25">
        <f>SUMIFS('Daftar Koreksi'!$H$5:$H$92,'Daftar Koreksi'!$D$5:$D$92,'0900'!A290,'Daftar Koreksi'!$G$5:$G$92,"Aset Tetap Lainnya",'Daftar Koreksi'!$H$5:$H$92,"&gt;0")</f>
        <v>0</v>
      </c>
      <c r="F298" s="25">
        <f>SUMIFS('Daftar Koreksi'!$H$5:$H$92,'Daftar Koreksi'!$D$5:$D$92,'0900'!A290,'Daftar Koreksi'!$G$5:$G$92,"Aset Tetap Lainnya",'Daftar Koreksi'!$H$5:$H$92,"&lt;0")-SUMIFS('Daftar Koreksi'!$H$5:$H$92,'Daftar Koreksi'!$D$5:$D$92,'0900'!A290,'Daftar Koreksi'!$G$5:$G$92,"Aset Tetap Lainnya",'Daftar Koreksi'!$H$5:$H$92,"&lt;0")-SUMIFS('Daftar Koreksi'!$H$5:$H$92,'Daftar Koreksi'!$D$5:$D$92,'0900'!A290,'Daftar Koreksi'!$G$5:$G$92,"Aset Tetap Lainnya",'Daftar Koreksi'!$H$5:$H$92,"&lt;0")</f>
        <v>0</v>
      </c>
      <c r="G298" s="17">
        <f t="shared" si="13"/>
        <v>17733705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Koreksi'!$D$5:$D$92,'0900'!A290,'Daftar Koreksi'!$G$5:$G$92,"Kontruksi Dalam Pengerjaan",'Daftar Koreksi'!$H$5:$H$92,"&gt;0")</f>
        <v>0</v>
      </c>
      <c r="F299" s="25">
        <f>SUMIFS('Daftar Koreksi'!$H$5:$H$92,'Daftar Koreksi'!$D$5:$D$92,'0900'!A290,'Daftar Koreksi'!$G$5:$G$92,"Kontruksi Dalam Pengerjaan",'Daftar Koreksi'!$H$5:$H$92,"&lt;0")-SUMIFS('Daftar Koreksi'!$H$5:$H$92,'Daftar Koreksi'!$D$5:$D$92,'0900'!A290,'Daftar Koreksi'!$G$5:$G$92,"Kontruksi Dalam Pengerjaan",'Daftar Koreksi'!$H$5:$H$92,"&lt;0")-SUMIFS('Daftar Koreksi'!$H$5:$H$92,'Daftar Koreksi'!$D$5:$D$92,'0900'!A290,'Daftar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Koreksi'!$D$5:$D$92,'0900'!A290,'Daftar Koreksi'!$G$5:$G$92,"Aset Tak Berwujud",'Daftar Koreksi'!$H$5:$H$92,"&gt;0")</f>
        <v>0</v>
      </c>
      <c r="F300" s="25">
        <f>SUMIFS('Daftar Koreksi'!$H$5:$H$92,'Daftar Koreksi'!$D$5:$D$92,'0900'!A290,'Daftar Koreksi'!$G$5:$G$92,"Aset Tak Berwujud",'Daftar Koreksi'!$H$5:$H$92,"&lt;0")-SUMIFS('Daftar Koreksi'!$H$5:$H$92,'Daftar Koreksi'!$D$5:$D$92,'0900'!A290,'Daftar Koreksi'!$G$5:$G$92,"Aset Tak Berwujud",'Daftar Koreksi'!$H$5:$H$92,"&lt;0")-SUMIFS('Daftar Koreksi'!$H$5:$H$92,'Daftar Koreksi'!$D$5:$D$92,'0900'!A290,'Daftar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11698000</v>
      </c>
      <c r="E301" s="25">
        <f>SUMIFS('Daftar Koreksi'!$H$5:$H$92,'Daftar Koreksi'!$D$5:$D$92,'0900'!A290,'Daftar Koreksi'!$G$5:$G$92,"Aset Henti Guna",'Daftar Koreksi'!$H$5:$H$92,"&gt;0")</f>
        <v>0</v>
      </c>
      <c r="F301" s="25">
        <f>SUMIFS('Daftar Koreksi'!$H$5:$H$92,'Daftar Koreksi'!$D$5:$D$92,'0900'!A290,'Daftar Koreksi'!$G$5:$G$92,"Aset Henti Guna",'Daftar Koreksi'!$H$5:$H$92,"&lt;0")-SUMIFS('Daftar Koreksi'!$H$5:$H$92,'Daftar Koreksi'!$D$5:$D$92,'0900'!A290,'Daftar Koreksi'!$G$5:$G$92,"Aset Henti Guna",'Daftar Koreksi'!$H$5:$H$92,"&lt;0")-SUMIFS('Daftar Koreksi'!$H$5:$H$92,'Daftar Koreksi'!$D$5:$D$92,'0900'!A290,'Daftar Koreksi'!$G$5:$G$92,"Aset Henti Guna",'Daftar Koreksi'!$H$5:$H$92,"&lt;0")</f>
        <v>0</v>
      </c>
      <c r="G301" s="17">
        <f t="shared" si="13"/>
        <v>11698000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7643897442</v>
      </c>
      <c r="E302" s="19">
        <f>SUM(E293:E301)</f>
        <v>50000000</v>
      </c>
      <c r="F302" s="19">
        <f>SUM(F293:F301)</f>
        <v>0</v>
      </c>
      <c r="G302" s="19">
        <f t="shared" si="13"/>
        <v>7693897442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-1048854265</v>
      </c>
      <c r="E303" s="25">
        <f>SUMIFS('Daftar Koreksi'!$I$5:$I$92,'Daftar Koreksi'!$D$5:$D$92,'0900'!A290,'Daftar Koreksi'!$G$5:$G$92,"Peralatan dan mesin",'Daftar Koreksi'!$I$5:$I$92,"&gt;0")</f>
        <v>0</v>
      </c>
      <c r="F303" s="25">
        <f>SUMIFS('Daftar Koreksi'!$I$5:$I$92,'Daftar Koreksi'!$D$5:$D$92,'0900'!A290,'Daftar Koreksi'!$G$5:$G$92,"Peralatan dan mesin",'Daftar Koreksi'!$I$5:$I$92,"&lt;0")-SUMIFS('Daftar Koreksi'!$I$5:$I$92,'Daftar Koreksi'!$D$5:$D$92,'0900'!A290,'Daftar Koreksi'!$G$5:$G$92,"Peralatan dan mesin",'Daftar Koreksi'!$I$5:$I$92,"&lt;0")-SUMIFS('Daftar Koreksi'!$I$5:$I$92,'Daftar Koreksi'!$D$5:$D$92,'0900'!A290,'Daftar Koreksi'!$G$5:$G$92,"Peralatan dan mesin",'Daftar Koreksi'!$I$5:$I$92,"&lt;0")</f>
        <v>0</v>
      </c>
      <c r="G303" s="17">
        <f t="shared" si="13"/>
        <v>-1048854265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-851361725</v>
      </c>
      <c r="E304" s="25">
        <f>SUMIFS('Daftar Koreksi'!$I$5:$I$92,'Daftar Koreksi'!$D$5:$D$92,'0900'!A290,'Daftar Koreksi'!$G$5:$G$92,"Gedung dan Bangunan",'Daftar Koreksi'!$I$5:$I$92,"&gt;0")</f>
        <v>0</v>
      </c>
      <c r="F304" s="25">
        <f>SUMIFS('Daftar Koreksi'!$I$5:$I$92,'Daftar Koreksi'!$D$5:$D$92,'0900'!A290,'Daftar Koreksi'!$G$5:$G$92,"Gedung dan Bangunan",'Daftar Koreksi'!$I$5:$I$92,"&lt;0")-SUMIFS('Daftar Koreksi'!$I$5:$I$92,'Daftar Koreksi'!$D$5:$D$92,'0900'!A290,'Daftar Koreksi'!$G$5:$G$92,"Gedung dan Bangunan",'Daftar Koreksi'!$I$5:$I$92,"&lt;0")-SUMIFS('Daftar Koreksi'!$I$5:$I$92,'Daftar Koreksi'!$D$5:$D$92,'0900'!A290,'Daftar Koreksi'!$G$5:$G$92,"Gedung dan Bangunan",'Daftar Koreksi'!$I$5:$I$92,"&lt;0")</f>
        <v>0</v>
      </c>
      <c r="G304" s="17">
        <f t="shared" si="13"/>
        <v>-851361725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-89123513</v>
      </c>
      <c r="E305" s="25">
        <f>SUMIFS('Daftar Koreksi'!$I$5:$I$92,'Daftar Koreksi'!$D$5:$D$92,'0900'!A290,'Daftar Koreksi'!$G$5:$G$92,"Jalan Irigasi Jaringan",'Daftar Koreksi'!$I$5:$I$92,"&gt;0")</f>
        <v>0</v>
      </c>
      <c r="F305" s="25">
        <f>SUMIFS('Daftar Koreksi'!$I$5:$I$92,'Daftar Koreksi'!$D$5:$D$92,'0900'!A290,'Daftar Koreksi'!$G$5:$G$92,"Jalan Irigasi Jaringan",'Daftar Koreksi'!$I$5:$I$92,"&lt;0")-SUMIFS('Daftar Koreksi'!$I$5:$I$92,'Daftar Koreksi'!$D$5:$D$92,'0900'!A290,'Daftar Koreksi'!$G$5:$G$92,"Jalan Irigasi Jaringan",'Daftar Koreksi'!$I$5:$I$92,"&lt;0")-SUMIFS('Daftar Koreksi'!$I$5:$I$92,'Daftar Koreksi'!$D$5:$D$92,'0900'!A290,'Daftar Koreksi'!$G$5:$G$92,"Jalan Irigasi Jaringan",'Daftar Koreksi'!$I$5:$I$92,"&lt;0")</f>
        <v>0</v>
      </c>
      <c r="G305" s="17">
        <f t="shared" si="13"/>
        <v>-89123513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Koreksi'!$D$5:$D$92,'0900'!A290,'Daftar Koreksi'!$G$5:$G$92,"Aset Tetap Lainnya",'Daftar Koreksi'!$I$5:$I$92,"&gt;0")</f>
        <v>0</v>
      </c>
      <c r="F306" s="25">
        <f>SUMIFS('Daftar Koreksi'!$I$5:$I$92,'Daftar Koreksi'!$D$5:$D$92,'0900'!A290,'Daftar Koreksi'!$G$5:$G$92,"Aset Tetap Lainnya",'Daftar Koreksi'!$I$5:$I$92,"&lt;0")-SUMIFS('Daftar Koreksi'!$I$5:$I$92,'Daftar Koreksi'!$D$5:$D$92,'0900'!A290,'Daftar Koreksi'!$G$5:$G$92,"Aset Tetap Lainnya",'Daftar Koreksi'!$I$5:$I$92,"&lt;0")-SUMIFS('Daftar Koreksi'!$I$5:$I$92,'Daftar Koreksi'!$D$5:$D$92,'0900'!A290,'Daftar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-11698000</v>
      </c>
      <c r="E307" s="25">
        <f>SUMIFS('Daftar Koreksi'!$I$5:$I$92,'Daftar Koreksi'!$D$5:$D$92,'0900'!A290,'Daftar Koreksi'!$G$5:$G$92,"Aset Henti Guna",'Daftar Koreksi'!$I$5:$I$92,"&gt;0")</f>
        <v>0</v>
      </c>
      <c r="F307" s="25">
        <f>SUMIFS('Daftar Koreksi'!$I$5:$I$92,'Daftar Koreksi'!$D$5:$D$92,'0900'!A290,'Daftar Koreksi'!$G$5:$G$92,"Aset Henti Guna",'Daftar Koreksi'!$I$5:$I$92,"&lt;0")-SUMIFS('Daftar Koreksi'!$I$5:$I$92,'Daftar Koreksi'!$D$5:$D$92,'0900'!A290,'Daftar Koreksi'!$G$5:$G$92,"Aset Henti Guna",'Daftar Koreksi'!$I$5:$I$92,"&lt;0")-SUMIFS('Daftar Koreksi'!$I$5:$I$92,'Daftar Koreksi'!$D$5:$D$92,'0900'!A290,'Daftar Koreksi'!$G$5:$G$92,"Aset Henti Guna",'Daftar Koreksi'!$I$5:$I$92,"&lt;0")</f>
        <v>0</v>
      </c>
      <c r="G307" s="17">
        <f t="shared" si="13"/>
        <v>-11698000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-2001037503</v>
      </c>
      <c r="E308" s="19">
        <f>SUM(E303:E307)</f>
        <v>0</v>
      </c>
      <c r="F308" s="19">
        <f>SUM(F303:F307)</f>
        <v>0</v>
      </c>
      <c r="G308" s="19">
        <f t="shared" si="13"/>
        <v>-2001037503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5642859939</v>
      </c>
      <c r="E309" s="19">
        <f>E308+E302</f>
        <v>50000000</v>
      </c>
      <c r="F309" s="19">
        <f>F308+F302</f>
        <v>0</v>
      </c>
      <c r="G309" s="19">
        <f t="shared" si="13"/>
        <v>5692859939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005010900402622000KD</v>
      </c>
      <c r="B312" s="11" t="str">
        <f>P15</f>
        <v>PA. Dumai</v>
      </c>
      <c r="C312" s="12" t="str">
        <f>A312&amp;" "&amp;B312</f>
        <v>005010900402622000KD PA. Dumai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4150300</v>
      </c>
      <c r="E315" s="25">
        <f>SUMIFS('Daftar Koreksi'!$H$5:$H$92,'Daftar Koreksi'!$D$5:$D$92,'0900'!A312,'Daftar Koreksi'!$G$5:$G$92,"Persediaan",'Daftar Koreksi'!$H$5:$H$92,"&gt;0")</f>
        <v>0</v>
      </c>
      <c r="F315" s="25">
        <f>SUMIFS('Daftar Koreksi'!$H$5:$H$92,'Daftar Koreksi'!$D$5:$D$92,'0900'!A312,'Daftar Koreksi'!$G$5:$G$92,"Persediaan",'Daftar Koreksi'!$H$5:$H$92,"&lt;0")-SUMIFS('Daftar Koreksi'!$H$5:$H$92,'Daftar Koreksi'!$D$5:$D$92,'0900'!A312,'Daftar Koreksi'!$G$5:$G$92,"Persediaan",'Daftar Koreksi'!$H$5:$H$92,"&lt;0")-SUMIFS('Daftar Koreksi'!$H$5:$H$92,'Daftar Koreksi'!$D$5:$D$92,'0900'!A312,'Daftar Koreksi'!$G$5:$G$92,"Persediaan",'Daftar Koreksi'!$H$5:$H$92,"&lt;0")</f>
        <v>0</v>
      </c>
      <c r="G315" s="17">
        <f>D315+E315-F315</f>
        <v>4150300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538054000</v>
      </c>
      <c r="E316" s="25">
        <f>SUMIFS('Daftar Koreksi'!$H$5:$H$92,'Daftar Koreksi'!$D$5:$D$92,'0900'!A312,'Daftar Koreksi'!$G$5:$G$92,"Tanah",'Daftar Koreksi'!$H$5:$H$92,"&gt;0")</f>
        <v>0</v>
      </c>
      <c r="F316" s="25">
        <f>SUMIFS('Daftar Koreksi'!$H$5:$H$92,'Daftar Koreksi'!$D$5:$D$92,'0900'!A312,'Daftar Koreksi'!$G$5:$G$92,"Tanah",'Daftar Koreksi'!$H$5:$H$92,"&lt;0")-SUMIFS('Daftar Koreksi'!$H$5:$H$92,'Daftar Koreksi'!$D$5:$D$92,'0900'!A312,'Daftar Koreksi'!$G$5:$G$92,"Tanah",'Daftar Koreksi'!$H$5:$H$92,"&lt;0")-SUMIFS('Daftar Koreksi'!$H$5:$H$92,'Daftar Koreksi'!$D$5:$D$92,'0900'!A312,'Daftar Koreksi'!$G$5:$G$92,"Tanah",'Daftar Koreksi'!$H$5:$H$92,"&lt;0")</f>
        <v>0</v>
      </c>
      <c r="G316" s="17">
        <f t="shared" ref="G316:G332" si="14">D316+E316-F316</f>
        <v>538054000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722483753</v>
      </c>
      <c r="E317" s="25">
        <f>SUMIFS('Daftar Koreksi'!$H$5:$H$92,'Daftar Koreksi'!$D$5:$D$92,'0900'!A312,'Daftar Koreksi'!$G$5:$G$92,"Peralatan dan mesin",'Daftar Koreksi'!$H$5:$H$92,"&gt;0")</f>
        <v>0</v>
      </c>
      <c r="F317" s="25">
        <f>SUMIFS('Daftar Koreksi'!$H$5:$H$92,'Daftar Koreksi'!$D$5:$D$92,'0900'!A312,'Daftar Koreksi'!$G$5:$G$92,"Peralatan dan mesin",'Daftar Koreksi'!$H$5:$H$92,"&lt;0")-SUMIFS('Daftar Koreksi'!$H$5:$H$92,'Daftar Koreksi'!$D$5:$D$92,'0900'!A312,'Daftar Koreksi'!$G$5:$G$92,"Peralatan dan mesin",'Daftar Koreksi'!$H$5:$H$92,"&lt;0")-SUMIFS('Daftar Koreksi'!$H$5:$H$92,'Daftar Koreksi'!$D$5:$D$92,'0900'!A312,'Daftar Koreksi'!$G$5:$G$92,"Peralatan dan mesin",'Daftar Koreksi'!$H$5:$H$92,"&lt;0")</f>
        <v>0</v>
      </c>
      <c r="G317" s="17">
        <f t="shared" si="14"/>
        <v>722483753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2141546000</v>
      </c>
      <c r="E318" s="25">
        <f>SUMIFS('Daftar Koreksi'!$H$5:$H$92,'Daftar Koreksi'!$D$5:$D$92,'0900'!A312,'Daftar Koreksi'!$G$5:$G$92,"Gedung dan Bangunan",'Daftar Koreksi'!$H$5:$H$92,"&gt;0")</f>
        <v>0</v>
      </c>
      <c r="F318" s="25">
        <f>SUMIFS('Daftar Koreksi'!$H$5:$H$92,'Daftar Koreksi'!$D$5:$D$92,'0900'!A312,'Daftar Koreksi'!$G$5:$G$92,"Gedung dan Bangunan",'Daftar Koreksi'!$H$5:$H$92,"&lt;0")-SUMIFS('Daftar Koreksi'!$H$5:$H$92,'Daftar Koreksi'!$D$5:$D$92,'0900'!A312,'Daftar Koreksi'!$G$5:$G$92,"Gedung dan Bangunan",'Daftar Koreksi'!$H$5:$H$92,"&lt;0")-SUMIFS('Daftar Koreksi'!$H$5:$H$92,'Daftar Koreksi'!$D$5:$D$92,'0900'!A312,'Daftar Koreksi'!$G$5:$G$92,"Gedung dan Bangunan",'Daftar Koreksi'!$H$5:$H$92,"&lt;0")</f>
        <v>0</v>
      </c>
      <c r="G318" s="17">
        <f t="shared" si="14"/>
        <v>2141546000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Koreksi'!$D$5:$D$92,'0900'!A312,'Daftar Koreksi'!$G$5:$G$92,"Jalan Irigasi Jaringan",'Daftar Koreksi'!$H$5:$H$92,"&gt;0")</f>
        <v>0</v>
      </c>
      <c r="F319" s="25">
        <f>SUMIFS('Daftar Koreksi'!$H$5:$H$92,'Daftar Koreksi'!$D$5:$D$92,'0900'!A312,'Daftar Koreksi'!$G$5:$G$92,"Jalan Irigasi Jaringan",'Daftar Koreksi'!$H$5:$H$92,"&lt;0")-SUMIFS('Daftar Koreksi'!$H$5:$H$92,'Daftar Koreksi'!$D$5:$D$92,'0900'!A312,'Daftar Koreksi'!$G$5:$G$92,"Jalan Irigasi Jaringan",'Daftar Koreksi'!$H$5:$H$92,"&lt;0")-SUMIFS('Daftar Koreksi'!$H$5:$H$92,'Daftar Koreksi'!$D$5:$D$92,'0900'!A312,'Daftar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71363650</v>
      </c>
      <c r="E320" s="25">
        <f>SUMIFS('Daftar Koreksi'!$H$5:$H$92,'Daftar Koreksi'!$D$5:$D$92,'0900'!A312,'Daftar Koreksi'!$G$5:$G$92,"Aset Tetap Lainnya",'Daftar Koreksi'!$H$5:$H$92,"&gt;0")</f>
        <v>0</v>
      </c>
      <c r="F320" s="25">
        <f>SUMIFS('Daftar Koreksi'!$H$5:$H$92,'Daftar Koreksi'!$D$5:$D$92,'0900'!A312,'Daftar Koreksi'!$G$5:$G$92,"Aset Tetap Lainnya",'Daftar Koreksi'!$H$5:$H$92,"&lt;0")-SUMIFS('Daftar Koreksi'!$H$5:$H$92,'Daftar Koreksi'!$D$5:$D$92,'0900'!A312,'Daftar Koreksi'!$G$5:$G$92,"Aset Tetap Lainnya",'Daftar Koreksi'!$H$5:$H$92,"&lt;0")-SUMIFS('Daftar Koreksi'!$H$5:$H$92,'Daftar Koreksi'!$D$5:$D$92,'0900'!A312,'Daftar Koreksi'!$G$5:$G$92,"Aset Tetap Lainnya",'Daftar Koreksi'!$H$5:$H$92,"&lt;0")</f>
        <v>0</v>
      </c>
      <c r="G320" s="17">
        <f t="shared" si="14"/>
        <v>71363650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Koreksi'!$D$5:$D$92,'0900'!A312,'Daftar Koreksi'!$G$5:$G$92,"Kontruksi Dalam Pengerjaan",'Daftar Koreksi'!$H$5:$H$92,"&gt;0")</f>
        <v>0</v>
      </c>
      <c r="F321" s="25">
        <f>SUMIFS('Daftar Koreksi'!$H$5:$H$92,'Daftar Koreksi'!$D$5:$D$92,'0900'!A312,'Daftar Koreksi'!$G$5:$G$92,"Kontruksi Dalam Pengerjaan",'Daftar Koreksi'!$H$5:$H$92,"&lt;0")-SUMIFS('Daftar Koreksi'!$H$5:$H$92,'Daftar Koreksi'!$D$5:$D$92,'0900'!A312,'Daftar Koreksi'!$G$5:$G$92,"Kontruksi Dalam Pengerjaan",'Daftar Koreksi'!$H$5:$H$92,"&lt;0")-SUMIFS('Daftar Koreksi'!$H$5:$H$92,'Daftar Koreksi'!$D$5:$D$92,'0900'!A312,'Daftar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20750000</v>
      </c>
      <c r="E322" s="25">
        <f>SUMIFS('Daftar Koreksi'!$H$5:$H$92,'Daftar Koreksi'!$D$5:$D$92,'0900'!A312,'Daftar Koreksi'!$G$5:$G$92,"Aset Tak Berwujud",'Daftar Koreksi'!$H$5:$H$92,"&gt;0")</f>
        <v>0</v>
      </c>
      <c r="F322" s="25">
        <f>SUMIFS('Daftar Koreksi'!$H$5:$H$92,'Daftar Koreksi'!$D$5:$D$92,'0900'!A312,'Daftar Koreksi'!$G$5:$G$92,"Aset Tak Berwujud",'Daftar Koreksi'!$H$5:$H$92,"&lt;0")-SUMIFS('Daftar Koreksi'!$H$5:$H$92,'Daftar Koreksi'!$D$5:$D$92,'0900'!A312,'Daftar Koreksi'!$G$5:$G$92,"Aset Tak Berwujud",'Daftar Koreksi'!$H$5:$H$92,"&lt;0")-SUMIFS('Daftar Koreksi'!$H$5:$H$92,'Daftar Koreksi'!$D$5:$D$92,'0900'!A312,'Daftar Koreksi'!$G$5:$G$92,"Aset Tak Berwujud",'Daftar Koreksi'!$H$5:$H$92,"&lt;0")</f>
        <v>0</v>
      </c>
      <c r="G322" s="17">
        <f t="shared" si="14"/>
        <v>20750000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24138000</v>
      </c>
      <c r="E323" s="25">
        <f>SUMIFS('Daftar Koreksi'!$H$5:$H$92,'Daftar Koreksi'!$D$5:$D$92,'0900'!A312,'Daftar Koreksi'!$G$5:$G$92,"Aset Henti Guna",'Daftar Koreksi'!$H$5:$H$92,"&gt;0")</f>
        <v>0</v>
      </c>
      <c r="F323" s="25">
        <f>SUMIFS('Daftar Koreksi'!$H$5:$H$92,'Daftar Koreksi'!$D$5:$D$92,'0900'!A312,'Daftar Koreksi'!$G$5:$G$92,"Aset Henti Guna",'Daftar Koreksi'!$H$5:$H$92,"&lt;0")-SUMIFS('Daftar Koreksi'!$H$5:$H$92,'Daftar Koreksi'!$D$5:$D$92,'0900'!A312,'Daftar Koreksi'!$G$5:$G$92,"Aset Henti Guna",'Daftar Koreksi'!$H$5:$H$92,"&lt;0")-SUMIFS('Daftar Koreksi'!$H$5:$H$92,'Daftar Koreksi'!$D$5:$D$92,'0900'!A312,'Daftar Koreksi'!$G$5:$G$92,"Aset Henti Guna",'Daftar Koreksi'!$H$5:$H$92,"&lt;0")</f>
        <v>0</v>
      </c>
      <c r="G323" s="17">
        <f t="shared" si="14"/>
        <v>24138000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3522485703</v>
      </c>
      <c r="E324" s="19">
        <f>SUM(E315:E323)</f>
        <v>0</v>
      </c>
      <c r="F324" s="19">
        <f>SUM(F315:F323)</f>
        <v>0</v>
      </c>
      <c r="G324" s="19">
        <f t="shared" si="14"/>
        <v>3522485703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-625333736</v>
      </c>
      <c r="E325" s="25">
        <f>SUMIFS('Daftar Koreksi'!$I$5:$I$92,'Daftar Koreksi'!$D$5:$D$92,'0900'!A312,'Daftar Koreksi'!$G$5:$G$92,"Peralatan dan mesin",'Daftar Koreksi'!$I$5:$I$92,"&gt;0")</f>
        <v>0</v>
      </c>
      <c r="F325" s="25">
        <f>SUMIFS('Daftar Koreksi'!$I$5:$I$92,'Daftar Koreksi'!$D$5:$D$92,'0900'!A312,'Daftar Koreksi'!$G$5:$G$92,"Peralatan dan mesin",'Daftar Koreksi'!$I$5:$I$92,"&lt;0")-SUMIFS('Daftar Koreksi'!$I$5:$I$92,'Daftar Koreksi'!$D$5:$D$92,'0900'!A312,'Daftar Koreksi'!$G$5:$G$92,"Peralatan dan mesin",'Daftar Koreksi'!$I$5:$I$92,"&lt;0")-SUMIFS('Daftar Koreksi'!$I$5:$I$92,'Daftar Koreksi'!$D$5:$D$92,'0900'!A312,'Daftar Koreksi'!$G$5:$G$92,"Peralatan dan mesin",'Daftar Koreksi'!$I$5:$I$92,"&lt;0")</f>
        <v>0</v>
      </c>
      <c r="G325" s="17">
        <f t="shared" si="14"/>
        <v>-625333736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-417195200</v>
      </c>
      <c r="E326" s="25">
        <f>SUMIFS('Daftar Koreksi'!$I$5:$I$92,'Daftar Koreksi'!$D$5:$D$92,'0900'!A312,'Daftar Koreksi'!$G$5:$G$92,"Gedung dan Bangunan",'Daftar Koreksi'!$I$5:$I$92,"&gt;0")</f>
        <v>0</v>
      </c>
      <c r="F326" s="25">
        <f>SUMIFS('Daftar Koreksi'!$I$5:$I$92,'Daftar Koreksi'!$D$5:$D$92,'0900'!A312,'Daftar Koreksi'!$G$5:$G$92,"Gedung dan Bangunan",'Daftar Koreksi'!$I$5:$I$92,"&lt;0")-SUMIFS('Daftar Koreksi'!$I$5:$I$92,'Daftar Koreksi'!$D$5:$D$92,'0900'!A312,'Daftar Koreksi'!$G$5:$G$92,"Gedung dan Bangunan",'Daftar Koreksi'!$I$5:$I$92,"&lt;0")-SUMIFS('Daftar Koreksi'!$I$5:$I$92,'Daftar Koreksi'!$D$5:$D$92,'0900'!A312,'Daftar Koreksi'!$G$5:$G$92,"Gedung dan Bangunan",'Daftar Koreksi'!$I$5:$I$92,"&lt;0")</f>
        <v>0</v>
      </c>
      <c r="G326" s="17">
        <f t="shared" si="14"/>
        <v>-417195200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Koreksi'!$D$5:$D$92,'0900'!A312,'Daftar Koreksi'!$G$5:$G$92,"Jalan Irigasi Jaringan",'Daftar Koreksi'!$I$5:$I$92,"&gt;0")</f>
        <v>0</v>
      </c>
      <c r="F327" s="25">
        <f>SUMIFS('Daftar Koreksi'!$I$5:$I$92,'Daftar Koreksi'!$D$5:$D$92,'0900'!A312,'Daftar Koreksi'!$G$5:$G$92,"Jalan Irigasi Jaringan",'Daftar Koreksi'!$I$5:$I$92,"&lt;0")-SUMIFS('Daftar Koreksi'!$I$5:$I$92,'Daftar Koreksi'!$D$5:$D$92,'0900'!A312,'Daftar Koreksi'!$G$5:$G$92,"Jalan Irigasi Jaringan",'Daftar Koreksi'!$I$5:$I$92,"&lt;0")-SUMIFS('Daftar Koreksi'!$I$5:$I$92,'Daftar Koreksi'!$D$5:$D$92,'0900'!A312,'Daftar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Koreksi'!$D$5:$D$92,'0900'!A312,'Daftar Koreksi'!$G$5:$G$92,"Aset Tetap Lainnya",'Daftar Koreksi'!$I$5:$I$92,"&gt;0")</f>
        <v>0</v>
      </c>
      <c r="F328" s="25">
        <f>SUMIFS('Daftar Koreksi'!$I$5:$I$92,'Daftar Koreksi'!$D$5:$D$92,'0900'!A312,'Daftar Koreksi'!$G$5:$G$92,"Aset Tetap Lainnya",'Daftar Koreksi'!$I$5:$I$92,"&lt;0")-SUMIFS('Daftar Koreksi'!$I$5:$I$92,'Daftar Koreksi'!$D$5:$D$92,'0900'!A312,'Daftar Koreksi'!$G$5:$G$92,"Aset Tetap Lainnya",'Daftar Koreksi'!$I$5:$I$92,"&lt;0")-SUMIFS('Daftar Koreksi'!$I$5:$I$92,'Daftar Koreksi'!$D$5:$D$92,'0900'!A312,'Daftar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-24138000</v>
      </c>
      <c r="E329" s="25">
        <f>SUMIFS('Daftar Koreksi'!$I$5:$I$92,'Daftar Koreksi'!$D$5:$D$92,'0900'!A312,'Daftar Koreksi'!$G$5:$G$92,"Aset Henti Guna",'Daftar Koreksi'!$I$5:$I$92,"&gt;0")</f>
        <v>0</v>
      </c>
      <c r="F329" s="25">
        <f>SUMIFS('Daftar Koreksi'!$I$5:$I$92,'Daftar Koreksi'!$D$5:$D$92,'0900'!A312,'Daftar Koreksi'!$G$5:$G$92,"Aset Henti Guna",'Daftar Koreksi'!$I$5:$I$92,"&lt;0")-SUMIFS('Daftar Koreksi'!$I$5:$I$92,'Daftar Koreksi'!$D$5:$D$92,'0900'!A312,'Daftar Koreksi'!$G$5:$G$92,"Aset Henti Guna",'Daftar Koreksi'!$I$5:$I$92,"&lt;0")-SUMIFS('Daftar Koreksi'!$I$5:$I$92,'Daftar Koreksi'!$D$5:$D$92,'0900'!A312,'Daftar Koreksi'!$G$5:$G$92,"Aset Henti Guna",'Daftar Koreksi'!$I$5:$I$92,"&lt;0")</f>
        <v>0</v>
      </c>
      <c r="G329" s="17">
        <f t="shared" si="14"/>
        <v>-24138000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-1066666936</v>
      </c>
      <c r="E330" s="19">
        <f>SUM(E325:E329)</f>
        <v>0</v>
      </c>
      <c r="F330" s="19">
        <f>SUM(F325:F329)</f>
        <v>0</v>
      </c>
      <c r="G330" s="19">
        <f t="shared" si="14"/>
        <v>-1066666936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2455818767</v>
      </c>
      <c r="E331" s="19">
        <f>E330+E324</f>
        <v>0</v>
      </c>
      <c r="F331" s="19">
        <f>F330+F324</f>
        <v>0</v>
      </c>
      <c r="G331" s="19">
        <f t="shared" si="14"/>
        <v>2455818767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005010900402970000KD</v>
      </c>
      <c r="B334" s="11" t="str">
        <f>P16</f>
        <v>PTA. Pekanbaru</v>
      </c>
      <c r="C334" s="12" t="str">
        <f>A334&amp;" "&amp;B334</f>
        <v>005010900402970000KD PTA. Pekanbaru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16940770</v>
      </c>
      <c r="E337" s="25">
        <f>SUMIFS('Daftar Koreksi'!$H$5:$H$92,'Daftar Koreksi'!$D$5:$D$92,'0900'!A334,'Daftar Koreksi'!$G$5:$G$92,"Persediaan",'Daftar Koreksi'!$H$5:$H$92,"&gt;0")</f>
        <v>0</v>
      </c>
      <c r="F337" s="25">
        <f>SUMIFS('Daftar Koreksi'!$H$5:$H$92,'Daftar Koreksi'!$D$5:$D$92,'0900'!A334,'Daftar Koreksi'!$G$5:$G$92,"Persediaan",'Daftar Koreksi'!$H$5:$H$92,"&lt;0")-SUMIFS('Daftar Koreksi'!$H$5:$H$92,'Daftar Koreksi'!$D$5:$D$92,'0900'!A334,'Daftar Koreksi'!$G$5:$G$92,"Persediaan",'Daftar Koreksi'!$H$5:$H$92,"&lt;0")-SUMIFS('Daftar Koreksi'!$H$5:$H$92,'Daftar Koreksi'!$D$5:$D$92,'0900'!A334,'Daftar Koreksi'!$G$5:$G$92,"Persediaan",'Daftar Koreksi'!$H$5:$H$92,"&lt;0")</f>
        <v>0</v>
      </c>
      <c r="G337" s="17">
        <f>D337+E337-F337</f>
        <v>16940770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15326663750</v>
      </c>
      <c r="E338" s="25">
        <f>SUMIFS('Daftar Koreksi'!$H$5:$H$92,'Daftar Koreksi'!$D$5:$D$92,'0900'!A334,'Daftar Koreksi'!$G$5:$G$92,"Tanah",'Daftar Koreksi'!$H$5:$H$92,"&gt;0")</f>
        <v>0</v>
      </c>
      <c r="F338" s="25">
        <f>SUMIFS('Daftar Koreksi'!$H$5:$H$92,'Daftar Koreksi'!$D$5:$D$92,'0900'!A334,'Daftar Koreksi'!$G$5:$G$92,"Tanah",'Daftar Koreksi'!$H$5:$H$92,"&lt;0")-SUMIFS('Daftar Koreksi'!$H$5:$H$92,'Daftar Koreksi'!$D$5:$D$92,'0900'!A334,'Daftar Koreksi'!$G$5:$G$92,"Tanah",'Daftar Koreksi'!$H$5:$H$92,"&lt;0")-SUMIFS('Daftar Koreksi'!$H$5:$H$92,'Daftar Koreksi'!$D$5:$D$92,'0900'!A334,'Daftar Koreksi'!$G$5:$G$92,"Tanah",'Daftar Koreksi'!$H$5:$H$92,"&lt;0")</f>
        <v>0</v>
      </c>
      <c r="G338" s="17">
        <f t="shared" ref="G338:G354" si="15">D338+E338-F338</f>
        <v>15326663750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3995816541</v>
      </c>
      <c r="E339" s="25">
        <f>SUMIFS('Daftar Koreksi'!$H$5:$H$92,'Daftar Koreksi'!$D$5:$D$92,'0900'!A334,'Daftar Koreksi'!$G$5:$G$92,"Peralatan dan mesin",'Daftar Koreksi'!$H$5:$H$92,"&gt;0")</f>
        <v>0</v>
      </c>
      <c r="F339" s="25">
        <f>SUMIFS('Daftar Koreksi'!$H$5:$H$92,'Daftar Koreksi'!$D$5:$D$92,'0900'!A334,'Daftar Koreksi'!$G$5:$G$92,"Peralatan dan mesin",'Daftar Koreksi'!$H$5:$H$92,"&lt;0")-SUMIFS('Daftar Koreksi'!$H$5:$H$92,'Daftar Koreksi'!$D$5:$D$92,'0900'!A334,'Daftar Koreksi'!$G$5:$G$92,"Peralatan dan mesin",'Daftar Koreksi'!$H$5:$H$92,"&lt;0")-SUMIFS('Daftar Koreksi'!$H$5:$H$92,'Daftar Koreksi'!$D$5:$D$92,'0900'!A334,'Daftar Koreksi'!$G$5:$G$92,"Peralatan dan mesin",'Daftar Koreksi'!$H$5:$H$92,"&lt;0")</f>
        <v>0</v>
      </c>
      <c r="G339" s="17">
        <f t="shared" si="15"/>
        <v>3995816541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10822842400</v>
      </c>
      <c r="E340" s="25">
        <f>SUMIFS('Daftar Koreksi'!$H$5:$H$92,'Daftar Koreksi'!$D$5:$D$92,'0900'!A334,'Daftar Koreksi'!$G$5:$G$92,"Gedung dan Bangunan",'Daftar Koreksi'!$H$5:$H$92,"&gt;0")</f>
        <v>0</v>
      </c>
      <c r="F340" s="25">
        <f>SUMIFS('Daftar Koreksi'!$H$5:$H$92,'Daftar Koreksi'!$D$5:$D$92,'0900'!A334,'Daftar Koreksi'!$G$5:$G$92,"Gedung dan Bangunan",'Daftar Koreksi'!$H$5:$H$92,"&lt;0")-SUMIFS('Daftar Koreksi'!$H$5:$H$92,'Daftar Koreksi'!$D$5:$D$92,'0900'!A334,'Daftar Koreksi'!$G$5:$G$92,"Gedung dan Bangunan",'Daftar Koreksi'!$H$5:$H$92,"&lt;0")-SUMIFS('Daftar Koreksi'!$H$5:$H$92,'Daftar Koreksi'!$D$5:$D$92,'0900'!A334,'Daftar Koreksi'!$G$5:$G$92,"Gedung dan Bangunan",'Daftar Koreksi'!$H$5:$H$92,"&lt;0")</f>
        <v>0</v>
      </c>
      <c r="G340" s="17">
        <f t="shared" si="15"/>
        <v>10822842400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251285800</v>
      </c>
      <c r="E341" s="25">
        <f>SUMIFS('Daftar Koreksi'!$H$5:$H$92,'Daftar Koreksi'!$D$5:$D$92,'0900'!A334,'Daftar Koreksi'!$G$5:$G$92,"Jalan Irigasi Jaringan",'Daftar Koreksi'!$H$5:$H$92,"&gt;0")</f>
        <v>0</v>
      </c>
      <c r="F341" s="25">
        <f>SUMIFS('Daftar Koreksi'!$H$5:$H$92,'Daftar Koreksi'!$D$5:$D$92,'0900'!A334,'Daftar Koreksi'!$G$5:$G$92,"Jalan Irigasi Jaringan",'Daftar Koreksi'!$H$5:$H$92,"&lt;0")-SUMIFS('Daftar Koreksi'!$H$5:$H$92,'Daftar Koreksi'!$D$5:$D$92,'0900'!A334,'Daftar Koreksi'!$G$5:$G$92,"Jalan Irigasi Jaringan",'Daftar Koreksi'!$H$5:$H$92,"&lt;0")-SUMIFS('Daftar Koreksi'!$H$5:$H$92,'Daftar Koreksi'!$D$5:$D$92,'0900'!A334,'Daftar Koreksi'!$G$5:$G$92,"Jalan Irigasi Jaringan",'Daftar Koreksi'!$H$5:$H$92,"&lt;0")</f>
        <v>0</v>
      </c>
      <c r="G341" s="17">
        <f t="shared" si="15"/>
        <v>251285800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46140740</v>
      </c>
      <c r="E342" s="25">
        <f>SUMIFS('Daftar Koreksi'!$H$5:$H$92,'Daftar Koreksi'!$D$5:$D$92,'0900'!A334,'Daftar Koreksi'!$G$5:$G$92,"Aset Tetap Lainnya",'Daftar Koreksi'!$H$5:$H$92,"&gt;0")</f>
        <v>0</v>
      </c>
      <c r="F342" s="25">
        <f>SUMIFS('Daftar Koreksi'!$H$5:$H$92,'Daftar Koreksi'!$D$5:$D$92,'0900'!A334,'Daftar Koreksi'!$G$5:$G$92,"Aset Tetap Lainnya",'Daftar Koreksi'!$H$5:$H$92,"&lt;0")-SUMIFS('Daftar Koreksi'!$H$5:$H$92,'Daftar Koreksi'!$D$5:$D$92,'0900'!A334,'Daftar Koreksi'!$G$5:$G$92,"Aset Tetap Lainnya",'Daftar Koreksi'!$H$5:$H$92,"&lt;0")-SUMIFS('Daftar Koreksi'!$H$5:$H$92,'Daftar Koreksi'!$D$5:$D$92,'0900'!A334,'Daftar Koreksi'!$G$5:$G$92,"Aset Tetap Lainnya",'Daftar Koreksi'!$H$5:$H$92,"&lt;0")</f>
        <v>0</v>
      </c>
      <c r="G342" s="17">
        <f t="shared" si="15"/>
        <v>46140740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Koreksi'!$D$5:$D$92,'0900'!A334,'Daftar Koreksi'!$G$5:$G$92,"Kontruksi Dalam Pengerjaan",'Daftar Koreksi'!$H$5:$H$92,"&gt;0")</f>
        <v>0</v>
      </c>
      <c r="F343" s="25">
        <f>SUMIFS('Daftar Koreksi'!$H$5:$H$92,'Daftar Koreksi'!$D$5:$D$92,'0900'!A334,'Daftar Koreksi'!$G$5:$G$92,"Kontruksi Dalam Pengerjaan",'Daftar Koreksi'!$H$5:$H$92,"&lt;0")-SUMIFS('Daftar Koreksi'!$H$5:$H$92,'Daftar Koreksi'!$D$5:$D$92,'0900'!A334,'Daftar Koreksi'!$G$5:$G$92,"Kontruksi Dalam Pengerjaan",'Daftar Koreksi'!$H$5:$H$92,"&lt;0")-SUMIFS('Daftar Koreksi'!$H$5:$H$92,'Daftar Koreksi'!$D$5:$D$92,'0900'!A334,'Daftar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Koreksi'!$D$5:$D$92,'0900'!A334,'Daftar Koreksi'!$G$5:$G$92,"Aset Tak Berwujud",'Daftar Koreksi'!$H$5:$H$92,"&gt;0")</f>
        <v>0</v>
      </c>
      <c r="F344" s="25">
        <f>SUMIFS('Daftar Koreksi'!$H$5:$H$92,'Daftar Koreksi'!$D$5:$D$92,'0900'!A334,'Daftar Koreksi'!$G$5:$G$92,"Aset Tak Berwujud",'Daftar Koreksi'!$H$5:$H$92,"&lt;0")-SUMIFS('Daftar Koreksi'!$H$5:$H$92,'Daftar Koreksi'!$D$5:$D$92,'0900'!A334,'Daftar Koreksi'!$G$5:$G$92,"Aset Tak Berwujud",'Daftar Koreksi'!$H$5:$H$92,"&lt;0")-SUMIFS('Daftar Koreksi'!$H$5:$H$92,'Daftar Koreksi'!$D$5:$D$92,'0900'!A334,'Daftar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85213000</v>
      </c>
      <c r="E345" s="25">
        <f>SUMIFS('Daftar Koreksi'!$H$5:$H$92,'Daftar Koreksi'!$D$5:$D$92,'0900'!A334,'Daftar Koreksi'!$G$5:$G$92,"Aset Henti Guna",'Daftar Koreksi'!$H$5:$H$92,"&gt;0")</f>
        <v>0</v>
      </c>
      <c r="F345" s="25">
        <f>SUMIFS('Daftar Koreksi'!$H$5:$H$92,'Daftar Koreksi'!$D$5:$D$92,'0900'!A334,'Daftar Koreksi'!$G$5:$G$92,"Aset Henti Guna",'Daftar Koreksi'!$H$5:$H$92,"&lt;0")-SUMIFS('Daftar Koreksi'!$H$5:$H$92,'Daftar Koreksi'!$D$5:$D$92,'0900'!A334,'Daftar Koreksi'!$G$5:$G$92,"Aset Henti Guna",'Daftar Koreksi'!$H$5:$H$92,"&lt;0")-SUMIFS('Daftar Koreksi'!$H$5:$H$92,'Daftar Koreksi'!$D$5:$D$92,'0900'!A334,'Daftar Koreksi'!$G$5:$G$92,"Aset Henti Guna",'Daftar Koreksi'!$H$5:$H$92,"&lt;0")</f>
        <v>0</v>
      </c>
      <c r="G345" s="17">
        <f t="shared" si="15"/>
        <v>85213000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30544903001</v>
      </c>
      <c r="E346" s="19">
        <f>SUM(E337:E345)</f>
        <v>0</v>
      </c>
      <c r="F346" s="19">
        <f>SUM(F337:F345)</f>
        <v>0</v>
      </c>
      <c r="G346" s="19">
        <f t="shared" si="15"/>
        <v>30544903001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-3440742636</v>
      </c>
      <c r="E347" s="25">
        <f>SUMIFS('Daftar Koreksi'!$I$5:$I$92,'Daftar Koreksi'!$D$5:$D$92,'0900'!A334,'Daftar Koreksi'!$G$5:$G$92,"Peralatan dan mesin",'Daftar Koreksi'!$I$5:$I$92,"&gt;0")</f>
        <v>0</v>
      </c>
      <c r="F347" s="25">
        <f>SUMIFS('Daftar Koreksi'!$I$5:$I$92,'Daftar Koreksi'!$D$5:$D$92,'0900'!A334,'Daftar Koreksi'!$G$5:$G$92,"Peralatan dan mesin",'Daftar Koreksi'!$I$5:$I$92,"&lt;0")-SUMIFS('Daftar Koreksi'!$I$5:$I$92,'Daftar Koreksi'!$D$5:$D$92,'0900'!A334,'Daftar Koreksi'!$G$5:$G$92,"Peralatan dan mesin",'Daftar Koreksi'!$I$5:$I$92,"&lt;0")-SUMIFS('Daftar Koreksi'!$I$5:$I$92,'Daftar Koreksi'!$D$5:$D$92,'0900'!A334,'Daftar Koreksi'!$G$5:$G$92,"Peralatan dan mesin",'Daftar Koreksi'!$I$5:$I$92,"&lt;0")</f>
        <v>0</v>
      </c>
      <c r="G347" s="17">
        <f t="shared" si="15"/>
        <v>-3440742636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-1740539474</v>
      </c>
      <c r="E348" s="25">
        <f>SUMIFS('Daftar Koreksi'!$I$5:$I$92,'Daftar Koreksi'!$D$5:$D$92,'0900'!A334,'Daftar Koreksi'!$G$5:$G$92,"Gedung dan Bangunan",'Daftar Koreksi'!$I$5:$I$92,"&gt;0")</f>
        <v>0</v>
      </c>
      <c r="F348" s="25">
        <f>SUMIFS('Daftar Koreksi'!$I$5:$I$92,'Daftar Koreksi'!$D$5:$D$92,'0900'!A334,'Daftar Koreksi'!$G$5:$G$92,"Gedung dan Bangunan",'Daftar Koreksi'!$I$5:$I$92,"&lt;0")-SUMIFS('Daftar Koreksi'!$I$5:$I$92,'Daftar Koreksi'!$D$5:$D$92,'0900'!A334,'Daftar Koreksi'!$G$5:$G$92,"Gedung dan Bangunan",'Daftar Koreksi'!$I$5:$I$92,"&lt;0")-SUMIFS('Daftar Koreksi'!$I$5:$I$92,'Daftar Koreksi'!$D$5:$D$92,'0900'!A334,'Daftar Koreksi'!$G$5:$G$92,"Gedung dan Bangunan",'Daftar Koreksi'!$I$5:$I$92,"&lt;0")</f>
        <v>0</v>
      </c>
      <c r="G348" s="17">
        <f t="shared" si="15"/>
        <v>-1740539474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-32667154</v>
      </c>
      <c r="E349" s="25">
        <f>SUMIFS('Daftar Koreksi'!$I$5:$I$92,'Daftar Koreksi'!$D$5:$D$92,'0900'!A334,'Daftar Koreksi'!$G$5:$G$92,"Jalan Irigasi Jaringan",'Daftar Koreksi'!$I$5:$I$92,"&gt;0")</f>
        <v>0</v>
      </c>
      <c r="F349" s="25">
        <f>SUMIFS('Daftar Koreksi'!$I$5:$I$92,'Daftar Koreksi'!$D$5:$D$92,'0900'!A334,'Daftar Koreksi'!$G$5:$G$92,"Jalan Irigasi Jaringan",'Daftar Koreksi'!$I$5:$I$92,"&lt;0")-SUMIFS('Daftar Koreksi'!$I$5:$I$92,'Daftar Koreksi'!$D$5:$D$92,'0900'!A334,'Daftar Koreksi'!$G$5:$G$92,"Jalan Irigasi Jaringan",'Daftar Koreksi'!$I$5:$I$92,"&lt;0")-SUMIFS('Daftar Koreksi'!$I$5:$I$92,'Daftar Koreksi'!$D$5:$D$92,'0900'!A334,'Daftar Koreksi'!$G$5:$G$92,"Jalan Irigasi Jaringan",'Daftar Koreksi'!$I$5:$I$92,"&lt;0")</f>
        <v>0</v>
      </c>
      <c r="G349" s="17">
        <f t="shared" si="15"/>
        <v>-32667154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-19800000</v>
      </c>
      <c r="E350" s="25">
        <f>SUMIFS('Daftar Koreksi'!$I$5:$I$92,'Daftar Koreksi'!$D$5:$D$92,'0900'!A334,'Daftar Koreksi'!$G$5:$G$92,"Aset Tetap Lainnya",'Daftar Koreksi'!$I$5:$I$92,"&gt;0")</f>
        <v>0</v>
      </c>
      <c r="F350" s="25">
        <f>SUMIFS('Daftar Koreksi'!$I$5:$I$92,'Daftar Koreksi'!$D$5:$D$92,'0900'!A334,'Daftar Koreksi'!$G$5:$G$92,"Aset Tetap Lainnya",'Daftar Koreksi'!$I$5:$I$92,"&lt;0")-SUMIFS('Daftar Koreksi'!$I$5:$I$92,'Daftar Koreksi'!$D$5:$D$92,'0900'!A334,'Daftar Koreksi'!$G$5:$G$92,"Aset Tetap Lainnya",'Daftar Koreksi'!$I$5:$I$92,"&lt;0")-SUMIFS('Daftar Koreksi'!$I$5:$I$92,'Daftar Koreksi'!$D$5:$D$92,'0900'!A334,'Daftar Koreksi'!$G$5:$G$92,"Aset Tetap Lainnya",'Daftar Koreksi'!$I$5:$I$92,"&lt;0")</f>
        <v>0</v>
      </c>
      <c r="G350" s="17">
        <f t="shared" si="15"/>
        <v>-19800000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-85213000</v>
      </c>
      <c r="E351" s="25">
        <f>SUMIFS('Daftar Koreksi'!$I$5:$I$92,'Daftar Koreksi'!$D$5:$D$92,'0900'!A334,'Daftar Koreksi'!$G$5:$G$92,"Aset Henti Guna",'Daftar Koreksi'!$I$5:$I$92,"&gt;0")</f>
        <v>0</v>
      </c>
      <c r="F351" s="25">
        <f>SUMIFS('Daftar Koreksi'!$I$5:$I$92,'Daftar Koreksi'!$D$5:$D$92,'0900'!A334,'Daftar Koreksi'!$G$5:$G$92,"Aset Henti Guna",'Daftar Koreksi'!$I$5:$I$92,"&lt;0")-SUMIFS('Daftar Koreksi'!$I$5:$I$92,'Daftar Koreksi'!$D$5:$D$92,'0900'!A334,'Daftar Koreksi'!$G$5:$G$92,"Aset Henti Guna",'Daftar Koreksi'!$I$5:$I$92,"&lt;0")-SUMIFS('Daftar Koreksi'!$I$5:$I$92,'Daftar Koreksi'!$D$5:$D$92,'0900'!A334,'Daftar Koreksi'!$G$5:$G$92,"Aset Henti Guna",'Daftar Koreksi'!$I$5:$I$92,"&lt;0")</f>
        <v>0</v>
      </c>
      <c r="G351" s="17">
        <f t="shared" si="15"/>
        <v>-85213000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-5318962264</v>
      </c>
      <c r="E352" s="19">
        <f>SUM(E347:E351)</f>
        <v>0</v>
      </c>
      <c r="F352" s="19">
        <f>SUM(F347:F351)</f>
        <v>0</v>
      </c>
      <c r="G352" s="19">
        <f t="shared" si="15"/>
        <v>-5318962264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25225940737</v>
      </c>
      <c r="E353" s="19">
        <f>E352+E346</f>
        <v>0</v>
      </c>
      <c r="F353" s="19">
        <f>F352+F346</f>
        <v>0</v>
      </c>
      <c r="G353" s="19">
        <f t="shared" si="15"/>
        <v>25225940737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005010900477255000KD</v>
      </c>
      <c r="B356" s="11" t="str">
        <f>P17</f>
        <v>PN. Pelalawan</v>
      </c>
      <c r="C356" s="12" t="str">
        <f>A356&amp;" "&amp;B356</f>
        <v>005010900477255000KD PN. Pelalawan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100200</v>
      </c>
      <c r="E359" s="25">
        <f>SUMIFS('Daftar Koreksi'!$H$5:$H$92,'Daftar Koreksi'!$D$5:$D$92,'0900'!A356,'Daftar Koreksi'!$G$5:$G$92,"Persediaan",'Daftar Koreksi'!$H$5:$H$92,"&gt;0")</f>
        <v>0</v>
      </c>
      <c r="F359" s="25">
        <f>SUMIFS('Daftar Koreksi'!$H$5:$H$92,'Daftar Koreksi'!$D$5:$D$92,'0900'!A356,'Daftar Koreksi'!$G$5:$G$92,"Persediaan",'Daftar Koreksi'!$H$5:$H$92,"&lt;0")-SUMIFS('Daftar Koreksi'!$H$5:$H$92,'Daftar Koreksi'!$D$5:$D$92,'0900'!A356,'Daftar Koreksi'!$G$5:$G$92,"Persediaan",'Daftar Koreksi'!$H$5:$H$92,"&lt;0")-SUMIFS('Daftar Koreksi'!$H$5:$H$92,'Daftar Koreksi'!$D$5:$D$92,'0900'!A356,'Daftar Koreksi'!$G$5:$G$92,"Persediaan",'Daftar Koreksi'!$H$5:$H$92,"&lt;0")</f>
        <v>0</v>
      </c>
      <c r="G359" s="17">
        <f>D359+E359-F359</f>
        <v>100200</v>
      </c>
      <c r="H359" s="121" t="str">
        <f>IF(ISNA(VLOOKUP(A356,'Mutasi Neraca'!$A$3:$S$914,19,FALSE)),"-",VLOOKUP(A356,'Mutasi Neraca'!$A$3:$S$914,19,FALSE))</f>
        <v>TP Koreksi Hibah No. 14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0</v>
      </c>
      <c r="E360" s="25">
        <f>SUMIFS('Daftar Koreksi'!$H$5:$H$92,'Daftar Koreksi'!$D$5:$D$92,'0900'!A356,'Daftar Koreksi'!$G$5:$G$92,"Tanah",'Daftar Koreksi'!$H$5:$H$92,"&gt;0")</f>
        <v>815000000</v>
      </c>
      <c r="F360" s="25">
        <f>SUMIFS('Daftar Koreksi'!$H$5:$H$92,'Daftar Koreksi'!$D$5:$D$92,'0900'!A356,'Daftar Koreksi'!$G$5:$G$92,"Tanah",'Daftar Koreksi'!$H$5:$H$92,"&lt;0")-SUMIFS('Daftar Koreksi'!$H$5:$H$92,'Daftar Koreksi'!$D$5:$D$92,'0900'!A356,'Daftar Koreksi'!$G$5:$G$92,"Tanah",'Daftar Koreksi'!$H$5:$H$92,"&lt;0")-SUMIFS('Daftar Koreksi'!$H$5:$H$92,'Daftar Koreksi'!$D$5:$D$92,'0900'!A356,'Daftar Koreksi'!$G$5:$G$92,"Tanah",'Daftar Koreksi'!$H$5:$H$92,"&lt;0")</f>
        <v>0</v>
      </c>
      <c r="G360" s="17">
        <f t="shared" ref="G360:G376" si="16">D360+E360-F360</f>
        <v>815000000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3249768271</v>
      </c>
      <c r="E361" s="25">
        <f>SUMIFS('Daftar Koreksi'!$H$5:$H$92,'Daftar Koreksi'!$D$5:$D$92,'0900'!A356,'Daftar Koreksi'!$G$5:$G$92,"Peralatan dan mesin",'Daftar Koreksi'!$H$5:$H$92,"&gt;0")</f>
        <v>0</v>
      </c>
      <c r="F361" s="25">
        <f>SUMIFS('Daftar Koreksi'!$H$5:$H$92,'Daftar Koreksi'!$D$5:$D$92,'0900'!A356,'Daftar Koreksi'!$G$5:$G$92,"Peralatan dan mesin",'Daftar Koreksi'!$H$5:$H$92,"&lt;0")-SUMIFS('Daftar Koreksi'!$H$5:$H$92,'Daftar Koreksi'!$D$5:$D$92,'0900'!A356,'Daftar Koreksi'!$G$5:$G$92,"Peralatan dan mesin",'Daftar Koreksi'!$H$5:$H$92,"&lt;0")-SUMIFS('Daftar Koreksi'!$H$5:$H$92,'Daftar Koreksi'!$D$5:$D$92,'0900'!A356,'Daftar Koreksi'!$G$5:$G$92,"Peralatan dan mesin",'Daftar Koreksi'!$H$5:$H$92,"&lt;0")</f>
        <v>0</v>
      </c>
      <c r="G361" s="17">
        <f t="shared" si="16"/>
        <v>3249768271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7883578834</v>
      </c>
      <c r="E362" s="25">
        <f>SUMIFS('Daftar Koreksi'!$H$5:$H$92,'Daftar Koreksi'!$D$5:$D$92,'0900'!A356,'Daftar Koreksi'!$G$5:$G$92,"Gedung dan Bangunan",'Daftar Koreksi'!$H$5:$H$92,"&gt;0")</f>
        <v>0</v>
      </c>
      <c r="F362" s="25">
        <f>SUMIFS('Daftar Koreksi'!$H$5:$H$92,'Daftar Koreksi'!$D$5:$D$92,'0900'!A356,'Daftar Koreksi'!$G$5:$G$92,"Gedung dan Bangunan",'Daftar Koreksi'!$H$5:$H$92,"&lt;0")-SUMIFS('Daftar Koreksi'!$H$5:$H$92,'Daftar Koreksi'!$D$5:$D$92,'0900'!A356,'Daftar Koreksi'!$G$5:$G$92,"Gedung dan Bangunan",'Daftar Koreksi'!$H$5:$H$92,"&lt;0")-SUMIFS('Daftar Koreksi'!$H$5:$H$92,'Daftar Koreksi'!$D$5:$D$92,'0900'!A356,'Daftar Koreksi'!$G$5:$G$92,"Gedung dan Bangunan",'Daftar Koreksi'!$H$5:$H$92,"&lt;0")</f>
        <v>0</v>
      </c>
      <c r="G362" s="17">
        <f t="shared" si="16"/>
        <v>7883578834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Koreksi'!$D$5:$D$92,'0900'!A356,'Daftar Koreksi'!$G$5:$G$92,"Jalan Irigasi Jaringan",'Daftar Koreksi'!$H$5:$H$92,"&gt;0")</f>
        <v>0</v>
      </c>
      <c r="F363" s="25">
        <f>SUMIFS('Daftar Koreksi'!$H$5:$H$92,'Daftar Koreksi'!$D$5:$D$92,'0900'!A356,'Daftar Koreksi'!$G$5:$G$92,"Jalan Irigasi Jaringan",'Daftar Koreksi'!$H$5:$H$92,"&lt;0")-SUMIFS('Daftar Koreksi'!$H$5:$H$92,'Daftar Koreksi'!$D$5:$D$92,'0900'!A356,'Daftar Koreksi'!$G$5:$G$92,"Jalan Irigasi Jaringan",'Daftar Koreksi'!$H$5:$H$92,"&lt;0")-SUMIFS('Daftar Koreksi'!$H$5:$H$92,'Daftar Koreksi'!$D$5:$D$92,'0900'!A356,'Daftar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63303440</v>
      </c>
      <c r="E364" s="25">
        <f>SUMIFS('Daftar Koreksi'!$H$5:$H$92,'Daftar Koreksi'!$D$5:$D$92,'0900'!A356,'Daftar Koreksi'!$G$5:$G$92,"Aset Tetap Lainnya",'Daftar Koreksi'!$H$5:$H$92,"&gt;0")</f>
        <v>0</v>
      </c>
      <c r="F364" s="25">
        <f>SUMIFS('Daftar Koreksi'!$H$5:$H$92,'Daftar Koreksi'!$D$5:$D$92,'0900'!A356,'Daftar Koreksi'!$G$5:$G$92,"Aset Tetap Lainnya",'Daftar Koreksi'!$H$5:$H$92,"&lt;0")-SUMIFS('Daftar Koreksi'!$H$5:$H$92,'Daftar Koreksi'!$D$5:$D$92,'0900'!A356,'Daftar Koreksi'!$G$5:$G$92,"Aset Tetap Lainnya",'Daftar Koreksi'!$H$5:$H$92,"&lt;0")-SUMIFS('Daftar Koreksi'!$H$5:$H$92,'Daftar Koreksi'!$D$5:$D$92,'0900'!A356,'Daftar Koreksi'!$G$5:$G$92,"Aset Tetap Lainnya",'Daftar Koreksi'!$H$5:$H$92,"&lt;0")</f>
        <v>0</v>
      </c>
      <c r="G364" s="17">
        <f t="shared" si="16"/>
        <v>63303440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Koreksi'!$D$5:$D$92,'0900'!A356,'Daftar Koreksi'!$G$5:$G$92,"Kontruksi Dalam Pengerjaan",'Daftar Koreksi'!$H$5:$H$92,"&gt;0")</f>
        <v>0</v>
      </c>
      <c r="F365" s="25">
        <f>SUMIFS('Daftar Koreksi'!$H$5:$H$92,'Daftar Koreksi'!$D$5:$D$92,'0900'!A356,'Daftar Koreksi'!$G$5:$G$92,"Kontruksi Dalam Pengerjaan",'Daftar Koreksi'!$H$5:$H$92,"&lt;0")-SUMIFS('Daftar Koreksi'!$H$5:$H$92,'Daftar Koreksi'!$D$5:$D$92,'0900'!A356,'Daftar Koreksi'!$G$5:$G$92,"Kontruksi Dalam Pengerjaan",'Daftar Koreksi'!$H$5:$H$92,"&lt;0")-SUMIFS('Daftar Koreksi'!$H$5:$H$92,'Daftar Koreksi'!$D$5:$D$92,'0900'!A356,'Daftar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Koreksi'!$D$5:$D$92,'0900'!A356,'Daftar Koreksi'!$G$5:$G$92,"Aset Tak Berwujud",'Daftar Koreksi'!$H$5:$H$92,"&gt;0")</f>
        <v>0</v>
      </c>
      <c r="F366" s="25">
        <f>SUMIFS('Daftar Koreksi'!$H$5:$H$92,'Daftar Koreksi'!$D$5:$D$92,'0900'!A356,'Daftar Koreksi'!$G$5:$G$92,"Aset Tak Berwujud",'Daftar Koreksi'!$H$5:$H$92,"&lt;0")-SUMIFS('Daftar Koreksi'!$H$5:$H$92,'Daftar Koreksi'!$D$5:$D$92,'0900'!A356,'Daftar Koreksi'!$G$5:$G$92,"Aset Tak Berwujud",'Daftar Koreksi'!$H$5:$H$92,"&lt;0")-SUMIFS('Daftar Koreksi'!$H$5:$H$92,'Daftar Koreksi'!$D$5:$D$92,'0900'!A356,'Daftar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14570000</v>
      </c>
      <c r="E367" s="25">
        <f>SUMIFS('Daftar Koreksi'!$H$5:$H$92,'Daftar Koreksi'!$D$5:$D$92,'0900'!A356,'Daftar Koreksi'!$G$5:$G$92,"Aset Henti Guna",'Daftar Koreksi'!$H$5:$H$92,"&gt;0")</f>
        <v>0</v>
      </c>
      <c r="F367" s="25">
        <f>SUMIFS('Daftar Koreksi'!$H$5:$H$92,'Daftar Koreksi'!$D$5:$D$92,'0900'!A356,'Daftar Koreksi'!$G$5:$G$92,"Aset Henti Guna",'Daftar Koreksi'!$H$5:$H$92,"&lt;0")-SUMIFS('Daftar Koreksi'!$H$5:$H$92,'Daftar Koreksi'!$D$5:$D$92,'0900'!A356,'Daftar Koreksi'!$G$5:$G$92,"Aset Henti Guna",'Daftar Koreksi'!$H$5:$H$92,"&lt;0")-SUMIFS('Daftar Koreksi'!$H$5:$H$92,'Daftar Koreksi'!$D$5:$D$92,'0900'!A356,'Daftar Koreksi'!$G$5:$G$92,"Aset Henti Guna",'Daftar Koreksi'!$H$5:$H$92,"&lt;0")</f>
        <v>0</v>
      </c>
      <c r="G367" s="17">
        <f t="shared" si="16"/>
        <v>14570000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11211320745</v>
      </c>
      <c r="E368" s="19">
        <f>SUM(E359:E367)</f>
        <v>815000000</v>
      </c>
      <c r="F368" s="19">
        <f>SUM(F359:F367)</f>
        <v>0</v>
      </c>
      <c r="G368" s="19">
        <f t="shared" si="16"/>
        <v>12026320745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-3061869730</v>
      </c>
      <c r="E369" s="25">
        <f>SUMIFS('Daftar Koreksi'!$I$5:$I$92,'Daftar Koreksi'!$D$5:$D$92,'0900'!A356,'Daftar Koreksi'!$G$5:$G$92,"Peralatan dan mesin",'Daftar Koreksi'!$I$5:$I$92,"&gt;0")</f>
        <v>0</v>
      </c>
      <c r="F369" s="25">
        <f>SUMIFS('Daftar Koreksi'!$I$5:$I$92,'Daftar Koreksi'!$D$5:$D$92,'0900'!A356,'Daftar Koreksi'!$G$5:$G$92,"Peralatan dan mesin",'Daftar Koreksi'!$I$5:$I$92,"&lt;0")-SUMIFS('Daftar Koreksi'!$I$5:$I$92,'Daftar Koreksi'!$D$5:$D$92,'0900'!A356,'Daftar Koreksi'!$G$5:$G$92,"Peralatan dan mesin",'Daftar Koreksi'!$I$5:$I$92,"&lt;0")-SUMIFS('Daftar Koreksi'!$I$5:$I$92,'Daftar Koreksi'!$D$5:$D$92,'0900'!A356,'Daftar Koreksi'!$G$5:$G$92,"Peralatan dan mesin",'Daftar Koreksi'!$I$5:$I$92,"&lt;0")</f>
        <v>0</v>
      </c>
      <c r="G369" s="17">
        <f t="shared" si="16"/>
        <v>-3061869730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-1411254405</v>
      </c>
      <c r="E370" s="25">
        <f>SUMIFS('Daftar Koreksi'!$I$5:$I$92,'Daftar Koreksi'!$D$5:$D$92,'0900'!A356,'Daftar Koreksi'!$G$5:$G$92,"Gedung dan Bangunan",'Daftar Koreksi'!$I$5:$I$92,"&gt;0")</f>
        <v>0</v>
      </c>
      <c r="F370" s="25">
        <f>SUMIFS('Daftar Koreksi'!$I$5:$I$92,'Daftar Koreksi'!$D$5:$D$92,'0900'!A356,'Daftar Koreksi'!$G$5:$G$92,"Gedung dan Bangunan",'Daftar Koreksi'!$I$5:$I$92,"&lt;0")-SUMIFS('Daftar Koreksi'!$I$5:$I$92,'Daftar Koreksi'!$D$5:$D$92,'0900'!A356,'Daftar Koreksi'!$G$5:$G$92,"Gedung dan Bangunan",'Daftar Koreksi'!$I$5:$I$92,"&lt;0")-SUMIFS('Daftar Koreksi'!$I$5:$I$92,'Daftar Koreksi'!$D$5:$D$92,'0900'!A356,'Daftar Koreksi'!$G$5:$G$92,"Gedung dan Bangunan",'Daftar Koreksi'!$I$5:$I$92,"&lt;0")</f>
        <v>0</v>
      </c>
      <c r="G370" s="17">
        <f t="shared" si="16"/>
        <v>-1411254405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Koreksi'!$D$5:$D$92,'0900'!A356,'Daftar Koreksi'!$G$5:$G$92,"Jalan Irigasi Jaringan",'Daftar Koreksi'!$I$5:$I$92,"&gt;0")</f>
        <v>0</v>
      </c>
      <c r="F371" s="25">
        <f>SUMIFS('Daftar Koreksi'!$I$5:$I$92,'Daftar Koreksi'!$D$5:$D$92,'0900'!A356,'Daftar Koreksi'!$G$5:$G$92,"Jalan Irigasi Jaringan",'Daftar Koreksi'!$I$5:$I$92,"&lt;0")-SUMIFS('Daftar Koreksi'!$I$5:$I$92,'Daftar Koreksi'!$D$5:$D$92,'0900'!A356,'Daftar Koreksi'!$G$5:$G$92,"Jalan Irigasi Jaringan",'Daftar Koreksi'!$I$5:$I$92,"&lt;0")-SUMIFS('Daftar Koreksi'!$I$5:$I$92,'Daftar Koreksi'!$D$5:$D$92,'0900'!A356,'Daftar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Koreksi'!$D$5:$D$92,'0900'!A356,'Daftar Koreksi'!$G$5:$G$92,"Aset Tetap Lainnya",'Daftar Koreksi'!$I$5:$I$92,"&gt;0")</f>
        <v>0</v>
      </c>
      <c r="F372" s="25">
        <f>SUMIFS('Daftar Koreksi'!$I$5:$I$92,'Daftar Koreksi'!$D$5:$D$92,'0900'!A356,'Daftar Koreksi'!$G$5:$G$92,"Aset Tetap Lainnya",'Daftar Koreksi'!$I$5:$I$92,"&lt;0")-SUMIFS('Daftar Koreksi'!$I$5:$I$92,'Daftar Koreksi'!$D$5:$D$92,'0900'!A356,'Daftar Koreksi'!$G$5:$G$92,"Aset Tetap Lainnya",'Daftar Koreksi'!$I$5:$I$92,"&lt;0")-SUMIFS('Daftar Koreksi'!$I$5:$I$92,'Daftar Koreksi'!$D$5:$D$92,'0900'!A356,'Daftar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-14570000</v>
      </c>
      <c r="E373" s="25">
        <f>SUMIFS('Daftar Koreksi'!$I$5:$I$92,'Daftar Koreksi'!$D$5:$D$92,'0900'!A356,'Daftar Koreksi'!$G$5:$G$92,"Aset Henti Guna",'Daftar Koreksi'!$I$5:$I$92,"&gt;0")</f>
        <v>0</v>
      </c>
      <c r="F373" s="25">
        <f>SUMIFS('Daftar Koreksi'!$I$5:$I$92,'Daftar Koreksi'!$D$5:$D$92,'0900'!A356,'Daftar Koreksi'!$G$5:$G$92,"Aset Henti Guna",'Daftar Koreksi'!$I$5:$I$92,"&lt;0")-SUMIFS('Daftar Koreksi'!$I$5:$I$92,'Daftar Koreksi'!$D$5:$D$92,'0900'!A356,'Daftar Koreksi'!$G$5:$G$92,"Aset Henti Guna",'Daftar Koreksi'!$I$5:$I$92,"&lt;0")-SUMIFS('Daftar Koreksi'!$I$5:$I$92,'Daftar Koreksi'!$D$5:$D$92,'0900'!A356,'Daftar Koreksi'!$G$5:$G$92,"Aset Henti Guna",'Daftar Koreksi'!$I$5:$I$92,"&lt;0")</f>
        <v>0</v>
      </c>
      <c r="G373" s="17">
        <f t="shared" si="16"/>
        <v>-14570000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-4487694135</v>
      </c>
      <c r="E374" s="19">
        <f>SUM(E369:E373)</f>
        <v>0</v>
      </c>
      <c r="F374" s="19">
        <f>SUM(F369:F373)</f>
        <v>0</v>
      </c>
      <c r="G374" s="19">
        <f t="shared" si="16"/>
        <v>-4487694135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6723626610</v>
      </c>
      <c r="E375" s="19">
        <f>E374+E368</f>
        <v>815000000</v>
      </c>
      <c r="F375" s="19">
        <f>F374+F368</f>
        <v>0</v>
      </c>
      <c r="G375" s="19">
        <f t="shared" si="16"/>
        <v>7538626610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005010900477261000KD</v>
      </c>
      <c r="B378" s="11" t="str">
        <f>P18</f>
        <v>PN. Rokan Hilir</v>
      </c>
      <c r="C378" s="12" t="str">
        <f>A378&amp;" "&amp;B378</f>
        <v>005010900477261000KD PN. Rokan Hilir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279000</v>
      </c>
      <c r="E381" s="25">
        <f>SUMIFS('Daftar Koreksi'!$H$5:$H$92,'Daftar Koreksi'!$D$5:$D$92,'0900'!A378,'Daftar Koreksi'!$G$5:$G$92,"Persediaan",'Daftar Koreksi'!$H$5:$H$92,"&gt;0")</f>
        <v>0</v>
      </c>
      <c r="F381" s="25">
        <f>SUMIFS('Daftar Koreksi'!$H$5:$H$92,'Daftar Koreksi'!$D$5:$D$92,'0900'!A378,'Daftar Koreksi'!$G$5:$G$92,"Persediaan",'Daftar Koreksi'!$H$5:$H$92,"&lt;0")-SUMIFS('Daftar Koreksi'!$H$5:$H$92,'Daftar Koreksi'!$D$5:$D$92,'0900'!A378,'Daftar Koreksi'!$G$5:$G$92,"Persediaan",'Daftar Koreksi'!$H$5:$H$92,"&lt;0")-SUMIFS('Daftar Koreksi'!$H$5:$H$92,'Daftar Koreksi'!$D$5:$D$92,'0900'!A378,'Daftar Koreksi'!$G$5:$G$92,"Persediaan",'Daftar Koreksi'!$H$5:$H$92,"&lt;0")</f>
        <v>0</v>
      </c>
      <c r="G381" s="17">
        <f>D381+E381-F381</f>
        <v>279000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105995000</v>
      </c>
      <c r="E382" s="25">
        <f>SUMIFS('Daftar Koreksi'!$H$5:$H$92,'Daftar Koreksi'!$D$5:$D$92,'0900'!A378,'Daftar Koreksi'!$G$5:$G$92,"Tanah",'Daftar Koreksi'!$H$5:$H$92,"&gt;0")</f>
        <v>0</v>
      </c>
      <c r="F382" s="25">
        <f>SUMIFS('Daftar Koreksi'!$H$5:$H$92,'Daftar Koreksi'!$D$5:$D$92,'0900'!A378,'Daftar Koreksi'!$G$5:$G$92,"Tanah",'Daftar Koreksi'!$H$5:$H$92,"&lt;0")-SUMIFS('Daftar Koreksi'!$H$5:$H$92,'Daftar Koreksi'!$D$5:$D$92,'0900'!A378,'Daftar Koreksi'!$G$5:$G$92,"Tanah",'Daftar Koreksi'!$H$5:$H$92,"&lt;0")-SUMIFS('Daftar Koreksi'!$H$5:$H$92,'Daftar Koreksi'!$D$5:$D$92,'0900'!A378,'Daftar Koreksi'!$G$5:$G$92,"Tanah",'Daftar Koreksi'!$H$5:$H$92,"&lt;0")</f>
        <v>0</v>
      </c>
      <c r="G382" s="17">
        <f t="shared" ref="G382:G398" si="17">D382+E382-F382</f>
        <v>105995000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1652819554</v>
      </c>
      <c r="E383" s="25">
        <f>SUMIFS('Daftar Koreksi'!$H$5:$H$92,'Daftar Koreksi'!$D$5:$D$92,'0900'!A378,'Daftar Koreksi'!$G$5:$G$92,"Peralatan dan mesin",'Daftar Koreksi'!$H$5:$H$92,"&gt;0")</f>
        <v>0</v>
      </c>
      <c r="F383" s="25">
        <f>SUMIFS('Daftar Koreksi'!$H$5:$H$92,'Daftar Koreksi'!$D$5:$D$92,'0900'!A378,'Daftar Koreksi'!$G$5:$G$92,"Peralatan dan mesin",'Daftar Koreksi'!$H$5:$H$92,"&lt;0")-SUMIFS('Daftar Koreksi'!$H$5:$H$92,'Daftar Koreksi'!$D$5:$D$92,'0900'!A378,'Daftar Koreksi'!$G$5:$G$92,"Peralatan dan mesin",'Daftar Koreksi'!$H$5:$H$92,"&lt;0")-SUMIFS('Daftar Koreksi'!$H$5:$H$92,'Daftar Koreksi'!$D$5:$D$92,'0900'!A378,'Daftar Koreksi'!$G$5:$G$92,"Peralatan dan mesin",'Daftar Koreksi'!$H$5:$H$92,"&lt;0")</f>
        <v>0</v>
      </c>
      <c r="G383" s="17">
        <f t="shared" si="17"/>
        <v>1652819554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5823429000</v>
      </c>
      <c r="E384" s="25">
        <f>SUMIFS('Daftar Koreksi'!$H$5:$H$92,'Daftar Koreksi'!$D$5:$D$92,'0900'!A378,'Daftar Koreksi'!$G$5:$G$92,"Gedung dan Bangunan",'Daftar Koreksi'!$H$5:$H$92,"&gt;0")</f>
        <v>0</v>
      </c>
      <c r="F384" s="25">
        <f>SUMIFS('Daftar Koreksi'!$H$5:$H$92,'Daftar Koreksi'!$D$5:$D$92,'0900'!A378,'Daftar Koreksi'!$G$5:$G$92,"Gedung dan Bangunan",'Daftar Koreksi'!$H$5:$H$92,"&lt;0")-SUMIFS('Daftar Koreksi'!$H$5:$H$92,'Daftar Koreksi'!$D$5:$D$92,'0900'!A378,'Daftar Koreksi'!$G$5:$G$92,"Gedung dan Bangunan",'Daftar Koreksi'!$H$5:$H$92,"&lt;0")-SUMIFS('Daftar Koreksi'!$H$5:$H$92,'Daftar Koreksi'!$D$5:$D$92,'0900'!A378,'Daftar Koreksi'!$G$5:$G$92,"Gedung dan Bangunan",'Daftar Koreksi'!$H$5:$H$92,"&lt;0")</f>
        <v>0</v>
      </c>
      <c r="G384" s="17">
        <f t="shared" si="17"/>
        <v>5823429000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Koreksi'!$D$5:$D$92,'0900'!A378,'Daftar Koreksi'!$G$5:$G$92,"Jalan Irigasi Jaringan",'Daftar Koreksi'!$H$5:$H$92,"&gt;0")</f>
        <v>0</v>
      </c>
      <c r="F385" s="25">
        <f>SUMIFS('Daftar Koreksi'!$H$5:$H$92,'Daftar Koreksi'!$D$5:$D$92,'0900'!A378,'Daftar Koreksi'!$G$5:$G$92,"Jalan Irigasi Jaringan",'Daftar Koreksi'!$H$5:$H$92,"&lt;0")-SUMIFS('Daftar Koreksi'!$H$5:$H$92,'Daftar Koreksi'!$D$5:$D$92,'0900'!A378,'Daftar Koreksi'!$G$5:$G$92,"Jalan Irigasi Jaringan",'Daftar Koreksi'!$H$5:$H$92,"&lt;0")-SUMIFS('Daftar Koreksi'!$H$5:$H$92,'Daftar Koreksi'!$D$5:$D$92,'0900'!A378,'Daftar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1943440</v>
      </c>
      <c r="E386" s="25">
        <f>SUMIFS('Daftar Koreksi'!$H$5:$H$92,'Daftar Koreksi'!$D$5:$D$92,'0900'!A378,'Daftar Koreksi'!$G$5:$G$92,"Aset Tetap Lainnya",'Daftar Koreksi'!$H$5:$H$92,"&gt;0")</f>
        <v>0</v>
      </c>
      <c r="F386" s="25">
        <f>SUMIFS('Daftar Koreksi'!$H$5:$H$92,'Daftar Koreksi'!$D$5:$D$92,'0900'!A378,'Daftar Koreksi'!$G$5:$G$92,"Aset Tetap Lainnya",'Daftar Koreksi'!$H$5:$H$92,"&lt;0")-SUMIFS('Daftar Koreksi'!$H$5:$H$92,'Daftar Koreksi'!$D$5:$D$92,'0900'!A378,'Daftar Koreksi'!$G$5:$G$92,"Aset Tetap Lainnya",'Daftar Koreksi'!$H$5:$H$92,"&lt;0")-SUMIFS('Daftar Koreksi'!$H$5:$H$92,'Daftar Koreksi'!$D$5:$D$92,'0900'!A378,'Daftar Koreksi'!$G$5:$G$92,"Aset Tetap Lainnya",'Daftar Koreksi'!$H$5:$H$92,"&lt;0")</f>
        <v>0</v>
      </c>
      <c r="G386" s="17">
        <f t="shared" si="17"/>
        <v>1943440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Koreksi'!$D$5:$D$92,'0900'!A378,'Daftar Koreksi'!$G$5:$G$92,"Kontruksi Dalam Pengerjaan",'Daftar Koreksi'!$H$5:$H$92,"&gt;0")</f>
        <v>0</v>
      </c>
      <c r="F387" s="25">
        <f>SUMIFS('Daftar Koreksi'!$H$5:$H$92,'Daftar Koreksi'!$D$5:$D$92,'0900'!A378,'Daftar Koreksi'!$G$5:$G$92,"Kontruksi Dalam Pengerjaan",'Daftar Koreksi'!$H$5:$H$92,"&lt;0")-SUMIFS('Daftar Koreksi'!$H$5:$H$92,'Daftar Koreksi'!$D$5:$D$92,'0900'!A378,'Daftar Koreksi'!$G$5:$G$92,"Kontruksi Dalam Pengerjaan",'Daftar Koreksi'!$H$5:$H$92,"&lt;0")-SUMIFS('Daftar Koreksi'!$H$5:$H$92,'Daftar Koreksi'!$D$5:$D$92,'0900'!A378,'Daftar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24200000</v>
      </c>
      <c r="E388" s="25">
        <f>SUMIFS('Daftar Koreksi'!$H$5:$H$92,'Daftar Koreksi'!$D$5:$D$92,'0900'!A378,'Daftar Koreksi'!$G$5:$G$92,"Aset Tak Berwujud",'Daftar Koreksi'!$H$5:$H$92,"&gt;0")</f>
        <v>0</v>
      </c>
      <c r="F388" s="25">
        <f>SUMIFS('Daftar Koreksi'!$H$5:$H$92,'Daftar Koreksi'!$D$5:$D$92,'0900'!A378,'Daftar Koreksi'!$G$5:$G$92,"Aset Tak Berwujud",'Daftar Koreksi'!$H$5:$H$92,"&lt;0")-SUMIFS('Daftar Koreksi'!$H$5:$H$92,'Daftar Koreksi'!$D$5:$D$92,'0900'!A378,'Daftar Koreksi'!$G$5:$G$92,"Aset Tak Berwujud",'Daftar Koreksi'!$H$5:$H$92,"&lt;0")-SUMIFS('Daftar Koreksi'!$H$5:$H$92,'Daftar Koreksi'!$D$5:$D$92,'0900'!A378,'Daftar Koreksi'!$G$5:$G$92,"Aset Tak Berwujud",'Daftar Koreksi'!$H$5:$H$92,"&lt;0")</f>
        <v>0</v>
      </c>
      <c r="G388" s="17">
        <f t="shared" si="17"/>
        <v>24200000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Koreksi'!$D$5:$D$92,'0900'!A378,'Daftar Koreksi'!$G$5:$G$92,"Aset Henti Guna",'Daftar Koreksi'!$H$5:$H$92,"&gt;0")</f>
        <v>0</v>
      </c>
      <c r="F389" s="25">
        <f>SUMIFS('Daftar Koreksi'!$H$5:$H$92,'Daftar Koreksi'!$D$5:$D$92,'0900'!A378,'Daftar Koreksi'!$G$5:$G$92,"Aset Henti Guna",'Daftar Koreksi'!$H$5:$H$92,"&lt;0")-SUMIFS('Daftar Koreksi'!$H$5:$H$92,'Daftar Koreksi'!$D$5:$D$92,'0900'!A378,'Daftar Koreksi'!$G$5:$G$92,"Aset Henti Guna",'Daftar Koreksi'!$H$5:$H$92,"&lt;0")-SUMIFS('Daftar Koreksi'!$H$5:$H$92,'Daftar Koreksi'!$D$5:$D$92,'0900'!A378,'Daftar Koreksi'!$G$5:$G$92,"Aset Henti Guna",'Daftar Koreksi'!$H$5:$H$92,"&lt;0")</f>
        <v>0</v>
      </c>
      <c r="G389" s="17">
        <f t="shared" si="17"/>
        <v>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7608665994</v>
      </c>
      <c r="E390" s="19">
        <f>SUM(E381:E389)</f>
        <v>0</v>
      </c>
      <c r="F390" s="19">
        <f>SUM(F381:F389)</f>
        <v>0</v>
      </c>
      <c r="G390" s="19">
        <f t="shared" si="17"/>
        <v>7608665994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-1388299034</v>
      </c>
      <c r="E391" s="25">
        <f>SUMIFS('Daftar Koreksi'!$I$5:$I$92,'Daftar Koreksi'!$D$5:$D$92,'0900'!A378,'Daftar Koreksi'!$G$5:$G$92,"Peralatan dan mesin",'Daftar Koreksi'!$I$5:$I$92,"&gt;0")</f>
        <v>0</v>
      </c>
      <c r="F391" s="25">
        <f>SUMIFS('Daftar Koreksi'!$I$5:$I$92,'Daftar Koreksi'!$D$5:$D$92,'0900'!A378,'Daftar Koreksi'!$G$5:$G$92,"Peralatan dan mesin",'Daftar Koreksi'!$I$5:$I$92,"&lt;0")-SUMIFS('Daftar Koreksi'!$I$5:$I$92,'Daftar Koreksi'!$D$5:$D$92,'0900'!A378,'Daftar Koreksi'!$G$5:$G$92,"Peralatan dan mesin",'Daftar Koreksi'!$I$5:$I$92,"&lt;0")-SUMIFS('Daftar Koreksi'!$I$5:$I$92,'Daftar Koreksi'!$D$5:$D$92,'0900'!A378,'Daftar Koreksi'!$G$5:$G$92,"Peralatan dan mesin",'Daftar Koreksi'!$I$5:$I$92,"&lt;0")</f>
        <v>0</v>
      </c>
      <c r="G391" s="17">
        <f t="shared" si="17"/>
        <v>-1388299034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-866040350</v>
      </c>
      <c r="E392" s="25">
        <f>SUMIFS('Daftar Koreksi'!$I$5:$I$92,'Daftar Koreksi'!$D$5:$D$92,'0900'!A378,'Daftar Koreksi'!$G$5:$G$92,"Gedung dan Bangunan",'Daftar Koreksi'!$I$5:$I$92,"&gt;0")</f>
        <v>0</v>
      </c>
      <c r="F392" s="25">
        <f>SUMIFS('Daftar Koreksi'!$I$5:$I$92,'Daftar Koreksi'!$D$5:$D$92,'0900'!A378,'Daftar Koreksi'!$G$5:$G$92,"Gedung dan Bangunan",'Daftar Koreksi'!$I$5:$I$92,"&lt;0")-SUMIFS('Daftar Koreksi'!$I$5:$I$92,'Daftar Koreksi'!$D$5:$D$92,'0900'!A378,'Daftar Koreksi'!$G$5:$G$92,"Gedung dan Bangunan",'Daftar Koreksi'!$I$5:$I$92,"&lt;0")-SUMIFS('Daftar Koreksi'!$I$5:$I$92,'Daftar Koreksi'!$D$5:$D$92,'0900'!A378,'Daftar Koreksi'!$G$5:$G$92,"Gedung dan Bangunan",'Daftar Koreksi'!$I$5:$I$92,"&lt;0")</f>
        <v>0</v>
      </c>
      <c r="G392" s="17">
        <f t="shared" si="17"/>
        <v>-866040350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Koreksi'!$D$5:$D$92,'0900'!A378,'Daftar Koreksi'!$G$5:$G$92,"Jalan Irigasi Jaringan",'Daftar Koreksi'!$I$5:$I$92,"&gt;0")</f>
        <v>0</v>
      </c>
      <c r="F393" s="25">
        <f>SUMIFS('Daftar Koreksi'!$I$5:$I$92,'Daftar Koreksi'!$D$5:$D$92,'0900'!A378,'Daftar Koreksi'!$G$5:$G$92,"Jalan Irigasi Jaringan",'Daftar Koreksi'!$I$5:$I$92,"&lt;0")-SUMIFS('Daftar Koreksi'!$I$5:$I$92,'Daftar Koreksi'!$D$5:$D$92,'0900'!A378,'Daftar Koreksi'!$G$5:$G$92,"Jalan Irigasi Jaringan",'Daftar Koreksi'!$I$5:$I$92,"&lt;0")-SUMIFS('Daftar Koreksi'!$I$5:$I$92,'Daftar Koreksi'!$D$5:$D$92,'0900'!A378,'Daftar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Koreksi'!$D$5:$D$92,'0900'!A378,'Daftar Koreksi'!$G$5:$G$92,"Aset Tetap Lainnya",'Daftar Koreksi'!$I$5:$I$92,"&gt;0")</f>
        <v>0</v>
      </c>
      <c r="F394" s="25">
        <f>SUMIFS('Daftar Koreksi'!$I$5:$I$92,'Daftar Koreksi'!$D$5:$D$92,'0900'!A378,'Daftar Koreksi'!$G$5:$G$92,"Aset Tetap Lainnya",'Daftar Koreksi'!$I$5:$I$92,"&lt;0")-SUMIFS('Daftar Koreksi'!$I$5:$I$92,'Daftar Koreksi'!$D$5:$D$92,'0900'!A378,'Daftar Koreksi'!$G$5:$G$92,"Aset Tetap Lainnya",'Daftar Koreksi'!$I$5:$I$92,"&lt;0")-SUMIFS('Daftar Koreksi'!$I$5:$I$92,'Daftar Koreksi'!$D$5:$D$92,'0900'!A378,'Daftar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-10500000</v>
      </c>
      <c r="E395" s="25">
        <f>SUMIFS('Daftar Koreksi'!$I$5:$I$92,'Daftar Koreksi'!$D$5:$D$92,'0900'!A378,'Daftar Koreksi'!$G$5:$G$92,"Aset Henti Guna",'Daftar Koreksi'!$I$5:$I$92,"&gt;0")</f>
        <v>0</v>
      </c>
      <c r="F395" s="25">
        <f>SUMIFS('Daftar Koreksi'!$I$5:$I$92,'Daftar Koreksi'!$D$5:$D$92,'0900'!A378,'Daftar Koreksi'!$G$5:$G$92,"Aset Henti Guna",'Daftar Koreksi'!$I$5:$I$92,"&lt;0")-SUMIFS('Daftar Koreksi'!$I$5:$I$92,'Daftar Koreksi'!$D$5:$D$92,'0900'!A378,'Daftar Koreksi'!$G$5:$G$92,"Aset Henti Guna",'Daftar Koreksi'!$I$5:$I$92,"&lt;0")-SUMIFS('Daftar Koreksi'!$I$5:$I$92,'Daftar Koreksi'!$D$5:$D$92,'0900'!A378,'Daftar Koreksi'!$G$5:$G$92,"Aset Henti Guna",'Daftar Koreksi'!$I$5:$I$92,"&lt;0")</f>
        <v>0</v>
      </c>
      <c r="G395" s="17">
        <f t="shared" si="17"/>
        <v>-10500000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-2264839384</v>
      </c>
      <c r="E396" s="19">
        <f>SUM(E391:E395)</f>
        <v>0</v>
      </c>
      <c r="F396" s="19">
        <f>SUM(F391:F395)</f>
        <v>0</v>
      </c>
      <c r="G396" s="19">
        <f t="shared" si="17"/>
        <v>-2264839384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5343826610</v>
      </c>
      <c r="E397" s="19">
        <f>E396+E390</f>
        <v>0</v>
      </c>
      <c r="F397" s="19">
        <f>F396+F390</f>
        <v>0</v>
      </c>
      <c r="G397" s="19">
        <f t="shared" si="17"/>
        <v>5343826610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005010900477343000KD</v>
      </c>
      <c r="B400" s="11" t="str">
        <f>P19</f>
        <v>PN. Siak Sri Indrapura</v>
      </c>
      <c r="C400" s="12" t="str">
        <f>A400&amp;" "&amp;B400</f>
        <v>005010900477343000KD PN. Siak Sri Indrapura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7875000</v>
      </c>
      <c r="E403" s="25">
        <f>SUMIFS('Daftar Koreksi'!$H$5:$H$92,'Daftar Koreksi'!$D$5:$D$92,'0900'!A400,'Daftar Koreksi'!$G$5:$G$92,"Persediaan",'Daftar Koreksi'!$H$5:$H$92,"&gt;0")</f>
        <v>0</v>
      </c>
      <c r="F403" s="25">
        <f>SUMIFS('Daftar Koreksi'!$H$5:$H$92,'Daftar Koreksi'!$D$5:$D$92,'0900'!A400,'Daftar Koreksi'!$G$5:$G$92,"Persediaan",'Daftar Koreksi'!$H$5:$H$92,"&lt;0")-SUMIFS('Daftar Koreksi'!$H$5:$H$92,'Daftar Koreksi'!$D$5:$D$92,'0900'!A400,'Daftar Koreksi'!$G$5:$G$92,"Persediaan",'Daftar Koreksi'!$H$5:$H$92,"&lt;0")-SUMIFS('Daftar Koreksi'!$H$5:$H$92,'Daftar Koreksi'!$D$5:$D$92,'0900'!A400,'Daftar Koreksi'!$G$5:$G$92,"Persediaan",'Daftar Koreksi'!$H$5:$H$92,"&lt;0")</f>
        <v>0</v>
      </c>
      <c r="G403" s="17">
        <f>D403+E403-F403</f>
        <v>7875000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417232000</v>
      </c>
      <c r="E404" s="25">
        <f>SUMIFS('Daftar Koreksi'!$H$5:$H$92,'Daftar Koreksi'!$D$5:$D$92,'0900'!A400,'Daftar Koreksi'!$G$5:$G$92,"Tanah",'Daftar Koreksi'!$H$5:$H$92,"&gt;0")</f>
        <v>0</v>
      </c>
      <c r="F404" s="25">
        <f>SUMIFS('Daftar Koreksi'!$H$5:$H$92,'Daftar Koreksi'!$D$5:$D$92,'0900'!A400,'Daftar Koreksi'!$G$5:$G$92,"Tanah",'Daftar Koreksi'!$H$5:$H$92,"&lt;0")-SUMIFS('Daftar Koreksi'!$H$5:$H$92,'Daftar Koreksi'!$D$5:$D$92,'0900'!A400,'Daftar Koreksi'!$G$5:$G$92,"Tanah",'Daftar Koreksi'!$H$5:$H$92,"&lt;0")-SUMIFS('Daftar Koreksi'!$H$5:$H$92,'Daftar Koreksi'!$D$5:$D$92,'0900'!A400,'Daftar Koreksi'!$G$5:$G$92,"Tanah",'Daftar Koreksi'!$H$5:$H$92,"&lt;0")</f>
        <v>0</v>
      </c>
      <c r="G404" s="17">
        <f t="shared" ref="G404:G420" si="18">D404+E404-F404</f>
        <v>417232000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1903005553</v>
      </c>
      <c r="E405" s="25">
        <f>SUMIFS('Daftar Koreksi'!$H$5:$H$92,'Daftar Koreksi'!$D$5:$D$92,'0900'!A400,'Daftar Koreksi'!$G$5:$G$92,"Peralatan dan mesin",'Daftar Koreksi'!$H$5:$H$92,"&gt;0")</f>
        <v>0</v>
      </c>
      <c r="F405" s="25">
        <f>SUMIFS('Daftar Koreksi'!$H$5:$H$92,'Daftar Koreksi'!$D$5:$D$92,'0900'!A400,'Daftar Koreksi'!$G$5:$G$92,"Peralatan dan mesin",'Daftar Koreksi'!$H$5:$H$92,"&lt;0")-SUMIFS('Daftar Koreksi'!$H$5:$H$92,'Daftar Koreksi'!$D$5:$D$92,'0900'!A400,'Daftar Koreksi'!$G$5:$G$92,"Peralatan dan mesin",'Daftar Koreksi'!$H$5:$H$92,"&lt;0")-SUMIFS('Daftar Koreksi'!$H$5:$H$92,'Daftar Koreksi'!$D$5:$D$92,'0900'!A400,'Daftar Koreksi'!$G$5:$G$92,"Peralatan dan mesin",'Daftar Koreksi'!$H$5:$H$92,"&lt;0")</f>
        <v>0</v>
      </c>
      <c r="G405" s="17">
        <f t="shared" si="18"/>
        <v>1903005553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1094070000</v>
      </c>
      <c r="E406" s="25">
        <f>SUMIFS('Daftar Koreksi'!$H$5:$H$92,'Daftar Koreksi'!$D$5:$D$92,'0900'!A400,'Daftar Koreksi'!$G$5:$G$92,"Gedung dan Bangunan",'Daftar Koreksi'!$H$5:$H$92,"&gt;0")</f>
        <v>0</v>
      </c>
      <c r="F406" s="25">
        <f>SUMIFS('Daftar Koreksi'!$H$5:$H$92,'Daftar Koreksi'!$D$5:$D$92,'0900'!A400,'Daftar Koreksi'!$G$5:$G$92,"Gedung dan Bangunan",'Daftar Koreksi'!$H$5:$H$92,"&lt;0")-SUMIFS('Daftar Koreksi'!$H$5:$H$92,'Daftar Koreksi'!$D$5:$D$92,'0900'!A400,'Daftar Koreksi'!$G$5:$G$92,"Gedung dan Bangunan",'Daftar Koreksi'!$H$5:$H$92,"&lt;0")-SUMIFS('Daftar Koreksi'!$H$5:$H$92,'Daftar Koreksi'!$D$5:$D$92,'0900'!A400,'Daftar Koreksi'!$G$5:$G$92,"Gedung dan Bangunan",'Daftar Koreksi'!$H$5:$H$92,"&lt;0")</f>
        <v>0</v>
      </c>
      <c r="G406" s="17">
        <f t="shared" si="18"/>
        <v>1094070000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15400000</v>
      </c>
      <c r="E407" s="25">
        <f>SUMIFS('Daftar Koreksi'!$H$5:$H$92,'Daftar Koreksi'!$D$5:$D$92,'0900'!A400,'Daftar Koreksi'!$G$5:$G$92,"Jalan Irigasi Jaringan",'Daftar Koreksi'!$H$5:$H$92,"&gt;0")</f>
        <v>0</v>
      </c>
      <c r="F407" s="25">
        <f>SUMIFS('Daftar Koreksi'!$H$5:$H$92,'Daftar Koreksi'!$D$5:$D$92,'0900'!A400,'Daftar Koreksi'!$G$5:$G$92,"Jalan Irigasi Jaringan",'Daftar Koreksi'!$H$5:$H$92,"&lt;0")-SUMIFS('Daftar Koreksi'!$H$5:$H$92,'Daftar Koreksi'!$D$5:$D$92,'0900'!A400,'Daftar Koreksi'!$G$5:$G$92,"Jalan Irigasi Jaringan",'Daftar Koreksi'!$H$5:$H$92,"&lt;0")-SUMIFS('Daftar Koreksi'!$H$5:$H$92,'Daftar Koreksi'!$D$5:$D$92,'0900'!A400,'Daftar Koreksi'!$G$5:$G$92,"Jalan Irigasi Jaringan",'Daftar Koreksi'!$H$5:$H$92,"&lt;0")</f>
        <v>0</v>
      </c>
      <c r="G407" s="17">
        <f t="shared" si="18"/>
        <v>15400000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0</v>
      </c>
      <c r="E408" s="25">
        <f>SUMIFS('Daftar Koreksi'!$H$5:$H$92,'Daftar Koreksi'!$D$5:$D$92,'0900'!A400,'Daftar Koreksi'!$G$5:$G$92,"Aset Tetap Lainnya",'Daftar Koreksi'!$H$5:$H$92,"&gt;0")</f>
        <v>0</v>
      </c>
      <c r="F408" s="25">
        <f>SUMIFS('Daftar Koreksi'!$H$5:$H$92,'Daftar Koreksi'!$D$5:$D$92,'0900'!A400,'Daftar Koreksi'!$G$5:$G$92,"Aset Tetap Lainnya",'Daftar Koreksi'!$H$5:$H$92,"&lt;0")-SUMIFS('Daftar Koreksi'!$H$5:$H$92,'Daftar Koreksi'!$D$5:$D$92,'0900'!A400,'Daftar Koreksi'!$G$5:$G$92,"Aset Tetap Lainnya",'Daftar Koreksi'!$H$5:$H$92,"&lt;0")-SUMIFS('Daftar Koreksi'!$H$5:$H$92,'Daftar Koreksi'!$D$5:$D$92,'0900'!A400,'Daftar Koreksi'!$G$5:$G$92,"Aset Tetap Lainnya",'Daftar Koreksi'!$H$5:$H$92,"&lt;0")</f>
        <v>0</v>
      </c>
      <c r="G408" s="17">
        <f t="shared" si="18"/>
        <v>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Koreksi'!$D$5:$D$92,'0900'!A400,'Daftar Koreksi'!$G$5:$G$92,"Kontruksi Dalam Pengerjaan",'Daftar Koreksi'!$H$5:$H$92,"&gt;0")</f>
        <v>0</v>
      </c>
      <c r="F409" s="25">
        <f>SUMIFS('Daftar Koreksi'!$H$5:$H$92,'Daftar Koreksi'!$D$5:$D$92,'0900'!A400,'Daftar Koreksi'!$G$5:$G$92,"Kontruksi Dalam Pengerjaan",'Daftar Koreksi'!$H$5:$H$92,"&lt;0")-SUMIFS('Daftar Koreksi'!$H$5:$H$92,'Daftar Koreksi'!$D$5:$D$92,'0900'!A400,'Daftar Koreksi'!$G$5:$G$92,"Kontruksi Dalam Pengerjaan",'Daftar Koreksi'!$H$5:$H$92,"&lt;0")-SUMIFS('Daftar Koreksi'!$H$5:$H$92,'Daftar Koreksi'!$D$5:$D$92,'0900'!A400,'Daftar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Koreksi'!$D$5:$D$92,'0900'!A400,'Daftar Koreksi'!$G$5:$G$92,"Aset Tak Berwujud",'Daftar Koreksi'!$H$5:$H$92,"&gt;0")</f>
        <v>0</v>
      </c>
      <c r="F410" s="25">
        <f>SUMIFS('Daftar Koreksi'!$H$5:$H$92,'Daftar Koreksi'!$D$5:$D$92,'0900'!A400,'Daftar Koreksi'!$G$5:$G$92,"Aset Tak Berwujud",'Daftar Koreksi'!$H$5:$H$92,"&lt;0")-SUMIFS('Daftar Koreksi'!$H$5:$H$92,'Daftar Koreksi'!$D$5:$D$92,'0900'!A400,'Daftar Koreksi'!$G$5:$G$92,"Aset Tak Berwujud",'Daftar Koreksi'!$H$5:$H$92,"&lt;0")-SUMIFS('Daftar Koreksi'!$H$5:$H$92,'Daftar Koreksi'!$D$5:$D$92,'0900'!A400,'Daftar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Koreksi'!$D$5:$D$92,'0900'!A400,'Daftar Koreksi'!$G$5:$G$92,"Aset Henti Guna",'Daftar Koreksi'!$H$5:$H$92,"&gt;0")</f>
        <v>0</v>
      </c>
      <c r="F411" s="25">
        <f>SUMIFS('Daftar Koreksi'!$H$5:$H$92,'Daftar Koreksi'!$D$5:$D$92,'0900'!A400,'Daftar Koreksi'!$G$5:$G$92,"Aset Henti Guna",'Daftar Koreksi'!$H$5:$H$92,"&lt;0")-SUMIFS('Daftar Koreksi'!$H$5:$H$92,'Daftar Koreksi'!$D$5:$D$92,'0900'!A400,'Daftar Koreksi'!$G$5:$G$92,"Aset Henti Guna",'Daftar Koreksi'!$H$5:$H$92,"&lt;0")-SUMIFS('Daftar Koreksi'!$H$5:$H$92,'Daftar Koreksi'!$D$5:$D$92,'0900'!A400,'Daftar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3437582553</v>
      </c>
      <c r="E412" s="19">
        <f>SUM(E403:E411)</f>
        <v>0</v>
      </c>
      <c r="F412" s="19">
        <f>SUM(F403:F411)</f>
        <v>0</v>
      </c>
      <c r="G412" s="19">
        <f t="shared" si="18"/>
        <v>3437582553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-1608466865</v>
      </c>
      <c r="E413" s="25">
        <f>SUMIFS('Daftar Koreksi'!$I$5:$I$92,'Daftar Koreksi'!$D$5:$D$92,'0900'!A400,'Daftar Koreksi'!$G$5:$G$92,"Peralatan dan mesin",'Daftar Koreksi'!$I$5:$I$92,"&gt;0")</f>
        <v>0</v>
      </c>
      <c r="F413" s="25">
        <f>SUMIFS('Daftar Koreksi'!$I$5:$I$92,'Daftar Koreksi'!$D$5:$D$92,'0900'!A400,'Daftar Koreksi'!$G$5:$G$92,"Peralatan dan mesin",'Daftar Koreksi'!$I$5:$I$92,"&lt;0")-SUMIFS('Daftar Koreksi'!$I$5:$I$92,'Daftar Koreksi'!$D$5:$D$92,'0900'!A400,'Daftar Koreksi'!$G$5:$G$92,"Peralatan dan mesin",'Daftar Koreksi'!$I$5:$I$92,"&lt;0")-SUMIFS('Daftar Koreksi'!$I$5:$I$92,'Daftar Koreksi'!$D$5:$D$92,'0900'!A400,'Daftar Koreksi'!$G$5:$G$92,"Peralatan dan mesin",'Daftar Koreksi'!$I$5:$I$92,"&lt;0")</f>
        <v>0</v>
      </c>
      <c r="G413" s="17">
        <f t="shared" si="18"/>
        <v>-1608466865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-52985600</v>
      </c>
      <c r="E414" s="25">
        <f>SUMIFS('Daftar Koreksi'!$I$5:$I$92,'Daftar Koreksi'!$D$5:$D$92,'0900'!A400,'Daftar Koreksi'!$G$5:$G$92,"Gedung dan Bangunan",'Daftar Koreksi'!$I$5:$I$92,"&gt;0")</f>
        <v>0</v>
      </c>
      <c r="F414" s="25">
        <f>SUMIFS('Daftar Koreksi'!$I$5:$I$92,'Daftar Koreksi'!$D$5:$D$92,'0900'!A400,'Daftar Koreksi'!$G$5:$G$92,"Gedung dan Bangunan",'Daftar Koreksi'!$I$5:$I$92,"&lt;0")-SUMIFS('Daftar Koreksi'!$I$5:$I$92,'Daftar Koreksi'!$D$5:$D$92,'0900'!A400,'Daftar Koreksi'!$G$5:$G$92,"Gedung dan Bangunan",'Daftar Koreksi'!$I$5:$I$92,"&lt;0")-SUMIFS('Daftar Koreksi'!$I$5:$I$92,'Daftar Koreksi'!$D$5:$D$92,'0900'!A400,'Daftar Koreksi'!$G$5:$G$92,"Gedung dan Bangunan",'Daftar Koreksi'!$I$5:$I$92,"&lt;0")</f>
        <v>0</v>
      </c>
      <c r="G414" s="17">
        <f t="shared" si="18"/>
        <v>-52985600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-4111250</v>
      </c>
      <c r="E415" s="25">
        <f>SUMIFS('Daftar Koreksi'!$I$5:$I$92,'Daftar Koreksi'!$D$5:$D$92,'0900'!A400,'Daftar Koreksi'!$G$5:$G$92,"Jalan Irigasi Jaringan",'Daftar Koreksi'!$I$5:$I$92,"&gt;0")</f>
        <v>0</v>
      </c>
      <c r="F415" s="25">
        <f>SUMIFS('Daftar Koreksi'!$I$5:$I$92,'Daftar Koreksi'!$D$5:$D$92,'0900'!A400,'Daftar Koreksi'!$G$5:$G$92,"Jalan Irigasi Jaringan",'Daftar Koreksi'!$I$5:$I$92,"&lt;0")-SUMIFS('Daftar Koreksi'!$I$5:$I$92,'Daftar Koreksi'!$D$5:$D$92,'0900'!A400,'Daftar Koreksi'!$G$5:$G$92,"Jalan Irigasi Jaringan",'Daftar Koreksi'!$I$5:$I$92,"&lt;0")-SUMIFS('Daftar Koreksi'!$I$5:$I$92,'Daftar Koreksi'!$D$5:$D$92,'0900'!A400,'Daftar Koreksi'!$G$5:$G$92,"Jalan Irigasi Jaringan",'Daftar Koreksi'!$I$5:$I$92,"&lt;0")</f>
        <v>0</v>
      </c>
      <c r="G415" s="17">
        <f t="shared" si="18"/>
        <v>-4111250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Koreksi'!$D$5:$D$92,'0900'!A400,'Daftar Koreksi'!$G$5:$G$92,"Aset Tetap Lainnya",'Daftar Koreksi'!$I$5:$I$92,"&gt;0")</f>
        <v>0</v>
      </c>
      <c r="F416" s="25">
        <f>SUMIFS('Daftar Koreksi'!$I$5:$I$92,'Daftar Koreksi'!$D$5:$D$92,'0900'!A400,'Daftar Koreksi'!$G$5:$G$92,"Aset Tetap Lainnya",'Daftar Koreksi'!$I$5:$I$92,"&lt;0")-SUMIFS('Daftar Koreksi'!$I$5:$I$92,'Daftar Koreksi'!$D$5:$D$92,'0900'!A400,'Daftar Koreksi'!$G$5:$G$92,"Aset Tetap Lainnya",'Daftar Koreksi'!$I$5:$I$92,"&lt;0")-SUMIFS('Daftar Koreksi'!$I$5:$I$92,'Daftar Koreksi'!$D$5:$D$92,'0900'!A400,'Daftar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Koreksi'!$D$5:$D$92,'0900'!A400,'Daftar Koreksi'!$G$5:$G$92,"Aset Henti Guna",'Daftar Koreksi'!$I$5:$I$92,"&gt;0")</f>
        <v>0</v>
      </c>
      <c r="F417" s="25">
        <f>SUMIFS('Daftar Koreksi'!$I$5:$I$92,'Daftar Koreksi'!$D$5:$D$92,'0900'!A400,'Daftar Koreksi'!$G$5:$G$92,"Aset Henti Guna",'Daftar Koreksi'!$I$5:$I$92,"&lt;0")-SUMIFS('Daftar Koreksi'!$I$5:$I$92,'Daftar Koreksi'!$D$5:$D$92,'0900'!A400,'Daftar Koreksi'!$G$5:$G$92,"Aset Henti Guna",'Daftar Koreksi'!$I$5:$I$92,"&lt;0")-SUMIFS('Daftar Koreksi'!$I$5:$I$92,'Daftar Koreksi'!$D$5:$D$92,'0900'!A400,'Daftar Koreksi'!$G$5:$G$92,"Aset Henti Guna",'Daftar Koreksi'!$I$5:$I$92,"&lt;0")</f>
        <v>0</v>
      </c>
      <c r="G417" s="17">
        <f t="shared" si="18"/>
        <v>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-1665563715</v>
      </c>
      <c r="E418" s="19">
        <f>SUM(E413:E417)</f>
        <v>0</v>
      </c>
      <c r="F418" s="19">
        <f>SUM(F413:F417)</f>
        <v>0</v>
      </c>
      <c r="G418" s="19">
        <f t="shared" si="18"/>
        <v>-1665563715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1772018838</v>
      </c>
      <c r="E419" s="19">
        <f>E418+E412</f>
        <v>0</v>
      </c>
      <c r="F419" s="19">
        <f>F418+F412</f>
        <v>0</v>
      </c>
      <c r="G419" s="19">
        <f t="shared" si="18"/>
        <v>1772018838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005010900578822000KD</v>
      </c>
      <c r="B422" s="11" t="str">
        <f>P20</f>
        <v>PTUN. Pekan Baru</v>
      </c>
      <c r="C422" s="12" t="str">
        <f>A422&amp;" "&amp;B422</f>
        <v>005010900578822000KD PTUN. Pekan Baru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6553470</v>
      </c>
      <c r="E425" s="25">
        <f>SUMIFS('Daftar Koreksi'!$H$5:$H$92,'Daftar Koreksi'!$D$5:$D$92,'0900'!A422,'Daftar Koreksi'!$G$5:$G$92,"Persediaan",'Daftar Koreksi'!$H$5:$H$92,"&gt;0")</f>
        <v>0</v>
      </c>
      <c r="F425" s="25">
        <f>SUMIFS('Daftar Koreksi'!$H$5:$H$92,'Daftar Koreksi'!$D$5:$D$92,'0900'!A422,'Daftar Koreksi'!$G$5:$G$92,"Persediaan",'Daftar Koreksi'!$H$5:$H$92,"&lt;0")-SUMIFS('Daftar Koreksi'!$H$5:$H$92,'Daftar Koreksi'!$D$5:$D$92,'0900'!A422,'Daftar Koreksi'!$G$5:$G$92,"Persediaan",'Daftar Koreksi'!$H$5:$H$92,"&lt;0")-SUMIFS('Daftar Koreksi'!$H$5:$H$92,'Daftar Koreksi'!$D$5:$D$92,'0900'!A422,'Daftar Koreksi'!$G$5:$G$92,"Persediaan",'Daftar Koreksi'!$H$5:$H$92,"&lt;0")</f>
        <v>0</v>
      </c>
      <c r="G425" s="17">
        <f>D425+E425-F425</f>
        <v>6553470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3060349000</v>
      </c>
      <c r="E426" s="25">
        <f>SUMIFS('Daftar Koreksi'!$H$5:$H$92,'Daftar Koreksi'!$D$5:$D$92,'0900'!A422,'Daftar Koreksi'!$G$5:$G$92,"Tanah",'Daftar Koreksi'!$H$5:$H$92,"&gt;0")</f>
        <v>0</v>
      </c>
      <c r="F426" s="25">
        <f>SUMIFS('Daftar Koreksi'!$H$5:$H$92,'Daftar Koreksi'!$D$5:$D$92,'0900'!A422,'Daftar Koreksi'!$G$5:$G$92,"Tanah",'Daftar Koreksi'!$H$5:$H$92,"&lt;0")-SUMIFS('Daftar Koreksi'!$H$5:$H$92,'Daftar Koreksi'!$D$5:$D$92,'0900'!A422,'Daftar Koreksi'!$G$5:$G$92,"Tanah",'Daftar Koreksi'!$H$5:$H$92,"&lt;0")-SUMIFS('Daftar Koreksi'!$H$5:$H$92,'Daftar Koreksi'!$D$5:$D$92,'0900'!A422,'Daftar Koreksi'!$G$5:$G$92,"Tanah",'Daftar Koreksi'!$H$5:$H$92,"&lt;0")</f>
        <v>0</v>
      </c>
      <c r="G426" s="17">
        <f t="shared" ref="G426:G442" si="19">D426+E426-F426</f>
        <v>3060349000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1968955601</v>
      </c>
      <c r="E427" s="25">
        <f>SUMIFS('Daftar Koreksi'!$H$5:$H$92,'Daftar Koreksi'!$D$5:$D$92,'0900'!A422,'Daftar Koreksi'!$G$5:$G$92,"Peralatan dan mesin",'Daftar Koreksi'!$H$5:$H$92,"&gt;0")</f>
        <v>0</v>
      </c>
      <c r="F427" s="25">
        <f>SUMIFS('Daftar Koreksi'!$H$5:$H$92,'Daftar Koreksi'!$D$5:$D$92,'0900'!A422,'Daftar Koreksi'!$G$5:$G$92,"Peralatan dan mesin",'Daftar Koreksi'!$H$5:$H$92,"&lt;0")-SUMIFS('Daftar Koreksi'!$H$5:$H$92,'Daftar Koreksi'!$D$5:$D$92,'0900'!A422,'Daftar Koreksi'!$G$5:$G$92,"Peralatan dan mesin",'Daftar Koreksi'!$H$5:$H$92,"&lt;0")-SUMIFS('Daftar Koreksi'!$H$5:$H$92,'Daftar Koreksi'!$D$5:$D$92,'0900'!A422,'Daftar Koreksi'!$G$5:$G$92,"Peralatan dan mesin",'Daftar Koreksi'!$H$5:$H$92,"&lt;0")</f>
        <v>0</v>
      </c>
      <c r="G427" s="17">
        <f t="shared" si="19"/>
        <v>1968955601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6508125500</v>
      </c>
      <c r="E428" s="25">
        <f>SUMIFS('Daftar Koreksi'!$H$5:$H$92,'Daftar Koreksi'!$D$5:$D$92,'0900'!A422,'Daftar Koreksi'!$G$5:$G$92,"Gedung dan Bangunan",'Daftar Koreksi'!$H$5:$H$92,"&gt;0")</f>
        <v>0</v>
      </c>
      <c r="F428" s="25">
        <f>SUMIFS('Daftar Koreksi'!$H$5:$H$92,'Daftar Koreksi'!$D$5:$D$92,'0900'!A422,'Daftar Koreksi'!$G$5:$G$92,"Gedung dan Bangunan",'Daftar Koreksi'!$H$5:$H$92,"&lt;0")-SUMIFS('Daftar Koreksi'!$H$5:$H$92,'Daftar Koreksi'!$D$5:$D$92,'0900'!A422,'Daftar Koreksi'!$G$5:$G$92,"Gedung dan Bangunan",'Daftar Koreksi'!$H$5:$H$92,"&lt;0")-SUMIFS('Daftar Koreksi'!$H$5:$H$92,'Daftar Koreksi'!$D$5:$D$92,'0900'!A422,'Daftar Koreksi'!$G$5:$G$92,"Gedung dan Bangunan",'Daftar Koreksi'!$H$5:$H$92,"&lt;0")</f>
        <v>0</v>
      </c>
      <c r="G428" s="17">
        <f t="shared" si="19"/>
        <v>6508125500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Koreksi'!$D$5:$D$92,'0900'!A422,'Daftar Koreksi'!$G$5:$G$92,"Jalan Irigasi Jaringan",'Daftar Koreksi'!$H$5:$H$92,"&gt;0")</f>
        <v>0</v>
      </c>
      <c r="F429" s="25">
        <f>SUMIFS('Daftar Koreksi'!$H$5:$H$92,'Daftar Koreksi'!$D$5:$D$92,'0900'!A422,'Daftar Koreksi'!$G$5:$G$92,"Jalan Irigasi Jaringan",'Daftar Koreksi'!$H$5:$H$92,"&lt;0")-SUMIFS('Daftar Koreksi'!$H$5:$H$92,'Daftar Koreksi'!$D$5:$D$92,'0900'!A422,'Daftar Koreksi'!$G$5:$G$92,"Jalan Irigasi Jaringan",'Daftar Koreksi'!$H$5:$H$92,"&lt;0")-SUMIFS('Daftar Koreksi'!$H$5:$H$92,'Daftar Koreksi'!$D$5:$D$92,'0900'!A422,'Daftar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0</v>
      </c>
      <c r="E430" s="25">
        <f>SUMIFS('Daftar Koreksi'!$H$5:$H$92,'Daftar Koreksi'!$D$5:$D$92,'0900'!A422,'Daftar Koreksi'!$G$5:$G$92,"Aset Tetap Lainnya",'Daftar Koreksi'!$H$5:$H$92,"&gt;0")</f>
        <v>0</v>
      </c>
      <c r="F430" s="25">
        <f>SUMIFS('Daftar Koreksi'!$H$5:$H$92,'Daftar Koreksi'!$D$5:$D$92,'0900'!A422,'Daftar Koreksi'!$G$5:$G$92,"Aset Tetap Lainnya",'Daftar Koreksi'!$H$5:$H$92,"&lt;0")-SUMIFS('Daftar Koreksi'!$H$5:$H$92,'Daftar Koreksi'!$D$5:$D$92,'0900'!A422,'Daftar Koreksi'!$G$5:$G$92,"Aset Tetap Lainnya",'Daftar Koreksi'!$H$5:$H$92,"&lt;0")-SUMIFS('Daftar Koreksi'!$H$5:$H$92,'Daftar Koreksi'!$D$5:$D$92,'0900'!A422,'Daftar Koreksi'!$G$5:$G$92,"Aset Tetap Lainnya",'Daftar Koreksi'!$H$5:$H$92,"&lt;0")</f>
        <v>0</v>
      </c>
      <c r="G430" s="17">
        <f t="shared" si="19"/>
        <v>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Koreksi'!$D$5:$D$92,'0900'!A422,'Daftar Koreksi'!$G$5:$G$92,"Kontruksi Dalam Pengerjaan",'Daftar Koreksi'!$H$5:$H$92,"&gt;0")</f>
        <v>0</v>
      </c>
      <c r="F431" s="25">
        <f>SUMIFS('Daftar Koreksi'!$H$5:$H$92,'Daftar Koreksi'!$D$5:$D$92,'0900'!A422,'Daftar Koreksi'!$G$5:$G$92,"Kontruksi Dalam Pengerjaan",'Daftar Koreksi'!$H$5:$H$92,"&lt;0")-SUMIFS('Daftar Koreksi'!$H$5:$H$92,'Daftar Koreksi'!$D$5:$D$92,'0900'!A422,'Daftar Koreksi'!$G$5:$G$92,"Kontruksi Dalam Pengerjaan",'Daftar Koreksi'!$H$5:$H$92,"&lt;0")-SUMIFS('Daftar Koreksi'!$H$5:$H$92,'Daftar Koreksi'!$D$5:$D$92,'0900'!A422,'Daftar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97790000</v>
      </c>
      <c r="E432" s="25">
        <f>SUMIFS('Daftar Koreksi'!$H$5:$H$92,'Daftar Koreksi'!$D$5:$D$92,'0900'!A422,'Daftar Koreksi'!$G$5:$G$92,"Aset Tak Berwujud",'Daftar Koreksi'!$H$5:$H$92,"&gt;0")</f>
        <v>0</v>
      </c>
      <c r="F432" s="25">
        <f>SUMIFS('Daftar Koreksi'!$H$5:$H$92,'Daftar Koreksi'!$D$5:$D$92,'0900'!A422,'Daftar Koreksi'!$G$5:$G$92,"Aset Tak Berwujud",'Daftar Koreksi'!$H$5:$H$92,"&lt;0")-SUMIFS('Daftar Koreksi'!$H$5:$H$92,'Daftar Koreksi'!$D$5:$D$92,'0900'!A422,'Daftar Koreksi'!$G$5:$G$92,"Aset Tak Berwujud",'Daftar Koreksi'!$H$5:$H$92,"&lt;0")-SUMIFS('Daftar Koreksi'!$H$5:$H$92,'Daftar Koreksi'!$D$5:$D$92,'0900'!A422,'Daftar Koreksi'!$G$5:$G$92,"Aset Tak Berwujud",'Daftar Koreksi'!$H$5:$H$92,"&lt;0")</f>
        <v>0</v>
      </c>
      <c r="G432" s="17">
        <f t="shared" si="19"/>
        <v>97790000</v>
      </c>
      <c r="H432" s="122"/>
    </row>
    <row r="433" spans="1:10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Koreksi'!$D$5:$D$92,'0900'!A422,'Daftar Koreksi'!$G$5:$G$92,"Aset Henti Guna",'Daftar Koreksi'!$H$5:$H$92,"&gt;0")</f>
        <v>0</v>
      </c>
      <c r="F433" s="25">
        <f>SUMIFS('Daftar Koreksi'!$H$5:$H$92,'Daftar Koreksi'!$D$5:$D$92,'0900'!A422,'Daftar Koreksi'!$G$5:$G$92,"Aset Henti Guna",'Daftar Koreksi'!$H$5:$H$92,"&lt;0")-SUMIFS('Daftar Koreksi'!$H$5:$H$92,'Daftar Koreksi'!$D$5:$D$92,'0900'!A422,'Daftar Koreksi'!$G$5:$G$92,"Aset Henti Guna",'Daftar Koreksi'!$H$5:$H$92,"&lt;0")-SUMIFS('Daftar Koreksi'!$H$5:$H$92,'Daftar Koreksi'!$D$5:$D$92,'0900'!A422,'Daftar Koreksi'!$G$5:$G$92,"Aset Henti Guna",'Daftar Koreksi'!$H$5:$H$92,"&lt;0")</f>
        <v>0</v>
      </c>
      <c r="G433" s="17">
        <f t="shared" si="19"/>
        <v>0</v>
      </c>
      <c r="H433" s="122"/>
    </row>
    <row r="434" spans="1:10" ht="21.95" customHeight="1">
      <c r="A434" s="14"/>
      <c r="B434" s="14"/>
      <c r="C434" s="18" t="s">
        <v>2093</v>
      </c>
      <c r="D434" s="19">
        <f>VLOOKUP(A422,'Neraca Unaudited SIMAK'!$A$2:$S$10004,12,FALSE)</f>
        <v>11641773571</v>
      </c>
      <c r="E434" s="19">
        <f>SUM(E425:E433)</f>
        <v>0</v>
      </c>
      <c r="F434" s="19">
        <f>SUM(F425:F433)</f>
        <v>0</v>
      </c>
      <c r="G434" s="19">
        <f t="shared" si="19"/>
        <v>11641773571</v>
      </c>
      <c r="H434" s="122"/>
    </row>
    <row r="435" spans="1:10" ht="21.95" customHeight="1">
      <c r="A435" s="14"/>
      <c r="B435" s="14"/>
      <c r="C435" s="16" t="s">
        <v>2087</v>
      </c>
      <c r="D435" s="17">
        <f>VLOOKUP(A422,'Neraca Unaudited SIMAK'!$A$2:$S$10004,13,FALSE)</f>
        <v>-1657576022</v>
      </c>
      <c r="E435" s="25">
        <f>SUMIFS('Daftar Koreksi'!$I$5:$I$92,'Daftar Koreksi'!$D$5:$D$92,'0900'!A422,'Daftar Koreksi'!$G$5:$G$92,"Peralatan dan mesin",'Daftar Koreksi'!$I$5:$I$92,"&gt;0")</f>
        <v>0</v>
      </c>
      <c r="F435" s="25">
        <f>SUMIFS('Daftar Koreksi'!$I$5:$I$92,'Daftar Koreksi'!$D$5:$D$92,'0900'!A422,'Daftar Koreksi'!$G$5:$G$92,"Peralatan dan mesin",'Daftar Koreksi'!$I$5:$I$92,"&lt;0")-SUMIFS('Daftar Koreksi'!$I$5:$I$92,'Daftar Koreksi'!$D$5:$D$92,'0900'!A422,'Daftar Koreksi'!$G$5:$G$92,"Peralatan dan mesin",'Daftar Koreksi'!$I$5:$I$92,"&lt;0")-SUMIFS('Daftar Koreksi'!$I$5:$I$92,'Daftar Koreksi'!$D$5:$D$92,'0900'!A422,'Daftar Koreksi'!$G$5:$G$92,"Peralatan dan mesin",'Daftar Koreksi'!$I$5:$I$92,"&lt;0")</f>
        <v>0</v>
      </c>
      <c r="G435" s="17">
        <f t="shared" si="19"/>
        <v>-1657576022</v>
      </c>
      <c r="H435" s="122"/>
    </row>
    <row r="436" spans="1:10" ht="21.95" customHeight="1">
      <c r="A436" s="14"/>
      <c r="B436" s="14"/>
      <c r="C436" s="16" t="s">
        <v>2088</v>
      </c>
      <c r="D436" s="17">
        <f>VLOOKUP(A422,'Neraca Unaudited SIMAK'!$A$2:$S$10004,14,FALSE)</f>
        <v>-909229998</v>
      </c>
      <c r="E436" s="25">
        <f>SUMIFS('Daftar Koreksi'!$I$5:$I$92,'Daftar Koreksi'!$D$5:$D$92,'0900'!A422,'Daftar Koreksi'!$G$5:$G$92,"Gedung dan Bangunan",'Daftar Koreksi'!$I$5:$I$92,"&gt;0")</f>
        <v>0</v>
      </c>
      <c r="F436" s="25">
        <f>SUMIFS('Daftar Koreksi'!$I$5:$I$92,'Daftar Koreksi'!$D$5:$D$92,'0900'!A422,'Daftar Koreksi'!$G$5:$G$92,"Gedung dan Bangunan",'Daftar Koreksi'!$I$5:$I$92,"&lt;0")-SUMIFS('Daftar Koreksi'!$I$5:$I$92,'Daftar Koreksi'!$D$5:$D$92,'0900'!A422,'Daftar Koreksi'!$G$5:$G$92,"Gedung dan Bangunan",'Daftar Koreksi'!$I$5:$I$92,"&lt;0")-SUMIFS('Daftar Koreksi'!$I$5:$I$92,'Daftar Koreksi'!$D$5:$D$92,'0900'!A422,'Daftar Koreksi'!$G$5:$G$92,"Gedung dan Bangunan",'Daftar Koreksi'!$I$5:$I$92,"&lt;0")</f>
        <v>0</v>
      </c>
      <c r="G436" s="17">
        <f t="shared" si="19"/>
        <v>-909229998</v>
      </c>
      <c r="H436" s="122"/>
    </row>
    <row r="437" spans="1:10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Koreksi'!$D$5:$D$92,'0900'!A422,'Daftar Koreksi'!$G$5:$G$92,"Jalan Irigasi Jaringan",'Daftar Koreksi'!$I$5:$I$92,"&gt;0")</f>
        <v>0</v>
      </c>
      <c r="F437" s="25">
        <f>SUMIFS('Daftar Koreksi'!$I$5:$I$92,'Daftar Koreksi'!$D$5:$D$92,'0900'!A422,'Daftar Koreksi'!$G$5:$G$92,"Jalan Irigasi Jaringan",'Daftar Koreksi'!$I$5:$I$92,"&lt;0")-SUMIFS('Daftar Koreksi'!$I$5:$I$92,'Daftar Koreksi'!$D$5:$D$92,'0900'!A422,'Daftar Koreksi'!$G$5:$G$92,"Jalan Irigasi Jaringan",'Daftar Koreksi'!$I$5:$I$92,"&lt;0")-SUMIFS('Daftar Koreksi'!$I$5:$I$92,'Daftar Koreksi'!$D$5:$D$92,'0900'!A422,'Daftar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10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Koreksi'!$D$5:$D$92,'0900'!A422,'Daftar Koreksi'!$G$5:$G$92,"Aset Tetap Lainnya",'Daftar Koreksi'!$I$5:$I$92,"&gt;0")</f>
        <v>0</v>
      </c>
      <c r="F438" s="25">
        <f>SUMIFS('Daftar Koreksi'!$I$5:$I$92,'Daftar Koreksi'!$D$5:$D$92,'0900'!A422,'Daftar Koreksi'!$G$5:$G$92,"Aset Tetap Lainnya",'Daftar Koreksi'!$I$5:$I$92,"&lt;0")-SUMIFS('Daftar Koreksi'!$I$5:$I$92,'Daftar Koreksi'!$D$5:$D$92,'0900'!A422,'Daftar Koreksi'!$G$5:$G$92,"Aset Tetap Lainnya",'Daftar Koreksi'!$I$5:$I$92,"&lt;0")-SUMIFS('Daftar Koreksi'!$I$5:$I$92,'Daftar Koreksi'!$D$5:$D$92,'0900'!A422,'Daftar Koreksi'!$G$5:$G$92,"Aset Tetap Lainnya",'Daftar Koreksi'!$I$5:$I$92,"&lt;0")</f>
        <v>0</v>
      </c>
      <c r="G438" s="17">
        <f t="shared" si="19"/>
        <v>0</v>
      </c>
      <c r="H438" s="122"/>
    </row>
    <row r="439" spans="1:10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Koreksi'!$D$5:$D$92,'0900'!A422,'Daftar Koreksi'!$G$5:$G$92,"Aset Henti Guna",'Daftar Koreksi'!$I$5:$I$92,"&gt;0")</f>
        <v>0</v>
      </c>
      <c r="F439" s="25">
        <f>SUMIFS('Daftar Koreksi'!$I$5:$I$92,'Daftar Koreksi'!$D$5:$D$92,'0900'!A422,'Daftar Koreksi'!$G$5:$G$92,"Aset Henti Guna",'Daftar Koreksi'!$I$5:$I$92,"&lt;0")-SUMIFS('Daftar Koreksi'!$I$5:$I$92,'Daftar Koreksi'!$D$5:$D$92,'0900'!A422,'Daftar Koreksi'!$G$5:$G$92,"Aset Henti Guna",'Daftar Koreksi'!$I$5:$I$92,"&lt;0")-SUMIFS('Daftar Koreksi'!$I$5:$I$92,'Daftar Koreksi'!$D$5:$D$92,'0900'!A422,'Daftar Koreksi'!$G$5:$G$92,"Aset Henti Guna",'Daftar Koreksi'!$I$5:$I$92,"&lt;0")</f>
        <v>0</v>
      </c>
      <c r="G439" s="17">
        <f t="shared" si="19"/>
        <v>0</v>
      </c>
      <c r="H439" s="122"/>
    </row>
    <row r="440" spans="1:10" ht="21.95" customHeight="1">
      <c r="A440" s="14"/>
      <c r="B440" s="14"/>
      <c r="C440" s="18" t="s">
        <v>2094</v>
      </c>
      <c r="D440" s="19">
        <f>SUM(D435:D439)</f>
        <v>-2566806020</v>
      </c>
      <c r="E440" s="19">
        <f>SUM(E435:E439)</f>
        <v>0</v>
      </c>
      <c r="F440" s="19">
        <f>SUM(F435:F439)</f>
        <v>0</v>
      </c>
      <c r="G440" s="19">
        <f t="shared" si="19"/>
        <v>-2566806020</v>
      </c>
      <c r="H440" s="122"/>
    </row>
    <row r="441" spans="1:10" ht="21.95" customHeight="1">
      <c r="A441" s="14"/>
      <c r="B441" s="14"/>
      <c r="C441" s="18" t="s">
        <v>2095</v>
      </c>
      <c r="D441" s="19">
        <f>VLOOKUP(A422,'Neraca Unaudited SIMAK'!$A$2:$S$10004,18,FALSE)</f>
        <v>9074967551</v>
      </c>
      <c r="E441" s="19">
        <f>E440+E434</f>
        <v>0</v>
      </c>
      <c r="F441" s="19">
        <f>F440+F434</f>
        <v>0</v>
      </c>
      <c r="G441" s="19">
        <f t="shared" si="19"/>
        <v>9074967551</v>
      </c>
      <c r="H441" s="122"/>
    </row>
    <row r="442" spans="1:10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10" ht="19.5" customHeight="1">
      <c r="A444" s="11" t="str">
        <f>O21</f>
        <v>005010900631999000KD</v>
      </c>
      <c r="B444" s="11" t="str">
        <f>P21</f>
        <v>PA. Pangkalan Kerinci</v>
      </c>
      <c r="C444" s="12" t="str">
        <f>A444&amp;" "&amp;B444</f>
        <v>005010900631999000KD PA. Pangkalan Kerinci</v>
      </c>
      <c r="D444" s="13"/>
      <c r="E444" s="13"/>
      <c r="F444" s="13"/>
      <c r="G444" s="13"/>
      <c r="H444" s="11"/>
    </row>
    <row r="445" spans="1:10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10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10" ht="21.95" customHeight="1">
      <c r="A447" s="14"/>
      <c r="B447" s="14"/>
      <c r="C447" s="16" t="s">
        <v>1165</v>
      </c>
      <c r="D447" s="17">
        <f>VLOOKUP(A444,'Neraca Unaudited SIMAK'!$A$2:$S$10004,3,FALSE)</f>
        <v>1073382</v>
      </c>
      <c r="E447" s="25">
        <f>SUMIFS('Daftar Koreksi'!$H$5:$H$92,'Daftar Koreksi'!$D$5:$D$92,'0900'!A444,'Daftar Koreksi'!$G$5:$G$92,"Persediaan",'Daftar Koreksi'!$H$5:$H$92,"&gt;0")</f>
        <v>0</v>
      </c>
      <c r="F447" s="25">
        <f>SUMIFS('Daftar Koreksi'!$H$5:$H$92,'Daftar Koreksi'!$D$5:$D$92,'0900'!A444,'Daftar Koreksi'!$G$5:$G$92,"Persediaan",'Daftar Koreksi'!$H$5:$H$92,"&lt;0")-SUMIFS('Daftar Koreksi'!$H$5:$H$92,'Daftar Koreksi'!$D$5:$D$92,'0900'!A444,'Daftar Koreksi'!$G$5:$G$92,"Persediaan",'Daftar Koreksi'!$H$5:$H$92,"&lt;0")-SUMIFS('Daftar Koreksi'!$H$5:$H$92,'Daftar Koreksi'!$D$5:$D$92,'0900'!A444,'Daftar Koreksi'!$G$5:$G$92,"Persediaan",'Daftar Koreksi'!$H$5:$H$92,"&lt;0")</f>
        <v>0</v>
      </c>
      <c r="G447" s="17">
        <f>D447+E447-F447</f>
        <v>1073382</v>
      </c>
      <c r="H447" s="121" t="str">
        <f>IF(ISNA(VLOOKUP(A444,'Mutasi Neraca'!$A$3:$S$914,19,FALSE)),"-",VLOOKUP(A444,'Mutasi Neraca'!$A$3:$S$914,19,FALSE))</f>
        <v>TP Koreksi Hibah No. 6</v>
      </c>
      <c r="I447" s="28"/>
      <c r="J447" s="28"/>
    </row>
    <row r="448" spans="1:10" ht="21.95" customHeight="1">
      <c r="A448" s="14"/>
      <c r="B448" s="14"/>
      <c r="C448" s="16" t="s">
        <v>1166</v>
      </c>
      <c r="D448" s="17">
        <f>VLOOKUP(A444,'Neraca Unaudited SIMAK'!$A$2:$S$10004,4,FALSE)</f>
        <v>1209360000</v>
      </c>
      <c r="E448" s="25">
        <f>SUMIFS('Daftar Koreksi'!$H$5:$H$92,'Daftar Koreksi'!$D$5:$D$92,'0900'!A444,'Daftar Koreksi'!$G$5:$G$92,"Tanah",'Daftar Koreksi'!$H$5:$H$92,"&gt;0")</f>
        <v>349056000</v>
      </c>
      <c r="F448" s="25">
        <f>SUMIFS('Daftar Koreksi'!$H$5:$H$92,'Daftar Koreksi'!$D$5:$D$92,'0900'!A444,'Daftar Koreksi'!$G$5:$G$92,"Tanah",'Daftar Koreksi'!$H$5:$H$92,"&lt;0")-SUMIFS('Daftar Koreksi'!$H$5:$H$92,'Daftar Koreksi'!$D$5:$D$92,'0900'!A444,'Daftar Koreksi'!$G$5:$G$92,"Tanah",'Daftar Koreksi'!$H$5:$H$92,"&lt;0")-SUMIFS('Daftar Koreksi'!$H$5:$H$92,'Daftar Koreksi'!$D$5:$D$92,'0900'!A444,'Daftar Koreksi'!$G$5:$G$92,"Tanah",'Daftar Koreksi'!$H$5:$H$92,"&lt;0")</f>
        <v>0</v>
      </c>
      <c r="G448" s="17">
        <f t="shared" ref="G448:G464" si="20">D448+E448-F448</f>
        <v>1558416000</v>
      </c>
      <c r="H448" s="122"/>
      <c r="I448" s="28"/>
      <c r="J448" s="28"/>
    </row>
    <row r="449" spans="1:10" ht="21.95" customHeight="1">
      <c r="A449" s="14"/>
      <c r="B449" s="14"/>
      <c r="C449" s="16" t="s">
        <v>1167</v>
      </c>
      <c r="D449" s="17">
        <f>VLOOKUP(A444,'Neraca Unaudited SIMAK'!$A$2:$S$10004,5,FALSE)</f>
        <v>1408124484</v>
      </c>
      <c r="E449" s="25">
        <f>SUMIFS('Daftar Koreksi'!$H$5:$H$92,'Daftar Koreksi'!$D$5:$D$92,'0900'!A444,'Daftar Koreksi'!$G$5:$G$92,"Peralatan dan mesin",'Daftar Koreksi'!$H$5:$H$92,"&gt;0")</f>
        <v>0</v>
      </c>
      <c r="F449" s="25">
        <f>SUMIFS('Daftar Koreksi'!$H$5:$H$92,'Daftar Koreksi'!$D$5:$D$92,'0900'!A444,'Daftar Koreksi'!$G$5:$G$92,"Peralatan dan mesin",'Daftar Koreksi'!$H$5:$H$92,"&lt;0")-SUMIFS('Daftar Koreksi'!$H$5:$H$92,'Daftar Koreksi'!$D$5:$D$92,'0900'!A444,'Daftar Koreksi'!$G$5:$G$92,"Peralatan dan mesin",'Daftar Koreksi'!$H$5:$H$92,"&lt;0")-SUMIFS('Daftar Koreksi'!$H$5:$H$92,'Daftar Koreksi'!$D$5:$D$92,'0900'!A444,'Daftar Koreksi'!$G$5:$G$92,"Peralatan dan mesin",'Daftar Koreksi'!$H$5:$H$92,"&lt;0")</f>
        <v>0</v>
      </c>
      <c r="G449" s="17">
        <f t="shared" si="20"/>
        <v>1408124484</v>
      </c>
      <c r="H449" s="122"/>
      <c r="I449" s="28"/>
      <c r="J449" s="28"/>
    </row>
    <row r="450" spans="1:10" ht="21.95" customHeight="1">
      <c r="A450" s="14"/>
      <c r="B450" s="14"/>
      <c r="C450" s="16" t="s">
        <v>1168</v>
      </c>
      <c r="D450" s="17">
        <f>VLOOKUP(A444,'Neraca Unaudited SIMAK'!$A$2:$S$10004,6,FALSE)</f>
        <v>5543286950</v>
      </c>
      <c r="E450" s="25">
        <f>SUMIFS('Daftar Koreksi'!$H$5:$H$92,'Daftar Koreksi'!$D$5:$D$92,'0900'!A444,'Daftar Koreksi'!$G$5:$G$92,"Gedung dan Bangunan",'Daftar Koreksi'!$H$5:$H$92,"&gt;0")</f>
        <v>0</v>
      </c>
      <c r="F450" s="25">
        <f>SUMIFS('Daftar Koreksi'!$H$5:$H$92,'Daftar Koreksi'!$D$5:$D$92,'0900'!A444,'Daftar Koreksi'!$G$5:$G$92,"Gedung dan Bangunan",'Daftar Koreksi'!$H$5:$H$92,"&lt;0")-SUMIFS('Daftar Koreksi'!$H$5:$H$92,'Daftar Koreksi'!$D$5:$D$92,'0900'!A444,'Daftar Koreksi'!$G$5:$G$92,"Gedung dan Bangunan",'Daftar Koreksi'!$H$5:$H$92,"&lt;0")-SUMIFS('Daftar Koreksi'!$H$5:$H$92,'Daftar Koreksi'!$D$5:$D$92,'0900'!A444,'Daftar Koreksi'!$G$5:$G$92,"Gedung dan Bangunan",'Daftar Koreksi'!$H$5:$H$92,"&lt;0")</f>
        <v>0</v>
      </c>
      <c r="G450" s="17">
        <f t="shared" si="20"/>
        <v>5543286950</v>
      </c>
      <c r="H450" s="122"/>
      <c r="I450" s="28"/>
      <c r="J450" s="28"/>
    </row>
    <row r="451" spans="1:10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Koreksi'!$D$5:$D$92,'0900'!A444,'Daftar Koreksi'!$G$5:$G$92,"Jalan Irigasi Jaringan",'Daftar Koreksi'!$H$5:$H$92,"&gt;0")</f>
        <v>0</v>
      </c>
      <c r="F451" s="25">
        <f>SUMIFS('Daftar Koreksi'!$H$5:$H$92,'Daftar Koreksi'!$D$5:$D$92,'0900'!A444,'Daftar Koreksi'!$G$5:$G$92,"Jalan Irigasi Jaringan",'Daftar Koreksi'!$H$5:$H$92,"&lt;0")-SUMIFS('Daftar Koreksi'!$H$5:$H$92,'Daftar Koreksi'!$D$5:$D$92,'0900'!A444,'Daftar Koreksi'!$G$5:$G$92,"Jalan Irigasi Jaringan",'Daftar Koreksi'!$H$5:$H$92,"&lt;0")-SUMIFS('Daftar Koreksi'!$H$5:$H$92,'Daftar Koreksi'!$D$5:$D$92,'0900'!A444,'Daftar Koreksi'!$G$5:$G$92,"Jalan Irigasi Jaringan",'Daftar Koreksi'!$H$5:$H$92,"&lt;0")</f>
        <v>0</v>
      </c>
      <c r="G451" s="17">
        <f t="shared" si="20"/>
        <v>0</v>
      </c>
      <c r="H451" s="122"/>
      <c r="I451" s="28"/>
      <c r="J451" s="28"/>
    </row>
    <row r="452" spans="1:10" ht="21.95" customHeight="1">
      <c r="A452" s="14"/>
      <c r="B452" s="14"/>
      <c r="C452" s="16" t="s">
        <v>1170</v>
      </c>
      <c r="D452" s="17">
        <f>VLOOKUP(A444,'Neraca Unaudited SIMAK'!$A$2:$S$10004,8,FALSE)</f>
        <v>18967126</v>
      </c>
      <c r="E452" s="25">
        <f>SUMIFS('Daftar Koreksi'!$H$5:$H$92,'Daftar Koreksi'!$D$5:$D$92,'0900'!A444,'Daftar Koreksi'!$G$5:$G$92,"Aset Tetap Lainnya",'Daftar Koreksi'!$H$5:$H$92,"&gt;0")</f>
        <v>0</v>
      </c>
      <c r="F452" s="25">
        <f>SUMIFS('Daftar Koreksi'!$H$5:$H$92,'Daftar Koreksi'!$D$5:$D$92,'0900'!A444,'Daftar Koreksi'!$G$5:$G$92,"Aset Tetap Lainnya",'Daftar Koreksi'!$H$5:$H$92,"&lt;0")-SUMIFS('Daftar Koreksi'!$H$5:$H$92,'Daftar Koreksi'!$D$5:$D$92,'0900'!A444,'Daftar Koreksi'!$G$5:$G$92,"Aset Tetap Lainnya",'Daftar Koreksi'!$H$5:$H$92,"&lt;0")-SUMIFS('Daftar Koreksi'!$H$5:$H$92,'Daftar Koreksi'!$D$5:$D$92,'0900'!A444,'Daftar Koreksi'!$G$5:$G$92,"Aset Tetap Lainnya",'Daftar Koreksi'!$H$5:$H$92,"&lt;0")</f>
        <v>0</v>
      </c>
      <c r="G452" s="17">
        <f t="shared" si="20"/>
        <v>18967126</v>
      </c>
      <c r="H452" s="122"/>
      <c r="I452" s="28"/>
      <c r="J452" s="28"/>
    </row>
    <row r="453" spans="1:10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Koreksi'!$D$5:$D$92,'0900'!A444,'Daftar Koreksi'!$G$5:$G$92,"Kontruksi Dalam Pengerjaan",'Daftar Koreksi'!$H$5:$H$92,"&gt;0")</f>
        <v>0</v>
      </c>
      <c r="F453" s="25">
        <f>SUMIFS('Daftar Koreksi'!$H$5:$H$92,'Daftar Koreksi'!$D$5:$D$92,'0900'!A444,'Daftar Koreksi'!$G$5:$G$92,"Kontruksi Dalam Pengerjaan",'Daftar Koreksi'!$H$5:$H$92,"&lt;0")-SUMIFS('Daftar Koreksi'!$H$5:$H$92,'Daftar Koreksi'!$D$5:$D$92,'0900'!A444,'Daftar Koreksi'!$G$5:$G$92,"Kontruksi Dalam Pengerjaan",'Daftar Koreksi'!$H$5:$H$92,"&lt;0")-SUMIFS('Daftar Koreksi'!$H$5:$H$92,'Daftar Koreksi'!$D$5:$D$92,'0900'!A444,'Daftar Koreksi'!$G$5:$G$92,"Kontruksi Dalam Pengerjaan",'Daftar Koreksi'!$H$5:$H$92,"&lt;0")</f>
        <v>0</v>
      </c>
      <c r="G453" s="17">
        <f t="shared" si="20"/>
        <v>0</v>
      </c>
      <c r="H453" s="122"/>
      <c r="I453" s="28"/>
      <c r="J453" s="28"/>
    </row>
    <row r="454" spans="1:10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Koreksi'!$D$5:$D$92,'0900'!A444,'Daftar Koreksi'!$G$5:$G$92,"Aset Tak Berwujud",'Daftar Koreksi'!$H$5:$H$92,"&gt;0")</f>
        <v>0</v>
      </c>
      <c r="F454" s="25">
        <f>SUMIFS('Daftar Koreksi'!$H$5:$H$92,'Daftar Koreksi'!$D$5:$D$92,'0900'!A444,'Daftar Koreksi'!$G$5:$G$92,"Aset Tak Berwujud",'Daftar Koreksi'!$H$5:$H$92,"&lt;0")-SUMIFS('Daftar Koreksi'!$H$5:$H$92,'Daftar Koreksi'!$D$5:$D$92,'0900'!A444,'Daftar Koreksi'!$G$5:$G$92,"Aset Tak Berwujud",'Daftar Koreksi'!$H$5:$H$92,"&lt;0")-SUMIFS('Daftar Koreksi'!$H$5:$H$92,'Daftar Koreksi'!$D$5:$D$92,'0900'!A444,'Daftar Koreksi'!$G$5:$G$92,"Aset Tak Berwujud",'Daftar Koreksi'!$H$5:$H$92,"&lt;0")</f>
        <v>0</v>
      </c>
      <c r="G454" s="17">
        <f t="shared" si="20"/>
        <v>0</v>
      </c>
      <c r="H454" s="122"/>
      <c r="I454" s="28"/>
      <c r="J454" s="28"/>
    </row>
    <row r="455" spans="1:10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Koreksi'!$D$5:$D$92,'0900'!A444,'Daftar Koreksi'!$G$5:$G$92,"Aset Henti Guna",'Daftar Koreksi'!$H$5:$H$92,"&gt;0")</f>
        <v>0</v>
      </c>
      <c r="F455" s="25">
        <f>SUMIFS('Daftar Koreksi'!$H$5:$H$92,'Daftar Koreksi'!$D$5:$D$92,'0900'!A444,'Daftar Koreksi'!$G$5:$G$92,"Aset Henti Guna",'Daftar Koreksi'!$H$5:$H$92,"&lt;0")-SUMIFS('Daftar Koreksi'!$H$5:$H$92,'Daftar Koreksi'!$D$5:$D$92,'0900'!A444,'Daftar Koreksi'!$G$5:$G$92,"Aset Henti Guna",'Daftar Koreksi'!$H$5:$H$92,"&lt;0")-SUMIFS('Daftar Koreksi'!$H$5:$H$92,'Daftar Koreksi'!$D$5:$D$92,'0900'!A444,'Daftar Koreksi'!$G$5:$G$92,"Aset Henti Guna",'Daftar Koreksi'!$H$5:$H$92,"&lt;0")</f>
        <v>0</v>
      </c>
      <c r="G455" s="17">
        <f t="shared" si="20"/>
        <v>0</v>
      </c>
      <c r="H455" s="122"/>
      <c r="I455" s="28"/>
      <c r="J455" s="28"/>
    </row>
    <row r="456" spans="1:10" ht="21.95" customHeight="1">
      <c r="A456" s="14"/>
      <c r="B456" s="14"/>
      <c r="C456" s="18" t="s">
        <v>2093</v>
      </c>
      <c r="D456" s="19">
        <f>VLOOKUP(A444,'Neraca Unaudited SIMAK'!$A$2:$S$10004,12,FALSE)</f>
        <v>8180811942</v>
      </c>
      <c r="E456" s="19">
        <f>SUM(E447:E455)</f>
        <v>349056000</v>
      </c>
      <c r="F456" s="19">
        <f>SUM(F447:F455)</f>
        <v>0</v>
      </c>
      <c r="G456" s="19">
        <f t="shared" si="20"/>
        <v>8529867942</v>
      </c>
      <c r="H456" s="122"/>
      <c r="I456" s="28"/>
      <c r="J456" s="28"/>
    </row>
    <row r="457" spans="1:10" ht="21.95" customHeight="1">
      <c r="A457" s="14"/>
      <c r="B457" s="14"/>
      <c r="C457" s="16" t="s">
        <v>2087</v>
      </c>
      <c r="D457" s="17">
        <f>VLOOKUP(A444,'Neraca Unaudited SIMAK'!$A$2:$S$10004,13,FALSE)</f>
        <v>-1170168096</v>
      </c>
      <c r="E457" s="25">
        <f>SUMIFS('Daftar Koreksi'!$I$5:$I$92,'Daftar Koreksi'!$D$5:$D$92,'0900'!A444,'Daftar Koreksi'!$G$5:$G$92,"Peralatan dan mesin",'Daftar Koreksi'!$I$5:$I$92,"&gt;0")</f>
        <v>0</v>
      </c>
      <c r="F457" s="25">
        <f>SUMIFS('Daftar Koreksi'!$I$5:$I$92,'Daftar Koreksi'!$D$5:$D$92,'0900'!A444,'Daftar Koreksi'!$G$5:$G$92,"Peralatan dan mesin",'Daftar Koreksi'!$I$5:$I$92,"&lt;0")-SUMIFS('Daftar Koreksi'!$I$5:$I$92,'Daftar Koreksi'!$D$5:$D$92,'0900'!A444,'Daftar Koreksi'!$G$5:$G$92,"Peralatan dan mesin",'Daftar Koreksi'!$I$5:$I$92,"&lt;0")-SUMIFS('Daftar Koreksi'!$I$5:$I$92,'Daftar Koreksi'!$D$5:$D$92,'0900'!A444,'Daftar Koreksi'!$G$5:$G$92,"Peralatan dan mesin",'Daftar Koreksi'!$I$5:$I$92,"&lt;0")</f>
        <v>0</v>
      </c>
      <c r="G457" s="17">
        <f t="shared" si="20"/>
        <v>-1170168096</v>
      </c>
      <c r="H457" s="122"/>
      <c r="I457" s="28"/>
      <c r="J457" s="28"/>
    </row>
    <row r="458" spans="1:10" ht="21.95" customHeight="1">
      <c r="A458" s="14"/>
      <c r="B458" s="14"/>
      <c r="C458" s="16" t="s">
        <v>2088</v>
      </c>
      <c r="D458" s="17">
        <f>VLOOKUP(A444,'Neraca Unaudited SIMAK'!$A$2:$S$10004,14,FALSE)</f>
        <v>-1016157297</v>
      </c>
      <c r="E458" s="25">
        <f>SUMIFS('Daftar Koreksi'!$I$5:$I$92,'Daftar Koreksi'!$D$5:$D$92,'0900'!A444,'Daftar Koreksi'!$G$5:$G$92,"Gedung dan Bangunan",'Daftar Koreksi'!$I$5:$I$92,"&gt;0")</f>
        <v>0</v>
      </c>
      <c r="F458" s="25">
        <f>SUMIFS('Daftar Koreksi'!$I$5:$I$92,'Daftar Koreksi'!$D$5:$D$92,'0900'!A444,'Daftar Koreksi'!$G$5:$G$92,"Gedung dan Bangunan",'Daftar Koreksi'!$I$5:$I$92,"&lt;0")-SUMIFS('Daftar Koreksi'!$I$5:$I$92,'Daftar Koreksi'!$D$5:$D$92,'0900'!A444,'Daftar Koreksi'!$G$5:$G$92,"Gedung dan Bangunan",'Daftar Koreksi'!$I$5:$I$92,"&lt;0")-SUMIFS('Daftar Koreksi'!$I$5:$I$92,'Daftar Koreksi'!$D$5:$D$92,'0900'!A444,'Daftar Koreksi'!$G$5:$G$92,"Gedung dan Bangunan",'Daftar Koreksi'!$I$5:$I$92,"&lt;0")</f>
        <v>0</v>
      </c>
      <c r="G458" s="17">
        <f t="shared" si="20"/>
        <v>-1016157297</v>
      </c>
      <c r="H458" s="122"/>
      <c r="I458" s="28"/>
      <c r="J458" s="28"/>
    </row>
    <row r="459" spans="1:10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Koreksi'!$D$5:$D$92,'0900'!A444,'Daftar Koreksi'!$G$5:$G$92,"Jalan Irigasi Jaringan",'Daftar Koreksi'!$I$5:$I$92,"&gt;0")</f>
        <v>0</v>
      </c>
      <c r="F459" s="25">
        <f>SUMIFS('Daftar Koreksi'!$I$5:$I$92,'Daftar Koreksi'!$D$5:$D$92,'0900'!A444,'Daftar Koreksi'!$G$5:$G$92,"Jalan Irigasi Jaringan",'Daftar Koreksi'!$I$5:$I$92,"&lt;0")-SUMIFS('Daftar Koreksi'!$I$5:$I$92,'Daftar Koreksi'!$D$5:$D$92,'0900'!A444,'Daftar Koreksi'!$G$5:$G$92,"Jalan Irigasi Jaringan",'Daftar Koreksi'!$I$5:$I$92,"&lt;0")-SUMIFS('Daftar Koreksi'!$I$5:$I$92,'Daftar Koreksi'!$D$5:$D$92,'0900'!A444,'Daftar Koreksi'!$G$5:$G$92,"Jalan Irigasi Jaringan",'Daftar Koreksi'!$I$5:$I$92,"&lt;0")</f>
        <v>0</v>
      </c>
      <c r="G459" s="17">
        <f t="shared" si="20"/>
        <v>0</v>
      </c>
      <c r="H459" s="122"/>
      <c r="I459" s="28"/>
      <c r="J459" s="28"/>
    </row>
    <row r="460" spans="1:10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Koreksi'!$D$5:$D$92,'0900'!A444,'Daftar Koreksi'!$G$5:$G$92,"Aset Tetap Lainnya",'Daftar Koreksi'!$I$5:$I$92,"&gt;0")</f>
        <v>0</v>
      </c>
      <c r="F460" s="25">
        <f>SUMIFS('Daftar Koreksi'!$I$5:$I$92,'Daftar Koreksi'!$D$5:$D$92,'0900'!A444,'Daftar Koreksi'!$G$5:$G$92,"Aset Tetap Lainnya",'Daftar Koreksi'!$I$5:$I$92,"&lt;0")-SUMIFS('Daftar Koreksi'!$I$5:$I$92,'Daftar Koreksi'!$D$5:$D$92,'0900'!A444,'Daftar Koreksi'!$G$5:$G$92,"Aset Tetap Lainnya",'Daftar Koreksi'!$I$5:$I$92,"&lt;0")-SUMIFS('Daftar Koreksi'!$I$5:$I$92,'Daftar Koreksi'!$D$5:$D$92,'0900'!A444,'Daftar Koreksi'!$G$5:$G$92,"Aset Tetap Lainnya",'Daftar Koreksi'!$I$5:$I$92,"&lt;0")</f>
        <v>0</v>
      </c>
      <c r="G460" s="17">
        <f t="shared" si="20"/>
        <v>0</v>
      </c>
      <c r="H460" s="122"/>
      <c r="I460" s="28"/>
      <c r="J460" s="28"/>
    </row>
    <row r="461" spans="1:10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Koreksi'!$D$5:$D$92,'0900'!A444,'Daftar Koreksi'!$G$5:$G$92,"Aset Henti Guna",'Daftar Koreksi'!$I$5:$I$92,"&gt;0")</f>
        <v>0</v>
      </c>
      <c r="F461" s="25">
        <f>SUMIFS('Daftar Koreksi'!$I$5:$I$92,'Daftar Koreksi'!$D$5:$D$92,'0900'!A444,'Daftar Koreksi'!$G$5:$G$92,"Aset Henti Guna",'Daftar Koreksi'!$I$5:$I$92,"&lt;0")-SUMIFS('Daftar Koreksi'!$I$5:$I$92,'Daftar Koreksi'!$D$5:$D$92,'0900'!A444,'Daftar Koreksi'!$G$5:$G$92,"Aset Henti Guna",'Daftar Koreksi'!$I$5:$I$92,"&lt;0")-SUMIFS('Daftar Koreksi'!$I$5:$I$92,'Daftar Koreksi'!$D$5:$D$92,'0900'!A444,'Daftar Koreksi'!$G$5:$G$92,"Aset Henti Guna",'Daftar Koreksi'!$I$5:$I$92,"&lt;0")</f>
        <v>0</v>
      </c>
      <c r="G461" s="17">
        <f t="shared" si="20"/>
        <v>0</v>
      </c>
      <c r="H461" s="122"/>
      <c r="I461" s="28"/>
      <c r="J461" s="28"/>
    </row>
    <row r="462" spans="1:10" ht="21.95" customHeight="1">
      <c r="A462" s="14"/>
      <c r="B462" s="14"/>
      <c r="C462" s="18" t="s">
        <v>2094</v>
      </c>
      <c r="D462" s="19">
        <f>SUM(D457:D461)</f>
        <v>-2186325393</v>
      </c>
      <c r="E462" s="19">
        <f>SUM(E457:E461)</f>
        <v>0</v>
      </c>
      <c r="F462" s="19">
        <f>SUM(F457:F461)</f>
        <v>0</v>
      </c>
      <c r="G462" s="19">
        <f t="shared" si="20"/>
        <v>-2186325393</v>
      </c>
      <c r="H462" s="122"/>
      <c r="I462" s="28"/>
      <c r="J462" s="28"/>
    </row>
    <row r="463" spans="1:10" ht="21.95" customHeight="1">
      <c r="A463" s="14"/>
      <c r="B463" s="14"/>
      <c r="C463" s="18" t="s">
        <v>2095</v>
      </c>
      <c r="D463" s="19">
        <f>VLOOKUP(A444,'Neraca Unaudited SIMAK'!$A$2:$S$10004,18,FALSE)</f>
        <v>5994486549</v>
      </c>
      <c r="E463" s="19">
        <f>E462+E456</f>
        <v>349056000</v>
      </c>
      <c r="F463" s="19">
        <f>F462+F456</f>
        <v>0</v>
      </c>
      <c r="G463" s="19">
        <f t="shared" si="20"/>
        <v>6343542549</v>
      </c>
      <c r="H463" s="122"/>
      <c r="I463" s="28"/>
      <c r="J463" s="28"/>
    </row>
    <row r="464" spans="1:10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  <c r="I464" s="28"/>
      <c r="J464" s="28"/>
    </row>
    <row r="466" spans="1:8" ht="19.5" customHeight="1">
      <c r="A466" s="11" t="str">
        <f>O22</f>
        <v>005010900632001000KD</v>
      </c>
      <c r="B466" s="11" t="str">
        <f>P22</f>
        <v>PA. Ujung Tanjung</v>
      </c>
      <c r="C466" s="12" t="str">
        <f>A466&amp;" "&amp;B466</f>
        <v>005010900632001000KD PA. Ujung Tanjung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629000</v>
      </c>
      <c r="E469" s="25">
        <f>SUMIFS('Daftar Koreksi'!$H$5:$H$92,'Daftar Koreksi'!$D$5:$D$92,'0900'!A466,'Daftar Koreksi'!$G$5:$G$92,"Persediaan",'Daftar Koreksi'!$H$5:$H$92,"&gt;0")</f>
        <v>0</v>
      </c>
      <c r="F469" s="25">
        <f>SUMIFS('Daftar Koreksi'!$H$5:$H$92,'Daftar Koreksi'!$D$5:$D$92,'0900'!A466,'Daftar Koreksi'!$G$5:$G$92,"Persediaan",'Daftar Koreksi'!$H$5:$H$92,"&lt;0")-SUMIFS('Daftar Koreksi'!$H$5:$H$92,'Daftar Koreksi'!$D$5:$D$92,'0900'!A466,'Daftar Koreksi'!$G$5:$G$92,"Persediaan",'Daftar Koreksi'!$H$5:$H$92,"&lt;0")-SUMIFS('Daftar Koreksi'!$H$5:$H$92,'Daftar Koreksi'!$D$5:$D$92,'0900'!A466,'Daftar Koreksi'!$G$5:$G$92,"Persediaan",'Daftar Koreksi'!$H$5:$H$92,"&lt;0")</f>
        <v>0</v>
      </c>
      <c r="G469" s="17">
        <f>D469+E469-F469</f>
        <v>629000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638050000</v>
      </c>
      <c r="E470" s="25">
        <f>SUMIFS('Daftar Koreksi'!$H$5:$H$92,'Daftar Koreksi'!$D$5:$D$92,'0900'!A466,'Daftar Koreksi'!$G$5:$G$92,"Tanah",'Daftar Koreksi'!$H$5:$H$92,"&gt;0")</f>
        <v>0</v>
      </c>
      <c r="F470" s="25">
        <f>SUMIFS('Daftar Koreksi'!$H$5:$H$92,'Daftar Koreksi'!$D$5:$D$92,'0900'!A466,'Daftar Koreksi'!$G$5:$G$92,"Tanah",'Daftar Koreksi'!$H$5:$H$92,"&lt;0")-SUMIFS('Daftar Koreksi'!$H$5:$H$92,'Daftar Koreksi'!$D$5:$D$92,'0900'!A466,'Daftar Koreksi'!$G$5:$G$92,"Tanah",'Daftar Koreksi'!$H$5:$H$92,"&lt;0")-SUMIFS('Daftar Koreksi'!$H$5:$H$92,'Daftar Koreksi'!$D$5:$D$92,'0900'!A466,'Daftar Koreksi'!$G$5:$G$92,"Tanah",'Daftar Koreksi'!$H$5:$H$92,"&lt;0")</f>
        <v>0</v>
      </c>
      <c r="G470" s="17">
        <f t="shared" ref="G470:G486" si="21">D470+E470-F470</f>
        <v>638050000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1091655369</v>
      </c>
      <c r="E471" s="25">
        <f>SUMIFS('Daftar Koreksi'!$H$5:$H$92,'Daftar Koreksi'!$D$5:$D$92,'0900'!A466,'Daftar Koreksi'!$G$5:$G$92,"Peralatan dan mesin",'Daftar Koreksi'!$H$5:$H$92,"&gt;0")</f>
        <v>0</v>
      </c>
      <c r="F471" s="25">
        <f>SUMIFS('Daftar Koreksi'!$H$5:$H$92,'Daftar Koreksi'!$D$5:$D$92,'0900'!A466,'Daftar Koreksi'!$G$5:$G$92,"Peralatan dan mesin",'Daftar Koreksi'!$H$5:$H$92,"&lt;0")-SUMIFS('Daftar Koreksi'!$H$5:$H$92,'Daftar Koreksi'!$D$5:$D$92,'0900'!A466,'Daftar Koreksi'!$G$5:$G$92,"Peralatan dan mesin",'Daftar Koreksi'!$H$5:$H$92,"&lt;0")-SUMIFS('Daftar Koreksi'!$H$5:$H$92,'Daftar Koreksi'!$D$5:$D$92,'0900'!A466,'Daftar Koreksi'!$G$5:$G$92,"Peralatan dan mesin",'Daftar Koreksi'!$H$5:$H$92,"&lt;0")</f>
        <v>0</v>
      </c>
      <c r="G471" s="17">
        <f t="shared" si="21"/>
        <v>1091655369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2133233500</v>
      </c>
      <c r="E472" s="25">
        <f>SUMIFS('Daftar Koreksi'!$H$5:$H$92,'Daftar Koreksi'!$D$5:$D$92,'0900'!A466,'Daftar Koreksi'!$G$5:$G$92,"Gedung dan Bangunan",'Daftar Koreksi'!$H$5:$H$92,"&gt;0")</f>
        <v>0</v>
      </c>
      <c r="F472" s="25">
        <f>SUMIFS('Daftar Koreksi'!$H$5:$H$92,'Daftar Koreksi'!$D$5:$D$92,'0900'!A466,'Daftar Koreksi'!$G$5:$G$92,"Gedung dan Bangunan",'Daftar Koreksi'!$H$5:$H$92,"&lt;0")-SUMIFS('Daftar Koreksi'!$H$5:$H$92,'Daftar Koreksi'!$D$5:$D$92,'0900'!A466,'Daftar Koreksi'!$G$5:$G$92,"Gedung dan Bangunan",'Daftar Koreksi'!$H$5:$H$92,"&lt;0")-SUMIFS('Daftar Koreksi'!$H$5:$H$92,'Daftar Koreksi'!$D$5:$D$92,'0900'!A466,'Daftar Koreksi'!$G$5:$G$92,"Gedung dan Bangunan",'Daftar Koreksi'!$H$5:$H$92,"&lt;0")</f>
        <v>0</v>
      </c>
      <c r="G472" s="17">
        <f t="shared" si="21"/>
        <v>2133233500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Koreksi'!$D$5:$D$92,'0900'!A466,'Daftar Koreksi'!$G$5:$G$92,"Jalan Irigasi Jaringan",'Daftar Koreksi'!$H$5:$H$92,"&gt;0")</f>
        <v>0</v>
      </c>
      <c r="F473" s="25">
        <f>SUMIFS('Daftar Koreksi'!$H$5:$H$92,'Daftar Koreksi'!$D$5:$D$92,'0900'!A466,'Daftar Koreksi'!$G$5:$G$92,"Jalan Irigasi Jaringan",'Daftar Koreksi'!$H$5:$H$92,"&lt;0")-SUMIFS('Daftar Koreksi'!$H$5:$H$92,'Daftar Koreksi'!$D$5:$D$92,'0900'!A466,'Daftar Koreksi'!$G$5:$G$92,"Jalan Irigasi Jaringan",'Daftar Koreksi'!$H$5:$H$92,"&lt;0")-SUMIFS('Daftar Koreksi'!$H$5:$H$92,'Daftar Koreksi'!$D$5:$D$92,'0900'!A466,'Daftar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799220</v>
      </c>
      <c r="E474" s="25">
        <f>SUMIFS('Daftar Koreksi'!$H$5:$H$92,'Daftar Koreksi'!$D$5:$D$92,'0900'!A466,'Daftar Koreksi'!$G$5:$G$92,"Aset Tetap Lainnya",'Daftar Koreksi'!$H$5:$H$92,"&gt;0")</f>
        <v>0</v>
      </c>
      <c r="F474" s="25">
        <f>SUMIFS('Daftar Koreksi'!$H$5:$H$92,'Daftar Koreksi'!$D$5:$D$92,'0900'!A466,'Daftar Koreksi'!$G$5:$G$92,"Aset Tetap Lainnya",'Daftar Koreksi'!$H$5:$H$92,"&lt;0")-SUMIFS('Daftar Koreksi'!$H$5:$H$92,'Daftar Koreksi'!$D$5:$D$92,'0900'!A466,'Daftar Koreksi'!$G$5:$G$92,"Aset Tetap Lainnya",'Daftar Koreksi'!$H$5:$H$92,"&lt;0")-SUMIFS('Daftar Koreksi'!$H$5:$H$92,'Daftar Koreksi'!$D$5:$D$92,'0900'!A466,'Daftar Koreksi'!$G$5:$G$92,"Aset Tetap Lainnya",'Daftar Koreksi'!$H$5:$H$92,"&lt;0")</f>
        <v>0</v>
      </c>
      <c r="G474" s="17">
        <f t="shared" si="21"/>
        <v>799220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Koreksi'!$D$5:$D$92,'0900'!A466,'Daftar Koreksi'!$G$5:$G$92,"Kontruksi Dalam Pengerjaan",'Daftar Koreksi'!$H$5:$H$92,"&gt;0")</f>
        <v>0</v>
      </c>
      <c r="F475" s="25">
        <f>SUMIFS('Daftar Koreksi'!$H$5:$H$92,'Daftar Koreksi'!$D$5:$D$92,'0900'!A466,'Daftar Koreksi'!$G$5:$G$92,"Kontruksi Dalam Pengerjaan",'Daftar Koreksi'!$H$5:$H$92,"&lt;0")-SUMIFS('Daftar Koreksi'!$H$5:$H$92,'Daftar Koreksi'!$D$5:$D$92,'0900'!A466,'Daftar Koreksi'!$G$5:$G$92,"Kontruksi Dalam Pengerjaan",'Daftar Koreksi'!$H$5:$H$92,"&lt;0")-SUMIFS('Daftar Koreksi'!$H$5:$H$92,'Daftar Koreksi'!$D$5:$D$92,'0900'!A466,'Daftar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17185000</v>
      </c>
      <c r="E476" s="25">
        <f>SUMIFS('Daftar Koreksi'!$H$5:$H$92,'Daftar Koreksi'!$D$5:$D$92,'0900'!A466,'Daftar Koreksi'!$G$5:$G$92,"Aset Tak Berwujud",'Daftar Koreksi'!$H$5:$H$92,"&gt;0")</f>
        <v>0</v>
      </c>
      <c r="F476" s="25">
        <f>SUMIFS('Daftar Koreksi'!$H$5:$H$92,'Daftar Koreksi'!$D$5:$D$92,'0900'!A466,'Daftar Koreksi'!$G$5:$G$92,"Aset Tak Berwujud",'Daftar Koreksi'!$H$5:$H$92,"&lt;0")-SUMIFS('Daftar Koreksi'!$H$5:$H$92,'Daftar Koreksi'!$D$5:$D$92,'0900'!A466,'Daftar Koreksi'!$G$5:$G$92,"Aset Tak Berwujud",'Daftar Koreksi'!$H$5:$H$92,"&lt;0")-SUMIFS('Daftar Koreksi'!$H$5:$H$92,'Daftar Koreksi'!$D$5:$D$92,'0900'!A466,'Daftar Koreksi'!$G$5:$G$92,"Aset Tak Berwujud",'Daftar Koreksi'!$H$5:$H$92,"&lt;0")</f>
        <v>0</v>
      </c>
      <c r="G476" s="17">
        <f t="shared" si="21"/>
        <v>17185000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15400298</v>
      </c>
      <c r="E477" s="25">
        <f>SUMIFS('Daftar Koreksi'!$H$5:$H$92,'Daftar Koreksi'!$D$5:$D$92,'0900'!A466,'Daftar Koreksi'!$G$5:$G$92,"Aset Henti Guna",'Daftar Koreksi'!$H$5:$H$92,"&gt;0")</f>
        <v>0</v>
      </c>
      <c r="F477" s="25">
        <f>SUMIFS('Daftar Koreksi'!$H$5:$H$92,'Daftar Koreksi'!$D$5:$D$92,'0900'!A466,'Daftar Koreksi'!$G$5:$G$92,"Aset Henti Guna",'Daftar Koreksi'!$H$5:$H$92,"&lt;0")-SUMIFS('Daftar Koreksi'!$H$5:$H$92,'Daftar Koreksi'!$D$5:$D$92,'0900'!A466,'Daftar Koreksi'!$G$5:$G$92,"Aset Henti Guna",'Daftar Koreksi'!$H$5:$H$92,"&lt;0")-SUMIFS('Daftar Koreksi'!$H$5:$H$92,'Daftar Koreksi'!$D$5:$D$92,'0900'!A466,'Daftar Koreksi'!$G$5:$G$92,"Aset Henti Guna",'Daftar Koreksi'!$H$5:$H$92,"&lt;0")</f>
        <v>0</v>
      </c>
      <c r="G477" s="17">
        <f t="shared" si="21"/>
        <v>15400298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3896952387</v>
      </c>
      <c r="E478" s="19">
        <f>SUM(E469:E477)</f>
        <v>0</v>
      </c>
      <c r="F478" s="19">
        <f>SUM(F469:F477)</f>
        <v>0</v>
      </c>
      <c r="G478" s="19">
        <f t="shared" si="21"/>
        <v>3896952387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-944734984</v>
      </c>
      <c r="E479" s="25">
        <f>SUMIFS('Daftar Koreksi'!$I$5:$I$92,'Daftar Koreksi'!$D$5:$D$92,'0900'!A466,'Daftar Koreksi'!$G$5:$G$92,"Peralatan dan mesin",'Daftar Koreksi'!$I$5:$I$92,"&gt;0")</f>
        <v>0</v>
      </c>
      <c r="F479" s="25">
        <f>SUMIFS('Daftar Koreksi'!$I$5:$I$92,'Daftar Koreksi'!$D$5:$D$92,'0900'!A466,'Daftar Koreksi'!$G$5:$G$92,"Peralatan dan mesin",'Daftar Koreksi'!$I$5:$I$92,"&lt;0")-SUMIFS('Daftar Koreksi'!$I$5:$I$92,'Daftar Koreksi'!$D$5:$D$92,'0900'!A466,'Daftar Koreksi'!$G$5:$G$92,"Peralatan dan mesin",'Daftar Koreksi'!$I$5:$I$92,"&lt;0")-SUMIFS('Daftar Koreksi'!$I$5:$I$92,'Daftar Koreksi'!$D$5:$D$92,'0900'!A466,'Daftar Koreksi'!$G$5:$G$92,"Peralatan dan mesin",'Daftar Koreksi'!$I$5:$I$92,"&lt;0")</f>
        <v>0</v>
      </c>
      <c r="G479" s="17">
        <f t="shared" si="21"/>
        <v>-944734984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-314811705</v>
      </c>
      <c r="E480" s="25">
        <f>SUMIFS('Daftar Koreksi'!$I$5:$I$92,'Daftar Koreksi'!$D$5:$D$92,'0900'!A466,'Daftar Koreksi'!$G$5:$G$92,"Gedung dan Bangunan",'Daftar Koreksi'!$I$5:$I$92,"&gt;0")</f>
        <v>0</v>
      </c>
      <c r="F480" s="25">
        <f>SUMIFS('Daftar Koreksi'!$I$5:$I$92,'Daftar Koreksi'!$D$5:$D$92,'0900'!A466,'Daftar Koreksi'!$G$5:$G$92,"Gedung dan Bangunan",'Daftar Koreksi'!$I$5:$I$92,"&lt;0")-SUMIFS('Daftar Koreksi'!$I$5:$I$92,'Daftar Koreksi'!$D$5:$D$92,'0900'!A466,'Daftar Koreksi'!$G$5:$G$92,"Gedung dan Bangunan",'Daftar Koreksi'!$I$5:$I$92,"&lt;0")-SUMIFS('Daftar Koreksi'!$I$5:$I$92,'Daftar Koreksi'!$D$5:$D$92,'0900'!A466,'Daftar Koreksi'!$G$5:$G$92,"Gedung dan Bangunan",'Daftar Koreksi'!$I$5:$I$92,"&lt;0")</f>
        <v>0</v>
      </c>
      <c r="G480" s="17">
        <f t="shared" si="21"/>
        <v>-314811705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Koreksi'!$D$5:$D$92,'0900'!A466,'Daftar Koreksi'!$G$5:$G$92,"Jalan Irigasi Jaringan",'Daftar Koreksi'!$I$5:$I$92,"&gt;0")</f>
        <v>0</v>
      </c>
      <c r="F481" s="25">
        <f>SUMIFS('Daftar Koreksi'!$I$5:$I$92,'Daftar Koreksi'!$D$5:$D$92,'0900'!A466,'Daftar Koreksi'!$G$5:$G$92,"Jalan Irigasi Jaringan",'Daftar Koreksi'!$I$5:$I$92,"&lt;0")-SUMIFS('Daftar Koreksi'!$I$5:$I$92,'Daftar Koreksi'!$D$5:$D$92,'0900'!A466,'Daftar Koreksi'!$G$5:$G$92,"Jalan Irigasi Jaringan",'Daftar Koreksi'!$I$5:$I$92,"&lt;0")-SUMIFS('Daftar Koreksi'!$I$5:$I$92,'Daftar Koreksi'!$D$5:$D$92,'0900'!A466,'Daftar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Koreksi'!$D$5:$D$92,'0900'!A466,'Daftar Koreksi'!$G$5:$G$92,"Aset Tetap Lainnya",'Daftar Koreksi'!$I$5:$I$92,"&gt;0")</f>
        <v>0</v>
      </c>
      <c r="F482" s="25">
        <f>SUMIFS('Daftar Koreksi'!$I$5:$I$92,'Daftar Koreksi'!$D$5:$D$92,'0900'!A466,'Daftar Koreksi'!$G$5:$G$92,"Aset Tetap Lainnya",'Daftar Koreksi'!$I$5:$I$92,"&lt;0")-SUMIFS('Daftar Koreksi'!$I$5:$I$92,'Daftar Koreksi'!$D$5:$D$92,'0900'!A466,'Daftar Koreksi'!$G$5:$G$92,"Aset Tetap Lainnya",'Daftar Koreksi'!$I$5:$I$92,"&lt;0")-SUMIFS('Daftar Koreksi'!$I$5:$I$92,'Daftar Koreksi'!$D$5:$D$92,'0900'!A466,'Daftar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-15400298</v>
      </c>
      <c r="E483" s="25">
        <f>SUMIFS('Daftar Koreksi'!$I$5:$I$92,'Daftar Koreksi'!$D$5:$D$92,'0900'!A466,'Daftar Koreksi'!$G$5:$G$92,"Aset Henti Guna",'Daftar Koreksi'!$I$5:$I$92,"&gt;0")</f>
        <v>0</v>
      </c>
      <c r="F483" s="25">
        <f>SUMIFS('Daftar Koreksi'!$I$5:$I$92,'Daftar Koreksi'!$D$5:$D$92,'0900'!A466,'Daftar Koreksi'!$G$5:$G$92,"Aset Henti Guna",'Daftar Koreksi'!$I$5:$I$92,"&lt;0")-SUMIFS('Daftar Koreksi'!$I$5:$I$92,'Daftar Koreksi'!$D$5:$D$92,'0900'!A466,'Daftar Koreksi'!$G$5:$G$92,"Aset Henti Guna",'Daftar Koreksi'!$I$5:$I$92,"&lt;0")-SUMIFS('Daftar Koreksi'!$I$5:$I$92,'Daftar Koreksi'!$D$5:$D$92,'0900'!A466,'Daftar Koreksi'!$G$5:$G$92,"Aset Henti Guna",'Daftar Koreksi'!$I$5:$I$92,"&lt;0")</f>
        <v>0</v>
      </c>
      <c r="G483" s="17">
        <f t="shared" si="21"/>
        <v>-15400298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-1274946987</v>
      </c>
      <c r="E484" s="19">
        <f>SUM(E479:E483)</f>
        <v>0</v>
      </c>
      <c r="F484" s="19">
        <f>SUM(F479:F483)</f>
        <v>0</v>
      </c>
      <c r="G484" s="19">
        <f t="shared" si="21"/>
        <v>-1274946987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2622005400</v>
      </c>
      <c r="E485" s="19">
        <f>E484+E478</f>
        <v>0</v>
      </c>
      <c r="F485" s="19">
        <f>F484+F478</f>
        <v>0</v>
      </c>
      <c r="G485" s="19">
        <f t="shared" si="21"/>
        <v>2622005400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005010900662990000KD</v>
      </c>
      <c r="B488" s="11" t="str">
        <f>P23</f>
        <v>PN. Pasir Pangaraian</v>
      </c>
      <c r="C488" s="12" t="str">
        <f>A488&amp;" "&amp;B488</f>
        <v>005010900662990000KD PN. Pasir Pangaraian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4084000</v>
      </c>
      <c r="E491" s="25">
        <f>SUMIFS('Daftar Koreksi'!$H$5:$H$92,'Daftar Koreksi'!$D$5:$D$92,'0900'!A488,'Daftar Koreksi'!$G$5:$G$92,"Persediaan",'Daftar Koreksi'!$H$5:$H$92,"&gt;0")</f>
        <v>0</v>
      </c>
      <c r="F491" s="25">
        <f>SUMIFS('Daftar Koreksi'!$H$5:$H$92,'Daftar Koreksi'!$D$5:$D$92,'0900'!A488,'Daftar Koreksi'!$G$5:$G$92,"Persediaan",'Daftar Koreksi'!$H$5:$H$92,"&lt;0")-SUMIFS('Daftar Koreksi'!$H$5:$H$92,'Daftar Koreksi'!$D$5:$D$92,'0900'!A488,'Daftar Koreksi'!$G$5:$G$92,"Persediaan",'Daftar Koreksi'!$H$5:$H$92,"&lt;0")-SUMIFS('Daftar Koreksi'!$H$5:$H$92,'Daftar Koreksi'!$D$5:$D$92,'0900'!A488,'Daftar Koreksi'!$G$5:$G$92,"Persediaan",'Daftar Koreksi'!$H$5:$H$92,"&lt;0")</f>
        <v>0</v>
      </c>
      <c r="G491" s="17">
        <f>D491+E491-F491</f>
        <v>4084000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1770958000</v>
      </c>
      <c r="E492" s="25">
        <f>SUMIFS('Daftar Koreksi'!$H$5:$H$92,'Daftar Koreksi'!$D$5:$D$92,'0900'!A488,'Daftar Koreksi'!$G$5:$G$92,"Tanah",'Daftar Koreksi'!$H$5:$H$92,"&gt;0")</f>
        <v>0</v>
      </c>
      <c r="F492" s="25">
        <f>SUMIFS('Daftar Koreksi'!$H$5:$H$92,'Daftar Koreksi'!$D$5:$D$92,'0900'!A488,'Daftar Koreksi'!$G$5:$G$92,"Tanah",'Daftar Koreksi'!$H$5:$H$92,"&lt;0")-SUMIFS('Daftar Koreksi'!$H$5:$H$92,'Daftar Koreksi'!$D$5:$D$92,'0900'!A488,'Daftar Koreksi'!$G$5:$G$92,"Tanah",'Daftar Koreksi'!$H$5:$H$92,"&lt;0")-SUMIFS('Daftar Koreksi'!$H$5:$H$92,'Daftar Koreksi'!$D$5:$D$92,'0900'!A488,'Daftar Koreksi'!$G$5:$G$92,"Tanah",'Daftar Koreksi'!$H$5:$H$92,"&lt;0")</f>
        <v>0</v>
      </c>
      <c r="G492" s="17">
        <f t="shared" ref="G492:G508" si="22">D492+E492-F492</f>
        <v>1770958000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1786803258</v>
      </c>
      <c r="E493" s="25">
        <f>SUMIFS('Daftar Koreksi'!$H$5:$H$92,'Daftar Koreksi'!$D$5:$D$92,'0900'!A488,'Daftar Koreksi'!$G$5:$G$92,"Peralatan dan mesin",'Daftar Koreksi'!$H$5:$H$92,"&gt;0")</f>
        <v>0</v>
      </c>
      <c r="F493" s="25">
        <f>SUMIFS('Daftar Koreksi'!$H$5:$H$92,'Daftar Koreksi'!$D$5:$D$92,'0900'!A488,'Daftar Koreksi'!$G$5:$G$92,"Peralatan dan mesin",'Daftar Koreksi'!$H$5:$H$92,"&lt;0")-SUMIFS('Daftar Koreksi'!$H$5:$H$92,'Daftar Koreksi'!$D$5:$D$92,'0900'!A488,'Daftar Koreksi'!$G$5:$G$92,"Peralatan dan mesin",'Daftar Koreksi'!$H$5:$H$92,"&lt;0")-SUMIFS('Daftar Koreksi'!$H$5:$H$92,'Daftar Koreksi'!$D$5:$D$92,'0900'!A488,'Daftar Koreksi'!$G$5:$G$92,"Peralatan dan mesin",'Daftar Koreksi'!$H$5:$H$92,"&lt;0")</f>
        <v>0</v>
      </c>
      <c r="G493" s="17">
        <f t="shared" si="22"/>
        <v>1786803258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3266195000</v>
      </c>
      <c r="E494" s="25">
        <f>SUMIFS('Daftar Koreksi'!$H$5:$H$92,'Daftar Koreksi'!$D$5:$D$92,'0900'!A488,'Daftar Koreksi'!$G$5:$G$92,"Gedung dan Bangunan",'Daftar Koreksi'!$H$5:$H$92,"&gt;0")</f>
        <v>0</v>
      </c>
      <c r="F494" s="25">
        <f>SUMIFS('Daftar Koreksi'!$H$5:$H$92,'Daftar Koreksi'!$D$5:$D$92,'0900'!A488,'Daftar Koreksi'!$G$5:$G$92,"Gedung dan Bangunan",'Daftar Koreksi'!$H$5:$H$92,"&lt;0")-SUMIFS('Daftar Koreksi'!$H$5:$H$92,'Daftar Koreksi'!$D$5:$D$92,'0900'!A488,'Daftar Koreksi'!$G$5:$G$92,"Gedung dan Bangunan",'Daftar Koreksi'!$H$5:$H$92,"&lt;0")-SUMIFS('Daftar Koreksi'!$H$5:$H$92,'Daftar Koreksi'!$D$5:$D$92,'0900'!A488,'Daftar Koreksi'!$G$5:$G$92,"Gedung dan Bangunan",'Daftar Koreksi'!$H$5:$H$92,"&lt;0")</f>
        <v>0</v>
      </c>
      <c r="G494" s="17">
        <f t="shared" si="22"/>
        <v>3266195000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7415000</v>
      </c>
      <c r="E495" s="25">
        <f>SUMIFS('Daftar Koreksi'!$H$5:$H$92,'Daftar Koreksi'!$D$5:$D$92,'0900'!A488,'Daftar Koreksi'!$G$5:$G$92,"Jalan Irigasi Jaringan",'Daftar Koreksi'!$H$5:$H$92,"&gt;0")</f>
        <v>0</v>
      </c>
      <c r="F495" s="25">
        <f>SUMIFS('Daftar Koreksi'!$H$5:$H$92,'Daftar Koreksi'!$D$5:$D$92,'0900'!A488,'Daftar Koreksi'!$G$5:$G$92,"Jalan Irigasi Jaringan",'Daftar Koreksi'!$H$5:$H$92,"&lt;0")-SUMIFS('Daftar Koreksi'!$H$5:$H$92,'Daftar Koreksi'!$D$5:$D$92,'0900'!A488,'Daftar Koreksi'!$G$5:$G$92,"Jalan Irigasi Jaringan",'Daftar Koreksi'!$H$5:$H$92,"&lt;0")-SUMIFS('Daftar Koreksi'!$H$5:$H$92,'Daftar Koreksi'!$D$5:$D$92,'0900'!A488,'Daftar Koreksi'!$G$5:$G$92,"Jalan Irigasi Jaringan",'Daftar Koreksi'!$H$5:$H$92,"&lt;0")</f>
        <v>0</v>
      </c>
      <c r="G495" s="17">
        <f t="shared" si="22"/>
        <v>7415000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1943440</v>
      </c>
      <c r="E496" s="25">
        <f>SUMIFS('Daftar Koreksi'!$H$5:$H$92,'Daftar Koreksi'!$D$5:$D$92,'0900'!A488,'Daftar Koreksi'!$G$5:$G$92,"Aset Tetap Lainnya",'Daftar Koreksi'!$H$5:$H$92,"&gt;0")</f>
        <v>0</v>
      </c>
      <c r="F496" s="25">
        <f>SUMIFS('Daftar Koreksi'!$H$5:$H$92,'Daftar Koreksi'!$D$5:$D$92,'0900'!A488,'Daftar Koreksi'!$G$5:$G$92,"Aset Tetap Lainnya",'Daftar Koreksi'!$H$5:$H$92,"&lt;0")-SUMIFS('Daftar Koreksi'!$H$5:$H$92,'Daftar Koreksi'!$D$5:$D$92,'0900'!A488,'Daftar Koreksi'!$G$5:$G$92,"Aset Tetap Lainnya",'Daftar Koreksi'!$H$5:$H$92,"&lt;0")-SUMIFS('Daftar Koreksi'!$H$5:$H$92,'Daftar Koreksi'!$D$5:$D$92,'0900'!A488,'Daftar Koreksi'!$G$5:$G$92,"Aset Tetap Lainnya",'Daftar Koreksi'!$H$5:$H$92,"&lt;0")</f>
        <v>0</v>
      </c>
      <c r="G496" s="17">
        <f t="shared" si="22"/>
        <v>1943440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9815989100</v>
      </c>
      <c r="E497" s="25">
        <f>SUMIFS('Daftar Koreksi'!$H$5:$H$92,'Daftar Koreksi'!$D$5:$D$92,'0900'!A488,'Daftar Koreksi'!$G$5:$G$92,"Kontruksi Dalam Pengerjaan",'Daftar Koreksi'!$H$5:$H$92,"&gt;0")</f>
        <v>0</v>
      </c>
      <c r="F497" s="25">
        <f>SUMIFS('Daftar Koreksi'!$H$5:$H$92,'Daftar Koreksi'!$D$5:$D$92,'0900'!A488,'Daftar Koreksi'!$G$5:$G$92,"Kontruksi Dalam Pengerjaan",'Daftar Koreksi'!$H$5:$H$92,"&lt;0")-SUMIFS('Daftar Koreksi'!$H$5:$H$92,'Daftar Koreksi'!$D$5:$D$92,'0900'!A488,'Daftar Koreksi'!$G$5:$G$92,"Kontruksi Dalam Pengerjaan",'Daftar Koreksi'!$H$5:$H$92,"&lt;0")-SUMIFS('Daftar Koreksi'!$H$5:$H$92,'Daftar Koreksi'!$D$5:$D$92,'0900'!A488,'Daftar Koreksi'!$G$5:$G$92,"Kontruksi Dalam Pengerjaan",'Daftar Koreksi'!$H$5:$H$92,"&lt;0")</f>
        <v>0</v>
      </c>
      <c r="G497" s="17">
        <f t="shared" si="22"/>
        <v>9815989100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Koreksi'!$D$5:$D$92,'0900'!A488,'Daftar Koreksi'!$G$5:$G$92,"Aset Tak Berwujud",'Daftar Koreksi'!$H$5:$H$92,"&gt;0")</f>
        <v>0</v>
      </c>
      <c r="F498" s="25">
        <f>SUMIFS('Daftar Koreksi'!$H$5:$H$92,'Daftar Koreksi'!$D$5:$D$92,'0900'!A488,'Daftar Koreksi'!$G$5:$G$92,"Aset Tak Berwujud",'Daftar Koreksi'!$H$5:$H$92,"&lt;0")-SUMIFS('Daftar Koreksi'!$H$5:$H$92,'Daftar Koreksi'!$D$5:$D$92,'0900'!A488,'Daftar Koreksi'!$G$5:$G$92,"Aset Tak Berwujud",'Daftar Koreksi'!$H$5:$H$92,"&lt;0")-SUMIFS('Daftar Koreksi'!$H$5:$H$92,'Daftar Koreksi'!$D$5:$D$92,'0900'!A488,'Daftar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413352000</v>
      </c>
      <c r="E499" s="25">
        <f>SUMIFS('Daftar Koreksi'!$H$5:$H$92,'Daftar Koreksi'!$D$5:$D$92,'0900'!A488,'Daftar Koreksi'!$G$5:$G$92,"Aset Henti Guna",'Daftar Koreksi'!$H$5:$H$92,"&gt;0")</f>
        <v>0</v>
      </c>
      <c r="F499" s="25">
        <f>SUMIFS('Daftar Koreksi'!$H$5:$H$92,'Daftar Koreksi'!$D$5:$D$92,'0900'!A488,'Daftar Koreksi'!$G$5:$G$92,"Aset Henti Guna",'Daftar Koreksi'!$H$5:$H$92,"&lt;0")-SUMIFS('Daftar Koreksi'!$H$5:$H$92,'Daftar Koreksi'!$D$5:$D$92,'0900'!A488,'Daftar Koreksi'!$G$5:$G$92,"Aset Henti Guna",'Daftar Koreksi'!$H$5:$H$92,"&lt;0")-SUMIFS('Daftar Koreksi'!$H$5:$H$92,'Daftar Koreksi'!$D$5:$D$92,'0900'!A488,'Daftar Koreksi'!$G$5:$G$92,"Aset Henti Guna",'Daftar Koreksi'!$H$5:$H$92,"&lt;0")</f>
        <v>0</v>
      </c>
      <c r="G499" s="17">
        <f t="shared" si="22"/>
        <v>413352000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17066739798</v>
      </c>
      <c r="E500" s="19">
        <f>SUM(E491:E499)</f>
        <v>0</v>
      </c>
      <c r="F500" s="19">
        <f>SUM(F491:F499)</f>
        <v>0</v>
      </c>
      <c r="G500" s="19">
        <f t="shared" si="22"/>
        <v>17066739798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-920221702</v>
      </c>
      <c r="E501" s="25">
        <f>SUMIFS('Daftar Koreksi'!$I$5:$I$92,'Daftar Koreksi'!$D$5:$D$92,'0900'!A488,'Daftar Koreksi'!$G$5:$G$92,"Peralatan dan mesin",'Daftar Koreksi'!$I$5:$I$92,"&gt;0")</f>
        <v>0</v>
      </c>
      <c r="F501" s="25">
        <f>SUMIFS('Daftar Koreksi'!$I$5:$I$92,'Daftar Koreksi'!$D$5:$D$92,'0900'!A488,'Daftar Koreksi'!$G$5:$G$92,"Peralatan dan mesin",'Daftar Koreksi'!$I$5:$I$92,"&lt;0")-SUMIFS('Daftar Koreksi'!$I$5:$I$92,'Daftar Koreksi'!$D$5:$D$92,'0900'!A488,'Daftar Koreksi'!$G$5:$G$92,"Peralatan dan mesin",'Daftar Koreksi'!$I$5:$I$92,"&lt;0")-SUMIFS('Daftar Koreksi'!$I$5:$I$92,'Daftar Koreksi'!$D$5:$D$92,'0900'!A488,'Daftar Koreksi'!$G$5:$G$92,"Peralatan dan mesin",'Daftar Koreksi'!$I$5:$I$92,"&lt;0")</f>
        <v>0</v>
      </c>
      <c r="G501" s="17">
        <f t="shared" si="22"/>
        <v>-920221702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-535703570</v>
      </c>
      <c r="E502" s="25">
        <f>SUMIFS('Daftar Koreksi'!$I$5:$I$92,'Daftar Koreksi'!$D$5:$D$92,'0900'!A488,'Daftar Koreksi'!$G$5:$G$92,"Gedung dan Bangunan",'Daftar Koreksi'!$I$5:$I$92,"&gt;0")</f>
        <v>0</v>
      </c>
      <c r="F502" s="25">
        <f>SUMIFS('Daftar Koreksi'!$I$5:$I$92,'Daftar Koreksi'!$D$5:$D$92,'0900'!A488,'Daftar Koreksi'!$G$5:$G$92,"Gedung dan Bangunan",'Daftar Koreksi'!$I$5:$I$92,"&lt;0")-SUMIFS('Daftar Koreksi'!$I$5:$I$92,'Daftar Koreksi'!$D$5:$D$92,'0900'!A488,'Daftar Koreksi'!$G$5:$G$92,"Gedung dan Bangunan",'Daftar Koreksi'!$I$5:$I$92,"&lt;0")-SUMIFS('Daftar Koreksi'!$I$5:$I$92,'Daftar Koreksi'!$D$5:$D$92,'0900'!A488,'Daftar Koreksi'!$G$5:$G$92,"Gedung dan Bangunan",'Daftar Koreksi'!$I$5:$I$92,"&lt;0")</f>
        <v>0</v>
      </c>
      <c r="G502" s="17">
        <f t="shared" si="22"/>
        <v>-535703570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-3707500</v>
      </c>
      <c r="E503" s="25">
        <f>SUMIFS('Daftar Koreksi'!$I$5:$I$92,'Daftar Koreksi'!$D$5:$D$92,'0900'!A488,'Daftar Koreksi'!$G$5:$G$92,"Jalan Irigasi Jaringan",'Daftar Koreksi'!$I$5:$I$92,"&gt;0")</f>
        <v>0</v>
      </c>
      <c r="F503" s="25">
        <f>SUMIFS('Daftar Koreksi'!$I$5:$I$92,'Daftar Koreksi'!$D$5:$D$92,'0900'!A488,'Daftar Koreksi'!$G$5:$G$92,"Jalan Irigasi Jaringan",'Daftar Koreksi'!$I$5:$I$92,"&lt;0")-SUMIFS('Daftar Koreksi'!$I$5:$I$92,'Daftar Koreksi'!$D$5:$D$92,'0900'!A488,'Daftar Koreksi'!$G$5:$G$92,"Jalan Irigasi Jaringan",'Daftar Koreksi'!$I$5:$I$92,"&lt;0")-SUMIFS('Daftar Koreksi'!$I$5:$I$92,'Daftar Koreksi'!$D$5:$D$92,'0900'!A488,'Daftar Koreksi'!$G$5:$G$92,"Jalan Irigasi Jaringan",'Daftar Koreksi'!$I$5:$I$92,"&lt;0")</f>
        <v>0</v>
      </c>
      <c r="G503" s="17">
        <f t="shared" si="22"/>
        <v>-3707500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Koreksi'!$D$5:$D$92,'0900'!A488,'Daftar Koreksi'!$G$5:$G$92,"Aset Tetap Lainnya",'Daftar Koreksi'!$I$5:$I$92,"&gt;0")</f>
        <v>0</v>
      </c>
      <c r="F504" s="25">
        <f>SUMIFS('Daftar Koreksi'!$I$5:$I$92,'Daftar Koreksi'!$D$5:$D$92,'0900'!A488,'Daftar Koreksi'!$G$5:$G$92,"Aset Tetap Lainnya",'Daftar Koreksi'!$I$5:$I$92,"&lt;0")-SUMIFS('Daftar Koreksi'!$I$5:$I$92,'Daftar Koreksi'!$D$5:$D$92,'0900'!A488,'Daftar Koreksi'!$G$5:$G$92,"Aset Tetap Lainnya",'Daftar Koreksi'!$I$5:$I$92,"&lt;0")-SUMIFS('Daftar Koreksi'!$I$5:$I$92,'Daftar Koreksi'!$D$5:$D$92,'0900'!A488,'Daftar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-236221320</v>
      </c>
      <c r="E505" s="25">
        <f>SUMIFS('Daftar Koreksi'!$I$5:$I$92,'Daftar Koreksi'!$D$5:$D$92,'0900'!A488,'Daftar Koreksi'!$G$5:$G$92,"Aset Henti Guna",'Daftar Koreksi'!$I$5:$I$92,"&gt;0")</f>
        <v>0</v>
      </c>
      <c r="F505" s="25">
        <f>SUMIFS('Daftar Koreksi'!$I$5:$I$92,'Daftar Koreksi'!$D$5:$D$92,'0900'!A488,'Daftar Koreksi'!$G$5:$G$92,"Aset Henti Guna",'Daftar Koreksi'!$I$5:$I$92,"&lt;0")-SUMIFS('Daftar Koreksi'!$I$5:$I$92,'Daftar Koreksi'!$D$5:$D$92,'0900'!A488,'Daftar Koreksi'!$G$5:$G$92,"Aset Henti Guna",'Daftar Koreksi'!$I$5:$I$92,"&lt;0")-SUMIFS('Daftar Koreksi'!$I$5:$I$92,'Daftar Koreksi'!$D$5:$D$92,'0900'!A488,'Daftar Koreksi'!$G$5:$G$92,"Aset Henti Guna",'Daftar Koreksi'!$I$5:$I$92,"&lt;0")</f>
        <v>0</v>
      </c>
      <c r="G505" s="17">
        <f t="shared" si="22"/>
        <v>-236221320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-1695854092</v>
      </c>
      <c r="E506" s="19">
        <f>SUM(E501:E505)</f>
        <v>0</v>
      </c>
      <c r="F506" s="19">
        <f>SUM(F501:F505)</f>
        <v>0</v>
      </c>
      <c r="G506" s="19">
        <f t="shared" si="22"/>
        <v>-1695854092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15370885706</v>
      </c>
      <c r="E507" s="19">
        <f>E506+E500</f>
        <v>0</v>
      </c>
      <c r="F507" s="19">
        <f>F506+F500</f>
        <v>0</v>
      </c>
      <c r="G507" s="19">
        <f t="shared" si="22"/>
        <v>15370885706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</sheetData>
  <mergeCells count="138">
    <mergeCell ref="H491:H508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489:C490"/>
    <mergeCell ref="D489:D490"/>
    <mergeCell ref="E489:F489"/>
    <mergeCell ref="G489:G490"/>
    <mergeCell ref="H489:H490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H469:H486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0" manualBreakCount="10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P508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4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389</v>
      </c>
      <c r="P1" s="8" t="s">
        <v>1527</v>
      </c>
    </row>
    <row r="2" spans="1:16" ht="19.5" customHeight="1">
      <c r="C2" s="9" t="s">
        <v>2106</v>
      </c>
      <c r="O2" s="8" t="s">
        <v>390</v>
      </c>
      <c r="P2" s="8" t="s">
        <v>1528</v>
      </c>
    </row>
    <row r="3" spans="1:16" ht="19.5" customHeight="1">
      <c r="O3" s="8" t="s">
        <v>391</v>
      </c>
      <c r="P3" s="8" t="s">
        <v>1529</v>
      </c>
    </row>
    <row r="4" spans="1:16" ht="19.5" customHeight="1">
      <c r="A4" s="11" t="str">
        <f>O1</f>
        <v>005011000098895000KD</v>
      </c>
      <c r="B4" s="11" t="str">
        <f>P1</f>
        <v>PN. Jambi</v>
      </c>
      <c r="C4" s="12" t="str">
        <f>A4&amp;" "&amp;B4</f>
        <v>005011000098895000KD PN. Jambi</v>
      </c>
      <c r="D4" s="13"/>
      <c r="E4" s="13"/>
      <c r="F4" s="13"/>
      <c r="G4" s="13"/>
      <c r="H4" s="11"/>
      <c r="O4" s="8" t="s">
        <v>392</v>
      </c>
      <c r="P4" s="8" t="s">
        <v>1530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393</v>
      </c>
      <c r="P5" s="8" t="s">
        <v>1531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394</v>
      </c>
      <c r="P6" s="8" t="s">
        <v>1532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16238500</v>
      </c>
      <c r="E7" s="25">
        <f>SUMIFS('Daftar Koreksi'!$H$5:$H$92,'Daftar Koreksi'!$D$5:$D$92,'1000'!A4,'Daftar Koreksi'!$G$5:$G$92,"Persediaan",'Daftar Koreksi'!$H$5:$H$92,"&gt;0")</f>
        <v>0</v>
      </c>
      <c r="F7" s="25">
        <f>SUMIFS('Daftar Koreksi'!$H$5:$H$92,'Daftar Koreksi'!$D$5:$D$92,'1000'!A4,'Daftar Koreksi'!$G$5:$G$92,"Persediaan",'Daftar Koreksi'!$H$5:$H$92,"&lt;0")-SUMIFS('Daftar Koreksi'!$H$5:$H$92,'Daftar Koreksi'!$D$5:$D$92,'1000'!A4,'Daftar Koreksi'!$G$5:$G$92,"Persediaan",'Daftar Koreksi'!$H$5:$H$92,"&lt;0")-SUMIFS('Daftar Koreksi'!$H$5:$H$92,'Daftar Koreksi'!$D$5:$D$92,'1000'!A4,'Daftar Koreksi'!$G$5:$G$92,"Persediaan",'Daftar Koreksi'!$H$5:$H$92,"&lt;0")</f>
        <v>0</v>
      </c>
      <c r="G7" s="17">
        <f>D7+E7-F7</f>
        <v>16238500</v>
      </c>
      <c r="H7" s="121" t="str">
        <f>IF(ISNA(VLOOKUP(A4,'Mutasi Neraca'!$A$3:$S$914,19,FALSE)),"-",VLOOKUP(A4,'Mutasi Neraca'!$A$3:$S$914,19,FALSE))</f>
        <v>-</v>
      </c>
      <c r="O7" s="8" t="s">
        <v>395</v>
      </c>
      <c r="P7" s="8" t="s">
        <v>1533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585485500</v>
      </c>
      <c r="E8" s="25">
        <f>SUMIFS('Daftar Koreksi'!$H$5:$H$92,'Daftar Koreksi'!$D$5:$D$92,'1000'!A4,'Daftar Koreksi'!$G$5:$G$92,"Tanah",'Daftar Koreksi'!$H$5:$H$92,"&gt;0")</f>
        <v>0</v>
      </c>
      <c r="F8" s="25">
        <f>SUMIFS('Daftar Koreksi'!$H$5:$H$92,'Daftar Koreksi'!$D$5:$D$92,'1000'!A4,'Daftar Koreksi'!$G$5:$G$92,"Tanah",'Daftar Koreksi'!$H$5:$H$92,"&lt;0")-SUMIFS('Daftar Koreksi'!$H$5:$H$92,'Daftar Koreksi'!$D$5:$D$92,'1000'!A4,'Daftar Koreksi'!$G$5:$G$92,"Tanah",'Daftar Koreksi'!$H$5:$H$92,"&lt;0")-SUMIFS('Daftar Koreksi'!$H$5:$H$92,'Daftar Koreksi'!$D$5:$D$92,'1000'!A4,'Daftar Koreksi'!$G$5:$G$92,"Tanah",'Daftar Koreksi'!$H$5:$H$92,"&lt;0")</f>
        <v>0</v>
      </c>
      <c r="G8" s="17">
        <f t="shared" ref="G8:G24" si="0">D8+E8-F8</f>
        <v>585485500</v>
      </c>
      <c r="H8" s="122"/>
      <c r="O8" s="8" t="s">
        <v>396</v>
      </c>
      <c r="P8" s="8" t="s">
        <v>1534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2955052034</v>
      </c>
      <c r="E9" s="25">
        <f>SUMIFS('Daftar Koreksi'!$H$5:$H$92,'Daftar Koreksi'!$D$5:$D$92,'1000'!A4,'Daftar Koreksi'!$G$5:$G$92,"Peralatan dan mesin",'Daftar Koreksi'!$H$5:$H$92,"&gt;0")</f>
        <v>0</v>
      </c>
      <c r="F9" s="25">
        <f>SUMIFS('Daftar Koreksi'!$H$5:$H$92,'Daftar Koreksi'!$D$5:$D$92,'1000'!A4,'Daftar Koreksi'!$G$5:$G$92,"Peralatan dan mesin",'Daftar Koreksi'!$H$5:$H$92,"&lt;0")-SUMIFS('Daftar Koreksi'!$H$5:$H$92,'Daftar Koreksi'!$D$5:$D$92,'1000'!A4,'Daftar Koreksi'!$G$5:$G$92,"Peralatan dan mesin",'Daftar Koreksi'!$H$5:$H$92,"&lt;0")-SUMIFS('Daftar Koreksi'!$H$5:$H$92,'Daftar Koreksi'!$D$5:$D$92,'1000'!A4,'Daftar Koreksi'!$G$5:$G$92,"Peralatan dan mesin",'Daftar Koreksi'!$H$5:$H$92,"&lt;0")</f>
        <v>0</v>
      </c>
      <c r="G9" s="17">
        <f t="shared" si="0"/>
        <v>2955052034</v>
      </c>
      <c r="H9" s="122"/>
      <c r="O9" s="8" t="s">
        <v>397</v>
      </c>
      <c r="P9" s="8" t="s">
        <v>1535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12527525460</v>
      </c>
      <c r="E10" s="25">
        <f>SUMIFS('Daftar Koreksi'!$H$5:$H$92,'Daftar Koreksi'!$D$5:$D$92,'1000'!A4,'Daftar Koreksi'!$G$5:$G$92,"Gedung dan Bangunan",'Daftar Koreksi'!$H$5:$H$92,"&gt;0")</f>
        <v>0</v>
      </c>
      <c r="F10" s="25">
        <f>SUMIFS('Daftar Koreksi'!$H$5:$H$92,'Daftar Koreksi'!$D$5:$D$92,'1000'!A4,'Daftar Koreksi'!$G$5:$G$92,"Gedung dan Bangunan",'Daftar Koreksi'!$H$5:$H$92,"&lt;0")-SUMIFS('Daftar Koreksi'!$H$5:$H$92,'Daftar Koreksi'!$D$5:$D$92,'1000'!A4,'Daftar Koreksi'!$G$5:$G$92,"Gedung dan Bangunan",'Daftar Koreksi'!$H$5:$H$92,"&lt;0")-SUMIFS('Daftar Koreksi'!$H$5:$H$92,'Daftar Koreksi'!$D$5:$D$92,'1000'!A4,'Daftar Koreksi'!$G$5:$G$92,"Gedung dan Bangunan",'Daftar Koreksi'!$H$5:$H$92,"&lt;0")</f>
        <v>0</v>
      </c>
      <c r="G10" s="17">
        <f t="shared" si="0"/>
        <v>12527525460</v>
      </c>
      <c r="H10" s="122"/>
      <c r="O10" s="8" t="s">
        <v>398</v>
      </c>
      <c r="P10" s="8" t="s">
        <v>1536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176300000</v>
      </c>
      <c r="E11" s="25">
        <f>SUMIFS('Daftar Koreksi'!$H$5:$H$92,'Daftar Koreksi'!$D$5:$D$92,'1000'!A4,'Daftar Koreksi'!$G$5:$G$92,"Jalan Irigasi Jaringan",'Daftar Koreksi'!$H$5:$H$92,"&gt;0")</f>
        <v>0</v>
      </c>
      <c r="F11" s="25">
        <f>SUMIFS('Daftar Koreksi'!$H$5:$H$92,'Daftar Koreksi'!$D$5:$D$92,'1000'!A4,'Daftar Koreksi'!$G$5:$G$92,"Jalan Irigasi Jaringan",'Daftar Koreksi'!$H$5:$H$92,"&lt;0")-SUMIFS('Daftar Koreksi'!$H$5:$H$92,'Daftar Koreksi'!$D$5:$D$92,'1000'!A4,'Daftar Koreksi'!$G$5:$G$92,"Jalan Irigasi Jaringan",'Daftar Koreksi'!$H$5:$H$92,"&lt;0")-SUMIFS('Daftar Koreksi'!$H$5:$H$92,'Daftar Koreksi'!$D$5:$D$92,'1000'!A4,'Daftar Koreksi'!$G$5:$G$92,"Jalan Irigasi Jaringan",'Daftar Koreksi'!$H$5:$H$92,"&lt;0")</f>
        <v>0</v>
      </c>
      <c r="G11" s="17">
        <f t="shared" si="0"/>
        <v>176300000</v>
      </c>
      <c r="H11" s="122"/>
      <c r="O11" s="8" t="s">
        <v>399</v>
      </c>
      <c r="P11" s="8" t="s">
        <v>1537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2003440</v>
      </c>
      <c r="E12" s="25">
        <f>SUMIFS('Daftar Koreksi'!$H$5:$H$92,'Daftar Koreksi'!$D$5:$D$92,'1000'!A4,'Daftar Koreksi'!$G$5:$G$92,"Aset Tetap Lainnya",'Daftar Koreksi'!$H$5:$H$92,"&gt;0")</f>
        <v>0</v>
      </c>
      <c r="F12" s="25">
        <f>SUMIFS('Daftar Koreksi'!$H$5:$H$92,'Daftar Koreksi'!$D$5:$D$92,'1000'!A4,'Daftar Koreksi'!$G$5:$G$92,"Aset Tetap Lainnya",'Daftar Koreksi'!$H$5:$H$92,"&lt;0")-SUMIFS('Daftar Koreksi'!$H$5:$H$92,'Daftar Koreksi'!$D$5:$D$92,'1000'!A4,'Daftar Koreksi'!$G$5:$G$92,"Aset Tetap Lainnya",'Daftar Koreksi'!$H$5:$H$92,"&lt;0")-SUMIFS('Daftar Koreksi'!$H$5:$H$92,'Daftar Koreksi'!$D$5:$D$92,'1000'!A4,'Daftar Koreksi'!$G$5:$G$92,"Aset Tetap Lainnya",'Daftar Koreksi'!$H$5:$H$92,"&lt;0")</f>
        <v>0</v>
      </c>
      <c r="G12" s="17">
        <f t="shared" si="0"/>
        <v>2003440</v>
      </c>
      <c r="H12" s="122"/>
      <c r="O12" s="8" t="s">
        <v>400</v>
      </c>
      <c r="P12" s="8" t="s">
        <v>1538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Koreksi'!$D$5:$D$92,'1000'!A4,'Daftar Koreksi'!$G$5:$G$92,"Kontruksi Dalam Pengerjaan",'Daftar Koreksi'!$H$5:$H$92,"&gt;0")</f>
        <v>0</v>
      </c>
      <c r="F13" s="25">
        <f>SUMIFS('Daftar Koreksi'!$H$5:$H$92,'Daftar Koreksi'!$D$5:$D$92,'1000'!A4,'Daftar Koreksi'!$G$5:$G$92,"Kontruksi Dalam Pengerjaan",'Daftar Koreksi'!$H$5:$H$92,"&lt;0")-SUMIFS('Daftar Koreksi'!$H$5:$H$92,'Daftar Koreksi'!$D$5:$D$92,'1000'!A4,'Daftar Koreksi'!$G$5:$G$92,"Kontruksi Dalam Pengerjaan",'Daftar Koreksi'!$H$5:$H$92,"&lt;0")-SUMIFS('Daftar Koreksi'!$H$5:$H$92,'Daftar Koreksi'!$D$5:$D$92,'1000'!A4,'Daftar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401</v>
      </c>
      <c r="P13" s="8" t="s">
        <v>1539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Koreksi'!$D$5:$D$92,'1000'!A4,'Daftar Koreksi'!$G$5:$G$92,"Aset Tak Berwujud",'Daftar Koreksi'!$H$5:$H$92,"&gt;0")</f>
        <v>0</v>
      </c>
      <c r="F14" s="25">
        <f>SUMIFS('Daftar Koreksi'!$H$5:$H$92,'Daftar Koreksi'!$D$5:$D$92,'1000'!A4,'Daftar Koreksi'!$G$5:$G$92,"Aset Tak Berwujud",'Daftar Koreksi'!$H$5:$H$92,"&lt;0")-SUMIFS('Daftar Koreksi'!$H$5:$H$92,'Daftar Koreksi'!$D$5:$D$92,'1000'!A4,'Daftar Koreksi'!$G$5:$G$92,"Aset Tak Berwujud",'Daftar Koreksi'!$H$5:$H$92,"&lt;0")-SUMIFS('Daftar Koreksi'!$H$5:$H$92,'Daftar Koreksi'!$D$5:$D$92,'1000'!A4,'Daftar Koreksi'!$G$5:$G$92,"Aset Tak Berwujud",'Daftar Koreksi'!$H$5:$H$92,"&lt;0")</f>
        <v>0</v>
      </c>
      <c r="G14" s="17">
        <f t="shared" si="0"/>
        <v>0</v>
      </c>
      <c r="H14" s="122"/>
      <c r="O14" s="8" t="s">
        <v>402</v>
      </c>
      <c r="P14" s="8" t="s">
        <v>1540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284436167</v>
      </c>
      <c r="E15" s="25">
        <f>SUMIFS('Daftar Koreksi'!$H$5:$H$92,'Daftar Koreksi'!$D$5:$D$92,'1000'!A4,'Daftar Koreksi'!$G$5:$G$92,"Aset Henti Guna",'Daftar Koreksi'!$H$5:$H$92,"&gt;0")</f>
        <v>0</v>
      </c>
      <c r="F15" s="25">
        <f>SUMIFS('Daftar Koreksi'!$H$5:$H$92,'Daftar Koreksi'!$D$5:$D$92,'1000'!A4,'Daftar Koreksi'!$G$5:$G$92,"Aset Henti Guna",'Daftar Koreksi'!$H$5:$H$92,"&lt;0")-SUMIFS('Daftar Koreksi'!$H$5:$H$92,'Daftar Koreksi'!$D$5:$D$92,'1000'!A4,'Daftar Koreksi'!$G$5:$G$92,"Aset Henti Guna",'Daftar Koreksi'!$H$5:$H$92,"&lt;0")-SUMIFS('Daftar Koreksi'!$H$5:$H$92,'Daftar Koreksi'!$D$5:$D$92,'1000'!A4,'Daftar Koreksi'!$G$5:$G$92,"Aset Henti Guna",'Daftar Koreksi'!$H$5:$H$92,"&lt;0")</f>
        <v>0</v>
      </c>
      <c r="G15" s="17">
        <f t="shared" si="0"/>
        <v>284436167</v>
      </c>
      <c r="H15" s="122"/>
      <c r="O15" s="8" t="s">
        <v>403</v>
      </c>
      <c r="P15" s="8" t="s">
        <v>1541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16547041101</v>
      </c>
      <c r="E16" s="19">
        <f>SUM(E7:E15)</f>
        <v>0</v>
      </c>
      <c r="F16" s="19">
        <f>SUM(F7:F15)</f>
        <v>0</v>
      </c>
      <c r="G16" s="19">
        <f t="shared" si="0"/>
        <v>16547041101</v>
      </c>
      <c r="H16" s="122"/>
      <c r="O16" s="8" t="s">
        <v>404</v>
      </c>
      <c r="P16" s="8" t="s">
        <v>1542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-2384395832</v>
      </c>
      <c r="E17" s="25">
        <f>SUMIFS('Daftar Koreksi'!$I$5:$I$92,'Daftar Koreksi'!$D$5:$D$92,'1000'!A4,'Daftar Koreksi'!$G$5:$G$92,"Peralatan dan mesin",'Daftar Koreksi'!$I$5:$I$92,"&gt;0")</f>
        <v>0</v>
      </c>
      <c r="F17" s="25">
        <f>SUMIFS('Daftar Koreksi'!$I$5:$I$92,'Daftar Koreksi'!$D$5:$D$92,'1000'!A4,'Daftar Koreksi'!$G$5:$G$92,"Peralatan dan mesin",'Daftar Koreksi'!$I$5:$I$92,"&lt;0")-SUMIFS('Daftar Koreksi'!$I$5:$I$92,'Daftar Koreksi'!$D$5:$D$92,'1000'!A4,'Daftar Koreksi'!$G$5:$G$92,"Peralatan dan mesin",'Daftar Koreksi'!$I$5:$I$92,"&lt;0")-SUMIFS('Daftar Koreksi'!$I$5:$I$92,'Daftar Koreksi'!$D$5:$D$92,'1000'!A4,'Daftar Koreksi'!$G$5:$G$92,"Peralatan dan mesin",'Daftar Koreksi'!$I$5:$I$92,"&lt;0")</f>
        <v>0</v>
      </c>
      <c r="G17" s="17">
        <f t="shared" si="0"/>
        <v>-2384395832</v>
      </c>
      <c r="H17" s="122"/>
      <c r="O17" s="8" t="s">
        <v>405</v>
      </c>
      <c r="P17" s="8" t="s">
        <v>1543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-3092541972</v>
      </c>
      <c r="E18" s="25">
        <f>SUMIFS('Daftar Koreksi'!$I$5:$I$92,'Daftar Koreksi'!$D$5:$D$92,'1000'!A4,'Daftar Koreksi'!$G$5:$G$92,"Gedung dan Bangunan",'Daftar Koreksi'!$I$5:$I$92,"&gt;0")</f>
        <v>0</v>
      </c>
      <c r="F18" s="25">
        <f>SUMIFS('Daftar Koreksi'!$I$5:$I$92,'Daftar Koreksi'!$D$5:$D$92,'1000'!A4,'Daftar Koreksi'!$G$5:$G$92,"Gedung dan Bangunan",'Daftar Koreksi'!$I$5:$I$92,"&lt;0")-SUMIFS('Daftar Koreksi'!$I$5:$I$92,'Daftar Koreksi'!$D$5:$D$92,'1000'!A4,'Daftar Koreksi'!$G$5:$G$92,"Gedung dan Bangunan",'Daftar Koreksi'!$I$5:$I$92,"&lt;0")-SUMIFS('Daftar Koreksi'!$I$5:$I$92,'Daftar Koreksi'!$D$5:$D$92,'1000'!A4,'Daftar Koreksi'!$G$5:$G$92,"Gedung dan Bangunan",'Daftar Koreksi'!$I$5:$I$92,"&lt;0")</f>
        <v>0</v>
      </c>
      <c r="G18" s="17">
        <f t="shared" si="0"/>
        <v>-3092541972</v>
      </c>
      <c r="H18" s="122"/>
      <c r="O18" s="8" t="s">
        <v>406</v>
      </c>
      <c r="P18" s="8" t="s">
        <v>1544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-48142500</v>
      </c>
      <c r="E19" s="25">
        <f>SUMIFS('Daftar Koreksi'!$I$5:$I$92,'Daftar Koreksi'!$D$5:$D$92,'1000'!A4,'Daftar Koreksi'!$G$5:$G$92,"Jalan Irigasi Jaringan",'Daftar Koreksi'!$I$5:$I$92,"&gt;0")</f>
        <v>0</v>
      </c>
      <c r="F19" s="25">
        <f>SUMIFS('Daftar Koreksi'!$I$5:$I$92,'Daftar Koreksi'!$D$5:$D$92,'1000'!A4,'Daftar Koreksi'!$G$5:$G$92,"Jalan Irigasi Jaringan",'Daftar Koreksi'!$I$5:$I$92,"&lt;0")-SUMIFS('Daftar Koreksi'!$I$5:$I$92,'Daftar Koreksi'!$D$5:$D$92,'1000'!A4,'Daftar Koreksi'!$G$5:$G$92,"Jalan Irigasi Jaringan",'Daftar Koreksi'!$I$5:$I$92,"&lt;0")-SUMIFS('Daftar Koreksi'!$I$5:$I$92,'Daftar Koreksi'!$D$5:$D$92,'1000'!A4,'Daftar Koreksi'!$G$5:$G$92,"Jalan Irigasi Jaringan",'Daftar Koreksi'!$I$5:$I$92,"&lt;0")</f>
        <v>0</v>
      </c>
      <c r="G19" s="17">
        <f t="shared" si="0"/>
        <v>-48142500</v>
      </c>
      <c r="H19" s="122"/>
      <c r="O19" s="8" t="s">
        <v>407</v>
      </c>
      <c r="P19" s="8" t="s">
        <v>1545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Koreksi'!$D$5:$D$92,'1000'!A4,'Daftar Koreksi'!$G$5:$G$92,"Aset Tetap Lainnya",'Daftar Koreksi'!$I$5:$I$92,"&gt;0")</f>
        <v>0</v>
      </c>
      <c r="F20" s="25">
        <f>SUMIFS('Daftar Koreksi'!$I$5:$I$92,'Daftar Koreksi'!$D$5:$D$92,'1000'!A4,'Daftar Koreksi'!$G$5:$G$92,"Aset Tetap Lainnya",'Daftar Koreksi'!$I$5:$I$92,"&lt;0")-SUMIFS('Daftar Koreksi'!$I$5:$I$92,'Daftar Koreksi'!$D$5:$D$92,'1000'!A4,'Daftar Koreksi'!$G$5:$G$92,"Aset Tetap Lainnya",'Daftar Koreksi'!$I$5:$I$92,"&lt;0")-SUMIFS('Daftar Koreksi'!$I$5:$I$92,'Daftar Koreksi'!$D$5:$D$92,'1000'!A4,'Daftar Koreksi'!$G$5:$G$92,"Aset Tetap Lainnya",'Daftar Koreksi'!$I$5:$I$92,"&lt;0")</f>
        <v>0</v>
      </c>
      <c r="G20" s="17">
        <f t="shared" si="0"/>
        <v>0</v>
      </c>
      <c r="H20" s="122"/>
      <c r="O20" s="8" t="s">
        <v>408</v>
      </c>
      <c r="P20" s="8" t="s">
        <v>1546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-284436167</v>
      </c>
      <c r="E21" s="25">
        <f>SUMIFS('Daftar Koreksi'!$I$5:$I$92,'Daftar Koreksi'!$D$5:$D$92,'1000'!A4,'Daftar Koreksi'!$G$5:$G$92,"Aset Henti Guna",'Daftar Koreksi'!$I$5:$I$92,"&gt;0")</f>
        <v>0</v>
      </c>
      <c r="F21" s="25">
        <f>SUMIFS('Daftar Koreksi'!$I$5:$I$92,'Daftar Koreksi'!$D$5:$D$92,'1000'!A4,'Daftar Koreksi'!$G$5:$G$92,"Aset Henti Guna",'Daftar Koreksi'!$I$5:$I$92,"&lt;0")-SUMIFS('Daftar Koreksi'!$I$5:$I$92,'Daftar Koreksi'!$D$5:$D$92,'1000'!A4,'Daftar Koreksi'!$G$5:$G$92,"Aset Henti Guna",'Daftar Koreksi'!$I$5:$I$92,"&lt;0")-SUMIFS('Daftar Koreksi'!$I$5:$I$92,'Daftar Koreksi'!$D$5:$D$92,'1000'!A4,'Daftar Koreksi'!$G$5:$G$92,"Aset Henti Guna",'Daftar Koreksi'!$I$5:$I$92,"&lt;0")</f>
        <v>0</v>
      </c>
      <c r="G21" s="17">
        <f t="shared" si="0"/>
        <v>-284436167</v>
      </c>
      <c r="H21" s="122"/>
      <c r="O21" s="8" t="s">
        <v>409</v>
      </c>
      <c r="P21" s="8" t="s">
        <v>1547</v>
      </c>
    </row>
    <row r="22" spans="1:16" ht="21.95" customHeight="1">
      <c r="A22" s="14"/>
      <c r="B22" s="14"/>
      <c r="C22" s="18" t="s">
        <v>2094</v>
      </c>
      <c r="D22" s="19">
        <f>SUM(D17:D21)</f>
        <v>-5809516471</v>
      </c>
      <c r="E22" s="19">
        <f>SUM(E17:E21)</f>
        <v>0</v>
      </c>
      <c r="F22" s="19">
        <f>SUM(F17:F21)</f>
        <v>0</v>
      </c>
      <c r="G22" s="19">
        <f t="shared" si="0"/>
        <v>-5809516471</v>
      </c>
      <c r="H22" s="122"/>
      <c r="O22" s="8" t="s">
        <v>410</v>
      </c>
      <c r="P22" s="8" t="s">
        <v>1548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10737524630</v>
      </c>
      <c r="E23" s="19">
        <f>E22+E16</f>
        <v>0</v>
      </c>
      <c r="F23" s="19">
        <f>F22+F16</f>
        <v>0</v>
      </c>
      <c r="G23" s="19">
        <f t="shared" si="0"/>
        <v>10737524630</v>
      </c>
      <c r="H23" s="122"/>
      <c r="O23" s="8" t="s">
        <v>411</v>
      </c>
      <c r="P23" s="8" t="s">
        <v>1549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005011000098900000KD</v>
      </c>
      <c r="B26" s="11" t="str">
        <f>P2</f>
        <v>PN. Muara Bungo</v>
      </c>
      <c r="C26" s="12" t="str">
        <f>A26&amp;" "&amp;B26</f>
        <v>005011000098900000KD PN. Muara Bungo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1067450</v>
      </c>
      <c r="E29" s="25">
        <f>SUMIFS('Daftar Koreksi'!$H$5:$H$92,'Daftar Koreksi'!$D$5:$D$92,'1000'!A26,'Daftar Koreksi'!$G$5:$G$92,"Persediaan",'Daftar Koreksi'!$H$5:$H$92,"&gt;0")</f>
        <v>0</v>
      </c>
      <c r="F29" s="25">
        <f>SUMIFS('Daftar Koreksi'!$H$5:$H$92,'Daftar Koreksi'!$D$5:$D$92,'1000'!A26,'Daftar Koreksi'!$G$5:$G$92,"Persediaan",'Daftar Koreksi'!$H$5:$H$92,"&lt;0")-SUMIFS('Daftar Koreksi'!$H$5:$H$92,'Daftar Koreksi'!$D$5:$D$92,'1000'!A26,'Daftar Koreksi'!$G$5:$G$92,"Persediaan",'Daftar Koreksi'!$H$5:$H$92,"&lt;0")-SUMIFS('Daftar Koreksi'!$H$5:$H$92,'Daftar Koreksi'!$D$5:$D$92,'1000'!A26,'Daftar Koreksi'!$G$5:$G$92,"Persediaan",'Daftar Koreksi'!$H$5:$H$92,"&lt;0")</f>
        <v>0</v>
      </c>
      <c r="G29" s="17">
        <f>D29+E29-F29</f>
        <v>1067450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6927384500</v>
      </c>
      <c r="E30" s="25">
        <f>SUMIFS('Daftar Koreksi'!$H$5:$H$92,'Daftar Koreksi'!$D$5:$D$92,'1000'!A26,'Daftar Koreksi'!$G$5:$G$92,"Tanah",'Daftar Koreksi'!$H$5:$H$92,"&gt;0")</f>
        <v>0</v>
      </c>
      <c r="F30" s="25">
        <f>SUMIFS('Daftar Koreksi'!$H$5:$H$92,'Daftar Koreksi'!$D$5:$D$92,'1000'!A26,'Daftar Koreksi'!$G$5:$G$92,"Tanah",'Daftar Koreksi'!$H$5:$H$92,"&lt;0")-SUMIFS('Daftar Koreksi'!$H$5:$H$92,'Daftar Koreksi'!$D$5:$D$92,'1000'!A26,'Daftar Koreksi'!$G$5:$G$92,"Tanah",'Daftar Koreksi'!$H$5:$H$92,"&lt;0")-SUMIFS('Daftar Koreksi'!$H$5:$H$92,'Daftar Koreksi'!$D$5:$D$92,'1000'!A26,'Daftar Koreksi'!$G$5:$G$92,"Tanah",'Daftar Koreksi'!$H$5:$H$92,"&lt;0")</f>
        <v>0</v>
      </c>
      <c r="G30" s="17">
        <f t="shared" ref="G30:G46" si="1">D30+E30-F30</f>
        <v>6927384500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1387068678</v>
      </c>
      <c r="E31" s="25">
        <f>SUMIFS('Daftar Koreksi'!$H$5:$H$92,'Daftar Koreksi'!$D$5:$D$92,'1000'!A26,'Daftar Koreksi'!$G$5:$G$92,"Peralatan dan mesin",'Daftar Koreksi'!$H$5:$H$92,"&gt;0")</f>
        <v>0</v>
      </c>
      <c r="F31" s="25">
        <f>SUMIFS('Daftar Koreksi'!$H$5:$H$92,'Daftar Koreksi'!$D$5:$D$92,'1000'!A26,'Daftar Koreksi'!$G$5:$G$92,"Peralatan dan mesin",'Daftar Koreksi'!$H$5:$H$92,"&lt;0")-SUMIFS('Daftar Koreksi'!$H$5:$H$92,'Daftar Koreksi'!$D$5:$D$92,'1000'!A26,'Daftar Koreksi'!$G$5:$G$92,"Peralatan dan mesin",'Daftar Koreksi'!$H$5:$H$92,"&lt;0")-SUMIFS('Daftar Koreksi'!$H$5:$H$92,'Daftar Koreksi'!$D$5:$D$92,'1000'!A26,'Daftar Koreksi'!$G$5:$G$92,"Peralatan dan mesin",'Daftar Koreksi'!$H$5:$H$92,"&lt;0")</f>
        <v>0</v>
      </c>
      <c r="G31" s="17">
        <f t="shared" si="1"/>
        <v>1387068678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3784620500</v>
      </c>
      <c r="E32" s="25">
        <f>SUMIFS('Daftar Koreksi'!$H$5:$H$92,'Daftar Koreksi'!$D$5:$D$92,'1000'!A26,'Daftar Koreksi'!$G$5:$G$92,"Gedung dan Bangunan",'Daftar Koreksi'!$H$5:$H$92,"&gt;0")</f>
        <v>0</v>
      </c>
      <c r="F32" s="25">
        <f>SUMIFS('Daftar Koreksi'!$H$5:$H$92,'Daftar Koreksi'!$D$5:$D$92,'1000'!A26,'Daftar Koreksi'!$G$5:$G$92,"Gedung dan Bangunan",'Daftar Koreksi'!$H$5:$H$92,"&lt;0")-SUMIFS('Daftar Koreksi'!$H$5:$H$92,'Daftar Koreksi'!$D$5:$D$92,'1000'!A26,'Daftar Koreksi'!$G$5:$G$92,"Gedung dan Bangunan",'Daftar Koreksi'!$H$5:$H$92,"&lt;0")-SUMIFS('Daftar Koreksi'!$H$5:$H$92,'Daftar Koreksi'!$D$5:$D$92,'1000'!A26,'Daftar Koreksi'!$G$5:$G$92,"Gedung dan Bangunan",'Daftar Koreksi'!$H$5:$H$92,"&lt;0")</f>
        <v>0</v>
      </c>
      <c r="G32" s="17">
        <f t="shared" si="1"/>
        <v>3784620500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Koreksi'!$D$5:$D$92,'1000'!A26,'Daftar Koreksi'!$G$5:$G$92,"Jalan Irigasi Jaringan",'Daftar Koreksi'!$H$5:$H$92,"&gt;0")</f>
        <v>0</v>
      </c>
      <c r="F33" s="25">
        <f>SUMIFS('Daftar Koreksi'!$H$5:$H$92,'Daftar Koreksi'!$D$5:$D$92,'1000'!A26,'Daftar Koreksi'!$G$5:$G$92,"Jalan Irigasi Jaringan",'Daftar Koreksi'!$H$5:$H$92,"&lt;0")-SUMIFS('Daftar Koreksi'!$H$5:$H$92,'Daftar Koreksi'!$D$5:$D$92,'1000'!A26,'Daftar Koreksi'!$G$5:$G$92,"Jalan Irigasi Jaringan",'Daftar Koreksi'!$H$5:$H$92,"&lt;0")-SUMIFS('Daftar Koreksi'!$H$5:$H$92,'Daftar Koreksi'!$D$5:$D$92,'1000'!A26,'Daftar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88432118</v>
      </c>
      <c r="E34" s="25">
        <f>SUMIFS('Daftar Koreksi'!$H$5:$H$92,'Daftar Koreksi'!$D$5:$D$92,'1000'!A26,'Daftar Koreksi'!$G$5:$G$92,"Aset Tetap Lainnya",'Daftar Koreksi'!$H$5:$H$92,"&gt;0")</f>
        <v>0</v>
      </c>
      <c r="F34" s="25">
        <f>SUMIFS('Daftar Koreksi'!$H$5:$H$92,'Daftar Koreksi'!$D$5:$D$92,'1000'!A26,'Daftar Koreksi'!$G$5:$G$92,"Aset Tetap Lainnya",'Daftar Koreksi'!$H$5:$H$92,"&lt;0")-SUMIFS('Daftar Koreksi'!$H$5:$H$92,'Daftar Koreksi'!$D$5:$D$92,'1000'!A26,'Daftar Koreksi'!$G$5:$G$92,"Aset Tetap Lainnya",'Daftar Koreksi'!$H$5:$H$92,"&lt;0")-SUMIFS('Daftar Koreksi'!$H$5:$H$92,'Daftar Koreksi'!$D$5:$D$92,'1000'!A26,'Daftar Koreksi'!$G$5:$G$92,"Aset Tetap Lainnya",'Daftar Koreksi'!$H$5:$H$92,"&lt;0")</f>
        <v>0</v>
      </c>
      <c r="G34" s="17">
        <f t="shared" si="1"/>
        <v>88432118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Koreksi'!$D$5:$D$92,'1000'!A26,'Daftar Koreksi'!$G$5:$G$92,"Kontruksi Dalam Pengerjaan",'Daftar Koreksi'!$H$5:$H$92,"&gt;0")</f>
        <v>0</v>
      </c>
      <c r="F35" s="25">
        <f>SUMIFS('Daftar Koreksi'!$H$5:$H$92,'Daftar Koreksi'!$D$5:$D$92,'1000'!A26,'Daftar Koreksi'!$G$5:$G$92,"Kontruksi Dalam Pengerjaan",'Daftar Koreksi'!$H$5:$H$92,"&lt;0")-SUMIFS('Daftar Koreksi'!$H$5:$H$92,'Daftar Koreksi'!$D$5:$D$92,'1000'!A26,'Daftar Koreksi'!$G$5:$G$92,"Kontruksi Dalam Pengerjaan",'Daftar Koreksi'!$H$5:$H$92,"&lt;0")-SUMIFS('Daftar Koreksi'!$H$5:$H$92,'Daftar Koreksi'!$D$5:$D$92,'1000'!A26,'Daftar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46000000</v>
      </c>
      <c r="E36" s="25">
        <f>SUMIFS('Daftar Koreksi'!$H$5:$H$92,'Daftar Koreksi'!$D$5:$D$92,'1000'!A26,'Daftar Koreksi'!$G$5:$G$92,"Aset Tak Berwujud",'Daftar Koreksi'!$H$5:$H$92,"&gt;0")</f>
        <v>0</v>
      </c>
      <c r="F36" s="25">
        <f>SUMIFS('Daftar Koreksi'!$H$5:$H$92,'Daftar Koreksi'!$D$5:$D$92,'1000'!A26,'Daftar Koreksi'!$G$5:$G$92,"Aset Tak Berwujud",'Daftar Koreksi'!$H$5:$H$92,"&lt;0")-SUMIFS('Daftar Koreksi'!$H$5:$H$92,'Daftar Koreksi'!$D$5:$D$92,'1000'!A26,'Daftar Koreksi'!$G$5:$G$92,"Aset Tak Berwujud",'Daftar Koreksi'!$H$5:$H$92,"&lt;0")-SUMIFS('Daftar Koreksi'!$H$5:$H$92,'Daftar Koreksi'!$D$5:$D$92,'1000'!A26,'Daftar Koreksi'!$G$5:$G$92,"Aset Tak Berwujud",'Daftar Koreksi'!$H$5:$H$92,"&lt;0")</f>
        <v>0</v>
      </c>
      <c r="G36" s="17">
        <f t="shared" si="1"/>
        <v>46000000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Koreksi'!$D$5:$D$92,'1000'!A26,'Daftar Koreksi'!$G$5:$G$92,"Aset Henti Guna",'Daftar Koreksi'!$H$5:$H$92,"&gt;0")</f>
        <v>0</v>
      </c>
      <c r="F37" s="25">
        <f>SUMIFS('Daftar Koreksi'!$H$5:$H$92,'Daftar Koreksi'!$D$5:$D$92,'1000'!A26,'Daftar Koreksi'!$G$5:$G$92,"Aset Henti Guna",'Daftar Koreksi'!$H$5:$H$92,"&lt;0")-SUMIFS('Daftar Koreksi'!$H$5:$H$92,'Daftar Koreksi'!$D$5:$D$92,'1000'!A26,'Daftar Koreksi'!$G$5:$G$92,"Aset Henti Guna",'Daftar Koreksi'!$H$5:$H$92,"&lt;0")-SUMIFS('Daftar Koreksi'!$H$5:$H$92,'Daftar Koreksi'!$D$5:$D$92,'1000'!A26,'Daftar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12234573246</v>
      </c>
      <c r="E38" s="19">
        <f>SUM(E29:E37)</f>
        <v>0</v>
      </c>
      <c r="F38" s="19">
        <f>SUM(F29:F37)</f>
        <v>0</v>
      </c>
      <c r="G38" s="19">
        <f t="shared" si="1"/>
        <v>12234573246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-1294307103</v>
      </c>
      <c r="E39" s="25">
        <f>SUMIFS('Daftar Koreksi'!$I$5:$I$92,'Daftar Koreksi'!$D$5:$D$92,'1000'!A26,'Daftar Koreksi'!$G$5:$G$92,"Peralatan dan mesin",'Daftar Koreksi'!$I$5:$I$92,"&gt;0")</f>
        <v>0</v>
      </c>
      <c r="F39" s="25">
        <f>SUMIFS('Daftar Koreksi'!$I$5:$I$92,'Daftar Koreksi'!$D$5:$D$92,'1000'!A26,'Daftar Koreksi'!$G$5:$G$92,"Peralatan dan mesin",'Daftar Koreksi'!$I$5:$I$92,"&lt;0")-SUMIFS('Daftar Koreksi'!$I$5:$I$92,'Daftar Koreksi'!$D$5:$D$92,'1000'!A26,'Daftar Koreksi'!$G$5:$G$92,"Peralatan dan mesin",'Daftar Koreksi'!$I$5:$I$92,"&lt;0")-SUMIFS('Daftar Koreksi'!$I$5:$I$92,'Daftar Koreksi'!$D$5:$D$92,'1000'!A26,'Daftar Koreksi'!$G$5:$G$92,"Peralatan dan mesin",'Daftar Koreksi'!$I$5:$I$92,"&lt;0")</f>
        <v>0</v>
      </c>
      <c r="G39" s="17">
        <f t="shared" si="1"/>
        <v>-1294307103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-950392321</v>
      </c>
      <c r="E40" s="25">
        <f>SUMIFS('Daftar Koreksi'!$I$5:$I$92,'Daftar Koreksi'!$D$5:$D$92,'1000'!A26,'Daftar Koreksi'!$G$5:$G$92,"Gedung dan Bangunan",'Daftar Koreksi'!$I$5:$I$92,"&gt;0")</f>
        <v>0</v>
      </c>
      <c r="F40" s="25">
        <f>SUMIFS('Daftar Koreksi'!$I$5:$I$92,'Daftar Koreksi'!$D$5:$D$92,'1000'!A26,'Daftar Koreksi'!$G$5:$G$92,"Gedung dan Bangunan",'Daftar Koreksi'!$I$5:$I$92,"&lt;0")-SUMIFS('Daftar Koreksi'!$I$5:$I$92,'Daftar Koreksi'!$D$5:$D$92,'1000'!A26,'Daftar Koreksi'!$G$5:$G$92,"Gedung dan Bangunan",'Daftar Koreksi'!$I$5:$I$92,"&lt;0")-SUMIFS('Daftar Koreksi'!$I$5:$I$92,'Daftar Koreksi'!$D$5:$D$92,'1000'!A26,'Daftar Koreksi'!$G$5:$G$92,"Gedung dan Bangunan",'Daftar Koreksi'!$I$5:$I$92,"&lt;0")</f>
        <v>0</v>
      </c>
      <c r="G40" s="17">
        <f t="shared" si="1"/>
        <v>-950392321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-1153625</v>
      </c>
      <c r="E41" s="25">
        <f>SUMIFS('Daftar Koreksi'!$I$5:$I$92,'Daftar Koreksi'!$D$5:$D$92,'1000'!A26,'Daftar Koreksi'!$G$5:$G$92,"Jalan Irigasi Jaringan",'Daftar Koreksi'!$I$5:$I$92,"&gt;0")</f>
        <v>0</v>
      </c>
      <c r="F41" s="25">
        <f>SUMIFS('Daftar Koreksi'!$I$5:$I$92,'Daftar Koreksi'!$D$5:$D$92,'1000'!A26,'Daftar Koreksi'!$G$5:$G$92,"Jalan Irigasi Jaringan",'Daftar Koreksi'!$I$5:$I$92,"&lt;0")-SUMIFS('Daftar Koreksi'!$I$5:$I$92,'Daftar Koreksi'!$D$5:$D$92,'1000'!A26,'Daftar Koreksi'!$G$5:$G$92,"Jalan Irigasi Jaringan",'Daftar Koreksi'!$I$5:$I$92,"&lt;0")-SUMIFS('Daftar Koreksi'!$I$5:$I$92,'Daftar Koreksi'!$D$5:$D$92,'1000'!A26,'Daftar Koreksi'!$G$5:$G$92,"Jalan Irigasi Jaringan",'Daftar Koreksi'!$I$5:$I$92,"&lt;0")</f>
        <v>0</v>
      </c>
      <c r="G41" s="17">
        <f t="shared" si="1"/>
        <v>-1153625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Koreksi'!$D$5:$D$92,'1000'!A26,'Daftar Koreksi'!$G$5:$G$92,"Aset Tetap Lainnya",'Daftar Koreksi'!$I$5:$I$92,"&gt;0")</f>
        <v>0</v>
      </c>
      <c r="F42" s="25">
        <f>SUMIFS('Daftar Koreksi'!$I$5:$I$92,'Daftar Koreksi'!$D$5:$D$92,'1000'!A26,'Daftar Koreksi'!$G$5:$G$92,"Aset Tetap Lainnya",'Daftar Koreksi'!$I$5:$I$92,"&lt;0")-SUMIFS('Daftar Koreksi'!$I$5:$I$92,'Daftar Koreksi'!$D$5:$D$92,'1000'!A26,'Daftar Koreksi'!$G$5:$G$92,"Aset Tetap Lainnya",'Daftar Koreksi'!$I$5:$I$92,"&lt;0")-SUMIFS('Daftar Koreksi'!$I$5:$I$92,'Daftar Koreksi'!$D$5:$D$92,'1000'!A26,'Daftar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Koreksi'!$D$5:$D$92,'1000'!A26,'Daftar Koreksi'!$G$5:$G$92,"Aset Henti Guna",'Daftar Koreksi'!$I$5:$I$92,"&gt;0")</f>
        <v>0</v>
      </c>
      <c r="F43" s="25">
        <f>SUMIFS('Daftar Koreksi'!$I$5:$I$92,'Daftar Koreksi'!$D$5:$D$92,'1000'!A26,'Daftar Koreksi'!$G$5:$G$92,"Aset Henti Guna",'Daftar Koreksi'!$I$5:$I$92,"&lt;0")-SUMIFS('Daftar Koreksi'!$I$5:$I$92,'Daftar Koreksi'!$D$5:$D$92,'1000'!A26,'Daftar Koreksi'!$G$5:$G$92,"Aset Henti Guna",'Daftar Koreksi'!$I$5:$I$92,"&lt;0")-SUMIFS('Daftar Koreksi'!$I$5:$I$92,'Daftar Koreksi'!$D$5:$D$92,'1000'!A26,'Daftar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-2245853049</v>
      </c>
      <c r="E44" s="19">
        <f>SUM(E39:E43)</f>
        <v>0</v>
      </c>
      <c r="F44" s="19">
        <f>SUM(F39:F43)</f>
        <v>0</v>
      </c>
      <c r="G44" s="19">
        <f t="shared" si="1"/>
        <v>-2245853049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9988720197</v>
      </c>
      <c r="E45" s="19">
        <f>E44+E38</f>
        <v>0</v>
      </c>
      <c r="F45" s="19">
        <f>F44+F38</f>
        <v>0</v>
      </c>
      <c r="G45" s="19">
        <f t="shared" si="1"/>
        <v>9988720197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005011000098917000KD</v>
      </c>
      <c r="B48" s="11" t="str">
        <f>P3</f>
        <v>PN. Kuala Tungkal</v>
      </c>
      <c r="C48" s="12" t="str">
        <f>A48&amp;" "&amp;B48</f>
        <v>005011000098917000KD PN. Kuala Tungkal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534700</v>
      </c>
      <c r="E51" s="25">
        <f>SUMIFS('Daftar Koreksi'!$H$5:$H$92,'Daftar Koreksi'!$D$5:$D$92,'1000'!A48,'Daftar Koreksi'!$G$5:$G$92,"Persediaan",'Daftar Koreksi'!$H$5:$H$92,"&gt;0")</f>
        <v>0</v>
      </c>
      <c r="F51" s="25">
        <f>SUMIFS('Daftar Koreksi'!$H$5:$H$92,'Daftar Koreksi'!$D$5:$D$92,'1000'!A48,'Daftar Koreksi'!$G$5:$G$92,"Persediaan",'Daftar Koreksi'!$H$5:$H$92,"&lt;0")-SUMIFS('Daftar Koreksi'!$H$5:$H$92,'Daftar Koreksi'!$D$5:$D$92,'1000'!A48,'Daftar Koreksi'!$G$5:$G$92,"Persediaan",'Daftar Koreksi'!$H$5:$H$92,"&lt;0")-SUMIFS('Daftar Koreksi'!$H$5:$H$92,'Daftar Koreksi'!$D$5:$D$92,'1000'!A48,'Daftar Koreksi'!$G$5:$G$92,"Persediaan",'Daftar Koreksi'!$H$5:$H$92,"&lt;0")</f>
        <v>0</v>
      </c>
      <c r="G51" s="17">
        <f>D51+E51-F51</f>
        <v>534700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2654033300</v>
      </c>
      <c r="E52" s="25">
        <f>SUMIFS('Daftar Koreksi'!$H$5:$H$92,'Daftar Koreksi'!$D$5:$D$92,'1000'!A48,'Daftar Koreksi'!$G$5:$G$92,"Tanah",'Daftar Koreksi'!$H$5:$H$92,"&gt;0")</f>
        <v>0</v>
      </c>
      <c r="F52" s="25">
        <f>SUMIFS('Daftar Koreksi'!$H$5:$H$92,'Daftar Koreksi'!$D$5:$D$92,'1000'!A48,'Daftar Koreksi'!$G$5:$G$92,"Tanah",'Daftar Koreksi'!$H$5:$H$92,"&lt;0")-SUMIFS('Daftar Koreksi'!$H$5:$H$92,'Daftar Koreksi'!$D$5:$D$92,'1000'!A48,'Daftar Koreksi'!$G$5:$G$92,"Tanah",'Daftar Koreksi'!$H$5:$H$92,"&lt;0")-SUMIFS('Daftar Koreksi'!$H$5:$H$92,'Daftar Koreksi'!$D$5:$D$92,'1000'!A48,'Daftar Koreksi'!$G$5:$G$92,"Tanah",'Daftar Koreksi'!$H$5:$H$92,"&lt;0")</f>
        <v>0</v>
      </c>
      <c r="G52" s="17">
        <f t="shared" ref="G52:G68" si="2">D52+E52-F52</f>
        <v>2654033300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1372315281</v>
      </c>
      <c r="E53" s="25">
        <f>SUMIFS('Daftar Koreksi'!$H$5:$H$92,'Daftar Koreksi'!$D$5:$D$92,'1000'!A48,'Daftar Koreksi'!$G$5:$G$92,"Peralatan dan mesin",'Daftar Koreksi'!$H$5:$H$92,"&gt;0")</f>
        <v>0</v>
      </c>
      <c r="F53" s="25">
        <f>SUMIFS('Daftar Koreksi'!$H$5:$H$92,'Daftar Koreksi'!$D$5:$D$92,'1000'!A48,'Daftar Koreksi'!$G$5:$G$92,"Peralatan dan mesin",'Daftar Koreksi'!$H$5:$H$92,"&lt;0")-SUMIFS('Daftar Koreksi'!$H$5:$H$92,'Daftar Koreksi'!$D$5:$D$92,'1000'!A48,'Daftar Koreksi'!$G$5:$G$92,"Peralatan dan mesin",'Daftar Koreksi'!$H$5:$H$92,"&lt;0")-SUMIFS('Daftar Koreksi'!$H$5:$H$92,'Daftar Koreksi'!$D$5:$D$92,'1000'!A48,'Daftar Koreksi'!$G$5:$G$92,"Peralatan dan mesin",'Daftar Koreksi'!$H$5:$H$92,"&lt;0")</f>
        <v>0</v>
      </c>
      <c r="G53" s="17">
        <f t="shared" si="2"/>
        <v>1372315281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11469828000</v>
      </c>
      <c r="E54" s="25">
        <f>SUMIFS('Daftar Koreksi'!$H$5:$H$92,'Daftar Koreksi'!$D$5:$D$92,'1000'!A48,'Daftar Koreksi'!$G$5:$G$92,"Gedung dan Bangunan",'Daftar Koreksi'!$H$5:$H$92,"&gt;0")</f>
        <v>0</v>
      </c>
      <c r="F54" s="25">
        <f>SUMIFS('Daftar Koreksi'!$H$5:$H$92,'Daftar Koreksi'!$D$5:$D$92,'1000'!A48,'Daftar Koreksi'!$G$5:$G$92,"Gedung dan Bangunan",'Daftar Koreksi'!$H$5:$H$92,"&lt;0")-SUMIFS('Daftar Koreksi'!$H$5:$H$92,'Daftar Koreksi'!$D$5:$D$92,'1000'!A48,'Daftar Koreksi'!$G$5:$G$92,"Gedung dan Bangunan",'Daftar Koreksi'!$H$5:$H$92,"&lt;0")-SUMIFS('Daftar Koreksi'!$H$5:$H$92,'Daftar Koreksi'!$D$5:$D$92,'1000'!A48,'Daftar Koreksi'!$G$5:$G$92,"Gedung dan Bangunan",'Daftar Koreksi'!$H$5:$H$92,"&lt;0")</f>
        <v>0</v>
      </c>
      <c r="G54" s="17">
        <f t="shared" si="2"/>
        <v>11469828000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Koreksi'!$D$5:$D$92,'1000'!A48,'Daftar Koreksi'!$G$5:$G$92,"Jalan Irigasi Jaringan",'Daftar Koreksi'!$H$5:$H$92,"&gt;0")</f>
        <v>0</v>
      </c>
      <c r="F55" s="25">
        <f>SUMIFS('Daftar Koreksi'!$H$5:$H$92,'Daftar Koreksi'!$D$5:$D$92,'1000'!A48,'Daftar Koreksi'!$G$5:$G$92,"Jalan Irigasi Jaringan",'Daftar Koreksi'!$H$5:$H$92,"&lt;0")-SUMIFS('Daftar Koreksi'!$H$5:$H$92,'Daftar Koreksi'!$D$5:$D$92,'1000'!A48,'Daftar Koreksi'!$G$5:$G$92,"Jalan Irigasi Jaringan",'Daftar Koreksi'!$H$5:$H$92,"&lt;0")-SUMIFS('Daftar Koreksi'!$H$5:$H$92,'Daftar Koreksi'!$D$5:$D$92,'1000'!A48,'Daftar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16036498</v>
      </c>
      <c r="E56" s="25">
        <f>SUMIFS('Daftar Koreksi'!$H$5:$H$92,'Daftar Koreksi'!$D$5:$D$92,'1000'!A48,'Daftar Koreksi'!$G$5:$G$92,"Aset Tetap Lainnya",'Daftar Koreksi'!$H$5:$H$92,"&gt;0")</f>
        <v>0</v>
      </c>
      <c r="F56" s="25">
        <f>SUMIFS('Daftar Koreksi'!$H$5:$H$92,'Daftar Koreksi'!$D$5:$D$92,'1000'!A48,'Daftar Koreksi'!$G$5:$G$92,"Aset Tetap Lainnya",'Daftar Koreksi'!$H$5:$H$92,"&lt;0")-SUMIFS('Daftar Koreksi'!$H$5:$H$92,'Daftar Koreksi'!$D$5:$D$92,'1000'!A48,'Daftar Koreksi'!$G$5:$G$92,"Aset Tetap Lainnya",'Daftar Koreksi'!$H$5:$H$92,"&lt;0")-SUMIFS('Daftar Koreksi'!$H$5:$H$92,'Daftar Koreksi'!$D$5:$D$92,'1000'!A48,'Daftar Koreksi'!$G$5:$G$92,"Aset Tetap Lainnya",'Daftar Koreksi'!$H$5:$H$92,"&lt;0")</f>
        <v>0</v>
      </c>
      <c r="G56" s="17">
        <f t="shared" si="2"/>
        <v>16036498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Koreksi'!$D$5:$D$92,'1000'!A48,'Daftar Koreksi'!$G$5:$G$92,"Kontruksi Dalam Pengerjaan",'Daftar Koreksi'!$H$5:$H$92,"&gt;0")</f>
        <v>0</v>
      </c>
      <c r="F57" s="25">
        <f>SUMIFS('Daftar Koreksi'!$H$5:$H$92,'Daftar Koreksi'!$D$5:$D$92,'1000'!A48,'Daftar Koreksi'!$G$5:$G$92,"Kontruksi Dalam Pengerjaan",'Daftar Koreksi'!$H$5:$H$92,"&lt;0")-SUMIFS('Daftar Koreksi'!$H$5:$H$92,'Daftar Koreksi'!$D$5:$D$92,'1000'!A48,'Daftar Koreksi'!$G$5:$G$92,"Kontruksi Dalam Pengerjaan",'Daftar Koreksi'!$H$5:$H$92,"&lt;0")-SUMIFS('Daftar Koreksi'!$H$5:$H$92,'Daftar Koreksi'!$D$5:$D$92,'1000'!A48,'Daftar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Koreksi'!$D$5:$D$92,'1000'!A48,'Daftar Koreksi'!$G$5:$G$92,"Aset Tak Berwujud",'Daftar Koreksi'!$H$5:$H$92,"&gt;0")</f>
        <v>0</v>
      </c>
      <c r="F58" s="25">
        <f>SUMIFS('Daftar Koreksi'!$H$5:$H$92,'Daftar Koreksi'!$D$5:$D$92,'1000'!A48,'Daftar Koreksi'!$G$5:$G$92,"Aset Tak Berwujud",'Daftar Koreksi'!$H$5:$H$92,"&lt;0")-SUMIFS('Daftar Koreksi'!$H$5:$H$92,'Daftar Koreksi'!$D$5:$D$92,'1000'!A48,'Daftar Koreksi'!$G$5:$G$92,"Aset Tak Berwujud",'Daftar Koreksi'!$H$5:$H$92,"&lt;0")-SUMIFS('Daftar Koreksi'!$H$5:$H$92,'Daftar Koreksi'!$D$5:$D$92,'1000'!A48,'Daftar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7200000</v>
      </c>
      <c r="E59" s="25">
        <f>SUMIFS('Daftar Koreksi'!$H$5:$H$92,'Daftar Koreksi'!$D$5:$D$92,'1000'!A48,'Daftar Koreksi'!$G$5:$G$92,"Aset Henti Guna",'Daftar Koreksi'!$H$5:$H$92,"&gt;0")</f>
        <v>0</v>
      </c>
      <c r="F59" s="25">
        <f>SUMIFS('Daftar Koreksi'!$H$5:$H$92,'Daftar Koreksi'!$D$5:$D$92,'1000'!A48,'Daftar Koreksi'!$G$5:$G$92,"Aset Henti Guna",'Daftar Koreksi'!$H$5:$H$92,"&lt;0")-SUMIFS('Daftar Koreksi'!$H$5:$H$92,'Daftar Koreksi'!$D$5:$D$92,'1000'!A48,'Daftar Koreksi'!$G$5:$G$92,"Aset Henti Guna",'Daftar Koreksi'!$H$5:$H$92,"&lt;0")-SUMIFS('Daftar Koreksi'!$H$5:$H$92,'Daftar Koreksi'!$D$5:$D$92,'1000'!A48,'Daftar Koreksi'!$G$5:$G$92,"Aset Henti Guna",'Daftar Koreksi'!$H$5:$H$92,"&lt;0")</f>
        <v>0</v>
      </c>
      <c r="G59" s="17">
        <f t="shared" si="2"/>
        <v>7200000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15519947779</v>
      </c>
      <c r="E60" s="19">
        <f>SUM(E51:E59)</f>
        <v>0</v>
      </c>
      <c r="F60" s="19">
        <f>SUM(F51:F59)</f>
        <v>0</v>
      </c>
      <c r="G60" s="19">
        <f t="shared" si="2"/>
        <v>15519947779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-1235368327</v>
      </c>
      <c r="E61" s="25">
        <f>SUMIFS('Daftar Koreksi'!$I$5:$I$92,'Daftar Koreksi'!$D$5:$D$92,'1000'!A48,'Daftar Koreksi'!$G$5:$G$92,"Peralatan dan mesin",'Daftar Koreksi'!$I$5:$I$92,"&gt;0")</f>
        <v>0</v>
      </c>
      <c r="F61" s="25">
        <f>SUMIFS('Daftar Koreksi'!$I$5:$I$92,'Daftar Koreksi'!$D$5:$D$92,'1000'!A48,'Daftar Koreksi'!$G$5:$G$92,"Peralatan dan mesin",'Daftar Koreksi'!$I$5:$I$92,"&lt;0")-SUMIFS('Daftar Koreksi'!$I$5:$I$92,'Daftar Koreksi'!$D$5:$D$92,'1000'!A48,'Daftar Koreksi'!$G$5:$G$92,"Peralatan dan mesin",'Daftar Koreksi'!$I$5:$I$92,"&lt;0")-SUMIFS('Daftar Koreksi'!$I$5:$I$92,'Daftar Koreksi'!$D$5:$D$92,'1000'!A48,'Daftar Koreksi'!$G$5:$G$92,"Peralatan dan mesin",'Daftar Koreksi'!$I$5:$I$92,"&lt;0")</f>
        <v>0</v>
      </c>
      <c r="G61" s="17">
        <f t="shared" si="2"/>
        <v>-1235368327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-730297334</v>
      </c>
      <c r="E62" s="25">
        <f>SUMIFS('Daftar Koreksi'!$I$5:$I$92,'Daftar Koreksi'!$D$5:$D$92,'1000'!A48,'Daftar Koreksi'!$G$5:$G$92,"Gedung dan Bangunan",'Daftar Koreksi'!$I$5:$I$92,"&gt;0")</f>
        <v>0</v>
      </c>
      <c r="F62" s="25">
        <f>SUMIFS('Daftar Koreksi'!$I$5:$I$92,'Daftar Koreksi'!$D$5:$D$92,'1000'!A48,'Daftar Koreksi'!$G$5:$G$92,"Gedung dan Bangunan",'Daftar Koreksi'!$I$5:$I$92,"&lt;0")-SUMIFS('Daftar Koreksi'!$I$5:$I$92,'Daftar Koreksi'!$D$5:$D$92,'1000'!A48,'Daftar Koreksi'!$G$5:$G$92,"Gedung dan Bangunan",'Daftar Koreksi'!$I$5:$I$92,"&lt;0")-SUMIFS('Daftar Koreksi'!$I$5:$I$92,'Daftar Koreksi'!$D$5:$D$92,'1000'!A48,'Daftar Koreksi'!$G$5:$G$92,"Gedung dan Bangunan",'Daftar Koreksi'!$I$5:$I$92,"&lt;0")</f>
        <v>0</v>
      </c>
      <c r="G62" s="17">
        <f t="shared" si="2"/>
        <v>-730297334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Koreksi'!$D$5:$D$92,'1000'!A48,'Daftar Koreksi'!$G$5:$G$92,"Jalan Irigasi Jaringan",'Daftar Koreksi'!$I$5:$I$92,"&gt;0")</f>
        <v>0</v>
      </c>
      <c r="F63" s="25">
        <f>SUMIFS('Daftar Koreksi'!$I$5:$I$92,'Daftar Koreksi'!$D$5:$D$92,'1000'!A48,'Daftar Koreksi'!$G$5:$G$92,"Jalan Irigasi Jaringan",'Daftar Koreksi'!$I$5:$I$92,"&lt;0")-SUMIFS('Daftar Koreksi'!$I$5:$I$92,'Daftar Koreksi'!$D$5:$D$92,'1000'!A48,'Daftar Koreksi'!$G$5:$G$92,"Jalan Irigasi Jaringan",'Daftar Koreksi'!$I$5:$I$92,"&lt;0")-SUMIFS('Daftar Koreksi'!$I$5:$I$92,'Daftar Koreksi'!$D$5:$D$92,'1000'!A48,'Daftar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Koreksi'!$D$5:$D$92,'1000'!A48,'Daftar Koreksi'!$G$5:$G$92,"Aset Tetap Lainnya",'Daftar Koreksi'!$I$5:$I$92,"&gt;0")</f>
        <v>0</v>
      </c>
      <c r="F64" s="25">
        <f>SUMIFS('Daftar Koreksi'!$I$5:$I$92,'Daftar Koreksi'!$D$5:$D$92,'1000'!A48,'Daftar Koreksi'!$G$5:$G$92,"Aset Tetap Lainnya",'Daftar Koreksi'!$I$5:$I$92,"&lt;0")-SUMIFS('Daftar Koreksi'!$I$5:$I$92,'Daftar Koreksi'!$D$5:$D$92,'1000'!A48,'Daftar Koreksi'!$G$5:$G$92,"Aset Tetap Lainnya",'Daftar Koreksi'!$I$5:$I$92,"&lt;0")-SUMIFS('Daftar Koreksi'!$I$5:$I$92,'Daftar Koreksi'!$D$5:$D$92,'1000'!A48,'Daftar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-2554838</v>
      </c>
      <c r="E65" s="25">
        <f>SUMIFS('Daftar Koreksi'!$I$5:$I$92,'Daftar Koreksi'!$D$5:$D$92,'1000'!A48,'Daftar Koreksi'!$G$5:$G$92,"Aset Henti Guna",'Daftar Koreksi'!$I$5:$I$92,"&gt;0")</f>
        <v>0</v>
      </c>
      <c r="F65" s="25">
        <f>SUMIFS('Daftar Koreksi'!$I$5:$I$92,'Daftar Koreksi'!$D$5:$D$92,'1000'!A48,'Daftar Koreksi'!$G$5:$G$92,"Aset Henti Guna",'Daftar Koreksi'!$I$5:$I$92,"&lt;0")-SUMIFS('Daftar Koreksi'!$I$5:$I$92,'Daftar Koreksi'!$D$5:$D$92,'1000'!A48,'Daftar Koreksi'!$G$5:$G$92,"Aset Henti Guna",'Daftar Koreksi'!$I$5:$I$92,"&lt;0")-SUMIFS('Daftar Koreksi'!$I$5:$I$92,'Daftar Koreksi'!$D$5:$D$92,'1000'!A48,'Daftar Koreksi'!$G$5:$G$92,"Aset Henti Guna",'Daftar Koreksi'!$I$5:$I$92,"&lt;0")</f>
        <v>0</v>
      </c>
      <c r="G65" s="17">
        <f t="shared" si="2"/>
        <v>-2554838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-1968220499</v>
      </c>
      <c r="E66" s="19">
        <f>SUM(E61:E65)</f>
        <v>0</v>
      </c>
      <c r="F66" s="19">
        <f>SUM(F61:F65)</f>
        <v>0</v>
      </c>
      <c r="G66" s="19">
        <f t="shared" si="2"/>
        <v>-1968220499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13551727280</v>
      </c>
      <c r="E67" s="19">
        <f>E66+E60</f>
        <v>0</v>
      </c>
      <c r="F67" s="19">
        <f>F66+F60</f>
        <v>0</v>
      </c>
      <c r="G67" s="19">
        <f t="shared" si="2"/>
        <v>13551727280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005011000098921000KD</v>
      </c>
      <c r="B70" s="11" t="str">
        <f>P4</f>
        <v>PN. Sungai Penuh</v>
      </c>
      <c r="C70" s="12" t="str">
        <f>A70&amp;" "&amp;B70</f>
        <v>005011000098921000KD PN. Sungai Penuh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877200</v>
      </c>
      <c r="E73" s="25">
        <f>SUMIFS('Daftar Koreksi'!$H$5:$H$92,'Daftar Koreksi'!$D$5:$D$92,'1000'!A70,'Daftar Koreksi'!$G$5:$G$92,"Persediaan",'Daftar Koreksi'!$H$5:$H$92,"&gt;0")</f>
        <v>0</v>
      </c>
      <c r="F73" s="25">
        <f>SUMIFS('Daftar Koreksi'!$H$5:$H$92,'Daftar Koreksi'!$D$5:$D$92,'1000'!A70,'Daftar Koreksi'!$G$5:$G$92,"Persediaan",'Daftar Koreksi'!$H$5:$H$92,"&lt;0")-SUMIFS('Daftar Koreksi'!$H$5:$H$92,'Daftar Koreksi'!$D$5:$D$92,'1000'!A70,'Daftar Koreksi'!$G$5:$G$92,"Persediaan",'Daftar Koreksi'!$H$5:$H$92,"&lt;0")-SUMIFS('Daftar Koreksi'!$H$5:$H$92,'Daftar Koreksi'!$D$5:$D$92,'1000'!A70,'Daftar Koreksi'!$G$5:$G$92,"Persediaan",'Daftar Koreksi'!$H$5:$H$92,"&lt;0")</f>
        <v>0</v>
      </c>
      <c r="G73" s="17">
        <f>D73+E73-F73</f>
        <v>877200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462650000</v>
      </c>
      <c r="E74" s="25">
        <f>SUMIFS('Daftar Koreksi'!$H$5:$H$92,'Daftar Koreksi'!$D$5:$D$92,'1000'!A70,'Daftar Koreksi'!$G$5:$G$92,"Tanah",'Daftar Koreksi'!$H$5:$H$92,"&gt;0")</f>
        <v>0</v>
      </c>
      <c r="F74" s="25">
        <f>SUMIFS('Daftar Koreksi'!$H$5:$H$92,'Daftar Koreksi'!$D$5:$D$92,'1000'!A70,'Daftar Koreksi'!$G$5:$G$92,"Tanah",'Daftar Koreksi'!$H$5:$H$92,"&lt;0")-SUMIFS('Daftar Koreksi'!$H$5:$H$92,'Daftar Koreksi'!$D$5:$D$92,'1000'!A70,'Daftar Koreksi'!$G$5:$G$92,"Tanah",'Daftar Koreksi'!$H$5:$H$92,"&lt;0")-SUMIFS('Daftar Koreksi'!$H$5:$H$92,'Daftar Koreksi'!$D$5:$D$92,'1000'!A70,'Daftar Koreksi'!$G$5:$G$92,"Tanah",'Daftar Koreksi'!$H$5:$H$92,"&lt;0")</f>
        <v>0</v>
      </c>
      <c r="G74" s="17">
        <f t="shared" ref="G74:G90" si="3">D74+E74-F74</f>
        <v>462650000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1492531949</v>
      </c>
      <c r="E75" s="25">
        <f>SUMIFS('Daftar Koreksi'!$H$5:$H$92,'Daftar Koreksi'!$D$5:$D$92,'1000'!A70,'Daftar Koreksi'!$G$5:$G$92,"Peralatan dan mesin",'Daftar Koreksi'!$H$5:$H$92,"&gt;0")</f>
        <v>0</v>
      </c>
      <c r="F75" s="25">
        <f>SUMIFS('Daftar Koreksi'!$H$5:$H$92,'Daftar Koreksi'!$D$5:$D$92,'1000'!A70,'Daftar Koreksi'!$G$5:$G$92,"Peralatan dan mesin",'Daftar Koreksi'!$H$5:$H$92,"&lt;0")-SUMIFS('Daftar Koreksi'!$H$5:$H$92,'Daftar Koreksi'!$D$5:$D$92,'1000'!A70,'Daftar Koreksi'!$G$5:$G$92,"Peralatan dan mesin",'Daftar Koreksi'!$H$5:$H$92,"&lt;0")-SUMIFS('Daftar Koreksi'!$H$5:$H$92,'Daftar Koreksi'!$D$5:$D$92,'1000'!A70,'Daftar Koreksi'!$G$5:$G$92,"Peralatan dan mesin",'Daftar Koreksi'!$H$5:$H$92,"&lt;0")</f>
        <v>0</v>
      </c>
      <c r="G75" s="17">
        <f t="shared" si="3"/>
        <v>1492531949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3076318100</v>
      </c>
      <c r="E76" s="25">
        <f>SUMIFS('Daftar Koreksi'!$H$5:$H$92,'Daftar Koreksi'!$D$5:$D$92,'1000'!A70,'Daftar Koreksi'!$G$5:$G$92,"Gedung dan Bangunan",'Daftar Koreksi'!$H$5:$H$92,"&gt;0")</f>
        <v>0</v>
      </c>
      <c r="F76" s="25">
        <f>SUMIFS('Daftar Koreksi'!$H$5:$H$92,'Daftar Koreksi'!$D$5:$D$92,'1000'!A70,'Daftar Koreksi'!$G$5:$G$92,"Gedung dan Bangunan",'Daftar Koreksi'!$H$5:$H$92,"&lt;0")-SUMIFS('Daftar Koreksi'!$H$5:$H$92,'Daftar Koreksi'!$D$5:$D$92,'1000'!A70,'Daftar Koreksi'!$G$5:$G$92,"Gedung dan Bangunan",'Daftar Koreksi'!$H$5:$H$92,"&lt;0")-SUMIFS('Daftar Koreksi'!$H$5:$H$92,'Daftar Koreksi'!$D$5:$D$92,'1000'!A70,'Daftar Koreksi'!$G$5:$G$92,"Gedung dan Bangunan",'Daftar Koreksi'!$H$5:$H$92,"&lt;0")</f>
        <v>0</v>
      </c>
      <c r="G76" s="17">
        <f t="shared" si="3"/>
        <v>3076318100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Koreksi'!$D$5:$D$92,'1000'!A70,'Daftar Koreksi'!$G$5:$G$92,"Jalan Irigasi Jaringan",'Daftar Koreksi'!$H$5:$H$92,"&gt;0")</f>
        <v>0</v>
      </c>
      <c r="F77" s="25">
        <f>SUMIFS('Daftar Koreksi'!$H$5:$H$92,'Daftar Koreksi'!$D$5:$D$92,'1000'!A70,'Daftar Koreksi'!$G$5:$G$92,"Jalan Irigasi Jaringan",'Daftar Koreksi'!$H$5:$H$92,"&lt;0")-SUMIFS('Daftar Koreksi'!$H$5:$H$92,'Daftar Koreksi'!$D$5:$D$92,'1000'!A70,'Daftar Koreksi'!$G$5:$G$92,"Jalan Irigasi Jaringan",'Daftar Koreksi'!$H$5:$H$92,"&lt;0")-SUMIFS('Daftar Koreksi'!$H$5:$H$92,'Daftar Koreksi'!$D$5:$D$92,'1000'!A70,'Daftar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114781940</v>
      </c>
      <c r="E78" s="25">
        <f>SUMIFS('Daftar Koreksi'!$H$5:$H$92,'Daftar Koreksi'!$D$5:$D$92,'1000'!A70,'Daftar Koreksi'!$G$5:$G$92,"Aset Tetap Lainnya",'Daftar Koreksi'!$H$5:$H$92,"&gt;0")</f>
        <v>0</v>
      </c>
      <c r="F78" s="25">
        <f>SUMIFS('Daftar Koreksi'!$H$5:$H$92,'Daftar Koreksi'!$D$5:$D$92,'1000'!A70,'Daftar Koreksi'!$G$5:$G$92,"Aset Tetap Lainnya",'Daftar Koreksi'!$H$5:$H$92,"&lt;0")-SUMIFS('Daftar Koreksi'!$H$5:$H$92,'Daftar Koreksi'!$D$5:$D$92,'1000'!A70,'Daftar Koreksi'!$G$5:$G$92,"Aset Tetap Lainnya",'Daftar Koreksi'!$H$5:$H$92,"&lt;0")-SUMIFS('Daftar Koreksi'!$H$5:$H$92,'Daftar Koreksi'!$D$5:$D$92,'1000'!A70,'Daftar Koreksi'!$G$5:$G$92,"Aset Tetap Lainnya",'Daftar Koreksi'!$H$5:$H$92,"&lt;0")</f>
        <v>0</v>
      </c>
      <c r="G78" s="17">
        <f t="shared" si="3"/>
        <v>114781940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Koreksi'!$D$5:$D$92,'1000'!A70,'Daftar Koreksi'!$G$5:$G$92,"Kontruksi Dalam Pengerjaan",'Daftar Koreksi'!$H$5:$H$92,"&gt;0")</f>
        <v>0</v>
      </c>
      <c r="F79" s="25">
        <f>SUMIFS('Daftar Koreksi'!$H$5:$H$92,'Daftar Koreksi'!$D$5:$D$92,'1000'!A70,'Daftar Koreksi'!$G$5:$G$92,"Kontruksi Dalam Pengerjaan",'Daftar Koreksi'!$H$5:$H$92,"&lt;0")-SUMIFS('Daftar Koreksi'!$H$5:$H$92,'Daftar Koreksi'!$D$5:$D$92,'1000'!A70,'Daftar Koreksi'!$G$5:$G$92,"Kontruksi Dalam Pengerjaan",'Daftar Koreksi'!$H$5:$H$92,"&lt;0")-SUMIFS('Daftar Koreksi'!$H$5:$H$92,'Daftar Koreksi'!$D$5:$D$92,'1000'!A70,'Daftar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Koreksi'!$D$5:$D$92,'1000'!A70,'Daftar Koreksi'!$G$5:$G$92,"Aset Tak Berwujud",'Daftar Koreksi'!$H$5:$H$92,"&gt;0")</f>
        <v>0</v>
      </c>
      <c r="F80" s="25">
        <f>SUMIFS('Daftar Koreksi'!$H$5:$H$92,'Daftar Koreksi'!$D$5:$D$92,'1000'!A70,'Daftar Koreksi'!$G$5:$G$92,"Aset Tak Berwujud",'Daftar Koreksi'!$H$5:$H$92,"&lt;0")-SUMIFS('Daftar Koreksi'!$H$5:$H$92,'Daftar Koreksi'!$D$5:$D$92,'1000'!A70,'Daftar Koreksi'!$G$5:$G$92,"Aset Tak Berwujud",'Daftar Koreksi'!$H$5:$H$92,"&lt;0")-SUMIFS('Daftar Koreksi'!$H$5:$H$92,'Daftar Koreksi'!$D$5:$D$92,'1000'!A70,'Daftar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Koreksi'!$D$5:$D$92,'1000'!A70,'Daftar Koreksi'!$G$5:$G$92,"Aset Henti Guna",'Daftar Koreksi'!$H$5:$H$92,"&gt;0")</f>
        <v>0</v>
      </c>
      <c r="F81" s="25">
        <f>SUMIFS('Daftar Koreksi'!$H$5:$H$92,'Daftar Koreksi'!$D$5:$D$92,'1000'!A70,'Daftar Koreksi'!$G$5:$G$92,"Aset Henti Guna",'Daftar Koreksi'!$H$5:$H$92,"&lt;0")-SUMIFS('Daftar Koreksi'!$H$5:$H$92,'Daftar Koreksi'!$D$5:$D$92,'1000'!A70,'Daftar Koreksi'!$G$5:$G$92,"Aset Henti Guna",'Daftar Koreksi'!$H$5:$H$92,"&lt;0")-SUMIFS('Daftar Koreksi'!$H$5:$H$92,'Daftar Koreksi'!$D$5:$D$92,'1000'!A70,'Daftar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5147159189</v>
      </c>
      <c r="E82" s="19">
        <f>SUM(E73:E81)</f>
        <v>0</v>
      </c>
      <c r="F82" s="19">
        <f>SUM(F73:F81)</f>
        <v>0</v>
      </c>
      <c r="G82" s="19">
        <f t="shared" si="3"/>
        <v>5147159189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-1299282532</v>
      </c>
      <c r="E83" s="25">
        <f>SUMIFS('Daftar Koreksi'!$I$5:$I$92,'Daftar Koreksi'!$D$5:$D$92,'1000'!A70,'Daftar Koreksi'!$G$5:$G$92,"Peralatan dan mesin",'Daftar Koreksi'!$I$5:$I$92,"&gt;0")</f>
        <v>0</v>
      </c>
      <c r="F83" s="25">
        <f>SUMIFS('Daftar Koreksi'!$I$5:$I$92,'Daftar Koreksi'!$D$5:$D$92,'1000'!A70,'Daftar Koreksi'!$G$5:$G$92,"Peralatan dan mesin",'Daftar Koreksi'!$I$5:$I$92,"&lt;0")-SUMIFS('Daftar Koreksi'!$I$5:$I$92,'Daftar Koreksi'!$D$5:$D$92,'1000'!A70,'Daftar Koreksi'!$G$5:$G$92,"Peralatan dan mesin",'Daftar Koreksi'!$I$5:$I$92,"&lt;0")-SUMIFS('Daftar Koreksi'!$I$5:$I$92,'Daftar Koreksi'!$D$5:$D$92,'1000'!A70,'Daftar Koreksi'!$G$5:$G$92,"Peralatan dan mesin",'Daftar Koreksi'!$I$5:$I$92,"&lt;0")</f>
        <v>0</v>
      </c>
      <c r="G83" s="17">
        <f t="shared" si="3"/>
        <v>-1299282532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-2134884638</v>
      </c>
      <c r="E84" s="25">
        <f>SUMIFS('Daftar Koreksi'!$I$5:$I$92,'Daftar Koreksi'!$D$5:$D$92,'1000'!A70,'Daftar Koreksi'!$G$5:$G$92,"Gedung dan Bangunan",'Daftar Koreksi'!$I$5:$I$92,"&gt;0")</f>
        <v>0</v>
      </c>
      <c r="F84" s="25">
        <f>SUMIFS('Daftar Koreksi'!$I$5:$I$92,'Daftar Koreksi'!$D$5:$D$92,'1000'!A70,'Daftar Koreksi'!$G$5:$G$92,"Gedung dan Bangunan",'Daftar Koreksi'!$I$5:$I$92,"&lt;0")-SUMIFS('Daftar Koreksi'!$I$5:$I$92,'Daftar Koreksi'!$D$5:$D$92,'1000'!A70,'Daftar Koreksi'!$G$5:$G$92,"Gedung dan Bangunan",'Daftar Koreksi'!$I$5:$I$92,"&lt;0")-SUMIFS('Daftar Koreksi'!$I$5:$I$92,'Daftar Koreksi'!$D$5:$D$92,'1000'!A70,'Daftar Koreksi'!$G$5:$G$92,"Gedung dan Bangunan",'Daftar Koreksi'!$I$5:$I$92,"&lt;0")</f>
        <v>0</v>
      </c>
      <c r="G84" s="17">
        <f t="shared" si="3"/>
        <v>-2134884638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Koreksi'!$D$5:$D$92,'1000'!A70,'Daftar Koreksi'!$G$5:$G$92,"Jalan Irigasi Jaringan",'Daftar Koreksi'!$I$5:$I$92,"&gt;0")</f>
        <v>0</v>
      </c>
      <c r="F85" s="25">
        <f>SUMIFS('Daftar Koreksi'!$I$5:$I$92,'Daftar Koreksi'!$D$5:$D$92,'1000'!A70,'Daftar Koreksi'!$G$5:$G$92,"Jalan Irigasi Jaringan",'Daftar Koreksi'!$I$5:$I$92,"&lt;0")-SUMIFS('Daftar Koreksi'!$I$5:$I$92,'Daftar Koreksi'!$D$5:$D$92,'1000'!A70,'Daftar Koreksi'!$G$5:$G$92,"Jalan Irigasi Jaringan",'Daftar Koreksi'!$I$5:$I$92,"&lt;0")-SUMIFS('Daftar Koreksi'!$I$5:$I$92,'Daftar Koreksi'!$D$5:$D$92,'1000'!A70,'Daftar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Koreksi'!$D$5:$D$92,'1000'!A70,'Daftar Koreksi'!$G$5:$G$92,"Aset Tetap Lainnya",'Daftar Koreksi'!$I$5:$I$92,"&gt;0")</f>
        <v>0</v>
      </c>
      <c r="F86" s="25">
        <f>SUMIFS('Daftar Koreksi'!$I$5:$I$92,'Daftar Koreksi'!$D$5:$D$92,'1000'!A70,'Daftar Koreksi'!$G$5:$G$92,"Aset Tetap Lainnya",'Daftar Koreksi'!$I$5:$I$92,"&lt;0")-SUMIFS('Daftar Koreksi'!$I$5:$I$92,'Daftar Koreksi'!$D$5:$D$92,'1000'!A70,'Daftar Koreksi'!$G$5:$G$92,"Aset Tetap Lainnya",'Daftar Koreksi'!$I$5:$I$92,"&lt;0")-SUMIFS('Daftar Koreksi'!$I$5:$I$92,'Daftar Koreksi'!$D$5:$D$92,'1000'!A70,'Daftar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Koreksi'!$D$5:$D$92,'1000'!A70,'Daftar Koreksi'!$G$5:$G$92,"Aset Henti Guna",'Daftar Koreksi'!$I$5:$I$92,"&gt;0")</f>
        <v>0</v>
      </c>
      <c r="F87" s="25">
        <f>SUMIFS('Daftar Koreksi'!$I$5:$I$92,'Daftar Koreksi'!$D$5:$D$92,'1000'!A70,'Daftar Koreksi'!$G$5:$G$92,"Aset Henti Guna",'Daftar Koreksi'!$I$5:$I$92,"&lt;0")-SUMIFS('Daftar Koreksi'!$I$5:$I$92,'Daftar Koreksi'!$D$5:$D$92,'1000'!A70,'Daftar Koreksi'!$G$5:$G$92,"Aset Henti Guna",'Daftar Koreksi'!$I$5:$I$92,"&lt;0")-SUMIFS('Daftar Koreksi'!$I$5:$I$92,'Daftar Koreksi'!$D$5:$D$92,'1000'!A70,'Daftar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-3434167170</v>
      </c>
      <c r="E88" s="19">
        <f>SUM(E83:E87)</f>
        <v>0</v>
      </c>
      <c r="F88" s="19">
        <f>SUM(F83:F87)</f>
        <v>0</v>
      </c>
      <c r="G88" s="19">
        <f t="shared" si="3"/>
        <v>-3434167170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1712992019</v>
      </c>
      <c r="E89" s="19">
        <f>E88+E82</f>
        <v>0</v>
      </c>
      <c r="F89" s="19">
        <f>F88+F82</f>
        <v>0</v>
      </c>
      <c r="G89" s="19">
        <f t="shared" si="3"/>
        <v>1712992019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005011000400311000KD</v>
      </c>
      <c r="B92" s="11" t="str">
        <f>P5</f>
        <v>PN. Bangko</v>
      </c>
      <c r="C92" s="12" t="str">
        <f>A92&amp;" "&amp;B92</f>
        <v>005011000400311000KD PN. Bangko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1176000</v>
      </c>
      <c r="E95" s="25">
        <f>SUMIFS('Daftar Koreksi'!$H$5:$H$92,'Daftar Koreksi'!$D$5:$D$92,'1000'!A92,'Daftar Koreksi'!$G$5:$G$92,"Persediaan",'Daftar Koreksi'!$H$5:$H$92,"&gt;0")</f>
        <v>0</v>
      </c>
      <c r="F95" s="25">
        <f>SUMIFS('Daftar Koreksi'!$H$5:$H$92,'Daftar Koreksi'!$D$5:$D$92,'1000'!A92,'Daftar Koreksi'!$G$5:$G$92,"Persediaan",'Daftar Koreksi'!$H$5:$H$92,"&lt;0")-SUMIFS('Daftar Koreksi'!$H$5:$H$92,'Daftar Koreksi'!$D$5:$D$92,'1000'!A92,'Daftar Koreksi'!$G$5:$G$92,"Persediaan",'Daftar Koreksi'!$H$5:$H$92,"&lt;0")-SUMIFS('Daftar Koreksi'!$H$5:$H$92,'Daftar Koreksi'!$D$5:$D$92,'1000'!A92,'Daftar Koreksi'!$G$5:$G$92,"Persediaan",'Daftar Koreksi'!$H$5:$H$92,"&lt;0")</f>
        <v>0</v>
      </c>
      <c r="G95" s="17">
        <f>D95+E95-F95</f>
        <v>1176000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2248146100</v>
      </c>
      <c r="E96" s="25">
        <f>SUMIFS('Daftar Koreksi'!$H$5:$H$92,'Daftar Koreksi'!$D$5:$D$92,'1000'!A92,'Daftar Koreksi'!$G$5:$G$92,"Tanah",'Daftar Koreksi'!$H$5:$H$92,"&gt;0")</f>
        <v>0</v>
      </c>
      <c r="F96" s="25">
        <f>SUMIFS('Daftar Koreksi'!$H$5:$H$92,'Daftar Koreksi'!$D$5:$D$92,'1000'!A92,'Daftar Koreksi'!$G$5:$G$92,"Tanah",'Daftar Koreksi'!$H$5:$H$92,"&lt;0")-SUMIFS('Daftar Koreksi'!$H$5:$H$92,'Daftar Koreksi'!$D$5:$D$92,'1000'!A92,'Daftar Koreksi'!$G$5:$G$92,"Tanah",'Daftar Koreksi'!$H$5:$H$92,"&lt;0")-SUMIFS('Daftar Koreksi'!$H$5:$H$92,'Daftar Koreksi'!$D$5:$D$92,'1000'!A92,'Daftar Koreksi'!$G$5:$G$92,"Tanah",'Daftar Koreksi'!$H$5:$H$92,"&lt;0")</f>
        <v>0</v>
      </c>
      <c r="G96" s="17">
        <f t="shared" ref="G96:G112" si="4">D96+E96-F96</f>
        <v>2248146100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1791840617</v>
      </c>
      <c r="E97" s="25">
        <f>SUMIFS('Daftar Koreksi'!$H$5:$H$92,'Daftar Koreksi'!$D$5:$D$92,'1000'!A92,'Daftar Koreksi'!$G$5:$G$92,"Peralatan dan mesin",'Daftar Koreksi'!$H$5:$H$92,"&gt;0")</f>
        <v>0</v>
      </c>
      <c r="F97" s="25">
        <f>SUMIFS('Daftar Koreksi'!$H$5:$H$92,'Daftar Koreksi'!$D$5:$D$92,'1000'!A92,'Daftar Koreksi'!$G$5:$G$92,"Peralatan dan mesin",'Daftar Koreksi'!$H$5:$H$92,"&lt;0")-SUMIFS('Daftar Koreksi'!$H$5:$H$92,'Daftar Koreksi'!$D$5:$D$92,'1000'!A92,'Daftar Koreksi'!$G$5:$G$92,"Peralatan dan mesin",'Daftar Koreksi'!$H$5:$H$92,"&lt;0")-SUMIFS('Daftar Koreksi'!$H$5:$H$92,'Daftar Koreksi'!$D$5:$D$92,'1000'!A92,'Daftar Koreksi'!$G$5:$G$92,"Peralatan dan mesin",'Daftar Koreksi'!$H$5:$H$92,"&lt;0")</f>
        <v>0</v>
      </c>
      <c r="G97" s="17">
        <f t="shared" si="4"/>
        <v>1791840617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5574224876</v>
      </c>
      <c r="E98" s="25">
        <f>SUMIFS('Daftar Koreksi'!$H$5:$H$92,'Daftar Koreksi'!$D$5:$D$92,'1000'!A92,'Daftar Koreksi'!$G$5:$G$92,"Gedung dan Bangunan",'Daftar Koreksi'!$H$5:$H$92,"&gt;0")</f>
        <v>0</v>
      </c>
      <c r="F98" s="25">
        <f>SUMIFS('Daftar Koreksi'!$H$5:$H$92,'Daftar Koreksi'!$D$5:$D$92,'1000'!A92,'Daftar Koreksi'!$G$5:$G$92,"Gedung dan Bangunan",'Daftar Koreksi'!$H$5:$H$92,"&lt;0")-SUMIFS('Daftar Koreksi'!$H$5:$H$92,'Daftar Koreksi'!$D$5:$D$92,'1000'!A92,'Daftar Koreksi'!$G$5:$G$92,"Gedung dan Bangunan",'Daftar Koreksi'!$H$5:$H$92,"&lt;0")-SUMIFS('Daftar Koreksi'!$H$5:$H$92,'Daftar Koreksi'!$D$5:$D$92,'1000'!A92,'Daftar Koreksi'!$G$5:$G$92,"Gedung dan Bangunan",'Daftar Koreksi'!$H$5:$H$92,"&lt;0")</f>
        <v>0</v>
      </c>
      <c r="G98" s="17">
        <f t="shared" si="4"/>
        <v>5574224876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264333961</v>
      </c>
      <c r="E99" s="25">
        <f>SUMIFS('Daftar Koreksi'!$H$5:$H$92,'Daftar Koreksi'!$D$5:$D$92,'1000'!A92,'Daftar Koreksi'!$G$5:$G$92,"Jalan Irigasi Jaringan",'Daftar Koreksi'!$H$5:$H$92,"&gt;0")</f>
        <v>0</v>
      </c>
      <c r="F99" s="25">
        <f>SUMIFS('Daftar Koreksi'!$H$5:$H$92,'Daftar Koreksi'!$D$5:$D$92,'1000'!A92,'Daftar Koreksi'!$G$5:$G$92,"Jalan Irigasi Jaringan",'Daftar Koreksi'!$H$5:$H$92,"&lt;0")-SUMIFS('Daftar Koreksi'!$H$5:$H$92,'Daftar Koreksi'!$D$5:$D$92,'1000'!A92,'Daftar Koreksi'!$G$5:$G$92,"Jalan Irigasi Jaringan",'Daftar Koreksi'!$H$5:$H$92,"&lt;0")-SUMIFS('Daftar Koreksi'!$H$5:$H$92,'Daftar Koreksi'!$D$5:$D$92,'1000'!A92,'Daftar Koreksi'!$G$5:$G$92,"Jalan Irigasi Jaringan",'Daftar Koreksi'!$H$5:$H$92,"&lt;0")</f>
        <v>0</v>
      </c>
      <c r="G99" s="17">
        <f t="shared" si="4"/>
        <v>264333961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5370005</v>
      </c>
      <c r="E100" s="25">
        <f>SUMIFS('Daftar Koreksi'!$H$5:$H$92,'Daftar Koreksi'!$D$5:$D$92,'1000'!A92,'Daftar Koreksi'!$G$5:$G$92,"Aset Tetap Lainnya",'Daftar Koreksi'!$H$5:$H$92,"&gt;0")</f>
        <v>0</v>
      </c>
      <c r="F100" s="25">
        <f>SUMIFS('Daftar Koreksi'!$H$5:$H$92,'Daftar Koreksi'!$D$5:$D$92,'1000'!A92,'Daftar Koreksi'!$G$5:$G$92,"Aset Tetap Lainnya",'Daftar Koreksi'!$H$5:$H$92,"&lt;0")-SUMIFS('Daftar Koreksi'!$H$5:$H$92,'Daftar Koreksi'!$D$5:$D$92,'1000'!A92,'Daftar Koreksi'!$G$5:$G$92,"Aset Tetap Lainnya",'Daftar Koreksi'!$H$5:$H$92,"&lt;0")-SUMIFS('Daftar Koreksi'!$H$5:$H$92,'Daftar Koreksi'!$D$5:$D$92,'1000'!A92,'Daftar Koreksi'!$G$5:$G$92,"Aset Tetap Lainnya",'Daftar Koreksi'!$H$5:$H$92,"&lt;0")</f>
        <v>0</v>
      </c>
      <c r="G100" s="17">
        <f t="shared" si="4"/>
        <v>5370005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Koreksi'!$D$5:$D$92,'1000'!A92,'Daftar Koreksi'!$G$5:$G$92,"Kontruksi Dalam Pengerjaan",'Daftar Koreksi'!$H$5:$H$92,"&gt;0")</f>
        <v>0</v>
      </c>
      <c r="F101" s="25">
        <f>SUMIFS('Daftar Koreksi'!$H$5:$H$92,'Daftar Koreksi'!$D$5:$D$92,'1000'!A92,'Daftar Koreksi'!$G$5:$G$92,"Kontruksi Dalam Pengerjaan",'Daftar Koreksi'!$H$5:$H$92,"&lt;0")-SUMIFS('Daftar Koreksi'!$H$5:$H$92,'Daftar Koreksi'!$D$5:$D$92,'1000'!A92,'Daftar Koreksi'!$G$5:$G$92,"Kontruksi Dalam Pengerjaan",'Daftar Koreksi'!$H$5:$H$92,"&lt;0")-SUMIFS('Daftar Koreksi'!$H$5:$H$92,'Daftar Koreksi'!$D$5:$D$92,'1000'!A92,'Daftar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69080000</v>
      </c>
      <c r="E102" s="25">
        <f>SUMIFS('Daftar Koreksi'!$H$5:$H$92,'Daftar Koreksi'!$D$5:$D$92,'1000'!A92,'Daftar Koreksi'!$G$5:$G$92,"Aset Tak Berwujud",'Daftar Koreksi'!$H$5:$H$92,"&gt;0")</f>
        <v>0</v>
      </c>
      <c r="F102" s="25">
        <f>SUMIFS('Daftar Koreksi'!$H$5:$H$92,'Daftar Koreksi'!$D$5:$D$92,'1000'!A92,'Daftar Koreksi'!$G$5:$G$92,"Aset Tak Berwujud",'Daftar Koreksi'!$H$5:$H$92,"&lt;0")-SUMIFS('Daftar Koreksi'!$H$5:$H$92,'Daftar Koreksi'!$D$5:$D$92,'1000'!A92,'Daftar Koreksi'!$G$5:$G$92,"Aset Tak Berwujud",'Daftar Koreksi'!$H$5:$H$92,"&lt;0")-SUMIFS('Daftar Koreksi'!$H$5:$H$92,'Daftar Koreksi'!$D$5:$D$92,'1000'!A92,'Daftar Koreksi'!$G$5:$G$92,"Aset Tak Berwujud",'Daftar Koreksi'!$H$5:$H$92,"&lt;0")</f>
        <v>0</v>
      </c>
      <c r="G102" s="17">
        <f t="shared" si="4"/>
        <v>69080000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69573000</v>
      </c>
      <c r="E103" s="25">
        <f>SUMIFS('Daftar Koreksi'!$H$5:$H$92,'Daftar Koreksi'!$D$5:$D$92,'1000'!A92,'Daftar Koreksi'!$G$5:$G$92,"Aset Henti Guna",'Daftar Koreksi'!$H$5:$H$92,"&gt;0")</f>
        <v>0</v>
      </c>
      <c r="F103" s="25">
        <f>SUMIFS('Daftar Koreksi'!$H$5:$H$92,'Daftar Koreksi'!$D$5:$D$92,'1000'!A92,'Daftar Koreksi'!$G$5:$G$92,"Aset Henti Guna",'Daftar Koreksi'!$H$5:$H$92,"&lt;0")-SUMIFS('Daftar Koreksi'!$H$5:$H$92,'Daftar Koreksi'!$D$5:$D$92,'1000'!A92,'Daftar Koreksi'!$G$5:$G$92,"Aset Henti Guna",'Daftar Koreksi'!$H$5:$H$92,"&lt;0")-SUMIFS('Daftar Koreksi'!$H$5:$H$92,'Daftar Koreksi'!$D$5:$D$92,'1000'!A92,'Daftar Koreksi'!$G$5:$G$92,"Aset Henti Guna",'Daftar Koreksi'!$H$5:$H$92,"&lt;0")</f>
        <v>0</v>
      </c>
      <c r="G103" s="17">
        <f t="shared" si="4"/>
        <v>69573000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10023744559</v>
      </c>
      <c r="E104" s="19">
        <f>SUM(E95:E103)</f>
        <v>0</v>
      </c>
      <c r="F104" s="19">
        <f>SUM(F95:F103)</f>
        <v>0</v>
      </c>
      <c r="G104" s="19">
        <f t="shared" si="4"/>
        <v>10023744559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-1266887397</v>
      </c>
      <c r="E105" s="25">
        <f>SUMIFS('Daftar Koreksi'!$I$5:$I$92,'Daftar Koreksi'!$D$5:$D$92,'1000'!A92,'Daftar Koreksi'!$G$5:$G$92,"Peralatan dan mesin",'Daftar Koreksi'!$I$5:$I$92,"&gt;0")</f>
        <v>0</v>
      </c>
      <c r="F105" s="25">
        <f>SUMIFS('Daftar Koreksi'!$I$5:$I$92,'Daftar Koreksi'!$D$5:$D$92,'1000'!A92,'Daftar Koreksi'!$G$5:$G$92,"Peralatan dan mesin",'Daftar Koreksi'!$I$5:$I$92,"&lt;0")-SUMIFS('Daftar Koreksi'!$I$5:$I$92,'Daftar Koreksi'!$D$5:$D$92,'1000'!A92,'Daftar Koreksi'!$G$5:$G$92,"Peralatan dan mesin",'Daftar Koreksi'!$I$5:$I$92,"&lt;0")-SUMIFS('Daftar Koreksi'!$I$5:$I$92,'Daftar Koreksi'!$D$5:$D$92,'1000'!A92,'Daftar Koreksi'!$G$5:$G$92,"Peralatan dan mesin",'Daftar Koreksi'!$I$5:$I$92,"&lt;0")</f>
        <v>0</v>
      </c>
      <c r="G105" s="17">
        <f t="shared" si="4"/>
        <v>-1266887397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-1346632290</v>
      </c>
      <c r="E106" s="25">
        <f>SUMIFS('Daftar Koreksi'!$I$5:$I$92,'Daftar Koreksi'!$D$5:$D$92,'1000'!A92,'Daftar Koreksi'!$G$5:$G$92,"Gedung dan Bangunan",'Daftar Koreksi'!$I$5:$I$92,"&gt;0")</f>
        <v>0</v>
      </c>
      <c r="F106" s="25">
        <f>SUMIFS('Daftar Koreksi'!$I$5:$I$92,'Daftar Koreksi'!$D$5:$D$92,'1000'!A92,'Daftar Koreksi'!$G$5:$G$92,"Gedung dan Bangunan",'Daftar Koreksi'!$I$5:$I$92,"&lt;0")-SUMIFS('Daftar Koreksi'!$I$5:$I$92,'Daftar Koreksi'!$D$5:$D$92,'1000'!A92,'Daftar Koreksi'!$G$5:$G$92,"Gedung dan Bangunan",'Daftar Koreksi'!$I$5:$I$92,"&lt;0")-SUMIFS('Daftar Koreksi'!$I$5:$I$92,'Daftar Koreksi'!$D$5:$D$92,'1000'!A92,'Daftar Koreksi'!$G$5:$G$92,"Gedung dan Bangunan",'Daftar Koreksi'!$I$5:$I$92,"&lt;0")</f>
        <v>0</v>
      </c>
      <c r="G106" s="17">
        <f t="shared" si="4"/>
        <v>-1346632290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-193912866</v>
      </c>
      <c r="E107" s="25">
        <f>SUMIFS('Daftar Koreksi'!$I$5:$I$92,'Daftar Koreksi'!$D$5:$D$92,'1000'!A92,'Daftar Koreksi'!$G$5:$G$92,"Jalan Irigasi Jaringan",'Daftar Koreksi'!$I$5:$I$92,"&gt;0")</f>
        <v>0</v>
      </c>
      <c r="F107" s="25">
        <f>SUMIFS('Daftar Koreksi'!$I$5:$I$92,'Daftar Koreksi'!$D$5:$D$92,'1000'!A92,'Daftar Koreksi'!$G$5:$G$92,"Jalan Irigasi Jaringan",'Daftar Koreksi'!$I$5:$I$92,"&lt;0")-SUMIFS('Daftar Koreksi'!$I$5:$I$92,'Daftar Koreksi'!$D$5:$D$92,'1000'!A92,'Daftar Koreksi'!$G$5:$G$92,"Jalan Irigasi Jaringan",'Daftar Koreksi'!$I$5:$I$92,"&lt;0")-SUMIFS('Daftar Koreksi'!$I$5:$I$92,'Daftar Koreksi'!$D$5:$D$92,'1000'!A92,'Daftar Koreksi'!$G$5:$G$92,"Jalan Irigasi Jaringan",'Daftar Koreksi'!$I$5:$I$92,"&lt;0")</f>
        <v>0</v>
      </c>
      <c r="G107" s="17">
        <f t="shared" si="4"/>
        <v>-193912866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Koreksi'!$D$5:$D$92,'1000'!A92,'Daftar Koreksi'!$G$5:$G$92,"Aset Tetap Lainnya",'Daftar Koreksi'!$I$5:$I$92,"&gt;0")</f>
        <v>0</v>
      </c>
      <c r="F108" s="25">
        <f>SUMIFS('Daftar Koreksi'!$I$5:$I$92,'Daftar Koreksi'!$D$5:$D$92,'1000'!A92,'Daftar Koreksi'!$G$5:$G$92,"Aset Tetap Lainnya",'Daftar Koreksi'!$I$5:$I$92,"&lt;0")-SUMIFS('Daftar Koreksi'!$I$5:$I$92,'Daftar Koreksi'!$D$5:$D$92,'1000'!A92,'Daftar Koreksi'!$G$5:$G$92,"Aset Tetap Lainnya",'Daftar Koreksi'!$I$5:$I$92,"&lt;0")-SUMIFS('Daftar Koreksi'!$I$5:$I$92,'Daftar Koreksi'!$D$5:$D$92,'1000'!A92,'Daftar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-69573000</v>
      </c>
      <c r="E109" s="25">
        <f>SUMIFS('Daftar Koreksi'!$I$5:$I$92,'Daftar Koreksi'!$D$5:$D$92,'1000'!A92,'Daftar Koreksi'!$G$5:$G$92,"Aset Henti Guna",'Daftar Koreksi'!$I$5:$I$92,"&gt;0")</f>
        <v>0</v>
      </c>
      <c r="F109" s="25">
        <f>SUMIFS('Daftar Koreksi'!$I$5:$I$92,'Daftar Koreksi'!$D$5:$D$92,'1000'!A92,'Daftar Koreksi'!$G$5:$G$92,"Aset Henti Guna",'Daftar Koreksi'!$I$5:$I$92,"&lt;0")-SUMIFS('Daftar Koreksi'!$I$5:$I$92,'Daftar Koreksi'!$D$5:$D$92,'1000'!A92,'Daftar Koreksi'!$G$5:$G$92,"Aset Henti Guna",'Daftar Koreksi'!$I$5:$I$92,"&lt;0")-SUMIFS('Daftar Koreksi'!$I$5:$I$92,'Daftar Koreksi'!$D$5:$D$92,'1000'!A92,'Daftar Koreksi'!$G$5:$G$92,"Aset Henti Guna",'Daftar Koreksi'!$I$5:$I$92,"&lt;0")</f>
        <v>0</v>
      </c>
      <c r="G109" s="17">
        <f t="shared" si="4"/>
        <v>-69573000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-2877005553</v>
      </c>
      <c r="E110" s="19">
        <f>SUM(E105:E109)</f>
        <v>0</v>
      </c>
      <c r="F110" s="19">
        <f>SUM(F105:F109)</f>
        <v>0</v>
      </c>
      <c r="G110" s="19">
        <f t="shared" si="4"/>
        <v>-2877005553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7146739006</v>
      </c>
      <c r="E111" s="19">
        <f>E110+E104</f>
        <v>0</v>
      </c>
      <c r="F111" s="19">
        <f>F110+F104</f>
        <v>0</v>
      </c>
      <c r="G111" s="19">
        <f t="shared" si="4"/>
        <v>7146739006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005011000400430000KD</v>
      </c>
      <c r="B114" s="11" t="str">
        <f>P6</f>
        <v>PN. Muara Bulian</v>
      </c>
      <c r="C114" s="12" t="str">
        <f>A114&amp;" "&amp;B114</f>
        <v>005011000400430000KD PN. Muara Bulian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10283726</v>
      </c>
      <c r="E117" s="25">
        <f>SUMIFS('Daftar Koreksi'!$H$5:$H$92,'Daftar Koreksi'!$D$5:$D$92,'1000'!A114,'Daftar Koreksi'!$G$5:$G$92,"Persediaan",'Daftar Koreksi'!$H$5:$H$92,"&gt;0")</f>
        <v>0</v>
      </c>
      <c r="F117" s="25">
        <f>SUMIFS('Daftar Koreksi'!$H$5:$H$92,'Daftar Koreksi'!$D$5:$D$92,'1000'!A114,'Daftar Koreksi'!$G$5:$G$92,"Persediaan",'Daftar Koreksi'!$H$5:$H$92,"&lt;0")-SUMIFS('Daftar Koreksi'!$H$5:$H$92,'Daftar Koreksi'!$D$5:$D$92,'1000'!A114,'Daftar Koreksi'!$G$5:$G$92,"Persediaan",'Daftar Koreksi'!$H$5:$H$92,"&lt;0")-SUMIFS('Daftar Koreksi'!$H$5:$H$92,'Daftar Koreksi'!$D$5:$D$92,'1000'!A114,'Daftar Koreksi'!$G$5:$G$92,"Persediaan",'Daftar Koreksi'!$H$5:$H$92,"&lt;0")</f>
        <v>0</v>
      </c>
      <c r="G117" s="17">
        <f>D117+E117-F117</f>
        <v>10283726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3471804000</v>
      </c>
      <c r="E118" s="25">
        <f>SUMIFS('Daftar Koreksi'!$H$5:$H$92,'Daftar Koreksi'!$D$5:$D$92,'1000'!A114,'Daftar Koreksi'!$G$5:$G$92,"Tanah",'Daftar Koreksi'!$H$5:$H$92,"&gt;0")</f>
        <v>0</v>
      </c>
      <c r="F118" s="25">
        <f>SUMIFS('Daftar Koreksi'!$H$5:$H$92,'Daftar Koreksi'!$D$5:$D$92,'1000'!A114,'Daftar Koreksi'!$G$5:$G$92,"Tanah",'Daftar Koreksi'!$H$5:$H$92,"&lt;0")-SUMIFS('Daftar Koreksi'!$H$5:$H$92,'Daftar Koreksi'!$D$5:$D$92,'1000'!A114,'Daftar Koreksi'!$G$5:$G$92,"Tanah",'Daftar Koreksi'!$H$5:$H$92,"&lt;0")-SUMIFS('Daftar Koreksi'!$H$5:$H$92,'Daftar Koreksi'!$D$5:$D$92,'1000'!A114,'Daftar Koreksi'!$G$5:$G$92,"Tanah",'Daftar Koreksi'!$H$5:$H$92,"&lt;0")</f>
        <v>0</v>
      </c>
      <c r="G118" s="17">
        <f t="shared" ref="G118:G134" si="5">D118+E118-F118</f>
        <v>3471804000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1275386473</v>
      </c>
      <c r="E119" s="25">
        <f>SUMIFS('Daftar Koreksi'!$H$5:$H$92,'Daftar Koreksi'!$D$5:$D$92,'1000'!A114,'Daftar Koreksi'!$G$5:$G$92,"Peralatan dan mesin",'Daftar Koreksi'!$H$5:$H$92,"&gt;0")</f>
        <v>0</v>
      </c>
      <c r="F119" s="25">
        <f>SUMIFS('Daftar Koreksi'!$H$5:$H$92,'Daftar Koreksi'!$D$5:$D$92,'1000'!A114,'Daftar Koreksi'!$G$5:$G$92,"Peralatan dan mesin",'Daftar Koreksi'!$H$5:$H$92,"&lt;0")-SUMIFS('Daftar Koreksi'!$H$5:$H$92,'Daftar Koreksi'!$D$5:$D$92,'1000'!A114,'Daftar Koreksi'!$G$5:$G$92,"Peralatan dan mesin",'Daftar Koreksi'!$H$5:$H$92,"&lt;0")-SUMIFS('Daftar Koreksi'!$H$5:$H$92,'Daftar Koreksi'!$D$5:$D$92,'1000'!A114,'Daftar Koreksi'!$G$5:$G$92,"Peralatan dan mesin",'Daftar Koreksi'!$H$5:$H$92,"&lt;0")</f>
        <v>0</v>
      </c>
      <c r="G119" s="17">
        <f t="shared" si="5"/>
        <v>1275386473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3202722900</v>
      </c>
      <c r="E120" s="25">
        <f>SUMIFS('Daftar Koreksi'!$H$5:$H$92,'Daftar Koreksi'!$D$5:$D$92,'1000'!A114,'Daftar Koreksi'!$G$5:$G$92,"Gedung dan Bangunan",'Daftar Koreksi'!$H$5:$H$92,"&gt;0")</f>
        <v>0</v>
      </c>
      <c r="F120" s="25">
        <f>SUMIFS('Daftar Koreksi'!$H$5:$H$92,'Daftar Koreksi'!$D$5:$D$92,'1000'!A114,'Daftar Koreksi'!$G$5:$G$92,"Gedung dan Bangunan",'Daftar Koreksi'!$H$5:$H$92,"&lt;0")-SUMIFS('Daftar Koreksi'!$H$5:$H$92,'Daftar Koreksi'!$D$5:$D$92,'1000'!A114,'Daftar Koreksi'!$G$5:$G$92,"Gedung dan Bangunan",'Daftar Koreksi'!$H$5:$H$92,"&lt;0")-SUMIFS('Daftar Koreksi'!$H$5:$H$92,'Daftar Koreksi'!$D$5:$D$92,'1000'!A114,'Daftar Koreksi'!$G$5:$G$92,"Gedung dan Bangunan",'Daftar Koreksi'!$H$5:$H$92,"&lt;0")</f>
        <v>0</v>
      </c>
      <c r="G120" s="17">
        <f t="shared" si="5"/>
        <v>3202722900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140090000</v>
      </c>
      <c r="E121" s="25">
        <f>SUMIFS('Daftar Koreksi'!$H$5:$H$92,'Daftar Koreksi'!$D$5:$D$92,'1000'!A114,'Daftar Koreksi'!$G$5:$G$92,"Jalan Irigasi Jaringan",'Daftar Koreksi'!$H$5:$H$92,"&gt;0")</f>
        <v>0</v>
      </c>
      <c r="F121" s="25">
        <f>SUMIFS('Daftar Koreksi'!$H$5:$H$92,'Daftar Koreksi'!$D$5:$D$92,'1000'!A114,'Daftar Koreksi'!$G$5:$G$92,"Jalan Irigasi Jaringan",'Daftar Koreksi'!$H$5:$H$92,"&lt;0")-SUMIFS('Daftar Koreksi'!$H$5:$H$92,'Daftar Koreksi'!$D$5:$D$92,'1000'!A114,'Daftar Koreksi'!$G$5:$G$92,"Jalan Irigasi Jaringan",'Daftar Koreksi'!$H$5:$H$92,"&lt;0")-SUMIFS('Daftar Koreksi'!$H$5:$H$92,'Daftar Koreksi'!$D$5:$D$92,'1000'!A114,'Daftar Koreksi'!$G$5:$G$92,"Jalan Irigasi Jaringan",'Daftar Koreksi'!$H$5:$H$92,"&lt;0")</f>
        <v>0</v>
      </c>
      <c r="G121" s="17">
        <f t="shared" si="5"/>
        <v>140090000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7455518</v>
      </c>
      <c r="E122" s="25">
        <f>SUMIFS('Daftar Koreksi'!$H$5:$H$92,'Daftar Koreksi'!$D$5:$D$92,'1000'!A114,'Daftar Koreksi'!$G$5:$G$92,"Aset Tetap Lainnya",'Daftar Koreksi'!$H$5:$H$92,"&gt;0")</f>
        <v>0</v>
      </c>
      <c r="F122" s="25">
        <f>SUMIFS('Daftar Koreksi'!$H$5:$H$92,'Daftar Koreksi'!$D$5:$D$92,'1000'!A114,'Daftar Koreksi'!$G$5:$G$92,"Aset Tetap Lainnya",'Daftar Koreksi'!$H$5:$H$92,"&lt;0")-SUMIFS('Daftar Koreksi'!$H$5:$H$92,'Daftar Koreksi'!$D$5:$D$92,'1000'!A114,'Daftar Koreksi'!$G$5:$G$92,"Aset Tetap Lainnya",'Daftar Koreksi'!$H$5:$H$92,"&lt;0")-SUMIFS('Daftar Koreksi'!$H$5:$H$92,'Daftar Koreksi'!$D$5:$D$92,'1000'!A114,'Daftar Koreksi'!$G$5:$G$92,"Aset Tetap Lainnya",'Daftar Koreksi'!$H$5:$H$92,"&lt;0")</f>
        <v>0</v>
      </c>
      <c r="G122" s="17">
        <f t="shared" si="5"/>
        <v>7455518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Koreksi'!$D$5:$D$92,'1000'!A114,'Daftar Koreksi'!$G$5:$G$92,"Kontruksi Dalam Pengerjaan",'Daftar Koreksi'!$H$5:$H$92,"&gt;0")</f>
        <v>0</v>
      </c>
      <c r="F123" s="25">
        <f>SUMIFS('Daftar Koreksi'!$H$5:$H$92,'Daftar Koreksi'!$D$5:$D$92,'1000'!A114,'Daftar Koreksi'!$G$5:$G$92,"Kontruksi Dalam Pengerjaan",'Daftar Koreksi'!$H$5:$H$92,"&lt;0")-SUMIFS('Daftar Koreksi'!$H$5:$H$92,'Daftar Koreksi'!$D$5:$D$92,'1000'!A114,'Daftar Koreksi'!$G$5:$G$92,"Kontruksi Dalam Pengerjaan",'Daftar Koreksi'!$H$5:$H$92,"&lt;0")-SUMIFS('Daftar Koreksi'!$H$5:$H$92,'Daftar Koreksi'!$D$5:$D$92,'1000'!A114,'Daftar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Koreksi'!$D$5:$D$92,'1000'!A114,'Daftar Koreksi'!$G$5:$G$92,"Aset Tak Berwujud",'Daftar Koreksi'!$H$5:$H$92,"&gt;0")</f>
        <v>0</v>
      </c>
      <c r="F124" s="25">
        <f>SUMIFS('Daftar Koreksi'!$H$5:$H$92,'Daftar Koreksi'!$D$5:$D$92,'1000'!A114,'Daftar Koreksi'!$G$5:$G$92,"Aset Tak Berwujud",'Daftar Koreksi'!$H$5:$H$92,"&lt;0")-SUMIFS('Daftar Koreksi'!$H$5:$H$92,'Daftar Koreksi'!$D$5:$D$92,'1000'!A114,'Daftar Koreksi'!$G$5:$G$92,"Aset Tak Berwujud",'Daftar Koreksi'!$H$5:$H$92,"&lt;0")-SUMIFS('Daftar Koreksi'!$H$5:$H$92,'Daftar Koreksi'!$D$5:$D$92,'1000'!A114,'Daftar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Koreksi'!$D$5:$D$92,'1000'!A114,'Daftar Koreksi'!$G$5:$G$92,"Aset Henti Guna",'Daftar Koreksi'!$H$5:$H$92,"&gt;0")</f>
        <v>0</v>
      </c>
      <c r="F125" s="25">
        <f>SUMIFS('Daftar Koreksi'!$H$5:$H$92,'Daftar Koreksi'!$D$5:$D$92,'1000'!A114,'Daftar Koreksi'!$G$5:$G$92,"Aset Henti Guna",'Daftar Koreksi'!$H$5:$H$92,"&lt;0")-SUMIFS('Daftar Koreksi'!$H$5:$H$92,'Daftar Koreksi'!$D$5:$D$92,'1000'!A114,'Daftar Koreksi'!$G$5:$G$92,"Aset Henti Guna",'Daftar Koreksi'!$H$5:$H$92,"&lt;0")-SUMIFS('Daftar Koreksi'!$H$5:$H$92,'Daftar Koreksi'!$D$5:$D$92,'1000'!A114,'Daftar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8107742617</v>
      </c>
      <c r="E126" s="19">
        <f>SUM(E117:E125)</f>
        <v>0</v>
      </c>
      <c r="F126" s="19">
        <f>SUM(F117:F125)</f>
        <v>0</v>
      </c>
      <c r="G126" s="19">
        <f t="shared" si="5"/>
        <v>8107742617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-1191038638</v>
      </c>
      <c r="E127" s="25">
        <f>SUMIFS('Daftar Koreksi'!$I$5:$I$92,'Daftar Koreksi'!$D$5:$D$92,'1000'!A114,'Daftar Koreksi'!$G$5:$G$92,"Peralatan dan mesin",'Daftar Koreksi'!$I$5:$I$92,"&gt;0")</f>
        <v>0</v>
      </c>
      <c r="F127" s="25">
        <f>SUMIFS('Daftar Koreksi'!$I$5:$I$92,'Daftar Koreksi'!$D$5:$D$92,'1000'!A114,'Daftar Koreksi'!$G$5:$G$92,"Peralatan dan mesin",'Daftar Koreksi'!$I$5:$I$92,"&lt;0")-SUMIFS('Daftar Koreksi'!$I$5:$I$92,'Daftar Koreksi'!$D$5:$D$92,'1000'!A114,'Daftar Koreksi'!$G$5:$G$92,"Peralatan dan mesin",'Daftar Koreksi'!$I$5:$I$92,"&lt;0")-SUMIFS('Daftar Koreksi'!$I$5:$I$92,'Daftar Koreksi'!$D$5:$D$92,'1000'!A114,'Daftar Koreksi'!$G$5:$G$92,"Peralatan dan mesin",'Daftar Koreksi'!$I$5:$I$92,"&lt;0")</f>
        <v>0</v>
      </c>
      <c r="G127" s="17">
        <f t="shared" si="5"/>
        <v>-1191038638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-1858594837</v>
      </c>
      <c r="E128" s="25">
        <f>SUMIFS('Daftar Koreksi'!$I$5:$I$92,'Daftar Koreksi'!$D$5:$D$92,'1000'!A114,'Daftar Koreksi'!$G$5:$G$92,"Gedung dan Bangunan",'Daftar Koreksi'!$I$5:$I$92,"&gt;0")</f>
        <v>0</v>
      </c>
      <c r="F128" s="25">
        <f>SUMIFS('Daftar Koreksi'!$I$5:$I$92,'Daftar Koreksi'!$D$5:$D$92,'1000'!A114,'Daftar Koreksi'!$G$5:$G$92,"Gedung dan Bangunan",'Daftar Koreksi'!$I$5:$I$92,"&lt;0")-SUMIFS('Daftar Koreksi'!$I$5:$I$92,'Daftar Koreksi'!$D$5:$D$92,'1000'!A114,'Daftar Koreksi'!$G$5:$G$92,"Gedung dan Bangunan",'Daftar Koreksi'!$I$5:$I$92,"&lt;0")-SUMIFS('Daftar Koreksi'!$I$5:$I$92,'Daftar Koreksi'!$D$5:$D$92,'1000'!A114,'Daftar Koreksi'!$G$5:$G$92,"Gedung dan Bangunan",'Daftar Koreksi'!$I$5:$I$92,"&lt;0")</f>
        <v>0</v>
      </c>
      <c r="G128" s="17">
        <f t="shared" si="5"/>
        <v>-1858594837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-104784286</v>
      </c>
      <c r="E129" s="25">
        <f>SUMIFS('Daftar Koreksi'!$I$5:$I$92,'Daftar Koreksi'!$D$5:$D$92,'1000'!A114,'Daftar Koreksi'!$G$5:$G$92,"Jalan Irigasi Jaringan",'Daftar Koreksi'!$I$5:$I$92,"&gt;0")</f>
        <v>0</v>
      </c>
      <c r="F129" s="25">
        <f>SUMIFS('Daftar Koreksi'!$I$5:$I$92,'Daftar Koreksi'!$D$5:$D$92,'1000'!A114,'Daftar Koreksi'!$G$5:$G$92,"Jalan Irigasi Jaringan",'Daftar Koreksi'!$I$5:$I$92,"&lt;0")-SUMIFS('Daftar Koreksi'!$I$5:$I$92,'Daftar Koreksi'!$D$5:$D$92,'1000'!A114,'Daftar Koreksi'!$G$5:$G$92,"Jalan Irigasi Jaringan",'Daftar Koreksi'!$I$5:$I$92,"&lt;0")-SUMIFS('Daftar Koreksi'!$I$5:$I$92,'Daftar Koreksi'!$D$5:$D$92,'1000'!A114,'Daftar Koreksi'!$G$5:$G$92,"Jalan Irigasi Jaringan",'Daftar Koreksi'!$I$5:$I$92,"&lt;0")</f>
        <v>0</v>
      </c>
      <c r="G129" s="17">
        <f t="shared" si="5"/>
        <v>-104784286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Koreksi'!$D$5:$D$92,'1000'!A114,'Daftar Koreksi'!$G$5:$G$92,"Aset Tetap Lainnya",'Daftar Koreksi'!$I$5:$I$92,"&gt;0")</f>
        <v>0</v>
      </c>
      <c r="F130" s="25">
        <f>SUMIFS('Daftar Koreksi'!$I$5:$I$92,'Daftar Koreksi'!$D$5:$D$92,'1000'!A114,'Daftar Koreksi'!$G$5:$G$92,"Aset Tetap Lainnya",'Daftar Koreksi'!$I$5:$I$92,"&lt;0")-SUMIFS('Daftar Koreksi'!$I$5:$I$92,'Daftar Koreksi'!$D$5:$D$92,'1000'!A114,'Daftar Koreksi'!$G$5:$G$92,"Aset Tetap Lainnya",'Daftar Koreksi'!$I$5:$I$92,"&lt;0")-SUMIFS('Daftar Koreksi'!$I$5:$I$92,'Daftar Koreksi'!$D$5:$D$92,'1000'!A114,'Daftar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Koreksi'!$D$5:$D$92,'1000'!A114,'Daftar Koreksi'!$G$5:$G$92,"Aset Henti Guna",'Daftar Koreksi'!$I$5:$I$92,"&gt;0")</f>
        <v>0</v>
      </c>
      <c r="F131" s="25">
        <f>SUMIFS('Daftar Koreksi'!$I$5:$I$92,'Daftar Koreksi'!$D$5:$D$92,'1000'!A114,'Daftar Koreksi'!$G$5:$G$92,"Aset Henti Guna",'Daftar Koreksi'!$I$5:$I$92,"&lt;0")-SUMIFS('Daftar Koreksi'!$I$5:$I$92,'Daftar Koreksi'!$D$5:$D$92,'1000'!A114,'Daftar Koreksi'!$G$5:$G$92,"Aset Henti Guna",'Daftar Koreksi'!$I$5:$I$92,"&lt;0")-SUMIFS('Daftar Koreksi'!$I$5:$I$92,'Daftar Koreksi'!$D$5:$D$92,'1000'!A114,'Daftar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-3154417761</v>
      </c>
      <c r="E132" s="19">
        <f>SUM(E127:E131)</f>
        <v>0</v>
      </c>
      <c r="F132" s="19">
        <f>SUM(F127:F131)</f>
        <v>0</v>
      </c>
      <c r="G132" s="19">
        <f t="shared" si="5"/>
        <v>-3154417761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4953324856</v>
      </c>
      <c r="E133" s="19">
        <f>E132+E126</f>
        <v>0</v>
      </c>
      <c r="F133" s="19">
        <f>F132+F126</f>
        <v>0</v>
      </c>
      <c r="G133" s="19">
        <f t="shared" si="5"/>
        <v>4953324856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005011000400503000KD</v>
      </c>
      <c r="B136" s="11" t="str">
        <f>P7</f>
        <v>PT. Jambi</v>
      </c>
      <c r="C136" s="12" t="str">
        <f>A136&amp;" "&amp;B136</f>
        <v>005011000400503000KD PT. Jambi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37521585</v>
      </c>
      <c r="E139" s="25">
        <f>SUMIFS('Daftar Koreksi'!$H$5:$H$92,'Daftar Koreksi'!$D$5:$D$92,'1000'!A136,'Daftar Koreksi'!$G$5:$G$92,"Persediaan",'Daftar Koreksi'!$H$5:$H$92,"&gt;0")</f>
        <v>0</v>
      </c>
      <c r="F139" s="25">
        <f>SUMIFS('Daftar Koreksi'!$H$5:$H$92,'Daftar Koreksi'!$D$5:$D$92,'1000'!A136,'Daftar Koreksi'!$G$5:$G$92,"Persediaan",'Daftar Koreksi'!$H$5:$H$92,"&lt;0")-SUMIFS('Daftar Koreksi'!$H$5:$H$92,'Daftar Koreksi'!$D$5:$D$92,'1000'!A136,'Daftar Koreksi'!$G$5:$G$92,"Persediaan",'Daftar Koreksi'!$H$5:$H$92,"&lt;0")-SUMIFS('Daftar Koreksi'!$H$5:$H$92,'Daftar Koreksi'!$D$5:$D$92,'1000'!A136,'Daftar Koreksi'!$G$5:$G$92,"Persediaan",'Daftar Koreksi'!$H$5:$H$92,"&lt;0")</f>
        <v>0</v>
      </c>
      <c r="G139" s="17">
        <f>D139+E139-F139</f>
        <v>37521585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7700363000</v>
      </c>
      <c r="E140" s="25">
        <f>SUMIFS('Daftar Koreksi'!$H$5:$H$92,'Daftar Koreksi'!$D$5:$D$92,'1000'!A136,'Daftar Koreksi'!$G$5:$G$92,"Tanah",'Daftar Koreksi'!$H$5:$H$92,"&gt;0")</f>
        <v>0</v>
      </c>
      <c r="F140" s="25">
        <f>SUMIFS('Daftar Koreksi'!$H$5:$H$92,'Daftar Koreksi'!$D$5:$D$92,'1000'!A136,'Daftar Koreksi'!$G$5:$G$92,"Tanah",'Daftar Koreksi'!$H$5:$H$92,"&lt;0")-SUMIFS('Daftar Koreksi'!$H$5:$H$92,'Daftar Koreksi'!$D$5:$D$92,'1000'!A136,'Daftar Koreksi'!$G$5:$G$92,"Tanah",'Daftar Koreksi'!$H$5:$H$92,"&lt;0")-SUMIFS('Daftar Koreksi'!$H$5:$H$92,'Daftar Koreksi'!$D$5:$D$92,'1000'!A136,'Daftar Koreksi'!$G$5:$G$92,"Tanah",'Daftar Koreksi'!$H$5:$H$92,"&lt;0")</f>
        <v>0</v>
      </c>
      <c r="G140" s="17">
        <f t="shared" ref="G140:G156" si="6">D140+E140-F140</f>
        <v>7700363000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4686728221</v>
      </c>
      <c r="E141" s="25">
        <f>SUMIFS('Daftar Koreksi'!$H$5:$H$92,'Daftar Koreksi'!$D$5:$D$92,'1000'!A136,'Daftar Koreksi'!$G$5:$G$92,"Peralatan dan mesin",'Daftar Koreksi'!$H$5:$H$92,"&gt;0")</f>
        <v>0</v>
      </c>
      <c r="F141" s="25">
        <f>SUMIFS('Daftar Koreksi'!$H$5:$H$92,'Daftar Koreksi'!$D$5:$D$92,'1000'!A136,'Daftar Koreksi'!$G$5:$G$92,"Peralatan dan mesin",'Daftar Koreksi'!$H$5:$H$92,"&lt;0")-SUMIFS('Daftar Koreksi'!$H$5:$H$92,'Daftar Koreksi'!$D$5:$D$92,'1000'!A136,'Daftar Koreksi'!$G$5:$G$92,"Peralatan dan mesin",'Daftar Koreksi'!$H$5:$H$92,"&lt;0")-SUMIFS('Daftar Koreksi'!$H$5:$H$92,'Daftar Koreksi'!$D$5:$D$92,'1000'!A136,'Daftar Koreksi'!$G$5:$G$92,"Peralatan dan mesin",'Daftar Koreksi'!$H$5:$H$92,"&lt;0")</f>
        <v>0</v>
      </c>
      <c r="G141" s="17">
        <f t="shared" si="6"/>
        <v>4686728221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8313378100</v>
      </c>
      <c r="E142" s="25">
        <f>SUMIFS('Daftar Koreksi'!$H$5:$H$92,'Daftar Koreksi'!$D$5:$D$92,'1000'!A136,'Daftar Koreksi'!$G$5:$G$92,"Gedung dan Bangunan",'Daftar Koreksi'!$H$5:$H$92,"&gt;0")</f>
        <v>0</v>
      </c>
      <c r="F142" s="25">
        <f>SUMIFS('Daftar Koreksi'!$H$5:$H$92,'Daftar Koreksi'!$D$5:$D$92,'1000'!A136,'Daftar Koreksi'!$G$5:$G$92,"Gedung dan Bangunan",'Daftar Koreksi'!$H$5:$H$92,"&lt;0")-SUMIFS('Daftar Koreksi'!$H$5:$H$92,'Daftar Koreksi'!$D$5:$D$92,'1000'!A136,'Daftar Koreksi'!$G$5:$G$92,"Gedung dan Bangunan",'Daftar Koreksi'!$H$5:$H$92,"&lt;0")-SUMIFS('Daftar Koreksi'!$H$5:$H$92,'Daftar Koreksi'!$D$5:$D$92,'1000'!A136,'Daftar Koreksi'!$G$5:$G$92,"Gedung dan Bangunan",'Daftar Koreksi'!$H$5:$H$92,"&lt;0")</f>
        <v>0</v>
      </c>
      <c r="G142" s="17">
        <f t="shared" si="6"/>
        <v>8313378100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349129511</v>
      </c>
      <c r="E143" s="25">
        <f>SUMIFS('Daftar Koreksi'!$H$5:$H$92,'Daftar Koreksi'!$D$5:$D$92,'1000'!A136,'Daftar Koreksi'!$G$5:$G$92,"Jalan Irigasi Jaringan",'Daftar Koreksi'!$H$5:$H$92,"&gt;0")</f>
        <v>0</v>
      </c>
      <c r="F143" s="25">
        <f>SUMIFS('Daftar Koreksi'!$H$5:$H$92,'Daftar Koreksi'!$D$5:$D$92,'1000'!A136,'Daftar Koreksi'!$G$5:$G$92,"Jalan Irigasi Jaringan",'Daftar Koreksi'!$H$5:$H$92,"&lt;0")-SUMIFS('Daftar Koreksi'!$H$5:$H$92,'Daftar Koreksi'!$D$5:$D$92,'1000'!A136,'Daftar Koreksi'!$G$5:$G$92,"Jalan Irigasi Jaringan",'Daftar Koreksi'!$H$5:$H$92,"&lt;0")-SUMIFS('Daftar Koreksi'!$H$5:$H$92,'Daftar Koreksi'!$D$5:$D$92,'1000'!A136,'Daftar Koreksi'!$G$5:$G$92,"Jalan Irigasi Jaringan",'Daftar Koreksi'!$H$5:$H$92,"&lt;0")</f>
        <v>0</v>
      </c>
      <c r="G143" s="17">
        <f t="shared" si="6"/>
        <v>349129511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7600792</v>
      </c>
      <c r="E144" s="25">
        <f>SUMIFS('Daftar Koreksi'!$H$5:$H$92,'Daftar Koreksi'!$D$5:$D$92,'1000'!A136,'Daftar Koreksi'!$G$5:$G$92,"Aset Tetap Lainnya",'Daftar Koreksi'!$H$5:$H$92,"&gt;0")</f>
        <v>0</v>
      </c>
      <c r="F144" s="25">
        <f>SUMIFS('Daftar Koreksi'!$H$5:$H$92,'Daftar Koreksi'!$D$5:$D$92,'1000'!A136,'Daftar Koreksi'!$G$5:$G$92,"Aset Tetap Lainnya",'Daftar Koreksi'!$H$5:$H$92,"&lt;0")-SUMIFS('Daftar Koreksi'!$H$5:$H$92,'Daftar Koreksi'!$D$5:$D$92,'1000'!A136,'Daftar Koreksi'!$G$5:$G$92,"Aset Tetap Lainnya",'Daftar Koreksi'!$H$5:$H$92,"&lt;0")-SUMIFS('Daftar Koreksi'!$H$5:$H$92,'Daftar Koreksi'!$D$5:$D$92,'1000'!A136,'Daftar Koreksi'!$G$5:$G$92,"Aset Tetap Lainnya",'Daftar Koreksi'!$H$5:$H$92,"&lt;0")</f>
        <v>0</v>
      </c>
      <c r="G144" s="17">
        <f t="shared" si="6"/>
        <v>7600792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Koreksi'!$D$5:$D$92,'1000'!A136,'Daftar Koreksi'!$G$5:$G$92,"Kontruksi Dalam Pengerjaan",'Daftar Koreksi'!$H$5:$H$92,"&gt;0")</f>
        <v>0</v>
      </c>
      <c r="F145" s="25">
        <f>SUMIFS('Daftar Koreksi'!$H$5:$H$92,'Daftar Koreksi'!$D$5:$D$92,'1000'!A136,'Daftar Koreksi'!$G$5:$G$92,"Kontruksi Dalam Pengerjaan",'Daftar Koreksi'!$H$5:$H$92,"&lt;0")-SUMIFS('Daftar Koreksi'!$H$5:$H$92,'Daftar Koreksi'!$D$5:$D$92,'1000'!A136,'Daftar Koreksi'!$G$5:$G$92,"Kontruksi Dalam Pengerjaan",'Daftar Koreksi'!$H$5:$H$92,"&lt;0")-SUMIFS('Daftar Koreksi'!$H$5:$H$92,'Daftar Koreksi'!$D$5:$D$92,'1000'!A136,'Daftar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55000000</v>
      </c>
      <c r="E146" s="25">
        <f>SUMIFS('Daftar Koreksi'!$H$5:$H$92,'Daftar Koreksi'!$D$5:$D$92,'1000'!A136,'Daftar Koreksi'!$G$5:$G$92,"Aset Tak Berwujud",'Daftar Koreksi'!$H$5:$H$92,"&gt;0")</f>
        <v>0</v>
      </c>
      <c r="F146" s="25">
        <f>SUMIFS('Daftar Koreksi'!$H$5:$H$92,'Daftar Koreksi'!$D$5:$D$92,'1000'!A136,'Daftar Koreksi'!$G$5:$G$92,"Aset Tak Berwujud",'Daftar Koreksi'!$H$5:$H$92,"&lt;0")-SUMIFS('Daftar Koreksi'!$H$5:$H$92,'Daftar Koreksi'!$D$5:$D$92,'1000'!A136,'Daftar Koreksi'!$G$5:$G$92,"Aset Tak Berwujud",'Daftar Koreksi'!$H$5:$H$92,"&lt;0")-SUMIFS('Daftar Koreksi'!$H$5:$H$92,'Daftar Koreksi'!$D$5:$D$92,'1000'!A136,'Daftar Koreksi'!$G$5:$G$92,"Aset Tak Berwujud",'Daftar Koreksi'!$H$5:$H$92,"&lt;0")</f>
        <v>0</v>
      </c>
      <c r="G146" s="17">
        <f t="shared" si="6"/>
        <v>55000000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Koreksi'!$D$5:$D$92,'1000'!A136,'Daftar Koreksi'!$G$5:$G$92,"Aset Henti Guna",'Daftar Koreksi'!$H$5:$H$92,"&gt;0")</f>
        <v>0</v>
      </c>
      <c r="F147" s="25">
        <f>SUMIFS('Daftar Koreksi'!$H$5:$H$92,'Daftar Koreksi'!$D$5:$D$92,'1000'!A136,'Daftar Koreksi'!$G$5:$G$92,"Aset Henti Guna",'Daftar Koreksi'!$H$5:$H$92,"&lt;0")-SUMIFS('Daftar Koreksi'!$H$5:$H$92,'Daftar Koreksi'!$D$5:$D$92,'1000'!A136,'Daftar Koreksi'!$G$5:$G$92,"Aset Henti Guna",'Daftar Koreksi'!$H$5:$H$92,"&lt;0")-SUMIFS('Daftar Koreksi'!$H$5:$H$92,'Daftar Koreksi'!$D$5:$D$92,'1000'!A136,'Daftar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21149721209</v>
      </c>
      <c r="E148" s="19">
        <f>SUM(E139:E147)</f>
        <v>0</v>
      </c>
      <c r="F148" s="19">
        <f>SUM(F139:F147)</f>
        <v>0</v>
      </c>
      <c r="G148" s="19">
        <f t="shared" si="6"/>
        <v>21149721209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-4271553287</v>
      </c>
      <c r="E149" s="25">
        <f>SUMIFS('Daftar Koreksi'!$I$5:$I$92,'Daftar Koreksi'!$D$5:$D$92,'1000'!A136,'Daftar Koreksi'!$G$5:$G$92,"Peralatan dan mesin",'Daftar Koreksi'!$I$5:$I$92,"&gt;0")</f>
        <v>0</v>
      </c>
      <c r="F149" s="25">
        <f>SUMIFS('Daftar Koreksi'!$I$5:$I$92,'Daftar Koreksi'!$D$5:$D$92,'1000'!A136,'Daftar Koreksi'!$G$5:$G$92,"Peralatan dan mesin",'Daftar Koreksi'!$I$5:$I$92,"&lt;0")-SUMIFS('Daftar Koreksi'!$I$5:$I$92,'Daftar Koreksi'!$D$5:$D$92,'1000'!A136,'Daftar Koreksi'!$G$5:$G$92,"Peralatan dan mesin",'Daftar Koreksi'!$I$5:$I$92,"&lt;0")-SUMIFS('Daftar Koreksi'!$I$5:$I$92,'Daftar Koreksi'!$D$5:$D$92,'1000'!A136,'Daftar Koreksi'!$G$5:$G$92,"Peralatan dan mesin",'Daftar Koreksi'!$I$5:$I$92,"&lt;0")</f>
        <v>0</v>
      </c>
      <c r="G149" s="17">
        <f t="shared" si="6"/>
        <v>-4271553287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-1943055981</v>
      </c>
      <c r="E150" s="25">
        <f>SUMIFS('Daftar Koreksi'!$I$5:$I$92,'Daftar Koreksi'!$D$5:$D$92,'1000'!A136,'Daftar Koreksi'!$G$5:$G$92,"Gedung dan Bangunan",'Daftar Koreksi'!$I$5:$I$92,"&gt;0")</f>
        <v>0</v>
      </c>
      <c r="F150" s="25">
        <f>SUMIFS('Daftar Koreksi'!$I$5:$I$92,'Daftar Koreksi'!$D$5:$D$92,'1000'!A136,'Daftar Koreksi'!$G$5:$G$92,"Gedung dan Bangunan",'Daftar Koreksi'!$I$5:$I$92,"&lt;0")-SUMIFS('Daftar Koreksi'!$I$5:$I$92,'Daftar Koreksi'!$D$5:$D$92,'1000'!A136,'Daftar Koreksi'!$G$5:$G$92,"Gedung dan Bangunan",'Daftar Koreksi'!$I$5:$I$92,"&lt;0")-SUMIFS('Daftar Koreksi'!$I$5:$I$92,'Daftar Koreksi'!$D$5:$D$92,'1000'!A136,'Daftar Koreksi'!$G$5:$G$92,"Gedung dan Bangunan",'Daftar Koreksi'!$I$5:$I$92,"&lt;0")</f>
        <v>0</v>
      </c>
      <c r="G150" s="17">
        <f t="shared" si="6"/>
        <v>-1943055981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-169000477</v>
      </c>
      <c r="E151" s="25">
        <f>SUMIFS('Daftar Koreksi'!$I$5:$I$92,'Daftar Koreksi'!$D$5:$D$92,'1000'!A136,'Daftar Koreksi'!$G$5:$G$92,"Jalan Irigasi Jaringan",'Daftar Koreksi'!$I$5:$I$92,"&gt;0")</f>
        <v>0</v>
      </c>
      <c r="F151" s="25">
        <f>SUMIFS('Daftar Koreksi'!$I$5:$I$92,'Daftar Koreksi'!$D$5:$D$92,'1000'!A136,'Daftar Koreksi'!$G$5:$G$92,"Jalan Irigasi Jaringan",'Daftar Koreksi'!$I$5:$I$92,"&lt;0")-SUMIFS('Daftar Koreksi'!$I$5:$I$92,'Daftar Koreksi'!$D$5:$D$92,'1000'!A136,'Daftar Koreksi'!$G$5:$G$92,"Jalan Irigasi Jaringan",'Daftar Koreksi'!$I$5:$I$92,"&lt;0")-SUMIFS('Daftar Koreksi'!$I$5:$I$92,'Daftar Koreksi'!$D$5:$D$92,'1000'!A136,'Daftar Koreksi'!$G$5:$G$92,"Jalan Irigasi Jaringan",'Daftar Koreksi'!$I$5:$I$92,"&lt;0")</f>
        <v>0</v>
      </c>
      <c r="G151" s="17">
        <f t="shared" si="6"/>
        <v>-169000477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Koreksi'!$D$5:$D$92,'1000'!A136,'Daftar Koreksi'!$G$5:$G$92,"Aset Tetap Lainnya",'Daftar Koreksi'!$I$5:$I$92,"&gt;0")</f>
        <v>0</v>
      </c>
      <c r="F152" s="25">
        <f>SUMIFS('Daftar Koreksi'!$I$5:$I$92,'Daftar Koreksi'!$D$5:$D$92,'1000'!A136,'Daftar Koreksi'!$G$5:$G$92,"Aset Tetap Lainnya",'Daftar Koreksi'!$I$5:$I$92,"&lt;0")-SUMIFS('Daftar Koreksi'!$I$5:$I$92,'Daftar Koreksi'!$D$5:$D$92,'1000'!A136,'Daftar Koreksi'!$G$5:$G$92,"Aset Tetap Lainnya",'Daftar Koreksi'!$I$5:$I$92,"&lt;0")-SUMIFS('Daftar Koreksi'!$I$5:$I$92,'Daftar Koreksi'!$D$5:$D$92,'1000'!A136,'Daftar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Koreksi'!$D$5:$D$92,'1000'!A136,'Daftar Koreksi'!$G$5:$G$92,"Aset Henti Guna",'Daftar Koreksi'!$I$5:$I$92,"&gt;0")</f>
        <v>0</v>
      </c>
      <c r="F153" s="25">
        <f>SUMIFS('Daftar Koreksi'!$I$5:$I$92,'Daftar Koreksi'!$D$5:$D$92,'1000'!A136,'Daftar Koreksi'!$G$5:$G$92,"Aset Henti Guna",'Daftar Koreksi'!$I$5:$I$92,"&lt;0")-SUMIFS('Daftar Koreksi'!$I$5:$I$92,'Daftar Koreksi'!$D$5:$D$92,'1000'!A136,'Daftar Koreksi'!$G$5:$G$92,"Aset Henti Guna",'Daftar Koreksi'!$I$5:$I$92,"&lt;0")-SUMIFS('Daftar Koreksi'!$I$5:$I$92,'Daftar Koreksi'!$D$5:$D$92,'1000'!A136,'Daftar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-6383609745</v>
      </c>
      <c r="E154" s="19">
        <f>SUM(E149:E153)</f>
        <v>0</v>
      </c>
      <c r="F154" s="19">
        <f>SUM(F149:F153)</f>
        <v>0</v>
      </c>
      <c r="G154" s="19">
        <f t="shared" si="6"/>
        <v>-6383609745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14766111464</v>
      </c>
      <c r="E155" s="19">
        <f>E154+E148</f>
        <v>0</v>
      </c>
      <c r="F155" s="19">
        <f>F154+F148</f>
        <v>0</v>
      </c>
      <c r="G155" s="19">
        <f t="shared" si="6"/>
        <v>14766111464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005011000402185000KD</v>
      </c>
      <c r="B158" s="11" t="str">
        <f>P8</f>
        <v>PA. Jambi</v>
      </c>
      <c r="C158" s="12" t="str">
        <f>A158&amp;" "&amp;B158</f>
        <v>005011000402185000KD PA. Jambi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10" ht="21.95" customHeight="1">
      <c r="A161" s="14"/>
      <c r="B161" s="14"/>
      <c r="C161" s="16" t="s">
        <v>1165</v>
      </c>
      <c r="D161" s="17">
        <f>VLOOKUP(A158,'Neraca Unaudited SIMAK'!$A$2:$S$10004,3,FALSE)</f>
        <v>158700</v>
      </c>
      <c r="E161" s="25">
        <f>SUMIFS('Daftar Koreksi'!$H$5:$H$92,'Daftar Koreksi'!$D$5:$D$92,'1000'!A158,'Daftar Koreksi'!$G$5:$G$92,"Persediaan",'Daftar Koreksi'!$H$5:$H$92,"&gt;0")</f>
        <v>0</v>
      </c>
      <c r="F161" s="25">
        <f>SUMIFS('Daftar Koreksi'!$H$5:$H$92,'Daftar Koreksi'!$D$5:$D$92,'1000'!A158,'Daftar Koreksi'!$G$5:$G$92,"Persediaan",'Daftar Koreksi'!$H$5:$H$92,"&lt;0")-SUMIFS('Daftar Koreksi'!$H$5:$H$92,'Daftar Koreksi'!$D$5:$D$92,'1000'!A158,'Daftar Koreksi'!$G$5:$G$92,"Persediaan",'Daftar Koreksi'!$H$5:$H$92,"&lt;0")-SUMIFS('Daftar Koreksi'!$H$5:$H$92,'Daftar Koreksi'!$D$5:$D$92,'1000'!A158,'Daftar Koreksi'!$G$5:$G$92,"Persediaan",'Daftar Koreksi'!$H$5:$H$92,"&lt;0")</f>
        <v>0</v>
      </c>
      <c r="G161" s="17">
        <f>D161+E161-F161</f>
        <v>158700</v>
      </c>
      <c r="H161" s="121" t="str">
        <f>IF(ISNA(VLOOKUP(A158,'Mutasi Neraca'!$A$3:$S$914,19,FALSE)),"-",VLOOKUP(A158,'Mutasi Neraca'!$A$3:$S$914,19,FALSE))</f>
        <v>-</v>
      </c>
      <c r="I161" s="28"/>
      <c r="J161" s="28"/>
    </row>
    <row r="162" spans="1:10" ht="21.95" customHeight="1">
      <c r="A162" s="14"/>
      <c r="B162" s="14"/>
      <c r="C162" s="16" t="s">
        <v>1166</v>
      </c>
      <c r="D162" s="17">
        <f>VLOOKUP(A158,'Neraca Unaudited SIMAK'!$A$2:$S$10004,4,FALSE)</f>
        <v>0</v>
      </c>
      <c r="E162" s="25">
        <f>SUMIFS('Daftar Koreksi'!$H$5:$H$92,'Daftar Koreksi'!$D$5:$D$92,'1000'!A158,'Daftar Koreksi'!$G$5:$G$92,"Tanah",'Daftar Koreksi'!$H$5:$H$92,"&gt;0")</f>
        <v>0</v>
      </c>
      <c r="F162" s="25">
        <f>SUMIFS('Daftar Koreksi'!$H$5:$H$92,'Daftar Koreksi'!$D$5:$D$92,'1000'!A158,'Daftar Koreksi'!$G$5:$G$92,"Tanah",'Daftar Koreksi'!$H$5:$H$92,"&lt;0")-SUMIFS('Daftar Koreksi'!$H$5:$H$92,'Daftar Koreksi'!$D$5:$D$92,'1000'!A158,'Daftar Koreksi'!$G$5:$G$92,"Tanah",'Daftar Koreksi'!$H$5:$H$92,"&lt;0")-SUMIFS('Daftar Koreksi'!$H$5:$H$92,'Daftar Koreksi'!$D$5:$D$92,'1000'!A158,'Daftar Koreksi'!$G$5:$G$92,"Tanah",'Daftar Koreksi'!$H$5:$H$92,"&lt;0")</f>
        <v>0</v>
      </c>
      <c r="G162" s="17">
        <f t="shared" ref="G162:G178" si="7">D162+E162-F162</f>
        <v>0</v>
      </c>
      <c r="H162" s="122"/>
      <c r="I162" s="28"/>
      <c r="J162" s="28"/>
    </row>
    <row r="163" spans="1:10" ht="21.95" customHeight="1">
      <c r="A163" s="14"/>
      <c r="B163" s="14"/>
      <c r="C163" s="16" t="s">
        <v>1167</v>
      </c>
      <c r="D163" s="17">
        <f>VLOOKUP(A158,'Neraca Unaudited SIMAK'!$A$2:$S$10004,5,FALSE)</f>
        <v>1741836600</v>
      </c>
      <c r="E163" s="25">
        <f>SUMIFS('Daftar Koreksi'!$H$5:$H$92,'Daftar Koreksi'!$D$5:$D$92,'1000'!A158,'Daftar Koreksi'!$G$5:$G$92,"Peralatan dan mesin",'Daftar Koreksi'!$H$5:$H$92,"&gt;0")</f>
        <v>0</v>
      </c>
      <c r="F163" s="25">
        <f>SUMIFS('Daftar Koreksi'!$H$5:$H$92,'Daftar Koreksi'!$D$5:$D$92,'1000'!A158,'Daftar Koreksi'!$G$5:$G$92,"Peralatan dan mesin",'Daftar Koreksi'!$H$5:$H$92,"&lt;0")-SUMIFS('Daftar Koreksi'!$H$5:$H$92,'Daftar Koreksi'!$D$5:$D$92,'1000'!A158,'Daftar Koreksi'!$G$5:$G$92,"Peralatan dan mesin",'Daftar Koreksi'!$H$5:$H$92,"&lt;0")-SUMIFS('Daftar Koreksi'!$H$5:$H$92,'Daftar Koreksi'!$D$5:$D$92,'1000'!A158,'Daftar Koreksi'!$G$5:$G$92,"Peralatan dan mesin",'Daftar Koreksi'!$H$5:$H$92,"&lt;0")</f>
        <v>0</v>
      </c>
      <c r="G163" s="17">
        <f t="shared" si="7"/>
        <v>1741836600</v>
      </c>
      <c r="H163" s="122"/>
      <c r="I163" s="28"/>
      <c r="J163" s="28"/>
    </row>
    <row r="164" spans="1:10" ht="21.95" customHeight="1">
      <c r="A164" s="14"/>
      <c r="B164" s="14"/>
      <c r="C164" s="16" t="s">
        <v>1168</v>
      </c>
      <c r="D164" s="17">
        <f>VLOOKUP(A158,'Neraca Unaudited SIMAK'!$A$2:$S$10004,6,FALSE)</f>
        <v>5687921294</v>
      </c>
      <c r="E164" s="25">
        <f>SUMIFS('Daftar Koreksi'!$H$5:$H$92,'Daftar Koreksi'!$D$5:$D$92,'1000'!A158,'Daftar Koreksi'!$G$5:$G$92,"Gedung dan Bangunan",'Daftar Koreksi'!$H$5:$H$92,"&gt;0")</f>
        <v>0</v>
      </c>
      <c r="F164" s="25">
        <f>SUMIFS('Daftar Koreksi'!$H$5:$H$92,'Daftar Koreksi'!$D$5:$D$92,'1000'!A158,'Daftar Koreksi'!$G$5:$G$92,"Gedung dan Bangunan",'Daftar Koreksi'!$H$5:$H$92,"&lt;0")-SUMIFS('Daftar Koreksi'!$H$5:$H$92,'Daftar Koreksi'!$D$5:$D$92,'1000'!A158,'Daftar Koreksi'!$G$5:$G$92,"Gedung dan Bangunan",'Daftar Koreksi'!$H$5:$H$92,"&lt;0")-SUMIFS('Daftar Koreksi'!$H$5:$H$92,'Daftar Koreksi'!$D$5:$D$92,'1000'!A158,'Daftar Koreksi'!$G$5:$G$92,"Gedung dan Bangunan",'Daftar Koreksi'!$H$5:$H$92,"&lt;0")</f>
        <v>0</v>
      </c>
      <c r="G164" s="17">
        <f t="shared" si="7"/>
        <v>5687921294</v>
      </c>
      <c r="H164" s="122"/>
      <c r="I164" s="28"/>
      <c r="J164" s="28"/>
    </row>
    <row r="165" spans="1:10" ht="21.95" customHeight="1">
      <c r="A165" s="14"/>
      <c r="B165" s="14"/>
      <c r="C165" s="16" t="s">
        <v>1169</v>
      </c>
      <c r="D165" s="17">
        <f>VLOOKUP(A158,'Neraca Unaudited SIMAK'!$A$2:$S$10004,7,FALSE)</f>
        <v>130213398</v>
      </c>
      <c r="E165" s="25">
        <f>SUMIFS('Daftar Koreksi'!$H$5:$H$92,'Daftar Koreksi'!$D$5:$D$92,'1000'!A158,'Daftar Koreksi'!$G$5:$G$92,"Jalan Irigasi Jaringan",'Daftar Koreksi'!$H$5:$H$92,"&gt;0")</f>
        <v>0</v>
      </c>
      <c r="F165" s="25">
        <f>SUMIFS('Daftar Koreksi'!$H$5:$H$92,'Daftar Koreksi'!$D$5:$D$92,'1000'!A158,'Daftar Koreksi'!$G$5:$G$92,"Jalan Irigasi Jaringan",'Daftar Koreksi'!$H$5:$H$92,"&lt;0")-SUMIFS('Daftar Koreksi'!$H$5:$H$92,'Daftar Koreksi'!$D$5:$D$92,'1000'!A158,'Daftar Koreksi'!$G$5:$G$92,"Jalan Irigasi Jaringan",'Daftar Koreksi'!$H$5:$H$92,"&lt;0")-SUMIFS('Daftar Koreksi'!$H$5:$H$92,'Daftar Koreksi'!$D$5:$D$92,'1000'!A158,'Daftar Koreksi'!$G$5:$G$92,"Jalan Irigasi Jaringan",'Daftar Koreksi'!$H$5:$H$92,"&lt;0")</f>
        <v>0</v>
      </c>
      <c r="G165" s="17">
        <f t="shared" si="7"/>
        <v>130213398</v>
      </c>
      <c r="H165" s="122"/>
      <c r="I165" s="28"/>
      <c r="J165" s="28"/>
    </row>
    <row r="166" spans="1:10" ht="21.95" customHeight="1">
      <c r="A166" s="14"/>
      <c r="B166" s="14"/>
      <c r="C166" s="16" t="s">
        <v>1170</v>
      </c>
      <c r="D166" s="17">
        <f>VLOOKUP(A158,'Neraca Unaudited SIMAK'!$A$2:$S$10004,8,FALSE)</f>
        <v>83480000</v>
      </c>
      <c r="E166" s="25">
        <f>SUMIFS('Daftar Koreksi'!$H$5:$H$92,'Daftar Koreksi'!$D$5:$D$92,'1000'!A158,'Daftar Koreksi'!$G$5:$G$92,"Aset Tetap Lainnya",'Daftar Koreksi'!$H$5:$H$92,"&gt;0")</f>
        <v>0</v>
      </c>
      <c r="F166" s="25">
        <f>SUMIFS('Daftar Koreksi'!$H$5:$H$92,'Daftar Koreksi'!$D$5:$D$92,'1000'!A158,'Daftar Koreksi'!$G$5:$G$92,"Aset Tetap Lainnya",'Daftar Koreksi'!$H$5:$H$92,"&lt;0")-SUMIFS('Daftar Koreksi'!$H$5:$H$92,'Daftar Koreksi'!$D$5:$D$92,'1000'!A158,'Daftar Koreksi'!$G$5:$G$92,"Aset Tetap Lainnya",'Daftar Koreksi'!$H$5:$H$92,"&lt;0")-SUMIFS('Daftar Koreksi'!$H$5:$H$92,'Daftar Koreksi'!$D$5:$D$92,'1000'!A158,'Daftar Koreksi'!$G$5:$G$92,"Aset Tetap Lainnya",'Daftar Koreksi'!$H$5:$H$92,"&lt;0")</f>
        <v>0</v>
      </c>
      <c r="G166" s="17">
        <f t="shared" si="7"/>
        <v>83480000</v>
      </c>
      <c r="H166" s="122"/>
      <c r="I166" s="28"/>
      <c r="J166" s="28"/>
    </row>
    <row r="167" spans="1:10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Koreksi'!$D$5:$D$92,'1000'!A158,'Daftar Koreksi'!$G$5:$G$92,"Kontruksi Dalam Pengerjaan",'Daftar Koreksi'!$H$5:$H$92,"&gt;0")</f>
        <v>0</v>
      </c>
      <c r="F167" s="25">
        <f>SUMIFS('Daftar Koreksi'!$H$5:$H$92,'Daftar Koreksi'!$D$5:$D$92,'1000'!A158,'Daftar Koreksi'!$G$5:$G$92,"Kontruksi Dalam Pengerjaan",'Daftar Koreksi'!$H$5:$H$92,"&lt;0")-SUMIFS('Daftar Koreksi'!$H$5:$H$92,'Daftar Koreksi'!$D$5:$D$92,'1000'!A158,'Daftar Koreksi'!$G$5:$G$92,"Kontruksi Dalam Pengerjaan",'Daftar Koreksi'!$H$5:$H$92,"&lt;0")-SUMIFS('Daftar Koreksi'!$H$5:$H$92,'Daftar Koreksi'!$D$5:$D$92,'1000'!A158,'Daftar Koreksi'!$G$5:$G$92,"Kontruksi Dalam Pengerjaan",'Daftar Koreksi'!$H$5:$H$92,"&lt;0")</f>
        <v>0</v>
      </c>
      <c r="G167" s="17">
        <f t="shared" si="7"/>
        <v>0</v>
      </c>
      <c r="H167" s="122"/>
      <c r="I167" s="28"/>
      <c r="J167" s="28"/>
    </row>
    <row r="168" spans="1:10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Koreksi'!$D$5:$D$92,'1000'!A158,'Daftar Koreksi'!$G$5:$G$92,"Aset Tak Berwujud",'Daftar Koreksi'!$H$5:$H$92,"&gt;0")</f>
        <v>0</v>
      </c>
      <c r="F168" s="25">
        <f>SUMIFS('Daftar Koreksi'!$H$5:$H$92,'Daftar Koreksi'!$D$5:$D$92,'1000'!A158,'Daftar Koreksi'!$G$5:$G$92,"Aset Tak Berwujud",'Daftar Koreksi'!$H$5:$H$92,"&lt;0")-SUMIFS('Daftar Koreksi'!$H$5:$H$92,'Daftar Koreksi'!$D$5:$D$92,'1000'!A158,'Daftar Koreksi'!$G$5:$G$92,"Aset Tak Berwujud",'Daftar Koreksi'!$H$5:$H$92,"&lt;0")-SUMIFS('Daftar Koreksi'!$H$5:$H$92,'Daftar Koreksi'!$D$5:$D$92,'1000'!A158,'Daftar Koreksi'!$G$5:$G$92,"Aset Tak Berwujud",'Daftar Koreksi'!$H$5:$H$92,"&lt;0")</f>
        <v>0</v>
      </c>
      <c r="G168" s="17">
        <f t="shared" si="7"/>
        <v>0</v>
      </c>
      <c r="H168" s="122"/>
      <c r="I168" s="28"/>
      <c r="J168" s="28"/>
    </row>
    <row r="169" spans="1:10" ht="21.95" customHeight="1">
      <c r="A169" s="14"/>
      <c r="B169" s="14"/>
      <c r="C169" s="16" t="s">
        <v>1173</v>
      </c>
      <c r="D169" s="17">
        <f>VLOOKUP(A158,'Neraca Unaudited SIMAK'!$A$2:$S$10004,11,FALSE)</f>
        <v>237914983</v>
      </c>
      <c r="E169" s="25">
        <f>SUMIFS('Daftar Koreksi'!$H$5:$H$92,'Daftar Koreksi'!$D$5:$D$92,'1000'!A158,'Daftar Koreksi'!$G$5:$G$92,"Aset Henti Guna",'Daftar Koreksi'!$H$5:$H$92,"&gt;0")</f>
        <v>0</v>
      </c>
      <c r="F169" s="25">
        <f>SUMIFS('Daftar Koreksi'!$H$5:$H$92,'Daftar Koreksi'!$D$5:$D$92,'1000'!A158,'Daftar Koreksi'!$G$5:$G$92,"Aset Henti Guna",'Daftar Koreksi'!$H$5:$H$92,"&lt;0")-SUMIFS('Daftar Koreksi'!$H$5:$H$92,'Daftar Koreksi'!$D$5:$D$92,'1000'!A158,'Daftar Koreksi'!$G$5:$G$92,"Aset Henti Guna",'Daftar Koreksi'!$H$5:$H$92,"&lt;0")-SUMIFS('Daftar Koreksi'!$H$5:$H$92,'Daftar Koreksi'!$D$5:$D$92,'1000'!A158,'Daftar Koreksi'!$G$5:$G$92,"Aset Henti Guna",'Daftar Koreksi'!$H$5:$H$92,"&lt;0")</f>
        <v>0</v>
      </c>
      <c r="G169" s="17">
        <f t="shared" si="7"/>
        <v>237914983</v>
      </c>
      <c r="H169" s="122"/>
      <c r="I169" s="28"/>
      <c r="J169" s="28"/>
    </row>
    <row r="170" spans="1:10" ht="21.95" customHeight="1">
      <c r="A170" s="14"/>
      <c r="B170" s="14"/>
      <c r="C170" s="18" t="s">
        <v>2093</v>
      </c>
      <c r="D170" s="19">
        <f>VLOOKUP(A158,'Neraca Unaudited SIMAK'!$A$2:$S$10004,12,FALSE)</f>
        <v>7881524975</v>
      </c>
      <c r="E170" s="19">
        <f>SUM(E161:E169)</f>
        <v>0</v>
      </c>
      <c r="F170" s="19">
        <f>SUM(F161:F169)</f>
        <v>0</v>
      </c>
      <c r="G170" s="19">
        <f t="shared" si="7"/>
        <v>7881524975</v>
      </c>
      <c r="H170" s="122"/>
      <c r="I170" s="28"/>
      <c r="J170" s="28"/>
    </row>
    <row r="171" spans="1:10" ht="21.95" customHeight="1">
      <c r="A171" s="14"/>
      <c r="B171" s="14"/>
      <c r="C171" s="16" t="s">
        <v>2087</v>
      </c>
      <c r="D171" s="17">
        <f>VLOOKUP(A158,'Neraca Unaudited SIMAK'!$A$2:$S$10004,13,FALSE)</f>
        <v>-1391916049</v>
      </c>
      <c r="E171" s="25">
        <f>SUMIFS('Daftar Koreksi'!$I$5:$I$92,'Daftar Koreksi'!$D$5:$D$92,'1000'!A158,'Daftar Koreksi'!$G$5:$G$92,"Peralatan dan mesin",'Daftar Koreksi'!$I$5:$I$92,"&gt;0")</f>
        <v>0</v>
      </c>
      <c r="F171" s="25">
        <f>SUMIFS('Daftar Koreksi'!$I$5:$I$92,'Daftar Koreksi'!$D$5:$D$92,'1000'!A158,'Daftar Koreksi'!$G$5:$G$92,"Peralatan dan mesin",'Daftar Koreksi'!$I$5:$I$92,"&lt;0")-SUMIFS('Daftar Koreksi'!$I$5:$I$92,'Daftar Koreksi'!$D$5:$D$92,'1000'!A158,'Daftar Koreksi'!$G$5:$G$92,"Peralatan dan mesin",'Daftar Koreksi'!$I$5:$I$92,"&lt;0")-SUMIFS('Daftar Koreksi'!$I$5:$I$92,'Daftar Koreksi'!$D$5:$D$92,'1000'!A158,'Daftar Koreksi'!$G$5:$G$92,"Peralatan dan mesin",'Daftar Koreksi'!$I$5:$I$92,"&lt;0")</f>
        <v>0</v>
      </c>
      <c r="G171" s="17">
        <f t="shared" si="7"/>
        <v>-1391916049</v>
      </c>
      <c r="H171" s="122"/>
      <c r="I171" s="28"/>
      <c r="J171" s="28"/>
    </row>
    <row r="172" spans="1:10" ht="21.95" customHeight="1">
      <c r="A172" s="14"/>
      <c r="B172" s="14"/>
      <c r="C172" s="16" t="s">
        <v>2088</v>
      </c>
      <c r="D172" s="17">
        <f>VLOOKUP(A158,'Neraca Unaudited SIMAK'!$A$2:$S$10004,14,FALSE)</f>
        <v>-842648619</v>
      </c>
      <c r="E172" s="25">
        <f>SUMIFS('Daftar Koreksi'!$I$5:$I$92,'Daftar Koreksi'!$D$5:$D$92,'1000'!A158,'Daftar Koreksi'!$G$5:$G$92,"Gedung dan Bangunan",'Daftar Koreksi'!$I$5:$I$92,"&gt;0")</f>
        <v>0</v>
      </c>
      <c r="F172" s="25">
        <f>SUMIFS('Daftar Koreksi'!$I$5:$I$92,'Daftar Koreksi'!$D$5:$D$92,'1000'!A158,'Daftar Koreksi'!$G$5:$G$92,"Gedung dan Bangunan",'Daftar Koreksi'!$I$5:$I$92,"&lt;0")-SUMIFS('Daftar Koreksi'!$I$5:$I$92,'Daftar Koreksi'!$D$5:$D$92,'1000'!A158,'Daftar Koreksi'!$G$5:$G$92,"Gedung dan Bangunan",'Daftar Koreksi'!$I$5:$I$92,"&lt;0")-SUMIFS('Daftar Koreksi'!$I$5:$I$92,'Daftar Koreksi'!$D$5:$D$92,'1000'!A158,'Daftar Koreksi'!$G$5:$G$92,"Gedung dan Bangunan",'Daftar Koreksi'!$I$5:$I$92,"&lt;0")</f>
        <v>0</v>
      </c>
      <c r="G172" s="17">
        <f t="shared" si="7"/>
        <v>-842648619</v>
      </c>
      <c r="H172" s="122"/>
      <c r="I172" s="28"/>
      <c r="J172" s="28"/>
    </row>
    <row r="173" spans="1:10" ht="21.95" customHeight="1">
      <c r="A173" s="14"/>
      <c r="B173" s="14"/>
      <c r="C173" s="16" t="s">
        <v>2089</v>
      </c>
      <c r="D173" s="17">
        <f>VLOOKUP(A158,'Neraca Unaudited SIMAK'!$A$2:$S$10004,15,FALSE)</f>
        <v>-35681389</v>
      </c>
      <c r="E173" s="25">
        <f>SUMIFS('Daftar Koreksi'!$I$5:$I$92,'Daftar Koreksi'!$D$5:$D$92,'1000'!A158,'Daftar Koreksi'!$G$5:$G$92,"Jalan Irigasi Jaringan",'Daftar Koreksi'!$I$5:$I$92,"&gt;0")</f>
        <v>0</v>
      </c>
      <c r="F173" s="25">
        <f>SUMIFS('Daftar Koreksi'!$I$5:$I$92,'Daftar Koreksi'!$D$5:$D$92,'1000'!A158,'Daftar Koreksi'!$G$5:$G$92,"Jalan Irigasi Jaringan",'Daftar Koreksi'!$I$5:$I$92,"&lt;0")-SUMIFS('Daftar Koreksi'!$I$5:$I$92,'Daftar Koreksi'!$D$5:$D$92,'1000'!A158,'Daftar Koreksi'!$G$5:$G$92,"Jalan Irigasi Jaringan",'Daftar Koreksi'!$I$5:$I$92,"&lt;0")-SUMIFS('Daftar Koreksi'!$I$5:$I$92,'Daftar Koreksi'!$D$5:$D$92,'1000'!A158,'Daftar Koreksi'!$G$5:$G$92,"Jalan Irigasi Jaringan",'Daftar Koreksi'!$I$5:$I$92,"&lt;0")</f>
        <v>0</v>
      </c>
      <c r="G173" s="17">
        <f t="shared" si="7"/>
        <v>-35681389</v>
      </c>
      <c r="H173" s="122"/>
      <c r="I173" s="28"/>
      <c r="J173" s="28"/>
    </row>
    <row r="174" spans="1:10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Koreksi'!$D$5:$D$92,'1000'!A158,'Daftar Koreksi'!$G$5:$G$92,"Aset Tetap Lainnya",'Daftar Koreksi'!$I$5:$I$92,"&gt;0")</f>
        <v>0</v>
      </c>
      <c r="F174" s="25">
        <f>SUMIFS('Daftar Koreksi'!$I$5:$I$92,'Daftar Koreksi'!$D$5:$D$92,'1000'!A158,'Daftar Koreksi'!$G$5:$G$92,"Aset Tetap Lainnya",'Daftar Koreksi'!$I$5:$I$92,"&lt;0")-SUMIFS('Daftar Koreksi'!$I$5:$I$92,'Daftar Koreksi'!$D$5:$D$92,'1000'!A158,'Daftar Koreksi'!$G$5:$G$92,"Aset Tetap Lainnya",'Daftar Koreksi'!$I$5:$I$92,"&lt;0")-SUMIFS('Daftar Koreksi'!$I$5:$I$92,'Daftar Koreksi'!$D$5:$D$92,'1000'!A158,'Daftar Koreksi'!$G$5:$G$92,"Aset Tetap Lainnya",'Daftar Koreksi'!$I$5:$I$92,"&lt;0")</f>
        <v>0</v>
      </c>
      <c r="G174" s="17">
        <f t="shared" si="7"/>
        <v>0</v>
      </c>
      <c r="H174" s="122"/>
      <c r="I174" s="28"/>
      <c r="J174" s="28"/>
    </row>
    <row r="175" spans="1:10" ht="21.95" customHeight="1">
      <c r="A175" s="14"/>
      <c r="B175" s="14"/>
      <c r="C175" s="16" t="s">
        <v>2020</v>
      </c>
      <c r="D175" s="17">
        <f>VLOOKUP(A158,'Neraca Unaudited SIMAK'!$A$2:$S$10004,17,FALSE)</f>
        <v>-184132867</v>
      </c>
      <c r="E175" s="25">
        <f>SUMIFS('Daftar Koreksi'!$I$5:$I$92,'Daftar Koreksi'!$D$5:$D$92,'1000'!A158,'Daftar Koreksi'!$G$5:$G$92,"Aset Henti Guna",'Daftar Koreksi'!$I$5:$I$92,"&gt;0")</f>
        <v>0</v>
      </c>
      <c r="F175" s="25">
        <f>SUMIFS('Daftar Koreksi'!$I$5:$I$92,'Daftar Koreksi'!$D$5:$D$92,'1000'!A158,'Daftar Koreksi'!$G$5:$G$92,"Aset Henti Guna",'Daftar Koreksi'!$I$5:$I$92,"&lt;0")-SUMIFS('Daftar Koreksi'!$I$5:$I$92,'Daftar Koreksi'!$D$5:$D$92,'1000'!A158,'Daftar Koreksi'!$G$5:$G$92,"Aset Henti Guna",'Daftar Koreksi'!$I$5:$I$92,"&lt;0")-SUMIFS('Daftar Koreksi'!$I$5:$I$92,'Daftar Koreksi'!$D$5:$D$92,'1000'!A158,'Daftar Koreksi'!$G$5:$G$92,"Aset Henti Guna",'Daftar Koreksi'!$I$5:$I$92,"&lt;0")</f>
        <v>0</v>
      </c>
      <c r="G175" s="17">
        <f t="shared" si="7"/>
        <v>-184132867</v>
      </c>
      <c r="H175" s="122"/>
      <c r="I175" s="28"/>
      <c r="J175" s="28"/>
    </row>
    <row r="176" spans="1:10" ht="21.95" customHeight="1">
      <c r="A176" s="14"/>
      <c r="B176" s="14"/>
      <c r="C176" s="18" t="s">
        <v>2094</v>
      </c>
      <c r="D176" s="19">
        <f>SUM(D171:D175)</f>
        <v>-2454378924</v>
      </c>
      <c r="E176" s="19">
        <f>SUM(E171:E175)</f>
        <v>0</v>
      </c>
      <c r="F176" s="19">
        <f>SUM(F171:F175)</f>
        <v>0</v>
      </c>
      <c r="G176" s="19">
        <f t="shared" si="7"/>
        <v>-2454378924</v>
      </c>
      <c r="H176" s="122"/>
      <c r="I176" s="28"/>
      <c r="J176" s="28"/>
    </row>
    <row r="177" spans="1:10" ht="21.95" customHeight="1">
      <c r="A177" s="14"/>
      <c r="B177" s="14"/>
      <c r="C177" s="18" t="s">
        <v>2095</v>
      </c>
      <c r="D177" s="19">
        <f>VLOOKUP(A158,'Neraca Unaudited SIMAK'!$A$2:$S$10004,18,FALSE)</f>
        <v>5427146051</v>
      </c>
      <c r="E177" s="19">
        <f>E176+E170</f>
        <v>0</v>
      </c>
      <c r="F177" s="19">
        <f>F176+F170</f>
        <v>0</v>
      </c>
      <c r="G177" s="19">
        <f t="shared" si="7"/>
        <v>5427146051</v>
      </c>
      <c r="H177" s="122"/>
      <c r="I177" s="28"/>
      <c r="J177" s="28"/>
    </row>
    <row r="178" spans="1:10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  <c r="I178" s="28"/>
      <c r="J178" s="28"/>
    </row>
    <row r="180" spans="1:10" ht="19.5" customHeight="1">
      <c r="A180" s="11" t="str">
        <f>O9</f>
        <v>005011000402191000KD</v>
      </c>
      <c r="B180" s="11" t="str">
        <f>P9</f>
        <v>PA. Muara Bungo</v>
      </c>
      <c r="C180" s="12" t="str">
        <f>A180&amp;" "&amp;B180</f>
        <v>005011000402191000KD PA. Muara Bungo</v>
      </c>
      <c r="D180" s="13"/>
      <c r="E180" s="13"/>
      <c r="F180" s="13"/>
      <c r="G180" s="13"/>
      <c r="H180" s="11"/>
    </row>
    <row r="181" spans="1:10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0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0" ht="21.95" customHeight="1">
      <c r="A183" s="14"/>
      <c r="B183" s="14"/>
      <c r="C183" s="16" t="s">
        <v>1165</v>
      </c>
      <c r="D183" s="17">
        <f>VLOOKUP(A180,'Neraca Unaudited SIMAK'!$A$2:$S$10004,3,FALSE)</f>
        <v>6568200</v>
      </c>
      <c r="E183" s="25">
        <f>SUMIFS('Daftar Koreksi'!$H$5:$H$92,'Daftar Koreksi'!$D$5:$D$92,'1000'!A180,'Daftar Koreksi'!$G$5:$G$92,"Persediaan",'Daftar Koreksi'!$H$5:$H$92,"&gt;0")</f>
        <v>0</v>
      </c>
      <c r="F183" s="25">
        <f>SUMIFS('Daftar Koreksi'!$H$5:$H$92,'Daftar Koreksi'!$D$5:$D$92,'1000'!A180,'Daftar Koreksi'!$G$5:$G$92,"Persediaan",'Daftar Koreksi'!$H$5:$H$92,"&lt;0")-SUMIFS('Daftar Koreksi'!$H$5:$H$92,'Daftar Koreksi'!$D$5:$D$92,'1000'!A180,'Daftar Koreksi'!$G$5:$G$92,"Persediaan",'Daftar Koreksi'!$H$5:$H$92,"&lt;0")-SUMIFS('Daftar Koreksi'!$H$5:$H$92,'Daftar Koreksi'!$D$5:$D$92,'1000'!A180,'Daftar Koreksi'!$G$5:$G$92,"Persediaan",'Daftar Koreksi'!$H$5:$H$92,"&lt;0")</f>
        <v>0</v>
      </c>
      <c r="G183" s="17">
        <f>D183+E183-F183</f>
        <v>6568200</v>
      </c>
      <c r="H183" s="121" t="str">
        <f>IF(ISNA(VLOOKUP(A180,'Mutasi Neraca'!$A$3:$S$914,19,FALSE)),"-",VLOOKUP(A180,'Mutasi Neraca'!$A$3:$S$914,19,FALSE))</f>
        <v>-</v>
      </c>
    </row>
    <row r="184" spans="1:10" ht="21.95" customHeight="1">
      <c r="A184" s="14"/>
      <c r="B184" s="14"/>
      <c r="C184" s="16" t="s">
        <v>1166</v>
      </c>
      <c r="D184" s="17">
        <f>VLOOKUP(A180,'Neraca Unaudited SIMAK'!$A$2:$S$10004,4,FALSE)</f>
        <v>750038900</v>
      </c>
      <c r="E184" s="25">
        <f>SUMIFS('Daftar Koreksi'!$H$5:$H$92,'Daftar Koreksi'!$D$5:$D$92,'1000'!A180,'Daftar Koreksi'!$G$5:$G$92,"Tanah",'Daftar Koreksi'!$H$5:$H$92,"&gt;0")</f>
        <v>0</v>
      </c>
      <c r="F184" s="25">
        <f>SUMIFS('Daftar Koreksi'!$H$5:$H$92,'Daftar Koreksi'!$D$5:$D$92,'1000'!A180,'Daftar Koreksi'!$G$5:$G$92,"Tanah",'Daftar Koreksi'!$H$5:$H$92,"&lt;0")-SUMIFS('Daftar Koreksi'!$H$5:$H$92,'Daftar Koreksi'!$D$5:$D$92,'1000'!A180,'Daftar Koreksi'!$G$5:$G$92,"Tanah",'Daftar Koreksi'!$H$5:$H$92,"&lt;0")-SUMIFS('Daftar Koreksi'!$H$5:$H$92,'Daftar Koreksi'!$D$5:$D$92,'1000'!A180,'Daftar Koreksi'!$G$5:$G$92,"Tanah",'Daftar Koreksi'!$H$5:$H$92,"&lt;0")</f>
        <v>0</v>
      </c>
      <c r="G184" s="17">
        <f t="shared" ref="G184:G200" si="8">D184+E184-F184</f>
        <v>750038900</v>
      </c>
      <c r="H184" s="122"/>
    </row>
    <row r="185" spans="1:10" ht="21.95" customHeight="1">
      <c r="A185" s="14"/>
      <c r="B185" s="14"/>
      <c r="C185" s="16" t="s">
        <v>1167</v>
      </c>
      <c r="D185" s="17">
        <f>VLOOKUP(A180,'Neraca Unaudited SIMAK'!$A$2:$S$10004,5,FALSE)</f>
        <v>1254133579</v>
      </c>
      <c r="E185" s="25">
        <f>SUMIFS('Daftar Koreksi'!$H$5:$H$92,'Daftar Koreksi'!$D$5:$D$92,'1000'!A180,'Daftar Koreksi'!$G$5:$G$92,"Peralatan dan mesin",'Daftar Koreksi'!$H$5:$H$92,"&gt;0")</f>
        <v>0</v>
      </c>
      <c r="F185" s="25">
        <f>SUMIFS('Daftar Koreksi'!$H$5:$H$92,'Daftar Koreksi'!$D$5:$D$92,'1000'!A180,'Daftar Koreksi'!$G$5:$G$92,"Peralatan dan mesin",'Daftar Koreksi'!$H$5:$H$92,"&lt;0")-SUMIFS('Daftar Koreksi'!$H$5:$H$92,'Daftar Koreksi'!$D$5:$D$92,'1000'!A180,'Daftar Koreksi'!$G$5:$G$92,"Peralatan dan mesin",'Daftar Koreksi'!$H$5:$H$92,"&lt;0")-SUMIFS('Daftar Koreksi'!$H$5:$H$92,'Daftar Koreksi'!$D$5:$D$92,'1000'!A180,'Daftar Koreksi'!$G$5:$G$92,"Peralatan dan mesin",'Daftar Koreksi'!$H$5:$H$92,"&lt;0")</f>
        <v>0</v>
      </c>
      <c r="G185" s="17">
        <f t="shared" si="8"/>
        <v>1254133579</v>
      </c>
      <c r="H185" s="122"/>
    </row>
    <row r="186" spans="1:10" ht="21.95" customHeight="1">
      <c r="A186" s="14"/>
      <c r="B186" s="14"/>
      <c r="C186" s="16" t="s">
        <v>1168</v>
      </c>
      <c r="D186" s="17">
        <f>VLOOKUP(A180,'Neraca Unaudited SIMAK'!$A$2:$S$10004,6,FALSE)</f>
        <v>5187891446</v>
      </c>
      <c r="E186" s="25">
        <f>SUMIFS('Daftar Koreksi'!$H$5:$H$92,'Daftar Koreksi'!$D$5:$D$92,'1000'!A180,'Daftar Koreksi'!$G$5:$G$92,"Gedung dan Bangunan",'Daftar Koreksi'!$H$5:$H$92,"&gt;0")</f>
        <v>0</v>
      </c>
      <c r="F186" s="25">
        <f>SUMIFS('Daftar Koreksi'!$H$5:$H$92,'Daftar Koreksi'!$D$5:$D$92,'1000'!A180,'Daftar Koreksi'!$G$5:$G$92,"Gedung dan Bangunan",'Daftar Koreksi'!$H$5:$H$92,"&lt;0")-SUMIFS('Daftar Koreksi'!$H$5:$H$92,'Daftar Koreksi'!$D$5:$D$92,'1000'!A180,'Daftar Koreksi'!$G$5:$G$92,"Gedung dan Bangunan",'Daftar Koreksi'!$H$5:$H$92,"&lt;0")-SUMIFS('Daftar Koreksi'!$H$5:$H$92,'Daftar Koreksi'!$D$5:$D$92,'1000'!A180,'Daftar Koreksi'!$G$5:$G$92,"Gedung dan Bangunan",'Daftar Koreksi'!$H$5:$H$92,"&lt;0")</f>
        <v>0</v>
      </c>
      <c r="G186" s="17">
        <f t="shared" si="8"/>
        <v>5187891446</v>
      </c>
      <c r="H186" s="122"/>
    </row>
    <row r="187" spans="1:10" ht="21.95" customHeight="1">
      <c r="A187" s="14"/>
      <c r="B187" s="14"/>
      <c r="C187" s="16" t="s">
        <v>1169</v>
      </c>
      <c r="D187" s="17">
        <f>VLOOKUP(A180,'Neraca Unaudited SIMAK'!$A$2:$S$10004,7,FALSE)</f>
        <v>410149500</v>
      </c>
      <c r="E187" s="25">
        <f>SUMIFS('Daftar Koreksi'!$H$5:$H$92,'Daftar Koreksi'!$D$5:$D$92,'1000'!A180,'Daftar Koreksi'!$G$5:$G$92,"Jalan Irigasi Jaringan",'Daftar Koreksi'!$H$5:$H$92,"&gt;0")</f>
        <v>0</v>
      </c>
      <c r="F187" s="25">
        <f>SUMIFS('Daftar Koreksi'!$H$5:$H$92,'Daftar Koreksi'!$D$5:$D$92,'1000'!A180,'Daftar Koreksi'!$G$5:$G$92,"Jalan Irigasi Jaringan",'Daftar Koreksi'!$H$5:$H$92,"&lt;0")-SUMIFS('Daftar Koreksi'!$H$5:$H$92,'Daftar Koreksi'!$D$5:$D$92,'1000'!A180,'Daftar Koreksi'!$G$5:$G$92,"Jalan Irigasi Jaringan",'Daftar Koreksi'!$H$5:$H$92,"&lt;0")-SUMIFS('Daftar Koreksi'!$H$5:$H$92,'Daftar Koreksi'!$D$5:$D$92,'1000'!A180,'Daftar Koreksi'!$G$5:$G$92,"Jalan Irigasi Jaringan",'Daftar Koreksi'!$H$5:$H$92,"&lt;0")</f>
        <v>0</v>
      </c>
      <c r="G187" s="17">
        <f t="shared" si="8"/>
        <v>410149500</v>
      </c>
      <c r="H187" s="122"/>
    </row>
    <row r="188" spans="1:10" ht="21.95" customHeight="1">
      <c r="A188" s="14"/>
      <c r="B188" s="14"/>
      <c r="C188" s="16" t="s">
        <v>1170</v>
      </c>
      <c r="D188" s="17">
        <f>VLOOKUP(A180,'Neraca Unaudited SIMAK'!$A$2:$S$10004,8,FALSE)</f>
        <v>52339500</v>
      </c>
      <c r="E188" s="25">
        <f>SUMIFS('Daftar Koreksi'!$H$5:$H$92,'Daftar Koreksi'!$D$5:$D$92,'1000'!A180,'Daftar Koreksi'!$G$5:$G$92,"Aset Tetap Lainnya",'Daftar Koreksi'!$H$5:$H$92,"&gt;0")</f>
        <v>0</v>
      </c>
      <c r="F188" s="25">
        <f>SUMIFS('Daftar Koreksi'!$H$5:$H$92,'Daftar Koreksi'!$D$5:$D$92,'1000'!A180,'Daftar Koreksi'!$G$5:$G$92,"Aset Tetap Lainnya",'Daftar Koreksi'!$H$5:$H$92,"&lt;0")-SUMIFS('Daftar Koreksi'!$H$5:$H$92,'Daftar Koreksi'!$D$5:$D$92,'1000'!A180,'Daftar Koreksi'!$G$5:$G$92,"Aset Tetap Lainnya",'Daftar Koreksi'!$H$5:$H$92,"&lt;0")-SUMIFS('Daftar Koreksi'!$H$5:$H$92,'Daftar Koreksi'!$D$5:$D$92,'1000'!A180,'Daftar Koreksi'!$G$5:$G$92,"Aset Tetap Lainnya",'Daftar Koreksi'!$H$5:$H$92,"&lt;0")</f>
        <v>0</v>
      </c>
      <c r="G188" s="17">
        <f t="shared" si="8"/>
        <v>52339500</v>
      </c>
      <c r="H188" s="122"/>
    </row>
    <row r="189" spans="1:10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Koreksi'!$D$5:$D$92,'1000'!A180,'Daftar Koreksi'!$G$5:$G$92,"Kontruksi Dalam Pengerjaan",'Daftar Koreksi'!$H$5:$H$92,"&gt;0")</f>
        <v>0</v>
      </c>
      <c r="F189" s="25">
        <f>SUMIFS('Daftar Koreksi'!$H$5:$H$92,'Daftar Koreksi'!$D$5:$D$92,'1000'!A180,'Daftar Koreksi'!$G$5:$G$92,"Kontruksi Dalam Pengerjaan",'Daftar Koreksi'!$H$5:$H$92,"&lt;0")-SUMIFS('Daftar Koreksi'!$H$5:$H$92,'Daftar Koreksi'!$D$5:$D$92,'1000'!A180,'Daftar Koreksi'!$G$5:$G$92,"Kontruksi Dalam Pengerjaan",'Daftar Koreksi'!$H$5:$H$92,"&lt;0")-SUMIFS('Daftar Koreksi'!$H$5:$H$92,'Daftar Koreksi'!$D$5:$D$92,'1000'!A180,'Daftar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10" ht="21.95" customHeight="1">
      <c r="A190" s="14"/>
      <c r="B190" s="14"/>
      <c r="C190" s="16" t="s">
        <v>1172</v>
      </c>
      <c r="D190" s="17">
        <f>VLOOKUP(A180,'Neraca Unaudited SIMAK'!$A$2:$S$10004,10,FALSE)</f>
        <v>20750000</v>
      </c>
      <c r="E190" s="25">
        <f>SUMIFS('Daftar Koreksi'!$H$5:$H$92,'Daftar Koreksi'!$D$5:$D$92,'1000'!A180,'Daftar Koreksi'!$G$5:$G$92,"Aset Tak Berwujud",'Daftar Koreksi'!$H$5:$H$92,"&gt;0")</f>
        <v>0</v>
      </c>
      <c r="F190" s="25">
        <f>SUMIFS('Daftar Koreksi'!$H$5:$H$92,'Daftar Koreksi'!$D$5:$D$92,'1000'!A180,'Daftar Koreksi'!$G$5:$G$92,"Aset Tak Berwujud",'Daftar Koreksi'!$H$5:$H$92,"&lt;0")-SUMIFS('Daftar Koreksi'!$H$5:$H$92,'Daftar Koreksi'!$D$5:$D$92,'1000'!A180,'Daftar Koreksi'!$G$5:$G$92,"Aset Tak Berwujud",'Daftar Koreksi'!$H$5:$H$92,"&lt;0")-SUMIFS('Daftar Koreksi'!$H$5:$H$92,'Daftar Koreksi'!$D$5:$D$92,'1000'!A180,'Daftar Koreksi'!$G$5:$G$92,"Aset Tak Berwujud",'Daftar Koreksi'!$H$5:$H$92,"&lt;0")</f>
        <v>0</v>
      </c>
      <c r="G190" s="17">
        <f t="shared" si="8"/>
        <v>20750000</v>
      </c>
      <c r="H190" s="122"/>
    </row>
    <row r="191" spans="1:10" ht="21.95" customHeight="1">
      <c r="A191" s="14"/>
      <c r="B191" s="14"/>
      <c r="C191" s="16" t="s">
        <v>1173</v>
      </c>
      <c r="D191" s="17">
        <f>VLOOKUP(A180,'Neraca Unaudited SIMAK'!$A$2:$S$10004,11,FALSE)</f>
        <v>720000</v>
      </c>
      <c r="E191" s="25">
        <f>SUMIFS('Daftar Koreksi'!$H$5:$H$92,'Daftar Koreksi'!$D$5:$D$92,'1000'!A180,'Daftar Koreksi'!$G$5:$G$92,"Aset Henti Guna",'Daftar Koreksi'!$H$5:$H$92,"&gt;0")</f>
        <v>0</v>
      </c>
      <c r="F191" s="25">
        <f>SUMIFS('Daftar Koreksi'!$H$5:$H$92,'Daftar Koreksi'!$D$5:$D$92,'1000'!A180,'Daftar Koreksi'!$G$5:$G$92,"Aset Henti Guna",'Daftar Koreksi'!$H$5:$H$92,"&lt;0")-SUMIFS('Daftar Koreksi'!$H$5:$H$92,'Daftar Koreksi'!$D$5:$D$92,'1000'!A180,'Daftar Koreksi'!$G$5:$G$92,"Aset Henti Guna",'Daftar Koreksi'!$H$5:$H$92,"&lt;0")-SUMIFS('Daftar Koreksi'!$H$5:$H$92,'Daftar Koreksi'!$D$5:$D$92,'1000'!A180,'Daftar Koreksi'!$G$5:$G$92,"Aset Henti Guna",'Daftar Koreksi'!$H$5:$H$92,"&lt;0")</f>
        <v>0</v>
      </c>
      <c r="G191" s="17">
        <f t="shared" si="8"/>
        <v>720000</v>
      </c>
      <c r="H191" s="122"/>
    </row>
    <row r="192" spans="1:10" ht="21.95" customHeight="1">
      <c r="A192" s="14"/>
      <c r="B192" s="14"/>
      <c r="C192" s="18" t="s">
        <v>2093</v>
      </c>
      <c r="D192" s="19">
        <f>VLOOKUP(A180,'Neraca Unaudited SIMAK'!$A$2:$S$10004,12,FALSE)</f>
        <v>7682591125</v>
      </c>
      <c r="E192" s="19">
        <f>SUM(E183:E191)</f>
        <v>0</v>
      </c>
      <c r="F192" s="19">
        <f>SUM(F183:F191)</f>
        <v>0</v>
      </c>
      <c r="G192" s="19">
        <f t="shared" si="8"/>
        <v>7682591125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-1024774688</v>
      </c>
      <c r="E193" s="25">
        <f>SUMIFS('Daftar Koreksi'!$I$5:$I$92,'Daftar Koreksi'!$D$5:$D$92,'1000'!A180,'Daftar Koreksi'!$G$5:$G$92,"Peralatan dan mesin",'Daftar Koreksi'!$I$5:$I$92,"&gt;0")</f>
        <v>0</v>
      </c>
      <c r="F193" s="25">
        <f>SUMIFS('Daftar Koreksi'!$I$5:$I$92,'Daftar Koreksi'!$D$5:$D$92,'1000'!A180,'Daftar Koreksi'!$G$5:$G$92,"Peralatan dan mesin",'Daftar Koreksi'!$I$5:$I$92,"&lt;0")-SUMIFS('Daftar Koreksi'!$I$5:$I$92,'Daftar Koreksi'!$D$5:$D$92,'1000'!A180,'Daftar Koreksi'!$G$5:$G$92,"Peralatan dan mesin",'Daftar Koreksi'!$I$5:$I$92,"&lt;0")-SUMIFS('Daftar Koreksi'!$I$5:$I$92,'Daftar Koreksi'!$D$5:$D$92,'1000'!A180,'Daftar Koreksi'!$G$5:$G$92,"Peralatan dan mesin",'Daftar Koreksi'!$I$5:$I$92,"&lt;0")</f>
        <v>0</v>
      </c>
      <c r="G193" s="17">
        <f t="shared" si="8"/>
        <v>-1024774688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-419185024</v>
      </c>
      <c r="E194" s="25">
        <f>SUMIFS('Daftar Koreksi'!$I$5:$I$92,'Daftar Koreksi'!$D$5:$D$92,'1000'!A180,'Daftar Koreksi'!$G$5:$G$92,"Gedung dan Bangunan",'Daftar Koreksi'!$I$5:$I$92,"&gt;0")</f>
        <v>0</v>
      </c>
      <c r="F194" s="25">
        <f>SUMIFS('Daftar Koreksi'!$I$5:$I$92,'Daftar Koreksi'!$D$5:$D$92,'1000'!A180,'Daftar Koreksi'!$G$5:$G$92,"Gedung dan Bangunan",'Daftar Koreksi'!$I$5:$I$92,"&lt;0")-SUMIFS('Daftar Koreksi'!$I$5:$I$92,'Daftar Koreksi'!$D$5:$D$92,'1000'!A180,'Daftar Koreksi'!$G$5:$G$92,"Gedung dan Bangunan",'Daftar Koreksi'!$I$5:$I$92,"&lt;0")-SUMIFS('Daftar Koreksi'!$I$5:$I$92,'Daftar Koreksi'!$D$5:$D$92,'1000'!A180,'Daftar Koreksi'!$G$5:$G$92,"Gedung dan Bangunan",'Daftar Koreksi'!$I$5:$I$92,"&lt;0")</f>
        <v>0</v>
      </c>
      <c r="G194" s="17">
        <f t="shared" si="8"/>
        <v>-419185024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-128205375</v>
      </c>
      <c r="E195" s="25">
        <f>SUMIFS('Daftar Koreksi'!$I$5:$I$92,'Daftar Koreksi'!$D$5:$D$92,'1000'!A180,'Daftar Koreksi'!$G$5:$G$92,"Jalan Irigasi Jaringan",'Daftar Koreksi'!$I$5:$I$92,"&gt;0")</f>
        <v>0</v>
      </c>
      <c r="F195" s="25">
        <f>SUMIFS('Daftar Koreksi'!$I$5:$I$92,'Daftar Koreksi'!$D$5:$D$92,'1000'!A180,'Daftar Koreksi'!$G$5:$G$92,"Jalan Irigasi Jaringan",'Daftar Koreksi'!$I$5:$I$92,"&lt;0")-SUMIFS('Daftar Koreksi'!$I$5:$I$92,'Daftar Koreksi'!$D$5:$D$92,'1000'!A180,'Daftar Koreksi'!$G$5:$G$92,"Jalan Irigasi Jaringan",'Daftar Koreksi'!$I$5:$I$92,"&lt;0")-SUMIFS('Daftar Koreksi'!$I$5:$I$92,'Daftar Koreksi'!$D$5:$D$92,'1000'!A180,'Daftar Koreksi'!$G$5:$G$92,"Jalan Irigasi Jaringan",'Daftar Koreksi'!$I$5:$I$92,"&lt;0")</f>
        <v>0</v>
      </c>
      <c r="G195" s="17">
        <f t="shared" si="8"/>
        <v>-128205375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Koreksi'!$D$5:$D$92,'1000'!A180,'Daftar Koreksi'!$G$5:$G$92,"Aset Tetap Lainnya",'Daftar Koreksi'!$I$5:$I$92,"&gt;0")</f>
        <v>0</v>
      </c>
      <c r="F196" s="25">
        <f>SUMIFS('Daftar Koreksi'!$I$5:$I$92,'Daftar Koreksi'!$D$5:$D$92,'1000'!A180,'Daftar Koreksi'!$G$5:$G$92,"Aset Tetap Lainnya",'Daftar Koreksi'!$I$5:$I$92,"&lt;0")-SUMIFS('Daftar Koreksi'!$I$5:$I$92,'Daftar Koreksi'!$D$5:$D$92,'1000'!A180,'Daftar Koreksi'!$G$5:$G$92,"Aset Tetap Lainnya",'Daftar Koreksi'!$I$5:$I$92,"&lt;0")-SUMIFS('Daftar Koreksi'!$I$5:$I$92,'Daftar Koreksi'!$D$5:$D$92,'1000'!A180,'Daftar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-720000</v>
      </c>
      <c r="E197" s="25">
        <f>SUMIFS('Daftar Koreksi'!$I$5:$I$92,'Daftar Koreksi'!$D$5:$D$92,'1000'!A180,'Daftar Koreksi'!$G$5:$G$92,"Aset Henti Guna",'Daftar Koreksi'!$I$5:$I$92,"&gt;0")</f>
        <v>0</v>
      </c>
      <c r="F197" s="25">
        <f>SUMIFS('Daftar Koreksi'!$I$5:$I$92,'Daftar Koreksi'!$D$5:$D$92,'1000'!A180,'Daftar Koreksi'!$G$5:$G$92,"Aset Henti Guna",'Daftar Koreksi'!$I$5:$I$92,"&lt;0")-SUMIFS('Daftar Koreksi'!$I$5:$I$92,'Daftar Koreksi'!$D$5:$D$92,'1000'!A180,'Daftar Koreksi'!$G$5:$G$92,"Aset Henti Guna",'Daftar Koreksi'!$I$5:$I$92,"&lt;0")-SUMIFS('Daftar Koreksi'!$I$5:$I$92,'Daftar Koreksi'!$D$5:$D$92,'1000'!A180,'Daftar Koreksi'!$G$5:$G$92,"Aset Henti Guna",'Daftar Koreksi'!$I$5:$I$92,"&lt;0")</f>
        <v>0</v>
      </c>
      <c r="G197" s="17">
        <f t="shared" si="8"/>
        <v>-720000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-1572885087</v>
      </c>
      <c r="E198" s="19">
        <f>SUM(E193:E197)</f>
        <v>0</v>
      </c>
      <c r="F198" s="19">
        <f>SUM(F193:F197)</f>
        <v>0</v>
      </c>
      <c r="G198" s="19">
        <f t="shared" si="8"/>
        <v>-1572885087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6109706038</v>
      </c>
      <c r="E199" s="19">
        <f>E198+E192</f>
        <v>0</v>
      </c>
      <c r="F199" s="19">
        <f>F198+F192</f>
        <v>0</v>
      </c>
      <c r="G199" s="19">
        <f t="shared" si="8"/>
        <v>6109706038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005011000402205000KD</v>
      </c>
      <c r="B202" s="11" t="str">
        <f>P10</f>
        <v>PA. Kuala Tungkal</v>
      </c>
      <c r="C202" s="12" t="str">
        <f>A202&amp;" "&amp;B202</f>
        <v>005011000402205000KD PA. Kuala Tungkal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2638100</v>
      </c>
      <c r="E205" s="25">
        <f>SUMIFS('Daftar Koreksi'!$H$5:$H$92,'Daftar Koreksi'!$D$5:$D$92,'1000'!A202,'Daftar Koreksi'!$G$5:$G$92,"Persediaan",'Daftar Koreksi'!$H$5:$H$92,"&gt;0")</f>
        <v>0</v>
      </c>
      <c r="F205" s="25">
        <f>SUMIFS('Daftar Koreksi'!$H$5:$H$92,'Daftar Koreksi'!$D$5:$D$92,'1000'!A202,'Daftar Koreksi'!$G$5:$G$92,"Persediaan",'Daftar Koreksi'!$H$5:$H$92,"&lt;0")-SUMIFS('Daftar Koreksi'!$H$5:$H$92,'Daftar Koreksi'!$D$5:$D$92,'1000'!A202,'Daftar Koreksi'!$G$5:$G$92,"Persediaan",'Daftar Koreksi'!$H$5:$H$92,"&lt;0")-SUMIFS('Daftar Koreksi'!$H$5:$H$92,'Daftar Koreksi'!$D$5:$D$92,'1000'!A202,'Daftar Koreksi'!$G$5:$G$92,"Persediaan",'Daftar Koreksi'!$H$5:$H$92,"&lt;0")</f>
        <v>0</v>
      </c>
      <c r="G205" s="17">
        <f>D205+E205-F205</f>
        <v>2638100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1482837000</v>
      </c>
      <c r="E206" s="25">
        <f>SUMIFS('Daftar Koreksi'!$H$5:$H$92,'Daftar Koreksi'!$D$5:$D$92,'1000'!A202,'Daftar Koreksi'!$G$5:$G$92,"Tanah",'Daftar Koreksi'!$H$5:$H$92,"&gt;0")</f>
        <v>0</v>
      </c>
      <c r="F206" s="25">
        <f>SUMIFS('Daftar Koreksi'!$H$5:$H$92,'Daftar Koreksi'!$D$5:$D$92,'1000'!A202,'Daftar Koreksi'!$G$5:$G$92,"Tanah",'Daftar Koreksi'!$H$5:$H$92,"&lt;0")-SUMIFS('Daftar Koreksi'!$H$5:$H$92,'Daftar Koreksi'!$D$5:$D$92,'1000'!A202,'Daftar Koreksi'!$G$5:$G$92,"Tanah",'Daftar Koreksi'!$H$5:$H$92,"&lt;0")-SUMIFS('Daftar Koreksi'!$H$5:$H$92,'Daftar Koreksi'!$D$5:$D$92,'1000'!A202,'Daftar Koreksi'!$G$5:$G$92,"Tanah",'Daftar Koreksi'!$H$5:$H$92,"&lt;0")</f>
        <v>0</v>
      </c>
      <c r="G206" s="17">
        <f t="shared" ref="G206:G222" si="9">D206+E206-F206</f>
        <v>1482837000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1218753388</v>
      </c>
      <c r="E207" s="25">
        <f>SUMIFS('Daftar Koreksi'!$H$5:$H$92,'Daftar Koreksi'!$D$5:$D$92,'1000'!A202,'Daftar Koreksi'!$G$5:$G$92,"Peralatan dan mesin",'Daftar Koreksi'!$H$5:$H$92,"&gt;0")</f>
        <v>0</v>
      </c>
      <c r="F207" s="25">
        <f>SUMIFS('Daftar Koreksi'!$H$5:$H$92,'Daftar Koreksi'!$D$5:$D$92,'1000'!A202,'Daftar Koreksi'!$G$5:$G$92,"Peralatan dan mesin",'Daftar Koreksi'!$H$5:$H$92,"&lt;0")-SUMIFS('Daftar Koreksi'!$H$5:$H$92,'Daftar Koreksi'!$D$5:$D$92,'1000'!A202,'Daftar Koreksi'!$G$5:$G$92,"Peralatan dan mesin",'Daftar Koreksi'!$H$5:$H$92,"&lt;0")-SUMIFS('Daftar Koreksi'!$H$5:$H$92,'Daftar Koreksi'!$D$5:$D$92,'1000'!A202,'Daftar Koreksi'!$G$5:$G$92,"Peralatan dan mesin",'Daftar Koreksi'!$H$5:$H$92,"&lt;0")</f>
        <v>0</v>
      </c>
      <c r="G207" s="17">
        <f t="shared" si="9"/>
        <v>1218753388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4787087040</v>
      </c>
      <c r="E208" s="25">
        <f>SUMIFS('Daftar Koreksi'!$H$5:$H$92,'Daftar Koreksi'!$D$5:$D$92,'1000'!A202,'Daftar Koreksi'!$G$5:$G$92,"Gedung dan Bangunan",'Daftar Koreksi'!$H$5:$H$92,"&gt;0")</f>
        <v>0</v>
      </c>
      <c r="F208" s="25">
        <f>SUMIFS('Daftar Koreksi'!$H$5:$H$92,'Daftar Koreksi'!$D$5:$D$92,'1000'!A202,'Daftar Koreksi'!$G$5:$G$92,"Gedung dan Bangunan",'Daftar Koreksi'!$H$5:$H$92,"&lt;0")-SUMIFS('Daftar Koreksi'!$H$5:$H$92,'Daftar Koreksi'!$D$5:$D$92,'1000'!A202,'Daftar Koreksi'!$G$5:$G$92,"Gedung dan Bangunan",'Daftar Koreksi'!$H$5:$H$92,"&lt;0")-SUMIFS('Daftar Koreksi'!$H$5:$H$92,'Daftar Koreksi'!$D$5:$D$92,'1000'!A202,'Daftar Koreksi'!$G$5:$G$92,"Gedung dan Bangunan",'Daftar Koreksi'!$H$5:$H$92,"&lt;0")</f>
        <v>0</v>
      </c>
      <c r="G208" s="17">
        <f t="shared" si="9"/>
        <v>4787087040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13837000</v>
      </c>
      <c r="E209" s="25">
        <f>SUMIFS('Daftar Koreksi'!$H$5:$H$92,'Daftar Koreksi'!$D$5:$D$92,'1000'!A202,'Daftar Koreksi'!$G$5:$G$92,"Jalan Irigasi Jaringan",'Daftar Koreksi'!$H$5:$H$92,"&gt;0")</f>
        <v>0</v>
      </c>
      <c r="F209" s="25">
        <f>SUMIFS('Daftar Koreksi'!$H$5:$H$92,'Daftar Koreksi'!$D$5:$D$92,'1000'!A202,'Daftar Koreksi'!$G$5:$G$92,"Jalan Irigasi Jaringan",'Daftar Koreksi'!$H$5:$H$92,"&lt;0")-SUMIFS('Daftar Koreksi'!$H$5:$H$92,'Daftar Koreksi'!$D$5:$D$92,'1000'!A202,'Daftar Koreksi'!$G$5:$G$92,"Jalan Irigasi Jaringan",'Daftar Koreksi'!$H$5:$H$92,"&lt;0")-SUMIFS('Daftar Koreksi'!$H$5:$H$92,'Daftar Koreksi'!$D$5:$D$92,'1000'!A202,'Daftar Koreksi'!$G$5:$G$92,"Jalan Irigasi Jaringan",'Daftar Koreksi'!$H$5:$H$92,"&lt;0")</f>
        <v>0</v>
      </c>
      <c r="G209" s="17">
        <f t="shared" si="9"/>
        <v>13837000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63893000</v>
      </c>
      <c r="E210" s="25">
        <f>SUMIFS('Daftar Koreksi'!$H$5:$H$92,'Daftar Koreksi'!$D$5:$D$92,'1000'!A202,'Daftar Koreksi'!$G$5:$G$92,"Aset Tetap Lainnya",'Daftar Koreksi'!$H$5:$H$92,"&gt;0")</f>
        <v>0</v>
      </c>
      <c r="F210" s="25">
        <f>SUMIFS('Daftar Koreksi'!$H$5:$H$92,'Daftar Koreksi'!$D$5:$D$92,'1000'!A202,'Daftar Koreksi'!$G$5:$G$92,"Aset Tetap Lainnya",'Daftar Koreksi'!$H$5:$H$92,"&lt;0")-SUMIFS('Daftar Koreksi'!$H$5:$H$92,'Daftar Koreksi'!$D$5:$D$92,'1000'!A202,'Daftar Koreksi'!$G$5:$G$92,"Aset Tetap Lainnya",'Daftar Koreksi'!$H$5:$H$92,"&lt;0")-SUMIFS('Daftar Koreksi'!$H$5:$H$92,'Daftar Koreksi'!$D$5:$D$92,'1000'!A202,'Daftar Koreksi'!$G$5:$G$92,"Aset Tetap Lainnya",'Daftar Koreksi'!$H$5:$H$92,"&lt;0")</f>
        <v>0</v>
      </c>
      <c r="G210" s="17">
        <f t="shared" si="9"/>
        <v>63893000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Koreksi'!$D$5:$D$92,'1000'!A202,'Daftar Koreksi'!$G$5:$G$92,"Kontruksi Dalam Pengerjaan",'Daftar Koreksi'!$H$5:$H$92,"&gt;0")</f>
        <v>0</v>
      </c>
      <c r="F211" s="25">
        <f>SUMIFS('Daftar Koreksi'!$H$5:$H$92,'Daftar Koreksi'!$D$5:$D$92,'1000'!A202,'Daftar Koreksi'!$G$5:$G$92,"Kontruksi Dalam Pengerjaan",'Daftar Koreksi'!$H$5:$H$92,"&lt;0")-SUMIFS('Daftar Koreksi'!$H$5:$H$92,'Daftar Koreksi'!$D$5:$D$92,'1000'!A202,'Daftar Koreksi'!$G$5:$G$92,"Kontruksi Dalam Pengerjaan",'Daftar Koreksi'!$H$5:$H$92,"&lt;0")-SUMIFS('Daftar Koreksi'!$H$5:$H$92,'Daftar Koreksi'!$D$5:$D$92,'1000'!A202,'Daftar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61500000</v>
      </c>
      <c r="E212" s="25">
        <f>SUMIFS('Daftar Koreksi'!$H$5:$H$92,'Daftar Koreksi'!$D$5:$D$92,'1000'!A202,'Daftar Koreksi'!$G$5:$G$92,"Aset Tak Berwujud",'Daftar Koreksi'!$H$5:$H$92,"&gt;0")</f>
        <v>0</v>
      </c>
      <c r="F212" s="25">
        <f>SUMIFS('Daftar Koreksi'!$H$5:$H$92,'Daftar Koreksi'!$D$5:$D$92,'1000'!A202,'Daftar Koreksi'!$G$5:$G$92,"Aset Tak Berwujud",'Daftar Koreksi'!$H$5:$H$92,"&lt;0")-SUMIFS('Daftar Koreksi'!$H$5:$H$92,'Daftar Koreksi'!$D$5:$D$92,'1000'!A202,'Daftar Koreksi'!$G$5:$G$92,"Aset Tak Berwujud",'Daftar Koreksi'!$H$5:$H$92,"&lt;0")-SUMIFS('Daftar Koreksi'!$H$5:$H$92,'Daftar Koreksi'!$D$5:$D$92,'1000'!A202,'Daftar Koreksi'!$G$5:$G$92,"Aset Tak Berwujud",'Daftar Koreksi'!$H$5:$H$92,"&lt;0")</f>
        <v>0</v>
      </c>
      <c r="G212" s="17">
        <f t="shared" si="9"/>
        <v>61500000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39357600</v>
      </c>
      <c r="E213" s="25">
        <f>SUMIFS('Daftar Koreksi'!$H$5:$H$92,'Daftar Koreksi'!$D$5:$D$92,'1000'!A202,'Daftar Koreksi'!$G$5:$G$92,"Aset Henti Guna",'Daftar Koreksi'!$H$5:$H$92,"&gt;0")</f>
        <v>0</v>
      </c>
      <c r="F213" s="25">
        <f>SUMIFS('Daftar Koreksi'!$H$5:$H$92,'Daftar Koreksi'!$D$5:$D$92,'1000'!A202,'Daftar Koreksi'!$G$5:$G$92,"Aset Henti Guna",'Daftar Koreksi'!$H$5:$H$92,"&lt;0")-SUMIFS('Daftar Koreksi'!$H$5:$H$92,'Daftar Koreksi'!$D$5:$D$92,'1000'!A202,'Daftar Koreksi'!$G$5:$G$92,"Aset Henti Guna",'Daftar Koreksi'!$H$5:$H$92,"&lt;0")-SUMIFS('Daftar Koreksi'!$H$5:$H$92,'Daftar Koreksi'!$D$5:$D$92,'1000'!A202,'Daftar Koreksi'!$G$5:$G$92,"Aset Henti Guna",'Daftar Koreksi'!$H$5:$H$92,"&lt;0")</f>
        <v>0</v>
      </c>
      <c r="G213" s="17">
        <f t="shared" si="9"/>
        <v>39357600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7669903128</v>
      </c>
      <c r="E214" s="19">
        <f>SUM(E205:E213)</f>
        <v>0</v>
      </c>
      <c r="F214" s="19">
        <f>SUM(F205:F213)</f>
        <v>0</v>
      </c>
      <c r="G214" s="19">
        <f t="shared" si="9"/>
        <v>7669903128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-968132219</v>
      </c>
      <c r="E215" s="25">
        <f>SUMIFS('Daftar Koreksi'!$I$5:$I$92,'Daftar Koreksi'!$D$5:$D$92,'1000'!A202,'Daftar Koreksi'!$G$5:$G$92,"Peralatan dan mesin",'Daftar Koreksi'!$I$5:$I$92,"&gt;0")</f>
        <v>0</v>
      </c>
      <c r="F215" s="25">
        <f>SUMIFS('Daftar Koreksi'!$I$5:$I$92,'Daftar Koreksi'!$D$5:$D$92,'1000'!A202,'Daftar Koreksi'!$G$5:$G$92,"Peralatan dan mesin",'Daftar Koreksi'!$I$5:$I$92,"&lt;0")-SUMIFS('Daftar Koreksi'!$I$5:$I$92,'Daftar Koreksi'!$D$5:$D$92,'1000'!A202,'Daftar Koreksi'!$G$5:$G$92,"Peralatan dan mesin",'Daftar Koreksi'!$I$5:$I$92,"&lt;0")-SUMIFS('Daftar Koreksi'!$I$5:$I$92,'Daftar Koreksi'!$D$5:$D$92,'1000'!A202,'Daftar Koreksi'!$G$5:$G$92,"Peralatan dan mesin",'Daftar Koreksi'!$I$5:$I$92,"&lt;0")</f>
        <v>0</v>
      </c>
      <c r="G215" s="17">
        <f t="shared" si="9"/>
        <v>-968132219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-779275831</v>
      </c>
      <c r="E216" s="25">
        <f>SUMIFS('Daftar Koreksi'!$I$5:$I$92,'Daftar Koreksi'!$D$5:$D$92,'1000'!A202,'Daftar Koreksi'!$G$5:$G$92,"Gedung dan Bangunan",'Daftar Koreksi'!$I$5:$I$92,"&gt;0")</f>
        <v>0</v>
      </c>
      <c r="F216" s="25">
        <f>SUMIFS('Daftar Koreksi'!$I$5:$I$92,'Daftar Koreksi'!$D$5:$D$92,'1000'!A202,'Daftar Koreksi'!$G$5:$G$92,"Gedung dan Bangunan",'Daftar Koreksi'!$I$5:$I$92,"&lt;0")-SUMIFS('Daftar Koreksi'!$I$5:$I$92,'Daftar Koreksi'!$D$5:$D$92,'1000'!A202,'Daftar Koreksi'!$G$5:$G$92,"Gedung dan Bangunan",'Daftar Koreksi'!$I$5:$I$92,"&lt;0")-SUMIFS('Daftar Koreksi'!$I$5:$I$92,'Daftar Koreksi'!$D$5:$D$92,'1000'!A202,'Daftar Koreksi'!$G$5:$G$92,"Gedung dan Bangunan",'Daftar Koreksi'!$I$5:$I$92,"&lt;0")</f>
        <v>0</v>
      </c>
      <c r="G216" s="17">
        <f t="shared" si="9"/>
        <v>-779275831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-11761450</v>
      </c>
      <c r="E217" s="25">
        <f>SUMIFS('Daftar Koreksi'!$I$5:$I$92,'Daftar Koreksi'!$D$5:$D$92,'1000'!A202,'Daftar Koreksi'!$G$5:$G$92,"Jalan Irigasi Jaringan",'Daftar Koreksi'!$I$5:$I$92,"&gt;0")</f>
        <v>0</v>
      </c>
      <c r="F217" s="25">
        <f>SUMIFS('Daftar Koreksi'!$I$5:$I$92,'Daftar Koreksi'!$D$5:$D$92,'1000'!A202,'Daftar Koreksi'!$G$5:$G$92,"Jalan Irigasi Jaringan",'Daftar Koreksi'!$I$5:$I$92,"&lt;0")-SUMIFS('Daftar Koreksi'!$I$5:$I$92,'Daftar Koreksi'!$D$5:$D$92,'1000'!A202,'Daftar Koreksi'!$G$5:$G$92,"Jalan Irigasi Jaringan",'Daftar Koreksi'!$I$5:$I$92,"&lt;0")-SUMIFS('Daftar Koreksi'!$I$5:$I$92,'Daftar Koreksi'!$D$5:$D$92,'1000'!A202,'Daftar Koreksi'!$G$5:$G$92,"Jalan Irigasi Jaringan",'Daftar Koreksi'!$I$5:$I$92,"&lt;0")</f>
        <v>0</v>
      </c>
      <c r="G217" s="17">
        <f t="shared" si="9"/>
        <v>-11761450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Koreksi'!$D$5:$D$92,'1000'!A202,'Daftar Koreksi'!$G$5:$G$92,"Aset Tetap Lainnya",'Daftar Koreksi'!$I$5:$I$92,"&gt;0")</f>
        <v>0</v>
      </c>
      <c r="F218" s="25">
        <f>SUMIFS('Daftar Koreksi'!$I$5:$I$92,'Daftar Koreksi'!$D$5:$D$92,'1000'!A202,'Daftar Koreksi'!$G$5:$G$92,"Aset Tetap Lainnya",'Daftar Koreksi'!$I$5:$I$92,"&lt;0")-SUMIFS('Daftar Koreksi'!$I$5:$I$92,'Daftar Koreksi'!$D$5:$D$92,'1000'!A202,'Daftar Koreksi'!$G$5:$G$92,"Aset Tetap Lainnya",'Daftar Koreksi'!$I$5:$I$92,"&lt;0")-SUMIFS('Daftar Koreksi'!$I$5:$I$92,'Daftar Koreksi'!$D$5:$D$92,'1000'!A202,'Daftar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-39300400</v>
      </c>
      <c r="E219" s="25">
        <f>SUMIFS('Daftar Koreksi'!$I$5:$I$92,'Daftar Koreksi'!$D$5:$D$92,'1000'!A202,'Daftar Koreksi'!$G$5:$G$92,"Aset Henti Guna",'Daftar Koreksi'!$I$5:$I$92,"&gt;0")</f>
        <v>0</v>
      </c>
      <c r="F219" s="25">
        <f>SUMIFS('Daftar Koreksi'!$I$5:$I$92,'Daftar Koreksi'!$D$5:$D$92,'1000'!A202,'Daftar Koreksi'!$G$5:$G$92,"Aset Henti Guna",'Daftar Koreksi'!$I$5:$I$92,"&lt;0")-SUMIFS('Daftar Koreksi'!$I$5:$I$92,'Daftar Koreksi'!$D$5:$D$92,'1000'!A202,'Daftar Koreksi'!$G$5:$G$92,"Aset Henti Guna",'Daftar Koreksi'!$I$5:$I$92,"&lt;0")-SUMIFS('Daftar Koreksi'!$I$5:$I$92,'Daftar Koreksi'!$D$5:$D$92,'1000'!A202,'Daftar Koreksi'!$G$5:$G$92,"Aset Henti Guna",'Daftar Koreksi'!$I$5:$I$92,"&lt;0")</f>
        <v>0</v>
      </c>
      <c r="G219" s="17">
        <f t="shared" si="9"/>
        <v>-39300400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-1798469900</v>
      </c>
      <c r="E220" s="19">
        <f>SUM(E215:E219)</f>
        <v>0</v>
      </c>
      <c r="F220" s="19">
        <f>SUM(F215:F219)</f>
        <v>0</v>
      </c>
      <c r="G220" s="19">
        <f t="shared" si="9"/>
        <v>-1798469900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5871433228</v>
      </c>
      <c r="E221" s="19">
        <f>E220+E214</f>
        <v>0</v>
      </c>
      <c r="F221" s="19">
        <f>F220+F214</f>
        <v>0</v>
      </c>
      <c r="G221" s="19">
        <f t="shared" si="9"/>
        <v>5871433228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005011000402211000KD</v>
      </c>
      <c r="B224" s="11" t="str">
        <f>P11</f>
        <v>PA. Bangko</v>
      </c>
      <c r="C224" s="12" t="str">
        <f>A224&amp;" "&amp;B224</f>
        <v>005011000402211000KD PA. Bangko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151000</v>
      </c>
      <c r="E227" s="25">
        <f>SUMIFS('Daftar Koreksi'!$H$5:$H$92,'Daftar Koreksi'!$D$5:$D$92,'1000'!A224,'Daftar Koreksi'!$G$5:$G$92,"Persediaan",'Daftar Koreksi'!$H$5:$H$92,"&gt;0")</f>
        <v>0</v>
      </c>
      <c r="F227" s="25">
        <f>SUMIFS('Daftar Koreksi'!$H$5:$H$92,'Daftar Koreksi'!$D$5:$D$92,'1000'!A224,'Daftar Koreksi'!$G$5:$G$92,"Persediaan",'Daftar Koreksi'!$H$5:$H$92,"&lt;0")-SUMIFS('Daftar Koreksi'!$H$5:$H$92,'Daftar Koreksi'!$D$5:$D$92,'1000'!A224,'Daftar Koreksi'!$G$5:$G$92,"Persediaan",'Daftar Koreksi'!$H$5:$H$92,"&lt;0")-SUMIFS('Daftar Koreksi'!$H$5:$H$92,'Daftar Koreksi'!$D$5:$D$92,'1000'!A224,'Daftar Koreksi'!$G$5:$G$92,"Persediaan",'Daftar Koreksi'!$H$5:$H$92,"&lt;0")</f>
        <v>0</v>
      </c>
      <c r="G227" s="17">
        <f>D227+E227-F227</f>
        <v>151000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0</v>
      </c>
      <c r="E228" s="25">
        <f>SUMIFS('Daftar Koreksi'!$H$5:$H$92,'Daftar Koreksi'!$D$5:$D$92,'1000'!A224,'Daftar Koreksi'!$G$5:$G$92,"Tanah",'Daftar Koreksi'!$H$5:$H$92,"&gt;0")</f>
        <v>0</v>
      </c>
      <c r="F228" s="25">
        <f>SUMIFS('Daftar Koreksi'!$H$5:$H$92,'Daftar Koreksi'!$D$5:$D$92,'1000'!A224,'Daftar Koreksi'!$G$5:$G$92,"Tanah",'Daftar Koreksi'!$H$5:$H$92,"&lt;0")-SUMIFS('Daftar Koreksi'!$H$5:$H$92,'Daftar Koreksi'!$D$5:$D$92,'1000'!A224,'Daftar Koreksi'!$G$5:$G$92,"Tanah",'Daftar Koreksi'!$H$5:$H$92,"&lt;0")-SUMIFS('Daftar Koreksi'!$H$5:$H$92,'Daftar Koreksi'!$D$5:$D$92,'1000'!A224,'Daftar Koreksi'!$G$5:$G$92,"Tanah",'Daftar Koreksi'!$H$5:$H$92,"&lt;0")</f>
        <v>0</v>
      </c>
      <c r="G228" s="17">
        <f t="shared" ref="G228:G244" si="10">D228+E228-F228</f>
        <v>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1628522152</v>
      </c>
      <c r="E229" s="25">
        <f>SUMIFS('Daftar Koreksi'!$H$5:$H$92,'Daftar Koreksi'!$D$5:$D$92,'1000'!A224,'Daftar Koreksi'!$G$5:$G$92,"Peralatan dan mesin",'Daftar Koreksi'!$H$5:$H$92,"&gt;0")</f>
        <v>0</v>
      </c>
      <c r="F229" s="25">
        <f>SUMIFS('Daftar Koreksi'!$H$5:$H$92,'Daftar Koreksi'!$D$5:$D$92,'1000'!A224,'Daftar Koreksi'!$G$5:$G$92,"Peralatan dan mesin",'Daftar Koreksi'!$H$5:$H$92,"&lt;0")-SUMIFS('Daftar Koreksi'!$H$5:$H$92,'Daftar Koreksi'!$D$5:$D$92,'1000'!A224,'Daftar Koreksi'!$G$5:$G$92,"Peralatan dan mesin",'Daftar Koreksi'!$H$5:$H$92,"&lt;0")-SUMIFS('Daftar Koreksi'!$H$5:$H$92,'Daftar Koreksi'!$D$5:$D$92,'1000'!A224,'Daftar Koreksi'!$G$5:$G$92,"Peralatan dan mesin",'Daftar Koreksi'!$H$5:$H$92,"&lt;0")</f>
        <v>0</v>
      </c>
      <c r="G229" s="17">
        <f t="shared" si="10"/>
        <v>1628522152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4294536950</v>
      </c>
      <c r="E230" s="25">
        <f>SUMIFS('Daftar Koreksi'!$H$5:$H$92,'Daftar Koreksi'!$D$5:$D$92,'1000'!A224,'Daftar Koreksi'!$G$5:$G$92,"Gedung dan Bangunan",'Daftar Koreksi'!$H$5:$H$92,"&gt;0")</f>
        <v>0</v>
      </c>
      <c r="F230" s="25">
        <f>SUMIFS('Daftar Koreksi'!$H$5:$H$92,'Daftar Koreksi'!$D$5:$D$92,'1000'!A224,'Daftar Koreksi'!$G$5:$G$92,"Gedung dan Bangunan",'Daftar Koreksi'!$H$5:$H$92,"&lt;0")-SUMIFS('Daftar Koreksi'!$H$5:$H$92,'Daftar Koreksi'!$D$5:$D$92,'1000'!A224,'Daftar Koreksi'!$G$5:$G$92,"Gedung dan Bangunan",'Daftar Koreksi'!$H$5:$H$92,"&lt;0")-SUMIFS('Daftar Koreksi'!$H$5:$H$92,'Daftar Koreksi'!$D$5:$D$92,'1000'!A224,'Daftar Koreksi'!$G$5:$G$92,"Gedung dan Bangunan",'Daftar Koreksi'!$H$5:$H$92,"&lt;0")</f>
        <v>0</v>
      </c>
      <c r="G230" s="17">
        <f t="shared" si="10"/>
        <v>4294536950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Koreksi'!$D$5:$D$92,'1000'!A224,'Daftar Koreksi'!$G$5:$G$92,"Jalan Irigasi Jaringan",'Daftar Koreksi'!$H$5:$H$92,"&gt;0")</f>
        <v>0</v>
      </c>
      <c r="F231" s="25">
        <f>SUMIFS('Daftar Koreksi'!$H$5:$H$92,'Daftar Koreksi'!$D$5:$D$92,'1000'!A224,'Daftar Koreksi'!$G$5:$G$92,"Jalan Irigasi Jaringan",'Daftar Koreksi'!$H$5:$H$92,"&lt;0")-SUMIFS('Daftar Koreksi'!$H$5:$H$92,'Daftar Koreksi'!$D$5:$D$92,'1000'!A224,'Daftar Koreksi'!$G$5:$G$92,"Jalan Irigasi Jaringan",'Daftar Koreksi'!$H$5:$H$92,"&lt;0")-SUMIFS('Daftar Koreksi'!$H$5:$H$92,'Daftar Koreksi'!$D$5:$D$92,'1000'!A224,'Daftar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19878000</v>
      </c>
      <c r="E232" s="25">
        <f>SUMIFS('Daftar Koreksi'!$H$5:$H$92,'Daftar Koreksi'!$D$5:$D$92,'1000'!A224,'Daftar Koreksi'!$G$5:$G$92,"Aset Tetap Lainnya",'Daftar Koreksi'!$H$5:$H$92,"&gt;0")</f>
        <v>0</v>
      </c>
      <c r="F232" s="25">
        <f>SUMIFS('Daftar Koreksi'!$H$5:$H$92,'Daftar Koreksi'!$D$5:$D$92,'1000'!A224,'Daftar Koreksi'!$G$5:$G$92,"Aset Tetap Lainnya",'Daftar Koreksi'!$H$5:$H$92,"&lt;0")-SUMIFS('Daftar Koreksi'!$H$5:$H$92,'Daftar Koreksi'!$D$5:$D$92,'1000'!A224,'Daftar Koreksi'!$G$5:$G$92,"Aset Tetap Lainnya",'Daftar Koreksi'!$H$5:$H$92,"&lt;0")-SUMIFS('Daftar Koreksi'!$H$5:$H$92,'Daftar Koreksi'!$D$5:$D$92,'1000'!A224,'Daftar Koreksi'!$G$5:$G$92,"Aset Tetap Lainnya",'Daftar Koreksi'!$H$5:$H$92,"&lt;0")</f>
        <v>0</v>
      </c>
      <c r="G232" s="17">
        <f t="shared" si="10"/>
        <v>19878000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Koreksi'!$D$5:$D$92,'1000'!A224,'Daftar Koreksi'!$G$5:$G$92,"Kontruksi Dalam Pengerjaan",'Daftar Koreksi'!$H$5:$H$92,"&gt;0")</f>
        <v>0</v>
      </c>
      <c r="F233" s="25">
        <f>SUMIFS('Daftar Koreksi'!$H$5:$H$92,'Daftar Koreksi'!$D$5:$D$92,'1000'!A224,'Daftar Koreksi'!$G$5:$G$92,"Kontruksi Dalam Pengerjaan",'Daftar Koreksi'!$H$5:$H$92,"&lt;0")-SUMIFS('Daftar Koreksi'!$H$5:$H$92,'Daftar Koreksi'!$D$5:$D$92,'1000'!A224,'Daftar Koreksi'!$G$5:$G$92,"Kontruksi Dalam Pengerjaan",'Daftar Koreksi'!$H$5:$H$92,"&lt;0")-SUMIFS('Daftar Koreksi'!$H$5:$H$92,'Daftar Koreksi'!$D$5:$D$92,'1000'!A224,'Daftar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20750000</v>
      </c>
      <c r="E234" s="25">
        <f>SUMIFS('Daftar Koreksi'!$H$5:$H$92,'Daftar Koreksi'!$D$5:$D$92,'1000'!A224,'Daftar Koreksi'!$G$5:$G$92,"Aset Tak Berwujud",'Daftar Koreksi'!$H$5:$H$92,"&gt;0")</f>
        <v>0</v>
      </c>
      <c r="F234" s="25">
        <f>SUMIFS('Daftar Koreksi'!$H$5:$H$92,'Daftar Koreksi'!$D$5:$D$92,'1000'!A224,'Daftar Koreksi'!$G$5:$G$92,"Aset Tak Berwujud",'Daftar Koreksi'!$H$5:$H$92,"&lt;0")-SUMIFS('Daftar Koreksi'!$H$5:$H$92,'Daftar Koreksi'!$D$5:$D$92,'1000'!A224,'Daftar Koreksi'!$G$5:$G$92,"Aset Tak Berwujud",'Daftar Koreksi'!$H$5:$H$92,"&lt;0")-SUMIFS('Daftar Koreksi'!$H$5:$H$92,'Daftar Koreksi'!$D$5:$D$92,'1000'!A224,'Daftar Koreksi'!$G$5:$G$92,"Aset Tak Berwujud",'Daftar Koreksi'!$H$5:$H$92,"&lt;0")</f>
        <v>0</v>
      </c>
      <c r="G234" s="17">
        <f t="shared" si="10"/>
        <v>20750000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0</v>
      </c>
      <c r="E235" s="25">
        <f>SUMIFS('Daftar Koreksi'!$H$5:$H$92,'Daftar Koreksi'!$D$5:$D$92,'1000'!A224,'Daftar Koreksi'!$G$5:$G$92,"Aset Henti Guna",'Daftar Koreksi'!$H$5:$H$92,"&gt;0")</f>
        <v>0</v>
      </c>
      <c r="F235" s="25">
        <f>SUMIFS('Daftar Koreksi'!$H$5:$H$92,'Daftar Koreksi'!$D$5:$D$92,'1000'!A224,'Daftar Koreksi'!$G$5:$G$92,"Aset Henti Guna",'Daftar Koreksi'!$H$5:$H$92,"&lt;0")-SUMIFS('Daftar Koreksi'!$H$5:$H$92,'Daftar Koreksi'!$D$5:$D$92,'1000'!A224,'Daftar Koreksi'!$G$5:$G$92,"Aset Henti Guna",'Daftar Koreksi'!$H$5:$H$92,"&lt;0")-SUMIFS('Daftar Koreksi'!$H$5:$H$92,'Daftar Koreksi'!$D$5:$D$92,'1000'!A224,'Daftar Koreksi'!$G$5:$G$92,"Aset Henti Guna",'Daftar Koreksi'!$H$5:$H$92,"&lt;0")</f>
        <v>0</v>
      </c>
      <c r="G235" s="17">
        <f t="shared" si="10"/>
        <v>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5963838102</v>
      </c>
      <c r="E236" s="19">
        <f>SUM(E227:E235)</f>
        <v>0</v>
      </c>
      <c r="F236" s="19">
        <f>SUM(F227:F235)</f>
        <v>0</v>
      </c>
      <c r="G236" s="19">
        <f t="shared" si="10"/>
        <v>5963838102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-1192528376</v>
      </c>
      <c r="E237" s="25">
        <f>SUMIFS('Daftar Koreksi'!$I$5:$I$92,'Daftar Koreksi'!$D$5:$D$92,'1000'!A224,'Daftar Koreksi'!$G$5:$G$92,"Peralatan dan mesin",'Daftar Koreksi'!$I$5:$I$92,"&gt;0")</f>
        <v>0</v>
      </c>
      <c r="F237" s="25">
        <f>SUMIFS('Daftar Koreksi'!$I$5:$I$92,'Daftar Koreksi'!$D$5:$D$92,'1000'!A224,'Daftar Koreksi'!$G$5:$G$92,"Peralatan dan mesin",'Daftar Koreksi'!$I$5:$I$92,"&lt;0")-SUMIFS('Daftar Koreksi'!$I$5:$I$92,'Daftar Koreksi'!$D$5:$D$92,'1000'!A224,'Daftar Koreksi'!$G$5:$G$92,"Peralatan dan mesin",'Daftar Koreksi'!$I$5:$I$92,"&lt;0")-SUMIFS('Daftar Koreksi'!$I$5:$I$92,'Daftar Koreksi'!$D$5:$D$92,'1000'!A224,'Daftar Koreksi'!$G$5:$G$92,"Peralatan dan mesin",'Daftar Koreksi'!$I$5:$I$92,"&lt;0")</f>
        <v>0</v>
      </c>
      <c r="G237" s="17">
        <f t="shared" si="10"/>
        <v>-1192528376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-494116604</v>
      </c>
      <c r="E238" s="25">
        <f>SUMIFS('Daftar Koreksi'!$I$5:$I$92,'Daftar Koreksi'!$D$5:$D$92,'1000'!A224,'Daftar Koreksi'!$G$5:$G$92,"Gedung dan Bangunan",'Daftar Koreksi'!$I$5:$I$92,"&gt;0")</f>
        <v>0</v>
      </c>
      <c r="F238" s="25">
        <f>SUMIFS('Daftar Koreksi'!$I$5:$I$92,'Daftar Koreksi'!$D$5:$D$92,'1000'!A224,'Daftar Koreksi'!$G$5:$G$92,"Gedung dan Bangunan",'Daftar Koreksi'!$I$5:$I$92,"&lt;0")-SUMIFS('Daftar Koreksi'!$I$5:$I$92,'Daftar Koreksi'!$D$5:$D$92,'1000'!A224,'Daftar Koreksi'!$G$5:$G$92,"Gedung dan Bangunan",'Daftar Koreksi'!$I$5:$I$92,"&lt;0")-SUMIFS('Daftar Koreksi'!$I$5:$I$92,'Daftar Koreksi'!$D$5:$D$92,'1000'!A224,'Daftar Koreksi'!$G$5:$G$92,"Gedung dan Bangunan",'Daftar Koreksi'!$I$5:$I$92,"&lt;0")</f>
        <v>0</v>
      </c>
      <c r="G238" s="17">
        <f t="shared" si="10"/>
        <v>-494116604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Koreksi'!$D$5:$D$92,'1000'!A224,'Daftar Koreksi'!$G$5:$G$92,"Jalan Irigasi Jaringan",'Daftar Koreksi'!$I$5:$I$92,"&gt;0")</f>
        <v>0</v>
      </c>
      <c r="F239" s="25">
        <f>SUMIFS('Daftar Koreksi'!$I$5:$I$92,'Daftar Koreksi'!$D$5:$D$92,'1000'!A224,'Daftar Koreksi'!$G$5:$G$92,"Jalan Irigasi Jaringan",'Daftar Koreksi'!$I$5:$I$92,"&lt;0")-SUMIFS('Daftar Koreksi'!$I$5:$I$92,'Daftar Koreksi'!$D$5:$D$92,'1000'!A224,'Daftar Koreksi'!$G$5:$G$92,"Jalan Irigasi Jaringan",'Daftar Koreksi'!$I$5:$I$92,"&lt;0")-SUMIFS('Daftar Koreksi'!$I$5:$I$92,'Daftar Koreksi'!$D$5:$D$92,'1000'!A224,'Daftar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Koreksi'!$D$5:$D$92,'1000'!A224,'Daftar Koreksi'!$G$5:$G$92,"Aset Tetap Lainnya",'Daftar Koreksi'!$I$5:$I$92,"&gt;0")</f>
        <v>0</v>
      </c>
      <c r="F240" s="25">
        <f>SUMIFS('Daftar Koreksi'!$I$5:$I$92,'Daftar Koreksi'!$D$5:$D$92,'1000'!A224,'Daftar Koreksi'!$G$5:$G$92,"Aset Tetap Lainnya",'Daftar Koreksi'!$I$5:$I$92,"&lt;0")-SUMIFS('Daftar Koreksi'!$I$5:$I$92,'Daftar Koreksi'!$D$5:$D$92,'1000'!A224,'Daftar Koreksi'!$G$5:$G$92,"Aset Tetap Lainnya",'Daftar Koreksi'!$I$5:$I$92,"&lt;0")-SUMIFS('Daftar Koreksi'!$I$5:$I$92,'Daftar Koreksi'!$D$5:$D$92,'1000'!A224,'Daftar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0</v>
      </c>
      <c r="E241" s="25">
        <f>SUMIFS('Daftar Koreksi'!$I$5:$I$92,'Daftar Koreksi'!$D$5:$D$92,'1000'!A224,'Daftar Koreksi'!$G$5:$G$92,"Aset Henti Guna",'Daftar Koreksi'!$I$5:$I$92,"&gt;0")</f>
        <v>0</v>
      </c>
      <c r="F241" s="25">
        <f>SUMIFS('Daftar Koreksi'!$I$5:$I$92,'Daftar Koreksi'!$D$5:$D$92,'1000'!A224,'Daftar Koreksi'!$G$5:$G$92,"Aset Henti Guna",'Daftar Koreksi'!$I$5:$I$92,"&lt;0")-SUMIFS('Daftar Koreksi'!$I$5:$I$92,'Daftar Koreksi'!$D$5:$D$92,'1000'!A224,'Daftar Koreksi'!$G$5:$G$92,"Aset Henti Guna",'Daftar Koreksi'!$I$5:$I$92,"&lt;0")-SUMIFS('Daftar Koreksi'!$I$5:$I$92,'Daftar Koreksi'!$D$5:$D$92,'1000'!A224,'Daftar Koreksi'!$G$5:$G$92,"Aset Henti Guna",'Daftar Koreksi'!$I$5:$I$92,"&lt;0")</f>
        <v>0</v>
      </c>
      <c r="G241" s="17">
        <f t="shared" si="10"/>
        <v>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-1686644980</v>
      </c>
      <c r="E242" s="19">
        <f>SUM(E237:E241)</f>
        <v>0</v>
      </c>
      <c r="F242" s="19">
        <f>SUM(F237:F241)</f>
        <v>0</v>
      </c>
      <c r="G242" s="19">
        <f t="shared" si="10"/>
        <v>-1686644980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4277193122</v>
      </c>
      <c r="E243" s="19">
        <f>E242+E236</f>
        <v>0</v>
      </c>
      <c r="F243" s="19">
        <f>F242+F236</f>
        <v>0</v>
      </c>
      <c r="G243" s="19">
        <f t="shared" si="10"/>
        <v>4277193122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005011000402220000KD</v>
      </c>
      <c r="B246" s="11" t="str">
        <f>P12</f>
        <v>PA. Sungai Penuh</v>
      </c>
      <c r="C246" s="12" t="str">
        <f>A246&amp;" "&amp;B246</f>
        <v>005011000402220000KD PA. Sungai Penuh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0</v>
      </c>
      <c r="E249" s="25">
        <f>SUMIFS('Daftar Koreksi'!$H$5:$H$92,'Daftar Koreksi'!$D$5:$D$92,'1000'!A246,'Daftar Koreksi'!$G$5:$G$92,"Persediaan",'Daftar Koreksi'!$H$5:$H$92,"&gt;0")</f>
        <v>0</v>
      </c>
      <c r="F249" s="25">
        <f>SUMIFS('Daftar Koreksi'!$H$5:$H$92,'Daftar Koreksi'!$D$5:$D$92,'1000'!A246,'Daftar Koreksi'!$G$5:$G$92,"Persediaan",'Daftar Koreksi'!$H$5:$H$92,"&lt;0")-SUMIFS('Daftar Koreksi'!$H$5:$H$92,'Daftar Koreksi'!$D$5:$D$92,'1000'!A246,'Daftar Koreksi'!$G$5:$G$92,"Persediaan",'Daftar Koreksi'!$H$5:$H$92,"&lt;0")-SUMIFS('Daftar Koreksi'!$H$5:$H$92,'Daftar Koreksi'!$D$5:$D$92,'1000'!A246,'Daftar Koreksi'!$G$5:$G$92,"Persediaan",'Daftar Koreksi'!$H$5:$H$92,"&lt;0")</f>
        <v>0</v>
      </c>
      <c r="G249" s="17">
        <f>D249+E249-F249</f>
        <v>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256608000</v>
      </c>
      <c r="E250" s="25">
        <f>SUMIFS('Daftar Koreksi'!$H$5:$H$92,'Daftar Koreksi'!$D$5:$D$92,'1000'!A246,'Daftar Koreksi'!$G$5:$G$92,"Tanah",'Daftar Koreksi'!$H$5:$H$92,"&gt;0")</f>
        <v>0</v>
      </c>
      <c r="F250" s="25">
        <f>SUMIFS('Daftar Koreksi'!$H$5:$H$92,'Daftar Koreksi'!$D$5:$D$92,'1000'!A246,'Daftar Koreksi'!$G$5:$G$92,"Tanah",'Daftar Koreksi'!$H$5:$H$92,"&lt;0")-SUMIFS('Daftar Koreksi'!$H$5:$H$92,'Daftar Koreksi'!$D$5:$D$92,'1000'!A246,'Daftar Koreksi'!$G$5:$G$92,"Tanah",'Daftar Koreksi'!$H$5:$H$92,"&lt;0")-SUMIFS('Daftar Koreksi'!$H$5:$H$92,'Daftar Koreksi'!$D$5:$D$92,'1000'!A246,'Daftar Koreksi'!$G$5:$G$92,"Tanah",'Daftar Koreksi'!$H$5:$H$92,"&lt;0")</f>
        <v>0</v>
      </c>
      <c r="G250" s="17">
        <f t="shared" ref="G250:G266" si="11">D250+E250-F250</f>
        <v>256608000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1207016750</v>
      </c>
      <c r="E251" s="25">
        <f>SUMIFS('Daftar Koreksi'!$H$5:$H$92,'Daftar Koreksi'!$D$5:$D$92,'1000'!A246,'Daftar Koreksi'!$G$5:$G$92,"Peralatan dan mesin",'Daftar Koreksi'!$H$5:$H$92,"&gt;0")</f>
        <v>0</v>
      </c>
      <c r="F251" s="25">
        <f>SUMIFS('Daftar Koreksi'!$H$5:$H$92,'Daftar Koreksi'!$D$5:$D$92,'1000'!A246,'Daftar Koreksi'!$G$5:$G$92,"Peralatan dan mesin",'Daftar Koreksi'!$H$5:$H$92,"&lt;0")-SUMIFS('Daftar Koreksi'!$H$5:$H$92,'Daftar Koreksi'!$D$5:$D$92,'1000'!A246,'Daftar Koreksi'!$G$5:$G$92,"Peralatan dan mesin",'Daftar Koreksi'!$H$5:$H$92,"&lt;0")-SUMIFS('Daftar Koreksi'!$H$5:$H$92,'Daftar Koreksi'!$D$5:$D$92,'1000'!A246,'Daftar Koreksi'!$G$5:$G$92,"Peralatan dan mesin",'Daftar Koreksi'!$H$5:$H$92,"&lt;0")</f>
        <v>0</v>
      </c>
      <c r="G251" s="17">
        <f t="shared" si="11"/>
        <v>1207016750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5515706000</v>
      </c>
      <c r="E252" s="25">
        <f>SUMIFS('Daftar Koreksi'!$H$5:$H$92,'Daftar Koreksi'!$D$5:$D$92,'1000'!A246,'Daftar Koreksi'!$G$5:$G$92,"Gedung dan Bangunan",'Daftar Koreksi'!$H$5:$H$92,"&gt;0")</f>
        <v>0</v>
      </c>
      <c r="F252" s="25">
        <f>SUMIFS('Daftar Koreksi'!$H$5:$H$92,'Daftar Koreksi'!$D$5:$D$92,'1000'!A246,'Daftar Koreksi'!$G$5:$G$92,"Gedung dan Bangunan",'Daftar Koreksi'!$H$5:$H$92,"&lt;0")-SUMIFS('Daftar Koreksi'!$H$5:$H$92,'Daftar Koreksi'!$D$5:$D$92,'1000'!A246,'Daftar Koreksi'!$G$5:$G$92,"Gedung dan Bangunan",'Daftar Koreksi'!$H$5:$H$92,"&lt;0")-SUMIFS('Daftar Koreksi'!$H$5:$H$92,'Daftar Koreksi'!$D$5:$D$92,'1000'!A246,'Daftar Koreksi'!$G$5:$G$92,"Gedung dan Bangunan",'Daftar Koreksi'!$H$5:$H$92,"&lt;0")</f>
        <v>0</v>
      </c>
      <c r="G252" s="17">
        <f t="shared" si="11"/>
        <v>5515706000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Koreksi'!$D$5:$D$92,'1000'!A246,'Daftar Koreksi'!$G$5:$G$92,"Jalan Irigasi Jaringan",'Daftar Koreksi'!$H$5:$H$92,"&gt;0")</f>
        <v>0</v>
      </c>
      <c r="F253" s="25">
        <f>SUMIFS('Daftar Koreksi'!$H$5:$H$92,'Daftar Koreksi'!$D$5:$D$92,'1000'!A246,'Daftar Koreksi'!$G$5:$G$92,"Jalan Irigasi Jaringan",'Daftar Koreksi'!$H$5:$H$92,"&lt;0")-SUMIFS('Daftar Koreksi'!$H$5:$H$92,'Daftar Koreksi'!$D$5:$D$92,'1000'!A246,'Daftar Koreksi'!$G$5:$G$92,"Jalan Irigasi Jaringan",'Daftar Koreksi'!$H$5:$H$92,"&lt;0")-SUMIFS('Daftar Koreksi'!$H$5:$H$92,'Daftar Koreksi'!$D$5:$D$92,'1000'!A246,'Daftar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56439000</v>
      </c>
      <c r="E254" s="25">
        <f>SUMIFS('Daftar Koreksi'!$H$5:$H$92,'Daftar Koreksi'!$D$5:$D$92,'1000'!A246,'Daftar Koreksi'!$G$5:$G$92,"Aset Tetap Lainnya",'Daftar Koreksi'!$H$5:$H$92,"&gt;0")</f>
        <v>0</v>
      </c>
      <c r="F254" s="25">
        <f>SUMIFS('Daftar Koreksi'!$H$5:$H$92,'Daftar Koreksi'!$D$5:$D$92,'1000'!A246,'Daftar Koreksi'!$G$5:$G$92,"Aset Tetap Lainnya",'Daftar Koreksi'!$H$5:$H$92,"&lt;0")-SUMIFS('Daftar Koreksi'!$H$5:$H$92,'Daftar Koreksi'!$D$5:$D$92,'1000'!A246,'Daftar Koreksi'!$G$5:$G$92,"Aset Tetap Lainnya",'Daftar Koreksi'!$H$5:$H$92,"&lt;0")-SUMIFS('Daftar Koreksi'!$H$5:$H$92,'Daftar Koreksi'!$D$5:$D$92,'1000'!A246,'Daftar Koreksi'!$G$5:$G$92,"Aset Tetap Lainnya",'Daftar Koreksi'!$H$5:$H$92,"&lt;0")</f>
        <v>0</v>
      </c>
      <c r="G254" s="17">
        <f t="shared" si="11"/>
        <v>56439000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Koreksi'!$D$5:$D$92,'1000'!A246,'Daftar Koreksi'!$G$5:$G$92,"Kontruksi Dalam Pengerjaan",'Daftar Koreksi'!$H$5:$H$92,"&gt;0")</f>
        <v>0</v>
      </c>
      <c r="F255" s="25">
        <f>SUMIFS('Daftar Koreksi'!$H$5:$H$92,'Daftar Koreksi'!$D$5:$D$92,'1000'!A246,'Daftar Koreksi'!$G$5:$G$92,"Kontruksi Dalam Pengerjaan",'Daftar Koreksi'!$H$5:$H$92,"&lt;0")-SUMIFS('Daftar Koreksi'!$H$5:$H$92,'Daftar Koreksi'!$D$5:$D$92,'1000'!A246,'Daftar Koreksi'!$G$5:$G$92,"Kontruksi Dalam Pengerjaan",'Daftar Koreksi'!$H$5:$H$92,"&lt;0")-SUMIFS('Daftar Koreksi'!$H$5:$H$92,'Daftar Koreksi'!$D$5:$D$92,'1000'!A246,'Daftar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13000000</v>
      </c>
      <c r="E256" s="25">
        <f>SUMIFS('Daftar Koreksi'!$H$5:$H$92,'Daftar Koreksi'!$D$5:$D$92,'1000'!A246,'Daftar Koreksi'!$G$5:$G$92,"Aset Tak Berwujud",'Daftar Koreksi'!$H$5:$H$92,"&gt;0")</f>
        <v>0</v>
      </c>
      <c r="F256" s="25">
        <f>SUMIFS('Daftar Koreksi'!$H$5:$H$92,'Daftar Koreksi'!$D$5:$D$92,'1000'!A246,'Daftar Koreksi'!$G$5:$G$92,"Aset Tak Berwujud",'Daftar Koreksi'!$H$5:$H$92,"&lt;0")-SUMIFS('Daftar Koreksi'!$H$5:$H$92,'Daftar Koreksi'!$D$5:$D$92,'1000'!A246,'Daftar Koreksi'!$G$5:$G$92,"Aset Tak Berwujud",'Daftar Koreksi'!$H$5:$H$92,"&lt;0")-SUMIFS('Daftar Koreksi'!$H$5:$H$92,'Daftar Koreksi'!$D$5:$D$92,'1000'!A246,'Daftar Koreksi'!$G$5:$G$92,"Aset Tak Berwujud",'Daftar Koreksi'!$H$5:$H$92,"&lt;0")</f>
        <v>0</v>
      </c>
      <c r="G256" s="17">
        <f t="shared" si="11"/>
        <v>13000000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1756374</v>
      </c>
      <c r="E257" s="25">
        <f>SUMIFS('Daftar Koreksi'!$H$5:$H$92,'Daftar Koreksi'!$D$5:$D$92,'1000'!A246,'Daftar Koreksi'!$G$5:$G$92,"Aset Henti Guna",'Daftar Koreksi'!$H$5:$H$92,"&gt;0")</f>
        <v>0</v>
      </c>
      <c r="F257" s="25">
        <f>SUMIFS('Daftar Koreksi'!$H$5:$H$92,'Daftar Koreksi'!$D$5:$D$92,'1000'!A246,'Daftar Koreksi'!$G$5:$G$92,"Aset Henti Guna",'Daftar Koreksi'!$H$5:$H$92,"&lt;0")-SUMIFS('Daftar Koreksi'!$H$5:$H$92,'Daftar Koreksi'!$D$5:$D$92,'1000'!A246,'Daftar Koreksi'!$G$5:$G$92,"Aset Henti Guna",'Daftar Koreksi'!$H$5:$H$92,"&lt;0")-SUMIFS('Daftar Koreksi'!$H$5:$H$92,'Daftar Koreksi'!$D$5:$D$92,'1000'!A246,'Daftar Koreksi'!$G$5:$G$92,"Aset Henti Guna",'Daftar Koreksi'!$H$5:$H$92,"&lt;0")</f>
        <v>0</v>
      </c>
      <c r="G257" s="17">
        <f t="shared" si="11"/>
        <v>1756374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7050526124</v>
      </c>
      <c r="E258" s="19">
        <f>SUM(E249:E257)</f>
        <v>0</v>
      </c>
      <c r="F258" s="19">
        <f>SUM(F249:F257)</f>
        <v>0</v>
      </c>
      <c r="G258" s="19">
        <f t="shared" si="11"/>
        <v>7050526124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-978639041</v>
      </c>
      <c r="E259" s="25">
        <f>SUMIFS('Daftar Koreksi'!$I$5:$I$92,'Daftar Koreksi'!$D$5:$D$92,'1000'!A246,'Daftar Koreksi'!$G$5:$G$92,"Peralatan dan mesin",'Daftar Koreksi'!$I$5:$I$92,"&gt;0")</f>
        <v>0</v>
      </c>
      <c r="F259" s="25">
        <f>SUMIFS('Daftar Koreksi'!$I$5:$I$92,'Daftar Koreksi'!$D$5:$D$92,'1000'!A246,'Daftar Koreksi'!$G$5:$G$92,"Peralatan dan mesin",'Daftar Koreksi'!$I$5:$I$92,"&lt;0")-SUMIFS('Daftar Koreksi'!$I$5:$I$92,'Daftar Koreksi'!$D$5:$D$92,'1000'!A246,'Daftar Koreksi'!$G$5:$G$92,"Peralatan dan mesin",'Daftar Koreksi'!$I$5:$I$92,"&lt;0")-SUMIFS('Daftar Koreksi'!$I$5:$I$92,'Daftar Koreksi'!$D$5:$D$92,'1000'!A246,'Daftar Koreksi'!$G$5:$G$92,"Peralatan dan mesin",'Daftar Koreksi'!$I$5:$I$92,"&lt;0")</f>
        <v>0</v>
      </c>
      <c r="G259" s="17">
        <f t="shared" si="11"/>
        <v>-978639041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-747818835</v>
      </c>
      <c r="E260" s="25">
        <f>SUMIFS('Daftar Koreksi'!$I$5:$I$92,'Daftar Koreksi'!$D$5:$D$92,'1000'!A246,'Daftar Koreksi'!$G$5:$G$92,"Gedung dan Bangunan",'Daftar Koreksi'!$I$5:$I$92,"&gt;0")</f>
        <v>0</v>
      </c>
      <c r="F260" s="25">
        <f>SUMIFS('Daftar Koreksi'!$I$5:$I$92,'Daftar Koreksi'!$D$5:$D$92,'1000'!A246,'Daftar Koreksi'!$G$5:$G$92,"Gedung dan Bangunan",'Daftar Koreksi'!$I$5:$I$92,"&lt;0")-SUMIFS('Daftar Koreksi'!$I$5:$I$92,'Daftar Koreksi'!$D$5:$D$92,'1000'!A246,'Daftar Koreksi'!$G$5:$G$92,"Gedung dan Bangunan",'Daftar Koreksi'!$I$5:$I$92,"&lt;0")-SUMIFS('Daftar Koreksi'!$I$5:$I$92,'Daftar Koreksi'!$D$5:$D$92,'1000'!A246,'Daftar Koreksi'!$G$5:$G$92,"Gedung dan Bangunan",'Daftar Koreksi'!$I$5:$I$92,"&lt;0")</f>
        <v>0</v>
      </c>
      <c r="G260" s="17">
        <f t="shared" si="11"/>
        <v>-747818835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Koreksi'!$D$5:$D$92,'1000'!A246,'Daftar Koreksi'!$G$5:$G$92,"Jalan Irigasi Jaringan",'Daftar Koreksi'!$I$5:$I$92,"&gt;0")</f>
        <v>0</v>
      </c>
      <c r="F261" s="25">
        <f>SUMIFS('Daftar Koreksi'!$I$5:$I$92,'Daftar Koreksi'!$D$5:$D$92,'1000'!A246,'Daftar Koreksi'!$G$5:$G$92,"Jalan Irigasi Jaringan",'Daftar Koreksi'!$I$5:$I$92,"&lt;0")-SUMIFS('Daftar Koreksi'!$I$5:$I$92,'Daftar Koreksi'!$D$5:$D$92,'1000'!A246,'Daftar Koreksi'!$G$5:$G$92,"Jalan Irigasi Jaringan",'Daftar Koreksi'!$I$5:$I$92,"&lt;0")-SUMIFS('Daftar Koreksi'!$I$5:$I$92,'Daftar Koreksi'!$D$5:$D$92,'1000'!A246,'Daftar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Koreksi'!$D$5:$D$92,'1000'!A246,'Daftar Koreksi'!$G$5:$G$92,"Aset Tetap Lainnya",'Daftar Koreksi'!$I$5:$I$92,"&gt;0")</f>
        <v>0</v>
      </c>
      <c r="F262" s="25">
        <f>SUMIFS('Daftar Koreksi'!$I$5:$I$92,'Daftar Koreksi'!$D$5:$D$92,'1000'!A246,'Daftar Koreksi'!$G$5:$G$92,"Aset Tetap Lainnya",'Daftar Koreksi'!$I$5:$I$92,"&lt;0")-SUMIFS('Daftar Koreksi'!$I$5:$I$92,'Daftar Koreksi'!$D$5:$D$92,'1000'!A246,'Daftar Koreksi'!$G$5:$G$92,"Aset Tetap Lainnya",'Daftar Koreksi'!$I$5:$I$92,"&lt;0")-SUMIFS('Daftar Koreksi'!$I$5:$I$92,'Daftar Koreksi'!$D$5:$D$92,'1000'!A246,'Daftar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-1756374</v>
      </c>
      <c r="E263" s="25">
        <f>SUMIFS('Daftar Koreksi'!$I$5:$I$92,'Daftar Koreksi'!$D$5:$D$92,'1000'!A246,'Daftar Koreksi'!$G$5:$G$92,"Aset Henti Guna",'Daftar Koreksi'!$I$5:$I$92,"&gt;0")</f>
        <v>0</v>
      </c>
      <c r="F263" s="25">
        <f>SUMIFS('Daftar Koreksi'!$I$5:$I$92,'Daftar Koreksi'!$D$5:$D$92,'1000'!A246,'Daftar Koreksi'!$G$5:$G$92,"Aset Henti Guna",'Daftar Koreksi'!$I$5:$I$92,"&lt;0")-SUMIFS('Daftar Koreksi'!$I$5:$I$92,'Daftar Koreksi'!$D$5:$D$92,'1000'!A246,'Daftar Koreksi'!$G$5:$G$92,"Aset Henti Guna",'Daftar Koreksi'!$I$5:$I$92,"&lt;0")-SUMIFS('Daftar Koreksi'!$I$5:$I$92,'Daftar Koreksi'!$D$5:$D$92,'1000'!A246,'Daftar Koreksi'!$G$5:$G$92,"Aset Henti Guna",'Daftar Koreksi'!$I$5:$I$92,"&lt;0")</f>
        <v>0</v>
      </c>
      <c r="G263" s="17">
        <f t="shared" si="11"/>
        <v>-1756374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-1728214250</v>
      </c>
      <c r="E264" s="19">
        <f>SUM(E259:E263)</f>
        <v>0</v>
      </c>
      <c r="F264" s="19">
        <f>SUM(F259:F263)</f>
        <v>0</v>
      </c>
      <c r="G264" s="19">
        <f t="shared" si="11"/>
        <v>-1728214250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5322311874</v>
      </c>
      <c r="E265" s="19">
        <f>E264+E258</f>
        <v>0</v>
      </c>
      <c r="F265" s="19">
        <f>F264+F258</f>
        <v>0</v>
      </c>
      <c r="G265" s="19">
        <f t="shared" si="11"/>
        <v>5322311874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005011000403052000KD</v>
      </c>
      <c r="B268" s="11" t="str">
        <f>P13</f>
        <v>PA. Muara Bulian</v>
      </c>
      <c r="C268" s="12" t="str">
        <f>A268&amp;" "&amp;B268</f>
        <v>005011000403052000KD PA. Muara Bulian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2089500</v>
      </c>
      <c r="E271" s="25">
        <f>SUMIFS('Daftar Koreksi'!$H$5:$H$92,'Daftar Koreksi'!$D$5:$D$92,'1000'!A268,'Daftar Koreksi'!$G$5:$G$92,"Persediaan",'Daftar Koreksi'!$H$5:$H$92,"&gt;0")</f>
        <v>0</v>
      </c>
      <c r="F271" s="25">
        <f>SUMIFS('Daftar Koreksi'!$H$5:$H$92,'Daftar Koreksi'!$D$5:$D$92,'1000'!A268,'Daftar Koreksi'!$G$5:$G$92,"Persediaan",'Daftar Koreksi'!$H$5:$H$92,"&lt;0")-SUMIFS('Daftar Koreksi'!$H$5:$H$92,'Daftar Koreksi'!$D$5:$D$92,'1000'!A268,'Daftar Koreksi'!$G$5:$G$92,"Persediaan",'Daftar Koreksi'!$H$5:$H$92,"&lt;0")-SUMIFS('Daftar Koreksi'!$H$5:$H$92,'Daftar Koreksi'!$D$5:$D$92,'1000'!A268,'Daftar Koreksi'!$G$5:$G$92,"Persediaan",'Daftar Koreksi'!$H$5:$H$92,"&lt;0")</f>
        <v>0</v>
      </c>
      <c r="G271" s="17">
        <f>D271+E271-F271</f>
        <v>2089500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0</v>
      </c>
      <c r="E272" s="25">
        <f>SUMIFS('Daftar Koreksi'!$H$5:$H$92,'Daftar Koreksi'!$D$5:$D$92,'1000'!A268,'Daftar Koreksi'!$G$5:$G$92,"Tanah",'Daftar Koreksi'!$H$5:$H$92,"&gt;0")</f>
        <v>0</v>
      </c>
      <c r="F272" s="25">
        <f>SUMIFS('Daftar Koreksi'!$H$5:$H$92,'Daftar Koreksi'!$D$5:$D$92,'1000'!A268,'Daftar Koreksi'!$G$5:$G$92,"Tanah",'Daftar Koreksi'!$H$5:$H$92,"&lt;0")-SUMIFS('Daftar Koreksi'!$H$5:$H$92,'Daftar Koreksi'!$D$5:$D$92,'1000'!A268,'Daftar Koreksi'!$G$5:$G$92,"Tanah",'Daftar Koreksi'!$H$5:$H$92,"&lt;0")-SUMIFS('Daftar Koreksi'!$H$5:$H$92,'Daftar Koreksi'!$D$5:$D$92,'1000'!A268,'Daftar Koreksi'!$G$5:$G$92,"Tanah",'Daftar Koreksi'!$H$5:$H$92,"&lt;0")</f>
        <v>0</v>
      </c>
      <c r="G272" s="17">
        <f t="shared" ref="G272:G288" si="12">D272+E272-F272</f>
        <v>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1290692150</v>
      </c>
      <c r="E273" s="25">
        <f>SUMIFS('Daftar Koreksi'!$H$5:$H$92,'Daftar Koreksi'!$D$5:$D$92,'1000'!A268,'Daftar Koreksi'!$G$5:$G$92,"Peralatan dan mesin",'Daftar Koreksi'!$H$5:$H$92,"&gt;0")</f>
        <v>0</v>
      </c>
      <c r="F273" s="25">
        <f>SUMIFS('Daftar Koreksi'!$H$5:$H$92,'Daftar Koreksi'!$D$5:$D$92,'1000'!A268,'Daftar Koreksi'!$G$5:$G$92,"Peralatan dan mesin",'Daftar Koreksi'!$H$5:$H$92,"&lt;0")-SUMIFS('Daftar Koreksi'!$H$5:$H$92,'Daftar Koreksi'!$D$5:$D$92,'1000'!A268,'Daftar Koreksi'!$G$5:$G$92,"Peralatan dan mesin",'Daftar Koreksi'!$H$5:$H$92,"&lt;0")-SUMIFS('Daftar Koreksi'!$H$5:$H$92,'Daftar Koreksi'!$D$5:$D$92,'1000'!A268,'Daftar Koreksi'!$G$5:$G$92,"Peralatan dan mesin",'Daftar Koreksi'!$H$5:$H$92,"&lt;0")</f>
        <v>0</v>
      </c>
      <c r="G273" s="17">
        <f t="shared" si="12"/>
        <v>1290692150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7835878080</v>
      </c>
      <c r="E274" s="25">
        <f>SUMIFS('Daftar Koreksi'!$H$5:$H$92,'Daftar Koreksi'!$D$5:$D$92,'1000'!A268,'Daftar Koreksi'!$G$5:$G$92,"Gedung dan Bangunan",'Daftar Koreksi'!$H$5:$H$92,"&gt;0")</f>
        <v>0</v>
      </c>
      <c r="F274" s="25">
        <f>SUMIFS('Daftar Koreksi'!$H$5:$H$92,'Daftar Koreksi'!$D$5:$D$92,'1000'!A268,'Daftar Koreksi'!$G$5:$G$92,"Gedung dan Bangunan",'Daftar Koreksi'!$H$5:$H$92,"&lt;0")-SUMIFS('Daftar Koreksi'!$H$5:$H$92,'Daftar Koreksi'!$D$5:$D$92,'1000'!A268,'Daftar Koreksi'!$G$5:$G$92,"Gedung dan Bangunan",'Daftar Koreksi'!$H$5:$H$92,"&lt;0")-SUMIFS('Daftar Koreksi'!$H$5:$H$92,'Daftar Koreksi'!$D$5:$D$92,'1000'!A268,'Daftar Koreksi'!$G$5:$G$92,"Gedung dan Bangunan",'Daftar Koreksi'!$H$5:$H$92,"&lt;0")</f>
        <v>0</v>
      </c>
      <c r="G274" s="17">
        <f t="shared" si="12"/>
        <v>7835878080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242847000</v>
      </c>
      <c r="E275" s="25">
        <f>SUMIFS('Daftar Koreksi'!$H$5:$H$92,'Daftar Koreksi'!$D$5:$D$92,'1000'!A268,'Daftar Koreksi'!$G$5:$G$92,"Jalan Irigasi Jaringan",'Daftar Koreksi'!$H$5:$H$92,"&gt;0")</f>
        <v>0</v>
      </c>
      <c r="F275" s="25">
        <f>SUMIFS('Daftar Koreksi'!$H$5:$H$92,'Daftar Koreksi'!$D$5:$D$92,'1000'!A268,'Daftar Koreksi'!$G$5:$G$92,"Jalan Irigasi Jaringan",'Daftar Koreksi'!$H$5:$H$92,"&lt;0")-SUMIFS('Daftar Koreksi'!$H$5:$H$92,'Daftar Koreksi'!$D$5:$D$92,'1000'!A268,'Daftar Koreksi'!$G$5:$G$92,"Jalan Irigasi Jaringan",'Daftar Koreksi'!$H$5:$H$92,"&lt;0")-SUMIFS('Daftar Koreksi'!$H$5:$H$92,'Daftar Koreksi'!$D$5:$D$92,'1000'!A268,'Daftar Koreksi'!$G$5:$G$92,"Jalan Irigasi Jaringan",'Daftar Koreksi'!$H$5:$H$92,"&lt;0")</f>
        <v>0</v>
      </c>
      <c r="G275" s="17">
        <f t="shared" si="12"/>
        <v>242847000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107653678</v>
      </c>
      <c r="E276" s="25">
        <f>SUMIFS('Daftar Koreksi'!$H$5:$H$92,'Daftar Koreksi'!$D$5:$D$92,'1000'!A268,'Daftar Koreksi'!$G$5:$G$92,"Aset Tetap Lainnya",'Daftar Koreksi'!$H$5:$H$92,"&gt;0")</f>
        <v>0</v>
      </c>
      <c r="F276" s="25">
        <f>SUMIFS('Daftar Koreksi'!$H$5:$H$92,'Daftar Koreksi'!$D$5:$D$92,'1000'!A268,'Daftar Koreksi'!$G$5:$G$92,"Aset Tetap Lainnya",'Daftar Koreksi'!$H$5:$H$92,"&lt;0")-SUMIFS('Daftar Koreksi'!$H$5:$H$92,'Daftar Koreksi'!$D$5:$D$92,'1000'!A268,'Daftar Koreksi'!$G$5:$G$92,"Aset Tetap Lainnya",'Daftar Koreksi'!$H$5:$H$92,"&lt;0")-SUMIFS('Daftar Koreksi'!$H$5:$H$92,'Daftar Koreksi'!$D$5:$D$92,'1000'!A268,'Daftar Koreksi'!$G$5:$G$92,"Aset Tetap Lainnya",'Daftar Koreksi'!$H$5:$H$92,"&lt;0")</f>
        <v>0</v>
      </c>
      <c r="G276" s="17">
        <f t="shared" si="12"/>
        <v>107653678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Koreksi'!$D$5:$D$92,'1000'!A268,'Daftar Koreksi'!$G$5:$G$92,"Kontruksi Dalam Pengerjaan",'Daftar Koreksi'!$H$5:$H$92,"&gt;0")</f>
        <v>0</v>
      </c>
      <c r="F277" s="25">
        <f>SUMIFS('Daftar Koreksi'!$H$5:$H$92,'Daftar Koreksi'!$D$5:$D$92,'1000'!A268,'Daftar Koreksi'!$G$5:$G$92,"Kontruksi Dalam Pengerjaan",'Daftar Koreksi'!$H$5:$H$92,"&lt;0")-SUMIFS('Daftar Koreksi'!$H$5:$H$92,'Daftar Koreksi'!$D$5:$D$92,'1000'!A268,'Daftar Koreksi'!$G$5:$G$92,"Kontruksi Dalam Pengerjaan",'Daftar Koreksi'!$H$5:$H$92,"&lt;0")-SUMIFS('Daftar Koreksi'!$H$5:$H$92,'Daftar Koreksi'!$D$5:$D$92,'1000'!A268,'Daftar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20750000</v>
      </c>
      <c r="E278" s="25">
        <f>SUMIFS('Daftar Koreksi'!$H$5:$H$92,'Daftar Koreksi'!$D$5:$D$92,'1000'!A268,'Daftar Koreksi'!$G$5:$G$92,"Aset Tak Berwujud",'Daftar Koreksi'!$H$5:$H$92,"&gt;0")</f>
        <v>0</v>
      </c>
      <c r="F278" s="25">
        <f>SUMIFS('Daftar Koreksi'!$H$5:$H$92,'Daftar Koreksi'!$D$5:$D$92,'1000'!A268,'Daftar Koreksi'!$G$5:$G$92,"Aset Tak Berwujud",'Daftar Koreksi'!$H$5:$H$92,"&lt;0")-SUMIFS('Daftar Koreksi'!$H$5:$H$92,'Daftar Koreksi'!$D$5:$D$92,'1000'!A268,'Daftar Koreksi'!$G$5:$G$92,"Aset Tak Berwujud",'Daftar Koreksi'!$H$5:$H$92,"&lt;0")-SUMIFS('Daftar Koreksi'!$H$5:$H$92,'Daftar Koreksi'!$D$5:$D$92,'1000'!A268,'Daftar Koreksi'!$G$5:$G$92,"Aset Tak Berwujud",'Daftar Koreksi'!$H$5:$H$92,"&lt;0")</f>
        <v>0</v>
      </c>
      <c r="G278" s="17">
        <f t="shared" si="12"/>
        <v>20750000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137104</v>
      </c>
      <c r="E279" s="25">
        <f>SUMIFS('Daftar Koreksi'!$H$5:$H$92,'Daftar Koreksi'!$D$5:$D$92,'1000'!A268,'Daftar Koreksi'!$G$5:$G$92,"Aset Henti Guna",'Daftar Koreksi'!$H$5:$H$92,"&gt;0")</f>
        <v>0</v>
      </c>
      <c r="F279" s="25">
        <f>SUMIFS('Daftar Koreksi'!$H$5:$H$92,'Daftar Koreksi'!$D$5:$D$92,'1000'!A268,'Daftar Koreksi'!$G$5:$G$92,"Aset Henti Guna",'Daftar Koreksi'!$H$5:$H$92,"&lt;0")-SUMIFS('Daftar Koreksi'!$H$5:$H$92,'Daftar Koreksi'!$D$5:$D$92,'1000'!A268,'Daftar Koreksi'!$G$5:$G$92,"Aset Henti Guna",'Daftar Koreksi'!$H$5:$H$92,"&lt;0")-SUMIFS('Daftar Koreksi'!$H$5:$H$92,'Daftar Koreksi'!$D$5:$D$92,'1000'!A268,'Daftar Koreksi'!$G$5:$G$92,"Aset Henti Guna",'Daftar Koreksi'!$H$5:$H$92,"&lt;0")</f>
        <v>0</v>
      </c>
      <c r="G279" s="17">
        <f t="shared" si="12"/>
        <v>137104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9500047512</v>
      </c>
      <c r="E280" s="19">
        <f>SUM(E271:E279)</f>
        <v>0</v>
      </c>
      <c r="F280" s="19">
        <f>SUM(F271:F279)</f>
        <v>0</v>
      </c>
      <c r="G280" s="19">
        <f t="shared" si="12"/>
        <v>9500047512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-788174874</v>
      </c>
      <c r="E281" s="25">
        <f>SUMIFS('Daftar Koreksi'!$I$5:$I$92,'Daftar Koreksi'!$D$5:$D$92,'1000'!A268,'Daftar Koreksi'!$G$5:$G$92,"Peralatan dan mesin",'Daftar Koreksi'!$I$5:$I$92,"&gt;0")</f>
        <v>0</v>
      </c>
      <c r="F281" s="25">
        <f>SUMIFS('Daftar Koreksi'!$I$5:$I$92,'Daftar Koreksi'!$D$5:$D$92,'1000'!A268,'Daftar Koreksi'!$G$5:$G$92,"Peralatan dan mesin",'Daftar Koreksi'!$I$5:$I$92,"&lt;0")-SUMIFS('Daftar Koreksi'!$I$5:$I$92,'Daftar Koreksi'!$D$5:$D$92,'1000'!A268,'Daftar Koreksi'!$G$5:$G$92,"Peralatan dan mesin",'Daftar Koreksi'!$I$5:$I$92,"&lt;0")-SUMIFS('Daftar Koreksi'!$I$5:$I$92,'Daftar Koreksi'!$D$5:$D$92,'1000'!A268,'Daftar Koreksi'!$G$5:$G$92,"Peralatan dan mesin",'Daftar Koreksi'!$I$5:$I$92,"&lt;0")</f>
        <v>0</v>
      </c>
      <c r="G281" s="17">
        <f t="shared" si="12"/>
        <v>-788174874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-732114355</v>
      </c>
      <c r="E282" s="25">
        <f>SUMIFS('Daftar Koreksi'!$I$5:$I$92,'Daftar Koreksi'!$D$5:$D$92,'1000'!A268,'Daftar Koreksi'!$G$5:$G$92,"Gedung dan Bangunan",'Daftar Koreksi'!$I$5:$I$92,"&gt;0")</f>
        <v>0</v>
      </c>
      <c r="F282" s="25">
        <f>SUMIFS('Daftar Koreksi'!$I$5:$I$92,'Daftar Koreksi'!$D$5:$D$92,'1000'!A268,'Daftar Koreksi'!$G$5:$G$92,"Gedung dan Bangunan",'Daftar Koreksi'!$I$5:$I$92,"&lt;0")-SUMIFS('Daftar Koreksi'!$I$5:$I$92,'Daftar Koreksi'!$D$5:$D$92,'1000'!A268,'Daftar Koreksi'!$G$5:$G$92,"Gedung dan Bangunan",'Daftar Koreksi'!$I$5:$I$92,"&lt;0")-SUMIFS('Daftar Koreksi'!$I$5:$I$92,'Daftar Koreksi'!$D$5:$D$92,'1000'!A268,'Daftar Koreksi'!$G$5:$G$92,"Gedung dan Bangunan",'Daftar Koreksi'!$I$5:$I$92,"&lt;0")</f>
        <v>0</v>
      </c>
      <c r="G282" s="17">
        <f t="shared" si="12"/>
        <v>-732114355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-106006450</v>
      </c>
      <c r="E283" s="25">
        <f>SUMIFS('Daftar Koreksi'!$I$5:$I$92,'Daftar Koreksi'!$D$5:$D$92,'1000'!A268,'Daftar Koreksi'!$G$5:$G$92,"Jalan Irigasi Jaringan",'Daftar Koreksi'!$I$5:$I$92,"&gt;0")</f>
        <v>0</v>
      </c>
      <c r="F283" s="25">
        <f>SUMIFS('Daftar Koreksi'!$I$5:$I$92,'Daftar Koreksi'!$D$5:$D$92,'1000'!A268,'Daftar Koreksi'!$G$5:$G$92,"Jalan Irigasi Jaringan",'Daftar Koreksi'!$I$5:$I$92,"&lt;0")-SUMIFS('Daftar Koreksi'!$I$5:$I$92,'Daftar Koreksi'!$D$5:$D$92,'1000'!A268,'Daftar Koreksi'!$G$5:$G$92,"Jalan Irigasi Jaringan",'Daftar Koreksi'!$I$5:$I$92,"&lt;0")-SUMIFS('Daftar Koreksi'!$I$5:$I$92,'Daftar Koreksi'!$D$5:$D$92,'1000'!A268,'Daftar Koreksi'!$G$5:$G$92,"Jalan Irigasi Jaringan",'Daftar Koreksi'!$I$5:$I$92,"&lt;0")</f>
        <v>0</v>
      </c>
      <c r="G283" s="17">
        <f t="shared" si="12"/>
        <v>-106006450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Koreksi'!$D$5:$D$92,'1000'!A268,'Daftar Koreksi'!$G$5:$G$92,"Aset Tetap Lainnya",'Daftar Koreksi'!$I$5:$I$92,"&gt;0")</f>
        <v>0</v>
      </c>
      <c r="F284" s="25">
        <f>SUMIFS('Daftar Koreksi'!$I$5:$I$92,'Daftar Koreksi'!$D$5:$D$92,'1000'!A268,'Daftar Koreksi'!$G$5:$G$92,"Aset Tetap Lainnya",'Daftar Koreksi'!$I$5:$I$92,"&lt;0")-SUMIFS('Daftar Koreksi'!$I$5:$I$92,'Daftar Koreksi'!$D$5:$D$92,'1000'!A268,'Daftar Koreksi'!$G$5:$G$92,"Aset Tetap Lainnya",'Daftar Koreksi'!$I$5:$I$92,"&lt;0")-SUMIFS('Daftar Koreksi'!$I$5:$I$92,'Daftar Koreksi'!$D$5:$D$92,'1000'!A268,'Daftar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-137104</v>
      </c>
      <c r="E285" s="25">
        <f>SUMIFS('Daftar Koreksi'!$I$5:$I$92,'Daftar Koreksi'!$D$5:$D$92,'1000'!A268,'Daftar Koreksi'!$G$5:$G$92,"Aset Henti Guna",'Daftar Koreksi'!$I$5:$I$92,"&gt;0")</f>
        <v>0</v>
      </c>
      <c r="F285" s="25">
        <f>SUMIFS('Daftar Koreksi'!$I$5:$I$92,'Daftar Koreksi'!$D$5:$D$92,'1000'!A268,'Daftar Koreksi'!$G$5:$G$92,"Aset Henti Guna",'Daftar Koreksi'!$I$5:$I$92,"&lt;0")-SUMIFS('Daftar Koreksi'!$I$5:$I$92,'Daftar Koreksi'!$D$5:$D$92,'1000'!A268,'Daftar Koreksi'!$G$5:$G$92,"Aset Henti Guna",'Daftar Koreksi'!$I$5:$I$92,"&lt;0")-SUMIFS('Daftar Koreksi'!$I$5:$I$92,'Daftar Koreksi'!$D$5:$D$92,'1000'!A268,'Daftar Koreksi'!$G$5:$G$92,"Aset Henti Guna",'Daftar Koreksi'!$I$5:$I$92,"&lt;0")</f>
        <v>0</v>
      </c>
      <c r="G285" s="17">
        <f t="shared" si="12"/>
        <v>-137104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-1626432783</v>
      </c>
      <c r="E286" s="19">
        <f>SUM(E281:E285)</f>
        <v>0</v>
      </c>
      <c r="F286" s="19">
        <f>SUM(F281:F285)</f>
        <v>0</v>
      </c>
      <c r="G286" s="19">
        <f t="shared" si="12"/>
        <v>-1626432783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7873614729</v>
      </c>
      <c r="E287" s="19">
        <f>E286+E280</f>
        <v>0</v>
      </c>
      <c r="F287" s="19">
        <f>F286+F280</f>
        <v>0</v>
      </c>
      <c r="G287" s="19">
        <f t="shared" si="12"/>
        <v>7873614729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005011000477368000KD</v>
      </c>
      <c r="B290" s="11" t="str">
        <f>P14</f>
        <v>PN. Tebo</v>
      </c>
      <c r="C290" s="12" t="str">
        <f>A290&amp;" "&amp;B290</f>
        <v>005011000477368000KD PN. Tebo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5035070</v>
      </c>
      <c r="E293" s="25">
        <f>SUMIFS('Daftar Koreksi'!$H$5:$H$92,'Daftar Koreksi'!$D$5:$D$92,'1000'!A290,'Daftar Koreksi'!$G$5:$G$92,"Persediaan",'Daftar Koreksi'!$H$5:$H$92,"&gt;0")</f>
        <v>0</v>
      </c>
      <c r="F293" s="25">
        <f>SUMIFS('Daftar Koreksi'!$H$5:$H$92,'Daftar Koreksi'!$D$5:$D$92,'1000'!A290,'Daftar Koreksi'!$G$5:$G$92,"Persediaan",'Daftar Koreksi'!$H$5:$H$92,"&lt;0")-SUMIFS('Daftar Koreksi'!$H$5:$H$92,'Daftar Koreksi'!$D$5:$D$92,'1000'!A290,'Daftar Koreksi'!$G$5:$G$92,"Persediaan",'Daftar Koreksi'!$H$5:$H$92,"&lt;0")-SUMIFS('Daftar Koreksi'!$H$5:$H$92,'Daftar Koreksi'!$D$5:$D$92,'1000'!A290,'Daftar Koreksi'!$G$5:$G$92,"Persediaan",'Daftar Koreksi'!$H$5:$H$92,"&lt;0")</f>
        <v>0</v>
      </c>
      <c r="G293" s="17">
        <f>D293+E293-F293</f>
        <v>5035070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862500000</v>
      </c>
      <c r="E294" s="25">
        <f>SUMIFS('Daftar Koreksi'!$H$5:$H$92,'Daftar Koreksi'!$D$5:$D$92,'1000'!A290,'Daftar Koreksi'!$G$5:$G$92,"Tanah",'Daftar Koreksi'!$H$5:$H$92,"&gt;0")</f>
        <v>0</v>
      </c>
      <c r="F294" s="25">
        <f>SUMIFS('Daftar Koreksi'!$H$5:$H$92,'Daftar Koreksi'!$D$5:$D$92,'1000'!A290,'Daftar Koreksi'!$G$5:$G$92,"Tanah",'Daftar Koreksi'!$H$5:$H$92,"&lt;0")-SUMIFS('Daftar Koreksi'!$H$5:$H$92,'Daftar Koreksi'!$D$5:$D$92,'1000'!A290,'Daftar Koreksi'!$G$5:$G$92,"Tanah",'Daftar Koreksi'!$H$5:$H$92,"&lt;0")-SUMIFS('Daftar Koreksi'!$H$5:$H$92,'Daftar Koreksi'!$D$5:$D$92,'1000'!A290,'Daftar Koreksi'!$G$5:$G$92,"Tanah",'Daftar Koreksi'!$H$5:$H$92,"&lt;0")</f>
        <v>0</v>
      </c>
      <c r="G294" s="17">
        <f t="shared" ref="G294:G310" si="13">D294+E294-F294</f>
        <v>862500000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1423318041</v>
      </c>
      <c r="E295" s="25">
        <f>SUMIFS('Daftar Koreksi'!$H$5:$H$92,'Daftar Koreksi'!$D$5:$D$92,'1000'!A290,'Daftar Koreksi'!$G$5:$G$92,"Peralatan dan mesin",'Daftar Koreksi'!$H$5:$H$92,"&gt;0")</f>
        <v>0</v>
      </c>
      <c r="F295" s="25">
        <f>SUMIFS('Daftar Koreksi'!$H$5:$H$92,'Daftar Koreksi'!$D$5:$D$92,'1000'!A290,'Daftar Koreksi'!$G$5:$G$92,"Peralatan dan mesin",'Daftar Koreksi'!$H$5:$H$92,"&lt;0")-SUMIFS('Daftar Koreksi'!$H$5:$H$92,'Daftar Koreksi'!$D$5:$D$92,'1000'!A290,'Daftar Koreksi'!$G$5:$G$92,"Peralatan dan mesin",'Daftar Koreksi'!$H$5:$H$92,"&lt;0")-SUMIFS('Daftar Koreksi'!$H$5:$H$92,'Daftar Koreksi'!$D$5:$D$92,'1000'!A290,'Daftar Koreksi'!$G$5:$G$92,"Peralatan dan mesin",'Daftar Koreksi'!$H$5:$H$92,"&lt;0")</f>
        <v>0</v>
      </c>
      <c r="G295" s="17">
        <f t="shared" si="13"/>
        <v>1423318041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6405843000</v>
      </c>
      <c r="E296" s="25">
        <f>SUMIFS('Daftar Koreksi'!$H$5:$H$92,'Daftar Koreksi'!$D$5:$D$92,'1000'!A290,'Daftar Koreksi'!$G$5:$G$92,"Gedung dan Bangunan",'Daftar Koreksi'!$H$5:$H$92,"&gt;0")</f>
        <v>0</v>
      </c>
      <c r="F296" s="25">
        <f>SUMIFS('Daftar Koreksi'!$H$5:$H$92,'Daftar Koreksi'!$D$5:$D$92,'1000'!A290,'Daftar Koreksi'!$G$5:$G$92,"Gedung dan Bangunan",'Daftar Koreksi'!$H$5:$H$92,"&lt;0")-SUMIFS('Daftar Koreksi'!$H$5:$H$92,'Daftar Koreksi'!$D$5:$D$92,'1000'!A290,'Daftar Koreksi'!$G$5:$G$92,"Gedung dan Bangunan",'Daftar Koreksi'!$H$5:$H$92,"&lt;0")-SUMIFS('Daftar Koreksi'!$H$5:$H$92,'Daftar Koreksi'!$D$5:$D$92,'1000'!A290,'Daftar Koreksi'!$G$5:$G$92,"Gedung dan Bangunan",'Daftar Koreksi'!$H$5:$H$92,"&lt;0")</f>
        <v>0</v>
      </c>
      <c r="G296" s="17">
        <f t="shared" si="13"/>
        <v>6405843000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Koreksi'!$D$5:$D$92,'1000'!A290,'Daftar Koreksi'!$G$5:$G$92,"Jalan Irigasi Jaringan",'Daftar Koreksi'!$H$5:$H$92,"&gt;0")</f>
        <v>0</v>
      </c>
      <c r="F297" s="25">
        <f>SUMIFS('Daftar Koreksi'!$H$5:$H$92,'Daftar Koreksi'!$D$5:$D$92,'1000'!A290,'Daftar Koreksi'!$G$5:$G$92,"Jalan Irigasi Jaringan",'Daftar Koreksi'!$H$5:$H$92,"&lt;0")-SUMIFS('Daftar Koreksi'!$H$5:$H$92,'Daftar Koreksi'!$D$5:$D$92,'1000'!A290,'Daftar Koreksi'!$G$5:$G$92,"Jalan Irigasi Jaringan",'Daftar Koreksi'!$H$5:$H$92,"&lt;0")-SUMIFS('Daftar Koreksi'!$H$5:$H$92,'Daftar Koreksi'!$D$5:$D$92,'1000'!A290,'Daftar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4772116</v>
      </c>
      <c r="E298" s="25">
        <f>SUMIFS('Daftar Koreksi'!$H$5:$H$92,'Daftar Koreksi'!$D$5:$D$92,'1000'!A290,'Daftar Koreksi'!$G$5:$G$92,"Aset Tetap Lainnya",'Daftar Koreksi'!$H$5:$H$92,"&gt;0")</f>
        <v>0</v>
      </c>
      <c r="F298" s="25">
        <f>SUMIFS('Daftar Koreksi'!$H$5:$H$92,'Daftar Koreksi'!$D$5:$D$92,'1000'!A290,'Daftar Koreksi'!$G$5:$G$92,"Aset Tetap Lainnya",'Daftar Koreksi'!$H$5:$H$92,"&lt;0")-SUMIFS('Daftar Koreksi'!$H$5:$H$92,'Daftar Koreksi'!$D$5:$D$92,'1000'!A290,'Daftar Koreksi'!$G$5:$G$92,"Aset Tetap Lainnya",'Daftar Koreksi'!$H$5:$H$92,"&lt;0")-SUMIFS('Daftar Koreksi'!$H$5:$H$92,'Daftar Koreksi'!$D$5:$D$92,'1000'!A290,'Daftar Koreksi'!$G$5:$G$92,"Aset Tetap Lainnya",'Daftar Koreksi'!$H$5:$H$92,"&lt;0")</f>
        <v>0</v>
      </c>
      <c r="G298" s="17">
        <f t="shared" si="13"/>
        <v>4772116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Koreksi'!$D$5:$D$92,'1000'!A290,'Daftar Koreksi'!$G$5:$G$92,"Kontruksi Dalam Pengerjaan",'Daftar Koreksi'!$H$5:$H$92,"&gt;0")</f>
        <v>0</v>
      </c>
      <c r="F299" s="25">
        <f>SUMIFS('Daftar Koreksi'!$H$5:$H$92,'Daftar Koreksi'!$D$5:$D$92,'1000'!A290,'Daftar Koreksi'!$G$5:$G$92,"Kontruksi Dalam Pengerjaan",'Daftar Koreksi'!$H$5:$H$92,"&lt;0")-SUMIFS('Daftar Koreksi'!$H$5:$H$92,'Daftar Koreksi'!$D$5:$D$92,'1000'!A290,'Daftar Koreksi'!$G$5:$G$92,"Kontruksi Dalam Pengerjaan",'Daftar Koreksi'!$H$5:$H$92,"&lt;0")-SUMIFS('Daftar Koreksi'!$H$5:$H$92,'Daftar Koreksi'!$D$5:$D$92,'1000'!A290,'Daftar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Koreksi'!$D$5:$D$92,'1000'!A290,'Daftar Koreksi'!$G$5:$G$92,"Aset Tak Berwujud",'Daftar Koreksi'!$H$5:$H$92,"&gt;0")</f>
        <v>0</v>
      </c>
      <c r="F300" s="25">
        <f>SUMIFS('Daftar Koreksi'!$H$5:$H$92,'Daftar Koreksi'!$D$5:$D$92,'1000'!A290,'Daftar Koreksi'!$G$5:$G$92,"Aset Tak Berwujud",'Daftar Koreksi'!$H$5:$H$92,"&lt;0")-SUMIFS('Daftar Koreksi'!$H$5:$H$92,'Daftar Koreksi'!$D$5:$D$92,'1000'!A290,'Daftar Koreksi'!$G$5:$G$92,"Aset Tak Berwujud",'Daftar Koreksi'!$H$5:$H$92,"&lt;0")-SUMIFS('Daftar Koreksi'!$H$5:$H$92,'Daftar Koreksi'!$D$5:$D$92,'1000'!A290,'Daftar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Koreksi'!$D$5:$D$92,'1000'!A290,'Daftar Koreksi'!$G$5:$G$92,"Aset Henti Guna",'Daftar Koreksi'!$H$5:$H$92,"&gt;0")</f>
        <v>0</v>
      </c>
      <c r="F301" s="25">
        <f>SUMIFS('Daftar Koreksi'!$H$5:$H$92,'Daftar Koreksi'!$D$5:$D$92,'1000'!A290,'Daftar Koreksi'!$G$5:$G$92,"Aset Henti Guna",'Daftar Koreksi'!$H$5:$H$92,"&lt;0")-SUMIFS('Daftar Koreksi'!$H$5:$H$92,'Daftar Koreksi'!$D$5:$D$92,'1000'!A290,'Daftar Koreksi'!$G$5:$G$92,"Aset Henti Guna",'Daftar Koreksi'!$H$5:$H$92,"&lt;0")-SUMIFS('Daftar Koreksi'!$H$5:$H$92,'Daftar Koreksi'!$D$5:$D$92,'1000'!A290,'Daftar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8701468227</v>
      </c>
      <c r="E302" s="19">
        <f>SUM(E293:E301)</f>
        <v>0</v>
      </c>
      <c r="F302" s="19">
        <f>SUM(F293:F301)</f>
        <v>0</v>
      </c>
      <c r="G302" s="19">
        <f t="shared" si="13"/>
        <v>8701468227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-1148247719</v>
      </c>
      <c r="E303" s="25">
        <f>SUMIFS('Daftar Koreksi'!$I$5:$I$92,'Daftar Koreksi'!$D$5:$D$92,'1000'!A290,'Daftar Koreksi'!$G$5:$G$92,"Peralatan dan mesin",'Daftar Koreksi'!$I$5:$I$92,"&gt;0")</f>
        <v>0</v>
      </c>
      <c r="F303" s="25">
        <f>SUMIFS('Daftar Koreksi'!$I$5:$I$92,'Daftar Koreksi'!$D$5:$D$92,'1000'!A290,'Daftar Koreksi'!$G$5:$G$92,"Peralatan dan mesin",'Daftar Koreksi'!$I$5:$I$92,"&lt;0")-SUMIFS('Daftar Koreksi'!$I$5:$I$92,'Daftar Koreksi'!$D$5:$D$92,'1000'!A290,'Daftar Koreksi'!$G$5:$G$92,"Peralatan dan mesin",'Daftar Koreksi'!$I$5:$I$92,"&lt;0")-SUMIFS('Daftar Koreksi'!$I$5:$I$92,'Daftar Koreksi'!$D$5:$D$92,'1000'!A290,'Daftar Koreksi'!$G$5:$G$92,"Peralatan dan mesin",'Daftar Koreksi'!$I$5:$I$92,"&lt;0")</f>
        <v>0</v>
      </c>
      <c r="G303" s="17">
        <f t="shared" si="13"/>
        <v>-1148247719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-1028848559</v>
      </c>
      <c r="E304" s="25">
        <f>SUMIFS('Daftar Koreksi'!$I$5:$I$92,'Daftar Koreksi'!$D$5:$D$92,'1000'!A290,'Daftar Koreksi'!$G$5:$G$92,"Gedung dan Bangunan",'Daftar Koreksi'!$I$5:$I$92,"&gt;0")</f>
        <v>0</v>
      </c>
      <c r="F304" s="25">
        <f>SUMIFS('Daftar Koreksi'!$I$5:$I$92,'Daftar Koreksi'!$D$5:$D$92,'1000'!A290,'Daftar Koreksi'!$G$5:$G$92,"Gedung dan Bangunan",'Daftar Koreksi'!$I$5:$I$92,"&lt;0")-SUMIFS('Daftar Koreksi'!$I$5:$I$92,'Daftar Koreksi'!$D$5:$D$92,'1000'!A290,'Daftar Koreksi'!$G$5:$G$92,"Gedung dan Bangunan",'Daftar Koreksi'!$I$5:$I$92,"&lt;0")-SUMIFS('Daftar Koreksi'!$I$5:$I$92,'Daftar Koreksi'!$D$5:$D$92,'1000'!A290,'Daftar Koreksi'!$G$5:$G$92,"Gedung dan Bangunan",'Daftar Koreksi'!$I$5:$I$92,"&lt;0")</f>
        <v>0</v>
      </c>
      <c r="G304" s="17">
        <f t="shared" si="13"/>
        <v>-1028848559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Koreksi'!$D$5:$D$92,'1000'!A290,'Daftar Koreksi'!$G$5:$G$92,"Jalan Irigasi Jaringan",'Daftar Koreksi'!$I$5:$I$92,"&gt;0")</f>
        <v>0</v>
      </c>
      <c r="F305" s="25">
        <f>SUMIFS('Daftar Koreksi'!$I$5:$I$92,'Daftar Koreksi'!$D$5:$D$92,'1000'!A290,'Daftar Koreksi'!$G$5:$G$92,"Jalan Irigasi Jaringan",'Daftar Koreksi'!$I$5:$I$92,"&lt;0")-SUMIFS('Daftar Koreksi'!$I$5:$I$92,'Daftar Koreksi'!$D$5:$D$92,'1000'!A290,'Daftar Koreksi'!$G$5:$G$92,"Jalan Irigasi Jaringan",'Daftar Koreksi'!$I$5:$I$92,"&lt;0")-SUMIFS('Daftar Koreksi'!$I$5:$I$92,'Daftar Koreksi'!$D$5:$D$92,'1000'!A290,'Daftar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Koreksi'!$D$5:$D$92,'1000'!A290,'Daftar Koreksi'!$G$5:$G$92,"Aset Tetap Lainnya",'Daftar Koreksi'!$I$5:$I$92,"&gt;0")</f>
        <v>0</v>
      </c>
      <c r="F306" s="25">
        <f>SUMIFS('Daftar Koreksi'!$I$5:$I$92,'Daftar Koreksi'!$D$5:$D$92,'1000'!A290,'Daftar Koreksi'!$G$5:$G$92,"Aset Tetap Lainnya",'Daftar Koreksi'!$I$5:$I$92,"&lt;0")-SUMIFS('Daftar Koreksi'!$I$5:$I$92,'Daftar Koreksi'!$D$5:$D$92,'1000'!A290,'Daftar Koreksi'!$G$5:$G$92,"Aset Tetap Lainnya",'Daftar Koreksi'!$I$5:$I$92,"&lt;0")-SUMIFS('Daftar Koreksi'!$I$5:$I$92,'Daftar Koreksi'!$D$5:$D$92,'1000'!A290,'Daftar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Koreksi'!$D$5:$D$92,'1000'!A290,'Daftar Koreksi'!$G$5:$G$92,"Aset Henti Guna",'Daftar Koreksi'!$I$5:$I$92,"&gt;0")</f>
        <v>0</v>
      </c>
      <c r="F307" s="25">
        <f>SUMIFS('Daftar Koreksi'!$I$5:$I$92,'Daftar Koreksi'!$D$5:$D$92,'1000'!A290,'Daftar Koreksi'!$G$5:$G$92,"Aset Henti Guna",'Daftar Koreksi'!$I$5:$I$92,"&lt;0")-SUMIFS('Daftar Koreksi'!$I$5:$I$92,'Daftar Koreksi'!$D$5:$D$92,'1000'!A290,'Daftar Koreksi'!$G$5:$G$92,"Aset Henti Guna",'Daftar Koreksi'!$I$5:$I$92,"&lt;0")-SUMIFS('Daftar Koreksi'!$I$5:$I$92,'Daftar Koreksi'!$D$5:$D$92,'1000'!A290,'Daftar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-2177096278</v>
      </c>
      <c r="E308" s="19">
        <f>SUM(E303:E307)</f>
        <v>0</v>
      </c>
      <c r="F308" s="19">
        <f>SUM(F303:F307)</f>
        <v>0</v>
      </c>
      <c r="G308" s="19">
        <f t="shared" si="13"/>
        <v>-2177096278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6524371949</v>
      </c>
      <c r="E309" s="19">
        <f>E308+E302</f>
        <v>0</v>
      </c>
      <c r="F309" s="19">
        <f>F308+F302</f>
        <v>0</v>
      </c>
      <c r="G309" s="19">
        <f t="shared" si="13"/>
        <v>6524371949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005011000477374000KD</v>
      </c>
      <c r="B312" s="11" t="str">
        <f>P15</f>
        <v>PN. Sarolangun</v>
      </c>
      <c r="C312" s="12" t="str">
        <f>A312&amp;" "&amp;B312</f>
        <v>005011000477374000KD PN. Sarolangun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7735090</v>
      </c>
      <c r="E315" s="25">
        <f>SUMIFS('Daftar Koreksi'!$H$5:$H$92,'Daftar Koreksi'!$D$5:$D$92,'1000'!A312,'Daftar Koreksi'!$G$5:$G$92,"Persediaan",'Daftar Koreksi'!$H$5:$H$92,"&gt;0")</f>
        <v>0</v>
      </c>
      <c r="F315" s="25">
        <f>SUMIFS('Daftar Koreksi'!$H$5:$H$92,'Daftar Koreksi'!$D$5:$D$92,'1000'!A312,'Daftar Koreksi'!$G$5:$G$92,"Persediaan",'Daftar Koreksi'!$H$5:$H$92,"&lt;0")-SUMIFS('Daftar Koreksi'!$H$5:$H$92,'Daftar Koreksi'!$D$5:$D$92,'1000'!A312,'Daftar Koreksi'!$G$5:$G$92,"Persediaan",'Daftar Koreksi'!$H$5:$H$92,"&lt;0")-SUMIFS('Daftar Koreksi'!$H$5:$H$92,'Daftar Koreksi'!$D$5:$D$92,'1000'!A312,'Daftar Koreksi'!$G$5:$G$92,"Persediaan",'Daftar Koreksi'!$H$5:$H$92,"&lt;0")</f>
        <v>0</v>
      </c>
      <c r="G315" s="17">
        <f>D315+E315-F315</f>
        <v>7735090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0</v>
      </c>
      <c r="E316" s="25">
        <f>SUMIFS('Daftar Koreksi'!$H$5:$H$92,'Daftar Koreksi'!$D$5:$D$92,'1000'!A312,'Daftar Koreksi'!$G$5:$G$92,"Tanah",'Daftar Koreksi'!$H$5:$H$92,"&gt;0")</f>
        <v>0</v>
      </c>
      <c r="F316" s="25">
        <f>SUMIFS('Daftar Koreksi'!$H$5:$H$92,'Daftar Koreksi'!$D$5:$D$92,'1000'!A312,'Daftar Koreksi'!$G$5:$G$92,"Tanah",'Daftar Koreksi'!$H$5:$H$92,"&lt;0")-SUMIFS('Daftar Koreksi'!$H$5:$H$92,'Daftar Koreksi'!$D$5:$D$92,'1000'!A312,'Daftar Koreksi'!$G$5:$G$92,"Tanah",'Daftar Koreksi'!$H$5:$H$92,"&lt;0")-SUMIFS('Daftar Koreksi'!$H$5:$H$92,'Daftar Koreksi'!$D$5:$D$92,'1000'!A312,'Daftar Koreksi'!$G$5:$G$92,"Tanah",'Daftar Koreksi'!$H$5:$H$92,"&lt;0")</f>
        <v>0</v>
      </c>
      <c r="G316" s="17">
        <f t="shared" ref="G316:G332" si="14">D316+E316-F316</f>
        <v>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963365364</v>
      </c>
      <c r="E317" s="25">
        <f>SUMIFS('Daftar Koreksi'!$H$5:$H$92,'Daftar Koreksi'!$D$5:$D$92,'1000'!A312,'Daftar Koreksi'!$G$5:$G$92,"Peralatan dan mesin",'Daftar Koreksi'!$H$5:$H$92,"&gt;0")</f>
        <v>0</v>
      </c>
      <c r="F317" s="25">
        <f>SUMIFS('Daftar Koreksi'!$H$5:$H$92,'Daftar Koreksi'!$D$5:$D$92,'1000'!A312,'Daftar Koreksi'!$G$5:$G$92,"Peralatan dan mesin",'Daftar Koreksi'!$H$5:$H$92,"&lt;0")-SUMIFS('Daftar Koreksi'!$H$5:$H$92,'Daftar Koreksi'!$D$5:$D$92,'1000'!A312,'Daftar Koreksi'!$G$5:$G$92,"Peralatan dan mesin",'Daftar Koreksi'!$H$5:$H$92,"&lt;0")-SUMIFS('Daftar Koreksi'!$H$5:$H$92,'Daftar Koreksi'!$D$5:$D$92,'1000'!A312,'Daftar Koreksi'!$G$5:$G$92,"Peralatan dan mesin",'Daftar Koreksi'!$H$5:$H$92,"&lt;0")</f>
        <v>0</v>
      </c>
      <c r="G317" s="17">
        <f t="shared" si="14"/>
        <v>963365364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5322284400</v>
      </c>
      <c r="E318" s="25">
        <f>SUMIFS('Daftar Koreksi'!$H$5:$H$92,'Daftar Koreksi'!$D$5:$D$92,'1000'!A312,'Daftar Koreksi'!$G$5:$G$92,"Gedung dan Bangunan",'Daftar Koreksi'!$H$5:$H$92,"&gt;0")</f>
        <v>0</v>
      </c>
      <c r="F318" s="25">
        <f>SUMIFS('Daftar Koreksi'!$H$5:$H$92,'Daftar Koreksi'!$D$5:$D$92,'1000'!A312,'Daftar Koreksi'!$G$5:$G$92,"Gedung dan Bangunan",'Daftar Koreksi'!$H$5:$H$92,"&lt;0")-SUMIFS('Daftar Koreksi'!$H$5:$H$92,'Daftar Koreksi'!$D$5:$D$92,'1000'!A312,'Daftar Koreksi'!$G$5:$G$92,"Gedung dan Bangunan",'Daftar Koreksi'!$H$5:$H$92,"&lt;0")-SUMIFS('Daftar Koreksi'!$H$5:$H$92,'Daftar Koreksi'!$D$5:$D$92,'1000'!A312,'Daftar Koreksi'!$G$5:$G$92,"Gedung dan Bangunan",'Daftar Koreksi'!$H$5:$H$92,"&lt;0")</f>
        <v>0</v>
      </c>
      <c r="G318" s="17">
        <f t="shared" si="14"/>
        <v>5322284400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71111000</v>
      </c>
      <c r="E319" s="25">
        <f>SUMIFS('Daftar Koreksi'!$H$5:$H$92,'Daftar Koreksi'!$D$5:$D$92,'1000'!A312,'Daftar Koreksi'!$G$5:$G$92,"Jalan Irigasi Jaringan",'Daftar Koreksi'!$H$5:$H$92,"&gt;0")</f>
        <v>0</v>
      </c>
      <c r="F319" s="25">
        <f>SUMIFS('Daftar Koreksi'!$H$5:$H$92,'Daftar Koreksi'!$D$5:$D$92,'1000'!A312,'Daftar Koreksi'!$G$5:$G$92,"Jalan Irigasi Jaringan",'Daftar Koreksi'!$H$5:$H$92,"&lt;0")-SUMIFS('Daftar Koreksi'!$H$5:$H$92,'Daftar Koreksi'!$D$5:$D$92,'1000'!A312,'Daftar Koreksi'!$G$5:$G$92,"Jalan Irigasi Jaringan",'Daftar Koreksi'!$H$5:$H$92,"&lt;0")-SUMIFS('Daftar Koreksi'!$H$5:$H$92,'Daftar Koreksi'!$D$5:$D$92,'1000'!A312,'Daftar Koreksi'!$G$5:$G$92,"Jalan Irigasi Jaringan",'Daftar Koreksi'!$H$5:$H$92,"&lt;0")</f>
        <v>0</v>
      </c>
      <c r="G319" s="17">
        <f t="shared" si="14"/>
        <v>71111000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43043440</v>
      </c>
      <c r="E320" s="25">
        <f>SUMIFS('Daftar Koreksi'!$H$5:$H$92,'Daftar Koreksi'!$D$5:$D$92,'1000'!A312,'Daftar Koreksi'!$G$5:$G$92,"Aset Tetap Lainnya",'Daftar Koreksi'!$H$5:$H$92,"&gt;0")</f>
        <v>0</v>
      </c>
      <c r="F320" s="25">
        <f>SUMIFS('Daftar Koreksi'!$H$5:$H$92,'Daftar Koreksi'!$D$5:$D$92,'1000'!A312,'Daftar Koreksi'!$G$5:$G$92,"Aset Tetap Lainnya",'Daftar Koreksi'!$H$5:$H$92,"&lt;0")-SUMIFS('Daftar Koreksi'!$H$5:$H$92,'Daftar Koreksi'!$D$5:$D$92,'1000'!A312,'Daftar Koreksi'!$G$5:$G$92,"Aset Tetap Lainnya",'Daftar Koreksi'!$H$5:$H$92,"&lt;0")-SUMIFS('Daftar Koreksi'!$H$5:$H$92,'Daftar Koreksi'!$D$5:$D$92,'1000'!A312,'Daftar Koreksi'!$G$5:$G$92,"Aset Tetap Lainnya",'Daftar Koreksi'!$H$5:$H$92,"&lt;0")</f>
        <v>0</v>
      </c>
      <c r="G320" s="17">
        <f t="shared" si="14"/>
        <v>43043440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Koreksi'!$D$5:$D$92,'1000'!A312,'Daftar Koreksi'!$G$5:$G$92,"Kontruksi Dalam Pengerjaan",'Daftar Koreksi'!$H$5:$H$92,"&gt;0")</f>
        <v>0</v>
      </c>
      <c r="F321" s="25">
        <f>SUMIFS('Daftar Koreksi'!$H$5:$H$92,'Daftar Koreksi'!$D$5:$D$92,'1000'!A312,'Daftar Koreksi'!$G$5:$G$92,"Kontruksi Dalam Pengerjaan",'Daftar Koreksi'!$H$5:$H$92,"&lt;0")-SUMIFS('Daftar Koreksi'!$H$5:$H$92,'Daftar Koreksi'!$D$5:$D$92,'1000'!A312,'Daftar Koreksi'!$G$5:$G$92,"Kontruksi Dalam Pengerjaan",'Daftar Koreksi'!$H$5:$H$92,"&lt;0")-SUMIFS('Daftar Koreksi'!$H$5:$H$92,'Daftar Koreksi'!$D$5:$D$92,'1000'!A312,'Daftar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Koreksi'!$D$5:$D$92,'1000'!A312,'Daftar Koreksi'!$G$5:$G$92,"Aset Tak Berwujud",'Daftar Koreksi'!$H$5:$H$92,"&gt;0")</f>
        <v>0</v>
      </c>
      <c r="F322" s="25">
        <f>SUMIFS('Daftar Koreksi'!$H$5:$H$92,'Daftar Koreksi'!$D$5:$D$92,'1000'!A312,'Daftar Koreksi'!$G$5:$G$92,"Aset Tak Berwujud",'Daftar Koreksi'!$H$5:$H$92,"&lt;0")-SUMIFS('Daftar Koreksi'!$H$5:$H$92,'Daftar Koreksi'!$D$5:$D$92,'1000'!A312,'Daftar Koreksi'!$G$5:$G$92,"Aset Tak Berwujud",'Daftar Koreksi'!$H$5:$H$92,"&lt;0")-SUMIFS('Daftar Koreksi'!$H$5:$H$92,'Daftar Koreksi'!$D$5:$D$92,'1000'!A312,'Daftar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323586300</v>
      </c>
      <c r="E323" s="25">
        <f>SUMIFS('Daftar Koreksi'!$H$5:$H$92,'Daftar Koreksi'!$D$5:$D$92,'1000'!A312,'Daftar Koreksi'!$G$5:$G$92,"Aset Henti Guna",'Daftar Koreksi'!$H$5:$H$92,"&gt;0")</f>
        <v>0</v>
      </c>
      <c r="F323" s="25">
        <f>SUMIFS('Daftar Koreksi'!$H$5:$H$92,'Daftar Koreksi'!$D$5:$D$92,'1000'!A312,'Daftar Koreksi'!$G$5:$G$92,"Aset Henti Guna",'Daftar Koreksi'!$H$5:$H$92,"&lt;0")-SUMIFS('Daftar Koreksi'!$H$5:$H$92,'Daftar Koreksi'!$D$5:$D$92,'1000'!A312,'Daftar Koreksi'!$G$5:$G$92,"Aset Henti Guna",'Daftar Koreksi'!$H$5:$H$92,"&lt;0")-SUMIFS('Daftar Koreksi'!$H$5:$H$92,'Daftar Koreksi'!$D$5:$D$92,'1000'!A312,'Daftar Koreksi'!$G$5:$G$92,"Aset Henti Guna",'Daftar Koreksi'!$H$5:$H$92,"&lt;0")</f>
        <v>0</v>
      </c>
      <c r="G323" s="17">
        <f t="shared" si="14"/>
        <v>323586300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6731125594</v>
      </c>
      <c r="E324" s="19">
        <f>SUM(E315:E323)</f>
        <v>0</v>
      </c>
      <c r="F324" s="19">
        <f>SUM(F315:F323)</f>
        <v>0</v>
      </c>
      <c r="G324" s="19">
        <f t="shared" si="14"/>
        <v>6731125594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-795660822</v>
      </c>
      <c r="E325" s="25">
        <f>SUMIFS('Daftar Koreksi'!$I$5:$I$92,'Daftar Koreksi'!$D$5:$D$92,'1000'!A312,'Daftar Koreksi'!$G$5:$G$92,"Peralatan dan mesin",'Daftar Koreksi'!$I$5:$I$92,"&gt;0")</f>
        <v>0</v>
      </c>
      <c r="F325" s="25">
        <f>SUMIFS('Daftar Koreksi'!$I$5:$I$92,'Daftar Koreksi'!$D$5:$D$92,'1000'!A312,'Daftar Koreksi'!$G$5:$G$92,"Peralatan dan mesin",'Daftar Koreksi'!$I$5:$I$92,"&lt;0")-SUMIFS('Daftar Koreksi'!$I$5:$I$92,'Daftar Koreksi'!$D$5:$D$92,'1000'!A312,'Daftar Koreksi'!$G$5:$G$92,"Peralatan dan mesin",'Daftar Koreksi'!$I$5:$I$92,"&lt;0")-SUMIFS('Daftar Koreksi'!$I$5:$I$92,'Daftar Koreksi'!$D$5:$D$92,'1000'!A312,'Daftar Koreksi'!$G$5:$G$92,"Peralatan dan mesin",'Daftar Koreksi'!$I$5:$I$92,"&lt;0")</f>
        <v>0</v>
      </c>
      <c r="G325" s="17">
        <f t="shared" si="14"/>
        <v>-795660822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-801195194</v>
      </c>
      <c r="E326" s="25">
        <f>SUMIFS('Daftar Koreksi'!$I$5:$I$92,'Daftar Koreksi'!$D$5:$D$92,'1000'!A312,'Daftar Koreksi'!$G$5:$G$92,"Gedung dan Bangunan",'Daftar Koreksi'!$I$5:$I$92,"&gt;0")</f>
        <v>0</v>
      </c>
      <c r="F326" s="25">
        <f>SUMIFS('Daftar Koreksi'!$I$5:$I$92,'Daftar Koreksi'!$D$5:$D$92,'1000'!A312,'Daftar Koreksi'!$G$5:$G$92,"Gedung dan Bangunan",'Daftar Koreksi'!$I$5:$I$92,"&lt;0")-SUMIFS('Daftar Koreksi'!$I$5:$I$92,'Daftar Koreksi'!$D$5:$D$92,'1000'!A312,'Daftar Koreksi'!$G$5:$G$92,"Gedung dan Bangunan",'Daftar Koreksi'!$I$5:$I$92,"&lt;0")-SUMIFS('Daftar Koreksi'!$I$5:$I$92,'Daftar Koreksi'!$D$5:$D$92,'1000'!A312,'Daftar Koreksi'!$G$5:$G$92,"Gedung dan Bangunan",'Daftar Koreksi'!$I$5:$I$92,"&lt;0")</f>
        <v>0</v>
      </c>
      <c r="G326" s="17">
        <f t="shared" si="14"/>
        <v>-801195194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-49777700</v>
      </c>
      <c r="E327" s="25">
        <f>SUMIFS('Daftar Koreksi'!$I$5:$I$92,'Daftar Koreksi'!$D$5:$D$92,'1000'!A312,'Daftar Koreksi'!$G$5:$G$92,"Jalan Irigasi Jaringan",'Daftar Koreksi'!$I$5:$I$92,"&gt;0")</f>
        <v>0</v>
      </c>
      <c r="F327" s="25">
        <f>SUMIFS('Daftar Koreksi'!$I$5:$I$92,'Daftar Koreksi'!$D$5:$D$92,'1000'!A312,'Daftar Koreksi'!$G$5:$G$92,"Jalan Irigasi Jaringan",'Daftar Koreksi'!$I$5:$I$92,"&lt;0")-SUMIFS('Daftar Koreksi'!$I$5:$I$92,'Daftar Koreksi'!$D$5:$D$92,'1000'!A312,'Daftar Koreksi'!$G$5:$G$92,"Jalan Irigasi Jaringan",'Daftar Koreksi'!$I$5:$I$92,"&lt;0")-SUMIFS('Daftar Koreksi'!$I$5:$I$92,'Daftar Koreksi'!$D$5:$D$92,'1000'!A312,'Daftar Koreksi'!$G$5:$G$92,"Jalan Irigasi Jaringan",'Daftar Koreksi'!$I$5:$I$92,"&lt;0")</f>
        <v>0</v>
      </c>
      <c r="G327" s="17">
        <f t="shared" si="14"/>
        <v>-49777700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Koreksi'!$D$5:$D$92,'1000'!A312,'Daftar Koreksi'!$G$5:$G$92,"Aset Tetap Lainnya",'Daftar Koreksi'!$I$5:$I$92,"&gt;0")</f>
        <v>0</v>
      </c>
      <c r="F328" s="25">
        <f>SUMIFS('Daftar Koreksi'!$I$5:$I$92,'Daftar Koreksi'!$D$5:$D$92,'1000'!A312,'Daftar Koreksi'!$G$5:$G$92,"Aset Tetap Lainnya",'Daftar Koreksi'!$I$5:$I$92,"&lt;0")-SUMIFS('Daftar Koreksi'!$I$5:$I$92,'Daftar Koreksi'!$D$5:$D$92,'1000'!A312,'Daftar Koreksi'!$G$5:$G$92,"Aset Tetap Lainnya",'Daftar Koreksi'!$I$5:$I$92,"&lt;0")-SUMIFS('Daftar Koreksi'!$I$5:$I$92,'Daftar Koreksi'!$D$5:$D$92,'1000'!A312,'Daftar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-323586300</v>
      </c>
      <c r="E329" s="25">
        <f>SUMIFS('Daftar Koreksi'!$I$5:$I$92,'Daftar Koreksi'!$D$5:$D$92,'1000'!A312,'Daftar Koreksi'!$G$5:$G$92,"Aset Henti Guna",'Daftar Koreksi'!$I$5:$I$92,"&gt;0")</f>
        <v>0</v>
      </c>
      <c r="F329" s="25">
        <f>SUMIFS('Daftar Koreksi'!$I$5:$I$92,'Daftar Koreksi'!$D$5:$D$92,'1000'!A312,'Daftar Koreksi'!$G$5:$G$92,"Aset Henti Guna",'Daftar Koreksi'!$I$5:$I$92,"&lt;0")-SUMIFS('Daftar Koreksi'!$I$5:$I$92,'Daftar Koreksi'!$D$5:$D$92,'1000'!A312,'Daftar Koreksi'!$G$5:$G$92,"Aset Henti Guna",'Daftar Koreksi'!$I$5:$I$92,"&lt;0")-SUMIFS('Daftar Koreksi'!$I$5:$I$92,'Daftar Koreksi'!$D$5:$D$92,'1000'!A312,'Daftar Koreksi'!$G$5:$G$92,"Aset Henti Guna",'Daftar Koreksi'!$I$5:$I$92,"&lt;0")</f>
        <v>0</v>
      </c>
      <c r="G329" s="17">
        <f t="shared" si="14"/>
        <v>-323586300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-1970220016</v>
      </c>
      <c r="E330" s="19">
        <f>SUM(E325:E329)</f>
        <v>0</v>
      </c>
      <c r="F330" s="19">
        <f>SUM(F325:F329)</f>
        <v>0</v>
      </c>
      <c r="G330" s="19">
        <f t="shared" si="14"/>
        <v>-1970220016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4760905578</v>
      </c>
      <c r="E331" s="19">
        <f>E330+E324</f>
        <v>0</v>
      </c>
      <c r="F331" s="19">
        <f>F330+F324</f>
        <v>0</v>
      </c>
      <c r="G331" s="19">
        <f t="shared" si="14"/>
        <v>4760905578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005011000477400000KD</v>
      </c>
      <c r="B334" s="11" t="str">
        <f>P16</f>
        <v>PN. Tanjung Jabung Tmr.</v>
      </c>
      <c r="C334" s="12" t="str">
        <f>A334&amp;" "&amp;B334</f>
        <v>005011000477400000KD PN. Tanjung Jabung Tmr.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1187750</v>
      </c>
      <c r="E337" s="25">
        <f>SUMIFS('Daftar Koreksi'!$H$5:$H$92,'Daftar Koreksi'!$D$5:$D$92,'1000'!A334,'Daftar Koreksi'!$G$5:$G$92,"Persediaan",'Daftar Koreksi'!$H$5:$H$92,"&gt;0")</f>
        <v>0</v>
      </c>
      <c r="F337" s="25">
        <f>SUMIFS('Daftar Koreksi'!$H$5:$H$92,'Daftar Koreksi'!$D$5:$D$92,'1000'!A334,'Daftar Koreksi'!$G$5:$G$92,"Persediaan",'Daftar Koreksi'!$H$5:$H$92,"&lt;0")-SUMIFS('Daftar Koreksi'!$H$5:$H$92,'Daftar Koreksi'!$D$5:$D$92,'1000'!A334,'Daftar Koreksi'!$G$5:$G$92,"Persediaan",'Daftar Koreksi'!$H$5:$H$92,"&lt;0")-SUMIFS('Daftar Koreksi'!$H$5:$H$92,'Daftar Koreksi'!$D$5:$D$92,'1000'!A334,'Daftar Koreksi'!$G$5:$G$92,"Persediaan",'Daftar Koreksi'!$H$5:$H$92,"&lt;0")</f>
        <v>0</v>
      </c>
      <c r="G337" s="17">
        <f>D337+E337-F337</f>
        <v>1187750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0</v>
      </c>
      <c r="E338" s="25">
        <f>SUMIFS('Daftar Koreksi'!$H$5:$H$92,'Daftar Koreksi'!$D$5:$D$92,'1000'!A334,'Daftar Koreksi'!$G$5:$G$92,"Tanah",'Daftar Koreksi'!$H$5:$H$92,"&gt;0")</f>
        <v>0</v>
      </c>
      <c r="F338" s="25">
        <f>SUMIFS('Daftar Koreksi'!$H$5:$H$92,'Daftar Koreksi'!$D$5:$D$92,'1000'!A334,'Daftar Koreksi'!$G$5:$G$92,"Tanah",'Daftar Koreksi'!$H$5:$H$92,"&lt;0")-SUMIFS('Daftar Koreksi'!$H$5:$H$92,'Daftar Koreksi'!$D$5:$D$92,'1000'!A334,'Daftar Koreksi'!$G$5:$G$92,"Tanah",'Daftar Koreksi'!$H$5:$H$92,"&lt;0")-SUMIFS('Daftar Koreksi'!$H$5:$H$92,'Daftar Koreksi'!$D$5:$D$92,'1000'!A334,'Daftar Koreksi'!$G$5:$G$92,"Tanah",'Daftar Koreksi'!$H$5:$H$92,"&lt;0")</f>
        <v>0</v>
      </c>
      <c r="G338" s="17">
        <f t="shared" ref="G338:G354" si="15">D338+E338-F338</f>
        <v>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1355075691</v>
      </c>
      <c r="E339" s="25">
        <f>SUMIFS('Daftar Koreksi'!$H$5:$H$92,'Daftar Koreksi'!$D$5:$D$92,'1000'!A334,'Daftar Koreksi'!$G$5:$G$92,"Peralatan dan mesin",'Daftar Koreksi'!$H$5:$H$92,"&gt;0")</f>
        <v>0</v>
      </c>
      <c r="F339" s="25">
        <f>SUMIFS('Daftar Koreksi'!$H$5:$H$92,'Daftar Koreksi'!$D$5:$D$92,'1000'!A334,'Daftar Koreksi'!$G$5:$G$92,"Peralatan dan mesin",'Daftar Koreksi'!$H$5:$H$92,"&lt;0")-SUMIFS('Daftar Koreksi'!$H$5:$H$92,'Daftar Koreksi'!$D$5:$D$92,'1000'!A334,'Daftar Koreksi'!$G$5:$G$92,"Peralatan dan mesin",'Daftar Koreksi'!$H$5:$H$92,"&lt;0")-SUMIFS('Daftar Koreksi'!$H$5:$H$92,'Daftar Koreksi'!$D$5:$D$92,'1000'!A334,'Daftar Koreksi'!$G$5:$G$92,"Peralatan dan mesin",'Daftar Koreksi'!$H$5:$H$92,"&lt;0")</f>
        <v>0</v>
      </c>
      <c r="G339" s="17">
        <f t="shared" si="15"/>
        <v>1355075691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4735099000</v>
      </c>
      <c r="E340" s="25">
        <f>SUMIFS('Daftar Koreksi'!$H$5:$H$92,'Daftar Koreksi'!$D$5:$D$92,'1000'!A334,'Daftar Koreksi'!$G$5:$G$92,"Gedung dan Bangunan",'Daftar Koreksi'!$H$5:$H$92,"&gt;0")</f>
        <v>0</v>
      </c>
      <c r="F340" s="25">
        <f>SUMIFS('Daftar Koreksi'!$H$5:$H$92,'Daftar Koreksi'!$D$5:$D$92,'1000'!A334,'Daftar Koreksi'!$G$5:$G$92,"Gedung dan Bangunan",'Daftar Koreksi'!$H$5:$H$92,"&lt;0")-SUMIFS('Daftar Koreksi'!$H$5:$H$92,'Daftar Koreksi'!$D$5:$D$92,'1000'!A334,'Daftar Koreksi'!$G$5:$G$92,"Gedung dan Bangunan",'Daftar Koreksi'!$H$5:$H$92,"&lt;0")-SUMIFS('Daftar Koreksi'!$H$5:$H$92,'Daftar Koreksi'!$D$5:$D$92,'1000'!A334,'Daftar Koreksi'!$G$5:$G$92,"Gedung dan Bangunan",'Daftar Koreksi'!$H$5:$H$92,"&lt;0")</f>
        <v>0</v>
      </c>
      <c r="G340" s="17">
        <f t="shared" si="15"/>
        <v>4735099000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Koreksi'!$D$5:$D$92,'1000'!A334,'Daftar Koreksi'!$G$5:$G$92,"Jalan Irigasi Jaringan",'Daftar Koreksi'!$H$5:$H$92,"&gt;0")</f>
        <v>0</v>
      </c>
      <c r="F341" s="25">
        <f>SUMIFS('Daftar Koreksi'!$H$5:$H$92,'Daftar Koreksi'!$D$5:$D$92,'1000'!A334,'Daftar Koreksi'!$G$5:$G$92,"Jalan Irigasi Jaringan",'Daftar Koreksi'!$H$5:$H$92,"&lt;0")-SUMIFS('Daftar Koreksi'!$H$5:$H$92,'Daftar Koreksi'!$D$5:$D$92,'1000'!A334,'Daftar Koreksi'!$G$5:$G$92,"Jalan Irigasi Jaringan",'Daftar Koreksi'!$H$5:$H$92,"&lt;0")-SUMIFS('Daftar Koreksi'!$H$5:$H$92,'Daftar Koreksi'!$D$5:$D$92,'1000'!A334,'Daftar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1943440</v>
      </c>
      <c r="E342" s="25">
        <f>SUMIFS('Daftar Koreksi'!$H$5:$H$92,'Daftar Koreksi'!$D$5:$D$92,'1000'!A334,'Daftar Koreksi'!$G$5:$G$92,"Aset Tetap Lainnya",'Daftar Koreksi'!$H$5:$H$92,"&gt;0")</f>
        <v>0</v>
      </c>
      <c r="F342" s="25">
        <f>SUMIFS('Daftar Koreksi'!$H$5:$H$92,'Daftar Koreksi'!$D$5:$D$92,'1000'!A334,'Daftar Koreksi'!$G$5:$G$92,"Aset Tetap Lainnya",'Daftar Koreksi'!$H$5:$H$92,"&lt;0")-SUMIFS('Daftar Koreksi'!$H$5:$H$92,'Daftar Koreksi'!$D$5:$D$92,'1000'!A334,'Daftar Koreksi'!$G$5:$G$92,"Aset Tetap Lainnya",'Daftar Koreksi'!$H$5:$H$92,"&lt;0")-SUMIFS('Daftar Koreksi'!$H$5:$H$92,'Daftar Koreksi'!$D$5:$D$92,'1000'!A334,'Daftar Koreksi'!$G$5:$G$92,"Aset Tetap Lainnya",'Daftar Koreksi'!$H$5:$H$92,"&lt;0")</f>
        <v>0</v>
      </c>
      <c r="G342" s="17">
        <f t="shared" si="15"/>
        <v>1943440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Koreksi'!$D$5:$D$92,'1000'!A334,'Daftar Koreksi'!$G$5:$G$92,"Kontruksi Dalam Pengerjaan",'Daftar Koreksi'!$H$5:$H$92,"&gt;0")</f>
        <v>0</v>
      </c>
      <c r="F343" s="25">
        <f>SUMIFS('Daftar Koreksi'!$H$5:$H$92,'Daftar Koreksi'!$D$5:$D$92,'1000'!A334,'Daftar Koreksi'!$G$5:$G$92,"Kontruksi Dalam Pengerjaan",'Daftar Koreksi'!$H$5:$H$92,"&lt;0")-SUMIFS('Daftar Koreksi'!$H$5:$H$92,'Daftar Koreksi'!$D$5:$D$92,'1000'!A334,'Daftar Koreksi'!$G$5:$G$92,"Kontruksi Dalam Pengerjaan",'Daftar Koreksi'!$H$5:$H$92,"&lt;0")-SUMIFS('Daftar Koreksi'!$H$5:$H$92,'Daftar Koreksi'!$D$5:$D$92,'1000'!A334,'Daftar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Koreksi'!$D$5:$D$92,'1000'!A334,'Daftar Koreksi'!$G$5:$G$92,"Aset Tak Berwujud",'Daftar Koreksi'!$H$5:$H$92,"&gt;0")</f>
        <v>0</v>
      </c>
      <c r="F344" s="25">
        <f>SUMIFS('Daftar Koreksi'!$H$5:$H$92,'Daftar Koreksi'!$D$5:$D$92,'1000'!A334,'Daftar Koreksi'!$G$5:$G$92,"Aset Tak Berwujud",'Daftar Koreksi'!$H$5:$H$92,"&lt;0")-SUMIFS('Daftar Koreksi'!$H$5:$H$92,'Daftar Koreksi'!$D$5:$D$92,'1000'!A334,'Daftar Koreksi'!$G$5:$G$92,"Aset Tak Berwujud",'Daftar Koreksi'!$H$5:$H$92,"&lt;0")-SUMIFS('Daftar Koreksi'!$H$5:$H$92,'Daftar Koreksi'!$D$5:$D$92,'1000'!A334,'Daftar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128118750</v>
      </c>
      <c r="E345" s="25">
        <f>SUMIFS('Daftar Koreksi'!$H$5:$H$92,'Daftar Koreksi'!$D$5:$D$92,'1000'!A334,'Daftar Koreksi'!$G$5:$G$92,"Aset Henti Guna",'Daftar Koreksi'!$H$5:$H$92,"&gt;0")</f>
        <v>0</v>
      </c>
      <c r="F345" s="25">
        <f>SUMIFS('Daftar Koreksi'!$H$5:$H$92,'Daftar Koreksi'!$D$5:$D$92,'1000'!A334,'Daftar Koreksi'!$G$5:$G$92,"Aset Henti Guna",'Daftar Koreksi'!$H$5:$H$92,"&lt;0")-SUMIFS('Daftar Koreksi'!$H$5:$H$92,'Daftar Koreksi'!$D$5:$D$92,'1000'!A334,'Daftar Koreksi'!$G$5:$G$92,"Aset Henti Guna",'Daftar Koreksi'!$H$5:$H$92,"&lt;0")-SUMIFS('Daftar Koreksi'!$H$5:$H$92,'Daftar Koreksi'!$D$5:$D$92,'1000'!A334,'Daftar Koreksi'!$G$5:$G$92,"Aset Henti Guna",'Daftar Koreksi'!$H$5:$H$92,"&lt;0")</f>
        <v>0</v>
      </c>
      <c r="G345" s="17">
        <f t="shared" si="15"/>
        <v>128118750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6221424631</v>
      </c>
      <c r="E346" s="19">
        <f>SUM(E337:E345)</f>
        <v>0</v>
      </c>
      <c r="F346" s="19">
        <f>SUM(F337:F345)</f>
        <v>0</v>
      </c>
      <c r="G346" s="19">
        <f t="shared" si="15"/>
        <v>6221424631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-1108763526</v>
      </c>
      <c r="E347" s="25">
        <f>SUMIFS('Daftar Koreksi'!$I$5:$I$92,'Daftar Koreksi'!$D$5:$D$92,'1000'!A334,'Daftar Koreksi'!$G$5:$G$92,"Peralatan dan mesin",'Daftar Koreksi'!$I$5:$I$92,"&gt;0")</f>
        <v>0</v>
      </c>
      <c r="F347" s="25">
        <f>SUMIFS('Daftar Koreksi'!$I$5:$I$92,'Daftar Koreksi'!$D$5:$D$92,'1000'!A334,'Daftar Koreksi'!$G$5:$G$92,"Peralatan dan mesin",'Daftar Koreksi'!$I$5:$I$92,"&lt;0")-SUMIFS('Daftar Koreksi'!$I$5:$I$92,'Daftar Koreksi'!$D$5:$D$92,'1000'!A334,'Daftar Koreksi'!$G$5:$G$92,"Peralatan dan mesin",'Daftar Koreksi'!$I$5:$I$92,"&lt;0")-SUMIFS('Daftar Koreksi'!$I$5:$I$92,'Daftar Koreksi'!$D$5:$D$92,'1000'!A334,'Daftar Koreksi'!$G$5:$G$92,"Peralatan dan mesin",'Daftar Koreksi'!$I$5:$I$92,"&lt;0")</f>
        <v>0</v>
      </c>
      <c r="G347" s="17">
        <f t="shared" si="15"/>
        <v>-1108763526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-729053150</v>
      </c>
      <c r="E348" s="25">
        <f>SUMIFS('Daftar Koreksi'!$I$5:$I$92,'Daftar Koreksi'!$D$5:$D$92,'1000'!A334,'Daftar Koreksi'!$G$5:$G$92,"Gedung dan Bangunan",'Daftar Koreksi'!$I$5:$I$92,"&gt;0")</f>
        <v>0</v>
      </c>
      <c r="F348" s="25">
        <f>SUMIFS('Daftar Koreksi'!$I$5:$I$92,'Daftar Koreksi'!$D$5:$D$92,'1000'!A334,'Daftar Koreksi'!$G$5:$G$92,"Gedung dan Bangunan",'Daftar Koreksi'!$I$5:$I$92,"&lt;0")-SUMIFS('Daftar Koreksi'!$I$5:$I$92,'Daftar Koreksi'!$D$5:$D$92,'1000'!A334,'Daftar Koreksi'!$G$5:$G$92,"Gedung dan Bangunan",'Daftar Koreksi'!$I$5:$I$92,"&lt;0")-SUMIFS('Daftar Koreksi'!$I$5:$I$92,'Daftar Koreksi'!$D$5:$D$92,'1000'!A334,'Daftar Koreksi'!$G$5:$G$92,"Gedung dan Bangunan",'Daftar Koreksi'!$I$5:$I$92,"&lt;0")</f>
        <v>0</v>
      </c>
      <c r="G348" s="17">
        <f t="shared" si="15"/>
        <v>-729053150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Koreksi'!$D$5:$D$92,'1000'!A334,'Daftar Koreksi'!$G$5:$G$92,"Jalan Irigasi Jaringan",'Daftar Koreksi'!$I$5:$I$92,"&gt;0")</f>
        <v>0</v>
      </c>
      <c r="F349" s="25">
        <f>SUMIFS('Daftar Koreksi'!$I$5:$I$92,'Daftar Koreksi'!$D$5:$D$92,'1000'!A334,'Daftar Koreksi'!$G$5:$G$92,"Jalan Irigasi Jaringan",'Daftar Koreksi'!$I$5:$I$92,"&lt;0")-SUMIFS('Daftar Koreksi'!$I$5:$I$92,'Daftar Koreksi'!$D$5:$D$92,'1000'!A334,'Daftar Koreksi'!$G$5:$G$92,"Jalan Irigasi Jaringan",'Daftar Koreksi'!$I$5:$I$92,"&lt;0")-SUMIFS('Daftar Koreksi'!$I$5:$I$92,'Daftar Koreksi'!$D$5:$D$92,'1000'!A334,'Daftar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Koreksi'!$D$5:$D$92,'1000'!A334,'Daftar Koreksi'!$G$5:$G$92,"Aset Tetap Lainnya",'Daftar Koreksi'!$I$5:$I$92,"&gt;0")</f>
        <v>0</v>
      </c>
      <c r="F350" s="25">
        <f>SUMIFS('Daftar Koreksi'!$I$5:$I$92,'Daftar Koreksi'!$D$5:$D$92,'1000'!A334,'Daftar Koreksi'!$G$5:$G$92,"Aset Tetap Lainnya",'Daftar Koreksi'!$I$5:$I$92,"&lt;0")-SUMIFS('Daftar Koreksi'!$I$5:$I$92,'Daftar Koreksi'!$D$5:$D$92,'1000'!A334,'Daftar Koreksi'!$G$5:$G$92,"Aset Tetap Lainnya",'Daftar Koreksi'!$I$5:$I$92,"&lt;0")-SUMIFS('Daftar Koreksi'!$I$5:$I$92,'Daftar Koreksi'!$D$5:$D$92,'1000'!A334,'Daftar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-127806250</v>
      </c>
      <c r="E351" s="25">
        <f>SUMIFS('Daftar Koreksi'!$I$5:$I$92,'Daftar Koreksi'!$D$5:$D$92,'1000'!A334,'Daftar Koreksi'!$G$5:$G$92,"Aset Henti Guna",'Daftar Koreksi'!$I$5:$I$92,"&gt;0")</f>
        <v>0</v>
      </c>
      <c r="F351" s="25">
        <f>SUMIFS('Daftar Koreksi'!$I$5:$I$92,'Daftar Koreksi'!$D$5:$D$92,'1000'!A334,'Daftar Koreksi'!$G$5:$G$92,"Aset Henti Guna",'Daftar Koreksi'!$I$5:$I$92,"&lt;0")-SUMIFS('Daftar Koreksi'!$I$5:$I$92,'Daftar Koreksi'!$D$5:$D$92,'1000'!A334,'Daftar Koreksi'!$G$5:$G$92,"Aset Henti Guna",'Daftar Koreksi'!$I$5:$I$92,"&lt;0")-SUMIFS('Daftar Koreksi'!$I$5:$I$92,'Daftar Koreksi'!$D$5:$D$92,'1000'!A334,'Daftar Koreksi'!$G$5:$G$92,"Aset Henti Guna",'Daftar Koreksi'!$I$5:$I$92,"&lt;0")</f>
        <v>0</v>
      </c>
      <c r="G351" s="17">
        <f t="shared" si="15"/>
        <v>-127806250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-1965622926</v>
      </c>
      <c r="E352" s="19">
        <f>SUM(E347:E351)</f>
        <v>0</v>
      </c>
      <c r="F352" s="19">
        <f>SUM(F347:F351)</f>
        <v>0</v>
      </c>
      <c r="G352" s="19">
        <f t="shared" si="15"/>
        <v>-1965622926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4255801705</v>
      </c>
      <c r="E353" s="19">
        <f>E352+E346</f>
        <v>0</v>
      </c>
      <c r="F353" s="19">
        <f>F352+F346</f>
        <v>0</v>
      </c>
      <c r="G353" s="19">
        <f t="shared" si="15"/>
        <v>4255801705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005011000547661000KD</v>
      </c>
      <c r="B356" s="11" t="str">
        <f>P17</f>
        <v>PTA. Jambi</v>
      </c>
      <c r="C356" s="12" t="str">
        <f>A356&amp;" "&amp;B356</f>
        <v>005011000547661000KD PTA. Jambi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6374795</v>
      </c>
      <c r="E359" s="25">
        <f>SUMIFS('Daftar Koreksi'!$H$5:$H$92,'Daftar Koreksi'!$D$5:$D$92,'1000'!A356,'Daftar Koreksi'!$G$5:$G$92,"Persediaan",'Daftar Koreksi'!$H$5:$H$92,"&gt;0")</f>
        <v>0</v>
      </c>
      <c r="F359" s="25">
        <f>SUMIFS('Daftar Koreksi'!$H$5:$H$92,'Daftar Koreksi'!$D$5:$D$92,'1000'!A356,'Daftar Koreksi'!$G$5:$G$92,"Persediaan",'Daftar Koreksi'!$H$5:$H$92,"&lt;0")-SUMIFS('Daftar Koreksi'!$H$5:$H$92,'Daftar Koreksi'!$D$5:$D$92,'1000'!A356,'Daftar Koreksi'!$G$5:$G$92,"Persediaan",'Daftar Koreksi'!$H$5:$H$92,"&lt;0")-SUMIFS('Daftar Koreksi'!$H$5:$H$92,'Daftar Koreksi'!$D$5:$D$92,'1000'!A356,'Daftar Koreksi'!$G$5:$G$92,"Persediaan",'Daftar Koreksi'!$H$5:$H$92,"&lt;0")</f>
        <v>0</v>
      </c>
      <c r="G359" s="17">
        <f>D359+E359-F359</f>
        <v>6374795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119770000</v>
      </c>
      <c r="E360" s="25">
        <f>SUMIFS('Daftar Koreksi'!$H$5:$H$92,'Daftar Koreksi'!$D$5:$D$92,'1000'!A356,'Daftar Koreksi'!$G$5:$G$92,"Tanah",'Daftar Koreksi'!$H$5:$H$92,"&gt;0")</f>
        <v>0</v>
      </c>
      <c r="F360" s="25">
        <f>SUMIFS('Daftar Koreksi'!$H$5:$H$92,'Daftar Koreksi'!$D$5:$D$92,'1000'!A356,'Daftar Koreksi'!$G$5:$G$92,"Tanah",'Daftar Koreksi'!$H$5:$H$92,"&lt;0")-SUMIFS('Daftar Koreksi'!$H$5:$H$92,'Daftar Koreksi'!$D$5:$D$92,'1000'!A356,'Daftar Koreksi'!$G$5:$G$92,"Tanah",'Daftar Koreksi'!$H$5:$H$92,"&lt;0")-SUMIFS('Daftar Koreksi'!$H$5:$H$92,'Daftar Koreksi'!$D$5:$D$92,'1000'!A356,'Daftar Koreksi'!$G$5:$G$92,"Tanah",'Daftar Koreksi'!$H$5:$H$92,"&lt;0")</f>
        <v>0</v>
      </c>
      <c r="G360" s="17">
        <f t="shared" ref="G360:G376" si="16">D360+E360-F360</f>
        <v>119770000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3606915273</v>
      </c>
      <c r="E361" s="25">
        <f>SUMIFS('Daftar Koreksi'!$H$5:$H$92,'Daftar Koreksi'!$D$5:$D$92,'1000'!A356,'Daftar Koreksi'!$G$5:$G$92,"Peralatan dan mesin",'Daftar Koreksi'!$H$5:$H$92,"&gt;0")</f>
        <v>0</v>
      </c>
      <c r="F361" s="25">
        <f>SUMIFS('Daftar Koreksi'!$H$5:$H$92,'Daftar Koreksi'!$D$5:$D$92,'1000'!A356,'Daftar Koreksi'!$G$5:$G$92,"Peralatan dan mesin",'Daftar Koreksi'!$H$5:$H$92,"&lt;0")-SUMIFS('Daftar Koreksi'!$H$5:$H$92,'Daftar Koreksi'!$D$5:$D$92,'1000'!A356,'Daftar Koreksi'!$G$5:$G$92,"Peralatan dan mesin",'Daftar Koreksi'!$H$5:$H$92,"&lt;0")-SUMIFS('Daftar Koreksi'!$H$5:$H$92,'Daftar Koreksi'!$D$5:$D$92,'1000'!A356,'Daftar Koreksi'!$G$5:$G$92,"Peralatan dan mesin",'Daftar Koreksi'!$H$5:$H$92,"&lt;0")</f>
        <v>0</v>
      </c>
      <c r="G361" s="17">
        <f t="shared" si="16"/>
        <v>3606915273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5717085750</v>
      </c>
      <c r="E362" s="25">
        <f>SUMIFS('Daftar Koreksi'!$H$5:$H$92,'Daftar Koreksi'!$D$5:$D$92,'1000'!A356,'Daftar Koreksi'!$G$5:$G$92,"Gedung dan Bangunan",'Daftar Koreksi'!$H$5:$H$92,"&gt;0")</f>
        <v>0</v>
      </c>
      <c r="F362" s="25">
        <f>SUMIFS('Daftar Koreksi'!$H$5:$H$92,'Daftar Koreksi'!$D$5:$D$92,'1000'!A356,'Daftar Koreksi'!$G$5:$G$92,"Gedung dan Bangunan",'Daftar Koreksi'!$H$5:$H$92,"&lt;0")-SUMIFS('Daftar Koreksi'!$H$5:$H$92,'Daftar Koreksi'!$D$5:$D$92,'1000'!A356,'Daftar Koreksi'!$G$5:$G$92,"Gedung dan Bangunan",'Daftar Koreksi'!$H$5:$H$92,"&lt;0")-SUMIFS('Daftar Koreksi'!$H$5:$H$92,'Daftar Koreksi'!$D$5:$D$92,'1000'!A356,'Daftar Koreksi'!$G$5:$G$92,"Gedung dan Bangunan",'Daftar Koreksi'!$H$5:$H$92,"&lt;0")</f>
        <v>0</v>
      </c>
      <c r="G362" s="17">
        <f t="shared" si="16"/>
        <v>5717085750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143833309</v>
      </c>
      <c r="E363" s="25">
        <f>SUMIFS('Daftar Koreksi'!$H$5:$H$92,'Daftar Koreksi'!$D$5:$D$92,'1000'!A356,'Daftar Koreksi'!$G$5:$G$92,"Jalan Irigasi Jaringan",'Daftar Koreksi'!$H$5:$H$92,"&gt;0")</f>
        <v>0</v>
      </c>
      <c r="F363" s="25">
        <f>SUMIFS('Daftar Koreksi'!$H$5:$H$92,'Daftar Koreksi'!$D$5:$D$92,'1000'!A356,'Daftar Koreksi'!$G$5:$G$92,"Jalan Irigasi Jaringan",'Daftar Koreksi'!$H$5:$H$92,"&lt;0")-SUMIFS('Daftar Koreksi'!$H$5:$H$92,'Daftar Koreksi'!$D$5:$D$92,'1000'!A356,'Daftar Koreksi'!$G$5:$G$92,"Jalan Irigasi Jaringan",'Daftar Koreksi'!$H$5:$H$92,"&lt;0")-SUMIFS('Daftar Koreksi'!$H$5:$H$92,'Daftar Koreksi'!$D$5:$D$92,'1000'!A356,'Daftar Koreksi'!$G$5:$G$92,"Jalan Irigasi Jaringan",'Daftar Koreksi'!$H$5:$H$92,"&lt;0")</f>
        <v>0</v>
      </c>
      <c r="G363" s="17">
        <f t="shared" si="16"/>
        <v>143833309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144047648</v>
      </c>
      <c r="E364" s="25">
        <f>SUMIFS('Daftar Koreksi'!$H$5:$H$92,'Daftar Koreksi'!$D$5:$D$92,'1000'!A356,'Daftar Koreksi'!$G$5:$G$92,"Aset Tetap Lainnya",'Daftar Koreksi'!$H$5:$H$92,"&gt;0")</f>
        <v>0</v>
      </c>
      <c r="F364" s="25">
        <f>SUMIFS('Daftar Koreksi'!$H$5:$H$92,'Daftar Koreksi'!$D$5:$D$92,'1000'!A356,'Daftar Koreksi'!$G$5:$G$92,"Aset Tetap Lainnya",'Daftar Koreksi'!$H$5:$H$92,"&lt;0")-SUMIFS('Daftar Koreksi'!$H$5:$H$92,'Daftar Koreksi'!$D$5:$D$92,'1000'!A356,'Daftar Koreksi'!$G$5:$G$92,"Aset Tetap Lainnya",'Daftar Koreksi'!$H$5:$H$92,"&lt;0")-SUMIFS('Daftar Koreksi'!$H$5:$H$92,'Daftar Koreksi'!$D$5:$D$92,'1000'!A356,'Daftar Koreksi'!$G$5:$G$92,"Aset Tetap Lainnya",'Daftar Koreksi'!$H$5:$H$92,"&lt;0")</f>
        <v>0</v>
      </c>
      <c r="G364" s="17">
        <f t="shared" si="16"/>
        <v>144047648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Koreksi'!$D$5:$D$92,'1000'!A356,'Daftar Koreksi'!$G$5:$G$92,"Kontruksi Dalam Pengerjaan",'Daftar Koreksi'!$H$5:$H$92,"&gt;0")</f>
        <v>0</v>
      </c>
      <c r="F365" s="25">
        <f>SUMIFS('Daftar Koreksi'!$H$5:$H$92,'Daftar Koreksi'!$D$5:$D$92,'1000'!A356,'Daftar Koreksi'!$G$5:$G$92,"Kontruksi Dalam Pengerjaan",'Daftar Koreksi'!$H$5:$H$92,"&lt;0")-SUMIFS('Daftar Koreksi'!$H$5:$H$92,'Daftar Koreksi'!$D$5:$D$92,'1000'!A356,'Daftar Koreksi'!$G$5:$G$92,"Kontruksi Dalam Pengerjaan",'Daftar Koreksi'!$H$5:$H$92,"&lt;0")-SUMIFS('Daftar Koreksi'!$H$5:$H$92,'Daftar Koreksi'!$D$5:$D$92,'1000'!A356,'Daftar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40500000</v>
      </c>
      <c r="E366" s="25">
        <f>SUMIFS('Daftar Koreksi'!$H$5:$H$92,'Daftar Koreksi'!$D$5:$D$92,'1000'!A356,'Daftar Koreksi'!$G$5:$G$92,"Aset Tak Berwujud",'Daftar Koreksi'!$H$5:$H$92,"&gt;0")</f>
        <v>0</v>
      </c>
      <c r="F366" s="25">
        <f>SUMIFS('Daftar Koreksi'!$H$5:$H$92,'Daftar Koreksi'!$D$5:$D$92,'1000'!A356,'Daftar Koreksi'!$G$5:$G$92,"Aset Tak Berwujud",'Daftar Koreksi'!$H$5:$H$92,"&lt;0")-SUMIFS('Daftar Koreksi'!$H$5:$H$92,'Daftar Koreksi'!$D$5:$D$92,'1000'!A356,'Daftar Koreksi'!$G$5:$G$92,"Aset Tak Berwujud",'Daftar Koreksi'!$H$5:$H$92,"&lt;0")-SUMIFS('Daftar Koreksi'!$H$5:$H$92,'Daftar Koreksi'!$D$5:$D$92,'1000'!A356,'Daftar Koreksi'!$G$5:$G$92,"Aset Tak Berwujud",'Daftar Koreksi'!$H$5:$H$92,"&lt;0")</f>
        <v>0</v>
      </c>
      <c r="G366" s="17">
        <f t="shared" si="16"/>
        <v>40500000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286857094</v>
      </c>
      <c r="E367" s="25">
        <f>SUMIFS('Daftar Koreksi'!$H$5:$H$92,'Daftar Koreksi'!$D$5:$D$92,'1000'!A356,'Daftar Koreksi'!$G$5:$G$92,"Aset Henti Guna",'Daftar Koreksi'!$H$5:$H$92,"&gt;0")</f>
        <v>0</v>
      </c>
      <c r="F367" s="25">
        <f>SUMIFS('Daftar Koreksi'!$H$5:$H$92,'Daftar Koreksi'!$D$5:$D$92,'1000'!A356,'Daftar Koreksi'!$G$5:$G$92,"Aset Henti Guna",'Daftar Koreksi'!$H$5:$H$92,"&lt;0")-SUMIFS('Daftar Koreksi'!$H$5:$H$92,'Daftar Koreksi'!$D$5:$D$92,'1000'!A356,'Daftar Koreksi'!$G$5:$G$92,"Aset Henti Guna",'Daftar Koreksi'!$H$5:$H$92,"&lt;0")-SUMIFS('Daftar Koreksi'!$H$5:$H$92,'Daftar Koreksi'!$D$5:$D$92,'1000'!A356,'Daftar Koreksi'!$G$5:$G$92,"Aset Henti Guna",'Daftar Koreksi'!$H$5:$H$92,"&lt;0")</f>
        <v>0</v>
      </c>
      <c r="G367" s="17">
        <f t="shared" si="16"/>
        <v>286857094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10065383869</v>
      </c>
      <c r="E368" s="19">
        <f>SUM(E359:E367)</f>
        <v>0</v>
      </c>
      <c r="F368" s="19">
        <f>SUM(F359:F367)</f>
        <v>0</v>
      </c>
      <c r="G368" s="19">
        <f t="shared" si="16"/>
        <v>10065383869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-3310327781</v>
      </c>
      <c r="E369" s="25">
        <f>SUMIFS('Daftar Koreksi'!$I$5:$I$92,'Daftar Koreksi'!$D$5:$D$92,'1000'!A356,'Daftar Koreksi'!$G$5:$G$92,"Peralatan dan mesin",'Daftar Koreksi'!$I$5:$I$92,"&gt;0")</f>
        <v>0</v>
      </c>
      <c r="F369" s="25">
        <f>SUMIFS('Daftar Koreksi'!$I$5:$I$92,'Daftar Koreksi'!$D$5:$D$92,'1000'!A356,'Daftar Koreksi'!$G$5:$G$92,"Peralatan dan mesin",'Daftar Koreksi'!$I$5:$I$92,"&lt;0")-SUMIFS('Daftar Koreksi'!$I$5:$I$92,'Daftar Koreksi'!$D$5:$D$92,'1000'!A356,'Daftar Koreksi'!$G$5:$G$92,"Peralatan dan mesin",'Daftar Koreksi'!$I$5:$I$92,"&lt;0")-SUMIFS('Daftar Koreksi'!$I$5:$I$92,'Daftar Koreksi'!$D$5:$D$92,'1000'!A356,'Daftar Koreksi'!$G$5:$G$92,"Peralatan dan mesin",'Daftar Koreksi'!$I$5:$I$92,"&lt;0")</f>
        <v>0</v>
      </c>
      <c r="G369" s="17">
        <f t="shared" si="16"/>
        <v>-3310327781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-825858190</v>
      </c>
      <c r="E370" s="25">
        <f>SUMIFS('Daftar Koreksi'!$I$5:$I$92,'Daftar Koreksi'!$D$5:$D$92,'1000'!A356,'Daftar Koreksi'!$G$5:$G$92,"Gedung dan Bangunan",'Daftar Koreksi'!$I$5:$I$92,"&gt;0")</f>
        <v>0</v>
      </c>
      <c r="F370" s="25">
        <f>SUMIFS('Daftar Koreksi'!$I$5:$I$92,'Daftar Koreksi'!$D$5:$D$92,'1000'!A356,'Daftar Koreksi'!$G$5:$G$92,"Gedung dan Bangunan",'Daftar Koreksi'!$I$5:$I$92,"&lt;0")-SUMIFS('Daftar Koreksi'!$I$5:$I$92,'Daftar Koreksi'!$D$5:$D$92,'1000'!A356,'Daftar Koreksi'!$G$5:$G$92,"Gedung dan Bangunan",'Daftar Koreksi'!$I$5:$I$92,"&lt;0")-SUMIFS('Daftar Koreksi'!$I$5:$I$92,'Daftar Koreksi'!$D$5:$D$92,'1000'!A356,'Daftar Koreksi'!$G$5:$G$92,"Gedung dan Bangunan",'Daftar Koreksi'!$I$5:$I$92,"&lt;0")</f>
        <v>0</v>
      </c>
      <c r="G370" s="17">
        <f t="shared" si="16"/>
        <v>-825858190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-64419106</v>
      </c>
      <c r="E371" s="25">
        <f>SUMIFS('Daftar Koreksi'!$I$5:$I$92,'Daftar Koreksi'!$D$5:$D$92,'1000'!A356,'Daftar Koreksi'!$G$5:$G$92,"Jalan Irigasi Jaringan",'Daftar Koreksi'!$I$5:$I$92,"&gt;0")</f>
        <v>0</v>
      </c>
      <c r="F371" s="25">
        <f>SUMIFS('Daftar Koreksi'!$I$5:$I$92,'Daftar Koreksi'!$D$5:$D$92,'1000'!A356,'Daftar Koreksi'!$G$5:$G$92,"Jalan Irigasi Jaringan",'Daftar Koreksi'!$I$5:$I$92,"&lt;0")-SUMIFS('Daftar Koreksi'!$I$5:$I$92,'Daftar Koreksi'!$D$5:$D$92,'1000'!A356,'Daftar Koreksi'!$G$5:$G$92,"Jalan Irigasi Jaringan",'Daftar Koreksi'!$I$5:$I$92,"&lt;0")-SUMIFS('Daftar Koreksi'!$I$5:$I$92,'Daftar Koreksi'!$D$5:$D$92,'1000'!A356,'Daftar Koreksi'!$G$5:$G$92,"Jalan Irigasi Jaringan",'Daftar Koreksi'!$I$5:$I$92,"&lt;0")</f>
        <v>0</v>
      </c>
      <c r="G371" s="17">
        <f t="shared" si="16"/>
        <v>-64419106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Koreksi'!$D$5:$D$92,'1000'!A356,'Daftar Koreksi'!$G$5:$G$92,"Aset Tetap Lainnya",'Daftar Koreksi'!$I$5:$I$92,"&gt;0")</f>
        <v>0</v>
      </c>
      <c r="F372" s="25">
        <f>SUMIFS('Daftar Koreksi'!$I$5:$I$92,'Daftar Koreksi'!$D$5:$D$92,'1000'!A356,'Daftar Koreksi'!$G$5:$G$92,"Aset Tetap Lainnya",'Daftar Koreksi'!$I$5:$I$92,"&lt;0")-SUMIFS('Daftar Koreksi'!$I$5:$I$92,'Daftar Koreksi'!$D$5:$D$92,'1000'!A356,'Daftar Koreksi'!$G$5:$G$92,"Aset Tetap Lainnya",'Daftar Koreksi'!$I$5:$I$92,"&lt;0")-SUMIFS('Daftar Koreksi'!$I$5:$I$92,'Daftar Koreksi'!$D$5:$D$92,'1000'!A356,'Daftar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-286857094</v>
      </c>
      <c r="E373" s="25">
        <f>SUMIFS('Daftar Koreksi'!$I$5:$I$92,'Daftar Koreksi'!$D$5:$D$92,'1000'!A356,'Daftar Koreksi'!$G$5:$G$92,"Aset Henti Guna",'Daftar Koreksi'!$I$5:$I$92,"&gt;0")</f>
        <v>0</v>
      </c>
      <c r="F373" s="25">
        <f>SUMIFS('Daftar Koreksi'!$I$5:$I$92,'Daftar Koreksi'!$D$5:$D$92,'1000'!A356,'Daftar Koreksi'!$G$5:$G$92,"Aset Henti Guna",'Daftar Koreksi'!$I$5:$I$92,"&lt;0")-SUMIFS('Daftar Koreksi'!$I$5:$I$92,'Daftar Koreksi'!$D$5:$D$92,'1000'!A356,'Daftar Koreksi'!$G$5:$G$92,"Aset Henti Guna",'Daftar Koreksi'!$I$5:$I$92,"&lt;0")-SUMIFS('Daftar Koreksi'!$I$5:$I$92,'Daftar Koreksi'!$D$5:$D$92,'1000'!A356,'Daftar Koreksi'!$G$5:$G$92,"Aset Henti Guna",'Daftar Koreksi'!$I$5:$I$92,"&lt;0")</f>
        <v>0</v>
      </c>
      <c r="G373" s="17">
        <f t="shared" si="16"/>
        <v>-286857094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-4487462171</v>
      </c>
      <c r="E374" s="19">
        <f>SUM(E369:E373)</f>
        <v>0</v>
      </c>
      <c r="F374" s="19">
        <f>SUM(F369:F373)</f>
        <v>0</v>
      </c>
      <c r="G374" s="19">
        <f t="shared" si="16"/>
        <v>-4487462171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5577921698</v>
      </c>
      <c r="E375" s="19">
        <f>E374+E368</f>
        <v>0</v>
      </c>
      <c r="F375" s="19">
        <f>F374+F368</f>
        <v>0</v>
      </c>
      <c r="G375" s="19">
        <f t="shared" si="16"/>
        <v>5577921698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005011000578839000KD</v>
      </c>
      <c r="B378" s="11" t="str">
        <f>P18</f>
        <v>PTUN. Jambi</v>
      </c>
      <c r="C378" s="12" t="str">
        <f>A378&amp;" "&amp;B378</f>
        <v>005011000578839000KD PTUN. Jambi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437400</v>
      </c>
      <c r="E381" s="25">
        <f>SUMIFS('Daftar Koreksi'!$H$5:$H$92,'Daftar Koreksi'!$D$5:$D$92,'1000'!A378,'Daftar Koreksi'!$G$5:$G$92,"Persediaan",'Daftar Koreksi'!$H$5:$H$92,"&gt;0")</f>
        <v>0</v>
      </c>
      <c r="F381" s="25">
        <f>SUMIFS('Daftar Koreksi'!$H$5:$H$92,'Daftar Koreksi'!$D$5:$D$92,'1000'!A378,'Daftar Koreksi'!$G$5:$G$92,"Persediaan",'Daftar Koreksi'!$H$5:$H$92,"&lt;0")-SUMIFS('Daftar Koreksi'!$H$5:$H$92,'Daftar Koreksi'!$D$5:$D$92,'1000'!A378,'Daftar Koreksi'!$G$5:$G$92,"Persediaan",'Daftar Koreksi'!$H$5:$H$92,"&lt;0")-SUMIFS('Daftar Koreksi'!$H$5:$H$92,'Daftar Koreksi'!$D$5:$D$92,'1000'!A378,'Daftar Koreksi'!$G$5:$G$92,"Persediaan",'Daftar Koreksi'!$H$5:$H$92,"&lt;0")</f>
        <v>0</v>
      </c>
      <c r="G381" s="17">
        <f>D381+E381-F381</f>
        <v>437400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1225040000</v>
      </c>
      <c r="E382" s="25">
        <f>SUMIFS('Daftar Koreksi'!$H$5:$H$92,'Daftar Koreksi'!$D$5:$D$92,'1000'!A378,'Daftar Koreksi'!$G$5:$G$92,"Tanah",'Daftar Koreksi'!$H$5:$H$92,"&gt;0")</f>
        <v>0</v>
      </c>
      <c r="F382" s="25">
        <f>SUMIFS('Daftar Koreksi'!$H$5:$H$92,'Daftar Koreksi'!$D$5:$D$92,'1000'!A378,'Daftar Koreksi'!$G$5:$G$92,"Tanah",'Daftar Koreksi'!$H$5:$H$92,"&lt;0")-SUMIFS('Daftar Koreksi'!$H$5:$H$92,'Daftar Koreksi'!$D$5:$D$92,'1000'!A378,'Daftar Koreksi'!$G$5:$G$92,"Tanah",'Daftar Koreksi'!$H$5:$H$92,"&lt;0")-SUMIFS('Daftar Koreksi'!$H$5:$H$92,'Daftar Koreksi'!$D$5:$D$92,'1000'!A378,'Daftar Koreksi'!$G$5:$G$92,"Tanah",'Daftar Koreksi'!$H$5:$H$92,"&lt;0")</f>
        <v>0</v>
      </c>
      <c r="G382" s="17">
        <f t="shared" ref="G382:G398" si="17">D382+E382-F382</f>
        <v>1225040000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1818679144</v>
      </c>
      <c r="E383" s="25">
        <f>SUMIFS('Daftar Koreksi'!$H$5:$H$92,'Daftar Koreksi'!$D$5:$D$92,'1000'!A378,'Daftar Koreksi'!$G$5:$G$92,"Peralatan dan mesin",'Daftar Koreksi'!$H$5:$H$92,"&gt;0")</f>
        <v>0</v>
      </c>
      <c r="F383" s="25">
        <f>SUMIFS('Daftar Koreksi'!$H$5:$H$92,'Daftar Koreksi'!$D$5:$D$92,'1000'!A378,'Daftar Koreksi'!$G$5:$G$92,"Peralatan dan mesin",'Daftar Koreksi'!$H$5:$H$92,"&lt;0")-SUMIFS('Daftar Koreksi'!$H$5:$H$92,'Daftar Koreksi'!$D$5:$D$92,'1000'!A378,'Daftar Koreksi'!$G$5:$G$92,"Peralatan dan mesin",'Daftar Koreksi'!$H$5:$H$92,"&lt;0")-SUMIFS('Daftar Koreksi'!$H$5:$H$92,'Daftar Koreksi'!$D$5:$D$92,'1000'!A378,'Daftar Koreksi'!$G$5:$G$92,"Peralatan dan mesin",'Daftar Koreksi'!$H$5:$H$92,"&lt;0")</f>
        <v>0</v>
      </c>
      <c r="G383" s="17">
        <f t="shared" si="17"/>
        <v>1818679144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4984831113</v>
      </c>
      <c r="E384" s="25">
        <f>SUMIFS('Daftar Koreksi'!$H$5:$H$92,'Daftar Koreksi'!$D$5:$D$92,'1000'!A378,'Daftar Koreksi'!$G$5:$G$92,"Gedung dan Bangunan",'Daftar Koreksi'!$H$5:$H$92,"&gt;0")</f>
        <v>0</v>
      </c>
      <c r="F384" s="25">
        <f>SUMIFS('Daftar Koreksi'!$H$5:$H$92,'Daftar Koreksi'!$D$5:$D$92,'1000'!A378,'Daftar Koreksi'!$G$5:$G$92,"Gedung dan Bangunan",'Daftar Koreksi'!$H$5:$H$92,"&lt;0")-SUMIFS('Daftar Koreksi'!$H$5:$H$92,'Daftar Koreksi'!$D$5:$D$92,'1000'!A378,'Daftar Koreksi'!$G$5:$G$92,"Gedung dan Bangunan",'Daftar Koreksi'!$H$5:$H$92,"&lt;0")-SUMIFS('Daftar Koreksi'!$H$5:$H$92,'Daftar Koreksi'!$D$5:$D$92,'1000'!A378,'Daftar Koreksi'!$G$5:$G$92,"Gedung dan Bangunan",'Daftar Koreksi'!$H$5:$H$92,"&lt;0")</f>
        <v>0</v>
      </c>
      <c r="G384" s="17">
        <f t="shared" si="17"/>
        <v>4984831113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212822531</v>
      </c>
      <c r="E385" s="25">
        <f>SUMIFS('Daftar Koreksi'!$H$5:$H$92,'Daftar Koreksi'!$D$5:$D$92,'1000'!A378,'Daftar Koreksi'!$G$5:$G$92,"Jalan Irigasi Jaringan",'Daftar Koreksi'!$H$5:$H$92,"&gt;0")</f>
        <v>0</v>
      </c>
      <c r="F385" s="25">
        <f>SUMIFS('Daftar Koreksi'!$H$5:$H$92,'Daftar Koreksi'!$D$5:$D$92,'1000'!A378,'Daftar Koreksi'!$G$5:$G$92,"Jalan Irigasi Jaringan",'Daftar Koreksi'!$H$5:$H$92,"&lt;0")-SUMIFS('Daftar Koreksi'!$H$5:$H$92,'Daftar Koreksi'!$D$5:$D$92,'1000'!A378,'Daftar Koreksi'!$G$5:$G$92,"Jalan Irigasi Jaringan",'Daftar Koreksi'!$H$5:$H$92,"&lt;0")-SUMIFS('Daftar Koreksi'!$H$5:$H$92,'Daftar Koreksi'!$D$5:$D$92,'1000'!A378,'Daftar Koreksi'!$G$5:$G$92,"Jalan Irigasi Jaringan",'Daftar Koreksi'!$H$5:$H$92,"&lt;0")</f>
        <v>0</v>
      </c>
      <c r="G385" s="17">
        <f t="shared" si="17"/>
        <v>212822531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0</v>
      </c>
      <c r="E386" s="25">
        <f>SUMIFS('Daftar Koreksi'!$H$5:$H$92,'Daftar Koreksi'!$D$5:$D$92,'1000'!A378,'Daftar Koreksi'!$G$5:$G$92,"Aset Tetap Lainnya",'Daftar Koreksi'!$H$5:$H$92,"&gt;0")</f>
        <v>0</v>
      </c>
      <c r="F386" s="25">
        <f>SUMIFS('Daftar Koreksi'!$H$5:$H$92,'Daftar Koreksi'!$D$5:$D$92,'1000'!A378,'Daftar Koreksi'!$G$5:$G$92,"Aset Tetap Lainnya",'Daftar Koreksi'!$H$5:$H$92,"&lt;0")-SUMIFS('Daftar Koreksi'!$H$5:$H$92,'Daftar Koreksi'!$D$5:$D$92,'1000'!A378,'Daftar Koreksi'!$G$5:$G$92,"Aset Tetap Lainnya",'Daftar Koreksi'!$H$5:$H$92,"&lt;0")-SUMIFS('Daftar Koreksi'!$H$5:$H$92,'Daftar Koreksi'!$D$5:$D$92,'1000'!A378,'Daftar Koreksi'!$G$5:$G$92,"Aset Tetap Lainnya",'Daftar Koreksi'!$H$5:$H$92,"&lt;0")</f>
        <v>0</v>
      </c>
      <c r="G386" s="17">
        <f t="shared" si="17"/>
        <v>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Koreksi'!$D$5:$D$92,'1000'!A378,'Daftar Koreksi'!$G$5:$G$92,"Kontruksi Dalam Pengerjaan",'Daftar Koreksi'!$H$5:$H$92,"&gt;0")</f>
        <v>0</v>
      </c>
      <c r="F387" s="25">
        <f>SUMIFS('Daftar Koreksi'!$H$5:$H$92,'Daftar Koreksi'!$D$5:$D$92,'1000'!A378,'Daftar Koreksi'!$G$5:$G$92,"Kontruksi Dalam Pengerjaan",'Daftar Koreksi'!$H$5:$H$92,"&lt;0")-SUMIFS('Daftar Koreksi'!$H$5:$H$92,'Daftar Koreksi'!$D$5:$D$92,'1000'!A378,'Daftar Koreksi'!$G$5:$G$92,"Kontruksi Dalam Pengerjaan",'Daftar Koreksi'!$H$5:$H$92,"&lt;0")-SUMIFS('Daftar Koreksi'!$H$5:$H$92,'Daftar Koreksi'!$D$5:$D$92,'1000'!A378,'Daftar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98780000</v>
      </c>
      <c r="E388" s="25">
        <f>SUMIFS('Daftar Koreksi'!$H$5:$H$92,'Daftar Koreksi'!$D$5:$D$92,'1000'!A378,'Daftar Koreksi'!$G$5:$G$92,"Aset Tak Berwujud",'Daftar Koreksi'!$H$5:$H$92,"&gt;0")</f>
        <v>0</v>
      </c>
      <c r="F388" s="25">
        <f>SUMIFS('Daftar Koreksi'!$H$5:$H$92,'Daftar Koreksi'!$D$5:$D$92,'1000'!A378,'Daftar Koreksi'!$G$5:$G$92,"Aset Tak Berwujud",'Daftar Koreksi'!$H$5:$H$92,"&lt;0")-SUMIFS('Daftar Koreksi'!$H$5:$H$92,'Daftar Koreksi'!$D$5:$D$92,'1000'!A378,'Daftar Koreksi'!$G$5:$G$92,"Aset Tak Berwujud",'Daftar Koreksi'!$H$5:$H$92,"&lt;0")-SUMIFS('Daftar Koreksi'!$H$5:$H$92,'Daftar Koreksi'!$D$5:$D$92,'1000'!A378,'Daftar Koreksi'!$G$5:$G$92,"Aset Tak Berwujud",'Daftar Koreksi'!$H$5:$H$92,"&lt;0")</f>
        <v>0</v>
      </c>
      <c r="G388" s="17">
        <f t="shared" si="17"/>
        <v>98780000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172804737</v>
      </c>
      <c r="E389" s="25">
        <f>SUMIFS('Daftar Koreksi'!$H$5:$H$92,'Daftar Koreksi'!$D$5:$D$92,'1000'!A378,'Daftar Koreksi'!$G$5:$G$92,"Aset Henti Guna",'Daftar Koreksi'!$H$5:$H$92,"&gt;0")</f>
        <v>0</v>
      </c>
      <c r="F389" s="25">
        <f>SUMIFS('Daftar Koreksi'!$H$5:$H$92,'Daftar Koreksi'!$D$5:$D$92,'1000'!A378,'Daftar Koreksi'!$G$5:$G$92,"Aset Henti Guna",'Daftar Koreksi'!$H$5:$H$92,"&lt;0")-SUMIFS('Daftar Koreksi'!$H$5:$H$92,'Daftar Koreksi'!$D$5:$D$92,'1000'!A378,'Daftar Koreksi'!$G$5:$G$92,"Aset Henti Guna",'Daftar Koreksi'!$H$5:$H$92,"&lt;0")-SUMIFS('Daftar Koreksi'!$H$5:$H$92,'Daftar Koreksi'!$D$5:$D$92,'1000'!A378,'Daftar Koreksi'!$G$5:$G$92,"Aset Henti Guna",'Daftar Koreksi'!$H$5:$H$92,"&lt;0")</f>
        <v>0</v>
      </c>
      <c r="G389" s="17">
        <f t="shared" si="17"/>
        <v>172804737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8513394925</v>
      </c>
      <c r="E390" s="19">
        <f>SUM(E381:E389)</f>
        <v>0</v>
      </c>
      <c r="F390" s="19">
        <f>SUM(F381:F389)</f>
        <v>0</v>
      </c>
      <c r="G390" s="19">
        <f t="shared" si="17"/>
        <v>8513394925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-1618105099</v>
      </c>
      <c r="E391" s="25">
        <f>SUMIFS('Daftar Koreksi'!$I$5:$I$92,'Daftar Koreksi'!$D$5:$D$92,'1000'!A378,'Daftar Koreksi'!$G$5:$G$92,"Peralatan dan mesin",'Daftar Koreksi'!$I$5:$I$92,"&gt;0")</f>
        <v>0</v>
      </c>
      <c r="F391" s="25">
        <f>SUMIFS('Daftar Koreksi'!$I$5:$I$92,'Daftar Koreksi'!$D$5:$D$92,'1000'!A378,'Daftar Koreksi'!$G$5:$G$92,"Peralatan dan mesin",'Daftar Koreksi'!$I$5:$I$92,"&lt;0")-SUMIFS('Daftar Koreksi'!$I$5:$I$92,'Daftar Koreksi'!$D$5:$D$92,'1000'!A378,'Daftar Koreksi'!$G$5:$G$92,"Peralatan dan mesin",'Daftar Koreksi'!$I$5:$I$92,"&lt;0")-SUMIFS('Daftar Koreksi'!$I$5:$I$92,'Daftar Koreksi'!$D$5:$D$92,'1000'!A378,'Daftar Koreksi'!$G$5:$G$92,"Peralatan dan mesin",'Daftar Koreksi'!$I$5:$I$92,"&lt;0")</f>
        <v>0</v>
      </c>
      <c r="G391" s="17">
        <f t="shared" si="17"/>
        <v>-1618105099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-724864589</v>
      </c>
      <c r="E392" s="25">
        <f>SUMIFS('Daftar Koreksi'!$I$5:$I$92,'Daftar Koreksi'!$D$5:$D$92,'1000'!A378,'Daftar Koreksi'!$G$5:$G$92,"Gedung dan Bangunan",'Daftar Koreksi'!$I$5:$I$92,"&gt;0")</f>
        <v>0</v>
      </c>
      <c r="F392" s="25">
        <f>SUMIFS('Daftar Koreksi'!$I$5:$I$92,'Daftar Koreksi'!$D$5:$D$92,'1000'!A378,'Daftar Koreksi'!$G$5:$G$92,"Gedung dan Bangunan",'Daftar Koreksi'!$I$5:$I$92,"&lt;0")-SUMIFS('Daftar Koreksi'!$I$5:$I$92,'Daftar Koreksi'!$D$5:$D$92,'1000'!A378,'Daftar Koreksi'!$G$5:$G$92,"Gedung dan Bangunan",'Daftar Koreksi'!$I$5:$I$92,"&lt;0")-SUMIFS('Daftar Koreksi'!$I$5:$I$92,'Daftar Koreksi'!$D$5:$D$92,'1000'!A378,'Daftar Koreksi'!$G$5:$G$92,"Gedung dan Bangunan",'Daftar Koreksi'!$I$5:$I$92,"&lt;0")</f>
        <v>0</v>
      </c>
      <c r="G392" s="17">
        <f t="shared" si="17"/>
        <v>-724864589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-123893889</v>
      </c>
      <c r="E393" s="25">
        <f>SUMIFS('Daftar Koreksi'!$I$5:$I$92,'Daftar Koreksi'!$D$5:$D$92,'1000'!A378,'Daftar Koreksi'!$G$5:$G$92,"Jalan Irigasi Jaringan",'Daftar Koreksi'!$I$5:$I$92,"&gt;0")</f>
        <v>0</v>
      </c>
      <c r="F393" s="25">
        <f>SUMIFS('Daftar Koreksi'!$I$5:$I$92,'Daftar Koreksi'!$D$5:$D$92,'1000'!A378,'Daftar Koreksi'!$G$5:$G$92,"Jalan Irigasi Jaringan",'Daftar Koreksi'!$I$5:$I$92,"&lt;0")-SUMIFS('Daftar Koreksi'!$I$5:$I$92,'Daftar Koreksi'!$D$5:$D$92,'1000'!A378,'Daftar Koreksi'!$G$5:$G$92,"Jalan Irigasi Jaringan",'Daftar Koreksi'!$I$5:$I$92,"&lt;0")-SUMIFS('Daftar Koreksi'!$I$5:$I$92,'Daftar Koreksi'!$D$5:$D$92,'1000'!A378,'Daftar Koreksi'!$G$5:$G$92,"Jalan Irigasi Jaringan",'Daftar Koreksi'!$I$5:$I$92,"&lt;0")</f>
        <v>0</v>
      </c>
      <c r="G393" s="17">
        <f t="shared" si="17"/>
        <v>-123893889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Koreksi'!$D$5:$D$92,'1000'!A378,'Daftar Koreksi'!$G$5:$G$92,"Aset Tetap Lainnya",'Daftar Koreksi'!$I$5:$I$92,"&gt;0")</f>
        <v>0</v>
      </c>
      <c r="F394" s="25">
        <f>SUMIFS('Daftar Koreksi'!$I$5:$I$92,'Daftar Koreksi'!$D$5:$D$92,'1000'!A378,'Daftar Koreksi'!$G$5:$G$92,"Aset Tetap Lainnya",'Daftar Koreksi'!$I$5:$I$92,"&lt;0")-SUMIFS('Daftar Koreksi'!$I$5:$I$92,'Daftar Koreksi'!$D$5:$D$92,'1000'!A378,'Daftar Koreksi'!$G$5:$G$92,"Aset Tetap Lainnya",'Daftar Koreksi'!$I$5:$I$92,"&lt;0")-SUMIFS('Daftar Koreksi'!$I$5:$I$92,'Daftar Koreksi'!$D$5:$D$92,'1000'!A378,'Daftar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-172034737</v>
      </c>
      <c r="E395" s="25">
        <f>SUMIFS('Daftar Koreksi'!$I$5:$I$92,'Daftar Koreksi'!$D$5:$D$92,'1000'!A378,'Daftar Koreksi'!$G$5:$G$92,"Aset Henti Guna",'Daftar Koreksi'!$I$5:$I$92,"&gt;0")</f>
        <v>0</v>
      </c>
      <c r="F395" s="25">
        <f>SUMIFS('Daftar Koreksi'!$I$5:$I$92,'Daftar Koreksi'!$D$5:$D$92,'1000'!A378,'Daftar Koreksi'!$G$5:$G$92,"Aset Henti Guna",'Daftar Koreksi'!$I$5:$I$92,"&lt;0")-SUMIFS('Daftar Koreksi'!$I$5:$I$92,'Daftar Koreksi'!$D$5:$D$92,'1000'!A378,'Daftar Koreksi'!$G$5:$G$92,"Aset Henti Guna",'Daftar Koreksi'!$I$5:$I$92,"&lt;0")-SUMIFS('Daftar Koreksi'!$I$5:$I$92,'Daftar Koreksi'!$D$5:$D$92,'1000'!A378,'Daftar Koreksi'!$G$5:$G$92,"Aset Henti Guna",'Daftar Koreksi'!$I$5:$I$92,"&lt;0")</f>
        <v>0</v>
      </c>
      <c r="G395" s="17">
        <f t="shared" si="17"/>
        <v>-172034737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-2638898314</v>
      </c>
      <c r="E396" s="19">
        <f>SUM(E391:E395)</f>
        <v>0</v>
      </c>
      <c r="F396" s="19">
        <f>SUM(F391:F395)</f>
        <v>0</v>
      </c>
      <c r="G396" s="19">
        <f t="shared" si="17"/>
        <v>-2638898314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5874496611</v>
      </c>
      <c r="E397" s="19">
        <f>E396+E390</f>
        <v>0</v>
      </c>
      <c r="F397" s="19">
        <f>F396+F390</f>
        <v>0</v>
      </c>
      <c r="G397" s="19">
        <f t="shared" si="17"/>
        <v>5874496611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005011000632018000KD</v>
      </c>
      <c r="B400" s="11" t="str">
        <f>P19</f>
        <v>PA. Sarolangun</v>
      </c>
      <c r="C400" s="12" t="str">
        <f>A400&amp;" "&amp;B400</f>
        <v>005011000632018000KD PA. Sarolangun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29800</v>
      </c>
      <c r="E403" s="25">
        <f>SUMIFS('Daftar Koreksi'!$H$5:$H$92,'Daftar Koreksi'!$D$5:$D$92,'1000'!A400,'Daftar Koreksi'!$G$5:$G$92,"Persediaan",'Daftar Koreksi'!$H$5:$H$92,"&gt;0")</f>
        <v>0</v>
      </c>
      <c r="F403" s="25">
        <f>SUMIFS('Daftar Koreksi'!$H$5:$H$92,'Daftar Koreksi'!$D$5:$D$92,'1000'!A400,'Daftar Koreksi'!$G$5:$G$92,"Persediaan",'Daftar Koreksi'!$H$5:$H$92,"&lt;0")-SUMIFS('Daftar Koreksi'!$H$5:$H$92,'Daftar Koreksi'!$D$5:$D$92,'1000'!A400,'Daftar Koreksi'!$G$5:$G$92,"Persediaan",'Daftar Koreksi'!$H$5:$H$92,"&lt;0")-SUMIFS('Daftar Koreksi'!$H$5:$H$92,'Daftar Koreksi'!$D$5:$D$92,'1000'!A400,'Daftar Koreksi'!$G$5:$G$92,"Persediaan",'Daftar Koreksi'!$H$5:$H$92,"&lt;0")</f>
        <v>0</v>
      </c>
      <c r="G403" s="17">
        <f>D403+E403-F403</f>
        <v>29800</v>
      </c>
      <c r="H403" s="121" t="str">
        <f>IF(ISNA(VLOOKUP(A400,'Mutasi Neraca'!$A$3:$S$914,19,FALSE)),"-",VLOOKUP(A400,'Mutasi Neraca'!$A$3:$S$914,19,FALSE))</f>
        <v>TP Koreksi Hibah No. 7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124524000</v>
      </c>
      <c r="E404" s="25">
        <f>SUMIFS('Daftar Koreksi'!$H$5:$H$92,'Daftar Koreksi'!$D$5:$D$92,'1000'!A400,'Daftar Koreksi'!$G$5:$G$92,"Tanah",'Daftar Koreksi'!$H$5:$H$92,"&gt;0")</f>
        <v>214650000</v>
      </c>
      <c r="F404" s="25">
        <f>SUMIFS('Daftar Koreksi'!$H$5:$H$92,'Daftar Koreksi'!$D$5:$D$92,'1000'!A400,'Daftar Koreksi'!$G$5:$G$92,"Tanah",'Daftar Koreksi'!$H$5:$H$92,"&lt;0")-SUMIFS('Daftar Koreksi'!$H$5:$H$92,'Daftar Koreksi'!$D$5:$D$92,'1000'!A400,'Daftar Koreksi'!$G$5:$G$92,"Tanah",'Daftar Koreksi'!$H$5:$H$92,"&lt;0")-SUMIFS('Daftar Koreksi'!$H$5:$H$92,'Daftar Koreksi'!$D$5:$D$92,'1000'!A400,'Daftar Koreksi'!$G$5:$G$92,"Tanah",'Daftar Koreksi'!$H$5:$H$92,"&lt;0")</f>
        <v>0</v>
      </c>
      <c r="G404" s="17">
        <f t="shared" ref="G404:G420" si="18">D404+E404-F404</f>
        <v>339174000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1141064255</v>
      </c>
      <c r="E405" s="25">
        <f>SUMIFS('Daftar Koreksi'!$H$5:$H$92,'Daftar Koreksi'!$D$5:$D$92,'1000'!A400,'Daftar Koreksi'!$G$5:$G$92,"Peralatan dan mesin",'Daftar Koreksi'!$H$5:$H$92,"&gt;0")</f>
        <v>0</v>
      </c>
      <c r="F405" s="25">
        <f>SUMIFS('Daftar Koreksi'!$H$5:$H$92,'Daftar Koreksi'!$D$5:$D$92,'1000'!A400,'Daftar Koreksi'!$G$5:$G$92,"Peralatan dan mesin",'Daftar Koreksi'!$H$5:$H$92,"&lt;0")-SUMIFS('Daftar Koreksi'!$H$5:$H$92,'Daftar Koreksi'!$D$5:$D$92,'1000'!A400,'Daftar Koreksi'!$G$5:$G$92,"Peralatan dan mesin",'Daftar Koreksi'!$H$5:$H$92,"&lt;0")-SUMIFS('Daftar Koreksi'!$H$5:$H$92,'Daftar Koreksi'!$D$5:$D$92,'1000'!A400,'Daftar Koreksi'!$G$5:$G$92,"Peralatan dan mesin",'Daftar Koreksi'!$H$5:$H$92,"&lt;0")</f>
        <v>0</v>
      </c>
      <c r="G405" s="17">
        <f t="shared" si="18"/>
        <v>1141064255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2065013500</v>
      </c>
      <c r="E406" s="25">
        <f>SUMIFS('Daftar Koreksi'!$H$5:$H$92,'Daftar Koreksi'!$D$5:$D$92,'1000'!A400,'Daftar Koreksi'!$G$5:$G$92,"Gedung dan Bangunan",'Daftar Koreksi'!$H$5:$H$92,"&gt;0")</f>
        <v>0</v>
      </c>
      <c r="F406" s="25">
        <f>SUMIFS('Daftar Koreksi'!$H$5:$H$92,'Daftar Koreksi'!$D$5:$D$92,'1000'!A400,'Daftar Koreksi'!$G$5:$G$92,"Gedung dan Bangunan",'Daftar Koreksi'!$H$5:$H$92,"&lt;0")-SUMIFS('Daftar Koreksi'!$H$5:$H$92,'Daftar Koreksi'!$D$5:$D$92,'1000'!A400,'Daftar Koreksi'!$G$5:$G$92,"Gedung dan Bangunan",'Daftar Koreksi'!$H$5:$H$92,"&lt;0")-SUMIFS('Daftar Koreksi'!$H$5:$H$92,'Daftar Koreksi'!$D$5:$D$92,'1000'!A400,'Daftar Koreksi'!$G$5:$G$92,"Gedung dan Bangunan",'Daftar Koreksi'!$H$5:$H$92,"&lt;0")</f>
        <v>0</v>
      </c>
      <c r="G406" s="17">
        <f t="shared" si="18"/>
        <v>2065013500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30986000</v>
      </c>
      <c r="E407" s="25">
        <f>SUMIFS('Daftar Koreksi'!$H$5:$H$92,'Daftar Koreksi'!$D$5:$D$92,'1000'!A400,'Daftar Koreksi'!$G$5:$G$92,"Jalan Irigasi Jaringan",'Daftar Koreksi'!$H$5:$H$92,"&gt;0")</f>
        <v>0</v>
      </c>
      <c r="F407" s="25">
        <f>SUMIFS('Daftar Koreksi'!$H$5:$H$92,'Daftar Koreksi'!$D$5:$D$92,'1000'!A400,'Daftar Koreksi'!$G$5:$G$92,"Jalan Irigasi Jaringan",'Daftar Koreksi'!$H$5:$H$92,"&lt;0")-SUMIFS('Daftar Koreksi'!$H$5:$H$92,'Daftar Koreksi'!$D$5:$D$92,'1000'!A400,'Daftar Koreksi'!$G$5:$G$92,"Jalan Irigasi Jaringan",'Daftar Koreksi'!$H$5:$H$92,"&lt;0")-SUMIFS('Daftar Koreksi'!$H$5:$H$92,'Daftar Koreksi'!$D$5:$D$92,'1000'!A400,'Daftar Koreksi'!$G$5:$G$92,"Jalan Irigasi Jaringan",'Daftar Koreksi'!$H$5:$H$92,"&lt;0")</f>
        <v>0</v>
      </c>
      <c r="G407" s="17">
        <f t="shared" si="18"/>
        <v>30986000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13144000</v>
      </c>
      <c r="E408" s="25">
        <f>SUMIFS('Daftar Koreksi'!$H$5:$H$92,'Daftar Koreksi'!$D$5:$D$92,'1000'!A400,'Daftar Koreksi'!$G$5:$G$92,"Aset Tetap Lainnya",'Daftar Koreksi'!$H$5:$H$92,"&gt;0")</f>
        <v>0</v>
      </c>
      <c r="F408" s="25">
        <f>SUMIFS('Daftar Koreksi'!$H$5:$H$92,'Daftar Koreksi'!$D$5:$D$92,'1000'!A400,'Daftar Koreksi'!$G$5:$G$92,"Aset Tetap Lainnya",'Daftar Koreksi'!$H$5:$H$92,"&lt;0")-SUMIFS('Daftar Koreksi'!$H$5:$H$92,'Daftar Koreksi'!$D$5:$D$92,'1000'!A400,'Daftar Koreksi'!$G$5:$G$92,"Aset Tetap Lainnya",'Daftar Koreksi'!$H$5:$H$92,"&lt;0")-SUMIFS('Daftar Koreksi'!$H$5:$H$92,'Daftar Koreksi'!$D$5:$D$92,'1000'!A400,'Daftar Koreksi'!$G$5:$G$92,"Aset Tetap Lainnya",'Daftar Koreksi'!$H$5:$H$92,"&lt;0")</f>
        <v>0</v>
      </c>
      <c r="G408" s="17">
        <f t="shared" si="18"/>
        <v>13144000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Koreksi'!$D$5:$D$92,'1000'!A400,'Daftar Koreksi'!$G$5:$G$92,"Kontruksi Dalam Pengerjaan",'Daftar Koreksi'!$H$5:$H$92,"&gt;0")</f>
        <v>0</v>
      </c>
      <c r="F409" s="25">
        <f>SUMIFS('Daftar Koreksi'!$H$5:$H$92,'Daftar Koreksi'!$D$5:$D$92,'1000'!A400,'Daftar Koreksi'!$G$5:$G$92,"Kontruksi Dalam Pengerjaan",'Daftar Koreksi'!$H$5:$H$92,"&lt;0")-SUMIFS('Daftar Koreksi'!$H$5:$H$92,'Daftar Koreksi'!$D$5:$D$92,'1000'!A400,'Daftar Koreksi'!$G$5:$G$92,"Kontruksi Dalam Pengerjaan",'Daftar Koreksi'!$H$5:$H$92,"&lt;0")-SUMIFS('Daftar Koreksi'!$H$5:$H$92,'Daftar Koreksi'!$D$5:$D$92,'1000'!A400,'Daftar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13000000</v>
      </c>
      <c r="E410" s="25">
        <f>SUMIFS('Daftar Koreksi'!$H$5:$H$92,'Daftar Koreksi'!$D$5:$D$92,'1000'!A400,'Daftar Koreksi'!$G$5:$G$92,"Aset Tak Berwujud",'Daftar Koreksi'!$H$5:$H$92,"&gt;0")</f>
        <v>0</v>
      </c>
      <c r="F410" s="25">
        <f>SUMIFS('Daftar Koreksi'!$H$5:$H$92,'Daftar Koreksi'!$D$5:$D$92,'1000'!A400,'Daftar Koreksi'!$G$5:$G$92,"Aset Tak Berwujud",'Daftar Koreksi'!$H$5:$H$92,"&lt;0")-SUMIFS('Daftar Koreksi'!$H$5:$H$92,'Daftar Koreksi'!$D$5:$D$92,'1000'!A400,'Daftar Koreksi'!$G$5:$G$92,"Aset Tak Berwujud",'Daftar Koreksi'!$H$5:$H$92,"&lt;0")-SUMIFS('Daftar Koreksi'!$H$5:$H$92,'Daftar Koreksi'!$D$5:$D$92,'1000'!A400,'Daftar Koreksi'!$G$5:$G$92,"Aset Tak Berwujud",'Daftar Koreksi'!$H$5:$H$92,"&lt;0")</f>
        <v>0</v>
      </c>
      <c r="G410" s="17">
        <f t="shared" si="18"/>
        <v>13000000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Koreksi'!$D$5:$D$92,'1000'!A400,'Daftar Koreksi'!$G$5:$G$92,"Aset Henti Guna",'Daftar Koreksi'!$H$5:$H$92,"&gt;0")</f>
        <v>0</v>
      </c>
      <c r="F411" s="25">
        <f>SUMIFS('Daftar Koreksi'!$H$5:$H$92,'Daftar Koreksi'!$D$5:$D$92,'1000'!A400,'Daftar Koreksi'!$G$5:$G$92,"Aset Henti Guna",'Daftar Koreksi'!$H$5:$H$92,"&lt;0")-SUMIFS('Daftar Koreksi'!$H$5:$H$92,'Daftar Koreksi'!$D$5:$D$92,'1000'!A400,'Daftar Koreksi'!$G$5:$G$92,"Aset Henti Guna",'Daftar Koreksi'!$H$5:$H$92,"&lt;0")-SUMIFS('Daftar Koreksi'!$H$5:$H$92,'Daftar Koreksi'!$D$5:$D$92,'1000'!A400,'Daftar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3387761555</v>
      </c>
      <c r="E412" s="19">
        <f>SUM(E403:E411)</f>
        <v>214650000</v>
      </c>
      <c r="F412" s="19">
        <f>SUM(F403:F411)</f>
        <v>0</v>
      </c>
      <c r="G412" s="19">
        <f t="shared" si="18"/>
        <v>3602411555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-938049177</v>
      </c>
      <c r="E413" s="25">
        <f>SUMIFS('Daftar Koreksi'!$I$5:$I$92,'Daftar Koreksi'!$D$5:$D$92,'1000'!A400,'Daftar Koreksi'!$G$5:$G$92,"Peralatan dan mesin",'Daftar Koreksi'!$I$5:$I$92,"&gt;0")</f>
        <v>0</v>
      </c>
      <c r="F413" s="25">
        <f>SUMIFS('Daftar Koreksi'!$I$5:$I$92,'Daftar Koreksi'!$D$5:$D$92,'1000'!A400,'Daftar Koreksi'!$G$5:$G$92,"Peralatan dan mesin",'Daftar Koreksi'!$I$5:$I$92,"&lt;0")-SUMIFS('Daftar Koreksi'!$I$5:$I$92,'Daftar Koreksi'!$D$5:$D$92,'1000'!A400,'Daftar Koreksi'!$G$5:$G$92,"Peralatan dan mesin",'Daftar Koreksi'!$I$5:$I$92,"&lt;0")-SUMIFS('Daftar Koreksi'!$I$5:$I$92,'Daftar Koreksi'!$D$5:$D$92,'1000'!A400,'Daftar Koreksi'!$G$5:$G$92,"Peralatan dan mesin",'Daftar Koreksi'!$I$5:$I$92,"&lt;0")</f>
        <v>0</v>
      </c>
      <c r="G413" s="17">
        <f t="shared" si="18"/>
        <v>-938049177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-336402005</v>
      </c>
      <c r="E414" s="25">
        <f>SUMIFS('Daftar Koreksi'!$I$5:$I$92,'Daftar Koreksi'!$D$5:$D$92,'1000'!A400,'Daftar Koreksi'!$G$5:$G$92,"Gedung dan Bangunan",'Daftar Koreksi'!$I$5:$I$92,"&gt;0")</f>
        <v>0</v>
      </c>
      <c r="F414" s="25">
        <f>SUMIFS('Daftar Koreksi'!$I$5:$I$92,'Daftar Koreksi'!$D$5:$D$92,'1000'!A400,'Daftar Koreksi'!$G$5:$G$92,"Gedung dan Bangunan",'Daftar Koreksi'!$I$5:$I$92,"&lt;0")-SUMIFS('Daftar Koreksi'!$I$5:$I$92,'Daftar Koreksi'!$D$5:$D$92,'1000'!A400,'Daftar Koreksi'!$G$5:$G$92,"Gedung dan Bangunan",'Daftar Koreksi'!$I$5:$I$92,"&lt;0")-SUMIFS('Daftar Koreksi'!$I$5:$I$92,'Daftar Koreksi'!$D$5:$D$92,'1000'!A400,'Daftar Koreksi'!$G$5:$G$92,"Gedung dan Bangunan",'Daftar Koreksi'!$I$5:$I$92,"&lt;0")</f>
        <v>0</v>
      </c>
      <c r="G414" s="17">
        <f t="shared" si="18"/>
        <v>-336402005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-1280100</v>
      </c>
      <c r="E415" s="25">
        <f>SUMIFS('Daftar Koreksi'!$I$5:$I$92,'Daftar Koreksi'!$D$5:$D$92,'1000'!A400,'Daftar Koreksi'!$G$5:$G$92,"Jalan Irigasi Jaringan",'Daftar Koreksi'!$I$5:$I$92,"&gt;0")</f>
        <v>0</v>
      </c>
      <c r="F415" s="25">
        <f>SUMIFS('Daftar Koreksi'!$I$5:$I$92,'Daftar Koreksi'!$D$5:$D$92,'1000'!A400,'Daftar Koreksi'!$G$5:$G$92,"Jalan Irigasi Jaringan",'Daftar Koreksi'!$I$5:$I$92,"&lt;0")-SUMIFS('Daftar Koreksi'!$I$5:$I$92,'Daftar Koreksi'!$D$5:$D$92,'1000'!A400,'Daftar Koreksi'!$G$5:$G$92,"Jalan Irigasi Jaringan",'Daftar Koreksi'!$I$5:$I$92,"&lt;0")-SUMIFS('Daftar Koreksi'!$I$5:$I$92,'Daftar Koreksi'!$D$5:$D$92,'1000'!A400,'Daftar Koreksi'!$G$5:$G$92,"Jalan Irigasi Jaringan",'Daftar Koreksi'!$I$5:$I$92,"&lt;0")</f>
        <v>0</v>
      </c>
      <c r="G415" s="17">
        <f t="shared" si="18"/>
        <v>-1280100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Koreksi'!$D$5:$D$92,'1000'!A400,'Daftar Koreksi'!$G$5:$G$92,"Aset Tetap Lainnya",'Daftar Koreksi'!$I$5:$I$92,"&gt;0")</f>
        <v>0</v>
      </c>
      <c r="F416" s="25">
        <f>SUMIFS('Daftar Koreksi'!$I$5:$I$92,'Daftar Koreksi'!$D$5:$D$92,'1000'!A400,'Daftar Koreksi'!$G$5:$G$92,"Aset Tetap Lainnya",'Daftar Koreksi'!$I$5:$I$92,"&lt;0")-SUMIFS('Daftar Koreksi'!$I$5:$I$92,'Daftar Koreksi'!$D$5:$D$92,'1000'!A400,'Daftar Koreksi'!$G$5:$G$92,"Aset Tetap Lainnya",'Daftar Koreksi'!$I$5:$I$92,"&lt;0")-SUMIFS('Daftar Koreksi'!$I$5:$I$92,'Daftar Koreksi'!$D$5:$D$92,'1000'!A400,'Daftar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Koreksi'!$D$5:$D$92,'1000'!A400,'Daftar Koreksi'!$G$5:$G$92,"Aset Henti Guna",'Daftar Koreksi'!$I$5:$I$92,"&gt;0")</f>
        <v>0</v>
      </c>
      <c r="F417" s="25">
        <f>SUMIFS('Daftar Koreksi'!$I$5:$I$92,'Daftar Koreksi'!$D$5:$D$92,'1000'!A400,'Daftar Koreksi'!$G$5:$G$92,"Aset Henti Guna",'Daftar Koreksi'!$I$5:$I$92,"&lt;0")-SUMIFS('Daftar Koreksi'!$I$5:$I$92,'Daftar Koreksi'!$D$5:$D$92,'1000'!A400,'Daftar Koreksi'!$G$5:$G$92,"Aset Henti Guna",'Daftar Koreksi'!$I$5:$I$92,"&lt;0")-SUMIFS('Daftar Koreksi'!$I$5:$I$92,'Daftar Koreksi'!$D$5:$D$92,'1000'!A400,'Daftar Koreksi'!$G$5:$G$92,"Aset Henti Guna",'Daftar Koreksi'!$I$5:$I$92,"&lt;0")</f>
        <v>0</v>
      </c>
      <c r="G417" s="17">
        <f t="shared" si="18"/>
        <v>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-1275731282</v>
      </c>
      <c r="E418" s="19">
        <f>SUM(E413:E417)</f>
        <v>0</v>
      </c>
      <c r="F418" s="19">
        <f>SUM(F413:F417)</f>
        <v>0</v>
      </c>
      <c r="G418" s="19">
        <f t="shared" si="18"/>
        <v>-1275731282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2112030273</v>
      </c>
      <c r="E419" s="19">
        <f>E418+E412</f>
        <v>214650000</v>
      </c>
      <c r="F419" s="19">
        <f>F418+F412</f>
        <v>0</v>
      </c>
      <c r="G419" s="19">
        <f t="shared" si="18"/>
        <v>2326680273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005011000632022000KD</v>
      </c>
      <c r="B422" s="11" t="str">
        <f>P20</f>
        <v>PA. Muara Sabak</v>
      </c>
      <c r="C422" s="12" t="str">
        <f>A422&amp;" "&amp;B422</f>
        <v>005011000632022000KD PA. Muara Sabak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4819000</v>
      </c>
      <c r="E425" s="25">
        <f>SUMIFS('Daftar Koreksi'!$H$5:$H$92,'Daftar Koreksi'!$D$5:$D$92,'1000'!A422,'Daftar Koreksi'!$G$5:$G$92,"Persediaan",'Daftar Koreksi'!$H$5:$H$92,"&gt;0")</f>
        <v>0</v>
      </c>
      <c r="F425" s="25">
        <f>SUMIFS('Daftar Koreksi'!$H$5:$H$92,'Daftar Koreksi'!$D$5:$D$92,'1000'!A422,'Daftar Koreksi'!$G$5:$G$92,"Persediaan",'Daftar Koreksi'!$H$5:$H$92,"&lt;0")-SUMIFS('Daftar Koreksi'!$H$5:$H$92,'Daftar Koreksi'!$D$5:$D$92,'1000'!A422,'Daftar Koreksi'!$G$5:$G$92,"Persediaan",'Daftar Koreksi'!$H$5:$H$92,"&lt;0")-SUMIFS('Daftar Koreksi'!$H$5:$H$92,'Daftar Koreksi'!$D$5:$D$92,'1000'!A422,'Daftar Koreksi'!$G$5:$G$92,"Persediaan",'Daftar Koreksi'!$H$5:$H$92,"&lt;0")</f>
        <v>0</v>
      </c>
      <c r="G425" s="17">
        <f>D425+E425-F425</f>
        <v>4819000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317756000</v>
      </c>
      <c r="E426" s="25">
        <f>SUMIFS('Daftar Koreksi'!$H$5:$H$92,'Daftar Koreksi'!$D$5:$D$92,'1000'!A422,'Daftar Koreksi'!$G$5:$G$92,"Tanah",'Daftar Koreksi'!$H$5:$H$92,"&gt;0")</f>
        <v>0</v>
      </c>
      <c r="F426" s="25">
        <f>SUMIFS('Daftar Koreksi'!$H$5:$H$92,'Daftar Koreksi'!$D$5:$D$92,'1000'!A422,'Daftar Koreksi'!$G$5:$G$92,"Tanah",'Daftar Koreksi'!$H$5:$H$92,"&lt;0")-SUMIFS('Daftar Koreksi'!$H$5:$H$92,'Daftar Koreksi'!$D$5:$D$92,'1000'!A422,'Daftar Koreksi'!$G$5:$G$92,"Tanah",'Daftar Koreksi'!$H$5:$H$92,"&lt;0")-SUMIFS('Daftar Koreksi'!$H$5:$H$92,'Daftar Koreksi'!$D$5:$D$92,'1000'!A422,'Daftar Koreksi'!$G$5:$G$92,"Tanah",'Daftar Koreksi'!$H$5:$H$92,"&lt;0")</f>
        <v>0</v>
      </c>
      <c r="G426" s="17">
        <f t="shared" ref="G426:G442" si="19">D426+E426-F426</f>
        <v>317756000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1276254372</v>
      </c>
      <c r="E427" s="25">
        <f>SUMIFS('Daftar Koreksi'!$H$5:$H$92,'Daftar Koreksi'!$D$5:$D$92,'1000'!A422,'Daftar Koreksi'!$G$5:$G$92,"Peralatan dan mesin",'Daftar Koreksi'!$H$5:$H$92,"&gt;0")</f>
        <v>0</v>
      </c>
      <c r="F427" s="25">
        <f>SUMIFS('Daftar Koreksi'!$H$5:$H$92,'Daftar Koreksi'!$D$5:$D$92,'1000'!A422,'Daftar Koreksi'!$G$5:$G$92,"Peralatan dan mesin",'Daftar Koreksi'!$H$5:$H$92,"&lt;0")-SUMIFS('Daftar Koreksi'!$H$5:$H$92,'Daftar Koreksi'!$D$5:$D$92,'1000'!A422,'Daftar Koreksi'!$G$5:$G$92,"Peralatan dan mesin",'Daftar Koreksi'!$H$5:$H$92,"&lt;0")-SUMIFS('Daftar Koreksi'!$H$5:$H$92,'Daftar Koreksi'!$D$5:$D$92,'1000'!A422,'Daftar Koreksi'!$G$5:$G$92,"Peralatan dan mesin",'Daftar Koreksi'!$H$5:$H$92,"&lt;0")</f>
        <v>0</v>
      </c>
      <c r="G427" s="17">
        <f t="shared" si="19"/>
        <v>1276254372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1178843005</v>
      </c>
      <c r="E428" s="25">
        <f>SUMIFS('Daftar Koreksi'!$H$5:$H$92,'Daftar Koreksi'!$D$5:$D$92,'1000'!A422,'Daftar Koreksi'!$G$5:$G$92,"Gedung dan Bangunan",'Daftar Koreksi'!$H$5:$H$92,"&gt;0")</f>
        <v>0</v>
      </c>
      <c r="F428" s="25">
        <f>SUMIFS('Daftar Koreksi'!$H$5:$H$92,'Daftar Koreksi'!$D$5:$D$92,'1000'!A422,'Daftar Koreksi'!$G$5:$G$92,"Gedung dan Bangunan",'Daftar Koreksi'!$H$5:$H$92,"&lt;0")-SUMIFS('Daftar Koreksi'!$H$5:$H$92,'Daftar Koreksi'!$D$5:$D$92,'1000'!A422,'Daftar Koreksi'!$G$5:$G$92,"Gedung dan Bangunan",'Daftar Koreksi'!$H$5:$H$92,"&lt;0")-SUMIFS('Daftar Koreksi'!$H$5:$H$92,'Daftar Koreksi'!$D$5:$D$92,'1000'!A422,'Daftar Koreksi'!$G$5:$G$92,"Gedung dan Bangunan",'Daftar Koreksi'!$H$5:$H$92,"&lt;0")</f>
        <v>0</v>
      </c>
      <c r="G428" s="17">
        <f t="shared" si="19"/>
        <v>1178843005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47956000</v>
      </c>
      <c r="E429" s="25">
        <f>SUMIFS('Daftar Koreksi'!$H$5:$H$92,'Daftar Koreksi'!$D$5:$D$92,'1000'!A422,'Daftar Koreksi'!$G$5:$G$92,"Jalan Irigasi Jaringan",'Daftar Koreksi'!$H$5:$H$92,"&gt;0")</f>
        <v>0</v>
      </c>
      <c r="F429" s="25">
        <f>SUMIFS('Daftar Koreksi'!$H$5:$H$92,'Daftar Koreksi'!$D$5:$D$92,'1000'!A422,'Daftar Koreksi'!$G$5:$G$92,"Jalan Irigasi Jaringan",'Daftar Koreksi'!$H$5:$H$92,"&lt;0")-SUMIFS('Daftar Koreksi'!$H$5:$H$92,'Daftar Koreksi'!$D$5:$D$92,'1000'!A422,'Daftar Koreksi'!$G$5:$G$92,"Jalan Irigasi Jaringan",'Daftar Koreksi'!$H$5:$H$92,"&lt;0")-SUMIFS('Daftar Koreksi'!$H$5:$H$92,'Daftar Koreksi'!$D$5:$D$92,'1000'!A422,'Daftar Koreksi'!$G$5:$G$92,"Jalan Irigasi Jaringan",'Daftar Koreksi'!$H$5:$H$92,"&lt;0")</f>
        <v>0</v>
      </c>
      <c r="G429" s="17">
        <f t="shared" si="19"/>
        <v>47956000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26010750</v>
      </c>
      <c r="E430" s="25">
        <f>SUMIFS('Daftar Koreksi'!$H$5:$H$92,'Daftar Koreksi'!$D$5:$D$92,'1000'!A422,'Daftar Koreksi'!$G$5:$G$92,"Aset Tetap Lainnya",'Daftar Koreksi'!$H$5:$H$92,"&gt;0")</f>
        <v>0</v>
      </c>
      <c r="F430" s="25">
        <f>SUMIFS('Daftar Koreksi'!$H$5:$H$92,'Daftar Koreksi'!$D$5:$D$92,'1000'!A422,'Daftar Koreksi'!$G$5:$G$92,"Aset Tetap Lainnya",'Daftar Koreksi'!$H$5:$H$92,"&lt;0")-SUMIFS('Daftar Koreksi'!$H$5:$H$92,'Daftar Koreksi'!$D$5:$D$92,'1000'!A422,'Daftar Koreksi'!$G$5:$G$92,"Aset Tetap Lainnya",'Daftar Koreksi'!$H$5:$H$92,"&lt;0")-SUMIFS('Daftar Koreksi'!$H$5:$H$92,'Daftar Koreksi'!$D$5:$D$92,'1000'!A422,'Daftar Koreksi'!$G$5:$G$92,"Aset Tetap Lainnya",'Daftar Koreksi'!$H$5:$H$92,"&lt;0")</f>
        <v>0</v>
      </c>
      <c r="G430" s="17">
        <f t="shared" si="19"/>
        <v>26010750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Koreksi'!$D$5:$D$92,'1000'!A422,'Daftar Koreksi'!$G$5:$G$92,"Kontruksi Dalam Pengerjaan",'Daftar Koreksi'!$H$5:$H$92,"&gt;0")</f>
        <v>0</v>
      </c>
      <c r="F431" s="25">
        <f>SUMIFS('Daftar Koreksi'!$H$5:$H$92,'Daftar Koreksi'!$D$5:$D$92,'1000'!A422,'Daftar Koreksi'!$G$5:$G$92,"Kontruksi Dalam Pengerjaan",'Daftar Koreksi'!$H$5:$H$92,"&lt;0")-SUMIFS('Daftar Koreksi'!$H$5:$H$92,'Daftar Koreksi'!$D$5:$D$92,'1000'!A422,'Daftar Koreksi'!$G$5:$G$92,"Kontruksi Dalam Pengerjaan",'Daftar Koreksi'!$H$5:$H$92,"&lt;0")-SUMIFS('Daftar Koreksi'!$H$5:$H$92,'Daftar Koreksi'!$D$5:$D$92,'1000'!A422,'Daftar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Koreksi'!$D$5:$D$92,'1000'!A422,'Daftar Koreksi'!$G$5:$G$92,"Aset Tak Berwujud",'Daftar Koreksi'!$H$5:$H$92,"&gt;0")</f>
        <v>0</v>
      </c>
      <c r="F432" s="25">
        <f>SUMIFS('Daftar Koreksi'!$H$5:$H$92,'Daftar Koreksi'!$D$5:$D$92,'1000'!A422,'Daftar Koreksi'!$G$5:$G$92,"Aset Tak Berwujud",'Daftar Koreksi'!$H$5:$H$92,"&lt;0")-SUMIFS('Daftar Koreksi'!$H$5:$H$92,'Daftar Koreksi'!$D$5:$D$92,'1000'!A422,'Daftar Koreksi'!$G$5:$G$92,"Aset Tak Berwujud",'Daftar Koreksi'!$H$5:$H$92,"&lt;0")-SUMIFS('Daftar Koreksi'!$H$5:$H$92,'Daftar Koreksi'!$D$5:$D$92,'1000'!A422,'Daftar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24832601</v>
      </c>
      <c r="E433" s="25">
        <f>SUMIFS('Daftar Koreksi'!$H$5:$H$92,'Daftar Koreksi'!$D$5:$D$92,'1000'!A422,'Daftar Koreksi'!$G$5:$G$92,"Aset Henti Guna",'Daftar Koreksi'!$H$5:$H$92,"&gt;0")</f>
        <v>0</v>
      </c>
      <c r="F433" s="25">
        <f>SUMIFS('Daftar Koreksi'!$H$5:$H$92,'Daftar Koreksi'!$D$5:$D$92,'1000'!A422,'Daftar Koreksi'!$G$5:$G$92,"Aset Henti Guna",'Daftar Koreksi'!$H$5:$H$92,"&lt;0")-SUMIFS('Daftar Koreksi'!$H$5:$H$92,'Daftar Koreksi'!$D$5:$D$92,'1000'!A422,'Daftar Koreksi'!$G$5:$G$92,"Aset Henti Guna",'Daftar Koreksi'!$H$5:$H$92,"&lt;0")-SUMIFS('Daftar Koreksi'!$H$5:$H$92,'Daftar Koreksi'!$D$5:$D$92,'1000'!A422,'Daftar Koreksi'!$G$5:$G$92,"Aset Henti Guna",'Daftar Koreksi'!$H$5:$H$92,"&lt;0")</f>
        <v>0</v>
      </c>
      <c r="G433" s="17">
        <f t="shared" si="19"/>
        <v>24832601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2876471728</v>
      </c>
      <c r="E434" s="19">
        <f>SUM(E425:E433)</f>
        <v>0</v>
      </c>
      <c r="F434" s="19">
        <f>SUM(F425:F433)</f>
        <v>0</v>
      </c>
      <c r="G434" s="19">
        <f t="shared" si="19"/>
        <v>2876471728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-1073066781</v>
      </c>
      <c r="E435" s="25">
        <f>SUMIFS('Daftar Koreksi'!$I$5:$I$92,'Daftar Koreksi'!$D$5:$D$92,'1000'!A422,'Daftar Koreksi'!$G$5:$G$92,"Peralatan dan mesin",'Daftar Koreksi'!$I$5:$I$92,"&gt;0")</f>
        <v>0</v>
      </c>
      <c r="F435" s="25">
        <f>SUMIFS('Daftar Koreksi'!$I$5:$I$92,'Daftar Koreksi'!$D$5:$D$92,'1000'!A422,'Daftar Koreksi'!$G$5:$G$92,"Peralatan dan mesin",'Daftar Koreksi'!$I$5:$I$92,"&lt;0")-SUMIFS('Daftar Koreksi'!$I$5:$I$92,'Daftar Koreksi'!$D$5:$D$92,'1000'!A422,'Daftar Koreksi'!$G$5:$G$92,"Peralatan dan mesin",'Daftar Koreksi'!$I$5:$I$92,"&lt;0")-SUMIFS('Daftar Koreksi'!$I$5:$I$92,'Daftar Koreksi'!$D$5:$D$92,'1000'!A422,'Daftar Koreksi'!$G$5:$G$92,"Peralatan dan mesin",'Daftar Koreksi'!$I$5:$I$92,"&lt;0")</f>
        <v>0</v>
      </c>
      <c r="G435" s="17">
        <f t="shared" si="19"/>
        <v>-1073066781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-147133081</v>
      </c>
      <c r="E436" s="25">
        <f>SUMIFS('Daftar Koreksi'!$I$5:$I$92,'Daftar Koreksi'!$D$5:$D$92,'1000'!A422,'Daftar Koreksi'!$G$5:$G$92,"Gedung dan Bangunan",'Daftar Koreksi'!$I$5:$I$92,"&gt;0")</f>
        <v>0</v>
      </c>
      <c r="F436" s="25">
        <f>SUMIFS('Daftar Koreksi'!$I$5:$I$92,'Daftar Koreksi'!$D$5:$D$92,'1000'!A422,'Daftar Koreksi'!$G$5:$G$92,"Gedung dan Bangunan",'Daftar Koreksi'!$I$5:$I$92,"&lt;0")-SUMIFS('Daftar Koreksi'!$I$5:$I$92,'Daftar Koreksi'!$D$5:$D$92,'1000'!A422,'Daftar Koreksi'!$G$5:$G$92,"Gedung dan Bangunan",'Daftar Koreksi'!$I$5:$I$92,"&lt;0")-SUMIFS('Daftar Koreksi'!$I$5:$I$92,'Daftar Koreksi'!$D$5:$D$92,'1000'!A422,'Daftar Koreksi'!$G$5:$G$92,"Gedung dan Bangunan",'Daftar Koreksi'!$I$5:$I$92,"&lt;0")</f>
        <v>0</v>
      </c>
      <c r="G436" s="17">
        <f t="shared" si="19"/>
        <v>-147133081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-22683865</v>
      </c>
      <c r="E437" s="25">
        <f>SUMIFS('Daftar Koreksi'!$I$5:$I$92,'Daftar Koreksi'!$D$5:$D$92,'1000'!A422,'Daftar Koreksi'!$G$5:$G$92,"Jalan Irigasi Jaringan",'Daftar Koreksi'!$I$5:$I$92,"&gt;0")</f>
        <v>0</v>
      </c>
      <c r="F437" s="25">
        <f>SUMIFS('Daftar Koreksi'!$I$5:$I$92,'Daftar Koreksi'!$D$5:$D$92,'1000'!A422,'Daftar Koreksi'!$G$5:$G$92,"Jalan Irigasi Jaringan",'Daftar Koreksi'!$I$5:$I$92,"&lt;0")-SUMIFS('Daftar Koreksi'!$I$5:$I$92,'Daftar Koreksi'!$D$5:$D$92,'1000'!A422,'Daftar Koreksi'!$G$5:$G$92,"Jalan Irigasi Jaringan",'Daftar Koreksi'!$I$5:$I$92,"&lt;0")-SUMIFS('Daftar Koreksi'!$I$5:$I$92,'Daftar Koreksi'!$D$5:$D$92,'1000'!A422,'Daftar Koreksi'!$G$5:$G$92,"Jalan Irigasi Jaringan",'Daftar Koreksi'!$I$5:$I$92,"&lt;0")</f>
        <v>0</v>
      </c>
      <c r="G437" s="17">
        <f t="shared" si="19"/>
        <v>-22683865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Koreksi'!$D$5:$D$92,'1000'!A422,'Daftar Koreksi'!$G$5:$G$92,"Aset Tetap Lainnya",'Daftar Koreksi'!$I$5:$I$92,"&gt;0")</f>
        <v>0</v>
      </c>
      <c r="F438" s="25">
        <f>SUMIFS('Daftar Koreksi'!$I$5:$I$92,'Daftar Koreksi'!$D$5:$D$92,'1000'!A422,'Daftar Koreksi'!$G$5:$G$92,"Aset Tetap Lainnya",'Daftar Koreksi'!$I$5:$I$92,"&lt;0")-SUMIFS('Daftar Koreksi'!$I$5:$I$92,'Daftar Koreksi'!$D$5:$D$92,'1000'!A422,'Daftar Koreksi'!$G$5:$G$92,"Aset Tetap Lainnya",'Daftar Koreksi'!$I$5:$I$92,"&lt;0")-SUMIFS('Daftar Koreksi'!$I$5:$I$92,'Daftar Koreksi'!$D$5:$D$92,'1000'!A422,'Daftar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-24832601</v>
      </c>
      <c r="E439" s="25">
        <f>SUMIFS('Daftar Koreksi'!$I$5:$I$92,'Daftar Koreksi'!$D$5:$D$92,'1000'!A422,'Daftar Koreksi'!$G$5:$G$92,"Aset Henti Guna",'Daftar Koreksi'!$I$5:$I$92,"&gt;0")</f>
        <v>0</v>
      </c>
      <c r="F439" s="25">
        <f>SUMIFS('Daftar Koreksi'!$I$5:$I$92,'Daftar Koreksi'!$D$5:$D$92,'1000'!A422,'Daftar Koreksi'!$G$5:$G$92,"Aset Henti Guna",'Daftar Koreksi'!$I$5:$I$92,"&lt;0")-SUMIFS('Daftar Koreksi'!$I$5:$I$92,'Daftar Koreksi'!$D$5:$D$92,'1000'!A422,'Daftar Koreksi'!$G$5:$G$92,"Aset Henti Guna",'Daftar Koreksi'!$I$5:$I$92,"&lt;0")-SUMIFS('Daftar Koreksi'!$I$5:$I$92,'Daftar Koreksi'!$D$5:$D$92,'1000'!A422,'Daftar Koreksi'!$G$5:$G$92,"Aset Henti Guna",'Daftar Koreksi'!$I$5:$I$92,"&lt;0")</f>
        <v>0</v>
      </c>
      <c r="G439" s="17">
        <f t="shared" si="19"/>
        <v>-24832601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-1267716328</v>
      </c>
      <c r="E440" s="19">
        <f>SUM(E435:E439)</f>
        <v>0</v>
      </c>
      <c r="F440" s="19">
        <f>SUM(F435:F439)</f>
        <v>0</v>
      </c>
      <c r="G440" s="19">
        <f t="shared" si="19"/>
        <v>-1267716328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1608755400</v>
      </c>
      <c r="E441" s="19">
        <f>E440+E434</f>
        <v>0</v>
      </c>
      <c r="F441" s="19">
        <f>F440+F434</f>
        <v>0</v>
      </c>
      <c r="G441" s="19">
        <f t="shared" si="19"/>
        <v>1608755400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005011000652020000KD</v>
      </c>
      <c r="B444" s="11" t="str">
        <f>P21</f>
        <v>PA. Tebo</v>
      </c>
      <c r="C444" s="12" t="str">
        <f>A444&amp;" "&amp;B444</f>
        <v>005011000652020000KD PA. Tebo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3567120</v>
      </c>
      <c r="E447" s="25">
        <f>SUMIFS('Daftar Koreksi'!$H$5:$H$92,'Daftar Koreksi'!$D$5:$D$92,'1000'!A444,'Daftar Koreksi'!$G$5:$G$92,"Persediaan",'Daftar Koreksi'!$H$5:$H$92,"&gt;0")</f>
        <v>0</v>
      </c>
      <c r="F447" s="25">
        <f>SUMIFS('Daftar Koreksi'!$H$5:$H$92,'Daftar Koreksi'!$D$5:$D$92,'1000'!A444,'Daftar Koreksi'!$G$5:$G$92,"Persediaan",'Daftar Koreksi'!$H$5:$H$92,"&lt;0")-SUMIFS('Daftar Koreksi'!$H$5:$H$92,'Daftar Koreksi'!$D$5:$D$92,'1000'!A444,'Daftar Koreksi'!$G$5:$G$92,"Persediaan",'Daftar Koreksi'!$H$5:$H$92,"&lt;0")-SUMIFS('Daftar Koreksi'!$H$5:$H$92,'Daftar Koreksi'!$D$5:$D$92,'1000'!A444,'Daftar Koreksi'!$G$5:$G$92,"Persediaan",'Daftar Koreksi'!$H$5:$H$92,"&lt;0")</f>
        <v>0</v>
      </c>
      <c r="G447" s="17">
        <f>D447+E447-F447</f>
        <v>3567120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0</v>
      </c>
      <c r="E448" s="25">
        <f>SUMIFS('Daftar Koreksi'!$H$5:$H$92,'Daftar Koreksi'!$D$5:$D$92,'1000'!A444,'Daftar Koreksi'!$G$5:$G$92,"Tanah",'Daftar Koreksi'!$H$5:$H$92,"&gt;0")</f>
        <v>0</v>
      </c>
      <c r="F448" s="25">
        <f>SUMIFS('Daftar Koreksi'!$H$5:$H$92,'Daftar Koreksi'!$D$5:$D$92,'1000'!A444,'Daftar Koreksi'!$G$5:$G$92,"Tanah",'Daftar Koreksi'!$H$5:$H$92,"&lt;0")-SUMIFS('Daftar Koreksi'!$H$5:$H$92,'Daftar Koreksi'!$D$5:$D$92,'1000'!A444,'Daftar Koreksi'!$G$5:$G$92,"Tanah",'Daftar Koreksi'!$H$5:$H$92,"&lt;0")-SUMIFS('Daftar Koreksi'!$H$5:$H$92,'Daftar Koreksi'!$D$5:$D$92,'1000'!A444,'Daftar Koreksi'!$G$5:$G$92,"Tanah",'Daftar Koreksi'!$H$5:$H$92,"&lt;0")</f>
        <v>0</v>
      </c>
      <c r="G448" s="17">
        <f t="shared" ref="G448:G464" si="20">D448+E448-F448</f>
        <v>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944323142</v>
      </c>
      <c r="E449" s="25">
        <f>SUMIFS('Daftar Koreksi'!$H$5:$H$92,'Daftar Koreksi'!$D$5:$D$92,'1000'!A444,'Daftar Koreksi'!$G$5:$G$92,"Peralatan dan mesin",'Daftar Koreksi'!$H$5:$H$92,"&gt;0")</f>
        <v>0</v>
      </c>
      <c r="F449" s="25">
        <f>SUMIFS('Daftar Koreksi'!$H$5:$H$92,'Daftar Koreksi'!$D$5:$D$92,'1000'!A444,'Daftar Koreksi'!$G$5:$G$92,"Peralatan dan mesin",'Daftar Koreksi'!$H$5:$H$92,"&lt;0")-SUMIFS('Daftar Koreksi'!$H$5:$H$92,'Daftar Koreksi'!$D$5:$D$92,'1000'!A444,'Daftar Koreksi'!$G$5:$G$92,"Peralatan dan mesin",'Daftar Koreksi'!$H$5:$H$92,"&lt;0")-SUMIFS('Daftar Koreksi'!$H$5:$H$92,'Daftar Koreksi'!$D$5:$D$92,'1000'!A444,'Daftar Koreksi'!$G$5:$G$92,"Peralatan dan mesin",'Daftar Koreksi'!$H$5:$H$92,"&lt;0")</f>
        <v>0</v>
      </c>
      <c r="G449" s="17">
        <f t="shared" si="20"/>
        <v>944323142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1991056355</v>
      </c>
      <c r="E450" s="25">
        <f>SUMIFS('Daftar Koreksi'!$H$5:$H$92,'Daftar Koreksi'!$D$5:$D$92,'1000'!A444,'Daftar Koreksi'!$G$5:$G$92,"Gedung dan Bangunan",'Daftar Koreksi'!$H$5:$H$92,"&gt;0")</f>
        <v>0</v>
      </c>
      <c r="F450" s="25">
        <f>SUMIFS('Daftar Koreksi'!$H$5:$H$92,'Daftar Koreksi'!$D$5:$D$92,'1000'!A444,'Daftar Koreksi'!$G$5:$G$92,"Gedung dan Bangunan",'Daftar Koreksi'!$H$5:$H$92,"&lt;0")-SUMIFS('Daftar Koreksi'!$H$5:$H$92,'Daftar Koreksi'!$D$5:$D$92,'1000'!A444,'Daftar Koreksi'!$G$5:$G$92,"Gedung dan Bangunan",'Daftar Koreksi'!$H$5:$H$92,"&lt;0")-SUMIFS('Daftar Koreksi'!$H$5:$H$92,'Daftar Koreksi'!$D$5:$D$92,'1000'!A444,'Daftar Koreksi'!$G$5:$G$92,"Gedung dan Bangunan",'Daftar Koreksi'!$H$5:$H$92,"&lt;0")</f>
        <v>0</v>
      </c>
      <c r="G450" s="17">
        <f t="shared" si="20"/>
        <v>1991056355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50585000</v>
      </c>
      <c r="E451" s="25">
        <f>SUMIFS('Daftar Koreksi'!$H$5:$H$92,'Daftar Koreksi'!$D$5:$D$92,'1000'!A444,'Daftar Koreksi'!$G$5:$G$92,"Jalan Irigasi Jaringan",'Daftar Koreksi'!$H$5:$H$92,"&gt;0")</f>
        <v>0</v>
      </c>
      <c r="F451" s="25">
        <f>SUMIFS('Daftar Koreksi'!$H$5:$H$92,'Daftar Koreksi'!$D$5:$D$92,'1000'!A444,'Daftar Koreksi'!$G$5:$G$92,"Jalan Irigasi Jaringan",'Daftar Koreksi'!$H$5:$H$92,"&lt;0")-SUMIFS('Daftar Koreksi'!$H$5:$H$92,'Daftar Koreksi'!$D$5:$D$92,'1000'!A444,'Daftar Koreksi'!$G$5:$G$92,"Jalan Irigasi Jaringan",'Daftar Koreksi'!$H$5:$H$92,"&lt;0")-SUMIFS('Daftar Koreksi'!$H$5:$H$92,'Daftar Koreksi'!$D$5:$D$92,'1000'!A444,'Daftar Koreksi'!$G$5:$G$92,"Jalan Irigasi Jaringan",'Daftar Koreksi'!$H$5:$H$92,"&lt;0")</f>
        <v>0</v>
      </c>
      <c r="G451" s="17">
        <f t="shared" si="20"/>
        <v>50585000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80854000</v>
      </c>
      <c r="E452" s="25">
        <f>SUMIFS('Daftar Koreksi'!$H$5:$H$92,'Daftar Koreksi'!$D$5:$D$92,'1000'!A444,'Daftar Koreksi'!$G$5:$G$92,"Aset Tetap Lainnya",'Daftar Koreksi'!$H$5:$H$92,"&gt;0")</f>
        <v>0</v>
      </c>
      <c r="F452" s="25">
        <f>SUMIFS('Daftar Koreksi'!$H$5:$H$92,'Daftar Koreksi'!$D$5:$D$92,'1000'!A444,'Daftar Koreksi'!$G$5:$G$92,"Aset Tetap Lainnya",'Daftar Koreksi'!$H$5:$H$92,"&lt;0")-SUMIFS('Daftar Koreksi'!$H$5:$H$92,'Daftar Koreksi'!$D$5:$D$92,'1000'!A444,'Daftar Koreksi'!$G$5:$G$92,"Aset Tetap Lainnya",'Daftar Koreksi'!$H$5:$H$92,"&lt;0")-SUMIFS('Daftar Koreksi'!$H$5:$H$92,'Daftar Koreksi'!$D$5:$D$92,'1000'!A444,'Daftar Koreksi'!$G$5:$G$92,"Aset Tetap Lainnya",'Daftar Koreksi'!$H$5:$H$92,"&lt;0")</f>
        <v>0</v>
      </c>
      <c r="G452" s="17">
        <f t="shared" si="20"/>
        <v>80854000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Koreksi'!$D$5:$D$92,'1000'!A444,'Daftar Koreksi'!$G$5:$G$92,"Kontruksi Dalam Pengerjaan",'Daftar Koreksi'!$H$5:$H$92,"&gt;0")</f>
        <v>0</v>
      </c>
      <c r="F453" s="25">
        <f>SUMIFS('Daftar Koreksi'!$H$5:$H$92,'Daftar Koreksi'!$D$5:$D$92,'1000'!A444,'Daftar Koreksi'!$G$5:$G$92,"Kontruksi Dalam Pengerjaan",'Daftar Koreksi'!$H$5:$H$92,"&lt;0")-SUMIFS('Daftar Koreksi'!$H$5:$H$92,'Daftar Koreksi'!$D$5:$D$92,'1000'!A444,'Daftar Koreksi'!$G$5:$G$92,"Kontruksi Dalam Pengerjaan",'Daftar Koreksi'!$H$5:$H$92,"&lt;0")-SUMIFS('Daftar Koreksi'!$H$5:$H$92,'Daftar Koreksi'!$D$5:$D$92,'1000'!A444,'Daftar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13000000</v>
      </c>
      <c r="E454" s="25">
        <f>SUMIFS('Daftar Koreksi'!$H$5:$H$92,'Daftar Koreksi'!$D$5:$D$92,'1000'!A444,'Daftar Koreksi'!$G$5:$G$92,"Aset Tak Berwujud",'Daftar Koreksi'!$H$5:$H$92,"&gt;0")</f>
        <v>0</v>
      </c>
      <c r="F454" s="25">
        <f>SUMIFS('Daftar Koreksi'!$H$5:$H$92,'Daftar Koreksi'!$D$5:$D$92,'1000'!A444,'Daftar Koreksi'!$G$5:$G$92,"Aset Tak Berwujud",'Daftar Koreksi'!$H$5:$H$92,"&lt;0")-SUMIFS('Daftar Koreksi'!$H$5:$H$92,'Daftar Koreksi'!$D$5:$D$92,'1000'!A444,'Daftar Koreksi'!$G$5:$G$92,"Aset Tak Berwujud",'Daftar Koreksi'!$H$5:$H$92,"&lt;0")-SUMIFS('Daftar Koreksi'!$H$5:$H$92,'Daftar Koreksi'!$D$5:$D$92,'1000'!A444,'Daftar Koreksi'!$G$5:$G$92,"Aset Tak Berwujud",'Daftar Koreksi'!$H$5:$H$92,"&lt;0")</f>
        <v>0</v>
      </c>
      <c r="G454" s="17">
        <f t="shared" si="20"/>
        <v>13000000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90000</v>
      </c>
      <c r="E455" s="25">
        <f>SUMIFS('Daftar Koreksi'!$H$5:$H$92,'Daftar Koreksi'!$D$5:$D$92,'1000'!A444,'Daftar Koreksi'!$G$5:$G$92,"Aset Henti Guna",'Daftar Koreksi'!$H$5:$H$92,"&gt;0")</f>
        <v>0</v>
      </c>
      <c r="F455" s="25">
        <f>SUMIFS('Daftar Koreksi'!$H$5:$H$92,'Daftar Koreksi'!$D$5:$D$92,'1000'!A444,'Daftar Koreksi'!$G$5:$G$92,"Aset Henti Guna",'Daftar Koreksi'!$H$5:$H$92,"&lt;0")-SUMIFS('Daftar Koreksi'!$H$5:$H$92,'Daftar Koreksi'!$D$5:$D$92,'1000'!A444,'Daftar Koreksi'!$G$5:$G$92,"Aset Henti Guna",'Daftar Koreksi'!$H$5:$H$92,"&lt;0")-SUMIFS('Daftar Koreksi'!$H$5:$H$92,'Daftar Koreksi'!$D$5:$D$92,'1000'!A444,'Daftar Koreksi'!$G$5:$G$92,"Aset Henti Guna",'Daftar Koreksi'!$H$5:$H$92,"&lt;0")</f>
        <v>0</v>
      </c>
      <c r="G455" s="17">
        <f t="shared" si="20"/>
        <v>90000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3083475617</v>
      </c>
      <c r="E456" s="19">
        <f>SUM(E447:E455)</f>
        <v>0</v>
      </c>
      <c r="F456" s="19">
        <f>SUM(F447:F455)</f>
        <v>0</v>
      </c>
      <c r="G456" s="19">
        <f t="shared" si="20"/>
        <v>3083475617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-868858764</v>
      </c>
      <c r="E457" s="25">
        <f>SUMIFS('Daftar Koreksi'!$I$5:$I$92,'Daftar Koreksi'!$D$5:$D$92,'1000'!A444,'Daftar Koreksi'!$G$5:$G$92,"Peralatan dan mesin",'Daftar Koreksi'!$I$5:$I$92,"&gt;0")</f>
        <v>0</v>
      </c>
      <c r="F457" s="25">
        <f>SUMIFS('Daftar Koreksi'!$I$5:$I$92,'Daftar Koreksi'!$D$5:$D$92,'1000'!A444,'Daftar Koreksi'!$G$5:$G$92,"Peralatan dan mesin",'Daftar Koreksi'!$I$5:$I$92,"&lt;0")-SUMIFS('Daftar Koreksi'!$I$5:$I$92,'Daftar Koreksi'!$D$5:$D$92,'1000'!A444,'Daftar Koreksi'!$G$5:$G$92,"Peralatan dan mesin",'Daftar Koreksi'!$I$5:$I$92,"&lt;0")-SUMIFS('Daftar Koreksi'!$I$5:$I$92,'Daftar Koreksi'!$D$5:$D$92,'1000'!A444,'Daftar Koreksi'!$G$5:$G$92,"Peralatan dan mesin",'Daftar Koreksi'!$I$5:$I$92,"&lt;0")</f>
        <v>0</v>
      </c>
      <c r="G457" s="17">
        <f t="shared" si="20"/>
        <v>-868858764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-314761964</v>
      </c>
      <c r="E458" s="25">
        <f>SUMIFS('Daftar Koreksi'!$I$5:$I$92,'Daftar Koreksi'!$D$5:$D$92,'1000'!A444,'Daftar Koreksi'!$G$5:$G$92,"Gedung dan Bangunan",'Daftar Koreksi'!$I$5:$I$92,"&gt;0")</f>
        <v>0</v>
      </c>
      <c r="F458" s="25">
        <f>SUMIFS('Daftar Koreksi'!$I$5:$I$92,'Daftar Koreksi'!$D$5:$D$92,'1000'!A444,'Daftar Koreksi'!$G$5:$G$92,"Gedung dan Bangunan",'Daftar Koreksi'!$I$5:$I$92,"&lt;0")-SUMIFS('Daftar Koreksi'!$I$5:$I$92,'Daftar Koreksi'!$D$5:$D$92,'1000'!A444,'Daftar Koreksi'!$G$5:$G$92,"Gedung dan Bangunan",'Daftar Koreksi'!$I$5:$I$92,"&lt;0")-SUMIFS('Daftar Koreksi'!$I$5:$I$92,'Daftar Koreksi'!$D$5:$D$92,'1000'!A444,'Daftar Koreksi'!$G$5:$G$92,"Gedung dan Bangunan",'Daftar Koreksi'!$I$5:$I$92,"&lt;0")</f>
        <v>0</v>
      </c>
      <c r="G458" s="17">
        <f t="shared" si="20"/>
        <v>-314761964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-10998500</v>
      </c>
      <c r="E459" s="25">
        <f>SUMIFS('Daftar Koreksi'!$I$5:$I$92,'Daftar Koreksi'!$D$5:$D$92,'1000'!A444,'Daftar Koreksi'!$G$5:$G$92,"Jalan Irigasi Jaringan",'Daftar Koreksi'!$I$5:$I$92,"&gt;0")</f>
        <v>0</v>
      </c>
      <c r="F459" s="25">
        <f>SUMIFS('Daftar Koreksi'!$I$5:$I$92,'Daftar Koreksi'!$D$5:$D$92,'1000'!A444,'Daftar Koreksi'!$G$5:$G$92,"Jalan Irigasi Jaringan",'Daftar Koreksi'!$I$5:$I$92,"&lt;0")-SUMIFS('Daftar Koreksi'!$I$5:$I$92,'Daftar Koreksi'!$D$5:$D$92,'1000'!A444,'Daftar Koreksi'!$G$5:$G$92,"Jalan Irigasi Jaringan",'Daftar Koreksi'!$I$5:$I$92,"&lt;0")-SUMIFS('Daftar Koreksi'!$I$5:$I$92,'Daftar Koreksi'!$D$5:$D$92,'1000'!A444,'Daftar Koreksi'!$G$5:$G$92,"Jalan Irigasi Jaringan",'Daftar Koreksi'!$I$5:$I$92,"&lt;0")</f>
        <v>0</v>
      </c>
      <c r="G459" s="17">
        <f t="shared" si="20"/>
        <v>-10998500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Koreksi'!$D$5:$D$92,'1000'!A444,'Daftar Koreksi'!$G$5:$G$92,"Aset Tetap Lainnya",'Daftar Koreksi'!$I$5:$I$92,"&gt;0")</f>
        <v>0</v>
      </c>
      <c r="F460" s="25">
        <f>SUMIFS('Daftar Koreksi'!$I$5:$I$92,'Daftar Koreksi'!$D$5:$D$92,'1000'!A444,'Daftar Koreksi'!$G$5:$G$92,"Aset Tetap Lainnya",'Daftar Koreksi'!$I$5:$I$92,"&lt;0")-SUMIFS('Daftar Koreksi'!$I$5:$I$92,'Daftar Koreksi'!$D$5:$D$92,'1000'!A444,'Daftar Koreksi'!$G$5:$G$92,"Aset Tetap Lainnya",'Daftar Koreksi'!$I$5:$I$92,"&lt;0")-SUMIFS('Daftar Koreksi'!$I$5:$I$92,'Daftar Koreksi'!$D$5:$D$92,'1000'!A444,'Daftar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-90000</v>
      </c>
      <c r="E461" s="25">
        <f>SUMIFS('Daftar Koreksi'!$I$5:$I$92,'Daftar Koreksi'!$D$5:$D$92,'1000'!A444,'Daftar Koreksi'!$G$5:$G$92,"Aset Henti Guna",'Daftar Koreksi'!$I$5:$I$92,"&gt;0")</f>
        <v>0</v>
      </c>
      <c r="F461" s="25">
        <f>SUMIFS('Daftar Koreksi'!$I$5:$I$92,'Daftar Koreksi'!$D$5:$D$92,'1000'!A444,'Daftar Koreksi'!$G$5:$G$92,"Aset Henti Guna",'Daftar Koreksi'!$I$5:$I$92,"&lt;0")-SUMIFS('Daftar Koreksi'!$I$5:$I$92,'Daftar Koreksi'!$D$5:$D$92,'1000'!A444,'Daftar Koreksi'!$G$5:$G$92,"Aset Henti Guna",'Daftar Koreksi'!$I$5:$I$92,"&lt;0")-SUMIFS('Daftar Koreksi'!$I$5:$I$92,'Daftar Koreksi'!$D$5:$D$92,'1000'!A444,'Daftar Koreksi'!$G$5:$G$92,"Aset Henti Guna",'Daftar Koreksi'!$I$5:$I$92,"&lt;0")</f>
        <v>0</v>
      </c>
      <c r="G461" s="17">
        <f t="shared" si="20"/>
        <v>-90000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-1194709228</v>
      </c>
      <c r="E462" s="19">
        <f>SUM(E457:E461)</f>
        <v>0</v>
      </c>
      <c r="F462" s="19">
        <f>SUM(F457:F461)</f>
        <v>0</v>
      </c>
      <c r="G462" s="19">
        <f t="shared" si="20"/>
        <v>-1194709228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1888766389</v>
      </c>
      <c r="E463" s="19">
        <f>E462+E456</f>
        <v>0</v>
      </c>
      <c r="F463" s="19">
        <f>F462+F456</f>
        <v>0</v>
      </c>
      <c r="G463" s="19">
        <f t="shared" si="20"/>
        <v>1888766389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10" ht="19.5" customHeight="1">
      <c r="A466" s="11" t="str">
        <f>O22</f>
        <v>005011000652034000KD</v>
      </c>
      <c r="B466" s="11" t="str">
        <f>P22</f>
        <v>PA. Sangeti</v>
      </c>
      <c r="C466" s="12" t="str">
        <f>A466&amp;" "&amp;B466</f>
        <v>005011000652034000KD PA. Sangeti</v>
      </c>
      <c r="D466" s="13"/>
      <c r="E466" s="13"/>
      <c r="F466" s="13"/>
      <c r="G466" s="13"/>
      <c r="H466" s="11"/>
    </row>
    <row r="467" spans="1:10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10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10" ht="21.95" customHeight="1">
      <c r="A469" s="14"/>
      <c r="B469" s="14"/>
      <c r="C469" s="16" t="s">
        <v>1165</v>
      </c>
      <c r="D469" s="17">
        <f>VLOOKUP(A466,'Neraca Unaudited SIMAK'!$A$2:$S$10004,3,FALSE)</f>
        <v>1132250</v>
      </c>
      <c r="E469" s="25">
        <f>SUMIFS('Daftar Koreksi'!$H$5:$H$92,'Daftar Koreksi'!$D$5:$D$92,'1000'!A466,'Daftar Koreksi'!$G$5:$G$92,"Persediaan",'Daftar Koreksi'!$H$5:$H$92,"&gt;0")</f>
        <v>0</v>
      </c>
      <c r="F469" s="25">
        <f>SUMIFS('Daftar Koreksi'!$H$5:$H$92,'Daftar Koreksi'!$D$5:$D$92,'1000'!A466,'Daftar Koreksi'!$G$5:$G$92,"Persediaan",'Daftar Koreksi'!$H$5:$H$92,"&lt;0")-SUMIFS('Daftar Koreksi'!$H$5:$H$92,'Daftar Koreksi'!$D$5:$D$92,'1000'!A466,'Daftar Koreksi'!$G$5:$G$92,"Persediaan",'Daftar Koreksi'!$H$5:$H$92,"&lt;0")-SUMIFS('Daftar Koreksi'!$H$5:$H$92,'Daftar Koreksi'!$D$5:$D$92,'1000'!A466,'Daftar Koreksi'!$G$5:$G$92,"Persediaan",'Daftar Koreksi'!$H$5:$H$92,"&lt;0")</f>
        <v>0</v>
      </c>
      <c r="G469" s="17">
        <f>D469+E469-F469</f>
        <v>1132250</v>
      </c>
      <c r="H469" s="121" t="str">
        <f>IF(ISNA(VLOOKUP(A466,'Mutasi Neraca'!$A$3:$S$914,19,FALSE)),"-",VLOOKUP(A466,'Mutasi Neraca'!$A$3:$S$914,19,FALSE))</f>
        <v>TP Koreksi Hibah No. 21</v>
      </c>
      <c r="I469" s="28"/>
      <c r="J469" s="28"/>
    </row>
    <row r="470" spans="1:10" ht="21.95" customHeight="1">
      <c r="A470" s="14"/>
      <c r="B470" s="14"/>
      <c r="C470" s="16" t="s">
        <v>1166</v>
      </c>
      <c r="D470" s="17">
        <f>VLOOKUP(A466,'Neraca Unaudited SIMAK'!$A$2:$S$10004,4,FALSE)</f>
        <v>0</v>
      </c>
      <c r="E470" s="25">
        <f>SUMIFS('Daftar Koreksi'!$H$5:$H$92,'Daftar Koreksi'!$D$5:$D$92,'1000'!A466,'Daftar Koreksi'!$G$5:$G$92,"Tanah",'Daftar Koreksi'!$H$5:$H$92,"&gt;0")</f>
        <v>209584473</v>
      </c>
      <c r="F470" s="25">
        <f>SUMIFS('Daftar Koreksi'!$H$5:$H$92,'Daftar Koreksi'!$D$5:$D$92,'1000'!A466,'Daftar Koreksi'!$G$5:$G$92,"Tanah",'Daftar Koreksi'!$H$5:$H$92,"&lt;0")-SUMIFS('Daftar Koreksi'!$H$5:$H$92,'Daftar Koreksi'!$D$5:$D$92,'1000'!A466,'Daftar Koreksi'!$G$5:$G$92,"Tanah",'Daftar Koreksi'!$H$5:$H$92,"&lt;0")-SUMIFS('Daftar Koreksi'!$H$5:$H$92,'Daftar Koreksi'!$D$5:$D$92,'1000'!A466,'Daftar Koreksi'!$G$5:$G$92,"Tanah",'Daftar Koreksi'!$H$5:$H$92,"&lt;0")</f>
        <v>0</v>
      </c>
      <c r="G470" s="17">
        <f t="shared" ref="G470:G486" si="21">D470+E470-F470</f>
        <v>209584473</v>
      </c>
      <c r="H470" s="122"/>
      <c r="I470" s="28"/>
      <c r="J470" s="28"/>
    </row>
    <row r="471" spans="1:10" ht="21.95" customHeight="1">
      <c r="A471" s="14"/>
      <c r="B471" s="14"/>
      <c r="C471" s="16" t="s">
        <v>1167</v>
      </c>
      <c r="D471" s="17">
        <f>VLOOKUP(A466,'Neraca Unaudited SIMAK'!$A$2:$S$10004,5,FALSE)</f>
        <v>1137065926</v>
      </c>
      <c r="E471" s="25">
        <f>SUMIFS('Daftar Koreksi'!$H$5:$H$92,'Daftar Koreksi'!$D$5:$D$92,'1000'!A466,'Daftar Koreksi'!$G$5:$G$92,"Peralatan dan mesin",'Daftar Koreksi'!$H$5:$H$92,"&gt;0")</f>
        <v>0</v>
      </c>
      <c r="F471" s="25">
        <f>SUMIFS('Daftar Koreksi'!$H$5:$H$92,'Daftar Koreksi'!$D$5:$D$92,'1000'!A466,'Daftar Koreksi'!$G$5:$G$92,"Peralatan dan mesin",'Daftar Koreksi'!$H$5:$H$92,"&lt;0")-SUMIFS('Daftar Koreksi'!$H$5:$H$92,'Daftar Koreksi'!$D$5:$D$92,'1000'!A466,'Daftar Koreksi'!$G$5:$G$92,"Peralatan dan mesin",'Daftar Koreksi'!$H$5:$H$92,"&lt;0")-SUMIFS('Daftar Koreksi'!$H$5:$H$92,'Daftar Koreksi'!$D$5:$D$92,'1000'!A466,'Daftar Koreksi'!$G$5:$G$92,"Peralatan dan mesin",'Daftar Koreksi'!$H$5:$H$92,"&lt;0")</f>
        <v>0</v>
      </c>
      <c r="G471" s="17">
        <f t="shared" si="21"/>
        <v>1137065926</v>
      </c>
      <c r="H471" s="122"/>
      <c r="I471" s="28"/>
      <c r="J471" s="28"/>
    </row>
    <row r="472" spans="1:10" ht="21.95" customHeight="1">
      <c r="A472" s="14"/>
      <c r="B472" s="14"/>
      <c r="C472" s="16" t="s">
        <v>1168</v>
      </c>
      <c r="D472" s="17">
        <f>VLOOKUP(A466,'Neraca Unaudited SIMAK'!$A$2:$S$10004,6,FALSE)</f>
        <v>1465588000</v>
      </c>
      <c r="E472" s="25">
        <f>SUMIFS('Daftar Koreksi'!$H$5:$H$92,'Daftar Koreksi'!$D$5:$D$92,'1000'!A466,'Daftar Koreksi'!$G$5:$G$92,"Gedung dan Bangunan",'Daftar Koreksi'!$H$5:$H$92,"&gt;0")</f>
        <v>0</v>
      </c>
      <c r="F472" s="25">
        <f>SUMIFS('Daftar Koreksi'!$H$5:$H$92,'Daftar Koreksi'!$D$5:$D$92,'1000'!A466,'Daftar Koreksi'!$G$5:$G$92,"Gedung dan Bangunan",'Daftar Koreksi'!$H$5:$H$92,"&lt;0")-SUMIFS('Daftar Koreksi'!$H$5:$H$92,'Daftar Koreksi'!$D$5:$D$92,'1000'!A466,'Daftar Koreksi'!$G$5:$G$92,"Gedung dan Bangunan",'Daftar Koreksi'!$H$5:$H$92,"&lt;0")-SUMIFS('Daftar Koreksi'!$H$5:$H$92,'Daftar Koreksi'!$D$5:$D$92,'1000'!A466,'Daftar Koreksi'!$G$5:$G$92,"Gedung dan Bangunan",'Daftar Koreksi'!$H$5:$H$92,"&lt;0")</f>
        <v>0</v>
      </c>
      <c r="G472" s="17">
        <f t="shared" si="21"/>
        <v>1465588000</v>
      </c>
      <c r="H472" s="122"/>
      <c r="I472" s="28"/>
      <c r="J472" s="28"/>
    </row>
    <row r="473" spans="1:10" ht="21.95" customHeight="1">
      <c r="A473" s="14"/>
      <c r="B473" s="14"/>
      <c r="C473" s="16" t="s">
        <v>1169</v>
      </c>
      <c r="D473" s="17">
        <f>VLOOKUP(A466,'Neraca Unaudited SIMAK'!$A$2:$S$10004,7,FALSE)</f>
        <v>13120000</v>
      </c>
      <c r="E473" s="25">
        <f>SUMIFS('Daftar Koreksi'!$H$5:$H$92,'Daftar Koreksi'!$D$5:$D$92,'1000'!A466,'Daftar Koreksi'!$G$5:$G$92,"Jalan Irigasi Jaringan",'Daftar Koreksi'!$H$5:$H$92,"&gt;0")</f>
        <v>0</v>
      </c>
      <c r="F473" s="25">
        <f>SUMIFS('Daftar Koreksi'!$H$5:$H$92,'Daftar Koreksi'!$D$5:$D$92,'1000'!A466,'Daftar Koreksi'!$G$5:$G$92,"Jalan Irigasi Jaringan",'Daftar Koreksi'!$H$5:$H$92,"&lt;0")-SUMIFS('Daftar Koreksi'!$H$5:$H$92,'Daftar Koreksi'!$D$5:$D$92,'1000'!A466,'Daftar Koreksi'!$G$5:$G$92,"Jalan Irigasi Jaringan",'Daftar Koreksi'!$H$5:$H$92,"&lt;0")-SUMIFS('Daftar Koreksi'!$H$5:$H$92,'Daftar Koreksi'!$D$5:$D$92,'1000'!A466,'Daftar Koreksi'!$G$5:$G$92,"Jalan Irigasi Jaringan",'Daftar Koreksi'!$H$5:$H$92,"&lt;0")</f>
        <v>0</v>
      </c>
      <c r="G473" s="17">
        <f t="shared" si="21"/>
        <v>13120000</v>
      </c>
      <c r="H473" s="122"/>
      <c r="I473" s="28"/>
      <c r="J473" s="28"/>
    </row>
    <row r="474" spans="1:10" ht="21.95" customHeight="1">
      <c r="A474" s="14"/>
      <c r="B474" s="14"/>
      <c r="C474" s="16" t="s">
        <v>1170</v>
      </c>
      <c r="D474" s="17">
        <f>VLOOKUP(A466,'Neraca Unaudited SIMAK'!$A$2:$S$10004,8,FALSE)</f>
        <v>3716678</v>
      </c>
      <c r="E474" s="25">
        <f>SUMIFS('Daftar Koreksi'!$H$5:$H$92,'Daftar Koreksi'!$D$5:$D$92,'1000'!A466,'Daftar Koreksi'!$G$5:$G$92,"Aset Tetap Lainnya",'Daftar Koreksi'!$H$5:$H$92,"&gt;0")</f>
        <v>0</v>
      </c>
      <c r="F474" s="25">
        <f>SUMIFS('Daftar Koreksi'!$H$5:$H$92,'Daftar Koreksi'!$D$5:$D$92,'1000'!A466,'Daftar Koreksi'!$G$5:$G$92,"Aset Tetap Lainnya",'Daftar Koreksi'!$H$5:$H$92,"&lt;0")-SUMIFS('Daftar Koreksi'!$H$5:$H$92,'Daftar Koreksi'!$D$5:$D$92,'1000'!A466,'Daftar Koreksi'!$G$5:$G$92,"Aset Tetap Lainnya",'Daftar Koreksi'!$H$5:$H$92,"&lt;0")-SUMIFS('Daftar Koreksi'!$H$5:$H$92,'Daftar Koreksi'!$D$5:$D$92,'1000'!A466,'Daftar Koreksi'!$G$5:$G$92,"Aset Tetap Lainnya",'Daftar Koreksi'!$H$5:$H$92,"&lt;0")</f>
        <v>0</v>
      </c>
      <c r="G474" s="17">
        <f t="shared" si="21"/>
        <v>3716678</v>
      </c>
      <c r="H474" s="122"/>
      <c r="I474" s="28"/>
      <c r="J474" s="28"/>
    </row>
    <row r="475" spans="1:10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Koreksi'!$D$5:$D$92,'1000'!A466,'Daftar Koreksi'!$G$5:$G$92,"Kontruksi Dalam Pengerjaan",'Daftar Koreksi'!$H$5:$H$92,"&gt;0")</f>
        <v>0</v>
      </c>
      <c r="F475" s="25">
        <f>SUMIFS('Daftar Koreksi'!$H$5:$H$92,'Daftar Koreksi'!$D$5:$D$92,'1000'!A466,'Daftar Koreksi'!$G$5:$G$92,"Kontruksi Dalam Pengerjaan",'Daftar Koreksi'!$H$5:$H$92,"&lt;0")-SUMIFS('Daftar Koreksi'!$H$5:$H$92,'Daftar Koreksi'!$D$5:$D$92,'1000'!A466,'Daftar Koreksi'!$G$5:$G$92,"Kontruksi Dalam Pengerjaan",'Daftar Koreksi'!$H$5:$H$92,"&lt;0")-SUMIFS('Daftar Koreksi'!$H$5:$H$92,'Daftar Koreksi'!$D$5:$D$92,'1000'!A466,'Daftar Koreksi'!$G$5:$G$92,"Kontruksi Dalam Pengerjaan",'Daftar Koreksi'!$H$5:$H$92,"&lt;0")</f>
        <v>0</v>
      </c>
      <c r="G475" s="17">
        <f t="shared" si="21"/>
        <v>0</v>
      </c>
      <c r="H475" s="122"/>
      <c r="I475" s="28"/>
      <c r="J475" s="28"/>
    </row>
    <row r="476" spans="1:10" ht="21.95" customHeight="1">
      <c r="A476" s="14"/>
      <c r="B476" s="14"/>
      <c r="C476" s="16" t="s">
        <v>1172</v>
      </c>
      <c r="D476" s="17">
        <f>VLOOKUP(A466,'Neraca Unaudited SIMAK'!$A$2:$S$10004,10,FALSE)</f>
        <v>20750000</v>
      </c>
      <c r="E476" s="25">
        <f>SUMIFS('Daftar Koreksi'!$H$5:$H$92,'Daftar Koreksi'!$D$5:$D$92,'1000'!A466,'Daftar Koreksi'!$G$5:$G$92,"Aset Tak Berwujud",'Daftar Koreksi'!$H$5:$H$92,"&gt;0")</f>
        <v>0</v>
      </c>
      <c r="F476" s="25">
        <f>SUMIFS('Daftar Koreksi'!$H$5:$H$92,'Daftar Koreksi'!$D$5:$D$92,'1000'!A466,'Daftar Koreksi'!$G$5:$G$92,"Aset Tak Berwujud",'Daftar Koreksi'!$H$5:$H$92,"&lt;0")-SUMIFS('Daftar Koreksi'!$H$5:$H$92,'Daftar Koreksi'!$D$5:$D$92,'1000'!A466,'Daftar Koreksi'!$G$5:$G$92,"Aset Tak Berwujud",'Daftar Koreksi'!$H$5:$H$92,"&lt;0")-SUMIFS('Daftar Koreksi'!$H$5:$H$92,'Daftar Koreksi'!$D$5:$D$92,'1000'!A466,'Daftar Koreksi'!$G$5:$G$92,"Aset Tak Berwujud",'Daftar Koreksi'!$H$5:$H$92,"&lt;0")</f>
        <v>0</v>
      </c>
      <c r="G476" s="17">
        <f t="shared" si="21"/>
        <v>20750000</v>
      </c>
      <c r="H476" s="122"/>
      <c r="I476" s="28"/>
      <c r="J476" s="28"/>
    </row>
    <row r="477" spans="1:10" ht="21.95" customHeight="1">
      <c r="A477" s="14"/>
      <c r="B477" s="14"/>
      <c r="C477" s="16" t="s">
        <v>1173</v>
      </c>
      <c r="D477" s="17">
        <f>VLOOKUP(A466,'Neraca Unaudited SIMAK'!$A$2:$S$10004,11,FALSE)</f>
        <v>0</v>
      </c>
      <c r="E477" s="25">
        <f>SUMIFS('Daftar Koreksi'!$H$5:$H$92,'Daftar Koreksi'!$D$5:$D$92,'1000'!A466,'Daftar Koreksi'!$G$5:$G$92,"Aset Henti Guna",'Daftar Koreksi'!$H$5:$H$92,"&gt;0")</f>
        <v>0</v>
      </c>
      <c r="F477" s="25">
        <f>SUMIFS('Daftar Koreksi'!$H$5:$H$92,'Daftar Koreksi'!$D$5:$D$92,'1000'!A466,'Daftar Koreksi'!$G$5:$G$92,"Aset Henti Guna",'Daftar Koreksi'!$H$5:$H$92,"&lt;0")-SUMIFS('Daftar Koreksi'!$H$5:$H$92,'Daftar Koreksi'!$D$5:$D$92,'1000'!A466,'Daftar Koreksi'!$G$5:$G$92,"Aset Henti Guna",'Daftar Koreksi'!$H$5:$H$92,"&lt;0")-SUMIFS('Daftar Koreksi'!$H$5:$H$92,'Daftar Koreksi'!$D$5:$D$92,'1000'!A466,'Daftar Koreksi'!$G$5:$G$92,"Aset Henti Guna",'Daftar Koreksi'!$H$5:$H$92,"&lt;0")</f>
        <v>0</v>
      </c>
      <c r="G477" s="17">
        <f t="shared" si="21"/>
        <v>0</v>
      </c>
      <c r="H477" s="122"/>
      <c r="I477" s="28"/>
      <c r="J477" s="28"/>
    </row>
    <row r="478" spans="1:10" ht="21.95" customHeight="1">
      <c r="A478" s="14"/>
      <c r="B478" s="14"/>
      <c r="C478" s="18" t="s">
        <v>2093</v>
      </c>
      <c r="D478" s="19">
        <f>VLOOKUP(A466,'Neraca Unaudited SIMAK'!$A$2:$S$10004,12,FALSE)</f>
        <v>2641372854</v>
      </c>
      <c r="E478" s="19">
        <f>SUM(E469:E477)</f>
        <v>209584473</v>
      </c>
      <c r="F478" s="19">
        <f>SUM(F469:F477)</f>
        <v>0</v>
      </c>
      <c r="G478" s="19">
        <f t="shared" si="21"/>
        <v>2850957327</v>
      </c>
      <c r="H478" s="122"/>
      <c r="I478" s="28"/>
      <c r="J478" s="28"/>
    </row>
    <row r="479" spans="1:10" ht="21.95" customHeight="1">
      <c r="A479" s="14"/>
      <c r="B479" s="14"/>
      <c r="C479" s="16" t="s">
        <v>2087</v>
      </c>
      <c r="D479" s="17">
        <f>VLOOKUP(A466,'Neraca Unaudited SIMAK'!$A$2:$S$10004,13,FALSE)</f>
        <v>-968207113</v>
      </c>
      <c r="E479" s="25">
        <f>SUMIFS('Daftar Koreksi'!$I$5:$I$92,'Daftar Koreksi'!$D$5:$D$92,'1000'!A466,'Daftar Koreksi'!$G$5:$G$92,"Peralatan dan mesin",'Daftar Koreksi'!$I$5:$I$92,"&gt;0")</f>
        <v>0</v>
      </c>
      <c r="F479" s="25">
        <f>SUMIFS('Daftar Koreksi'!$I$5:$I$92,'Daftar Koreksi'!$D$5:$D$92,'1000'!A466,'Daftar Koreksi'!$G$5:$G$92,"Peralatan dan mesin",'Daftar Koreksi'!$I$5:$I$92,"&lt;0")-SUMIFS('Daftar Koreksi'!$I$5:$I$92,'Daftar Koreksi'!$D$5:$D$92,'1000'!A466,'Daftar Koreksi'!$G$5:$G$92,"Peralatan dan mesin",'Daftar Koreksi'!$I$5:$I$92,"&lt;0")-SUMIFS('Daftar Koreksi'!$I$5:$I$92,'Daftar Koreksi'!$D$5:$D$92,'1000'!A466,'Daftar Koreksi'!$G$5:$G$92,"Peralatan dan mesin",'Daftar Koreksi'!$I$5:$I$92,"&lt;0")</f>
        <v>0</v>
      </c>
      <c r="G479" s="17">
        <f t="shared" si="21"/>
        <v>-968207113</v>
      </c>
      <c r="H479" s="122"/>
      <c r="I479" s="28"/>
      <c r="J479" s="28"/>
    </row>
    <row r="480" spans="1:10" ht="21.95" customHeight="1">
      <c r="A480" s="14"/>
      <c r="B480" s="14"/>
      <c r="C480" s="16" t="s">
        <v>2088</v>
      </c>
      <c r="D480" s="17">
        <f>VLOOKUP(A466,'Neraca Unaudited SIMAK'!$A$2:$S$10004,14,FALSE)</f>
        <v>-240662040</v>
      </c>
      <c r="E480" s="25">
        <f>SUMIFS('Daftar Koreksi'!$I$5:$I$92,'Daftar Koreksi'!$D$5:$D$92,'1000'!A466,'Daftar Koreksi'!$G$5:$G$92,"Gedung dan Bangunan",'Daftar Koreksi'!$I$5:$I$92,"&gt;0")</f>
        <v>0</v>
      </c>
      <c r="F480" s="25">
        <f>SUMIFS('Daftar Koreksi'!$I$5:$I$92,'Daftar Koreksi'!$D$5:$D$92,'1000'!A466,'Daftar Koreksi'!$G$5:$G$92,"Gedung dan Bangunan",'Daftar Koreksi'!$I$5:$I$92,"&lt;0")-SUMIFS('Daftar Koreksi'!$I$5:$I$92,'Daftar Koreksi'!$D$5:$D$92,'1000'!A466,'Daftar Koreksi'!$G$5:$G$92,"Gedung dan Bangunan",'Daftar Koreksi'!$I$5:$I$92,"&lt;0")-SUMIFS('Daftar Koreksi'!$I$5:$I$92,'Daftar Koreksi'!$D$5:$D$92,'1000'!A466,'Daftar Koreksi'!$G$5:$G$92,"Gedung dan Bangunan",'Daftar Koreksi'!$I$5:$I$92,"&lt;0")</f>
        <v>0</v>
      </c>
      <c r="G480" s="17">
        <f t="shared" si="21"/>
        <v>-240662040</v>
      </c>
      <c r="H480" s="122"/>
      <c r="I480" s="28"/>
      <c r="J480" s="28"/>
    </row>
    <row r="481" spans="1:10" ht="21.95" customHeight="1">
      <c r="A481" s="14"/>
      <c r="B481" s="14"/>
      <c r="C481" s="16" t="s">
        <v>2089</v>
      </c>
      <c r="D481" s="17">
        <f>VLOOKUP(A466,'Neraca Unaudited SIMAK'!$A$2:$S$10004,15,FALSE)</f>
        <v>-5470000</v>
      </c>
      <c r="E481" s="25">
        <f>SUMIFS('Daftar Koreksi'!$I$5:$I$92,'Daftar Koreksi'!$D$5:$D$92,'1000'!A466,'Daftar Koreksi'!$G$5:$G$92,"Jalan Irigasi Jaringan",'Daftar Koreksi'!$I$5:$I$92,"&gt;0")</f>
        <v>0</v>
      </c>
      <c r="F481" s="25">
        <f>SUMIFS('Daftar Koreksi'!$I$5:$I$92,'Daftar Koreksi'!$D$5:$D$92,'1000'!A466,'Daftar Koreksi'!$G$5:$G$92,"Jalan Irigasi Jaringan",'Daftar Koreksi'!$I$5:$I$92,"&lt;0")-SUMIFS('Daftar Koreksi'!$I$5:$I$92,'Daftar Koreksi'!$D$5:$D$92,'1000'!A466,'Daftar Koreksi'!$G$5:$G$92,"Jalan Irigasi Jaringan",'Daftar Koreksi'!$I$5:$I$92,"&lt;0")-SUMIFS('Daftar Koreksi'!$I$5:$I$92,'Daftar Koreksi'!$D$5:$D$92,'1000'!A466,'Daftar Koreksi'!$G$5:$G$92,"Jalan Irigasi Jaringan",'Daftar Koreksi'!$I$5:$I$92,"&lt;0")</f>
        <v>0</v>
      </c>
      <c r="G481" s="17">
        <f t="shared" si="21"/>
        <v>-5470000</v>
      </c>
      <c r="H481" s="122"/>
      <c r="I481" s="28"/>
      <c r="J481" s="28"/>
    </row>
    <row r="482" spans="1:10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Koreksi'!$D$5:$D$92,'1000'!A466,'Daftar Koreksi'!$G$5:$G$92,"Aset Tetap Lainnya",'Daftar Koreksi'!$I$5:$I$92,"&gt;0")</f>
        <v>0</v>
      </c>
      <c r="F482" s="25">
        <f>SUMIFS('Daftar Koreksi'!$I$5:$I$92,'Daftar Koreksi'!$D$5:$D$92,'1000'!A466,'Daftar Koreksi'!$G$5:$G$92,"Aset Tetap Lainnya",'Daftar Koreksi'!$I$5:$I$92,"&lt;0")-SUMIFS('Daftar Koreksi'!$I$5:$I$92,'Daftar Koreksi'!$D$5:$D$92,'1000'!A466,'Daftar Koreksi'!$G$5:$G$92,"Aset Tetap Lainnya",'Daftar Koreksi'!$I$5:$I$92,"&lt;0")-SUMIFS('Daftar Koreksi'!$I$5:$I$92,'Daftar Koreksi'!$D$5:$D$92,'1000'!A466,'Daftar Koreksi'!$G$5:$G$92,"Aset Tetap Lainnya",'Daftar Koreksi'!$I$5:$I$92,"&lt;0")</f>
        <v>0</v>
      </c>
      <c r="G482" s="17">
        <f t="shared" si="21"/>
        <v>0</v>
      </c>
      <c r="H482" s="122"/>
      <c r="I482" s="28"/>
      <c r="J482" s="28"/>
    </row>
    <row r="483" spans="1:10" ht="21.95" customHeight="1">
      <c r="A483" s="14"/>
      <c r="B483" s="14"/>
      <c r="C483" s="16" t="s">
        <v>2020</v>
      </c>
      <c r="D483" s="17">
        <f>VLOOKUP(A466,'Neraca Unaudited SIMAK'!$A$2:$S$10004,17,FALSE)</f>
        <v>0</v>
      </c>
      <c r="E483" s="25">
        <f>SUMIFS('Daftar Koreksi'!$I$5:$I$92,'Daftar Koreksi'!$D$5:$D$92,'1000'!A466,'Daftar Koreksi'!$G$5:$G$92,"Aset Henti Guna",'Daftar Koreksi'!$I$5:$I$92,"&gt;0")</f>
        <v>0</v>
      </c>
      <c r="F483" s="25">
        <f>SUMIFS('Daftar Koreksi'!$I$5:$I$92,'Daftar Koreksi'!$D$5:$D$92,'1000'!A466,'Daftar Koreksi'!$G$5:$G$92,"Aset Henti Guna",'Daftar Koreksi'!$I$5:$I$92,"&lt;0")-SUMIFS('Daftar Koreksi'!$I$5:$I$92,'Daftar Koreksi'!$D$5:$D$92,'1000'!A466,'Daftar Koreksi'!$G$5:$G$92,"Aset Henti Guna",'Daftar Koreksi'!$I$5:$I$92,"&lt;0")-SUMIFS('Daftar Koreksi'!$I$5:$I$92,'Daftar Koreksi'!$D$5:$D$92,'1000'!A466,'Daftar Koreksi'!$G$5:$G$92,"Aset Henti Guna",'Daftar Koreksi'!$I$5:$I$92,"&lt;0")</f>
        <v>0</v>
      </c>
      <c r="G483" s="17">
        <f t="shared" si="21"/>
        <v>0</v>
      </c>
      <c r="H483" s="122"/>
      <c r="I483" s="28"/>
      <c r="J483" s="28"/>
    </row>
    <row r="484" spans="1:10" ht="21.95" customHeight="1">
      <c r="A484" s="14"/>
      <c r="B484" s="14"/>
      <c r="C484" s="18" t="s">
        <v>2094</v>
      </c>
      <c r="D484" s="19">
        <f>SUM(D479:D483)</f>
        <v>-1214339153</v>
      </c>
      <c r="E484" s="19">
        <f>SUM(E479:E483)</f>
        <v>0</v>
      </c>
      <c r="F484" s="19">
        <f>SUM(F479:F483)</f>
        <v>0</v>
      </c>
      <c r="G484" s="19">
        <f t="shared" si="21"/>
        <v>-1214339153</v>
      </c>
      <c r="H484" s="122"/>
      <c r="I484" s="28"/>
      <c r="J484" s="28"/>
    </row>
    <row r="485" spans="1:10" ht="21.95" customHeight="1">
      <c r="A485" s="14"/>
      <c r="B485" s="14"/>
      <c r="C485" s="18" t="s">
        <v>2095</v>
      </c>
      <c r="D485" s="19">
        <f>VLOOKUP(A466,'Neraca Unaudited SIMAK'!$A$2:$S$10004,18,FALSE)</f>
        <v>1427033701</v>
      </c>
      <c r="E485" s="19">
        <f>E484+E478</f>
        <v>209584473</v>
      </c>
      <c r="F485" s="19">
        <f>F484+F478</f>
        <v>0</v>
      </c>
      <c r="G485" s="19">
        <f t="shared" si="21"/>
        <v>1636618174</v>
      </c>
      <c r="H485" s="122"/>
      <c r="I485" s="28"/>
      <c r="J485" s="28"/>
    </row>
    <row r="486" spans="1:10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  <c r="I486" s="28"/>
      <c r="J486" s="28"/>
    </row>
    <row r="488" spans="1:10" ht="19.5" customHeight="1">
      <c r="A488" s="11" t="str">
        <f>O23</f>
        <v>005011000663012000KD</v>
      </c>
      <c r="B488" s="11" t="str">
        <f>P23</f>
        <v>PN. Sangeti</v>
      </c>
      <c r="C488" s="12" t="str">
        <f>A488&amp;" "&amp;B488</f>
        <v>005011000663012000KD PN. Sangeti</v>
      </c>
      <c r="D488" s="13"/>
      <c r="E488" s="13"/>
      <c r="F488" s="13"/>
      <c r="G488" s="13"/>
      <c r="H488" s="11"/>
    </row>
    <row r="489" spans="1:10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10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10" ht="21.95" customHeight="1">
      <c r="A491" s="14"/>
      <c r="B491" s="14"/>
      <c r="C491" s="16" t="s">
        <v>1165</v>
      </c>
      <c r="D491" s="17">
        <f>VLOOKUP(A488,'Neraca Unaudited SIMAK'!$A$2:$S$10004,3,FALSE)</f>
        <v>3570800</v>
      </c>
      <c r="E491" s="25">
        <f>SUMIFS('Daftar Koreksi'!$H$5:$H$92,'Daftar Koreksi'!$D$5:$D$92,'1000'!A488,'Daftar Koreksi'!$G$5:$G$92,"Persediaan",'Daftar Koreksi'!$H$5:$H$92,"&gt;0")</f>
        <v>0</v>
      </c>
      <c r="F491" s="25">
        <f>SUMIFS('Daftar Koreksi'!$H$5:$H$92,'Daftar Koreksi'!$D$5:$D$92,'1000'!A488,'Daftar Koreksi'!$G$5:$G$92,"Persediaan",'Daftar Koreksi'!$H$5:$H$92,"&lt;0")-SUMIFS('Daftar Koreksi'!$H$5:$H$92,'Daftar Koreksi'!$D$5:$D$92,'1000'!A488,'Daftar Koreksi'!$G$5:$G$92,"Persediaan",'Daftar Koreksi'!$H$5:$H$92,"&lt;0")-SUMIFS('Daftar Koreksi'!$H$5:$H$92,'Daftar Koreksi'!$D$5:$D$92,'1000'!A488,'Daftar Koreksi'!$G$5:$G$92,"Persediaan",'Daftar Koreksi'!$H$5:$H$92,"&lt;0")</f>
        <v>0</v>
      </c>
      <c r="G491" s="17">
        <f>D491+E491-F491</f>
        <v>3570800</v>
      </c>
      <c r="H491" s="121" t="str">
        <f>IF(ISNA(VLOOKUP(A488,'Mutasi Neraca'!$A$3:$S$914,19,FALSE)),"-",VLOOKUP(A488,'Mutasi Neraca'!$A$3:$S$914,19,FALSE))</f>
        <v>-</v>
      </c>
    </row>
    <row r="492" spans="1:10" ht="21.95" customHeight="1">
      <c r="A492" s="14"/>
      <c r="B492" s="14"/>
      <c r="C492" s="16" t="s">
        <v>1166</v>
      </c>
      <c r="D492" s="17">
        <f>VLOOKUP(A488,'Neraca Unaudited SIMAK'!$A$2:$S$10004,4,FALSE)</f>
        <v>389654679</v>
      </c>
      <c r="E492" s="25">
        <f>SUMIFS('Daftar Koreksi'!$H$5:$H$92,'Daftar Koreksi'!$D$5:$D$92,'1000'!A488,'Daftar Koreksi'!$G$5:$G$92,"Tanah",'Daftar Koreksi'!$H$5:$H$92,"&gt;0")</f>
        <v>0</v>
      </c>
      <c r="F492" s="25">
        <f>SUMIFS('Daftar Koreksi'!$H$5:$H$92,'Daftar Koreksi'!$D$5:$D$92,'1000'!A488,'Daftar Koreksi'!$G$5:$G$92,"Tanah",'Daftar Koreksi'!$H$5:$H$92,"&lt;0")-SUMIFS('Daftar Koreksi'!$H$5:$H$92,'Daftar Koreksi'!$D$5:$D$92,'1000'!A488,'Daftar Koreksi'!$G$5:$G$92,"Tanah",'Daftar Koreksi'!$H$5:$H$92,"&lt;0")-SUMIFS('Daftar Koreksi'!$H$5:$H$92,'Daftar Koreksi'!$D$5:$D$92,'1000'!A488,'Daftar Koreksi'!$G$5:$G$92,"Tanah",'Daftar Koreksi'!$H$5:$H$92,"&lt;0")</f>
        <v>0</v>
      </c>
      <c r="G492" s="17">
        <f t="shared" ref="G492:G508" si="22">D492+E492-F492</f>
        <v>389654679</v>
      </c>
      <c r="H492" s="122"/>
    </row>
    <row r="493" spans="1:10" ht="21.95" customHeight="1">
      <c r="A493" s="14"/>
      <c r="B493" s="14"/>
      <c r="C493" s="16" t="s">
        <v>1167</v>
      </c>
      <c r="D493" s="17">
        <f>VLOOKUP(A488,'Neraca Unaudited SIMAK'!$A$2:$S$10004,5,FALSE)</f>
        <v>1807615467</v>
      </c>
      <c r="E493" s="25">
        <f>SUMIFS('Daftar Koreksi'!$H$5:$H$92,'Daftar Koreksi'!$D$5:$D$92,'1000'!A488,'Daftar Koreksi'!$G$5:$G$92,"Peralatan dan mesin",'Daftar Koreksi'!$H$5:$H$92,"&gt;0")</f>
        <v>0</v>
      </c>
      <c r="F493" s="25">
        <f>SUMIFS('Daftar Koreksi'!$H$5:$H$92,'Daftar Koreksi'!$D$5:$D$92,'1000'!A488,'Daftar Koreksi'!$G$5:$G$92,"Peralatan dan mesin",'Daftar Koreksi'!$H$5:$H$92,"&lt;0")-SUMIFS('Daftar Koreksi'!$H$5:$H$92,'Daftar Koreksi'!$D$5:$D$92,'1000'!A488,'Daftar Koreksi'!$G$5:$G$92,"Peralatan dan mesin",'Daftar Koreksi'!$H$5:$H$92,"&lt;0")-SUMIFS('Daftar Koreksi'!$H$5:$H$92,'Daftar Koreksi'!$D$5:$D$92,'1000'!A488,'Daftar Koreksi'!$G$5:$G$92,"Peralatan dan mesin",'Daftar Koreksi'!$H$5:$H$92,"&lt;0")</f>
        <v>0</v>
      </c>
      <c r="G493" s="17">
        <f t="shared" si="22"/>
        <v>1807615467</v>
      </c>
      <c r="H493" s="122"/>
    </row>
    <row r="494" spans="1:10" ht="21.95" customHeight="1">
      <c r="A494" s="14"/>
      <c r="B494" s="14"/>
      <c r="C494" s="16" t="s">
        <v>1168</v>
      </c>
      <c r="D494" s="17">
        <f>VLOOKUP(A488,'Neraca Unaudited SIMAK'!$A$2:$S$10004,6,FALSE)</f>
        <v>2968129000</v>
      </c>
      <c r="E494" s="25">
        <f>SUMIFS('Daftar Koreksi'!$H$5:$H$92,'Daftar Koreksi'!$D$5:$D$92,'1000'!A488,'Daftar Koreksi'!$G$5:$G$92,"Gedung dan Bangunan",'Daftar Koreksi'!$H$5:$H$92,"&gt;0")</f>
        <v>0</v>
      </c>
      <c r="F494" s="25">
        <f>SUMIFS('Daftar Koreksi'!$H$5:$H$92,'Daftar Koreksi'!$D$5:$D$92,'1000'!A488,'Daftar Koreksi'!$G$5:$G$92,"Gedung dan Bangunan",'Daftar Koreksi'!$H$5:$H$92,"&lt;0")-SUMIFS('Daftar Koreksi'!$H$5:$H$92,'Daftar Koreksi'!$D$5:$D$92,'1000'!A488,'Daftar Koreksi'!$G$5:$G$92,"Gedung dan Bangunan",'Daftar Koreksi'!$H$5:$H$92,"&lt;0")-SUMIFS('Daftar Koreksi'!$H$5:$H$92,'Daftar Koreksi'!$D$5:$D$92,'1000'!A488,'Daftar Koreksi'!$G$5:$G$92,"Gedung dan Bangunan",'Daftar Koreksi'!$H$5:$H$92,"&lt;0")</f>
        <v>0</v>
      </c>
      <c r="G494" s="17">
        <f t="shared" si="22"/>
        <v>2968129000</v>
      </c>
      <c r="H494" s="122"/>
    </row>
    <row r="495" spans="1:10" ht="21.95" customHeight="1">
      <c r="A495" s="14"/>
      <c r="B495" s="14"/>
      <c r="C495" s="16" t="s">
        <v>1169</v>
      </c>
      <c r="D495" s="17">
        <f>VLOOKUP(A488,'Neraca Unaudited SIMAK'!$A$2:$S$10004,7,FALSE)</f>
        <v>240282000</v>
      </c>
      <c r="E495" s="25">
        <f>SUMIFS('Daftar Koreksi'!$H$5:$H$92,'Daftar Koreksi'!$D$5:$D$92,'1000'!A488,'Daftar Koreksi'!$G$5:$G$92,"Jalan Irigasi Jaringan",'Daftar Koreksi'!$H$5:$H$92,"&gt;0")</f>
        <v>0</v>
      </c>
      <c r="F495" s="25">
        <f>SUMIFS('Daftar Koreksi'!$H$5:$H$92,'Daftar Koreksi'!$D$5:$D$92,'1000'!A488,'Daftar Koreksi'!$G$5:$G$92,"Jalan Irigasi Jaringan",'Daftar Koreksi'!$H$5:$H$92,"&lt;0")-SUMIFS('Daftar Koreksi'!$H$5:$H$92,'Daftar Koreksi'!$D$5:$D$92,'1000'!A488,'Daftar Koreksi'!$G$5:$G$92,"Jalan Irigasi Jaringan",'Daftar Koreksi'!$H$5:$H$92,"&lt;0")-SUMIFS('Daftar Koreksi'!$H$5:$H$92,'Daftar Koreksi'!$D$5:$D$92,'1000'!A488,'Daftar Koreksi'!$G$5:$G$92,"Jalan Irigasi Jaringan",'Daftar Koreksi'!$H$5:$H$92,"&lt;0")</f>
        <v>0</v>
      </c>
      <c r="G495" s="17">
        <f t="shared" si="22"/>
        <v>240282000</v>
      </c>
      <c r="H495" s="122"/>
    </row>
    <row r="496" spans="1:10" ht="21.95" customHeight="1">
      <c r="A496" s="14"/>
      <c r="B496" s="14"/>
      <c r="C496" s="16" t="s">
        <v>1170</v>
      </c>
      <c r="D496" s="17">
        <f>VLOOKUP(A488,'Neraca Unaudited SIMAK'!$A$2:$S$10004,8,FALSE)</f>
        <v>5332118</v>
      </c>
      <c r="E496" s="25">
        <f>SUMIFS('Daftar Koreksi'!$H$5:$H$92,'Daftar Koreksi'!$D$5:$D$92,'1000'!A488,'Daftar Koreksi'!$G$5:$G$92,"Aset Tetap Lainnya",'Daftar Koreksi'!$H$5:$H$92,"&gt;0")</f>
        <v>0</v>
      </c>
      <c r="F496" s="25">
        <f>SUMIFS('Daftar Koreksi'!$H$5:$H$92,'Daftar Koreksi'!$D$5:$D$92,'1000'!A488,'Daftar Koreksi'!$G$5:$G$92,"Aset Tetap Lainnya",'Daftar Koreksi'!$H$5:$H$92,"&lt;0")-SUMIFS('Daftar Koreksi'!$H$5:$H$92,'Daftar Koreksi'!$D$5:$D$92,'1000'!A488,'Daftar Koreksi'!$G$5:$G$92,"Aset Tetap Lainnya",'Daftar Koreksi'!$H$5:$H$92,"&lt;0")-SUMIFS('Daftar Koreksi'!$H$5:$H$92,'Daftar Koreksi'!$D$5:$D$92,'1000'!A488,'Daftar Koreksi'!$G$5:$G$92,"Aset Tetap Lainnya",'Daftar Koreksi'!$H$5:$H$92,"&lt;0")</f>
        <v>0</v>
      </c>
      <c r="G496" s="17">
        <f t="shared" si="22"/>
        <v>5332118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Koreksi'!$D$5:$D$92,'1000'!A488,'Daftar Koreksi'!$G$5:$G$92,"Kontruksi Dalam Pengerjaan",'Daftar Koreksi'!$H$5:$H$92,"&gt;0")</f>
        <v>0</v>
      </c>
      <c r="F497" s="25">
        <f>SUMIFS('Daftar Koreksi'!$H$5:$H$92,'Daftar Koreksi'!$D$5:$D$92,'1000'!A488,'Daftar Koreksi'!$G$5:$G$92,"Kontruksi Dalam Pengerjaan",'Daftar Koreksi'!$H$5:$H$92,"&lt;0")-SUMIFS('Daftar Koreksi'!$H$5:$H$92,'Daftar Koreksi'!$D$5:$D$92,'1000'!A488,'Daftar Koreksi'!$G$5:$G$92,"Kontruksi Dalam Pengerjaan",'Daftar Koreksi'!$H$5:$H$92,"&lt;0")-SUMIFS('Daftar Koreksi'!$H$5:$H$92,'Daftar Koreksi'!$D$5:$D$92,'1000'!A488,'Daftar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Koreksi'!$D$5:$D$92,'1000'!A488,'Daftar Koreksi'!$G$5:$G$92,"Aset Tak Berwujud",'Daftar Koreksi'!$H$5:$H$92,"&gt;0")</f>
        <v>0</v>
      </c>
      <c r="F498" s="25">
        <f>SUMIFS('Daftar Koreksi'!$H$5:$H$92,'Daftar Koreksi'!$D$5:$D$92,'1000'!A488,'Daftar Koreksi'!$G$5:$G$92,"Aset Tak Berwujud",'Daftar Koreksi'!$H$5:$H$92,"&lt;0")-SUMIFS('Daftar Koreksi'!$H$5:$H$92,'Daftar Koreksi'!$D$5:$D$92,'1000'!A488,'Daftar Koreksi'!$G$5:$G$92,"Aset Tak Berwujud",'Daftar Koreksi'!$H$5:$H$92,"&lt;0")-SUMIFS('Daftar Koreksi'!$H$5:$H$92,'Daftar Koreksi'!$D$5:$D$92,'1000'!A488,'Daftar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165044500</v>
      </c>
      <c r="E499" s="25">
        <f>SUMIFS('Daftar Koreksi'!$H$5:$H$92,'Daftar Koreksi'!$D$5:$D$92,'1000'!A488,'Daftar Koreksi'!$G$5:$G$92,"Aset Henti Guna",'Daftar Koreksi'!$H$5:$H$92,"&gt;0")</f>
        <v>0</v>
      </c>
      <c r="F499" s="25">
        <f>SUMIFS('Daftar Koreksi'!$H$5:$H$92,'Daftar Koreksi'!$D$5:$D$92,'1000'!A488,'Daftar Koreksi'!$G$5:$G$92,"Aset Henti Guna",'Daftar Koreksi'!$H$5:$H$92,"&lt;0")-SUMIFS('Daftar Koreksi'!$H$5:$H$92,'Daftar Koreksi'!$D$5:$D$92,'1000'!A488,'Daftar Koreksi'!$G$5:$G$92,"Aset Henti Guna",'Daftar Koreksi'!$H$5:$H$92,"&lt;0")-SUMIFS('Daftar Koreksi'!$H$5:$H$92,'Daftar Koreksi'!$D$5:$D$92,'1000'!A488,'Daftar Koreksi'!$G$5:$G$92,"Aset Henti Guna",'Daftar Koreksi'!$H$5:$H$92,"&lt;0")</f>
        <v>0</v>
      </c>
      <c r="G499" s="17">
        <f t="shared" si="22"/>
        <v>165044500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5579628564</v>
      </c>
      <c r="E500" s="19">
        <f>SUM(E491:E499)</f>
        <v>0</v>
      </c>
      <c r="F500" s="19">
        <f>SUM(F491:F499)</f>
        <v>0</v>
      </c>
      <c r="G500" s="19">
        <f t="shared" si="22"/>
        <v>5579628564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-1527800674</v>
      </c>
      <c r="E501" s="25">
        <f>SUMIFS('Daftar Koreksi'!$I$5:$I$92,'Daftar Koreksi'!$D$5:$D$92,'1000'!A488,'Daftar Koreksi'!$G$5:$G$92,"Peralatan dan mesin",'Daftar Koreksi'!$I$5:$I$92,"&gt;0")</f>
        <v>0</v>
      </c>
      <c r="F501" s="25">
        <f>SUMIFS('Daftar Koreksi'!$I$5:$I$92,'Daftar Koreksi'!$D$5:$D$92,'1000'!A488,'Daftar Koreksi'!$G$5:$G$92,"Peralatan dan mesin",'Daftar Koreksi'!$I$5:$I$92,"&lt;0")-SUMIFS('Daftar Koreksi'!$I$5:$I$92,'Daftar Koreksi'!$D$5:$D$92,'1000'!A488,'Daftar Koreksi'!$G$5:$G$92,"Peralatan dan mesin",'Daftar Koreksi'!$I$5:$I$92,"&lt;0")-SUMIFS('Daftar Koreksi'!$I$5:$I$92,'Daftar Koreksi'!$D$5:$D$92,'1000'!A488,'Daftar Koreksi'!$G$5:$G$92,"Peralatan dan mesin",'Daftar Koreksi'!$I$5:$I$92,"&lt;0")</f>
        <v>0</v>
      </c>
      <c r="G501" s="17">
        <f t="shared" si="22"/>
        <v>-1527800674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-358841758</v>
      </c>
      <c r="E502" s="25">
        <f>SUMIFS('Daftar Koreksi'!$I$5:$I$92,'Daftar Koreksi'!$D$5:$D$92,'1000'!A488,'Daftar Koreksi'!$G$5:$G$92,"Gedung dan Bangunan",'Daftar Koreksi'!$I$5:$I$92,"&gt;0")</f>
        <v>0</v>
      </c>
      <c r="F502" s="25">
        <f>SUMIFS('Daftar Koreksi'!$I$5:$I$92,'Daftar Koreksi'!$D$5:$D$92,'1000'!A488,'Daftar Koreksi'!$G$5:$G$92,"Gedung dan Bangunan",'Daftar Koreksi'!$I$5:$I$92,"&lt;0")-SUMIFS('Daftar Koreksi'!$I$5:$I$92,'Daftar Koreksi'!$D$5:$D$92,'1000'!A488,'Daftar Koreksi'!$G$5:$G$92,"Gedung dan Bangunan",'Daftar Koreksi'!$I$5:$I$92,"&lt;0")-SUMIFS('Daftar Koreksi'!$I$5:$I$92,'Daftar Koreksi'!$D$5:$D$92,'1000'!A488,'Daftar Koreksi'!$G$5:$G$92,"Gedung dan Bangunan",'Daftar Koreksi'!$I$5:$I$92,"&lt;0")</f>
        <v>0</v>
      </c>
      <c r="G502" s="17">
        <f t="shared" si="22"/>
        <v>-358841758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-91796700</v>
      </c>
      <c r="E503" s="25">
        <f>SUMIFS('Daftar Koreksi'!$I$5:$I$92,'Daftar Koreksi'!$D$5:$D$92,'1000'!A488,'Daftar Koreksi'!$G$5:$G$92,"Jalan Irigasi Jaringan",'Daftar Koreksi'!$I$5:$I$92,"&gt;0")</f>
        <v>0</v>
      </c>
      <c r="F503" s="25">
        <f>SUMIFS('Daftar Koreksi'!$I$5:$I$92,'Daftar Koreksi'!$D$5:$D$92,'1000'!A488,'Daftar Koreksi'!$G$5:$G$92,"Jalan Irigasi Jaringan",'Daftar Koreksi'!$I$5:$I$92,"&lt;0")-SUMIFS('Daftar Koreksi'!$I$5:$I$92,'Daftar Koreksi'!$D$5:$D$92,'1000'!A488,'Daftar Koreksi'!$G$5:$G$92,"Jalan Irigasi Jaringan",'Daftar Koreksi'!$I$5:$I$92,"&lt;0")-SUMIFS('Daftar Koreksi'!$I$5:$I$92,'Daftar Koreksi'!$D$5:$D$92,'1000'!A488,'Daftar Koreksi'!$G$5:$G$92,"Jalan Irigasi Jaringan",'Daftar Koreksi'!$I$5:$I$92,"&lt;0")</f>
        <v>0</v>
      </c>
      <c r="G503" s="17">
        <f t="shared" si="22"/>
        <v>-91796700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Koreksi'!$D$5:$D$92,'1000'!A488,'Daftar Koreksi'!$G$5:$G$92,"Aset Tetap Lainnya",'Daftar Koreksi'!$I$5:$I$92,"&gt;0")</f>
        <v>0</v>
      </c>
      <c r="F504" s="25">
        <f>SUMIFS('Daftar Koreksi'!$I$5:$I$92,'Daftar Koreksi'!$D$5:$D$92,'1000'!A488,'Daftar Koreksi'!$G$5:$G$92,"Aset Tetap Lainnya",'Daftar Koreksi'!$I$5:$I$92,"&lt;0")-SUMIFS('Daftar Koreksi'!$I$5:$I$92,'Daftar Koreksi'!$D$5:$D$92,'1000'!A488,'Daftar Koreksi'!$G$5:$G$92,"Aset Tetap Lainnya",'Daftar Koreksi'!$I$5:$I$92,"&lt;0")-SUMIFS('Daftar Koreksi'!$I$5:$I$92,'Daftar Koreksi'!$D$5:$D$92,'1000'!A488,'Daftar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-165044500</v>
      </c>
      <c r="E505" s="25">
        <f>SUMIFS('Daftar Koreksi'!$I$5:$I$92,'Daftar Koreksi'!$D$5:$D$92,'1000'!A488,'Daftar Koreksi'!$G$5:$G$92,"Aset Henti Guna",'Daftar Koreksi'!$I$5:$I$92,"&gt;0")</f>
        <v>0</v>
      </c>
      <c r="F505" s="25">
        <f>SUMIFS('Daftar Koreksi'!$I$5:$I$92,'Daftar Koreksi'!$D$5:$D$92,'1000'!A488,'Daftar Koreksi'!$G$5:$G$92,"Aset Henti Guna",'Daftar Koreksi'!$I$5:$I$92,"&lt;0")-SUMIFS('Daftar Koreksi'!$I$5:$I$92,'Daftar Koreksi'!$D$5:$D$92,'1000'!A488,'Daftar Koreksi'!$G$5:$G$92,"Aset Henti Guna",'Daftar Koreksi'!$I$5:$I$92,"&lt;0")-SUMIFS('Daftar Koreksi'!$I$5:$I$92,'Daftar Koreksi'!$D$5:$D$92,'1000'!A488,'Daftar Koreksi'!$G$5:$G$92,"Aset Henti Guna",'Daftar Koreksi'!$I$5:$I$92,"&lt;0")</f>
        <v>0</v>
      </c>
      <c r="G505" s="17">
        <f t="shared" si="22"/>
        <v>-165044500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-2143483632</v>
      </c>
      <c r="E506" s="19">
        <f>SUM(E501:E505)</f>
        <v>0</v>
      </c>
      <c r="F506" s="19">
        <f>SUM(F501:F505)</f>
        <v>0</v>
      </c>
      <c r="G506" s="19">
        <f t="shared" si="22"/>
        <v>-2143483632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3436144932</v>
      </c>
      <c r="E507" s="19">
        <f>E506+E500</f>
        <v>0</v>
      </c>
      <c r="F507" s="19">
        <f>F506+F500</f>
        <v>0</v>
      </c>
      <c r="G507" s="19">
        <f t="shared" si="22"/>
        <v>3436144932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</sheetData>
  <mergeCells count="138">
    <mergeCell ref="H491:H508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489:C490"/>
    <mergeCell ref="D489:D490"/>
    <mergeCell ref="E489:F489"/>
    <mergeCell ref="G489:G490"/>
    <mergeCell ref="H489:H490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H469:H486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0" manualBreakCount="10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P442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9.7109375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412</v>
      </c>
      <c r="P1" s="8" t="s">
        <v>1550</v>
      </c>
    </row>
    <row r="2" spans="1:16" ht="19.5" customHeight="1">
      <c r="C2" s="9" t="s">
        <v>2107</v>
      </c>
      <c r="O2" s="8" t="s">
        <v>413</v>
      </c>
      <c r="P2" s="8" t="s">
        <v>1551</v>
      </c>
    </row>
    <row r="3" spans="1:16" ht="19.5" customHeight="1">
      <c r="O3" s="8" t="s">
        <v>414</v>
      </c>
      <c r="P3" s="8" t="s">
        <v>1552</v>
      </c>
    </row>
    <row r="4" spans="1:16" ht="19.5" customHeight="1">
      <c r="A4" s="11" t="str">
        <f>O1</f>
        <v>005011100098938000KD</v>
      </c>
      <c r="B4" s="11" t="str">
        <f>P1</f>
        <v>PT. Palembang</v>
      </c>
      <c r="C4" s="12" t="str">
        <f>A4&amp;" "&amp;B4</f>
        <v>005011100098938000KD PT. Palembang</v>
      </c>
      <c r="D4" s="13"/>
      <c r="E4" s="13"/>
      <c r="F4" s="13"/>
      <c r="G4" s="13"/>
      <c r="H4" s="11"/>
      <c r="O4" s="8" t="s">
        <v>415</v>
      </c>
      <c r="P4" s="8" t="s">
        <v>1553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416</v>
      </c>
      <c r="P5" s="8" t="s">
        <v>1554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417</v>
      </c>
      <c r="P6" s="8" t="s">
        <v>1555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19647766</v>
      </c>
      <c r="E7" s="25">
        <f>SUMIFS('Daftar Koreksi'!$H$5:$H$92,'Daftar Koreksi'!$D$5:$D$92,'1100'!A4,'Daftar Koreksi'!$G$5:$G$92,"Persediaan",'Daftar Koreksi'!$H$5:$H$92,"&gt;0")</f>
        <v>0</v>
      </c>
      <c r="F7" s="25">
        <f>SUMIFS('Daftar Koreksi'!$H$5:$H$92,'Daftar Koreksi'!$D$5:$D$92,'1100'!A4,'Daftar Koreksi'!$G$5:$G$92,"Persediaan",'Daftar Koreksi'!$H$5:$H$92,"&lt;0")-SUMIFS('Daftar Koreksi'!$H$5:$H$92,'Daftar Koreksi'!$D$5:$D$92,'1100'!A4,'Daftar Koreksi'!$G$5:$G$92,"Persediaan",'Daftar Koreksi'!$H$5:$H$92,"&lt;0")-SUMIFS('Daftar Koreksi'!$H$5:$H$92,'Daftar Koreksi'!$D$5:$D$92,'1100'!A4,'Daftar Koreksi'!$G$5:$G$92,"Persediaan",'Daftar Koreksi'!$H$5:$H$92,"&lt;0")</f>
        <v>0</v>
      </c>
      <c r="G7" s="17">
        <f>D7+E7-F7</f>
        <v>19647766</v>
      </c>
      <c r="H7" s="121" t="str">
        <f>IF(ISNA(VLOOKUP(A4,'Mutasi Neraca'!$A$3:$S$914,19,FALSE)),"-",VLOOKUP(A4,'Mutasi Neraca'!$A$3:$S$914,19,FALSE))</f>
        <v>-</v>
      </c>
      <c r="O7" s="8" t="s">
        <v>418</v>
      </c>
      <c r="P7" s="8" t="s">
        <v>1556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17308895683</v>
      </c>
      <c r="E8" s="25">
        <f>SUMIFS('Daftar Koreksi'!$H$5:$H$92,'Daftar Koreksi'!$D$5:$D$92,'1100'!A4,'Daftar Koreksi'!$G$5:$G$92,"Tanah",'Daftar Koreksi'!$H$5:$H$92,"&gt;0")</f>
        <v>0</v>
      </c>
      <c r="F8" s="25">
        <f>SUMIFS('Daftar Koreksi'!$H$5:$H$92,'Daftar Koreksi'!$D$5:$D$92,'1100'!A4,'Daftar Koreksi'!$G$5:$G$92,"Tanah",'Daftar Koreksi'!$H$5:$H$92,"&lt;0")-SUMIFS('Daftar Koreksi'!$H$5:$H$92,'Daftar Koreksi'!$D$5:$D$92,'1100'!A4,'Daftar Koreksi'!$G$5:$G$92,"Tanah",'Daftar Koreksi'!$H$5:$H$92,"&lt;0")-SUMIFS('Daftar Koreksi'!$H$5:$H$92,'Daftar Koreksi'!$D$5:$D$92,'1100'!A4,'Daftar Koreksi'!$G$5:$G$92,"Tanah",'Daftar Koreksi'!$H$5:$H$92,"&lt;0")</f>
        <v>0</v>
      </c>
      <c r="G8" s="17">
        <f t="shared" ref="G8:G24" si="0">D8+E8-F8</f>
        <v>17308895683</v>
      </c>
      <c r="H8" s="122"/>
      <c r="O8" s="8" t="s">
        <v>419</v>
      </c>
      <c r="P8" s="8" t="s">
        <v>1557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3620597732</v>
      </c>
      <c r="E9" s="25">
        <f>SUMIFS('Daftar Koreksi'!$H$5:$H$92,'Daftar Koreksi'!$D$5:$D$92,'1100'!A4,'Daftar Koreksi'!$G$5:$G$92,"Peralatan dan mesin",'Daftar Koreksi'!$H$5:$H$92,"&gt;0")</f>
        <v>0</v>
      </c>
      <c r="F9" s="25">
        <f>SUMIFS('Daftar Koreksi'!$H$5:$H$92,'Daftar Koreksi'!$D$5:$D$92,'1100'!A4,'Daftar Koreksi'!$G$5:$G$92,"Peralatan dan mesin",'Daftar Koreksi'!$H$5:$H$92,"&lt;0")-SUMIFS('Daftar Koreksi'!$H$5:$H$92,'Daftar Koreksi'!$D$5:$D$92,'1100'!A4,'Daftar Koreksi'!$G$5:$G$92,"Peralatan dan mesin",'Daftar Koreksi'!$H$5:$H$92,"&lt;0")-SUMIFS('Daftar Koreksi'!$H$5:$H$92,'Daftar Koreksi'!$D$5:$D$92,'1100'!A4,'Daftar Koreksi'!$G$5:$G$92,"Peralatan dan mesin",'Daftar Koreksi'!$H$5:$H$92,"&lt;0")</f>
        <v>0</v>
      </c>
      <c r="G9" s="17">
        <f t="shared" si="0"/>
        <v>3620597732</v>
      </c>
      <c r="H9" s="122"/>
      <c r="O9" s="8" t="s">
        <v>420</v>
      </c>
      <c r="P9" s="8" t="s">
        <v>1558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10934292400</v>
      </c>
      <c r="E10" s="25">
        <f>SUMIFS('Daftar Koreksi'!$H$5:$H$92,'Daftar Koreksi'!$D$5:$D$92,'1100'!A4,'Daftar Koreksi'!$G$5:$G$92,"Gedung dan Bangunan",'Daftar Koreksi'!$H$5:$H$92,"&gt;0")</f>
        <v>0</v>
      </c>
      <c r="F10" s="25">
        <f>SUMIFS('Daftar Koreksi'!$H$5:$H$92,'Daftar Koreksi'!$D$5:$D$92,'1100'!A4,'Daftar Koreksi'!$G$5:$G$92,"Gedung dan Bangunan",'Daftar Koreksi'!$H$5:$H$92,"&lt;0")-SUMIFS('Daftar Koreksi'!$H$5:$H$92,'Daftar Koreksi'!$D$5:$D$92,'1100'!A4,'Daftar Koreksi'!$G$5:$G$92,"Gedung dan Bangunan",'Daftar Koreksi'!$H$5:$H$92,"&lt;0")-SUMIFS('Daftar Koreksi'!$H$5:$H$92,'Daftar Koreksi'!$D$5:$D$92,'1100'!A4,'Daftar Koreksi'!$G$5:$G$92,"Gedung dan Bangunan",'Daftar Koreksi'!$H$5:$H$92,"&lt;0")</f>
        <v>0</v>
      </c>
      <c r="G10" s="17">
        <f t="shared" si="0"/>
        <v>10934292400</v>
      </c>
      <c r="H10" s="122"/>
      <c r="O10" s="8" t="s">
        <v>421</v>
      </c>
      <c r="P10" s="8" t="s">
        <v>1559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182344745</v>
      </c>
      <c r="E11" s="25">
        <f>SUMIFS('Daftar Koreksi'!$H$5:$H$92,'Daftar Koreksi'!$D$5:$D$92,'1100'!A4,'Daftar Koreksi'!$G$5:$G$92,"Jalan Irigasi Jaringan",'Daftar Koreksi'!$H$5:$H$92,"&gt;0")</f>
        <v>0</v>
      </c>
      <c r="F11" s="25">
        <f>SUMIFS('Daftar Koreksi'!$H$5:$H$92,'Daftar Koreksi'!$D$5:$D$92,'1100'!A4,'Daftar Koreksi'!$G$5:$G$92,"Jalan Irigasi Jaringan",'Daftar Koreksi'!$H$5:$H$92,"&lt;0")-SUMIFS('Daftar Koreksi'!$H$5:$H$92,'Daftar Koreksi'!$D$5:$D$92,'1100'!A4,'Daftar Koreksi'!$G$5:$G$92,"Jalan Irigasi Jaringan",'Daftar Koreksi'!$H$5:$H$92,"&lt;0")-SUMIFS('Daftar Koreksi'!$H$5:$H$92,'Daftar Koreksi'!$D$5:$D$92,'1100'!A4,'Daftar Koreksi'!$G$5:$G$92,"Jalan Irigasi Jaringan",'Daftar Koreksi'!$H$5:$H$92,"&lt;0")</f>
        <v>0</v>
      </c>
      <c r="G11" s="17">
        <f t="shared" si="0"/>
        <v>182344745</v>
      </c>
      <c r="H11" s="122"/>
      <c r="O11" s="8" t="s">
        <v>422</v>
      </c>
      <c r="P11" s="8" t="s">
        <v>1560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115028456</v>
      </c>
      <c r="E12" s="25">
        <f>SUMIFS('Daftar Koreksi'!$H$5:$H$92,'Daftar Koreksi'!$D$5:$D$92,'1100'!A4,'Daftar Koreksi'!$G$5:$G$92,"Aset Tetap Lainnya",'Daftar Koreksi'!$H$5:$H$92,"&gt;0")</f>
        <v>0</v>
      </c>
      <c r="F12" s="25">
        <f>SUMIFS('Daftar Koreksi'!$H$5:$H$92,'Daftar Koreksi'!$D$5:$D$92,'1100'!A4,'Daftar Koreksi'!$G$5:$G$92,"Aset Tetap Lainnya",'Daftar Koreksi'!$H$5:$H$92,"&lt;0")-SUMIFS('Daftar Koreksi'!$H$5:$H$92,'Daftar Koreksi'!$D$5:$D$92,'1100'!A4,'Daftar Koreksi'!$G$5:$G$92,"Aset Tetap Lainnya",'Daftar Koreksi'!$H$5:$H$92,"&lt;0")-SUMIFS('Daftar Koreksi'!$H$5:$H$92,'Daftar Koreksi'!$D$5:$D$92,'1100'!A4,'Daftar Koreksi'!$G$5:$G$92,"Aset Tetap Lainnya",'Daftar Koreksi'!$H$5:$H$92,"&lt;0")</f>
        <v>0</v>
      </c>
      <c r="G12" s="17">
        <f t="shared" si="0"/>
        <v>115028456</v>
      </c>
      <c r="H12" s="122"/>
      <c r="O12" s="8" t="s">
        <v>423</v>
      </c>
      <c r="P12" s="8" t="s">
        <v>1561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Koreksi'!$D$5:$D$92,'1100'!A4,'Daftar Koreksi'!$G$5:$G$92,"Kontruksi Dalam Pengerjaan",'Daftar Koreksi'!$H$5:$H$92,"&gt;0")</f>
        <v>0</v>
      </c>
      <c r="F13" s="25">
        <f>SUMIFS('Daftar Koreksi'!$H$5:$H$92,'Daftar Koreksi'!$D$5:$D$92,'1100'!A4,'Daftar Koreksi'!$G$5:$G$92,"Kontruksi Dalam Pengerjaan",'Daftar Koreksi'!$H$5:$H$92,"&lt;0")-SUMIFS('Daftar Koreksi'!$H$5:$H$92,'Daftar Koreksi'!$D$5:$D$92,'1100'!A4,'Daftar Koreksi'!$G$5:$G$92,"Kontruksi Dalam Pengerjaan",'Daftar Koreksi'!$H$5:$H$92,"&lt;0")-SUMIFS('Daftar Koreksi'!$H$5:$H$92,'Daftar Koreksi'!$D$5:$D$92,'1100'!A4,'Daftar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424</v>
      </c>
      <c r="P13" s="8" t="s">
        <v>1562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Koreksi'!$D$5:$D$92,'1100'!A4,'Daftar Koreksi'!$G$5:$G$92,"Aset Tak Berwujud",'Daftar Koreksi'!$H$5:$H$92,"&gt;0")</f>
        <v>0</v>
      </c>
      <c r="F14" s="25">
        <f>SUMIFS('Daftar Koreksi'!$H$5:$H$92,'Daftar Koreksi'!$D$5:$D$92,'1100'!A4,'Daftar Koreksi'!$G$5:$G$92,"Aset Tak Berwujud",'Daftar Koreksi'!$H$5:$H$92,"&lt;0")-SUMIFS('Daftar Koreksi'!$H$5:$H$92,'Daftar Koreksi'!$D$5:$D$92,'1100'!A4,'Daftar Koreksi'!$G$5:$G$92,"Aset Tak Berwujud",'Daftar Koreksi'!$H$5:$H$92,"&lt;0")-SUMIFS('Daftar Koreksi'!$H$5:$H$92,'Daftar Koreksi'!$D$5:$D$92,'1100'!A4,'Daftar Koreksi'!$G$5:$G$92,"Aset Tak Berwujud",'Daftar Koreksi'!$H$5:$H$92,"&lt;0")</f>
        <v>0</v>
      </c>
      <c r="G14" s="17">
        <f t="shared" si="0"/>
        <v>0</v>
      </c>
      <c r="H14" s="122"/>
      <c r="O14" s="8" t="s">
        <v>425</v>
      </c>
      <c r="P14" s="8" t="s">
        <v>1563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Koreksi'!$D$5:$D$92,'1100'!A4,'Daftar Koreksi'!$G$5:$G$92,"Aset Henti Guna",'Daftar Koreksi'!$H$5:$H$92,"&gt;0")</f>
        <v>0</v>
      </c>
      <c r="F15" s="25">
        <f>SUMIFS('Daftar Koreksi'!$H$5:$H$92,'Daftar Koreksi'!$D$5:$D$92,'1100'!A4,'Daftar Koreksi'!$G$5:$G$92,"Aset Henti Guna",'Daftar Koreksi'!$H$5:$H$92,"&lt;0")-SUMIFS('Daftar Koreksi'!$H$5:$H$92,'Daftar Koreksi'!$D$5:$D$92,'1100'!A4,'Daftar Koreksi'!$G$5:$G$92,"Aset Henti Guna",'Daftar Koreksi'!$H$5:$H$92,"&lt;0")-SUMIFS('Daftar Koreksi'!$H$5:$H$92,'Daftar Koreksi'!$D$5:$D$92,'1100'!A4,'Daftar Koreksi'!$G$5:$G$92,"Aset Henti Guna",'Daftar Koreksi'!$H$5:$H$92,"&lt;0")</f>
        <v>0</v>
      </c>
      <c r="G15" s="17">
        <f t="shared" si="0"/>
        <v>0</v>
      </c>
      <c r="H15" s="122"/>
      <c r="O15" s="8" t="s">
        <v>426</v>
      </c>
      <c r="P15" s="8" t="s">
        <v>1564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32180806782</v>
      </c>
      <c r="E16" s="19">
        <f>SUM(E7:E15)</f>
        <v>0</v>
      </c>
      <c r="F16" s="19">
        <f>SUM(F7:F15)</f>
        <v>0</v>
      </c>
      <c r="G16" s="19">
        <f t="shared" si="0"/>
        <v>32180806782</v>
      </c>
      <c r="H16" s="122"/>
      <c r="O16" s="8" t="s">
        <v>427</v>
      </c>
      <c r="P16" s="8" t="s">
        <v>1565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-3323329754</v>
      </c>
      <c r="E17" s="25">
        <f>SUMIFS('Daftar Koreksi'!$I$5:$I$92,'Daftar Koreksi'!$D$5:$D$92,'1100'!A4,'Daftar Koreksi'!$G$5:$G$92,"Peralatan dan mesin",'Daftar Koreksi'!$I$5:$I$92,"&gt;0")</f>
        <v>0</v>
      </c>
      <c r="F17" s="25">
        <f>SUMIFS('Daftar Koreksi'!$I$5:$I$92,'Daftar Koreksi'!$D$5:$D$92,'1100'!A4,'Daftar Koreksi'!$G$5:$G$92,"Peralatan dan mesin",'Daftar Koreksi'!$I$5:$I$92,"&lt;0")-SUMIFS('Daftar Koreksi'!$I$5:$I$92,'Daftar Koreksi'!$D$5:$D$92,'1100'!A4,'Daftar Koreksi'!$G$5:$G$92,"Peralatan dan mesin",'Daftar Koreksi'!$I$5:$I$92,"&lt;0")-SUMIFS('Daftar Koreksi'!$I$5:$I$92,'Daftar Koreksi'!$D$5:$D$92,'1100'!A4,'Daftar Koreksi'!$G$5:$G$92,"Peralatan dan mesin",'Daftar Koreksi'!$I$5:$I$92,"&lt;0")</f>
        <v>0</v>
      </c>
      <c r="G17" s="17">
        <f t="shared" si="0"/>
        <v>-3323329754</v>
      </c>
      <c r="H17" s="122"/>
      <c r="O17" s="8" t="s">
        <v>428</v>
      </c>
      <c r="P17" s="8" t="s">
        <v>1566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-8200270150</v>
      </c>
      <c r="E18" s="25">
        <f>SUMIFS('Daftar Koreksi'!$I$5:$I$92,'Daftar Koreksi'!$D$5:$D$92,'1100'!A4,'Daftar Koreksi'!$G$5:$G$92,"Gedung dan Bangunan",'Daftar Koreksi'!$I$5:$I$92,"&gt;0")</f>
        <v>0</v>
      </c>
      <c r="F18" s="25">
        <f>SUMIFS('Daftar Koreksi'!$I$5:$I$92,'Daftar Koreksi'!$D$5:$D$92,'1100'!A4,'Daftar Koreksi'!$G$5:$G$92,"Gedung dan Bangunan",'Daftar Koreksi'!$I$5:$I$92,"&lt;0")-SUMIFS('Daftar Koreksi'!$I$5:$I$92,'Daftar Koreksi'!$D$5:$D$92,'1100'!A4,'Daftar Koreksi'!$G$5:$G$92,"Gedung dan Bangunan",'Daftar Koreksi'!$I$5:$I$92,"&lt;0")-SUMIFS('Daftar Koreksi'!$I$5:$I$92,'Daftar Koreksi'!$D$5:$D$92,'1100'!A4,'Daftar Koreksi'!$G$5:$G$92,"Gedung dan Bangunan",'Daftar Koreksi'!$I$5:$I$92,"&lt;0")</f>
        <v>0</v>
      </c>
      <c r="G18" s="17">
        <f t="shared" si="0"/>
        <v>-8200270150</v>
      </c>
      <c r="H18" s="122"/>
      <c r="O18" s="8" t="s">
        <v>429</v>
      </c>
      <c r="P18" s="8" t="s">
        <v>1567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-19651853</v>
      </c>
      <c r="E19" s="25">
        <f>SUMIFS('Daftar Koreksi'!$I$5:$I$92,'Daftar Koreksi'!$D$5:$D$92,'1100'!A4,'Daftar Koreksi'!$G$5:$G$92,"Jalan Irigasi Jaringan",'Daftar Koreksi'!$I$5:$I$92,"&gt;0")</f>
        <v>0</v>
      </c>
      <c r="F19" s="25">
        <f>SUMIFS('Daftar Koreksi'!$I$5:$I$92,'Daftar Koreksi'!$D$5:$D$92,'1100'!A4,'Daftar Koreksi'!$G$5:$G$92,"Jalan Irigasi Jaringan",'Daftar Koreksi'!$I$5:$I$92,"&lt;0")-SUMIFS('Daftar Koreksi'!$I$5:$I$92,'Daftar Koreksi'!$D$5:$D$92,'1100'!A4,'Daftar Koreksi'!$G$5:$G$92,"Jalan Irigasi Jaringan",'Daftar Koreksi'!$I$5:$I$92,"&lt;0")-SUMIFS('Daftar Koreksi'!$I$5:$I$92,'Daftar Koreksi'!$D$5:$D$92,'1100'!A4,'Daftar Koreksi'!$G$5:$G$92,"Jalan Irigasi Jaringan",'Daftar Koreksi'!$I$5:$I$92,"&lt;0")</f>
        <v>0</v>
      </c>
      <c r="G19" s="17">
        <f t="shared" si="0"/>
        <v>-19651853</v>
      </c>
      <c r="H19" s="122"/>
      <c r="O19" s="8" t="s">
        <v>430</v>
      </c>
      <c r="P19" s="8" t="s">
        <v>1568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Koreksi'!$D$5:$D$92,'1100'!A4,'Daftar Koreksi'!$G$5:$G$92,"Aset Tetap Lainnya",'Daftar Koreksi'!$I$5:$I$92,"&gt;0")</f>
        <v>0</v>
      </c>
      <c r="F20" s="25">
        <f>SUMIFS('Daftar Koreksi'!$I$5:$I$92,'Daftar Koreksi'!$D$5:$D$92,'1100'!A4,'Daftar Koreksi'!$G$5:$G$92,"Aset Tetap Lainnya",'Daftar Koreksi'!$I$5:$I$92,"&lt;0")-SUMIFS('Daftar Koreksi'!$I$5:$I$92,'Daftar Koreksi'!$D$5:$D$92,'1100'!A4,'Daftar Koreksi'!$G$5:$G$92,"Aset Tetap Lainnya",'Daftar Koreksi'!$I$5:$I$92,"&lt;0")-SUMIFS('Daftar Koreksi'!$I$5:$I$92,'Daftar Koreksi'!$D$5:$D$92,'1100'!A4,'Daftar Koreksi'!$G$5:$G$92,"Aset Tetap Lainnya",'Daftar Koreksi'!$I$5:$I$92,"&lt;0")</f>
        <v>0</v>
      </c>
      <c r="G20" s="17">
        <f t="shared" si="0"/>
        <v>0</v>
      </c>
      <c r="H20" s="122"/>
      <c r="O20" s="8" t="s">
        <v>431</v>
      </c>
      <c r="P20" s="8" t="s">
        <v>1569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Koreksi'!$D$5:$D$92,'1100'!A4,'Daftar Koreksi'!$G$5:$G$92,"Aset Henti Guna",'Daftar Koreksi'!$I$5:$I$92,"&gt;0")</f>
        <v>0</v>
      </c>
      <c r="F21" s="25">
        <f>SUMIFS('Daftar Koreksi'!$I$5:$I$92,'Daftar Koreksi'!$D$5:$D$92,'1100'!A4,'Daftar Koreksi'!$G$5:$G$92,"Aset Henti Guna",'Daftar Koreksi'!$I$5:$I$92,"&lt;0")-SUMIFS('Daftar Koreksi'!$I$5:$I$92,'Daftar Koreksi'!$D$5:$D$92,'1100'!A4,'Daftar Koreksi'!$G$5:$G$92,"Aset Henti Guna",'Daftar Koreksi'!$I$5:$I$92,"&lt;0")-SUMIFS('Daftar Koreksi'!$I$5:$I$92,'Daftar Koreksi'!$D$5:$D$92,'1100'!A4,'Daftar Koreksi'!$G$5:$G$92,"Aset Henti Guna",'Daftar Koreksi'!$I$5:$I$92,"&lt;0")</f>
        <v>0</v>
      </c>
      <c r="G21" s="17">
        <f t="shared" si="0"/>
        <v>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-11543251757</v>
      </c>
      <c r="E22" s="19">
        <f>SUM(E17:E21)</f>
        <v>0</v>
      </c>
      <c r="F22" s="19">
        <f>SUM(F17:F21)</f>
        <v>0</v>
      </c>
      <c r="G22" s="19">
        <f t="shared" si="0"/>
        <v>-11543251757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20637555025</v>
      </c>
      <c r="E23" s="19">
        <f>E22+E16</f>
        <v>0</v>
      </c>
      <c r="F23" s="19">
        <f>F22+F16</f>
        <v>0</v>
      </c>
      <c r="G23" s="19">
        <f t="shared" si="0"/>
        <v>20637555025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005011100098942000KD</v>
      </c>
      <c r="B26" s="11" t="str">
        <f>P2</f>
        <v>PN. Palembang</v>
      </c>
      <c r="C26" s="12" t="str">
        <f>A26&amp;" "&amp;B26</f>
        <v>005011100098942000KD PN. Palembang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2616000</v>
      </c>
      <c r="E29" s="25">
        <f>SUMIFS('Daftar Koreksi'!$H$5:$H$92,'Daftar Koreksi'!$D$5:$D$92,'1100'!A26,'Daftar Koreksi'!$G$5:$G$92,"Persediaan",'Daftar Koreksi'!$H$5:$H$92,"&gt;0")</f>
        <v>0</v>
      </c>
      <c r="F29" s="25">
        <f>SUMIFS('Daftar Koreksi'!$H$5:$H$92,'Daftar Koreksi'!$D$5:$D$92,'1100'!A26,'Daftar Koreksi'!$G$5:$G$92,"Persediaan",'Daftar Koreksi'!$H$5:$H$92,"&lt;0")-SUMIFS('Daftar Koreksi'!$H$5:$H$92,'Daftar Koreksi'!$D$5:$D$92,'1100'!A26,'Daftar Koreksi'!$G$5:$G$92,"Persediaan",'Daftar Koreksi'!$H$5:$H$92,"&lt;0")-SUMIFS('Daftar Koreksi'!$H$5:$H$92,'Daftar Koreksi'!$D$5:$D$92,'1100'!A26,'Daftar Koreksi'!$G$5:$G$92,"Persediaan",'Daftar Koreksi'!$H$5:$H$92,"&lt;0")</f>
        <v>0</v>
      </c>
      <c r="G29" s="17">
        <f>D29+E29-F29</f>
        <v>2616000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15975680000</v>
      </c>
      <c r="E30" s="25">
        <f>SUMIFS('Daftar Koreksi'!$H$5:$H$92,'Daftar Koreksi'!$D$5:$D$92,'1100'!A26,'Daftar Koreksi'!$G$5:$G$92,"Tanah",'Daftar Koreksi'!$H$5:$H$92,"&gt;0")</f>
        <v>0</v>
      </c>
      <c r="F30" s="25">
        <f>SUMIFS('Daftar Koreksi'!$H$5:$H$92,'Daftar Koreksi'!$D$5:$D$92,'1100'!A26,'Daftar Koreksi'!$G$5:$G$92,"Tanah",'Daftar Koreksi'!$H$5:$H$92,"&lt;0")-SUMIFS('Daftar Koreksi'!$H$5:$H$92,'Daftar Koreksi'!$D$5:$D$92,'1100'!A26,'Daftar Koreksi'!$G$5:$G$92,"Tanah",'Daftar Koreksi'!$H$5:$H$92,"&lt;0")-SUMIFS('Daftar Koreksi'!$H$5:$H$92,'Daftar Koreksi'!$D$5:$D$92,'1100'!A26,'Daftar Koreksi'!$G$5:$G$92,"Tanah",'Daftar Koreksi'!$H$5:$H$92,"&lt;0")</f>
        <v>0</v>
      </c>
      <c r="G30" s="17">
        <f t="shared" ref="G30:G46" si="1">D30+E30-F30</f>
        <v>15975680000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4311285185</v>
      </c>
      <c r="E31" s="25">
        <f>SUMIFS('Daftar Koreksi'!$H$5:$H$92,'Daftar Koreksi'!$D$5:$D$92,'1100'!A26,'Daftar Koreksi'!$G$5:$G$92,"Peralatan dan mesin",'Daftar Koreksi'!$H$5:$H$92,"&gt;0")</f>
        <v>0</v>
      </c>
      <c r="F31" s="25">
        <f>SUMIFS('Daftar Koreksi'!$H$5:$H$92,'Daftar Koreksi'!$D$5:$D$92,'1100'!A26,'Daftar Koreksi'!$G$5:$G$92,"Peralatan dan mesin",'Daftar Koreksi'!$H$5:$H$92,"&lt;0")-SUMIFS('Daftar Koreksi'!$H$5:$H$92,'Daftar Koreksi'!$D$5:$D$92,'1100'!A26,'Daftar Koreksi'!$G$5:$G$92,"Peralatan dan mesin",'Daftar Koreksi'!$H$5:$H$92,"&lt;0")-SUMIFS('Daftar Koreksi'!$H$5:$H$92,'Daftar Koreksi'!$D$5:$D$92,'1100'!A26,'Daftar Koreksi'!$G$5:$G$92,"Peralatan dan mesin",'Daftar Koreksi'!$H$5:$H$92,"&lt;0")</f>
        <v>0</v>
      </c>
      <c r="G31" s="17">
        <f t="shared" si="1"/>
        <v>4311285185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4595397800</v>
      </c>
      <c r="E32" s="25">
        <f>SUMIFS('Daftar Koreksi'!$H$5:$H$92,'Daftar Koreksi'!$D$5:$D$92,'1100'!A26,'Daftar Koreksi'!$G$5:$G$92,"Gedung dan Bangunan",'Daftar Koreksi'!$H$5:$H$92,"&gt;0")</f>
        <v>0</v>
      </c>
      <c r="F32" s="25">
        <f>SUMIFS('Daftar Koreksi'!$H$5:$H$92,'Daftar Koreksi'!$D$5:$D$92,'1100'!A26,'Daftar Koreksi'!$G$5:$G$92,"Gedung dan Bangunan",'Daftar Koreksi'!$H$5:$H$92,"&lt;0")-SUMIFS('Daftar Koreksi'!$H$5:$H$92,'Daftar Koreksi'!$D$5:$D$92,'1100'!A26,'Daftar Koreksi'!$G$5:$G$92,"Gedung dan Bangunan",'Daftar Koreksi'!$H$5:$H$92,"&lt;0")-SUMIFS('Daftar Koreksi'!$H$5:$H$92,'Daftar Koreksi'!$D$5:$D$92,'1100'!A26,'Daftar Koreksi'!$G$5:$G$92,"Gedung dan Bangunan",'Daftar Koreksi'!$H$5:$H$92,"&lt;0")</f>
        <v>0</v>
      </c>
      <c r="G32" s="17">
        <f t="shared" si="1"/>
        <v>4595397800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113902000</v>
      </c>
      <c r="E33" s="25">
        <f>SUMIFS('Daftar Koreksi'!$H$5:$H$92,'Daftar Koreksi'!$D$5:$D$92,'1100'!A26,'Daftar Koreksi'!$G$5:$G$92,"Jalan Irigasi Jaringan",'Daftar Koreksi'!$H$5:$H$92,"&gt;0")</f>
        <v>0</v>
      </c>
      <c r="F33" s="25">
        <f>SUMIFS('Daftar Koreksi'!$H$5:$H$92,'Daftar Koreksi'!$D$5:$D$92,'1100'!A26,'Daftar Koreksi'!$G$5:$G$92,"Jalan Irigasi Jaringan",'Daftar Koreksi'!$H$5:$H$92,"&lt;0")-SUMIFS('Daftar Koreksi'!$H$5:$H$92,'Daftar Koreksi'!$D$5:$D$92,'1100'!A26,'Daftar Koreksi'!$G$5:$G$92,"Jalan Irigasi Jaringan",'Daftar Koreksi'!$H$5:$H$92,"&lt;0")-SUMIFS('Daftar Koreksi'!$H$5:$H$92,'Daftar Koreksi'!$D$5:$D$92,'1100'!A26,'Daftar Koreksi'!$G$5:$G$92,"Jalan Irigasi Jaringan",'Daftar Koreksi'!$H$5:$H$92,"&lt;0")</f>
        <v>0</v>
      </c>
      <c r="G33" s="17">
        <f t="shared" si="1"/>
        <v>113902000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42343827</v>
      </c>
      <c r="E34" s="25">
        <f>SUMIFS('Daftar Koreksi'!$H$5:$H$92,'Daftar Koreksi'!$D$5:$D$92,'1100'!A26,'Daftar Koreksi'!$G$5:$G$92,"Aset Tetap Lainnya",'Daftar Koreksi'!$H$5:$H$92,"&gt;0")</f>
        <v>0</v>
      </c>
      <c r="F34" s="25">
        <f>SUMIFS('Daftar Koreksi'!$H$5:$H$92,'Daftar Koreksi'!$D$5:$D$92,'1100'!A26,'Daftar Koreksi'!$G$5:$G$92,"Aset Tetap Lainnya",'Daftar Koreksi'!$H$5:$H$92,"&lt;0")-SUMIFS('Daftar Koreksi'!$H$5:$H$92,'Daftar Koreksi'!$D$5:$D$92,'1100'!A26,'Daftar Koreksi'!$G$5:$G$92,"Aset Tetap Lainnya",'Daftar Koreksi'!$H$5:$H$92,"&lt;0")-SUMIFS('Daftar Koreksi'!$H$5:$H$92,'Daftar Koreksi'!$D$5:$D$92,'1100'!A26,'Daftar Koreksi'!$G$5:$G$92,"Aset Tetap Lainnya",'Daftar Koreksi'!$H$5:$H$92,"&lt;0")</f>
        <v>0</v>
      </c>
      <c r="G34" s="17">
        <f t="shared" si="1"/>
        <v>42343827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Koreksi'!$D$5:$D$92,'1100'!A26,'Daftar Koreksi'!$G$5:$G$92,"Kontruksi Dalam Pengerjaan",'Daftar Koreksi'!$H$5:$H$92,"&gt;0")</f>
        <v>0</v>
      </c>
      <c r="F35" s="25">
        <f>SUMIFS('Daftar Koreksi'!$H$5:$H$92,'Daftar Koreksi'!$D$5:$D$92,'1100'!A26,'Daftar Koreksi'!$G$5:$G$92,"Kontruksi Dalam Pengerjaan",'Daftar Koreksi'!$H$5:$H$92,"&lt;0")-SUMIFS('Daftar Koreksi'!$H$5:$H$92,'Daftar Koreksi'!$D$5:$D$92,'1100'!A26,'Daftar Koreksi'!$G$5:$G$92,"Kontruksi Dalam Pengerjaan",'Daftar Koreksi'!$H$5:$H$92,"&lt;0")-SUMIFS('Daftar Koreksi'!$H$5:$H$92,'Daftar Koreksi'!$D$5:$D$92,'1100'!A26,'Daftar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85248310</v>
      </c>
      <c r="E36" s="25">
        <f>SUMIFS('Daftar Koreksi'!$H$5:$H$92,'Daftar Koreksi'!$D$5:$D$92,'1100'!A26,'Daftar Koreksi'!$G$5:$G$92,"Aset Tak Berwujud",'Daftar Koreksi'!$H$5:$H$92,"&gt;0")</f>
        <v>0</v>
      </c>
      <c r="F36" s="25">
        <f>SUMIFS('Daftar Koreksi'!$H$5:$H$92,'Daftar Koreksi'!$D$5:$D$92,'1100'!A26,'Daftar Koreksi'!$G$5:$G$92,"Aset Tak Berwujud",'Daftar Koreksi'!$H$5:$H$92,"&lt;0")-SUMIFS('Daftar Koreksi'!$H$5:$H$92,'Daftar Koreksi'!$D$5:$D$92,'1100'!A26,'Daftar Koreksi'!$G$5:$G$92,"Aset Tak Berwujud",'Daftar Koreksi'!$H$5:$H$92,"&lt;0")-SUMIFS('Daftar Koreksi'!$H$5:$H$92,'Daftar Koreksi'!$D$5:$D$92,'1100'!A26,'Daftar Koreksi'!$G$5:$G$92,"Aset Tak Berwujud",'Daftar Koreksi'!$H$5:$H$92,"&lt;0")</f>
        <v>0</v>
      </c>
      <c r="G36" s="17">
        <f t="shared" si="1"/>
        <v>85248310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Koreksi'!$D$5:$D$92,'1100'!A26,'Daftar Koreksi'!$G$5:$G$92,"Aset Henti Guna",'Daftar Koreksi'!$H$5:$H$92,"&gt;0")</f>
        <v>0</v>
      </c>
      <c r="F37" s="25">
        <f>SUMIFS('Daftar Koreksi'!$H$5:$H$92,'Daftar Koreksi'!$D$5:$D$92,'1100'!A26,'Daftar Koreksi'!$G$5:$G$92,"Aset Henti Guna",'Daftar Koreksi'!$H$5:$H$92,"&lt;0")-SUMIFS('Daftar Koreksi'!$H$5:$H$92,'Daftar Koreksi'!$D$5:$D$92,'1100'!A26,'Daftar Koreksi'!$G$5:$G$92,"Aset Henti Guna",'Daftar Koreksi'!$H$5:$H$92,"&lt;0")-SUMIFS('Daftar Koreksi'!$H$5:$H$92,'Daftar Koreksi'!$D$5:$D$92,'1100'!A26,'Daftar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25126473122</v>
      </c>
      <c r="E38" s="19">
        <f>SUM(E29:E37)</f>
        <v>0</v>
      </c>
      <c r="F38" s="19">
        <f>SUM(F29:F37)</f>
        <v>0</v>
      </c>
      <c r="G38" s="19">
        <f t="shared" si="1"/>
        <v>25126473122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-3740733319</v>
      </c>
      <c r="E39" s="25">
        <f>SUMIFS('Daftar Koreksi'!$I$5:$I$92,'Daftar Koreksi'!$D$5:$D$92,'1100'!A26,'Daftar Koreksi'!$G$5:$G$92,"Peralatan dan mesin",'Daftar Koreksi'!$I$5:$I$92,"&gt;0")</f>
        <v>0</v>
      </c>
      <c r="F39" s="25">
        <f>SUMIFS('Daftar Koreksi'!$I$5:$I$92,'Daftar Koreksi'!$D$5:$D$92,'1100'!A26,'Daftar Koreksi'!$G$5:$G$92,"Peralatan dan mesin",'Daftar Koreksi'!$I$5:$I$92,"&lt;0")-SUMIFS('Daftar Koreksi'!$I$5:$I$92,'Daftar Koreksi'!$D$5:$D$92,'1100'!A26,'Daftar Koreksi'!$G$5:$G$92,"Peralatan dan mesin",'Daftar Koreksi'!$I$5:$I$92,"&lt;0")-SUMIFS('Daftar Koreksi'!$I$5:$I$92,'Daftar Koreksi'!$D$5:$D$92,'1100'!A26,'Daftar Koreksi'!$G$5:$G$92,"Peralatan dan mesin",'Daftar Koreksi'!$I$5:$I$92,"&lt;0")</f>
        <v>0</v>
      </c>
      <c r="G39" s="17">
        <f t="shared" si="1"/>
        <v>-3740733319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-2041193618</v>
      </c>
      <c r="E40" s="25">
        <f>SUMIFS('Daftar Koreksi'!$I$5:$I$92,'Daftar Koreksi'!$D$5:$D$92,'1100'!A26,'Daftar Koreksi'!$G$5:$G$92,"Gedung dan Bangunan",'Daftar Koreksi'!$I$5:$I$92,"&gt;0")</f>
        <v>0</v>
      </c>
      <c r="F40" s="25">
        <f>SUMIFS('Daftar Koreksi'!$I$5:$I$92,'Daftar Koreksi'!$D$5:$D$92,'1100'!A26,'Daftar Koreksi'!$G$5:$G$92,"Gedung dan Bangunan",'Daftar Koreksi'!$I$5:$I$92,"&lt;0")-SUMIFS('Daftar Koreksi'!$I$5:$I$92,'Daftar Koreksi'!$D$5:$D$92,'1100'!A26,'Daftar Koreksi'!$G$5:$G$92,"Gedung dan Bangunan",'Daftar Koreksi'!$I$5:$I$92,"&lt;0")-SUMIFS('Daftar Koreksi'!$I$5:$I$92,'Daftar Koreksi'!$D$5:$D$92,'1100'!A26,'Daftar Koreksi'!$G$5:$G$92,"Gedung dan Bangunan",'Daftar Koreksi'!$I$5:$I$92,"&lt;0")</f>
        <v>0</v>
      </c>
      <c r="G40" s="17">
        <f t="shared" si="1"/>
        <v>-2041193618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-60174700</v>
      </c>
      <c r="E41" s="25">
        <f>SUMIFS('Daftar Koreksi'!$I$5:$I$92,'Daftar Koreksi'!$D$5:$D$92,'1100'!A26,'Daftar Koreksi'!$G$5:$G$92,"Jalan Irigasi Jaringan",'Daftar Koreksi'!$I$5:$I$92,"&gt;0")</f>
        <v>0</v>
      </c>
      <c r="F41" s="25">
        <f>SUMIFS('Daftar Koreksi'!$I$5:$I$92,'Daftar Koreksi'!$D$5:$D$92,'1100'!A26,'Daftar Koreksi'!$G$5:$G$92,"Jalan Irigasi Jaringan",'Daftar Koreksi'!$I$5:$I$92,"&lt;0")-SUMIFS('Daftar Koreksi'!$I$5:$I$92,'Daftar Koreksi'!$D$5:$D$92,'1100'!A26,'Daftar Koreksi'!$G$5:$G$92,"Jalan Irigasi Jaringan",'Daftar Koreksi'!$I$5:$I$92,"&lt;0")-SUMIFS('Daftar Koreksi'!$I$5:$I$92,'Daftar Koreksi'!$D$5:$D$92,'1100'!A26,'Daftar Koreksi'!$G$5:$G$92,"Jalan Irigasi Jaringan",'Daftar Koreksi'!$I$5:$I$92,"&lt;0")</f>
        <v>0</v>
      </c>
      <c r="G41" s="17">
        <f t="shared" si="1"/>
        <v>-60174700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Koreksi'!$D$5:$D$92,'1100'!A26,'Daftar Koreksi'!$G$5:$G$92,"Aset Tetap Lainnya",'Daftar Koreksi'!$I$5:$I$92,"&gt;0")</f>
        <v>0</v>
      </c>
      <c r="F42" s="25">
        <f>SUMIFS('Daftar Koreksi'!$I$5:$I$92,'Daftar Koreksi'!$D$5:$D$92,'1100'!A26,'Daftar Koreksi'!$G$5:$G$92,"Aset Tetap Lainnya",'Daftar Koreksi'!$I$5:$I$92,"&lt;0")-SUMIFS('Daftar Koreksi'!$I$5:$I$92,'Daftar Koreksi'!$D$5:$D$92,'1100'!A26,'Daftar Koreksi'!$G$5:$G$92,"Aset Tetap Lainnya",'Daftar Koreksi'!$I$5:$I$92,"&lt;0")-SUMIFS('Daftar Koreksi'!$I$5:$I$92,'Daftar Koreksi'!$D$5:$D$92,'1100'!A26,'Daftar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Koreksi'!$D$5:$D$92,'1100'!A26,'Daftar Koreksi'!$G$5:$G$92,"Aset Henti Guna",'Daftar Koreksi'!$I$5:$I$92,"&gt;0")</f>
        <v>0</v>
      </c>
      <c r="F43" s="25">
        <f>SUMIFS('Daftar Koreksi'!$I$5:$I$92,'Daftar Koreksi'!$D$5:$D$92,'1100'!A26,'Daftar Koreksi'!$G$5:$G$92,"Aset Henti Guna",'Daftar Koreksi'!$I$5:$I$92,"&lt;0")-SUMIFS('Daftar Koreksi'!$I$5:$I$92,'Daftar Koreksi'!$D$5:$D$92,'1100'!A26,'Daftar Koreksi'!$G$5:$G$92,"Aset Henti Guna",'Daftar Koreksi'!$I$5:$I$92,"&lt;0")-SUMIFS('Daftar Koreksi'!$I$5:$I$92,'Daftar Koreksi'!$D$5:$D$92,'1100'!A26,'Daftar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-5842101637</v>
      </c>
      <c r="E44" s="19">
        <f>SUM(E39:E43)</f>
        <v>0</v>
      </c>
      <c r="F44" s="19">
        <f>SUM(F39:F43)</f>
        <v>0</v>
      </c>
      <c r="G44" s="19">
        <f t="shared" si="1"/>
        <v>-5842101637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19284371485</v>
      </c>
      <c r="E45" s="19">
        <f>E44+E38</f>
        <v>0</v>
      </c>
      <c r="F45" s="19">
        <f>F44+F38</f>
        <v>0</v>
      </c>
      <c r="G45" s="19">
        <f t="shared" si="1"/>
        <v>19284371485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005011100098959000KD</v>
      </c>
      <c r="B48" s="11" t="str">
        <f>P3</f>
        <v>PN. Kayuagung</v>
      </c>
      <c r="C48" s="12" t="str">
        <f>A48&amp;" "&amp;B48</f>
        <v>005011100098959000KD PN. Kayuagung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3598000</v>
      </c>
      <c r="E51" s="25">
        <f>SUMIFS('Daftar Koreksi'!$H$5:$H$92,'Daftar Koreksi'!$D$5:$D$92,'1100'!A48,'Daftar Koreksi'!$G$5:$G$92,"Persediaan",'Daftar Koreksi'!$H$5:$H$92,"&gt;0")</f>
        <v>0</v>
      </c>
      <c r="F51" s="25">
        <f>SUMIFS('Daftar Koreksi'!$H$5:$H$92,'Daftar Koreksi'!$D$5:$D$92,'1100'!A48,'Daftar Koreksi'!$G$5:$G$92,"Persediaan",'Daftar Koreksi'!$H$5:$H$92,"&lt;0")-SUMIFS('Daftar Koreksi'!$H$5:$H$92,'Daftar Koreksi'!$D$5:$D$92,'1100'!A48,'Daftar Koreksi'!$G$5:$G$92,"Persediaan",'Daftar Koreksi'!$H$5:$H$92,"&lt;0")-SUMIFS('Daftar Koreksi'!$H$5:$H$92,'Daftar Koreksi'!$D$5:$D$92,'1100'!A48,'Daftar Koreksi'!$G$5:$G$92,"Persediaan",'Daftar Koreksi'!$H$5:$H$92,"&lt;0")</f>
        <v>0</v>
      </c>
      <c r="G51" s="17">
        <f>D51+E51-F51</f>
        <v>3598000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2149672800</v>
      </c>
      <c r="E52" s="25">
        <f>SUMIFS('Daftar Koreksi'!$H$5:$H$92,'Daftar Koreksi'!$D$5:$D$92,'1100'!A48,'Daftar Koreksi'!$G$5:$G$92,"Tanah",'Daftar Koreksi'!$H$5:$H$92,"&gt;0")</f>
        <v>0</v>
      </c>
      <c r="F52" s="25">
        <f>SUMIFS('Daftar Koreksi'!$H$5:$H$92,'Daftar Koreksi'!$D$5:$D$92,'1100'!A48,'Daftar Koreksi'!$G$5:$G$92,"Tanah",'Daftar Koreksi'!$H$5:$H$92,"&lt;0")-SUMIFS('Daftar Koreksi'!$H$5:$H$92,'Daftar Koreksi'!$D$5:$D$92,'1100'!A48,'Daftar Koreksi'!$G$5:$G$92,"Tanah",'Daftar Koreksi'!$H$5:$H$92,"&lt;0")-SUMIFS('Daftar Koreksi'!$H$5:$H$92,'Daftar Koreksi'!$D$5:$D$92,'1100'!A48,'Daftar Koreksi'!$G$5:$G$92,"Tanah",'Daftar Koreksi'!$H$5:$H$92,"&lt;0")</f>
        <v>0</v>
      </c>
      <c r="G52" s="17">
        <f t="shared" ref="G52:G68" si="2">D52+E52-F52</f>
        <v>2149672800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1300957004</v>
      </c>
      <c r="E53" s="25">
        <f>SUMIFS('Daftar Koreksi'!$H$5:$H$92,'Daftar Koreksi'!$D$5:$D$92,'1100'!A48,'Daftar Koreksi'!$G$5:$G$92,"Peralatan dan mesin",'Daftar Koreksi'!$H$5:$H$92,"&gt;0")</f>
        <v>0</v>
      </c>
      <c r="F53" s="25">
        <f>SUMIFS('Daftar Koreksi'!$H$5:$H$92,'Daftar Koreksi'!$D$5:$D$92,'1100'!A48,'Daftar Koreksi'!$G$5:$G$92,"Peralatan dan mesin",'Daftar Koreksi'!$H$5:$H$92,"&lt;0")-SUMIFS('Daftar Koreksi'!$H$5:$H$92,'Daftar Koreksi'!$D$5:$D$92,'1100'!A48,'Daftar Koreksi'!$G$5:$G$92,"Peralatan dan mesin",'Daftar Koreksi'!$H$5:$H$92,"&lt;0")-SUMIFS('Daftar Koreksi'!$H$5:$H$92,'Daftar Koreksi'!$D$5:$D$92,'1100'!A48,'Daftar Koreksi'!$G$5:$G$92,"Peralatan dan mesin",'Daftar Koreksi'!$H$5:$H$92,"&lt;0")</f>
        <v>0</v>
      </c>
      <c r="G53" s="17">
        <f t="shared" si="2"/>
        <v>1300957004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2191442000</v>
      </c>
      <c r="E54" s="25">
        <f>SUMIFS('Daftar Koreksi'!$H$5:$H$92,'Daftar Koreksi'!$D$5:$D$92,'1100'!A48,'Daftar Koreksi'!$G$5:$G$92,"Gedung dan Bangunan",'Daftar Koreksi'!$H$5:$H$92,"&gt;0")</f>
        <v>0</v>
      </c>
      <c r="F54" s="25">
        <f>SUMIFS('Daftar Koreksi'!$H$5:$H$92,'Daftar Koreksi'!$D$5:$D$92,'1100'!A48,'Daftar Koreksi'!$G$5:$G$92,"Gedung dan Bangunan",'Daftar Koreksi'!$H$5:$H$92,"&lt;0")-SUMIFS('Daftar Koreksi'!$H$5:$H$92,'Daftar Koreksi'!$D$5:$D$92,'1100'!A48,'Daftar Koreksi'!$G$5:$G$92,"Gedung dan Bangunan",'Daftar Koreksi'!$H$5:$H$92,"&lt;0")-SUMIFS('Daftar Koreksi'!$H$5:$H$92,'Daftar Koreksi'!$D$5:$D$92,'1100'!A48,'Daftar Koreksi'!$G$5:$G$92,"Gedung dan Bangunan",'Daftar Koreksi'!$H$5:$H$92,"&lt;0")</f>
        <v>0</v>
      </c>
      <c r="G54" s="17">
        <f t="shared" si="2"/>
        <v>2191442000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Koreksi'!$D$5:$D$92,'1100'!A48,'Daftar Koreksi'!$G$5:$G$92,"Jalan Irigasi Jaringan",'Daftar Koreksi'!$H$5:$H$92,"&gt;0")</f>
        <v>0</v>
      </c>
      <c r="F55" s="25">
        <f>SUMIFS('Daftar Koreksi'!$H$5:$H$92,'Daftar Koreksi'!$D$5:$D$92,'1100'!A48,'Daftar Koreksi'!$G$5:$G$92,"Jalan Irigasi Jaringan",'Daftar Koreksi'!$H$5:$H$92,"&lt;0")-SUMIFS('Daftar Koreksi'!$H$5:$H$92,'Daftar Koreksi'!$D$5:$D$92,'1100'!A48,'Daftar Koreksi'!$G$5:$G$92,"Jalan Irigasi Jaringan",'Daftar Koreksi'!$H$5:$H$92,"&lt;0")-SUMIFS('Daftar Koreksi'!$H$5:$H$92,'Daftar Koreksi'!$D$5:$D$92,'1100'!A48,'Daftar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32618060</v>
      </c>
      <c r="E56" s="25">
        <f>SUMIFS('Daftar Koreksi'!$H$5:$H$92,'Daftar Koreksi'!$D$5:$D$92,'1100'!A48,'Daftar Koreksi'!$G$5:$G$92,"Aset Tetap Lainnya",'Daftar Koreksi'!$H$5:$H$92,"&gt;0")</f>
        <v>0</v>
      </c>
      <c r="F56" s="25">
        <f>SUMIFS('Daftar Koreksi'!$H$5:$H$92,'Daftar Koreksi'!$D$5:$D$92,'1100'!A48,'Daftar Koreksi'!$G$5:$G$92,"Aset Tetap Lainnya",'Daftar Koreksi'!$H$5:$H$92,"&lt;0")-SUMIFS('Daftar Koreksi'!$H$5:$H$92,'Daftar Koreksi'!$D$5:$D$92,'1100'!A48,'Daftar Koreksi'!$G$5:$G$92,"Aset Tetap Lainnya",'Daftar Koreksi'!$H$5:$H$92,"&lt;0")-SUMIFS('Daftar Koreksi'!$H$5:$H$92,'Daftar Koreksi'!$D$5:$D$92,'1100'!A48,'Daftar Koreksi'!$G$5:$G$92,"Aset Tetap Lainnya",'Daftar Koreksi'!$H$5:$H$92,"&lt;0")</f>
        <v>0</v>
      </c>
      <c r="G56" s="17">
        <f t="shared" si="2"/>
        <v>32618060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Koreksi'!$D$5:$D$92,'1100'!A48,'Daftar Koreksi'!$G$5:$G$92,"Kontruksi Dalam Pengerjaan",'Daftar Koreksi'!$H$5:$H$92,"&gt;0")</f>
        <v>0</v>
      </c>
      <c r="F57" s="25">
        <f>SUMIFS('Daftar Koreksi'!$H$5:$H$92,'Daftar Koreksi'!$D$5:$D$92,'1100'!A48,'Daftar Koreksi'!$G$5:$G$92,"Kontruksi Dalam Pengerjaan",'Daftar Koreksi'!$H$5:$H$92,"&lt;0")-SUMIFS('Daftar Koreksi'!$H$5:$H$92,'Daftar Koreksi'!$D$5:$D$92,'1100'!A48,'Daftar Koreksi'!$G$5:$G$92,"Kontruksi Dalam Pengerjaan",'Daftar Koreksi'!$H$5:$H$92,"&lt;0")-SUMIFS('Daftar Koreksi'!$H$5:$H$92,'Daftar Koreksi'!$D$5:$D$92,'1100'!A48,'Daftar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40854200</v>
      </c>
      <c r="E58" s="25">
        <f>SUMIFS('Daftar Koreksi'!$H$5:$H$92,'Daftar Koreksi'!$D$5:$D$92,'1100'!A48,'Daftar Koreksi'!$G$5:$G$92,"Aset Tak Berwujud",'Daftar Koreksi'!$H$5:$H$92,"&gt;0")</f>
        <v>0</v>
      </c>
      <c r="F58" s="25">
        <f>SUMIFS('Daftar Koreksi'!$H$5:$H$92,'Daftar Koreksi'!$D$5:$D$92,'1100'!A48,'Daftar Koreksi'!$G$5:$G$92,"Aset Tak Berwujud",'Daftar Koreksi'!$H$5:$H$92,"&lt;0")-SUMIFS('Daftar Koreksi'!$H$5:$H$92,'Daftar Koreksi'!$D$5:$D$92,'1100'!A48,'Daftar Koreksi'!$G$5:$G$92,"Aset Tak Berwujud",'Daftar Koreksi'!$H$5:$H$92,"&lt;0")-SUMIFS('Daftar Koreksi'!$H$5:$H$92,'Daftar Koreksi'!$D$5:$D$92,'1100'!A48,'Daftar Koreksi'!$G$5:$G$92,"Aset Tak Berwujud",'Daftar Koreksi'!$H$5:$H$92,"&lt;0")</f>
        <v>0</v>
      </c>
      <c r="G58" s="17">
        <f t="shared" si="2"/>
        <v>40854200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Koreksi'!$D$5:$D$92,'1100'!A48,'Daftar Koreksi'!$G$5:$G$92,"Aset Henti Guna",'Daftar Koreksi'!$H$5:$H$92,"&gt;0")</f>
        <v>0</v>
      </c>
      <c r="F59" s="25">
        <f>SUMIFS('Daftar Koreksi'!$H$5:$H$92,'Daftar Koreksi'!$D$5:$D$92,'1100'!A48,'Daftar Koreksi'!$G$5:$G$92,"Aset Henti Guna",'Daftar Koreksi'!$H$5:$H$92,"&lt;0")-SUMIFS('Daftar Koreksi'!$H$5:$H$92,'Daftar Koreksi'!$D$5:$D$92,'1100'!A48,'Daftar Koreksi'!$G$5:$G$92,"Aset Henti Guna",'Daftar Koreksi'!$H$5:$H$92,"&lt;0")-SUMIFS('Daftar Koreksi'!$H$5:$H$92,'Daftar Koreksi'!$D$5:$D$92,'1100'!A48,'Daftar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5719142064</v>
      </c>
      <c r="E60" s="19">
        <f>SUM(E51:E59)</f>
        <v>0</v>
      </c>
      <c r="F60" s="19">
        <f>SUM(F51:F59)</f>
        <v>0</v>
      </c>
      <c r="G60" s="19">
        <f t="shared" si="2"/>
        <v>5719142064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-1203277494</v>
      </c>
      <c r="E61" s="25">
        <f>SUMIFS('Daftar Koreksi'!$I$5:$I$92,'Daftar Koreksi'!$D$5:$D$92,'1100'!A48,'Daftar Koreksi'!$G$5:$G$92,"Peralatan dan mesin",'Daftar Koreksi'!$I$5:$I$92,"&gt;0")</f>
        <v>0</v>
      </c>
      <c r="F61" s="25">
        <f>SUMIFS('Daftar Koreksi'!$I$5:$I$92,'Daftar Koreksi'!$D$5:$D$92,'1100'!A48,'Daftar Koreksi'!$G$5:$G$92,"Peralatan dan mesin",'Daftar Koreksi'!$I$5:$I$92,"&lt;0")-SUMIFS('Daftar Koreksi'!$I$5:$I$92,'Daftar Koreksi'!$D$5:$D$92,'1100'!A48,'Daftar Koreksi'!$G$5:$G$92,"Peralatan dan mesin",'Daftar Koreksi'!$I$5:$I$92,"&lt;0")-SUMIFS('Daftar Koreksi'!$I$5:$I$92,'Daftar Koreksi'!$D$5:$D$92,'1100'!A48,'Daftar Koreksi'!$G$5:$G$92,"Peralatan dan mesin",'Daftar Koreksi'!$I$5:$I$92,"&lt;0")</f>
        <v>0</v>
      </c>
      <c r="G61" s="17">
        <f t="shared" si="2"/>
        <v>-1203277494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-584334732</v>
      </c>
      <c r="E62" s="25">
        <f>SUMIFS('Daftar Koreksi'!$I$5:$I$92,'Daftar Koreksi'!$D$5:$D$92,'1100'!A48,'Daftar Koreksi'!$G$5:$G$92,"Gedung dan Bangunan",'Daftar Koreksi'!$I$5:$I$92,"&gt;0")</f>
        <v>0</v>
      </c>
      <c r="F62" s="25">
        <f>SUMIFS('Daftar Koreksi'!$I$5:$I$92,'Daftar Koreksi'!$D$5:$D$92,'1100'!A48,'Daftar Koreksi'!$G$5:$G$92,"Gedung dan Bangunan",'Daftar Koreksi'!$I$5:$I$92,"&lt;0")-SUMIFS('Daftar Koreksi'!$I$5:$I$92,'Daftar Koreksi'!$D$5:$D$92,'1100'!A48,'Daftar Koreksi'!$G$5:$G$92,"Gedung dan Bangunan",'Daftar Koreksi'!$I$5:$I$92,"&lt;0")-SUMIFS('Daftar Koreksi'!$I$5:$I$92,'Daftar Koreksi'!$D$5:$D$92,'1100'!A48,'Daftar Koreksi'!$G$5:$G$92,"Gedung dan Bangunan",'Daftar Koreksi'!$I$5:$I$92,"&lt;0")</f>
        <v>0</v>
      </c>
      <c r="G62" s="17">
        <f t="shared" si="2"/>
        <v>-584334732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Koreksi'!$D$5:$D$92,'1100'!A48,'Daftar Koreksi'!$G$5:$G$92,"Jalan Irigasi Jaringan",'Daftar Koreksi'!$I$5:$I$92,"&gt;0")</f>
        <v>0</v>
      </c>
      <c r="F63" s="25">
        <f>SUMIFS('Daftar Koreksi'!$I$5:$I$92,'Daftar Koreksi'!$D$5:$D$92,'1100'!A48,'Daftar Koreksi'!$G$5:$G$92,"Jalan Irigasi Jaringan",'Daftar Koreksi'!$I$5:$I$92,"&lt;0")-SUMIFS('Daftar Koreksi'!$I$5:$I$92,'Daftar Koreksi'!$D$5:$D$92,'1100'!A48,'Daftar Koreksi'!$G$5:$G$92,"Jalan Irigasi Jaringan",'Daftar Koreksi'!$I$5:$I$92,"&lt;0")-SUMIFS('Daftar Koreksi'!$I$5:$I$92,'Daftar Koreksi'!$D$5:$D$92,'1100'!A48,'Daftar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Koreksi'!$D$5:$D$92,'1100'!A48,'Daftar Koreksi'!$G$5:$G$92,"Aset Tetap Lainnya",'Daftar Koreksi'!$I$5:$I$92,"&gt;0")</f>
        <v>0</v>
      </c>
      <c r="F64" s="25">
        <f>SUMIFS('Daftar Koreksi'!$I$5:$I$92,'Daftar Koreksi'!$D$5:$D$92,'1100'!A48,'Daftar Koreksi'!$G$5:$G$92,"Aset Tetap Lainnya",'Daftar Koreksi'!$I$5:$I$92,"&lt;0")-SUMIFS('Daftar Koreksi'!$I$5:$I$92,'Daftar Koreksi'!$D$5:$D$92,'1100'!A48,'Daftar Koreksi'!$G$5:$G$92,"Aset Tetap Lainnya",'Daftar Koreksi'!$I$5:$I$92,"&lt;0")-SUMIFS('Daftar Koreksi'!$I$5:$I$92,'Daftar Koreksi'!$D$5:$D$92,'1100'!A48,'Daftar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Koreksi'!$D$5:$D$92,'1100'!A48,'Daftar Koreksi'!$G$5:$G$92,"Aset Henti Guna",'Daftar Koreksi'!$I$5:$I$92,"&gt;0")</f>
        <v>0</v>
      </c>
      <c r="F65" s="25">
        <f>SUMIFS('Daftar Koreksi'!$I$5:$I$92,'Daftar Koreksi'!$D$5:$D$92,'1100'!A48,'Daftar Koreksi'!$G$5:$G$92,"Aset Henti Guna",'Daftar Koreksi'!$I$5:$I$92,"&lt;0")-SUMIFS('Daftar Koreksi'!$I$5:$I$92,'Daftar Koreksi'!$D$5:$D$92,'1100'!A48,'Daftar Koreksi'!$G$5:$G$92,"Aset Henti Guna",'Daftar Koreksi'!$I$5:$I$92,"&lt;0")-SUMIFS('Daftar Koreksi'!$I$5:$I$92,'Daftar Koreksi'!$D$5:$D$92,'1100'!A48,'Daftar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-1787612226</v>
      </c>
      <c r="E66" s="19">
        <f>SUM(E61:E65)</f>
        <v>0</v>
      </c>
      <c r="F66" s="19">
        <f>SUM(F61:F65)</f>
        <v>0</v>
      </c>
      <c r="G66" s="19">
        <f t="shared" si="2"/>
        <v>-1787612226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3931529838</v>
      </c>
      <c r="E67" s="19">
        <f>E66+E60</f>
        <v>0</v>
      </c>
      <c r="F67" s="19">
        <f>F66+F60</f>
        <v>0</v>
      </c>
      <c r="G67" s="19">
        <f t="shared" si="2"/>
        <v>3931529838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005011100098963000KD</v>
      </c>
      <c r="B70" s="11" t="str">
        <f>P4</f>
        <v>PN. Baturaja</v>
      </c>
      <c r="C70" s="12" t="str">
        <f>A70&amp;" "&amp;B70</f>
        <v>005011100098963000KD PN. Baturaja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215000</v>
      </c>
      <c r="E73" s="25">
        <f>SUMIFS('Daftar Koreksi'!$H$5:$H$92,'Daftar Koreksi'!$D$5:$D$92,'1100'!A70,'Daftar Koreksi'!$G$5:$G$92,"Persediaan",'Daftar Koreksi'!$H$5:$H$92,"&gt;0")</f>
        <v>0</v>
      </c>
      <c r="F73" s="25">
        <f>SUMIFS('Daftar Koreksi'!$H$5:$H$92,'Daftar Koreksi'!$D$5:$D$92,'1100'!A70,'Daftar Koreksi'!$G$5:$G$92,"Persediaan",'Daftar Koreksi'!$H$5:$H$92,"&lt;0")-SUMIFS('Daftar Koreksi'!$H$5:$H$92,'Daftar Koreksi'!$D$5:$D$92,'1100'!A70,'Daftar Koreksi'!$G$5:$G$92,"Persediaan",'Daftar Koreksi'!$H$5:$H$92,"&lt;0")-SUMIFS('Daftar Koreksi'!$H$5:$H$92,'Daftar Koreksi'!$D$5:$D$92,'1100'!A70,'Daftar Koreksi'!$G$5:$G$92,"Persediaan",'Daftar Koreksi'!$H$5:$H$92,"&lt;0")</f>
        <v>0</v>
      </c>
      <c r="G73" s="17">
        <f>D73+E73-F73</f>
        <v>215000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6553672000</v>
      </c>
      <c r="E74" s="25">
        <f>SUMIFS('Daftar Koreksi'!$H$5:$H$92,'Daftar Koreksi'!$D$5:$D$92,'1100'!A70,'Daftar Koreksi'!$G$5:$G$92,"Tanah",'Daftar Koreksi'!$H$5:$H$92,"&gt;0")</f>
        <v>0</v>
      </c>
      <c r="F74" s="25">
        <f>SUMIFS('Daftar Koreksi'!$H$5:$H$92,'Daftar Koreksi'!$D$5:$D$92,'1100'!A70,'Daftar Koreksi'!$G$5:$G$92,"Tanah",'Daftar Koreksi'!$H$5:$H$92,"&lt;0")-SUMIFS('Daftar Koreksi'!$H$5:$H$92,'Daftar Koreksi'!$D$5:$D$92,'1100'!A70,'Daftar Koreksi'!$G$5:$G$92,"Tanah",'Daftar Koreksi'!$H$5:$H$92,"&lt;0")-SUMIFS('Daftar Koreksi'!$H$5:$H$92,'Daftar Koreksi'!$D$5:$D$92,'1100'!A70,'Daftar Koreksi'!$G$5:$G$92,"Tanah",'Daftar Koreksi'!$H$5:$H$92,"&lt;0")</f>
        <v>0</v>
      </c>
      <c r="G74" s="17">
        <f t="shared" ref="G74:G90" si="3">D74+E74-F74</f>
        <v>6553672000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2099618323</v>
      </c>
      <c r="E75" s="25">
        <f>SUMIFS('Daftar Koreksi'!$H$5:$H$92,'Daftar Koreksi'!$D$5:$D$92,'1100'!A70,'Daftar Koreksi'!$G$5:$G$92,"Peralatan dan mesin",'Daftar Koreksi'!$H$5:$H$92,"&gt;0")</f>
        <v>0</v>
      </c>
      <c r="F75" s="25">
        <f>SUMIFS('Daftar Koreksi'!$H$5:$H$92,'Daftar Koreksi'!$D$5:$D$92,'1100'!A70,'Daftar Koreksi'!$G$5:$G$92,"Peralatan dan mesin",'Daftar Koreksi'!$H$5:$H$92,"&lt;0")-SUMIFS('Daftar Koreksi'!$H$5:$H$92,'Daftar Koreksi'!$D$5:$D$92,'1100'!A70,'Daftar Koreksi'!$G$5:$G$92,"Peralatan dan mesin",'Daftar Koreksi'!$H$5:$H$92,"&lt;0")-SUMIFS('Daftar Koreksi'!$H$5:$H$92,'Daftar Koreksi'!$D$5:$D$92,'1100'!A70,'Daftar Koreksi'!$G$5:$G$92,"Peralatan dan mesin",'Daftar Koreksi'!$H$5:$H$92,"&lt;0")</f>
        <v>0</v>
      </c>
      <c r="G75" s="17">
        <f t="shared" si="3"/>
        <v>2099618323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628848130</v>
      </c>
      <c r="E76" s="25">
        <f>SUMIFS('Daftar Koreksi'!$H$5:$H$92,'Daftar Koreksi'!$D$5:$D$92,'1100'!A70,'Daftar Koreksi'!$G$5:$G$92,"Gedung dan Bangunan",'Daftar Koreksi'!$H$5:$H$92,"&gt;0")</f>
        <v>0</v>
      </c>
      <c r="F76" s="25">
        <f>SUMIFS('Daftar Koreksi'!$H$5:$H$92,'Daftar Koreksi'!$D$5:$D$92,'1100'!A70,'Daftar Koreksi'!$G$5:$G$92,"Gedung dan Bangunan",'Daftar Koreksi'!$H$5:$H$92,"&lt;0")-SUMIFS('Daftar Koreksi'!$H$5:$H$92,'Daftar Koreksi'!$D$5:$D$92,'1100'!A70,'Daftar Koreksi'!$G$5:$G$92,"Gedung dan Bangunan",'Daftar Koreksi'!$H$5:$H$92,"&lt;0")-SUMIFS('Daftar Koreksi'!$H$5:$H$92,'Daftar Koreksi'!$D$5:$D$92,'1100'!A70,'Daftar Koreksi'!$G$5:$G$92,"Gedung dan Bangunan",'Daftar Koreksi'!$H$5:$H$92,"&lt;0")</f>
        <v>0</v>
      </c>
      <c r="G76" s="17">
        <f t="shared" si="3"/>
        <v>628848130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179896000</v>
      </c>
      <c r="E77" s="25">
        <f>SUMIFS('Daftar Koreksi'!$H$5:$H$92,'Daftar Koreksi'!$D$5:$D$92,'1100'!A70,'Daftar Koreksi'!$G$5:$G$92,"Jalan Irigasi Jaringan",'Daftar Koreksi'!$H$5:$H$92,"&gt;0")</f>
        <v>0</v>
      </c>
      <c r="F77" s="25">
        <f>SUMIFS('Daftar Koreksi'!$H$5:$H$92,'Daftar Koreksi'!$D$5:$D$92,'1100'!A70,'Daftar Koreksi'!$G$5:$G$92,"Jalan Irigasi Jaringan",'Daftar Koreksi'!$H$5:$H$92,"&lt;0")-SUMIFS('Daftar Koreksi'!$H$5:$H$92,'Daftar Koreksi'!$D$5:$D$92,'1100'!A70,'Daftar Koreksi'!$G$5:$G$92,"Jalan Irigasi Jaringan",'Daftar Koreksi'!$H$5:$H$92,"&lt;0")-SUMIFS('Daftar Koreksi'!$H$5:$H$92,'Daftar Koreksi'!$D$5:$D$92,'1100'!A70,'Daftar Koreksi'!$G$5:$G$92,"Jalan Irigasi Jaringan",'Daftar Koreksi'!$H$5:$H$92,"&lt;0")</f>
        <v>0</v>
      </c>
      <c r="G77" s="17">
        <f t="shared" si="3"/>
        <v>179896000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4628440</v>
      </c>
      <c r="E78" s="25">
        <f>SUMIFS('Daftar Koreksi'!$H$5:$H$92,'Daftar Koreksi'!$D$5:$D$92,'1100'!A70,'Daftar Koreksi'!$G$5:$G$92,"Aset Tetap Lainnya",'Daftar Koreksi'!$H$5:$H$92,"&gt;0")</f>
        <v>0</v>
      </c>
      <c r="F78" s="25">
        <f>SUMIFS('Daftar Koreksi'!$H$5:$H$92,'Daftar Koreksi'!$D$5:$D$92,'1100'!A70,'Daftar Koreksi'!$G$5:$G$92,"Aset Tetap Lainnya",'Daftar Koreksi'!$H$5:$H$92,"&lt;0")-SUMIFS('Daftar Koreksi'!$H$5:$H$92,'Daftar Koreksi'!$D$5:$D$92,'1100'!A70,'Daftar Koreksi'!$G$5:$G$92,"Aset Tetap Lainnya",'Daftar Koreksi'!$H$5:$H$92,"&lt;0")-SUMIFS('Daftar Koreksi'!$H$5:$H$92,'Daftar Koreksi'!$D$5:$D$92,'1100'!A70,'Daftar Koreksi'!$G$5:$G$92,"Aset Tetap Lainnya",'Daftar Koreksi'!$H$5:$H$92,"&lt;0")</f>
        <v>0</v>
      </c>
      <c r="G78" s="17">
        <f t="shared" si="3"/>
        <v>4628440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Koreksi'!$D$5:$D$92,'1100'!A70,'Daftar Koreksi'!$G$5:$G$92,"Kontruksi Dalam Pengerjaan",'Daftar Koreksi'!$H$5:$H$92,"&gt;0")</f>
        <v>0</v>
      </c>
      <c r="F79" s="25">
        <f>SUMIFS('Daftar Koreksi'!$H$5:$H$92,'Daftar Koreksi'!$D$5:$D$92,'1100'!A70,'Daftar Koreksi'!$G$5:$G$92,"Kontruksi Dalam Pengerjaan",'Daftar Koreksi'!$H$5:$H$92,"&lt;0")-SUMIFS('Daftar Koreksi'!$H$5:$H$92,'Daftar Koreksi'!$D$5:$D$92,'1100'!A70,'Daftar Koreksi'!$G$5:$G$92,"Kontruksi Dalam Pengerjaan",'Daftar Koreksi'!$H$5:$H$92,"&lt;0")-SUMIFS('Daftar Koreksi'!$H$5:$H$92,'Daftar Koreksi'!$D$5:$D$92,'1100'!A70,'Daftar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34720000</v>
      </c>
      <c r="E80" s="25">
        <f>SUMIFS('Daftar Koreksi'!$H$5:$H$92,'Daftar Koreksi'!$D$5:$D$92,'1100'!A70,'Daftar Koreksi'!$G$5:$G$92,"Aset Tak Berwujud",'Daftar Koreksi'!$H$5:$H$92,"&gt;0")</f>
        <v>0</v>
      </c>
      <c r="F80" s="25">
        <f>SUMIFS('Daftar Koreksi'!$H$5:$H$92,'Daftar Koreksi'!$D$5:$D$92,'1100'!A70,'Daftar Koreksi'!$G$5:$G$92,"Aset Tak Berwujud",'Daftar Koreksi'!$H$5:$H$92,"&lt;0")-SUMIFS('Daftar Koreksi'!$H$5:$H$92,'Daftar Koreksi'!$D$5:$D$92,'1100'!A70,'Daftar Koreksi'!$G$5:$G$92,"Aset Tak Berwujud",'Daftar Koreksi'!$H$5:$H$92,"&lt;0")-SUMIFS('Daftar Koreksi'!$H$5:$H$92,'Daftar Koreksi'!$D$5:$D$92,'1100'!A70,'Daftar Koreksi'!$G$5:$G$92,"Aset Tak Berwujud",'Daftar Koreksi'!$H$5:$H$92,"&lt;0")</f>
        <v>0</v>
      </c>
      <c r="G80" s="17">
        <f t="shared" si="3"/>
        <v>34720000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Koreksi'!$D$5:$D$92,'1100'!A70,'Daftar Koreksi'!$G$5:$G$92,"Aset Henti Guna",'Daftar Koreksi'!$H$5:$H$92,"&gt;0")</f>
        <v>0</v>
      </c>
      <c r="F81" s="25">
        <f>SUMIFS('Daftar Koreksi'!$H$5:$H$92,'Daftar Koreksi'!$D$5:$D$92,'1100'!A70,'Daftar Koreksi'!$G$5:$G$92,"Aset Henti Guna",'Daftar Koreksi'!$H$5:$H$92,"&lt;0")-SUMIFS('Daftar Koreksi'!$H$5:$H$92,'Daftar Koreksi'!$D$5:$D$92,'1100'!A70,'Daftar Koreksi'!$G$5:$G$92,"Aset Henti Guna",'Daftar Koreksi'!$H$5:$H$92,"&lt;0")-SUMIFS('Daftar Koreksi'!$H$5:$H$92,'Daftar Koreksi'!$D$5:$D$92,'1100'!A70,'Daftar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9501597893</v>
      </c>
      <c r="E82" s="19">
        <f>SUM(E73:E81)</f>
        <v>0</v>
      </c>
      <c r="F82" s="19">
        <f>SUM(F73:F81)</f>
        <v>0</v>
      </c>
      <c r="G82" s="19">
        <f t="shared" si="3"/>
        <v>9501597893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-1993035032</v>
      </c>
      <c r="E83" s="25">
        <f>SUMIFS('Daftar Koreksi'!$I$5:$I$92,'Daftar Koreksi'!$D$5:$D$92,'1100'!A70,'Daftar Koreksi'!$G$5:$G$92,"Peralatan dan mesin",'Daftar Koreksi'!$I$5:$I$92,"&gt;0")</f>
        <v>0</v>
      </c>
      <c r="F83" s="25">
        <f>SUMIFS('Daftar Koreksi'!$I$5:$I$92,'Daftar Koreksi'!$D$5:$D$92,'1100'!A70,'Daftar Koreksi'!$G$5:$G$92,"Peralatan dan mesin",'Daftar Koreksi'!$I$5:$I$92,"&lt;0")-SUMIFS('Daftar Koreksi'!$I$5:$I$92,'Daftar Koreksi'!$D$5:$D$92,'1100'!A70,'Daftar Koreksi'!$G$5:$G$92,"Peralatan dan mesin",'Daftar Koreksi'!$I$5:$I$92,"&lt;0")-SUMIFS('Daftar Koreksi'!$I$5:$I$92,'Daftar Koreksi'!$D$5:$D$92,'1100'!A70,'Daftar Koreksi'!$G$5:$G$92,"Peralatan dan mesin",'Daftar Koreksi'!$I$5:$I$92,"&lt;0")</f>
        <v>0</v>
      </c>
      <c r="G83" s="17">
        <f t="shared" si="3"/>
        <v>-1993035032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-489919155</v>
      </c>
      <c r="E84" s="25">
        <f>SUMIFS('Daftar Koreksi'!$I$5:$I$92,'Daftar Koreksi'!$D$5:$D$92,'1100'!A70,'Daftar Koreksi'!$G$5:$G$92,"Gedung dan Bangunan",'Daftar Koreksi'!$I$5:$I$92,"&gt;0")</f>
        <v>0</v>
      </c>
      <c r="F84" s="25">
        <f>SUMIFS('Daftar Koreksi'!$I$5:$I$92,'Daftar Koreksi'!$D$5:$D$92,'1100'!A70,'Daftar Koreksi'!$G$5:$G$92,"Gedung dan Bangunan",'Daftar Koreksi'!$I$5:$I$92,"&lt;0")-SUMIFS('Daftar Koreksi'!$I$5:$I$92,'Daftar Koreksi'!$D$5:$D$92,'1100'!A70,'Daftar Koreksi'!$G$5:$G$92,"Gedung dan Bangunan",'Daftar Koreksi'!$I$5:$I$92,"&lt;0")-SUMIFS('Daftar Koreksi'!$I$5:$I$92,'Daftar Koreksi'!$D$5:$D$92,'1100'!A70,'Daftar Koreksi'!$G$5:$G$92,"Gedung dan Bangunan",'Daftar Koreksi'!$I$5:$I$92,"&lt;0")</f>
        <v>0</v>
      </c>
      <c r="G84" s="17">
        <f t="shared" si="3"/>
        <v>-489919155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-6748700</v>
      </c>
      <c r="E85" s="25">
        <f>SUMIFS('Daftar Koreksi'!$I$5:$I$92,'Daftar Koreksi'!$D$5:$D$92,'1100'!A70,'Daftar Koreksi'!$G$5:$G$92,"Jalan Irigasi Jaringan",'Daftar Koreksi'!$I$5:$I$92,"&gt;0")</f>
        <v>0</v>
      </c>
      <c r="F85" s="25">
        <f>SUMIFS('Daftar Koreksi'!$I$5:$I$92,'Daftar Koreksi'!$D$5:$D$92,'1100'!A70,'Daftar Koreksi'!$G$5:$G$92,"Jalan Irigasi Jaringan",'Daftar Koreksi'!$I$5:$I$92,"&lt;0")-SUMIFS('Daftar Koreksi'!$I$5:$I$92,'Daftar Koreksi'!$D$5:$D$92,'1100'!A70,'Daftar Koreksi'!$G$5:$G$92,"Jalan Irigasi Jaringan",'Daftar Koreksi'!$I$5:$I$92,"&lt;0")-SUMIFS('Daftar Koreksi'!$I$5:$I$92,'Daftar Koreksi'!$D$5:$D$92,'1100'!A70,'Daftar Koreksi'!$G$5:$G$92,"Jalan Irigasi Jaringan",'Daftar Koreksi'!$I$5:$I$92,"&lt;0")</f>
        <v>0</v>
      </c>
      <c r="G85" s="17">
        <f t="shared" si="3"/>
        <v>-6748700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Koreksi'!$D$5:$D$92,'1100'!A70,'Daftar Koreksi'!$G$5:$G$92,"Aset Tetap Lainnya",'Daftar Koreksi'!$I$5:$I$92,"&gt;0")</f>
        <v>0</v>
      </c>
      <c r="F86" s="25">
        <f>SUMIFS('Daftar Koreksi'!$I$5:$I$92,'Daftar Koreksi'!$D$5:$D$92,'1100'!A70,'Daftar Koreksi'!$G$5:$G$92,"Aset Tetap Lainnya",'Daftar Koreksi'!$I$5:$I$92,"&lt;0")-SUMIFS('Daftar Koreksi'!$I$5:$I$92,'Daftar Koreksi'!$D$5:$D$92,'1100'!A70,'Daftar Koreksi'!$G$5:$G$92,"Aset Tetap Lainnya",'Daftar Koreksi'!$I$5:$I$92,"&lt;0")-SUMIFS('Daftar Koreksi'!$I$5:$I$92,'Daftar Koreksi'!$D$5:$D$92,'1100'!A70,'Daftar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Koreksi'!$D$5:$D$92,'1100'!A70,'Daftar Koreksi'!$G$5:$G$92,"Aset Henti Guna",'Daftar Koreksi'!$I$5:$I$92,"&gt;0")</f>
        <v>0</v>
      </c>
      <c r="F87" s="25">
        <f>SUMIFS('Daftar Koreksi'!$I$5:$I$92,'Daftar Koreksi'!$D$5:$D$92,'1100'!A70,'Daftar Koreksi'!$G$5:$G$92,"Aset Henti Guna",'Daftar Koreksi'!$I$5:$I$92,"&lt;0")-SUMIFS('Daftar Koreksi'!$I$5:$I$92,'Daftar Koreksi'!$D$5:$D$92,'1100'!A70,'Daftar Koreksi'!$G$5:$G$92,"Aset Henti Guna",'Daftar Koreksi'!$I$5:$I$92,"&lt;0")-SUMIFS('Daftar Koreksi'!$I$5:$I$92,'Daftar Koreksi'!$D$5:$D$92,'1100'!A70,'Daftar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-2489702887</v>
      </c>
      <c r="E88" s="19">
        <f>SUM(E83:E87)</f>
        <v>0</v>
      </c>
      <c r="F88" s="19">
        <f>SUM(F83:F87)</f>
        <v>0</v>
      </c>
      <c r="G88" s="19">
        <f t="shared" si="3"/>
        <v>-2489702887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7011895006</v>
      </c>
      <c r="E89" s="19">
        <f>E88+E82</f>
        <v>0</v>
      </c>
      <c r="F89" s="19">
        <f>F88+F82</f>
        <v>0</v>
      </c>
      <c r="G89" s="19">
        <f t="shared" si="3"/>
        <v>7011895006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005011100098970000KD</v>
      </c>
      <c r="B92" s="11" t="str">
        <f>P5</f>
        <v>PN. Lubuk Lingau</v>
      </c>
      <c r="C92" s="12" t="str">
        <f>A92&amp;" "&amp;B92</f>
        <v>005011100098970000KD PN. Lubuk Lingau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Koreksi'!$D$5:$D$92,'1100'!A92,'Daftar Koreksi'!$G$5:$G$92,"Persediaan",'Daftar Koreksi'!$H$5:$H$92,"&gt;0")</f>
        <v>0</v>
      </c>
      <c r="F95" s="25">
        <f>SUMIFS('Daftar Koreksi'!$H$5:$H$92,'Daftar Koreksi'!$D$5:$D$92,'1100'!A92,'Daftar Koreksi'!$G$5:$G$92,"Persediaan",'Daftar Koreksi'!$H$5:$H$92,"&lt;0")-SUMIFS('Daftar Koreksi'!$H$5:$H$92,'Daftar Koreksi'!$D$5:$D$92,'1100'!A92,'Daftar Koreksi'!$G$5:$G$92,"Persediaan",'Daftar Koreksi'!$H$5:$H$92,"&lt;0")-SUMIFS('Daftar Koreksi'!$H$5:$H$92,'Daftar Koreksi'!$D$5:$D$92,'1100'!A92,'Daftar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TP Koreksi Hibah No. 3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1164639000</v>
      </c>
      <c r="E96" s="25">
        <f>SUMIFS('Daftar Koreksi'!$H$5:$H$92,'Daftar Koreksi'!$D$5:$D$92,'1100'!A92,'Daftar Koreksi'!$G$5:$G$92,"Tanah",'Daftar Koreksi'!$H$5:$H$92,"&gt;0")</f>
        <v>0</v>
      </c>
      <c r="F96" s="25">
        <f>SUMIFS('Daftar Koreksi'!$H$5:$H$92,'Daftar Koreksi'!$D$5:$D$92,'1100'!A92,'Daftar Koreksi'!$G$5:$G$92,"Tanah",'Daftar Koreksi'!$H$5:$H$92,"&lt;0")-SUMIFS('Daftar Koreksi'!$H$5:$H$92,'Daftar Koreksi'!$D$5:$D$92,'1100'!A92,'Daftar Koreksi'!$G$5:$G$92,"Tanah",'Daftar Koreksi'!$H$5:$H$92,"&lt;0")-SUMIFS('Daftar Koreksi'!$H$5:$H$92,'Daftar Koreksi'!$D$5:$D$92,'1100'!A92,'Daftar Koreksi'!$G$5:$G$92,"Tanah",'Daftar Koreksi'!$H$5:$H$92,"&lt;0")</f>
        <v>0</v>
      </c>
      <c r="G96" s="17">
        <f t="shared" ref="G96:G112" si="4">D96+E96-F96</f>
        <v>1164639000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1106629854</v>
      </c>
      <c r="E97" s="25">
        <f>SUMIFS('Daftar Koreksi'!$H$5:$H$92,'Daftar Koreksi'!$D$5:$D$92,'1100'!A92,'Daftar Koreksi'!$G$5:$G$92,"Peralatan dan mesin",'Daftar Koreksi'!$H$5:$H$92,"&gt;0")</f>
        <v>126000000</v>
      </c>
      <c r="F97" s="25">
        <f>SUMIFS('Daftar Koreksi'!$H$5:$H$92,'Daftar Koreksi'!$D$5:$D$92,'1100'!A92,'Daftar Koreksi'!$G$5:$G$92,"Peralatan dan mesin",'Daftar Koreksi'!$H$5:$H$92,"&lt;0")-SUMIFS('Daftar Koreksi'!$H$5:$H$92,'Daftar Koreksi'!$D$5:$D$92,'1100'!A92,'Daftar Koreksi'!$G$5:$G$92,"Peralatan dan mesin",'Daftar Koreksi'!$H$5:$H$92,"&lt;0")-SUMIFS('Daftar Koreksi'!$H$5:$H$92,'Daftar Koreksi'!$D$5:$D$92,'1100'!A92,'Daftar Koreksi'!$G$5:$G$92,"Peralatan dan mesin",'Daftar Koreksi'!$H$5:$H$92,"&lt;0")</f>
        <v>0</v>
      </c>
      <c r="G97" s="17">
        <f t="shared" si="4"/>
        <v>1232629854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2267452450</v>
      </c>
      <c r="E98" s="25">
        <f>SUMIFS('Daftar Koreksi'!$H$5:$H$92,'Daftar Koreksi'!$D$5:$D$92,'1100'!A92,'Daftar Koreksi'!$G$5:$G$92,"Gedung dan Bangunan",'Daftar Koreksi'!$H$5:$H$92,"&gt;0")</f>
        <v>0</v>
      </c>
      <c r="F98" s="25">
        <f>SUMIFS('Daftar Koreksi'!$H$5:$H$92,'Daftar Koreksi'!$D$5:$D$92,'1100'!A92,'Daftar Koreksi'!$G$5:$G$92,"Gedung dan Bangunan",'Daftar Koreksi'!$H$5:$H$92,"&lt;0")-SUMIFS('Daftar Koreksi'!$H$5:$H$92,'Daftar Koreksi'!$D$5:$D$92,'1100'!A92,'Daftar Koreksi'!$G$5:$G$92,"Gedung dan Bangunan",'Daftar Koreksi'!$H$5:$H$92,"&lt;0")-SUMIFS('Daftar Koreksi'!$H$5:$H$92,'Daftar Koreksi'!$D$5:$D$92,'1100'!A92,'Daftar Koreksi'!$G$5:$G$92,"Gedung dan Bangunan",'Daftar Koreksi'!$H$5:$H$92,"&lt;0")</f>
        <v>0</v>
      </c>
      <c r="G98" s="17">
        <f t="shared" si="4"/>
        <v>2267452450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Koreksi'!$D$5:$D$92,'1100'!A92,'Daftar Koreksi'!$G$5:$G$92,"Jalan Irigasi Jaringan",'Daftar Koreksi'!$H$5:$H$92,"&gt;0")</f>
        <v>0</v>
      </c>
      <c r="F99" s="25">
        <f>SUMIFS('Daftar Koreksi'!$H$5:$H$92,'Daftar Koreksi'!$D$5:$D$92,'1100'!A92,'Daftar Koreksi'!$G$5:$G$92,"Jalan Irigasi Jaringan",'Daftar Koreksi'!$H$5:$H$92,"&lt;0")-SUMIFS('Daftar Koreksi'!$H$5:$H$92,'Daftar Koreksi'!$D$5:$D$92,'1100'!A92,'Daftar Koreksi'!$G$5:$G$92,"Jalan Irigasi Jaringan",'Daftar Koreksi'!$H$5:$H$92,"&lt;0")-SUMIFS('Daftar Koreksi'!$H$5:$H$92,'Daftar Koreksi'!$D$5:$D$92,'1100'!A92,'Daftar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1951181</v>
      </c>
      <c r="E100" s="25">
        <f>SUMIFS('Daftar Koreksi'!$H$5:$H$92,'Daftar Koreksi'!$D$5:$D$92,'1100'!A92,'Daftar Koreksi'!$G$5:$G$92,"Aset Tetap Lainnya",'Daftar Koreksi'!$H$5:$H$92,"&gt;0")</f>
        <v>0</v>
      </c>
      <c r="F100" s="25">
        <f>SUMIFS('Daftar Koreksi'!$H$5:$H$92,'Daftar Koreksi'!$D$5:$D$92,'1100'!A92,'Daftar Koreksi'!$G$5:$G$92,"Aset Tetap Lainnya",'Daftar Koreksi'!$H$5:$H$92,"&lt;0")-SUMIFS('Daftar Koreksi'!$H$5:$H$92,'Daftar Koreksi'!$D$5:$D$92,'1100'!A92,'Daftar Koreksi'!$G$5:$G$92,"Aset Tetap Lainnya",'Daftar Koreksi'!$H$5:$H$92,"&lt;0")-SUMIFS('Daftar Koreksi'!$H$5:$H$92,'Daftar Koreksi'!$D$5:$D$92,'1100'!A92,'Daftar Koreksi'!$G$5:$G$92,"Aset Tetap Lainnya",'Daftar Koreksi'!$H$5:$H$92,"&lt;0")</f>
        <v>0</v>
      </c>
      <c r="G100" s="17">
        <f t="shared" si="4"/>
        <v>1951181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Koreksi'!$D$5:$D$92,'1100'!A92,'Daftar Koreksi'!$G$5:$G$92,"Kontruksi Dalam Pengerjaan",'Daftar Koreksi'!$H$5:$H$92,"&gt;0")</f>
        <v>0</v>
      </c>
      <c r="F101" s="25">
        <f>SUMIFS('Daftar Koreksi'!$H$5:$H$92,'Daftar Koreksi'!$D$5:$D$92,'1100'!A92,'Daftar Koreksi'!$G$5:$G$92,"Kontruksi Dalam Pengerjaan",'Daftar Koreksi'!$H$5:$H$92,"&lt;0")-SUMIFS('Daftar Koreksi'!$H$5:$H$92,'Daftar Koreksi'!$D$5:$D$92,'1100'!A92,'Daftar Koreksi'!$G$5:$G$92,"Kontruksi Dalam Pengerjaan",'Daftar Koreksi'!$H$5:$H$92,"&lt;0")-SUMIFS('Daftar Koreksi'!$H$5:$H$92,'Daftar Koreksi'!$D$5:$D$92,'1100'!A92,'Daftar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Koreksi'!$D$5:$D$92,'1100'!A92,'Daftar Koreksi'!$G$5:$G$92,"Aset Tak Berwujud",'Daftar Koreksi'!$H$5:$H$92,"&gt;0")</f>
        <v>0</v>
      </c>
      <c r="F102" s="25">
        <f>SUMIFS('Daftar Koreksi'!$H$5:$H$92,'Daftar Koreksi'!$D$5:$D$92,'1100'!A92,'Daftar Koreksi'!$G$5:$G$92,"Aset Tak Berwujud",'Daftar Koreksi'!$H$5:$H$92,"&lt;0")-SUMIFS('Daftar Koreksi'!$H$5:$H$92,'Daftar Koreksi'!$D$5:$D$92,'1100'!A92,'Daftar Koreksi'!$G$5:$G$92,"Aset Tak Berwujud",'Daftar Koreksi'!$H$5:$H$92,"&lt;0")-SUMIFS('Daftar Koreksi'!$H$5:$H$92,'Daftar Koreksi'!$D$5:$D$92,'1100'!A92,'Daftar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Koreksi'!$D$5:$D$92,'1100'!A92,'Daftar Koreksi'!$G$5:$G$92,"Aset Henti Guna",'Daftar Koreksi'!$H$5:$H$92,"&gt;0")</f>
        <v>0</v>
      </c>
      <c r="F103" s="25">
        <f>SUMIFS('Daftar Koreksi'!$H$5:$H$92,'Daftar Koreksi'!$D$5:$D$92,'1100'!A92,'Daftar Koreksi'!$G$5:$G$92,"Aset Henti Guna",'Daftar Koreksi'!$H$5:$H$92,"&lt;0")-SUMIFS('Daftar Koreksi'!$H$5:$H$92,'Daftar Koreksi'!$D$5:$D$92,'1100'!A92,'Daftar Koreksi'!$G$5:$G$92,"Aset Henti Guna",'Daftar Koreksi'!$H$5:$H$92,"&lt;0")-SUMIFS('Daftar Koreksi'!$H$5:$H$92,'Daftar Koreksi'!$D$5:$D$92,'1100'!A92,'Daftar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4540672485</v>
      </c>
      <c r="E104" s="19">
        <f>SUM(E95:E103)</f>
        <v>126000000</v>
      </c>
      <c r="F104" s="19">
        <f>SUM(F95:F103)</f>
        <v>0</v>
      </c>
      <c r="G104" s="19">
        <f t="shared" si="4"/>
        <v>4666672485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-938958084</v>
      </c>
      <c r="E105" s="25">
        <f>SUMIFS('Daftar Koreksi'!$I$5:$I$92,'Daftar Koreksi'!$D$5:$D$92,'1100'!A92,'Daftar Koreksi'!$G$5:$G$92,"Peralatan dan mesin",'Daftar Koreksi'!$I$5:$I$92,"&gt;0")</f>
        <v>0</v>
      </c>
      <c r="F105" s="25">
        <f>SUMIFS('Daftar Koreksi'!$I$5:$I$92,'Daftar Koreksi'!$D$5:$D$92,'1100'!A92,'Daftar Koreksi'!$G$5:$G$92,"Peralatan dan mesin",'Daftar Koreksi'!$I$5:$I$92,"&lt;0")-SUMIFS('Daftar Koreksi'!$I$5:$I$92,'Daftar Koreksi'!$D$5:$D$92,'1100'!A92,'Daftar Koreksi'!$G$5:$G$92,"Peralatan dan mesin",'Daftar Koreksi'!$I$5:$I$92,"&lt;0")-SUMIFS('Daftar Koreksi'!$I$5:$I$92,'Daftar Koreksi'!$D$5:$D$92,'1100'!A92,'Daftar Koreksi'!$G$5:$G$92,"Peralatan dan mesin",'Daftar Koreksi'!$I$5:$I$92,"&lt;0")</f>
        <v>9000000</v>
      </c>
      <c r="G105" s="17">
        <f t="shared" si="4"/>
        <v>-947958084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-1589874204</v>
      </c>
      <c r="E106" s="25">
        <f>SUMIFS('Daftar Koreksi'!$I$5:$I$92,'Daftar Koreksi'!$D$5:$D$92,'1100'!A92,'Daftar Koreksi'!$G$5:$G$92,"Gedung dan Bangunan",'Daftar Koreksi'!$I$5:$I$92,"&gt;0")</f>
        <v>0</v>
      </c>
      <c r="F106" s="25">
        <f>SUMIFS('Daftar Koreksi'!$I$5:$I$92,'Daftar Koreksi'!$D$5:$D$92,'1100'!A92,'Daftar Koreksi'!$G$5:$G$92,"Gedung dan Bangunan",'Daftar Koreksi'!$I$5:$I$92,"&lt;0")-SUMIFS('Daftar Koreksi'!$I$5:$I$92,'Daftar Koreksi'!$D$5:$D$92,'1100'!A92,'Daftar Koreksi'!$G$5:$G$92,"Gedung dan Bangunan",'Daftar Koreksi'!$I$5:$I$92,"&lt;0")-SUMIFS('Daftar Koreksi'!$I$5:$I$92,'Daftar Koreksi'!$D$5:$D$92,'1100'!A92,'Daftar Koreksi'!$G$5:$G$92,"Gedung dan Bangunan",'Daftar Koreksi'!$I$5:$I$92,"&lt;0")</f>
        <v>0</v>
      </c>
      <c r="G106" s="17">
        <f t="shared" si="4"/>
        <v>-1589874204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Koreksi'!$D$5:$D$92,'1100'!A92,'Daftar Koreksi'!$G$5:$G$92,"Jalan Irigasi Jaringan",'Daftar Koreksi'!$I$5:$I$92,"&gt;0")</f>
        <v>0</v>
      </c>
      <c r="F107" s="25">
        <f>SUMIFS('Daftar Koreksi'!$I$5:$I$92,'Daftar Koreksi'!$D$5:$D$92,'1100'!A92,'Daftar Koreksi'!$G$5:$G$92,"Jalan Irigasi Jaringan",'Daftar Koreksi'!$I$5:$I$92,"&lt;0")-SUMIFS('Daftar Koreksi'!$I$5:$I$92,'Daftar Koreksi'!$D$5:$D$92,'1100'!A92,'Daftar Koreksi'!$G$5:$G$92,"Jalan Irigasi Jaringan",'Daftar Koreksi'!$I$5:$I$92,"&lt;0")-SUMIFS('Daftar Koreksi'!$I$5:$I$92,'Daftar Koreksi'!$D$5:$D$92,'1100'!A92,'Daftar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Koreksi'!$D$5:$D$92,'1100'!A92,'Daftar Koreksi'!$G$5:$G$92,"Aset Tetap Lainnya",'Daftar Koreksi'!$I$5:$I$92,"&gt;0")</f>
        <v>0</v>
      </c>
      <c r="F108" s="25">
        <f>SUMIFS('Daftar Koreksi'!$I$5:$I$92,'Daftar Koreksi'!$D$5:$D$92,'1100'!A92,'Daftar Koreksi'!$G$5:$G$92,"Aset Tetap Lainnya",'Daftar Koreksi'!$I$5:$I$92,"&lt;0")-SUMIFS('Daftar Koreksi'!$I$5:$I$92,'Daftar Koreksi'!$D$5:$D$92,'1100'!A92,'Daftar Koreksi'!$G$5:$G$92,"Aset Tetap Lainnya",'Daftar Koreksi'!$I$5:$I$92,"&lt;0")-SUMIFS('Daftar Koreksi'!$I$5:$I$92,'Daftar Koreksi'!$D$5:$D$92,'1100'!A92,'Daftar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Koreksi'!$D$5:$D$92,'1100'!A92,'Daftar Koreksi'!$G$5:$G$92,"Aset Henti Guna",'Daftar Koreksi'!$I$5:$I$92,"&gt;0")</f>
        <v>0</v>
      </c>
      <c r="F109" s="25">
        <f>SUMIFS('Daftar Koreksi'!$I$5:$I$92,'Daftar Koreksi'!$D$5:$D$92,'1100'!A92,'Daftar Koreksi'!$G$5:$G$92,"Aset Henti Guna",'Daftar Koreksi'!$I$5:$I$92,"&lt;0")-SUMIFS('Daftar Koreksi'!$I$5:$I$92,'Daftar Koreksi'!$D$5:$D$92,'1100'!A92,'Daftar Koreksi'!$G$5:$G$92,"Aset Henti Guna",'Daftar Koreksi'!$I$5:$I$92,"&lt;0")-SUMIFS('Daftar Koreksi'!$I$5:$I$92,'Daftar Koreksi'!$D$5:$D$92,'1100'!A92,'Daftar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-2528832288</v>
      </c>
      <c r="E110" s="19">
        <f>SUM(E105:E109)</f>
        <v>0</v>
      </c>
      <c r="F110" s="19">
        <f>SUM(F105:F109)</f>
        <v>9000000</v>
      </c>
      <c r="G110" s="19">
        <f t="shared" si="4"/>
        <v>-2537832288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2011840197</v>
      </c>
      <c r="E111" s="19">
        <f>E110+E104</f>
        <v>126000000</v>
      </c>
      <c r="F111" s="19">
        <f>F110+F104</f>
        <v>9000000</v>
      </c>
      <c r="G111" s="19">
        <f t="shared" si="4"/>
        <v>2128840197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10" ht="19.5" customHeight="1">
      <c r="A114" s="11" t="str">
        <f>O6</f>
        <v>005011100098984000KD</v>
      </c>
      <c r="B114" s="11" t="str">
        <f>P6</f>
        <v>PN. Lahat</v>
      </c>
      <c r="C114" s="12" t="str">
        <f>A114&amp;" "&amp;B114</f>
        <v>005011100098984000KD PN. Lahat</v>
      </c>
      <c r="D114" s="13"/>
      <c r="E114" s="13"/>
      <c r="F114" s="13"/>
      <c r="G114" s="13"/>
      <c r="H114" s="11"/>
    </row>
    <row r="115" spans="1:10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10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10" ht="21.95" customHeight="1">
      <c r="A117" s="14"/>
      <c r="B117" s="14"/>
      <c r="C117" s="16" t="s">
        <v>1165</v>
      </c>
      <c r="D117" s="17">
        <f>VLOOKUP(A114,'Neraca Unaudited SIMAK'!$A$2:$S$10004,3,FALSE)</f>
        <v>1441110</v>
      </c>
      <c r="E117" s="25">
        <f>SUMIFS('Daftar Koreksi'!$H$5:$H$92,'Daftar Koreksi'!$D$5:$D$92,'1100'!A114,'Daftar Koreksi'!$G$5:$G$92,"Persediaan",'Daftar Koreksi'!$H$5:$H$92,"&gt;0")</f>
        <v>0</v>
      </c>
      <c r="F117" s="25">
        <f>SUMIFS('Daftar Koreksi'!$H$5:$H$92,'Daftar Koreksi'!$D$5:$D$92,'1100'!A114,'Daftar Koreksi'!$G$5:$G$92,"Persediaan",'Daftar Koreksi'!$H$5:$H$92,"&lt;0")-SUMIFS('Daftar Koreksi'!$H$5:$H$92,'Daftar Koreksi'!$D$5:$D$92,'1100'!A114,'Daftar Koreksi'!$G$5:$G$92,"Persediaan",'Daftar Koreksi'!$H$5:$H$92,"&lt;0")-SUMIFS('Daftar Koreksi'!$H$5:$H$92,'Daftar Koreksi'!$D$5:$D$92,'1100'!A114,'Daftar Koreksi'!$G$5:$G$92,"Persediaan",'Daftar Koreksi'!$H$5:$H$92,"&lt;0")</f>
        <v>0</v>
      </c>
      <c r="G117" s="17">
        <f>D117+E117-F117</f>
        <v>1441110</v>
      </c>
      <c r="H117" s="121" t="str">
        <f>IF(ISNA(VLOOKUP(A114,'Mutasi Neraca'!$A$3:$S$914,19,FALSE)),"-",VLOOKUP(A114,'Mutasi Neraca'!$A$3:$S$914,19,FALSE))</f>
        <v>-</v>
      </c>
      <c r="I117" s="28"/>
      <c r="J117" s="28"/>
    </row>
    <row r="118" spans="1:10" ht="21.95" customHeight="1">
      <c r="A118" s="14"/>
      <c r="B118" s="14"/>
      <c r="C118" s="16" t="s">
        <v>1166</v>
      </c>
      <c r="D118" s="17">
        <f>VLOOKUP(A114,'Neraca Unaudited SIMAK'!$A$2:$S$10004,4,FALSE)</f>
        <v>1755420000</v>
      </c>
      <c r="E118" s="25">
        <f>SUMIFS('Daftar Koreksi'!$H$5:$H$92,'Daftar Koreksi'!$D$5:$D$92,'1100'!A114,'Daftar Koreksi'!$G$5:$G$92,"Tanah",'Daftar Koreksi'!$H$5:$H$92,"&gt;0")</f>
        <v>0</v>
      </c>
      <c r="F118" s="25">
        <f>SUMIFS('Daftar Koreksi'!$H$5:$H$92,'Daftar Koreksi'!$D$5:$D$92,'1100'!A114,'Daftar Koreksi'!$G$5:$G$92,"Tanah",'Daftar Koreksi'!$H$5:$H$92,"&lt;0")-SUMIFS('Daftar Koreksi'!$H$5:$H$92,'Daftar Koreksi'!$D$5:$D$92,'1100'!A114,'Daftar Koreksi'!$G$5:$G$92,"Tanah",'Daftar Koreksi'!$H$5:$H$92,"&lt;0")-SUMIFS('Daftar Koreksi'!$H$5:$H$92,'Daftar Koreksi'!$D$5:$D$92,'1100'!A114,'Daftar Koreksi'!$G$5:$G$92,"Tanah",'Daftar Koreksi'!$H$5:$H$92,"&lt;0")</f>
        <v>0</v>
      </c>
      <c r="G118" s="17">
        <f t="shared" ref="G118:G134" si="5">D118+E118-F118</f>
        <v>1755420000</v>
      </c>
      <c r="H118" s="122"/>
      <c r="I118" s="28"/>
      <c r="J118" s="28"/>
    </row>
    <row r="119" spans="1:10" ht="21.95" customHeight="1">
      <c r="A119" s="14"/>
      <c r="B119" s="14"/>
      <c r="C119" s="16" t="s">
        <v>1167</v>
      </c>
      <c r="D119" s="17">
        <f>VLOOKUP(A114,'Neraca Unaudited SIMAK'!$A$2:$S$10004,5,FALSE)</f>
        <v>2034703928</v>
      </c>
      <c r="E119" s="25">
        <f>SUMIFS('Daftar Koreksi'!$H$5:$H$92,'Daftar Koreksi'!$D$5:$D$92,'1100'!A114,'Daftar Koreksi'!$G$5:$G$92,"Peralatan dan mesin",'Daftar Koreksi'!$H$5:$H$92,"&gt;0")</f>
        <v>0</v>
      </c>
      <c r="F119" s="25">
        <f>SUMIFS('Daftar Koreksi'!$H$5:$H$92,'Daftar Koreksi'!$D$5:$D$92,'1100'!A114,'Daftar Koreksi'!$G$5:$G$92,"Peralatan dan mesin",'Daftar Koreksi'!$H$5:$H$92,"&lt;0")-SUMIFS('Daftar Koreksi'!$H$5:$H$92,'Daftar Koreksi'!$D$5:$D$92,'1100'!A114,'Daftar Koreksi'!$G$5:$G$92,"Peralatan dan mesin",'Daftar Koreksi'!$H$5:$H$92,"&lt;0")-SUMIFS('Daftar Koreksi'!$H$5:$H$92,'Daftar Koreksi'!$D$5:$D$92,'1100'!A114,'Daftar Koreksi'!$G$5:$G$92,"Peralatan dan mesin",'Daftar Koreksi'!$H$5:$H$92,"&lt;0")</f>
        <v>0</v>
      </c>
      <c r="G119" s="17">
        <f t="shared" si="5"/>
        <v>2034703928</v>
      </c>
      <c r="H119" s="122"/>
      <c r="I119" s="28"/>
      <c r="J119" s="28"/>
    </row>
    <row r="120" spans="1:10" ht="21.95" customHeight="1">
      <c r="A120" s="14"/>
      <c r="B120" s="14"/>
      <c r="C120" s="16" t="s">
        <v>1168</v>
      </c>
      <c r="D120" s="17">
        <f>VLOOKUP(A114,'Neraca Unaudited SIMAK'!$A$2:$S$10004,6,FALSE)</f>
        <v>5589825946</v>
      </c>
      <c r="E120" s="25">
        <f>SUMIFS('Daftar Koreksi'!$H$5:$H$92,'Daftar Koreksi'!$D$5:$D$92,'1100'!A114,'Daftar Koreksi'!$G$5:$G$92,"Gedung dan Bangunan",'Daftar Koreksi'!$H$5:$H$92,"&gt;0")</f>
        <v>0</v>
      </c>
      <c r="F120" s="25">
        <f>SUMIFS('Daftar Koreksi'!$H$5:$H$92,'Daftar Koreksi'!$D$5:$D$92,'1100'!A114,'Daftar Koreksi'!$G$5:$G$92,"Gedung dan Bangunan",'Daftar Koreksi'!$H$5:$H$92,"&lt;0")-SUMIFS('Daftar Koreksi'!$H$5:$H$92,'Daftar Koreksi'!$D$5:$D$92,'1100'!A114,'Daftar Koreksi'!$G$5:$G$92,"Gedung dan Bangunan",'Daftar Koreksi'!$H$5:$H$92,"&lt;0")-SUMIFS('Daftar Koreksi'!$H$5:$H$92,'Daftar Koreksi'!$D$5:$D$92,'1100'!A114,'Daftar Koreksi'!$G$5:$G$92,"Gedung dan Bangunan",'Daftar Koreksi'!$H$5:$H$92,"&lt;0")</f>
        <v>0</v>
      </c>
      <c r="G120" s="17">
        <f t="shared" si="5"/>
        <v>5589825946</v>
      </c>
      <c r="H120" s="122"/>
      <c r="I120" s="28"/>
      <c r="J120" s="28"/>
    </row>
    <row r="121" spans="1:10" ht="21.95" customHeight="1">
      <c r="A121" s="14"/>
      <c r="B121" s="14"/>
      <c r="C121" s="16" t="s">
        <v>1169</v>
      </c>
      <c r="D121" s="17">
        <f>VLOOKUP(A114,'Neraca Unaudited SIMAK'!$A$2:$S$10004,7,FALSE)</f>
        <v>100050000</v>
      </c>
      <c r="E121" s="25">
        <f>SUMIFS('Daftar Koreksi'!$H$5:$H$92,'Daftar Koreksi'!$D$5:$D$92,'1100'!A114,'Daftar Koreksi'!$G$5:$G$92,"Jalan Irigasi Jaringan",'Daftar Koreksi'!$H$5:$H$92,"&gt;0")</f>
        <v>0</v>
      </c>
      <c r="F121" s="25">
        <f>SUMIFS('Daftar Koreksi'!$H$5:$H$92,'Daftar Koreksi'!$D$5:$D$92,'1100'!A114,'Daftar Koreksi'!$G$5:$G$92,"Jalan Irigasi Jaringan",'Daftar Koreksi'!$H$5:$H$92,"&lt;0")-SUMIFS('Daftar Koreksi'!$H$5:$H$92,'Daftar Koreksi'!$D$5:$D$92,'1100'!A114,'Daftar Koreksi'!$G$5:$G$92,"Jalan Irigasi Jaringan",'Daftar Koreksi'!$H$5:$H$92,"&lt;0")-SUMIFS('Daftar Koreksi'!$H$5:$H$92,'Daftar Koreksi'!$D$5:$D$92,'1100'!A114,'Daftar Koreksi'!$G$5:$G$92,"Jalan Irigasi Jaringan",'Daftar Koreksi'!$H$5:$H$92,"&lt;0")</f>
        <v>0</v>
      </c>
      <c r="G121" s="17">
        <f t="shared" si="5"/>
        <v>100050000</v>
      </c>
      <c r="H121" s="122"/>
      <c r="I121" s="28"/>
      <c r="J121" s="28"/>
    </row>
    <row r="122" spans="1:10" ht="21.95" customHeight="1">
      <c r="A122" s="14"/>
      <c r="B122" s="14"/>
      <c r="C122" s="16" t="s">
        <v>1170</v>
      </c>
      <c r="D122" s="17">
        <f>VLOOKUP(A114,'Neraca Unaudited SIMAK'!$A$2:$S$10004,8,FALSE)</f>
        <v>118184541</v>
      </c>
      <c r="E122" s="25">
        <f>SUMIFS('Daftar Koreksi'!$H$5:$H$92,'Daftar Koreksi'!$D$5:$D$92,'1100'!A114,'Daftar Koreksi'!$G$5:$G$92,"Aset Tetap Lainnya",'Daftar Koreksi'!$H$5:$H$92,"&gt;0")</f>
        <v>0</v>
      </c>
      <c r="F122" s="25">
        <f>SUMIFS('Daftar Koreksi'!$H$5:$H$92,'Daftar Koreksi'!$D$5:$D$92,'1100'!A114,'Daftar Koreksi'!$G$5:$G$92,"Aset Tetap Lainnya",'Daftar Koreksi'!$H$5:$H$92,"&lt;0")-SUMIFS('Daftar Koreksi'!$H$5:$H$92,'Daftar Koreksi'!$D$5:$D$92,'1100'!A114,'Daftar Koreksi'!$G$5:$G$92,"Aset Tetap Lainnya",'Daftar Koreksi'!$H$5:$H$92,"&lt;0")-SUMIFS('Daftar Koreksi'!$H$5:$H$92,'Daftar Koreksi'!$D$5:$D$92,'1100'!A114,'Daftar Koreksi'!$G$5:$G$92,"Aset Tetap Lainnya",'Daftar Koreksi'!$H$5:$H$92,"&lt;0")</f>
        <v>0</v>
      </c>
      <c r="G122" s="17">
        <f t="shared" si="5"/>
        <v>118184541</v>
      </c>
      <c r="H122" s="122"/>
      <c r="I122" s="28"/>
      <c r="J122" s="28"/>
    </row>
    <row r="123" spans="1:10" ht="21.95" customHeight="1">
      <c r="A123" s="14"/>
      <c r="B123" s="14"/>
      <c r="C123" s="16" t="s">
        <v>1171</v>
      </c>
      <c r="D123" s="17">
        <f>VLOOKUP(A114,'Neraca Unaudited SIMAK'!$A$2:$S$10004,9,FALSE)</f>
        <v>5577956442</v>
      </c>
      <c r="E123" s="25">
        <f>SUMIFS('Daftar Koreksi'!$H$5:$H$92,'Daftar Koreksi'!$D$5:$D$92,'1100'!A114,'Daftar Koreksi'!$G$5:$G$92,"Kontruksi Dalam Pengerjaan",'Daftar Koreksi'!$H$5:$H$92,"&gt;0")</f>
        <v>0</v>
      </c>
      <c r="F123" s="25">
        <f>SUMIFS('Daftar Koreksi'!$H$5:$H$92,'Daftar Koreksi'!$D$5:$D$92,'1100'!A114,'Daftar Koreksi'!$G$5:$G$92,"Kontruksi Dalam Pengerjaan",'Daftar Koreksi'!$H$5:$H$92,"&lt;0")-SUMIFS('Daftar Koreksi'!$H$5:$H$92,'Daftar Koreksi'!$D$5:$D$92,'1100'!A114,'Daftar Koreksi'!$G$5:$G$92,"Kontruksi Dalam Pengerjaan",'Daftar Koreksi'!$H$5:$H$92,"&lt;0")-SUMIFS('Daftar Koreksi'!$H$5:$H$92,'Daftar Koreksi'!$D$5:$D$92,'1100'!A114,'Daftar Koreksi'!$G$5:$G$92,"Kontruksi Dalam Pengerjaan",'Daftar Koreksi'!$H$5:$H$92,"&lt;0")</f>
        <v>0</v>
      </c>
      <c r="G123" s="17">
        <f t="shared" si="5"/>
        <v>5577956442</v>
      </c>
      <c r="H123" s="122"/>
      <c r="I123" s="28"/>
      <c r="J123" s="28"/>
    </row>
    <row r="124" spans="1:10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Koreksi'!$D$5:$D$92,'1100'!A114,'Daftar Koreksi'!$G$5:$G$92,"Aset Tak Berwujud",'Daftar Koreksi'!$H$5:$H$92,"&gt;0")</f>
        <v>0</v>
      </c>
      <c r="F124" s="25">
        <f>SUMIFS('Daftar Koreksi'!$H$5:$H$92,'Daftar Koreksi'!$D$5:$D$92,'1100'!A114,'Daftar Koreksi'!$G$5:$G$92,"Aset Tak Berwujud",'Daftar Koreksi'!$H$5:$H$92,"&lt;0")-SUMIFS('Daftar Koreksi'!$H$5:$H$92,'Daftar Koreksi'!$D$5:$D$92,'1100'!A114,'Daftar Koreksi'!$G$5:$G$92,"Aset Tak Berwujud",'Daftar Koreksi'!$H$5:$H$92,"&lt;0")-SUMIFS('Daftar Koreksi'!$H$5:$H$92,'Daftar Koreksi'!$D$5:$D$92,'1100'!A114,'Daftar Koreksi'!$G$5:$G$92,"Aset Tak Berwujud",'Daftar Koreksi'!$H$5:$H$92,"&lt;0")</f>
        <v>0</v>
      </c>
      <c r="G124" s="17">
        <f t="shared" si="5"/>
        <v>0</v>
      </c>
      <c r="H124" s="122"/>
      <c r="I124" s="28"/>
      <c r="J124" s="28"/>
    </row>
    <row r="125" spans="1:10" ht="21.95" customHeight="1">
      <c r="A125" s="14"/>
      <c r="B125" s="14"/>
      <c r="C125" s="16" t="s">
        <v>1173</v>
      </c>
      <c r="D125" s="17">
        <f>VLOOKUP(A114,'Neraca Unaudited SIMAK'!$A$2:$S$10004,11,FALSE)</f>
        <v>146812327</v>
      </c>
      <c r="E125" s="25">
        <f>SUMIFS('Daftar Koreksi'!$H$5:$H$92,'Daftar Koreksi'!$D$5:$D$92,'1100'!A114,'Daftar Koreksi'!$G$5:$G$92,"Aset Henti Guna",'Daftar Koreksi'!$H$5:$H$92,"&gt;0")</f>
        <v>0</v>
      </c>
      <c r="F125" s="25">
        <f>SUMIFS('Daftar Koreksi'!$H$5:$H$92,'Daftar Koreksi'!$D$5:$D$92,'1100'!A114,'Daftar Koreksi'!$G$5:$G$92,"Aset Henti Guna",'Daftar Koreksi'!$H$5:$H$92,"&lt;0")-SUMIFS('Daftar Koreksi'!$H$5:$H$92,'Daftar Koreksi'!$D$5:$D$92,'1100'!A114,'Daftar Koreksi'!$G$5:$G$92,"Aset Henti Guna",'Daftar Koreksi'!$H$5:$H$92,"&lt;0")-SUMIFS('Daftar Koreksi'!$H$5:$H$92,'Daftar Koreksi'!$D$5:$D$92,'1100'!A114,'Daftar Koreksi'!$G$5:$G$92,"Aset Henti Guna",'Daftar Koreksi'!$H$5:$H$92,"&lt;0")</f>
        <v>0</v>
      </c>
      <c r="G125" s="17">
        <f t="shared" si="5"/>
        <v>146812327</v>
      </c>
      <c r="H125" s="122"/>
      <c r="I125" s="28"/>
      <c r="J125" s="28"/>
    </row>
    <row r="126" spans="1:10" ht="21.95" customHeight="1">
      <c r="A126" s="14"/>
      <c r="B126" s="14"/>
      <c r="C126" s="18" t="s">
        <v>2093</v>
      </c>
      <c r="D126" s="19">
        <f>VLOOKUP(A114,'Neraca Unaudited SIMAK'!$A$2:$S$10004,12,FALSE)</f>
        <v>15324394294</v>
      </c>
      <c r="E126" s="19">
        <f>SUM(E117:E125)</f>
        <v>0</v>
      </c>
      <c r="F126" s="19">
        <f>SUM(F117:F125)</f>
        <v>0</v>
      </c>
      <c r="G126" s="19">
        <f t="shared" si="5"/>
        <v>15324394294</v>
      </c>
      <c r="H126" s="122"/>
      <c r="I126" s="28"/>
      <c r="J126" s="28"/>
    </row>
    <row r="127" spans="1:10" ht="21.95" customHeight="1">
      <c r="A127" s="14"/>
      <c r="B127" s="14"/>
      <c r="C127" s="16" t="s">
        <v>2087</v>
      </c>
      <c r="D127" s="17">
        <f>VLOOKUP(A114,'Neraca Unaudited SIMAK'!$A$2:$S$10004,13,FALSE)</f>
        <v>-1586232736</v>
      </c>
      <c r="E127" s="25">
        <f>SUMIFS('Daftar Koreksi'!$I$5:$I$92,'Daftar Koreksi'!$D$5:$D$92,'1100'!A114,'Daftar Koreksi'!$G$5:$G$92,"Peralatan dan mesin",'Daftar Koreksi'!$I$5:$I$92,"&gt;0")</f>
        <v>0</v>
      </c>
      <c r="F127" s="25">
        <f>SUMIFS('Daftar Koreksi'!$I$5:$I$92,'Daftar Koreksi'!$D$5:$D$92,'1100'!A114,'Daftar Koreksi'!$G$5:$G$92,"Peralatan dan mesin",'Daftar Koreksi'!$I$5:$I$92,"&lt;0")-SUMIFS('Daftar Koreksi'!$I$5:$I$92,'Daftar Koreksi'!$D$5:$D$92,'1100'!A114,'Daftar Koreksi'!$G$5:$G$92,"Peralatan dan mesin",'Daftar Koreksi'!$I$5:$I$92,"&lt;0")-SUMIFS('Daftar Koreksi'!$I$5:$I$92,'Daftar Koreksi'!$D$5:$D$92,'1100'!A114,'Daftar Koreksi'!$G$5:$G$92,"Peralatan dan mesin",'Daftar Koreksi'!$I$5:$I$92,"&lt;0")</f>
        <v>0</v>
      </c>
      <c r="G127" s="17">
        <f t="shared" si="5"/>
        <v>-1586232736</v>
      </c>
      <c r="H127" s="122"/>
      <c r="I127" s="28"/>
      <c r="J127" s="28"/>
    </row>
    <row r="128" spans="1:10" ht="21.95" customHeight="1">
      <c r="A128" s="14"/>
      <c r="B128" s="14"/>
      <c r="C128" s="16" t="s">
        <v>2088</v>
      </c>
      <c r="D128" s="17">
        <f>VLOOKUP(A114,'Neraca Unaudited SIMAK'!$A$2:$S$10004,14,FALSE)</f>
        <v>-3828250393</v>
      </c>
      <c r="E128" s="25">
        <f>SUMIFS('Daftar Koreksi'!$I$5:$I$92,'Daftar Koreksi'!$D$5:$D$92,'1100'!A114,'Daftar Koreksi'!$G$5:$G$92,"Gedung dan Bangunan",'Daftar Koreksi'!$I$5:$I$92,"&gt;0")</f>
        <v>0</v>
      </c>
      <c r="F128" s="25">
        <f>SUMIFS('Daftar Koreksi'!$I$5:$I$92,'Daftar Koreksi'!$D$5:$D$92,'1100'!A114,'Daftar Koreksi'!$G$5:$G$92,"Gedung dan Bangunan",'Daftar Koreksi'!$I$5:$I$92,"&lt;0")-SUMIFS('Daftar Koreksi'!$I$5:$I$92,'Daftar Koreksi'!$D$5:$D$92,'1100'!A114,'Daftar Koreksi'!$G$5:$G$92,"Gedung dan Bangunan",'Daftar Koreksi'!$I$5:$I$92,"&lt;0")-SUMIFS('Daftar Koreksi'!$I$5:$I$92,'Daftar Koreksi'!$D$5:$D$92,'1100'!A114,'Daftar Koreksi'!$G$5:$G$92,"Gedung dan Bangunan",'Daftar Koreksi'!$I$5:$I$92,"&lt;0")</f>
        <v>0</v>
      </c>
      <c r="G128" s="17">
        <f t="shared" si="5"/>
        <v>-3828250393</v>
      </c>
      <c r="H128" s="122"/>
      <c r="I128" s="28"/>
      <c r="J128" s="28"/>
    </row>
    <row r="129" spans="1:10" ht="21.95" customHeight="1">
      <c r="A129" s="14"/>
      <c r="B129" s="14"/>
      <c r="C129" s="16" t="s">
        <v>2089</v>
      </c>
      <c r="D129" s="17">
        <f>VLOOKUP(A114,'Neraca Unaudited SIMAK'!$A$2:$S$10004,15,FALSE)</f>
        <v>-11599377</v>
      </c>
      <c r="E129" s="25">
        <f>SUMIFS('Daftar Koreksi'!$I$5:$I$92,'Daftar Koreksi'!$D$5:$D$92,'1100'!A114,'Daftar Koreksi'!$G$5:$G$92,"Jalan Irigasi Jaringan",'Daftar Koreksi'!$I$5:$I$92,"&gt;0")</f>
        <v>0</v>
      </c>
      <c r="F129" s="25">
        <f>SUMIFS('Daftar Koreksi'!$I$5:$I$92,'Daftar Koreksi'!$D$5:$D$92,'1100'!A114,'Daftar Koreksi'!$G$5:$G$92,"Jalan Irigasi Jaringan",'Daftar Koreksi'!$I$5:$I$92,"&lt;0")-SUMIFS('Daftar Koreksi'!$I$5:$I$92,'Daftar Koreksi'!$D$5:$D$92,'1100'!A114,'Daftar Koreksi'!$G$5:$G$92,"Jalan Irigasi Jaringan",'Daftar Koreksi'!$I$5:$I$92,"&lt;0")-SUMIFS('Daftar Koreksi'!$I$5:$I$92,'Daftar Koreksi'!$D$5:$D$92,'1100'!A114,'Daftar Koreksi'!$G$5:$G$92,"Jalan Irigasi Jaringan",'Daftar Koreksi'!$I$5:$I$92,"&lt;0")</f>
        <v>0</v>
      </c>
      <c r="G129" s="17">
        <f t="shared" si="5"/>
        <v>-11599377</v>
      </c>
      <c r="H129" s="122"/>
      <c r="I129" s="28"/>
      <c r="J129" s="28"/>
    </row>
    <row r="130" spans="1:10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Koreksi'!$D$5:$D$92,'1100'!A114,'Daftar Koreksi'!$G$5:$G$92,"Aset Tetap Lainnya",'Daftar Koreksi'!$I$5:$I$92,"&gt;0")</f>
        <v>0</v>
      </c>
      <c r="F130" s="25">
        <f>SUMIFS('Daftar Koreksi'!$I$5:$I$92,'Daftar Koreksi'!$D$5:$D$92,'1100'!A114,'Daftar Koreksi'!$G$5:$G$92,"Aset Tetap Lainnya",'Daftar Koreksi'!$I$5:$I$92,"&lt;0")-SUMIFS('Daftar Koreksi'!$I$5:$I$92,'Daftar Koreksi'!$D$5:$D$92,'1100'!A114,'Daftar Koreksi'!$G$5:$G$92,"Aset Tetap Lainnya",'Daftar Koreksi'!$I$5:$I$92,"&lt;0")-SUMIFS('Daftar Koreksi'!$I$5:$I$92,'Daftar Koreksi'!$D$5:$D$92,'1100'!A114,'Daftar Koreksi'!$G$5:$G$92,"Aset Tetap Lainnya",'Daftar Koreksi'!$I$5:$I$92,"&lt;0")</f>
        <v>0</v>
      </c>
      <c r="G130" s="17">
        <f t="shared" si="5"/>
        <v>0</v>
      </c>
      <c r="H130" s="122"/>
      <c r="I130" s="28"/>
      <c r="J130" s="28"/>
    </row>
    <row r="131" spans="1:10" ht="21.95" customHeight="1">
      <c r="A131" s="14"/>
      <c r="B131" s="14"/>
      <c r="C131" s="16" t="s">
        <v>2020</v>
      </c>
      <c r="D131" s="17">
        <f>VLOOKUP(A114,'Neraca Unaudited SIMAK'!$A$2:$S$10004,17,FALSE)</f>
        <v>-143340327</v>
      </c>
      <c r="E131" s="25">
        <f>SUMIFS('Daftar Koreksi'!$I$5:$I$92,'Daftar Koreksi'!$D$5:$D$92,'1100'!A114,'Daftar Koreksi'!$G$5:$G$92,"Aset Henti Guna",'Daftar Koreksi'!$I$5:$I$92,"&gt;0")</f>
        <v>0</v>
      </c>
      <c r="F131" s="25">
        <f>SUMIFS('Daftar Koreksi'!$I$5:$I$92,'Daftar Koreksi'!$D$5:$D$92,'1100'!A114,'Daftar Koreksi'!$G$5:$G$92,"Aset Henti Guna",'Daftar Koreksi'!$I$5:$I$92,"&lt;0")-SUMIFS('Daftar Koreksi'!$I$5:$I$92,'Daftar Koreksi'!$D$5:$D$92,'1100'!A114,'Daftar Koreksi'!$G$5:$G$92,"Aset Henti Guna",'Daftar Koreksi'!$I$5:$I$92,"&lt;0")-SUMIFS('Daftar Koreksi'!$I$5:$I$92,'Daftar Koreksi'!$D$5:$D$92,'1100'!A114,'Daftar Koreksi'!$G$5:$G$92,"Aset Henti Guna",'Daftar Koreksi'!$I$5:$I$92,"&lt;0")</f>
        <v>0</v>
      </c>
      <c r="G131" s="17">
        <f t="shared" si="5"/>
        <v>-143340327</v>
      </c>
      <c r="H131" s="122"/>
      <c r="I131" s="28"/>
      <c r="J131" s="28"/>
    </row>
    <row r="132" spans="1:10" ht="21.95" customHeight="1">
      <c r="A132" s="14"/>
      <c r="B132" s="14"/>
      <c r="C132" s="18" t="s">
        <v>2094</v>
      </c>
      <c r="D132" s="19">
        <f>SUM(D127:D131)</f>
        <v>-5569422833</v>
      </c>
      <c r="E132" s="19">
        <f>SUM(E127:E131)</f>
        <v>0</v>
      </c>
      <c r="F132" s="19">
        <f>SUM(F127:F131)</f>
        <v>0</v>
      </c>
      <c r="G132" s="19">
        <f t="shared" si="5"/>
        <v>-5569422833</v>
      </c>
      <c r="H132" s="122"/>
      <c r="I132" s="28"/>
      <c r="J132" s="28"/>
    </row>
    <row r="133" spans="1:10" ht="21.95" customHeight="1">
      <c r="A133" s="14"/>
      <c r="B133" s="14"/>
      <c r="C133" s="18" t="s">
        <v>2095</v>
      </c>
      <c r="D133" s="19">
        <f>VLOOKUP(A114,'Neraca Unaudited SIMAK'!$A$2:$S$10004,18,FALSE)</f>
        <v>9754971461</v>
      </c>
      <c r="E133" s="19">
        <f>E132+E126</f>
        <v>0</v>
      </c>
      <c r="F133" s="19">
        <f>F132+F126</f>
        <v>0</v>
      </c>
      <c r="G133" s="19">
        <f t="shared" si="5"/>
        <v>9754971461</v>
      </c>
      <c r="H133" s="122"/>
      <c r="I133" s="28"/>
      <c r="J133" s="28"/>
    </row>
    <row r="134" spans="1:10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  <c r="I134" s="28"/>
      <c r="J134" s="28"/>
    </row>
    <row r="136" spans="1:10" ht="19.5" customHeight="1">
      <c r="A136" s="11" t="str">
        <f>O7</f>
        <v>005011100098991000KD</v>
      </c>
      <c r="B136" s="11" t="str">
        <f>P7</f>
        <v>PN. Muara Enim</v>
      </c>
      <c r="C136" s="12" t="str">
        <f>A136&amp;" "&amp;B136</f>
        <v>005011100098991000KD PN. Muara Enim</v>
      </c>
      <c r="D136" s="13"/>
      <c r="E136" s="13"/>
      <c r="F136" s="13"/>
      <c r="G136" s="13"/>
      <c r="H136" s="11"/>
    </row>
    <row r="137" spans="1:10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10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10" ht="21.95" customHeight="1">
      <c r="A139" s="14"/>
      <c r="B139" s="14"/>
      <c r="C139" s="16" t="s">
        <v>1165</v>
      </c>
      <c r="D139" s="17">
        <f>VLOOKUP(A136,'Neraca Unaudited SIMAK'!$A$2:$S$10004,3,FALSE)</f>
        <v>2093000</v>
      </c>
      <c r="E139" s="25">
        <f>SUMIFS('Daftar Koreksi'!$H$5:$H$92,'Daftar Koreksi'!$D$5:$D$92,'1100'!A136,'Daftar Koreksi'!$G$5:$G$92,"Persediaan",'Daftar Koreksi'!$H$5:$H$92,"&gt;0")</f>
        <v>0</v>
      </c>
      <c r="F139" s="25">
        <f>SUMIFS('Daftar Koreksi'!$H$5:$H$92,'Daftar Koreksi'!$D$5:$D$92,'1100'!A136,'Daftar Koreksi'!$G$5:$G$92,"Persediaan",'Daftar Koreksi'!$H$5:$H$92,"&lt;0")-SUMIFS('Daftar Koreksi'!$H$5:$H$92,'Daftar Koreksi'!$D$5:$D$92,'1100'!A136,'Daftar Koreksi'!$G$5:$G$92,"Persediaan",'Daftar Koreksi'!$H$5:$H$92,"&lt;0")-SUMIFS('Daftar Koreksi'!$H$5:$H$92,'Daftar Koreksi'!$D$5:$D$92,'1100'!A136,'Daftar Koreksi'!$G$5:$G$92,"Persediaan",'Daftar Koreksi'!$H$5:$H$92,"&lt;0")</f>
        <v>0</v>
      </c>
      <c r="G139" s="17">
        <f>D139+E139-F139</f>
        <v>2093000</v>
      </c>
      <c r="H139" s="121" t="str">
        <f>IF(ISNA(VLOOKUP(A136,'Mutasi Neraca'!$A$3:$S$914,19,FALSE)),"-",VLOOKUP(A136,'Mutasi Neraca'!$A$3:$S$914,19,FALSE))</f>
        <v>-</v>
      </c>
    </row>
    <row r="140" spans="1:10" ht="21.95" customHeight="1">
      <c r="A140" s="14"/>
      <c r="B140" s="14"/>
      <c r="C140" s="16" t="s">
        <v>1166</v>
      </c>
      <c r="D140" s="17">
        <f>VLOOKUP(A136,'Neraca Unaudited SIMAK'!$A$2:$S$10004,4,FALSE)</f>
        <v>2213745000</v>
      </c>
      <c r="E140" s="25">
        <f>SUMIFS('Daftar Koreksi'!$H$5:$H$92,'Daftar Koreksi'!$D$5:$D$92,'1100'!A136,'Daftar Koreksi'!$G$5:$G$92,"Tanah",'Daftar Koreksi'!$H$5:$H$92,"&gt;0")</f>
        <v>0</v>
      </c>
      <c r="F140" s="25">
        <f>SUMIFS('Daftar Koreksi'!$H$5:$H$92,'Daftar Koreksi'!$D$5:$D$92,'1100'!A136,'Daftar Koreksi'!$G$5:$G$92,"Tanah",'Daftar Koreksi'!$H$5:$H$92,"&lt;0")-SUMIFS('Daftar Koreksi'!$H$5:$H$92,'Daftar Koreksi'!$D$5:$D$92,'1100'!A136,'Daftar Koreksi'!$G$5:$G$92,"Tanah",'Daftar Koreksi'!$H$5:$H$92,"&lt;0")-SUMIFS('Daftar Koreksi'!$H$5:$H$92,'Daftar Koreksi'!$D$5:$D$92,'1100'!A136,'Daftar Koreksi'!$G$5:$G$92,"Tanah",'Daftar Koreksi'!$H$5:$H$92,"&lt;0")</f>
        <v>0</v>
      </c>
      <c r="G140" s="17">
        <f t="shared" ref="G140:G156" si="6">D140+E140-F140</f>
        <v>2213745000</v>
      </c>
      <c r="H140" s="122"/>
    </row>
    <row r="141" spans="1:10" ht="21.95" customHeight="1">
      <c r="A141" s="14"/>
      <c r="B141" s="14"/>
      <c r="C141" s="16" t="s">
        <v>1167</v>
      </c>
      <c r="D141" s="17">
        <f>VLOOKUP(A136,'Neraca Unaudited SIMAK'!$A$2:$S$10004,5,FALSE)</f>
        <v>1965081412</v>
      </c>
      <c r="E141" s="25">
        <f>SUMIFS('Daftar Koreksi'!$H$5:$H$92,'Daftar Koreksi'!$D$5:$D$92,'1100'!A136,'Daftar Koreksi'!$G$5:$G$92,"Peralatan dan mesin",'Daftar Koreksi'!$H$5:$H$92,"&gt;0")</f>
        <v>0</v>
      </c>
      <c r="F141" s="25">
        <f>SUMIFS('Daftar Koreksi'!$H$5:$H$92,'Daftar Koreksi'!$D$5:$D$92,'1100'!A136,'Daftar Koreksi'!$G$5:$G$92,"Peralatan dan mesin",'Daftar Koreksi'!$H$5:$H$92,"&lt;0")-SUMIFS('Daftar Koreksi'!$H$5:$H$92,'Daftar Koreksi'!$D$5:$D$92,'1100'!A136,'Daftar Koreksi'!$G$5:$G$92,"Peralatan dan mesin",'Daftar Koreksi'!$H$5:$H$92,"&lt;0")-SUMIFS('Daftar Koreksi'!$H$5:$H$92,'Daftar Koreksi'!$D$5:$D$92,'1100'!A136,'Daftar Koreksi'!$G$5:$G$92,"Peralatan dan mesin",'Daftar Koreksi'!$H$5:$H$92,"&lt;0")</f>
        <v>0</v>
      </c>
      <c r="G141" s="17">
        <f t="shared" si="6"/>
        <v>1965081412</v>
      </c>
      <c r="H141" s="122"/>
    </row>
    <row r="142" spans="1:10" ht="21.95" customHeight="1">
      <c r="A142" s="14"/>
      <c r="B142" s="14"/>
      <c r="C142" s="16" t="s">
        <v>1168</v>
      </c>
      <c r="D142" s="17">
        <f>VLOOKUP(A136,'Neraca Unaudited SIMAK'!$A$2:$S$10004,6,FALSE)</f>
        <v>2472250000</v>
      </c>
      <c r="E142" s="25">
        <f>SUMIFS('Daftar Koreksi'!$H$5:$H$92,'Daftar Koreksi'!$D$5:$D$92,'1100'!A136,'Daftar Koreksi'!$G$5:$G$92,"Gedung dan Bangunan",'Daftar Koreksi'!$H$5:$H$92,"&gt;0")</f>
        <v>0</v>
      </c>
      <c r="F142" s="25">
        <f>SUMIFS('Daftar Koreksi'!$H$5:$H$92,'Daftar Koreksi'!$D$5:$D$92,'1100'!A136,'Daftar Koreksi'!$G$5:$G$92,"Gedung dan Bangunan",'Daftar Koreksi'!$H$5:$H$92,"&lt;0")-SUMIFS('Daftar Koreksi'!$H$5:$H$92,'Daftar Koreksi'!$D$5:$D$92,'1100'!A136,'Daftar Koreksi'!$G$5:$G$92,"Gedung dan Bangunan",'Daftar Koreksi'!$H$5:$H$92,"&lt;0")-SUMIFS('Daftar Koreksi'!$H$5:$H$92,'Daftar Koreksi'!$D$5:$D$92,'1100'!A136,'Daftar Koreksi'!$G$5:$G$92,"Gedung dan Bangunan",'Daftar Koreksi'!$H$5:$H$92,"&lt;0")</f>
        <v>0</v>
      </c>
      <c r="G142" s="17">
        <f t="shared" si="6"/>
        <v>2472250000</v>
      </c>
      <c r="H142" s="122"/>
    </row>
    <row r="143" spans="1:10" ht="21.95" customHeight="1">
      <c r="A143" s="14"/>
      <c r="B143" s="14"/>
      <c r="C143" s="16" t="s">
        <v>1169</v>
      </c>
      <c r="D143" s="17">
        <f>VLOOKUP(A136,'Neraca Unaudited SIMAK'!$A$2:$S$10004,7,FALSE)</f>
        <v>14500000</v>
      </c>
      <c r="E143" s="25">
        <f>SUMIFS('Daftar Koreksi'!$H$5:$H$92,'Daftar Koreksi'!$D$5:$D$92,'1100'!A136,'Daftar Koreksi'!$G$5:$G$92,"Jalan Irigasi Jaringan",'Daftar Koreksi'!$H$5:$H$92,"&gt;0")</f>
        <v>0</v>
      </c>
      <c r="F143" s="25">
        <f>SUMIFS('Daftar Koreksi'!$H$5:$H$92,'Daftar Koreksi'!$D$5:$D$92,'1100'!A136,'Daftar Koreksi'!$G$5:$G$92,"Jalan Irigasi Jaringan",'Daftar Koreksi'!$H$5:$H$92,"&lt;0")-SUMIFS('Daftar Koreksi'!$H$5:$H$92,'Daftar Koreksi'!$D$5:$D$92,'1100'!A136,'Daftar Koreksi'!$G$5:$G$92,"Jalan Irigasi Jaringan",'Daftar Koreksi'!$H$5:$H$92,"&lt;0")-SUMIFS('Daftar Koreksi'!$H$5:$H$92,'Daftar Koreksi'!$D$5:$D$92,'1100'!A136,'Daftar Koreksi'!$G$5:$G$92,"Jalan Irigasi Jaringan",'Daftar Koreksi'!$H$5:$H$92,"&lt;0")</f>
        <v>0</v>
      </c>
      <c r="G143" s="17">
        <f t="shared" si="6"/>
        <v>14500000</v>
      </c>
      <c r="H143" s="122"/>
    </row>
    <row r="144" spans="1:10" ht="21.95" customHeight="1">
      <c r="A144" s="14"/>
      <c r="B144" s="14"/>
      <c r="C144" s="16" t="s">
        <v>1170</v>
      </c>
      <c r="D144" s="17">
        <f>VLOOKUP(A136,'Neraca Unaudited SIMAK'!$A$2:$S$10004,8,FALSE)</f>
        <v>4798000</v>
      </c>
      <c r="E144" s="25">
        <f>SUMIFS('Daftar Koreksi'!$H$5:$H$92,'Daftar Koreksi'!$D$5:$D$92,'1100'!A136,'Daftar Koreksi'!$G$5:$G$92,"Aset Tetap Lainnya",'Daftar Koreksi'!$H$5:$H$92,"&gt;0")</f>
        <v>0</v>
      </c>
      <c r="F144" s="25">
        <f>SUMIFS('Daftar Koreksi'!$H$5:$H$92,'Daftar Koreksi'!$D$5:$D$92,'1100'!A136,'Daftar Koreksi'!$G$5:$G$92,"Aset Tetap Lainnya",'Daftar Koreksi'!$H$5:$H$92,"&lt;0")-SUMIFS('Daftar Koreksi'!$H$5:$H$92,'Daftar Koreksi'!$D$5:$D$92,'1100'!A136,'Daftar Koreksi'!$G$5:$G$92,"Aset Tetap Lainnya",'Daftar Koreksi'!$H$5:$H$92,"&lt;0")-SUMIFS('Daftar Koreksi'!$H$5:$H$92,'Daftar Koreksi'!$D$5:$D$92,'1100'!A136,'Daftar Koreksi'!$G$5:$G$92,"Aset Tetap Lainnya",'Daftar Koreksi'!$H$5:$H$92,"&lt;0")</f>
        <v>0</v>
      </c>
      <c r="G144" s="17">
        <f t="shared" si="6"/>
        <v>4798000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Koreksi'!$D$5:$D$92,'1100'!A136,'Daftar Koreksi'!$G$5:$G$92,"Kontruksi Dalam Pengerjaan",'Daftar Koreksi'!$H$5:$H$92,"&gt;0")</f>
        <v>0</v>
      </c>
      <c r="F145" s="25">
        <f>SUMIFS('Daftar Koreksi'!$H$5:$H$92,'Daftar Koreksi'!$D$5:$D$92,'1100'!A136,'Daftar Koreksi'!$G$5:$G$92,"Kontruksi Dalam Pengerjaan",'Daftar Koreksi'!$H$5:$H$92,"&lt;0")-SUMIFS('Daftar Koreksi'!$H$5:$H$92,'Daftar Koreksi'!$D$5:$D$92,'1100'!A136,'Daftar Koreksi'!$G$5:$G$92,"Kontruksi Dalam Pengerjaan",'Daftar Koreksi'!$H$5:$H$92,"&lt;0")-SUMIFS('Daftar Koreksi'!$H$5:$H$92,'Daftar Koreksi'!$D$5:$D$92,'1100'!A136,'Daftar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37620000</v>
      </c>
      <c r="E146" s="25">
        <f>SUMIFS('Daftar Koreksi'!$H$5:$H$92,'Daftar Koreksi'!$D$5:$D$92,'1100'!A136,'Daftar Koreksi'!$G$5:$G$92,"Aset Tak Berwujud",'Daftar Koreksi'!$H$5:$H$92,"&gt;0")</f>
        <v>0</v>
      </c>
      <c r="F146" s="25">
        <f>SUMIFS('Daftar Koreksi'!$H$5:$H$92,'Daftar Koreksi'!$D$5:$D$92,'1100'!A136,'Daftar Koreksi'!$G$5:$G$92,"Aset Tak Berwujud",'Daftar Koreksi'!$H$5:$H$92,"&lt;0")-SUMIFS('Daftar Koreksi'!$H$5:$H$92,'Daftar Koreksi'!$D$5:$D$92,'1100'!A136,'Daftar Koreksi'!$G$5:$G$92,"Aset Tak Berwujud",'Daftar Koreksi'!$H$5:$H$92,"&lt;0")-SUMIFS('Daftar Koreksi'!$H$5:$H$92,'Daftar Koreksi'!$D$5:$D$92,'1100'!A136,'Daftar Koreksi'!$G$5:$G$92,"Aset Tak Berwujud",'Daftar Koreksi'!$H$5:$H$92,"&lt;0")</f>
        <v>0</v>
      </c>
      <c r="G146" s="17">
        <f t="shared" si="6"/>
        <v>37620000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Koreksi'!$D$5:$D$92,'1100'!A136,'Daftar Koreksi'!$G$5:$G$92,"Aset Henti Guna",'Daftar Koreksi'!$H$5:$H$92,"&gt;0")</f>
        <v>0</v>
      </c>
      <c r="F147" s="25">
        <f>SUMIFS('Daftar Koreksi'!$H$5:$H$92,'Daftar Koreksi'!$D$5:$D$92,'1100'!A136,'Daftar Koreksi'!$G$5:$G$92,"Aset Henti Guna",'Daftar Koreksi'!$H$5:$H$92,"&lt;0")-SUMIFS('Daftar Koreksi'!$H$5:$H$92,'Daftar Koreksi'!$D$5:$D$92,'1100'!A136,'Daftar Koreksi'!$G$5:$G$92,"Aset Henti Guna",'Daftar Koreksi'!$H$5:$H$92,"&lt;0")-SUMIFS('Daftar Koreksi'!$H$5:$H$92,'Daftar Koreksi'!$D$5:$D$92,'1100'!A136,'Daftar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6710087412</v>
      </c>
      <c r="E148" s="19">
        <f>SUM(E139:E147)</f>
        <v>0</v>
      </c>
      <c r="F148" s="19">
        <f>SUM(F139:F147)</f>
        <v>0</v>
      </c>
      <c r="G148" s="19">
        <f t="shared" si="6"/>
        <v>6710087412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-1824054512</v>
      </c>
      <c r="E149" s="25">
        <f>SUMIFS('Daftar Koreksi'!$I$5:$I$92,'Daftar Koreksi'!$D$5:$D$92,'1100'!A136,'Daftar Koreksi'!$G$5:$G$92,"Peralatan dan mesin",'Daftar Koreksi'!$I$5:$I$92,"&gt;0")</f>
        <v>0</v>
      </c>
      <c r="F149" s="25">
        <f>SUMIFS('Daftar Koreksi'!$I$5:$I$92,'Daftar Koreksi'!$D$5:$D$92,'1100'!A136,'Daftar Koreksi'!$G$5:$G$92,"Peralatan dan mesin",'Daftar Koreksi'!$I$5:$I$92,"&lt;0")-SUMIFS('Daftar Koreksi'!$I$5:$I$92,'Daftar Koreksi'!$D$5:$D$92,'1100'!A136,'Daftar Koreksi'!$G$5:$G$92,"Peralatan dan mesin",'Daftar Koreksi'!$I$5:$I$92,"&lt;0")-SUMIFS('Daftar Koreksi'!$I$5:$I$92,'Daftar Koreksi'!$D$5:$D$92,'1100'!A136,'Daftar Koreksi'!$G$5:$G$92,"Peralatan dan mesin",'Daftar Koreksi'!$I$5:$I$92,"&lt;0")</f>
        <v>0</v>
      </c>
      <c r="G149" s="17">
        <f t="shared" si="6"/>
        <v>-1824054512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-1593750000</v>
      </c>
      <c r="E150" s="25">
        <f>SUMIFS('Daftar Koreksi'!$I$5:$I$92,'Daftar Koreksi'!$D$5:$D$92,'1100'!A136,'Daftar Koreksi'!$G$5:$G$92,"Gedung dan Bangunan",'Daftar Koreksi'!$I$5:$I$92,"&gt;0")</f>
        <v>0</v>
      </c>
      <c r="F150" s="25">
        <f>SUMIFS('Daftar Koreksi'!$I$5:$I$92,'Daftar Koreksi'!$D$5:$D$92,'1100'!A136,'Daftar Koreksi'!$G$5:$G$92,"Gedung dan Bangunan",'Daftar Koreksi'!$I$5:$I$92,"&lt;0")-SUMIFS('Daftar Koreksi'!$I$5:$I$92,'Daftar Koreksi'!$D$5:$D$92,'1100'!A136,'Daftar Koreksi'!$G$5:$G$92,"Gedung dan Bangunan",'Daftar Koreksi'!$I$5:$I$92,"&lt;0")-SUMIFS('Daftar Koreksi'!$I$5:$I$92,'Daftar Koreksi'!$D$5:$D$92,'1100'!A136,'Daftar Koreksi'!$G$5:$G$92,"Gedung dan Bangunan",'Daftar Koreksi'!$I$5:$I$92,"&lt;0")</f>
        <v>0</v>
      </c>
      <c r="G150" s="17">
        <f t="shared" si="6"/>
        <v>-1593750000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-14340000</v>
      </c>
      <c r="E151" s="25">
        <f>SUMIFS('Daftar Koreksi'!$I$5:$I$92,'Daftar Koreksi'!$D$5:$D$92,'1100'!A136,'Daftar Koreksi'!$G$5:$G$92,"Jalan Irigasi Jaringan",'Daftar Koreksi'!$I$5:$I$92,"&gt;0")</f>
        <v>0</v>
      </c>
      <c r="F151" s="25">
        <f>SUMIFS('Daftar Koreksi'!$I$5:$I$92,'Daftar Koreksi'!$D$5:$D$92,'1100'!A136,'Daftar Koreksi'!$G$5:$G$92,"Jalan Irigasi Jaringan",'Daftar Koreksi'!$I$5:$I$92,"&lt;0")-SUMIFS('Daftar Koreksi'!$I$5:$I$92,'Daftar Koreksi'!$D$5:$D$92,'1100'!A136,'Daftar Koreksi'!$G$5:$G$92,"Jalan Irigasi Jaringan",'Daftar Koreksi'!$I$5:$I$92,"&lt;0")-SUMIFS('Daftar Koreksi'!$I$5:$I$92,'Daftar Koreksi'!$D$5:$D$92,'1100'!A136,'Daftar Koreksi'!$G$5:$G$92,"Jalan Irigasi Jaringan",'Daftar Koreksi'!$I$5:$I$92,"&lt;0")</f>
        <v>0</v>
      </c>
      <c r="G151" s="17">
        <f t="shared" si="6"/>
        <v>-14340000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Koreksi'!$D$5:$D$92,'1100'!A136,'Daftar Koreksi'!$G$5:$G$92,"Aset Tetap Lainnya",'Daftar Koreksi'!$I$5:$I$92,"&gt;0")</f>
        <v>0</v>
      </c>
      <c r="F152" s="25">
        <f>SUMIFS('Daftar Koreksi'!$I$5:$I$92,'Daftar Koreksi'!$D$5:$D$92,'1100'!A136,'Daftar Koreksi'!$G$5:$G$92,"Aset Tetap Lainnya",'Daftar Koreksi'!$I$5:$I$92,"&lt;0")-SUMIFS('Daftar Koreksi'!$I$5:$I$92,'Daftar Koreksi'!$D$5:$D$92,'1100'!A136,'Daftar Koreksi'!$G$5:$G$92,"Aset Tetap Lainnya",'Daftar Koreksi'!$I$5:$I$92,"&lt;0")-SUMIFS('Daftar Koreksi'!$I$5:$I$92,'Daftar Koreksi'!$D$5:$D$92,'1100'!A136,'Daftar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Koreksi'!$D$5:$D$92,'1100'!A136,'Daftar Koreksi'!$G$5:$G$92,"Aset Henti Guna",'Daftar Koreksi'!$I$5:$I$92,"&gt;0")</f>
        <v>0</v>
      </c>
      <c r="F153" s="25">
        <f>SUMIFS('Daftar Koreksi'!$I$5:$I$92,'Daftar Koreksi'!$D$5:$D$92,'1100'!A136,'Daftar Koreksi'!$G$5:$G$92,"Aset Henti Guna",'Daftar Koreksi'!$I$5:$I$92,"&lt;0")-SUMIFS('Daftar Koreksi'!$I$5:$I$92,'Daftar Koreksi'!$D$5:$D$92,'1100'!A136,'Daftar Koreksi'!$G$5:$G$92,"Aset Henti Guna",'Daftar Koreksi'!$I$5:$I$92,"&lt;0")-SUMIFS('Daftar Koreksi'!$I$5:$I$92,'Daftar Koreksi'!$D$5:$D$92,'1100'!A136,'Daftar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-3432144512</v>
      </c>
      <c r="E154" s="19">
        <f>SUM(E149:E153)</f>
        <v>0</v>
      </c>
      <c r="F154" s="19">
        <f>SUM(F149:F153)</f>
        <v>0</v>
      </c>
      <c r="G154" s="19">
        <f t="shared" si="6"/>
        <v>-3432144512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3277942900</v>
      </c>
      <c r="E155" s="19">
        <f>E154+E148</f>
        <v>0</v>
      </c>
      <c r="F155" s="19">
        <f>F154+F148</f>
        <v>0</v>
      </c>
      <c r="G155" s="19">
        <f t="shared" si="6"/>
        <v>3277942900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005011100099003000KD</v>
      </c>
      <c r="B158" s="11" t="str">
        <f>P8</f>
        <v>PN. Sekayu</v>
      </c>
      <c r="C158" s="12" t="str">
        <f>A158&amp;" "&amp;B158</f>
        <v>005011100099003000KD PN. Sekayu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263057</v>
      </c>
      <c r="E161" s="25">
        <f>SUMIFS('Daftar Koreksi'!$H$5:$H$92,'Daftar Koreksi'!$D$5:$D$92,'1100'!A158,'Daftar Koreksi'!$G$5:$G$92,"Persediaan",'Daftar Koreksi'!$H$5:$H$92,"&gt;0")</f>
        <v>0</v>
      </c>
      <c r="F161" s="25">
        <f>SUMIFS('Daftar Koreksi'!$H$5:$H$92,'Daftar Koreksi'!$D$5:$D$92,'1100'!A158,'Daftar Koreksi'!$G$5:$G$92,"Persediaan",'Daftar Koreksi'!$H$5:$H$92,"&lt;0")-SUMIFS('Daftar Koreksi'!$H$5:$H$92,'Daftar Koreksi'!$D$5:$D$92,'1100'!A158,'Daftar Koreksi'!$G$5:$G$92,"Persediaan",'Daftar Koreksi'!$H$5:$H$92,"&lt;0")-SUMIFS('Daftar Koreksi'!$H$5:$H$92,'Daftar Koreksi'!$D$5:$D$92,'1100'!A158,'Daftar Koreksi'!$G$5:$G$92,"Persediaan",'Daftar Koreksi'!$H$5:$H$92,"&lt;0")</f>
        <v>0</v>
      </c>
      <c r="G161" s="17">
        <f>D161+E161-F161</f>
        <v>263057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3093542000</v>
      </c>
      <c r="E162" s="25">
        <f>SUMIFS('Daftar Koreksi'!$H$5:$H$92,'Daftar Koreksi'!$D$5:$D$92,'1100'!A158,'Daftar Koreksi'!$G$5:$G$92,"Tanah",'Daftar Koreksi'!$H$5:$H$92,"&gt;0")</f>
        <v>0</v>
      </c>
      <c r="F162" s="25">
        <f>SUMIFS('Daftar Koreksi'!$H$5:$H$92,'Daftar Koreksi'!$D$5:$D$92,'1100'!A158,'Daftar Koreksi'!$G$5:$G$92,"Tanah",'Daftar Koreksi'!$H$5:$H$92,"&lt;0")-SUMIFS('Daftar Koreksi'!$H$5:$H$92,'Daftar Koreksi'!$D$5:$D$92,'1100'!A158,'Daftar Koreksi'!$G$5:$G$92,"Tanah",'Daftar Koreksi'!$H$5:$H$92,"&lt;0")-SUMIFS('Daftar Koreksi'!$H$5:$H$92,'Daftar Koreksi'!$D$5:$D$92,'1100'!A158,'Daftar Koreksi'!$G$5:$G$92,"Tanah",'Daftar Koreksi'!$H$5:$H$92,"&lt;0")</f>
        <v>0</v>
      </c>
      <c r="G162" s="17">
        <f t="shared" ref="G162:G178" si="7">D162+E162-F162</f>
        <v>3093542000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1772319525</v>
      </c>
      <c r="E163" s="25">
        <f>SUMIFS('Daftar Koreksi'!$H$5:$H$92,'Daftar Koreksi'!$D$5:$D$92,'1100'!A158,'Daftar Koreksi'!$G$5:$G$92,"Peralatan dan mesin",'Daftar Koreksi'!$H$5:$H$92,"&gt;0")</f>
        <v>0</v>
      </c>
      <c r="F163" s="25">
        <f>SUMIFS('Daftar Koreksi'!$H$5:$H$92,'Daftar Koreksi'!$D$5:$D$92,'1100'!A158,'Daftar Koreksi'!$G$5:$G$92,"Peralatan dan mesin",'Daftar Koreksi'!$H$5:$H$92,"&lt;0")-SUMIFS('Daftar Koreksi'!$H$5:$H$92,'Daftar Koreksi'!$D$5:$D$92,'1100'!A158,'Daftar Koreksi'!$G$5:$G$92,"Peralatan dan mesin",'Daftar Koreksi'!$H$5:$H$92,"&lt;0")-SUMIFS('Daftar Koreksi'!$H$5:$H$92,'Daftar Koreksi'!$D$5:$D$92,'1100'!A158,'Daftar Koreksi'!$G$5:$G$92,"Peralatan dan mesin",'Daftar Koreksi'!$H$5:$H$92,"&lt;0")</f>
        <v>0</v>
      </c>
      <c r="G163" s="17">
        <f t="shared" si="7"/>
        <v>1772319525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2802930000</v>
      </c>
      <c r="E164" s="25">
        <f>SUMIFS('Daftar Koreksi'!$H$5:$H$92,'Daftar Koreksi'!$D$5:$D$92,'1100'!A158,'Daftar Koreksi'!$G$5:$G$92,"Gedung dan Bangunan",'Daftar Koreksi'!$H$5:$H$92,"&gt;0")</f>
        <v>0</v>
      </c>
      <c r="F164" s="25">
        <f>SUMIFS('Daftar Koreksi'!$H$5:$H$92,'Daftar Koreksi'!$D$5:$D$92,'1100'!A158,'Daftar Koreksi'!$G$5:$G$92,"Gedung dan Bangunan",'Daftar Koreksi'!$H$5:$H$92,"&lt;0")-SUMIFS('Daftar Koreksi'!$H$5:$H$92,'Daftar Koreksi'!$D$5:$D$92,'1100'!A158,'Daftar Koreksi'!$G$5:$G$92,"Gedung dan Bangunan",'Daftar Koreksi'!$H$5:$H$92,"&lt;0")-SUMIFS('Daftar Koreksi'!$H$5:$H$92,'Daftar Koreksi'!$D$5:$D$92,'1100'!A158,'Daftar Koreksi'!$G$5:$G$92,"Gedung dan Bangunan",'Daftar Koreksi'!$H$5:$H$92,"&lt;0")</f>
        <v>0</v>
      </c>
      <c r="G164" s="17">
        <f t="shared" si="7"/>
        <v>2802930000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Koreksi'!$D$5:$D$92,'1100'!A158,'Daftar Koreksi'!$G$5:$G$92,"Jalan Irigasi Jaringan",'Daftar Koreksi'!$H$5:$H$92,"&gt;0")</f>
        <v>0</v>
      </c>
      <c r="F165" s="25">
        <f>SUMIFS('Daftar Koreksi'!$H$5:$H$92,'Daftar Koreksi'!$D$5:$D$92,'1100'!A158,'Daftar Koreksi'!$G$5:$G$92,"Jalan Irigasi Jaringan",'Daftar Koreksi'!$H$5:$H$92,"&lt;0")-SUMIFS('Daftar Koreksi'!$H$5:$H$92,'Daftar Koreksi'!$D$5:$D$92,'1100'!A158,'Daftar Koreksi'!$G$5:$G$92,"Jalan Irigasi Jaringan",'Daftar Koreksi'!$H$5:$H$92,"&lt;0")-SUMIFS('Daftar Koreksi'!$H$5:$H$92,'Daftar Koreksi'!$D$5:$D$92,'1100'!A158,'Daftar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10934440</v>
      </c>
      <c r="E166" s="25">
        <f>SUMIFS('Daftar Koreksi'!$H$5:$H$92,'Daftar Koreksi'!$D$5:$D$92,'1100'!A158,'Daftar Koreksi'!$G$5:$G$92,"Aset Tetap Lainnya",'Daftar Koreksi'!$H$5:$H$92,"&gt;0")</f>
        <v>0</v>
      </c>
      <c r="F166" s="25">
        <f>SUMIFS('Daftar Koreksi'!$H$5:$H$92,'Daftar Koreksi'!$D$5:$D$92,'1100'!A158,'Daftar Koreksi'!$G$5:$G$92,"Aset Tetap Lainnya",'Daftar Koreksi'!$H$5:$H$92,"&lt;0")-SUMIFS('Daftar Koreksi'!$H$5:$H$92,'Daftar Koreksi'!$D$5:$D$92,'1100'!A158,'Daftar Koreksi'!$G$5:$G$92,"Aset Tetap Lainnya",'Daftar Koreksi'!$H$5:$H$92,"&lt;0")-SUMIFS('Daftar Koreksi'!$H$5:$H$92,'Daftar Koreksi'!$D$5:$D$92,'1100'!A158,'Daftar Koreksi'!$G$5:$G$92,"Aset Tetap Lainnya",'Daftar Koreksi'!$H$5:$H$92,"&lt;0")</f>
        <v>0</v>
      </c>
      <c r="G166" s="17">
        <f t="shared" si="7"/>
        <v>10934440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3360690500</v>
      </c>
      <c r="E167" s="25">
        <f>SUMIFS('Daftar Koreksi'!$H$5:$H$92,'Daftar Koreksi'!$D$5:$D$92,'1100'!A158,'Daftar Koreksi'!$G$5:$G$92,"Kontruksi Dalam Pengerjaan",'Daftar Koreksi'!$H$5:$H$92,"&gt;0")</f>
        <v>0</v>
      </c>
      <c r="F167" s="25">
        <f>SUMIFS('Daftar Koreksi'!$H$5:$H$92,'Daftar Koreksi'!$D$5:$D$92,'1100'!A158,'Daftar Koreksi'!$G$5:$G$92,"Kontruksi Dalam Pengerjaan",'Daftar Koreksi'!$H$5:$H$92,"&lt;0")-SUMIFS('Daftar Koreksi'!$H$5:$H$92,'Daftar Koreksi'!$D$5:$D$92,'1100'!A158,'Daftar Koreksi'!$G$5:$G$92,"Kontruksi Dalam Pengerjaan",'Daftar Koreksi'!$H$5:$H$92,"&lt;0")-SUMIFS('Daftar Koreksi'!$H$5:$H$92,'Daftar Koreksi'!$D$5:$D$92,'1100'!A158,'Daftar Koreksi'!$G$5:$G$92,"Kontruksi Dalam Pengerjaan",'Daftar Koreksi'!$H$5:$H$92,"&lt;0")</f>
        <v>0</v>
      </c>
      <c r="G167" s="17">
        <f t="shared" si="7"/>
        <v>3360690500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Koreksi'!$D$5:$D$92,'1100'!A158,'Daftar Koreksi'!$G$5:$G$92,"Aset Tak Berwujud",'Daftar Koreksi'!$H$5:$H$92,"&gt;0")</f>
        <v>0</v>
      </c>
      <c r="F168" s="25">
        <f>SUMIFS('Daftar Koreksi'!$H$5:$H$92,'Daftar Koreksi'!$D$5:$D$92,'1100'!A158,'Daftar Koreksi'!$G$5:$G$92,"Aset Tak Berwujud",'Daftar Koreksi'!$H$5:$H$92,"&lt;0")-SUMIFS('Daftar Koreksi'!$H$5:$H$92,'Daftar Koreksi'!$D$5:$D$92,'1100'!A158,'Daftar Koreksi'!$G$5:$G$92,"Aset Tak Berwujud",'Daftar Koreksi'!$H$5:$H$92,"&lt;0")-SUMIFS('Daftar Koreksi'!$H$5:$H$92,'Daftar Koreksi'!$D$5:$D$92,'1100'!A158,'Daftar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Koreksi'!$D$5:$D$92,'1100'!A158,'Daftar Koreksi'!$G$5:$G$92,"Aset Henti Guna",'Daftar Koreksi'!$H$5:$H$92,"&gt;0")</f>
        <v>0</v>
      </c>
      <c r="F169" s="25">
        <f>SUMIFS('Daftar Koreksi'!$H$5:$H$92,'Daftar Koreksi'!$D$5:$D$92,'1100'!A158,'Daftar Koreksi'!$G$5:$G$92,"Aset Henti Guna",'Daftar Koreksi'!$H$5:$H$92,"&lt;0")-SUMIFS('Daftar Koreksi'!$H$5:$H$92,'Daftar Koreksi'!$D$5:$D$92,'1100'!A158,'Daftar Koreksi'!$G$5:$G$92,"Aset Henti Guna",'Daftar Koreksi'!$H$5:$H$92,"&lt;0")-SUMIFS('Daftar Koreksi'!$H$5:$H$92,'Daftar Koreksi'!$D$5:$D$92,'1100'!A158,'Daftar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11040679522</v>
      </c>
      <c r="E170" s="19">
        <f>SUM(E161:E169)</f>
        <v>0</v>
      </c>
      <c r="F170" s="19">
        <f>SUM(F161:F169)</f>
        <v>0</v>
      </c>
      <c r="G170" s="19">
        <f t="shared" si="7"/>
        <v>11040679522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-1589170292</v>
      </c>
      <c r="E171" s="25">
        <f>SUMIFS('Daftar Koreksi'!$I$5:$I$92,'Daftar Koreksi'!$D$5:$D$92,'1100'!A158,'Daftar Koreksi'!$G$5:$G$92,"Peralatan dan mesin",'Daftar Koreksi'!$I$5:$I$92,"&gt;0")</f>
        <v>0</v>
      </c>
      <c r="F171" s="25">
        <f>SUMIFS('Daftar Koreksi'!$I$5:$I$92,'Daftar Koreksi'!$D$5:$D$92,'1100'!A158,'Daftar Koreksi'!$G$5:$G$92,"Peralatan dan mesin",'Daftar Koreksi'!$I$5:$I$92,"&lt;0")-SUMIFS('Daftar Koreksi'!$I$5:$I$92,'Daftar Koreksi'!$D$5:$D$92,'1100'!A158,'Daftar Koreksi'!$G$5:$G$92,"Peralatan dan mesin",'Daftar Koreksi'!$I$5:$I$92,"&lt;0")-SUMIFS('Daftar Koreksi'!$I$5:$I$92,'Daftar Koreksi'!$D$5:$D$92,'1100'!A158,'Daftar Koreksi'!$G$5:$G$92,"Peralatan dan mesin",'Daftar Koreksi'!$I$5:$I$92,"&lt;0")</f>
        <v>0</v>
      </c>
      <c r="G171" s="17">
        <f t="shared" si="7"/>
        <v>-1589170292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-1699958990</v>
      </c>
      <c r="E172" s="25">
        <f>SUMIFS('Daftar Koreksi'!$I$5:$I$92,'Daftar Koreksi'!$D$5:$D$92,'1100'!A158,'Daftar Koreksi'!$G$5:$G$92,"Gedung dan Bangunan",'Daftar Koreksi'!$I$5:$I$92,"&gt;0")</f>
        <v>0</v>
      </c>
      <c r="F172" s="25">
        <f>SUMIFS('Daftar Koreksi'!$I$5:$I$92,'Daftar Koreksi'!$D$5:$D$92,'1100'!A158,'Daftar Koreksi'!$G$5:$G$92,"Gedung dan Bangunan",'Daftar Koreksi'!$I$5:$I$92,"&lt;0")-SUMIFS('Daftar Koreksi'!$I$5:$I$92,'Daftar Koreksi'!$D$5:$D$92,'1100'!A158,'Daftar Koreksi'!$G$5:$G$92,"Gedung dan Bangunan",'Daftar Koreksi'!$I$5:$I$92,"&lt;0")-SUMIFS('Daftar Koreksi'!$I$5:$I$92,'Daftar Koreksi'!$D$5:$D$92,'1100'!A158,'Daftar Koreksi'!$G$5:$G$92,"Gedung dan Bangunan",'Daftar Koreksi'!$I$5:$I$92,"&lt;0")</f>
        <v>0</v>
      </c>
      <c r="G172" s="17">
        <f t="shared" si="7"/>
        <v>-1699958990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Koreksi'!$D$5:$D$92,'1100'!A158,'Daftar Koreksi'!$G$5:$G$92,"Jalan Irigasi Jaringan",'Daftar Koreksi'!$I$5:$I$92,"&gt;0")</f>
        <v>0</v>
      </c>
      <c r="F173" s="25">
        <f>SUMIFS('Daftar Koreksi'!$I$5:$I$92,'Daftar Koreksi'!$D$5:$D$92,'1100'!A158,'Daftar Koreksi'!$G$5:$G$92,"Jalan Irigasi Jaringan",'Daftar Koreksi'!$I$5:$I$92,"&lt;0")-SUMIFS('Daftar Koreksi'!$I$5:$I$92,'Daftar Koreksi'!$D$5:$D$92,'1100'!A158,'Daftar Koreksi'!$G$5:$G$92,"Jalan Irigasi Jaringan",'Daftar Koreksi'!$I$5:$I$92,"&lt;0")-SUMIFS('Daftar Koreksi'!$I$5:$I$92,'Daftar Koreksi'!$D$5:$D$92,'1100'!A158,'Daftar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Koreksi'!$D$5:$D$92,'1100'!A158,'Daftar Koreksi'!$G$5:$G$92,"Aset Tetap Lainnya",'Daftar Koreksi'!$I$5:$I$92,"&gt;0")</f>
        <v>0</v>
      </c>
      <c r="F174" s="25">
        <f>SUMIFS('Daftar Koreksi'!$I$5:$I$92,'Daftar Koreksi'!$D$5:$D$92,'1100'!A158,'Daftar Koreksi'!$G$5:$G$92,"Aset Tetap Lainnya",'Daftar Koreksi'!$I$5:$I$92,"&lt;0")-SUMIFS('Daftar Koreksi'!$I$5:$I$92,'Daftar Koreksi'!$D$5:$D$92,'1100'!A158,'Daftar Koreksi'!$G$5:$G$92,"Aset Tetap Lainnya",'Daftar Koreksi'!$I$5:$I$92,"&lt;0")-SUMIFS('Daftar Koreksi'!$I$5:$I$92,'Daftar Koreksi'!$D$5:$D$92,'1100'!A158,'Daftar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Koreksi'!$D$5:$D$92,'1100'!A158,'Daftar Koreksi'!$G$5:$G$92,"Aset Henti Guna",'Daftar Koreksi'!$I$5:$I$92,"&gt;0")</f>
        <v>0</v>
      </c>
      <c r="F175" s="25">
        <f>SUMIFS('Daftar Koreksi'!$I$5:$I$92,'Daftar Koreksi'!$D$5:$D$92,'1100'!A158,'Daftar Koreksi'!$G$5:$G$92,"Aset Henti Guna",'Daftar Koreksi'!$I$5:$I$92,"&lt;0")-SUMIFS('Daftar Koreksi'!$I$5:$I$92,'Daftar Koreksi'!$D$5:$D$92,'1100'!A158,'Daftar Koreksi'!$G$5:$G$92,"Aset Henti Guna",'Daftar Koreksi'!$I$5:$I$92,"&lt;0")-SUMIFS('Daftar Koreksi'!$I$5:$I$92,'Daftar Koreksi'!$D$5:$D$92,'1100'!A158,'Daftar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-3289129282</v>
      </c>
      <c r="E176" s="19">
        <f>SUM(E171:E175)</f>
        <v>0</v>
      </c>
      <c r="F176" s="19">
        <f>SUM(F171:F175)</f>
        <v>0</v>
      </c>
      <c r="G176" s="19">
        <f t="shared" si="7"/>
        <v>-3289129282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7751550240</v>
      </c>
      <c r="E177" s="19">
        <f>E176+E170</f>
        <v>0</v>
      </c>
      <c r="F177" s="19">
        <f>F176+F170</f>
        <v>0</v>
      </c>
      <c r="G177" s="19">
        <f t="shared" si="7"/>
        <v>7751550240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005011100402236000KD</v>
      </c>
      <c r="B180" s="11" t="str">
        <f>P9</f>
        <v>PTA. Palembang</v>
      </c>
      <c r="C180" s="12" t="str">
        <f>A180&amp;" "&amp;B180</f>
        <v>005011100402236000KD PTA. Palembang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9687999</v>
      </c>
      <c r="E183" s="25">
        <f>SUMIFS('Daftar Koreksi'!$H$5:$H$92,'Daftar Koreksi'!$D$5:$D$92,'1100'!A180,'Daftar Koreksi'!$G$5:$G$92,"Persediaan",'Daftar Koreksi'!$H$5:$H$92,"&gt;0")</f>
        <v>0</v>
      </c>
      <c r="F183" s="25">
        <f>SUMIFS('Daftar Koreksi'!$H$5:$H$92,'Daftar Koreksi'!$D$5:$D$92,'1100'!A180,'Daftar Koreksi'!$G$5:$G$92,"Persediaan",'Daftar Koreksi'!$H$5:$H$92,"&lt;0")-SUMIFS('Daftar Koreksi'!$H$5:$H$92,'Daftar Koreksi'!$D$5:$D$92,'1100'!A180,'Daftar Koreksi'!$G$5:$G$92,"Persediaan",'Daftar Koreksi'!$H$5:$H$92,"&lt;0")-SUMIFS('Daftar Koreksi'!$H$5:$H$92,'Daftar Koreksi'!$D$5:$D$92,'1100'!A180,'Daftar Koreksi'!$G$5:$G$92,"Persediaan",'Daftar Koreksi'!$H$5:$H$92,"&lt;0")</f>
        <v>0</v>
      </c>
      <c r="G183" s="17">
        <f>D183+E183-F183</f>
        <v>9687999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6586504000</v>
      </c>
      <c r="E184" s="25">
        <f>SUMIFS('Daftar Koreksi'!$H$5:$H$92,'Daftar Koreksi'!$D$5:$D$92,'1100'!A180,'Daftar Koreksi'!$G$5:$G$92,"Tanah",'Daftar Koreksi'!$H$5:$H$92,"&gt;0")</f>
        <v>0</v>
      </c>
      <c r="F184" s="25">
        <f>SUMIFS('Daftar Koreksi'!$H$5:$H$92,'Daftar Koreksi'!$D$5:$D$92,'1100'!A180,'Daftar Koreksi'!$G$5:$G$92,"Tanah",'Daftar Koreksi'!$H$5:$H$92,"&lt;0")-SUMIFS('Daftar Koreksi'!$H$5:$H$92,'Daftar Koreksi'!$D$5:$D$92,'1100'!A180,'Daftar Koreksi'!$G$5:$G$92,"Tanah",'Daftar Koreksi'!$H$5:$H$92,"&lt;0")-SUMIFS('Daftar Koreksi'!$H$5:$H$92,'Daftar Koreksi'!$D$5:$D$92,'1100'!A180,'Daftar Koreksi'!$G$5:$G$92,"Tanah",'Daftar Koreksi'!$H$5:$H$92,"&lt;0")</f>
        <v>0</v>
      </c>
      <c r="G184" s="17">
        <f t="shared" ref="G184:G200" si="8">D184+E184-F184</f>
        <v>6586504000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3078822594</v>
      </c>
      <c r="E185" s="25">
        <f>SUMIFS('Daftar Koreksi'!$H$5:$H$92,'Daftar Koreksi'!$D$5:$D$92,'1100'!A180,'Daftar Koreksi'!$G$5:$G$92,"Peralatan dan mesin",'Daftar Koreksi'!$H$5:$H$92,"&gt;0")</f>
        <v>0</v>
      </c>
      <c r="F185" s="25">
        <f>SUMIFS('Daftar Koreksi'!$H$5:$H$92,'Daftar Koreksi'!$D$5:$D$92,'1100'!A180,'Daftar Koreksi'!$G$5:$G$92,"Peralatan dan mesin",'Daftar Koreksi'!$H$5:$H$92,"&lt;0")-SUMIFS('Daftar Koreksi'!$H$5:$H$92,'Daftar Koreksi'!$D$5:$D$92,'1100'!A180,'Daftar Koreksi'!$G$5:$G$92,"Peralatan dan mesin",'Daftar Koreksi'!$H$5:$H$92,"&lt;0")-SUMIFS('Daftar Koreksi'!$H$5:$H$92,'Daftar Koreksi'!$D$5:$D$92,'1100'!A180,'Daftar Koreksi'!$G$5:$G$92,"Peralatan dan mesin",'Daftar Koreksi'!$H$5:$H$92,"&lt;0")</f>
        <v>0</v>
      </c>
      <c r="G185" s="17">
        <f t="shared" si="8"/>
        <v>3078822594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4469909700</v>
      </c>
      <c r="E186" s="25">
        <f>SUMIFS('Daftar Koreksi'!$H$5:$H$92,'Daftar Koreksi'!$D$5:$D$92,'1100'!A180,'Daftar Koreksi'!$G$5:$G$92,"Gedung dan Bangunan",'Daftar Koreksi'!$H$5:$H$92,"&gt;0")</f>
        <v>0</v>
      </c>
      <c r="F186" s="25">
        <f>SUMIFS('Daftar Koreksi'!$H$5:$H$92,'Daftar Koreksi'!$D$5:$D$92,'1100'!A180,'Daftar Koreksi'!$G$5:$G$92,"Gedung dan Bangunan",'Daftar Koreksi'!$H$5:$H$92,"&lt;0")-SUMIFS('Daftar Koreksi'!$H$5:$H$92,'Daftar Koreksi'!$D$5:$D$92,'1100'!A180,'Daftar Koreksi'!$G$5:$G$92,"Gedung dan Bangunan",'Daftar Koreksi'!$H$5:$H$92,"&lt;0")-SUMIFS('Daftar Koreksi'!$H$5:$H$92,'Daftar Koreksi'!$D$5:$D$92,'1100'!A180,'Daftar Koreksi'!$G$5:$G$92,"Gedung dan Bangunan",'Daftar Koreksi'!$H$5:$H$92,"&lt;0")</f>
        <v>0</v>
      </c>
      <c r="G186" s="17">
        <f t="shared" si="8"/>
        <v>4469909700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Koreksi'!$D$5:$D$92,'1100'!A180,'Daftar Koreksi'!$G$5:$G$92,"Jalan Irigasi Jaringan",'Daftar Koreksi'!$H$5:$H$92,"&gt;0")</f>
        <v>0</v>
      </c>
      <c r="F187" s="25">
        <f>SUMIFS('Daftar Koreksi'!$H$5:$H$92,'Daftar Koreksi'!$D$5:$D$92,'1100'!A180,'Daftar Koreksi'!$G$5:$G$92,"Jalan Irigasi Jaringan",'Daftar Koreksi'!$H$5:$H$92,"&lt;0")-SUMIFS('Daftar Koreksi'!$H$5:$H$92,'Daftar Koreksi'!$D$5:$D$92,'1100'!A180,'Daftar Koreksi'!$G$5:$G$92,"Jalan Irigasi Jaringan",'Daftar Koreksi'!$H$5:$H$92,"&lt;0")-SUMIFS('Daftar Koreksi'!$H$5:$H$92,'Daftar Koreksi'!$D$5:$D$92,'1100'!A180,'Daftar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66334050</v>
      </c>
      <c r="E188" s="25">
        <f>SUMIFS('Daftar Koreksi'!$H$5:$H$92,'Daftar Koreksi'!$D$5:$D$92,'1100'!A180,'Daftar Koreksi'!$G$5:$G$92,"Aset Tetap Lainnya",'Daftar Koreksi'!$H$5:$H$92,"&gt;0")</f>
        <v>0</v>
      </c>
      <c r="F188" s="25">
        <f>SUMIFS('Daftar Koreksi'!$H$5:$H$92,'Daftar Koreksi'!$D$5:$D$92,'1100'!A180,'Daftar Koreksi'!$G$5:$G$92,"Aset Tetap Lainnya",'Daftar Koreksi'!$H$5:$H$92,"&lt;0")-SUMIFS('Daftar Koreksi'!$H$5:$H$92,'Daftar Koreksi'!$D$5:$D$92,'1100'!A180,'Daftar Koreksi'!$G$5:$G$92,"Aset Tetap Lainnya",'Daftar Koreksi'!$H$5:$H$92,"&lt;0")-SUMIFS('Daftar Koreksi'!$H$5:$H$92,'Daftar Koreksi'!$D$5:$D$92,'1100'!A180,'Daftar Koreksi'!$G$5:$G$92,"Aset Tetap Lainnya",'Daftar Koreksi'!$H$5:$H$92,"&lt;0")</f>
        <v>0</v>
      </c>
      <c r="G188" s="17">
        <f t="shared" si="8"/>
        <v>66334050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Koreksi'!$D$5:$D$92,'1100'!A180,'Daftar Koreksi'!$G$5:$G$92,"Kontruksi Dalam Pengerjaan",'Daftar Koreksi'!$H$5:$H$92,"&gt;0")</f>
        <v>0</v>
      </c>
      <c r="F189" s="25">
        <f>SUMIFS('Daftar Koreksi'!$H$5:$H$92,'Daftar Koreksi'!$D$5:$D$92,'1100'!A180,'Daftar Koreksi'!$G$5:$G$92,"Kontruksi Dalam Pengerjaan",'Daftar Koreksi'!$H$5:$H$92,"&lt;0")-SUMIFS('Daftar Koreksi'!$H$5:$H$92,'Daftar Koreksi'!$D$5:$D$92,'1100'!A180,'Daftar Koreksi'!$G$5:$G$92,"Kontruksi Dalam Pengerjaan",'Daftar Koreksi'!$H$5:$H$92,"&lt;0")-SUMIFS('Daftar Koreksi'!$H$5:$H$92,'Daftar Koreksi'!$D$5:$D$92,'1100'!A180,'Daftar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30300000</v>
      </c>
      <c r="E190" s="25">
        <f>SUMIFS('Daftar Koreksi'!$H$5:$H$92,'Daftar Koreksi'!$D$5:$D$92,'1100'!A180,'Daftar Koreksi'!$G$5:$G$92,"Aset Tak Berwujud",'Daftar Koreksi'!$H$5:$H$92,"&gt;0")</f>
        <v>0</v>
      </c>
      <c r="F190" s="25">
        <f>SUMIFS('Daftar Koreksi'!$H$5:$H$92,'Daftar Koreksi'!$D$5:$D$92,'1100'!A180,'Daftar Koreksi'!$G$5:$G$92,"Aset Tak Berwujud",'Daftar Koreksi'!$H$5:$H$92,"&lt;0")-SUMIFS('Daftar Koreksi'!$H$5:$H$92,'Daftar Koreksi'!$D$5:$D$92,'1100'!A180,'Daftar Koreksi'!$G$5:$G$92,"Aset Tak Berwujud",'Daftar Koreksi'!$H$5:$H$92,"&lt;0")-SUMIFS('Daftar Koreksi'!$H$5:$H$92,'Daftar Koreksi'!$D$5:$D$92,'1100'!A180,'Daftar Koreksi'!$G$5:$G$92,"Aset Tak Berwujud",'Daftar Koreksi'!$H$5:$H$92,"&lt;0")</f>
        <v>0</v>
      </c>
      <c r="G190" s="17">
        <f t="shared" si="8"/>
        <v>30300000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22811000</v>
      </c>
      <c r="E191" s="25">
        <f>SUMIFS('Daftar Koreksi'!$H$5:$H$92,'Daftar Koreksi'!$D$5:$D$92,'1100'!A180,'Daftar Koreksi'!$G$5:$G$92,"Aset Henti Guna",'Daftar Koreksi'!$H$5:$H$92,"&gt;0")</f>
        <v>0</v>
      </c>
      <c r="F191" s="25">
        <f>SUMIFS('Daftar Koreksi'!$H$5:$H$92,'Daftar Koreksi'!$D$5:$D$92,'1100'!A180,'Daftar Koreksi'!$G$5:$G$92,"Aset Henti Guna",'Daftar Koreksi'!$H$5:$H$92,"&lt;0")-SUMIFS('Daftar Koreksi'!$H$5:$H$92,'Daftar Koreksi'!$D$5:$D$92,'1100'!A180,'Daftar Koreksi'!$G$5:$G$92,"Aset Henti Guna",'Daftar Koreksi'!$H$5:$H$92,"&lt;0")-SUMIFS('Daftar Koreksi'!$H$5:$H$92,'Daftar Koreksi'!$D$5:$D$92,'1100'!A180,'Daftar Koreksi'!$G$5:$G$92,"Aset Henti Guna",'Daftar Koreksi'!$H$5:$H$92,"&lt;0")</f>
        <v>0</v>
      </c>
      <c r="G191" s="17">
        <f t="shared" si="8"/>
        <v>22811000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14264369343</v>
      </c>
      <c r="E192" s="19">
        <f>SUM(E183:E191)</f>
        <v>0</v>
      </c>
      <c r="F192" s="19">
        <f>SUM(F183:F191)</f>
        <v>0</v>
      </c>
      <c r="G192" s="19">
        <f t="shared" si="8"/>
        <v>14264369343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-2892875909</v>
      </c>
      <c r="E193" s="25">
        <f>SUMIFS('Daftar Koreksi'!$I$5:$I$92,'Daftar Koreksi'!$D$5:$D$92,'1100'!A180,'Daftar Koreksi'!$G$5:$G$92,"Peralatan dan mesin",'Daftar Koreksi'!$I$5:$I$92,"&gt;0")</f>
        <v>0</v>
      </c>
      <c r="F193" s="25">
        <f>SUMIFS('Daftar Koreksi'!$I$5:$I$92,'Daftar Koreksi'!$D$5:$D$92,'1100'!A180,'Daftar Koreksi'!$G$5:$G$92,"Peralatan dan mesin",'Daftar Koreksi'!$I$5:$I$92,"&lt;0")-SUMIFS('Daftar Koreksi'!$I$5:$I$92,'Daftar Koreksi'!$D$5:$D$92,'1100'!A180,'Daftar Koreksi'!$G$5:$G$92,"Peralatan dan mesin",'Daftar Koreksi'!$I$5:$I$92,"&lt;0")-SUMIFS('Daftar Koreksi'!$I$5:$I$92,'Daftar Koreksi'!$D$5:$D$92,'1100'!A180,'Daftar Koreksi'!$G$5:$G$92,"Peralatan dan mesin",'Daftar Koreksi'!$I$5:$I$92,"&lt;0")</f>
        <v>0</v>
      </c>
      <c r="G193" s="17">
        <f t="shared" si="8"/>
        <v>-2892875909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-943259214</v>
      </c>
      <c r="E194" s="25">
        <f>SUMIFS('Daftar Koreksi'!$I$5:$I$92,'Daftar Koreksi'!$D$5:$D$92,'1100'!A180,'Daftar Koreksi'!$G$5:$G$92,"Gedung dan Bangunan",'Daftar Koreksi'!$I$5:$I$92,"&gt;0")</f>
        <v>0</v>
      </c>
      <c r="F194" s="25">
        <f>SUMIFS('Daftar Koreksi'!$I$5:$I$92,'Daftar Koreksi'!$D$5:$D$92,'1100'!A180,'Daftar Koreksi'!$G$5:$G$92,"Gedung dan Bangunan",'Daftar Koreksi'!$I$5:$I$92,"&lt;0")-SUMIFS('Daftar Koreksi'!$I$5:$I$92,'Daftar Koreksi'!$D$5:$D$92,'1100'!A180,'Daftar Koreksi'!$G$5:$G$92,"Gedung dan Bangunan",'Daftar Koreksi'!$I$5:$I$92,"&lt;0")-SUMIFS('Daftar Koreksi'!$I$5:$I$92,'Daftar Koreksi'!$D$5:$D$92,'1100'!A180,'Daftar Koreksi'!$G$5:$G$92,"Gedung dan Bangunan",'Daftar Koreksi'!$I$5:$I$92,"&lt;0")</f>
        <v>0</v>
      </c>
      <c r="G194" s="17">
        <f t="shared" si="8"/>
        <v>-943259214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Koreksi'!$D$5:$D$92,'1100'!A180,'Daftar Koreksi'!$G$5:$G$92,"Jalan Irigasi Jaringan",'Daftar Koreksi'!$I$5:$I$92,"&gt;0")</f>
        <v>0</v>
      </c>
      <c r="F195" s="25">
        <f>SUMIFS('Daftar Koreksi'!$I$5:$I$92,'Daftar Koreksi'!$D$5:$D$92,'1100'!A180,'Daftar Koreksi'!$G$5:$G$92,"Jalan Irigasi Jaringan",'Daftar Koreksi'!$I$5:$I$92,"&lt;0")-SUMIFS('Daftar Koreksi'!$I$5:$I$92,'Daftar Koreksi'!$D$5:$D$92,'1100'!A180,'Daftar Koreksi'!$G$5:$G$92,"Jalan Irigasi Jaringan",'Daftar Koreksi'!$I$5:$I$92,"&lt;0")-SUMIFS('Daftar Koreksi'!$I$5:$I$92,'Daftar Koreksi'!$D$5:$D$92,'1100'!A180,'Daftar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Koreksi'!$D$5:$D$92,'1100'!A180,'Daftar Koreksi'!$G$5:$G$92,"Aset Tetap Lainnya",'Daftar Koreksi'!$I$5:$I$92,"&gt;0")</f>
        <v>0</v>
      </c>
      <c r="F196" s="25">
        <f>SUMIFS('Daftar Koreksi'!$I$5:$I$92,'Daftar Koreksi'!$D$5:$D$92,'1100'!A180,'Daftar Koreksi'!$G$5:$G$92,"Aset Tetap Lainnya",'Daftar Koreksi'!$I$5:$I$92,"&lt;0")-SUMIFS('Daftar Koreksi'!$I$5:$I$92,'Daftar Koreksi'!$D$5:$D$92,'1100'!A180,'Daftar Koreksi'!$G$5:$G$92,"Aset Tetap Lainnya",'Daftar Koreksi'!$I$5:$I$92,"&lt;0")-SUMIFS('Daftar Koreksi'!$I$5:$I$92,'Daftar Koreksi'!$D$5:$D$92,'1100'!A180,'Daftar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-22811000</v>
      </c>
      <c r="E197" s="25">
        <f>SUMIFS('Daftar Koreksi'!$I$5:$I$92,'Daftar Koreksi'!$D$5:$D$92,'1100'!A180,'Daftar Koreksi'!$G$5:$G$92,"Aset Henti Guna",'Daftar Koreksi'!$I$5:$I$92,"&gt;0")</f>
        <v>0</v>
      </c>
      <c r="F197" s="25">
        <f>SUMIFS('Daftar Koreksi'!$I$5:$I$92,'Daftar Koreksi'!$D$5:$D$92,'1100'!A180,'Daftar Koreksi'!$G$5:$G$92,"Aset Henti Guna",'Daftar Koreksi'!$I$5:$I$92,"&lt;0")-SUMIFS('Daftar Koreksi'!$I$5:$I$92,'Daftar Koreksi'!$D$5:$D$92,'1100'!A180,'Daftar Koreksi'!$G$5:$G$92,"Aset Henti Guna",'Daftar Koreksi'!$I$5:$I$92,"&lt;0")-SUMIFS('Daftar Koreksi'!$I$5:$I$92,'Daftar Koreksi'!$D$5:$D$92,'1100'!A180,'Daftar Koreksi'!$G$5:$G$92,"Aset Henti Guna",'Daftar Koreksi'!$I$5:$I$92,"&lt;0")</f>
        <v>0</v>
      </c>
      <c r="G197" s="17">
        <f t="shared" si="8"/>
        <v>-22811000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-3858946123</v>
      </c>
      <c r="E198" s="19">
        <f>SUM(E193:E197)</f>
        <v>0</v>
      </c>
      <c r="F198" s="19">
        <f>SUM(F193:F197)</f>
        <v>0</v>
      </c>
      <c r="G198" s="19">
        <f t="shared" si="8"/>
        <v>-3858946123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10405423220</v>
      </c>
      <c r="E199" s="19">
        <f>E198+E192</f>
        <v>0</v>
      </c>
      <c r="F199" s="19">
        <f>F198+F192</f>
        <v>0</v>
      </c>
      <c r="G199" s="19">
        <f t="shared" si="8"/>
        <v>10405423220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005011100402242000KD</v>
      </c>
      <c r="B202" s="11" t="str">
        <f>P10</f>
        <v>PA. Palembang</v>
      </c>
      <c r="C202" s="12" t="str">
        <f>A202&amp;" "&amp;B202</f>
        <v>005011100402242000KD PA. Palembang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4705000</v>
      </c>
      <c r="E205" s="25">
        <f>SUMIFS('Daftar Koreksi'!$H$5:$H$92,'Daftar Koreksi'!$D$5:$D$92,'1100'!A202,'Daftar Koreksi'!$G$5:$G$92,"Persediaan",'Daftar Koreksi'!$H$5:$H$92,"&gt;0")</f>
        <v>0</v>
      </c>
      <c r="F205" s="25">
        <f>SUMIFS('Daftar Koreksi'!$H$5:$H$92,'Daftar Koreksi'!$D$5:$D$92,'1100'!A202,'Daftar Koreksi'!$G$5:$G$92,"Persediaan",'Daftar Koreksi'!$H$5:$H$92,"&lt;0")-SUMIFS('Daftar Koreksi'!$H$5:$H$92,'Daftar Koreksi'!$D$5:$D$92,'1100'!A202,'Daftar Koreksi'!$G$5:$G$92,"Persediaan",'Daftar Koreksi'!$H$5:$H$92,"&lt;0")-SUMIFS('Daftar Koreksi'!$H$5:$H$92,'Daftar Koreksi'!$D$5:$D$92,'1100'!A202,'Daftar Koreksi'!$G$5:$G$92,"Persediaan",'Daftar Koreksi'!$H$5:$H$92,"&lt;0")</f>
        <v>0</v>
      </c>
      <c r="G205" s="17">
        <f>D205+E205-F205</f>
        <v>4705000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863400000</v>
      </c>
      <c r="E206" s="25">
        <f>SUMIFS('Daftar Koreksi'!$H$5:$H$92,'Daftar Koreksi'!$D$5:$D$92,'1100'!A202,'Daftar Koreksi'!$G$5:$G$92,"Tanah",'Daftar Koreksi'!$H$5:$H$92,"&gt;0")</f>
        <v>0</v>
      </c>
      <c r="F206" s="25">
        <f>SUMIFS('Daftar Koreksi'!$H$5:$H$92,'Daftar Koreksi'!$D$5:$D$92,'1100'!A202,'Daftar Koreksi'!$G$5:$G$92,"Tanah",'Daftar Koreksi'!$H$5:$H$92,"&lt;0")-SUMIFS('Daftar Koreksi'!$H$5:$H$92,'Daftar Koreksi'!$D$5:$D$92,'1100'!A202,'Daftar Koreksi'!$G$5:$G$92,"Tanah",'Daftar Koreksi'!$H$5:$H$92,"&lt;0")-SUMIFS('Daftar Koreksi'!$H$5:$H$92,'Daftar Koreksi'!$D$5:$D$92,'1100'!A202,'Daftar Koreksi'!$G$5:$G$92,"Tanah",'Daftar Koreksi'!$H$5:$H$92,"&lt;0")</f>
        <v>0</v>
      </c>
      <c r="G206" s="17">
        <f t="shared" ref="G206:G222" si="9">D206+E206-F206</f>
        <v>863400000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1640602916</v>
      </c>
      <c r="E207" s="25">
        <f>SUMIFS('Daftar Koreksi'!$H$5:$H$92,'Daftar Koreksi'!$D$5:$D$92,'1100'!A202,'Daftar Koreksi'!$G$5:$G$92,"Peralatan dan mesin",'Daftar Koreksi'!$H$5:$H$92,"&gt;0")</f>
        <v>0</v>
      </c>
      <c r="F207" s="25">
        <f>SUMIFS('Daftar Koreksi'!$H$5:$H$92,'Daftar Koreksi'!$D$5:$D$92,'1100'!A202,'Daftar Koreksi'!$G$5:$G$92,"Peralatan dan mesin",'Daftar Koreksi'!$H$5:$H$92,"&lt;0")-SUMIFS('Daftar Koreksi'!$H$5:$H$92,'Daftar Koreksi'!$D$5:$D$92,'1100'!A202,'Daftar Koreksi'!$G$5:$G$92,"Peralatan dan mesin",'Daftar Koreksi'!$H$5:$H$92,"&lt;0")-SUMIFS('Daftar Koreksi'!$H$5:$H$92,'Daftar Koreksi'!$D$5:$D$92,'1100'!A202,'Daftar Koreksi'!$G$5:$G$92,"Peralatan dan mesin",'Daftar Koreksi'!$H$5:$H$92,"&lt;0")</f>
        <v>0</v>
      </c>
      <c r="G207" s="17">
        <f t="shared" si="9"/>
        <v>1640602916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3151785000</v>
      </c>
      <c r="E208" s="25">
        <f>SUMIFS('Daftar Koreksi'!$H$5:$H$92,'Daftar Koreksi'!$D$5:$D$92,'1100'!A202,'Daftar Koreksi'!$G$5:$G$92,"Gedung dan Bangunan",'Daftar Koreksi'!$H$5:$H$92,"&gt;0")</f>
        <v>0</v>
      </c>
      <c r="F208" s="25">
        <f>SUMIFS('Daftar Koreksi'!$H$5:$H$92,'Daftar Koreksi'!$D$5:$D$92,'1100'!A202,'Daftar Koreksi'!$G$5:$G$92,"Gedung dan Bangunan",'Daftar Koreksi'!$H$5:$H$92,"&lt;0")-SUMIFS('Daftar Koreksi'!$H$5:$H$92,'Daftar Koreksi'!$D$5:$D$92,'1100'!A202,'Daftar Koreksi'!$G$5:$G$92,"Gedung dan Bangunan",'Daftar Koreksi'!$H$5:$H$92,"&lt;0")-SUMIFS('Daftar Koreksi'!$H$5:$H$92,'Daftar Koreksi'!$D$5:$D$92,'1100'!A202,'Daftar Koreksi'!$G$5:$G$92,"Gedung dan Bangunan",'Daftar Koreksi'!$H$5:$H$92,"&lt;0")</f>
        <v>0</v>
      </c>
      <c r="G208" s="17">
        <f t="shared" si="9"/>
        <v>3151785000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140000</v>
      </c>
      <c r="E209" s="25">
        <f>SUMIFS('Daftar Koreksi'!$H$5:$H$92,'Daftar Koreksi'!$D$5:$D$92,'1100'!A202,'Daftar Koreksi'!$G$5:$G$92,"Jalan Irigasi Jaringan",'Daftar Koreksi'!$H$5:$H$92,"&gt;0")</f>
        <v>0</v>
      </c>
      <c r="F209" s="25">
        <f>SUMIFS('Daftar Koreksi'!$H$5:$H$92,'Daftar Koreksi'!$D$5:$D$92,'1100'!A202,'Daftar Koreksi'!$G$5:$G$92,"Jalan Irigasi Jaringan",'Daftar Koreksi'!$H$5:$H$92,"&lt;0")-SUMIFS('Daftar Koreksi'!$H$5:$H$92,'Daftar Koreksi'!$D$5:$D$92,'1100'!A202,'Daftar Koreksi'!$G$5:$G$92,"Jalan Irigasi Jaringan",'Daftar Koreksi'!$H$5:$H$92,"&lt;0")-SUMIFS('Daftar Koreksi'!$H$5:$H$92,'Daftar Koreksi'!$D$5:$D$92,'1100'!A202,'Daftar Koreksi'!$G$5:$G$92,"Jalan Irigasi Jaringan",'Daftar Koreksi'!$H$5:$H$92,"&lt;0")</f>
        <v>0</v>
      </c>
      <c r="G209" s="17">
        <f t="shared" si="9"/>
        <v>140000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5846500</v>
      </c>
      <c r="E210" s="25">
        <f>SUMIFS('Daftar Koreksi'!$H$5:$H$92,'Daftar Koreksi'!$D$5:$D$92,'1100'!A202,'Daftar Koreksi'!$G$5:$G$92,"Aset Tetap Lainnya",'Daftar Koreksi'!$H$5:$H$92,"&gt;0")</f>
        <v>0</v>
      </c>
      <c r="F210" s="25">
        <f>SUMIFS('Daftar Koreksi'!$H$5:$H$92,'Daftar Koreksi'!$D$5:$D$92,'1100'!A202,'Daftar Koreksi'!$G$5:$G$92,"Aset Tetap Lainnya",'Daftar Koreksi'!$H$5:$H$92,"&lt;0")-SUMIFS('Daftar Koreksi'!$H$5:$H$92,'Daftar Koreksi'!$D$5:$D$92,'1100'!A202,'Daftar Koreksi'!$G$5:$G$92,"Aset Tetap Lainnya",'Daftar Koreksi'!$H$5:$H$92,"&lt;0")-SUMIFS('Daftar Koreksi'!$H$5:$H$92,'Daftar Koreksi'!$D$5:$D$92,'1100'!A202,'Daftar Koreksi'!$G$5:$G$92,"Aset Tetap Lainnya",'Daftar Koreksi'!$H$5:$H$92,"&lt;0")</f>
        <v>0</v>
      </c>
      <c r="G210" s="17">
        <f t="shared" si="9"/>
        <v>5846500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Koreksi'!$D$5:$D$92,'1100'!A202,'Daftar Koreksi'!$G$5:$G$92,"Kontruksi Dalam Pengerjaan",'Daftar Koreksi'!$H$5:$H$92,"&gt;0")</f>
        <v>0</v>
      </c>
      <c r="F211" s="25">
        <f>SUMIFS('Daftar Koreksi'!$H$5:$H$92,'Daftar Koreksi'!$D$5:$D$92,'1100'!A202,'Daftar Koreksi'!$G$5:$G$92,"Kontruksi Dalam Pengerjaan",'Daftar Koreksi'!$H$5:$H$92,"&lt;0")-SUMIFS('Daftar Koreksi'!$H$5:$H$92,'Daftar Koreksi'!$D$5:$D$92,'1100'!A202,'Daftar Koreksi'!$G$5:$G$92,"Kontruksi Dalam Pengerjaan",'Daftar Koreksi'!$H$5:$H$92,"&lt;0")-SUMIFS('Daftar Koreksi'!$H$5:$H$92,'Daftar Koreksi'!$D$5:$D$92,'1100'!A202,'Daftar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29548617</v>
      </c>
      <c r="E212" s="25">
        <f>SUMIFS('Daftar Koreksi'!$H$5:$H$92,'Daftar Koreksi'!$D$5:$D$92,'1100'!A202,'Daftar Koreksi'!$G$5:$G$92,"Aset Tak Berwujud",'Daftar Koreksi'!$H$5:$H$92,"&gt;0")</f>
        <v>0</v>
      </c>
      <c r="F212" s="25">
        <f>SUMIFS('Daftar Koreksi'!$H$5:$H$92,'Daftar Koreksi'!$D$5:$D$92,'1100'!A202,'Daftar Koreksi'!$G$5:$G$92,"Aset Tak Berwujud",'Daftar Koreksi'!$H$5:$H$92,"&lt;0")-SUMIFS('Daftar Koreksi'!$H$5:$H$92,'Daftar Koreksi'!$D$5:$D$92,'1100'!A202,'Daftar Koreksi'!$G$5:$G$92,"Aset Tak Berwujud",'Daftar Koreksi'!$H$5:$H$92,"&lt;0")-SUMIFS('Daftar Koreksi'!$H$5:$H$92,'Daftar Koreksi'!$D$5:$D$92,'1100'!A202,'Daftar Koreksi'!$G$5:$G$92,"Aset Tak Berwujud",'Daftar Koreksi'!$H$5:$H$92,"&lt;0")</f>
        <v>0</v>
      </c>
      <c r="G212" s="17">
        <f t="shared" si="9"/>
        <v>29548617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43018181</v>
      </c>
      <c r="E213" s="25">
        <f>SUMIFS('Daftar Koreksi'!$H$5:$H$92,'Daftar Koreksi'!$D$5:$D$92,'1100'!A202,'Daftar Koreksi'!$G$5:$G$92,"Aset Henti Guna",'Daftar Koreksi'!$H$5:$H$92,"&gt;0")</f>
        <v>0</v>
      </c>
      <c r="F213" s="25">
        <f>SUMIFS('Daftar Koreksi'!$H$5:$H$92,'Daftar Koreksi'!$D$5:$D$92,'1100'!A202,'Daftar Koreksi'!$G$5:$G$92,"Aset Henti Guna",'Daftar Koreksi'!$H$5:$H$92,"&lt;0")-SUMIFS('Daftar Koreksi'!$H$5:$H$92,'Daftar Koreksi'!$D$5:$D$92,'1100'!A202,'Daftar Koreksi'!$G$5:$G$92,"Aset Henti Guna",'Daftar Koreksi'!$H$5:$H$92,"&lt;0")-SUMIFS('Daftar Koreksi'!$H$5:$H$92,'Daftar Koreksi'!$D$5:$D$92,'1100'!A202,'Daftar Koreksi'!$G$5:$G$92,"Aset Henti Guna",'Daftar Koreksi'!$H$5:$H$92,"&lt;0")</f>
        <v>0</v>
      </c>
      <c r="G213" s="17">
        <f t="shared" si="9"/>
        <v>43018181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5739046214</v>
      </c>
      <c r="E214" s="19">
        <f>SUM(E205:E213)</f>
        <v>0</v>
      </c>
      <c r="F214" s="19">
        <f>SUM(F205:F213)</f>
        <v>0</v>
      </c>
      <c r="G214" s="19">
        <f t="shared" si="9"/>
        <v>5739046214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-1344370176</v>
      </c>
      <c r="E215" s="25">
        <f>SUMIFS('Daftar Koreksi'!$I$5:$I$92,'Daftar Koreksi'!$D$5:$D$92,'1100'!A202,'Daftar Koreksi'!$G$5:$G$92,"Peralatan dan mesin",'Daftar Koreksi'!$I$5:$I$92,"&gt;0")</f>
        <v>0</v>
      </c>
      <c r="F215" s="25">
        <f>SUMIFS('Daftar Koreksi'!$I$5:$I$92,'Daftar Koreksi'!$D$5:$D$92,'1100'!A202,'Daftar Koreksi'!$G$5:$G$92,"Peralatan dan mesin",'Daftar Koreksi'!$I$5:$I$92,"&lt;0")-SUMIFS('Daftar Koreksi'!$I$5:$I$92,'Daftar Koreksi'!$D$5:$D$92,'1100'!A202,'Daftar Koreksi'!$G$5:$G$92,"Peralatan dan mesin",'Daftar Koreksi'!$I$5:$I$92,"&lt;0")-SUMIFS('Daftar Koreksi'!$I$5:$I$92,'Daftar Koreksi'!$D$5:$D$92,'1100'!A202,'Daftar Koreksi'!$G$5:$G$92,"Peralatan dan mesin",'Daftar Koreksi'!$I$5:$I$92,"&lt;0")</f>
        <v>0</v>
      </c>
      <c r="G215" s="17">
        <f t="shared" si="9"/>
        <v>-1344370176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-230276677</v>
      </c>
      <c r="E216" s="25">
        <f>SUMIFS('Daftar Koreksi'!$I$5:$I$92,'Daftar Koreksi'!$D$5:$D$92,'1100'!A202,'Daftar Koreksi'!$G$5:$G$92,"Gedung dan Bangunan",'Daftar Koreksi'!$I$5:$I$92,"&gt;0")</f>
        <v>0</v>
      </c>
      <c r="F216" s="25">
        <f>SUMIFS('Daftar Koreksi'!$I$5:$I$92,'Daftar Koreksi'!$D$5:$D$92,'1100'!A202,'Daftar Koreksi'!$G$5:$G$92,"Gedung dan Bangunan",'Daftar Koreksi'!$I$5:$I$92,"&lt;0")-SUMIFS('Daftar Koreksi'!$I$5:$I$92,'Daftar Koreksi'!$D$5:$D$92,'1100'!A202,'Daftar Koreksi'!$G$5:$G$92,"Gedung dan Bangunan",'Daftar Koreksi'!$I$5:$I$92,"&lt;0")-SUMIFS('Daftar Koreksi'!$I$5:$I$92,'Daftar Koreksi'!$D$5:$D$92,'1100'!A202,'Daftar Koreksi'!$G$5:$G$92,"Gedung dan Bangunan",'Daftar Koreksi'!$I$5:$I$92,"&lt;0")</f>
        <v>0</v>
      </c>
      <c r="G216" s="17">
        <f t="shared" si="9"/>
        <v>-230276677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-63000</v>
      </c>
      <c r="E217" s="25">
        <f>SUMIFS('Daftar Koreksi'!$I$5:$I$92,'Daftar Koreksi'!$D$5:$D$92,'1100'!A202,'Daftar Koreksi'!$G$5:$G$92,"Jalan Irigasi Jaringan",'Daftar Koreksi'!$I$5:$I$92,"&gt;0")</f>
        <v>0</v>
      </c>
      <c r="F217" s="25">
        <f>SUMIFS('Daftar Koreksi'!$I$5:$I$92,'Daftar Koreksi'!$D$5:$D$92,'1100'!A202,'Daftar Koreksi'!$G$5:$G$92,"Jalan Irigasi Jaringan",'Daftar Koreksi'!$I$5:$I$92,"&lt;0")-SUMIFS('Daftar Koreksi'!$I$5:$I$92,'Daftar Koreksi'!$D$5:$D$92,'1100'!A202,'Daftar Koreksi'!$G$5:$G$92,"Jalan Irigasi Jaringan",'Daftar Koreksi'!$I$5:$I$92,"&lt;0")-SUMIFS('Daftar Koreksi'!$I$5:$I$92,'Daftar Koreksi'!$D$5:$D$92,'1100'!A202,'Daftar Koreksi'!$G$5:$G$92,"Jalan Irigasi Jaringan",'Daftar Koreksi'!$I$5:$I$92,"&lt;0")</f>
        <v>0</v>
      </c>
      <c r="G217" s="17">
        <f t="shared" si="9"/>
        <v>-63000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Koreksi'!$D$5:$D$92,'1100'!A202,'Daftar Koreksi'!$G$5:$G$92,"Aset Tetap Lainnya",'Daftar Koreksi'!$I$5:$I$92,"&gt;0")</f>
        <v>0</v>
      </c>
      <c r="F218" s="25">
        <f>SUMIFS('Daftar Koreksi'!$I$5:$I$92,'Daftar Koreksi'!$D$5:$D$92,'1100'!A202,'Daftar Koreksi'!$G$5:$G$92,"Aset Tetap Lainnya",'Daftar Koreksi'!$I$5:$I$92,"&lt;0")-SUMIFS('Daftar Koreksi'!$I$5:$I$92,'Daftar Koreksi'!$D$5:$D$92,'1100'!A202,'Daftar Koreksi'!$G$5:$G$92,"Aset Tetap Lainnya",'Daftar Koreksi'!$I$5:$I$92,"&lt;0")-SUMIFS('Daftar Koreksi'!$I$5:$I$92,'Daftar Koreksi'!$D$5:$D$92,'1100'!A202,'Daftar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-33268181</v>
      </c>
      <c r="E219" s="25">
        <f>SUMIFS('Daftar Koreksi'!$I$5:$I$92,'Daftar Koreksi'!$D$5:$D$92,'1100'!A202,'Daftar Koreksi'!$G$5:$G$92,"Aset Henti Guna",'Daftar Koreksi'!$I$5:$I$92,"&gt;0")</f>
        <v>0</v>
      </c>
      <c r="F219" s="25">
        <f>SUMIFS('Daftar Koreksi'!$I$5:$I$92,'Daftar Koreksi'!$D$5:$D$92,'1100'!A202,'Daftar Koreksi'!$G$5:$G$92,"Aset Henti Guna",'Daftar Koreksi'!$I$5:$I$92,"&lt;0")-SUMIFS('Daftar Koreksi'!$I$5:$I$92,'Daftar Koreksi'!$D$5:$D$92,'1100'!A202,'Daftar Koreksi'!$G$5:$G$92,"Aset Henti Guna",'Daftar Koreksi'!$I$5:$I$92,"&lt;0")-SUMIFS('Daftar Koreksi'!$I$5:$I$92,'Daftar Koreksi'!$D$5:$D$92,'1100'!A202,'Daftar Koreksi'!$G$5:$G$92,"Aset Henti Guna",'Daftar Koreksi'!$I$5:$I$92,"&lt;0")</f>
        <v>0</v>
      </c>
      <c r="G219" s="17">
        <f t="shared" si="9"/>
        <v>-33268181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-1607978034</v>
      </c>
      <c r="E220" s="19">
        <f>SUM(E215:E219)</f>
        <v>0</v>
      </c>
      <c r="F220" s="19">
        <f>SUM(F215:F219)</f>
        <v>0</v>
      </c>
      <c r="G220" s="19">
        <f t="shared" si="9"/>
        <v>-1607978034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4131068180</v>
      </c>
      <c r="E221" s="19">
        <f>E220+E214</f>
        <v>0</v>
      </c>
      <c r="F221" s="19">
        <f>F220+F214</f>
        <v>0</v>
      </c>
      <c r="G221" s="19">
        <f t="shared" si="9"/>
        <v>4131068180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005011100402251000KD</v>
      </c>
      <c r="B224" s="11" t="str">
        <f>P11</f>
        <v>PA. Lahat</v>
      </c>
      <c r="C224" s="12" t="str">
        <f>A224&amp;" "&amp;B224</f>
        <v>005011100402251000KD PA. Lahat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597000</v>
      </c>
      <c r="E227" s="25">
        <f>SUMIFS('Daftar Koreksi'!$H$5:$H$92,'Daftar Koreksi'!$D$5:$D$92,'1100'!A224,'Daftar Koreksi'!$G$5:$G$92,"Persediaan",'Daftar Koreksi'!$H$5:$H$92,"&gt;0")</f>
        <v>0</v>
      </c>
      <c r="F227" s="25">
        <f>SUMIFS('Daftar Koreksi'!$H$5:$H$92,'Daftar Koreksi'!$D$5:$D$92,'1100'!A224,'Daftar Koreksi'!$G$5:$G$92,"Persediaan",'Daftar Koreksi'!$H$5:$H$92,"&lt;0")-SUMIFS('Daftar Koreksi'!$H$5:$H$92,'Daftar Koreksi'!$D$5:$D$92,'1100'!A224,'Daftar Koreksi'!$G$5:$G$92,"Persediaan",'Daftar Koreksi'!$H$5:$H$92,"&lt;0")-SUMIFS('Daftar Koreksi'!$H$5:$H$92,'Daftar Koreksi'!$D$5:$D$92,'1100'!A224,'Daftar Koreksi'!$G$5:$G$92,"Persediaan",'Daftar Koreksi'!$H$5:$H$92,"&lt;0")</f>
        <v>0</v>
      </c>
      <c r="G227" s="17">
        <f>D227+E227-F227</f>
        <v>597000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266910000</v>
      </c>
      <c r="E228" s="25">
        <f>SUMIFS('Daftar Koreksi'!$H$5:$H$92,'Daftar Koreksi'!$D$5:$D$92,'1100'!A224,'Daftar Koreksi'!$G$5:$G$92,"Tanah",'Daftar Koreksi'!$H$5:$H$92,"&gt;0")</f>
        <v>0</v>
      </c>
      <c r="F228" s="25">
        <f>SUMIFS('Daftar Koreksi'!$H$5:$H$92,'Daftar Koreksi'!$D$5:$D$92,'1100'!A224,'Daftar Koreksi'!$G$5:$G$92,"Tanah",'Daftar Koreksi'!$H$5:$H$92,"&lt;0")-SUMIFS('Daftar Koreksi'!$H$5:$H$92,'Daftar Koreksi'!$D$5:$D$92,'1100'!A224,'Daftar Koreksi'!$G$5:$G$92,"Tanah",'Daftar Koreksi'!$H$5:$H$92,"&lt;0")-SUMIFS('Daftar Koreksi'!$H$5:$H$92,'Daftar Koreksi'!$D$5:$D$92,'1100'!A224,'Daftar Koreksi'!$G$5:$G$92,"Tanah",'Daftar Koreksi'!$H$5:$H$92,"&lt;0")</f>
        <v>0</v>
      </c>
      <c r="G228" s="17">
        <f t="shared" ref="G228:G244" si="10">D228+E228-F228</f>
        <v>266910000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908331315</v>
      </c>
      <c r="E229" s="25">
        <f>SUMIFS('Daftar Koreksi'!$H$5:$H$92,'Daftar Koreksi'!$D$5:$D$92,'1100'!A224,'Daftar Koreksi'!$G$5:$G$92,"Peralatan dan mesin",'Daftar Koreksi'!$H$5:$H$92,"&gt;0")</f>
        <v>0</v>
      </c>
      <c r="F229" s="25">
        <f>SUMIFS('Daftar Koreksi'!$H$5:$H$92,'Daftar Koreksi'!$D$5:$D$92,'1100'!A224,'Daftar Koreksi'!$G$5:$G$92,"Peralatan dan mesin",'Daftar Koreksi'!$H$5:$H$92,"&lt;0")-SUMIFS('Daftar Koreksi'!$H$5:$H$92,'Daftar Koreksi'!$D$5:$D$92,'1100'!A224,'Daftar Koreksi'!$G$5:$G$92,"Peralatan dan mesin",'Daftar Koreksi'!$H$5:$H$92,"&lt;0")-SUMIFS('Daftar Koreksi'!$H$5:$H$92,'Daftar Koreksi'!$D$5:$D$92,'1100'!A224,'Daftar Koreksi'!$G$5:$G$92,"Peralatan dan mesin",'Daftar Koreksi'!$H$5:$H$92,"&lt;0")</f>
        <v>0</v>
      </c>
      <c r="G229" s="17">
        <f t="shared" si="10"/>
        <v>908331315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2232225000</v>
      </c>
      <c r="E230" s="25">
        <f>SUMIFS('Daftar Koreksi'!$H$5:$H$92,'Daftar Koreksi'!$D$5:$D$92,'1100'!A224,'Daftar Koreksi'!$G$5:$G$92,"Gedung dan Bangunan",'Daftar Koreksi'!$H$5:$H$92,"&gt;0")</f>
        <v>0</v>
      </c>
      <c r="F230" s="25">
        <f>SUMIFS('Daftar Koreksi'!$H$5:$H$92,'Daftar Koreksi'!$D$5:$D$92,'1100'!A224,'Daftar Koreksi'!$G$5:$G$92,"Gedung dan Bangunan",'Daftar Koreksi'!$H$5:$H$92,"&lt;0")-SUMIFS('Daftar Koreksi'!$H$5:$H$92,'Daftar Koreksi'!$D$5:$D$92,'1100'!A224,'Daftar Koreksi'!$G$5:$G$92,"Gedung dan Bangunan",'Daftar Koreksi'!$H$5:$H$92,"&lt;0")-SUMIFS('Daftar Koreksi'!$H$5:$H$92,'Daftar Koreksi'!$D$5:$D$92,'1100'!A224,'Daftar Koreksi'!$G$5:$G$92,"Gedung dan Bangunan",'Daftar Koreksi'!$H$5:$H$92,"&lt;0")</f>
        <v>0</v>
      </c>
      <c r="G230" s="17">
        <f t="shared" si="10"/>
        <v>2232225000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113085209</v>
      </c>
      <c r="E231" s="25">
        <f>SUMIFS('Daftar Koreksi'!$H$5:$H$92,'Daftar Koreksi'!$D$5:$D$92,'1100'!A224,'Daftar Koreksi'!$G$5:$G$92,"Jalan Irigasi Jaringan",'Daftar Koreksi'!$H$5:$H$92,"&gt;0")</f>
        <v>0</v>
      </c>
      <c r="F231" s="25">
        <f>SUMIFS('Daftar Koreksi'!$H$5:$H$92,'Daftar Koreksi'!$D$5:$D$92,'1100'!A224,'Daftar Koreksi'!$G$5:$G$92,"Jalan Irigasi Jaringan",'Daftar Koreksi'!$H$5:$H$92,"&lt;0")-SUMIFS('Daftar Koreksi'!$H$5:$H$92,'Daftar Koreksi'!$D$5:$D$92,'1100'!A224,'Daftar Koreksi'!$G$5:$G$92,"Jalan Irigasi Jaringan",'Daftar Koreksi'!$H$5:$H$92,"&lt;0")-SUMIFS('Daftar Koreksi'!$H$5:$H$92,'Daftar Koreksi'!$D$5:$D$92,'1100'!A224,'Daftar Koreksi'!$G$5:$G$92,"Jalan Irigasi Jaringan",'Daftar Koreksi'!$H$5:$H$92,"&lt;0")</f>
        <v>0</v>
      </c>
      <c r="G231" s="17">
        <f t="shared" si="10"/>
        <v>113085209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9738400</v>
      </c>
      <c r="E232" s="25">
        <f>SUMIFS('Daftar Koreksi'!$H$5:$H$92,'Daftar Koreksi'!$D$5:$D$92,'1100'!A224,'Daftar Koreksi'!$G$5:$G$92,"Aset Tetap Lainnya",'Daftar Koreksi'!$H$5:$H$92,"&gt;0")</f>
        <v>0</v>
      </c>
      <c r="F232" s="25">
        <f>SUMIFS('Daftar Koreksi'!$H$5:$H$92,'Daftar Koreksi'!$D$5:$D$92,'1100'!A224,'Daftar Koreksi'!$G$5:$G$92,"Aset Tetap Lainnya",'Daftar Koreksi'!$H$5:$H$92,"&lt;0")-SUMIFS('Daftar Koreksi'!$H$5:$H$92,'Daftar Koreksi'!$D$5:$D$92,'1100'!A224,'Daftar Koreksi'!$G$5:$G$92,"Aset Tetap Lainnya",'Daftar Koreksi'!$H$5:$H$92,"&lt;0")-SUMIFS('Daftar Koreksi'!$H$5:$H$92,'Daftar Koreksi'!$D$5:$D$92,'1100'!A224,'Daftar Koreksi'!$G$5:$G$92,"Aset Tetap Lainnya",'Daftar Koreksi'!$H$5:$H$92,"&lt;0")</f>
        <v>0</v>
      </c>
      <c r="G232" s="17">
        <f t="shared" si="10"/>
        <v>9738400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Koreksi'!$D$5:$D$92,'1100'!A224,'Daftar Koreksi'!$G$5:$G$92,"Kontruksi Dalam Pengerjaan",'Daftar Koreksi'!$H$5:$H$92,"&gt;0")</f>
        <v>0</v>
      </c>
      <c r="F233" s="25">
        <f>SUMIFS('Daftar Koreksi'!$H$5:$H$92,'Daftar Koreksi'!$D$5:$D$92,'1100'!A224,'Daftar Koreksi'!$G$5:$G$92,"Kontruksi Dalam Pengerjaan",'Daftar Koreksi'!$H$5:$H$92,"&lt;0")-SUMIFS('Daftar Koreksi'!$H$5:$H$92,'Daftar Koreksi'!$D$5:$D$92,'1100'!A224,'Daftar Koreksi'!$G$5:$G$92,"Kontruksi Dalam Pengerjaan",'Daftar Koreksi'!$H$5:$H$92,"&lt;0")-SUMIFS('Daftar Koreksi'!$H$5:$H$92,'Daftar Koreksi'!$D$5:$D$92,'1100'!A224,'Daftar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Koreksi'!$D$5:$D$92,'1100'!A224,'Daftar Koreksi'!$G$5:$G$92,"Aset Tak Berwujud",'Daftar Koreksi'!$H$5:$H$92,"&gt;0")</f>
        <v>0</v>
      </c>
      <c r="F234" s="25">
        <f>SUMIFS('Daftar Koreksi'!$H$5:$H$92,'Daftar Koreksi'!$D$5:$D$92,'1100'!A224,'Daftar Koreksi'!$G$5:$G$92,"Aset Tak Berwujud",'Daftar Koreksi'!$H$5:$H$92,"&lt;0")-SUMIFS('Daftar Koreksi'!$H$5:$H$92,'Daftar Koreksi'!$D$5:$D$92,'1100'!A224,'Daftar Koreksi'!$G$5:$G$92,"Aset Tak Berwujud",'Daftar Koreksi'!$H$5:$H$92,"&lt;0")-SUMIFS('Daftar Koreksi'!$H$5:$H$92,'Daftar Koreksi'!$D$5:$D$92,'1100'!A224,'Daftar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7030000</v>
      </c>
      <c r="E235" s="25">
        <f>SUMIFS('Daftar Koreksi'!$H$5:$H$92,'Daftar Koreksi'!$D$5:$D$92,'1100'!A224,'Daftar Koreksi'!$G$5:$G$92,"Aset Henti Guna",'Daftar Koreksi'!$H$5:$H$92,"&gt;0")</f>
        <v>0</v>
      </c>
      <c r="F235" s="25">
        <f>SUMIFS('Daftar Koreksi'!$H$5:$H$92,'Daftar Koreksi'!$D$5:$D$92,'1100'!A224,'Daftar Koreksi'!$G$5:$G$92,"Aset Henti Guna",'Daftar Koreksi'!$H$5:$H$92,"&lt;0")-SUMIFS('Daftar Koreksi'!$H$5:$H$92,'Daftar Koreksi'!$D$5:$D$92,'1100'!A224,'Daftar Koreksi'!$G$5:$G$92,"Aset Henti Guna",'Daftar Koreksi'!$H$5:$H$92,"&lt;0")-SUMIFS('Daftar Koreksi'!$H$5:$H$92,'Daftar Koreksi'!$D$5:$D$92,'1100'!A224,'Daftar Koreksi'!$G$5:$G$92,"Aset Henti Guna",'Daftar Koreksi'!$H$5:$H$92,"&lt;0")</f>
        <v>0</v>
      </c>
      <c r="G235" s="17">
        <f t="shared" si="10"/>
        <v>7030000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3537916924</v>
      </c>
      <c r="E236" s="19">
        <f>SUM(E227:E235)</f>
        <v>0</v>
      </c>
      <c r="F236" s="19">
        <f>SUM(F227:F235)</f>
        <v>0</v>
      </c>
      <c r="G236" s="19">
        <f t="shared" si="10"/>
        <v>3537916924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-778437881</v>
      </c>
      <c r="E237" s="25">
        <f>SUMIFS('Daftar Koreksi'!$I$5:$I$92,'Daftar Koreksi'!$D$5:$D$92,'1100'!A224,'Daftar Koreksi'!$G$5:$G$92,"Peralatan dan mesin",'Daftar Koreksi'!$I$5:$I$92,"&gt;0")</f>
        <v>0</v>
      </c>
      <c r="F237" s="25">
        <f>SUMIFS('Daftar Koreksi'!$I$5:$I$92,'Daftar Koreksi'!$D$5:$D$92,'1100'!A224,'Daftar Koreksi'!$G$5:$G$92,"Peralatan dan mesin",'Daftar Koreksi'!$I$5:$I$92,"&lt;0")-SUMIFS('Daftar Koreksi'!$I$5:$I$92,'Daftar Koreksi'!$D$5:$D$92,'1100'!A224,'Daftar Koreksi'!$G$5:$G$92,"Peralatan dan mesin",'Daftar Koreksi'!$I$5:$I$92,"&lt;0")-SUMIFS('Daftar Koreksi'!$I$5:$I$92,'Daftar Koreksi'!$D$5:$D$92,'1100'!A224,'Daftar Koreksi'!$G$5:$G$92,"Peralatan dan mesin",'Daftar Koreksi'!$I$5:$I$92,"&lt;0")</f>
        <v>0</v>
      </c>
      <c r="G237" s="17">
        <f t="shared" si="10"/>
        <v>-778437881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-288370870</v>
      </c>
      <c r="E238" s="25">
        <f>SUMIFS('Daftar Koreksi'!$I$5:$I$92,'Daftar Koreksi'!$D$5:$D$92,'1100'!A224,'Daftar Koreksi'!$G$5:$G$92,"Gedung dan Bangunan",'Daftar Koreksi'!$I$5:$I$92,"&gt;0")</f>
        <v>0</v>
      </c>
      <c r="F238" s="25">
        <f>SUMIFS('Daftar Koreksi'!$I$5:$I$92,'Daftar Koreksi'!$D$5:$D$92,'1100'!A224,'Daftar Koreksi'!$G$5:$G$92,"Gedung dan Bangunan",'Daftar Koreksi'!$I$5:$I$92,"&lt;0")-SUMIFS('Daftar Koreksi'!$I$5:$I$92,'Daftar Koreksi'!$D$5:$D$92,'1100'!A224,'Daftar Koreksi'!$G$5:$G$92,"Gedung dan Bangunan",'Daftar Koreksi'!$I$5:$I$92,"&lt;0")-SUMIFS('Daftar Koreksi'!$I$5:$I$92,'Daftar Koreksi'!$D$5:$D$92,'1100'!A224,'Daftar Koreksi'!$G$5:$G$92,"Gedung dan Bangunan",'Daftar Koreksi'!$I$5:$I$92,"&lt;0")</f>
        <v>0</v>
      </c>
      <c r="G238" s="17">
        <f t="shared" si="10"/>
        <v>-288370870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-72570773</v>
      </c>
      <c r="E239" s="25">
        <f>SUMIFS('Daftar Koreksi'!$I$5:$I$92,'Daftar Koreksi'!$D$5:$D$92,'1100'!A224,'Daftar Koreksi'!$G$5:$G$92,"Jalan Irigasi Jaringan",'Daftar Koreksi'!$I$5:$I$92,"&gt;0")</f>
        <v>0</v>
      </c>
      <c r="F239" s="25">
        <f>SUMIFS('Daftar Koreksi'!$I$5:$I$92,'Daftar Koreksi'!$D$5:$D$92,'1100'!A224,'Daftar Koreksi'!$G$5:$G$92,"Jalan Irigasi Jaringan",'Daftar Koreksi'!$I$5:$I$92,"&lt;0")-SUMIFS('Daftar Koreksi'!$I$5:$I$92,'Daftar Koreksi'!$D$5:$D$92,'1100'!A224,'Daftar Koreksi'!$G$5:$G$92,"Jalan Irigasi Jaringan",'Daftar Koreksi'!$I$5:$I$92,"&lt;0")-SUMIFS('Daftar Koreksi'!$I$5:$I$92,'Daftar Koreksi'!$D$5:$D$92,'1100'!A224,'Daftar Koreksi'!$G$5:$G$92,"Jalan Irigasi Jaringan",'Daftar Koreksi'!$I$5:$I$92,"&lt;0")</f>
        <v>0</v>
      </c>
      <c r="G239" s="17">
        <f t="shared" si="10"/>
        <v>-72570773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Koreksi'!$D$5:$D$92,'1100'!A224,'Daftar Koreksi'!$G$5:$G$92,"Aset Tetap Lainnya",'Daftar Koreksi'!$I$5:$I$92,"&gt;0")</f>
        <v>0</v>
      </c>
      <c r="F240" s="25">
        <f>SUMIFS('Daftar Koreksi'!$I$5:$I$92,'Daftar Koreksi'!$D$5:$D$92,'1100'!A224,'Daftar Koreksi'!$G$5:$G$92,"Aset Tetap Lainnya",'Daftar Koreksi'!$I$5:$I$92,"&lt;0")-SUMIFS('Daftar Koreksi'!$I$5:$I$92,'Daftar Koreksi'!$D$5:$D$92,'1100'!A224,'Daftar Koreksi'!$G$5:$G$92,"Aset Tetap Lainnya",'Daftar Koreksi'!$I$5:$I$92,"&lt;0")-SUMIFS('Daftar Koreksi'!$I$5:$I$92,'Daftar Koreksi'!$D$5:$D$92,'1100'!A224,'Daftar Koreksi'!$G$5:$G$92,"Aset Tetap Lainnya",'Daftar Koreksi'!$I$5:$I$92,"&lt;0")</f>
        <v>0</v>
      </c>
      <c r="G240" s="17">
        <f t="shared" si="10"/>
        <v>0</v>
      </c>
      <c r="H240" s="122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-6733000</v>
      </c>
      <c r="E241" s="25">
        <f>SUMIFS('Daftar Koreksi'!$I$5:$I$92,'Daftar Koreksi'!$D$5:$D$92,'1100'!A224,'Daftar Koreksi'!$G$5:$G$92,"Aset Henti Guna",'Daftar Koreksi'!$I$5:$I$92,"&gt;0")</f>
        <v>0</v>
      </c>
      <c r="F241" s="25">
        <f>SUMIFS('Daftar Koreksi'!$I$5:$I$92,'Daftar Koreksi'!$D$5:$D$92,'1100'!A224,'Daftar Koreksi'!$G$5:$G$92,"Aset Henti Guna",'Daftar Koreksi'!$I$5:$I$92,"&lt;0")-SUMIFS('Daftar Koreksi'!$I$5:$I$92,'Daftar Koreksi'!$D$5:$D$92,'1100'!A224,'Daftar Koreksi'!$G$5:$G$92,"Aset Henti Guna",'Daftar Koreksi'!$I$5:$I$92,"&lt;0")-SUMIFS('Daftar Koreksi'!$I$5:$I$92,'Daftar Koreksi'!$D$5:$D$92,'1100'!A224,'Daftar Koreksi'!$G$5:$G$92,"Aset Henti Guna",'Daftar Koreksi'!$I$5:$I$92,"&lt;0")</f>
        <v>0</v>
      </c>
      <c r="G241" s="17">
        <f t="shared" si="10"/>
        <v>-6733000</v>
      </c>
      <c r="H241" s="122"/>
    </row>
    <row r="242" spans="1:10" ht="21.95" customHeight="1">
      <c r="A242" s="14"/>
      <c r="B242" s="14"/>
      <c r="C242" s="18" t="s">
        <v>2094</v>
      </c>
      <c r="D242" s="19">
        <f>SUM(D237:D241)</f>
        <v>-1146112524</v>
      </c>
      <c r="E242" s="19">
        <f>SUM(E237:E241)</f>
        <v>0</v>
      </c>
      <c r="F242" s="19">
        <f>SUM(F237:F241)</f>
        <v>0</v>
      </c>
      <c r="G242" s="19">
        <f t="shared" si="10"/>
        <v>-1146112524</v>
      </c>
      <c r="H242" s="122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2391804400</v>
      </c>
      <c r="E243" s="19">
        <f>E242+E236</f>
        <v>0</v>
      </c>
      <c r="F243" s="19">
        <f>F242+F236</f>
        <v>0</v>
      </c>
      <c r="G243" s="19">
        <f t="shared" si="10"/>
        <v>2391804400</v>
      </c>
      <c r="H243" s="122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10" ht="19.5" customHeight="1">
      <c r="A246" s="11" t="str">
        <f>O12</f>
        <v>005011100402267000KD</v>
      </c>
      <c r="B246" s="11" t="str">
        <f>P12</f>
        <v>PA. Baturaja</v>
      </c>
      <c r="C246" s="12" t="str">
        <f>A246&amp;" "&amp;B246</f>
        <v>005011100402267000KD PA. Baturaja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5652250</v>
      </c>
      <c r="E249" s="25">
        <f>SUMIFS('Daftar Koreksi'!$H$5:$H$92,'Daftar Koreksi'!$D$5:$D$92,'1100'!A246,'Daftar Koreksi'!$G$5:$G$92,"Persediaan",'Daftar Koreksi'!$H$5:$H$92,"&gt;0")</f>
        <v>0</v>
      </c>
      <c r="F249" s="25">
        <f>SUMIFS('Daftar Koreksi'!$H$5:$H$92,'Daftar Koreksi'!$D$5:$D$92,'1100'!A246,'Daftar Koreksi'!$G$5:$G$92,"Persediaan",'Daftar Koreksi'!$H$5:$H$92,"&lt;0")-SUMIFS('Daftar Koreksi'!$H$5:$H$92,'Daftar Koreksi'!$D$5:$D$92,'1100'!A246,'Daftar Koreksi'!$G$5:$G$92,"Persediaan",'Daftar Koreksi'!$H$5:$H$92,"&lt;0")-SUMIFS('Daftar Koreksi'!$H$5:$H$92,'Daftar Koreksi'!$D$5:$D$92,'1100'!A246,'Daftar Koreksi'!$G$5:$G$92,"Persediaan",'Daftar Koreksi'!$H$5:$H$92,"&lt;0")</f>
        <v>0</v>
      </c>
      <c r="G249" s="17">
        <f>D249+E249-F249</f>
        <v>5652250</v>
      </c>
      <c r="H249" s="121" t="str">
        <f>IF(ISNA(VLOOKUP(A246,'Mutasi Neraca'!$A$3:$S$914,19,FALSE)),"-",VLOOKUP(A246,'Mutasi Neraca'!$A$3:$S$914,19,FALSE))</f>
        <v>-</v>
      </c>
      <c r="I249" s="28"/>
      <c r="J249" s="28"/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1712402600</v>
      </c>
      <c r="E250" s="25">
        <f>SUMIFS('Daftar Koreksi'!$H$5:$H$92,'Daftar Koreksi'!$D$5:$D$92,'1100'!A246,'Daftar Koreksi'!$G$5:$G$92,"Tanah",'Daftar Koreksi'!$H$5:$H$92,"&gt;0")</f>
        <v>0</v>
      </c>
      <c r="F250" s="25">
        <f>SUMIFS('Daftar Koreksi'!$H$5:$H$92,'Daftar Koreksi'!$D$5:$D$92,'1100'!A246,'Daftar Koreksi'!$G$5:$G$92,"Tanah",'Daftar Koreksi'!$H$5:$H$92,"&lt;0")-SUMIFS('Daftar Koreksi'!$H$5:$H$92,'Daftar Koreksi'!$D$5:$D$92,'1100'!A246,'Daftar Koreksi'!$G$5:$G$92,"Tanah",'Daftar Koreksi'!$H$5:$H$92,"&lt;0")-SUMIFS('Daftar Koreksi'!$H$5:$H$92,'Daftar Koreksi'!$D$5:$D$92,'1100'!A246,'Daftar Koreksi'!$G$5:$G$92,"Tanah",'Daftar Koreksi'!$H$5:$H$92,"&lt;0")</f>
        <v>0</v>
      </c>
      <c r="G250" s="17">
        <f t="shared" ref="G250:G266" si="11">D250+E250-F250</f>
        <v>1712402600</v>
      </c>
      <c r="H250" s="122"/>
      <c r="I250" s="28"/>
      <c r="J250" s="28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1313910246</v>
      </c>
      <c r="E251" s="25">
        <f>SUMIFS('Daftar Koreksi'!$H$5:$H$92,'Daftar Koreksi'!$D$5:$D$92,'1100'!A246,'Daftar Koreksi'!$G$5:$G$92,"Peralatan dan mesin",'Daftar Koreksi'!$H$5:$H$92,"&gt;0")</f>
        <v>0</v>
      </c>
      <c r="F251" s="25">
        <f>SUMIFS('Daftar Koreksi'!$H$5:$H$92,'Daftar Koreksi'!$D$5:$D$92,'1100'!A246,'Daftar Koreksi'!$G$5:$G$92,"Peralatan dan mesin",'Daftar Koreksi'!$H$5:$H$92,"&lt;0")-SUMIFS('Daftar Koreksi'!$H$5:$H$92,'Daftar Koreksi'!$D$5:$D$92,'1100'!A246,'Daftar Koreksi'!$G$5:$G$92,"Peralatan dan mesin",'Daftar Koreksi'!$H$5:$H$92,"&lt;0")-SUMIFS('Daftar Koreksi'!$H$5:$H$92,'Daftar Koreksi'!$D$5:$D$92,'1100'!A246,'Daftar Koreksi'!$G$5:$G$92,"Peralatan dan mesin",'Daftar Koreksi'!$H$5:$H$92,"&lt;0")</f>
        <v>0</v>
      </c>
      <c r="G251" s="17">
        <f t="shared" si="11"/>
        <v>1313910246</v>
      </c>
      <c r="H251" s="122"/>
      <c r="I251" s="28"/>
      <c r="J251" s="28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5808412955</v>
      </c>
      <c r="E252" s="25">
        <f>SUMIFS('Daftar Koreksi'!$H$5:$H$92,'Daftar Koreksi'!$D$5:$D$92,'1100'!A246,'Daftar Koreksi'!$G$5:$G$92,"Gedung dan Bangunan",'Daftar Koreksi'!$H$5:$H$92,"&gt;0")</f>
        <v>0</v>
      </c>
      <c r="F252" s="25">
        <f>SUMIFS('Daftar Koreksi'!$H$5:$H$92,'Daftar Koreksi'!$D$5:$D$92,'1100'!A246,'Daftar Koreksi'!$G$5:$G$92,"Gedung dan Bangunan",'Daftar Koreksi'!$H$5:$H$92,"&lt;0")-SUMIFS('Daftar Koreksi'!$H$5:$H$92,'Daftar Koreksi'!$D$5:$D$92,'1100'!A246,'Daftar Koreksi'!$G$5:$G$92,"Gedung dan Bangunan",'Daftar Koreksi'!$H$5:$H$92,"&lt;0")-SUMIFS('Daftar Koreksi'!$H$5:$H$92,'Daftar Koreksi'!$D$5:$D$92,'1100'!A246,'Daftar Koreksi'!$G$5:$G$92,"Gedung dan Bangunan",'Daftar Koreksi'!$H$5:$H$92,"&lt;0")</f>
        <v>0</v>
      </c>
      <c r="G252" s="17">
        <f t="shared" si="11"/>
        <v>5808412955</v>
      </c>
      <c r="H252" s="122"/>
      <c r="I252" s="28"/>
      <c r="J252" s="28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11600000</v>
      </c>
      <c r="E253" s="25">
        <f>SUMIFS('Daftar Koreksi'!$H$5:$H$92,'Daftar Koreksi'!$D$5:$D$92,'1100'!A246,'Daftar Koreksi'!$G$5:$G$92,"Jalan Irigasi Jaringan",'Daftar Koreksi'!$H$5:$H$92,"&gt;0")</f>
        <v>0</v>
      </c>
      <c r="F253" s="25">
        <f>SUMIFS('Daftar Koreksi'!$H$5:$H$92,'Daftar Koreksi'!$D$5:$D$92,'1100'!A246,'Daftar Koreksi'!$G$5:$G$92,"Jalan Irigasi Jaringan",'Daftar Koreksi'!$H$5:$H$92,"&lt;0")-SUMIFS('Daftar Koreksi'!$H$5:$H$92,'Daftar Koreksi'!$D$5:$D$92,'1100'!A246,'Daftar Koreksi'!$G$5:$G$92,"Jalan Irigasi Jaringan",'Daftar Koreksi'!$H$5:$H$92,"&lt;0")-SUMIFS('Daftar Koreksi'!$H$5:$H$92,'Daftar Koreksi'!$D$5:$D$92,'1100'!A246,'Daftar Koreksi'!$G$5:$G$92,"Jalan Irigasi Jaringan",'Daftar Koreksi'!$H$5:$H$92,"&lt;0")</f>
        <v>0</v>
      </c>
      <c r="G253" s="17">
        <f t="shared" si="11"/>
        <v>11600000</v>
      </c>
      <c r="H253" s="122"/>
      <c r="I253" s="28"/>
      <c r="J253" s="28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60966450</v>
      </c>
      <c r="E254" s="25">
        <f>SUMIFS('Daftar Koreksi'!$H$5:$H$92,'Daftar Koreksi'!$D$5:$D$92,'1100'!A246,'Daftar Koreksi'!$G$5:$G$92,"Aset Tetap Lainnya",'Daftar Koreksi'!$H$5:$H$92,"&gt;0")</f>
        <v>0</v>
      </c>
      <c r="F254" s="25">
        <f>SUMIFS('Daftar Koreksi'!$H$5:$H$92,'Daftar Koreksi'!$D$5:$D$92,'1100'!A246,'Daftar Koreksi'!$G$5:$G$92,"Aset Tetap Lainnya",'Daftar Koreksi'!$H$5:$H$92,"&lt;0")-SUMIFS('Daftar Koreksi'!$H$5:$H$92,'Daftar Koreksi'!$D$5:$D$92,'1100'!A246,'Daftar Koreksi'!$G$5:$G$92,"Aset Tetap Lainnya",'Daftar Koreksi'!$H$5:$H$92,"&lt;0")-SUMIFS('Daftar Koreksi'!$H$5:$H$92,'Daftar Koreksi'!$D$5:$D$92,'1100'!A246,'Daftar Koreksi'!$G$5:$G$92,"Aset Tetap Lainnya",'Daftar Koreksi'!$H$5:$H$92,"&lt;0")</f>
        <v>0</v>
      </c>
      <c r="G254" s="17">
        <f t="shared" si="11"/>
        <v>60966450</v>
      </c>
      <c r="H254" s="122"/>
      <c r="I254" s="28"/>
      <c r="J254" s="28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Koreksi'!$D$5:$D$92,'1100'!A246,'Daftar Koreksi'!$G$5:$G$92,"Kontruksi Dalam Pengerjaan",'Daftar Koreksi'!$H$5:$H$92,"&gt;0")</f>
        <v>0</v>
      </c>
      <c r="F255" s="25">
        <f>SUMIFS('Daftar Koreksi'!$H$5:$H$92,'Daftar Koreksi'!$D$5:$D$92,'1100'!A246,'Daftar Koreksi'!$G$5:$G$92,"Kontruksi Dalam Pengerjaan",'Daftar Koreksi'!$H$5:$H$92,"&lt;0")-SUMIFS('Daftar Koreksi'!$H$5:$H$92,'Daftar Koreksi'!$D$5:$D$92,'1100'!A246,'Daftar Koreksi'!$G$5:$G$92,"Kontruksi Dalam Pengerjaan",'Daftar Koreksi'!$H$5:$H$92,"&lt;0")-SUMIFS('Daftar Koreksi'!$H$5:$H$92,'Daftar Koreksi'!$D$5:$D$92,'1100'!A246,'Daftar Koreksi'!$G$5:$G$92,"Kontruksi Dalam Pengerjaan",'Daftar Koreksi'!$H$5:$H$92,"&lt;0")</f>
        <v>0</v>
      </c>
      <c r="G255" s="17">
        <f t="shared" si="11"/>
        <v>0</v>
      </c>
      <c r="H255" s="122"/>
      <c r="I255" s="28"/>
      <c r="J255" s="28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13000000</v>
      </c>
      <c r="E256" s="25">
        <f>SUMIFS('Daftar Koreksi'!$H$5:$H$92,'Daftar Koreksi'!$D$5:$D$92,'1100'!A246,'Daftar Koreksi'!$G$5:$G$92,"Aset Tak Berwujud",'Daftar Koreksi'!$H$5:$H$92,"&gt;0")</f>
        <v>0</v>
      </c>
      <c r="F256" s="25">
        <f>SUMIFS('Daftar Koreksi'!$H$5:$H$92,'Daftar Koreksi'!$D$5:$D$92,'1100'!A246,'Daftar Koreksi'!$G$5:$G$92,"Aset Tak Berwujud",'Daftar Koreksi'!$H$5:$H$92,"&lt;0")-SUMIFS('Daftar Koreksi'!$H$5:$H$92,'Daftar Koreksi'!$D$5:$D$92,'1100'!A246,'Daftar Koreksi'!$G$5:$G$92,"Aset Tak Berwujud",'Daftar Koreksi'!$H$5:$H$92,"&lt;0")-SUMIFS('Daftar Koreksi'!$H$5:$H$92,'Daftar Koreksi'!$D$5:$D$92,'1100'!A246,'Daftar Koreksi'!$G$5:$G$92,"Aset Tak Berwujud",'Daftar Koreksi'!$H$5:$H$92,"&lt;0")</f>
        <v>0</v>
      </c>
      <c r="G256" s="17">
        <f t="shared" si="11"/>
        <v>13000000</v>
      </c>
      <c r="H256" s="122"/>
      <c r="I256" s="28"/>
      <c r="J256" s="28"/>
    </row>
    <row r="257" spans="1:10" ht="21.95" customHeight="1">
      <c r="A257" s="14"/>
      <c r="B257" s="14"/>
      <c r="C257" s="16" t="s">
        <v>1173</v>
      </c>
      <c r="D257" s="17">
        <f>VLOOKUP(A246,'Neraca Unaudited SIMAK'!$A$2:$S$10004,11,FALSE)</f>
        <v>146000</v>
      </c>
      <c r="E257" s="25">
        <f>SUMIFS('Daftar Koreksi'!$H$5:$H$92,'Daftar Koreksi'!$D$5:$D$92,'1100'!A246,'Daftar Koreksi'!$G$5:$G$92,"Aset Henti Guna",'Daftar Koreksi'!$H$5:$H$92,"&gt;0")</f>
        <v>0</v>
      </c>
      <c r="F257" s="25">
        <f>SUMIFS('Daftar Koreksi'!$H$5:$H$92,'Daftar Koreksi'!$D$5:$D$92,'1100'!A246,'Daftar Koreksi'!$G$5:$G$92,"Aset Henti Guna",'Daftar Koreksi'!$H$5:$H$92,"&lt;0")-SUMIFS('Daftar Koreksi'!$H$5:$H$92,'Daftar Koreksi'!$D$5:$D$92,'1100'!A246,'Daftar Koreksi'!$G$5:$G$92,"Aset Henti Guna",'Daftar Koreksi'!$H$5:$H$92,"&lt;0")-SUMIFS('Daftar Koreksi'!$H$5:$H$92,'Daftar Koreksi'!$D$5:$D$92,'1100'!A246,'Daftar Koreksi'!$G$5:$G$92,"Aset Henti Guna",'Daftar Koreksi'!$H$5:$H$92,"&lt;0")</f>
        <v>0</v>
      </c>
      <c r="G257" s="17">
        <f t="shared" si="11"/>
        <v>146000</v>
      </c>
      <c r="H257" s="122"/>
      <c r="I257" s="28"/>
      <c r="J257" s="28"/>
    </row>
    <row r="258" spans="1:10" ht="21.95" customHeight="1">
      <c r="A258" s="14"/>
      <c r="B258" s="14"/>
      <c r="C258" s="18" t="s">
        <v>2093</v>
      </c>
      <c r="D258" s="19">
        <f>VLOOKUP(A246,'Neraca Unaudited SIMAK'!$A$2:$S$10004,12,FALSE)</f>
        <v>8926090501</v>
      </c>
      <c r="E258" s="19">
        <f>SUM(E249:E257)</f>
        <v>0</v>
      </c>
      <c r="F258" s="19">
        <f>SUM(F249:F257)</f>
        <v>0</v>
      </c>
      <c r="G258" s="19">
        <f t="shared" si="11"/>
        <v>8926090501</v>
      </c>
      <c r="H258" s="122"/>
      <c r="I258" s="28"/>
      <c r="J258" s="28"/>
    </row>
    <row r="259" spans="1:10" ht="21.95" customHeight="1">
      <c r="A259" s="14"/>
      <c r="B259" s="14"/>
      <c r="C259" s="16" t="s">
        <v>2087</v>
      </c>
      <c r="D259" s="17">
        <f>VLOOKUP(A246,'Neraca Unaudited SIMAK'!$A$2:$S$10004,13,FALSE)</f>
        <v>-1023939233</v>
      </c>
      <c r="E259" s="25">
        <f>SUMIFS('Daftar Koreksi'!$I$5:$I$92,'Daftar Koreksi'!$D$5:$D$92,'1100'!A246,'Daftar Koreksi'!$G$5:$G$92,"Peralatan dan mesin",'Daftar Koreksi'!$I$5:$I$92,"&gt;0")</f>
        <v>0</v>
      </c>
      <c r="F259" s="25">
        <f>SUMIFS('Daftar Koreksi'!$I$5:$I$92,'Daftar Koreksi'!$D$5:$D$92,'1100'!A246,'Daftar Koreksi'!$G$5:$G$92,"Peralatan dan mesin",'Daftar Koreksi'!$I$5:$I$92,"&lt;0")-SUMIFS('Daftar Koreksi'!$I$5:$I$92,'Daftar Koreksi'!$D$5:$D$92,'1100'!A246,'Daftar Koreksi'!$G$5:$G$92,"Peralatan dan mesin",'Daftar Koreksi'!$I$5:$I$92,"&lt;0")-SUMIFS('Daftar Koreksi'!$I$5:$I$92,'Daftar Koreksi'!$D$5:$D$92,'1100'!A246,'Daftar Koreksi'!$G$5:$G$92,"Peralatan dan mesin",'Daftar Koreksi'!$I$5:$I$92,"&lt;0")</f>
        <v>0</v>
      </c>
      <c r="G259" s="17">
        <f t="shared" si="11"/>
        <v>-1023939233</v>
      </c>
      <c r="H259" s="122"/>
      <c r="I259" s="28"/>
      <c r="J259" s="28"/>
    </row>
    <row r="260" spans="1:10" ht="21.95" customHeight="1">
      <c r="A260" s="14"/>
      <c r="B260" s="14"/>
      <c r="C260" s="16" t="s">
        <v>2088</v>
      </c>
      <c r="D260" s="17">
        <f>VLOOKUP(A246,'Neraca Unaudited SIMAK'!$A$2:$S$10004,14,FALSE)</f>
        <v>-506802768</v>
      </c>
      <c r="E260" s="25">
        <f>SUMIFS('Daftar Koreksi'!$I$5:$I$92,'Daftar Koreksi'!$D$5:$D$92,'1100'!A246,'Daftar Koreksi'!$G$5:$G$92,"Gedung dan Bangunan",'Daftar Koreksi'!$I$5:$I$92,"&gt;0")</f>
        <v>0</v>
      </c>
      <c r="F260" s="25">
        <f>SUMIFS('Daftar Koreksi'!$I$5:$I$92,'Daftar Koreksi'!$D$5:$D$92,'1100'!A246,'Daftar Koreksi'!$G$5:$G$92,"Gedung dan Bangunan",'Daftar Koreksi'!$I$5:$I$92,"&lt;0")-SUMIFS('Daftar Koreksi'!$I$5:$I$92,'Daftar Koreksi'!$D$5:$D$92,'1100'!A246,'Daftar Koreksi'!$G$5:$G$92,"Gedung dan Bangunan",'Daftar Koreksi'!$I$5:$I$92,"&lt;0")-SUMIFS('Daftar Koreksi'!$I$5:$I$92,'Daftar Koreksi'!$D$5:$D$92,'1100'!A246,'Daftar Koreksi'!$G$5:$G$92,"Gedung dan Bangunan",'Daftar Koreksi'!$I$5:$I$92,"&lt;0")</f>
        <v>0</v>
      </c>
      <c r="G260" s="17">
        <f t="shared" si="11"/>
        <v>-506802768</v>
      </c>
      <c r="H260" s="122"/>
      <c r="I260" s="28"/>
      <c r="J260" s="28"/>
    </row>
    <row r="261" spans="1:10" ht="21.95" customHeight="1">
      <c r="A261" s="14"/>
      <c r="B261" s="14"/>
      <c r="C261" s="16" t="s">
        <v>2089</v>
      </c>
      <c r="D261" s="17">
        <f>VLOOKUP(A246,'Neraca Unaudited SIMAK'!$A$2:$S$10004,15,FALSE)</f>
        <v>-7787500</v>
      </c>
      <c r="E261" s="25">
        <f>SUMIFS('Daftar Koreksi'!$I$5:$I$92,'Daftar Koreksi'!$D$5:$D$92,'1100'!A246,'Daftar Koreksi'!$G$5:$G$92,"Jalan Irigasi Jaringan",'Daftar Koreksi'!$I$5:$I$92,"&gt;0")</f>
        <v>0</v>
      </c>
      <c r="F261" s="25">
        <f>SUMIFS('Daftar Koreksi'!$I$5:$I$92,'Daftar Koreksi'!$D$5:$D$92,'1100'!A246,'Daftar Koreksi'!$G$5:$G$92,"Jalan Irigasi Jaringan",'Daftar Koreksi'!$I$5:$I$92,"&lt;0")-SUMIFS('Daftar Koreksi'!$I$5:$I$92,'Daftar Koreksi'!$D$5:$D$92,'1100'!A246,'Daftar Koreksi'!$G$5:$G$92,"Jalan Irigasi Jaringan",'Daftar Koreksi'!$I$5:$I$92,"&lt;0")-SUMIFS('Daftar Koreksi'!$I$5:$I$92,'Daftar Koreksi'!$D$5:$D$92,'1100'!A246,'Daftar Koreksi'!$G$5:$G$92,"Jalan Irigasi Jaringan",'Daftar Koreksi'!$I$5:$I$92,"&lt;0")</f>
        <v>0</v>
      </c>
      <c r="G261" s="17">
        <f t="shared" si="11"/>
        <v>-7787500</v>
      </c>
      <c r="H261" s="122"/>
      <c r="I261" s="28"/>
      <c r="J261" s="28"/>
    </row>
    <row r="262" spans="1:10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Koreksi'!$D$5:$D$92,'1100'!A246,'Daftar Koreksi'!$G$5:$G$92,"Aset Tetap Lainnya",'Daftar Koreksi'!$I$5:$I$92,"&gt;0")</f>
        <v>0</v>
      </c>
      <c r="F262" s="25">
        <f>SUMIFS('Daftar Koreksi'!$I$5:$I$92,'Daftar Koreksi'!$D$5:$D$92,'1100'!A246,'Daftar Koreksi'!$G$5:$G$92,"Aset Tetap Lainnya",'Daftar Koreksi'!$I$5:$I$92,"&lt;0")-SUMIFS('Daftar Koreksi'!$I$5:$I$92,'Daftar Koreksi'!$D$5:$D$92,'1100'!A246,'Daftar Koreksi'!$G$5:$G$92,"Aset Tetap Lainnya",'Daftar Koreksi'!$I$5:$I$92,"&lt;0")-SUMIFS('Daftar Koreksi'!$I$5:$I$92,'Daftar Koreksi'!$D$5:$D$92,'1100'!A246,'Daftar Koreksi'!$G$5:$G$92,"Aset Tetap Lainnya",'Daftar Koreksi'!$I$5:$I$92,"&lt;0")</f>
        <v>0</v>
      </c>
      <c r="G262" s="17">
        <f t="shared" si="11"/>
        <v>0</v>
      </c>
      <c r="H262" s="122"/>
      <c r="I262" s="28"/>
      <c r="J262" s="28"/>
    </row>
    <row r="263" spans="1:10" ht="21.95" customHeight="1">
      <c r="A263" s="14"/>
      <c r="B263" s="14"/>
      <c r="C263" s="16" t="s">
        <v>2020</v>
      </c>
      <c r="D263" s="17">
        <f>VLOOKUP(A246,'Neraca Unaudited SIMAK'!$A$2:$S$10004,17,FALSE)</f>
        <v>-146000</v>
      </c>
      <c r="E263" s="25">
        <f>SUMIFS('Daftar Koreksi'!$I$5:$I$92,'Daftar Koreksi'!$D$5:$D$92,'1100'!A246,'Daftar Koreksi'!$G$5:$G$92,"Aset Henti Guna",'Daftar Koreksi'!$I$5:$I$92,"&gt;0")</f>
        <v>0</v>
      </c>
      <c r="F263" s="25">
        <f>SUMIFS('Daftar Koreksi'!$I$5:$I$92,'Daftar Koreksi'!$D$5:$D$92,'1100'!A246,'Daftar Koreksi'!$G$5:$G$92,"Aset Henti Guna",'Daftar Koreksi'!$I$5:$I$92,"&lt;0")-SUMIFS('Daftar Koreksi'!$I$5:$I$92,'Daftar Koreksi'!$D$5:$D$92,'1100'!A246,'Daftar Koreksi'!$G$5:$G$92,"Aset Henti Guna",'Daftar Koreksi'!$I$5:$I$92,"&lt;0")-SUMIFS('Daftar Koreksi'!$I$5:$I$92,'Daftar Koreksi'!$D$5:$D$92,'1100'!A246,'Daftar Koreksi'!$G$5:$G$92,"Aset Henti Guna",'Daftar Koreksi'!$I$5:$I$92,"&lt;0")</f>
        <v>0</v>
      </c>
      <c r="G263" s="17">
        <f t="shared" si="11"/>
        <v>-146000</v>
      </c>
      <c r="H263" s="122"/>
      <c r="I263" s="28"/>
      <c r="J263" s="28"/>
    </row>
    <row r="264" spans="1:10" ht="21.95" customHeight="1">
      <c r="A264" s="14"/>
      <c r="B264" s="14"/>
      <c r="C264" s="18" t="s">
        <v>2094</v>
      </c>
      <c r="D264" s="19">
        <f>SUM(D259:D263)</f>
        <v>-1538675501</v>
      </c>
      <c r="E264" s="19">
        <f>SUM(E259:E263)</f>
        <v>0</v>
      </c>
      <c r="F264" s="19">
        <f>SUM(F259:F263)</f>
        <v>0</v>
      </c>
      <c r="G264" s="19">
        <f t="shared" si="11"/>
        <v>-1538675501</v>
      </c>
      <c r="H264" s="122"/>
      <c r="I264" s="28"/>
      <c r="J264" s="28"/>
    </row>
    <row r="265" spans="1:10" ht="21.95" customHeight="1">
      <c r="A265" s="14"/>
      <c r="B265" s="14"/>
      <c r="C265" s="18" t="s">
        <v>2095</v>
      </c>
      <c r="D265" s="19">
        <f>VLOOKUP(A246,'Neraca Unaudited SIMAK'!$A$2:$S$10004,18,FALSE)</f>
        <v>7387415000</v>
      </c>
      <c r="E265" s="19">
        <f>E264+E258</f>
        <v>0</v>
      </c>
      <c r="F265" s="19">
        <f>F264+F258</f>
        <v>0</v>
      </c>
      <c r="G265" s="19">
        <f t="shared" si="11"/>
        <v>7387415000</v>
      </c>
      <c r="H265" s="122"/>
      <c r="I265" s="28"/>
      <c r="J265" s="28"/>
    </row>
    <row r="266" spans="1:10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  <c r="I266" s="28"/>
      <c r="J266" s="28"/>
    </row>
    <row r="268" spans="1:10" ht="19.5" customHeight="1">
      <c r="A268" s="11" t="str">
        <f>O13</f>
        <v>005011100402273000KD</v>
      </c>
      <c r="B268" s="11" t="str">
        <f>P13</f>
        <v>PA. Kayu Agung</v>
      </c>
      <c r="C268" s="12" t="str">
        <f>A268&amp;" "&amp;B268</f>
        <v>005011100402273000KD PA. Kayu Agung</v>
      </c>
      <c r="D268" s="13"/>
      <c r="E268" s="13"/>
      <c r="F268" s="13"/>
      <c r="G268" s="13"/>
      <c r="H268" s="11"/>
    </row>
    <row r="269" spans="1:10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10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10" ht="21.95" customHeight="1">
      <c r="A271" s="14"/>
      <c r="B271" s="14"/>
      <c r="C271" s="16" t="s">
        <v>1165</v>
      </c>
      <c r="D271" s="17">
        <f>VLOOKUP(A268,'Neraca Unaudited SIMAK'!$A$2:$S$10004,3,FALSE)</f>
        <v>1094900</v>
      </c>
      <c r="E271" s="25">
        <f>SUMIFS('Daftar Koreksi'!$H$5:$H$92,'Daftar Koreksi'!$D$5:$D$92,'1100'!A268,'Daftar Koreksi'!$G$5:$G$92,"Persediaan",'Daftar Koreksi'!$H$5:$H$92,"&gt;0")</f>
        <v>0</v>
      </c>
      <c r="F271" s="25">
        <f>SUMIFS('Daftar Koreksi'!$H$5:$H$92,'Daftar Koreksi'!$D$5:$D$92,'1100'!A268,'Daftar Koreksi'!$G$5:$G$92,"Persediaan",'Daftar Koreksi'!$H$5:$H$92,"&lt;0")-SUMIFS('Daftar Koreksi'!$H$5:$H$92,'Daftar Koreksi'!$D$5:$D$92,'1100'!A268,'Daftar Koreksi'!$G$5:$G$92,"Persediaan",'Daftar Koreksi'!$H$5:$H$92,"&lt;0")-SUMIFS('Daftar Koreksi'!$H$5:$H$92,'Daftar Koreksi'!$D$5:$D$92,'1100'!A268,'Daftar Koreksi'!$G$5:$G$92,"Persediaan",'Daftar Koreksi'!$H$5:$H$92,"&lt;0")</f>
        <v>0</v>
      </c>
      <c r="G271" s="17">
        <f>D271+E271-F271</f>
        <v>1094900</v>
      </c>
      <c r="H271" s="121" t="str">
        <f>IF(ISNA(VLOOKUP(A268,'Mutasi Neraca'!$A$3:$S$914,19,FALSE)),"-",VLOOKUP(A268,'Mutasi Neraca'!$A$3:$S$914,19,FALSE))</f>
        <v>-</v>
      </c>
    </row>
    <row r="272" spans="1:10" ht="21.95" customHeight="1">
      <c r="A272" s="14"/>
      <c r="B272" s="14"/>
      <c r="C272" s="16" t="s">
        <v>1166</v>
      </c>
      <c r="D272" s="17">
        <f>VLOOKUP(A268,'Neraca Unaudited SIMAK'!$A$2:$S$10004,4,FALSE)</f>
        <v>733206000</v>
      </c>
      <c r="E272" s="25">
        <f>SUMIFS('Daftar Koreksi'!$H$5:$H$92,'Daftar Koreksi'!$D$5:$D$92,'1100'!A268,'Daftar Koreksi'!$G$5:$G$92,"Tanah",'Daftar Koreksi'!$H$5:$H$92,"&gt;0")</f>
        <v>0</v>
      </c>
      <c r="F272" s="25">
        <f>SUMIFS('Daftar Koreksi'!$H$5:$H$92,'Daftar Koreksi'!$D$5:$D$92,'1100'!A268,'Daftar Koreksi'!$G$5:$G$92,"Tanah",'Daftar Koreksi'!$H$5:$H$92,"&lt;0")-SUMIFS('Daftar Koreksi'!$H$5:$H$92,'Daftar Koreksi'!$D$5:$D$92,'1100'!A268,'Daftar Koreksi'!$G$5:$G$92,"Tanah",'Daftar Koreksi'!$H$5:$H$92,"&lt;0")-SUMIFS('Daftar Koreksi'!$H$5:$H$92,'Daftar Koreksi'!$D$5:$D$92,'1100'!A268,'Daftar Koreksi'!$G$5:$G$92,"Tanah",'Daftar Koreksi'!$H$5:$H$92,"&lt;0")</f>
        <v>0</v>
      </c>
      <c r="G272" s="17">
        <f t="shared" ref="G272:G288" si="12">D272+E272-F272</f>
        <v>733206000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1036014990</v>
      </c>
      <c r="E273" s="25">
        <f>SUMIFS('Daftar Koreksi'!$H$5:$H$92,'Daftar Koreksi'!$D$5:$D$92,'1100'!A268,'Daftar Koreksi'!$G$5:$G$92,"Peralatan dan mesin",'Daftar Koreksi'!$H$5:$H$92,"&gt;0")</f>
        <v>0</v>
      </c>
      <c r="F273" s="25">
        <f>SUMIFS('Daftar Koreksi'!$H$5:$H$92,'Daftar Koreksi'!$D$5:$D$92,'1100'!A268,'Daftar Koreksi'!$G$5:$G$92,"Peralatan dan mesin",'Daftar Koreksi'!$H$5:$H$92,"&lt;0")-SUMIFS('Daftar Koreksi'!$H$5:$H$92,'Daftar Koreksi'!$D$5:$D$92,'1100'!A268,'Daftar Koreksi'!$G$5:$G$92,"Peralatan dan mesin",'Daftar Koreksi'!$H$5:$H$92,"&lt;0")-SUMIFS('Daftar Koreksi'!$H$5:$H$92,'Daftar Koreksi'!$D$5:$D$92,'1100'!A268,'Daftar Koreksi'!$G$5:$G$92,"Peralatan dan mesin",'Daftar Koreksi'!$H$5:$H$92,"&lt;0")</f>
        <v>0</v>
      </c>
      <c r="G273" s="17">
        <f t="shared" si="12"/>
        <v>1036014990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5131600400</v>
      </c>
      <c r="E274" s="25">
        <f>SUMIFS('Daftar Koreksi'!$H$5:$H$92,'Daftar Koreksi'!$D$5:$D$92,'1100'!A268,'Daftar Koreksi'!$G$5:$G$92,"Gedung dan Bangunan",'Daftar Koreksi'!$H$5:$H$92,"&gt;0")</f>
        <v>0</v>
      </c>
      <c r="F274" s="25">
        <f>SUMIFS('Daftar Koreksi'!$H$5:$H$92,'Daftar Koreksi'!$D$5:$D$92,'1100'!A268,'Daftar Koreksi'!$G$5:$G$92,"Gedung dan Bangunan",'Daftar Koreksi'!$H$5:$H$92,"&lt;0")-SUMIFS('Daftar Koreksi'!$H$5:$H$92,'Daftar Koreksi'!$D$5:$D$92,'1100'!A268,'Daftar Koreksi'!$G$5:$G$92,"Gedung dan Bangunan",'Daftar Koreksi'!$H$5:$H$92,"&lt;0")-SUMIFS('Daftar Koreksi'!$H$5:$H$92,'Daftar Koreksi'!$D$5:$D$92,'1100'!A268,'Daftar Koreksi'!$G$5:$G$92,"Gedung dan Bangunan",'Daftar Koreksi'!$H$5:$H$92,"&lt;0")</f>
        <v>0</v>
      </c>
      <c r="G274" s="17">
        <f t="shared" si="12"/>
        <v>5131600400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Koreksi'!$D$5:$D$92,'1100'!A268,'Daftar Koreksi'!$G$5:$G$92,"Jalan Irigasi Jaringan",'Daftar Koreksi'!$H$5:$H$92,"&gt;0")</f>
        <v>0</v>
      </c>
      <c r="F275" s="25">
        <f>SUMIFS('Daftar Koreksi'!$H$5:$H$92,'Daftar Koreksi'!$D$5:$D$92,'1100'!A268,'Daftar Koreksi'!$G$5:$G$92,"Jalan Irigasi Jaringan",'Daftar Koreksi'!$H$5:$H$92,"&lt;0")-SUMIFS('Daftar Koreksi'!$H$5:$H$92,'Daftar Koreksi'!$D$5:$D$92,'1100'!A268,'Daftar Koreksi'!$G$5:$G$92,"Jalan Irigasi Jaringan",'Daftar Koreksi'!$H$5:$H$92,"&lt;0")-SUMIFS('Daftar Koreksi'!$H$5:$H$92,'Daftar Koreksi'!$D$5:$D$92,'1100'!A268,'Daftar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3266679</v>
      </c>
      <c r="E276" s="25">
        <f>SUMIFS('Daftar Koreksi'!$H$5:$H$92,'Daftar Koreksi'!$D$5:$D$92,'1100'!A268,'Daftar Koreksi'!$G$5:$G$92,"Aset Tetap Lainnya",'Daftar Koreksi'!$H$5:$H$92,"&gt;0")</f>
        <v>0</v>
      </c>
      <c r="F276" s="25">
        <f>SUMIFS('Daftar Koreksi'!$H$5:$H$92,'Daftar Koreksi'!$D$5:$D$92,'1100'!A268,'Daftar Koreksi'!$G$5:$G$92,"Aset Tetap Lainnya",'Daftar Koreksi'!$H$5:$H$92,"&lt;0")-SUMIFS('Daftar Koreksi'!$H$5:$H$92,'Daftar Koreksi'!$D$5:$D$92,'1100'!A268,'Daftar Koreksi'!$G$5:$G$92,"Aset Tetap Lainnya",'Daftar Koreksi'!$H$5:$H$92,"&lt;0")-SUMIFS('Daftar Koreksi'!$H$5:$H$92,'Daftar Koreksi'!$D$5:$D$92,'1100'!A268,'Daftar Koreksi'!$G$5:$G$92,"Aset Tetap Lainnya",'Daftar Koreksi'!$H$5:$H$92,"&lt;0")</f>
        <v>0</v>
      </c>
      <c r="G276" s="17">
        <f t="shared" si="12"/>
        <v>3266679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Koreksi'!$D$5:$D$92,'1100'!A268,'Daftar Koreksi'!$G$5:$G$92,"Kontruksi Dalam Pengerjaan",'Daftar Koreksi'!$H$5:$H$92,"&gt;0")</f>
        <v>0</v>
      </c>
      <c r="F277" s="25">
        <f>SUMIFS('Daftar Koreksi'!$H$5:$H$92,'Daftar Koreksi'!$D$5:$D$92,'1100'!A268,'Daftar Koreksi'!$G$5:$G$92,"Kontruksi Dalam Pengerjaan",'Daftar Koreksi'!$H$5:$H$92,"&lt;0")-SUMIFS('Daftar Koreksi'!$H$5:$H$92,'Daftar Koreksi'!$D$5:$D$92,'1100'!A268,'Daftar Koreksi'!$G$5:$G$92,"Kontruksi Dalam Pengerjaan",'Daftar Koreksi'!$H$5:$H$92,"&lt;0")-SUMIFS('Daftar Koreksi'!$H$5:$H$92,'Daftar Koreksi'!$D$5:$D$92,'1100'!A268,'Daftar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Koreksi'!$D$5:$D$92,'1100'!A268,'Daftar Koreksi'!$G$5:$G$92,"Aset Tak Berwujud",'Daftar Koreksi'!$H$5:$H$92,"&gt;0")</f>
        <v>0</v>
      </c>
      <c r="F278" s="25">
        <f>SUMIFS('Daftar Koreksi'!$H$5:$H$92,'Daftar Koreksi'!$D$5:$D$92,'1100'!A268,'Daftar Koreksi'!$G$5:$G$92,"Aset Tak Berwujud",'Daftar Koreksi'!$H$5:$H$92,"&lt;0")-SUMIFS('Daftar Koreksi'!$H$5:$H$92,'Daftar Koreksi'!$D$5:$D$92,'1100'!A268,'Daftar Koreksi'!$G$5:$G$92,"Aset Tak Berwujud",'Daftar Koreksi'!$H$5:$H$92,"&lt;0")-SUMIFS('Daftar Koreksi'!$H$5:$H$92,'Daftar Koreksi'!$D$5:$D$92,'1100'!A268,'Daftar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Koreksi'!$D$5:$D$92,'1100'!A268,'Daftar Koreksi'!$G$5:$G$92,"Aset Henti Guna",'Daftar Koreksi'!$H$5:$H$92,"&gt;0")</f>
        <v>0</v>
      </c>
      <c r="F279" s="25">
        <f>SUMIFS('Daftar Koreksi'!$H$5:$H$92,'Daftar Koreksi'!$D$5:$D$92,'1100'!A268,'Daftar Koreksi'!$G$5:$G$92,"Aset Henti Guna",'Daftar Koreksi'!$H$5:$H$92,"&lt;0")-SUMIFS('Daftar Koreksi'!$H$5:$H$92,'Daftar Koreksi'!$D$5:$D$92,'1100'!A268,'Daftar Koreksi'!$G$5:$G$92,"Aset Henti Guna",'Daftar Koreksi'!$H$5:$H$92,"&lt;0")-SUMIFS('Daftar Koreksi'!$H$5:$H$92,'Daftar Koreksi'!$D$5:$D$92,'1100'!A268,'Daftar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6905182969</v>
      </c>
      <c r="E280" s="19">
        <f>SUM(E271:E279)</f>
        <v>0</v>
      </c>
      <c r="F280" s="19">
        <f>SUM(F271:F279)</f>
        <v>0</v>
      </c>
      <c r="G280" s="19">
        <f t="shared" si="12"/>
        <v>6905182969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-913846858</v>
      </c>
      <c r="E281" s="25">
        <f>SUMIFS('Daftar Koreksi'!$I$5:$I$92,'Daftar Koreksi'!$D$5:$D$92,'1100'!A268,'Daftar Koreksi'!$G$5:$G$92,"Peralatan dan mesin",'Daftar Koreksi'!$I$5:$I$92,"&gt;0")</f>
        <v>0</v>
      </c>
      <c r="F281" s="25">
        <f>SUMIFS('Daftar Koreksi'!$I$5:$I$92,'Daftar Koreksi'!$D$5:$D$92,'1100'!A268,'Daftar Koreksi'!$G$5:$G$92,"Peralatan dan mesin",'Daftar Koreksi'!$I$5:$I$92,"&lt;0")-SUMIFS('Daftar Koreksi'!$I$5:$I$92,'Daftar Koreksi'!$D$5:$D$92,'1100'!A268,'Daftar Koreksi'!$G$5:$G$92,"Peralatan dan mesin",'Daftar Koreksi'!$I$5:$I$92,"&lt;0")-SUMIFS('Daftar Koreksi'!$I$5:$I$92,'Daftar Koreksi'!$D$5:$D$92,'1100'!A268,'Daftar Koreksi'!$G$5:$G$92,"Peralatan dan mesin",'Daftar Koreksi'!$I$5:$I$92,"&lt;0")</f>
        <v>0</v>
      </c>
      <c r="G281" s="17">
        <f t="shared" si="12"/>
        <v>-913846858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-918651505</v>
      </c>
      <c r="E282" s="25">
        <f>SUMIFS('Daftar Koreksi'!$I$5:$I$92,'Daftar Koreksi'!$D$5:$D$92,'1100'!A268,'Daftar Koreksi'!$G$5:$G$92,"Gedung dan Bangunan",'Daftar Koreksi'!$I$5:$I$92,"&gt;0")</f>
        <v>0</v>
      </c>
      <c r="F282" s="25">
        <f>SUMIFS('Daftar Koreksi'!$I$5:$I$92,'Daftar Koreksi'!$D$5:$D$92,'1100'!A268,'Daftar Koreksi'!$G$5:$G$92,"Gedung dan Bangunan",'Daftar Koreksi'!$I$5:$I$92,"&lt;0")-SUMIFS('Daftar Koreksi'!$I$5:$I$92,'Daftar Koreksi'!$D$5:$D$92,'1100'!A268,'Daftar Koreksi'!$G$5:$G$92,"Gedung dan Bangunan",'Daftar Koreksi'!$I$5:$I$92,"&lt;0")-SUMIFS('Daftar Koreksi'!$I$5:$I$92,'Daftar Koreksi'!$D$5:$D$92,'1100'!A268,'Daftar Koreksi'!$G$5:$G$92,"Gedung dan Bangunan",'Daftar Koreksi'!$I$5:$I$92,"&lt;0")</f>
        <v>0</v>
      </c>
      <c r="G282" s="17">
        <f t="shared" si="12"/>
        <v>-918651505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Koreksi'!$D$5:$D$92,'1100'!A268,'Daftar Koreksi'!$G$5:$G$92,"Jalan Irigasi Jaringan",'Daftar Koreksi'!$I$5:$I$92,"&gt;0")</f>
        <v>0</v>
      </c>
      <c r="F283" s="25">
        <f>SUMIFS('Daftar Koreksi'!$I$5:$I$92,'Daftar Koreksi'!$D$5:$D$92,'1100'!A268,'Daftar Koreksi'!$G$5:$G$92,"Jalan Irigasi Jaringan",'Daftar Koreksi'!$I$5:$I$92,"&lt;0")-SUMIFS('Daftar Koreksi'!$I$5:$I$92,'Daftar Koreksi'!$D$5:$D$92,'1100'!A268,'Daftar Koreksi'!$G$5:$G$92,"Jalan Irigasi Jaringan",'Daftar Koreksi'!$I$5:$I$92,"&lt;0")-SUMIFS('Daftar Koreksi'!$I$5:$I$92,'Daftar Koreksi'!$D$5:$D$92,'1100'!A268,'Daftar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Koreksi'!$D$5:$D$92,'1100'!A268,'Daftar Koreksi'!$G$5:$G$92,"Aset Tetap Lainnya",'Daftar Koreksi'!$I$5:$I$92,"&gt;0")</f>
        <v>0</v>
      </c>
      <c r="F284" s="25">
        <f>SUMIFS('Daftar Koreksi'!$I$5:$I$92,'Daftar Koreksi'!$D$5:$D$92,'1100'!A268,'Daftar Koreksi'!$G$5:$G$92,"Aset Tetap Lainnya",'Daftar Koreksi'!$I$5:$I$92,"&lt;0")-SUMIFS('Daftar Koreksi'!$I$5:$I$92,'Daftar Koreksi'!$D$5:$D$92,'1100'!A268,'Daftar Koreksi'!$G$5:$G$92,"Aset Tetap Lainnya",'Daftar Koreksi'!$I$5:$I$92,"&lt;0")-SUMIFS('Daftar Koreksi'!$I$5:$I$92,'Daftar Koreksi'!$D$5:$D$92,'1100'!A268,'Daftar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Koreksi'!$D$5:$D$92,'1100'!A268,'Daftar Koreksi'!$G$5:$G$92,"Aset Henti Guna",'Daftar Koreksi'!$I$5:$I$92,"&gt;0")</f>
        <v>0</v>
      </c>
      <c r="F285" s="25">
        <f>SUMIFS('Daftar Koreksi'!$I$5:$I$92,'Daftar Koreksi'!$D$5:$D$92,'1100'!A268,'Daftar Koreksi'!$G$5:$G$92,"Aset Henti Guna",'Daftar Koreksi'!$I$5:$I$92,"&lt;0")-SUMIFS('Daftar Koreksi'!$I$5:$I$92,'Daftar Koreksi'!$D$5:$D$92,'1100'!A268,'Daftar Koreksi'!$G$5:$G$92,"Aset Henti Guna",'Daftar Koreksi'!$I$5:$I$92,"&lt;0")-SUMIFS('Daftar Koreksi'!$I$5:$I$92,'Daftar Koreksi'!$D$5:$D$92,'1100'!A268,'Daftar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-1832498363</v>
      </c>
      <c r="E286" s="19">
        <f>SUM(E281:E285)</f>
        <v>0</v>
      </c>
      <c r="F286" s="19">
        <f>SUM(F281:F285)</f>
        <v>0</v>
      </c>
      <c r="G286" s="19">
        <f t="shared" si="12"/>
        <v>-1832498363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5072684606</v>
      </c>
      <c r="E287" s="19">
        <f>E286+E280</f>
        <v>0</v>
      </c>
      <c r="F287" s="19">
        <f>F286+F280</f>
        <v>0</v>
      </c>
      <c r="G287" s="19">
        <f t="shared" si="12"/>
        <v>5072684606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005011100402282000KD</v>
      </c>
      <c r="B290" s="11" t="str">
        <f>P14</f>
        <v>PA. Muara Enim</v>
      </c>
      <c r="C290" s="12" t="str">
        <f>A290&amp;" "&amp;B290</f>
        <v>005011100402282000KD PA. Muara Enim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8871050</v>
      </c>
      <c r="E293" s="25">
        <f>SUMIFS('Daftar Koreksi'!$H$5:$H$92,'Daftar Koreksi'!$D$5:$D$92,'1100'!A290,'Daftar Koreksi'!$G$5:$G$92,"Persediaan",'Daftar Koreksi'!$H$5:$H$92,"&gt;0")</f>
        <v>0</v>
      </c>
      <c r="F293" s="25">
        <f>SUMIFS('Daftar Koreksi'!$H$5:$H$92,'Daftar Koreksi'!$D$5:$D$92,'1100'!A290,'Daftar Koreksi'!$G$5:$G$92,"Persediaan",'Daftar Koreksi'!$H$5:$H$92,"&lt;0")-SUMIFS('Daftar Koreksi'!$H$5:$H$92,'Daftar Koreksi'!$D$5:$D$92,'1100'!A290,'Daftar Koreksi'!$G$5:$G$92,"Persediaan",'Daftar Koreksi'!$H$5:$H$92,"&lt;0")-SUMIFS('Daftar Koreksi'!$H$5:$H$92,'Daftar Koreksi'!$D$5:$D$92,'1100'!A290,'Daftar Koreksi'!$G$5:$G$92,"Persediaan",'Daftar Koreksi'!$H$5:$H$92,"&lt;0")</f>
        <v>0</v>
      </c>
      <c r="G293" s="17">
        <f>D293+E293-F293</f>
        <v>8871050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1250000000</v>
      </c>
      <c r="E294" s="25">
        <f>SUMIFS('Daftar Koreksi'!$H$5:$H$92,'Daftar Koreksi'!$D$5:$D$92,'1100'!A290,'Daftar Koreksi'!$G$5:$G$92,"Tanah",'Daftar Koreksi'!$H$5:$H$92,"&gt;0")</f>
        <v>0</v>
      </c>
      <c r="F294" s="25">
        <f>SUMIFS('Daftar Koreksi'!$H$5:$H$92,'Daftar Koreksi'!$D$5:$D$92,'1100'!A290,'Daftar Koreksi'!$G$5:$G$92,"Tanah",'Daftar Koreksi'!$H$5:$H$92,"&lt;0")-SUMIFS('Daftar Koreksi'!$H$5:$H$92,'Daftar Koreksi'!$D$5:$D$92,'1100'!A290,'Daftar Koreksi'!$G$5:$G$92,"Tanah",'Daftar Koreksi'!$H$5:$H$92,"&lt;0")-SUMIFS('Daftar Koreksi'!$H$5:$H$92,'Daftar Koreksi'!$D$5:$D$92,'1100'!A290,'Daftar Koreksi'!$G$5:$G$92,"Tanah",'Daftar Koreksi'!$H$5:$H$92,"&lt;0")</f>
        <v>0</v>
      </c>
      <c r="G294" s="17">
        <f t="shared" ref="G294:G310" si="13">D294+E294-F294</f>
        <v>1250000000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1225064883</v>
      </c>
      <c r="E295" s="25">
        <f>SUMIFS('Daftar Koreksi'!$H$5:$H$92,'Daftar Koreksi'!$D$5:$D$92,'1100'!A290,'Daftar Koreksi'!$G$5:$G$92,"Peralatan dan mesin",'Daftar Koreksi'!$H$5:$H$92,"&gt;0")</f>
        <v>0</v>
      </c>
      <c r="F295" s="25">
        <f>SUMIFS('Daftar Koreksi'!$H$5:$H$92,'Daftar Koreksi'!$D$5:$D$92,'1100'!A290,'Daftar Koreksi'!$G$5:$G$92,"Peralatan dan mesin",'Daftar Koreksi'!$H$5:$H$92,"&lt;0")-SUMIFS('Daftar Koreksi'!$H$5:$H$92,'Daftar Koreksi'!$D$5:$D$92,'1100'!A290,'Daftar Koreksi'!$G$5:$G$92,"Peralatan dan mesin",'Daftar Koreksi'!$H$5:$H$92,"&lt;0")-SUMIFS('Daftar Koreksi'!$H$5:$H$92,'Daftar Koreksi'!$D$5:$D$92,'1100'!A290,'Daftar Koreksi'!$G$5:$G$92,"Peralatan dan mesin",'Daftar Koreksi'!$H$5:$H$92,"&lt;0")</f>
        <v>0</v>
      </c>
      <c r="G295" s="17">
        <f t="shared" si="13"/>
        <v>1225064883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532204000</v>
      </c>
      <c r="E296" s="25">
        <f>SUMIFS('Daftar Koreksi'!$H$5:$H$92,'Daftar Koreksi'!$D$5:$D$92,'1100'!A290,'Daftar Koreksi'!$G$5:$G$92,"Gedung dan Bangunan",'Daftar Koreksi'!$H$5:$H$92,"&gt;0")</f>
        <v>0</v>
      </c>
      <c r="F296" s="25">
        <f>SUMIFS('Daftar Koreksi'!$H$5:$H$92,'Daftar Koreksi'!$D$5:$D$92,'1100'!A290,'Daftar Koreksi'!$G$5:$G$92,"Gedung dan Bangunan",'Daftar Koreksi'!$H$5:$H$92,"&lt;0")-SUMIFS('Daftar Koreksi'!$H$5:$H$92,'Daftar Koreksi'!$D$5:$D$92,'1100'!A290,'Daftar Koreksi'!$G$5:$G$92,"Gedung dan Bangunan",'Daftar Koreksi'!$H$5:$H$92,"&lt;0")-SUMIFS('Daftar Koreksi'!$H$5:$H$92,'Daftar Koreksi'!$D$5:$D$92,'1100'!A290,'Daftar Koreksi'!$G$5:$G$92,"Gedung dan Bangunan",'Daftar Koreksi'!$H$5:$H$92,"&lt;0")</f>
        <v>0</v>
      </c>
      <c r="G296" s="17">
        <f t="shared" si="13"/>
        <v>532204000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Koreksi'!$D$5:$D$92,'1100'!A290,'Daftar Koreksi'!$G$5:$G$92,"Jalan Irigasi Jaringan",'Daftar Koreksi'!$H$5:$H$92,"&gt;0")</f>
        <v>0</v>
      </c>
      <c r="F297" s="25">
        <f>SUMIFS('Daftar Koreksi'!$H$5:$H$92,'Daftar Koreksi'!$D$5:$D$92,'1100'!A290,'Daftar Koreksi'!$G$5:$G$92,"Jalan Irigasi Jaringan",'Daftar Koreksi'!$H$5:$H$92,"&lt;0")-SUMIFS('Daftar Koreksi'!$H$5:$H$92,'Daftar Koreksi'!$D$5:$D$92,'1100'!A290,'Daftar Koreksi'!$G$5:$G$92,"Jalan Irigasi Jaringan",'Daftar Koreksi'!$H$5:$H$92,"&lt;0")-SUMIFS('Daftar Koreksi'!$H$5:$H$92,'Daftar Koreksi'!$D$5:$D$92,'1100'!A290,'Daftar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6176678</v>
      </c>
      <c r="E298" s="25">
        <f>SUMIFS('Daftar Koreksi'!$H$5:$H$92,'Daftar Koreksi'!$D$5:$D$92,'1100'!A290,'Daftar Koreksi'!$G$5:$G$92,"Aset Tetap Lainnya",'Daftar Koreksi'!$H$5:$H$92,"&gt;0")</f>
        <v>0</v>
      </c>
      <c r="F298" s="25">
        <f>SUMIFS('Daftar Koreksi'!$H$5:$H$92,'Daftar Koreksi'!$D$5:$D$92,'1100'!A290,'Daftar Koreksi'!$G$5:$G$92,"Aset Tetap Lainnya",'Daftar Koreksi'!$H$5:$H$92,"&lt;0")-SUMIFS('Daftar Koreksi'!$H$5:$H$92,'Daftar Koreksi'!$D$5:$D$92,'1100'!A290,'Daftar Koreksi'!$G$5:$G$92,"Aset Tetap Lainnya",'Daftar Koreksi'!$H$5:$H$92,"&lt;0")-SUMIFS('Daftar Koreksi'!$H$5:$H$92,'Daftar Koreksi'!$D$5:$D$92,'1100'!A290,'Daftar Koreksi'!$G$5:$G$92,"Aset Tetap Lainnya",'Daftar Koreksi'!$H$5:$H$92,"&lt;0")</f>
        <v>0</v>
      </c>
      <c r="G298" s="17">
        <f t="shared" si="13"/>
        <v>6176678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Koreksi'!$D$5:$D$92,'1100'!A290,'Daftar Koreksi'!$G$5:$G$92,"Kontruksi Dalam Pengerjaan",'Daftar Koreksi'!$H$5:$H$92,"&gt;0")</f>
        <v>0</v>
      </c>
      <c r="F299" s="25">
        <f>SUMIFS('Daftar Koreksi'!$H$5:$H$92,'Daftar Koreksi'!$D$5:$D$92,'1100'!A290,'Daftar Koreksi'!$G$5:$G$92,"Kontruksi Dalam Pengerjaan",'Daftar Koreksi'!$H$5:$H$92,"&lt;0")-SUMIFS('Daftar Koreksi'!$H$5:$H$92,'Daftar Koreksi'!$D$5:$D$92,'1100'!A290,'Daftar Koreksi'!$G$5:$G$92,"Kontruksi Dalam Pengerjaan",'Daftar Koreksi'!$H$5:$H$92,"&lt;0")-SUMIFS('Daftar Koreksi'!$H$5:$H$92,'Daftar Koreksi'!$D$5:$D$92,'1100'!A290,'Daftar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15000000</v>
      </c>
      <c r="E300" s="25">
        <f>SUMIFS('Daftar Koreksi'!$H$5:$H$92,'Daftar Koreksi'!$D$5:$D$92,'1100'!A290,'Daftar Koreksi'!$G$5:$G$92,"Aset Tak Berwujud",'Daftar Koreksi'!$H$5:$H$92,"&gt;0")</f>
        <v>0</v>
      </c>
      <c r="F300" s="25">
        <f>SUMIFS('Daftar Koreksi'!$H$5:$H$92,'Daftar Koreksi'!$D$5:$D$92,'1100'!A290,'Daftar Koreksi'!$G$5:$G$92,"Aset Tak Berwujud",'Daftar Koreksi'!$H$5:$H$92,"&lt;0")-SUMIFS('Daftar Koreksi'!$H$5:$H$92,'Daftar Koreksi'!$D$5:$D$92,'1100'!A290,'Daftar Koreksi'!$G$5:$G$92,"Aset Tak Berwujud",'Daftar Koreksi'!$H$5:$H$92,"&lt;0")-SUMIFS('Daftar Koreksi'!$H$5:$H$92,'Daftar Koreksi'!$D$5:$D$92,'1100'!A290,'Daftar Koreksi'!$G$5:$G$92,"Aset Tak Berwujud",'Daftar Koreksi'!$H$5:$H$92,"&lt;0")</f>
        <v>0</v>
      </c>
      <c r="G300" s="17">
        <f t="shared" si="13"/>
        <v>15000000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Koreksi'!$D$5:$D$92,'1100'!A290,'Daftar Koreksi'!$G$5:$G$92,"Aset Henti Guna",'Daftar Koreksi'!$H$5:$H$92,"&gt;0")</f>
        <v>0</v>
      </c>
      <c r="F301" s="25">
        <f>SUMIFS('Daftar Koreksi'!$H$5:$H$92,'Daftar Koreksi'!$D$5:$D$92,'1100'!A290,'Daftar Koreksi'!$G$5:$G$92,"Aset Henti Guna",'Daftar Koreksi'!$H$5:$H$92,"&lt;0")-SUMIFS('Daftar Koreksi'!$H$5:$H$92,'Daftar Koreksi'!$D$5:$D$92,'1100'!A290,'Daftar Koreksi'!$G$5:$G$92,"Aset Henti Guna",'Daftar Koreksi'!$H$5:$H$92,"&lt;0")-SUMIFS('Daftar Koreksi'!$H$5:$H$92,'Daftar Koreksi'!$D$5:$D$92,'1100'!A290,'Daftar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3037316611</v>
      </c>
      <c r="E302" s="19">
        <f>SUM(E293:E301)</f>
        <v>0</v>
      </c>
      <c r="F302" s="19">
        <f>SUM(F293:F301)</f>
        <v>0</v>
      </c>
      <c r="G302" s="19">
        <f t="shared" si="13"/>
        <v>3037316611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-1097048349</v>
      </c>
      <c r="E303" s="25">
        <f>SUMIFS('Daftar Koreksi'!$I$5:$I$92,'Daftar Koreksi'!$D$5:$D$92,'1100'!A290,'Daftar Koreksi'!$G$5:$G$92,"Peralatan dan mesin",'Daftar Koreksi'!$I$5:$I$92,"&gt;0")</f>
        <v>0</v>
      </c>
      <c r="F303" s="25">
        <f>SUMIFS('Daftar Koreksi'!$I$5:$I$92,'Daftar Koreksi'!$D$5:$D$92,'1100'!A290,'Daftar Koreksi'!$G$5:$G$92,"Peralatan dan mesin",'Daftar Koreksi'!$I$5:$I$92,"&lt;0")-SUMIFS('Daftar Koreksi'!$I$5:$I$92,'Daftar Koreksi'!$D$5:$D$92,'1100'!A290,'Daftar Koreksi'!$G$5:$G$92,"Peralatan dan mesin",'Daftar Koreksi'!$I$5:$I$92,"&lt;0")-SUMIFS('Daftar Koreksi'!$I$5:$I$92,'Daftar Koreksi'!$D$5:$D$92,'1100'!A290,'Daftar Koreksi'!$G$5:$G$92,"Peralatan dan mesin",'Daftar Koreksi'!$I$5:$I$92,"&lt;0")</f>
        <v>0</v>
      </c>
      <c r="G303" s="17">
        <f t="shared" si="13"/>
        <v>-1097048349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-249895040</v>
      </c>
      <c r="E304" s="25">
        <f>SUMIFS('Daftar Koreksi'!$I$5:$I$92,'Daftar Koreksi'!$D$5:$D$92,'1100'!A290,'Daftar Koreksi'!$G$5:$G$92,"Gedung dan Bangunan",'Daftar Koreksi'!$I$5:$I$92,"&gt;0")</f>
        <v>0</v>
      </c>
      <c r="F304" s="25">
        <f>SUMIFS('Daftar Koreksi'!$I$5:$I$92,'Daftar Koreksi'!$D$5:$D$92,'1100'!A290,'Daftar Koreksi'!$G$5:$G$92,"Gedung dan Bangunan",'Daftar Koreksi'!$I$5:$I$92,"&lt;0")-SUMIFS('Daftar Koreksi'!$I$5:$I$92,'Daftar Koreksi'!$D$5:$D$92,'1100'!A290,'Daftar Koreksi'!$G$5:$G$92,"Gedung dan Bangunan",'Daftar Koreksi'!$I$5:$I$92,"&lt;0")-SUMIFS('Daftar Koreksi'!$I$5:$I$92,'Daftar Koreksi'!$D$5:$D$92,'1100'!A290,'Daftar Koreksi'!$G$5:$G$92,"Gedung dan Bangunan",'Daftar Koreksi'!$I$5:$I$92,"&lt;0")</f>
        <v>0</v>
      </c>
      <c r="G304" s="17">
        <f t="shared" si="13"/>
        <v>-249895040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Koreksi'!$D$5:$D$92,'1100'!A290,'Daftar Koreksi'!$G$5:$G$92,"Jalan Irigasi Jaringan",'Daftar Koreksi'!$I$5:$I$92,"&gt;0")</f>
        <v>0</v>
      </c>
      <c r="F305" s="25">
        <f>SUMIFS('Daftar Koreksi'!$I$5:$I$92,'Daftar Koreksi'!$D$5:$D$92,'1100'!A290,'Daftar Koreksi'!$G$5:$G$92,"Jalan Irigasi Jaringan",'Daftar Koreksi'!$I$5:$I$92,"&lt;0")-SUMIFS('Daftar Koreksi'!$I$5:$I$92,'Daftar Koreksi'!$D$5:$D$92,'1100'!A290,'Daftar Koreksi'!$G$5:$G$92,"Jalan Irigasi Jaringan",'Daftar Koreksi'!$I$5:$I$92,"&lt;0")-SUMIFS('Daftar Koreksi'!$I$5:$I$92,'Daftar Koreksi'!$D$5:$D$92,'1100'!A290,'Daftar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Koreksi'!$D$5:$D$92,'1100'!A290,'Daftar Koreksi'!$G$5:$G$92,"Aset Tetap Lainnya",'Daftar Koreksi'!$I$5:$I$92,"&gt;0")</f>
        <v>0</v>
      </c>
      <c r="F306" s="25">
        <f>SUMIFS('Daftar Koreksi'!$I$5:$I$92,'Daftar Koreksi'!$D$5:$D$92,'1100'!A290,'Daftar Koreksi'!$G$5:$G$92,"Aset Tetap Lainnya",'Daftar Koreksi'!$I$5:$I$92,"&lt;0")-SUMIFS('Daftar Koreksi'!$I$5:$I$92,'Daftar Koreksi'!$D$5:$D$92,'1100'!A290,'Daftar Koreksi'!$G$5:$G$92,"Aset Tetap Lainnya",'Daftar Koreksi'!$I$5:$I$92,"&lt;0")-SUMIFS('Daftar Koreksi'!$I$5:$I$92,'Daftar Koreksi'!$D$5:$D$92,'1100'!A290,'Daftar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Koreksi'!$D$5:$D$92,'1100'!A290,'Daftar Koreksi'!$G$5:$G$92,"Aset Henti Guna",'Daftar Koreksi'!$I$5:$I$92,"&gt;0")</f>
        <v>0</v>
      </c>
      <c r="F307" s="25">
        <f>SUMIFS('Daftar Koreksi'!$I$5:$I$92,'Daftar Koreksi'!$D$5:$D$92,'1100'!A290,'Daftar Koreksi'!$G$5:$G$92,"Aset Henti Guna",'Daftar Koreksi'!$I$5:$I$92,"&lt;0")-SUMIFS('Daftar Koreksi'!$I$5:$I$92,'Daftar Koreksi'!$D$5:$D$92,'1100'!A290,'Daftar Koreksi'!$G$5:$G$92,"Aset Henti Guna",'Daftar Koreksi'!$I$5:$I$92,"&lt;0")-SUMIFS('Daftar Koreksi'!$I$5:$I$92,'Daftar Koreksi'!$D$5:$D$92,'1100'!A290,'Daftar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-1346943389</v>
      </c>
      <c r="E308" s="19">
        <f>SUM(E303:E307)</f>
        <v>0</v>
      </c>
      <c r="F308" s="19">
        <f>SUM(F303:F307)</f>
        <v>0</v>
      </c>
      <c r="G308" s="19">
        <f t="shared" si="13"/>
        <v>-1346943389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1690373222</v>
      </c>
      <c r="E309" s="19">
        <f>E308+E302</f>
        <v>0</v>
      </c>
      <c r="F309" s="19">
        <f>F308+F302</f>
        <v>0</v>
      </c>
      <c r="G309" s="19">
        <f t="shared" si="13"/>
        <v>1690373222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005011100402298000KD</v>
      </c>
      <c r="B312" s="11" t="str">
        <f>P15</f>
        <v>PA. Lubuk Linggau</v>
      </c>
      <c r="C312" s="12" t="str">
        <f>A312&amp;" "&amp;B312</f>
        <v>005011100402298000KD PA. Lubuk Linggau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175000</v>
      </c>
      <c r="E315" s="25">
        <f>SUMIFS('Daftar Koreksi'!$H$5:$H$92,'Daftar Koreksi'!$D$5:$D$92,'1100'!A312,'Daftar Koreksi'!$G$5:$G$92,"Persediaan",'Daftar Koreksi'!$H$5:$H$92,"&gt;0")</f>
        <v>0</v>
      </c>
      <c r="F315" s="25">
        <f>SUMIFS('Daftar Koreksi'!$H$5:$H$92,'Daftar Koreksi'!$D$5:$D$92,'1100'!A312,'Daftar Koreksi'!$G$5:$G$92,"Persediaan",'Daftar Koreksi'!$H$5:$H$92,"&lt;0")-SUMIFS('Daftar Koreksi'!$H$5:$H$92,'Daftar Koreksi'!$D$5:$D$92,'1100'!A312,'Daftar Koreksi'!$G$5:$G$92,"Persediaan",'Daftar Koreksi'!$H$5:$H$92,"&lt;0")-SUMIFS('Daftar Koreksi'!$H$5:$H$92,'Daftar Koreksi'!$D$5:$D$92,'1100'!A312,'Daftar Koreksi'!$G$5:$G$92,"Persediaan",'Daftar Koreksi'!$H$5:$H$92,"&lt;0")</f>
        <v>0</v>
      </c>
      <c r="G315" s="17">
        <f>D315+E315-F315</f>
        <v>175000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982750000</v>
      </c>
      <c r="E316" s="25">
        <f>SUMIFS('Daftar Koreksi'!$H$5:$H$92,'Daftar Koreksi'!$D$5:$D$92,'1100'!A312,'Daftar Koreksi'!$G$5:$G$92,"Tanah",'Daftar Koreksi'!$H$5:$H$92,"&gt;0")</f>
        <v>0</v>
      </c>
      <c r="F316" s="25">
        <f>SUMIFS('Daftar Koreksi'!$H$5:$H$92,'Daftar Koreksi'!$D$5:$D$92,'1100'!A312,'Daftar Koreksi'!$G$5:$G$92,"Tanah",'Daftar Koreksi'!$H$5:$H$92,"&lt;0")-SUMIFS('Daftar Koreksi'!$H$5:$H$92,'Daftar Koreksi'!$D$5:$D$92,'1100'!A312,'Daftar Koreksi'!$G$5:$G$92,"Tanah",'Daftar Koreksi'!$H$5:$H$92,"&lt;0")-SUMIFS('Daftar Koreksi'!$H$5:$H$92,'Daftar Koreksi'!$D$5:$D$92,'1100'!A312,'Daftar Koreksi'!$G$5:$G$92,"Tanah",'Daftar Koreksi'!$H$5:$H$92,"&lt;0")</f>
        <v>0</v>
      </c>
      <c r="G316" s="17">
        <f t="shared" ref="G316:G332" si="14">D316+E316-F316</f>
        <v>982750000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976233760</v>
      </c>
      <c r="E317" s="25">
        <f>SUMIFS('Daftar Koreksi'!$H$5:$H$92,'Daftar Koreksi'!$D$5:$D$92,'1100'!A312,'Daftar Koreksi'!$G$5:$G$92,"Peralatan dan mesin",'Daftar Koreksi'!$H$5:$H$92,"&gt;0")</f>
        <v>0</v>
      </c>
      <c r="F317" s="25">
        <f>SUMIFS('Daftar Koreksi'!$H$5:$H$92,'Daftar Koreksi'!$D$5:$D$92,'1100'!A312,'Daftar Koreksi'!$G$5:$G$92,"Peralatan dan mesin",'Daftar Koreksi'!$H$5:$H$92,"&lt;0")-SUMIFS('Daftar Koreksi'!$H$5:$H$92,'Daftar Koreksi'!$D$5:$D$92,'1100'!A312,'Daftar Koreksi'!$G$5:$G$92,"Peralatan dan mesin",'Daftar Koreksi'!$H$5:$H$92,"&lt;0")-SUMIFS('Daftar Koreksi'!$H$5:$H$92,'Daftar Koreksi'!$D$5:$D$92,'1100'!A312,'Daftar Koreksi'!$G$5:$G$92,"Peralatan dan mesin",'Daftar Koreksi'!$H$5:$H$92,"&lt;0")</f>
        <v>0</v>
      </c>
      <c r="G317" s="17">
        <f t="shared" si="14"/>
        <v>976233760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4311524500</v>
      </c>
      <c r="E318" s="25">
        <f>SUMIFS('Daftar Koreksi'!$H$5:$H$92,'Daftar Koreksi'!$D$5:$D$92,'1100'!A312,'Daftar Koreksi'!$G$5:$G$92,"Gedung dan Bangunan",'Daftar Koreksi'!$H$5:$H$92,"&gt;0")</f>
        <v>0</v>
      </c>
      <c r="F318" s="25">
        <f>SUMIFS('Daftar Koreksi'!$H$5:$H$92,'Daftar Koreksi'!$D$5:$D$92,'1100'!A312,'Daftar Koreksi'!$G$5:$G$92,"Gedung dan Bangunan",'Daftar Koreksi'!$H$5:$H$92,"&lt;0")-SUMIFS('Daftar Koreksi'!$H$5:$H$92,'Daftar Koreksi'!$D$5:$D$92,'1100'!A312,'Daftar Koreksi'!$G$5:$G$92,"Gedung dan Bangunan",'Daftar Koreksi'!$H$5:$H$92,"&lt;0")-SUMIFS('Daftar Koreksi'!$H$5:$H$92,'Daftar Koreksi'!$D$5:$D$92,'1100'!A312,'Daftar Koreksi'!$G$5:$G$92,"Gedung dan Bangunan",'Daftar Koreksi'!$H$5:$H$92,"&lt;0")</f>
        <v>0</v>
      </c>
      <c r="G318" s="17">
        <f t="shared" si="14"/>
        <v>4311524500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Koreksi'!$D$5:$D$92,'1100'!A312,'Daftar Koreksi'!$G$5:$G$92,"Jalan Irigasi Jaringan",'Daftar Koreksi'!$H$5:$H$92,"&gt;0")</f>
        <v>0</v>
      </c>
      <c r="F319" s="25">
        <f>SUMIFS('Daftar Koreksi'!$H$5:$H$92,'Daftar Koreksi'!$D$5:$D$92,'1100'!A312,'Daftar Koreksi'!$G$5:$G$92,"Jalan Irigasi Jaringan",'Daftar Koreksi'!$H$5:$H$92,"&lt;0")-SUMIFS('Daftar Koreksi'!$H$5:$H$92,'Daftar Koreksi'!$D$5:$D$92,'1100'!A312,'Daftar Koreksi'!$G$5:$G$92,"Jalan Irigasi Jaringan",'Daftar Koreksi'!$H$5:$H$92,"&lt;0")-SUMIFS('Daftar Koreksi'!$H$5:$H$92,'Daftar Koreksi'!$D$5:$D$92,'1100'!A312,'Daftar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2828678</v>
      </c>
      <c r="E320" s="25">
        <f>SUMIFS('Daftar Koreksi'!$H$5:$H$92,'Daftar Koreksi'!$D$5:$D$92,'1100'!A312,'Daftar Koreksi'!$G$5:$G$92,"Aset Tetap Lainnya",'Daftar Koreksi'!$H$5:$H$92,"&gt;0")</f>
        <v>0</v>
      </c>
      <c r="F320" s="25">
        <f>SUMIFS('Daftar Koreksi'!$H$5:$H$92,'Daftar Koreksi'!$D$5:$D$92,'1100'!A312,'Daftar Koreksi'!$G$5:$G$92,"Aset Tetap Lainnya",'Daftar Koreksi'!$H$5:$H$92,"&lt;0")-SUMIFS('Daftar Koreksi'!$H$5:$H$92,'Daftar Koreksi'!$D$5:$D$92,'1100'!A312,'Daftar Koreksi'!$G$5:$G$92,"Aset Tetap Lainnya",'Daftar Koreksi'!$H$5:$H$92,"&lt;0")-SUMIFS('Daftar Koreksi'!$H$5:$H$92,'Daftar Koreksi'!$D$5:$D$92,'1100'!A312,'Daftar Koreksi'!$G$5:$G$92,"Aset Tetap Lainnya",'Daftar Koreksi'!$H$5:$H$92,"&lt;0")</f>
        <v>0</v>
      </c>
      <c r="G320" s="17">
        <f t="shared" si="14"/>
        <v>2828678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Koreksi'!$D$5:$D$92,'1100'!A312,'Daftar Koreksi'!$G$5:$G$92,"Kontruksi Dalam Pengerjaan",'Daftar Koreksi'!$H$5:$H$92,"&gt;0")</f>
        <v>0</v>
      </c>
      <c r="F321" s="25">
        <f>SUMIFS('Daftar Koreksi'!$H$5:$H$92,'Daftar Koreksi'!$D$5:$D$92,'1100'!A312,'Daftar Koreksi'!$G$5:$G$92,"Kontruksi Dalam Pengerjaan",'Daftar Koreksi'!$H$5:$H$92,"&lt;0")-SUMIFS('Daftar Koreksi'!$H$5:$H$92,'Daftar Koreksi'!$D$5:$D$92,'1100'!A312,'Daftar Koreksi'!$G$5:$G$92,"Kontruksi Dalam Pengerjaan",'Daftar Koreksi'!$H$5:$H$92,"&lt;0")-SUMIFS('Daftar Koreksi'!$H$5:$H$92,'Daftar Koreksi'!$D$5:$D$92,'1100'!A312,'Daftar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Koreksi'!$D$5:$D$92,'1100'!A312,'Daftar Koreksi'!$G$5:$G$92,"Aset Tak Berwujud",'Daftar Koreksi'!$H$5:$H$92,"&gt;0")</f>
        <v>0</v>
      </c>
      <c r="F322" s="25">
        <f>SUMIFS('Daftar Koreksi'!$H$5:$H$92,'Daftar Koreksi'!$D$5:$D$92,'1100'!A312,'Daftar Koreksi'!$G$5:$G$92,"Aset Tak Berwujud",'Daftar Koreksi'!$H$5:$H$92,"&lt;0")-SUMIFS('Daftar Koreksi'!$H$5:$H$92,'Daftar Koreksi'!$D$5:$D$92,'1100'!A312,'Daftar Koreksi'!$G$5:$G$92,"Aset Tak Berwujud",'Daftar Koreksi'!$H$5:$H$92,"&lt;0")-SUMIFS('Daftar Koreksi'!$H$5:$H$92,'Daftar Koreksi'!$D$5:$D$92,'1100'!A312,'Daftar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3007000</v>
      </c>
      <c r="E323" s="25">
        <f>SUMIFS('Daftar Koreksi'!$H$5:$H$92,'Daftar Koreksi'!$D$5:$D$92,'1100'!A312,'Daftar Koreksi'!$G$5:$G$92,"Aset Henti Guna",'Daftar Koreksi'!$H$5:$H$92,"&gt;0")</f>
        <v>0</v>
      </c>
      <c r="F323" s="25">
        <f>SUMIFS('Daftar Koreksi'!$H$5:$H$92,'Daftar Koreksi'!$D$5:$D$92,'1100'!A312,'Daftar Koreksi'!$G$5:$G$92,"Aset Henti Guna",'Daftar Koreksi'!$H$5:$H$92,"&lt;0")-SUMIFS('Daftar Koreksi'!$H$5:$H$92,'Daftar Koreksi'!$D$5:$D$92,'1100'!A312,'Daftar Koreksi'!$G$5:$G$92,"Aset Henti Guna",'Daftar Koreksi'!$H$5:$H$92,"&lt;0")-SUMIFS('Daftar Koreksi'!$H$5:$H$92,'Daftar Koreksi'!$D$5:$D$92,'1100'!A312,'Daftar Koreksi'!$G$5:$G$92,"Aset Henti Guna",'Daftar Koreksi'!$H$5:$H$92,"&lt;0")</f>
        <v>0</v>
      </c>
      <c r="G323" s="17">
        <f t="shared" si="14"/>
        <v>3007000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6276518938</v>
      </c>
      <c r="E324" s="19">
        <f>SUM(E315:E323)</f>
        <v>0</v>
      </c>
      <c r="F324" s="19">
        <f>SUM(F315:F323)</f>
        <v>0</v>
      </c>
      <c r="G324" s="19">
        <f t="shared" si="14"/>
        <v>6276518938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-866854679</v>
      </c>
      <c r="E325" s="25">
        <f>SUMIFS('Daftar Koreksi'!$I$5:$I$92,'Daftar Koreksi'!$D$5:$D$92,'1100'!A312,'Daftar Koreksi'!$G$5:$G$92,"Peralatan dan mesin",'Daftar Koreksi'!$I$5:$I$92,"&gt;0")</f>
        <v>0</v>
      </c>
      <c r="F325" s="25">
        <f>SUMIFS('Daftar Koreksi'!$I$5:$I$92,'Daftar Koreksi'!$D$5:$D$92,'1100'!A312,'Daftar Koreksi'!$G$5:$G$92,"Peralatan dan mesin",'Daftar Koreksi'!$I$5:$I$92,"&lt;0")-SUMIFS('Daftar Koreksi'!$I$5:$I$92,'Daftar Koreksi'!$D$5:$D$92,'1100'!A312,'Daftar Koreksi'!$G$5:$G$92,"Peralatan dan mesin",'Daftar Koreksi'!$I$5:$I$92,"&lt;0")-SUMIFS('Daftar Koreksi'!$I$5:$I$92,'Daftar Koreksi'!$D$5:$D$92,'1100'!A312,'Daftar Koreksi'!$G$5:$G$92,"Peralatan dan mesin",'Daftar Koreksi'!$I$5:$I$92,"&lt;0")</f>
        <v>0</v>
      </c>
      <c r="G325" s="17">
        <f t="shared" si="14"/>
        <v>-866854679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-422063385</v>
      </c>
      <c r="E326" s="25">
        <f>SUMIFS('Daftar Koreksi'!$I$5:$I$92,'Daftar Koreksi'!$D$5:$D$92,'1100'!A312,'Daftar Koreksi'!$G$5:$G$92,"Gedung dan Bangunan",'Daftar Koreksi'!$I$5:$I$92,"&gt;0")</f>
        <v>0</v>
      </c>
      <c r="F326" s="25">
        <f>SUMIFS('Daftar Koreksi'!$I$5:$I$92,'Daftar Koreksi'!$D$5:$D$92,'1100'!A312,'Daftar Koreksi'!$G$5:$G$92,"Gedung dan Bangunan",'Daftar Koreksi'!$I$5:$I$92,"&lt;0")-SUMIFS('Daftar Koreksi'!$I$5:$I$92,'Daftar Koreksi'!$D$5:$D$92,'1100'!A312,'Daftar Koreksi'!$G$5:$G$92,"Gedung dan Bangunan",'Daftar Koreksi'!$I$5:$I$92,"&lt;0")-SUMIFS('Daftar Koreksi'!$I$5:$I$92,'Daftar Koreksi'!$D$5:$D$92,'1100'!A312,'Daftar Koreksi'!$G$5:$G$92,"Gedung dan Bangunan",'Daftar Koreksi'!$I$5:$I$92,"&lt;0")</f>
        <v>0</v>
      </c>
      <c r="G326" s="17">
        <f t="shared" si="14"/>
        <v>-422063385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Koreksi'!$D$5:$D$92,'1100'!A312,'Daftar Koreksi'!$G$5:$G$92,"Jalan Irigasi Jaringan",'Daftar Koreksi'!$I$5:$I$92,"&gt;0")</f>
        <v>0</v>
      </c>
      <c r="F327" s="25">
        <f>SUMIFS('Daftar Koreksi'!$I$5:$I$92,'Daftar Koreksi'!$D$5:$D$92,'1100'!A312,'Daftar Koreksi'!$G$5:$G$92,"Jalan Irigasi Jaringan",'Daftar Koreksi'!$I$5:$I$92,"&lt;0")-SUMIFS('Daftar Koreksi'!$I$5:$I$92,'Daftar Koreksi'!$D$5:$D$92,'1100'!A312,'Daftar Koreksi'!$G$5:$G$92,"Jalan Irigasi Jaringan",'Daftar Koreksi'!$I$5:$I$92,"&lt;0")-SUMIFS('Daftar Koreksi'!$I$5:$I$92,'Daftar Koreksi'!$D$5:$D$92,'1100'!A312,'Daftar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Koreksi'!$D$5:$D$92,'1100'!A312,'Daftar Koreksi'!$G$5:$G$92,"Aset Tetap Lainnya",'Daftar Koreksi'!$I$5:$I$92,"&gt;0")</f>
        <v>0</v>
      </c>
      <c r="F328" s="25">
        <f>SUMIFS('Daftar Koreksi'!$I$5:$I$92,'Daftar Koreksi'!$D$5:$D$92,'1100'!A312,'Daftar Koreksi'!$G$5:$G$92,"Aset Tetap Lainnya",'Daftar Koreksi'!$I$5:$I$92,"&lt;0")-SUMIFS('Daftar Koreksi'!$I$5:$I$92,'Daftar Koreksi'!$D$5:$D$92,'1100'!A312,'Daftar Koreksi'!$G$5:$G$92,"Aset Tetap Lainnya",'Daftar Koreksi'!$I$5:$I$92,"&lt;0")-SUMIFS('Daftar Koreksi'!$I$5:$I$92,'Daftar Koreksi'!$D$5:$D$92,'1100'!A312,'Daftar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-3007000</v>
      </c>
      <c r="E329" s="25">
        <f>SUMIFS('Daftar Koreksi'!$I$5:$I$92,'Daftar Koreksi'!$D$5:$D$92,'1100'!A312,'Daftar Koreksi'!$G$5:$G$92,"Aset Henti Guna",'Daftar Koreksi'!$I$5:$I$92,"&gt;0")</f>
        <v>0</v>
      </c>
      <c r="F329" s="25">
        <f>SUMIFS('Daftar Koreksi'!$I$5:$I$92,'Daftar Koreksi'!$D$5:$D$92,'1100'!A312,'Daftar Koreksi'!$G$5:$G$92,"Aset Henti Guna",'Daftar Koreksi'!$I$5:$I$92,"&lt;0")-SUMIFS('Daftar Koreksi'!$I$5:$I$92,'Daftar Koreksi'!$D$5:$D$92,'1100'!A312,'Daftar Koreksi'!$G$5:$G$92,"Aset Henti Guna",'Daftar Koreksi'!$I$5:$I$92,"&lt;0")-SUMIFS('Daftar Koreksi'!$I$5:$I$92,'Daftar Koreksi'!$D$5:$D$92,'1100'!A312,'Daftar Koreksi'!$G$5:$G$92,"Aset Henti Guna",'Daftar Koreksi'!$I$5:$I$92,"&lt;0")</f>
        <v>0</v>
      </c>
      <c r="G329" s="17">
        <f t="shared" si="14"/>
        <v>-3007000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-1291925064</v>
      </c>
      <c r="E330" s="19">
        <f>SUM(E325:E329)</f>
        <v>0</v>
      </c>
      <c r="F330" s="19">
        <f>SUM(F325:F329)</f>
        <v>0</v>
      </c>
      <c r="G330" s="19">
        <f t="shared" si="14"/>
        <v>-1291925064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4984593874</v>
      </c>
      <c r="E331" s="19">
        <f>E330+E324</f>
        <v>0</v>
      </c>
      <c r="F331" s="19">
        <f>F330+F324</f>
        <v>0</v>
      </c>
      <c r="G331" s="19">
        <f t="shared" si="14"/>
        <v>4984593874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005011100402638000KD</v>
      </c>
      <c r="B334" s="11" t="str">
        <f>P16</f>
        <v>PA. Sekayu</v>
      </c>
      <c r="C334" s="12" t="str">
        <f>A334&amp;" "&amp;B334</f>
        <v>005011100402638000KD PA. Sekayu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188700</v>
      </c>
      <c r="E337" s="25">
        <f>SUMIFS('Daftar Koreksi'!$H$5:$H$92,'Daftar Koreksi'!$D$5:$D$92,'1100'!A334,'Daftar Koreksi'!$G$5:$G$92,"Persediaan",'Daftar Koreksi'!$H$5:$H$92,"&gt;0")</f>
        <v>0</v>
      </c>
      <c r="F337" s="25">
        <f>SUMIFS('Daftar Koreksi'!$H$5:$H$92,'Daftar Koreksi'!$D$5:$D$92,'1100'!A334,'Daftar Koreksi'!$G$5:$G$92,"Persediaan",'Daftar Koreksi'!$H$5:$H$92,"&lt;0")-SUMIFS('Daftar Koreksi'!$H$5:$H$92,'Daftar Koreksi'!$D$5:$D$92,'1100'!A334,'Daftar Koreksi'!$G$5:$G$92,"Persediaan",'Daftar Koreksi'!$H$5:$H$92,"&lt;0")-SUMIFS('Daftar Koreksi'!$H$5:$H$92,'Daftar Koreksi'!$D$5:$D$92,'1100'!A334,'Daftar Koreksi'!$G$5:$G$92,"Persediaan",'Daftar Koreksi'!$H$5:$H$92,"&lt;0")</f>
        <v>0</v>
      </c>
      <c r="G337" s="17">
        <f>D337+E337-F337</f>
        <v>188700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1252700000</v>
      </c>
      <c r="E338" s="25">
        <f>SUMIFS('Daftar Koreksi'!$H$5:$H$92,'Daftar Koreksi'!$D$5:$D$92,'1100'!A334,'Daftar Koreksi'!$G$5:$G$92,"Tanah",'Daftar Koreksi'!$H$5:$H$92,"&gt;0")</f>
        <v>0</v>
      </c>
      <c r="F338" s="25">
        <f>SUMIFS('Daftar Koreksi'!$H$5:$H$92,'Daftar Koreksi'!$D$5:$D$92,'1100'!A334,'Daftar Koreksi'!$G$5:$G$92,"Tanah",'Daftar Koreksi'!$H$5:$H$92,"&lt;0")-SUMIFS('Daftar Koreksi'!$H$5:$H$92,'Daftar Koreksi'!$D$5:$D$92,'1100'!A334,'Daftar Koreksi'!$G$5:$G$92,"Tanah",'Daftar Koreksi'!$H$5:$H$92,"&lt;0")-SUMIFS('Daftar Koreksi'!$H$5:$H$92,'Daftar Koreksi'!$D$5:$D$92,'1100'!A334,'Daftar Koreksi'!$G$5:$G$92,"Tanah",'Daftar Koreksi'!$H$5:$H$92,"&lt;0")</f>
        <v>0</v>
      </c>
      <c r="G338" s="17">
        <f t="shared" ref="G338:G354" si="15">D338+E338-F338</f>
        <v>1252700000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1317428003</v>
      </c>
      <c r="E339" s="25">
        <f>SUMIFS('Daftar Koreksi'!$H$5:$H$92,'Daftar Koreksi'!$D$5:$D$92,'1100'!A334,'Daftar Koreksi'!$G$5:$G$92,"Peralatan dan mesin",'Daftar Koreksi'!$H$5:$H$92,"&gt;0")</f>
        <v>0</v>
      </c>
      <c r="F339" s="25">
        <f>SUMIFS('Daftar Koreksi'!$H$5:$H$92,'Daftar Koreksi'!$D$5:$D$92,'1100'!A334,'Daftar Koreksi'!$G$5:$G$92,"Peralatan dan mesin",'Daftar Koreksi'!$H$5:$H$92,"&lt;0")-SUMIFS('Daftar Koreksi'!$H$5:$H$92,'Daftar Koreksi'!$D$5:$D$92,'1100'!A334,'Daftar Koreksi'!$G$5:$G$92,"Peralatan dan mesin",'Daftar Koreksi'!$H$5:$H$92,"&lt;0")-SUMIFS('Daftar Koreksi'!$H$5:$H$92,'Daftar Koreksi'!$D$5:$D$92,'1100'!A334,'Daftar Koreksi'!$G$5:$G$92,"Peralatan dan mesin",'Daftar Koreksi'!$H$5:$H$92,"&lt;0")</f>
        <v>0</v>
      </c>
      <c r="G339" s="17">
        <f t="shared" si="15"/>
        <v>1317428003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1397908000</v>
      </c>
      <c r="E340" s="25">
        <f>SUMIFS('Daftar Koreksi'!$H$5:$H$92,'Daftar Koreksi'!$D$5:$D$92,'1100'!A334,'Daftar Koreksi'!$G$5:$G$92,"Gedung dan Bangunan",'Daftar Koreksi'!$H$5:$H$92,"&gt;0")</f>
        <v>0</v>
      </c>
      <c r="F340" s="25">
        <f>SUMIFS('Daftar Koreksi'!$H$5:$H$92,'Daftar Koreksi'!$D$5:$D$92,'1100'!A334,'Daftar Koreksi'!$G$5:$G$92,"Gedung dan Bangunan",'Daftar Koreksi'!$H$5:$H$92,"&lt;0")-SUMIFS('Daftar Koreksi'!$H$5:$H$92,'Daftar Koreksi'!$D$5:$D$92,'1100'!A334,'Daftar Koreksi'!$G$5:$G$92,"Gedung dan Bangunan",'Daftar Koreksi'!$H$5:$H$92,"&lt;0")-SUMIFS('Daftar Koreksi'!$H$5:$H$92,'Daftar Koreksi'!$D$5:$D$92,'1100'!A334,'Daftar Koreksi'!$G$5:$G$92,"Gedung dan Bangunan",'Daftar Koreksi'!$H$5:$H$92,"&lt;0")</f>
        <v>0</v>
      </c>
      <c r="G340" s="17">
        <f t="shared" si="15"/>
        <v>1397908000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19900000</v>
      </c>
      <c r="E341" s="25">
        <f>SUMIFS('Daftar Koreksi'!$H$5:$H$92,'Daftar Koreksi'!$D$5:$D$92,'1100'!A334,'Daftar Koreksi'!$G$5:$G$92,"Jalan Irigasi Jaringan",'Daftar Koreksi'!$H$5:$H$92,"&gt;0")</f>
        <v>0</v>
      </c>
      <c r="F341" s="25">
        <f>SUMIFS('Daftar Koreksi'!$H$5:$H$92,'Daftar Koreksi'!$D$5:$D$92,'1100'!A334,'Daftar Koreksi'!$G$5:$G$92,"Jalan Irigasi Jaringan",'Daftar Koreksi'!$H$5:$H$92,"&lt;0")-SUMIFS('Daftar Koreksi'!$H$5:$H$92,'Daftar Koreksi'!$D$5:$D$92,'1100'!A334,'Daftar Koreksi'!$G$5:$G$92,"Jalan Irigasi Jaringan",'Daftar Koreksi'!$H$5:$H$92,"&lt;0")-SUMIFS('Daftar Koreksi'!$H$5:$H$92,'Daftar Koreksi'!$D$5:$D$92,'1100'!A334,'Daftar Koreksi'!$G$5:$G$92,"Jalan Irigasi Jaringan",'Daftar Koreksi'!$H$5:$H$92,"&lt;0")</f>
        <v>0</v>
      </c>
      <c r="G341" s="17">
        <f t="shared" si="15"/>
        <v>19900000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4514501</v>
      </c>
      <c r="E342" s="25">
        <f>SUMIFS('Daftar Koreksi'!$H$5:$H$92,'Daftar Koreksi'!$D$5:$D$92,'1100'!A334,'Daftar Koreksi'!$G$5:$G$92,"Aset Tetap Lainnya",'Daftar Koreksi'!$H$5:$H$92,"&gt;0")</f>
        <v>0</v>
      </c>
      <c r="F342" s="25">
        <f>SUMIFS('Daftar Koreksi'!$H$5:$H$92,'Daftar Koreksi'!$D$5:$D$92,'1100'!A334,'Daftar Koreksi'!$G$5:$G$92,"Aset Tetap Lainnya",'Daftar Koreksi'!$H$5:$H$92,"&lt;0")-SUMIFS('Daftar Koreksi'!$H$5:$H$92,'Daftar Koreksi'!$D$5:$D$92,'1100'!A334,'Daftar Koreksi'!$G$5:$G$92,"Aset Tetap Lainnya",'Daftar Koreksi'!$H$5:$H$92,"&lt;0")-SUMIFS('Daftar Koreksi'!$H$5:$H$92,'Daftar Koreksi'!$D$5:$D$92,'1100'!A334,'Daftar Koreksi'!$G$5:$G$92,"Aset Tetap Lainnya",'Daftar Koreksi'!$H$5:$H$92,"&lt;0")</f>
        <v>0</v>
      </c>
      <c r="G342" s="17">
        <f t="shared" si="15"/>
        <v>4514501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Koreksi'!$D$5:$D$92,'1100'!A334,'Daftar Koreksi'!$G$5:$G$92,"Kontruksi Dalam Pengerjaan",'Daftar Koreksi'!$H$5:$H$92,"&gt;0")</f>
        <v>0</v>
      </c>
      <c r="F343" s="25">
        <f>SUMIFS('Daftar Koreksi'!$H$5:$H$92,'Daftar Koreksi'!$D$5:$D$92,'1100'!A334,'Daftar Koreksi'!$G$5:$G$92,"Kontruksi Dalam Pengerjaan",'Daftar Koreksi'!$H$5:$H$92,"&lt;0")-SUMIFS('Daftar Koreksi'!$H$5:$H$92,'Daftar Koreksi'!$D$5:$D$92,'1100'!A334,'Daftar Koreksi'!$G$5:$G$92,"Kontruksi Dalam Pengerjaan",'Daftar Koreksi'!$H$5:$H$92,"&lt;0")-SUMIFS('Daftar Koreksi'!$H$5:$H$92,'Daftar Koreksi'!$D$5:$D$92,'1100'!A334,'Daftar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Koreksi'!$D$5:$D$92,'1100'!A334,'Daftar Koreksi'!$G$5:$G$92,"Aset Tak Berwujud",'Daftar Koreksi'!$H$5:$H$92,"&gt;0")</f>
        <v>0</v>
      </c>
      <c r="F344" s="25">
        <f>SUMIFS('Daftar Koreksi'!$H$5:$H$92,'Daftar Koreksi'!$D$5:$D$92,'1100'!A334,'Daftar Koreksi'!$G$5:$G$92,"Aset Tak Berwujud",'Daftar Koreksi'!$H$5:$H$92,"&lt;0")-SUMIFS('Daftar Koreksi'!$H$5:$H$92,'Daftar Koreksi'!$D$5:$D$92,'1100'!A334,'Daftar Koreksi'!$G$5:$G$92,"Aset Tak Berwujud",'Daftar Koreksi'!$H$5:$H$92,"&lt;0")-SUMIFS('Daftar Koreksi'!$H$5:$H$92,'Daftar Koreksi'!$D$5:$D$92,'1100'!A334,'Daftar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13793000</v>
      </c>
      <c r="E345" s="25">
        <f>SUMIFS('Daftar Koreksi'!$H$5:$H$92,'Daftar Koreksi'!$D$5:$D$92,'1100'!A334,'Daftar Koreksi'!$G$5:$G$92,"Aset Henti Guna",'Daftar Koreksi'!$H$5:$H$92,"&gt;0")</f>
        <v>0</v>
      </c>
      <c r="F345" s="25">
        <f>SUMIFS('Daftar Koreksi'!$H$5:$H$92,'Daftar Koreksi'!$D$5:$D$92,'1100'!A334,'Daftar Koreksi'!$G$5:$G$92,"Aset Henti Guna",'Daftar Koreksi'!$H$5:$H$92,"&lt;0")-SUMIFS('Daftar Koreksi'!$H$5:$H$92,'Daftar Koreksi'!$D$5:$D$92,'1100'!A334,'Daftar Koreksi'!$G$5:$G$92,"Aset Henti Guna",'Daftar Koreksi'!$H$5:$H$92,"&lt;0")-SUMIFS('Daftar Koreksi'!$H$5:$H$92,'Daftar Koreksi'!$D$5:$D$92,'1100'!A334,'Daftar Koreksi'!$G$5:$G$92,"Aset Henti Guna",'Daftar Koreksi'!$H$5:$H$92,"&lt;0")</f>
        <v>0</v>
      </c>
      <c r="G345" s="17">
        <f t="shared" si="15"/>
        <v>13793000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4006432204</v>
      </c>
      <c r="E346" s="19">
        <f>SUM(E337:E345)</f>
        <v>0</v>
      </c>
      <c r="F346" s="19">
        <f>SUM(F337:F345)</f>
        <v>0</v>
      </c>
      <c r="G346" s="19">
        <f t="shared" si="15"/>
        <v>4006432204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-1161010952</v>
      </c>
      <c r="E347" s="25">
        <f>SUMIFS('Daftar Koreksi'!$I$5:$I$92,'Daftar Koreksi'!$D$5:$D$92,'1100'!A334,'Daftar Koreksi'!$G$5:$G$92,"Peralatan dan mesin",'Daftar Koreksi'!$I$5:$I$92,"&gt;0")</f>
        <v>0</v>
      </c>
      <c r="F347" s="25">
        <f>SUMIFS('Daftar Koreksi'!$I$5:$I$92,'Daftar Koreksi'!$D$5:$D$92,'1100'!A334,'Daftar Koreksi'!$G$5:$G$92,"Peralatan dan mesin",'Daftar Koreksi'!$I$5:$I$92,"&lt;0")-SUMIFS('Daftar Koreksi'!$I$5:$I$92,'Daftar Koreksi'!$D$5:$D$92,'1100'!A334,'Daftar Koreksi'!$G$5:$G$92,"Peralatan dan mesin",'Daftar Koreksi'!$I$5:$I$92,"&lt;0")-SUMIFS('Daftar Koreksi'!$I$5:$I$92,'Daftar Koreksi'!$D$5:$D$92,'1100'!A334,'Daftar Koreksi'!$G$5:$G$92,"Peralatan dan mesin",'Daftar Koreksi'!$I$5:$I$92,"&lt;0")</f>
        <v>0</v>
      </c>
      <c r="G347" s="17">
        <f t="shared" si="15"/>
        <v>-1161010952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-308619304</v>
      </c>
      <c r="E348" s="25">
        <f>SUMIFS('Daftar Koreksi'!$I$5:$I$92,'Daftar Koreksi'!$D$5:$D$92,'1100'!A334,'Daftar Koreksi'!$G$5:$G$92,"Gedung dan Bangunan",'Daftar Koreksi'!$I$5:$I$92,"&gt;0")</f>
        <v>0</v>
      </c>
      <c r="F348" s="25">
        <f>SUMIFS('Daftar Koreksi'!$I$5:$I$92,'Daftar Koreksi'!$D$5:$D$92,'1100'!A334,'Daftar Koreksi'!$G$5:$G$92,"Gedung dan Bangunan",'Daftar Koreksi'!$I$5:$I$92,"&lt;0")-SUMIFS('Daftar Koreksi'!$I$5:$I$92,'Daftar Koreksi'!$D$5:$D$92,'1100'!A334,'Daftar Koreksi'!$G$5:$G$92,"Gedung dan Bangunan",'Daftar Koreksi'!$I$5:$I$92,"&lt;0")-SUMIFS('Daftar Koreksi'!$I$5:$I$92,'Daftar Koreksi'!$D$5:$D$92,'1100'!A334,'Daftar Koreksi'!$G$5:$G$92,"Gedung dan Bangunan",'Daftar Koreksi'!$I$5:$I$92,"&lt;0")</f>
        <v>0</v>
      </c>
      <c r="G348" s="17">
        <f t="shared" si="15"/>
        <v>-308619304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-2238750</v>
      </c>
      <c r="E349" s="25">
        <f>SUMIFS('Daftar Koreksi'!$I$5:$I$92,'Daftar Koreksi'!$D$5:$D$92,'1100'!A334,'Daftar Koreksi'!$G$5:$G$92,"Jalan Irigasi Jaringan",'Daftar Koreksi'!$I$5:$I$92,"&gt;0")</f>
        <v>0</v>
      </c>
      <c r="F349" s="25">
        <f>SUMIFS('Daftar Koreksi'!$I$5:$I$92,'Daftar Koreksi'!$D$5:$D$92,'1100'!A334,'Daftar Koreksi'!$G$5:$G$92,"Jalan Irigasi Jaringan",'Daftar Koreksi'!$I$5:$I$92,"&lt;0")-SUMIFS('Daftar Koreksi'!$I$5:$I$92,'Daftar Koreksi'!$D$5:$D$92,'1100'!A334,'Daftar Koreksi'!$G$5:$G$92,"Jalan Irigasi Jaringan",'Daftar Koreksi'!$I$5:$I$92,"&lt;0")-SUMIFS('Daftar Koreksi'!$I$5:$I$92,'Daftar Koreksi'!$D$5:$D$92,'1100'!A334,'Daftar Koreksi'!$G$5:$G$92,"Jalan Irigasi Jaringan",'Daftar Koreksi'!$I$5:$I$92,"&lt;0")</f>
        <v>0</v>
      </c>
      <c r="G349" s="17">
        <f t="shared" si="15"/>
        <v>-2238750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Koreksi'!$D$5:$D$92,'1100'!A334,'Daftar Koreksi'!$G$5:$G$92,"Aset Tetap Lainnya",'Daftar Koreksi'!$I$5:$I$92,"&gt;0")</f>
        <v>0</v>
      </c>
      <c r="F350" s="25">
        <f>SUMIFS('Daftar Koreksi'!$I$5:$I$92,'Daftar Koreksi'!$D$5:$D$92,'1100'!A334,'Daftar Koreksi'!$G$5:$G$92,"Aset Tetap Lainnya",'Daftar Koreksi'!$I$5:$I$92,"&lt;0")-SUMIFS('Daftar Koreksi'!$I$5:$I$92,'Daftar Koreksi'!$D$5:$D$92,'1100'!A334,'Daftar Koreksi'!$G$5:$G$92,"Aset Tetap Lainnya",'Daftar Koreksi'!$I$5:$I$92,"&lt;0")-SUMIFS('Daftar Koreksi'!$I$5:$I$92,'Daftar Koreksi'!$D$5:$D$92,'1100'!A334,'Daftar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-13793000</v>
      </c>
      <c r="E351" s="25">
        <f>SUMIFS('Daftar Koreksi'!$I$5:$I$92,'Daftar Koreksi'!$D$5:$D$92,'1100'!A334,'Daftar Koreksi'!$G$5:$G$92,"Aset Henti Guna",'Daftar Koreksi'!$I$5:$I$92,"&gt;0")</f>
        <v>0</v>
      </c>
      <c r="F351" s="25">
        <f>SUMIFS('Daftar Koreksi'!$I$5:$I$92,'Daftar Koreksi'!$D$5:$D$92,'1100'!A334,'Daftar Koreksi'!$G$5:$G$92,"Aset Henti Guna",'Daftar Koreksi'!$I$5:$I$92,"&lt;0")-SUMIFS('Daftar Koreksi'!$I$5:$I$92,'Daftar Koreksi'!$D$5:$D$92,'1100'!A334,'Daftar Koreksi'!$G$5:$G$92,"Aset Henti Guna",'Daftar Koreksi'!$I$5:$I$92,"&lt;0")-SUMIFS('Daftar Koreksi'!$I$5:$I$92,'Daftar Koreksi'!$D$5:$D$92,'1100'!A334,'Daftar Koreksi'!$G$5:$G$92,"Aset Henti Guna",'Daftar Koreksi'!$I$5:$I$92,"&lt;0")</f>
        <v>0</v>
      </c>
      <c r="G351" s="17">
        <f t="shared" si="15"/>
        <v>-13793000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-1485662006</v>
      </c>
      <c r="E352" s="19">
        <f>SUM(E347:E351)</f>
        <v>0</v>
      </c>
      <c r="F352" s="19">
        <f>SUM(F347:F351)</f>
        <v>0</v>
      </c>
      <c r="G352" s="19">
        <f t="shared" si="15"/>
        <v>-1485662006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2520770198</v>
      </c>
      <c r="E353" s="19">
        <f>E352+E346</f>
        <v>0</v>
      </c>
      <c r="F353" s="19">
        <f>F352+F346</f>
        <v>0</v>
      </c>
      <c r="G353" s="19">
        <f t="shared" si="15"/>
        <v>2520770198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005011100526750000KD</v>
      </c>
      <c r="B356" s="11" t="str">
        <f>P17</f>
        <v>PTUN. Palembang</v>
      </c>
      <c r="C356" s="12" t="str">
        <f>A356&amp;" "&amp;B356</f>
        <v>005011100526750000KD PTUN. Palembang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2952253</v>
      </c>
      <c r="E359" s="25">
        <f>SUMIFS('Daftar Koreksi'!$H$5:$H$92,'Daftar Koreksi'!$D$5:$D$92,'1100'!A356,'Daftar Koreksi'!$G$5:$G$92,"Persediaan",'Daftar Koreksi'!$H$5:$H$92,"&gt;0")</f>
        <v>0</v>
      </c>
      <c r="F359" s="25">
        <f>SUMIFS('Daftar Koreksi'!$H$5:$H$92,'Daftar Koreksi'!$D$5:$D$92,'1100'!A356,'Daftar Koreksi'!$G$5:$G$92,"Persediaan",'Daftar Koreksi'!$H$5:$H$92,"&lt;0")-SUMIFS('Daftar Koreksi'!$H$5:$H$92,'Daftar Koreksi'!$D$5:$D$92,'1100'!A356,'Daftar Koreksi'!$G$5:$G$92,"Persediaan",'Daftar Koreksi'!$H$5:$H$92,"&lt;0")-SUMIFS('Daftar Koreksi'!$H$5:$H$92,'Daftar Koreksi'!$D$5:$D$92,'1100'!A356,'Daftar Koreksi'!$G$5:$G$92,"Persediaan",'Daftar Koreksi'!$H$5:$H$92,"&lt;0")</f>
        <v>0</v>
      </c>
      <c r="G359" s="17">
        <f>D359+E359-F359</f>
        <v>2952253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2088628400</v>
      </c>
      <c r="E360" s="25">
        <f>SUMIFS('Daftar Koreksi'!$H$5:$H$92,'Daftar Koreksi'!$D$5:$D$92,'1100'!A356,'Daftar Koreksi'!$G$5:$G$92,"Tanah",'Daftar Koreksi'!$H$5:$H$92,"&gt;0")</f>
        <v>0</v>
      </c>
      <c r="F360" s="25">
        <f>SUMIFS('Daftar Koreksi'!$H$5:$H$92,'Daftar Koreksi'!$D$5:$D$92,'1100'!A356,'Daftar Koreksi'!$G$5:$G$92,"Tanah",'Daftar Koreksi'!$H$5:$H$92,"&lt;0")-SUMIFS('Daftar Koreksi'!$H$5:$H$92,'Daftar Koreksi'!$D$5:$D$92,'1100'!A356,'Daftar Koreksi'!$G$5:$G$92,"Tanah",'Daftar Koreksi'!$H$5:$H$92,"&lt;0")-SUMIFS('Daftar Koreksi'!$H$5:$H$92,'Daftar Koreksi'!$D$5:$D$92,'1100'!A356,'Daftar Koreksi'!$G$5:$G$92,"Tanah",'Daftar Koreksi'!$H$5:$H$92,"&lt;0")</f>
        <v>0</v>
      </c>
      <c r="G360" s="17">
        <f t="shared" ref="G360:G376" si="16">D360+E360-F360</f>
        <v>2088628400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1945812579</v>
      </c>
      <c r="E361" s="25">
        <f>SUMIFS('Daftar Koreksi'!$H$5:$H$92,'Daftar Koreksi'!$D$5:$D$92,'1100'!A356,'Daftar Koreksi'!$G$5:$G$92,"Peralatan dan mesin",'Daftar Koreksi'!$H$5:$H$92,"&gt;0")</f>
        <v>0</v>
      </c>
      <c r="F361" s="25">
        <f>SUMIFS('Daftar Koreksi'!$H$5:$H$92,'Daftar Koreksi'!$D$5:$D$92,'1100'!A356,'Daftar Koreksi'!$G$5:$G$92,"Peralatan dan mesin",'Daftar Koreksi'!$H$5:$H$92,"&lt;0")-SUMIFS('Daftar Koreksi'!$H$5:$H$92,'Daftar Koreksi'!$D$5:$D$92,'1100'!A356,'Daftar Koreksi'!$G$5:$G$92,"Peralatan dan mesin",'Daftar Koreksi'!$H$5:$H$92,"&lt;0")-SUMIFS('Daftar Koreksi'!$H$5:$H$92,'Daftar Koreksi'!$D$5:$D$92,'1100'!A356,'Daftar Koreksi'!$G$5:$G$92,"Peralatan dan mesin",'Daftar Koreksi'!$H$5:$H$92,"&lt;0")</f>
        <v>0</v>
      </c>
      <c r="G361" s="17">
        <f t="shared" si="16"/>
        <v>1945812579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15195540000</v>
      </c>
      <c r="E362" s="25">
        <f>SUMIFS('Daftar Koreksi'!$H$5:$H$92,'Daftar Koreksi'!$D$5:$D$92,'1100'!A356,'Daftar Koreksi'!$G$5:$G$92,"Gedung dan Bangunan",'Daftar Koreksi'!$H$5:$H$92,"&gt;0")</f>
        <v>0</v>
      </c>
      <c r="F362" s="25">
        <f>SUMIFS('Daftar Koreksi'!$H$5:$H$92,'Daftar Koreksi'!$D$5:$D$92,'1100'!A356,'Daftar Koreksi'!$G$5:$G$92,"Gedung dan Bangunan",'Daftar Koreksi'!$H$5:$H$92,"&lt;0")-SUMIFS('Daftar Koreksi'!$H$5:$H$92,'Daftar Koreksi'!$D$5:$D$92,'1100'!A356,'Daftar Koreksi'!$G$5:$G$92,"Gedung dan Bangunan",'Daftar Koreksi'!$H$5:$H$92,"&lt;0")-SUMIFS('Daftar Koreksi'!$H$5:$H$92,'Daftar Koreksi'!$D$5:$D$92,'1100'!A356,'Daftar Koreksi'!$G$5:$G$92,"Gedung dan Bangunan",'Daftar Koreksi'!$H$5:$H$92,"&lt;0")</f>
        <v>0</v>
      </c>
      <c r="G362" s="17">
        <f t="shared" si="16"/>
        <v>15195540000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130800000</v>
      </c>
      <c r="E363" s="25">
        <f>SUMIFS('Daftar Koreksi'!$H$5:$H$92,'Daftar Koreksi'!$D$5:$D$92,'1100'!A356,'Daftar Koreksi'!$G$5:$G$92,"Jalan Irigasi Jaringan",'Daftar Koreksi'!$H$5:$H$92,"&gt;0")</f>
        <v>0</v>
      </c>
      <c r="F363" s="25">
        <f>SUMIFS('Daftar Koreksi'!$H$5:$H$92,'Daftar Koreksi'!$D$5:$D$92,'1100'!A356,'Daftar Koreksi'!$G$5:$G$92,"Jalan Irigasi Jaringan",'Daftar Koreksi'!$H$5:$H$92,"&lt;0")-SUMIFS('Daftar Koreksi'!$H$5:$H$92,'Daftar Koreksi'!$D$5:$D$92,'1100'!A356,'Daftar Koreksi'!$G$5:$G$92,"Jalan Irigasi Jaringan",'Daftar Koreksi'!$H$5:$H$92,"&lt;0")-SUMIFS('Daftar Koreksi'!$H$5:$H$92,'Daftar Koreksi'!$D$5:$D$92,'1100'!A356,'Daftar Koreksi'!$G$5:$G$92,"Jalan Irigasi Jaringan",'Daftar Koreksi'!$H$5:$H$92,"&lt;0")</f>
        <v>0</v>
      </c>
      <c r="G363" s="17">
        <f t="shared" si="16"/>
        <v>130800000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105332000</v>
      </c>
      <c r="E364" s="25">
        <f>SUMIFS('Daftar Koreksi'!$H$5:$H$92,'Daftar Koreksi'!$D$5:$D$92,'1100'!A356,'Daftar Koreksi'!$G$5:$G$92,"Aset Tetap Lainnya",'Daftar Koreksi'!$H$5:$H$92,"&gt;0")</f>
        <v>0</v>
      </c>
      <c r="F364" s="25">
        <f>SUMIFS('Daftar Koreksi'!$H$5:$H$92,'Daftar Koreksi'!$D$5:$D$92,'1100'!A356,'Daftar Koreksi'!$G$5:$G$92,"Aset Tetap Lainnya",'Daftar Koreksi'!$H$5:$H$92,"&lt;0")-SUMIFS('Daftar Koreksi'!$H$5:$H$92,'Daftar Koreksi'!$D$5:$D$92,'1100'!A356,'Daftar Koreksi'!$G$5:$G$92,"Aset Tetap Lainnya",'Daftar Koreksi'!$H$5:$H$92,"&lt;0")-SUMIFS('Daftar Koreksi'!$H$5:$H$92,'Daftar Koreksi'!$D$5:$D$92,'1100'!A356,'Daftar Koreksi'!$G$5:$G$92,"Aset Tetap Lainnya",'Daftar Koreksi'!$H$5:$H$92,"&lt;0")</f>
        <v>0</v>
      </c>
      <c r="G364" s="17">
        <f t="shared" si="16"/>
        <v>105332000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Koreksi'!$D$5:$D$92,'1100'!A356,'Daftar Koreksi'!$G$5:$G$92,"Kontruksi Dalam Pengerjaan",'Daftar Koreksi'!$H$5:$H$92,"&gt;0")</f>
        <v>0</v>
      </c>
      <c r="F365" s="25">
        <f>SUMIFS('Daftar Koreksi'!$H$5:$H$92,'Daftar Koreksi'!$D$5:$D$92,'1100'!A356,'Daftar Koreksi'!$G$5:$G$92,"Kontruksi Dalam Pengerjaan",'Daftar Koreksi'!$H$5:$H$92,"&lt;0")-SUMIFS('Daftar Koreksi'!$H$5:$H$92,'Daftar Koreksi'!$D$5:$D$92,'1100'!A356,'Daftar Koreksi'!$G$5:$G$92,"Kontruksi Dalam Pengerjaan",'Daftar Koreksi'!$H$5:$H$92,"&lt;0")-SUMIFS('Daftar Koreksi'!$H$5:$H$92,'Daftar Koreksi'!$D$5:$D$92,'1100'!A356,'Daftar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Koreksi'!$D$5:$D$92,'1100'!A356,'Daftar Koreksi'!$G$5:$G$92,"Aset Tak Berwujud",'Daftar Koreksi'!$H$5:$H$92,"&gt;0")</f>
        <v>0</v>
      </c>
      <c r="F366" s="25">
        <f>SUMIFS('Daftar Koreksi'!$H$5:$H$92,'Daftar Koreksi'!$D$5:$D$92,'1100'!A356,'Daftar Koreksi'!$G$5:$G$92,"Aset Tak Berwujud",'Daftar Koreksi'!$H$5:$H$92,"&lt;0")-SUMIFS('Daftar Koreksi'!$H$5:$H$92,'Daftar Koreksi'!$D$5:$D$92,'1100'!A356,'Daftar Koreksi'!$G$5:$G$92,"Aset Tak Berwujud",'Daftar Koreksi'!$H$5:$H$92,"&lt;0")-SUMIFS('Daftar Koreksi'!$H$5:$H$92,'Daftar Koreksi'!$D$5:$D$92,'1100'!A356,'Daftar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22372355</v>
      </c>
      <c r="E367" s="25">
        <f>SUMIFS('Daftar Koreksi'!$H$5:$H$92,'Daftar Koreksi'!$D$5:$D$92,'1100'!A356,'Daftar Koreksi'!$G$5:$G$92,"Aset Henti Guna",'Daftar Koreksi'!$H$5:$H$92,"&gt;0")</f>
        <v>0</v>
      </c>
      <c r="F367" s="25">
        <f>SUMIFS('Daftar Koreksi'!$H$5:$H$92,'Daftar Koreksi'!$D$5:$D$92,'1100'!A356,'Daftar Koreksi'!$G$5:$G$92,"Aset Henti Guna",'Daftar Koreksi'!$H$5:$H$92,"&lt;0")-SUMIFS('Daftar Koreksi'!$H$5:$H$92,'Daftar Koreksi'!$D$5:$D$92,'1100'!A356,'Daftar Koreksi'!$G$5:$G$92,"Aset Henti Guna",'Daftar Koreksi'!$H$5:$H$92,"&lt;0")-SUMIFS('Daftar Koreksi'!$H$5:$H$92,'Daftar Koreksi'!$D$5:$D$92,'1100'!A356,'Daftar Koreksi'!$G$5:$G$92,"Aset Henti Guna",'Daftar Koreksi'!$H$5:$H$92,"&lt;0")</f>
        <v>0</v>
      </c>
      <c r="G367" s="17">
        <f t="shared" si="16"/>
        <v>22372355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19491437587</v>
      </c>
      <c r="E368" s="19">
        <f>SUM(E359:E367)</f>
        <v>0</v>
      </c>
      <c r="F368" s="19">
        <f>SUM(F359:F367)</f>
        <v>0</v>
      </c>
      <c r="G368" s="19">
        <f t="shared" si="16"/>
        <v>19491437587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-1706575733</v>
      </c>
      <c r="E369" s="25">
        <f>SUMIFS('Daftar Koreksi'!$I$5:$I$92,'Daftar Koreksi'!$D$5:$D$92,'1100'!A356,'Daftar Koreksi'!$G$5:$G$92,"Peralatan dan mesin",'Daftar Koreksi'!$I$5:$I$92,"&gt;0")</f>
        <v>0</v>
      </c>
      <c r="F369" s="25">
        <f>SUMIFS('Daftar Koreksi'!$I$5:$I$92,'Daftar Koreksi'!$D$5:$D$92,'1100'!A356,'Daftar Koreksi'!$G$5:$G$92,"Peralatan dan mesin",'Daftar Koreksi'!$I$5:$I$92,"&lt;0")-SUMIFS('Daftar Koreksi'!$I$5:$I$92,'Daftar Koreksi'!$D$5:$D$92,'1100'!A356,'Daftar Koreksi'!$G$5:$G$92,"Peralatan dan mesin",'Daftar Koreksi'!$I$5:$I$92,"&lt;0")-SUMIFS('Daftar Koreksi'!$I$5:$I$92,'Daftar Koreksi'!$D$5:$D$92,'1100'!A356,'Daftar Koreksi'!$G$5:$G$92,"Peralatan dan mesin",'Daftar Koreksi'!$I$5:$I$92,"&lt;0")</f>
        <v>0</v>
      </c>
      <c r="G369" s="17">
        <f t="shared" si="16"/>
        <v>-1706575733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-2908824476</v>
      </c>
      <c r="E370" s="25">
        <f>SUMIFS('Daftar Koreksi'!$I$5:$I$92,'Daftar Koreksi'!$D$5:$D$92,'1100'!A356,'Daftar Koreksi'!$G$5:$G$92,"Gedung dan Bangunan",'Daftar Koreksi'!$I$5:$I$92,"&gt;0")</f>
        <v>0</v>
      </c>
      <c r="F370" s="25">
        <f>SUMIFS('Daftar Koreksi'!$I$5:$I$92,'Daftar Koreksi'!$D$5:$D$92,'1100'!A356,'Daftar Koreksi'!$G$5:$G$92,"Gedung dan Bangunan",'Daftar Koreksi'!$I$5:$I$92,"&lt;0")-SUMIFS('Daftar Koreksi'!$I$5:$I$92,'Daftar Koreksi'!$D$5:$D$92,'1100'!A356,'Daftar Koreksi'!$G$5:$G$92,"Gedung dan Bangunan",'Daftar Koreksi'!$I$5:$I$92,"&lt;0")-SUMIFS('Daftar Koreksi'!$I$5:$I$92,'Daftar Koreksi'!$D$5:$D$92,'1100'!A356,'Daftar Koreksi'!$G$5:$G$92,"Gedung dan Bangunan",'Daftar Koreksi'!$I$5:$I$92,"&lt;0")</f>
        <v>0</v>
      </c>
      <c r="G370" s="17">
        <f t="shared" si="16"/>
        <v>-2908824476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-11445000</v>
      </c>
      <c r="E371" s="25">
        <f>SUMIFS('Daftar Koreksi'!$I$5:$I$92,'Daftar Koreksi'!$D$5:$D$92,'1100'!A356,'Daftar Koreksi'!$G$5:$G$92,"Jalan Irigasi Jaringan",'Daftar Koreksi'!$I$5:$I$92,"&gt;0")</f>
        <v>0</v>
      </c>
      <c r="F371" s="25">
        <f>SUMIFS('Daftar Koreksi'!$I$5:$I$92,'Daftar Koreksi'!$D$5:$D$92,'1100'!A356,'Daftar Koreksi'!$G$5:$G$92,"Jalan Irigasi Jaringan",'Daftar Koreksi'!$I$5:$I$92,"&lt;0")-SUMIFS('Daftar Koreksi'!$I$5:$I$92,'Daftar Koreksi'!$D$5:$D$92,'1100'!A356,'Daftar Koreksi'!$G$5:$G$92,"Jalan Irigasi Jaringan",'Daftar Koreksi'!$I$5:$I$92,"&lt;0")-SUMIFS('Daftar Koreksi'!$I$5:$I$92,'Daftar Koreksi'!$D$5:$D$92,'1100'!A356,'Daftar Koreksi'!$G$5:$G$92,"Jalan Irigasi Jaringan",'Daftar Koreksi'!$I$5:$I$92,"&lt;0")</f>
        <v>0</v>
      </c>
      <c r="G371" s="17">
        <f t="shared" si="16"/>
        <v>-11445000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Koreksi'!$D$5:$D$92,'1100'!A356,'Daftar Koreksi'!$G$5:$G$92,"Aset Tetap Lainnya",'Daftar Koreksi'!$I$5:$I$92,"&gt;0")</f>
        <v>0</v>
      </c>
      <c r="F372" s="25">
        <f>SUMIFS('Daftar Koreksi'!$I$5:$I$92,'Daftar Koreksi'!$D$5:$D$92,'1100'!A356,'Daftar Koreksi'!$G$5:$G$92,"Aset Tetap Lainnya",'Daftar Koreksi'!$I$5:$I$92,"&lt;0")-SUMIFS('Daftar Koreksi'!$I$5:$I$92,'Daftar Koreksi'!$D$5:$D$92,'1100'!A356,'Daftar Koreksi'!$G$5:$G$92,"Aset Tetap Lainnya",'Daftar Koreksi'!$I$5:$I$92,"&lt;0")-SUMIFS('Daftar Koreksi'!$I$5:$I$92,'Daftar Koreksi'!$D$5:$D$92,'1100'!A356,'Daftar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-22147355</v>
      </c>
      <c r="E373" s="25">
        <f>SUMIFS('Daftar Koreksi'!$I$5:$I$92,'Daftar Koreksi'!$D$5:$D$92,'1100'!A356,'Daftar Koreksi'!$G$5:$G$92,"Aset Henti Guna",'Daftar Koreksi'!$I$5:$I$92,"&gt;0")</f>
        <v>0</v>
      </c>
      <c r="F373" s="25">
        <f>SUMIFS('Daftar Koreksi'!$I$5:$I$92,'Daftar Koreksi'!$D$5:$D$92,'1100'!A356,'Daftar Koreksi'!$G$5:$G$92,"Aset Henti Guna",'Daftar Koreksi'!$I$5:$I$92,"&lt;0")-SUMIFS('Daftar Koreksi'!$I$5:$I$92,'Daftar Koreksi'!$D$5:$D$92,'1100'!A356,'Daftar Koreksi'!$G$5:$G$92,"Aset Henti Guna",'Daftar Koreksi'!$I$5:$I$92,"&lt;0")-SUMIFS('Daftar Koreksi'!$I$5:$I$92,'Daftar Koreksi'!$D$5:$D$92,'1100'!A356,'Daftar Koreksi'!$G$5:$G$92,"Aset Henti Guna",'Daftar Koreksi'!$I$5:$I$92,"&lt;0")</f>
        <v>0</v>
      </c>
      <c r="G373" s="17">
        <f t="shared" si="16"/>
        <v>-22147355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-4648992564</v>
      </c>
      <c r="E374" s="19">
        <f>SUM(E369:E373)</f>
        <v>0</v>
      </c>
      <c r="F374" s="19">
        <f>SUM(F369:F373)</f>
        <v>0</v>
      </c>
      <c r="G374" s="19">
        <f t="shared" si="16"/>
        <v>-4648992564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14842445023</v>
      </c>
      <c r="E375" s="19">
        <f>E374+E368</f>
        <v>0</v>
      </c>
      <c r="F375" s="19">
        <f>F374+F368</f>
        <v>0</v>
      </c>
      <c r="G375" s="19">
        <f t="shared" si="16"/>
        <v>14842445023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005011100663211000KD</v>
      </c>
      <c r="B378" s="11" t="str">
        <f>P18</f>
        <v>DILMIL.  I - 04 di Palembang</v>
      </c>
      <c r="C378" s="12" t="str">
        <f>A378&amp;" "&amp;B378</f>
        <v>005011100663211000KD DILMIL.  I - 04 di Palembang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568000</v>
      </c>
      <c r="E381" s="25">
        <f>SUMIFS('Daftar Koreksi'!$H$5:$H$92,'Daftar Koreksi'!$D$5:$D$92,'1100'!A378,'Daftar Koreksi'!$G$5:$G$92,"Persediaan",'Daftar Koreksi'!$H$5:$H$92,"&gt;0")</f>
        <v>0</v>
      </c>
      <c r="F381" s="25">
        <f>SUMIFS('Daftar Koreksi'!$H$5:$H$92,'Daftar Koreksi'!$D$5:$D$92,'1100'!A378,'Daftar Koreksi'!$G$5:$G$92,"Persediaan",'Daftar Koreksi'!$H$5:$H$92,"&lt;0")-SUMIFS('Daftar Koreksi'!$H$5:$H$92,'Daftar Koreksi'!$D$5:$D$92,'1100'!A378,'Daftar Koreksi'!$G$5:$G$92,"Persediaan",'Daftar Koreksi'!$H$5:$H$92,"&lt;0")-SUMIFS('Daftar Koreksi'!$H$5:$H$92,'Daftar Koreksi'!$D$5:$D$92,'1100'!A378,'Daftar Koreksi'!$G$5:$G$92,"Persediaan",'Daftar Koreksi'!$H$5:$H$92,"&lt;0")</f>
        <v>0</v>
      </c>
      <c r="G381" s="17">
        <f>D381+E381-F381</f>
        <v>568000</v>
      </c>
      <c r="H381" s="121" t="str">
        <f>IF(ISNA(VLOOKUP(A378,'Mutasi Neraca'!$A$3:$S$914,19,FALSE)),"-",VLOOKUP(A378,'Mutasi Neraca'!$A$3:$S$914,19,FALSE))</f>
        <v>TP Koreksi Hibah No. 17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1147797490</v>
      </c>
      <c r="E382" s="25">
        <f>SUMIFS('Daftar Koreksi'!$H$5:$H$92,'Daftar Koreksi'!$D$5:$D$92,'1100'!A378,'Daftar Koreksi'!$G$5:$G$92,"Tanah",'Daftar Koreksi'!$H$5:$H$92,"&gt;0")</f>
        <v>0</v>
      </c>
      <c r="F382" s="25">
        <f>SUMIFS('Daftar Koreksi'!$H$5:$H$92,'Daftar Koreksi'!$D$5:$D$92,'1100'!A378,'Daftar Koreksi'!$G$5:$G$92,"Tanah",'Daftar Koreksi'!$H$5:$H$92,"&lt;0")-SUMIFS('Daftar Koreksi'!$H$5:$H$92,'Daftar Koreksi'!$D$5:$D$92,'1100'!A378,'Daftar Koreksi'!$G$5:$G$92,"Tanah",'Daftar Koreksi'!$H$5:$H$92,"&lt;0")-SUMIFS('Daftar Koreksi'!$H$5:$H$92,'Daftar Koreksi'!$D$5:$D$92,'1100'!A378,'Daftar Koreksi'!$G$5:$G$92,"Tanah",'Daftar Koreksi'!$H$5:$H$92,"&lt;0")</f>
        <v>0</v>
      </c>
      <c r="G382" s="17">
        <f t="shared" ref="G382:G398" si="17">D382+E382-F382</f>
        <v>1147797490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2446214034</v>
      </c>
      <c r="E383" s="25">
        <f>SUMIFS('Daftar Koreksi'!$H$5:$H$92,'Daftar Koreksi'!$D$5:$D$92,'1100'!A378,'Daftar Koreksi'!$G$5:$G$92,"Peralatan dan mesin",'Daftar Koreksi'!$H$5:$H$92,"&gt;0")</f>
        <v>0</v>
      </c>
      <c r="F383" s="25">
        <f>SUMIFS('Daftar Koreksi'!$H$5:$H$92,'Daftar Koreksi'!$D$5:$D$92,'1100'!A378,'Daftar Koreksi'!$G$5:$G$92,"Peralatan dan mesin",'Daftar Koreksi'!$H$5:$H$92,"&lt;0")-SUMIFS('Daftar Koreksi'!$H$5:$H$92,'Daftar Koreksi'!$D$5:$D$92,'1100'!A378,'Daftar Koreksi'!$G$5:$G$92,"Peralatan dan mesin",'Daftar Koreksi'!$H$5:$H$92,"&lt;0")-SUMIFS('Daftar Koreksi'!$H$5:$H$92,'Daftar Koreksi'!$D$5:$D$92,'1100'!A378,'Daftar Koreksi'!$G$5:$G$92,"Peralatan dan mesin",'Daftar Koreksi'!$H$5:$H$92,"&lt;0")</f>
        <v>0</v>
      </c>
      <c r="G383" s="17">
        <f t="shared" si="17"/>
        <v>2446214034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9444747500</v>
      </c>
      <c r="E384" s="25">
        <f>SUMIFS('Daftar Koreksi'!$H$5:$H$92,'Daftar Koreksi'!$D$5:$D$92,'1100'!A378,'Daftar Koreksi'!$G$5:$G$92,"Gedung dan Bangunan",'Daftar Koreksi'!$H$5:$H$92,"&gt;0")</f>
        <v>90000000</v>
      </c>
      <c r="F384" s="25">
        <f>SUMIFS('Daftar Koreksi'!$H$5:$H$92,'Daftar Koreksi'!$D$5:$D$92,'1100'!A378,'Daftar Koreksi'!$G$5:$G$92,"Gedung dan Bangunan",'Daftar Koreksi'!$H$5:$H$92,"&lt;0")-SUMIFS('Daftar Koreksi'!$H$5:$H$92,'Daftar Koreksi'!$D$5:$D$92,'1100'!A378,'Daftar Koreksi'!$G$5:$G$92,"Gedung dan Bangunan",'Daftar Koreksi'!$H$5:$H$92,"&lt;0")-SUMIFS('Daftar Koreksi'!$H$5:$H$92,'Daftar Koreksi'!$D$5:$D$92,'1100'!A378,'Daftar Koreksi'!$G$5:$G$92,"Gedung dan Bangunan",'Daftar Koreksi'!$H$5:$H$92,"&lt;0")</f>
        <v>0</v>
      </c>
      <c r="G384" s="17">
        <f t="shared" si="17"/>
        <v>9534747500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Koreksi'!$D$5:$D$92,'1100'!A378,'Daftar Koreksi'!$G$5:$G$92,"Jalan Irigasi Jaringan",'Daftar Koreksi'!$H$5:$H$92,"&gt;0")</f>
        <v>0</v>
      </c>
      <c r="F385" s="25">
        <f>SUMIFS('Daftar Koreksi'!$H$5:$H$92,'Daftar Koreksi'!$D$5:$D$92,'1100'!A378,'Daftar Koreksi'!$G$5:$G$92,"Jalan Irigasi Jaringan",'Daftar Koreksi'!$H$5:$H$92,"&lt;0")-SUMIFS('Daftar Koreksi'!$H$5:$H$92,'Daftar Koreksi'!$D$5:$D$92,'1100'!A378,'Daftar Koreksi'!$G$5:$G$92,"Jalan Irigasi Jaringan",'Daftar Koreksi'!$H$5:$H$92,"&lt;0")-SUMIFS('Daftar Koreksi'!$H$5:$H$92,'Daftar Koreksi'!$D$5:$D$92,'1100'!A378,'Daftar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0</v>
      </c>
      <c r="E386" s="25">
        <f>SUMIFS('Daftar Koreksi'!$H$5:$H$92,'Daftar Koreksi'!$D$5:$D$92,'1100'!A378,'Daftar Koreksi'!$G$5:$G$92,"Aset Tetap Lainnya",'Daftar Koreksi'!$H$5:$H$92,"&gt;0")</f>
        <v>0</v>
      </c>
      <c r="F386" s="25">
        <f>SUMIFS('Daftar Koreksi'!$H$5:$H$92,'Daftar Koreksi'!$D$5:$D$92,'1100'!A378,'Daftar Koreksi'!$G$5:$G$92,"Aset Tetap Lainnya",'Daftar Koreksi'!$H$5:$H$92,"&lt;0")-SUMIFS('Daftar Koreksi'!$H$5:$H$92,'Daftar Koreksi'!$D$5:$D$92,'1100'!A378,'Daftar Koreksi'!$G$5:$G$92,"Aset Tetap Lainnya",'Daftar Koreksi'!$H$5:$H$92,"&lt;0")-SUMIFS('Daftar Koreksi'!$H$5:$H$92,'Daftar Koreksi'!$D$5:$D$92,'1100'!A378,'Daftar Koreksi'!$G$5:$G$92,"Aset Tetap Lainnya",'Daftar Koreksi'!$H$5:$H$92,"&lt;0")</f>
        <v>0</v>
      </c>
      <c r="G386" s="17">
        <f t="shared" si="17"/>
        <v>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Koreksi'!$D$5:$D$92,'1100'!A378,'Daftar Koreksi'!$G$5:$G$92,"Kontruksi Dalam Pengerjaan",'Daftar Koreksi'!$H$5:$H$92,"&gt;0")</f>
        <v>0</v>
      </c>
      <c r="F387" s="25">
        <f>SUMIFS('Daftar Koreksi'!$H$5:$H$92,'Daftar Koreksi'!$D$5:$D$92,'1100'!A378,'Daftar Koreksi'!$G$5:$G$92,"Kontruksi Dalam Pengerjaan",'Daftar Koreksi'!$H$5:$H$92,"&lt;0")-SUMIFS('Daftar Koreksi'!$H$5:$H$92,'Daftar Koreksi'!$D$5:$D$92,'1100'!A378,'Daftar Koreksi'!$G$5:$G$92,"Kontruksi Dalam Pengerjaan",'Daftar Koreksi'!$H$5:$H$92,"&lt;0")-SUMIFS('Daftar Koreksi'!$H$5:$H$92,'Daftar Koreksi'!$D$5:$D$92,'1100'!A378,'Daftar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75302000</v>
      </c>
      <c r="E388" s="25">
        <f>SUMIFS('Daftar Koreksi'!$H$5:$H$92,'Daftar Koreksi'!$D$5:$D$92,'1100'!A378,'Daftar Koreksi'!$G$5:$G$92,"Aset Tak Berwujud",'Daftar Koreksi'!$H$5:$H$92,"&gt;0")</f>
        <v>0</v>
      </c>
      <c r="F388" s="25">
        <f>SUMIFS('Daftar Koreksi'!$H$5:$H$92,'Daftar Koreksi'!$D$5:$D$92,'1100'!A378,'Daftar Koreksi'!$G$5:$G$92,"Aset Tak Berwujud",'Daftar Koreksi'!$H$5:$H$92,"&lt;0")-SUMIFS('Daftar Koreksi'!$H$5:$H$92,'Daftar Koreksi'!$D$5:$D$92,'1100'!A378,'Daftar Koreksi'!$G$5:$G$92,"Aset Tak Berwujud",'Daftar Koreksi'!$H$5:$H$92,"&lt;0")-SUMIFS('Daftar Koreksi'!$H$5:$H$92,'Daftar Koreksi'!$D$5:$D$92,'1100'!A378,'Daftar Koreksi'!$G$5:$G$92,"Aset Tak Berwujud",'Daftar Koreksi'!$H$5:$H$92,"&lt;0")</f>
        <v>0</v>
      </c>
      <c r="G388" s="17">
        <f t="shared" si="17"/>
        <v>75302000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Koreksi'!$D$5:$D$92,'1100'!A378,'Daftar Koreksi'!$G$5:$G$92,"Aset Henti Guna",'Daftar Koreksi'!$H$5:$H$92,"&gt;0")</f>
        <v>0</v>
      </c>
      <c r="F389" s="25">
        <f>SUMIFS('Daftar Koreksi'!$H$5:$H$92,'Daftar Koreksi'!$D$5:$D$92,'1100'!A378,'Daftar Koreksi'!$G$5:$G$92,"Aset Henti Guna",'Daftar Koreksi'!$H$5:$H$92,"&lt;0")-SUMIFS('Daftar Koreksi'!$H$5:$H$92,'Daftar Koreksi'!$D$5:$D$92,'1100'!A378,'Daftar Koreksi'!$G$5:$G$92,"Aset Henti Guna",'Daftar Koreksi'!$H$5:$H$92,"&lt;0")-SUMIFS('Daftar Koreksi'!$H$5:$H$92,'Daftar Koreksi'!$D$5:$D$92,'1100'!A378,'Daftar Koreksi'!$G$5:$G$92,"Aset Henti Guna",'Daftar Koreksi'!$H$5:$H$92,"&lt;0")</f>
        <v>0</v>
      </c>
      <c r="G389" s="17">
        <f t="shared" si="17"/>
        <v>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13114629024</v>
      </c>
      <c r="E390" s="19">
        <f>SUM(E381:E389)</f>
        <v>90000000</v>
      </c>
      <c r="F390" s="19">
        <f>SUM(F381:F389)</f>
        <v>0</v>
      </c>
      <c r="G390" s="19">
        <f t="shared" si="17"/>
        <v>13204629024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-1463455290</v>
      </c>
      <c r="E391" s="25">
        <f>SUMIFS('Daftar Koreksi'!$I$5:$I$92,'Daftar Koreksi'!$D$5:$D$92,'1100'!A378,'Daftar Koreksi'!$G$5:$G$92,"Peralatan dan mesin",'Daftar Koreksi'!$I$5:$I$92,"&gt;0")</f>
        <v>0</v>
      </c>
      <c r="F391" s="25">
        <f>SUMIFS('Daftar Koreksi'!$I$5:$I$92,'Daftar Koreksi'!$D$5:$D$92,'1100'!A378,'Daftar Koreksi'!$G$5:$G$92,"Peralatan dan mesin",'Daftar Koreksi'!$I$5:$I$92,"&lt;0")-SUMIFS('Daftar Koreksi'!$I$5:$I$92,'Daftar Koreksi'!$D$5:$D$92,'1100'!A378,'Daftar Koreksi'!$G$5:$G$92,"Peralatan dan mesin",'Daftar Koreksi'!$I$5:$I$92,"&lt;0")-SUMIFS('Daftar Koreksi'!$I$5:$I$92,'Daftar Koreksi'!$D$5:$D$92,'1100'!A378,'Daftar Koreksi'!$G$5:$G$92,"Peralatan dan mesin",'Daftar Koreksi'!$I$5:$I$92,"&lt;0")</f>
        <v>0</v>
      </c>
      <c r="G391" s="17">
        <f t="shared" si="17"/>
        <v>-1463455290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-283342425</v>
      </c>
      <c r="E392" s="25">
        <f>SUMIFS('Daftar Koreksi'!$I$5:$I$92,'Daftar Koreksi'!$D$5:$D$92,'1100'!A378,'Daftar Koreksi'!$G$5:$G$92,"Gedung dan Bangunan",'Daftar Koreksi'!$I$5:$I$92,"&gt;0")</f>
        <v>0</v>
      </c>
      <c r="F392" s="25">
        <f>SUMIFS('Daftar Koreksi'!$I$5:$I$92,'Daftar Koreksi'!$D$5:$D$92,'1100'!A378,'Daftar Koreksi'!$G$5:$G$92,"Gedung dan Bangunan",'Daftar Koreksi'!$I$5:$I$92,"&lt;0")-SUMIFS('Daftar Koreksi'!$I$5:$I$92,'Daftar Koreksi'!$D$5:$D$92,'1100'!A378,'Daftar Koreksi'!$G$5:$G$92,"Gedung dan Bangunan",'Daftar Koreksi'!$I$5:$I$92,"&lt;0")-SUMIFS('Daftar Koreksi'!$I$5:$I$92,'Daftar Koreksi'!$D$5:$D$92,'1100'!A378,'Daftar Koreksi'!$G$5:$G$92,"Gedung dan Bangunan",'Daftar Koreksi'!$I$5:$I$92,"&lt;0")</f>
        <v>900000</v>
      </c>
      <c r="G392" s="17">
        <f t="shared" si="17"/>
        <v>-284242425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Koreksi'!$D$5:$D$92,'1100'!A378,'Daftar Koreksi'!$G$5:$G$92,"Jalan Irigasi Jaringan",'Daftar Koreksi'!$I$5:$I$92,"&gt;0")</f>
        <v>0</v>
      </c>
      <c r="F393" s="25">
        <f>SUMIFS('Daftar Koreksi'!$I$5:$I$92,'Daftar Koreksi'!$D$5:$D$92,'1100'!A378,'Daftar Koreksi'!$G$5:$G$92,"Jalan Irigasi Jaringan",'Daftar Koreksi'!$I$5:$I$92,"&lt;0")-SUMIFS('Daftar Koreksi'!$I$5:$I$92,'Daftar Koreksi'!$D$5:$D$92,'1100'!A378,'Daftar Koreksi'!$G$5:$G$92,"Jalan Irigasi Jaringan",'Daftar Koreksi'!$I$5:$I$92,"&lt;0")-SUMIFS('Daftar Koreksi'!$I$5:$I$92,'Daftar Koreksi'!$D$5:$D$92,'1100'!A378,'Daftar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Koreksi'!$D$5:$D$92,'1100'!A378,'Daftar Koreksi'!$G$5:$G$92,"Aset Tetap Lainnya",'Daftar Koreksi'!$I$5:$I$92,"&gt;0")</f>
        <v>0</v>
      </c>
      <c r="F394" s="25">
        <f>SUMIFS('Daftar Koreksi'!$I$5:$I$92,'Daftar Koreksi'!$D$5:$D$92,'1100'!A378,'Daftar Koreksi'!$G$5:$G$92,"Aset Tetap Lainnya",'Daftar Koreksi'!$I$5:$I$92,"&lt;0")-SUMIFS('Daftar Koreksi'!$I$5:$I$92,'Daftar Koreksi'!$D$5:$D$92,'1100'!A378,'Daftar Koreksi'!$G$5:$G$92,"Aset Tetap Lainnya",'Daftar Koreksi'!$I$5:$I$92,"&lt;0")-SUMIFS('Daftar Koreksi'!$I$5:$I$92,'Daftar Koreksi'!$D$5:$D$92,'1100'!A378,'Daftar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0</v>
      </c>
      <c r="E395" s="25">
        <f>SUMIFS('Daftar Koreksi'!$I$5:$I$92,'Daftar Koreksi'!$D$5:$D$92,'1100'!A378,'Daftar Koreksi'!$G$5:$G$92,"Aset Henti Guna",'Daftar Koreksi'!$I$5:$I$92,"&gt;0")</f>
        <v>0</v>
      </c>
      <c r="F395" s="25">
        <f>SUMIFS('Daftar Koreksi'!$I$5:$I$92,'Daftar Koreksi'!$D$5:$D$92,'1100'!A378,'Daftar Koreksi'!$G$5:$G$92,"Aset Henti Guna",'Daftar Koreksi'!$I$5:$I$92,"&lt;0")-SUMIFS('Daftar Koreksi'!$I$5:$I$92,'Daftar Koreksi'!$D$5:$D$92,'1100'!A378,'Daftar Koreksi'!$G$5:$G$92,"Aset Henti Guna",'Daftar Koreksi'!$I$5:$I$92,"&lt;0")-SUMIFS('Daftar Koreksi'!$I$5:$I$92,'Daftar Koreksi'!$D$5:$D$92,'1100'!A378,'Daftar Koreksi'!$G$5:$G$92,"Aset Henti Guna",'Daftar Koreksi'!$I$5:$I$92,"&lt;0")</f>
        <v>0</v>
      </c>
      <c r="G395" s="17">
        <f t="shared" si="17"/>
        <v>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-1746797715</v>
      </c>
      <c r="E396" s="19">
        <f>SUM(E391:E395)</f>
        <v>0</v>
      </c>
      <c r="F396" s="19">
        <f>SUM(F391:F395)</f>
        <v>900000</v>
      </c>
      <c r="G396" s="19">
        <f t="shared" si="17"/>
        <v>-1747697715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11367831309</v>
      </c>
      <c r="E397" s="19">
        <f>E396+E390</f>
        <v>90000000</v>
      </c>
      <c r="F397" s="19">
        <f>F396+F390</f>
        <v>900000</v>
      </c>
      <c r="G397" s="19">
        <f t="shared" si="17"/>
        <v>11456931309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005011100672952000KD</v>
      </c>
      <c r="B400" s="11" t="str">
        <f>P19</f>
        <v>PN. Prabumulih</v>
      </c>
      <c r="C400" s="12" t="str">
        <f>A400&amp;" "&amp;B400</f>
        <v>005011100672952000KD PN. Prabumulih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129000</v>
      </c>
      <c r="E403" s="25">
        <f>SUMIFS('Daftar Koreksi'!$H$5:$H$92,'Daftar Koreksi'!$D$5:$D$92,'1100'!A400,'Daftar Koreksi'!$G$5:$G$92,"Persediaan",'Daftar Koreksi'!$H$5:$H$92,"&gt;0")</f>
        <v>0</v>
      </c>
      <c r="F403" s="25">
        <f>SUMIFS('Daftar Koreksi'!$H$5:$H$92,'Daftar Koreksi'!$D$5:$D$92,'1100'!A400,'Daftar Koreksi'!$G$5:$G$92,"Persediaan",'Daftar Koreksi'!$H$5:$H$92,"&lt;0")-SUMIFS('Daftar Koreksi'!$H$5:$H$92,'Daftar Koreksi'!$D$5:$D$92,'1100'!A400,'Daftar Koreksi'!$G$5:$G$92,"Persediaan",'Daftar Koreksi'!$H$5:$H$92,"&lt;0")-SUMIFS('Daftar Koreksi'!$H$5:$H$92,'Daftar Koreksi'!$D$5:$D$92,'1100'!A400,'Daftar Koreksi'!$G$5:$G$92,"Persediaan",'Daftar Koreksi'!$H$5:$H$92,"&lt;0")</f>
        <v>0</v>
      </c>
      <c r="G403" s="17">
        <f>D403+E403-F403</f>
        <v>129000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1538004000</v>
      </c>
      <c r="E404" s="25">
        <f>SUMIFS('Daftar Koreksi'!$H$5:$H$92,'Daftar Koreksi'!$D$5:$D$92,'1100'!A400,'Daftar Koreksi'!$G$5:$G$92,"Tanah",'Daftar Koreksi'!$H$5:$H$92,"&gt;0")</f>
        <v>0</v>
      </c>
      <c r="F404" s="25">
        <f>SUMIFS('Daftar Koreksi'!$H$5:$H$92,'Daftar Koreksi'!$D$5:$D$92,'1100'!A400,'Daftar Koreksi'!$G$5:$G$92,"Tanah",'Daftar Koreksi'!$H$5:$H$92,"&lt;0")-SUMIFS('Daftar Koreksi'!$H$5:$H$92,'Daftar Koreksi'!$D$5:$D$92,'1100'!A400,'Daftar Koreksi'!$G$5:$G$92,"Tanah",'Daftar Koreksi'!$H$5:$H$92,"&lt;0")-SUMIFS('Daftar Koreksi'!$H$5:$H$92,'Daftar Koreksi'!$D$5:$D$92,'1100'!A400,'Daftar Koreksi'!$G$5:$G$92,"Tanah",'Daftar Koreksi'!$H$5:$H$92,"&lt;0")</f>
        <v>0</v>
      </c>
      <c r="G404" s="17">
        <f t="shared" ref="G404:G420" si="18">D404+E404-F404</f>
        <v>1538004000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1530053151</v>
      </c>
      <c r="E405" s="25">
        <f>SUMIFS('Daftar Koreksi'!$H$5:$H$92,'Daftar Koreksi'!$D$5:$D$92,'1100'!A400,'Daftar Koreksi'!$G$5:$G$92,"Peralatan dan mesin",'Daftar Koreksi'!$H$5:$H$92,"&gt;0")</f>
        <v>0</v>
      </c>
      <c r="F405" s="25">
        <f>SUMIFS('Daftar Koreksi'!$H$5:$H$92,'Daftar Koreksi'!$D$5:$D$92,'1100'!A400,'Daftar Koreksi'!$G$5:$G$92,"Peralatan dan mesin",'Daftar Koreksi'!$H$5:$H$92,"&lt;0")-SUMIFS('Daftar Koreksi'!$H$5:$H$92,'Daftar Koreksi'!$D$5:$D$92,'1100'!A400,'Daftar Koreksi'!$G$5:$G$92,"Peralatan dan mesin",'Daftar Koreksi'!$H$5:$H$92,"&lt;0")-SUMIFS('Daftar Koreksi'!$H$5:$H$92,'Daftar Koreksi'!$D$5:$D$92,'1100'!A400,'Daftar Koreksi'!$G$5:$G$92,"Peralatan dan mesin",'Daftar Koreksi'!$H$5:$H$92,"&lt;0")</f>
        <v>0</v>
      </c>
      <c r="G405" s="17">
        <f t="shared" si="18"/>
        <v>1530053151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188100000</v>
      </c>
      <c r="E406" s="25">
        <f>SUMIFS('Daftar Koreksi'!$H$5:$H$92,'Daftar Koreksi'!$D$5:$D$92,'1100'!A400,'Daftar Koreksi'!$G$5:$G$92,"Gedung dan Bangunan",'Daftar Koreksi'!$H$5:$H$92,"&gt;0")</f>
        <v>0</v>
      </c>
      <c r="F406" s="25">
        <f>SUMIFS('Daftar Koreksi'!$H$5:$H$92,'Daftar Koreksi'!$D$5:$D$92,'1100'!A400,'Daftar Koreksi'!$G$5:$G$92,"Gedung dan Bangunan",'Daftar Koreksi'!$H$5:$H$92,"&lt;0")-SUMIFS('Daftar Koreksi'!$H$5:$H$92,'Daftar Koreksi'!$D$5:$D$92,'1100'!A400,'Daftar Koreksi'!$G$5:$G$92,"Gedung dan Bangunan",'Daftar Koreksi'!$H$5:$H$92,"&lt;0")-SUMIFS('Daftar Koreksi'!$H$5:$H$92,'Daftar Koreksi'!$D$5:$D$92,'1100'!A400,'Daftar Koreksi'!$G$5:$G$92,"Gedung dan Bangunan",'Daftar Koreksi'!$H$5:$H$92,"&lt;0")</f>
        <v>0</v>
      </c>
      <c r="G406" s="17">
        <f t="shared" si="18"/>
        <v>188100000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0</v>
      </c>
      <c r="E407" s="25">
        <f>SUMIFS('Daftar Koreksi'!$H$5:$H$92,'Daftar Koreksi'!$D$5:$D$92,'1100'!A400,'Daftar Koreksi'!$G$5:$G$92,"Jalan Irigasi Jaringan",'Daftar Koreksi'!$H$5:$H$92,"&gt;0")</f>
        <v>0</v>
      </c>
      <c r="F407" s="25">
        <f>SUMIFS('Daftar Koreksi'!$H$5:$H$92,'Daftar Koreksi'!$D$5:$D$92,'1100'!A400,'Daftar Koreksi'!$G$5:$G$92,"Jalan Irigasi Jaringan",'Daftar Koreksi'!$H$5:$H$92,"&lt;0")-SUMIFS('Daftar Koreksi'!$H$5:$H$92,'Daftar Koreksi'!$D$5:$D$92,'1100'!A400,'Daftar Koreksi'!$G$5:$G$92,"Jalan Irigasi Jaringan",'Daftar Koreksi'!$H$5:$H$92,"&lt;0")-SUMIFS('Daftar Koreksi'!$H$5:$H$92,'Daftar Koreksi'!$D$5:$D$92,'1100'!A400,'Daftar Koreksi'!$G$5:$G$92,"Jalan Irigasi Jaringan",'Daftar Koreksi'!$H$5:$H$92,"&lt;0")</f>
        <v>0</v>
      </c>
      <c r="G407" s="17">
        <f t="shared" si="18"/>
        <v>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4772118</v>
      </c>
      <c r="E408" s="25">
        <f>SUMIFS('Daftar Koreksi'!$H$5:$H$92,'Daftar Koreksi'!$D$5:$D$92,'1100'!A400,'Daftar Koreksi'!$G$5:$G$92,"Aset Tetap Lainnya",'Daftar Koreksi'!$H$5:$H$92,"&gt;0")</f>
        <v>0</v>
      </c>
      <c r="F408" s="25">
        <f>SUMIFS('Daftar Koreksi'!$H$5:$H$92,'Daftar Koreksi'!$D$5:$D$92,'1100'!A400,'Daftar Koreksi'!$G$5:$G$92,"Aset Tetap Lainnya",'Daftar Koreksi'!$H$5:$H$92,"&lt;0")-SUMIFS('Daftar Koreksi'!$H$5:$H$92,'Daftar Koreksi'!$D$5:$D$92,'1100'!A400,'Daftar Koreksi'!$G$5:$G$92,"Aset Tetap Lainnya",'Daftar Koreksi'!$H$5:$H$92,"&lt;0")-SUMIFS('Daftar Koreksi'!$H$5:$H$92,'Daftar Koreksi'!$D$5:$D$92,'1100'!A400,'Daftar Koreksi'!$G$5:$G$92,"Aset Tetap Lainnya",'Daftar Koreksi'!$H$5:$H$92,"&lt;0")</f>
        <v>0</v>
      </c>
      <c r="G408" s="17">
        <f t="shared" si="18"/>
        <v>4772118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9780904400</v>
      </c>
      <c r="E409" s="25">
        <f>SUMIFS('Daftar Koreksi'!$H$5:$H$92,'Daftar Koreksi'!$D$5:$D$92,'1100'!A400,'Daftar Koreksi'!$G$5:$G$92,"Kontruksi Dalam Pengerjaan",'Daftar Koreksi'!$H$5:$H$92,"&gt;0")</f>
        <v>0</v>
      </c>
      <c r="F409" s="25">
        <f>SUMIFS('Daftar Koreksi'!$H$5:$H$92,'Daftar Koreksi'!$D$5:$D$92,'1100'!A400,'Daftar Koreksi'!$G$5:$G$92,"Kontruksi Dalam Pengerjaan",'Daftar Koreksi'!$H$5:$H$92,"&lt;0")-SUMIFS('Daftar Koreksi'!$H$5:$H$92,'Daftar Koreksi'!$D$5:$D$92,'1100'!A400,'Daftar Koreksi'!$G$5:$G$92,"Kontruksi Dalam Pengerjaan",'Daftar Koreksi'!$H$5:$H$92,"&lt;0")-SUMIFS('Daftar Koreksi'!$H$5:$H$92,'Daftar Koreksi'!$D$5:$D$92,'1100'!A400,'Daftar Koreksi'!$G$5:$G$92,"Kontruksi Dalam Pengerjaan",'Daftar Koreksi'!$H$5:$H$92,"&lt;0")</f>
        <v>0</v>
      </c>
      <c r="G409" s="17">
        <f t="shared" si="18"/>
        <v>9780904400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60275000</v>
      </c>
      <c r="E410" s="25">
        <f>SUMIFS('Daftar Koreksi'!$H$5:$H$92,'Daftar Koreksi'!$D$5:$D$92,'1100'!A400,'Daftar Koreksi'!$G$5:$G$92,"Aset Tak Berwujud",'Daftar Koreksi'!$H$5:$H$92,"&gt;0")</f>
        <v>0</v>
      </c>
      <c r="F410" s="25">
        <f>SUMIFS('Daftar Koreksi'!$H$5:$H$92,'Daftar Koreksi'!$D$5:$D$92,'1100'!A400,'Daftar Koreksi'!$G$5:$G$92,"Aset Tak Berwujud",'Daftar Koreksi'!$H$5:$H$92,"&lt;0")-SUMIFS('Daftar Koreksi'!$H$5:$H$92,'Daftar Koreksi'!$D$5:$D$92,'1100'!A400,'Daftar Koreksi'!$G$5:$G$92,"Aset Tak Berwujud",'Daftar Koreksi'!$H$5:$H$92,"&lt;0")-SUMIFS('Daftar Koreksi'!$H$5:$H$92,'Daftar Koreksi'!$D$5:$D$92,'1100'!A400,'Daftar Koreksi'!$G$5:$G$92,"Aset Tak Berwujud",'Daftar Koreksi'!$H$5:$H$92,"&lt;0")</f>
        <v>0</v>
      </c>
      <c r="G410" s="17">
        <f t="shared" si="18"/>
        <v>60275000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12066500</v>
      </c>
      <c r="E411" s="25">
        <f>SUMIFS('Daftar Koreksi'!$H$5:$H$92,'Daftar Koreksi'!$D$5:$D$92,'1100'!A400,'Daftar Koreksi'!$G$5:$G$92,"Aset Henti Guna",'Daftar Koreksi'!$H$5:$H$92,"&gt;0")</f>
        <v>0</v>
      </c>
      <c r="F411" s="25">
        <f>SUMIFS('Daftar Koreksi'!$H$5:$H$92,'Daftar Koreksi'!$D$5:$D$92,'1100'!A400,'Daftar Koreksi'!$G$5:$G$92,"Aset Henti Guna",'Daftar Koreksi'!$H$5:$H$92,"&lt;0")-SUMIFS('Daftar Koreksi'!$H$5:$H$92,'Daftar Koreksi'!$D$5:$D$92,'1100'!A400,'Daftar Koreksi'!$G$5:$G$92,"Aset Henti Guna",'Daftar Koreksi'!$H$5:$H$92,"&lt;0")-SUMIFS('Daftar Koreksi'!$H$5:$H$92,'Daftar Koreksi'!$D$5:$D$92,'1100'!A400,'Daftar Koreksi'!$G$5:$G$92,"Aset Henti Guna",'Daftar Koreksi'!$H$5:$H$92,"&lt;0")</f>
        <v>0</v>
      </c>
      <c r="G411" s="17">
        <f t="shared" si="18"/>
        <v>12066500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13114304169</v>
      </c>
      <c r="E412" s="19">
        <f>SUM(E403:E411)</f>
        <v>0</v>
      </c>
      <c r="F412" s="19">
        <f>SUM(F403:F411)</f>
        <v>0</v>
      </c>
      <c r="G412" s="19">
        <f t="shared" si="18"/>
        <v>13114304169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-839050361</v>
      </c>
      <c r="E413" s="25">
        <f>SUMIFS('Daftar Koreksi'!$I$5:$I$92,'Daftar Koreksi'!$D$5:$D$92,'1100'!A400,'Daftar Koreksi'!$G$5:$G$92,"Peralatan dan mesin",'Daftar Koreksi'!$I$5:$I$92,"&gt;0")</f>
        <v>0</v>
      </c>
      <c r="F413" s="25">
        <f>SUMIFS('Daftar Koreksi'!$I$5:$I$92,'Daftar Koreksi'!$D$5:$D$92,'1100'!A400,'Daftar Koreksi'!$G$5:$G$92,"Peralatan dan mesin",'Daftar Koreksi'!$I$5:$I$92,"&lt;0")-SUMIFS('Daftar Koreksi'!$I$5:$I$92,'Daftar Koreksi'!$D$5:$D$92,'1100'!A400,'Daftar Koreksi'!$G$5:$G$92,"Peralatan dan mesin",'Daftar Koreksi'!$I$5:$I$92,"&lt;0")-SUMIFS('Daftar Koreksi'!$I$5:$I$92,'Daftar Koreksi'!$D$5:$D$92,'1100'!A400,'Daftar Koreksi'!$G$5:$G$92,"Peralatan dan mesin",'Daftar Koreksi'!$I$5:$I$92,"&lt;0")</f>
        <v>0</v>
      </c>
      <c r="G413" s="17">
        <f t="shared" si="18"/>
        <v>-839050361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-139194000</v>
      </c>
      <c r="E414" s="25">
        <f>SUMIFS('Daftar Koreksi'!$I$5:$I$92,'Daftar Koreksi'!$D$5:$D$92,'1100'!A400,'Daftar Koreksi'!$G$5:$G$92,"Gedung dan Bangunan",'Daftar Koreksi'!$I$5:$I$92,"&gt;0")</f>
        <v>0</v>
      </c>
      <c r="F414" s="25">
        <f>SUMIFS('Daftar Koreksi'!$I$5:$I$92,'Daftar Koreksi'!$D$5:$D$92,'1100'!A400,'Daftar Koreksi'!$G$5:$G$92,"Gedung dan Bangunan",'Daftar Koreksi'!$I$5:$I$92,"&lt;0")-SUMIFS('Daftar Koreksi'!$I$5:$I$92,'Daftar Koreksi'!$D$5:$D$92,'1100'!A400,'Daftar Koreksi'!$G$5:$G$92,"Gedung dan Bangunan",'Daftar Koreksi'!$I$5:$I$92,"&lt;0")-SUMIFS('Daftar Koreksi'!$I$5:$I$92,'Daftar Koreksi'!$D$5:$D$92,'1100'!A400,'Daftar Koreksi'!$G$5:$G$92,"Gedung dan Bangunan",'Daftar Koreksi'!$I$5:$I$92,"&lt;0")</f>
        <v>0</v>
      </c>
      <c r="G414" s="17">
        <f t="shared" si="18"/>
        <v>-139194000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0</v>
      </c>
      <c r="E415" s="25">
        <f>SUMIFS('Daftar Koreksi'!$I$5:$I$92,'Daftar Koreksi'!$D$5:$D$92,'1100'!A400,'Daftar Koreksi'!$G$5:$G$92,"Jalan Irigasi Jaringan",'Daftar Koreksi'!$I$5:$I$92,"&gt;0")</f>
        <v>0</v>
      </c>
      <c r="F415" s="25">
        <f>SUMIFS('Daftar Koreksi'!$I$5:$I$92,'Daftar Koreksi'!$D$5:$D$92,'1100'!A400,'Daftar Koreksi'!$G$5:$G$92,"Jalan Irigasi Jaringan",'Daftar Koreksi'!$I$5:$I$92,"&lt;0")-SUMIFS('Daftar Koreksi'!$I$5:$I$92,'Daftar Koreksi'!$D$5:$D$92,'1100'!A400,'Daftar Koreksi'!$G$5:$G$92,"Jalan Irigasi Jaringan",'Daftar Koreksi'!$I$5:$I$92,"&lt;0")-SUMIFS('Daftar Koreksi'!$I$5:$I$92,'Daftar Koreksi'!$D$5:$D$92,'1100'!A400,'Daftar Koreksi'!$G$5:$G$92,"Jalan Irigasi Jaringan",'Daftar Koreksi'!$I$5:$I$92,"&lt;0")</f>
        <v>0</v>
      </c>
      <c r="G415" s="17">
        <f t="shared" si="18"/>
        <v>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Koreksi'!$D$5:$D$92,'1100'!A400,'Daftar Koreksi'!$G$5:$G$92,"Aset Tetap Lainnya",'Daftar Koreksi'!$I$5:$I$92,"&gt;0")</f>
        <v>0</v>
      </c>
      <c r="F416" s="25">
        <f>SUMIFS('Daftar Koreksi'!$I$5:$I$92,'Daftar Koreksi'!$D$5:$D$92,'1100'!A400,'Daftar Koreksi'!$G$5:$G$92,"Aset Tetap Lainnya",'Daftar Koreksi'!$I$5:$I$92,"&lt;0")-SUMIFS('Daftar Koreksi'!$I$5:$I$92,'Daftar Koreksi'!$D$5:$D$92,'1100'!A400,'Daftar Koreksi'!$G$5:$G$92,"Aset Tetap Lainnya",'Daftar Koreksi'!$I$5:$I$92,"&lt;0")-SUMIFS('Daftar Koreksi'!$I$5:$I$92,'Daftar Koreksi'!$D$5:$D$92,'1100'!A400,'Daftar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-12066500</v>
      </c>
      <c r="E417" s="25">
        <f>SUMIFS('Daftar Koreksi'!$I$5:$I$92,'Daftar Koreksi'!$D$5:$D$92,'1100'!A400,'Daftar Koreksi'!$G$5:$G$92,"Aset Henti Guna",'Daftar Koreksi'!$I$5:$I$92,"&gt;0")</f>
        <v>0</v>
      </c>
      <c r="F417" s="25">
        <f>SUMIFS('Daftar Koreksi'!$I$5:$I$92,'Daftar Koreksi'!$D$5:$D$92,'1100'!A400,'Daftar Koreksi'!$G$5:$G$92,"Aset Henti Guna",'Daftar Koreksi'!$I$5:$I$92,"&lt;0")-SUMIFS('Daftar Koreksi'!$I$5:$I$92,'Daftar Koreksi'!$D$5:$D$92,'1100'!A400,'Daftar Koreksi'!$G$5:$G$92,"Aset Henti Guna",'Daftar Koreksi'!$I$5:$I$92,"&lt;0")-SUMIFS('Daftar Koreksi'!$I$5:$I$92,'Daftar Koreksi'!$D$5:$D$92,'1100'!A400,'Daftar Koreksi'!$G$5:$G$92,"Aset Henti Guna",'Daftar Koreksi'!$I$5:$I$92,"&lt;0")</f>
        <v>0</v>
      </c>
      <c r="G417" s="17">
        <f t="shared" si="18"/>
        <v>-12066500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-990310861</v>
      </c>
      <c r="E418" s="19">
        <f>SUM(E413:E417)</f>
        <v>0</v>
      </c>
      <c r="F418" s="19">
        <f>SUM(F413:F417)</f>
        <v>0</v>
      </c>
      <c r="G418" s="19">
        <f t="shared" si="18"/>
        <v>-990310861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12123993308</v>
      </c>
      <c r="E419" s="19">
        <f>E418+E412</f>
        <v>0</v>
      </c>
      <c r="F419" s="19">
        <f>F418+F412</f>
        <v>0</v>
      </c>
      <c r="G419" s="19">
        <f t="shared" si="18"/>
        <v>12123993308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005011100672969000KD</v>
      </c>
      <c r="B422" s="11" t="str">
        <f>P20</f>
        <v>PN. Pagar Alam</v>
      </c>
      <c r="C422" s="12" t="str">
        <f>A422&amp;" "&amp;B422</f>
        <v>005011100672969000KD PN. Pagar Alam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67549050</v>
      </c>
      <c r="E425" s="25">
        <f>SUMIFS('Daftar Koreksi'!$H$5:$H$92,'Daftar Koreksi'!$D$5:$D$92,'1100'!A422,'Daftar Koreksi'!$G$5:$G$92,"Persediaan",'Daftar Koreksi'!$H$5:$H$92,"&gt;0")</f>
        <v>0</v>
      </c>
      <c r="F425" s="25">
        <f>SUMIFS('Daftar Koreksi'!$H$5:$H$92,'Daftar Koreksi'!$D$5:$D$92,'1100'!A422,'Daftar Koreksi'!$G$5:$G$92,"Persediaan",'Daftar Koreksi'!$H$5:$H$92,"&lt;0")-SUMIFS('Daftar Koreksi'!$H$5:$H$92,'Daftar Koreksi'!$D$5:$D$92,'1100'!A422,'Daftar Koreksi'!$G$5:$G$92,"Persediaan",'Daftar Koreksi'!$H$5:$H$92,"&lt;0")-SUMIFS('Daftar Koreksi'!$H$5:$H$92,'Daftar Koreksi'!$D$5:$D$92,'1100'!A422,'Daftar Koreksi'!$G$5:$G$92,"Persediaan",'Daftar Koreksi'!$H$5:$H$92,"&lt;0")</f>
        <v>0</v>
      </c>
      <c r="G425" s="17">
        <f>D425+E425-F425</f>
        <v>67549050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884230400</v>
      </c>
      <c r="E426" s="25">
        <f>SUMIFS('Daftar Koreksi'!$H$5:$H$92,'Daftar Koreksi'!$D$5:$D$92,'1100'!A422,'Daftar Koreksi'!$G$5:$G$92,"Tanah",'Daftar Koreksi'!$H$5:$H$92,"&gt;0")</f>
        <v>0</v>
      </c>
      <c r="F426" s="25">
        <f>SUMIFS('Daftar Koreksi'!$H$5:$H$92,'Daftar Koreksi'!$D$5:$D$92,'1100'!A422,'Daftar Koreksi'!$G$5:$G$92,"Tanah",'Daftar Koreksi'!$H$5:$H$92,"&lt;0")-SUMIFS('Daftar Koreksi'!$H$5:$H$92,'Daftar Koreksi'!$D$5:$D$92,'1100'!A422,'Daftar Koreksi'!$G$5:$G$92,"Tanah",'Daftar Koreksi'!$H$5:$H$92,"&lt;0")-SUMIFS('Daftar Koreksi'!$H$5:$H$92,'Daftar Koreksi'!$D$5:$D$92,'1100'!A422,'Daftar Koreksi'!$G$5:$G$92,"Tanah",'Daftar Koreksi'!$H$5:$H$92,"&lt;0")</f>
        <v>0</v>
      </c>
      <c r="G426" s="17">
        <f t="shared" ref="G426:G442" si="19">D426+E426-F426</f>
        <v>884230400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853976499</v>
      </c>
      <c r="E427" s="25">
        <f>SUMIFS('Daftar Koreksi'!$H$5:$H$92,'Daftar Koreksi'!$D$5:$D$92,'1100'!A422,'Daftar Koreksi'!$G$5:$G$92,"Peralatan dan mesin",'Daftar Koreksi'!$H$5:$H$92,"&gt;0")</f>
        <v>0</v>
      </c>
      <c r="F427" s="25">
        <f>SUMIFS('Daftar Koreksi'!$H$5:$H$92,'Daftar Koreksi'!$D$5:$D$92,'1100'!A422,'Daftar Koreksi'!$G$5:$G$92,"Peralatan dan mesin",'Daftar Koreksi'!$H$5:$H$92,"&lt;0")-SUMIFS('Daftar Koreksi'!$H$5:$H$92,'Daftar Koreksi'!$D$5:$D$92,'1100'!A422,'Daftar Koreksi'!$G$5:$G$92,"Peralatan dan mesin",'Daftar Koreksi'!$H$5:$H$92,"&lt;0")-SUMIFS('Daftar Koreksi'!$H$5:$H$92,'Daftar Koreksi'!$D$5:$D$92,'1100'!A422,'Daftar Koreksi'!$G$5:$G$92,"Peralatan dan mesin",'Daftar Koreksi'!$H$5:$H$92,"&lt;0")</f>
        <v>0</v>
      </c>
      <c r="G427" s="17">
        <f t="shared" si="19"/>
        <v>853976499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8892859142</v>
      </c>
      <c r="E428" s="25">
        <f>SUMIFS('Daftar Koreksi'!$H$5:$H$92,'Daftar Koreksi'!$D$5:$D$92,'1100'!A422,'Daftar Koreksi'!$G$5:$G$92,"Gedung dan Bangunan",'Daftar Koreksi'!$H$5:$H$92,"&gt;0")</f>
        <v>0</v>
      </c>
      <c r="F428" s="25">
        <f>SUMIFS('Daftar Koreksi'!$H$5:$H$92,'Daftar Koreksi'!$D$5:$D$92,'1100'!A422,'Daftar Koreksi'!$G$5:$G$92,"Gedung dan Bangunan",'Daftar Koreksi'!$H$5:$H$92,"&lt;0")-SUMIFS('Daftar Koreksi'!$H$5:$H$92,'Daftar Koreksi'!$D$5:$D$92,'1100'!A422,'Daftar Koreksi'!$G$5:$G$92,"Gedung dan Bangunan",'Daftar Koreksi'!$H$5:$H$92,"&lt;0")-SUMIFS('Daftar Koreksi'!$H$5:$H$92,'Daftar Koreksi'!$D$5:$D$92,'1100'!A422,'Daftar Koreksi'!$G$5:$G$92,"Gedung dan Bangunan",'Daftar Koreksi'!$H$5:$H$92,"&lt;0")</f>
        <v>0</v>
      </c>
      <c r="G428" s="17">
        <f t="shared" si="19"/>
        <v>8892859142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Koreksi'!$D$5:$D$92,'1100'!A422,'Daftar Koreksi'!$G$5:$G$92,"Jalan Irigasi Jaringan",'Daftar Koreksi'!$H$5:$H$92,"&gt;0")</f>
        <v>0</v>
      </c>
      <c r="F429" s="25">
        <f>SUMIFS('Daftar Koreksi'!$H$5:$H$92,'Daftar Koreksi'!$D$5:$D$92,'1100'!A422,'Daftar Koreksi'!$G$5:$G$92,"Jalan Irigasi Jaringan",'Daftar Koreksi'!$H$5:$H$92,"&lt;0")-SUMIFS('Daftar Koreksi'!$H$5:$H$92,'Daftar Koreksi'!$D$5:$D$92,'1100'!A422,'Daftar Koreksi'!$G$5:$G$92,"Jalan Irigasi Jaringan",'Daftar Koreksi'!$H$5:$H$92,"&lt;0")-SUMIFS('Daftar Koreksi'!$H$5:$H$92,'Daftar Koreksi'!$D$5:$D$92,'1100'!A422,'Daftar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0</v>
      </c>
      <c r="E430" s="25">
        <f>SUMIFS('Daftar Koreksi'!$H$5:$H$92,'Daftar Koreksi'!$D$5:$D$92,'1100'!A422,'Daftar Koreksi'!$G$5:$G$92,"Aset Tetap Lainnya",'Daftar Koreksi'!$H$5:$H$92,"&gt;0")</f>
        <v>0</v>
      </c>
      <c r="F430" s="25">
        <f>SUMIFS('Daftar Koreksi'!$H$5:$H$92,'Daftar Koreksi'!$D$5:$D$92,'1100'!A422,'Daftar Koreksi'!$G$5:$G$92,"Aset Tetap Lainnya",'Daftar Koreksi'!$H$5:$H$92,"&lt;0")-SUMIFS('Daftar Koreksi'!$H$5:$H$92,'Daftar Koreksi'!$D$5:$D$92,'1100'!A422,'Daftar Koreksi'!$G$5:$G$92,"Aset Tetap Lainnya",'Daftar Koreksi'!$H$5:$H$92,"&lt;0")-SUMIFS('Daftar Koreksi'!$H$5:$H$92,'Daftar Koreksi'!$D$5:$D$92,'1100'!A422,'Daftar Koreksi'!$G$5:$G$92,"Aset Tetap Lainnya",'Daftar Koreksi'!$H$5:$H$92,"&lt;0")</f>
        <v>0</v>
      </c>
      <c r="G430" s="17">
        <f t="shared" si="19"/>
        <v>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975881908</v>
      </c>
      <c r="E431" s="25">
        <f>SUMIFS('Daftar Koreksi'!$H$5:$H$92,'Daftar Koreksi'!$D$5:$D$92,'1100'!A422,'Daftar Koreksi'!$G$5:$G$92,"Kontruksi Dalam Pengerjaan",'Daftar Koreksi'!$H$5:$H$92,"&gt;0")</f>
        <v>0</v>
      </c>
      <c r="F431" s="25">
        <f>SUMIFS('Daftar Koreksi'!$H$5:$H$92,'Daftar Koreksi'!$D$5:$D$92,'1100'!A422,'Daftar Koreksi'!$G$5:$G$92,"Kontruksi Dalam Pengerjaan",'Daftar Koreksi'!$H$5:$H$92,"&lt;0")-SUMIFS('Daftar Koreksi'!$H$5:$H$92,'Daftar Koreksi'!$D$5:$D$92,'1100'!A422,'Daftar Koreksi'!$G$5:$G$92,"Kontruksi Dalam Pengerjaan",'Daftar Koreksi'!$H$5:$H$92,"&lt;0")-SUMIFS('Daftar Koreksi'!$H$5:$H$92,'Daftar Koreksi'!$D$5:$D$92,'1100'!A422,'Daftar Koreksi'!$G$5:$G$92,"Kontruksi Dalam Pengerjaan",'Daftar Koreksi'!$H$5:$H$92,"&lt;0")</f>
        <v>0</v>
      </c>
      <c r="G431" s="17">
        <f t="shared" si="19"/>
        <v>975881908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Koreksi'!$D$5:$D$92,'1100'!A422,'Daftar Koreksi'!$G$5:$G$92,"Aset Tak Berwujud",'Daftar Koreksi'!$H$5:$H$92,"&gt;0")</f>
        <v>0</v>
      </c>
      <c r="F432" s="25">
        <f>SUMIFS('Daftar Koreksi'!$H$5:$H$92,'Daftar Koreksi'!$D$5:$D$92,'1100'!A422,'Daftar Koreksi'!$G$5:$G$92,"Aset Tak Berwujud",'Daftar Koreksi'!$H$5:$H$92,"&lt;0")-SUMIFS('Daftar Koreksi'!$H$5:$H$92,'Daftar Koreksi'!$D$5:$D$92,'1100'!A422,'Daftar Koreksi'!$G$5:$G$92,"Aset Tak Berwujud",'Daftar Koreksi'!$H$5:$H$92,"&lt;0")-SUMIFS('Daftar Koreksi'!$H$5:$H$92,'Daftar Koreksi'!$D$5:$D$92,'1100'!A422,'Daftar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Koreksi'!$D$5:$D$92,'1100'!A422,'Daftar Koreksi'!$G$5:$G$92,"Aset Henti Guna",'Daftar Koreksi'!$H$5:$H$92,"&gt;0")</f>
        <v>0</v>
      </c>
      <c r="F433" s="25">
        <f>SUMIFS('Daftar Koreksi'!$H$5:$H$92,'Daftar Koreksi'!$D$5:$D$92,'1100'!A422,'Daftar Koreksi'!$G$5:$G$92,"Aset Henti Guna",'Daftar Koreksi'!$H$5:$H$92,"&lt;0")-SUMIFS('Daftar Koreksi'!$H$5:$H$92,'Daftar Koreksi'!$D$5:$D$92,'1100'!A422,'Daftar Koreksi'!$G$5:$G$92,"Aset Henti Guna",'Daftar Koreksi'!$H$5:$H$92,"&lt;0")-SUMIFS('Daftar Koreksi'!$H$5:$H$92,'Daftar Koreksi'!$D$5:$D$92,'1100'!A422,'Daftar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11674496999</v>
      </c>
      <c r="E434" s="19">
        <f>SUM(E425:E433)</f>
        <v>0</v>
      </c>
      <c r="F434" s="19">
        <f>SUM(F425:F433)</f>
        <v>0</v>
      </c>
      <c r="G434" s="19">
        <f t="shared" si="19"/>
        <v>11674496999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-320647756</v>
      </c>
      <c r="E435" s="25">
        <f>SUMIFS('Daftar Koreksi'!$I$5:$I$92,'Daftar Koreksi'!$D$5:$D$92,'1100'!A422,'Daftar Koreksi'!$G$5:$G$92,"Peralatan dan mesin",'Daftar Koreksi'!$I$5:$I$92,"&gt;0")</f>
        <v>0</v>
      </c>
      <c r="F435" s="25">
        <f>SUMIFS('Daftar Koreksi'!$I$5:$I$92,'Daftar Koreksi'!$D$5:$D$92,'1100'!A422,'Daftar Koreksi'!$G$5:$G$92,"Peralatan dan mesin",'Daftar Koreksi'!$I$5:$I$92,"&lt;0")-SUMIFS('Daftar Koreksi'!$I$5:$I$92,'Daftar Koreksi'!$D$5:$D$92,'1100'!A422,'Daftar Koreksi'!$G$5:$G$92,"Peralatan dan mesin",'Daftar Koreksi'!$I$5:$I$92,"&lt;0")-SUMIFS('Daftar Koreksi'!$I$5:$I$92,'Daftar Koreksi'!$D$5:$D$92,'1100'!A422,'Daftar Koreksi'!$G$5:$G$92,"Peralatan dan mesin",'Daftar Koreksi'!$I$5:$I$92,"&lt;0")</f>
        <v>0</v>
      </c>
      <c r="G435" s="17">
        <f t="shared" si="19"/>
        <v>-320647756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-568133935</v>
      </c>
      <c r="E436" s="25">
        <f>SUMIFS('Daftar Koreksi'!$I$5:$I$92,'Daftar Koreksi'!$D$5:$D$92,'1100'!A422,'Daftar Koreksi'!$G$5:$G$92,"Gedung dan Bangunan",'Daftar Koreksi'!$I$5:$I$92,"&gt;0")</f>
        <v>0</v>
      </c>
      <c r="F436" s="25">
        <f>SUMIFS('Daftar Koreksi'!$I$5:$I$92,'Daftar Koreksi'!$D$5:$D$92,'1100'!A422,'Daftar Koreksi'!$G$5:$G$92,"Gedung dan Bangunan",'Daftar Koreksi'!$I$5:$I$92,"&lt;0")-SUMIFS('Daftar Koreksi'!$I$5:$I$92,'Daftar Koreksi'!$D$5:$D$92,'1100'!A422,'Daftar Koreksi'!$G$5:$G$92,"Gedung dan Bangunan",'Daftar Koreksi'!$I$5:$I$92,"&lt;0")-SUMIFS('Daftar Koreksi'!$I$5:$I$92,'Daftar Koreksi'!$D$5:$D$92,'1100'!A422,'Daftar Koreksi'!$G$5:$G$92,"Gedung dan Bangunan",'Daftar Koreksi'!$I$5:$I$92,"&lt;0")</f>
        <v>0</v>
      </c>
      <c r="G436" s="17">
        <f t="shared" si="19"/>
        <v>-568133935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Koreksi'!$D$5:$D$92,'1100'!A422,'Daftar Koreksi'!$G$5:$G$92,"Jalan Irigasi Jaringan",'Daftar Koreksi'!$I$5:$I$92,"&gt;0")</f>
        <v>0</v>
      </c>
      <c r="F437" s="25">
        <f>SUMIFS('Daftar Koreksi'!$I$5:$I$92,'Daftar Koreksi'!$D$5:$D$92,'1100'!A422,'Daftar Koreksi'!$G$5:$G$92,"Jalan Irigasi Jaringan",'Daftar Koreksi'!$I$5:$I$92,"&lt;0")-SUMIFS('Daftar Koreksi'!$I$5:$I$92,'Daftar Koreksi'!$D$5:$D$92,'1100'!A422,'Daftar Koreksi'!$G$5:$G$92,"Jalan Irigasi Jaringan",'Daftar Koreksi'!$I$5:$I$92,"&lt;0")-SUMIFS('Daftar Koreksi'!$I$5:$I$92,'Daftar Koreksi'!$D$5:$D$92,'1100'!A422,'Daftar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Koreksi'!$D$5:$D$92,'1100'!A422,'Daftar Koreksi'!$G$5:$G$92,"Aset Tetap Lainnya",'Daftar Koreksi'!$I$5:$I$92,"&gt;0")</f>
        <v>0</v>
      </c>
      <c r="F438" s="25">
        <f>SUMIFS('Daftar Koreksi'!$I$5:$I$92,'Daftar Koreksi'!$D$5:$D$92,'1100'!A422,'Daftar Koreksi'!$G$5:$G$92,"Aset Tetap Lainnya",'Daftar Koreksi'!$I$5:$I$92,"&lt;0")-SUMIFS('Daftar Koreksi'!$I$5:$I$92,'Daftar Koreksi'!$D$5:$D$92,'1100'!A422,'Daftar Koreksi'!$G$5:$G$92,"Aset Tetap Lainnya",'Daftar Koreksi'!$I$5:$I$92,"&lt;0")-SUMIFS('Daftar Koreksi'!$I$5:$I$92,'Daftar Koreksi'!$D$5:$D$92,'1100'!A422,'Daftar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Koreksi'!$D$5:$D$92,'1100'!A422,'Daftar Koreksi'!$G$5:$G$92,"Aset Henti Guna",'Daftar Koreksi'!$I$5:$I$92,"&gt;0")</f>
        <v>0</v>
      </c>
      <c r="F439" s="25">
        <f>SUMIFS('Daftar Koreksi'!$I$5:$I$92,'Daftar Koreksi'!$D$5:$D$92,'1100'!A422,'Daftar Koreksi'!$G$5:$G$92,"Aset Henti Guna",'Daftar Koreksi'!$I$5:$I$92,"&lt;0")-SUMIFS('Daftar Koreksi'!$I$5:$I$92,'Daftar Koreksi'!$D$5:$D$92,'1100'!A422,'Daftar Koreksi'!$G$5:$G$92,"Aset Henti Guna",'Daftar Koreksi'!$I$5:$I$92,"&lt;0")-SUMIFS('Daftar Koreksi'!$I$5:$I$92,'Daftar Koreksi'!$D$5:$D$92,'1100'!A422,'Daftar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-888781691</v>
      </c>
      <c r="E440" s="19">
        <f>SUM(E435:E439)</f>
        <v>0</v>
      </c>
      <c r="F440" s="19">
        <f>SUM(F435:F439)</f>
        <v>0</v>
      </c>
      <c r="G440" s="19">
        <f t="shared" si="19"/>
        <v>-888781691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10785715308</v>
      </c>
      <c r="E441" s="19">
        <f>E440+E434</f>
        <v>0</v>
      </c>
      <c r="F441" s="19">
        <f>F440+F434</f>
        <v>0</v>
      </c>
      <c r="G441" s="19">
        <f t="shared" si="19"/>
        <v>10785715308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</sheetData>
  <mergeCells count="120">
    <mergeCell ref="H337:H354"/>
    <mergeCell ref="H359:H376"/>
    <mergeCell ref="H381:H398"/>
    <mergeCell ref="H403:H420"/>
    <mergeCell ref="H425:H442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8" manualBreakCount="8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P486"/>
  <sheetViews>
    <sheetView view="pageBreakPreview" topLeftCell="C94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8.5703125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432</v>
      </c>
      <c r="P1" s="8" t="s">
        <v>1570</v>
      </c>
    </row>
    <row r="2" spans="1:16" ht="19.5" customHeight="1">
      <c r="C2" s="9" t="s">
        <v>2108</v>
      </c>
      <c r="O2" s="8" t="s">
        <v>433</v>
      </c>
      <c r="P2" s="8" t="s">
        <v>1571</v>
      </c>
    </row>
    <row r="3" spans="1:16" ht="19.5" customHeight="1">
      <c r="O3" s="8" t="s">
        <v>434</v>
      </c>
      <c r="P3" s="8" t="s">
        <v>1572</v>
      </c>
    </row>
    <row r="4" spans="1:16" ht="19.5" customHeight="1">
      <c r="A4" s="11" t="str">
        <f>O1</f>
        <v>005011200099031000KD</v>
      </c>
      <c r="B4" s="11" t="str">
        <f>P1</f>
        <v>PN. Tanjung Karang</v>
      </c>
      <c r="C4" s="12" t="str">
        <f>A4&amp;" "&amp;B4</f>
        <v>005011200099031000KD PN. Tanjung Karang</v>
      </c>
      <c r="D4" s="13"/>
      <c r="E4" s="13"/>
      <c r="F4" s="13"/>
      <c r="G4" s="13"/>
      <c r="H4" s="11"/>
      <c r="O4" s="8" t="s">
        <v>435</v>
      </c>
      <c r="P4" s="8" t="s">
        <v>1573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436</v>
      </c>
      <c r="P5" s="8" t="s">
        <v>1574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437</v>
      </c>
      <c r="P6" s="8" t="s">
        <v>1575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19480650</v>
      </c>
      <c r="E7" s="25">
        <f>SUMIFS('Daftar Koreksi'!$H$5:$H$92,'Daftar Koreksi'!$D$5:$D$92,'1200'!A4,'Daftar Koreksi'!$G$5:$G$92,"Persediaan",'Daftar Koreksi'!$H$5:$H$92,"&gt;0")</f>
        <v>0</v>
      </c>
      <c r="F7" s="25">
        <f>SUMIFS('Daftar Koreksi'!$H$5:$H$92,'Daftar Koreksi'!$D$5:$D$92,'1200'!A4,'Daftar Koreksi'!$G$5:$G$92,"Persediaan",'Daftar Koreksi'!$H$5:$H$92,"&lt;0")-SUMIFS('Daftar Koreksi'!$H$5:$H$92,'Daftar Koreksi'!$D$5:$D$92,'1200'!A4,'Daftar Koreksi'!$G$5:$G$92,"Persediaan",'Daftar Koreksi'!$H$5:$H$92,"&lt;0")-SUMIFS('Daftar Koreksi'!$H$5:$H$92,'Daftar Koreksi'!$D$5:$D$92,'1200'!A4,'Daftar Koreksi'!$G$5:$G$92,"Persediaan",'Daftar Koreksi'!$H$5:$H$92,"&lt;0")</f>
        <v>0</v>
      </c>
      <c r="G7" s="17">
        <f>D7+E7-F7</f>
        <v>19480650</v>
      </c>
      <c r="H7" s="121" t="str">
        <f>IF(ISNA(VLOOKUP(A4,'Mutasi Neraca'!$A$3:$S$914,19,FALSE)),"-",VLOOKUP(A4,'Mutasi Neraca'!$A$3:$S$914,19,FALSE))</f>
        <v>-</v>
      </c>
      <c r="O7" s="8" t="s">
        <v>438</v>
      </c>
      <c r="P7" s="8" t="s">
        <v>1576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2855779800</v>
      </c>
      <c r="E8" s="25">
        <f>SUMIFS('Daftar Koreksi'!$H$5:$H$92,'Daftar Koreksi'!$D$5:$D$92,'1200'!A4,'Daftar Koreksi'!$G$5:$G$92,"Tanah",'Daftar Koreksi'!$H$5:$H$92,"&gt;0")</f>
        <v>0</v>
      </c>
      <c r="F8" s="25">
        <f>SUMIFS('Daftar Koreksi'!$H$5:$H$92,'Daftar Koreksi'!$D$5:$D$92,'1200'!A4,'Daftar Koreksi'!$G$5:$G$92,"Tanah",'Daftar Koreksi'!$H$5:$H$92,"&lt;0")-SUMIFS('Daftar Koreksi'!$H$5:$H$92,'Daftar Koreksi'!$D$5:$D$92,'1200'!A4,'Daftar Koreksi'!$G$5:$G$92,"Tanah",'Daftar Koreksi'!$H$5:$H$92,"&lt;0")-SUMIFS('Daftar Koreksi'!$H$5:$H$92,'Daftar Koreksi'!$D$5:$D$92,'1200'!A4,'Daftar Koreksi'!$G$5:$G$92,"Tanah",'Daftar Koreksi'!$H$5:$H$92,"&lt;0")</f>
        <v>0</v>
      </c>
      <c r="G8" s="17">
        <f t="shared" ref="G8:G24" si="0">D8+E8-F8</f>
        <v>2855779800</v>
      </c>
      <c r="H8" s="122"/>
      <c r="O8" s="8" t="s">
        <v>439</v>
      </c>
      <c r="P8" s="8" t="s">
        <v>1577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2976275844</v>
      </c>
      <c r="E9" s="25">
        <f>SUMIFS('Daftar Koreksi'!$H$5:$H$92,'Daftar Koreksi'!$D$5:$D$92,'1200'!A4,'Daftar Koreksi'!$G$5:$G$92,"Peralatan dan mesin",'Daftar Koreksi'!$H$5:$H$92,"&gt;0")</f>
        <v>0</v>
      </c>
      <c r="F9" s="25">
        <f>SUMIFS('Daftar Koreksi'!$H$5:$H$92,'Daftar Koreksi'!$D$5:$D$92,'1200'!A4,'Daftar Koreksi'!$G$5:$G$92,"Peralatan dan mesin",'Daftar Koreksi'!$H$5:$H$92,"&lt;0")-SUMIFS('Daftar Koreksi'!$H$5:$H$92,'Daftar Koreksi'!$D$5:$D$92,'1200'!A4,'Daftar Koreksi'!$G$5:$G$92,"Peralatan dan mesin",'Daftar Koreksi'!$H$5:$H$92,"&lt;0")-SUMIFS('Daftar Koreksi'!$H$5:$H$92,'Daftar Koreksi'!$D$5:$D$92,'1200'!A4,'Daftar Koreksi'!$G$5:$G$92,"Peralatan dan mesin",'Daftar Koreksi'!$H$5:$H$92,"&lt;0")</f>
        <v>0</v>
      </c>
      <c r="G9" s="17">
        <f t="shared" si="0"/>
        <v>2976275844</v>
      </c>
      <c r="H9" s="122"/>
      <c r="O9" s="8" t="s">
        <v>440</v>
      </c>
      <c r="P9" s="8" t="s">
        <v>1578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12300445384</v>
      </c>
      <c r="E10" s="25">
        <f>SUMIFS('Daftar Koreksi'!$H$5:$H$92,'Daftar Koreksi'!$D$5:$D$92,'1200'!A4,'Daftar Koreksi'!$G$5:$G$92,"Gedung dan Bangunan",'Daftar Koreksi'!$H$5:$H$92,"&gt;0")</f>
        <v>0</v>
      </c>
      <c r="F10" s="25">
        <f>SUMIFS('Daftar Koreksi'!$H$5:$H$92,'Daftar Koreksi'!$D$5:$D$92,'1200'!A4,'Daftar Koreksi'!$G$5:$G$92,"Gedung dan Bangunan",'Daftar Koreksi'!$H$5:$H$92,"&lt;0")-SUMIFS('Daftar Koreksi'!$H$5:$H$92,'Daftar Koreksi'!$D$5:$D$92,'1200'!A4,'Daftar Koreksi'!$G$5:$G$92,"Gedung dan Bangunan",'Daftar Koreksi'!$H$5:$H$92,"&lt;0")-SUMIFS('Daftar Koreksi'!$H$5:$H$92,'Daftar Koreksi'!$D$5:$D$92,'1200'!A4,'Daftar Koreksi'!$G$5:$G$92,"Gedung dan Bangunan",'Daftar Koreksi'!$H$5:$H$92,"&lt;0")</f>
        <v>0</v>
      </c>
      <c r="G10" s="17">
        <f t="shared" si="0"/>
        <v>12300445384</v>
      </c>
      <c r="H10" s="122"/>
      <c r="O10" s="8" t="s">
        <v>441</v>
      </c>
      <c r="P10" s="8" t="s">
        <v>1579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7618000</v>
      </c>
      <c r="E11" s="25">
        <f>SUMIFS('Daftar Koreksi'!$H$5:$H$92,'Daftar Koreksi'!$D$5:$D$92,'1200'!A4,'Daftar Koreksi'!$G$5:$G$92,"Jalan Irigasi Jaringan",'Daftar Koreksi'!$H$5:$H$92,"&gt;0")</f>
        <v>0</v>
      </c>
      <c r="F11" s="25">
        <f>SUMIFS('Daftar Koreksi'!$H$5:$H$92,'Daftar Koreksi'!$D$5:$D$92,'1200'!A4,'Daftar Koreksi'!$G$5:$G$92,"Jalan Irigasi Jaringan",'Daftar Koreksi'!$H$5:$H$92,"&lt;0")-SUMIFS('Daftar Koreksi'!$H$5:$H$92,'Daftar Koreksi'!$D$5:$D$92,'1200'!A4,'Daftar Koreksi'!$G$5:$G$92,"Jalan Irigasi Jaringan",'Daftar Koreksi'!$H$5:$H$92,"&lt;0")-SUMIFS('Daftar Koreksi'!$H$5:$H$92,'Daftar Koreksi'!$D$5:$D$92,'1200'!A4,'Daftar Koreksi'!$G$5:$G$92,"Jalan Irigasi Jaringan",'Daftar Koreksi'!$H$5:$H$92,"&lt;0")</f>
        <v>0</v>
      </c>
      <c r="G11" s="17">
        <f t="shared" si="0"/>
        <v>7618000</v>
      </c>
      <c r="H11" s="122"/>
      <c r="O11" s="8" t="s">
        <v>442</v>
      </c>
      <c r="P11" s="8" t="s">
        <v>1580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4772118</v>
      </c>
      <c r="E12" s="25">
        <f>SUMIFS('Daftar Koreksi'!$H$5:$H$92,'Daftar Koreksi'!$D$5:$D$92,'1200'!A4,'Daftar Koreksi'!$G$5:$G$92,"Aset Tetap Lainnya",'Daftar Koreksi'!$H$5:$H$92,"&gt;0")</f>
        <v>0</v>
      </c>
      <c r="F12" s="25">
        <f>SUMIFS('Daftar Koreksi'!$H$5:$H$92,'Daftar Koreksi'!$D$5:$D$92,'1200'!A4,'Daftar Koreksi'!$G$5:$G$92,"Aset Tetap Lainnya",'Daftar Koreksi'!$H$5:$H$92,"&lt;0")-SUMIFS('Daftar Koreksi'!$H$5:$H$92,'Daftar Koreksi'!$D$5:$D$92,'1200'!A4,'Daftar Koreksi'!$G$5:$G$92,"Aset Tetap Lainnya",'Daftar Koreksi'!$H$5:$H$92,"&lt;0")-SUMIFS('Daftar Koreksi'!$H$5:$H$92,'Daftar Koreksi'!$D$5:$D$92,'1200'!A4,'Daftar Koreksi'!$G$5:$G$92,"Aset Tetap Lainnya",'Daftar Koreksi'!$H$5:$H$92,"&lt;0")</f>
        <v>0</v>
      </c>
      <c r="G12" s="17">
        <f t="shared" si="0"/>
        <v>4772118</v>
      </c>
      <c r="H12" s="122"/>
      <c r="O12" s="8" t="s">
        <v>443</v>
      </c>
      <c r="P12" s="8" t="s">
        <v>1581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Koreksi'!$D$5:$D$92,'1200'!A4,'Daftar Koreksi'!$G$5:$G$92,"Kontruksi Dalam Pengerjaan",'Daftar Koreksi'!$H$5:$H$92,"&gt;0")</f>
        <v>0</v>
      </c>
      <c r="F13" s="25">
        <f>SUMIFS('Daftar Koreksi'!$H$5:$H$92,'Daftar Koreksi'!$D$5:$D$92,'1200'!A4,'Daftar Koreksi'!$G$5:$G$92,"Kontruksi Dalam Pengerjaan",'Daftar Koreksi'!$H$5:$H$92,"&lt;0")-SUMIFS('Daftar Koreksi'!$H$5:$H$92,'Daftar Koreksi'!$D$5:$D$92,'1200'!A4,'Daftar Koreksi'!$G$5:$G$92,"Kontruksi Dalam Pengerjaan",'Daftar Koreksi'!$H$5:$H$92,"&lt;0")-SUMIFS('Daftar Koreksi'!$H$5:$H$92,'Daftar Koreksi'!$D$5:$D$92,'1200'!A4,'Daftar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444</v>
      </c>
      <c r="P13" s="8" t="s">
        <v>1582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10567500</v>
      </c>
      <c r="E14" s="25">
        <f>SUMIFS('Daftar Koreksi'!$H$5:$H$92,'Daftar Koreksi'!$D$5:$D$92,'1200'!A4,'Daftar Koreksi'!$G$5:$G$92,"Aset Tak Berwujud",'Daftar Koreksi'!$H$5:$H$92,"&gt;0")</f>
        <v>0</v>
      </c>
      <c r="F14" s="25">
        <f>SUMIFS('Daftar Koreksi'!$H$5:$H$92,'Daftar Koreksi'!$D$5:$D$92,'1200'!A4,'Daftar Koreksi'!$G$5:$G$92,"Aset Tak Berwujud",'Daftar Koreksi'!$H$5:$H$92,"&lt;0")-SUMIFS('Daftar Koreksi'!$H$5:$H$92,'Daftar Koreksi'!$D$5:$D$92,'1200'!A4,'Daftar Koreksi'!$G$5:$G$92,"Aset Tak Berwujud",'Daftar Koreksi'!$H$5:$H$92,"&lt;0")-SUMIFS('Daftar Koreksi'!$H$5:$H$92,'Daftar Koreksi'!$D$5:$D$92,'1200'!A4,'Daftar Koreksi'!$G$5:$G$92,"Aset Tak Berwujud",'Daftar Koreksi'!$H$5:$H$92,"&lt;0")</f>
        <v>0</v>
      </c>
      <c r="G14" s="17">
        <f t="shared" si="0"/>
        <v>10567500</v>
      </c>
      <c r="H14" s="122"/>
      <c r="O14" s="8" t="s">
        <v>445</v>
      </c>
      <c r="P14" s="8" t="s">
        <v>1583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4730000</v>
      </c>
      <c r="E15" s="25">
        <f>SUMIFS('Daftar Koreksi'!$H$5:$H$92,'Daftar Koreksi'!$D$5:$D$92,'1200'!A4,'Daftar Koreksi'!$G$5:$G$92,"Aset Henti Guna",'Daftar Koreksi'!$H$5:$H$92,"&gt;0")</f>
        <v>0</v>
      </c>
      <c r="F15" s="25">
        <f>SUMIFS('Daftar Koreksi'!$H$5:$H$92,'Daftar Koreksi'!$D$5:$D$92,'1200'!A4,'Daftar Koreksi'!$G$5:$G$92,"Aset Henti Guna",'Daftar Koreksi'!$H$5:$H$92,"&lt;0")-SUMIFS('Daftar Koreksi'!$H$5:$H$92,'Daftar Koreksi'!$D$5:$D$92,'1200'!A4,'Daftar Koreksi'!$G$5:$G$92,"Aset Henti Guna",'Daftar Koreksi'!$H$5:$H$92,"&lt;0")-SUMIFS('Daftar Koreksi'!$H$5:$H$92,'Daftar Koreksi'!$D$5:$D$92,'1200'!A4,'Daftar Koreksi'!$G$5:$G$92,"Aset Henti Guna",'Daftar Koreksi'!$H$5:$H$92,"&lt;0")</f>
        <v>0</v>
      </c>
      <c r="G15" s="17">
        <f t="shared" si="0"/>
        <v>4730000</v>
      </c>
      <c r="H15" s="122"/>
      <c r="O15" s="8" t="s">
        <v>446</v>
      </c>
      <c r="P15" s="8" t="s">
        <v>1584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18179669296</v>
      </c>
      <c r="E16" s="19">
        <f>SUM(E7:E15)</f>
        <v>0</v>
      </c>
      <c r="F16" s="19">
        <f>SUM(F7:F15)</f>
        <v>0</v>
      </c>
      <c r="G16" s="19">
        <f t="shared" si="0"/>
        <v>18179669296</v>
      </c>
      <c r="H16" s="122"/>
      <c r="O16" s="8" t="s">
        <v>447</v>
      </c>
      <c r="P16" s="8" t="s">
        <v>1585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-2721291576</v>
      </c>
      <c r="E17" s="25">
        <f>SUMIFS('Daftar Koreksi'!$I$5:$I$92,'Daftar Koreksi'!$D$5:$D$92,'1200'!A4,'Daftar Koreksi'!$G$5:$G$92,"Peralatan dan mesin",'Daftar Koreksi'!$I$5:$I$92,"&gt;0")</f>
        <v>0</v>
      </c>
      <c r="F17" s="25">
        <f>SUMIFS('Daftar Koreksi'!$I$5:$I$92,'Daftar Koreksi'!$D$5:$D$92,'1200'!A4,'Daftar Koreksi'!$G$5:$G$92,"Peralatan dan mesin",'Daftar Koreksi'!$I$5:$I$92,"&lt;0")-SUMIFS('Daftar Koreksi'!$I$5:$I$92,'Daftar Koreksi'!$D$5:$D$92,'1200'!A4,'Daftar Koreksi'!$G$5:$G$92,"Peralatan dan mesin",'Daftar Koreksi'!$I$5:$I$92,"&lt;0")-SUMIFS('Daftar Koreksi'!$I$5:$I$92,'Daftar Koreksi'!$D$5:$D$92,'1200'!A4,'Daftar Koreksi'!$G$5:$G$92,"Peralatan dan mesin",'Daftar Koreksi'!$I$5:$I$92,"&lt;0")</f>
        <v>0</v>
      </c>
      <c r="G17" s="17">
        <f t="shared" si="0"/>
        <v>-2721291576</v>
      </c>
      <c r="H17" s="122"/>
      <c r="O17" s="8" t="s">
        <v>448</v>
      </c>
      <c r="P17" s="8" t="s">
        <v>1586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-2849454945</v>
      </c>
      <c r="E18" s="25">
        <f>SUMIFS('Daftar Koreksi'!$I$5:$I$92,'Daftar Koreksi'!$D$5:$D$92,'1200'!A4,'Daftar Koreksi'!$G$5:$G$92,"Gedung dan Bangunan",'Daftar Koreksi'!$I$5:$I$92,"&gt;0")</f>
        <v>0</v>
      </c>
      <c r="F18" s="25">
        <f>SUMIFS('Daftar Koreksi'!$I$5:$I$92,'Daftar Koreksi'!$D$5:$D$92,'1200'!A4,'Daftar Koreksi'!$G$5:$G$92,"Gedung dan Bangunan",'Daftar Koreksi'!$I$5:$I$92,"&lt;0")-SUMIFS('Daftar Koreksi'!$I$5:$I$92,'Daftar Koreksi'!$D$5:$D$92,'1200'!A4,'Daftar Koreksi'!$G$5:$G$92,"Gedung dan Bangunan",'Daftar Koreksi'!$I$5:$I$92,"&lt;0")-SUMIFS('Daftar Koreksi'!$I$5:$I$92,'Daftar Koreksi'!$D$5:$D$92,'1200'!A4,'Daftar Koreksi'!$G$5:$G$92,"Gedung dan Bangunan",'Daftar Koreksi'!$I$5:$I$92,"&lt;0")</f>
        <v>0</v>
      </c>
      <c r="G18" s="17">
        <f t="shared" si="0"/>
        <v>-2849454945</v>
      </c>
      <c r="H18" s="122"/>
      <c r="O18" s="8" t="s">
        <v>449</v>
      </c>
      <c r="P18" s="8" t="s">
        <v>1587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-5866900</v>
      </c>
      <c r="E19" s="25">
        <f>SUMIFS('Daftar Koreksi'!$I$5:$I$92,'Daftar Koreksi'!$D$5:$D$92,'1200'!A4,'Daftar Koreksi'!$G$5:$G$92,"Jalan Irigasi Jaringan",'Daftar Koreksi'!$I$5:$I$92,"&gt;0")</f>
        <v>0</v>
      </c>
      <c r="F19" s="25">
        <f>SUMIFS('Daftar Koreksi'!$I$5:$I$92,'Daftar Koreksi'!$D$5:$D$92,'1200'!A4,'Daftar Koreksi'!$G$5:$G$92,"Jalan Irigasi Jaringan",'Daftar Koreksi'!$I$5:$I$92,"&lt;0")-SUMIFS('Daftar Koreksi'!$I$5:$I$92,'Daftar Koreksi'!$D$5:$D$92,'1200'!A4,'Daftar Koreksi'!$G$5:$G$92,"Jalan Irigasi Jaringan",'Daftar Koreksi'!$I$5:$I$92,"&lt;0")-SUMIFS('Daftar Koreksi'!$I$5:$I$92,'Daftar Koreksi'!$D$5:$D$92,'1200'!A4,'Daftar Koreksi'!$G$5:$G$92,"Jalan Irigasi Jaringan",'Daftar Koreksi'!$I$5:$I$92,"&lt;0")</f>
        <v>0</v>
      </c>
      <c r="G19" s="17">
        <f t="shared" si="0"/>
        <v>-5866900</v>
      </c>
      <c r="H19" s="122"/>
      <c r="O19" s="8" t="s">
        <v>450</v>
      </c>
      <c r="P19" s="8" t="s">
        <v>1588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Koreksi'!$D$5:$D$92,'1200'!A4,'Daftar Koreksi'!$G$5:$G$92,"Aset Tetap Lainnya",'Daftar Koreksi'!$I$5:$I$92,"&gt;0")</f>
        <v>0</v>
      </c>
      <c r="F20" s="25">
        <f>SUMIFS('Daftar Koreksi'!$I$5:$I$92,'Daftar Koreksi'!$D$5:$D$92,'1200'!A4,'Daftar Koreksi'!$G$5:$G$92,"Aset Tetap Lainnya",'Daftar Koreksi'!$I$5:$I$92,"&lt;0")-SUMIFS('Daftar Koreksi'!$I$5:$I$92,'Daftar Koreksi'!$D$5:$D$92,'1200'!A4,'Daftar Koreksi'!$G$5:$G$92,"Aset Tetap Lainnya",'Daftar Koreksi'!$I$5:$I$92,"&lt;0")-SUMIFS('Daftar Koreksi'!$I$5:$I$92,'Daftar Koreksi'!$D$5:$D$92,'1200'!A4,'Daftar Koreksi'!$G$5:$G$92,"Aset Tetap Lainnya",'Daftar Koreksi'!$I$5:$I$92,"&lt;0")</f>
        <v>0</v>
      </c>
      <c r="G20" s="17">
        <f t="shared" si="0"/>
        <v>0</v>
      </c>
      <c r="H20" s="122"/>
      <c r="O20" s="8" t="s">
        <v>451</v>
      </c>
      <c r="P20" s="8" t="s">
        <v>1589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-4730000</v>
      </c>
      <c r="E21" s="25">
        <f>SUMIFS('Daftar Koreksi'!$I$5:$I$92,'Daftar Koreksi'!$D$5:$D$92,'1200'!A4,'Daftar Koreksi'!$G$5:$G$92,"Aset Henti Guna",'Daftar Koreksi'!$I$5:$I$92,"&gt;0")</f>
        <v>0</v>
      </c>
      <c r="F21" s="25">
        <f>SUMIFS('Daftar Koreksi'!$I$5:$I$92,'Daftar Koreksi'!$D$5:$D$92,'1200'!A4,'Daftar Koreksi'!$G$5:$G$92,"Aset Henti Guna",'Daftar Koreksi'!$I$5:$I$92,"&lt;0")-SUMIFS('Daftar Koreksi'!$I$5:$I$92,'Daftar Koreksi'!$D$5:$D$92,'1200'!A4,'Daftar Koreksi'!$G$5:$G$92,"Aset Henti Guna",'Daftar Koreksi'!$I$5:$I$92,"&lt;0")-SUMIFS('Daftar Koreksi'!$I$5:$I$92,'Daftar Koreksi'!$D$5:$D$92,'1200'!A4,'Daftar Koreksi'!$G$5:$G$92,"Aset Henti Guna",'Daftar Koreksi'!$I$5:$I$92,"&lt;0")</f>
        <v>0</v>
      </c>
      <c r="G21" s="17">
        <f t="shared" si="0"/>
        <v>-4730000</v>
      </c>
      <c r="H21" s="122"/>
      <c r="O21" s="8" t="s">
        <v>452</v>
      </c>
      <c r="P21" s="8" t="s">
        <v>1590</v>
      </c>
    </row>
    <row r="22" spans="1:16" ht="21.95" customHeight="1">
      <c r="A22" s="14"/>
      <c r="B22" s="14"/>
      <c r="C22" s="18" t="s">
        <v>2094</v>
      </c>
      <c r="D22" s="19">
        <f>SUM(D17:D21)</f>
        <v>-5581343421</v>
      </c>
      <c r="E22" s="19">
        <f>SUM(E17:E21)</f>
        <v>0</v>
      </c>
      <c r="F22" s="19">
        <f>SUM(F17:F21)</f>
        <v>0</v>
      </c>
      <c r="G22" s="19">
        <f t="shared" si="0"/>
        <v>-5581343421</v>
      </c>
      <c r="H22" s="122"/>
      <c r="O22" s="8" t="s">
        <v>453</v>
      </c>
      <c r="P22" s="8" t="s">
        <v>1591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12598325875</v>
      </c>
      <c r="E23" s="19">
        <f>E22+E16</f>
        <v>0</v>
      </c>
      <c r="F23" s="19">
        <f>F22+F16</f>
        <v>0</v>
      </c>
      <c r="G23" s="19">
        <f t="shared" si="0"/>
        <v>12598325875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005011200099045000KD</v>
      </c>
      <c r="B26" s="11" t="str">
        <f>P2</f>
        <v>PN. Metro</v>
      </c>
      <c r="C26" s="12" t="str">
        <f>A26&amp;" "&amp;B26</f>
        <v>005011200099045000KD PN. Metro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1985000</v>
      </c>
      <c r="E29" s="25">
        <f>SUMIFS('Daftar Koreksi'!$H$5:$H$92,'Daftar Koreksi'!$D$5:$D$92,'1200'!A26,'Daftar Koreksi'!$G$5:$G$92,"Persediaan",'Daftar Koreksi'!$H$5:$H$92,"&gt;0")</f>
        <v>0</v>
      </c>
      <c r="F29" s="25">
        <f>SUMIFS('Daftar Koreksi'!$H$5:$H$92,'Daftar Koreksi'!$D$5:$D$92,'1200'!A26,'Daftar Koreksi'!$G$5:$G$92,"Persediaan",'Daftar Koreksi'!$H$5:$H$92,"&lt;0")-SUMIFS('Daftar Koreksi'!$H$5:$H$92,'Daftar Koreksi'!$D$5:$D$92,'1200'!A26,'Daftar Koreksi'!$G$5:$G$92,"Persediaan",'Daftar Koreksi'!$H$5:$H$92,"&lt;0")-SUMIFS('Daftar Koreksi'!$H$5:$H$92,'Daftar Koreksi'!$D$5:$D$92,'1200'!A26,'Daftar Koreksi'!$G$5:$G$92,"Persediaan",'Daftar Koreksi'!$H$5:$H$92,"&lt;0")</f>
        <v>0</v>
      </c>
      <c r="G29" s="17">
        <f>D29+E29-F29</f>
        <v>1985000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3693134500</v>
      </c>
      <c r="E30" s="25">
        <f>SUMIFS('Daftar Koreksi'!$H$5:$H$92,'Daftar Koreksi'!$D$5:$D$92,'1200'!A26,'Daftar Koreksi'!$G$5:$G$92,"Tanah",'Daftar Koreksi'!$H$5:$H$92,"&gt;0")</f>
        <v>0</v>
      </c>
      <c r="F30" s="25">
        <f>SUMIFS('Daftar Koreksi'!$H$5:$H$92,'Daftar Koreksi'!$D$5:$D$92,'1200'!A26,'Daftar Koreksi'!$G$5:$G$92,"Tanah",'Daftar Koreksi'!$H$5:$H$92,"&lt;0")-SUMIFS('Daftar Koreksi'!$H$5:$H$92,'Daftar Koreksi'!$D$5:$D$92,'1200'!A26,'Daftar Koreksi'!$G$5:$G$92,"Tanah",'Daftar Koreksi'!$H$5:$H$92,"&lt;0")-SUMIFS('Daftar Koreksi'!$H$5:$H$92,'Daftar Koreksi'!$D$5:$D$92,'1200'!A26,'Daftar Koreksi'!$G$5:$G$92,"Tanah",'Daftar Koreksi'!$H$5:$H$92,"&lt;0")</f>
        <v>0</v>
      </c>
      <c r="G30" s="17">
        <f t="shared" ref="G30:G46" si="1">D30+E30-F30</f>
        <v>3693134500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1870745644</v>
      </c>
      <c r="E31" s="25">
        <f>SUMIFS('Daftar Koreksi'!$H$5:$H$92,'Daftar Koreksi'!$D$5:$D$92,'1200'!A26,'Daftar Koreksi'!$G$5:$G$92,"Peralatan dan mesin",'Daftar Koreksi'!$H$5:$H$92,"&gt;0")</f>
        <v>0</v>
      </c>
      <c r="F31" s="25">
        <f>SUMIFS('Daftar Koreksi'!$H$5:$H$92,'Daftar Koreksi'!$D$5:$D$92,'1200'!A26,'Daftar Koreksi'!$G$5:$G$92,"Peralatan dan mesin",'Daftar Koreksi'!$H$5:$H$92,"&lt;0")-SUMIFS('Daftar Koreksi'!$H$5:$H$92,'Daftar Koreksi'!$D$5:$D$92,'1200'!A26,'Daftar Koreksi'!$G$5:$G$92,"Peralatan dan mesin",'Daftar Koreksi'!$H$5:$H$92,"&lt;0")-SUMIFS('Daftar Koreksi'!$H$5:$H$92,'Daftar Koreksi'!$D$5:$D$92,'1200'!A26,'Daftar Koreksi'!$G$5:$G$92,"Peralatan dan mesin",'Daftar Koreksi'!$H$5:$H$92,"&lt;0")</f>
        <v>0</v>
      </c>
      <c r="G31" s="17">
        <f t="shared" si="1"/>
        <v>1870745644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8668066412</v>
      </c>
      <c r="E32" s="25">
        <f>SUMIFS('Daftar Koreksi'!$H$5:$H$92,'Daftar Koreksi'!$D$5:$D$92,'1200'!A26,'Daftar Koreksi'!$G$5:$G$92,"Gedung dan Bangunan",'Daftar Koreksi'!$H$5:$H$92,"&gt;0")</f>
        <v>0</v>
      </c>
      <c r="F32" s="25">
        <f>SUMIFS('Daftar Koreksi'!$H$5:$H$92,'Daftar Koreksi'!$D$5:$D$92,'1200'!A26,'Daftar Koreksi'!$G$5:$G$92,"Gedung dan Bangunan",'Daftar Koreksi'!$H$5:$H$92,"&lt;0")-SUMIFS('Daftar Koreksi'!$H$5:$H$92,'Daftar Koreksi'!$D$5:$D$92,'1200'!A26,'Daftar Koreksi'!$G$5:$G$92,"Gedung dan Bangunan",'Daftar Koreksi'!$H$5:$H$92,"&lt;0")-SUMIFS('Daftar Koreksi'!$H$5:$H$92,'Daftar Koreksi'!$D$5:$D$92,'1200'!A26,'Daftar Koreksi'!$G$5:$G$92,"Gedung dan Bangunan",'Daftar Koreksi'!$H$5:$H$92,"&lt;0")</f>
        <v>0</v>
      </c>
      <c r="G32" s="17">
        <f t="shared" si="1"/>
        <v>8668066412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141112500</v>
      </c>
      <c r="E33" s="25">
        <f>SUMIFS('Daftar Koreksi'!$H$5:$H$92,'Daftar Koreksi'!$D$5:$D$92,'1200'!A26,'Daftar Koreksi'!$G$5:$G$92,"Jalan Irigasi Jaringan",'Daftar Koreksi'!$H$5:$H$92,"&gt;0")</f>
        <v>0</v>
      </c>
      <c r="F33" s="25">
        <f>SUMIFS('Daftar Koreksi'!$H$5:$H$92,'Daftar Koreksi'!$D$5:$D$92,'1200'!A26,'Daftar Koreksi'!$G$5:$G$92,"Jalan Irigasi Jaringan",'Daftar Koreksi'!$H$5:$H$92,"&lt;0")-SUMIFS('Daftar Koreksi'!$H$5:$H$92,'Daftar Koreksi'!$D$5:$D$92,'1200'!A26,'Daftar Koreksi'!$G$5:$G$92,"Jalan Irigasi Jaringan",'Daftar Koreksi'!$H$5:$H$92,"&lt;0")-SUMIFS('Daftar Koreksi'!$H$5:$H$92,'Daftar Koreksi'!$D$5:$D$92,'1200'!A26,'Daftar Koreksi'!$G$5:$G$92,"Jalan Irigasi Jaringan",'Daftar Koreksi'!$H$5:$H$92,"&lt;0")</f>
        <v>0</v>
      </c>
      <c r="G33" s="17">
        <f t="shared" si="1"/>
        <v>141112500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10422118</v>
      </c>
      <c r="E34" s="25">
        <f>SUMIFS('Daftar Koreksi'!$H$5:$H$92,'Daftar Koreksi'!$D$5:$D$92,'1200'!A26,'Daftar Koreksi'!$G$5:$G$92,"Aset Tetap Lainnya",'Daftar Koreksi'!$H$5:$H$92,"&gt;0")</f>
        <v>0</v>
      </c>
      <c r="F34" s="25">
        <f>SUMIFS('Daftar Koreksi'!$H$5:$H$92,'Daftar Koreksi'!$D$5:$D$92,'1200'!A26,'Daftar Koreksi'!$G$5:$G$92,"Aset Tetap Lainnya",'Daftar Koreksi'!$H$5:$H$92,"&lt;0")-SUMIFS('Daftar Koreksi'!$H$5:$H$92,'Daftar Koreksi'!$D$5:$D$92,'1200'!A26,'Daftar Koreksi'!$G$5:$G$92,"Aset Tetap Lainnya",'Daftar Koreksi'!$H$5:$H$92,"&lt;0")-SUMIFS('Daftar Koreksi'!$H$5:$H$92,'Daftar Koreksi'!$D$5:$D$92,'1200'!A26,'Daftar Koreksi'!$G$5:$G$92,"Aset Tetap Lainnya",'Daftar Koreksi'!$H$5:$H$92,"&lt;0")</f>
        <v>0</v>
      </c>
      <c r="G34" s="17">
        <f t="shared" si="1"/>
        <v>10422118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Koreksi'!$D$5:$D$92,'1200'!A26,'Daftar Koreksi'!$G$5:$G$92,"Kontruksi Dalam Pengerjaan",'Daftar Koreksi'!$H$5:$H$92,"&gt;0")</f>
        <v>0</v>
      </c>
      <c r="F35" s="25">
        <f>SUMIFS('Daftar Koreksi'!$H$5:$H$92,'Daftar Koreksi'!$D$5:$D$92,'1200'!A26,'Daftar Koreksi'!$G$5:$G$92,"Kontruksi Dalam Pengerjaan",'Daftar Koreksi'!$H$5:$H$92,"&lt;0")-SUMIFS('Daftar Koreksi'!$H$5:$H$92,'Daftar Koreksi'!$D$5:$D$92,'1200'!A26,'Daftar Koreksi'!$G$5:$G$92,"Kontruksi Dalam Pengerjaan",'Daftar Koreksi'!$H$5:$H$92,"&lt;0")-SUMIFS('Daftar Koreksi'!$H$5:$H$92,'Daftar Koreksi'!$D$5:$D$92,'1200'!A26,'Daftar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8112500</v>
      </c>
      <c r="E36" s="25">
        <f>SUMIFS('Daftar Koreksi'!$H$5:$H$92,'Daftar Koreksi'!$D$5:$D$92,'1200'!A26,'Daftar Koreksi'!$G$5:$G$92,"Aset Tak Berwujud",'Daftar Koreksi'!$H$5:$H$92,"&gt;0")</f>
        <v>0</v>
      </c>
      <c r="F36" s="25">
        <f>SUMIFS('Daftar Koreksi'!$H$5:$H$92,'Daftar Koreksi'!$D$5:$D$92,'1200'!A26,'Daftar Koreksi'!$G$5:$G$92,"Aset Tak Berwujud",'Daftar Koreksi'!$H$5:$H$92,"&lt;0")-SUMIFS('Daftar Koreksi'!$H$5:$H$92,'Daftar Koreksi'!$D$5:$D$92,'1200'!A26,'Daftar Koreksi'!$G$5:$G$92,"Aset Tak Berwujud",'Daftar Koreksi'!$H$5:$H$92,"&lt;0")-SUMIFS('Daftar Koreksi'!$H$5:$H$92,'Daftar Koreksi'!$D$5:$D$92,'1200'!A26,'Daftar Koreksi'!$G$5:$G$92,"Aset Tak Berwujud",'Daftar Koreksi'!$H$5:$H$92,"&lt;0")</f>
        <v>0</v>
      </c>
      <c r="G36" s="17">
        <f t="shared" si="1"/>
        <v>8112500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258178500</v>
      </c>
      <c r="E37" s="25">
        <f>SUMIFS('Daftar Koreksi'!$H$5:$H$92,'Daftar Koreksi'!$D$5:$D$92,'1200'!A26,'Daftar Koreksi'!$G$5:$G$92,"Aset Henti Guna",'Daftar Koreksi'!$H$5:$H$92,"&gt;0")</f>
        <v>0</v>
      </c>
      <c r="F37" s="25">
        <f>SUMIFS('Daftar Koreksi'!$H$5:$H$92,'Daftar Koreksi'!$D$5:$D$92,'1200'!A26,'Daftar Koreksi'!$G$5:$G$92,"Aset Henti Guna",'Daftar Koreksi'!$H$5:$H$92,"&lt;0")-SUMIFS('Daftar Koreksi'!$H$5:$H$92,'Daftar Koreksi'!$D$5:$D$92,'1200'!A26,'Daftar Koreksi'!$G$5:$G$92,"Aset Henti Guna",'Daftar Koreksi'!$H$5:$H$92,"&lt;0")-SUMIFS('Daftar Koreksi'!$H$5:$H$92,'Daftar Koreksi'!$D$5:$D$92,'1200'!A26,'Daftar Koreksi'!$G$5:$G$92,"Aset Henti Guna",'Daftar Koreksi'!$H$5:$H$92,"&lt;0")</f>
        <v>0</v>
      </c>
      <c r="G37" s="17">
        <f t="shared" si="1"/>
        <v>258178500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14651757174</v>
      </c>
      <c r="E38" s="19">
        <f>SUM(E29:E37)</f>
        <v>0</v>
      </c>
      <c r="F38" s="19">
        <f>SUM(F29:F37)</f>
        <v>0</v>
      </c>
      <c r="G38" s="19">
        <f t="shared" si="1"/>
        <v>14651757174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-1810793842</v>
      </c>
      <c r="E39" s="25">
        <f>SUMIFS('Daftar Koreksi'!$I$5:$I$92,'Daftar Koreksi'!$D$5:$D$92,'1200'!A26,'Daftar Koreksi'!$G$5:$G$92,"Peralatan dan mesin",'Daftar Koreksi'!$I$5:$I$92,"&gt;0")</f>
        <v>0</v>
      </c>
      <c r="F39" s="25">
        <f>SUMIFS('Daftar Koreksi'!$I$5:$I$92,'Daftar Koreksi'!$D$5:$D$92,'1200'!A26,'Daftar Koreksi'!$G$5:$G$92,"Peralatan dan mesin",'Daftar Koreksi'!$I$5:$I$92,"&lt;0")-SUMIFS('Daftar Koreksi'!$I$5:$I$92,'Daftar Koreksi'!$D$5:$D$92,'1200'!A26,'Daftar Koreksi'!$G$5:$G$92,"Peralatan dan mesin",'Daftar Koreksi'!$I$5:$I$92,"&lt;0")-SUMIFS('Daftar Koreksi'!$I$5:$I$92,'Daftar Koreksi'!$D$5:$D$92,'1200'!A26,'Daftar Koreksi'!$G$5:$G$92,"Peralatan dan mesin",'Daftar Koreksi'!$I$5:$I$92,"&lt;0")</f>
        <v>0</v>
      </c>
      <c r="G39" s="17">
        <f t="shared" si="1"/>
        <v>-1810793842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-5658612524</v>
      </c>
      <c r="E40" s="25">
        <f>SUMIFS('Daftar Koreksi'!$I$5:$I$92,'Daftar Koreksi'!$D$5:$D$92,'1200'!A26,'Daftar Koreksi'!$G$5:$G$92,"Gedung dan Bangunan",'Daftar Koreksi'!$I$5:$I$92,"&gt;0")</f>
        <v>0</v>
      </c>
      <c r="F40" s="25">
        <f>SUMIFS('Daftar Koreksi'!$I$5:$I$92,'Daftar Koreksi'!$D$5:$D$92,'1200'!A26,'Daftar Koreksi'!$G$5:$G$92,"Gedung dan Bangunan",'Daftar Koreksi'!$I$5:$I$92,"&lt;0")-SUMIFS('Daftar Koreksi'!$I$5:$I$92,'Daftar Koreksi'!$D$5:$D$92,'1200'!A26,'Daftar Koreksi'!$G$5:$G$92,"Gedung dan Bangunan",'Daftar Koreksi'!$I$5:$I$92,"&lt;0")-SUMIFS('Daftar Koreksi'!$I$5:$I$92,'Daftar Koreksi'!$D$5:$D$92,'1200'!A26,'Daftar Koreksi'!$G$5:$G$92,"Gedung dan Bangunan",'Daftar Koreksi'!$I$5:$I$92,"&lt;0")</f>
        <v>0</v>
      </c>
      <c r="G40" s="17">
        <f t="shared" si="1"/>
        <v>-5658612524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-105834375</v>
      </c>
      <c r="E41" s="25">
        <f>SUMIFS('Daftar Koreksi'!$I$5:$I$92,'Daftar Koreksi'!$D$5:$D$92,'1200'!A26,'Daftar Koreksi'!$G$5:$G$92,"Jalan Irigasi Jaringan",'Daftar Koreksi'!$I$5:$I$92,"&gt;0")</f>
        <v>0</v>
      </c>
      <c r="F41" s="25">
        <f>SUMIFS('Daftar Koreksi'!$I$5:$I$92,'Daftar Koreksi'!$D$5:$D$92,'1200'!A26,'Daftar Koreksi'!$G$5:$G$92,"Jalan Irigasi Jaringan",'Daftar Koreksi'!$I$5:$I$92,"&lt;0")-SUMIFS('Daftar Koreksi'!$I$5:$I$92,'Daftar Koreksi'!$D$5:$D$92,'1200'!A26,'Daftar Koreksi'!$G$5:$G$92,"Jalan Irigasi Jaringan",'Daftar Koreksi'!$I$5:$I$92,"&lt;0")-SUMIFS('Daftar Koreksi'!$I$5:$I$92,'Daftar Koreksi'!$D$5:$D$92,'1200'!A26,'Daftar Koreksi'!$G$5:$G$92,"Jalan Irigasi Jaringan",'Daftar Koreksi'!$I$5:$I$92,"&lt;0")</f>
        <v>0</v>
      </c>
      <c r="G41" s="17">
        <f t="shared" si="1"/>
        <v>-105834375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Koreksi'!$D$5:$D$92,'1200'!A26,'Daftar Koreksi'!$G$5:$G$92,"Aset Tetap Lainnya",'Daftar Koreksi'!$I$5:$I$92,"&gt;0")</f>
        <v>0</v>
      </c>
      <c r="F42" s="25">
        <f>SUMIFS('Daftar Koreksi'!$I$5:$I$92,'Daftar Koreksi'!$D$5:$D$92,'1200'!A26,'Daftar Koreksi'!$G$5:$G$92,"Aset Tetap Lainnya",'Daftar Koreksi'!$I$5:$I$92,"&lt;0")-SUMIFS('Daftar Koreksi'!$I$5:$I$92,'Daftar Koreksi'!$D$5:$D$92,'1200'!A26,'Daftar Koreksi'!$G$5:$G$92,"Aset Tetap Lainnya",'Daftar Koreksi'!$I$5:$I$92,"&lt;0")-SUMIFS('Daftar Koreksi'!$I$5:$I$92,'Daftar Koreksi'!$D$5:$D$92,'1200'!A26,'Daftar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-261903500</v>
      </c>
      <c r="E43" s="25">
        <f>SUMIFS('Daftar Koreksi'!$I$5:$I$92,'Daftar Koreksi'!$D$5:$D$92,'1200'!A26,'Daftar Koreksi'!$G$5:$G$92,"Aset Henti Guna",'Daftar Koreksi'!$I$5:$I$92,"&gt;0")</f>
        <v>0</v>
      </c>
      <c r="F43" s="25">
        <f>SUMIFS('Daftar Koreksi'!$I$5:$I$92,'Daftar Koreksi'!$D$5:$D$92,'1200'!A26,'Daftar Koreksi'!$G$5:$G$92,"Aset Henti Guna",'Daftar Koreksi'!$I$5:$I$92,"&lt;0")-SUMIFS('Daftar Koreksi'!$I$5:$I$92,'Daftar Koreksi'!$D$5:$D$92,'1200'!A26,'Daftar Koreksi'!$G$5:$G$92,"Aset Henti Guna",'Daftar Koreksi'!$I$5:$I$92,"&lt;0")-SUMIFS('Daftar Koreksi'!$I$5:$I$92,'Daftar Koreksi'!$D$5:$D$92,'1200'!A26,'Daftar Koreksi'!$G$5:$G$92,"Aset Henti Guna",'Daftar Koreksi'!$I$5:$I$92,"&lt;0")</f>
        <v>0</v>
      </c>
      <c r="G43" s="17">
        <f t="shared" si="1"/>
        <v>-261903500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-7837144241</v>
      </c>
      <c r="E44" s="19">
        <f>SUM(E39:E43)</f>
        <v>0</v>
      </c>
      <c r="F44" s="19">
        <f>SUM(F39:F43)</f>
        <v>0</v>
      </c>
      <c r="G44" s="19">
        <f t="shared" si="1"/>
        <v>-7837144241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6814612933</v>
      </c>
      <c r="E45" s="19">
        <f>E44+E38</f>
        <v>0</v>
      </c>
      <c r="F45" s="19">
        <f>F44+F38</f>
        <v>0</v>
      </c>
      <c r="G45" s="19">
        <f t="shared" si="1"/>
        <v>6814612933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005011200099052000KD</v>
      </c>
      <c r="B48" s="11" t="str">
        <f>P3</f>
        <v>PN. Kota Bumi</v>
      </c>
      <c r="C48" s="12" t="str">
        <f>A48&amp;" "&amp;B48</f>
        <v>005011200099052000KD PN. Kota Bumi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429000</v>
      </c>
      <c r="E51" s="25">
        <f>SUMIFS('Daftar Koreksi'!$H$5:$H$92,'Daftar Koreksi'!$D$5:$D$92,'1200'!A48,'Daftar Koreksi'!$G$5:$G$92,"Persediaan",'Daftar Koreksi'!$H$5:$H$92,"&gt;0")</f>
        <v>0</v>
      </c>
      <c r="F51" s="25">
        <f>SUMIFS('Daftar Koreksi'!$H$5:$H$92,'Daftar Koreksi'!$D$5:$D$92,'1200'!A48,'Daftar Koreksi'!$G$5:$G$92,"Persediaan",'Daftar Koreksi'!$H$5:$H$92,"&lt;0")-SUMIFS('Daftar Koreksi'!$H$5:$H$92,'Daftar Koreksi'!$D$5:$D$92,'1200'!A48,'Daftar Koreksi'!$G$5:$G$92,"Persediaan",'Daftar Koreksi'!$H$5:$H$92,"&lt;0")-SUMIFS('Daftar Koreksi'!$H$5:$H$92,'Daftar Koreksi'!$D$5:$D$92,'1200'!A48,'Daftar Koreksi'!$G$5:$G$92,"Persediaan",'Daftar Koreksi'!$H$5:$H$92,"&lt;0")</f>
        <v>0</v>
      </c>
      <c r="G51" s="17">
        <f>D51+E51-F51</f>
        <v>429000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1595505100</v>
      </c>
      <c r="E52" s="25">
        <f>SUMIFS('Daftar Koreksi'!$H$5:$H$92,'Daftar Koreksi'!$D$5:$D$92,'1200'!A48,'Daftar Koreksi'!$G$5:$G$92,"Tanah",'Daftar Koreksi'!$H$5:$H$92,"&gt;0")</f>
        <v>0</v>
      </c>
      <c r="F52" s="25">
        <f>SUMIFS('Daftar Koreksi'!$H$5:$H$92,'Daftar Koreksi'!$D$5:$D$92,'1200'!A48,'Daftar Koreksi'!$G$5:$G$92,"Tanah",'Daftar Koreksi'!$H$5:$H$92,"&lt;0")-SUMIFS('Daftar Koreksi'!$H$5:$H$92,'Daftar Koreksi'!$D$5:$D$92,'1200'!A48,'Daftar Koreksi'!$G$5:$G$92,"Tanah",'Daftar Koreksi'!$H$5:$H$92,"&lt;0")-SUMIFS('Daftar Koreksi'!$H$5:$H$92,'Daftar Koreksi'!$D$5:$D$92,'1200'!A48,'Daftar Koreksi'!$G$5:$G$92,"Tanah",'Daftar Koreksi'!$H$5:$H$92,"&lt;0")</f>
        <v>0</v>
      </c>
      <c r="G52" s="17">
        <f t="shared" ref="G52:G68" si="2">D52+E52-F52</f>
        <v>1595505100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1816859192</v>
      </c>
      <c r="E53" s="25">
        <f>SUMIFS('Daftar Koreksi'!$H$5:$H$92,'Daftar Koreksi'!$D$5:$D$92,'1200'!A48,'Daftar Koreksi'!$G$5:$G$92,"Peralatan dan mesin",'Daftar Koreksi'!$H$5:$H$92,"&gt;0")</f>
        <v>0</v>
      </c>
      <c r="F53" s="25">
        <f>SUMIFS('Daftar Koreksi'!$H$5:$H$92,'Daftar Koreksi'!$D$5:$D$92,'1200'!A48,'Daftar Koreksi'!$G$5:$G$92,"Peralatan dan mesin",'Daftar Koreksi'!$H$5:$H$92,"&lt;0")-SUMIFS('Daftar Koreksi'!$H$5:$H$92,'Daftar Koreksi'!$D$5:$D$92,'1200'!A48,'Daftar Koreksi'!$G$5:$G$92,"Peralatan dan mesin",'Daftar Koreksi'!$H$5:$H$92,"&lt;0")-SUMIFS('Daftar Koreksi'!$H$5:$H$92,'Daftar Koreksi'!$D$5:$D$92,'1200'!A48,'Daftar Koreksi'!$G$5:$G$92,"Peralatan dan mesin",'Daftar Koreksi'!$H$5:$H$92,"&lt;0")</f>
        <v>0</v>
      </c>
      <c r="G53" s="17">
        <f t="shared" si="2"/>
        <v>1816859192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4791390000</v>
      </c>
      <c r="E54" s="25">
        <f>SUMIFS('Daftar Koreksi'!$H$5:$H$92,'Daftar Koreksi'!$D$5:$D$92,'1200'!A48,'Daftar Koreksi'!$G$5:$G$92,"Gedung dan Bangunan",'Daftar Koreksi'!$H$5:$H$92,"&gt;0")</f>
        <v>0</v>
      </c>
      <c r="F54" s="25">
        <f>SUMIFS('Daftar Koreksi'!$H$5:$H$92,'Daftar Koreksi'!$D$5:$D$92,'1200'!A48,'Daftar Koreksi'!$G$5:$G$92,"Gedung dan Bangunan",'Daftar Koreksi'!$H$5:$H$92,"&lt;0")-SUMIFS('Daftar Koreksi'!$H$5:$H$92,'Daftar Koreksi'!$D$5:$D$92,'1200'!A48,'Daftar Koreksi'!$G$5:$G$92,"Gedung dan Bangunan",'Daftar Koreksi'!$H$5:$H$92,"&lt;0")-SUMIFS('Daftar Koreksi'!$H$5:$H$92,'Daftar Koreksi'!$D$5:$D$92,'1200'!A48,'Daftar Koreksi'!$G$5:$G$92,"Gedung dan Bangunan",'Daftar Koreksi'!$H$5:$H$92,"&lt;0")</f>
        <v>0</v>
      </c>
      <c r="G54" s="17">
        <f t="shared" si="2"/>
        <v>4791390000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124550000</v>
      </c>
      <c r="E55" s="25">
        <f>SUMIFS('Daftar Koreksi'!$H$5:$H$92,'Daftar Koreksi'!$D$5:$D$92,'1200'!A48,'Daftar Koreksi'!$G$5:$G$92,"Jalan Irigasi Jaringan",'Daftar Koreksi'!$H$5:$H$92,"&gt;0")</f>
        <v>0</v>
      </c>
      <c r="F55" s="25">
        <f>SUMIFS('Daftar Koreksi'!$H$5:$H$92,'Daftar Koreksi'!$D$5:$D$92,'1200'!A48,'Daftar Koreksi'!$G$5:$G$92,"Jalan Irigasi Jaringan",'Daftar Koreksi'!$H$5:$H$92,"&lt;0")-SUMIFS('Daftar Koreksi'!$H$5:$H$92,'Daftar Koreksi'!$D$5:$D$92,'1200'!A48,'Daftar Koreksi'!$G$5:$G$92,"Jalan Irigasi Jaringan",'Daftar Koreksi'!$H$5:$H$92,"&lt;0")-SUMIFS('Daftar Koreksi'!$H$5:$H$92,'Daftar Koreksi'!$D$5:$D$92,'1200'!A48,'Daftar Koreksi'!$G$5:$G$92,"Jalan Irigasi Jaringan",'Daftar Koreksi'!$H$5:$H$92,"&lt;0")</f>
        <v>0</v>
      </c>
      <c r="G55" s="17">
        <f t="shared" si="2"/>
        <v>124550000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29772118</v>
      </c>
      <c r="E56" s="25">
        <f>SUMIFS('Daftar Koreksi'!$H$5:$H$92,'Daftar Koreksi'!$D$5:$D$92,'1200'!A48,'Daftar Koreksi'!$G$5:$G$92,"Aset Tetap Lainnya",'Daftar Koreksi'!$H$5:$H$92,"&gt;0")</f>
        <v>0</v>
      </c>
      <c r="F56" s="25">
        <f>SUMIFS('Daftar Koreksi'!$H$5:$H$92,'Daftar Koreksi'!$D$5:$D$92,'1200'!A48,'Daftar Koreksi'!$G$5:$G$92,"Aset Tetap Lainnya",'Daftar Koreksi'!$H$5:$H$92,"&lt;0")-SUMIFS('Daftar Koreksi'!$H$5:$H$92,'Daftar Koreksi'!$D$5:$D$92,'1200'!A48,'Daftar Koreksi'!$G$5:$G$92,"Aset Tetap Lainnya",'Daftar Koreksi'!$H$5:$H$92,"&lt;0")-SUMIFS('Daftar Koreksi'!$H$5:$H$92,'Daftar Koreksi'!$D$5:$D$92,'1200'!A48,'Daftar Koreksi'!$G$5:$G$92,"Aset Tetap Lainnya",'Daftar Koreksi'!$H$5:$H$92,"&lt;0")</f>
        <v>0</v>
      </c>
      <c r="G56" s="17">
        <f t="shared" si="2"/>
        <v>29772118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Koreksi'!$D$5:$D$92,'1200'!A48,'Daftar Koreksi'!$G$5:$G$92,"Kontruksi Dalam Pengerjaan",'Daftar Koreksi'!$H$5:$H$92,"&gt;0")</f>
        <v>0</v>
      </c>
      <c r="F57" s="25">
        <f>SUMIFS('Daftar Koreksi'!$H$5:$H$92,'Daftar Koreksi'!$D$5:$D$92,'1200'!A48,'Daftar Koreksi'!$G$5:$G$92,"Kontruksi Dalam Pengerjaan",'Daftar Koreksi'!$H$5:$H$92,"&lt;0")-SUMIFS('Daftar Koreksi'!$H$5:$H$92,'Daftar Koreksi'!$D$5:$D$92,'1200'!A48,'Daftar Koreksi'!$G$5:$G$92,"Kontruksi Dalam Pengerjaan",'Daftar Koreksi'!$H$5:$H$92,"&lt;0")-SUMIFS('Daftar Koreksi'!$H$5:$H$92,'Daftar Koreksi'!$D$5:$D$92,'1200'!A48,'Daftar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Koreksi'!$D$5:$D$92,'1200'!A48,'Daftar Koreksi'!$G$5:$G$92,"Aset Tak Berwujud",'Daftar Koreksi'!$H$5:$H$92,"&gt;0")</f>
        <v>0</v>
      </c>
      <c r="F58" s="25">
        <f>SUMIFS('Daftar Koreksi'!$H$5:$H$92,'Daftar Koreksi'!$D$5:$D$92,'1200'!A48,'Daftar Koreksi'!$G$5:$G$92,"Aset Tak Berwujud",'Daftar Koreksi'!$H$5:$H$92,"&lt;0")-SUMIFS('Daftar Koreksi'!$H$5:$H$92,'Daftar Koreksi'!$D$5:$D$92,'1200'!A48,'Daftar Koreksi'!$G$5:$G$92,"Aset Tak Berwujud",'Daftar Koreksi'!$H$5:$H$92,"&lt;0")-SUMIFS('Daftar Koreksi'!$H$5:$H$92,'Daftar Koreksi'!$D$5:$D$92,'1200'!A48,'Daftar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526456600</v>
      </c>
      <c r="E59" s="25">
        <f>SUMIFS('Daftar Koreksi'!$H$5:$H$92,'Daftar Koreksi'!$D$5:$D$92,'1200'!A48,'Daftar Koreksi'!$G$5:$G$92,"Aset Henti Guna",'Daftar Koreksi'!$H$5:$H$92,"&gt;0")</f>
        <v>0</v>
      </c>
      <c r="F59" s="25">
        <f>SUMIFS('Daftar Koreksi'!$H$5:$H$92,'Daftar Koreksi'!$D$5:$D$92,'1200'!A48,'Daftar Koreksi'!$G$5:$G$92,"Aset Henti Guna",'Daftar Koreksi'!$H$5:$H$92,"&lt;0")-SUMIFS('Daftar Koreksi'!$H$5:$H$92,'Daftar Koreksi'!$D$5:$D$92,'1200'!A48,'Daftar Koreksi'!$G$5:$G$92,"Aset Henti Guna",'Daftar Koreksi'!$H$5:$H$92,"&lt;0")-SUMIFS('Daftar Koreksi'!$H$5:$H$92,'Daftar Koreksi'!$D$5:$D$92,'1200'!A48,'Daftar Koreksi'!$G$5:$G$92,"Aset Henti Guna",'Daftar Koreksi'!$H$5:$H$92,"&lt;0")</f>
        <v>0</v>
      </c>
      <c r="G59" s="17">
        <f t="shared" si="2"/>
        <v>526456600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8884962010</v>
      </c>
      <c r="E60" s="19">
        <f>SUM(E51:E59)</f>
        <v>0</v>
      </c>
      <c r="F60" s="19">
        <f>SUM(F51:F59)</f>
        <v>0</v>
      </c>
      <c r="G60" s="19">
        <f t="shared" si="2"/>
        <v>8884962010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-1477145509</v>
      </c>
      <c r="E61" s="25">
        <f>SUMIFS('Daftar Koreksi'!$I$5:$I$92,'Daftar Koreksi'!$D$5:$D$92,'1200'!A48,'Daftar Koreksi'!$G$5:$G$92,"Peralatan dan mesin",'Daftar Koreksi'!$I$5:$I$92,"&gt;0")</f>
        <v>0</v>
      </c>
      <c r="F61" s="25">
        <f>SUMIFS('Daftar Koreksi'!$I$5:$I$92,'Daftar Koreksi'!$D$5:$D$92,'1200'!A48,'Daftar Koreksi'!$G$5:$G$92,"Peralatan dan mesin",'Daftar Koreksi'!$I$5:$I$92,"&lt;0")-SUMIFS('Daftar Koreksi'!$I$5:$I$92,'Daftar Koreksi'!$D$5:$D$92,'1200'!A48,'Daftar Koreksi'!$G$5:$G$92,"Peralatan dan mesin",'Daftar Koreksi'!$I$5:$I$92,"&lt;0")-SUMIFS('Daftar Koreksi'!$I$5:$I$92,'Daftar Koreksi'!$D$5:$D$92,'1200'!A48,'Daftar Koreksi'!$G$5:$G$92,"Peralatan dan mesin",'Daftar Koreksi'!$I$5:$I$92,"&lt;0")</f>
        <v>0</v>
      </c>
      <c r="G61" s="17">
        <f t="shared" si="2"/>
        <v>-1477145509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-3235134950</v>
      </c>
      <c r="E62" s="25">
        <f>SUMIFS('Daftar Koreksi'!$I$5:$I$92,'Daftar Koreksi'!$D$5:$D$92,'1200'!A48,'Daftar Koreksi'!$G$5:$G$92,"Gedung dan Bangunan",'Daftar Koreksi'!$I$5:$I$92,"&gt;0")</f>
        <v>0</v>
      </c>
      <c r="F62" s="25">
        <f>SUMIFS('Daftar Koreksi'!$I$5:$I$92,'Daftar Koreksi'!$D$5:$D$92,'1200'!A48,'Daftar Koreksi'!$G$5:$G$92,"Gedung dan Bangunan",'Daftar Koreksi'!$I$5:$I$92,"&lt;0")-SUMIFS('Daftar Koreksi'!$I$5:$I$92,'Daftar Koreksi'!$D$5:$D$92,'1200'!A48,'Daftar Koreksi'!$G$5:$G$92,"Gedung dan Bangunan",'Daftar Koreksi'!$I$5:$I$92,"&lt;0")-SUMIFS('Daftar Koreksi'!$I$5:$I$92,'Daftar Koreksi'!$D$5:$D$92,'1200'!A48,'Daftar Koreksi'!$G$5:$G$92,"Gedung dan Bangunan",'Daftar Koreksi'!$I$5:$I$92,"&lt;0")</f>
        <v>0</v>
      </c>
      <c r="G62" s="17">
        <f t="shared" si="2"/>
        <v>-3235134950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-14578125</v>
      </c>
      <c r="E63" s="25">
        <f>SUMIFS('Daftar Koreksi'!$I$5:$I$92,'Daftar Koreksi'!$D$5:$D$92,'1200'!A48,'Daftar Koreksi'!$G$5:$G$92,"Jalan Irigasi Jaringan",'Daftar Koreksi'!$I$5:$I$92,"&gt;0")</f>
        <v>0</v>
      </c>
      <c r="F63" s="25">
        <f>SUMIFS('Daftar Koreksi'!$I$5:$I$92,'Daftar Koreksi'!$D$5:$D$92,'1200'!A48,'Daftar Koreksi'!$G$5:$G$92,"Jalan Irigasi Jaringan",'Daftar Koreksi'!$I$5:$I$92,"&lt;0")-SUMIFS('Daftar Koreksi'!$I$5:$I$92,'Daftar Koreksi'!$D$5:$D$92,'1200'!A48,'Daftar Koreksi'!$G$5:$G$92,"Jalan Irigasi Jaringan",'Daftar Koreksi'!$I$5:$I$92,"&lt;0")-SUMIFS('Daftar Koreksi'!$I$5:$I$92,'Daftar Koreksi'!$D$5:$D$92,'1200'!A48,'Daftar Koreksi'!$G$5:$G$92,"Jalan Irigasi Jaringan",'Daftar Koreksi'!$I$5:$I$92,"&lt;0")</f>
        <v>0</v>
      </c>
      <c r="G63" s="17">
        <f t="shared" si="2"/>
        <v>-14578125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-25000000</v>
      </c>
      <c r="E64" s="25">
        <f>SUMIFS('Daftar Koreksi'!$I$5:$I$92,'Daftar Koreksi'!$D$5:$D$92,'1200'!A48,'Daftar Koreksi'!$G$5:$G$92,"Aset Tetap Lainnya",'Daftar Koreksi'!$I$5:$I$92,"&gt;0")</f>
        <v>0</v>
      </c>
      <c r="F64" s="25">
        <f>SUMIFS('Daftar Koreksi'!$I$5:$I$92,'Daftar Koreksi'!$D$5:$D$92,'1200'!A48,'Daftar Koreksi'!$G$5:$G$92,"Aset Tetap Lainnya",'Daftar Koreksi'!$I$5:$I$92,"&lt;0")-SUMIFS('Daftar Koreksi'!$I$5:$I$92,'Daftar Koreksi'!$D$5:$D$92,'1200'!A48,'Daftar Koreksi'!$G$5:$G$92,"Aset Tetap Lainnya",'Daftar Koreksi'!$I$5:$I$92,"&lt;0")-SUMIFS('Daftar Koreksi'!$I$5:$I$92,'Daftar Koreksi'!$D$5:$D$92,'1200'!A48,'Daftar Koreksi'!$G$5:$G$92,"Aset Tetap Lainnya",'Daftar Koreksi'!$I$5:$I$92,"&lt;0")</f>
        <v>0</v>
      </c>
      <c r="G64" s="17">
        <f t="shared" si="2"/>
        <v>-25000000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-411304600</v>
      </c>
      <c r="E65" s="25">
        <f>SUMIFS('Daftar Koreksi'!$I$5:$I$92,'Daftar Koreksi'!$D$5:$D$92,'1200'!A48,'Daftar Koreksi'!$G$5:$G$92,"Aset Henti Guna",'Daftar Koreksi'!$I$5:$I$92,"&gt;0")</f>
        <v>0</v>
      </c>
      <c r="F65" s="25">
        <f>SUMIFS('Daftar Koreksi'!$I$5:$I$92,'Daftar Koreksi'!$D$5:$D$92,'1200'!A48,'Daftar Koreksi'!$G$5:$G$92,"Aset Henti Guna",'Daftar Koreksi'!$I$5:$I$92,"&lt;0")-SUMIFS('Daftar Koreksi'!$I$5:$I$92,'Daftar Koreksi'!$D$5:$D$92,'1200'!A48,'Daftar Koreksi'!$G$5:$G$92,"Aset Henti Guna",'Daftar Koreksi'!$I$5:$I$92,"&lt;0")-SUMIFS('Daftar Koreksi'!$I$5:$I$92,'Daftar Koreksi'!$D$5:$D$92,'1200'!A48,'Daftar Koreksi'!$G$5:$G$92,"Aset Henti Guna",'Daftar Koreksi'!$I$5:$I$92,"&lt;0")</f>
        <v>0</v>
      </c>
      <c r="G65" s="17">
        <f t="shared" si="2"/>
        <v>-411304600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-5163163184</v>
      </c>
      <c r="E66" s="19">
        <f>SUM(E61:E65)</f>
        <v>0</v>
      </c>
      <c r="F66" s="19">
        <f>SUM(F61:F65)</f>
        <v>0</v>
      </c>
      <c r="G66" s="19">
        <f t="shared" si="2"/>
        <v>-5163163184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3721798826</v>
      </c>
      <c r="E67" s="19">
        <f>E66+E60</f>
        <v>0</v>
      </c>
      <c r="F67" s="19">
        <f>F66+F60</f>
        <v>0</v>
      </c>
      <c r="G67" s="19">
        <f t="shared" si="2"/>
        <v>3721798826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005011200400364000KD</v>
      </c>
      <c r="B70" s="11" t="str">
        <f>P4</f>
        <v>PT. Bandar Lampung</v>
      </c>
      <c r="C70" s="12" t="str">
        <f>A70&amp;" "&amp;B70</f>
        <v>005011200400364000KD PT. Bandar Lampung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6300487</v>
      </c>
      <c r="E73" s="25">
        <f>SUMIFS('Daftar Koreksi'!$H$5:$H$92,'Daftar Koreksi'!$D$5:$D$92,'1200'!A70,'Daftar Koreksi'!$G$5:$G$92,"Persediaan",'Daftar Koreksi'!$H$5:$H$92,"&gt;0")</f>
        <v>0</v>
      </c>
      <c r="F73" s="25">
        <f>SUMIFS('Daftar Koreksi'!$H$5:$H$92,'Daftar Koreksi'!$D$5:$D$92,'1200'!A70,'Daftar Koreksi'!$G$5:$G$92,"Persediaan",'Daftar Koreksi'!$H$5:$H$92,"&lt;0")-SUMIFS('Daftar Koreksi'!$H$5:$H$92,'Daftar Koreksi'!$D$5:$D$92,'1200'!A70,'Daftar Koreksi'!$G$5:$G$92,"Persediaan",'Daftar Koreksi'!$H$5:$H$92,"&lt;0")-SUMIFS('Daftar Koreksi'!$H$5:$H$92,'Daftar Koreksi'!$D$5:$D$92,'1200'!A70,'Daftar Koreksi'!$G$5:$G$92,"Persediaan",'Daftar Koreksi'!$H$5:$H$92,"&lt;0")</f>
        <v>0</v>
      </c>
      <c r="G73" s="17">
        <f>D73+E73-F73</f>
        <v>6300487</v>
      </c>
      <c r="H73" s="121" t="str">
        <f>IF(ISNA(VLOOKUP(A70,'Mutasi Neraca'!$A$3:$S$914,19,FALSE)),"-",VLOOKUP(A70,'Mutasi Neraca'!$A$3:$S$914,19,FALSE))</f>
        <v>TP Koreksi Hibah No. 13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6226910000</v>
      </c>
      <c r="E74" s="25">
        <f>SUMIFS('Daftar Koreksi'!$H$5:$H$92,'Daftar Koreksi'!$D$5:$D$92,'1200'!A70,'Daftar Koreksi'!$G$5:$G$92,"Tanah",'Daftar Koreksi'!$H$5:$H$92,"&gt;0")</f>
        <v>0</v>
      </c>
      <c r="F74" s="25">
        <f>SUMIFS('Daftar Koreksi'!$H$5:$H$92,'Daftar Koreksi'!$D$5:$D$92,'1200'!A70,'Daftar Koreksi'!$G$5:$G$92,"Tanah",'Daftar Koreksi'!$H$5:$H$92,"&lt;0")-SUMIFS('Daftar Koreksi'!$H$5:$H$92,'Daftar Koreksi'!$D$5:$D$92,'1200'!A70,'Daftar Koreksi'!$G$5:$G$92,"Tanah",'Daftar Koreksi'!$H$5:$H$92,"&lt;0")-SUMIFS('Daftar Koreksi'!$H$5:$H$92,'Daftar Koreksi'!$D$5:$D$92,'1200'!A70,'Daftar Koreksi'!$G$5:$G$92,"Tanah",'Daftar Koreksi'!$H$5:$H$92,"&lt;0")</f>
        <v>0</v>
      </c>
      <c r="G74" s="17">
        <f t="shared" ref="G74:G90" si="3">D74+E74-F74</f>
        <v>6226910000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4291566414</v>
      </c>
      <c r="E75" s="25">
        <f>SUMIFS('Daftar Koreksi'!$H$5:$H$92,'Daftar Koreksi'!$D$5:$D$92,'1200'!A70,'Daftar Koreksi'!$G$5:$G$92,"Peralatan dan mesin",'Daftar Koreksi'!$H$5:$H$92,"&gt;0")</f>
        <v>289210000</v>
      </c>
      <c r="F75" s="25">
        <f>SUMIFS('Daftar Koreksi'!$H$5:$H$92,'Daftar Koreksi'!$D$5:$D$92,'1200'!A70,'Daftar Koreksi'!$G$5:$G$92,"Peralatan dan mesin",'Daftar Koreksi'!$H$5:$H$92,"&lt;0")-SUMIFS('Daftar Koreksi'!$H$5:$H$92,'Daftar Koreksi'!$D$5:$D$92,'1200'!A70,'Daftar Koreksi'!$G$5:$G$92,"Peralatan dan mesin",'Daftar Koreksi'!$H$5:$H$92,"&lt;0")-SUMIFS('Daftar Koreksi'!$H$5:$H$92,'Daftar Koreksi'!$D$5:$D$92,'1200'!A70,'Daftar Koreksi'!$G$5:$G$92,"Peralatan dan mesin",'Daftar Koreksi'!$H$5:$H$92,"&lt;0")</f>
        <v>0</v>
      </c>
      <c r="G75" s="17">
        <f t="shared" si="3"/>
        <v>4580776414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8373236960</v>
      </c>
      <c r="E76" s="25">
        <f>SUMIFS('Daftar Koreksi'!$H$5:$H$92,'Daftar Koreksi'!$D$5:$D$92,'1200'!A70,'Daftar Koreksi'!$G$5:$G$92,"Gedung dan Bangunan",'Daftar Koreksi'!$H$5:$H$92,"&gt;0")</f>
        <v>0</v>
      </c>
      <c r="F76" s="25">
        <f>SUMIFS('Daftar Koreksi'!$H$5:$H$92,'Daftar Koreksi'!$D$5:$D$92,'1200'!A70,'Daftar Koreksi'!$G$5:$G$92,"Gedung dan Bangunan",'Daftar Koreksi'!$H$5:$H$92,"&lt;0")-SUMIFS('Daftar Koreksi'!$H$5:$H$92,'Daftar Koreksi'!$D$5:$D$92,'1200'!A70,'Daftar Koreksi'!$G$5:$G$92,"Gedung dan Bangunan",'Daftar Koreksi'!$H$5:$H$92,"&lt;0")-SUMIFS('Daftar Koreksi'!$H$5:$H$92,'Daftar Koreksi'!$D$5:$D$92,'1200'!A70,'Daftar Koreksi'!$G$5:$G$92,"Gedung dan Bangunan",'Daftar Koreksi'!$H$5:$H$92,"&lt;0")</f>
        <v>0</v>
      </c>
      <c r="G76" s="17">
        <f t="shared" si="3"/>
        <v>8373236960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988414370</v>
      </c>
      <c r="E77" s="25">
        <f>SUMIFS('Daftar Koreksi'!$H$5:$H$92,'Daftar Koreksi'!$D$5:$D$92,'1200'!A70,'Daftar Koreksi'!$G$5:$G$92,"Jalan Irigasi Jaringan",'Daftar Koreksi'!$H$5:$H$92,"&gt;0")</f>
        <v>0</v>
      </c>
      <c r="F77" s="25">
        <f>SUMIFS('Daftar Koreksi'!$H$5:$H$92,'Daftar Koreksi'!$D$5:$D$92,'1200'!A70,'Daftar Koreksi'!$G$5:$G$92,"Jalan Irigasi Jaringan",'Daftar Koreksi'!$H$5:$H$92,"&lt;0")-SUMIFS('Daftar Koreksi'!$H$5:$H$92,'Daftar Koreksi'!$D$5:$D$92,'1200'!A70,'Daftar Koreksi'!$G$5:$G$92,"Jalan Irigasi Jaringan",'Daftar Koreksi'!$H$5:$H$92,"&lt;0")-SUMIFS('Daftar Koreksi'!$H$5:$H$92,'Daftar Koreksi'!$D$5:$D$92,'1200'!A70,'Daftar Koreksi'!$G$5:$G$92,"Jalan Irigasi Jaringan",'Daftar Koreksi'!$H$5:$H$92,"&lt;0")</f>
        <v>0</v>
      </c>
      <c r="G77" s="17">
        <f t="shared" si="3"/>
        <v>988414370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4772118</v>
      </c>
      <c r="E78" s="25">
        <f>SUMIFS('Daftar Koreksi'!$H$5:$H$92,'Daftar Koreksi'!$D$5:$D$92,'1200'!A70,'Daftar Koreksi'!$G$5:$G$92,"Aset Tetap Lainnya",'Daftar Koreksi'!$H$5:$H$92,"&gt;0")</f>
        <v>0</v>
      </c>
      <c r="F78" s="25">
        <f>SUMIFS('Daftar Koreksi'!$H$5:$H$92,'Daftar Koreksi'!$D$5:$D$92,'1200'!A70,'Daftar Koreksi'!$G$5:$G$92,"Aset Tetap Lainnya",'Daftar Koreksi'!$H$5:$H$92,"&lt;0")-SUMIFS('Daftar Koreksi'!$H$5:$H$92,'Daftar Koreksi'!$D$5:$D$92,'1200'!A70,'Daftar Koreksi'!$G$5:$G$92,"Aset Tetap Lainnya",'Daftar Koreksi'!$H$5:$H$92,"&lt;0")-SUMIFS('Daftar Koreksi'!$H$5:$H$92,'Daftar Koreksi'!$D$5:$D$92,'1200'!A70,'Daftar Koreksi'!$G$5:$G$92,"Aset Tetap Lainnya",'Daftar Koreksi'!$H$5:$H$92,"&lt;0")</f>
        <v>0</v>
      </c>
      <c r="G78" s="17">
        <f t="shared" si="3"/>
        <v>4772118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Koreksi'!$D$5:$D$92,'1200'!A70,'Daftar Koreksi'!$G$5:$G$92,"Kontruksi Dalam Pengerjaan",'Daftar Koreksi'!$H$5:$H$92,"&gt;0")</f>
        <v>0</v>
      </c>
      <c r="F79" s="25">
        <f>SUMIFS('Daftar Koreksi'!$H$5:$H$92,'Daftar Koreksi'!$D$5:$D$92,'1200'!A70,'Daftar Koreksi'!$G$5:$G$92,"Kontruksi Dalam Pengerjaan",'Daftar Koreksi'!$H$5:$H$92,"&lt;0")-SUMIFS('Daftar Koreksi'!$H$5:$H$92,'Daftar Koreksi'!$D$5:$D$92,'1200'!A70,'Daftar Koreksi'!$G$5:$G$92,"Kontruksi Dalam Pengerjaan",'Daftar Koreksi'!$H$5:$H$92,"&lt;0")-SUMIFS('Daftar Koreksi'!$H$5:$H$92,'Daftar Koreksi'!$D$5:$D$92,'1200'!A70,'Daftar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Koreksi'!$D$5:$D$92,'1200'!A70,'Daftar Koreksi'!$G$5:$G$92,"Aset Tak Berwujud",'Daftar Koreksi'!$H$5:$H$92,"&gt;0")</f>
        <v>0</v>
      </c>
      <c r="F80" s="25">
        <f>SUMIFS('Daftar Koreksi'!$H$5:$H$92,'Daftar Koreksi'!$D$5:$D$92,'1200'!A70,'Daftar Koreksi'!$G$5:$G$92,"Aset Tak Berwujud",'Daftar Koreksi'!$H$5:$H$92,"&lt;0")-SUMIFS('Daftar Koreksi'!$H$5:$H$92,'Daftar Koreksi'!$D$5:$D$92,'1200'!A70,'Daftar Koreksi'!$G$5:$G$92,"Aset Tak Berwujud",'Daftar Koreksi'!$H$5:$H$92,"&lt;0")-SUMIFS('Daftar Koreksi'!$H$5:$H$92,'Daftar Koreksi'!$D$5:$D$92,'1200'!A70,'Daftar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Koreksi'!$D$5:$D$92,'1200'!A70,'Daftar Koreksi'!$G$5:$G$92,"Aset Henti Guna",'Daftar Koreksi'!$H$5:$H$92,"&gt;0")</f>
        <v>0</v>
      </c>
      <c r="F81" s="25">
        <f>SUMIFS('Daftar Koreksi'!$H$5:$H$92,'Daftar Koreksi'!$D$5:$D$92,'1200'!A70,'Daftar Koreksi'!$G$5:$G$92,"Aset Henti Guna",'Daftar Koreksi'!$H$5:$H$92,"&lt;0")-SUMIFS('Daftar Koreksi'!$H$5:$H$92,'Daftar Koreksi'!$D$5:$D$92,'1200'!A70,'Daftar Koreksi'!$G$5:$G$92,"Aset Henti Guna",'Daftar Koreksi'!$H$5:$H$92,"&lt;0")-SUMIFS('Daftar Koreksi'!$H$5:$H$92,'Daftar Koreksi'!$D$5:$D$92,'1200'!A70,'Daftar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19891200349</v>
      </c>
      <c r="E82" s="19">
        <f>SUM(E73:E81)</f>
        <v>289210000</v>
      </c>
      <c r="F82" s="19">
        <f>SUM(F73:F81)</f>
        <v>0</v>
      </c>
      <c r="G82" s="19">
        <f t="shared" si="3"/>
        <v>20180410349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-3856171419</v>
      </c>
      <c r="E83" s="25">
        <f>SUMIFS('Daftar Koreksi'!$I$5:$I$92,'Daftar Koreksi'!$D$5:$D$92,'1200'!A70,'Daftar Koreksi'!$G$5:$G$92,"Peralatan dan mesin",'Daftar Koreksi'!$I$5:$I$92,"&gt;0")</f>
        <v>0</v>
      </c>
      <c r="F83" s="25">
        <f>SUMIFS('Daftar Koreksi'!$I$5:$I$92,'Daftar Koreksi'!$D$5:$D$92,'1200'!A70,'Daftar Koreksi'!$G$5:$G$92,"Peralatan dan mesin",'Daftar Koreksi'!$I$5:$I$92,"&lt;0")-SUMIFS('Daftar Koreksi'!$I$5:$I$92,'Daftar Koreksi'!$D$5:$D$92,'1200'!A70,'Daftar Koreksi'!$G$5:$G$92,"Peralatan dan mesin",'Daftar Koreksi'!$I$5:$I$92,"&lt;0")-SUMIFS('Daftar Koreksi'!$I$5:$I$92,'Daftar Koreksi'!$D$5:$D$92,'1200'!A70,'Daftar Koreksi'!$G$5:$G$92,"Peralatan dan mesin",'Daftar Koreksi'!$I$5:$I$92,"&lt;0")</f>
        <v>20657857</v>
      </c>
      <c r="G83" s="17">
        <f t="shared" si="3"/>
        <v>-3876829276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-3984953535</v>
      </c>
      <c r="E84" s="25">
        <f>SUMIFS('Daftar Koreksi'!$I$5:$I$92,'Daftar Koreksi'!$D$5:$D$92,'1200'!A70,'Daftar Koreksi'!$G$5:$G$92,"Gedung dan Bangunan",'Daftar Koreksi'!$I$5:$I$92,"&gt;0")</f>
        <v>0</v>
      </c>
      <c r="F84" s="25">
        <f>SUMIFS('Daftar Koreksi'!$I$5:$I$92,'Daftar Koreksi'!$D$5:$D$92,'1200'!A70,'Daftar Koreksi'!$G$5:$G$92,"Gedung dan Bangunan",'Daftar Koreksi'!$I$5:$I$92,"&lt;0")-SUMIFS('Daftar Koreksi'!$I$5:$I$92,'Daftar Koreksi'!$D$5:$D$92,'1200'!A70,'Daftar Koreksi'!$G$5:$G$92,"Gedung dan Bangunan",'Daftar Koreksi'!$I$5:$I$92,"&lt;0")-SUMIFS('Daftar Koreksi'!$I$5:$I$92,'Daftar Koreksi'!$D$5:$D$92,'1200'!A70,'Daftar Koreksi'!$G$5:$G$92,"Gedung dan Bangunan",'Daftar Koreksi'!$I$5:$I$92,"&lt;0")</f>
        <v>0</v>
      </c>
      <c r="G84" s="17">
        <f t="shared" si="3"/>
        <v>-3984953535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-533679803</v>
      </c>
      <c r="E85" s="25">
        <f>SUMIFS('Daftar Koreksi'!$I$5:$I$92,'Daftar Koreksi'!$D$5:$D$92,'1200'!A70,'Daftar Koreksi'!$G$5:$G$92,"Jalan Irigasi Jaringan",'Daftar Koreksi'!$I$5:$I$92,"&gt;0")</f>
        <v>0</v>
      </c>
      <c r="F85" s="25">
        <f>SUMIFS('Daftar Koreksi'!$I$5:$I$92,'Daftar Koreksi'!$D$5:$D$92,'1200'!A70,'Daftar Koreksi'!$G$5:$G$92,"Jalan Irigasi Jaringan",'Daftar Koreksi'!$I$5:$I$92,"&lt;0")-SUMIFS('Daftar Koreksi'!$I$5:$I$92,'Daftar Koreksi'!$D$5:$D$92,'1200'!A70,'Daftar Koreksi'!$G$5:$G$92,"Jalan Irigasi Jaringan",'Daftar Koreksi'!$I$5:$I$92,"&lt;0")-SUMIFS('Daftar Koreksi'!$I$5:$I$92,'Daftar Koreksi'!$D$5:$D$92,'1200'!A70,'Daftar Koreksi'!$G$5:$G$92,"Jalan Irigasi Jaringan",'Daftar Koreksi'!$I$5:$I$92,"&lt;0")</f>
        <v>0</v>
      </c>
      <c r="G85" s="17">
        <f t="shared" si="3"/>
        <v>-533679803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Koreksi'!$D$5:$D$92,'1200'!A70,'Daftar Koreksi'!$G$5:$G$92,"Aset Tetap Lainnya",'Daftar Koreksi'!$I$5:$I$92,"&gt;0")</f>
        <v>0</v>
      </c>
      <c r="F86" s="25">
        <f>SUMIFS('Daftar Koreksi'!$I$5:$I$92,'Daftar Koreksi'!$D$5:$D$92,'1200'!A70,'Daftar Koreksi'!$G$5:$G$92,"Aset Tetap Lainnya",'Daftar Koreksi'!$I$5:$I$92,"&lt;0")-SUMIFS('Daftar Koreksi'!$I$5:$I$92,'Daftar Koreksi'!$D$5:$D$92,'1200'!A70,'Daftar Koreksi'!$G$5:$G$92,"Aset Tetap Lainnya",'Daftar Koreksi'!$I$5:$I$92,"&lt;0")-SUMIFS('Daftar Koreksi'!$I$5:$I$92,'Daftar Koreksi'!$D$5:$D$92,'1200'!A70,'Daftar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Koreksi'!$D$5:$D$92,'1200'!A70,'Daftar Koreksi'!$G$5:$G$92,"Aset Henti Guna",'Daftar Koreksi'!$I$5:$I$92,"&gt;0")</f>
        <v>0</v>
      </c>
      <c r="F87" s="25">
        <f>SUMIFS('Daftar Koreksi'!$I$5:$I$92,'Daftar Koreksi'!$D$5:$D$92,'1200'!A70,'Daftar Koreksi'!$G$5:$G$92,"Aset Henti Guna",'Daftar Koreksi'!$I$5:$I$92,"&lt;0")-SUMIFS('Daftar Koreksi'!$I$5:$I$92,'Daftar Koreksi'!$D$5:$D$92,'1200'!A70,'Daftar Koreksi'!$G$5:$G$92,"Aset Henti Guna",'Daftar Koreksi'!$I$5:$I$92,"&lt;0")-SUMIFS('Daftar Koreksi'!$I$5:$I$92,'Daftar Koreksi'!$D$5:$D$92,'1200'!A70,'Daftar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-8374804757</v>
      </c>
      <c r="E88" s="19">
        <f>SUM(E83:E87)</f>
        <v>0</v>
      </c>
      <c r="F88" s="19">
        <f>SUM(F83:F87)</f>
        <v>20657857</v>
      </c>
      <c r="G88" s="19">
        <f t="shared" si="3"/>
        <v>-8395462614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11516395592</v>
      </c>
      <c r="E89" s="19">
        <f>E88+E82</f>
        <v>289210000</v>
      </c>
      <c r="F89" s="19">
        <f>F88+F82</f>
        <v>20657857</v>
      </c>
      <c r="G89" s="19">
        <f t="shared" si="3"/>
        <v>11784947735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005011200400452000KD</v>
      </c>
      <c r="B92" s="11" t="str">
        <f>P5</f>
        <v>PN. Kalianda</v>
      </c>
      <c r="C92" s="12" t="str">
        <f>A92&amp;" "&amp;B92</f>
        <v>005011200400452000KD PN. Kalianda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11156600</v>
      </c>
      <c r="E95" s="25">
        <f>SUMIFS('Daftar Koreksi'!$H$5:$H$92,'Daftar Koreksi'!$D$5:$D$92,'1200'!A92,'Daftar Koreksi'!$G$5:$G$92,"Persediaan",'Daftar Koreksi'!$H$5:$H$92,"&gt;0")</f>
        <v>0</v>
      </c>
      <c r="F95" s="25">
        <f>SUMIFS('Daftar Koreksi'!$H$5:$H$92,'Daftar Koreksi'!$D$5:$D$92,'1200'!A92,'Daftar Koreksi'!$G$5:$G$92,"Persediaan",'Daftar Koreksi'!$H$5:$H$92,"&lt;0")-SUMIFS('Daftar Koreksi'!$H$5:$H$92,'Daftar Koreksi'!$D$5:$D$92,'1200'!A92,'Daftar Koreksi'!$G$5:$G$92,"Persediaan",'Daftar Koreksi'!$H$5:$H$92,"&lt;0")-SUMIFS('Daftar Koreksi'!$H$5:$H$92,'Daftar Koreksi'!$D$5:$D$92,'1200'!A92,'Daftar Koreksi'!$G$5:$G$92,"Persediaan",'Daftar Koreksi'!$H$5:$H$92,"&lt;0")</f>
        <v>0</v>
      </c>
      <c r="G95" s="17">
        <f>D95+E95-F95</f>
        <v>11156600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2501691714</v>
      </c>
      <c r="E96" s="25">
        <f>SUMIFS('Daftar Koreksi'!$H$5:$H$92,'Daftar Koreksi'!$D$5:$D$92,'1200'!A92,'Daftar Koreksi'!$G$5:$G$92,"Tanah",'Daftar Koreksi'!$H$5:$H$92,"&gt;0")</f>
        <v>0</v>
      </c>
      <c r="F96" s="25">
        <f>SUMIFS('Daftar Koreksi'!$H$5:$H$92,'Daftar Koreksi'!$D$5:$D$92,'1200'!A92,'Daftar Koreksi'!$G$5:$G$92,"Tanah",'Daftar Koreksi'!$H$5:$H$92,"&lt;0")-SUMIFS('Daftar Koreksi'!$H$5:$H$92,'Daftar Koreksi'!$D$5:$D$92,'1200'!A92,'Daftar Koreksi'!$G$5:$G$92,"Tanah",'Daftar Koreksi'!$H$5:$H$92,"&lt;0")-SUMIFS('Daftar Koreksi'!$H$5:$H$92,'Daftar Koreksi'!$D$5:$D$92,'1200'!A92,'Daftar Koreksi'!$G$5:$G$92,"Tanah",'Daftar Koreksi'!$H$5:$H$92,"&lt;0")</f>
        <v>0</v>
      </c>
      <c r="G96" s="17">
        <f t="shared" ref="G96:G112" si="4">D96+E96-F96</f>
        <v>2501691714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2197634296</v>
      </c>
      <c r="E97" s="25">
        <f>SUMIFS('Daftar Koreksi'!$H$5:$H$92,'Daftar Koreksi'!$D$5:$D$92,'1200'!A92,'Daftar Koreksi'!$G$5:$G$92,"Peralatan dan mesin",'Daftar Koreksi'!$H$5:$H$92,"&gt;0")</f>
        <v>0</v>
      </c>
      <c r="F97" s="25">
        <f>SUMIFS('Daftar Koreksi'!$H$5:$H$92,'Daftar Koreksi'!$D$5:$D$92,'1200'!A92,'Daftar Koreksi'!$G$5:$G$92,"Peralatan dan mesin",'Daftar Koreksi'!$H$5:$H$92,"&lt;0")-SUMIFS('Daftar Koreksi'!$H$5:$H$92,'Daftar Koreksi'!$D$5:$D$92,'1200'!A92,'Daftar Koreksi'!$G$5:$G$92,"Peralatan dan mesin",'Daftar Koreksi'!$H$5:$H$92,"&lt;0")-SUMIFS('Daftar Koreksi'!$H$5:$H$92,'Daftar Koreksi'!$D$5:$D$92,'1200'!A92,'Daftar Koreksi'!$G$5:$G$92,"Peralatan dan mesin",'Daftar Koreksi'!$H$5:$H$92,"&lt;0")</f>
        <v>0</v>
      </c>
      <c r="G97" s="17">
        <f t="shared" si="4"/>
        <v>2197634296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9320009239</v>
      </c>
      <c r="E98" s="25">
        <f>SUMIFS('Daftar Koreksi'!$H$5:$H$92,'Daftar Koreksi'!$D$5:$D$92,'1200'!A92,'Daftar Koreksi'!$G$5:$G$92,"Gedung dan Bangunan",'Daftar Koreksi'!$H$5:$H$92,"&gt;0")</f>
        <v>0</v>
      </c>
      <c r="F98" s="25">
        <f>SUMIFS('Daftar Koreksi'!$H$5:$H$92,'Daftar Koreksi'!$D$5:$D$92,'1200'!A92,'Daftar Koreksi'!$G$5:$G$92,"Gedung dan Bangunan",'Daftar Koreksi'!$H$5:$H$92,"&lt;0")-SUMIFS('Daftar Koreksi'!$H$5:$H$92,'Daftar Koreksi'!$D$5:$D$92,'1200'!A92,'Daftar Koreksi'!$G$5:$G$92,"Gedung dan Bangunan",'Daftar Koreksi'!$H$5:$H$92,"&lt;0")-SUMIFS('Daftar Koreksi'!$H$5:$H$92,'Daftar Koreksi'!$D$5:$D$92,'1200'!A92,'Daftar Koreksi'!$G$5:$G$92,"Gedung dan Bangunan",'Daftar Koreksi'!$H$5:$H$92,"&lt;0")</f>
        <v>0</v>
      </c>
      <c r="G98" s="17">
        <f t="shared" si="4"/>
        <v>9320009239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788545495</v>
      </c>
      <c r="E99" s="25">
        <f>SUMIFS('Daftar Koreksi'!$H$5:$H$92,'Daftar Koreksi'!$D$5:$D$92,'1200'!A92,'Daftar Koreksi'!$G$5:$G$92,"Jalan Irigasi Jaringan",'Daftar Koreksi'!$H$5:$H$92,"&gt;0")</f>
        <v>0</v>
      </c>
      <c r="F99" s="25">
        <f>SUMIFS('Daftar Koreksi'!$H$5:$H$92,'Daftar Koreksi'!$D$5:$D$92,'1200'!A92,'Daftar Koreksi'!$G$5:$G$92,"Jalan Irigasi Jaringan",'Daftar Koreksi'!$H$5:$H$92,"&lt;0")-SUMIFS('Daftar Koreksi'!$H$5:$H$92,'Daftar Koreksi'!$D$5:$D$92,'1200'!A92,'Daftar Koreksi'!$G$5:$G$92,"Jalan Irigasi Jaringan",'Daftar Koreksi'!$H$5:$H$92,"&lt;0")-SUMIFS('Daftar Koreksi'!$H$5:$H$92,'Daftar Koreksi'!$D$5:$D$92,'1200'!A92,'Daftar Koreksi'!$G$5:$G$92,"Jalan Irigasi Jaringan",'Daftar Koreksi'!$H$5:$H$92,"&lt;0")</f>
        <v>0</v>
      </c>
      <c r="G99" s="17">
        <f t="shared" si="4"/>
        <v>788545495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4772118</v>
      </c>
      <c r="E100" s="25">
        <f>SUMIFS('Daftar Koreksi'!$H$5:$H$92,'Daftar Koreksi'!$D$5:$D$92,'1200'!A92,'Daftar Koreksi'!$G$5:$G$92,"Aset Tetap Lainnya",'Daftar Koreksi'!$H$5:$H$92,"&gt;0")</f>
        <v>0</v>
      </c>
      <c r="F100" s="25">
        <f>SUMIFS('Daftar Koreksi'!$H$5:$H$92,'Daftar Koreksi'!$D$5:$D$92,'1200'!A92,'Daftar Koreksi'!$G$5:$G$92,"Aset Tetap Lainnya",'Daftar Koreksi'!$H$5:$H$92,"&lt;0")-SUMIFS('Daftar Koreksi'!$H$5:$H$92,'Daftar Koreksi'!$D$5:$D$92,'1200'!A92,'Daftar Koreksi'!$G$5:$G$92,"Aset Tetap Lainnya",'Daftar Koreksi'!$H$5:$H$92,"&lt;0")-SUMIFS('Daftar Koreksi'!$H$5:$H$92,'Daftar Koreksi'!$D$5:$D$92,'1200'!A92,'Daftar Koreksi'!$G$5:$G$92,"Aset Tetap Lainnya",'Daftar Koreksi'!$H$5:$H$92,"&lt;0")</f>
        <v>0</v>
      </c>
      <c r="G100" s="17">
        <f t="shared" si="4"/>
        <v>4772118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Koreksi'!$D$5:$D$92,'1200'!A92,'Daftar Koreksi'!$G$5:$G$92,"Kontruksi Dalam Pengerjaan",'Daftar Koreksi'!$H$5:$H$92,"&gt;0")</f>
        <v>0</v>
      </c>
      <c r="F101" s="25">
        <f>SUMIFS('Daftar Koreksi'!$H$5:$H$92,'Daftar Koreksi'!$D$5:$D$92,'1200'!A92,'Daftar Koreksi'!$G$5:$G$92,"Kontruksi Dalam Pengerjaan",'Daftar Koreksi'!$H$5:$H$92,"&lt;0")-SUMIFS('Daftar Koreksi'!$H$5:$H$92,'Daftar Koreksi'!$D$5:$D$92,'1200'!A92,'Daftar Koreksi'!$G$5:$G$92,"Kontruksi Dalam Pengerjaan",'Daftar Koreksi'!$H$5:$H$92,"&lt;0")-SUMIFS('Daftar Koreksi'!$H$5:$H$92,'Daftar Koreksi'!$D$5:$D$92,'1200'!A92,'Daftar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Koreksi'!$D$5:$D$92,'1200'!A92,'Daftar Koreksi'!$G$5:$G$92,"Aset Tak Berwujud",'Daftar Koreksi'!$H$5:$H$92,"&gt;0")</f>
        <v>0</v>
      </c>
      <c r="F102" s="25">
        <f>SUMIFS('Daftar Koreksi'!$H$5:$H$92,'Daftar Koreksi'!$D$5:$D$92,'1200'!A92,'Daftar Koreksi'!$G$5:$G$92,"Aset Tak Berwujud",'Daftar Koreksi'!$H$5:$H$92,"&lt;0")-SUMIFS('Daftar Koreksi'!$H$5:$H$92,'Daftar Koreksi'!$D$5:$D$92,'1200'!A92,'Daftar Koreksi'!$G$5:$G$92,"Aset Tak Berwujud",'Daftar Koreksi'!$H$5:$H$92,"&lt;0")-SUMIFS('Daftar Koreksi'!$H$5:$H$92,'Daftar Koreksi'!$D$5:$D$92,'1200'!A92,'Daftar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183934648</v>
      </c>
      <c r="E103" s="25">
        <f>SUMIFS('Daftar Koreksi'!$H$5:$H$92,'Daftar Koreksi'!$D$5:$D$92,'1200'!A92,'Daftar Koreksi'!$G$5:$G$92,"Aset Henti Guna",'Daftar Koreksi'!$H$5:$H$92,"&gt;0")</f>
        <v>0</v>
      </c>
      <c r="F103" s="25">
        <f>SUMIFS('Daftar Koreksi'!$H$5:$H$92,'Daftar Koreksi'!$D$5:$D$92,'1200'!A92,'Daftar Koreksi'!$G$5:$G$92,"Aset Henti Guna",'Daftar Koreksi'!$H$5:$H$92,"&lt;0")-SUMIFS('Daftar Koreksi'!$H$5:$H$92,'Daftar Koreksi'!$D$5:$D$92,'1200'!A92,'Daftar Koreksi'!$G$5:$G$92,"Aset Henti Guna",'Daftar Koreksi'!$H$5:$H$92,"&lt;0")-SUMIFS('Daftar Koreksi'!$H$5:$H$92,'Daftar Koreksi'!$D$5:$D$92,'1200'!A92,'Daftar Koreksi'!$G$5:$G$92,"Aset Henti Guna",'Daftar Koreksi'!$H$5:$H$92,"&lt;0")</f>
        <v>0</v>
      </c>
      <c r="G103" s="17">
        <f t="shared" si="4"/>
        <v>183934648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15007744110</v>
      </c>
      <c r="E104" s="19">
        <f>SUM(E95:E103)</f>
        <v>0</v>
      </c>
      <c r="F104" s="19">
        <f>SUM(F95:F103)</f>
        <v>0</v>
      </c>
      <c r="G104" s="19">
        <f t="shared" si="4"/>
        <v>15007744110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-2086531412</v>
      </c>
      <c r="E105" s="25">
        <f>SUMIFS('Daftar Koreksi'!$I$5:$I$92,'Daftar Koreksi'!$D$5:$D$92,'1200'!A92,'Daftar Koreksi'!$G$5:$G$92,"Peralatan dan mesin",'Daftar Koreksi'!$I$5:$I$92,"&gt;0")</f>
        <v>0</v>
      </c>
      <c r="F105" s="25">
        <f>SUMIFS('Daftar Koreksi'!$I$5:$I$92,'Daftar Koreksi'!$D$5:$D$92,'1200'!A92,'Daftar Koreksi'!$G$5:$G$92,"Peralatan dan mesin",'Daftar Koreksi'!$I$5:$I$92,"&lt;0")-SUMIFS('Daftar Koreksi'!$I$5:$I$92,'Daftar Koreksi'!$D$5:$D$92,'1200'!A92,'Daftar Koreksi'!$G$5:$G$92,"Peralatan dan mesin",'Daftar Koreksi'!$I$5:$I$92,"&lt;0")-SUMIFS('Daftar Koreksi'!$I$5:$I$92,'Daftar Koreksi'!$D$5:$D$92,'1200'!A92,'Daftar Koreksi'!$G$5:$G$92,"Peralatan dan mesin",'Daftar Koreksi'!$I$5:$I$92,"&lt;0")</f>
        <v>0</v>
      </c>
      <c r="G105" s="17">
        <f t="shared" si="4"/>
        <v>-2086531412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-4036415712</v>
      </c>
      <c r="E106" s="25">
        <f>SUMIFS('Daftar Koreksi'!$I$5:$I$92,'Daftar Koreksi'!$D$5:$D$92,'1200'!A92,'Daftar Koreksi'!$G$5:$G$92,"Gedung dan Bangunan",'Daftar Koreksi'!$I$5:$I$92,"&gt;0")</f>
        <v>0</v>
      </c>
      <c r="F106" s="25">
        <f>SUMIFS('Daftar Koreksi'!$I$5:$I$92,'Daftar Koreksi'!$D$5:$D$92,'1200'!A92,'Daftar Koreksi'!$G$5:$G$92,"Gedung dan Bangunan",'Daftar Koreksi'!$I$5:$I$92,"&lt;0")-SUMIFS('Daftar Koreksi'!$I$5:$I$92,'Daftar Koreksi'!$D$5:$D$92,'1200'!A92,'Daftar Koreksi'!$G$5:$G$92,"Gedung dan Bangunan",'Daftar Koreksi'!$I$5:$I$92,"&lt;0")-SUMIFS('Daftar Koreksi'!$I$5:$I$92,'Daftar Koreksi'!$D$5:$D$92,'1200'!A92,'Daftar Koreksi'!$G$5:$G$92,"Gedung dan Bangunan",'Daftar Koreksi'!$I$5:$I$92,"&lt;0")</f>
        <v>0</v>
      </c>
      <c r="G106" s="17">
        <f t="shared" si="4"/>
        <v>-4036415712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-183224983</v>
      </c>
      <c r="E107" s="25">
        <f>SUMIFS('Daftar Koreksi'!$I$5:$I$92,'Daftar Koreksi'!$D$5:$D$92,'1200'!A92,'Daftar Koreksi'!$G$5:$G$92,"Jalan Irigasi Jaringan",'Daftar Koreksi'!$I$5:$I$92,"&gt;0")</f>
        <v>0</v>
      </c>
      <c r="F107" s="25">
        <f>SUMIFS('Daftar Koreksi'!$I$5:$I$92,'Daftar Koreksi'!$D$5:$D$92,'1200'!A92,'Daftar Koreksi'!$G$5:$G$92,"Jalan Irigasi Jaringan",'Daftar Koreksi'!$I$5:$I$92,"&lt;0")-SUMIFS('Daftar Koreksi'!$I$5:$I$92,'Daftar Koreksi'!$D$5:$D$92,'1200'!A92,'Daftar Koreksi'!$G$5:$G$92,"Jalan Irigasi Jaringan",'Daftar Koreksi'!$I$5:$I$92,"&lt;0")-SUMIFS('Daftar Koreksi'!$I$5:$I$92,'Daftar Koreksi'!$D$5:$D$92,'1200'!A92,'Daftar Koreksi'!$G$5:$G$92,"Jalan Irigasi Jaringan",'Daftar Koreksi'!$I$5:$I$92,"&lt;0")</f>
        <v>0</v>
      </c>
      <c r="G107" s="17">
        <f t="shared" si="4"/>
        <v>-183224983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Koreksi'!$D$5:$D$92,'1200'!A92,'Daftar Koreksi'!$G$5:$G$92,"Aset Tetap Lainnya",'Daftar Koreksi'!$I$5:$I$92,"&gt;0")</f>
        <v>0</v>
      </c>
      <c r="F108" s="25">
        <f>SUMIFS('Daftar Koreksi'!$I$5:$I$92,'Daftar Koreksi'!$D$5:$D$92,'1200'!A92,'Daftar Koreksi'!$G$5:$G$92,"Aset Tetap Lainnya",'Daftar Koreksi'!$I$5:$I$92,"&lt;0")-SUMIFS('Daftar Koreksi'!$I$5:$I$92,'Daftar Koreksi'!$D$5:$D$92,'1200'!A92,'Daftar Koreksi'!$G$5:$G$92,"Aset Tetap Lainnya",'Daftar Koreksi'!$I$5:$I$92,"&lt;0")-SUMIFS('Daftar Koreksi'!$I$5:$I$92,'Daftar Koreksi'!$D$5:$D$92,'1200'!A92,'Daftar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-183934648</v>
      </c>
      <c r="E109" s="25">
        <f>SUMIFS('Daftar Koreksi'!$I$5:$I$92,'Daftar Koreksi'!$D$5:$D$92,'1200'!A92,'Daftar Koreksi'!$G$5:$G$92,"Aset Henti Guna",'Daftar Koreksi'!$I$5:$I$92,"&gt;0")</f>
        <v>0</v>
      </c>
      <c r="F109" s="25">
        <f>SUMIFS('Daftar Koreksi'!$I$5:$I$92,'Daftar Koreksi'!$D$5:$D$92,'1200'!A92,'Daftar Koreksi'!$G$5:$G$92,"Aset Henti Guna",'Daftar Koreksi'!$I$5:$I$92,"&lt;0")-SUMIFS('Daftar Koreksi'!$I$5:$I$92,'Daftar Koreksi'!$D$5:$D$92,'1200'!A92,'Daftar Koreksi'!$G$5:$G$92,"Aset Henti Guna",'Daftar Koreksi'!$I$5:$I$92,"&lt;0")-SUMIFS('Daftar Koreksi'!$I$5:$I$92,'Daftar Koreksi'!$D$5:$D$92,'1200'!A92,'Daftar Koreksi'!$G$5:$G$92,"Aset Henti Guna",'Daftar Koreksi'!$I$5:$I$92,"&lt;0")</f>
        <v>0</v>
      </c>
      <c r="G109" s="17">
        <f t="shared" si="4"/>
        <v>-183934648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-6490106755</v>
      </c>
      <c r="E110" s="19">
        <f>SUM(E105:E109)</f>
        <v>0</v>
      </c>
      <c r="F110" s="19">
        <f>SUM(F105:F109)</f>
        <v>0</v>
      </c>
      <c r="G110" s="19">
        <f t="shared" si="4"/>
        <v>-6490106755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8517637355</v>
      </c>
      <c r="E111" s="19">
        <f>E110+E104</f>
        <v>0</v>
      </c>
      <c r="F111" s="19">
        <f>F110+F104</f>
        <v>0</v>
      </c>
      <c r="G111" s="19">
        <f t="shared" si="4"/>
        <v>8517637355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005011200402324000KD</v>
      </c>
      <c r="B114" s="11" t="str">
        <f>P6</f>
        <v>PA. Tanjung Karang</v>
      </c>
      <c r="C114" s="12" t="str">
        <f>A114&amp;" "&amp;B114</f>
        <v>005011200402324000KD PA. Tanjung Karang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25376200</v>
      </c>
      <c r="E117" s="25">
        <f>SUMIFS('Daftar Koreksi'!$H$5:$H$92,'Daftar Koreksi'!$D$5:$D$92,'1200'!A114,'Daftar Koreksi'!$G$5:$G$92,"Persediaan",'Daftar Koreksi'!$H$5:$H$92,"&gt;0")</f>
        <v>0</v>
      </c>
      <c r="F117" s="25">
        <f>SUMIFS('Daftar Koreksi'!$H$5:$H$92,'Daftar Koreksi'!$D$5:$D$92,'1200'!A114,'Daftar Koreksi'!$G$5:$G$92,"Persediaan",'Daftar Koreksi'!$H$5:$H$92,"&lt;0")-SUMIFS('Daftar Koreksi'!$H$5:$H$92,'Daftar Koreksi'!$D$5:$D$92,'1200'!A114,'Daftar Koreksi'!$G$5:$G$92,"Persediaan",'Daftar Koreksi'!$H$5:$H$92,"&lt;0")-SUMIFS('Daftar Koreksi'!$H$5:$H$92,'Daftar Koreksi'!$D$5:$D$92,'1200'!A114,'Daftar Koreksi'!$G$5:$G$92,"Persediaan",'Daftar Koreksi'!$H$5:$H$92,"&lt;0")</f>
        <v>0</v>
      </c>
      <c r="G117" s="17">
        <f>D117+E117-F117</f>
        <v>25376200</v>
      </c>
      <c r="H117" s="121" t="str">
        <f>IF(ISNA(VLOOKUP(A114,'Mutasi Neraca'!$A$3:$S$914,19,FALSE)),"-",VLOOKUP(A114,'Mutasi Neraca'!$A$3:$S$914,19,FALSE))</f>
        <v>TP Koreksi Hibah No. 8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1371400000</v>
      </c>
      <c r="E118" s="25">
        <f>SUMIFS('Daftar Koreksi'!$H$5:$H$92,'Daftar Koreksi'!$D$5:$D$92,'1200'!A114,'Daftar Koreksi'!$G$5:$G$92,"Tanah",'Daftar Koreksi'!$H$5:$H$92,"&gt;0")</f>
        <v>0</v>
      </c>
      <c r="F118" s="25">
        <f>SUMIFS('Daftar Koreksi'!$H$5:$H$92,'Daftar Koreksi'!$D$5:$D$92,'1200'!A114,'Daftar Koreksi'!$G$5:$G$92,"Tanah",'Daftar Koreksi'!$H$5:$H$92,"&lt;0")-SUMIFS('Daftar Koreksi'!$H$5:$H$92,'Daftar Koreksi'!$D$5:$D$92,'1200'!A114,'Daftar Koreksi'!$G$5:$G$92,"Tanah",'Daftar Koreksi'!$H$5:$H$92,"&lt;0")-SUMIFS('Daftar Koreksi'!$H$5:$H$92,'Daftar Koreksi'!$D$5:$D$92,'1200'!A114,'Daftar Koreksi'!$G$5:$G$92,"Tanah",'Daftar Koreksi'!$H$5:$H$92,"&lt;0")</f>
        <v>0</v>
      </c>
      <c r="G118" s="17">
        <f t="shared" ref="G118:G134" si="5">D118+E118-F118</f>
        <v>1371400000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2012922663</v>
      </c>
      <c r="E119" s="25">
        <f>SUMIFS('Daftar Koreksi'!$H$5:$H$92,'Daftar Koreksi'!$D$5:$D$92,'1200'!A114,'Daftar Koreksi'!$G$5:$G$92,"Peralatan dan mesin",'Daftar Koreksi'!$H$5:$H$92,"&gt;0")</f>
        <v>34000000</v>
      </c>
      <c r="F119" s="25">
        <f>SUMIFS('Daftar Koreksi'!$H$5:$H$92,'Daftar Koreksi'!$D$5:$D$92,'1200'!A114,'Daftar Koreksi'!$G$5:$G$92,"Peralatan dan mesin",'Daftar Koreksi'!$H$5:$H$92,"&lt;0")-SUMIFS('Daftar Koreksi'!$H$5:$H$92,'Daftar Koreksi'!$D$5:$D$92,'1200'!A114,'Daftar Koreksi'!$G$5:$G$92,"Peralatan dan mesin",'Daftar Koreksi'!$H$5:$H$92,"&lt;0")-SUMIFS('Daftar Koreksi'!$H$5:$H$92,'Daftar Koreksi'!$D$5:$D$92,'1200'!A114,'Daftar Koreksi'!$G$5:$G$92,"Peralatan dan mesin",'Daftar Koreksi'!$H$5:$H$92,"&lt;0")</f>
        <v>0</v>
      </c>
      <c r="G119" s="17">
        <f t="shared" si="5"/>
        <v>2046922663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2092840000</v>
      </c>
      <c r="E120" s="25">
        <f>SUMIFS('Daftar Koreksi'!$H$5:$H$92,'Daftar Koreksi'!$D$5:$D$92,'1200'!A114,'Daftar Koreksi'!$G$5:$G$92,"Gedung dan Bangunan",'Daftar Koreksi'!$H$5:$H$92,"&gt;0")</f>
        <v>0</v>
      </c>
      <c r="F120" s="25">
        <f>SUMIFS('Daftar Koreksi'!$H$5:$H$92,'Daftar Koreksi'!$D$5:$D$92,'1200'!A114,'Daftar Koreksi'!$G$5:$G$92,"Gedung dan Bangunan",'Daftar Koreksi'!$H$5:$H$92,"&lt;0")-SUMIFS('Daftar Koreksi'!$H$5:$H$92,'Daftar Koreksi'!$D$5:$D$92,'1200'!A114,'Daftar Koreksi'!$G$5:$G$92,"Gedung dan Bangunan",'Daftar Koreksi'!$H$5:$H$92,"&lt;0")-SUMIFS('Daftar Koreksi'!$H$5:$H$92,'Daftar Koreksi'!$D$5:$D$92,'1200'!A114,'Daftar Koreksi'!$G$5:$G$92,"Gedung dan Bangunan",'Daftar Koreksi'!$H$5:$H$92,"&lt;0")</f>
        <v>0</v>
      </c>
      <c r="G120" s="17">
        <f t="shared" si="5"/>
        <v>2092840000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325450000</v>
      </c>
      <c r="E121" s="25">
        <f>SUMIFS('Daftar Koreksi'!$H$5:$H$92,'Daftar Koreksi'!$D$5:$D$92,'1200'!A114,'Daftar Koreksi'!$G$5:$G$92,"Jalan Irigasi Jaringan",'Daftar Koreksi'!$H$5:$H$92,"&gt;0")</f>
        <v>0</v>
      </c>
      <c r="F121" s="25">
        <f>SUMIFS('Daftar Koreksi'!$H$5:$H$92,'Daftar Koreksi'!$D$5:$D$92,'1200'!A114,'Daftar Koreksi'!$G$5:$G$92,"Jalan Irigasi Jaringan",'Daftar Koreksi'!$H$5:$H$92,"&lt;0")-SUMIFS('Daftar Koreksi'!$H$5:$H$92,'Daftar Koreksi'!$D$5:$D$92,'1200'!A114,'Daftar Koreksi'!$G$5:$G$92,"Jalan Irigasi Jaringan",'Daftar Koreksi'!$H$5:$H$92,"&lt;0")-SUMIFS('Daftar Koreksi'!$H$5:$H$92,'Daftar Koreksi'!$D$5:$D$92,'1200'!A114,'Daftar Koreksi'!$G$5:$G$92,"Jalan Irigasi Jaringan",'Daftar Koreksi'!$H$5:$H$92,"&lt;0")</f>
        <v>0</v>
      </c>
      <c r="G121" s="17">
        <f t="shared" si="5"/>
        <v>325450000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3266678</v>
      </c>
      <c r="E122" s="25">
        <f>SUMIFS('Daftar Koreksi'!$H$5:$H$92,'Daftar Koreksi'!$D$5:$D$92,'1200'!A114,'Daftar Koreksi'!$G$5:$G$92,"Aset Tetap Lainnya",'Daftar Koreksi'!$H$5:$H$92,"&gt;0")</f>
        <v>3000000</v>
      </c>
      <c r="F122" s="25">
        <f>SUMIFS('Daftar Koreksi'!$H$5:$H$92,'Daftar Koreksi'!$D$5:$D$92,'1200'!A114,'Daftar Koreksi'!$G$5:$G$92,"Aset Tetap Lainnya",'Daftar Koreksi'!$H$5:$H$92,"&lt;0")-SUMIFS('Daftar Koreksi'!$H$5:$H$92,'Daftar Koreksi'!$D$5:$D$92,'1200'!A114,'Daftar Koreksi'!$G$5:$G$92,"Aset Tetap Lainnya",'Daftar Koreksi'!$H$5:$H$92,"&lt;0")-SUMIFS('Daftar Koreksi'!$H$5:$H$92,'Daftar Koreksi'!$D$5:$D$92,'1200'!A114,'Daftar Koreksi'!$G$5:$G$92,"Aset Tetap Lainnya",'Daftar Koreksi'!$H$5:$H$92,"&lt;0")</f>
        <v>0</v>
      </c>
      <c r="G122" s="17">
        <f t="shared" si="5"/>
        <v>6266678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Koreksi'!$D$5:$D$92,'1200'!A114,'Daftar Koreksi'!$G$5:$G$92,"Kontruksi Dalam Pengerjaan",'Daftar Koreksi'!$H$5:$H$92,"&gt;0")</f>
        <v>0</v>
      </c>
      <c r="F123" s="25">
        <f>SUMIFS('Daftar Koreksi'!$H$5:$H$92,'Daftar Koreksi'!$D$5:$D$92,'1200'!A114,'Daftar Koreksi'!$G$5:$G$92,"Kontruksi Dalam Pengerjaan",'Daftar Koreksi'!$H$5:$H$92,"&lt;0")-SUMIFS('Daftar Koreksi'!$H$5:$H$92,'Daftar Koreksi'!$D$5:$D$92,'1200'!A114,'Daftar Koreksi'!$G$5:$G$92,"Kontruksi Dalam Pengerjaan",'Daftar Koreksi'!$H$5:$H$92,"&lt;0")-SUMIFS('Daftar Koreksi'!$H$5:$H$92,'Daftar Koreksi'!$D$5:$D$92,'1200'!A114,'Daftar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7000000</v>
      </c>
      <c r="E124" s="25">
        <f>SUMIFS('Daftar Koreksi'!$H$5:$H$92,'Daftar Koreksi'!$D$5:$D$92,'1200'!A114,'Daftar Koreksi'!$G$5:$G$92,"Aset Tak Berwujud",'Daftar Koreksi'!$H$5:$H$92,"&gt;0")</f>
        <v>0</v>
      </c>
      <c r="F124" s="25">
        <f>SUMIFS('Daftar Koreksi'!$H$5:$H$92,'Daftar Koreksi'!$D$5:$D$92,'1200'!A114,'Daftar Koreksi'!$G$5:$G$92,"Aset Tak Berwujud",'Daftar Koreksi'!$H$5:$H$92,"&lt;0")-SUMIFS('Daftar Koreksi'!$H$5:$H$92,'Daftar Koreksi'!$D$5:$D$92,'1200'!A114,'Daftar Koreksi'!$G$5:$G$92,"Aset Tak Berwujud",'Daftar Koreksi'!$H$5:$H$92,"&lt;0")-SUMIFS('Daftar Koreksi'!$H$5:$H$92,'Daftar Koreksi'!$D$5:$D$92,'1200'!A114,'Daftar Koreksi'!$G$5:$G$92,"Aset Tak Berwujud",'Daftar Koreksi'!$H$5:$H$92,"&lt;0")</f>
        <v>0</v>
      </c>
      <c r="G124" s="17">
        <f t="shared" si="5"/>
        <v>7000000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Koreksi'!$D$5:$D$92,'1200'!A114,'Daftar Koreksi'!$G$5:$G$92,"Aset Henti Guna",'Daftar Koreksi'!$H$5:$H$92,"&gt;0")</f>
        <v>0</v>
      </c>
      <c r="F125" s="25">
        <f>SUMIFS('Daftar Koreksi'!$H$5:$H$92,'Daftar Koreksi'!$D$5:$D$92,'1200'!A114,'Daftar Koreksi'!$G$5:$G$92,"Aset Henti Guna",'Daftar Koreksi'!$H$5:$H$92,"&lt;0")-SUMIFS('Daftar Koreksi'!$H$5:$H$92,'Daftar Koreksi'!$D$5:$D$92,'1200'!A114,'Daftar Koreksi'!$G$5:$G$92,"Aset Henti Guna",'Daftar Koreksi'!$H$5:$H$92,"&lt;0")-SUMIFS('Daftar Koreksi'!$H$5:$H$92,'Daftar Koreksi'!$D$5:$D$92,'1200'!A114,'Daftar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5838255541</v>
      </c>
      <c r="E126" s="19">
        <f>SUM(E117:E125)</f>
        <v>37000000</v>
      </c>
      <c r="F126" s="19">
        <f>SUM(F117:F125)</f>
        <v>0</v>
      </c>
      <c r="G126" s="19">
        <f t="shared" si="5"/>
        <v>5875255541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-1664111572</v>
      </c>
      <c r="E127" s="25">
        <f>SUMIFS('Daftar Koreksi'!$I$5:$I$92,'Daftar Koreksi'!$D$5:$D$92,'1200'!A114,'Daftar Koreksi'!$G$5:$G$92,"Peralatan dan mesin",'Daftar Koreksi'!$I$5:$I$92,"&gt;0")</f>
        <v>0</v>
      </c>
      <c r="F127" s="25">
        <f>SUMIFS('Daftar Koreksi'!$I$5:$I$92,'Daftar Koreksi'!$D$5:$D$92,'1200'!A114,'Daftar Koreksi'!$G$5:$G$92,"Peralatan dan mesin",'Daftar Koreksi'!$I$5:$I$92,"&lt;0")-SUMIFS('Daftar Koreksi'!$I$5:$I$92,'Daftar Koreksi'!$D$5:$D$92,'1200'!A114,'Daftar Koreksi'!$G$5:$G$92,"Peralatan dan mesin",'Daftar Koreksi'!$I$5:$I$92,"&lt;0")-SUMIFS('Daftar Koreksi'!$I$5:$I$92,'Daftar Koreksi'!$D$5:$D$92,'1200'!A114,'Daftar Koreksi'!$G$5:$G$92,"Peralatan dan mesin",'Daftar Koreksi'!$I$5:$I$92,"&lt;0")</f>
        <v>3987500</v>
      </c>
      <c r="G127" s="17">
        <f t="shared" si="5"/>
        <v>-1668099072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-321137225</v>
      </c>
      <c r="E128" s="25">
        <f>SUMIFS('Daftar Koreksi'!$I$5:$I$92,'Daftar Koreksi'!$D$5:$D$92,'1200'!A114,'Daftar Koreksi'!$G$5:$G$92,"Gedung dan Bangunan",'Daftar Koreksi'!$I$5:$I$92,"&gt;0")</f>
        <v>0</v>
      </c>
      <c r="F128" s="25">
        <f>SUMIFS('Daftar Koreksi'!$I$5:$I$92,'Daftar Koreksi'!$D$5:$D$92,'1200'!A114,'Daftar Koreksi'!$G$5:$G$92,"Gedung dan Bangunan",'Daftar Koreksi'!$I$5:$I$92,"&lt;0")-SUMIFS('Daftar Koreksi'!$I$5:$I$92,'Daftar Koreksi'!$D$5:$D$92,'1200'!A114,'Daftar Koreksi'!$G$5:$G$92,"Gedung dan Bangunan",'Daftar Koreksi'!$I$5:$I$92,"&lt;0")-SUMIFS('Daftar Koreksi'!$I$5:$I$92,'Daftar Koreksi'!$D$5:$D$92,'1200'!A114,'Daftar Koreksi'!$G$5:$G$92,"Gedung dan Bangunan",'Daftar Koreksi'!$I$5:$I$92,"&lt;0")</f>
        <v>0</v>
      </c>
      <c r="G128" s="17">
        <f t="shared" si="5"/>
        <v>-321137225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-280783920</v>
      </c>
      <c r="E129" s="25">
        <f>SUMIFS('Daftar Koreksi'!$I$5:$I$92,'Daftar Koreksi'!$D$5:$D$92,'1200'!A114,'Daftar Koreksi'!$G$5:$G$92,"Jalan Irigasi Jaringan",'Daftar Koreksi'!$I$5:$I$92,"&gt;0")</f>
        <v>0</v>
      </c>
      <c r="F129" s="25">
        <f>SUMIFS('Daftar Koreksi'!$I$5:$I$92,'Daftar Koreksi'!$D$5:$D$92,'1200'!A114,'Daftar Koreksi'!$G$5:$G$92,"Jalan Irigasi Jaringan",'Daftar Koreksi'!$I$5:$I$92,"&lt;0")-SUMIFS('Daftar Koreksi'!$I$5:$I$92,'Daftar Koreksi'!$D$5:$D$92,'1200'!A114,'Daftar Koreksi'!$G$5:$G$92,"Jalan Irigasi Jaringan",'Daftar Koreksi'!$I$5:$I$92,"&lt;0")-SUMIFS('Daftar Koreksi'!$I$5:$I$92,'Daftar Koreksi'!$D$5:$D$92,'1200'!A114,'Daftar Koreksi'!$G$5:$G$92,"Jalan Irigasi Jaringan",'Daftar Koreksi'!$I$5:$I$92,"&lt;0")</f>
        <v>0</v>
      </c>
      <c r="G129" s="17">
        <f t="shared" si="5"/>
        <v>-280783920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Koreksi'!$D$5:$D$92,'1200'!A114,'Daftar Koreksi'!$G$5:$G$92,"Aset Tetap Lainnya",'Daftar Koreksi'!$I$5:$I$92,"&gt;0")</f>
        <v>0</v>
      </c>
      <c r="F130" s="25">
        <f>SUMIFS('Daftar Koreksi'!$I$5:$I$92,'Daftar Koreksi'!$D$5:$D$92,'1200'!A114,'Daftar Koreksi'!$G$5:$G$92,"Aset Tetap Lainnya",'Daftar Koreksi'!$I$5:$I$92,"&lt;0")-SUMIFS('Daftar Koreksi'!$I$5:$I$92,'Daftar Koreksi'!$D$5:$D$92,'1200'!A114,'Daftar Koreksi'!$G$5:$G$92,"Aset Tetap Lainnya",'Daftar Koreksi'!$I$5:$I$92,"&lt;0")-SUMIFS('Daftar Koreksi'!$I$5:$I$92,'Daftar Koreksi'!$D$5:$D$92,'1200'!A114,'Daftar Koreksi'!$G$5:$G$92,"Aset Tetap Lainnya",'Daftar Koreksi'!$I$5:$I$92,"&lt;0")</f>
        <v>375000</v>
      </c>
      <c r="G130" s="17">
        <f t="shared" si="5"/>
        <v>-375000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Koreksi'!$D$5:$D$92,'1200'!A114,'Daftar Koreksi'!$G$5:$G$92,"Aset Henti Guna",'Daftar Koreksi'!$I$5:$I$92,"&gt;0")</f>
        <v>0</v>
      </c>
      <c r="F131" s="25">
        <f>SUMIFS('Daftar Koreksi'!$I$5:$I$92,'Daftar Koreksi'!$D$5:$D$92,'1200'!A114,'Daftar Koreksi'!$G$5:$G$92,"Aset Henti Guna",'Daftar Koreksi'!$I$5:$I$92,"&lt;0")-SUMIFS('Daftar Koreksi'!$I$5:$I$92,'Daftar Koreksi'!$D$5:$D$92,'1200'!A114,'Daftar Koreksi'!$G$5:$G$92,"Aset Henti Guna",'Daftar Koreksi'!$I$5:$I$92,"&lt;0")-SUMIFS('Daftar Koreksi'!$I$5:$I$92,'Daftar Koreksi'!$D$5:$D$92,'1200'!A114,'Daftar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-2266032717</v>
      </c>
      <c r="E132" s="19">
        <f>SUM(E127:E131)</f>
        <v>0</v>
      </c>
      <c r="F132" s="19">
        <f>SUM(F127:F131)</f>
        <v>4362500</v>
      </c>
      <c r="G132" s="19">
        <f t="shared" si="5"/>
        <v>-2270395217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3572222824</v>
      </c>
      <c r="E133" s="19">
        <f>E132+E126</f>
        <v>37000000</v>
      </c>
      <c r="F133" s="19">
        <f>F132+F126</f>
        <v>4362500</v>
      </c>
      <c r="G133" s="19">
        <f t="shared" si="5"/>
        <v>3604860324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005011200402330000KD</v>
      </c>
      <c r="B136" s="11" t="str">
        <f>P7</f>
        <v>PA. Krui (Krui Di Liwa)</v>
      </c>
      <c r="C136" s="12" t="str">
        <f>A136&amp;" "&amp;B136</f>
        <v>005011200402330000KD PA. Krui (Krui Di Liwa)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299000</v>
      </c>
      <c r="E139" s="25">
        <f>SUMIFS('Daftar Koreksi'!$H$5:$H$92,'Daftar Koreksi'!$D$5:$D$92,'1200'!A136,'Daftar Koreksi'!$G$5:$G$92,"Persediaan",'Daftar Koreksi'!$H$5:$H$92,"&gt;0")</f>
        <v>0</v>
      </c>
      <c r="F139" s="25">
        <f>SUMIFS('Daftar Koreksi'!$H$5:$H$92,'Daftar Koreksi'!$D$5:$D$92,'1200'!A136,'Daftar Koreksi'!$G$5:$G$92,"Persediaan",'Daftar Koreksi'!$H$5:$H$92,"&lt;0")-SUMIFS('Daftar Koreksi'!$H$5:$H$92,'Daftar Koreksi'!$D$5:$D$92,'1200'!A136,'Daftar Koreksi'!$G$5:$G$92,"Persediaan",'Daftar Koreksi'!$H$5:$H$92,"&lt;0")-SUMIFS('Daftar Koreksi'!$H$5:$H$92,'Daftar Koreksi'!$D$5:$D$92,'1200'!A136,'Daftar Koreksi'!$G$5:$G$92,"Persediaan",'Daftar Koreksi'!$H$5:$H$92,"&lt;0")</f>
        <v>0</v>
      </c>
      <c r="G139" s="17">
        <f>D139+E139-F139</f>
        <v>299000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171000000</v>
      </c>
      <c r="E140" s="25">
        <f>SUMIFS('Daftar Koreksi'!$H$5:$H$92,'Daftar Koreksi'!$D$5:$D$92,'1200'!A136,'Daftar Koreksi'!$G$5:$G$92,"Tanah",'Daftar Koreksi'!$H$5:$H$92,"&gt;0")</f>
        <v>0</v>
      </c>
      <c r="F140" s="25">
        <f>SUMIFS('Daftar Koreksi'!$H$5:$H$92,'Daftar Koreksi'!$D$5:$D$92,'1200'!A136,'Daftar Koreksi'!$G$5:$G$92,"Tanah",'Daftar Koreksi'!$H$5:$H$92,"&lt;0")-SUMIFS('Daftar Koreksi'!$H$5:$H$92,'Daftar Koreksi'!$D$5:$D$92,'1200'!A136,'Daftar Koreksi'!$G$5:$G$92,"Tanah",'Daftar Koreksi'!$H$5:$H$92,"&lt;0")-SUMIFS('Daftar Koreksi'!$H$5:$H$92,'Daftar Koreksi'!$D$5:$D$92,'1200'!A136,'Daftar Koreksi'!$G$5:$G$92,"Tanah",'Daftar Koreksi'!$H$5:$H$92,"&lt;0")</f>
        <v>0</v>
      </c>
      <c r="G140" s="17">
        <f t="shared" ref="G140:G156" si="6">D140+E140-F140</f>
        <v>171000000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1226506448</v>
      </c>
      <c r="E141" s="25">
        <f>SUMIFS('Daftar Koreksi'!$H$5:$H$92,'Daftar Koreksi'!$D$5:$D$92,'1200'!A136,'Daftar Koreksi'!$G$5:$G$92,"Peralatan dan mesin",'Daftar Koreksi'!$H$5:$H$92,"&gt;0")</f>
        <v>0</v>
      </c>
      <c r="F141" s="25">
        <f>SUMIFS('Daftar Koreksi'!$H$5:$H$92,'Daftar Koreksi'!$D$5:$D$92,'1200'!A136,'Daftar Koreksi'!$G$5:$G$92,"Peralatan dan mesin",'Daftar Koreksi'!$H$5:$H$92,"&lt;0")-SUMIFS('Daftar Koreksi'!$H$5:$H$92,'Daftar Koreksi'!$D$5:$D$92,'1200'!A136,'Daftar Koreksi'!$G$5:$G$92,"Peralatan dan mesin",'Daftar Koreksi'!$H$5:$H$92,"&lt;0")-SUMIFS('Daftar Koreksi'!$H$5:$H$92,'Daftar Koreksi'!$D$5:$D$92,'1200'!A136,'Daftar Koreksi'!$G$5:$G$92,"Peralatan dan mesin",'Daftar Koreksi'!$H$5:$H$92,"&lt;0")</f>
        <v>0</v>
      </c>
      <c r="G141" s="17">
        <f t="shared" si="6"/>
        <v>1226506448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2360579000</v>
      </c>
      <c r="E142" s="25">
        <f>SUMIFS('Daftar Koreksi'!$H$5:$H$92,'Daftar Koreksi'!$D$5:$D$92,'1200'!A136,'Daftar Koreksi'!$G$5:$G$92,"Gedung dan Bangunan",'Daftar Koreksi'!$H$5:$H$92,"&gt;0")</f>
        <v>0</v>
      </c>
      <c r="F142" s="25">
        <f>SUMIFS('Daftar Koreksi'!$H$5:$H$92,'Daftar Koreksi'!$D$5:$D$92,'1200'!A136,'Daftar Koreksi'!$G$5:$G$92,"Gedung dan Bangunan",'Daftar Koreksi'!$H$5:$H$92,"&lt;0")-SUMIFS('Daftar Koreksi'!$H$5:$H$92,'Daftar Koreksi'!$D$5:$D$92,'1200'!A136,'Daftar Koreksi'!$G$5:$G$92,"Gedung dan Bangunan",'Daftar Koreksi'!$H$5:$H$92,"&lt;0")-SUMIFS('Daftar Koreksi'!$H$5:$H$92,'Daftar Koreksi'!$D$5:$D$92,'1200'!A136,'Daftar Koreksi'!$G$5:$G$92,"Gedung dan Bangunan",'Daftar Koreksi'!$H$5:$H$92,"&lt;0")</f>
        <v>0</v>
      </c>
      <c r="G142" s="17">
        <f t="shared" si="6"/>
        <v>2360579000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90050000</v>
      </c>
      <c r="E143" s="25">
        <f>SUMIFS('Daftar Koreksi'!$H$5:$H$92,'Daftar Koreksi'!$D$5:$D$92,'1200'!A136,'Daftar Koreksi'!$G$5:$G$92,"Jalan Irigasi Jaringan",'Daftar Koreksi'!$H$5:$H$92,"&gt;0")</f>
        <v>0</v>
      </c>
      <c r="F143" s="25">
        <f>SUMIFS('Daftar Koreksi'!$H$5:$H$92,'Daftar Koreksi'!$D$5:$D$92,'1200'!A136,'Daftar Koreksi'!$G$5:$G$92,"Jalan Irigasi Jaringan",'Daftar Koreksi'!$H$5:$H$92,"&lt;0")-SUMIFS('Daftar Koreksi'!$H$5:$H$92,'Daftar Koreksi'!$D$5:$D$92,'1200'!A136,'Daftar Koreksi'!$G$5:$G$92,"Jalan Irigasi Jaringan",'Daftar Koreksi'!$H$5:$H$92,"&lt;0")-SUMIFS('Daftar Koreksi'!$H$5:$H$92,'Daftar Koreksi'!$D$5:$D$92,'1200'!A136,'Daftar Koreksi'!$G$5:$G$92,"Jalan Irigasi Jaringan",'Daftar Koreksi'!$H$5:$H$92,"&lt;0")</f>
        <v>0</v>
      </c>
      <c r="G143" s="17">
        <f t="shared" si="6"/>
        <v>90050000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438000</v>
      </c>
      <c r="E144" s="25">
        <f>SUMIFS('Daftar Koreksi'!$H$5:$H$92,'Daftar Koreksi'!$D$5:$D$92,'1200'!A136,'Daftar Koreksi'!$G$5:$G$92,"Aset Tetap Lainnya",'Daftar Koreksi'!$H$5:$H$92,"&gt;0")</f>
        <v>0</v>
      </c>
      <c r="F144" s="25">
        <f>SUMIFS('Daftar Koreksi'!$H$5:$H$92,'Daftar Koreksi'!$D$5:$D$92,'1200'!A136,'Daftar Koreksi'!$G$5:$G$92,"Aset Tetap Lainnya",'Daftar Koreksi'!$H$5:$H$92,"&lt;0")-SUMIFS('Daftar Koreksi'!$H$5:$H$92,'Daftar Koreksi'!$D$5:$D$92,'1200'!A136,'Daftar Koreksi'!$G$5:$G$92,"Aset Tetap Lainnya",'Daftar Koreksi'!$H$5:$H$92,"&lt;0")-SUMIFS('Daftar Koreksi'!$H$5:$H$92,'Daftar Koreksi'!$D$5:$D$92,'1200'!A136,'Daftar Koreksi'!$G$5:$G$92,"Aset Tetap Lainnya",'Daftar Koreksi'!$H$5:$H$92,"&lt;0")</f>
        <v>0</v>
      </c>
      <c r="G144" s="17">
        <f t="shared" si="6"/>
        <v>438000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Koreksi'!$D$5:$D$92,'1200'!A136,'Daftar Koreksi'!$G$5:$G$92,"Kontruksi Dalam Pengerjaan",'Daftar Koreksi'!$H$5:$H$92,"&gt;0")</f>
        <v>0</v>
      </c>
      <c r="F145" s="25">
        <f>SUMIFS('Daftar Koreksi'!$H$5:$H$92,'Daftar Koreksi'!$D$5:$D$92,'1200'!A136,'Daftar Koreksi'!$G$5:$G$92,"Kontruksi Dalam Pengerjaan",'Daftar Koreksi'!$H$5:$H$92,"&lt;0")-SUMIFS('Daftar Koreksi'!$H$5:$H$92,'Daftar Koreksi'!$D$5:$D$92,'1200'!A136,'Daftar Koreksi'!$G$5:$G$92,"Kontruksi Dalam Pengerjaan",'Daftar Koreksi'!$H$5:$H$92,"&lt;0")-SUMIFS('Daftar Koreksi'!$H$5:$H$92,'Daftar Koreksi'!$D$5:$D$92,'1200'!A136,'Daftar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13000000</v>
      </c>
      <c r="E146" s="25">
        <f>SUMIFS('Daftar Koreksi'!$H$5:$H$92,'Daftar Koreksi'!$D$5:$D$92,'1200'!A136,'Daftar Koreksi'!$G$5:$G$92,"Aset Tak Berwujud",'Daftar Koreksi'!$H$5:$H$92,"&gt;0")</f>
        <v>0</v>
      </c>
      <c r="F146" s="25">
        <f>SUMIFS('Daftar Koreksi'!$H$5:$H$92,'Daftar Koreksi'!$D$5:$D$92,'1200'!A136,'Daftar Koreksi'!$G$5:$G$92,"Aset Tak Berwujud",'Daftar Koreksi'!$H$5:$H$92,"&lt;0")-SUMIFS('Daftar Koreksi'!$H$5:$H$92,'Daftar Koreksi'!$D$5:$D$92,'1200'!A136,'Daftar Koreksi'!$G$5:$G$92,"Aset Tak Berwujud",'Daftar Koreksi'!$H$5:$H$92,"&lt;0")-SUMIFS('Daftar Koreksi'!$H$5:$H$92,'Daftar Koreksi'!$D$5:$D$92,'1200'!A136,'Daftar Koreksi'!$G$5:$G$92,"Aset Tak Berwujud",'Daftar Koreksi'!$H$5:$H$92,"&lt;0")</f>
        <v>0</v>
      </c>
      <c r="G146" s="17">
        <f t="shared" si="6"/>
        <v>13000000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Koreksi'!$D$5:$D$92,'1200'!A136,'Daftar Koreksi'!$G$5:$G$92,"Aset Henti Guna",'Daftar Koreksi'!$H$5:$H$92,"&gt;0")</f>
        <v>0</v>
      </c>
      <c r="F147" s="25">
        <f>SUMIFS('Daftar Koreksi'!$H$5:$H$92,'Daftar Koreksi'!$D$5:$D$92,'1200'!A136,'Daftar Koreksi'!$G$5:$G$92,"Aset Henti Guna",'Daftar Koreksi'!$H$5:$H$92,"&lt;0")-SUMIFS('Daftar Koreksi'!$H$5:$H$92,'Daftar Koreksi'!$D$5:$D$92,'1200'!A136,'Daftar Koreksi'!$G$5:$G$92,"Aset Henti Guna",'Daftar Koreksi'!$H$5:$H$92,"&lt;0")-SUMIFS('Daftar Koreksi'!$H$5:$H$92,'Daftar Koreksi'!$D$5:$D$92,'1200'!A136,'Daftar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3861872448</v>
      </c>
      <c r="E148" s="19">
        <f>SUM(E139:E147)</f>
        <v>0</v>
      </c>
      <c r="F148" s="19">
        <f>SUM(F139:F147)</f>
        <v>0</v>
      </c>
      <c r="G148" s="19">
        <f t="shared" si="6"/>
        <v>3861872448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-951775945</v>
      </c>
      <c r="E149" s="25">
        <f>SUMIFS('Daftar Koreksi'!$I$5:$I$92,'Daftar Koreksi'!$D$5:$D$92,'1200'!A136,'Daftar Koreksi'!$G$5:$G$92,"Peralatan dan mesin",'Daftar Koreksi'!$I$5:$I$92,"&gt;0")</f>
        <v>0</v>
      </c>
      <c r="F149" s="25">
        <f>SUMIFS('Daftar Koreksi'!$I$5:$I$92,'Daftar Koreksi'!$D$5:$D$92,'1200'!A136,'Daftar Koreksi'!$G$5:$G$92,"Peralatan dan mesin",'Daftar Koreksi'!$I$5:$I$92,"&lt;0")-SUMIFS('Daftar Koreksi'!$I$5:$I$92,'Daftar Koreksi'!$D$5:$D$92,'1200'!A136,'Daftar Koreksi'!$G$5:$G$92,"Peralatan dan mesin",'Daftar Koreksi'!$I$5:$I$92,"&lt;0")-SUMIFS('Daftar Koreksi'!$I$5:$I$92,'Daftar Koreksi'!$D$5:$D$92,'1200'!A136,'Daftar Koreksi'!$G$5:$G$92,"Peralatan dan mesin",'Daftar Koreksi'!$I$5:$I$92,"&lt;0")</f>
        <v>0</v>
      </c>
      <c r="G149" s="17">
        <f t="shared" si="6"/>
        <v>-951775945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-304466690</v>
      </c>
      <c r="E150" s="25">
        <f>SUMIFS('Daftar Koreksi'!$I$5:$I$92,'Daftar Koreksi'!$D$5:$D$92,'1200'!A136,'Daftar Koreksi'!$G$5:$G$92,"Gedung dan Bangunan",'Daftar Koreksi'!$I$5:$I$92,"&gt;0")</f>
        <v>0</v>
      </c>
      <c r="F150" s="25">
        <f>SUMIFS('Daftar Koreksi'!$I$5:$I$92,'Daftar Koreksi'!$D$5:$D$92,'1200'!A136,'Daftar Koreksi'!$G$5:$G$92,"Gedung dan Bangunan",'Daftar Koreksi'!$I$5:$I$92,"&lt;0")-SUMIFS('Daftar Koreksi'!$I$5:$I$92,'Daftar Koreksi'!$D$5:$D$92,'1200'!A136,'Daftar Koreksi'!$G$5:$G$92,"Gedung dan Bangunan",'Daftar Koreksi'!$I$5:$I$92,"&lt;0")-SUMIFS('Daftar Koreksi'!$I$5:$I$92,'Daftar Koreksi'!$D$5:$D$92,'1200'!A136,'Daftar Koreksi'!$G$5:$G$92,"Gedung dan Bangunan",'Daftar Koreksi'!$I$5:$I$92,"&lt;0")</f>
        <v>0</v>
      </c>
      <c r="G150" s="17">
        <f t="shared" si="6"/>
        <v>-304466690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-31353335</v>
      </c>
      <c r="E151" s="25">
        <f>SUMIFS('Daftar Koreksi'!$I$5:$I$92,'Daftar Koreksi'!$D$5:$D$92,'1200'!A136,'Daftar Koreksi'!$G$5:$G$92,"Jalan Irigasi Jaringan",'Daftar Koreksi'!$I$5:$I$92,"&gt;0")</f>
        <v>0</v>
      </c>
      <c r="F151" s="25">
        <f>SUMIFS('Daftar Koreksi'!$I$5:$I$92,'Daftar Koreksi'!$D$5:$D$92,'1200'!A136,'Daftar Koreksi'!$G$5:$G$92,"Jalan Irigasi Jaringan",'Daftar Koreksi'!$I$5:$I$92,"&lt;0")-SUMIFS('Daftar Koreksi'!$I$5:$I$92,'Daftar Koreksi'!$D$5:$D$92,'1200'!A136,'Daftar Koreksi'!$G$5:$G$92,"Jalan Irigasi Jaringan",'Daftar Koreksi'!$I$5:$I$92,"&lt;0")-SUMIFS('Daftar Koreksi'!$I$5:$I$92,'Daftar Koreksi'!$D$5:$D$92,'1200'!A136,'Daftar Koreksi'!$G$5:$G$92,"Jalan Irigasi Jaringan",'Daftar Koreksi'!$I$5:$I$92,"&lt;0")</f>
        <v>0</v>
      </c>
      <c r="G151" s="17">
        <f t="shared" si="6"/>
        <v>-31353335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Koreksi'!$D$5:$D$92,'1200'!A136,'Daftar Koreksi'!$G$5:$G$92,"Aset Tetap Lainnya",'Daftar Koreksi'!$I$5:$I$92,"&gt;0")</f>
        <v>0</v>
      </c>
      <c r="F152" s="25">
        <f>SUMIFS('Daftar Koreksi'!$I$5:$I$92,'Daftar Koreksi'!$D$5:$D$92,'1200'!A136,'Daftar Koreksi'!$G$5:$G$92,"Aset Tetap Lainnya",'Daftar Koreksi'!$I$5:$I$92,"&lt;0")-SUMIFS('Daftar Koreksi'!$I$5:$I$92,'Daftar Koreksi'!$D$5:$D$92,'1200'!A136,'Daftar Koreksi'!$G$5:$G$92,"Aset Tetap Lainnya",'Daftar Koreksi'!$I$5:$I$92,"&lt;0")-SUMIFS('Daftar Koreksi'!$I$5:$I$92,'Daftar Koreksi'!$D$5:$D$92,'1200'!A136,'Daftar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Koreksi'!$D$5:$D$92,'1200'!A136,'Daftar Koreksi'!$G$5:$G$92,"Aset Henti Guna",'Daftar Koreksi'!$I$5:$I$92,"&gt;0")</f>
        <v>0</v>
      </c>
      <c r="F153" s="25">
        <f>SUMIFS('Daftar Koreksi'!$I$5:$I$92,'Daftar Koreksi'!$D$5:$D$92,'1200'!A136,'Daftar Koreksi'!$G$5:$G$92,"Aset Henti Guna",'Daftar Koreksi'!$I$5:$I$92,"&lt;0")-SUMIFS('Daftar Koreksi'!$I$5:$I$92,'Daftar Koreksi'!$D$5:$D$92,'1200'!A136,'Daftar Koreksi'!$G$5:$G$92,"Aset Henti Guna",'Daftar Koreksi'!$I$5:$I$92,"&lt;0")-SUMIFS('Daftar Koreksi'!$I$5:$I$92,'Daftar Koreksi'!$D$5:$D$92,'1200'!A136,'Daftar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-1287595970</v>
      </c>
      <c r="E154" s="19">
        <f>SUM(E149:E153)</f>
        <v>0</v>
      </c>
      <c r="F154" s="19">
        <f>SUM(F149:F153)</f>
        <v>0</v>
      </c>
      <c r="G154" s="19">
        <f t="shared" si="6"/>
        <v>-1287595970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2574276478</v>
      </c>
      <c r="E155" s="19">
        <f>E154+E148</f>
        <v>0</v>
      </c>
      <c r="F155" s="19">
        <f>F154+F148</f>
        <v>0</v>
      </c>
      <c r="G155" s="19">
        <f t="shared" si="6"/>
        <v>2574276478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005011200402349000KD</v>
      </c>
      <c r="B158" s="11" t="str">
        <f>P8</f>
        <v>PA. Kota Bumi</v>
      </c>
      <c r="C158" s="12" t="str">
        <f>A158&amp;" "&amp;B158</f>
        <v>005011200402349000KD PA. Kota Bumi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10" ht="21.95" customHeight="1">
      <c r="A161" s="14"/>
      <c r="B161" s="14"/>
      <c r="C161" s="16" t="s">
        <v>1165</v>
      </c>
      <c r="D161" s="17">
        <f>VLOOKUP(A158,'Neraca Unaudited SIMAK'!$A$2:$S$10004,3,FALSE)</f>
        <v>171000</v>
      </c>
      <c r="E161" s="25">
        <f>SUMIFS('Daftar Koreksi'!$H$5:$H$92,'Daftar Koreksi'!$D$5:$D$92,'1200'!A158,'Daftar Koreksi'!$G$5:$G$92,"Persediaan",'Daftar Koreksi'!$H$5:$H$92,"&gt;0")</f>
        <v>0</v>
      </c>
      <c r="F161" s="25">
        <f>SUMIFS('Daftar Koreksi'!$H$5:$H$92,'Daftar Koreksi'!$D$5:$D$92,'1200'!A158,'Daftar Koreksi'!$G$5:$G$92,"Persediaan",'Daftar Koreksi'!$H$5:$H$92,"&lt;0")-SUMIFS('Daftar Koreksi'!$H$5:$H$92,'Daftar Koreksi'!$D$5:$D$92,'1200'!A158,'Daftar Koreksi'!$G$5:$G$92,"Persediaan",'Daftar Koreksi'!$H$5:$H$92,"&lt;0")-SUMIFS('Daftar Koreksi'!$H$5:$H$92,'Daftar Koreksi'!$D$5:$D$92,'1200'!A158,'Daftar Koreksi'!$G$5:$G$92,"Persediaan",'Daftar Koreksi'!$H$5:$H$92,"&lt;0")</f>
        <v>0</v>
      </c>
      <c r="G161" s="17">
        <f>D161+E161-F161</f>
        <v>171000</v>
      </c>
      <c r="H161" s="121" t="str">
        <f>IF(ISNA(VLOOKUP(A158,'Mutasi Neraca'!$A$3:$S$914,19,FALSE)),"-",VLOOKUP(A158,'Mutasi Neraca'!$A$3:$S$914,19,FALSE))</f>
        <v>-</v>
      </c>
      <c r="I161" s="28"/>
      <c r="J161" s="28"/>
    </row>
    <row r="162" spans="1:10" ht="21.95" customHeight="1">
      <c r="A162" s="14"/>
      <c r="B162" s="14"/>
      <c r="C162" s="16" t="s">
        <v>1166</v>
      </c>
      <c r="D162" s="17">
        <f>VLOOKUP(A158,'Neraca Unaudited SIMAK'!$A$2:$S$10004,4,FALSE)</f>
        <v>365190000</v>
      </c>
      <c r="E162" s="25">
        <f>SUMIFS('Daftar Koreksi'!$H$5:$H$92,'Daftar Koreksi'!$D$5:$D$92,'1200'!A158,'Daftar Koreksi'!$G$5:$G$92,"Tanah",'Daftar Koreksi'!$H$5:$H$92,"&gt;0")</f>
        <v>0</v>
      </c>
      <c r="F162" s="25">
        <f>SUMIFS('Daftar Koreksi'!$H$5:$H$92,'Daftar Koreksi'!$D$5:$D$92,'1200'!A158,'Daftar Koreksi'!$G$5:$G$92,"Tanah",'Daftar Koreksi'!$H$5:$H$92,"&lt;0")-SUMIFS('Daftar Koreksi'!$H$5:$H$92,'Daftar Koreksi'!$D$5:$D$92,'1200'!A158,'Daftar Koreksi'!$G$5:$G$92,"Tanah",'Daftar Koreksi'!$H$5:$H$92,"&lt;0")-SUMIFS('Daftar Koreksi'!$H$5:$H$92,'Daftar Koreksi'!$D$5:$D$92,'1200'!A158,'Daftar Koreksi'!$G$5:$G$92,"Tanah",'Daftar Koreksi'!$H$5:$H$92,"&lt;0")</f>
        <v>0</v>
      </c>
      <c r="G162" s="17">
        <f t="shared" ref="G162:G178" si="7">D162+E162-F162</f>
        <v>365190000</v>
      </c>
      <c r="H162" s="122"/>
      <c r="I162" s="28"/>
      <c r="J162" s="28"/>
    </row>
    <row r="163" spans="1:10" ht="21.95" customHeight="1">
      <c r="A163" s="14"/>
      <c r="B163" s="14"/>
      <c r="C163" s="16" t="s">
        <v>1167</v>
      </c>
      <c r="D163" s="17">
        <f>VLOOKUP(A158,'Neraca Unaudited SIMAK'!$A$2:$S$10004,5,FALSE)</f>
        <v>1226786003</v>
      </c>
      <c r="E163" s="25">
        <f>SUMIFS('Daftar Koreksi'!$H$5:$H$92,'Daftar Koreksi'!$D$5:$D$92,'1200'!A158,'Daftar Koreksi'!$G$5:$G$92,"Peralatan dan mesin",'Daftar Koreksi'!$H$5:$H$92,"&gt;0")</f>
        <v>0</v>
      </c>
      <c r="F163" s="25">
        <f>SUMIFS('Daftar Koreksi'!$H$5:$H$92,'Daftar Koreksi'!$D$5:$D$92,'1200'!A158,'Daftar Koreksi'!$G$5:$G$92,"Peralatan dan mesin",'Daftar Koreksi'!$H$5:$H$92,"&lt;0")-SUMIFS('Daftar Koreksi'!$H$5:$H$92,'Daftar Koreksi'!$D$5:$D$92,'1200'!A158,'Daftar Koreksi'!$G$5:$G$92,"Peralatan dan mesin",'Daftar Koreksi'!$H$5:$H$92,"&lt;0")-SUMIFS('Daftar Koreksi'!$H$5:$H$92,'Daftar Koreksi'!$D$5:$D$92,'1200'!A158,'Daftar Koreksi'!$G$5:$G$92,"Peralatan dan mesin",'Daftar Koreksi'!$H$5:$H$92,"&lt;0")</f>
        <v>0</v>
      </c>
      <c r="G163" s="17">
        <f t="shared" si="7"/>
        <v>1226786003</v>
      </c>
      <c r="H163" s="122"/>
      <c r="I163" s="28"/>
      <c r="J163" s="28"/>
    </row>
    <row r="164" spans="1:10" ht="21.95" customHeight="1">
      <c r="A164" s="14"/>
      <c r="B164" s="14"/>
      <c r="C164" s="16" t="s">
        <v>1168</v>
      </c>
      <c r="D164" s="17">
        <f>VLOOKUP(A158,'Neraca Unaudited SIMAK'!$A$2:$S$10004,6,FALSE)</f>
        <v>1421697309</v>
      </c>
      <c r="E164" s="25">
        <f>SUMIFS('Daftar Koreksi'!$H$5:$H$92,'Daftar Koreksi'!$D$5:$D$92,'1200'!A158,'Daftar Koreksi'!$G$5:$G$92,"Gedung dan Bangunan",'Daftar Koreksi'!$H$5:$H$92,"&gt;0")</f>
        <v>0</v>
      </c>
      <c r="F164" s="25">
        <f>SUMIFS('Daftar Koreksi'!$H$5:$H$92,'Daftar Koreksi'!$D$5:$D$92,'1200'!A158,'Daftar Koreksi'!$G$5:$G$92,"Gedung dan Bangunan",'Daftar Koreksi'!$H$5:$H$92,"&lt;0")-SUMIFS('Daftar Koreksi'!$H$5:$H$92,'Daftar Koreksi'!$D$5:$D$92,'1200'!A158,'Daftar Koreksi'!$G$5:$G$92,"Gedung dan Bangunan",'Daftar Koreksi'!$H$5:$H$92,"&lt;0")-SUMIFS('Daftar Koreksi'!$H$5:$H$92,'Daftar Koreksi'!$D$5:$D$92,'1200'!A158,'Daftar Koreksi'!$G$5:$G$92,"Gedung dan Bangunan",'Daftar Koreksi'!$H$5:$H$92,"&lt;0")</f>
        <v>0</v>
      </c>
      <c r="G164" s="17">
        <f t="shared" si="7"/>
        <v>1421697309</v>
      </c>
      <c r="H164" s="122"/>
      <c r="I164" s="28"/>
      <c r="J164" s="28"/>
    </row>
    <row r="165" spans="1:10" ht="21.95" customHeight="1">
      <c r="A165" s="14"/>
      <c r="B165" s="14"/>
      <c r="C165" s="16" t="s">
        <v>1169</v>
      </c>
      <c r="D165" s="17">
        <f>VLOOKUP(A158,'Neraca Unaudited SIMAK'!$A$2:$S$10004,7,FALSE)</f>
        <v>39229964</v>
      </c>
      <c r="E165" s="25">
        <f>SUMIFS('Daftar Koreksi'!$H$5:$H$92,'Daftar Koreksi'!$D$5:$D$92,'1200'!A158,'Daftar Koreksi'!$G$5:$G$92,"Jalan Irigasi Jaringan",'Daftar Koreksi'!$H$5:$H$92,"&gt;0")</f>
        <v>0</v>
      </c>
      <c r="F165" s="25">
        <f>SUMIFS('Daftar Koreksi'!$H$5:$H$92,'Daftar Koreksi'!$D$5:$D$92,'1200'!A158,'Daftar Koreksi'!$G$5:$G$92,"Jalan Irigasi Jaringan",'Daftar Koreksi'!$H$5:$H$92,"&lt;0")-SUMIFS('Daftar Koreksi'!$H$5:$H$92,'Daftar Koreksi'!$D$5:$D$92,'1200'!A158,'Daftar Koreksi'!$G$5:$G$92,"Jalan Irigasi Jaringan",'Daftar Koreksi'!$H$5:$H$92,"&lt;0")-SUMIFS('Daftar Koreksi'!$H$5:$H$92,'Daftar Koreksi'!$D$5:$D$92,'1200'!A158,'Daftar Koreksi'!$G$5:$G$92,"Jalan Irigasi Jaringan",'Daftar Koreksi'!$H$5:$H$92,"&lt;0")</f>
        <v>0</v>
      </c>
      <c r="G165" s="17">
        <f t="shared" si="7"/>
        <v>39229964</v>
      </c>
      <c r="H165" s="122"/>
      <c r="I165" s="28"/>
      <c r="J165" s="28"/>
    </row>
    <row r="166" spans="1:10" ht="21.95" customHeight="1">
      <c r="A166" s="14"/>
      <c r="B166" s="14"/>
      <c r="C166" s="16" t="s">
        <v>1170</v>
      </c>
      <c r="D166" s="17">
        <f>VLOOKUP(A158,'Neraca Unaudited SIMAK'!$A$2:$S$10004,8,FALSE)</f>
        <v>3266678</v>
      </c>
      <c r="E166" s="25">
        <f>SUMIFS('Daftar Koreksi'!$H$5:$H$92,'Daftar Koreksi'!$D$5:$D$92,'1200'!A158,'Daftar Koreksi'!$G$5:$G$92,"Aset Tetap Lainnya",'Daftar Koreksi'!$H$5:$H$92,"&gt;0")</f>
        <v>0</v>
      </c>
      <c r="F166" s="25">
        <f>SUMIFS('Daftar Koreksi'!$H$5:$H$92,'Daftar Koreksi'!$D$5:$D$92,'1200'!A158,'Daftar Koreksi'!$G$5:$G$92,"Aset Tetap Lainnya",'Daftar Koreksi'!$H$5:$H$92,"&lt;0")-SUMIFS('Daftar Koreksi'!$H$5:$H$92,'Daftar Koreksi'!$D$5:$D$92,'1200'!A158,'Daftar Koreksi'!$G$5:$G$92,"Aset Tetap Lainnya",'Daftar Koreksi'!$H$5:$H$92,"&lt;0")-SUMIFS('Daftar Koreksi'!$H$5:$H$92,'Daftar Koreksi'!$D$5:$D$92,'1200'!A158,'Daftar Koreksi'!$G$5:$G$92,"Aset Tetap Lainnya",'Daftar Koreksi'!$H$5:$H$92,"&lt;0")</f>
        <v>0</v>
      </c>
      <c r="G166" s="17">
        <f t="shared" si="7"/>
        <v>3266678</v>
      </c>
      <c r="H166" s="122"/>
      <c r="I166" s="28"/>
      <c r="J166" s="28"/>
    </row>
    <row r="167" spans="1:10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Koreksi'!$D$5:$D$92,'1200'!A158,'Daftar Koreksi'!$G$5:$G$92,"Kontruksi Dalam Pengerjaan",'Daftar Koreksi'!$H$5:$H$92,"&gt;0")</f>
        <v>0</v>
      </c>
      <c r="F167" s="25">
        <f>SUMIFS('Daftar Koreksi'!$H$5:$H$92,'Daftar Koreksi'!$D$5:$D$92,'1200'!A158,'Daftar Koreksi'!$G$5:$G$92,"Kontruksi Dalam Pengerjaan",'Daftar Koreksi'!$H$5:$H$92,"&lt;0")-SUMIFS('Daftar Koreksi'!$H$5:$H$92,'Daftar Koreksi'!$D$5:$D$92,'1200'!A158,'Daftar Koreksi'!$G$5:$G$92,"Kontruksi Dalam Pengerjaan",'Daftar Koreksi'!$H$5:$H$92,"&lt;0")-SUMIFS('Daftar Koreksi'!$H$5:$H$92,'Daftar Koreksi'!$D$5:$D$92,'1200'!A158,'Daftar Koreksi'!$G$5:$G$92,"Kontruksi Dalam Pengerjaan",'Daftar Koreksi'!$H$5:$H$92,"&lt;0")</f>
        <v>0</v>
      </c>
      <c r="G167" s="17">
        <f t="shared" si="7"/>
        <v>0</v>
      </c>
      <c r="H167" s="122"/>
      <c r="I167" s="28"/>
      <c r="J167" s="28"/>
    </row>
    <row r="168" spans="1:10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Koreksi'!$D$5:$D$92,'1200'!A158,'Daftar Koreksi'!$G$5:$G$92,"Aset Tak Berwujud",'Daftar Koreksi'!$H$5:$H$92,"&gt;0")</f>
        <v>0</v>
      </c>
      <c r="F168" s="25">
        <f>SUMIFS('Daftar Koreksi'!$H$5:$H$92,'Daftar Koreksi'!$D$5:$D$92,'1200'!A158,'Daftar Koreksi'!$G$5:$G$92,"Aset Tak Berwujud",'Daftar Koreksi'!$H$5:$H$92,"&lt;0")-SUMIFS('Daftar Koreksi'!$H$5:$H$92,'Daftar Koreksi'!$D$5:$D$92,'1200'!A158,'Daftar Koreksi'!$G$5:$G$92,"Aset Tak Berwujud",'Daftar Koreksi'!$H$5:$H$92,"&lt;0")-SUMIFS('Daftar Koreksi'!$H$5:$H$92,'Daftar Koreksi'!$D$5:$D$92,'1200'!A158,'Daftar Koreksi'!$G$5:$G$92,"Aset Tak Berwujud",'Daftar Koreksi'!$H$5:$H$92,"&lt;0")</f>
        <v>0</v>
      </c>
      <c r="G168" s="17">
        <f t="shared" si="7"/>
        <v>0</v>
      </c>
      <c r="H168" s="122"/>
      <c r="I168" s="28"/>
      <c r="J168" s="28"/>
    </row>
    <row r="169" spans="1:10" ht="21.95" customHeight="1">
      <c r="A169" s="14"/>
      <c r="B169" s="14"/>
      <c r="C169" s="16" t="s">
        <v>1173</v>
      </c>
      <c r="D169" s="17">
        <f>VLOOKUP(A158,'Neraca Unaudited SIMAK'!$A$2:$S$10004,11,FALSE)</f>
        <v>166448333</v>
      </c>
      <c r="E169" s="25">
        <f>SUMIFS('Daftar Koreksi'!$H$5:$H$92,'Daftar Koreksi'!$D$5:$D$92,'1200'!A158,'Daftar Koreksi'!$G$5:$G$92,"Aset Henti Guna",'Daftar Koreksi'!$H$5:$H$92,"&gt;0")</f>
        <v>0</v>
      </c>
      <c r="F169" s="25">
        <f>SUMIFS('Daftar Koreksi'!$H$5:$H$92,'Daftar Koreksi'!$D$5:$D$92,'1200'!A158,'Daftar Koreksi'!$G$5:$G$92,"Aset Henti Guna",'Daftar Koreksi'!$H$5:$H$92,"&lt;0")-SUMIFS('Daftar Koreksi'!$H$5:$H$92,'Daftar Koreksi'!$D$5:$D$92,'1200'!A158,'Daftar Koreksi'!$G$5:$G$92,"Aset Henti Guna",'Daftar Koreksi'!$H$5:$H$92,"&lt;0")-SUMIFS('Daftar Koreksi'!$H$5:$H$92,'Daftar Koreksi'!$D$5:$D$92,'1200'!A158,'Daftar Koreksi'!$G$5:$G$92,"Aset Henti Guna",'Daftar Koreksi'!$H$5:$H$92,"&lt;0")</f>
        <v>0</v>
      </c>
      <c r="G169" s="17">
        <f t="shared" si="7"/>
        <v>166448333</v>
      </c>
      <c r="H169" s="122"/>
      <c r="I169" s="28"/>
      <c r="J169" s="28"/>
    </row>
    <row r="170" spans="1:10" ht="21.95" customHeight="1">
      <c r="A170" s="14"/>
      <c r="B170" s="14"/>
      <c r="C170" s="18" t="s">
        <v>2093</v>
      </c>
      <c r="D170" s="19">
        <f>VLOOKUP(A158,'Neraca Unaudited SIMAK'!$A$2:$S$10004,12,FALSE)</f>
        <v>3222789287</v>
      </c>
      <c r="E170" s="19">
        <f>SUM(E161:E169)</f>
        <v>0</v>
      </c>
      <c r="F170" s="19">
        <f>SUM(F161:F169)</f>
        <v>0</v>
      </c>
      <c r="G170" s="19">
        <f t="shared" si="7"/>
        <v>3222789287</v>
      </c>
      <c r="H170" s="122"/>
      <c r="I170" s="28"/>
      <c r="J170" s="28"/>
    </row>
    <row r="171" spans="1:10" ht="21.95" customHeight="1">
      <c r="A171" s="14"/>
      <c r="B171" s="14"/>
      <c r="C171" s="16" t="s">
        <v>2087</v>
      </c>
      <c r="D171" s="17">
        <f>VLOOKUP(A158,'Neraca Unaudited SIMAK'!$A$2:$S$10004,13,FALSE)</f>
        <v>-981376333</v>
      </c>
      <c r="E171" s="25">
        <f>SUMIFS('Daftar Koreksi'!$I$5:$I$92,'Daftar Koreksi'!$D$5:$D$92,'1200'!A158,'Daftar Koreksi'!$G$5:$G$92,"Peralatan dan mesin",'Daftar Koreksi'!$I$5:$I$92,"&gt;0")</f>
        <v>0</v>
      </c>
      <c r="F171" s="25">
        <f>SUMIFS('Daftar Koreksi'!$I$5:$I$92,'Daftar Koreksi'!$D$5:$D$92,'1200'!A158,'Daftar Koreksi'!$G$5:$G$92,"Peralatan dan mesin",'Daftar Koreksi'!$I$5:$I$92,"&lt;0")-SUMIFS('Daftar Koreksi'!$I$5:$I$92,'Daftar Koreksi'!$D$5:$D$92,'1200'!A158,'Daftar Koreksi'!$G$5:$G$92,"Peralatan dan mesin",'Daftar Koreksi'!$I$5:$I$92,"&lt;0")-SUMIFS('Daftar Koreksi'!$I$5:$I$92,'Daftar Koreksi'!$D$5:$D$92,'1200'!A158,'Daftar Koreksi'!$G$5:$G$92,"Peralatan dan mesin",'Daftar Koreksi'!$I$5:$I$92,"&lt;0")</f>
        <v>0</v>
      </c>
      <c r="G171" s="17">
        <f t="shared" si="7"/>
        <v>-981376333</v>
      </c>
      <c r="H171" s="122"/>
      <c r="I171" s="28"/>
      <c r="J171" s="28"/>
    </row>
    <row r="172" spans="1:10" ht="21.95" customHeight="1">
      <c r="A172" s="14"/>
      <c r="B172" s="14"/>
      <c r="C172" s="16" t="s">
        <v>2088</v>
      </c>
      <c r="D172" s="17">
        <f>VLOOKUP(A158,'Neraca Unaudited SIMAK'!$A$2:$S$10004,14,FALSE)</f>
        <v>-267402373</v>
      </c>
      <c r="E172" s="25">
        <f>SUMIFS('Daftar Koreksi'!$I$5:$I$92,'Daftar Koreksi'!$D$5:$D$92,'1200'!A158,'Daftar Koreksi'!$G$5:$G$92,"Gedung dan Bangunan",'Daftar Koreksi'!$I$5:$I$92,"&gt;0")</f>
        <v>0</v>
      </c>
      <c r="F172" s="25">
        <f>SUMIFS('Daftar Koreksi'!$I$5:$I$92,'Daftar Koreksi'!$D$5:$D$92,'1200'!A158,'Daftar Koreksi'!$G$5:$G$92,"Gedung dan Bangunan",'Daftar Koreksi'!$I$5:$I$92,"&lt;0")-SUMIFS('Daftar Koreksi'!$I$5:$I$92,'Daftar Koreksi'!$D$5:$D$92,'1200'!A158,'Daftar Koreksi'!$G$5:$G$92,"Gedung dan Bangunan",'Daftar Koreksi'!$I$5:$I$92,"&lt;0")-SUMIFS('Daftar Koreksi'!$I$5:$I$92,'Daftar Koreksi'!$D$5:$D$92,'1200'!A158,'Daftar Koreksi'!$G$5:$G$92,"Gedung dan Bangunan",'Daftar Koreksi'!$I$5:$I$92,"&lt;0")</f>
        <v>0</v>
      </c>
      <c r="G172" s="17">
        <f t="shared" si="7"/>
        <v>-267402373</v>
      </c>
      <c r="H172" s="122"/>
      <c r="I172" s="28"/>
      <c r="J172" s="28"/>
    </row>
    <row r="173" spans="1:10" ht="21.95" customHeight="1">
      <c r="A173" s="14"/>
      <c r="B173" s="14"/>
      <c r="C173" s="16" t="s">
        <v>2089</v>
      </c>
      <c r="D173" s="17">
        <f>VLOOKUP(A158,'Neraca Unaudited SIMAK'!$A$2:$S$10004,15,FALSE)</f>
        <v>-39229964</v>
      </c>
      <c r="E173" s="25">
        <f>SUMIFS('Daftar Koreksi'!$I$5:$I$92,'Daftar Koreksi'!$D$5:$D$92,'1200'!A158,'Daftar Koreksi'!$G$5:$G$92,"Jalan Irigasi Jaringan",'Daftar Koreksi'!$I$5:$I$92,"&gt;0")</f>
        <v>0</v>
      </c>
      <c r="F173" s="25">
        <f>SUMIFS('Daftar Koreksi'!$I$5:$I$92,'Daftar Koreksi'!$D$5:$D$92,'1200'!A158,'Daftar Koreksi'!$G$5:$G$92,"Jalan Irigasi Jaringan",'Daftar Koreksi'!$I$5:$I$92,"&lt;0")-SUMIFS('Daftar Koreksi'!$I$5:$I$92,'Daftar Koreksi'!$D$5:$D$92,'1200'!A158,'Daftar Koreksi'!$G$5:$G$92,"Jalan Irigasi Jaringan",'Daftar Koreksi'!$I$5:$I$92,"&lt;0")-SUMIFS('Daftar Koreksi'!$I$5:$I$92,'Daftar Koreksi'!$D$5:$D$92,'1200'!A158,'Daftar Koreksi'!$G$5:$G$92,"Jalan Irigasi Jaringan",'Daftar Koreksi'!$I$5:$I$92,"&lt;0")</f>
        <v>0</v>
      </c>
      <c r="G173" s="17">
        <f t="shared" si="7"/>
        <v>-39229964</v>
      </c>
      <c r="H173" s="122"/>
      <c r="I173" s="28"/>
      <c r="J173" s="28"/>
    </row>
    <row r="174" spans="1:10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Koreksi'!$D$5:$D$92,'1200'!A158,'Daftar Koreksi'!$G$5:$G$92,"Aset Tetap Lainnya",'Daftar Koreksi'!$I$5:$I$92,"&gt;0")</f>
        <v>0</v>
      </c>
      <c r="F174" s="25">
        <f>SUMIFS('Daftar Koreksi'!$I$5:$I$92,'Daftar Koreksi'!$D$5:$D$92,'1200'!A158,'Daftar Koreksi'!$G$5:$G$92,"Aset Tetap Lainnya",'Daftar Koreksi'!$I$5:$I$92,"&lt;0")-SUMIFS('Daftar Koreksi'!$I$5:$I$92,'Daftar Koreksi'!$D$5:$D$92,'1200'!A158,'Daftar Koreksi'!$G$5:$G$92,"Aset Tetap Lainnya",'Daftar Koreksi'!$I$5:$I$92,"&lt;0")-SUMIFS('Daftar Koreksi'!$I$5:$I$92,'Daftar Koreksi'!$D$5:$D$92,'1200'!A158,'Daftar Koreksi'!$G$5:$G$92,"Aset Tetap Lainnya",'Daftar Koreksi'!$I$5:$I$92,"&lt;0")</f>
        <v>0</v>
      </c>
      <c r="G174" s="17">
        <f t="shared" si="7"/>
        <v>0</v>
      </c>
      <c r="H174" s="122"/>
      <c r="I174" s="28"/>
      <c r="J174" s="28"/>
    </row>
    <row r="175" spans="1:10" ht="21.95" customHeight="1">
      <c r="A175" s="14"/>
      <c r="B175" s="14"/>
      <c r="C175" s="16" t="s">
        <v>2020</v>
      </c>
      <c r="D175" s="17">
        <f>VLOOKUP(A158,'Neraca Unaudited SIMAK'!$A$2:$S$10004,17,FALSE)</f>
        <v>-105048333</v>
      </c>
      <c r="E175" s="25">
        <f>SUMIFS('Daftar Koreksi'!$I$5:$I$92,'Daftar Koreksi'!$D$5:$D$92,'1200'!A158,'Daftar Koreksi'!$G$5:$G$92,"Aset Henti Guna",'Daftar Koreksi'!$I$5:$I$92,"&gt;0")</f>
        <v>0</v>
      </c>
      <c r="F175" s="25">
        <f>SUMIFS('Daftar Koreksi'!$I$5:$I$92,'Daftar Koreksi'!$D$5:$D$92,'1200'!A158,'Daftar Koreksi'!$G$5:$G$92,"Aset Henti Guna",'Daftar Koreksi'!$I$5:$I$92,"&lt;0")-SUMIFS('Daftar Koreksi'!$I$5:$I$92,'Daftar Koreksi'!$D$5:$D$92,'1200'!A158,'Daftar Koreksi'!$G$5:$G$92,"Aset Henti Guna",'Daftar Koreksi'!$I$5:$I$92,"&lt;0")-SUMIFS('Daftar Koreksi'!$I$5:$I$92,'Daftar Koreksi'!$D$5:$D$92,'1200'!A158,'Daftar Koreksi'!$G$5:$G$92,"Aset Henti Guna",'Daftar Koreksi'!$I$5:$I$92,"&lt;0")</f>
        <v>0</v>
      </c>
      <c r="G175" s="17">
        <f t="shared" si="7"/>
        <v>-105048333</v>
      </c>
      <c r="H175" s="122"/>
      <c r="I175" s="28"/>
      <c r="J175" s="28"/>
    </row>
    <row r="176" spans="1:10" ht="21.95" customHeight="1">
      <c r="A176" s="14"/>
      <c r="B176" s="14"/>
      <c r="C176" s="18" t="s">
        <v>2094</v>
      </c>
      <c r="D176" s="19">
        <f>SUM(D171:D175)</f>
        <v>-1393057003</v>
      </c>
      <c r="E176" s="19">
        <f>SUM(E171:E175)</f>
        <v>0</v>
      </c>
      <c r="F176" s="19">
        <f>SUM(F171:F175)</f>
        <v>0</v>
      </c>
      <c r="G176" s="19">
        <f t="shared" si="7"/>
        <v>-1393057003</v>
      </c>
      <c r="H176" s="122"/>
      <c r="I176" s="28"/>
      <c r="J176" s="28"/>
    </row>
    <row r="177" spans="1:10" ht="21.95" customHeight="1">
      <c r="A177" s="14"/>
      <c r="B177" s="14"/>
      <c r="C177" s="18" t="s">
        <v>2095</v>
      </c>
      <c r="D177" s="19">
        <f>VLOOKUP(A158,'Neraca Unaudited SIMAK'!$A$2:$S$10004,18,FALSE)</f>
        <v>1829732284</v>
      </c>
      <c r="E177" s="19">
        <f>E176+E170</f>
        <v>0</v>
      </c>
      <c r="F177" s="19">
        <f>F176+F170</f>
        <v>0</v>
      </c>
      <c r="G177" s="19">
        <f t="shared" si="7"/>
        <v>1829732284</v>
      </c>
      <c r="H177" s="122"/>
      <c r="I177" s="28"/>
      <c r="J177" s="28"/>
    </row>
    <row r="178" spans="1:10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  <c r="I178" s="28"/>
      <c r="J178" s="28"/>
    </row>
    <row r="180" spans="1:10" ht="19.5" customHeight="1">
      <c r="A180" s="11" t="str">
        <f>O9</f>
        <v>005011200402355000KD</v>
      </c>
      <c r="B180" s="11" t="str">
        <f>P9</f>
        <v>PA. Metro</v>
      </c>
      <c r="C180" s="12" t="str">
        <f>A180&amp;" "&amp;B180</f>
        <v>005011200402355000KD PA. Metro</v>
      </c>
      <c r="D180" s="13"/>
      <c r="E180" s="13"/>
      <c r="F180" s="13"/>
      <c r="G180" s="13"/>
      <c r="H180" s="11"/>
    </row>
    <row r="181" spans="1:10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0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0" ht="21.95" customHeight="1">
      <c r="A183" s="14"/>
      <c r="B183" s="14"/>
      <c r="C183" s="16" t="s">
        <v>1165</v>
      </c>
      <c r="D183" s="17">
        <f>VLOOKUP(A180,'Neraca Unaudited SIMAK'!$A$2:$S$10004,3,FALSE)</f>
        <v>771500</v>
      </c>
      <c r="E183" s="25">
        <f>SUMIFS('Daftar Koreksi'!$H$5:$H$92,'Daftar Koreksi'!$D$5:$D$92,'1200'!A180,'Daftar Koreksi'!$G$5:$G$92,"Persediaan",'Daftar Koreksi'!$H$5:$H$92,"&gt;0")</f>
        <v>0</v>
      </c>
      <c r="F183" s="25">
        <f>SUMIFS('Daftar Koreksi'!$H$5:$H$92,'Daftar Koreksi'!$D$5:$D$92,'1200'!A180,'Daftar Koreksi'!$G$5:$G$92,"Persediaan",'Daftar Koreksi'!$H$5:$H$92,"&lt;0")-SUMIFS('Daftar Koreksi'!$H$5:$H$92,'Daftar Koreksi'!$D$5:$D$92,'1200'!A180,'Daftar Koreksi'!$G$5:$G$92,"Persediaan",'Daftar Koreksi'!$H$5:$H$92,"&lt;0")-SUMIFS('Daftar Koreksi'!$H$5:$H$92,'Daftar Koreksi'!$D$5:$D$92,'1200'!A180,'Daftar Koreksi'!$G$5:$G$92,"Persediaan",'Daftar Koreksi'!$H$5:$H$92,"&lt;0")</f>
        <v>0</v>
      </c>
      <c r="G183" s="17">
        <f>D183+E183-F183</f>
        <v>771500</v>
      </c>
      <c r="H183" s="121" t="str">
        <f>IF(ISNA(VLOOKUP(A180,'Mutasi Neraca'!$A$3:$S$914,19,FALSE)),"-",VLOOKUP(A180,'Mutasi Neraca'!$A$3:$S$914,19,FALSE))</f>
        <v>TP Koreksi Hibah No. 9</v>
      </c>
    </row>
    <row r="184" spans="1:10" ht="21.95" customHeight="1">
      <c r="A184" s="14"/>
      <c r="B184" s="14"/>
      <c r="C184" s="16" t="s">
        <v>1166</v>
      </c>
      <c r="D184" s="17">
        <f>VLOOKUP(A180,'Neraca Unaudited SIMAK'!$A$2:$S$10004,4,FALSE)</f>
        <v>1051605958</v>
      </c>
      <c r="E184" s="25">
        <f>SUMIFS('Daftar Koreksi'!$H$5:$H$92,'Daftar Koreksi'!$D$5:$D$92,'1200'!A180,'Daftar Koreksi'!$G$5:$G$92,"Tanah",'Daftar Koreksi'!$H$5:$H$92,"&gt;0")</f>
        <v>0</v>
      </c>
      <c r="F184" s="25">
        <f>SUMIFS('Daftar Koreksi'!$H$5:$H$92,'Daftar Koreksi'!$D$5:$D$92,'1200'!A180,'Daftar Koreksi'!$G$5:$G$92,"Tanah",'Daftar Koreksi'!$H$5:$H$92,"&lt;0")-SUMIFS('Daftar Koreksi'!$H$5:$H$92,'Daftar Koreksi'!$D$5:$D$92,'1200'!A180,'Daftar Koreksi'!$G$5:$G$92,"Tanah",'Daftar Koreksi'!$H$5:$H$92,"&lt;0")-SUMIFS('Daftar Koreksi'!$H$5:$H$92,'Daftar Koreksi'!$D$5:$D$92,'1200'!A180,'Daftar Koreksi'!$G$5:$G$92,"Tanah",'Daftar Koreksi'!$H$5:$H$92,"&lt;0")</f>
        <v>0</v>
      </c>
      <c r="G184" s="17">
        <f t="shared" ref="G184:G200" si="8">D184+E184-F184</f>
        <v>1051605958</v>
      </c>
      <c r="H184" s="122"/>
    </row>
    <row r="185" spans="1:10" ht="21.95" customHeight="1">
      <c r="A185" s="14"/>
      <c r="B185" s="14"/>
      <c r="C185" s="16" t="s">
        <v>1167</v>
      </c>
      <c r="D185" s="17">
        <f>VLOOKUP(A180,'Neraca Unaudited SIMAK'!$A$2:$S$10004,5,FALSE)</f>
        <v>658912367</v>
      </c>
      <c r="E185" s="25">
        <f>SUMIFS('Daftar Koreksi'!$H$5:$H$92,'Daftar Koreksi'!$D$5:$D$92,'1200'!A180,'Daftar Koreksi'!$G$5:$G$92,"Peralatan dan mesin",'Daftar Koreksi'!$H$5:$H$92,"&gt;0")</f>
        <v>0</v>
      </c>
      <c r="F185" s="25">
        <f>SUMIFS('Daftar Koreksi'!$H$5:$H$92,'Daftar Koreksi'!$D$5:$D$92,'1200'!A180,'Daftar Koreksi'!$G$5:$G$92,"Peralatan dan mesin",'Daftar Koreksi'!$H$5:$H$92,"&lt;0")-SUMIFS('Daftar Koreksi'!$H$5:$H$92,'Daftar Koreksi'!$D$5:$D$92,'1200'!A180,'Daftar Koreksi'!$G$5:$G$92,"Peralatan dan mesin",'Daftar Koreksi'!$H$5:$H$92,"&lt;0")-SUMIFS('Daftar Koreksi'!$H$5:$H$92,'Daftar Koreksi'!$D$5:$D$92,'1200'!A180,'Daftar Koreksi'!$G$5:$G$92,"Peralatan dan mesin",'Daftar Koreksi'!$H$5:$H$92,"&lt;0")</f>
        <v>0</v>
      </c>
      <c r="G185" s="17">
        <f t="shared" si="8"/>
        <v>658912367</v>
      </c>
      <c r="H185" s="122"/>
    </row>
    <row r="186" spans="1:10" ht="21.95" customHeight="1">
      <c r="A186" s="14"/>
      <c r="B186" s="14"/>
      <c r="C186" s="16" t="s">
        <v>1168</v>
      </c>
      <c r="D186" s="17">
        <f>VLOOKUP(A180,'Neraca Unaudited SIMAK'!$A$2:$S$10004,6,FALSE)</f>
        <v>3442671510</v>
      </c>
      <c r="E186" s="25">
        <f>SUMIFS('Daftar Koreksi'!$H$5:$H$92,'Daftar Koreksi'!$D$5:$D$92,'1200'!A180,'Daftar Koreksi'!$G$5:$G$92,"Gedung dan Bangunan",'Daftar Koreksi'!$H$5:$H$92,"&gt;0")</f>
        <v>50000000</v>
      </c>
      <c r="F186" s="25">
        <f>SUMIFS('Daftar Koreksi'!$H$5:$H$92,'Daftar Koreksi'!$D$5:$D$92,'1200'!A180,'Daftar Koreksi'!$G$5:$G$92,"Gedung dan Bangunan",'Daftar Koreksi'!$H$5:$H$92,"&lt;0")-SUMIFS('Daftar Koreksi'!$H$5:$H$92,'Daftar Koreksi'!$D$5:$D$92,'1200'!A180,'Daftar Koreksi'!$G$5:$G$92,"Gedung dan Bangunan",'Daftar Koreksi'!$H$5:$H$92,"&lt;0")-SUMIFS('Daftar Koreksi'!$H$5:$H$92,'Daftar Koreksi'!$D$5:$D$92,'1200'!A180,'Daftar Koreksi'!$G$5:$G$92,"Gedung dan Bangunan",'Daftar Koreksi'!$H$5:$H$92,"&lt;0")</f>
        <v>0</v>
      </c>
      <c r="G186" s="17">
        <f t="shared" si="8"/>
        <v>3492671510</v>
      </c>
      <c r="H186" s="122"/>
    </row>
    <row r="187" spans="1:10" ht="21.95" customHeight="1">
      <c r="A187" s="14"/>
      <c r="B187" s="14"/>
      <c r="C187" s="16" t="s">
        <v>1169</v>
      </c>
      <c r="D187" s="17">
        <f>VLOOKUP(A180,'Neraca Unaudited SIMAK'!$A$2:$S$10004,7,FALSE)</f>
        <v>388579500</v>
      </c>
      <c r="E187" s="25">
        <f>SUMIFS('Daftar Koreksi'!$H$5:$H$92,'Daftar Koreksi'!$D$5:$D$92,'1200'!A180,'Daftar Koreksi'!$G$5:$G$92,"Jalan Irigasi Jaringan",'Daftar Koreksi'!$H$5:$H$92,"&gt;0")</f>
        <v>0</v>
      </c>
      <c r="F187" s="25">
        <f>SUMIFS('Daftar Koreksi'!$H$5:$H$92,'Daftar Koreksi'!$D$5:$D$92,'1200'!A180,'Daftar Koreksi'!$G$5:$G$92,"Jalan Irigasi Jaringan",'Daftar Koreksi'!$H$5:$H$92,"&lt;0")-SUMIFS('Daftar Koreksi'!$H$5:$H$92,'Daftar Koreksi'!$D$5:$D$92,'1200'!A180,'Daftar Koreksi'!$G$5:$G$92,"Jalan Irigasi Jaringan",'Daftar Koreksi'!$H$5:$H$92,"&lt;0")-SUMIFS('Daftar Koreksi'!$H$5:$H$92,'Daftar Koreksi'!$D$5:$D$92,'1200'!A180,'Daftar Koreksi'!$G$5:$G$92,"Jalan Irigasi Jaringan",'Daftar Koreksi'!$H$5:$H$92,"&lt;0")</f>
        <v>0</v>
      </c>
      <c r="G187" s="17">
        <f t="shared" si="8"/>
        <v>388579500</v>
      </c>
      <c r="H187" s="122"/>
    </row>
    <row r="188" spans="1:10" ht="21.95" customHeight="1">
      <c r="A188" s="14"/>
      <c r="B188" s="14"/>
      <c r="C188" s="16" t="s">
        <v>1170</v>
      </c>
      <c r="D188" s="17">
        <f>VLOOKUP(A180,'Neraca Unaudited SIMAK'!$A$2:$S$10004,8,FALSE)</f>
        <v>3266678</v>
      </c>
      <c r="E188" s="25">
        <f>SUMIFS('Daftar Koreksi'!$H$5:$H$92,'Daftar Koreksi'!$D$5:$D$92,'1200'!A180,'Daftar Koreksi'!$G$5:$G$92,"Aset Tetap Lainnya",'Daftar Koreksi'!$H$5:$H$92,"&gt;0")</f>
        <v>0</v>
      </c>
      <c r="F188" s="25">
        <f>SUMIFS('Daftar Koreksi'!$H$5:$H$92,'Daftar Koreksi'!$D$5:$D$92,'1200'!A180,'Daftar Koreksi'!$G$5:$G$92,"Aset Tetap Lainnya",'Daftar Koreksi'!$H$5:$H$92,"&lt;0")-SUMIFS('Daftar Koreksi'!$H$5:$H$92,'Daftar Koreksi'!$D$5:$D$92,'1200'!A180,'Daftar Koreksi'!$G$5:$G$92,"Aset Tetap Lainnya",'Daftar Koreksi'!$H$5:$H$92,"&lt;0")-SUMIFS('Daftar Koreksi'!$H$5:$H$92,'Daftar Koreksi'!$D$5:$D$92,'1200'!A180,'Daftar Koreksi'!$G$5:$G$92,"Aset Tetap Lainnya",'Daftar Koreksi'!$H$5:$H$92,"&lt;0")</f>
        <v>0</v>
      </c>
      <c r="G188" s="17">
        <f t="shared" si="8"/>
        <v>3266678</v>
      </c>
      <c r="H188" s="122"/>
    </row>
    <row r="189" spans="1:10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Koreksi'!$D$5:$D$92,'1200'!A180,'Daftar Koreksi'!$G$5:$G$92,"Kontruksi Dalam Pengerjaan",'Daftar Koreksi'!$H$5:$H$92,"&gt;0")</f>
        <v>0</v>
      </c>
      <c r="F189" s="25">
        <f>SUMIFS('Daftar Koreksi'!$H$5:$H$92,'Daftar Koreksi'!$D$5:$D$92,'1200'!A180,'Daftar Koreksi'!$G$5:$G$92,"Kontruksi Dalam Pengerjaan",'Daftar Koreksi'!$H$5:$H$92,"&lt;0")-SUMIFS('Daftar Koreksi'!$H$5:$H$92,'Daftar Koreksi'!$D$5:$D$92,'1200'!A180,'Daftar Koreksi'!$G$5:$G$92,"Kontruksi Dalam Pengerjaan",'Daftar Koreksi'!$H$5:$H$92,"&lt;0")-SUMIFS('Daftar Koreksi'!$H$5:$H$92,'Daftar Koreksi'!$D$5:$D$92,'1200'!A180,'Daftar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10" ht="21.95" customHeight="1">
      <c r="A190" s="14"/>
      <c r="B190" s="14"/>
      <c r="C190" s="16" t="s">
        <v>1172</v>
      </c>
      <c r="D190" s="17">
        <f>VLOOKUP(A180,'Neraca Unaudited SIMAK'!$A$2:$S$10004,10,FALSE)</f>
        <v>20750000</v>
      </c>
      <c r="E190" s="25">
        <f>SUMIFS('Daftar Koreksi'!$H$5:$H$92,'Daftar Koreksi'!$D$5:$D$92,'1200'!A180,'Daftar Koreksi'!$G$5:$G$92,"Aset Tak Berwujud",'Daftar Koreksi'!$H$5:$H$92,"&gt;0")</f>
        <v>0</v>
      </c>
      <c r="F190" s="25">
        <f>SUMIFS('Daftar Koreksi'!$H$5:$H$92,'Daftar Koreksi'!$D$5:$D$92,'1200'!A180,'Daftar Koreksi'!$G$5:$G$92,"Aset Tak Berwujud",'Daftar Koreksi'!$H$5:$H$92,"&lt;0")-SUMIFS('Daftar Koreksi'!$H$5:$H$92,'Daftar Koreksi'!$D$5:$D$92,'1200'!A180,'Daftar Koreksi'!$G$5:$G$92,"Aset Tak Berwujud",'Daftar Koreksi'!$H$5:$H$92,"&lt;0")-SUMIFS('Daftar Koreksi'!$H$5:$H$92,'Daftar Koreksi'!$D$5:$D$92,'1200'!A180,'Daftar Koreksi'!$G$5:$G$92,"Aset Tak Berwujud",'Daftar Koreksi'!$H$5:$H$92,"&lt;0")</f>
        <v>0</v>
      </c>
      <c r="G190" s="17">
        <f t="shared" si="8"/>
        <v>20750000</v>
      </c>
      <c r="H190" s="122"/>
    </row>
    <row r="191" spans="1:10" ht="21.95" customHeight="1">
      <c r="A191" s="14"/>
      <c r="B191" s="14"/>
      <c r="C191" s="16" t="s">
        <v>1173</v>
      </c>
      <c r="D191" s="17">
        <f>VLOOKUP(A180,'Neraca Unaudited SIMAK'!$A$2:$S$10004,11,FALSE)</f>
        <v>256480998</v>
      </c>
      <c r="E191" s="25">
        <f>SUMIFS('Daftar Koreksi'!$H$5:$H$92,'Daftar Koreksi'!$D$5:$D$92,'1200'!A180,'Daftar Koreksi'!$G$5:$G$92,"Aset Henti Guna",'Daftar Koreksi'!$H$5:$H$92,"&gt;0")</f>
        <v>0</v>
      </c>
      <c r="F191" s="25">
        <f>SUMIFS('Daftar Koreksi'!$H$5:$H$92,'Daftar Koreksi'!$D$5:$D$92,'1200'!A180,'Daftar Koreksi'!$G$5:$G$92,"Aset Henti Guna",'Daftar Koreksi'!$H$5:$H$92,"&lt;0")-SUMIFS('Daftar Koreksi'!$H$5:$H$92,'Daftar Koreksi'!$D$5:$D$92,'1200'!A180,'Daftar Koreksi'!$G$5:$G$92,"Aset Henti Guna",'Daftar Koreksi'!$H$5:$H$92,"&lt;0")-SUMIFS('Daftar Koreksi'!$H$5:$H$92,'Daftar Koreksi'!$D$5:$D$92,'1200'!A180,'Daftar Koreksi'!$G$5:$G$92,"Aset Henti Guna",'Daftar Koreksi'!$H$5:$H$92,"&lt;0")</f>
        <v>0</v>
      </c>
      <c r="G191" s="17">
        <f t="shared" si="8"/>
        <v>256480998</v>
      </c>
      <c r="H191" s="122"/>
    </row>
    <row r="192" spans="1:10" ht="21.95" customHeight="1">
      <c r="A192" s="14"/>
      <c r="B192" s="14"/>
      <c r="C192" s="18" t="s">
        <v>2093</v>
      </c>
      <c r="D192" s="19">
        <f>VLOOKUP(A180,'Neraca Unaudited SIMAK'!$A$2:$S$10004,12,FALSE)</f>
        <v>5823038511</v>
      </c>
      <c r="E192" s="19">
        <f>SUM(E183:E191)</f>
        <v>50000000</v>
      </c>
      <c r="F192" s="19">
        <f>SUM(F183:F191)</f>
        <v>0</v>
      </c>
      <c r="G192" s="19">
        <f t="shared" si="8"/>
        <v>5873038511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-612480382</v>
      </c>
      <c r="E193" s="25">
        <f>SUMIFS('Daftar Koreksi'!$I$5:$I$92,'Daftar Koreksi'!$D$5:$D$92,'1200'!A180,'Daftar Koreksi'!$G$5:$G$92,"Peralatan dan mesin",'Daftar Koreksi'!$I$5:$I$92,"&gt;0")</f>
        <v>0</v>
      </c>
      <c r="F193" s="25">
        <f>SUMIFS('Daftar Koreksi'!$I$5:$I$92,'Daftar Koreksi'!$D$5:$D$92,'1200'!A180,'Daftar Koreksi'!$G$5:$G$92,"Peralatan dan mesin",'Daftar Koreksi'!$I$5:$I$92,"&lt;0")-SUMIFS('Daftar Koreksi'!$I$5:$I$92,'Daftar Koreksi'!$D$5:$D$92,'1200'!A180,'Daftar Koreksi'!$G$5:$G$92,"Peralatan dan mesin",'Daftar Koreksi'!$I$5:$I$92,"&lt;0")-SUMIFS('Daftar Koreksi'!$I$5:$I$92,'Daftar Koreksi'!$D$5:$D$92,'1200'!A180,'Daftar Koreksi'!$G$5:$G$92,"Peralatan dan mesin",'Daftar Koreksi'!$I$5:$I$92,"&lt;0")</f>
        <v>0</v>
      </c>
      <c r="G193" s="17">
        <f t="shared" si="8"/>
        <v>-612480382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-622966982</v>
      </c>
      <c r="E194" s="25">
        <f>SUMIFS('Daftar Koreksi'!$I$5:$I$92,'Daftar Koreksi'!$D$5:$D$92,'1200'!A180,'Daftar Koreksi'!$G$5:$G$92,"Gedung dan Bangunan",'Daftar Koreksi'!$I$5:$I$92,"&gt;0")</f>
        <v>0</v>
      </c>
      <c r="F194" s="25">
        <f>SUMIFS('Daftar Koreksi'!$I$5:$I$92,'Daftar Koreksi'!$D$5:$D$92,'1200'!A180,'Daftar Koreksi'!$G$5:$G$92,"Gedung dan Bangunan",'Daftar Koreksi'!$I$5:$I$92,"&lt;0")-SUMIFS('Daftar Koreksi'!$I$5:$I$92,'Daftar Koreksi'!$D$5:$D$92,'1200'!A180,'Daftar Koreksi'!$G$5:$G$92,"Gedung dan Bangunan",'Daftar Koreksi'!$I$5:$I$92,"&lt;0")-SUMIFS('Daftar Koreksi'!$I$5:$I$92,'Daftar Koreksi'!$D$5:$D$92,'1200'!A180,'Daftar Koreksi'!$G$5:$G$92,"Gedung dan Bangunan",'Daftar Koreksi'!$I$5:$I$92,"&lt;0")</f>
        <v>8000000</v>
      </c>
      <c r="G194" s="17">
        <f t="shared" si="8"/>
        <v>-630966982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-140754020</v>
      </c>
      <c r="E195" s="25">
        <f>SUMIFS('Daftar Koreksi'!$I$5:$I$92,'Daftar Koreksi'!$D$5:$D$92,'1200'!A180,'Daftar Koreksi'!$G$5:$G$92,"Jalan Irigasi Jaringan",'Daftar Koreksi'!$I$5:$I$92,"&gt;0")</f>
        <v>0</v>
      </c>
      <c r="F195" s="25">
        <f>SUMIFS('Daftar Koreksi'!$I$5:$I$92,'Daftar Koreksi'!$D$5:$D$92,'1200'!A180,'Daftar Koreksi'!$G$5:$G$92,"Jalan Irigasi Jaringan",'Daftar Koreksi'!$I$5:$I$92,"&lt;0")-SUMIFS('Daftar Koreksi'!$I$5:$I$92,'Daftar Koreksi'!$D$5:$D$92,'1200'!A180,'Daftar Koreksi'!$G$5:$G$92,"Jalan Irigasi Jaringan",'Daftar Koreksi'!$I$5:$I$92,"&lt;0")-SUMIFS('Daftar Koreksi'!$I$5:$I$92,'Daftar Koreksi'!$D$5:$D$92,'1200'!A180,'Daftar Koreksi'!$G$5:$G$92,"Jalan Irigasi Jaringan",'Daftar Koreksi'!$I$5:$I$92,"&lt;0")</f>
        <v>0</v>
      </c>
      <c r="G195" s="17">
        <f t="shared" si="8"/>
        <v>-140754020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Koreksi'!$D$5:$D$92,'1200'!A180,'Daftar Koreksi'!$G$5:$G$92,"Aset Tetap Lainnya",'Daftar Koreksi'!$I$5:$I$92,"&gt;0")</f>
        <v>0</v>
      </c>
      <c r="F196" s="25">
        <f>SUMIFS('Daftar Koreksi'!$I$5:$I$92,'Daftar Koreksi'!$D$5:$D$92,'1200'!A180,'Daftar Koreksi'!$G$5:$G$92,"Aset Tetap Lainnya",'Daftar Koreksi'!$I$5:$I$92,"&lt;0")-SUMIFS('Daftar Koreksi'!$I$5:$I$92,'Daftar Koreksi'!$D$5:$D$92,'1200'!A180,'Daftar Koreksi'!$G$5:$G$92,"Aset Tetap Lainnya",'Daftar Koreksi'!$I$5:$I$92,"&lt;0")-SUMIFS('Daftar Koreksi'!$I$5:$I$92,'Daftar Koreksi'!$D$5:$D$92,'1200'!A180,'Daftar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-256480998</v>
      </c>
      <c r="E197" s="25">
        <f>SUMIFS('Daftar Koreksi'!$I$5:$I$92,'Daftar Koreksi'!$D$5:$D$92,'1200'!A180,'Daftar Koreksi'!$G$5:$G$92,"Aset Henti Guna",'Daftar Koreksi'!$I$5:$I$92,"&gt;0")</f>
        <v>0</v>
      </c>
      <c r="F197" s="25">
        <f>SUMIFS('Daftar Koreksi'!$I$5:$I$92,'Daftar Koreksi'!$D$5:$D$92,'1200'!A180,'Daftar Koreksi'!$G$5:$G$92,"Aset Henti Guna",'Daftar Koreksi'!$I$5:$I$92,"&lt;0")-SUMIFS('Daftar Koreksi'!$I$5:$I$92,'Daftar Koreksi'!$D$5:$D$92,'1200'!A180,'Daftar Koreksi'!$G$5:$G$92,"Aset Henti Guna",'Daftar Koreksi'!$I$5:$I$92,"&lt;0")-SUMIFS('Daftar Koreksi'!$I$5:$I$92,'Daftar Koreksi'!$D$5:$D$92,'1200'!A180,'Daftar Koreksi'!$G$5:$G$92,"Aset Henti Guna",'Daftar Koreksi'!$I$5:$I$92,"&lt;0")</f>
        <v>0</v>
      </c>
      <c r="G197" s="17">
        <f t="shared" si="8"/>
        <v>-256480998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-1632682382</v>
      </c>
      <c r="E198" s="19">
        <f>SUM(E193:E197)</f>
        <v>0</v>
      </c>
      <c r="F198" s="19">
        <f>SUM(F193:F197)</f>
        <v>8000000</v>
      </c>
      <c r="G198" s="19">
        <f t="shared" si="8"/>
        <v>-1640682382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4190356129</v>
      </c>
      <c r="E199" s="19">
        <f>E198+E192</f>
        <v>50000000</v>
      </c>
      <c r="F199" s="19">
        <f>F198+F192</f>
        <v>8000000</v>
      </c>
      <c r="G199" s="19">
        <f t="shared" si="8"/>
        <v>4232356129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005011200402644000KD</v>
      </c>
      <c r="B202" s="11" t="str">
        <f>P10</f>
        <v>PA. Kalianda</v>
      </c>
      <c r="C202" s="12" t="str">
        <f>A202&amp;" "&amp;B202</f>
        <v>005011200402644000KD PA. Kalianda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1432000</v>
      </c>
      <c r="E205" s="25">
        <f>SUMIFS('Daftar Koreksi'!$H$5:$H$92,'Daftar Koreksi'!$D$5:$D$92,'1200'!A202,'Daftar Koreksi'!$G$5:$G$92,"Persediaan",'Daftar Koreksi'!$H$5:$H$92,"&gt;0")</f>
        <v>0</v>
      </c>
      <c r="F205" s="25">
        <f>SUMIFS('Daftar Koreksi'!$H$5:$H$92,'Daftar Koreksi'!$D$5:$D$92,'1200'!A202,'Daftar Koreksi'!$G$5:$G$92,"Persediaan",'Daftar Koreksi'!$H$5:$H$92,"&lt;0")-SUMIFS('Daftar Koreksi'!$H$5:$H$92,'Daftar Koreksi'!$D$5:$D$92,'1200'!A202,'Daftar Koreksi'!$G$5:$G$92,"Persediaan",'Daftar Koreksi'!$H$5:$H$92,"&lt;0")-SUMIFS('Daftar Koreksi'!$H$5:$H$92,'Daftar Koreksi'!$D$5:$D$92,'1200'!A202,'Daftar Koreksi'!$G$5:$G$92,"Persediaan",'Daftar Koreksi'!$H$5:$H$92,"&lt;0")</f>
        <v>0</v>
      </c>
      <c r="G205" s="17">
        <f>D205+E205-F205</f>
        <v>1432000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834034900</v>
      </c>
      <c r="E206" s="25">
        <f>SUMIFS('Daftar Koreksi'!$H$5:$H$92,'Daftar Koreksi'!$D$5:$D$92,'1200'!A202,'Daftar Koreksi'!$G$5:$G$92,"Tanah",'Daftar Koreksi'!$H$5:$H$92,"&gt;0")</f>
        <v>0</v>
      </c>
      <c r="F206" s="25">
        <f>SUMIFS('Daftar Koreksi'!$H$5:$H$92,'Daftar Koreksi'!$D$5:$D$92,'1200'!A202,'Daftar Koreksi'!$G$5:$G$92,"Tanah",'Daftar Koreksi'!$H$5:$H$92,"&lt;0")-SUMIFS('Daftar Koreksi'!$H$5:$H$92,'Daftar Koreksi'!$D$5:$D$92,'1200'!A202,'Daftar Koreksi'!$G$5:$G$92,"Tanah",'Daftar Koreksi'!$H$5:$H$92,"&lt;0")-SUMIFS('Daftar Koreksi'!$H$5:$H$92,'Daftar Koreksi'!$D$5:$D$92,'1200'!A202,'Daftar Koreksi'!$G$5:$G$92,"Tanah",'Daftar Koreksi'!$H$5:$H$92,"&lt;0")</f>
        <v>0</v>
      </c>
      <c r="G206" s="17">
        <f t="shared" ref="G206:G222" si="9">D206+E206-F206</f>
        <v>834034900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1626942880</v>
      </c>
      <c r="E207" s="25">
        <f>SUMIFS('Daftar Koreksi'!$H$5:$H$92,'Daftar Koreksi'!$D$5:$D$92,'1200'!A202,'Daftar Koreksi'!$G$5:$G$92,"Peralatan dan mesin",'Daftar Koreksi'!$H$5:$H$92,"&gt;0")</f>
        <v>0</v>
      </c>
      <c r="F207" s="25">
        <f>SUMIFS('Daftar Koreksi'!$H$5:$H$92,'Daftar Koreksi'!$D$5:$D$92,'1200'!A202,'Daftar Koreksi'!$G$5:$G$92,"Peralatan dan mesin",'Daftar Koreksi'!$H$5:$H$92,"&lt;0")-SUMIFS('Daftar Koreksi'!$H$5:$H$92,'Daftar Koreksi'!$D$5:$D$92,'1200'!A202,'Daftar Koreksi'!$G$5:$G$92,"Peralatan dan mesin",'Daftar Koreksi'!$H$5:$H$92,"&lt;0")-SUMIFS('Daftar Koreksi'!$H$5:$H$92,'Daftar Koreksi'!$D$5:$D$92,'1200'!A202,'Daftar Koreksi'!$G$5:$G$92,"Peralatan dan mesin",'Daftar Koreksi'!$H$5:$H$92,"&lt;0")</f>
        <v>0</v>
      </c>
      <c r="G207" s="17">
        <f t="shared" si="9"/>
        <v>1626942880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4429262560</v>
      </c>
      <c r="E208" s="25">
        <f>SUMIFS('Daftar Koreksi'!$H$5:$H$92,'Daftar Koreksi'!$D$5:$D$92,'1200'!A202,'Daftar Koreksi'!$G$5:$G$92,"Gedung dan Bangunan",'Daftar Koreksi'!$H$5:$H$92,"&gt;0")</f>
        <v>0</v>
      </c>
      <c r="F208" s="25">
        <f>SUMIFS('Daftar Koreksi'!$H$5:$H$92,'Daftar Koreksi'!$D$5:$D$92,'1200'!A202,'Daftar Koreksi'!$G$5:$G$92,"Gedung dan Bangunan",'Daftar Koreksi'!$H$5:$H$92,"&lt;0")-SUMIFS('Daftar Koreksi'!$H$5:$H$92,'Daftar Koreksi'!$D$5:$D$92,'1200'!A202,'Daftar Koreksi'!$G$5:$G$92,"Gedung dan Bangunan",'Daftar Koreksi'!$H$5:$H$92,"&lt;0")-SUMIFS('Daftar Koreksi'!$H$5:$H$92,'Daftar Koreksi'!$D$5:$D$92,'1200'!A202,'Daftar Koreksi'!$G$5:$G$92,"Gedung dan Bangunan",'Daftar Koreksi'!$H$5:$H$92,"&lt;0")</f>
        <v>0</v>
      </c>
      <c r="G208" s="17">
        <f t="shared" si="9"/>
        <v>4429262560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119670000</v>
      </c>
      <c r="E209" s="25">
        <f>SUMIFS('Daftar Koreksi'!$H$5:$H$92,'Daftar Koreksi'!$D$5:$D$92,'1200'!A202,'Daftar Koreksi'!$G$5:$G$92,"Jalan Irigasi Jaringan",'Daftar Koreksi'!$H$5:$H$92,"&gt;0")</f>
        <v>0</v>
      </c>
      <c r="F209" s="25">
        <f>SUMIFS('Daftar Koreksi'!$H$5:$H$92,'Daftar Koreksi'!$D$5:$D$92,'1200'!A202,'Daftar Koreksi'!$G$5:$G$92,"Jalan Irigasi Jaringan",'Daftar Koreksi'!$H$5:$H$92,"&lt;0")-SUMIFS('Daftar Koreksi'!$H$5:$H$92,'Daftar Koreksi'!$D$5:$D$92,'1200'!A202,'Daftar Koreksi'!$G$5:$G$92,"Jalan Irigasi Jaringan",'Daftar Koreksi'!$H$5:$H$92,"&lt;0")-SUMIFS('Daftar Koreksi'!$H$5:$H$92,'Daftar Koreksi'!$D$5:$D$92,'1200'!A202,'Daftar Koreksi'!$G$5:$G$92,"Jalan Irigasi Jaringan",'Daftar Koreksi'!$H$5:$H$92,"&lt;0")</f>
        <v>0</v>
      </c>
      <c r="G209" s="17">
        <f t="shared" si="9"/>
        <v>119670000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763000</v>
      </c>
      <c r="E210" s="25">
        <f>SUMIFS('Daftar Koreksi'!$H$5:$H$92,'Daftar Koreksi'!$D$5:$D$92,'1200'!A202,'Daftar Koreksi'!$G$5:$G$92,"Aset Tetap Lainnya",'Daftar Koreksi'!$H$5:$H$92,"&gt;0")</f>
        <v>0</v>
      </c>
      <c r="F210" s="25">
        <f>SUMIFS('Daftar Koreksi'!$H$5:$H$92,'Daftar Koreksi'!$D$5:$D$92,'1200'!A202,'Daftar Koreksi'!$G$5:$G$92,"Aset Tetap Lainnya",'Daftar Koreksi'!$H$5:$H$92,"&lt;0")-SUMIFS('Daftar Koreksi'!$H$5:$H$92,'Daftar Koreksi'!$D$5:$D$92,'1200'!A202,'Daftar Koreksi'!$G$5:$G$92,"Aset Tetap Lainnya",'Daftar Koreksi'!$H$5:$H$92,"&lt;0")-SUMIFS('Daftar Koreksi'!$H$5:$H$92,'Daftar Koreksi'!$D$5:$D$92,'1200'!A202,'Daftar Koreksi'!$G$5:$G$92,"Aset Tetap Lainnya",'Daftar Koreksi'!$H$5:$H$92,"&lt;0")</f>
        <v>0</v>
      </c>
      <c r="G210" s="17">
        <f t="shared" si="9"/>
        <v>763000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Koreksi'!$D$5:$D$92,'1200'!A202,'Daftar Koreksi'!$G$5:$G$92,"Kontruksi Dalam Pengerjaan",'Daftar Koreksi'!$H$5:$H$92,"&gt;0")</f>
        <v>0</v>
      </c>
      <c r="F211" s="25">
        <f>SUMIFS('Daftar Koreksi'!$H$5:$H$92,'Daftar Koreksi'!$D$5:$D$92,'1200'!A202,'Daftar Koreksi'!$G$5:$G$92,"Kontruksi Dalam Pengerjaan",'Daftar Koreksi'!$H$5:$H$92,"&lt;0")-SUMIFS('Daftar Koreksi'!$H$5:$H$92,'Daftar Koreksi'!$D$5:$D$92,'1200'!A202,'Daftar Koreksi'!$G$5:$G$92,"Kontruksi Dalam Pengerjaan",'Daftar Koreksi'!$H$5:$H$92,"&lt;0")-SUMIFS('Daftar Koreksi'!$H$5:$H$92,'Daftar Koreksi'!$D$5:$D$92,'1200'!A202,'Daftar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20750000</v>
      </c>
      <c r="E212" s="25">
        <f>SUMIFS('Daftar Koreksi'!$H$5:$H$92,'Daftar Koreksi'!$D$5:$D$92,'1200'!A202,'Daftar Koreksi'!$G$5:$G$92,"Aset Tak Berwujud",'Daftar Koreksi'!$H$5:$H$92,"&gt;0")</f>
        <v>0</v>
      </c>
      <c r="F212" s="25">
        <f>SUMIFS('Daftar Koreksi'!$H$5:$H$92,'Daftar Koreksi'!$D$5:$D$92,'1200'!A202,'Daftar Koreksi'!$G$5:$G$92,"Aset Tak Berwujud",'Daftar Koreksi'!$H$5:$H$92,"&lt;0")-SUMIFS('Daftar Koreksi'!$H$5:$H$92,'Daftar Koreksi'!$D$5:$D$92,'1200'!A202,'Daftar Koreksi'!$G$5:$G$92,"Aset Tak Berwujud",'Daftar Koreksi'!$H$5:$H$92,"&lt;0")-SUMIFS('Daftar Koreksi'!$H$5:$H$92,'Daftar Koreksi'!$D$5:$D$92,'1200'!A202,'Daftar Koreksi'!$G$5:$G$92,"Aset Tak Berwujud",'Daftar Koreksi'!$H$5:$H$92,"&lt;0")</f>
        <v>0</v>
      </c>
      <c r="G212" s="17">
        <f t="shared" si="9"/>
        <v>20750000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26597468</v>
      </c>
      <c r="E213" s="25">
        <f>SUMIFS('Daftar Koreksi'!$H$5:$H$92,'Daftar Koreksi'!$D$5:$D$92,'1200'!A202,'Daftar Koreksi'!$G$5:$G$92,"Aset Henti Guna",'Daftar Koreksi'!$H$5:$H$92,"&gt;0")</f>
        <v>0</v>
      </c>
      <c r="F213" s="25">
        <f>SUMIFS('Daftar Koreksi'!$H$5:$H$92,'Daftar Koreksi'!$D$5:$D$92,'1200'!A202,'Daftar Koreksi'!$G$5:$G$92,"Aset Henti Guna",'Daftar Koreksi'!$H$5:$H$92,"&lt;0")-SUMIFS('Daftar Koreksi'!$H$5:$H$92,'Daftar Koreksi'!$D$5:$D$92,'1200'!A202,'Daftar Koreksi'!$G$5:$G$92,"Aset Henti Guna",'Daftar Koreksi'!$H$5:$H$92,"&lt;0")-SUMIFS('Daftar Koreksi'!$H$5:$H$92,'Daftar Koreksi'!$D$5:$D$92,'1200'!A202,'Daftar Koreksi'!$G$5:$G$92,"Aset Henti Guna",'Daftar Koreksi'!$H$5:$H$92,"&lt;0")</f>
        <v>0</v>
      </c>
      <c r="G213" s="17">
        <f t="shared" si="9"/>
        <v>26597468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7059452808</v>
      </c>
      <c r="E214" s="19">
        <f>SUM(E205:E213)</f>
        <v>0</v>
      </c>
      <c r="F214" s="19">
        <f>SUM(F205:F213)</f>
        <v>0</v>
      </c>
      <c r="G214" s="19">
        <f t="shared" si="9"/>
        <v>7059452808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-1317160671</v>
      </c>
      <c r="E215" s="25">
        <f>SUMIFS('Daftar Koreksi'!$I$5:$I$92,'Daftar Koreksi'!$D$5:$D$92,'1200'!A202,'Daftar Koreksi'!$G$5:$G$92,"Peralatan dan mesin",'Daftar Koreksi'!$I$5:$I$92,"&gt;0")</f>
        <v>0</v>
      </c>
      <c r="F215" s="25">
        <f>SUMIFS('Daftar Koreksi'!$I$5:$I$92,'Daftar Koreksi'!$D$5:$D$92,'1200'!A202,'Daftar Koreksi'!$G$5:$G$92,"Peralatan dan mesin",'Daftar Koreksi'!$I$5:$I$92,"&lt;0")-SUMIFS('Daftar Koreksi'!$I$5:$I$92,'Daftar Koreksi'!$D$5:$D$92,'1200'!A202,'Daftar Koreksi'!$G$5:$G$92,"Peralatan dan mesin",'Daftar Koreksi'!$I$5:$I$92,"&lt;0")-SUMIFS('Daftar Koreksi'!$I$5:$I$92,'Daftar Koreksi'!$D$5:$D$92,'1200'!A202,'Daftar Koreksi'!$G$5:$G$92,"Peralatan dan mesin",'Daftar Koreksi'!$I$5:$I$92,"&lt;0")</f>
        <v>0</v>
      </c>
      <c r="G215" s="17">
        <f t="shared" si="9"/>
        <v>-1317160671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-627521675</v>
      </c>
      <c r="E216" s="25">
        <f>SUMIFS('Daftar Koreksi'!$I$5:$I$92,'Daftar Koreksi'!$D$5:$D$92,'1200'!A202,'Daftar Koreksi'!$G$5:$G$92,"Gedung dan Bangunan",'Daftar Koreksi'!$I$5:$I$92,"&gt;0")</f>
        <v>0</v>
      </c>
      <c r="F216" s="25">
        <f>SUMIFS('Daftar Koreksi'!$I$5:$I$92,'Daftar Koreksi'!$D$5:$D$92,'1200'!A202,'Daftar Koreksi'!$G$5:$G$92,"Gedung dan Bangunan",'Daftar Koreksi'!$I$5:$I$92,"&lt;0")-SUMIFS('Daftar Koreksi'!$I$5:$I$92,'Daftar Koreksi'!$D$5:$D$92,'1200'!A202,'Daftar Koreksi'!$G$5:$G$92,"Gedung dan Bangunan",'Daftar Koreksi'!$I$5:$I$92,"&lt;0")-SUMIFS('Daftar Koreksi'!$I$5:$I$92,'Daftar Koreksi'!$D$5:$D$92,'1200'!A202,'Daftar Koreksi'!$G$5:$G$92,"Gedung dan Bangunan",'Daftar Koreksi'!$I$5:$I$92,"&lt;0")</f>
        <v>0</v>
      </c>
      <c r="G216" s="17">
        <f t="shared" si="9"/>
        <v>-627521675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-58514125</v>
      </c>
      <c r="E217" s="25">
        <f>SUMIFS('Daftar Koreksi'!$I$5:$I$92,'Daftar Koreksi'!$D$5:$D$92,'1200'!A202,'Daftar Koreksi'!$G$5:$G$92,"Jalan Irigasi Jaringan",'Daftar Koreksi'!$I$5:$I$92,"&gt;0")</f>
        <v>0</v>
      </c>
      <c r="F217" s="25">
        <f>SUMIFS('Daftar Koreksi'!$I$5:$I$92,'Daftar Koreksi'!$D$5:$D$92,'1200'!A202,'Daftar Koreksi'!$G$5:$G$92,"Jalan Irigasi Jaringan",'Daftar Koreksi'!$I$5:$I$92,"&lt;0")-SUMIFS('Daftar Koreksi'!$I$5:$I$92,'Daftar Koreksi'!$D$5:$D$92,'1200'!A202,'Daftar Koreksi'!$G$5:$G$92,"Jalan Irigasi Jaringan",'Daftar Koreksi'!$I$5:$I$92,"&lt;0")-SUMIFS('Daftar Koreksi'!$I$5:$I$92,'Daftar Koreksi'!$D$5:$D$92,'1200'!A202,'Daftar Koreksi'!$G$5:$G$92,"Jalan Irigasi Jaringan",'Daftar Koreksi'!$I$5:$I$92,"&lt;0")</f>
        <v>0</v>
      </c>
      <c r="G217" s="17">
        <f t="shared" si="9"/>
        <v>-58514125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Koreksi'!$D$5:$D$92,'1200'!A202,'Daftar Koreksi'!$G$5:$G$92,"Aset Tetap Lainnya",'Daftar Koreksi'!$I$5:$I$92,"&gt;0")</f>
        <v>0</v>
      </c>
      <c r="F218" s="25">
        <f>SUMIFS('Daftar Koreksi'!$I$5:$I$92,'Daftar Koreksi'!$D$5:$D$92,'1200'!A202,'Daftar Koreksi'!$G$5:$G$92,"Aset Tetap Lainnya",'Daftar Koreksi'!$I$5:$I$92,"&lt;0")-SUMIFS('Daftar Koreksi'!$I$5:$I$92,'Daftar Koreksi'!$D$5:$D$92,'1200'!A202,'Daftar Koreksi'!$G$5:$G$92,"Aset Tetap Lainnya",'Daftar Koreksi'!$I$5:$I$92,"&lt;0")-SUMIFS('Daftar Koreksi'!$I$5:$I$92,'Daftar Koreksi'!$D$5:$D$92,'1200'!A202,'Daftar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-26597468</v>
      </c>
      <c r="E219" s="25">
        <f>SUMIFS('Daftar Koreksi'!$I$5:$I$92,'Daftar Koreksi'!$D$5:$D$92,'1200'!A202,'Daftar Koreksi'!$G$5:$G$92,"Aset Henti Guna",'Daftar Koreksi'!$I$5:$I$92,"&gt;0")</f>
        <v>0</v>
      </c>
      <c r="F219" s="25">
        <f>SUMIFS('Daftar Koreksi'!$I$5:$I$92,'Daftar Koreksi'!$D$5:$D$92,'1200'!A202,'Daftar Koreksi'!$G$5:$G$92,"Aset Henti Guna",'Daftar Koreksi'!$I$5:$I$92,"&lt;0")-SUMIFS('Daftar Koreksi'!$I$5:$I$92,'Daftar Koreksi'!$D$5:$D$92,'1200'!A202,'Daftar Koreksi'!$G$5:$G$92,"Aset Henti Guna",'Daftar Koreksi'!$I$5:$I$92,"&lt;0")-SUMIFS('Daftar Koreksi'!$I$5:$I$92,'Daftar Koreksi'!$D$5:$D$92,'1200'!A202,'Daftar Koreksi'!$G$5:$G$92,"Aset Henti Guna",'Daftar Koreksi'!$I$5:$I$92,"&lt;0")</f>
        <v>0</v>
      </c>
      <c r="G219" s="17">
        <f t="shared" si="9"/>
        <v>-26597468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-2029793939</v>
      </c>
      <c r="E220" s="19">
        <f>SUM(E215:E219)</f>
        <v>0</v>
      </c>
      <c r="F220" s="19">
        <f>SUM(F215:F219)</f>
        <v>0</v>
      </c>
      <c r="G220" s="19">
        <f t="shared" si="9"/>
        <v>-2029793939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5029658869</v>
      </c>
      <c r="E221" s="19">
        <f>E220+E214</f>
        <v>0</v>
      </c>
      <c r="F221" s="19">
        <f>F220+F214</f>
        <v>0</v>
      </c>
      <c r="G221" s="19">
        <f t="shared" si="9"/>
        <v>5029658869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005011200477306000KD</v>
      </c>
      <c r="B224" s="11" t="str">
        <f>P11</f>
        <v>PN. Kota Agung</v>
      </c>
      <c r="C224" s="12" t="str">
        <f>A224&amp;" "&amp;B224</f>
        <v>005011200477306000KD PN. Kota Agung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178000</v>
      </c>
      <c r="E227" s="25">
        <f>SUMIFS('Daftar Koreksi'!$H$5:$H$92,'Daftar Koreksi'!$D$5:$D$92,'1200'!A224,'Daftar Koreksi'!$G$5:$G$92,"Persediaan",'Daftar Koreksi'!$H$5:$H$92,"&gt;0")</f>
        <v>0</v>
      </c>
      <c r="F227" s="25">
        <f>SUMIFS('Daftar Koreksi'!$H$5:$H$92,'Daftar Koreksi'!$D$5:$D$92,'1200'!A224,'Daftar Koreksi'!$G$5:$G$92,"Persediaan",'Daftar Koreksi'!$H$5:$H$92,"&lt;0")-SUMIFS('Daftar Koreksi'!$H$5:$H$92,'Daftar Koreksi'!$D$5:$D$92,'1200'!A224,'Daftar Koreksi'!$G$5:$G$92,"Persediaan",'Daftar Koreksi'!$H$5:$H$92,"&lt;0")-SUMIFS('Daftar Koreksi'!$H$5:$H$92,'Daftar Koreksi'!$D$5:$D$92,'1200'!A224,'Daftar Koreksi'!$G$5:$G$92,"Persediaan",'Daftar Koreksi'!$H$5:$H$92,"&lt;0")</f>
        <v>0</v>
      </c>
      <c r="G227" s="17">
        <f>D227+E227-F227</f>
        <v>178000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1603500000</v>
      </c>
      <c r="E228" s="25">
        <f>SUMIFS('Daftar Koreksi'!$H$5:$H$92,'Daftar Koreksi'!$D$5:$D$92,'1200'!A224,'Daftar Koreksi'!$G$5:$G$92,"Tanah",'Daftar Koreksi'!$H$5:$H$92,"&gt;0")</f>
        <v>0</v>
      </c>
      <c r="F228" s="25">
        <f>SUMIFS('Daftar Koreksi'!$H$5:$H$92,'Daftar Koreksi'!$D$5:$D$92,'1200'!A224,'Daftar Koreksi'!$G$5:$G$92,"Tanah",'Daftar Koreksi'!$H$5:$H$92,"&lt;0")-SUMIFS('Daftar Koreksi'!$H$5:$H$92,'Daftar Koreksi'!$D$5:$D$92,'1200'!A224,'Daftar Koreksi'!$G$5:$G$92,"Tanah",'Daftar Koreksi'!$H$5:$H$92,"&lt;0")-SUMIFS('Daftar Koreksi'!$H$5:$H$92,'Daftar Koreksi'!$D$5:$D$92,'1200'!A224,'Daftar Koreksi'!$G$5:$G$92,"Tanah",'Daftar Koreksi'!$H$5:$H$92,"&lt;0")</f>
        <v>0</v>
      </c>
      <c r="G228" s="17">
        <f t="shared" ref="G228:G244" si="10">D228+E228-F228</f>
        <v>1603500000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2295635367</v>
      </c>
      <c r="E229" s="25">
        <f>SUMIFS('Daftar Koreksi'!$H$5:$H$92,'Daftar Koreksi'!$D$5:$D$92,'1200'!A224,'Daftar Koreksi'!$G$5:$G$92,"Peralatan dan mesin",'Daftar Koreksi'!$H$5:$H$92,"&gt;0")</f>
        <v>0</v>
      </c>
      <c r="F229" s="25">
        <f>SUMIFS('Daftar Koreksi'!$H$5:$H$92,'Daftar Koreksi'!$D$5:$D$92,'1200'!A224,'Daftar Koreksi'!$G$5:$G$92,"Peralatan dan mesin",'Daftar Koreksi'!$H$5:$H$92,"&lt;0")-SUMIFS('Daftar Koreksi'!$H$5:$H$92,'Daftar Koreksi'!$D$5:$D$92,'1200'!A224,'Daftar Koreksi'!$G$5:$G$92,"Peralatan dan mesin",'Daftar Koreksi'!$H$5:$H$92,"&lt;0")-SUMIFS('Daftar Koreksi'!$H$5:$H$92,'Daftar Koreksi'!$D$5:$D$92,'1200'!A224,'Daftar Koreksi'!$G$5:$G$92,"Peralatan dan mesin",'Daftar Koreksi'!$H$5:$H$92,"&lt;0")</f>
        <v>0</v>
      </c>
      <c r="G229" s="17">
        <f t="shared" si="10"/>
        <v>2295635367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8981760694</v>
      </c>
      <c r="E230" s="25">
        <f>SUMIFS('Daftar Koreksi'!$H$5:$H$92,'Daftar Koreksi'!$D$5:$D$92,'1200'!A224,'Daftar Koreksi'!$G$5:$G$92,"Gedung dan Bangunan",'Daftar Koreksi'!$H$5:$H$92,"&gt;0")</f>
        <v>0</v>
      </c>
      <c r="F230" s="25">
        <f>SUMIFS('Daftar Koreksi'!$H$5:$H$92,'Daftar Koreksi'!$D$5:$D$92,'1200'!A224,'Daftar Koreksi'!$G$5:$G$92,"Gedung dan Bangunan",'Daftar Koreksi'!$H$5:$H$92,"&lt;0")-SUMIFS('Daftar Koreksi'!$H$5:$H$92,'Daftar Koreksi'!$D$5:$D$92,'1200'!A224,'Daftar Koreksi'!$G$5:$G$92,"Gedung dan Bangunan",'Daftar Koreksi'!$H$5:$H$92,"&lt;0")-SUMIFS('Daftar Koreksi'!$H$5:$H$92,'Daftar Koreksi'!$D$5:$D$92,'1200'!A224,'Daftar Koreksi'!$G$5:$G$92,"Gedung dan Bangunan",'Daftar Koreksi'!$H$5:$H$92,"&lt;0")</f>
        <v>0</v>
      </c>
      <c r="G230" s="17">
        <f t="shared" si="10"/>
        <v>8981760694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234569796</v>
      </c>
      <c r="E231" s="25">
        <f>SUMIFS('Daftar Koreksi'!$H$5:$H$92,'Daftar Koreksi'!$D$5:$D$92,'1200'!A224,'Daftar Koreksi'!$G$5:$G$92,"Jalan Irigasi Jaringan",'Daftar Koreksi'!$H$5:$H$92,"&gt;0")</f>
        <v>0</v>
      </c>
      <c r="F231" s="25">
        <f>SUMIFS('Daftar Koreksi'!$H$5:$H$92,'Daftar Koreksi'!$D$5:$D$92,'1200'!A224,'Daftar Koreksi'!$G$5:$G$92,"Jalan Irigasi Jaringan",'Daftar Koreksi'!$H$5:$H$92,"&lt;0")-SUMIFS('Daftar Koreksi'!$H$5:$H$92,'Daftar Koreksi'!$D$5:$D$92,'1200'!A224,'Daftar Koreksi'!$G$5:$G$92,"Jalan Irigasi Jaringan",'Daftar Koreksi'!$H$5:$H$92,"&lt;0")-SUMIFS('Daftar Koreksi'!$H$5:$H$92,'Daftar Koreksi'!$D$5:$D$92,'1200'!A224,'Daftar Koreksi'!$G$5:$G$92,"Jalan Irigasi Jaringan",'Daftar Koreksi'!$H$5:$H$92,"&lt;0")</f>
        <v>0</v>
      </c>
      <c r="G231" s="17">
        <f t="shared" si="10"/>
        <v>234569796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24572118</v>
      </c>
      <c r="E232" s="25">
        <f>SUMIFS('Daftar Koreksi'!$H$5:$H$92,'Daftar Koreksi'!$D$5:$D$92,'1200'!A224,'Daftar Koreksi'!$G$5:$G$92,"Aset Tetap Lainnya",'Daftar Koreksi'!$H$5:$H$92,"&gt;0")</f>
        <v>0</v>
      </c>
      <c r="F232" s="25">
        <f>SUMIFS('Daftar Koreksi'!$H$5:$H$92,'Daftar Koreksi'!$D$5:$D$92,'1200'!A224,'Daftar Koreksi'!$G$5:$G$92,"Aset Tetap Lainnya",'Daftar Koreksi'!$H$5:$H$92,"&lt;0")-SUMIFS('Daftar Koreksi'!$H$5:$H$92,'Daftar Koreksi'!$D$5:$D$92,'1200'!A224,'Daftar Koreksi'!$G$5:$G$92,"Aset Tetap Lainnya",'Daftar Koreksi'!$H$5:$H$92,"&lt;0")-SUMIFS('Daftar Koreksi'!$H$5:$H$92,'Daftar Koreksi'!$D$5:$D$92,'1200'!A224,'Daftar Koreksi'!$G$5:$G$92,"Aset Tetap Lainnya",'Daftar Koreksi'!$H$5:$H$92,"&lt;0")</f>
        <v>0</v>
      </c>
      <c r="G232" s="17">
        <f t="shared" si="10"/>
        <v>24572118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437898000</v>
      </c>
      <c r="E233" s="25">
        <f>SUMIFS('Daftar Koreksi'!$H$5:$H$92,'Daftar Koreksi'!$D$5:$D$92,'1200'!A224,'Daftar Koreksi'!$G$5:$G$92,"Kontruksi Dalam Pengerjaan",'Daftar Koreksi'!$H$5:$H$92,"&gt;0")</f>
        <v>0</v>
      </c>
      <c r="F233" s="25">
        <f>SUMIFS('Daftar Koreksi'!$H$5:$H$92,'Daftar Koreksi'!$D$5:$D$92,'1200'!A224,'Daftar Koreksi'!$G$5:$G$92,"Kontruksi Dalam Pengerjaan",'Daftar Koreksi'!$H$5:$H$92,"&lt;0")-SUMIFS('Daftar Koreksi'!$H$5:$H$92,'Daftar Koreksi'!$D$5:$D$92,'1200'!A224,'Daftar Koreksi'!$G$5:$G$92,"Kontruksi Dalam Pengerjaan",'Daftar Koreksi'!$H$5:$H$92,"&lt;0")-SUMIFS('Daftar Koreksi'!$H$5:$H$92,'Daftar Koreksi'!$D$5:$D$92,'1200'!A224,'Daftar Koreksi'!$G$5:$G$92,"Kontruksi Dalam Pengerjaan",'Daftar Koreksi'!$H$5:$H$92,"&lt;0")</f>
        <v>0</v>
      </c>
      <c r="G233" s="17">
        <f t="shared" si="10"/>
        <v>437898000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Koreksi'!$D$5:$D$92,'1200'!A224,'Daftar Koreksi'!$G$5:$G$92,"Aset Tak Berwujud",'Daftar Koreksi'!$H$5:$H$92,"&gt;0")</f>
        <v>0</v>
      </c>
      <c r="F234" s="25">
        <f>SUMIFS('Daftar Koreksi'!$H$5:$H$92,'Daftar Koreksi'!$D$5:$D$92,'1200'!A224,'Daftar Koreksi'!$G$5:$G$92,"Aset Tak Berwujud",'Daftar Koreksi'!$H$5:$H$92,"&lt;0")-SUMIFS('Daftar Koreksi'!$H$5:$H$92,'Daftar Koreksi'!$D$5:$D$92,'1200'!A224,'Daftar Koreksi'!$G$5:$G$92,"Aset Tak Berwujud",'Daftar Koreksi'!$H$5:$H$92,"&lt;0")-SUMIFS('Daftar Koreksi'!$H$5:$H$92,'Daftar Koreksi'!$D$5:$D$92,'1200'!A224,'Daftar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14700000</v>
      </c>
      <c r="E235" s="25">
        <f>SUMIFS('Daftar Koreksi'!$H$5:$H$92,'Daftar Koreksi'!$D$5:$D$92,'1200'!A224,'Daftar Koreksi'!$G$5:$G$92,"Aset Henti Guna",'Daftar Koreksi'!$H$5:$H$92,"&gt;0")</f>
        <v>0</v>
      </c>
      <c r="F235" s="25">
        <f>SUMIFS('Daftar Koreksi'!$H$5:$H$92,'Daftar Koreksi'!$D$5:$D$92,'1200'!A224,'Daftar Koreksi'!$G$5:$G$92,"Aset Henti Guna",'Daftar Koreksi'!$H$5:$H$92,"&lt;0")-SUMIFS('Daftar Koreksi'!$H$5:$H$92,'Daftar Koreksi'!$D$5:$D$92,'1200'!A224,'Daftar Koreksi'!$G$5:$G$92,"Aset Henti Guna",'Daftar Koreksi'!$H$5:$H$92,"&lt;0")-SUMIFS('Daftar Koreksi'!$H$5:$H$92,'Daftar Koreksi'!$D$5:$D$92,'1200'!A224,'Daftar Koreksi'!$G$5:$G$92,"Aset Henti Guna",'Daftar Koreksi'!$H$5:$H$92,"&lt;0")</f>
        <v>0</v>
      </c>
      <c r="G235" s="17">
        <f t="shared" si="10"/>
        <v>14700000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13592813975</v>
      </c>
      <c r="E236" s="19">
        <f>SUM(E227:E235)</f>
        <v>0</v>
      </c>
      <c r="F236" s="19">
        <f>SUM(F227:F235)</f>
        <v>0</v>
      </c>
      <c r="G236" s="19">
        <f t="shared" si="10"/>
        <v>13592813975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-1961718894</v>
      </c>
      <c r="E237" s="25">
        <f>SUMIFS('Daftar Koreksi'!$I$5:$I$92,'Daftar Koreksi'!$D$5:$D$92,'1200'!A224,'Daftar Koreksi'!$G$5:$G$92,"Peralatan dan mesin",'Daftar Koreksi'!$I$5:$I$92,"&gt;0")</f>
        <v>0</v>
      </c>
      <c r="F237" s="25">
        <f>SUMIFS('Daftar Koreksi'!$I$5:$I$92,'Daftar Koreksi'!$D$5:$D$92,'1200'!A224,'Daftar Koreksi'!$G$5:$G$92,"Peralatan dan mesin",'Daftar Koreksi'!$I$5:$I$92,"&lt;0")-SUMIFS('Daftar Koreksi'!$I$5:$I$92,'Daftar Koreksi'!$D$5:$D$92,'1200'!A224,'Daftar Koreksi'!$G$5:$G$92,"Peralatan dan mesin",'Daftar Koreksi'!$I$5:$I$92,"&lt;0")-SUMIFS('Daftar Koreksi'!$I$5:$I$92,'Daftar Koreksi'!$D$5:$D$92,'1200'!A224,'Daftar Koreksi'!$G$5:$G$92,"Peralatan dan mesin",'Daftar Koreksi'!$I$5:$I$92,"&lt;0")</f>
        <v>0</v>
      </c>
      <c r="G237" s="17">
        <f t="shared" si="10"/>
        <v>-1961718894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-1960035215</v>
      </c>
      <c r="E238" s="25">
        <f>SUMIFS('Daftar Koreksi'!$I$5:$I$92,'Daftar Koreksi'!$D$5:$D$92,'1200'!A224,'Daftar Koreksi'!$G$5:$G$92,"Gedung dan Bangunan",'Daftar Koreksi'!$I$5:$I$92,"&gt;0")</f>
        <v>0</v>
      </c>
      <c r="F238" s="25">
        <f>SUMIFS('Daftar Koreksi'!$I$5:$I$92,'Daftar Koreksi'!$D$5:$D$92,'1200'!A224,'Daftar Koreksi'!$G$5:$G$92,"Gedung dan Bangunan",'Daftar Koreksi'!$I$5:$I$92,"&lt;0")-SUMIFS('Daftar Koreksi'!$I$5:$I$92,'Daftar Koreksi'!$D$5:$D$92,'1200'!A224,'Daftar Koreksi'!$G$5:$G$92,"Gedung dan Bangunan",'Daftar Koreksi'!$I$5:$I$92,"&lt;0")-SUMIFS('Daftar Koreksi'!$I$5:$I$92,'Daftar Koreksi'!$D$5:$D$92,'1200'!A224,'Daftar Koreksi'!$G$5:$G$92,"Gedung dan Bangunan",'Daftar Koreksi'!$I$5:$I$92,"&lt;0")</f>
        <v>0</v>
      </c>
      <c r="G238" s="17">
        <f t="shared" si="10"/>
        <v>-1960035215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-125038286</v>
      </c>
      <c r="E239" s="25">
        <f>SUMIFS('Daftar Koreksi'!$I$5:$I$92,'Daftar Koreksi'!$D$5:$D$92,'1200'!A224,'Daftar Koreksi'!$G$5:$G$92,"Jalan Irigasi Jaringan",'Daftar Koreksi'!$I$5:$I$92,"&gt;0")</f>
        <v>0</v>
      </c>
      <c r="F239" s="25">
        <f>SUMIFS('Daftar Koreksi'!$I$5:$I$92,'Daftar Koreksi'!$D$5:$D$92,'1200'!A224,'Daftar Koreksi'!$G$5:$G$92,"Jalan Irigasi Jaringan",'Daftar Koreksi'!$I$5:$I$92,"&lt;0")-SUMIFS('Daftar Koreksi'!$I$5:$I$92,'Daftar Koreksi'!$D$5:$D$92,'1200'!A224,'Daftar Koreksi'!$G$5:$G$92,"Jalan Irigasi Jaringan",'Daftar Koreksi'!$I$5:$I$92,"&lt;0")-SUMIFS('Daftar Koreksi'!$I$5:$I$92,'Daftar Koreksi'!$D$5:$D$92,'1200'!A224,'Daftar Koreksi'!$G$5:$G$92,"Jalan Irigasi Jaringan",'Daftar Koreksi'!$I$5:$I$92,"&lt;0")</f>
        <v>0</v>
      </c>
      <c r="G239" s="17">
        <f t="shared" si="10"/>
        <v>-125038286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-19800000</v>
      </c>
      <c r="E240" s="25">
        <f>SUMIFS('Daftar Koreksi'!$I$5:$I$92,'Daftar Koreksi'!$D$5:$D$92,'1200'!A224,'Daftar Koreksi'!$G$5:$G$92,"Aset Tetap Lainnya",'Daftar Koreksi'!$I$5:$I$92,"&gt;0")</f>
        <v>0</v>
      </c>
      <c r="F240" s="25">
        <f>SUMIFS('Daftar Koreksi'!$I$5:$I$92,'Daftar Koreksi'!$D$5:$D$92,'1200'!A224,'Daftar Koreksi'!$G$5:$G$92,"Aset Tetap Lainnya",'Daftar Koreksi'!$I$5:$I$92,"&lt;0")-SUMIFS('Daftar Koreksi'!$I$5:$I$92,'Daftar Koreksi'!$D$5:$D$92,'1200'!A224,'Daftar Koreksi'!$G$5:$G$92,"Aset Tetap Lainnya",'Daftar Koreksi'!$I$5:$I$92,"&lt;0")-SUMIFS('Daftar Koreksi'!$I$5:$I$92,'Daftar Koreksi'!$D$5:$D$92,'1200'!A224,'Daftar Koreksi'!$G$5:$G$92,"Aset Tetap Lainnya",'Daftar Koreksi'!$I$5:$I$92,"&lt;0")</f>
        <v>0</v>
      </c>
      <c r="G240" s="17">
        <f t="shared" si="10"/>
        <v>-19800000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-14700000</v>
      </c>
      <c r="E241" s="25">
        <f>SUMIFS('Daftar Koreksi'!$I$5:$I$92,'Daftar Koreksi'!$D$5:$D$92,'1200'!A224,'Daftar Koreksi'!$G$5:$G$92,"Aset Henti Guna",'Daftar Koreksi'!$I$5:$I$92,"&gt;0")</f>
        <v>0</v>
      </c>
      <c r="F241" s="25">
        <f>SUMIFS('Daftar Koreksi'!$I$5:$I$92,'Daftar Koreksi'!$D$5:$D$92,'1200'!A224,'Daftar Koreksi'!$G$5:$G$92,"Aset Henti Guna",'Daftar Koreksi'!$I$5:$I$92,"&lt;0")-SUMIFS('Daftar Koreksi'!$I$5:$I$92,'Daftar Koreksi'!$D$5:$D$92,'1200'!A224,'Daftar Koreksi'!$G$5:$G$92,"Aset Henti Guna",'Daftar Koreksi'!$I$5:$I$92,"&lt;0")-SUMIFS('Daftar Koreksi'!$I$5:$I$92,'Daftar Koreksi'!$D$5:$D$92,'1200'!A224,'Daftar Koreksi'!$G$5:$G$92,"Aset Henti Guna",'Daftar Koreksi'!$I$5:$I$92,"&lt;0")</f>
        <v>0</v>
      </c>
      <c r="G241" s="17">
        <f t="shared" si="10"/>
        <v>-14700000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-4081292395</v>
      </c>
      <c r="E242" s="19">
        <f>SUM(E237:E241)</f>
        <v>0</v>
      </c>
      <c r="F242" s="19">
        <f>SUM(F237:F241)</f>
        <v>0</v>
      </c>
      <c r="G242" s="19">
        <f t="shared" si="10"/>
        <v>-4081292395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9511521580</v>
      </c>
      <c r="E243" s="19">
        <f>E242+E236</f>
        <v>0</v>
      </c>
      <c r="F243" s="19">
        <f>F242+F236</f>
        <v>0</v>
      </c>
      <c r="G243" s="19">
        <f t="shared" si="10"/>
        <v>9511521580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005011200547678000KD</v>
      </c>
      <c r="B246" s="11" t="str">
        <f>P12</f>
        <v>PTA. Bandar Lampung</v>
      </c>
      <c r="C246" s="12" t="str">
        <f>A246&amp;" "&amp;B246</f>
        <v>005011200547678000KD PTA. Bandar Lampung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10449050</v>
      </c>
      <c r="E249" s="25">
        <f>SUMIFS('Daftar Koreksi'!$H$5:$H$92,'Daftar Koreksi'!$D$5:$D$92,'1200'!A246,'Daftar Koreksi'!$G$5:$G$92,"Persediaan",'Daftar Koreksi'!$H$5:$H$92,"&gt;0")</f>
        <v>0</v>
      </c>
      <c r="F249" s="25">
        <f>SUMIFS('Daftar Koreksi'!$H$5:$H$92,'Daftar Koreksi'!$D$5:$D$92,'1200'!A246,'Daftar Koreksi'!$G$5:$G$92,"Persediaan",'Daftar Koreksi'!$H$5:$H$92,"&lt;0")-SUMIFS('Daftar Koreksi'!$H$5:$H$92,'Daftar Koreksi'!$D$5:$D$92,'1200'!A246,'Daftar Koreksi'!$G$5:$G$92,"Persediaan",'Daftar Koreksi'!$H$5:$H$92,"&lt;0")-SUMIFS('Daftar Koreksi'!$H$5:$H$92,'Daftar Koreksi'!$D$5:$D$92,'1200'!A246,'Daftar Koreksi'!$G$5:$G$92,"Persediaan",'Daftar Koreksi'!$H$5:$H$92,"&lt;0")</f>
        <v>0</v>
      </c>
      <c r="G249" s="17">
        <f>D249+E249-F249</f>
        <v>10449050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2122133994</v>
      </c>
      <c r="E250" s="25">
        <f>SUMIFS('Daftar Koreksi'!$H$5:$H$92,'Daftar Koreksi'!$D$5:$D$92,'1200'!A246,'Daftar Koreksi'!$G$5:$G$92,"Tanah",'Daftar Koreksi'!$H$5:$H$92,"&gt;0")</f>
        <v>0</v>
      </c>
      <c r="F250" s="25">
        <f>SUMIFS('Daftar Koreksi'!$H$5:$H$92,'Daftar Koreksi'!$D$5:$D$92,'1200'!A246,'Daftar Koreksi'!$G$5:$G$92,"Tanah",'Daftar Koreksi'!$H$5:$H$92,"&lt;0")-SUMIFS('Daftar Koreksi'!$H$5:$H$92,'Daftar Koreksi'!$D$5:$D$92,'1200'!A246,'Daftar Koreksi'!$G$5:$G$92,"Tanah",'Daftar Koreksi'!$H$5:$H$92,"&lt;0")-SUMIFS('Daftar Koreksi'!$H$5:$H$92,'Daftar Koreksi'!$D$5:$D$92,'1200'!A246,'Daftar Koreksi'!$G$5:$G$92,"Tanah",'Daftar Koreksi'!$H$5:$H$92,"&lt;0")</f>
        <v>0</v>
      </c>
      <c r="G250" s="17">
        <f t="shared" ref="G250:G266" si="11">D250+E250-F250</f>
        <v>2122133994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3854957066</v>
      </c>
      <c r="E251" s="25">
        <f>SUMIFS('Daftar Koreksi'!$H$5:$H$92,'Daftar Koreksi'!$D$5:$D$92,'1200'!A246,'Daftar Koreksi'!$G$5:$G$92,"Peralatan dan mesin",'Daftar Koreksi'!$H$5:$H$92,"&gt;0")</f>
        <v>0</v>
      </c>
      <c r="F251" s="25">
        <f>SUMIFS('Daftar Koreksi'!$H$5:$H$92,'Daftar Koreksi'!$D$5:$D$92,'1200'!A246,'Daftar Koreksi'!$G$5:$G$92,"Peralatan dan mesin",'Daftar Koreksi'!$H$5:$H$92,"&lt;0")-SUMIFS('Daftar Koreksi'!$H$5:$H$92,'Daftar Koreksi'!$D$5:$D$92,'1200'!A246,'Daftar Koreksi'!$G$5:$G$92,"Peralatan dan mesin",'Daftar Koreksi'!$H$5:$H$92,"&lt;0")-SUMIFS('Daftar Koreksi'!$H$5:$H$92,'Daftar Koreksi'!$D$5:$D$92,'1200'!A246,'Daftar Koreksi'!$G$5:$G$92,"Peralatan dan mesin",'Daftar Koreksi'!$H$5:$H$92,"&lt;0")</f>
        <v>0</v>
      </c>
      <c r="G251" s="17">
        <f t="shared" si="11"/>
        <v>3854957066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9027757499</v>
      </c>
      <c r="E252" s="25">
        <f>SUMIFS('Daftar Koreksi'!$H$5:$H$92,'Daftar Koreksi'!$D$5:$D$92,'1200'!A246,'Daftar Koreksi'!$G$5:$G$92,"Gedung dan Bangunan",'Daftar Koreksi'!$H$5:$H$92,"&gt;0")</f>
        <v>0</v>
      </c>
      <c r="F252" s="25">
        <f>SUMIFS('Daftar Koreksi'!$H$5:$H$92,'Daftar Koreksi'!$D$5:$D$92,'1200'!A246,'Daftar Koreksi'!$G$5:$G$92,"Gedung dan Bangunan",'Daftar Koreksi'!$H$5:$H$92,"&lt;0")-SUMIFS('Daftar Koreksi'!$H$5:$H$92,'Daftar Koreksi'!$D$5:$D$92,'1200'!A246,'Daftar Koreksi'!$G$5:$G$92,"Gedung dan Bangunan",'Daftar Koreksi'!$H$5:$H$92,"&lt;0")-SUMIFS('Daftar Koreksi'!$H$5:$H$92,'Daftar Koreksi'!$D$5:$D$92,'1200'!A246,'Daftar Koreksi'!$G$5:$G$92,"Gedung dan Bangunan",'Daftar Koreksi'!$H$5:$H$92,"&lt;0")</f>
        <v>0</v>
      </c>
      <c r="G252" s="17">
        <f t="shared" si="11"/>
        <v>9027757499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484769501</v>
      </c>
      <c r="E253" s="25">
        <f>SUMIFS('Daftar Koreksi'!$H$5:$H$92,'Daftar Koreksi'!$D$5:$D$92,'1200'!A246,'Daftar Koreksi'!$G$5:$G$92,"Jalan Irigasi Jaringan",'Daftar Koreksi'!$H$5:$H$92,"&gt;0")</f>
        <v>0</v>
      </c>
      <c r="F253" s="25">
        <f>SUMIFS('Daftar Koreksi'!$H$5:$H$92,'Daftar Koreksi'!$D$5:$D$92,'1200'!A246,'Daftar Koreksi'!$G$5:$G$92,"Jalan Irigasi Jaringan",'Daftar Koreksi'!$H$5:$H$92,"&lt;0")-SUMIFS('Daftar Koreksi'!$H$5:$H$92,'Daftar Koreksi'!$D$5:$D$92,'1200'!A246,'Daftar Koreksi'!$G$5:$G$92,"Jalan Irigasi Jaringan",'Daftar Koreksi'!$H$5:$H$92,"&lt;0")-SUMIFS('Daftar Koreksi'!$H$5:$H$92,'Daftar Koreksi'!$D$5:$D$92,'1200'!A246,'Daftar Koreksi'!$G$5:$G$92,"Jalan Irigasi Jaringan",'Daftar Koreksi'!$H$5:$H$92,"&lt;0")</f>
        <v>0</v>
      </c>
      <c r="G253" s="17">
        <f t="shared" si="11"/>
        <v>484769501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61616678</v>
      </c>
      <c r="E254" s="25">
        <f>SUMIFS('Daftar Koreksi'!$H$5:$H$92,'Daftar Koreksi'!$D$5:$D$92,'1200'!A246,'Daftar Koreksi'!$G$5:$G$92,"Aset Tetap Lainnya",'Daftar Koreksi'!$H$5:$H$92,"&gt;0")</f>
        <v>0</v>
      </c>
      <c r="F254" s="25">
        <f>SUMIFS('Daftar Koreksi'!$H$5:$H$92,'Daftar Koreksi'!$D$5:$D$92,'1200'!A246,'Daftar Koreksi'!$G$5:$G$92,"Aset Tetap Lainnya",'Daftar Koreksi'!$H$5:$H$92,"&lt;0")-SUMIFS('Daftar Koreksi'!$H$5:$H$92,'Daftar Koreksi'!$D$5:$D$92,'1200'!A246,'Daftar Koreksi'!$G$5:$G$92,"Aset Tetap Lainnya",'Daftar Koreksi'!$H$5:$H$92,"&lt;0")-SUMIFS('Daftar Koreksi'!$H$5:$H$92,'Daftar Koreksi'!$D$5:$D$92,'1200'!A246,'Daftar Koreksi'!$G$5:$G$92,"Aset Tetap Lainnya",'Daftar Koreksi'!$H$5:$H$92,"&lt;0")</f>
        <v>0</v>
      </c>
      <c r="G254" s="17">
        <f t="shared" si="11"/>
        <v>61616678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Koreksi'!$D$5:$D$92,'1200'!A246,'Daftar Koreksi'!$G$5:$G$92,"Kontruksi Dalam Pengerjaan",'Daftar Koreksi'!$H$5:$H$92,"&gt;0")</f>
        <v>0</v>
      </c>
      <c r="F255" s="25">
        <f>SUMIFS('Daftar Koreksi'!$H$5:$H$92,'Daftar Koreksi'!$D$5:$D$92,'1200'!A246,'Daftar Koreksi'!$G$5:$G$92,"Kontruksi Dalam Pengerjaan",'Daftar Koreksi'!$H$5:$H$92,"&lt;0")-SUMIFS('Daftar Koreksi'!$H$5:$H$92,'Daftar Koreksi'!$D$5:$D$92,'1200'!A246,'Daftar Koreksi'!$G$5:$G$92,"Kontruksi Dalam Pengerjaan",'Daftar Koreksi'!$H$5:$H$92,"&lt;0")-SUMIFS('Daftar Koreksi'!$H$5:$H$92,'Daftar Koreksi'!$D$5:$D$92,'1200'!A246,'Daftar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20000000</v>
      </c>
      <c r="E256" s="25">
        <f>SUMIFS('Daftar Koreksi'!$H$5:$H$92,'Daftar Koreksi'!$D$5:$D$92,'1200'!A246,'Daftar Koreksi'!$G$5:$G$92,"Aset Tak Berwujud",'Daftar Koreksi'!$H$5:$H$92,"&gt;0")</f>
        <v>0</v>
      </c>
      <c r="F256" s="25">
        <f>SUMIFS('Daftar Koreksi'!$H$5:$H$92,'Daftar Koreksi'!$D$5:$D$92,'1200'!A246,'Daftar Koreksi'!$G$5:$G$92,"Aset Tak Berwujud",'Daftar Koreksi'!$H$5:$H$92,"&lt;0")-SUMIFS('Daftar Koreksi'!$H$5:$H$92,'Daftar Koreksi'!$D$5:$D$92,'1200'!A246,'Daftar Koreksi'!$G$5:$G$92,"Aset Tak Berwujud",'Daftar Koreksi'!$H$5:$H$92,"&lt;0")-SUMIFS('Daftar Koreksi'!$H$5:$H$92,'Daftar Koreksi'!$D$5:$D$92,'1200'!A246,'Daftar Koreksi'!$G$5:$G$92,"Aset Tak Berwujud",'Daftar Koreksi'!$H$5:$H$92,"&lt;0")</f>
        <v>0</v>
      </c>
      <c r="G256" s="17">
        <f t="shared" si="11"/>
        <v>20000000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19367000</v>
      </c>
      <c r="E257" s="25">
        <f>SUMIFS('Daftar Koreksi'!$H$5:$H$92,'Daftar Koreksi'!$D$5:$D$92,'1200'!A246,'Daftar Koreksi'!$G$5:$G$92,"Aset Henti Guna",'Daftar Koreksi'!$H$5:$H$92,"&gt;0")</f>
        <v>0</v>
      </c>
      <c r="F257" s="25">
        <f>SUMIFS('Daftar Koreksi'!$H$5:$H$92,'Daftar Koreksi'!$D$5:$D$92,'1200'!A246,'Daftar Koreksi'!$G$5:$G$92,"Aset Henti Guna",'Daftar Koreksi'!$H$5:$H$92,"&lt;0")-SUMIFS('Daftar Koreksi'!$H$5:$H$92,'Daftar Koreksi'!$D$5:$D$92,'1200'!A246,'Daftar Koreksi'!$G$5:$G$92,"Aset Henti Guna",'Daftar Koreksi'!$H$5:$H$92,"&lt;0")-SUMIFS('Daftar Koreksi'!$H$5:$H$92,'Daftar Koreksi'!$D$5:$D$92,'1200'!A246,'Daftar Koreksi'!$G$5:$G$92,"Aset Henti Guna",'Daftar Koreksi'!$H$5:$H$92,"&lt;0")</f>
        <v>0</v>
      </c>
      <c r="G257" s="17">
        <f t="shared" si="11"/>
        <v>19367000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15601050788</v>
      </c>
      <c r="E258" s="19">
        <f>SUM(E249:E257)</f>
        <v>0</v>
      </c>
      <c r="F258" s="19">
        <f>SUM(F249:F257)</f>
        <v>0</v>
      </c>
      <c r="G258" s="19">
        <f t="shared" si="11"/>
        <v>15601050788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-3450831266</v>
      </c>
      <c r="E259" s="25">
        <f>SUMIFS('Daftar Koreksi'!$I$5:$I$92,'Daftar Koreksi'!$D$5:$D$92,'1200'!A246,'Daftar Koreksi'!$G$5:$G$92,"Peralatan dan mesin",'Daftar Koreksi'!$I$5:$I$92,"&gt;0")</f>
        <v>0</v>
      </c>
      <c r="F259" s="25">
        <f>SUMIFS('Daftar Koreksi'!$I$5:$I$92,'Daftar Koreksi'!$D$5:$D$92,'1200'!A246,'Daftar Koreksi'!$G$5:$G$92,"Peralatan dan mesin",'Daftar Koreksi'!$I$5:$I$92,"&lt;0")-SUMIFS('Daftar Koreksi'!$I$5:$I$92,'Daftar Koreksi'!$D$5:$D$92,'1200'!A246,'Daftar Koreksi'!$G$5:$G$92,"Peralatan dan mesin",'Daftar Koreksi'!$I$5:$I$92,"&lt;0")-SUMIFS('Daftar Koreksi'!$I$5:$I$92,'Daftar Koreksi'!$D$5:$D$92,'1200'!A246,'Daftar Koreksi'!$G$5:$G$92,"Peralatan dan mesin",'Daftar Koreksi'!$I$5:$I$92,"&lt;0")</f>
        <v>0</v>
      </c>
      <c r="G259" s="17">
        <f t="shared" si="11"/>
        <v>-3450831266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-2061989945</v>
      </c>
      <c r="E260" s="25">
        <f>SUMIFS('Daftar Koreksi'!$I$5:$I$92,'Daftar Koreksi'!$D$5:$D$92,'1200'!A246,'Daftar Koreksi'!$G$5:$G$92,"Gedung dan Bangunan",'Daftar Koreksi'!$I$5:$I$92,"&gt;0")</f>
        <v>0</v>
      </c>
      <c r="F260" s="25">
        <f>SUMIFS('Daftar Koreksi'!$I$5:$I$92,'Daftar Koreksi'!$D$5:$D$92,'1200'!A246,'Daftar Koreksi'!$G$5:$G$92,"Gedung dan Bangunan",'Daftar Koreksi'!$I$5:$I$92,"&lt;0")-SUMIFS('Daftar Koreksi'!$I$5:$I$92,'Daftar Koreksi'!$D$5:$D$92,'1200'!A246,'Daftar Koreksi'!$G$5:$G$92,"Gedung dan Bangunan",'Daftar Koreksi'!$I$5:$I$92,"&lt;0")-SUMIFS('Daftar Koreksi'!$I$5:$I$92,'Daftar Koreksi'!$D$5:$D$92,'1200'!A246,'Daftar Koreksi'!$G$5:$G$92,"Gedung dan Bangunan",'Daftar Koreksi'!$I$5:$I$92,"&lt;0")</f>
        <v>0</v>
      </c>
      <c r="G260" s="17">
        <f t="shared" si="11"/>
        <v>-2061989945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-245494000</v>
      </c>
      <c r="E261" s="25">
        <f>SUMIFS('Daftar Koreksi'!$I$5:$I$92,'Daftar Koreksi'!$D$5:$D$92,'1200'!A246,'Daftar Koreksi'!$G$5:$G$92,"Jalan Irigasi Jaringan",'Daftar Koreksi'!$I$5:$I$92,"&gt;0")</f>
        <v>0</v>
      </c>
      <c r="F261" s="25">
        <f>SUMIFS('Daftar Koreksi'!$I$5:$I$92,'Daftar Koreksi'!$D$5:$D$92,'1200'!A246,'Daftar Koreksi'!$G$5:$G$92,"Jalan Irigasi Jaringan",'Daftar Koreksi'!$I$5:$I$92,"&lt;0")-SUMIFS('Daftar Koreksi'!$I$5:$I$92,'Daftar Koreksi'!$D$5:$D$92,'1200'!A246,'Daftar Koreksi'!$G$5:$G$92,"Jalan Irigasi Jaringan",'Daftar Koreksi'!$I$5:$I$92,"&lt;0")-SUMIFS('Daftar Koreksi'!$I$5:$I$92,'Daftar Koreksi'!$D$5:$D$92,'1200'!A246,'Daftar Koreksi'!$G$5:$G$92,"Jalan Irigasi Jaringan",'Daftar Koreksi'!$I$5:$I$92,"&lt;0")</f>
        <v>0</v>
      </c>
      <c r="G261" s="17">
        <f t="shared" si="11"/>
        <v>-245494000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-10000000</v>
      </c>
      <c r="E262" s="25">
        <f>SUMIFS('Daftar Koreksi'!$I$5:$I$92,'Daftar Koreksi'!$D$5:$D$92,'1200'!A246,'Daftar Koreksi'!$G$5:$G$92,"Aset Tetap Lainnya",'Daftar Koreksi'!$I$5:$I$92,"&gt;0")</f>
        <v>0</v>
      </c>
      <c r="F262" s="25">
        <f>SUMIFS('Daftar Koreksi'!$I$5:$I$92,'Daftar Koreksi'!$D$5:$D$92,'1200'!A246,'Daftar Koreksi'!$G$5:$G$92,"Aset Tetap Lainnya",'Daftar Koreksi'!$I$5:$I$92,"&lt;0")-SUMIFS('Daftar Koreksi'!$I$5:$I$92,'Daftar Koreksi'!$D$5:$D$92,'1200'!A246,'Daftar Koreksi'!$G$5:$G$92,"Aset Tetap Lainnya",'Daftar Koreksi'!$I$5:$I$92,"&lt;0")-SUMIFS('Daftar Koreksi'!$I$5:$I$92,'Daftar Koreksi'!$D$5:$D$92,'1200'!A246,'Daftar Koreksi'!$G$5:$G$92,"Aset Tetap Lainnya",'Daftar Koreksi'!$I$5:$I$92,"&lt;0")</f>
        <v>0</v>
      </c>
      <c r="G262" s="17">
        <f t="shared" si="11"/>
        <v>-10000000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-19367000</v>
      </c>
      <c r="E263" s="25">
        <f>SUMIFS('Daftar Koreksi'!$I$5:$I$92,'Daftar Koreksi'!$D$5:$D$92,'1200'!A246,'Daftar Koreksi'!$G$5:$G$92,"Aset Henti Guna",'Daftar Koreksi'!$I$5:$I$92,"&gt;0")</f>
        <v>0</v>
      </c>
      <c r="F263" s="25">
        <f>SUMIFS('Daftar Koreksi'!$I$5:$I$92,'Daftar Koreksi'!$D$5:$D$92,'1200'!A246,'Daftar Koreksi'!$G$5:$G$92,"Aset Henti Guna",'Daftar Koreksi'!$I$5:$I$92,"&lt;0")-SUMIFS('Daftar Koreksi'!$I$5:$I$92,'Daftar Koreksi'!$D$5:$D$92,'1200'!A246,'Daftar Koreksi'!$G$5:$G$92,"Aset Henti Guna",'Daftar Koreksi'!$I$5:$I$92,"&lt;0")-SUMIFS('Daftar Koreksi'!$I$5:$I$92,'Daftar Koreksi'!$D$5:$D$92,'1200'!A246,'Daftar Koreksi'!$G$5:$G$92,"Aset Henti Guna",'Daftar Koreksi'!$I$5:$I$92,"&lt;0")</f>
        <v>0</v>
      </c>
      <c r="G263" s="17">
        <f t="shared" si="11"/>
        <v>-19367000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-5787682211</v>
      </c>
      <c r="E264" s="19">
        <f>SUM(E259:E263)</f>
        <v>0</v>
      </c>
      <c r="F264" s="19">
        <f>SUM(F259:F263)</f>
        <v>0</v>
      </c>
      <c r="G264" s="19">
        <f t="shared" si="11"/>
        <v>-5787682211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9813368577</v>
      </c>
      <c r="E265" s="19">
        <f>E264+E258</f>
        <v>0</v>
      </c>
      <c r="F265" s="19">
        <f>F264+F258</f>
        <v>0</v>
      </c>
      <c r="G265" s="19">
        <f t="shared" si="11"/>
        <v>9813368577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005011200559840000KD</v>
      </c>
      <c r="B268" s="11" t="str">
        <f>P13</f>
        <v>PTUN. Tanjung Karang</v>
      </c>
      <c r="C268" s="12" t="str">
        <f>A268&amp;" "&amp;B268</f>
        <v>005011200559840000KD PTUN. Tanjung Karang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4611310</v>
      </c>
      <c r="E271" s="25">
        <f>SUMIFS('Daftar Koreksi'!$H$5:$H$92,'Daftar Koreksi'!$D$5:$D$92,'1200'!A268,'Daftar Koreksi'!$G$5:$G$92,"Persediaan",'Daftar Koreksi'!$H$5:$H$92,"&gt;0")</f>
        <v>0</v>
      </c>
      <c r="F271" s="25">
        <f>SUMIFS('Daftar Koreksi'!$H$5:$H$92,'Daftar Koreksi'!$D$5:$D$92,'1200'!A268,'Daftar Koreksi'!$G$5:$G$92,"Persediaan",'Daftar Koreksi'!$H$5:$H$92,"&lt;0")-SUMIFS('Daftar Koreksi'!$H$5:$H$92,'Daftar Koreksi'!$D$5:$D$92,'1200'!A268,'Daftar Koreksi'!$G$5:$G$92,"Persediaan",'Daftar Koreksi'!$H$5:$H$92,"&lt;0")-SUMIFS('Daftar Koreksi'!$H$5:$H$92,'Daftar Koreksi'!$D$5:$D$92,'1200'!A268,'Daftar Koreksi'!$G$5:$G$92,"Persediaan",'Daftar Koreksi'!$H$5:$H$92,"&lt;0")</f>
        <v>0</v>
      </c>
      <c r="G271" s="17">
        <f>D271+E271-F271</f>
        <v>4611310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2019900000</v>
      </c>
      <c r="E272" s="25">
        <f>SUMIFS('Daftar Koreksi'!$H$5:$H$92,'Daftar Koreksi'!$D$5:$D$92,'1200'!A268,'Daftar Koreksi'!$G$5:$G$92,"Tanah",'Daftar Koreksi'!$H$5:$H$92,"&gt;0")</f>
        <v>0</v>
      </c>
      <c r="F272" s="25">
        <f>SUMIFS('Daftar Koreksi'!$H$5:$H$92,'Daftar Koreksi'!$D$5:$D$92,'1200'!A268,'Daftar Koreksi'!$G$5:$G$92,"Tanah",'Daftar Koreksi'!$H$5:$H$92,"&lt;0")-SUMIFS('Daftar Koreksi'!$H$5:$H$92,'Daftar Koreksi'!$D$5:$D$92,'1200'!A268,'Daftar Koreksi'!$G$5:$G$92,"Tanah",'Daftar Koreksi'!$H$5:$H$92,"&lt;0")-SUMIFS('Daftar Koreksi'!$H$5:$H$92,'Daftar Koreksi'!$D$5:$D$92,'1200'!A268,'Daftar Koreksi'!$G$5:$G$92,"Tanah",'Daftar Koreksi'!$H$5:$H$92,"&lt;0")</f>
        <v>0</v>
      </c>
      <c r="G272" s="17">
        <f t="shared" ref="G272:G288" si="12">D272+E272-F272</f>
        <v>2019900000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1877011847</v>
      </c>
      <c r="E273" s="25">
        <f>SUMIFS('Daftar Koreksi'!$H$5:$H$92,'Daftar Koreksi'!$D$5:$D$92,'1200'!A268,'Daftar Koreksi'!$G$5:$G$92,"Peralatan dan mesin",'Daftar Koreksi'!$H$5:$H$92,"&gt;0")</f>
        <v>0</v>
      </c>
      <c r="F273" s="25">
        <f>SUMIFS('Daftar Koreksi'!$H$5:$H$92,'Daftar Koreksi'!$D$5:$D$92,'1200'!A268,'Daftar Koreksi'!$G$5:$G$92,"Peralatan dan mesin",'Daftar Koreksi'!$H$5:$H$92,"&lt;0")-SUMIFS('Daftar Koreksi'!$H$5:$H$92,'Daftar Koreksi'!$D$5:$D$92,'1200'!A268,'Daftar Koreksi'!$G$5:$G$92,"Peralatan dan mesin",'Daftar Koreksi'!$H$5:$H$92,"&lt;0")-SUMIFS('Daftar Koreksi'!$H$5:$H$92,'Daftar Koreksi'!$D$5:$D$92,'1200'!A268,'Daftar Koreksi'!$G$5:$G$92,"Peralatan dan mesin",'Daftar Koreksi'!$H$5:$H$92,"&lt;0")</f>
        <v>0</v>
      </c>
      <c r="G273" s="17">
        <f t="shared" si="12"/>
        <v>1877011847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9969542334</v>
      </c>
      <c r="E274" s="25">
        <f>SUMIFS('Daftar Koreksi'!$H$5:$H$92,'Daftar Koreksi'!$D$5:$D$92,'1200'!A268,'Daftar Koreksi'!$G$5:$G$92,"Gedung dan Bangunan",'Daftar Koreksi'!$H$5:$H$92,"&gt;0")</f>
        <v>0</v>
      </c>
      <c r="F274" s="25">
        <f>SUMIFS('Daftar Koreksi'!$H$5:$H$92,'Daftar Koreksi'!$D$5:$D$92,'1200'!A268,'Daftar Koreksi'!$G$5:$G$92,"Gedung dan Bangunan",'Daftar Koreksi'!$H$5:$H$92,"&lt;0")-SUMIFS('Daftar Koreksi'!$H$5:$H$92,'Daftar Koreksi'!$D$5:$D$92,'1200'!A268,'Daftar Koreksi'!$G$5:$G$92,"Gedung dan Bangunan",'Daftar Koreksi'!$H$5:$H$92,"&lt;0")-SUMIFS('Daftar Koreksi'!$H$5:$H$92,'Daftar Koreksi'!$D$5:$D$92,'1200'!A268,'Daftar Koreksi'!$G$5:$G$92,"Gedung dan Bangunan",'Daftar Koreksi'!$H$5:$H$92,"&lt;0")</f>
        <v>0</v>
      </c>
      <c r="G274" s="17">
        <f t="shared" si="12"/>
        <v>9969542334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52905561</v>
      </c>
      <c r="E275" s="25">
        <f>SUMIFS('Daftar Koreksi'!$H$5:$H$92,'Daftar Koreksi'!$D$5:$D$92,'1200'!A268,'Daftar Koreksi'!$G$5:$G$92,"Jalan Irigasi Jaringan",'Daftar Koreksi'!$H$5:$H$92,"&gt;0")</f>
        <v>0</v>
      </c>
      <c r="F275" s="25">
        <f>SUMIFS('Daftar Koreksi'!$H$5:$H$92,'Daftar Koreksi'!$D$5:$D$92,'1200'!A268,'Daftar Koreksi'!$G$5:$G$92,"Jalan Irigasi Jaringan",'Daftar Koreksi'!$H$5:$H$92,"&lt;0")-SUMIFS('Daftar Koreksi'!$H$5:$H$92,'Daftar Koreksi'!$D$5:$D$92,'1200'!A268,'Daftar Koreksi'!$G$5:$G$92,"Jalan Irigasi Jaringan",'Daftar Koreksi'!$H$5:$H$92,"&lt;0")-SUMIFS('Daftar Koreksi'!$H$5:$H$92,'Daftar Koreksi'!$D$5:$D$92,'1200'!A268,'Daftar Koreksi'!$G$5:$G$92,"Jalan Irigasi Jaringan",'Daftar Koreksi'!$H$5:$H$92,"&lt;0")</f>
        <v>0</v>
      </c>
      <c r="G275" s="17">
        <f t="shared" si="12"/>
        <v>52905561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5628678</v>
      </c>
      <c r="E276" s="25">
        <f>SUMIFS('Daftar Koreksi'!$H$5:$H$92,'Daftar Koreksi'!$D$5:$D$92,'1200'!A268,'Daftar Koreksi'!$G$5:$G$92,"Aset Tetap Lainnya",'Daftar Koreksi'!$H$5:$H$92,"&gt;0")</f>
        <v>0</v>
      </c>
      <c r="F276" s="25">
        <f>SUMIFS('Daftar Koreksi'!$H$5:$H$92,'Daftar Koreksi'!$D$5:$D$92,'1200'!A268,'Daftar Koreksi'!$G$5:$G$92,"Aset Tetap Lainnya",'Daftar Koreksi'!$H$5:$H$92,"&lt;0")-SUMIFS('Daftar Koreksi'!$H$5:$H$92,'Daftar Koreksi'!$D$5:$D$92,'1200'!A268,'Daftar Koreksi'!$G$5:$G$92,"Aset Tetap Lainnya",'Daftar Koreksi'!$H$5:$H$92,"&lt;0")-SUMIFS('Daftar Koreksi'!$H$5:$H$92,'Daftar Koreksi'!$D$5:$D$92,'1200'!A268,'Daftar Koreksi'!$G$5:$G$92,"Aset Tetap Lainnya",'Daftar Koreksi'!$H$5:$H$92,"&lt;0")</f>
        <v>0</v>
      </c>
      <c r="G276" s="17">
        <f t="shared" si="12"/>
        <v>5628678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Koreksi'!$D$5:$D$92,'1200'!A268,'Daftar Koreksi'!$G$5:$G$92,"Kontruksi Dalam Pengerjaan",'Daftar Koreksi'!$H$5:$H$92,"&gt;0")</f>
        <v>0</v>
      </c>
      <c r="F277" s="25">
        <f>SUMIFS('Daftar Koreksi'!$H$5:$H$92,'Daftar Koreksi'!$D$5:$D$92,'1200'!A268,'Daftar Koreksi'!$G$5:$G$92,"Kontruksi Dalam Pengerjaan",'Daftar Koreksi'!$H$5:$H$92,"&lt;0")-SUMIFS('Daftar Koreksi'!$H$5:$H$92,'Daftar Koreksi'!$D$5:$D$92,'1200'!A268,'Daftar Koreksi'!$G$5:$G$92,"Kontruksi Dalam Pengerjaan",'Daftar Koreksi'!$H$5:$H$92,"&lt;0")-SUMIFS('Daftar Koreksi'!$H$5:$H$92,'Daftar Koreksi'!$D$5:$D$92,'1200'!A268,'Daftar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68090000</v>
      </c>
      <c r="E278" s="25">
        <f>SUMIFS('Daftar Koreksi'!$H$5:$H$92,'Daftar Koreksi'!$D$5:$D$92,'1200'!A268,'Daftar Koreksi'!$G$5:$G$92,"Aset Tak Berwujud",'Daftar Koreksi'!$H$5:$H$92,"&gt;0")</f>
        <v>0</v>
      </c>
      <c r="F278" s="25">
        <f>SUMIFS('Daftar Koreksi'!$H$5:$H$92,'Daftar Koreksi'!$D$5:$D$92,'1200'!A268,'Daftar Koreksi'!$G$5:$G$92,"Aset Tak Berwujud",'Daftar Koreksi'!$H$5:$H$92,"&lt;0")-SUMIFS('Daftar Koreksi'!$H$5:$H$92,'Daftar Koreksi'!$D$5:$D$92,'1200'!A268,'Daftar Koreksi'!$G$5:$G$92,"Aset Tak Berwujud",'Daftar Koreksi'!$H$5:$H$92,"&lt;0")-SUMIFS('Daftar Koreksi'!$H$5:$H$92,'Daftar Koreksi'!$D$5:$D$92,'1200'!A268,'Daftar Koreksi'!$G$5:$G$92,"Aset Tak Berwujud",'Daftar Koreksi'!$H$5:$H$92,"&lt;0")</f>
        <v>0</v>
      </c>
      <c r="G278" s="17">
        <f t="shared" si="12"/>
        <v>68090000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33302899</v>
      </c>
      <c r="E279" s="25">
        <f>SUMIFS('Daftar Koreksi'!$H$5:$H$92,'Daftar Koreksi'!$D$5:$D$92,'1200'!A268,'Daftar Koreksi'!$G$5:$G$92,"Aset Henti Guna",'Daftar Koreksi'!$H$5:$H$92,"&gt;0")</f>
        <v>0</v>
      </c>
      <c r="F279" s="25">
        <f>SUMIFS('Daftar Koreksi'!$H$5:$H$92,'Daftar Koreksi'!$D$5:$D$92,'1200'!A268,'Daftar Koreksi'!$G$5:$G$92,"Aset Henti Guna",'Daftar Koreksi'!$H$5:$H$92,"&lt;0")-SUMIFS('Daftar Koreksi'!$H$5:$H$92,'Daftar Koreksi'!$D$5:$D$92,'1200'!A268,'Daftar Koreksi'!$G$5:$G$92,"Aset Henti Guna",'Daftar Koreksi'!$H$5:$H$92,"&lt;0")-SUMIFS('Daftar Koreksi'!$H$5:$H$92,'Daftar Koreksi'!$D$5:$D$92,'1200'!A268,'Daftar Koreksi'!$G$5:$G$92,"Aset Henti Guna",'Daftar Koreksi'!$H$5:$H$92,"&lt;0")</f>
        <v>0</v>
      </c>
      <c r="G279" s="17">
        <f t="shared" si="12"/>
        <v>33302899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14030992629</v>
      </c>
      <c r="E280" s="19">
        <f>SUM(E271:E279)</f>
        <v>0</v>
      </c>
      <c r="F280" s="19">
        <f>SUM(F271:F279)</f>
        <v>0</v>
      </c>
      <c r="G280" s="19">
        <f t="shared" si="12"/>
        <v>14030992629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-1640142848</v>
      </c>
      <c r="E281" s="25">
        <f>SUMIFS('Daftar Koreksi'!$I$5:$I$92,'Daftar Koreksi'!$D$5:$D$92,'1200'!A268,'Daftar Koreksi'!$G$5:$G$92,"Peralatan dan mesin",'Daftar Koreksi'!$I$5:$I$92,"&gt;0")</f>
        <v>0</v>
      </c>
      <c r="F281" s="25">
        <f>SUMIFS('Daftar Koreksi'!$I$5:$I$92,'Daftar Koreksi'!$D$5:$D$92,'1200'!A268,'Daftar Koreksi'!$G$5:$G$92,"Peralatan dan mesin",'Daftar Koreksi'!$I$5:$I$92,"&lt;0")-SUMIFS('Daftar Koreksi'!$I$5:$I$92,'Daftar Koreksi'!$D$5:$D$92,'1200'!A268,'Daftar Koreksi'!$G$5:$G$92,"Peralatan dan mesin",'Daftar Koreksi'!$I$5:$I$92,"&lt;0")-SUMIFS('Daftar Koreksi'!$I$5:$I$92,'Daftar Koreksi'!$D$5:$D$92,'1200'!A268,'Daftar Koreksi'!$G$5:$G$92,"Peralatan dan mesin",'Daftar Koreksi'!$I$5:$I$92,"&lt;0")</f>
        <v>0</v>
      </c>
      <c r="G281" s="17">
        <f t="shared" si="12"/>
        <v>-1640142848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-2766997569</v>
      </c>
      <c r="E282" s="25">
        <f>SUMIFS('Daftar Koreksi'!$I$5:$I$92,'Daftar Koreksi'!$D$5:$D$92,'1200'!A268,'Daftar Koreksi'!$G$5:$G$92,"Gedung dan Bangunan",'Daftar Koreksi'!$I$5:$I$92,"&gt;0")</f>
        <v>0</v>
      </c>
      <c r="F282" s="25">
        <f>SUMIFS('Daftar Koreksi'!$I$5:$I$92,'Daftar Koreksi'!$D$5:$D$92,'1200'!A268,'Daftar Koreksi'!$G$5:$G$92,"Gedung dan Bangunan",'Daftar Koreksi'!$I$5:$I$92,"&lt;0")-SUMIFS('Daftar Koreksi'!$I$5:$I$92,'Daftar Koreksi'!$D$5:$D$92,'1200'!A268,'Daftar Koreksi'!$G$5:$G$92,"Gedung dan Bangunan",'Daftar Koreksi'!$I$5:$I$92,"&lt;0")-SUMIFS('Daftar Koreksi'!$I$5:$I$92,'Daftar Koreksi'!$D$5:$D$92,'1200'!A268,'Daftar Koreksi'!$G$5:$G$92,"Gedung dan Bangunan",'Daftar Koreksi'!$I$5:$I$92,"&lt;0")</f>
        <v>0</v>
      </c>
      <c r="G282" s="17">
        <f t="shared" si="12"/>
        <v>-2766997569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-34388614</v>
      </c>
      <c r="E283" s="25">
        <f>SUMIFS('Daftar Koreksi'!$I$5:$I$92,'Daftar Koreksi'!$D$5:$D$92,'1200'!A268,'Daftar Koreksi'!$G$5:$G$92,"Jalan Irigasi Jaringan",'Daftar Koreksi'!$I$5:$I$92,"&gt;0")</f>
        <v>0</v>
      </c>
      <c r="F283" s="25">
        <f>SUMIFS('Daftar Koreksi'!$I$5:$I$92,'Daftar Koreksi'!$D$5:$D$92,'1200'!A268,'Daftar Koreksi'!$G$5:$G$92,"Jalan Irigasi Jaringan",'Daftar Koreksi'!$I$5:$I$92,"&lt;0")-SUMIFS('Daftar Koreksi'!$I$5:$I$92,'Daftar Koreksi'!$D$5:$D$92,'1200'!A268,'Daftar Koreksi'!$G$5:$G$92,"Jalan Irigasi Jaringan",'Daftar Koreksi'!$I$5:$I$92,"&lt;0")-SUMIFS('Daftar Koreksi'!$I$5:$I$92,'Daftar Koreksi'!$D$5:$D$92,'1200'!A268,'Daftar Koreksi'!$G$5:$G$92,"Jalan Irigasi Jaringan",'Daftar Koreksi'!$I$5:$I$92,"&lt;0")</f>
        <v>0</v>
      </c>
      <c r="G283" s="17">
        <f t="shared" si="12"/>
        <v>-34388614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-2800000</v>
      </c>
      <c r="E284" s="25">
        <f>SUMIFS('Daftar Koreksi'!$I$5:$I$92,'Daftar Koreksi'!$D$5:$D$92,'1200'!A268,'Daftar Koreksi'!$G$5:$G$92,"Aset Tetap Lainnya",'Daftar Koreksi'!$I$5:$I$92,"&gt;0")</f>
        <v>0</v>
      </c>
      <c r="F284" s="25">
        <f>SUMIFS('Daftar Koreksi'!$I$5:$I$92,'Daftar Koreksi'!$D$5:$D$92,'1200'!A268,'Daftar Koreksi'!$G$5:$G$92,"Aset Tetap Lainnya",'Daftar Koreksi'!$I$5:$I$92,"&lt;0")-SUMIFS('Daftar Koreksi'!$I$5:$I$92,'Daftar Koreksi'!$D$5:$D$92,'1200'!A268,'Daftar Koreksi'!$G$5:$G$92,"Aset Tetap Lainnya",'Daftar Koreksi'!$I$5:$I$92,"&lt;0")-SUMIFS('Daftar Koreksi'!$I$5:$I$92,'Daftar Koreksi'!$D$5:$D$92,'1200'!A268,'Daftar Koreksi'!$G$5:$G$92,"Aset Tetap Lainnya",'Daftar Koreksi'!$I$5:$I$92,"&lt;0")</f>
        <v>0</v>
      </c>
      <c r="G284" s="17">
        <f t="shared" si="12"/>
        <v>-2800000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-33302899</v>
      </c>
      <c r="E285" s="25">
        <f>SUMIFS('Daftar Koreksi'!$I$5:$I$92,'Daftar Koreksi'!$D$5:$D$92,'1200'!A268,'Daftar Koreksi'!$G$5:$G$92,"Aset Henti Guna",'Daftar Koreksi'!$I$5:$I$92,"&gt;0")</f>
        <v>0</v>
      </c>
      <c r="F285" s="25">
        <f>SUMIFS('Daftar Koreksi'!$I$5:$I$92,'Daftar Koreksi'!$D$5:$D$92,'1200'!A268,'Daftar Koreksi'!$G$5:$G$92,"Aset Henti Guna",'Daftar Koreksi'!$I$5:$I$92,"&lt;0")-SUMIFS('Daftar Koreksi'!$I$5:$I$92,'Daftar Koreksi'!$D$5:$D$92,'1200'!A268,'Daftar Koreksi'!$G$5:$G$92,"Aset Henti Guna",'Daftar Koreksi'!$I$5:$I$92,"&lt;0")-SUMIFS('Daftar Koreksi'!$I$5:$I$92,'Daftar Koreksi'!$D$5:$D$92,'1200'!A268,'Daftar Koreksi'!$G$5:$G$92,"Aset Henti Guna",'Daftar Koreksi'!$I$5:$I$92,"&lt;0")</f>
        <v>0</v>
      </c>
      <c r="G285" s="17">
        <f t="shared" si="12"/>
        <v>-33302899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-4477631930</v>
      </c>
      <c r="E286" s="19">
        <f>SUM(E281:E285)</f>
        <v>0</v>
      </c>
      <c r="F286" s="19">
        <f>SUM(F281:F285)</f>
        <v>0</v>
      </c>
      <c r="G286" s="19">
        <f t="shared" si="12"/>
        <v>-4477631930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9553360699</v>
      </c>
      <c r="E287" s="19">
        <f>E286+E280</f>
        <v>0</v>
      </c>
      <c r="F287" s="19">
        <f>F286+F280</f>
        <v>0</v>
      </c>
      <c r="G287" s="19">
        <f t="shared" si="12"/>
        <v>9553360699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005011200614684000KD</v>
      </c>
      <c r="B290" s="11" t="str">
        <f>P14</f>
        <v>PA. Tulang Bawang</v>
      </c>
      <c r="C290" s="12" t="str">
        <f>A290&amp;" "&amp;B290</f>
        <v>005011200614684000KD PA. Tulang Bawang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452000</v>
      </c>
      <c r="E293" s="25">
        <f>SUMIFS('Daftar Koreksi'!$H$5:$H$92,'Daftar Koreksi'!$D$5:$D$92,'1200'!A290,'Daftar Koreksi'!$G$5:$G$92,"Persediaan",'Daftar Koreksi'!$H$5:$H$92,"&gt;0")</f>
        <v>0</v>
      </c>
      <c r="F293" s="25">
        <f>SUMIFS('Daftar Koreksi'!$H$5:$H$92,'Daftar Koreksi'!$D$5:$D$92,'1200'!A290,'Daftar Koreksi'!$G$5:$G$92,"Persediaan",'Daftar Koreksi'!$H$5:$H$92,"&lt;0")-SUMIFS('Daftar Koreksi'!$H$5:$H$92,'Daftar Koreksi'!$D$5:$D$92,'1200'!A290,'Daftar Koreksi'!$G$5:$G$92,"Persediaan",'Daftar Koreksi'!$H$5:$H$92,"&lt;0")-SUMIFS('Daftar Koreksi'!$H$5:$H$92,'Daftar Koreksi'!$D$5:$D$92,'1200'!A290,'Daftar Koreksi'!$G$5:$G$92,"Persediaan",'Daftar Koreksi'!$H$5:$H$92,"&lt;0")</f>
        <v>0</v>
      </c>
      <c r="G293" s="17">
        <f>D293+E293-F293</f>
        <v>452000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400200000</v>
      </c>
      <c r="E294" s="25">
        <f>SUMIFS('Daftar Koreksi'!$H$5:$H$92,'Daftar Koreksi'!$D$5:$D$92,'1200'!A290,'Daftar Koreksi'!$G$5:$G$92,"Tanah",'Daftar Koreksi'!$H$5:$H$92,"&gt;0")</f>
        <v>0</v>
      </c>
      <c r="F294" s="25">
        <f>SUMIFS('Daftar Koreksi'!$H$5:$H$92,'Daftar Koreksi'!$D$5:$D$92,'1200'!A290,'Daftar Koreksi'!$G$5:$G$92,"Tanah",'Daftar Koreksi'!$H$5:$H$92,"&lt;0")-SUMIFS('Daftar Koreksi'!$H$5:$H$92,'Daftar Koreksi'!$D$5:$D$92,'1200'!A290,'Daftar Koreksi'!$G$5:$G$92,"Tanah",'Daftar Koreksi'!$H$5:$H$92,"&lt;0")-SUMIFS('Daftar Koreksi'!$H$5:$H$92,'Daftar Koreksi'!$D$5:$D$92,'1200'!A290,'Daftar Koreksi'!$G$5:$G$92,"Tanah",'Daftar Koreksi'!$H$5:$H$92,"&lt;0")</f>
        <v>0</v>
      </c>
      <c r="G294" s="17">
        <f t="shared" ref="G294:G310" si="13">D294+E294-F294</f>
        <v>400200000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1132715437</v>
      </c>
      <c r="E295" s="25">
        <f>SUMIFS('Daftar Koreksi'!$H$5:$H$92,'Daftar Koreksi'!$D$5:$D$92,'1200'!A290,'Daftar Koreksi'!$G$5:$G$92,"Peralatan dan mesin",'Daftar Koreksi'!$H$5:$H$92,"&gt;0")</f>
        <v>0</v>
      </c>
      <c r="F295" s="25">
        <f>SUMIFS('Daftar Koreksi'!$H$5:$H$92,'Daftar Koreksi'!$D$5:$D$92,'1200'!A290,'Daftar Koreksi'!$G$5:$G$92,"Peralatan dan mesin",'Daftar Koreksi'!$H$5:$H$92,"&lt;0")-SUMIFS('Daftar Koreksi'!$H$5:$H$92,'Daftar Koreksi'!$D$5:$D$92,'1200'!A290,'Daftar Koreksi'!$G$5:$G$92,"Peralatan dan mesin",'Daftar Koreksi'!$H$5:$H$92,"&lt;0")-SUMIFS('Daftar Koreksi'!$H$5:$H$92,'Daftar Koreksi'!$D$5:$D$92,'1200'!A290,'Daftar Koreksi'!$G$5:$G$92,"Peralatan dan mesin",'Daftar Koreksi'!$H$5:$H$92,"&lt;0")</f>
        <v>0</v>
      </c>
      <c r="G295" s="17">
        <f t="shared" si="13"/>
        <v>1132715437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3452703889</v>
      </c>
      <c r="E296" s="25">
        <f>SUMIFS('Daftar Koreksi'!$H$5:$H$92,'Daftar Koreksi'!$D$5:$D$92,'1200'!A290,'Daftar Koreksi'!$G$5:$G$92,"Gedung dan Bangunan",'Daftar Koreksi'!$H$5:$H$92,"&gt;0")</f>
        <v>0</v>
      </c>
      <c r="F296" s="25">
        <f>SUMIFS('Daftar Koreksi'!$H$5:$H$92,'Daftar Koreksi'!$D$5:$D$92,'1200'!A290,'Daftar Koreksi'!$G$5:$G$92,"Gedung dan Bangunan",'Daftar Koreksi'!$H$5:$H$92,"&lt;0")-SUMIFS('Daftar Koreksi'!$H$5:$H$92,'Daftar Koreksi'!$D$5:$D$92,'1200'!A290,'Daftar Koreksi'!$G$5:$G$92,"Gedung dan Bangunan",'Daftar Koreksi'!$H$5:$H$92,"&lt;0")-SUMIFS('Daftar Koreksi'!$H$5:$H$92,'Daftar Koreksi'!$D$5:$D$92,'1200'!A290,'Daftar Koreksi'!$G$5:$G$92,"Gedung dan Bangunan",'Daftar Koreksi'!$H$5:$H$92,"&lt;0")</f>
        <v>0</v>
      </c>
      <c r="G296" s="17">
        <f t="shared" si="13"/>
        <v>3452703889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158934111</v>
      </c>
      <c r="E297" s="25">
        <f>SUMIFS('Daftar Koreksi'!$H$5:$H$92,'Daftar Koreksi'!$D$5:$D$92,'1200'!A290,'Daftar Koreksi'!$G$5:$G$92,"Jalan Irigasi Jaringan",'Daftar Koreksi'!$H$5:$H$92,"&gt;0")</f>
        <v>0</v>
      </c>
      <c r="F297" s="25">
        <f>SUMIFS('Daftar Koreksi'!$H$5:$H$92,'Daftar Koreksi'!$D$5:$D$92,'1200'!A290,'Daftar Koreksi'!$G$5:$G$92,"Jalan Irigasi Jaringan",'Daftar Koreksi'!$H$5:$H$92,"&lt;0")-SUMIFS('Daftar Koreksi'!$H$5:$H$92,'Daftar Koreksi'!$D$5:$D$92,'1200'!A290,'Daftar Koreksi'!$G$5:$G$92,"Jalan Irigasi Jaringan",'Daftar Koreksi'!$H$5:$H$92,"&lt;0")-SUMIFS('Daftar Koreksi'!$H$5:$H$92,'Daftar Koreksi'!$D$5:$D$92,'1200'!A290,'Daftar Koreksi'!$G$5:$G$92,"Jalan Irigasi Jaringan",'Daftar Koreksi'!$H$5:$H$92,"&lt;0")</f>
        <v>0</v>
      </c>
      <c r="G297" s="17">
        <f t="shared" si="13"/>
        <v>158934111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48391731</v>
      </c>
      <c r="E298" s="25">
        <f>SUMIFS('Daftar Koreksi'!$H$5:$H$92,'Daftar Koreksi'!$D$5:$D$92,'1200'!A290,'Daftar Koreksi'!$G$5:$G$92,"Aset Tetap Lainnya",'Daftar Koreksi'!$H$5:$H$92,"&gt;0")</f>
        <v>0</v>
      </c>
      <c r="F298" s="25">
        <f>SUMIFS('Daftar Koreksi'!$H$5:$H$92,'Daftar Koreksi'!$D$5:$D$92,'1200'!A290,'Daftar Koreksi'!$G$5:$G$92,"Aset Tetap Lainnya",'Daftar Koreksi'!$H$5:$H$92,"&lt;0")-SUMIFS('Daftar Koreksi'!$H$5:$H$92,'Daftar Koreksi'!$D$5:$D$92,'1200'!A290,'Daftar Koreksi'!$G$5:$G$92,"Aset Tetap Lainnya",'Daftar Koreksi'!$H$5:$H$92,"&lt;0")-SUMIFS('Daftar Koreksi'!$H$5:$H$92,'Daftar Koreksi'!$D$5:$D$92,'1200'!A290,'Daftar Koreksi'!$G$5:$G$92,"Aset Tetap Lainnya",'Daftar Koreksi'!$H$5:$H$92,"&lt;0")</f>
        <v>0</v>
      </c>
      <c r="G298" s="17">
        <f t="shared" si="13"/>
        <v>48391731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Koreksi'!$D$5:$D$92,'1200'!A290,'Daftar Koreksi'!$G$5:$G$92,"Kontruksi Dalam Pengerjaan",'Daftar Koreksi'!$H$5:$H$92,"&gt;0")</f>
        <v>0</v>
      </c>
      <c r="F299" s="25">
        <f>SUMIFS('Daftar Koreksi'!$H$5:$H$92,'Daftar Koreksi'!$D$5:$D$92,'1200'!A290,'Daftar Koreksi'!$G$5:$G$92,"Kontruksi Dalam Pengerjaan",'Daftar Koreksi'!$H$5:$H$92,"&lt;0")-SUMIFS('Daftar Koreksi'!$H$5:$H$92,'Daftar Koreksi'!$D$5:$D$92,'1200'!A290,'Daftar Koreksi'!$G$5:$G$92,"Kontruksi Dalam Pengerjaan",'Daftar Koreksi'!$H$5:$H$92,"&lt;0")-SUMIFS('Daftar Koreksi'!$H$5:$H$92,'Daftar Koreksi'!$D$5:$D$92,'1200'!A290,'Daftar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58000000</v>
      </c>
      <c r="E300" s="25">
        <f>SUMIFS('Daftar Koreksi'!$H$5:$H$92,'Daftar Koreksi'!$D$5:$D$92,'1200'!A290,'Daftar Koreksi'!$G$5:$G$92,"Aset Tak Berwujud",'Daftar Koreksi'!$H$5:$H$92,"&gt;0")</f>
        <v>0</v>
      </c>
      <c r="F300" s="25">
        <f>SUMIFS('Daftar Koreksi'!$H$5:$H$92,'Daftar Koreksi'!$D$5:$D$92,'1200'!A290,'Daftar Koreksi'!$G$5:$G$92,"Aset Tak Berwujud",'Daftar Koreksi'!$H$5:$H$92,"&lt;0")-SUMIFS('Daftar Koreksi'!$H$5:$H$92,'Daftar Koreksi'!$D$5:$D$92,'1200'!A290,'Daftar Koreksi'!$G$5:$G$92,"Aset Tak Berwujud",'Daftar Koreksi'!$H$5:$H$92,"&lt;0")-SUMIFS('Daftar Koreksi'!$H$5:$H$92,'Daftar Koreksi'!$D$5:$D$92,'1200'!A290,'Daftar Koreksi'!$G$5:$G$92,"Aset Tak Berwujud",'Daftar Koreksi'!$H$5:$H$92,"&lt;0")</f>
        <v>0</v>
      </c>
      <c r="G300" s="17">
        <f t="shared" si="13"/>
        <v>58000000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89952200</v>
      </c>
      <c r="E301" s="25">
        <f>SUMIFS('Daftar Koreksi'!$H$5:$H$92,'Daftar Koreksi'!$D$5:$D$92,'1200'!A290,'Daftar Koreksi'!$G$5:$G$92,"Aset Henti Guna",'Daftar Koreksi'!$H$5:$H$92,"&gt;0")</f>
        <v>0</v>
      </c>
      <c r="F301" s="25">
        <f>SUMIFS('Daftar Koreksi'!$H$5:$H$92,'Daftar Koreksi'!$D$5:$D$92,'1200'!A290,'Daftar Koreksi'!$G$5:$G$92,"Aset Henti Guna",'Daftar Koreksi'!$H$5:$H$92,"&lt;0")-SUMIFS('Daftar Koreksi'!$H$5:$H$92,'Daftar Koreksi'!$D$5:$D$92,'1200'!A290,'Daftar Koreksi'!$G$5:$G$92,"Aset Henti Guna",'Daftar Koreksi'!$H$5:$H$92,"&lt;0")-SUMIFS('Daftar Koreksi'!$H$5:$H$92,'Daftar Koreksi'!$D$5:$D$92,'1200'!A290,'Daftar Koreksi'!$G$5:$G$92,"Aset Henti Guna",'Daftar Koreksi'!$H$5:$H$92,"&lt;0")</f>
        <v>0</v>
      </c>
      <c r="G301" s="17">
        <f t="shared" si="13"/>
        <v>89952200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5341349368</v>
      </c>
      <c r="E302" s="19">
        <f>SUM(E293:E301)</f>
        <v>0</v>
      </c>
      <c r="F302" s="19">
        <f>SUM(F293:F301)</f>
        <v>0</v>
      </c>
      <c r="G302" s="19">
        <f t="shared" si="13"/>
        <v>5341349368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-953763562</v>
      </c>
      <c r="E303" s="25">
        <f>SUMIFS('Daftar Koreksi'!$I$5:$I$92,'Daftar Koreksi'!$D$5:$D$92,'1200'!A290,'Daftar Koreksi'!$G$5:$G$92,"Peralatan dan mesin",'Daftar Koreksi'!$I$5:$I$92,"&gt;0")</f>
        <v>0</v>
      </c>
      <c r="F303" s="25">
        <f>SUMIFS('Daftar Koreksi'!$I$5:$I$92,'Daftar Koreksi'!$D$5:$D$92,'1200'!A290,'Daftar Koreksi'!$G$5:$G$92,"Peralatan dan mesin",'Daftar Koreksi'!$I$5:$I$92,"&lt;0")-SUMIFS('Daftar Koreksi'!$I$5:$I$92,'Daftar Koreksi'!$D$5:$D$92,'1200'!A290,'Daftar Koreksi'!$G$5:$G$92,"Peralatan dan mesin",'Daftar Koreksi'!$I$5:$I$92,"&lt;0")-SUMIFS('Daftar Koreksi'!$I$5:$I$92,'Daftar Koreksi'!$D$5:$D$92,'1200'!A290,'Daftar Koreksi'!$G$5:$G$92,"Peralatan dan mesin",'Daftar Koreksi'!$I$5:$I$92,"&lt;0")</f>
        <v>0</v>
      </c>
      <c r="G303" s="17">
        <f t="shared" si="13"/>
        <v>-953763562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-526519000</v>
      </c>
      <c r="E304" s="25">
        <f>SUMIFS('Daftar Koreksi'!$I$5:$I$92,'Daftar Koreksi'!$D$5:$D$92,'1200'!A290,'Daftar Koreksi'!$G$5:$G$92,"Gedung dan Bangunan",'Daftar Koreksi'!$I$5:$I$92,"&gt;0")</f>
        <v>0</v>
      </c>
      <c r="F304" s="25">
        <f>SUMIFS('Daftar Koreksi'!$I$5:$I$92,'Daftar Koreksi'!$D$5:$D$92,'1200'!A290,'Daftar Koreksi'!$G$5:$G$92,"Gedung dan Bangunan",'Daftar Koreksi'!$I$5:$I$92,"&lt;0")-SUMIFS('Daftar Koreksi'!$I$5:$I$92,'Daftar Koreksi'!$D$5:$D$92,'1200'!A290,'Daftar Koreksi'!$G$5:$G$92,"Gedung dan Bangunan",'Daftar Koreksi'!$I$5:$I$92,"&lt;0")-SUMIFS('Daftar Koreksi'!$I$5:$I$92,'Daftar Koreksi'!$D$5:$D$92,'1200'!A290,'Daftar Koreksi'!$G$5:$G$92,"Gedung dan Bangunan",'Daftar Koreksi'!$I$5:$I$92,"&lt;0")</f>
        <v>0</v>
      </c>
      <c r="G304" s="17">
        <f t="shared" si="13"/>
        <v>-526519000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-39140822</v>
      </c>
      <c r="E305" s="25">
        <f>SUMIFS('Daftar Koreksi'!$I$5:$I$92,'Daftar Koreksi'!$D$5:$D$92,'1200'!A290,'Daftar Koreksi'!$G$5:$G$92,"Jalan Irigasi Jaringan",'Daftar Koreksi'!$I$5:$I$92,"&gt;0")</f>
        <v>0</v>
      </c>
      <c r="F305" s="25">
        <f>SUMIFS('Daftar Koreksi'!$I$5:$I$92,'Daftar Koreksi'!$D$5:$D$92,'1200'!A290,'Daftar Koreksi'!$G$5:$G$92,"Jalan Irigasi Jaringan",'Daftar Koreksi'!$I$5:$I$92,"&lt;0")-SUMIFS('Daftar Koreksi'!$I$5:$I$92,'Daftar Koreksi'!$D$5:$D$92,'1200'!A290,'Daftar Koreksi'!$G$5:$G$92,"Jalan Irigasi Jaringan",'Daftar Koreksi'!$I$5:$I$92,"&lt;0")-SUMIFS('Daftar Koreksi'!$I$5:$I$92,'Daftar Koreksi'!$D$5:$D$92,'1200'!A290,'Daftar Koreksi'!$G$5:$G$92,"Jalan Irigasi Jaringan",'Daftar Koreksi'!$I$5:$I$92,"&lt;0")</f>
        <v>0</v>
      </c>
      <c r="G305" s="17">
        <f t="shared" si="13"/>
        <v>-39140822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Koreksi'!$D$5:$D$92,'1200'!A290,'Daftar Koreksi'!$G$5:$G$92,"Aset Tetap Lainnya",'Daftar Koreksi'!$I$5:$I$92,"&gt;0")</f>
        <v>0</v>
      </c>
      <c r="F306" s="25">
        <f>SUMIFS('Daftar Koreksi'!$I$5:$I$92,'Daftar Koreksi'!$D$5:$D$92,'1200'!A290,'Daftar Koreksi'!$G$5:$G$92,"Aset Tetap Lainnya",'Daftar Koreksi'!$I$5:$I$92,"&lt;0")-SUMIFS('Daftar Koreksi'!$I$5:$I$92,'Daftar Koreksi'!$D$5:$D$92,'1200'!A290,'Daftar Koreksi'!$G$5:$G$92,"Aset Tetap Lainnya",'Daftar Koreksi'!$I$5:$I$92,"&lt;0")-SUMIFS('Daftar Koreksi'!$I$5:$I$92,'Daftar Koreksi'!$D$5:$D$92,'1200'!A290,'Daftar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-88929700</v>
      </c>
      <c r="E307" s="25">
        <f>SUMIFS('Daftar Koreksi'!$I$5:$I$92,'Daftar Koreksi'!$D$5:$D$92,'1200'!A290,'Daftar Koreksi'!$G$5:$G$92,"Aset Henti Guna",'Daftar Koreksi'!$I$5:$I$92,"&gt;0")</f>
        <v>0</v>
      </c>
      <c r="F307" s="25">
        <f>SUMIFS('Daftar Koreksi'!$I$5:$I$92,'Daftar Koreksi'!$D$5:$D$92,'1200'!A290,'Daftar Koreksi'!$G$5:$G$92,"Aset Henti Guna",'Daftar Koreksi'!$I$5:$I$92,"&lt;0")-SUMIFS('Daftar Koreksi'!$I$5:$I$92,'Daftar Koreksi'!$D$5:$D$92,'1200'!A290,'Daftar Koreksi'!$G$5:$G$92,"Aset Henti Guna",'Daftar Koreksi'!$I$5:$I$92,"&lt;0")-SUMIFS('Daftar Koreksi'!$I$5:$I$92,'Daftar Koreksi'!$D$5:$D$92,'1200'!A290,'Daftar Koreksi'!$G$5:$G$92,"Aset Henti Guna",'Daftar Koreksi'!$I$5:$I$92,"&lt;0")</f>
        <v>0</v>
      </c>
      <c r="G307" s="17">
        <f t="shared" si="13"/>
        <v>-88929700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-1608353084</v>
      </c>
      <c r="E308" s="19">
        <f>SUM(E303:E307)</f>
        <v>0</v>
      </c>
      <c r="F308" s="19">
        <f>SUM(F303:F307)</f>
        <v>0</v>
      </c>
      <c r="G308" s="19">
        <f t="shared" si="13"/>
        <v>-1608353084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3732996284</v>
      </c>
      <c r="E309" s="19">
        <f>E308+E302</f>
        <v>0</v>
      </c>
      <c r="F309" s="19">
        <f>F308+F302</f>
        <v>0</v>
      </c>
      <c r="G309" s="19">
        <f t="shared" si="13"/>
        <v>3732996284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005011200614691000KD</v>
      </c>
      <c r="B312" s="11" t="str">
        <f>P15</f>
        <v>PA. Tanggamus</v>
      </c>
      <c r="C312" s="12" t="str">
        <f>A312&amp;" "&amp;B312</f>
        <v>005011200614691000KD PA. Tanggamus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78000</v>
      </c>
      <c r="E315" s="25">
        <f>SUMIFS('Daftar Koreksi'!$H$5:$H$92,'Daftar Koreksi'!$D$5:$D$92,'1200'!A312,'Daftar Koreksi'!$G$5:$G$92,"Persediaan",'Daftar Koreksi'!$H$5:$H$92,"&gt;0")</f>
        <v>0</v>
      </c>
      <c r="F315" s="25">
        <f>SUMIFS('Daftar Koreksi'!$H$5:$H$92,'Daftar Koreksi'!$D$5:$D$92,'1200'!A312,'Daftar Koreksi'!$G$5:$G$92,"Persediaan",'Daftar Koreksi'!$H$5:$H$92,"&lt;0")-SUMIFS('Daftar Koreksi'!$H$5:$H$92,'Daftar Koreksi'!$D$5:$D$92,'1200'!A312,'Daftar Koreksi'!$G$5:$G$92,"Persediaan",'Daftar Koreksi'!$H$5:$H$92,"&lt;0")-SUMIFS('Daftar Koreksi'!$H$5:$H$92,'Daftar Koreksi'!$D$5:$D$92,'1200'!A312,'Daftar Koreksi'!$G$5:$G$92,"Persediaan",'Daftar Koreksi'!$H$5:$H$92,"&lt;0")</f>
        <v>0</v>
      </c>
      <c r="G315" s="17">
        <f>D315+E315-F315</f>
        <v>78000</v>
      </c>
      <c r="H315" s="121" t="str">
        <f>IF(ISNA(VLOOKUP(A312,'Mutasi Neraca'!$A$3:$S$914,19,FALSE)),"-",VLOOKUP(A312,'Mutasi Neraca'!$A$3:$S$914,19,FALSE))</f>
        <v>TP Koreksi Hibah No. 5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0</v>
      </c>
      <c r="E316" s="25">
        <f>SUMIFS('Daftar Koreksi'!$H$5:$H$92,'Daftar Koreksi'!$D$5:$D$92,'1200'!A312,'Daftar Koreksi'!$G$5:$G$92,"Tanah",'Daftar Koreksi'!$H$5:$H$92,"&gt;0")</f>
        <v>16459300</v>
      </c>
      <c r="F316" s="25">
        <f>SUMIFS('Daftar Koreksi'!$H$5:$H$92,'Daftar Koreksi'!$D$5:$D$92,'1200'!A312,'Daftar Koreksi'!$G$5:$G$92,"Tanah",'Daftar Koreksi'!$H$5:$H$92,"&lt;0")-SUMIFS('Daftar Koreksi'!$H$5:$H$92,'Daftar Koreksi'!$D$5:$D$92,'1200'!A312,'Daftar Koreksi'!$G$5:$G$92,"Tanah",'Daftar Koreksi'!$H$5:$H$92,"&lt;0")-SUMIFS('Daftar Koreksi'!$H$5:$H$92,'Daftar Koreksi'!$D$5:$D$92,'1200'!A312,'Daftar Koreksi'!$G$5:$G$92,"Tanah",'Daftar Koreksi'!$H$5:$H$92,"&lt;0")</f>
        <v>0</v>
      </c>
      <c r="G316" s="17">
        <f t="shared" ref="G316:G332" si="14">D316+E316-F316</f>
        <v>16459300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1203026717</v>
      </c>
      <c r="E317" s="25">
        <f>SUMIFS('Daftar Koreksi'!$H$5:$H$92,'Daftar Koreksi'!$D$5:$D$92,'1200'!A312,'Daftar Koreksi'!$G$5:$G$92,"Peralatan dan mesin",'Daftar Koreksi'!$H$5:$H$92,"&gt;0")</f>
        <v>0</v>
      </c>
      <c r="F317" s="25">
        <f>SUMIFS('Daftar Koreksi'!$H$5:$H$92,'Daftar Koreksi'!$D$5:$D$92,'1200'!A312,'Daftar Koreksi'!$G$5:$G$92,"Peralatan dan mesin",'Daftar Koreksi'!$H$5:$H$92,"&lt;0")-SUMIFS('Daftar Koreksi'!$H$5:$H$92,'Daftar Koreksi'!$D$5:$D$92,'1200'!A312,'Daftar Koreksi'!$G$5:$G$92,"Peralatan dan mesin",'Daftar Koreksi'!$H$5:$H$92,"&lt;0")-SUMIFS('Daftar Koreksi'!$H$5:$H$92,'Daftar Koreksi'!$D$5:$D$92,'1200'!A312,'Daftar Koreksi'!$G$5:$G$92,"Peralatan dan mesin",'Daftar Koreksi'!$H$5:$H$92,"&lt;0")</f>
        <v>0</v>
      </c>
      <c r="G317" s="17">
        <f t="shared" si="14"/>
        <v>1203026717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2679089300</v>
      </c>
      <c r="E318" s="25">
        <f>SUMIFS('Daftar Koreksi'!$H$5:$H$92,'Daftar Koreksi'!$D$5:$D$92,'1200'!A312,'Daftar Koreksi'!$G$5:$G$92,"Gedung dan Bangunan",'Daftar Koreksi'!$H$5:$H$92,"&gt;0")</f>
        <v>0</v>
      </c>
      <c r="F318" s="25">
        <f>SUMIFS('Daftar Koreksi'!$H$5:$H$92,'Daftar Koreksi'!$D$5:$D$92,'1200'!A312,'Daftar Koreksi'!$G$5:$G$92,"Gedung dan Bangunan",'Daftar Koreksi'!$H$5:$H$92,"&lt;0")-SUMIFS('Daftar Koreksi'!$H$5:$H$92,'Daftar Koreksi'!$D$5:$D$92,'1200'!A312,'Daftar Koreksi'!$G$5:$G$92,"Gedung dan Bangunan",'Daftar Koreksi'!$H$5:$H$92,"&lt;0")-SUMIFS('Daftar Koreksi'!$H$5:$H$92,'Daftar Koreksi'!$D$5:$D$92,'1200'!A312,'Daftar Koreksi'!$G$5:$G$92,"Gedung dan Bangunan",'Daftar Koreksi'!$H$5:$H$92,"&lt;0")</f>
        <v>0</v>
      </c>
      <c r="G318" s="17">
        <f t="shared" si="14"/>
        <v>2679089300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238664500</v>
      </c>
      <c r="E319" s="25">
        <f>SUMIFS('Daftar Koreksi'!$H$5:$H$92,'Daftar Koreksi'!$D$5:$D$92,'1200'!A312,'Daftar Koreksi'!$G$5:$G$92,"Jalan Irigasi Jaringan",'Daftar Koreksi'!$H$5:$H$92,"&gt;0")</f>
        <v>0</v>
      </c>
      <c r="F319" s="25">
        <f>SUMIFS('Daftar Koreksi'!$H$5:$H$92,'Daftar Koreksi'!$D$5:$D$92,'1200'!A312,'Daftar Koreksi'!$G$5:$G$92,"Jalan Irigasi Jaringan",'Daftar Koreksi'!$H$5:$H$92,"&lt;0")-SUMIFS('Daftar Koreksi'!$H$5:$H$92,'Daftar Koreksi'!$D$5:$D$92,'1200'!A312,'Daftar Koreksi'!$G$5:$G$92,"Jalan Irigasi Jaringan",'Daftar Koreksi'!$H$5:$H$92,"&lt;0")-SUMIFS('Daftar Koreksi'!$H$5:$H$92,'Daftar Koreksi'!$D$5:$D$92,'1200'!A312,'Daftar Koreksi'!$G$5:$G$92,"Jalan Irigasi Jaringan",'Daftar Koreksi'!$H$5:$H$92,"&lt;0")</f>
        <v>0</v>
      </c>
      <c r="G319" s="17">
        <f t="shared" si="14"/>
        <v>238664500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3266678</v>
      </c>
      <c r="E320" s="25">
        <f>SUMIFS('Daftar Koreksi'!$H$5:$H$92,'Daftar Koreksi'!$D$5:$D$92,'1200'!A312,'Daftar Koreksi'!$G$5:$G$92,"Aset Tetap Lainnya",'Daftar Koreksi'!$H$5:$H$92,"&gt;0")</f>
        <v>0</v>
      </c>
      <c r="F320" s="25">
        <f>SUMIFS('Daftar Koreksi'!$H$5:$H$92,'Daftar Koreksi'!$D$5:$D$92,'1200'!A312,'Daftar Koreksi'!$G$5:$G$92,"Aset Tetap Lainnya",'Daftar Koreksi'!$H$5:$H$92,"&lt;0")-SUMIFS('Daftar Koreksi'!$H$5:$H$92,'Daftar Koreksi'!$D$5:$D$92,'1200'!A312,'Daftar Koreksi'!$G$5:$G$92,"Aset Tetap Lainnya",'Daftar Koreksi'!$H$5:$H$92,"&lt;0")-SUMIFS('Daftar Koreksi'!$H$5:$H$92,'Daftar Koreksi'!$D$5:$D$92,'1200'!A312,'Daftar Koreksi'!$G$5:$G$92,"Aset Tetap Lainnya",'Daftar Koreksi'!$H$5:$H$92,"&lt;0")</f>
        <v>0</v>
      </c>
      <c r="G320" s="17">
        <f t="shared" si="14"/>
        <v>3266678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Koreksi'!$D$5:$D$92,'1200'!A312,'Daftar Koreksi'!$G$5:$G$92,"Kontruksi Dalam Pengerjaan",'Daftar Koreksi'!$H$5:$H$92,"&gt;0")</f>
        <v>0</v>
      </c>
      <c r="F321" s="25">
        <f>SUMIFS('Daftar Koreksi'!$H$5:$H$92,'Daftar Koreksi'!$D$5:$D$92,'1200'!A312,'Daftar Koreksi'!$G$5:$G$92,"Kontruksi Dalam Pengerjaan",'Daftar Koreksi'!$H$5:$H$92,"&lt;0")-SUMIFS('Daftar Koreksi'!$H$5:$H$92,'Daftar Koreksi'!$D$5:$D$92,'1200'!A312,'Daftar Koreksi'!$G$5:$G$92,"Kontruksi Dalam Pengerjaan",'Daftar Koreksi'!$H$5:$H$92,"&lt;0")-SUMIFS('Daftar Koreksi'!$H$5:$H$92,'Daftar Koreksi'!$D$5:$D$92,'1200'!A312,'Daftar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13000000</v>
      </c>
      <c r="E322" s="25">
        <f>SUMIFS('Daftar Koreksi'!$H$5:$H$92,'Daftar Koreksi'!$D$5:$D$92,'1200'!A312,'Daftar Koreksi'!$G$5:$G$92,"Aset Tak Berwujud",'Daftar Koreksi'!$H$5:$H$92,"&gt;0")</f>
        <v>0</v>
      </c>
      <c r="F322" s="25">
        <f>SUMIFS('Daftar Koreksi'!$H$5:$H$92,'Daftar Koreksi'!$D$5:$D$92,'1200'!A312,'Daftar Koreksi'!$G$5:$G$92,"Aset Tak Berwujud",'Daftar Koreksi'!$H$5:$H$92,"&lt;0")-SUMIFS('Daftar Koreksi'!$H$5:$H$92,'Daftar Koreksi'!$D$5:$D$92,'1200'!A312,'Daftar Koreksi'!$G$5:$G$92,"Aset Tak Berwujud",'Daftar Koreksi'!$H$5:$H$92,"&lt;0")-SUMIFS('Daftar Koreksi'!$H$5:$H$92,'Daftar Koreksi'!$D$5:$D$92,'1200'!A312,'Daftar Koreksi'!$G$5:$G$92,"Aset Tak Berwujud",'Daftar Koreksi'!$H$5:$H$92,"&lt;0")</f>
        <v>0</v>
      </c>
      <c r="G322" s="17">
        <f t="shared" si="14"/>
        <v>13000000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Koreksi'!$D$5:$D$92,'1200'!A312,'Daftar Koreksi'!$G$5:$G$92,"Aset Henti Guna",'Daftar Koreksi'!$H$5:$H$92,"&gt;0")</f>
        <v>0</v>
      </c>
      <c r="F323" s="25">
        <f>SUMIFS('Daftar Koreksi'!$H$5:$H$92,'Daftar Koreksi'!$D$5:$D$92,'1200'!A312,'Daftar Koreksi'!$G$5:$G$92,"Aset Henti Guna",'Daftar Koreksi'!$H$5:$H$92,"&lt;0")-SUMIFS('Daftar Koreksi'!$H$5:$H$92,'Daftar Koreksi'!$D$5:$D$92,'1200'!A312,'Daftar Koreksi'!$G$5:$G$92,"Aset Henti Guna",'Daftar Koreksi'!$H$5:$H$92,"&lt;0")-SUMIFS('Daftar Koreksi'!$H$5:$H$92,'Daftar Koreksi'!$D$5:$D$92,'1200'!A312,'Daftar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4137125195</v>
      </c>
      <c r="E324" s="19">
        <f>SUM(E315:E323)</f>
        <v>16459300</v>
      </c>
      <c r="F324" s="19">
        <f>SUM(F315:F323)</f>
        <v>0</v>
      </c>
      <c r="G324" s="19">
        <f t="shared" si="14"/>
        <v>4153584495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-995223302</v>
      </c>
      <c r="E325" s="25">
        <f>SUMIFS('Daftar Koreksi'!$I$5:$I$92,'Daftar Koreksi'!$D$5:$D$92,'1200'!A312,'Daftar Koreksi'!$G$5:$G$92,"Peralatan dan mesin",'Daftar Koreksi'!$I$5:$I$92,"&gt;0")</f>
        <v>0</v>
      </c>
      <c r="F325" s="25">
        <f>SUMIFS('Daftar Koreksi'!$I$5:$I$92,'Daftar Koreksi'!$D$5:$D$92,'1200'!A312,'Daftar Koreksi'!$G$5:$G$92,"Peralatan dan mesin",'Daftar Koreksi'!$I$5:$I$92,"&lt;0")-SUMIFS('Daftar Koreksi'!$I$5:$I$92,'Daftar Koreksi'!$D$5:$D$92,'1200'!A312,'Daftar Koreksi'!$G$5:$G$92,"Peralatan dan mesin",'Daftar Koreksi'!$I$5:$I$92,"&lt;0")-SUMIFS('Daftar Koreksi'!$I$5:$I$92,'Daftar Koreksi'!$D$5:$D$92,'1200'!A312,'Daftar Koreksi'!$G$5:$G$92,"Peralatan dan mesin",'Daftar Koreksi'!$I$5:$I$92,"&lt;0")</f>
        <v>0</v>
      </c>
      <c r="G325" s="17">
        <f t="shared" si="14"/>
        <v>-995223302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-371512099</v>
      </c>
      <c r="E326" s="25">
        <f>SUMIFS('Daftar Koreksi'!$I$5:$I$92,'Daftar Koreksi'!$D$5:$D$92,'1200'!A312,'Daftar Koreksi'!$G$5:$G$92,"Gedung dan Bangunan",'Daftar Koreksi'!$I$5:$I$92,"&gt;0")</f>
        <v>0</v>
      </c>
      <c r="F326" s="25">
        <f>SUMIFS('Daftar Koreksi'!$I$5:$I$92,'Daftar Koreksi'!$D$5:$D$92,'1200'!A312,'Daftar Koreksi'!$G$5:$G$92,"Gedung dan Bangunan",'Daftar Koreksi'!$I$5:$I$92,"&lt;0")-SUMIFS('Daftar Koreksi'!$I$5:$I$92,'Daftar Koreksi'!$D$5:$D$92,'1200'!A312,'Daftar Koreksi'!$G$5:$G$92,"Gedung dan Bangunan",'Daftar Koreksi'!$I$5:$I$92,"&lt;0")-SUMIFS('Daftar Koreksi'!$I$5:$I$92,'Daftar Koreksi'!$D$5:$D$92,'1200'!A312,'Daftar Koreksi'!$G$5:$G$92,"Gedung dan Bangunan",'Daftar Koreksi'!$I$5:$I$92,"&lt;0")</f>
        <v>0</v>
      </c>
      <c r="G326" s="17">
        <f t="shared" si="14"/>
        <v>-371512099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-140924905</v>
      </c>
      <c r="E327" s="25">
        <f>SUMIFS('Daftar Koreksi'!$I$5:$I$92,'Daftar Koreksi'!$D$5:$D$92,'1200'!A312,'Daftar Koreksi'!$G$5:$G$92,"Jalan Irigasi Jaringan",'Daftar Koreksi'!$I$5:$I$92,"&gt;0")</f>
        <v>0</v>
      </c>
      <c r="F327" s="25">
        <f>SUMIFS('Daftar Koreksi'!$I$5:$I$92,'Daftar Koreksi'!$D$5:$D$92,'1200'!A312,'Daftar Koreksi'!$G$5:$G$92,"Jalan Irigasi Jaringan",'Daftar Koreksi'!$I$5:$I$92,"&lt;0")-SUMIFS('Daftar Koreksi'!$I$5:$I$92,'Daftar Koreksi'!$D$5:$D$92,'1200'!A312,'Daftar Koreksi'!$G$5:$G$92,"Jalan Irigasi Jaringan",'Daftar Koreksi'!$I$5:$I$92,"&lt;0")-SUMIFS('Daftar Koreksi'!$I$5:$I$92,'Daftar Koreksi'!$D$5:$D$92,'1200'!A312,'Daftar Koreksi'!$G$5:$G$92,"Jalan Irigasi Jaringan",'Daftar Koreksi'!$I$5:$I$92,"&lt;0")</f>
        <v>0</v>
      </c>
      <c r="G327" s="17">
        <f t="shared" si="14"/>
        <v>-140924905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Koreksi'!$D$5:$D$92,'1200'!A312,'Daftar Koreksi'!$G$5:$G$92,"Aset Tetap Lainnya",'Daftar Koreksi'!$I$5:$I$92,"&gt;0")</f>
        <v>0</v>
      </c>
      <c r="F328" s="25">
        <f>SUMIFS('Daftar Koreksi'!$I$5:$I$92,'Daftar Koreksi'!$D$5:$D$92,'1200'!A312,'Daftar Koreksi'!$G$5:$G$92,"Aset Tetap Lainnya",'Daftar Koreksi'!$I$5:$I$92,"&lt;0")-SUMIFS('Daftar Koreksi'!$I$5:$I$92,'Daftar Koreksi'!$D$5:$D$92,'1200'!A312,'Daftar Koreksi'!$G$5:$G$92,"Aset Tetap Lainnya",'Daftar Koreksi'!$I$5:$I$92,"&lt;0")-SUMIFS('Daftar Koreksi'!$I$5:$I$92,'Daftar Koreksi'!$D$5:$D$92,'1200'!A312,'Daftar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Koreksi'!$D$5:$D$92,'1200'!A312,'Daftar Koreksi'!$G$5:$G$92,"Aset Henti Guna",'Daftar Koreksi'!$I$5:$I$92,"&gt;0")</f>
        <v>0</v>
      </c>
      <c r="F329" s="25">
        <f>SUMIFS('Daftar Koreksi'!$I$5:$I$92,'Daftar Koreksi'!$D$5:$D$92,'1200'!A312,'Daftar Koreksi'!$G$5:$G$92,"Aset Henti Guna",'Daftar Koreksi'!$I$5:$I$92,"&lt;0")-SUMIFS('Daftar Koreksi'!$I$5:$I$92,'Daftar Koreksi'!$D$5:$D$92,'1200'!A312,'Daftar Koreksi'!$G$5:$G$92,"Aset Henti Guna",'Daftar Koreksi'!$I$5:$I$92,"&lt;0")-SUMIFS('Daftar Koreksi'!$I$5:$I$92,'Daftar Koreksi'!$D$5:$D$92,'1200'!A312,'Daftar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-1507660306</v>
      </c>
      <c r="E330" s="19">
        <f>SUM(E325:E329)</f>
        <v>0</v>
      </c>
      <c r="F330" s="19">
        <f>SUM(F325:F329)</f>
        <v>0</v>
      </c>
      <c r="G330" s="19">
        <f t="shared" si="14"/>
        <v>-1507660306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2629464889</v>
      </c>
      <c r="E331" s="19">
        <f>E330+E324</f>
        <v>16459300</v>
      </c>
      <c r="F331" s="19">
        <f>F330+F324</f>
        <v>0</v>
      </c>
      <c r="G331" s="19">
        <f t="shared" si="14"/>
        <v>2645924189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005011200614883000KD</v>
      </c>
      <c r="B334" s="11" t="str">
        <f>P16</f>
        <v>PN. Liwa</v>
      </c>
      <c r="C334" s="12" t="str">
        <f>A334&amp;" "&amp;B334</f>
        <v>005011200614883000KD PN. Liwa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355000</v>
      </c>
      <c r="E337" s="25">
        <f>SUMIFS('Daftar Koreksi'!$H$5:$H$92,'Daftar Koreksi'!$D$5:$D$92,'1200'!A334,'Daftar Koreksi'!$G$5:$G$92,"Persediaan",'Daftar Koreksi'!$H$5:$H$92,"&gt;0")</f>
        <v>0</v>
      </c>
      <c r="F337" s="25">
        <f>SUMIFS('Daftar Koreksi'!$H$5:$H$92,'Daftar Koreksi'!$D$5:$D$92,'1200'!A334,'Daftar Koreksi'!$G$5:$G$92,"Persediaan",'Daftar Koreksi'!$H$5:$H$92,"&lt;0")-SUMIFS('Daftar Koreksi'!$H$5:$H$92,'Daftar Koreksi'!$D$5:$D$92,'1200'!A334,'Daftar Koreksi'!$G$5:$G$92,"Persediaan",'Daftar Koreksi'!$H$5:$H$92,"&lt;0")-SUMIFS('Daftar Koreksi'!$H$5:$H$92,'Daftar Koreksi'!$D$5:$D$92,'1200'!A334,'Daftar Koreksi'!$G$5:$G$92,"Persediaan",'Daftar Koreksi'!$H$5:$H$92,"&lt;0")</f>
        <v>0</v>
      </c>
      <c r="G337" s="17">
        <f>D337+E337-F337</f>
        <v>355000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1491100000</v>
      </c>
      <c r="E338" s="25">
        <f>SUMIFS('Daftar Koreksi'!$H$5:$H$92,'Daftar Koreksi'!$D$5:$D$92,'1200'!A334,'Daftar Koreksi'!$G$5:$G$92,"Tanah",'Daftar Koreksi'!$H$5:$H$92,"&gt;0")</f>
        <v>0</v>
      </c>
      <c r="F338" s="25">
        <f>SUMIFS('Daftar Koreksi'!$H$5:$H$92,'Daftar Koreksi'!$D$5:$D$92,'1200'!A334,'Daftar Koreksi'!$G$5:$G$92,"Tanah",'Daftar Koreksi'!$H$5:$H$92,"&lt;0")-SUMIFS('Daftar Koreksi'!$H$5:$H$92,'Daftar Koreksi'!$D$5:$D$92,'1200'!A334,'Daftar Koreksi'!$G$5:$G$92,"Tanah",'Daftar Koreksi'!$H$5:$H$92,"&lt;0")-SUMIFS('Daftar Koreksi'!$H$5:$H$92,'Daftar Koreksi'!$D$5:$D$92,'1200'!A334,'Daftar Koreksi'!$G$5:$G$92,"Tanah",'Daftar Koreksi'!$H$5:$H$92,"&lt;0")</f>
        <v>0</v>
      </c>
      <c r="G338" s="17">
        <f t="shared" ref="G338:G354" si="15">D338+E338-F338</f>
        <v>1491100000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1912233214</v>
      </c>
      <c r="E339" s="25">
        <f>SUMIFS('Daftar Koreksi'!$H$5:$H$92,'Daftar Koreksi'!$D$5:$D$92,'1200'!A334,'Daftar Koreksi'!$G$5:$G$92,"Peralatan dan mesin",'Daftar Koreksi'!$H$5:$H$92,"&gt;0")</f>
        <v>0</v>
      </c>
      <c r="F339" s="25">
        <f>SUMIFS('Daftar Koreksi'!$H$5:$H$92,'Daftar Koreksi'!$D$5:$D$92,'1200'!A334,'Daftar Koreksi'!$G$5:$G$92,"Peralatan dan mesin",'Daftar Koreksi'!$H$5:$H$92,"&lt;0")-SUMIFS('Daftar Koreksi'!$H$5:$H$92,'Daftar Koreksi'!$D$5:$D$92,'1200'!A334,'Daftar Koreksi'!$G$5:$G$92,"Peralatan dan mesin",'Daftar Koreksi'!$H$5:$H$92,"&lt;0")-SUMIFS('Daftar Koreksi'!$H$5:$H$92,'Daftar Koreksi'!$D$5:$D$92,'1200'!A334,'Daftar Koreksi'!$G$5:$G$92,"Peralatan dan mesin",'Daftar Koreksi'!$H$5:$H$92,"&lt;0")</f>
        <v>0</v>
      </c>
      <c r="G339" s="17">
        <f t="shared" si="15"/>
        <v>1912233214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6593727444</v>
      </c>
      <c r="E340" s="25">
        <f>SUMIFS('Daftar Koreksi'!$H$5:$H$92,'Daftar Koreksi'!$D$5:$D$92,'1200'!A334,'Daftar Koreksi'!$G$5:$G$92,"Gedung dan Bangunan",'Daftar Koreksi'!$H$5:$H$92,"&gt;0")</f>
        <v>0</v>
      </c>
      <c r="F340" s="25">
        <f>SUMIFS('Daftar Koreksi'!$H$5:$H$92,'Daftar Koreksi'!$D$5:$D$92,'1200'!A334,'Daftar Koreksi'!$G$5:$G$92,"Gedung dan Bangunan",'Daftar Koreksi'!$H$5:$H$92,"&lt;0")-SUMIFS('Daftar Koreksi'!$H$5:$H$92,'Daftar Koreksi'!$D$5:$D$92,'1200'!A334,'Daftar Koreksi'!$G$5:$G$92,"Gedung dan Bangunan",'Daftar Koreksi'!$H$5:$H$92,"&lt;0")-SUMIFS('Daftar Koreksi'!$H$5:$H$92,'Daftar Koreksi'!$D$5:$D$92,'1200'!A334,'Daftar Koreksi'!$G$5:$G$92,"Gedung dan Bangunan",'Daftar Koreksi'!$H$5:$H$92,"&lt;0")</f>
        <v>0</v>
      </c>
      <c r="G340" s="17">
        <f t="shared" si="15"/>
        <v>6593727444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488941971</v>
      </c>
      <c r="E341" s="25">
        <f>SUMIFS('Daftar Koreksi'!$H$5:$H$92,'Daftar Koreksi'!$D$5:$D$92,'1200'!A334,'Daftar Koreksi'!$G$5:$G$92,"Jalan Irigasi Jaringan",'Daftar Koreksi'!$H$5:$H$92,"&gt;0")</f>
        <v>0</v>
      </c>
      <c r="F341" s="25">
        <f>SUMIFS('Daftar Koreksi'!$H$5:$H$92,'Daftar Koreksi'!$D$5:$D$92,'1200'!A334,'Daftar Koreksi'!$G$5:$G$92,"Jalan Irigasi Jaringan",'Daftar Koreksi'!$H$5:$H$92,"&lt;0")-SUMIFS('Daftar Koreksi'!$H$5:$H$92,'Daftar Koreksi'!$D$5:$D$92,'1200'!A334,'Daftar Koreksi'!$G$5:$G$92,"Jalan Irigasi Jaringan",'Daftar Koreksi'!$H$5:$H$92,"&lt;0")-SUMIFS('Daftar Koreksi'!$H$5:$H$92,'Daftar Koreksi'!$D$5:$D$92,'1200'!A334,'Daftar Koreksi'!$G$5:$G$92,"Jalan Irigasi Jaringan",'Daftar Koreksi'!$H$5:$H$92,"&lt;0")</f>
        <v>0</v>
      </c>
      <c r="G341" s="17">
        <f t="shared" si="15"/>
        <v>488941971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4915118</v>
      </c>
      <c r="E342" s="25">
        <f>SUMIFS('Daftar Koreksi'!$H$5:$H$92,'Daftar Koreksi'!$D$5:$D$92,'1200'!A334,'Daftar Koreksi'!$G$5:$G$92,"Aset Tetap Lainnya",'Daftar Koreksi'!$H$5:$H$92,"&gt;0")</f>
        <v>0</v>
      </c>
      <c r="F342" s="25">
        <f>SUMIFS('Daftar Koreksi'!$H$5:$H$92,'Daftar Koreksi'!$D$5:$D$92,'1200'!A334,'Daftar Koreksi'!$G$5:$G$92,"Aset Tetap Lainnya",'Daftar Koreksi'!$H$5:$H$92,"&lt;0")-SUMIFS('Daftar Koreksi'!$H$5:$H$92,'Daftar Koreksi'!$D$5:$D$92,'1200'!A334,'Daftar Koreksi'!$G$5:$G$92,"Aset Tetap Lainnya",'Daftar Koreksi'!$H$5:$H$92,"&lt;0")-SUMIFS('Daftar Koreksi'!$H$5:$H$92,'Daftar Koreksi'!$D$5:$D$92,'1200'!A334,'Daftar Koreksi'!$G$5:$G$92,"Aset Tetap Lainnya",'Daftar Koreksi'!$H$5:$H$92,"&lt;0")</f>
        <v>0</v>
      </c>
      <c r="G342" s="17">
        <f t="shared" si="15"/>
        <v>4915118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Koreksi'!$D$5:$D$92,'1200'!A334,'Daftar Koreksi'!$G$5:$G$92,"Kontruksi Dalam Pengerjaan",'Daftar Koreksi'!$H$5:$H$92,"&gt;0")</f>
        <v>0</v>
      </c>
      <c r="F343" s="25">
        <f>SUMIFS('Daftar Koreksi'!$H$5:$H$92,'Daftar Koreksi'!$D$5:$D$92,'1200'!A334,'Daftar Koreksi'!$G$5:$G$92,"Kontruksi Dalam Pengerjaan",'Daftar Koreksi'!$H$5:$H$92,"&lt;0")-SUMIFS('Daftar Koreksi'!$H$5:$H$92,'Daftar Koreksi'!$D$5:$D$92,'1200'!A334,'Daftar Koreksi'!$G$5:$G$92,"Kontruksi Dalam Pengerjaan",'Daftar Koreksi'!$H$5:$H$92,"&lt;0")-SUMIFS('Daftar Koreksi'!$H$5:$H$92,'Daftar Koreksi'!$D$5:$D$92,'1200'!A334,'Daftar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Koreksi'!$D$5:$D$92,'1200'!A334,'Daftar Koreksi'!$G$5:$G$92,"Aset Tak Berwujud",'Daftar Koreksi'!$H$5:$H$92,"&gt;0")</f>
        <v>0</v>
      </c>
      <c r="F344" s="25">
        <f>SUMIFS('Daftar Koreksi'!$H$5:$H$92,'Daftar Koreksi'!$D$5:$D$92,'1200'!A334,'Daftar Koreksi'!$G$5:$G$92,"Aset Tak Berwujud",'Daftar Koreksi'!$H$5:$H$92,"&lt;0")-SUMIFS('Daftar Koreksi'!$H$5:$H$92,'Daftar Koreksi'!$D$5:$D$92,'1200'!A334,'Daftar Koreksi'!$G$5:$G$92,"Aset Tak Berwujud",'Daftar Koreksi'!$H$5:$H$92,"&lt;0")-SUMIFS('Daftar Koreksi'!$H$5:$H$92,'Daftar Koreksi'!$D$5:$D$92,'1200'!A334,'Daftar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2300000</v>
      </c>
      <c r="E345" s="25">
        <f>SUMIFS('Daftar Koreksi'!$H$5:$H$92,'Daftar Koreksi'!$D$5:$D$92,'1200'!A334,'Daftar Koreksi'!$G$5:$G$92,"Aset Henti Guna",'Daftar Koreksi'!$H$5:$H$92,"&gt;0")</f>
        <v>0</v>
      </c>
      <c r="F345" s="25">
        <f>SUMIFS('Daftar Koreksi'!$H$5:$H$92,'Daftar Koreksi'!$D$5:$D$92,'1200'!A334,'Daftar Koreksi'!$G$5:$G$92,"Aset Henti Guna",'Daftar Koreksi'!$H$5:$H$92,"&lt;0")-SUMIFS('Daftar Koreksi'!$H$5:$H$92,'Daftar Koreksi'!$D$5:$D$92,'1200'!A334,'Daftar Koreksi'!$G$5:$G$92,"Aset Henti Guna",'Daftar Koreksi'!$H$5:$H$92,"&lt;0")-SUMIFS('Daftar Koreksi'!$H$5:$H$92,'Daftar Koreksi'!$D$5:$D$92,'1200'!A334,'Daftar Koreksi'!$G$5:$G$92,"Aset Henti Guna",'Daftar Koreksi'!$H$5:$H$92,"&lt;0")</f>
        <v>0</v>
      </c>
      <c r="G345" s="17">
        <f t="shared" si="15"/>
        <v>2300000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10493572747</v>
      </c>
      <c r="E346" s="19">
        <f>SUM(E337:E345)</f>
        <v>0</v>
      </c>
      <c r="F346" s="19">
        <f>SUM(F337:F345)</f>
        <v>0</v>
      </c>
      <c r="G346" s="19">
        <f t="shared" si="15"/>
        <v>10493572747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-1778511391</v>
      </c>
      <c r="E347" s="25">
        <f>SUMIFS('Daftar Koreksi'!$I$5:$I$92,'Daftar Koreksi'!$D$5:$D$92,'1200'!A334,'Daftar Koreksi'!$G$5:$G$92,"Peralatan dan mesin",'Daftar Koreksi'!$I$5:$I$92,"&gt;0")</f>
        <v>0</v>
      </c>
      <c r="F347" s="25">
        <f>SUMIFS('Daftar Koreksi'!$I$5:$I$92,'Daftar Koreksi'!$D$5:$D$92,'1200'!A334,'Daftar Koreksi'!$G$5:$G$92,"Peralatan dan mesin",'Daftar Koreksi'!$I$5:$I$92,"&lt;0")-SUMIFS('Daftar Koreksi'!$I$5:$I$92,'Daftar Koreksi'!$D$5:$D$92,'1200'!A334,'Daftar Koreksi'!$G$5:$G$92,"Peralatan dan mesin",'Daftar Koreksi'!$I$5:$I$92,"&lt;0")-SUMIFS('Daftar Koreksi'!$I$5:$I$92,'Daftar Koreksi'!$D$5:$D$92,'1200'!A334,'Daftar Koreksi'!$G$5:$G$92,"Peralatan dan mesin",'Daftar Koreksi'!$I$5:$I$92,"&lt;0")</f>
        <v>0</v>
      </c>
      <c r="G347" s="17">
        <f t="shared" si="15"/>
        <v>-1778511391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-1798066405</v>
      </c>
      <c r="E348" s="25">
        <f>SUMIFS('Daftar Koreksi'!$I$5:$I$92,'Daftar Koreksi'!$D$5:$D$92,'1200'!A334,'Daftar Koreksi'!$G$5:$G$92,"Gedung dan Bangunan",'Daftar Koreksi'!$I$5:$I$92,"&gt;0")</f>
        <v>0</v>
      </c>
      <c r="F348" s="25">
        <f>SUMIFS('Daftar Koreksi'!$I$5:$I$92,'Daftar Koreksi'!$D$5:$D$92,'1200'!A334,'Daftar Koreksi'!$G$5:$G$92,"Gedung dan Bangunan",'Daftar Koreksi'!$I$5:$I$92,"&lt;0")-SUMIFS('Daftar Koreksi'!$I$5:$I$92,'Daftar Koreksi'!$D$5:$D$92,'1200'!A334,'Daftar Koreksi'!$G$5:$G$92,"Gedung dan Bangunan",'Daftar Koreksi'!$I$5:$I$92,"&lt;0")-SUMIFS('Daftar Koreksi'!$I$5:$I$92,'Daftar Koreksi'!$D$5:$D$92,'1200'!A334,'Daftar Koreksi'!$G$5:$G$92,"Gedung dan Bangunan",'Daftar Koreksi'!$I$5:$I$92,"&lt;0")</f>
        <v>0</v>
      </c>
      <c r="G348" s="17">
        <f t="shared" si="15"/>
        <v>-1798066405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-211783193</v>
      </c>
      <c r="E349" s="25">
        <f>SUMIFS('Daftar Koreksi'!$I$5:$I$92,'Daftar Koreksi'!$D$5:$D$92,'1200'!A334,'Daftar Koreksi'!$G$5:$G$92,"Jalan Irigasi Jaringan",'Daftar Koreksi'!$I$5:$I$92,"&gt;0")</f>
        <v>0</v>
      </c>
      <c r="F349" s="25">
        <f>SUMIFS('Daftar Koreksi'!$I$5:$I$92,'Daftar Koreksi'!$D$5:$D$92,'1200'!A334,'Daftar Koreksi'!$G$5:$G$92,"Jalan Irigasi Jaringan",'Daftar Koreksi'!$I$5:$I$92,"&lt;0")-SUMIFS('Daftar Koreksi'!$I$5:$I$92,'Daftar Koreksi'!$D$5:$D$92,'1200'!A334,'Daftar Koreksi'!$G$5:$G$92,"Jalan Irigasi Jaringan",'Daftar Koreksi'!$I$5:$I$92,"&lt;0")-SUMIFS('Daftar Koreksi'!$I$5:$I$92,'Daftar Koreksi'!$D$5:$D$92,'1200'!A334,'Daftar Koreksi'!$G$5:$G$92,"Jalan Irigasi Jaringan",'Daftar Koreksi'!$I$5:$I$92,"&lt;0")</f>
        <v>0</v>
      </c>
      <c r="G349" s="17">
        <f t="shared" si="15"/>
        <v>-211783193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Koreksi'!$D$5:$D$92,'1200'!A334,'Daftar Koreksi'!$G$5:$G$92,"Aset Tetap Lainnya",'Daftar Koreksi'!$I$5:$I$92,"&gt;0")</f>
        <v>0</v>
      </c>
      <c r="F350" s="25">
        <f>SUMIFS('Daftar Koreksi'!$I$5:$I$92,'Daftar Koreksi'!$D$5:$D$92,'1200'!A334,'Daftar Koreksi'!$G$5:$G$92,"Aset Tetap Lainnya",'Daftar Koreksi'!$I$5:$I$92,"&lt;0")-SUMIFS('Daftar Koreksi'!$I$5:$I$92,'Daftar Koreksi'!$D$5:$D$92,'1200'!A334,'Daftar Koreksi'!$G$5:$G$92,"Aset Tetap Lainnya",'Daftar Koreksi'!$I$5:$I$92,"&lt;0")-SUMIFS('Daftar Koreksi'!$I$5:$I$92,'Daftar Koreksi'!$D$5:$D$92,'1200'!A334,'Daftar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-2300000</v>
      </c>
      <c r="E351" s="25">
        <f>SUMIFS('Daftar Koreksi'!$I$5:$I$92,'Daftar Koreksi'!$D$5:$D$92,'1200'!A334,'Daftar Koreksi'!$G$5:$G$92,"Aset Henti Guna",'Daftar Koreksi'!$I$5:$I$92,"&gt;0")</f>
        <v>0</v>
      </c>
      <c r="F351" s="25">
        <f>SUMIFS('Daftar Koreksi'!$I$5:$I$92,'Daftar Koreksi'!$D$5:$D$92,'1200'!A334,'Daftar Koreksi'!$G$5:$G$92,"Aset Henti Guna",'Daftar Koreksi'!$I$5:$I$92,"&lt;0")-SUMIFS('Daftar Koreksi'!$I$5:$I$92,'Daftar Koreksi'!$D$5:$D$92,'1200'!A334,'Daftar Koreksi'!$G$5:$G$92,"Aset Henti Guna",'Daftar Koreksi'!$I$5:$I$92,"&lt;0")-SUMIFS('Daftar Koreksi'!$I$5:$I$92,'Daftar Koreksi'!$D$5:$D$92,'1200'!A334,'Daftar Koreksi'!$G$5:$G$92,"Aset Henti Guna",'Daftar Koreksi'!$I$5:$I$92,"&lt;0")</f>
        <v>0</v>
      </c>
      <c r="G351" s="17">
        <f t="shared" si="15"/>
        <v>-2300000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-3790660989</v>
      </c>
      <c r="E352" s="19">
        <f>SUM(E347:E351)</f>
        <v>0</v>
      </c>
      <c r="F352" s="19">
        <f>SUM(F347:F351)</f>
        <v>0</v>
      </c>
      <c r="G352" s="19">
        <f t="shared" si="15"/>
        <v>-3790660989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6702911758</v>
      </c>
      <c r="E353" s="19">
        <f>E352+E346</f>
        <v>0</v>
      </c>
      <c r="F353" s="19">
        <f>F352+F346</f>
        <v>0</v>
      </c>
      <c r="G353" s="19">
        <f t="shared" si="15"/>
        <v>6702911758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005011200652041000KD</v>
      </c>
      <c r="B356" s="11" t="str">
        <f>P17</f>
        <v>PA. Gunung Sugih</v>
      </c>
      <c r="C356" s="12" t="str">
        <f>A356&amp;" "&amp;B356</f>
        <v>005011200652041000KD PA. Gunung Sugih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16415050</v>
      </c>
      <c r="E359" s="25">
        <f>SUMIFS('Daftar Koreksi'!$H$5:$H$92,'Daftar Koreksi'!$D$5:$D$92,'1200'!A356,'Daftar Koreksi'!$G$5:$G$92,"Persediaan",'Daftar Koreksi'!$H$5:$H$92,"&gt;0")</f>
        <v>0</v>
      </c>
      <c r="F359" s="25">
        <f>SUMIFS('Daftar Koreksi'!$H$5:$H$92,'Daftar Koreksi'!$D$5:$D$92,'1200'!A356,'Daftar Koreksi'!$G$5:$G$92,"Persediaan",'Daftar Koreksi'!$H$5:$H$92,"&lt;0")-SUMIFS('Daftar Koreksi'!$H$5:$H$92,'Daftar Koreksi'!$D$5:$D$92,'1200'!A356,'Daftar Koreksi'!$G$5:$G$92,"Persediaan",'Daftar Koreksi'!$H$5:$H$92,"&lt;0")-SUMIFS('Daftar Koreksi'!$H$5:$H$92,'Daftar Koreksi'!$D$5:$D$92,'1200'!A356,'Daftar Koreksi'!$G$5:$G$92,"Persediaan",'Daftar Koreksi'!$H$5:$H$92,"&lt;0")</f>
        <v>0</v>
      </c>
      <c r="G359" s="17">
        <f>D359+E359-F359</f>
        <v>16415050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1562000000</v>
      </c>
      <c r="E360" s="25">
        <f>SUMIFS('Daftar Koreksi'!$H$5:$H$92,'Daftar Koreksi'!$D$5:$D$92,'1200'!A356,'Daftar Koreksi'!$G$5:$G$92,"Tanah",'Daftar Koreksi'!$H$5:$H$92,"&gt;0")</f>
        <v>0</v>
      </c>
      <c r="F360" s="25">
        <f>SUMIFS('Daftar Koreksi'!$H$5:$H$92,'Daftar Koreksi'!$D$5:$D$92,'1200'!A356,'Daftar Koreksi'!$G$5:$G$92,"Tanah",'Daftar Koreksi'!$H$5:$H$92,"&lt;0")-SUMIFS('Daftar Koreksi'!$H$5:$H$92,'Daftar Koreksi'!$D$5:$D$92,'1200'!A356,'Daftar Koreksi'!$G$5:$G$92,"Tanah",'Daftar Koreksi'!$H$5:$H$92,"&lt;0")-SUMIFS('Daftar Koreksi'!$H$5:$H$92,'Daftar Koreksi'!$D$5:$D$92,'1200'!A356,'Daftar Koreksi'!$G$5:$G$92,"Tanah",'Daftar Koreksi'!$H$5:$H$92,"&lt;0")</f>
        <v>0</v>
      </c>
      <c r="G360" s="17">
        <f t="shared" ref="G360:G376" si="16">D360+E360-F360</f>
        <v>1562000000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1254176017</v>
      </c>
      <c r="E361" s="25">
        <f>SUMIFS('Daftar Koreksi'!$H$5:$H$92,'Daftar Koreksi'!$D$5:$D$92,'1200'!A356,'Daftar Koreksi'!$G$5:$G$92,"Peralatan dan mesin",'Daftar Koreksi'!$H$5:$H$92,"&gt;0")</f>
        <v>0</v>
      </c>
      <c r="F361" s="25">
        <f>SUMIFS('Daftar Koreksi'!$H$5:$H$92,'Daftar Koreksi'!$D$5:$D$92,'1200'!A356,'Daftar Koreksi'!$G$5:$G$92,"Peralatan dan mesin",'Daftar Koreksi'!$H$5:$H$92,"&lt;0")-SUMIFS('Daftar Koreksi'!$H$5:$H$92,'Daftar Koreksi'!$D$5:$D$92,'1200'!A356,'Daftar Koreksi'!$G$5:$G$92,"Peralatan dan mesin",'Daftar Koreksi'!$H$5:$H$92,"&lt;0")-SUMIFS('Daftar Koreksi'!$H$5:$H$92,'Daftar Koreksi'!$D$5:$D$92,'1200'!A356,'Daftar Koreksi'!$G$5:$G$92,"Peralatan dan mesin",'Daftar Koreksi'!$H$5:$H$92,"&lt;0")</f>
        <v>0</v>
      </c>
      <c r="G361" s="17">
        <f t="shared" si="16"/>
        <v>1254176017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3685942689</v>
      </c>
      <c r="E362" s="25">
        <f>SUMIFS('Daftar Koreksi'!$H$5:$H$92,'Daftar Koreksi'!$D$5:$D$92,'1200'!A356,'Daftar Koreksi'!$G$5:$G$92,"Gedung dan Bangunan",'Daftar Koreksi'!$H$5:$H$92,"&gt;0")</f>
        <v>0</v>
      </c>
      <c r="F362" s="25">
        <f>SUMIFS('Daftar Koreksi'!$H$5:$H$92,'Daftar Koreksi'!$D$5:$D$92,'1200'!A356,'Daftar Koreksi'!$G$5:$G$92,"Gedung dan Bangunan",'Daftar Koreksi'!$H$5:$H$92,"&lt;0")-SUMIFS('Daftar Koreksi'!$H$5:$H$92,'Daftar Koreksi'!$D$5:$D$92,'1200'!A356,'Daftar Koreksi'!$G$5:$G$92,"Gedung dan Bangunan",'Daftar Koreksi'!$H$5:$H$92,"&lt;0")-SUMIFS('Daftar Koreksi'!$H$5:$H$92,'Daftar Koreksi'!$D$5:$D$92,'1200'!A356,'Daftar Koreksi'!$G$5:$G$92,"Gedung dan Bangunan",'Daftar Koreksi'!$H$5:$H$92,"&lt;0")</f>
        <v>0</v>
      </c>
      <c r="G362" s="17">
        <f t="shared" si="16"/>
        <v>3685942689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350788615</v>
      </c>
      <c r="E363" s="25">
        <f>SUMIFS('Daftar Koreksi'!$H$5:$H$92,'Daftar Koreksi'!$D$5:$D$92,'1200'!A356,'Daftar Koreksi'!$G$5:$G$92,"Jalan Irigasi Jaringan",'Daftar Koreksi'!$H$5:$H$92,"&gt;0")</f>
        <v>0</v>
      </c>
      <c r="F363" s="25">
        <f>SUMIFS('Daftar Koreksi'!$H$5:$H$92,'Daftar Koreksi'!$D$5:$D$92,'1200'!A356,'Daftar Koreksi'!$G$5:$G$92,"Jalan Irigasi Jaringan",'Daftar Koreksi'!$H$5:$H$92,"&lt;0")-SUMIFS('Daftar Koreksi'!$H$5:$H$92,'Daftar Koreksi'!$D$5:$D$92,'1200'!A356,'Daftar Koreksi'!$G$5:$G$92,"Jalan Irigasi Jaringan",'Daftar Koreksi'!$H$5:$H$92,"&lt;0")-SUMIFS('Daftar Koreksi'!$H$5:$H$92,'Daftar Koreksi'!$D$5:$D$92,'1200'!A356,'Daftar Koreksi'!$G$5:$G$92,"Jalan Irigasi Jaringan",'Daftar Koreksi'!$H$5:$H$92,"&lt;0")</f>
        <v>0</v>
      </c>
      <c r="G363" s="17">
        <f t="shared" si="16"/>
        <v>350788615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1165684</v>
      </c>
      <c r="E364" s="25">
        <f>SUMIFS('Daftar Koreksi'!$H$5:$H$92,'Daftar Koreksi'!$D$5:$D$92,'1200'!A356,'Daftar Koreksi'!$G$5:$G$92,"Aset Tetap Lainnya",'Daftar Koreksi'!$H$5:$H$92,"&gt;0")</f>
        <v>0</v>
      </c>
      <c r="F364" s="25">
        <f>SUMIFS('Daftar Koreksi'!$H$5:$H$92,'Daftar Koreksi'!$D$5:$D$92,'1200'!A356,'Daftar Koreksi'!$G$5:$G$92,"Aset Tetap Lainnya",'Daftar Koreksi'!$H$5:$H$92,"&lt;0")-SUMIFS('Daftar Koreksi'!$H$5:$H$92,'Daftar Koreksi'!$D$5:$D$92,'1200'!A356,'Daftar Koreksi'!$G$5:$G$92,"Aset Tetap Lainnya",'Daftar Koreksi'!$H$5:$H$92,"&lt;0")-SUMIFS('Daftar Koreksi'!$H$5:$H$92,'Daftar Koreksi'!$D$5:$D$92,'1200'!A356,'Daftar Koreksi'!$G$5:$G$92,"Aset Tetap Lainnya",'Daftar Koreksi'!$H$5:$H$92,"&lt;0")</f>
        <v>0</v>
      </c>
      <c r="G364" s="17">
        <f t="shared" si="16"/>
        <v>1165684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Koreksi'!$D$5:$D$92,'1200'!A356,'Daftar Koreksi'!$G$5:$G$92,"Kontruksi Dalam Pengerjaan",'Daftar Koreksi'!$H$5:$H$92,"&gt;0")</f>
        <v>0</v>
      </c>
      <c r="F365" s="25">
        <f>SUMIFS('Daftar Koreksi'!$H$5:$H$92,'Daftar Koreksi'!$D$5:$D$92,'1200'!A356,'Daftar Koreksi'!$G$5:$G$92,"Kontruksi Dalam Pengerjaan",'Daftar Koreksi'!$H$5:$H$92,"&lt;0")-SUMIFS('Daftar Koreksi'!$H$5:$H$92,'Daftar Koreksi'!$D$5:$D$92,'1200'!A356,'Daftar Koreksi'!$G$5:$G$92,"Kontruksi Dalam Pengerjaan",'Daftar Koreksi'!$H$5:$H$92,"&lt;0")-SUMIFS('Daftar Koreksi'!$H$5:$H$92,'Daftar Koreksi'!$D$5:$D$92,'1200'!A356,'Daftar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37000000</v>
      </c>
      <c r="E366" s="25">
        <f>SUMIFS('Daftar Koreksi'!$H$5:$H$92,'Daftar Koreksi'!$D$5:$D$92,'1200'!A356,'Daftar Koreksi'!$G$5:$G$92,"Aset Tak Berwujud",'Daftar Koreksi'!$H$5:$H$92,"&gt;0")</f>
        <v>0</v>
      </c>
      <c r="F366" s="25">
        <f>SUMIFS('Daftar Koreksi'!$H$5:$H$92,'Daftar Koreksi'!$D$5:$D$92,'1200'!A356,'Daftar Koreksi'!$G$5:$G$92,"Aset Tak Berwujud",'Daftar Koreksi'!$H$5:$H$92,"&lt;0")-SUMIFS('Daftar Koreksi'!$H$5:$H$92,'Daftar Koreksi'!$D$5:$D$92,'1200'!A356,'Daftar Koreksi'!$G$5:$G$92,"Aset Tak Berwujud",'Daftar Koreksi'!$H$5:$H$92,"&lt;0")-SUMIFS('Daftar Koreksi'!$H$5:$H$92,'Daftar Koreksi'!$D$5:$D$92,'1200'!A356,'Daftar Koreksi'!$G$5:$G$92,"Aset Tak Berwujud",'Daftar Koreksi'!$H$5:$H$92,"&lt;0")</f>
        <v>0</v>
      </c>
      <c r="G366" s="17">
        <f t="shared" si="16"/>
        <v>37000000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95504000</v>
      </c>
      <c r="E367" s="25">
        <f>SUMIFS('Daftar Koreksi'!$H$5:$H$92,'Daftar Koreksi'!$D$5:$D$92,'1200'!A356,'Daftar Koreksi'!$G$5:$G$92,"Aset Henti Guna",'Daftar Koreksi'!$H$5:$H$92,"&gt;0")</f>
        <v>0</v>
      </c>
      <c r="F367" s="25">
        <f>SUMIFS('Daftar Koreksi'!$H$5:$H$92,'Daftar Koreksi'!$D$5:$D$92,'1200'!A356,'Daftar Koreksi'!$G$5:$G$92,"Aset Henti Guna",'Daftar Koreksi'!$H$5:$H$92,"&lt;0")-SUMIFS('Daftar Koreksi'!$H$5:$H$92,'Daftar Koreksi'!$D$5:$D$92,'1200'!A356,'Daftar Koreksi'!$G$5:$G$92,"Aset Henti Guna",'Daftar Koreksi'!$H$5:$H$92,"&lt;0")-SUMIFS('Daftar Koreksi'!$H$5:$H$92,'Daftar Koreksi'!$D$5:$D$92,'1200'!A356,'Daftar Koreksi'!$G$5:$G$92,"Aset Henti Guna",'Daftar Koreksi'!$H$5:$H$92,"&lt;0")</f>
        <v>0</v>
      </c>
      <c r="G367" s="17">
        <f t="shared" si="16"/>
        <v>95504000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7002992055</v>
      </c>
      <c r="E368" s="19">
        <f>SUM(E359:E367)</f>
        <v>0</v>
      </c>
      <c r="F368" s="19">
        <f>SUM(F359:F367)</f>
        <v>0</v>
      </c>
      <c r="G368" s="19">
        <f t="shared" si="16"/>
        <v>7002992055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-1109243394</v>
      </c>
      <c r="E369" s="25">
        <f>SUMIFS('Daftar Koreksi'!$I$5:$I$92,'Daftar Koreksi'!$D$5:$D$92,'1200'!A356,'Daftar Koreksi'!$G$5:$G$92,"Peralatan dan mesin",'Daftar Koreksi'!$I$5:$I$92,"&gt;0")</f>
        <v>0</v>
      </c>
      <c r="F369" s="25">
        <f>SUMIFS('Daftar Koreksi'!$I$5:$I$92,'Daftar Koreksi'!$D$5:$D$92,'1200'!A356,'Daftar Koreksi'!$G$5:$G$92,"Peralatan dan mesin",'Daftar Koreksi'!$I$5:$I$92,"&lt;0")-SUMIFS('Daftar Koreksi'!$I$5:$I$92,'Daftar Koreksi'!$D$5:$D$92,'1200'!A356,'Daftar Koreksi'!$G$5:$G$92,"Peralatan dan mesin",'Daftar Koreksi'!$I$5:$I$92,"&lt;0")-SUMIFS('Daftar Koreksi'!$I$5:$I$92,'Daftar Koreksi'!$D$5:$D$92,'1200'!A356,'Daftar Koreksi'!$G$5:$G$92,"Peralatan dan mesin",'Daftar Koreksi'!$I$5:$I$92,"&lt;0")</f>
        <v>0</v>
      </c>
      <c r="G369" s="17">
        <f t="shared" si="16"/>
        <v>-1109243394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-579138722</v>
      </c>
      <c r="E370" s="25">
        <f>SUMIFS('Daftar Koreksi'!$I$5:$I$92,'Daftar Koreksi'!$D$5:$D$92,'1200'!A356,'Daftar Koreksi'!$G$5:$G$92,"Gedung dan Bangunan",'Daftar Koreksi'!$I$5:$I$92,"&gt;0")</f>
        <v>0</v>
      </c>
      <c r="F370" s="25">
        <f>SUMIFS('Daftar Koreksi'!$I$5:$I$92,'Daftar Koreksi'!$D$5:$D$92,'1200'!A356,'Daftar Koreksi'!$G$5:$G$92,"Gedung dan Bangunan",'Daftar Koreksi'!$I$5:$I$92,"&lt;0")-SUMIFS('Daftar Koreksi'!$I$5:$I$92,'Daftar Koreksi'!$D$5:$D$92,'1200'!A356,'Daftar Koreksi'!$G$5:$G$92,"Gedung dan Bangunan",'Daftar Koreksi'!$I$5:$I$92,"&lt;0")-SUMIFS('Daftar Koreksi'!$I$5:$I$92,'Daftar Koreksi'!$D$5:$D$92,'1200'!A356,'Daftar Koreksi'!$G$5:$G$92,"Gedung dan Bangunan",'Daftar Koreksi'!$I$5:$I$92,"&lt;0")</f>
        <v>0</v>
      </c>
      <c r="G370" s="17">
        <f t="shared" si="16"/>
        <v>-579138722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-172570488</v>
      </c>
      <c r="E371" s="25">
        <f>SUMIFS('Daftar Koreksi'!$I$5:$I$92,'Daftar Koreksi'!$D$5:$D$92,'1200'!A356,'Daftar Koreksi'!$G$5:$G$92,"Jalan Irigasi Jaringan",'Daftar Koreksi'!$I$5:$I$92,"&gt;0")</f>
        <v>0</v>
      </c>
      <c r="F371" s="25">
        <f>SUMIFS('Daftar Koreksi'!$I$5:$I$92,'Daftar Koreksi'!$D$5:$D$92,'1200'!A356,'Daftar Koreksi'!$G$5:$G$92,"Jalan Irigasi Jaringan",'Daftar Koreksi'!$I$5:$I$92,"&lt;0")-SUMIFS('Daftar Koreksi'!$I$5:$I$92,'Daftar Koreksi'!$D$5:$D$92,'1200'!A356,'Daftar Koreksi'!$G$5:$G$92,"Jalan Irigasi Jaringan",'Daftar Koreksi'!$I$5:$I$92,"&lt;0")-SUMIFS('Daftar Koreksi'!$I$5:$I$92,'Daftar Koreksi'!$D$5:$D$92,'1200'!A356,'Daftar Koreksi'!$G$5:$G$92,"Jalan Irigasi Jaringan",'Daftar Koreksi'!$I$5:$I$92,"&lt;0")</f>
        <v>0</v>
      </c>
      <c r="G371" s="17">
        <f t="shared" si="16"/>
        <v>-172570488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Koreksi'!$D$5:$D$92,'1200'!A356,'Daftar Koreksi'!$G$5:$G$92,"Aset Tetap Lainnya",'Daftar Koreksi'!$I$5:$I$92,"&gt;0")</f>
        <v>0</v>
      </c>
      <c r="F372" s="25">
        <f>SUMIFS('Daftar Koreksi'!$I$5:$I$92,'Daftar Koreksi'!$D$5:$D$92,'1200'!A356,'Daftar Koreksi'!$G$5:$G$92,"Aset Tetap Lainnya",'Daftar Koreksi'!$I$5:$I$92,"&lt;0")-SUMIFS('Daftar Koreksi'!$I$5:$I$92,'Daftar Koreksi'!$D$5:$D$92,'1200'!A356,'Daftar Koreksi'!$G$5:$G$92,"Aset Tetap Lainnya",'Daftar Koreksi'!$I$5:$I$92,"&lt;0")-SUMIFS('Daftar Koreksi'!$I$5:$I$92,'Daftar Koreksi'!$D$5:$D$92,'1200'!A356,'Daftar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-95504000</v>
      </c>
      <c r="E373" s="25">
        <f>SUMIFS('Daftar Koreksi'!$I$5:$I$92,'Daftar Koreksi'!$D$5:$D$92,'1200'!A356,'Daftar Koreksi'!$G$5:$G$92,"Aset Henti Guna",'Daftar Koreksi'!$I$5:$I$92,"&gt;0")</f>
        <v>0</v>
      </c>
      <c r="F373" s="25">
        <f>SUMIFS('Daftar Koreksi'!$I$5:$I$92,'Daftar Koreksi'!$D$5:$D$92,'1200'!A356,'Daftar Koreksi'!$G$5:$G$92,"Aset Henti Guna",'Daftar Koreksi'!$I$5:$I$92,"&lt;0")-SUMIFS('Daftar Koreksi'!$I$5:$I$92,'Daftar Koreksi'!$D$5:$D$92,'1200'!A356,'Daftar Koreksi'!$G$5:$G$92,"Aset Henti Guna",'Daftar Koreksi'!$I$5:$I$92,"&lt;0")-SUMIFS('Daftar Koreksi'!$I$5:$I$92,'Daftar Koreksi'!$D$5:$D$92,'1200'!A356,'Daftar Koreksi'!$G$5:$G$92,"Aset Henti Guna",'Daftar Koreksi'!$I$5:$I$92,"&lt;0")</f>
        <v>0</v>
      </c>
      <c r="G373" s="17">
        <f t="shared" si="16"/>
        <v>-95504000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-1956456604</v>
      </c>
      <c r="E374" s="19">
        <f>SUM(E369:E373)</f>
        <v>0</v>
      </c>
      <c r="F374" s="19">
        <f>SUM(F369:F373)</f>
        <v>0</v>
      </c>
      <c r="G374" s="19">
        <f t="shared" si="16"/>
        <v>-1956456604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5046535451</v>
      </c>
      <c r="E375" s="19">
        <f>E374+E368</f>
        <v>0</v>
      </c>
      <c r="F375" s="19">
        <f>F374+F368</f>
        <v>0</v>
      </c>
      <c r="G375" s="19">
        <f t="shared" si="16"/>
        <v>5046535451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005011200652055000KD</v>
      </c>
      <c r="B378" s="11" t="str">
        <f>P18</f>
        <v>PA. Blambangan Umpu</v>
      </c>
      <c r="C378" s="12" t="str">
        <f>A378&amp;" "&amp;B378</f>
        <v>005011200652055000KD PA. Blambangan Umpu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168800</v>
      </c>
      <c r="E381" s="25">
        <f>SUMIFS('Daftar Koreksi'!$H$5:$H$92,'Daftar Koreksi'!$D$5:$D$92,'1200'!A378,'Daftar Koreksi'!$G$5:$G$92,"Persediaan",'Daftar Koreksi'!$H$5:$H$92,"&gt;0")</f>
        <v>0</v>
      </c>
      <c r="F381" s="25">
        <f>SUMIFS('Daftar Koreksi'!$H$5:$H$92,'Daftar Koreksi'!$D$5:$D$92,'1200'!A378,'Daftar Koreksi'!$G$5:$G$92,"Persediaan",'Daftar Koreksi'!$H$5:$H$92,"&lt;0")-SUMIFS('Daftar Koreksi'!$H$5:$H$92,'Daftar Koreksi'!$D$5:$D$92,'1200'!A378,'Daftar Koreksi'!$G$5:$G$92,"Persediaan",'Daftar Koreksi'!$H$5:$H$92,"&lt;0")-SUMIFS('Daftar Koreksi'!$H$5:$H$92,'Daftar Koreksi'!$D$5:$D$92,'1200'!A378,'Daftar Koreksi'!$G$5:$G$92,"Persediaan",'Daftar Koreksi'!$H$5:$H$92,"&lt;0")</f>
        <v>0</v>
      </c>
      <c r="G381" s="17">
        <f>D381+E381-F381</f>
        <v>168800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530366201</v>
      </c>
      <c r="E382" s="25">
        <f>SUMIFS('Daftar Koreksi'!$H$5:$H$92,'Daftar Koreksi'!$D$5:$D$92,'1200'!A378,'Daftar Koreksi'!$G$5:$G$92,"Tanah",'Daftar Koreksi'!$H$5:$H$92,"&gt;0")</f>
        <v>0</v>
      </c>
      <c r="F382" s="25">
        <f>SUMIFS('Daftar Koreksi'!$H$5:$H$92,'Daftar Koreksi'!$D$5:$D$92,'1200'!A378,'Daftar Koreksi'!$G$5:$G$92,"Tanah",'Daftar Koreksi'!$H$5:$H$92,"&lt;0")-SUMIFS('Daftar Koreksi'!$H$5:$H$92,'Daftar Koreksi'!$D$5:$D$92,'1200'!A378,'Daftar Koreksi'!$G$5:$G$92,"Tanah",'Daftar Koreksi'!$H$5:$H$92,"&lt;0")-SUMIFS('Daftar Koreksi'!$H$5:$H$92,'Daftar Koreksi'!$D$5:$D$92,'1200'!A378,'Daftar Koreksi'!$G$5:$G$92,"Tanah",'Daftar Koreksi'!$H$5:$H$92,"&lt;0")</f>
        <v>0</v>
      </c>
      <c r="G382" s="17">
        <f t="shared" ref="G382:G398" si="17">D382+E382-F382</f>
        <v>530366201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1005342653</v>
      </c>
      <c r="E383" s="25">
        <f>SUMIFS('Daftar Koreksi'!$H$5:$H$92,'Daftar Koreksi'!$D$5:$D$92,'1200'!A378,'Daftar Koreksi'!$G$5:$G$92,"Peralatan dan mesin",'Daftar Koreksi'!$H$5:$H$92,"&gt;0")</f>
        <v>0</v>
      </c>
      <c r="F383" s="25">
        <f>SUMIFS('Daftar Koreksi'!$H$5:$H$92,'Daftar Koreksi'!$D$5:$D$92,'1200'!A378,'Daftar Koreksi'!$G$5:$G$92,"Peralatan dan mesin",'Daftar Koreksi'!$H$5:$H$92,"&lt;0")-SUMIFS('Daftar Koreksi'!$H$5:$H$92,'Daftar Koreksi'!$D$5:$D$92,'1200'!A378,'Daftar Koreksi'!$G$5:$G$92,"Peralatan dan mesin",'Daftar Koreksi'!$H$5:$H$92,"&lt;0")-SUMIFS('Daftar Koreksi'!$H$5:$H$92,'Daftar Koreksi'!$D$5:$D$92,'1200'!A378,'Daftar Koreksi'!$G$5:$G$92,"Peralatan dan mesin",'Daftar Koreksi'!$H$5:$H$92,"&lt;0")</f>
        <v>0</v>
      </c>
      <c r="G383" s="17">
        <f t="shared" si="17"/>
        <v>1005342653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2193976254</v>
      </c>
      <c r="E384" s="25">
        <f>SUMIFS('Daftar Koreksi'!$H$5:$H$92,'Daftar Koreksi'!$D$5:$D$92,'1200'!A378,'Daftar Koreksi'!$G$5:$G$92,"Gedung dan Bangunan",'Daftar Koreksi'!$H$5:$H$92,"&gt;0")</f>
        <v>0</v>
      </c>
      <c r="F384" s="25">
        <f>SUMIFS('Daftar Koreksi'!$H$5:$H$92,'Daftar Koreksi'!$D$5:$D$92,'1200'!A378,'Daftar Koreksi'!$G$5:$G$92,"Gedung dan Bangunan",'Daftar Koreksi'!$H$5:$H$92,"&lt;0")-SUMIFS('Daftar Koreksi'!$H$5:$H$92,'Daftar Koreksi'!$D$5:$D$92,'1200'!A378,'Daftar Koreksi'!$G$5:$G$92,"Gedung dan Bangunan",'Daftar Koreksi'!$H$5:$H$92,"&lt;0")-SUMIFS('Daftar Koreksi'!$H$5:$H$92,'Daftar Koreksi'!$D$5:$D$92,'1200'!A378,'Daftar Koreksi'!$G$5:$G$92,"Gedung dan Bangunan",'Daftar Koreksi'!$H$5:$H$92,"&lt;0")</f>
        <v>0</v>
      </c>
      <c r="G384" s="17">
        <f t="shared" si="17"/>
        <v>2193976254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89450000</v>
      </c>
      <c r="E385" s="25">
        <f>SUMIFS('Daftar Koreksi'!$H$5:$H$92,'Daftar Koreksi'!$D$5:$D$92,'1200'!A378,'Daftar Koreksi'!$G$5:$G$92,"Jalan Irigasi Jaringan",'Daftar Koreksi'!$H$5:$H$92,"&gt;0")</f>
        <v>0</v>
      </c>
      <c r="F385" s="25">
        <f>SUMIFS('Daftar Koreksi'!$H$5:$H$92,'Daftar Koreksi'!$D$5:$D$92,'1200'!A378,'Daftar Koreksi'!$G$5:$G$92,"Jalan Irigasi Jaringan",'Daftar Koreksi'!$H$5:$H$92,"&lt;0")-SUMIFS('Daftar Koreksi'!$H$5:$H$92,'Daftar Koreksi'!$D$5:$D$92,'1200'!A378,'Daftar Koreksi'!$G$5:$G$92,"Jalan Irigasi Jaringan",'Daftar Koreksi'!$H$5:$H$92,"&lt;0")-SUMIFS('Daftar Koreksi'!$H$5:$H$92,'Daftar Koreksi'!$D$5:$D$92,'1200'!A378,'Daftar Koreksi'!$G$5:$G$92,"Jalan Irigasi Jaringan",'Daftar Koreksi'!$H$5:$H$92,"&lt;0")</f>
        <v>0</v>
      </c>
      <c r="G385" s="17">
        <f t="shared" si="17"/>
        <v>89450000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18236948</v>
      </c>
      <c r="E386" s="25">
        <f>SUMIFS('Daftar Koreksi'!$H$5:$H$92,'Daftar Koreksi'!$D$5:$D$92,'1200'!A378,'Daftar Koreksi'!$G$5:$G$92,"Aset Tetap Lainnya",'Daftar Koreksi'!$H$5:$H$92,"&gt;0")</f>
        <v>0</v>
      </c>
      <c r="F386" s="25">
        <f>SUMIFS('Daftar Koreksi'!$H$5:$H$92,'Daftar Koreksi'!$D$5:$D$92,'1200'!A378,'Daftar Koreksi'!$G$5:$G$92,"Aset Tetap Lainnya",'Daftar Koreksi'!$H$5:$H$92,"&lt;0")-SUMIFS('Daftar Koreksi'!$H$5:$H$92,'Daftar Koreksi'!$D$5:$D$92,'1200'!A378,'Daftar Koreksi'!$G$5:$G$92,"Aset Tetap Lainnya",'Daftar Koreksi'!$H$5:$H$92,"&lt;0")-SUMIFS('Daftar Koreksi'!$H$5:$H$92,'Daftar Koreksi'!$D$5:$D$92,'1200'!A378,'Daftar Koreksi'!$G$5:$G$92,"Aset Tetap Lainnya",'Daftar Koreksi'!$H$5:$H$92,"&lt;0")</f>
        <v>0</v>
      </c>
      <c r="G386" s="17">
        <f t="shared" si="17"/>
        <v>18236948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Koreksi'!$D$5:$D$92,'1200'!A378,'Daftar Koreksi'!$G$5:$G$92,"Kontruksi Dalam Pengerjaan",'Daftar Koreksi'!$H$5:$H$92,"&gt;0")</f>
        <v>0</v>
      </c>
      <c r="F387" s="25">
        <f>SUMIFS('Daftar Koreksi'!$H$5:$H$92,'Daftar Koreksi'!$D$5:$D$92,'1200'!A378,'Daftar Koreksi'!$G$5:$G$92,"Kontruksi Dalam Pengerjaan",'Daftar Koreksi'!$H$5:$H$92,"&lt;0")-SUMIFS('Daftar Koreksi'!$H$5:$H$92,'Daftar Koreksi'!$D$5:$D$92,'1200'!A378,'Daftar Koreksi'!$G$5:$G$92,"Kontruksi Dalam Pengerjaan",'Daftar Koreksi'!$H$5:$H$92,"&lt;0")-SUMIFS('Daftar Koreksi'!$H$5:$H$92,'Daftar Koreksi'!$D$5:$D$92,'1200'!A378,'Daftar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13000000</v>
      </c>
      <c r="E388" s="25">
        <f>SUMIFS('Daftar Koreksi'!$H$5:$H$92,'Daftar Koreksi'!$D$5:$D$92,'1200'!A378,'Daftar Koreksi'!$G$5:$G$92,"Aset Tak Berwujud",'Daftar Koreksi'!$H$5:$H$92,"&gt;0")</f>
        <v>0</v>
      </c>
      <c r="F388" s="25">
        <f>SUMIFS('Daftar Koreksi'!$H$5:$H$92,'Daftar Koreksi'!$D$5:$D$92,'1200'!A378,'Daftar Koreksi'!$G$5:$G$92,"Aset Tak Berwujud",'Daftar Koreksi'!$H$5:$H$92,"&lt;0")-SUMIFS('Daftar Koreksi'!$H$5:$H$92,'Daftar Koreksi'!$D$5:$D$92,'1200'!A378,'Daftar Koreksi'!$G$5:$G$92,"Aset Tak Berwujud",'Daftar Koreksi'!$H$5:$H$92,"&lt;0")-SUMIFS('Daftar Koreksi'!$H$5:$H$92,'Daftar Koreksi'!$D$5:$D$92,'1200'!A378,'Daftar Koreksi'!$G$5:$G$92,"Aset Tak Berwujud",'Daftar Koreksi'!$H$5:$H$92,"&lt;0")</f>
        <v>0</v>
      </c>
      <c r="G388" s="17">
        <f t="shared" si="17"/>
        <v>13000000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237294556</v>
      </c>
      <c r="E389" s="25">
        <f>SUMIFS('Daftar Koreksi'!$H$5:$H$92,'Daftar Koreksi'!$D$5:$D$92,'1200'!A378,'Daftar Koreksi'!$G$5:$G$92,"Aset Henti Guna",'Daftar Koreksi'!$H$5:$H$92,"&gt;0")</f>
        <v>0</v>
      </c>
      <c r="F389" s="25">
        <f>SUMIFS('Daftar Koreksi'!$H$5:$H$92,'Daftar Koreksi'!$D$5:$D$92,'1200'!A378,'Daftar Koreksi'!$G$5:$G$92,"Aset Henti Guna",'Daftar Koreksi'!$H$5:$H$92,"&lt;0")-SUMIFS('Daftar Koreksi'!$H$5:$H$92,'Daftar Koreksi'!$D$5:$D$92,'1200'!A378,'Daftar Koreksi'!$G$5:$G$92,"Aset Henti Guna",'Daftar Koreksi'!$H$5:$H$92,"&lt;0")-SUMIFS('Daftar Koreksi'!$H$5:$H$92,'Daftar Koreksi'!$D$5:$D$92,'1200'!A378,'Daftar Koreksi'!$G$5:$G$92,"Aset Henti Guna",'Daftar Koreksi'!$H$5:$H$92,"&lt;0")</f>
        <v>0</v>
      </c>
      <c r="G389" s="17">
        <f t="shared" si="17"/>
        <v>237294556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4087835412</v>
      </c>
      <c r="E390" s="19">
        <f>SUM(E381:E389)</f>
        <v>0</v>
      </c>
      <c r="F390" s="19">
        <f>SUM(F381:F389)</f>
        <v>0</v>
      </c>
      <c r="G390" s="19">
        <f t="shared" si="17"/>
        <v>4087835412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-852187683</v>
      </c>
      <c r="E391" s="25">
        <f>SUMIFS('Daftar Koreksi'!$I$5:$I$92,'Daftar Koreksi'!$D$5:$D$92,'1200'!A378,'Daftar Koreksi'!$G$5:$G$92,"Peralatan dan mesin",'Daftar Koreksi'!$I$5:$I$92,"&gt;0")</f>
        <v>0</v>
      </c>
      <c r="F391" s="25">
        <f>SUMIFS('Daftar Koreksi'!$I$5:$I$92,'Daftar Koreksi'!$D$5:$D$92,'1200'!A378,'Daftar Koreksi'!$G$5:$G$92,"Peralatan dan mesin",'Daftar Koreksi'!$I$5:$I$92,"&lt;0")-SUMIFS('Daftar Koreksi'!$I$5:$I$92,'Daftar Koreksi'!$D$5:$D$92,'1200'!A378,'Daftar Koreksi'!$G$5:$G$92,"Peralatan dan mesin",'Daftar Koreksi'!$I$5:$I$92,"&lt;0")-SUMIFS('Daftar Koreksi'!$I$5:$I$92,'Daftar Koreksi'!$D$5:$D$92,'1200'!A378,'Daftar Koreksi'!$G$5:$G$92,"Peralatan dan mesin",'Daftar Koreksi'!$I$5:$I$92,"&lt;0")</f>
        <v>0</v>
      </c>
      <c r="G391" s="17">
        <f t="shared" si="17"/>
        <v>-852187683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-388114091</v>
      </c>
      <c r="E392" s="25">
        <f>SUMIFS('Daftar Koreksi'!$I$5:$I$92,'Daftar Koreksi'!$D$5:$D$92,'1200'!A378,'Daftar Koreksi'!$G$5:$G$92,"Gedung dan Bangunan",'Daftar Koreksi'!$I$5:$I$92,"&gt;0")</f>
        <v>0</v>
      </c>
      <c r="F392" s="25">
        <f>SUMIFS('Daftar Koreksi'!$I$5:$I$92,'Daftar Koreksi'!$D$5:$D$92,'1200'!A378,'Daftar Koreksi'!$G$5:$G$92,"Gedung dan Bangunan",'Daftar Koreksi'!$I$5:$I$92,"&lt;0")-SUMIFS('Daftar Koreksi'!$I$5:$I$92,'Daftar Koreksi'!$D$5:$D$92,'1200'!A378,'Daftar Koreksi'!$G$5:$G$92,"Gedung dan Bangunan",'Daftar Koreksi'!$I$5:$I$92,"&lt;0")-SUMIFS('Daftar Koreksi'!$I$5:$I$92,'Daftar Koreksi'!$D$5:$D$92,'1200'!A378,'Daftar Koreksi'!$G$5:$G$92,"Gedung dan Bangunan",'Daftar Koreksi'!$I$5:$I$92,"&lt;0")</f>
        <v>0</v>
      </c>
      <c r="G392" s="17">
        <f t="shared" si="17"/>
        <v>-388114091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-62615000</v>
      </c>
      <c r="E393" s="25">
        <f>SUMIFS('Daftar Koreksi'!$I$5:$I$92,'Daftar Koreksi'!$D$5:$D$92,'1200'!A378,'Daftar Koreksi'!$G$5:$G$92,"Jalan Irigasi Jaringan",'Daftar Koreksi'!$I$5:$I$92,"&gt;0")</f>
        <v>0</v>
      </c>
      <c r="F393" s="25">
        <f>SUMIFS('Daftar Koreksi'!$I$5:$I$92,'Daftar Koreksi'!$D$5:$D$92,'1200'!A378,'Daftar Koreksi'!$G$5:$G$92,"Jalan Irigasi Jaringan",'Daftar Koreksi'!$I$5:$I$92,"&lt;0")-SUMIFS('Daftar Koreksi'!$I$5:$I$92,'Daftar Koreksi'!$D$5:$D$92,'1200'!A378,'Daftar Koreksi'!$G$5:$G$92,"Jalan Irigasi Jaringan",'Daftar Koreksi'!$I$5:$I$92,"&lt;0")-SUMIFS('Daftar Koreksi'!$I$5:$I$92,'Daftar Koreksi'!$D$5:$D$92,'1200'!A378,'Daftar Koreksi'!$G$5:$G$92,"Jalan Irigasi Jaringan",'Daftar Koreksi'!$I$5:$I$92,"&lt;0")</f>
        <v>0</v>
      </c>
      <c r="G393" s="17">
        <f t="shared" si="17"/>
        <v>-62615000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-10730000</v>
      </c>
      <c r="E394" s="25">
        <f>SUMIFS('Daftar Koreksi'!$I$5:$I$92,'Daftar Koreksi'!$D$5:$D$92,'1200'!A378,'Daftar Koreksi'!$G$5:$G$92,"Aset Tetap Lainnya",'Daftar Koreksi'!$I$5:$I$92,"&gt;0")</f>
        <v>0</v>
      </c>
      <c r="F394" s="25">
        <f>SUMIFS('Daftar Koreksi'!$I$5:$I$92,'Daftar Koreksi'!$D$5:$D$92,'1200'!A378,'Daftar Koreksi'!$G$5:$G$92,"Aset Tetap Lainnya",'Daftar Koreksi'!$I$5:$I$92,"&lt;0")-SUMIFS('Daftar Koreksi'!$I$5:$I$92,'Daftar Koreksi'!$D$5:$D$92,'1200'!A378,'Daftar Koreksi'!$G$5:$G$92,"Aset Tetap Lainnya",'Daftar Koreksi'!$I$5:$I$92,"&lt;0")-SUMIFS('Daftar Koreksi'!$I$5:$I$92,'Daftar Koreksi'!$D$5:$D$92,'1200'!A378,'Daftar Koreksi'!$G$5:$G$92,"Aset Tetap Lainnya",'Daftar Koreksi'!$I$5:$I$92,"&lt;0")</f>
        <v>0</v>
      </c>
      <c r="G394" s="17">
        <f t="shared" si="17"/>
        <v>-10730000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-237294556</v>
      </c>
      <c r="E395" s="25">
        <f>SUMIFS('Daftar Koreksi'!$I$5:$I$92,'Daftar Koreksi'!$D$5:$D$92,'1200'!A378,'Daftar Koreksi'!$G$5:$G$92,"Aset Henti Guna",'Daftar Koreksi'!$I$5:$I$92,"&gt;0")</f>
        <v>0</v>
      </c>
      <c r="F395" s="25">
        <f>SUMIFS('Daftar Koreksi'!$I$5:$I$92,'Daftar Koreksi'!$D$5:$D$92,'1200'!A378,'Daftar Koreksi'!$G$5:$G$92,"Aset Henti Guna",'Daftar Koreksi'!$I$5:$I$92,"&lt;0")-SUMIFS('Daftar Koreksi'!$I$5:$I$92,'Daftar Koreksi'!$D$5:$D$92,'1200'!A378,'Daftar Koreksi'!$G$5:$G$92,"Aset Henti Guna",'Daftar Koreksi'!$I$5:$I$92,"&lt;0")-SUMIFS('Daftar Koreksi'!$I$5:$I$92,'Daftar Koreksi'!$D$5:$D$92,'1200'!A378,'Daftar Koreksi'!$G$5:$G$92,"Aset Henti Guna",'Daftar Koreksi'!$I$5:$I$92,"&lt;0")</f>
        <v>0</v>
      </c>
      <c r="G395" s="17">
        <f t="shared" si="17"/>
        <v>-237294556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-1550941330</v>
      </c>
      <c r="E396" s="19">
        <f>SUM(E391:E395)</f>
        <v>0</v>
      </c>
      <c r="F396" s="19">
        <f>SUM(F391:F395)</f>
        <v>0</v>
      </c>
      <c r="G396" s="19">
        <f t="shared" si="17"/>
        <v>-1550941330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2536894082</v>
      </c>
      <c r="E397" s="19">
        <f>E396+E390</f>
        <v>0</v>
      </c>
      <c r="F397" s="19">
        <f>F396+F390</f>
        <v>0</v>
      </c>
      <c r="G397" s="19">
        <f t="shared" si="17"/>
        <v>2536894082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005011200663026000KD</v>
      </c>
      <c r="B400" s="11" t="str">
        <f>P19</f>
        <v>PN. Manggala</v>
      </c>
      <c r="C400" s="12" t="str">
        <f>A400&amp;" "&amp;B400</f>
        <v>005011200663026000KD PN. Manggala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4918078</v>
      </c>
      <c r="E403" s="25">
        <f>SUMIFS('Daftar Koreksi'!$H$5:$H$92,'Daftar Koreksi'!$D$5:$D$92,'1200'!A400,'Daftar Koreksi'!$G$5:$G$92,"Persediaan",'Daftar Koreksi'!$H$5:$H$92,"&gt;0")</f>
        <v>0</v>
      </c>
      <c r="F403" s="25">
        <f>SUMIFS('Daftar Koreksi'!$H$5:$H$92,'Daftar Koreksi'!$D$5:$D$92,'1200'!A400,'Daftar Koreksi'!$G$5:$G$92,"Persediaan",'Daftar Koreksi'!$H$5:$H$92,"&lt;0")-SUMIFS('Daftar Koreksi'!$H$5:$H$92,'Daftar Koreksi'!$D$5:$D$92,'1200'!A400,'Daftar Koreksi'!$G$5:$G$92,"Persediaan",'Daftar Koreksi'!$H$5:$H$92,"&lt;0")-SUMIFS('Daftar Koreksi'!$H$5:$H$92,'Daftar Koreksi'!$D$5:$D$92,'1200'!A400,'Daftar Koreksi'!$G$5:$G$92,"Persediaan",'Daftar Koreksi'!$H$5:$H$92,"&lt;0")</f>
        <v>0</v>
      </c>
      <c r="G403" s="17">
        <f>D403+E403-F403</f>
        <v>4918078</v>
      </c>
      <c r="H403" s="121" t="str">
        <f>IF(ISNA(VLOOKUP(A400,'Mutasi Neraca'!$A$3:$S$914,19,FALSE)),"-",VLOOKUP(A400,'Mutasi Neraca'!$A$3:$S$914,19,FALSE))</f>
        <v>TP Koreksi Hibah No. 25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11755081000</v>
      </c>
      <c r="E404" s="25">
        <f>SUMIFS('Daftar Koreksi'!$H$5:$H$92,'Daftar Koreksi'!$D$5:$D$92,'1200'!A400,'Daftar Koreksi'!$G$5:$G$92,"Tanah",'Daftar Koreksi'!$H$5:$H$92,"&gt;0")</f>
        <v>0</v>
      </c>
      <c r="F404" s="25">
        <f>SUMIFS('Daftar Koreksi'!$H$5:$H$92,'Daftar Koreksi'!$D$5:$D$92,'1200'!A400,'Daftar Koreksi'!$G$5:$G$92,"Tanah",'Daftar Koreksi'!$H$5:$H$92,"&lt;0")-SUMIFS('Daftar Koreksi'!$H$5:$H$92,'Daftar Koreksi'!$D$5:$D$92,'1200'!A400,'Daftar Koreksi'!$G$5:$G$92,"Tanah",'Daftar Koreksi'!$H$5:$H$92,"&lt;0")-SUMIFS('Daftar Koreksi'!$H$5:$H$92,'Daftar Koreksi'!$D$5:$D$92,'1200'!A400,'Daftar Koreksi'!$G$5:$G$92,"Tanah",'Daftar Koreksi'!$H$5:$H$92,"&lt;0")</f>
        <v>1660800000</v>
      </c>
      <c r="G404" s="17">
        <f t="shared" ref="G404:G420" si="18">D404+E404-F404</f>
        <v>10094281000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1428398467</v>
      </c>
      <c r="E405" s="25">
        <f>SUMIFS('Daftar Koreksi'!$H$5:$H$92,'Daftar Koreksi'!$D$5:$D$92,'1200'!A400,'Daftar Koreksi'!$G$5:$G$92,"Peralatan dan mesin",'Daftar Koreksi'!$H$5:$H$92,"&gt;0")</f>
        <v>0</v>
      </c>
      <c r="F405" s="25">
        <f>SUMIFS('Daftar Koreksi'!$H$5:$H$92,'Daftar Koreksi'!$D$5:$D$92,'1200'!A400,'Daftar Koreksi'!$G$5:$G$92,"Peralatan dan mesin",'Daftar Koreksi'!$H$5:$H$92,"&lt;0")-SUMIFS('Daftar Koreksi'!$H$5:$H$92,'Daftar Koreksi'!$D$5:$D$92,'1200'!A400,'Daftar Koreksi'!$G$5:$G$92,"Peralatan dan mesin",'Daftar Koreksi'!$H$5:$H$92,"&lt;0")-SUMIFS('Daftar Koreksi'!$H$5:$H$92,'Daftar Koreksi'!$D$5:$D$92,'1200'!A400,'Daftar Koreksi'!$G$5:$G$92,"Peralatan dan mesin",'Daftar Koreksi'!$H$5:$H$92,"&lt;0")</f>
        <v>0</v>
      </c>
      <c r="G405" s="17">
        <f t="shared" si="18"/>
        <v>1428398467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4545621015</v>
      </c>
      <c r="E406" s="25">
        <f>SUMIFS('Daftar Koreksi'!$H$5:$H$92,'Daftar Koreksi'!$D$5:$D$92,'1200'!A400,'Daftar Koreksi'!$G$5:$G$92,"Gedung dan Bangunan",'Daftar Koreksi'!$H$5:$H$92,"&gt;0")</f>
        <v>1660800000</v>
      </c>
      <c r="F406" s="25">
        <f>SUMIFS('Daftar Koreksi'!$H$5:$H$92,'Daftar Koreksi'!$D$5:$D$92,'1200'!A400,'Daftar Koreksi'!$G$5:$G$92,"Gedung dan Bangunan",'Daftar Koreksi'!$H$5:$H$92,"&lt;0")-SUMIFS('Daftar Koreksi'!$H$5:$H$92,'Daftar Koreksi'!$D$5:$D$92,'1200'!A400,'Daftar Koreksi'!$G$5:$G$92,"Gedung dan Bangunan",'Daftar Koreksi'!$H$5:$H$92,"&lt;0")-SUMIFS('Daftar Koreksi'!$H$5:$H$92,'Daftar Koreksi'!$D$5:$D$92,'1200'!A400,'Daftar Koreksi'!$G$5:$G$92,"Gedung dan Bangunan",'Daftar Koreksi'!$H$5:$H$92,"&lt;0")</f>
        <v>0</v>
      </c>
      <c r="G406" s="17">
        <f t="shared" si="18"/>
        <v>6206421015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576660400</v>
      </c>
      <c r="E407" s="25">
        <f>SUMIFS('Daftar Koreksi'!$H$5:$H$92,'Daftar Koreksi'!$D$5:$D$92,'1200'!A400,'Daftar Koreksi'!$G$5:$G$92,"Jalan Irigasi Jaringan",'Daftar Koreksi'!$H$5:$H$92,"&gt;0")</f>
        <v>0</v>
      </c>
      <c r="F407" s="25">
        <f>SUMIFS('Daftar Koreksi'!$H$5:$H$92,'Daftar Koreksi'!$D$5:$D$92,'1200'!A400,'Daftar Koreksi'!$G$5:$G$92,"Jalan Irigasi Jaringan",'Daftar Koreksi'!$H$5:$H$92,"&lt;0")-SUMIFS('Daftar Koreksi'!$H$5:$H$92,'Daftar Koreksi'!$D$5:$D$92,'1200'!A400,'Daftar Koreksi'!$G$5:$G$92,"Jalan Irigasi Jaringan",'Daftar Koreksi'!$H$5:$H$92,"&lt;0")-SUMIFS('Daftar Koreksi'!$H$5:$H$92,'Daftar Koreksi'!$D$5:$D$92,'1200'!A400,'Daftar Koreksi'!$G$5:$G$92,"Jalan Irigasi Jaringan",'Daftar Koreksi'!$H$5:$H$92,"&lt;0")</f>
        <v>0</v>
      </c>
      <c r="G407" s="17">
        <f t="shared" si="18"/>
        <v>576660400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4772118</v>
      </c>
      <c r="E408" s="25">
        <f>SUMIFS('Daftar Koreksi'!$H$5:$H$92,'Daftar Koreksi'!$D$5:$D$92,'1200'!A400,'Daftar Koreksi'!$G$5:$G$92,"Aset Tetap Lainnya",'Daftar Koreksi'!$H$5:$H$92,"&gt;0")</f>
        <v>0</v>
      </c>
      <c r="F408" s="25">
        <f>SUMIFS('Daftar Koreksi'!$H$5:$H$92,'Daftar Koreksi'!$D$5:$D$92,'1200'!A400,'Daftar Koreksi'!$G$5:$G$92,"Aset Tetap Lainnya",'Daftar Koreksi'!$H$5:$H$92,"&lt;0")-SUMIFS('Daftar Koreksi'!$H$5:$H$92,'Daftar Koreksi'!$D$5:$D$92,'1200'!A400,'Daftar Koreksi'!$G$5:$G$92,"Aset Tetap Lainnya",'Daftar Koreksi'!$H$5:$H$92,"&lt;0")-SUMIFS('Daftar Koreksi'!$H$5:$H$92,'Daftar Koreksi'!$D$5:$D$92,'1200'!A400,'Daftar Koreksi'!$G$5:$G$92,"Aset Tetap Lainnya",'Daftar Koreksi'!$H$5:$H$92,"&lt;0")</f>
        <v>0</v>
      </c>
      <c r="G408" s="17">
        <f t="shared" si="18"/>
        <v>4772118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Koreksi'!$D$5:$D$92,'1200'!A400,'Daftar Koreksi'!$G$5:$G$92,"Kontruksi Dalam Pengerjaan",'Daftar Koreksi'!$H$5:$H$92,"&gt;0")</f>
        <v>0</v>
      </c>
      <c r="F409" s="25">
        <f>SUMIFS('Daftar Koreksi'!$H$5:$H$92,'Daftar Koreksi'!$D$5:$D$92,'1200'!A400,'Daftar Koreksi'!$G$5:$G$92,"Kontruksi Dalam Pengerjaan",'Daftar Koreksi'!$H$5:$H$92,"&lt;0")-SUMIFS('Daftar Koreksi'!$H$5:$H$92,'Daftar Koreksi'!$D$5:$D$92,'1200'!A400,'Daftar Koreksi'!$G$5:$G$92,"Kontruksi Dalam Pengerjaan",'Daftar Koreksi'!$H$5:$H$92,"&lt;0")-SUMIFS('Daftar Koreksi'!$H$5:$H$92,'Daftar Koreksi'!$D$5:$D$92,'1200'!A400,'Daftar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5000000</v>
      </c>
      <c r="E410" s="25">
        <f>SUMIFS('Daftar Koreksi'!$H$5:$H$92,'Daftar Koreksi'!$D$5:$D$92,'1200'!A400,'Daftar Koreksi'!$G$5:$G$92,"Aset Tak Berwujud",'Daftar Koreksi'!$H$5:$H$92,"&gt;0")</f>
        <v>0</v>
      </c>
      <c r="F410" s="25">
        <f>SUMIFS('Daftar Koreksi'!$H$5:$H$92,'Daftar Koreksi'!$D$5:$D$92,'1200'!A400,'Daftar Koreksi'!$G$5:$G$92,"Aset Tak Berwujud",'Daftar Koreksi'!$H$5:$H$92,"&lt;0")-SUMIFS('Daftar Koreksi'!$H$5:$H$92,'Daftar Koreksi'!$D$5:$D$92,'1200'!A400,'Daftar Koreksi'!$G$5:$G$92,"Aset Tak Berwujud",'Daftar Koreksi'!$H$5:$H$92,"&lt;0")-SUMIFS('Daftar Koreksi'!$H$5:$H$92,'Daftar Koreksi'!$D$5:$D$92,'1200'!A400,'Daftar Koreksi'!$G$5:$G$92,"Aset Tak Berwujud",'Daftar Koreksi'!$H$5:$H$92,"&lt;0")</f>
        <v>0</v>
      </c>
      <c r="G410" s="17">
        <f t="shared" si="18"/>
        <v>5000000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659805000</v>
      </c>
      <c r="E411" s="25">
        <f>SUMIFS('Daftar Koreksi'!$H$5:$H$92,'Daftar Koreksi'!$D$5:$D$92,'1200'!A400,'Daftar Koreksi'!$G$5:$G$92,"Aset Henti Guna",'Daftar Koreksi'!$H$5:$H$92,"&gt;0")</f>
        <v>0</v>
      </c>
      <c r="F411" s="25">
        <f>SUMIFS('Daftar Koreksi'!$H$5:$H$92,'Daftar Koreksi'!$D$5:$D$92,'1200'!A400,'Daftar Koreksi'!$G$5:$G$92,"Aset Henti Guna",'Daftar Koreksi'!$H$5:$H$92,"&lt;0")-SUMIFS('Daftar Koreksi'!$H$5:$H$92,'Daftar Koreksi'!$D$5:$D$92,'1200'!A400,'Daftar Koreksi'!$G$5:$G$92,"Aset Henti Guna",'Daftar Koreksi'!$H$5:$H$92,"&lt;0")-SUMIFS('Daftar Koreksi'!$H$5:$H$92,'Daftar Koreksi'!$D$5:$D$92,'1200'!A400,'Daftar Koreksi'!$G$5:$G$92,"Aset Henti Guna",'Daftar Koreksi'!$H$5:$H$92,"&lt;0")</f>
        <v>0</v>
      </c>
      <c r="G411" s="17">
        <f t="shared" si="18"/>
        <v>659805000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18980256078</v>
      </c>
      <c r="E412" s="19">
        <f>SUM(E403:E411)</f>
        <v>1660800000</v>
      </c>
      <c r="F412" s="19">
        <f>SUM(F403:F411)</f>
        <v>1660800000</v>
      </c>
      <c r="G412" s="19">
        <f t="shared" si="18"/>
        <v>18980256078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-1321336317</v>
      </c>
      <c r="E413" s="25">
        <f>SUMIFS('Daftar Koreksi'!$I$5:$I$92,'Daftar Koreksi'!$D$5:$D$92,'1200'!A400,'Daftar Koreksi'!$G$5:$G$92,"Peralatan dan mesin",'Daftar Koreksi'!$I$5:$I$92,"&gt;0")</f>
        <v>0</v>
      </c>
      <c r="F413" s="25">
        <f>SUMIFS('Daftar Koreksi'!$I$5:$I$92,'Daftar Koreksi'!$D$5:$D$92,'1200'!A400,'Daftar Koreksi'!$G$5:$G$92,"Peralatan dan mesin",'Daftar Koreksi'!$I$5:$I$92,"&lt;0")-SUMIFS('Daftar Koreksi'!$I$5:$I$92,'Daftar Koreksi'!$D$5:$D$92,'1200'!A400,'Daftar Koreksi'!$G$5:$G$92,"Peralatan dan mesin",'Daftar Koreksi'!$I$5:$I$92,"&lt;0")-SUMIFS('Daftar Koreksi'!$I$5:$I$92,'Daftar Koreksi'!$D$5:$D$92,'1200'!A400,'Daftar Koreksi'!$G$5:$G$92,"Peralatan dan mesin",'Daftar Koreksi'!$I$5:$I$92,"&lt;0")</f>
        <v>0</v>
      </c>
      <c r="G413" s="17">
        <f t="shared" si="18"/>
        <v>-1321336317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-872848100</v>
      </c>
      <c r="E414" s="25">
        <f>SUMIFS('Daftar Koreksi'!$I$5:$I$92,'Daftar Koreksi'!$D$5:$D$92,'1200'!A400,'Daftar Koreksi'!$G$5:$G$92,"Gedung dan Bangunan",'Daftar Koreksi'!$I$5:$I$92,"&gt;0")</f>
        <v>0</v>
      </c>
      <c r="F414" s="25">
        <f>SUMIFS('Daftar Koreksi'!$I$5:$I$92,'Daftar Koreksi'!$D$5:$D$92,'1200'!A400,'Daftar Koreksi'!$G$5:$G$92,"Gedung dan Bangunan",'Daftar Koreksi'!$I$5:$I$92,"&lt;0")-SUMIFS('Daftar Koreksi'!$I$5:$I$92,'Daftar Koreksi'!$D$5:$D$92,'1200'!A400,'Daftar Koreksi'!$G$5:$G$92,"Gedung dan Bangunan",'Daftar Koreksi'!$I$5:$I$92,"&lt;0")-SUMIFS('Daftar Koreksi'!$I$5:$I$92,'Daftar Koreksi'!$D$5:$D$92,'1200'!A400,'Daftar Koreksi'!$G$5:$G$92,"Gedung dan Bangunan",'Daftar Koreksi'!$I$5:$I$92,"&lt;0")</f>
        <v>16608000</v>
      </c>
      <c r="G414" s="17">
        <f t="shared" si="18"/>
        <v>-889456100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-123477281</v>
      </c>
      <c r="E415" s="25">
        <f>SUMIFS('Daftar Koreksi'!$I$5:$I$92,'Daftar Koreksi'!$D$5:$D$92,'1200'!A400,'Daftar Koreksi'!$G$5:$G$92,"Jalan Irigasi Jaringan",'Daftar Koreksi'!$I$5:$I$92,"&gt;0")</f>
        <v>0</v>
      </c>
      <c r="F415" s="25">
        <f>SUMIFS('Daftar Koreksi'!$I$5:$I$92,'Daftar Koreksi'!$D$5:$D$92,'1200'!A400,'Daftar Koreksi'!$G$5:$G$92,"Jalan Irigasi Jaringan",'Daftar Koreksi'!$I$5:$I$92,"&lt;0")-SUMIFS('Daftar Koreksi'!$I$5:$I$92,'Daftar Koreksi'!$D$5:$D$92,'1200'!A400,'Daftar Koreksi'!$G$5:$G$92,"Jalan Irigasi Jaringan",'Daftar Koreksi'!$I$5:$I$92,"&lt;0")-SUMIFS('Daftar Koreksi'!$I$5:$I$92,'Daftar Koreksi'!$D$5:$D$92,'1200'!A400,'Daftar Koreksi'!$G$5:$G$92,"Jalan Irigasi Jaringan",'Daftar Koreksi'!$I$5:$I$92,"&lt;0")</f>
        <v>0</v>
      </c>
      <c r="G415" s="17">
        <f t="shared" si="18"/>
        <v>-123477281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Koreksi'!$D$5:$D$92,'1200'!A400,'Daftar Koreksi'!$G$5:$G$92,"Aset Tetap Lainnya",'Daftar Koreksi'!$I$5:$I$92,"&gt;0")</f>
        <v>0</v>
      </c>
      <c r="F416" s="25">
        <f>SUMIFS('Daftar Koreksi'!$I$5:$I$92,'Daftar Koreksi'!$D$5:$D$92,'1200'!A400,'Daftar Koreksi'!$G$5:$G$92,"Aset Tetap Lainnya",'Daftar Koreksi'!$I$5:$I$92,"&lt;0")-SUMIFS('Daftar Koreksi'!$I$5:$I$92,'Daftar Koreksi'!$D$5:$D$92,'1200'!A400,'Daftar Koreksi'!$G$5:$G$92,"Aset Tetap Lainnya",'Daftar Koreksi'!$I$5:$I$92,"&lt;0")-SUMIFS('Daftar Koreksi'!$I$5:$I$92,'Daftar Koreksi'!$D$5:$D$92,'1200'!A400,'Daftar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-652680536</v>
      </c>
      <c r="E417" s="25">
        <f>SUMIFS('Daftar Koreksi'!$I$5:$I$92,'Daftar Koreksi'!$D$5:$D$92,'1200'!A400,'Daftar Koreksi'!$G$5:$G$92,"Aset Henti Guna",'Daftar Koreksi'!$I$5:$I$92,"&gt;0")</f>
        <v>0</v>
      </c>
      <c r="F417" s="25">
        <f>SUMIFS('Daftar Koreksi'!$I$5:$I$92,'Daftar Koreksi'!$D$5:$D$92,'1200'!A400,'Daftar Koreksi'!$G$5:$G$92,"Aset Henti Guna",'Daftar Koreksi'!$I$5:$I$92,"&lt;0")-SUMIFS('Daftar Koreksi'!$I$5:$I$92,'Daftar Koreksi'!$D$5:$D$92,'1200'!A400,'Daftar Koreksi'!$G$5:$G$92,"Aset Henti Guna",'Daftar Koreksi'!$I$5:$I$92,"&lt;0")-SUMIFS('Daftar Koreksi'!$I$5:$I$92,'Daftar Koreksi'!$D$5:$D$92,'1200'!A400,'Daftar Koreksi'!$G$5:$G$92,"Aset Henti Guna",'Daftar Koreksi'!$I$5:$I$92,"&lt;0")</f>
        <v>0</v>
      </c>
      <c r="G417" s="17">
        <f t="shared" si="18"/>
        <v>-652680536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-2970342234</v>
      </c>
      <c r="E418" s="19">
        <f>SUM(E413:E417)</f>
        <v>0</v>
      </c>
      <c r="F418" s="19">
        <f>SUM(F413:F417)</f>
        <v>16608000</v>
      </c>
      <c r="G418" s="19">
        <f t="shared" si="18"/>
        <v>-2986950234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16009913844</v>
      </c>
      <c r="E419" s="19">
        <f>E418+E412</f>
        <v>1660800000</v>
      </c>
      <c r="F419" s="19">
        <f>F418+F412</f>
        <v>1677408000</v>
      </c>
      <c r="G419" s="19">
        <f t="shared" si="18"/>
        <v>15993305844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005011200663030000KD</v>
      </c>
      <c r="B422" s="11" t="str">
        <f>P20</f>
        <v>PN. Gunung Sugih</v>
      </c>
      <c r="C422" s="12" t="str">
        <f>A422&amp;" "&amp;B422</f>
        <v>005011200663030000KD PN. Gunung Sugih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91300</v>
      </c>
      <c r="E425" s="25">
        <f>SUMIFS('Daftar Koreksi'!$H$5:$H$92,'Daftar Koreksi'!$D$5:$D$92,'1200'!A422,'Daftar Koreksi'!$G$5:$G$92,"Persediaan",'Daftar Koreksi'!$H$5:$H$92,"&gt;0")</f>
        <v>0</v>
      </c>
      <c r="F425" s="25">
        <f>SUMIFS('Daftar Koreksi'!$H$5:$H$92,'Daftar Koreksi'!$D$5:$D$92,'1200'!A422,'Daftar Koreksi'!$G$5:$G$92,"Persediaan",'Daftar Koreksi'!$H$5:$H$92,"&lt;0")-SUMIFS('Daftar Koreksi'!$H$5:$H$92,'Daftar Koreksi'!$D$5:$D$92,'1200'!A422,'Daftar Koreksi'!$G$5:$G$92,"Persediaan",'Daftar Koreksi'!$H$5:$H$92,"&lt;0")-SUMIFS('Daftar Koreksi'!$H$5:$H$92,'Daftar Koreksi'!$D$5:$D$92,'1200'!A422,'Daftar Koreksi'!$G$5:$G$92,"Persediaan",'Daftar Koreksi'!$H$5:$H$92,"&lt;0")</f>
        <v>0</v>
      </c>
      <c r="G425" s="17">
        <f>D425+E425-F425</f>
        <v>91300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133235000</v>
      </c>
      <c r="E426" s="25">
        <f>SUMIFS('Daftar Koreksi'!$H$5:$H$92,'Daftar Koreksi'!$D$5:$D$92,'1200'!A422,'Daftar Koreksi'!$G$5:$G$92,"Tanah",'Daftar Koreksi'!$H$5:$H$92,"&gt;0")</f>
        <v>0</v>
      </c>
      <c r="F426" s="25">
        <f>SUMIFS('Daftar Koreksi'!$H$5:$H$92,'Daftar Koreksi'!$D$5:$D$92,'1200'!A422,'Daftar Koreksi'!$G$5:$G$92,"Tanah",'Daftar Koreksi'!$H$5:$H$92,"&lt;0")-SUMIFS('Daftar Koreksi'!$H$5:$H$92,'Daftar Koreksi'!$D$5:$D$92,'1200'!A422,'Daftar Koreksi'!$G$5:$G$92,"Tanah",'Daftar Koreksi'!$H$5:$H$92,"&lt;0")-SUMIFS('Daftar Koreksi'!$H$5:$H$92,'Daftar Koreksi'!$D$5:$D$92,'1200'!A422,'Daftar Koreksi'!$G$5:$G$92,"Tanah",'Daftar Koreksi'!$H$5:$H$92,"&lt;0")</f>
        <v>0</v>
      </c>
      <c r="G426" s="17">
        <f t="shared" ref="G426:G442" si="19">D426+E426-F426</f>
        <v>133235000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1361381317</v>
      </c>
      <c r="E427" s="25">
        <f>SUMIFS('Daftar Koreksi'!$H$5:$H$92,'Daftar Koreksi'!$D$5:$D$92,'1200'!A422,'Daftar Koreksi'!$G$5:$G$92,"Peralatan dan mesin",'Daftar Koreksi'!$H$5:$H$92,"&gt;0")</f>
        <v>0</v>
      </c>
      <c r="F427" s="25">
        <f>SUMIFS('Daftar Koreksi'!$H$5:$H$92,'Daftar Koreksi'!$D$5:$D$92,'1200'!A422,'Daftar Koreksi'!$G$5:$G$92,"Peralatan dan mesin",'Daftar Koreksi'!$H$5:$H$92,"&lt;0")-SUMIFS('Daftar Koreksi'!$H$5:$H$92,'Daftar Koreksi'!$D$5:$D$92,'1200'!A422,'Daftar Koreksi'!$G$5:$G$92,"Peralatan dan mesin",'Daftar Koreksi'!$H$5:$H$92,"&lt;0")-SUMIFS('Daftar Koreksi'!$H$5:$H$92,'Daftar Koreksi'!$D$5:$D$92,'1200'!A422,'Daftar Koreksi'!$G$5:$G$92,"Peralatan dan mesin",'Daftar Koreksi'!$H$5:$H$92,"&lt;0")</f>
        <v>0</v>
      </c>
      <c r="G427" s="17">
        <f t="shared" si="19"/>
        <v>1361381317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5949983337</v>
      </c>
      <c r="E428" s="25">
        <f>SUMIFS('Daftar Koreksi'!$H$5:$H$92,'Daftar Koreksi'!$D$5:$D$92,'1200'!A422,'Daftar Koreksi'!$G$5:$G$92,"Gedung dan Bangunan",'Daftar Koreksi'!$H$5:$H$92,"&gt;0")</f>
        <v>0</v>
      </c>
      <c r="F428" s="25">
        <f>SUMIFS('Daftar Koreksi'!$H$5:$H$92,'Daftar Koreksi'!$D$5:$D$92,'1200'!A422,'Daftar Koreksi'!$G$5:$G$92,"Gedung dan Bangunan",'Daftar Koreksi'!$H$5:$H$92,"&lt;0")-SUMIFS('Daftar Koreksi'!$H$5:$H$92,'Daftar Koreksi'!$D$5:$D$92,'1200'!A422,'Daftar Koreksi'!$G$5:$G$92,"Gedung dan Bangunan",'Daftar Koreksi'!$H$5:$H$92,"&lt;0")-SUMIFS('Daftar Koreksi'!$H$5:$H$92,'Daftar Koreksi'!$D$5:$D$92,'1200'!A422,'Daftar Koreksi'!$G$5:$G$92,"Gedung dan Bangunan",'Daftar Koreksi'!$H$5:$H$92,"&lt;0")</f>
        <v>0</v>
      </c>
      <c r="G428" s="17">
        <f t="shared" si="19"/>
        <v>5949983337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54450000</v>
      </c>
      <c r="E429" s="25">
        <f>SUMIFS('Daftar Koreksi'!$H$5:$H$92,'Daftar Koreksi'!$D$5:$D$92,'1200'!A422,'Daftar Koreksi'!$G$5:$G$92,"Jalan Irigasi Jaringan",'Daftar Koreksi'!$H$5:$H$92,"&gt;0")</f>
        <v>0</v>
      </c>
      <c r="F429" s="25">
        <f>SUMIFS('Daftar Koreksi'!$H$5:$H$92,'Daftar Koreksi'!$D$5:$D$92,'1200'!A422,'Daftar Koreksi'!$G$5:$G$92,"Jalan Irigasi Jaringan",'Daftar Koreksi'!$H$5:$H$92,"&lt;0")-SUMIFS('Daftar Koreksi'!$H$5:$H$92,'Daftar Koreksi'!$D$5:$D$92,'1200'!A422,'Daftar Koreksi'!$G$5:$G$92,"Jalan Irigasi Jaringan",'Daftar Koreksi'!$H$5:$H$92,"&lt;0")-SUMIFS('Daftar Koreksi'!$H$5:$H$92,'Daftar Koreksi'!$D$5:$D$92,'1200'!A422,'Daftar Koreksi'!$G$5:$G$92,"Jalan Irigasi Jaringan",'Daftar Koreksi'!$H$5:$H$92,"&lt;0")</f>
        <v>0</v>
      </c>
      <c r="G429" s="17">
        <f t="shared" si="19"/>
        <v>54450000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8986118</v>
      </c>
      <c r="E430" s="25">
        <f>SUMIFS('Daftar Koreksi'!$H$5:$H$92,'Daftar Koreksi'!$D$5:$D$92,'1200'!A422,'Daftar Koreksi'!$G$5:$G$92,"Aset Tetap Lainnya",'Daftar Koreksi'!$H$5:$H$92,"&gt;0")</f>
        <v>0</v>
      </c>
      <c r="F430" s="25">
        <f>SUMIFS('Daftar Koreksi'!$H$5:$H$92,'Daftar Koreksi'!$D$5:$D$92,'1200'!A422,'Daftar Koreksi'!$G$5:$G$92,"Aset Tetap Lainnya",'Daftar Koreksi'!$H$5:$H$92,"&lt;0")-SUMIFS('Daftar Koreksi'!$H$5:$H$92,'Daftar Koreksi'!$D$5:$D$92,'1200'!A422,'Daftar Koreksi'!$G$5:$G$92,"Aset Tetap Lainnya",'Daftar Koreksi'!$H$5:$H$92,"&lt;0")-SUMIFS('Daftar Koreksi'!$H$5:$H$92,'Daftar Koreksi'!$D$5:$D$92,'1200'!A422,'Daftar Koreksi'!$G$5:$G$92,"Aset Tetap Lainnya",'Daftar Koreksi'!$H$5:$H$92,"&lt;0")</f>
        <v>0</v>
      </c>
      <c r="G430" s="17">
        <f t="shared" si="19"/>
        <v>8986118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Koreksi'!$D$5:$D$92,'1200'!A422,'Daftar Koreksi'!$G$5:$G$92,"Kontruksi Dalam Pengerjaan",'Daftar Koreksi'!$H$5:$H$92,"&gt;0")</f>
        <v>0</v>
      </c>
      <c r="F431" s="25">
        <f>SUMIFS('Daftar Koreksi'!$H$5:$H$92,'Daftar Koreksi'!$D$5:$D$92,'1200'!A422,'Daftar Koreksi'!$G$5:$G$92,"Kontruksi Dalam Pengerjaan",'Daftar Koreksi'!$H$5:$H$92,"&lt;0")-SUMIFS('Daftar Koreksi'!$H$5:$H$92,'Daftar Koreksi'!$D$5:$D$92,'1200'!A422,'Daftar Koreksi'!$G$5:$G$92,"Kontruksi Dalam Pengerjaan",'Daftar Koreksi'!$H$5:$H$92,"&lt;0")-SUMIFS('Daftar Koreksi'!$H$5:$H$92,'Daftar Koreksi'!$D$5:$D$92,'1200'!A422,'Daftar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24200000</v>
      </c>
      <c r="E432" s="25">
        <f>SUMIFS('Daftar Koreksi'!$H$5:$H$92,'Daftar Koreksi'!$D$5:$D$92,'1200'!A422,'Daftar Koreksi'!$G$5:$G$92,"Aset Tak Berwujud",'Daftar Koreksi'!$H$5:$H$92,"&gt;0")</f>
        <v>0</v>
      </c>
      <c r="F432" s="25">
        <f>SUMIFS('Daftar Koreksi'!$H$5:$H$92,'Daftar Koreksi'!$D$5:$D$92,'1200'!A422,'Daftar Koreksi'!$G$5:$G$92,"Aset Tak Berwujud",'Daftar Koreksi'!$H$5:$H$92,"&lt;0")-SUMIFS('Daftar Koreksi'!$H$5:$H$92,'Daftar Koreksi'!$D$5:$D$92,'1200'!A422,'Daftar Koreksi'!$G$5:$G$92,"Aset Tak Berwujud",'Daftar Koreksi'!$H$5:$H$92,"&lt;0")-SUMIFS('Daftar Koreksi'!$H$5:$H$92,'Daftar Koreksi'!$D$5:$D$92,'1200'!A422,'Daftar Koreksi'!$G$5:$G$92,"Aset Tak Berwujud",'Daftar Koreksi'!$H$5:$H$92,"&lt;0")</f>
        <v>0</v>
      </c>
      <c r="G432" s="17">
        <f t="shared" si="19"/>
        <v>24200000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Koreksi'!$D$5:$D$92,'1200'!A422,'Daftar Koreksi'!$G$5:$G$92,"Aset Henti Guna",'Daftar Koreksi'!$H$5:$H$92,"&gt;0")</f>
        <v>0</v>
      </c>
      <c r="F433" s="25">
        <f>SUMIFS('Daftar Koreksi'!$H$5:$H$92,'Daftar Koreksi'!$D$5:$D$92,'1200'!A422,'Daftar Koreksi'!$G$5:$G$92,"Aset Henti Guna",'Daftar Koreksi'!$H$5:$H$92,"&lt;0")-SUMIFS('Daftar Koreksi'!$H$5:$H$92,'Daftar Koreksi'!$D$5:$D$92,'1200'!A422,'Daftar Koreksi'!$G$5:$G$92,"Aset Henti Guna",'Daftar Koreksi'!$H$5:$H$92,"&lt;0")-SUMIFS('Daftar Koreksi'!$H$5:$H$92,'Daftar Koreksi'!$D$5:$D$92,'1200'!A422,'Daftar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7532327072</v>
      </c>
      <c r="E434" s="19">
        <f>SUM(E425:E433)</f>
        <v>0</v>
      </c>
      <c r="F434" s="19">
        <f>SUM(F425:F433)</f>
        <v>0</v>
      </c>
      <c r="G434" s="19">
        <f t="shared" si="19"/>
        <v>7532327072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-1257892707</v>
      </c>
      <c r="E435" s="25">
        <f>SUMIFS('Daftar Koreksi'!$I$5:$I$92,'Daftar Koreksi'!$D$5:$D$92,'1200'!A422,'Daftar Koreksi'!$G$5:$G$92,"Peralatan dan mesin",'Daftar Koreksi'!$I$5:$I$92,"&gt;0")</f>
        <v>0</v>
      </c>
      <c r="F435" s="25">
        <f>SUMIFS('Daftar Koreksi'!$I$5:$I$92,'Daftar Koreksi'!$D$5:$D$92,'1200'!A422,'Daftar Koreksi'!$G$5:$G$92,"Peralatan dan mesin",'Daftar Koreksi'!$I$5:$I$92,"&lt;0")-SUMIFS('Daftar Koreksi'!$I$5:$I$92,'Daftar Koreksi'!$D$5:$D$92,'1200'!A422,'Daftar Koreksi'!$G$5:$G$92,"Peralatan dan mesin",'Daftar Koreksi'!$I$5:$I$92,"&lt;0")-SUMIFS('Daftar Koreksi'!$I$5:$I$92,'Daftar Koreksi'!$D$5:$D$92,'1200'!A422,'Daftar Koreksi'!$G$5:$G$92,"Peralatan dan mesin",'Daftar Koreksi'!$I$5:$I$92,"&lt;0")</f>
        <v>0</v>
      </c>
      <c r="G435" s="17">
        <f t="shared" si="19"/>
        <v>-1257892707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-764846876</v>
      </c>
      <c r="E436" s="25">
        <f>SUMIFS('Daftar Koreksi'!$I$5:$I$92,'Daftar Koreksi'!$D$5:$D$92,'1200'!A422,'Daftar Koreksi'!$G$5:$G$92,"Gedung dan Bangunan",'Daftar Koreksi'!$I$5:$I$92,"&gt;0")</f>
        <v>0</v>
      </c>
      <c r="F436" s="25">
        <f>SUMIFS('Daftar Koreksi'!$I$5:$I$92,'Daftar Koreksi'!$D$5:$D$92,'1200'!A422,'Daftar Koreksi'!$G$5:$G$92,"Gedung dan Bangunan",'Daftar Koreksi'!$I$5:$I$92,"&lt;0")-SUMIFS('Daftar Koreksi'!$I$5:$I$92,'Daftar Koreksi'!$D$5:$D$92,'1200'!A422,'Daftar Koreksi'!$G$5:$G$92,"Gedung dan Bangunan",'Daftar Koreksi'!$I$5:$I$92,"&lt;0")-SUMIFS('Daftar Koreksi'!$I$5:$I$92,'Daftar Koreksi'!$D$5:$D$92,'1200'!A422,'Daftar Koreksi'!$G$5:$G$92,"Gedung dan Bangunan",'Daftar Koreksi'!$I$5:$I$92,"&lt;0")</f>
        <v>0</v>
      </c>
      <c r="G436" s="17">
        <f t="shared" si="19"/>
        <v>-764846876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-36531665</v>
      </c>
      <c r="E437" s="25">
        <f>SUMIFS('Daftar Koreksi'!$I$5:$I$92,'Daftar Koreksi'!$D$5:$D$92,'1200'!A422,'Daftar Koreksi'!$G$5:$G$92,"Jalan Irigasi Jaringan",'Daftar Koreksi'!$I$5:$I$92,"&gt;0")</f>
        <v>0</v>
      </c>
      <c r="F437" s="25">
        <f>SUMIFS('Daftar Koreksi'!$I$5:$I$92,'Daftar Koreksi'!$D$5:$D$92,'1200'!A422,'Daftar Koreksi'!$G$5:$G$92,"Jalan Irigasi Jaringan",'Daftar Koreksi'!$I$5:$I$92,"&lt;0")-SUMIFS('Daftar Koreksi'!$I$5:$I$92,'Daftar Koreksi'!$D$5:$D$92,'1200'!A422,'Daftar Koreksi'!$G$5:$G$92,"Jalan Irigasi Jaringan",'Daftar Koreksi'!$I$5:$I$92,"&lt;0")-SUMIFS('Daftar Koreksi'!$I$5:$I$92,'Daftar Koreksi'!$D$5:$D$92,'1200'!A422,'Daftar Koreksi'!$G$5:$G$92,"Jalan Irigasi Jaringan",'Daftar Koreksi'!$I$5:$I$92,"&lt;0")</f>
        <v>0</v>
      </c>
      <c r="G437" s="17">
        <f t="shared" si="19"/>
        <v>-36531665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-3687250</v>
      </c>
      <c r="E438" s="25">
        <f>SUMIFS('Daftar Koreksi'!$I$5:$I$92,'Daftar Koreksi'!$D$5:$D$92,'1200'!A422,'Daftar Koreksi'!$G$5:$G$92,"Aset Tetap Lainnya",'Daftar Koreksi'!$I$5:$I$92,"&gt;0")</f>
        <v>0</v>
      </c>
      <c r="F438" s="25">
        <f>SUMIFS('Daftar Koreksi'!$I$5:$I$92,'Daftar Koreksi'!$D$5:$D$92,'1200'!A422,'Daftar Koreksi'!$G$5:$G$92,"Aset Tetap Lainnya",'Daftar Koreksi'!$I$5:$I$92,"&lt;0")-SUMIFS('Daftar Koreksi'!$I$5:$I$92,'Daftar Koreksi'!$D$5:$D$92,'1200'!A422,'Daftar Koreksi'!$G$5:$G$92,"Aset Tetap Lainnya",'Daftar Koreksi'!$I$5:$I$92,"&lt;0")-SUMIFS('Daftar Koreksi'!$I$5:$I$92,'Daftar Koreksi'!$D$5:$D$92,'1200'!A422,'Daftar Koreksi'!$G$5:$G$92,"Aset Tetap Lainnya",'Daftar Koreksi'!$I$5:$I$92,"&lt;0")</f>
        <v>0</v>
      </c>
      <c r="G438" s="17">
        <f t="shared" si="19"/>
        <v>-3687250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Koreksi'!$D$5:$D$92,'1200'!A422,'Daftar Koreksi'!$G$5:$G$92,"Aset Henti Guna",'Daftar Koreksi'!$I$5:$I$92,"&gt;0")</f>
        <v>0</v>
      </c>
      <c r="F439" s="25">
        <f>SUMIFS('Daftar Koreksi'!$I$5:$I$92,'Daftar Koreksi'!$D$5:$D$92,'1200'!A422,'Daftar Koreksi'!$G$5:$G$92,"Aset Henti Guna",'Daftar Koreksi'!$I$5:$I$92,"&lt;0")-SUMIFS('Daftar Koreksi'!$I$5:$I$92,'Daftar Koreksi'!$D$5:$D$92,'1200'!A422,'Daftar Koreksi'!$G$5:$G$92,"Aset Henti Guna",'Daftar Koreksi'!$I$5:$I$92,"&lt;0")-SUMIFS('Daftar Koreksi'!$I$5:$I$92,'Daftar Koreksi'!$D$5:$D$92,'1200'!A422,'Daftar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-2062958498</v>
      </c>
      <c r="E440" s="19">
        <f>SUM(E435:E439)</f>
        <v>0</v>
      </c>
      <c r="F440" s="19">
        <f>SUM(F435:F439)</f>
        <v>0</v>
      </c>
      <c r="G440" s="19">
        <f t="shared" si="19"/>
        <v>-2062958498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5469368574</v>
      </c>
      <c r="E441" s="19">
        <f>E440+E434</f>
        <v>0</v>
      </c>
      <c r="F441" s="19">
        <f>F440+F434</f>
        <v>0</v>
      </c>
      <c r="G441" s="19">
        <f t="shared" si="19"/>
        <v>5469368574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005011200663047000KD</v>
      </c>
      <c r="B444" s="11" t="str">
        <f>P21</f>
        <v>PN. Sukadana</v>
      </c>
      <c r="C444" s="12" t="str">
        <f>A444&amp;" "&amp;B444</f>
        <v>005011200663047000KD PN. Sukadana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321950</v>
      </c>
      <c r="E447" s="25">
        <f>SUMIFS('Daftar Koreksi'!$H$5:$H$92,'Daftar Koreksi'!$D$5:$D$92,'1200'!A444,'Daftar Koreksi'!$G$5:$G$92,"Persediaan",'Daftar Koreksi'!$H$5:$H$92,"&gt;0")</f>
        <v>0</v>
      </c>
      <c r="F447" s="25">
        <f>SUMIFS('Daftar Koreksi'!$H$5:$H$92,'Daftar Koreksi'!$D$5:$D$92,'1200'!A444,'Daftar Koreksi'!$G$5:$G$92,"Persediaan",'Daftar Koreksi'!$H$5:$H$92,"&lt;0")-SUMIFS('Daftar Koreksi'!$H$5:$H$92,'Daftar Koreksi'!$D$5:$D$92,'1200'!A444,'Daftar Koreksi'!$G$5:$G$92,"Persediaan",'Daftar Koreksi'!$H$5:$H$92,"&lt;0")-SUMIFS('Daftar Koreksi'!$H$5:$H$92,'Daftar Koreksi'!$D$5:$D$92,'1200'!A444,'Daftar Koreksi'!$G$5:$G$92,"Persediaan",'Daftar Koreksi'!$H$5:$H$92,"&lt;0")</f>
        <v>0</v>
      </c>
      <c r="G447" s="17">
        <f>D447+E447-F447</f>
        <v>321950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531060000</v>
      </c>
      <c r="E448" s="25">
        <f>SUMIFS('Daftar Koreksi'!$H$5:$H$92,'Daftar Koreksi'!$D$5:$D$92,'1200'!A444,'Daftar Koreksi'!$G$5:$G$92,"Tanah",'Daftar Koreksi'!$H$5:$H$92,"&gt;0")</f>
        <v>0</v>
      </c>
      <c r="F448" s="25">
        <f>SUMIFS('Daftar Koreksi'!$H$5:$H$92,'Daftar Koreksi'!$D$5:$D$92,'1200'!A444,'Daftar Koreksi'!$G$5:$G$92,"Tanah",'Daftar Koreksi'!$H$5:$H$92,"&lt;0")-SUMIFS('Daftar Koreksi'!$H$5:$H$92,'Daftar Koreksi'!$D$5:$D$92,'1200'!A444,'Daftar Koreksi'!$G$5:$G$92,"Tanah",'Daftar Koreksi'!$H$5:$H$92,"&lt;0")-SUMIFS('Daftar Koreksi'!$H$5:$H$92,'Daftar Koreksi'!$D$5:$D$92,'1200'!A444,'Daftar Koreksi'!$G$5:$G$92,"Tanah",'Daftar Koreksi'!$H$5:$H$92,"&lt;0")</f>
        <v>0</v>
      </c>
      <c r="G448" s="17">
        <f t="shared" ref="G448:G464" si="20">D448+E448-F448</f>
        <v>531060000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1725418676</v>
      </c>
      <c r="E449" s="25">
        <f>SUMIFS('Daftar Koreksi'!$H$5:$H$92,'Daftar Koreksi'!$D$5:$D$92,'1200'!A444,'Daftar Koreksi'!$G$5:$G$92,"Peralatan dan mesin",'Daftar Koreksi'!$H$5:$H$92,"&gt;0")</f>
        <v>0</v>
      </c>
      <c r="F449" s="25">
        <f>SUMIFS('Daftar Koreksi'!$H$5:$H$92,'Daftar Koreksi'!$D$5:$D$92,'1200'!A444,'Daftar Koreksi'!$G$5:$G$92,"Peralatan dan mesin",'Daftar Koreksi'!$H$5:$H$92,"&lt;0")-SUMIFS('Daftar Koreksi'!$H$5:$H$92,'Daftar Koreksi'!$D$5:$D$92,'1200'!A444,'Daftar Koreksi'!$G$5:$G$92,"Peralatan dan mesin",'Daftar Koreksi'!$H$5:$H$92,"&lt;0")-SUMIFS('Daftar Koreksi'!$H$5:$H$92,'Daftar Koreksi'!$D$5:$D$92,'1200'!A444,'Daftar Koreksi'!$G$5:$G$92,"Peralatan dan mesin",'Daftar Koreksi'!$H$5:$H$92,"&lt;0")</f>
        <v>0</v>
      </c>
      <c r="G449" s="17">
        <f t="shared" si="20"/>
        <v>1725418676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4940090900</v>
      </c>
      <c r="E450" s="25">
        <f>SUMIFS('Daftar Koreksi'!$H$5:$H$92,'Daftar Koreksi'!$D$5:$D$92,'1200'!A444,'Daftar Koreksi'!$G$5:$G$92,"Gedung dan Bangunan",'Daftar Koreksi'!$H$5:$H$92,"&gt;0")</f>
        <v>0</v>
      </c>
      <c r="F450" s="25">
        <f>SUMIFS('Daftar Koreksi'!$H$5:$H$92,'Daftar Koreksi'!$D$5:$D$92,'1200'!A444,'Daftar Koreksi'!$G$5:$G$92,"Gedung dan Bangunan",'Daftar Koreksi'!$H$5:$H$92,"&lt;0")-SUMIFS('Daftar Koreksi'!$H$5:$H$92,'Daftar Koreksi'!$D$5:$D$92,'1200'!A444,'Daftar Koreksi'!$G$5:$G$92,"Gedung dan Bangunan",'Daftar Koreksi'!$H$5:$H$92,"&lt;0")-SUMIFS('Daftar Koreksi'!$H$5:$H$92,'Daftar Koreksi'!$D$5:$D$92,'1200'!A444,'Daftar Koreksi'!$G$5:$G$92,"Gedung dan Bangunan",'Daftar Koreksi'!$H$5:$H$92,"&lt;0")</f>
        <v>0</v>
      </c>
      <c r="G450" s="17">
        <f t="shared" si="20"/>
        <v>4940090900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245335000</v>
      </c>
      <c r="E451" s="25">
        <f>SUMIFS('Daftar Koreksi'!$H$5:$H$92,'Daftar Koreksi'!$D$5:$D$92,'1200'!A444,'Daftar Koreksi'!$G$5:$G$92,"Jalan Irigasi Jaringan",'Daftar Koreksi'!$H$5:$H$92,"&gt;0")</f>
        <v>0</v>
      </c>
      <c r="F451" s="25">
        <f>SUMIFS('Daftar Koreksi'!$H$5:$H$92,'Daftar Koreksi'!$D$5:$D$92,'1200'!A444,'Daftar Koreksi'!$G$5:$G$92,"Jalan Irigasi Jaringan",'Daftar Koreksi'!$H$5:$H$92,"&lt;0")-SUMIFS('Daftar Koreksi'!$H$5:$H$92,'Daftar Koreksi'!$D$5:$D$92,'1200'!A444,'Daftar Koreksi'!$G$5:$G$92,"Jalan Irigasi Jaringan",'Daftar Koreksi'!$H$5:$H$92,"&lt;0")-SUMIFS('Daftar Koreksi'!$H$5:$H$92,'Daftar Koreksi'!$D$5:$D$92,'1200'!A444,'Daftar Koreksi'!$G$5:$G$92,"Jalan Irigasi Jaringan",'Daftar Koreksi'!$H$5:$H$92,"&lt;0")</f>
        <v>0</v>
      </c>
      <c r="G451" s="17">
        <f t="shared" si="20"/>
        <v>245335000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26586118</v>
      </c>
      <c r="E452" s="25">
        <f>SUMIFS('Daftar Koreksi'!$H$5:$H$92,'Daftar Koreksi'!$D$5:$D$92,'1200'!A444,'Daftar Koreksi'!$G$5:$G$92,"Aset Tetap Lainnya",'Daftar Koreksi'!$H$5:$H$92,"&gt;0")</f>
        <v>0</v>
      </c>
      <c r="F452" s="25">
        <f>SUMIFS('Daftar Koreksi'!$H$5:$H$92,'Daftar Koreksi'!$D$5:$D$92,'1200'!A444,'Daftar Koreksi'!$G$5:$G$92,"Aset Tetap Lainnya",'Daftar Koreksi'!$H$5:$H$92,"&lt;0")-SUMIFS('Daftar Koreksi'!$H$5:$H$92,'Daftar Koreksi'!$D$5:$D$92,'1200'!A444,'Daftar Koreksi'!$G$5:$G$92,"Aset Tetap Lainnya",'Daftar Koreksi'!$H$5:$H$92,"&lt;0")-SUMIFS('Daftar Koreksi'!$H$5:$H$92,'Daftar Koreksi'!$D$5:$D$92,'1200'!A444,'Daftar Koreksi'!$G$5:$G$92,"Aset Tetap Lainnya",'Daftar Koreksi'!$H$5:$H$92,"&lt;0")</f>
        <v>0</v>
      </c>
      <c r="G452" s="17">
        <f t="shared" si="20"/>
        <v>26586118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2315780000</v>
      </c>
      <c r="E453" s="25">
        <f>SUMIFS('Daftar Koreksi'!$H$5:$H$92,'Daftar Koreksi'!$D$5:$D$92,'1200'!A444,'Daftar Koreksi'!$G$5:$G$92,"Kontruksi Dalam Pengerjaan",'Daftar Koreksi'!$H$5:$H$92,"&gt;0")</f>
        <v>0</v>
      </c>
      <c r="F453" s="25">
        <f>SUMIFS('Daftar Koreksi'!$H$5:$H$92,'Daftar Koreksi'!$D$5:$D$92,'1200'!A444,'Daftar Koreksi'!$G$5:$G$92,"Kontruksi Dalam Pengerjaan",'Daftar Koreksi'!$H$5:$H$92,"&lt;0")-SUMIFS('Daftar Koreksi'!$H$5:$H$92,'Daftar Koreksi'!$D$5:$D$92,'1200'!A444,'Daftar Koreksi'!$G$5:$G$92,"Kontruksi Dalam Pengerjaan",'Daftar Koreksi'!$H$5:$H$92,"&lt;0")-SUMIFS('Daftar Koreksi'!$H$5:$H$92,'Daftar Koreksi'!$D$5:$D$92,'1200'!A444,'Daftar Koreksi'!$G$5:$G$92,"Kontruksi Dalam Pengerjaan",'Daftar Koreksi'!$H$5:$H$92,"&lt;0")</f>
        <v>0</v>
      </c>
      <c r="G453" s="17">
        <f t="shared" si="20"/>
        <v>2315780000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5350000</v>
      </c>
      <c r="E454" s="25">
        <f>SUMIFS('Daftar Koreksi'!$H$5:$H$92,'Daftar Koreksi'!$D$5:$D$92,'1200'!A444,'Daftar Koreksi'!$G$5:$G$92,"Aset Tak Berwujud",'Daftar Koreksi'!$H$5:$H$92,"&gt;0")</f>
        <v>0</v>
      </c>
      <c r="F454" s="25">
        <f>SUMIFS('Daftar Koreksi'!$H$5:$H$92,'Daftar Koreksi'!$D$5:$D$92,'1200'!A444,'Daftar Koreksi'!$G$5:$G$92,"Aset Tak Berwujud",'Daftar Koreksi'!$H$5:$H$92,"&lt;0")-SUMIFS('Daftar Koreksi'!$H$5:$H$92,'Daftar Koreksi'!$D$5:$D$92,'1200'!A444,'Daftar Koreksi'!$G$5:$G$92,"Aset Tak Berwujud",'Daftar Koreksi'!$H$5:$H$92,"&lt;0")-SUMIFS('Daftar Koreksi'!$H$5:$H$92,'Daftar Koreksi'!$D$5:$D$92,'1200'!A444,'Daftar Koreksi'!$G$5:$G$92,"Aset Tak Berwujud",'Daftar Koreksi'!$H$5:$H$92,"&lt;0")</f>
        <v>0</v>
      </c>
      <c r="G454" s="17">
        <f t="shared" si="20"/>
        <v>5350000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272497048</v>
      </c>
      <c r="E455" s="25">
        <f>SUMIFS('Daftar Koreksi'!$H$5:$H$92,'Daftar Koreksi'!$D$5:$D$92,'1200'!A444,'Daftar Koreksi'!$G$5:$G$92,"Aset Henti Guna",'Daftar Koreksi'!$H$5:$H$92,"&gt;0")</f>
        <v>0</v>
      </c>
      <c r="F455" s="25">
        <f>SUMIFS('Daftar Koreksi'!$H$5:$H$92,'Daftar Koreksi'!$D$5:$D$92,'1200'!A444,'Daftar Koreksi'!$G$5:$G$92,"Aset Henti Guna",'Daftar Koreksi'!$H$5:$H$92,"&lt;0")-SUMIFS('Daftar Koreksi'!$H$5:$H$92,'Daftar Koreksi'!$D$5:$D$92,'1200'!A444,'Daftar Koreksi'!$G$5:$G$92,"Aset Henti Guna",'Daftar Koreksi'!$H$5:$H$92,"&lt;0")-SUMIFS('Daftar Koreksi'!$H$5:$H$92,'Daftar Koreksi'!$D$5:$D$92,'1200'!A444,'Daftar Koreksi'!$G$5:$G$92,"Aset Henti Guna",'Daftar Koreksi'!$H$5:$H$92,"&lt;0")</f>
        <v>0</v>
      </c>
      <c r="G455" s="17">
        <f t="shared" si="20"/>
        <v>272497048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10062439692</v>
      </c>
      <c r="E456" s="19">
        <f>SUM(E447:E455)</f>
        <v>0</v>
      </c>
      <c r="F456" s="19">
        <f>SUM(F447:F455)</f>
        <v>0</v>
      </c>
      <c r="G456" s="19">
        <f t="shared" si="20"/>
        <v>10062439692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-1584435254</v>
      </c>
      <c r="E457" s="25">
        <f>SUMIFS('Daftar Koreksi'!$I$5:$I$92,'Daftar Koreksi'!$D$5:$D$92,'1200'!A444,'Daftar Koreksi'!$G$5:$G$92,"Peralatan dan mesin",'Daftar Koreksi'!$I$5:$I$92,"&gt;0")</f>
        <v>0</v>
      </c>
      <c r="F457" s="25">
        <f>SUMIFS('Daftar Koreksi'!$I$5:$I$92,'Daftar Koreksi'!$D$5:$D$92,'1200'!A444,'Daftar Koreksi'!$G$5:$G$92,"Peralatan dan mesin",'Daftar Koreksi'!$I$5:$I$92,"&lt;0")-SUMIFS('Daftar Koreksi'!$I$5:$I$92,'Daftar Koreksi'!$D$5:$D$92,'1200'!A444,'Daftar Koreksi'!$G$5:$G$92,"Peralatan dan mesin",'Daftar Koreksi'!$I$5:$I$92,"&lt;0")-SUMIFS('Daftar Koreksi'!$I$5:$I$92,'Daftar Koreksi'!$D$5:$D$92,'1200'!A444,'Daftar Koreksi'!$G$5:$G$92,"Peralatan dan mesin",'Daftar Koreksi'!$I$5:$I$92,"&lt;0")</f>
        <v>0</v>
      </c>
      <c r="G457" s="17">
        <f t="shared" si="20"/>
        <v>-1584435254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-971321178</v>
      </c>
      <c r="E458" s="25">
        <f>SUMIFS('Daftar Koreksi'!$I$5:$I$92,'Daftar Koreksi'!$D$5:$D$92,'1200'!A444,'Daftar Koreksi'!$G$5:$G$92,"Gedung dan Bangunan",'Daftar Koreksi'!$I$5:$I$92,"&gt;0")</f>
        <v>0</v>
      </c>
      <c r="F458" s="25">
        <f>SUMIFS('Daftar Koreksi'!$I$5:$I$92,'Daftar Koreksi'!$D$5:$D$92,'1200'!A444,'Daftar Koreksi'!$G$5:$G$92,"Gedung dan Bangunan",'Daftar Koreksi'!$I$5:$I$92,"&lt;0")-SUMIFS('Daftar Koreksi'!$I$5:$I$92,'Daftar Koreksi'!$D$5:$D$92,'1200'!A444,'Daftar Koreksi'!$G$5:$G$92,"Gedung dan Bangunan",'Daftar Koreksi'!$I$5:$I$92,"&lt;0")-SUMIFS('Daftar Koreksi'!$I$5:$I$92,'Daftar Koreksi'!$D$5:$D$92,'1200'!A444,'Daftar Koreksi'!$G$5:$G$92,"Gedung dan Bangunan",'Daftar Koreksi'!$I$5:$I$92,"&lt;0")</f>
        <v>0</v>
      </c>
      <c r="G458" s="17">
        <f t="shared" si="20"/>
        <v>-971321178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-92721550</v>
      </c>
      <c r="E459" s="25">
        <f>SUMIFS('Daftar Koreksi'!$I$5:$I$92,'Daftar Koreksi'!$D$5:$D$92,'1200'!A444,'Daftar Koreksi'!$G$5:$G$92,"Jalan Irigasi Jaringan",'Daftar Koreksi'!$I$5:$I$92,"&gt;0")</f>
        <v>0</v>
      </c>
      <c r="F459" s="25">
        <f>SUMIFS('Daftar Koreksi'!$I$5:$I$92,'Daftar Koreksi'!$D$5:$D$92,'1200'!A444,'Daftar Koreksi'!$G$5:$G$92,"Jalan Irigasi Jaringan",'Daftar Koreksi'!$I$5:$I$92,"&lt;0")-SUMIFS('Daftar Koreksi'!$I$5:$I$92,'Daftar Koreksi'!$D$5:$D$92,'1200'!A444,'Daftar Koreksi'!$G$5:$G$92,"Jalan Irigasi Jaringan",'Daftar Koreksi'!$I$5:$I$92,"&lt;0")-SUMIFS('Daftar Koreksi'!$I$5:$I$92,'Daftar Koreksi'!$D$5:$D$92,'1200'!A444,'Daftar Koreksi'!$G$5:$G$92,"Jalan Irigasi Jaringan",'Daftar Koreksi'!$I$5:$I$92,"&lt;0")</f>
        <v>0</v>
      </c>
      <c r="G459" s="17">
        <f t="shared" si="20"/>
        <v>-92721550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Koreksi'!$D$5:$D$92,'1200'!A444,'Daftar Koreksi'!$G$5:$G$92,"Aset Tetap Lainnya",'Daftar Koreksi'!$I$5:$I$92,"&gt;0")</f>
        <v>0</v>
      </c>
      <c r="F460" s="25">
        <f>SUMIFS('Daftar Koreksi'!$I$5:$I$92,'Daftar Koreksi'!$D$5:$D$92,'1200'!A444,'Daftar Koreksi'!$G$5:$G$92,"Aset Tetap Lainnya",'Daftar Koreksi'!$I$5:$I$92,"&lt;0")-SUMIFS('Daftar Koreksi'!$I$5:$I$92,'Daftar Koreksi'!$D$5:$D$92,'1200'!A444,'Daftar Koreksi'!$G$5:$G$92,"Aset Tetap Lainnya",'Daftar Koreksi'!$I$5:$I$92,"&lt;0")-SUMIFS('Daftar Koreksi'!$I$5:$I$92,'Daftar Koreksi'!$D$5:$D$92,'1200'!A444,'Daftar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-272497048</v>
      </c>
      <c r="E461" s="25">
        <f>SUMIFS('Daftar Koreksi'!$I$5:$I$92,'Daftar Koreksi'!$D$5:$D$92,'1200'!A444,'Daftar Koreksi'!$G$5:$G$92,"Aset Henti Guna",'Daftar Koreksi'!$I$5:$I$92,"&gt;0")</f>
        <v>0</v>
      </c>
      <c r="F461" s="25">
        <f>SUMIFS('Daftar Koreksi'!$I$5:$I$92,'Daftar Koreksi'!$D$5:$D$92,'1200'!A444,'Daftar Koreksi'!$G$5:$G$92,"Aset Henti Guna",'Daftar Koreksi'!$I$5:$I$92,"&lt;0")-SUMIFS('Daftar Koreksi'!$I$5:$I$92,'Daftar Koreksi'!$D$5:$D$92,'1200'!A444,'Daftar Koreksi'!$G$5:$G$92,"Aset Henti Guna",'Daftar Koreksi'!$I$5:$I$92,"&lt;0")-SUMIFS('Daftar Koreksi'!$I$5:$I$92,'Daftar Koreksi'!$D$5:$D$92,'1200'!A444,'Daftar Koreksi'!$G$5:$G$92,"Aset Henti Guna",'Daftar Koreksi'!$I$5:$I$92,"&lt;0")</f>
        <v>0</v>
      </c>
      <c r="G461" s="17">
        <f t="shared" si="20"/>
        <v>-272497048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-2920975030</v>
      </c>
      <c r="E462" s="19">
        <f>SUM(E457:E461)</f>
        <v>0</v>
      </c>
      <c r="F462" s="19">
        <f>SUM(F457:F461)</f>
        <v>0</v>
      </c>
      <c r="G462" s="19">
        <f t="shared" si="20"/>
        <v>-2920975030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7141464662</v>
      </c>
      <c r="E463" s="19">
        <f>E462+E456</f>
        <v>0</v>
      </c>
      <c r="F463" s="19">
        <f>F462+F456</f>
        <v>0</v>
      </c>
      <c r="G463" s="19">
        <f t="shared" si="20"/>
        <v>7141464662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005011200663051000KD</v>
      </c>
      <c r="B466" s="11" t="str">
        <f>P22</f>
        <v>PN. Blambangan Umpu</v>
      </c>
      <c r="C466" s="12" t="str">
        <f>A466&amp;" "&amp;B466</f>
        <v>005011200663051000KD PN. Blambangan Umpu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525000</v>
      </c>
      <c r="E469" s="25">
        <f>SUMIFS('Daftar Koreksi'!$H$5:$H$92,'Daftar Koreksi'!$D$5:$D$92,'1200'!A466,'Daftar Koreksi'!$G$5:$G$92,"Persediaan",'Daftar Koreksi'!$H$5:$H$92,"&gt;0")</f>
        <v>0</v>
      </c>
      <c r="F469" s="25">
        <f>SUMIFS('Daftar Koreksi'!$H$5:$H$92,'Daftar Koreksi'!$D$5:$D$92,'1200'!A466,'Daftar Koreksi'!$G$5:$G$92,"Persediaan",'Daftar Koreksi'!$H$5:$H$92,"&lt;0")-SUMIFS('Daftar Koreksi'!$H$5:$H$92,'Daftar Koreksi'!$D$5:$D$92,'1200'!A466,'Daftar Koreksi'!$G$5:$G$92,"Persediaan",'Daftar Koreksi'!$H$5:$H$92,"&lt;0")-SUMIFS('Daftar Koreksi'!$H$5:$H$92,'Daftar Koreksi'!$D$5:$D$92,'1200'!A466,'Daftar Koreksi'!$G$5:$G$92,"Persediaan",'Daftar Koreksi'!$H$5:$H$92,"&lt;0")</f>
        <v>0</v>
      </c>
      <c r="G469" s="17">
        <f>D469+E469-F469</f>
        <v>525000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330000000</v>
      </c>
      <c r="E470" s="25">
        <f>SUMIFS('Daftar Koreksi'!$H$5:$H$92,'Daftar Koreksi'!$D$5:$D$92,'1200'!A466,'Daftar Koreksi'!$G$5:$G$92,"Tanah",'Daftar Koreksi'!$H$5:$H$92,"&gt;0")</f>
        <v>0</v>
      </c>
      <c r="F470" s="25">
        <f>SUMIFS('Daftar Koreksi'!$H$5:$H$92,'Daftar Koreksi'!$D$5:$D$92,'1200'!A466,'Daftar Koreksi'!$G$5:$G$92,"Tanah",'Daftar Koreksi'!$H$5:$H$92,"&lt;0")-SUMIFS('Daftar Koreksi'!$H$5:$H$92,'Daftar Koreksi'!$D$5:$D$92,'1200'!A466,'Daftar Koreksi'!$G$5:$G$92,"Tanah",'Daftar Koreksi'!$H$5:$H$92,"&lt;0")-SUMIFS('Daftar Koreksi'!$H$5:$H$92,'Daftar Koreksi'!$D$5:$D$92,'1200'!A466,'Daftar Koreksi'!$G$5:$G$92,"Tanah",'Daftar Koreksi'!$H$5:$H$92,"&lt;0")</f>
        <v>0</v>
      </c>
      <c r="G470" s="17">
        <f t="shared" ref="G470:G486" si="21">D470+E470-F470</f>
        <v>330000000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1574870595</v>
      </c>
      <c r="E471" s="25">
        <f>SUMIFS('Daftar Koreksi'!$H$5:$H$92,'Daftar Koreksi'!$D$5:$D$92,'1200'!A466,'Daftar Koreksi'!$G$5:$G$92,"Peralatan dan mesin",'Daftar Koreksi'!$H$5:$H$92,"&gt;0")</f>
        <v>0</v>
      </c>
      <c r="F471" s="25">
        <f>SUMIFS('Daftar Koreksi'!$H$5:$H$92,'Daftar Koreksi'!$D$5:$D$92,'1200'!A466,'Daftar Koreksi'!$G$5:$G$92,"Peralatan dan mesin",'Daftar Koreksi'!$H$5:$H$92,"&lt;0")-SUMIFS('Daftar Koreksi'!$H$5:$H$92,'Daftar Koreksi'!$D$5:$D$92,'1200'!A466,'Daftar Koreksi'!$G$5:$G$92,"Peralatan dan mesin",'Daftar Koreksi'!$H$5:$H$92,"&lt;0")-SUMIFS('Daftar Koreksi'!$H$5:$H$92,'Daftar Koreksi'!$D$5:$D$92,'1200'!A466,'Daftar Koreksi'!$G$5:$G$92,"Peralatan dan mesin",'Daftar Koreksi'!$H$5:$H$92,"&lt;0")</f>
        <v>0</v>
      </c>
      <c r="G471" s="17">
        <f t="shared" si="21"/>
        <v>1574870595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4395626278</v>
      </c>
      <c r="E472" s="25">
        <f>SUMIFS('Daftar Koreksi'!$H$5:$H$92,'Daftar Koreksi'!$D$5:$D$92,'1200'!A466,'Daftar Koreksi'!$G$5:$G$92,"Gedung dan Bangunan",'Daftar Koreksi'!$H$5:$H$92,"&gt;0")</f>
        <v>0</v>
      </c>
      <c r="F472" s="25">
        <f>SUMIFS('Daftar Koreksi'!$H$5:$H$92,'Daftar Koreksi'!$D$5:$D$92,'1200'!A466,'Daftar Koreksi'!$G$5:$G$92,"Gedung dan Bangunan",'Daftar Koreksi'!$H$5:$H$92,"&lt;0")-SUMIFS('Daftar Koreksi'!$H$5:$H$92,'Daftar Koreksi'!$D$5:$D$92,'1200'!A466,'Daftar Koreksi'!$G$5:$G$92,"Gedung dan Bangunan",'Daftar Koreksi'!$H$5:$H$92,"&lt;0")-SUMIFS('Daftar Koreksi'!$H$5:$H$92,'Daftar Koreksi'!$D$5:$D$92,'1200'!A466,'Daftar Koreksi'!$G$5:$G$92,"Gedung dan Bangunan",'Daftar Koreksi'!$H$5:$H$92,"&lt;0")</f>
        <v>0</v>
      </c>
      <c r="G472" s="17">
        <f t="shared" si="21"/>
        <v>4395626278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341055500</v>
      </c>
      <c r="E473" s="25">
        <f>SUMIFS('Daftar Koreksi'!$H$5:$H$92,'Daftar Koreksi'!$D$5:$D$92,'1200'!A466,'Daftar Koreksi'!$G$5:$G$92,"Jalan Irigasi Jaringan",'Daftar Koreksi'!$H$5:$H$92,"&gt;0")</f>
        <v>0</v>
      </c>
      <c r="F473" s="25">
        <f>SUMIFS('Daftar Koreksi'!$H$5:$H$92,'Daftar Koreksi'!$D$5:$D$92,'1200'!A466,'Daftar Koreksi'!$G$5:$G$92,"Jalan Irigasi Jaringan",'Daftar Koreksi'!$H$5:$H$92,"&lt;0")-SUMIFS('Daftar Koreksi'!$H$5:$H$92,'Daftar Koreksi'!$D$5:$D$92,'1200'!A466,'Daftar Koreksi'!$G$5:$G$92,"Jalan Irigasi Jaringan",'Daftar Koreksi'!$H$5:$H$92,"&lt;0")-SUMIFS('Daftar Koreksi'!$H$5:$H$92,'Daftar Koreksi'!$D$5:$D$92,'1200'!A466,'Daftar Koreksi'!$G$5:$G$92,"Jalan Irigasi Jaringan",'Daftar Koreksi'!$H$5:$H$92,"&lt;0")</f>
        <v>0</v>
      </c>
      <c r="G473" s="17">
        <f t="shared" si="21"/>
        <v>341055500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16662118</v>
      </c>
      <c r="E474" s="25">
        <f>SUMIFS('Daftar Koreksi'!$H$5:$H$92,'Daftar Koreksi'!$D$5:$D$92,'1200'!A466,'Daftar Koreksi'!$G$5:$G$92,"Aset Tetap Lainnya",'Daftar Koreksi'!$H$5:$H$92,"&gt;0")</f>
        <v>0</v>
      </c>
      <c r="F474" s="25">
        <f>SUMIFS('Daftar Koreksi'!$H$5:$H$92,'Daftar Koreksi'!$D$5:$D$92,'1200'!A466,'Daftar Koreksi'!$G$5:$G$92,"Aset Tetap Lainnya",'Daftar Koreksi'!$H$5:$H$92,"&lt;0")-SUMIFS('Daftar Koreksi'!$H$5:$H$92,'Daftar Koreksi'!$D$5:$D$92,'1200'!A466,'Daftar Koreksi'!$G$5:$G$92,"Aset Tetap Lainnya",'Daftar Koreksi'!$H$5:$H$92,"&lt;0")-SUMIFS('Daftar Koreksi'!$H$5:$H$92,'Daftar Koreksi'!$D$5:$D$92,'1200'!A466,'Daftar Koreksi'!$G$5:$G$92,"Aset Tetap Lainnya",'Daftar Koreksi'!$H$5:$H$92,"&lt;0")</f>
        <v>0</v>
      </c>
      <c r="G474" s="17">
        <f t="shared" si="21"/>
        <v>16662118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Koreksi'!$D$5:$D$92,'1200'!A466,'Daftar Koreksi'!$G$5:$G$92,"Kontruksi Dalam Pengerjaan",'Daftar Koreksi'!$H$5:$H$92,"&gt;0")</f>
        <v>0</v>
      </c>
      <c r="F475" s="25">
        <f>SUMIFS('Daftar Koreksi'!$H$5:$H$92,'Daftar Koreksi'!$D$5:$D$92,'1200'!A466,'Daftar Koreksi'!$G$5:$G$92,"Kontruksi Dalam Pengerjaan",'Daftar Koreksi'!$H$5:$H$92,"&lt;0")-SUMIFS('Daftar Koreksi'!$H$5:$H$92,'Daftar Koreksi'!$D$5:$D$92,'1200'!A466,'Daftar Koreksi'!$G$5:$G$92,"Kontruksi Dalam Pengerjaan",'Daftar Koreksi'!$H$5:$H$92,"&lt;0")-SUMIFS('Daftar Koreksi'!$H$5:$H$92,'Daftar Koreksi'!$D$5:$D$92,'1200'!A466,'Daftar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41280000</v>
      </c>
      <c r="E476" s="25">
        <f>SUMIFS('Daftar Koreksi'!$H$5:$H$92,'Daftar Koreksi'!$D$5:$D$92,'1200'!A466,'Daftar Koreksi'!$G$5:$G$92,"Aset Tak Berwujud",'Daftar Koreksi'!$H$5:$H$92,"&gt;0")</f>
        <v>0</v>
      </c>
      <c r="F476" s="25">
        <f>SUMIFS('Daftar Koreksi'!$H$5:$H$92,'Daftar Koreksi'!$D$5:$D$92,'1200'!A466,'Daftar Koreksi'!$G$5:$G$92,"Aset Tak Berwujud",'Daftar Koreksi'!$H$5:$H$92,"&lt;0")-SUMIFS('Daftar Koreksi'!$H$5:$H$92,'Daftar Koreksi'!$D$5:$D$92,'1200'!A466,'Daftar Koreksi'!$G$5:$G$92,"Aset Tak Berwujud",'Daftar Koreksi'!$H$5:$H$92,"&lt;0")-SUMIFS('Daftar Koreksi'!$H$5:$H$92,'Daftar Koreksi'!$D$5:$D$92,'1200'!A466,'Daftar Koreksi'!$G$5:$G$92,"Aset Tak Berwujud",'Daftar Koreksi'!$H$5:$H$92,"&lt;0")</f>
        <v>0</v>
      </c>
      <c r="G476" s="17">
        <f t="shared" si="21"/>
        <v>41280000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0</v>
      </c>
      <c r="E477" s="25">
        <f>SUMIFS('Daftar Koreksi'!$H$5:$H$92,'Daftar Koreksi'!$D$5:$D$92,'1200'!A466,'Daftar Koreksi'!$G$5:$G$92,"Aset Henti Guna",'Daftar Koreksi'!$H$5:$H$92,"&gt;0")</f>
        <v>0</v>
      </c>
      <c r="F477" s="25">
        <f>SUMIFS('Daftar Koreksi'!$H$5:$H$92,'Daftar Koreksi'!$D$5:$D$92,'1200'!A466,'Daftar Koreksi'!$G$5:$G$92,"Aset Henti Guna",'Daftar Koreksi'!$H$5:$H$92,"&lt;0")-SUMIFS('Daftar Koreksi'!$H$5:$H$92,'Daftar Koreksi'!$D$5:$D$92,'1200'!A466,'Daftar Koreksi'!$G$5:$G$92,"Aset Henti Guna",'Daftar Koreksi'!$H$5:$H$92,"&lt;0")-SUMIFS('Daftar Koreksi'!$H$5:$H$92,'Daftar Koreksi'!$D$5:$D$92,'1200'!A466,'Daftar Koreksi'!$G$5:$G$92,"Aset Henti Guna",'Daftar Koreksi'!$H$5:$H$92,"&lt;0")</f>
        <v>0</v>
      </c>
      <c r="G477" s="17">
        <f t="shared" si="21"/>
        <v>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6700019491</v>
      </c>
      <c r="E478" s="19">
        <f>SUM(E469:E477)</f>
        <v>0</v>
      </c>
      <c r="F478" s="19">
        <f>SUM(F469:F477)</f>
        <v>0</v>
      </c>
      <c r="G478" s="19">
        <f t="shared" si="21"/>
        <v>6700019491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-1376371035</v>
      </c>
      <c r="E479" s="25">
        <f>SUMIFS('Daftar Koreksi'!$I$5:$I$92,'Daftar Koreksi'!$D$5:$D$92,'1200'!A466,'Daftar Koreksi'!$G$5:$G$92,"Peralatan dan mesin",'Daftar Koreksi'!$I$5:$I$92,"&gt;0")</f>
        <v>0</v>
      </c>
      <c r="F479" s="25">
        <f>SUMIFS('Daftar Koreksi'!$I$5:$I$92,'Daftar Koreksi'!$D$5:$D$92,'1200'!A466,'Daftar Koreksi'!$G$5:$G$92,"Peralatan dan mesin",'Daftar Koreksi'!$I$5:$I$92,"&lt;0")-SUMIFS('Daftar Koreksi'!$I$5:$I$92,'Daftar Koreksi'!$D$5:$D$92,'1200'!A466,'Daftar Koreksi'!$G$5:$G$92,"Peralatan dan mesin",'Daftar Koreksi'!$I$5:$I$92,"&lt;0")-SUMIFS('Daftar Koreksi'!$I$5:$I$92,'Daftar Koreksi'!$D$5:$D$92,'1200'!A466,'Daftar Koreksi'!$G$5:$G$92,"Peralatan dan mesin",'Daftar Koreksi'!$I$5:$I$92,"&lt;0")</f>
        <v>0</v>
      </c>
      <c r="G479" s="17">
        <f t="shared" si="21"/>
        <v>-1376371035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-815741541</v>
      </c>
      <c r="E480" s="25">
        <f>SUMIFS('Daftar Koreksi'!$I$5:$I$92,'Daftar Koreksi'!$D$5:$D$92,'1200'!A466,'Daftar Koreksi'!$G$5:$G$92,"Gedung dan Bangunan",'Daftar Koreksi'!$I$5:$I$92,"&gt;0")</f>
        <v>0</v>
      </c>
      <c r="F480" s="25">
        <f>SUMIFS('Daftar Koreksi'!$I$5:$I$92,'Daftar Koreksi'!$D$5:$D$92,'1200'!A466,'Daftar Koreksi'!$G$5:$G$92,"Gedung dan Bangunan",'Daftar Koreksi'!$I$5:$I$92,"&lt;0")-SUMIFS('Daftar Koreksi'!$I$5:$I$92,'Daftar Koreksi'!$D$5:$D$92,'1200'!A466,'Daftar Koreksi'!$G$5:$G$92,"Gedung dan Bangunan",'Daftar Koreksi'!$I$5:$I$92,"&lt;0")-SUMIFS('Daftar Koreksi'!$I$5:$I$92,'Daftar Koreksi'!$D$5:$D$92,'1200'!A466,'Daftar Koreksi'!$G$5:$G$92,"Gedung dan Bangunan",'Daftar Koreksi'!$I$5:$I$92,"&lt;0")</f>
        <v>0</v>
      </c>
      <c r="G480" s="17">
        <f t="shared" si="21"/>
        <v>-815741541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-121713975</v>
      </c>
      <c r="E481" s="25">
        <f>SUMIFS('Daftar Koreksi'!$I$5:$I$92,'Daftar Koreksi'!$D$5:$D$92,'1200'!A466,'Daftar Koreksi'!$G$5:$G$92,"Jalan Irigasi Jaringan",'Daftar Koreksi'!$I$5:$I$92,"&gt;0")</f>
        <v>0</v>
      </c>
      <c r="F481" s="25">
        <f>SUMIFS('Daftar Koreksi'!$I$5:$I$92,'Daftar Koreksi'!$D$5:$D$92,'1200'!A466,'Daftar Koreksi'!$G$5:$G$92,"Jalan Irigasi Jaringan",'Daftar Koreksi'!$I$5:$I$92,"&lt;0")-SUMIFS('Daftar Koreksi'!$I$5:$I$92,'Daftar Koreksi'!$D$5:$D$92,'1200'!A466,'Daftar Koreksi'!$G$5:$G$92,"Jalan Irigasi Jaringan",'Daftar Koreksi'!$I$5:$I$92,"&lt;0")-SUMIFS('Daftar Koreksi'!$I$5:$I$92,'Daftar Koreksi'!$D$5:$D$92,'1200'!A466,'Daftar Koreksi'!$G$5:$G$92,"Jalan Irigasi Jaringan",'Daftar Koreksi'!$I$5:$I$92,"&lt;0")</f>
        <v>0</v>
      </c>
      <c r="G481" s="17">
        <f t="shared" si="21"/>
        <v>-121713975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-11440000</v>
      </c>
      <c r="E482" s="25">
        <f>SUMIFS('Daftar Koreksi'!$I$5:$I$92,'Daftar Koreksi'!$D$5:$D$92,'1200'!A466,'Daftar Koreksi'!$G$5:$G$92,"Aset Tetap Lainnya",'Daftar Koreksi'!$I$5:$I$92,"&gt;0")</f>
        <v>0</v>
      </c>
      <c r="F482" s="25">
        <f>SUMIFS('Daftar Koreksi'!$I$5:$I$92,'Daftar Koreksi'!$D$5:$D$92,'1200'!A466,'Daftar Koreksi'!$G$5:$G$92,"Aset Tetap Lainnya",'Daftar Koreksi'!$I$5:$I$92,"&lt;0")-SUMIFS('Daftar Koreksi'!$I$5:$I$92,'Daftar Koreksi'!$D$5:$D$92,'1200'!A466,'Daftar Koreksi'!$G$5:$G$92,"Aset Tetap Lainnya",'Daftar Koreksi'!$I$5:$I$92,"&lt;0")-SUMIFS('Daftar Koreksi'!$I$5:$I$92,'Daftar Koreksi'!$D$5:$D$92,'1200'!A466,'Daftar Koreksi'!$G$5:$G$92,"Aset Tetap Lainnya",'Daftar Koreksi'!$I$5:$I$92,"&lt;0")</f>
        <v>0</v>
      </c>
      <c r="G482" s="17">
        <f t="shared" si="21"/>
        <v>-11440000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0</v>
      </c>
      <c r="E483" s="25">
        <f>SUMIFS('Daftar Koreksi'!$I$5:$I$92,'Daftar Koreksi'!$D$5:$D$92,'1200'!A466,'Daftar Koreksi'!$G$5:$G$92,"Aset Henti Guna",'Daftar Koreksi'!$I$5:$I$92,"&gt;0")</f>
        <v>0</v>
      </c>
      <c r="F483" s="25">
        <f>SUMIFS('Daftar Koreksi'!$I$5:$I$92,'Daftar Koreksi'!$D$5:$D$92,'1200'!A466,'Daftar Koreksi'!$G$5:$G$92,"Aset Henti Guna",'Daftar Koreksi'!$I$5:$I$92,"&lt;0")-SUMIFS('Daftar Koreksi'!$I$5:$I$92,'Daftar Koreksi'!$D$5:$D$92,'1200'!A466,'Daftar Koreksi'!$G$5:$G$92,"Aset Henti Guna",'Daftar Koreksi'!$I$5:$I$92,"&lt;0")-SUMIFS('Daftar Koreksi'!$I$5:$I$92,'Daftar Koreksi'!$D$5:$D$92,'1200'!A466,'Daftar Koreksi'!$G$5:$G$92,"Aset Henti Guna",'Daftar Koreksi'!$I$5:$I$92,"&lt;0")</f>
        <v>0</v>
      </c>
      <c r="G483" s="17">
        <f t="shared" si="21"/>
        <v>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-2325266551</v>
      </c>
      <c r="E484" s="19">
        <f>SUM(E479:E483)</f>
        <v>0</v>
      </c>
      <c r="F484" s="19">
        <f>SUM(F479:F483)</f>
        <v>0</v>
      </c>
      <c r="G484" s="19">
        <f t="shared" si="21"/>
        <v>-2325266551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4374752940</v>
      </c>
      <c r="E485" s="19">
        <f>E484+E478</f>
        <v>0</v>
      </c>
      <c r="F485" s="19">
        <f>F484+F478</f>
        <v>0</v>
      </c>
      <c r="G485" s="19">
        <f t="shared" si="21"/>
        <v>4374752940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</sheetData>
  <mergeCells count="132">
    <mergeCell ref="H469:H486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9" manualBreakCount="9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P46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2.855468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454</v>
      </c>
      <c r="P1" s="8" t="s">
        <v>1592</v>
      </c>
    </row>
    <row r="2" spans="1:16" ht="19.5" customHeight="1">
      <c r="C2" s="9" t="s">
        <v>2109</v>
      </c>
      <c r="O2" s="8" t="s">
        <v>455</v>
      </c>
      <c r="P2" s="8" t="s">
        <v>1593</v>
      </c>
    </row>
    <row r="3" spans="1:16" ht="19.5" customHeight="1">
      <c r="O3" s="8" t="s">
        <v>456</v>
      </c>
      <c r="P3" s="8" t="s">
        <v>1594</v>
      </c>
    </row>
    <row r="4" spans="1:16" ht="19.5" customHeight="1">
      <c r="A4" s="11" t="str">
        <f>O1</f>
        <v>005011300099066000KD</v>
      </c>
      <c r="B4" s="11" t="str">
        <f>P1</f>
        <v>PN. Pontianak</v>
      </c>
      <c r="C4" s="12" t="str">
        <f>A4&amp;" "&amp;B4</f>
        <v>005011300099066000KD PN. Pontianak</v>
      </c>
      <c r="D4" s="13"/>
      <c r="E4" s="13"/>
      <c r="F4" s="13"/>
      <c r="G4" s="13"/>
      <c r="H4" s="11"/>
      <c r="O4" s="8" t="s">
        <v>457</v>
      </c>
      <c r="P4" s="8" t="s">
        <v>1595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458</v>
      </c>
      <c r="P5" s="8" t="s">
        <v>1596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459</v>
      </c>
      <c r="P6" s="8" t="s">
        <v>1597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30719800</v>
      </c>
      <c r="E7" s="25">
        <f>SUMIFS('Daftar Koreksi'!$H$5:$H$92,'Daftar Koreksi'!$D$5:$D$92,'1300'!A4,'Daftar Koreksi'!$G$5:$G$92,"Persediaan",'Daftar Koreksi'!$H$5:$H$92,"&gt;0")</f>
        <v>0</v>
      </c>
      <c r="F7" s="25">
        <f>SUMIFS('Daftar Koreksi'!$H$5:$H$92,'Daftar Koreksi'!$D$5:$D$92,'1300'!A4,'Daftar Koreksi'!$G$5:$G$92,"Persediaan",'Daftar Koreksi'!$H$5:$H$92,"&lt;0")-SUMIFS('Daftar Koreksi'!$H$5:$H$92,'Daftar Koreksi'!$D$5:$D$92,'1300'!A4,'Daftar Koreksi'!$G$5:$G$92,"Persediaan",'Daftar Koreksi'!$H$5:$H$92,"&lt;0")-SUMIFS('Daftar Koreksi'!$H$5:$H$92,'Daftar Koreksi'!$D$5:$D$92,'1300'!A4,'Daftar Koreksi'!$G$5:$G$92,"Persediaan",'Daftar Koreksi'!$H$5:$H$92,"&lt;0")</f>
        <v>0</v>
      </c>
      <c r="G7" s="17">
        <f>D7+E7-F7</f>
        <v>30719800</v>
      </c>
      <c r="H7" s="121" t="str">
        <f>IF(ISNA(VLOOKUP(A4,'Mutasi Neraca'!$A$3:$S$914,19,FALSE)),"-",VLOOKUP(A4,'Mutasi Neraca'!$A$3:$S$914,19,FALSE))</f>
        <v>-</v>
      </c>
      <c r="O7" s="8" t="s">
        <v>460</v>
      </c>
      <c r="P7" s="8" t="s">
        <v>1598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5610507750</v>
      </c>
      <c r="E8" s="25">
        <f>SUMIFS('Daftar Koreksi'!$H$5:$H$92,'Daftar Koreksi'!$D$5:$D$92,'1300'!A4,'Daftar Koreksi'!$G$5:$G$92,"Tanah",'Daftar Koreksi'!$H$5:$H$92,"&gt;0")</f>
        <v>0</v>
      </c>
      <c r="F8" s="25">
        <f>SUMIFS('Daftar Koreksi'!$H$5:$H$92,'Daftar Koreksi'!$D$5:$D$92,'1300'!A4,'Daftar Koreksi'!$G$5:$G$92,"Tanah",'Daftar Koreksi'!$H$5:$H$92,"&lt;0")-SUMIFS('Daftar Koreksi'!$H$5:$H$92,'Daftar Koreksi'!$D$5:$D$92,'1300'!A4,'Daftar Koreksi'!$G$5:$G$92,"Tanah",'Daftar Koreksi'!$H$5:$H$92,"&lt;0")-SUMIFS('Daftar Koreksi'!$H$5:$H$92,'Daftar Koreksi'!$D$5:$D$92,'1300'!A4,'Daftar Koreksi'!$G$5:$G$92,"Tanah",'Daftar Koreksi'!$H$5:$H$92,"&lt;0")</f>
        <v>0</v>
      </c>
      <c r="G8" s="17">
        <f t="shared" ref="G8:G24" si="0">D8+E8-F8</f>
        <v>5610507750</v>
      </c>
      <c r="H8" s="122"/>
      <c r="O8" s="8" t="s">
        <v>461</v>
      </c>
      <c r="P8" s="8" t="s">
        <v>1599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2779207902</v>
      </c>
      <c r="E9" s="25">
        <f>SUMIFS('Daftar Koreksi'!$H$5:$H$92,'Daftar Koreksi'!$D$5:$D$92,'1300'!A4,'Daftar Koreksi'!$G$5:$G$92,"Peralatan dan mesin",'Daftar Koreksi'!$H$5:$H$92,"&gt;0")</f>
        <v>0</v>
      </c>
      <c r="F9" s="25">
        <f>SUMIFS('Daftar Koreksi'!$H$5:$H$92,'Daftar Koreksi'!$D$5:$D$92,'1300'!A4,'Daftar Koreksi'!$G$5:$G$92,"Peralatan dan mesin",'Daftar Koreksi'!$H$5:$H$92,"&lt;0")-SUMIFS('Daftar Koreksi'!$H$5:$H$92,'Daftar Koreksi'!$D$5:$D$92,'1300'!A4,'Daftar Koreksi'!$G$5:$G$92,"Peralatan dan mesin",'Daftar Koreksi'!$H$5:$H$92,"&lt;0")-SUMIFS('Daftar Koreksi'!$H$5:$H$92,'Daftar Koreksi'!$D$5:$D$92,'1300'!A4,'Daftar Koreksi'!$G$5:$G$92,"Peralatan dan mesin",'Daftar Koreksi'!$H$5:$H$92,"&lt;0")</f>
        <v>0</v>
      </c>
      <c r="G9" s="17">
        <f t="shared" si="0"/>
        <v>2779207902</v>
      </c>
      <c r="H9" s="122"/>
      <c r="O9" s="8" t="s">
        <v>462</v>
      </c>
      <c r="P9" s="8" t="s">
        <v>1600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3963912970</v>
      </c>
      <c r="E10" s="25">
        <f>SUMIFS('Daftar Koreksi'!$H$5:$H$92,'Daftar Koreksi'!$D$5:$D$92,'1300'!A4,'Daftar Koreksi'!$G$5:$G$92,"Gedung dan Bangunan",'Daftar Koreksi'!$H$5:$H$92,"&gt;0")</f>
        <v>0</v>
      </c>
      <c r="F10" s="25">
        <f>SUMIFS('Daftar Koreksi'!$H$5:$H$92,'Daftar Koreksi'!$D$5:$D$92,'1300'!A4,'Daftar Koreksi'!$G$5:$G$92,"Gedung dan Bangunan",'Daftar Koreksi'!$H$5:$H$92,"&lt;0")-SUMIFS('Daftar Koreksi'!$H$5:$H$92,'Daftar Koreksi'!$D$5:$D$92,'1300'!A4,'Daftar Koreksi'!$G$5:$G$92,"Gedung dan Bangunan",'Daftar Koreksi'!$H$5:$H$92,"&lt;0")-SUMIFS('Daftar Koreksi'!$H$5:$H$92,'Daftar Koreksi'!$D$5:$D$92,'1300'!A4,'Daftar Koreksi'!$G$5:$G$92,"Gedung dan Bangunan",'Daftar Koreksi'!$H$5:$H$92,"&lt;0")</f>
        <v>0</v>
      </c>
      <c r="G10" s="17">
        <f t="shared" si="0"/>
        <v>3963912970</v>
      </c>
      <c r="H10" s="122"/>
      <c r="O10" s="8" t="s">
        <v>463</v>
      </c>
      <c r="P10" s="8" t="s">
        <v>1601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183211000</v>
      </c>
      <c r="E11" s="25">
        <f>SUMIFS('Daftar Koreksi'!$H$5:$H$92,'Daftar Koreksi'!$D$5:$D$92,'1300'!A4,'Daftar Koreksi'!$G$5:$G$92,"Jalan Irigasi Jaringan",'Daftar Koreksi'!$H$5:$H$92,"&gt;0")</f>
        <v>0</v>
      </c>
      <c r="F11" s="25">
        <f>SUMIFS('Daftar Koreksi'!$H$5:$H$92,'Daftar Koreksi'!$D$5:$D$92,'1300'!A4,'Daftar Koreksi'!$G$5:$G$92,"Jalan Irigasi Jaringan",'Daftar Koreksi'!$H$5:$H$92,"&lt;0")-SUMIFS('Daftar Koreksi'!$H$5:$H$92,'Daftar Koreksi'!$D$5:$D$92,'1300'!A4,'Daftar Koreksi'!$G$5:$G$92,"Jalan Irigasi Jaringan",'Daftar Koreksi'!$H$5:$H$92,"&lt;0")-SUMIFS('Daftar Koreksi'!$H$5:$H$92,'Daftar Koreksi'!$D$5:$D$92,'1300'!A4,'Daftar Koreksi'!$G$5:$G$92,"Jalan Irigasi Jaringan",'Daftar Koreksi'!$H$5:$H$92,"&lt;0")</f>
        <v>0</v>
      </c>
      <c r="G11" s="17">
        <f t="shared" si="0"/>
        <v>183211000</v>
      </c>
      <c r="H11" s="122"/>
      <c r="O11" s="8" t="s">
        <v>464</v>
      </c>
      <c r="P11" s="8" t="s">
        <v>1602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4726840</v>
      </c>
      <c r="E12" s="25">
        <f>SUMIFS('Daftar Koreksi'!$H$5:$H$92,'Daftar Koreksi'!$D$5:$D$92,'1300'!A4,'Daftar Koreksi'!$G$5:$G$92,"Aset Tetap Lainnya",'Daftar Koreksi'!$H$5:$H$92,"&gt;0")</f>
        <v>0</v>
      </c>
      <c r="F12" s="25">
        <f>SUMIFS('Daftar Koreksi'!$H$5:$H$92,'Daftar Koreksi'!$D$5:$D$92,'1300'!A4,'Daftar Koreksi'!$G$5:$G$92,"Aset Tetap Lainnya",'Daftar Koreksi'!$H$5:$H$92,"&lt;0")-SUMIFS('Daftar Koreksi'!$H$5:$H$92,'Daftar Koreksi'!$D$5:$D$92,'1300'!A4,'Daftar Koreksi'!$G$5:$G$92,"Aset Tetap Lainnya",'Daftar Koreksi'!$H$5:$H$92,"&lt;0")-SUMIFS('Daftar Koreksi'!$H$5:$H$92,'Daftar Koreksi'!$D$5:$D$92,'1300'!A4,'Daftar Koreksi'!$G$5:$G$92,"Aset Tetap Lainnya",'Daftar Koreksi'!$H$5:$H$92,"&lt;0")</f>
        <v>0</v>
      </c>
      <c r="G12" s="17">
        <f t="shared" si="0"/>
        <v>4726840</v>
      </c>
      <c r="H12" s="122"/>
      <c r="O12" s="8" t="s">
        <v>465</v>
      </c>
      <c r="P12" s="8" t="s">
        <v>1603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Koreksi'!$D$5:$D$92,'1300'!A4,'Daftar Koreksi'!$G$5:$G$92,"Kontruksi Dalam Pengerjaan",'Daftar Koreksi'!$H$5:$H$92,"&gt;0")</f>
        <v>0</v>
      </c>
      <c r="F13" s="25">
        <f>SUMIFS('Daftar Koreksi'!$H$5:$H$92,'Daftar Koreksi'!$D$5:$D$92,'1300'!A4,'Daftar Koreksi'!$G$5:$G$92,"Kontruksi Dalam Pengerjaan",'Daftar Koreksi'!$H$5:$H$92,"&lt;0")-SUMIFS('Daftar Koreksi'!$H$5:$H$92,'Daftar Koreksi'!$D$5:$D$92,'1300'!A4,'Daftar Koreksi'!$G$5:$G$92,"Kontruksi Dalam Pengerjaan",'Daftar Koreksi'!$H$5:$H$92,"&lt;0")-SUMIFS('Daftar Koreksi'!$H$5:$H$92,'Daftar Koreksi'!$D$5:$D$92,'1300'!A4,'Daftar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466</v>
      </c>
      <c r="P13" s="8" t="s">
        <v>1604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Koreksi'!$D$5:$D$92,'1300'!A4,'Daftar Koreksi'!$G$5:$G$92,"Aset Tak Berwujud",'Daftar Koreksi'!$H$5:$H$92,"&gt;0")</f>
        <v>0</v>
      </c>
      <c r="F14" s="25">
        <f>SUMIFS('Daftar Koreksi'!$H$5:$H$92,'Daftar Koreksi'!$D$5:$D$92,'1300'!A4,'Daftar Koreksi'!$G$5:$G$92,"Aset Tak Berwujud",'Daftar Koreksi'!$H$5:$H$92,"&lt;0")-SUMIFS('Daftar Koreksi'!$H$5:$H$92,'Daftar Koreksi'!$D$5:$D$92,'1300'!A4,'Daftar Koreksi'!$G$5:$G$92,"Aset Tak Berwujud",'Daftar Koreksi'!$H$5:$H$92,"&lt;0")-SUMIFS('Daftar Koreksi'!$H$5:$H$92,'Daftar Koreksi'!$D$5:$D$92,'1300'!A4,'Daftar Koreksi'!$G$5:$G$92,"Aset Tak Berwujud",'Daftar Koreksi'!$H$5:$H$92,"&lt;0")</f>
        <v>0</v>
      </c>
      <c r="G14" s="17">
        <f t="shared" si="0"/>
        <v>0</v>
      </c>
      <c r="H14" s="122"/>
      <c r="O14" s="8" t="s">
        <v>467</v>
      </c>
      <c r="P14" s="8" t="s">
        <v>1605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26561476</v>
      </c>
      <c r="E15" s="25">
        <f>SUMIFS('Daftar Koreksi'!$H$5:$H$92,'Daftar Koreksi'!$D$5:$D$92,'1300'!A4,'Daftar Koreksi'!$G$5:$G$92,"Aset Henti Guna",'Daftar Koreksi'!$H$5:$H$92,"&gt;0")</f>
        <v>0</v>
      </c>
      <c r="F15" s="25">
        <f>SUMIFS('Daftar Koreksi'!$H$5:$H$92,'Daftar Koreksi'!$D$5:$D$92,'1300'!A4,'Daftar Koreksi'!$G$5:$G$92,"Aset Henti Guna",'Daftar Koreksi'!$H$5:$H$92,"&lt;0")-SUMIFS('Daftar Koreksi'!$H$5:$H$92,'Daftar Koreksi'!$D$5:$D$92,'1300'!A4,'Daftar Koreksi'!$G$5:$G$92,"Aset Henti Guna",'Daftar Koreksi'!$H$5:$H$92,"&lt;0")-SUMIFS('Daftar Koreksi'!$H$5:$H$92,'Daftar Koreksi'!$D$5:$D$92,'1300'!A4,'Daftar Koreksi'!$G$5:$G$92,"Aset Henti Guna",'Daftar Koreksi'!$H$5:$H$92,"&lt;0")</f>
        <v>0</v>
      </c>
      <c r="G15" s="17">
        <f t="shared" si="0"/>
        <v>26561476</v>
      </c>
      <c r="H15" s="122"/>
      <c r="O15" s="8" t="s">
        <v>468</v>
      </c>
      <c r="P15" s="8" t="s">
        <v>1606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12598847738</v>
      </c>
      <c r="E16" s="19">
        <f>SUM(E7:E15)</f>
        <v>0</v>
      </c>
      <c r="F16" s="19">
        <f>SUM(F7:F15)</f>
        <v>0</v>
      </c>
      <c r="G16" s="19">
        <f t="shared" si="0"/>
        <v>12598847738</v>
      </c>
      <c r="H16" s="122"/>
      <c r="O16" s="8" t="s">
        <v>469</v>
      </c>
      <c r="P16" s="8" t="s">
        <v>1607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-2519662061</v>
      </c>
      <c r="E17" s="25">
        <f>SUMIFS('Daftar Koreksi'!$I$5:$I$92,'Daftar Koreksi'!$D$5:$D$92,'1300'!A4,'Daftar Koreksi'!$G$5:$G$92,"Peralatan dan mesin",'Daftar Koreksi'!$I$5:$I$92,"&gt;0")</f>
        <v>0</v>
      </c>
      <c r="F17" s="25">
        <f>SUMIFS('Daftar Koreksi'!$I$5:$I$92,'Daftar Koreksi'!$D$5:$D$92,'1300'!A4,'Daftar Koreksi'!$G$5:$G$92,"Peralatan dan mesin",'Daftar Koreksi'!$I$5:$I$92,"&lt;0")-SUMIFS('Daftar Koreksi'!$I$5:$I$92,'Daftar Koreksi'!$D$5:$D$92,'1300'!A4,'Daftar Koreksi'!$G$5:$G$92,"Peralatan dan mesin",'Daftar Koreksi'!$I$5:$I$92,"&lt;0")-SUMIFS('Daftar Koreksi'!$I$5:$I$92,'Daftar Koreksi'!$D$5:$D$92,'1300'!A4,'Daftar Koreksi'!$G$5:$G$92,"Peralatan dan mesin",'Daftar Koreksi'!$I$5:$I$92,"&lt;0")</f>
        <v>0</v>
      </c>
      <c r="G17" s="17">
        <f t="shared" si="0"/>
        <v>-2519662061</v>
      </c>
      <c r="H17" s="122"/>
      <c r="O17" s="8" t="s">
        <v>470</v>
      </c>
      <c r="P17" s="8" t="s">
        <v>1608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-1123716918</v>
      </c>
      <c r="E18" s="25">
        <f>SUMIFS('Daftar Koreksi'!$I$5:$I$92,'Daftar Koreksi'!$D$5:$D$92,'1300'!A4,'Daftar Koreksi'!$G$5:$G$92,"Gedung dan Bangunan",'Daftar Koreksi'!$I$5:$I$92,"&gt;0")</f>
        <v>0</v>
      </c>
      <c r="F18" s="25">
        <f>SUMIFS('Daftar Koreksi'!$I$5:$I$92,'Daftar Koreksi'!$D$5:$D$92,'1300'!A4,'Daftar Koreksi'!$G$5:$G$92,"Gedung dan Bangunan",'Daftar Koreksi'!$I$5:$I$92,"&lt;0")-SUMIFS('Daftar Koreksi'!$I$5:$I$92,'Daftar Koreksi'!$D$5:$D$92,'1300'!A4,'Daftar Koreksi'!$G$5:$G$92,"Gedung dan Bangunan",'Daftar Koreksi'!$I$5:$I$92,"&lt;0")-SUMIFS('Daftar Koreksi'!$I$5:$I$92,'Daftar Koreksi'!$D$5:$D$92,'1300'!A4,'Daftar Koreksi'!$G$5:$G$92,"Gedung dan Bangunan",'Daftar Koreksi'!$I$5:$I$92,"&lt;0")</f>
        <v>0</v>
      </c>
      <c r="G18" s="17">
        <f t="shared" si="0"/>
        <v>-1123716918</v>
      </c>
      <c r="H18" s="122"/>
      <c r="O18" s="8" t="s">
        <v>471</v>
      </c>
      <c r="P18" s="8" t="s">
        <v>1609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-29771788</v>
      </c>
      <c r="E19" s="25">
        <f>SUMIFS('Daftar Koreksi'!$I$5:$I$92,'Daftar Koreksi'!$D$5:$D$92,'1300'!A4,'Daftar Koreksi'!$G$5:$G$92,"Jalan Irigasi Jaringan",'Daftar Koreksi'!$I$5:$I$92,"&gt;0")</f>
        <v>0</v>
      </c>
      <c r="F19" s="25">
        <f>SUMIFS('Daftar Koreksi'!$I$5:$I$92,'Daftar Koreksi'!$D$5:$D$92,'1300'!A4,'Daftar Koreksi'!$G$5:$G$92,"Jalan Irigasi Jaringan",'Daftar Koreksi'!$I$5:$I$92,"&lt;0")-SUMIFS('Daftar Koreksi'!$I$5:$I$92,'Daftar Koreksi'!$D$5:$D$92,'1300'!A4,'Daftar Koreksi'!$G$5:$G$92,"Jalan Irigasi Jaringan",'Daftar Koreksi'!$I$5:$I$92,"&lt;0")-SUMIFS('Daftar Koreksi'!$I$5:$I$92,'Daftar Koreksi'!$D$5:$D$92,'1300'!A4,'Daftar Koreksi'!$G$5:$G$92,"Jalan Irigasi Jaringan",'Daftar Koreksi'!$I$5:$I$92,"&lt;0")</f>
        <v>0</v>
      </c>
      <c r="G19" s="17">
        <f t="shared" si="0"/>
        <v>-29771788</v>
      </c>
      <c r="H19" s="122"/>
      <c r="O19" s="8" t="s">
        <v>472</v>
      </c>
      <c r="P19" s="8" t="s">
        <v>1610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Koreksi'!$D$5:$D$92,'1300'!A4,'Daftar Koreksi'!$G$5:$G$92,"Aset Tetap Lainnya",'Daftar Koreksi'!$I$5:$I$92,"&gt;0")</f>
        <v>0</v>
      </c>
      <c r="F20" s="25">
        <f>SUMIFS('Daftar Koreksi'!$I$5:$I$92,'Daftar Koreksi'!$D$5:$D$92,'1300'!A4,'Daftar Koreksi'!$G$5:$G$92,"Aset Tetap Lainnya",'Daftar Koreksi'!$I$5:$I$92,"&lt;0")-SUMIFS('Daftar Koreksi'!$I$5:$I$92,'Daftar Koreksi'!$D$5:$D$92,'1300'!A4,'Daftar Koreksi'!$G$5:$G$92,"Aset Tetap Lainnya",'Daftar Koreksi'!$I$5:$I$92,"&lt;0")-SUMIFS('Daftar Koreksi'!$I$5:$I$92,'Daftar Koreksi'!$D$5:$D$92,'1300'!A4,'Daftar Koreksi'!$G$5:$G$92,"Aset Tetap Lainnya",'Daftar Koreksi'!$I$5:$I$92,"&lt;0")</f>
        <v>0</v>
      </c>
      <c r="G20" s="17">
        <f t="shared" si="0"/>
        <v>0</v>
      </c>
      <c r="H20" s="122"/>
      <c r="O20" s="8" t="s">
        <v>473</v>
      </c>
      <c r="P20" s="8" t="s">
        <v>1611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-26561476</v>
      </c>
      <c r="E21" s="25">
        <f>SUMIFS('Daftar Koreksi'!$I$5:$I$92,'Daftar Koreksi'!$D$5:$D$92,'1300'!A4,'Daftar Koreksi'!$G$5:$G$92,"Aset Henti Guna",'Daftar Koreksi'!$I$5:$I$92,"&gt;0")</f>
        <v>0</v>
      </c>
      <c r="F21" s="25">
        <f>SUMIFS('Daftar Koreksi'!$I$5:$I$92,'Daftar Koreksi'!$D$5:$D$92,'1300'!A4,'Daftar Koreksi'!$G$5:$G$92,"Aset Henti Guna",'Daftar Koreksi'!$I$5:$I$92,"&lt;0")-SUMIFS('Daftar Koreksi'!$I$5:$I$92,'Daftar Koreksi'!$D$5:$D$92,'1300'!A4,'Daftar Koreksi'!$G$5:$G$92,"Aset Henti Guna",'Daftar Koreksi'!$I$5:$I$92,"&lt;0")-SUMIFS('Daftar Koreksi'!$I$5:$I$92,'Daftar Koreksi'!$D$5:$D$92,'1300'!A4,'Daftar Koreksi'!$G$5:$G$92,"Aset Henti Guna",'Daftar Koreksi'!$I$5:$I$92,"&lt;0")</f>
        <v>0</v>
      </c>
      <c r="G21" s="17">
        <f t="shared" si="0"/>
        <v>-26561476</v>
      </c>
      <c r="H21" s="122"/>
      <c r="O21" s="8" t="s">
        <v>474</v>
      </c>
      <c r="P21" s="8" t="s">
        <v>1612</v>
      </c>
    </row>
    <row r="22" spans="1:16" ht="21.95" customHeight="1">
      <c r="A22" s="14"/>
      <c r="B22" s="14"/>
      <c r="C22" s="18" t="s">
        <v>2094</v>
      </c>
      <c r="D22" s="19">
        <f>SUM(D17:D21)</f>
        <v>-3699712243</v>
      </c>
      <c r="E22" s="19">
        <f>SUM(E17:E21)</f>
        <v>0</v>
      </c>
      <c r="F22" s="19">
        <f>SUM(F17:F21)</f>
        <v>0</v>
      </c>
      <c r="G22" s="19">
        <f t="shared" si="0"/>
        <v>-3699712243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8899135495</v>
      </c>
      <c r="E23" s="19">
        <f>E22+E16</f>
        <v>0</v>
      </c>
      <c r="F23" s="19">
        <f>F22+F16</f>
        <v>0</v>
      </c>
      <c r="G23" s="19">
        <f t="shared" si="0"/>
        <v>8899135495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005011300099070000KD</v>
      </c>
      <c r="B26" s="11" t="str">
        <f>P2</f>
        <v>PN. Singkawang</v>
      </c>
      <c r="C26" s="12" t="str">
        <f>A26&amp;" "&amp;B26</f>
        <v>005011300099070000KD PN. Singkawang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5861500</v>
      </c>
      <c r="E29" s="25">
        <f>SUMIFS('Daftar Koreksi'!$H$5:$H$92,'Daftar Koreksi'!$D$5:$D$92,'1300'!A26,'Daftar Koreksi'!$G$5:$G$92,"Persediaan",'Daftar Koreksi'!$H$5:$H$92,"&gt;0")</f>
        <v>0</v>
      </c>
      <c r="F29" s="25">
        <f>SUMIFS('Daftar Koreksi'!$H$5:$H$92,'Daftar Koreksi'!$D$5:$D$92,'1300'!A26,'Daftar Koreksi'!$G$5:$G$92,"Persediaan",'Daftar Koreksi'!$H$5:$H$92,"&lt;0")-SUMIFS('Daftar Koreksi'!$H$5:$H$92,'Daftar Koreksi'!$D$5:$D$92,'1300'!A26,'Daftar Koreksi'!$G$5:$G$92,"Persediaan",'Daftar Koreksi'!$H$5:$H$92,"&lt;0")-SUMIFS('Daftar Koreksi'!$H$5:$H$92,'Daftar Koreksi'!$D$5:$D$92,'1300'!A26,'Daftar Koreksi'!$G$5:$G$92,"Persediaan",'Daftar Koreksi'!$H$5:$H$92,"&lt;0")</f>
        <v>0</v>
      </c>
      <c r="G29" s="17">
        <f>D29+E29-F29</f>
        <v>5861500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2737240000</v>
      </c>
      <c r="E30" s="25">
        <f>SUMIFS('Daftar Koreksi'!$H$5:$H$92,'Daftar Koreksi'!$D$5:$D$92,'1300'!A26,'Daftar Koreksi'!$G$5:$G$92,"Tanah",'Daftar Koreksi'!$H$5:$H$92,"&gt;0")</f>
        <v>0</v>
      </c>
      <c r="F30" s="25">
        <f>SUMIFS('Daftar Koreksi'!$H$5:$H$92,'Daftar Koreksi'!$D$5:$D$92,'1300'!A26,'Daftar Koreksi'!$G$5:$G$92,"Tanah",'Daftar Koreksi'!$H$5:$H$92,"&lt;0")-SUMIFS('Daftar Koreksi'!$H$5:$H$92,'Daftar Koreksi'!$D$5:$D$92,'1300'!A26,'Daftar Koreksi'!$G$5:$G$92,"Tanah",'Daftar Koreksi'!$H$5:$H$92,"&lt;0")-SUMIFS('Daftar Koreksi'!$H$5:$H$92,'Daftar Koreksi'!$D$5:$D$92,'1300'!A26,'Daftar Koreksi'!$G$5:$G$92,"Tanah",'Daftar Koreksi'!$H$5:$H$92,"&lt;0")</f>
        <v>0</v>
      </c>
      <c r="G30" s="17">
        <f t="shared" ref="G30:G46" si="1">D30+E30-F30</f>
        <v>2737240000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2100352387</v>
      </c>
      <c r="E31" s="25">
        <f>SUMIFS('Daftar Koreksi'!$H$5:$H$92,'Daftar Koreksi'!$D$5:$D$92,'1300'!A26,'Daftar Koreksi'!$G$5:$G$92,"Peralatan dan mesin",'Daftar Koreksi'!$H$5:$H$92,"&gt;0")</f>
        <v>0</v>
      </c>
      <c r="F31" s="25">
        <f>SUMIFS('Daftar Koreksi'!$H$5:$H$92,'Daftar Koreksi'!$D$5:$D$92,'1300'!A26,'Daftar Koreksi'!$G$5:$G$92,"Peralatan dan mesin",'Daftar Koreksi'!$H$5:$H$92,"&lt;0")-SUMIFS('Daftar Koreksi'!$H$5:$H$92,'Daftar Koreksi'!$D$5:$D$92,'1300'!A26,'Daftar Koreksi'!$G$5:$G$92,"Peralatan dan mesin",'Daftar Koreksi'!$H$5:$H$92,"&lt;0")-SUMIFS('Daftar Koreksi'!$H$5:$H$92,'Daftar Koreksi'!$D$5:$D$92,'1300'!A26,'Daftar Koreksi'!$G$5:$G$92,"Peralatan dan mesin",'Daftar Koreksi'!$H$5:$H$92,"&lt;0")</f>
        <v>0</v>
      </c>
      <c r="G31" s="17">
        <f t="shared" si="1"/>
        <v>2100352387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2890829233</v>
      </c>
      <c r="E32" s="25">
        <f>SUMIFS('Daftar Koreksi'!$H$5:$H$92,'Daftar Koreksi'!$D$5:$D$92,'1300'!A26,'Daftar Koreksi'!$G$5:$G$92,"Gedung dan Bangunan",'Daftar Koreksi'!$H$5:$H$92,"&gt;0")</f>
        <v>0</v>
      </c>
      <c r="F32" s="25">
        <f>SUMIFS('Daftar Koreksi'!$H$5:$H$92,'Daftar Koreksi'!$D$5:$D$92,'1300'!A26,'Daftar Koreksi'!$G$5:$G$92,"Gedung dan Bangunan",'Daftar Koreksi'!$H$5:$H$92,"&lt;0")-SUMIFS('Daftar Koreksi'!$H$5:$H$92,'Daftar Koreksi'!$D$5:$D$92,'1300'!A26,'Daftar Koreksi'!$G$5:$G$92,"Gedung dan Bangunan",'Daftar Koreksi'!$H$5:$H$92,"&lt;0")-SUMIFS('Daftar Koreksi'!$H$5:$H$92,'Daftar Koreksi'!$D$5:$D$92,'1300'!A26,'Daftar Koreksi'!$G$5:$G$92,"Gedung dan Bangunan",'Daftar Koreksi'!$H$5:$H$92,"&lt;0")</f>
        <v>0</v>
      </c>
      <c r="G32" s="17">
        <f t="shared" si="1"/>
        <v>2890829233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48600000</v>
      </c>
      <c r="E33" s="25">
        <f>SUMIFS('Daftar Koreksi'!$H$5:$H$92,'Daftar Koreksi'!$D$5:$D$92,'1300'!A26,'Daftar Koreksi'!$G$5:$G$92,"Jalan Irigasi Jaringan",'Daftar Koreksi'!$H$5:$H$92,"&gt;0")</f>
        <v>0</v>
      </c>
      <c r="F33" s="25">
        <f>SUMIFS('Daftar Koreksi'!$H$5:$H$92,'Daftar Koreksi'!$D$5:$D$92,'1300'!A26,'Daftar Koreksi'!$G$5:$G$92,"Jalan Irigasi Jaringan",'Daftar Koreksi'!$H$5:$H$92,"&lt;0")-SUMIFS('Daftar Koreksi'!$H$5:$H$92,'Daftar Koreksi'!$D$5:$D$92,'1300'!A26,'Daftar Koreksi'!$G$5:$G$92,"Jalan Irigasi Jaringan",'Daftar Koreksi'!$H$5:$H$92,"&lt;0")-SUMIFS('Daftar Koreksi'!$H$5:$H$92,'Daftar Koreksi'!$D$5:$D$92,'1300'!A26,'Daftar Koreksi'!$G$5:$G$92,"Jalan Irigasi Jaringan",'Daftar Koreksi'!$H$5:$H$92,"&lt;0")</f>
        <v>0</v>
      </c>
      <c r="G33" s="17">
        <f t="shared" si="1"/>
        <v>48600000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37398440</v>
      </c>
      <c r="E34" s="25">
        <f>SUMIFS('Daftar Koreksi'!$H$5:$H$92,'Daftar Koreksi'!$D$5:$D$92,'1300'!A26,'Daftar Koreksi'!$G$5:$G$92,"Aset Tetap Lainnya",'Daftar Koreksi'!$H$5:$H$92,"&gt;0")</f>
        <v>0</v>
      </c>
      <c r="F34" s="25">
        <f>SUMIFS('Daftar Koreksi'!$H$5:$H$92,'Daftar Koreksi'!$D$5:$D$92,'1300'!A26,'Daftar Koreksi'!$G$5:$G$92,"Aset Tetap Lainnya",'Daftar Koreksi'!$H$5:$H$92,"&lt;0")-SUMIFS('Daftar Koreksi'!$H$5:$H$92,'Daftar Koreksi'!$D$5:$D$92,'1300'!A26,'Daftar Koreksi'!$G$5:$G$92,"Aset Tetap Lainnya",'Daftar Koreksi'!$H$5:$H$92,"&lt;0")-SUMIFS('Daftar Koreksi'!$H$5:$H$92,'Daftar Koreksi'!$D$5:$D$92,'1300'!A26,'Daftar Koreksi'!$G$5:$G$92,"Aset Tetap Lainnya",'Daftar Koreksi'!$H$5:$H$92,"&lt;0")</f>
        <v>0</v>
      </c>
      <c r="G34" s="17">
        <f t="shared" si="1"/>
        <v>37398440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Koreksi'!$D$5:$D$92,'1300'!A26,'Daftar Koreksi'!$G$5:$G$92,"Kontruksi Dalam Pengerjaan",'Daftar Koreksi'!$H$5:$H$92,"&gt;0")</f>
        <v>0</v>
      </c>
      <c r="F35" s="25">
        <f>SUMIFS('Daftar Koreksi'!$H$5:$H$92,'Daftar Koreksi'!$D$5:$D$92,'1300'!A26,'Daftar Koreksi'!$G$5:$G$92,"Kontruksi Dalam Pengerjaan",'Daftar Koreksi'!$H$5:$H$92,"&lt;0")-SUMIFS('Daftar Koreksi'!$H$5:$H$92,'Daftar Koreksi'!$D$5:$D$92,'1300'!A26,'Daftar Koreksi'!$G$5:$G$92,"Kontruksi Dalam Pengerjaan",'Daftar Koreksi'!$H$5:$H$92,"&lt;0")-SUMIFS('Daftar Koreksi'!$H$5:$H$92,'Daftar Koreksi'!$D$5:$D$92,'1300'!A26,'Daftar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Koreksi'!$D$5:$D$92,'1300'!A26,'Daftar Koreksi'!$G$5:$G$92,"Aset Tak Berwujud",'Daftar Koreksi'!$H$5:$H$92,"&gt;0")</f>
        <v>0</v>
      </c>
      <c r="F36" s="25">
        <f>SUMIFS('Daftar Koreksi'!$H$5:$H$92,'Daftar Koreksi'!$D$5:$D$92,'1300'!A26,'Daftar Koreksi'!$G$5:$G$92,"Aset Tak Berwujud",'Daftar Koreksi'!$H$5:$H$92,"&lt;0")-SUMIFS('Daftar Koreksi'!$H$5:$H$92,'Daftar Koreksi'!$D$5:$D$92,'1300'!A26,'Daftar Koreksi'!$G$5:$G$92,"Aset Tak Berwujud",'Daftar Koreksi'!$H$5:$H$92,"&lt;0")-SUMIFS('Daftar Koreksi'!$H$5:$H$92,'Daftar Koreksi'!$D$5:$D$92,'1300'!A26,'Daftar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1701000</v>
      </c>
      <c r="E37" s="25">
        <f>SUMIFS('Daftar Koreksi'!$H$5:$H$92,'Daftar Koreksi'!$D$5:$D$92,'1300'!A26,'Daftar Koreksi'!$G$5:$G$92,"Aset Henti Guna",'Daftar Koreksi'!$H$5:$H$92,"&gt;0")</f>
        <v>0</v>
      </c>
      <c r="F37" s="25">
        <f>SUMIFS('Daftar Koreksi'!$H$5:$H$92,'Daftar Koreksi'!$D$5:$D$92,'1300'!A26,'Daftar Koreksi'!$G$5:$G$92,"Aset Henti Guna",'Daftar Koreksi'!$H$5:$H$92,"&lt;0")-SUMIFS('Daftar Koreksi'!$H$5:$H$92,'Daftar Koreksi'!$D$5:$D$92,'1300'!A26,'Daftar Koreksi'!$G$5:$G$92,"Aset Henti Guna",'Daftar Koreksi'!$H$5:$H$92,"&lt;0")-SUMIFS('Daftar Koreksi'!$H$5:$H$92,'Daftar Koreksi'!$D$5:$D$92,'1300'!A26,'Daftar Koreksi'!$G$5:$G$92,"Aset Henti Guna",'Daftar Koreksi'!$H$5:$H$92,"&lt;0")</f>
        <v>0</v>
      </c>
      <c r="G37" s="17">
        <f t="shared" si="1"/>
        <v>1701000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7821982560</v>
      </c>
      <c r="E38" s="19">
        <f>SUM(E29:E37)</f>
        <v>0</v>
      </c>
      <c r="F38" s="19">
        <f>SUM(F29:F37)</f>
        <v>0</v>
      </c>
      <c r="G38" s="19">
        <f t="shared" si="1"/>
        <v>7821982560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-1697014734</v>
      </c>
      <c r="E39" s="25">
        <f>SUMIFS('Daftar Koreksi'!$I$5:$I$92,'Daftar Koreksi'!$D$5:$D$92,'1300'!A26,'Daftar Koreksi'!$G$5:$G$92,"Peralatan dan mesin",'Daftar Koreksi'!$I$5:$I$92,"&gt;0")</f>
        <v>0</v>
      </c>
      <c r="F39" s="25">
        <f>SUMIFS('Daftar Koreksi'!$I$5:$I$92,'Daftar Koreksi'!$D$5:$D$92,'1300'!A26,'Daftar Koreksi'!$G$5:$G$92,"Peralatan dan mesin",'Daftar Koreksi'!$I$5:$I$92,"&lt;0")-SUMIFS('Daftar Koreksi'!$I$5:$I$92,'Daftar Koreksi'!$D$5:$D$92,'1300'!A26,'Daftar Koreksi'!$G$5:$G$92,"Peralatan dan mesin",'Daftar Koreksi'!$I$5:$I$92,"&lt;0")-SUMIFS('Daftar Koreksi'!$I$5:$I$92,'Daftar Koreksi'!$D$5:$D$92,'1300'!A26,'Daftar Koreksi'!$G$5:$G$92,"Peralatan dan mesin",'Daftar Koreksi'!$I$5:$I$92,"&lt;0")</f>
        <v>0</v>
      </c>
      <c r="G39" s="17">
        <f t="shared" si="1"/>
        <v>-1697014734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-1118365418</v>
      </c>
      <c r="E40" s="25">
        <f>SUMIFS('Daftar Koreksi'!$I$5:$I$92,'Daftar Koreksi'!$D$5:$D$92,'1300'!A26,'Daftar Koreksi'!$G$5:$G$92,"Gedung dan Bangunan",'Daftar Koreksi'!$I$5:$I$92,"&gt;0")</f>
        <v>0</v>
      </c>
      <c r="F40" s="25">
        <f>SUMIFS('Daftar Koreksi'!$I$5:$I$92,'Daftar Koreksi'!$D$5:$D$92,'1300'!A26,'Daftar Koreksi'!$G$5:$G$92,"Gedung dan Bangunan",'Daftar Koreksi'!$I$5:$I$92,"&lt;0")-SUMIFS('Daftar Koreksi'!$I$5:$I$92,'Daftar Koreksi'!$D$5:$D$92,'1300'!A26,'Daftar Koreksi'!$G$5:$G$92,"Gedung dan Bangunan",'Daftar Koreksi'!$I$5:$I$92,"&lt;0")-SUMIFS('Daftar Koreksi'!$I$5:$I$92,'Daftar Koreksi'!$D$5:$D$92,'1300'!A26,'Daftar Koreksi'!$G$5:$G$92,"Gedung dan Bangunan",'Daftar Koreksi'!$I$5:$I$92,"&lt;0")</f>
        <v>0</v>
      </c>
      <c r="G40" s="17">
        <f t="shared" si="1"/>
        <v>-1118365418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-14906250</v>
      </c>
      <c r="E41" s="25">
        <f>SUMIFS('Daftar Koreksi'!$I$5:$I$92,'Daftar Koreksi'!$D$5:$D$92,'1300'!A26,'Daftar Koreksi'!$G$5:$G$92,"Jalan Irigasi Jaringan",'Daftar Koreksi'!$I$5:$I$92,"&gt;0")</f>
        <v>0</v>
      </c>
      <c r="F41" s="25">
        <f>SUMIFS('Daftar Koreksi'!$I$5:$I$92,'Daftar Koreksi'!$D$5:$D$92,'1300'!A26,'Daftar Koreksi'!$G$5:$G$92,"Jalan Irigasi Jaringan",'Daftar Koreksi'!$I$5:$I$92,"&lt;0")-SUMIFS('Daftar Koreksi'!$I$5:$I$92,'Daftar Koreksi'!$D$5:$D$92,'1300'!A26,'Daftar Koreksi'!$G$5:$G$92,"Jalan Irigasi Jaringan",'Daftar Koreksi'!$I$5:$I$92,"&lt;0")-SUMIFS('Daftar Koreksi'!$I$5:$I$92,'Daftar Koreksi'!$D$5:$D$92,'1300'!A26,'Daftar Koreksi'!$G$5:$G$92,"Jalan Irigasi Jaringan",'Daftar Koreksi'!$I$5:$I$92,"&lt;0")</f>
        <v>0</v>
      </c>
      <c r="G41" s="17">
        <f t="shared" si="1"/>
        <v>-14906250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Koreksi'!$D$5:$D$92,'1300'!A26,'Daftar Koreksi'!$G$5:$G$92,"Aset Tetap Lainnya",'Daftar Koreksi'!$I$5:$I$92,"&gt;0")</f>
        <v>0</v>
      </c>
      <c r="F42" s="25">
        <f>SUMIFS('Daftar Koreksi'!$I$5:$I$92,'Daftar Koreksi'!$D$5:$D$92,'1300'!A26,'Daftar Koreksi'!$G$5:$G$92,"Aset Tetap Lainnya",'Daftar Koreksi'!$I$5:$I$92,"&lt;0")-SUMIFS('Daftar Koreksi'!$I$5:$I$92,'Daftar Koreksi'!$D$5:$D$92,'1300'!A26,'Daftar Koreksi'!$G$5:$G$92,"Aset Tetap Lainnya",'Daftar Koreksi'!$I$5:$I$92,"&lt;0")-SUMIFS('Daftar Koreksi'!$I$5:$I$92,'Daftar Koreksi'!$D$5:$D$92,'1300'!A26,'Daftar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-1701000</v>
      </c>
      <c r="E43" s="25">
        <f>SUMIFS('Daftar Koreksi'!$I$5:$I$92,'Daftar Koreksi'!$D$5:$D$92,'1300'!A26,'Daftar Koreksi'!$G$5:$G$92,"Aset Henti Guna",'Daftar Koreksi'!$I$5:$I$92,"&gt;0")</f>
        <v>0</v>
      </c>
      <c r="F43" s="25">
        <f>SUMIFS('Daftar Koreksi'!$I$5:$I$92,'Daftar Koreksi'!$D$5:$D$92,'1300'!A26,'Daftar Koreksi'!$G$5:$G$92,"Aset Henti Guna",'Daftar Koreksi'!$I$5:$I$92,"&lt;0")-SUMIFS('Daftar Koreksi'!$I$5:$I$92,'Daftar Koreksi'!$D$5:$D$92,'1300'!A26,'Daftar Koreksi'!$G$5:$G$92,"Aset Henti Guna",'Daftar Koreksi'!$I$5:$I$92,"&lt;0")-SUMIFS('Daftar Koreksi'!$I$5:$I$92,'Daftar Koreksi'!$D$5:$D$92,'1300'!A26,'Daftar Koreksi'!$G$5:$G$92,"Aset Henti Guna",'Daftar Koreksi'!$I$5:$I$92,"&lt;0")</f>
        <v>0</v>
      </c>
      <c r="G43" s="17">
        <f t="shared" si="1"/>
        <v>-1701000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-2831987402</v>
      </c>
      <c r="E44" s="19">
        <f>SUM(E39:E43)</f>
        <v>0</v>
      </c>
      <c r="F44" s="19">
        <f>SUM(F39:F43)</f>
        <v>0</v>
      </c>
      <c r="G44" s="19">
        <f t="shared" si="1"/>
        <v>-2831987402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4989995158</v>
      </c>
      <c r="E45" s="19">
        <f>E44+E38</f>
        <v>0</v>
      </c>
      <c r="F45" s="19">
        <f>F44+F38</f>
        <v>0</v>
      </c>
      <c r="G45" s="19">
        <f t="shared" si="1"/>
        <v>4989995158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005011300099087000KD</v>
      </c>
      <c r="B48" s="11" t="str">
        <f>P3</f>
        <v>PN. Sintang</v>
      </c>
      <c r="C48" s="12" t="str">
        <f>A48&amp;" "&amp;B48</f>
        <v>005011300099087000KD PN. Sintang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215000</v>
      </c>
      <c r="E51" s="25">
        <f>SUMIFS('Daftar Koreksi'!$H$5:$H$92,'Daftar Koreksi'!$D$5:$D$92,'1300'!A48,'Daftar Koreksi'!$G$5:$G$92,"Persediaan",'Daftar Koreksi'!$H$5:$H$92,"&gt;0")</f>
        <v>0</v>
      </c>
      <c r="F51" s="25">
        <f>SUMIFS('Daftar Koreksi'!$H$5:$H$92,'Daftar Koreksi'!$D$5:$D$92,'1300'!A48,'Daftar Koreksi'!$G$5:$G$92,"Persediaan",'Daftar Koreksi'!$H$5:$H$92,"&lt;0")-SUMIFS('Daftar Koreksi'!$H$5:$H$92,'Daftar Koreksi'!$D$5:$D$92,'1300'!A48,'Daftar Koreksi'!$G$5:$G$92,"Persediaan",'Daftar Koreksi'!$H$5:$H$92,"&lt;0")-SUMIFS('Daftar Koreksi'!$H$5:$H$92,'Daftar Koreksi'!$D$5:$D$92,'1300'!A48,'Daftar Koreksi'!$G$5:$G$92,"Persediaan",'Daftar Koreksi'!$H$5:$H$92,"&lt;0")</f>
        <v>0</v>
      </c>
      <c r="G51" s="17">
        <f>D51+E51-F51</f>
        <v>215000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3271705120</v>
      </c>
      <c r="E52" s="25">
        <f>SUMIFS('Daftar Koreksi'!$H$5:$H$92,'Daftar Koreksi'!$D$5:$D$92,'1300'!A48,'Daftar Koreksi'!$G$5:$G$92,"Tanah",'Daftar Koreksi'!$H$5:$H$92,"&gt;0")</f>
        <v>0</v>
      </c>
      <c r="F52" s="25">
        <f>SUMIFS('Daftar Koreksi'!$H$5:$H$92,'Daftar Koreksi'!$D$5:$D$92,'1300'!A48,'Daftar Koreksi'!$G$5:$G$92,"Tanah",'Daftar Koreksi'!$H$5:$H$92,"&lt;0")-SUMIFS('Daftar Koreksi'!$H$5:$H$92,'Daftar Koreksi'!$D$5:$D$92,'1300'!A48,'Daftar Koreksi'!$G$5:$G$92,"Tanah",'Daftar Koreksi'!$H$5:$H$92,"&lt;0")-SUMIFS('Daftar Koreksi'!$H$5:$H$92,'Daftar Koreksi'!$D$5:$D$92,'1300'!A48,'Daftar Koreksi'!$G$5:$G$92,"Tanah",'Daftar Koreksi'!$H$5:$H$92,"&lt;0")</f>
        <v>0</v>
      </c>
      <c r="G52" s="17">
        <f t="shared" ref="G52:G68" si="2">D52+E52-F52</f>
        <v>3271705120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1120935857</v>
      </c>
      <c r="E53" s="25">
        <f>SUMIFS('Daftar Koreksi'!$H$5:$H$92,'Daftar Koreksi'!$D$5:$D$92,'1300'!A48,'Daftar Koreksi'!$G$5:$G$92,"Peralatan dan mesin",'Daftar Koreksi'!$H$5:$H$92,"&gt;0")</f>
        <v>0</v>
      </c>
      <c r="F53" s="25">
        <f>SUMIFS('Daftar Koreksi'!$H$5:$H$92,'Daftar Koreksi'!$D$5:$D$92,'1300'!A48,'Daftar Koreksi'!$G$5:$G$92,"Peralatan dan mesin",'Daftar Koreksi'!$H$5:$H$92,"&lt;0")-SUMIFS('Daftar Koreksi'!$H$5:$H$92,'Daftar Koreksi'!$D$5:$D$92,'1300'!A48,'Daftar Koreksi'!$G$5:$G$92,"Peralatan dan mesin",'Daftar Koreksi'!$H$5:$H$92,"&lt;0")-SUMIFS('Daftar Koreksi'!$H$5:$H$92,'Daftar Koreksi'!$D$5:$D$92,'1300'!A48,'Daftar Koreksi'!$G$5:$G$92,"Peralatan dan mesin",'Daftar Koreksi'!$H$5:$H$92,"&lt;0")</f>
        <v>0</v>
      </c>
      <c r="G53" s="17">
        <f t="shared" si="2"/>
        <v>1120935857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19504036760</v>
      </c>
      <c r="E54" s="25">
        <f>SUMIFS('Daftar Koreksi'!$H$5:$H$92,'Daftar Koreksi'!$D$5:$D$92,'1300'!A48,'Daftar Koreksi'!$G$5:$G$92,"Gedung dan Bangunan",'Daftar Koreksi'!$H$5:$H$92,"&gt;0")</f>
        <v>0</v>
      </c>
      <c r="F54" s="25">
        <f>SUMIFS('Daftar Koreksi'!$H$5:$H$92,'Daftar Koreksi'!$D$5:$D$92,'1300'!A48,'Daftar Koreksi'!$G$5:$G$92,"Gedung dan Bangunan",'Daftar Koreksi'!$H$5:$H$92,"&lt;0")-SUMIFS('Daftar Koreksi'!$H$5:$H$92,'Daftar Koreksi'!$D$5:$D$92,'1300'!A48,'Daftar Koreksi'!$G$5:$G$92,"Gedung dan Bangunan",'Daftar Koreksi'!$H$5:$H$92,"&lt;0")-SUMIFS('Daftar Koreksi'!$H$5:$H$92,'Daftar Koreksi'!$D$5:$D$92,'1300'!A48,'Daftar Koreksi'!$G$5:$G$92,"Gedung dan Bangunan",'Daftar Koreksi'!$H$5:$H$92,"&lt;0")</f>
        <v>0</v>
      </c>
      <c r="G54" s="17">
        <f t="shared" si="2"/>
        <v>19504036760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19341536</v>
      </c>
      <c r="E55" s="25">
        <f>SUMIFS('Daftar Koreksi'!$H$5:$H$92,'Daftar Koreksi'!$D$5:$D$92,'1300'!A48,'Daftar Koreksi'!$G$5:$G$92,"Jalan Irigasi Jaringan",'Daftar Koreksi'!$H$5:$H$92,"&gt;0")</f>
        <v>0</v>
      </c>
      <c r="F55" s="25">
        <f>SUMIFS('Daftar Koreksi'!$H$5:$H$92,'Daftar Koreksi'!$D$5:$D$92,'1300'!A48,'Daftar Koreksi'!$G$5:$G$92,"Jalan Irigasi Jaringan",'Daftar Koreksi'!$H$5:$H$92,"&lt;0")-SUMIFS('Daftar Koreksi'!$H$5:$H$92,'Daftar Koreksi'!$D$5:$D$92,'1300'!A48,'Daftar Koreksi'!$G$5:$G$92,"Jalan Irigasi Jaringan",'Daftar Koreksi'!$H$5:$H$92,"&lt;0")-SUMIFS('Daftar Koreksi'!$H$5:$H$92,'Daftar Koreksi'!$D$5:$D$92,'1300'!A48,'Daftar Koreksi'!$G$5:$G$92,"Jalan Irigasi Jaringan",'Daftar Koreksi'!$H$5:$H$92,"&lt;0")</f>
        <v>0</v>
      </c>
      <c r="G55" s="17">
        <f t="shared" si="2"/>
        <v>19341536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1943440</v>
      </c>
      <c r="E56" s="25">
        <f>SUMIFS('Daftar Koreksi'!$H$5:$H$92,'Daftar Koreksi'!$D$5:$D$92,'1300'!A48,'Daftar Koreksi'!$G$5:$G$92,"Aset Tetap Lainnya",'Daftar Koreksi'!$H$5:$H$92,"&gt;0")</f>
        <v>0</v>
      </c>
      <c r="F56" s="25">
        <f>SUMIFS('Daftar Koreksi'!$H$5:$H$92,'Daftar Koreksi'!$D$5:$D$92,'1300'!A48,'Daftar Koreksi'!$G$5:$G$92,"Aset Tetap Lainnya",'Daftar Koreksi'!$H$5:$H$92,"&lt;0")-SUMIFS('Daftar Koreksi'!$H$5:$H$92,'Daftar Koreksi'!$D$5:$D$92,'1300'!A48,'Daftar Koreksi'!$G$5:$G$92,"Aset Tetap Lainnya",'Daftar Koreksi'!$H$5:$H$92,"&lt;0")-SUMIFS('Daftar Koreksi'!$H$5:$H$92,'Daftar Koreksi'!$D$5:$D$92,'1300'!A48,'Daftar Koreksi'!$G$5:$G$92,"Aset Tetap Lainnya",'Daftar Koreksi'!$H$5:$H$92,"&lt;0")</f>
        <v>0</v>
      </c>
      <c r="G56" s="17">
        <f t="shared" si="2"/>
        <v>1943440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Koreksi'!$D$5:$D$92,'1300'!A48,'Daftar Koreksi'!$G$5:$G$92,"Kontruksi Dalam Pengerjaan",'Daftar Koreksi'!$H$5:$H$92,"&gt;0")</f>
        <v>0</v>
      </c>
      <c r="F57" s="25">
        <f>SUMIFS('Daftar Koreksi'!$H$5:$H$92,'Daftar Koreksi'!$D$5:$D$92,'1300'!A48,'Daftar Koreksi'!$G$5:$G$92,"Kontruksi Dalam Pengerjaan",'Daftar Koreksi'!$H$5:$H$92,"&lt;0")-SUMIFS('Daftar Koreksi'!$H$5:$H$92,'Daftar Koreksi'!$D$5:$D$92,'1300'!A48,'Daftar Koreksi'!$G$5:$G$92,"Kontruksi Dalam Pengerjaan",'Daftar Koreksi'!$H$5:$H$92,"&lt;0")-SUMIFS('Daftar Koreksi'!$H$5:$H$92,'Daftar Koreksi'!$D$5:$D$92,'1300'!A48,'Daftar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Koreksi'!$D$5:$D$92,'1300'!A48,'Daftar Koreksi'!$G$5:$G$92,"Aset Tak Berwujud",'Daftar Koreksi'!$H$5:$H$92,"&gt;0")</f>
        <v>0</v>
      </c>
      <c r="F58" s="25">
        <f>SUMIFS('Daftar Koreksi'!$H$5:$H$92,'Daftar Koreksi'!$D$5:$D$92,'1300'!A48,'Daftar Koreksi'!$G$5:$G$92,"Aset Tak Berwujud",'Daftar Koreksi'!$H$5:$H$92,"&lt;0")-SUMIFS('Daftar Koreksi'!$H$5:$H$92,'Daftar Koreksi'!$D$5:$D$92,'1300'!A48,'Daftar Koreksi'!$G$5:$G$92,"Aset Tak Berwujud",'Daftar Koreksi'!$H$5:$H$92,"&lt;0")-SUMIFS('Daftar Koreksi'!$H$5:$H$92,'Daftar Koreksi'!$D$5:$D$92,'1300'!A48,'Daftar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840000</v>
      </c>
      <c r="E59" s="25">
        <f>SUMIFS('Daftar Koreksi'!$H$5:$H$92,'Daftar Koreksi'!$D$5:$D$92,'1300'!A48,'Daftar Koreksi'!$G$5:$G$92,"Aset Henti Guna",'Daftar Koreksi'!$H$5:$H$92,"&gt;0")</f>
        <v>0</v>
      </c>
      <c r="F59" s="25">
        <f>SUMIFS('Daftar Koreksi'!$H$5:$H$92,'Daftar Koreksi'!$D$5:$D$92,'1300'!A48,'Daftar Koreksi'!$G$5:$G$92,"Aset Henti Guna",'Daftar Koreksi'!$H$5:$H$92,"&lt;0")-SUMIFS('Daftar Koreksi'!$H$5:$H$92,'Daftar Koreksi'!$D$5:$D$92,'1300'!A48,'Daftar Koreksi'!$G$5:$G$92,"Aset Henti Guna",'Daftar Koreksi'!$H$5:$H$92,"&lt;0")-SUMIFS('Daftar Koreksi'!$H$5:$H$92,'Daftar Koreksi'!$D$5:$D$92,'1300'!A48,'Daftar Koreksi'!$G$5:$G$92,"Aset Henti Guna",'Daftar Koreksi'!$H$5:$H$92,"&lt;0")</f>
        <v>0</v>
      </c>
      <c r="G59" s="17">
        <f t="shared" si="2"/>
        <v>840000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23919017713</v>
      </c>
      <c r="E60" s="19">
        <f>SUM(E51:E59)</f>
        <v>0</v>
      </c>
      <c r="F60" s="19">
        <f>SUM(F51:F59)</f>
        <v>0</v>
      </c>
      <c r="G60" s="19">
        <f t="shared" si="2"/>
        <v>23919017713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-933462267</v>
      </c>
      <c r="E61" s="25">
        <f>SUMIFS('Daftar Koreksi'!$I$5:$I$92,'Daftar Koreksi'!$D$5:$D$92,'1300'!A48,'Daftar Koreksi'!$G$5:$G$92,"Peralatan dan mesin",'Daftar Koreksi'!$I$5:$I$92,"&gt;0")</f>
        <v>0</v>
      </c>
      <c r="F61" s="25">
        <f>SUMIFS('Daftar Koreksi'!$I$5:$I$92,'Daftar Koreksi'!$D$5:$D$92,'1300'!A48,'Daftar Koreksi'!$G$5:$G$92,"Peralatan dan mesin",'Daftar Koreksi'!$I$5:$I$92,"&lt;0")-SUMIFS('Daftar Koreksi'!$I$5:$I$92,'Daftar Koreksi'!$D$5:$D$92,'1300'!A48,'Daftar Koreksi'!$G$5:$G$92,"Peralatan dan mesin",'Daftar Koreksi'!$I$5:$I$92,"&lt;0")-SUMIFS('Daftar Koreksi'!$I$5:$I$92,'Daftar Koreksi'!$D$5:$D$92,'1300'!A48,'Daftar Koreksi'!$G$5:$G$92,"Peralatan dan mesin",'Daftar Koreksi'!$I$5:$I$92,"&lt;0")</f>
        <v>0</v>
      </c>
      <c r="G61" s="17">
        <f t="shared" si="2"/>
        <v>-933462267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-3313996946</v>
      </c>
      <c r="E62" s="25">
        <f>SUMIFS('Daftar Koreksi'!$I$5:$I$92,'Daftar Koreksi'!$D$5:$D$92,'1300'!A48,'Daftar Koreksi'!$G$5:$G$92,"Gedung dan Bangunan",'Daftar Koreksi'!$I$5:$I$92,"&gt;0")</f>
        <v>0</v>
      </c>
      <c r="F62" s="25">
        <f>SUMIFS('Daftar Koreksi'!$I$5:$I$92,'Daftar Koreksi'!$D$5:$D$92,'1300'!A48,'Daftar Koreksi'!$G$5:$G$92,"Gedung dan Bangunan",'Daftar Koreksi'!$I$5:$I$92,"&lt;0")-SUMIFS('Daftar Koreksi'!$I$5:$I$92,'Daftar Koreksi'!$D$5:$D$92,'1300'!A48,'Daftar Koreksi'!$G$5:$G$92,"Gedung dan Bangunan",'Daftar Koreksi'!$I$5:$I$92,"&lt;0")-SUMIFS('Daftar Koreksi'!$I$5:$I$92,'Daftar Koreksi'!$D$5:$D$92,'1300'!A48,'Daftar Koreksi'!$G$5:$G$92,"Gedung dan Bangunan",'Daftar Koreksi'!$I$5:$I$92,"&lt;0")</f>
        <v>0</v>
      </c>
      <c r="G62" s="17">
        <f t="shared" si="2"/>
        <v>-3313996946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-2531836</v>
      </c>
      <c r="E63" s="25">
        <f>SUMIFS('Daftar Koreksi'!$I$5:$I$92,'Daftar Koreksi'!$D$5:$D$92,'1300'!A48,'Daftar Koreksi'!$G$5:$G$92,"Jalan Irigasi Jaringan",'Daftar Koreksi'!$I$5:$I$92,"&gt;0")</f>
        <v>0</v>
      </c>
      <c r="F63" s="25">
        <f>SUMIFS('Daftar Koreksi'!$I$5:$I$92,'Daftar Koreksi'!$D$5:$D$92,'1300'!A48,'Daftar Koreksi'!$G$5:$G$92,"Jalan Irigasi Jaringan",'Daftar Koreksi'!$I$5:$I$92,"&lt;0")-SUMIFS('Daftar Koreksi'!$I$5:$I$92,'Daftar Koreksi'!$D$5:$D$92,'1300'!A48,'Daftar Koreksi'!$G$5:$G$92,"Jalan Irigasi Jaringan",'Daftar Koreksi'!$I$5:$I$92,"&lt;0")-SUMIFS('Daftar Koreksi'!$I$5:$I$92,'Daftar Koreksi'!$D$5:$D$92,'1300'!A48,'Daftar Koreksi'!$G$5:$G$92,"Jalan Irigasi Jaringan",'Daftar Koreksi'!$I$5:$I$92,"&lt;0")</f>
        <v>0</v>
      </c>
      <c r="G63" s="17">
        <f t="shared" si="2"/>
        <v>-2531836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Koreksi'!$D$5:$D$92,'1300'!A48,'Daftar Koreksi'!$G$5:$G$92,"Aset Tetap Lainnya",'Daftar Koreksi'!$I$5:$I$92,"&gt;0")</f>
        <v>0</v>
      </c>
      <c r="F64" s="25">
        <f>SUMIFS('Daftar Koreksi'!$I$5:$I$92,'Daftar Koreksi'!$D$5:$D$92,'1300'!A48,'Daftar Koreksi'!$G$5:$G$92,"Aset Tetap Lainnya",'Daftar Koreksi'!$I$5:$I$92,"&lt;0")-SUMIFS('Daftar Koreksi'!$I$5:$I$92,'Daftar Koreksi'!$D$5:$D$92,'1300'!A48,'Daftar Koreksi'!$G$5:$G$92,"Aset Tetap Lainnya",'Daftar Koreksi'!$I$5:$I$92,"&lt;0")-SUMIFS('Daftar Koreksi'!$I$5:$I$92,'Daftar Koreksi'!$D$5:$D$92,'1300'!A48,'Daftar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-840000</v>
      </c>
      <c r="E65" s="25">
        <f>SUMIFS('Daftar Koreksi'!$I$5:$I$92,'Daftar Koreksi'!$D$5:$D$92,'1300'!A48,'Daftar Koreksi'!$G$5:$G$92,"Aset Henti Guna",'Daftar Koreksi'!$I$5:$I$92,"&gt;0")</f>
        <v>0</v>
      </c>
      <c r="F65" s="25">
        <f>SUMIFS('Daftar Koreksi'!$I$5:$I$92,'Daftar Koreksi'!$D$5:$D$92,'1300'!A48,'Daftar Koreksi'!$G$5:$G$92,"Aset Henti Guna",'Daftar Koreksi'!$I$5:$I$92,"&lt;0")-SUMIFS('Daftar Koreksi'!$I$5:$I$92,'Daftar Koreksi'!$D$5:$D$92,'1300'!A48,'Daftar Koreksi'!$G$5:$G$92,"Aset Henti Guna",'Daftar Koreksi'!$I$5:$I$92,"&lt;0")-SUMIFS('Daftar Koreksi'!$I$5:$I$92,'Daftar Koreksi'!$D$5:$D$92,'1300'!A48,'Daftar Koreksi'!$G$5:$G$92,"Aset Henti Guna",'Daftar Koreksi'!$I$5:$I$92,"&lt;0")</f>
        <v>0</v>
      </c>
      <c r="G65" s="17">
        <f t="shared" si="2"/>
        <v>-840000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-4250831049</v>
      </c>
      <c r="E66" s="19">
        <f>SUM(E61:E65)</f>
        <v>0</v>
      </c>
      <c r="F66" s="19">
        <f>SUM(F61:F65)</f>
        <v>0</v>
      </c>
      <c r="G66" s="19">
        <f t="shared" si="2"/>
        <v>-4250831049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19668186664</v>
      </c>
      <c r="E67" s="19">
        <f>E66+E60</f>
        <v>0</v>
      </c>
      <c r="F67" s="19">
        <f>F66+F60</f>
        <v>0</v>
      </c>
      <c r="G67" s="19">
        <f t="shared" si="2"/>
        <v>19668186664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005011300099091000KD</v>
      </c>
      <c r="B70" s="11" t="str">
        <f>P4</f>
        <v>PN. Ketapang</v>
      </c>
      <c r="C70" s="12" t="str">
        <f>A70&amp;" "&amp;B70</f>
        <v>005011300099091000KD PN. Ketapang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25000</v>
      </c>
      <c r="E73" s="25">
        <f>SUMIFS('Daftar Koreksi'!$H$5:$H$92,'Daftar Koreksi'!$D$5:$D$92,'1300'!A70,'Daftar Koreksi'!$G$5:$G$92,"Persediaan",'Daftar Koreksi'!$H$5:$H$92,"&gt;0")</f>
        <v>0</v>
      </c>
      <c r="F73" s="25">
        <f>SUMIFS('Daftar Koreksi'!$H$5:$H$92,'Daftar Koreksi'!$D$5:$D$92,'1300'!A70,'Daftar Koreksi'!$G$5:$G$92,"Persediaan",'Daftar Koreksi'!$H$5:$H$92,"&lt;0")-SUMIFS('Daftar Koreksi'!$H$5:$H$92,'Daftar Koreksi'!$D$5:$D$92,'1300'!A70,'Daftar Koreksi'!$G$5:$G$92,"Persediaan",'Daftar Koreksi'!$H$5:$H$92,"&lt;0")-SUMIFS('Daftar Koreksi'!$H$5:$H$92,'Daftar Koreksi'!$D$5:$D$92,'1300'!A70,'Daftar Koreksi'!$G$5:$G$92,"Persediaan",'Daftar Koreksi'!$H$5:$H$92,"&lt;0")</f>
        <v>0</v>
      </c>
      <c r="G73" s="17">
        <f>D73+E73-F73</f>
        <v>25000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3492039000</v>
      </c>
      <c r="E74" s="25">
        <f>SUMIFS('Daftar Koreksi'!$H$5:$H$92,'Daftar Koreksi'!$D$5:$D$92,'1300'!A70,'Daftar Koreksi'!$G$5:$G$92,"Tanah",'Daftar Koreksi'!$H$5:$H$92,"&gt;0")</f>
        <v>0</v>
      </c>
      <c r="F74" s="25">
        <f>SUMIFS('Daftar Koreksi'!$H$5:$H$92,'Daftar Koreksi'!$D$5:$D$92,'1300'!A70,'Daftar Koreksi'!$G$5:$G$92,"Tanah",'Daftar Koreksi'!$H$5:$H$92,"&lt;0")-SUMIFS('Daftar Koreksi'!$H$5:$H$92,'Daftar Koreksi'!$D$5:$D$92,'1300'!A70,'Daftar Koreksi'!$G$5:$G$92,"Tanah",'Daftar Koreksi'!$H$5:$H$92,"&lt;0")-SUMIFS('Daftar Koreksi'!$H$5:$H$92,'Daftar Koreksi'!$D$5:$D$92,'1300'!A70,'Daftar Koreksi'!$G$5:$G$92,"Tanah",'Daftar Koreksi'!$H$5:$H$92,"&lt;0")</f>
        <v>0</v>
      </c>
      <c r="G74" s="17">
        <f t="shared" ref="G74:G90" si="3">D74+E74-F74</f>
        <v>3492039000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1220308526</v>
      </c>
      <c r="E75" s="25">
        <f>SUMIFS('Daftar Koreksi'!$H$5:$H$92,'Daftar Koreksi'!$D$5:$D$92,'1300'!A70,'Daftar Koreksi'!$G$5:$G$92,"Peralatan dan mesin",'Daftar Koreksi'!$H$5:$H$92,"&gt;0")</f>
        <v>0</v>
      </c>
      <c r="F75" s="25">
        <f>SUMIFS('Daftar Koreksi'!$H$5:$H$92,'Daftar Koreksi'!$D$5:$D$92,'1300'!A70,'Daftar Koreksi'!$G$5:$G$92,"Peralatan dan mesin",'Daftar Koreksi'!$H$5:$H$92,"&lt;0")-SUMIFS('Daftar Koreksi'!$H$5:$H$92,'Daftar Koreksi'!$D$5:$D$92,'1300'!A70,'Daftar Koreksi'!$G$5:$G$92,"Peralatan dan mesin",'Daftar Koreksi'!$H$5:$H$92,"&lt;0")-SUMIFS('Daftar Koreksi'!$H$5:$H$92,'Daftar Koreksi'!$D$5:$D$92,'1300'!A70,'Daftar Koreksi'!$G$5:$G$92,"Peralatan dan mesin",'Daftar Koreksi'!$H$5:$H$92,"&lt;0")</f>
        <v>0</v>
      </c>
      <c r="G75" s="17">
        <f t="shared" si="3"/>
        <v>1220308526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12090687910</v>
      </c>
      <c r="E76" s="25">
        <f>SUMIFS('Daftar Koreksi'!$H$5:$H$92,'Daftar Koreksi'!$D$5:$D$92,'1300'!A70,'Daftar Koreksi'!$G$5:$G$92,"Gedung dan Bangunan",'Daftar Koreksi'!$H$5:$H$92,"&gt;0")</f>
        <v>0</v>
      </c>
      <c r="F76" s="25">
        <f>SUMIFS('Daftar Koreksi'!$H$5:$H$92,'Daftar Koreksi'!$D$5:$D$92,'1300'!A70,'Daftar Koreksi'!$G$5:$G$92,"Gedung dan Bangunan",'Daftar Koreksi'!$H$5:$H$92,"&lt;0")-SUMIFS('Daftar Koreksi'!$H$5:$H$92,'Daftar Koreksi'!$D$5:$D$92,'1300'!A70,'Daftar Koreksi'!$G$5:$G$92,"Gedung dan Bangunan",'Daftar Koreksi'!$H$5:$H$92,"&lt;0")-SUMIFS('Daftar Koreksi'!$H$5:$H$92,'Daftar Koreksi'!$D$5:$D$92,'1300'!A70,'Daftar Koreksi'!$G$5:$G$92,"Gedung dan Bangunan",'Daftar Koreksi'!$H$5:$H$92,"&lt;0")</f>
        <v>0</v>
      </c>
      <c r="G76" s="17">
        <f t="shared" si="3"/>
        <v>12090687910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749200000</v>
      </c>
      <c r="E77" s="25">
        <f>SUMIFS('Daftar Koreksi'!$H$5:$H$92,'Daftar Koreksi'!$D$5:$D$92,'1300'!A70,'Daftar Koreksi'!$G$5:$G$92,"Jalan Irigasi Jaringan",'Daftar Koreksi'!$H$5:$H$92,"&gt;0")</f>
        <v>0</v>
      </c>
      <c r="F77" s="25">
        <f>SUMIFS('Daftar Koreksi'!$H$5:$H$92,'Daftar Koreksi'!$D$5:$D$92,'1300'!A70,'Daftar Koreksi'!$G$5:$G$92,"Jalan Irigasi Jaringan",'Daftar Koreksi'!$H$5:$H$92,"&lt;0")-SUMIFS('Daftar Koreksi'!$H$5:$H$92,'Daftar Koreksi'!$D$5:$D$92,'1300'!A70,'Daftar Koreksi'!$G$5:$G$92,"Jalan Irigasi Jaringan",'Daftar Koreksi'!$H$5:$H$92,"&lt;0")-SUMIFS('Daftar Koreksi'!$H$5:$H$92,'Daftar Koreksi'!$D$5:$D$92,'1300'!A70,'Daftar Koreksi'!$G$5:$G$92,"Jalan Irigasi Jaringan",'Daftar Koreksi'!$H$5:$H$92,"&lt;0")</f>
        <v>0</v>
      </c>
      <c r="G77" s="17">
        <f t="shared" si="3"/>
        <v>749200000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1756343440</v>
      </c>
      <c r="E78" s="25">
        <f>SUMIFS('Daftar Koreksi'!$H$5:$H$92,'Daftar Koreksi'!$D$5:$D$92,'1300'!A70,'Daftar Koreksi'!$G$5:$G$92,"Aset Tetap Lainnya",'Daftar Koreksi'!$H$5:$H$92,"&gt;0")</f>
        <v>0</v>
      </c>
      <c r="F78" s="25">
        <f>SUMIFS('Daftar Koreksi'!$H$5:$H$92,'Daftar Koreksi'!$D$5:$D$92,'1300'!A70,'Daftar Koreksi'!$G$5:$G$92,"Aset Tetap Lainnya",'Daftar Koreksi'!$H$5:$H$92,"&lt;0")-SUMIFS('Daftar Koreksi'!$H$5:$H$92,'Daftar Koreksi'!$D$5:$D$92,'1300'!A70,'Daftar Koreksi'!$G$5:$G$92,"Aset Tetap Lainnya",'Daftar Koreksi'!$H$5:$H$92,"&lt;0")-SUMIFS('Daftar Koreksi'!$H$5:$H$92,'Daftar Koreksi'!$D$5:$D$92,'1300'!A70,'Daftar Koreksi'!$G$5:$G$92,"Aset Tetap Lainnya",'Daftar Koreksi'!$H$5:$H$92,"&lt;0")</f>
        <v>0</v>
      </c>
      <c r="G78" s="17">
        <f t="shared" si="3"/>
        <v>1756343440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Koreksi'!$D$5:$D$92,'1300'!A70,'Daftar Koreksi'!$G$5:$G$92,"Kontruksi Dalam Pengerjaan",'Daftar Koreksi'!$H$5:$H$92,"&gt;0")</f>
        <v>0</v>
      </c>
      <c r="F79" s="25">
        <f>SUMIFS('Daftar Koreksi'!$H$5:$H$92,'Daftar Koreksi'!$D$5:$D$92,'1300'!A70,'Daftar Koreksi'!$G$5:$G$92,"Kontruksi Dalam Pengerjaan",'Daftar Koreksi'!$H$5:$H$92,"&lt;0")-SUMIFS('Daftar Koreksi'!$H$5:$H$92,'Daftar Koreksi'!$D$5:$D$92,'1300'!A70,'Daftar Koreksi'!$G$5:$G$92,"Kontruksi Dalam Pengerjaan",'Daftar Koreksi'!$H$5:$H$92,"&lt;0")-SUMIFS('Daftar Koreksi'!$H$5:$H$92,'Daftar Koreksi'!$D$5:$D$92,'1300'!A70,'Daftar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Koreksi'!$D$5:$D$92,'1300'!A70,'Daftar Koreksi'!$G$5:$G$92,"Aset Tak Berwujud",'Daftar Koreksi'!$H$5:$H$92,"&gt;0")</f>
        <v>0</v>
      </c>
      <c r="F80" s="25">
        <f>SUMIFS('Daftar Koreksi'!$H$5:$H$92,'Daftar Koreksi'!$D$5:$D$92,'1300'!A70,'Daftar Koreksi'!$G$5:$G$92,"Aset Tak Berwujud",'Daftar Koreksi'!$H$5:$H$92,"&lt;0")-SUMIFS('Daftar Koreksi'!$H$5:$H$92,'Daftar Koreksi'!$D$5:$D$92,'1300'!A70,'Daftar Koreksi'!$G$5:$G$92,"Aset Tak Berwujud",'Daftar Koreksi'!$H$5:$H$92,"&lt;0")-SUMIFS('Daftar Koreksi'!$H$5:$H$92,'Daftar Koreksi'!$D$5:$D$92,'1300'!A70,'Daftar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Koreksi'!$D$5:$D$92,'1300'!A70,'Daftar Koreksi'!$G$5:$G$92,"Aset Henti Guna",'Daftar Koreksi'!$H$5:$H$92,"&gt;0")</f>
        <v>0</v>
      </c>
      <c r="F81" s="25">
        <f>SUMIFS('Daftar Koreksi'!$H$5:$H$92,'Daftar Koreksi'!$D$5:$D$92,'1300'!A70,'Daftar Koreksi'!$G$5:$G$92,"Aset Henti Guna",'Daftar Koreksi'!$H$5:$H$92,"&lt;0")-SUMIFS('Daftar Koreksi'!$H$5:$H$92,'Daftar Koreksi'!$D$5:$D$92,'1300'!A70,'Daftar Koreksi'!$G$5:$G$92,"Aset Henti Guna",'Daftar Koreksi'!$H$5:$H$92,"&lt;0")-SUMIFS('Daftar Koreksi'!$H$5:$H$92,'Daftar Koreksi'!$D$5:$D$92,'1300'!A70,'Daftar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19308603876</v>
      </c>
      <c r="E82" s="19">
        <f>SUM(E73:E81)</f>
        <v>0</v>
      </c>
      <c r="F82" s="19">
        <f>SUM(F73:F81)</f>
        <v>0</v>
      </c>
      <c r="G82" s="19">
        <f t="shared" si="3"/>
        <v>19308603876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-1144258968</v>
      </c>
      <c r="E83" s="25">
        <f>SUMIFS('Daftar Koreksi'!$I$5:$I$92,'Daftar Koreksi'!$D$5:$D$92,'1300'!A70,'Daftar Koreksi'!$G$5:$G$92,"Peralatan dan mesin",'Daftar Koreksi'!$I$5:$I$92,"&gt;0")</f>
        <v>0</v>
      </c>
      <c r="F83" s="25">
        <f>SUMIFS('Daftar Koreksi'!$I$5:$I$92,'Daftar Koreksi'!$D$5:$D$92,'1300'!A70,'Daftar Koreksi'!$G$5:$G$92,"Peralatan dan mesin",'Daftar Koreksi'!$I$5:$I$92,"&lt;0")-SUMIFS('Daftar Koreksi'!$I$5:$I$92,'Daftar Koreksi'!$D$5:$D$92,'1300'!A70,'Daftar Koreksi'!$G$5:$G$92,"Peralatan dan mesin",'Daftar Koreksi'!$I$5:$I$92,"&lt;0")-SUMIFS('Daftar Koreksi'!$I$5:$I$92,'Daftar Koreksi'!$D$5:$D$92,'1300'!A70,'Daftar Koreksi'!$G$5:$G$92,"Peralatan dan mesin",'Daftar Koreksi'!$I$5:$I$92,"&lt;0")</f>
        <v>0</v>
      </c>
      <c r="G83" s="17">
        <f t="shared" si="3"/>
        <v>-1144258968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-487692075</v>
      </c>
      <c r="E84" s="25">
        <f>SUMIFS('Daftar Koreksi'!$I$5:$I$92,'Daftar Koreksi'!$D$5:$D$92,'1300'!A70,'Daftar Koreksi'!$G$5:$G$92,"Gedung dan Bangunan",'Daftar Koreksi'!$I$5:$I$92,"&gt;0")</f>
        <v>0</v>
      </c>
      <c r="F84" s="25">
        <f>SUMIFS('Daftar Koreksi'!$I$5:$I$92,'Daftar Koreksi'!$D$5:$D$92,'1300'!A70,'Daftar Koreksi'!$G$5:$G$92,"Gedung dan Bangunan",'Daftar Koreksi'!$I$5:$I$92,"&lt;0")-SUMIFS('Daftar Koreksi'!$I$5:$I$92,'Daftar Koreksi'!$D$5:$D$92,'1300'!A70,'Daftar Koreksi'!$G$5:$G$92,"Gedung dan Bangunan",'Daftar Koreksi'!$I$5:$I$92,"&lt;0")-SUMIFS('Daftar Koreksi'!$I$5:$I$92,'Daftar Koreksi'!$D$5:$D$92,'1300'!A70,'Daftar Koreksi'!$G$5:$G$92,"Gedung dan Bangunan",'Daftar Koreksi'!$I$5:$I$92,"&lt;0")</f>
        <v>0</v>
      </c>
      <c r="G84" s="17">
        <f t="shared" si="3"/>
        <v>-487692075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-624245000</v>
      </c>
      <c r="E85" s="25">
        <f>SUMIFS('Daftar Koreksi'!$I$5:$I$92,'Daftar Koreksi'!$D$5:$D$92,'1300'!A70,'Daftar Koreksi'!$G$5:$G$92,"Jalan Irigasi Jaringan",'Daftar Koreksi'!$I$5:$I$92,"&gt;0")</f>
        <v>0</v>
      </c>
      <c r="F85" s="25">
        <f>SUMIFS('Daftar Koreksi'!$I$5:$I$92,'Daftar Koreksi'!$D$5:$D$92,'1300'!A70,'Daftar Koreksi'!$G$5:$G$92,"Jalan Irigasi Jaringan",'Daftar Koreksi'!$I$5:$I$92,"&lt;0")-SUMIFS('Daftar Koreksi'!$I$5:$I$92,'Daftar Koreksi'!$D$5:$D$92,'1300'!A70,'Daftar Koreksi'!$G$5:$G$92,"Jalan Irigasi Jaringan",'Daftar Koreksi'!$I$5:$I$92,"&lt;0")-SUMIFS('Daftar Koreksi'!$I$5:$I$92,'Daftar Koreksi'!$D$5:$D$92,'1300'!A70,'Daftar Koreksi'!$G$5:$G$92,"Jalan Irigasi Jaringan",'Daftar Koreksi'!$I$5:$I$92,"&lt;0")</f>
        <v>0</v>
      </c>
      <c r="G85" s="17">
        <f t="shared" si="3"/>
        <v>-624245000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Koreksi'!$D$5:$D$92,'1300'!A70,'Daftar Koreksi'!$G$5:$G$92,"Aset Tetap Lainnya",'Daftar Koreksi'!$I$5:$I$92,"&gt;0")</f>
        <v>0</v>
      </c>
      <c r="F86" s="25">
        <f>SUMIFS('Daftar Koreksi'!$I$5:$I$92,'Daftar Koreksi'!$D$5:$D$92,'1300'!A70,'Daftar Koreksi'!$G$5:$G$92,"Aset Tetap Lainnya",'Daftar Koreksi'!$I$5:$I$92,"&lt;0")-SUMIFS('Daftar Koreksi'!$I$5:$I$92,'Daftar Koreksi'!$D$5:$D$92,'1300'!A70,'Daftar Koreksi'!$G$5:$G$92,"Aset Tetap Lainnya",'Daftar Koreksi'!$I$5:$I$92,"&lt;0")-SUMIFS('Daftar Koreksi'!$I$5:$I$92,'Daftar Koreksi'!$D$5:$D$92,'1300'!A70,'Daftar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Koreksi'!$D$5:$D$92,'1300'!A70,'Daftar Koreksi'!$G$5:$G$92,"Aset Henti Guna",'Daftar Koreksi'!$I$5:$I$92,"&gt;0")</f>
        <v>0</v>
      </c>
      <c r="F87" s="25">
        <f>SUMIFS('Daftar Koreksi'!$I$5:$I$92,'Daftar Koreksi'!$D$5:$D$92,'1300'!A70,'Daftar Koreksi'!$G$5:$G$92,"Aset Henti Guna",'Daftar Koreksi'!$I$5:$I$92,"&lt;0")-SUMIFS('Daftar Koreksi'!$I$5:$I$92,'Daftar Koreksi'!$D$5:$D$92,'1300'!A70,'Daftar Koreksi'!$G$5:$G$92,"Aset Henti Guna",'Daftar Koreksi'!$I$5:$I$92,"&lt;0")-SUMIFS('Daftar Koreksi'!$I$5:$I$92,'Daftar Koreksi'!$D$5:$D$92,'1300'!A70,'Daftar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-2256196043</v>
      </c>
      <c r="E88" s="19">
        <f>SUM(E83:E87)</f>
        <v>0</v>
      </c>
      <c r="F88" s="19">
        <f>SUM(F83:F87)</f>
        <v>0</v>
      </c>
      <c r="G88" s="19">
        <f t="shared" si="3"/>
        <v>-2256196043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17052407833</v>
      </c>
      <c r="E89" s="19">
        <f>E88+E82</f>
        <v>0</v>
      </c>
      <c r="F89" s="19">
        <f>F88+F82</f>
        <v>0</v>
      </c>
      <c r="G89" s="19">
        <f t="shared" si="3"/>
        <v>17052407833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005011300099109000KD</v>
      </c>
      <c r="B92" s="11" t="str">
        <f>P5</f>
        <v>PN. Mempawah</v>
      </c>
      <c r="C92" s="12" t="str">
        <f>A92&amp;" "&amp;B92</f>
        <v>005011300099109000KD PN. Mempawah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2794400</v>
      </c>
      <c r="E95" s="25">
        <f>SUMIFS('Daftar Koreksi'!$H$5:$H$92,'Daftar Koreksi'!$D$5:$D$92,'1300'!A92,'Daftar Koreksi'!$G$5:$G$92,"Persediaan",'Daftar Koreksi'!$H$5:$H$92,"&gt;0")</f>
        <v>0</v>
      </c>
      <c r="F95" s="25">
        <f>SUMIFS('Daftar Koreksi'!$H$5:$H$92,'Daftar Koreksi'!$D$5:$D$92,'1300'!A92,'Daftar Koreksi'!$G$5:$G$92,"Persediaan",'Daftar Koreksi'!$H$5:$H$92,"&lt;0")-SUMIFS('Daftar Koreksi'!$H$5:$H$92,'Daftar Koreksi'!$D$5:$D$92,'1300'!A92,'Daftar Koreksi'!$G$5:$G$92,"Persediaan",'Daftar Koreksi'!$H$5:$H$92,"&lt;0")-SUMIFS('Daftar Koreksi'!$H$5:$H$92,'Daftar Koreksi'!$D$5:$D$92,'1300'!A92,'Daftar Koreksi'!$G$5:$G$92,"Persediaan",'Daftar Koreksi'!$H$5:$H$92,"&lt;0")</f>
        <v>0</v>
      </c>
      <c r="G95" s="17">
        <f>D95+E95-F95</f>
        <v>2794400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1320904000</v>
      </c>
      <c r="E96" s="25">
        <f>SUMIFS('Daftar Koreksi'!$H$5:$H$92,'Daftar Koreksi'!$D$5:$D$92,'1300'!A92,'Daftar Koreksi'!$G$5:$G$92,"Tanah",'Daftar Koreksi'!$H$5:$H$92,"&gt;0")</f>
        <v>0</v>
      </c>
      <c r="F96" s="25">
        <f>SUMIFS('Daftar Koreksi'!$H$5:$H$92,'Daftar Koreksi'!$D$5:$D$92,'1300'!A92,'Daftar Koreksi'!$G$5:$G$92,"Tanah",'Daftar Koreksi'!$H$5:$H$92,"&lt;0")-SUMIFS('Daftar Koreksi'!$H$5:$H$92,'Daftar Koreksi'!$D$5:$D$92,'1300'!A92,'Daftar Koreksi'!$G$5:$G$92,"Tanah",'Daftar Koreksi'!$H$5:$H$92,"&lt;0")-SUMIFS('Daftar Koreksi'!$H$5:$H$92,'Daftar Koreksi'!$D$5:$D$92,'1300'!A92,'Daftar Koreksi'!$G$5:$G$92,"Tanah",'Daftar Koreksi'!$H$5:$H$92,"&lt;0")</f>
        <v>0</v>
      </c>
      <c r="G96" s="17">
        <f t="shared" ref="G96:G112" si="4">D96+E96-F96</f>
        <v>1320904000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1784826216</v>
      </c>
      <c r="E97" s="25">
        <f>SUMIFS('Daftar Koreksi'!$H$5:$H$92,'Daftar Koreksi'!$D$5:$D$92,'1300'!A92,'Daftar Koreksi'!$G$5:$G$92,"Peralatan dan mesin",'Daftar Koreksi'!$H$5:$H$92,"&gt;0")</f>
        <v>0</v>
      </c>
      <c r="F97" s="25">
        <f>SUMIFS('Daftar Koreksi'!$H$5:$H$92,'Daftar Koreksi'!$D$5:$D$92,'1300'!A92,'Daftar Koreksi'!$G$5:$G$92,"Peralatan dan mesin",'Daftar Koreksi'!$H$5:$H$92,"&lt;0")-SUMIFS('Daftar Koreksi'!$H$5:$H$92,'Daftar Koreksi'!$D$5:$D$92,'1300'!A92,'Daftar Koreksi'!$G$5:$G$92,"Peralatan dan mesin",'Daftar Koreksi'!$H$5:$H$92,"&lt;0")-SUMIFS('Daftar Koreksi'!$H$5:$H$92,'Daftar Koreksi'!$D$5:$D$92,'1300'!A92,'Daftar Koreksi'!$G$5:$G$92,"Peralatan dan mesin",'Daftar Koreksi'!$H$5:$H$92,"&lt;0")</f>
        <v>0</v>
      </c>
      <c r="G97" s="17">
        <f t="shared" si="4"/>
        <v>1784826216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9191527000</v>
      </c>
      <c r="E98" s="25">
        <f>SUMIFS('Daftar Koreksi'!$H$5:$H$92,'Daftar Koreksi'!$D$5:$D$92,'1300'!A92,'Daftar Koreksi'!$G$5:$G$92,"Gedung dan Bangunan",'Daftar Koreksi'!$H$5:$H$92,"&gt;0")</f>
        <v>0</v>
      </c>
      <c r="F98" s="25">
        <f>SUMIFS('Daftar Koreksi'!$H$5:$H$92,'Daftar Koreksi'!$D$5:$D$92,'1300'!A92,'Daftar Koreksi'!$G$5:$G$92,"Gedung dan Bangunan",'Daftar Koreksi'!$H$5:$H$92,"&lt;0")-SUMIFS('Daftar Koreksi'!$H$5:$H$92,'Daftar Koreksi'!$D$5:$D$92,'1300'!A92,'Daftar Koreksi'!$G$5:$G$92,"Gedung dan Bangunan",'Daftar Koreksi'!$H$5:$H$92,"&lt;0")-SUMIFS('Daftar Koreksi'!$H$5:$H$92,'Daftar Koreksi'!$D$5:$D$92,'1300'!A92,'Daftar Koreksi'!$G$5:$G$92,"Gedung dan Bangunan",'Daftar Koreksi'!$H$5:$H$92,"&lt;0")</f>
        <v>0</v>
      </c>
      <c r="G98" s="17">
        <f t="shared" si="4"/>
        <v>9191527000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195299600</v>
      </c>
      <c r="E99" s="25">
        <f>SUMIFS('Daftar Koreksi'!$H$5:$H$92,'Daftar Koreksi'!$D$5:$D$92,'1300'!A92,'Daftar Koreksi'!$G$5:$G$92,"Jalan Irigasi Jaringan",'Daftar Koreksi'!$H$5:$H$92,"&gt;0")</f>
        <v>0</v>
      </c>
      <c r="F99" s="25">
        <f>SUMIFS('Daftar Koreksi'!$H$5:$H$92,'Daftar Koreksi'!$D$5:$D$92,'1300'!A92,'Daftar Koreksi'!$G$5:$G$92,"Jalan Irigasi Jaringan",'Daftar Koreksi'!$H$5:$H$92,"&lt;0")-SUMIFS('Daftar Koreksi'!$H$5:$H$92,'Daftar Koreksi'!$D$5:$D$92,'1300'!A92,'Daftar Koreksi'!$G$5:$G$92,"Jalan Irigasi Jaringan",'Daftar Koreksi'!$H$5:$H$92,"&lt;0")-SUMIFS('Daftar Koreksi'!$H$5:$H$92,'Daftar Koreksi'!$D$5:$D$92,'1300'!A92,'Daftar Koreksi'!$G$5:$G$92,"Jalan Irigasi Jaringan",'Daftar Koreksi'!$H$5:$H$92,"&lt;0")</f>
        <v>0</v>
      </c>
      <c r="G99" s="17">
        <f t="shared" si="4"/>
        <v>195299600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1943440</v>
      </c>
      <c r="E100" s="25">
        <f>SUMIFS('Daftar Koreksi'!$H$5:$H$92,'Daftar Koreksi'!$D$5:$D$92,'1300'!A92,'Daftar Koreksi'!$G$5:$G$92,"Aset Tetap Lainnya",'Daftar Koreksi'!$H$5:$H$92,"&gt;0")</f>
        <v>0</v>
      </c>
      <c r="F100" s="25">
        <f>SUMIFS('Daftar Koreksi'!$H$5:$H$92,'Daftar Koreksi'!$D$5:$D$92,'1300'!A92,'Daftar Koreksi'!$G$5:$G$92,"Aset Tetap Lainnya",'Daftar Koreksi'!$H$5:$H$92,"&lt;0")-SUMIFS('Daftar Koreksi'!$H$5:$H$92,'Daftar Koreksi'!$D$5:$D$92,'1300'!A92,'Daftar Koreksi'!$G$5:$G$92,"Aset Tetap Lainnya",'Daftar Koreksi'!$H$5:$H$92,"&lt;0")-SUMIFS('Daftar Koreksi'!$H$5:$H$92,'Daftar Koreksi'!$D$5:$D$92,'1300'!A92,'Daftar Koreksi'!$G$5:$G$92,"Aset Tetap Lainnya",'Daftar Koreksi'!$H$5:$H$92,"&lt;0")</f>
        <v>0</v>
      </c>
      <c r="G100" s="17">
        <f t="shared" si="4"/>
        <v>1943440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Koreksi'!$D$5:$D$92,'1300'!A92,'Daftar Koreksi'!$G$5:$G$92,"Kontruksi Dalam Pengerjaan",'Daftar Koreksi'!$H$5:$H$92,"&gt;0")</f>
        <v>0</v>
      </c>
      <c r="F101" s="25">
        <f>SUMIFS('Daftar Koreksi'!$H$5:$H$92,'Daftar Koreksi'!$D$5:$D$92,'1300'!A92,'Daftar Koreksi'!$G$5:$G$92,"Kontruksi Dalam Pengerjaan",'Daftar Koreksi'!$H$5:$H$92,"&lt;0")-SUMIFS('Daftar Koreksi'!$H$5:$H$92,'Daftar Koreksi'!$D$5:$D$92,'1300'!A92,'Daftar Koreksi'!$G$5:$G$92,"Kontruksi Dalam Pengerjaan",'Daftar Koreksi'!$H$5:$H$92,"&lt;0")-SUMIFS('Daftar Koreksi'!$H$5:$H$92,'Daftar Koreksi'!$D$5:$D$92,'1300'!A92,'Daftar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Koreksi'!$D$5:$D$92,'1300'!A92,'Daftar Koreksi'!$G$5:$G$92,"Aset Tak Berwujud",'Daftar Koreksi'!$H$5:$H$92,"&gt;0")</f>
        <v>0</v>
      </c>
      <c r="F102" s="25">
        <f>SUMIFS('Daftar Koreksi'!$H$5:$H$92,'Daftar Koreksi'!$D$5:$D$92,'1300'!A92,'Daftar Koreksi'!$G$5:$G$92,"Aset Tak Berwujud",'Daftar Koreksi'!$H$5:$H$92,"&lt;0")-SUMIFS('Daftar Koreksi'!$H$5:$H$92,'Daftar Koreksi'!$D$5:$D$92,'1300'!A92,'Daftar Koreksi'!$G$5:$G$92,"Aset Tak Berwujud",'Daftar Koreksi'!$H$5:$H$92,"&lt;0")-SUMIFS('Daftar Koreksi'!$H$5:$H$92,'Daftar Koreksi'!$D$5:$D$92,'1300'!A92,'Daftar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235714</v>
      </c>
      <c r="E103" s="25">
        <f>SUMIFS('Daftar Koreksi'!$H$5:$H$92,'Daftar Koreksi'!$D$5:$D$92,'1300'!A92,'Daftar Koreksi'!$G$5:$G$92,"Aset Henti Guna",'Daftar Koreksi'!$H$5:$H$92,"&gt;0")</f>
        <v>0</v>
      </c>
      <c r="F103" s="25">
        <f>SUMIFS('Daftar Koreksi'!$H$5:$H$92,'Daftar Koreksi'!$D$5:$D$92,'1300'!A92,'Daftar Koreksi'!$G$5:$G$92,"Aset Henti Guna",'Daftar Koreksi'!$H$5:$H$92,"&lt;0")-SUMIFS('Daftar Koreksi'!$H$5:$H$92,'Daftar Koreksi'!$D$5:$D$92,'1300'!A92,'Daftar Koreksi'!$G$5:$G$92,"Aset Henti Guna",'Daftar Koreksi'!$H$5:$H$92,"&lt;0")-SUMIFS('Daftar Koreksi'!$H$5:$H$92,'Daftar Koreksi'!$D$5:$D$92,'1300'!A92,'Daftar Koreksi'!$G$5:$G$92,"Aset Henti Guna",'Daftar Koreksi'!$H$5:$H$92,"&lt;0")</f>
        <v>0</v>
      </c>
      <c r="G103" s="17">
        <f t="shared" si="4"/>
        <v>235714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12497530370</v>
      </c>
      <c r="E104" s="19">
        <f>SUM(E95:E103)</f>
        <v>0</v>
      </c>
      <c r="F104" s="19">
        <f>SUM(F95:F103)</f>
        <v>0</v>
      </c>
      <c r="G104" s="19">
        <f t="shared" si="4"/>
        <v>12497530370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-1421180691</v>
      </c>
      <c r="E105" s="25">
        <f>SUMIFS('Daftar Koreksi'!$I$5:$I$92,'Daftar Koreksi'!$D$5:$D$92,'1300'!A92,'Daftar Koreksi'!$G$5:$G$92,"Peralatan dan mesin",'Daftar Koreksi'!$I$5:$I$92,"&gt;0")</f>
        <v>0</v>
      </c>
      <c r="F105" s="25">
        <f>SUMIFS('Daftar Koreksi'!$I$5:$I$92,'Daftar Koreksi'!$D$5:$D$92,'1300'!A92,'Daftar Koreksi'!$G$5:$G$92,"Peralatan dan mesin",'Daftar Koreksi'!$I$5:$I$92,"&lt;0")-SUMIFS('Daftar Koreksi'!$I$5:$I$92,'Daftar Koreksi'!$D$5:$D$92,'1300'!A92,'Daftar Koreksi'!$G$5:$G$92,"Peralatan dan mesin",'Daftar Koreksi'!$I$5:$I$92,"&lt;0")-SUMIFS('Daftar Koreksi'!$I$5:$I$92,'Daftar Koreksi'!$D$5:$D$92,'1300'!A92,'Daftar Koreksi'!$G$5:$G$92,"Peralatan dan mesin",'Daftar Koreksi'!$I$5:$I$92,"&lt;0")</f>
        <v>0</v>
      </c>
      <c r="G105" s="17">
        <f t="shared" si="4"/>
        <v>-1421180691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-2277654930</v>
      </c>
      <c r="E106" s="25">
        <f>SUMIFS('Daftar Koreksi'!$I$5:$I$92,'Daftar Koreksi'!$D$5:$D$92,'1300'!A92,'Daftar Koreksi'!$G$5:$G$92,"Gedung dan Bangunan",'Daftar Koreksi'!$I$5:$I$92,"&gt;0")</f>
        <v>0</v>
      </c>
      <c r="F106" s="25">
        <f>SUMIFS('Daftar Koreksi'!$I$5:$I$92,'Daftar Koreksi'!$D$5:$D$92,'1300'!A92,'Daftar Koreksi'!$G$5:$G$92,"Gedung dan Bangunan",'Daftar Koreksi'!$I$5:$I$92,"&lt;0")-SUMIFS('Daftar Koreksi'!$I$5:$I$92,'Daftar Koreksi'!$D$5:$D$92,'1300'!A92,'Daftar Koreksi'!$G$5:$G$92,"Gedung dan Bangunan",'Daftar Koreksi'!$I$5:$I$92,"&lt;0")-SUMIFS('Daftar Koreksi'!$I$5:$I$92,'Daftar Koreksi'!$D$5:$D$92,'1300'!A92,'Daftar Koreksi'!$G$5:$G$92,"Gedung dan Bangunan",'Daftar Koreksi'!$I$5:$I$92,"&lt;0")</f>
        <v>0</v>
      </c>
      <c r="G106" s="17">
        <f t="shared" si="4"/>
        <v>-2277654930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-60663715</v>
      </c>
      <c r="E107" s="25">
        <f>SUMIFS('Daftar Koreksi'!$I$5:$I$92,'Daftar Koreksi'!$D$5:$D$92,'1300'!A92,'Daftar Koreksi'!$G$5:$G$92,"Jalan Irigasi Jaringan",'Daftar Koreksi'!$I$5:$I$92,"&gt;0")</f>
        <v>0</v>
      </c>
      <c r="F107" s="25">
        <f>SUMIFS('Daftar Koreksi'!$I$5:$I$92,'Daftar Koreksi'!$D$5:$D$92,'1300'!A92,'Daftar Koreksi'!$G$5:$G$92,"Jalan Irigasi Jaringan",'Daftar Koreksi'!$I$5:$I$92,"&lt;0")-SUMIFS('Daftar Koreksi'!$I$5:$I$92,'Daftar Koreksi'!$D$5:$D$92,'1300'!A92,'Daftar Koreksi'!$G$5:$G$92,"Jalan Irigasi Jaringan",'Daftar Koreksi'!$I$5:$I$92,"&lt;0")-SUMIFS('Daftar Koreksi'!$I$5:$I$92,'Daftar Koreksi'!$D$5:$D$92,'1300'!A92,'Daftar Koreksi'!$G$5:$G$92,"Jalan Irigasi Jaringan",'Daftar Koreksi'!$I$5:$I$92,"&lt;0")</f>
        <v>0</v>
      </c>
      <c r="G107" s="17">
        <f t="shared" si="4"/>
        <v>-60663715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Koreksi'!$D$5:$D$92,'1300'!A92,'Daftar Koreksi'!$G$5:$G$92,"Aset Tetap Lainnya",'Daftar Koreksi'!$I$5:$I$92,"&gt;0")</f>
        <v>0</v>
      </c>
      <c r="F108" s="25">
        <f>SUMIFS('Daftar Koreksi'!$I$5:$I$92,'Daftar Koreksi'!$D$5:$D$92,'1300'!A92,'Daftar Koreksi'!$G$5:$G$92,"Aset Tetap Lainnya",'Daftar Koreksi'!$I$5:$I$92,"&lt;0")-SUMIFS('Daftar Koreksi'!$I$5:$I$92,'Daftar Koreksi'!$D$5:$D$92,'1300'!A92,'Daftar Koreksi'!$G$5:$G$92,"Aset Tetap Lainnya",'Daftar Koreksi'!$I$5:$I$92,"&lt;0")-SUMIFS('Daftar Koreksi'!$I$5:$I$92,'Daftar Koreksi'!$D$5:$D$92,'1300'!A92,'Daftar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-235714</v>
      </c>
      <c r="E109" s="25">
        <f>SUMIFS('Daftar Koreksi'!$I$5:$I$92,'Daftar Koreksi'!$D$5:$D$92,'1300'!A92,'Daftar Koreksi'!$G$5:$G$92,"Aset Henti Guna",'Daftar Koreksi'!$I$5:$I$92,"&gt;0")</f>
        <v>0</v>
      </c>
      <c r="F109" s="25">
        <f>SUMIFS('Daftar Koreksi'!$I$5:$I$92,'Daftar Koreksi'!$D$5:$D$92,'1300'!A92,'Daftar Koreksi'!$G$5:$G$92,"Aset Henti Guna",'Daftar Koreksi'!$I$5:$I$92,"&lt;0")-SUMIFS('Daftar Koreksi'!$I$5:$I$92,'Daftar Koreksi'!$D$5:$D$92,'1300'!A92,'Daftar Koreksi'!$G$5:$G$92,"Aset Henti Guna",'Daftar Koreksi'!$I$5:$I$92,"&lt;0")-SUMIFS('Daftar Koreksi'!$I$5:$I$92,'Daftar Koreksi'!$D$5:$D$92,'1300'!A92,'Daftar Koreksi'!$G$5:$G$92,"Aset Henti Guna",'Daftar Koreksi'!$I$5:$I$92,"&lt;0")</f>
        <v>0</v>
      </c>
      <c r="G109" s="17">
        <f t="shared" si="4"/>
        <v>-235714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-3759735050</v>
      </c>
      <c r="E110" s="19">
        <f>SUM(E105:E109)</f>
        <v>0</v>
      </c>
      <c r="F110" s="19">
        <f>SUM(F105:F109)</f>
        <v>0</v>
      </c>
      <c r="G110" s="19">
        <f t="shared" si="4"/>
        <v>-3759735050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8737795320</v>
      </c>
      <c r="E111" s="19">
        <f>E110+E104</f>
        <v>0</v>
      </c>
      <c r="F111" s="19">
        <f>F110+F104</f>
        <v>0</v>
      </c>
      <c r="G111" s="19">
        <f t="shared" si="4"/>
        <v>8737795320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005011300099113000KD</v>
      </c>
      <c r="B114" s="11" t="str">
        <f>P6</f>
        <v>PN. Sanggau</v>
      </c>
      <c r="C114" s="12" t="str">
        <f>A114&amp;" "&amp;B114</f>
        <v>005011300099113000KD PN. Sanggau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352000</v>
      </c>
      <c r="E117" s="25">
        <f>SUMIFS('Daftar Koreksi'!$H$5:$H$92,'Daftar Koreksi'!$D$5:$D$92,'1300'!A114,'Daftar Koreksi'!$G$5:$G$92,"Persediaan",'Daftar Koreksi'!$H$5:$H$92,"&gt;0")</f>
        <v>0</v>
      </c>
      <c r="F117" s="25">
        <f>SUMIFS('Daftar Koreksi'!$H$5:$H$92,'Daftar Koreksi'!$D$5:$D$92,'1300'!A114,'Daftar Koreksi'!$G$5:$G$92,"Persediaan",'Daftar Koreksi'!$H$5:$H$92,"&lt;0")-SUMIFS('Daftar Koreksi'!$H$5:$H$92,'Daftar Koreksi'!$D$5:$D$92,'1300'!A114,'Daftar Koreksi'!$G$5:$G$92,"Persediaan",'Daftar Koreksi'!$H$5:$H$92,"&lt;0")-SUMIFS('Daftar Koreksi'!$H$5:$H$92,'Daftar Koreksi'!$D$5:$D$92,'1300'!A114,'Daftar Koreksi'!$G$5:$G$92,"Persediaan",'Daftar Koreksi'!$H$5:$H$92,"&lt;0")</f>
        <v>0</v>
      </c>
      <c r="G117" s="17">
        <f>D117+E117-F117</f>
        <v>352000</v>
      </c>
      <c r="H117" s="121" t="str">
        <f>IF(ISNA(VLOOKUP(A114,'Mutasi Neraca'!$A$3:$S$914,19,FALSE)),"-",VLOOKUP(A114,'Mutasi Neraca'!$A$3:$S$914,19,FALSE))</f>
        <v>TP. No 4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1210600000</v>
      </c>
      <c r="E118" s="25">
        <f>SUMIFS('Daftar Koreksi'!$H$5:$H$92,'Daftar Koreksi'!$D$5:$D$92,'1300'!A114,'Daftar Koreksi'!$G$5:$G$92,"Tanah",'Daftar Koreksi'!$H$5:$H$92,"&gt;0")</f>
        <v>0</v>
      </c>
      <c r="F118" s="25">
        <f>SUMIFS('Daftar Koreksi'!$H$5:$H$92,'Daftar Koreksi'!$D$5:$D$92,'1300'!A114,'Daftar Koreksi'!$G$5:$G$92,"Tanah",'Daftar Koreksi'!$H$5:$H$92,"&lt;0")-SUMIFS('Daftar Koreksi'!$H$5:$H$92,'Daftar Koreksi'!$D$5:$D$92,'1300'!A114,'Daftar Koreksi'!$G$5:$G$92,"Tanah",'Daftar Koreksi'!$H$5:$H$92,"&lt;0")-SUMIFS('Daftar Koreksi'!$H$5:$H$92,'Daftar Koreksi'!$D$5:$D$92,'1300'!A114,'Daftar Koreksi'!$G$5:$G$92,"Tanah",'Daftar Koreksi'!$H$5:$H$92,"&lt;0")</f>
        <v>0</v>
      </c>
      <c r="G118" s="17">
        <f t="shared" ref="G118:G134" si="5">D118+E118-F118</f>
        <v>1210600000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1180108351</v>
      </c>
      <c r="E119" s="25">
        <f>SUMIFS('Daftar Koreksi'!$H$5:$H$92,'Daftar Koreksi'!$D$5:$D$92,'1300'!A114,'Daftar Koreksi'!$G$5:$G$92,"Peralatan dan mesin",'Daftar Koreksi'!$H$5:$H$92,"&gt;0")</f>
        <v>3895309</v>
      </c>
      <c r="F119" s="25">
        <f>SUMIFS('Daftar Koreksi'!$H$5:$H$92,'Daftar Koreksi'!$D$5:$D$92,'1300'!A114,'Daftar Koreksi'!$G$5:$G$92,"Peralatan dan mesin",'Daftar Koreksi'!$H$5:$H$92,"&lt;0")-SUMIFS('Daftar Koreksi'!$H$5:$H$92,'Daftar Koreksi'!$D$5:$D$92,'1300'!A114,'Daftar Koreksi'!$G$5:$G$92,"Peralatan dan mesin",'Daftar Koreksi'!$H$5:$H$92,"&lt;0")-SUMIFS('Daftar Koreksi'!$H$5:$H$92,'Daftar Koreksi'!$D$5:$D$92,'1300'!A114,'Daftar Koreksi'!$G$5:$G$92,"Peralatan dan mesin",'Daftar Koreksi'!$H$5:$H$92,"&lt;0")</f>
        <v>0</v>
      </c>
      <c r="G119" s="17">
        <f t="shared" si="5"/>
        <v>1184003660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2506739759</v>
      </c>
      <c r="E120" s="25">
        <f>SUMIFS('Daftar Koreksi'!$H$5:$H$92,'Daftar Koreksi'!$D$5:$D$92,'1300'!A114,'Daftar Koreksi'!$G$5:$G$92,"Gedung dan Bangunan",'Daftar Koreksi'!$H$5:$H$92,"&gt;0")</f>
        <v>0</v>
      </c>
      <c r="F120" s="25">
        <f>SUMIFS('Daftar Koreksi'!$H$5:$H$92,'Daftar Koreksi'!$D$5:$D$92,'1300'!A114,'Daftar Koreksi'!$G$5:$G$92,"Gedung dan Bangunan",'Daftar Koreksi'!$H$5:$H$92,"&lt;0")-SUMIFS('Daftar Koreksi'!$H$5:$H$92,'Daftar Koreksi'!$D$5:$D$92,'1300'!A114,'Daftar Koreksi'!$G$5:$G$92,"Gedung dan Bangunan",'Daftar Koreksi'!$H$5:$H$92,"&lt;0")-SUMIFS('Daftar Koreksi'!$H$5:$H$92,'Daftar Koreksi'!$D$5:$D$92,'1300'!A114,'Daftar Koreksi'!$G$5:$G$92,"Gedung dan Bangunan",'Daftar Koreksi'!$H$5:$H$92,"&lt;0")</f>
        <v>0</v>
      </c>
      <c r="G120" s="17">
        <f t="shared" si="5"/>
        <v>2506739759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93070000</v>
      </c>
      <c r="E121" s="25">
        <f>SUMIFS('Daftar Koreksi'!$H$5:$H$92,'Daftar Koreksi'!$D$5:$D$92,'1300'!A114,'Daftar Koreksi'!$G$5:$G$92,"Jalan Irigasi Jaringan",'Daftar Koreksi'!$H$5:$H$92,"&gt;0")</f>
        <v>0</v>
      </c>
      <c r="F121" s="25">
        <f>SUMIFS('Daftar Koreksi'!$H$5:$H$92,'Daftar Koreksi'!$D$5:$D$92,'1300'!A114,'Daftar Koreksi'!$G$5:$G$92,"Jalan Irigasi Jaringan",'Daftar Koreksi'!$H$5:$H$92,"&lt;0")-SUMIFS('Daftar Koreksi'!$H$5:$H$92,'Daftar Koreksi'!$D$5:$D$92,'1300'!A114,'Daftar Koreksi'!$G$5:$G$92,"Jalan Irigasi Jaringan",'Daftar Koreksi'!$H$5:$H$92,"&lt;0")-SUMIFS('Daftar Koreksi'!$H$5:$H$92,'Daftar Koreksi'!$D$5:$D$92,'1300'!A114,'Daftar Koreksi'!$G$5:$G$92,"Jalan Irigasi Jaringan",'Daftar Koreksi'!$H$5:$H$92,"&lt;0")</f>
        <v>0</v>
      </c>
      <c r="G121" s="17">
        <f t="shared" si="5"/>
        <v>93070000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4626840</v>
      </c>
      <c r="E122" s="25">
        <f>SUMIFS('Daftar Koreksi'!$H$5:$H$92,'Daftar Koreksi'!$D$5:$D$92,'1300'!A114,'Daftar Koreksi'!$G$5:$G$92,"Aset Tetap Lainnya",'Daftar Koreksi'!$H$5:$H$92,"&gt;0")</f>
        <v>0</v>
      </c>
      <c r="F122" s="25">
        <f>SUMIFS('Daftar Koreksi'!$H$5:$H$92,'Daftar Koreksi'!$D$5:$D$92,'1300'!A114,'Daftar Koreksi'!$G$5:$G$92,"Aset Tetap Lainnya",'Daftar Koreksi'!$H$5:$H$92,"&lt;0")-SUMIFS('Daftar Koreksi'!$H$5:$H$92,'Daftar Koreksi'!$D$5:$D$92,'1300'!A114,'Daftar Koreksi'!$G$5:$G$92,"Aset Tetap Lainnya",'Daftar Koreksi'!$H$5:$H$92,"&lt;0")-SUMIFS('Daftar Koreksi'!$H$5:$H$92,'Daftar Koreksi'!$D$5:$D$92,'1300'!A114,'Daftar Koreksi'!$G$5:$G$92,"Aset Tetap Lainnya",'Daftar Koreksi'!$H$5:$H$92,"&lt;0")</f>
        <v>0</v>
      </c>
      <c r="G122" s="17">
        <f t="shared" si="5"/>
        <v>4626840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Koreksi'!$D$5:$D$92,'1300'!A114,'Daftar Koreksi'!$G$5:$G$92,"Kontruksi Dalam Pengerjaan",'Daftar Koreksi'!$H$5:$H$92,"&gt;0")</f>
        <v>0</v>
      </c>
      <c r="F123" s="25">
        <f>SUMIFS('Daftar Koreksi'!$H$5:$H$92,'Daftar Koreksi'!$D$5:$D$92,'1300'!A114,'Daftar Koreksi'!$G$5:$G$92,"Kontruksi Dalam Pengerjaan",'Daftar Koreksi'!$H$5:$H$92,"&lt;0")-SUMIFS('Daftar Koreksi'!$H$5:$H$92,'Daftar Koreksi'!$D$5:$D$92,'1300'!A114,'Daftar Koreksi'!$G$5:$G$92,"Kontruksi Dalam Pengerjaan",'Daftar Koreksi'!$H$5:$H$92,"&lt;0")-SUMIFS('Daftar Koreksi'!$H$5:$H$92,'Daftar Koreksi'!$D$5:$D$92,'1300'!A114,'Daftar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Koreksi'!$D$5:$D$92,'1300'!A114,'Daftar Koreksi'!$G$5:$G$92,"Aset Tak Berwujud",'Daftar Koreksi'!$H$5:$H$92,"&gt;0")</f>
        <v>0</v>
      </c>
      <c r="F124" s="25">
        <f>SUMIFS('Daftar Koreksi'!$H$5:$H$92,'Daftar Koreksi'!$D$5:$D$92,'1300'!A114,'Daftar Koreksi'!$G$5:$G$92,"Aset Tak Berwujud",'Daftar Koreksi'!$H$5:$H$92,"&lt;0")-SUMIFS('Daftar Koreksi'!$H$5:$H$92,'Daftar Koreksi'!$D$5:$D$92,'1300'!A114,'Daftar Koreksi'!$G$5:$G$92,"Aset Tak Berwujud",'Daftar Koreksi'!$H$5:$H$92,"&lt;0")-SUMIFS('Daftar Koreksi'!$H$5:$H$92,'Daftar Koreksi'!$D$5:$D$92,'1300'!A114,'Daftar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391725151</v>
      </c>
      <c r="E125" s="25">
        <f>SUMIFS('Daftar Koreksi'!$H$5:$H$92,'Daftar Koreksi'!$D$5:$D$92,'1300'!A114,'Daftar Koreksi'!$G$5:$G$92,"Aset Henti Guna",'Daftar Koreksi'!$H$5:$H$92,"&gt;0")</f>
        <v>0</v>
      </c>
      <c r="F125" s="25">
        <f>SUMIFS('Daftar Koreksi'!$H$5:$H$92,'Daftar Koreksi'!$D$5:$D$92,'1300'!A114,'Daftar Koreksi'!$G$5:$G$92,"Aset Henti Guna",'Daftar Koreksi'!$H$5:$H$92,"&lt;0")-SUMIFS('Daftar Koreksi'!$H$5:$H$92,'Daftar Koreksi'!$D$5:$D$92,'1300'!A114,'Daftar Koreksi'!$G$5:$G$92,"Aset Henti Guna",'Daftar Koreksi'!$H$5:$H$92,"&lt;0")-SUMIFS('Daftar Koreksi'!$H$5:$H$92,'Daftar Koreksi'!$D$5:$D$92,'1300'!A114,'Daftar Koreksi'!$G$5:$G$92,"Aset Henti Guna",'Daftar Koreksi'!$H$5:$H$92,"&lt;0")</f>
        <v>0</v>
      </c>
      <c r="G125" s="17">
        <f t="shared" si="5"/>
        <v>391725151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5387222101</v>
      </c>
      <c r="E126" s="19">
        <f>SUM(E117:E125)</f>
        <v>3895309</v>
      </c>
      <c r="F126" s="19">
        <f>SUM(F117:F125)</f>
        <v>0</v>
      </c>
      <c r="G126" s="19">
        <f t="shared" si="5"/>
        <v>5391117410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-1089823846</v>
      </c>
      <c r="E127" s="25">
        <f>SUMIFS('Daftar Koreksi'!$I$5:$I$92,'Daftar Koreksi'!$D$5:$D$92,'1300'!A114,'Daftar Koreksi'!$G$5:$G$92,"Peralatan dan mesin",'Daftar Koreksi'!$I$5:$I$92,"&gt;0")</f>
        <v>0</v>
      </c>
      <c r="F127" s="25">
        <f>SUMIFS('Daftar Koreksi'!$I$5:$I$92,'Daftar Koreksi'!$D$5:$D$92,'1300'!A114,'Daftar Koreksi'!$G$5:$G$92,"Peralatan dan mesin",'Daftar Koreksi'!$I$5:$I$92,"&lt;0")-SUMIFS('Daftar Koreksi'!$I$5:$I$92,'Daftar Koreksi'!$D$5:$D$92,'1300'!A114,'Daftar Koreksi'!$G$5:$G$92,"Peralatan dan mesin",'Daftar Koreksi'!$I$5:$I$92,"&lt;0")-SUMIFS('Daftar Koreksi'!$I$5:$I$92,'Daftar Koreksi'!$D$5:$D$92,'1300'!A114,'Daftar Koreksi'!$G$5:$G$92,"Peralatan dan mesin",'Daftar Koreksi'!$I$5:$I$92,"&lt;0")</f>
        <v>389531</v>
      </c>
      <c r="G127" s="17">
        <f t="shared" si="5"/>
        <v>-1090213377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-639480261</v>
      </c>
      <c r="E128" s="25">
        <f>SUMIFS('Daftar Koreksi'!$I$5:$I$92,'Daftar Koreksi'!$D$5:$D$92,'1300'!A114,'Daftar Koreksi'!$G$5:$G$92,"Gedung dan Bangunan",'Daftar Koreksi'!$I$5:$I$92,"&gt;0")</f>
        <v>0</v>
      </c>
      <c r="F128" s="25">
        <f>SUMIFS('Daftar Koreksi'!$I$5:$I$92,'Daftar Koreksi'!$D$5:$D$92,'1300'!A114,'Daftar Koreksi'!$G$5:$G$92,"Gedung dan Bangunan",'Daftar Koreksi'!$I$5:$I$92,"&lt;0")-SUMIFS('Daftar Koreksi'!$I$5:$I$92,'Daftar Koreksi'!$D$5:$D$92,'1300'!A114,'Daftar Koreksi'!$G$5:$G$92,"Gedung dan Bangunan",'Daftar Koreksi'!$I$5:$I$92,"&lt;0")-SUMIFS('Daftar Koreksi'!$I$5:$I$92,'Daftar Koreksi'!$D$5:$D$92,'1300'!A114,'Daftar Koreksi'!$G$5:$G$92,"Gedung dan Bangunan",'Daftar Koreksi'!$I$5:$I$92,"&lt;0")</f>
        <v>0</v>
      </c>
      <c r="G128" s="17">
        <f t="shared" si="5"/>
        <v>-639480261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-79660000</v>
      </c>
      <c r="E129" s="25">
        <f>SUMIFS('Daftar Koreksi'!$I$5:$I$92,'Daftar Koreksi'!$D$5:$D$92,'1300'!A114,'Daftar Koreksi'!$G$5:$G$92,"Jalan Irigasi Jaringan",'Daftar Koreksi'!$I$5:$I$92,"&gt;0")</f>
        <v>0</v>
      </c>
      <c r="F129" s="25">
        <f>SUMIFS('Daftar Koreksi'!$I$5:$I$92,'Daftar Koreksi'!$D$5:$D$92,'1300'!A114,'Daftar Koreksi'!$G$5:$G$92,"Jalan Irigasi Jaringan",'Daftar Koreksi'!$I$5:$I$92,"&lt;0")-SUMIFS('Daftar Koreksi'!$I$5:$I$92,'Daftar Koreksi'!$D$5:$D$92,'1300'!A114,'Daftar Koreksi'!$G$5:$G$92,"Jalan Irigasi Jaringan",'Daftar Koreksi'!$I$5:$I$92,"&lt;0")-SUMIFS('Daftar Koreksi'!$I$5:$I$92,'Daftar Koreksi'!$D$5:$D$92,'1300'!A114,'Daftar Koreksi'!$G$5:$G$92,"Jalan Irigasi Jaringan",'Daftar Koreksi'!$I$5:$I$92,"&lt;0")</f>
        <v>0</v>
      </c>
      <c r="G129" s="17">
        <f t="shared" si="5"/>
        <v>-79660000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Koreksi'!$D$5:$D$92,'1300'!A114,'Daftar Koreksi'!$G$5:$G$92,"Aset Tetap Lainnya",'Daftar Koreksi'!$I$5:$I$92,"&gt;0")</f>
        <v>0</v>
      </c>
      <c r="F130" s="25">
        <f>SUMIFS('Daftar Koreksi'!$I$5:$I$92,'Daftar Koreksi'!$D$5:$D$92,'1300'!A114,'Daftar Koreksi'!$G$5:$G$92,"Aset Tetap Lainnya",'Daftar Koreksi'!$I$5:$I$92,"&lt;0")-SUMIFS('Daftar Koreksi'!$I$5:$I$92,'Daftar Koreksi'!$D$5:$D$92,'1300'!A114,'Daftar Koreksi'!$G$5:$G$92,"Aset Tetap Lainnya",'Daftar Koreksi'!$I$5:$I$92,"&lt;0")-SUMIFS('Daftar Koreksi'!$I$5:$I$92,'Daftar Koreksi'!$D$5:$D$92,'1300'!A114,'Daftar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-155419740</v>
      </c>
      <c r="E131" s="25">
        <f>SUMIFS('Daftar Koreksi'!$I$5:$I$92,'Daftar Koreksi'!$D$5:$D$92,'1300'!A114,'Daftar Koreksi'!$G$5:$G$92,"Aset Henti Guna",'Daftar Koreksi'!$I$5:$I$92,"&gt;0")</f>
        <v>0</v>
      </c>
      <c r="F131" s="25">
        <f>SUMIFS('Daftar Koreksi'!$I$5:$I$92,'Daftar Koreksi'!$D$5:$D$92,'1300'!A114,'Daftar Koreksi'!$G$5:$G$92,"Aset Henti Guna",'Daftar Koreksi'!$I$5:$I$92,"&lt;0")-SUMIFS('Daftar Koreksi'!$I$5:$I$92,'Daftar Koreksi'!$D$5:$D$92,'1300'!A114,'Daftar Koreksi'!$G$5:$G$92,"Aset Henti Guna",'Daftar Koreksi'!$I$5:$I$92,"&lt;0")-SUMIFS('Daftar Koreksi'!$I$5:$I$92,'Daftar Koreksi'!$D$5:$D$92,'1300'!A114,'Daftar Koreksi'!$G$5:$G$92,"Aset Henti Guna",'Daftar Koreksi'!$I$5:$I$92,"&lt;0")</f>
        <v>0</v>
      </c>
      <c r="G131" s="17">
        <f t="shared" si="5"/>
        <v>-155419740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-1964383847</v>
      </c>
      <c r="E132" s="19">
        <f>SUM(E127:E131)</f>
        <v>0</v>
      </c>
      <c r="F132" s="19">
        <f>SUM(F127:F131)</f>
        <v>389531</v>
      </c>
      <c r="G132" s="19">
        <f t="shared" si="5"/>
        <v>-1964773378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3422838254</v>
      </c>
      <c r="E133" s="19">
        <f>E132+E126</f>
        <v>3895309</v>
      </c>
      <c r="F133" s="19">
        <f>F132+F126</f>
        <v>389531</v>
      </c>
      <c r="G133" s="19">
        <f t="shared" si="5"/>
        <v>3426344032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005011300400194000KD</v>
      </c>
      <c r="B136" s="11" t="str">
        <f>P7</f>
        <v>PN. Putussibau</v>
      </c>
      <c r="C136" s="12" t="str">
        <f>A136&amp;" "&amp;B136</f>
        <v>005011300400194000KD PN. Putussibau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1767800</v>
      </c>
      <c r="E139" s="25">
        <f>SUMIFS('Daftar Koreksi'!$H$5:$H$92,'Daftar Koreksi'!$D$5:$D$92,'1300'!A136,'Daftar Koreksi'!$G$5:$G$92,"Persediaan",'Daftar Koreksi'!$H$5:$H$92,"&gt;0")</f>
        <v>0</v>
      </c>
      <c r="F139" s="25">
        <f>SUMIFS('Daftar Koreksi'!$H$5:$H$92,'Daftar Koreksi'!$D$5:$D$92,'1300'!A136,'Daftar Koreksi'!$G$5:$G$92,"Persediaan",'Daftar Koreksi'!$H$5:$H$92,"&lt;0")-SUMIFS('Daftar Koreksi'!$H$5:$H$92,'Daftar Koreksi'!$D$5:$D$92,'1300'!A136,'Daftar Koreksi'!$G$5:$G$92,"Persediaan",'Daftar Koreksi'!$H$5:$H$92,"&lt;0")-SUMIFS('Daftar Koreksi'!$H$5:$H$92,'Daftar Koreksi'!$D$5:$D$92,'1300'!A136,'Daftar Koreksi'!$G$5:$G$92,"Persediaan",'Daftar Koreksi'!$H$5:$H$92,"&lt;0")</f>
        <v>0</v>
      </c>
      <c r="G139" s="17">
        <f>D139+E139-F139</f>
        <v>1767800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3050782000</v>
      </c>
      <c r="E140" s="25">
        <f>SUMIFS('Daftar Koreksi'!$H$5:$H$92,'Daftar Koreksi'!$D$5:$D$92,'1300'!A136,'Daftar Koreksi'!$G$5:$G$92,"Tanah",'Daftar Koreksi'!$H$5:$H$92,"&gt;0")</f>
        <v>0</v>
      </c>
      <c r="F140" s="25">
        <f>SUMIFS('Daftar Koreksi'!$H$5:$H$92,'Daftar Koreksi'!$D$5:$D$92,'1300'!A136,'Daftar Koreksi'!$G$5:$G$92,"Tanah",'Daftar Koreksi'!$H$5:$H$92,"&lt;0")-SUMIFS('Daftar Koreksi'!$H$5:$H$92,'Daftar Koreksi'!$D$5:$D$92,'1300'!A136,'Daftar Koreksi'!$G$5:$G$92,"Tanah",'Daftar Koreksi'!$H$5:$H$92,"&lt;0")-SUMIFS('Daftar Koreksi'!$H$5:$H$92,'Daftar Koreksi'!$D$5:$D$92,'1300'!A136,'Daftar Koreksi'!$G$5:$G$92,"Tanah",'Daftar Koreksi'!$H$5:$H$92,"&lt;0")</f>
        <v>0</v>
      </c>
      <c r="G140" s="17">
        <f t="shared" ref="G140:G156" si="6">D140+E140-F140</f>
        <v>3050782000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1282580993</v>
      </c>
      <c r="E141" s="25">
        <f>SUMIFS('Daftar Koreksi'!$H$5:$H$92,'Daftar Koreksi'!$D$5:$D$92,'1300'!A136,'Daftar Koreksi'!$G$5:$G$92,"Peralatan dan mesin",'Daftar Koreksi'!$H$5:$H$92,"&gt;0")</f>
        <v>0</v>
      </c>
      <c r="F141" s="25">
        <f>SUMIFS('Daftar Koreksi'!$H$5:$H$92,'Daftar Koreksi'!$D$5:$D$92,'1300'!A136,'Daftar Koreksi'!$G$5:$G$92,"Peralatan dan mesin",'Daftar Koreksi'!$H$5:$H$92,"&lt;0")-SUMIFS('Daftar Koreksi'!$H$5:$H$92,'Daftar Koreksi'!$D$5:$D$92,'1300'!A136,'Daftar Koreksi'!$G$5:$G$92,"Peralatan dan mesin",'Daftar Koreksi'!$H$5:$H$92,"&lt;0")-SUMIFS('Daftar Koreksi'!$H$5:$H$92,'Daftar Koreksi'!$D$5:$D$92,'1300'!A136,'Daftar Koreksi'!$G$5:$G$92,"Peralatan dan mesin",'Daftar Koreksi'!$H$5:$H$92,"&lt;0")</f>
        <v>0</v>
      </c>
      <c r="G141" s="17">
        <f t="shared" si="6"/>
        <v>1282580993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15240580471</v>
      </c>
      <c r="E142" s="25">
        <f>SUMIFS('Daftar Koreksi'!$H$5:$H$92,'Daftar Koreksi'!$D$5:$D$92,'1300'!A136,'Daftar Koreksi'!$G$5:$G$92,"Gedung dan Bangunan",'Daftar Koreksi'!$H$5:$H$92,"&gt;0")</f>
        <v>0</v>
      </c>
      <c r="F142" s="25">
        <f>SUMIFS('Daftar Koreksi'!$H$5:$H$92,'Daftar Koreksi'!$D$5:$D$92,'1300'!A136,'Daftar Koreksi'!$G$5:$G$92,"Gedung dan Bangunan",'Daftar Koreksi'!$H$5:$H$92,"&lt;0")-SUMIFS('Daftar Koreksi'!$H$5:$H$92,'Daftar Koreksi'!$D$5:$D$92,'1300'!A136,'Daftar Koreksi'!$G$5:$G$92,"Gedung dan Bangunan",'Daftar Koreksi'!$H$5:$H$92,"&lt;0")-SUMIFS('Daftar Koreksi'!$H$5:$H$92,'Daftar Koreksi'!$D$5:$D$92,'1300'!A136,'Daftar Koreksi'!$G$5:$G$92,"Gedung dan Bangunan",'Daftar Koreksi'!$H$5:$H$92,"&lt;0")</f>
        <v>0</v>
      </c>
      <c r="G142" s="17">
        <f t="shared" si="6"/>
        <v>15240580471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Koreksi'!$D$5:$D$92,'1300'!A136,'Daftar Koreksi'!$G$5:$G$92,"Jalan Irigasi Jaringan",'Daftar Koreksi'!$H$5:$H$92,"&gt;0")</f>
        <v>0</v>
      </c>
      <c r="F143" s="25">
        <f>SUMIFS('Daftar Koreksi'!$H$5:$H$92,'Daftar Koreksi'!$D$5:$D$92,'1300'!A136,'Daftar Koreksi'!$G$5:$G$92,"Jalan Irigasi Jaringan",'Daftar Koreksi'!$H$5:$H$92,"&lt;0")-SUMIFS('Daftar Koreksi'!$H$5:$H$92,'Daftar Koreksi'!$D$5:$D$92,'1300'!A136,'Daftar Koreksi'!$G$5:$G$92,"Jalan Irigasi Jaringan",'Daftar Koreksi'!$H$5:$H$92,"&lt;0")-SUMIFS('Daftar Koreksi'!$H$5:$H$92,'Daftar Koreksi'!$D$5:$D$92,'1300'!A136,'Daftar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1943440</v>
      </c>
      <c r="E144" s="25">
        <f>SUMIFS('Daftar Koreksi'!$H$5:$H$92,'Daftar Koreksi'!$D$5:$D$92,'1300'!A136,'Daftar Koreksi'!$G$5:$G$92,"Aset Tetap Lainnya",'Daftar Koreksi'!$H$5:$H$92,"&gt;0")</f>
        <v>0</v>
      </c>
      <c r="F144" s="25">
        <f>SUMIFS('Daftar Koreksi'!$H$5:$H$92,'Daftar Koreksi'!$D$5:$D$92,'1300'!A136,'Daftar Koreksi'!$G$5:$G$92,"Aset Tetap Lainnya",'Daftar Koreksi'!$H$5:$H$92,"&lt;0")-SUMIFS('Daftar Koreksi'!$H$5:$H$92,'Daftar Koreksi'!$D$5:$D$92,'1300'!A136,'Daftar Koreksi'!$G$5:$G$92,"Aset Tetap Lainnya",'Daftar Koreksi'!$H$5:$H$92,"&lt;0")-SUMIFS('Daftar Koreksi'!$H$5:$H$92,'Daftar Koreksi'!$D$5:$D$92,'1300'!A136,'Daftar Koreksi'!$G$5:$G$92,"Aset Tetap Lainnya",'Daftar Koreksi'!$H$5:$H$92,"&lt;0")</f>
        <v>0</v>
      </c>
      <c r="G144" s="17">
        <f t="shared" si="6"/>
        <v>1943440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Koreksi'!$D$5:$D$92,'1300'!A136,'Daftar Koreksi'!$G$5:$G$92,"Kontruksi Dalam Pengerjaan",'Daftar Koreksi'!$H$5:$H$92,"&gt;0")</f>
        <v>0</v>
      </c>
      <c r="F145" s="25">
        <f>SUMIFS('Daftar Koreksi'!$H$5:$H$92,'Daftar Koreksi'!$D$5:$D$92,'1300'!A136,'Daftar Koreksi'!$G$5:$G$92,"Kontruksi Dalam Pengerjaan",'Daftar Koreksi'!$H$5:$H$92,"&lt;0")-SUMIFS('Daftar Koreksi'!$H$5:$H$92,'Daftar Koreksi'!$D$5:$D$92,'1300'!A136,'Daftar Koreksi'!$G$5:$G$92,"Kontruksi Dalam Pengerjaan",'Daftar Koreksi'!$H$5:$H$92,"&lt;0")-SUMIFS('Daftar Koreksi'!$H$5:$H$92,'Daftar Koreksi'!$D$5:$D$92,'1300'!A136,'Daftar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Koreksi'!$D$5:$D$92,'1300'!A136,'Daftar Koreksi'!$G$5:$G$92,"Aset Tak Berwujud",'Daftar Koreksi'!$H$5:$H$92,"&gt;0")</f>
        <v>0</v>
      </c>
      <c r="F146" s="25">
        <f>SUMIFS('Daftar Koreksi'!$H$5:$H$92,'Daftar Koreksi'!$D$5:$D$92,'1300'!A136,'Daftar Koreksi'!$G$5:$G$92,"Aset Tak Berwujud",'Daftar Koreksi'!$H$5:$H$92,"&lt;0")-SUMIFS('Daftar Koreksi'!$H$5:$H$92,'Daftar Koreksi'!$D$5:$D$92,'1300'!A136,'Daftar Koreksi'!$G$5:$G$92,"Aset Tak Berwujud",'Daftar Koreksi'!$H$5:$H$92,"&lt;0")-SUMIFS('Daftar Koreksi'!$H$5:$H$92,'Daftar Koreksi'!$D$5:$D$92,'1300'!A136,'Daftar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215476325</v>
      </c>
      <c r="E147" s="25">
        <f>SUMIFS('Daftar Koreksi'!$H$5:$H$92,'Daftar Koreksi'!$D$5:$D$92,'1300'!A136,'Daftar Koreksi'!$G$5:$G$92,"Aset Henti Guna",'Daftar Koreksi'!$H$5:$H$92,"&gt;0")</f>
        <v>0</v>
      </c>
      <c r="F147" s="25">
        <f>SUMIFS('Daftar Koreksi'!$H$5:$H$92,'Daftar Koreksi'!$D$5:$D$92,'1300'!A136,'Daftar Koreksi'!$G$5:$G$92,"Aset Henti Guna",'Daftar Koreksi'!$H$5:$H$92,"&lt;0")-SUMIFS('Daftar Koreksi'!$H$5:$H$92,'Daftar Koreksi'!$D$5:$D$92,'1300'!A136,'Daftar Koreksi'!$G$5:$G$92,"Aset Henti Guna",'Daftar Koreksi'!$H$5:$H$92,"&lt;0")-SUMIFS('Daftar Koreksi'!$H$5:$H$92,'Daftar Koreksi'!$D$5:$D$92,'1300'!A136,'Daftar Koreksi'!$G$5:$G$92,"Aset Henti Guna",'Daftar Koreksi'!$H$5:$H$92,"&lt;0")</f>
        <v>0</v>
      </c>
      <c r="G147" s="17">
        <f t="shared" si="6"/>
        <v>215476325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19793131029</v>
      </c>
      <c r="E148" s="19">
        <f>SUM(E139:E147)</f>
        <v>0</v>
      </c>
      <c r="F148" s="19">
        <f>SUM(F139:F147)</f>
        <v>0</v>
      </c>
      <c r="G148" s="19">
        <f t="shared" si="6"/>
        <v>19793131029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-1110264590</v>
      </c>
      <c r="E149" s="25">
        <f>SUMIFS('Daftar Koreksi'!$I$5:$I$92,'Daftar Koreksi'!$D$5:$D$92,'1300'!A136,'Daftar Koreksi'!$G$5:$G$92,"Peralatan dan mesin",'Daftar Koreksi'!$I$5:$I$92,"&gt;0")</f>
        <v>0</v>
      </c>
      <c r="F149" s="25">
        <f>SUMIFS('Daftar Koreksi'!$I$5:$I$92,'Daftar Koreksi'!$D$5:$D$92,'1300'!A136,'Daftar Koreksi'!$G$5:$G$92,"Peralatan dan mesin",'Daftar Koreksi'!$I$5:$I$92,"&lt;0")-SUMIFS('Daftar Koreksi'!$I$5:$I$92,'Daftar Koreksi'!$D$5:$D$92,'1300'!A136,'Daftar Koreksi'!$G$5:$G$92,"Peralatan dan mesin",'Daftar Koreksi'!$I$5:$I$92,"&lt;0")-SUMIFS('Daftar Koreksi'!$I$5:$I$92,'Daftar Koreksi'!$D$5:$D$92,'1300'!A136,'Daftar Koreksi'!$G$5:$G$92,"Peralatan dan mesin",'Daftar Koreksi'!$I$5:$I$92,"&lt;0")</f>
        <v>0</v>
      </c>
      <c r="G149" s="17">
        <f t="shared" si="6"/>
        <v>-1110264590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-320182856</v>
      </c>
      <c r="E150" s="25">
        <f>SUMIFS('Daftar Koreksi'!$I$5:$I$92,'Daftar Koreksi'!$D$5:$D$92,'1300'!A136,'Daftar Koreksi'!$G$5:$G$92,"Gedung dan Bangunan",'Daftar Koreksi'!$I$5:$I$92,"&gt;0")</f>
        <v>0</v>
      </c>
      <c r="F150" s="25">
        <f>SUMIFS('Daftar Koreksi'!$I$5:$I$92,'Daftar Koreksi'!$D$5:$D$92,'1300'!A136,'Daftar Koreksi'!$G$5:$G$92,"Gedung dan Bangunan",'Daftar Koreksi'!$I$5:$I$92,"&lt;0")-SUMIFS('Daftar Koreksi'!$I$5:$I$92,'Daftar Koreksi'!$D$5:$D$92,'1300'!A136,'Daftar Koreksi'!$G$5:$G$92,"Gedung dan Bangunan",'Daftar Koreksi'!$I$5:$I$92,"&lt;0")-SUMIFS('Daftar Koreksi'!$I$5:$I$92,'Daftar Koreksi'!$D$5:$D$92,'1300'!A136,'Daftar Koreksi'!$G$5:$G$92,"Gedung dan Bangunan",'Daftar Koreksi'!$I$5:$I$92,"&lt;0")</f>
        <v>0</v>
      </c>
      <c r="G150" s="17">
        <f t="shared" si="6"/>
        <v>-320182856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Koreksi'!$D$5:$D$92,'1300'!A136,'Daftar Koreksi'!$G$5:$G$92,"Jalan Irigasi Jaringan",'Daftar Koreksi'!$I$5:$I$92,"&gt;0")</f>
        <v>0</v>
      </c>
      <c r="F151" s="25">
        <f>SUMIFS('Daftar Koreksi'!$I$5:$I$92,'Daftar Koreksi'!$D$5:$D$92,'1300'!A136,'Daftar Koreksi'!$G$5:$G$92,"Jalan Irigasi Jaringan",'Daftar Koreksi'!$I$5:$I$92,"&lt;0")-SUMIFS('Daftar Koreksi'!$I$5:$I$92,'Daftar Koreksi'!$D$5:$D$92,'1300'!A136,'Daftar Koreksi'!$G$5:$G$92,"Jalan Irigasi Jaringan",'Daftar Koreksi'!$I$5:$I$92,"&lt;0")-SUMIFS('Daftar Koreksi'!$I$5:$I$92,'Daftar Koreksi'!$D$5:$D$92,'1300'!A136,'Daftar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Koreksi'!$D$5:$D$92,'1300'!A136,'Daftar Koreksi'!$G$5:$G$92,"Aset Tetap Lainnya",'Daftar Koreksi'!$I$5:$I$92,"&gt;0")</f>
        <v>0</v>
      </c>
      <c r="F152" s="25">
        <f>SUMIFS('Daftar Koreksi'!$I$5:$I$92,'Daftar Koreksi'!$D$5:$D$92,'1300'!A136,'Daftar Koreksi'!$G$5:$G$92,"Aset Tetap Lainnya",'Daftar Koreksi'!$I$5:$I$92,"&lt;0")-SUMIFS('Daftar Koreksi'!$I$5:$I$92,'Daftar Koreksi'!$D$5:$D$92,'1300'!A136,'Daftar Koreksi'!$G$5:$G$92,"Aset Tetap Lainnya",'Daftar Koreksi'!$I$5:$I$92,"&lt;0")-SUMIFS('Daftar Koreksi'!$I$5:$I$92,'Daftar Koreksi'!$D$5:$D$92,'1300'!A136,'Daftar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-173422951</v>
      </c>
      <c r="E153" s="25">
        <f>SUMIFS('Daftar Koreksi'!$I$5:$I$92,'Daftar Koreksi'!$D$5:$D$92,'1300'!A136,'Daftar Koreksi'!$G$5:$G$92,"Aset Henti Guna",'Daftar Koreksi'!$I$5:$I$92,"&gt;0")</f>
        <v>0</v>
      </c>
      <c r="F153" s="25">
        <f>SUMIFS('Daftar Koreksi'!$I$5:$I$92,'Daftar Koreksi'!$D$5:$D$92,'1300'!A136,'Daftar Koreksi'!$G$5:$G$92,"Aset Henti Guna",'Daftar Koreksi'!$I$5:$I$92,"&lt;0")-SUMIFS('Daftar Koreksi'!$I$5:$I$92,'Daftar Koreksi'!$D$5:$D$92,'1300'!A136,'Daftar Koreksi'!$G$5:$G$92,"Aset Henti Guna",'Daftar Koreksi'!$I$5:$I$92,"&lt;0")-SUMIFS('Daftar Koreksi'!$I$5:$I$92,'Daftar Koreksi'!$D$5:$D$92,'1300'!A136,'Daftar Koreksi'!$G$5:$G$92,"Aset Henti Guna",'Daftar Koreksi'!$I$5:$I$92,"&lt;0")</f>
        <v>0</v>
      </c>
      <c r="G153" s="17">
        <f t="shared" si="6"/>
        <v>-173422951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-1603870397</v>
      </c>
      <c r="E154" s="19">
        <f>SUM(E149:E153)</f>
        <v>0</v>
      </c>
      <c r="F154" s="19">
        <f>SUM(F149:F153)</f>
        <v>0</v>
      </c>
      <c r="G154" s="19">
        <f t="shared" si="6"/>
        <v>-1603870397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18189260632</v>
      </c>
      <c r="E155" s="19">
        <f>E154+E148</f>
        <v>0</v>
      </c>
      <c r="F155" s="19">
        <f>F154+F148</f>
        <v>0</v>
      </c>
      <c r="G155" s="19">
        <f t="shared" si="6"/>
        <v>18189260632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005011300400251000KD</v>
      </c>
      <c r="B158" s="11" t="str">
        <f>P8</f>
        <v>PT. Pontianak</v>
      </c>
      <c r="C158" s="12" t="str">
        <f>A158&amp;" "&amp;B158</f>
        <v>005011300400251000KD PT. Pontianak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20072200</v>
      </c>
      <c r="E161" s="25">
        <f>SUMIFS('Daftar Koreksi'!$H$5:$H$92,'Daftar Koreksi'!$D$5:$D$92,'1300'!A158,'Daftar Koreksi'!$G$5:$G$92,"Persediaan",'Daftar Koreksi'!$H$5:$H$92,"&gt;0")</f>
        <v>0</v>
      </c>
      <c r="F161" s="25">
        <f>SUMIFS('Daftar Koreksi'!$H$5:$H$92,'Daftar Koreksi'!$D$5:$D$92,'1300'!A158,'Daftar Koreksi'!$G$5:$G$92,"Persediaan",'Daftar Koreksi'!$H$5:$H$92,"&lt;0")-SUMIFS('Daftar Koreksi'!$H$5:$H$92,'Daftar Koreksi'!$D$5:$D$92,'1300'!A158,'Daftar Koreksi'!$G$5:$G$92,"Persediaan",'Daftar Koreksi'!$H$5:$H$92,"&lt;0")-SUMIFS('Daftar Koreksi'!$H$5:$H$92,'Daftar Koreksi'!$D$5:$D$92,'1300'!A158,'Daftar Koreksi'!$G$5:$G$92,"Persediaan",'Daftar Koreksi'!$H$5:$H$92,"&lt;0")</f>
        <v>0</v>
      </c>
      <c r="G161" s="17">
        <f>D161+E161-F161</f>
        <v>20072200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25099438074</v>
      </c>
      <c r="E162" s="25">
        <f>SUMIFS('Daftar Koreksi'!$H$5:$H$92,'Daftar Koreksi'!$D$5:$D$92,'1300'!A158,'Daftar Koreksi'!$G$5:$G$92,"Tanah",'Daftar Koreksi'!$H$5:$H$92,"&gt;0")</f>
        <v>0</v>
      </c>
      <c r="F162" s="25">
        <f>SUMIFS('Daftar Koreksi'!$H$5:$H$92,'Daftar Koreksi'!$D$5:$D$92,'1300'!A158,'Daftar Koreksi'!$G$5:$G$92,"Tanah",'Daftar Koreksi'!$H$5:$H$92,"&lt;0")-SUMIFS('Daftar Koreksi'!$H$5:$H$92,'Daftar Koreksi'!$D$5:$D$92,'1300'!A158,'Daftar Koreksi'!$G$5:$G$92,"Tanah",'Daftar Koreksi'!$H$5:$H$92,"&lt;0")-SUMIFS('Daftar Koreksi'!$H$5:$H$92,'Daftar Koreksi'!$D$5:$D$92,'1300'!A158,'Daftar Koreksi'!$G$5:$G$92,"Tanah",'Daftar Koreksi'!$H$5:$H$92,"&lt;0")</f>
        <v>0</v>
      </c>
      <c r="G162" s="17">
        <f t="shared" ref="G162:G178" si="7">D162+E162-F162</f>
        <v>25099438074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5372392341</v>
      </c>
      <c r="E163" s="25">
        <f>SUMIFS('Daftar Koreksi'!$H$5:$H$92,'Daftar Koreksi'!$D$5:$D$92,'1300'!A158,'Daftar Koreksi'!$G$5:$G$92,"Peralatan dan mesin",'Daftar Koreksi'!$H$5:$H$92,"&gt;0")</f>
        <v>0</v>
      </c>
      <c r="F163" s="25">
        <f>SUMIFS('Daftar Koreksi'!$H$5:$H$92,'Daftar Koreksi'!$D$5:$D$92,'1300'!A158,'Daftar Koreksi'!$G$5:$G$92,"Peralatan dan mesin",'Daftar Koreksi'!$H$5:$H$92,"&lt;0")-SUMIFS('Daftar Koreksi'!$H$5:$H$92,'Daftar Koreksi'!$D$5:$D$92,'1300'!A158,'Daftar Koreksi'!$G$5:$G$92,"Peralatan dan mesin",'Daftar Koreksi'!$H$5:$H$92,"&lt;0")-SUMIFS('Daftar Koreksi'!$H$5:$H$92,'Daftar Koreksi'!$D$5:$D$92,'1300'!A158,'Daftar Koreksi'!$G$5:$G$92,"Peralatan dan mesin",'Daftar Koreksi'!$H$5:$H$92,"&lt;0")</f>
        <v>0</v>
      </c>
      <c r="G163" s="17">
        <f t="shared" si="7"/>
        <v>5372392341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31423049125</v>
      </c>
      <c r="E164" s="25">
        <f>SUMIFS('Daftar Koreksi'!$H$5:$H$92,'Daftar Koreksi'!$D$5:$D$92,'1300'!A158,'Daftar Koreksi'!$G$5:$G$92,"Gedung dan Bangunan",'Daftar Koreksi'!$H$5:$H$92,"&gt;0")</f>
        <v>0</v>
      </c>
      <c r="F164" s="25">
        <f>SUMIFS('Daftar Koreksi'!$H$5:$H$92,'Daftar Koreksi'!$D$5:$D$92,'1300'!A158,'Daftar Koreksi'!$G$5:$G$92,"Gedung dan Bangunan",'Daftar Koreksi'!$H$5:$H$92,"&lt;0")-SUMIFS('Daftar Koreksi'!$H$5:$H$92,'Daftar Koreksi'!$D$5:$D$92,'1300'!A158,'Daftar Koreksi'!$G$5:$G$92,"Gedung dan Bangunan",'Daftar Koreksi'!$H$5:$H$92,"&lt;0")-SUMIFS('Daftar Koreksi'!$H$5:$H$92,'Daftar Koreksi'!$D$5:$D$92,'1300'!A158,'Daftar Koreksi'!$G$5:$G$92,"Gedung dan Bangunan",'Daftar Koreksi'!$H$5:$H$92,"&lt;0")</f>
        <v>0</v>
      </c>
      <c r="G164" s="17">
        <f t="shared" si="7"/>
        <v>31423049125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Koreksi'!$D$5:$D$92,'1300'!A158,'Daftar Koreksi'!$G$5:$G$92,"Jalan Irigasi Jaringan",'Daftar Koreksi'!$H$5:$H$92,"&gt;0")</f>
        <v>0</v>
      </c>
      <c r="F165" s="25">
        <f>SUMIFS('Daftar Koreksi'!$H$5:$H$92,'Daftar Koreksi'!$D$5:$D$92,'1300'!A158,'Daftar Koreksi'!$G$5:$G$92,"Jalan Irigasi Jaringan",'Daftar Koreksi'!$H$5:$H$92,"&lt;0")-SUMIFS('Daftar Koreksi'!$H$5:$H$92,'Daftar Koreksi'!$D$5:$D$92,'1300'!A158,'Daftar Koreksi'!$G$5:$G$92,"Jalan Irigasi Jaringan",'Daftar Koreksi'!$H$5:$H$92,"&lt;0")-SUMIFS('Daftar Koreksi'!$H$5:$H$92,'Daftar Koreksi'!$D$5:$D$92,'1300'!A158,'Daftar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4772120</v>
      </c>
      <c r="E166" s="25">
        <f>SUMIFS('Daftar Koreksi'!$H$5:$H$92,'Daftar Koreksi'!$D$5:$D$92,'1300'!A158,'Daftar Koreksi'!$G$5:$G$92,"Aset Tetap Lainnya",'Daftar Koreksi'!$H$5:$H$92,"&gt;0")</f>
        <v>0</v>
      </c>
      <c r="F166" s="25">
        <f>SUMIFS('Daftar Koreksi'!$H$5:$H$92,'Daftar Koreksi'!$D$5:$D$92,'1300'!A158,'Daftar Koreksi'!$G$5:$G$92,"Aset Tetap Lainnya",'Daftar Koreksi'!$H$5:$H$92,"&lt;0")-SUMIFS('Daftar Koreksi'!$H$5:$H$92,'Daftar Koreksi'!$D$5:$D$92,'1300'!A158,'Daftar Koreksi'!$G$5:$G$92,"Aset Tetap Lainnya",'Daftar Koreksi'!$H$5:$H$92,"&lt;0")-SUMIFS('Daftar Koreksi'!$H$5:$H$92,'Daftar Koreksi'!$D$5:$D$92,'1300'!A158,'Daftar Koreksi'!$G$5:$G$92,"Aset Tetap Lainnya",'Daftar Koreksi'!$H$5:$H$92,"&lt;0")</f>
        <v>0</v>
      </c>
      <c r="G166" s="17">
        <f t="shared" si="7"/>
        <v>4772120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Koreksi'!$D$5:$D$92,'1300'!A158,'Daftar Koreksi'!$G$5:$G$92,"Kontruksi Dalam Pengerjaan",'Daftar Koreksi'!$H$5:$H$92,"&gt;0")</f>
        <v>0</v>
      </c>
      <c r="F167" s="25">
        <f>SUMIFS('Daftar Koreksi'!$H$5:$H$92,'Daftar Koreksi'!$D$5:$D$92,'1300'!A158,'Daftar Koreksi'!$G$5:$G$92,"Kontruksi Dalam Pengerjaan",'Daftar Koreksi'!$H$5:$H$92,"&lt;0")-SUMIFS('Daftar Koreksi'!$H$5:$H$92,'Daftar Koreksi'!$D$5:$D$92,'1300'!A158,'Daftar Koreksi'!$G$5:$G$92,"Kontruksi Dalam Pengerjaan",'Daftar Koreksi'!$H$5:$H$92,"&lt;0")-SUMIFS('Daftar Koreksi'!$H$5:$H$92,'Daftar Koreksi'!$D$5:$D$92,'1300'!A158,'Daftar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Koreksi'!$D$5:$D$92,'1300'!A158,'Daftar Koreksi'!$G$5:$G$92,"Aset Tak Berwujud",'Daftar Koreksi'!$H$5:$H$92,"&gt;0")</f>
        <v>0</v>
      </c>
      <c r="F168" s="25">
        <f>SUMIFS('Daftar Koreksi'!$H$5:$H$92,'Daftar Koreksi'!$D$5:$D$92,'1300'!A158,'Daftar Koreksi'!$G$5:$G$92,"Aset Tak Berwujud",'Daftar Koreksi'!$H$5:$H$92,"&lt;0")-SUMIFS('Daftar Koreksi'!$H$5:$H$92,'Daftar Koreksi'!$D$5:$D$92,'1300'!A158,'Daftar Koreksi'!$G$5:$G$92,"Aset Tak Berwujud",'Daftar Koreksi'!$H$5:$H$92,"&lt;0")-SUMIFS('Daftar Koreksi'!$H$5:$H$92,'Daftar Koreksi'!$D$5:$D$92,'1300'!A158,'Daftar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43690024</v>
      </c>
      <c r="E169" s="25">
        <f>SUMIFS('Daftar Koreksi'!$H$5:$H$92,'Daftar Koreksi'!$D$5:$D$92,'1300'!A158,'Daftar Koreksi'!$G$5:$G$92,"Aset Henti Guna",'Daftar Koreksi'!$H$5:$H$92,"&gt;0")</f>
        <v>0</v>
      </c>
      <c r="F169" s="25">
        <f>SUMIFS('Daftar Koreksi'!$H$5:$H$92,'Daftar Koreksi'!$D$5:$D$92,'1300'!A158,'Daftar Koreksi'!$G$5:$G$92,"Aset Henti Guna",'Daftar Koreksi'!$H$5:$H$92,"&lt;0")-SUMIFS('Daftar Koreksi'!$H$5:$H$92,'Daftar Koreksi'!$D$5:$D$92,'1300'!A158,'Daftar Koreksi'!$G$5:$G$92,"Aset Henti Guna",'Daftar Koreksi'!$H$5:$H$92,"&lt;0")-SUMIFS('Daftar Koreksi'!$H$5:$H$92,'Daftar Koreksi'!$D$5:$D$92,'1300'!A158,'Daftar Koreksi'!$G$5:$G$92,"Aset Henti Guna",'Daftar Koreksi'!$H$5:$H$92,"&lt;0")</f>
        <v>0</v>
      </c>
      <c r="G169" s="17">
        <f t="shared" si="7"/>
        <v>43690024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61963413884</v>
      </c>
      <c r="E170" s="19">
        <f>SUM(E161:E169)</f>
        <v>0</v>
      </c>
      <c r="F170" s="19">
        <f>SUM(F161:F169)</f>
        <v>0</v>
      </c>
      <c r="G170" s="19">
        <f t="shared" si="7"/>
        <v>61963413884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-5022944998</v>
      </c>
      <c r="E171" s="25">
        <f>SUMIFS('Daftar Koreksi'!$I$5:$I$92,'Daftar Koreksi'!$D$5:$D$92,'1300'!A158,'Daftar Koreksi'!$G$5:$G$92,"Peralatan dan mesin",'Daftar Koreksi'!$I$5:$I$92,"&gt;0")</f>
        <v>0</v>
      </c>
      <c r="F171" s="25">
        <f>SUMIFS('Daftar Koreksi'!$I$5:$I$92,'Daftar Koreksi'!$D$5:$D$92,'1300'!A158,'Daftar Koreksi'!$G$5:$G$92,"Peralatan dan mesin",'Daftar Koreksi'!$I$5:$I$92,"&lt;0")-SUMIFS('Daftar Koreksi'!$I$5:$I$92,'Daftar Koreksi'!$D$5:$D$92,'1300'!A158,'Daftar Koreksi'!$G$5:$G$92,"Peralatan dan mesin",'Daftar Koreksi'!$I$5:$I$92,"&lt;0")-SUMIFS('Daftar Koreksi'!$I$5:$I$92,'Daftar Koreksi'!$D$5:$D$92,'1300'!A158,'Daftar Koreksi'!$G$5:$G$92,"Peralatan dan mesin",'Daftar Koreksi'!$I$5:$I$92,"&lt;0")</f>
        <v>0</v>
      </c>
      <c r="G171" s="17">
        <f t="shared" si="7"/>
        <v>-5022944998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-2476971944</v>
      </c>
      <c r="E172" s="25">
        <f>SUMIFS('Daftar Koreksi'!$I$5:$I$92,'Daftar Koreksi'!$D$5:$D$92,'1300'!A158,'Daftar Koreksi'!$G$5:$G$92,"Gedung dan Bangunan",'Daftar Koreksi'!$I$5:$I$92,"&gt;0")</f>
        <v>0</v>
      </c>
      <c r="F172" s="25">
        <f>SUMIFS('Daftar Koreksi'!$I$5:$I$92,'Daftar Koreksi'!$D$5:$D$92,'1300'!A158,'Daftar Koreksi'!$G$5:$G$92,"Gedung dan Bangunan",'Daftar Koreksi'!$I$5:$I$92,"&lt;0")-SUMIFS('Daftar Koreksi'!$I$5:$I$92,'Daftar Koreksi'!$D$5:$D$92,'1300'!A158,'Daftar Koreksi'!$G$5:$G$92,"Gedung dan Bangunan",'Daftar Koreksi'!$I$5:$I$92,"&lt;0")-SUMIFS('Daftar Koreksi'!$I$5:$I$92,'Daftar Koreksi'!$D$5:$D$92,'1300'!A158,'Daftar Koreksi'!$G$5:$G$92,"Gedung dan Bangunan",'Daftar Koreksi'!$I$5:$I$92,"&lt;0")</f>
        <v>0</v>
      </c>
      <c r="G172" s="17">
        <f t="shared" si="7"/>
        <v>-2476971944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Koreksi'!$D$5:$D$92,'1300'!A158,'Daftar Koreksi'!$G$5:$G$92,"Jalan Irigasi Jaringan",'Daftar Koreksi'!$I$5:$I$92,"&gt;0")</f>
        <v>0</v>
      </c>
      <c r="F173" s="25">
        <f>SUMIFS('Daftar Koreksi'!$I$5:$I$92,'Daftar Koreksi'!$D$5:$D$92,'1300'!A158,'Daftar Koreksi'!$G$5:$G$92,"Jalan Irigasi Jaringan",'Daftar Koreksi'!$I$5:$I$92,"&lt;0")-SUMIFS('Daftar Koreksi'!$I$5:$I$92,'Daftar Koreksi'!$D$5:$D$92,'1300'!A158,'Daftar Koreksi'!$G$5:$G$92,"Jalan Irigasi Jaringan",'Daftar Koreksi'!$I$5:$I$92,"&lt;0")-SUMIFS('Daftar Koreksi'!$I$5:$I$92,'Daftar Koreksi'!$D$5:$D$92,'1300'!A158,'Daftar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Koreksi'!$D$5:$D$92,'1300'!A158,'Daftar Koreksi'!$G$5:$G$92,"Aset Tetap Lainnya",'Daftar Koreksi'!$I$5:$I$92,"&gt;0")</f>
        <v>0</v>
      </c>
      <c r="F174" s="25">
        <f>SUMIFS('Daftar Koreksi'!$I$5:$I$92,'Daftar Koreksi'!$D$5:$D$92,'1300'!A158,'Daftar Koreksi'!$G$5:$G$92,"Aset Tetap Lainnya",'Daftar Koreksi'!$I$5:$I$92,"&lt;0")-SUMIFS('Daftar Koreksi'!$I$5:$I$92,'Daftar Koreksi'!$D$5:$D$92,'1300'!A158,'Daftar Koreksi'!$G$5:$G$92,"Aset Tetap Lainnya",'Daftar Koreksi'!$I$5:$I$92,"&lt;0")-SUMIFS('Daftar Koreksi'!$I$5:$I$92,'Daftar Koreksi'!$D$5:$D$92,'1300'!A158,'Daftar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-43690024</v>
      </c>
      <c r="E175" s="25">
        <f>SUMIFS('Daftar Koreksi'!$I$5:$I$92,'Daftar Koreksi'!$D$5:$D$92,'1300'!A158,'Daftar Koreksi'!$G$5:$G$92,"Aset Henti Guna",'Daftar Koreksi'!$I$5:$I$92,"&gt;0")</f>
        <v>0</v>
      </c>
      <c r="F175" s="25">
        <f>SUMIFS('Daftar Koreksi'!$I$5:$I$92,'Daftar Koreksi'!$D$5:$D$92,'1300'!A158,'Daftar Koreksi'!$G$5:$G$92,"Aset Henti Guna",'Daftar Koreksi'!$I$5:$I$92,"&lt;0")-SUMIFS('Daftar Koreksi'!$I$5:$I$92,'Daftar Koreksi'!$D$5:$D$92,'1300'!A158,'Daftar Koreksi'!$G$5:$G$92,"Aset Henti Guna",'Daftar Koreksi'!$I$5:$I$92,"&lt;0")-SUMIFS('Daftar Koreksi'!$I$5:$I$92,'Daftar Koreksi'!$D$5:$D$92,'1300'!A158,'Daftar Koreksi'!$G$5:$G$92,"Aset Henti Guna",'Daftar Koreksi'!$I$5:$I$92,"&lt;0")</f>
        <v>0</v>
      </c>
      <c r="G175" s="17">
        <f t="shared" si="7"/>
        <v>-43690024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-7543606966</v>
      </c>
      <c r="E176" s="19">
        <f>SUM(E171:E175)</f>
        <v>0</v>
      </c>
      <c r="F176" s="19">
        <f>SUM(F171:F175)</f>
        <v>0</v>
      </c>
      <c r="G176" s="19">
        <f t="shared" si="7"/>
        <v>-7543606966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54419806918</v>
      </c>
      <c r="E177" s="19">
        <f>E176+E170</f>
        <v>0</v>
      </c>
      <c r="F177" s="19">
        <f>F176+F170</f>
        <v>0</v>
      </c>
      <c r="G177" s="19">
        <f t="shared" si="7"/>
        <v>54419806918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005011300402361000KD</v>
      </c>
      <c r="B180" s="11" t="str">
        <f>P9</f>
        <v>PA. Pontianak</v>
      </c>
      <c r="C180" s="12" t="str">
        <f>A180&amp;" "&amp;B180</f>
        <v>005011300402361000KD PA. Pontianak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6367650</v>
      </c>
      <c r="E183" s="25">
        <f>SUMIFS('Daftar Koreksi'!$H$5:$H$92,'Daftar Koreksi'!$D$5:$D$92,'1300'!A180,'Daftar Koreksi'!$G$5:$G$92,"Persediaan",'Daftar Koreksi'!$H$5:$H$92,"&gt;0")</f>
        <v>0</v>
      </c>
      <c r="F183" s="25">
        <f>SUMIFS('Daftar Koreksi'!$H$5:$H$92,'Daftar Koreksi'!$D$5:$D$92,'1300'!A180,'Daftar Koreksi'!$G$5:$G$92,"Persediaan",'Daftar Koreksi'!$H$5:$H$92,"&lt;0")-SUMIFS('Daftar Koreksi'!$H$5:$H$92,'Daftar Koreksi'!$D$5:$D$92,'1300'!A180,'Daftar Koreksi'!$G$5:$G$92,"Persediaan",'Daftar Koreksi'!$H$5:$H$92,"&lt;0")-SUMIFS('Daftar Koreksi'!$H$5:$H$92,'Daftar Koreksi'!$D$5:$D$92,'1300'!A180,'Daftar Koreksi'!$G$5:$G$92,"Persediaan",'Daftar Koreksi'!$H$5:$H$92,"&lt;0")</f>
        <v>0</v>
      </c>
      <c r="G183" s="17">
        <f>D183+E183-F183</f>
        <v>6367650</v>
      </c>
      <c r="H183" s="121" t="str">
        <f>IF(ISNA(VLOOKUP(A180,'Mutasi Neraca'!$A$3:$S$914,19,FALSE)),"-",VLOOKUP(A180,'Mutasi Neraca'!$A$3:$S$914,19,FALSE))</f>
        <v>TP. No 4, TP Koreksi Hibah No. 18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13517978000</v>
      </c>
      <c r="E184" s="25">
        <f>SUMIFS('Daftar Koreksi'!$H$5:$H$92,'Daftar Koreksi'!$D$5:$D$92,'1300'!A180,'Daftar Koreksi'!$G$5:$G$92,"Tanah",'Daftar Koreksi'!$H$5:$H$92,"&gt;0")</f>
        <v>0</v>
      </c>
      <c r="F184" s="25">
        <f>SUMIFS('Daftar Koreksi'!$H$5:$H$92,'Daftar Koreksi'!$D$5:$D$92,'1300'!A180,'Daftar Koreksi'!$G$5:$G$92,"Tanah",'Daftar Koreksi'!$H$5:$H$92,"&lt;0")-SUMIFS('Daftar Koreksi'!$H$5:$H$92,'Daftar Koreksi'!$D$5:$D$92,'1300'!A180,'Daftar Koreksi'!$G$5:$G$92,"Tanah",'Daftar Koreksi'!$H$5:$H$92,"&lt;0")-SUMIFS('Daftar Koreksi'!$H$5:$H$92,'Daftar Koreksi'!$D$5:$D$92,'1300'!A180,'Daftar Koreksi'!$G$5:$G$92,"Tanah",'Daftar Koreksi'!$H$5:$H$92,"&lt;0")</f>
        <v>0</v>
      </c>
      <c r="G184" s="17">
        <f t="shared" ref="G184:G200" si="8">D184+E184-F184</f>
        <v>13517978000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2493204704</v>
      </c>
      <c r="E185" s="25">
        <f>SUMIFS('Daftar Koreksi'!$H$5:$H$92,'Daftar Koreksi'!$D$5:$D$92,'1300'!A180,'Daftar Koreksi'!$G$5:$G$92,"Peralatan dan mesin",'Daftar Koreksi'!$H$5:$H$92,"&gt;0")</f>
        <v>3895309</v>
      </c>
      <c r="F185" s="25">
        <f>SUMIFS('Daftar Koreksi'!$H$5:$H$92,'Daftar Koreksi'!$D$5:$D$92,'1300'!A180,'Daftar Koreksi'!$G$5:$G$92,"Peralatan dan mesin",'Daftar Koreksi'!$H$5:$H$92,"&lt;0")-SUMIFS('Daftar Koreksi'!$H$5:$H$92,'Daftar Koreksi'!$D$5:$D$92,'1300'!A180,'Daftar Koreksi'!$G$5:$G$92,"Peralatan dan mesin",'Daftar Koreksi'!$H$5:$H$92,"&lt;0")-SUMIFS('Daftar Koreksi'!$H$5:$H$92,'Daftar Koreksi'!$D$5:$D$92,'1300'!A180,'Daftar Koreksi'!$G$5:$G$92,"Peralatan dan mesin",'Daftar Koreksi'!$H$5:$H$92,"&lt;0")</f>
        <v>0</v>
      </c>
      <c r="G185" s="17">
        <f t="shared" si="8"/>
        <v>2497100013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8572782800</v>
      </c>
      <c r="E186" s="25">
        <f>SUMIFS('Daftar Koreksi'!$H$5:$H$92,'Daftar Koreksi'!$D$5:$D$92,'1300'!A180,'Daftar Koreksi'!$G$5:$G$92,"Gedung dan Bangunan",'Daftar Koreksi'!$H$5:$H$92,"&gt;0")</f>
        <v>154681500</v>
      </c>
      <c r="F186" s="25">
        <f>SUMIFS('Daftar Koreksi'!$H$5:$H$92,'Daftar Koreksi'!$D$5:$D$92,'1300'!A180,'Daftar Koreksi'!$G$5:$G$92,"Gedung dan Bangunan",'Daftar Koreksi'!$H$5:$H$92,"&lt;0")-SUMIFS('Daftar Koreksi'!$H$5:$H$92,'Daftar Koreksi'!$D$5:$D$92,'1300'!A180,'Daftar Koreksi'!$G$5:$G$92,"Gedung dan Bangunan",'Daftar Koreksi'!$H$5:$H$92,"&lt;0")-SUMIFS('Daftar Koreksi'!$H$5:$H$92,'Daftar Koreksi'!$D$5:$D$92,'1300'!A180,'Daftar Koreksi'!$G$5:$G$92,"Gedung dan Bangunan",'Daftar Koreksi'!$H$5:$H$92,"&lt;0")</f>
        <v>0</v>
      </c>
      <c r="G186" s="17">
        <f t="shared" si="8"/>
        <v>8727464300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Koreksi'!$D$5:$D$92,'1300'!A180,'Daftar Koreksi'!$G$5:$G$92,"Jalan Irigasi Jaringan",'Daftar Koreksi'!$H$5:$H$92,"&gt;0")</f>
        <v>0</v>
      </c>
      <c r="F187" s="25">
        <f>SUMIFS('Daftar Koreksi'!$H$5:$H$92,'Daftar Koreksi'!$D$5:$D$92,'1300'!A180,'Daftar Koreksi'!$G$5:$G$92,"Jalan Irigasi Jaringan",'Daftar Koreksi'!$H$5:$H$92,"&lt;0")-SUMIFS('Daftar Koreksi'!$H$5:$H$92,'Daftar Koreksi'!$D$5:$D$92,'1300'!A180,'Daftar Koreksi'!$G$5:$G$92,"Jalan Irigasi Jaringan",'Daftar Koreksi'!$H$5:$H$92,"&lt;0")-SUMIFS('Daftar Koreksi'!$H$5:$H$92,'Daftar Koreksi'!$D$5:$D$92,'1300'!A180,'Daftar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5293620</v>
      </c>
      <c r="E188" s="25">
        <f>SUMIFS('Daftar Koreksi'!$H$5:$H$92,'Daftar Koreksi'!$D$5:$D$92,'1300'!A180,'Daftar Koreksi'!$G$5:$G$92,"Aset Tetap Lainnya",'Daftar Koreksi'!$H$5:$H$92,"&gt;0")</f>
        <v>0</v>
      </c>
      <c r="F188" s="25">
        <f>SUMIFS('Daftar Koreksi'!$H$5:$H$92,'Daftar Koreksi'!$D$5:$D$92,'1300'!A180,'Daftar Koreksi'!$G$5:$G$92,"Aset Tetap Lainnya",'Daftar Koreksi'!$H$5:$H$92,"&lt;0")-SUMIFS('Daftar Koreksi'!$H$5:$H$92,'Daftar Koreksi'!$D$5:$D$92,'1300'!A180,'Daftar Koreksi'!$G$5:$G$92,"Aset Tetap Lainnya",'Daftar Koreksi'!$H$5:$H$92,"&lt;0")-SUMIFS('Daftar Koreksi'!$H$5:$H$92,'Daftar Koreksi'!$D$5:$D$92,'1300'!A180,'Daftar Koreksi'!$G$5:$G$92,"Aset Tetap Lainnya",'Daftar Koreksi'!$H$5:$H$92,"&lt;0")</f>
        <v>0</v>
      </c>
      <c r="G188" s="17">
        <f t="shared" si="8"/>
        <v>5293620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Koreksi'!$D$5:$D$92,'1300'!A180,'Daftar Koreksi'!$G$5:$G$92,"Kontruksi Dalam Pengerjaan",'Daftar Koreksi'!$H$5:$H$92,"&gt;0")</f>
        <v>0</v>
      </c>
      <c r="F189" s="25">
        <f>SUMIFS('Daftar Koreksi'!$H$5:$H$92,'Daftar Koreksi'!$D$5:$D$92,'1300'!A180,'Daftar Koreksi'!$G$5:$G$92,"Kontruksi Dalam Pengerjaan",'Daftar Koreksi'!$H$5:$H$92,"&lt;0")-SUMIFS('Daftar Koreksi'!$H$5:$H$92,'Daftar Koreksi'!$D$5:$D$92,'1300'!A180,'Daftar Koreksi'!$G$5:$G$92,"Kontruksi Dalam Pengerjaan",'Daftar Koreksi'!$H$5:$H$92,"&lt;0")-SUMIFS('Daftar Koreksi'!$H$5:$H$92,'Daftar Koreksi'!$D$5:$D$92,'1300'!A180,'Daftar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Koreksi'!$D$5:$D$92,'1300'!A180,'Daftar Koreksi'!$G$5:$G$92,"Aset Tak Berwujud",'Daftar Koreksi'!$H$5:$H$92,"&gt;0")</f>
        <v>0</v>
      </c>
      <c r="F190" s="25">
        <f>SUMIFS('Daftar Koreksi'!$H$5:$H$92,'Daftar Koreksi'!$D$5:$D$92,'1300'!A180,'Daftar Koreksi'!$G$5:$G$92,"Aset Tak Berwujud",'Daftar Koreksi'!$H$5:$H$92,"&lt;0")-SUMIFS('Daftar Koreksi'!$H$5:$H$92,'Daftar Koreksi'!$D$5:$D$92,'1300'!A180,'Daftar Koreksi'!$G$5:$G$92,"Aset Tak Berwujud",'Daftar Koreksi'!$H$5:$H$92,"&lt;0")-SUMIFS('Daftar Koreksi'!$H$5:$H$92,'Daftar Koreksi'!$D$5:$D$92,'1300'!A180,'Daftar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105320500</v>
      </c>
      <c r="E191" s="25">
        <f>SUMIFS('Daftar Koreksi'!$H$5:$H$92,'Daftar Koreksi'!$D$5:$D$92,'1300'!A180,'Daftar Koreksi'!$G$5:$G$92,"Aset Henti Guna",'Daftar Koreksi'!$H$5:$H$92,"&gt;0")</f>
        <v>0</v>
      </c>
      <c r="F191" s="25">
        <f>SUMIFS('Daftar Koreksi'!$H$5:$H$92,'Daftar Koreksi'!$D$5:$D$92,'1300'!A180,'Daftar Koreksi'!$G$5:$G$92,"Aset Henti Guna",'Daftar Koreksi'!$H$5:$H$92,"&lt;0")-SUMIFS('Daftar Koreksi'!$H$5:$H$92,'Daftar Koreksi'!$D$5:$D$92,'1300'!A180,'Daftar Koreksi'!$G$5:$G$92,"Aset Henti Guna",'Daftar Koreksi'!$H$5:$H$92,"&lt;0")-SUMIFS('Daftar Koreksi'!$H$5:$H$92,'Daftar Koreksi'!$D$5:$D$92,'1300'!A180,'Daftar Koreksi'!$G$5:$G$92,"Aset Henti Guna",'Daftar Koreksi'!$H$5:$H$92,"&lt;0")</f>
        <v>0</v>
      </c>
      <c r="G191" s="17">
        <f t="shared" si="8"/>
        <v>105320500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24700947274</v>
      </c>
      <c r="E192" s="19">
        <f>SUM(E183:E191)</f>
        <v>158576809</v>
      </c>
      <c r="F192" s="19">
        <f>SUM(F183:F191)</f>
        <v>0</v>
      </c>
      <c r="G192" s="19">
        <f t="shared" si="8"/>
        <v>24859524083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-2150169494</v>
      </c>
      <c r="E193" s="25">
        <f>SUMIFS('Daftar Koreksi'!$I$5:$I$92,'Daftar Koreksi'!$D$5:$D$92,'1300'!A180,'Daftar Koreksi'!$G$5:$G$92,"Peralatan dan mesin",'Daftar Koreksi'!$I$5:$I$92,"&gt;0")</f>
        <v>0</v>
      </c>
      <c r="F193" s="25">
        <f>SUMIFS('Daftar Koreksi'!$I$5:$I$92,'Daftar Koreksi'!$D$5:$D$92,'1300'!A180,'Daftar Koreksi'!$G$5:$G$92,"Peralatan dan mesin",'Daftar Koreksi'!$I$5:$I$92,"&lt;0")-SUMIFS('Daftar Koreksi'!$I$5:$I$92,'Daftar Koreksi'!$D$5:$D$92,'1300'!A180,'Daftar Koreksi'!$G$5:$G$92,"Peralatan dan mesin",'Daftar Koreksi'!$I$5:$I$92,"&lt;0")-SUMIFS('Daftar Koreksi'!$I$5:$I$92,'Daftar Koreksi'!$D$5:$D$92,'1300'!A180,'Daftar Koreksi'!$G$5:$G$92,"Peralatan dan mesin",'Daftar Koreksi'!$I$5:$I$92,"&lt;0")</f>
        <v>389531</v>
      </c>
      <c r="G193" s="17">
        <f t="shared" si="8"/>
        <v>-2150559025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-1263862275</v>
      </c>
      <c r="E194" s="25">
        <f>SUMIFS('Daftar Koreksi'!$I$5:$I$92,'Daftar Koreksi'!$D$5:$D$92,'1300'!A180,'Daftar Koreksi'!$G$5:$G$92,"Gedung dan Bangunan",'Daftar Koreksi'!$I$5:$I$92,"&gt;0")</f>
        <v>0</v>
      </c>
      <c r="F194" s="25">
        <f>SUMIFS('Daftar Koreksi'!$I$5:$I$92,'Daftar Koreksi'!$D$5:$D$92,'1300'!A180,'Daftar Koreksi'!$G$5:$G$92,"Gedung dan Bangunan",'Daftar Koreksi'!$I$5:$I$92,"&lt;0")-SUMIFS('Daftar Koreksi'!$I$5:$I$92,'Daftar Koreksi'!$D$5:$D$92,'1300'!A180,'Daftar Koreksi'!$G$5:$G$92,"Gedung dan Bangunan",'Daftar Koreksi'!$I$5:$I$92,"&lt;0")-SUMIFS('Daftar Koreksi'!$I$5:$I$92,'Daftar Koreksi'!$D$5:$D$92,'1300'!A180,'Daftar Koreksi'!$G$5:$G$92,"Gedung dan Bangunan",'Daftar Koreksi'!$I$5:$I$92,"&lt;0")</f>
        <v>1546815</v>
      </c>
      <c r="G194" s="17">
        <f t="shared" si="8"/>
        <v>-1265409090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Koreksi'!$D$5:$D$92,'1300'!A180,'Daftar Koreksi'!$G$5:$G$92,"Jalan Irigasi Jaringan",'Daftar Koreksi'!$I$5:$I$92,"&gt;0")</f>
        <v>0</v>
      </c>
      <c r="F195" s="25">
        <f>SUMIFS('Daftar Koreksi'!$I$5:$I$92,'Daftar Koreksi'!$D$5:$D$92,'1300'!A180,'Daftar Koreksi'!$G$5:$G$92,"Jalan Irigasi Jaringan",'Daftar Koreksi'!$I$5:$I$92,"&lt;0")-SUMIFS('Daftar Koreksi'!$I$5:$I$92,'Daftar Koreksi'!$D$5:$D$92,'1300'!A180,'Daftar Koreksi'!$G$5:$G$92,"Jalan Irigasi Jaringan",'Daftar Koreksi'!$I$5:$I$92,"&lt;0")-SUMIFS('Daftar Koreksi'!$I$5:$I$92,'Daftar Koreksi'!$D$5:$D$92,'1300'!A180,'Daftar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Koreksi'!$D$5:$D$92,'1300'!A180,'Daftar Koreksi'!$G$5:$G$92,"Aset Tetap Lainnya",'Daftar Koreksi'!$I$5:$I$92,"&gt;0")</f>
        <v>0</v>
      </c>
      <c r="F196" s="25">
        <f>SUMIFS('Daftar Koreksi'!$I$5:$I$92,'Daftar Koreksi'!$D$5:$D$92,'1300'!A180,'Daftar Koreksi'!$G$5:$G$92,"Aset Tetap Lainnya",'Daftar Koreksi'!$I$5:$I$92,"&lt;0")-SUMIFS('Daftar Koreksi'!$I$5:$I$92,'Daftar Koreksi'!$D$5:$D$92,'1300'!A180,'Daftar Koreksi'!$G$5:$G$92,"Aset Tetap Lainnya",'Daftar Koreksi'!$I$5:$I$92,"&lt;0")-SUMIFS('Daftar Koreksi'!$I$5:$I$92,'Daftar Koreksi'!$D$5:$D$92,'1300'!A180,'Daftar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-105320500</v>
      </c>
      <c r="E197" s="25">
        <f>SUMIFS('Daftar Koreksi'!$I$5:$I$92,'Daftar Koreksi'!$D$5:$D$92,'1300'!A180,'Daftar Koreksi'!$G$5:$G$92,"Aset Henti Guna",'Daftar Koreksi'!$I$5:$I$92,"&gt;0")</f>
        <v>0</v>
      </c>
      <c r="F197" s="25">
        <f>SUMIFS('Daftar Koreksi'!$I$5:$I$92,'Daftar Koreksi'!$D$5:$D$92,'1300'!A180,'Daftar Koreksi'!$G$5:$G$92,"Aset Henti Guna",'Daftar Koreksi'!$I$5:$I$92,"&lt;0")-SUMIFS('Daftar Koreksi'!$I$5:$I$92,'Daftar Koreksi'!$D$5:$D$92,'1300'!A180,'Daftar Koreksi'!$G$5:$G$92,"Aset Henti Guna",'Daftar Koreksi'!$I$5:$I$92,"&lt;0")-SUMIFS('Daftar Koreksi'!$I$5:$I$92,'Daftar Koreksi'!$D$5:$D$92,'1300'!A180,'Daftar Koreksi'!$G$5:$G$92,"Aset Henti Guna",'Daftar Koreksi'!$I$5:$I$92,"&lt;0")</f>
        <v>0</v>
      </c>
      <c r="G197" s="17">
        <f t="shared" si="8"/>
        <v>-105320500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-3519352269</v>
      </c>
      <c r="E198" s="19">
        <f>SUM(E193:E197)</f>
        <v>0</v>
      </c>
      <c r="F198" s="19">
        <f>SUM(F193:F197)</f>
        <v>1936346</v>
      </c>
      <c r="G198" s="19">
        <f t="shared" si="8"/>
        <v>-3521288615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21181595005</v>
      </c>
      <c r="E199" s="19">
        <f>E198+E192</f>
        <v>158576809</v>
      </c>
      <c r="F199" s="19">
        <f>F198+F192</f>
        <v>1936346</v>
      </c>
      <c r="G199" s="19">
        <f t="shared" si="8"/>
        <v>21338235468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005011300402370000KD</v>
      </c>
      <c r="B202" s="11" t="str">
        <f>P10</f>
        <v>PA. Sambas</v>
      </c>
      <c r="C202" s="12" t="str">
        <f>A202&amp;" "&amp;B202</f>
        <v>005011300402370000KD PA. Sambas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3349800</v>
      </c>
      <c r="E205" s="25">
        <f>SUMIFS('Daftar Koreksi'!$H$5:$H$92,'Daftar Koreksi'!$D$5:$D$92,'1300'!A202,'Daftar Koreksi'!$G$5:$G$92,"Persediaan",'Daftar Koreksi'!$H$5:$H$92,"&gt;0")</f>
        <v>0</v>
      </c>
      <c r="F205" s="25">
        <f>SUMIFS('Daftar Koreksi'!$H$5:$H$92,'Daftar Koreksi'!$D$5:$D$92,'1300'!A202,'Daftar Koreksi'!$G$5:$G$92,"Persediaan",'Daftar Koreksi'!$H$5:$H$92,"&lt;0")-SUMIFS('Daftar Koreksi'!$H$5:$H$92,'Daftar Koreksi'!$D$5:$D$92,'1300'!A202,'Daftar Koreksi'!$G$5:$G$92,"Persediaan",'Daftar Koreksi'!$H$5:$H$92,"&lt;0")-SUMIFS('Daftar Koreksi'!$H$5:$H$92,'Daftar Koreksi'!$D$5:$D$92,'1300'!A202,'Daftar Koreksi'!$G$5:$G$92,"Persediaan",'Daftar Koreksi'!$H$5:$H$92,"&lt;0")</f>
        <v>0</v>
      </c>
      <c r="G205" s="17">
        <f>D205+E205-F205</f>
        <v>3349800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0</v>
      </c>
      <c r="E206" s="25">
        <f>SUMIFS('Daftar Koreksi'!$H$5:$H$92,'Daftar Koreksi'!$D$5:$D$92,'1300'!A202,'Daftar Koreksi'!$G$5:$G$92,"Tanah",'Daftar Koreksi'!$H$5:$H$92,"&gt;0")</f>
        <v>0</v>
      </c>
      <c r="F206" s="25">
        <f>SUMIFS('Daftar Koreksi'!$H$5:$H$92,'Daftar Koreksi'!$D$5:$D$92,'1300'!A202,'Daftar Koreksi'!$G$5:$G$92,"Tanah",'Daftar Koreksi'!$H$5:$H$92,"&lt;0")-SUMIFS('Daftar Koreksi'!$H$5:$H$92,'Daftar Koreksi'!$D$5:$D$92,'1300'!A202,'Daftar Koreksi'!$G$5:$G$92,"Tanah",'Daftar Koreksi'!$H$5:$H$92,"&lt;0")-SUMIFS('Daftar Koreksi'!$H$5:$H$92,'Daftar Koreksi'!$D$5:$D$92,'1300'!A202,'Daftar Koreksi'!$G$5:$G$92,"Tanah",'Daftar Koreksi'!$H$5:$H$92,"&lt;0")</f>
        <v>0</v>
      </c>
      <c r="G206" s="17">
        <f t="shared" ref="G206:G222" si="9">D206+E206-F206</f>
        <v>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1247268228</v>
      </c>
      <c r="E207" s="25">
        <f>SUMIFS('Daftar Koreksi'!$H$5:$H$92,'Daftar Koreksi'!$D$5:$D$92,'1300'!A202,'Daftar Koreksi'!$G$5:$G$92,"Peralatan dan mesin",'Daftar Koreksi'!$H$5:$H$92,"&gt;0")</f>
        <v>0</v>
      </c>
      <c r="F207" s="25">
        <f>SUMIFS('Daftar Koreksi'!$H$5:$H$92,'Daftar Koreksi'!$D$5:$D$92,'1300'!A202,'Daftar Koreksi'!$G$5:$G$92,"Peralatan dan mesin",'Daftar Koreksi'!$H$5:$H$92,"&lt;0")-SUMIFS('Daftar Koreksi'!$H$5:$H$92,'Daftar Koreksi'!$D$5:$D$92,'1300'!A202,'Daftar Koreksi'!$G$5:$G$92,"Peralatan dan mesin",'Daftar Koreksi'!$H$5:$H$92,"&lt;0")-SUMIFS('Daftar Koreksi'!$H$5:$H$92,'Daftar Koreksi'!$D$5:$D$92,'1300'!A202,'Daftar Koreksi'!$G$5:$G$92,"Peralatan dan mesin",'Daftar Koreksi'!$H$5:$H$92,"&lt;0")</f>
        <v>0</v>
      </c>
      <c r="G207" s="17">
        <f t="shared" si="9"/>
        <v>1247268228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7072810600</v>
      </c>
      <c r="E208" s="25">
        <f>SUMIFS('Daftar Koreksi'!$H$5:$H$92,'Daftar Koreksi'!$D$5:$D$92,'1300'!A202,'Daftar Koreksi'!$G$5:$G$92,"Gedung dan Bangunan",'Daftar Koreksi'!$H$5:$H$92,"&gt;0")</f>
        <v>0</v>
      </c>
      <c r="F208" s="25">
        <f>SUMIFS('Daftar Koreksi'!$H$5:$H$92,'Daftar Koreksi'!$D$5:$D$92,'1300'!A202,'Daftar Koreksi'!$G$5:$G$92,"Gedung dan Bangunan",'Daftar Koreksi'!$H$5:$H$92,"&lt;0")-SUMIFS('Daftar Koreksi'!$H$5:$H$92,'Daftar Koreksi'!$D$5:$D$92,'1300'!A202,'Daftar Koreksi'!$G$5:$G$92,"Gedung dan Bangunan",'Daftar Koreksi'!$H$5:$H$92,"&lt;0")-SUMIFS('Daftar Koreksi'!$H$5:$H$92,'Daftar Koreksi'!$D$5:$D$92,'1300'!A202,'Daftar Koreksi'!$G$5:$G$92,"Gedung dan Bangunan",'Daftar Koreksi'!$H$5:$H$92,"&lt;0")</f>
        <v>0</v>
      </c>
      <c r="G208" s="17">
        <f t="shared" si="9"/>
        <v>7072810600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308687000</v>
      </c>
      <c r="E209" s="25">
        <f>SUMIFS('Daftar Koreksi'!$H$5:$H$92,'Daftar Koreksi'!$D$5:$D$92,'1300'!A202,'Daftar Koreksi'!$G$5:$G$92,"Jalan Irigasi Jaringan",'Daftar Koreksi'!$H$5:$H$92,"&gt;0")</f>
        <v>0</v>
      </c>
      <c r="F209" s="25">
        <f>SUMIFS('Daftar Koreksi'!$H$5:$H$92,'Daftar Koreksi'!$D$5:$D$92,'1300'!A202,'Daftar Koreksi'!$G$5:$G$92,"Jalan Irigasi Jaringan",'Daftar Koreksi'!$H$5:$H$92,"&lt;0")-SUMIFS('Daftar Koreksi'!$H$5:$H$92,'Daftar Koreksi'!$D$5:$D$92,'1300'!A202,'Daftar Koreksi'!$G$5:$G$92,"Jalan Irigasi Jaringan",'Daftar Koreksi'!$H$5:$H$92,"&lt;0")-SUMIFS('Daftar Koreksi'!$H$5:$H$92,'Daftar Koreksi'!$D$5:$D$92,'1300'!A202,'Daftar Koreksi'!$G$5:$G$92,"Jalan Irigasi Jaringan",'Daftar Koreksi'!$H$5:$H$92,"&lt;0")</f>
        <v>0</v>
      </c>
      <c r="G209" s="17">
        <f t="shared" si="9"/>
        <v>308687000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787720</v>
      </c>
      <c r="E210" s="25">
        <f>SUMIFS('Daftar Koreksi'!$H$5:$H$92,'Daftar Koreksi'!$D$5:$D$92,'1300'!A202,'Daftar Koreksi'!$G$5:$G$92,"Aset Tetap Lainnya",'Daftar Koreksi'!$H$5:$H$92,"&gt;0")</f>
        <v>0</v>
      </c>
      <c r="F210" s="25">
        <f>SUMIFS('Daftar Koreksi'!$H$5:$H$92,'Daftar Koreksi'!$D$5:$D$92,'1300'!A202,'Daftar Koreksi'!$G$5:$G$92,"Aset Tetap Lainnya",'Daftar Koreksi'!$H$5:$H$92,"&lt;0")-SUMIFS('Daftar Koreksi'!$H$5:$H$92,'Daftar Koreksi'!$D$5:$D$92,'1300'!A202,'Daftar Koreksi'!$G$5:$G$92,"Aset Tetap Lainnya",'Daftar Koreksi'!$H$5:$H$92,"&lt;0")-SUMIFS('Daftar Koreksi'!$H$5:$H$92,'Daftar Koreksi'!$D$5:$D$92,'1300'!A202,'Daftar Koreksi'!$G$5:$G$92,"Aset Tetap Lainnya",'Daftar Koreksi'!$H$5:$H$92,"&lt;0")</f>
        <v>0</v>
      </c>
      <c r="G210" s="17">
        <f t="shared" si="9"/>
        <v>787720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Koreksi'!$D$5:$D$92,'1300'!A202,'Daftar Koreksi'!$G$5:$G$92,"Kontruksi Dalam Pengerjaan",'Daftar Koreksi'!$H$5:$H$92,"&gt;0")</f>
        <v>0</v>
      </c>
      <c r="F211" s="25">
        <f>SUMIFS('Daftar Koreksi'!$H$5:$H$92,'Daftar Koreksi'!$D$5:$D$92,'1300'!A202,'Daftar Koreksi'!$G$5:$G$92,"Kontruksi Dalam Pengerjaan",'Daftar Koreksi'!$H$5:$H$92,"&lt;0")-SUMIFS('Daftar Koreksi'!$H$5:$H$92,'Daftar Koreksi'!$D$5:$D$92,'1300'!A202,'Daftar Koreksi'!$G$5:$G$92,"Kontruksi Dalam Pengerjaan",'Daftar Koreksi'!$H$5:$H$92,"&lt;0")-SUMIFS('Daftar Koreksi'!$H$5:$H$92,'Daftar Koreksi'!$D$5:$D$92,'1300'!A202,'Daftar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Koreksi'!$D$5:$D$92,'1300'!A202,'Daftar Koreksi'!$G$5:$G$92,"Aset Tak Berwujud",'Daftar Koreksi'!$H$5:$H$92,"&gt;0")</f>
        <v>0</v>
      </c>
      <c r="F212" s="25">
        <f>SUMIFS('Daftar Koreksi'!$H$5:$H$92,'Daftar Koreksi'!$D$5:$D$92,'1300'!A202,'Daftar Koreksi'!$G$5:$G$92,"Aset Tak Berwujud",'Daftar Koreksi'!$H$5:$H$92,"&lt;0")-SUMIFS('Daftar Koreksi'!$H$5:$H$92,'Daftar Koreksi'!$D$5:$D$92,'1300'!A202,'Daftar Koreksi'!$G$5:$G$92,"Aset Tak Berwujud",'Daftar Koreksi'!$H$5:$H$92,"&lt;0")-SUMIFS('Daftar Koreksi'!$H$5:$H$92,'Daftar Koreksi'!$D$5:$D$92,'1300'!A202,'Daftar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7900000</v>
      </c>
      <c r="E213" s="25">
        <f>SUMIFS('Daftar Koreksi'!$H$5:$H$92,'Daftar Koreksi'!$D$5:$D$92,'1300'!A202,'Daftar Koreksi'!$G$5:$G$92,"Aset Henti Guna",'Daftar Koreksi'!$H$5:$H$92,"&gt;0")</f>
        <v>0</v>
      </c>
      <c r="F213" s="25">
        <f>SUMIFS('Daftar Koreksi'!$H$5:$H$92,'Daftar Koreksi'!$D$5:$D$92,'1300'!A202,'Daftar Koreksi'!$G$5:$G$92,"Aset Henti Guna",'Daftar Koreksi'!$H$5:$H$92,"&lt;0")-SUMIFS('Daftar Koreksi'!$H$5:$H$92,'Daftar Koreksi'!$D$5:$D$92,'1300'!A202,'Daftar Koreksi'!$G$5:$G$92,"Aset Henti Guna",'Daftar Koreksi'!$H$5:$H$92,"&lt;0")-SUMIFS('Daftar Koreksi'!$H$5:$H$92,'Daftar Koreksi'!$D$5:$D$92,'1300'!A202,'Daftar Koreksi'!$G$5:$G$92,"Aset Henti Guna",'Daftar Koreksi'!$H$5:$H$92,"&lt;0")</f>
        <v>0</v>
      </c>
      <c r="G213" s="17">
        <f t="shared" si="9"/>
        <v>7900000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8640803348</v>
      </c>
      <c r="E214" s="19">
        <f>SUM(E205:E213)</f>
        <v>0</v>
      </c>
      <c r="F214" s="19">
        <f>SUM(F205:F213)</f>
        <v>0</v>
      </c>
      <c r="G214" s="19">
        <f t="shared" si="9"/>
        <v>8640803348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-1005383959</v>
      </c>
      <c r="E215" s="25">
        <f>SUMIFS('Daftar Koreksi'!$I$5:$I$92,'Daftar Koreksi'!$D$5:$D$92,'1300'!A202,'Daftar Koreksi'!$G$5:$G$92,"Peralatan dan mesin",'Daftar Koreksi'!$I$5:$I$92,"&gt;0")</f>
        <v>0</v>
      </c>
      <c r="F215" s="25">
        <f>SUMIFS('Daftar Koreksi'!$I$5:$I$92,'Daftar Koreksi'!$D$5:$D$92,'1300'!A202,'Daftar Koreksi'!$G$5:$G$92,"Peralatan dan mesin",'Daftar Koreksi'!$I$5:$I$92,"&lt;0")-SUMIFS('Daftar Koreksi'!$I$5:$I$92,'Daftar Koreksi'!$D$5:$D$92,'1300'!A202,'Daftar Koreksi'!$G$5:$G$92,"Peralatan dan mesin",'Daftar Koreksi'!$I$5:$I$92,"&lt;0")-SUMIFS('Daftar Koreksi'!$I$5:$I$92,'Daftar Koreksi'!$D$5:$D$92,'1300'!A202,'Daftar Koreksi'!$G$5:$G$92,"Peralatan dan mesin",'Daftar Koreksi'!$I$5:$I$92,"&lt;0")</f>
        <v>0</v>
      </c>
      <c r="G215" s="17">
        <f t="shared" si="9"/>
        <v>-1005383959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-999066457</v>
      </c>
      <c r="E216" s="25">
        <f>SUMIFS('Daftar Koreksi'!$I$5:$I$92,'Daftar Koreksi'!$D$5:$D$92,'1300'!A202,'Daftar Koreksi'!$G$5:$G$92,"Gedung dan Bangunan",'Daftar Koreksi'!$I$5:$I$92,"&gt;0")</f>
        <v>0</v>
      </c>
      <c r="F216" s="25">
        <f>SUMIFS('Daftar Koreksi'!$I$5:$I$92,'Daftar Koreksi'!$D$5:$D$92,'1300'!A202,'Daftar Koreksi'!$G$5:$G$92,"Gedung dan Bangunan",'Daftar Koreksi'!$I$5:$I$92,"&lt;0")-SUMIFS('Daftar Koreksi'!$I$5:$I$92,'Daftar Koreksi'!$D$5:$D$92,'1300'!A202,'Daftar Koreksi'!$G$5:$G$92,"Gedung dan Bangunan",'Daftar Koreksi'!$I$5:$I$92,"&lt;0")-SUMIFS('Daftar Koreksi'!$I$5:$I$92,'Daftar Koreksi'!$D$5:$D$92,'1300'!A202,'Daftar Koreksi'!$G$5:$G$92,"Gedung dan Bangunan",'Daftar Koreksi'!$I$5:$I$92,"&lt;0")</f>
        <v>0</v>
      </c>
      <c r="G216" s="17">
        <f t="shared" si="9"/>
        <v>-999066457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-126792900</v>
      </c>
      <c r="E217" s="25">
        <f>SUMIFS('Daftar Koreksi'!$I$5:$I$92,'Daftar Koreksi'!$D$5:$D$92,'1300'!A202,'Daftar Koreksi'!$G$5:$G$92,"Jalan Irigasi Jaringan",'Daftar Koreksi'!$I$5:$I$92,"&gt;0")</f>
        <v>0</v>
      </c>
      <c r="F217" s="25">
        <f>SUMIFS('Daftar Koreksi'!$I$5:$I$92,'Daftar Koreksi'!$D$5:$D$92,'1300'!A202,'Daftar Koreksi'!$G$5:$G$92,"Jalan Irigasi Jaringan",'Daftar Koreksi'!$I$5:$I$92,"&lt;0")-SUMIFS('Daftar Koreksi'!$I$5:$I$92,'Daftar Koreksi'!$D$5:$D$92,'1300'!A202,'Daftar Koreksi'!$G$5:$G$92,"Jalan Irigasi Jaringan",'Daftar Koreksi'!$I$5:$I$92,"&lt;0")-SUMIFS('Daftar Koreksi'!$I$5:$I$92,'Daftar Koreksi'!$D$5:$D$92,'1300'!A202,'Daftar Koreksi'!$G$5:$G$92,"Jalan Irigasi Jaringan",'Daftar Koreksi'!$I$5:$I$92,"&lt;0")</f>
        <v>0</v>
      </c>
      <c r="G217" s="17">
        <f t="shared" si="9"/>
        <v>-126792900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Koreksi'!$D$5:$D$92,'1300'!A202,'Daftar Koreksi'!$G$5:$G$92,"Aset Tetap Lainnya",'Daftar Koreksi'!$I$5:$I$92,"&gt;0")</f>
        <v>0</v>
      </c>
      <c r="F218" s="25">
        <f>SUMIFS('Daftar Koreksi'!$I$5:$I$92,'Daftar Koreksi'!$D$5:$D$92,'1300'!A202,'Daftar Koreksi'!$G$5:$G$92,"Aset Tetap Lainnya",'Daftar Koreksi'!$I$5:$I$92,"&lt;0")-SUMIFS('Daftar Koreksi'!$I$5:$I$92,'Daftar Koreksi'!$D$5:$D$92,'1300'!A202,'Daftar Koreksi'!$G$5:$G$92,"Aset Tetap Lainnya",'Daftar Koreksi'!$I$5:$I$92,"&lt;0")-SUMIFS('Daftar Koreksi'!$I$5:$I$92,'Daftar Koreksi'!$D$5:$D$92,'1300'!A202,'Daftar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-7900000</v>
      </c>
      <c r="E219" s="25">
        <f>SUMIFS('Daftar Koreksi'!$I$5:$I$92,'Daftar Koreksi'!$D$5:$D$92,'1300'!A202,'Daftar Koreksi'!$G$5:$G$92,"Aset Henti Guna",'Daftar Koreksi'!$I$5:$I$92,"&gt;0")</f>
        <v>0</v>
      </c>
      <c r="F219" s="25">
        <f>SUMIFS('Daftar Koreksi'!$I$5:$I$92,'Daftar Koreksi'!$D$5:$D$92,'1300'!A202,'Daftar Koreksi'!$G$5:$G$92,"Aset Henti Guna",'Daftar Koreksi'!$I$5:$I$92,"&lt;0")-SUMIFS('Daftar Koreksi'!$I$5:$I$92,'Daftar Koreksi'!$D$5:$D$92,'1300'!A202,'Daftar Koreksi'!$G$5:$G$92,"Aset Henti Guna",'Daftar Koreksi'!$I$5:$I$92,"&lt;0")-SUMIFS('Daftar Koreksi'!$I$5:$I$92,'Daftar Koreksi'!$D$5:$D$92,'1300'!A202,'Daftar Koreksi'!$G$5:$G$92,"Aset Henti Guna",'Daftar Koreksi'!$I$5:$I$92,"&lt;0")</f>
        <v>0</v>
      </c>
      <c r="G219" s="17">
        <f t="shared" si="9"/>
        <v>-7900000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-2139143316</v>
      </c>
      <c r="E220" s="19">
        <f>SUM(E215:E219)</f>
        <v>0</v>
      </c>
      <c r="F220" s="19">
        <f>SUM(F215:F219)</f>
        <v>0</v>
      </c>
      <c r="G220" s="19">
        <f t="shared" si="9"/>
        <v>-2139143316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6501660032</v>
      </c>
      <c r="E221" s="19">
        <f>E220+E214</f>
        <v>0</v>
      </c>
      <c r="F221" s="19">
        <f>F220+F214</f>
        <v>0</v>
      </c>
      <c r="G221" s="19">
        <f t="shared" si="9"/>
        <v>6501660032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005011300402386000KD</v>
      </c>
      <c r="B224" s="11" t="str">
        <f>P11</f>
        <v>PA. Ketapang</v>
      </c>
      <c r="C224" s="12" t="str">
        <f>A224&amp;" "&amp;B224</f>
        <v>005011300402386000KD PA. Ketapang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0</v>
      </c>
      <c r="E227" s="25">
        <f>SUMIFS('Daftar Koreksi'!$H$5:$H$92,'Daftar Koreksi'!$D$5:$D$92,'1300'!A224,'Daftar Koreksi'!$G$5:$G$92,"Persediaan",'Daftar Koreksi'!$H$5:$H$92,"&gt;0")</f>
        <v>0</v>
      </c>
      <c r="F227" s="25">
        <f>SUMIFS('Daftar Koreksi'!$H$5:$H$92,'Daftar Koreksi'!$D$5:$D$92,'1300'!A224,'Daftar Koreksi'!$G$5:$G$92,"Persediaan",'Daftar Koreksi'!$H$5:$H$92,"&lt;0")-SUMIFS('Daftar Koreksi'!$H$5:$H$92,'Daftar Koreksi'!$D$5:$D$92,'1300'!A224,'Daftar Koreksi'!$G$5:$G$92,"Persediaan",'Daftar Koreksi'!$H$5:$H$92,"&lt;0")-SUMIFS('Daftar Koreksi'!$H$5:$H$92,'Daftar Koreksi'!$D$5:$D$92,'1300'!A224,'Daftar Koreksi'!$G$5:$G$92,"Persediaan",'Daftar Koreksi'!$H$5:$H$92,"&lt;0")</f>
        <v>0</v>
      </c>
      <c r="G227" s="17">
        <f>D227+E227-F227</f>
        <v>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2442109800</v>
      </c>
      <c r="E228" s="25">
        <f>SUMIFS('Daftar Koreksi'!$H$5:$H$92,'Daftar Koreksi'!$D$5:$D$92,'1300'!A224,'Daftar Koreksi'!$G$5:$G$92,"Tanah",'Daftar Koreksi'!$H$5:$H$92,"&gt;0")</f>
        <v>0</v>
      </c>
      <c r="F228" s="25">
        <f>SUMIFS('Daftar Koreksi'!$H$5:$H$92,'Daftar Koreksi'!$D$5:$D$92,'1300'!A224,'Daftar Koreksi'!$G$5:$G$92,"Tanah",'Daftar Koreksi'!$H$5:$H$92,"&lt;0")-SUMIFS('Daftar Koreksi'!$H$5:$H$92,'Daftar Koreksi'!$D$5:$D$92,'1300'!A224,'Daftar Koreksi'!$G$5:$G$92,"Tanah",'Daftar Koreksi'!$H$5:$H$92,"&lt;0")-SUMIFS('Daftar Koreksi'!$H$5:$H$92,'Daftar Koreksi'!$D$5:$D$92,'1300'!A224,'Daftar Koreksi'!$G$5:$G$92,"Tanah",'Daftar Koreksi'!$H$5:$H$92,"&lt;0")</f>
        <v>0</v>
      </c>
      <c r="G228" s="17">
        <f t="shared" ref="G228:G244" si="10">D228+E228-F228</f>
        <v>2442109800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1282650108</v>
      </c>
      <c r="E229" s="25">
        <f>SUMIFS('Daftar Koreksi'!$H$5:$H$92,'Daftar Koreksi'!$D$5:$D$92,'1300'!A224,'Daftar Koreksi'!$G$5:$G$92,"Peralatan dan mesin",'Daftar Koreksi'!$H$5:$H$92,"&gt;0")</f>
        <v>0</v>
      </c>
      <c r="F229" s="25">
        <f>SUMIFS('Daftar Koreksi'!$H$5:$H$92,'Daftar Koreksi'!$D$5:$D$92,'1300'!A224,'Daftar Koreksi'!$G$5:$G$92,"Peralatan dan mesin",'Daftar Koreksi'!$H$5:$H$92,"&lt;0")-SUMIFS('Daftar Koreksi'!$H$5:$H$92,'Daftar Koreksi'!$D$5:$D$92,'1300'!A224,'Daftar Koreksi'!$G$5:$G$92,"Peralatan dan mesin",'Daftar Koreksi'!$H$5:$H$92,"&lt;0")-SUMIFS('Daftar Koreksi'!$H$5:$H$92,'Daftar Koreksi'!$D$5:$D$92,'1300'!A224,'Daftar Koreksi'!$G$5:$G$92,"Peralatan dan mesin",'Daftar Koreksi'!$H$5:$H$92,"&lt;0")</f>
        <v>0</v>
      </c>
      <c r="G229" s="17">
        <f t="shared" si="10"/>
        <v>1282650108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4712906688</v>
      </c>
      <c r="E230" s="25">
        <f>SUMIFS('Daftar Koreksi'!$H$5:$H$92,'Daftar Koreksi'!$D$5:$D$92,'1300'!A224,'Daftar Koreksi'!$G$5:$G$92,"Gedung dan Bangunan",'Daftar Koreksi'!$H$5:$H$92,"&gt;0")</f>
        <v>0</v>
      </c>
      <c r="F230" s="25">
        <f>SUMIFS('Daftar Koreksi'!$H$5:$H$92,'Daftar Koreksi'!$D$5:$D$92,'1300'!A224,'Daftar Koreksi'!$G$5:$G$92,"Gedung dan Bangunan",'Daftar Koreksi'!$H$5:$H$92,"&lt;0")-SUMIFS('Daftar Koreksi'!$H$5:$H$92,'Daftar Koreksi'!$D$5:$D$92,'1300'!A224,'Daftar Koreksi'!$G$5:$G$92,"Gedung dan Bangunan",'Daftar Koreksi'!$H$5:$H$92,"&lt;0")-SUMIFS('Daftar Koreksi'!$H$5:$H$92,'Daftar Koreksi'!$D$5:$D$92,'1300'!A224,'Daftar Koreksi'!$G$5:$G$92,"Gedung dan Bangunan",'Daftar Koreksi'!$H$5:$H$92,"&lt;0")</f>
        <v>0</v>
      </c>
      <c r="G230" s="17">
        <f t="shared" si="10"/>
        <v>4712906688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179583500</v>
      </c>
      <c r="E231" s="25">
        <f>SUMIFS('Daftar Koreksi'!$H$5:$H$92,'Daftar Koreksi'!$D$5:$D$92,'1300'!A224,'Daftar Koreksi'!$G$5:$G$92,"Jalan Irigasi Jaringan",'Daftar Koreksi'!$H$5:$H$92,"&gt;0")</f>
        <v>0</v>
      </c>
      <c r="F231" s="25">
        <f>SUMIFS('Daftar Koreksi'!$H$5:$H$92,'Daftar Koreksi'!$D$5:$D$92,'1300'!A224,'Daftar Koreksi'!$G$5:$G$92,"Jalan Irigasi Jaringan",'Daftar Koreksi'!$H$5:$H$92,"&lt;0")-SUMIFS('Daftar Koreksi'!$H$5:$H$92,'Daftar Koreksi'!$D$5:$D$92,'1300'!A224,'Daftar Koreksi'!$G$5:$G$92,"Jalan Irigasi Jaringan",'Daftar Koreksi'!$H$5:$H$92,"&lt;0")-SUMIFS('Daftar Koreksi'!$H$5:$H$92,'Daftar Koreksi'!$D$5:$D$92,'1300'!A224,'Daftar Koreksi'!$G$5:$G$92,"Jalan Irigasi Jaringan",'Daftar Koreksi'!$H$5:$H$92,"&lt;0")</f>
        <v>0</v>
      </c>
      <c r="G231" s="17">
        <f t="shared" si="10"/>
        <v>179583500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1553</v>
      </c>
      <c r="E232" s="25">
        <f>SUMIFS('Daftar Koreksi'!$H$5:$H$92,'Daftar Koreksi'!$D$5:$D$92,'1300'!A224,'Daftar Koreksi'!$G$5:$G$92,"Aset Tetap Lainnya",'Daftar Koreksi'!$H$5:$H$92,"&gt;0")</f>
        <v>0</v>
      </c>
      <c r="F232" s="25">
        <f>SUMIFS('Daftar Koreksi'!$H$5:$H$92,'Daftar Koreksi'!$D$5:$D$92,'1300'!A224,'Daftar Koreksi'!$G$5:$G$92,"Aset Tetap Lainnya",'Daftar Koreksi'!$H$5:$H$92,"&lt;0")-SUMIFS('Daftar Koreksi'!$H$5:$H$92,'Daftar Koreksi'!$D$5:$D$92,'1300'!A224,'Daftar Koreksi'!$G$5:$G$92,"Aset Tetap Lainnya",'Daftar Koreksi'!$H$5:$H$92,"&lt;0")-SUMIFS('Daftar Koreksi'!$H$5:$H$92,'Daftar Koreksi'!$D$5:$D$92,'1300'!A224,'Daftar Koreksi'!$G$5:$G$92,"Aset Tetap Lainnya",'Daftar Koreksi'!$H$5:$H$92,"&lt;0")</f>
        <v>0</v>
      </c>
      <c r="G232" s="17">
        <f t="shared" si="10"/>
        <v>1553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Koreksi'!$D$5:$D$92,'1300'!A224,'Daftar Koreksi'!$G$5:$G$92,"Kontruksi Dalam Pengerjaan",'Daftar Koreksi'!$H$5:$H$92,"&gt;0")</f>
        <v>0</v>
      </c>
      <c r="F233" s="25">
        <f>SUMIFS('Daftar Koreksi'!$H$5:$H$92,'Daftar Koreksi'!$D$5:$D$92,'1300'!A224,'Daftar Koreksi'!$G$5:$G$92,"Kontruksi Dalam Pengerjaan",'Daftar Koreksi'!$H$5:$H$92,"&lt;0")-SUMIFS('Daftar Koreksi'!$H$5:$H$92,'Daftar Koreksi'!$D$5:$D$92,'1300'!A224,'Daftar Koreksi'!$G$5:$G$92,"Kontruksi Dalam Pengerjaan",'Daftar Koreksi'!$H$5:$H$92,"&lt;0")-SUMIFS('Daftar Koreksi'!$H$5:$H$92,'Daftar Koreksi'!$D$5:$D$92,'1300'!A224,'Daftar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20750000</v>
      </c>
      <c r="E234" s="25">
        <f>SUMIFS('Daftar Koreksi'!$H$5:$H$92,'Daftar Koreksi'!$D$5:$D$92,'1300'!A224,'Daftar Koreksi'!$G$5:$G$92,"Aset Tak Berwujud",'Daftar Koreksi'!$H$5:$H$92,"&gt;0")</f>
        <v>0</v>
      </c>
      <c r="F234" s="25">
        <f>SUMIFS('Daftar Koreksi'!$H$5:$H$92,'Daftar Koreksi'!$D$5:$D$92,'1300'!A224,'Daftar Koreksi'!$G$5:$G$92,"Aset Tak Berwujud",'Daftar Koreksi'!$H$5:$H$92,"&lt;0")-SUMIFS('Daftar Koreksi'!$H$5:$H$92,'Daftar Koreksi'!$D$5:$D$92,'1300'!A224,'Daftar Koreksi'!$G$5:$G$92,"Aset Tak Berwujud",'Daftar Koreksi'!$H$5:$H$92,"&lt;0")-SUMIFS('Daftar Koreksi'!$H$5:$H$92,'Daftar Koreksi'!$D$5:$D$92,'1300'!A224,'Daftar Koreksi'!$G$5:$G$92,"Aset Tak Berwujud",'Daftar Koreksi'!$H$5:$H$92,"&lt;0")</f>
        <v>0</v>
      </c>
      <c r="G234" s="17">
        <f t="shared" si="10"/>
        <v>20750000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22162347</v>
      </c>
      <c r="E235" s="25">
        <f>SUMIFS('Daftar Koreksi'!$H$5:$H$92,'Daftar Koreksi'!$D$5:$D$92,'1300'!A224,'Daftar Koreksi'!$G$5:$G$92,"Aset Henti Guna",'Daftar Koreksi'!$H$5:$H$92,"&gt;0")</f>
        <v>0</v>
      </c>
      <c r="F235" s="25">
        <f>SUMIFS('Daftar Koreksi'!$H$5:$H$92,'Daftar Koreksi'!$D$5:$D$92,'1300'!A224,'Daftar Koreksi'!$G$5:$G$92,"Aset Henti Guna",'Daftar Koreksi'!$H$5:$H$92,"&lt;0")-SUMIFS('Daftar Koreksi'!$H$5:$H$92,'Daftar Koreksi'!$D$5:$D$92,'1300'!A224,'Daftar Koreksi'!$G$5:$G$92,"Aset Henti Guna",'Daftar Koreksi'!$H$5:$H$92,"&lt;0")-SUMIFS('Daftar Koreksi'!$H$5:$H$92,'Daftar Koreksi'!$D$5:$D$92,'1300'!A224,'Daftar Koreksi'!$G$5:$G$92,"Aset Henti Guna",'Daftar Koreksi'!$H$5:$H$92,"&lt;0")</f>
        <v>0</v>
      </c>
      <c r="G235" s="17">
        <f t="shared" si="10"/>
        <v>22162347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8660163996</v>
      </c>
      <c r="E236" s="19">
        <f>SUM(E227:E235)</f>
        <v>0</v>
      </c>
      <c r="F236" s="19">
        <f>SUM(F227:F235)</f>
        <v>0</v>
      </c>
      <c r="G236" s="19">
        <f t="shared" si="10"/>
        <v>8660163996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-1187118864</v>
      </c>
      <c r="E237" s="25">
        <f>SUMIFS('Daftar Koreksi'!$I$5:$I$92,'Daftar Koreksi'!$D$5:$D$92,'1300'!A224,'Daftar Koreksi'!$G$5:$G$92,"Peralatan dan mesin",'Daftar Koreksi'!$I$5:$I$92,"&gt;0")</f>
        <v>0</v>
      </c>
      <c r="F237" s="25">
        <f>SUMIFS('Daftar Koreksi'!$I$5:$I$92,'Daftar Koreksi'!$D$5:$D$92,'1300'!A224,'Daftar Koreksi'!$G$5:$G$92,"Peralatan dan mesin",'Daftar Koreksi'!$I$5:$I$92,"&lt;0")-SUMIFS('Daftar Koreksi'!$I$5:$I$92,'Daftar Koreksi'!$D$5:$D$92,'1300'!A224,'Daftar Koreksi'!$G$5:$G$92,"Peralatan dan mesin",'Daftar Koreksi'!$I$5:$I$92,"&lt;0")-SUMIFS('Daftar Koreksi'!$I$5:$I$92,'Daftar Koreksi'!$D$5:$D$92,'1300'!A224,'Daftar Koreksi'!$G$5:$G$92,"Peralatan dan mesin",'Daftar Koreksi'!$I$5:$I$92,"&lt;0")</f>
        <v>0</v>
      </c>
      <c r="G237" s="17">
        <f t="shared" si="10"/>
        <v>-1187118864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-431805743</v>
      </c>
      <c r="E238" s="25">
        <f>SUMIFS('Daftar Koreksi'!$I$5:$I$92,'Daftar Koreksi'!$D$5:$D$92,'1300'!A224,'Daftar Koreksi'!$G$5:$G$92,"Gedung dan Bangunan",'Daftar Koreksi'!$I$5:$I$92,"&gt;0")</f>
        <v>0</v>
      </c>
      <c r="F238" s="25">
        <f>SUMIFS('Daftar Koreksi'!$I$5:$I$92,'Daftar Koreksi'!$D$5:$D$92,'1300'!A224,'Daftar Koreksi'!$G$5:$G$92,"Gedung dan Bangunan",'Daftar Koreksi'!$I$5:$I$92,"&lt;0")-SUMIFS('Daftar Koreksi'!$I$5:$I$92,'Daftar Koreksi'!$D$5:$D$92,'1300'!A224,'Daftar Koreksi'!$G$5:$G$92,"Gedung dan Bangunan",'Daftar Koreksi'!$I$5:$I$92,"&lt;0")-SUMIFS('Daftar Koreksi'!$I$5:$I$92,'Daftar Koreksi'!$D$5:$D$92,'1300'!A224,'Daftar Koreksi'!$G$5:$G$92,"Gedung dan Bangunan",'Daftar Koreksi'!$I$5:$I$92,"&lt;0")</f>
        <v>0</v>
      </c>
      <c r="G238" s="17">
        <f t="shared" si="10"/>
        <v>-431805743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-39778372</v>
      </c>
      <c r="E239" s="25">
        <f>SUMIFS('Daftar Koreksi'!$I$5:$I$92,'Daftar Koreksi'!$D$5:$D$92,'1300'!A224,'Daftar Koreksi'!$G$5:$G$92,"Jalan Irigasi Jaringan",'Daftar Koreksi'!$I$5:$I$92,"&gt;0")</f>
        <v>0</v>
      </c>
      <c r="F239" s="25">
        <f>SUMIFS('Daftar Koreksi'!$I$5:$I$92,'Daftar Koreksi'!$D$5:$D$92,'1300'!A224,'Daftar Koreksi'!$G$5:$G$92,"Jalan Irigasi Jaringan",'Daftar Koreksi'!$I$5:$I$92,"&lt;0")-SUMIFS('Daftar Koreksi'!$I$5:$I$92,'Daftar Koreksi'!$D$5:$D$92,'1300'!A224,'Daftar Koreksi'!$G$5:$G$92,"Jalan Irigasi Jaringan",'Daftar Koreksi'!$I$5:$I$92,"&lt;0")-SUMIFS('Daftar Koreksi'!$I$5:$I$92,'Daftar Koreksi'!$D$5:$D$92,'1300'!A224,'Daftar Koreksi'!$G$5:$G$92,"Jalan Irigasi Jaringan",'Daftar Koreksi'!$I$5:$I$92,"&lt;0")</f>
        <v>0</v>
      </c>
      <c r="G239" s="17">
        <f t="shared" si="10"/>
        <v>-39778372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Koreksi'!$D$5:$D$92,'1300'!A224,'Daftar Koreksi'!$G$5:$G$92,"Aset Tetap Lainnya",'Daftar Koreksi'!$I$5:$I$92,"&gt;0")</f>
        <v>0</v>
      </c>
      <c r="F240" s="25">
        <f>SUMIFS('Daftar Koreksi'!$I$5:$I$92,'Daftar Koreksi'!$D$5:$D$92,'1300'!A224,'Daftar Koreksi'!$G$5:$G$92,"Aset Tetap Lainnya",'Daftar Koreksi'!$I$5:$I$92,"&lt;0")-SUMIFS('Daftar Koreksi'!$I$5:$I$92,'Daftar Koreksi'!$D$5:$D$92,'1300'!A224,'Daftar Koreksi'!$G$5:$G$92,"Aset Tetap Lainnya",'Daftar Koreksi'!$I$5:$I$92,"&lt;0")-SUMIFS('Daftar Koreksi'!$I$5:$I$92,'Daftar Koreksi'!$D$5:$D$92,'1300'!A224,'Daftar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-21764211</v>
      </c>
      <c r="E241" s="25">
        <f>SUMIFS('Daftar Koreksi'!$I$5:$I$92,'Daftar Koreksi'!$D$5:$D$92,'1300'!A224,'Daftar Koreksi'!$G$5:$G$92,"Aset Henti Guna",'Daftar Koreksi'!$I$5:$I$92,"&gt;0")</f>
        <v>0</v>
      </c>
      <c r="F241" s="25">
        <f>SUMIFS('Daftar Koreksi'!$I$5:$I$92,'Daftar Koreksi'!$D$5:$D$92,'1300'!A224,'Daftar Koreksi'!$G$5:$G$92,"Aset Henti Guna",'Daftar Koreksi'!$I$5:$I$92,"&lt;0")-SUMIFS('Daftar Koreksi'!$I$5:$I$92,'Daftar Koreksi'!$D$5:$D$92,'1300'!A224,'Daftar Koreksi'!$G$5:$G$92,"Aset Henti Guna",'Daftar Koreksi'!$I$5:$I$92,"&lt;0")-SUMIFS('Daftar Koreksi'!$I$5:$I$92,'Daftar Koreksi'!$D$5:$D$92,'1300'!A224,'Daftar Koreksi'!$G$5:$G$92,"Aset Henti Guna",'Daftar Koreksi'!$I$5:$I$92,"&lt;0")</f>
        <v>0</v>
      </c>
      <c r="G241" s="17">
        <f t="shared" si="10"/>
        <v>-21764211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-1680467190</v>
      </c>
      <c r="E242" s="19">
        <f>SUM(E237:E241)</f>
        <v>0</v>
      </c>
      <c r="F242" s="19">
        <f>SUM(F237:F241)</f>
        <v>0</v>
      </c>
      <c r="G242" s="19">
        <f t="shared" si="10"/>
        <v>-1680467190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6979696806</v>
      </c>
      <c r="E243" s="19">
        <f>E242+E236</f>
        <v>0</v>
      </c>
      <c r="F243" s="19">
        <f>F242+F236</f>
        <v>0</v>
      </c>
      <c r="G243" s="19">
        <f t="shared" si="10"/>
        <v>6979696806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005011300402392000KD</v>
      </c>
      <c r="B246" s="11" t="str">
        <f>P12</f>
        <v>PA. Sanggau</v>
      </c>
      <c r="C246" s="12" t="str">
        <f>A246&amp;" "&amp;B246</f>
        <v>005011300402392000KD PA. Sanggau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70900</v>
      </c>
      <c r="E249" s="25">
        <f>SUMIFS('Daftar Koreksi'!$H$5:$H$92,'Daftar Koreksi'!$D$5:$D$92,'1300'!A246,'Daftar Koreksi'!$G$5:$G$92,"Persediaan",'Daftar Koreksi'!$H$5:$H$92,"&gt;0")</f>
        <v>0</v>
      </c>
      <c r="F249" s="25">
        <f>SUMIFS('Daftar Koreksi'!$H$5:$H$92,'Daftar Koreksi'!$D$5:$D$92,'1300'!A246,'Daftar Koreksi'!$G$5:$G$92,"Persediaan",'Daftar Koreksi'!$H$5:$H$92,"&lt;0")-SUMIFS('Daftar Koreksi'!$H$5:$H$92,'Daftar Koreksi'!$D$5:$D$92,'1300'!A246,'Daftar Koreksi'!$G$5:$G$92,"Persediaan",'Daftar Koreksi'!$H$5:$H$92,"&lt;0")-SUMIFS('Daftar Koreksi'!$H$5:$H$92,'Daftar Koreksi'!$D$5:$D$92,'1300'!A246,'Daftar Koreksi'!$G$5:$G$92,"Persediaan",'Daftar Koreksi'!$H$5:$H$92,"&lt;0")</f>
        <v>0</v>
      </c>
      <c r="G249" s="17">
        <f>D249+E249-F249</f>
        <v>70900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1088810000</v>
      </c>
      <c r="E250" s="25">
        <f>SUMIFS('Daftar Koreksi'!$H$5:$H$92,'Daftar Koreksi'!$D$5:$D$92,'1300'!A246,'Daftar Koreksi'!$G$5:$G$92,"Tanah",'Daftar Koreksi'!$H$5:$H$92,"&gt;0")</f>
        <v>0</v>
      </c>
      <c r="F250" s="25">
        <f>SUMIFS('Daftar Koreksi'!$H$5:$H$92,'Daftar Koreksi'!$D$5:$D$92,'1300'!A246,'Daftar Koreksi'!$G$5:$G$92,"Tanah",'Daftar Koreksi'!$H$5:$H$92,"&lt;0")-SUMIFS('Daftar Koreksi'!$H$5:$H$92,'Daftar Koreksi'!$D$5:$D$92,'1300'!A246,'Daftar Koreksi'!$G$5:$G$92,"Tanah",'Daftar Koreksi'!$H$5:$H$92,"&lt;0")-SUMIFS('Daftar Koreksi'!$H$5:$H$92,'Daftar Koreksi'!$D$5:$D$92,'1300'!A246,'Daftar Koreksi'!$G$5:$G$92,"Tanah",'Daftar Koreksi'!$H$5:$H$92,"&lt;0")</f>
        <v>0</v>
      </c>
      <c r="G250" s="17">
        <f t="shared" ref="G250:G266" si="11">D250+E250-F250</f>
        <v>1088810000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1188025317</v>
      </c>
      <c r="E251" s="25">
        <f>SUMIFS('Daftar Koreksi'!$H$5:$H$92,'Daftar Koreksi'!$D$5:$D$92,'1300'!A246,'Daftar Koreksi'!$G$5:$G$92,"Peralatan dan mesin",'Daftar Koreksi'!$H$5:$H$92,"&gt;0")</f>
        <v>0</v>
      </c>
      <c r="F251" s="25">
        <f>SUMIFS('Daftar Koreksi'!$H$5:$H$92,'Daftar Koreksi'!$D$5:$D$92,'1300'!A246,'Daftar Koreksi'!$G$5:$G$92,"Peralatan dan mesin",'Daftar Koreksi'!$H$5:$H$92,"&lt;0")-SUMIFS('Daftar Koreksi'!$H$5:$H$92,'Daftar Koreksi'!$D$5:$D$92,'1300'!A246,'Daftar Koreksi'!$G$5:$G$92,"Peralatan dan mesin",'Daftar Koreksi'!$H$5:$H$92,"&lt;0")-SUMIFS('Daftar Koreksi'!$H$5:$H$92,'Daftar Koreksi'!$D$5:$D$92,'1300'!A246,'Daftar Koreksi'!$G$5:$G$92,"Peralatan dan mesin",'Daftar Koreksi'!$H$5:$H$92,"&lt;0")</f>
        <v>0</v>
      </c>
      <c r="G251" s="17">
        <f t="shared" si="11"/>
        <v>1188025317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3285512000</v>
      </c>
      <c r="E252" s="25">
        <f>SUMIFS('Daftar Koreksi'!$H$5:$H$92,'Daftar Koreksi'!$D$5:$D$92,'1300'!A246,'Daftar Koreksi'!$G$5:$G$92,"Gedung dan Bangunan",'Daftar Koreksi'!$H$5:$H$92,"&gt;0")</f>
        <v>0</v>
      </c>
      <c r="F252" s="25">
        <f>SUMIFS('Daftar Koreksi'!$H$5:$H$92,'Daftar Koreksi'!$D$5:$D$92,'1300'!A246,'Daftar Koreksi'!$G$5:$G$92,"Gedung dan Bangunan",'Daftar Koreksi'!$H$5:$H$92,"&lt;0")-SUMIFS('Daftar Koreksi'!$H$5:$H$92,'Daftar Koreksi'!$D$5:$D$92,'1300'!A246,'Daftar Koreksi'!$G$5:$G$92,"Gedung dan Bangunan",'Daftar Koreksi'!$H$5:$H$92,"&lt;0")-SUMIFS('Daftar Koreksi'!$H$5:$H$92,'Daftar Koreksi'!$D$5:$D$92,'1300'!A246,'Daftar Koreksi'!$G$5:$G$92,"Gedung dan Bangunan",'Daftar Koreksi'!$H$5:$H$92,"&lt;0")</f>
        <v>0</v>
      </c>
      <c r="G252" s="17">
        <f t="shared" si="11"/>
        <v>3285512000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25000000</v>
      </c>
      <c r="E253" s="25">
        <f>SUMIFS('Daftar Koreksi'!$H$5:$H$92,'Daftar Koreksi'!$D$5:$D$92,'1300'!A246,'Daftar Koreksi'!$G$5:$G$92,"Jalan Irigasi Jaringan",'Daftar Koreksi'!$H$5:$H$92,"&gt;0")</f>
        <v>0</v>
      </c>
      <c r="F253" s="25">
        <f>SUMIFS('Daftar Koreksi'!$H$5:$H$92,'Daftar Koreksi'!$D$5:$D$92,'1300'!A246,'Daftar Koreksi'!$G$5:$G$92,"Jalan Irigasi Jaringan",'Daftar Koreksi'!$H$5:$H$92,"&lt;0")-SUMIFS('Daftar Koreksi'!$H$5:$H$92,'Daftar Koreksi'!$D$5:$D$92,'1300'!A246,'Daftar Koreksi'!$G$5:$G$92,"Jalan Irigasi Jaringan",'Daftar Koreksi'!$H$5:$H$92,"&lt;0")-SUMIFS('Daftar Koreksi'!$H$5:$H$92,'Daftar Koreksi'!$D$5:$D$92,'1300'!A246,'Daftar Koreksi'!$G$5:$G$92,"Jalan Irigasi Jaringan",'Daftar Koreksi'!$H$5:$H$92,"&lt;0")</f>
        <v>0</v>
      </c>
      <c r="G253" s="17">
        <f t="shared" si="11"/>
        <v>25000000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6280700</v>
      </c>
      <c r="E254" s="25">
        <f>SUMIFS('Daftar Koreksi'!$H$5:$H$92,'Daftar Koreksi'!$D$5:$D$92,'1300'!A246,'Daftar Koreksi'!$G$5:$G$92,"Aset Tetap Lainnya",'Daftar Koreksi'!$H$5:$H$92,"&gt;0")</f>
        <v>0</v>
      </c>
      <c r="F254" s="25">
        <f>SUMIFS('Daftar Koreksi'!$H$5:$H$92,'Daftar Koreksi'!$D$5:$D$92,'1300'!A246,'Daftar Koreksi'!$G$5:$G$92,"Aset Tetap Lainnya",'Daftar Koreksi'!$H$5:$H$92,"&lt;0")-SUMIFS('Daftar Koreksi'!$H$5:$H$92,'Daftar Koreksi'!$D$5:$D$92,'1300'!A246,'Daftar Koreksi'!$G$5:$G$92,"Aset Tetap Lainnya",'Daftar Koreksi'!$H$5:$H$92,"&lt;0")-SUMIFS('Daftar Koreksi'!$H$5:$H$92,'Daftar Koreksi'!$D$5:$D$92,'1300'!A246,'Daftar Koreksi'!$G$5:$G$92,"Aset Tetap Lainnya",'Daftar Koreksi'!$H$5:$H$92,"&lt;0")</f>
        <v>0</v>
      </c>
      <c r="G254" s="17">
        <f t="shared" si="11"/>
        <v>6280700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Koreksi'!$D$5:$D$92,'1300'!A246,'Daftar Koreksi'!$G$5:$G$92,"Kontruksi Dalam Pengerjaan",'Daftar Koreksi'!$H$5:$H$92,"&gt;0")</f>
        <v>0</v>
      </c>
      <c r="F255" s="25">
        <f>SUMIFS('Daftar Koreksi'!$H$5:$H$92,'Daftar Koreksi'!$D$5:$D$92,'1300'!A246,'Daftar Koreksi'!$G$5:$G$92,"Kontruksi Dalam Pengerjaan",'Daftar Koreksi'!$H$5:$H$92,"&lt;0")-SUMIFS('Daftar Koreksi'!$H$5:$H$92,'Daftar Koreksi'!$D$5:$D$92,'1300'!A246,'Daftar Koreksi'!$G$5:$G$92,"Kontruksi Dalam Pengerjaan",'Daftar Koreksi'!$H$5:$H$92,"&lt;0")-SUMIFS('Daftar Koreksi'!$H$5:$H$92,'Daftar Koreksi'!$D$5:$D$92,'1300'!A246,'Daftar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20750000</v>
      </c>
      <c r="E256" s="25">
        <f>SUMIFS('Daftar Koreksi'!$H$5:$H$92,'Daftar Koreksi'!$D$5:$D$92,'1300'!A246,'Daftar Koreksi'!$G$5:$G$92,"Aset Tak Berwujud",'Daftar Koreksi'!$H$5:$H$92,"&gt;0")</f>
        <v>0</v>
      </c>
      <c r="F256" s="25">
        <f>SUMIFS('Daftar Koreksi'!$H$5:$H$92,'Daftar Koreksi'!$D$5:$D$92,'1300'!A246,'Daftar Koreksi'!$G$5:$G$92,"Aset Tak Berwujud",'Daftar Koreksi'!$H$5:$H$92,"&lt;0")-SUMIFS('Daftar Koreksi'!$H$5:$H$92,'Daftar Koreksi'!$D$5:$D$92,'1300'!A246,'Daftar Koreksi'!$G$5:$G$92,"Aset Tak Berwujud",'Daftar Koreksi'!$H$5:$H$92,"&lt;0")-SUMIFS('Daftar Koreksi'!$H$5:$H$92,'Daftar Koreksi'!$D$5:$D$92,'1300'!A246,'Daftar Koreksi'!$G$5:$G$92,"Aset Tak Berwujud",'Daftar Koreksi'!$H$5:$H$92,"&lt;0")</f>
        <v>0</v>
      </c>
      <c r="G256" s="17">
        <f t="shared" si="11"/>
        <v>20750000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Koreksi'!$D$5:$D$92,'1300'!A246,'Daftar Koreksi'!$G$5:$G$92,"Aset Henti Guna",'Daftar Koreksi'!$H$5:$H$92,"&gt;0")</f>
        <v>0</v>
      </c>
      <c r="F257" s="25">
        <f>SUMIFS('Daftar Koreksi'!$H$5:$H$92,'Daftar Koreksi'!$D$5:$D$92,'1300'!A246,'Daftar Koreksi'!$G$5:$G$92,"Aset Henti Guna",'Daftar Koreksi'!$H$5:$H$92,"&lt;0")-SUMIFS('Daftar Koreksi'!$H$5:$H$92,'Daftar Koreksi'!$D$5:$D$92,'1300'!A246,'Daftar Koreksi'!$G$5:$G$92,"Aset Henti Guna",'Daftar Koreksi'!$H$5:$H$92,"&lt;0")-SUMIFS('Daftar Koreksi'!$H$5:$H$92,'Daftar Koreksi'!$D$5:$D$92,'1300'!A246,'Daftar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5614448917</v>
      </c>
      <c r="E258" s="19">
        <f>SUM(E249:E257)</f>
        <v>0</v>
      </c>
      <c r="F258" s="19">
        <f>SUM(F249:F257)</f>
        <v>0</v>
      </c>
      <c r="G258" s="19">
        <f t="shared" si="11"/>
        <v>5614448917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-1091591560</v>
      </c>
      <c r="E259" s="25">
        <f>SUMIFS('Daftar Koreksi'!$I$5:$I$92,'Daftar Koreksi'!$D$5:$D$92,'1300'!A246,'Daftar Koreksi'!$G$5:$G$92,"Peralatan dan mesin",'Daftar Koreksi'!$I$5:$I$92,"&gt;0")</f>
        <v>0</v>
      </c>
      <c r="F259" s="25">
        <f>SUMIFS('Daftar Koreksi'!$I$5:$I$92,'Daftar Koreksi'!$D$5:$D$92,'1300'!A246,'Daftar Koreksi'!$G$5:$G$92,"Peralatan dan mesin",'Daftar Koreksi'!$I$5:$I$92,"&lt;0")-SUMIFS('Daftar Koreksi'!$I$5:$I$92,'Daftar Koreksi'!$D$5:$D$92,'1300'!A246,'Daftar Koreksi'!$G$5:$G$92,"Peralatan dan mesin",'Daftar Koreksi'!$I$5:$I$92,"&lt;0")-SUMIFS('Daftar Koreksi'!$I$5:$I$92,'Daftar Koreksi'!$D$5:$D$92,'1300'!A246,'Daftar Koreksi'!$G$5:$G$92,"Peralatan dan mesin",'Daftar Koreksi'!$I$5:$I$92,"&lt;0")</f>
        <v>0</v>
      </c>
      <c r="G259" s="17">
        <f t="shared" si="11"/>
        <v>-1091591560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-632763017</v>
      </c>
      <c r="E260" s="25">
        <f>SUMIFS('Daftar Koreksi'!$I$5:$I$92,'Daftar Koreksi'!$D$5:$D$92,'1300'!A246,'Daftar Koreksi'!$G$5:$G$92,"Gedung dan Bangunan",'Daftar Koreksi'!$I$5:$I$92,"&gt;0")</f>
        <v>0</v>
      </c>
      <c r="F260" s="25">
        <f>SUMIFS('Daftar Koreksi'!$I$5:$I$92,'Daftar Koreksi'!$D$5:$D$92,'1300'!A246,'Daftar Koreksi'!$G$5:$G$92,"Gedung dan Bangunan",'Daftar Koreksi'!$I$5:$I$92,"&lt;0")-SUMIFS('Daftar Koreksi'!$I$5:$I$92,'Daftar Koreksi'!$D$5:$D$92,'1300'!A246,'Daftar Koreksi'!$G$5:$G$92,"Gedung dan Bangunan",'Daftar Koreksi'!$I$5:$I$92,"&lt;0")-SUMIFS('Daftar Koreksi'!$I$5:$I$92,'Daftar Koreksi'!$D$5:$D$92,'1300'!A246,'Daftar Koreksi'!$G$5:$G$92,"Gedung dan Bangunan",'Daftar Koreksi'!$I$5:$I$92,"&lt;0")</f>
        <v>0</v>
      </c>
      <c r="G260" s="17">
        <f t="shared" si="11"/>
        <v>-632763017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-2187500</v>
      </c>
      <c r="E261" s="25">
        <f>SUMIFS('Daftar Koreksi'!$I$5:$I$92,'Daftar Koreksi'!$D$5:$D$92,'1300'!A246,'Daftar Koreksi'!$G$5:$G$92,"Jalan Irigasi Jaringan",'Daftar Koreksi'!$I$5:$I$92,"&gt;0")</f>
        <v>0</v>
      </c>
      <c r="F261" s="25">
        <f>SUMIFS('Daftar Koreksi'!$I$5:$I$92,'Daftar Koreksi'!$D$5:$D$92,'1300'!A246,'Daftar Koreksi'!$G$5:$G$92,"Jalan Irigasi Jaringan",'Daftar Koreksi'!$I$5:$I$92,"&lt;0")-SUMIFS('Daftar Koreksi'!$I$5:$I$92,'Daftar Koreksi'!$D$5:$D$92,'1300'!A246,'Daftar Koreksi'!$G$5:$G$92,"Jalan Irigasi Jaringan",'Daftar Koreksi'!$I$5:$I$92,"&lt;0")-SUMIFS('Daftar Koreksi'!$I$5:$I$92,'Daftar Koreksi'!$D$5:$D$92,'1300'!A246,'Daftar Koreksi'!$G$5:$G$92,"Jalan Irigasi Jaringan",'Daftar Koreksi'!$I$5:$I$92,"&lt;0")</f>
        <v>0</v>
      </c>
      <c r="G261" s="17">
        <f t="shared" si="11"/>
        <v>-2187500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Koreksi'!$D$5:$D$92,'1300'!A246,'Daftar Koreksi'!$G$5:$G$92,"Aset Tetap Lainnya",'Daftar Koreksi'!$I$5:$I$92,"&gt;0")</f>
        <v>0</v>
      </c>
      <c r="F262" s="25">
        <f>SUMIFS('Daftar Koreksi'!$I$5:$I$92,'Daftar Koreksi'!$D$5:$D$92,'1300'!A246,'Daftar Koreksi'!$G$5:$G$92,"Aset Tetap Lainnya",'Daftar Koreksi'!$I$5:$I$92,"&lt;0")-SUMIFS('Daftar Koreksi'!$I$5:$I$92,'Daftar Koreksi'!$D$5:$D$92,'1300'!A246,'Daftar Koreksi'!$G$5:$G$92,"Aset Tetap Lainnya",'Daftar Koreksi'!$I$5:$I$92,"&lt;0")-SUMIFS('Daftar Koreksi'!$I$5:$I$92,'Daftar Koreksi'!$D$5:$D$92,'1300'!A246,'Daftar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Koreksi'!$D$5:$D$92,'1300'!A246,'Daftar Koreksi'!$G$5:$G$92,"Aset Henti Guna",'Daftar Koreksi'!$I$5:$I$92,"&gt;0")</f>
        <v>0</v>
      </c>
      <c r="F263" s="25">
        <f>SUMIFS('Daftar Koreksi'!$I$5:$I$92,'Daftar Koreksi'!$D$5:$D$92,'1300'!A246,'Daftar Koreksi'!$G$5:$G$92,"Aset Henti Guna",'Daftar Koreksi'!$I$5:$I$92,"&lt;0")-SUMIFS('Daftar Koreksi'!$I$5:$I$92,'Daftar Koreksi'!$D$5:$D$92,'1300'!A246,'Daftar Koreksi'!$G$5:$G$92,"Aset Henti Guna",'Daftar Koreksi'!$I$5:$I$92,"&lt;0")-SUMIFS('Daftar Koreksi'!$I$5:$I$92,'Daftar Koreksi'!$D$5:$D$92,'1300'!A246,'Daftar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-1726542077</v>
      </c>
      <c r="E264" s="19">
        <f>SUM(E259:E263)</f>
        <v>0</v>
      </c>
      <c r="F264" s="19">
        <f>SUM(F259:F263)</f>
        <v>0</v>
      </c>
      <c r="G264" s="19">
        <f t="shared" si="11"/>
        <v>-1726542077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3887906840</v>
      </c>
      <c r="E265" s="19">
        <f>E264+E258</f>
        <v>0</v>
      </c>
      <c r="F265" s="19">
        <f>F264+F258</f>
        <v>0</v>
      </c>
      <c r="G265" s="19">
        <f t="shared" si="11"/>
        <v>3887906840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005011300402406000KD</v>
      </c>
      <c r="B268" s="11" t="str">
        <f>P13</f>
        <v>PA. Sintang</v>
      </c>
      <c r="C268" s="12" t="str">
        <f>A268&amp;" "&amp;B268</f>
        <v>005011300402406000KD PA. Sintang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172000</v>
      </c>
      <c r="E271" s="25">
        <f>SUMIFS('Daftar Koreksi'!$H$5:$H$92,'Daftar Koreksi'!$D$5:$D$92,'1300'!A268,'Daftar Koreksi'!$G$5:$G$92,"Persediaan",'Daftar Koreksi'!$H$5:$H$92,"&gt;0")</f>
        <v>0</v>
      </c>
      <c r="F271" s="25">
        <f>SUMIFS('Daftar Koreksi'!$H$5:$H$92,'Daftar Koreksi'!$D$5:$D$92,'1300'!A268,'Daftar Koreksi'!$G$5:$G$92,"Persediaan",'Daftar Koreksi'!$H$5:$H$92,"&lt;0")-SUMIFS('Daftar Koreksi'!$H$5:$H$92,'Daftar Koreksi'!$D$5:$D$92,'1300'!A268,'Daftar Koreksi'!$G$5:$G$92,"Persediaan",'Daftar Koreksi'!$H$5:$H$92,"&lt;0")-SUMIFS('Daftar Koreksi'!$H$5:$H$92,'Daftar Koreksi'!$D$5:$D$92,'1300'!A268,'Daftar Koreksi'!$G$5:$G$92,"Persediaan",'Daftar Koreksi'!$H$5:$H$92,"&lt;0")</f>
        <v>0</v>
      </c>
      <c r="G271" s="17">
        <f>D271+E271-F271</f>
        <v>172000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3186297631</v>
      </c>
      <c r="E272" s="25">
        <f>SUMIFS('Daftar Koreksi'!$H$5:$H$92,'Daftar Koreksi'!$D$5:$D$92,'1300'!A268,'Daftar Koreksi'!$G$5:$G$92,"Tanah",'Daftar Koreksi'!$H$5:$H$92,"&gt;0")</f>
        <v>0</v>
      </c>
      <c r="F272" s="25">
        <f>SUMIFS('Daftar Koreksi'!$H$5:$H$92,'Daftar Koreksi'!$D$5:$D$92,'1300'!A268,'Daftar Koreksi'!$G$5:$G$92,"Tanah",'Daftar Koreksi'!$H$5:$H$92,"&lt;0")-SUMIFS('Daftar Koreksi'!$H$5:$H$92,'Daftar Koreksi'!$D$5:$D$92,'1300'!A268,'Daftar Koreksi'!$G$5:$G$92,"Tanah",'Daftar Koreksi'!$H$5:$H$92,"&lt;0")-SUMIFS('Daftar Koreksi'!$H$5:$H$92,'Daftar Koreksi'!$D$5:$D$92,'1300'!A268,'Daftar Koreksi'!$G$5:$G$92,"Tanah",'Daftar Koreksi'!$H$5:$H$92,"&lt;0")</f>
        <v>0</v>
      </c>
      <c r="G272" s="17">
        <f t="shared" ref="G272:G288" si="12">D272+E272-F272</f>
        <v>3186297631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1285632512</v>
      </c>
      <c r="E273" s="25">
        <f>SUMIFS('Daftar Koreksi'!$H$5:$H$92,'Daftar Koreksi'!$D$5:$D$92,'1300'!A268,'Daftar Koreksi'!$G$5:$G$92,"Peralatan dan mesin",'Daftar Koreksi'!$H$5:$H$92,"&gt;0")</f>
        <v>0</v>
      </c>
      <c r="F273" s="25">
        <f>SUMIFS('Daftar Koreksi'!$H$5:$H$92,'Daftar Koreksi'!$D$5:$D$92,'1300'!A268,'Daftar Koreksi'!$G$5:$G$92,"Peralatan dan mesin",'Daftar Koreksi'!$H$5:$H$92,"&lt;0")-SUMIFS('Daftar Koreksi'!$H$5:$H$92,'Daftar Koreksi'!$D$5:$D$92,'1300'!A268,'Daftar Koreksi'!$G$5:$G$92,"Peralatan dan mesin",'Daftar Koreksi'!$H$5:$H$92,"&lt;0")-SUMIFS('Daftar Koreksi'!$H$5:$H$92,'Daftar Koreksi'!$D$5:$D$92,'1300'!A268,'Daftar Koreksi'!$G$5:$G$92,"Peralatan dan mesin",'Daftar Koreksi'!$H$5:$H$92,"&lt;0")</f>
        <v>0</v>
      </c>
      <c r="G273" s="17">
        <f t="shared" si="12"/>
        <v>1285632512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8708020609</v>
      </c>
      <c r="E274" s="25">
        <f>SUMIFS('Daftar Koreksi'!$H$5:$H$92,'Daftar Koreksi'!$D$5:$D$92,'1300'!A268,'Daftar Koreksi'!$G$5:$G$92,"Gedung dan Bangunan",'Daftar Koreksi'!$H$5:$H$92,"&gt;0")</f>
        <v>0</v>
      </c>
      <c r="F274" s="25">
        <f>SUMIFS('Daftar Koreksi'!$H$5:$H$92,'Daftar Koreksi'!$D$5:$D$92,'1300'!A268,'Daftar Koreksi'!$G$5:$G$92,"Gedung dan Bangunan",'Daftar Koreksi'!$H$5:$H$92,"&lt;0")-SUMIFS('Daftar Koreksi'!$H$5:$H$92,'Daftar Koreksi'!$D$5:$D$92,'1300'!A268,'Daftar Koreksi'!$G$5:$G$92,"Gedung dan Bangunan",'Daftar Koreksi'!$H$5:$H$92,"&lt;0")-SUMIFS('Daftar Koreksi'!$H$5:$H$92,'Daftar Koreksi'!$D$5:$D$92,'1300'!A268,'Daftar Koreksi'!$G$5:$G$92,"Gedung dan Bangunan",'Daftar Koreksi'!$H$5:$H$92,"&lt;0")</f>
        <v>0</v>
      </c>
      <c r="G274" s="17">
        <f t="shared" si="12"/>
        <v>8708020609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74406110</v>
      </c>
      <c r="E275" s="25">
        <f>SUMIFS('Daftar Koreksi'!$H$5:$H$92,'Daftar Koreksi'!$D$5:$D$92,'1300'!A268,'Daftar Koreksi'!$G$5:$G$92,"Jalan Irigasi Jaringan",'Daftar Koreksi'!$H$5:$H$92,"&gt;0")</f>
        <v>0</v>
      </c>
      <c r="F275" s="25">
        <f>SUMIFS('Daftar Koreksi'!$H$5:$H$92,'Daftar Koreksi'!$D$5:$D$92,'1300'!A268,'Daftar Koreksi'!$G$5:$G$92,"Jalan Irigasi Jaringan",'Daftar Koreksi'!$H$5:$H$92,"&lt;0")-SUMIFS('Daftar Koreksi'!$H$5:$H$92,'Daftar Koreksi'!$D$5:$D$92,'1300'!A268,'Daftar Koreksi'!$G$5:$G$92,"Jalan Irigasi Jaringan",'Daftar Koreksi'!$H$5:$H$92,"&lt;0")-SUMIFS('Daftar Koreksi'!$H$5:$H$92,'Daftar Koreksi'!$D$5:$D$92,'1300'!A268,'Daftar Koreksi'!$G$5:$G$92,"Jalan Irigasi Jaringan",'Daftar Koreksi'!$H$5:$H$92,"&lt;0")</f>
        <v>0</v>
      </c>
      <c r="G275" s="17">
        <f t="shared" si="12"/>
        <v>74406110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8263378</v>
      </c>
      <c r="E276" s="25">
        <f>SUMIFS('Daftar Koreksi'!$H$5:$H$92,'Daftar Koreksi'!$D$5:$D$92,'1300'!A268,'Daftar Koreksi'!$G$5:$G$92,"Aset Tetap Lainnya",'Daftar Koreksi'!$H$5:$H$92,"&gt;0")</f>
        <v>0</v>
      </c>
      <c r="F276" s="25">
        <f>SUMIFS('Daftar Koreksi'!$H$5:$H$92,'Daftar Koreksi'!$D$5:$D$92,'1300'!A268,'Daftar Koreksi'!$G$5:$G$92,"Aset Tetap Lainnya",'Daftar Koreksi'!$H$5:$H$92,"&lt;0")-SUMIFS('Daftar Koreksi'!$H$5:$H$92,'Daftar Koreksi'!$D$5:$D$92,'1300'!A268,'Daftar Koreksi'!$G$5:$G$92,"Aset Tetap Lainnya",'Daftar Koreksi'!$H$5:$H$92,"&lt;0")-SUMIFS('Daftar Koreksi'!$H$5:$H$92,'Daftar Koreksi'!$D$5:$D$92,'1300'!A268,'Daftar Koreksi'!$G$5:$G$92,"Aset Tetap Lainnya",'Daftar Koreksi'!$H$5:$H$92,"&lt;0")</f>
        <v>0</v>
      </c>
      <c r="G276" s="17">
        <f t="shared" si="12"/>
        <v>8263378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Koreksi'!$D$5:$D$92,'1300'!A268,'Daftar Koreksi'!$G$5:$G$92,"Kontruksi Dalam Pengerjaan",'Daftar Koreksi'!$H$5:$H$92,"&gt;0")</f>
        <v>0</v>
      </c>
      <c r="F277" s="25">
        <f>SUMIFS('Daftar Koreksi'!$H$5:$H$92,'Daftar Koreksi'!$D$5:$D$92,'1300'!A268,'Daftar Koreksi'!$G$5:$G$92,"Kontruksi Dalam Pengerjaan",'Daftar Koreksi'!$H$5:$H$92,"&lt;0")-SUMIFS('Daftar Koreksi'!$H$5:$H$92,'Daftar Koreksi'!$D$5:$D$92,'1300'!A268,'Daftar Koreksi'!$G$5:$G$92,"Kontruksi Dalam Pengerjaan",'Daftar Koreksi'!$H$5:$H$92,"&lt;0")-SUMIFS('Daftar Koreksi'!$H$5:$H$92,'Daftar Koreksi'!$D$5:$D$92,'1300'!A268,'Daftar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20750000</v>
      </c>
      <c r="E278" s="25">
        <f>SUMIFS('Daftar Koreksi'!$H$5:$H$92,'Daftar Koreksi'!$D$5:$D$92,'1300'!A268,'Daftar Koreksi'!$G$5:$G$92,"Aset Tak Berwujud",'Daftar Koreksi'!$H$5:$H$92,"&gt;0")</f>
        <v>0</v>
      </c>
      <c r="F278" s="25">
        <f>SUMIFS('Daftar Koreksi'!$H$5:$H$92,'Daftar Koreksi'!$D$5:$D$92,'1300'!A268,'Daftar Koreksi'!$G$5:$G$92,"Aset Tak Berwujud",'Daftar Koreksi'!$H$5:$H$92,"&lt;0")-SUMIFS('Daftar Koreksi'!$H$5:$H$92,'Daftar Koreksi'!$D$5:$D$92,'1300'!A268,'Daftar Koreksi'!$G$5:$G$92,"Aset Tak Berwujud",'Daftar Koreksi'!$H$5:$H$92,"&lt;0")-SUMIFS('Daftar Koreksi'!$H$5:$H$92,'Daftar Koreksi'!$D$5:$D$92,'1300'!A268,'Daftar Koreksi'!$G$5:$G$92,"Aset Tak Berwujud",'Daftar Koreksi'!$H$5:$H$92,"&lt;0")</f>
        <v>0</v>
      </c>
      <c r="G278" s="17">
        <f t="shared" si="12"/>
        <v>20750000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404080032</v>
      </c>
      <c r="E279" s="25">
        <f>SUMIFS('Daftar Koreksi'!$H$5:$H$92,'Daftar Koreksi'!$D$5:$D$92,'1300'!A268,'Daftar Koreksi'!$G$5:$G$92,"Aset Henti Guna",'Daftar Koreksi'!$H$5:$H$92,"&gt;0")</f>
        <v>0</v>
      </c>
      <c r="F279" s="25">
        <f>SUMIFS('Daftar Koreksi'!$H$5:$H$92,'Daftar Koreksi'!$D$5:$D$92,'1300'!A268,'Daftar Koreksi'!$G$5:$G$92,"Aset Henti Guna",'Daftar Koreksi'!$H$5:$H$92,"&lt;0")-SUMIFS('Daftar Koreksi'!$H$5:$H$92,'Daftar Koreksi'!$D$5:$D$92,'1300'!A268,'Daftar Koreksi'!$G$5:$G$92,"Aset Henti Guna",'Daftar Koreksi'!$H$5:$H$92,"&lt;0")-SUMIFS('Daftar Koreksi'!$H$5:$H$92,'Daftar Koreksi'!$D$5:$D$92,'1300'!A268,'Daftar Koreksi'!$G$5:$G$92,"Aset Henti Guna",'Daftar Koreksi'!$H$5:$H$92,"&lt;0")</f>
        <v>0</v>
      </c>
      <c r="G279" s="17">
        <f t="shared" si="12"/>
        <v>404080032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13687622272</v>
      </c>
      <c r="E280" s="19">
        <f>SUM(E271:E279)</f>
        <v>0</v>
      </c>
      <c r="F280" s="19">
        <f>SUM(F271:F279)</f>
        <v>0</v>
      </c>
      <c r="G280" s="19">
        <f t="shared" si="12"/>
        <v>13687622272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-796855610</v>
      </c>
      <c r="E281" s="25">
        <f>SUMIFS('Daftar Koreksi'!$I$5:$I$92,'Daftar Koreksi'!$D$5:$D$92,'1300'!A268,'Daftar Koreksi'!$G$5:$G$92,"Peralatan dan mesin",'Daftar Koreksi'!$I$5:$I$92,"&gt;0")</f>
        <v>0</v>
      </c>
      <c r="F281" s="25">
        <f>SUMIFS('Daftar Koreksi'!$I$5:$I$92,'Daftar Koreksi'!$D$5:$D$92,'1300'!A268,'Daftar Koreksi'!$G$5:$G$92,"Peralatan dan mesin",'Daftar Koreksi'!$I$5:$I$92,"&lt;0")-SUMIFS('Daftar Koreksi'!$I$5:$I$92,'Daftar Koreksi'!$D$5:$D$92,'1300'!A268,'Daftar Koreksi'!$G$5:$G$92,"Peralatan dan mesin",'Daftar Koreksi'!$I$5:$I$92,"&lt;0")-SUMIFS('Daftar Koreksi'!$I$5:$I$92,'Daftar Koreksi'!$D$5:$D$92,'1300'!A268,'Daftar Koreksi'!$G$5:$G$92,"Peralatan dan mesin",'Daftar Koreksi'!$I$5:$I$92,"&lt;0")</f>
        <v>0</v>
      </c>
      <c r="G281" s="17">
        <f t="shared" si="12"/>
        <v>-796855610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-506862031</v>
      </c>
      <c r="E282" s="25">
        <f>SUMIFS('Daftar Koreksi'!$I$5:$I$92,'Daftar Koreksi'!$D$5:$D$92,'1300'!A268,'Daftar Koreksi'!$G$5:$G$92,"Gedung dan Bangunan",'Daftar Koreksi'!$I$5:$I$92,"&gt;0")</f>
        <v>0</v>
      </c>
      <c r="F282" s="25">
        <f>SUMIFS('Daftar Koreksi'!$I$5:$I$92,'Daftar Koreksi'!$D$5:$D$92,'1300'!A268,'Daftar Koreksi'!$G$5:$G$92,"Gedung dan Bangunan",'Daftar Koreksi'!$I$5:$I$92,"&lt;0")-SUMIFS('Daftar Koreksi'!$I$5:$I$92,'Daftar Koreksi'!$D$5:$D$92,'1300'!A268,'Daftar Koreksi'!$G$5:$G$92,"Gedung dan Bangunan",'Daftar Koreksi'!$I$5:$I$92,"&lt;0")-SUMIFS('Daftar Koreksi'!$I$5:$I$92,'Daftar Koreksi'!$D$5:$D$92,'1300'!A268,'Daftar Koreksi'!$G$5:$G$92,"Gedung dan Bangunan",'Daftar Koreksi'!$I$5:$I$92,"&lt;0")</f>
        <v>0</v>
      </c>
      <c r="G282" s="17">
        <f t="shared" si="12"/>
        <v>-506862031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-9731759</v>
      </c>
      <c r="E283" s="25">
        <f>SUMIFS('Daftar Koreksi'!$I$5:$I$92,'Daftar Koreksi'!$D$5:$D$92,'1300'!A268,'Daftar Koreksi'!$G$5:$G$92,"Jalan Irigasi Jaringan",'Daftar Koreksi'!$I$5:$I$92,"&gt;0")</f>
        <v>0</v>
      </c>
      <c r="F283" s="25">
        <f>SUMIFS('Daftar Koreksi'!$I$5:$I$92,'Daftar Koreksi'!$D$5:$D$92,'1300'!A268,'Daftar Koreksi'!$G$5:$G$92,"Jalan Irigasi Jaringan",'Daftar Koreksi'!$I$5:$I$92,"&lt;0")-SUMIFS('Daftar Koreksi'!$I$5:$I$92,'Daftar Koreksi'!$D$5:$D$92,'1300'!A268,'Daftar Koreksi'!$G$5:$G$92,"Jalan Irigasi Jaringan",'Daftar Koreksi'!$I$5:$I$92,"&lt;0")-SUMIFS('Daftar Koreksi'!$I$5:$I$92,'Daftar Koreksi'!$D$5:$D$92,'1300'!A268,'Daftar Koreksi'!$G$5:$G$92,"Jalan Irigasi Jaringan",'Daftar Koreksi'!$I$5:$I$92,"&lt;0")</f>
        <v>0</v>
      </c>
      <c r="G283" s="17">
        <f t="shared" si="12"/>
        <v>-9731759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Koreksi'!$D$5:$D$92,'1300'!A268,'Daftar Koreksi'!$G$5:$G$92,"Aset Tetap Lainnya",'Daftar Koreksi'!$I$5:$I$92,"&gt;0")</f>
        <v>0</v>
      </c>
      <c r="F284" s="25">
        <f>SUMIFS('Daftar Koreksi'!$I$5:$I$92,'Daftar Koreksi'!$D$5:$D$92,'1300'!A268,'Daftar Koreksi'!$G$5:$G$92,"Aset Tetap Lainnya",'Daftar Koreksi'!$I$5:$I$92,"&lt;0")-SUMIFS('Daftar Koreksi'!$I$5:$I$92,'Daftar Koreksi'!$D$5:$D$92,'1300'!A268,'Daftar Koreksi'!$G$5:$G$92,"Aset Tetap Lainnya",'Daftar Koreksi'!$I$5:$I$92,"&lt;0")-SUMIFS('Daftar Koreksi'!$I$5:$I$92,'Daftar Koreksi'!$D$5:$D$92,'1300'!A268,'Daftar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-412609210</v>
      </c>
      <c r="E285" s="25">
        <f>SUMIFS('Daftar Koreksi'!$I$5:$I$92,'Daftar Koreksi'!$D$5:$D$92,'1300'!A268,'Daftar Koreksi'!$G$5:$G$92,"Aset Henti Guna",'Daftar Koreksi'!$I$5:$I$92,"&gt;0")</f>
        <v>0</v>
      </c>
      <c r="F285" s="25">
        <f>SUMIFS('Daftar Koreksi'!$I$5:$I$92,'Daftar Koreksi'!$D$5:$D$92,'1300'!A268,'Daftar Koreksi'!$G$5:$G$92,"Aset Henti Guna",'Daftar Koreksi'!$I$5:$I$92,"&lt;0")-SUMIFS('Daftar Koreksi'!$I$5:$I$92,'Daftar Koreksi'!$D$5:$D$92,'1300'!A268,'Daftar Koreksi'!$G$5:$G$92,"Aset Henti Guna",'Daftar Koreksi'!$I$5:$I$92,"&lt;0")-SUMIFS('Daftar Koreksi'!$I$5:$I$92,'Daftar Koreksi'!$D$5:$D$92,'1300'!A268,'Daftar Koreksi'!$G$5:$G$92,"Aset Henti Guna",'Daftar Koreksi'!$I$5:$I$92,"&lt;0")</f>
        <v>0</v>
      </c>
      <c r="G285" s="17">
        <f t="shared" si="12"/>
        <v>-412609210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-1726058610</v>
      </c>
      <c r="E286" s="19">
        <f>SUM(E281:E285)</f>
        <v>0</v>
      </c>
      <c r="F286" s="19">
        <f>SUM(F281:F285)</f>
        <v>0</v>
      </c>
      <c r="G286" s="19">
        <f t="shared" si="12"/>
        <v>-1726058610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11961563662</v>
      </c>
      <c r="E287" s="19">
        <f>E286+E280</f>
        <v>0</v>
      </c>
      <c r="F287" s="19">
        <f>F286+F280</f>
        <v>0</v>
      </c>
      <c r="G287" s="19">
        <f t="shared" si="12"/>
        <v>11961563662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005011300402412000KD</v>
      </c>
      <c r="B290" s="11" t="str">
        <f>P14</f>
        <v>PA. Putussibau</v>
      </c>
      <c r="C290" s="12" t="str">
        <f>A290&amp;" "&amp;B290</f>
        <v>005011300402412000KD PA. Putussibau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1640000</v>
      </c>
      <c r="E293" s="25">
        <f>SUMIFS('Daftar Koreksi'!$H$5:$H$92,'Daftar Koreksi'!$D$5:$D$92,'1300'!A290,'Daftar Koreksi'!$G$5:$G$92,"Persediaan",'Daftar Koreksi'!$H$5:$H$92,"&gt;0")</f>
        <v>0</v>
      </c>
      <c r="F293" s="25">
        <f>SUMIFS('Daftar Koreksi'!$H$5:$H$92,'Daftar Koreksi'!$D$5:$D$92,'1300'!A290,'Daftar Koreksi'!$G$5:$G$92,"Persediaan",'Daftar Koreksi'!$H$5:$H$92,"&lt;0")-SUMIFS('Daftar Koreksi'!$H$5:$H$92,'Daftar Koreksi'!$D$5:$D$92,'1300'!A290,'Daftar Koreksi'!$G$5:$G$92,"Persediaan",'Daftar Koreksi'!$H$5:$H$92,"&lt;0")-SUMIFS('Daftar Koreksi'!$H$5:$H$92,'Daftar Koreksi'!$D$5:$D$92,'1300'!A290,'Daftar Koreksi'!$G$5:$G$92,"Persediaan",'Daftar Koreksi'!$H$5:$H$92,"&lt;0")</f>
        <v>0</v>
      </c>
      <c r="G293" s="17">
        <f>D293+E293-F293</f>
        <v>1640000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3670700000</v>
      </c>
      <c r="E294" s="25">
        <f>SUMIFS('Daftar Koreksi'!$H$5:$H$92,'Daftar Koreksi'!$D$5:$D$92,'1300'!A290,'Daftar Koreksi'!$G$5:$G$92,"Tanah",'Daftar Koreksi'!$H$5:$H$92,"&gt;0")</f>
        <v>0</v>
      </c>
      <c r="F294" s="25">
        <f>SUMIFS('Daftar Koreksi'!$H$5:$H$92,'Daftar Koreksi'!$D$5:$D$92,'1300'!A290,'Daftar Koreksi'!$G$5:$G$92,"Tanah",'Daftar Koreksi'!$H$5:$H$92,"&lt;0")-SUMIFS('Daftar Koreksi'!$H$5:$H$92,'Daftar Koreksi'!$D$5:$D$92,'1300'!A290,'Daftar Koreksi'!$G$5:$G$92,"Tanah",'Daftar Koreksi'!$H$5:$H$92,"&lt;0")-SUMIFS('Daftar Koreksi'!$H$5:$H$92,'Daftar Koreksi'!$D$5:$D$92,'1300'!A290,'Daftar Koreksi'!$G$5:$G$92,"Tanah",'Daftar Koreksi'!$H$5:$H$92,"&lt;0")</f>
        <v>0</v>
      </c>
      <c r="G294" s="17">
        <f t="shared" ref="G294:G310" si="13">D294+E294-F294</f>
        <v>3670700000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1144292403</v>
      </c>
      <c r="E295" s="25">
        <f>SUMIFS('Daftar Koreksi'!$H$5:$H$92,'Daftar Koreksi'!$D$5:$D$92,'1300'!A290,'Daftar Koreksi'!$G$5:$G$92,"Peralatan dan mesin",'Daftar Koreksi'!$H$5:$H$92,"&gt;0")</f>
        <v>0</v>
      </c>
      <c r="F295" s="25">
        <f>SUMIFS('Daftar Koreksi'!$H$5:$H$92,'Daftar Koreksi'!$D$5:$D$92,'1300'!A290,'Daftar Koreksi'!$G$5:$G$92,"Peralatan dan mesin",'Daftar Koreksi'!$H$5:$H$92,"&lt;0")-SUMIFS('Daftar Koreksi'!$H$5:$H$92,'Daftar Koreksi'!$D$5:$D$92,'1300'!A290,'Daftar Koreksi'!$G$5:$G$92,"Peralatan dan mesin",'Daftar Koreksi'!$H$5:$H$92,"&lt;0")-SUMIFS('Daftar Koreksi'!$H$5:$H$92,'Daftar Koreksi'!$D$5:$D$92,'1300'!A290,'Daftar Koreksi'!$G$5:$G$92,"Peralatan dan mesin",'Daftar Koreksi'!$H$5:$H$92,"&lt;0")</f>
        <v>0</v>
      </c>
      <c r="G295" s="17">
        <f t="shared" si="13"/>
        <v>1144292403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8973035750</v>
      </c>
      <c r="E296" s="25">
        <f>SUMIFS('Daftar Koreksi'!$H$5:$H$92,'Daftar Koreksi'!$D$5:$D$92,'1300'!A290,'Daftar Koreksi'!$G$5:$G$92,"Gedung dan Bangunan",'Daftar Koreksi'!$H$5:$H$92,"&gt;0")</f>
        <v>0</v>
      </c>
      <c r="F296" s="25">
        <f>SUMIFS('Daftar Koreksi'!$H$5:$H$92,'Daftar Koreksi'!$D$5:$D$92,'1300'!A290,'Daftar Koreksi'!$G$5:$G$92,"Gedung dan Bangunan",'Daftar Koreksi'!$H$5:$H$92,"&lt;0")-SUMIFS('Daftar Koreksi'!$H$5:$H$92,'Daftar Koreksi'!$D$5:$D$92,'1300'!A290,'Daftar Koreksi'!$G$5:$G$92,"Gedung dan Bangunan",'Daftar Koreksi'!$H$5:$H$92,"&lt;0")-SUMIFS('Daftar Koreksi'!$H$5:$H$92,'Daftar Koreksi'!$D$5:$D$92,'1300'!A290,'Daftar Koreksi'!$G$5:$G$92,"Gedung dan Bangunan",'Daftar Koreksi'!$H$5:$H$92,"&lt;0")</f>
        <v>0</v>
      </c>
      <c r="G296" s="17">
        <f t="shared" si="13"/>
        <v>8973035750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239637250</v>
      </c>
      <c r="E297" s="25">
        <f>SUMIFS('Daftar Koreksi'!$H$5:$H$92,'Daftar Koreksi'!$D$5:$D$92,'1300'!A290,'Daftar Koreksi'!$G$5:$G$92,"Jalan Irigasi Jaringan",'Daftar Koreksi'!$H$5:$H$92,"&gt;0")</f>
        <v>0</v>
      </c>
      <c r="F297" s="25">
        <f>SUMIFS('Daftar Koreksi'!$H$5:$H$92,'Daftar Koreksi'!$D$5:$D$92,'1300'!A290,'Daftar Koreksi'!$G$5:$G$92,"Jalan Irigasi Jaringan",'Daftar Koreksi'!$H$5:$H$92,"&lt;0")-SUMIFS('Daftar Koreksi'!$H$5:$H$92,'Daftar Koreksi'!$D$5:$D$92,'1300'!A290,'Daftar Koreksi'!$G$5:$G$92,"Jalan Irigasi Jaringan",'Daftar Koreksi'!$H$5:$H$92,"&lt;0")-SUMIFS('Daftar Koreksi'!$H$5:$H$92,'Daftar Koreksi'!$D$5:$D$92,'1300'!A290,'Daftar Koreksi'!$G$5:$G$92,"Jalan Irigasi Jaringan",'Daftar Koreksi'!$H$5:$H$92,"&lt;0")</f>
        <v>0</v>
      </c>
      <c r="G297" s="17">
        <f t="shared" si="13"/>
        <v>239637250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28823442</v>
      </c>
      <c r="E298" s="25">
        <f>SUMIFS('Daftar Koreksi'!$H$5:$H$92,'Daftar Koreksi'!$D$5:$D$92,'1300'!A290,'Daftar Koreksi'!$G$5:$G$92,"Aset Tetap Lainnya",'Daftar Koreksi'!$H$5:$H$92,"&gt;0")</f>
        <v>0</v>
      </c>
      <c r="F298" s="25">
        <f>SUMIFS('Daftar Koreksi'!$H$5:$H$92,'Daftar Koreksi'!$D$5:$D$92,'1300'!A290,'Daftar Koreksi'!$G$5:$G$92,"Aset Tetap Lainnya",'Daftar Koreksi'!$H$5:$H$92,"&lt;0")-SUMIFS('Daftar Koreksi'!$H$5:$H$92,'Daftar Koreksi'!$D$5:$D$92,'1300'!A290,'Daftar Koreksi'!$G$5:$G$92,"Aset Tetap Lainnya",'Daftar Koreksi'!$H$5:$H$92,"&lt;0")-SUMIFS('Daftar Koreksi'!$H$5:$H$92,'Daftar Koreksi'!$D$5:$D$92,'1300'!A290,'Daftar Koreksi'!$G$5:$G$92,"Aset Tetap Lainnya",'Daftar Koreksi'!$H$5:$H$92,"&lt;0")</f>
        <v>0</v>
      </c>
      <c r="G298" s="17">
        <f t="shared" si="13"/>
        <v>28823442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1427301050</v>
      </c>
      <c r="E299" s="25">
        <f>SUMIFS('Daftar Koreksi'!$H$5:$H$92,'Daftar Koreksi'!$D$5:$D$92,'1300'!A290,'Daftar Koreksi'!$G$5:$G$92,"Kontruksi Dalam Pengerjaan",'Daftar Koreksi'!$H$5:$H$92,"&gt;0")</f>
        <v>0</v>
      </c>
      <c r="F299" s="25">
        <f>SUMIFS('Daftar Koreksi'!$H$5:$H$92,'Daftar Koreksi'!$D$5:$D$92,'1300'!A290,'Daftar Koreksi'!$G$5:$G$92,"Kontruksi Dalam Pengerjaan",'Daftar Koreksi'!$H$5:$H$92,"&lt;0")-SUMIFS('Daftar Koreksi'!$H$5:$H$92,'Daftar Koreksi'!$D$5:$D$92,'1300'!A290,'Daftar Koreksi'!$G$5:$G$92,"Kontruksi Dalam Pengerjaan",'Daftar Koreksi'!$H$5:$H$92,"&lt;0")-SUMIFS('Daftar Koreksi'!$H$5:$H$92,'Daftar Koreksi'!$D$5:$D$92,'1300'!A290,'Daftar Koreksi'!$G$5:$G$92,"Kontruksi Dalam Pengerjaan",'Daftar Koreksi'!$H$5:$H$92,"&lt;0")</f>
        <v>0</v>
      </c>
      <c r="G299" s="17">
        <f t="shared" si="13"/>
        <v>1427301050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22200000</v>
      </c>
      <c r="E300" s="25">
        <f>SUMIFS('Daftar Koreksi'!$H$5:$H$92,'Daftar Koreksi'!$D$5:$D$92,'1300'!A290,'Daftar Koreksi'!$G$5:$G$92,"Aset Tak Berwujud",'Daftar Koreksi'!$H$5:$H$92,"&gt;0")</f>
        <v>0</v>
      </c>
      <c r="F300" s="25">
        <f>SUMIFS('Daftar Koreksi'!$H$5:$H$92,'Daftar Koreksi'!$D$5:$D$92,'1300'!A290,'Daftar Koreksi'!$G$5:$G$92,"Aset Tak Berwujud",'Daftar Koreksi'!$H$5:$H$92,"&lt;0")-SUMIFS('Daftar Koreksi'!$H$5:$H$92,'Daftar Koreksi'!$D$5:$D$92,'1300'!A290,'Daftar Koreksi'!$G$5:$G$92,"Aset Tak Berwujud",'Daftar Koreksi'!$H$5:$H$92,"&lt;0")-SUMIFS('Daftar Koreksi'!$H$5:$H$92,'Daftar Koreksi'!$D$5:$D$92,'1300'!A290,'Daftar Koreksi'!$G$5:$G$92,"Aset Tak Berwujud",'Daftar Koreksi'!$H$5:$H$92,"&lt;0")</f>
        <v>0</v>
      </c>
      <c r="G300" s="17">
        <f t="shared" si="13"/>
        <v>22200000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137067865</v>
      </c>
      <c r="E301" s="25">
        <f>SUMIFS('Daftar Koreksi'!$H$5:$H$92,'Daftar Koreksi'!$D$5:$D$92,'1300'!A290,'Daftar Koreksi'!$G$5:$G$92,"Aset Henti Guna",'Daftar Koreksi'!$H$5:$H$92,"&gt;0")</f>
        <v>0</v>
      </c>
      <c r="F301" s="25">
        <f>SUMIFS('Daftar Koreksi'!$H$5:$H$92,'Daftar Koreksi'!$D$5:$D$92,'1300'!A290,'Daftar Koreksi'!$G$5:$G$92,"Aset Henti Guna",'Daftar Koreksi'!$H$5:$H$92,"&lt;0")-SUMIFS('Daftar Koreksi'!$H$5:$H$92,'Daftar Koreksi'!$D$5:$D$92,'1300'!A290,'Daftar Koreksi'!$G$5:$G$92,"Aset Henti Guna",'Daftar Koreksi'!$H$5:$H$92,"&lt;0")-SUMIFS('Daftar Koreksi'!$H$5:$H$92,'Daftar Koreksi'!$D$5:$D$92,'1300'!A290,'Daftar Koreksi'!$G$5:$G$92,"Aset Henti Guna",'Daftar Koreksi'!$H$5:$H$92,"&lt;0")</f>
        <v>0</v>
      </c>
      <c r="G301" s="17">
        <f t="shared" si="13"/>
        <v>137067865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15644697760</v>
      </c>
      <c r="E302" s="19">
        <f>SUM(E293:E301)</f>
        <v>0</v>
      </c>
      <c r="F302" s="19">
        <f>SUM(F293:F301)</f>
        <v>0</v>
      </c>
      <c r="G302" s="19">
        <f t="shared" si="13"/>
        <v>15644697760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-875131931</v>
      </c>
      <c r="E303" s="25">
        <f>SUMIFS('Daftar Koreksi'!$I$5:$I$92,'Daftar Koreksi'!$D$5:$D$92,'1300'!A290,'Daftar Koreksi'!$G$5:$G$92,"Peralatan dan mesin",'Daftar Koreksi'!$I$5:$I$92,"&gt;0")</f>
        <v>0</v>
      </c>
      <c r="F303" s="25">
        <f>SUMIFS('Daftar Koreksi'!$I$5:$I$92,'Daftar Koreksi'!$D$5:$D$92,'1300'!A290,'Daftar Koreksi'!$G$5:$G$92,"Peralatan dan mesin",'Daftar Koreksi'!$I$5:$I$92,"&lt;0")-SUMIFS('Daftar Koreksi'!$I$5:$I$92,'Daftar Koreksi'!$D$5:$D$92,'1300'!A290,'Daftar Koreksi'!$G$5:$G$92,"Peralatan dan mesin",'Daftar Koreksi'!$I$5:$I$92,"&lt;0")-SUMIFS('Daftar Koreksi'!$I$5:$I$92,'Daftar Koreksi'!$D$5:$D$92,'1300'!A290,'Daftar Koreksi'!$G$5:$G$92,"Peralatan dan mesin",'Daftar Koreksi'!$I$5:$I$92,"&lt;0")</f>
        <v>0</v>
      </c>
      <c r="G303" s="17">
        <f t="shared" si="13"/>
        <v>-875131931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-341062719</v>
      </c>
      <c r="E304" s="25">
        <f>SUMIFS('Daftar Koreksi'!$I$5:$I$92,'Daftar Koreksi'!$D$5:$D$92,'1300'!A290,'Daftar Koreksi'!$G$5:$G$92,"Gedung dan Bangunan",'Daftar Koreksi'!$I$5:$I$92,"&gt;0")</f>
        <v>0</v>
      </c>
      <c r="F304" s="25">
        <f>SUMIFS('Daftar Koreksi'!$I$5:$I$92,'Daftar Koreksi'!$D$5:$D$92,'1300'!A290,'Daftar Koreksi'!$G$5:$G$92,"Gedung dan Bangunan",'Daftar Koreksi'!$I$5:$I$92,"&lt;0")-SUMIFS('Daftar Koreksi'!$I$5:$I$92,'Daftar Koreksi'!$D$5:$D$92,'1300'!A290,'Daftar Koreksi'!$G$5:$G$92,"Gedung dan Bangunan",'Daftar Koreksi'!$I$5:$I$92,"&lt;0")-SUMIFS('Daftar Koreksi'!$I$5:$I$92,'Daftar Koreksi'!$D$5:$D$92,'1300'!A290,'Daftar Koreksi'!$G$5:$G$92,"Gedung dan Bangunan",'Daftar Koreksi'!$I$5:$I$92,"&lt;0")</f>
        <v>0</v>
      </c>
      <c r="G304" s="17">
        <f t="shared" si="13"/>
        <v>-341062719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-98590588</v>
      </c>
      <c r="E305" s="25">
        <f>SUMIFS('Daftar Koreksi'!$I$5:$I$92,'Daftar Koreksi'!$D$5:$D$92,'1300'!A290,'Daftar Koreksi'!$G$5:$G$92,"Jalan Irigasi Jaringan",'Daftar Koreksi'!$I$5:$I$92,"&gt;0")</f>
        <v>0</v>
      </c>
      <c r="F305" s="25">
        <f>SUMIFS('Daftar Koreksi'!$I$5:$I$92,'Daftar Koreksi'!$D$5:$D$92,'1300'!A290,'Daftar Koreksi'!$G$5:$G$92,"Jalan Irigasi Jaringan",'Daftar Koreksi'!$I$5:$I$92,"&lt;0")-SUMIFS('Daftar Koreksi'!$I$5:$I$92,'Daftar Koreksi'!$D$5:$D$92,'1300'!A290,'Daftar Koreksi'!$G$5:$G$92,"Jalan Irigasi Jaringan",'Daftar Koreksi'!$I$5:$I$92,"&lt;0")-SUMIFS('Daftar Koreksi'!$I$5:$I$92,'Daftar Koreksi'!$D$5:$D$92,'1300'!A290,'Daftar Koreksi'!$G$5:$G$92,"Jalan Irigasi Jaringan",'Daftar Koreksi'!$I$5:$I$92,"&lt;0")</f>
        <v>0</v>
      </c>
      <c r="G305" s="17">
        <f t="shared" si="13"/>
        <v>-98590588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Koreksi'!$D$5:$D$92,'1300'!A290,'Daftar Koreksi'!$G$5:$G$92,"Aset Tetap Lainnya",'Daftar Koreksi'!$I$5:$I$92,"&gt;0")</f>
        <v>0</v>
      </c>
      <c r="F306" s="25">
        <f>SUMIFS('Daftar Koreksi'!$I$5:$I$92,'Daftar Koreksi'!$D$5:$D$92,'1300'!A290,'Daftar Koreksi'!$G$5:$G$92,"Aset Tetap Lainnya",'Daftar Koreksi'!$I$5:$I$92,"&lt;0")-SUMIFS('Daftar Koreksi'!$I$5:$I$92,'Daftar Koreksi'!$D$5:$D$92,'1300'!A290,'Daftar Koreksi'!$G$5:$G$92,"Aset Tetap Lainnya",'Daftar Koreksi'!$I$5:$I$92,"&lt;0")-SUMIFS('Daftar Koreksi'!$I$5:$I$92,'Daftar Koreksi'!$D$5:$D$92,'1300'!A290,'Daftar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-125975032</v>
      </c>
      <c r="E307" s="25">
        <f>SUMIFS('Daftar Koreksi'!$I$5:$I$92,'Daftar Koreksi'!$D$5:$D$92,'1300'!A290,'Daftar Koreksi'!$G$5:$G$92,"Aset Henti Guna",'Daftar Koreksi'!$I$5:$I$92,"&gt;0")</f>
        <v>0</v>
      </c>
      <c r="F307" s="25">
        <f>SUMIFS('Daftar Koreksi'!$I$5:$I$92,'Daftar Koreksi'!$D$5:$D$92,'1300'!A290,'Daftar Koreksi'!$G$5:$G$92,"Aset Henti Guna",'Daftar Koreksi'!$I$5:$I$92,"&lt;0")-SUMIFS('Daftar Koreksi'!$I$5:$I$92,'Daftar Koreksi'!$D$5:$D$92,'1300'!A290,'Daftar Koreksi'!$G$5:$G$92,"Aset Henti Guna",'Daftar Koreksi'!$I$5:$I$92,"&lt;0")-SUMIFS('Daftar Koreksi'!$I$5:$I$92,'Daftar Koreksi'!$D$5:$D$92,'1300'!A290,'Daftar Koreksi'!$G$5:$G$92,"Aset Henti Guna",'Daftar Koreksi'!$I$5:$I$92,"&lt;0")</f>
        <v>0</v>
      </c>
      <c r="G307" s="17">
        <f t="shared" si="13"/>
        <v>-125975032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-1440760270</v>
      </c>
      <c r="E308" s="19">
        <f>SUM(E303:E307)</f>
        <v>0</v>
      </c>
      <c r="F308" s="19">
        <f>SUM(F303:F307)</f>
        <v>0</v>
      </c>
      <c r="G308" s="19">
        <f t="shared" si="13"/>
        <v>-1440760270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14203937490</v>
      </c>
      <c r="E309" s="19">
        <f>E308+E302</f>
        <v>0</v>
      </c>
      <c r="F309" s="19">
        <f>F308+F302</f>
        <v>0</v>
      </c>
      <c r="G309" s="19">
        <f t="shared" si="13"/>
        <v>14203937490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005011300402650000KD</v>
      </c>
      <c r="B312" s="11" t="str">
        <f>P15</f>
        <v>PTA. Pontianak</v>
      </c>
      <c r="C312" s="12" t="str">
        <f>A312&amp;" "&amp;B312</f>
        <v>005011300402650000KD PTA. Pontianak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8680800</v>
      </c>
      <c r="E315" s="25">
        <f>SUMIFS('Daftar Koreksi'!$H$5:$H$92,'Daftar Koreksi'!$D$5:$D$92,'1300'!A312,'Daftar Koreksi'!$G$5:$G$92,"Persediaan",'Daftar Koreksi'!$H$5:$H$92,"&gt;0")</f>
        <v>0</v>
      </c>
      <c r="F315" s="25">
        <f>SUMIFS('Daftar Koreksi'!$H$5:$H$92,'Daftar Koreksi'!$D$5:$D$92,'1300'!A312,'Daftar Koreksi'!$G$5:$G$92,"Persediaan",'Daftar Koreksi'!$H$5:$H$92,"&lt;0")-SUMIFS('Daftar Koreksi'!$H$5:$H$92,'Daftar Koreksi'!$D$5:$D$92,'1300'!A312,'Daftar Koreksi'!$G$5:$G$92,"Persediaan",'Daftar Koreksi'!$H$5:$H$92,"&lt;0")-SUMIFS('Daftar Koreksi'!$H$5:$H$92,'Daftar Koreksi'!$D$5:$D$92,'1300'!A312,'Daftar Koreksi'!$G$5:$G$92,"Persediaan",'Daftar Koreksi'!$H$5:$H$92,"&lt;0")</f>
        <v>0</v>
      </c>
      <c r="G315" s="17">
        <f>D315+E315-F315</f>
        <v>8680800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5985187850</v>
      </c>
      <c r="E316" s="25">
        <f>SUMIFS('Daftar Koreksi'!$H$5:$H$92,'Daftar Koreksi'!$D$5:$D$92,'1300'!A312,'Daftar Koreksi'!$G$5:$G$92,"Tanah",'Daftar Koreksi'!$H$5:$H$92,"&gt;0")</f>
        <v>0</v>
      </c>
      <c r="F316" s="25">
        <f>SUMIFS('Daftar Koreksi'!$H$5:$H$92,'Daftar Koreksi'!$D$5:$D$92,'1300'!A312,'Daftar Koreksi'!$G$5:$G$92,"Tanah",'Daftar Koreksi'!$H$5:$H$92,"&lt;0")-SUMIFS('Daftar Koreksi'!$H$5:$H$92,'Daftar Koreksi'!$D$5:$D$92,'1300'!A312,'Daftar Koreksi'!$G$5:$G$92,"Tanah",'Daftar Koreksi'!$H$5:$H$92,"&lt;0")-SUMIFS('Daftar Koreksi'!$H$5:$H$92,'Daftar Koreksi'!$D$5:$D$92,'1300'!A312,'Daftar Koreksi'!$G$5:$G$92,"Tanah",'Daftar Koreksi'!$H$5:$H$92,"&lt;0")</f>
        <v>0</v>
      </c>
      <c r="G316" s="17">
        <f t="shared" ref="G316:G332" si="14">D316+E316-F316</f>
        <v>5985187850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3602131211</v>
      </c>
      <c r="E317" s="25">
        <f>SUMIFS('Daftar Koreksi'!$H$5:$H$92,'Daftar Koreksi'!$D$5:$D$92,'1300'!A312,'Daftar Koreksi'!$G$5:$G$92,"Peralatan dan mesin",'Daftar Koreksi'!$H$5:$H$92,"&gt;0")</f>
        <v>0</v>
      </c>
      <c r="F317" s="25">
        <f>SUMIFS('Daftar Koreksi'!$H$5:$H$92,'Daftar Koreksi'!$D$5:$D$92,'1300'!A312,'Daftar Koreksi'!$G$5:$G$92,"Peralatan dan mesin",'Daftar Koreksi'!$H$5:$H$92,"&lt;0")-SUMIFS('Daftar Koreksi'!$H$5:$H$92,'Daftar Koreksi'!$D$5:$D$92,'1300'!A312,'Daftar Koreksi'!$G$5:$G$92,"Peralatan dan mesin",'Daftar Koreksi'!$H$5:$H$92,"&lt;0")-SUMIFS('Daftar Koreksi'!$H$5:$H$92,'Daftar Koreksi'!$D$5:$D$92,'1300'!A312,'Daftar Koreksi'!$G$5:$G$92,"Peralatan dan mesin",'Daftar Koreksi'!$H$5:$H$92,"&lt;0")</f>
        <v>0</v>
      </c>
      <c r="G317" s="17">
        <f t="shared" si="14"/>
        <v>3602131211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8248692000</v>
      </c>
      <c r="E318" s="25">
        <f>SUMIFS('Daftar Koreksi'!$H$5:$H$92,'Daftar Koreksi'!$D$5:$D$92,'1300'!A312,'Daftar Koreksi'!$G$5:$G$92,"Gedung dan Bangunan",'Daftar Koreksi'!$H$5:$H$92,"&gt;0")</f>
        <v>0</v>
      </c>
      <c r="F318" s="25">
        <f>SUMIFS('Daftar Koreksi'!$H$5:$H$92,'Daftar Koreksi'!$D$5:$D$92,'1300'!A312,'Daftar Koreksi'!$G$5:$G$92,"Gedung dan Bangunan",'Daftar Koreksi'!$H$5:$H$92,"&lt;0")-SUMIFS('Daftar Koreksi'!$H$5:$H$92,'Daftar Koreksi'!$D$5:$D$92,'1300'!A312,'Daftar Koreksi'!$G$5:$G$92,"Gedung dan Bangunan",'Daftar Koreksi'!$H$5:$H$92,"&lt;0")-SUMIFS('Daftar Koreksi'!$H$5:$H$92,'Daftar Koreksi'!$D$5:$D$92,'1300'!A312,'Daftar Koreksi'!$G$5:$G$92,"Gedung dan Bangunan",'Daftar Koreksi'!$H$5:$H$92,"&lt;0")</f>
        <v>0</v>
      </c>
      <c r="G318" s="17">
        <f t="shared" si="14"/>
        <v>8248692000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Koreksi'!$D$5:$D$92,'1300'!A312,'Daftar Koreksi'!$G$5:$G$92,"Jalan Irigasi Jaringan",'Daftar Koreksi'!$H$5:$H$92,"&gt;0")</f>
        <v>0</v>
      </c>
      <c r="F319" s="25">
        <f>SUMIFS('Daftar Koreksi'!$H$5:$H$92,'Daftar Koreksi'!$D$5:$D$92,'1300'!A312,'Daftar Koreksi'!$G$5:$G$92,"Jalan Irigasi Jaringan",'Daftar Koreksi'!$H$5:$H$92,"&lt;0")-SUMIFS('Daftar Koreksi'!$H$5:$H$92,'Daftar Koreksi'!$D$5:$D$92,'1300'!A312,'Daftar Koreksi'!$G$5:$G$92,"Jalan Irigasi Jaringan",'Daftar Koreksi'!$H$5:$H$92,"&lt;0")-SUMIFS('Daftar Koreksi'!$H$5:$H$92,'Daftar Koreksi'!$D$5:$D$92,'1300'!A312,'Daftar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15387720</v>
      </c>
      <c r="E320" s="25">
        <f>SUMIFS('Daftar Koreksi'!$H$5:$H$92,'Daftar Koreksi'!$D$5:$D$92,'1300'!A312,'Daftar Koreksi'!$G$5:$G$92,"Aset Tetap Lainnya",'Daftar Koreksi'!$H$5:$H$92,"&gt;0")</f>
        <v>0</v>
      </c>
      <c r="F320" s="25">
        <f>SUMIFS('Daftar Koreksi'!$H$5:$H$92,'Daftar Koreksi'!$D$5:$D$92,'1300'!A312,'Daftar Koreksi'!$G$5:$G$92,"Aset Tetap Lainnya",'Daftar Koreksi'!$H$5:$H$92,"&lt;0")-SUMIFS('Daftar Koreksi'!$H$5:$H$92,'Daftar Koreksi'!$D$5:$D$92,'1300'!A312,'Daftar Koreksi'!$G$5:$G$92,"Aset Tetap Lainnya",'Daftar Koreksi'!$H$5:$H$92,"&lt;0")-SUMIFS('Daftar Koreksi'!$H$5:$H$92,'Daftar Koreksi'!$D$5:$D$92,'1300'!A312,'Daftar Koreksi'!$G$5:$G$92,"Aset Tetap Lainnya",'Daftar Koreksi'!$H$5:$H$92,"&lt;0")</f>
        <v>0</v>
      </c>
      <c r="G320" s="17">
        <f t="shared" si="14"/>
        <v>15387720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Koreksi'!$D$5:$D$92,'1300'!A312,'Daftar Koreksi'!$G$5:$G$92,"Kontruksi Dalam Pengerjaan",'Daftar Koreksi'!$H$5:$H$92,"&gt;0")</f>
        <v>0</v>
      </c>
      <c r="F321" s="25">
        <f>SUMIFS('Daftar Koreksi'!$H$5:$H$92,'Daftar Koreksi'!$D$5:$D$92,'1300'!A312,'Daftar Koreksi'!$G$5:$G$92,"Kontruksi Dalam Pengerjaan",'Daftar Koreksi'!$H$5:$H$92,"&lt;0")-SUMIFS('Daftar Koreksi'!$H$5:$H$92,'Daftar Koreksi'!$D$5:$D$92,'1300'!A312,'Daftar Koreksi'!$G$5:$G$92,"Kontruksi Dalam Pengerjaan",'Daftar Koreksi'!$H$5:$H$92,"&lt;0")-SUMIFS('Daftar Koreksi'!$H$5:$H$92,'Daftar Koreksi'!$D$5:$D$92,'1300'!A312,'Daftar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Koreksi'!$D$5:$D$92,'1300'!A312,'Daftar Koreksi'!$G$5:$G$92,"Aset Tak Berwujud",'Daftar Koreksi'!$H$5:$H$92,"&gt;0")</f>
        <v>0</v>
      </c>
      <c r="F322" s="25">
        <f>SUMIFS('Daftar Koreksi'!$H$5:$H$92,'Daftar Koreksi'!$D$5:$D$92,'1300'!A312,'Daftar Koreksi'!$G$5:$G$92,"Aset Tak Berwujud",'Daftar Koreksi'!$H$5:$H$92,"&lt;0")-SUMIFS('Daftar Koreksi'!$H$5:$H$92,'Daftar Koreksi'!$D$5:$D$92,'1300'!A312,'Daftar Koreksi'!$G$5:$G$92,"Aset Tak Berwujud",'Daftar Koreksi'!$H$5:$H$92,"&lt;0")-SUMIFS('Daftar Koreksi'!$H$5:$H$92,'Daftar Koreksi'!$D$5:$D$92,'1300'!A312,'Daftar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Koreksi'!$D$5:$D$92,'1300'!A312,'Daftar Koreksi'!$G$5:$G$92,"Aset Henti Guna",'Daftar Koreksi'!$H$5:$H$92,"&gt;0")</f>
        <v>0</v>
      </c>
      <c r="F323" s="25">
        <f>SUMIFS('Daftar Koreksi'!$H$5:$H$92,'Daftar Koreksi'!$D$5:$D$92,'1300'!A312,'Daftar Koreksi'!$G$5:$G$92,"Aset Henti Guna",'Daftar Koreksi'!$H$5:$H$92,"&lt;0")-SUMIFS('Daftar Koreksi'!$H$5:$H$92,'Daftar Koreksi'!$D$5:$D$92,'1300'!A312,'Daftar Koreksi'!$G$5:$G$92,"Aset Henti Guna",'Daftar Koreksi'!$H$5:$H$92,"&lt;0")-SUMIFS('Daftar Koreksi'!$H$5:$H$92,'Daftar Koreksi'!$D$5:$D$92,'1300'!A312,'Daftar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17860079581</v>
      </c>
      <c r="E324" s="19">
        <f>SUM(E315:E323)</f>
        <v>0</v>
      </c>
      <c r="F324" s="19">
        <f>SUM(F315:F323)</f>
        <v>0</v>
      </c>
      <c r="G324" s="19">
        <f t="shared" si="14"/>
        <v>17860079581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-3285891113</v>
      </c>
      <c r="E325" s="25">
        <f>SUMIFS('Daftar Koreksi'!$I$5:$I$92,'Daftar Koreksi'!$D$5:$D$92,'1300'!A312,'Daftar Koreksi'!$G$5:$G$92,"Peralatan dan mesin",'Daftar Koreksi'!$I$5:$I$92,"&gt;0")</f>
        <v>0</v>
      </c>
      <c r="F325" s="25">
        <f>SUMIFS('Daftar Koreksi'!$I$5:$I$92,'Daftar Koreksi'!$D$5:$D$92,'1300'!A312,'Daftar Koreksi'!$G$5:$G$92,"Peralatan dan mesin",'Daftar Koreksi'!$I$5:$I$92,"&lt;0")-SUMIFS('Daftar Koreksi'!$I$5:$I$92,'Daftar Koreksi'!$D$5:$D$92,'1300'!A312,'Daftar Koreksi'!$G$5:$G$92,"Peralatan dan mesin",'Daftar Koreksi'!$I$5:$I$92,"&lt;0")-SUMIFS('Daftar Koreksi'!$I$5:$I$92,'Daftar Koreksi'!$D$5:$D$92,'1300'!A312,'Daftar Koreksi'!$G$5:$G$92,"Peralatan dan mesin",'Daftar Koreksi'!$I$5:$I$92,"&lt;0")</f>
        <v>0</v>
      </c>
      <c r="G325" s="17">
        <f t="shared" si="14"/>
        <v>-3285891113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-1079136618</v>
      </c>
      <c r="E326" s="25">
        <f>SUMIFS('Daftar Koreksi'!$I$5:$I$92,'Daftar Koreksi'!$D$5:$D$92,'1300'!A312,'Daftar Koreksi'!$G$5:$G$92,"Gedung dan Bangunan",'Daftar Koreksi'!$I$5:$I$92,"&gt;0")</f>
        <v>0</v>
      </c>
      <c r="F326" s="25">
        <f>SUMIFS('Daftar Koreksi'!$I$5:$I$92,'Daftar Koreksi'!$D$5:$D$92,'1300'!A312,'Daftar Koreksi'!$G$5:$G$92,"Gedung dan Bangunan",'Daftar Koreksi'!$I$5:$I$92,"&lt;0")-SUMIFS('Daftar Koreksi'!$I$5:$I$92,'Daftar Koreksi'!$D$5:$D$92,'1300'!A312,'Daftar Koreksi'!$G$5:$G$92,"Gedung dan Bangunan",'Daftar Koreksi'!$I$5:$I$92,"&lt;0")-SUMIFS('Daftar Koreksi'!$I$5:$I$92,'Daftar Koreksi'!$D$5:$D$92,'1300'!A312,'Daftar Koreksi'!$G$5:$G$92,"Gedung dan Bangunan",'Daftar Koreksi'!$I$5:$I$92,"&lt;0")</f>
        <v>0</v>
      </c>
      <c r="G326" s="17">
        <f t="shared" si="14"/>
        <v>-1079136618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Koreksi'!$D$5:$D$92,'1300'!A312,'Daftar Koreksi'!$G$5:$G$92,"Jalan Irigasi Jaringan",'Daftar Koreksi'!$I$5:$I$92,"&gt;0")</f>
        <v>0</v>
      </c>
      <c r="F327" s="25">
        <f>SUMIFS('Daftar Koreksi'!$I$5:$I$92,'Daftar Koreksi'!$D$5:$D$92,'1300'!A312,'Daftar Koreksi'!$G$5:$G$92,"Jalan Irigasi Jaringan",'Daftar Koreksi'!$I$5:$I$92,"&lt;0")-SUMIFS('Daftar Koreksi'!$I$5:$I$92,'Daftar Koreksi'!$D$5:$D$92,'1300'!A312,'Daftar Koreksi'!$G$5:$G$92,"Jalan Irigasi Jaringan",'Daftar Koreksi'!$I$5:$I$92,"&lt;0")-SUMIFS('Daftar Koreksi'!$I$5:$I$92,'Daftar Koreksi'!$D$5:$D$92,'1300'!A312,'Daftar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Koreksi'!$D$5:$D$92,'1300'!A312,'Daftar Koreksi'!$G$5:$G$92,"Aset Tetap Lainnya",'Daftar Koreksi'!$I$5:$I$92,"&gt;0")</f>
        <v>0</v>
      </c>
      <c r="F328" s="25">
        <f>SUMIFS('Daftar Koreksi'!$I$5:$I$92,'Daftar Koreksi'!$D$5:$D$92,'1300'!A312,'Daftar Koreksi'!$G$5:$G$92,"Aset Tetap Lainnya",'Daftar Koreksi'!$I$5:$I$92,"&lt;0")-SUMIFS('Daftar Koreksi'!$I$5:$I$92,'Daftar Koreksi'!$D$5:$D$92,'1300'!A312,'Daftar Koreksi'!$G$5:$G$92,"Aset Tetap Lainnya",'Daftar Koreksi'!$I$5:$I$92,"&lt;0")-SUMIFS('Daftar Koreksi'!$I$5:$I$92,'Daftar Koreksi'!$D$5:$D$92,'1300'!A312,'Daftar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Koreksi'!$D$5:$D$92,'1300'!A312,'Daftar Koreksi'!$G$5:$G$92,"Aset Henti Guna",'Daftar Koreksi'!$I$5:$I$92,"&gt;0")</f>
        <v>0</v>
      </c>
      <c r="F329" s="25">
        <f>SUMIFS('Daftar Koreksi'!$I$5:$I$92,'Daftar Koreksi'!$D$5:$D$92,'1300'!A312,'Daftar Koreksi'!$G$5:$G$92,"Aset Henti Guna",'Daftar Koreksi'!$I$5:$I$92,"&lt;0")-SUMIFS('Daftar Koreksi'!$I$5:$I$92,'Daftar Koreksi'!$D$5:$D$92,'1300'!A312,'Daftar Koreksi'!$G$5:$G$92,"Aset Henti Guna",'Daftar Koreksi'!$I$5:$I$92,"&lt;0")-SUMIFS('Daftar Koreksi'!$I$5:$I$92,'Daftar Koreksi'!$D$5:$D$92,'1300'!A312,'Daftar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-4365027731</v>
      </c>
      <c r="E330" s="19">
        <f>SUM(E325:E329)</f>
        <v>0</v>
      </c>
      <c r="F330" s="19">
        <f>SUM(F325:F329)</f>
        <v>0</v>
      </c>
      <c r="G330" s="19">
        <f t="shared" si="14"/>
        <v>-4365027731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13495051850</v>
      </c>
      <c r="E331" s="19">
        <f>E330+E324</f>
        <v>0</v>
      </c>
      <c r="F331" s="19">
        <f>F330+F324</f>
        <v>0</v>
      </c>
      <c r="G331" s="19">
        <f t="shared" si="14"/>
        <v>13495051850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005011300402669000KD</v>
      </c>
      <c r="B334" s="11" t="str">
        <f>P16</f>
        <v>PA. Mempawah</v>
      </c>
      <c r="C334" s="12" t="str">
        <f>A334&amp;" "&amp;B334</f>
        <v>005011300402669000KD PA. Mempawah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10" ht="21.95" customHeight="1">
      <c r="A337" s="14"/>
      <c r="B337" s="14"/>
      <c r="C337" s="16" t="s">
        <v>1165</v>
      </c>
      <c r="D337" s="17">
        <f>VLOOKUP(A334,'Neraca Unaudited SIMAK'!$A$2:$S$10004,3,FALSE)</f>
        <v>0</v>
      </c>
      <c r="E337" s="25">
        <f>SUMIFS('Daftar Koreksi'!$H$5:$H$92,'Daftar Koreksi'!$D$5:$D$92,'1300'!A334,'Daftar Koreksi'!$G$5:$G$92,"Persediaan",'Daftar Koreksi'!$H$5:$H$92,"&gt;0")</f>
        <v>0</v>
      </c>
      <c r="F337" s="25">
        <f>SUMIFS('Daftar Koreksi'!$H$5:$H$92,'Daftar Koreksi'!$D$5:$D$92,'1300'!A334,'Daftar Koreksi'!$G$5:$G$92,"Persediaan",'Daftar Koreksi'!$H$5:$H$92,"&lt;0")-SUMIFS('Daftar Koreksi'!$H$5:$H$92,'Daftar Koreksi'!$D$5:$D$92,'1300'!A334,'Daftar Koreksi'!$G$5:$G$92,"Persediaan",'Daftar Koreksi'!$H$5:$H$92,"&lt;0")-SUMIFS('Daftar Koreksi'!$H$5:$H$92,'Daftar Koreksi'!$D$5:$D$92,'1300'!A334,'Daftar Koreksi'!$G$5:$G$92,"Persediaan",'Daftar Koreksi'!$H$5:$H$92,"&lt;0")</f>
        <v>0</v>
      </c>
      <c r="G337" s="17">
        <f>D337+E337-F337</f>
        <v>0</v>
      </c>
      <c r="H337" s="121" t="str">
        <f>IF(ISNA(VLOOKUP(A334,'Mutasi Neraca'!$A$3:$S$914,19,FALSE)),"-",VLOOKUP(A334,'Mutasi Neraca'!$A$3:$S$914,19,FALSE))</f>
        <v>-</v>
      </c>
      <c r="I337" s="28"/>
      <c r="J337" s="28"/>
    </row>
    <row r="338" spans="1:10" ht="21.95" customHeight="1">
      <c r="A338" s="14"/>
      <c r="B338" s="14"/>
      <c r="C338" s="16" t="s">
        <v>1166</v>
      </c>
      <c r="D338" s="17">
        <f>VLOOKUP(A334,'Neraca Unaudited SIMAK'!$A$2:$S$10004,4,FALSE)</f>
        <v>538720000</v>
      </c>
      <c r="E338" s="25">
        <f>SUMIFS('Daftar Koreksi'!$H$5:$H$92,'Daftar Koreksi'!$D$5:$D$92,'1300'!A334,'Daftar Koreksi'!$G$5:$G$92,"Tanah",'Daftar Koreksi'!$H$5:$H$92,"&gt;0")</f>
        <v>0</v>
      </c>
      <c r="F338" s="25">
        <f>SUMIFS('Daftar Koreksi'!$H$5:$H$92,'Daftar Koreksi'!$D$5:$D$92,'1300'!A334,'Daftar Koreksi'!$G$5:$G$92,"Tanah",'Daftar Koreksi'!$H$5:$H$92,"&lt;0")-SUMIFS('Daftar Koreksi'!$H$5:$H$92,'Daftar Koreksi'!$D$5:$D$92,'1300'!A334,'Daftar Koreksi'!$G$5:$G$92,"Tanah",'Daftar Koreksi'!$H$5:$H$92,"&lt;0")-SUMIFS('Daftar Koreksi'!$H$5:$H$92,'Daftar Koreksi'!$D$5:$D$92,'1300'!A334,'Daftar Koreksi'!$G$5:$G$92,"Tanah",'Daftar Koreksi'!$H$5:$H$92,"&lt;0")</f>
        <v>0</v>
      </c>
      <c r="G338" s="17">
        <f t="shared" ref="G338:G354" si="15">D338+E338-F338</f>
        <v>538720000</v>
      </c>
      <c r="H338" s="122"/>
      <c r="I338" s="28"/>
      <c r="J338" s="28"/>
    </row>
    <row r="339" spans="1:10" ht="21.95" customHeight="1">
      <c r="A339" s="14"/>
      <c r="B339" s="14"/>
      <c r="C339" s="16" t="s">
        <v>1167</v>
      </c>
      <c r="D339" s="17">
        <f>VLOOKUP(A334,'Neraca Unaudited SIMAK'!$A$2:$S$10004,5,FALSE)</f>
        <v>1671164987</v>
      </c>
      <c r="E339" s="25">
        <f>SUMIFS('Daftar Koreksi'!$H$5:$H$92,'Daftar Koreksi'!$D$5:$D$92,'1300'!A334,'Daftar Koreksi'!$G$5:$G$92,"Peralatan dan mesin",'Daftar Koreksi'!$H$5:$H$92,"&gt;0")</f>
        <v>0</v>
      </c>
      <c r="F339" s="25">
        <f>SUMIFS('Daftar Koreksi'!$H$5:$H$92,'Daftar Koreksi'!$D$5:$D$92,'1300'!A334,'Daftar Koreksi'!$G$5:$G$92,"Peralatan dan mesin",'Daftar Koreksi'!$H$5:$H$92,"&lt;0")-SUMIFS('Daftar Koreksi'!$H$5:$H$92,'Daftar Koreksi'!$D$5:$D$92,'1300'!A334,'Daftar Koreksi'!$G$5:$G$92,"Peralatan dan mesin",'Daftar Koreksi'!$H$5:$H$92,"&lt;0")-SUMIFS('Daftar Koreksi'!$H$5:$H$92,'Daftar Koreksi'!$D$5:$D$92,'1300'!A334,'Daftar Koreksi'!$G$5:$G$92,"Peralatan dan mesin",'Daftar Koreksi'!$H$5:$H$92,"&lt;0")</f>
        <v>0</v>
      </c>
      <c r="G339" s="17">
        <f t="shared" si="15"/>
        <v>1671164987</v>
      </c>
      <c r="H339" s="122"/>
      <c r="I339" s="28"/>
      <c r="J339" s="28"/>
    </row>
    <row r="340" spans="1:10" ht="21.95" customHeight="1">
      <c r="A340" s="14"/>
      <c r="B340" s="14"/>
      <c r="C340" s="16" t="s">
        <v>1168</v>
      </c>
      <c r="D340" s="17">
        <f>VLOOKUP(A334,'Neraca Unaudited SIMAK'!$A$2:$S$10004,6,FALSE)</f>
        <v>5558771000</v>
      </c>
      <c r="E340" s="25">
        <f>SUMIFS('Daftar Koreksi'!$H$5:$H$92,'Daftar Koreksi'!$D$5:$D$92,'1300'!A334,'Daftar Koreksi'!$G$5:$G$92,"Gedung dan Bangunan",'Daftar Koreksi'!$H$5:$H$92,"&gt;0")</f>
        <v>0</v>
      </c>
      <c r="F340" s="25">
        <f>SUMIFS('Daftar Koreksi'!$H$5:$H$92,'Daftar Koreksi'!$D$5:$D$92,'1300'!A334,'Daftar Koreksi'!$G$5:$G$92,"Gedung dan Bangunan",'Daftar Koreksi'!$H$5:$H$92,"&lt;0")-SUMIFS('Daftar Koreksi'!$H$5:$H$92,'Daftar Koreksi'!$D$5:$D$92,'1300'!A334,'Daftar Koreksi'!$G$5:$G$92,"Gedung dan Bangunan",'Daftar Koreksi'!$H$5:$H$92,"&lt;0")-SUMIFS('Daftar Koreksi'!$H$5:$H$92,'Daftar Koreksi'!$D$5:$D$92,'1300'!A334,'Daftar Koreksi'!$G$5:$G$92,"Gedung dan Bangunan",'Daftar Koreksi'!$H$5:$H$92,"&lt;0")</f>
        <v>0</v>
      </c>
      <c r="G340" s="17">
        <f t="shared" si="15"/>
        <v>5558771000</v>
      </c>
      <c r="H340" s="122"/>
      <c r="I340" s="28"/>
      <c r="J340" s="28"/>
    </row>
    <row r="341" spans="1:10" ht="21.95" customHeight="1">
      <c r="A341" s="14"/>
      <c r="B341" s="14"/>
      <c r="C341" s="16" t="s">
        <v>1169</v>
      </c>
      <c r="D341" s="17">
        <f>VLOOKUP(A334,'Neraca Unaudited SIMAK'!$A$2:$S$10004,7,FALSE)</f>
        <v>45690000</v>
      </c>
      <c r="E341" s="25">
        <f>SUMIFS('Daftar Koreksi'!$H$5:$H$92,'Daftar Koreksi'!$D$5:$D$92,'1300'!A334,'Daftar Koreksi'!$G$5:$G$92,"Jalan Irigasi Jaringan",'Daftar Koreksi'!$H$5:$H$92,"&gt;0")</f>
        <v>0</v>
      </c>
      <c r="F341" s="25">
        <f>SUMIFS('Daftar Koreksi'!$H$5:$H$92,'Daftar Koreksi'!$D$5:$D$92,'1300'!A334,'Daftar Koreksi'!$G$5:$G$92,"Jalan Irigasi Jaringan",'Daftar Koreksi'!$H$5:$H$92,"&lt;0")-SUMIFS('Daftar Koreksi'!$H$5:$H$92,'Daftar Koreksi'!$D$5:$D$92,'1300'!A334,'Daftar Koreksi'!$G$5:$G$92,"Jalan Irigasi Jaringan",'Daftar Koreksi'!$H$5:$H$92,"&lt;0")-SUMIFS('Daftar Koreksi'!$H$5:$H$92,'Daftar Koreksi'!$D$5:$D$92,'1300'!A334,'Daftar Koreksi'!$G$5:$G$92,"Jalan Irigasi Jaringan",'Daftar Koreksi'!$H$5:$H$92,"&lt;0")</f>
        <v>0</v>
      </c>
      <c r="G341" s="17">
        <f t="shared" si="15"/>
        <v>45690000</v>
      </c>
      <c r="H341" s="122"/>
      <c r="I341" s="28"/>
      <c r="J341" s="28"/>
    </row>
    <row r="342" spans="1:10" ht="21.95" customHeight="1">
      <c r="A342" s="14"/>
      <c r="B342" s="14"/>
      <c r="C342" s="16" t="s">
        <v>1170</v>
      </c>
      <c r="D342" s="17">
        <f>VLOOKUP(A334,'Neraca Unaudited SIMAK'!$A$2:$S$10004,8,FALSE)</f>
        <v>3277300</v>
      </c>
      <c r="E342" s="25">
        <f>SUMIFS('Daftar Koreksi'!$H$5:$H$92,'Daftar Koreksi'!$D$5:$D$92,'1300'!A334,'Daftar Koreksi'!$G$5:$G$92,"Aset Tetap Lainnya",'Daftar Koreksi'!$H$5:$H$92,"&gt;0")</f>
        <v>0</v>
      </c>
      <c r="F342" s="25">
        <f>SUMIFS('Daftar Koreksi'!$H$5:$H$92,'Daftar Koreksi'!$D$5:$D$92,'1300'!A334,'Daftar Koreksi'!$G$5:$G$92,"Aset Tetap Lainnya",'Daftar Koreksi'!$H$5:$H$92,"&lt;0")-SUMIFS('Daftar Koreksi'!$H$5:$H$92,'Daftar Koreksi'!$D$5:$D$92,'1300'!A334,'Daftar Koreksi'!$G$5:$G$92,"Aset Tetap Lainnya",'Daftar Koreksi'!$H$5:$H$92,"&lt;0")-SUMIFS('Daftar Koreksi'!$H$5:$H$92,'Daftar Koreksi'!$D$5:$D$92,'1300'!A334,'Daftar Koreksi'!$G$5:$G$92,"Aset Tetap Lainnya",'Daftar Koreksi'!$H$5:$H$92,"&lt;0")</f>
        <v>0</v>
      </c>
      <c r="G342" s="17">
        <f t="shared" si="15"/>
        <v>3277300</v>
      </c>
      <c r="H342" s="122"/>
      <c r="I342" s="28"/>
      <c r="J342" s="28"/>
    </row>
    <row r="343" spans="1:10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Koreksi'!$D$5:$D$92,'1300'!A334,'Daftar Koreksi'!$G$5:$G$92,"Kontruksi Dalam Pengerjaan",'Daftar Koreksi'!$H$5:$H$92,"&gt;0")</f>
        <v>0</v>
      </c>
      <c r="F343" s="25">
        <f>SUMIFS('Daftar Koreksi'!$H$5:$H$92,'Daftar Koreksi'!$D$5:$D$92,'1300'!A334,'Daftar Koreksi'!$G$5:$G$92,"Kontruksi Dalam Pengerjaan",'Daftar Koreksi'!$H$5:$H$92,"&lt;0")-SUMIFS('Daftar Koreksi'!$H$5:$H$92,'Daftar Koreksi'!$D$5:$D$92,'1300'!A334,'Daftar Koreksi'!$G$5:$G$92,"Kontruksi Dalam Pengerjaan",'Daftar Koreksi'!$H$5:$H$92,"&lt;0")-SUMIFS('Daftar Koreksi'!$H$5:$H$92,'Daftar Koreksi'!$D$5:$D$92,'1300'!A334,'Daftar Koreksi'!$G$5:$G$92,"Kontruksi Dalam Pengerjaan",'Daftar Koreksi'!$H$5:$H$92,"&lt;0")</f>
        <v>0</v>
      </c>
      <c r="G343" s="17">
        <f t="shared" si="15"/>
        <v>0</v>
      </c>
      <c r="H343" s="122"/>
      <c r="I343" s="28"/>
      <c r="J343" s="28"/>
    </row>
    <row r="344" spans="1:10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Koreksi'!$D$5:$D$92,'1300'!A334,'Daftar Koreksi'!$G$5:$G$92,"Aset Tak Berwujud",'Daftar Koreksi'!$H$5:$H$92,"&gt;0")</f>
        <v>0</v>
      </c>
      <c r="F344" s="25">
        <f>SUMIFS('Daftar Koreksi'!$H$5:$H$92,'Daftar Koreksi'!$D$5:$D$92,'1300'!A334,'Daftar Koreksi'!$G$5:$G$92,"Aset Tak Berwujud",'Daftar Koreksi'!$H$5:$H$92,"&lt;0")-SUMIFS('Daftar Koreksi'!$H$5:$H$92,'Daftar Koreksi'!$D$5:$D$92,'1300'!A334,'Daftar Koreksi'!$G$5:$G$92,"Aset Tak Berwujud",'Daftar Koreksi'!$H$5:$H$92,"&lt;0")-SUMIFS('Daftar Koreksi'!$H$5:$H$92,'Daftar Koreksi'!$D$5:$D$92,'1300'!A334,'Daftar Koreksi'!$G$5:$G$92,"Aset Tak Berwujud",'Daftar Koreksi'!$H$5:$H$92,"&lt;0")</f>
        <v>0</v>
      </c>
      <c r="G344" s="17">
        <f t="shared" si="15"/>
        <v>0</v>
      </c>
      <c r="H344" s="122"/>
      <c r="I344" s="28"/>
      <c r="J344" s="28"/>
    </row>
    <row r="345" spans="1:10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Koreksi'!$D$5:$D$92,'1300'!A334,'Daftar Koreksi'!$G$5:$G$92,"Aset Henti Guna",'Daftar Koreksi'!$H$5:$H$92,"&gt;0")</f>
        <v>0</v>
      </c>
      <c r="F345" s="25">
        <f>SUMIFS('Daftar Koreksi'!$H$5:$H$92,'Daftar Koreksi'!$D$5:$D$92,'1300'!A334,'Daftar Koreksi'!$G$5:$G$92,"Aset Henti Guna",'Daftar Koreksi'!$H$5:$H$92,"&lt;0")-SUMIFS('Daftar Koreksi'!$H$5:$H$92,'Daftar Koreksi'!$D$5:$D$92,'1300'!A334,'Daftar Koreksi'!$G$5:$G$92,"Aset Henti Guna",'Daftar Koreksi'!$H$5:$H$92,"&lt;0")-SUMIFS('Daftar Koreksi'!$H$5:$H$92,'Daftar Koreksi'!$D$5:$D$92,'1300'!A334,'Daftar Koreksi'!$G$5:$G$92,"Aset Henti Guna",'Daftar Koreksi'!$H$5:$H$92,"&lt;0")</f>
        <v>0</v>
      </c>
      <c r="G345" s="17">
        <f t="shared" si="15"/>
        <v>0</v>
      </c>
      <c r="H345" s="122"/>
      <c r="I345" s="28"/>
      <c r="J345" s="28"/>
    </row>
    <row r="346" spans="1:10" ht="21.95" customHeight="1">
      <c r="A346" s="14"/>
      <c r="B346" s="14"/>
      <c r="C346" s="18" t="s">
        <v>2093</v>
      </c>
      <c r="D346" s="19">
        <f>VLOOKUP(A334,'Neraca Unaudited SIMAK'!$A$2:$S$10004,12,FALSE)</f>
        <v>7817623287</v>
      </c>
      <c r="E346" s="19">
        <f>SUM(E337:E345)</f>
        <v>0</v>
      </c>
      <c r="F346" s="19">
        <f>SUM(F337:F345)</f>
        <v>0</v>
      </c>
      <c r="G346" s="19">
        <f t="shared" si="15"/>
        <v>7817623287</v>
      </c>
      <c r="H346" s="122"/>
      <c r="I346" s="28"/>
      <c r="J346" s="28"/>
    </row>
    <row r="347" spans="1:10" ht="21.95" customHeight="1">
      <c r="A347" s="14"/>
      <c r="B347" s="14"/>
      <c r="C347" s="16" t="s">
        <v>2087</v>
      </c>
      <c r="D347" s="17">
        <f>VLOOKUP(A334,'Neraca Unaudited SIMAK'!$A$2:$S$10004,13,FALSE)</f>
        <v>-1492347089</v>
      </c>
      <c r="E347" s="25">
        <f>SUMIFS('Daftar Koreksi'!$I$5:$I$92,'Daftar Koreksi'!$D$5:$D$92,'1300'!A334,'Daftar Koreksi'!$G$5:$G$92,"Peralatan dan mesin",'Daftar Koreksi'!$I$5:$I$92,"&gt;0")</f>
        <v>0</v>
      </c>
      <c r="F347" s="25">
        <f>SUMIFS('Daftar Koreksi'!$I$5:$I$92,'Daftar Koreksi'!$D$5:$D$92,'1300'!A334,'Daftar Koreksi'!$G$5:$G$92,"Peralatan dan mesin",'Daftar Koreksi'!$I$5:$I$92,"&lt;0")-SUMIFS('Daftar Koreksi'!$I$5:$I$92,'Daftar Koreksi'!$D$5:$D$92,'1300'!A334,'Daftar Koreksi'!$G$5:$G$92,"Peralatan dan mesin",'Daftar Koreksi'!$I$5:$I$92,"&lt;0")-SUMIFS('Daftar Koreksi'!$I$5:$I$92,'Daftar Koreksi'!$D$5:$D$92,'1300'!A334,'Daftar Koreksi'!$G$5:$G$92,"Peralatan dan mesin",'Daftar Koreksi'!$I$5:$I$92,"&lt;0")</f>
        <v>0</v>
      </c>
      <c r="G347" s="17">
        <f t="shared" si="15"/>
        <v>-1492347089</v>
      </c>
      <c r="H347" s="122"/>
      <c r="I347" s="28"/>
      <c r="J347" s="28"/>
    </row>
    <row r="348" spans="1:10" ht="21.95" customHeight="1">
      <c r="A348" s="14"/>
      <c r="B348" s="14"/>
      <c r="C348" s="16" t="s">
        <v>2088</v>
      </c>
      <c r="D348" s="17">
        <f>VLOOKUP(A334,'Neraca Unaudited SIMAK'!$A$2:$S$10004,14,FALSE)</f>
        <v>-732510430</v>
      </c>
      <c r="E348" s="25">
        <f>SUMIFS('Daftar Koreksi'!$I$5:$I$92,'Daftar Koreksi'!$D$5:$D$92,'1300'!A334,'Daftar Koreksi'!$G$5:$G$92,"Gedung dan Bangunan",'Daftar Koreksi'!$I$5:$I$92,"&gt;0")</f>
        <v>0</v>
      </c>
      <c r="F348" s="25">
        <f>SUMIFS('Daftar Koreksi'!$I$5:$I$92,'Daftar Koreksi'!$D$5:$D$92,'1300'!A334,'Daftar Koreksi'!$G$5:$G$92,"Gedung dan Bangunan",'Daftar Koreksi'!$I$5:$I$92,"&lt;0")-SUMIFS('Daftar Koreksi'!$I$5:$I$92,'Daftar Koreksi'!$D$5:$D$92,'1300'!A334,'Daftar Koreksi'!$G$5:$G$92,"Gedung dan Bangunan",'Daftar Koreksi'!$I$5:$I$92,"&lt;0")-SUMIFS('Daftar Koreksi'!$I$5:$I$92,'Daftar Koreksi'!$D$5:$D$92,'1300'!A334,'Daftar Koreksi'!$G$5:$G$92,"Gedung dan Bangunan",'Daftar Koreksi'!$I$5:$I$92,"&lt;0")</f>
        <v>0</v>
      </c>
      <c r="G348" s="17">
        <f t="shared" si="15"/>
        <v>-732510430</v>
      </c>
      <c r="H348" s="122"/>
      <c r="I348" s="28"/>
      <c r="J348" s="28"/>
    </row>
    <row r="349" spans="1:10" ht="21.95" customHeight="1">
      <c r="A349" s="14"/>
      <c r="B349" s="14"/>
      <c r="C349" s="16" t="s">
        <v>2089</v>
      </c>
      <c r="D349" s="17">
        <f>VLOOKUP(A334,'Neraca Unaudited SIMAK'!$A$2:$S$10004,15,FALSE)</f>
        <v>-8566875</v>
      </c>
      <c r="E349" s="25">
        <f>SUMIFS('Daftar Koreksi'!$I$5:$I$92,'Daftar Koreksi'!$D$5:$D$92,'1300'!A334,'Daftar Koreksi'!$G$5:$G$92,"Jalan Irigasi Jaringan",'Daftar Koreksi'!$I$5:$I$92,"&gt;0")</f>
        <v>0</v>
      </c>
      <c r="F349" s="25">
        <f>SUMIFS('Daftar Koreksi'!$I$5:$I$92,'Daftar Koreksi'!$D$5:$D$92,'1300'!A334,'Daftar Koreksi'!$G$5:$G$92,"Jalan Irigasi Jaringan",'Daftar Koreksi'!$I$5:$I$92,"&lt;0")-SUMIFS('Daftar Koreksi'!$I$5:$I$92,'Daftar Koreksi'!$D$5:$D$92,'1300'!A334,'Daftar Koreksi'!$G$5:$G$92,"Jalan Irigasi Jaringan",'Daftar Koreksi'!$I$5:$I$92,"&lt;0")-SUMIFS('Daftar Koreksi'!$I$5:$I$92,'Daftar Koreksi'!$D$5:$D$92,'1300'!A334,'Daftar Koreksi'!$G$5:$G$92,"Jalan Irigasi Jaringan",'Daftar Koreksi'!$I$5:$I$92,"&lt;0")</f>
        <v>0</v>
      </c>
      <c r="G349" s="17">
        <f t="shared" si="15"/>
        <v>-8566875</v>
      </c>
      <c r="H349" s="122"/>
      <c r="I349" s="28"/>
      <c r="J349" s="28"/>
    </row>
    <row r="350" spans="1:10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Koreksi'!$D$5:$D$92,'1300'!A334,'Daftar Koreksi'!$G$5:$G$92,"Aset Tetap Lainnya",'Daftar Koreksi'!$I$5:$I$92,"&gt;0")</f>
        <v>0</v>
      </c>
      <c r="F350" s="25">
        <f>SUMIFS('Daftar Koreksi'!$I$5:$I$92,'Daftar Koreksi'!$D$5:$D$92,'1300'!A334,'Daftar Koreksi'!$G$5:$G$92,"Aset Tetap Lainnya",'Daftar Koreksi'!$I$5:$I$92,"&lt;0")-SUMIFS('Daftar Koreksi'!$I$5:$I$92,'Daftar Koreksi'!$D$5:$D$92,'1300'!A334,'Daftar Koreksi'!$G$5:$G$92,"Aset Tetap Lainnya",'Daftar Koreksi'!$I$5:$I$92,"&lt;0")-SUMIFS('Daftar Koreksi'!$I$5:$I$92,'Daftar Koreksi'!$D$5:$D$92,'1300'!A334,'Daftar Koreksi'!$G$5:$G$92,"Aset Tetap Lainnya",'Daftar Koreksi'!$I$5:$I$92,"&lt;0")</f>
        <v>0</v>
      </c>
      <c r="G350" s="17">
        <f t="shared" si="15"/>
        <v>0</v>
      </c>
      <c r="H350" s="122"/>
      <c r="I350" s="28"/>
      <c r="J350" s="28"/>
    </row>
    <row r="351" spans="1:10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Koreksi'!$D$5:$D$92,'1300'!A334,'Daftar Koreksi'!$G$5:$G$92,"Aset Henti Guna",'Daftar Koreksi'!$I$5:$I$92,"&gt;0")</f>
        <v>0</v>
      </c>
      <c r="F351" s="25">
        <f>SUMIFS('Daftar Koreksi'!$I$5:$I$92,'Daftar Koreksi'!$D$5:$D$92,'1300'!A334,'Daftar Koreksi'!$G$5:$G$92,"Aset Henti Guna",'Daftar Koreksi'!$I$5:$I$92,"&lt;0")-SUMIFS('Daftar Koreksi'!$I$5:$I$92,'Daftar Koreksi'!$D$5:$D$92,'1300'!A334,'Daftar Koreksi'!$G$5:$G$92,"Aset Henti Guna",'Daftar Koreksi'!$I$5:$I$92,"&lt;0")-SUMIFS('Daftar Koreksi'!$I$5:$I$92,'Daftar Koreksi'!$D$5:$D$92,'1300'!A334,'Daftar Koreksi'!$G$5:$G$92,"Aset Henti Guna",'Daftar Koreksi'!$I$5:$I$92,"&lt;0")</f>
        <v>0</v>
      </c>
      <c r="G351" s="17">
        <f t="shared" si="15"/>
        <v>0</v>
      </c>
      <c r="H351" s="122"/>
      <c r="I351" s="28"/>
      <c r="J351" s="28"/>
    </row>
    <row r="352" spans="1:10" ht="21.95" customHeight="1">
      <c r="A352" s="14"/>
      <c r="B352" s="14"/>
      <c r="C352" s="18" t="s">
        <v>2094</v>
      </c>
      <c r="D352" s="19">
        <f>SUM(D347:D351)</f>
        <v>-2233424394</v>
      </c>
      <c r="E352" s="19">
        <f>SUM(E347:E351)</f>
        <v>0</v>
      </c>
      <c r="F352" s="19">
        <f>SUM(F347:F351)</f>
        <v>0</v>
      </c>
      <c r="G352" s="19">
        <f t="shared" si="15"/>
        <v>-2233424394</v>
      </c>
      <c r="H352" s="122"/>
      <c r="I352" s="28"/>
      <c r="J352" s="28"/>
    </row>
    <row r="353" spans="1:10" ht="21.95" customHeight="1">
      <c r="A353" s="14"/>
      <c r="B353" s="14"/>
      <c r="C353" s="18" t="s">
        <v>2095</v>
      </c>
      <c r="D353" s="19">
        <f>VLOOKUP(A334,'Neraca Unaudited SIMAK'!$A$2:$S$10004,18,FALSE)</f>
        <v>5584198893</v>
      </c>
      <c r="E353" s="19">
        <f>E352+E346</f>
        <v>0</v>
      </c>
      <c r="F353" s="19">
        <f>F352+F346</f>
        <v>0</v>
      </c>
      <c r="G353" s="19">
        <f t="shared" si="15"/>
        <v>5584198893</v>
      </c>
      <c r="H353" s="122"/>
      <c r="I353" s="28"/>
      <c r="J353" s="28"/>
    </row>
    <row r="354" spans="1:10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  <c r="I354" s="28"/>
      <c r="J354" s="28"/>
    </row>
    <row r="356" spans="1:10" ht="19.5" customHeight="1">
      <c r="A356" s="11" t="str">
        <f>O17</f>
        <v>005011300531851000KD</v>
      </c>
      <c r="B356" s="11" t="str">
        <f>P17</f>
        <v>PTUN. Pontianak</v>
      </c>
      <c r="C356" s="12" t="str">
        <f>A356&amp;" "&amp;B356</f>
        <v>005011300531851000KD PTUN. Pontianak</v>
      </c>
      <c r="D356" s="13"/>
      <c r="E356" s="13"/>
      <c r="F356" s="13"/>
      <c r="G356" s="13"/>
      <c r="H356" s="11"/>
    </row>
    <row r="357" spans="1:10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10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10" ht="21.95" customHeight="1">
      <c r="A359" s="14"/>
      <c r="B359" s="14"/>
      <c r="C359" s="16" t="s">
        <v>1165</v>
      </c>
      <c r="D359" s="17">
        <f>VLOOKUP(A356,'Neraca Unaudited SIMAK'!$A$2:$S$10004,3,FALSE)</f>
        <v>2599625</v>
      </c>
      <c r="E359" s="25">
        <f>SUMIFS('Daftar Koreksi'!$H$5:$H$92,'Daftar Koreksi'!$D$5:$D$92,'1300'!A356,'Daftar Koreksi'!$G$5:$G$92,"Persediaan",'Daftar Koreksi'!$H$5:$H$92,"&gt;0")</f>
        <v>0</v>
      </c>
      <c r="F359" s="25">
        <f>SUMIFS('Daftar Koreksi'!$H$5:$H$92,'Daftar Koreksi'!$D$5:$D$92,'1300'!A356,'Daftar Koreksi'!$G$5:$G$92,"Persediaan",'Daftar Koreksi'!$H$5:$H$92,"&lt;0")-SUMIFS('Daftar Koreksi'!$H$5:$H$92,'Daftar Koreksi'!$D$5:$D$92,'1300'!A356,'Daftar Koreksi'!$G$5:$G$92,"Persediaan",'Daftar Koreksi'!$H$5:$H$92,"&lt;0")-SUMIFS('Daftar Koreksi'!$H$5:$H$92,'Daftar Koreksi'!$D$5:$D$92,'1300'!A356,'Daftar Koreksi'!$G$5:$G$92,"Persediaan",'Daftar Koreksi'!$H$5:$H$92,"&lt;0")</f>
        <v>0</v>
      </c>
      <c r="G359" s="17">
        <f>D359+E359-F359</f>
        <v>2599625</v>
      </c>
      <c r="H359" s="121" t="str">
        <f>IF(ISNA(VLOOKUP(A356,'Mutasi Neraca'!$A$3:$S$914,19,FALSE)),"-",VLOOKUP(A356,'Mutasi Neraca'!$A$3:$S$914,19,FALSE))</f>
        <v>-</v>
      </c>
    </row>
    <row r="360" spans="1:10" ht="21.95" customHeight="1">
      <c r="A360" s="14"/>
      <c r="B360" s="14"/>
      <c r="C360" s="16" t="s">
        <v>1166</v>
      </c>
      <c r="D360" s="17">
        <f>VLOOKUP(A356,'Neraca Unaudited SIMAK'!$A$2:$S$10004,4,FALSE)</f>
        <v>7936879510</v>
      </c>
      <c r="E360" s="25">
        <f>SUMIFS('Daftar Koreksi'!$H$5:$H$92,'Daftar Koreksi'!$D$5:$D$92,'1300'!A356,'Daftar Koreksi'!$G$5:$G$92,"Tanah",'Daftar Koreksi'!$H$5:$H$92,"&gt;0")</f>
        <v>0</v>
      </c>
      <c r="F360" s="25">
        <f>SUMIFS('Daftar Koreksi'!$H$5:$H$92,'Daftar Koreksi'!$D$5:$D$92,'1300'!A356,'Daftar Koreksi'!$G$5:$G$92,"Tanah",'Daftar Koreksi'!$H$5:$H$92,"&lt;0")-SUMIFS('Daftar Koreksi'!$H$5:$H$92,'Daftar Koreksi'!$D$5:$D$92,'1300'!A356,'Daftar Koreksi'!$G$5:$G$92,"Tanah",'Daftar Koreksi'!$H$5:$H$92,"&lt;0")-SUMIFS('Daftar Koreksi'!$H$5:$H$92,'Daftar Koreksi'!$D$5:$D$92,'1300'!A356,'Daftar Koreksi'!$G$5:$G$92,"Tanah",'Daftar Koreksi'!$H$5:$H$92,"&lt;0")</f>
        <v>0</v>
      </c>
      <c r="G360" s="17">
        <f t="shared" ref="G360:G376" si="16">D360+E360-F360</f>
        <v>7936879510</v>
      </c>
      <c r="H360" s="122"/>
    </row>
    <row r="361" spans="1:10" ht="21.95" customHeight="1">
      <c r="A361" s="14"/>
      <c r="B361" s="14"/>
      <c r="C361" s="16" t="s">
        <v>1167</v>
      </c>
      <c r="D361" s="17">
        <f>VLOOKUP(A356,'Neraca Unaudited SIMAK'!$A$2:$S$10004,5,FALSE)</f>
        <v>2311389861</v>
      </c>
      <c r="E361" s="25">
        <f>SUMIFS('Daftar Koreksi'!$H$5:$H$92,'Daftar Koreksi'!$D$5:$D$92,'1300'!A356,'Daftar Koreksi'!$G$5:$G$92,"Peralatan dan mesin",'Daftar Koreksi'!$H$5:$H$92,"&gt;0")</f>
        <v>0</v>
      </c>
      <c r="F361" s="25">
        <f>SUMIFS('Daftar Koreksi'!$H$5:$H$92,'Daftar Koreksi'!$D$5:$D$92,'1300'!A356,'Daftar Koreksi'!$G$5:$G$92,"Peralatan dan mesin",'Daftar Koreksi'!$H$5:$H$92,"&lt;0")-SUMIFS('Daftar Koreksi'!$H$5:$H$92,'Daftar Koreksi'!$D$5:$D$92,'1300'!A356,'Daftar Koreksi'!$G$5:$G$92,"Peralatan dan mesin",'Daftar Koreksi'!$H$5:$H$92,"&lt;0")-SUMIFS('Daftar Koreksi'!$H$5:$H$92,'Daftar Koreksi'!$D$5:$D$92,'1300'!A356,'Daftar Koreksi'!$G$5:$G$92,"Peralatan dan mesin",'Daftar Koreksi'!$H$5:$H$92,"&lt;0")</f>
        <v>0</v>
      </c>
      <c r="G361" s="17">
        <f t="shared" si="16"/>
        <v>2311389861</v>
      </c>
      <c r="H361" s="122"/>
    </row>
    <row r="362" spans="1:10" ht="21.95" customHeight="1">
      <c r="A362" s="14"/>
      <c r="B362" s="14"/>
      <c r="C362" s="16" t="s">
        <v>1168</v>
      </c>
      <c r="D362" s="17">
        <f>VLOOKUP(A356,'Neraca Unaudited SIMAK'!$A$2:$S$10004,6,FALSE)</f>
        <v>11892693408</v>
      </c>
      <c r="E362" s="25">
        <f>SUMIFS('Daftar Koreksi'!$H$5:$H$92,'Daftar Koreksi'!$D$5:$D$92,'1300'!A356,'Daftar Koreksi'!$G$5:$G$92,"Gedung dan Bangunan",'Daftar Koreksi'!$H$5:$H$92,"&gt;0")</f>
        <v>0</v>
      </c>
      <c r="F362" s="25">
        <f>SUMIFS('Daftar Koreksi'!$H$5:$H$92,'Daftar Koreksi'!$D$5:$D$92,'1300'!A356,'Daftar Koreksi'!$G$5:$G$92,"Gedung dan Bangunan",'Daftar Koreksi'!$H$5:$H$92,"&lt;0")-SUMIFS('Daftar Koreksi'!$H$5:$H$92,'Daftar Koreksi'!$D$5:$D$92,'1300'!A356,'Daftar Koreksi'!$G$5:$G$92,"Gedung dan Bangunan",'Daftar Koreksi'!$H$5:$H$92,"&lt;0")-SUMIFS('Daftar Koreksi'!$H$5:$H$92,'Daftar Koreksi'!$D$5:$D$92,'1300'!A356,'Daftar Koreksi'!$G$5:$G$92,"Gedung dan Bangunan",'Daftar Koreksi'!$H$5:$H$92,"&lt;0")</f>
        <v>0</v>
      </c>
      <c r="G362" s="17">
        <f t="shared" si="16"/>
        <v>11892693408</v>
      </c>
      <c r="H362" s="122"/>
    </row>
    <row r="363" spans="1:10" ht="21.95" customHeight="1">
      <c r="A363" s="14"/>
      <c r="B363" s="14"/>
      <c r="C363" s="16" t="s">
        <v>1169</v>
      </c>
      <c r="D363" s="17">
        <f>VLOOKUP(A356,'Neraca Unaudited SIMAK'!$A$2:$S$10004,7,FALSE)</f>
        <v>69795000</v>
      </c>
      <c r="E363" s="25">
        <f>SUMIFS('Daftar Koreksi'!$H$5:$H$92,'Daftar Koreksi'!$D$5:$D$92,'1300'!A356,'Daftar Koreksi'!$G$5:$G$92,"Jalan Irigasi Jaringan",'Daftar Koreksi'!$H$5:$H$92,"&gt;0")</f>
        <v>0</v>
      </c>
      <c r="F363" s="25">
        <f>SUMIFS('Daftar Koreksi'!$H$5:$H$92,'Daftar Koreksi'!$D$5:$D$92,'1300'!A356,'Daftar Koreksi'!$G$5:$G$92,"Jalan Irigasi Jaringan",'Daftar Koreksi'!$H$5:$H$92,"&lt;0")-SUMIFS('Daftar Koreksi'!$H$5:$H$92,'Daftar Koreksi'!$D$5:$D$92,'1300'!A356,'Daftar Koreksi'!$G$5:$G$92,"Jalan Irigasi Jaringan",'Daftar Koreksi'!$H$5:$H$92,"&lt;0")-SUMIFS('Daftar Koreksi'!$H$5:$H$92,'Daftar Koreksi'!$D$5:$D$92,'1300'!A356,'Daftar Koreksi'!$G$5:$G$92,"Jalan Irigasi Jaringan",'Daftar Koreksi'!$H$5:$H$92,"&lt;0")</f>
        <v>0</v>
      </c>
      <c r="G363" s="17">
        <f t="shared" si="16"/>
        <v>69795000</v>
      </c>
      <c r="H363" s="122"/>
    </row>
    <row r="364" spans="1:10" ht="21.95" customHeight="1">
      <c r="A364" s="14"/>
      <c r="B364" s="14"/>
      <c r="C364" s="16" t="s">
        <v>1170</v>
      </c>
      <c r="D364" s="17">
        <f>VLOOKUP(A356,'Neraca Unaudited SIMAK'!$A$2:$S$10004,8,FALSE)</f>
        <v>2828678</v>
      </c>
      <c r="E364" s="25">
        <f>SUMIFS('Daftar Koreksi'!$H$5:$H$92,'Daftar Koreksi'!$D$5:$D$92,'1300'!A356,'Daftar Koreksi'!$G$5:$G$92,"Aset Tetap Lainnya",'Daftar Koreksi'!$H$5:$H$92,"&gt;0")</f>
        <v>0</v>
      </c>
      <c r="F364" s="25">
        <f>SUMIFS('Daftar Koreksi'!$H$5:$H$92,'Daftar Koreksi'!$D$5:$D$92,'1300'!A356,'Daftar Koreksi'!$G$5:$G$92,"Aset Tetap Lainnya",'Daftar Koreksi'!$H$5:$H$92,"&lt;0")-SUMIFS('Daftar Koreksi'!$H$5:$H$92,'Daftar Koreksi'!$D$5:$D$92,'1300'!A356,'Daftar Koreksi'!$G$5:$G$92,"Aset Tetap Lainnya",'Daftar Koreksi'!$H$5:$H$92,"&lt;0")-SUMIFS('Daftar Koreksi'!$H$5:$H$92,'Daftar Koreksi'!$D$5:$D$92,'1300'!A356,'Daftar Koreksi'!$G$5:$G$92,"Aset Tetap Lainnya",'Daftar Koreksi'!$H$5:$H$92,"&lt;0")</f>
        <v>0</v>
      </c>
      <c r="G364" s="17">
        <f t="shared" si="16"/>
        <v>2828678</v>
      </c>
      <c r="H364" s="122"/>
    </row>
    <row r="365" spans="1:10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Koreksi'!$D$5:$D$92,'1300'!A356,'Daftar Koreksi'!$G$5:$G$92,"Kontruksi Dalam Pengerjaan",'Daftar Koreksi'!$H$5:$H$92,"&gt;0")</f>
        <v>0</v>
      </c>
      <c r="F365" s="25">
        <f>SUMIFS('Daftar Koreksi'!$H$5:$H$92,'Daftar Koreksi'!$D$5:$D$92,'1300'!A356,'Daftar Koreksi'!$G$5:$G$92,"Kontruksi Dalam Pengerjaan",'Daftar Koreksi'!$H$5:$H$92,"&lt;0")-SUMIFS('Daftar Koreksi'!$H$5:$H$92,'Daftar Koreksi'!$D$5:$D$92,'1300'!A356,'Daftar Koreksi'!$G$5:$G$92,"Kontruksi Dalam Pengerjaan",'Daftar Koreksi'!$H$5:$H$92,"&lt;0")-SUMIFS('Daftar Koreksi'!$H$5:$H$92,'Daftar Koreksi'!$D$5:$D$92,'1300'!A356,'Daftar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10" ht="21.95" customHeight="1">
      <c r="A366" s="14"/>
      <c r="B366" s="14"/>
      <c r="C366" s="16" t="s">
        <v>1172</v>
      </c>
      <c r="D366" s="17">
        <f>VLOOKUP(A356,'Neraca Unaudited SIMAK'!$A$2:$S$10004,10,FALSE)</f>
        <v>54500000</v>
      </c>
      <c r="E366" s="25">
        <f>SUMIFS('Daftar Koreksi'!$H$5:$H$92,'Daftar Koreksi'!$D$5:$D$92,'1300'!A356,'Daftar Koreksi'!$G$5:$G$92,"Aset Tak Berwujud",'Daftar Koreksi'!$H$5:$H$92,"&gt;0")</f>
        <v>0</v>
      </c>
      <c r="F366" s="25">
        <f>SUMIFS('Daftar Koreksi'!$H$5:$H$92,'Daftar Koreksi'!$D$5:$D$92,'1300'!A356,'Daftar Koreksi'!$G$5:$G$92,"Aset Tak Berwujud",'Daftar Koreksi'!$H$5:$H$92,"&lt;0")-SUMIFS('Daftar Koreksi'!$H$5:$H$92,'Daftar Koreksi'!$D$5:$D$92,'1300'!A356,'Daftar Koreksi'!$G$5:$G$92,"Aset Tak Berwujud",'Daftar Koreksi'!$H$5:$H$92,"&lt;0")-SUMIFS('Daftar Koreksi'!$H$5:$H$92,'Daftar Koreksi'!$D$5:$D$92,'1300'!A356,'Daftar Koreksi'!$G$5:$G$92,"Aset Tak Berwujud",'Daftar Koreksi'!$H$5:$H$92,"&lt;0")</f>
        <v>0</v>
      </c>
      <c r="G366" s="17">
        <f t="shared" si="16"/>
        <v>54500000</v>
      </c>
      <c r="H366" s="122"/>
    </row>
    <row r="367" spans="1:10" ht="21.95" customHeight="1">
      <c r="A367" s="14"/>
      <c r="B367" s="14"/>
      <c r="C367" s="16" t="s">
        <v>1173</v>
      </c>
      <c r="D367" s="17">
        <f>VLOOKUP(A356,'Neraca Unaudited SIMAK'!$A$2:$S$10004,11,FALSE)</f>
        <v>28144750</v>
      </c>
      <c r="E367" s="25">
        <f>SUMIFS('Daftar Koreksi'!$H$5:$H$92,'Daftar Koreksi'!$D$5:$D$92,'1300'!A356,'Daftar Koreksi'!$G$5:$G$92,"Aset Henti Guna",'Daftar Koreksi'!$H$5:$H$92,"&gt;0")</f>
        <v>0</v>
      </c>
      <c r="F367" s="25">
        <f>SUMIFS('Daftar Koreksi'!$H$5:$H$92,'Daftar Koreksi'!$D$5:$D$92,'1300'!A356,'Daftar Koreksi'!$G$5:$G$92,"Aset Henti Guna",'Daftar Koreksi'!$H$5:$H$92,"&lt;0")-SUMIFS('Daftar Koreksi'!$H$5:$H$92,'Daftar Koreksi'!$D$5:$D$92,'1300'!A356,'Daftar Koreksi'!$G$5:$G$92,"Aset Henti Guna",'Daftar Koreksi'!$H$5:$H$92,"&lt;0")-SUMIFS('Daftar Koreksi'!$H$5:$H$92,'Daftar Koreksi'!$D$5:$D$92,'1300'!A356,'Daftar Koreksi'!$G$5:$G$92,"Aset Henti Guna",'Daftar Koreksi'!$H$5:$H$92,"&lt;0")</f>
        <v>0</v>
      </c>
      <c r="G367" s="17">
        <f t="shared" si="16"/>
        <v>28144750</v>
      </c>
      <c r="H367" s="122"/>
    </row>
    <row r="368" spans="1:10" ht="21.95" customHeight="1">
      <c r="A368" s="14"/>
      <c r="B368" s="14"/>
      <c r="C368" s="18" t="s">
        <v>2093</v>
      </c>
      <c r="D368" s="19">
        <f>VLOOKUP(A356,'Neraca Unaudited SIMAK'!$A$2:$S$10004,12,FALSE)</f>
        <v>22298830832</v>
      </c>
      <c r="E368" s="19">
        <f>SUM(E359:E367)</f>
        <v>0</v>
      </c>
      <c r="F368" s="19">
        <f>SUM(F359:F367)</f>
        <v>0</v>
      </c>
      <c r="G368" s="19">
        <f t="shared" si="16"/>
        <v>22298830832</v>
      </c>
      <c r="H368" s="122"/>
    </row>
    <row r="369" spans="1:10" ht="21.95" customHeight="1">
      <c r="A369" s="14"/>
      <c r="B369" s="14"/>
      <c r="C369" s="16" t="s">
        <v>2087</v>
      </c>
      <c r="D369" s="17">
        <f>VLOOKUP(A356,'Neraca Unaudited SIMAK'!$A$2:$S$10004,13,FALSE)</f>
        <v>-1969943211</v>
      </c>
      <c r="E369" s="25">
        <f>SUMIFS('Daftar Koreksi'!$I$5:$I$92,'Daftar Koreksi'!$D$5:$D$92,'1300'!A356,'Daftar Koreksi'!$G$5:$G$92,"Peralatan dan mesin",'Daftar Koreksi'!$I$5:$I$92,"&gt;0")</f>
        <v>0</v>
      </c>
      <c r="F369" s="25">
        <f>SUMIFS('Daftar Koreksi'!$I$5:$I$92,'Daftar Koreksi'!$D$5:$D$92,'1300'!A356,'Daftar Koreksi'!$G$5:$G$92,"Peralatan dan mesin",'Daftar Koreksi'!$I$5:$I$92,"&lt;0")-SUMIFS('Daftar Koreksi'!$I$5:$I$92,'Daftar Koreksi'!$D$5:$D$92,'1300'!A356,'Daftar Koreksi'!$G$5:$G$92,"Peralatan dan mesin",'Daftar Koreksi'!$I$5:$I$92,"&lt;0")-SUMIFS('Daftar Koreksi'!$I$5:$I$92,'Daftar Koreksi'!$D$5:$D$92,'1300'!A356,'Daftar Koreksi'!$G$5:$G$92,"Peralatan dan mesin",'Daftar Koreksi'!$I$5:$I$92,"&lt;0")</f>
        <v>0</v>
      </c>
      <c r="G369" s="17">
        <f t="shared" si="16"/>
        <v>-1969943211</v>
      </c>
      <c r="H369" s="122"/>
    </row>
    <row r="370" spans="1:10" ht="21.95" customHeight="1">
      <c r="A370" s="14"/>
      <c r="B370" s="14"/>
      <c r="C370" s="16" t="s">
        <v>2088</v>
      </c>
      <c r="D370" s="17">
        <f>VLOOKUP(A356,'Neraca Unaudited SIMAK'!$A$2:$S$10004,14,FALSE)</f>
        <v>-2188212632</v>
      </c>
      <c r="E370" s="25">
        <f>SUMIFS('Daftar Koreksi'!$I$5:$I$92,'Daftar Koreksi'!$D$5:$D$92,'1300'!A356,'Daftar Koreksi'!$G$5:$G$92,"Gedung dan Bangunan",'Daftar Koreksi'!$I$5:$I$92,"&gt;0")</f>
        <v>0</v>
      </c>
      <c r="F370" s="25">
        <f>SUMIFS('Daftar Koreksi'!$I$5:$I$92,'Daftar Koreksi'!$D$5:$D$92,'1300'!A356,'Daftar Koreksi'!$G$5:$G$92,"Gedung dan Bangunan",'Daftar Koreksi'!$I$5:$I$92,"&lt;0")-SUMIFS('Daftar Koreksi'!$I$5:$I$92,'Daftar Koreksi'!$D$5:$D$92,'1300'!A356,'Daftar Koreksi'!$G$5:$G$92,"Gedung dan Bangunan",'Daftar Koreksi'!$I$5:$I$92,"&lt;0")-SUMIFS('Daftar Koreksi'!$I$5:$I$92,'Daftar Koreksi'!$D$5:$D$92,'1300'!A356,'Daftar Koreksi'!$G$5:$G$92,"Gedung dan Bangunan",'Daftar Koreksi'!$I$5:$I$92,"&lt;0")</f>
        <v>0</v>
      </c>
      <c r="G370" s="17">
        <f t="shared" si="16"/>
        <v>-2188212632</v>
      </c>
      <c r="H370" s="122"/>
    </row>
    <row r="371" spans="1:10" ht="21.95" customHeight="1">
      <c r="A371" s="14"/>
      <c r="B371" s="14"/>
      <c r="C371" s="16" t="s">
        <v>2089</v>
      </c>
      <c r="D371" s="17">
        <f>VLOOKUP(A356,'Neraca Unaudited SIMAK'!$A$2:$S$10004,15,FALSE)</f>
        <v>-24307914</v>
      </c>
      <c r="E371" s="25">
        <f>SUMIFS('Daftar Koreksi'!$I$5:$I$92,'Daftar Koreksi'!$D$5:$D$92,'1300'!A356,'Daftar Koreksi'!$G$5:$G$92,"Jalan Irigasi Jaringan",'Daftar Koreksi'!$I$5:$I$92,"&gt;0")</f>
        <v>0</v>
      </c>
      <c r="F371" s="25">
        <f>SUMIFS('Daftar Koreksi'!$I$5:$I$92,'Daftar Koreksi'!$D$5:$D$92,'1300'!A356,'Daftar Koreksi'!$G$5:$G$92,"Jalan Irigasi Jaringan",'Daftar Koreksi'!$I$5:$I$92,"&lt;0")-SUMIFS('Daftar Koreksi'!$I$5:$I$92,'Daftar Koreksi'!$D$5:$D$92,'1300'!A356,'Daftar Koreksi'!$G$5:$G$92,"Jalan Irigasi Jaringan",'Daftar Koreksi'!$I$5:$I$92,"&lt;0")-SUMIFS('Daftar Koreksi'!$I$5:$I$92,'Daftar Koreksi'!$D$5:$D$92,'1300'!A356,'Daftar Koreksi'!$G$5:$G$92,"Jalan Irigasi Jaringan",'Daftar Koreksi'!$I$5:$I$92,"&lt;0")</f>
        <v>0</v>
      </c>
      <c r="G371" s="17">
        <f t="shared" si="16"/>
        <v>-24307914</v>
      </c>
      <c r="H371" s="122"/>
    </row>
    <row r="372" spans="1:10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Koreksi'!$D$5:$D$92,'1300'!A356,'Daftar Koreksi'!$G$5:$G$92,"Aset Tetap Lainnya",'Daftar Koreksi'!$I$5:$I$92,"&gt;0")</f>
        <v>0</v>
      </c>
      <c r="F372" s="25">
        <f>SUMIFS('Daftar Koreksi'!$I$5:$I$92,'Daftar Koreksi'!$D$5:$D$92,'1300'!A356,'Daftar Koreksi'!$G$5:$G$92,"Aset Tetap Lainnya",'Daftar Koreksi'!$I$5:$I$92,"&lt;0")-SUMIFS('Daftar Koreksi'!$I$5:$I$92,'Daftar Koreksi'!$D$5:$D$92,'1300'!A356,'Daftar Koreksi'!$G$5:$G$92,"Aset Tetap Lainnya",'Daftar Koreksi'!$I$5:$I$92,"&lt;0")-SUMIFS('Daftar Koreksi'!$I$5:$I$92,'Daftar Koreksi'!$D$5:$D$92,'1300'!A356,'Daftar Koreksi'!$G$5:$G$92,"Aset Tetap Lainnya",'Daftar Koreksi'!$I$5:$I$92,"&lt;0")</f>
        <v>0</v>
      </c>
      <c r="G372" s="17">
        <f t="shared" si="16"/>
        <v>0</v>
      </c>
      <c r="H372" s="122"/>
    </row>
    <row r="373" spans="1:10" ht="21.95" customHeight="1">
      <c r="A373" s="14"/>
      <c r="B373" s="14"/>
      <c r="C373" s="16" t="s">
        <v>2020</v>
      </c>
      <c r="D373" s="17">
        <f>VLOOKUP(A356,'Neraca Unaudited SIMAK'!$A$2:$S$10004,17,FALSE)</f>
        <v>-28144750</v>
      </c>
      <c r="E373" s="25">
        <f>SUMIFS('Daftar Koreksi'!$I$5:$I$92,'Daftar Koreksi'!$D$5:$D$92,'1300'!A356,'Daftar Koreksi'!$G$5:$G$92,"Aset Henti Guna",'Daftar Koreksi'!$I$5:$I$92,"&gt;0")</f>
        <v>0</v>
      </c>
      <c r="F373" s="25">
        <f>SUMIFS('Daftar Koreksi'!$I$5:$I$92,'Daftar Koreksi'!$D$5:$D$92,'1300'!A356,'Daftar Koreksi'!$G$5:$G$92,"Aset Henti Guna",'Daftar Koreksi'!$I$5:$I$92,"&lt;0")-SUMIFS('Daftar Koreksi'!$I$5:$I$92,'Daftar Koreksi'!$D$5:$D$92,'1300'!A356,'Daftar Koreksi'!$G$5:$G$92,"Aset Henti Guna",'Daftar Koreksi'!$I$5:$I$92,"&lt;0")-SUMIFS('Daftar Koreksi'!$I$5:$I$92,'Daftar Koreksi'!$D$5:$D$92,'1300'!A356,'Daftar Koreksi'!$G$5:$G$92,"Aset Henti Guna",'Daftar Koreksi'!$I$5:$I$92,"&lt;0")</f>
        <v>0</v>
      </c>
      <c r="G373" s="17">
        <f t="shared" si="16"/>
        <v>-28144750</v>
      </c>
      <c r="H373" s="122"/>
    </row>
    <row r="374" spans="1:10" ht="21.95" customHeight="1">
      <c r="A374" s="14"/>
      <c r="B374" s="14"/>
      <c r="C374" s="18" t="s">
        <v>2094</v>
      </c>
      <c r="D374" s="19">
        <f>SUM(D369:D373)</f>
        <v>-4210608507</v>
      </c>
      <c r="E374" s="19">
        <f>SUM(E369:E373)</f>
        <v>0</v>
      </c>
      <c r="F374" s="19">
        <f>SUM(F369:F373)</f>
        <v>0</v>
      </c>
      <c r="G374" s="19">
        <f t="shared" si="16"/>
        <v>-4210608507</v>
      </c>
      <c r="H374" s="122"/>
    </row>
    <row r="375" spans="1:10" ht="21.95" customHeight="1">
      <c r="A375" s="14"/>
      <c r="B375" s="14"/>
      <c r="C375" s="18" t="s">
        <v>2095</v>
      </c>
      <c r="D375" s="19">
        <f>VLOOKUP(A356,'Neraca Unaudited SIMAK'!$A$2:$S$10004,18,FALSE)</f>
        <v>18088222325</v>
      </c>
      <c r="E375" s="19">
        <f>E374+E368</f>
        <v>0</v>
      </c>
      <c r="F375" s="19">
        <f>F374+F368</f>
        <v>0</v>
      </c>
      <c r="G375" s="19">
        <f t="shared" si="16"/>
        <v>18088222325</v>
      </c>
      <c r="H375" s="122"/>
    </row>
    <row r="376" spans="1:10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10" ht="19.5" customHeight="1">
      <c r="A378" s="11" t="str">
        <f>O18</f>
        <v>005011300632039000KD</v>
      </c>
      <c r="B378" s="11" t="str">
        <f>P18</f>
        <v>PA. Bengkayang</v>
      </c>
      <c r="C378" s="12" t="str">
        <f>A378&amp;" "&amp;B378</f>
        <v>005011300632039000KD PA. Bengkayang</v>
      </c>
      <c r="D378" s="13"/>
      <c r="E378" s="13"/>
      <c r="F378" s="13"/>
      <c r="G378" s="13"/>
      <c r="H378" s="11"/>
    </row>
    <row r="379" spans="1:10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10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10" ht="21.95" customHeight="1">
      <c r="A381" s="14"/>
      <c r="B381" s="14"/>
      <c r="C381" s="16" t="s">
        <v>1165</v>
      </c>
      <c r="D381" s="17">
        <f>VLOOKUP(A378,'Neraca Unaudited SIMAK'!$A$2:$S$10004,3,FALSE)</f>
        <v>214900</v>
      </c>
      <c r="E381" s="25">
        <f>SUMIFS('Daftar Koreksi'!$H$5:$H$92,'Daftar Koreksi'!$D$5:$D$92,'1300'!A378,'Daftar Koreksi'!$G$5:$G$92,"Persediaan",'Daftar Koreksi'!$H$5:$H$92,"&gt;0")</f>
        <v>0</v>
      </c>
      <c r="F381" s="25">
        <f>SUMIFS('Daftar Koreksi'!$H$5:$H$92,'Daftar Koreksi'!$D$5:$D$92,'1300'!A378,'Daftar Koreksi'!$G$5:$G$92,"Persediaan",'Daftar Koreksi'!$H$5:$H$92,"&lt;0")-SUMIFS('Daftar Koreksi'!$H$5:$H$92,'Daftar Koreksi'!$D$5:$D$92,'1300'!A378,'Daftar Koreksi'!$G$5:$G$92,"Persediaan",'Daftar Koreksi'!$H$5:$H$92,"&lt;0")-SUMIFS('Daftar Koreksi'!$H$5:$H$92,'Daftar Koreksi'!$D$5:$D$92,'1300'!A378,'Daftar Koreksi'!$G$5:$G$92,"Persediaan",'Daftar Koreksi'!$H$5:$H$92,"&lt;0")</f>
        <v>0</v>
      </c>
      <c r="G381" s="17">
        <f>D381+E381-F381</f>
        <v>214900</v>
      </c>
      <c r="H381" s="121" t="str">
        <f>IF(ISNA(VLOOKUP(A378,'Mutasi Neraca'!$A$3:$S$914,19,FALSE)),"-",VLOOKUP(A378,'Mutasi Neraca'!$A$3:$S$914,19,FALSE))</f>
        <v>-</v>
      </c>
      <c r="I381" s="28"/>
      <c r="J381" s="28"/>
    </row>
    <row r="382" spans="1:10" ht="21.95" customHeight="1">
      <c r="A382" s="14"/>
      <c r="B382" s="14"/>
      <c r="C382" s="16" t="s">
        <v>1166</v>
      </c>
      <c r="D382" s="17">
        <f>VLOOKUP(A378,'Neraca Unaudited SIMAK'!$A$2:$S$10004,4,FALSE)</f>
        <v>1462396000</v>
      </c>
      <c r="E382" s="25">
        <f>SUMIFS('Daftar Koreksi'!$H$5:$H$92,'Daftar Koreksi'!$D$5:$D$92,'1300'!A378,'Daftar Koreksi'!$G$5:$G$92,"Tanah",'Daftar Koreksi'!$H$5:$H$92,"&gt;0")</f>
        <v>0</v>
      </c>
      <c r="F382" s="25">
        <f>SUMIFS('Daftar Koreksi'!$H$5:$H$92,'Daftar Koreksi'!$D$5:$D$92,'1300'!A378,'Daftar Koreksi'!$G$5:$G$92,"Tanah",'Daftar Koreksi'!$H$5:$H$92,"&lt;0")-SUMIFS('Daftar Koreksi'!$H$5:$H$92,'Daftar Koreksi'!$D$5:$D$92,'1300'!A378,'Daftar Koreksi'!$G$5:$G$92,"Tanah",'Daftar Koreksi'!$H$5:$H$92,"&lt;0")-SUMIFS('Daftar Koreksi'!$H$5:$H$92,'Daftar Koreksi'!$D$5:$D$92,'1300'!A378,'Daftar Koreksi'!$G$5:$G$92,"Tanah",'Daftar Koreksi'!$H$5:$H$92,"&lt;0")</f>
        <v>0</v>
      </c>
      <c r="G382" s="17">
        <f t="shared" ref="G382:G398" si="17">D382+E382-F382</f>
        <v>1462396000</v>
      </c>
      <c r="H382" s="122"/>
      <c r="I382" s="28"/>
      <c r="J382" s="28"/>
    </row>
    <row r="383" spans="1:10" ht="21.95" customHeight="1">
      <c r="A383" s="14"/>
      <c r="B383" s="14"/>
      <c r="C383" s="16" t="s">
        <v>1167</v>
      </c>
      <c r="D383" s="17">
        <f>VLOOKUP(A378,'Neraca Unaudited SIMAK'!$A$2:$S$10004,5,FALSE)</f>
        <v>1140736028</v>
      </c>
      <c r="E383" s="25">
        <f>SUMIFS('Daftar Koreksi'!$H$5:$H$92,'Daftar Koreksi'!$D$5:$D$92,'1300'!A378,'Daftar Koreksi'!$G$5:$G$92,"Peralatan dan mesin",'Daftar Koreksi'!$H$5:$H$92,"&gt;0")</f>
        <v>0</v>
      </c>
      <c r="F383" s="25">
        <f>SUMIFS('Daftar Koreksi'!$H$5:$H$92,'Daftar Koreksi'!$D$5:$D$92,'1300'!A378,'Daftar Koreksi'!$G$5:$G$92,"Peralatan dan mesin",'Daftar Koreksi'!$H$5:$H$92,"&lt;0")-SUMIFS('Daftar Koreksi'!$H$5:$H$92,'Daftar Koreksi'!$D$5:$D$92,'1300'!A378,'Daftar Koreksi'!$G$5:$G$92,"Peralatan dan mesin",'Daftar Koreksi'!$H$5:$H$92,"&lt;0")-SUMIFS('Daftar Koreksi'!$H$5:$H$92,'Daftar Koreksi'!$D$5:$D$92,'1300'!A378,'Daftar Koreksi'!$G$5:$G$92,"Peralatan dan mesin",'Daftar Koreksi'!$H$5:$H$92,"&lt;0")</f>
        <v>0</v>
      </c>
      <c r="G383" s="17">
        <f t="shared" si="17"/>
        <v>1140736028</v>
      </c>
      <c r="H383" s="122"/>
      <c r="I383" s="28"/>
      <c r="J383" s="28"/>
    </row>
    <row r="384" spans="1:10" ht="21.95" customHeight="1">
      <c r="A384" s="14"/>
      <c r="B384" s="14"/>
      <c r="C384" s="16" t="s">
        <v>1168</v>
      </c>
      <c r="D384" s="17">
        <f>VLOOKUP(A378,'Neraca Unaudited SIMAK'!$A$2:$S$10004,6,FALSE)</f>
        <v>6767007300</v>
      </c>
      <c r="E384" s="25">
        <f>SUMIFS('Daftar Koreksi'!$H$5:$H$92,'Daftar Koreksi'!$D$5:$D$92,'1300'!A378,'Daftar Koreksi'!$G$5:$G$92,"Gedung dan Bangunan",'Daftar Koreksi'!$H$5:$H$92,"&gt;0")</f>
        <v>0</v>
      </c>
      <c r="F384" s="25">
        <f>SUMIFS('Daftar Koreksi'!$H$5:$H$92,'Daftar Koreksi'!$D$5:$D$92,'1300'!A378,'Daftar Koreksi'!$G$5:$G$92,"Gedung dan Bangunan",'Daftar Koreksi'!$H$5:$H$92,"&lt;0")-SUMIFS('Daftar Koreksi'!$H$5:$H$92,'Daftar Koreksi'!$D$5:$D$92,'1300'!A378,'Daftar Koreksi'!$G$5:$G$92,"Gedung dan Bangunan",'Daftar Koreksi'!$H$5:$H$92,"&lt;0")-SUMIFS('Daftar Koreksi'!$H$5:$H$92,'Daftar Koreksi'!$D$5:$D$92,'1300'!A378,'Daftar Koreksi'!$G$5:$G$92,"Gedung dan Bangunan",'Daftar Koreksi'!$H$5:$H$92,"&lt;0")</f>
        <v>0</v>
      </c>
      <c r="G384" s="17">
        <f t="shared" si="17"/>
        <v>6767007300</v>
      </c>
      <c r="H384" s="122"/>
      <c r="I384" s="28"/>
      <c r="J384" s="28"/>
    </row>
    <row r="385" spans="1:10" ht="21.95" customHeight="1">
      <c r="A385" s="14"/>
      <c r="B385" s="14"/>
      <c r="C385" s="16" t="s">
        <v>1169</v>
      </c>
      <c r="D385" s="17">
        <f>VLOOKUP(A378,'Neraca Unaudited SIMAK'!$A$2:$S$10004,7,FALSE)</f>
        <v>52240000</v>
      </c>
      <c r="E385" s="25">
        <f>SUMIFS('Daftar Koreksi'!$H$5:$H$92,'Daftar Koreksi'!$D$5:$D$92,'1300'!A378,'Daftar Koreksi'!$G$5:$G$92,"Jalan Irigasi Jaringan",'Daftar Koreksi'!$H$5:$H$92,"&gt;0")</f>
        <v>0</v>
      </c>
      <c r="F385" s="25">
        <f>SUMIFS('Daftar Koreksi'!$H$5:$H$92,'Daftar Koreksi'!$D$5:$D$92,'1300'!A378,'Daftar Koreksi'!$G$5:$G$92,"Jalan Irigasi Jaringan",'Daftar Koreksi'!$H$5:$H$92,"&lt;0")-SUMIFS('Daftar Koreksi'!$H$5:$H$92,'Daftar Koreksi'!$D$5:$D$92,'1300'!A378,'Daftar Koreksi'!$G$5:$G$92,"Jalan Irigasi Jaringan",'Daftar Koreksi'!$H$5:$H$92,"&lt;0")-SUMIFS('Daftar Koreksi'!$H$5:$H$92,'Daftar Koreksi'!$D$5:$D$92,'1300'!A378,'Daftar Koreksi'!$G$5:$G$92,"Jalan Irigasi Jaringan",'Daftar Koreksi'!$H$5:$H$92,"&lt;0")</f>
        <v>0</v>
      </c>
      <c r="G385" s="17">
        <f t="shared" si="17"/>
        <v>52240000</v>
      </c>
      <c r="H385" s="122"/>
      <c r="I385" s="28"/>
      <c r="J385" s="28"/>
    </row>
    <row r="386" spans="1:10" ht="21.95" customHeight="1">
      <c r="A386" s="14"/>
      <c r="B386" s="14"/>
      <c r="C386" s="16" t="s">
        <v>1170</v>
      </c>
      <c r="D386" s="17">
        <f>VLOOKUP(A378,'Neraca Unaudited SIMAK'!$A$2:$S$10004,8,FALSE)</f>
        <v>8321198</v>
      </c>
      <c r="E386" s="25">
        <f>SUMIFS('Daftar Koreksi'!$H$5:$H$92,'Daftar Koreksi'!$D$5:$D$92,'1300'!A378,'Daftar Koreksi'!$G$5:$G$92,"Aset Tetap Lainnya",'Daftar Koreksi'!$H$5:$H$92,"&gt;0")</f>
        <v>0</v>
      </c>
      <c r="F386" s="25">
        <f>SUMIFS('Daftar Koreksi'!$H$5:$H$92,'Daftar Koreksi'!$D$5:$D$92,'1300'!A378,'Daftar Koreksi'!$G$5:$G$92,"Aset Tetap Lainnya",'Daftar Koreksi'!$H$5:$H$92,"&lt;0")-SUMIFS('Daftar Koreksi'!$H$5:$H$92,'Daftar Koreksi'!$D$5:$D$92,'1300'!A378,'Daftar Koreksi'!$G$5:$G$92,"Aset Tetap Lainnya",'Daftar Koreksi'!$H$5:$H$92,"&lt;0")-SUMIFS('Daftar Koreksi'!$H$5:$H$92,'Daftar Koreksi'!$D$5:$D$92,'1300'!A378,'Daftar Koreksi'!$G$5:$G$92,"Aset Tetap Lainnya",'Daftar Koreksi'!$H$5:$H$92,"&lt;0")</f>
        <v>0</v>
      </c>
      <c r="G386" s="17">
        <f t="shared" si="17"/>
        <v>8321198</v>
      </c>
      <c r="H386" s="122"/>
      <c r="I386" s="28"/>
      <c r="J386" s="28"/>
    </row>
    <row r="387" spans="1:10" ht="21.95" customHeight="1">
      <c r="A387" s="14"/>
      <c r="B387" s="14"/>
      <c r="C387" s="16" t="s">
        <v>1171</v>
      </c>
      <c r="D387" s="17">
        <f>VLOOKUP(A378,'Neraca Unaudited SIMAK'!$A$2:$S$10004,9,FALSE)</f>
        <v>1209783000</v>
      </c>
      <c r="E387" s="25">
        <f>SUMIFS('Daftar Koreksi'!$H$5:$H$92,'Daftar Koreksi'!$D$5:$D$92,'1300'!A378,'Daftar Koreksi'!$G$5:$G$92,"Kontruksi Dalam Pengerjaan",'Daftar Koreksi'!$H$5:$H$92,"&gt;0")</f>
        <v>0</v>
      </c>
      <c r="F387" s="25">
        <f>SUMIFS('Daftar Koreksi'!$H$5:$H$92,'Daftar Koreksi'!$D$5:$D$92,'1300'!A378,'Daftar Koreksi'!$G$5:$G$92,"Kontruksi Dalam Pengerjaan",'Daftar Koreksi'!$H$5:$H$92,"&lt;0")-SUMIFS('Daftar Koreksi'!$H$5:$H$92,'Daftar Koreksi'!$D$5:$D$92,'1300'!A378,'Daftar Koreksi'!$G$5:$G$92,"Kontruksi Dalam Pengerjaan",'Daftar Koreksi'!$H$5:$H$92,"&lt;0")-SUMIFS('Daftar Koreksi'!$H$5:$H$92,'Daftar Koreksi'!$D$5:$D$92,'1300'!A378,'Daftar Koreksi'!$G$5:$G$92,"Kontruksi Dalam Pengerjaan",'Daftar Koreksi'!$H$5:$H$92,"&lt;0")</f>
        <v>0</v>
      </c>
      <c r="G387" s="17">
        <f t="shared" si="17"/>
        <v>1209783000</v>
      </c>
      <c r="H387" s="122"/>
      <c r="I387" s="28"/>
      <c r="J387" s="28"/>
    </row>
    <row r="388" spans="1:10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Koreksi'!$D$5:$D$92,'1300'!A378,'Daftar Koreksi'!$G$5:$G$92,"Aset Tak Berwujud",'Daftar Koreksi'!$H$5:$H$92,"&gt;0")</f>
        <v>0</v>
      </c>
      <c r="F388" s="25">
        <f>SUMIFS('Daftar Koreksi'!$H$5:$H$92,'Daftar Koreksi'!$D$5:$D$92,'1300'!A378,'Daftar Koreksi'!$G$5:$G$92,"Aset Tak Berwujud",'Daftar Koreksi'!$H$5:$H$92,"&lt;0")-SUMIFS('Daftar Koreksi'!$H$5:$H$92,'Daftar Koreksi'!$D$5:$D$92,'1300'!A378,'Daftar Koreksi'!$G$5:$G$92,"Aset Tak Berwujud",'Daftar Koreksi'!$H$5:$H$92,"&lt;0")-SUMIFS('Daftar Koreksi'!$H$5:$H$92,'Daftar Koreksi'!$D$5:$D$92,'1300'!A378,'Daftar Koreksi'!$G$5:$G$92,"Aset Tak Berwujud",'Daftar Koreksi'!$H$5:$H$92,"&lt;0")</f>
        <v>0</v>
      </c>
      <c r="G388" s="17">
        <f t="shared" si="17"/>
        <v>0</v>
      </c>
      <c r="H388" s="122"/>
      <c r="I388" s="28"/>
      <c r="J388" s="28"/>
    </row>
    <row r="389" spans="1:10" ht="21.95" customHeight="1">
      <c r="A389" s="14"/>
      <c r="B389" s="14"/>
      <c r="C389" s="16" t="s">
        <v>1173</v>
      </c>
      <c r="D389" s="17">
        <f>VLOOKUP(A378,'Neraca Unaudited SIMAK'!$A$2:$S$10004,11,FALSE)</f>
        <v>171968675</v>
      </c>
      <c r="E389" s="25">
        <f>SUMIFS('Daftar Koreksi'!$H$5:$H$92,'Daftar Koreksi'!$D$5:$D$92,'1300'!A378,'Daftar Koreksi'!$G$5:$G$92,"Aset Henti Guna",'Daftar Koreksi'!$H$5:$H$92,"&gt;0")</f>
        <v>0</v>
      </c>
      <c r="F389" s="25">
        <f>SUMIFS('Daftar Koreksi'!$H$5:$H$92,'Daftar Koreksi'!$D$5:$D$92,'1300'!A378,'Daftar Koreksi'!$G$5:$G$92,"Aset Henti Guna",'Daftar Koreksi'!$H$5:$H$92,"&lt;0")-SUMIFS('Daftar Koreksi'!$H$5:$H$92,'Daftar Koreksi'!$D$5:$D$92,'1300'!A378,'Daftar Koreksi'!$G$5:$G$92,"Aset Henti Guna",'Daftar Koreksi'!$H$5:$H$92,"&lt;0")-SUMIFS('Daftar Koreksi'!$H$5:$H$92,'Daftar Koreksi'!$D$5:$D$92,'1300'!A378,'Daftar Koreksi'!$G$5:$G$92,"Aset Henti Guna",'Daftar Koreksi'!$H$5:$H$92,"&lt;0")</f>
        <v>0</v>
      </c>
      <c r="G389" s="17">
        <f t="shared" si="17"/>
        <v>171968675</v>
      </c>
      <c r="H389" s="122"/>
      <c r="I389" s="28"/>
      <c r="J389" s="28"/>
    </row>
    <row r="390" spans="1:10" ht="21.95" customHeight="1">
      <c r="A390" s="14"/>
      <c r="B390" s="14"/>
      <c r="C390" s="18" t="s">
        <v>2093</v>
      </c>
      <c r="D390" s="19">
        <f>VLOOKUP(A378,'Neraca Unaudited SIMAK'!$A$2:$S$10004,12,FALSE)</f>
        <v>10812667101</v>
      </c>
      <c r="E390" s="19">
        <f>SUM(E381:E389)</f>
        <v>0</v>
      </c>
      <c r="F390" s="19">
        <f>SUM(F381:F389)</f>
        <v>0</v>
      </c>
      <c r="G390" s="19">
        <f t="shared" si="17"/>
        <v>10812667101</v>
      </c>
      <c r="H390" s="122"/>
      <c r="I390" s="28"/>
      <c r="J390" s="28"/>
    </row>
    <row r="391" spans="1:10" ht="21.95" customHeight="1">
      <c r="A391" s="14"/>
      <c r="B391" s="14"/>
      <c r="C391" s="16" t="s">
        <v>2087</v>
      </c>
      <c r="D391" s="17">
        <f>VLOOKUP(A378,'Neraca Unaudited SIMAK'!$A$2:$S$10004,13,FALSE)</f>
        <v>-1014833236</v>
      </c>
      <c r="E391" s="25">
        <f>SUMIFS('Daftar Koreksi'!$I$5:$I$92,'Daftar Koreksi'!$D$5:$D$92,'1300'!A378,'Daftar Koreksi'!$G$5:$G$92,"Peralatan dan mesin",'Daftar Koreksi'!$I$5:$I$92,"&gt;0")</f>
        <v>0</v>
      </c>
      <c r="F391" s="25">
        <f>SUMIFS('Daftar Koreksi'!$I$5:$I$92,'Daftar Koreksi'!$D$5:$D$92,'1300'!A378,'Daftar Koreksi'!$G$5:$G$92,"Peralatan dan mesin",'Daftar Koreksi'!$I$5:$I$92,"&lt;0")-SUMIFS('Daftar Koreksi'!$I$5:$I$92,'Daftar Koreksi'!$D$5:$D$92,'1300'!A378,'Daftar Koreksi'!$G$5:$G$92,"Peralatan dan mesin",'Daftar Koreksi'!$I$5:$I$92,"&lt;0")-SUMIFS('Daftar Koreksi'!$I$5:$I$92,'Daftar Koreksi'!$D$5:$D$92,'1300'!A378,'Daftar Koreksi'!$G$5:$G$92,"Peralatan dan mesin",'Daftar Koreksi'!$I$5:$I$92,"&lt;0")</f>
        <v>0</v>
      </c>
      <c r="G391" s="17">
        <f t="shared" si="17"/>
        <v>-1014833236</v>
      </c>
      <c r="H391" s="122"/>
      <c r="I391" s="28"/>
      <c r="J391" s="28"/>
    </row>
    <row r="392" spans="1:10" ht="21.95" customHeight="1">
      <c r="A392" s="14"/>
      <c r="B392" s="14"/>
      <c r="C392" s="16" t="s">
        <v>2088</v>
      </c>
      <c r="D392" s="17">
        <f>VLOOKUP(A378,'Neraca Unaudited SIMAK'!$A$2:$S$10004,14,FALSE)</f>
        <v>-392186365</v>
      </c>
      <c r="E392" s="25">
        <f>SUMIFS('Daftar Koreksi'!$I$5:$I$92,'Daftar Koreksi'!$D$5:$D$92,'1300'!A378,'Daftar Koreksi'!$G$5:$G$92,"Gedung dan Bangunan",'Daftar Koreksi'!$I$5:$I$92,"&gt;0")</f>
        <v>0</v>
      </c>
      <c r="F392" s="25">
        <f>SUMIFS('Daftar Koreksi'!$I$5:$I$92,'Daftar Koreksi'!$D$5:$D$92,'1300'!A378,'Daftar Koreksi'!$G$5:$G$92,"Gedung dan Bangunan",'Daftar Koreksi'!$I$5:$I$92,"&lt;0")-SUMIFS('Daftar Koreksi'!$I$5:$I$92,'Daftar Koreksi'!$D$5:$D$92,'1300'!A378,'Daftar Koreksi'!$G$5:$G$92,"Gedung dan Bangunan",'Daftar Koreksi'!$I$5:$I$92,"&lt;0")-SUMIFS('Daftar Koreksi'!$I$5:$I$92,'Daftar Koreksi'!$D$5:$D$92,'1300'!A378,'Daftar Koreksi'!$G$5:$G$92,"Gedung dan Bangunan",'Daftar Koreksi'!$I$5:$I$92,"&lt;0")</f>
        <v>0</v>
      </c>
      <c r="G392" s="17">
        <f t="shared" si="17"/>
        <v>-392186365</v>
      </c>
      <c r="H392" s="122"/>
      <c r="I392" s="28"/>
      <c r="J392" s="28"/>
    </row>
    <row r="393" spans="1:10" ht="21.95" customHeight="1">
      <c r="A393" s="14"/>
      <c r="B393" s="14"/>
      <c r="C393" s="16" t="s">
        <v>2089</v>
      </c>
      <c r="D393" s="17">
        <f>VLOOKUP(A378,'Neraca Unaudited SIMAK'!$A$2:$S$10004,15,FALSE)</f>
        <v>-28267906</v>
      </c>
      <c r="E393" s="25">
        <f>SUMIFS('Daftar Koreksi'!$I$5:$I$92,'Daftar Koreksi'!$D$5:$D$92,'1300'!A378,'Daftar Koreksi'!$G$5:$G$92,"Jalan Irigasi Jaringan",'Daftar Koreksi'!$I$5:$I$92,"&gt;0")</f>
        <v>0</v>
      </c>
      <c r="F393" s="25">
        <f>SUMIFS('Daftar Koreksi'!$I$5:$I$92,'Daftar Koreksi'!$D$5:$D$92,'1300'!A378,'Daftar Koreksi'!$G$5:$G$92,"Jalan Irigasi Jaringan",'Daftar Koreksi'!$I$5:$I$92,"&lt;0")-SUMIFS('Daftar Koreksi'!$I$5:$I$92,'Daftar Koreksi'!$D$5:$D$92,'1300'!A378,'Daftar Koreksi'!$G$5:$G$92,"Jalan Irigasi Jaringan",'Daftar Koreksi'!$I$5:$I$92,"&lt;0")-SUMIFS('Daftar Koreksi'!$I$5:$I$92,'Daftar Koreksi'!$D$5:$D$92,'1300'!A378,'Daftar Koreksi'!$G$5:$G$92,"Jalan Irigasi Jaringan",'Daftar Koreksi'!$I$5:$I$92,"&lt;0")</f>
        <v>0</v>
      </c>
      <c r="G393" s="17">
        <f t="shared" si="17"/>
        <v>-28267906</v>
      </c>
      <c r="H393" s="122"/>
      <c r="I393" s="28"/>
      <c r="J393" s="28"/>
    </row>
    <row r="394" spans="1:10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Koreksi'!$D$5:$D$92,'1300'!A378,'Daftar Koreksi'!$G$5:$G$92,"Aset Tetap Lainnya",'Daftar Koreksi'!$I$5:$I$92,"&gt;0")</f>
        <v>0</v>
      </c>
      <c r="F394" s="25">
        <f>SUMIFS('Daftar Koreksi'!$I$5:$I$92,'Daftar Koreksi'!$D$5:$D$92,'1300'!A378,'Daftar Koreksi'!$G$5:$G$92,"Aset Tetap Lainnya",'Daftar Koreksi'!$I$5:$I$92,"&lt;0")-SUMIFS('Daftar Koreksi'!$I$5:$I$92,'Daftar Koreksi'!$D$5:$D$92,'1300'!A378,'Daftar Koreksi'!$G$5:$G$92,"Aset Tetap Lainnya",'Daftar Koreksi'!$I$5:$I$92,"&lt;0")-SUMIFS('Daftar Koreksi'!$I$5:$I$92,'Daftar Koreksi'!$D$5:$D$92,'1300'!A378,'Daftar Koreksi'!$G$5:$G$92,"Aset Tetap Lainnya",'Daftar Koreksi'!$I$5:$I$92,"&lt;0")</f>
        <v>0</v>
      </c>
      <c r="G394" s="17">
        <f t="shared" si="17"/>
        <v>0</v>
      </c>
      <c r="H394" s="122"/>
      <c r="I394" s="28"/>
      <c r="J394" s="28"/>
    </row>
    <row r="395" spans="1:10" ht="21.95" customHeight="1">
      <c r="A395" s="14"/>
      <c r="B395" s="14"/>
      <c r="C395" s="16" t="s">
        <v>2020</v>
      </c>
      <c r="D395" s="17">
        <f>VLOOKUP(A378,'Neraca Unaudited SIMAK'!$A$2:$S$10004,17,FALSE)</f>
        <v>-171936775</v>
      </c>
      <c r="E395" s="25">
        <f>SUMIFS('Daftar Koreksi'!$I$5:$I$92,'Daftar Koreksi'!$D$5:$D$92,'1300'!A378,'Daftar Koreksi'!$G$5:$G$92,"Aset Henti Guna",'Daftar Koreksi'!$I$5:$I$92,"&gt;0")</f>
        <v>0</v>
      </c>
      <c r="F395" s="25">
        <f>SUMIFS('Daftar Koreksi'!$I$5:$I$92,'Daftar Koreksi'!$D$5:$D$92,'1300'!A378,'Daftar Koreksi'!$G$5:$G$92,"Aset Henti Guna",'Daftar Koreksi'!$I$5:$I$92,"&lt;0")-SUMIFS('Daftar Koreksi'!$I$5:$I$92,'Daftar Koreksi'!$D$5:$D$92,'1300'!A378,'Daftar Koreksi'!$G$5:$G$92,"Aset Henti Guna",'Daftar Koreksi'!$I$5:$I$92,"&lt;0")-SUMIFS('Daftar Koreksi'!$I$5:$I$92,'Daftar Koreksi'!$D$5:$D$92,'1300'!A378,'Daftar Koreksi'!$G$5:$G$92,"Aset Henti Guna",'Daftar Koreksi'!$I$5:$I$92,"&lt;0")</f>
        <v>0</v>
      </c>
      <c r="G395" s="17">
        <f t="shared" si="17"/>
        <v>-171936775</v>
      </c>
      <c r="H395" s="122"/>
      <c r="I395" s="28"/>
      <c r="J395" s="28"/>
    </row>
    <row r="396" spans="1:10" ht="21.95" customHeight="1">
      <c r="A396" s="14"/>
      <c r="B396" s="14"/>
      <c r="C396" s="18" t="s">
        <v>2094</v>
      </c>
      <c r="D396" s="19">
        <f>SUM(D391:D395)</f>
        <v>-1607224282</v>
      </c>
      <c r="E396" s="19">
        <f>SUM(E391:E395)</f>
        <v>0</v>
      </c>
      <c r="F396" s="19">
        <f>SUM(F391:F395)</f>
        <v>0</v>
      </c>
      <c r="G396" s="19">
        <f t="shared" si="17"/>
        <v>-1607224282</v>
      </c>
      <c r="H396" s="122"/>
      <c r="I396" s="28"/>
      <c r="J396" s="28"/>
    </row>
    <row r="397" spans="1:10" ht="21.95" customHeight="1">
      <c r="A397" s="14"/>
      <c r="B397" s="14"/>
      <c r="C397" s="18" t="s">
        <v>2095</v>
      </c>
      <c r="D397" s="19">
        <f>VLOOKUP(A378,'Neraca Unaudited SIMAK'!$A$2:$S$10004,18,FALSE)</f>
        <v>9205442819</v>
      </c>
      <c r="E397" s="19">
        <f>E396+E390</f>
        <v>0</v>
      </c>
      <c r="F397" s="19">
        <f>F396+F390</f>
        <v>0</v>
      </c>
      <c r="G397" s="19">
        <f t="shared" si="17"/>
        <v>9205442819</v>
      </c>
      <c r="H397" s="122"/>
      <c r="I397" s="28"/>
      <c r="J397" s="28"/>
    </row>
    <row r="398" spans="1:10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  <c r="I398" s="28"/>
      <c r="J398" s="28"/>
    </row>
    <row r="400" spans="1:10" ht="19.5" customHeight="1">
      <c r="A400" s="11" t="str">
        <f>O19</f>
        <v>005011300663225000KD</v>
      </c>
      <c r="B400" s="11" t="str">
        <f>P19</f>
        <v>DILMIL.  I - 05 di Pontianak</v>
      </c>
      <c r="C400" s="12" t="str">
        <f>A400&amp;" "&amp;B400</f>
        <v>005011300663225000KD DILMIL.  I - 05 di Pontianak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0</v>
      </c>
      <c r="E403" s="25">
        <f>SUMIFS('Daftar Koreksi'!$H$5:$H$92,'Daftar Koreksi'!$D$5:$D$92,'1300'!A400,'Daftar Koreksi'!$G$5:$G$92,"Persediaan",'Daftar Koreksi'!$H$5:$H$92,"&gt;0")</f>
        <v>0</v>
      </c>
      <c r="F403" s="25">
        <f>SUMIFS('Daftar Koreksi'!$H$5:$H$92,'Daftar Koreksi'!$D$5:$D$92,'1300'!A400,'Daftar Koreksi'!$G$5:$G$92,"Persediaan",'Daftar Koreksi'!$H$5:$H$92,"&lt;0")-SUMIFS('Daftar Koreksi'!$H$5:$H$92,'Daftar Koreksi'!$D$5:$D$92,'1300'!A400,'Daftar Koreksi'!$G$5:$G$92,"Persediaan",'Daftar Koreksi'!$H$5:$H$92,"&lt;0")-SUMIFS('Daftar Koreksi'!$H$5:$H$92,'Daftar Koreksi'!$D$5:$D$92,'1300'!A400,'Daftar Koreksi'!$G$5:$G$92,"Persediaan",'Daftar Koreksi'!$H$5:$H$92,"&lt;0")</f>
        <v>0</v>
      </c>
      <c r="G403" s="17">
        <f>D403+E403-F403</f>
        <v>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941800000</v>
      </c>
      <c r="E404" s="25">
        <f>SUMIFS('Daftar Koreksi'!$H$5:$H$92,'Daftar Koreksi'!$D$5:$D$92,'1300'!A400,'Daftar Koreksi'!$G$5:$G$92,"Tanah",'Daftar Koreksi'!$H$5:$H$92,"&gt;0")</f>
        <v>0</v>
      </c>
      <c r="F404" s="25">
        <f>SUMIFS('Daftar Koreksi'!$H$5:$H$92,'Daftar Koreksi'!$D$5:$D$92,'1300'!A400,'Daftar Koreksi'!$G$5:$G$92,"Tanah",'Daftar Koreksi'!$H$5:$H$92,"&lt;0")-SUMIFS('Daftar Koreksi'!$H$5:$H$92,'Daftar Koreksi'!$D$5:$D$92,'1300'!A400,'Daftar Koreksi'!$G$5:$G$92,"Tanah",'Daftar Koreksi'!$H$5:$H$92,"&lt;0")-SUMIFS('Daftar Koreksi'!$H$5:$H$92,'Daftar Koreksi'!$D$5:$D$92,'1300'!A400,'Daftar Koreksi'!$G$5:$G$92,"Tanah",'Daftar Koreksi'!$H$5:$H$92,"&lt;0")</f>
        <v>0</v>
      </c>
      <c r="G404" s="17">
        <f t="shared" ref="G404:G420" si="18">D404+E404-F404</f>
        <v>941800000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2048917898</v>
      </c>
      <c r="E405" s="25">
        <f>SUMIFS('Daftar Koreksi'!$H$5:$H$92,'Daftar Koreksi'!$D$5:$D$92,'1300'!A400,'Daftar Koreksi'!$G$5:$G$92,"Peralatan dan mesin",'Daftar Koreksi'!$H$5:$H$92,"&gt;0")</f>
        <v>0</v>
      </c>
      <c r="F405" s="25">
        <f>SUMIFS('Daftar Koreksi'!$H$5:$H$92,'Daftar Koreksi'!$D$5:$D$92,'1300'!A400,'Daftar Koreksi'!$G$5:$G$92,"Peralatan dan mesin",'Daftar Koreksi'!$H$5:$H$92,"&lt;0")-SUMIFS('Daftar Koreksi'!$H$5:$H$92,'Daftar Koreksi'!$D$5:$D$92,'1300'!A400,'Daftar Koreksi'!$G$5:$G$92,"Peralatan dan mesin",'Daftar Koreksi'!$H$5:$H$92,"&lt;0")-SUMIFS('Daftar Koreksi'!$H$5:$H$92,'Daftar Koreksi'!$D$5:$D$92,'1300'!A400,'Daftar Koreksi'!$G$5:$G$92,"Peralatan dan mesin",'Daftar Koreksi'!$H$5:$H$92,"&lt;0")</f>
        <v>0</v>
      </c>
      <c r="G405" s="17">
        <f t="shared" si="18"/>
        <v>2048917898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11317108100</v>
      </c>
      <c r="E406" s="25">
        <f>SUMIFS('Daftar Koreksi'!$H$5:$H$92,'Daftar Koreksi'!$D$5:$D$92,'1300'!A400,'Daftar Koreksi'!$G$5:$G$92,"Gedung dan Bangunan",'Daftar Koreksi'!$H$5:$H$92,"&gt;0")</f>
        <v>0</v>
      </c>
      <c r="F406" s="25">
        <f>SUMIFS('Daftar Koreksi'!$H$5:$H$92,'Daftar Koreksi'!$D$5:$D$92,'1300'!A400,'Daftar Koreksi'!$G$5:$G$92,"Gedung dan Bangunan",'Daftar Koreksi'!$H$5:$H$92,"&lt;0")-SUMIFS('Daftar Koreksi'!$H$5:$H$92,'Daftar Koreksi'!$D$5:$D$92,'1300'!A400,'Daftar Koreksi'!$G$5:$G$92,"Gedung dan Bangunan",'Daftar Koreksi'!$H$5:$H$92,"&lt;0")-SUMIFS('Daftar Koreksi'!$H$5:$H$92,'Daftar Koreksi'!$D$5:$D$92,'1300'!A400,'Daftar Koreksi'!$G$5:$G$92,"Gedung dan Bangunan",'Daftar Koreksi'!$H$5:$H$92,"&lt;0")</f>
        <v>0</v>
      </c>
      <c r="G406" s="17">
        <f t="shared" si="18"/>
        <v>11317108100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32435000</v>
      </c>
      <c r="E407" s="25">
        <f>SUMIFS('Daftar Koreksi'!$H$5:$H$92,'Daftar Koreksi'!$D$5:$D$92,'1300'!A400,'Daftar Koreksi'!$G$5:$G$92,"Jalan Irigasi Jaringan",'Daftar Koreksi'!$H$5:$H$92,"&gt;0")</f>
        <v>0</v>
      </c>
      <c r="F407" s="25">
        <f>SUMIFS('Daftar Koreksi'!$H$5:$H$92,'Daftar Koreksi'!$D$5:$D$92,'1300'!A400,'Daftar Koreksi'!$G$5:$G$92,"Jalan Irigasi Jaringan",'Daftar Koreksi'!$H$5:$H$92,"&lt;0")-SUMIFS('Daftar Koreksi'!$H$5:$H$92,'Daftar Koreksi'!$D$5:$D$92,'1300'!A400,'Daftar Koreksi'!$G$5:$G$92,"Jalan Irigasi Jaringan",'Daftar Koreksi'!$H$5:$H$92,"&lt;0")-SUMIFS('Daftar Koreksi'!$H$5:$H$92,'Daftar Koreksi'!$D$5:$D$92,'1300'!A400,'Daftar Koreksi'!$G$5:$G$92,"Jalan Irigasi Jaringan",'Daftar Koreksi'!$H$5:$H$92,"&lt;0")</f>
        <v>0</v>
      </c>
      <c r="G407" s="17">
        <f t="shared" si="18"/>
        <v>32435000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3152680</v>
      </c>
      <c r="E408" s="25">
        <f>SUMIFS('Daftar Koreksi'!$H$5:$H$92,'Daftar Koreksi'!$D$5:$D$92,'1300'!A400,'Daftar Koreksi'!$G$5:$G$92,"Aset Tetap Lainnya",'Daftar Koreksi'!$H$5:$H$92,"&gt;0")</f>
        <v>0</v>
      </c>
      <c r="F408" s="25">
        <f>SUMIFS('Daftar Koreksi'!$H$5:$H$92,'Daftar Koreksi'!$D$5:$D$92,'1300'!A400,'Daftar Koreksi'!$G$5:$G$92,"Aset Tetap Lainnya",'Daftar Koreksi'!$H$5:$H$92,"&lt;0")-SUMIFS('Daftar Koreksi'!$H$5:$H$92,'Daftar Koreksi'!$D$5:$D$92,'1300'!A400,'Daftar Koreksi'!$G$5:$G$92,"Aset Tetap Lainnya",'Daftar Koreksi'!$H$5:$H$92,"&lt;0")-SUMIFS('Daftar Koreksi'!$H$5:$H$92,'Daftar Koreksi'!$D$5:$D$92,'1300'!A400,'Daftar Koreksi'!$G$5:$G$92,"Aset Tetap Lainnya",'Daftar Koreksi'!$H$5:$H$92,"&lt;0")</f>
        <v>0</v>
      </c>
      <c r="G408" s="17">
        <f t="shared" si="18"/>
        <v>3152680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Koreksi'!$D$5:$D$92,'1300'!A400,'Daftar Koreksi'!$G$5:$G$92,"Kontruksi Dalam Pengerjaan",'Daftar Koreksi'!$H$5:$H$92,"&gt;0")</f>
        <v>0</v>
      </c>
      <c r="F409" s="25">
        <f>SUMIFS('Daftar Koreksi'!$H$5:$H$92,'Daftar Koreksi'!$D$5:$D$92,'1300'!A400,'Daftar Koreksi'!$G$5:$G$92,"Kontruksi Dalam Pengerjaan",'Daftar Koreksi'!$H$5:$H$92,"&lt;0")-SUMIFS('Daftar Koreksi'!$H$5:$H$92,'Daftar Koreksi'!$D$5:$D$92,'1300'!A400,'Daftar Koreksi'!$G$5:$G$92,"Kontruksi Dalam Pengerjaan",'Daftar Koreksi'!$H$5:$H$92,"&lt;0")-SUMIFS('Daftar Koreksi'!$H$5:$H$92,'Daftar Koreksi'!$D$5:$D$92,'1300'!A400,'Daftar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Koreksi'!$D$5:$D$92,'1300'!A400,'Daftar Koreksi'!$G$5:$G$92,"Aset Tak Berwujud",'Daftar Koreksi'!$H$5:$H$92,"&gt;0")</f>
        <v>0</v>
      </c>
      <c r="F410" s="25">
        <f>SUMIFS('Daftar Koreksi'!$H$5:$H$92,'Daftar Koreksi'!$D$5:$D$92,'1300'!A400,'Daftar Koreksi'!$G$5:$G$92,"Aset Tak Berwujud",'Daftar Koreksi'!$H$5:$H$92,"&lt;0")-SUMIFS('Daftar Koreksi'!$H$5:$H$92,'Daftar Koreksi'!$D$5:$D$92,'1300'!A400,'Daftar Koreksi'!$G$5:$G$92,"Aset Tak Berwujud",'Daftar Koreksi'!$H$5:$H$92,"&lt;0")-SUMIFS('Daftar Koreksi'!$H$5:$H$92,'Daftar Koreksi'!$D$5:$D$92,'1300'!A400,'Daftar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4500000</v>
      </c>
      <c r="E411" s="25">
        <f>SUMIFS('Daftar Koreksi'!$H$5:$H$92,'Daftar Koreksi'!$D$5:$D$92,'1300'!A400,'Daftar Koreksi'!$G$5:$G$92,"Aset Henti Guna",'Daftar Koreksi'!$H$5:$H$92,"&gt;0")</f>
        <v>0</v>
      </c>
      <c r="F411" s="25">
        <f>SUMIFS('Daftar Koreksi'!$H$5:$H$92,'Daftar Koreksi'!$D$5:$D$92,'1300'!A400,'Daftar Koreksi'!$G$5:$G$92,"Aset Henti Guna",'Daftar Koreksi'!$H$5:$H$92,"&lt;0")-SUMIFS('Daftar Koreksi'!$H$5:$H$92,'Daftar Koreksi'!$D$5:$D$92,'1300'!A400,'Daftar Koreksi'!$G$5:$G$92,"Aset Henti Guna",'Daftar Koreksi'!$H$5:$H$92,"&lt;0")-SUMIFS('Daftar Koreksi'!$H$5:$H$92,'Daftar Koreksi'!$D$5:$D$92,'1300'!A400,'Daftar Koreksi'!$G$5:$G$92,"Aset Henti Guna",'Daftar Koreksi'!$H$5:$H$92,"&lt;0")</f>
        <v>0</v>
      </c>
      <c r="G411" s="17">
        <f t="shared" si="18"/>
        <v>4500000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14347913678</v>
      </c>
      <c r="E412" s="19">
        <f>SUM(E403:E411)</f>
        <v>0</v>
      </c>
      <c r="F412" s="19">
        <f>SUM(F403:F411)</f>
        <v>0</v>
      </c>
      <c r="G412" s="19">
        <f t="shared" si="18"/>
        <v>14347913678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-1836497309</v>
      </c>
      <c r="E413" s="25">
        <f>SUMIFS('Daftar Koreksi'!$I$5:$I$92,'Daftar Koreksi'!$D$5:$D$92,'1300'!A400,'Daftar Koreksi'!$G$5:$G$92,"Peralatan dan mesin",'Daftar Koreksi'!$I$5:$I$92,"&gt;0")</f>
        <v>0</v>
      </c>
      <c r="F413" s="25">
        <f>SUMIFS('Daftar Koreksi'!$I$5:$I$92,'Daftar Koreksi'!$D$5:$D$92,'1300'!A400,'Daftar Koreksi'!$G$5:$G$92,"Peralatan dan mesin",'Daftar Koreksi'!$I$5:$I$92,"&lt;0")-SUMIFS('Daftar Koreksi'!$I$5:$I$92,'Daftar Koreksi'!$D$5:$D$92,'1300'!A400,'Daftar Koreksi'!$G$5:$G$92,"Peralatan dan mesin",'Daftar Koreksi'!$I$5:$I$92,"&lt;0")-SUMIFS('Daftar Koreksi'!$I$5:$I$92,'Daftar Koreksi'!$D$5:$D$92,'1300'!A400,'Daftar Koreksi'!$G$5:$G$92,"Peralatan dan mesin",'Daftar Koreksi'!$I$5:$I$92,"&lt;0")</f>
        <v>0</v>
      </c>
      <c r="G413" s="17">
        <f t="shared" si="18"/>
        <v>-1836497309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-1334743910</v>
      </c>
      <c r="E414" s="25">
        <f>SUMIFS('Daftar Koreksi'!$I$5:$I$92,'Daftar Koreksi'!$D$5:$D$92,'1300'!A400,'Daftar Koreksi'!$G$5:$G$92,"Gedung dan Bangunan",'Daftar Koreksi'!$I$5:$I$92,"&gt;0")</f>
        <v>0</v>
      </c>
      <c r="F414" s="25">
        <f>SUMIFS('Daftar Koreksi'!$I$5:$I$92,'Daftar Koreksi'!$D$5:$D$92,'1300'!A400,'Daftar Koreksi'!$G$5:$G$92,"Gedung dan Bangunan",'Daftar Koreksi'!$I$5:$I$92,"&lt;0")-SUMIFS('Daftar Koreksi'!$I$5:$I$92,'Daftar Koreksi'!$D$5:$D$92,'1300'!A400,'Daftar Koreksi'!$G$5:$G$92,"Gedung dan Bangunan",'Daftar Koreksi'!$I$5:$I$92,"&lt;0")-SUMIFS('Daftar Koreksi'!$I$5:$I$92,'Daftar Koreksi'!$D$5:$D$92,'1300'!A400,'Daftar Koreksi'!$G$5:$G$92,"Gedung dan Bangunan",'Daftar Koreksi'!$I$5:$I$92,"&lt;0")</f>
        <v>0</v>
      </c>
      <c r="G414" s="17">
        <f t="shared" si="18"/>
        <v>-1334743910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-21082750</v>
      </c>
      <c r="E415" s="25">
        <f>SUMIFS('Daftar Koreksi'!$I$5:$I$92,'Daftar Koreksi'!$D$5:$D$92,'1300'!A400,'Daftar Koreksi'!$G$5:$G$92,"Jalan Irigasi Jaringan",'Daftar Koreksi'!$I$5:$I$92,"&gt;0")</f>
        <v>0</v>
      </c>
      <c r="F415" s="25">
        <f>SUMIFS('Daftar Koreksi'!$I$5:$I$92,'Daftar Koreksi'!$D$5:$D$92,'1300'!A400,'Daftar Koreksi'!$G$5:$G$92,"Jalan Irigasi Jaringan",'Daftar Koreksi'!$I$5:$I$92,"&lt;0")-SUMIFS('Daftar Koreksi'!$I$5:$I$92,'Daftar Koreksi'!$D$5:$D$92,'1300'!A400,'Daftar Koreksi'!$G$5:$G$92,"Jalan Irigasi Jaringan",'Daftar Koreksi'!$I$5:$I$92,"&lt;0")-SUMIFS('Daftar Koreksi'!$I$5:$I$92,'Daftar Koreksi'!$D$5:$D$92,'1300'!A400,'Daftar Koreksi'!$G$5:$G$92,"Jalan Irigasi Jaringan",'Daftar Koreksi'!$I$5:$I$92,"&lt;0")</f>
        <v>0</v>
      </c>
      <c r="G415" s="17">
        <f t="shared" si="18"/>
        <v>-21082750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Koreksi'!$D$5:$D$92,'1300'!A400,'Daftar Koreksi'!$G$5:$G$92,"Aset Tetap Lainnya",'Daftar Koreksi'!$I$5:$I$92,"&gt;0")</f>
        <v>0</v>
      </c>
      <c r="F416" s="25">
        <f>SUMIFS('Daftar Koreksi'!$I$5:$I$92,'Daftar Koreksi'!$D$5:$D$92,'1300'!A400,'Daftar Koreksi'!$G$5:$G$92,"Aset Tetap Lainnya",'Daftar Koreksi'!$I$5:$I$92,"&lt;0")-SUMIFS('Daftar Koreksi'!$I$5:$I$92,'Daftar Koreksi'!$D$5:$D$92,'1300'!A400,'Daftar Koreksi'!$G$5:$G$92,"Aset Tetap Lainnya",'Daftar Koreksi'!$I$5:$I$92,"&lt;0")-SUMIFS('Daftar Koreksi'!$I$5:$I$92,'Daftar Koreksi'!$D$5:$D$92,'1300'!A400,'Daftar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-4500000</v>
      </c>
      <c r="E417" s="25">
        <f>SUMIFS('Daftar Koreksi'!$I$5:$I$92,'Daftar Koreksi'!$D$5:$D$92,'1300'!A400,'Daftar Koreksi'!$G$5:$G$92,"Aset Henti Guna",'Daftar Koreksi'!$I$5:$I$92,"&gt;0")</f>
        <v>0</v>
      </c>
      <c r="F417" s="25">
        <f>SUMIFS('Daftar Koreksi'!$I$5:$I$92,'Daftar Koreksi'!$D$5:$D$92,'1300'!A400,'Daftar Koreksi'!$G$5:$G$92,"Aset Henti Guna",'Daftar Koreksi'!$I$5:$I$92,"&lt;0")-SUMIFS('Daftar Koreksi'!$I$5:$I$92,'Daftar Koreksi'!$D$5:$D$92,'1300'!A400,'Daftar Koreksi'!$G$5:$G$92,"Aset Henti Guna",'Daftar Koreksi'!$I$5:$I$92,"&lt;0")-SUMIFS('Daftar Koreksi'!$I$5:$I$92,'Daftar Koreksi'!$D$5:$D$92,'1300'!A400,'Daftar Koreksi'!$G$5:$G$92,"Aset Henti Guna",'Daftar Koreksi'!$I$5:$I$92,"&lt;0")</f>
        <v>0</v>
      </c>
      <c r="G417" s="17">
        <f t="shared" si="18"/>
        <v>-4500000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-3196823969</v>
      </c>
      <c r="E418" s="19">
        <f>SUM(E413:E417)</f>
        <v>0</v>
      </c>
      <c r="F418" s="19">
        <f>SUM(F413:F417)</f>
        <v>0</v>
      </c>
      <c r="G418" s="19">
        <f t="shared" si="18"/>
        <v>-3196823969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11151089709</v>
      </c>
      <c r="E419" s="19">
        <f>E418+E412</f>
        <v>0</v>
      </c>
      <c r="F419" s="19">
        <f>F418+F412</f>
        <v>0</v>
      </c>
      <c r="G419" s="19">
        <f t="shared" si="18"/>
        <v>11151089709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005011300670227000KD</v>
      </c>
      <c r="B422" s="11" t="str">
        <f>P20</f>
        <v>PN. Sambas</v>
      </c>
      <c r="C422" s="12" t="str">
        <f>A422&amp;" "&amp;B422</f>
        <v>005011300670227000KD PN. Sambas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212000</v>
      </c>
      <c r="E425" s="25">
        <f>SUMIFS('Daftar Koreksi'!$H$5:$H$92,'Daftar Koreksi'!$D$5:$D$92,'1300'!A422,'Daftar Koreksi'!$G$5:$G$92,"Persediaan",'Daftar Koreksi'!$H$5:$H$92,"&gt;0")</f>
        <v>0</v>
      </c>
      <c r="F425" s="25">
        <f>SUMIFS('Daftar Koreksi'!$H$5:$H$92,'Daftar Koreksi'!$D$5:$D$92,'1300'!A422,'Daftar Koreksi'!$G$5:$G$92,"Persediaan",'Daftar Koreksi'!$H$5:$H$92,"&lt;0")-SUMIFS('Daftar Koreksi'!$H$5:$H$92,'Daftar Koreksi'!$D$5:$D$92,'1300'!A422,'Daftar Koreksi'!$G$5:$G$92,"Persediaan",'Daftar Koreksi'!$H$5:$H$92,"&lt;0")-SUMIFS('Daftar Koreksi'!$H$5:$H$92,'Daftar Koreksi'!$D$5:$D$92,'1300'!A422,'Daftar Koreksi'!$G$5:$G$92,"Persediaan",'Daftar Koreksi'!$H$5:$H$92,"&lt;0")</f>
        <v>0</v>
      </c>
      <c r="G425" s="17">
        <f>D425+E425-F425</f>
        <v>212000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402250000</v>
      </c>
      <c r="E426" s="25">
        <f>SUMIFS('Daftar Koreksi'!$H$5:$H$92,'Daftar Koreksi'!$D$5:$D$92,'1300'!A422,'Daftar Koreksi'!$G$5:$G$92,"Tanah",'Daftar Koreksi'!$H$5:$H$92,"&gt;0")</f>
        <v>0</v>
      </c>
      <c r="F426" s="25">
        <f>SUMIFS('Daftar Koreksi'!$H$5:$H$92,'Daftar Koreksi'!$D$5:$D$92,'1300'!A422,'Daftar Koreksi'!$G$5:$G$92,"Tanah",'Daftar Koreksi'!$H$5:$H$92,"&lt;0")-SUMIFS('Daftar Koreksi'!$H$5:$H$92,'Daftar Koreksi'!$D$5:$D$92,'1300'!A422,'Daftar Koreksi'!$G$5:$G$92,"Tanah",'Daftar Koreksi'!$H$5:$H$92,"&lt;0")-SUMIFS('Daftar Koreksi'!$H$5:$H$92,'Daftar Koreksi'!$D$5:$D$92,'1300'!A422,'Daftar Koreksi'!$G$5:$G$92,"Tanah",'Daftar Koreksi'!$H$5:$H$92,"&lt;0")</f>
        <v>0</v>
      </c>
      <c r="G426" s="17">
        <f t="shared" ref="G426:G442" si="19">D426+E426-F426</f>
        <v>402250000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869120137</v>
      </c>
      <c r="E427" s="25">
        <f>SUMIFS('Daftar Koreksi'!$H$5:$H$92,'Daftar Koreksi'!$D$5:$D$92,'1300'!A422,'Daftar Koreksi'!$G$5:$G$92,"Peralatan dan mesin",'Daftar Koreksi'!$H$5:$H$92,"&gt;0")</f>
        <v>0</v>
      </c>
      <c r="F427" s="25">
        <f>SUMIFS('Daftar Koreksi'!$H$5:$H$92,'Daftar Koreksi'!$D$5:$D$92,'1300'!A422,'Daftar Koreksi'!$G$5:$G$92,"Peralatan dan mesin",'Daftar Koreksi'!$H$5:$H$92,"&lt;0")-SUMIFS('Daftar Koreksi'!$H$5:$H$92,'Daftar Koreksi'!$D$5:$D$92,'1300'!A422,'Daftar Koreksi'!$G$5:$G$92,"Peralatan dan mesin",'Daftar Koreksi'!$H$5:$H$92,"&lt;0")-SUMIFS('Daftar Koreksi'!$H$5:$H$92,'Daftar Koreksi'!$D$5:$D$92,'1300'!A422,'Daftar Koreksi'!$G$5:$G$92,"Peralatan dan mesin",'Daftar Koreksi'!$H$5:$H$92,"&lt;0")</f>
        <v>0</v>
      </c>
      <c r="G427" s="17">
        <f t="shared" si="19"/>
        <v>869120137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8366953000</v>
      </c>
      <c r="E428" s="25">
        <f>SUMIFS('Daftar Koreksi'!$H$5:$H$92,'Daftar Koreksi'!$D$5:$D$92,'1300'!A422,'Daftar Koreksi'!$G$5:$G$92,"Gedung dan Bangunan",'Daftar Koreksi'!$H$5:$H$92,"&gt;0")</f>
        <v>0</v>
      </c>
      <c r="F428" s="25">
        <f>SUMIFS('Daftar Koreksi'!$H$5:$H$92,'Daftar Koreksi'!$D$5:$D$92,'1300'!A422,'Daftar Koreksi'!$G$5:$G$92,"Gedung dan Bangunan",'Daftar Koreksi'!$H$5:$H$92,"&lt;0")-SUMIFS('Daftar Koreksi'!$H$5:$H$92,'Daftar Koreksi'!$D$5:$D$92,'1300'!A422,'Daftar Koreksi'!$G$5:$G$92,"Gedung dan Bangunan",'Daftar Koreksi'!$H$5:$H$92,"&lt;0")-SUMIFS('Daftar Koreksi'!$H$5:$H$92,'Daftar Koreksi'!$D$5:$D$92,'1300'!A422,'Daftar Koreksi'!$G$5:$G$92,"Gedung dan Bangunan",'Daftar Koreksi'!$H$5:$H$92,"&lt;0")</f>
        <v>0</v>
      </c>
      <c r="G428" s="17">
        <f t="shared" si="19"/>
        <v>8366953000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426075000</v>
      </c>
      <c r="E429" s="25">
        <f>SUMIFS('Daftar Koreksi'!$H$5:$H$92,'Daftar Koreksi'!$D$5:$D$92,'1300'!A422,'Daftar Koreksi'!$G$5:$G$92,"Jalan Irigasi Jaringan",'Daftar Koreksi'!$H$5:$H$92,"&gt;0")</f>
        <v>0</v>
      </c>
      <c r="F429" s="25">
        <f>SUMIFS('Daftar Koreksi'!$H$5:$H$92,'Daftar Koreksi'!$D$5:$D$92,'1300'!A422,'Daftar Koreksi'!$G$5:$G$92,"Jalan Irigasi Jaringan",'Daftar Koreksi'!$H$5:$H$92,"&lt;0")-SUMIFS('Daftar Koreksi'!$H$5:$H$92,'Daftar Koreksi'!$D$5:$D$92,'1300'!A422,'Daftar Koreksi'!$G$5:$G$92,"Jalan Irigasi Jaringan",'Daftar Koreksi'!$H$5:$H$92,"&lt;0")-SUMIFS('Daftar Koreksi'!$H$5:$H$92,'Daftar Koreksi'!$D$5:$D$92,'1300'!A422,'Daftar Koreksi'!$G$5:$G$92,"Jalan Irigasi Jaringan",'Daftar Koreksi'!$H$5:$H$92,"&lt;0")</f>
        <v>0</v>
      </c>
      <c r="G429" s="17">
        <f t="shared" si="19"/>
        <v>426075000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1943440</v>
      </c>
      <c r="E430" s="25">
        <f>SUMIFS('Daftar Koreksi'!$H$5:$H$92,'Daftar Koreksi'!$D$5:$D$92,'1300'!A422,'Daftar Koreksi'!$G$5:$G$92,"Aset Tetap Lainnya",'Daftar Koreksi'!$H$5:$H$92,"&gt;0")</f>
        <v>0</v>
      </c>
      <c r="F430" s="25">
        <f>SUMIFS('Daftar Koreksi'!$H$5:$H$92,'Daftar Koreksi'!$D$5:$D$92,'1300'!A422,'Daftar Koreksi'!$G$5:$G$92,"Aset Tetap Lainnya",'Daftar Koreksi'!$H$5:$H$92,"&lt;0")-SUMIFS('Daftar Koreksi'!$H$5:$H$92,'Daftar Koreksi'!$D$5:$D$92,'1300'!A422,'Daftar Koreksi'!$G$5:$G$92,"Aset Tetap Lainnya",'Daftar Koreksi'!$H$5:$H$92,"&lt;0")-SUMIFS('Daftar Koreksi'!$H$5:$H$92,'Daftar Koreksi'!$D$5:$D$92,'1300'!A422,'Daftar Koreksi'!$G$5:$G$92,"Aset Tetap Lainnya",'Daftar Koreksi'!$H$5:$H$92,"&lt;0")</f>
        <v>0</v>
      </c>
      <c r="G430" s="17">
        <f t="shared" si="19"/>
        <v>1943440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Koreksi'!$D$5:$D$92,'1300'!A422,'Daftar Koreksi'!$G$5:$G$92,"Kontruksi Dalam Pengerjaan",'Daftar Koreksi'!$H$5:$H$92,"&gt;0")</f>
        <v>0</v>
      </c>
      <c r="F431" s="25">
        <f>SUMIFS('Daftar Koreksi'!$H$5:$H$92,'Daftar Koreksi'!$D$5:$D$92,'1300'!A422,'Daftar Koreksi'!$G$5:$G$92,"Kontruksi Dalam Pengerjaan",'Daftar Koreksi'!$H$5:$H$92,"&lt;0")-SUMIFS('Daftar Koreksi'!$H$5:$H$92,'Daftar Koreksi'!$D$5:$D$92,'1300'!A422,'Daftar Koreksi'!$G$5:$G$92,"Kontruksi Dalam Pengerjaan",'Daftar Koreksi'!$H$5:$H$92,"&lt;0")-SUMIFS('Daftar Koreksi'!$H$5:$H$92,'Daftar Koreksi'!$D$5:$D$92,'1300'!A422,'Daftar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Koreksi'!$D$5:$D$92,'1300'!A422,'Daftar Koreksi'!$G$5:$G$92,"Aset Tak Berwujud",'Daftar Koreksi'!$H$5:$H$92,"&gt;0")</f>
        <v>0</v>
      </c>
      <c r="F432" s="25">
        <f>SUMIFS('Daftar Koreksi'!$H$5:$H$92,'Daftar Koreksi'!$D$5:$D$92,'1300'!A422,'Daftar Koreksi'!$G$5:$G$92,"Aset Tak Berwujud",'Daftar Koreksi'!$H$5:$H$92,"&lt;0")-SUMIFS('Daftar Koreksi'!$H$5:$H$92,'Daftar Koreksi'!$D$5:$D$92,'1300'!A422,'Daftar Koreksi'!$G$5:$G$92,"Aset Tak Berwujud",'Daftar Koreksi'!$H$5:$H$92,"&lt;0")-SUMIFS('Daftar Koreksi'!$H$5:$H$92,'Daftar Koreksi'!$D$5:$D$92,'1300'!A422,'Daftar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Koreksi'!$D$5:$D$92,'1300'!A422,'Daftar Koreksi'!$G$5:$G$92,"Aset Henti Guna",'Daftar Koreksi'!$H$5:$H$92,"&gt;0")</f>
        <v>0</v>
      </c>
      <c r="F433" s="25">
        <f>SUMIFS('Daftar Koreksi'!$H$5:$H$92,'Daftar Koreksi'!$D$5:$D$92,'1300'!A422,'Daftar Koreksi'!$G$5:$G$92,"Aset Henti Guna",'Daftar Koreksi'!$H$5:$H$92,"&lt;0")-SUMIFS('Daftar Koreksi'!$H$5:$H$92,'Daftar Koreksi'!$D$5:$D$92,'1300'!A422,'Daftar Koreksi'!$G$5:$G$92,"Aset Henti Guna",'Daftar Koreksi'!$H$5:$H$92,"&lt;0")-SUMIFS('Daftar Koreksi'!$H$5:$H$92,'Daftar Koreksi'!$D$5:$D$92,'1300'!A422,'Daftar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10066553577</v>
      </c>
      <c r="E434" s="19">
        <f>SUM(E425:E433)</f>
        <v>0</v>
      </c>
      <c r="F434" s="19">
        <f>SUM(F425:F433)</f>
        <v>0</v>
      </c>
      <c r="G434" s="19">
        <f t="shared" si="19"/>
        <v>10066553577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-726585742</v>
      </c>
      <c r="E435" s="25">
        <f>SUMIFS('Daftar Koreksi'!$I$5:$I$92,'Daftar Koreksi'!$D$5:$D$92,'1300'!A422,'Daftar Koreksi'!$G$5:$G$92,"Peralatan dan mesin",'Daftar Koreksi'!$I$5:$I$92,"&gt;0")</f>
        <v>0</v>
      </c>
      <c r="F435" s="25">
        <f>SUMIFS('Daftar Koreksi'!$I$5:$I$92,'Daftar Koreksi'!$D$5:$D$92,'1300'!A422,'Daftar Koreksi'!$G$5:$G$92,"Peralatan dan mesin",'Daftar Koreksi'!$I$5:$I$92,"&lt;0")-SUMIFS('Daftar Koreksi'!$I$5:$I$92,'Daftar Koreksi'!$D$5:$D$92,'1300'!A422,'Daftar Koreksi'!$G$5:$G$92,"Peralatan dan mesin",'Daftar Koreksi'!$I$5:$I$92,"&lt;0")-SUMIFS('Daftar Koreksi'!$I$5:$I$92,'Daftar Koreksi'!$D$5:$D$92,'1300'!A422,'Daftar Koreksi'!$G$5:$G$92,"Peralatan dan mesin",'Daftar Koreksi'!$I$5:$I$92,"&lt;0")</f>
        <v>0</v>
      </c>
      <c r="G435" s="17">
        <f t="shared" si="19"/>
        <v>-726585742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-1050774134</v>
      </c>
      <c r="E436" s="25">
        <f>SUMIFS('Daftar Koreksi'!$I$5:$I$92,'Daftar Koreksi'!$D$5:$D$92,'1300'!A422,'Daftar Koreksi'!$G$5:$G$92,"Gedung dan Bangunan",'Daftar Koreksi'!$I$5:$I$92,"&gt;0")</f>
        <v>0</v>
      </c>
      <c r="F436" s="25">
        <f>SUMIFS('Daftar Koreksi'!$I$5:$I$92,'Daftar Koreksi'!$D$5:$D$92,'1300'!A422,'Daftar Koreksi'!$G$5:$G$92,"Gedung dan Bangunan",'Daftar Koreksi'!$I$5:$I$92,"&lt;0")-SUMIFS('Daftar Koreksi'!$I$5:$I$92,'Daftar Koreksi'!$D$5:$D$92,'1300'!A422,'Daftar Koreksi'!$G$5:$G$92,"Gedung dan Bangunan",'Daftar Koreksi'!$I$5:$I$92,"&lt;0")-SUMIFS('Daftar Koreksi'!$I$5:$I$92,'Daftar Koreksi'!$D$5:$D$92,'1300'!A422,'Daftar Koreksi'!$G$5:$G$92,"Gedung dan Bangunan",'Daftar Koreksi'!$I$5:$I$92,"&lt;0")</f>
        <v>0</v>
      </c>
      <c r="G436" s="17">
        <f t="shared" si="19"/>
        <v>-1050774134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-256512813</v>
      </c>
      <c r="E437" s="25">
        <f>SUMIFS('Daftar Koreksi'!$I$5:$I$92,'Daftar Koreksi'!$D$5:$D$92,'1300'!A422,'Daftar Koreksi'!$G$5:$G$92,"Jalan Irigasi Jaringan",'Daftar Koreksi'!$I$5:$I$92,"&gt;0")</f>
        <v>0</v>
      </c>
      <c r="F437" s="25">
        <f>SUMIFS('Daftar Koreksi'!$I$5:$I$92,'Daftar Koreksi'!$D$5:$D$92,'1300'!A422,'Daftar Koreksi'!$G$5:$G$92,"Jalan Irigasi Jaringan",'Daftar Koreksi'!$I$5:$I$92,"&lt;0")-SUMIFS('Daftar Koreksi'!$I$5:$I$92,'Daftar Koreksi'!$D$5:$D$92,'1300'!A422,'Daftar Koreksi'!$G$5:$G$92,"Jalan Irigasi Jaringan",'Daftar Koreksi'!$I$5:$I$92,"&lt;0")-SUMIFS('Daftar Koreksi'!$I$5:$I$92,'Daftar Koreksi'!$D$5:$D$92,'1300'!A422,'Daftar Koreksi'!$G$5:$G$92,"Jalan Irigasi Jaringan",'Daftar Koreksi'!$I$5:$I$92,"&lt;0")</f>
        <v>0</v>
      </c>
      <c r="G437" s="17">
        <f t="shared" si="19"/>
        <v>-256512813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Koreksi'!$D$5:$D$92,'1300'!A422,'Daftar Koreksi'!$G$5:$G$92,"Aset Tetap Lainnya",'Daftar Koreksi'!$I$5:$I$92,"&gt;0")</f>
        <v>0</v>
      </c>
      <c r="F438" s="25">
        <f>SUMIFS('Daftar Koreksi'!$I$5:$I$92,'Daftar Koreksi'!$D$5:$D$92,'1300'!A422,'Daftar Koreksi'!$G$5:$G$92,"Aset Tetap Lainnya",'Daftar Koreksi'!$I$5:$I$92,"&lt;0")-SUMIFS('Daftar Koreksi'!$I$5:$I$92,'Daftar Koreksi'!$D$5:$D$92,'1300'!A422,'Daftar Koreksi'!$G$5:$G$92,"Aset Tetap Lainnya",'Daftar Koreksi'!$I$5:$I$92,"&lt;0")-SUMIFS('Daftar Koreksi'!$I$5:$I$92,'Daftar Koreksi'!$D$5:$D$92,'1300'!A422,'Daftar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Koreksi'!$D$5:$D$92,'1300'!A422,'Daftar Koreksi'!$G$5:$G$92,"Aset Henti Guna",'Daftar Koreksi'!$I$5:$I$92,"&gt;0")</f>
        <v>0</v>
      </c>
      <c r="F439" s="25">
        <f>SUMIFS('Daftar Koreksi'!$I$5:$I$92,'Daftar Koreksi'!$D$5:$D$92,'1300'!A422,'Daftar Koreksi'!$G$5:$G$92,"Aset Henti Guna",'Daftar Koreksi'!$I$5:$I$92,"&lt;0")-SUMIFS('Daftar Koreksi'!$I$5:$I$92,'Daftar Koreksi'!$D$5:$D$92,'1300'!A422,'Daftar Koreksi'!$G$5:$G$92,"Aset Henti Guna",'Daftar Koreksi'!$I$5:$I$92,"&lt;0")-SUMIFS('Daftar Koreksi'!$I$5:$I$92,'Daftar Koreksi'!$D$5:$D$92,'1300'!A422,'Daftar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-2033872689</v>
      </c>
      <c r="E440" s="19">
        <f>SUM(E435:E439)</f>
        <v>0</v>
      </c>
      <c r="F440" s="19">
        <f>SUM(F435:F439)</f>
        <v>0</v>
      </c>
      <c r="G440" s="19">
        <f t="shared" si="19"/>
        <v>-2033872689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8032680888</v>
      </c>
      <c r="E441" s="19">
        <f>E440+E434</f>
        <v>0</v>
      </c>
      <c r="F441" s="19">
        <f>F440+F434</f>
        <v>0</v>
      </c>
      <c r="G441" s="19">
        <f t="shared" si="19"/>
        <v>8032680888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005011300670231000KD</v>
      </c>
      <c r="B444" s="11" t="str">
        <f>P21</f>
        <v>PN. Bengkayang</v>
      </c>
      <c r="C444" s="12" t="str">
        <f>A444&amp;" "&amp;B444</f>
        <v>005011300670231000KD PN. Bengkayang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531300</v>
      </c>
      <c r="E447" s="25">
        <f>SUMIFS('Daftar Koreksi'!$H$5:$H$92,'Daftar Koreksi'!$D$5:$D$92,'1300'!A444,'Daftar Koreksi'!$G$5:$G$92,"Persediaan",'Daftar Koreksi'!$H$5:$H$92,"&gt;0")</f>
        <v>0</v>
      </c>
      <c r="F447" s="25">
        <f>SUMIFS('Daftar Koreksi'!$H$5:$H$92,'Daftar Koreksi'!$D$5:$D$92,'1300'!A444,'Daftar Koreksi'!$G$5:$G$92,"Persediaan",'Daftar Koreksi'!$H$5:$H$92,"&lt;0")-SUMIFS('Daftar Koreksi'!$H$5:$H$92,'Daftar Koreksi'!$D$5:$D$92,'1300'!A444,'Daftar Koreksi'!$G$5:$G$92,"Persediaan",'Daftar Koreksi'!$H$5:$H$92,"&lt;0")-SUMIFS('Daftar Koreksi'!$H$5:$H$92,'Daftar Koreksi'!$D$5:$D$92,'1300'!A444,'Daftar Koreksi'!$G$5:$G$92,"Persediaan",'Daftar Koreksi'!$H$5:$H$92,"&lt;0")</f>
        <v>0</v>
      </c>
      <c r="G447" s="17">
        <f>D447+E447-F447</f>
        <v>531300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0</v>
      </c>
      <c r="E448" s="25">
        <f>SUMIFS('Daftar Koreksi'!$H$5:$H$92,'Daftar Koreksi'!$D$5:$D$92,'1300'!A444,'Daftar Koreksi'!$G$5:$G$92,"Tanah",'Daftar Koreksi'!$H$5:$H$92,"&gt;0")</f>
        <v>0</v>
      </c>
      <c r="F448" s="25">
        <f>SUMIFS('Daftar Koreksi'!$H$5:$H$92,'Daftar Koreksi'!$D$5:$D$92,'1300'!A444,'Daftar Koreksi'!$G$5:$G$92,"Tanah",'Daftar Koreksi'!$H$5:$H$92,"&lt;0")-SUMIFS('Daftar Koreksi'!$H$5:$H$92,'Daftar Koreksi'!$D$5:$D$92,'1300'!A444,'Daftar Koreksi'!$G$5:$G$92,"Tanah",'Daftar Koreksi'!$H$5:$H$92,"&lt;0")-SUMIFS('Daftar Koreksi'!$H$5:$H$92,'Daftar Koreksi'!$D$5:$D$92,'1300'!A444,'Daftar Koreksi'!$G$5:$G$92,"Tanah",'Daftar Koreksi'!$H$5:$H$92,"&lt;0")</f>
        <v>0</v>
      </c>
      <c r="G448" s="17">
        <f t="shared" ref="G448:G464" si="20">D448+E448-F448</f>
        <v>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1757206874</v>
      </c>
      <c r="E449" s="25">
        <f>SUMIFS('Daftar Koreksi'!$H$5:$H$92,'Daftar Koreksi'!$D$5:$D$92,'1300'!A444,'Daftar Koreksi'!$G$5:$G$92,"Peralatan dan mesin",'Daftar Koreksi'!$H$5:$H$92,"&gt;0")</f>
        <v>0</v>
      </c>
      <c r="F449" s="25">
        <f>SUMIFS('Daftar Koreksi'!$H$5:$H$92,'Daftar Koreksi'!$D$5:$D$92,'1300'!A444,'Daftar Koreksi'!$G$5:$G$92,"Peralatan dan mesin",'Daftar Koreksi'!$H$5:$H$92,"&lt;0")-SUMIFS('Daftar Koreksi'!$H$5:$H$92,'Daftar Koreksi'!$D$5:$D$92,'1300'!A444,'Daftar Koreksi'!$G$5:$G$92,"Peralatan dan mesin",'Daftar Koreksi'!$H$5:$H$92,"&lt;0")-SUMIFS('Daftar Koreksi'!$H$5:$H$92,'Daftar Koreksi'!$D$5:$D$92,'1300'!A444,'Daftar Koreksi'!$G$5:$G$92,"Peralatan dan mesin",'Daftar Koreksi'!$H$5:$H$92,"&lt;0")</f>
        <v>0</v>
      </c>
      <c r="G449" s="17">
        <f t="shared" si="20"/>
        <v>1757206874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12535934900</v>
      </c>
      <c r="E450" s="25">
        <f>SUMIFS('Daftar Koreksi'!$H$5:$H$92,'Daftar Koreksi'!$D$5:$D$92,'1300'!A444,'Daftar Koreksi'!$G$5:$G$92,"Gedung dan Bangunan",'Daftar Koreksi'!$H$5:$H$92,"&gt;0")</f>
        <v>0</v>
      </c>
      <c r="F450" s="25">
        <f>SUMIFS('Daftar Koreksi'!$H$5:$H$92,'Daftar Koreksi'!$D$5:$D$92,'1300'!A444,'Daftar Koreksi'!$G$5:$G$92,"Gedung dan Bangunan",'Daftar Koreksi'!$H$5:$H$92,"&lt;0")-SUMIFS('Daftar Koreksi'!$H$5:$H$92,'Daftar Koreksi'!$D$5:$D$92,'1300'!A444,'Daftar Koreksi'!$G$5:$G$92,"Gedung dan Bangunan",'Daftar Koreksi'!$H$5:$H$92,"&lt;0")-SUMIFS('Daftar Koreksi'!$H$5:$H$92,'Daftar Koreksi'!$D$5:$D$92,'1300'!A444,'Daftar Koreksi'!$G$5:$G$92,"Gedung dan Bangunan",'Daftar Koreksi'!$H$5:$H$92,"&lt;0")</f>
        <v>0</v>
      </c>
      <c r="G450" s="17">
        <f t="shared" si="20"/>
        <v>12535934900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355211000</v>
      </c>
      <c r="E451" s="25">
        <f>SUMIFS('Daftar Koreksi'!$H$5:$H$92,'Daftar Koreksi'!$D$5:$D$92,'1300'!A444,'Daftar Koreksi'!$G$5:$G$92,"Jalan Irigasi Jaringan",'Daftar Koreksi'!$H$5:$H$92,"&gt;0")</f>
        <v>0</v>
      </c>
      <c r="F451" s="25">
        <f>SUMIFS('Daftar Koreksi'!$H$5:$H$92,'Daftar Koreksi'!$D$5:$D$92,'1300'!A444,'Daftar Koreksi'!$G$5:$G$92,"Jalan Irigasi Jaringan",'Daftar Koreksi'!$H$5:$H$92,"&lt;0")-SUMIFS('Daftar Koreksi'!$H$5:$H$92,'Daftar Koreksi'!$D$5:$D$92,'1300'!A444,'Daftar Koreksi'!$G$5:$G$92,"Jalan Irigasi Jaringan",'Daftar Koreksi'!$H$5:$H$92,"&lt;0")-SUMIFS('Daftar Koreksi'!$H$5:$H$92,'Daftar Koreksi'!$D$5:$D$92,'1300'!A444,'Daftar Koreksi'!$G$5:$G$92,"Jalan Irigasi Jaringan",'Daftar Koreksi'!$H$5:$H$92,"&lt;0")</f>
        <v>0</v>
      </c>
      <c r="G451" s="17">
        <f t="shared" si="20"/>
        <v>355211000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1943440</v>
      </c>
      <c r="E452" s="25">
        <f>SUMIFS('Daftar Koreksi'!$H$5:$H$92,'Daftar Koreksi'!$D$5:$D$92,'1300'!A444,'Daftar Koreksi'!$G$5:$G$92,"Aset Tetap Lainnya",'Daftar Koreksi'!$H$5:$H$92,"&gt;0")</f>
        <v>0</v>
      </c>
      <c r="F452" s="25">
        <f>SUMIFS('Daftar Koreksi'!$H$5:$H$92,'Daftar Koreksi'!$D$5:$D$92,'1300'!A444,'Daftar Koreksi'!$G$5:$G$92,"Aset Tetap Lainnya",'Daftar Koreksi'!$H$5:$H$92,"&lt;0")-SUMIFS('Daftar Koreksi'!$H$5:$H$92,'Daftar Koreksi'!$D$5:$D$92,'1300'!A444,'Daftar Koreksi'!$G$5:$G$92,"Aset Tetap Lainnya",'Daftar Koreksi'!$H$5:$H$92,"&lt;0")-SUMIFS('Daftar Koreksi'!$H$5:$H$92,'Daftar Koreksi'!$D$5:$D$92,'1300'!A444,'Daftar Koreksi'!$G$5:$G$92,"Aset Tetap Lainnya",'Daftar Koreksi'!$H$5:$H$92,"&lt;0")</f>
        <v>0</v>
      </c>
      <c r="G452" s="17">
        <f t="shared" si="20"/>
        <v>1943440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Koreksi'!$D$5:$D$92,'1300'!A444,'Daftar Koreksi'!$G$5:$G$92,"Kontruksi Dalam Pengerjaan",'Daftar Koreksi'!$H$5:$H$92,"&gt;0")</f>
        <v>0</v>
      </c>
      <c r="F453" s="25">
        <f>SUMIFS('Daftar Koreksi'!$H$5:$H$92,'Daftar Koreksi'!$D$5:$D$92,'1300'!A444,'Daftar Koreksi'!$G$5:$G$92,"Kontruksi Dalam Pengerjaan",'Daftar Koreksi'!$H$5:$H$92,"&lt;0")-SUMIFS('Daftar Koreksi'!$H$5:$H$92,'Daftar Koreksi'!$D$5:$D$92,'1300'!A444,'Daftar Koreksi'!$G$5:$G$92,"Kontruksi Dalam Pengerjaan",'Daftar Koreksi'!$H$5:$H$92,"&lt;0")-SUMIFS('Daftar Koreksi'!$H$5:$H$92,'Daftar Koreksi'!$D$5:$D$92,'1300'!A444,'Daftar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Koreksi'!$D$5:$D$92,'1300'!A444,'Daftar Koreksi'!$G$5:$G$92,"Aset Tak Berwujud",'Daftar Koreksi'!$H$5:$H$92,"&gt;0")</f>
        <v>0</v>
      </c>
      <c r="F454" s="25">
        <f>SUMIFS('Daftar Koreksi'!$H$5:$H$92,'Daftar Koreksi'!$D$5:$D$92,'1300'!A444,'Daftar Koreksi'!$G$5:$G$92,"Aset Tak Berwujud",'Daftar Koreksi'!$H$5:$H$92,"&lt;0")-SUMIFS('Daftar Koreksi'!$H$5:$H$92,'Daftar Koreksi'!$D$5:$D$92,'1300'!A444,'Daftar Koreksi'!$G$5:$G$92,"Aset Tak Berwujud",'Daftar Koreksi'!$H$5:$H$92,"&lt;0")-SUMIFS('Daftar Koreksi'!$H$5:$H$92,'Daftar Koreksi'!$D$5:$D$92,'1300'!A444,'Daftar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Koreksi'!$D$5:$D$92,'1300'!A444,'Daftar Koreksi'!$G$5:$G$92,"Aset Henti Guna",'Daftar Koreksi'!$H$5:$H$92,"&gt;0")</f>
        <v>0</v>
      </c>
      <c r="F455" s="25">
        <f>SUMIFS('Daftar Koreksi'!$H$5:$H$92,'Daftar Koreksi'!$D$5:$D$92,'1300'!A444,'Daftar Koreksi'!$G$5:$G$92,"Aset Henti Guna",'Daftar Koreksi'!$H$5:$H$92,"&lt;0")-SUMIFS('Daftar Koreksi'!$H$5:$H$92,'Daftar Koreksi'!$D$5:$D$92,'1300'!A444,'Daftar Koreksi'!$G$5:$G$92,"Aset Henti Guna",'Daftar Koreksi'!$H$5:$H$92,"&lt;0")-SUMIFS('Daftar Koreksi'!$H$5:$H$92,'Daftar Koreksi'!$D$5:$D$92,'1300'!A444,'Daftar Koreksi'!$G$5:$G$92,"Aset Henti Guna",'Daftar Koreksi'!$H$5:$H$92,"&lt;0")</f>
        <v>0</v>
      </c>
      <c r="G455" s="17">
        <f t="shared" si="20"/>
        <v>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14650827514</v>
      </c>
      <c r="E456" s="19">
        <f>SUM(E447:E455)</f>
        <v>0</v>
      </c>
      <c r="F456" s="19">
        <f>SUM(F447:F455)</f>
        <v>0</v>
      </c>
      <c r="G456" s="19">
        <f t="shared" si="20"/>
        <v>14650827514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-1514047500</v>
      </c>
      <c r="E457" s="25">
        <f>SUMIFS('Daftar Koreksi'!$I$5:$I$92,'Daftar Koreksi'!$D$5:$D$92,'1300'!A444,'Daftar Koreksi'!$G$5:$G$92,"Peralatan dan mesin",'Daftar Koreksi'!$I$5:$I$92,"&gt;0")</f>
        <v>0</v>
      </c>
      <c r="F457" s="25">
        <f>SUMIFS('Daftar Koreksi'!$I$5:$I$92,'Daftar Koreksi'!$D$5:$D$92,'1300'!A444,'Daftar Koreksi'!$G$5:$G$92,"Peralatan dan mesin",'Daftar Koreksi'!$I$5:$I$92,"&lt;0")-SUMIFS('Daftar Koreksi'!$I$5:$I$92,'Daftar Koreksi'!$D$5:$D$92,'1300'!A444,'Daftar Koreksi'!$G$5:$G$92,"Peralatan dan mesin",'Daftar Koreksi'!$I$5:$I$92,"&lt;0")-SUMIFS('Daftar Koreksi'!$I$5:$I$92,'Daftar Koreksi'!$D$5:$D$92,'1300'!A444,'Daftar Koreksi'!$G$5:$G$92,"Peralatan dan mesin",'Daftar Koreksi'!$I$5:$I$92,"&lt;0")</f>
        <v>0</v>
      </c>
      <c r="G457" s="17">
        <f t="shared" si="20"/>
        <v>-1514047500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-1614316016</v>
      </c>
      <c r="E458" s="25">
        <f>SUMIFS('Daftar Koreksi'!$I$5:$I$92,'Daftar Koreksi'!$D$5:$D$92,'1300'!A444,'Daftar Koreksi'!$G$5:$G$92,"Gedung dan Bangunan",'Daftar Koreksi'!$I$5:$I$92,"&gt;0")</f>
        <v>0</v>
      </c>
      <c r="F458" s="25">
        <f>SUMIFS('Daftar Koreksi'!$I$5:$I$92,'Daftar Koreksi'!$D$5:$D$92,'1300'!A444,'Daftar Koreksi'!$G$5:$G$92,"Gedung dan Bangunan",'Daftar Koreksi'!$I$5:$I$92,"&lt;0")-SUMIFS('Daftar Koreksi'!$I$5:$I$92,'Daftar Koreksi'!$D$5:$D$92,'1300'!A444,'Daftar Koreksi'!$G$5:$G$92,"Gedung dan Bangunan",'Daftar Koreksi'!$I$5:$I$92,"&lt;0")-SUMIFS('Daftar Koreksi'!$I$5:$I$92,'Daftar Koreksi'!$D$5:$D$92,'1300'!A444,'Daftar Koreksi'!$G$5:$G$92,"Gedung dan Bangunan",'Daftar Koreksi'!$I$5:$I$92,"&lt;0")</f>
        <v>0</v>
      </c>
      <c r="G458" s="17">
        <f t="shared" si="20"/>
        <v>-1614316016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-116808200</v>
      </c>
      <c r="E459" s="25">
        <f>SUMIFS('Daftar Koreksi'!$I$5:$I$92,'Daftar Koreksi'!$D$5:$D$92,'1300'!A444,'Daftar Koreksi'!$G$5:$G$92,"Jalan Irigasi Jaringan",'Daftar Koreksi'!$I$5:$I$92,"&gt;0")</f>
        <v>0</v>
      </c>
      <c r="F459" s="25">
        <f>SUMIFS('Daftar Koreksi'!$I$5:$I$92,'Daftar Koreksi'!$D$5:$D$92,'1300'!A444,'Daftar Koreksi'!$G$5:$G$92,"Jalan Irigasi Jaringan",'Daftar Koreksi'!$I$5:$I$92,"&lt;0")-SUMIFS('Daftar Koreksi'!$I$5:$I$92,'Daftar Koreksi'!$D$5:$D$92,'1300'!A444,'Daftar Koreksi'!$G$5:$G$92,"Jalan Irigasi Jaringan",'Daftar Koreksi'!$I$5:$I$92,"&lt;0")-SUMIFS('Daftar Koreksi'!$I$5:$I$92,'Daftar Koreksi'!$D$5:$D$92,'1300'!A444,'Daftar Koreksi'!$G$5:$G$92,"Jalan Irigasi Jaringan",'Daftar Koreksi'!$I$5:$I$92,"&lt;0")</f>
        <v>0</v>
      </c>
      <c r="G459" s="17">
        <f t="shared" si="20"/>
        <v>-116808200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Koreksi'!$D$5:$D$92,'1300'!A444,'Daftar Koreksi'!$G$5:$G$92,"Aset Tetap Lainnya",'Daftar Koreksi'!$I$5:$I$92,"&gt;0")</f>
        <v>0</v>
      </c>
      <c r="F460" s="25">
        <f>SUMIFS('Daftar Koreksi'!$I$5:$I$92,'Daftar Koreksi'!$D$5:$D$92,'1300'!A444,'Daftar Koreksi'!$G$5:$G$92,"Aset Tetap Lainnya",'Daftar Koreksi'!$I$5:$I$92,"&lt;0")-SUMIFS('Daftar Koreksi'!$I$5:$I$92,'Daftar Koreksi'!$D$5:$D$92,'1300'!A444,'Daftar Koreksi'!$G$5:$G$92,"Aset Tetap Lainnya",'Daftar Koreksi'!$I$5:$I$92,"&lt;0")-SUMIFS('Daftar Koreksi'!$I$5:$I$92,'Daftar Koreksi'!$D$5:$D$92,'1300'!A444,'Daftar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Koreksi'!$D$5:$D$92,'1300'!A444,'Daftar Koreksi'!$G$5:$G$92,"Aset Henti Guna",'Daftar Koreksi'!$I$5:$I$92,"&gt;0")</f>
        <v>0</v>
      </c>
      <c r="F461" s="25">
        <f>SUMIFS('Daftar Koreksi'!$I$5:$I$92,'Daftar Koreksi'!$D$5:$D$92,'1300'!A444,'Daftar Koreksi'!$G$5:$G$92,"Aset Henti Guna",'Daftar Koreksi'!$I$5:$I$92,"&lt;0")-SUMIFS('Daftar Koreksi'!$I$5:$I$92,'Daftar Koreksi'!$D$5:$D$92,'1300'!A444,'Daftar Koreksi'!$G$5:$G$92,"Aset Henti Guna",'Daftar Koreksi'!$I$5:$I$92,"&lt;0")-SUMIFS('Daftar Koreksi'!$I$5:$I$92,'Daftar Koreksi'!$D$5:$D$92,'1300'!A444,'Daftar Koreksi'!$G$5:$G$92,"Aset Henti Guna",'Daftar Koreksi'!$I$5:$I$92,"&lt;0")</f>
        <v>0</v>
      </c>
      <c r="G461" s="17">
        <f t="shared" si="20"/>
        <v>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-3245171716</v>
      </c>
      <c r="E462" s="19">
        <f>SUM(E457:E461)</f>
        <v>0</v>
      </c>
      <c r="F462" s="19">
        <f>SUM(F457:F461)</f>
        <v>0</v>
      </c>
      <c r="G462" s="19">
        <f t="shared" si="20"/>
        <v>-3245171716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11405655798</v>
      </c>
      <c r="E463" s="19">
        <f>E462+E456</f>
        <v>0</v>
      </c>
      <c r="F463" s="19">
        <f>F462+F456</f>
        <v>0</v>
      </c>
      <c r="G463" s="19">
        <f t="shared" si="20"/>
        <v>11405655798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</sheetData>
  <mergeCells count="126">
    <mergeCell ref="H447:H464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445:C446"/>
    <mergeCell ref="D445:D446"/>
    <mergeCell ref="E445:F445"/>
    <mergeCell ref="G445:G446"/>
    <mergeCell ref="H445:H446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9" manualBreakCount="9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S1272"/>
  <sheetViews>
    <sheetView workbookViewId="0">
      <selection activeCell="A8" sqref="A8"/>
    </sheetView>
  </sheetViews>
  <sheetFormatPr defaultRowHeight="12.75"/>
  <cols>
    <col min="1" max="1" width="22" bestFit="1" customWidth="1"/>
    <col min="2" max="2" width="34.85546875" bestFit="1" customWidth="1"/>
    <col min="3" max="12" width="17.7109375" style="3" customWidth="1"/>
    <col min="13" max="18" width="17.7109375" style="1" customWidth="1"/>
  </cols>
  <sheetData>
    <row r="1" spans="1:19" s="4" customFormat="1" ht="25.5" customHeight="1">
      <c r="A1" s="4" t="s">
        <v>1157</v>
      </c>
      <c r="B1" s="4" t="s">
        <v>1989</v>
      </c>
      <c r="C1" s="5" t="s">
        <v>0</v>
      </c>
      <c r="D1" s="5" t="s">
        <v>1</v>
      </c>
      <c r="E1" s="5" t="s">
        <v>2</v>
      </c>
      <c r="F1" s="5" t="s">
        <v>3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8</v>
      </c>
      <c r="L1" s="5" t="s">
        <v>9</v>
      </c>
      <c r="M1" s="6" t="s">
        <v>2016</v>
      </c>
      <c r="N1" s="6" t="s">
        <v>2017</v>
      </c>
      <c r="O1" s="6" t="s">
        <v>2018</v>
      </c>
      <c r="P1" s="6" t="s">
        <v>2019</v>
      </c>
      <c r="Q1" s="6" t="s">
        <v>2020</v>
      </c>
      <c r="R1" s="6" t="s">
        <v>2021</v>
      </c>
      <c r="S1" s="7" t="s">
        <v>2092</v>
      </c>
    </row>
    <row r="2" spans="1:19">
      <c r="A2" t="s">
        <v>10</v>
      </c>
      <c r="C2" s="3">
        <v>13556410</v>
      </c>
      <c r="D2" s="3">
        <v>20587375000</v>
      </c>
      <c r="E2" s="3">
        <v>8317915888</v>
      </c>
      <c r="F2" s="3">
        <v>27256151250</v>
      </c>
      <c r="G2" s="3">
        <v>0</v>
      </c>
      <c r="H2" s="3">
        <v>25763772</v>
      </c>
      <c r="I2" s="3">
        <v>0</v>
      </c>
      <c r="J2" s="3">
        <v>6633000</v>
      </c>
      <c r="K2" s="3">
        <v>208365956</v>
      </c>
      <c r="L2" s="3">
        <f>SUM(C2:K2)</f>
        <v>56415761276</v>
      </c>
      <c r="M2" s="1">
        <v>-7173185634</v>
      </c>
      <c r="N2" s="1">
        <v>-3976330198</v>
      </c>
      <c r="O2" s="1">
        <v>0</v>
      </c>
      <c r="P2" s="1">
        <v>0</v>
      </c>
      <c r="Q2" s="1">
        <v>-206999545</v>
      </c>
      <c r="R2" s="1">
        <f>SUM(L2:Q2)</f>
        <v>45059245899</v>
      </c>
    </row>
    <row r="3" spans="1:19">
      <c r="A3" t="s">
        <v>11</v>
      </c>
      <c r="C3" s="3">
        <v>45072294</v>
      </c>
      <c r="D3" s="3">
        <v>111202873400</v>
      </c>
      <c r="E3" s="3">
        <v>45743733270</v>
      </c>
      <c r="F3" s="3">
        <v>183347175175</v>
      </c>
      <c r="G3" s="3">
        <v>1359999</v>
      </c>
      <c r="H3" s="3">
        <v>159726350</v>
      </c>
      <c r="I3" s="3">
        <v>0</v>
      </c>
      <c r="J3" s="3">
        <v>0</v>
      </c>
      <c r="K3" s="3">
        <v>0</v>
      </c>
      <c r="L3" s="3">
        <f t="shared" ref="L3:L66" si="0">SUM(C3:K3)</f>
        <v>340499940488</v>
      </c>
      <c r="M3" s="1">
        <v>-8589302275</v>
      </c>
      <c r="N3" s="1">
        <v>-2711559710</v>
      </c>
      <c r="O3" s="1">
        <v>-383592</v>
      </c>
      <c r="P3" s="1">
        <v>0</v>
      </c>
      <c r="Q3" s="1">
        <v>0</v>
      </c>
      <c r="R3" s="1">
        <f t="shared" ref="R3:R66" si="1">SUM(L3:Q3)</f>
        <v>329198694911</v>
      </c>
    </row>
    <row r="4" spans="1:19">
      <c r="A4" t="s">
        <v>12</v>
      </c>
      <c r="C4" s="3">
        <v>0</v>
      </c>
      <c r="D4" s="3">
        <v>108509595000</v>
      </c>
      <c r="E4" s="3">
        <v>5206978107</v>
      </c>
      <c r="F4" s="3">
        <v>45780716501</v>
      </c>
      <c r="G4" s="3">
        <v>0</v>
      </c>
      <c r="H4" s="3">
        <v>5045440</v>
      </c>
      <c r="I4" s="3">
        <v>0</v>
      </c>
      <c r="J4" s="3">
        <v>84070548</v>
      </c>
      <c r="K4" s="3">
        <v>308394075</v>
      </c>
      <c r="L4" s="3">
        <f t="shared" si="0"/>
        <v>159894799671</v>
      </c>
      <c r="M4" s="1">
        <v>-4207436001</v>
      </c>
      <c r="N4" s="1">
        <v>-4197548610</v>
      </c>
      <c r="O4" s="1">
        <v>0</v>
      </c>
      <c r="P4" s="1">
        <v>0</v>
      </c>
      <c r="Q4" s="1">
        <v>-308394075</v>
      </c>
      <c r="R4" s="1">
        <f t="shared" si="1"/>
        <v>151181420985</v>
      </c>
    </row>
    <row r="5" spans="1:19">
      <c r="A5" t="s">
        <v>13</v>
      </c>
      <c r="C5" s="3">
        <v>8726000</v>
      </c>
      <c r="D5" s="3">
        <v>27934170000</v>
      </c>
      <c r="E5" s="3">
        <v>5007655334</v>
      </c>
      <c r="F5" s="3">
        <v>59194289822</v>
      </c>
      <c r="G5" s="3">
        <v>0</v>
      </c>
      <c r="H5" s="3">
        <v>70826040</v>
      </c>
      <c r="I5" s="3">
        <v>0</v>
      </c>
      <c r="J5" s="3">
        <v>9900000</v>
      </c>
      <c r="K5" s="3">
        <v>0</v>
      </c>
      <c r="L5" s="3">
        <f t="shared" si="0"/>
        <v>92225567196</v>
      </c>
      <c r="M5" s="1">
        <v>-4794987348</v>
      </c>
      <c r="N5" s="1">
        <v>-3435310465</v>
      </c>
      <c r="O5" s="1">
        <v>0</v>
      </c>
      <c r="P5" s="1">
        <v>0</v>
      </c>
      <c r="Q5" s="1">
        <v>0</v>
      </c>
      <c r="R5" s="1">
        <f t="shared" si="1"/>
        <v>83995269383</v>
      </c>
    </row>
    <row r="6" spans="1:19">
      <c r="A6" t="s">
        <v>14</v>
      </c>
      <c r="C6" s="3">
        <v>28325476</v>
      </c>
      <c r="D6" s="3">
        <v>17767720000</v>
      </c>
      <c r="E6" s="3">
        <v>3538660859</v>
      </c>
      <c r="F6" s="3">
        <v>4666522000</v>
      </c>
      <c r="G6" s="3">
        <v>146109091</v>
      </c>
      <c r="H6" s="3">
        <v>9732062</v>
      </c>
      <c r="I6" s="3">
        <v>0</v>
      </c>
      <c r="J6" s="3">
        <v>0</v>
      </c>
      <c r="K6" s="3">
        <v>38155000</v>
      </c>
      <c r="L6" s="3">
        <f t="shared" si="0"/>
        <v>26195224488</v>
      </c>
      <c r="M6" s="1">
        <v>-3208846998</v>
      </c>
      <c r="N6" s="1">
        <v>-1208123560</v>
      </c>
      <c r="O6" s="1">
        <v>-23742732</v>
      </c>
      <c r="P6" s="1">
        <v>0</v>
      </c>
      <c r="Q6" s="1">
        <v>-38155000</v>
      </c>
      <c r="R6" s="1">
        <f t="shared" si="1"/>
        <v>21716356198</v>
      </c>
    </row>
    <row r="7" spans="1:19">
      <c r="A7" t="s">
        <v>15</v>
      </c>
      <c r="C7" s="3">
        <v>39406455</v>
      </c>
      <c r="D7" s="3">
        <v>24642750000</v>
      </c>
      <c r="E7" s="3">
        <v>3351229156</v>
      </c>
      <c r="F7" s="3">
        <v>4955843535</v>
      </c>
      <c r="G7" s="3">
        <v>0</v>
      </c>
      <c r="H7" s="3">
        <v>16714340</v>
      </c>
      <c r="I7" s="3">
        <v>0</v>
      </c>
      <c r="J7" s="3">
        <v>0</v>
      </c>
      <c r="K7" s="3">
        <v>25565000</v>
      </c>
      <c r="L7" s="3">
        <f t="shared" si="0"/>
        <v>33031508486</v>
      </c>
      <c r="M7" s="1">
        <v>-3165185966</v>
      </c>
      <c r="N7" s="1">
        <v>-3047459529</v>
      </c>
      <c r="O7" s="1">
        <v>0</v>
      </c>
      <c r="P7" s="1">
        <v>0</v>
      </c>
      <c r="Q7" s="1">
        <v>-25565000</v>
      </c>
      <c r="R7" s="1">
        <f t="shared" si="1"/>
        <v>26793297991</v>
      </c>
    </row>
    <row r="8" spans="1:19">
      <c r="A8" t="s">
        <v>16</v>
      </c>
      <c r="C8" s="3">
        <v>8634200</v>
      </c>
      <c r="D8" s="3">
        <v>25821465000</v>
      </c>
      <c r="E8" s="3">
        <v>5115803720</v>
      </c>
      <c r="F8" s="3">
        <v>18598932806</v>
      </c>
      <c r="G8" s="3">
        <v>0</v>
      </c>
      <c r="H8" s="3">
        <v>2609284000</v>
      </c>
      <c r="I8" s="3">
        <v>0</v>
      </c>
      <c r="J8" s="3">
        <v>44975000</v>
      </c>
      <c r="K8" s="3">
        <v>0</v>
      </c>
      <c r="L8" s="3">
        <f t="shared" si="0"/>
        <v>52199094726</v>
      </c>
      <c r="M8" s="1">
        <v>-3878525820</v>
      </c>
      <c r="N8" s="1">
        <v>-1115955058</v>
      </c>
      <c r="O8" s="1">
        <v>0</v>
      </c>
      <c r="P8" s="1">
        <v>0</v>
      </c>
      <c r="Q8" s="1">
        <v>0</v>
      </c>
      <c r="R8" s="1">
        <f t="shared" si="1"/>
        <v>47204613848</v>
      </c>
    </row>
    <row r="9" spans="1:19">
      <c r="A9" t="s">
        <v>17</v>
      </c>
      <c r="C9" s="3">
        <v>486500</v>
      </c>
      <c r="D9" s="3">
        <v>5650000000</v>
      </c>
      <c r="E9" s="3">
        <v>3671880861</v>
      </c>
      <c r="F9" s="3">
        <v>9049508100</v>
      </c>
      <c r="G9" s="3">
        <v>9000000</v>
      </c>
      <c r="H9" s="3">
        <v>166282678</v>
      </c>
      <c r="I9" s="3">
        <v>0</v>
      </c>
      <c r="J9" s="3">
        <v>0</v>
      </c>
      <c r="K9" s="3">
        <v>122280678</v>
      </c>
      <c r="L9" s="3">
        <f t="shared" si="0"/>
        <v>18669438817</v>
      </c>
      <c r="M9" s="1">
        <v>-3288860247</v>
      </c>
      <c r="N9" s="1">
        <v>-1507591695</v>
      </c>
      <c r="O9" s="1">
        <v>-2025000</v>
      </c>
      <c r="P9" s="1">
        <v>0</v>
      </c>
      <c r="Q9" s="1">
        <v>-122280678</v>
      </c>
      <c r="R9" s="1">
        <f t="shared" si="1"/>
        <v>13748681197</v>
      </c>
    </row>
    <row r="10" spans="1:19">
      <c r="A10" t="s">
        <v>18</v>
      </c>
      <c r="C10" s="3">
        <v>5283947</v>
      </c>
      <c r="D10" s="3">
        <v>26966675000</v>
      </c>
      <c r="E10" s="3">
        <v>4597758111</v>
      </c>
      <c r="F10" s="3">
        <v>19710366500</v>
      </c>
      <c r="G10" s="3">
        <v>109373500</v>
      </c>
      <c r="H10" s="3">
        <v>39732000</v>
      </c>
      <c r="I10" s="3">
        <v>0</v>
      </c>
      <c r="J10" s="3">
        <v>45903950</v>
      </c>
      <c r="K10" s="3">
        <v>178733500</v>
      </c>
      <c r="L10" s="3">
        <f t="shared" si="0"/>
        <v>51653826508</v>
      </c>
      <c r="M10" s="1">
        <v>-2355308030</v>
      </c>
      <c r="N10" s="1">
        <v>-390511920</v>
      </c>
      <c r="O10" s="1">
        <v>-75976200</v>
      </c>
      <c r="P10" s="1">
        <v>0</v>
      </c>
      <c r="Q10" s="1">
        <v>-177843600</v>
      </c>
      <c r="R10" s="1">
        <f t="shared" si="1"/>
        <v>48654186758</v>
      </c>
    </row>
    <row r="11" spans="1:19">
      <c r="A11" t="s">
        <v>19</v>
      </c>
      <c r="C11" s="3">
        <v>472000</v>
      </c>
      <c r="D11" s="3">
        <v>3463990000</v>
      </c>
      <c r="E11" s="3">
        <v>2726705143</v>
      </c>
      <c r="F11" s="3">
        <v>41998000</v>
      </c>
      <c r="G11" s="3">
        <v>46864000</v>
      </c>
      <c r="H11" s="3">
        <v>95437130</v>
      </c>
      <c r="I11" s="3">
        <v>2710958695</v>
      </c>
      <c r="J11" s="3">
        <v>42767500</v>
      </c>
      <c r="K11" s="3">
        <v>900000</v>
      </c>
      <c r="L11" s="3">
        <f t="shared" si="0"/>
        <v>9130092468</v>
      </c>
      <c r="M11" s="1">
        <v>-2497390397</v>
      </c>
      <c r="N11" s="1">
        <v>-3359840</v>
      </c>
      <c r="O11" s="1">
        <v>-13976200</v>
      </c>
      <c r="P11" s="1">
        <v>0</v>
      </c>
      <c r="Q11" s="1">
        <v>-900000</v>
      </c>
      <c r="R11" s="1">
        <f t="shared" si="1"/>
        <v>6614466031</v>
      </c>
    </row>
    <row r="12" spans="1:19">
      <c r="A12" t="s">
        <v>20</v>
      </c>
      <c r="C12" s="3">
        <v>34000</v>
      </c>
      <c r="D12" s="3">
        <v>22361412000</v>
      </c>
      <c r="E12" s="3">
        <v>4858289160</v>
      </c>
      <c r="F12" s="3">
        <v>19195275013</v>
      </c>
      <c r="G12" s="3">
        <v>24450000</v>
      </c>
      <c r="H12" s="3">
        <v>27424592</v>
      </c>
      <c r="I12" s="3">
        <v>0</v>
      </c>
      <c r="J12" s="3">
        <v>0</v>
      </c>
      <c r="K12" s="3">
        <v>145847997</v>
      </c>
      <c r="L12" s="3">
        <f t="shared" si="0"/>
        <v>46612732762</v>
      </c>
      <c r="M12" s="1">
        <v>-4285741926</v>
      </c>
      <c r="N12" s="1">
        <v>-3731783239</v>
      </c>
      <c r="O12" s="1">
        <v>-5887500</v>
      </c>
      <c r="P12" s="1">
        <v>0</v>
      </c>
      <c r="Q12" s="1">
        <v>-145847997</v>
      </c>
      <c r="R12" s="1">
        <f t="shared" si="1"/>
        <v>38443472100</v>
      </c>
    </row>
    <row r="13" spans="1:19">
      <c r="A13" t="s">
        <v>21</v>
      </c>
      <c r="C13" s="3">
        <v>13290365</v>
      </c>
      <c r="D13" s="3">
        <v>3017079900</v>
      </c>
      <c r="E13" s="3">
        <v>3884258915</v>
      </c>
      <c r="F13" s="3">
        <v>3098700400</v>
      </c>
      <c r="G13" s="3">
        <v>49563000</v>
      </c>
      <c r="H13" s="3">
        <v>16408646</v>
      </c>
      <c r="I13" s="3">
        <v>0</v>
      </c>
      <c r="J13" s="3">
        <v>34075000</v>
      </c>
      <c r="K13" s="3">
        <v>179926000</v>
      </c>
      <c r="L13" s="3">
        <f t="shared" si="0"/>
        <v>10293302226</v>
      </c>
      <c r="M13" s="1">
        <v>-3567947012</v>
      </c>
      <c r="N13" s="1">
        <v>-483105612</v>
      </c>
      <c r="O13" s="1">
        <v>-7434450</v>
      </c>
      <c r="P13" s="1">
        <v>0</v>
      </c>
      <c r="Q13" s="1">
        <v>-179926000</v>
      </c>
      <c r="R13" s="1">
        <f t="shared" si="1"/>
        <v>6054889152</v>
      </c>
    </row>
    <row r="14" spans="1:19">
      <c r="A14" t="s">
        <v>22</v>
      </c>
      <c r="C14" s="3">
        <v>15237408</v>
      </c>
      <c r="D14" s="3">
        <v>15547908000</v>
      </c>
      <c r="E14" s="3">
        <v>4008514129</v>
      </c>
      <c r="F14" s="3">
        <v>32084843600</v>
      </c>
      <c r="G14" s="3">
        <v>369835000</v>
      </c>
      <c r="H14" s="3">
        <v>12506576</v>
      </c>
      <c r="I14" s="3">
        <v>0</v>
      </c>
      <c r="J14" s="3">
        <v>14850000</v>
      </c>
      <c r="K14" s="3">
        <v>100556700</v>
      </c>
      <c r="L14" s="3">
        <f t="shared" si="0"/>
        <v>52154251413</v>
      </c>
      <c r="M14" s="1">
        <v>-2963499104</v>
      </c>
      <c r="N14" s="1">
        <v>-995556056</v>
      </c>
      <c r="O14" s="1">
        <v>-58667161</v>
      </c>
      <c r="P14" s="1">
        <v>0</v>
      </c>
      <c r="Q14" s="1">
        <v>-100556700</v>
      </c>
      <c r="R14" s="1">
        <f t="shared" si="1"/>
        <v>48035972392</v>
      </c>
    </row>
    <row r="15" spans="1:19">
      <c r="A15" t="s">
        <v>23</v>
      </c>
      <c r="C15" s="3">
        <v>12615975</v>
      </c>
      <c r="D15" s="3">
        <v>10149656000</v>
      </c>
      <c r="E15" s="3">
        <v>3074124990</v>
      </c>
      <c r="F15" s="3">
        <v>5910777430</v>
      </c>
      <c r="G15" s="3">
        <v>13200000</v>
      </c>
      <c r="H15" s="3">
        <v>2763400</v>
      </c>
      <c r="I15" s="3">
        <v>0</v>
      </c>
      <c r="J15" s="3">
        <v>119420000</v>
      </c>
      <c r="K15" s="3">
        <v>34000</v>
      </c>
      <c r="L15" s="3">
        <f t="shared" si="0"/>
        <v>19282591795</v>
      </c>
      <c r="M15" s="1">
        <v>-2339147134</v>
      </c>
      <c r="N15" s="1">
        <v>-678886447</v>
      </c>
      <c r="O15" s="1">
        <v>-1539888</v>
      </c>
      <c r="P15" s="1">
        <v>-80000</v>
      </c>
      <c r="Q15" s="1">
        <v>-34000</v>
      </c>
      <c r="R15" s="1">
        <f t="shared" si="1"/>
        <v>16262904326</v>
      </c>
    </row>
    <row r="16" spans="1:19">
      <c r="A16" t="s">
        <v>24</v>
      </c>
      <c r="C16" s="3">
        <v>4430100</v>
      </c>
      <c r="D16" s="3">
        <v>5550000000</v>
      </c>
      <c r="E16" s="3">
        <v>5778759556</v>
      </c>
      <c r="F16" s="3">
        <v>9296582677</v>
      </c>
      <c r="G16" s="3">
        <v>0</v>
      </c>
      <c r="H16" s="3">
        <v>6750000</v>
      </c>
      <c r="I16" s="3">
        <v>0</v>
      </c>
      <c r="J16" s="3">
        <v>129950000</v>
      </c>
      <c r="K16" s="3">
        <v>337552000</v>
      </c>
      <c r="L16" s="3">
        <f t="shared" si="0"/>
        <v>21104024333</v>
      </c>
      <c r="M16" s="1">
        <v>-5385474059</v>
      </c>
      <c r="N16" s="1">
        <v>-1022624096</v>
      </c>
      <c r="O16" s="1">
        <v>0</v>
      </c>
      <c r="P16" s="1">
        <v>0</v>
      </c>
      <c r="Q16" s="1">
        <v>-337552000</v>
      </c>
      <c r="R16" s="1">
        <f t="shared" si="1"/>
        <v>14358374178</v>
      </c>
    </row>
    <row r="17" spans="1:18">
      <c r="A17" t="s">
        <v>25</v>
      </c>
      <c r="C17" s="3">
        <v>8541500</v>
      </c>
      <c r="D17" s="3">
        <v>5250000000</v>
      </c>
      <c r="E17" s="3">
        <v>3752568112</v>
      </c>
      <c r="F17" s="3">
        <v>7498207523</v>
      </c>
      <c r="G17" s="3">
        <v>473555250</v>
      </c>
      <c r="H17" s="3">
        <v>2685000</v>
      </c>
      <c r="I17" s="3">
        <v>0</v>
      </c>
      <c r="J17" s="3">
        <v>252084520</v>
      </c>
      <c r="K17" s="3">
        <v>50495111</v>
      </c>
      <c r="L17" s="3">
        <f t="shared" si="0"/>
        <v>17288137016</v>
      </c>
      <c r="M17" s="1">
        <v>-3603069460</v>
      </c>
      <c r="N17" s="1">
        <v>-899784900</v>
      </c>
      <c r="O17" s="1">
        <v>-65805594</v>
      </c>
      <c r="P17" s="1">
        <v>0</v>
      </c>
      <c r="Q17" s="1">
        <v>-50495111</v>
      </c>
      <c r="R17" s="1">
        <f t="shared" si="1"/>
        <v>12668981951</v>
      </c>
    </row>
    <row r="18" spans="1:18">
      <c r="A18" t="s">
        <v>26</v>
      </c>
      <c r="C18" s="3">
        <v>0</v>
      </c>
      <c r="D18" s="3">
        <v>3990000000</v>
      </c>
      <c r="E18" s="3">
        <v>3891761637</v>
      </c>
      <c r="F18" s="3">
        <v>9012444700</v>
      </c>
      <c r="G18" s="3">
        <v>0</v>
      </c>
      <c r="H18" s="3">
        <v>2683400</v>
      </c>
      <c r="I18" s="3">
        <v>0</v>
      </c>
      <c r="J18" s="3">
        <v>111918750</v>
      </c>
      <c r="K18" s="3">
        <v>104428930</v>
      </c>
      <c r="L18" s="3">
        <f t="shared" si="0"/>
        <v>17113237417</v>
      </c>
      <c r="M18" s="1">
        <v>-3153793386</v>
      </c>
      <c r="N18" s="1">
        <v>-1168722661</v>
      </c>
      <c r="O18" s="1">
        <v>0</v>
      </c>
      <c r="P18" s="1">
        <v>0</v>
      </c>
      <c r="Q18" s="1">
        <v>-104205630</v>
      </c>
      <c r="R18" s="1">
        <f t="shared" si="1"/>
        <v>12686515740</v>
      </c>
    </row>
    <row r="19" spans="1:18">
      <c r="A19" s="20" t="s">
        <v>1158</v>
      </c>
      <c r="C19" s="3">
        <v>3228100018</v>
      </c>
      <c r="D19" s="3">
        <v>415009745500</v>
      </c>
      <c r="E19" s="3">
        <v>337304720041</v>
      </c>
      <c r="F19" s="3">
        <v>676535657226</v>
      </c>
      <c r="G19" s="3">
        <v>99563631113</v>
      </c>
      <c r="H19" s="3">
        <v>29077972703</v>
      </c>
      <c r="I19" s="3">
        <v>0</v>
      </c>
      <c r="J19" s="3">
        <v>8973886792</v>
      </c>
      <c r="K19" s="3">
        <v>5756080814</v>
      </c>
      <c r="L19" s="3">
        <f t="shared" si="0"/>
        <v>1575449794207</v>
      </c>
      <c r="M19" s="1">
        <v>-294307657648</v>
      </c>
      <c r="N19" s="1">
        <v>-117660412175</v>
      </c>
      <c r="O19" s="1">
        <v>-36105142869</v>
      </c>
      <c r="P19" s="1">
        <v>-99264000</v>
      </c>
      <c r="Q19" s="1">
        <v>-4453808346</v>
      </c>
      <c r="R19" s="1">
        <f t="shared" si="1"/>
        <v>1122823509169</v>
      </c>
    </row>
    <row r="20" spans="1:18">
      <c r="A20" t="s">
        <v>27</v>
      </c>
      <c r="C20" s="3">
        <v>28439055</v>
      </c>
      <c r="D20" s="3">
        <v>33360400001</v>
      </c>
      <c r="E20" s="3">
        <v>7779069488</v>
      </c>
      <c r="F20" s="3">
        <v>32469555007</v>
      </c>
      <c r="G20" s="3">
        <v>0</v>
      </c>
      <c r="H20" s="3">
        <v>21148062</v>
      </c>
      <c r="I20" s="3">
        <v>1458153000</v>
      </c>
      <c r="J20" s="3">
        <v>103290000</v>
      </c>
      <c r="K20" s="3">
        <v>0</v>
      </c>
      <c r="L20" s="3">
        <f t="shared" si="0"/>
        <v>75220054613</v>
      </c>
      <c r="M20" s="1">
        <v>-4286391971</v>
      </c>
      <c r="N20" s="1">
        <v>-3080310153</v>
      </c>
      <c r="O20" s="1">
        <v>0</v>
      </c>
      <c r="P20" s="1">
        <v>0</v>
      </c>
      <c r="Q20" s="1">
        <v>0</v>
      </c>
      <c r="R20" s="1">
        <f t="shared" si="1"/>
        <v>67853352489</v>
      </c>
    </row>
    <row r="21" spans="1:18">
      <c r="A21" t="s">
        <v>28</v>
      </c>
      <c r="C21" s="3">
        <v>6744850</v>
      </c>
      <c r="D21" s="3">
        <v>85610600000</v>
      </c>
      <c r="E21" s="3">
        <v>5879555834</v>
      </c>
      <c r="F21" s="3">
        <v>5741922000</v>
      </c>
      <c r="G21" s="3">
        <v>67108000</v>
      </c>
      <c r="H21" s="3">
        <v>11591962</v>
      </c>
      <c r="I21" s="3">
        <v>0</v>
      </c>
      <c r="J21" s="3">
        <v>26979880</v>
      </c>
      <c r="K21" s="3">
        <v>495024844</v>
      </c>
      <c r="L21" s="3">
        <f t="shared" si="0"/>
        <v>97839527370</v>
      </c>
      <c r="M21" s="1">
        <v>-4700468357</v>
      </c>
      <c r="N21" s="1">
        <v>-2696328436</v>
      </c>
      <c r="O21" s="1">
        <v>-8168400</v>
      </c>
      <c r="P21" s="1">
        <v>0</v>
      </c>
      <c r="Q21" s="1">
        <v>-493624844</v>
      </c>
      <c r="R21" s="1">
        <f t="shared" si="1"/>
        <v>89940937333</v>
      </c>
    </row>
    <row r="22" spans="1:18">
      <c r="A22" t="s">
        <v>29</v>
      </c>
      <c r="C22" s="3">
        <v>524100</v>
      </c>
      <c r="D22" s="3">
        <v>4866747500</v>
      </c>
      <c r="E22" s="3">
        <v>1577986083</v>
      </c>
      <c r="F22" s="3">
        <v>2794279813</v>
      </c>
      <c r="G22" s="3">
        <v>359574550</v>
      </c>
      <c r="H22" s="3">
        <v>53594476</v>
      </c>
      <c r="I22" s="3">
        <v>0</v>
      </c>
      <c r="J22" s="3">
        <v>0</v>
      </c>
      <c r="K22" s="3">
        <v>138299289</v>
      </c>
      <c r="L22" s="3">
        <f t="shared" si="0"/>
        <v>9791005811</v>
      </c>
      <c r="M22" s="1">
        <v>-1417138935</v>
      </c>
      <c r="N22" s="1">
        <v>-1060354335</v>
      </c>
      <c r="O22" s="1">
        <v>-102258403</v>
      </c>
      <c r="P22" s="1">
        <v>0</v>
      </c>
      <c r="Q22" s="1">
        <v>-137929289</v>
      </c>
      <c r="R22" s="1">
        <f t="shared" si="1"/>
        <v>7073324849</v>
      </c>
    </row>
    <row r="23" spans="1:18">
      <c r="A23" t="s">
        <v>30</v>
      </c>
      <c r="C23" s="3">
        <v>547500</v>
      </c>
      <c r="D23" s="3">
        <v>6602702000</v>
      </c>
      <c r="E23" s="3">
        <v>2022055721</v>
      </c>
      <c r="F23" s="3">
        <v>3249261480</v>
      </c>
      <c r="G23" s="3">
        <v>32865000</v>
      </c>
      <c r="H23" s="3">
        <v>1943440</v>
      </c>
      <c r="I23" s="3">
        <v>0</v>
      </c>
      <c r="J23" s="3">
        <v>0</v>
      </c>
      <c r="K23" s="3">
        <v>2528660</v>
      </c>
      <c r="L23" s="3">
        <f t="shared" si="0"/>
        <v>11911903801</v>
      </c>
      <c r="M23" s="1">
        <v>-1741897709</v>
      </c>
      <c r="N23" s="1">
        <v>-2196240628</v>
      </c>
      <c r="O23" s="1">
        <v>-5751375</v>
      </c>
      <c r="P23" s="1">
        <v>0</v>
      </c>
      <c r="Q23" s="1">
        <v>-2528660</v>
      </c>
      <c r="R23" s="1">
        <f t="shared" si="1"/>
        <v>7965485429</v>
      </c>
    </row>
    <row r="24" spans="1:18">
      <c r="A24" t="s">
        <v>31</v>
      </c>
      <c r="C24" s="3">
        <v>781450</v>
      </c>
      <c r="D24" s="3">
        <v>3939203750</v>
      </c>
      <c r="E24" s="3">
        <v>1692806378</v>
      </c>
      <c r="F24" s="3">
        <v>3754430750</v>
      </c>
      <c r="G24" s="3">
        <v>0</v>
      </c>
      <c r="H24" s="3">
        <v>7239801</v>
      </c>
      <c r="I24" s="3">
        <v>0</v>
      </c>
      <c r="J24" s="3">
        <v>12750000</v>
      </c>
      <c r="K24" s="3">
        <v>137334402</v>
      </c>
      <c r="L24" s="3">
        <f t="shared" si="0"/>
        <v>9544546531</v>
      </c>
      <c r="M24" s="1">
        <v>-1522221530</v>
      </c>
      <c r="N24" s="1">
        <v>-815389640</v>
      </c>
      <c r="O24" s="1">
        <v>0</v>
      </c>
      <c r="P24" s="1">
        <v>0</v>
      </c>
      <c r="Q24" s="1">
        <v>-138054402</v>
      </c>
      <c r="R24" s="1">
        <f t="shared" si="1"/>
        <v>7068880959</v>
      </c>
    </row>
    <row r="25" spans="1:18">
      <c r="A25" t="s">
        <v>32</v>
      </c>
      <c r="C25" s="3">
        <v>5463300</v>
      </c>
      <c r="D25" s="3">
        <v>2926276000</v>
      </c>
      <c r="E25" s="3">
        <v>1487438892</v>
      </c>
      <c r="F25" s="3">
        <v>9215543612</v>
      </c>
      <c r="G25" s="3">
        <v>67088750</v>
      </c>
      <c r="H25" s="3">
        <v>9038462</v>
      </c>
      <c r="I25" s="3">
        <v>0</v>
      </c>
      <c r="J25" s="3">
        <v>17547100</v>
      </c>
      <c r="K25" s="3">
        <v>7051000</v>
      </c>
      <c r="L25" s="3">
        <f t="shared" si="0"/>
        <v>13735447116</v>
      </c>
      <c r="M25" s="1">
        <v>-1437143501</v>
      </c>
      <c r="N25" s="1">
        <v>-3499662276</v>
      </c>
      <c r="O25" s="1">
        <v>-42510641</v>
      </c>
      <c r="P25" s="1">
        <v>0</v>
      </c>
      <c r="Q25" s="1">
        <v>-7051000</v>
      </c>
      <c r="R25" s="1">
        <f t="shared" si="1"/>
        <v>8749079698</v>
      </c>
    </row>
    <row r="26" spans="1:18">
      <c r="A26" t="s">
        <v>33</v>
      </c>
      <c r="C26" s="3">
        <v>9441545</v>
      </c>
      <c r="D26" s="3">
        <v>5011805000</v>
      </c>
      <c r="E26" s="3">
        <v>1670578643</v>
      </c>
      <c r="F26" s="3">
        <v>6216657990</v>
      </c>
      <c r="G26" s="3">
        <v>0</v>
      </c>
      <c r="H26" s="3">
        <v>4411622</v>
      </c>
      <c r="I26" s="3">
        <v>0</v>
      </c>
      <c r="J26" s="3">
        <v>0</v>
      </c>
      <c r="K26" s="3">
        <v>91138440</v>
      </c>
      <c r="L26" s="3">
        <f t="shared" si="0"/>
        <v>13004033240</v>
      </c>
      <c r="M26" s="1">
        <v>-1523692554</v>
      </c>
      <c r="N26" s="1">
        <v>-2172593124</v>
      </c>
      <c r="O26" s="1">
        <v>0</v>
      </c>
      <c r="P26" s="1">
        <v>0</v>
      </c>
      <c r="Q26" s="1">
        <v>-87320000</v>
      </c>
      <c r="R26" s="1">
        <f t="shared" si="1"/>
        <v>9220427562</v>
      </c>
    </row>
    <row r="27" spans="1:18">
      <c r="A27" t="s">
        <v>34</v>
      </c>
      <c r="C27" s="3">
        <v>5196200</v>
      </c>
      <c r="D27" s="3">
        <v>7619250000</v>
      </c>
      <c r="E27" s="3">
        <v>2703396756</v>
      </c>
      <c r="F27" s="3">
        <v>5938940713</v>
      </c>
      <c r="G27" s="3">
        <v>106002500</v>
      </c>
      <c r="H27" s="3">
        <v>257303586</v>
      </c>
      <c r="I27" s="3">
        <v>0</v>
      </c>
      <c r="J27" s="3">
        <v>900000</v>
      </c>
      <c r="K27" s="3">
        <v>227199257</v>
      </c>
      <c r="L27" s="3">
        <f t="shared" si="0"/>
        <v>16858189012</v>
      </c>
      <c r="M27" s="1">
        <v>-2322073040</v>
      </c>
      <c r="N27" s="1">
        <v>-1325888223</v>
      </c>
      <c r="O27" s="1">
        <v>-6791363</v>
      </c>
      <c r="P27" s="1">
        <v>0</v>
      </c>
      <c r="Q27" s="1">
        <v>-78739659</v>
      </c>
      <c r="R27" s="1">
        <f t="shared" si="1"/>
        <v>13124696727</v>
      </c>
    </row>
    <row r="28" spans="1:18">
      <c r="A28" t="s">
        <v>35</v>
      </c>
      <c r="C28" s="3">
        <v>4759300</v>
      </c>
      <c r="D28" s="3">
        <v>18569517600</v>
      </c>
      <c r="E28" s="3">
        <v>1815951386</v>
      </c>
      <c r="F28" s="3">
        <v>3962099000</v>
      </c>
      <c r="G28" s="3">
        <v>68821500</v>
      </c>
      <c r="H28" s="3">
        <v>62577082</v>
      </c>
      <c r="I28" s="3">
        <v>0</v>
      </c>
      <c r="J28" s="3">
        <v>0</v>
      </c>
      <c r="K28" s="3">
        <v>136612900</v>
      </c>
      <c r="L28" s="3">
        <f t="shared" si="0"/>
        <v>24620338768</v>
      </c>
      <c r="M28" s="1">
        <v>-1725538309</v>
      </c>
      <c r="N28" s="1">
        <v>-2158517180</v>
      </c>
      <c r="O28" s="1">
        <v>-871158</v>
      </c>
      <c r="P28" s="1">
        <v>0</v>
      </c>
      <c r="Q28" s="1">
        <v>-115704960</v>
      </c>
      <c r="R28" s="1">
        <f t="shared" si="1"/>
        <v>20619707161</v>
      </c>
    </row>
    <row r="29" spans="1:18">
      <c r="A29" t="s">
        <v>36</v>
      </c>
      <c r="C29" s="3">
        <v>1824050</v>
      </c>
      <c r="D29" s="3">
        <v>2114920200</v>
      </c>
      <c r="E29" s="3">
        <v>1880766765</v>
      </c>
      <c r="F29" s="3">
        <v>3727772000</v>
      </c>
      <c r="G29" s="3">
        <v>219144000</v>
      </c>
      <c r="H29" s="3">
        <v>8871631</v>
      </c>
      <c r="I29" s="3">
        <v>0</v>
      </c>
      <c r="J29" s="3">
        <v>8800000</v>
      </c>
      <c r="K29" s="3">
        <v>144034000</v>
      </c>
      <c r="L29" s="3">
        <f t="shared" si="0"/>
        <v>8106132646</v>
      </c>
      <c r="M29" s="1">
        <v>-1681534623</v>
      </c>
      <c r="N29" s="1">
        <v>-1014069470</v>
      </c>
      <c r="O29" s="1">
        <v>-71700400</v>
      </c>
      <c r="P29" s="1">
        <v>0</v>
      </c>
      <c r="Q29" s="1">
        <v>-144034000</v>
      </c>
      <c r="R29" s="1">
        <f t="shared" si="1"/>
        <v>5194794153</v>
      </c>
    </row>
    <row r="30" spans="1:18">
      <c r="A30" t="s">
        <v>37</v>
      </c>
      <c r="C30" s="3">
        <v>10000</v>
      </c>
      <c r="D30" s="3">
        <v>21002903000</v>
      </c>
      <c r="E30" s="3">
        <v>1783180923</v>
      </c>
      <c r="F30" s="3">
        <v>7204508200</v>
      </c>
      <c r="G30" s="3">
        <v>29697000</v>
      </c>
      <c r="H30" s="3">
        <v>1943440</v>
      </c>
      <c r="I30" s="3">
        <v>0</v>
      </c>
      <c r="J30" s="3">
        <v>12210000</v>
      </c>
      <c r="K30" s="3">
        <v>155151000</v>
      </c>
      <c r="L30" s="3">
        <f t="shared" si="0"/>
        <v>30189603563</v>
      </c>
      <c r="M30" s="1">
        <v>-1507083442</v>
      </c>
      <c r="N30" s="1">
        <v>-1644325286</v>
      </c>
      <c r="O30" s="1">
        <v>-29697000</v>
      </c>
      <c r="P30" s="1">
        <v>0</v>
      </c>
      <c r="Q30" s="1">
        <v>-155151000</v>
      </c>
      <c r="R30" s="1">
        <f t="shared" si="1"/>
        <v>26853346835</v>
      </c>
    </row>
    <row r="31" spans="1:18">
      <c r="A31" t="s">
        <v>38</v>
      </c>
      <c r="C31" s="3">
        <v>3282400</v>
      </c>
      <c r="D31" s="3">
        <v>7134086950</v>
      </c>
      <c r="E31" s="3">
        <v>1462863548</v>
      </c>
      <c r="F31" s="3">
        <v>5526600800</v>
      </c>
      <c r="G31" s="3">
        <v>0</v>
      </c>
      <c r="H31" s="3">
        <v>36459082</v>
      </c>
      <c r="I31" s="3">
        <v>0</v>
      </c>
      <c r="J31" s="3">
        <v>0</v>
      </c>
      <c r="K31" s="3">
        <v>93105400</v>
      </c>
      <c r="L31" s="3">
        <f t="shared" si="0"/>
        <v>14256398180</v>
      </c>
      <c r="M31" s="1">
        <v>-1299041723</v>
      </c>
      <c r="N31" s="1">
        <v>-3281129458</v>
      </c>
      <c r="O31" s="1">
        <v>0</v>
      </c>
      <c r="P31" s="1">
        <v>0</v>
      </c>
      <c r="Q31" s="1">
        <v>-89205400</v>
      </c>
      <c r="R31" s="1">
        <f t="shared" si="1"/>
        <v>9587021599</v>
      </c>
    </row>
    <row r="32" spans="1:18">
      <c r="A32" t="s">
        <v>39</v>
      </c>
      <c r="C32" s="3">
        <v>1013500</v>
      </c>
      <c r="D32" s="3">
        <v>13954970633</v>
      </c>
      <c r="E32" s="3">
        <v>1693816942</v>
      </c>
      <c r="F32" s="3">
        <v>3402324722</v>
      </c>
      <c r="G32" s="3">
        <v>58616000</v>
      </c>
      <c r="H32" s="3">
        <v>5045440</v>
      </c>
      <c r="I32" s="3">
        <v>0</v>
      </c>
      <c r="J32" s="3">
        <v>0</v>
      </c>
      <c r="K32" s="3">
        <v>53000</v>
      </c>
      <c r="L32" s="3">
        <f t="shared" si="0"/>
        <v>19115840237</v>
      </c>
      <c r="M32" s="1">
        <v>-1492968597</v>
      </c>
      <c r="N32" s="1">
        <v>-1693994349</v>
      </c>
      <c r="O32" s="1">
        <v>-51289000</v>
      </c>
      <c r="P32" s="1">
        <v>0</v>
      </c>
      <c r="Q32" s="1">
        <v>-53000</v>
      </c>
      <c r="R32" s="1">
        <f t="shared" si="1"/>
        <v>15877535291</v>
      </c>
    </row>
    <row r="33" spans="1:18">
      <c r="A33" t="s">
        <v>40</v>
      </c>
      <c r="C33" s="3">
        <v>6410085</v>
      </c>
      <c r="D33" s="3">
        <v>8688400000</v>
      </c>
      <c r="E33" s="3">
        <v>2713996033</v>
      </c>
      <c r="F33" s="3">
        <v>3869868956</v>
      </c>
      <c r="G33" s="3">
        <v>93607183</v>
      </c>
      <c r="H33" s="3">
        <v>28917060</v>
      </c>
      <c r="I33" s="3">
        <v>0</v>
      </c>
      <c r="J33" s="3">
        <v>9000000</v>
      </c>
      <c r="K33" s="3">
        <v>1847000</v>
      </c>
      <c r="L33" s="3">
        <f t="shared" si="0"/>
        <v>15412046317</v>
      </c>
      <c r="M33" s="1">
        <v>-2134887315</v>
      </c>
      <c r="N33" s="1">
        <v>-1238565458</v>
      </c>
      <c r="O33" s="1">
        <v>-36261239</v>
      </c>
      <c r="P33" s="1">
        <v>-12287000</v>
      </c>
      <c r="Q33" s="1">
        <v>-1847000</v>
      </c>
      <c r="R33" s="1">
        <f t="shared" si="1"/>
        <v>11988198305</v>
      </c>
    </row>
    <row r="34" spans="1:18">
      <c r="A34" t="s">
        <v>41</v>
      </c>
      <c r="C34" s="3">
        <v>303000</v>
      </c>
      <c r="D34" s="3">
        <v>5138320000</v>
      </c>
      <c r="E34" s="3">
        <v>1627909439</v>
      </c>
      <c r="F34" s="3">
        <v>3397377000</v>
      </c>
      <c r="G34" s="3">
        <v>56899840</v>
      </c>
      <c r="H34" s="3">
        <v>1943440</v>
      </c>
      <c r="I34" s="3">
        <v>0</v>
      </c>
      <c r="J34" s="3">
        <v>0</v>
      </c>
      <c r="K34" s="3">
        <v>463000</v>
      </c>
      <c r="L34" s="3">
        <f t="shared" si="0"/>
        <v>10223215719</v>
      </c>
      <c r="M34" s="1">
        <v>-1483247944</v>
      </c>
      <c r="N34" s="1">
        <v>-1902574393</v>
      </c>
      <c r="O34" s="1">
        <v>-54554848</v>
      </c>
      <c r="P34" s="1">
        <v>0</v>
      </c>
      <c r="Q34" s="1">
        <v>-463000</v>
      </c>
      <c r="R34" s="1">
        <f t="shared" si="1"/>
        <v>6782375534</v>
      </c>
    </row>
    <row r="35" spans="1:18">
      <c r="A35" t="s">
        <v>42</v>
      </c>
      <c r="C35" s="3">
        <v>1564800</v>
      </c>
      <c r="D35" s="3">
        <v>2550000000</v>
      </c>
      <c r="E35" s="3">
        <v>1806585665</v>
      </c>
      <c r="F35" s="3">
        <v>3180806600</v>
      </c>
      <c r="G35" s="3">
        <v>90971000</v>
      </c>
      <c r="H35" s="3">
        <v>6542116</v>
      </c>
      <c r="I35" s="3">
        <v>0</v>
      </c>
      <c r="J35" s="3">
        <v>8800000</v>
      </c>
      <c r="K35" s="3">
        <v>56961000</v>
      </c>
      <c r="L35" s="3">
        <f t="shared" si="0"/>
        <v>7702231181</v>
      </c>
      <c r="M35" s="1">
        <v>-1585523268</v>
      </c>
      <c r="N35" s="1">
        <v>-1613406529</v>
      </c>
      <c r="O35" s="1">
        <v>-30917225</v>
      </c>
      <c r="P35" s="1">
        <v>0</v>
      </c>
      <c r="Q35" s="1">
        <v>-56961000</v>
      </c>
      <c r="R35" s="1">
        <f t="shared" si="1"/>
        <v>4415423159</v>
      </c>
    </row>
    <row r="36" spans="1:18">
      <c r="A36" t="s">
        <v>43</v>
      </c>
      <c r="C36" s="3">
        <v>3751000</v>
      </c>
      <c r="D36" s="3">
        <v>1998720000</v>
      </c>
      <c r="E36" s="3">
        <v>2702361631</v>
      </c>
      <c r="F36" s="3">
        <v>2371121415</v>
      </c>
      <c r="G36" s="3">
        <v>69560000</v>
      </c>
      <c r="H36" s="3">
        <v>315268062</v>
      </c>
      <c r="I36" s="3">
        <v>0</v>
      </c>
      <c r="J36" s="3">
        <v>8900000</v>
      </c>
      <c r="K36" s="3">
        <v>4261000</v>
      </c>
      <c r="L36" s="3">
        <f t="shared" si="0"/>
        <v>7473943108</v>
      </c>
      <c r="M36" s="1">
        <v>-2223741222</v>
      </c>
      <c r="N36" s="1">
        <v>-698365143</v>
      </c>
      <c r="O36" s="1">
        <v>-7635343</v>
      </c>
      <c r="P36" s="1">
        <v>0</v>
      </c>
      <c r="Q36" s="1">
        <v>-6793000</v>
      </c>
      <c r="R36" s="1">
        <f t="shared" si="1"/>
        <v>4537408400</v>
      </c>
    </row>
    <row r="37" spans="1:18">
      <c r="A37" t="s">
        <v>44</v>
      </c>
      <c r="C37" s="3">
        <v>30349887</v>
      </c>
      <c r="D37" s="3">
        <v>8356500000</v>
      </c>
      <c r="E37" s="3">
        <v>6685634737</v>
      </c>
      <c r="F37" s="3">
        <v>10355503194</v>
      </c>
      <c r="G37" s="3">
        <v>0</v>
      </c>
      <c r="H37" s="3">
        <v>80849740</v>
      </c>
      <c r="I37" s="3">
        <v>0</v>
      </c>
      <c r="J37" s="3">
        <v>19932000</v>
      </c>
      <c r="K37" s="3">
        <v>212664000</v>
      </c>
      <c r="L37" s="3">
        <f t="shared" si="0"/>
        <v>25741433558</v>
      </c>
      <c r="M37" s="1">
        <v>-6159904797</v>
      </c>
      <c r="N37" s="1">
        <v>-1902953789</v>
      </c>
      <c r="O37" s="1">
        <v>0</v>
      </c>
      <c r="P37" s="1">
        <v>0</v>
      </c>
      <c r="Q37" s="1">
        <v>-210725221</v>
      </c>
      <c r="R37" s="1">
        <f t="shared" si="1"/>
        <v>17467849751</v>
      </c>
    </row>
    <row r="38" spans="1:18">
      <c r="A38" t="s">
        <v>45</v>
      </c>
      <c r="C38" s="3">
        <v>601850</v>
      </c>
      <c r="D38" s="3">
        <v>6732745000</v>
      </c>
      <c r="E38" s="3">
        <v>4532755976</v>
      </c>
      <c r="F38" s="3">
        <v>10108498555</v>
      </c>
      <c r="G38" s="3">
        <v>2206268049</v>
      </c>
      <c r="H38" s="3">
        <v>52563729</v>
      </c>
      <c r="I38" s="3">
        <v>0</v>
      </c>
      <c r="J38" s="3">
        <v>74145000</v>
      </c>
      <c r="K38" s="3">
        <v>30635000</v>
      </c>
      <c r="L38" s="3">
        <f t="shared" si="0"/>
        <v>23738213159</v>
      </c>
      <c r="M38" s="1">
        <v>-3087836498</v>
      </c>
      <c r="N38" s="1">
        <v>-1905634660</v>
      </c>
      <c r="O38" s="1">
        <v>-140254544</v>
      </c>
      <c r="P38" s="1">
        <v>0</v>
      </c>
      <c r="Q38" s="1">
        <v>-30635000</v>
      </c>
      <c r="R38" s="1">
        <f t="shared" si="1"/>
        <v>18573852457</v>
      </c>
    </row>
    <row r="39" spans="1:18">
      <c r="A39" t="s">
        <v>46</v>
      </c>
      <c r="C39" s="3">
        <v>8933961</v>
      </c>
      <c r="D39" s="3">
        <v>2007000000</v>
      </c>
      <c r="E39" s="3">
        <v>1521638742</v>
      </c>
      <c r="F39" s="3">
        <v>4548688350</v>
      </c>
      <c r="G39" s="3">
        <v>279479600</v>
      </c>
      <c r="H39" s="3">
        <v>22049862</v>
      </c>
      <c r="I39" s="3">
        <v>0</v>
      </c>
      <c r="J39" s="3">
        <v>9126250</v>
      </c>
      <c r="K39" s="3">
        <v>135991750</v>
      </c>
      <c r="L39" s="3">
        <f t="shared" si="0"/>
        <v>8532908515</v>
      </c>
      <c r="M39" s="1">
        <v>-1441904461</v>
      </c>
      <c r="N39" s="1">
        <v>-1962962892</v>
      </c>
      <c r="O39" s="1">
        <v>-195635720</v>
      </c>
      <c r="P39" s="1">
        <v>0</v>
      </c>
      <c r="Q39" s="1">
        <v>-114247750</v>
      </c>
      <c r="R39" s="1">
        <f t="shared" si="1"/>
        <v>4818157692</v>
      </c>
    </row>
    <row r="40" spans="1:18">
      <c r="A40" t="s">
        <v>47</v>
      </c>
      <c r="C40" s="3">
        <v>2497500</v>
      </c>
      <c r="D40" s="3">
        <v>4864550000</v>
      </c>
      <c r="E40" s="3">
        <v>3607243299</v>
      </c>
      <c r="F40" s="3">
        <v>5264610826</v>
      </c>
      <c r="G40" s="3">
        <v>25000000</v>
      </c>
      <c r="H40" s="3">
        <v>28073562</v>
      </c>
      <c r="I40" s="3">
        <v>0</v>
      </c>
      <c r="J40" s="3">
        <v>6500000</v>
      </c>
      <c r="K40" s="3">
        <v>29400000</v>
      </c>
      <c r="L40" s="3">
        <f t="shared" si="0"/>
        <v>13827875187</v>
      </c>
      <c r="M40" s="1">
        <v>-3365212552</v>
      </c>
      <c r="N40" s="1">
        <v>-1141516688</v>
      </c>
      <c r="O40" s="1">
        <v>-4375000</v>
      </c>
      <c r="P40" s="1">
        <v>0</v>
      </c>
      <c r="Q40" s="1">
        <v>-29400000</v>
      </c>
      <c r="R40" s="1">
        <f t="shared" si="1"/>
        <v>9287370947</v>
      </c>
    </row>
    <row r="41" spans="1:18">
      <c r="A41" t="s">
        <v>48</v>
      </c>
      <c r="C41" s="3">
        <v>0</v>
      </c>
      <c r="D41" s="3">
        <v>3231800000</v>
      </c>
      <c r="E41" s="3">
        <v>2991452231</v>
      </c>
      <c r="F41" s="3">
        <v>7730613923</v>
      </c>
      <c r="G41" s="3">
        <v>0</v>
      </c>
      <c r="H41" s="3">
        <v>15858000</v>
      </c>
      <c r="I41" s="3">
        <v>0</v>
      </c>
      <c r="J41" s="3">
        <v>39600000</v>
      </c>
      <c r="K41" s="3">
        <v>0</v>
      </c>
      <c r="L41" s="3">
        <f t="shared" si="0"/>
        <v>14009324154</v>
      </c>
      <c r="M41" s="1">
        <v>-2647660525</v>
      </c>
      <c r="N41" s="1">
        <v>-1300964286</v>
      </c>
      <c r="O41" s="1">
        <v>0</v>
      </c>
      <c r="P41" s="1">
        <v>0</v>
      </c>
      <c r="Q41" s="1">
        <v>0</v>
      </c>
      <c r="R41" s="1">
        <f t="shared" si="1"/>
        <v>10060699343</v>
      </c>
    </row>
    <row r="42" spans="1:18">
      <c r="A42" t="s">
        <v>49</v>
      </c>
      <c r="C42" s="3">
        <v>0</v>
      </c>
      <c r="D42" s="3">
        <v>2696305000</v>
      </c>
      <c r="E42" s="3">
        <v>1389008042</v>
      </c>
      <c r="F42" s="3">
        <v>1174707500</v>
      </c>
      <c r="G42" s="3">
        <v>1100000</v>
      </c>
      <c r="H42" s="3">
        <v>8975928</v>
      </c>
      <c r="I42" s="3">
        <v>0</v>
      </c>
      <c r="J42" s="3">
        <v>67905000</v>
      </c>
      <c r="K42" s="3">
        <v>27275000</v>
      </c>
      <c r="L42" s="3">
        <f t="shared" si="0"/>
        <v>5365276470</v>
      </c>
      <c r="M42" s="1">
        <v>-1252042855</v>
      </c>
      <c r="N42" s="1">
        <v>-322270684</v>
      </c>
      <c r="O42" s="1">
        <v>-880000</v>
      </c>
      <c r="P42" s="1">
        <v>0</v>
      </c>
      <c r="Q42" s="1">
        <v>-27275000</v>
      </c>
      <c r="R42" s="1">
        <f t="shared" si="1"/>
        <v>3762807931</v>
      </c>
    </row>
    <row r="43" spans="1:18">
      <c r="A43" t="s">
        <v>50</v>
      </c>
      <c r="C43" s="3">
        <v>1678550</v>
      </c>
      <c r="D43" s="3">
        <v>3116911200</v>
      </c>
      <c r="E43" s="3">
        <v>2807545369</v>
      </c>
      <c r="F43" s="3">
        <v>10964997925</v>
      </c>
      <c r="G43" s="3">
        <v>0</v>
      </c>
      <c r="H43" s="3">
        <v>0</v>
      </c>
      <c r="I43" s="3">
        <v>0</v>
      </c>
      <c r="J43" s="3">
        <v>69300000</v>
      </c>
      <c r="K43" s="3">
        <v>129280300</v>
      </c>
      <c r="L43" s="3">
        <f t="shared" si="0"/>
        <v>17089713344</v>
      </c>
      <c r="M43" s="1">
        <v>-1705802563</v>
      </c>
      <c r="N43" s="1">
        <v>-271453980</v>
      </c>
      <c r="O43" s="1">
        <v>0</v>
      </c>
      <c r="P43" s="1">
        <v>0</v>
      </c>
      <c r="Q43" s="1">
        <v>-129280300</v>
      </c>
      <c r="R43" s="1">
        <f t="shared" si="1"/>
        <v>14983176501</v>
      </c>
    </row>
    <row r="44" spans="1:18">
      <c r="A44" t="s">
        <v>51</v>
      </c>
      <c r="C44" s="3">
        <v>13568156</v>
      </c>
      <c r="D44" s="3">
        <v>675834000</v>
      </c>
      <c r="E44" s="3">
        <v>2066231021</v>
      </c>
      <c r="F44" s="3">
        <v>6873834410</v>
      </c>
      <c r="G44" s="3">
        <v>6400000</v>
      </c>
      <c r="H44" s="3">
        <v>9876830</v>
      </c>
      <c r="I44" s="3">
        <v>0</v>
      </c>
      <c r="J44" s="3">
        <v>70800000</v>
      </c>
      <c r="K44" s="3">
        <v>97017750</v>
      </c>
      <c r="L44" s="3">
        <f t="shared" si="0"/>
        <v>9813562167</v>
      </c>
      <c r="M44" s="1">
        <v>-1831401868</v>
      </c>
      <c r="N44" s="1">
        <v>-1658467301</v>
      </c>
      <c r="O44" s="1">
        <v>-2488331</v>
      </c>
      <c r="P44" s="1">
        <v>0</v>
      </c>
      <c r="Q44" s="1">
        <v>-95967375</v>
      </c>
      <c r="R44" s="1">
        <f t="shared" si="1"/>
        <v>6225237292</v>
      </c>
    </row>
    <row r="45" spans="1:18">
      <c r="A45" t="s">
        <v>52</v>
      </c>
      <c r="C45" s="3">
        <v>151000</v>
      </c>
      <c r="D45" s="3">
        <v>273262000</v>
      </c>
      <c r="E45" s="3">
        <v>2482855884</v>
      </c>
      <c r="F45" s="3">
        <v>8315442770</v>
      </c>
      <c r="G45" s="3">
        <v>0</v>
      </c>
      <c r="H45" s="3">
        <v>59508351</v>
      </c>
      <c r="I45" s="3">
        <v>0</v>
      </c>
      <c r="J45" s="3">
        <v>7000000</v>
      </c>
      <c r="K45" s="3">
        <v>36418250</v>
      </c>
      <c r="L45" s="3">
        <f t="shared" si="0"/>
        <v>11174638255</v>
      </c>
      <c r="M45" s="1">
        <v>-2106316258</v>
      </c>
      <c r="N45" s="1">
        <v>-1106442091</v>
      </c>
      <c r="O45" s="1">
        <v>0</v>
      </c>
      <c r="P45" s="1">
        <v>0</v>
      </c>
      <c r="Q45" s="1">
        <v>-36418250</v>
      </c>
      <c r="R45" s="1">
        <f t="shared" si="1"/>
        <v>7925461656</v>
      </c>
    </row>
    <row r="46" spans="1:18">
      <c r="A46" t="s">
        <v>53</v>
      </c>
      <c r="C46" s="3">
        <v>7744900</v>
      </c>
      <c r="D46" s="3">
        <v>2582010000</v>
      </c>
      <c r="E46" s="3">
        <v>2201160573</v>
      </c>
      <c r="F46" s="3">
        <v>9592303988</v>
      </c>
      <c r="G46" s="3">
        <v>0</v>
      </c>
      <c r="H46" s="3">
        <v>408000</v>
      </c>
      <c r="I46" s="3">
        <v>0</v>
      </c>
      <c r="J46" s="3">
        <v>50400000</v>
      </c>
      <c r="K46" s="3">
        <v>14762532</v>
      </c>
      <c r="L46" s="3">
        <f t="shared" si="0"/>
        <v>14448789993</v>
      </c>
      <c r="M46" s="1">
        <v>-1076165921</v>
      </c>
      <c r="N46" s="1">
        <v>-236093006</v>
      </c>
      <c r="O46" s="1">
        <v>0</v>
      </c>
      <c r="P46" s="1">
        <v>0</v>
      </c>
      <c r="Q46" s="1">
        <v>-14762532</v>
      </c>
      <c r="R46" s="1">
        <f t="shared" si="1"/>
        <v>13121768534</v>
      </c>
    </row>
    <row r="47" spans="1:18">
      <c r="A47" t="s">
        <v>54</v>
      </c>
      <c r="C47" s="3">
        <v>1040000</v>
      </c>
      <c r="D47" s="3">
        <v>4436828000</v>
      </c>
      <c r="E47" s="3">
        <v>2265138771</v>
      </c>
      <c r="F47" s="3">
        <v>7372375975</v>
      </c>
      <c r="G47" s="3">
        <v>0</v>
      </c>
      <c r="H47" s="3">
        <v>408000</v>
      </c>
      <c r="I47" s="3">
        <v>0</v>
      </c>
      <c r="J47" s="3">
        <v>67000000</v>
      </c>
      <c r="K47" s="3">
        <v>305490166</v>
      </c>
      <c r="L47" s="3">
        <f t="shared" si="0"/>
        <v>14448280912</v>
      </c>
      <c r="M47" s="1">
        <v>-1824404386</v>
      </c>
      <c r="N47" s="1">
        <v>-963150450</v>
      </c>
      <c r="O47" s="1">
        <v>0</v>
      </c>
      <c r="P47" s="1">
        <v>0</v>
      </c>
      <c r="Q47" s="1">
        <v>-291123186</v>
      </c>
      <c r="R47" s="1">
        <f t="shared" si="1"/>
        <v>11369602890</v>
      </c>
    </row>
    <row r="48" spans="1:18">
      <c r="A48" t="s">
        <v>55</v>
      </c>
      <c r="C48" s="3">
        <v>3864450</v>
      </c>
      <c r="D48" s="3">
        <v>5379236434</v>
      </c>
      <c r="E48" s="3">
        <v>1060860135</v>
      </c>
      <c r="F48" s="3">
        <v>735372900</v>
      </c>
      <c r="G48" s="3">
        <v>0</v>
      </c>
      <c r="H48" s="3">
        <v>408000</v>
      </c>
      <c r="I48" s="3">
        <v>0</v>
      </c>
      <c r="J48" s="3">
        <v>72955000</v>
      </c>
      <c r="K48" s="3">
        <v>88296875</v>
      </c>
      <c r="L48" s="3">
        <f t="shared" si="0"/>
        <v>7340993794</v>
      </c>
      <c r="M48" s="1">
        <v>-822731313</v>
      </c>
      <c r="N48" s="1">
        <v>-282516560</v>
      </c>
      <c r="O48" s="1">
        <v>0</v>
      </c>
      <c r="P48" s="1">
        <v>0</v>
      </c>
      <c r="Q48" s="1">
        <v>-88296875</v>
      </c>
      <c r="R48" s="1">
        <f t="shared" si="1"/>
        <v>6147449046</v>
      </c>
    </row>
    <row r="49" spans="1:18">
      <c r="A49" t="s">
        <v>56</v>
      </c>
      <c r="C49" s="3">
        <v>0</v>
      </c>
      <c r="D49" s="3">
        <v>4061296300</v>
      </c>
      <c r="E49" s="3">
        <v>1707486992</v>
      </c>
      <c r="F49" s="3">
        <v>7074577950</v>
      </c>
      <c r="G49" s="3">
        <v>0</v>
      </c>
      <c r="H49" s="3">
        <v>408000</v>
      </c>
      <c r="I49" s="3">
        <v>0</v>
      </c>
      <c r="J49" s="3">
        <v>76500000</v>
      </c>
      <c r="K49" s="3">
        <v>0</v>
      </c>
      <c r="L49" s="3">
        <f t="shared" si="0"/>
        <v>12920269242</v>
      </c>
      <c r="M49" s="1">
        <v>-1567292709</v>
      </c>
      <c r="N49" s="1">
        <v>-960520900</v>
      </c>
      <c r="O49" s="1">
        <v>0</v>
      </c>
      <c r="P49" s="1">
        <v>0</v>
      </c>
      <c r="Q49" s="1">
        <v>0</v>
      </c>
      <c r="R49" s="1">
        <f t="shared" si="1"/>
        <v>10392455633</v>
      </c>
    </row>
    <row r="50" spans="1:18">
      <c r="A50" t="s">
        <v>57</v>
      </c>
      <c r="C50" s="3">
        <v>1971249</v>
      </c>
      <c r="D50" s="3">
        <v>6595052000</v>
      </c>
      <c r="E50" s="3">
        <v>2220993285</v>
      </c>
      <c r="F50" s="3">
        <v>9491474556</v>
      </c>
      <c r="G50" s="3">
        <v>0</v>
      </c>
      <c r="H50" s="3">
        <v>9369000</v>
      </c>
      <c r="I50" s="3">
        <v>0</v>
      </c>
      <c r="J50" s="3">
        <v>48350000</v>
      </c>
      <c r="K50" s="3">
        <v>14993000</v>
      </c>
      <c r="L50" s="3">
        <f t="shared" si="0"/>
        <v>18382203090</v>
      </c>
      <c r="M50" s="1">
        <v>-1043965650</v>
      </c>
      <c r="N50" s="1">
        <v>-138409279</v>
      </c>
      <c r="O50" s="1">
        <v>0</v>
      </c>
      <c r="P50" s="1">
        <v>0</v>
      </c>
      <c r="Q50" s="1">
        <v>-14993000</v>
      </c>
      <c r="R50" s="1">
        <f t="shared" si="1"/>
        <v>17184835161</v>
      </c>
    </row>
    <row r="51" spans="1:18">
      <c r="A51" t="s">
        <v>58</v>
      </c>
      <c r="C51" s="3">
        <v>4632693</v>
      </c>
      <c r="D51" s="3">
        <v>2278040000</v>
      </c>
      <c r="E51" s="3">
        <v>2917467946</v>
      </c>
      <c r="F51" s="3">
        <v>9974739580</v>
      </c>
      <c r="G51" s="3">
        <v>0</v>
      </c>
      <c r="H51" s="3">
        <v>7716000</v>
      </c>
      <c r="I51" s="3">
        <v>0</v>
      </c>
      <c r="J51" s="3">
        <v>0</v>
      </c>
      <c r="K51" s="3">
        <v>2813000</v>
      </c>
      <c r="L51" s="3">
        <f t="shared" si="0"/>
        <v>15185409219</v>
      </c>
      <c r="M51" s="1">
        <v>-1573819335</v>
      </c>
      <c r="N51" s="1">
        <v>-669856719</v>
      </c>
      <c r="O51" s="1">
        <v>0</v>
      </c>
      <c r="P51" s="1">
        <v>0</v>
      </c>
      <c r="Q51" s="1">
        <v>-2813000</v>
      </c>
      <c r="R51" s="1">
        <f t="shared" si="1"/>
        <v>12938920165</v>
      </c>
    </row>
    <row r="52" spans="1:18">
      <c r="A52" t="s">
        <v>59</v>
      </c>
      <c r="C52" s="3">
        <v>691000</v>
      </c>
      <c r="D52" s="3">
        <v>2783170000</v>
      </c>
      <c r="E52" s="3">
        <v>1207539493</v>
      </c>
      <c r="F52" s="3">
        <v>1446756300</v>
      </c>
      <c r="G52" s="3">
        <v>15000000</v>
      </c>
      <c r="H52" s="3">
        <v>71014000</v>
      </c>
      <c r="I52" s="3">
        <v>5437049900</v>
      </c>
      <c r="J52" s="3">
        <v>46800000</v>
      </c>
      <c r="K52" s="3">
        <v>218754100</v>
      </c>
      <c r="L52" s="3">
        <f t="shared" si="0"/>
        <v>11226774793</v>
      </c>
      <c r="M52" s="1">
        <v>-971341112</v>
      </c>
      <c r="N52" s="1">
        <v>-180844537</v>
      </c>
      <c r="O52" s="1">
        <v>-1500000</v>
      </c>
      <c r="P52" s="1">
        <v>0</v>
      </c>
      <c r="Q52" s="1">
        <v>-216980100</v>
      </c>
      <c r="R52" s="1">
        <f t="shared" si="1"/>
        <v>9856109044</v>
      </c>
    </row>
    <row r="53" spans="1:18">
      <c r="A53" t="s">
        <v>60</v>
      </c>
      <c r="C53" s="3">
        <v>2281000</v>
      </c>
      <c r="D53" s="3">
        <v>2743200000</v>
      </c>
      <c r="E53" s="3">
        <v>1165419235</v>
      </c>
      <c r="F53" s="3">
        <v>1104525487</v>
      </c>
      <c r="G53" s="3">
        <v>10995000</v>
      </c>
      <c r="H53" s="3">
        <v>4591400</v>
      </c>
      <c r="I53" s="3">
        <v>0</v>
      </c>
      <c r="J53" s="3">
        <v>46972000</v>
      </c>
      <c r="K53" s="3">
        <v>0</v>
      </c>
      <c r="L53" s="3">
        <f t="shared" si="0"/>
        <v>5077984122</v>
      </c>
      <c r="M53" s="1">
        <v>-902759718</v>
      </c>
      <c r="N53" s="1">
        <v>-355237902</v>
      </c>
      <c r="O53" s="1">
        <v>-1786688</v>
      </c>
      <c r="P53" s="1">
        <v>0</v>
      </c>
      <c r="Q53" s="1">
        <v>0</v>
      </c>
      <c r="R53" s="1">
        <f t="shared" si="1"/>
        <v>3818199814</v>
      </c>
    </row>
    <row r="54" spans="1:18">
      <c r="A54" t="s">
        <v>61</v>
      </c>
      <c r="C54" s="3">
        <v>5856600</v>
      </c>
      <c r="D54" s="3">
        <v>7051300000</v>
      </c>
      <c r="E54" s="3">
        <v>2006009543</v>
      </c>
      <c r="F54" s="3">
        <v>7702793800</v>
      </c>
      <c r="G54" s="3">
        <v>8698200</v>
      </c>
      <c r="H54" s="3">
        <v>468000</v>
      </c>
      <c r="I54" s="3">
        <v>0</v>
      </c>
      <c r="J54" s="3">
        <v>19690000</v>
      </c>
      <c r="K54" s="3">
        <v>34248000</v>
      </c>
      <c r="L54" s="3">
        <f t="shared" si="0"/>
        <v>16829064143</v>
      </c>
      <c r="M54" s="1">
        <v>-1492516487</v>
      </c>
      <c r="N54" s="1">
        <v>-458755288</v>
      </c>
      <c r="O54" s="1">
        <v>-1304730</v>
      </c>
      <c r="P54" s="1">
        <v>0</v>
      </c>
      <c r="Q54" s="1">
        <v>-34248000</v>
      </c>
      <c r="R54" s="1">
        <f t="shared" si="1"/>
        <v>14842239638</v>
      </c>
    </row>
    <row r="55" spans="1:18">
      <c r="A55" t="s">
        <v>62</v>
      </c>
      <c r="C55" s="3">
        <v>14416637</v>
      </c>
      <c r="D55" s="3">
        <v>266400000</v>
      </c>
      <c r="E55" s="3">
        <v>2208529985</v>
      </c>
      <c r="F55" s="3">
        <v>6580049307</v>
      </c>
      <c r="G55" s="3">
        <v>0</v>
      </c>
      <c r="H55" s="3">
        <v>0</v>
      </c>
      <c r="I55" s="3">
        <v>0</v>
      </c>
      <c r="J55" s="3">
        <v>49280000</v>
      </c>
      <c r="K55" s="3">
        <v>179863869</v>
      </c>
      <c r="L55" s="3">
        <f t="shared" si="0"/>
        <v>9298539798</v>
      </c>
      <c r="M55" s="1">
        <v>-2123948989</v>
      </c>
      <c r="N55" s="1">
        <v>-1052807889</v>
      </c>
      <c r="O55" s="1">
        <v>0</v>
      </c>
      <c r="P55" s="1">
        <v>0</v>
      </c>
      <c r="Q55" s="1">
        <v>-179455869</v>
      </c>
      <c r="R55" s="1">
        <f t="shared" si="1"/>
        <v>5942327051</v>
      </c>
    </row>
    <row r="56" spans="1:18">
      <c r="A56" t="s">
        <v>63</v>
      </c>
      <c r="C56" s="3">
        <v>1498200</v>
      </c>
      <c r="D56" s="3">
        <v>1392450000</v>
      </c>
      <c r="E56" s="3">
        <v>2139696857</v>
      </c>
      <c r="F56" s="3">
        <v>10058860517</v>
      </c>
      <c r="G56" s="3">
        <v>39600000</v>
      </c>
      <c r="H56" s="3">
        <v>14223498</v>
      </c>
      <c r="I56" s="3">
        <v>0</v>
      </c>
      <c r="J56" s="3">
        <v>69500000</v>
      </c>
      <c r="K56" s="3">
        <v>3336500</v>
      </c>
      <c r="L56" s="3">
        <f t="shared" si="0"/>
        <v>13719165572</v>
      </c>
      <c r="M56" s="1">
        <v>-839575990</v>
      </c>
      <c r="N56" s="1">
        <v>-257434233</v>
      </c>
      <c r="O56" s="1">
        <v>-495000</v>
      </c>
      <c r="P56" s="1">
        <v>0</v>
      </c>
      <c r="Q56" s="1">
        <v>-3336500</v>
      </c>
      <c r="R56" s="1">
        <f t="shared" si="1"/>
        <v>12618323849</v>
      </c>
    </row>
    <row r="57" spans="1:18">
      <c r="A57" t="s">
        <v>64</v>
      </c>
      <c r="C57" s="3">
        <v>1046270</v>
      </c>
      <c r="D57" s="3">
        <v>1738858000</v>
      </c>
      <c r="E57" s="3">
        <v>2028721868</v>
      </c>
      <c r="F57" s="3">
        <v>9367678260</v>
      </c>
      <c r="G57" s="3">
        <v>0</v>
      </c>
      <c r="H57" s="3">
        <v>7880000</v>
      </c>
      <c r="I57" s="3">
        <v>0</v>
      </c>
      <c r="J57" s="3">
        <v>46580000</v>
      </c>
      <c r="K57" s="3">
        <v>15207000</v>
      </c>
      <c r="L57" s="3">
        <f t="shared" si="0"/>
        <v>13205971398</v>
      </c>
      <c r="M57" s="1">
        <v>-1201319291</v>
      </c>
      <c r="N57" s="1">
        <v>-93676783</v>
      </c>
      <c r="O57" s="1">
        <v>0</v>
      </c>
      <c r="P57" s="1">
        <v>0</v>
      </c>
      <c r="Q57" s="1">
        <v>-15207000</v>
      </c>
      <c r="R57" s="1">
        <f t="shared" si="1"/>
        <v>11895768324</v>
      </c>
    </row>
    <row r="58" spans="1:18">
      <c r="A58" t="s">
        <v>65</v>
      </c>
      <c r="C58" s="3">
        <v>4677000</v>
      </c>
      <c r="D58" s="3">
        <v>990000000</v>
      </c>
      <c r="E58" s="3">
        <v>2843693826</v>
      </c>
      <c r="F58" s="3">
        <v>7166893676</v>
      </c>
      <c r="G58" s="3">
        <v>630168999</v>
      </c>
      <c r="H58" s="3">
        <v>408000</v>
      </c>
      <c r="I58" s="3">
        <v>0</v>
      </c>
      <c r="J58" s="3">
        <v>39555000</v>
      </c>
      <c r="K58" s="3">
        <v>17827000</v>
      </c>
      <c r="L58" s="3">
        <f t="shared" si="0"/>
        <v>11693223501</v>
      </c>
      <c r="M58" s="1">
        <v>-2257611247</v>
      </c>
      <c r="N58" s="1">
        <v>-490098182</v>
      </c>
      <c r="O58" s="1">
        <v>-63855435</v>
      </c>
      <c r="P58" s="1">
        <v>0</v>
      </c>
      <c r="Q58" s="1">
        <v>-17827000</v>
      </c>
      <c r="R58" s="1">
        <f t="shared" si="1"/>
        <v>8863831637</v>
      </c>
    </row>
    <row r="59" spans="1:18">
      <c r="A59" t="s">
        <v>66</v>
      </c>
      <c r="C59" s="3">
        <v>10774000</v>
      </c>
      <c r="D59" s="3">
        <v>1113521570</v>
      </c>
      <c r="E59" s="3">
        <v>1807294996</v>
      </c>
      <c r="F59" s="3">
        <v>8928988944</v>
      </c>
      <c r="G59" s="3">
        <v>0</v>
      </c>
      <c r="H59" s="3">
        <v>5710166</v>
      </c>
      <c r="I59" s="3">
        <v>0</v>
      </c>
      <c r="J59" s="3">
        <v>77900000</v>
      </c>
      <c r="K59" s="3">
        <v>64706000</v>
      </c>
      <c r="L59" s="3">
        <f t="shared" si="0"/>
        <v>12008895676</v>
      </c>
      <c r="M59" s="1">
        <v>-1469356274</v>
      </c>
      <c r="N59" s="1">
        <v>-669533113</v>
      </c>
      <c r="O59" s="1">
        <v>0</v>
      </c>
      <c r="P59" s="1">
        <v>0</v>
      </c>
      <c r="Q59" s="1">
        <v>-65746000</v>
      </c>
      <c r="R59" s="1">
        <f t="shared" si="1"/>
        <v>9804260289</v>
      </c>
    </row>
    <row r="60" spans="1:18">
      <c r="A60" t="s">
        <v>67</v>
      </c>
      <c r="C60" s="3">
        <v>17380700</v>
      </c>
      <c r="D60" s="3">
        <v>1200000000</v>
      </c>
      <c r="E60" s="3">
        <v>1811345631</v>
      </c>
      <c r="F60" s="3">
        <v>6129640825</v>
      </c>
      <c r="G60" s="3">
        <v>3162500</v>
      </c>
      <c r="H60" s="3">
        <v>5045440</v>
      </c>
      <c r="I60" s="3">
        <v>0</v>
      </c>
      <c r="J60" s="3">
        <v>90947000</v>
      </c>
      <c r="K60" s="3">
        <v>148117280</v>
      </c>
      <c r="L60" s="3">
        <f t="shared" si="0"/>
        <v>9405639376</v>
      </c>
      <c r="M60" s="1">
        <v>-1511786795</v>
      </c>
      <c r="N60" s="1">
        <v>-1226581165</v>
      </c>
      <c r="O60" s="1">
        <v>-1897500</v>
      </c>
      <c r="P60" s="1">
        <v>0</v>
      </c>
      <c r="Q60" s="1">
        <v>-135510380</v>
      </c>
      <c r="R60" s="1">
        <f t="shared" si="1"/>
        <v>6529863536</v>
      </c>
    </row>
    <row r="61" spans="1:18">
      <c r="A61" t="s">
        <v>68</v>
      </c>
      <c r="C61" s="3">
        <v>1365600</v>
      </c>
      <c r="D61" s="3">
        <v>16965000000</v>
      </c>
      <c r="E61" s="3">
        <v>2453483731</v>
      </c>
      <c r="F61" s="3">
        <v>10417060355</v>
      </c>
      <c r="G61" s="3">
        <v>0</v>
      </c>
      <c r="H61" s="3">
        <v>18283400</v>
      </c>
      <c r="I61" s="3">
        <v>0</v>
      </c>
      <c r="J61" s="3">
        <v>112180000</v>
      </c>
      <c r="K61" s="3">
        <v>0</v>
      </c>
      <c r="L61" s="3">
        <f t="shared" si="0"/>
        <v>29967373086</v>
      </c>
      <c r="M61" s="1">
        <v>-2065683483</v>
      </c>
      <c r="N61" s="1">
        <v>-4240536395</v>
      </c>
      <c r="O61" s="1">
        <v>0</v>
      </c>
      <c r="P61" s="1">
        <v>-8000000</v>
      </c>
      <c r="Q61" s="1">
        <v>0</v>
      </c>
      <c r="R61" s="1">
        <f t="shared" si="1"/>
        <v>23653153208</v>
      </c>
    </row>
    <row r="62" spans="1:18">
      <c r="A62" t="s">
        <v>69</v>
      </c>
      <c r="C62" s="3">
        <v>327000</v>
      </c>
      <c r="D62" s="3">
        <v>0</v>
      </c>
      <c r="E62" s="3">
        <v>2250657860</v>
      </c>
      <c r="F62" s="3">
        <v>6761234131</v>
      </c>
      <c r="G62" s="3">
        <v>64888000</v>
      </c>
      <c r="H62" s="3">
        <v>4288000</v>
      </c>
      <c r="I62" s="3">
        <v>0</v>
      </c>
      <c r="J62" s="3">
        <v>39750000</v>
      </c>
      <c r="K62" s="3">
        <v>107912237</v>
      </c>
      <c r="L62" s="3">
        <f t="shared" si="0"/>
        <v>9229057228</v>
      </c>
      <c r="M62" s="1">
        <v>-1430265178</v>
      </c>
      <c r="N62" s="1">
        <v>-324276341</v>
      </c>
      <c r="O62" s="1">
        <v>-64888000</v>
      </c>
      <c r="P62" s="1">
        <v>0</v>
      </c>
      <c r="Q62" s="1">
        <v>-107912237</v>
      </c>
      <c r="R62" s="1">
        <f t="shared" si="1"/>
        <v>7301715472</v>
      </c>
    </row>
    <row r="63" spans="1:18">
      <c r="A63" t="s">
        <v>70</v>
      </c>
      <c r="C63" s="3">
        <v>6012870</v>
      </c>
      <c r="D63" s="3">
        <v>9523572000</v>
      </c>
      <c r="E63" s="3">
        <v>2823207347</v>
      </c>
      <c r="F63" s="3">
        <v>7198572000</v>
      </c>
      <c r="G63" s="3">
        <v>582694800</v>
      </c>
      <c r="H63" s="3">
        <v>17254962</v>
      </c>
      <c r="I63" s="3">
        <v>0</v>
      </c>
      <c r="J63" s="3">
        <v>84470000</v>
      </c>
      <c r="K63" s="3">
        <v>110791777</v>
      </c>
      <c r="L63" s="3">
        <f t="shared" si="0"/>
        <v>20346575756</v>
      </c>
      <c r="M63" s="1">
        <v>-2248807980</v>
      </c>
      <c r="N63" s="1">
        <v>-1500313935</v>
      </c>
      <c r="O63" s="1">
        <v>-393629383</v>
      </c>
      <c r="P63" s="1">
        <v>0</v>
      </c>
      <c r="Q63" s="1">
        <v>-110756777</v>
      </c>
      <c r="R63" s="1">
        <f t="shared" si="1"/>
        <v>16093067681</v>
      </c>
    </row>
    <row r="64" spans="1:18">
      <c r="A64" t="s">
        <v>71</v>
      </c>
      <c r="C64" s="3">
        <v>1577500</v>
      </c>
      <c r="D64" s="3">
        <v>0</v>
      </c>
      <c r="E64" s="3">
        <v>2205196019</v>
      </c>
      <c r="F64" s="3">
        <v>3342550000</v>
      </c>
      <c r="G64" s="3">
        <v>0</v>
      </c>
      <c r="H64" s="3">
        <v>408000</v>
      </c>
      <c r="I64" s="3">
        <v>0</v>
      </c>
      <c r="J64" s="3">
        <v>39600000</v>
      </c>
      <c r="K64" s="3">
        <v>30396022</v>
      </c>
      <c r="L64" s="3">
        <f t="shared" si="0"/>
        <v>5619727541</v>
      </c>
      <c r="M64" s="1">
        <v>-1844588374</v>
      </c>
      <c r="N64" s="1">
        <v>-540732420</v>
      </c>
      <c r="O64" s="1">
        <v>0</v>
      </c>
      <c r="P64" s="1">
        <v>0</v>
      </c>
      <c r="Q64" s="1">
        <v>-24036022</v>
      </c>
      <c r="R64" s="1">
        <f t="shared" si="1"/>
        <v>3210370725</v>
      </c>
    </row>
    <row r="65" spans="1:18">
      <c r="A65" t="s">
        <v>72</v>
      </c>
      <c r="C65" s="3">
        <v>1291515</v>
      </c>
      <c r="D65" s="3">
        <v>993820000</v>
      </c>
      <c r="E65" s="3">
        <v>1944993928</v>
      </c>
      <c r="F65" s="3">
        <v>4762728807</v>
      </c>
      <c r="G65" s="3">
        <v>0</v>
      </c>
      <c r="H65" s="3">
        <v>9142300</v>
      </c>
      <c r="I65" s="3">
        <v>0</v>
      </c>
      <c r="J65" s="3">
        <v>49700000</v>
      </c>
      <c r="K65" s="3">
        <v>0</v>
      </c>
      <c r="L65" s="3">
        <f t="shared" si="0"/>
        <v>7761676550</v>
      </c>
      <c r="M65" s="1">
        <v>-1640802391</v>
      </c>
      <c r="N65" s="1">
        <v>-699420485</v>
      </c>
      <c r="O65" s="1">
        <v>0</v>
      </c>
      <c r="P65" s="1">
        <v>0</v>
      </c>
      <c r="Q65" s="1">
        <v>0</v>
      </c>
      <c r="R65" s="1">
        <f t="shared" si="1"/>
        <v>5421453674</v>
      </c>
    </row>
    <row r="66" spans="1:18">
      <c r="A66" t="s">
        <v>73</v>
      </c>
      <c r="C66" s="3">
        <v>410000</v>
      </c>
      <c r="D66" s="3">
        <v>3200000000</v>
      </c>
      <c r="E66" s="3">
        <v>2849359956</v>
      </c>
      <c r="F66" s="3">
        <v>10072549000</v>
      </c>
      <c r="G66" s="3">
        <v>0</v>
      </c>
      <c r="H66" s="3">
        <v>3000000</v>
      </c>
      <c r="I66" s="3">
        <v>0</v>
      </c>
      <c r="J66" s="3">
        <v>372776000</v>
      </c>
      <c r="K66" s="3">
        <v>0</v>
      </c>
      <c r="L66" s="3">
        <f t="shared" si="0"/>
        <v>16498094956</v>
      </c>
      <c r="M66" s="1">
        <v>-2092912287</v>
      </c>
      <c r="N66" s="1">
        <v>-901250220</v>
      </c>
      <c r="O66" s="1">
        <v>0</v>
      </c>
      <c r="P66" s="1">
        <v>0</v>
      </c>
      <c r="Q66" s="1">
        <v>0</v>
      </c>
      <c r="R66" s="1">
        <f t="shared" si="1"/>
        <v>13503932449</v>
      </c>
    </row>
    <row r="67" spans="1:18">
      <c r="A67" s="20" t="s">
        <v>74</v>
      </c>
      <c r="B67" s="20"/>
      <c r="C67" s="3">
        <v>1525000</v>
      </c>
      <c r="D67" s="3">
        <v>1951500000</v>
      </c>
      <c r="E67" s="3">
        <v>975087300</v>
      </c>
      <c r="F67" s="3">
        <v>0</v>
      </c>
      <c r="G67" s="3">
        <v>0</v>
      </c>
      <c r="H67" s="3">
        <v>54053168</v>
      </c>
      <c r="I67" s="3">
        <v>6481880000</v>
      </c>
      <c r="J67" s="3">
        <v>0</v>
      </c>
      <c r="K67" s="3">
        <v>12498000</v>
      </c>
      <c r="L67" s="3">
        <f t="shared" ref="L67:L130" si="2">SUM(C67:K67)</f>
        <v>9476543468</v>
      </c>
      <c r="M67" s="1">
        <v>-707803370</v>
      </c>
      <c r="N67" s="1">
        <v>0</v>
      </c>
      <c r="O67" s="1">
        <v>0</v>
      </c>
      <c r="P67" s="1">
        <v>0</v>
      </c>
      <c r="Q67" s="1">
        <v>-12498000</v>
      </c>
      <c r="R67" s="1">
        <f t="shared" ref="R67:R130" si="3">SUM(L67:Q67)</f>
        <v>8756242098</v>
      </c>
    </row>
    <row r="68" spans="1:18">
      <c r="A68" s="20" t="s">
        <v>75</v>
      </c>
      <c r="B68" s="20"/>
      <c r="C68" s="3">
        <v>10191287</v>
      </c>
      <c r="D68" s="3">
        <v>2589303000</v>
      </c>
      <c r="E68" s="3">
        <v>764272808</v>
      </c>
      <c r="F68" s="3">
        <v>0</v>
      </c>
      <c r="G68" s="3">
        <v>0</v>
      </c>
      <c r="H68" s="3">
        <v>0</v>
      </c>
      <c r="I68" s="3">
        <v>4899993000</v>
      </c>
      <c r="J68" s="3">
        <v>19195000</v>
      </c>
      <c r="K68" s="3">
        <v>13991500</v>
      </c>
      <c r="L68" s="3">
        <f t="shared" si="2"/>
        <v>8296946595</v>
      </c>
      <c r="M68" s="1">
        <v>-554496355</v>
      </c>
      <c r="N68" s="1">
        <v>0</v>
      </c>
      <c r="O68" s="1">
        <v>0</v>
      </c>
      <c r="P68" s="1">
        <v>0</v>
      </c>
      <c r="Q68" s="1">
        <v>-13654900</v>
      </c>
      <c r="R68" s="1">
        <f t="shared" si="3"/>
        <v>7728795340</v>
      </c>
    </row>
    <row r="69" spans="1:18">
      <c r="A69" t="s">
        <v>76</v>
      </c>
      <c r="C69" s="3">
        <v>15022650</v>
      </c>
      <c r="D69" s="3">
        <v>34145201000</v>
      </c>
      <c r="E69" s="3">
        <v>5654794845</v>
      </c>
      <c r="F69" s="3">
        <v>12136629145</v>
      </c>
      <c r="G69" s="3">
        <v>391215600</v>
      </c>
      <c r="H69" s="3">
        <v>82766742</v>
      </c>
      <c r="I69" s="3">
        <v>0</v>
      </c>
      <c r="J69" s="3">
        <v>131300000</v>
      </c>
      <c r="K69" s="3">
        <v>2600000</v>
      </c>
      <c r="L69" s="3">
        <f t="shared" si="2"/>
        <v>52559529982</v>
      </c>
      <c r="M69" s="1">
        <v>-4516925114</v>
      </c>
      <c r="N69" s="1">
        <v>-3619147710</v>
      </c>
      <c r="O69" s="1">
        <v>-261192590</v>
      </c>
      <c r="P69" s="1">
        <v>0</v>
      </c>
      <c r="Q69" s="1">
        <v>-2600000</v>
      </c>
      <c r="R69" s="1">
        <f t="shared" si="3"/>
        <v>44159664568</v>
      </c>
    </row>
    <row r="70" spans="1:18">
      <c r="A70" t="s">
        <v>77</v>
      </c>
      <c r="C70" s="3">
        <v>1657500</v>
      </c>
      <c r="D70" s="3">
        <v>25666300000</v>
      </c>
      <c r="E70" s="3">
        <v>6769744170</v>
      </c>
      <c r="F70" s="3">
        <v>10846588660</v>
      </c>
      <c r="G70" s="3">
        <v>0</v>
      </c>
      <c r="H70" s="3">
        <v>9183742</v>
      </c>
      <c r="I70" s="3">
        <v>0</v>
      </c>
      <c r="J70" s="3">
        <v>0</v>
      </c>
      <c r="K70" s="3">
        <v>12448400</v>
      </c>
      <c r="L70" s="3">
        <f t="shared" si="2"/>
        <v>43305922472</v>
      </c>
      <c r="M70" s="1">
        <v>-6153481280</v>
      </c>
      <c r="N70" s="1">
        <v>-2040402416</v>
      </c>
      <c r="O70" s="1">
        <v>0</v>
      </c>
      <c r="P70" s="1">
        <v>0</v>
      </c>
      <c r="Q70" s="1">
        <v>-12448400</v>
      </c>
      <c r="R70" s="1">
        <f t="shared" si="3"/>
        <v>35099590376</v>
      </c>
    </row>
    <row r="71" spans="1:18">
      <c r="A71" t="s">
        <v>78</v>
      </c>
      <c r="C71" s="3">
        <v>5916250</v>
      </c>
      <c r="D71" s="3">
        <v>15415990000</v>
      </c>
      <c r="E71" s="3">
        <v>2316789523</v>
      </c>
      <c r="F71" s="3">
        <v>7273879459</v>
      </c>
      <c r="G71" s="3">
        <v>96460000</v>
      </c>
      <c r="H71" s="3">
        <v>114709781</v>
      </c>
      <c r="I71" s="3">
        <v>0</v>
      </c>
      <c r="J71" s="3">
        <v>49225000</v>
      </c>
      <c r="K71" s="3">
        <v>173053821</v>
      </c>
      <c r="L71" s="3">
        <f t="shared" si="2"/>
        <v>25446023834</v>
      </c>
      <c r="M71" s="1">
        <v>-2089887123</v>
      </c>
      <c r="N71" s="1">
        <v>-6443558174</v>
      </c>
      <c r="O71" s="1">
        <v>-96460000</v>
      </c>
      <c r="P71" s="1">
        <v>0</v>
      </c>
      <c r="Q71" s="1">
        <v>-143222447</v>
      </c>
      <c r="R71" s="1">
        <f t="shared" si="3"/>
        <v>16672896090</v>
      </c>
    </row>
    <row r="72" spans="1:18">
      <c r="A72" t="s">
        <v>79</v>
      </c>
      <c r="C72" s="3">
        <v>4820800</v>
      </c>
      <c r="D72" s="3">
        <v>13155200000</v>
      </c>
      <c r="E72" s="3">
        <v>1874011378</v>
      </c>
      <c r="F72" s="3">
        <v>4166579170</v>
      </c>
      <c r="G72" s="3">
        <v>71277000</v>
      </c>
      <c r="H72" s="3">
        <v>57172940</v>
      </c>
      <c r="I72" s="3">
        <v>0</v>
      </c>
      <c r="J72" s="3">
        <v>0</v>
      </c>
      <c r="K72" s="3">
        <v>77473150</v>
      </c>
      <c r="L72" s="3">
        <f t="shared" si="2"/>
        <v>19406534438</v>
      </c>
      <c r="M72" s="1">
        <v>-1699445880</v>
      </c>
      <c r="N72" s="1">
        <v>-857440445</v>
      </c>
      <c r="O72" s="1">
        <v>-67119000</v>
      </c>
      <c r="P72" s="1">
        <v>0</v>
      </c>
      <c r="Q72" s="1">
        <v>-43725062</v>
      </c>
      <c r="R72" s="1">
        <f t="shared" si="3"/>
        <v>16738804051</v>
      </c>
    </row>
    <row r="73" spans="1:18">
      <c r="A73" t="s">
        <v>80</v>
      </c>
      <c r="C73" s="3">
        <v>2379225</v>
      </c>
      <c r="D73" s="3">
        <v>6020950000</v>
      </c>
      <c r="E73" s="3">
        <v>1913714992</v>
      </c>
      <c r="F73" s="3">
        <v>6098470923</v>
      </c>
      <c r="G73" s="3">
        <v>0</v>
      </c>
      <c r="H73" s="3">
        <v>39532090</v>
      </c>
      <c r="I73" s="3">
        <v>0</v>
      </c>
      <c r="J73" s="3">
        <v>0</v>
      </c>
      <c r="K73" s="3">
        <v>0</v>
      </c>
      <c r="L73" s="3">
        <f t="shared" si="2"/>
        <v>14075047230</v>
      </c>
      <c r="M73" s="1">
        <v>-1793358235</v>
      </c>
      <c r="N73" s="1">
        <v>-1304405341</v>
      </c>
      <c r="O73" s="1">
        <v>0</v>
      </c>
      <c r="P73" s="1">
        <v>0</v>
      </c>
      <c r="Q73" s="1">
        <v>0</v>
      </c>
      <c r="R73" s="1">
        <f t="shared" si="3"/>
        <v>10977283654</v>
      </c>
    </row>
    <row r="74" spans="1:18">
      <c r="A74" t="s">
        <v>81</v>
      </c>
      <c r="C74" s="3">
        <v>291500</v>
      </c>
      <c r="D74" s="3">
        <v>9676042000</v>
      </c>
      <c r="E74" s="3">
        <v>1704237536</v>
      </c>
      <c r="F74" s="3">
        <v>5322216399</v>
      </c>
      <c r="G74" s="3">
        <v>205939900</v>
      </c>
      <c r="H74" s="3">
        <v>169791742</v>
      </c>
      <c r="I74" s="3">
        <v>0</v>
      </c>
      <c r="J74" s="3">
        <v>0</v>
      </c>
      <c r="K74" s="3">
        <v>49709514</v>
      </c>
      <c r="L74" s="3">
        <f t="shared" si="2"/>
        <v>17128228591</v>
      </c>
      <c r="M74" s="1">
        <v>-1352327799</v>
      </c>
      <c r="N74" s="1">
        <v>-574408231</v>
      </c>
      <c r="O74" s="1">
        <v>-46578899</v>
      </c>
      <c r="P74" s="1">
        <v>0</v>
      </c>
      <c r="Q74" s="1">
        <v>-48422953</v>
      </c>
      <c r="R74" s="1">
        <f t="shared" si="3"/>
        <v>15106490709</v>
      </c>
    </row>
    <row r="75" spans="1:18">
      <c r="A75" t="s">
        <v>82</v>
      </c>
      <c r="C75" s="3">
        <v>4127025</v>
      </c>
      <c r="D75" s="3">
        <v>6805650000</v>
      </c>
      <c r="E75" s="3">
        <v>2045103527</v>
      </c>
      <c r="F75" s="3">
        <v>5018430000</v>
      </c>
      <c r="G75" s="3">
        <v>86020000</v>
      </c>
      <c r="H75" s="3">
        <v>37059339</v>
      </c>
      <c r="I75" s="3">
        <v>0</v>
      </c>
      <c r="J75" s="3">
        <v>0</v>
      </c>
      <c r="K75" s="3">
        <v>0</v>
      </c>
      <c r="L75" s="3">
        <f t="shared" si="2"/>
        <v>13996389891</v>
      </c>
      <c r="M75" s="1">
        <v>-1707644977</v>
      </c>
      <c r="N75" s="1">
        <v>-1121511003</v>
      </c>
      <c r="O75" s="1">
        <v>-84770000</v>
      </c>
      <c r="P75" s="1">
        <v>0</v>
      </c>
      <c r="Q75" s="1">
        <v>0</v>
      </c>
      <c r="R75" s="1">
        <f t="shared" si="3"/>
        <v>11082463911</v>
      </c>
    </row>
    <row r="76" spans="1:18">
      <c r="A76" t="s">
        <v>83</v>
      </c>
      <c r="C76" s="3">
        <v>1084050</v>
      </c>
      <c r="D76" s="3">
        <v>7733546000</v>
      </c>
      <c r="E76" s="3">
        <v>1073832513</v>
      </c>
      <c r="F76" s="3">
        <v>2211739000</v>
      </c>
      <c r="G76" s="3">
        <v>58164000</v>
      </c>
      <c r="H76" s="3">
        <v>31382142</v>
      </c>
      <c r="I76" s="3">
        <v>0</v>
      </c>
      <c r="J76" s="3">
        <v>0</v>
      </c>
      <c r="K76" s="3">
        <v>90132000</v>
      </c>
      <c r="L76" s="3">
        <f t="shared" si="2"/>
        <v>11199879705</v>
      </c>
      <c r="M76" s="1">
        <v>-929140819</v>
      </c>
      <c r="N76" s="1">
        <v>-449989016</v>
      </c>
      <c r="O76" s="1">
        <v>-58164000</v>
      </c>
      <c r="P76" s="1">
        <v>0</v>
      </c>
      <c r="Q76" s="1">
        <v>-50889754</v>
      </c>
      <c r="R76" s="1">
        <f t="shared" si="3"/>
        <v>9711696116</v>
      </c>
    </row>
    <row r="77" spans="1:18">
      <c r="A77" t="s">
        <v>84</v>
      </c>
      <c r="C77" s="3">
        <v>2000000</v>
      </c>
      <c r="D77" s="3">
        <v>4275300000</v>
      </c>
      <c r="E77" s="3">
        <v>1797661251</v>
      </c>
      <c r="F77" s="3">
        <v>5480482300</v>
      </c>
      <c r="G77" s="3">
        <v>0</v>
      </c>
      <c r="H77" s="3">
        <v>4772120</v>
      </c>
      <c r="I77" s="3">
        <v>0</v>
      </c>
      <c r="J77" s="3">
        <v>0</v>
      </c>
      <c r="K77" s="3">
        <v>0</v>
      </c>
      <c r="L77" s="3">
        <f t="shared" si="2"/>
        <v>11560215671</v>
      </c>
      <c r="M77" s="1">
        <v>-1562157369</v>
      </c>
      <c r="N77" s="1">
        <v>-4976185454</v>
      </c>
      <c r="O77" s="1">
        <v>0</v>
      </c>
      <c r="P77" s="1">
        <v>0</v>
      </c>
      <c r="Q77" s="1">
        <v>0</v>
      </c>
      <c r="R77" s="1">
        <f t="shared" si="3"/>
        <v>5021872848</v>
      </c>
    </row>
    <row r="78" spans="1:18">
      <c r="A78" t="s">
        <v>85</v>
      </c>
      <c r="C78" s="3">
        <v>260600</v>
      </c>
      <c r="D78" s="3">
        <v>7547562400</v>
      </c>
      <c r="E78" s="3">
        <v>1795411904</v>
      </c>
      <c r="F78" s="3">
        <v>7187914440</v>
      </c>
      <c r="G78" s="3">
        <v>173080563</v>
      </c>
      <c r="H78" s="3">
        <v>13799879</v>
      </c>
      <c r="I78" s="3">
        <v>0</v>
      </c>
      <c r="J78" s="3">
        <v>0</v>
      </c>
      <c r="K78" s="3">
        <v>2332475</v>
      </c>
      <c r="L78" s="3">
        <f t="shared" si="2"/>
        <v>16720362261</v>
      </c>
      <c r="M78" s="1">
        <v>-1371607691</v>
      </c>
      <c r="N78" s="1">
        <v>-1143924004</v>
      </c>
      <c r="O78" s="1">
        <v>-141630563</v>
      </c>
      <c r="P78" s="1">
        <v>0</v>
      </c>
      <c r="Q78" s="1">
        <v>-2332475</v>
      </c>
      <c r="R78" s="1">
        <f t="shared" si="3"/>
        <v>14060867528</v>
      </c>
    </row>
    <row r="79" spans="1:18">
      <c r="A79" t="s">
        <v>86</v>
      </c>
      <c r="C79" s="3">
        <v>234000</v>
      </c>
      <c r="D79" s="3">
        <v>7142900000</v>
      </c>
      <c r="E79" s="3">
        <v>2099929214</v>
      </c>
      <c r="F79" s="3">
        <v>3596011850</v>
      </c>
      <c r="G79" s="3">
        <v>52110000</v>
      </c>
      <c r="H79" s="3">
        <v>99233740</v>
      </c>
      <c r="I79" s="3">
        <v>0</v>
      </c>
      <c r="J79" s="3">
        <v>0</v>
      </c>
      <c r="K79" s="3">
        <v>6470000</v>
      </c>
      <c r="L79" s="3">
        <f t="shared" si="2"/>
        <v>12996888804</v>
      </c>
      <c r="M79" s="1">
        <v>-1644216329</v>
      </c>
      <c r="N79" s="1">
        <v>-1166336484</v>
      </c>
      <c r="O79" s="1">
        <v>-18238500</v>
      </c>
      <c r="P79" s="1">
        <v>0</v>
      </c>
      <c r="Q79" s="1">
        <v>-6470000</v>
      </c>
      <c r="R79" s="1">
        <f t="shared" si="3"/>
        <v>10161627491</v>
      </c>
    </row>
    <row r="80" spans="1:18">
      <c r="A80" t="s">
        <v>87</v>
      </c>
      <c r="C80" s="3">
        <v>78000</v>
      </c>
      <c r="D80" s="3">
        <v>5482315000</v>
      </c>
      <c r="E80" s="3">
        <v>1909238998</v>
      </c>
      <c r="F80" s="3">
        <v>3116960850</v>
      </c>
      <c r="G80" s="3">
        <v>10500000</v>
      </c>
      <c r="H80" s="3">
        <v>26511662</v>
      </c>
      <c r="I80" s="3">
        <v>0</v>
      </c>
      <c r="J80" s="3">
        <v>34900000</v>
      </c>
      <c r="K80" s="3">
        <v>4996000</v>
      </c>
      <c r="L80" s="3">
        <f t="shared" si="2"/>
        <v>10585500510</v>
      </c>
      <c r="M80" s="1">
        <v>-1669067261</v>
      </c>
      <c r="N80" s="1">
        <v>-630041163</v>
      </c>
      <c r="O80" s="1">
        <v>-1050000</v>
      </c>
      <c r="P80" s="1">
        <v>0</v>
      </c>
      <c r="Q80" s="1">
        <v>-4996000</v>
      </c>
      <c r="R80" s="1">
        <f t="shared" si="3"/>
        <v>8280346086</v>
      </c>
    </row>
    <row r="81" spans="1:18">
      <c r="A81" t="s">
        <v>88</v>
      </c>
      <c r="C81" s="3">
        <v>2983350</v>
      </c>
      <c r="D81" s="3">
        <v>3771580000</v>
      </c>
      <c r="E81" s="3">
        <v>1764901039</v>
      </c>
      <c r="F81" s="3">
        <v>1593849000</v>
      </c>
      <c r="G81" s="3">
        <v>0</v>
      </c>
      <c r="H81" s="3">
        <v>184361062</v>
      </c>
      <c r="I81" s="3">
        <v>0</v>
      </c>
      <c r="J81" s="3">
        <v>0</v>
      </c>
      <c r="K81" s="3">
        <v>0</v>
      </c>
      <c r="L81" s="3">
        <f t="shared" si="2"/>
        <v>7317674451</v>
      </c>
      <c r="M81" s="1">
        <v>-1426123762</v>
      </c>
      <c r="N81" s="1">
        <v>-363348636</v>
      </c>
      <c r="O81" s="1">
        <v>0</v>
      </c>
      <c r="P81" s="1">
        <v>0</v>
      </c>
      <c r="Q81" s="1">
        <v>0</v>
      </c>
      <c r="R81" s="1">
        <f t="shared" si="3"/>
        <v>5528202053</v>
      </c>
    </row>
    <row r="82" spans="1:18">
      <c r="A82" t="s">
        <v>89</v>
      </c>
      <c r="C82" s="3">
        <v>0</v>
      </c>
      <c r="D82" s="3">
        <v>4585000000</v>
      </c>
      <c r="E82" s="3">
        <v>1782817202</v>
      </c>
      <c r="F82" s="3">
        <v>4652525053</v>
      </c>
      <c r="G82" s="3">
        <v>0</v>
      </c>
      <c r="H82" s="3">
        <v>220180782</v>
      </c>
      <c r="I82" s="3">
        <v>0</v>
      </c>
      <c r="J82" s="3">
        <v>0</v>
      </c>
      <c r="K82" s="3">
        <v>3997912</v>
      </c>
      <c r="L82" s="3">
        <f t="shared" si="2"/>
        <v>11244520949</v>
      </c>
      <c r="M82" s="1">
        <v>-1582143381</v>
      </c>
      <c r="N82" s="1">
        <v>-753771348</v>
      </c>
      <c r="O82" s="1">
        <v>0</v>
      </c>
      <c r="P82" s="1">
        <v>0</v>
      </c>
      <c r="Q82" s="1">
        <v>-3997912</v>
      </c>
      <c r="R82" s="1">
        <f t="shared" si="3"/>
        <v>8904608308</v>
      </c>
    </row>
    <row r="83" spans="1:18">
      <c r="A83" t="s">
        <v>90</v>
      </c>
      <c r="C83" s="3">
        <v>512500</v>
      </c>
      <c r="D83" s="3">
        <v>3534600000</v>
      </c>
      <c r="E83" s="3">
        <v>1305993248</v>
      </c>
      <c r="F83" s="3">
        <v>3557488682</v>
      </c>
      <c r="G83" s="3">
        <v>90569000</v>
      </c>
      <c r="H83" s="3">
        <v>59507663</v>
      </c>
      <c r="I83" s="3">
        <v>0</v>
      </c>
      <c r="J83" s="3">
        <v>0</v>
      </c>
      <c r="K83" s="3">
        <v>27746083</v>
      </c>
      <c r="L83" s="3">
        <f t="shared" si="2"/>
        <v>8576417176</v>
      </c>
      <c r="M83" s="1">
        <v>-1159983668</v>
      </c>
      <c r="N83" s="1">
        <v>-846345572</v>
      </c>
      <c r="O83" s="1">
        <v>-47030583</v>
      </c>
      <c r="P83" s="1">
        <v>0</v>
      </c>
      <c r="Q83" s="1">
        <v>-27746083</v>
      </c>
      <c r="R83" s="1">
        <f t="shared" si="3"/>
        <v>6495311270</v>
      </c>
    </row>
    <row r="84" spans="1:18">
      <c r="A84" t="s">
        <v>91</v>
      </c>
      <c r="C84" s="3">
        <v>5234540</v>
      </c>
      <c r="D84" s="3">
        <v>4860560000</v>
      </c>
      <c r="E84" s="3">
        <v>1794488044</v>
      </c>
      <c r="F84" s="3">
        <v>5739796067</v>
      </c>
      <c r="G84" s="3">
        <v>34622200</v>
      </c>
      <c r="H84" s="3">
        <v>11114962</v>
      </c>
      <c r="I84" s="3">
        <v>0</v>
      </c>
      <c r="J84" s="3">
        <v>0</v>
      </c>
      <c r="K84" s="3">
        <v>118219410</v>
      </c>
      <c r="L84" s="3">
        <f t="shared" si="2"/>
        <v>12564035223</v>
      </c>
      <c r="M84" s="1">
        <v>-1249936362</v>
      </c>
      <c r="N84" s="1">
        <v>-1553934187</v>
      </c>
      <c r="O84" s="1">
        <v>-4327775</v>
      </c>
      <c r="P84" s="1">
        <v>-2000000</v>
      </c>
      <c r="Q84" s="1">
        <v>-118049410</v>
      </c>
      <c r="R84" s="1">
        <f t="shared" si="3"/>
        <v>9635787489</v>
      </c>
    </row>
    <row r="85" spans="1:18">
      <c r="A85" t="s">
        <v>92</v>
      </c>
      <c r="C85" s="3">
        <v>1395816</v>
      </c>
      <c r="D85" s="3">
        <v>6318988000</v>
      </c>
      <c r="E85" s="3">
        <v>1566051086</v>
      </c>
      <c r="F85" s="3">
        <v>2235914750</v>
      </c>
      <c r="G85" s="3">
        <v>98559900</v>
      </c>
      <c r="H85" s="3">
        <v>67564062</v>
      </c>
      <c r="I85" s="3">
        <v>0</v>
      </c>
      <c r="J85" s="3">
        <v>0</v>
      </c>
      <c r="K85" s="3">
        <v>0</v>
      </c>
      <c r="L85" s="3">
        <f t="shared" si="2"/>
        <v>10288473614</v>
      </c>
      <c r="M85" s="1">
        <v>-1337737387</v>
      </c>
      <c r="N85" s="1">
        <v>-599209486</v>
      </c>
      <c r="O85" s="1">
        <v>-98559900</v>
      </c>
      <c r="P85" s="1">
        <v>0</v>
      </c>
      <c r="Q85" s="1">
        <v>0</v>
      </c>
      <c r="R85" s="1">
        <f t="shared" si="3"/>
        <v>8252966841</v>
      </c>
    </row>
    <row r="86" spans="1:18">
      <c r="A86" t="s">
        <v>93</v>
      </c>
      <c r="C86" s="3">
        <v>2317000</v>
      </c>
      <c r="D86" s="3">
        <v>5276224000</v>
      </c>
      <c r="E86" s="3">
        <v>1876575619</v>
      </c>
      <c r="F86" s="3">
        <v>4309096307</v>
      </c>
      <c r="G86" s="3">
        <v>0</v>
      </c>
      <c r="H86" s="3">
        <v>199833742</v>
      </c>
      <c r="I86" s="3">
        <v>0</v>
      </c>
      <c r="J86" s="3">
        <v>74660000</v>
      </c>
      <c r="K86" s="3">
        <v>461697326</v>
      </c>
      <c r="L86" s="3">
        <f t="shared" si="2"/>
        <v>12200403994</v>
      </c>
      <c r="M86" s="1">
        <v>-1454153760</v>
      </c>
      <c r="N86" s="1">
        <v>-928601850</v>
      </c>
      <c r="O86" s="1">
        <v>0</v>
      </c>
      <c r="P86" s="1">
        <v>0</v>
      </c>
      <c r="Q86" s="1">
        <v>-456787327</v>
      </c>
      <c r="R86" s="1">
        <f t="shared" si="3"/>
        <v>9360861057</v>
      </c>
    </row>
    <row r="87" spans="1:18">
      <c r="A87" t="s">
        <v>94</v>
      </c>
      <c r="C87" s="3">
        <v>554000</v>
      </c>
      <c r="D87" s="3">
        <v>18266000000</v>
      </c>
      <c r="E87" s="3">
        <v>1701156658</v>
      </c>
      <c r="F87" s="3">
        <v>5521781700</v>
      </c>
      <c r="G87" s="3">
        <v>0</v>
      </c>
      <c r="H87" s="3">
        <v>9183742</v>
      </c>
      <c r="I87" s="3">
        <v>0</v>
      </c>
      <c r="J87" s="3">
        <v>0</v>
      </c>
      <c r="K87" s="3">
        <v>28954000</v>
      </c>
      <c r="L87" s="3">
        <f t="shared" si="2"/>
        <v>25527630100</v>
      </c>
      <c r="M87" s="1">
        <v>-1429131700</v>
      </c>
      <c r="N87" s="1">
        <v>-4211791969</v>
      </c>
      <c r="O87" s="1">
        <v>0</v>
      </c>
      <c r="P87" s="1">
        <v>0</v>
      </c>
      <c r="Q87" s="1">
        <v>-28954000</v>
      </c>
      <c r="R87" s="1">
        <f t="shared" si="3"/>
        <v>19857752431</v>
      </c>
    </row>
    <row r="88" spans="1:18">
      <c r="A88" t="s">
        <v>95</v>
      </c>
      <c r="C88" s="3">
        <v>1016750</v>
      </c>
      <c r="D88" s="3">
        <v>2717414000</v>
      </c>
      <c r="E88" s="3">
        <v>1650660365</v>
      </c>
      <c r="F88" s="3">
        <v>5861989750</v>
      </c>
      <c r="G88" s="3">
        <v>0</v>
      </c>
      <c r="H88" s="3">
        <v>277123742</v>
      </c>
      <c r="I88" s="3">
        <v>0</v>
      </c>
      <c r="J88" s="3">
        <v>0</v>
      </c>
      <c r="K88" s="3">
        <v>0</v>
      </c>
      <c r="L88" s="3">
        <f t="shared" si="2"/>
        <v>10508204607</v>
      </c>
      <c r="M88" s="1">
        <v>-1515156206</v>
      </c>
      <c r="N88" s="1">
        <v>-712922601</v>
      </c>
      <c r="O88" s="1">
        <v>0</v>
      </c>
      <c r="P88" s="1">
        <v>0</v>
      </c>
      <c r="Q88" s="1">
        <v>0</v>
      </c>
      <c r="R88" s="1">
        <f t="shared" si="3"/>
        <v>8280125800</v>
      </c>
    </row>
    <row r="89" spans="1:18">
      <c r="A89" t="s">
        <v>96</v>
      </c>
      <c r="C89" s="3">
        <v>3768580</v>
      </c>
      <c r="D89" s="3">
        <v>2898600000</v>
      </c>
      <c r="E89" s="3">
        <v>1664332929</v>
      </c>
      <c r="F89" s="3">
        <v>3705792000</v>
      </c>
      <c r="G89" s="3">
        <v>122590000</v>
      </c>
      <c r="H89" s="3">
        <v>45955340</v>
      </c>
      <c r="I89" s="3">
        <v>0</v>
      </c>
      <c r="J89" s="3">
        <v>0</v>
      </c>
      <c r="K89" s="3">
        <v>20800258</v>
      </c>
      <c r="L89" s="3">
        <f t="shared" si="2"/>
        <v>8461839107</v>
      </c>
      <c r="M89" s="1">
        <v>-1257732829</v>
      </c>
      <c r="N89" s="1">
        <v>-853331267</v>
      </c>
      <c r="O89" s="1">
        <v>-77655668</v>
      </c>
      <c r="P89" s="1">
        <v>0</v>
      </c>
      <c r="Q89" s="1">
        <v>-20800258</v>
      </c>
      <c r="R89" s="1">
        <f t="shared" si="3"/>
        <v>6252319085</v>
      </c>
    </row>
    <row r="90" spans="1:18">
      <c r="A90" t="s">
        <v>97</v>
      </c>
      <c r="C90" s="3">
        <v>977550</v>
      </c>
      <c r="D90" s="3">
        <v>5863415000</v>
      </c>
      <c r="E90" s="3">
        <v>1848425959</v>
      </c>
      <c r="F90" s="3">
        <v>3787051850</v>
      </c>
      <c r="G90" s="3">
        <v>0</v>
      </c>
      <c r="H90" s="3">
        <v>9434740</v>
      </c>
      <c r="I90" s="3">
        <v>0</v>
      </c>
      <c r="J90" s="3">
        <v>0</v>
      </c>
      <c r="K90" s="3">
        <v>76977783</v>
      </c>
      <c r="L90" s="3">
        <f t="shared" si="2"/>
        <v>11586282882</v>
      </c>
      <c r="M90" s="1">
        <v>-1423789949</v>
      </c>
      <c r="N90" s="1">
        <v>-661152809</v>
      </c>
      <c r="O90" s="1">
        <v>0</v>
      </c>
      <c r="P90" s="1">
        <v>0</v>
      </c>
      <c r="Q90" s="1">
        <v>-75170283</v>
      </c>
      <c r="R90" s="1">
        <f t="shared" si="3"/>
        <v>9426169841</v>
      </c>
    </row>
    <row r="91" spans="1:18">
      <c r="A91" t="s">
        <v>98</v>
      </c>
      <c r="C91" s="3">
        <v>1440200</v>
      </c>
      <c r="D91" s="3">
        <v>53154936000</v>
      </c>
      <c r="E91" s="3">
        <v>2533577382</v>
      </c>
      <c r="F91" s="3">
        <v>5394334400</v>
      </c>
      <c r="G91" s="3">
        <v>227903250</v>
      </c>
      <c r="H91" s="3">
        <v>9343742</v>
      </c>
      <c r="I91" s="3">
        <v>0</v>
      </c>
      <c r="J91" s="3">
        <v>0</v>
      </c>
      <c r="K91" s="3">
        <v>132265000</v>
      </c>
      <c r="L91" s="3">
        <f t="shared" si="2"/>
        <v>61453799974</v>
      </c>
      <c r="M91" s="1">
        <v>-2257823342</v>
      </c>
      <c r="N91" s="1">
        <v>-898247239</v>
      </c>
      <c r="O91" s="1">
        <v>-64009479</v>
      </c>
      <c r="P91" s="1">
        <v>0</v>
      </c>
      <c r="Q91" s="1">
        <v>-35318022</v>
      </c>
      <c r="R91" s="1">
        <f t="shared" si="3"/>
        <v>58198401892</v>
      </c>
    </row>
    <row r="92" spans="1:18">
      <c r="A92" t="s">
        <v>99</v>
      </c>
      <c r="C92" s="3">
        <v>2393000</v>
      </c>
      <c r="D92" s="3">
        <v>10640810000</v>
      </c>
      <c r="E92" s="3">
        <v>1770060848</v>
      </c>
      <c r="F92" s="3">
        <v>6810647000</v>
      </c>
      <c r="G92" s="3">
        <v>0</v>
      </c>
      <c r="H92" s="3">
        <v>10287362</v>
      </c>
      <c r="I92" s="3">
        <v>0</v>
      </c>
      <c r="J92" s="3">
        <v>4000000</v>
      </c>
      <c r="K92" s="3">
        <v>41266000</v>
      </c>
      <c r="L92" s="3">
        <f t="shared" si="2"/>
        <v>19279464210</v>
      </c>
      <c r="M92" s="1">
        <v>-1571504285</v>
      </c>
      <c r="N92" s="1">
        <v>-1510855304</v>
      </c>
      <c r="O92" s="1">
        <v>0</v>
      </c>
      <c r="P92" s="1">
        <v>0</v>
      </c>
      <c r="Q92" s="1">
        <v>-40968500</v>
      </c>
      <c r="R92" s="1">
        <f t="shared" si="3"/>
        <v>16156136121</v>
      </c>
    </row>
    <row r="93" spans="1:18">
      <c r="A93" t="s">
        <v>100</v>
      </c>
      <c r="C93" s="3">
        <v>3093530</v>
      </c>
      <c r="D93" s="3">
        <v>6648813000</v>
      </c>
      <c r="E93" s="3">
        <v>1657740231</v>
      </c>
      <c r="F93" s="3">
        <v>5441549131</v>
      </c>
      <c r="G93" s="3">
        <v>59850000</v>
      </c>
      <c r="H93" s="3">
        <v>203713740</v>
      </c>
      <c r="I93" s="3">
        <v>0</v>
      </c>
      <c r="J93" s="3">
        <v>0</v>
      </c>
      <c r="K93" s="3">
        <v>0</v>
      </c>
      <c r="L93" s="3">
        <f t="shared" si="2"/>
        <v>14014759632</v>
      </c>
      <c r="M93" s="1">
        <v>-1257706988</v>
      </c>
      <c r="N93" s="1">
        <v>-1307189719</v>
      </c>
      <c r="O93" s="1">
        <v>-748125</v>
      </c>
      <c r="P93" s="1">
        <v>0</v>
      </c>
      <c r="Q93" s="1">
        <v>0</v>
      </c>
      <c r="R93" s="1">
        <f t="shared" si="3"/>
        <v>11449114800</v>
      </c>
    </row>
    <row r="94" spans="1:18">
      <c r="A94" t="s">
        <v>101</v>
      </c>
      <c r="C94" s="3">
        <v>825000</v>
      </c>
      <c r="D94" s="3">
        <v>14089232500</v>
      </c>
      <c r="E94" s="3">
        <v>1345484731</v>
      </c>
      <c r="F94" s="3">
        <v>3376771832</v>
      </c>
      <c r="G94" s="3">
        <v>19633000</v>
      </c>
      <c r="H94" s="3">
        <v>9183742</v>
      </c>
      <c r="I94" s="3">
        <v>0</v>
      </c>
      <c r="J94" s="3">
        <v>0</v>
      </c>
      <c r="K94" s="3">
        <v>70900</v>
      </c>
      <c r="L94" s="3">
        <f t="shared" si="2"/>
        <v>18841201705</v>
      </c>
      <c r="M94" s="1">
        <v>-1191981906</v>
      </c>
      <c r="N94" s="1">
        <v>-1606065977</v>
      </c>
      <c r="O94" s="1">
        <v>-2454125</v>
      </c>
      <c r="P94" s="1">
        <v>0</v>
      </c>
      <c r="Q94" s="1">
        <v>-70900</v>
      </c>
      <c r="R94" s="1">
        <f t="shared" si="3"/>
        <v>16040628797</v>
      </c>
    </row>
    <row r="95" spans="1:18">
      <c r="A95" t="s">
        <v>102</v>
      </c>
      <c r="C95" s="3">
        <v>19043400</v>
      </c>
      <c r="D95" s="3">
        <v>8724012000</v>
      </c>
      <c r="E95" s="3">
        <v>1777639288</v>
      </c>
      <c r="F95" s="3">
        <v>3577506078</v>
      </c>
      <c r="G95" s="3">
        <v>79450000</v>
      </c>
      <c r="H95" s="3">
        <v>10672062</v>
      </c>
      <c r="I95" s="3">
        <v>0</v>
      </c>
      <c r="J95" s="3">
        <v>0</v>
      </c>
      <c r="K95" s="3">
        <v>448000</v>
      </c>
      <c r="L95" s="3">
        <f t="shared" si="2"/>
        <v>14188770828</v>
      </c>
      <c r="M95" s="1">
        <v>-1533147925</v>
      </c>
      <c r="N95" s="1">
        <v>-1215869281</v>
      </c>
      <c r="O95" s="1">
        <v>-8265000</v>
      </c>
      <c r="P95" s="1">
        <v>0</v>
      </c>
      <c r="Q95" s="1">
        <v>-448000</v>
      </c>
      <c r="R95" s="1">
        <f t="shared" si="3"/>
        <v>11431040622</v>
      </c>
    </row>
    <row r="96" spans="1:18">
      <c r="A96" t="s">
        <v>103</v>
      </c>
      <c r="C96" s="3">
        <v>1470250</v>
      </c>
      <c r="D96" s="3">
        <v>2887755000</v>
      </c>
      <c r="E96" s="3">
        <v>1509293381</v>
      </c>
      <c r="F96" s="3">
        <v>2761949055</v>
      </c>
      <c r="G96" s="3">
        <v>23000000</v>
      </c>
      <c r="H96" s="3">
        <v>39686862</v>
      </c>
      <c r="I96" s="3">
        <v>0</v>
      </c>
      <c r="J96" s="3">
        <v>0</v>
      </c>
      <c r="K96" s="3">
        <v>3453600</v>
      </c>
      <c r="L96" s="3">
        <f t="shared" si="2"/>
        <v>7226608148</v>
      </c>
      <c r="M96" s="1">
        <v>-1417603723</v>
      </c>
      <c r="N96" s="1">
        <v>-434335705</v>
      </c>
      <c r="O96" s="1">
        <v>-4025000</v>
      </c>
      <c r="P96" s="1">
        <v>0</v>
      </c>
      <c r="Q96" s="1">
        <v>-3453600</v>
      </c>
      <c r="R96" s="1">
        <f t="shared" si="3"/>
        <v>5367190120</v>
      </c>
    </row>
    <row r="97" spans="1:18">
      <c r="A97" t="s">
        <v>104</v>
      </c>
      <c r="C97" s="3">
        <v>3350</v>
      </c>
      <c r="D97" s="3">
        <v>7970104000</v>
      </c>
      <c r="E97" s="3">
        <v>1863424381</v>
      </c>
      <c r="F97" s="3">
        <v>5323193400</v>
      </c>
      <c r="G97" s="3">
        <v>132196500</v>
      </c>
      <c r="H97" s="3">
        <v>9183740</v>
      </c>
      <c r="I97" s="3">
        <v>0</v>
      </c>
      <c r="J97" s="3">
        <v>24200000</v>
      </c>
      <c r="K97" s="3">
        <v>0</v>
      </c>
      <c r="L97" s="3">
        <f t="shared" si="2"/>
        <v>15322305371</v>
      </c>
      <c r="M97" s="1">
        <v>-1485550943</v>
      </c>
      <c r="N97" s="1">
        <v>-674184559</v>
      </c>
      <c r="O97" s="1">
        <v>-19700628</v>
      </c>
      <c r="P97" s="1">
        <v>0</v>
      </c>
      <c r="Q97" s="1">
        <v>0</v>
      </c>
      <c r="R97" s="1">
        <f t="shared" si="3"/>
        <v>13142869241</v>
      </c>
    </row>
    <row r="98" spans="1:18">
      <c r="A98" t="s">
        <v>105</v>
      </c>
      <c r="C98" s="3">
        <v>351700</v>
      </c>
      <c r="D98" s="3">
        <v>5233831000</v>
      </c>
      <c r="E98" s="3">
        <v>2120240698</v>
      </c>
      <c r="F98" s="3">
        <v>6525391733</v>
      </c>
      <c r="G98" s="3">
        <v>0</v>
      </c>
      <c r="H98" s="3">
        <v>18538742</v>
      </c>
      <c r="I98" s="3">
        <v>0</v>
      </c>
      <c r="J98" s="3">
        <v>0</v>
      </c>
      <c r="K98" s="3">
        <v>95484667</v>
      </c>
      <c r="L98" s="3">
        <f t="shared" si="2"/>
        <v>13993838540</v>
      </c>
      <c r="M98" s="1">
        <v>-1733201710</v>
      </c>
      <c r="N98" s="1">
        <v>-1782172124</v>
      </c>
      <c r="O98" s="1">
        <v>0</v>
      </c>
      <c r="P98" s="1">
        <v>0</v>
      </c>
      <c r="Q98" s="1">
        <v>-25439468</v>
      </c>
      <c r="R98" s="1">
        <f t="shared" si="3"/>
        <v>10453025238</v>
      </c>
    </row>
    <row r="99" spans="1:18">
      <c r="A99" t="s">
        <v>106</v>
      </c>
      <c r="C99" s="3">
        <v>2129250</v>
      </c>
      <c r="D99" s="3">
        <v>5405930300</v>
      </c>
      <c r="E99" s="3">
        <v>1879370475</v>
      </c>
      <c r="F99" s="3">
        <v>5568986487</v>
      </c>
      <c r="G99" s="3">
        <v>68920000</v>
      </c>
      <c r="H99" s="3">
        <v>383264132</v>
      </c>
      <c r="I99" s="3">
        <v>0</v>
      </c>
      <c r="J99" s="3">
        <v>142085000</v>
      </c>
      <c r="K99" s="3">
        <v>210234549</v>
      </c>
      <c r="L99" s="3">
        <f t="shared" si="2"/>
        <v>13660920193</v>
      </c>
      <c r="M99" s="1">
        <v>-1560312185</v>
      </c>
      <c r="N99" s="1">
        <v>-1742771631</v>
      </c>
      <c r="O99" s="1">
        <v>-6721750</v>
      </c>
      <c r="P99" s="1">
        <v>0</v>
      </c>
      <c r="Q99" s="1">
        <v>-210234549</v>
      </c>
      <c r="R99" s="1">
        <f t="shared" si="3"/>
        <v>10140880078</v>
      </c>
    </row>
    <row r="100" spans="1:18">
      <c r="A100" t="s">
        <v>107</v>
      </c>
      <c r="C100" s="3">
        <v>3659195</v>
      </c>
      <c r="D100" s="3">
        <v>2664560000</v>
      </c>
      <c r="E100" s="3">
        <v>1686494312</v>
      </c>
      <c r="F100" s="3">
        <v>3703645000</v>
      </c>
      <c r="G100" s="3">
        <v>56950000</v>
      </c>
      <c r="H100" s="3">
        <v>9593742</v>
      </c>
      <c r="I100" s="3">
        <v>0</v>
      </c>
      <c r="J100" s="3">
        <v>0</v>
      </c>
      <c r="K100" s="3">
        <v>113710886</v>
      </c>
      <c r="L100" s="3">
        <f t="shared" si="2"/>
        <v>8238613135</v>
      </c>
      <c r="M100" s="1">
        <v>-1419349498</v>
      </c>
      <c r="N100" s="1">
        <v>-1586999378</v>
      </c>
      <c r="O100" s="1">
        <v>-9834169</v>
      </c>
      <c r="P100" s="1">
        <v>0</v>
      </c>
      <c r="Q100" s="1">
        <v>-110849966</v>
      </c>
      <c r="R100" s="1">
        <f t="shared" si="3"/>
        <v>5111580124</v>
      </c>
    </row>
    <row r="101" spans="1:18">
      <c r="A101" t="s">
        <v>108</v>
      </c>
      <c r="C101" s="3">
        <v>360500</v>
      </c>
      <c r="D101" s="3">
        <v>1771563000</v>
      </c>
      <c r="E101" s="3">
        <v>1662444217</v>
      </c>
      <c r="F101" s="3">
        <v>3482269000</v>
      </c>
      <c r="G101" s="3">
        <v>216630000</v>
      </c>
      <c r="H101" s="3">
        <v>48678742</v>
      </c>
      <c r="I101" s="3">
        <v>0</v>
      </c>
      <c r="J101" s="3">
        <v>0</v>
      </c>
      <c r="K101" s="3">
        <v>102699500</v>
      </c>
      <c r="L101" s="3">
        <f t="shared" si="2"/>
        <v>7284644959</v>
      </c>
      <c r="M101" s="1">
        <v>-1347797762</v>
      </c>
      <c r="N101" s="1">
        <v>-1501994510</v>
      </c>
      <c r="O101" s="1">
        <v>-126147200</v>
      </c>
      <c r="P101" s="1">
        <v>0</v>
      </c>
      <c r="Q101" s="1">
        <v>-100199500</v>
      </c>
      <c r="R101" s="1">
        <f t="shared" si="3"/>
        <v>4208505987</v>
      </c>
    </row>
    <row r="102" spans="1:18">
      <c r="A102" t="s">
        <v>109</v>
      </c>
      <c r="C102" s="3">
        <v>553910</v>
      </c>
      <c r="D102" s="3">
        <v>5693857000</v>
      </c>
      <c r="E102" s="3">
        <v>1862939267</v>
      </c>
      <c r="F102" s="3">
        <v>4656103700</v>
      </c>
      <c r="G102" s="3">
        <v>56465855</v>
      </c>
      <c r="H102" s="3">
        <v>9183742</v>
      </c>
      <c r="I102" s="3">
        <v>0</v>
      </c>
      <c r="J102" s="3">
        <v>0</v>
      </c>
      <c r="K102" s="3">
        <v>61685200</v>
      </c>
      <c r="L102" s="3">
        <f t="shared" si="2"/>
        <v>12340788674</v>
      </c>
      <c r="M102" s="1">
        <v>-1419412637</v>
      </c>
      <c r="N102" s="1">
        <v>-984268437</v>
      </c>
      <c r="O102" s="1">
        <v>-10587345</v>
      </c>
      <c r="P102" s="1">
        <v>0</v>
      </c>
      <c r="Q102" s="1">
        <v>-61685200</v>
      </c>
      <c r="R102" s="1">
        <f t="shared" si="3"/>
        <v>9864835055</v>
      </c>
    </row>
    <row r="103" spans="1:18">
      <c r="A103" t="s">
        <v>110</v>
      </c>
      <c r="C103" s="3">
        <v>8357180</v>
      </c>
      <c r="D103" s="3">
        <v>2404960000</v>
      </c>
      <c r="E103" s="3">
        <v>1775401829</v>
      </c>
      <c r="F103" s="3">
        <v>1781618200</v>
      </c>
      <c r="G103" s="3">
        <v>0</v>
      </c>
      <c r="H103" s="3">
        <v>4772120</v>
      </c>
      <c r="I103" s="3">
        <v>0</v>
      </c>
      <c r="J103" s="3">
        <v>0</v>
      </c>
      <c r="K103" s="3">
        <v>0</v>
      </c>
      <c r="L103" s="3">
        <f t="shared" si="2"/>
        <v>5975109329</v>
      </c>
      <c r="M103" s="1">
        <v>-1592138251</v>
      </c>
      <c r="N103" s="1">
        <v>-340945390</v>
      </c>
      <c r="O103" s="1">
        <v>0</v>
      </c>
      <c r="P103" s="1">
        <v>0</v>
      </c>
      <c r="Q103" s="1">
        <v>0</v>
      </c>
      <c r="R103" s="1">
        <f t="shared" si="3"/>
        <v>4042025688</v>
      </c>
    </row>
    <row r="104" spans="1:18">
      <c r="A104" t="s">
        <v>111</v>
      </c>
      <c r="C104" s="3">
        <v>3654400</v>
      </c>
      <c r="D104" s="3">
        <v>6879994880</v>
      </c>
      <c r="E104" s="3">
        <v>1785537455</v>
      </c>
      <c r="F104" s="3">
        <v>2211527999</v>
      </c>
      <c r="G104" s="3">
        <v>37872000</v>
      </c>
      <c r="H104" s="3">
        <v>99113742</v>
      </c>
      <c r="I104" s="3">
        <v>0</v>
      </c>
      <c r="J104" s="3">
        <v>9075000</v>
      </c>
      <c r="K104" s="3">
        <v>78027500</v>
      </c>
      <c r="L104" s="3">
        <f t="shared" si="2"/>
        <v>11104802976</v>
      </c>
      <c r="M104" s="1">
        <v>-1655337718</v>
      </c>
      <c r="N104" s="1">
        <v>-443471231</v>
      </c>
      <c r="O104" s="1">
        <v>-5409679</v>
      </c>
      <c r="P104" s="1">
        <v>0</v>
      </c>
      <c r="Q104" s="1">
        <v>-78027500</v>
      </c>
      <c r="R104" s="1">
        <f t="shared" si="3"/>
        <v>8922556848</v>
      </c>
    </row>
    <row r="105" spans="1:18">
      <c r="A105" t="s">
        <v>112</v>
      </c>
      <c r="C105" s="3">
        <v>1654500</v>
      </c>
      <c r="D105" s="3">
        <v>3607200000</v>
      </c>
      <c r="E105" s="3">
        <v>957170873</v>
      </c>
      <c r="F105" s="3">
        <v>4269234760</v>
      </c>
      <c r="G105" s="3">
        <v>0</v>
      </c>
      <c r="H105" s="3">
        <v>82634900</v>
      </c>
      <c r="I105" s="3">
        <v>0</v>
      </c>
      <c r="J105" s="3">
        <v>0</v>
      </c>
      <c r="K105" s="3">
        <v>37517840</v>
      </c>
      <c r="L105" s="3">
        <f t="shared" si="2"/>
        <v>8955412873</v>
      </c>
      <c r="M105" s="1">
        <v>-767235518</v>
      </c>
      <c r="N105" s="1">
        <v>-578818275</v>
      </c>
      <c r="O105" s="1">
        <v>0</v>
      </c>
      <c r="P105" s="1">
        <v>0</v>
      </c>
      <c r="Q105" s="1">
        <v>-37517840</v>
      </c>
      <c r="R105" s="1">
        <f t="shared" si="3"/>
        <v>7571841240</v>
      </c>
    </row>
    <row r="106" spans="1:18">
      <c r="A106" t="s">
        <v>113</v>
      </c>
      <c r="C106" s="3">
        <v>376425</v>
      </c>
      <c r="D106" s="3">
        <v>1464240000</v>
      </c>
      <c r="E106" s="3">
        <v>1277490628</v>
      </c>
      <c r="F106" s="3">
        <v>4210875750</v>
      </c>
      <c r="G106" s="3">
        <v>13536000</v>
      </c>
      <c r="H106" s="3">
        <v>3236678</v>
      </c>
      <c r="I106" s="3">
        <v>0</v>
      </c>
      <c r="J106" s="3">
        <v>0</v>
      </c>
      <c r="K106" s="3">
        <v>-270000</v>
      </c>
      <c r="L106" s="3">
        <f t="shared" si="2"/>
        <v>6969485481</v>
      </c>
      <c r="M106" s="1">
        <v>-1115549496</v>
      </c>
      <c r="N106" s="1">
        <v>-826101674</v>
      </c>
      <c r="O106" s="1">
        <v>-13536000</v>
      </c>
      <c r="P106" s="1">
        <v>0</v>
      </c>
      <c r="Q106" s="1">
        <v>270000</v>
      </c>
      <c r="R106" s="1">
        <f t="shared" si="3"/>
        <v>5014568311</v>
      </c>
    </row>
    <row r="107" spans="1:18">
      <c r="A107" t="s">
        <v>114</v>
      </c>
      <c r="C107" s="3">
        <v>976000</v>
      </c>
      <c r="D107" s="3">
        <v>4295777000</v>
      </c>
      <c r="E107" s="3">
        <v>1639877792</v>
      </c>
      <c r="F107" s="3">
        <v>6453126250</v>
      </c>
      <c r="G107" s="3">
        <v>0</v>
      </c>
      <c r="H107" s="3">
        <v>4369580</v>
      </c>
      <c r="I107" s="3">
        <v>0</v>
      </c>
      <c r="J107" s="3">
        <v>0</v>
      </c>
      <c r="K107" s="3">
        <v>14451000</v>
      </c>
      <c r="L107" s="3">
        <f t="shared" si="2"/>
        <v>12408577622</v>
      </c>
      <c r="M107" s="1">
        <v>-1600131351</v>
      </c>
      <c r="N107" s="1">
        <v>-982294304</v>
      </c>
      <c r="O107" s="1">
        <v>0</v>
      </c>
      <c r="P107" s="1">
        <v>0</v>
      </c>
      <c r="Q107" s="1">
        <v>-14451000</v>
      </c>
      <c r="R107" s="1">
        <f t="shared" si="3"/>
        <v>9811700967</v>
      </c>
    </row>
    <row r="108" spans="1:18">
      <c r="A108" t="s">
        <v>115</v>
      </c>
      <c r="C108" s="3">
        <v>192500</v>
      </c>
      <c r="D108" s="3">
        <v>5829572000</v>
      </c>
      <c r="E108" s="3">
        <v>1031417581</v>
      </c>
      <c r="F108" s="3">
        <v>5631318800</v>
      </c>
      <c r="G108" s="3">
        <v>0</v>
      </c>
      <c r="H108" s="3">
        <v>89135578</v>
      </c>
      <c r="I108" s="3">
        <v>0</v>
      </c>
      <c r="J108" s="3">
        <v>0</v>
      </c>
      <c r="K108" s="3">
        <v>0</v>
      </c>
      <c r="L108" s="3">
        <f t="shared" si="2"/>
        <v>12581636459</v>
      </c>
      <c r="M108" s="1">
        <v>-907740741</v>
      </c>
      <c r="N108" s="1">
        <v>-531369582</v>
      </c>
      <c r="O108" s="1">
        <v>0</v>
      </c>
      <c r="P108" s="1">
        <v>0</v>
      </c>
      <c r="Q108" s="1">
        <v>0</v>
      </c>
      <c r="R108" s="1">
        <f t="shared" si="3"/>
        <v>11142526136</v>
      </c>
    </row>
    <row r="109" spans="1:18">
      <c r="A109" t="s">
        <v>116</v>
      </c>
      <c r="C109" s="3">
        <v>6215000</v>
      </c>
      <c r="D109" s="3">
        <v>3927319096</v>
      </c>
      <c r="E109" s="3">
        <v>1200352236</v>
      </c>
      <c r="F109" s="3">
        <v>5321115440</v>
      </c>
      <c r="G109" s="3">
        <v>0</v>
      </c>
      <c r="H109" s="3">
        <v>74823735</v>
      </c>
      <c r="I109" s="3">
        <v>0</v>
      </c>
      <c r="J109" s="3">
        <v>0</v>
      </c>
      <c r="K109" s="3">
        <v>0</v>
      </c>
      <c r="L109" s="3">
        <f t="shared" si="2"/>
        <v>10529825507</v>
      </c>
      <c r="M109" s="1">
        <v>-828607158</v>
      </c>
      <c r="N109" s="1">
        <v>-405311133</v>
      </c>
      <c r="O109" s="1">
        <v>0</v>
      </c>
      <c r="P109" s="1">
        <v>0</v>
      </c>
      <c r="Q109" s="1">
        <v>0</v>
      </c>
      <c r="R109" s="1">
        <f t="shared" si="3"/>
        <v>9295907216</v>
      </c>
    </row>
    <row r="110" spans="1:18">
      <c r="A110" t="s">
        <v>117</v>
      </c>
      <c r="C110" s="3">
        <v>2894200</v>
      </c>
      <c r="D110" s="3">
        <v>5930620000</v>
      </c>
      <c r="E110" s="3">
        <v>1486121207</v>
      </c>
      <c r="F110" s="3">
        <v>6688736000</v>
      </c>
      <c r="G110" s="3">
        <v>49900000</v>
      </c>
      <c r="H110" s="3">
        <v>3746580</v>
      </c>
      <c r="I110" s="3">
        <v>0</v>
      </c>
      <c r="J110" s="3">
        <v>0</v>
      </c>
      <c r="K110" s="3">
        <v>74615171</v>
      </c>
      <c r="L110" s="3">
        <f t="shared" si="2"/>
        <v>14236633158</v>
      </c>
      <c r="M110" s="1">
        <v>-932391452</v>
      </c>
      <c r="N110" s="1">
        <v>-292171765</v>
      </c>
      <c r="O110" s="1">
        <v>-9980000</v>
      </c>
      <c r="P110" s="1">
        <v>0</v>
      </c>
      <c r="Q110" s="1">
        <v>-74615004</v>
      </c>
      <c r="R110" s="1">
        <f t="shared" si="3"/>
        <v>12927474937</v>
      </c>
    </row>
    <row r="111" spans="1:18">
      <c r="A111" t="s">
        <v>118</v>
      </c>
      <c r="C111" s="3">
        <v>2397225</v>
      </c>
      <c r="D111" s="3">
        <v>5727500000</v>
      </c>
      <c r="E111" s="3">
        <v>1554916588</v>
      </c>
      <c r="F111" s="3">
        <v>6278251000</v>
      </c>
      <c r="G111" s="3">
        <v>66200000</v>
      </c>
      <c r="H111" s="3">
        <v>3236676</v>
      </c>
      <c r="I111" s="3">
        <v>0</v>
      </c>
      <c r="J111" s="3">
        <v>0</v>
      </c>
      <c r="K111" s="3">
        <v>13563000</v>
      </c>
      <c r="L111" s="3">
        <f t="shared" si="2"/>
        <v>13646064489</v>
      </c>
      <c r="M111" s="1">
        <v>-1279899916</v>
      </c>
      <c r="N111" s="1">
        <v>-955305620</v>
      </c>
      <c r="O111" s="1">
        <v>-8615000</v>
      </c>
      <c r="P111" s="1">
        <v>0</v>
      </c>
      <c r="Q111" s="1">
        <v>-13563000</v>
      </c>
      <c r="R111" s="1">
        <f t="shared" si="3"/>
        <v>11388680953</v>
      </c>
    </row>
    <row r="112" spans="1:18">
      <c r="A112" t="s">
        <v>119</v>
      </c>
      <c r="C112" s="3">
        <v>2158000</v>
      </c>
      <c r="D112" s="3">
        <v>4448640000</v>
      </c>
      <c r="E112" s="3">
        <v>862496076</v>
      </c>
      <c r="F112" s="3">
        <v>4258632080</v>
      </c>
      <c r="G112" s="3">
        <v>0</v>
      </c>
      <c r="H112" s="3">
        <v>33832580</v>
      </c>
      <c r="I112" s="3">
        <v>0</v>
      </c>
      <c r="J112" s="3">
        <v>0</v>
      </c>
      <c r="K112" s="3">
        <v>52428591</v>
      </c>
      <c r="L112" s="3">
        <f t="shared" si="2"/>
        <v>9658187327</v>
      </c>
      <c r="M112" s="1">
        <v>-746282946</v>
      </c>
      <c r="N112" s="1">
        <v>-374806526</v>
      </c>
      <c r="O112" s="1">
        <v>0</v>
      </c>
      <c r="P112" s="1">
        <v>0</v>
      </c>
      <c r="Q112" s="1">
        <v>-51229591</v>
      </c>
      <c r="R112" s="1">
        <f t="shared" si="3"/>
        <v>8485868264</v>
      </c>
    </row>
    <row r="113" spans="1:18">
      <c r="A113" t="s">
        <v>120</v>
      </c>
      <c r="C113" s="3">
        <v>5269545</v>
      </c>
      <c r="D113" s="3">
        <v>4537060800</v>
      </c>
      <c r="E113" s="3">
        <v>1300343706</v>
      </c>
      <c r="F113" s="3">
        <v>5660490600</v>
      </c>
      <c r="G113" s="3">
        <v>65974300</v>
      </c>
      <c r="H113" s="3">
        <v>42448551</v>
      </c>
      <c r="I113" s="3">
        <v>0</v>
      </c>
      <c r="J113" s="3">
        <v>2500000</v>
      </c>
      <c r="K113" s="3">
        <v>0</v>
      </c>
      <c r="L113" s="3">
        <f t="shared" si="2"/>
        <v>11614087502</v>
      </c>
      <c r="M113" s="1">
        <v>-1040816545</v>
      </c>
      <c r="N113" s="1">
        <v>-801952069</v>
      </c>
      <c r="O113" s="1">
        <v>-28534800</v>
      </c>
      <c r="P113" s="1">
        <v>0</v>
      </c>
      <c r="Q113" s="1">
        <v>0</v>
      </c>
      <c r="R113" s="1">
        <f t="shared" si="3"/>
        <v>9742784088</v>
      </c>
    </row>
    <row r="114" spans="1:18">
      <c r="A114" t="s">
        <v>121</v>
      </c>
      <c r="C114" s="3">
        <v>1496280</v>
      </c>
      <c r="D114" s="3">
        <v>704000000</v>
      </c>
      <c r="E114" s="3">
        <v>1212946796</v>
      </c>
      <c r="F114" s="3">
        <v>1068041100</v>
      </c>
      <c r="G114" s="3">
        <v>26888000</v>
      </c>
      <c r="H114" s="3">
        <v>3746580</v>
      </c>
      <c r="I114" s="3">
        <v>0</v>
      </c>
      <c r="J114" s="3">
        <v>0</v>
      </c>
      <c r="K114" s="3">
        <v>0</v>
      </c>
      <c r="L114" s="3">
        <f t="shared" si="2"/>
        <v>3017118756</v>
      </c>
      <c r="M114" s="1">
        <v>-1041629654</v>
      </c>
      <c r="N114" s="1">
        <v>-229496517</v>
      </c>
      <c r="O114" s="1">
        <v>-4181000</v>
      </c>
      <c r="P114" s="1">
        <v>0</v>
      </c>
      <c r="Q114" s="1">
        <v>0</v>
      </c>
      <c r="R114" s="1">
        <f t="shared" si="3"/>
        <v>1741811585</v>
      </c>
    </row>
    <row r="115" spans="1:18">
      <c r="A115" t="s">
        <v>122</v>
      </c>
      <c r="C115" s="3">
        <v>1664963</v>
      </c>
      <c r="D115" s="3">
        <v>3787060000</v>
      </c>
      <c r="E115" s="3">
        <v>1561298707</v>
      </c>
      <c r="F115" s="3">
        <v>3157609953</v>
      </c>
      <c r="G115" s="3">
        <v>114480000</v>
      </c>
      <c r="H115" s="3">
        <v>14146578</v>
      </c>
      <c r="I115" s="3">
        <v>0</v>
      </c>
      <c r="J115" s="3">
        <v>0</v>
      </c>
      <c r="K115" s="3">
        <v>0</v>
      </c>
      <c r="L115" s="3">
        <f t="shared" si="2"/>
        <v>8636260201</v>
      </c>
      <c r="M115" s="1">
        <v>-1281197931</v>
      </c>
      <c r="N115" s="1">
        <v>-236960567</v>
      </c>
      <c r="O115" s="1">
        <v>-18087695</v>
      </c>
      <c r="P115" s="1">
        <v>0</v>
      </c>
      <c r="Q115" s="1">
        <v>0</v>
      </c>
      <c r="R115" s="1">
        <f t="shared" si="3"/>
        <v>7100014008</v>
      </c>
    </row>
    <row r="116" spans="1:18">
      <c r="A116" t="s">
        <v>123</v>
      </c>
      <c r="C116" s="3">
        <v>4317000</v>
      </c>
      <c r="D116" s="3">
        <v>4071455000</v>
      </c>
      <c r="E116" s="3">
        <v>1037414534</v>
      </c>
      <c r="F116" s="3">
        <v>4778451200</v>
      </c>
      <c r="G116" s="3">
        <v>10504000</v>
      </c>
      <c r="H116" s="3">
        <v>5434578</v>
      </c>
      <c r="I116" s="3">
        <v>0</v>
      </c>
      <c r="J116" s="3">
        <v>0</v>
      </c>
      <c r="K116" s="3">
        <v>5528800</v>
      </c>
      <c r="L116" s="3">
        <f t="shared" si="2"/>
        <v>9913105112</v>
      </c>
      <c r="M116" s="1">
        <v>-897884107</v>
      </c>
      <c r="N116" s="1">
        <v>-579162012</v>
      </c>
      <c r="O116" s="1">
        <v>-2645067</v>
      </c>
      <c r="P116" s="1">
        <v>0</v>
      </c>
      <c r="Q116" s="1">
        <v>-5528800</v>
      </c>
      <c r="R116" s="1">
        <f t="shared" si="3"/>
        <v>8427885126</v>
      </c>
    </row>
    <row r="117" spans="1:18">
      <c r="A117" t="s">
        <v>124</v>
      </c>
      <c r="C117" s="3">
        <v>1962972</v>
      </c>
      <c r="D117" s="3">
        <v>4592500000</v>
      </c>
      <c r="E117" s="3">
        <v>1067332207</v>
      </c>
      <c r="F117" s="3">
        <v>5368927800</v>
      </c>
      <c r="G117" s="3">
        <v>80000000</v>
      </c>
      <c r="H117" s="3">
        <v>3236678</v>
      </c>
      <c r="I117" s="3">
        <v>0</v>
      </c>
      <c r="J117" s="3">
        <v>7000000</v>
      </c>
      <c r="K117" s="3">
        <v>13898377</v>
      </c>
      <c r="L117" s="3">
        <f t="shared" si="2"/>
        <v>11134858034</v>
      </c>
      <c r="M117" s="1">
        <v>-620720000</v>
      </c>
      <c r="N117" s="1">
        <v>-207450718</v>
      </c>
      <c r="O117" s="1">
        <v>-80000000</v>
      </c>
      <c r="P117" s="1">
        <v>0</v>
      </c>
      <c r="Q117" s="1">
        <v>-13898377</v>
      </c>
      <c r="R117" s="1">
        <f t="shared" si="3"/>
        <v>10212788939</v>
      </c>
    </row>
    <row r="118" spans="1:18">
      <c r="A118" t="s">
        <v>125</v>
      </c>
      <c r="C118" s="3">
        <v>651040</v>
      </c>
      <c r="D118" s="3">
        <v>2078600000</v>
      </c>
      <c r="E118" s="3">
        <v>1161424150</v>
      </c>
      <c r="F118" s="3">
        <v>2806669200</v>
      </c>
      <c r="G118" s="3">
        <v>0</v>
      </c>
      <c r="H118" s="3">
        <v>3604180</v>
      </c>
      <c r="I118" s="3">
        <v>0</v>
      </c>
      <c r="J118" s="3">
        <v>42300000</v>
      </c>
      <c r="K118" s="3">
        <v>14275000</v>
      </c>
      <c r="L118" s="3">
        <f t="shared" si="2"/>
        <v>6107523570</v>
      </c>
      <c r="M118" s="1">
        <v>-864344106</v>
      </c>
      <c r="N118" s="1">
        <v>-344518511</v>
      </c>
      <c r="O118" s="1">
        <v>0</v>
      </c>
      <c r="P118" s="1">
        <v>0</v>
      </c>
      <c r="Q118" s="1">
        <v>-14275000</v>
      </c>
      <c r="R118" s="1">
        <f t="shared" si="3"/>
        <v>4884385953</v>
      </c>
    </row>
    <row r="119" spans="1:18">
      <c r="A119" t="s">
        <v>126</v>
      </c>
      <c r="C119" s="3">
        <v>8051050</v>
      </c>
      <c r="D119" s="3">
        <v>3177914000</v>
      </c>
      <c r="E119" s="3">
        <v>914299703</v>
      </c>
      <c r="F119" s="3">
        <v>4339365500</v>
      </c>
      <c r="G119" s="3">
        <v>60689000</v>
      </c>
      <c r="H119" s="3">
        <v>7651213</v>
      </c>
      <c r="I119" s="3">
        <v>0</v>
      </c>
      <c r="J119" s="3">
        <v>0</v>
      </c>
      <c r="K119" s="3">
        <v>96991726</v>
      </c>
      <c r="L119" s="3">
        <f t="shared" si="2"/>
        <v>8604962192</v>
      </c>
      <c r="M119" s="1">
        <v>-748989620</v>
      </c>
      <c r="N119" s="1">
        <v>-408797767</v>
      </c>
      <c r="O119" s="1">
        <v>-35339069</v>
      </c>
      <c r="P119" s="1">
        <v>0</v>
      </c>
      <c r="Q119" s="1">
        <v>-95466729</v>
      </c>
      <c r="R119" s="1">
        <f t="shared" si="3"/>
        <v>7316369007</v>
      </c>
    </row>
    <row r="120" spans="1:18">
      <c r="A120" t="s">
        <v>127</v>
      </c>
      <c r="C120" s="3">
        <v>2500500</v>
      </c>
      <c r="D120" s="3">
        <v>2122025000</v>
      </c>
      <c r="E120" s="3">
        <v>1232360398</v>
      </c>
      <c r="F120" s="3">
        <v>5094831000</v>
      </c>
      <c r="G120" s="3">
        <v>19244500</v>
      </c>
      <c r="H120" s="3">
        <v>18379980</v>
      </c>
      <c r="I120" s="3">
        <v>0</v>
      </c>
      <c r="J120" s="3">
        <v>0</v>
      </c>
      <c r="K120" s="3">
        <v>18730800</v>
      </c>
      <c r="L120" s="3">
        <f t="shared" si="2"/>
        <v>8508072178</v>
      </c>
      <c r="M120" s="1">
        <v>-1038192436</v>
      </c>
      <c r="N120" s="1">
        <v>-809103081</v>
      </c>
      <c r="O120" s="1">
        <v>-3127228</v>
      </c>
      <c r="P120" s="1">
        <v>0</v>
      </c>
      <c r="Q120" s="1">
        <v>-16417050</v>
      </c>
      <c r="R120" s="1">
        <f t="shared" si="3"/>
        <v>6641232383</v>
      </c>
    </row>
    <row r="121" spans="1:18">
      <c r="A121" t="s">
        <v>128</v>
      </c>
      <c r="C121" s="3">
        <v>10558290</v>
      </c>
      <c r="D121" s="3">
        <v>1414200000</v>
      </c>
      <c r="E121" s="3">
        <v>1033494169</v>
      </c>
      <c r="F121" s="3">
        <v>2047685000</v>
      </c>
      <c r="G121" s="3">
        <v>34300000</v>
      </c>
      <c r="H121" s="3">
        <v>3746578</v>
      </c>
      <c r="I121" s="3">
        <v>0</v>
      </c>
      <c r="J121" s="3">
        <v>7000000</v>
      </c>
      <c r="K121" s="3">
        <v>0</v>
      </c>
      <c r="L121" s="3">
        <f t="shared" si="2"/>
        <v>4550984037</v>
      </c>
      <c r="M121" s="1">
        <v>-987828137</v>
      </c>
      <c r="N121" s="1">
        <v>-421429084</v>
      </c>
      <c r="O121" s="1">
        <v>-5573750</v>
      </c>
      <c r="P121" s="1">
        <v>0</v>
      </c>
      <c r="Q121" s="1">
        <v>0</v>
      </c>
      <c r="R121" s="1">
        <f t="shared" si="3"/>
        <v>3136153066</v>
      </c>
    </row>
    <row r="122" spans="1:18">
      <c r="A122" t="s">
        <v>129</v>
      </c>
      <c r="C122" s="3">
        <v>3218600</v>
      </c>
      <c r="D122" s="3">
        <v>974112000</v>
      </c>
      <c r="E122" s="3">
        <v>1318577042</v>
      </c>
      <c r="F122" s="3">
        <v>1474042000</v>
      </c>
      <c r="G122" s="3">
        <v>0</v>
      </c>
      <c r="H122" s="3">
        <v>4096580</v>
      </c>
      <c r="I122" s="3">
        <v>0</v>
      </c>
      <c r="J122" s="3">
        <v>2500000</v>
      </c>
      <c r="K122" s="3">
        <v>747000</v>
      </c>
      <c r="L122" s="3">
        <f t="shared" si="2"/>
        <v>3777293222</v>
      </c>
      <c r="M122" s="1">
        <v>-1044073642</v>
      </c>
      <c r="N122" s="1">
        <v>-196767482</v>
      </c>
      <c r="O122" s="1">
        <v>0</v>
      </c>
      <c r="P122" s="1">
        <v>0</v>
      </c>
      <c r="Q122" s="1">
        <v>-747000</v>
      </c>
      <c r="R122" s="1">
        <f t="shared" si="3"/>
        <v>2535705098</v>
      </c>
    </row>
    <row r="123" spans="1:18">
      <c r="A123" t="s">
        <v>130</v>
      </c>
      <c r="C123" s="3">
        <v>4606650</v>
      </c>
      <c r="D123" s="3">
        <v>1803217500</v>
      </c>
      <c r="E123" s="3">
        <v>823949045</v>
      </c>
      <c r="F123" s="3">
        <v>1875208000</v>
      </c>
      <c r="G123" s="3">
        <v>49821900</v>
      </c>
      <c r="H123" s="3">
        <v>67392000</v>
      </c>
      <c r="I123" s="3">
        <v>0</v>
      </c>
      <c r="J123" s="3">
        <v>2500000</v>
      </c>
      <c r="K123" s="3">
        <v>77623542</v>
      </c>
      <c r="L123" s="3">
        <f t="shared" si="2"/>
        <v>4704318637</v>
      </c>
      <c r="M123" s="1">
        <v>-635245392</v>
      </c>
      <c r="N123" s="1">
        <v>-200540946</v>
      </c>
      <c r="O123" s="1">
        <v>-5221644</v>
      </c>
      <c r="P123" s="1">
        <v>0</v>
      </c>
      <c r="Q123" s="1">
        <v>-76934753</v>
      </c>
      <c r="R123" s="1">
        <f t="shared" si="3"/>
        <v>3786375902</v>
      </c>
    </row>
    <row r="124" spans="1:18">
      <c r="A124" t="s">
        <v>131</v>
      </c>
      <c r="C124" s="3">
        <v>1050800</v>
      </c>
      <c r="D124" s="3">
        <v>966908000</v>
      </c>
      <c r="E124" s="3">
        <v>1329246732</v>
      </c>
      <c r="F124" s="3">
        <v>3557025760</v>
      </c>
      <c r="G124" s="3">
        <v>0</v>
      </c>
      <c r="H124" s="3">
        <v>3236680</v>
      </c>
      <c r="I124" s="3">
        <v>0</v>
      </c>
      <c r="J124" s="3">
        <v>2497000</v>
      </c>
      <c r="K124" s="3">
        <v>44100766</v>
      </c>
      <c r="L124" s="3">
        <f t="shared" si="2"/>
        <v>5904065738</v>
      </c>
      <c r="M124" s="1">
        <v>-1014388884</v>
      </c>
      <c r="N124" s="1">
        <v>-420733652</v>
      </c>
      <c r="O124" s="1">
        <v>0</v>
      </c>
      <c r="P124" s="1">
        <v>0</v>
      </c>
      <c r="Q124" s="1">
        <v>-44003080</v>
      </c>
      <c r="R124" s="1">
        <f t="shared" si="3"/>
        <v>4424940122</v>
      </c>
    </row>
    <row r="125" spans="1:18">
      <c r="A125" t="s">
        <v>132</v>
      </c>
      <c r="C125" s="3">
        <v>10000</v>
      </c>
      <c r="D125" s="3">
        <v>5908552000</v>
      </c>
      <c r="E125" s="3">
        <v>1256953474</v>
      </c>
      <c r="F125" s="3">
        <v>5245856000</v>
      </c>
      <c r="G125" s="3">
        <v>39880000</v>
      </c>
      <c r="H125" s="3">
        <v>10844976</v>
      </c>
      <c r="I125" s="3">
        <v>0</v>
      </c>
      <c r="J125" s="3">
        <v>42080500</v>
      </c>
      <c r="K125" s="3">
        <v>147896363</v>
      </c>
      <c r="L125" s="3">
        <f t="shared" si="2"/>
        <v>12652073313</v>
      </c>
      <c r="M125" s="1">
        <v>-785924492</v>
      </c>
      <c r="N125" s="1">
        <v>-621719071</v>
      </c>
      <c r="O125" s="1">
        <v>-2991000</v>
      </c>
      <c r="P125" s="1">
        <v>0</v>
      </c>
      <c r="Q125" s="1">
        <v>-147896363</v>
      </c>
      <c r="R125" s="1">
        <f t="shared" si="3"/>
        <v>11093542387</v>
      </c>
    </row>
    <row r="126" spans="1:18">
      <c r="A126" t="s">
        <v>133</v>
      </c>
      <c r="C126" s="3">
        <v>16000</v>
      </c>
      <c r="D126" s="3">
        <v>250000000</v>
      </c>
      <c r="E126" s="3">
        <v>1774634348</v>
      </c>
      <c r="F126" s="3">
        <v>1131146603</v>
      </c>
      <c r="G126" s="3">
        <v>19800000</v>
      </c>
      <c r="H126" s="3">
        <v>408000</v>
      </c>
      <c r="I126" s="3">
        <v>0</v>
      </c>
      <c r="J126" s="3">
        <v>2500000</v>
      </c>
      <c r="K126" s="3">
        <v>0</v>
      </c>
      <c r="L126" s="3">
        <f t="shared" si="2"/>
        <v>3178504951</v>
      </c>
      <c r="M126" s="1">
        <v>-1273192161</v>
      </c>
      <c r="N126" s="1">
        <v>-230971842</v>
      </c>
      <c r="O126" s="1">
        <v>-3300000</v>
      </c>
      <c r="P126" s="1">
        <v>0</v>
      </c>
      <c r="Q126" s="1">
        <v>0</v>
      </c>
      <c r="R126" s="1">
        <f t="shared" si="3"/>
        <v>1671040948</v>
      </c>
    </row>
    <row r="127" spans="1:18">
      <c r="A127" t="s">
        <v>134</v>
      </c>
      <c r="C127" s="3">
        <v>11831300</v>
      </c>
      <c r="D127" s="3">
        <v>4301093500</v>
      </c>
      <c r="E127" s="3">
        <v>1240943118</v>
      </c>
      <c r="F127" s="3">
        <v>5829397850</v>
      </c>
      <c r="G127" s="3">
        <v>0</v>
      </c>
      <c r="H127" s="3">
        <v>3236694</v>
      </c>
      <c r="I127" s="3">
        <v>0</v>
      </c>
      <c r="J127" s="3">
        <v>0</v>
      </c>
      <c r="K127" s="3">
        <v>0</v>
      </c>
      <c r="L127" s="3">
        <f t="shared" si="2"/>
        <v>11386502462</v>
      </c>
      <c r="M127" s="1">
        <v>-946271060</v>
      </c>
      <c r="N127" s="1">
        <v>-369769547</v>
      </c>
      <c r="O127" s="1">
        <v>0</v>
      </c>
      <c r="P127" s="1">
        <v>0</v>
      </c>
      <c r="Q127" s="1">
        <v>0</v>
      </c>
      <c r="R127" s="1">
        <f t="shared" si="3"/>
        <v>10070461855</v>
      </c>
    </row>
    <row r="128" spans="1:18">
      <c r="A128" t="s">
        <v>135</v>
      </c>
      <c r="C128" s="3">
        <v>9206550</v>
      </c>
      <c r="D128" s="3">
        <v>4318535000</v>
      </c>
      <c r="E128" s="3">
        <v>1262874946</v>
      </c>
      <c r="F128" s="3">
        <v>5774443200</v>
      </c>
      <c r="G128" s="3">
        <v>39943000</v>
      </c>
      <c r="H128" s="3">
        <v>3674680</v>
      </c>
      <c r="I128" s="3">
        <v>0</v>
      </c>
      <c r="J128" s="3">
        <v>0</v>
      </c>
      <c r="K128" s="3">
        <v>59587800</v>
      </c>
      <c r="L128" s="3">
        <f t="shared" si="2"/>
        <v>11468265176</v>
      </c>
      <c r="M128" s="1">
        <v>-796081184</v>
      </c>
      <c r="N128" s="1">
        <v>-384315035</v>
      </c>
      <c r="O128" s="1">
        <v>-2496438</v>
      </c>
      <c r="P128" s="1">
        <v>0</v>
      </c>
      <c r="Q128" s="1">
        <v>-59587800</v>
      </c>
      <c r="R128" s="1">
        <f t="shared" si="3"/>
        <v>10225784719</v>
      </c>
    </row>
    <row r="129" spans="1:18">
      <c r="A129" t="s">
        <v>136</v>
      </c>
      <c r="C129" s="3">
        <v>2333950</v>
      </c>
      <c r="D129" s="3">
        <v>3111568000</v>
      </c>
      <c r="E129" s="3">
        <v>929503629</v>
      </c>
      <c r="F129" s="3">
        <v>4801402052</v>
      </c>
      <c r="G129" s="3">
        <v>0</v>
      </c>
      <c r="H129" s="3">
        <v>11087228</v>
      </c>
      <c r="I129" s="3">
        <v>0</v>
      </c>
      <c r="J129" s="3">
        <v>2500000</v>
      </c>
      <c r="K129" s="3">
        <v>6000</v>
      </c>
      <c r="L129" s="3">
        <f t="shared" si="2"/>
        <v>8858400859</v>
      </c>
      <c r="M129" s="1">
        <v>-667710122</v>
      </c>
      <c r="N129" s="1">
        <v>-400976924</v>
      </c>
      <c r="O129" s="1">
        <v>0</v>
      </c>
      <c r="P129" s="1">
        <v>0</v>
      </c>
      <c r="Q129" s="1">
        <v>-6000</v>
      </c>
      <c r="R129" s="1">
        <f t="shared" si="3"/>
        <v>7789707813</v>
      </c>
    </row>
    <row r="130" spans="1:18">
      <c r="A130" t="s">
        <v>137</v>
      </c>
      <c r="C130" s="3">
        <v>13423500</v>
      </c>
      <c r="D130" s="3">
        <v>1272000000</v>
      </c>
      <c r="E130" s="3">
        <v>1450980624</v>
      </c>
      <c r="F130" s="3">
        <v>1702444500</v>
      </c>
      <c r="G130" s="3">
        <v>0</v>
      </c>
      <c r="H130" s="3">
        <v>4184300</v>
      </c>
      <c r="I130" s="3">
        <v>0</v>
      </c>
      <c r="J130" s="3">
        <v>0</v>
      </c>
      <c r="K130" s="3">
        <v>0</v>
      </c>
      <c r="L130" s="3">
        <f t="shared" si="2"/>
        <v>4443032924</v>
      </c>
      <c r="M130" s="1">
        <v>-1077090763</v>
      </c>
      <c r="N130" s="1">
        <v>-251907082</v>
      </c>
      <c r="O130" s="1">
        <v>0</v>
      </c>
      <c r="P130" s="1">
        <v>0</v>
      </c>
      <c r="Q130" s="1">
        <v>0</v>
      </c>
      <c r="R130" s="1">
        <f t="shared" si="3"/>
        <v>3114035079</v>
      </c>
    </row>
    <row r="131" spans="1:18">
      <c r="A131" t="s">
        <v>138</v>
      </c>
      <c r="C131" s="3">
        <v>5140348</v>
      </c>
      <c r="D131" s="3">
        <v>1235268000</v>
      </c>
      <c r="E131" s="3">
        <v>1012331874</v>
      </c>
      <c r="F131" s="3">
        <v>1837398000</v>
      </c>
      <c r="G131" s="3">
        <v>33656920</v>
      </c>
      <c r="H131" s="3">
        <v>12421300</v>
      </c>
      <c r="I131" s="3">
        <v>0</v>
      </c>
      <c r="J131" s="3">
        <v>0</v>
      </c>
      <c r="K131" s="3">
        <v>36958000</v>
      </c>
      <c r="L131" s="3">
        <f t="shared" ref="L131:L194" si="4">SUM(C131:K131)</f>
        <v>4173174442</v>
      </c>
      <c r="M131" s="1">
        <v>-826966012</v>
      </c>
      <c r="N131" s="1">
        <v>-309254849</v>
      </c>
      <c r="O131" s="1">
        <v>-5889962</v>
      </c>
      <c r="P131" s="1">
        <v>0</v>
      </c>
      <c r="Q131" s="1">
        <v>-36052000</v>
      </c>
      <c r="R131" s="1">
        <f t="shared" ref="R131:R194" si="5">SUM(L131:Q131)</f>
        <v>2995011619</v>
      </c>
    </row>
    <row r="132" spans="1:18">
      <c r="A132" t="s">
        <v>139</v>
      </c>
      <c r="C132" s="3">
        <v>9914000</v>
      </c>
      <c r="D132" s="3">
        <v>3718698000</v>
      </c>
      <c r="E132" s="3">
        <v>1015792963</v>
      </c>
      <c r="F132" s="3">
        <v>1814794000</v>
      </c>
      <c r="G132" s="3">
        <v>52700000</v>
      </c>
      <c r="H132" s="3">
        <v>4184578</v>
      </c>
      <c r="I132" s="3">
        <v>0</v>
      </c>
      <c r="J132" s="3">
        <v>0</v>
      </c>
      <c r="K132" s="3">
        <v>36380365</v>
      </c>
      <c r="L132" s="3">
        <f t="shared" si="4"/>
        <v>6652463906</v>
      </c>
      <c r="M132" s="1">
        <v>-785927620</v>
      </c>
      <c r="N132" s="1">
        <v>-238580652</v>
      </c>
      <c r="O132" s="1">
        <v>-9722500</v>
      </c>
      <c r="P132" s="1">
        <v>0</v>
      </c>
      <c r="Q132" s="1">
        <v>-36380365</v>
      </c>
      <c r="R132" s="1">
        <f t="shared" si="5"/>
        <v>5581852769</v>
      </c>
    </row>
    <row r="133" spans="1:18">
      <c r="A133" t="s">
        <v>140</v>
      </c>
      <c r="C133" s="3">
        <v>24432050</v>
      </c>
      <c r="D133" s="3">
        <v>3779008000</v>
      </c>
      <c r="E133" s="3">
        <v>1372743441</v>
      </c>
      <c r="F133" s="3">
        <v>2002845300</v>
      </c>
      <c r="G133" s="3">
        <v>34890000</v>
      </c>
      <c r="H133" s="3">
        <v>37416678</v>
      </c>
      <c r="I133" s="3">
        <v>0</v>
      </c>
      <c r="J133" s="3">
        <v>2500000</v>
      </c>
      <c r="K133" s="3">
        <v>2814000</v>
      </c>
      <c r="L133" s="3">
        <f t="shared" si="4"/>
        <v>7256649469</v>
      </c>
      <c r="M133" s="1">
        <v>-1110992565</v>
      </c>
      <c r="N133" s="1">
        <v>-269961547</v>
      </c>
      <c r="O133" s="1">
        <v>-6105750</v>
      </c>
      <c r="P133" s="1">
        <v>0</v>
      </c>
      <c r="Q133" s="1">
        <v>-2814000</v>
      </c>
      <c r="R133" s="1">
        <f t="shared" si="5"/>
        <v>5866775607</v>
      </c>
    </row>
    <row r="134" spans="1:18">
      <c r="A134" t="s">
        <v>141</v>
      </c>
      <c r="C134" s="3">
        <v>1746500</v>
      </c>
      <c r="D134" s="3">
        <v>960000000</v>
      </c>
      <c r="E134" s="3">
        <v>1119336782</v>
      </c>
      <c r="F134" s="3">
        <v>3549119000</v>
      </c>
      <c r="G134" s="3">
        <v>30000000</v>
      </c>
      <c r="H134" s="3">
        <v>6736680</v>
      </c>
      <c r="I134" s="3">
        <v>0</v>
      </c>
      <c r="J134" s="3">
        <v>0</v>
      </c>
      <c r="K134" s="3">
        <v>264157500</v>
      </c>
      <c r="L134" s="3">
        <f t="shared" si="4"/>
        <v>5931096462</v>
      </c>
      <c r="M134" s="1">
        <v>-945233770</v>
      </c>
      <c r="N134" s="1">
        <v>-549272000</v>
      </c>
      <c r="O134" s="1">
        <v>-4875000</v>
      </c>
      <c r="P134" s="1">
        <v>-3500000</v>
      </c>
      <c r="Q134" s="1">
        <v>-128806915</v>
      </c>
      <c r="R134" s="1">
        <f t="shared" si="5"/>
        <v>4299408777</v>
      </c>
    </row>
    <row r="135" spans="1:18">
      <c r="A135" t="s">
        <v>142</v>
      </c>
      <c r="C135" s="3">
        <v>6580100</v>
      </c>
      <c r="D135" s="3">
        <v>2784555200</v>
      </c>
      <c r="E135" s="3">
        <v>1078592198</v>
      </c>
      <c r="F135" s="3">
        <v>3736996200</v>
      </c>
      <c r="G135" s="3">
        <v>0</v>
      </c>
      <c r="H135" s="3">
        <v>3746580</v>
      </c>
      <c r="I135" s="3">
        <v>0</v>
      </c>
      <c r="J135" s="3">
        <v>0</v>
      </c>
      <c r="K135" s="3">
        <v>4152700</v>
      </c>
      <c r="L135" s="3">
        <f t="shared" si="4"/>
        <v>7614622978</v>
      </c>
      <c r="M135" s="1">
        <v>-807252108</v>
      </c>
      <c r="N135" s="1">
        <v>-312600037</v>
      </c>
      <c r="O135" s="1">
        <v>0</v>
      </c>
      <c r="P135" s="1">
        <v>0</v>
      </c>
      <c r="Q135" s="1">
        <v>-4152700</v>
      </c>
      <c r="R135" s="1">
        <f t="shared" si="5"/>
        <v>6490618133</v>
      </c>
    </row>
    <row r="136" spans="1:18">
      <c r="A136" t="s">
        <v>143</v>
      </c>
      <c r="C136" s="3">
        <v>9388684</v>
      </c>
      <c r="D136" s="3">
        <v>2751740000</v>
      </c>
      <c r="E136" s="3">
        <v>1043185984</v>
      </c>
      <c r="F136" s="3">
        <v>2758316100</v>
      </c>
      <c r="G136" s="3">
        <v>130519400</v>
      </c>
      <c r="H136" s="3">
        <v>11320080</v>
      </c>
      <c r="I136" s="3">
        <v>0</v>
      </c>
      <c r="J136" s="3">
        <v>0</v>
      </c>
      <c r="K136" s="3">
        <v>0</v>
      </c>
      <c r="L136" s="3">
        <f t="shared" si="4"/>
        <v>6704470248</v>
      </c>
      <c r="M136" s="1">
        <v>-800327913</v>
      </c>
      <c r="N136" s="1">
        <v>-358775016</v>
      </c>
      <c r="O136" s="1">
        <v>-17381495</v>
      </c>
      <c r="P136" s="1">
        <v>-5400000</v>
      </c>
      <c r="Q136" s="1">
        <v>0</v>
      </c>
      <c r="R136" s="1">
        <f t="shared" si="5"/>
        <v>5522585824</v>
      </c>
    </row>
    <row r="137" spans="1:18">
      <c r="A137" t="s">
        <v>144</v>
      </c>
      <c r="C137" s="3">
        <v>1352500</v>
      </c>
      <c r="D137" s="3">
        <v>2370150000</v>
      </c>
      <c r="E137" s="3">
        <v>1092361433</v>
      </c>
      <c r="F137" s="3">
        <v>2538884500</v>
      </c>
      <c r="G137" s="3">
        <v>130130000</v>
      </c>
      <c r="H137" s="3">
        <v>3286680</v>
      </c>
      <c r="I137" s="3">
        <v>0</v>
      </c>
      <c r="J137" s="3">
        <v>9500000</v>
      </c>
      <c r="K137" s="3">
        <v>0</v>
      </c>
      <c r="L137" s="3">
        <f t="shared" si="4"/>
        <v>6145665113</v>
      </c>
      <c r="M137" s="1">
        <v>-1044909254</v>
      </c>
      <c r="N137" s="1">
        <v>-328383584</v>
      </c>
      <c r="O137" s="1">
        <v>-15675500</v>
      </c>
      <c r="P137" s="1">
        <v>0</v>
      </c>
      <c r="Q137" s="1">
        <v>0</v>
      </c>
      <c r="R137" s="1">
        <f t="shared" si="5"/>
        <v>4756696775</v>
      </c>
    </row>
    <row r="138" spans="1:18">
      <c r="A138" t="s">
        <v>145</v>
      </c>
      <c r="C138" s="3">
        <v>12583973</v>
      </c>
      <c r="D138" s="3">
        <v>2061202500</v>
      </c>
      <c r="E138" s="3">
        <v>3966913018</v>
      </c>
      <c r="F138" s="3">
        <v>1754821414</v>
      </c>
      <c r="G138" s="3">
        <v>47166400</v>
      </c>
      <c r="H138" s="3">
        <v>16209820</v>
      </c>
      <c r="I138" s="3">
        <v>0</v>
      </c>
      <c r="J138" s="3">
        <v>0</v>
      </c>
      <c r="K138" s="3">
        <v>0</v>
      </c>
      <c r="L138" s="3">
        <f t="shared" si="4"/>
        <v>7858897125</v>
      </c>
      <c r="M138" s="1">
        <v>-3618928342</v>
      </c>
      <c r="N138" s="1">
        <v>-281425755</v>
      </c>
      <c r="O138" s="1">
        <v>-40091440</v>
      </c>
      <c r="P138" s="1">
        <v>0</v>
      </c>
      <c r="Q138" s="1">
        <v>0</v>
      </c>
      <c r="R138" s="1">
        <f t="shared" si="5"/>
        <v>3918451588</v>
      </c>
    </row>
    <row r="139" spans="1:18">
      <c r="A139" t="s">
        <v>146</v>
      </c>
      <c r="C139" s="3">
        <v>9493100</v>
      </c>
      <c r="D139" s="3">
        <v>555000000</v>
      </c>
      <c r="E139" s="3">
        <v>1474093161</v>
      </c>
      <c r="F139" s="3">
        <v>4723082000</v>
      </c>
      <c r="G139" s="3">
        <v>0</v>
      </c>
      <c r="H139" s="3">
        <v>3746576</v>
      </c>
      <c r="I139" s="3">
        <v>0</v>
      </c>
      <c r="J139" s="3">
        <v>2500000</v>
      </c>
      <c r="K139" s="3">
        <v>53598940</v>
      </c>
      <c r="L139" s="3">
        <f t="shared" si="4"/>
        <v>6821513777</v>
      </c>
      <c r="M139" s="1">
        <v>-1152556945</v>
      </c>
      <c r="N139" s="1">
        <v>-831897500</v>
      </c>
      <c r="O139" s="1">
        <v>0</v>
      </c>
      <c r="P139" s="1">
        <v>0</v>
      </c>
      <c r="Q139" s="1">
        <v>-53453940</v>
      </c>
      <c r="R139" s="1">
        <f t="shared" si="5"/>
        <v>4783605392</v>
      </c>
    </row>
    <row r="140" spans="1:18">
      <c r="A140" t="s">
        <v>147</v>
      </c>
      <c r="C140" s="3">
        <v>5162590</v>
      </c>
      <c r="D140" s="3">
        <v>833000000</v>
      </c>
      <c r="E140" s="3">
        <v>1500713700</v>
      </c>
      <c r="F140" s="3">
        <v>4381108000</v>
      </c>
      <c r="G140" s="3">
        <v>24650000</v>
      </c>
      <c r="H140" s="3">
        <v>4184580</v>
      </c>
      <c r="I140" s="3">
        <v>0</v>
      </c>
      <c r="J140" s="3">
        <v>0</v>
      </c>
      <c r="K140" s="3">
        <v>0</v>
      </c>
      <c r="L140" s="3">
        <f t="shared" si="4"/>
        <v>6748818870</v>
      </c>
      <c r="M140" s="1">
        <v>-1347515703</v>
      </c>
      <c r="N140" s="1">
        <v>-765664287</v>
      </c>
      <c r="O140" s="1">
        <v>-2465000</v>
      </c>
      <c r="P140" s="1">
        <v>0</v>
      </c>
      <c r="Q140" s="1">
        <v>0</v>
      </c>
      <c r="R140" s="1">
        <f t="shared" si="5"/>
        <v>4633173880</v>
      </c>
    </row>
    <row r="141" spans="1:18">
      <c r="A141" t="s">
        <v>148</v>
      </c>
      <c r="C141" s="3">
        <v>619300</v>
      </c>
      <c r="D141" s="3">
        <v>10017600000</v>
      </c>
      <c r="E141" s="3">
        <v>2641322855</v>
      </c>
      <c r="F141" s="3">
        <v>7295288500</v>
      </c>
      <c r="G141" s="3">
        <v>0</v>
      </c>
      <c r="H141" s="3">
        <v>2828678</v>
      </c>
      <c r="I141" s="3">
        <v>0</v>
      </c>
      <c r="J141" s="3">
        <v>1900000</v>
      </c>
      <c r="K141" s="3">
        <v>9761000</v>
      </c>
      <c r="L141" s="3">
        <f t="shared" si="4"/>
        <v>19969320333</v>
      </c>
      <c r="M141" s="1">
        <v>-2210005821</v>
      </c>
      <c r="N141" s="1">
        <v>-467501184</v>
      </c>
      <c r="O141" s="1">
        <v>0</v>
      </c>
      <c r="P141" s="1">
        <v>0</v>
      </c>
      <c r="Q141" s="1">
        <v>-9761000</v>
      </c>
      <c r="R141" s="1">
        <f t="shared" si="5"/>
        <v>17282052328</v>
      </c>
    </row>
    <row r="142" spans="1:18">
      <c r="A142" t="s">
        <v>149</v>
      </c>
      <c r="C142" s="3">
        <v>1664300</v>
      </c>
      <c r="D142" s="3">
        <v>0</v>
      </c>
      <c r="E142" s="3">
        <v>1115878448</v>
      </c>
      <c r="F142" s="3">
        <v>1447328450</v>
      </c>
      <c r="G142" s="3">
        <v>92065000</v>
      </c>
      <c r="H142" s="3">
        <v>7852680</v>
      </c>
      <c r="I142" s="3">
        <v>0</v>
      </c>
      <c r="J142" s="3">
        <v>0</v>
      </c>
      <c r="K142" s="3">
        <v>0</v>
      </c>
      <c r="L142" s="3">
        <f t="shared" si="4"/>
        <v>2664788878</v>
      </c>
      <c r="M142" s="1">
        <v>-759683103</v>
      </c>
      <c r="N142" s="1">
        <v>-182678176</v>
      </c>
      <c r="O142" s="1">
        <v>-51787626</v>
      </c>
      <c r="P142" s="1">
        <v>0</v>
      </c>
      <c r="Q142" s="1">
        <v>0</v>
      </c>
      <c r="R142" s="1">
        <f t="shared" si="5"/>
        <v>1670639973</v>
      </c>
    </row>
    <row r="143" spans="1:18">
      <c r="A143" t="s">
        <v>150</v>
      </c>
      <c r="C143" s="3">
        <v>690000</v>
      </c>
      <c r="D143" s="3">
        <v>2686180000</v>
      </c>
      <c r="E143" s="3">
        <v>1709437750</v>
      </c>
      <c r="F143" s="3">
        <v>0</v>
      </c>
      <c r="G143" s="3">
        <v>0</v>
      </c>
      <c r="H143" s="3">
        <v>2828678</v>
      </c>
      <c r="I143" s="3">
        <v>0</v>
      </c>
      <c r="J143" s="3">
        <v>99220000</v>
      </c>
      <c r="K143" s="3">
        <v>128653050</v>
      </c>
      <c r="L143" s="3">
        <f t="shared" si="4"/>
        <v>4627009478</v>
      </c>
      <c r="M143" s="1">
        <v>-1540662580</v>
      </c>
      <c r="N143" s="1">
        <v>0</v>
      </c>
      <c r="O143" s="1">
        <v>0</v>
      </c>
      <c r="P143" s="1">
        <v>0</v>
      </c>
      <c r="Q143" s="1">
        <v>-128653050</v>
      </c>
      <c r="R143" s="1">
        <f t="shared" si="5"/>
        <v>2957693848</v>
      </c>
    </row>
    <row r="144" spans="1:18">
      <c r="A144" t="s">
        <v>151</v>
      </c>
      <c r="C144" s="3">
        <v>20073550</v>
      </c>
      <c r="D144" s="3">
        <v>26622419160</v>
      </c>
      <c r="E144" s="3">
        <v>4318542407</v>
      </c>
      <c r="F144" s="3">
        <v>12221212450</v>
      </c>
      <c r="G144" s="3">
        <v>320372000</v>
      </c>
      <c r="H144" s="3">
        <v>102285518</v>
      </c>
      <c r="I144" s="3">
        <v>0</v>
      </c>
      <c r="J144" s="3">
        <v>135273105</v>
      </c>
      <c r="K144" s="3">
        <v>73276000</v>
      </c>
      <c r="L144" s="3">
        <f t="shared" si="4"/>
        <v>43813454190</v>
      </c>
      <c r="M144" s="1">
        <v>-3688068601</v>
      </c>
      <c r="N144" s="1">
        <v>-7045199449</v>
      </c>
      <c r="O144" s="1">
        <v>-31800990</v>
      </c>
      <c r="P144" s="1">
        <v>0</v>
      </c>
      <c r="Q144" s="1">
        <v>-73276000</v>
      </c>
      <c r="R144" s="1">
        <f t="shared" si="5"/>
        <v>32975109150</v>
      </c>
    </row>
    <row r="145" spans="1:18">
      <c r="A145" t="s">
        <v>152</v>
      </c>
      <c r="C145" s="3">
        <v>3282450</v>
      </c>
      <c r="D145" s="3">
        <v>4767911000</v>
      </c>
      <c r="E145" s="3">
        <v>1993352331</v>
      </c>
      <c r="F145" s="3">
        <v>3797968241</v>
      </c>
      <c r="G145" s="3">
        <v>78769000</v>
      </c>
      <c r="H145" s="3">
        <v>31043740</v>
      </c>
      <c r="I145" s="3">
        <v>8832141153</v>
      </c>
      <c r="J145" s="3">
        <v>0</v>
      </c>
      <c r="K145" s="3">
        <v>103768500</v>
      </c>
      <c r="L145" s="3">
        <f t="shared" si="4"/>
        <v>19608236415</v>
      </c>
      <c r="M145" s="1">
        <v>-1464026451</v>
      </c>
      <c r="N145" s="1">
        <v>-2788935808</v>
      </c>
      <c r="O145" s="1">
        <v>-11815350</v>
      </c>
      <c r="P145" s="1">
        <v>0</v>
      </c>
      <c r="Q145" s="1">
        <v>-103768500</v>
      </c>
      <c r="R145" s="1">
        <f t="shared" si="5"/>
        <v>15239690306</v>
      </c>
    </row>
    <row r="146" spans="1:18">
      <c r="A146" t="s">
        <v>153</v>
      </c>
      <c r="C146" s="3">
        <v>5938400</v>
      </c>
      <c r="D146" s="3">
        <v>4139640000</v>
      </c>
      <c r="E146" s="3">
        <v>1958232042</v>
      </c>
      <c r="F146" s="3">
        <v>5187010000</v>
      </c>
      <c r="G146" s="3">
        <v>357754000</v>
      </c>
      <c r="H146" s="3">
        <v>34503890</v>
      </c>
      <c r="I146" s="3">
        <v>0</v>
      </c>
      <c r="J146" s="3">
        <v>111237500</v>
      </c>
      <c r="K146" s="3">
        <v>0</v>
      </c>
      <c r="L146" s="3">
        <f t="shared" si="4"/>
        <v>11794315832</v>
      </c>
      <c r="M146" s="1">
        <v>-1647791779</v>
      </c>
      <c r="N146" s="1">
        <v>-3359278000</v>
      </c>
      <c r="O146" s="1">
        <v>-49191175</v>
      </c>
      <c r="P146" s="1">
        <v>0</v>
      </c>
      <c r="Q146" s="1">
        <v>0</v>
      </c>
      <c r="R146" s="1">
        <f t="shared" si="5"/>
        <v>6738054878</v>
      </c>
    </row>
    <row r="147" spans="1:18">
      <c r="A147" t="s">
        <v>154</v>
      </c>
      <c r="C147" s="3">
        <v>6205369</v>
      </c>
      <c r="D147" s="3">
        <v>6777198000</v>
      </c>
      <c r="E147" s="3">
        <v>2737303881</v>
      </c>
      <c r="F147" s="3">
        <v>11163512048</v>
      </c>
      <c r="G147" s="3">
        <v>0</v>
      </c>
      <c r="H147" s="3">
        <v>9038462</v>
      </c>
      <c r="I147" s="3">
        <v>0</v>
      </c>
      <c r="J147" s="3">
        <v>90450000</v>
      </c>
      <c r="K147" s="3">
        <v>96000</v>
      </c>
      <c r="L147" s="3">
        <f t="shared" si="4"/>
        <v>20783803760</v>
      </c>
      <c r="M147" s="1">
        <v>-2106349937</v>
      </c>
      <c r="N147" s="1">
        <v>-3170945423</v>
      </c>
      <c r="O147" s="1">
        <v>0</v>
      </c>
      <c r="P147" s="1">
        <v>0</v>
      </c>
      <c r="Q147" s="1">
        <v>-96000</v>
      </c>
      <c r="R147" s="1">
        <f t="shared" si="5"/>
        <v>15506412400</v>
      </c>
    </row>
    <row r="148" spans="1:18">
      <c r="A148" t="s">
        <v>155</v>
      </c>
      <c r="C148" s="3">
        <v>6151600</v>
      </c>
      <c r="D148" s="3">
        <v>4089224000</v>
      </c>
      <c r="E148" s="3">
        <v>2018975209</v>
      </c>
      <c r="F148" s="3">
        <v>5065365550</v>
      </c>
      <c r="G148" s="3">
        <v>29150000</v>
      </c>
      <c r="H148" s="3">
        <v>43740440</v>
      </c>
      <c r="I148" s="3">
        <v>0</v>
      </c>
      <c r="J148" s="3">
        <v>74570000</v>
      </c>
      <c r="K148" s="3">
        <v>58921000</v>
      </c>
      <c r="L148" s="3">
        <f t="shared" si="4"/>
        <v>11386097799</v>
      </c>
      <c r="M148" s="1">
        <v>-1858299014</v>
      </c>
      <c r="N148" s="1">
        <v>-3319274028</v>
      </c>
      <c r="O148" s="1">
        <v>-18947500</v>
      </c>
      <c r="P148" s="1">
        <v>0</v>
      </c>
      <c r="Q148" s="1">
        <v>-58921000</v>
      </c>
      <c r="R148" s="1">
        <f t="shared" si="5"/>
        <v>6130656257</v>
      </c>
    </row>
    <row r="149" spans="1:18">
      <c r="A149" t="s">
        <v>156</v>
      </c>
      <c r="C149" s="3">
        <v>10324706</v>
      </c>
      <c r="D149" s="3">
        <v>8796858000</v>
      </c>
      <c r="E149" s="3">
        <v>5442917941</v>
      </c>
      <c r="F149" s="3">
        <v>15451541112</v>
      </c>
      <c r="G149" s="3">
        <v>155789484</v>
      </c>
      <c r="H149" s="3">
        <v>161830482</v>
      </c>
      <c r="I149" s="3">
        <v>0</v>
      </c>
      <c r="J149" s="3">
        <v>76347200</v>
      </c>
      <c r="K149" s="3">
        <v>0</v>
      </c>
      <c r="L149" s="3">
        <f t="shared" si="4"/>
        <v>30095608925</v>
      </c>
      <c r="M149" s="1">
        <v>-4740362063</v>
      </c>
      <c r="N149" s="1">
        <v>-3670466295</v>
      </c>
      <c r="O149" s="1">
        <v>-25597044</v>
      </c>
      <c r="P149" s="1">
        <v>0</v>
      </c>
      <c r="Q149" s="1">
        <v>0</v>
      </c>
      <c r="R149" s="1">
        <f t="shared" si="5"/>
        <v>21659183523</v>
      </c>
    </row>
    <row r="150" spans="1:18">
      <c r="A150" t="s">
        <v>157</v>
      </c>
      <c r="C150" s="3">
        <v>3779270</v>
      </c>
      <c r="D150" s="3">
        <v>9454700000</v>
      </c>
      <c r="E150" s="3">
        <v>1971812011</v>
      </c>
      <c r="F150" s="3">
        <v>4929803639</v>
      </c>
      <c r="G150" s="3">
        <v>211014280</v>
      </c>
      <c r="H150" s="3">
        <v>26575170</v>
      </c>
      <c r="I150" s="3">
        <v>0</v>
      </c>
      <c r="J150" s="3">
        <v>38080000</v>
      </c>
      <c r="K150" s="3">
        <v>98000</v>
      </c>
      <c r="L150" s="3">
        <f t="shared" si="4"/>
        <v>16635862370</v>
      </c>
      <c r="M150" s="1">
        <v>-1758517200</v>
      </c>
      <c r="N150" s="1">
        <v>-788871784</v>
      </c>
      <c r="O150" s="1">
        <v>-30859210</v>
      </c>
      <c r="P150" s="1">
        <v>0</v>
      </c>
      <c r="Q150" s="1">
        <v>-98000</v>
      </c>
      <c r="R150" s="1">
        <f t="shared" si="5"/>
        <v>14057516176</v>
      </c>
    </row>
    <row r="151" spans="1:18">
      <c r="A151" t="s">
        <v>158</v>
      </c>
      <c r="C151" s="3">
        <v>2388605</v>
      </c>
      <c r="D151" s="3">
        <v>1209235000</v>
      </c>
      <c r="E151" s="3">
        <v>1662325750</v>
      </c>
      <c r="F151" s="3">
        <v>3175467000</v>
      </c>
      <c r="G151" s="3">
        <v>0</v>
      </c>
      <c r="H151" s="3">
        <v>18163948</v>
      </c>
      <c r="I151" s="3">
        <v>0</v>
      </c>
      <c r="J151" s="3">
        <v>0</v>
      </c>
      <c r="K151" s="3">
        <v>36264000</v>
      </c>
      <c r="L151" s="3">
        <f t="shared" si="4"/>
        <v>6103844303</v>
      </c>
      <c r="M151" s="1">
        <v>-1391023696</v>
      </c>
      <c r="N151" s="1">
        <v>-797452680</v>
      </c>
      <c r="O151" s="1">
        <v>0</v>
      </c>
      <c r="P151" s="1">
        <v>0</v>
      </c>
      <c r="Q151" s="1">
        <v>-36049000</v>
      </c>
      <c r="R151" s="1">
        <f t="shared" si="5"/>
        <v>3879318927</v>
      </c>
    </row>
    <row r="152" spans="1:18">
      <c r="A152" t="s">
        <v>159</v>
      </c>
      <c r="C152" s="3">
        <v>6488900</v>
      </c>
      <c r="D152" s="3">
        <v>1824860000</v>
      </c>
      <c r="E152" s="3">
        <v>1823468186</v>
      </c>
      <c r="F152" s="3">
        <v>5635972525</v>
      </c>
      <c r="G152" s="3">
        <v>0</v>
      </c>
      <c r="H152" s="3">
        <v>5463670</v>
      </c>
      <c r="I152" s="3">
        <v>0</v>
      </c>
      <c r="J152" s="3">
        <v>0</v>
      </c>
      <c r="K152" s="3">
        <v>79513500</v>
      </c>
      <c r="L152" s="3">
        <f t="shared" si="4"/>
        <v>9375766781</v>
      </c>
      <c r="M152" s="1">
        <v>-1307124068</v>
      </c>
      <c r="N152" s="1">
        <v>-798766243</v>
      </c>
      <c r="O152" s="1">
        <v>0</v>
      </c>
      <c r="P152" s="1">
        <v>0</v>
      </c>
      <c r="Q152" s="1">
        <v>-78218500</v>
      </c>
      <c r="R152" s="1">
        <f t="shared" si="5"/>
        <v>7191657970</v>
      </c>
    </row>
    <row r="153" spans="1:18">
      <c r="A153" t="s">
        <v>160</v>
      </c>
      <c r="C153" s="3">
        <v>3202075</v>
      </c>
      <c r="D153" s="3">
        <v>2184780000</v>
      </c>
      <c r="E153" s="3">
        <v>1578448625</v>
      </c>
      <c r="F153" s="3">
        <v>5563847545</v>
      </c>
      <c r="G153" s="3">
        <v>0</v>
      </c>
      <c r="H153" s="3">
        <v>5901670</v>
      </c>
      <c r="I153" s="3">
        <v>0</v>
      </c>
      <c r="J153" s="3">
        <v>0</v>
      </c>
      <c r="K153" s="3">
        <v>1757000</v>
      </c>
      <c r="L153" s="3">
        <f t="shared" si="4"/>
        <v>9337936915</v>
      </c>
      <c r="M153" s="1">
        <v>-1235111472</v>
      </c>
      <c r="N153" s="1">
        <v>-1836475783</v>
      </c>
      <c r="O153" s="1">
        <v>0</v>
      </c>
      <c r="P153" s="1">
        <v>0</v>
      </c>
      <c r="Q153" s="1">
        <v>-1757000</v>
      </c>
      <c r="R153" s="1">
        <f t="shared" si="5"/>
        <v>6264592660</v>
      </c>
    </row>
    <row r="154" spans="1:18">
      <c r="A154" t="s">
        <v>161</v>
      </c>
      <c r="C154" s="3">
        <v>10110975</v>
      </c>
      <c r="D154" s="3">
        <v>2829940000</v>
      </c>
      <c r="E154" s="3">
        <v>1892816529</v>
      </c>
      <c r="F154" s="3">
        <v>5748736625</v>
      </c>
      <c r="G154" s="3">
        <v>0</v>
      </c>
      <c r="H154" s="3">
        <v>19688948</v>
      </c>
      <c r="I154" s="3">
        <v>0</v>
      </c>
      <c r="J154" s="3">
        <v>0</v>
      </c>
      <c r="K154" s="3">
        <v>38722000</v>
      </c>
      <c r="L154" s="3">
        <f t="shared" si="4"/>
        <v>10540015077</v>
      </c>
      <c r="M154" s="1">
        <v>-1534037166</v>
      </c>
      <c r="N154" s="1">
        <v>-625717729</v>
      </c>
      <c r="O154" s="1">
        <v>0</v>
      </c>
      <c r="P154" s="1">
        <v>0</v>
      </c>
      <c r="Q154" s="1">
        <v>-38722000</v>
      </c>
      <c r="R154" s="1">
        <f t="shared" si="5"/>
        <v>8341538182</v>
      </c>
    </row>
    <row r="155" spans="1:18">
      <c r="A155" t="s">
        <v>162</v>
      </c>
      <c r="C155" s="3">
        <v>15268195</v>
      </c>
      <c r="D155" s="3">
        <v>7137800000</v>
      </c>
      <c r="E155" s="3">
        <v>4076528022</v>
      </c>
      <c r="F155" s="3">
        <v>8122942300</v>
      </c>
      <c r="G155" s="3">
        <v>57332000</v>
      </c>
      <c r="H155" s="3">
        <v>85654070</v>
      </c>
      <c r="I155" s="3">
        <v>0</v>
      </c>
      <c r="J155" s="3">
        <v>39625000</v>
      </c>
      <c r="K155" s="3">
        <v>0</v>
      </c>
      <c r="L155" s="3">
        <f t="shared" si="4"/>
        <v>19535149587</v>
      </c>
      <c r="M155" s="1">
        <v>-3315160734</v>
      </c>
      <c r="N155" s="1">
        <v>-2023615197</v>
      </c>
      <c r="O155" s="1">
        <v>-5239400</v>
      </c>
      <c r="P155" s="1">
        <v>-13825000</v>
      </c>
      <c r="Q155" s="1">
        <v>0</v>
      </c>
      <c r="R155" s="1">
        <f t="shared" si="5"/>
        <v>14177309256</v>
      </c>
    </row>
    <row r="156" spans="1:18">
      <c r="A156" t="s">
        <v>163</v>
      </c>
      <c r="C156" s="3">
        <v>6176685</v>
      </c>
      <c r="D156" s="3">
        <v>9493202000</v>
      </c>
      <c r="E156" s="3">
        <v>2588592520</v>
      </c>
      <c r="F156" s="3">
        <v>10508748317</v>
      </c>
      <c r="G156" s="3">
        <v>9710000</v>
      </c>
      <c r="H156" s="3">
        <v>14843978</v>
      </c>
      <c r="I156" s="3">
        <v>0</v>
      </c>
      <c r="J156" s="3">
        <v>98500000</v>
      </c>
      <c r="K156" s="3">
        <v>277428498</v>
      </c>
      <c r="L156" s="3">
        <f t="shared" si="4"/>
        <v>22997201998</v>
      </c>
      <c r="M156" s="1">
        <v>-1902824937</v>
      </c>
      <c r="N156" s="1">
        <v>-1262518596</v>
      </c>
      <c r="O156" s="1">
        <v>-9710000</v>
      </c>
      <c r="P156" s="1">
        <v>0</v>
      </c>
      <c r="Q156" s="1">
        <v>-277428498</v>
      </c>
      <c r="R156" s="1">
        <f t="shared" si="5"/>
        <v>19544719967</v>
      </c>
    </row>
    <row r="157" spans="1:18">
      <c r="A157" t="s">
        <v>164</v>
      </c>
      <c r="C157" s="3">
        <v>583625</v>
      </c>
      <c r="D157" s="3">
        <v>5430331000</v>
      </c>
      <c r="E157" s="3">
        <v>2588476430</v>
      </c>
      <c r="F157" s="3">
        <v>6005632357</v>
      </c>
      <c r="G157" s="3">
        <v>0</v>
      </c>
      <c r="H157" s="3">
        <v>1855400</v>
      </c>
      <c r="I157" s="3">
        <v>0</v>
      </c>
      <c r="J157" s="3">
        <v>81950000</v>
      </c>
      <c r="K157" s="3">
        <v>58875000</v>
      </c>
      <c r="L157" s="3">
        <f t="shared" si="4"/>
        <v>14167703812</v>
      </c>
      <c r="M157" s="1">
        <v>-2343642688</v>
      </c>
      <c r="N157" s="1">
        <v>-954303504</v>
      </c>
      <c r="O157" s="1">
        <v>0</v>
      </c>
      <c r="P157" s="1">
        <v>0</v>
      </c>
      <c r="Q157" s="1">
        <v>-58875000</v>
      </c>
      <c r="R157" s="1">
        <f t="shared" si="5"/>
        <v>10810882620</v>
      </c>
    </row>
    <row r="158" spans="1:18">
      <c r="A158" t="s">
        <v>165</v>
      </c>
      <c r="C158" s="3">
        <v>22931694</v>
      </c>
      <c r="D158" s="3">
        <v>29702968562</v>
      </c>
      <c r="E158" s="3">
        <v>7300121107</v>
      </c>
      <c r="F158" s="3">
        <v>12925403289</v>
      </c>
      <c r="G158" s="3">
        <v>0</v>
      </c>
      <c r="H158" s="3">
        <v>73221862</v>
      </c>
      <c r="I158" s="3">
        <v>0</v>
      </c>
      <c r="J158" s="3">
        <v>0</v>
      </c>
      <c r="K158" s="3">
        <v>0</v>
      </c>
      <c r="L158" s="3">
        <f t="shared" si="4"/>
        <v>50024646514</v>
      </c>
      <c r="M158" s="1">
        <v>-6581579573</v>
      </c>
      <c r="N158" s="1">
        <v>-3629103768</v>
      </c>
      <c r="O158" s="1">
        <v>0</v>
      </c>
      <c r="P158" s="1">
        <v>-1500000</v>
      </c>
      <c r="Q158" s="1">
        <v>0</v>
      </c>
      <c r="R158" s="1">
        <f t="shared" si="5"/>
        <v>39812463173</v>
      </c>
    </row>
    <row r="159" spans="1:18">
      <c r="A159" t="s">
        <v>166</v>
      </c>
      <c r="C159" s="3">
        <v>3206500</v>
      </c>
      <c r="D159" s="3">
        <v>42248138890</v>
      </c>
      <c r="E159" s="3">
        <v>6510871936</v>
      </c>
      <c r="F159" s="3">
        <v>48142880959</v>
      </c>
      <c r="G159" s="3">
        <v>103025375</v>
      </c>
      <c r="H159" s="3">
        <v>20998612</v>
      </c>
      <c r="I159" s="3">
        <v>882010600</v>
      </c>
      <c r="J159" s="3">
        <v>0</v>
      </c>
      <c r="K159" s="3">
        <v>223689067</v>
      </c>
      <c r="L159" s="3">
        <f t="shared" si="4"/>
        <v>98134821939</v>
      </c>
      <c r="M159" s="1">
        <v>-6019918539</v>
      </c>
      <c r="N159" s="1">
        <v>-4820059347</v>
      </c>
      <c r="O159" s="1">
        <v>-98620113</v>
      </c>
      <c r="P159" s="1">
        <v>0</v>
      </c>
      <c r="Q159" s="1">
        <v>-221639067</v>
      </c>
      <c r="R159" s="1">
        <f t="shared" si="5"/>
        <v>86974584873</v>
      </c>
    </row>
    <row r="160" spans="1:18">
      <c r="A160" t="s">
        <v>167</v>
      </c>
      <c r="C160" s="3">
        <v>631000</v>
      </c>
      <c r="D160" s="3">
        <v>6811411000</v>
      </c>
      <c r="E160" s="3">
        <v>2680922320</v>
      </c>
      <c r="F160" s="3">
        <v>6849854378</v>
      </c>
      <c r="G160" s="3">
        <v>0</v>
      </c>
      <c r="H160" s="3">
        <v>9183739</v>
      </c>
      <c r="I160" s="3">
        <v>0</v>
      </c>
      <c r="J160" s="3">
        <v>0</v>
      </c>
      <c r="K160" s="3">
        <v>44589000</v>
      </c>
      <c r="L160" s="3">
        <f t="shared" si="4"/>
        <v>16396591437</v>
      </c>
      <c r="M160" s="1">
        <v>-2537533078</v>
      </c>
      <c r="N160" s="1">
        <v>-2373673368</v>
      </c>
      <c r="O160" s="1">
        <v>0</v>
      </c>
      <c r="P160" s="1">
        <v>0</v>
      </c>
      <c r="Q160" s="1">
        <v>-44589000</v>
      </c>
      <c r="R160" s="1">
        <f t="shared" si="5"/>
        <v>11440795991</v>
      </c>
    </row>
    <row r="161" spans="1:18">
      <c r="A161" t="s">
        <v>168</v>
      </c>
      <c r="C161" s="3">
        <v>10000</v>
      </c>
      <c r="D161" s="3">
        <v>6591250000</v>
      </c>
      <c r="E161" s="3">
        <v>1170381924</v>
      </c>
      <c r="F161" s="3">
        <v>2915795500</v>
      </c>
      <c r="G161" s="3">
        <v>0</v>
      </c>
      <c r="H161" s="3">
        <v>11406260</v>
      </c>
      <c r="I161" s="3">
        <v>0</v>
      </c>
      <c r="J161" s="3">
        <v>0</v>
      </c>
      <c r="K161" s="3">
        <v>0</v>
      </c>
      <c r="L161" s="3">
        <f t="shared" si="4"/>
        <v>10688843684</v>
      </c>
      <c r="M161" s="1">
        <v>-1055923538</v>
      </c>
      <c r="N161" s="1">
        <v>-830677227</v>
      </c>
      <c r="O161" s="1">
        <v>0</v>
      </c>
      <c r="P161" s="1">
        <v>0</v>
      </c>
      <c r="Q161" s="1">
        <v>0</v>
      </c>
      <c r="R161" s="1">
        <f t="shared" si="5"/>
        <v>8802242919</v>
      </c>
    </row>
    <row r="162" spans="1:18">
      <c r="A162" t="s">
        <v>169</v>
      </c>
      <c r="C162" s="3">
        <v>889755</v>
      </c>
      <c r="D162" s="3">
        <v>3877297220</v>
      </c>
      <c r="E162" s="3">
        <v>1506570238</v>
      </c>
      <c r="F162" s="3">
        <v>4659274700</v>
      </c>
      <c r="G162" s="3">
        <v>64476000</v>
      </c>
      <c r="H162" s="3">
        <v>241539261</v>
      </c>
      <c r="I162" s="3">
        <v>0</v>
      </c>
      <c r="J162" s="3">
        <v>0</v>
      </c>
      <c r="K162" s="3">
        <v>120458500</v>
      </c>
      <c r="L162" s="3">
        <f t="shared" si="4"/>
        <v>10470505674</v>
      </c>
      <c r="M162" s="1">
        <v>-1373028379</v>
      </c>
      <c r="N162" s="1">
        <v>-2939704327</v>
      </c>
      <c r="O162" s="1">
        <v>-8186400</v>
      </c>
      <c r="P162" s="1">
        <v>0</v>
      </c>
      <c r="Q162" s="1">
        <v>-120458500</v>
      </c>
      <c r="R162" s="1">
        <f t="shared" si="5"/>
        <v>6029128068</v>
      </c>
    </row>
    <row r="163" spans="1:18">
      <c r="A163" t="s">
        <v>170</v>
      </c>
      <c r="C163" s="3">
        <v>48000</v>
      </c>
      <c r="D163" s="3">
        <v>9485952750</v>
      </c>
      <c r="E163" s="3">
        <v>2811748537</v>
      </c>
      <c r="F163" s="3">
        <v>13388590300</v>
      </c>
      <c r="G163" s="3">
        <v>63722200</v>
      </c>
      <c r="H163" s="3">
        <v>138480062</v>
      </c>
      <c r="I163" s="3">
        <v>0</v>
      </c>
      <c r="J163" s="3">
        <v>0</v>
      </c>
      <c r="K163" s="3">
        <v>68000</v>
      </c>
      <c r="L163" s="3">
        <f t="shared" si="4"/>
        <v>25888609849</v>
      </c>
      <c r="M163" s="1">
        <v>-2045383127</v>
      </c>
      <c r="N163" s="1">
        <v>-1000469554</v>
      </c>
      <c r="O163" s="1">
        <v>-17473538</v>
      </c>
      <c r="P163" s="1">
        <v>0</v>
      </c>
      <c r="Q163" s="1">
        <v>-68000</v>
      </c>
      <c r="R163" s="1">
        <f t="shared" si="5"/>
        <v>22825215630</v>
      </c>
    </row>
    <row r="164" spans="1:18">
      <c r="A164" t="s">
        <v>171</v>
      </c>
      <c r="C164" s="3">
        <v>28500</v>
      </c>
      <c r="D164" s="3">
        <v>27053801000</v>
      </c>
      <c r="E164" s="3">
        <v>2727965047</v>
      </c>
      <c r="F164" s="3">
        <v>3321212300</v>
      </c>
      <c r="G164" s="3">
        <v>0</v>
      </c>
      <c r="H164" s="3">
        <v>419429740</v>
      </c>
      <c r="I164" s="3">
        <v>0</v>
      </c>
      <c r="J164" s="3">
        <v>87500000</v>
      </c>
      <c r="K164" s="3">
        <v>2040000</v>
      </c>
      <c r="L164" s="3">
        <f t="shared" si="4"/>
        <v>33611976587</v>
      </c>
      <c r="M164" s="1">
        <v>-2574831853</v>
      </c>
      <c r="N164" s="1">
        <v>-2072853958</v>
      </c>
      <c r="O164" s="1">
        <v>0</v>
      </c>
      <c r="P164" s="1">
        <v>0</v>
      </c>
      <c r="Q164" s="1">
        <v>-2040000</v>
      </c>
      <c r="R164" s="1">
        <f t="shared" si="5"/>
        <v>28962250776</v>
      </c>
    </row>
    <row r="165" spans="1:18">
      <c r="A165" t="s">
        <v>172</v>
      </c>
      <c r="C165" s="3">
        <v>0</v>
      </c>
      <c r="D165" s="3">
        <v>4601950000</v>
      </c>
      <c r="E165" s="3">
        <v>1701413954</v>
      </c>
      <c r="F165" s="3">
        <v>3229007000</v>
      </c>
      <c r="G165" s="3">
        <v>0</v>
      </c>
      <c r="H165" s="3">
        <v>6355062</v>
      </c>
      <c r="I165" s="3">
        <v>0</v>
      </c>
      <c r="J165" s="3">
        <v>0</v>
      </c>
      <c r="K165" s="3">
        <v>0</v>
      </c>
      <c r="L165" s="3">
        <f t="shared" si="4"/>
        <v>9538726016</v>
      </c>
      <c r="M165" s="1">
        <v>-1583654478</v>
      </c>
      <c r="N165" s="1">
        <v>-2495052800</v>
      </c>
      <c r="O165" s="1">
        <v>0</v>
      </c>
      <c r="P165" s="1">
        <v>0</v>
      </c>
      <c r="Q165" s="1">
        <v>0</v>
      </c>
      <c r="R165" s="1">
        <f t="shared" si="5"/>
        <v>5460018738</v>
      </c>
    </row>
    <row r="166" spans="1:18">
      <c r="A166" t="s">
        <v>173</v>
      </c>
      <c r="C166" s="3">
        <v>20196</v>
      </c>
      <c r="D166" s="3">
        <v>4603654000</v>
      </c>
      <c r="E166" s="3">
        <v>2410229589</v>
      </c>
      <c r="F166" s="3">
        <v>7767626000</v>
      </c>
      <c r="G166" s="3">
        <v>142890000</v>
      </c>
      <c r="H166" s="3">
        <v>9616782</v>
      </c>
      <c r="I166" s="3">
        <v>0</v>
      </c>
      <c r="J166" s="3">
        <v>21564000</v>
      </c>
      <c r="K166" s="3">
        <v>166765175</v>
      </c>
      <c r="L166" s="3">
        <f t="shared" si="4"/>
        <v>15122365742</v>
      </c>
      <c r="M166" s="1">
        <v>-2219540663</v>
      </c>
      <c r="N166" s="1">
        <v>-3725667469</v>
      </c>
      <c r="O166" s="1">
        <v>-66103125</v>
      </c>
      <c r="P166" s="1">
        <v>0</v>
      </c>
      <c r="Q166" s="1">
        <v>-166765175</v>
      </c>
      <c r="R166" s="1">
        <f t="shared" si="5"/>
        <v>8944289310</v>
      </c>
    </row>
    <row r="167" spans="1:18">
      <c r="A167" t="s">
        <v>174</v>
      </c>
      <c r="C167" s="3">
        <v>1242500</v>
      </c>
      <c r="D167" s="3">
        <v>4417687208</v>
      </c>
      <c r="E167" s="3">
        <v>2064516573</v>
      </c>
      <c r="F167" s="3">
        <v>5034921094</v>
      </c>
      <c r="G167" s="3">
        <v>48991300</v>
      </c>
      <c r="H167" s="3">
        <v>13679062</v>
      </c>
      <c r="I167" s="3">
        <v>0</v>
      </c>
      <c r="J167" s="3">
        <v>0</v>
      </c>
      <c r="K167" s="3">
        <v>0</v>
      </c>
      <c r="L167" s="3">
        <f t="shared" si="4"/>
        <v>11581037737</v>
      </c>
      <c r="M167" s="1">
        <v>-1867853341</v>
      </c>
      <c r="N167" s="1">
        <v>-991531106</v>
      </c>
      <c r="O167" s="1">
        <v>-4807010</v>
      </c>
      <c r="P167" s="1">
        <v>0</v>
      </c>
      <c r="Q167" s="1">
        <v>0</v>
      </c>
      <c r="R167" s="1">
        <f t="shared" si="5"/>
        <v>8716846280</v>
      </c>
    </row>
    <row r="168" spans="1:18">
      <c r="A168" t="s">
        <v>175</v>
      </c>
      <c r="C168" s="3">
        <v>610900</v>
      </c>
      <c r="D168" s="3">
        <v>16506820000</v>
      </c>
      <c r="E168" s="3">
        <v>1702310448</v>
      </c>
      <c r="F168" s="3">
        <v>4741512100</v>
      </c>
      <c r="G168" s="3">
        <v>481487500</v>
      </c>
      <c r="H168" s="3">
        <v>1993440</v>
      </c>
      <c r="I168" s="3">
        <v>7022291250</v>
      </c>
      <c r="J168" s="3">
        <v>92940000</v>
      </c>
      <c r="K168" s="3">
        <v>2708400</v>
      </c>
      <c r="L168" s="3">
        <f t="shared" si="4"/>
        <v>30552674038</v>
      </c>
      <c r="M168" s="1">
        <v>-1489628727</v>
      </c>
      <c r="N168" s="1">
        <v>-1162219941</v>
      </c>
      <c r="O168" s="1">
        <v>-73504785</v>
      </c>
      <c r="P168" s="1">
        <v>0</v>
      </c>
      <c r="Q168" s="1">
        <v>-2595900</v>
      </c>
      <c r="R168" s="1">
        <f t="shared" si="5"/>
        <v>27824724685</v>
      </c>
    </row>
    <row r="169" spans="1:18">
      <c r="A169" t="s">
        <v>176</v>
      </c>
      <c r="C169" s="3">
        <v>0</v>
      </c>
      <c r="D169" s="3">
        <v>7419654000</v>
      </c>
      <c r="E169" s="3">
        <v>1348408254</v>
      </c>
      <c r="F169" s="3">
        <v>4050679450</v>
      </c>
      <c r="G169" s="3">
        <v>0</v>
      </c>
      <c r="H169" s="3">
        <v>200768440</v>
      </c>
      <c r="I169" s="3">
        <v>0</v>
      </c>
      <c r="J169" s="3">
        <v>60280000</v>
      </c>
      <c r="K169" s="3">
        <v>25250000</v>
      </c>
      <c r="L169" s="3">
        <f t="shared" si="4"/>
        <v>13105040144</v>
      </c>
      <c r="M169" s="1">
        <v>-1152499779</v>
      </c>
      <c r="N169" s="1">
        <v>-2369335859</v>
      </c>
      <c r="O169" s="1">
        <v>0</v>
      </c>
      <c r="P169" s="1">
        <v>0</v>
      </c>
      <c r="Q169" s="1">
        <v>-25250000</v>
      </c>
      <c r="R169" s="1">
        <f t="shared" si="5"/>
        <v>9557954506</v>
      </c>
    </row>
    <row r="170" spans="1:18">
      <c r="A170" t="s">
        <v>177</v>
      </c>
      <c r="C170" s="3">
        <v>0</v>
      </c>
      <c r="D170" s="3">
        <v>2860125000</v>
      </c>
      <c r="E170" s="3">
        <v>1459886654</v>
      </c>
      <c r="F170" s="3">
        <v>2225391000</v>
      </c>
      <c r="G170" s="3">
        <v>124680000</v>
      </c>
      <c r="H170" s="3">
        <v>1943440</v>
      </c>
      <c r="I170" s="3">
        <v>0</v>
      </c>
      <c r="J170" s="3">
        <v>0</v>
      </c>
      <c r="K170" s="3">
        <v>0</v>
      </c>
      <c r="L170" s="3">
        <f t="shared" si="4"/>
        <v>6672026094</v>
      </c>
      <c r="M170" s="1">
        <v>-1218784424</v>
      </c>
      <c r="N170" s="1">
        <v>-372823240</v>
      </c>
      <c r="O170" s="1">
        <v>-17143500</v>
      </c>
      <c r="P170" s="1">
        <v>0</v>
      </c>
      <c r="Q170" s="1">
        <v>0</v>
      </c>
      <c r="R170" s="1">
        <f t="shared" si="5"/>
        <v>5063274930</v>
      </c>
    </row>
    <row r="171" spans="1:18">
      <c r="A171" t="s">
        <v>178</v>
      </c>
      <c r="C171" s="3">
        <v>90000</v>
      </c>
      <c r="D171" s="3">
        <v>15917657000</v>
      </c>
      <c r="E171" s="3">
        <v>2105424942</v>
      </c>
      <c r="F171" s="3">
        <v>5930222575</v>
      </c>
      <c r="G171" s="3">
        <v>109804750</v>
      </c>
      <c r="H171" s="3">
        <v>9183740</v>
      </c>
      <c r="I171" s="3">
        <v>0</v>
      </c>
      <c r="J171" s="3">
        <v>0</v>
      </c>
      <c r="K171" s="3">
        <v>147774800</v>
      </c>
      <c r="L171" s="3">
        <f t="shared" si="4"/>
        <v>24220157807</v>
      </c>
      <c r="M171" s="1">
        <v>-1907802627</v>
      </c>
      <c r="N171" s="1">
        <v>-3650008399</v>
      </c>
      <c r="O171" s="1">
        <v>-97805950</v>
      </c>
      <c r="P171" s="1">
        <v>0</v>
      </c>
      <c r="Q171" s="1">
        <v>-147774800</v>
      </c>
      <c r="R171" s="1">
        <f t="shared" si="5"/>
        <v>18416766031</v>
      </c>
    </row>
    <row r="172" spans="1:18">
      <c r="A172" t="s">
        <v>179</v>
      </c>
      <c r="C172" s="3">
        <v>4854200</v>
      </c>
      <c r="D172" s="3">
        <v>4896009308</v>
      </c>
      <c r="E172" s="3">
        <v>1594418419</v>
      </c>
      <c r="F172" s="3">
        <v>2944727142</v>
      </c>
      <c r="G172" s="3">
        <v>0</v>
      </c>
      <c r="H172" s="3">
        <v>6355062</v>
      </c>
      <c r="I172" s="3">
        <v>0</v>
      </c>
      <c r="J172" s="3">
        <v>0</v>
      </c>
      <c r="K172" s="3">
        <v>26978000</v>
      </c>
      <c r="L172" s="3">
        <f t="shared" si="4"/>
        <v>9473342131</v>
      </c>
      <c r="M172" s="1">
        <v>-1471502068</v>
      </c>
      <c r="N172" s="1">
        <v>-975435119</v>
      </c>
      <c r="O172" s="1">
        <v>0</v>
      </c>
      <c r="P172" s="1">
        <v>0</v>
      </c>
      <c r="Q172" s="1">
        <v>-26978000</v>
      </c>
      <c r="R172" s="1">
        <f t="shared" si="5"/>
        <v>6999426944</v>
      </c>
    </row>
    <row r="173" spans="1:18">
      <c r="A173" t="s">
        <v>180</v>
      </c>
      <c r="C173" s="3">
        <v>0</v>
      </c>
      <c r="D173" s="3">
        <v>7167000000</v>
      </c>
      <c r="E173" s="3">
        <v>1898090401</v>
      </c>
      <c r="F173" s="3">
        <v>2479346294</v>
      </c>
      <c r="G173" s="3">
        <v>24914450</v>
      </c>
      <c r="H173" s="3">
        <v>9038420</v>
      </c>
      <c r="I173" s="3">
        <v>0</v>
      </c>
      <c r="J173" s="3">
        <v>0</v>
      </c>
      <c r="K173" s="3">
        <v>197000</v>
      </c>
      <c r="L173" s="3">
        <f t="shared" si="4"/>
        <v>11578586565</v>
      </c>
      <c r="M173" s="1">
        <v>-1736254873</v>
      </c>
      <c r="N173" s="1">
        <v>-1729182552</v>
      </c>
      <c r="O173" s="1">
        <v>-622862</v>
      </c>
      <c r="P173" s="1">
        <v>0</v>
      </c>
      <c r="Q173" s="1">
        <v>-197000</v>
      </c>
      <c r="R173" s="1">
        <f t="shared" si="5"/>
        <v>8112329278</v>
      </c>
    </row>
    <row r="174" spans="1:18">
      <c r="A174" t="s">
        <v>181</v>
      </c>
      <c r="C174" s="3">
        <v>18500</v>
      </c>
      <c r="D174" s="3">
        <v>1927510000</v>
      </c>
      <c r="E174" s="3">
        <v>1731822008</v>
      </c>
      <c r="F174" s="3">
        <v>12689168150</v>
      </c>
      <c r="G174" s="3">
        <v>49665000</v>
      </c>
      <c r="H174" s="3">
        <v>9183740</v>
      </c>
      <c r="I174" s="3">
        <v>0</v>
      </c>
      <c r="J174" s="3">
        <v>0</v>
      </c>
      <c r="K174" s="3">
        <v>244690409</v>
      </c>
      <c r="L174" s="3">
        <f t="shared" si="4"/>
        <v>16652057807</v>
      </c>
      <c r="M174" s="1">
        <v>-1146276413</v>
      </c>
      <c r="N174" s="1">
        <v>-660670056</v>
      </c>
      <c r="O174" s="1">
        <v>-34765500</v>
      </c>
      <c r="P174" s="1">
        <v>0</v>
      </c>
      <c r="Q174" s="1">
        <v>-239965903</v>
      </c>
      <c r="R174" s="1">
        <f t="shared" si="5"/>
        <v>14570379935</v>
      </c>
    </row>
    <row r="175" spans="1:18">
      <c r="A175" t="s">
        <v>182</v>
      </c>
      <c r="C175" s="3">
        <v>8822550</v>
      </c>
      <c r="D175" s="3">
        <v>12335000080</v>
      </c>
      <c r="E175" s="3">
        <v>2114947589</v>
      </c>
      <c r="F175" s="3">
        <v>2736124000</v>
      </c>
      <c r="G175" s="3">
        <v>0</v>
      </c>
      <c r="H175" s="3">
        <v>9198740</v>
      </c>
      <c r="I175" s="3">
        <v>0</v>
      </c>
      <c r="J175" s="3">
        <v>13000000</v>
      </c>
      <c r="K175" s="3">
        <v>460000</v>
      </c>
      <c r="L175" s="3">
        <f t="shared" si="4"/>
        <v>17217552959</v>
      </c>
      <c r="M175" s="1">
        <v>-1901328664</v>
      </c>
      <c r="N175" s="1">
        <v>-1697340760</v>
      </c>
      <c r="O175" s="1">
        <v>0</v>
      </c>
      <c r="P175" s="1">
        <v>0</v>
      </c>
      <c r="Q175" s="1">
        <v>-460000</v>
      </c>
      <c r="R175" s="1">
        <f t="shared" si="5"/>
        <v>13618423535</v>
      </c>
    </row>
    <row r="176" spans="1:18">
      <c r="A176" t="s">
        <v>183</v>
      </c>
      <c r="C176" s="3">
        <v>88000</v>
      </c>
      <c r="D176" s="3">
        <v>14990000000</v>
      </c>
      <c r="E176" s="3">
        <v>2326311514</v>
      </c>
      <c r="F176" s="3">
        <v>4042093552</v>
      </c>
      <c r="G176" s="3">
        <v>147870000</v>
      </c>
      <c r="H176" s="3">
        <v>9048462</v>
      </c>
      <c r="I176" s="3">
        <v>0</v>
      </c>
      <c r="J176" s="3">
        <v>0</v>
      </c>
      <c r="K176" s="3">
        <v>101000</v>
      </c>
      <c r="L176" s="3">
        <f t="shared" si="4"/>
        <v>21515512528</v>
      </c>
      <c r="M176" s="1">
        <v>-2080751792</v>
      </c>
      <c r="N176" s="1">
        <v>-2729330291</v>
      </c>
      <c r="O176" s="1">
        <v>-1848375</v>
      </c>
      <c r="P176" s="1">
        <v>0</v>
      </c>
      <c r="Q176" s="1">
        <v>-101000</v>
      </c>
      <c r="R176" s="1">
        <f t="shared" si="5"/>
        <v>16703481070</v>
      </c>
    </row>
    <row r="177" spans="1:18">
      <c r="A177" t="s">
        <v>184</v>
      </c>
      <c r="C177" s="3">
        <v>175000</v>
      </c>
      <c r="D177" s="3">
        <v>7702915000</v>
      </c>
      <c r="E177" s="3">
        <v>1758558882</v>
      </c>
      <c r="F177" s="3">
        <v>8213280836</v>
      </c>
      <c r="G177" s="3">
        <v>51605340</v>
      </c>
      <c r="H177" s="3">
        <v>68795118</v>
      </c>
      <c r="I177" s="3">
        <v>0</v>
      </c>
      <c r="J177" s="3">
        <v>25000000</v>
      </c>
      <c r="K177" s="3">
        <v>323525</v>
      </c>
      <c r="L177" s="3">
        <f t="shared" si="4"/>
        <v>17820653701</v>
      </c>
      <c r="M177" s="1">
        <v>-1577472064</v>
      </c>
      <c r="N177" s="1">
        <v>-7830249927</v>
      </c>
      <c r="O177" s="1">
        <v>-7740803</v>
      </c>
      <c r="P177" s="1">
        <v>0</v>
      </c>
      <c r="Q177" s="1">
        <v>-323525</v>
      </c>
      <c r="R177" s="1">
        <f t="shared" si="5"/>
        <v>8404867382</v>
      </c>
    </row>
    <row r="178" spans="1:18">
      <c r="A178" t="s">
        <v>185</v>
      </c>
      <c r="C178" s="3">
        <v>63500</v>
      </c>
      <c r="D178" s="3">
        <v>4219094000</v>
      </c>
      <c r="E178" s="3">
        <v>1422240135</v>
      </c>
      <c r="F178" s="3">
        <v>2989419620</v>
      </c>
      <c r="G178" s="3">
        <v>51887000</v>
      </c>
      <c r="H178" s="3">
        <v>38914340</v>
      </c>
      <c r="I178" s="3">
        <v>0</v>
      </c>
      <c r="J178" s="3">
        <v>0</v>
      </c>
      <c r="K178" s="3">
        <v>73874820</v>
      </c>
      <c r="L178" s="3">
        <f t="shared" si="4"/>
        <v>8795493415</v>
      </c>
      <c r="M178" s="1">
        <v>-1268908584</v>
      </c>
      <c r="N178" s="1">
        <v>-572397170</v>
      </c>
      <c r="O178" s="1">
        <v>-8630875</v>
      </c>
      <c r="P178" s="1">
        <v>0</v>
      </c>
      <c r="Q178" s="1">
        <v>-32328570</v>
      </c>
      <c r="R178" s="1">
        <f t="shared" si="5"/>
        <v>6913228216</v>
      </c>
    </row>
    <row r="179" spans="1:18">
      <c r="A179" t="s">
        <v>186</v>
      </c>
      <c r="C179" s="3">
        <v>0</v>
      </c>
      <c r="D179" s="3">
        <v>5267000000</v>
      </c>
      <c r="E179" s="3">
        <v>1288334972</v>
      </c>
      <c r="F179" s="3">
        <v>5834812308</v>
      </c>
      <c r="G179" s="3">
        <v>89434180</v>
      </c>
      <c r="H179" s="3">
        <v>98275611</v>
      </c>
      <c r="I179" s="3">
        <v>0</v>
      </c>
      <c r="J179" s="3">
        <v>0</v>
      </c>
      <c r="K179" s="3">
        <v>0</v>
      </c>
      <c r="L179" s="3">
        <f t="shared" si="4"/>
        <v>12577857071</v>
      </c>
      <c r="M179" s="1">
        <v>-1140770144</v>
      </c>
      <c r="N179" s="1">
        <v>-2701414338</v>
      </c>
      <c r="O179" s="1">
        <v>-2235854</v>
      </c>
      <c r="P179" s="1">
        <v>0</v>
      </c>
      <c r="Q179" s="1">
        <v>0</v>
      </c>
      <c r="R179" s="1">
        <f t="shared" si="5"/>
        <v>8733436735</v>
      </c>
    </row>
    <row r="180" spans="1:18">
      <c r="A180" t="s">
        <v>187</v>
      </c>
      <c r="C180" s="3">
        <v>10000</v>
      </c>
      <c r="D180" s="3">
        <v>5837418000</v>
      </c>
      <c r="E180" s="3">
        <v>1920677957</v>
      </c>
      <c r="F180" s="3">
        <v>4128755300</v>
      </c>
      <c r="G180" s="3">
        <v>15000000</v>
      </c>
      <c r="H180" s="3">
        <v>17075062</v>
      </c>
      <c r="I180" s="3">
        <v>0</v>
      </c>
      <c r="J180" s="3">
        <v>0</v>
      </c>
      <c r="K180" s="3">
        <v>0</v>
      </c>
      <c r="L180" s="3">
        <f t="shared" si="4"/>
        <v>11918936319</v>
      </c>
      <c r="M180" s="1">
        <v>-1756069781</v>
      </c>
      <c r="N180" s="1">
        <v>-1225651327</v>
      </c>
      <c r="O180" s="1">
        <v>-2437500</v>
      </c>
      <c r="P180" s="1">
        <v>0</v>
      </c>
      <c r="Q180" s="1">
        <v>0</v>
      </c>
      <c r="R180" s="1">
        <f t="shared" si="5"/>
        <v>8934777711</v>
      </c>
    </row>
    <row r="181" spans="1:18">
      <c r="A181" t="s">
        <v>188</v>
      </c>
      <c r="C181" s="3">
        <v>0</v>
      </c>
      <c r="D181" s="3">
        <v>3377188000</v>
      </c>
      <c r="E181" s="3">
        <v>20682031157</v>
      </c>
      <c r="F181" s="3">
        <v>8838313000</v>
      </c>
      <c r="G181" s="3">
        <v>4755000</v>
      </c>
      <c r="H181" s="3">
        <v>6943440</v>
      </c>
      <c r="I181" s="3">
        <v>0</v>
      </c>
      <c r="J181" s="3">
        <v>38500000</v>
      </c>
      <c r="K181" s="3">
        <v>250000</v>
      </c>
      <c r="L181" s="3">
        <f t="shared" si="4"/>
        <v>32947980597</v>
      </c>
      <c r="M181" s="1">
        <v>-13458710784</v>
      </c>
      <c r="N181" s="1">
        <v>-3613276408</v>
      </c>
      <c r="O181" s="1">
        <v>-612525</v>
      </c>
      <c r="P181" s="1">
        <v>0</v>
      </c>
      <c r="Q181" s="1">
        <v>-250000</v>
      </c>
      <c r="R181" s="1">
        <f t="shared" si="5"/>
        <v>15875130880</v>
      </c>
    </row>
    <row r="182" spans="1:18">
      <c r="A182" t="s">
        <v>189</v>
      </c>
      <c r="C182" s="3">
        <v>2304950</v>
      </c>
      <c r="D182" s="3">
        <v>6117795000</v>
      </c>
      <c r="E182" s="3">
        <v>1709016365</v>
      </c>
      <c r="F182" s="3">
        <v>7661245448</v>
      </c>
      <c r="G182" s="3">
        <v>0</v>
      </c>
      <c r="H182" s="3">
        <v>6355062</v>
      </c>
      <c r="I182" s="3">
        <v>0</v>
      </c>
      <c r="J182" s="3">
        <v>0</v>
      </c>
      <c r="K182" s="3">
        <v>0</v>
      </c>
      <c r="L182" s="3">
        <f t="shared" si="4"/>
        <v>15496716825</v>
      </c>
      <c r="M182" s="1">
        <v>-1418203938</v>
      </c>
      <c r="N182" s="1">
        <v>-6556882771</v>
      </c>
      <c r="O182" s="1">
        <v>0</v>
      </c>
      <c r="P182" s="1">
        <v>0</v>
      </c>
      <c r="Q182" s="1">
        <v>0</v>
      </c>
      <c r="R182" s="1">
        <f t="shared" si="5"/>
        <v>7521630116</v>
      </c>
    </row>
    <row r="183" spans="1:18">
      <c r="A183" t="s">
        <v>190</v>
      </c>
      <c r="C183" s="3">
        <v>275000</v>
      </c>
      <c r="D183" s="3">
        <v>11580590005</v>
      </c>
      <c r="E183" s="3">
        <v>1800965537</v>
      </c>
      <c r="F183" s="3">
        <v>4017720300</v>
      </c>
      <c r="G183" s="3">
        <v>0</v>
      </c>
      <c r="H183" s="3">
        <v>2093440</v>
      </c>
      <c r="I183" s="3">
        <v>0</v>
      </c>
      <c r="J183" s="3">
        <v>0</v>
      </c>
      <c r="K183" s="3">
        <v>446000</v>
      </c>
      <c r="L183" s="3">
        <f t="shared" si="4"/>
        <v>17402090282</v>
      </c>
      <c r="M183" s="1">
        <v>-1666772839</v>
      </c>
      <c r="N183" s="1">
        <v>-1978613962</v>
      </c>
      <c r="O183" s="1">
        <v>0</v>
      </c>
      <c r="P183" s="1">
        <v>0</v>
      </c>
      <c r="Q183" s="1">
        <v>-446000</v>
      </c>
      <c r="R183" s="1">
        <f t="shared" si="5"/>
        <v>13756257481</v>
      </c>
    </row>
    <row r="184" spans="1:18">
      <c r="A184" t="s">
        <v>191</v>
      </c>
      <c r="C184" s="3">
        <v>0</v>
      </c>
      <c r="D184" s="3">
        <v>2614666000</v>
      </c>
      <c r="E184" s="3">
        <v>1379349673</v>
      </c>
      <c r="F184" s="3">
        <v>1510042300</v>
      </c>
      <c r="G184" s="3">
        <v>10000000</v>
      </c>
      <c r="H184" s="3">
        <v>9081926</v>
      </c>
      <c r="I184" s="3">
        <v>0</v>
      </c>
      <c r="J184" s="3">
        <v>5750000</v>
      </c>
      <c r="K184" s="3">
        <v>113538250</v>
      </c>
      <c r="L184" s="3">
        <f t="shared" si="4"/>
        <v>5642428149</v>
      </c>
      <c r="M184" s="1">
        <v>-1169993822</v>
      </c>
      <c r="N184" s="1">
        <v>-326775844</v>
      </c>
      <c r="O184" s="1">
        <v>-1500000</v>
      </c>
      <c r="P184" s="1">
        <v>0</v>
      </c>
      <c r="Q184" s="1">
        <v>-112494625</v>
      </c>
      <c r="R184" s="1">
        <f t="shared" si="5"/>
        <v>4031663858</v>
      </c>
    </row>
    <row r="185" spans="1:18">
      <c r="A185" t="s">
        <v>192</v>
      </c>
      <c r="C185" s="3">
        <v>0</v>
      </c>
      <c r="D185" s="3">
        <v>2872648000</v>
      </c>
      <c r="E185" s="3">
        <v>1584860625</v>
      </c>
      <c r="F185" s="3">
        <v>4043231000</v>
      </c>
      <c r="G185" s="3">
        <v>49511000</v>
      </c>
      <c r="H185" s="3">
        <v>4772118</v>
      </c>
      <c r="I185" s="3">
        <v>0</v>
      </c>
      <c r="J185" s="3">
        <v>0</v>
      </c>
      <c r="K185" s="3">
        <v>0</v>
      </c>
      <c r="L185" s="3">
        <f t="shared" si="4"/>
        <v>8555022743</v>
      </c>
      <c r="M185" s="1">
        <v>-1390066209</v>
      </c>
      <c r="N185" s="1">
        <v>-3015864860</v>
      </c>
      <c r="O185" s="1">
        <v>-39608800</v>
      </c>
      <c r="P185" s="1">
        <v>0</v>
      </c>
      <c r="Q185" s="1">
        <v>0</v>
      </c>
      <c r="R185" s="1">
        <f t="shared" si="5"/>
        <v>4109482874</v>
      </c>
    </row>
    <row r="186" spans="1:18">
      <c r="A186" t="s">
        <v>193</v>
      </c>
      <c r="C186" s="3">
        <v>1481600</v>
      </c>
      <c r="D186" s="3">
        <v>3145436000</v>
      </c>
      <c r="E186" s="3">
        <v>1498073154</v>
      </c>
      <c r="F186" s="3">
        <v>8595135000</v>
      </c>
      <c r="G186" s="3">
        <v>0</v>
      </c>
      <c r="H186" s="3">
        <v>9183740</v>
      </c>
      <c r="I186" s="3">
        <v>0</v>
      </c>
      <c r="J186" s="3">
        <v>0</v>
      </c>
      <c r="K186" s="3">
        <v>0</v>
      </c>
      <c r="L186" s="3">
        <f t="shared" si="4"/>
        <v>13249309494</v>
      </c>
      <c r="M186" s="1">
        <v>-1303866948</v>
      </c>
      <c r="N186" s="1">
        <v>-1196886129</v>
      </c>
      <c r="O186" s="1">
        <v>0</v>
      </c>
      <c r="P186" s="1">
        <v>0</v>
      </c>
      <c r="Q186" s="1">
        <v>0</v>
      </c>
      <c r="R186" s="1">
        <f t="shared" si="5"/>
        <v>10748556417</v>
      </c>
    </row>
    <row r="187" spans="1:18">
      <c r="A187" t="s">
        <v>194</v>
      </c>
      <c r="C187" s="3">
        <v>785000</v>
      </c>
      <c r="D187" s="3">
        <v>4588558900</v>
      </c>
      <c r="E187" s="3">
        <v>1738390549</v>
      </c>
      <c r="F187" s="3">
        <v>2979181221</v>
      </c>
      <c r="G187" s="3">
        <v>0</v>
      </c>
      <c r="H187" s="3">
        <v>6553062</v>
      </c>
      <c r="I187" s="3">
        <v>0</v>
      </c>
      <c r="J187" s="3">
        <v>7450000</v>
      </c>
      <c r="K187" s="3">
        <v>239604730</v>
      </c>
      <c r="L187" s="3">
        <f t="shared" si="4"/>
        <v>9560523462</v>
      </c>
      <c r="M187" s="1">
        <v>-1571877948</v>
      </c>
      <c r="N187" s="1">
        <v>-1815974306</v>
      </c>
      <c r="O187" s="1">
        <v>0</v>
      </c>
      <c r="P187" s="1">
        <v>0</v>
      </c>
      <c r="Q187" s="1">
        <v>-180040744</v>
      </c>
      <c r="R187" s="1">
        <f t="shared" si="5"/>
        <v>5992630464</v>
      </c>
    </row>
    <row r="188" spans="1:18">
      <c r="A188" t="s">
        <v>195</v>
      </c>
      <c r="C188" s="3">
        <v>0</v>
      </c>
      <c r="D188" s="3">
        <v>2923669600</v>
      </c>
      <c r="E188" s="3">
        <v>1566216923</v>
      </c>
      <c r="F188" s="3">
        <v>3435080000</v>
      </c>
      <c r="G188" s="3">
        <v>36646000</v>
      </c>
      <c r="H188" s="3">
        <v>9225740</v>
      </c>
      <c r="I188" s="3">
        <v>0</v>
      </c>
      <c r="J188" s="3">
        <v>89500000</v>
      </c>
      <c r="K188" s="3">
        <v>3052510000</v>
      </c>
      <c r="L188" s="3">
        <f t="shared" si="4"/>
        <v>11112848263</v>
      </c>
      <c r="M188" s="1">
        <v>-1365719135</v>
      </c>
      <c r="N188" s="1">
        <v>-821665389</v>
      </c>
      <c r="O188" s="1">
        <v>-916150</v>
      </c>
      <c r="P188" s="1">
        <v>0</v>
      </c>
      <c r="Q188" s="1">
        <v>-3052510000</v>
      </c>
      <c r="R188" s="1">
        <f t="shared" si="5"/>
        <v>5872037589</v>
      </c>
    </row>
    <row r="189" spans="1:18">
      <c r="A189" t="s">
        <v>196</v>
      </c>
      <c r="C189" s="3">
        <v>301100</v>
      </c>
      <c r="D189" s="3">
        <v>10046357597</v>
      </c>
      <c r="E189" s="3">
        <v>2261835283</v>
      </c>
      <c r="F189" s="3">
        <v>10396188450</v>
      </c>
      <c r="G189" s="3">
        <v>195649000</v>
      </c>
      <c r="H189" s="3">
        <v>9038462</v>
      </c>
      <c r="I189" s="3">
        <v>0</v>
      </c>
      <c r="J189" s="3">
        <v>0</v>
      </c>
      <c r="K189" s="3">
        <v>0</v>
      </c>
      <c r="L189" s="3">
        <f t="shared" si="4"/>
        <v>22909369892</v>
      </c>
      <c r="M189" s="1">
        <v>-1227470157</v>
      </c>
      <c r="N189" s="1">
        <v>-2655173336</v>
      </c>
      <c r="O189" s="1">
        <v>-26901738</v>
      </c>
      <c r="P189" s="1">
        <v>0</v>
      </c>
      <c r="Q189" s="1">
        <v>0</v>
      </c>
      <c r="R189" s="1">
        <f t="shared" si="5"/>
        <v>18999824661</v>
      </c>
    </row>
    <row r="190" spans="1:18">
      <c r="A190" t="s">
        <v>197</v>
      </c>
      <c r="C190" s="3">
        <v>25000</v>
      </c>
      <c r="D190" s="3">
        <v>4118840930</v>
      </c>
      <c r="E190" s="3">
        <v>2646052423</v>
      </c>
      <c r="F190" s="3">
        <v>4795772942</v>
      </c>
      <c r="G190" s="3">
        <v>285432000</v>
      </c>
      <c r="H190" s="3">
        <v>9183740</v>
      </c>
      <c r="I190" s="3">
        <v>0</v>
      </c>
      <c r="J190" s="3">
        <v>0</v>
      </c>
      <c r="K190" s="3">
        <v>0</v>
      </c>
      <c r="L190" s="3">
        <f t="shared" si="4"/>
        <v>11855307035</v>
      </c>
      <c r="M190" s="1">
        <v>-2242106112</v>
      </c>
      <c r="N190" s="1">
        <v>-1480240765</v>
      </c>
      <c r="O190" s="1">
        <v>-118960000</v>
      </c>
      <c r="P190" s="1">
        <v>0</v>
      </c>
      <c r="Q190" s="1">
        <v>0</v>
      </c>
      <c r="R190" s="1">
        <f t="shared" si="5"/>
        <v>8014000158</v>
      </c>
    </row>
    <row r="191" spans="1:18">
      <c r="A191" t="s">
        <v>198</v>
      </c>
      <c r="C191" s="3">
        <v>28783201</v>
      </c>
      <c r="D191" s="3">
        <v>26386064500</v>
      </c>
      <c r="E191" s="3">
        <v>5532546985</v>
      </c>
      <c r="F191" s="3">
        <v>7248051235</v>
      </c>
      <c r="G191" s="3">
        <v>0</v>
      </c>
      <c r="H191" s="3">
        <v>29313961</v>
      </c>
      <c r="I191" s="3">
        <v>0</v>
      </c>
      <c r="J191" s="3">
        <v>4000000</v>
      </c>
      <c r="K191" s="3">
        <v>0</v>
      </c>
      <c r="L191" s="3">
        <f t="shared" si="4"/>
        <v>39228759882</v>
      </c>
      <c r="M191" s="1">
        <v>-4821627159</v>
      </c>
      <c r="N191" s="1">
        <v>-644982310</v>
      </c>
      <c r="O191" s="1">
        <v>0</v>
      </c>
      <c r="P191" s="1">
        <v>0</v>
      </c>
      <c r="Q191" s="1">
        <v>0</v>
      </c>
      <c r="R191" s="1">
        <f t="shared" si="5"/>
        <v>33762150413</v>
      </c>
    </row>
    <row r="192" spans="1:18">
      <c r="A192" t="s">
        <v>199</v>
      </c>
      <c r="C192" s="3">
        <v>1140000</v>
      </c>
      <c r="D192" s="3">
        <v>4885550000</v>
      </c>
      <c r="E192" s="3">
        <v>1643710955</v>
      </c>
      <c r="F192" s="3">
        <v>4126400738</v>
      </c>
      <c r="G192" s="3">
        <v>164280875</v>
      </c>
      <c r="H192" s="3">
        <v>9183740</v>
      </c>
      <c r="I192" s="3">
        <v>0</v>
      </c>
      <c r="J192" s="3">
        <v>0</v>
      </c>
      <c r="K192" s="3">
        <v>4820500</v>
      </c>
      <c r="L192" s="3">
        <f t="shared" si="4"/>
        <v>10835086808</v>
      </c>
      <c r="M192" s="1">
        <v>-1429111761</v>
      </c>
      <c r="N192" s="1">
        <v>-1983395123</v>
      </c>
      <c r="O192" s="1">
        <v>-78151618</v>
      </c>
      <c r="P192" s="1">
        <v>0</v>
      </c>
      <c r="Q192" s="1">
        <v>-4820500</v>
      </c>
      <c r="R192" s="1">
        <f t="shared" si="5"/>
        <v>7339607806</v>
      </c>
    </row>
    <row r="193" spans="1:18">
      <c r="A193" t="s">
        <v>200</v>
      </c>
      <c r="C193" s="3">
        <v>100000</v>
      </c>
      <c r="D193" s="3">
        <v>2546543000</v>
      </c>
      <c r="E193" s="3">
        <v>1469257920</v>
      </c>
      <c r="F193" s="3">
        <v>6271491200</v>
      </c>
      <c r="G193" s="3">
        <v>0</v>
      </c>
      <c r="H193" s="3">
        <v>9038462</v>
      </c>
      <c r="I193" s="3">
        <v>0</v>
      </c>
      <c r="J193" s="3">
        <v>0</v>
      </c>
      <c r="K193" s="3">
        <v>156045000</v>
      </c>
      <c r="L193" s="3">
        <f t="shared" si="4"/>
        <v>10452475582</v>
      </c>
      <c r="M193" s="1">
        <v>-1309196948</v>
      </c>
      <c r="N193" s="1">
        <v>-1659075992</v>
      </c>
      <c r="O193" s="1">
        <v>0</v>
      </c>
      <c r="P193" s="1">
        <v>-2683400</v>
      </c>
      <c r="Q193" s="1">
        <v>-156045000</v>
      </c>
      <c r="R193" s="1">
        <f t="shared" si="5"/>
        <v>7325474242</v>
      </c>
    </row>
    <row r="194" spans="1:18">
      <c r="A194" t="s">
        <v>201</v>
      </c>
      <c r="C194" s="3">
        <v>2388975</v>
      </c>
      <c r="D194" s="3">
        <v>2530605600</v>
      </c>
      <c r="E194" s="3">
        <v>2500475633</v>
      </c>
      <c r="F194" s="3">
        <v>4730723774</v>
      </c>
      <c r="G194" s="3">
        <v>18984900</v>
      </c>
      <c r="H194" s="3">
        <v>10547018</v>
      </c>
      <c r="I194" s="3">
        <v>0</v>
      </c>
      <c r="J194" s="3">
        <v>23100000</v>
      </c>
      <c r="K194" s="3">
        <v>0</v>
      </c>
      <c r="L194" s="3">
        <f t="shared" si="4"/>
        <v>9816825900</v>
      </c>
      <c r="M194" s="1">
        <v>-1854825326</v>
      </c>
      <c r="N194" s="1">
        <v>-828846126</v>
      </c>
      <c r="O194" s="1">
        <v>-5302237</v>
      </c>
      <c r="P194" s="1">
        <v>0</v>
      </c>
      <c r="Q194" s="1">
        <v>0</v>
      </c>
      <c r="R194" s="1">
        <f t="shared" si="5"/>
        <v>7127852211</v>
      </c>
    </row>
    <row r="195" spans="1:18">
      <c r="A195" t="s">
        <v>202</v>
      </c>
      <c r="C195" s="3">
        <v>1398900</v>
      </c>
      <c r="D195" s="3">
        <v>0</v>
      </c>
      <c r="E195" s="3">
        <v>1387641294</v>
      </c>
      <c r="F195" s="3">
        <v>5086131524</v>
      </c>
      <c r="G195" s="3">
        <v>0</v>
      </c>
      <c r="H195" s="3">
        <v>408000</v>
      </c>
      <c r="I195" s="3">
        <v>0</v>
      </c>
      <c r="J195" s="3">
        <v>8475000</v>
      </c>
      <c r="K195" s="3">
        <v>69308655</v>
      </c>
      <c r="L195" s="3">
        <f t="shared" ref="L195:L258" si="6">SUM(C195:K195)</f>
        <v>6553363373</v>
      </c>
      <c r="M195" s="1">
        <v>-1245209186</v>
      </c>
      <c r="N195" s="1">
        <v>-913074047</v>
      </c>
      <c r="O195" s="1">
        <v>0</v>
      </c>
      <c r="P195" s="1">
        <v>0</v>
      </c>
      <c r="Q195" s="1">
        <v>-69308655</v>
      </c>
      <c r="R195" s="1">
        <f t="shared" ref="R195:R258" si="7">SUM(L195:Q195)</f>
        <v>4325771485</v>
      </c>
    </row>
    <row r="196" spans="1:18">
      <c r="A196" t="s">
        <v>203</v>
      </c>
      <c r="C196" s="3">
        <v>1510000</v>
      </c>
      <c r="D196" s="3">
        <v>1113200000</v>
      </c>
      <c r="E196" s="3">
        <v>1102651767</v>
      </c>
      <c r="F196" s="3">
        <v>1134091237</v>
      </c>
      <c r="G196" s="3">
        <v>0</v>
      </c>
      <c r="H196" s="3">
        <v>408000</v>
      </c>
      <c r="I196" s="3">
        <v>0</v>
      </c>
      <c r="J196" s="3">
        <v>0</v>
      </c>
      <c r="K196" s="3">
        <v>0</v>
      </c>
      <c r="L196" s="3">
        <f t="shared" si="6"/>
        <v>3351861004</v>
      </c>
      <c r="M196" s="1">
        <v>-975857230</v>
      </c>
      <c r="N196" s="1">
        <v>-725818389</v>
      </c>
      <c r="O196" s="1">
        <v>0</v>
      </c>
      <c r="P196" s="1">
        <v>0</v>
      </c>
      <c r="Q196" s="1">
        <v>0</v>
      </c>
      <c r="R196" s="1">
        <f t="shared" si="7"/>
        <v>1650185385</v>
      </c>
    </row>
    <row r="197" spans="1:18">
      <c r="A197" t="s">
        <v>204</v>
      </c>
      <c r="C197" s="3">
        <v>3201000</v>
      </c>
      <c r="D197" s="3">
        <v>3199430000</v>
      </c>
      <c r="E197" s="3">
        <v>1327331362</v>
      </c>
      <c r="F197" s="3">
        <v>5332309860</v>
      </c>
      <c r="G197" s="3">
        <v>50000000</v>
      </c>
      <c r="H197" s="3">
        <v>408000</v>
      </c>
      <c r="I197" s="3">
        <v>0</v>
      </c>
      <c r="J197" s="3">
        <v>27565000</v>
      </c>
      <c r="K197" s="3">
        <v>0</v>
      </c>
      <c r="L197" s="3">
        <f t="shared" si="6"/>
        <v>9940245222</v>
      </c>
      <c r="M197" s="1">
        <v>-996962619</v>
      </c>
      <c r="N197" s="1">
        <v>-733834315</v>
      </c>
      <c r="O197" s="1">
        <v>-6875000</v>
      </c>
      <c r="P197" s="1">
        <v>0</v>
      </c>
      <c r="Q197" s="1">
        <v>0</v>
      </c>
      <c r="R197" s="1">
        <f t="shared" si="7"/>
        <v>8202573288</v>
      </c>
    </row>
    <row r="198" spans="1:18">
      <c r="A198" t="s">
        <v>205</v>
      </c>
      <c r="C198" s="3">
        <v>292000</v>
      </c>
      <c r="D198" s="3">
        <v>487200000</v>
      </c>
      <c r="E198" s="3">
        <v>689344763</v>
      </c>
      <c r="F198" s="3">
        <v>592849900</v>
      </c>
      <c r="G198" s="3">
        <v>12500000</v>
      </c>
      <c r="H198" s="3">
        <v>1568620</v>
      </c>
      <c r="I198" s="3">
        <v>0</v>
      </c>
      <c r="J198" s="3">
        <v>0</v>
      </c>
      <c r="K198" s="3">
        <v>172907835</v>
      </c>
      <c r="L198" s="3">
        <f t="shared" si="6"/>
        <v>1956663118</v>
      </c>
      <c r="M198" s="1">
        <v>-644087795</v>
      </c>
      <c r="N198" s="1">
        <v>-94941581</v>
      </c>
      <c r="O198" s="1">
        <v>-4062500</v>
      </c>
      <c r="P198" s="1">
        <v>0</v>
      </c>
      <c r="Q198" s="1">
        <v>-172907835</v>
      </c>
      <c r="R198" s="1">
        <f t="shared" si="7"/>
        <v>1040663407</v>
      </c>
    </row>
    <row r="199" spans="1:18">
      <c r="A199" t="s">
        <v>206</v>
      </c>
      <c r="C199" s="3">
        <v>796250</v>
      </c>
      <c r="D199" s="3">
        <v>2230000000</v>
      </c>
      <c r="E199" s="3">
        <v>1243833706</v>
      </c>
      <c r="F199" s="3">
        <v>2228578000</v>
      </c>
      <c r="G199" s="3">
        <v>0</v>
      </c>
      <c r="H199" s="3">
        <v>4519870</v>
      </c>
      <c r="I199" s="3">
        <v>0</v>
      </c>
      <c r="J199" s="3">
        <v>0</v>
      </c>
      <c r="K199" s="3">
        <v>8646500</v>
      </c>
      <c r="L199" s="3">
        <f t="shared" si="6"/>
        <v>5716374326</v>
      </c>
      <c r="M199" s="1">
        <v>-973231644</v>
      </c>
      <c r="N199" s="1">
        <v>-309765200</v>
      </c>
      <c r="O199" s="1">
        <v>0</v>
      </c>
      <c r="P199" s="1">
        <v>0</v>
      </c>
      <c r="Q199" s="1">
        <v>-8646500</v>
      </c>
      <c r="R199" s="1">
        <f t="shared" si="7"/>
        <v>4424730982</v>
      </c>
    </row>
    <row r="200" spans="1:18">
      <c r="A200" t="s">
        <v>207</v>
      </c>
      <c r="C200" s="3">
        <v>0</v>
      </c>
      <c r="D200" s="3">
        <v>73100000</v>
      </c>
      <c r="E200" s="3">
        <v>1386427878</v>
      </c>
      <c r="F200" s="3">
        <v>1983907500</v>
      </c>
      <c r="G200" s="3">
        <v>0</v>
      </c>
      <c r="H200" s="3">
        <v>3236680</v>
      </c>
      <c r="I200" s="3">
        <v>0</v>
      </c>
      <c r="J200" s="3">
        <v>0</v>
      </c>
      <c r="K200" s="3">
        <v>5003205</v>
      </c>
      <c r="L200" s="3">
        <f t="shared" si="6"/>
        <v>3451675263</v>
      </c>
      <c r="M200" s="1">
        <v>-1212236080</v>
      </c>
      <c r="N200" s="1">
        <v>-499254261</v>
      </c>
      <c r="O200" s="1">
        <v>0</v>
      </c>
      <c r="P200" s="1">
        <v>0</v>
      </c>
      <c r="Q200" s="1">
        <v>-5003205</v>
      </c>
      <c r="R200" s="1">
        <f t="shared" si="7"/>
        <v>1735181717</v>
      </c>
    </row>
    <row r="201" spans="1:18">
      <c r="A201" t="s">
        <v>208</v>
      </c>
      <c r="C201" s="3">
        <v>2434250</v>
      </c>
      <c r="D201" s="3">
        <v>1508800000</v>
      </c>
      <c r="E201" s="3">
        <v>1673698154</v>
      </c>
      <c r="F201" s="3">
        <v>4129536100</v>
      </c>
      <c r="G201" s="3">
        <v>0</v>
      </c>
      <c r="H201" s="3">
        <v>4648270</v>
      </c>
      <c r="I201" s="3">
        <v>0</v>
      </c>
      <c r="J201" s="3">
        <v>0</v>
      </c>
      <c r="K201" s="3">
        <v>35928700</v>
      </c>
      <c r="L201" s="3">
        <f t="shared" si="6"/>
        <v>7355045474</v>
      </c>
      <c r="M201" s="1">
        <v>-1242937214</v>
      </c>
      <c r="N201" s="1">
        <v>-708081036</v>
      </c>
      <c r="O201" s="1">
        <v>0</v>
      </c>
      <c r="P201" s="1">
        <v>0</v>
      </c>
      <c r="Q201" s="1">
        <v>-35823700</v>
      </c>
      <c r="R201" s="1">
        <f t="shared" si="7"/>
        <v>5368203524</v>
      </c>
    </row>
    <row r="202" spans="1:18">
      <c r="A202" t="s">
        <v>209</v>
      </c>
      <c r="C202" s="3">
        <v>2081500</v>
      </c>
      <c r="D202" s="3">
        <v>4420125000</v>
      </c>
      <c r="E202" s="3">
        <v>1659738913</v>
      </c>
      <c r="F202" s="3">
        <v>9487042000</v>
      </c>
      <c r="G202" s="3">
        <v>44491875</v>
      </c>
      <c r="H202" s="3">
        <v>12697270</v>
      </c>
      <c r="I202" s="3">
        <v>0</v>
      </c>
      <c r="J202" s="3">
        <v>0</v>
      </c>
      <c r="K202" s="3">
        <v>147840380</v>
      </c>
      <c r="L202" s="3">
        <f t="shared" si="6"/>
        <v>15774016938</v>
      </c>
      <c r="M202" s="1">
        <v>-1090041098</v>
      </c>
      <c r="N202" s="1">
        <v>-461434572</v>
      </c>
      <c r="O202" s="1">
        <v>-6515440</v>
      </c>
      <c r="P202" s="1">
        <v>0</v>
      </c>
      <c r="Q202" s="1">
        <v>-147840380</v>
      </c>
      <c r="R202" s="1">
        <f t="shared" si="7"/>
        <v>14068185448</v>
      </c>
    </row>
    <row r="203" spans="1:18">
      <c r="A203" t="s">
        <v>210</v>
      </c>
      <c r="C203" s="3">
        <v>5200000</v>
      </c>
      <c r="D203" s="3">
        <v>1266641575</v>
      </c>
      <c r="E203" s="3">
        <v>1085839791</v>
      </c>
      <c r="F203" s="3">
        <v>547173000</v>
      </c>
      <c r="G203" s="3">
        <v>7250000</v>
      </c>
      <c r="H203" s="3">
        <v>2402870</v>
      </c>
      <c r="I203" s="3">
        <v>0</v>
      </c>
      <c r="J203" s="3">
        <v>0</v>
      </c>
      <c r="K203" s="3">
        <v>62610500</v>
      </c>
      <c r="L203" s="3">
        <f t="shared" si="6"/>
        <v>2977117736</v>
      </c>
      <c r="M203" s="1">
        <v>-956431908</v>
      </c>
      <c r="N203" s="1">
        <v>-132124215</v>
      </c>
      <c r="O203" s="1">
        <v>-1450000</v>
      </c>
      <c r="P203" s="1">
        <v>0</v>
      </c>
      <c r="Q203" s="1">
        <v>-62610500</v>
      </c>
      <c r="R203" s="1">
        <f t="shared" si="7"/>
        <v>1824501113</v>
      </c>
    </row>
    <row r="204" spans="1:18">
      <c r="A204" t="s">
        <v>211</v>
      </c>
      <c r="C204" s="3">
        <v>6094105</v>
      </c>
      <c r="D204" s="3">
        <v>878233000</v>
      </c>
      <c r="E204" s="3">
        <v>1153229312</v>
      </c>
      <c r="F204" s="3">
        <v>2761137100</v>
      </c>
      <c r="G204" s="3">
        <v>0</v>
      </c>
      <c r="H204" s="3">
        <v>17984270</v>
      </c>
      <c r="I204" s="3">
        <v>0</v>
      </c>
      <c r="J204" s="3">
        <v>0</v>
      </c>
      <c r="K204" s="3">
        <v>70998823</v>
      </c>
      <c r="L204" s="3">
        <f t="shared" si="6"/>
        <v>4887676610</v>
      </c>
      <c r="M204" s="1">
        <v>-1019665975</v>
      </c>
      <c r="N204" s="1">
        <v>-438571551</v>
      </c>
      <c r="O204" s="1">
        <v>0</v>
      </c>
      <c r="P204" s="1">
        <v>0</v>
      </c>
      <c r="Q204" s="1">
        <v>-55318823</v>
      </c>
      <c r="R204" s="1">
        <f t="shared" si="7"/>
        <v>3374120261</v>
      </c>
    </row>
    <row r="205" spans="1:18">
      <c r="A205" t="s">
        <v>212</v>
      </c>
      <c r="C205" s="3">
        <v>266400</v>
      </c>
      <c r="D205" s="3">
        <v>1919124000</v>
      </c>
      <c r="E205" s="3">
        <v>1174070748</v>
      </c>
      <c r="F205" s="3">
        <v>807397000</v>
      </c>
      <c r="G205" s="3">
        <v>0</v>
      </c>
      <c r="H205" s="3">
        <v>846000</v>
      </c>
      <c r="I205" s="3">
        <v>0</v>
      </c>
      <c r="J205" s="3">
        <v>0</v>
      </c>
      <c r="K205" s="3">
        <v>0</v>
      </c>
      <c r="L205" s="3">
        <f t="shared" si="6"/>
        <v>3901704148</v>
      </c>
      <c r="M205" s="1">
        <v>-1048662166</v>
      </c>
      <c r="N205" s="1">
        <v>-324262313</v>
      </c>
      <c r="O205" s="1">
        <v>0</v>
      </c>
      <c r="P205" s="1">
        <v>0</v>
      </c>
      <c r="Q205" s="1">
        <v>0</v>
      </c>
      <c r="R205" s="1">
        <f t="shared" si="7"/>
        <v>2528779669</v>
      </c>
    </row>
    <row r="206" spans="1:18">
      <c r="A206" t="s">
        <v>213</v>
      </c>
      <c r="C206" s="3">
        <v>8623400</v>
      </c>
      <c r="D206" s="3">
        <v>1249938800</v>
      </c>
      <c r="E206" s="3">
        <v>1138325463</v>
      </c>
      <c r="F206" s="3">
        <v>3479105672</v>
      </c>
      <c r="G206" s="3">
        <v>0</v>
      </c>
      <c r="H206" s="3">
        <v>683000</v>
      </c>
      <c r="I206" s="3">
        <v>0</v>
      </c>
      <c r="J206" s="3">
        <v>0</v>
      </c>
      <c r="K206" s="3">
        <v>116445000</v>
      </c>
      <c r="L206" s="3">
        <f t="shared" si="6"/>
        <v>5993121335</v>
      </c>
      <c r="M206" s="1">
        <v>-1003928019</v>
      </c>
      <c r="N206" s="1">
        <v>-724586156</v>
      </c>
      <c r="O206" s="1">
        <v>0</v>
      </c>
      <c r="P206" s="1">
        <v>0</v>
      </c>
      <c r="Q206" s="1">
        <v>-116445000</v>
      </c>
      <c r="R206" s="1">
        <f t="shared" si="7"/>
        <v>4148162160</v>
      </c>
    </row>
    <row r="207" spans="1:18">
      <c r="A207" t="s">
        <v>214</v>
      </c>
      <c r="C207" s="3">
        <v>0</v>
      </c>
      <c r="D207" s="3">
        <v>5080670125</v>
      </c>
      <c r="E207" s="3">
        <v>1469699473</v>
      </c>
      <c r="F207" s="3">
        <v>8660434700</v>
      </c>
      <c r="G207" s="3">
        <v>0</v>
      </c>
      <c r="H207" s="3">
        <v>4458770</v>
      </c>
      <c r="I207" s="3">
        <v>0</v>
      </c>
      <c r="J207" s="3">
        <v>0</v>
      </c>
      <c r="K207" s="3">
        <v>74970850</v>
      </c>
      <c r="L207" s="3">
        <f t="shared" si="6"/>
        <v>15290233918</v>
      </c>
      <c r="M207" s="1">
        <v>-1299108156</v>
      </c>
      <c r="N207" s="1">
        <v>-1205825725</v>
      </c>
      <c r="O207" s="1">
        <v>0</v>
      </c>
      <c r="P207" s="1">
        <v>0</v>
      </c>
      <c r="Q207" s="1">
        <v>-74970850</v>
      </c>
      <c r="R207" s="1">
        <f t="shared" si="7"/>
        <v>12710329187</v>
      </c>
    </row>
    <row r="208" spans="1:18">
      <c r="A208" t="s">
        <v>215</v>
      </c>
      <c r="C208" s="3">
        <v>453350</v>
      </c>
      <c r="D208" s="3">
        <v>1256235000</v>
      </c>
      <c r="E208" s="3">
        <v>1091598134</v>
      </c>
      <c r="F208" s="3">
        <v>1023458000</v>
      </c>
      <c r="G208" s="3">
        <v>0</v>
      </c>
      <c r="H208" s="3">
        <v>408000</v>
      </c>
      <c r="I208" s="3">
        <v>0</v>
      </c>
      <c r="J208" s="3">
        <v>22200000</v>
      </c>
      <c r="K208" s="3">
        <v>52298350</v>
      </c>
      <c r="L208" s="3">
        <f t="shared" si="6"/>
        <v>3446650834</v>
      </c>
      <c r="M208" s="1">
        <v>-973531208</v>
      </c>
      <c r="N208" s="1">
        <v>-205206881</v>
      </c>
      <c r="O208" s="1">
        <v>0</v>
      </c>
      <c r="P208" s="1">
        <v>0</v>
      </c>
      <c r="Q208" s="1">
        <v>-52298350</v>
      </c>
      <c r="R208" s="1">
        <f t="shared" si="7"/>
        <v>2215614395</v>
      </c>
    </row>
    <row r="209" spans="1:18">
      <c r="A209" t="s">
        <v>216</v>
      </c>
      <c r="C209" s="3">
        <v>6638400</v>
      </c>
      <c r="D209" s="3">
        <v>1210713000</v>
      </c>
      <c r="E209" s="3">
        <v>1390618078</v>
      </c>
      <c r="F209" s="3">
        <v>3637826410</v>
      </c>
      <c r="G209" s="3">
        <v>0</v>
      </c>
      <c r="H209" s="3">
        <v>408000</v>
      </c>
      <c r="I209" s="3">
        <v>0</v>
      </c>
      <c r="J209" s="3">
        <v>7000000</v>
      </c>
      <c r="K209" s="3">
        <v>0</v>
      </c>
      <c r="L209" s="3">
        <f t="shared" si="6"/>
        <v>6253203888</v>
      </c>
      <c r="M209" s="1">
        <v>-1073464658</v>
      </c>
      <c r="N209" s="1">
        <v>-842267888</v>
      </c>
      <c r="O209" s="1">
        <v>0</v>
      </c>
      <c r="P209" s="1">
        <v>0</v>
      </c>
      <c r="Q209" s="1">
        <v>0</v>
      </c>
      <c r="R209" s="1">
        <f t="shared" si="7"/>
        <v>4337471342</v>
      </c>
    </row>
    <row r="210" spans="1:18">
      <c r="A210" t="s">
        <v>217</v>
      </c>
      <c r="C210" s="3">
        <v>51897</v>
      </c>
      <c r="D210" s="3">
        <v>2308780000</v>
      </c>
      <c r="E210" s="3">
        <v>1156240236</v>
      </c>
      <c r="F210" s="3">
        <v>1319460800</v>
      </c>
      <c r="G210" s="3">
        <v>39837300</v>
      </c>
      <c r="H210" s="3">
        <v>4088870</v>
      </c>
      <c r="I210" s="3">
        <v>0</v>
      </c>
      <c r="J210" s="3">
        <v>0</v>
      </c>
      <c r="K210" s="3">
        <v>65321058</v>
      </c>
      <c r="L210" s="3">
        <f t="shared" si="6"/>
        <v>4893780161</v>
      </c>
      <c r="M210" s="1">
        <v>-785727714</v>
      </c>
      <c r="N210" s="1">
        <v>-71758544</v>
      </c>
      <c r="O210" s="1">
        <v>-5411399</v>
      </c>
      <c r="P210" s="1">
        <v>0</v>
      </c>
      <c r="Q210" s="1">
        <v>-65321058</v>
      </c>
      <c r="R210" s="1">
        <f t="shared" si="7"/>
        <v>3965561446</v>
      </c>
    </row>
    <row r="211" spans="1:18">
      <c r="A211" t="s">
        <v>218</v>
      </c>
      <c r="C211" s="3">
        <v>687445</v>
      </c>
      <c r="D211" s="3">
        <v>2830000000</v>
      </c>
      <c r="E211" s="3">
        <v>1365547296</v>
      </c>
      <c r="F211" s="3">
        <v>4582994253</v>
      </c>
      <c r="G211" s="3">
        <v>25101900</v>
      </c>
      <c r="H211" s="3">
        <v>5148370</v>
      </c>
      <c r="I211" s="3">
        <v>0</v>
      </c>
      <c r="J211" s="3">
        <v>0</v>
      </c>
      <c r="K211" s="3">
        <v>0</v>
      </c>
      <c r="L211" s="3">
        <f t="shared" si="6"/>
        <v>8809479264</v>
      </c>
      <c r="M211" s="1">
        <v>-1039799944</v>
      </c>
      <c r="N211" s="1">
        <v>-857989965</v>
      </c>
      <c r="O211" s="1">
        <v>-313774</v>
      </c>
      <c r="P211" s="1">
        <v>0</v>
      </c>
      <c r="Q211" s="1">
        <v>0</v>
      </c>
      <c r="R211" s="1">
        <f t="shared" si="7"/>
        <v>6911375581</v>
      </c>
    </row>
    <row r="212" spans="1:18">
      <c r="A212" t="s">
        <v>219</v>
      </c>
      <c r="C212" s="3">
        <v>4610000</v>
      </c>
      <c r="D212" s="3">
        <v>1296100000</v>
      </c>
      <c r="E212" s="3">
        <v>885929105</v>
      </c>
      <c r="F212" s="3">
        <v>1101541400</v>
      </c>
      <c r="G212" s="3">
        <v>50577600</v>
      </c>
      <c r="H212" s="3">
        <v>6865370</v>
      </c>
      <c r="I212" s="3">
        <v>0</v>
      </c>
      <c r="J212" s="3">
        <v>0</v>
      </c>
      <c r="K212" s="3">
        <v>120239547</v>
      </c>
      <c r="L212" s="3">
        <f t="shared" si="6"/>
        <v>3465863022</v>
      </c>
      <c r="M212" s="1">
        <v>-772296443</v>
      </c>
      <c r="N212" s="1">
        <v>-312622038</v>
      </c>
      <c r="O212" s="1">
        <v>-30013373</v>
      </c>
      <c r="P212" s="1">
        <v>0</v>
      </c>
      <c r="Q212" s="1">
        <v>-120239547</v>
      </c>
      <c r="R212" s="1">
        <f t="shared" si="7"/>
        <v>2230691621</v>
      </c>
    </row>
    <row r="213" spans="1:18">
      <c r="A213" t="s">
        <v>220</v>
      </c>
      <c r="C213" s="3">
        <v>4751025</v>
      </c>
      <c r="D213" s="3">
        <v>223920000</v>
      </c>
      <c r="E213" s="3">
        <v>1101684912</v>
      </c>
      <c r="F213" s="3">
        <v>3625554900</v>
      </c>
      <c r="G213" s="3">
        <v>12500000</v>
      </c>
      <c r="H213" s="3">
        <v>11929870</v>
      </c>
      <c r="I213" s="3">
        <v>0</v>
      </c>
      <c r="J213" s="3">
        <v>0</v>
      </c>
      <c r="K213" s="3">
        <v>62618050</v>
      </c>
      <c r="L213" s="3">
        <f t="shared" si="6"/>
        <v>5042958757</v>
      </c>
      <c r="M213" s="1">
        <v>-988975554</v>
      </c>
      <c r="N213" s="1">
        <v>-784071099</v>
      </c>
      <c r="O213" s="1">
        <v>-12500000</v>
      </c>
      <c r="P213" s="1">
        <v>0</v>
      </c>
      <c r="Q213" s="1">
        <v>-62618050</v>
      </c>
      <c r="R213" s="1">
        <f t="shared" si="7"/>
        <v>3194794054</v>
      </c>
    </row>
    <row r="214" spans="1:18">
      <c r="A214" t="s">
        <v>221</v>
      </c>
      <c r="C214" s="3">
        <v>175000</v>
      </c>
      <c r="D214" s="3">
        <v>2367591000</v>
      </c>
      <c r="E214" s="3">
        <v>1642963264</v>
      </c>
      <c r="F214" s="3">
        <v>8244384600</v>
      </c>
      <c r="G214" s="3">
        <v>0</v>
      </c>
      <c r="H214" s="3">
        <v>23191078</v>
      </c>
      <c r="I214" s="3">
        <v>0</v>
      </c>
      <c r="J214" s="3">
        <v>0</v>
      </c>
      <c r="K214" s="3">
        <v>0</v>
      </c>
      <c r="L214" s="3">
        <f t="shared" si="6"/>
        <v>12278304942</v>
      </c>
      <c r="M214" s="1">
        <v>-989478178</v>
      </c>
      <c r="N214" s="1">
        <v>-170487644</v>
      </c>
      <c r="O214" s="1">
        <v>0</v>
      </c>
      <c r="P214" s="1">
        <v>0</v>
      </c>
      <c r="Q214" s="1">
        <v>0</v>
      </c>
      <c r="R214" s="1">
        <f t="shared" si="7"/>
        <v>11118339120</v>
      </c>
    </row>
    <row r="215" spans="1:18">
      <c r="A215" t="s">
        <v>222</v>
      </c>
      <c r="C215" s="3">
        <v>2338350</v>
      </c>
      <c r="D215" s="3">
        <v>943104000</v>
      </c>
      <c r="E215" s="3">
        <v>1661351123</v>
      </c>
      <c r="F215" s="3">
        <v>3624998975</v>
      </c>
      <c r="G215" s="3">
        <v>0</v>
      </c>
      <c r="H215" s="3">
        <v>8828270</v>
      </c>
      <c r="I215" s="3">
        <v>0</v>
      </c>
      <c r="J215" s="3">
        <v>0</v>
      </c>
      <c r="K215" s="3">
        <v>107127055</v>
      </c>
      <c r="L215" s="3">
        <f t="shared" si="6"/>
        <v>6347747773</v>
      </c>
      <c r="M215" s="1">
        <v>-1169565669</v>
      </c>
      <c r="N215" s="1">
        <v>-503520428</v>
      </c>
      <c r="O215" s="1">
        <v>0</v>
      </c>
      <c r="P215" s="1">
        <v>0</v>
      </c>
      <c r="Q215" s="1">
        <v>-107127055</v>
      </c>
      <c r="R215" s="1">
        <f t="shared" si="7"/>
        <v>4567534621</v>
      </c>
    </row>
    <row r="216" spans="1:18">
      <c r="A216" t="s">
        <v>223</v>
      </c>
      <c r="C216" s="3">
        <v>10803980</v>
      </c>
      <c r="D216" s="3">
        <v>4831100000</v>
      </c>
      <c r="E216" s="3">
        <v>1542668954</v>
      </c>
      <c r="F216" s="3">
        <v>9175063200</v>
      </c>
      <c r="G216" s="3">
        <v>0</v>
      </c>
      <c r="H216" s="3">
        <v>408000</v>
      </c>
      <c r="I216" s="3">
        <v>0</v>
      </c>
      <c r="J216" s="3">
        <v>0</v>
      </c>
      <c r="K216" s="3">
        <v>91123000</v>
      </c>
      <c r="L216" s="3">
        <f t="shared" si="6"/>
        <v>15651167134</v>
      </c>
      <c r="M216" s="1">
        <v>-965792952</v>
      </c>
      <c r="N216" s="1">
        <v>-619173333</v>
      </c>
      <c r="O216" s="1">
        <v>0</v>
      </c>
      <c r="P216" s="1">
        <v>0</v>
      </c>
      <c r="Q216" s="1">
        <v>-91123000</v>
      </c>
      <c r="R216" s="1">
        <f t="shared" si="7"/>
        <v>13975077849</v>
      </c>
    </row>
    <row r="217" spans="1:18">
      <c r="A217" t="s">
        <v>224</v>
      </c>
      <c r="C217" s="3">
        <v>333000</v>
      </c>
      <c r="D217" s="3">
        <v>2951556850</v>
      </c>
      <c r="E217" s="3">
        <v>820633541</v>
      </c>
      <c r="F217" s="3">
        <v>3503279482</v>
      </c>
      <c r="G217" s="3">
        <v>0</v>
      </c>
      <c r="H217" s="3">
        <v>88573500</v>
      </c>
      <c r="I217" s="3">
        <v>0</v>
      </c>
      <c r="J217" s="3">
        <v>12445000</v>
      </c>
      <c r="K217" s="3">
        <v>0</v>
      </c>
      <c r="L217" s="3">
        <f t="shared" si="6"/>
        <v>7376821373</v>
      </c>
      <c r="M217" s="1">
        <v>-697014100</v>
      </c>
      <c r="N217" s="1">
        <v>-740119284</v>
      </c>
      <c r="O217" s="1">
        <v>0</v>
      </c>
      <c r="P217" s="1">
        <v>0</v>
      </c>
      <c r="Q217" s="1">
        <v>0</v>
      </c>
      <c r="R217" s="1">
        <f t="shared" si="7"/>
        <v>5939687989</v>
      </c>
    </row>
    <row r="218" spans="1:18">
      <c r="A218" t="s">
        <v>225</v>
      </c>
      <c r="C218" s="3">
        <v>372150</v>
      </c>
      <c r="D218" s="3">
        <v>1733409000</v>
      </c>
      <c r="E218" s="3">
        <v>1638470997</v>
      </c>
      <c r="F218" s="3">
        <v>7512582850</v>
      </c>
      <c r="G218" s="3">
        <v>0</v>
      </c>
      <c r="H218" s="3">
        <v>8684370</v>
      </c>
      <c r="I218" s="3">
        <v>0</v>
      </c>
      <c r="J218" s="3">
        <v>29200000</v>
      </c>
      <c r="K218" s="3">
        <v>0</v>
      </c>
      <c r="L218" s="3">
        <f t="shared" si="6"/>
        <v>10922719367</v>
      </c>
      <c r="M218" s="1">
        <v>-1229137883</v>
      </c>
      <c r="N218" s="1">
        <v>-1236694783</v>
      </c>
      <c r="O218" s="1">
        <v>0</v>
      </c>
      <c r="P218" s="1">
        <v>0</v>
      </c>
      <c r="Q218" s="1">
        <v>0</v>
      </c>
      <c r="R218" s="1">
        <f t="shared" si="7"/>
        <v>8456886701</v>
      </c>
    </row>
    <row r="219" spans="1:18">
      <c r="A219" t="s">
        <v>226</v>
      </c>
      <c r="C219" s="3">
        <v>852400</v>
      </c>
      <c r="D219" s="3">
        <v>2092381000</v>
      </c>
      <c r="E219" s="3">
        <v>925967723</v>
      </c>
      <c r="F219" s="3">
        <v>668000000</v>
      </c>
      <c r="G219" s="3">
        <v>0</v>
      </c>
      <c r="H219" s="3">
        <v>408000</v>
      </c>
      <c r="I219" s="3">
        <v>2798020000</v>
      </c>
      <c r="J219" s="3">
        <v>6243000</v>
      </c>
      <c r="K219" s="3">
        <v>0</v>
      </c>
      <c r="L219" s="3">
        <f t="shared" si="6"/>
        <v>6491872123</v>
      </c>
      <c r="M219" s="1">
        <v>-887566915</v>
      </c>
      <c r="N219" s="1">
        <v>-272600000</v>
      </c>
      <c r="O219" s="1">
        <v>0</v>
      </c>
      <c r="P219" s="1">
        <v>0</v>
      </c>
      <c r="Q219" s="1">
        <v>0</v>
      </c>
      <c r="R219" s="1">
        <f t="shared" si="7"/>
        <v>5331705208</v>
      </c>
    </row>
    <row r="220" spans="1:18">
      <c r="A220" t="s">
        <v>227</v>
      </c>
      <c r="C220" s="3">
        <v>898400</v>
      </c>
      <c r="D220" s="3">
        <v>1477876000</v>
      </c>
      <c r="E220" s="3">
        <v>1073620926</v>
      </c>
      <c r="F220" s="3">
        <v>6908433183</v>
      </c>
      <c r="G220" s="3">
        <v>15180000</v>
      </c>
      <c r="H220" s="3">
        <v>4536270</v>
      </c>
      <c r="I220" s="3">
        <v>0</v>
      </c>
      <c r="J220" s="3">
        <v>0</v>
      </c>
      <c r="K220" s="3">
        <v>105028500</v>
      </c>
      <c r="L220" s="3">
        <f t="shared" si="6"/>
        <v>9585573279</v>
      </c>
      <c r="M220" s="1">
        <v>-873404667</v>
      </c>
      <c r="N220" s="1">
        <v>-1395091067</v>
      </c>
      <c r="O220" s="1">
        <v>-2087250</v>
      </c>
      <c r="P220" s="1">
        <v>0</v>
      </c>
      <c r="Q220" s="1">
        <v>-101761831</v>
      </c>
      <c r="R220" s="1">
        <f t="shared" si="7"/>
        <v>7213228464</v>
      </c>
    </row>
    <row r="221" spans="1:18">
      <c r="A221" t="s">
        <v>228</v>
      </c>
      <c r="C221" s="3">
        <v>3502400</v>
      </c>
      <c r="D221" s="3">
        <v>2308744000</v>
      </c>
      <c r="E221" s="3">
        <v>1644501311</v>
      </c>
      <c r="F221" s="3">
        <v>6806445700</v>
      </c>
      <c r="G221" s="3">
        <v>0</v>
      </c>
      <c r="H221" s="3">
        <v>33466770</v>
      </c>
      <c r="I221" s="3">
        <v>0</v>
      </c>
      <c r="J221" s="3">
        <v>0</v>
      </c>
      <c r="K221" s="3">
        <v>14276205</v>
      </c>
      <c r="L221" s="3">
        <f t="shared" si="6"/>
        <v>10810936386</v>
      </c>
      <c r="M221" s="1">
        <v>-1175697737</v>
      </c>
      <c r="N221" s="1">
        <v>-1348911228</v>
      </c>
      <c r="O221" s="1">
        <v>0</v>
      </c>
      <c r="P221" s="1">
        <v>0</v>
      </c>
      <c r="Q221" s="1">
        <v>-14276205</v>
      </c>
      <c r="R221" s="1">
        <f t="shared" si="7"/>
        <v>8272051216</v>
      </c>
    </row>
    <row r="222" spans="1:18">
      <c r="A222" t="s">
        <v>229</v>
      </c>
      <c r="C222" s="3">
        <v>99000</v>
      </c>
      <c r="D222" s="3">
        <v>1261821250</v>
      </c>
      <c r="E222" s="3">
        <v>1214180904</v>
      </c>
      <c r="F222" s="3">
        <v>3338716435</v>
      </c>
      <c r="G222" s="3">
        <v>0</v>
      </c>
      <c r="H222" s="3">
        <v>4611548</v>
      </c>
      <c r="I222" s="3">
        <v>0</v>
      </c>
      <c r="J222" s="3">
        <v>22200000</v>
      </c>
      <c r="K222" s="3">
        <v>0</v>
      </c>
      <c r="L222" s="3">
        <f t="shared" si="6"/>
        <v>5841629137</v>
      </c>
      <c r="M222" s="1">
        <v>-1094604356</v>
      </c>
      <c r="N222" s="1">
        <v>-593729842</v>
      </c>
      <c r="O222" s="1">
        <v>0</v>
      </c>
      <c r="P222" s="1">
        <v>0</v>
      </c>
      <c r="Q222" s="1">
        <v>0</v>
      </c>
      <c r="R222" s="1">
        <f t="shared" si="7"/>
        <v>4153294939</v>
      </c>
    </row>
    <row r="223" spans="1:18">
      <c r="A223" t="s">
        <v>230</v>
      </c>
      <c r="C223" s="3">
        <v>14436590</v>
      </c>
      <c r="D223" s="3">
        <v>3484037444</v>
      </c>
      <c r="E223" s="3">
        <v>1649903927</v>
      </c>
      <c r="F223" s="3">
        <v>9000435296</v>
      </c>
      <c r="G223" s="3">
        <v>27685183</v>
      </c>
      <c r="H223" s="3">
        <v>408000</v>
      </c>
      <c r="I223" s="3">
        <v>0</v>
      </c>
      <c r="J223" s="3">
        <v>0</v>
      </c>
      <c r="K223" s="3">
        <v>10316750</v>
      </c>
      <c r="L223" s="3">
        <f t="shared" si="6"/>
        <v>14187223190</v>
      </c>
      <c r="M223" s="1">
        <v>-1033505699</v>
      </c>
      <c r="N223" s="1">
        <v>-801621705</v>
      </c>
      <c r="O223" s="1">
        <v>-27685183</v>
      </c>
      <c r="P223" s="1">
        <v>0</v>
      </c>
      <c r="Q223" s="1">
        <v>-10316750</v>
      </c>
      <c r="R223" s="1">
        <f t="shared" si="7"/>
        <v>12314093853</v>
      </c>
    </row>
    <row r="224" spans="1:18">
      <c r="A224" t="s">
        <v>231</v>
      </c>
      <c r="C224" s="3">
        <v>229050</v>
      </c>
      <c r="D224" s="3">
        <v>2011476070</v>
      </c>
      <c r="E224" s="3">
        <v>1386770853</v>
      </c>
      <c r="F224" s="3">
        <v>891021588</v>
      </c>
      <c r="G224" s="3">
        <v>14973000</v>
      </c>
      <c r="H224" s="3">
        <v>13239270</v>
      </c>
      <c r="I224" s="3">
        <v>0</v>
      </c>
      <c r="J224" s="3">
        <v>0</v>
      </c>
      <c r="K224" s="3">
        <v>85137630</v>
      </c>
      <c r="L224" s="3">
        <f t="shared" si="6"/>
        <v>4402847461</v>
      </c>
      <c r="M224" s="1">
        <v>-1005195370</v>
      </c>
      <c r="N224" s="1">
        <v>-122471189</v>
      </c>
      <c r="O224" s="1">
        <v>-2245950</v>
      </c>
      <c r="P224" s="1">
        <v>0</v>
      </c>
      <c r="Q224" s="1">
        <v>-85137630</v>
      </c>
      <c r="R224" s="1">
        <f t="shared" si="7"/>
        <v>3187797322</v>
      </c>
    </row>
    <row r="225" spans="1:18">
      <c r="A225" t="s">
        <v>232</v>
      </c>
      <c r="C225" s="3">
        <v>129000</v>
      </c>
      <c r="D225" s="3">
        <v>2832156550</v>
      </c>
      <c r="E225" s="3">
        <v>1796653798</v>
      </c>
      <c r="F225" s="3">
        <v>8126761425</v>
      </c>
      <c r="G225" s="3">
        <v>0</v>
      </c>
      <c r="H225" s="3">
        <v>19982320</v>
      </c>
      <c r="I225" s="3">
        <v>0</v>
      </c>
      <c r="J225" s="3">
        <v>7000000</v>
      </c>
      <c r="K225" s="3">
        <v>6954653</v>
      </c>
      <c r="L225" s="3">
        <f t="shared" si="6"/>
        <v>12789637746</v>
      </c>
      <c r="M225" s="1">
        <v>-1360135246</v>
      </c>
      <c r="N225" s="1">
        <v>-1053867338</v>
      </c>
      <c r="O225" s="1">
        <v>0</v>
      </c>
      <c r="P225" s="1">
        <v>0</v>
      </c>
      <c r="Q225" s="1">
        <v>-6954653</v>
      </c>
      <c r="R225" s="1">
        <f t="shared" si="7"/>
        <v>10368680509</v>
      </c>
    </row>
    <row r="226" spans="1:18">
      <c r="A226" t="s">
        <v>233</v>
      </c>
      <c r="C226" s="3">
        <v>5197200</v>
      </c>
      <c r="D226" s="3">
        <v>1303245090</v>
      </c>
      <c r="E226" s="3">
        <v>1060431937</v>
      </c>
      <c r="F226" s="3">
        <v>428955070</v>
      </c>
      <c r="G226" s="3">
        <v>0</v>
      </c>
      <c r="H226" s="3">
        <v>1602920</v>
      </c>
      <c r="I226" s="3">
        <v>0</v>
      </c>
      <c r="J226" s="3">
        <v>29200000</v>
      </c>
      <c r="K226" s="3">
        <v>0</v>
      </c>
      <c r="L226" s="3">
        <f t="shared" si="6"/>
        <v>2828632217</v>
      </c>
      <c r="M226" s="1">
        <v>-841430007</v>
      </c>
      <c r="N226" s="1">
        <v>-304732750</v>
      </c>
      <c r="O226" s="1">
        <v>0</v>
      </c>
      <c r="P226" s="1">
        <v>0</v>
      </c>
      <c r="Q226" s="1">
        <v>0</v>
      </c>
      <c r="R226" s="1">
        <f t="shared" si="7"/>
        <v>1682469460</v>
      </c>
    </row>
    <row r="227" spans="1:18">
      <c r="A227" t="s">
        <v>234</v>
      </c>
      <c r="C227" s="3">
        <v>524000</v>
      </c>
      <c r="D227" s="3">
        <v>403573000</v>
      </c>
      <c r="E227" s="3">
        <v>1373057289</v>
      </c>
      <c r="F227" s="3">
        <v>3288988050</v>
      </c>
      <c r="G227" s="3">
        <v>26500000</v>
      </c>
      <c r="H227" s="3">
        <v>13864870</v>
      </c>
      <c r="I227" s="3">
        <v>0</v>
      </c>
      <c r="J227" s="3">
        <v>0</v>
      </c>
      <c r="K227" s="3">
        <v>0</v>
      </c>
      <c r="L227" s="3">
        <f t="shared" si="6"/>
        <v>5106507209</v>
      </c>
      <c r="M227" s="1">
        <v>-1120993526</v>
      </c>
      <c r="N227" s="1">
        <v>-598322905</v>
      </c>
      <c r="O227" s="1">
        <v>-3857325</v>
      </c>
      <c r="P227" s="1">
        <v>0</v>
      </c>
      <c r="Q227" s="1">
        <v>0</v>
      </c>
      <c r="R227" s="1">
        <f t="shared" si="7"/>
        <v>3383333453</v>
      </c>
    </row>
    <row r="228" spans="1:18">
      <c r="A228" t="s">
        <v>235</v>
      </c>
      <c r="C228" s="3">
        <v>2154107</v>
      </c>
      <c r="D228" s="3">
        <v>568250000</v>
      </c>
      <c r="E228" s="3">
        <v>1193004588</v>
      </c>
      <c r="F228" s="3">
        <v>503954462</v>
      </c>
      <c r="G228" s="3">
        <v>63927384</v>
      </c>
      <c r="H228" s="3">
        <v>788000</v>
      </c>
      <c r="I228" s="3">
        <v>0</v>
      </c>
      <c r="J228" s="3">
        <v>3480000</v>
      </c>
      <c r="K228" s="3">
        <v>0</v>
      </c>
      <c r="L228" s="3">
        <f t="shared" si="6"/>
        <v>2335558541</v>
      </c>
      <c r="M228" s="1">
        <v>-811406879</v>
      </c>
      <c r="N228" s="1">
        <v>-181591689</v>
      </c>
      <c r="O228" s="1">
        <v>-46929038</v>
      </c>
      <c r="P228" s="1">
        <v>0</v>
      </c>
      <c r="Q228" s="1">
        <v>0</v>
      </c>
      <c r="R228" s="1">
        <f t="shared" si="7"/>
        <v>1295630935</v>
      </c>
    </row>
    <row r="229" spans="1:18">
      <c r="A229" t="s">
        <v>236</v>
      </c>
      <c r="C229" s="3">
        <v>1213250</v>
      </c>
      <c r="D229" s="3">
        <v>4396999990</v>
      </c>
      <c r="E229" s="3">
        <v>1171267677</v>
      </c>
      <c r="F229" s="3">
        <v>1221076000</v>
      </c>
      <c r="G229" s="3">
        <v>0</v>
      </c>
      <c r="H229" s="3">
        <v>4431470</v>
      </c>
      <c r="I229" s="3">
        <v>0</v>
      </c>
      <c r="J229" s="3">
        <v>0</v>
      </c>
      <c r="K229" s="3">
        <v>10893000</v>
      </c>
      <c r="L229" s="3">
        <f t="shared" si="6"/>
        <v>6805881387</v>
      </c>
      <c r="M229" s="1">
        <v>-1058986824</v>
      </c>
      <c r="N229" s="1">
        <v>-403816445</v>
      </c>
      <c r="O229" s="1">
        <v>0</v>
      </c>
      <c r="P229" s="1">
        <v>0</v>
      </c>
      <c r="Q229" s="1">
        <v>-10893000</v>
      </c>
      <c r="R229" s="1">
        <f t="shared" si="7"/>
        <v>5332185118</v>
      </c>
    </row>
    <row r="230" spans="1:18">
      <c r="A230" t="s">
        <v>237</v>
      </c>
      <c r="C230" s="3">
        <v>7270389</v>
      </c>
      <c r="D230" s="3">
        <v>3240000000</v>
      </c>
      <c r="E230" s="3">
        <v>2234403255</v>
      </c>
      <c r="F230" s="3">
        <v>9600942605</v>
      </c>
      <c r="G230" s="3">
        <v>221092200</v>
      </c>
      <c r="H230" s="3">
        <v>0</v>
      </c>
      <c r="I230" s="3">
        <v>0</v>
      </c>
      <c r="J230" s="3">
        <v>0</v>
      </c>
      <c r="K230" s="3">
        <v>0</v>
      </c>
      <c r="L230" s="3">
        <f t="shared" si="6"/>
        <v>15303708449</v>
      </c>
      <c r="M230" s="1">
        <v>-1790011169</v>
      </c>
      <c r="N230" s="1">
        <v>-1675612430</v>
      </c>
      <c r="O230" s="1">
        <v>-41068527</v>
      </c>
      <c r="P230" s="1">
        <v>0</v>
      </c>
      <c r="Q230" s="1">
        <v>0</v>
      </c>
      <c r="R230" s="1">
        <f t="shared" si="7"/>
        <v>11797016323</v>
      </c>
    </row>
    <row r="231" spans="1:18">
      <c r="A231" t="s">
        <v>238</v>
      </c>
      <c r="C231" s="3">
        <v>0</v>
      </c>
      <c r="D231" s="3">
        <v>11754400000</v>
      </c>
      <c r="E231" s="3">
        <v>3289339915</v>
      </c>
      <c r="F231" s="3">
        <v>11761221081</v>
      </c>
      <c r="G231" s="3">
        <v>200250000</v>
      </c>
      <c r="H231" s="3">
        <v>0</v>
      </c>
      <c r="I231" s="3">
        <v>0</v>
      </c>
      <c r="J231" s="3">
        <v>0</v>
      </c>
      <c r="K231" s="3">
        <v>0</v>
      </c>
      <c r="L231" s="3">
        <f t="shared" si="6"/>
        <v>27005210996</v>
      </c>
      <c r="M231" s="1">
        <v>-3114327804</v>
      </c>
      <c r="N231" s="1">
        <v>-1758693138</v>
      </c>
      <c r="O231" s="1">
        <v>-25031250</v>
      </c>
      <c r="P231" s="1">
        <v>0</v>
      </c>
      <c r="Q231" s="1">
        <v>0</v>
      </c>
      <c r="R231" s="1">
        <f t="shared" si="7"/>
        <v>22107158804</v>
      </c>
    </row>
    <row r="232" spans="1:18">
      <c r="A232" t="s">
        <v>239</v>
      </c>
      <c r="C232" s="3">
        <v>2191250</v>
      </c>
      <c r="D232" s="3">
        <v>6714855000</v>
      </c>
      <c r="E232" s="3">
        <v>2609269483</v>
      </c>
      <c r="F232" s="3">
        <v>10392538800</v>
      </c>
      <c r="G232" s="3">
        <v>50000000</v>
      </c>
      <c r="H232" s="3">
        <v>12465548</v>
      </c>
      <c r="I232" s="3">
        <v>0</v>
      </c>
      <c r="J232" s="3">
        <v>43900000</v>
      </c>
      <c r="K232" s="3">
        <v>42962000</v>
      </c>
      <c r="L232" s="3">
        <f t="shared" si="6"/>
        <v>19868182081</v>
      </c>
      <c r="M232" s="1">
        <v>-1409642469</v>
      </c>
      <c r="N232" s="1">
        <v>-853948320</v>
      </c>
      <c r="O232" s="1">
        <v>-7500000</v>
      </c>
      <c r="P232" s="1">
        <v>0</v>
      </c>
      <c r="Q232" s="1">
        <v>-42962000</v>
      </c>
      <c r="R232" s="1">
        <f t="shared" si="7"/>
        <v>17554129292</v>
      </c>
    </row>
    <row r="233" spans="1:18">
      <c r="A233" t="s">
        <v>240</v>
      </c>
      <c r="C233" s="3">
        <v>7037750</v>
      </c>
      <c r="D233" s="3">
        <v>4357760000</v>
      </c>
      <c r="E233" s="3">
        <v>2353584527</v>
      </c>
      <c r="F233" s="3">
        <v>5683837000</v>
      </c>
      <c r="G233" s="3">
        <v>49859700</v>
      </c>
      <c r="H233" s="3">
        <v>6791562</v>
      </c>
      <c r="I233" s="3">
        <v>0</v>
      </c>
      <c r="J233" s="3">
        <v>0</v>
      </c>
      <c r="K233" s="3">
        <v>99285608</v>
      </c>
      <c r="L233" s="3">
        <f t="shared" si="6"/>
        <v>12558156147</v>
      </c>
      <c r="M233" s="1">
        <v>-1814333354</v>
      </c>
      <c r="N233" s="1">
        <v>-919281270</v>
      </c>
      <c r="O233" s="1">
        <v>-7478954</v>
      </c>
      <c r="P233" s="1">
        <v>0</v>
      </c>
      <c r="Q233" s="1">
        <v>-98691608</v>
      </c>
      <c r="R233" s="1">
        <f t="shared" si="7"/>
        <v>9718370961</v>
      </c>
    </row>
    <row r="234" spans="1:18">
      <c r="A234" t="s">
        <v>241</v>
      </c>
      <c r="C234" s="3">
        <v>0</v>
      </c>
      <c r="D234" s="3">
        <v>3900000000</v>
      </c>
      <c r="E234" s="3">
        <v>4693944135</v>
      </c>
      <c r="F234" s="3">
        <v>10756850260</v>
      </c>
      <c r="G234" s="3">
        <v>543854550</v>
      </c>
      <c r="H234" s="3">
        <v>0</v>
      </c>
      <c r="I234" s="3">
        <v>0</v>
      </c>
      <c r="J234" s="3">
        <v>0</v>
      </c>
      <c r="K234" s="3">
        <v>19775000</v>
      </c>
      <c r="L234" s="3">
        <f t="shared" si="6"/>
        <v>19914423945</v>
      </c>
      <c r="M234" s="1">
        <v>-3726849471</v>
      </c>
      <c r="N234" s="1">
        <v>-1015954663</v>
      </c>
      <c r="O234" s="1">
        <v>-323111803</v>
      </c>
      <c r="P234" s="1">
        <v>0</v>
      </c>
      <c r="Q234" s="1">
        <v>-19775000</v>
      </c>
      <c r="R234" s="1">
        <f t="shared" si="7"/>
        <v>14828733008</v>
      </c>
    </row>
    <row r="235" spans="1:18">
      <c r="A235" t="s">
        <v>242</v>
      </c>
      <c r="C235" s="3">
        <v>703450</v>
      </c>
      <c r="D235" s="3">
        <v>2600000000</v>
      </c>
      <c r="E235" s="3">
        <v>2467073464</v>
      </c>
      <c r="F235" s="3">
        <v>7151994950</v>
      </c>
      <c r="G235" s="3">
        <v>264784694</v>
      </c>
      <c r="H235" s="3">
        <v>0</v>
      </c>
      <c r="I235" s="3">
        <v>0</v>
      </c>
      <c r="J235" s="3">
        <v>0</v>
      </c>
      <c r="K235" s="3">
        <v>0</v>
      </c>
      <c r="L235" s="3">
        <f t="shared" si="6"/>
        <v>12484556558</v>
      </c>
      <c r="M235" s="1">
        <v>-2002898207</v>
      </c>
      <c r="N235" s="1">
        <v>-500639647</v>
      </c>
      <c r="O235" s="1">
        <v>-258557127</v>
      </c>
      <c r="P235" s="1">
        <v>0</v>
      </c>
      <c r="Q235" s="1">
        <v>0</v>
      </c>
      <c r="R235" s="1">
        <f t="shared" si="7"/>
        <v>9722461577</v>
      </c>
    </row>
    <row r="236" spans="1:18">
      <c r="A236" t="s">
        <v>243</v>
      </c>
      <c r="C236" s="3">
        <v>2888450</v>
      </c>
      <c r="D236" s="3">
        <v>1000000000</v>
      </c>
      <c r="E236" s="3">
        <v>2431547017</v>
      </c>
      <c r="F236" s="3">
        <v>6949027234</v>
      </c>
      <c r="G236" s="3">
        <v>99100000</v>
      </c>
      <c r="H236" s="3">
        <v>0</v>
      </c>
      <c r="I236" s="3">
        <v>0</v>
      </c>
      <c r="J236" s="3">
        <v>0</v>
      </c>
      <c r="K236" s="3">
        <v>11863150</v>
      </c>
      <c r="L236" s="3">
        <f t="shared" si="6"/>
        <v>10494425851</v>
      </c>
      <c r="M236" s="1">
        <v>-1704839775</v>
      </c>
      <c r="N236" s="1">
        <v>-415261632</v>
      </c>
      <c r="O236" s="1">
        <v>-59752504</v>
      </c>
      <c r="P236" s="1">
        <v>0</v>
      </c>
      <c r="Q236" s="1">
        <v>-11497510</v>
      </c>
      <c r="R236" s="1">
        <f t="shared" si="7"/>
        <v>8303074430</v>
      </c>
    </row>
    <row r="237" spans="1:18">
      <c r="A237" t="s">
        <v>244</v>
      </c>
      <c r="C237" s="3">
        <v>4236000</v>
      </c>
      <c r="D237" s="3">
        <v>13386112000</v>
      </c>
      <c r="E237" s="3">
        <v>5565013247</v>
      </c>
      <c r="F237" s="3">
        <v>31731513818</v>
      </c>
      <c r="G237" s="3">
        <v>0</v>
      </c>
      <c r="H237" s="3">
        <v>10375316</v>
      </c>
      <c r="I237" s="3">
        <v>0</v>
      </c>
      <c r="J237" s="3">
        <v>0</v>
      </c>
      <c r="K237" s="3">
        <v>533352200</v>
      </c>
      <c r="L237" s="3">
        <f t="shared" si="6"/>
        <v>51230602581</v>
      </c>
      <c r="M237" s="1">
        <v>-4187989885</v>
      </c>
      <c r="N237" s="1">
        <v>-17534227467</v>
      </c>
      <c r="O237" s="1">
        <v>0</v>
      </c>
      <c r="P237" s="1">
        <v>0</v>
      </c>
      <c r="Q237" s="1">
        <v>-533352200</v>
      </c>
      <c r="R237" s="1">
        <f t="shared" si="7"/>
        <v>28975033029</v>
      </c>
    </row>
    <row r="238" spans="1:18">
      <c r="A238" t="s">
        <v>245</v>
      </c>
      <c r="C238" s="3">
        <v>0</v>
      </c>
      <c r="D238" s="3">
        <v>12385684000</v>
      </c>
      <c r="E238" s="3">
        <v>8334983540</v>
      </c>
      <c r="F238" s="3">
        <v>24429662500</v>
      </c>
      <c r="G238" s="3">
        <v>99275000</v>
      </c>
      <c r="H238" s="3">
        <v>4626840</v>
      </c>
      <c r="I238" s="3">
        <v>0</v>
      </c>
      <c r="J238" s="3">
        <v>77636754</v>
      </c>
      <c r="K238" s="3">
        <v>0</v>
      </c>
      <c r="L238" s="3">
        <f t="shared" si="6"/>
        <v>45331868634</v>
      </c>
      <c r="M238" s="1">
        <v>-5086110448</v>
      </c>
      <c r="N238" s="1">
        <v>-11718004685</v>
      </c>
      <c r="O238" s="1">
        <v>-1240938</v>
      </c>
      <c r="P238" s="1">
        <v>0</v>
      </c>
      <c r="Q238" s="1">
        <v>0</v>
      </c>
      <c r="R238" s="1">
        <f t="shared" si="7"/>
        <v>28526512563</v>
      </c>
    </row>
    <row r="239" spans="1:18">
      <c r="A239" t="s">
        <v>246</v>
      </c>
      <c r="C239" s="3">
        <v>0</v>
      </c>
      <c r="D239" s="3">
        <v>1067922000</v>
      </c>
      <c r="E239" s="3">
        <v>1648263025</v>
      </c>
      <c r="F239" s="3">
        <v>10659887900</v>
      </c>
      <c r="G239" s="3">
        <v>0</v>
      </c>
      <c r="H239" s="3">
        <v>1943440</v>
      </c>
      <c r="I239" s="3">
        <v>0</v>
      </c>
      <c r="J239" s="3">
        <v>0</v>
      </c>
      <c r="K239" s="3">
        <v>15399390</v>
      </c>
      <c r="L239" s="3">
        <f t="shared" si="6"/>
        <v>13393415755</v>
      </c>
      <c r="M239" s="1">
        <v>-1406380915</v>
      </c>
      <c r="N239" s="1">
        <v>-6742756814</v>
      </c>
      <c r="O239" s="1">
        <v>0</v>
      </c>
      <c r="P239" s="1">
        <v>0</v>
      </c>
      <c r="Q239" s="1">
        <v>-15399390</v>
      </c>
      <c r="R239" s="1">
        <f t="shared" si="7"/>
        <v>5228878636</v>
      </c>
    </row>
    <row r="240" spans="1:18">
      <c r="A240" t="s">
        <v>247</v>
      </c>
      <c r="C240" s="3">
        <v>0</v>
      </c>
      <c r="D240" s="3">
        <v>1292275749</v>
      </c>
      <c r="E240" s="3">
        <v>1598125749</v>
      </c>
      <c r="F240" s="3">
        <v>4943149100</v>
      </c>
      <c r="G240" s="3">
        <v>0</v>
      </c>
      <c r="H240" s="3">
        <v>1943440</v>
      </c>
      <c r="I240" s="3">
        <v>0</v>
      </c>
      <c r="J240" s="3">
        <v>0</v>
      </c>
      <c r="K240" s="3">
        <v>18462621</v>
      </c>
      <c r="L240" s="3">
        <f t="shared" si="6"/>
        <v>7853956659</v>
      </c>
      <c r="M240" s="1">
        <v>-1360060302</v>
      </c>
      <c r="N240" s="1">
        <v>-3711064190</v>
      </c>
      <c r="O240" s="1">
        <v>0</v>
      </c>
      <c r="P240" s="1">
        <v>0</v>
      </c>
      <c r="Q240" s="1">
        <v>-18261106</v>
      </c>
      <c r="R240" s="1">
        <f t="shared" si="7"/>
        <v>2764571061</v>
      </c>
    </row>
    <row r="241" spans="1:18">
      <c r="A241" t="s">
        <v>248</v>
      </c>
      <c r="C241" s="3">
        <v>0</v>
      </c>
      <c r="D241" s="3">
        <v>1915199850</v>
      </c>
      <c r="E241" s="3">
        <v>1555558352</v>
      </c>
      <c r="F241" s="3">
        <v>3166676000</v>
      </c>
      <c r="G241" s="3">
        <v>50000000</v>
      </c>
      <c r="H241" s="3">
        <v>1943440</v>
      </c>
      <c r="I241" s="3">
        <v>0</v>
      </c>
      <c r="J241" s="3">
        <v>7600000</v>
      </c>
      <c r="K241" s="3">
        <v>0</v>
      </c>
      <c r="L241" s="3">
        <f t="shared" si="6"/>
        <v>6696977642</v>
      </c>
      <c r="M241" s="1">
        <v>-1367742943</v>
      </c>
      <c r="N241" s="1">
        <v>-2139802920</v>
      </c>
      <c r="O241" s="1">
        <v>-40000000</v>
      </c>
      <c r="P241" s="1">
        <v>0</v>
      </c>
      <c r="Q241" s="1">
        <v>0</v>
      </c>
      <c r="R241" s="1">
        <f t="shared" si="7"/>
        <v>3149431779</v>
      </c>
    </row>
    <row r="242" spans="1:18">
      <c r="A242" t="s">
        <v>249</v>
      </c>
      <c r="C242" s="3">
        <v>766500</v>
      </c>
      <c r="D242" s="3">
        <v>2874867750</v>
      </c>
      <c r="E242" s="3">
        <v>1980854000</v>
      </c>
      <c r="F242" s="3">
        <v>16249605590</v>
      </c>
      <c r="G242" s="3">
        <v>0</v>
      </c>
      <c r="H242" s="3">
        <v>3543440</v>
      </c>
      <c r="I242" s="3">
        <v>0</v>
      </c>
      <c r="J242" s="3">
        <v>0</v>
      </c>
      <c r="K242" s="3">
        <v>93320000</v>
      </c>
      <c r="L242" s="3">
        <f t="shared" si="6"/>
        <v>21202957280</v>
      </c>
      <c r="M242" s="1">
        <v>-1365979590</v>
      </c>
      <c r="N242" s="1">
        <v>-4761221907</v>
      </c>
      <c r="O242" s="1">
        <v>0</v>
      </c>
      <c r="P242" s="1">
        <v>0</v>
      </c>
      <c r="Q242" s="1">
        <v>-93320000</v>
      </c>
      <c r="R242" s="1">
        <f t="shared" si="7"/>
        <v>14982435783</v>
      </c>
    </row>
    <row r="243" spans="1:18">
      <c r="A243" t="s">
        <v>250</v>
      </c>
      <c r="C243" s="3">
        <v>2744600</v>
      </c>
      <c r="D243" s="3">
        <v>2732774700</v>
      </c>
      <c r="E243" s="3">
        <v>1486624237</v>
      </c>
      <c r="F243" s="3">
        <v>15962491836</v>
      </c>
      <c r="G243" s="3">
        <v>0</v>
      </c>
      <c r="H243" s="3">
        <v>1943440</v>
      </c>
      <c r="I243" s="3">
        <v>0</v>
      </c>
      <c r="J243" s="3">
        <v>0</v>
      </c>
      <c r="K243" s="3">
        <v>2527481</v>
      </c>
      <c r="L243" s="3">
        <f t="shared" si="6"/>
        <v>20189106294</v>
      </c>
      <c r="M243" s="1">
        <v>-1313485916</v>
      </c>
      <c r="N243" s="1">
        <v>-5638604222</v>
      </c>
      <c r="O243" s="1">
        <v>0</v>
      </c>
      <c r="P243" s="1">
        <v>0</v>
      </c>
      <c r="Q243" s="1">
        <v>-2527481</v>
      </c>
      <c r="R243" s="1">
        <f t="shared" si="7"/>
        <v>13234488675</v>
      </c>
    </row>
    <row r="244" spans="1:18">
      <c r="A244" t="s">
        <v>251</v>
      </c>
      <c r="C244" s="3">
        <v>0</v>
      </c>
      <c r="D244" s="3">
        <v>6181780000</v>
      </c>
      <c r="E244" s="3">
        <v>1517067853</v>
      </c>
      <c r="F244" s="3">
        <v>1789027500</v>
      </c>
      <c r="G244" s="3">
        <v>99000000</v>
      </c>
      <c r="H244" s="3">
        <v>2178440</v>
      </c>
      <c r="I244" s="3">
        <v>9010640000</v>
      </c>
      <c r="J244" s="3">
        <v>0</v>
      </c>
      <c r="K244" s="3">
        <v>9574684850</v>
      </c>
      <c r="L244" s="3">
        <f t="shared" si="6"/>
        <v>28174378643</v>
      </c>
      <c r="M244" s="1">
        <v>-1254132088</v>
      </c>
      <c r="N244" s="1">
        <v>-1217672475</v>
      </c>
      <c r="O244" s="1">
        <v>-32175000</v>
      </c>
      <c r="P244" s="1">
        <v>0</v>
      </c>
      <c r="Q244" s="1">
        <v>-5322782851</v>
      </c>
      <c r="R244" s="1">
        <f t="shared" si="7"/>
        <v>20347616229</v>
      </c>
    </row>
    <row r="245" spans="1:18">
      <c r="A245" t="s">
        <v>252</v>
      </c>
      <c r="C245" s="3">
        <v>475500</v>
      </c>
      <c r="D245" s="3">
        <v>2952900000</v>
      </c>
      <c r="E245" s="3">
        <v>1334648008</v>
      </c>
      <c r="F245" s="3">
        <v>4056044584</v>
      </c>
      <c r="G245" s="3">
        <v>30500000</v>
      </c>
      <c r="H245" s="3">
        <v>118943440</v>
      </c>
      <c r="I245" s="3">
        <v>0</v>
      </c>
      <c r="J245" s="3">
        <v>0</v>
      </c>
      <c r="K245" s="3">
        <v>6442000</v>
      </c>
      <c r="L245" s="3">
        <f t="shared" si="6"/>
        <v>8499953532</v>
      </c>
      <c r="M245" s="1">
        <v>-1228799637</v>
      </c>
      <c r="N245" s="1">
        <v>-2529483290</v>
      </c>
      <c r="O245" s="1">
        <v>-3908331</v>
      </c>
      <c r="P245" s="1">
        <v>0</v>
      </c>
      <c r="Q245" s="1">
        <v>-6442000</v>
      </c>
      <c r="R245" s="1">
        <f t="shared" si="7"/>
        <v>4731320274</v>
      </c>
    </row>
    <row r="246" spans="1:18">
      <c r="A246" t="s">
        <v>253</v>
      </c>
      <c r="C246" s="3">
        <v>1883600</v>
      </c>
      <c r="D246" s="3">
        <v>2334014533</v>
      </c>
      <c r="E246" s="3">
        <v>974873584</v>
      </c>
      <c r="F246" s="3">
        <v>18409855922</v>
      </c>
      <c r="G246" s="3">
        <v>0</v>
      </c>
      <c r="H246" s="3">
        <v>4772118</v>
      </c>
      <c r="I246" s="3">
        <v>0</v>
      </c>
      <c r="J246" s="3">
        <v>0</v>
      </c>
      <c r="K246" s="3">
        <v>235521116</v>
      </c>
      <c r="L246" s="3">
        <f t="shared" si="6"/>
        <v>21960920873</v>
      </c>
      <c r="M246" s="1">
        <v>-845267310</v>
      </c>
      <c r="N246" s="1">
        <v>-1946826905</v>
      </c>
      <c r="O246" s="1">
        <v>0</v>
      </c>
      <c r="P246" s="1">
        <v>0</v>
      </c>
      <c r="Q246" s="1">
        <v>-235471116</v>
      </c>
      <c r="R246" s="1">
        <f t="shared" si="7"/>
        <v>18933355542</v>
      </c>
    </row>
    <row r="247" spans="1:18">
      <c r="A247" t="s">
        <v>254</v>
      </c>
      <c r="C247" s="3">
        <v>0</v>
      </c>
      <c r="D247" s="3">
        <v>3061303550</v>
      </c>
      <c r="E247" s="3">
        <v>1585061328</v>
      </c>
      <c r="F247" s="3">
        <v>10570837000</v>
      </c>
      <c r="G247" s="3">
        <v>0</v>
      </c>
      <c r="H247" s="3">
        <v>1943440</v>
      </c>
      <c r="I247" s="3">
        <v>0</v>
      </c>
      <c r="J247" s="3">
        <v>0</v>
      </c>
      <c r="K247" s="3">
        <v>73588000</v>
      </c>
      <c r="L247" s="3">
        <f t="shared" si="6"/>
        <v>15292733318</v>
      </c>
      <c r="M247" s="1">
        <v>-1403194462</v>
      </c>
      <c r="N247" s="1">
        <v>-5970445560</v>
      </c>
      <c r="O247" s="1">
        <v>0</v>
      </c>
      <c r="P247" s="1">
        <v>0</v>
      </c>
      <c r="Q247" s="1">
        <v>-73588000</v>
      </c>
      <c r="R247" s="1">
        <f t="shared" si="7"/>
        <v>7845505296</v>
      </c>
    </row>
    <row r="248" spans="1:18">
      <c r="A248" t="s">
        <v>255</v>
      </c>
      <c r="C248" s="3">
        <v>0</v>
      </c>
      <c r="D248" s="3">
        <v>2212360000</v>
      </c>
      <c r="E248" s="3">
        <v>815328120</v>
      </c>
      <c r="F248" s="3">
        <v>5857375100</v>
      </c>
      <c r="G248" s="3">
        <v>0</v>
      </c>
      <c r="H248" s="3">
        <v>1943440</v>
      </c>
      <c r="I248" s="3">
        <v>0</v>
      </c>
      <c r="J248" s="3">
        <v>0</v>
      </c>
      <c r="K248" s="3">
        <v>0</v>
      </c>
      <c r="L248" s="3">
        <f t="shared" si="6"/>
        <v>8887006660</v>
      </c>
      <c r="M248" s="1">
        <v>-730176469</v>
      </c>
      <c r="N248" s="1">
        <v>-3721755282</v>
      </c>
      <c r="O248" s="1">
        <v>0</v>
      </c>
      <c r="P248" s="1">
        <v>0</v>
      </c>
      <c r="Q248" s="1">
        <v>0</v>
      </c>
      <c r="R248" s="1">
        <f t="shared" si="7"/>
        <v>4435074909</v>
      </c>
    </row>
    <row r="249" spans="1:18">
      <c r="A249" t="s">
        <v>256</v>
      </c>
      <c r="C249" s="3">
        <v>0</v>
      </c>
      <c r="D249" s="3">
        <v>2230164000</v>
      </c>
      <c r="E249" s="3">
        <v>1948082080</v>
      </c>
      <c r="F249" s="3">
        <v>9054314425</v>
      </c>
      <c r="G249" s="3">
        <v>0</v>
      </c>
      <c r="H249" s="3">
        <v>19428440</v>
      </c>
      <c r="I249" s="3">
        <v>0</v>
      </c>
      <c r="J249" s="3">
        <v>0</v>
      </c>
      <c r="K249" s="3">
        <v>483577747</v>
      </c>
      <c r="L249" s="3">
        <f t="shared" si="6"/>
        <v>13735566692</v>
      </c>
      <c r="M249" s="1">
        <v>-1209412726</v>
      </c>
      <c r="N249" s="1">
        <v>-2224985921</v>
      </c>
      <c r="O249" s="1">
        <v>0</v>
      </c>
      <c r="P249" s="1">
        <v>0</v>
      </c>
      <c r="Q249" s="1">
        <v>-478902481</v>
      </c>
      <c r="R249" s="1">
        <f t="shared" si="7"/>
        <v>9822265564</v>
      </c>
    </row>
    <row r="250" spans="1:18">
      <c r="A250" t="s">
        <v>257</v>
      </c>
      <c r="C250" s="3">
        <v>1105500</v>
      </c>
      <c r="D250" s="3">
        <v>1665520000</v>
      </c>
      <c r="E250" s="3">
        <v>1691592862</v>
      </c>
      <c r="F250" s="3">
        <v>6142963900</v>
      </c>
      <c r="G250" s="3">
        <v>0</v>
      </c>
      <c r="H250" s="3">
        <v>1943440</v>
      </c>
      <c r="I250" s="3">
        <v>0</v>
      </c>
      <c r="J250" s="3">
        <v>5445300</v>
      </c>
      <c r="K250" s="3">
        <v>484372500</v>
      </c>
      <c r="L250" s="3">
        <f t="shared" si="6"/>
        <v>9992943502</v>
      </c>
      <c r="M250" s="1">
        <v>-1088720622</v>
      </c>
      <c r="N250" s="1">
        <v>-1159502003</v>
      </c>
      <c r="O250" s="1">
        <v>0</v>
      </c>
      <c r="P250" s="1">
        <v>0</v>
      </c>
      <c r="Q250" s="1">
        <v>-484372500</v>
      </c>
      <c r="R250" s="1">
        <f t="shared" si="7"/>
        <v>7260348377</v>
      </c>
    </row>
    <row r="251" spans="1:18">
      <c r="A251" t="s">
        <v>258</v>
      </c>
      <c r="C251" s="3">
        <v>295550</v>
      </c>
      <c r="D251" s="3">
        <v>1478058200</v>
      </c>
      <c r="E251" s="3">
        <v>1157895000</v>
      </c>
      <c r="F251" s="3">
        <v>4494702574</v>
      </c>
      <c r="G251" s="3">
        <v>0</v>
      </c>
      <c r="H251" s="3">
        <v>1943440</v>
      </c>
      <c r="I251" s="3">
        <v>0</v>
      </c>
      <c r="J251" s="3">
        <v>79800000</v>
      </c>
      <c r="K251" s="3">
        <v>89600000</v>
      </c>
      <c r="L251" s="3">
        <f t="shared" si="6"/>
        <v>7302294764</v>
      </c>
      <c r="M251" s="1">
        <v>-908015928</v>
      </c>
      <c r="N251" s="1">
        <v>-816403929</v>
      </c>
      <c r="O251" s="1">
        <v>0</v>
      </c>
      <c r="P251" s="1">
        <v>0</v>
      </c>
      <c r="Q251" s="1">
        <v>-89600000</v>
      </c>
      <c r="R251" s="1">
        <f t="shared" si="7"/>
        <v>5488274907</v>
      </c>
    </row>
    <row r="252" spans="1:18">
      <c r="A252" t="s">
        <v>259</v>
      </c>
      <c r="C252" s="3">
        <v>0</v>
      </c>
      <c r="D252" s="3">
        <v>5459062470</v>
      </c>
      <c r="E252" s="3">
        <v>1919407165</v>
      </c>
      <c r="F252" s="3">
        <v>3610079650</v>
      </c>
      <c r="G252" s="3">
        <v>0</v>
      </c>
      <c r="H252" s="3">
        <v>1943440</v>
      </c>
      <c r="I252" s="3">
        <v>9488617000</v>
      </c>
      <c r="J252" s="3">
        <v>0</v>
      </c>
      <c r="K252" s="3">
        <v>1570397160</v>
      </c>
      <c r="L252" s="3">
        <f t="shared" si="6"/>
        <v>22049506885</v>
      </c>
      <c r="M252" s="1">
        <v>-1445893833</v>
      </c>
      <c r="N252" s="1">
        <v>-513135827</v>
      </c>
      <c r="O252" s="1">
        <v>0</v>
      </c>
      <c r="P252" s="1">
        <v>0</v>
      </c>
      <c r="Q252" s="1">
        <v>-424007236</v>
      </c>
      <c r="R252" s="1">
        <f t="shared" si="7"/>
        <v>19666469989</v>
      </c>
    </row>
    <row r="253" spans="1:18">
      <c r="A253" t="s">
        <v>260</v>
      </c>
      <c r="C253" s="3">
        <v>0</v>
      </c>
      <c r="D253" s="3">
        <v>2037426000</v>
      </c>
      <c r="E253" s="3">
        <v>853709000</v>
      </c>
      <c r="F253" s="3">
        <v>7031928000</v>
      </c>
      <c r="G253" s="3">
        <v>0</v>
      </c>
      <c r="H253" s="3">
        <v>1943440</v>
      </c>
      <c r="I253" s="3">
        <v>0</v>
      </c>
      <c r="J253" s="3">
        <v>59650000</v>
      </c>
      <c r="K253" s="3">
        <v>0</v>
      </c>
      <c r="L253" s="3">
        <f t="shared" si="6"/>
        <v>9984656440</v>
      </c>
      <c r="M253" s="1">
        <v>-815269833</v>
      </c>
      <c r="N253" s="1">
        <v>-5446532490</v>
      </c>
      <c r="O253" s="1">
        <v>0</v>
      </c>
      <c r="P253" s="1">
        <v>0</v>
      </c>
      <c r="Q253" s="1">
        <v>0</v>
      </c>
      <c r="R253" s="1">
        <f t="shared" si="7"/>
        <v>3722854117</v>
      </c>
    </row>
    <row r="254" spans="1:18">
      <c r="A254" t="s">
        <v>261</v>
      </c>
      <c r="C254" s="3">
        <v>5614500</v>
      </c>
      <c r="D254" s="3">
        <v>1410299300</v>
      </c>
      <c r="E254" s="3">
        <v>1723723728</v>
      </c>
      <c r="F254" s="3">
        <v>4145741300</v>
      </c>
      <c r="G254" s="3">
        <v>0</v>
      </c>
      <c r="H254" s="3">
        <v>1943440</v>
      </c>
      <c r="I254" s="3">
        <v>0</v>
      </c>
      <c r="J254" s="3">
        <v>0</v>
      </c>
      <c r="K254" s="3">
        <v>300626211</v>
      </c>
      <c r="L254" s="3">
        <f t="shared" si="6"/>
        <v>7587948479</v>
      </c>
      <c r="M254" s="1">
        <v>-1453031798</v>
      </c>
      <c r="N254" s="1">
        <v>-387978435</v>
      </c>
      <c r="O254" s="1">
        <v>0</v>
      </c>
      <c r="P254" s="1">
        <v>0</v>
      </c>
      <c r="Q254" s="1">
        <v>-218344547</v>
      </c>
      <c r="R254" s="1">
        <f t="shared" si="7"/>
        <v>5528593699</v>
      </c>
    </row>
    <row r="255" spans="1:18">
      <c r="A255" t="s">
        <v>262</v>
      </c>
      <c r="C255" s="3">
        <v>0</v>
      </c>
      <c r="D255" s="3">
        <v>1194505140</v>
      </c>
      <c r="E255" s="3">
        <v>1335761806</v>
      </c>
      <c r="F255" s="3">
        <v>4625491338</v>
      </c>
      <c r="G255" s="3">
        <v>0</v>
      </c>
      <c r="H255" s="3">
        <v>8943440</v>
      </c>
      <c r="I255" s="3">
        <v>0</v>
      </c>
      <c r="J255" s="3">
        <v>0</v>
      </c>
      <c r="K255" s="3">
        <v>1790000</v>
      </c>
      <c r="L255" s="3">
        <f t="shared" si="6"/>
        <v>7166491724</v>
      </c>
      <c r="M255" s="1">
        <v>-1174305378</v>
      </c>
      <c r="N255" s="1">
        <v>-891868448</v>
      </c>
      <c r="O255" s="1">
        <v>0</v>
      </c>
      <c r="P255" s="1">
        <v>0</v>
      </c>
      <c r="Q255" s="1">
        <v>-1790000</v>
      </c>
      <c r="R255" s="1">
        <f t="shared" si="7"/>
        <v>5098527898</v>
      </c>
    </row>
    <row r="256" spans="1:18">
      <c r="A256" t="s">
        <v>263</v>
      </c>
      <c r="C256" s="3">
        <v>3274100</v>
      </c>
      <c r="D256" s="3">
        <v>2609482000</v>
      </c>
      <c r="E256" s="3">
        <v>5950619936</v>
      </c>
      <c r="F256" s="3">
        <v>26555529750</v>
      </c>
      <c r="G256" s="3">
        <v>96200000</v>
      </c>
      <c r="H256" s="3">
        <v>0</v>
      </c>
      <c r="I256" s="3">
        <v>0</v>
      </c>
      <c r="J256" s="3">
        <v>0</v>
      </c>
      <c r="K256" s="3">
        <v>0</v>
      </c>
      <c r="L256" s="3">
        <f t="shared" si="6"/>
        <v>35215105786</v>
      </c>
      <c r="M256" s="1">
        <v>-5741611104</v>
      </c>
      <c r="N256" s="1">
        <v>-6912799183</v>
      </c>
      <c r="O256" s="1">
        <v>-48100000</v>
      </c>
      <c r="P256" s="1">
        <v>0</v>
      </c>
      <c r="Q256" s="1">
        <v>0</v>
      </c>
      <c r="R256" s="1">
        <f t="shared" si="7"/>
        <v>22512595499</v>
      </c>
    </row>
    <row r="257" spans="1:18">
      <c r="A257" t="s">
        <v>264</v>
      </c>
      <c r="C257" s="3">
        <v>0</v>
      </c>
      <c r="D257" s="3">
        <v>1592676000</v>
      </c>
      <c r="E257" s="3">
        <v>2234834093</v>
      </c>
      <c r="F257" s="3">
        <v>14293194791</v>
      </c>
      <c r="G257" s="3">
        <v>0</v>
      </c>
      <c r="H257" s="3">
        <v>2683400</v>
      </c>
      <c r="I257" s="3">
        <v>0</v>
      </c>
      <c r="J257" s="3">
        <v>0</v>
      </c>
      <c r="K257" s="3">
        <v>127385666</v>
      </c>
      <c r="L257" s="3">
        <f t="shared" si="6"/>
        <v>18250773950</v>
      </c>
      <c r="M257" s="1">
        <v>-1769610411</v>
      </c>
      <c r="N257" s="1">
        <v>-1357311738</v>
      </c>
      <c r="O257" s="1">
        <v>0</v>
      </c>
      <c r="P257" s="1">
        <v>0</v>
      </c>
      <c r="Q257" s="1">
        <v>-127385666</v>
      </c>
      <c r="R257" s="1">
        <f t="shared" si="7"/>
        <v>14996466135</v>
      </c>
    </row>
    <row r="258" spans="1:18">
      <c r="A258" t="s">
        <v>265</v>
      </c>
      <c r="C258" s="3">
        <v>2276000</v>
      </c>
      <c r="D258" s="3">
        <v>1150953750</v>
      </c>
      <c r="E258" s="3">
        <v>1399916037</v>
      </c>
      <c r="F258" s="3">
        <v>6573092096</v>
      </c>
      <c r="G258" s="3">
        <v>0</v>
      </c>
      <c r="H258" s="3">
        <v>0</v>
      </c>
      <c r="I258" s="3">
        <v>0</v>
      </c>
      <c r="J258" s="3">
        <v>0</v>
      </c>
      <c r="K258" s="3">
        <v>3414000</v>
      </c>
      <c r="L258" s="3">
        <f t="shared" si="6"/>
        <v>9129651883</v>
      </c>
      <c r="M258" s="1">
        <v>-1208998537</v>
      </c>
      <c r="N258" s="1">
        <v>-933870001</v>
      </c>
      <c r="O258" s="1">
        <v>0</v>
      </c>
      <c r="P258" s="1">
        <v>0</v>
      </c>
      <c r="Q258" s="1">
        <v>-3414000</v>
      </c>
      <c r="R258" s="1">
        <f t="shared" si="7"/>
        <v>6983369345</v>
      </c>
    </row>
    <row r="259" spans="1:18">
      <c r="A259" t="s">
        <v>266</v>
      </c>
      <c r="C259" s="3">
        <v>342700</v>
      </c>
      <c r="D259" s="3">
        <v>1740831400</v>
      </c>
      <c r="E259" s="3">
        <v>1197963737</v>
      </c>
      <c r="F259" s="3">
        <v>8481237000</v>
      </c>
      <c r="G259" s="3">
        <v>27000000</v>
      </c>
      <c r="H259" s="3">
        <v>0</v>
      </c>
      <c r="I259" s="3">
        <v>0</v>
      </c>
      <c r="J259" s="3">
        <v>0</v>
      </c>
      <c r="K259" s="3">
        <v>134447110</v>
      </c>
      <c r="L259" s="3">
        <f t="shared" ref="L259:L322" si="8">SUM(C259:K259)</f>
        <v>11581821947</v>
      </c>
      <c r="M259" s="1">
        <v>-927614261</v>
      </c>
      <c r="N259" s="1">
        <v>-1087013659</v>
      </c>
      <c r="O259" s="1">
        <v>-6750000</v>
      </c>
      <c r="P259" s="1">
        <v>0</v>
      </c>
      <c r="Q259" s="1">
        <v>-130223110</v>
      </c>
      <c r="R259" s="1">
        <f t="shared" ref="R259:R322" si="9">SUM(L259:Q259)</f>
        <v>9430220917</v>
      </c>
    </row>
    <row r="260" spans="1:18">
      <c r="A260" t="s">
        <v>267</v>
      </c>
      <c r="C260" s="3">
        <v>420000</v>
      </c>
      <c r="D260" s="3">
        <v>491680000</v>
      </c>
      <c r="E260" s="3">
        <v>998130634</v>
      </c>
      <c r="F260" s="3">
        <v>9597564000</v>
      </c>
      <c r="G260" s="3">
        <v>0</v>
      </c>
      <c r="H260" s="3">
        <v>0</v>
      </c>
      <c r="I260" s="3">
        <v>0</v>
      </c>
      <c r="J260" s="3">
        <v>0</v>
      </c>
      <c r="K260" s="3">
        <v>139848000</v>
      </c>
      <c r="L260" s="3">
        <f t="shared" si="8"/>
        <v>11227642634</v>
      </c>
      <c r="M260" s="1">
        <v>-871116779</v>
      </c>
      <c r="N260" s="1">
        <v>-655991920</v>
      </c>
      <c r="O260" s="1">
        <v>0</v>
      </c>
      <c r="P260" s="1">
        <v>0</v>
      </c>
      <c r="Q260" s="1">
        <v>-139848000</v>
      </c>
      <c r="R260" s="1">
        <f t="shared" si="9"/>
        <v>9560685935</v>
      </c>
    </row>
    <row r="261" spans="1:18">
      <c r="A261" t="s">
        <v>268</v>
      </c>
      <c r="C261" s="3">
        <v>130000</v>
      </c>
      <c r="D261" s="3">
        <v>521000000</v>
      </c>
      <c r="E261" s="3">
        <v>924575866</v>
      </c>
      <c r="F261" s="3">
        <v>7220110150</v>
      </c>
      <c r="G261" s="3">
        <v>0</v>
      </c>
      <c r="H261" s="3">
        <v>0</v>
      </c>
      <c r="I261" s="3">
        <v>0</v>
      </c>
      <c r="J261" s="3">
        <v>0</v>
      </c>
      <c r="K261" s="3">
        <v>60237516</v>
      </c>
      <c r="L261" s="3">
        <f t="shared" si="8"/>
        <v>8726053532</v>
      </c>
      <c r="M261" s="1">
        <v>-763051914</v>
      </c>
      <c r="N261" s="1">
        <v>-638055873</v>
      </c>
      <c r="O261" s="1">
        <v>0</v>
      </c>
      <c r="P261" s="1">
        <v>0</v>
      </c>
      <c r="Q261" s="1">
        <v>-60237516</v>
      </c>
      <c r="R261" s="1">
        <f t="shared" si="9"/>
        <v>7264708229</v>
      </c>
    </row>
    <row r="262" spans="1:18">
      <c r="A262" t="s">
        <v>269</v>
      </c>
      <c r="C262" s="3">
        <v>1111000</v>
      </c>
      <c r="D262" s="3">
        <v>1032375000</v>
      </c>
      <c r="E262" s="3">
        <v>1888484650</v>
      </c>
      <c r="F262" s="3">
        <v>11887852720</v>
      </c>
      <c r="G262" s="3">
        <v>0</v>
      </c>
      <c r="H262" s="3">
        <v>35860000</v>
      </c>
      <c r="I262" s="3">
        <v>0</v>
      </c>
      <c r="J262" s="3">
        <v>0</v>
      </c>
      <c r="K262" s="3">
        <v>190474487</v>
      </c>
      <c r="L262" s="3">
        <f t="shared" si="8"/>
        <v>15036157857</v>
      </c>
      <c r="M262" s="1">
        <v>-1216595415</v>
      </c>
      <c r="N262" s="1">
        <v>-2017195884</v>
      </c>
      <c r="O262" s="1">
        <v>0</v>
      </c>
      <c r="P262" s="1">
        <v>0</v>
      </c>
      <c r="Q262" s="1">
        <v>-190474487</v>
      </c>
      <c r="R262" s="1">
        <f t="shared" si="9"/>
        <v>11611892071</v>
      </c>
    </row>
    <row r="263" spans="1:18">
      <c r="A263" t="s">
        <v>270</v>
      </c>
      <c r="C263" s="3">
        <v>335000</v>
      </c>
      <c r="D263" s="3">
        <v>2812800000</v>
      </c>
      <c r="E263" s="3">
        <v>1564218154</v>
      </c>
      <c r="F263" s="3">
        <v>8603004000</v>
      </c>
      <c r="G263" s="3">
        <v>0</v>
      </c>
      <c r="H263" s="3">
        <v>0</v>
      </c>
      <c r="I263" s="3">
        <v>0</v>
      </c>
      <c r="J263" s="3">
        <v>0</v>
      </c>
      <c r="K263" s="3">
        <v>45042000</v>
      </c>
      <c r="L263" s="3">
        <f t="shared" si="8"/>
        <v>13025399154</v>
      </c>
      <c r="M263" s="1">
        <v>-1135636971</v>
      </c>
      <c r="N263" s="1">
        <v>-1732391461</v>
      </c>
      <c r="O263" s="1">
        <v>0</v>
      </c>
      <c r="P263" s="1">
        <v>0</v>
      </c>
      <c r="Q263" s="1">
        <v>-45042000</v>
      </c>
      <c r="R263" s="1">
        <f t="shared" si="9"/>
        <v>10112328722</v>
      </c>
    </row>
    <row r="264" spans="1:18">
      <c r="A264" t="s">
        <v>271</v>
      </c>
      <c r="C264" s="3">
        <v>0</v>
      </c>
      <c r="D264" s="3">
        <v>3347904000</v>
      </c>
      <c r="E264" s="3">
        <v>1469294217</v>
      </c>
      <c r="F264" s="3">
        <v>8631967000</v>
      </c>
      <c r="G264" s="3">
        <v>0</v>
      </c>
      <c r="H264" s="3">
        <v>461000</v>
      </c>
      <c r="I264" s="3">
        <v>0</v>
      </c>
      <c r="J264" s="3">
        <v>6820000</v>
      </c>
      <c r="K264" s="3">
        <v>7631000</v>
      </c>
      <c r="L264" s="3">
        <f t="shared" si="8"/>
        <v>13464077217</v>
      </c>
      <c r="M264" s="1">
        <v>-1305710797</v>
      </c>
      <c r="N264" s="1">
        <v>-790540438</v>
      </c>
      <c r="O264" s="1">
        <v>0</v>
      </c>
      <c r="P264" s="1">
        <v>0</v>
      </c>
      <c r="Q264" s="1">
        <v>-7631000</v>
      </c>
      <c r="R264" s="1">
        <f t="shared" si="9"/>
        <v>11360194982</v>
      </c>
    </row>
    <row r="265" spans="1:18">
      <c r="A265" t="s">
        <v>272</v>
      </c>
      <c r="C265" s="3">
        <v>343000</v>
      </c>
      <c r="D265" s="3">
        <v>1773726888</v>
      </c>
      <c r="E265" s="3">
        <v>1124006903</v>
      </c>
      <c r="F265" s="3">
        <v>8781444500</v>
      </c>
      <c r="G265" s="3">
        <v>0</v>
      </c>
      <c r="H265" s="3">
        <v>290000</v>
      </c>
      <c r="I265" s="3">
        <v>0</v>
      </c>
      <c r="J265" s="3">
        <v>0</v>
      </c>
      <c r="K265" s="3">
        <v>30857408</v>
      </c>
      <c r="L265" s="3">
        <f t="shared" si="8"/>
        <v>11710668699</v>
      </c>
      <c r="M265" s="1">
        <v>-1012382064</v>
      </c>
      <c r="N265" s="1">
        <v>-416709439</v>
      </c>
      <c r="O265" s="1">
        <v>0</v>
      </c>
      <c r="P265" s="1">
        <v>0</v>
      </c>
      <c r="Q265" s="1">
        <v>-30857408</v>
      </c>
      <c r="R265" s="1">
        <f t="shared" si="9"/>
        <v>10250719788</v>
      </c>
    </row>
    <row r="266" spans="1:18">
      <c r="A266" t="s">
        <v>273</v>
      </c>
      <c r="C266" s="3">
        <v>432000</v>
      </c>
      <c r="D266" s="3">
        <v>903800000</v>
      </c>
      <c r="E266" s="3">
        <v>1521060500</v>
      </c>
      <c r="F266" s="3">
        <v>8702320000</v>
      </c>
      <c r="G266" s="3">
        <v>0</v>
      </c>
      <c r="H266" s="3">
        <v>0</v>
      </c>
      <c r="I266" s="3">
        <v>0</v>
      </c>
      <c r="J266" s="3">
        <v>0</v>
      </c>
      <c r="K266" s="3">
        <v>5915000</v>
      </c>
      <c r="L266" s="3">
        <f t="shared" si="8"/>
        <v>11133527500</v>
      </c>
      <c r="M266" s="1">
        <v>-1391358750</v>
      </c>
      <c r="N266" s="1">
        <v>-469748600</v>
      </c>
      <c r="O266" s="1">
        <v>0</v>
      </c>
      <c r="P266" s="1">
        <v>0</v>
      </c>
      <c r="Q266" s="1">
        <v>-5915000</v>
      </c>
      <c r="R266" s="1">
        <f t="shared" si="9"/>
        <v>9266505150</v>
      </c>
    </row>
    <row r="267" spans="1:18">
      <c r="A267" t="s">
        <v>274</v>
      </c>
      <c r="C267" s="3">
        <v>0</v>
      </c>
      <c r="D267" s="3">
        <v>450012000</v>
      </c>
      <c r="E267" s="3">
        <v>1336900066</v>
      </c>
      <c r="F267" s="3">
        <v>9152571000</v>
      </c>
      <c r="G267" s="3">
        <v>46000000</v>
      </c>
      <c r="H267" s="3">
        <v>19900000</v>
      </c>
      <c r="I267" s="3">
        <v>0</v>
      </c>
      <c r="J267" s="3">
        <v>0</v>
      </c>
      <c r="K267" s="3">
        <v>31089750</v>
      </c>
      <c r="L267" s="3">
        <f t="shared" si="8"/>
        <v>11036472816</v>
      </c>
      <c r="M267" s="1">
        <v>-1185143194</v>
      </c>
      <c r="N267" s="1">
        <v>-1596849599</v>
      </c>
      <c r="O267" s="1">
        <v>-1150000</v>
      </c>
      <c r="P267" s="1">
        <v>0</v>
      </c>
      <c r="Q267" s="1">
        <v>-31089750</v>
      </c>
      <c r="R267" s="1">
        <f t="shared" si="9"/>
        <v>8222240273</v>
      </c>
    </row>
    <row r="268" spans="1:18">
      <c r="A268" t="s">
        <v>275</v>
      </c>
      <c r="C268" s="3">
        <v>62000</v>
      </c>
      <c r="D268" s="3">
        <v>820208000</v>
      </c>
      <c r="E268" s="3">
        <v>1230750338</v>
      </c>
      <c r="F268" s="3">
        <v>4216666054</v>
      </c>
      <c r="G268" s="3">
        <v>0</v>
      </c>
      <c r="H268" s="3">
        <v>0</v>
      </c>
      <c r="I268" s="3">
        <v>0</v>
      </c>
      <c r="J268" s="3">
        <v>6820000</v>
      </c>
      <c r="K268" s="3">
        <v>779780</v>
      </c>
      <c r="L268" s="3">
        <f t="shared" si="8"/>
        <v>6275286172</v>
      </c>
      <c r="M268" s="1">
        <v>-975737129</v>
      </c>
      <c r="N268" s="1">
        <v>-364329641</v>
      </c>
      <c r="O268" s="1">
        <v>0</v>
      </c>
      <c r="P268" s="1">
        <v>0</v>
      </c>
      <c r="Q268" s="1">
        <v>-779780</v>
      </c>
      <c r="R268" s="1">
        <f t="shared" si="9"/>
        <v>4934439622</v>
      </c>
    </row>
    <row r="269" spans="1:18">
      <c r="A269" t="s">
        <v>276</v>
      </c>
      <c r="C269" s="3">
        <v>0</v>
      </c>
      <c r="D269" s="3">
        <v>134549000</v>
      </c>
      <c r="E269" s="3">
        <v>886866500</v>
      </c>
      <c r="F269" s="3">
        <v>12297938000</v>
      </c>
      <c r="G269" s="3">
        <v>0</v>
      </c>
      <c r="H269" s="3">
        <v>0</v>
      </c>
      <c r="I269" s="3">
        <v>0</v>
      </c>
      <c r="J269" s="3">
        <v>0</v>
      </c>
      <c r="K269" s="3">
        <v>359884017</v>
      </c>
      <c r="L269" s="3">
        <f t="shared" si="8"/>
        <v>13679237517</v>
      </c>
      <c r="M269" s="1">
        <v>-718558894</v>
      </c>
      <c r="N269" s="1">
        <v>-811850242</v>
      </c>
      <c r="O269" s="1">
        <v>0</v>
      </c>
      <c r="P269" s="1">
        <v>0</v>
      </c>
      <c r="Q269" s="1">
        <v>-352954017</v>
      </c>
      <c r="R269" s="1">
        <f t="shared" si="9"/>
        <v>11795874364</v>
      </c>
    </row>
    <row r="270" spans="1:18">
      <c r="A270" t="s">
        <v>277</v>
      </c>
      <c r="C270" s="3">
        <v>875000</v>
      </c>
      <c r="D270" s="3">
        <v>1169594000</v>
      </c>
      <c r="E270" s="3">
        <v>1338719603</v>
      </c>
      <c r="F270" s="3">
        <v>345396065</v>
      </c>
      <c r="G270" s="3">
        <v>0</v>
      </c>
      <c r="H270" s="3">
        <v>0</v>
      </c>
      <c r="I270" s="3">
        <v>0</v>
      </c>
      <c r="J270" s="3">
        <v>6820000</v>
      </c>
      <c r="K270" s="3">
        <v>0</v>
      </c>
      <c r="L270" s="3">
        <f t="shared" si="8"/>
        <v>2861404668</v>
      </c>
      <c r="M270" s="1">
        <v>-1204176140</v>
      </c>
      <c r="N270" s="1">
        <v>-209807594</v>
      </c>
      <c r="O270" s="1">
        <v>0</v>
      </c>
      <c r="P270" s="1">
        <v>0</v>
      </c>
      <c r="Q270" s="1">
        <v>0</v>
      </c>
      <c r="R270" s="1">
        <f t="shared" si="9"/>
        <v>1447420934</v>
      </c>
    </row>
    <row r="271" spans="1:18">
      <c r="A271" t="s">
        <v>278</v>
      </c>
      <c r="C271" s="3">
        <v>45000</v>
      </c>
      <c r="D271" s="3">
        <v>1366900000</v>
      </c>
      <c r="E271" s="3">
        <v>991206350</v>
      </c>
      <c r="F271" s="3">
        <v>6431779424</v>
      </c>
      <c r="G271" s="3">
        <v>0</v>
      </c>
      <c r="H271" s="3">
        <v>0</v>
      </c>
      <c r="I271" s="3">
        <v>0</v>
      </c>
      <c r="J271" s="3">
        <v>0</v>
      </c>
      <c r="K271" s="3">
        <v>145678360</v>
      </c>
      <c r="L271" s="3">
        <f t="shared" si="8"/>
        <v>8935609134</v>
      </c>
      <c r="M271" s="1">
        <v>-865618850</v>
      </c>
      <c r="N271" s="1">
        <v>-597192545</v>
      </c>
      <c r="O271" s="1">
        <v>0</v>
      </c>
      <c r="P271" s="1">
        <v>0</v>
      </c>
      <c r="Q271" s="1">
        <v>-145678360</v>
      </c>
      <c r="R271" s="1">
        <f t="shared" si="9"/>
        <v>7327119379</v>
      </c>
    </row>
    <row r="272" spans="1:18">
      <c r="A272" t="s">
        <v>279</v>
      </c>
      <c r="C272" s="3">
        <v>626100</v>
      </c>
      <c r="D272" s="3">
        <v>397750000</v>
      </c>
      <c r="E272" s="3">
        <v>1325884528</v>
      </c>
      <c r="F272" s="3">
        <v>1574730000</v>
      </c>
      <c r="G272" s="3">
        <v>0</v>
      </c>
      <c r="H272" s="3">
        <v>200000</v>
      </c>
      <c r="I272" s="3">
        <v>0</v>
      </c>
      <c r="J272" s="3">
        <v>0</v>
      </c>
      <c r="K272" s="3">
        <v>0</v>
      </c>
      <c r="L272" s="3">
        <f t="shared" si="8"/>
        <v>3299190628</v>
      </c>
      <c r="M272" s="1">
        <v>-1195803792</v>
      </c>
      <c r="N272" s="1">
        <v>-296260080</v>
      </c>
      <c r="O272" s="1">
        <v>0</v>
      </c>
      <c r="P272" s="1">
        <v>0</v>
      </c>
      <c r="Q272" s="1">
        <v>0</v>
      </c>
      <c r="R272" s="1">
        <f t="shared" si="9"/>
        <v>1807126756</v>
      </c>
    </row>
    <row r="273" spans="1:18">
      <c r="A273" t="s">
        <v>280</v>
      </c>
      <c r="C273" s="3">
        <v>98000</v>
      </c>
      <c r="D273" s="3">
        <v>718291600</v>
      </c>
      <c r="E273" s="3">
        <v>912638491</v>
      </c>
      <c r="F273" s="3">
        <v>384821500</v>
      </c>
      <c r="G273" s="3">
        <v>0</v>
      </c>
      <c r="H273" s="3">
        <v>20000000</v>
      </c>
      <c r="I273" s="3">
        <v>0</v>
      </c>
      <c r="J273" s="3">
        <v>0</v>
      </c>
      <c r="K273" s="3">
        <v>0</v>
      </c>
      <c r="L273" s="3">
        <f t="shared" si="8"/>
        <v>2035849591</v>
      </c>
      <c r="M273" s="1">
        <v>-758930270</v>
      </c>
      <c r="N273" s="1">
        <v>-209037890</v>
      </c>
      <c r="O273" s="1">
        <v>0</v>
      </c>
      <c r="P273" s="1">
        <v>0</v>
      </c>
      <c r="Q273" s="1">
        <v>0</v>
      </c>
      <c r="R273" s="1">
        <f t="shared" si="9"/>
        <v>1067881431</v>
      </c>
    </row>
    <row r="274" spans="1:18">
      <c r="A274" t="s">
        <v>281</v>
      </c>
      <c r="C274" s="3">
        <v>0</v>
      </c>
      <c r="D274" s="3">
        <v>2124280000</v>
      </c>
      <c r="E274" s="3">
        <v>958519588</v>
      </c>
      <c r="F274" s="3">
        <v>9660741182</v>
      </c>
      <c r="G274" s="3">
        <v>0</v>
      </c>
      <c r="H274" s="3">
        <v>0</v>
      </c>
      <c r="I274" s="3">
        <v>0</v>
      </c>
      <c r="J274" s="3">
        <v>0</v>
      </c>
      <c r="K274" s="3">
        <v>2159250</v>
      </c>
      <c r="L274" s="3">
        <f t="shared" si="8"/>
        <v>12745700020</v>
      </c>
      <c r="M274" s="1">
        <v>-856071255</v>
      </c>
      <c r="N274" s="1">
        <v>-1601555914</v>
      </c>
      <c r="O274" s="1">
        <v>0</v>
      </c>
      <c r="P274" s="1">
        <v>0</v>
      </c>
      <c r="Q274" s="1">
        <v>-2159250</v>
      </c>
      <c r="R274" s="1">
        <f t="shared" si="9"/>
        <v>10285913601</v>
      </c>
    </row>
    <row r="275" spans="1:18">
      <c r="A275" t="s">
        <v>282</v>
      </c>
      <c r="C275" s="3">
        <v>0</v>
      </c>
      <c r="D275" s="3">
        <v>1400327000</v>
      </c>
      <c r="E275" s="3">
        <v>1351377698</v>
      </c>
      <c r="F275" s="3">
        <v>6657170580</v>
      </c>
      <c r="G275" s="3">
        <v>0</v>
      </c>
      <c r="H275" s="3">
        <v>0</v>
      </c>
      <c r="I275" s="3">
        <v>0</v>
      </c>
      <c r="J275" s="3">
        <v>5289100</v>
      </c>
      <c r="K275" s="3">
        <v>0</v>
      </c>
      <c r="L275" s="3">
        <f t="shared" si="8"/>
        <v>9414164378</v>
      </c>
      <c r="M275" s="1">
        <v>-1183143768</v>
      </c>
      <c r="N275" s="1">
        <v>-656457200</v>
      </c>
      <c r="O275" s="1">
        <v>0</v>
      </c>
      <c r="P275" s="1">
        <v>0</v>
      </c>
      <c r="Q275" s="1">
        <v>0</v>
      </c>
      <c r="R275" s="1">
        <f t="shared" si="9"/>
        <v>7574563410</v>
      </c>
    </row>
    <row r="276" spans="1:18">
      <c r="A276" t="s">
        <v>283</v>
      </c>
      <c r="C276" s="3">
        <v>919620</v>
      </c>
      <c r="D276" s="3">
        <v>1918278250</v>
      </c>
      <c r="E276" s="3">
        <v>2366920686</v>
      </c>
      <c r="F276" s="3">
        <v>14082166100</v>
      </c>
      <c r="G276" s="3">
        <v>0</v>
      </c>
      <c r="H276" s="3">
        <v>0</v>
      </c>
      <c r="I276" s="3">
        <v>0</v>
      </c>
      <c r="J276" s="3">
        <v>79000000</v>
      </c>
      <c r="K276" s="3">
        <v>212177650</v>
      </c>
      <c r="L276" s="3">
        <f t="shared" si="8"/>
        <v>18659462306</v>
      </c>
      <c r="M276" s="1">
        <v>-1985010803</v>
      </c>
      <c r="N276" s="1">
        <v>-1658310694</v>
      </c>
      <c r="O276" s="1">
        <v>0</v>
      </c>
      <c r="P276" s="1">
        <v>0</v>
      </c>
      <c r="Q276" s="1">
        <v>-211734825</v>
      </c>
      <c r="R276" s="1">
        <f t="shared" si="9"/>
        <v>14804405984</v>
      </c>
    </row>
    <row r="277" spans="1:18">
      <c r="A277" t="s">
        <v>284</v>
      </c>
      <c r="C277" s="3">
        <v>3956020</v>
      </c>
      <c r="D277" s="3">
        <v>5586675000</v>
      </c>
      <c r="E277" s="3">
        <v>1930986673</v>
      </c>
      <c r="F277" s="3">
        <v>6666042800</v>
      </c>
      <c r="G277" s="3">
        <v>164946000</v>
      </c>
      <c r="H277" s="3">
        <v>0</v>
      </c>
      <c r="I277" s="3">
        <v>0</v>
      </c>
      <c r="J277" s="3">
        <v>0</v>
      </c>
      <c r="K277" s="3">
        <v>0</v>
      </c>
      <c r="L277" s="3">
        <f t="shared" si="8"/>
        <v>14352606493</v>
      </c>
      <c r="M277" s="1">
        <v>-1350263110</v>
      </c>
      <c r="N277" s="1">
        <v>-698248676</v>
      </c>
      <c r="O277" s="1">
        <v>-103244100</v>
      </c>
      <c r="P277" s="1">
        <v>0</v>
      </c>
      <c r="Q277" s="1">
        <v>0</v>
      </c>
      <c r="R277" s="1">
        <f t="shared" si="9"/>
        <v>12200850607</v>
      </c>
    </row>
    <row r="278" spans="1:18">
      <c r="A278" t="s">
        <v>285</v>
      </c>
      <c r="C278" s="3">
        <v>0</v>
      </c>
      <c r="D278" s="3">
        <v>2000000000</v>
      </c>
      <c r="E278" s="3">
        <v>575855000</v>
      </c>
      <c r="F278" s="3">
        <v>7569591000</v>
      </c>
      <c r="G278" s="3">
        <v>0</v>
      </c>
      <c r="H278" s="3">
        <v>0</v>
      </c>
      <c r="I278" s="3">
        <v>0</v>
      </c>
      <c r="J278" s="3">
        <v>0</v>
      </c>
      <c r="K278" s="3">
        <v>0</v>
      </c>
      <c r="L278" s="3">
        <f t="shared" si="8"/>
        <v>10145446000</v>
      </c>
      <c r="M278" s="1">
        <v>-317474286</v>
      </c>
      <c r="N278" s="1">
        <v>-151391820</v>
      </c>
      <c r="O278" s="1">
        <v>0</v>
      </c>
      <c r="P278" s="1">
        <v>0</v>
      </c>
      <c r="Q278" s="1">
        <v>0</v>
      </c>
      <c r="R278" s="1">
        <f t="shared" si="9"/>
        <v>9676579894</v>
      </c>
    </row>
    <row r="279" spans="1:18">
      <c r="A279" t="s">
        <v>286</v>
      </c>
      <c r="C279" s="3">
        <v>14511610</v>
      </c>
      <c r="D279" s="3">
        <v>69304824900</v>
      </c>
      <c r="E279" s="3">
        <v>6878384635</v>
      </c>
      <c r="F279" s="3">
        <v>33319093673</v>
      </c>
      <c r="G279" s="3">
        <v>778111400</v>
      </c>
      <c r="H279" s="3">
        <v>5131904</v>
      </c>
      <c r="I279" s="3">
        <v>0</v>
      </c>
      <c r="J279" s="3">
        <v>60600000</v>
      </c>
      <c r="K279" s="3">
        <v>0</v>
      </c>
      <c r="L279" s="3">
        <f t="shared" si="8"/>
        <v>110360658122</v>
      </c>
      <c r="M279" s="1">
        <v>-3670380962</v>
      </c>
      <c r="N279" s="1">
        <v>-5682258365</v>
      </c>
      <c r="O279" s="1">
        <v>-243380025</v>
      </c>
      <c r="P279" s="1">
        <v>0</v>
      </c>
      <c r="Q279" s="1">
        <v>0</v>
      </c>
      <c r="R279" s="1">
        <f t="shared" si="9"/>
        <v>100764638770</v>
      </c>
    </row>
    <row r="280" spans="1:18">
      <c r="A280" t="s">
        <v>287</v>
      </c>
      <c r="C280" s="3">
        <v>0</v>
      </c>
      <c r="D280" s="3">
        <v>75370855280</v>
      </c>
      <c r="E280" s="3">
        <v>4987131964</v>
      </c>
      <c r="F280" s="3">
        <v>9397879000</v>
      </c>
      <c r="G280" s="3">
        <v>223483000</v>
      </c>
      <c r="H280" s="3">
        <v>2001440</v>
      </c>
      <c r="I280" s="3">
        <v>0</v>
      </c>
      <c r="J280" s="3">
        <v>0</v>
      </c>
      <c r="K280" s="3">
        <v>83570395</v>
      </c>
      <c r="L280" s="3">
        <f t="shared" si="8"/>
        <v>90064921079</v>
      </c>
      <c r="M280" s="1">
        <v>-4602455964</v>
      </c>
      <c r="N280" s="1">
        <v>-8263847800</v>
      </c>
      <c r="O280" s="1">
        <v>-41903063</v>
      </c>
      <c r="P280" s="1">
        <v>0</v>
      </c>
      <c r="Q280" s="1">
        <v>-82852895</v>
      </c>
      <c r="R280" s="1">
        <f t="shared" si="9"/>
        <v>77073861357</v>
      </c>
    </row>
    <row r="281" spans="1:18">
      <c r="A281" t="s">
        <v>288</v>
      </c>
      <c r="C281" s="3">
        <v>382250</v>
      </c>
      <c r="D281" s="3">
        <v>3367960800</v>
      </c>
      <c r="E281" s="3">
        <v>1053336133</v>
      </c>
      <c r="F281" s="3">
        <v>7261645700</v>
      </c>
      <c r="G281" s="3">
        <v>0</v>
      </c>
      <c r="H281" s="3">
        <v>73443440</v>
      </c>
      <c r="I281" s="3">
        <v>0</v>
      </c>
      <c r="J281" s="3">
        <v>0</v>
      </c>
      <c r="K281" s="3">
        <v>0</v>
      </c>
      <c r="L281" s="3">
        <f t="shared" si="8"/>
        <v>11756768323</v>
      </c>
      <c r="M281" s="1">
        <v>-994019831</v>
      </c>
      <c r="N281" s="1">
        <v>-2876362610</v>
      </c>
      <c r="O281" s="1">
        <v>0</v>
      </c>
      <c r="P281" s="1">
        <v>0</v>
      </c>
      <c r="Q281" s="1">
        <v>0</v>
      </c>
      <c r="R281" s="1">
        <f t="shared" si="9"/>
        <v>7886385882</v>
      </c>
    </row>
    <row r="282" spans="1:18">
      <c r="A282" t="s">
        <v>289</v>
      </c>
      <c r="C282" s="3">
        <v>300000</v>
      </c>
      <c r="D282" s="3">
        <v>1844930000</v>
      </c>
      <c r="E282" s="3">
        <v>912430503</v>
      </c>
      <c r="F282" s="3">
        <v>2876313000</v>
      </c>
      <c r="G282" s="3">
        <v>173408840</v>
      </c>
      <c r="H282" s="3">
        <v>1947440</v>
      </c>
      <c r="I282" s="3">
        <v>0</v>
      </c>
      <c r="J282" s="3">
        <v>0</v>
      </c>
      <c r="K282" s="3">
        <v>23013000</v>
      </c>
      <c r="L282" s="3">
        <f t="shared" si="8"/>
        <v>5832342783</v>
      </c>
      <c r="M282" s="1">
        <v>-784631326</v>
      </c>
      <c r="N282" s="1">
        <v>-1003521693</v>
      </c>
      <c r="O282" s="1">
        <v>-56357873</v>
      </c>
      <c r="P282" s="1">
        <v>0</v>
      </c>
      <c r="Q282" s="1">
        <v>-23013000</v>
      </c>
      <c r="R282" s="1">
        <f t="shared" si="9"/>
        <v>3964818891</v>
      </c>
    </row>
    <row r="283" spans="1:18">
      <c r="A283" t="s">
        <v>290</v>
      </c>
      <c r="C283" s="3">
        <v>868500</v>
      </c>
      <c r="D283" s="3">
        <v>1581900000</v>
      </c>
      <c r="E283" s="3">
        <v>1107882034</v>
      </c>
      <c r="F283" s="3">
        <v>5413469500</v>
      </c>
      <c r="G283" s="3">
        <v>83795909</v>
      </c>
      <c r="H283" s="3">
        <v>16599490</v>
      </c>
      <c r="I283" s="3">
        <v>0</v>
      </c>
      <c r="J283" s="3">
        <v>35000000</v>
      </c>
      <c r="K283" s="3">
        <v>0</v>
      </c>
      <c r="L283" s="3">
        <f t="shared" si="8"/>
        <v>8239515433</v>
      </c>
      <c r="M283" s="1">
        <v>-1050071926</v>
      </c>
      <c r="N283" s="1">
        <v>-1710361662</v>
      </c>
      <c r="O283" s="1">
        <v>-10616525</v>
      </c>
      <c r="P283" s="1">
        <v>0</v>
      </c>
      <c r="Q283" s="1">
        <v>0</v>
      </c>
      <c r="R283" s="1">
        <f t="shared" si="9"/>
        <v>5468465320</v>
      </c>
    </row>
    <row r="284" spans="1:18">
      <c r="A284" t="s">
        <v>291</v>
      </c>
      <c r="C284" s="3">
        <v>571000</v>
      </c>
      <c r="D284" s="3">
        <v>2292702316</v>
      </c>
      <c r="E284" s="3">
        <v>1863380028</v>
      </c>
      <c r="F284" s="3">
        <v>6965509522</v>
      </c>
      <c r="G284" s="3">
        <v>0</v>
      </c>
      <c r="H284" s="3">
        <v>73726145</v>
      </c>
      <c r="I284" s="3">
        <v>0</v>
      </c>
      <c r="J284" s="3">
        <v>0</v>
      </c>
      <c r="K284" s="3">
        <v>0</v>
      </c>
      <c r="L284" s="3">
        <f t="shared" si="8"/>
        <v>11195889011</v>
      </c>
      <c r="M284" s="1">
        <v>-1295441185</v>
      </c>
      <c r="N284" s="1">
        <v>-1680556058</v>
      </c>
      <c r="O284" s="1">
        <v>0</v>
      </c>
      <c r="P284" s="1">
        <v>0</v>
      </c>
      <c r="Q284" s="1">
        <v>0</v>
      </c>
      <c r="R284" s="1">
        <f t="shared" si="9"/>
        <v>8219891768</v>
      </c>
    </row>
    <row r="285" spans="1:18">
      <c r="A285" t="s">
        <v>292</v>
      </c>
      <c r="C285" s="3">
        <v>2356825</v>
      </c>
      <c r="D285" s="3">
        <v>5096820000</v>
      </c>
      <c r="E285" s="3">
        <v>1443054384</v>
      </c>
      <c r="F285" s="3">
        <v>2886402799</v>
      </c>
      <c r="G285" s="3">
        <v>60960000</v>
      </c>
      <c r="H285" s="3">
        <v>57323440</v>
      </c>
      <c r="I285" s="3">
        <v>0</v>
      </c>
      <c r="J285" s="3">
        <v>76829590</v>
      </c>
      <c r="K285" s="3">
        <v>0</v>
      </c>
      <c r="L285" s="3">
        <f t="shared" si="8"/>
        <v>9623747038</v>
      </c>
      <c r="M285" s="1">
        <v>-1184176016</v>
      </c>
      <c r="N285" s="1">
        <v>-1243069412</v>
      </c>
      <c r="O285" s="1">
        <v>-5334000</v>
      </c>
      <c r="P285" s="1">
        <v>0</v>
      </c>
      <c r="Q285" s="1">
        <v>0</v>
      </c>
      <c r="R285" s="1">
        <f t="shared" si="9"/>
        <v>7191167610</v>
      </c>
    </row>
    <row r="286" spans="1:18">
      <c r="A286" t="s">
        <v>293</v>
      </c>
      <c r="C286" s="3">
        <v>2313450</v>
      </c>
      <c r="D286" s="3">
        <v>4935248100</v>
      </c>
      <c r="E286" s="3">
        <v>1447070898</v>
      </c>
      <c r="F286" s="3">
        <v>1406801500</v>
      </c>
      <c r="G286" s="3">
        <v>214265530</v>
      </c>
      <c r="H286" s="3">
        <v>49694040</v>
      </c>
      <c r="I286" s="3">
        <v>0</v>
      </c>
      <c r="J286" s="3">
        <v>0</v>
      </c>
      <c r="K286" s="3">
        <v>161737590</v>
      </c>
      <c r="L286" s="3">
        <f t="shared" si="8"/>
        <v>8217131108</v>
      </c>
      <c r="M286" s="1">
        <v>-1045119728</v>
      </c>
      <c r="N286" s="1">
        <v>-934511153</v>
      </c>
      <c r="O286" s="1">
        <v>-62729907</v>
      </c>
      <c r="P286" s="1">
        <v>0</v>
      </c>
      <c r="Q286" s="1">
        <v>-142993590</v>
      </c>
      <c r="R286" s="1">
        <f t="shared" si="9"/>
        <v>6031776730</v>
      </c>
    </row>
    <row r="287" spans="1:18">
      <c r="A287" t="s">
        <v>294</v>
      </c>
      <c r="C287" s="3">
        <v>184000</v>
      </c>
      <c r="D287" s="3">
        <v>4905689000</v>
      </c>
      <c r="E287" s="3">
        <v>1190373403</v>
      </c>
      <c r="F287" s="3">
        <v>3892566900</v>
      </c>
      <c r="G287" s="3">
        <v>137000000</v>
      </c>
      <c r="H287" s="3">
        <v>3190440</v>
      </c>
      <c r="I287" s="3">
        <v>0</v>
      </c>
      <c r="J287" s="3">
        <v>0</v>
      </c>
      <c r="K287" s="3">
        <v>0</v>
      </c>
      <c r="L287" s="3">
        <f t="shared" si="8"/>
        <v>10129003743</v>
      </c>
      <c r="M287" s="1">
        <v>-1134822972</v>
      </c>
      <c r="N287" s="1">
        <v>-465522873</v>
      </c>
      <c r="O287" s="1">
        <v>-42190000</v>
      </c>
      <c r="P287" s="1">
        <v>0</v>
      </c>
      <c r="Q287" s="1">
        <v>0</v>
      </c>
      <c r="R287" s="1">
        <f t="shared" si="9"/>
        <v>8486467898</v>
      </c>
    </row>
    <row r="288" spans="1:18">
      <c r="A288" t="s">
        <v>295</v>
      </c>
      <c r="C288" s="3">
        <v>1855750</v>
      </c>
      <c r="D288" s="3">
        <v>10049352000</v>
      </c>
      <c r="E288" s="3">
        <v>1007549000</v>
      </c>
      <c r="F288" s="3">
        <v>3651808450</v>
      </c>
      <c r="G288" s="3">
        <v>143220000</v>
      </c>
      <c r="H288" s="3">
        <v>1943440</v>
      </c>
      <c r="I288" s="3">
        <v>0</v>
      </c>
      <c r="J288" s="3">
        <v>0</v>
      </c>
      <c r="K288" s="3">
        <v>22502900</v>
      </c>
      <c r="L288" s="3">
        <f t="shared" si="8"/>
        <v>14878231540</v>
      </c>
      <c r="M288" s="1">
        <v>-866410516</v>
      </c>
      <c r="N288" s="1">
        <v>-2994461890</v>
      </c>
      <c r="O288" s="1">
        <v>-22313500</v>
      </c>
      <c r="P288" s="1">
        <v>0</v>
      </c>
      <c r="Q288" s="1">
        <v>-22502900</v>
      </c>
      <c r="R288" s="1">
        <f t="shared" si="9"/>
        <v>10972542734</v>
      </c>
    </row>
    <row r="289" spans="1:18">
      <c r="A289" t="s">
        <v>296</v>
      </c>
      <c r="C289" s="3">
        <v>2800000</v>
      </c>
      <c r="D289" s="3">
        <v>4725460000</v>
      </c>
      <c r="E289" s="3">
        <v>1632728664</v>
      </c>
      <c r="F289" s="3">
        <v>11961511320</v>
      </c>
      <c r="G289" s="3">
        <v>0</v>
      </c>
      <c r="H289" s="3">
        <v>152521610</v>
      </c>
      <c r="I289" s="3">
        <v>0</v>
      </c>
      <c r="J289" s="3">
        <v>38500000</v>
      </c>
      <c r="K289" s="3">
        <v>0</v>
      </c>
      <c r="L289" s="3">
        <f t="shared" si="8"/>
        <v>18513521594</v>
      </c>
      <c r="M289" s="1">
        <v>-1415393237</v>
      </c>
      <c r="N289" s="1">
        <v>-1604497939</v>
      </c>
      <c r="O289" s="1">
        <v>0</v>
      </c>
      <c r="P289" s="1">
        <v>0</v>
      </c>
      <c r="Q289" s="1">
        <v>0</v>
      </c>
      <c r="R289" s="1">
        <f t="shared" si="9"/>
        <v>15493630418</v>
      </c>
    </row>
    <row r="290" spans="1:18">
      <c r="A290" t="s">
        <v>297</v>
      </c>
      <c r="C290" s="3">
        <v>210000</v>
      </c>
      <c r="D290" s="3">
        <v>2694512814</v>
      </c>
      <c r="E290" s="3">
        <v>1194299285</v>
      </c>
      <c r="F290" s="3">
        <v>6396471300</v>
      </c>
      <c r="G290" s="3">
        <v>185658290</v>
      </c>
      <c r="H290" s="3">
        <v>37569420</v>
      </c>
      <c r="I290" s="3">
        <v>0</v>
      </c>
      <c r="J290" s="3">
        <v>38500000</v>
      </c>
      <c r="K290" s="3">
        <v>8100000</v>
      </c>
      <c r="L290" s="3">
        <f t="shared" si="8"/>
        <v>10555321109</v>
      </c>
      <c r="M290" s="1">
        <v>-1141189197</v>
      </c>
      <c r="N290" s="1">
        <v>-1427362165</v>
      </c>
      <c r="O290" s="1">
        <v>-41838479</v>
      </c>
      <c r="P290" s="1">
        <v>0</v>
      </c>
      <c r="Q290" s="1">
        <v>-8100000</v>
      </c>
      <c r="R290" s="1">
        <f t="shared" si="9"/>
        <v>7936831268</v>
      </c>
    </row>
    <row r="291" spans="1:18">
      <c r="A291" t="s">
        <v>298</v>
      </c>
      <c r="C291" s="3">
        <v>125000</v>
      </c>
      <c r="D291" s="3">
        <v>3975523000</v>
      </c>
      <c r="E291" s="3">
        <v>927821728</v>
      </c>
      <c r="F291" s="3">
        <v>11667905000</v>
      </c>
      <c r="G291" s="3">
        <v>99385000</v>
      </c>
      <c r="H291" s="3">
        <v>84243442</v>
      </c>
      <c r="I291" s="3">
        <v>2115333000</v>
      </c>
      <c r="J291" s="3">
        <v>0</v>
      </c>
      <c r="K291" s="3">
        <v>20296999</v>
      </c>
      <c r="L291" s="3">
        <f t="shared" si="8"/>
        <v>18890633169</v>
      </c>
      <c r="M291" s="1">
        <v>-841338231</v>
      </c>
      <c r="N291" s="1">
        <v>-3125936074</v>
      </c>
      <c r="O291" s="1">
        <v>-34784750</v>
      </c>
      <c r="P291" s="1">
        <v>0</v>
      </c>
      <c r="Q291" s="1">
        <v>-20297000</v>
      </c>
      <c r="R291" s="1">
        <f t="shared" si="9"/>
        <v>14868277114</v>
      </c>
    </row>
    <row r="292" spans="1:18">
      <c r="A292" t="s">
        <v>299</v>
      </c>
      <c r="C292" s="3">
        <v>8000</v>
      </c>
      <c r="D292" s="3">
        <v>9459345000</v>
      </c>
      <c r="E292" s="3">
        <v>1624717400</v>
      </c>
      <c r="F292" s="3">
        <v>5937376685</v>
      </c>
      <c r="G292" s="3">
        <v>172120000</v>
      </c>
      <c r="H292" s="3">
        <v>21801440</v>
      </c>
      <c r="I292" s="3">
        <v>0</v>
      </c>
      <c r="J292" s="3">
        <v>0</v>
      </c>
      <c r="K292" s="3">
        <v>54363000</v>
      </c>
      <c r="L292" s="3">
        <f t="shared" si="8"/>
        <v>17269731525</v>
      </c>
      <c r="M292" s="1">
        <v>-1404716208</v>
      </c>
      <c r="N292" s="1">
        <v>-1421089935</v>
      </c>
      <c r="O292" s="1">
        <v>-168970000</v>
      </c>
      <c r="P292" s="1">
        <v>0</v>
      </c>
      <c r="Q292" s="1">
        <v>-50118294</v>
      </c>
      <c r="R292" s="1">
        <f t="shared" si="9"/>
        <v>14224837088</v>
      </c>
    </row>
    <row r="293" spans="1:18">
      <c r="A293" t="s">
        <v>300</v>
      </c>
      <c r="C293" s="3">
        <v>227500</v>
      </c>
      <c r="D293" s="3">
        <v>1906900000</v>
      </c>
      <c r="E293" s="3">
        <v>1462758284</v>
      </c>
      <c r="F293" s="3">
        <v>3503850602</v>
      </c>
      <c r="G293" s="3">
        <v>0</v>
      </c>
      <c r="H293" s="3">
        <v>7755516</v>
      </c>
      <c r="I293" s="3">
        <v>0</v>
      </c>
      <c r="J293" s="3">
        <v>0</v>
      </c>
      <c r="K293" s="3">
        <v>121923550</v>
      </c>
      <c r="L293" s="3">
        <f t="shared" si="8"/>
        <v>7003415452</v>
      </c>
      <c r="M293" s="1">
        <v>-1343312748</v>
      </c>
      <c r="N293" s="1">
        <v>-1450958995</v>
      </c>
      <c r="O293" s="1">
        <v>0</v>
      </c>
      <c r="P293" s="1">
        <v>0</v>
      </c>
      <c r="Q293" s="1">
        <v>-121761050</v>
      </c>
      <c r="R293" s="1">
        <f t="shared" si="9"/>
        <v>4087382659</v>
      </c>
    </row>
    <row r="294" spans="1:18">
      <c r="A294" t="s">
        <v>301</v>
      </c>
      <c r="C294" s="3">
        <v>1327600</v>
      </c>
      <c r="D294" s="3">
        <v>2456455000</v>
      </c>
      <c r="E294" s="3">
        <v>1313193359</v>
      </c>
      <c r="F294" s="3">
        <v>6392509649</v>
      </c>
      <c r="G294" s="3">
        <v>150225000</v>
      </c>
      <c r="H294" s="3">
        <v>7271288</v>
      </c>
      <c r="I294" s="3">
        <v>0</v>
      </c>
      <c r="J294" s="3">
        <v>0</v>
      </c>
      <c r="K294" s="3">
        <v>0</v>
      </c>
      <c r="L294" s="3">
        <f t="shared" si="8"/>
        <v>10320981896</v>
      </c>
      <c r="M294" s="1">
        <v>-836392735</v>
      </c>
      <c r="N294" s="1">
        <v>-1562400345</v>
      </c>
      <c r="O294" s="1">
        <v>-46010625</v>
      </c>
      <c r="P294" s="1">
        <v>0</v>
      </c>
      <c r="Q294" s="1">
        <v>0</v>
      </c>
      <c r="R294" s="1">
        <f t="shared" si="9"/>
        <v>7876178191</v>
      </c>
    </row>
    <row r="295" spans="1:18">
      <c r="A295" t="s">
        <v>302</v>
      </c>
      <c r="C295" s="3">
        <v>1030200</v>
      </c>
      <c r="D295" s="3">
        <v>4757000000</v>
      </c>
      <c r="E295" s="3">
        <v>1319365277</v>
      </c>
      <c r="F295" s="3">
        <v>5334310795</v>
      </c>
      <c r="G295" s="3">
        <v>0</v>
      </c>
      <c r="H295" s="3">
        <v>28241880</v>
      </c>
      <c r="I295" s="3">
        <v>0</v>
      </c>
      <c r="J295" s="3">
        <v>43000000</v>
      </c>
      <c r="K295" s="3">
        <v>131000000</v>
      </c>
      <c r="L295" s="3">
        <f t="shared" si="8"/>
        <v>11613948152</v>
      </c>
      <c r="M295" s="1">
        <v>-1054531323</v>
      </c>
      <c r="N295" s="1">
        <v>-1243832563</v>
      </c>
      <c r="O295" s="1">
        <v>0</v>
      </c>
      <c r="P295" s="1">
        <v>0</v>
      </c>
      <c r="Q295" s="1">
        <v>-131000000</v>
      </c>
      <c r="R295" s="1">
        <f t="shared" si="9"/>
        <v>9184584266</v>
      </c>
    </row>
    <row r="296" spans="1:18">
      <c r="A296" t="s">
        <v>303</v>
      </c>
      <c r="C296" s="3">
        <v>4505275</v>
      </c>
      <c r="D296" s="3">
        <v>2690000000</v>
      </c>
      <c r="E296" s="3">
        <v>4486776998</v>
      </c>
      <c r="F296" s="3">
        <v>6714500497</v>
      </c>
      <c r="G296" s="3">
        <v>3600000</v>
      </c>
      <c r="H296" s="3">
        <v>4052676</v>
      </c>
      <c r="I296" s="3">
        <v>0</v>
      </c>
      <c r="J296" s="3">
        <v>62500000</v>
      </c>
      <c r="K296" s="3">
        <v>14697000</v>
      </c>
      <c r="L296" s="3">
        <f t="shared" si="8"/>
        <v>13980632446</v>
      </c>
      <c r="M296" s="1">
        <v>-4163646391</v>
      </c>
      <c r="N296" s="1">
        <v>-522204397</v>
      </c>
      <c r="O296" s="1">
        <v>-2880000</v>
      </c>
      <c r="P296" s="1">
        <v>0</v>
      </c>
      <c r="Q296" s="1">
        <v>-10697000</v>
      </c>
      <c r="R296" s="1">
        <f t="shared" si="9"/>
        <v>9281204658</v>
      </c>
    </row>
    <row r="297" spans="1:18">
      <c r="A297" t="s">
        <v>304</v>
      </c>
      <c r="C297" s="3">
        <v>128500</v>
      </c>
      <c r="D297" s="3">
        <v>2241970200</v>
      </c>
      <c r="E297" s="3">
        <v>895136423</v>
      </c>
      <c r="F297" s="3">
        <v>3023100400</v>
      </c>
      <c r="G297" s="3">
        <v>600000</v>
      </c>
      <c r="H297" s="3">
        <v>3414915</v>
      </c>
      <c r="I297" s="3">
        <v>0</v>
      </c>
      <c r="J297" s="3">
        <v>0</v>
      </c>
      <c r="K297" s="3">
        <v>0</v>
      </c>
      <c r="L297" s="3">
        <f t="shared" si="8"/>
        <v>6164350438</v>
      </c>
      <c r="M297" s="1">
        <v>-817186197</v>
      </c>
      <c r="N297" s="1">
        <v>-354721441</v>
      </c>
      <c r="O297" s="1">
        <v>-120000</v>
      </c>
      <c r="P297" s="1">
        <v>0</v>
      </c>
      <c r="Q297" s="1">
        <v>0</v>
      </c>
      <c r="R297" s="1">
        <f t="shared" si="9"/>
        <v>4992322800</v>
      </c>
    </row>
    <row r="298" spans="1:18">
      <c r="A298" t="s">
        <v>305</v>
      </c>
      <c r="C298" s="3">
        <v>78200</v>
      </c>
      <c r="D298" s="3">
        <v>4081334736</v>
      </c>
      <c r="E298" s="3">
        <v>1523221698</v>
      </c>
      <c r="F298" s="3">
        <v>4267989420</v>
      </c>
      <c r="G298" s="3">
        <v>0</v>
      </c>
      <c r="H298" s="3">
        <v>4450678</v>
      </c>
      <c r="I298" s="3">
        <v>0</v>
      </c>
      <c r="J298" s="3">
        <v>0</v>
      </c>
      <c r="K298" s="3">
        <v>10600555</v>
      </c>
      <c r="L298" s="3">
        <f t="shared" si="8"/>
        <v>9887675287</v>
      </c>
      <c r="M298" s="1">
        <v>-1435974478</v>
      </c>
      <c r="N298" s="1">
        <v>-503254554</v>
      </c>
      <c r="O298" s="1">
        <v>0</v>
      </c>
      <c r="P298" s="1">
        <v>0</v>
      </c>
      <c r="Q298" s="1">
        <v>-10600555</v>
      </c>
      <c r="R298" s="1">
        <f t="shared" si="9"/>
        <v>7937845700</v>
      </c>
    </row>
    <row r="299" spans="1:18">
      <c r="A299" t="s">
        <v>306</v>
      </c>
      <c r="C299" s="3">
        <v>135000</v>
      </c>
      <c r="D299" s="3">
        <v>2854800274</v>
      </c>
      <c r="E299" s="3">
        <v>2875939132</v>
      </c>
      <c r="F299" s="3">
        <v>4180168819</v>
      </c>
      <c r="G299" s="3">
        <v>275600000</v>
      </c>
      <c r="H299" s="3">
        <v>3236680</v>
      </c>
      <c r="I299" s="3">
        <v>0</v>
      </c>
      <c r="J299" s="3">
        <v>0</v>
      </c>
      <c r="K299" s="3">
        <v>205647951</v>
      </c>
      <c r="L299" s="3">
        <f t="shared" si="8"/>
        <v>10395527856</v>
      </c>
      <c r="M299" s="1">
        <v>-2510783880</v>
      </c>
      <c r="N299" s="1">
        <v>-855821114</v>
      </c>
      <c r="O299" s="1">
        <v>-91095750</v>
      </c>
      <c r="P299" s="1">
        <v>0</v>
      </c>
      <c r="Q299" s="1">
        <v>-205647951</v>
      </c>
      <c r="R299" s="1">
        <f t="shared" si="9"/>
        <v>6732179161</v>
      </c>
    </row>
    <row r="300" spans="1:18">
      <c r="A300" t="s">
        <v>307</v>
      </c>
      <c r="C300" s="3">
        <v>3763955</v>
      </c>
      <c r="D300" s="3">
        <v>1048090000</v>
      </c>
      <c r="E300" s="3">
        <v>779746440</v>
      </c>
      <c r="F300" s="3">
        <v>1398689000</v>
      </c>
      <c r="G300" s="3">
        <v>0</v>
      </c>
      <c r="H300" s="3">
        <v>4911000</v>
      </c>
      <c r="I300" s="3">
        <v>0</v>
      </c>
      <c r="J300" s="3">
        <v>0</v>
      </c>
      <c r="K300" s="3">
        <v>146979000</v>
      </c>
      <c r="L300" s="3">
        <f t="shared" si="8"/>
        <v>3382179395</v>
      </c>
      <c r="M300" s="1">
        <v>-686352473</v>
      </c>
      <c r="N300" s="1">
        <v>-221532661</v>
      </c>
      <c r="O300" s="1">
        <v>0</v>
      </c>
      <c r="P300" s="1">
        <v>0</v>
      </c>
      <c r="Q300" s="1">
        <v>-9704000</v>
      </c>
      <c r="R300" s="1">
        <f t="shared" si="9"/>
        <v>2464590261</v>
      </c>
    </row>
    <row r="301" spans="1:18">
      <c r="A301" t="s">
        <v>308</v>
      </c>
      <c r="C301" s="3">
        <v>0</v>
      </c>
      <c r="D301" s="3">
        <v>1708751510</v>
      </c>
      <c r="E301" s="3">
        <v>545564169</v>
      </c>
      <c r="F301" s="3">
        <v>1553134825</v>
      </c>
      <c r="G301" s="3">
        <v>117715000</v>
      </c>
      <c r="H301" s="3">
        <v>100847270</v>
      </c>
      <c r="I301" s="3">
        <v>0</v>
      </c>
      <c r="J301" s="3">
        <v>0</v>
      </c>
      <c r="K301" s="3">
        <v>250506825</v>
      </c>
      <c r="L301" s="3">
        <f t="shared" si="8"/>
        <v>4276519599</v>
      </c>
      <c r="M301" s="1">
        <v>-502922714</v>
      </c>
      <c r="N301" s="1">
        <v>-236889257</v>
      </c>
      <c r="O301" s="1">
        <v>-52971750</v>
      </c>
      <c r="P301" s="1">
        <v>0</v>
      </c>
      <c r="Q301" s="1">
        <v>-246934871</v>
      </c>
      <c r="R301" s="1">
        <f t="shared" si="9"/>
        <v>3236801007</v>
      </c>
    </row>
    <row r="302" spans="1:18">
      <c r="A302" t="s">
        <v>309</v>
      </c>
      <c r="C302" s="3">
        <v>301000</v>
      </c>
      <c r="D302" s="3">
        <v>3492584000</v>
      </c>
      <c r="E302" s="3">
        <v>1408402828</v>
      </c>
      <c r="F302" s="3">
        <v>5551714700</v>
      </c>
      <c r="G302" s="3">
        <v>49584150</v>
      </c>
      <c r="H302" s="3">
        <v>3236680</v>
      </c>
      <c r="I302" s="3">
        <v>0</v>
      </c>
      <c r="J302" s="3">
        <v>0</v>
      </c>
      <c r="K302" s="3">
        <v>0</v>
      </c>
      <c r="L302" s="3">
        <f t="shared" si="8"/>
        <v>10505823358</v>
      </c>
      <c r="M302" s="1">
        <v>-1169365281</v>
      </c>
      <c r="N302" s="1">
        <v>-252044437</v>
      </c>
      <c r="O302" s="1">
        <v>-1239604</v>
      </c>
      <c r="P302" s="1">
        <v>0</v>
      </c>
      <c r="Q302" s="1">
        <v>0</v>
      </c>
      <c r="R302" s="1">
        <f t="shared" si="9"/>
        <v>9083174036</v>
      </c>
    </row>
    <row r="303" spans="1:18">
      <c r="A303" t="s">
        <v>310</v>
      </c>
      <c r="C303" s="3">
        <v>0</v>
      </c>
      <c r="D303" s="3">
        <v>2035399952</v>
      </c>
      <c r="E303" s="3">
        <v>1153632927</v>
      </c>
      <c r="F303" s="3">
        <v>1530458184</v>
      </c>
      <c r="G303" s="3">
        <v>0</v>
      </c>
      <c r="H303" s="3">
        <v>11267500</v>
      </c>
      <c r="I303" s="3">
        <v>0</v>
      </c>
      <c r="J303" s="3">
        <v>0</v>
      </c>
      <c r="K303" s="3">
        <v>12169000</v>
      </c>
      <c r="L303" s="3">
        <f t="shared" si="8"/>
        <v>4742927563</v>
      </c>
      <c r="M303" s="1">
        <v>-1104064331</v>
      </c>
      <c r="N303" s="1">
        <v>-642739722</v>
      </c>
      <c r="O303" s="1">
        <v>0</v>
      </c>
      <c r="P303" s="1">
        <v>0</v>
      </c>
      <c r="Q303" s="1">
        <v>-12169000</v>
      </c>
      <c r="R303" s="1">
        <f t="shared" si="9"/>
        <v>2983954510</v>
      </c>
    </row>
    <row r="304" spans="1:18">
      <c r="A304" t="s">
        <v>311</v>
      </c>
      <c r="C304" s="3">
        <v>159000</v>
      </c>
      <c r="D304" s="3">
        <v>2196384000</v>
      </c>
      <c r="E304" s="3">
        <v>909865328</v>
      </c>
      <c r="F304" s="3">
        <v>3641142655</v>
      </c>
      <c r="G304" s="3">
        <v>229882000</v>
      </c>
      <c r="H304" s="3">
        <v>408000</v>
      </c>
      <c r="I304" s="3">
        <v>0</v>
      </c>
      <c r="J304" s="3">
        <v>0</v>
      </c>
      <c r="K304" s="3">
        <v>43117000</v>
      </c>
      <c r="L304" s="3">
        <f t="shared" si="8"/>
        <v>7020957983</v>
      </c>
      <c r="M304" s="1">
        <v>-740005578</v>
      </c>
      <c r="N304" s="1">
        <v>-729776954</v>
      </c>
      <c r="O304" s="1">
        <v>-109373892</v>
      </c>
      <c r="P304" s="1">
        <v>0</v>
      </c>
      <c r="Q304" s="1">
        <v>-43117000</v>
      </c>
      <c r="R304" s="1">
        <f t="shared" si="9"/>
        <v>5398684559</v>
      </c>
    </row>
    <row r="305" spans="1:18">
      <c r="A305" t="s">
        <v>312</v>
      </c>
      <c r="C305" s="3">
        <v>639500</v>
      </c>
      <c r="D305" s="3">
        <v>1984165000</v>
      </c>
      <c r="E305" s="3">
        <v>846605841</v>
      </c>
      <c r="F305" s="3">
        <v>5889240999</v>
      </c>
      <c r="G305" s="3">
        <v>1000000</v>
      </c>
      <c r="H305" s="3">
        <v>126125680</v>
      </c>
      <c r="I305" s="3">
        <v>0</v>
      </c>
      <c r="J305" s="3">
        <v>13000000</v>
      </c>
      <c r="K305" s="3">
        <v>124581962</v>
      </c>
      <c r="L305" s="3">
        <f t="shared" si="8"/>
        <v>8985358982</v>
      </c>
      <c r="M305" s="1">
        <v>-636700641</v>
      </c>
      <c r="N305" s="1">
        <v>-904257215</v>
      </c>
      <c r="O305" s="1">
        <v>-450000</v>
      </c>
      <c r="P305" s="1">
        <v>0</v>
      </c>
      <c r="Q305" s="1">
        <v>-123280962</v>
      </c>
      <c r="R305" s="1">
        <f t="shared" si="9"/>
        <v>7320670164</v>
      </c>
    </row>
    <row r="306" spans="1:18">
      <c r="A306" t="s">
        <v>313</v>
      </c>
      <c r="C306" s="3">
        <v>190000</v>
      </c>
      <c r="D306" s="3">
        <v>475500000</v>
      </c>
      <c r="E306" s="3">
        <v>1083487900</v>
      </c>
      <c r="F306" s="3">
        <v>2127158000</v>
      </c>
      <c r="G306" s="3">
        <v>0</v>
      </c>
      <c r="H306" s="3">
        <v>408000</v>
      </c>
      <c r="I306" s="3">
        <v>0</v>
      </c>
      <c r="J306" s="3">
        <v>0</v>
      </c>
      <c r="K306" s="3">
        <v>0</v>
      </c>
      <c r="L306" s="3">
        <f t="shared" si="8"/>
        <v>3686743900</v>
      </c>
      <c r="M306" s="1">
        <v>-925331900</v>
      </c>
      <c r="N306" s="1">
        <v>-868294800</v>
      </c>
      <c r="O306" s="1">
        <v>0</v>
      </c>
      <c r="P306" s="1">
        <v>0</v>
      </c>
      <c r="Q306" s="1">
        <v>0</v>
      </c>
      <c r="R306" s="1">
        <f t="shared" si="9"/>
        <v>1893117200</v>
      </c>
    </row>
    <row r="307" spans="1:18">
      <c r="A307" t="s">
        <v>314</v>
      </c>
      <c r="C307" s="3">
        <v>1886000</v>
      </c>
      <c r="D307" s="3">
        <v>0</v>
      </c>
      <c r="E307" s="3">
        <v>1296793847</v>
      </c>
      <c r="F307" s="3">
        <v>10047303823</v>
      </c>
      <c r="G307" s="3">
        <v>0</v>
      </c>
      <c r="H307" s="3">
        <v>12814000</v>
      </c>
      <c r="I307" s="3">
        <v>1321882000</v>
      </c>
      <c r="J307" s="3">
        <v>0</v>
      </c>
      <c r="K307" s="3">
        <v>21787470</v>
      </c>
      <c r="L307" s="3">
        <f t="shared" si="8"/>
        <v>12702467140</v>
      </c>
      <c r="M307" s="1">
        <v>-1167741522</v>
      </c>
      <c r="N307" s="1">
        <v>-718789136</v>
      </c>
      <c r="O307" s="1">
        <v>0</v>
      </c>
      <c r="P307" s="1">
        <v>0</v>
      </c>
      <c r="Q307" s="1">
        <v>-21787470</v>
      </c>
      <c r="R307" s="1">
        <f t="shared" si="9"/>
        <v>10794149012</v>
      </c>
    </row>
    <row r="308" spans="1:18">
      <c r="A308" t="s">
        <v>315</v>
      </c>
      <c r="C308" s="3">
        <v>341000</v>
      </c>
      <c r="D308" s="3">
        <v>2247007000</v>
      </c>
      <c r="E308" s="3">
        <v>1041014250</v>
      </c>
      <c r="F308" s="3">
        <v>1730178252</v>
      </c>
      <c r="G308" s="3">
        <v>98750000</v>
      </c>
      <c r="H308" s="3">
        <v>413000</v>
      </c>
      <c r="I308" s="3">
        <v>0</v>
      </c>
      <c r="J308" s="3">
        <v>0</v>
      </c>
      <c r="K308" s="3">
        <v>9327000</v>
      </c>
      <c r="L308" s="3">
        <f t="shared" si="8"/>
        <v>5127030502</v>
      </c>
      <c r="M308" s="1">
        <v>-992309250</v>
      </c>
      <c r="N308" s="1">
        <v>-387201198</v>
      </c>
      <c r="O308" s="1">
        <v>-64187500</v>
      </c>
      <c r="P308" s="1">
        <v>0</v>
      </c>
      <c r="Q308" s="1">
        <v>-9327000</v>
      </c>
      <c r="R308" s="1">
        <f t="shared" si="9"/>
        <v>3674005554</v>
      </c>
    </row>
    <row r="309" spans="1:18">
      <c r="A309" t="s">
        <v>316</v>
      </c>
      <c r="C309" s="3">
        <v>2787753</v>
      </c>
      <c r="D309" s="3">
        <v>2296366000</v>
      </c>
      <c r="E309" s="3">
        <v>1790577459</v>
      </c>
      <c r="F309" s="3">
        <v>4563104410</v>
      </c>
      <c r="G309" s="3">
        <v>61673100</v>
      </c>
      <c r="H309" s="3">
        <v>66650000</v>
      </c>
      <c r="I309" s="3">
        <v>0</v>
      </c>
      <c r="J309" s="3">
        <v>0</v>
      </c>
      <c r="K309" s="3">
        <v>66278000</v>
      </c>
      <c r="L309" s="3">
        <f t="shared" si="8"/>
        <v>8847436722</v>
      </c>
      <c r="M309" s="1">
        <v>-1709480637</v>
      </c>
      <c r="N309" s="1">
        <v>-924502361</v>
      </c>
      <c r="O309" s="1">
        <v>-6440009</v>
      </c>
      <c r="P309" s="1">
        <v>0</v>
      </c>
      <c r="Q309" s="1">
        <v>-66278000</v>
      </c>
      <c r="R309" s="1">
        <f t="shared" si="9"/>
        <v>6140735715</v>
      </c>
    </row>
    <row r="310" spans="1:18">
      <c r="A310" t="s">
        <v>317</v>
      </c>
      <c r="C310" s="3">
        <v>142515</v>
      </c>
      <c r="D310" s="3">
        <v>314000000</v>
      </c>
      <c r="E310" s="3">
        <v>876779796</v>
      </c>
      <c r="F310" s="3">
        <v>5441622500</v>
      </c>
      <c r="G310" s="3">
        <v>49750000</v>
      </c>
      <c r="H310" s="3">
        <v>430480</v>
      </c>
      <c r="I310" s="3">
        <v>0</v>
      </c>
      <c r="J310" s="3">
        <v>0</v>
      </c>
      <c r="K310" s="3">
        <v>429835391</v>
      </c>
      <c r="L310" s="3">
        <f t="shared" si="8"/>
        <v>7112560682</v>
      </c>
      <c r="M310" s="1">
        <v>-641385664</v>
      </c>
      <c r="N310" s="1">
        <v>-348733041</v>
      </c>
      <c r="O310" s="1">
        <v>-1243750</v>
      </c>
      <c r="P310" s="1">
        <v>0</v>
      </c>
      <c r="Q310" s="1">
        <v>-429835391</v>
      </c>
      <c r="R310" s="1">
        <f t="shared" si="9"/>
        <v>5691362836</v>
      </c>
    </row>
    <row r="311" spans="1:18">
      <c r="A311" t="s">
        <v>318</v>
      </c>
      <c r="C311" s="3">
        <v>443000</v>
      </c>
      <c r="D311" s="3">
        <v>2485575000</v>
      </c>
      <c r="E311" s="3">
        <v>1313395346</v>
      </c>
      <c r="F311" s="3">
        <v>7485372000</v>
      </c>
      <c r="G311" s="3">
        <v>0</v>
      </c>
      <c r="H311" s="3">
        <v>26360000</v>
      </c>
      <c r="I311" s="3">
        <v>0</v>
      </c>
      <c r="J311" s="3">
        <v>2900000</v>
      </c>
      <c r="K311" s="3">
        <v>33715000</v>
      </c>
      <c r="L311" s="3">
        <f t="shared" si="8"/>
        <v>11347760346</v>
      </c>
      <c r="M311" s="1">
        <v>-1091263118</v>
      </c>
      <c r="N311" s="1">
        <v>-550081170</v>
      </c>
      <c r="O311" s="1">
        <v>0</v>
      </c>
      <c r="P311" s="1">
        <v>0</v>
      </c>
      <c r="Q311" s="1">
        <v>-33260000</v>
      </c>
      <c r="R311" s="1">
        <f t="shared" si="9"/>
        <v>9673156058</v>
      </c>
    </row>
    <row r="312" spans="1:18">
      <c r="A312" t="s">
        <v>319</v>
      </c>
      <c r="C312" s="3">
        <v>0</v>
      </c>
      <c r="D312" s="3">
        <v>302300000</v>
      </c>
      <c r="E312" s="3">
        <v>1435546368</v>
      </c>
      <c r="F312" s="3">
        <v>6581041851</v>
      </c>
      <c r="G312" s="3">
        <v>0</v>
      </c>
      <c r="H312" s="3">
        <v>2993440</v>
      </c>
      <c r="I312" s="3">
        <v>0</v>
      </c>
      <c r="J312" s="3">
        <v>0</v>
      </c>
      <c r="K312" s="3">
        <v>0</v>
      </c>
      <c r="L312" s="3">
        <f t="shared" si="8"/>
        <v>8321881659</v>
      </c>
      <c r="M312" s="1">
        <v>-1360529278</v>
      </c>
      <c r="N312" s="1">
        <v>-995447045</v>
      </c>
      <c r="O312" s="1">
        <v>0</v>
      </c>
      <c r="P312" s="1">
        <v>0</v>
      </c>
      <c r="Q312" s="1">
        <v>0</v>
      </c>
      <c r="R312" s="1">
        <f t="shared" si="9"/>
        <v>5965905336</v>
      </c>
    </row>
    <row r="313" spans="1:18">
      <c r="A313" t="s">
        <v>320</v>
      </c>
      <c r="C313" s="3">
        <v>4141000</v>
      </c>
      <c r="D313" s="3">
        <v>13321694000</v>
      </c>
      <c r="E313" s="3">
        <v>3642434440</v>
      </c>
      <c r="F313" s="3">
        <v>6684890275</v>
      </c>
      <c r="G313" s="3">
        <v>416489820</v>
      </c>
      <c r="H313" s="3">
        <v>25833000</v>
      </c>
      <c r="I313" s="3">
        <v>0</v>
      </c>
      <c r="J313" s="3">
        <v>50000000</v>
      </c>
      <c r="K313" s="3">
        <v>3231000</v>
      </c>
      <c r="L313" s="3">
        <f t="shared" si="8"/>
        <v>24148713535</v>
      </c>
      <c r="M313" s="1">
        <v>-3106955470</v>
      </c>
      <c r="N313" s="1">
        <v>-2730200441</v>
      </c>
      <c r="O313" s="1">
        <v>-213646361</v>
      </c>
      <c r="P313" s="1">
        <v>0</v>
      </c>
      <c r="Q313" s="1">
        <v>-2903000</v>
      </c>
      <c r="R313" s="1">
        <f t="shared" si="9"/>
        <v>18095008263</v>
      </c>
    </row>
    <row r="314" spans="1:18">
      <c r="A314" t="s">
        <v>321</v>
      </c>
      <c r="C314" s="3">
        <v>1250500</v>
      </c>
      <c r="D314" s="3">
        <v>5548179000</v>
      </c>
      <c r="E314" s="3">
        <v>2101172357</v>
      </c>
      <c r="F314" s="3">
        <v>8142348600</v>
      </c>
      <c r="G314" s="3">
        <v>0</v>
      </c>
      <c r="H314" s="3">
        <v>0</v>
      </c>
      <c r="I314" s="3">
        <v>0</v>
      </c>
      <c r="J314" s="3">
        <v>82885000</v>
      </c>
      <c r="K314" s="3">
        <v>119209564</v>
      </c>
      <c r="L314" s="3">
        <f t="shared" si="8"/>
        <v>15995045021</v>
      </c>
      <c r="M314" s="1">
        <v>-1526517778</v>
      </c>
      <c r="N314" s="1">
        <v>-1099026887</v>
      </c>
      <c r="O314" s="1">
        <v>0</v>
      </c>
      <c r="P314" s="1">
        <v>0</v>
      </c>
      <c r="Q314" s="1">
        <v>-119209564</v>
      </c>
      <c r="R314" s="1">
        <f t="shared" si="9"/>
        <v>13250290792</v>
      </c>
    </row>
    <row r="315" spans="1:18">
      <c r="A315" t="s">
        <v>322</v>
      </c>
      <c r="C315" s="3">
        <v>430000</v>
      </c>
      <c r="D315" s="3">
        <v>1435920000</v>
      </c>
      <c r="E315" s="3">
        <v>2245026134</v>
      </c>
      <c r="F315" s="3">
        <v>4838474700</v>
      </c>
      <c r="G315" s="3">
        <v>166992000</v>
      </c>
      <c r="H315" s="3">
        <v>408000</v>
      </c>
      <c r="I315" s="3">
        <v>0</v>
      </c>
      <c r="J315" s="3">
        <v>0</v>
      </c>
      <c r="K315" s="3">
        <v>0</v>
      </c>
      <c r="L315" s="3">
        <f t="shared" si="8"/>
        <v>8687250834</v>
      </c>
      <c r="M315" s="1">
        <v>-1234458289</v>
      </c>
      <c r="N315" s="1">
        <v>-670238720</v>
      </c>
      <c r="O315" s="1">
        <v>-17740766</v>
      </c>
      <c r="P315" s="1">
        <v>0</v>
      </c>
      <c r="Q315" s="1">
        <v>0</v>
      </c>
      <c r="R315" s="1">
        <f t="shared" si="9"/>
        <v>6764813059</v>
      </c>
    </row>
    <row r="316" spans="1:18">
      <c r="A316" t="s">
        <v>323</v>
      </c>
      <c r="C316" s="3">
        <v>357600</v>
      </c>
      <c r="D316" s="3">
        <v>2829260000</v>
      </c>
      <c r="E316" s="3">
        <v>1122323594</v>
      </c>
      <c r="F316" s="3">
        <v>800586000</v>
      </c>
      <c r="G316" s="3">
        <v>49996600</v>
      </c>
      <c r="H316" s="3">
        <v>408000</v>
      </c>
      <c r="I316" s="3">
        <v>0</v>
      </c>
      <c r="J316" s="3">
        <v>0</v>
      </c>
      <c r="K316" s="3">
        <v>14638298</v>
      </c>
      <c r="L316" s="3">
        <f t="shared" si="8"/>
        <v>4817570092</v>
      </c>
      <c r="M316" s="1">
        <v>-1076605844</v>
      </c>
      <c r="N316" s="1">
        <v>-207766330</v>
      </c>
      <c r="O316" s="1">
        <v>-624958</v>
      </c>
      <c r="P316" s="1">
        <v>0</v>
      </c>
      <c r="Q316" s="1">
        <v>-14638298</v>
      </c>
      <c r="R316" s="1">
        <f t="shared" si="9"/>
        <v>3517934662</v>
      </c>
    </row>
    <row r="317" spans="1:18">
      <c r="A317" t="s">
        <v>324</v>
      </c>
      <c r="C317" s="3">
        <v>238000</v>
      </c>
      <c r="D317" s="3">
        <v>555400000</v>
      </c>
      <c r="E317" s="3">
        <v>738550712</v>
      </c>
      <c r="F317" s="3">
        <v>451600000</v>
      </c>
      <c r="G317" s="3">
        <v>28500000</v>
      </c>
      <c r="H317" s="3">
        <v>4927050</v>
      </c>
      <c r="I317" s="3">
        <v>0</v>
      </c>
      <c r="J317" s="3">
        <v>0</v>
      </c>
      <c r="K317" s="3">
        <v>78171886</v>
      </c>
      <c r="L317" s="3">
        <f t="shared" si="8"/>
        <v>1857387648</v>
      </c>
      <c r="M317" s="1">
        <v>-694910712</v>
      </c>
      <c r="N317" s="1">
        <v>-85804000</v>
      </c>
      <c r="O317" s="1">
        <v>-25087500</v>
      </c>
      <c r="P317" s="1">
        <v>0</v>
      </c>
      <c r="Q317" s="1">
        <v>-78171886</v>
      </c>
      <c r="R317" s="1">
        <f t="shared" si="9"/>
        <v>973413550</v>
      </c>
    </row>
    <row r="318" spans="1:18">
      <c r="A318" t="s">
        <v>325</v>
      </c>
      <c r="C318" s="3">
        <v>90000</v>
      </c>
      <c r="D318" s="3">
        <v>2769900000</v>
      </c>
      <c r="E318" s="3">
        <v>1008288207</v>
      </c>
      <c r="F318" s="3">
        <v>964609000</v>
      </c>
      <c r="G318" s="3">
        <v>20705000</v>
      </c>
      <c r="H318" s="3">
        <v>40908000</v>
      </c>
      <c r="I318" s="3">
        <v>7565092000</v>
      </c>
      <c r="J318" s="3">
        <v>0</v>
      </c>
      <c r="K318" s="3">
        <v>75849012</v>
      </c>
      <c r="L318" s="3">
        <f t="shared" si="8"/>
        <v>12445441219</v>
      </c>
      <c r="M318" s="1">
        <v>-700854722</v>
      </c>
      <c r="N318" s="1">
        <v>-116217105</v>
      </c>
      <c r="O318" s="1">
        <v>-20705000</v>
      </c>
      <c r="P318" s="1">
        <v>0</v>
      </c>
      <c r="Q318" s="1">
        <v>-73611000</v>
      </c>
      <c r="R318" s="1">
        <f t="shared" si="9"/>
        <v>11534053392</v>
      </c>
    </row>
    <row r="319" spans="1:18">
      <c r="A319" t="s">
        <v>326</v>
      </c>
      <c r="C319" s="3">
        <v>6528009</v>
      </c>
      <c r="D319" s="3">
        <v>3750000000</v>
      </c>
      <c r="E319" s="3">
        <v>2753773291</v>
      </c>
      <c r="F319" s="3">
        <v>8883852370</v>
      </c>
      <c r="G319" s="3">
        <v>100300000</v>
      </c>
      <c r="H319" s="3">
        <v>0</v>
      </c>
      <c r="I319" s="3">
        <v>0</v>
      </c>
      <c r="J319" s="3">
        <v>125275000</v>
      </c>
      <c r="K319" s="3">
        <v>0</v>
      </c>
      <c r="L319" s="3">
        <f t="shared" si="8"/>
        <v>15619728670</v>
      </c>
      <c r="M319" s="1">
        <v>-2251527033</v>
      </c>
      <c r="N319" s="1">
        <v>-1154900810</v>
      </c>
      <c r="O319" s="1">
        <v>-38846669</v>
      </c>
      <c r="P319" s="1">
        <v>0</v>
      </c>
      <c r="Q319" s="1">
        <v>0</v>
      </c>
      <c r="R319" s="1">
        <f t="shared" si="9"/>
        <v>12174454158</v>
      </c>
    </row>
    <row r="320" spans="1:18">
      <c r="A320" t="s">
        <v>327</v>
      </c>
      <c r="C320" s="3">
        <v>221000</v>
      </c>
      <c r="D320" s="3">
        <v>2500000000</v>
      </c>
      <c r="E320" s="3">
        <v>2046955724</v>
      </c>
      <c r="F320" s="3">
        <v>8542499182</v>
      </c>
      <c r="G320" s="3">
        <v>117038050</v>
      </c>
      <c r="H320" s="3">
        <v>0</v>
      </c>
      <c r="I320" s="3">
        <v>0</v>
      </c>
      <c r="J320" s="3">
        <v>119437285</v>
      </c>
      <c r="K320" s="3">
        <v>57800625</v>
      </c>
      <c r="L320" s="3">
        <f t="shared" si="8"/>
        <v>13383951866</v>
      </c>
      <c r="M320" s="1">
        <v>-1503353129</v>
      </c>
      <c r="N320" s="1">
        <v>-597974944</v>
      </c>
      <c r="O320" s="1">
        <v>-99432160</v>
      </c>
      <c r="P320" s="1">
        <v>0</v>
      </c>
      <c r="Q320" s="1">
        <v>-54369141</v>
      </c>
      <c r="R320" s="1">
        <f t="shared" si="9"/>
        <v>11128822492</v>
      </c>
    </row>
    <row r="321" spans="1:18">
      <c r="A321" t="s">
        <v>328</v>
      </c>
      <c r="C321" s="3">
        <v>175000</v>
      </c>
      <c r="D321" s="3">
        <v>3664193500</v>
      </c>
      <c r="E321" s="3">
        <v>1180420000</v>
      </c>
      <c r="F321" s="3">
        <v>6674711499</v>
      </c>
      <c r="G321" s="3">
        <v>0</v>
      </c>
      <c r="H321" s="3">
        <v>1943440</v>
      </c>
      <c r="I321" s="3">
        <v>0</v>
      </c>
      <c r="J321" s="3">
        <v>0</v>
      </c>
      <c r="K321" s="3">
        <v>0</v>
      </c>
      <c r="L321" s="3">
        <f t="shared" si="8"/>
        <v>11521443439</v>
      </c>
      <c r="M321" s="1">
        <v>-929204813</v>
      </c>
      <c r="N321" s="1">
        <v>-595985456</v>
      </c>
      <c r="O321" s="1">
        <v>0</v>
      </c>
      <c r="P321" s="1">
        <v>0</v>
      </c>
      <c r="Q321" s="1">
        <v>0</v>
      </c>
      <c r="R321" s="1">
        <f t="shared" si="9"/>
        <v>9996253170</v>
      </c>
    </row>
    <row r="322" spans="1:18">
      <c r="A322" t="s">
        <v>329</v>
      </c>
      <c r="C322" s="3">
        <v>123000</v>
      </c>
      <c r="D322" s="3">
        <v>469400000</v>
      </c>
      <c r="E322" s="3">
        <v>483194500</v>
      </c>
      <c r="F322" s="3">
        <v>417000000</v>
      </c>
      <c r="G322" s="3">
        <v>0</v>
      </c>
      <c r="H322" s="3">
        <v>408000</v>
      </c>
      <c r="I322" s="3">
        <v>0</v>
      </c>
      <c r="J322" s="3">
        <v>0</v>
      </c>
      <c r="K322" s="3">
        <v>0</v>
      </c>
      <c r="L322" s="3">
        <f t="shared" si="8"/>
        <v>1370125500</v>
      </c>
      <c r="M322" s="1">
        <v>-307932206</v>
      </c>
      <c r="N322" s="1">
        <v>-277326000</v>
      </c>
      <c r="O322" s="1">
        <v>0</v>
      </c>
      <c r="P322" s="1">
        <v>0</v>
      </c>
      <c r="Q322" s="1">
        <v>0</v>
      </c>
      <c r="R322" s="1">
        <f t="shared" si="9"/>
        <v>784867294</v>
      </c>
    </row>
    <row r="323" spans="1:18">
      <c r="A323" t="s">
        <v>330</v>
      </c>
      <c r="C323" s="3">
        <v>1632750</v>
      </c>
      <c r="D323" s="3">
        <v>6224654000</v>
      </c>
      <c r="E323" s="3">
        <v>5033842957</v>
      </c>
      <c r="F323" s="3">
        <v>12103003250</v>
      </c>
      <c r="G323" s="3">
        <v>84460000</v>
      </c>
      <c r="H323" s="3">
        <v>86351220</v>
      </c>
      <c r="I323" s="3">
        <v>0</v>
      </c>
      <c r="J323" s="3">
        <v>0</v>
      </c>
      <c r="K323" s="3">
        <v>751126500</v>
      </c>
      <c r="L323" s="3">
        <f t="shared" ref="L323:L386" si="10">SUM(C323:K323)</f>
        <v>24285070677</v>
      </c>
      <c r="M323" s="1">
        <v>-4318316560</v>
      </c>
      <c r="N323" s="1">
        <v>-8148248880</v>
      </c>
      <c r="O323" s="1">
        <v>-15405438</v>
      </c>
      <c r="P323" s="1">
        <v>0</v>
      </c>
      <c r="Q323" s="1">
        <v>-751126500</v>
      </c>
      <c r="R323" s="1">
        <f t="shared" ref="R323:R386" si="11">SUM(L323:Q323)</f>
        <v>11051973299</v>
      </c>
    </row>
    <row r="324" spans="1:18">
      <c r="A324" t="s">
        <v>331</v>
      </c>
      <c r="C324" s="3">
        <v>17286964</v>
      </c>
      <c r="D324" s="3">
        <v>9693550000</v>
      </c>
      <c r="E324" s="3">
        <v>3378386704</v>
      </c>
      <c r="F324" s="3">
        <v>13063350402</v>
      </c>
      <c r="G324" s="3">
        <v>74728000</v>
      </c>
      <c r="H324" s="3">
        <v>93483440</v>
      </c>
      <c r="I324" s="3">
        <v>0</v>
      </c>
      <c r="J324" s="3">
        <v>65066935</v>
      </c>
      <c r="K324" s="3">
        <v>20220000</v>
      </c>
      <c r="L324" s="3">
        <f t="shared" si="10"/>
        <v>26406072445</v>
      </c>
      <c r="M324" s="1">
        <v>-3035346948</v>
      </c>
      <c r="N324" s="1">
        <v>-2171225810</v>
      </c>
      <c r="O324" s="1">
        <v>-14959971</v>
      </c>
      <c r="P324" s="1">
        <v>0</v>
      </c>
      <c r="Q324" s="1">
        <v>-20220000</v>
      </c>
      <c r="R324" s="1">
        <f t="shared" si="11"/>
        <v>21164319716</v>
      </c>
    </row>
    <row r="325" spans="1:18">
      <c r="A325" t="s">
        <v>332</v>
      </c>
      <c r="C325" s="3">
        <v>776422</v>
      </c>
      <c r="D325" s="3">
        <v>1109100000</v>
      </c>
      <c r="E325" s="3">
        <v>1888978620</v>
      </c>
      <c r="F325" s="3">
        <v>1397170000</v>
      </c>
      <c r="G325" s="3">
        <v>0</v>
      </c>
      <c r="H325" s="3">
        <v>20461002</v>
      </c>
      <c r="I325" s="3">
        <v>9961850594</v>
      </c>
      <c r="J325" s="3">
        <v>0</v>
      </c>
      <c r="K325" s="3">
        <v>1055647600</v>
      </c>
      <c r="L325" s="3">
        <f t="shared" si="10"/>
        <v>15433984238</v>
      </c>
      <c r="M325" s="1">
        <v>-1487681637</v>
      </c>
      <c r="N325" s="1">
        <v>-844065880</v>
      </c>
      <c r="O325" s="1">
        <v>0</v>
      </c>
      <c r="P325" s="1">
        <v>0</v>
      </c>
      <c r="Q325" s="1">
        <v>-509170075</v>
      </c>
      <c r="R325" s="1">
        <f t="shared" si="11"/>
        <v>12593066646</v>
      </c>
    </row>
    <row r="326" spans="1:18">
      <c r="A326" t="s">
        <v>333</v>
      </c>
      <c r="C326" s="3">
        <v>5676100</v>
      </c>
      <c r="D326" s="3">
        <v>1889796620</v>
      </c>
      <c r="E326" s="3">
        <v>1764471217</v>
      </c>
      <c r="F326" s="3">
        <v>3315210758</v>
      </c>
      <c r="G326" s="3">
        <v>24500000</v>
      </c>
      <c r="H326" s="3">
        <v>53587002</v>
      </c>
      <c r="I326" s="3">
        <v>8679162020</v>
      </c>
      <c r="J326" s="3">
        <v>0</v>
      </c>
      <c r="K326" s="3">
        <v>7625000</v>
      </c>
      <c r="L326" s="3">
        <f t="shared" si="10"/>
        <v>15740028717</v>
      </c>
      <c r="M326" s="1">
        <v>-1560509096</v>
      </c>
      <c r="N326" s="1">
        <v>-757014934</v>
      </c>
      <c r="O326" s="1">
        <v>-4593750</v>
      </c>
      <c r="P326" s="1">
        <v>0</v>
      </c>
      <c r="Q326" s="1">
        <v>-7625000</v>
      </c>
      <c r="R326" s="1">
        <f t="shared" si="11"/>
        <v>13410285937</v>
      </c>
    </row>
    <row r="327" spans="1:18">
      <c r="A327" t="s">
        <v>334</v>
      </c>
      <c r="C327" s="3">
        <v>696500</v>
      </c>
      <c r="D327" s="3">
        <v>2096000000</v>
      </c>
      <c r="E327" s="3">
        <v>1924614176</v>
      </c>
      <c r="F327" s="3">
        <v>1563598000</v>
      </c>
      <c r="G327" s="3">
        <v>0</v>
      </c>
      <c r="H327" s="3">
        <v>5003987</v>
      </c>
      <c r="I327" s="3">
        <v>0</v>
      </c>
      <c r="J327" s="3">
        <v>0</v>
      </c>
      <c r="K327" s="3">
        <v>165833000</v>
      </c>
      <c r="L327" s="3">
        <f t="shared" si="10"/>
        <v>5755745663</v>
      </c>
      <c r="M327" s="1">
        <v>-1487583922</v>
      </c>
      <c r="N327" s="1">
        <v>-573139900</v>
      </c>
      <c r="O327" s="1">
        <v>0</v>
      </c>
      <c r="P327" s="1">
        <v>0</v>
      </c>
      <c r="Q327" s="1">
        <v>-149143250</v>
      </c>
      <c r="R327" s="1">
        <f t="shared" si="11"/>
        <v>3545878591</v>
      </c>
    </row>
    <row r="328" spans="1:18">
      <c r="A328" t="s">
        <v>335</v>
      </c>
      <c r="C328" s="3">
        <v>5522240</v>
      </c>
      <c r="D328" s="3">
        <v>2602466000</v>
      </c>
      <c r="E328" s="3">
        <v>1692241378</v>
      </c>
      <c r="F328" s="3">
        <v>3248982150</v>
      </c>
      <c r="G328" s="3">
        <v>0</v>
      </c>
      <c r="H328" s="3">
        <v>2343440</v>
      </c>
      <c r="I328" s="3">
        <v>0</v>
      </c>
      <c r="J328" s="3">
        <v>0</v>
      </c>
      <c r="K328" s="3">
        <v>41907850</v>
      </c>
      <c r="L328" s="3">
        <f t="shared" si="10"/>
        <v>7593463058</v>
      </c>
      <c r="M328" s="1">
        <v>-1579004903</v>
      </c>
      <c r="N328" s="1">
        <v>-1826162371</v>
      </c>
      <c r="O328" s="1">
        <v>0</v>
      </c>
      <c r="P328" s="1">
        <v>0</v>
      </c>
      <c r="Q328" s="1">
        <v>-41907850</v>
      </c>
      <c r="R328" s="1">
        <f t="shared" si="11"/>
        <v>4146387934</v>
      </c>
    </row>
    <row r="329" spans="1:18">
      <c r="A329" t="s">
        <v>336</v>
      </c>
      <c r="C329" s="3">
        <v>5527400</v>
      </c>
      <c r="D329" s="3">
        <v>3125740000</v>
      </c>
      <c r="E329" s="3">
        <v>1965845287</v>
      </c>
      <c r="F329" s="3">
        <v>2144626000</v>
      </c>
      <c r="G329" s="3">
        <v>24933700</v>
      </c>
      <c r="H329" s="3">
        <v>60223440</v>
      </c>
      <c r="I329" s="3">
        <v>0</v>
      </c>
      <c r="J329" s="3">
        <v>0</v>
      </c>
      <c r="K329" s="3">
        <v>22794363</v>
      </c>
      <c r="L329" s="3">
        <f t="shared" si="10"/>
        <v>7349690190</v>
      </c>
      <c r="M329" s="1">
        <v>-1667841014</v>
      </c>
      <c r="N329" s="1">
        <v>-1555191820</v>
      </c>
      <c r="O329" s="1">
        <v>-4675067</v>
      </c>
      <c r="P329" s="1">
        <v>0</v>
      </c>
      <c r="Q329" s="1">
        <v>-22794363</v>
      </c>
      <c r="R329" s="1">
        <f t="shared" si="11"/>
        <v>4099187926</v>
      </c>
    </row>
    <row r="330" spans="1:18">
      <c r="A330" t="s">
        <v>337</v>
      </c>
      <c r="C330" s="3">
        <v>102850</v>
      </c>
      <c r="D330" s="3">
        <v>5207150000</v>
      </c>
      <c r="E330" s="3">
        <v>2041345550</v>
      </c>
      <c r="F330" s="3">
        <v>6915130950</v>
      </c>
      <c r="G330" s="3">
        <v>12900000</v>
      </c>
      <c r="H330" s="3">
        <v>19707840</v>
      </c>
      <c r="I330" s="3">
        <v>0</v>
      </c>
      <c r="J330" s="3">
        <v>22000000</v>
      </c>
      <c r="K330" s="3">
        <v>6585000</v>
      </c>
      <c r="L330" s="3">
        <f t="shared" si="10"/>
        <v>14224922190</v>
      </c>
      <c r="M330" s="1">
        <v>-1802628428</v>
      </c>
      <c r="N330" s="1">
        <v>-2671605531</v>
      </c>
      <c r="O330" s="1">
        <v>-2795000</v>
      </c>
      <c r="P330" s="1">
        <v>0</v>
      </c>
      <c r="Q330" s="1">
        <v>-6585000</v>
      </c>
      <c r="R330" s="1">
        <f t="shared" si="11"/>
        <v>9741308231</v>
      </c>
    </row>
    <row r="331" spans="1:18">
      <c r="A331" t="s">
        <v>338</v>
      </c>
      <c r="C331" s="3">
        <v>4460500</v>
      </c>
      <c r="D331" s="3">
        <v>462212750</v>
      </c>
      <c r="E331" s="3">
        <v>1822404750</v>
      </c>
      <c r="F331" s="3">
        <v>6269537553</v>
      </c>
      <c r="G331" s="3">
        <v>0</v>
      </c>
      <c r="H331" s="3">
        <v>84958440</v>
      </c>
      <c r="I331" s="3">
        <v>0</v>
      </c>
      <c r="J331" s="3">
        <v>12760000</v>
      </c>
      <c r="K331" s="3">
        <v>54167000</v>
      </c>
      <c r="L331" s="3">
        <f t="shared" si="10"/>
        <v>8710500993</v>
      </c>
      <c r="M331" s="1">
        <v>-1197165429</v>
      </c>
      <c r="N331" s="1">
        <v>-1332835009</v>
      </c>
      <c r="O331" s="1">
        <v>0</v>
      </c>
      <c r="P331" s="1">
        <v>0</v>
      </c>
      <c r="Q331" s="1">
        <v>-39000240</v>
      </c>
      <c r="R331" s="1">
        <f t="shared" si="11"/>
        <v>6141500315</v>
      </c>
    </row>
    <row r="332" spans="1:18">
      <c r="A332" t="s">
        <v>339</v>
      </c>
      <c r="C332" s="3">
        <v>0</v>
      </c>
      <c r="D332" s="3">
        <v>4965975118</v>
      </c>
      <c r="E332" s="3">
        <v>1820495828</v>
      </c>
      <c r="F332" s="3">
        <v>2336308622</v>
      </c>
      <c r="G332" s="3">
        <v>50738000</v>
      </c>
      <c r="H332" s="3">
        <v>43908440</v>
      </c>
      <c r="I332" s="3">
        <v>0</v>
      </c>
      <c r="J332" s="3">
        <v>0</v>
      </c>
      <c r="K332" s="3">
        <v>46276300</v>
      </c>
      <c r="L332" s="3">
        <f t="shared" si="10"/>
        <v>9263702308</v>
      </c>
      <c r="M332" s="1">
        <v>-1550692297</v>
      </c>
      <c r="N332" s="1">
        <v>-1529721738</v>
      </c>
      <c r="O332" s="1">
        <v>-9180888</v>
      </c>
      <c r="P332" s="1">
        <v>0</v>
      </c>
      <c r="Q332" s="1">
        <v>-46276300</v>
      </c>
      <c r="R332" s="1">
        <f t="shared" si="11"/>
        <v>6127831085</v>
      </c>
    </row>
    <row r="333" spans="1:18">
      <c r="A333" t="s">
        <v>340</v>
      </c>
      <c r="C333" s="3">
        <v>0</v>
      </c>
      <c r="D333" s="3">
        <v>5648884000</v>
      </c>
      <c r="E333" s="3">
        <v>1807413230</v>
      </c>
      <c r="F333" s="3">
        <v>9642573520</v>
      </c>
      <c r="G333" s="3">
        <v>0</v>
      </c>
      <c r="H333" s="3">
        <v>10943440</v>
      </c>
      <c r="I333" s="3">
        <v>0</v>
      </c>
      <c r="J333" s="3">
        <v>30140000</v>
      </c>
      <c r="K333" s="3">
        <v>170634900</v>
      </c>
      <c r="L333" s="3">
        <f t="shared" si="10"/>
        <v>17310589090</v>
      </c>
      <c r="M333" s="1">
        <v>-1287252841</v>
      </c>
      <c r="N333" s="1">
        <v>-519933469</v>
      </c>
      <c r="O333" s="1">
        <v>0</v>
      </c>
      <c r="P333" s="1">
        <v>0</v>
      </c>
      <c r="Q333" s="1">
        <v>-126902400</v>
      </c>
      <c r="R333" s="1">
        <f t="shared" si="11"/>
        <v>15376500380</v>
      </c>
    </row>
    <row r="334" spans="1:18">
      <c r="A334" t="s">
        <v>341</v>
      </c>
      <c r="C334" s="3">
        <v>1597673</v>
      </c>
      <c r="D334" s="3">
        <v>2416900000</v>
      </c>
      <c r="E334" s="3">
        <v>1665097734</v>
      </c>
      <c r="F334" s="3">
        <v>6474711200</v>
      </c>
      <c r="G334" s="3">
        <v>116201700</v>
      </c>
      <c r="H334" s="3">
        <v>7524688</v>
      </c>
      <c r="I334" s="3">
        <v>0</v>
      </c>
      <c r="J334" s="3">
        <v>0</v>
      </c>
      <c r="K334" s="3">
        <v>10608500</v>
      </c>
      <c r="L334" s="3">
        <f t="shared" si="10"/>
        <v>10692641495</v>
      </c>
      <c r="M334" s="1">
        <v>-1468672740</v>
      </c>
      <c r="N334" s="1">
        <v>-1891810268</v>
      </c>
      <c r="O334" s="1">
        <v>-9597843</v>
      </c>
      <c r="P334" s="1">
        <v>0</v>
      </c>
      <c r="Q334" s="1">
        <v>-10608500</v>
      </c>
      <c r="R334" s="1">
        <f t="shared" si="11"/>
        <v>7311952144</v>
      </c>
    </row>
    <row r="335" spans="1:18">
      <c r="A335" t="s">
        <v>342</v>
      </c>
      <c r="C335" s="3">
        <v>1222290</v>
      </c>
      <c r="D335" s="3">
        <v>1694689080</v>
      </c>
      <c r="E335" s="3">
        <v>2029959416</v>
      </c>
      <c r="F335" s="3">
        <v>5757866190</v>
      </c>
      <c r="G335" s="3">
        <v>0</v>
      </c>
      <c r="H335" s="3">
        <v>30663840</v>
      </c>
      <c r="I335" s="3">
        <v>0</v>
      </c>
      <c r="J335" s="3">
        <v>20350000</v>
      </c>
      <c r="K335" s="3">
        <v>144412329</v>
      </c>
      <c r="L335" s="3">
        <f t="shared" si="10"/>
        <v>9679163145</v>
      </c>
      <c r="M335" s="1">
        <v>-1702021852</v>
      </c>
      <c r="N335" s="1">
        <v>-2412025104</v>
      </c>
      <c r="O335" s="1">
        <v>0</v>
      </c>
      <c r="P335" s="1">
        <v>0</v>
      </c>
      <c r="Q335" s="1">
        <v>-142755660</v>
      </c>
      <c r="R335" s="1">
        <f t="shared" si="11"/>
        <v>5422360529</v>
      </c>
    </row>
    <row r="336" spans="1:18">
      <c r="A336" t="s">
        <v>343</v>
      </c>
      <c r="C336" s="3">
        <v>6291550</v>
      </c>
      <c r="D336" s="3">
        <v>2119000000</v>
      </c>
      <c r="E336" s="3">
        <v>1232459000</v>
      </c>
      <c r="F336" s="3">
        <v>2961181250</v>
      </c>
      <c r="G336" s="3">
        <v>44628000</v>
      </c>
      <c r="H336" s="3">
        <v>9296082</v>
      </c>
      <c r="I336" s="3">
        <v>0</v>
      </c>
      <c r="J336" s="3">
        <v>22000000</v>
      </c>
      <c r="K336" s="3">
        <v>41000000</v>
      </c>
      <c r="L336" s="3">
        <f t="shared" si="10"/>
        <v>6435855882</v>
      </c>
      <c r="M336" s="1">
        <v>-1112831777</v>
      </c>
      <c r="N336" s="1">
        <v>-1975751610</v>
      </c>
      <c r="O336" s="1">
        <v>-7252050</v>
      </c>
      <c r="P336" s="1">
        <v>0</v>
      </c>
      <c r="Q336" s="1">
        <v>-41000000</v>
      </c>
      <c r="R336" s="1">
        <f t="shared" si="11"/>
        <v>3299020445</v>
      </c>
    </row>
    <row r="337" spans="1:18">
      <c r="A337" t="s">
        <v>344</v>
      </c>
      <c r="C337" s="3">
        <v>992275</v>
      </c>
      <c r="D337" s="3">
        <v>787500000</v>
      </c>
      <c r="E337" s="3">
        <v>1874308613</v>
      </c>
      <c r="F337" s="3">
        <v>5428630000</v>
      </c>
      <c r="G337" s="3">
        <v>175063700</v>
      </c>
      <c r="H337" s="3">
        <v>1943440</v>
      </c>
      <c r="I337" s="3">
        <v>0</v>
      </c>
      <c r="J337" s="3">
        <v>0</v>
      </c>
      <c r="K337" s="3">
        <v>0</v>
      </c>
      <c r="L337" s="3">
        <f t="shared" si="10"/>
        <v>8268438028</v>
      </c>
      <c r="M337" s="1">
        <v>-1614258493</v>
      </c>
      <c r="N337" s="1">
        <v>-1253436764</v>
      </c>
      <c r="O337" s="1">
        <v>-108417690</v>
      </c>
      <c r="P337" s="1">
        <v>0</v>
      </c>
      <c r="Q337" s="1">
        <v>0</v>
      </c>
      <c r="R337" s="1">
        <f t="shared" si="11"/>
        <v>5292325081</v>
      </c>
    </row>
    <row r="338" spans="1:18">
      <c r="A338" t="s">
        <v>345</v>
      </c>
      <c r="C338" s="3">
        <v>14033116</v>
      </c>
      <c r="D338" s="3">
        <v>2715202000</v>
      </c>
      <c r="E338" s="3">
        <v>4644091040</v>
      </c>
      <c r="F338" s="3">
        <v>15329825132</v>
      </c>
      <c r="G338" s="3">
        <v>196280000</v>
      </c>
      <c r="H338" s="3">
        <v>48382335</v>
      </c>
      <c r="I338" s="3">
        <v>0</v>
      </c>
      <c r="J338" s="3">
        <v>10890000</v>
      </c>
      <c r="K338" s="3">
        <v>150264314</v>
      </c>
      <c r="L338" s="3">
        <f t="shared" si="10"/>
        <v>23108967937</v>
      </c>
      <c r="M338" s="1">
        <v>-3483033175</v>
      </c>
      <c r="N338" s="1">
        <v>-1128043185</v>
      </c>
      <c r="O338" s="1">
        <v>-6542666</v>
      </c>
      <c r="P338" s="1">
        <v>0</v>
      </c>
      <c r="Q338" s="1">
        <v>-147236499</v>
      </c>
      <c r="R338" s="1">
        <f t="shared" si="11"/>
        <v>18344112412</v>
      </c>
    </row>
    <row r="339" spans="1:18">
      <c r="A339" t="s">
        <v>346</v>
      </c>
      <c r="C339" s="3">
        <v>9586891</v>
      </c>
      <c r="D339" s="3">
        <v>489448650</v>
      </c>
      <c r="E339" s="3">
        <v>1511878887</v>
      </c>
      <c r="F339" s="3">
        <v>1791903600</v>
      </c>
      <c r="G339" s="3">
        <v>0</v>
      </c>
      <c r="H339" s="3">
        <v>8264740</v>
      </c>
      <c r="I339" s="3">
        <v>0</v>
      </c>
      <c r="J339" s="3">
        <v>28800000</v>
      </c>
      <c r="K339" s="3">
        <v>0</v>
      </c>
      <c r="L339" s="3">
        <f t="shared" si="10"/>
        <v>3839882768</v>
      </c>
      <c r="M339" s="1">
        <v>-999294148</v>
      </c>
      <c r="N339" s="1">
        <v>-383361684</v>
      </c>
      <c r="O339" s="1">
        <v>0</v>
      </c>
      <c r="P339" s="1">
        <v>0</v>
      </c>
      <c r="Q339" s="1">
        <v>0</v>
      </c>
      <c r="R339" s="1">
        <f t="shared" si="11"/>
        <v>2457226936</v>
      </c>
    </row>
    <row r="340" spans="1:18">
      <c r="A340" t="s">
        <v>347</v>
      </c>
      <c r="C340" s="3">
        <v>683200</v>
      </c>
      <c r="D340" s="3">
        <v>654680000</v>
      </c>
      <c r="E340" s="3">
        <v>1452475747</v>
      </c>
      <c r="F340" s="3">
        <v>6734009633</v>
      </c>
      <c r="G340" s="3">
        <v>70760000</v>
      </c>
      <c r="H340" s="3">
        <v>23983390</v>
      </c>
      <c r="I340" s="3">
        <v>0</v>
      </c>
      <c r="J340" s="3">
        <v>0</v>
      </c>
      <c r="K340" s="3">
        <v>0</v>
      </c>
      <c r="L340" s="3">
        <f t="shared" si="10"/>
        <v>8936591970</v>
      </c>
      <c r="M340" s="1">
        <v>-1255194777</v>
      </c>
      <c r="N340" s="1">
        <v>-580182129</v>
      </c>
      <c r="O340" s="1">
        <v>-26471250</v>
      </c>
      <c r="P340" s="1">
        <v>0</v>
      </c>
      <c r="Q340" s="1">
        <v>0</v>
      </c>
      <c r="R340" s="1">
        <f t="shared" si="11"/>
        <v>7074743814</v>
      </c>
    </row>
    <row r="341" spans="1:18">
      <c r="A341" t="s">
        <v>348</v>
      </c>
      <c r="C341" s="3">
        <v>1132000</v>
      </c>
      <c r="D341" s="3">
        <v>1293663850</v>
      </c>
      <c r="E341" s="3">
        <v>1347302043</v>
      </c>
      <c r="F341" s="3">
        <v>9671602347</v>
      </c>
      <c r="G341" s="3">
        <v>29900000</v>
      </c>
      <c r="H341" s="3">
        <v>11816738</v>
      </c>
      <c r="I341" s="3">
        <v>0</v>
      </c>
      <c r="J341" s="3">
        <v>0</v>
      </c>
      <c r="K341" s="3">
        <v>173516500</v>
      </c>
      <c r="L341" s="3">
        <f t="shared" si="10"/>
        <v>12528933478</v>
      </c>
      <c r="M341" s="1">
        <v>-924185314</v>
      </c>
      <c r="N341" s="1">
        <v>-400083014</v>
      </c>
      <c r="O341" s="1">
        <v>-3737500</v>
      </c>
      <c r="P341" s="1">
        <v>0</v>
      </c>
      <c r="Q341" s="1">
        <v>-172269831</v>
      </c>
      <c r="R341" s="1">
        <f t="shared" si="11"/>
        <v>11028657819</v>
      </c>
    </row>
    <row r="342" spans="1:18">
      <c r="A342" t="s">
        <v>349</v>
      </c>
      <c r="C342" s="3">
        <v>5340463</v>
      </c>
      <c r="D342" s="3">
        <v>1407551538</v>
      </c>
      <c r="E342" s="3">
        <v>2595985311</v>
      </c>
      <c r="F342" s="3">
        <v>7792897299</v>
      </c>
      <c r="G342" s="3">
        <v>26526000</v>
      </c>
      <c r="H342" s="3">
        <v>3106828</v>
      </c>
      <c r="I342" s="3">
        <v>0</v>
      </c>
      <c r="J342" s="3">
        <v>0</v>
      </c>
      <c r="K342" s="3">
        <v>0</v>
      </c>
      <c r="L342" s="3">
        <f t="shared" si="10"/>
        <v>11831407439</v>
      </c>
      <c r="M342" s="1">
        <v>-1515812208</v>
      </c>
      <c r="N342" s="1">
        <v>-440784873</v>
      </c>
      <c r="O342" s="1">
        <v>-3978900</v>
      </c>
      <c r="P342" s="1">
        <v>0</v>
      </c>
      <c r="Q342" s="1">
        <v>0</v>
      </c>
      <c r="R342" s="1">
        <f t="shared" si="11"/>
        <v>9870831458</v>
      </c>
    </row>
    <row r="343" spans="1:18">
      <c r="A343" t="s">
        <v>350</v>
      </c>
      <c r="C343" s="3">
        <v>6606200</v>
      </c>
      <c r="D343" s="3">
        <v>1077200000</v>
      </c>
      <c r="E343" s="3">
        <v>1748922108</v>
      </c>
      <c r="F343" s="3">
        <v>2334802375</v>
      </c>
      <c r="G343" s="3">
        <v>0</v>
      </c>
      <c r="H343" s="3">
        <v>70345726</v>
      </c>
      <c r="I343" s="3">
        <v>0</v>
      </c>
      <c r="J343" s="3">
        <v>0</v>
      </c>
      <c r="K343" s="3">
        <v>0</v>
      </c>
      <c r="L343" s="3">
        <f t="shared" si="10"/>
        <v>5237876409</v>
      </c>
      <c r="M343" s="1">
        <v>-1598109762</v>
      </c>
      <c r="N343" s="1">
        <v>-782716902</v>
      </c>
      <c r="O343" s="1">
        <v>0</v>
      </c>
      <c r="P343" s="1">
        <v>0</v>
      </c>
      <c r="Q343" s="1">
        <v>0</v>
      </c>
      <c r="R343" s="1">
        <f t="shared" si="11"/>
        <v>2857049745</v>
      </c>
    </row>
    <row r="344" spans="1:18">
      <c r="A344" t="s">
        <v>351</v>
      </c>
      <c r="C344" s="3">
        <v>16042395</v>
      </c>
      <c r="D344" s="3">
        <v>1186520000</v>
      </c>
      <c r="E344" s="3">
        <v>1270983353</v>
      </c>
      <c r="F344" s="3">
        <v>3251352200</v>
      </c>
      <c r="G344" s="3">
        <v>0</v>
      </c>
      <c r="H344" s="3">
        <v>46076740</v>
      </c>
      <c r="I344" s="3">
        <v>0</v>
      </c>
      <c r="J344" s="3">
        <v>6050000</v>
      </c>
      <c r="K344" s="3">
        <v>164259500</v>
      </c>
      <c r="L344" s="3">
        <f t="shared" si="10"/>
        <v>5941284188</v>
      </c>
      <c r="M344" s="1">
        <v>-1167647491</v>
      </c>
      <c r="N344" s="1">
        <v>-512420546</v>
      </c>
      <c r="O344" s="1">
        <v>0</v>
      </c>
      <c r="P344" s="1">
        <v>0</v>
      </c>
      <c r="Q344" s="1">
        <v>-159879500</v>
      </c>
      <c r="R344" s="1">
        <f t="shared" si="11"/>
        <v>4101336651</v>
      </c>
    </row>
    <row r="345" spans="1:18">
      <c r="A345" t="s">
        <v>352</v>
      </c>
      <c r="C345" s="3">
        <v>6116750</v>
      </c>
      <c r="D345" s="3">
        <v>230125000</v>
      </c>
      <c r="E345" s="3">
        <v>1291680639</v>
      </c>
      <c r="F345" s="3">
        <v>2030106260</v>
      </c>
      <c r="G345" s="3">
        <v>0</v>
      </c>
      <c r="H345" s="3">
        <v>19013340</v>
      </c>
      <c r="I345" s="3">
        <v>0</v>
      </c>
      <c r="J345" s="3">
        <v>0</v>
      </c>
      <c r="K345" s="3">
        <v>153711111</v>
      </c>
      <c r="L345" s="3">
        <f t="shared" si="10"/>
        <v>3730753100</v>
      </c>
      <c r="M345" s="1">
        <v>-923562797</v>
      </c>
      <c r="N345" s="1">
        <v>-132214635</v>
      </c>
      <c r="O345" s="1">
        <v>0</v>
      </c>
      <c r="P345" s="1">
        <v>0</v>
      </c>
      <c r="Q345" s="1">
        <v>-153711111</v>
      </c>
      <c r="R345" s="1">
        <f t="shared" si="11"/>
        <v>2521264557</v>
      </c>
    </row>
    <row r="346" spans="1:18">
      <c r="A346" t="s">
        <v>353</v>
      </c>
      <c r="C346" s="3">
        <v>7105220</v>
      </c>
      <c r="D346" s="3">
        <v>993937500</v>
      </c>
      <c r="E346" s="3">
        <v>1444932928</v>
      </c>
      <c r="F346" s="3">
        <v>1037400138</v>
      </c>
      <c r="G346" s="3">
        <v>0</v>
      </c>
      <c r="H346" s="3">
        <v>35758140</v>
      </c>
      <c r="I346" s="3">
        <v>8526616150</v>
      </c>
      <c r="J346" s="3">
        <v>0</v>
      </c>
      <c r="K346" s="3">
        <v>110197549</v>
      </c>
      <c r="L346" s="3">
        <f t="shared" si="10"/>
        <v>12155947625</v>
      </c>
      <c r="M346" s="1">
        <v>-957363234</v>
      </c>
      <c r="N346" s="1">
        <v>-422208190</v>
      </c>
      <c r="O346" s="1">
        <v>0</v>
      </c>
      <c r="P346" s="1">
        <v>0</v>
      </c>
      <c r="Q346" s="1">
        <v>-101157499</v>
      </c>
      <c r="R346" s="1">
        <f t="shared" si="11"/>
        <v>10675218702</v>
      </c>
    </row>
    <row r="347" spans="1:18">
      <c r="A347" t="s">
        <v>354</v>
      </c>
      <c r="C347" s="3">
        <v>197000</v>
      </c>
      <c r="D347" s="3">
        <v>99615000</v>
      </c>
      <c r="E347" s="3">
        <v>988184651</v>
      </c>
      <c r="F347" s="3">
        <v>1220646270</v>
      </c>
      <c r="G347" s="3">
        <v>99550000</v>
      </c>
      <c r="H347" s="3">
        <v>153510040</v>
      </c>
      <c r="I347" s="3">
        <v>0</v>
      </c>
      <c r="J347" s="3">
        <v>0</v>
      </c>
      <c r="K347" s="3">
        <v>15939000</v>
      </c>
      <c r="L347" s="3">
        <f t="shared" si="10"/>
        <v>2577641961</v>
      </c>
      <c r="M347" s="1">
        <v>-744003535</v>
      </c>
      <c r="N347" s="1">
        <v>-251034183</v>
      </c>
      <c r="O347" s="1">
        <v>-26152500</v>
      </c>
      <c r="P347" s="1">
        <v>0</v>
      </c>
      <c r="Q347" s="1">
        <v>-15939000</v>
      </c>
      <c r="R347" s="1">
        <f t="shared" si="11"/>
        <v>1540512743</v>
      </c>
    </row>
    <row r="348" spans="1:18">
      <c r="A348" t="s">
        <v>355</v>
      </c>
      <c r="C348" s="3">
        <v>656644</v>
      </c>
      <c r="D348" s="3">
        <v>383050000</v>
      </c>
      <c r="E348" s="3">
        <v>1377224417</v>
      </c>
      <c r="F348" s="3">
        <v>1975572000</v>
      </c>
      <c r="G348" s="3">
        <v>27834470</v>
      </c>
      <c r="H348" s="3">
        <v>63482190</v>
      </c>
      <c r="I348" s="3">
        <v>0</v>
      </c>
      <c r="J348" s="3">
        <v>6050000</v>
      </c>
      <c r="K348" s="3">
        <v>0</v>
      </c>
      <c r="L348" s="3">
        <f t="shared" si="10"/>
        <v>3833869721</v>
      </c>
      <c r="M348" s="1">
        <v>-1113594788</v>
      </c>
      <c r="N348" s="1">
        <v>-375750680</v>
      </c>
      <c r="O348" s="1">
        <v>-10933339</v>
      </c>
      <c r="P348" s="1">
        <v>0</v>
      </c>
      <c r="Q348" s="1">
        <v>0</v>
      </c>
      <c r="R348" s="1">
        <f t="shared" si="11"/>
        <v>2333590914</v>
      </c>
    </row>
    <row r="349" spans="1:18">
      <c r="A349" t="s">
        <v>356</v>
      </c>
      <c r="C349" s="3">
        <v>9760500</v>
      </c>
      <c r="D349" s="3">
        <v>1292229400</v>
      </c>
      <c r="E349" s="3">
        <v>1941504056</v>
      </c>
      <c r="F349" s="3">
        <v>8093743027</v>
      </c>
      <c r="G349" s="3">
        <v>0</v>
      </c>
      <c r="H349" s="3">
        <v>12891460</v>
      </c>
      <c r="I349" s="3">
        <v>0</v>
      </c>
      <c r="J349" s="3">
        <v>0</v>
      </c>
      <c r="K349" s="3">
        <v>0</v>
      </c>
      <c r="L349" s="3">
        <f t="shared" si="10"/>
        <v>11350128443</v>
      </c>
      <c r="M349" s="1">
        <v>-1430620118</v>
      </c>
      <c r="N349" s="1">
        <v>-861926418</v>
      </c>
      <c r="O349" s="1">
        <v>0</v>
      </c>
      <c r="P349" s="1">
        <v>0</v>
      </c>
      <c r="Q349" s="1">
        <v>0</v>
      </c>
      <c r="R349" s="1">
        <f t="shared" si="11"/>
        <v>9057581907</v>
      </c>
    </row>
    <row r="350" spans="1:18">
      <c r="A350" t="s">
        <v>357</v>
      </c>
      <c r="C350" s="3">
        <v>912900</v>
      </c>
      <c r="D350" s="3">
        <v>1151186000</v>
      </c>
      <c r="E350" s="3">
        <v>1557117942</v>
      </c>
      <c r="F350" s="3">
        <v>1733680000</v>
      </c>
      <c r="G350" s="3">
        <v>0</v>
      </c>
      <c r="H350" s="3">
        <v>16107438</v>
      </c>
      <c r="I350" s="3">
        <v>5108026884</v>
      </c>
      <c r="J350" s="3">
        <v>0</v>
      </c>
      <c r="K350" s="3">
        <v>18000</v>
      </c>
      <c r="L350" s="3">
        <f t="shared" si="10"/>
        <v>9567049164</v>
      </c>
      <c r="M350" s="1">
        <v>-1235289317</v>
      </c>
      <c r="N350" s="1">
        <v>-183931203</v>
      </c>
      <c r="O350" s="1">
        <v>0</v>
      </c>
      <c r="P350" s="1">
        <v>0</v>
      </c>
      <c r="Q350" s="1">
        <v>-18000</v>
      </c>
      <c r="R350" s="1">
        <f t="shared" si="11"/>
        <v>8147810644</v>
      </c>
    </row>
    <row r="351" spans="1:18">
      <c r="A351" t="s">
        <v>358</v>
      </c>
      <c r="C351" s="3">
        <v>2575360</v>
      </c>
      <c r="D351" s="3">
        <v>584278000</v>
      </c>
      <c r="E351" s="3">
        <v>1009445938</v>
      </c>
      <c r="F351" s="3">
        <v>1776727000</v>
      </c>
      <c r="G351" s="3">
        <v>0</v>
      </c>
      <c r="H351" s="3">
        <v>70502509</v>
      </c>
      <c r="I351" s="3">
        <v>0</v>
      </c>
      <c r="J351" s="3">
        <v>0</v>
      </c>
      <c r="K351" s="3">
        <v>106645940</v>
      </c>
      <c r="L351" s="3">
        <f t="shared" si="10"/>
        <v>3550174747</v>
      </c>
      <c r="M351" s="1">
        <v>-919179938</v>
      </c>
      <c r="N351" s="1">
        <v>-340527305</v>
      </c>
      <c r="O351" s="1">
        <v>0</v>
      </c>
      <c r="P351" s="1">
        <v>0</v>
      </c>
      <c r="Q351" s="1">
        <v>-100083440</v>
      </c>
      <c r="R351" s="1">
        <f t="shared" si="11"/>
        <v>2190384064</v>
      </c>
    </row>
    <row r="352" spans="1:18">
      <c r="A352" t="s">
        <v>359</v>
      </c>
      <c r="C352" s="3">
        <v>4563150</v>
      </c>
      <c r="D352" s="3">
        <v>1049443445</v>
      </c>
      <c r="E352" s="3">
        <v>1673623951</v>
      </c>
      <c r="F352" s="3">
        <v>8439137000</v>
      </c>
      <c r="G352" s="3">
        <v>32320000</v>
      </c>
      <c r="H352" s="3">
        <v>84500828</v>
      </c>
      <c r="I352" s="3">
        <v>0</v>
      </c>
      <c r="J352" s="3">
        <v>0</v>
      </c>
      <c r="K352" s="3">
        <v>271729225</v>
      </c>
      <c r="L352" s="3">
        <f t="shared" si="10"/>
        <v>11555317599</v>
      </c>
      <c r="M352" s="1">
        <v>-997204070</v>
      </c>
      <c r="N352" s="1">
        <v>-291260397</v>
      </c>
      <c r="O352" s="1">
        <v>-30388000</v>
      </c>
      <c r="P352" s="1">
        <v>0</v>
      </c>
      <c r="Q352" s="1">
        <v>-271054225</v>
      </c>
      <c r="R352" s="1">
        <f t="shared" si="11"/>
        <v>9965410907</v>
      </c>
    </row>
    <row r="353" spans="1:18">
      <c r="A353" t="s">
        <v>360</v>
      </c>
      <c r="C353" s="3">
        <v>395000</v>
      </c>
      <c r="D353" s="3">
        <v>2001129500</v>
      </c>
      <c r="E353" s="3">
        <v>1463151421</v>
      </c>
      <c r="F353" s="3">
        <v>35677743</v>
      </c>
      <c r="G353" s="3">
        <v>0</v>
      </c>
      <c r="H353" s="3">
        <v>15246068</v>
      </c>
      <c r="I353" s="3">
        <v>6930286400</v>
      </c>
      <c r="J353" s="3">
        <v>0</v>
      </c>
      <c r="K353" s="3">
        <v>11615000</v>
      </c>
      <c r="L353" s="3">
        <f t="shared" si="10"/>
        <v>10457501132</v>
      </c>
      <c r="M353" s="1">
        <v>-1232809913</v>
      </c>
      <c r="N353" s="1">
        <v>-4459719</v>
      </c>
      <c r="O353" s="1">
        <v>0</v>
      </c>
      <c r="P353" s="1">
        <v>0</v>
      </c>
      <c r="Q353" s="1">
        <v>-11615000</v>
      </c>
      <c r="R353" s="1">
        <f t="shared" si="11"/>
        <v>9208616500</v>
      </c>
    </row>
    <row r="354" spans="1:18">
      <c r="A354" t="s">
        <v>361</v>
      </c>
      <c r="C354" s="3">
        <v>4188307</v>
      </c>
      <c r="D354" s="3">
        <v>1286420600</v>
      </c>
      <c r="E354" s="3">
        <v>1479834178</v>
      </c>
      <c r="F354" s="3">
        <v>8393493745</v>
      </c>
      <c r="G354" s="3">
        <v>0</v>
      </c>
      <c r="H354" s="3">
        <v>5409137</v>
      </c>
      <c r="I354" s="3">
        <v>0</v>
      </c>
      <c r="J354" s="3">
        <v>0</v>
      </c>
      <c r="K354" s="3">
        <v>1286000</v>
      </c>
      <c r="L354" s="3">
        <f t="shared" si="10"/>
        <v>11170631967</v>
      </c>
      <c r="M354" s="1">
        <v>-1032019248</v>
      </c>
      <c r="N354" s="1">
        <v>-355873908</v>
      </c>
      <c r="O354" s="1">
        <v>0</v>
      </c>
      <c r="P354" s="1">
        <v>0</v>
      </c>
      <c r="Q354" s="1">
        <v>-1246000</v>
      </c>
      <c r="R354" s="1">
        <f t="shared" si="11"/>
        <v>9781492811</v>
      </c>
    </row>
    <row r="355" spans="1:18">
      <c r="A355" t="s">
        <v>362</v>
      </c>
      <c r="C355" s="3">
        <v>4442078</v>
      </c>
      <c r="D355" s="3">
        <v>1213800000</v>
      </c>
      <c r="E355" s="3">
        <v>1239572000</v>
      </c>
      <c r="F355" s="3">
        <v>5682155545</v>
      </c>
      <c r="G355" s="3">
        <v>0</v>
      </c>
      <c r="H355" s="3">
        <v>25562340</v>
      </c>
      <c r="I355" s="3">
        <v>0</v>
      </c>
      <c r="J355" s="3">
        <v>0</v>
      </c>
      <c r="K355" s="3">
        <v>0</v>
      </c>
      <c r="L355" s="3">
        <f t="shared" si="10"/>
        <v>8165531963</v>
      </c>
      <c r="M355" s="1">
        <v>-1108637725</v>
      </c>
      <c r="N355" s="1">
        <v>-622428777</v>
      </c>
      <c r="O355" s="1">
        <v>0</v>
      </c>
      <c r="P355" s="1">
        <v>0</v>
      </c>
      <c r="Q355" s="1">
        <v>0</v>
      </c>
      <c r="R355" s="1">
        <f t="shared" si="11"/>
        <v>6434465461</v>
      </c>
    </row>
    <row r="356" spans="1:18">
      <c r="A356" t="s">
        <v>363</v>
      </c>
      <c r="C356" s="3">
        <v>682500</v>
      </c>
      <c r="D356" s="3">
        <v>936300000</v>
      </c>
      <c r="E356" s="3">
        <v>1739464128</v>
      </c>
      <c r="F356" s="3">
        <v>7031704499</v>
      </c>
      <c r="G356" s="3">
        <v>216829950</v>
      </c>
      <c r="H356" s="3">
        <v>1943440</v>
      </c>
      <c r="I356" s="3">
        <v>0</v>
      </c>
      <c r="J356" s="3">
        <v>25000000</v>
      </c>
      <c r="K356" s="3">
        <v>36245000</v>
      </c>
      <c r="L356" s="3">
        <f t="shared" si="10"/>
        <v>9988169517</v>
      </c>
      <c r="M356" s="1">
        <v>-1447863146</v>
      </c>
      <c r="N356" s="1">
        <v>-854252285</v>
      </c>
      <c r="O356" s="1">
        <v>-36658615</v>
      </c>
      <c r="P356" s="1">
        <v>0</v>
      </c>
      <c r="Q356" s="1">
        <v>-36245000</v>
      </c>
      <c r="R356" s="1">
        <f t="shared" si="11"/>
        <v>7613150471</v>
      </c>
    </row>
    <row r="357" spans="1:18">
      <c r="A357" t="s">
        <v>364</v>
      </c>
      <c r="C357" s="3">
        <v>2981200</v>
      </c>
      <c r="D357" s="3">
        <v>13275812500</v>
      </c>
      <c r="E357" s="3">
        <v>1740899188</v>
      </c>
      <c r="F357" s="3">
        <v>7478739594</v>
      </c>
      <c r="G357" s="3">
        <v>0</v>
      </c>
      <c r="H357" s="3">
        <v>2637275</v>
      </c>
      <c r="I357" s="3">
        <v>0</v>
      </c>
      <c r="J357" s="3">
        <v>68750000</v>
      </c>
      <c r="K357" s="3">
        <v>0</v>
      </c>
      <c r="L357" s="3">
        <f t="shared" si="10"/>
        <v>22569819757</v>
      </c>
      <c r="M357" s="1">
        <v>-1491287418</v>
      </c>
      <c r="N357" s="1">
        <v>-3468318844</v>
      </c>
      <c r="O357" s="1">
        <v>0</v>
      </c>
      <c r="P357" s="1">
        <v>0</v>
      </c>
      <c r="Q357" s="1">
        <v>0</v>
      </c>
      <c r="R357" s="1">
        <f t="shared" si="11"/>
        <v>17610213495</v>
      </c>
    </row>
    <row r="358" spans="1:18">
      <c r="A358" t="s">
        <v>365</v>
      </c>
      <c r="C358" s="3">
        <v>1195000</v>
      </c>
      <c r="D358" s="3">
        <v>1295085000</v>
      </c>
      <c r="E358" s="3">
        <v>2468227660</v>
      </c>
      <c r="F358" s="3">
        <v>6751122214</v>
      </c>
      <c r="G358" s="3">
        <v>0</v>
      </c>
      <c r="H358" s="3">
        <v>2760800</v>
      </c>
      <c r="I358" s="3">
        <v>0</v>
      </c>
      <c r="J358" s="3">
        <v>119490000</v>
      </c>
      <c r="K358" s="3">
        <v>0</v>
      </c>
      <c r="L358" s="3">
        <f t="shared" si="10"/>
        <v>10637880674</v>
      </c>
      <c r="M358" s="1">
        <v>-2145228393</v>
      </c>
      <c r="N358" s="1">
        <v>-860911491</v>
      </c>
      <c r="O358" s="1">
        <v>0</v>
      </c>
      <c r="P358" s="1">
        <v>0</v>
      </c>
      <c r="Q358" s="1">
        <v>0</v>
      </c>
      <c r="R358" s="1">
        <f t="shared" si="11"/>
        <v>7631740790</v>
      </c>
    </row>
    <row r="359" spans="1:18">
      <c r="A359" t="s">
        <v>366</v>
      </c>
      <c r="C359" s="3">
        <v>676000</v>
      </c>
      <c r="D359" s="3">
        <v>11780191550</v>
      </c>
      <c r="E359" s="3">
        <v>4531311319</v>
      </c>
      <c r="F359" s="3">
        <v>4952033686</v>
      </c>
      <c r="G359" s="3">
        <v>25960000</v>
      </c>
      <c r="H359" s="3">
        <v>1943440</v>
      </c>
      <c r="I359" s="3">
        <v>0</v>
      </c>
      <c r="J359" s="3">
        <v>0</v>
      </c>
      <c r="K359" s="3">
        <v>0</v>
      </c>
      <c r="L359" s="3">
        <f t="shared" si="10"/>
        <v>21292115995</v>
      </c>
      <c r="M359" s="1">
        <v>-3998864401</v>
      </c>
      <c r="N359" s="1">
        <v>-3783220208</v>
      </c>
      <c r="O359" s="1">
        <v>-25960000</v>
      </c>
      <c r="P359" s="1">
        <v>0</v>
      </c>
      <c r="Q359" s="1">
        <v>0</v>
      </c>
      <c r="R359" s="1">
        <f t="shared" si="11"/>
        <v>13484071386</v>
      </c>
    </row>
    <row r="360" spans="1:18">
      <c r="A360" t="s">
        <v>367</v>
      </c>
      <c r="C360" s="3">
        <v>856750</v>
      </c>
      <c r="D360" s="3">
        <v>8467982000</v>
      </c>
      <c r="E360" s="3">
        <v>1549160217</v>
      </c>
      <c r="F360" s="3">
        <v>3530784925</v>
      </c>
      <c r="G360" s="3">
        <v>4500000</v>
      </c>
      <c r="H360" s="3">
        <v>1943440</v>
      </c>
      <c r="I360" s="3">
        <v>0</v>
      </c>
      <c r="J360" s="3">
        <v>0</v>
      </c>
      <c r="K360" s="3">
        <v>36756067</v>
      </c>
      <c r="L360" s="3">
        <f t="shared" si="10"/>
        <v>13591983399</v>
      </c>
      <c r="M360" s="1">
        <v>-1451104034</v>
      </c>
      <c r="N360" s="1">
        <v>-2003436521</v>
      </c>
      <c r="O360" s="1">
        <v>-975000</v>
      </c>
      <c r="P360" s="1">
        <v>0</v>
      </c>
      <c r="Q360" s="1">
        <v>-36368067</v>
      </c>
      <c r="R360" s="1">
        <f t="shared" si="11"/>
        <v>10100099777</v>
      </c>
    </row>
    <row r="361" spans="1:18">
      <c r="A361" t="s">
        <v>368</v>
      </c>
      <c r="C361" s="3">
        <v>684260</v>
      </c>
      <c r="D361" s="3">
        <v>5816261600</v>
      </c>
      <c r="E361" s="3">
        <v>1634779389</v>
      </c>
      <c r="F361" s="3">
        <v>3423025679</v>
      </c>
      <c r="G361" s="3">
        <v>37635000</v>
      </c>
      <c r="H361" s="3">
        <v>7542000</v>
      </c>
      <c r="I361" s="3">
        <v>0</v>
      </c>
      <c r="J361" s="3">
        <v>0</v>
      </c>
      <c r="K361" s="3">
        <v>89667120</v>
      </c>
      <c r="L361" s="3">
        <f t="shared" si="10"/>
        <v>11009595048</v>
      </c>
      <c r="M361" s="1">
        <v>-1369764890</v>
      </c>
      <c r="N361" s="1">
        <v>-1570359405</v>
      </c>
      <c r="O361" s="1">
        <v>-19567500</v>
      </c>
      <c r="P361" s="1">
        <v>0</v>
      </c>
      <c r="Q361" s="1">
        <v>-76049994</v>
      </c>
      <c r="R361" s="1">
        <f t="shared" si="11"/>
        <v>7973853259</v>
      </c>
    </row>
    <row r="362" spans="1:18">
      <c r="A362" t="s">
        <v>369</v>
      </c>
      <c r="C362" s="3">
        <v>6746144</v>
      </c>
      <c r="D362" s="3">
        <v>4376155000</v>
      </c>
      <c r="E362" s="3">
        <v>1695785878</v>
      </c>
      <c r="F362" s="3">
        <v>2655224112</v>
      </c>
      <c r="G362" s="3">
        <v>95127000</v>
      </c>
      <c r="H362" s="3">
        <v>1943440</v>
      </c>
      <c r="I362" s="3">
        <v>0</v>
      </c>
      <c r="J362" s="3">
        <v>4945357</v>
      </c>
      <c r="K362" s="3">
        <v>1398000</v>
      </c>
      <c r="L362" s="3">
        <f t="shared" si="10"/>
        <v>8837324931</v>
      </c>
      <c r="M362" s="1">
        <v>-1321345501</v>
      </c>
      <c r="N362" s="1">
        <v>-890569664</v>
      </c>
      <c r="O362" s="1">
        <v>-15458138</v>
      </c>
      <c r="P362" s="1">
        <v>0</v>
      </c>
      <c r="Q362" s="1">
        <v>-1398000</v>
      </c>
      <c r="R362" s="1">
        <f t="shared" si="11"/>
        <v>6608553628</v>
      </c>
    </row>
    <row r="363" spans="1:18">
      <c r="A363" t="s">
        <v>370</v>
      </c>
      <c r="C363" s="3">
        <v>8510000</v>
      </c>
      <c r="D363" s="3">
        <v>2678300000</v>
      </c>
      <c r="E363" s="3">
        <v>1944612465</v>
      </c>
      <c r="F363" s="3">
        <v>5148735800</v>
      </c>
      <c r="G363" s="3">
        <v>0</v>
      </c>
      <c r="H363" s="3">
        <v>84477440</v>
      </c>
      <c r="I363" s="3">
        <v>0</v>
      </c>
      <c r="J363" s="3">
        <v>29480000</v>
      </c>
      <c r="K363" s="3">
        <v>0</v>
      </c>
      <c r="L363" s="3">
        <f t="shared" si="10"/>
        <v>9894115705</v>
      </c>
      <c r="M363" s="1">
        <v>-1541863212</v>
      </c>
      <c r="N363" s="1">
        <v>-2060237306</v>
      </c>
      <c r="O363" s="1">
        <v>0</v>
      </c>
      <c r="P363" s="1">
        <v>0</v>
      </c>
      <c r="Q363" s="1">
        <v>0</v>
      </c>
      <c r="R363" s="1">
        <f t="shared" si="11"/>
        <v>6292015187</v>
      </c>
    </row>
    <row r="364" spans="1:18">
      <c r="A364" t="s">
        <v>371</v>
      </c>
      <c r="C364" s="3">
        <v>795000</v>
      </c>
      <c r="D364" s="3">
        <v>8747642000</v>
      </c>
      <c r="E364" s="3">
        <v>1103780828</v>
      </c>
      <c r="F364" s="3">
        <v>1188612000</v>
      </c>
      <c r="G364" s="3">
        <v>0</v>
      </c>
      <c r="H364" s="3">
        <v>15453440</v>
      </c>
      <c r="I364" s="3">
        <v>0</v>
      </c>
      <c r="J364" s="3">
        <v>0</v>
      </c>
      <c r="K364" s="3">
        <v>0</v>
      </c>
      <c r="L364" s="3">
        <f t="shared" si="10"/>
        <v>11056283268</v>
      </c>
      <c r="M364" s="1">
        <v>-1024748578</v>
      </c>
      <c r="N364" s="1">
        <v>-567954940</v>
      </c>
      <c r="O364" s="1">
        <v>0</v>
      </c>
      <c r="P364" s="1">
        <v>0</v>
      </c>
      <c r="Q364" s="1">
        <v>0</v>
      </c>
      <c r="R364" s="1">
        <f t="shared" si="11"/>
        <v>9463579750</v>
      </c>
    </row>
    <row r="365" spans="1:18">
      <c r="A365" t="s">
        <v>372</v>
      </c>
      <c r="C365" s="3">
        <v>26346300</v>
      </c>
      <c r="D365" s="3">
        <v>26454075000</v>
      </c>
      <c r="E365" s="3">
        <v>3519761246</v>
      </c>
      <c r="F365" s="3">
        <v>9783920781</v>
      </c>
      <c r="G365" s="3">
        <v>0</v>
      </c>
      <c r="H365" s="3">
        <v>16943440</v>
      </c>
      <c r="I365" s="3">
        <v>0</v>
      </c>
      <c r="J365" s="3">
        <v>106612000</v>
      </c>
      <c r="K365" s="3">
        <v>0</v>
      </c>
      <c r="L365" s="3">
        <f t="shared" si="10"/>
        <v>39907658767</v>
      </c>
      <c r="M365" s="1">
        <v>-2906610843</v>
      </c>
      <c r="N365" s="1">
        <v>-5466489177</v>
      </c>
      <c r="O365" s="1">
        <v>0</v>
      </c>
      <c r="P365" s="1">
        <v>-15000000</v>
      </c>
      <c r="Q365" s="1">
        <v>0</v>
      </c>
      <c r="R365" s="1">
        <f t="shared" si="11"/>
        <v>31519558747</v>
      </c>
    </row>
    <row r="366" spans="1:18">
      <c r="A366" t="s">
        <v>373</v>
      </c>
      <c r="C366" s="3">
        <v>3151813</v>
      </c>
      <c r="D366" s="3">
        <v>4870601580</v>
      </c>
      <c r="E366" s="3">
        <v>1913825078</v>
      </c>
      <c r="F366" s="3">
        <v>12429805500</v>
      </c>
      <c r="G366" s="3">
        <v>89348200</v>
      </c>
      <c r="H366" s="3">
        <v>846000</v>
      </c>
      <c r="I366" s="3">
        <v>800000000</v>
      </c>
      <c r="J366" s="3">
        <v>3967150</v>
      </c>
      <c r="K366" s="3">
        <v>161678647</v>
      </c>
      <c r="L366" s="3">
        <f t="shared" si="10"/>
        <v>20273223968</v>
      </c>
      <c r="M366" s="1">
        <v>-1279015473</v>
      </c>
      <c r="N366" s="1">
        <v>-811425605</v>
      </c>
      <c r="O366" s="1">
        <v>-18199798</v>
      </c>
      <c r="P366" s="1">
        <v>0</v>
      </c>
      <c r="Q366" s="1">
        <v>-160776215</v>
      </c>
      <c r="R366" s="1">
        <f t="shared" si="11"/>
        <v>18003806877</v>
      </c>
    </row>
    <row r="367" spans="1:18">
      <c r="A367" t="s">
        <v>374</v>
      </c>
      <c r="C367" s="3">
        <v>4481750</v>
      </c>
      <c r="D367" s="3">
        <v>1419641000</v>
      </c>
      <c r="E367" s="3">
        <v>813842737</v>
      </c>
      <c r="F367" s="3">
        <v>1291894000</v>
      </c>
      <c r="G367" s="3">
        <v>0</v>
      </c>
      <c r="H367" s="3">
        <v>4786030</v>
      </c>
      <c r="I367" s="3">
        <v>0</v>
      </c>
      <c r="J367" s="3">
        <v>0</v>
      </c>
      <c r="K367" s="3">
        <v>184000</v>
      </c>
      <c r="L367" s="3">
        <f t="shared" si="10"/>
        <v>3534829517</v>
      </c>
      <c r="M367" s="1">
        <v>-671327470</v>
      </c>
      <c r="N367" s="1">
        <v>-369381040</v>
      </c>
      <c r="O367" s="1">
        <v>0</v>
      </c>
      <c r="P367" s="1">
        <v>0</v>
      </c>
      <c r="Q367" s="1">
        <v>-184000</v>
      </c>
      <c r="R367" s="1">
        <f t="shared" si="11"/>
        <v>2493937007</v>
      </c>
    </row>
    <row r="368" spans="1:18">
      <c r="A368" t="s">
        <v>375</v>
      </c>
      <c r="C368" s="3">
        <v>1409000</v>
      </c>
      <c r="D368" s="3">
        <v>1503338000</v>
      </c>
      <c r="E368" s="3">
        <v>1031743634</v>
      </c>
      <c r="F368" s="3">
        <v>1030481000</v>
      </c>
      <c r="G368" s="3">
        <v>0</v>
      </c>
      <c r="H368" s="3">
        <v>3674676</v>
      </c>
      <c r="I368" s="3">
        <v>7373038600</v>
      </c>
      <c r="J368" s="3">
        <v>0</v>
      </c>
      <c r="K368" s="3">
        <v>0</v>
      </c>
      <c r="L368" s="3">
        <f t="shared" si="10"/>
        <v>10943684910</v>
      </c>
      <c r="M368" s="1">
        <v>-914193382</v>
      </c>
      <c r="N368" s="1">
        <v>-729056690</v>
      </c>
      <c r="O368" s="1">
        <v>0</v>
      </c>
      <c r="P368" s="1">
        <v>0</v>
      </c>
      <c r="Q368" s="1">
        <v>0</v>
      </c>
      <c r="R368" s="1">
        <f t="shared" si="11"/>
        <v>9300434838</v>
      </c>
    </row>
    <row r="369" spans="1:18">
      <c r="A369" t="s">
        <v>376</v>
      </c>
      <c r="C369" s="3">
        <v>816000</v>
      </c>
      <c r="D369" s="3">
        <v>928900000</v>
      </c>
      <c r="E369" s="3">
        <v>1253088419</v>
      </c>
      <c r="F369" s="3">
        <v>10019950400</v>
      </c>
      <c r="G369" s="3">
        <v>0</v>
      </c>
      <c r="H369" s="3">
        <v>1237220</v>
      </c>
      <c r="I369" s="3">
        <v>0</v>
      </c>
      <c r="J369" s="3">
        <v>20750000</v>
      </c>
      <c r="K369" s="3">
        <v>6638823</v>
      </c>
      <c r="L369" s="3">
        <f t="shared" si="10"/>
        <v>12231380862</v>
      </c>
      <c r="M369" s="1">
        <v>-678304117</v>
      </c>
      <c r="N369" s="1">
        <v>-259716028</v>
      </c>
      <c r="O369" s="1">
        <v>0</v>
      </c>
      <c r="P369" s="1">
        <v>0</v>
      </c>
      <c r="Q369" s="1">
        <v>-6638823</v>
      </c>
      <c r="R369" s="1">
        <f t="shared" si="11"/>
        <v>11286721894</v>
      </c>
    </row>
    <row r="370" spans="1:18">
      <c r="A370" t="s">
        <v>377</v>
      </c>
      <c r="C370" s="3">
        <v>2463500</v>
      </c>
      <c r="D370" s="3">
        <v>255500000</v>
      </c>
      <c r="E370" s="3">
        <v>1278394634</v>
      </c>
      <c r="F370" s="3">
        <v>5846624178</v>
      </c>
      <c r="G370" s="3">
        <v>0</v>
      </c>
      <c r="H370" s="3">
        <v>17560518</v>
      </c>
      <c r="I370" s="3">
        <v>0</v>
      </c>
      <c r="J370" s="3">
        <v>13000000</v>
      </c>
      <c r="K370" s="3">
        <v>19252000</v>
      </c>
      <c r="L370" s="3">
        <f t="shared" si="10"/>
        <v>7432794830</v>
      </c>
      <c r="M370" s="1">
        <v>-771647516</v>
      </c>
      <c r="N370" s="1">
        <v>-630499716</v>
      </c>
      <c r="O370" s="1">
        <v>0</v>
      </c>
      <c r="P370" s="1">
        <v>0</v>
      </c>
      <c r="Q370" s="1">
        <v>-19252000</v>
      </c>
      <c r="R370" s="1">
        <f t="shared" si="11"/>
        <v>6011395598</v>
      </c>
    </row>
    <row r="371" spans="1:18">
      <c r="A371" t="s">
        <v>378</v>
      </c>
      <c r="C371" s="3">
        <v>365000</v>
      </c>
      <c r="D371" s="3">
        <v>1621638820</v>
      </c>
      <c r="E371" s="3">
        <v>731243763</v>
      </c>
      <c r="F371" s="3">
        <v>734639864</v>
      </c>
      <c r="G371" s="3">
        <v>50530000</v>
      </c>
      <c r="H371" s="3">
        <v>0</v>
      </c>
      <c r="I371" s="3">
        <v>0</v>
      </c>
      <c r="J371" s="3">
        <v>0</v>
      </c>
      <c r="K371" s="3">
        <v>0</v>
      </c>
      <c r="L371" s="3">
        <f t="shared" si="10"/>
        <v>3138417447</v>
      </c>
      <c r="M371" s="1">
        <v>-628626461</v>
      </c>
      <c r="N371" s="1">
        <v>-121309277</v>
      </c>
      <c r="O371" s="1">
        <v>-17670500</v>
      </c>
      <c r="P371" s="1">
        <v>0</v>
      </c>
      <c r="Q371" s="1">
        <v>0</v>
      </c>
      <c r="R371" s="1">
        <f t="shared" si="11"/>
        <v>2370811209</v>
      </c>
    </row>
    <row r="372" spans="1:18">
      <c r="A372" t="s">
        <v>379</v>
      </c>
      <c r="C372" s="3">
        <v>945500</v>
      </c>
      <c r="D372" s="3">
        <v>304710000</v>
      </c>
      <c r="E372" s="3">
        <v>1176300237</v>
      </c>
      <c r="F372" s="3">
        <v>5962939000</v>
      </c>
      <c r="G372" s="3">
        <v>169571000</v>
      </c>
      <c r="H372" s="3">
        <v>17733705</v>
      </c>
      <c r="I372" s="3">
        <v>0</v>
      </c>
      <c r="J372" s="3">
        <v>0</v>
      </c>
      <c r="K372" s="3">
        <v>11698000</v>
      </c>
      <c r="L372" s="3">
        <f t="shared" si="10"/>
        <v>7643897442</v>
      </c>
      <c r="M372" s="1">
        <v>-1048854265</v>
      </c>
      <c r="N372" s="1">
        <v>-851361725</v>
      </c>
      <c r="O372" s="1">
        <v>-89123513</v>
      </c>
      <c r="P372" s="1">
        <v>0</v>
      </c>
      <c r="Q372" s="1">
        <v>-11698000</v>
      </c>
      <c r="R372" s="1">
        <f t="shared" si="11"/>
        <v>5642859939</v>
      </c>
    </row>
    <row r="373" spans="1:18">
      <c r="A373" t="s">
        <v>380</v>
      </c>
      <c r="C373" s="3">
        <v>4150300</v>
      </c>
      <c r="D373" s="3">
        <v>538054000</v>
      </c>
      <c r="E373" s="3">
        <v>722483753</v>
      </c>
      <c r="F373" s="3">
        <v>2141546000</v>
      </c>
      <c r="G373" s="3">
        <v>0</v>
      </c>
      <c r="H373" s="3">
        <v>71363650</v>
      </c>
      <c r="I373" s="3">
        <v>0</v>
      </c>
      <c r="J373" s="3">
        <v>20750000</v>
      </c>
      <c r="K373" s="3">
        <v>24138000</v>
      </c>
      <c r="L373" s="3">
        <f t="shared" si="10"/>
        <v>3522485703</v>
      </c>
      <c r="M373" s="1">
        <v>-625333736</v>
      </c>
      <c r="N373" s="1">
        <v>-417195200</v>
      </c>
      <c r="O373" s="1">
        <v>0</v>
      </c>
      <c r="P373" s="1">
        <v>0</v>
      </c>
      <c r="Q373" s="1">
        <v>-24138000</v>
      </c>
      <c r="R373" s="1">
        <f t="shared" si="11"/>
        <v>2455818767</v>
      </c>
    </row>
    <row r="374" spans="1:18">
      <c r="A374" t="s">
        <v>381</v>
      </c>
      <c r="C374" s="3">
        <v>16940770</v>
      </c>
      <c r="D374" s="3">
        <v>15326663750</v>
      </c>
      <c r="E374" s="3">
        <v>3995816541</v>
      </c>
      <c r="F374" s="3">
        <v>10822842400</v>
      </c>
      <c r="G374" s="3">
        <v>251285800</v>
      </c>
      <c r="H374" s="3">
        <v>46140740</v>
      </c>
      <c r="I374" s="3">
        <v>0</v>
      </c>
      <c r="J374" s="3">
        <v>0</v>
      </c>
      <c r="K374" s="3">
        <v>85213000</v>
      </c>
      <c r="L374" s="3">
        <f t="shared" si="10"/>
        <v>30544903001</v>
      </c>
      <c r="M374" s="1">
        <v>-3440742636</v>
      </c>
      <c r="N374" s="1">
        <v>-1740539474</v>
      </c>
      <c r="O374" s="1">
        <v>-32667154</v>
      </c>
      <c r="P374" s="1">
        <v>-19800000</v>
      </c>
      <c r="Q374" s="1">
        <v>-85213000</v>
      </c>
      <c r="R374" s="1">
        <f t="shared" si="11"/>
        <v>25225940737</v>
      </c>
    </row>
    <row r="375" spans="1:18">
      <c r="A375" t="s">
        <v>382</v>
      </c>
      <c r="C375" s="3">
        <v>100200</v>
      </c>
      <c r="D375" s="3">
        <v>0</v>
      </c>
      <c r="E375" s="3">
        <v>3249768271</v>
      </c>
      <c r="F375" s="3">
        <v>7883578834</v>
      </c>
      <c r="G375" s="3">
        <v>0</v>
      </c>
      <c r="H375" s="3">
        <v>63303440</v>
      </c>
      <c r="I375" s="3">
        <v>0</v>
      </c>
      <c r="J375" s="3">
        <v>0</v>
      </c>
      <c r="K375" s="3">
        <v>14570000</v>
      </c>
      <c r="L375" s="3">
        <f t="shared" si="10"/>
        <v>11211320745</v>
      </c>
      <c r="M375" s="1">
        <v>-3061869730</v>
      </c>
      <c r="N375" s="1">
        <v>-1411254405</v>
      </c>
      <c r="O375" s="1">
        <v>0</v>
      </c>
      <c r="P375" s="1">
        <v>0</v>
      </c>
      <c r="Q375" s="1">
        <v>-14570000</v>
      </c>
      <c r="R375" s="1">
        <f t="shared" si="11"/>
        <v>6723626610</v>
      </c>
    </row>
    <row r="376" spans="1:18">
      <c r="A376" t="s">
        <v>383</v>
      </c>
      <c r="C376" s="3">
        <v>279000</v>
      </c>
      <c r="D376" s="3">
        <v>105995000</v>
      </c>
      <c r="E376" s="3">
        <v>1652819554</v>
      </c>
      <c r="F376" s="3">
        <v>5823429000</v>
      </c>
      <c r="G376" s="3">
        <v>0</v>
      </c>
      <c r="H376" s="3">
        <v>1943440</v>
      </c>
      <c r="I376" s="3">
        <v>0</v>
      </c>
      <c r="J376" s="3">
        <v>24200000</v>
      </c>
      <c r="K376" s="3">
        <v>0</v>
      </c>
      <c r="L376" s="3">
        <f t="shared" si="10"/>
        <v>7608665994</v>
      </c>
      <c r="M376" s="1">
        <v>-1388299034</v>
      </c>
      <c r="N376" s="1">
        <v>-866040350</v>
      </c>
      <c r="O376" s="1">
        <v>0</v>
      </c>
      <c r="P376" s="1">
        <v>0</v>
      </c>
      <c r="Q376" s="1">
        <v>-10500000</v>
      </c>
      <c r="R376" s="1">
        <f t="shared" si="11"/>
        <v>5343826610</v>
      </c>
    </row>
    <row r="377" spans="1:18">
      <c r="A377" t="s">
        <v>384</v>
      </c>
      <c r="C377" s="3">
        <v>7875000</v>
      </c>
      <c r="D377" s="3">
        <v>417232000</v>
      </c>
      <c r="E377" s="3">
        <v>1903005553</v>
      </c>
      <c r="F377" s="3">
        <v>1094070000</v>
      </c>
      <c r="G377" s="3">
        <v>15400000</v>
      </c>
      <c r="H377" s="3">
        <v>0</v>
      </c>
      <c r="I377" s="3">
        <v>0</v>
      </c>
      <c r="J377" s="3">
        <v>0</v>
      </c>
      <c r="K377" s="3">
        <v>0</v>
      </c>
      <c r="L377" s="3">
        <f t="shared" si="10"/>
        <v>3437582553</v>
      </c>
      <c r="M377" s="1">
        <v>-1608466865</v>
      </c>
      <c r="N377" s="1">
        <v>-52985600</v>
      </c>
      <c r="O377" s="1">
        <v>-4111250</v>
      </c>
      <c r="P377" s="1">
        <v>0</v>
      </c>
      <c r="Q377" s="1">
        <v>0</v>
      </c>
      <c r="R377" s="1">
        <f t="shared" si="11"/>
        <v>1772018838</v>
      </c>
    </row>
    <row r="378" spans="1:18">
      <c r="A378" t="s">
        <v>385</v>
      </c>
      <c r="C378" s="3">
        <v>6553470</v>
      </c>
      <c r="D378" s="3">
        <v>3060349000</v>
      </c>
      <c r="E378" s="3">
        <v>1968955601</v>
      </c>
      <c r="F378" s="3">
        <v>6508125500</v>
      </c>
      <c r="G378" s="3">
        <v>0</v>
      </c>
      <c r="H378" s="3">
        <v>0</v>
      </c>
      <c r="I378" s="3">
        <v>0</v>
      </c>
      <c r="J378" s="3">
        <v>97790000</v>
      </c>
      <c r="K378" s="3">
        <v>0</v>
      </c>
      <c r="L378" s="3">
        <f t="shared" si="10"/>
        <v>11641773571</v>
      </c>
      <c r="M378" s="1">
        <v>-1657576022</v>
      </c>
      <c r="N378" s="1">
        <v>-909229998</v>
      </c>
      <c r="O378" s="1">
        <v>0</v>
      </c>
      <c r="P378" s="1">
        <v>0</v>
      </c>
      <c r="Q378" s="1">
        <v>0</v>
      </c>
      <c r="R378" s="1">
        <f t="shared" si="11"/>
        <v>9074967551</v>
      </c>
    </row>
    <row r="379" spans="1:18">
      <c r="A379" t="s">
        <v>386</v>
      </c>
      <c r="C379" s="3">
        <v>1073382</v>
      </c>
      <c r="D379" s="3">
        <v>1209360000</v>
      </c>
      <c r="E379" s="3">
        <v>1408124484</v>
      </c>
      <c r="F379" s="3">
        <v>5543286950</v>
      </c>
      <c r="G379" s="3">
        <v>0</v>
      </c>
      <c r="H379" s="3">
        <v>18967126</v>
      </c>
      <c r="I379" s="3">
        <v>0</v>
      </c>
      <c r="J379" s="3">
        <v>0</v>
      </c>
      <c r="K379" s="3">
        <v>0</v>
      </c>
      <c r="L379" s="3">
        <f t="shared" si="10"/>
        <v>8180811942</v>
      </c>
      <c r="M379" s="1">
        <v>-1170168096</v>
      </c>
      <c r="N379" s="1">
        <v>-1016157297</v>
      </c>
      <c r="O379" s="1">
        <v>0</v>
      </c>
      <c r="P379" s="1">
        <v>0</v>
      </c>
      <c r="Q379" s="1">
        <v>0</v>
      </c>
      <c r="R379" s="1">
        <f t="shared" si="11"/>
        <v>5994486549</v>
      </c>
    </row>
    <row r="380" spans="1:18">
      <c r="A380" t="s">
        <v>387</v>
      </c>
      <c r="C380" s="3">
        <v>629000</v>
      </c>
      <c r="D380" s="3">
        <v>638050000</v>
      </c>
      <c r="E380" s="3">
        <v>1091655369</v>
      </c>
      <c r="F380" s="3">
        <v>2133233500</v>
      </c>
      <c r="G380" s="3">
        <v>0</v>
      </c>
      <c r="H380" s="3">
        <v>799220</v>
      </c>
      <c r="I380" s="3">
        <v>0</v>
      </c>
      <c r="J380" s="3">
        <v>17185000</v>
      </c>
      <c r="K380" s="3">
        <v>15400298</v>
      </c>
      <c r="L380" s="3">
        <f t="shared" si="10"/>
        <v>3896952387</v>
      </c>
      <c r="M380" s="1">
        <v>-944734984</v>
      </c>
      <c r="N380" s="1">
        <v>-314811705</v>
      </c>
      <c r="O380" s="1">
        <v>0</v>
      </c>
      <c r="P380" s="1">
        <v>0</v>
      </c>
      <c r="Q380" s="1">
        <v>-15400298</v>
      </c>
      <c r="R380" s="1">
        <f t="shared" si="11"/>
        <v>2622005400</v>
      </c>
    </row>
    <row r="381" spans="1:18">
      <c r="A381" t="s">
        <v>388</v>
      </c>
      <c r="C381" s="3">
        <v>4084000</v>
      </c>
      <c r="D381" s="3">
        <v>1770958000</v>
      </c>
      <c r="E381" s="3">
        <v>1786803258</v>
      </c>
      <c r="F381" s="3">
        <v>3266195000</v>
      </c>
      <c r="G381" s="3">
        <v>7415000</v>
      </c>
      <c r="H381" s="3">
        <v>1943440</v>
      </c>
      <c r="I381" s="3">
        <v>9815989100</v>
      </c>
      <c r="J381" s="3">
        <v>0</v>
      </c>
      <c r="K381" s="3">
        <v>413352000</v>
      </c>
      <c r="L381" s="3">
        <f t="shared" si="10"/>
        <v>17066739798</v>
      </c>
      <c r="M381" s="1">
        <v>-920221702</v>
      </c>
      <c r="N381" s="1">
        <v>-535703570</v>
      </c>
      <c r="O381" s="1">
        <v>-3707500</v>
      </c>
      <c r="P381" s="1">
        <v>0</v>
      </c>
      <c r="Q381" s="1">
        <v>-236221320</v>
      </c>
      <c r="R381" s="1">
        <f t="shared" si="11"/>
        <v>15370885706</v>
      </c>
    </row>
    <row r="382" spans="1:18">
      <c r="A382" t="s">
        <v>389</v>
      </c>
      <c r="C382" s="3">
        <v>16238500</v>
      </c>
      <c r="D382" s="3">
        <v>585485500</v>
      </c>
      <c r="E382" s="3">
        <v>2955052034</v>
      </c>
      <c r="F382" s="3">
        <v>12527525460</v>
      </c>
      <c r="G382" s="3">
        <v>176300000</v>
      </c>
      <c r="H382" s="3">
        <v>2003440</v>
      </c>
      <c r="I382" s="3">
        <v>0</v>
      </c>
      <c r="J382" s="3">
        <v>0</v>
      </c>
      <c r="K382" s="3">
        <v>284436167</v>
      </c>
      <c r="L382" s="3">
        <f t="shared" si="10"/>
        <v>16547041101</v>
      </c>
      <c r="M382" s="1">
        <v>-2384395832</v>
      </c>
      <c r="N382" s="1">
        <v>-3092541972</v>
      </c>
      <c r="O382" s="1">
        <v>-48142500</v>
      </c>
      <c r="P382" s="1">
        <v>0</v>
      </c>
      <c r="Q382" s="1">
        <v>-284436167</v>
      </c>
      <c r="R382" s="1">
        <f t="shared" si="11"/>
        <v>10737524630</v>
      </c>
    </row>
    <row r="383" spans="1:18">
      <c r="A383" t="s">
        <v>390</v>
      </c>
      <c r="C383" s="3">
        <v>1067450</v>
      </c>
      <c r="D383" s="3">
        <v>6927384500</v>
      </c>
      <c r="E383" s="3">
        <v>1387068678</v>
      </c>
      <c r="F383" s="3">
        <v>3784620500</v>
      </c>
      <c r="G383" s="3">
        <v>0</v>
      </c>
      <c r="H383" s="3">
        <v>88432118</v>
      </c>
      <c r="I383" s="3">
        <v>0</v>
      </c>
      <c r="J383" s="3">
        <v>46000000</v>
      </c>
      <c r="K383" s="3">
        <v>0</v>
      </c>
      <c r="L383" s="3">
        <f t="shared" si="10"/>
        <v>12234573246</v>
      </c>
      <c r="M383" s="1">
        <v>-1294307103</v>
      </c>
      <c r="N383" s="1">
        <v>-950392321</v>
      </c>
      <c r="O383" s="1">
        <v>-1153625</v>
      </c>
      <c r="P383" s="1">
        <v>0</v>
      </c>
      <c r="Q383" s="1">
        <v>0</v>
      </c>
      <c r="R383" s="1">
        <f t="shared" si="11"/>
        <v>9988720197</v>
      </c>
    </row>
    <row r="384" spans="1:18">
      <c r="A384" t="s">
        <v>391</v>
      </c>
      <c r="C384" s="3">
        <v>534700</v>
      </c>
      <c r="D384" s="3">
        <v>2654033300</v>
      </c>
      <c r="E384" s="3">
        <v>1372315281</v>
      </c>
      <c r="F384" s="3">
        <v>11469828000</v>
      </c>
      <c r="G384" s="3">
        <v>0</v>
      </c>
      <c r="H384" s="3">
        <v>16036498</v>
      </c>
      <c r="I384" s="3">
        <v>0</v>
      </c>
      <c r="J384" s="3">
        <v>0</v>
      </c>
      <c r="K384" s="3">
        <v>7200000</v>
      </c>
      <c r="L384" s="3">
        <f t="shared" si="10"/>
        <v>15519947779</v>
      </c>
      <c r="M384" s="1">
        <v>-1235368327</v>
      </c>
      <c r="N384" s="1">
        <v>-730297334</v>
      </c>
      <c r="O384" s="1">
        <v>0</v>
      </c>
      <c r="P384" s="1">
        <v>0</v>
      </c>
      <c r="Q384" s="1">
        <v>-2554838</v>
      </c>
      <c r="R384" s="1">
        <f t="shared" si="11"/>
        <v>13551727280</v>
      </c>
    </row>
    <row r="385" spans="1:18">
      <c r="A385" t="s">
        <v>392</v>
      </c>
      <c r="C385" s="3">
        <v>877200</v>
      </c>
      <c r="D385" s="3">
        <v>462650000</v>
      </c>
      <c r="E385" s="3">
        <v>1492531949</v>
      </c>
      <c r="F385" s="3">
        <v>3076318100</v>
      </c>
      <c r="G385" s="3">
        <v>0</v>
      </c>
      <c r="H385" s="3">
        <v>114781940</v>
      </c>
      <c r="I385" s="3">
        <v>0</v>
      </c>
      <c r="J385" s="3">
        <v>0</v>
      </c>
      <c r="K385" s="3">
        <v>0</v>
      </c>
      <c r="L385" s="3">
        <f t="shared" si="10"/>
        <v>5147159189</v>
      </c>
      <c r="M385" s="1">
        <v>-1299282532</v>
      </c>
      <c r="N385" s="1">
        <v>-2134884638</v>
      </c>
      <c r="O385" s="1">
        <v>0</v>
      </c>
      <c r="P385" s="1">
        <v>0</v>
      </c>
      <c r="Q385" s="1">
        <v>0</v>
      </c>
      <c r="R385" s="1">
        <f t="shared" si="11"/>
        <v>1712992019</v>
      </c>
    </row>
    <row r="386" spans="1:18">
      <c r="A386" t="s">
        <v>393</v>
      </c>
      <c r="C386" s="3">
        <v>1176000</v>
      </c>
      <c r="D386" s="3">
        <v>2248146100</v>
      </c>
      <c r="E386" s="3">
        <v>1791840617</v>
      </c>
      <c r="F386" s="3">
        <v>5574224876</v>
      </c>
      <c r="G386" s="3">
        <v>264333961</v>
      </c>
      <c r="H386" s="3">
        <v>5370005</v>
      </c>
      <c r="I386" s="3">
        <v>0</v>
      </c>
      <c r="J386" s="3">
        <v>69080000</v>
      </c>
      <c r="K386" s="3">
        <v>69573000</v>
      </c>
      <c r="L386" s="3">
        <f t="shared" si="10"/>
        <v>10023744559</v>
      </c>
      <c r="M386" s="1">
        <v>-1266887397</v>
      </c>
      <c r="N386" s="1">
        <v>-1346632290</v>
      </c>
      <c r="O386" s="1">
        <v>-193912866</v>
      </c>
      <c r="P386" s="1">
        <v>0</v>
      </c>
      <c r="Q386" s="1">
        <v>-69573000</v>
      </c>
      <c r="R386" s="1">
        <f t="shared" si="11"/>
        <v>7146739006</v>
      </c>
    </row>
    <row r="387" spans="1:18">
      <c r="A387" t="s">
        <v>394</v>
      </c>
      <c r="C387" s="3">
        <v>10283726</v>
      </c>
      <c r="D387" s="3">
        <v>3471804000</v>
      </c>
      <c r="E387" s="3">
        <v>1275386473</v>
      </c>
      <c r="F387" s="3">
        <v>3202722900</v>
      </c>
      <c r="G387" s="3">
        <v>140090000</v>
      </c>
      <c r="H387" s="3">
        <v>7455518</v>
      </c>
      <c r="I387" s="3">
        <v>0</v>
      </c>
      <c r="J387" s="3">
        <v>0</v>
      </c>
      <c r="K387" s="3">
        <v>0</v>
      </c>
      <c r="L387" s="3">
        <f t="shared" ref="L387:L450" si="12">SUM(C387:K387)</f>
        <v>8107742617</v>
      </c>
      <c r="M387" s="1">
        <v>-1191038638</v>
      </c>
      <c r="N387" s="1">
        <v>-1858594837</v>
      </c>
      <c r="O387" s="1">
        <v>-104784286</v>
      </c>
      <c r="P387" s="1">
        <v>0</v>
      </c>
      <c r="Q387" s="1">
        <v>0</v>
      </c>
      <c r="R387" s="1">
        <f t="shared" ref="R387:R450" si="13">SUM(L387:Q387)</f>
        <v>4953324856</v>
      </c>
    </row>
    <row r="388" spans="1:18">
      <c r="A388" t="s">
        <v>395</v>
      </c>
      <c r="C388" s="3">
        <v>37521585</v>
      </c>
      <c r="D388" s="3">
        <v>7700363000</v>
      </c>
      <c r="E388" s="3">
        <v>4686728221</v>
      </c>
      <c r="F388" s="3">
        <v>8313378100</v>
      </c>
      <c r="G388" s="3">
        <v>349129511</v>
      </c>
      <c r="H388" s="3">
        <v>7600792</v>
      </c>
      <c r="I388" s="3">
        <v>0</v>
      </c>
      <c r="J388" s="3">
        <v>55000000</v>
      </c>
      <c r="K388" s="3">
        <v>0</v>
      </c>
      <c r="L388" s="3">
        <f t="shared" si="12"/>
        <v>21149721209</v>
      </c>
      <c r="M388" s="1">
        <v>-4271553287</v>
      </c>
      <c r="N388" s="1">
        <v>-1943055981</v>
      </c>
      <c r="O388" s="1">
        <v>-169000477</v>
      </c>
      <c r="P388" s="1">
        <v>0</v>
      </c>
      <c r="Q388" s="1">
        <v>0</v>
      </c>
      <c r="R388" s="1">
        <f t="shared" si="13"/>
        <v>14766111464</v>
      </c>
    </row>
    <row r="389" spans="1:18">
      <c r="A389" t="s">
        <v>396</v>
      </c>
      <c r="C389" s="3">
        <v>158700</v>
      </c>
      <c r="D389" s="3">
        <v>0</v>
      </c>
      <c r="E389" s="3">
        <v>1741836600</v>
      </c>
      <c r="F389" s="3">
        <v>5687921294</v>
      </c>
      <c r="G389" s="3">
        <v>130213398</v>
      </c>
      <c r="H389" s="3">
        <v>83480000</v>
      </c>
      <c r="I389" s="3">
        <v>0</v>
      </c>
      <c r="J389" s="3">
        <v>0</v>
      </c>
      <c r="K389" s="3">
        <v>237914983</v>
      </c>
      <c r="L389" s="3">
        <f t="shared" si="12"/>
        <v>7881524975</v>
      </c>
      <c r="M389" s="1">
        <v>-1391916049</v>
      </c>
      <c r="N389" s="1">
        <v>-842648619</v>
      </c>
      <c r="O389" s="1">
        <v>-35681389</v>
      </c>
      <c r="P389" s="1">
        <v>0</v>
      </c>
      <c r="Q389" s="1">
        <v>-184132867</v>
      </c>
      <c r="R389" s="1">
        <f t="shared" si="13"/>
        <v>5427146051</v>
      </c>
    </row>
    <row r="390" spans="1:18">
      <c r="A390" t="s">
        <v>397</v>
      </c>
      <c r="C390" s="3">
        <v>6568200</v>
      </c>
      <c r="D390" s="3">
        <v>750038900</v>
      </c>
      <c r="E390" s="3">
        <v>1254133579</v>
      </c>
      <c r="F390" s="3">
        <v>5187891446</v>
      </c>
      <c r="G390" s="3">
        <v>410149500</v>
      </c>
      <c r="H390" s="3">
        <v>52339500</v>
      </c>
      <c r="I390" s="3">
        <v>0</v>
      </c>
      <c r="J390" s="3">
        <v>20750000</v>
      </c>
      <c r="K390" s="3">
        <v>720000</v>
      </c>
      <c r="L390" s="3">
        <f t="shared" si="12"/>
        <v>7682591125</v>
      </c>
      <c r="M390" s="1">
        <v>-1024774688</v>
      </c>
      <c r="N390" s="1">
        <v>-419185024</v>
      </c>
      <c r="O390" s="1">
        <v>-128205375</v>
      </c>
      <c r="P390" s="1">
        <v>0</v>
      </c>
      <c r="Q390" s="1">
        <v>-720000</v>
      </c>
      <c r="R390" s="1">
        <f t="shared" si="13"/>
        <v>6109706038</v>
      </c>
    </row>
    <row r="391" spans="1:18">
      <c r="A391" t="s">
        <v>398</v>
      </c>
      <c r="C391" s="3">
        <v>2638100</v>
      </c>
      <c r="D391" s="3">
        <v>1482837000</v>
      </c>
      <c r="E391" s="3">
        <v>1218753388</v>
      </c>
      <c r="F391" s="3">
        <v>4787087040</v>
      </c>
      <c r="G391" s="3">
        <v>13837000</v>
      </c>
      <c r="H391" s="3">
        <v>63893000</v>
      </c>
      <c r="I391" s="3">
        <v>0</v>
      </c>
      <c r="J391" s="3">
        <v>61500000</v>
      </c>
      <c r="K391" s="3">
        <v>39357600</v>
      </c>
      <c r="L391" s="3">
        <f t="shared" si="12"/>
        <v>7669903128</v>
      </c>
      <c r="M391" s="1">
        <v>-968132219</v>
      </c>
      <c r="N391" s="1">
        <v>-779275831</v>
      </c>
      <c r="O391" s="1">
        <v>-11761450</v>
      </c>
      <c r="P391" s="1">
        <v>0</v>
      </c>
      <c r="Q391" s="1">
        <v>-39300400</v>
      </c>
      <c r="R391" s="1">
        <f t="shared" si="13"/>
        <v>5871433228</v>
      </c>
    </row>
    <row r="392" spans="1:18">
      <c r="A392" t="s">
        <v>399</v>
      </c>
      <c r="C392" s="3">
        <v>151000</v>
      </c>
      <c r="D392" s="3">
        <v>0</v>
      </c>
      <c r="E392" s="3">
        <v>1628522152</v>
      </c>
      <c r="F392" s="3">
        <v>4294536950</v>
      </c>
      <c r="G392" s="3">
        <v>0</v>
      </c>
      <c r="H392" s="3">
        <v>19878000</v>
      </c>
      <c r="I392" s="3">
        <v>0</v>
      </c>
      <c r="J392" s="3">
        <v>20750000</v>
      </c>
      <c r="K392" s="3">
        <v>0</v>
      </c>
      <c r="L392" s="3">
        <f t="shared" si="12"/>
        <v>5963838102</v>
      </c>
      <c r="M392" s="1">
        <v>-1192528376</v>
      </c>
      <c r="N392" s="1">
        <v>-494116604</v>
      </c>
      <c r="O392" s="1">
        <v>0</v>
      </c>
      <c r="P392" s="1">
        <v>0</v>
      </c>
      <c r="Q392" s="1">
        <v>0</v>
      </c>
      <c r="R392" s="1">
        <f t="shared" si="13"/>
        <v>4277193122</v>
      </c>
    </row>
    <row r="393" spans="1:18">
      <c r="A393" t="s">
        <v>400</v>
      </c>
      <c r="C393" s="3">
        <v>0</v>
      </c>
      <c r="D393" s="3">
        <v>256608000</v>
      </c>
      <c r="E393" s="3">
        <v>1207016750</v>
      </c>
      <c r="F393" s="3">
        <v>5515706000</v>
      </c>
      <c r="G393" s="3">
        <v>0</v>
      </c>
      <c r="H393" s="3">
        <v>56439000</v>
      </c>
      <c r="I393" s="3">
        <v>0</v>
      </c>
      <c r="J393" s="3">
        <v>13000000</v>
      </c>
      <c r="K393" s="3">
        <v>1756374</v>
      </c>
      <c r="L393" s="3">
        <f t="shared" si="12"/>
        <v>7050526124</v>
      </c>
      <c r="M393" s="1">
        <v>-978639041</v>
      </c>
      <c r="N393" s="1">
        <v>-747818835</v>
      </c>
      <c r="O393" s="1">
        <v>0</v>
      </c>
      <c r="P393" s="1">
        <v>0</v>
      </c>
      <c r="Q393" s="1">
        <v>-1756374</v>
      </c>
      <c r="R393" s="1">
        <f t="shared" si="13"/>
        <v>5322311874</v>
      </c>
    </row>
    <row r="394" spans="1:18">
      <c r="A394" t="s">
        <v>401</v>
      </c>
      <c r="C394" s="3">
        <v>2089500</v>
      </c>
      <c r="D394" s="3">
        <v>0</v>
      </c>
      <c r="E394" s="3">
        <v>1290692150</v>
      </c>
      <c r="F394" s="3">
        <v>7835878080</v>
      </c>
      <c r="G394" s="3">
        <v>242847000</v>
      </c>
      <c r="H394" s="3">
        <v>107653678</v>
      </c>
      <c r="I394" s="3">
        <v>0</v>
      </c>
      <c r="J394" s="3">
        <v>20750000</v>
      </c>
      <c r="K394" s="3">
        <v>137104</v>
      </c>
      <c r="L394" s="3">
        <f t="shared" si="12"/>
        <v>9500047512</v>
      </c>
      <c r="M394" s="1">
        <v>-788174874</v>
      </c>
      <c r="N394" s="1">
        <v>-732114355</v>
      </c>
      <c r="O394" s="1">
        <v>-106006450</v>
      </c>
      <c r="P394" s="1">
        <v>0</v>
      </c>
      <c r="Q394" s="1">
        <v>-137104</v>
      </c>
      <c r="R394" s="1">
        <f t="shared" si="13"/>
        <v>7873614729</v>
      </c>
    </row>
    <row r="395" spans="1:18">
      <c r="A395" t="s">
        <v>402</v>
      </c>
      <c r="C395" s="3">
        <v>5035070</v>
      </c>
      <c r="D395" s="3">
        <v>862500000</v>
      </c>
      <c r="E395" s="3">
        <v>1423318041</v>
      </c>
      <c r="F395" s="3">
        <v>6405843000</v>
      </c>
      <c r="G395" s="3">
        <v>0</v>
      </c>
      <c r="H395" s="3">
        <v>4772116</v>
      </c>
      <c r="I395" s="3">
        <v>0</v>
      </c>
      <c r="J395" s="3">
        <v>0</v>
      </c>
      <c r="K395" s="3">
        <v>0</v>
      </c>
      <c r="L395" s="3">
        <f t="shared" si="12"/>
        <v>8701468227</v>
      </c>
      <c r="M395" s="1">
        <v>-1148247719</v>
      </c>
      <c r="N395" s="1">
        <v>-1028848559</v>
      </c>
      <c r="O395" s="1">
        <v>0</v>
      </c>
      <c r="P395" s="1">
        <v>0</v>
      </c>
      <c r="Q395" s="1">
        <v>0</v>
      </c>
      <c r="R395" s="1">
        <f t="shared" si="13"/>
        <v>6524371949</v>
      </c>
    </row>
    <row r="396" spans="1:18">
      <c r="A396" t="s">
        <v>403</v>
      </c>
      <c r="C396" s="3">
        <v>7735090</v>
      </c>
      <c r="D396" s="3">
        <v>0</v>
      </c>
      <c r="E396" s="3">
        <v>963365364</v>
      </c>
      <c r="F396" s="3">
        <v>5322284400</v>
      </c>
      <c r="G396" s="3">
        <v>71111000</v>
      </c>
      <c r="H396" s="3">
        <v>43043440</v>
      </c>
      <c r="I396" s="3">
        <v>0</v>
      </c>
      <c r="J396" s="3">
        <v>0</v>
      </c>
      <c r="K396" s="3">
        <v>323586300</v>
      </c>
      <c r="L396" s="3">
        <f t="shared" si="12"/>
        <v>6731125594</v>
      </c>
      <c r="M396" s="1">
        <v>-795660822</v>
      </c>
      <c r="N396" s="1">
        <v>-801195194</v>
      </c>
      <c r="O396" s="1">
        <v>-49777700</v>
      </c>
      <c r="P396" s="1">
        <v>0</v>
      </c>
      <c r="Q396" s="1">
        <v>-323586300</v>
      </c>
      <c r="R396" s="1">
        <f t="shared" si="13"/>
        <v>4760905578</v>
      </c>
    </row>
    <row r="397" spans="1:18">
      <c r="A397" t="s">
        <v>404</v>
      </c>
      <c r="C397" s="3">
        <v>1187750</v>
      </c>
      <c r="D397" s="3">
        <v>0</v>
      </c>
      <c r="E397" s="3">
        <v>1355075691</v>
      </c>
      <c r="F397" s="3">
        <v>4735099000</v>
      </c>
      <c r="G397" s="3">
        <v>0</v>
      </c>
      <c r="H397" s="3">
        <v>1943440</v>
      </c>
      <c r="I397" s="3">
        <v>0</v>
      </c>
      <c r="J397" s="3">
        <v>0</v>
      </c>
      <c r="K397" s="3">
        <v>128118750</v>
      </c>
      <c r="L397" s="3">
        <f t="shared" si="12"/>
        <v>6221424631</v>
      </c>
      <c r="M397" s="1">
        <v>-1108763526</v>
      </c>
      <c r="N397" s="1">
        <v>-729053150</v>
      </c>
      <c r="O397" s="1">
        <v>0</v>
      </c>
      <c r="P397" s="1">
        <v>0</v>
      </c>
      <c r="Q397" s="1">
        <v>-127806250</v>
      </c>
      <c r="R397" s="1">
        <f t="shared" si="13"/>
        <v>4255801705</v>
      </c>
    </row>
    <row r="398" spans="1:18">
      <c r="A398" t="s">
        <v>405</v>
      </c>
      <c r="C398" s="3">
        <v>6374795</v>
      </c>
      <c r="D398" s="3">
        <v>119770000</v>
      </c>
      <c r="E398" s="3">
        <v>3606915273</v>
      </c>
      <c r="F398" s="3">
        <v>5717085750</v>
      </c>
      <c r="G398" s="3">
        <v>143833309</v>
      </c>
      <c r="H398" s="3">
        <v>144047648</v>
      </c>
      <c r="I398" s="3">
        <v>0</v>
      </c>
      <c r="J398" s="3">
        <v>40500000</v>
      </c>
      <c r="K398" s="3">
        <v>286857094</v>
      </c>
      <c r="L398" s="3">
        <f t="shared" si="12"/>
        <v>10065383869</v>
      </c>
      <c r="M398" s="1">
        <v>-3310327781</v>
      </c>
      <c r="N398" s="1">
        <v>-825858190</v>
      </c>
      <c r="O398" s="1">
        <v>-64419106</v>
      </c>
      <c r="P398" s="1">
        <v>0</v>
      </c>
      <c r="Q398" s="1">
        <v>-286857094</v>
      </c>
      <c r="R398" s="1">
        <f t="shared" si="13"/>
        <v>5577921698</v>
      </c>
    </row>
    <row r="399" spans="1:18">
      <c r="A399" t="s">
        <v>406</v>
      </c>
      <c r="C399" s="3">
        <v>437400</v>
      </c>
      <c r="D399" s="3">
        <v>1225040000</v>
      </c>
      <c r="E399" s="3">
        <v>1818679144</v>
      </c>
      <c r="F399" s="3">
        <v>4984831113</v>
      </c>
      <c r="G399" s="3">
        <v>212822531</v>
      </c>
      <c r="H399" s="3">
        <v>0</v>
      </c>
      <c r="I399" s="3">
        <v>0</v>
      </c>
      <c r="J399" s="3">
        <v>98780000</v>
      </c>
      <c r="K399" s="3">
        <v>172804737</v>
      </c>
      <c r="L399" s="3">
        <f t="shared" si="12"/>
        <v>8513394925</v>
      </c>
      <c r="M399" s="1">
        <v>-1618105099</v>
      </c>
      <c r="N399" s="1">
        <v>-724864589</v>
      </c>
      <c r="O399" s="1">
        <v>-123893889</v>
      </c>
      <c r="P399" s="1">
        <v>0</v>
      </c>
      <c r="Q399" s="1">
        <v>-172034737</v>
      </c>
      <c r="R399" s="1">
        <f t="shared" si="13"/>
        <v>5874496611</v>
      </c>
    </row>
    <row r="400" spans="1:18">
      <c r="A400" t="s">
        <v>407</v>
      </c>
      <c r="C400" s="3">
        <v>29800</v>
      </c>
      <c r="D400" s="3">
        <v>124524000</v>
      </c>
      <c r="E400" s="3">
        <v>1141064255</v>
      </c>
      <c r="F400" s="3">
        <v>2065013500</v>
      </c>
      <c r="G400" s="3">
        <v>30986000</v>
      </c>
      <c r="H400" s="3">
        <v>13144000</v>
      </c>
      <c r="I400" s="3">
        <v>0</v>
      </c>
      <c r="J400" s="3">
        <v>13000000</v>
      </c>
      <c r="K400" s="3">
        <v>0</v>
      </c>
      <c r="L400" s="3">
        <f t="shared" si="12"/>
        <v>3387761555</v>
      </c>
      <c r="M400" s="1">
        <v>-938049177</v>
      </c>
      <c r="N400" s="1">
        <v>-336402005</v>
      </c>
      <c r="O400" s="1">
        <v>-1280100</v>
      </c>
      <c r="P400" s="1">
        <v>0</v>
      </c>
      <c r="Q400" s="1">
        <v>0</v>
      </c>
      <c r="R400" s="1">
        <f t="shared" si="13"/>
        <v>2112030273</v>
      </c>
    </row>
    <row r="401" spans="1:18">
      <c r="A401" t="s">
        <v>408</v>
      </c>
      <c r="C401" s="3">
        <v>4819000</v>
      </c>
      <c r="D401" s="3">
        <v>317756000</v>
      </c>
      <c r="E401" s="3">
        <v>1276254372</v>
      </c>
      <c r="F401" s="3">
        <v>1178843005</v>
      </c>
      <c r="G401" s="3">
        <v>47956000</v>
      </c>
      <c r="H401" s="3">
        <v>26010750</v>
      </c>
      <c r="I401" s="3">
        <v>0</v>
      </c>
      <c r="J401" s="3">
        <v>0</v>
      </c>
      <c r="K401" s="3">
        <v>24832601</v>
      </c>
      <c r="L401" s="3">
        <f t="shared" si="12"/>
        <v>2876471728</v>
      </c>
      <c r="M401" s="1">
        <v>-1073066781</v>
      </c>
      <c r="N401" s="1">
        <v>-147133081</v>
      </c>
      <c r="O401" s="1">
        <v>-22683865</v>
      </c>
      <c r="P401" s="1">
        <v>0</v>
      </c>
      <c r="Q401" s="1">
        <v>-24832601</v>
      </c>
      <c r="R401" s="1">
        <f t="shared" si="13"/>
        <v>1608755400</v>
      </c>
    </row>
    <row r="402" spans="1:18">
      <c r="A402" t="s">
        <v>409</v>
      </c>
      <c r="C402" s="3">
        <v>3567120</v>
      </c>
      <c r="D402" s="3">
        <v>0</v>
      </c>
      <c r="E402" s="3">
        <v>944323142</v>
      </c>
      <c r="F402" s="3">
        <v>1991056355</v>
      </c>
      <c r="G402" s="3">
        <v>50585000</v>
      </c>
      <c r="H402" s="3">
        <v>80854000</v>
      </c>
      <c r="I402" s="3">
        <v>0</v>
      </c>
      <c r="J402" s="3">
        <v>13000000</v>
      </c>
      <c r="K402" s="3">
        <v>90000</v>
      </c>
      <c r="L402" s="3">
        <f t="shared" si="12"/>
        <v>3083475617</v>
      </c>
      <c r="M402" s="1">
        <v>-868858764</v>
      </c>
      <c r="N402" s="1">
        <v>-314761964</v>
      </c>
      <c r="O402" s="1">
        <v>-10998500</v>
      </c>
      <c r="P402" s="1">
        <v>0</v>
      </c>
      <c r="Q402" s="1">
        <v>-90000</v>
      </c>
      <c r="R402" s="1">
        <f t="shared" si="13"/>
        <v>1888766389</v>
      </c>
    </row>
    <row r="403" spans="1:18">
      <c r="A403" t="s">
        <v>410</v>
      </c>
      <c r="C403" s="3">
        <v>1132250</v>
      </c>
      <c r="D403" s="3">
        <v>0</v>
      </c>
      <c r="E403" s="3">
        <v>1137065926</v>
      </c>
      <c r="F403" s="3">
        <v>1465588000</v>
      </c>
      <c r="G403" s="3">
        <v>13120000</v>
      </c>
      <c r="H403" s="3">
        <v>3716678</v>
      </c>
      <c r="I403" s="3">
        <v>0</v>
      </c>
      <c r="J403" s="3">
        <v>20750000</v>
      </c>
      <c r="K403" s="3">
        <v>0</v>
      </c>
      <c r="L403" s="3">
        <f t="shared" si="12"/>
        <v>2641372854</v>
      </c>
      <c r="M403" s="1">
        <v>-968207113</v>
      </c>
      <c r="N403" s="1">
        <v>-240662040</v>
      </c>
      <c r="O403" s="1">
        <v>-5470000</v>
      </c>
      <c r="P403" s="1">
        <v>0</v>
      </c>
      <c r="Q403" s="1">
        <v>0</v>
      </c>
      <c r="R403" s="1">
        <f t="shared" si="13"/>
        <v>1427033701</v>
      </c>
    </row>
    <row r="404" spans="1:18">
      <c r="A404" t="s">
        <v>411</v>
      </c>
      <c r="C404" s="3">
        <v>3570800</v>
      </c>
      <c r="D404" s="3">
        <v>389654679</v>
      </c>
      <c r="E404" s="3">
        <v>1807615467</v>
      </c>
      <c r="F404" s="3">
        <v>2968129000</v>
      </c>
      <c r="G404" s="3">
        <v>240282000</v>
      </c>
      <c r="H404" s="3">
        <v>5332118</v>
      </c>
      <c r="I404" s="3">
        <v>0</v>
      </c>
      <c r="J404" s="3">
        <v>0</v>
      </c>
      <c r="K404" s="3">
        <v>165044500</v>
      </c>
      <c r="L404" s="3">
        <f t="shared" si="12"/>
        <v>5579628564</v>
      </c>
      <c r="M404" s="1">
        <v>-1527800674</v>
      </c>
      <c r="N404" s="1">
        <v>-358841758</v>
      </c>
      <c r="O404" s="1">
        <v>-91796700</v>
      </c>
      <c r="P404" s="1">
        <v>0</v>
      </c>
      <c r="Q404" s="1">
        <v>-165044500</v>
      </c>
      <c r="R404" s="1">
        <f t="shared" si="13"/>
        <v>3436144932</v>
      </c>
    </row>
    <row r="405" spans="1:18">
      <c r="A405" t="s">
        <v>412</v>
      </c>
      <c r="C405" s="3">
        <v>19647766</v>
      </c>
      <c r="D405" s="3">
        <v>17308895683</v>
      </c>
      <c r="E405" s="3">
        <v>3620597732</v>
      </c>
      <c r="F405" s="3">
        <v>10934292400</v>
      </c>
      <c r="G405" s="3">
        <v>182344745</v>
      </c>
      <c r="H405" s="3">
        <v>115028456</v>
      </c>
      <c r="I405" s="3">
        <v>0</v>
      </c>
      <c r="J405" s="3">
        <v>0</v>
      </c>
      <c r="K405" s="3">
        <v>0</v>
      </c>
      <c r="L405" s="3">
        <f t="shared" si="12"/>
        <v>32180806782</v>
      </c>
      <c r="M405" s="1">
        <v>-3323329754</v>
      </c>
      <c r="N405" s="1">
        <v>-8200270150</v>
      </c>
      <c r="O405" s="1">
        <v>-19651853</v>
      </c>
      <c r="P405" s="1">
        <v>0</v>
      </c>
      <c r="Q405" s="1">
        <v>0</v>
      </c>
      <c r="R405" s="1">
        <f t="shared" si="13"/>
        <v>20637555025</v>
      </c>
    </row>
    <row r="406" spans="1:18">
      <c r="A406" t="s">
        <v>413</v>
      </c>
      <c r="C406" s="3">
        <v>2616000</v>
      </c>
      <c r="D406" s="3">
        <v>15975680000</v>
      </c>
      <c r="E406" s="3">
        <v>4311285185</v>
      </c>
      <c r="F406" s="3">
        <v>4595397800</v>
      </c>
      <c r="G406" s="3">
        <v>113902000</v>
      </c>
      <c r="H406" s="3">
        <v>42343827</v>
      </c>
      <c r="I406" s="3">
        <v>0</v>
      </c>
      <c r="J406" s="3">
        <v>85248310</v>
      </c>
      <c r="K406" s="3">
        <v>0</v>
      </c>
      <c r="L406" s="3">
        <f t="shared" si="12"/>
        <v>25126473122</v>
      </c>
      <c r="M406" s="1">
        <v>-3740733319</v>
      </c>
      <c r="N406" s="1">
        <v>-2041193618</v>
      </c>
      <c r="O406" s="1">
        <v>-60174700</v>
      </c>
      <c r="P406" s="1">
        <v>0</v>
      </c>
      <c r="Q406" s="1">
        <v>0</v>
      </c>
      <c r="R406" s="1">
        <f t="shared" si="13"/>
        <v>19284371485</v>
      </c>
    </row>
    <row r="407" spans="1:18">
      <c r="A407" t="s">
        <v>414</v>
      </c>
      <c r="C407" s="3">
        <v>3598000</v>
      </c>
      <c r="D407" s="3">
        <v>2149672800</v>
      </c>
      <c r="E407" s="3">
        <v>1300957004</v>
      </c>
      <c r="F407" s="3">
        <v>2191442000</v>
      </c>
      <c r="G407" s="3">
        <v>0</v>
      </c>
      <c r="H407" s="3">
        <v>32618060</v>
      </c>
      <c r="I407" s="3">
        <v>0</v>
      </c>
      <c r="J407" s="3">
        <v>40854200</v>
      </c>
      <c r="K407" s="3">
        <v>0</v>
      </c>
      <c r="L407" s="3">
        <f t="shared" si="12"/>
        <v>5719142064</v>
      </c>
      <c r="M407" s="1">
        <v>-1203277494</v>
      </c>
      <c r="N407" s="1">
        <v>-584334732</v>
      </c>
      <c r="O407" s="1">
        <v>0</v>
      </c>
      <c r="P407" s="1">
        <v>0</v>
      </c>
      <c r="Q407" s="1">
        <v>0</v>
      </c>
      <c r="R407" s="1">
        <f t="shared" si="13"/>
        <v>3931529838</v>
      </c>
    </row>
    <row r="408" spans="1:18">
      <c r="A408" t="s">
        <v>415</v>
      </c>
      <c r="C408" s="3">
        <v>215000</v>
      </c>
      <c r="D408" s="3">
        <v>6553672000</v>
      </c>
      <c r="E408" s="3">
        <v>2099618323</v>
      </c>
      <c r="F408" s="3">
        <v>628848130</v>
      </c>
      <c r="G408" s="3">
        <v>179896000</v>
      </c>
      <c r="H408" s="3">
        <v>4628440</v>
      </c>
      <c r="I408" s="3">
        <v>0</v>
      </c>
      <c r="J408" s="3">
        <v>34720000</v>
      </c>
      <c r="K408" s="3">
        <v>0</v>
      </c>
      <c r="L408" s="3">
        <f t="shared" si="12"/>
        <v>9501597893</v>
      </c>
      <c r="M408" s="1">
        <v>-1993035032</v>
      </c>
      <c r="N408" s="1">
        <v>-489919155</v>
      </c>
      <c r="O408" s="1">
        <v>-6748700</v>
      </c>
      <c r="P408" s="1">
        <v>0</v>
      </c>
      <c r="Q408" s="1">
        <v>0</v>
      </c>
      <c r="R408" s="1">
        <f t="shared" si="13"/>
        <v>7011895006</v>
      </c>
    </row>
    <row r="409" spans="1:18">
      <c r="A409" t="s">
        <v>416</v>
      </c>
      <c r="C409" s="3">
        <v>0</v>
      </c>
      <c r="D409" s="3">
        <v>1164639000</v>
      </c>
      <c r="E409" s="3">
        <v>1106629854</v>
      </c>
      <c r="F409" s="3">
        <v>2267452450</v>
      </c>
      <c r="G409" s="3">
        <v>0</v>
      </c>
      <c r="H409" s="3">
        <v>1951181</v>
      </c>
      <c r="I409" s="3">
        <v>0</v>
      </c>
      <c r="J409" s="3">
        <v>0</v>
      </c>
      <c r="K409" s="3">
        <v>0</v>
      </c>
      <c r="L409" s="3">
        <f t="shared" si="12"/>
        <v>4540672485</v>
      </c>
      <c r="M409" s="1">
        <v>-938958084</v>
      </c>
      <c r="N409" s="1">
        <v>-1589874204</v>
      </c>
      <c r="O409" s="1">
        <v>0</v>
      </c>
      <c r="P409" s="1">
        <v>0</v>
      </c>
      <c r="Q409" s="1">
        <v>0</v>
      </c>
      <c r="R409" s="1">
        <f t="shared" si="13"/>
        <v>2011840197</v>
      </c>
    </row>
    <row r="410" spans="1:18">
      <c r="A410" t="s">
        <v>417</v>
      </c>
      <c r="C410" s="3">
        <v>1441110</v>
      </c>
      <c r="D410" s="3">
        <v>1755420000</v>
      </c>
      <c r="E410" s="3">
        <v>2034703928</v>
      </c>
      <c r="F410" s="3">
        <v>5589825946</v>
      </c>
      <c r="G410" s="3">
        <v>100050000</v>
      </c>
      <c r="H410" s="3">
        <v>118184541</v>
      </c>
      <c r="I410" s="3">
        <v>5577956442</v>
      </c>
      <c r="J410" s="3">
        <v>0</v>
      </c>
      <c r="K410" s="3">
        <v>146812327</v>
      </c>
      <c r="L410" s="3">
        <f t="shared" si="12"/>
        <v>15324394294</v>
      </c>
      <c r="M410" s="1">
        <v>-1586232736</v>
      </c>
      <c r="N410" s="1">
        <v>-3828250393</v>
      </c>
      <c r="O410" s="1">
        <v>-11599377</v>
      </c>
      <c r="P410" s="1">
        <v>0</v>
      </c>
      <c r="Q410" s="1">
        <v>-143340327</v>
      </c>
      <c r="R410" s="1">
        <f t="shared" si="13"/>
        <v>9754971461</v>
      </c>
    </row>
    <row r="411" spans="1:18">
      <c r="A411" t="s">
        <v>418</v>
      </c>
      <c r="C411" s="3">
        <v>2093000</v>
      </c>
      <c r="D411" s="3">
        <v>2213745000</v>
      </c>
      <c r="E411" s="3">
        <v>1965081412</v>
      </c>
      <c r="F411" s="3">
        <v>2472250000</v>
      </c>
      <c r="G411" s="3">
        <v>14500000</v>
      </c>
      <c r="H411" s="3">
        <v>4798000</v>
      </c>
      <c r="I411" s="3">
        <v>0</v>
      </c>
      <c r="J411" s="3">
        <v>37620000</v>
      </c>
      <c r="K411" s="3">
        <v>0</v>
      </c>
      <c r="L411" s="3">
        <f t="shared" si="12"/>
        <v>6710087412</v>
      </c>
      <c r="M411" s="1">
        <v>-1824054512</v>
      </c>
      <c r="N411" s="1">
        <v>-1593750000</v>
      </c>
      <c r="O411" s="1">
        <v>-14340000</v>
      </c>
      <c r="P411" s="1">
        <v>0</v>
      </c>
      <c r="Q411" s="1">
        <v>0</v>
      </c>
      <c r="R411" s="1">
        <f t="shared" si="13"/>
        <v>3277942900</v>
      </c>
    </row>
    <row r="412" spans="1:18">
      <c r="A412" t="s">
        <v>419</v>
      </c>
      <c r="C412" s="3">
        <v>263057</v>
      </c>
      <c r="D412" s="3">
        <v>3093542000</v>
      </c>
      <c r="E412" s="3">
        <v>1772319525</v>
      </c>
      <c r="F412" s="3">
        <v>2802930000</v>
      </c>
      <c r="G412" s="3">
        <v>0</v>
      </c>
      <c r="H412" s="3">
        <v>10934440</v>
      </c>
      <c r="I412" s="3">
        <v>3360690500</v>
      </c>
      <c r="J412" s="3">
        <v>0</v>
      </c>
      <c r="K412" s="3">
        <v>0</v>
      </c>
      <c r="L412" s="3">
        <f t="shared" si="12"/>
        <v>11040679522</v>
      </c>
      <c r="M412" s="1">
        <v>-1589170292</v>
      </c>
      <c r="N412" s="1">
        <v>-1699958990</v>
      </c>
      <c r="O412" s="1">
        <v>0</v>
      </c>
      <c r="P412" s="1">
        <v>0</v>
      </c>
      <c r="Q412" s="1">
        <v>0</v>
      </c>
      <c r="R412" s="1">
        <f t="shared" si="13"/>
        <v>7751550240</v>
      </c>
    </row>
    <row r="413" spans="1:18">
      <c r="A413" t="s">
        <v>420</v>
      </c>
      <c r="C413" s="3">
        <v>9687999</v>
      </c>
      <c r="D413" s="3">
        <v>6586504000</v>
      </c>
      <c r="E413" s="3">
        <v>3078822594</v>
      </c>
      <c r="F413" s="3">
        <v>4469909700</v>
      </c>
      <c r="G413" s="3">
        <v>0</v>
      </c>
      <c r="H413" s="3">
        <v>66334050</v>
      </c>
      <c r="I413" s="3">
        <v>0</v>
      </c>
      <c r="J413" s="3">
        <v>30300000</v>
      </c>
      <c r="K413" s="3">
        <v>22811000</v>
      </c>
      <c r="L413" s="3">
        <f t="shared" si="12"/>
        <v>14264369343</v>
      </c>
      <c r="M413" s="1">
        <v>-2892875909</v>
      </c>
      <c r="N413" s="1">
        <v>-943259214</v>
      </c>
      <c r="O413" s="1">
        <v>0</v>
      </c>
      <c r="P413" s="1">
        <v>0</v>
      </c>
      <c r="Q413" s="1">
        <v>-22811000</v>
      </c>
      <c r="R413" s="1">
        <f t="shared" si="13"/>
        <v>10405423220</v>
      </c>
    </row>
    <row r="414" spans="1:18">
      <c r="A414" t="s">
        <v>421</v>
      </c>
      <c r="C414" s="3">
        <v>4705000</v>
      </c>
      <c r="D414" s="3">
        <v>863400000</v>
      </c>
      <c r="E414" s="3">
        <v>1640602916</v>
      </c>
      <c r="F414" s="3">
        <v>3151785000</v>
      </c>
      <c r="G414" s="3">
        <v>140000</v>
      </c>
      <c r="H414" s="3">
        <v>5846500</v>
      </c>
      <c r="I414" s="3">
        <v>0</v>
      </c>
      <c r="J414" s="3">
        <v>29548617</v>
      </c>
      <c r="K414" s="3">
        <v>43018181</v>
      </c>
      <c r="L414" s="3">
        <f t="shared" si="12"/>
        <v>5739046214</v>
      </c>
      <c r="M414" s="1">
        <v>-1344370176</v>
      </c>
      <c r="N414" s="1">
        <v>-230276677</v>
      </c>
      <c r="O414" s="1">
        <v>-63000</v>
      </c>
      <c r="P414" s="1">
        <v>0</v>
      </c>
      <c r="Q414" s="1">
        <v>-33268181</v>
      </c>
      <c r="R414" s="1">
        <f t="shared" si="13"/>
        <v>4131068180</v>
      </c>
    </row>
    <row r="415" spans="1:18">
      <c r="A415" t="s">
        <v>422</v>
      </c>
      <c r="C415" s="3">
        <v>597000</v>
      </c>
      <c r="D415" s="3">
        <v>266910000</v>
      </c>
      <c r="E415" s="3">
        <v>908331315</v>
      </c>
      <c r="F415" s="3">
        <v>2232225000</v>
      </c>
      <c r="G415" s="3">
        <v>113085209</v>
      </c>
      <c r="H415" s="3">
        <v>9738400</v>
      </c>
      <c r="I415" s="3">
        <v>0</v>
      </c>
      <c r="J415" s="3">
        <v>0</v>
      </c>
      <c r="K415" s="3">
        <v>7030000</v>
      </c>
      <c r="L415" s="3">
        <f t="shared" si="12"/>
        <v>3537916924</v>
      </c>
      <c r="M415" s="1">
        <v>-778437881</v>
      </c>
      <c r="N415" s="1">
        <v>-288370870</v>
      </c>
      <c r="O415" s="1">
        <v>-72570773</v>
      </c>
      <c r="P415" s="1">
        <v>0</v>
      </c>
      <c r="Q415" s="1">
        <v>-6733000</v>
      </c>
      <c r="R415" s="1">
        <f t="shared" si="13"/>
        <v>2391804400</v>
      </c>
    </row>
    <row r="416" spans="1:18">
      <c r="A416" t="s">
        <v>423</v>
      </c>
      <c r="C416" s="3">
        <v>5652250</v>
      </c>
      <c r="D416" s="3">
        <v>1712402600</v>
      </c>
      <c r="E416" s="3">
        <v>1313910246</v>
      </c>
      <c r="F416" s="3">
        <v>5808412955</v>
      </c>
      <c r="G416" s="3">
        <v>11600000</v>
      </c>
      <c r="H416" s="3">
        <v>60966450</v>
      </c>
      <c r="I416" s="3">
        <v>0</v>
      </c>
      <c r="J416" s="3">
        <v>13000000</v>
      </c>
      <c r="K416" s="3">
        <v>146000</v>
      </c>
      <c r="L416" s="3">
        <f t="shared" si="12"/>
        <v>8926090501</v>
      </c>
      <c r="M416" s="1">
        <v>-1023939233</v>
      </c>
      <c r="N416" s="1">
        <v>-506802768</v>
      </c>
      <c r="O416" s="1">
        <v>-7787500</v>
      </c>
      <c r="P416" s="1">
        <v>0</v>
      </c>
      <c r="Q416" s="1">
        <v>-146000</v>
      </c>
      <c r="R416" s="1">
        <f t="shared" si="13"/>
        <v>7387415000</v>
      </c>
    </row>
    <row r="417" spans="1:18">
      <c r="A417" t="s">
        <v>424</v>
      </c>
      <c r="C417" s="3">
        <v>1094900</v>
      </c>
      <c r="D417" s="3">
        <v>733206000</v>
      </c>
      <c r="E417" s="3">
        <v>1036014990</v>
      </c>
      <c r="F417" s="3">
        <v>5131600400</v>
      </c>
      <c r="G417" s="3">
        <v>0</v>
      </c>
      <c r="H417" s="3">
        <v>3266679</v>
      </c>
      <c r="I417" s="3">
        <v>0</v>
      </c>
      <c r="J417" s="3">
        <v>0</v>
      </c>
      <c r="K417" s="3">
        <v>0</v>
      </c>
      <c r="L417" s="3">
        <f t="shared" si="12"/>
        <v>6905182969</v>
      </c>
      <c r="M417" s="1">
        <v>-913846858</v>
      </c>
      <c r="N417" s="1">
        <v>-918651505</v>
      </c>
      <c r="O417" s="1">
        <v>0</v>
      </c>
      <c r="P417" s="1">
        <v>0</v>
      </c>
      <c r="Q417" s="1">
        <v>0</v>
      </c>
      <c r="R417" s="1">
        <f t="shared" si="13"/>
        <v>5072684606</v>
      </c>
    </row>
    <row r="418" spans="1:18">
      <c r="A418" t="s">
        <v>425</v>
      </c>
      <c r="C418" s="3">
        <v>8871050</v>
      </c>
      <c r="D418" s="3">
        <v>1250000000</v>
      </c>
      <c r="E418" s="3">
        <v>1225064883</v>
      </c>
      <c r="F418" s="3">
        <v>532204000</v>
      </c>
      <c r="G418" s="3">
        <v>0</v>
      </c>
      <c r="H418" s="3">
        <v>6176678</v>
      </c>
      <c r="I418" s="3">
        <v>0</v>
      </c>
      <c r="J418" s="3">
        <v>15000000</v>
      </c>
      <c r="K418" s="3">
        <v>0</v>
      </c>
      <c r="L418" s="3">
        <f t="shared" si="12"/>
        <v>3037316611</v>
      </c>
      <c r="M418" s="1">
        <v>-1097048349</v>
      </c>
      <c r="N418" s="1">
        <v>-249895040</v>
      </c>
      <c r="O418" s="1">
        <v>0</v>
      </c>
      <c r="P418" s="1">
        <v>0</v>
      </c>
      <c r="Q418" s="1">
        <v>0</v>
      </c>
      <c r="R418" s="1">
        <f t="shared" si="13"/>
        <v>1690373222</v>
      </c>
    </row>
    <row r="419" spans="1:18">
      <c r="A419" t="s">
        <v>426</v>
      </c>
      <c r="C419" s="3">
        <v>175000</v>
      </c>
      <c r="D419" s="3">
        <v>982750000</v>
      </c>
      <c r="E419" s="3">
        <v>976233760</v>
      </c>
      <c r="F419" s="3">
        <v>4311524500</v>
      </c>
      <c r="G419" s="3">
        <v>0</v>
      </c>
      <c r="H419" s="3">
        <v>2828678</v>
      </c>
      <c r="I419" s="3">
        <v>0</v>
      </c>
      <c r="J419" s="3">
        <v>0</v>
      </c>
      <c r="K419" s="3">
        <v>3007000</v>
      </c>
      <c r="L419" s="3">
        <f t="shared" si="12"/>
        <v>6276518938</v>
      </c>
      <c r="M419" s="1">
        <v>-866854679</v>
      </c>
      <c r="N419" s="1">
        <v>-422063385</v>
      </c>
      <c r="O419" s="1">
        <v>0</v>
      </c>
      <c r="P419" s="1">
        <v>0</v>
      </c>
      <c r="Q419" s="1">
        <v>-3007000</v>
      </c>
      <c r="R419" s="1">
        <f t="shared" si="13"/>
        <v>4984593874</v>
      </c>
    </row>
    <row r="420" spans="1:18">
      <c r="A420" t="s">
        <v>427</v>
      </c>
      <c r="C420" s="3">
        <v>188700</v>
      </c>
      <c r="D420" s="3">
        <v>1252700000</v>
      </c>
      <c r="E420" s="3">
        <v>1317428003</v>
      </c>
      <c r="F420" s="3">
        <v>1397908000</v>
      </c>
      <c r="G420" s="3">
        <v>19900000</v>
      </c>
      <c r="H420" s="3">
        <v>4514501</v>
      </c>
      <c r="I420" s="3">
        <v>0</v>
      </c>
      <c r="J420" s="3">
        <v>0</v>
      </c>
      <c r="K420" s="3">
        <v>13793000</v>
      </c>
      <c r="L420" s="3">
        <f t="shared" si="12"/>
        <v>4006432204</v>
      </c>
      <c r="M420" s="1">
        <v>-1161010952</v>
      </c>
      <c r="N420" s="1">
        <v>-308619304</v>
      </c>
      <c r="O420" s="1">
        <v>-2238750</v>
      </c>
      <c r="P420" s="1">
        <v>0</v>
      </c>
      <c r="Q420" s="1">
        <v>-13793000</v>
      </c>
      <c r="R420" s="1">
        <f t="shared" si="13"/>
        <v>2520770198</v>
      </c>
    </row>
    <row r="421" spans="1:18">
      <c r="A421" t="s">
        <v>428</v>
      </c>
      <c r="C421" s="3">
        <v>2952253</v>
      </c>
      <c r="D421" s="3">
        <v>2088628400</v>
      </c>
      <c r="E421" s="3">
        <v>1945812579</v>
      </c>
      <c r="F421" s="3">
        <v>15195540000</v>
      </c>
      <c r="G421" s="3">
        <v>130800000</v>
      </c>
      <c r="H421" s="3">
        <v>105332000</v>
      </c>
      <c r="I421" s="3">
        <v>0</v>
      </c>
      <c r="J421" s="3">
        <v>0</v>
      </c>
      <c r="K421" s="3">
        <v>22372355</v>
      </c>
      <c r="L421" s="3">
        <f t="shared" si="12"/>
        <v>19491437587</v>
      </c>
      <c r="M421" s="1">
        <v>-1706575733</v>
      </c>
      <c r="N421" s="1">
        <v>-2908824476</v>
      </c>
      <c r="O421" s="1">
        <v>-11445000</v>
      </c>
      <c r="P421" s="1">
        <v>0</v>
      </c>
      <c r="Q421" s="1">
        <v>-22147355</v>
      </c>
      <c r="R421" s="1">
        <f t="shared" si="13"/>
        <v>14842445023</v>
      </c>
    </row>
    <row r="422" spans="1:18">
      <c r="A422" t="s">
        <v>429</v>
      </c>
      <c r="C422" s="3">
        <v>568000</v>
      </c>
      <c r="D422" s="3">
        <v>1147797490</v>
      </c>
      <c r="E422" s="3">
        <v>2446214034</v>
      </c>
      <c r="F422" s="3">
        <v>9444747500</v>
      </c>
      <c r="G422" s="3">
        <v>0</v>
      </c>
      <c r="H422" s="3">
        <v>0</v>
      </c>
      <c r="I422" s="3">
        <v>0</v>
      </c>
      <c r="J422" s="3">
        <v>75302000</v>
      </c>
      <c r="K422" s="3">
        <v>0</v>
      </c>
      <c r="L422" s="3">
        <f t="shared" si="12"/>
        <v>13114629024</v>
      </c>
      <c r="M422" s="1">
        <v>-1463455290</v>
      </c>
      <c r="N422" s="1">
        <v>-283342425</v>
      </c>
      <c r="O422" s="1">
        <v>0</v>
      </c>
      <c r="P422" s="1">
        <v>0</v>
      </c>
      <c r="Q422" s="1">
        <v>0</v>
      </c>
      <c r="R422" s="1">
        <f t="shared" si="13"/>
        <v>11367831309</v>
      </c>
    </row>
    <row r="423" spans="1:18">
      <c r="A423" t="s">
        <v>430</v>
      </c>
      <c r="C423" s="3">
        <v>129000</v>
      </c>
      <c r="D423" s="3">
        <v>1538004000</v>
      </c>
      <c r="E423" s="3">
        <v>1530053151</v>
      </c>
      <c r="F423" s="3">
        <v>188100000</v>
      </c>
      <c r="G423" s="3">
        <v>0</v>
      </c>
      <c r="H423" s="3">
        <v>4772118</v>
      </c>
      <c r="I423" s="3">
        <v>9780904400</v>
      </c>
      <c r="J423" s="3">
        <v>60275000</v>
      </c>
      <c r="K423" s="3">
        <v>12066500</v>
      </c>
      <c r="L423" s="3">
        <f t="shared" si="12"/>
        <v>13114304169</v>
      </c>
      <c r="M423" s="1">
        <v>-839050361</v>
      </c>
      <c r="N423" s="1">
        <v>-139194000</v>
      </c>
      <c r="O423" s="1">
        <v>0</v>
      </c>
      <c r="P423" s="1">
        <v>0</v>
      </c>
      <c r="Q423" s="1">
        <v>-12066500</v>
      </c>
      <c r="R423" s="1">
        <f t="shared" si="13"/>
        <v>12123993308</v>
      </c>
    </row>
    <row r="424" spans="1:18">
      <c r="A424" t="s">
        <v>431</v>
      </c>
      <c r="C424" s="3">
        <v>67549050</v>
      </c>
      <c r="D424" s="3">
        <v>884230400</v>
      </c>
      <c r="E424" s="3">
        <v>853976499</v>
      </c>
      <c r="F424" s="3">
        <v>8892859142</v>
      </c>
      <c r="G424" s="3">
        <v>0</v>
      </c>
      <c r="H424" s="3">
        <v>0</v>
      </c>
      <c r="I424" s="3">
        <v>975881908</v>
      </c>
      <c r="J424" s="3">
        <v>0</v>
      </c>
      <c r="K424" s="3">
        <v>0</v>
      </c>
      <c r="L424" s="3">
        <f t="shared" si="12"/>
        <v>11674496999</v>
      </c>
      <c r="M424" s="1">
        <v>-320647756</v>
      </c>
      <c r="N424" s="1">
        <v>-568133935</v>
      </c>
      <c r="O424" s="1">
        <v>0</v>
      </c>
      <c r="P424" s="1">
        <v>0</v>
      </c>
      <c r="Q424" s="1">
        <v>0</v>
      </c>
      <c r="R424" s="1">
        <f t="shared" si="13"/>
        <v>10785715308</v>
      </c>
    </row>
    <row r="425" spans="1:18">
      <c r="A425" t="s">
        <v>432</v>
      </c>
      <c r="C425" s="3">
        <v>19480650</v>
      </c>
      <c r="D425" s="3">
        <v>2855779800</v>
      </c>
      <c r="E425" s="3">
        <v>2976275844</v>
      </c>
      <c r="F425" s="3">
        <v>12300445384</v>
      </c>
      <c r="G425" s="3">
        <v>7618000</v>
      </c>
      <c r="H425" s="3">
        <v>4772118</v>
      </c>
      <c r="I425" s="3">
        <v>0</v>
      </c>
      <c r="J425" s="3">
        <v>10567500</v>
      </c>
      <c r="K425" s="3">
        <v>4730000</v>
      </c>
      <c r="L425" s="3">
        <f t="shared" si="12"/>
        <v>18179669296</v>
      </c>
      <c r="M425" s="1">
        <v>-2721291576</v>
      </c>
      <c r="N425" s="1">
        <v>-2849454945</v>
      </c>
      <c r="O425" s="1">
        <v>-5866900</v>
      </c>
      <c r="P425" s="1">
        <v>0</v>
      </c>
      <c r="Q425" s="1">
        <v>-4730000</v>
      </c>
      <c r="R425" s="1">
        <f t="shared" si="13"/>
        <v>12598325875</v>
      </c>
    </row>
    <row r="426" spans="1:18">
      <c r="A426" t="s">
        <v>433</v>
      </c>
      <c r="C426" s="3">
        <v>1985000</v>
      </c>
      <c r="D426" s="3">
        <v>3693134500</v>
      </c>
      <c r="E426" s="3">
        <v>1870745644</v>
      </c>
      <c r="F426" s="3">
        <v>8668066412</v>
      </c>
      <c r="G426" s="3">
        <v>141112500</v>
      </c>
      <c r="H426" s="3">
        <v>10422118</v>
      </c>
      <c r="I426" s="3">
        <v>0</v>
      </c>
      <c r="J426" s="3">
        <v>8112500</v>
      </c>
      <c r="K426" s="3">
        <v>258178500</v>
      </c>
      <c r="L426" s="3">
        <f t="shared" si="12"/>
        <v>14651757174</v>
      </c>
      <c r="M426" s="1">
        <v>-1810793842</v>
      </c>
      <c r="N426" s="1">
        <v>-5658612524</v>
      </c>
      <c r="O426" s="1">
        <v>-105834375</v>
      </c>
      <c r="P426" s="1">
        <v>0</v>
      </c>
      <c r="Q426" s="1">
        <v>-261903500</v>
      </c>
      <c r="R426" s="1">
        <f t="shared" si="13"/>
        <v>6814612933</v>
      </c>
    </row>
    <row r="427" spans="1:18">
      <c r="A427" t="s">
        <v>434</v>
      </c>
      <c r="C427" s="3">
        <v>429000</v>
      </c>
      <c r="D427" s="3">
        <v>1595505100</v>
      </c>
      <c r="E427" s="3">
        <v>1816859192</v>
      </c>
      <c r="F427" s="3">
        <v>4791390000</v>
      </c>
      <c r="G427" s="3">
        <v>124550000</v>
      </c>
      <c r="H427" s="3">
        <v>29772118</v>
      </c>
      <c r="I427" s="3">
        <v>0</v>
      </c>
      <c r="J427" s="3">
        <v>0</v>
      </c>
      <c r="K427" s="3">
        <v>526456600</v>
      </c>
      <c r="L427" s="3">
        <f t="shared" si="12"/>
        <v>8884962010</v>
      </c>
      <c r="M427" s="1">
        <v>-1477145509</v>
      </c>
      <c r="N427" s="1">
        <v>-3235134950</v>
      </c>
      <c r="O427" s="1">
        <v>-14578125</v>
      </c>
      <c r="P427" s="1">
        <v>-25000000</v>
      </c>
      <c r="Q427" s="1">
        <v>-411304600</v>
      </c>
      <c r="R427" s="1">
        <f t="shared" si="13"/>
        <v>3721798826</v>
      </c>
    </row>
    <row r="428" spans="1:18">
      <c r="A428" t="s">
        <v>435</v>
      </c>
      <c r="C428" s="3">
        <v>6300487</v>
      </c>
      <c r="D428" s="3">
        <v>6226910000</v>
      </c>
      <c r="E428" s="3">
        <v>4291566414</v>
      </c>
      <c r="F428" s="3">
        <v>8373236960</v>
      </c>
      <c r="G428" s="3">
        <v>988414370</v>
      </c>
      <c r="H428" s="3">
        <v>4772118</v>
      </c>
      <c r="I428" s="3">
        <v>0</v>
      </c>
      <c r="J428" s="3">
        <v>0</v>
      </c>
      <c r="K428" s="3">
        <v>0</v>
      </c>
      <c r="L428" s="3">
        <f t="shared" si="12"/>
        <v>19891200349</v>
      </c>
      <c r="M428" s="1">
        <v>-3856171419</v>
      </c>
      <c r="N428" s="1">
        <v>-3984953535</v>
      </c>
      <c r="O428" s="1">
        <v>-533679803</v>
      </c>
      <c r="P428" s="1">
        <v>0</v>
      </c>
      <c r="Q428" s="1">
        <v>0</v>
      </c>
      <c r="R428" s="1">
        <f t="shared" si="13"/>
        <v>11516395592</v>
      </c>
    </row>
    <row r="429" spans="1:18">
      <c r="A429" t="s">
        <v>436</v>
      </c>
      <c r="C429" s="3">
        <v>11156600</v>
      </c>
      <c r="D429" s="3">
        <v>2501691714</v>
      </c>
      <c r="E429" s="3">
        <v>2197634296</v>
      </c>
      <c r="F429" s="3">
        <v>9320009239</v>
      </c>
      <c r="G429" s="3">
        <v>788545495</v>
      </c>
      <c r="H429" s="3">
        <v>4772118</v>
      </c>
      <c r="I429" s="3">
        <v>0</v>
      </c>
      <c r="J429" s="3">
        <v>0</v>
      </c>
      <c r="K429" s="3">
        <v>183934648</v>
      </c>
      <c r="L429" s="3">
        <f t="shared" si="12"/>
        <v>15007744110</v>
      </c>
      <c r="M429" s="1">
        <v>-2086531412</v>
      </c>
      <c r="N429" s="1">
        <v>-4036415712</v>
      </c>
      <c r="O429" s="1">
        <v>-183224983</v>
      </c>
      <c r="P429" s="1">
        <v>0</v>
      </c>
      <c r="Q429" s="1">
        <v>-183934648</v>
      </c>
      <c r="R429" s="1">
        <f t="shared" si="13"/>
        <v>8517637355</v>
      </c>
    </row>
    <row r="430" spans="1:18">
      <c r="A430" t="s">
        <v>437</v>
      </c>
      <c r="C430" s="3">
        <v>25376200</v>
      </c>
      <c r="D430" s="3">
        <v>1371400000</v>
      </c>
      <c r="E430" s="3">
        <v>2012922663</v>
      </c>
      <c r="F430" s="3">
        <v>2092840000</v>
      </c>
      <c r="G430" s="3">
        <v>325450000</v>
      </c>
      <c r="H430" s="3">
        <v>3266678</v>
      </c>
      <c r="I430" s="3">
        <v>0</v>
      </c>
      <c r="J430" s="3">
        <v>7000000</v>
      </c>
      <c r="K430" s="3">
        <v>0</v>
      </c>
      <c r="L430" s="3">
        <f t="shared" si="12"/>
        <v>5838255541</v>
      </c>
      <c r="M430" s="1">
        <v>-1664111572</v>
      </c>
      <c r="N430" s="1">
        <v>-321137225</v>
      </c>
      <c r="O430" s="1">
        <v>-280783920</v>
      </c>
      <c r="P430" s="1">
        <v>0</v>
      </c>
      <c r="Q430" s="1">
        <v>0</v>
      </c>
      <c r="R430" s="1">
        <f t="shared" si="13"/>
        <v>3572222824</v>
      </c>
    </row>
    <row r="431" spans="1:18">
      <c r="A431" t="s">
        <v>438</v>
      </c>
      <c r="C431" s="3">
        <v>299000</v>
      </c>
      <c r="D431" s="3">
        <v>171000000</v>
      </c>
      <c r="E431" s="3">
        <v>1226506448</v>
      </c>
      <c r="F431" s="3">
        <v>2360579000</v>
      </c>
      <c r="G431" s="3">
        <v>90050000</v>
      </c>
      <c r="H431" s="3">
        <v>438000</v>
      </c>
      <c r="I431" s="3">
        <v>0</v>
      </c>
      <c r="J431" s="3">
        <v>13000000</v>
      </c>
      <c r="K431" s="3">
        <v>0</v>
      </c>
      <c r="L431" s="3">
        <f t="shared" si="12"/>
        <v>3861872448</v>
      </c>
      <c r="M431" s="1">
        <v>-951775945</v>
      </c>
      <c r="N431" s="1">
        <v>-304466690</v>
      </c>
      <c r="O431" s="1">
        <v>-31353335</v>
      </c>
      <c r="P431" s="1">
        <v>0</v>
      </c>
      <c r="Q431" s="1">
        <v>0</v>
      </c>
      <c r="R431" s="1">
        <f t="shared" si="13"/>
        <v>2574276478</v>
      </c>
    </row>
    <row r="432" spans="1:18">
      <c r="A432" t="s">
        <v>439</v>
      </c>
      <c r="C432" s="3">
        <v>171000</v>
      </c>
      <c r="D432" s="3">
        <v>365190000</v>
      </c>
      <c r="E432" s="3">
        <v>1226786003</v>
      </c>
      <c r="F432" s="3">
        <v>1421697309</v>
      </c>
      <c r="G432" s="3">
        <v>39229964</v>
      </c>
      <c r="H432" s="3">
        <v>3266678</v>
      </c>
      <c r="I432" s="3">
        <v>0</v>
      </c>
      <c r="J432" s="3">
        <v>0</v>
      </c>
      <c r="K432" s="3">
        <v>166448333</v>
      </c>
      <c r="L432" s="3">
        <f t="shared" si="12"/>
        <v>3222789287</v>
      </c>
      <c r="M432" s="1">
        <v>-981376333</v>
      </c>
      <c r="N432" s="1">
        <v>-267402373</v>
      </c>
      <c r="O432" s="1">
        <v>-39229964</v>
      </c>
      <c r="P432" s="1">
        <v>0</v>
      </c>
      <c r="Q432" s="1">
        <v>-105048333</v>
      </c>
      <c r="R432" s="1">
        <f t="shared" si="13"/>
        <v>1829732284</v>
      </c>
    </row>
    <row r="433" spans="1:18">
      <c r="A433" t="s">
        <v>440</v>
      </c>
      <c r="C433" s="3">
        <v>771500</v>
      </c>
      <c r="D433" s="3">
        <v>1051605958</v>
      </c>
      <c r="E433" s="3">
        <v>658912367</v>
      </c>
      <c r="F433" s="3">
        <v>3442671510</v>
      </c>
      <c r="G433" s="3">
        <v>388579500</v>
      </c>
      <c r="H433" s="3">
        <v>3266678</v>
      </c>
      <c r="I433" s="3">
        <v>0</v>
      </c>
      <c r="J433" s="3">
        <v>20750000</v>
      </c>
      <c r="K433" s="3">
        <v>256480998</v>
      </c>
      <c r="L433" s="3">
        <f t="shared" si="12"/>
        <v>5823038511</v>
      </c>
      <c r="M433" s="1">
        <v>-612480382</v>
      </c>
      <c r="N433" s="1">
        <v>-622966982</v>
      </c>
      <c r="O433" s="1">
        <v>-140754020</v>
      </c>
      <c r="P433" s="1">
        <v>0</v>
      </c>
      <c r="Q433" s="1">
        <v>-256480998</v>
      </c>
      <c r="R433" s="1">
        <f t="shared" si="13"/>
        <v>4190356129</v>
      </c>
    </row>
    <row r="434" spans="1:18">
      <c r="A434" t="s">
        <v>441</v>
      </c>
      <c r="C434" s="3">
        <v>1432000</v>
      </c>
      <c r="D434" s="3">
        <v>834034900</v>
      </c>
      <c r="E434" s="3">
        <v>1626942880</v>
      </c>
      <c r="F434" s="3">
        <v>4429262560</v>
      </c>
      <c r="G434" s="3">
        <v>119670000</v>
      </c>
      <c r="H434" s="3">
        <v>763000</v>
      </c>
      <c r="I434" s="3">
        <v>0</v>
      </c>
      <c r="J434" s="3">
        <v>20750000</v>
      </c>
      <c r="K434" s="3">
        <v>26597468</v>
      </c>
      <c r="L434" s="3">
        <f t="shared" si="12"/>
        <v>7059452808</v>
      </c>
      <c r="M434" s="1">
        <v>-1317160671</v>
      </c>
      <c r="N434" s="1">
        <v>-627521675</v>
      </c>
      <c r="O434" s="1">
        <v>-58514125</v>
      </c>
      <c r="P434" s="1">
        <v>0</v>
      </c>
      <c r="Q434" s="1">
        <v>-26597468</v>
      </c>
      <c r="R434" s="1">
        <f t="shared" si="13"/>
        <v>5029658869</v>
      </c>
    </row>
    <row r="435" spans="1:18">
      <c r="A435" t="s">
        <v>442</v>
      </c>
      <c r="C435" s="3">
        <v>178000</v>
      </c>
      <c r="D435" s="3">
        <v>1603500000</v>
      </c>
      <c r="E435" s="3">
        <v>2295635367</v>
      </c>
      <c r="F435" s="3">
        <v>8981760694</v>
      </c>
      <c r="G435" s="3">
        <v>234569796</v>
      </c>
      <c r="H435" s="3">
        <v>24572118</v>
      </c>
      <c r="I435" s="3">
        <v>437898000</v>
      </c>
      <c r="J435" s="3">
        <v>0</v>
      </c>
      <c r="K435" s="3">
        <v>14700000</v>
      </c>
      <c r="L435" s="3">
        <f t="shared" si="12"/>
        <v>13592813975</v>
      </c>
      <c r="M435" s="1">
        <v>-1961718894</v>
      </c>
      <c r="N435" s="1">
        <v>-1960035215</v>
      </c>
      <c r="O435" s="1">
        <v>-125038286</v>
      </c>
      <c r="P435" s="1">
        <v>-19800000</v>
      </c>
      <c r="Q435" s="1">
        <v>-14700000</v>
      </c>
      <c r="R435" s="1">
        <f t="shared" si="13"/>
        <v>9511521580</v>
      </c>
    </row>
    <row r="436" spans="1:18">
      <c r="A436" t="s">
        <v>443</v>
      </c>
      <c r="C436" s="3">
        <v>10449050</v>
      </c>
      <c r="D436" s="3">
        <v>2122133994</v>
      </c>
      <c r="E436" s="3">
        <v>3854957066</v>
      </c>
      <c r="F436" s="3">
        <v>9027757499</v>
      </c>
      <c r="G436" s="3">
        <v>484769501</v>
      </c>
      <c r="H436" s="3">
        <v>61616678</v>
      </c>
      <c r="I436" s="3">
        <v>0</v>
      </c>
      <c r="J436" s="3">
        <v>20000000</v>
      </c>
      <c r="K436" s="3">
        <v>19367000</v>
      </c>
      <c r="L436" s="3">
        <f t="shared" si="12"/>
        <v>15601050788</v>
      </c>
      <c r="M436" s="1">
        <v>-3450831266</v>
      </c>
      <c r="N436" s="1">
        <v>-2061989945</v>
      </c>
      <c r="O436" s="1">
        <v>-245494000</v>
      </c>
      <c r="P436" s="1">
        <v>-10000000</v>
      </c>
      <c r="Q436" s="1">
        <v>-19367000</v>
      </c>
      <c r="R436" s="1">
        <f t="shared" si="13"/>
        <v>9813368577</v>
      </c>
    </row>
    <row r="437" spans="1:18">
      <c r="A437" t="s">
        <v>444</v>
      </c>
      <c r="C437" s="3">
        <v>4611310</v>
      </c>
      <c r="D437" s="3">
        <v>2019900000</v>
      </c>
      <c r="E437" s="3">
        <v>1877011847</v>
      </c>
      <c r="F437" s="3">
        <v>9969542334</v>
      </c>
      <c r="G437" s="3">
        <v>52905561</v>
      </c>
      <c r="H437" s="3">
        <v>5628678</v>
      </c>
      <c r="I437" s="3">
        <v>0</v>
      </c>
      <c r="J437" s="3">
        <v>68090000</v>
      </c>
      <c r="K437" s="3">
        <v>33302899</v>
      </c>
      <c r="L437" s="3">
        <f t="shared" si="12"/>
        <v>14030992629</v>
      </c>
      <c r="M437" s="1">
        <v>-1640142848</v>
      </c>
      <c r="N437" s="1">
        <v>-2766997569</v>
      </c>
      <c r="O437" s="1">
        <v>-34388614</v>
      </c>
      <c r="P437" s="1">
        <v>-2800000</v>
      </c>
      <c r="Q437" s="1">
        <v>-33302899</v>
      </c>
      <c r="R437" s="1">
        <f t="shared" si="13"/>
        <v>9553360699</v>
      </c>
    </row>
    <row r="438" spans="1:18">
      <c r="A438" t="s">
        <v>445</v>
      </c>
      <c r="C438" s="3">
        <v>452000</v>
      </c>
      <c r="D438" s="3">
        <v>400200000</v>
      </c>
      <c r="E438" s="3">
        <v>1132715437</v>
      </c>
      <c r="F438" s="3">
        <v>3452703889</v>
      </c>
      <c r="G438" s="3">
        <v>158934111</v>
      </c>
      <c r="H438" s="3">
        <v>48391731</v>
      </c>
      <c r="I438" s="3">
        <v>0</v>
      </c>
      <c r="J438" s="3">
        <v>58000000</v>
      </c>
      <c r="K438" s="3">
        <v>89952200</v>
      </c>
      <c r="L438" s="3">
        <f t="shared" si="12"/>
        <v>5341349368</v>
      </c>
      <c r="M438" s="1">
        <v>-953763562</v>
      </c>
      <c r="N438" s="1">
        <v>-526519000</v>
      </c>
      <c r="O438" s="1">
        <v>-39140822</v>
      </c>
      <c r="P438" s="1">
        <v>0</v>
      </c>
      <c r="Q438" s="1">
        <v>-88929700</v>
      </c>
      <c r="R438" s="1">
        <f t="shared" si="13"/>
        <v>3732996284</v>
      </c>
    </row>
    <row r="439" spans="1:18">
      <c r="A439" t="s">
        <v>446</v>
      </c>
      <c r="C439" s="3">
        <v>78000</v>
      </c>
      <c r="D439" s="3">
        <v>0</v>
      </c>
      <c r="E439" s="3">
        <v>1203026717</v>
      </c>
      <c r="F439" s="3">
        <v>2679089300</v>
      </c>
      <c r="G439" s="3">
        <v>238664500</v>
      </c>
      <c r="H439" s="3">
        <v>3266678</v>
      </c>
      <c r="I439" s="3">
        <v>0</v>
      </c>
      <c r="J439" s="3">
        <v>13000000</v>
      </c>
      <c r="K439" s="3">
        <v>0</v>
      </c>
      <c r="L439" s="3">
        <f t="shared" si="12"/>
        <v>4137125195</v>
      </c>
      <c r="M439" s="1">
        <v>-995223302</v>
      </c>
      <c r="N439" s="1">
        <v>-371512099</v>
      </c>
      <c r="O439" s="1">
        <v>-140924905</v>
      </c>
      <c r="P439" s="1">
        <v>0</v>
      </c>
      <c r="Q439" s="1">
        <v>0</v>
      </c>
      <c r="R439" s="1">
        <f t="shared" si="13"/>
        <v>2629464889</v>
      </c>
    </row>
    <row r="440" spans="1:18">
      <c r="A440" t="s">
        <v>447</v>
      </c>
      <c r="C440" s="3">
        <v>355000</v>
      </c>
      <c r="D440" s="3">
        <v>1491100000</v>
      </c>
      <c r="E440" s="3">
        <v>1912233214</v>
      </c>
      <c r="F440" s="3">
        <v>6593727444</v>
      </c>
      <c r="G440" s="3">
        <v>488941971</v>
      </c>
      <c r="H440" s="3">
        <v>4915118</v>
      </c>
      <c r="I440" s="3">
        <v>0</v>
      </c>
      <c r="J440" s="3">
        <v>0</v>
      </c>
      <c r="K440" s="3">
        <v>2300000</v>
      </c>
      <c r="L440" s="3">
        <f t="shared" si="12"/>
        <v>10493572747</v>
      </c>
      <c r="M440" s="1">
        <v>-1778511391</v>
      </c>
      <c r="N440" s="1">
        <v>-1798066405</v>
      </c>
      <c r="O440" s="1">
        <v>-211783193</v>
      </c>
      <c r="P440" s="1">
        <v>0</v>
      </c>
      <c r="Q440" s="1">
        <v>-2300000</v>
      </c>
      <c r="R440" s="1">
        <f t="shared" si="13"/>
        <v>6702911758</v>
      </c>
    </row>
    <row r="441" spans="1:18">
      <c r="A441" t="s">
        <v>448</v>
      </c>
      <c r="C441" s="3">
        <v>16415050</v>
      </c>
      <c r="D441" s="3">
        <v>1562000000</v>
      </c>
      <c r="E441" s="3">
        <v>1254176017</v>
      </c>
      <c r="F441" s="3">
        <v>3685942689</v>
      </c>
      <c r="G441" s="3">
        <v>350788615</v>
      </c>
      <c r="H441" s="3">
        <v>1165684</v>
      </c>
      <c r="I441" s="3">
        <v>0</v>
      </c>
      <c r="J441" s="3">
        <v>37000000</v>
      </c>
      <c r="K441" s="3">
        <v>95504000</v>
      </c>
      <c r="L441" s="3">
        <f t="shared" si="12"/>
        <v>7002992055</v>
      </c>
      <c r="M441" s="1">
        <v>-1109243394</v>
      </c>
      <c r="N441" s="1">
        <v>-579138722</v>
      </c>
      <c r="O441" s="1">
        <v>-172570488</v>
      </c>
      <c r="P441" s="1">
        <v>0</v>
      </c>
      <c r="Q441" s="1">
        <v>-95504000</v>
      </c>
      <c r="R441" s="1">
        <f t="shared" si="13"/>
        <v>5046535451</v>
      </c>
    </row>
    <row r="442" spans="1:18">
      <c r="A442" t="s">
        <v>449</v>
      </c>
      <c r="C442" s="3">
        <v>168800</v>
      </c>
      <c r="D442" s="3">
        <v>530366201</v>
      </c>
      <c r="E442" s="3">
        <v>1005342653</v>
      </c>
      <c r="F442" s="3">
        <v>2193976254</v>
      </c>
      <c r="G442" s="3">
        <v>89450000</v>
      </c>
      <c r="H442" s="3">
        <v>18236948</v>
      </c>
      <c r="I442" s="3">
        <v>0</v>
      </c>
      <c r="J442" s="3">
        <v>13000000</v>
      </c>
      <c r="K442" s="3">
        <v>237294556</v>
      </c>
      <c r="L442" s="3">
        <f t="shared" si="12"/>
        <v>4087835412</v>
      </c>
      <c r="M442" s="1">
        <v>-852187683</v>
      </c>
      <c r="N442" s="1">
        <v>-388114091</v>
      </c>
      <c r="O442" s="1">
        <v>-62615000</v>
      </c>
      <c r="P442" s="1">
        <v>-10730000</v>
      </c>
      <c r="Q442" s="1">
        <v>-237294556</v>
      </c>
      <c r="R442" s="1">
        <f t="shared" si="13"/>
        <v>2536894082</v>
      </c>
    </row>
    <row r="443" spans="1:18">
      <c r="A443" t="s">
        <v>450</v>
      </c>
      <c r="C443" s="3">
        <v>4918078</v>
      </c>
      <c r="D443" s="3">
        <v>11755081000</v>
      </c>
      <c r="E443" s="3">
        <v>1428398467</v>
      </c>
      <c r="F443" s="3">
        <v>4545621015</v>
      </c>
      <c r="G443" s="3">
        <v>576660400</v>
      </c>
      <c r="H443" s="3">
        <v>4772118</v>
      </c>
      <c r="I443" s="3">
        <v>0</v>
      </c>
      <c r="J443" s="3">
        <v>5000000</v>
      </c>
      <c r="K443" s="3">
        <v>659805000</v>
      </c>
      <c r="L443" s="3">
        <f t="shared" si="12"/>
        <v>18980256078</v>
      </c>
      <c r="M443" s="1">
        <v>-1321336317</v>
      </c>
      <c r="N443" s="1">
        <v>-872848100</v>
      </c>
      <c r="O443" s="1">
        <v>-123477281</v>
      </c>
      <c r="P443" s="1">
        <v>0</v>
      </c>
      <c r="Q443" s="1">
        <v>-652680536</v>
      </c>
      <c r="R443" s="1">
        <f t="shared" si="13"/>
        <v>16009913844</v>
      </c>
    </row>
    <row r="444" spans="1:18">
      <c r="A444" t="s">
        <v>451</v>
      </c>
      <c r="C444" s="3">
        <v>91300</v>
      </c>
      <c r="D444" s="3">
        <v>133235000</v>
      </c>
      <c r="E444" s="3">
        <v>1361381317</v>
      </c>
      <c r="F444" s="3">
        <v>5949983337</v>
      </c>
      <c r="G444" s="3">
        <v>54450000</v>
      </c>
      <c r="H444" s="3">
        <v>8986118</v>
      </c>
      <c r="I444" s="3">
        <v>0</v>
      </c>
      <c r="J444" s="3">
        <v>24200000</v>
      </c>
      <c r="K444" s="3">
        <v>0</v>
      </c>
      <c r="L444" s="3">
        <f t="shared" si="12"/>
        <v>7532327072</v>
      </c>
      <c r="M444" s="1">
        <v>-1257892707</v>
      </c>
      <c r="N444" s="1">
        <v>-764846876</v>
      </c>
      <c r="O444" s="1">
        <v>-36531665</v>
      </c>
      <c r="P444" s="1">
        <v>-3687250</v>
      </c>
      <c r="Q444" s="1">
        <v>0</v>
      </c>
      <c r="R444" s="1">
        <f t="shared" si="13"/>
        <v>5469368574</v>
      </c>
    </row>
    <row r="445" spans="1:18">
      <c r="A445" t="s">
        <v>452</v>
      </c>
      <c r="C445" s="3">
        <v>321950</v>
      </c>
      <c r="D445" s="3">
        <v>531060000</v>
      </c>
      <c r="E445" s="3">
        <v>1725418676</v>
      </c>
      <c r="F445" s="3">
        <v>4940090900</v>
      </c>
      <c r="G445" s="3">
        <v>245335000</v>
      </c>
      <c r="H445" s="3">
        <v>26586118</v>
      </c>
      <c r="I445" s="3">
        <v>2315780000</v>
      </c>
      <c r="J445" s="3">
        <v>5350000</v>
      </c>
      <c r="K445" s="3">
        <v>272497048</v>
      </c>
      <c r="L445" s="3">
        <f t="shared" si="12"/>
        <v>10062439692</v>
      </c>
      <c r="M445" s="1">
        <v>-1584435254</v>
      </c>
      <c r="N445" s="1">
        <v>-971321178</v>
      </c>
      <c r="O445" s="1">
        <v>-92721550</v>
      </c>
      <c r="P445" s="1">
        <v>0</v>
      </c>
      <c r="Q445" s="1">
        <v>-272497048</v>
      </c>
      <c r="R445" s="1">
        <f t="shared" si="13"/>
        <v>7141464662</v>
      </c>
    </row>
    <row r="446" spans="1:18">
      <c r="A446" t="s">
        <v>453</v>
      </c>
      <c r="C446" s="3">
        <v>525000</v>
      </c>
      <c r="D446" s="3">
        <v>330000000</v>
      </c>
      <c r="E446" s="3">
        <v>1574870595</v>
      </c>
      <c r="F446" s="3">
        <v>4395626278</v>
      </c>
      <c r="G446" s="3">
        <v>341055500</v>
      </c>
      <c r="H446" s="3">
        <v>16662118</v>
      </c>
      <c r="I446" s="3">
        <v>0</v>
      </c>
      <c r="J446" s="3">
        <v>41280000</v>
      </c>
      <c r="K446" s="3">
        <v>0</v>
      </c>
      <c r="L446" s="3">
        <f t="shared" si="12"/>
        <v>6700019491</v>
      </c>
      <c r="M446" s="1">
        <v>-1376371035</v>
      </c>
      <c r="N446" s="1">
        <v>-815741541</v>
      </c>
      <c r="O446" s="1">
        <v>-121713975</v>
      </c>
      <c r="P446" s="1">
        <v>-11440000</v>
      </c>
      <c r="Q446" s="1">
        <v>0</v>
      </c>
      <c r="R446" s="1">
        <f t="shared" si="13"/>
        <v>4374752940</v>
      </c>
    </row>
    <row r="447" spans="1:18">
      <c r="A447" t="s">
        <v>454</v>
      </c>
      <c r="C447" s="3">
        <v>30719800</v>
      </c>
      <c r="D447" s="3">
        <v>5610507750</v>
      </c>
      <c r="E447" s="3">
        <v>2779207902</v>
      </c>
      <c r="F447" s="3">
        <v>3963912970</v>
      </c>
      <c r="G447" s="3">
        <v>183211000</v>
      </c>
      <c r="H447" s="3">
        <v>4726840</v>
      </c>
      <c r="I447" s="3">
        <v>0</v>
      </c>
      <c r="J447" s="3">
        <v>0</v>
      </c>
      <c r="K447" s="3">
        <v>26561476</v>
      </c>
      <c r="L447" s="3">
        <f t="shared" si="12"/>
        <v>12598847738</v>
      </c>
      <c r="M447" s="1">
        <v>-2519662061</v>
      </c>
      <c r="N447" s="1">
        <v>-1123716918</v>
      </c>
      <c r="O447" s="1">
        <v>-29771788</v>
      </c>
      <c r="P447" s="1">
        <v>0</v>
      </c>
      <c r="Q447" s="1">
        <v>-26561476</v>
      </c>
      <c r="R447" s="1">
        <f t="shared" si="13"/>
        <v>8899135495</v>
      </c>
    </row>
    <row r="448" spans="1:18">
      <c r="A448" t="s">
        <v>455</v>
      </c>
      <c r="C448" s="3">
        <v>5861500</v>
      </c>
      <c r="D448" s="3">
        <v>2737240000</v>
      </c>
      <c r="E448" s="3">
        <v>2100352387</v>
      </c>
      <c r="F448" s="3">
        <v>2890829233</v>
      </c>
      <c r="G448" s="3">
        <v>48600000</v>
      </c>
      <c r="H448" s="3">
        <v>37398440</v>
      </c>
      <c r="I448" s="3">
        <v>0</v>
      </c>
      <c r="J448" s="3">
        <v>0</v>
      </c>
      <c r="K448" s="3">
        <v>1701000</v>
      </c>
      <c r="L448" s="3">
        <f t="shared" si="12"/>
        <v>7821982560</v>
      </c>
      <c r="M448" s="1">
        <v>-1697014734</v>
      </c>
      <c r="N448" s="1">
        <v>-1118365418</v>
      </c>
      <c r="O448" s="1">
        <v>-14906250</v>
      </c>
      <c r="P448" s="1">
        <v>0</v>
      </c>
      <c r="Q448" s="1">
        <v>-1701000</v>
      </c>
      <c r="R448" s="1">
        <f t="shared" si="13"/>
        <v>4989995158</v>
      </c>
    </row>
    <row r="449" spans="1:18">
      <c r="A449" t="s">
        <v>456</v>
      </c>
      <c r="C449" s="3">
        <v>215000</v>
      </c>
      <c r="D449" s="3">
        <v>3271705120</v>
      </c>
      <c r="E449" s="3">
        <v>1120935857</v>
      </c>
      <c r="F449" s="3">
        <v>19504036760</v>
      </c>
      <c r="G449" s="3">
        <v>19341536</v>
      </c>
      <c r="H449" s="3">
        <v>1943440</v>
      </c>
      <c r="I449" s="3">
        <v>0</v>
      </c>
      <c r="J449" s="3">
        <v>0</v>
      </c>
      <c r="K449" s="3">
        <v>840000</v>
      </c>
      <c r="L449" s="3">
        <f t="shared" si="12"/>
        <v>23919017713</v>
      </c>
      <c r="M449" s="1">
        <v>-933462267</v>
      </c>
      <c r="N449" s="1">
        <v>-3313996946</v>
      </c>
      <c r="O449" s="1">
        <v>-2531836</v>
      </c>
      <c r="P449" s="1">
        <v>0</v>
      </c>
      <c r="Q449" s="1">
        <v>-840000</v>
      </c>
      <c r="R449" s="1">
        <f t="shared" si="13"/>
        <v>19668186664</v>
      </c>
    </row>
    <row r="450" spans="1:18">
      <c r="A450" t="s">
        <v>457</v>
      </c>
      <c r="C450" s="3">
        <v>25000</v>
      </c>
      <c r="D450" s="3">
        <v>3492039000</v>
      </c>
      <c r="E450" s="3">
        <v>1220308526</v>
      </c>
      <c r="F450" s="3">
        <v>12090687910</v>
      </c>
      <c r="G450" s="3">
        <v>749200000</v>
      </c>
      <c r="H450" s="3">
        <v>1756343440</v>
      </c>
      <c r="I450" s="3">
        <v>0</v>
      </c>
      <c r="J450" s="3">
        <v>0</v>
      </c>
      <c r="K450" s="3">
        <v>0</v>
      </c>
      <c r="L450" s="3">
        <f t="shared" si="12"/>
        <v>19308603876</v>
      </c>
      <c r="M450" s="1">
        <v>-1144258968</v>
      </c>
      <c r="N450" s="1">
        <v>-487692075</v>
      </c>
      <c r="O450" s="1">
        <v>-624245000</v>
      </c>
      <c r="P450" s="1">
        <v>0</v>
      </c>
      <c r="Q450" s="1">
        <v>0</v>
      </c>
      <c r="R450" s="1">
        <f t="shared" si="13"/>
        <v>17052407833</v>
      </c>
    </row>
    <row r="451" spans="1:18">
      <c r="A451" t="s">
        <v>458</v>
      </c>
      <c r="C451" s="3">
        <v>2794400</v>
      </c>
      <c r="D451" s="3">
        <v>1320904000</v>
      </c>
      <c r="E451" s="3">
        <v>1784826216</v>
      </c>
      <c r="F451" s="3">
        <v>9191527000</v>
      </c>
      <c r="G451" s="3">
        <v>195299600</v>
      </c>
      <c r="H451" s="3">
        <v>1943440</v>
      </c>
      <c r="I451" s="3">
        <v>0</v>
      </c>
      <c r="J451" s="3">
        <v>0</v>
      </c>
      <c r="K451" s="3">
        <v>235714</v>
      </c>
      <c r="L451" s="3">
        <f t="shared" ref="L451:L514" si="14">SUM(C451:K451)</f>
        <v>12497530370</v>
      </c>
      <c r="M451" s="1">
        <v>-1421180691</v>
      </c>
      <c r="N451" s="1">
        <v>-2277654930</v>
      </c>
      <c r="O451" s="1">
        <v>-60663715</v>
      </c>
      <c r="P451" s="1">
        <v>0</v>
      </c>
      <c r="Q451" s="1">
        <v>-235714</v>
      </c>
      <c r="R451" s="1">
        <f t="shared" ref="R451:R514" si="15">SUM(L451:Q451)</f>
        <v>8737795320</v>
      </c>
    </row>
    <row r="452" spans="1:18">
      <c r="A452" t="s">
        <v>459</v>
      </c>
      <c r="C452" s="3">
        <v>352000</v>
      </c>
      <c r="D452" s="3">
        <v>1210600000</v>
      </c>
      <c r="E452" s="3">
        <v>1180108351</v>
      </c>
      <c r="F452" s="3">
        <v>2506739759</v>
      </c>
      <c r="G452" s="3">
        <v>93070000</v>
      </c>
      <c r="H452" s="3">
        <v>4626840</v>
      </c>
      <c r="I452" s="3">
        <v>0</v>
      </c>
      <c r="J452" s="3">
        <v>0</v>
      </c>
      <c r="K452" s="3">
        <v>391725151</v>
      </c>
      <c r="L452" s="3">
        <f t="shared" si="14"/>
        <v>5387222101</v>
      </c>
      <c r="M452" s="1">
        <v>-1089823846</v>
      </c>
      <c r="N452" s="1">
        <v>-639480261</v>
      </c>
      <c r="O452" s="1">
        <v>-79660000</v>
      </c>
      <c r="P452" s="1">
        <v>0</v>
      </c>
      <c r="Q452" s="1">
        <v>-155419740</v>
      </c>
      <c r="R452" s="1">
        <f t="shared" si="15"/>
        <v>3422838254</v>
      </c>
    </row>
    <row r="453" spans="1:18">
      <c r="A453" t="s">
        <v>460</v>
      </c>
      <c r="C453" s="3">
        <v>1767800</v>
      </c>
      <c r="D453" s="3">
        <v>3050782000</v>
      </c>
      <c r="E453" s="3">
        <v>1282580993</v>
      </c>
      <c r="F453" s="3">
        <v>15240580471</v>
      </c>
      <c r="G453" s="3">
        <v>0</v>
      </c>
      <c r="H453" s="3">
        <v>1943440</v>
      </c>
      <c r="I453" s="3">
        <v>0</v>
      </c>
      <c r="J453" s="3">
        <v>0</v>
      </c>
      <c r="K453" s="3">
        <v>215476325</v>
      </c>
      <c r="L453" s="3">
        <f t="shared" si="14"/>
        <v>19793131029</v>
      </c>
      <c r="M453" s="1">
        <v>-1110264590</v>
      </c>
      <c r="N453" s="1">
        <v>-320182856</v>
      </c>
      <c r="O453" s="1">
        <v>0</v>
      </c>
      <c r="P453" s="1">
        <v>0</v>
      </c>
      <c r="Q453" s="1">
        <v>-173422951</v>
      </c>
      <c r="R453" s="1">
        <f t="shared" si="15"/>
        <v>18189260632</v>
      </c>
    </row>
    <row r="454" spans="1:18">
      <c r="A454" t="s">
        <v>461</v>
      </c>
      <c r="C454" s="3">
        <v>20072200</v>
      </c>
      <c r="D454" s="3">
        <v>25099438074</v>
      </c>
      <c r="E454" s="3">
        <v>5372392341</v>
      </c>
      <c r="F454" s="3">
        <v>31423049125</v>
      </c>
      <c r="G454" s="3">
        <v>0</v>
      </c>
      <c r="H454" s="3">
        <v>4772120</v>
      </c>
      <c r="I454" s="3">
        <v>0</v>
      </c>
      <c r="J454" s="3">
        <v>0</v>
      </c>
      <c r="K454" s="3">
        <v>43690024</v>
      </c>
      <c r="L454" s="3">
        <f t="shared" si="14"/>
        <v>61963413884</v>
      </c>
      <c r="M454" s="1">
        <v>-5022944998</v>
      </c>
      <c r="N454" s="1">
        <v>-2476971944</v>
      </c>
      <c r="O454" s="1">
        <v>0</v>
      </c>
      <c r="P454" s="1">
        <v>0</v>
      </c>
      <c r="Q454" s="1">
        <v>-43690024</v>
      </c>
      <c r="R454" s="1">
        <f t="shared" si="15"/>
        <v>54419806918</v>
      </c>
    </row>
    <row r="455" spans="1:18">
      <c r="A455" t="s">
        <v>462</v>
      </c>
      <c r="C455" s="3">
        <v>6367650</v>
      </c>
      <c r="D455" s="3">
        <v>13517978000</v>
      </c>
      <c r="E455" s="3">
        <v>2493204704</v>
      </c>
      <c r="F455" s="3">
        <v>8572782800</v>
      </c>
      <c r="G455" s="3">
        <v>0</v>
      </c>
      <c r="H455" s="3">
        <v>5293620</v>
      </c>
      <c r="I455" s="3">
        <v>0</v>
      </c>
      <c r="J455" s="3">
        <v>0</v>
      </c>
      <c r="K455" s="3">
        <v>105320500</v>
      </c>
      <c r="L455" s="3">
        <f t="shared" si="14"/>
        <v>24700947274</v>
      </c>
      <c r="M455" s="1">
        <v>-2150169494</v>
      </c>
      <c r="N455" s="1">
        <v>-1263862275</v>
      </c>
      <c r="O455" s="1">
        <v>0</v>
      </c>
      <c r="P455" s="1">
        <v>0</v>
      </c>
      <c r="Q455" s="1">
        <v>-105320500</v>
      </c>
      <c r="R455" s="1">
        <f t="shared" si="15"/>
        <v>21181595005</v>
      </c>
    </row>
    <row r="456" spans="1:18">
      <c r="A456" t="s">
        <v>463</v>
      </c>
      <c r="C456" s="3">
        <v>3349800</v>
      </c>
      <c r="D456" s="3">
        <v>0</v>
      </c>
      <c r="E456" s="3">
        <v>1247268228</v>
      </c>
      <c r="F456" s="3">
        <v>7072810600</v>
      </c>
      <c r="G456" s="3">
        <v>308687000</v>
      </c>
      <c r="H456" s="3">
        <v>787720</v>
      </c>
      <c r="I456" s="3">
        <v>0</v>
      </c>
      <c r="J456" s="3">
        <v>0</v>
      </c>
      <c r="K456" s="3">
        <v>7900000</v>
      </c>
      <c r="L456" s="3">
        <f t="shared" si="14"/>
        <v>8640803348</v>
      </c>
      <c r="M456" s="1">
        <v>-1005383959</v>
      </c>
      <c r="N456" s="1">
        <v>-999066457</v>
      </c>
      <c r="O456" s="1">
        <v>-126792900</v>
      </c>
      <c r="P456" s="1">
        <v>0</v>
      </c>
      <c r="Q456" s="1">
        <v>-7900000</v>
      </c>
      <c r="R456" s="1">
        <f t="shared" si="15"/>
        <v>6501660032</v>
      </c>
    </row>
    <row r="457" spans="1:18">
      <c r="A457" t="s">
        <v>464</v>
      </c>
      <c r="C457" s="3">
        <v>0</v>
      </c>
      <c r="D457" s="3">
        <v>2442109800</v>
      </c>
      <c r="E457" s="3">
        <v>1282650108</v>
      </c>
      <c r="F457" s="3">
        <v>4712906688</v>
      </c>
      <c r="G457" s="3">
        <v>179583500</v>
      </c>
      <c r="H457" s="3">
        <v>1553</v>
      </c>
      <c r="I457" s="3">
        <v>0</v>
      </c>
      <c r="J457" s="3">
        <v>20750000</v>
      </c>
      <c r="K457" s="3">
        <v>22162347</v>
      </c>
      <c r="L457" s="3">
        <f t="shared" si="14"/>
        <v>8660163996</v>
      </c>
      <c r="M457" s="1">
        <v>-1187118864</v>
      </c>
      <c r="N457" s="1">
        <v>-431805743</v>
      </c>
      <c r="O457" s="1">
        <v>-39778372</v>
      </c>
      <c r="P457" s="1">
        <v>0</v>
      </c>
      <c r="Q457" s="1">
        <v>-21764211</v>
      </c>
      <c r="R457" s="1">
        <f t="shared" si="15"/>
        <v>6979696806</v>
      </c>
    </row>
    <row r="458" spans="1:18">
      <c r="A458" t="s">
        <v>465</v>
      </c>
      <c r="C458" s="3">
        <v>70900</v>
      </c>
      <c r="D458" s="3">
        <v>1088810000</v>
      </c>
      <c r="E458" s="3">
        <v>1188025317</v>
      </c>
      <c r="F458" s="3">
        <v>3285512000</v>
      </c>
      <c r="G458" s="3">
        <v>25000000</v>
      </c>
      <c r="H458" s="3">
        <v>6280700</v>
      </c>
      <c r="I458" s="3">
        <v>0</v>
      </c>
      <c r="J458" s="3">
        <v>20750000</v>
      </c>
      <c r="K458" s="3">
        <v>0</v>
      </c>
      <c r="L458" s="3">
        <f t="shared" si="14"/>
        <v>5614448917</v>
      </c>
      <c r="M458" s="1">
        <v>-1091591560</v>
      </c>
      <c r="N458" s="1">
        <v>-632763017</v>
      </c>
      <c r="O458" s="1">
        <v>-2187500</v>
      </c>
      <c r="P458" s="1">
        <v>0</v>
      </c>
      <c r="Q458" s="1">
        <v>0</v>
      </c>
      <c r="R458" s="1">
        <f t="shared" si="15"/>
        <v>3887906840</v>
      </c>
    </row>
    <row r="459" spans="1:18">
      <c r="A459" t="s">
        <v>466</v>
      </c>
      <c r="C459" s="3">
        <v>172000</v>
      </c>
      <c r="D459" s="3">
        <v>3186297631</v>
      </c>
      <c r="E459" s="3">
        <v>1285632512</v>
      </c>
      <c r="F459" s="3">
        <v>8708020609</v>
      </c>
      <c r="G459" s="3">
        <v>74406110</v>
      </c>
      <c r="H459" s="3">
        <v>8263378</v>
      </c>
      <c r="I459" s="3">
        <v>0</v>
      </c>
      <c r="J459" s="3">
        <v>20750000</v>
      </c>
      <c r="K459" s="3">
        <v>404080032</v>
      </c>
      <c r="L459" s="3">
        <f t="shared" si="14"/>
        <v>13687622272</v>
      </c>
      <c r="M459" s="1">
        <v>-796855610</v>
      </c>
      <c r="N459" s="1">
        <v>-506862031</v>
      </c>
      <c r="O459" s="1">
        <v>-9731759</v>
      </c>
      <c r="P459" s="1">
        <v>0</v>
      </c>
      <c r="Q459" s="1">
        <v>-412609210</v>
      </c>
      <c r="R459" s="1">
        <f t="shared" si="15"/>
        <v>11961563662</v>
      </c>
    </row>
    <row r="460" spans="1:18">
      <c r="A460" t="s">
        <v>467</v>
      </c>
      <c r="C460" s="3">
        <v>1640000</v>
      </c>
      <c r="D460" s="3">
        <v>3670700000</v>
      </c>
      <c r="E460" s="3">
        <v>1144292403</v>
      </c>
      <c r="F460" s="3">
        <v>8973035750</v>
      </c>
      <c r="G460" s="3">
        <v>239637250</v>
      </c>
      <c r="H460" s="3">
        <v>28823442</v>
      </c>
      <c r="I460" s="3">
        <v>1427301050</v>
      </c>
      <c r="J460" s="3">
        <v>22200000</v>
      </c>
      <c r="K460" s="3">
        <v>137067865</v>
      </c>
      <c r="L460" s="3">
        <f t="shared" si="14"/>
        <v>15644697760</v>
      </c>
      <c r="M460" s="1">
        <v>-875131931</v>
      </c>
      <c r="N460" s="1">
        <v>-341062719</v>
      </c>
      <c r="O460" s="1">
        <v>-98590588</v>
      </c>
      <c r="P460" s="1">
        <v>0</v>
      </c>
      <c r="Q460" s="1">
        <v>-125975032</v>
      </c>
      <c r="R460" s="1">
        <f t="shared" si="15"/>
        <v>14203937490</v>
      </c>
    </row>
    <row r="461" spans="1:18">
      <c r="A461" t="s">
        <v>468</v>
      </c>
      <c r="C461" s="3">
        <v>8680800</v>
      </c>
      <c r="D461" s="3">
        <v>5985187850</v>
      </c>
      <c r="E461" s="3">
        <v>3602131211</v>
      </c>
      <c r="F461" s="3">
        <v>8248692000</v>
      </c>
      <c r="G461" s="3">
        <v>0</v>
      </c>
      <c r="H461" s="3">
        <v>15387720</v>
      </c>
      <c r="I461" s="3">
        <v>0</v>
      </c>
      <c r="J461" s="3">
        <v>0</v>
      </c>
      <c r="K461" s="3">
        <v>0</v>
      </c>
      <c r="L461" s="3">
        <f t="shared" si="14"/>
        <v>17860079581</v>
      </c>
      <c r="M461" s="1">
        <v>-3285891113</v>
      </c>
      <c r="N461" s="1">
        <v>-1079136618</v>
      </c>
      <c r="O461" s="1">
        <v>0</v>
      </c>
      <c r="P461" s="1">
        <v>0</v>
      </c>
      <c r="Q461" s="1">
        <v>0</v>
      </c>
      <c r="R461" s="1">
        <f t="shared" si="15"/>
        <v>13495051850</v>
      </c>
    </row>
    <row r="462" spans="1:18">
      <c r="A462" t="s">
        <v>469</v>
      </c>
      <c r="C462" s="3">
        <v>0</v>
      </c>
      <c r="D462" s="3">
        <v>538720000</v>
      </c>
      <c r="E462" s="3">
        <v>1671164987</v>
      </c>
      <c r="F462" s="3">
        <v>5558771000</v>
      </c>
      <c r="G462" s="3">
        <v>45690000</v>
      </c>
      <c r="H462" s="3">
        <v>3277300</v>
      </c>
      <c r="I462" s="3">
        <v>0</v>
      </c>
      <c r="J462" s="3">
        <v>0</v>
      </c>
      <c r="K462" s="3">
        <v>0</v>
      </c>
      <c r="L462" s="3">
        <f t="shared" si="14"/>
        <v>7817623287</v>
      </c>
      <c r="M462" s="1">
        <v>-1492347089</v>
      </c>
      <c r="N462" s="1">
        <v>-732510430</v>
      </c>
      <c r="O462" s="1">
        <v>-8566875</v>
      </c>
      <c r="P462" s="1">
        <v>0</v>
      </c>
      <c r="Q462" s="1">
        <v>0</v>
      </c>
      <c r="R462" s="1">
        <f t="shared" si="15"/>
        <v>5584198893</v>
      </c>
    </row>
    <row r="463" spans="1:18">
      <c r="A463" t="s">
        <v>470</v>
      </c>
      <c r="C463" s="3">
        <v>2599625</v>
      </c>
      <c r="D463" s="3">
        <v>7936879510</v>
      </c>
      <c r="E463" s="3">
        <v>2311389861</v>
      </c>
      <c r="F463" s="3">
        <v>11892693408</v>
      </c>
      <c r="G463" s="3">
        <v>69795000</v>
      </c>
      <c r="H463" s="3">
        <v>2828678</v>
      </c>
      <c r="I463" s="3">
        <v>0</v>
      </c>
      <c r="J463" s="3">
        <v>54500000</v>
      </c>
      <c r="K463" s="3">
        <v>28144750</v>
      </c>
      <c r="L463" s="3">
        <f t="shared" si="14"/>
        <v>22298830832</v>
      </c>
      <c r="M463" s="1">
        <v>-1969943211</v>
      </c>
      <c r="N463" s="1">
        <v>-2188212632</v>
      </c>
      <c r="O463" s="1">
        <v>-24307914</v>
      </c>
      <c r="P463" s="1">
        <v>0</v>
      </c>
      <c r="Q463" s="1">
        <v>-28144750</v>
      </c>
      <c r="R463" s="1">
        <f t="shared" si="15"/>
        <v>18088222325</v>
      </c>
    </row>
    <row r="464" spans="1:18">
      <c r="A464" t="s">
        <v>471</v>
      </c>
      <c r="C464" s="3">
        <v>214900</v>
      </c>
      <c r="D464" s="3">
        <v>1462396000</v>
      </c>
      <c r="E464" s="3">
        <v>1140736028</v>
      </c>
      <c r="F464" s="3">
        <v>6767007300</v>
      </c>
      <c r="G464" s="3">
        <v>52240000</v>
      </c>
      <c r="H464" s="3">
        <v>8321198</v>
      </c>
      <c r="I464" s="3">
        <v>1209783000</v>
      </c>
      <c r="J464" s="3">
        <v>0</v>
      </c>
      <c r="K464" s="3">
        <v>171968675</v>
      </c>
      <c r="L464" s="3">
        <f t="shared" si="14"/>
        <v>10812667101</v>
      </c>
      <c r="M464" s="1">
        <v>-1014833236</v>
      </c>
      <c r="N464" s="1">
        <v>-392186365</v>
      </c>
      <c r="O464" s="1">
        <v>-28267906</v>
      </c>
      <c r="P464" s="1">
        <v>0</v>
      </c>
      <c r="Q464" s="1">
        <v>-171936775</v>
      </c>
      <c r="R464" s="1">
        <f t="shared" si="15"/>
        <v>9205442819</v>
      </c>
    </row>
    <row r="465" spans="1:18">
      <c r="A465" t="s">
        <v>472</v>
      </c>
      <c r="C465" s="3">
        <v>0</v>
      </c>
      <c r="D465" s="3">
        <v>941800000</v>
      </c>
      <c r="E465" s="3">
        <v>2048917898</v>
      </c>
      <c r="F465" s="3">
        <v>11317108100</v>
      </c>
      <c r="G465" s="3">
        <v>32435000</v>
      </c>
      <c r="H465" s="3">
        <v>3152680</v>
      </c>
      <c r="I465" s="3">
        <v>0</v>
      </c>
      <c r="J465" s="3">
        <v>0</v>
      </c>
      <c r="K465" s="3">
        <v>4500000</v>
      </c>
      <c r="L465" s="3">
        <f t="shared" si="14"/>
        <v>14347913678</v>
      </c>
      <c r="M465" s="1">
        <v>-1836497309</v>
      </c>
      <c r="N465" s="1">
        <v>-1334743910</v>
      </c>
      <c r="O465" s="1">
        <v>-21082750</v>
      </c>
      <c r="P465" s="1">
        <v>0</v>
      </c>
      <c r="Q465" s="1">
        <v>-4500000</v>
      </c>
      <c r="R465" s="1">
        <f t="shared" si="15"/>
        <v>11151089709</v>
      </c>
    </row>
    <row r="466" spans="1:18">
      <c r="A466" t="s">
        <v>473</v>
      </c>
      <c r="C466" s="3">
        <v>212000</v>
      </c>
      <c r="D466" s="3">
        <v>402250000</v>
      </c>
      <c r="E466" s="3">
        <v>869120137</v>
      </c>
      <c r="F466" s="3">
        <v>8366953000</v>
      </c>
      <c r="G466" s="3">
        <v>426075000</v>
      </c>
      <c r="H466" s="3">
        <v>1943440</v>
      </c>
      <c r="I466" s="3">
        <v>0</v>
      </c>
      <c r="J466" s="3">
        <v>0</v>
      </c>
      <c r="K466" s="3">
        <v>0</v>
      </c>
      <c r="L466" s="3">
        <f t="shared" si="14"/>
        <v>10066553577</v>
      </c>
      <c r="M466" s="1">
        <v>-726585742</v>
      </c>
      <c r="N466" s="1">
        <v>-1050774134</v>
      </c>
      <c r="O466" s="1">
        <v>-256512813</v>
      </c>
      <c r="P466" s="1">
        <v>0</v>
      </c>
      <c r="Q466" s="1">
        <v>0</v>
      </c>
      <c r="R466" s="1">
        <f t="shared" si="15"/>
        <v>8032680888</v>
      </c>
    </row>
    <row r="467" spans="1:18">
      <c r="A467" t="s">
        <v>474</v>
      </c>
      <c r="C467" s="3">
        <v>531300</v>
      </c>
      <c r="D467" s="3">
        <v>0</v>
      </c>
      <c r="E467" s="3">
        <v>1757206874</v>
      </c>
      <c r="F467" s="3">
        <v>12535934900</v>
      </c>
      <c r="G467" s="3">
        <v>355211000</v>
      </c>
      <c r="H467" s="3">
        <v>1943440</v>
      </c>
      <c r="I467" s="3">
        <v>0</v>
      </c>
      <c r="J467" s="3">
        <v>0</v>
      </c>
      <c r="K467" s="3">
        <v>0</v>
      </c>
      <c r="L467" s="3">
        <f t="shared" si="14"/>
        <v>14650827514</v>
      </c>
      <c r="M467" s="1">
        <v>-1514047500</v>
      </c>
      <c r="N467" s="1">
        <v>-1614316016</v>
      </c>
      <c r="O467" s="1">
        <v>-116808200</v>
      </c>
      <c r="P467" s="1">
        <v>0</v>
      </c>
      <c r="Q467" s="1">
        <v>0</v>
      </c>
      <c r="R467" s="1">
        <f t="shared" si="15"/>
        <v>11405655798</v>
      </c>
    </row>
    <row r="468" spans="1:18">
      <c r="A468" t="s">
        <v>475</v>
      </c>
      <c r="C468" s="3">
        <v>1597850</v>
      </c>
      <c r="D468" s="3">
        <v>5595514241</v>
      </c>
      <c r="E468" s="3">
        <v>3472419944</v>
      </c>
      <c r="F468" s="3">
        <v>16408849800</v>
      </c>
      <c r="G468" s="3">
        <v>1225118000</v>
      </c>
      <c r="H468" s="3">
        <v>4413440</v>
      </c>
      <c r="I468" s="3">
        <v>0</v>
      </c>
      <c r="J468" s="3">
        <v>37181829</v>
      </c>
      <c r="K468" s="3">
        <v>17500000</v>
      </c>
      <c r="L468" s="3">
        <f t="shared" si="14"/>
        <v>26762595104</v>
      </c>
      <c r="M468" s="1">
        <v>-1941116259</v>
      </c>
      <c r="N468" s="1">
        <v>-1571691046</v>
      </c>
      <c r="O468" s="1">
        <v>-69134174</v>
      </c>
      <c r="P468" s="1">
        <v>0</v>
      </c>
      <c r="Q468" s="1">
        <v>-17500000</v>
      </c>
      <c r="R468" s="1">
        <f t="shared" si="15"/>
        <v>23163153625</v>
      </c>
    </row>
    <row r="469" spans="1:18">
      <c r="A469" t="s">
        <v>476</v>
      </c>
      <c r="C469" s="3">
        <v>10551379</v>
      </c>
      <c r="D469" s="3">
        <v>6125391600</v>
      </c>
      <c r="E469" s="3">
        <v>856006328</v>
      </c>
      <c r="F469" s="3">
        <v>4574179476</v>
      </c>
      <c r="G469" s="3">
        <v>259408636</v>
      </c>
      <c r="H469" s="3">
        <v>7355440</v>
      </c>
      <c r="I469" s="3">
        <v>0</v>
      </c>
      <c r="J469" s="3">
        <v>0</v>
      </c>
      <c r="K469" s="3">
        <v>299095000</v>
      </c>
      <c r="L469" s="3">
        <f t="shared" si="14"/>
        <v>12131987859</v>
      </c>
      <c r="M469" s="1">
        <v>-751039929</v>
      </c>
      <c r="N469" s="1">
        <v>-1384976521</v>
      </c>
      <c r="O469" s="1">
        <v>-168615616</v>
      </c>
      <c r="P469" s="1">
        <v>0</v>
      </c>
      <c r="Q469" s="1">
        <v>-161442562</v>
      </c>
      <c r="R469" s="1">
        <f t="shared" si="15"/>
        <v>9665913231</v>
      </c>
    </row>
    <row r="470" spans="1:18">
      <c r="A470" t="s">
        <v>477</v>
      </c>
      <c r="C470" s="3">
        <v>3592700</v>
      </c>
      <c r="D470" s="3">
        <v>2636190000</v>
      </c>
      <c r="E470" s="3">
        <v>1248856426</v>
      </c>
      <c r="F470" s="3">
        <v>1979466900</v>
      </c>
      <c r="G470" s="3">
        <v>49750000</v>
      </c>
      <c r="H470" s="3">
        <v>19340440</v>
      </c>
      <c r="I470" s="3">
        <v>8641985615</v>
      </c>
      <c r="J470" s="3">
        <v>0</v>
      </c>
      <c r="K470" s="3">
        <v>16653000</v>
      </c>
      <c r="L470" s="3">
        <f t="shared" si="14"/>
        <v>14595835081</v>
      </c>
      <c r="M470" s="1">
        <v>-1032907197</v>
      </c>
      <c r="N470" s="1">
        <v>-433840733</v>
      </c>
      <c r="O470" s="1">
        <v>-4975000</v>
      </c>
      <c r="P470" s="1">
        <v>0</v>
      </c>
      <c r="Q470" s="1">
        <v>-16653000</v>
      </c>
      <c r="R470" s="1">
        <f t="shared" si="15"/>
        <v>13107459151</v>
      </c>
    </row>
    <row r="471" spans="1:18">
      <c r="A471" t="s">
        <v>478</v>
      </c>
      <c r="C471" s="3">
        <v>2095900</v>
      </c>
      <c r="D471" s="3">
        <v>2639456084</v>
      </c>
      <c r="E471" s="3">
        <v>1078752812</v>
      </c>
      <c r="F471" s="3">
        <v>7375823600</v>
      </c>
      <c r="G471" s="3">
        <v>0</v>
      </c>
      <c r="H471" s="3">
        <v>1943440</v>
      </c>
      <c r="I471" s="3">
        <v>0</v>
      </c>
      <c r="J471" s="3">
        <v>0</v>
      </c>
      <c r="K471" s="3">
        <v>297728300</v>
      </c>
      <c r="L471" s="3">
        <f t="shared" si="14"/>
        <v>11395800136</v>
      </c>
      <c r="M471" s="1">
        <v>-942662566</v>
      </c>
      <c r="N471" s="1">
        <v>-572650896</v>
      </c>
      <c r="O471" s="1">
        <v>0</v>
      </c>
      <c r="P471" s="1">
        <v>0</v>
      </c>
      <c r="Q471" s="1">
        <v>-68788768</v>
      </c>
      <c r="R471" s="1">
        <f t="shared" si="15"/>
        <v>9811697906</v>
      </c>
    </row>
    <row r="472" spans="1:18">
      <c r="A472" t="s">
        <v>479</v>
      </c>
      <c r="C472" s="3">
        <v>206600</v>
      </c>
      <c r="D472" s="3">
        <v>1817541000</v>
      </c>
      <c r="E472" s="3">
        <v>1340093204</v>
      </c>
      <c r="F472" s="3">
        <v>4464677281</v>
      </c>
      <c r="G472" s="3">
        <v>0</v>
      </c>
      <c r="H472" s="3">
        <v>55063640</v>
      </c>
      <c r="I472" s="3">
        <v>0</v>
      </c>
      <c r="J472" s="3">
        <v>0</v>
      </c>
      <c r="K472" s="3">
        <v>36804000</v>
      </c>
      <c r="L472" s="3">
        <f t="shared" si="14"/>
        <v>7714385725</v>
      </c>
      <c r="M472" s="1">
        <v>-1060793552</v>
      </c>
      <c r="N472" s="1">
        <v>-986123306</v>
      </c>
      <c r="O472" s="1">
        <v>0</v>
      </c>
      <c r="P472" s="1">
        <v>0</v>
      </c>
      <c r="Q472" s="1">
        <v>-36804000</v>
      </c>
      <c r="R472" s="1">
        <f t="shared" si="15"/>
        <v>5630664867</v>
      </c>
    </row>
    <row r="473" spans="1:18">
      <c r="A473" t="s">
        <v>480</v>
      </c>
      <c r="C473" s="3">
        <v>943769</v>
      </c>
      <c r="D473" s="3">
        <v>4613034300</v>
      </c>
      <c r="E473" s="3">
        <v>884394426</v>
      </c>
      <c r="F473" s="3">
        <v>4800768363</v>
      </c>
      <c r="G473" s="3">
        <v>0</v>
      </c>
      <c r="H473" s="3">
        <v>4626840</v>
      </c>
      <c r="I473" s="3">
        <v>0</v>
      </c>
      <c r="J473" s="3">
        <v>0</v>
      </c>
      <c r="K473" s="3">
        <v>589704400</v>
      </c>
      <c r="L473" s="3">
        <f t="shared" si="14"/>
        <v>10893472098</v>
      </c>
      <c r="M473" s="1">
        <v>-644755876</v>
      </c>
      <c r="N473" s="1">
        <v>-1293068741</v>
      </c>
      <c r="O473" s="1">
        <v>0</v>
      </c>
      <c r="P473" s="1">
        <v>0</v>
      </c>
      <c r="Q473" s="1">
        <v>-559129400</v>
      </c>
      <c r="R473" s="1">
        <f t="shared" si="15"/>
        <v>8396518081</v>
      </c>
    </row>
    <row r="474" spans="1:18">
      <c r="A474" t="s">
        <v>481</v>
      </c>
      <c r="C474" s="3">
        <v>2366200</v>
      </c>
      <c r="D474" s="3">
        <v>4927626544</v>
      </c>
      <c r="E474" s="3">
        <v>2615093870</v>
      </c>
      <c r="F474" s="3">
        <v>9136083379</v>
      </c>
      <c r="G474" s="3">
        <v>0</v>
      </c>
      <c r="H474" s="3">
        <v>30759488</v>
      </c>
      <c r="I474" s="3">
        <v>0</v>
      </c>
      <c r="J474" s="3">
        <v>29818425</v>
      </c>
      <c r="K474" s="3">
        <v>8817000</v>
      </c>
      <c r="L474" s="3">
        <f t="shared" si="14"/>
        <v>16750564906</v>
      </c>
      <c r="M474" s="1">
        <v>-2295726087</v>
      </c>
      <c r="N474" s="1">
        <v>-1913040727</v>
      </c>
      <c r="O474" s="1">
        <v>0</v>
      </c>
      <c r="P474" s="1">
        <v>0</v>
      </c>
      <c r="Q474" s="1">
        <v>-8817000</v>
      </c>
      <c r="R474" s="1">
        <f t="shared" si="15"/>
        <v>12532981092</v>
      </c>
    </row>
    <row r="475" spans="1:18">
      <c r="A475" t="s">
        <v>482</v>
      </c>
      <c r="C475" s="3">
        <v>2748000</v>
      </c>
      <c r="D475" s="3">
        <v>1494282000</v>
      </c>
      <c r="E475" s="3">
        <v>1533531375</v>
      </c>
      <c r="F475" s="3">
        <v>3169666600</v>
      </c>
      <c r="G475" s="3">
        <v>43985000</v>
      </c>
      <c r="H475" s="3">
        <v>8739500</v>
      </c>
      <c r="I475" s="3">
        <v>0</v>
      </c>
      <c r="J475" s="3">
        <v>29100000</v>
      </c>
      <c r="K475" s="3">
        <v>41134915</v>
      </c>
      <c r="L475" s="3">
        <f t="shared" si="14"/>
        <v>6323187390</v>
      </c>
      <c r="M475" s="1">
        <v>-1158636928</v>
      </c>
      <c r="N475" s="1">
        <v>-575464963</v>
      </c>
      <c r="O475" s="1">
        <v>-39586500</v>
      </c>
      <c r="P475" s="1">
        <v>0</v>
      </c>
      <c r="Q475" s="1">
        <v>-40534915</v>
      </c>
      <c r="R475" s="1">
        <f t="shared" si="15"/>
        <v>4508964084</v>
      </c>
    </row>
    <row r="476" spans="1:18">
      <c r="A476" t="s">
        <v>483</v>
      </c>
      <c r="C476" s="3">
        <v>0</v>
      </c>
      <c r="D476" s="3">
        <v>1616454000</v>
      </c>
      <c r="E476" s="3">
        <v>714273782</v>
      </c>
      <c r="F476" s="3">
        <v>2876749850</v>
      </c>
      <c r="G476" s="3">
        <v>409390000</v>
      </c>
      <c r="H476" s="3">
        <v>23532000</v>
      </c>
      <c r="I476" s="3">
        <v>0</v>
      </c>
      <c r="J476" s="3">
        <v>3000000</v>
      </c>
      <c r="K476" s="3">
        <v>2096000</v>
      </c>
      <c r="L476" s="3">
        <f t="shared" si="14"/>
        <v>5645495632</v>
      </c>
      <c r="M476" s="1">
        <v>-588057292</v>
      </c>
      <c r="N476" s="1">
        <v>-441835695</v>
      </c>
      <c r="O476" s="1">
        <v>-266103500</v>
      </c>
      <c r="P476" s="1">
        <v>0</v>
      </c>
      <c r="Q476" s="1">
        <v>-2096000</v>
      </c>
      <c r="R476" s="1">
        <f t="shared" si="15"/>
        <v>4347403145</v>
      </c>
    </row>
    <row r="477" spans="1:18">
      <c r="A477" t="s">
        <v>484</v>
      </c>
      <c r="C477" s="3">
        <v>5374500</v>
      </c>
      <c r="D477" s="3">
        <v>330930000</v>
      </c>
      <c r="E477" s="3">
        <v>892140542</v>
      </c>
      <c r="F477" s="3">
        <v>358096900</v>
      </c>
      <c r="G477" s="3">
        <v>0</v>
      </c>
      <c r="H477" s="3">
        <v>1342920</v>
      </c>
      <c r="I477" s="3">
        <v>9614309000</v>
      </c>
      <c r="J477" s="3">
        <v>0</v>
      </c>
      <c r="K477" s="3">
        <v>74575000</v>
      </c>
      <c r="L477" s="3">
        <f t="shared" si="14"/>
        <v>11276768862</v>
      </c>
      <c r="M477" s="1">
        <v>-692794072</v>
      </c>
      <c r="N477" s="1">
        <v>-84508721</v>
      </c>
      <c r="O477" s="1">
        <v>0</v>
      </c>
      <c r="P477" s="1">
        <v>0</v>
      </c>
      <c r="Q477" s="1">
        <v>-74575000</v>
      </c>
      <c r="R477" s="1">
        <f t="shared" si="15"/>
        <v>10424891069</v>
      </c>
    </row>
    <row r="478" spans="1:18">
      <c r="A478" t="s">
        <v>485</v>
      </c>
      <c r="C478" s="3">
        <v>125900</v>
      </c>
      <c r="D478" s="3">
        <v>547475500</v>
      </c>
      <c r="E478" s="3">
        <v>693952516</v>
      </c>
      <c r="F478" s="3">
        <v>2944689950</v>
      </c>
      <c r="G478" s="3">
        <v>594353000</v>
      </c>
      <c r="H478" s="3">
        <v>30830820</v>
      </c>
      <c r="I478" s="3">
        <v>0</v>
      </c>
      <c r="J478" s="3">
        <v>7500000</v>
      </c>
      <c r="K478" s="3">
        <v>91240051</v>
      </c>
      <c r="L478" s="3">
        <f t="shared" si="14"/>
        <v>4910167737</v>
      </c>
      <c r="M478" s="1">
        <v>-507852028</v>
      </c>
      <c r="N478" s="1">
        <v>-446732615</v>
      </c>
      <c r="O478" s="1">
        <v>-179475710</v>
      </c>
      <c r="P478" s="1">
        <v>0</v>
      </c>
      <c r="Q478" s="1">
        <v>-91240051</v>
      </c>
      <c r="R478" s="1">
        <f t="shared" si="15"/>
        <v>3684867333</v>
      </c>
    </row>
    <row r="479" spans="1:18">
      <c r="A479" t="s">
        <v>486</v>
      </c>
      <c r="C479" s="3">
        <v>392900</v>
      </c>
      <c r="D479" s="3">
        <v>689660000</v>
      </c>
      <c r="E479" s="3">
        <v>791886098</v>
      </c>
      <c r="F479" s="3">
        <v>9182556100</v>
      </c>
      <c r="G479" s="3">
        <v>0</v>
      </c>
      <c r="H479" s="3">
        <v>6961470</v>
      </c>
      <c r="I479" s="3">
        <v>0</v>
      </c>
      <c r="J479" s="3">
        <v>0</v>
      </c>
      <c r="K479" s="3">
        <v>3791000</v>
      </c>
      <c r="L479" s="3">
        <f t="shared" si="14"/>
        <v>10675247568</v>
      </c>
      <c r="M479" s="1">
        <v>-621651628</v>
      </c>
      <c r="N479" s="1">
        <v>-878490385</v>
      </c>
      <c r="O479" s="1">
        <v>0</v>
      </c>
      <c r="P479" s="1">
        <v>0</v>
      </c>
      <c r="Q479" s="1">
        <v>-3791000</v>
      </c>
      <c r="R479" s="1">
        <f t="shared" si="15"/>
        <v>9171314555</v>
      </c>
    </row>
    <row r="480" spans="1:18">
      <c r="A480" t="s">
        <v>487</v>
      </c>
      <c r="C480" s="3">
        <v>225650</v>
      </c>
      <c r="D480" s="3">
        <v>584810000</v>
      </c>
      <c r="E480" s="3">
        <v>1081748710</v>
      </c>
      <c r="F480" s="3">
        <v>5418506044</v>
      </c>
      <c r="G480" s="3">
        <v>0</v>
      </c>
      <c r="H480" s="3">
        <v>28469545</v>
      </c>
      <c r="I480" s="3">
        <v>0</v>
      </c>
      <c r="J480" s="3">
        <v>0</v>
      </c>
      <c r="K480" s="3">
        <v>3019334</v>
      </c>
      <c r="L480" s="3">
        <f t="shared" si="14"/>
        <v>7116779283</v>
      </c>
      <c r="M480" s="1">
        <v>-908802073</v>
      </c>
      <c r="N480" s="1">
        <v>-841607249</v>
      </c>
      <c r="O480" s="1">
        <v>0</v>
      </c>
      <c r="P480" s="1">
        <v>0</v>
      </c>
      <c r="Q480" s="1">
        <v>-2796334</v>
      </c>
      <c r="R480" s="1">
        <f t="shared" si="15"/>
        <v>5363573627</v>
      </c>
    </row>
    <row r="481" spans="1:18">
      <c r="A481" t="s">
        <v>488</v>
      </c>
      <c r="C481" s="3">
        <v>5650498</v>
      </c>
      <c r="D481" s="3">
        <v>3215335000</v>
      </c>
      <c r="E481" s="3">
        <v>3403157554</v>
      </c>
      <c r="F481" s="3">
        <v>9994457875</v>
      </c>
      <c r="G481" s="3">
        <v>842494448</v>
      </c>
      <c r="H481" s="3">
        <v>15951356</v>
      </c>
      <c r="I481" s="3">
        <v>0</v>
      </c>
      <c r="J481" s="3">
        <v>0</v>
      </c>
      <c r="K481" s="3">
        <v>0</v>
      </c>
      <c r="L481" s="3">
        <f t="shared" si="14"/>
        <v>17477046731</v>
      </c>
      <c r="M481" s="1">
        <v>-2840941603</v>
      </c>
      <c r="N481" s="1">
        <v>-1632031273</v>
      </c>
      <c r="O481" s="1">
        <v>-674192250</v>
      </c>
      <c r="P481" s="1">
        <v>-7000000</v>
      </c>
      <c r="Q481" s="1">
        <v>0</v>
      </c>
      <c r="R481" s="1">
        <f t="shared" si="15"/>
        <v>12322881605</v>
      </c>
    </row>
    <row r="482" spans="1:18">
      <c r="A482" t="s">
        <v>489</v>
      </c>
      <c r="C482" s="3">
        <v>24007955</v>
      </c>
      <c r="D482" s="3">
        <v>4363490000</v>
      </c>
      <c r="E482" s="3">
        <v>3635101721</v>
      </c>
      <c r="F482" s="3">
        <v>2578560749</v>
      </c>
      <c r="G482" s="3">
        <v>0</v>
      </c>
      <c r="H482" s="3">
        <v>7980000</v>
      </c>
      <c r="I482" s="3">
        <v>0</v>
      </c>
      <c r="J482" s="3">
        <v>74750000</v>
      </c>
      <c r="K482" s="3">
        <v>35513484</v>
      </c>
      <c r="L482" s="3">
        <f t="shared" si="14"/>
        <v>10719403909</v>
      </c>
      <c r="M482" s="1">
        <v>-3237256749</v>
      </c>
      <c r="N482" s="1">
        <v>-334353106</v>
      </c>
      <c r="O482" s="1">
        <v>0</v>
      </c>
      <c r="P482" s="1">
        <v>0</v>
      </c>
      <c r="Q482" s="1">
        <v>-35513484</v>
      </c>
      <c r="R482" s="1">
        <f t="shared" si="15"/>
        <v>7112280570</v>
      </c>
    </row>
    <row r="483" spans="1:18">
      <c r="A483" t="s">
        <v>490</v>
      </c>
      <c r="C483" s="3">
        <v>73000</v>
      </c>
      <c r="D483" s="3">
        <v>856800000</v>
      </c>
      <c r="E483" s="3">
        <v>1842263324</v>
      </c>
      <c r="F483" s="3">
        <v>2540293000</v>
      </c>
      <c r="G483" s="3">
        <v>0</v>
      </c>
      <c r="H483" s="3">
        <v>2965060</v>
      </c>
      <c r="I483" s="3">
        <v>456745000</v>
      </c>
      <c r="J483" s="3">
        <v>5186000</v>
      </c>
      <c r="K483" s="3">
        <v>52220000</v>
      </c>
      <c r="L483" s="3">
        <f t="shared" si="14"/>
        <v>5756545384</v>
      </c>
      <c r="M483" s="1">
        <v>-1257683648</v>
      </c>
      <c r="N483" s="1">
        <v>-275031132</v>
      </c>
      <c r="O483" s="1">
        <v>0</v>
      </c>
      <c r="P483" s="1">
        <v>0</v>
      </c>
      <c r="Q483" s="1">
        <v>-36636000</v>
      </c>
      <c r="R483" s="1">
        <f t="shared" si="15"/>
        <v>4187194604</v>
      </c>
    </row>
    <row r="484" spans="1:18">
      <c r="A484" t="s">
        <v>491</v>
      </c>
      <c r="C484" s="3">
        <v>2190000</v>
      </c>
      <c r="D484" s="3">
        <v>2144827000</v>
      </c>
      <c r="E484" s="3">
        <v>1596889270</v>
      </c>
      <c r="F484" s="3">
        <v>7488278480</v>
      </c>
      <c r="G484" s="3">
        <v>0</v>
      </c>
      <c r="H484" s="3">
        <v>0</v>
      </c>
      <c r="I484" s="3">
        <v>2351307400</v>
      </c>
      <c r="J484" s="3">
        <v>17432000</v>
      </c>
      <c r="K484" s="3">
        <v>0</v>
      </c>
      <c r="L484" s="3">
        <f t="shared" si="14"/>
        <v>13600924150</v>
      </c>
      <c r="M484" s="1">
        <v>-544403847</v>
      </c>
      <c r="N484" s="1">
        <v>-255082111</v>
      </c>
      <c r="O484" s="1">
        <v>0</v>
      </c>
      <c r="P484" s="1">
        <v>0</v>
      </c>
      <c r="Q484" s="1">
        <v>0</v>
      </c>
      <c r="R484" s="1">
        <f t="shared" si="15"/>
        <v>12801438192</v>
      </c>
    </row>
    <row r="485" spans="1:18">
      <c r="A485" t="s">
        <v>492</v>
      </c>
      <c r="C485" s="3">
        <v>596000</v>
      </c>
      <c r="D485" s="3">
        <v>12151204650</v>
      </c>
      <c r="E485" s="3">
        <v>4170542201</v>
      </c>
      <c r="F485" s="3">
        <v>7278021934</v>
      </c>
      <c r="G485" s="3">
        <v>149672000</v>
      </c>
      <c r="H485" s="3">
        <v>1165093440</v>
      </c>
      <c r="I485" s="3">
        <v>9791167800</v>
      </c>
      <c r="J485" s="3">
        <v>25085000</v>
      </c>
      <c r="K485" s="3">
        <v>16750000</v>
      </c>
      <c r="L485" s="3">
        <f t="shared" si="14"/>
        <v>34748133025</v>
      </c>
      <c r="M485" s="1">
        <v>-3425155058</v>
      </c>
      <c r="N485" s="1">
        <v>-2716245987</v>
      </c>
      <c r="O485" s="1">
        <v>-7483600</v>
      </c>
      <c r="P485" s="1">
        <v>0</v>
      </c>
      <c r="Q485" s="1">
        <v>-16750000</v>
      </c>
      <c r="R485" s="1">
        <f t="shared" si="15"/>
        <v>28582498380</v>
      </c>
    </row>
    <row r="486" spans="1:18">
      <c r="A486" t="s">
        <v>493</v>
      </c>
      <c r="C486" s="3">
        <v>0</v>
      </c>
      <c r="D486" s="3">
        <v>11234232550</v>
      </c>
      <c r="E486" s="3">
        <v>3444867902</v>
      </c>
      <c r="F486" s="3">
        <v>13967925641</v>
      </c>
      <c r="G486" s="3">
        <v>171065783</v>
      </c>
      <c r="H486" s="3">
        <v>4393440</v>
      </c>
      <c r="I486" s="3">
        <v>0</v>
      </c>
      <c r="J486" s="3">
        <v>24200000</v>
      </c>
      <c r="K486" s="3">
        <v>438534004</v>
      </c>
      <c r="L486" s="3">
        <f t="shared" si="14"/>
        <v>29285219320</v>
      </c>
      <c r="M486" s="1">
        <v>-2408339103</v>
      </c>
      <c r="N486" s="1">
        <v>-5655259666</v>
      </c>
      <c r="O486" s="1">
        <v>-93474892</v>
      </c>
      <c r="P486" s="1">
        <v>0</v>
      </c>
      <c r="Q486" s="1">
        <v>-438534004</v>
      </c>
      <c r="R486" s="1">
        <f t="shared" si="15"/>
        <v>20689611655</v>
      </c>
    </row>
    <row r="487" spans="1:18">
      <c r="A487" t="s">
        <v>494</v>
      </c>
      <c r="C487" s="3">
        <v>2823400</v>
      </c>
      <c r="D487" s="3">
        <v>1514481800</v>
      </c>
      <c r="E487" s="3">
        <v>1381565962</v>
      </c>
      <c r="F487" s="3">
        <v>2342130931</v>
      </c>
      <c r="G487" s="3">
        <v>56300000</v>
      </c>
      <c r="H487" s="3">
        <v>14472118</v>
      </c>
      <c r="I487" s="3">
        <v>0</v>
      </c>
      <c r="J487" s="3">
        <v>10154650</v>
      </c>
      <c r="K487" s="3">
        <v>0</v>
      </c>
      <c r="L487" s="3">
        <f t="shared" si="14"/>
        <v>5321928861</v>
      </c>
      <c r="M487" s="1">
        <v>-1107134634</v>
      </c>
      <c r="N487" s="1">
        <v>-411887683</v>
      </c>
      <c r="O487" s="1">
        <v>-1407500</v>
      </c>
      <c r="P487" s="1">
        <v>0</v>
      </c>
      <c r="Q487" s="1">
        <v>0</v>
      </c>
      <c r="R487" s="1">
        <f t="shared" si="15"/>
        <v>3801499044</v>
      </c>
    </row>
    <row r="488" spans="1:18">
      <c r="A488" t="s">
        <v>495</v>
      </c>
      <c r="C488" s="3">
        <v>0</v>
      </c>
      <c r="D488" s="3">
        <v>4541929200</v>
      </c>
      <c r="E488" s="3">
        <v>1431066298</v>
      </c>
      <c r="F488" s="3">
        <v>2501477000</v>
      </c>
      <c r="G488" s="3">
        <v>0</v>
      </c>
      <c r="H488" s="3">
        <v>4836116</v>
      </c>
      <c r="I488" s="3">
        <v>5406961150</v>
      </c>
      <c r="J488" s="3">
        <v>0</v>
      </c>
      <c r="K488" s="3">
        <v>0</v>
      </c>
      <c r="L488" s="3">
        <f t="shared" si="14"/>
        <v>13886269764</v>
      </c>
      <c r="M488" s="1">
        <v>-1151111652</v>
      </c>
      <c r="N488" s="1">
        <v>-738106691</v>
      </c>
      <c r="O488" s="1">
        <v>0</v>
      </c>
      <c r="P488" s="1">
        <v>0</v>
      </c>
      <c r="Q488" s="1">
        <v>0</v>
      </c>
      <c r="R488" s="1">
        <f t="shared" si="15"/>
        <v>11997051421</v>
      </c>
    </row>
    <row r="489" spans="1:18">
      <c r="A489" t="s">
        <v>496</v>
      </c>
      <c r="C489" s="3">
        <v>0</v>
      </c>
      <c r="D489" s="3">
        <v>4706800000</v>
      </c>
      <c r="E489" s="3">
        <v>1368064703</v>
      </c>
      <c r="F489" s="3">
        <v>3677283610</v>
      </c>
      <c r="G489" s="3">
        <v>0</v>
      </c>
      <c r="H489" s="3">
        <v>97097118</v>
      </c>
      <c r="I489" s="3">
        <v>0</v>
      </c>
      <c r="J489" s="3">
        <v>0</v>
      </c>
      <c r="K489" s="3">
        <v>7000</v>
      </c>
      <c r="L489" s="3">
        <f t="shared" si="14"/>
        <v>9849252431</v>
      </c>
      <c r="M489" s="1">
        <v>-1256123051</v>
      </c>
      <c r="N489" s="1">
        <v>-1789424023</v>
      </c>
      <c r="O489" s="1">
        <v>0</v>
      </c>
      <c r="P489" s="1">
        <v>0</v>
      </c>
      <c r="Q489" s="1">
        <v>-7000</v>
      </c>
      <c r="R489" s="1">
        <f t="shared" si="15"/>
        <v>6803698357</v>
      </c>
    </row>
    <row r="490" spans="1:18">
      <c r="A490" t="s">
        <v>497</v>
      </c>
      <c r="C490" s="3">
        <v>1783100</v>
      </c>
      <c r="D490" s="3">
        <v>7909000000</v>
      </c>
      <c r="E490" s="3">
        <v>1572221061</v>
      </c>
      <c r="F490" s="3">
        <v>12689217654</v>
      </c>
      <c r="G490" s="3">
        <v>0</v>
      </c>
      <c r="H490" s="3">
        <v>2014440</v>
      </c>
      <c r="I490" s="3">
        <v>0</v>
      </c>
      <c r="J490" s="3">
        <v>0</v>
      </c>
      <c r="K490" s="3">
        <v>42027427</v>
      </c>
      <c r="L490" s="3">
        <f t="shared" si="14"/>
        <v>22216263682</v>
      </c>
      <c r="M490" s="1">
        <v>-1157472128</v>
      </c>
      <c r="N490" s="1">
        <v>-1038991527</v>
      </c>
      <c r="O490" s="1">
        <v>0</v>
      </c>
      <c r="P490" s="1">
        <v>0</v>
      </c>
      <c r="Q490" s="1">
        <v>-42027427</v>
      </c>
      <c r="R490" s="1">
        <f t="shared" si="15"/>
        <v>19977772600</v>
      </c>
    </row>
    <row r="491" spans="1:18">
      <c r="A491" t="s">
        <v>498</v>
      </c>
      <c r="C491" s="3">
        <v>0</v>
      </c>
      <c r="D491" s="3">
        <v>3133447400</v>
      </c>
      <c r="E491" s="3">
        <v>1623506279</v>
      </c>
      <c r="F491" s="3">
        <v>5760775600</v>
      </c>
      <c r="G491" s="3">
        <v>6450000</v>
      </c>
      <c r="H491" s="3">
        <v>19204940</v>
      </c>
      <c r="I491" s="3">
        <v>0</v>
      </c>
      <c r="J491" s="3">
        <v>10000000</v>
      </c>
      <c r="K491" s="3">
        <v>29683250</v>
      </c>
      <c r="L491" s="3">
        <f t="shared" si="14"/>
        <v>10583067469</v>
      </c>
      <c r="M491" s="1">
        <v>-1518864307</v>
      </c>
      <c r="N491" s="1">
        <v>-1843246623</v>
      </c>
      <c r="O491" s="1">
        <v>-5450000</v>
      </c>
      <c r="P491" s="1">
        <v>0</v>
      </c>
      <c r="Q491" s="1">
        <v>-8820000</v>
      </c>
      <c r="R491" s="1">
        <f t="shared" si="15"/>
        <v>7206686539</v>
      </c>
    </row>
    <row r="492" spans="1:18">
      <c r="A492" t="s">
        <v>499</v>
      </c>
      <c r="C492" s="3">
        <v>12000</v>
      </c>
      <c r="D492" s="3">
        <v>3253406000</v>
      </c>
      <c r="E492" s="3">
        <v>1373436500</v>
      </c>
      <c r="F492" s="3">
        <v>4030277325</v>
      </c>
      <c r="G492" s="3">
        <v>0</v>
      </c>
      <c r="H492" s="3">
        <v>4772118</v>
      </c>
      <c r="I492" s="3">
        <v>0</v>
      </c>
      <c r="J492" s="3">
        <v>0</v>
      </c>
      <c r="K492" s="3">
        <v>349471717</v>
      </c>
      <c r="L492" s="3">
        <f t="shared" si="14"/>
        <v>9011375660</v>
      </c>
      <c r="M492" s="1">
        <v>-993283433</v>
      </c>
      <c r="N492" s="1">
        <v>-1069933864</v>
      </c>
      <c r="O492" s="1">
        <v>0</v>
      </c>
      <c r="P492" s="1">
        <v>0</v>
      </c>
      <c r="Q492" s="1">
        <v>-312391550</v>
      </c>
      <c r="R492" s="1">
        <f t="shared" si="15"/>
        <v>6635766813</v>
      </c>
    </row>
    <row r="493" spans="1:18">
      <c r="A493" t="s">
        <v>500</v>
      </c>
      <c r="C493" s="3">
        <v>0</v>
      </c>
      <c r="D493" s="3">
        <v>1783348000</v>
      </c>
      <c r="E493" s="3">
        <v>1472260903</v>
      </c>
      <c r="F493" s="3">
        <v>4319626000</v>
      </c>
      <c r="G493" s="3">
        <v>29307000</v>
      </c>
      <c r="H493" s="3">
        <v>24193440</v>
      </c>
      <c r="I493" s="3">
        <v>0</v>
      </c>
      <c r="J493" s="3">
        <v>0</v>
      </c>
      <c r="K493" s="3">
        <v>0</v>
      </c>
      <c r="L493" s="3">
        <f t="shared" si="14"/>
        <v>7628735343</v>
      </c>
      <c r="M493" s="1">
        <v>-1153748974</v>
      </c>
      <c r="N493" s="1">
        <v>-708134927</v>
      </c>
      <c r="O493" s="1">
        <v>-4396050</v>
      </c>
      <c r="P493" s="1">
        <v>0</v>
      </c>
      <c r="Q493" s="1">
        <v>0</v>
      </c>
      <c r="R493" s="1">
        <f t="shared" si="15"/>
        <v>5762455392</v>
      </c>
    </row>
    <row r="494" spans="1:18">
      <c r="A494" t="s">
        <v>501</v>
      </c>
      <c r="C494" s="3">
        <v>4095644</v>
      </c>
      <c r="D494" s="3">
        <v>501265000</v>
      </c>
      <c r="E494" s="3">
        <v>1225185224</v>
      </c>
      <c r="F494" s="3">
        <v>10462923770</v>
      </c>
      <c r="G494" s="3">
        <v>97322000</v>
      </c>
      <c r="H494" s="3">
        <v>2402420</v>
      </c>
      <c r="I494" s="3">
        <v>0</v>
      </c>
      <c r="J494" s="3">
        <v>7506000</v>
      </c>
      <c r="K494" s="3">
        <v>288438128</v>
      </c>
      <c r="L494" s="3">
        <f t="shared" si="14"/>
        <v>12589138186</v>
      </c>
      <c r="M494" s="1">
        <v>-998511399</v>
      </c>
      <c r="N494" s="1">
        <v>-1076744435</v>
      </c>
      <c r="O494" s="1">
        <v>-21361525</v>
      </c>
      <c r="P494" s="1">
        <v>0</v>
      </c>
      <c r="Q494" s="1">
        <v>-287763128</v>
      </c>
      <c r="R494" s="1">
        <f t="shared" si="15"/>
        <v>10204757699</v>
      </c>
    </row>
    <row r="495" spans="1:18">
      <c r="A495" t="s">
        <v>502</v>
      </c>
      <c r="C495" s="3">
        <v>75000</v>
      </c>
      <c r="D495" s="3">
        <v>2882250000</v>
      </c>
      <c r="E495" s="3">
        <v>1083420402</v>
      </c>
      <c r="F495" s="3">
        <v>5087271998</v>
      </c>
      <c r="G495" s="3">
        <v>9760000</v>
      </c>
      <c r="H495" s="3">
        <v>14040176</v>
      </c>
      <c r="I495" s="3">
        <v>0</v>
      </c>
      <c r="J495" s="3">
        <v>0</v>
      </c>
      <c r="K495" s="3">
        <v>47600000</v>
      </c>
      <c r="L495" s="3">
        <f t="shared" si="14"/>
        <v>9124417576</v>
      </c>
      <c r="M495" s="1">
        <v>-914842619</v>
      </c>
      <c r="N495" s="1">
        <v>-838022366</v>
      </c>
      <c r="O495" s="1">
        <v>-1094922</v>
      </c>
      <c r="P495" s="1">
        <v>0</v>
      </c>
      <c r="Q495" s="1">
        <v>-47600000</v>
      </c>
      <c r="R495" s="1">
        <f t="shared" si="15"/>
        <v>7322857669</v>
      </c>
    </row>
    <row r="496" spans="1:18">
      <c r="A496" t="s">
        <v>503</v>
      </c>
      <c r="C496" s="3">
        <v>5953000</v>
      </c>
      <c r="D496" s="3">
        <v>1446629250</v>
      </c>
      <c r="E496" s="3">
        <v>1490454233</v>
      </c>
      <c r="F496" s="3">
        <v>7821370349</v>
      </c>
      <c r="G496" s="3">
        <v>0</v>
      </c>
      <c r="H496" s="3">
        <v>1861820</v>
      </c>
      <c r="I496" s="3">
        <v>0</v>
      </c>
      <c r="J496" s="3">
        <v>0</v>
      </c>
      <c r="K496" s="3">
        <v>2375000</v>
      </c>
      <c r="L496" s="3">
        <f t="shared" si="14"/>
        <v>10768643652</v>
      </c>
      <c r="M496" s="1">
        <v>-1381182478</v>
      </c>
      <c r="N496" s="1">
        <v>-886920152</v>
      </c>
      <c r="O496" s="1">
        <v>0</v>
      </c>
      <c r="P496" s="1">
        <v>0</v>
      </c>
      <c r="Q496" s="1">
        <v>-2375000</v>
      </c>
      <c r="R496" s="1">
        <f t="shared" si="15"/>
        <v>8498166022</v>
      </c>
    </row>
    <row r="497" spans="1:18">
      <c r="A497" t="s">
        <v>504</v>
      </c>
      <c r="C497" s="3">
        <v>0</v>
      </c>
      <c r="D497" s="3">
        <v>1514694800</v>
      </c>
      <c r="E497" s="3">
        <v>1415386103</v>
      </c>
      <c r="F497" s="3">
        <v>3077307100</v>
      </c>
      <c r="G497" s="3">
        <v>55232350</v>
      </c>
      <c r="H497" s="3">
        <v>53043440</v>
      </c>
      <c r="I497" s="3">
        <v>0</v>
      </c>
      <c r="J497" s="3">
        <v>0</v>
      </c>
      <c r="K497" s="3">
        <v>2000000</v>
      </c>
      <c r="L497" s="3">
        <f t="shared" si="14"/>
        <v>6117663793</v>
      </c>
      <c r="M497" s="1">
        <v>-1258248791</v>
      </c>
      <c r="N497" s="1">
        <v>-1539097391</v>
      </c>
      <c r="O497" s="1">
        <v>-11736872</v>
      </c>
      <c r="P497" s="1">
        <v>0</v>
      </c>
      <c r="Q497" s="1">
        <v>-1400000</v>
      </c>
      <c r="R497" s="1">
        <f t="shared" si="15"/>
        <v>3307180739</v>
      </c>
    </row>
    <row r="498" spans="1:18">
      <c r="A498" t="s">
        <v>505</v>
      </c>
      <c r="C498" s="3">
        <v>0</v>
      </c>
      <c r="D498" s="3">
        <v>7500000000</v>
      </c>
      <c r="E498" s="3">
        <v>1254730828</v>
      </c>
      <c r="F498" s="3">
        <v>3908020000</v>
      </c>
      <c r="G498" s="3">
        <v>133545750</v>
      </c>
      <c r="H498" s="3">
        <v>136378440</v>
      </c>
      <c r="I498" s="3">
        <v>0</v>
      </c>
      <c r="J498" s="3">
        <v>0</v>
      </c>
      <c r="K498" s="3">
        <v>0</v>
      </c>
      <c r="L498" s="3">
        <f t="shared" si="14"/>
        <v>12932675018</v>
      </c>
      <c r="M498" s="1">
        <v>-1144032456</v>
      </c>
      <c r="N498" s="1">
        <v>-781083959</v>
      </c>
      <c r="O498" s="1">
        <v>-84921610</v>
      </c>
      <c r="P498" s="1">
        <v>0</v>
      </c>
      <c r="Q498" s="1">
        <v>0</v>
      </c>
      <c r="R498" s="1">
        <f t="shared" si="15"/>
        <v>10922636993</v>
      </c>
    </row>
    <row r="499" spans="1:18">
      <c r="A499" t="s">
        <v>506</v>
      </c>
      <c r="C499" s="3">
        <v>2770300</v>
      </c>
      <c r="D499" s="3">
        <v>6727468000</v>
      </c>
      <c r="E499" s="3">
        <v>4484344419</v>
      </c>
      <c r="F499" s="3">
        <v>9841645657</v>
      </c>
      <c r="G499" s="3">
        <v>5500000</v>
      </c>
      <c r="H499" s="3">
        <v>11248738</v>
      </c>
      <c r="I499" s="3">
        <v>9984399000</v>
      </c>
      <c r="J499" s="3">
        <v>416069420</v>
      </c>
      <c r="K499" s="3">
        <v>119322120</v>
      </c>
      <c r="L499" s="3">
        <f t="shared" si="14"/>
        <v>31592767654</v>
      </c>
      <c r="M499" s="1">
        <v>-3888141167</v>
      </c>
      <c r="N499" s="1">
        <v>-1779517219</v>
      </c>
      <c r="O499" s="1">
        <v>-5500000</v>
      </c>
      <c r="P499" s="1">
        <v>0</v>
      </c>
      <c r="Q499" s="1">
        <v>-119253370</v>
      </c>
      <c r="R499" s="1">
        <f t="shared" si="15"/>
        <v>25800355898</v>
      </c>
    </row>
    <row r="500" spans="1:18">
      <c r="A500" t="s">
        <v>507</v>
      </c>
      <c r="C500" s="3">
        <v>2294300</v>
      </c>
      <c r="D500" s="3">
        <v>227531000</v>
      </c>
      <c r="E500" s="3">
        <v>1905796789</v>
      </c>
      <c r="F500" s="3">
        <v>1570347100</v>
      </c>
      <c r="G500" s="3">
        <v>93000000</v>
      </c>
      <c r="H500" s="3">
        <v>23305330</v>
      </c>
      <c r="I500" s="3">
        <v>0</v>
      </c>
      <c r="J500" s="3">
        <v>22200000</v>
      </c>
      <c r="K500" s="3">
        <v>0</v>
      </c>
      <c r="L500" s="3">
        <f t="shared" si="14"/>
        <v>3844474519</v>
      </c>
      <c r="M500" s="1">
        <v>-1551408272</v>
      </c>
      <c r="N500" s="1">
        <v>-233213291</v>
      </c>
      <c r="O500" s="1">
        <v>-12975000</v>
      </c>
      <c r="P500" s="1">
        <v>0</v>
      </c>
      <c r="Q500" s="1">
        <v>0</v>
      </c>
      <c r="R500" s="1">
        <f t="shared" si="15"/>
        <v>2046877956</v>
      </c>
    </row>
    <row r="501" spans="1:18">
      <c r="A501" t="s">
        <v>508</v>
      </c>
      <c r="C501" s="3">
        <v>722700</v>
      </c>
      <c r="D501" s="3">
        <v>929179400</v>
      </c>
      <c r="E501" s="3">
        <v>1419148017</v>
      </c>
      <c r="F501" s="3">
        <v>9876917400</v>
      </c>
      <c r="G501" s="3">
        <v>24964850</v>
      </c>
      <c r="H501" s="3">
        <v>30692098</v>
      </c>
      <c r="I501" s="3">
        <v>1712780000</v>
      </c>
      <c r="J501" s="3">
        <v>63650000</v>
      </c>
      <c r="K501" s="3">
        <v>1477203</v>
      </c>
      <c r="L501" s="3">
        <f t="shared" si="14"/>
        <v>14059531668</v>
      </c>
      <c r="M501" s="1">
        <v>-998292337</v>
      </c>
      <c r="N501" s="1">
        <v>-296307522</v>
      </c>
      <c r="O501" s="1">
        <v>-3744730</v>
      </c>
      <c r="P501" s="1">
        <v>0</v>
      </c>
      <c r="Q501" s="1">
        <v>-1477203</v>
      </c>
      <c r="R501" s="1">
        <f t="shared" si="15"/>
        <v>12759709876</v>
      </c>
    </row>
    <row r="502" spans="1:18">
      <c r="A502" t="s">
        <v>509</v>
      </c>
      <c r="C502" s="3">
        <v>12500</v>
      </c>
      <c r="D502" s="3">
        <v>1282764336</v>
      </c>
      <c r="E502" s="3">
        <v>1351274375</v>
      </c>
      <c r="F502" s="3">
        <v>885948000</v>
      </c>
      <c r="G502" s="3">
        <v>0</v>
      </c>
      <c r="H502" s="3">
        <v>21863698</v>
      </c>
      <c r="I502" s="3">
        <v>2486911000</v>
      </c>
      <c r="J502" s="3">
        <v>27400000</v>
      </c>
      <c r="K502" s="3">
        <v>211379405</v>
      </c>
      <c r="L502" s="3">
        <f t="shared" si="14"/>
        <v>6267553314</v>
      </c>
      <c r="M502" s="1">
        <v>-1196259940</v>
      </c>
      <c r="N502" s="1">
        <v>-154448360</v>
      </c>
      <c r="O502" s="1">
        <v>0</v>
      </c>
      <c r="P502" s="1">
        <v>0</v>
      </c>
      <c r="Q502" s="1">
        <v>-211379405</v>
      </c>
      <c r="R502" s="1">
        <f t="shared" si="15"/>
        <v>4705465609</v>
      </c>
    </row>
    <row r="503" spans="1:18">
      <c r="A503" t="s">
        <v>510</v>
      </c>
      <c r="C503" s="3">
        <v>660100</v>
      </c>
      <c r="D503" s="3">
        <v>1644137000</v>
      </c>
      <c r="E503" s="3">
        <v>1243710440</v>
      </c>
      <c r="F503" s="3">
        <v>5755047426</v>
      </c>
      <c r="G503" s="3">
        <v>99770000</v>
      </c>
      <c r="H503" s="3">
        <v>39538120</v>
      </c>
      <c r="I503" s="3">
        <v>0</v>
      </c>
      <c r="J503" s="3">
        <v>27475000</v>
      </c>
      <c r="K503" s="3">
        <v>0</v>
      </c>
      <c r="L503" s="3">
        <f t="shared" si="14"/>
        <v>8810338086</v>
      </c>
      <c r="M503" s="1">
        <v>-1055130454</v>
      </c>
      <c r="N503" s="1">
        <v>-1116580261</v>
      </c>
      <c r="O503" s="1">
        <v>-99770000</v>
      </c>
      <c r="P503" s="1">
        <v>0</v>
      </c>
      <c r="Q503" s="1">
        <v>0</v>
      </c>
      <c r="R503" s="1">
        <f t="shared" si="15"/>
        <v>6538857371</v>
      </c>
    </row>
    <row r="504" spans="1:18">
      <c r="A504" t="s">
        <v>511</v>
      </c>
      <c r="C504" s="3">
        <v>471600</v>
      </c>
      <c r="D504" s="3">
        <v>2454225000</v>
      </c>
      <c r="E504" s="3">
        <v>1442055873</v>
      </c>
      <c r="F504" s="3">
        <v>9447453242</v>
      </c>
      <c r="G504" s="3">
        <v>0</v>
      </c>
      <c r="H504" s="3">
        <v>9877798</v>
      </c>
      <c r="I504" s="3">
        <v>0</v>
      </c>
      <c r="J504" s="3">
        <v>23320937</v>
      </c>
      <c r="K504" s="3">
        <v>139985520</v>
      </c>
      <c r="L504" s="3">
        <f t="shared" si="14"/>
        <v>13517389970</v>
      </c>
      <c r="M504" s="1">
        <v>-1117052208</v>
      </c>
      <c r="N504" s="1">
        <v>-516235514</v>
      </c>
      <c r="O504" s="1">
        <v>0</v>
      </c>
      <c r="P504" s="1">
        <v>0</v>
      </c>
      <c r="Q504" s="1">
        <v>-139985520</v>
      </c>
      <c r="R504" s="1">
        <f t="shared" si="15"/>
        <v>11744116728</v>
      </c>
    </row>
    <row r="505" spans="1:18">
      <c r="A505" t="s">
        <v>512</v>
      </c>
      <c r="C505" s="3">
        <v>608250</v>
      </c>
      <c r="D505" s="3">
        <v>414000000</v>
      </c>
      <c r="E505" s="3">
        <v>1753712693</v>
      </c>
      <c r="F505" s="3">
        <v>4994960000</v>
      </c>
      <c r="G505" s="3">
        <v>0</v>
      </c>
      <c r="H505" s="3">
        <v>5074098</v>
      </c>
      <c r="I505" s="3">
        <v>0</v>
      </c>
      <c r="J505" s="3">
        <v>0</v>
      </c>
      <c r="K505" s="3">
        <v>90605891</v>
      </c>
      <c r="L505" s="3">
        <f t="shared" si="14"/>
        <v>7258960932</v>
      </c>
      <c r="M505" s="1">
        <v>-1385897367</v>
      </c>
      <c r="N505" s="1">
        <v>-875820531</v>
      </c>
      <c r="O505" s="1">
        <v>0</v>
      </c>
      <c r="P505" s="1">
        <v>0</v>
      </c>
      <c r="Q505" s="1">
        <v>-81112891</v>
      </c>
      <c r="R505" s="1">
        <f t="shared" si="15"/>
        <v>4916130143</v>
      </c>
    </row>
    <row r="506" spans="1:18">
      <c r="A506" t="s">
        <v>513</v>
      </c>
      <c r="C506" s="3">
        <v>2116000</v>
      </c>
      <c r="D506" s="3">
        <v>3859373000</v>
      </c>
      <c r="E506" s="3">
        <v>1167229118</v>
      </c>
      <c r="F506" s="3">
        <v>2131202400</v>
      </c>
      <c r="G506" s="3">
        <v>0</v>
      </c>
      <c r="H506" s="3">
        <v>16854500</v>
      </c>
      <c r="I506" s="3">
        <v>0</v>
      </c>
      <c r="J506" s="3">
        <v>28147500</v>
      </c>
      <c r="K506" s="3">
        <v>31460500</v>
      </c>
      <c r="L506" s="3">
        <f t="shared" si="14"/>
        <v>7236383018</v>
      </c>
      <c r="M506" s="1">
        <v>-961441711</v>
      </c>
      <c r="N506" s="1">
        <v>-389348119</v>
      </c>
      <c r="O506" s="1">
        <v>0</v>
      </c>
      <c r="P506" s="1">
        <v>0</v>
      </c>
      <c r="Q506" s="1">
        <v>-31337300</v>
      </c>
      <c r="R506" s="1">
        <f t="shared" si="15"/>
        <v>5854255888</v>
      </c>
    </row>
    <row r="507" spans="1:18">
      <c r="A507" t="s">
        <v>514</v>
      </c>
      <c r="C507" s="3">
        <v>1211500</v>
      </c>
      <c r="D507" s="3">
        <v>296920000</v>
      </c>
      <c r="E507" s="3">
        <v>1168337412</v>
      </c>
      <c r="F507" s="3">
        <v>1537171200</v>
      </c>
      <c r="G507" s="3">
        <v>74717500</v>
      </c>
      <c r="H507" s="3">
        <v>30012348</v>
      </c>
      <c r="I507" s="3">
        <v>0</v>
      </c>
      <c r="J507" s="3">
        <v>14450000</v>
      </c>
      <c r="K507" s="3">
        <v>164608500</v>
      </c>
      <c r="L507" s="3">
        <f t="shared" si="14"/>
        <v>3287428460</v>
      </c>
      <c r="M507" s="1">
        <v>-1033255306</v>
      </c>
      <c r="N507" s="1">
        <v>-263356968</v>
      </c>
      <c r="O507" s="1">
        <v>-74717500</v>
      </c>
      <c r="P507" s="1">
        <v>0</v>
      </c>
      <c r="Q507" s="1">
        <v>-164608500</v>
      </c>
      <c r="R507" s="1">
        <f t="shared" si="15"/>
        <v>1751490186</v>
      </c>
    </row>
    <row r="508" spans="1:18">
      <c r="A508" t="s">
        <v>515</v>
      </c>
      <c r="C508" s="3">
        <v>0</v>
      </c>
      <c r="D508" s="3">
        <v>6363400000</v>
      </c>
      <c r="E508" s="3">
        <v>1817036649</v>
      </c>
      <c r="F508" s="3">
        <v>2969023000</v>
      </c>
      <c r="G508" s="3">
        <v>1500000</v>
      </c>
      <c r="H508" s="3">
        <v>83827400</v>
      </c>
      <c r="I508" s="3">
        <v>0</v>
      </c>
      <c r="J508" s="3">
        <v>97460000</v>
      </c>
      <c r="K508" s="3">
        <v>0</v>
      </c>
      <c r="L508" s="3">
        <f t="shared" si="14"/>
        <v>11332247049</v>
      </c>
      <c r="M508" s="1">
        <v>-1590330714</v>
      </c>
      <c r="N508" s="1">
        <v>-492971585</v>
      </c>
      <c r="O508" s="1">
        <v>-1500000</v>
      </c>
      <c r="P508" s="1">
        <v>0</v>
      </c>
      <c r="Q508" s="1">
        <v>0</v>
      </c>
      <c r="R508" s="1">
        <f t="shared" si="15"/>
        <v>9247444750</v>
      </c>
    </row>
    <row r="509" spans="1:18">
      <c r="A509" t="s">
        <v>516</v>
      </c>
      <c r="C509" s="3">
        <v>0</v>
      </c>
      <c r="D509" s="3">
        <v>117000000</v>
      </c>
      <c r="E509" s="3">
        <v>1622066327</v>
      </c>
      <c r="F509" s="3">
        <v>5598864650</v>
      </c>
      <c r="G509" s="3">
        <v>0</v>
      </c>
      <c r="H509" s="3">
        <v>267556298</v>
      </c>
      <c r="I509" s="3">
        <v>0</v>
      </c>
      <c r="J509" s="3">
        <v>6600000</v>
      </c>
      <c r="K509" s="3">
        <v>0</v>
      </c>
      <c r="L509" s="3">
        <f t="shared" si="14"/>
        <v>7612087275</v>
      </c>
      <c r="M509" s="1">
        <v>-1368967117</v>
      </c>
      <c r="N509" s="1">
        <v>-1072373560</v>
      </c>
      <c r="O509" s="1">
        <v>0</v>
      </c>
      <c r="P509" s="1">
        <v>0</v>
      </c>
      <c r="Q509" s="1">
        <v>0</v>
      </c>
      <c r="R509" s="1">
        <f t="shared" si="15"/>
        <v>5170746598</v>
      </c>
    </row>
    <row r="510" spans="1:18">
      <c r="A510" t="s">
        <v>517</v>
      </c>
      <c r="C510" s="3">
        <v>494900</v>
      </c>
      <c r="D510" s="3">
        <v>0</v>
      </c>
      <c r="E510" s="3">
        <v>1742441153</v>
      </c>
      <c r="F510" s="3">
        <v>3512779050</v>
      </c>
      <c r="G510" s="3">
        <v>105162928</v>
      </c>
      <c r="H510" s="3">
        <v>173952968</v>
      </c>
      <c r="I510" s="3">
        <v>0</v>
      </c>
      <c r="J510" s="3">
        <v>0</v>
      </c>
      <c r="K510" s="3">
        <v>2000000</v>
      </c>
      <c r="L510" s="3">
        <f t="shared" si="14"/>
        <v>5536830999</v>
      </c>
      <c r="M510" s="1">
        <v>-1522404573</v>
      </c>
      <c r="N510" s="1">
        <v>-606233847</v>
      </c>
      <c r="O510" s="1">
        <v>-32560412</v>
      </c>
      <c r="P510" s="1">
        <v>0</v>
      </c>
      <c r="Q510" s="1">
        <v>-2000000</v>
      </c>
      <c r="R510" s="1">
        <f t="shared" si="15"/>
        <v>3373632167</v>
      </c>
    </row>
    <row r="511" spans="1:18">
      <c r="A511" t="s">
        <v>518</v>
      </c>
      <c r="C511" s="3">
        <v>0</v>
      </c>
      <c r="D511" s="3">
        <v>982837000</v>
      </c>
      <c r="E511" s="3">
        <v>2362240473</v>
      </c>
      <c r="F511" s="3">
        <v>6781164200</v>
      </c>
      <c r="G511" s="3">
        <v>0</v>
      </c>
      <c r="H511" s="3">
        <v>0</v>
      </c>
      <c r="I511" s="3">
        <v>0</v>
      </c>
      <c r="J511" s="3">
        <v>92738000</v>
      </c>
      <c r="K511" s="3">
        <v>21000000</v>
      </c>
      <c r="L511" s="3">
        <f t="shared" si="14"/>
        <v>10239979673</v>
      </c>
      <c r="M511" s="1">
        <v>-1820855020</v>
      </c>
      <c r="N511" s="1">
        <v>-406869852</v>
      </c>
      <c r="O511" s="1">
        <v>0</v>
      </c>
      <c r="P511" s="1">
        <v>0</v>
      </c>
      <c r="Q511" s="1">
        <v>-21000000</v>
      </c>
      <c r="R511" s="1">
        <f t="shared" si="15"/>
        <v>7991254801</v>
      </c>
    </row>
    <row r="512" spans="1:18">
      <c r="A512" t="s">
        <v>519</v>
      </c>
      <c r="C512" s="3">
        <v>0</v>
      </c>
      <c r="D512" s="3">
        <v>1280217752</v>
      </c>
      <c r="E512" s="3">
        <v>1667378668</v>
      </c>
      <c r="F512" s="3">
        <v>9372548556</v>
      </c>
      <c r="G512" s="3">
        <v>0</v>
      </c>
      <c r="H512" s="3">
        <v>0</v>
      </c>
      <c r="I512" s="3">
        <v>0</v>
      </c>
      <c r="J512" s="3">
        <v>31738750</v>
      </c>
      <c r="K512" s="3">
        <v>0</v>
      </c>
      <c r="L512" s="3">
        <f t="shared" si="14"/>
        <v>12351883726</v>
      </c>
      <c r="M512" s="1">
        <v>-1134628805</v>
      </c>
      <c r="N512" s="1">
        <v>-605103573</v>
      </c>
      <c r="O512" s="1">
        <v>0</v>
      </c>
      <c r="P512" s="1">
        <v>0</v>
      </c>
      <c r="Q512" s="1">
        <v>0</v>
      </c>
      <c r="R512" s="1">
        <f t="shared" si="15"/>
        <v>10612151348</v>
      </c>
    </row>
    <row r="513" spans="1:18">
      <c r="A513" t="s">
        <v>520</v>
      </c>
      <c r="C513" s="3">
        <v>0</v>
      </c>
      <c r="D513" s="3">
        <v>1487500000</v>
      </c>
      <c r="E513" s="3">
        <v>942482640</v>
      </c>
      <c r="F513" s="3">
        <v>8464025500</v>
      </c>
      <c r="G513" s="3">
        <v>0</v>
      </c>
      <c r="H513" s="3">
        <v>408000</v>
      </c>
      <c r="I513" s="3">
        <v>0</v>
      </c>
      <c r="J513" s="3">
        <v>0</v>
      </c>
      <c r="K513" s="3">
        <v>0</v>
      </c>
      <c r="L513" s="3">
        <f t="shared" si="14"/>
        <v>10894416140</v>
      </c>
      <c r="M513" s="1">
        <v>-280851805</v>
      </c>
      <c r="N513" s="1">
        <v>-360336109</v>
      </c>
      <c r="O513" s="1">
        <v>0</v>
      </c>
      <c r="P513" s="1">
        <v>0</v>
      </c>
      <c r="Q513" s="1">
        <v>0</v>
      </c>
      <c r="R513" s="1">
        <f t="shared" si="15"/>
        <v>10253228226</v>
      </c>
    </row>
    <row r="514" spans="1:18">
      <c r="A514" t="s">
        <v>521</v>
      </c>
      <c r="C514" s="3">
        <v>669900</v>
      </c>
      <c r="D514" s="3">
        <v>26174709794</v>
      </c>
      <c r="E514" s="3">
        <v>1675465229</v>
      </c>
      <c r="F514" s="3">
        <v>4874152120</v>
      </c>
      <c r="G514" s="3">
        <v>2240000</v>
      </c>
      <c r="H514" s="3">
        <v>30020190</v>
      </c>
      <c r="I514" s="3">
        <v>0</v>
      </c>
      <c r="J514" s="3">
        <v>0</v>
      </c>
      <c r="K514" s="3">
        <v>2980000</v>
      </c>
      <c r="L514" s="3">
        <f t="shared" si="14"/>
        <v>32760237233</v>
      </c>
      <c r="M514" s="1">
        <v>-1175463436</v>
      </c>
      <c r="N514" s="1">
        <v>-3358305396</v>
      </c>
      <c r="O514" s="1">
        <v>-2240000</v>
      </c>
      <c r="P514" s="1">
        <v>0</v>
      </c>
      <c r="Q514" s="1">
        <v>-2980000</v>
      </c>
      <c r="R514" s="1">
        <f t="shared" si="15"/>
        <v>28221248401</v>
      </c>
    </row>
    <row r="515" spans="1:18">
      <c r="A515" t="s">
        <v>522</v>
      </c>
      <c r="C515" s="3">
        <v>458125</v>
      </c>
      <c r="D515" s="3">
        <v>28654700000</v>
      </c>
      <c r="E515" s="3">
        <v>3831889633</v>
      </c>
      <c r="F515" s="3">
        <v>14165693450</v>
      </c>
      <c r="G515" s="3">
        <v>284912000</v>
      </c>
      <c r="H515" s="3">
        <v>24420022</v>
      </c>
      <c r="I515" s="3">
        <v>0</v>
      </c>
      <c r="J515" s="3">
        <v>58936310</v>
      </c>
      <c r="K515" s="3">
        <v>239354000</v>
      </c>
      <c r="L515" s="3">
        <f t="shared" ref="L515:L578" si="16">SUM(C515:K515)</f>
        <v>47260363540</v>
      </c>
      <c r="M515" s="1">
        <v>-3457879465</v>
      </c>
      <c r="N515" s="1">
        <v>-2564901591</v>
      </c>
      <c r="O515" s="1">
        <v>-20169500</v>
      </c>
      <c r="P515" s="1">
        <v>0</v>
      </c>
      <c r="Q515" s="1">
        <v>-239116000</v>
      </c>
      <c r="R515" s="1">
        <f t="shared" ref="R515:R578" si="17">SUM(L515:Q515)</f>
        <v>40978296984</v>
      </c>
    </row>
    <row r="516" spans="1:18">
      <c r="A516" t="s">
        <v>523</v>
      </c>
      <c r="C516" s="3">
        <v>503000</v>
      </c>
      <c r="D516" s="3">
        <v>14141840000</v>
      </c>
      <c r="E516" s="3">
        <v>937062578</v>
      </c>
      <c r="F516" s="3">
        <v>11256912900</v>
      </c>
      <c r="G516" s="3">
        <v>20000000</v>
      </c>
      <c r="H516" s="3">
        <v>48086932</v>
      </c>
      <c r="I516" s="3">
        <v>0</v>
      </c>
      <c r="J516" s="3">
        <v>0</v>
      </c>
      <c r="K516" s="3">
        <v>0</v>
      </c>
      <c r="L516" s="3">
        <f t="shared" si="16"/>
        <v>26404405410</v>
      </c>
      <c r="M516" s="1">
        <v>-722180158</v>
      </c>
      <c r="N516" s="1">
        <v>-1623885842</v>
      </c>
      <c r="O516" s="1">
        <v>-3000000</v>
      </c>
      <c r="P516" s="1">
        <v>0</v>
      </c>
      <c r="Q516" s="1">
        <v>0</v>
      </c>
      <c r="R516" s="1">
        <f t="shared" si="17"/>
        <v>24055339410</v>
      </c>
    </row>
    <row r="517" spans="1:18">
      <c r="A517" t="s">
        <v>524</v>
      </c>
      <c r="C517" s="3">
        <v>665000</v>
      </c>
      <c r="D517" s="3">
        <v>45961098000</v>
      </c>
      <c r="E517" s="3">
        <v>2871875062</v>
      </c>
      <c r="F517" s="3">
        <v>12924097500</v>
      </c>
      <c r="G517" s="3">
        <v>215285000</v>
      </c>
      <c r="H517" s="3">
        <v>177161594</v>
      </c>
      <c r="I517" s="3">
        <v>0</v>
      </c>
      <c r="J517" s="3">
        <v>0</v>
      </c>
      <c r="K517" s="3">
        <v>286214543</v>
      </c>
      <c r="L517" s="3">
        <f t="shared" si="16"/>
        <v>62436396699</v>
      </c>
      <c r="M517" s="1">
        <v>-1863342388</v>
      </c>
      <c r="N517" s="1">
        <v>-1716469381</v>
      </c>
      <c r="O517" s="1">
        <v>-171553563</v>
      </c>
      <c r="P517" s="1">
        <v>0</v>
      </c>
      <c r="Q517" s="1">
        <v>-286214543</v>
      </c>
      <c r="R517" s="1">
        <f t="shared" si="17"/>
        <v>58398816824</v>
      </c>
    </row>
    <row r="518" spans="1:18">
      <c r="A518" t="s">
        <v>525</v>
      </c>
      <c r="C518" s="3">
        <v>657000</v>
      </c>
      <c r="D518" s="3">
        <v>0</v>
      </c>
      <c r="E518" s="3">
        <v>1496298839</v>
      </c>
      <c r="F518" s="3">
        <v>1347400000</v>
      </c>
      <c r="G518" s="3">
        <v>75322710</v>
      </c>
      <c r="H518" s="3">
        <v>19871400</v>
      </c>
      <c r="I518" s="3">
        <v>0</v>
      </c>
      <c r="J518" s="3">
        <v>0</v>
      </c>
      <c r="K518" s="3">
        <v>0</v>
      </c>
      <c r="L518" s="3">
        <f t="shared" si="16"/>
        <v>2939549949</v>
      </c>
      <c r="M518" s="1">
        <v>-1272472939</v>
      </c>
      <c r="N518" s="1">
        <v>-434268000</v>
      </c>
      <c r="O518" s="1">
        <v>-26724150</v>
      </c>
      <c r="P518" s="1">
        <v>0</v>
      </c>
      <c r="Q518" s="1">
        <v>0</v>
      </c>
      <c r="R518" s="1">
        <f t="shared" si="17"/>
        <v>1206084860</v>
      </c>
    </row>
    <row r="519" spans="1:18">
      <c r="A519" t="s">
        <v>526</v>
      </c>
      <c r="C519" s="3">
        <v>0</v>
      </c>
      <c r="D519" s="3">
        <v>5589072000</v>
      </c>
      <c r="E519" s="3">
        <v>1954574743</v>
      </c>
      <c r="F519" s="3">
        <v>7538608949</v>
      </c>
      <c r="G519" s="3">
        <v>115639851</v>
      </c>
      <c r="H519" s="3">
        <v>2908678</v>
      </c>
      <c r="I519" s="3">
        <v>0</v>
      </c>
      <c r="J519" s="3">
        <v>0</v>
      </c>
      <c r="K519" s="3">
        <v>0</v>
      </c>
      <c r="L519" s="3">
        <f t="shared" si="16"/>
        <v>15200804221</v>
      </c>
      <c r="M519" s="1">
        <v>-1714575465</v>
      </c>
      <c r="N519" s="1">
        <v>-966772799</v>
      </c>
      <c r="O519" s="1">
        <v>-18791475</v>
      </c>
      <c r="P519" s="1">
        <v>0</v>
      </c>
      <c r="Q519" s="1">
        <v>0</v>
      </c>
      <c r="R519" s="1">
        <f t="shared" si="17"/>
        <v>12500664482</v>
      </c>
    </row>
    <row r="520" spans="1:18">
      <c r="A520" t="s">
        <v>527</v>
      </c>
      <c r="C520" s="3">
        <v>0</v>
      </c>
      <c r="D520" s="3">
        <v>212625000</v>
      </c>
      <c r="E520" s="3">
        <v>616543753</v>
      </c>
      <c r="F520" s="3">
        <v>8375771000</v>
      </c>
      <c r="G520" s="3">
        <v>1028625</v>
      </c>
      <c r="H520" s="3">
        <v>2828678</v>
      </c>
      <c r="I520" s="3">
        <v>4187511000</v>
      </c>
      <c r="J520" s="3">
        <v>0</v>
      </c>
      <c r="K520" s="3">
        <v>0</v>
      </c>
      <c r="L520" s="3">
        <f t="shared" si="16"/>
        <v>13396308056</v>
      </c>
      <c r="M520" s="1">
        <v>-495943687</v>
      </c>
      <c r="N520" s="1">
        <v>-240309193</v>
      </c>
      <c r="O520" s="1">
        <v>-315829</v>
      </c>
      <c r="P520" s="1">
        <v>0</v>
      </c>
      <c r="Q520" s="1">
        <v>0</v>
      </c>
      <c r="R520" s="1">
        <f t="shared" si="17"/>
        <v>12659739347</v>
      </c>
    </row>
    <row r="521" spans="1:18">
      <c r="A521" t="s">
        <v>528</v>
      </c>
      <c r="C521" s="3">
        <v>4946500</v>
      </c>
      <c r="D521" s="3">
        <v>8927074</v>
      </c>
      <c r="E521" s="3">
        <v>1767723204</v>
      </c>
      <c r="F521" s="3">
        <v>5786053400</v>
      </c>
      <c r="G521" s="3">
        <v>309018180</v>
      </c>
      <c r="H521" s="3">
        <v>58296678</v>
      </c>
      <c r="I521" s="3">
        <v>0</v>
      </c>
      <c r="J521" s="3">
        <v>0</v>
      </c>
      <c r="K521" s="3">
        <v>1321000</v>
      </c>
      <c r="L521" s="3">
        <f t="shared" si="16"/>
        <v>7936286036</v>
      </c>
      <c r="M521" s="1">
        <v>-1493790037</v>
      </c>
      <c r="N521" s="1">
        <v>-942303503</v>
      </c>
      <c r="O521" s="1">
        <v>-155872465</v>
      </c>
      <c r="P521" s="1">
        <v>0</v>
      </c>
      <c r="Q521" s="1">
        <v>-1321000</v>
      </c>
      <c r="R521" s="1">
        <f t="shared" si="17"/>
        <v>5342999031</v>
      </c>
    </row>
    <row r="522" spans="1:18">
      <c r="A522" t="s">
        <v>529</v>
      </c>
      <c r="C522" s="3">
        <v>595000</v>
      </c>
      <c r="D522" s="3">
        <v>13815554750</v>
      </c>
      <c r="E522" s="3">
        <v>1229338565</v>
      </c>
      <c r="F522" s="3">
        <v>12338572600</v>
      </c>
      <c r="G522" s="3">
        <v>4950000</v>
      </c>
      <c r="H522" s="3">
        <v>2828678</v>
      </c>
      <c r="I522" s="3">
        <v>0</v>
      </c>
      <c r="J522" s="3">
        <v>20750000</v>
      </c>
      <c r="K522" s="3">
        <v>0</v>
      </c>
      <c r="L522" s="3">
        <f t="shared" si="16"/>
        <v>27412589593</v>
      </c>
      <c r="M522" s="1">
        <v>-847567631</v>
      </c>
      <c r="N522" s="1">
        <v>-282134555</v>
      </c>
      <c r="O522" s="1">
        <v>-412500</v>
      </c>
      <c r="P522" s="1">
        <v>0</v>
      </c>
      <c r="Q522" s="1">
        <v>0</v>
      </c>
      <c r="R522" s="1">
        <f t="shared" si="17"/>
        <v>26282474907</v>
      </c>
    </row>
    <row r="523" spans="1:18">
      <c r="A523" t="s">
        <v>530</v>
      </c>
      <c r="C523" s="3">
        <v>81000</v>
      </c>
      <c r="D523" s="3">
        <v>1671208075</v>
      </c>
      <c r="E523" s="3">
        <v>998826563</v>
      </c>
      <c r="F523" s="3">
        <v>3642476467</v>
      </c>
      <c r="G523" s="3">
        <v>0</v>
      </c>
      <c r="H523" s="3">
        <v>4177678</v>
      </c>
      <c r="I523" s="3">
        <v>997171300</v>
      </c>
      <c r="J523" s="3">
        <v>20750000</v>
      </c>
      <c r="K523" s="3">
        <v>0</v>
      </c>
      <c r="L523" s="3">
        <f t="shared" si="16"/>
        <v>7334691083</v>
      </c>
      <c r="M523" s="1">
        <v>-903016288</v>
      </c>
      <c r="N523" s="1">
        <v>-688089707</v>
      </c>
      <c r="O523" s="1">
        <v>0</v>
      </c>
      <c r="P523" s="1">
        <v>0</v>
      </c>
      <c r="Q523" s="1">
        <v>0</v>
      </c>
      <c r="R523" s="1">
        <f t="shared" si="17"/>
        <v>5743585088</v>
      </c>
    </row>
    <row r="524" spans="1:18">
      <c r="A524" t="s">
        <v>531</v>
      </c>
      <c r="C524" s="3">
        <v>374000</v>
      </c>
      <c r="D524" s="3">
        <v>9547478138</v>
      </c>
      <c r="E524" s="3">
        <v>1048649303</v>
      </c>
      <c r="F524" s="3">
        <v>18088590843</v>
      </c>
      <c r="G524" s="3">
        <v>0</v>
      </c>
      <c r="H524" s="3">
        <v>1943440</v>
      </c>
      <c r="I524" s="3">
        <v>0</v>
      </c>
      <c r="J524" s="3">
        <v>0</v>
      </c>
      <c r="K524" s="3">
        <v>190555500</v>
      </c>
      <c r="L524" s="3">
        <f t="shared" si="16"/>
        <v>28877591224</v>
      </c>
      <c r="M524" s="1">
        <v>-816272553</v>
      </c>
      <c r="N524" s="1">
        <v>-2811608456</v>
      </c>
      <c r="O524" s="1">
        <v>0</v>
      </c>
      <c r="P524" s="1">
        <v>0</v>
      </c>
      <c r="Q524" s="1">
        <v>-190555500</v>
      </c>
      <c r="R524" s="1">
        <f t="shared" si="17"/>
        <v>25059154715</v>
      </c>
    </row>
    <row r="525" spans="1:18">
      <c r="A525" t="s">
        <v>532</v>
      </c>
      <c r="C525" s="3">
        <v>579000</v>
      </c>
      <c r="D525" s="3">
        <v>8610500000</v>
      </c>
      <c r="E525" s="3">
        <v>1068496096</v>
      </c>
      <c r="F525" s="3">
        <v>4352772250</v>
      </c>
      <c r="G525" s="3">
        <v>0</v>
      </c>
      <c r="H525" s="3">
        <v>4772118</v>
      </c>
      <c r="I525" s="3">
        <v>0</v>
      </c>
      <c r="J525" s="3">
        <v>0</v>
      </c>
      <c r="K525" s="3">
        <v>5740350</v>
      </c>
      <c r="L525" s="3">
        <f t="shared" si="16"/>
        <v>14042859814</v>
      </c>
      <c r="M525" s="1">
        <v>-1008865646</v>
      </c>
      <c r="N525" s="1">
        <v>-1251248700</v>
      </c>
      <c r="O525" s="1">
        <v>0</v>
      </c>
      <c r="P525" s="1">
        <v>0</v>
      </c>
      <c r="Q525" s="1">
        <v>-5740350</v>
      </c>
      <c r="R525" s="1">
        <f t="shared" si="17"/>
        <v>11777005118</v>
      </c>
    </row>
    <row r="526" spans="1:18">
      <c r="A526" t="s">
        <v>533</v>
      </c>
      <c r="C526" s="3">
        <v>7827331</v>
      </c>
      <c r="D526" s="3">
        <v>23011940000</v>
      </c>
      <c r="E526" s="3">
        <v>3038971183</v>
      </c>
      <c r="F526" s="3">
        <v>12727514070</v>
      </c>
      <c r="G526" s="3">
        <v>1148364988</v>
      </c>
      <c r="H526" s="3">
        <v>4772118</v>
      </c>
      <c r="I526" s="3">
        <v>0</v>
      </c>
      <c r="J526" s="3">
        <v>129000000</v>
      </c>
      <c r="K526" s="3">
        <v>0</v>
      </c>
      <c r="L526" s="3">
        <f t="shared" si="16"/>
        <v>40068389690</v>
      </c>
      <c r="M526" s="1">
        <v>-2772284743</v>
      </c>
      <c r="N526" s="1">
        <v>-7396529317</v>
      </c>
      <c r="O526" s="1">
        <v>-586928065</v>
      </c>
      <c r="P526" s="1">
        <v>0</v>
      </c>
      <c r="Q526" s="1">
        <v>0</v>
      </c>
      <c r="R526" s="1">
        <f t="shared" si="17"/>
        <v>29312647565</v>
      </c>
    </row>
    <row r="527" spans="1:18">
      <c r="A527" t="s">
        <v>534</v>
      </c>
      <c r="C527" s="3">
        <v>299300</v>
      </c>
      <c r="D527" s="3">
        <v>11312700000</v>
      </c>
      <c r="E527" s="3">
        <v>3835682135</v>
      </c>
      <c r="F527" s="3">
        <v>6806275000</v>
      </c>
      <c r="G527" s="3">
        <v>29551000</v>
      </c>
      <c r="H527" s="3">
        <v>10145356</v>
      </c>
      <c r="I527" s="3">
        <v>0</v>
      </c>
      <c r="J527" s="3">
        <v>0</v>
      </c>
      <c r="K527" s="3">
        <v>0</v>
      </c>
      <c r="L527" s="3">
        <f t="shared" si="16"/>
        <v>21994652791</v>
      </c>
      <c r="M527" s="1">
        <v>-3614772066</v>
      </c>
      <c r="N527" s="1">
        <v>-1275758931</v>
      </c>
      <c r="O527" s="1">
        <v>-2955100</v>
      </c>
      <c r="P527" s="1">
        <v>0</v>
      </c>
      <c r="Q527" s="1">
        <v>0</v>
      </c>
      <c r="R527" s="1">
        <f t="shared" si="17"/>
        <v>17101166694</v>
      </c>
    </row>
    <row r="528" spans="1:18">
      <c r="A528" t="s">
        <v>535</v>
      </c>
      <c r="C528" s="3">
        <v>21669675</v>
      </c>
      <c r="D528" s="3">
        <v>639200000</v>
      </c>
      <c r="E528" s="3">
        <v>950736145</v>
      </c>
      <c r="F528" s="3">
        <v>15064806447</v>
      </c>
      <c r="G528" s="3">
        <v>0</v>
      </c>
      <c r="H528" s="3">
        <v>27359678</v>
      </c>
      <c r="I528" s="3">
        <v>0</v>
      </c>
      <c r="J528" s="3">
        <v>0</v>
      </c>
      <c r="K528" s="3">
        <v>0</v>
      </c>
      <c r="L528" s="3">
        <f t="shared" si="16"/>
        <v>16703771945</v>
      </c>
      <c r="M528" s="1">
        <v>-825131219</v>
      </c>
      <c r="N528" s="1">
        <v>-2177636102</v>
      </c>
      <c r="O528" s="1">
        <v>0</v>
      </c>
      <c r="P528" s="1">
        <v>0</v>
      </c>
      <c r="Q528" s="1">
        <v>0</v>
      </c>
      <c r="R528" s="1">
        <f t="shared" si="17"/>
        <v>13701004624</v>
      </c>
    </row>
    <row r="529" spans="1:18">
      <c r="A529" t="s">
        <v>536</v>
      </c>
      <c r="C529" s="3">
        <v>305000</v>
      </c>
      <c r="D529" s="3">
        <v>7800000</v>
      </c>
      <c r="E529" s="3">
        <v>1001750617</v>
      </c>
      <c r="F529" s="3">
        <v>5971419700</v>
      </c>
      <c r="G529" s="3">
        <v>220123600</v>
      </c>
      <c r="H529" s="3">
        <v>4772118</v>
      </c>
      <c r="I529" s="3">
        <v>0</v>
      </c>
      <c r="J529" s="3">
        <v>0</v>
      </c>
      <c r="K529" s="3">
        <v>69000000</v>
      </c>
      <c r="L529" s="3">
        <f t="shared" si="16"/>
        <v>7275171035</v>
      </c>
      <c r="M529" s="1">
        <v>-906391117</v>
      </c>
      <c r="N529" s="1">
        <v>-759238333</v>
      </c>
      <c r="O529" s="1">
        <v>-89583468</v>
      </c>
      <c r="P529" s="1">
        <v>0</v>
      </c>
      <c r="Q529" s="1">
        <v>-69000000</v>
      </c>
      <c r="R529" s="1">
        <f t="shared" si="17"/>
        <v>5450958117</v>
      </c>
    </row>
    <row r="530" spans="1:18">
      <c r="A530" t="s">
        <v>537</v>
      </c>
      <c r="C530" s="3">
        <v>2582000</v>
      </c>
      <c r="D530" s="3">
        <v>92280000</v>
      </c>
      <c r="E530" s="3">
        <v>1793852026</v>
      </c>
      <c r="F530" s="3">
        <v>11074541900</v>
      </c>
      <c r="G530" s="3">
        <v>690685000</v>
      </c>
      <c r="H530" s="3">
        <v>5072116</v>
      </c>
      <c r="I530" s="3">
        <v>129251243</v>
      </c>
      <c r="J530" s="3">
        <v>0</v>
      </c>
      <c r="K530" s="3">
        <v>0</v>
      </c>
      <c r="L530" s="3">
        <f t="shared" si="16"/>
        <v>13788264285</v>
      </c>
      <c r="M530" s="1">
        <v>-1162703881</v>
      </c>
      <c r="N530" s="1">
        <v>-1756397117</v>
      </c>
      <c r="O530" s="1">
        <v>-539524726</v>
      </c>
      <c r="P530" s="1">
        <v>0</v>
      </c>
      <c r="Q530" s="1">
        <v>0</v>
      </c>
      <c r="R530" s="1">
        <f t="shared" si="17"/>
        <v>10329638561</v>
      </c>
    </row>
    <row r="531" spans="1:18">
      <c r="A531" t="s">
        <v>538</v>
      </c>
      <c r="C531" s="3">
        <v>74500</v>
      </c>
      <c r="D531" s="3">
        <v>1033500000</v>
      </c>
      <c r="E531" s="3">
        <v>970321043</v>
      </c>
      <c r="F531" s="3">
        <v>6828876500</v>
      </c>
      <c r="G531" s="3">
        <v>167571500</v>
      </c>
      <c r="H531" s="3">
        <v>2683400</v>
      </c>
      <c r="I531" s="3">
        <v>0</v>
      </c>
      <c r="J531" s="3">
        <v>0</v>
      </c>
      <c r="K531" s="3">
        <v>0</v>
      </c>
      <c r="L531" s="3">
        <f t="shared" si="16"/>
        <v>9003026943</v>
      </c>
      <c r="M531" s="1">
        <v>-911067001</v>
      </c>
      <c r="N531" s="1">
        <v>-1094611514</v>
      </c>
      <c r="O531" s="1">
        <v>-41543768</v>
      </c>
      <c r="P531" s="1">
        <v>0</v>
      </c>
      <c r="Q531" s="1">
        <v>0</v>
      </c>
      <c r="R531" s="1">
        <f t="shared" si="17"/>
        <v>6955804660</v>
      </c>
    </row>
    <row r="532" spans="1:18">
      <c r="A532" t="s">
        <v>539</v>
      </c>
      <c r="C532" s="3">
        <v>520750</v>
      </c>
      <c r="D532" s="3">
        <v>5593500000</v>
      </c>
      <c r="E532" s="3">
        <v>2089745361</v>
      </c>
      <c r="F532" s="3">
        <v>12537722106</v>
      </c>
      <c r="G532" s="3">
        <v>0</v>
      </c>
      <c r="H532" s="3">
        <v>5527078</v>
      </c>
      <c r="I532" s="3">
        <v>0</v>
      </c>
      <c r="J532" s="3">
        <v>98890000</v>
      </c>
      <c r="K532" s="3">
        <v>0</v>
      </c>
      <c r="L532" s="3">
        <f t="shared" si="16"/>
        <v>20325905295</v>
      </c>
      <c r="M532" s="1">
        <v>-1560095887</v>
      </c>
      <c r="N532" s="1">
        <v>-689800600</v>
      </c>
      <c r="O532" s="1">
        <v>0</v>
      </c>
      <c r="P532" s="1">
        <v>0</v>
      </c>
      <c r="Q532" s="1">
        <v>0</v>
      </c>
      <c r="R532" s="1">
        <f t="shared" si="17"/>
        <v>18076008808</v>
      </c>
    </row>
    <row r="533" spans="1:18">
      <c r="A533" t="s">
        <v>540</v>
      </c>
      <c r="C533" s="3">
        <v>184000</v>
      </c>
      <c r="D533" s="3">
        <v>0</v>
      </c>
      <c r="E533" s="3">
        <v>1109274560</v>
      </c>
      <c r="F533" s="3">
        <v>6967761549</v>
      </c>
      <c r="G533" s="3">
        <v>0</v>
      </c>
      <c r="H533" s="3">
        <v>2683400</v>
      </c>
      <c r="I533" s="3">
        <v>0</v>
      </c>
      <c r="J533" s="3">
        <v>0</v>
      </c>
      <c r="K533" s="3">
        <v>0</v>
      </c>
      <c r="L533" s="3">
        <f t="shared" si="16"/>
        <v>8079903509</v>
      </c>
      <c r="M533" s="1">
        <v>-1000894009</v>
      </c>
      <c r="N533" s="1">
        <v>-645048756</v>
      </c>
      <c r="O533" s="1">
        <v>0</v>
      </c>
      <c r="P533" s="1">
        <v>0</v>
      </c>
      <c r="Q533" s="1">
        <v>0</v>
      </c>
      <c r="R533" s="1">
        <f t="shared" si="17"/>
        <v>6433960744</v>
      </c>
    </row>
    <row r="534" spans="1:18">
      <c r="A534" t="s">
        <v>541</v>
      </c>
      <c r="C534" s="3">
        <v>1946859</v>
      </c>
      <c r="D534" s="3">
        <v>0</v>
      </c>
      <c r="E534" s="3">
        <v>1053181867</v>
      </c>
      <c r="F534" s="3">
        <v>3474009000</v>
      </c>
      <c r="G534" s="3">
        <v>0</v>
      </c>
      <c r="H534" s="3">
        <v>2683400</v>
      </c>
      <c r="I534" s="3">
        <v>0</v>
      </c>
      <c r="J534" s="3">
        <v>0</v>
      </c>
      <c r="K534" s="3">
        <v>0</v>
      </c>
      <c r="L534" s="3">
        <f t="shared" si="16"/>
        <v>4531821126</v>
      </c>
      <c r="M534" s="1">
        <v>-965408717</v>
      </c>
      <c r="N534" s="1">
        <v>-661933710</v>
      </c>
      <c r="O534" s="1">
        <v>0</v>
      </c>
      <c r="P534" s="1">
        <v>0</v>
      </c>
      <c r="Q534" s="1">
        <v>0</v>
      </c>
      <c r="R534" s="1">
        <f t="shared" si="17"/>
        <v>2904478699</v>
      </c>
    </row>
    <row r="535" spans="1:18">
      <c r="A535" t="s">
        <v>542</v>
      </c>
      <c r="C535" s="3">
        <v>862500</v>
      </c>
      <c r="D535" s="3">
        <v>1848436500</v>
      </c>
      <c r="E535" s="3">
        <v>1476426896</v>
      </c>
      <c r="F535" s="3">
        <v>2557659506</v>
      </c>
      <c r="G535" s="3">
        <v>0</v>
      </c>
      <c r="H535" s="3">
        <v>4626840</v>
      </c>
      <c r="I535" s="3">
        <v>0</v>
      </c>
      <c r="J535" s="3">
        <v>0</v>
      </c>
      <c r="K535" s="3">
        <v>0</v>
      </c>
      <c r="L535" s="3">
        <f t="shared" si="16"/>
        <v>5888012242</v>
      </c>
      <c r="M535" s="1">
        <v>-1347794743</v>
      </c>
      <c r="N535" s="1">
        <v>-574981404</v>
      </c>
      <c r="O535" s="1">
        <v>0</v>
      </c>
      <c r="P535" s="1">
        <v>0</v>
      </c>
      <c r="Q535" s="1">
        <v>0</v>
      </c>
      <c r="R535" s="1">
        <f t="shared" si="17"/>
        <v>3965236095</v>
      </c>
    </row>
    <row r="536" spans="1:18">
      <c r="A536" t="s">
        <v>543</v>
      </c>
      <c r="C536" s="3">
        <v>6616400</v>
      </c>
      <c r="D536" s="3">
        <v>0</v>
      </c>
      <c r="E536" s="3">
        <v>1529194479</v>
      </c>
      <c r="F536" s="3">
        <v>2981117930</v>
      </c>
      <c r="G536" s="3">
        <v>0</v>
      </c>
      <c r="H536" s="3">
        <v>22404018</v>
      </c>
      <c r="I536" s="3">
        <v>0</v>
      </c>
      <c r="J536" s="3">
        <v>0</v>
      </c>
      <c r="K536" s="3">
        <v>142750000</v>
      </c>
      <c r="L536" s="3">
        <f t="shared" si="16"/>
        <v>4682082827</v>
      </c>
      <c r="M536" s="1">
        <v>-1314088230</v>
      </c>
      <c r="N536" s="1">
        <v>-557185774</v>
      </c>
      <c r="O536" s="1">
        <v>0</v>
      </c>
      <c r="P536" s="1">
        <v>-6000000</v>
      </c>
      <c r="Q536" s="1">
        <v>-142750000</v>
      </c>
      <c r="R536" s="1">
        <f t="shared" si="17"/>
        <v>2662058823</v>
      </c>
    </row>
    <row r="537" spans="1:18">
      <c r="A537" t="s">
        <v>544</v>
      </c>
      <c r="C537" s="3">
        <v>87500</v>
      </c>
      <c r="D537" s="3">
        <v>2476473000</v>
      </c>
      <c r="E537" s="3">
        <v>3256249383</v>
      </c>
      <c r="F537" s="3">
        <v>11024307088</v>
      </c>
      <c r="G537" s="3">
        <v>0</v>
      </c>
      <c r="H537" s="3">
        <v>2828678</v>
      </c>
      <c r="I537" s="3">
        <v>0</v>
      </c>
      <c r="J537" s="3">
        <v>75350000</v>
      </c>
      <c r="K537" s="3">
        <v>0</v>
      </c>
      <c r="L537" s="3">
        <f t="shared" si="16"/>
        <v>16835295649</v>
      </c>
      <c r="M537" s="1">
        <v>-1848956858</v>
      </c>
      <c r="N537" s="1">
        <v>-325064927</v>
      </c>
      <c r="O537" s="1">
        <v>0</v>
      </c>
      <c r="P537" s="1">
        <v>0</v>
      </c>
      <c r="Q537" s="1">
        <v>0</v>
      </c>
      <c r="R537" s="1">
        <f t="shared" si="17"/>
        <v>14661273864</v>
      </c>
    </row>
    <row r="538" spans="1:18">
      <c r="A538" t="s">
        <v>545</v>
      </c>
      <c r="C538" s="3">
        <v>325869</v>
      </c>
      <c r="D538" s="3">
        <v>7053200000</v>
      </c>
      <c r="E538" s="3">
        <v>1561774543</v>
      </c>
      <c r="F538" s="3">
        <v>10591789000</v>
      </c>
      <c r="G538" s="3">
        <v>12000000</v>
      </c>
      <c r="H538" s="3">
        <v>4772118</v>
      </c>
      <c r="I538" s="3">
        <v>0</v>
      </c>
      <c r="J538" s="3">
        <v>0</v>
      </c>
      <c r="K538" s="3">
        <v>0</v>
      </c>
      <c r="L538" s="3">
        <f t="shared" si="16"/>
        <v>19223861530</v>
      </c>
      <c r="M538" s="1">
        <v>-1262814482</v>
      </c>
      <c r="N538" s="1">
        <v>-1366348740</v>
      </c>
      <c r="O538" s="1">
        <v>-1050000</v>
      </c>
      <c r="P538" s="1">
        <v>0</v>
      </c>
      <c r="Q538" s="1">
        <v>0</v>
      </c>
      <c r="R538" s="1">
        <f t="shared" si="17"/>
        <v>16593648308</v>
      </c>
    </row>
    <row r="539" spans="1:18">
      <c r="A539" t="s">
        <v>546</v>
      </c>
      <c r="C539" s="3">
        <v>1036000</v>
      </c>
      <c r="D539" s="3">
        <v>0</v>
      </c>
      <c r="E539" s="3">
        <v>1011297550</v>
      </c>
      <c r="F539" s="3">
        <v>12201843700</v>
      </c>
      <c r="G539" s="3">
        <v>118880300</v>
      </c>
      <c r="H539" s="3">
        <v>0</v>
      </c>
      <c r="I539" s="3">
        <v>0</v>
      </c>
      <c r="J539" s="3">
        <v>0</v>
      </c>
      <c r="K539" s="3">
        <v>0</v>
      </c>
      <c r="L539" s="3">
        <f t="shared" si="16"/>
        <v>13333057550</v>
      </c>
      <c r="M539" s="1">
        <v>-344973802</v>
      </c>
      <c r="N539" s="1">
        <v>-230271397</v>
      </c>
      <c r="O539" s="1">
        <v>-1486004</v>
      </c>
      <c r="P539" s="1">
        <v>0</v>
      </c>
      <c r="Q539" s="1">
        <v>0</v>
      </c>
      <c r="R539" s="1">
        <f t="shared" si="17"/>
        <v>12756326347</v>
      </c>
    </row>
    <row r="540" spans="1:18">
      <c r="A540" t="s">
        <v>547</v>
      </c>
      <c r="C540" s="3">
        <v>3277700</v>
      </c>
      <c r="D540" s="3">
        <v>33648187000</v>
      </c>
      <c r="E540" s="3">
        <v>4464598753</v>
      </c>
      <c r="F540" s="3">
        <v>7657389398</v>
      </c>
      <c r="G540" s="3">
        <v>471121999</v>
      </c>
      <c r="H540" s="3">
        <v>103149990</v>
      </c>
      <c r="I540" s="3">
        <v>0</v>
      </c>
      <c r="J540" s="3">
        <v>35200000</v>
      </c>
      <c r="K540" s="3">
        <v>0</v>
      </c>
      <c r="L540" s="3">
        <f t="shared" si="16"/>
        <v>46382924840</v>
      </c>
      <c r="M540" s="1">
        <v>-3887150255</v>
      </c>
      <c r="N540" s="1">
        <v>-2890238679</v>
      </c>
      <c r="O540" s="1">
        <v>-217686857</v>
      </c>
      <c r="P540" s="1">
        <v>-7100000</v>
      </c>
      <c r="Q540" s="1">
        <v>0</v>
      </c>
      <c r="R540" s="1">
        <f t="shared" si="17"/>
        <v>39380749049</v>
      </c>
    </row>
    <row r="541" spans="1:18">
      <c r="A541" t="s">
        <v>548</v>
      </c>
      <c r="C541" s="3">
        <v>50860112</v>
      </c>
      <c r="D541" s="3">
        <v>9568079060</v>
      </c>
      <c r="E541" s="3">
        <v>3893200419</v>
      </c>
      <c r="F541" s="3">
        <v>3512551000</v>
      </c>
      <c r="G541" s="3">
        <v>287389500</v>
      </c>
      <c r="H541" s="3">
        <v>151513440</v>
      </c>
      <c r="I541" s="3">
        <v>0</v>
      </c>
      <c r="J541" s="3">
        <v>0</v>
      </c>
      <c r="K541" s="3">
        <v>407000</v>
      </c>
      <c r="L541" s="3">
        <f t="shared" si="16"/>
        <v>17464000531</v>
      </c>
      <c r="M541" s="1">
        <v>-3479841314</v>
      </c>
      <c r="N541" s="1">
        <v>-2321698120</v>
      </c>
      <c r="O541" s="1">
        <v>-123744750</v>
      </c>
      <c r="P541" s="1">
        <v>0</v>
      </c>
      <c r="Q541" s="1">
        <v>-407000</v>
      </c>
      <c r="R541" s="1">
        <f t="shared" si="17"/>
        <v>11538309347</v>
      </c>
    </row>
    <row r="542" spans="1:18">
      <c r="A542" t="s">
        <v>549</v>
      </c>
      <c r="C542" s="3">
        <v>10560750</v>
      </c>
      <c r="D542" s="3">
        <v>7096715000</v>
      </c>
      <c r="E542" s="3">
        <v>2323076589</v>
      </c>
      <c r="F542" s="3">
        <v>3934845749</v>
      </c>
      <c r="G542" s="3">
        <v>99900000</v>
      </c>
      <c r="H542" s="3">
        <v>5503440</v>
      </c>
      <c r="I542" s="3">
        <v>0</v>
      </c>
      <c r="J542" s="3">
        <v>0</v>
      </c>
      <c r="K542" s="3">
        <v>184206480</v>
      </c>
      <c r="L542" s="3">
        <f t="shared" si="16"/>
        <v>13654808008</v>
      </c>
      <c r="M542" s="1">
        <v>-2061633625</v>
      </c>
      <c r="N542" s="1">
        <v>-2751162044</v>
      </c>
      <c r="O542" s="1">
        <v>-13736250</v>
      </c>
      <c r="P542" s="1">
        <v>-3500000</v>
      </c>
      <c r="Q542" s="1">
        <v>-184581480</v>
      </c>
      <c r="R542" s="1">
        <f t="shared" si="17"/>
        <v>8640194609</v>
      </c>
    </row>
    <row r="543" spans="1:18">
      <c r="A543" t="s">
        <v>550</v>
      </c>
      <c r="C543" s="3">
        <v>12374500</v>
      </c>
      <c r="D543" s="3">
        <v>814720000</v>
      </c>
      <c r="E543" s="3">
        <v>2008024520</v>
      </c>
      <c r="F543" s="3">
        <v>6130387500</v>
      </c>
      <c r="G543" s="3">
        <v>10000000</v>
      </c>
      <c r="H543" s="3">
        <v>1943440</v>
      </c>
      <c r="I543" s="3">
        <v>0</v>
      </c>
      <c r="J543" s="3">
        <v>19850000</v>
      </c>
      <c r="K543" s="3">
        <v>50555000</v>
      </c>
      <c r="L543" s="3">
        <f t="shared" si="16"/>
        <v>9047854960</v>
      </c>
      <c r="M543" s="1">
        <v>-1469866336</v>
      </c>
      <c r="N543" s="1">
        <v>-1506752822</v>
      </c>
      <c r="O543" s="1">
        <v>-250000</v>
      </c>
      <c r="P543" s="1">
        <v>0</v>
      </c>
      <c r="Q543" s="1">
        <v>-45197857</v>
      </c>
      <c r="R543" s="1">
        <f t="shared" si="17"/>
        <v>6025787945</v>
      </c>
    </row>
    <row r="544" spans="1:18">
      <c r="A544" t="s">
        <v>551</v>
      </c>
      <c r="C544" s="3">
        <v>14657836</v>
      </c>
      <c r="D544" s="3">
        <v>1615200000</v>
      </c>
      <c r="E544" s="3">
        <v>2280990928</v>
      </c>
      <c r="F544" s="3">
        <v>4019100649</v>
      </c>
      <c r="G544" s="3">
        <v>558432375</v>
      </c>
      <c r="H544" s="3">
        <v>321625360</v>
      </c>
      <c r="I544" s="3">
        <v>0</v>
      </c>
      <c r="J544" s="3">
        <v>49613000</v>
      </c>
      <c r="K544" s="3">
        <v>0</v>
      </c>
      <c r="L544" s="3">
        <f t="shared" si="16"/>
        <v>8859620148</v>
      </c>
      <c r="M544" s="1">
        <v>-1794033047</v>
      </c>
      <c r="N544" s="1">
        <v>-1800872347</v>
      </c>
      <c r="O544" s="1">
        <v>-213439987</v>
      </c>
      <c r="P544" s="1">
        <v>0</v>
      </c>
      <c r="Q544" s="1">
        <v>0</v>
      </c>
      <c r="R544" s="1">
        <f t="shared" si="17"/>
        <v>5051274767</v>
      </c>
    </row>
    <row r="545" spans="1:18">
      <c r="A545" t="s">
        <v>552</v>
      </c>
      <c r="C545" s="3">
        <v>940100</v>
      </c>
      <c r="D545" s="3">
        <v>183940000</v>
      </c>
      <c r="E545" s="3">
        <v>1808707479</v>
      </c>
      <c r="F545" s="3">
        <v>1622466000</v>
      </c>
      <c r="G545" s="3">
        <v>11500000</v>
      </c>
      <c r="H545" s="3">
        <v>0</v>
      </c>
      <c r="I545" s="3">
        <v>0</v>
      </c>
      <c r="J545" s="3">
        <v>0</v>
      </c>
      <c r="K545" s="3">
        <v>159550003</v>
      </c>
      <c r="L545" s="3">
        <f t="shared" si="16"/>
        <v>3787103582</v>
      </c>
      <c r="M545" s="1">
        <v>-999546906</v>
      </c>
      <c r="N545" s="1">
        <v>-564909900</v>
      </c>
      <c r="O545" s="1">
        <v>-1150000</v>
      </c>
      <c r="P545" s="1">
        <v>0</v>
      </c>
      <c r="Q545" s="1">
        <v>-159550003</v>
      </c>
      <c r="R545" s="1">
        <f t="shared" si="17"/>
        <v>2061946773</v>
      </c>
    </row>
    <row r="546" spans="1:18">
      <c r="A546" t="s">
        <v>553</v>
      </c>
      <c r="C546" s="3">
        <v>14000</v>
      </c>
      <c r="D546" s="3">
        <v>305000000</v>
      </c>
      <c r="E546" s="3">
        <v>1265287062</v>
      </c>
      <c r="F546" s="3">
        <v>4571732600</v>
      </c>
      <c r="G546" s="3">
        <v>20000000</v>
      </c>
      <c r="H546" s="3">
        <v>46103900</v>
      </c>
      <c r="I546" s="3">
        <v>0</v>
      </c>
      <c r="J546" s="3">
        <v>0</v>
      </c>
      <c r="K546" s="3">
        <v>72668000</v>
      </c>
      <c r="L546" s="3">
        <f t="shared" si="16"/>
        <v>6280805562</v>
      </c>
      <c r="M546" s="1">
        <v>-1035683070</v>
      </c>
      <c r="N546" s="1">
        <v>-980211194</v>
      </c>
      <c r="O546" s="1">
        <v>-500000</v>
      </c>
      <c r="P546" s="1">
        <v>0</v>
      </c>
      <c r="Q546" s="1">
        <v>-72405500</v>
      </c>
      <c r="R546" s="1">
        <f t="shared" si="17"/>
        <v>4192005798</v>
      </c>
    </row>
    <row r="547" spans="1:18">
      <c r="A547" t="s">
        <v>554</v>
      </c>
      <c r="C547" s="3">
        <v>230900</v>
      </c>
      <c r="D547" s="3">
        <v>412400000</v>
      </c>
      <c r="E547" s="3">
        <v>937992430</v>
      </c>
      <c r="F547" s="3">
        <v>2204030000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f t="shared" si="16"/>
        <v>3554653330</v>
      </c>
      <c r="M547" s="1">
        <v>-850131172</v>
      </c>
      <c r="N547" s="1">
        <v>-533181300</v>
      </c>
      <c r="O547" s="1">
        <v>0</v>
      </c>
      <c r="P547" s="1">
        <v>0</v>
      </c>
      <c r="Q547" s="1">
        <v>0</v>
      </c>
      <c r="R547" s="1">
        <f t="shared" si="17"/>
        <v>2171340858</v>
      </c>
    </row>
    <row r="548" spans="1:18">
      <c r="A548" t="s">
        <v>555</v>
      </c>
      <c r="C548" s="3">
        <v>294000</v>
      </c>
      <c r="D548" s="3">
        <v>2981470000</v>
      </c>
      <c r="E548" s="3">
        <v>3499474315</v>
      </c>
      <c r="F548" s="3">
        <v>6147128296</v>
      </c>
      <c r="G548" s="3">
        <v>83943601</v>
      </c>
      <c r="H548" s="3">
        <v>213016770</v>
      </c>
      <c r="I548" s="3">
        <v>0</v>
      </c>
      <c r="J548" s="3">
        <v>0</v>
      </c>
      <c r="K548" s="3">
        <v>0</v>
      </c>
      <c r="L548" s="3">
        <f t="shared" si="16"/>
        <v>12925326982</v>
      </c>
      <c r="M548" s="1">
        <v>-3094970863</v>
      </c>
      <c r="N548" s="1">
        <v>-2523912556</v>
      </c>
      <c r="O548" s="1">
        <v>-45759520</v>
      </c>
      <c r="P548" s="1">
        <v>-37417000</v>
      </c>
      <c r="Q548" s="1">
        <v>0</v>
      </c>
      <c r="R548" s="1">
        <f t="shared" si="17"/>
        <v>7223267043</v>
      </c>
    </row>
    <row r="549" spans="1:18">
      <c r="A549" t="s">
        <v>556</v>
      </c>
      <c r="C549" s="3">
        <v>0</v>
      </c>
      <c r="D549" s="3">
        <v>364820000</v>
      </c>
      <c r="E549" s="3">
        <v>1092896992</v>
      </c>
      <c r="F549" s="3">
        <v>2600580054</v>
      </c>
      <c r="G549" s="3">
        <v>0</v>
      </c>
      <c r="H549" s="3">
        <v>85619500</v>
      </c>
      <c r="I549" s="3">
        <v>0</v>
      </c>
      <c r="J549" s="3">
        <v>0</v>
      </c>
      <c r="K549" s="3">
        <v>0</v>
      </c>
      <c r="L549" s="3">
        <f t="shared" si="16"/>
        <v>4143916546</v>
      </c>
      <c r="M549" s="1">
        <v>-1030519238</v>
      </c>
      <c r="N549" s="1">
        <v>-409530003</v>
      </c>
      <c r="O549" s="1">
        <v>0</v>
      </c>
      <c r="P549" s="1">
        <v>0</v>
      </c>
      <c r="Q549" s="1">
        <v>0</v>
      </c>
      <c r="R549" s="1">
        <f t="shared" si="17"/>
        <v>2703867305</v>
      </c>
    </row>
    <row r="550" spans="1:18">
      <c r="A550" t="s">
        <v>557</v>
      </c>
      <c r="C550" s="3">
        <v>2222200</v>
      </c>
      <c r="D550" s="3">
        <v>1513380550</v>
      </c>
      <c r="E550" s="3">
        <v>1938045231</v>
      </c>
      <c r="F550" s="3">
        <v>4092183500</v>
      </c>
      <c r="G550" s="3">
        <v>4983000</v>
      </c>
      <c r="H550" s="3">
        <v>57193096</v>
      </c>
      <c r="I550" s="3">
        <v>0</v>
      </c>
      <c r="J550" s="3">
        <v>124300000</v>
      </c>
      <c r="K550" s="3">
        <v>58450000</v>
      </c>
      <c r="L550" s="3">
        <f t="shared" si="16"/>
        <v>7790757577</v>
      </c>
      <c r="M550" s="1">
        <v>-1497906388</v>
      </c>
      <c r="N550" s="1">
        <v>-1337125869</v>
      </c>
      <c r="O550" s="1">
        <v>-996600</v>
      </c>
      <c r="P550" s="1">
        <v>0</v>
      </c>
      <c r="Q550" s="1">
        <v>-52605000</v>
      </c>
      <c r="R550" s="1">
        <f t="shared" si="17"/>
        <v>4902123720</v>
      </c>
    </row>
    <row r="551" spans="1:18">
      <c r="A551" t="s">
        <v>558</v>
      </c>
      <c r="C551" s="3">
        <v>3451500</v>
      </c>
      <c r="D551" s="3">
        <v>4121042750</v>
      </c>
      <c r="E551" s="3">
        <v>1400002515</v>
      </c>
      <c r="F551" s="3">
        <v>4617143500</v>
      </c>
      <c r="G551" s="3">
        <v>0</v>
      </c>
      <c r="H551" s="3">
        <v>6780439</v>
      </c>
      <c r="I551" s="3">
        <v>0</v>
      </c>
      <c r="J551" s="3">
        <v>0</v>
      </c>
      <c r="K551" s="3">
        <v>0</v>
      </c>
      <c r="L551" s="3">
        <f t="shared" si="16"/>
        <v>10148420704</v>
      </c>
      <c r="M551" s="1">
        <v>-1282183979</v>
      </c>
      <c r="N551" s="1">
        <v>-1801387100</v>
      </c>
      <c r="O551" s="1">
        <v>0</v>
      </c>
      <c r="P551" s="1">
        <v>0</v>
      </c>
      <c r="Q551" s="1">
        <v>0</v>
      </c>
      <c r="R551" s="1">
        <f t="shared" si="17"/>
        <v>7064849625</v>
      </c>
    </row>
    <row r="552" spans="1:18">
      <c r="A552" t="s">
        <v>559</v>
      </c>
      <c r="C552" s="3">
        <v>609700</v>
      </c>
      <c r="D552" s="3">
        <v>3505120000</v>
      </c>
      <c r="E552" s="3">
        <v>1278929926</v>
      </c>
      <c r="F552" s="3">
        <v>2342750100</v>
      </c>
      <c r="G552" s="3">
        <v>0</v>
      </c>
      <c r="H552" s="3">
        <v>6132800</v>
      </c>
      <c r="I552" s="3">
        <v>0</v>
      </c>
      <c r="J552" s="3">
        <v>0</v>
      </c>
      <c r="K552" s="3">
        <v>7750000</v>
      </c>
      <c r="L552" s="3">
        <f t="shared" si="16"/>
        <v>7141292526</v>
      </c>
      <c r="M552" s="1">
        <v>-1115263067</v>
      </c>
      <c r="N552" s="1">
        <v>-530125008</v>
      </c>
      <c r="O552" s="1">
        <v>0</v>
      </c>
      <c r="P552" s="1">
        <v>0</v>
      </c>
      <c r="Q552" s="1">
        <v>-7750000</v>
      </c>
      <c r="R552" s="1">
        <f t="shared" si="17"/>
        <v>5488154451</v>
      </c>
    </row>
    <row r="553" spans="1:18">
      <c r="A553" t="s">
        <v>560</v>
      </c>
      <c r="C553" s="3">
        <v>0</v>
      </c>
      <c r="D553" s="3">
        <v>949050000</v>
      </c>
      <c r="E553" s="3">
        <v>1581921423</v>
      </c>
      <c r="F553" s="3">
        <v>0</v>
      </c>
      <c r="G553" s="3">
        <v>11110000</v>
      </c>
      <c r="H553" s="3">
        <v>0</v>
      </c>
      <c r="I553" s="3">
        <v>0</v>
      </c>
      <c r="J553" s="3">
        <v>108660000</v>
      </c>
      <c r="K553" s="3">
        <v>76042000</v>
      </c>
      <c r="L553" s="3">
        <f t="shared" si="16"/>
        <v>2726783423</v>
      </c>
      <c r="M553" s="1">
        <v>-1416520758</v>
      </c>
      <c r="N553" s="1">
        <v>0</v>
      </c>
      <c r="O553" s="1">
        <v>-11110000</v>
      </c>
      <c r="P553" s="1">
        <v>0</v>
      </c>
      <c r="Q553" s="1">
        <v>-76042000</v>
      </c>
      <c r="R553" s="1">
        <f t="shared" si="17"/>
        <v>1223110665</v>
      </c>
    </row>
    <row r="554" spans="1:18">
      <c r="A554" t="s">
        <v>561</v>
      </c>
      <c r="C554" s="3">
        <v>387950</v>
      </c>
      <c r="D554" s="3">
        <v>4253474000</v>
      </c>
      <c r="E554" s="3">
        <v>2987678351</v>
      </c>
      <c r="F554" s="3">
        <v>10808447500</v>
      </c>
      <c r="G554" s="3">
        <v>296025000</v>
      </c>
      <c r="H554" s="3">
        <v>2828675</v>
      </c>
      <c r="I554" s="3">
        <v>0</v>
      </c>
      <c r="J554" s="3">
        <v>0</v>
      </c>
      <c r="K554" s="3">
        <v>0</v>
      </c>
      <c r="L554" s="3">
        <f t="shared" si="16"/>
        <v>18348841476</v>
      </c>
      <c r="M554" s="1">
        <v>-1954334833</v>
      </c>
      <c r="N554" s="1">
        <v>-1394716250</v>
      </c>
      <c r="O554" s="1">
        <v>-133078750</v>
      </c>
      <c r="P554" s="1">
        <v>0</v>
      </c>
      <c r="Q554" s="1">
        <v>0</v>
      </c>
      <c r="R554" s="1">
        <f t="shared" si="17"/>
        <v>14866711643</v>
      </c>
    </row>
    <row r="555" spans="1:18">
      <c r="A555" s="20" t="s">
        <v>562</v>
      </c>
      <c r="C555" s="3">
        <v>314600</v>
      </c>
      <c r="D555" s="3">
        <v>812174000</v>
      </c>
      <c r="E555" s="3">
        <v>1870581266</v>
      </c>
      <c r="F555" s="3">
        <v>7236435512</v>
      </c>
      <c r="G555" s="3">
        <v>15301000</v>
      </c>
      <c r="H555" s="3">
        <v>5980900</v>
      </c>
      <c r="I555" s="3">
        <v>0</v>
      </c>
      <c r="J555" s="3">
        <v>56545000</v>
      </c>
      <c r="K555" s="3">
        <v>15741122</v>
      </c>
      <c r="L555" s="3">
        <f t="shared" si="16"/>
        <v>10013073400</v>
      </c>
      <c r="M555" s="1">
        <v>-1330831933</v>
      </c>
      <c r="N555" s="1">
        <v>-1103998356</v>
      </c>
      <c r="O555" s="1">
        <v>-7650500</v>
      </c>
      <c r="P555" s="1">
        <v>0</v>
      </c>
      <c r="Q555" s="1">
        <v>-15741122</v>
      </c>
      <c r="R555" s="1">
        <f t="shared" si="17"/>
        <v>7554851489</v>
      </c>
    </row>
    <row r="556" spans="1:18">
      <c r="A556" t="s">
        <v>563</v>
      </c>
      <c r="C556" s="3">
        <v>12000</v>
      </c>
      <c r="D556" s="3">
        <v>1800000000</v>
      </c>
      <c r="E556" s="3">
        <v>812255309</v>
      </c>
      <c r="F556" s="3">
        <v>8021692028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f t="shared" si="16"/>
        <v>10633959337</v>
      </c>
      <c r="M556" s="1">
        <v>-195628743</v>
      </c>
      <c r="N556" s="1">
        <v>-198744760</v>
      </c>
      <c r="O556" s="1">
        <v>0</v>
      </c>
      <c r="P556" s="1">
        <v>0</v>
      </c>
      <c r="Q556" s="1">
        <v>0</v>
      </c>
      <c r="R556" s="1">
        <f t="shared" si="17"/>
        <v>10239585834</v>
      </c>
    </row>
    <row r="557" spans="1:18">
      <c r="A557" t="s">
        <v>564</v>
      </c>
      <c r="C557" s="3">
        <v>738500</v>
      </c>
      <c r="D557" s="3">
        <v>17229818000</v>
      </c>
      <c r="E557" s="3">
        <v>2332510167</v>
      </c>
      <c r="F557" s="3">
        <v>14448228540</v>
      </c>
      <c r="G557" s="3">
        <v>0</v>
      </c>
      <c r="H557" s="3">
        <v>61893440</v>
      </c>
      <c r="I557" s="3">
        <v>0</v>
      </c>
      <c r="J557" s="3">
        <v>0</v>
      </c>
      <c r="K557" s="3">
        <v>61839800</v>
      </c>
      <c r="L557" s="3">
        <f t="shared" si="16"/>
        <v>34135028447</v>
      </c>
      <c r="M557" s="1">
        <v>-1989407124</v>
      </c>
      <c r="N557" s="1">
        <v>-2142301453</v>
      </c>
      <c r="O557" s="1">
        <v>0</v>
      </c>
      <c r="P557" s="1">
        <v>0</v>
      </c>
      <c r="Q557" s="1">
        <v>-50499020</v>
      </c>
      <c r="R557" s="1">
        <f t="shared" si="17"/>
        <v>29952820850</v>
      </c>
    </row>
    <row r="558" spans="1:18">
      <c r="A558" t="s">
        <v>565</v>
      </c>
      <c r="C558" s="3">
        <v>396000</v>
      </c>
      <c r="D558" s="3">
        <v>1065000000</v>
      </c>
      <c r="E558" s="3">
        <v>1170242831</v>
      </c>
      <c r="F558" s="3">
        <v>12879770500</v>
      </c>
      <c r="G558" s="3">
        <v>0</v>
      </c>
      <c r="H558" s="3">
        <v>1440000</v>
      </c>
      <c r="I558" s="3">
        <v>0</v>
      </c>
      <c r="J558" s="3">
        <v>4400000</v>
      </c>
      <c r="K558" s="3">
        <v>5538506</v>
      </c>
      <c r="L558" s="3">
        <f t="shared" si="16"/>
        <v>15126787837</v>
      </c>
      <c r="M558" s="1">
        <v>-1073349181</v>
      </c>
      <c r="N558" s="1">
        <v>-2579452075</v>
      </c>
      <c r="O558" s="1">
        <v>0</v>
      </c>
      <c r="P558" s="1">
        <v>0</v>
      </c>
      <c r="Q558" s="1">
        <v>-4288506</v>
      </c>
      <c r="R558" s="1">
        <f t="shared" si="17"/>
        <v>11469698075</v>
      </c>
    </row>
    <row r="559" spans="1:18">
      <c r="A559" t="s">
        <v>566</v>
      </c>
      <c r="C559" s="3">
        <v>0</v>
      </c>
      <c r="D559" s="3">
        <v>2756915449</v>
      </c>
      <c r="E559" s="3">
        <v>1102748426</v>
      </c>
      <c r="F559" s="3">
        <v>7024343518</v>
      </c>
      <c r="G559" s="3">
        <v>0</v>
      </c>
      <c r="H559" s="3">
        <v>4626840</v>
      </c>
      <c r="I559" s="3">
        <v>0</v>
      </c>
      <c r="J559" s="3">
        <v>0</v>
      </c>
      <c r="K559" s="3">
        <v>162735000</v>
      </c>
      <c r="L559" s="3">
        <f t="shared" si="16"/>
        <v>11051369233</v>
      </c>
      <c r="M559" s="1">
        <v>-1057645285</v>
      </c>
      <c r="N559" s="1">
        <v>-1086543937</v>
      </c>
      <c r="O559" s="1">
        <v>0</v>
      </c>
      <c r="P559" s="1">
        <v>0</v>
      </c>
      <c r="Q559" s="1">
        <v>-128105000</v>
      </c>
      <c r="R559" s="1">
        <f t="shared" si="17"/>
        <v>8779075011</v>
      </c>
    </row>
    <row r="560" spans="1:18">
      <c r="A560" t="s">
        <v>567</v>
      </c>
      <c r="C560" s="3">
        <v>0</v>
      </c>
      <c r="D560" s="3">
        <v>3063161350</v>
      </c>
      <c r="E560" s="3">
        <v>1590712067</v>
      </c>
      <c r="F560" s="3">
        <v>11997230935</v>
      </c>
      <c r="G560" s="3">
        <v>0</v>
      </c>
      <c r="H560" s="3">
        <v>1943440</v>
      </c>
      <c r="I560" s="3">
        <v>0</v>
      </c>
      <c r="J560" s="3">
        <v>0</v>
      </c>
      <c r="K560" s="3">
        <v>418580500</v>
      </c>
      <c r="L560" s="3">
        <f t="shared" si="16"/>
        <v>17071628292</v>
      </c>
      <c r="M560" s="1">
        <v>-1109068862</v>
      </c>
      <c r="N560" s="1">
        <v>-974932739</v>
      </c>
      <c r="O560" s="1">
        <v>0</v>
      </c>
      <c r="P560" s="1">
        <v>0</v>
      </c>
      <c r="Q560" s="1">
        <v>-418580500</v>
      </c>
      <c r="R560" s="1">
        <f t="shared" si="17"/>
        <v>14569046191</v>
      </c>
    </row>
    <row r="561" spans="1:18">
      <c r="A561" t="s">
        <v>568</v>
      </c>
      <c r="C561" s="3">
        <v>52425</v>
      </c>
      <c r="D561" s="3">
        <v>1279000000</v>
      </c>
      <c r="E561" s="3">
        <v>1653642065</v>
      </c>
      <c r="F561" s="3">
        <v>5762448718</v>
      </c>
      <c r="G561" s="3">
        <v>8800000</v>
      </c>
      <c r="H561" s="3">
        <v>4532370</v>
      </c>
      <c r="I561" s="3">
        <v>0</v>
      </c>
      <c r="J561" s="3">
        <v>18480000</v>
      </c>
      <c r="K561" s="3">
        <v>42629266</v>
      </c>
      <c r="L561" s="3">
        <f t="shared" si="16"/>
        <v>8769584844</v>
      </c>
      <c r="M561" s="1">
        <v>-1163149183</v>
      </c>
      <c r="N561" s="1">
        <v>-549667365</v>
      </c>
      <c r="O561" s="1">
        <v>-1760000</v>
      </c>
      <c r="P561" s="1">
        <v>0</v>
      </c>
      <c r="Q561" s="1">
        <v>-42548740</v>
      </c>
      <c r="R561" s="1">
        <f t="shared" si="17"/>
        <v>7012459556</v>
      </c>
    </row>
    <row r="562" spans="1:18">
      <c r="A562" t="s">
        <v>569</v>
      </c>
      <c r="C562" s="3">
        <v>0</v>
      </c>
      <c r="D562" s="3">
        <v>330567000</v>
      </c>
      <c r="E562" s="3">
        <v>1295299634</v>
      </c>
      <c r="F562" s="3">
        <v>1697251056</v>
      </c>
      <c r="G562" s="3">
        <v>8000000</v>
      </c>
      <c r="H562" s="3">
        <v>408000</v>
      </c>
      <c r="I562" s="3">
        <v>0</v>
      </c>
      <c r="J562" s="3">
        <v>3850000</v>
      </c>
      <c r="K562" s="3">
        <v>170701593</v>
      </c>
      <c r="L562" s="3">
        <f t="shared" si="16"/>
        <v>3506077283</v>
      </c>
      <c r="M562" s="1">
        <v>-935877977</v>
      </c>
      <c r="N562" s="1">
        <v>-853411838</v>
      </c>
      <c r="O562" s="1">
        <v>-800000</v>
      </c>
      <c r="P562" s="1">
        <v>0</v>
      </c>
      <c r="Q562" s="1">
        <v>-170701593</v>
      </c>
      <c r="R562" s="1">
        <f t="shared" si="17"/>
        <v>1545285875</v>
      </c>
    </row>
    <row r="563" spans="1:18">
      <c r="A563" t="s">
        <v>570</v>
      </c>
      <c r="C563" s="3">
        <v>0</v>
      </c>
      <c r="D563" s="3">
        <v>975300000</v>
      </c>
      <c r="E563" s="3">
        <v>1167558217</v>
      </c>
      <c r="F563" s="3">
        <v>8679914993</v>
      </c>
      <c r="G563" s="3">
        <v>0</v>
      </c>
      <c r="H563" s="3">
        <v>29873900</v>
      </c>
      <c r="I563" s="3">
        <v>0</v>
      </c>
      <c r="J563" s="3">
        <v>3850000</v>
      </c>
      <c r="K563" s="3">
        <v>83810110</v>
      </c>
      <c r="L563" s="3">
        <f t="shared" si="16"/>
        <v>10940307220</v>
      </c>
      <c r="M563" s="1">
        <v>-691248199</v>
      </c>
      <c r="N563" s="1">
        <v>-659785297</v>
      </c>
      <c r="O563" s="1">
        <v>0</v>
      </c>
      <c r="P563" s="1">
        <v>0</v>
      </c>
      <c r="Q563" s="1">
        <v>-83810110</v>
      </c>
      <c r="R563" s="1">
        <f t="shared" si="17"/>
        <v>9505463614</v>
      </c>
    </row>
    <row r="564" spans="1:18">
      <c r="A564" t="s">
        <v>571</v>
      </c>
      <c r="C564" s="3">
        <v>0</v>
      </c>
      <c r="D564" s="3">
        <v>844769000</v>
      </c>
      <c r="E564" s="3">
        <v>788607503</v>
      </c>
      <c r="F564" s="3">
        <v>5162730000</v>
      </c>
      <c r="G564" s="3">
        <v>420181900</v>
      </c>
      <c r="H564" s="3">
        <v>408000</v>
      </c>
      <c r="I564" s="3">
        <v>0</v>
      </c>
      <c r="J564" s="3">
        <v>3850000</v>
      </c>
      <c r="K564" s="3">
        <v>277870237</v>
      </c>
      <c r="L564" s="3">
        <f t="shared" si="16"/>
        <v>7498416640</v>
      </c>
      <c r="M564" s="1">
        <v>-621639106</v>
      </c>
      <c r="N564" s="1">
        <v>-510337295</v>
      </c>
      <c r="O564" s="1">
        <v>-38082072</v>
      </c>
      <c r="P564" s="1">
        <v>0</v>
      </c>
      <c r="Q564" s="1">
        <v>-277870237</v>
      </c>
      <c r="R564" s="1">
        <f t="shared" si="17"/>
        <v>6050487930</v>
      </c>
    </row>
    <row r="565" spans="1:18">
      <c r="A565" t="s">
        <v>572</v>
      </c>
      <c r="C565" s="3">
        <v>3532315</v>
      </c>
      <c r="D565" s="3">
        <v>7887962310</v>
      </c>
      <c r="E565" s="3">
        <v>3983581373</v>
      </c>
      <c r="F565" s="3">
        <v>6144007671</v>
      </c>
      <c r="G565" s="3">
        <v>331446400</v>
      </c>
      <c r="H565" s="3">
        <v>8063440</v>
      </c>
      <c r="I565" s="3">
        <v>0</v>
      </c>
      <c r="J565" s="3">
        <v>0</v>
      </c>
      <c r="K565" s="3">
        <v>15876000</v>
      </c>
      <c r="L565" s="3">
        <f t="shared" si="16"/>
        <v>18374469509</v>
      </c>
      <c r="M565" s="1">
        <v>-3651441860</v>
      </c>
      <c r="N565" s="1">
        <v>-2570019701</v>
      </c>
      <c r="O565" s="1">
        <v>-93834320</v>
      </c>
      <c r="P565" s="1">
        <v>-1500000</v>
      </c>
      <c r="Q565" s="1">
        <v>-15876000</v>
      </c>
      <c r="R565" s="1">
        <f t="shared" si="17"/>
        <v>12041797628</v>
      </c>
    </row>
    <row r="566" spans="1:18">
      <c r="A566" t="s">
        <v>573</v>
      </c>
      <c r="C566" s="3">
        <v>73500</v>
      </c>
      <c r="D566" s="3">
        <v>149710000</v>
      </c>
      <c r="E566" s="3">
        <v>1385103247</v>
      </c>
      <c r="F566" s="3">
        <v>5665367008</v>
      </c>
      <c r="G566" s="3">
        <v>238439000</v>
      </c>
      <c r="H566" s="3">
        <v>11626840</v>
      </c>
      <c r="I566" s="3">
        <v>0</v>
      </c>
      <c r="J566" s="3">
        <v>0</v>
      </c>
      <c r="K566" s="3">
        <v>43560500</v>
      </c>
      <c r="L566" s="3">
        <f t="shared" si="16"/>
        <v>7493880095</v>
      </c>
      <c r="M566" s="1">
        <v>-1079518819</v>
      </c>
      <c r="N566" s="1">
        <v>-1412306801</v>
      </c>
      <c r="O566" s="1">
        <v>-39740088</v>
      </c>
      <c r="P566" s="1">
        <v>0</v>
      </c>
      <c r="Q566" s="1">
        <v>-43560500</v>
      </c>
      <c r="R566" s="1">
        <f t="shared" si="17"/>
        <v>4918753887</v>
      </c>
    </row>
    <row r="567" spans="1:18">
      <c r="A567" t="s">
        <v>574</v>
      </c>
      <c r="C567" s="3">
        <v>155875</v>
      </c>
      <c r="D567" s="3">
        <v>2516266520</v>
      </c>
      <c r="E567" s="3">
        <v>3529280257</v>
      </c>
      <c r="F567" s="3">
        <v>10987830552</v>
      </c>
      <c r="G567" s="3">
        <v>7884900</v>
      </c>
      <c r="H567" s="3">
        <v>36058740</v>
      </c>
      <c r="I567" s="3">
        <v>0</v>
      </c>
      <c r="J567" s="3">
        <v>3850000</v>
      </c>
      <c r="K567" s="3">
        <v>16431450</v>
      </c>
      <c r="L567" s="3">
        <f t="shared" si="16"/>
        <v>17097758294</v>
      </c>
      <c r="M567" s="1">
        <v>-3223631512</v>
      </c>
      <c r="N567" s="1">
        <v>-1020161867</v>
      </c>
      <c r="O567" s="1">
        <v>-1182735</v>
      </c>
      <c r="P567" s="1">
        <v>-25500000</v>
      </c>
      <c r="Q567" s="1">
        <v>-15627034</v>
      </c>
      <c r="R567" s="1">
        <f t="shared" si="17"/>
        <v>12811655146</v>
      </c>
    </row>
    <row r="568" spans="1:18">
      <c r="A568" t="s">
        <v>575</v>
      </c>
      <c r="C568" s="3">
        <v>0</v>
      </c>
      <c r="D568" s="3">
        <v>1996275000</v>
      </c>
      <c r="E568" s="3">
        <v>2176293032</v>
      </c>
      <c r="F568" s="3">
        <v>9743461521</v>
      </c>
      <c r="G568" s="3">
        <v>92860000</v>
      </c>
      <c r="H568" s="3">
        <v>15064000</v>
      </c>
      <c r="I568" s="3">
        <v>0</v>
      </c>
      <c r="J568" s="3">
        <v>156405000</v>
      </c>
      <c r="K568" s="3">
        <v>0</v>
      </c>
      <c r="L568" s="3">
        <f t="shared" si="16"/>
        <v>14180358553</v>
      </c>
      <c r="M568" s="1">
        <v>-1838491449</v>
      </c>
      <c r="N568" s="1">
        <v>-821813549</v>
      </c>
      <c r="O568" s="1">
        <v>-16250500</v>
      </c>
      <c r="P568" s="1">
        <v>-15064000</v>
      </c>
      <c r="Q568" s="1">
        <v>0</v>
      </c>
      <c r="R568" s="1">
        <f t="shared" si="17"/>
        <v>11488739055</v>
      </c>
    </row>
    <row r="569" spans="1:18">
      <c r="A569" t="s">
        <v>576</v>
      </c>
      <c r="C569" s="3">
        <v>0</v>
      </c>
      <c r="D569" s="3">
        <v>242820000</v>
      </c>
      <c r="E569" s="3">
        <v>1378829990</v>
      </c>
      <c r="F569" s="3">
        <v>1379401787</v>
      </c>
      <c r="G569" s="3">
        <v>0</v>
      </c>
      <c r="H569" s="3">
        <v>4532370</v>
      </c>
      <c r="I569" s="3">
        <v>0</v>
      </c>
      <c r="J569" s="3">
        <v>26720000</v>
      </c>
      <c r="K569" s="3">
        <v>0</v>
      </c>
      <c r="L569" s="3">
        <f t="shared" si="16"/>
        <v>3032304147</v>
      </c>
      <c r="M569" s="1">
        <v>-1138853036</v>
      </c>
      <c r="N569" s="1">
        <v>-179554517</v>
      </c>
      <c r="O569" s="1">
        <v>0</v>
      </c>
      <c r="P569" s="1">
        <v>0</v>
      </c>
      <c r="Q569" s="1">
        <v>0</v>
      </c>
      <c r="R569" s="1">
        <f t="shared" si="17"/>
        <v>1713896594</v>
      </c>
    </row>
    <row r="570" spans="1:18">
      <c r="A570" t="s">
        <v>577</v>
      </c>
      <c r="C570" s="3">
        <v>442000</v>
      </c>
      <c r="D570" s="3">
        <v>925312037</v>
      </c>
      <c r="E570" s="3">
        <v>824066804</v>
      </c>
      <c r="F570" s="3">
        <v>2230781800</v>
      </c>
      <c r="G570" s="3">
        <v>0</v>
      </c>
      <c r="H570" s="3">
        <v>408000</v>
      </c>
      <c r="I570" s="3">
        <v>0</v>
      </c>
      <c r="J570" s="3">
        <v>3850000</v>
      </c>
      <c r="K570" s="3">
        <v>54918998</v>
      </c>
      <c r="L570" s="3">
        <f t="shared" si="16"/>
        <v>4039779639</v>
      </c>
      <c r="M570" s="1">
        <v>-674816084</v>
      </c>
      <c r="N570" s="1">
        <v>-388190426</v>
      </c>
      <c r="O570" s="1">
        <v>0</v>
      </c>
      <c r="P570" s="1">
        <v>0</v>
      </c>
      <c r="Q570" s="1">
        <v>-54823998</v>
      </c>
      <c r="R570" s="1">
        <f t="shared" si="17"/>
        <v>2921949131</v>
      </c>
    </row>
    <row r="571" spans="1:18">
      <c r="A571" t="s">
        <v>578</v>
      </c>
      <c r="C571" s="3">
        <v>0</v>
      </c>
      <c r="D571" s="3">
        <v>304000000</v>
      </c>
      <c r="E571" s="3">
        <v>905889257</v>
      </c>
      <c r="F571" s="3">
        <v>1851298000</v>
      </c>
      <c r="G571" s="3">
        <v>0</v>
      </c>
      <c r="H571" s="3">
        <v>24241970</v>
      </c>
      <c r="I571" s="3">
        <v>0</v>
      </c>
      <c r="J571" s="3">
        <v>16900000</v>
      </c>
      <c r="K571" s="3">
        <v>124673960</v>
      </c>
      <c r="L571" s="3">
        <f t="shared" si="16"/>
        <v>3227003187</v>
      </c>
      <c r="M571" s="1">
        <v>-758141211</v>
      </c>
      <c r="N571" s="1">
        <v>-294164430</v>
      </c>
      <c r="O571" s="1">
        <v>0</v>
      </c>
      <c r="P571" s="1">
        <v>0</v>
      </c>
      <c r="Q571" s="1">
        <v>-121235710</v>
      </c>
      <c r="R571" s="1">
        <f t="shared" si="17"/>
        <v>2053461836</v>
      </c>
    </row>
    <row r="572" spans="1:18">
      <c r="A572" t="s">
        <v>579</v>
      </c>
      <c r="C572" s="3">
        <v>0</v>
      </c>
      <c r="D572" s="3">
        <v>120000000</v>
      </c>
      <c r="E572" s="3">
        <v>995014117</v>
      </c>
      <c r="F572" s="3">
        <v>2060105383</v>
      </c>
      <c r="G572" s="3">
        <v>0</v>
      </c>
      <c r="H572" s="3">
        <v>1889370</v>
      </c>
      <c r="I572" s="3">
        <v>0</v>
      </c>
      <c r="J572" s="3">
        <v>16850000</v>
      </c>
      <c r="K572" s="3">
        <v>291407500</v>
      </c>
      <c r="L572" s="3">
        <f t="shared" si="16"/>
        <v>3485266370</v>
      </c>
      <c r="M572" s="1">
        <v>-909740467</v>
      </c>
      <c r="N572" s="1">
        <v>-375850624</v>
      </c>
      <c r="O572" s="1">
        <v>0</v>
      </c>
      <c r="P572" s="1">
        <v>0</v>
      </c>
      <c r="Q572" s="1">
        <v>-291407500</v>
      </c>
      <c r="R572" s="1">
        <f t="shared" si="17"/>
        <v>1908267779</v>
      </c>
    </row>
    <row r="573" spans="1:18">
      <c r="A573" t="s">
        <v>580</v>
      </c>
      <c r="C573" s="3">
        <v>0</v>
      </c>
      <c r="D573" s="3">
        <v>413750000</v>
      </c>
      <c r="E573" s="3">
        <v>1224293215</v>
      </c>
      <c r="F573" s="3">
        <v>3123900000</v>
      </c>
      <c r="G573" s="3">
        <v>0</v>
      </c>
      <c r="H573" s="3">
        <v>1943440</v>
      </c>
      <c r="I573" s="3">
        <v>0</v>
      </c>
      <c r="J573" s="3">
        <v>0</v>
      </c>
      <c r="K573" s="3">
        <v>197026094</v>
      </c>
      <c r="L573" s="3">
        <f t="shared" si="16"/>
        <v>4960912749</v>
      </c>
      <c r="M573" s="1">
        <v>-884162705</v>
      </c>
      <c r="N573" s="1">
        <v>-736195000</v>
      </c>
      <c r="O573" s="1">
        <v>0</v>
      </c>
      <c r="P573" s="1">
        <v>0</v>
      </c>
      <c r="Q573" s="1">
        <v>-187109488</v>
      </c>
      <c r="R573" s="1">
        <f t="shared" si="17"/>
        <v>3153445556</v>
      </c>
    </row>
    <row r="574" spans="1:18">
      <c r="A574" t="s">
        <v>581</v>
      </c>
      <c r="C574" s="3">
        <v>780000</v>
      </c>
      <c r="D574" s="3">
        <v>2351430000</v>
      </c>
      <c r="E574" s="3">
        <v>1303757547</v>
      </c>
      <c r="F574" s="3">
        <v>8486875492</v>
      </c>
      <c r="G574" s="3">
        <v>0</v>
      </c>
      <c r="H574" s="3">
        <v>1943440</v>
      </c>
      <c r="I574" s="3">
        <v>0</v>
      </c>
      <c r="J574" s="3">
        <v>0</v>
      </c>
      <c r="K574" s="3">
        <v>45486750</v>
      </c>
      <c r="L574" s="3">
        <f t="shared" si="16"/>
        <v>12190273229</v>
      </c>
      <c r="M574" s="1">
        <v>-724115136</v>
      </c>
      <c r="N574" s="1">
        <v>-588187205</v>
      </c>
      <c r="O574" s="1">
        <v>0</v>
      </c>
      <c r="P574" s="1">
        <v>0</v>
      </c>
      <c r="Q574" s="1">
        <v>-45218750</v>
      </c>
      <c r="R574" s="1">
        <f t="shared" si="17"/>
        <v>10832752138</v>
      </c>
    </row>
    <row r="575" spans="1:18">
      <c r="A575" t="s">
        <v>582</v>
      </c>
      <c r="C575" s="3">
        <v>318000</v>
      </c>
      <c r="D575" s="3">
        <v>2842100000</v>
      </c>
      <c r="E575" s="3">
        <v>1260952000</v>
      </c>
      <c r="F575" s="3">
        <v>8162706800</v>
      </c>
      <c r="G575" s="3">
        <v>500000</v>
      </c>
      <c r="H575" s="3">
        <v>1848970</v>
      </c>
      <c r="I575" s="3">
        <v>0</v>
      </c>
      <c r="J575" s="3">
        <v>6950000</v>
      </c>
      <c r="K575" s="3">
        <v>4890500</v>
      </c>
      <c r="L575" s="3">
        <f t="shared" si="16"/>
        <v>12280266270</v>
      </c>
      <c r="M575" s="1">
        <v>-456225156</v>
      </c>
      <c r="N575" s="1">
        <v>-210458404</v>
      </c>
      <c r="O575" s="1">
        <v>-100000</v>
      </c>
      <c r="P575" s="1">
        <v>0</v>
      </c>
      <c r="Q575" s="1">
        <v>-3992963</v>
      </c>
      <c r="R575" s="1">
        <f t="shared" si="17"/>
        <v>11609489747</v>
      </c>
    </row>
    <row r="576" spans="1:18">
      <c r="A576" t="s">
        <v>583</v>
      </c>
      <c r="C576" s="3">
        <v>1985000</v>
      </c>
      <c r="D576" s="3">
        <v>61912091000</v>
      </c>
      <c r="E576" s="3">
        <v>5409825786</v>
      </c>
      <c r="F576" s="3">
        <v>17403448353</v>
      </c>
      <c r="G576" s="3">
        <v>437772500</v>
      </c>
      <c r="H576" s="3">
        <v>4100630</v>
      </c>
      <c r="I576" s="3">
        <v>5260320900</v>
      </c>
      <c r="J576" s="3">
        <v>152285000</v>
      </c>
      <c r="K576" s="3">
        <v>493719248</v>
      </c>
      <c r="L576" s="3">
        <f t="shared" si="16"/>
        <v>91075548417</v>
      </c>
      <c r="M576" s="1">
        <v>-4819598091</v>
      </c>
      <c r="N576" s="1">
        <v>-8853039307</v>
      </c>
      <c r="O576" s="1">
        <v>-253500475</v>
      </c>
      <c r="P576" s="1">
        <v>0</v>
      </c>
      <c r="Q576" s="1">
        <v>-493719248</v>
      </c>
      <c r="R576" s="1">
        <f t="shared" si="17"/>
        <v>76655691296</v>
      </c>
    </row>
    <row r="577" spans="1:18">
      <c r="A577" s="20" t="s">
        <v>584</v>
      </c>
      <c r="C577" s="3">
        <v>59023960</v>
      </c>
      <c r="D577" s="3">
        <v>32878550000</v>
      </c>
      <c r="E577" s="3">
        <v>7122605741</v>
      </c>
      <c r="F577" s="3">
        <v>19918651302</v>
      </c>
      <c r="G577" s="3">
        <v>0</v>
      </c>
      <c r="H577" s="3">
        <v>157273440</v>
      </c>
      <c r="I577" s="3">
        <v>0</v>
      </c>
      <c r="J577" s="3">
        <v>0</v>
      </c>
      <c r="K577" s="3">
        <v>0</v>
      </c>
      <c r="L577" s="3">
        <f t="shared" si="16"/>
        <v>60136104443</v>
      </c>
      <c r="M577" s="1">
        <v>-4997783992</v>
      </c>
      <c r="N577" s="1">
        <v>-4491844113</v>
      </c>
      <c r="O577" s="1">
        <v>0</v>
      </c>
      <c r="P577" s="1">
        <v>-1500000</v>
      </c>
      <c r="Q577" s="1">
        <v>0</v>
      </c>
      <c r="R577" s="1">
        <f t="shared" si="17"/>
        <v>50644976338</v>
      </c>
    </row>
    <row r="578" spans="1:18">
      <c r="A578" t="s">
        <v>585</v>
      </c>
      <c r="C578" s="3">
        <v>1071995</v>
      </c>
      <c r="D578" s="3">
        <v>4230309756</v>
      </c>
      <c r="E578" s="3">
        <v>1947587861</v>
      </c>
      <c r="F578" s="3">
        <v>4511087355</v>
      </c>
      <c r="G578" s="3">
        <v>0</v>
      </c>
      <c r="H578" s="3">
        <v>98532118</v>
      </c>
      <c r="I578" s="3">
        <v>0</v>
      </c>
      <c r="J578" s="3">
        <v>0</v>
      </c>
      <c r="K578" s="3">
        <v>0</v>
      </c>
      <c r="L578" s="3">
        <f t="shared" si="16"/>
        <v>10788589085</v>
      </c>
      <c r="M578" s="1">
        <v>-1651184704</v>
      </c>
      <c r="N578" s="1">
        <v>-2717355707</v>
      </c>
      <c r="O578" s="1">
        <v>0</v>
      </c>
      <c r="P578" s="1">
        <v>0</v>
      </c>
      <c r="Q578" s="1">
        <v>0</v>
      </c>
      <c r="R578" s="1">
        <f t="shared" si="17"/>
        <v>6420048674</v>
      </c>
    </row>
    <row r="579" spans="1:18">
      <c r="A579" t="s">
        <v>586</v>
      </c>
      <c r="C579" s="3">
        <v>205900</v>
      </c>
      <c r="D579" s="3">
        <v>4648573000</v>
      </c>
      <c r="E579" s="3">
        <v>1526922378</v>
      </c>
      <c r="F579" s="3">
        <v>3889766100</v>
      </c>
      <c r="G579" s="3">
        <v>138744000</v>
      </c>
      <c r="H579" s="3">
        <v>5058840</v>
      </c>
      <c r="I579" s="3">
        <v>0</v>
      </c>
      <c r="J579" s="3">
        <v>24349000</v>
      </c>
      <c r="K579" s="3">
        <v>0</v>
      </c>
      <c r="L579" s="3">
        <f t="shared" ref="L579:L642" si="18">SUM(C579:K579)</f>
        <v>10233619218</v>
      </c>
      <c r="M579" s="1">
        <v>-1210753724</v>
      </c>
      <c r="N579" s="1">
        <v>-865443374</v>
      </c>
      <c r="O579" s="1">
        <v>-77356589</v>
      </c>
      <c r="P579" s="1">
        <v>0</v>
      </c>
      <c r="Q579" s="1">
        <v>0</v>
      </c>
      <c r="R579" s="1">
        <f t="shared" ref="R579:R642" si="19">SUM(L579:Q579)</f>
        <v>8080065531</v>
      </c>
    </row>
    <row r="580" spans="1:18">
      <c r="A580" t="s">
        <v>587</v>
      </c>
      <c r="C580" s="3">
        <v>1125600</v>
      </c>
      <c r="D580" s="3">
        <v>2977000000</v>
      </c>
      <c r="E580" s="3">
        <v>1465063735</v>
      </c>
      <c r="F580" s="3">
        <v>4454951900</v>
      </c>
      <c r="G580" s="3">
        <v>0</v>
      </c>
      <c r="H580" s="3">
        <v>31843440</v>
      </c>
      <c r="I580" s="3">
        <v>0</v>
      </c>
      <c r="J580" s="3">
        <v>24349000</v>
      </c>
      <c r="K580" s="3">
        <v>63047000</v>
      </c>
      <c r="L580" s="3">
        <f t="shared" si="18"/>
        <v>9017380675</v>
      </c>
      <c r="M580" s="1">
        <v>-1277725639</v>
      </c>
      <c r="N580" s="1">
        <v>-3040020713</v>
      </c>
      <c r="O580" s="1">
        <v>0</v>
      </c>
      <c r="P580" s="1">
        <v>0</v>
      </c>
      <c r="Q580" s="1">
        <v>-40657720</v>
      </c>
      <c r="R580" s="1">
        <f t="shared" si="19"/>
        <v>4658976603</v>
      </c>
    </row>
    <row r="581" spans="1:18">
      <c r="A581" t="s">
        <v>588</v>
      </c>
      <c r="C581" s="3">
        <v>93200</v>
      </c>
      <c r="D581" s="3">
        <v>3695916200</v>
      </c>
      <c r="E581" s="3">
        <v>1661221527</v>
      </c>
      <c r="F581" s="3">
        <v>3245654037</v>
      </c>
      <c r="G581" s="3">
        <v>196044915</v>
      </c>
      <c r="H581" s="3">
        <v>28885518</v>
      </c>
      <c r="I581" s="3">
        <v>0</v>
      </c>
      <c r="J581" s="3">
        <v>24349000</v>
      </c>
      <c r="K581" s="3">
        <v>281788910</v>
      </c>
      <c r="L581" s="3">
        <f t="shared" si="18"/>
        <v>9133953307</v>
      </c>
      <c r="M581" s="1">
        <v>-1461939345</v>
      </c>
      <c r="N581" s="1">
        <v>-765187088</v>
      </c>
      <c r="O581" s="1">
        <v>-75854246</v>
      </c>
      <c r="P581" s="1">
        <v>0</v>
      </c>
      <c r="Q581" s="1">
        <v>-280038910</v>
      </c>
      <c r="R581" s="1">
        <f t="shared" si="19"/>
        <v>6550933718</v>
      </c>
    </row>
    <row r="582" spans="1:18">
      <c r="A582" t="s">
        <v>589</v>
      </c>
      <c r="C582" s="3">
        <v>924000</v>
      </c>
      <c r="D582" s="3">
        <v>5769766000</v>
      </c>
      <c r="E582" s="3">
        <v>1537099462</v>
      </c>
      <c r="F582" s="3">
        <v>4739960969</v>
      </c>
      <c r="G582" s="3">
        <v>138683700</v>
      </c>
      <c r="H582" s="3">
        <v>2717714</v>
      </c>
      <c r="I582" s="3">
        <v>0</v>
      </c>
      <c r="J582" s="3">
        <v>24349000</v>
      </c>
      <c r="K582" s="3">
        <v>29876480</v>
      </c>
      <c r="L582" s="3">
        <f t="shared" si="18"/>
        <v>12243377325</v>
      </c>
      <c r="M582" s="1">
        <v>-1346652838</v>
      </c>
      <c r="N582" s="1">
        <v>-3015681706</v>
      </c>
      <c r="O582" s="1">
        <v>-39941511</v>
      </c>
      <c r="P582" s="1">
        <v>0</v>
      </c>
      <c r="Q582" s="1">
        <v>-22046480</v>
      </c>
      <c r="R582" s="1">
        <f t="shared" si="19"/>
        <v>7819054790</v>
      </c>
    </row>
    <row r="583" spans="1:18">
      <c r="A583" t="s">
        <v>590</v>
      </c>
      <c r="C583" s="3">
        <v>2210000</v>
      </c>
      <c r="D583" s="3">
        <v>2327247696</v>
      </c>
      <c r="E583" s="3">
        <v>1682361162</v>
      </c>
      <c r="F583" s="3">
        <v>2047560500</v>
      </c>
      <c r="G583" s="3">
        <v>266618000</v>
      </c>
      <c r="H583" s="3">
        <v>2096897</v>
      </c>
      <c r="I583" s="3">
        <v>4901284679</v>
      </c>
      <c r="J583" s="3">
        <v>24349000</v>
      </c>
      <c r="K583" s="3">
        <v>257705443</v>
      </c>
      <c r="L583" s="3">
        <f t="shared" si="18"/>
        <v>11511433377</v>
      </c>
      <c r="M583" s="1">
        <v>-1490865515</v>
      </c>
      <c r="N583" s="1">
        <v>-482847398</v>
      </c>
      <c r="O583" s="1">
        <v>-64145650</v>
      </c>
      <c r="P583" s="1">
        <v>0</v>
      </c>
      <c r="Q583" s="1">
        <v>-257705443</v>
      </c>
      <c r="R583" s="1">
        <f t="shared" si="19"/>
        <v>9215869371</v>
      </c>
    </row>
    <row r="584" spans="1:18">
      <c r="A584" t="s">
        <v>591</v>
      </c>
      <c r="C584" s="3">
        <v>821725</v>
      </c>
      <c r="D584" s="3">
        <v>3228000000</v>
      </c>
      <c r="E584" s="3">
        <v>1816033956</v>
      </c>
      <c r="F584" s="3">
        <v>3198645504</v>
      </c>
      <c r="G584" s="3">
        <v>20192000</v>
      </c>
      <c r="H584" s="3">
        <v>3995770</v>
      </c>
      <c r="I584" s="3">
        <v>5551699725</v>
      </c>
      <c r="J584" s="3">
        <v>24349000</v>
      </c>
      <c r="K584" s="3">
        <v>173321083</v>
      </c>
      <c r="L584" s="3">
        <f t="shared" si="18"/>
        <v>14017058763</v>
      </c>
      <c r="M584" s="1">
        <v>-1656043949</v>
      </c>
      <c r="N584" s="1">
        <v>-2180335027</v>
      </c>
      <c r="O584" s="1">
        <v>-16153600</v>
      </c>
      <c r="P584" s="1">
        <v>0</v>
      </c>
      <c r="Q584" s="1">
        <v>-133729000</v>
      </c>
      <c r="R584" s="1">
        <f t="shared" si="19"/>
        <v>10030797187</v>
      </c>
    </row>
    <row r="585" spans="1:18">
      <c r="A585" t="s">
        <v>592</v>
      </c>
      <c r="C585" s="3">
        <v>1900000</v>
      </c>
      <c r="D585" s="3">
        <v>1677250000</v>
      </c>
      <c r="E585" s="3">
        <v>1340403051</v>
      </c>
      <c r="F585" s="3">
        <v>7310917188</v>
      </c>
      <c r="G585" s="3">
        <v>33973000</v>
      </c>
      <c r="H585" s="3">
        <v>167143436</v>
      </c>
      <c r="I585" s="3">
        <v>0</v>
      </c>
      <c r="J585" s="3">
        <v>24349000</v>
      </c>
      <c r="K585" s="3">
        <v>28929000</v>
      </c>
      <c r="L585" s="3">
        <f t="shared" si="18"/>
        <v>10584864675</v>
      </c>
      <c r="M585" s="1">
        <v>-1117405369</v>
      </c>
      <c r="N585" s="1">
        <v>-5632599000</v>
      </c>
      <c r="O585" s="1">
        <v>-5520613</v>
      </c>
      <c r="P585" s="1">
        <v>0</v>
      </c>
      <c r="Q585" s="1">
        <v>-28929000</v>
      </c>
      <c r="R585" s="1">
        <f t="shared" si="19"/>
        <v>3800410693</v>
      </c>
    </row>
    <row r="586" spans="1:18">
      <c r="A586" t="s">
        <v>593</v>
      </c>
      <c r="C586" s="3">
        <v>427500</v>
      </c>
      <c r="D586" s="3">
        <v>2411100000</v>
      </c>
      <c r="E586" s="3">
        <v>1232505909</v>
      </c>
      <c r="F586" s="3">
        <v>2599913000</v>
      </c>
      <c r="G586" s="3">
        <v>0</v>
      </c>
      <c r="H586" s="3">
        <v>58491740</v>
      </c>
      <c r="I586" s="3">
        <v>8400313300</v>
      </c>
      <c r="J586" s="3">
        <v>24349000</v>
      </c>
      <c r="K586" s="3">
        <v>394399160</v>
      </c>
      <c r="L586" s="3">
        <f t="shared" si="18"/>
        <v>15121499609</v>
      </c>
      <c r="M586" s="1">
        <v>-924049680</v>
      </c>
      <c r="N586" s="1">
        <v>-1970996790</v>
      </c>
      <c r="O586" s="1">
        <v>0</v>
      </c>
      <c r="P586" s="1">
        <v>-24700000</v>
      </c>
      <c r="Q586" s="1">
        <v>-394399160</v>
      </c>
      <c r="R586" s="1">
        <f t="shared" si="19"/>
        <v>11807353979</v>
      </c>
    </row>
    <row r="587" spans="1:18">
      <c r="A587" t="s">
        <v>594</v>
      </c>
      <c r="C587" s="3">
        <v>3863437</v>
      </c>
      <c r="D587" s="3">
        <v>3983500000</v>
      </c>
      <c r="E587" s="3">
        <v>1717802454</v>
      </c>
      <c r="F587" s="3">
        <v>2678810000</v>
      </c>
      <c r="G587" s="3">
        <v>49328961</v>
      </c>
      <c r="H587" s="3">
        <v>70933513</v>
      </c>
      <c r="I587" s="3">
        <v>0</v>
      </c>
      <c r="J587" s="3">
        <v>24349000</v>
      </c>
      <c r="K587" s="3">
        <v>0</v>
      </c>
      <c r="L587" s="3">
        <f t="shared" si="18"/>
        <v>8528587365</v>
      </c>
      <c r="M587" s="1">
        <v>-1510057540</v>
      </c>
      <c r="N587" s="1">
        <v>-1791716690</v>
      </c>
      <c r="O587" s="1">
        <v>-8632568</v>
      </c>
      <c r="P587" s="1">
        <v>0</v>
      </c>
      <c r="Q587" s="1">
        <v>0</v>
      </c>
      <c r="R587" s="1">
        <f t="shared" si="19"/>
        <v>5218180567</v>
      </c>
    </row>
    <row r="588" spans="1:18">
      <c r="A588" t="s">
        <v>595</v>
      </c>
      <c r="C588" s="3">
        <v>0</v>
      </c>
      <c r="D588" s="3">
        <v>3819965800</v>
      </c>
      <c r="E588" s="3">
        <v>1842210457</v>
      </c>
      <c r="F588" s="3">
        <v>5433298100</v>
      </c>
      <c r="G588" s="3">
        <v>71505000</v>
      </c>
      <c r="H588" s="3">
        <v>62635253</v>
      </c>
      <c r="I588" s="3">
        <v>5022314550</v>
      </c>
      <c r="J588" s="3">
        <v>24349000</v>
      </c>
      <c r="K588" s="3">
        <v>0</v>
      </c>
      <c r="L588" s="3">
        <f t="shared" si="18"/>
        <v>16276278160</v>
      </c>
      <c r="M588" s="1">
        <v>-1574605097</v>
      </c>
      <c r="N588" s="1">
        <v>-2426735840</v>
      </c>
      <c r="O588" s="1">
        <v>-39327750</v>
      </c>
      <c r="P588" s="1">
        <v>0</v>
      </c>
      <c r="Q588" s="1">
        <v>0</v>
      </c>
      <c r="R588" s="1">
        <f t="shared" si="19"/>
        <v>12235609473</v>
      </c>
    </row>
    <row r="589" spans="1:18">
      <c r="A589" t="s">
        <v>596</v>
      </c>
      <c r="C589" s="3">
        <v>4769900</v>
      </c>
      <c r="D589" s="3">
        <v>3527000000</v>
      </c>
      <c r="E589" s="3">
        <v>1734778565</v>
      </c>
      <c r="F589" s="3">
        <v>3645118005</v>
      </c>
      <c r="G589" s="3">
        <v>107799000</v>
      </c>
      <c r="H589" s="3">
        <v>57576938</v>
      </c>
      <c r="I589" s="3">
        <v>0</v>
      </c>
      <c r="J589" s="3">
        <v>24349000</v>
      </c>
      <c r="K589" s="3">
        <v>2593000</v>
      </c>
      <c r="L589" s="3">
        <f t="shared" si="18"/>
        <v>9103984408</v>
      </c>
      <c r="M589" s="1">
        <v>-1549347316</v>
      </c>
      <c r="N589" s="1">
        <v>-1953697903</v>
      </c>
      <c r="O589" s="1">
        <v>-21952263</v>
      </c>
      <c r="P589" s="1">
        <v>0</v>
      </c>
      <c r="Q589" s="1">
        <v>-2593000</v>
      </c>
      <c r="R589" s="1">
        <f t="shared" si="19"/>
        <v>5576393926</v>
      </c>
    </row>
    <row r="590" spans="1:18">
      <c r="A590" t="s">
        <v>597</v>
      </c>
      <c r="C590" s="3">
        <v>1960000</v>
      </c>
      <c r="D590" s="3">
        <v>12140606000</v>
      </c>
      <c r="E590" s="3">
        <v>1706460882</v>
      </c>
      <c r="F590" s="3">
        <v>2994829000</v>
      </c>
      <c r="G590" s="3">
        <v>15000000</v>
      </c>
      <c r="H590" s="3">
        <v>199262074</v>
      </c>
      <c r="I590" s="3">
        <v>0</v>
      </c>
      <c r="J590" s="3">
        <v>24349000</v>
      </c>
      <c r="K590" s="3">
        <v>303767509</v>
      </c>
      <c r="L590" s="3">
        <f t="shared" si="18"/>
        <v>17386234465</v>
      </c>
      <c r="M590" s="1">
        <v>-1467550836</v>
      </c>
      <c r="N590" s="1">
        <v>-1687210890</v>
      </c>
      <c r="O590" s="1">
        <v>-2250000</v>
      </c>
      <c r="P590" s="1">
        <v>0</v>
      </c>
      <c r="Q590" s="1">
        <v>-250723200</v>
      </c>
      <c r="R590" s="1">
        <f t="shared" si="19"/>
        <v>13978499539</v>
      </c>
    </row>
    <row r="591" spans="1:18">
      <c r="A591" t="s">
        <v>598</v>
      </c>
      <c r="C591" s="3">
        <v>56664</v>
      </c>
      <c r="D591" s="3">
        <v>2059942700</v>
      </c>
      <c r="E591" s="3">
        <v>1746007054</v>
      </c>
      <c r="F591" s="3">
        <v>2644017400</v>
      </c>
      <c r="G591" s="3">
        <v>0</v>
      </c>
      <c r="H591" s="3">
        <v>37673440</v>
      </c>
      <c r="I591" s="3">
        <v>0</v>
      </c>
      <c r="J591" s="3">
        <v>24349000</v>
      </c>
      <c r="K591" s="3">
        <v>0</v>
      </c>
      <c r="L591" s="3">
        <f t="shared" si="18"/>
        <v>6512046258</v>
      </c>
      <c r="M591" s="1">
        <v>-1575454041</v>
      </c>
      <c r="N591" s="1">
        <v>-1486009720</v>
      </c>
      <c r="O591" s="1">
        <v>0</v>
      </c>
      <c r="P591" s="1">
        <v>0</v>
      </c>
      <c r="Q591" s="1">
        <v>0</v>
      </c>
      <c r="R591" s="1">
        <f t="shared" si="19"/>
        <v>3450582497</v>
      </c>
    </row>
    <row r="592" spans="1:18">
      <c r="A592" t="s">
        <v>599</v>
      </c>
      <c r="C592" s="3">
        <v>729000</v>
      </c>
      <c r="D592" s="3">
        <v>1860120000</v>
      </c>
      <c r="E592" s="3">
        <v>1855881787</v>
      </c>
      <c r="F592" s="3">
        <v>11387891929</v>
      </c>
      <c r="G592" s="3">
        <v>75475000</v>
      </c>
      <c r="H592" s="3">
        <v>44573440</v>
      </c>
      <c r="I592" s="3">
        <v>303351603</v>
      </c>
      <c r="J592" s="3">
        <v>41774000</v>
      </c>
      <c r="K592" s="3">
        <v>0</v>
      </c>
      <c r="L592" s="3">
        <f t="shared" si="18"/>
        <v>15569796759</v>
      </c>
      <c r="M592" s="1">
        <v>-1586649954</v>
      </c>
      <c r="N592" s="1">
        <v>-1056489653</v>
      </c>
      <c r="O592" s="1">
        <v>-56480693</v>
      </c>
      <c r="P592" s="1">
        <v>0</v>
      </c>
      <c r="Q592" s="1">
        <v>0</v>
      </c>
      <c r="R592" s="1">
        <f t="shared" si="19"/>
        <v>12870176459</v>
      </c>
    </row>
    <row r="593" spans="1:18">
      <c r="A593" t="s">
        <v>600</v>
      </c>
      <c r="C593" s="3">
        <v>41000</v>
      </c>
      <c r="D593" s="3">
        <v>3998688286</v>
      </c>
      <c r="E593" s="3">
        <v>1831170044</v>
      </c>
      <c r="F593" s="3">
        <v>1063312250</v>
      </c>
      <c r="G593" s="3">
        <v>79296000</v>
      </c>
      <c r="H593" s="3">
        <v>1943440</v>
      </c>
      <c r="I593" s="3">
        <v>4797190000</v>
      </c>
      <c r="J593" s="3">
        <v>24349000</v>
      </c>
      <c r="K593" s="3">
        <v>0</v>
      </c>
      <c r="L593" s="3">
        <f t="shared" si="18"/>
        <v>11795990020</v>
      </c>
      <c r="M593" s="1">
        <v>-1520282870</v>
      </c>
      <c r="N593" s="1">
        <v>-645364067</v>
      </c>
      <c r="O593" s="1">
        <v>-12126800</v>
      </c>
      <c r="P593" s="1">
        <v>0</v>
      </c>
      <c r="Q593" s="1">
        <v>-2470700</v>
      </c>
      <c r="R593" s="1">
        <f t="shared" si="19"/>
        <v>9615745583</v>
      </c>
    </row>
    <row r="594" spans="1:18">
      <c r="A594" t="s">
        <v>601</v>
      </c>
      <c r="C594" s="3">
        <v>100000</v>
      </c>
      <c r="D594" s="3">
        <v>1818656000</v>
      </c>
      <c r="E594" s="3">
        <v>1743954550</v>
      </c>
      <c r="F594" s="3">
        <v>3790020582</v>
      </c>
      <c r="G594" s="3">
        <v>9900000</v>
      </c>
      <c r="H594" s="3">
        <v>13682340</v>
      </c>
      <c r="I594" s="3">
        <v>0</v>
      </c>
      <c r="J594" s="3">
        <v>24349000</v>
      </c>
      <c r="K594" s="3">
        <v>72594950</v>
      </c>
      <c r="L594" s="3">
        <f t="shared" si="18"/>
        <v>7473257422</v>
      </c>
      <c r="M594" s="1">
        <v>-1544082588</v>
      </c>
      <c r="N594" s="1">
        <v>-2424572192</v>
      </c>
      <c r="O594" s="1">
        <v>-618750</v>
      </c>
      <c r="P594" s="1">
        <v>0</v>
      </c>
      <c r="Q594" s="1">
        <v>-49635190</v>
      </c>
      <c r="R594" s="1">
        <f t="shared" si="19"/>
        <v>3454348702</v>
      </c>
    </row>
    <row r="595" spans="1:18">
      <c r="A595" t="s">
        <v>602</v>
      </c>
      <c r="C595" s="3">
        <v>2840900</v>
      </c>
      <c r="D595" s="3">
        <v>5503115004</v>
      </c>
      <c r="E595" s="3">
        <v>2587578520</v>
      </c>
      <c r="F595" s="3">
        <v>4597782796</v>
      </c>
      <c r="G595" s="3">
        <v>0</v>
      </c>
      <c r="H595" s="3">
        <v>14994358</v>
      </c>
      <c r="I595" s="3">
        <v>0</v>
      </c>
      <c r="J595" s="3">
        <v>24349000</v>
      </c>
      <c r="K595" s="3">
        <v>0</v>
      </c>
      <c r="L595" s="3">
        <f t="shared" si="18"/>
        <v>12730660578</v>
      </c>
      <c r="M595" s="1">
        <v>-2163478130</v>
      </c>
      <c r="N595" s="1">
        <v>-1008852640</v>
      </c>
      <c r="O595" s="1">
        <v>0</v>
      </c>
      <c r="P595" s="1">
        <v>0</v>
      </c>
      <c r="Q595" s="1">
        <v>0</v>
      </c>
      <c r="R595" s="1">
        <f t="shared" si="19"/>
        <v>9558329808</v>
      </c>
    </row>
    <row r="596" spans="1:18">
      <c r="A596" t="s">
        <v>603</v>
      </c>
      <c r="C596" s="3">
        <v>231000</v>
      </c>
      <c r="D596" s="3">
        <v>5376520000</v>
      </c>
      <c r="E596" s="3">
        <v>1460810737</v>
      </c>
      <c r="F596" s="3">
        <v>6672017589</v>
      </c>
      <c r="G596" s="3">
        <v>0</v>
      </c>
      <c r="H596" s="3">
        <v>1943440</v>
      </c>
      <c r="I596" s="3">
        <v>0</v>
      </c>
      <c r="J596" s="3">
        <v>24349000</v>
      </c>
      <c r="K596" s="3">
        <v>0</v>
      </c>
      <c r="L596" s="3">
        <f t="shared" si="18"/>
        <v>13535871766</v>
      </c>
      <c r="M596" s="1">
        <v>-1078740934</v>
      </c>
      <c r="N596" s="1">
        <v>-1726374562</v>
      </c>
      <c r="O596" s="1">
        <v>0</v>
      </c>
      <c r="P596" s="1">
        <v>0</v>
      </c>
      <c r="Q596" s="1">
        <v>0</v>
      </c>
      <c r="R596" s="1">
        <f t="shared" si="19"/>
        <v>10730756270</v>
      </c>
    </row>
    <row r="597" spans="1:18">
      <c r="A597" t="s">
        <v>604</v>
      </c>
      <c r="C597" s="3">
        <v>12789920</v>
      </c>
      <c r="D597" s="3">
        <v>5383873000</v>
      </c>
      <c r="E597" s="3">
        <v>4007341793</v>
      </c>
      <c r="F597" s="3">
        <v>2653383700</v>
      </c>
      <c r="G597" s="3">
        <v>281011000</v>
      </c>
      <c r="H597" s="3">
        <v>35370026</v>
      </c>
      <c r="I597" s="3">
        <v>0</v>
      </c>
      <c r="J597" s="3">
        <v>51495000</v>
      </c>
      <c r="K597" s="3">
        <v>16240000</v>
      </c>
      <c r="L597" s="3">
        <f t="shared" si="18"/>
        <v>12441504439</v>
      </c>
      <c r="M597" s="1">
        <v>-3465479361</v>
      </c>
      <c r="N597" s="1">
        <v>-1173872354</v>
      </c>
      <c r="O597" s="1">
        <v>-67122213</v>
      </c>
      <c r="P597" s="1">
        <v>0</v>
      </c>
      <c r="Q597" s="1">
        <v>-16240000</v>
      </c>
      <c r="R597" s="1">
        <f t="shared" si="19"/>
        <v>7718790511</v>
      </c>
    </row>
    <row r="598" spans="1:18">
      <c r="A598" t="s">
        <v>605</v>
      </c>
      <c r="C598" s="3">
        <v>808250</v>
      </c>
      <c r="D598" s="3">
        <v>989420000</v>
      </c>
      <c r="E598" s="3">
        <v>1415906709</v>
      </c>
      <c r="F598" s="3">
        <v>5435445552</v>
      </c>
      <c r="G598" s="3">
        <v>51465800</v>
      </c>
      <c r="H598" s="3">
        <v>1134000</v>
      </c>
      <c r="I598" s="3">
        <v>0</v>
      </c>
      <c r="J598" s="3">
        <v>7900000</v>
      </c>
      <c r="K598" s="3">
        <v>15350100</v>
      </c>
      <c r="L598" s="3">
        <f t="shared" si="18"/>
        <v>7917430411</v>
      </c>
      <c r="M598" s="1">
        <v>-1088388448</v>
      </c>
      <c r="N598" s="1">
        <v>-557178910</v>
      </c>
      <c r="O598" s="1">
        <v>-51465800</v>
      </c>
      <c r="P598" s="1">
        <v>0</v>
      </c>
      <c r="Q598" s="1">
        <v>-15350100</v>
      </c>
      <c r="R598" s="1">
        <f t="shared" si="19"/>
        <v>6205047153</v>
      </c>
    </row>
    <row r="599" spans="1:18">
      <c r="A599" t="s">
        <v>606</v>
      </c>
      <c r="C599" s="3">
        <v>22814300</v>
      </c>
      <c r="D599" s="3">
        <v>612794000</v>
      </c>
      <c r="E599" s="3">
        <v>1466857304</v>
      </c>
      <c r="F599" s="3">
        <v>2982908671</v>
      </c>
      <c r="G599" s="3">
        <v>39668200</v>
      </c>
      <c r="H599" s="3">
        <v>15639370</v>
      </c>
      <c r="I599" s="3">
        <v>0</v>
      </c>
      <c r="J599" s="3">
        <v>26345000</v>
      </c>
      <c r="K599" s="3">
        <v>77113525</v>
      </c>
      <c r="L599" s="3">
        <f t="shared" si="18"/>
        <v>5244140370</v>
      </c>
      <c r="M599" s="1">
        <v>-1263981768</v>
      </c>
      <c r="N599" s="1">
        <v>-472790784</v>
      </c>
      <c r="O599" s="1">
        <v>-495853</v>
      </c>
      <c r="P599" s="1">
        <v>0</v>
      </c>
      <c r="Q599" s="1">
        <v>-77113525</v>
      </c>
      <c r="R599" s="1">
        <f t="shared" si="19"/>
        <v>3429758440</v>
      </c>
    </row>
    <row r="600" spans="1:18">
      <c r="A600" s="20" t="s">
        <v>607</v>
      </c>
      <c r="C600" s="3">
        <v>2849375</v>
      </c>
      <c r="D600" s="3">
        <v>5159035000</v>
      </c>
      <c r="E600" s="3">
        <v>2345201605</v>
      </c>
      <c r="F600" s="3">
        <v>7620919017</v>
      </c>
      <c r="G600" s="3">
        <v>109400000</v>
      </c>
      <c r="H600" s="3">
        <v>82192995</v>
      </c>
      <c r="I600" s="3">
        <v>0</v>
      </c>
      <c r="J600" s="3">
        <v>7260000</v>
      </c>
      <c r="K600" s="3">
        <v>1335604</v>
      </c>
      <c r="L600" s="3">
        <f t="shared" si="18"/>
        <v>15328193596</v>
      </c>
      <c r="M600" s="1">
        <v>-1536088395</v>
      </c>
      <c r="N600" s="1">
        <v>-224862826</v>
      </c>
      <c r="O600" s="1">
        <v>-107200000</v>
      </c>
      <c r="P600" s="1">
        <v>0</v>
      </c>
      <c r="Q600" s="1">
        <v>-1335604</v>
      </c>
      <c r="R600" s="1">
        <f t="shared" si="19"/>
        <v>13458706771</v>
      </c>
    </row>
    <row r="601" spans="1:18">
      <c r="A601" t="s">
        <v>608</v>
      </c>
      <c r="C601" s="3">
        <v>190500</v>
      </c>
      <c r="D601" s="3">
        <v>1423252500</v>
      </c>
      <c r="E601" s="3">
        <v>1311785139</v>
      </c>
      <c r="F601" s="3">
        <v>4352934679</v>
      </c>
      <c r="G601" s="3">
        <v>32500000</v>
      </c>
      <c r="H601" s="3">
        <v>2831918</v>
      </c>
      <c r="I601" s="3">
        <v>0</v>
      </c>
      <c r="J601" s="3">
        <v>0</v>
      </c>
      <c r="K601" s="3">
        <v>0</v>
      </c>
      <c r="L601" s="3">
        <f t="shared" si="18"/>
        <v>7123494736</v>
      </c>
      <c r="M601" s="1">
        <v>-978997593</v>
      </c>
      <c r="N601" s="1">
        <v>-431477229</v>
      </c>
      <c r="O601" s="1">
        <v>-1843750</v>
      </c>
      <c r="P601" s="1">
        <v>0</v>
      </c>
      <c r="Q601" s="1">
        <v>0</v>
      </c>
      <c r="R601" s="1">
        <f t="shared" si="19"/>
        <v>5711176164</v>
      </c>
    </row>
    <row r="602" spans="1:18">
      <c r="A602" t="s">
        <v>609</v>
      </c>
      <c r="C602" s="3">
        <v>483672</v>
      </c>
      <c r="D602" s="3">
        <v>1142271000</v>
      </c>
      <c r="E602" s="3">
        <v>1063919183</v>
      </c>
      <c r="F602" s="3">
        <v>3259500600</v>
      </c>
      <c r="G602" s="3">
        <v>306925013</v>
      </c>
      <c r="H602" s="3">
        <v>6429570</v>
      </c>
      <c r="I602" s="3">
        <v>99835000</v>
      </c>
      <c r="J602" s="3">
        <v>25270000</v>
      </c>
      <c r="K602" s="3">
        <v>0</v>
      </c>
      <c r="L602" s="3">
        <f t="shared" si="18"/>
        <v>5904634038</v>
      </c>
      <c r="M602" s="1">
        <v>-923298136</v>
      </c>
      <c r="N602" s="1">
        <v>-399322994</v>
      </c>
      <c r="O602" s="1">
        <v>-34341890</v>
      </c>
      <c r="P602" s="1">
        <v>0</v>
      </c>
      <c r="Q602" s="1">
        <v>0</v>
      </c>
      <c r="R602" s="1">
        <f t="shared" si="19"/>
        <v>4547671018</v>
      </c>
    </row>
    <row r="603" spans="1:18">
      <c r="A603" t="s">
        <v>610</v>
      </c>
      <c r="C603" s="3">
        <v>222000</v>
      </c>
      <c r="D603" s="3">
        <v>0</v>
      </c>
      <c r="E603" s="3">
        <v>1214701214</v>
      </c>
      <c r="F603" s="3">
        <v>2664931173</v>
      </c>
      <c r="G603" s="3">
        <v>12570540</v>
      </c>
      <c r="H603" s="3">
        <v>46969875</v>
      </c>
      <c r="I603" s="3">
        <v>0</v>
      </c>
      <c r="J603" s="3">
        <v>13000000</v>
      </c>
      <c r="K603" s="3">
        <v>185810260</v>
      </c>
      <c r="L603" s="3">
        <f t="shared" si="18"/>
        <v>4138205062</v>
      </c>
      <c r="M603" s="1">
        <v>-1077834236</v>
      </c>
      <c r="N603" s="1">
        <v>-522721963</v>
      </c>
      <c r="O603" s="1">
        <v>-2723617</v>
      </c>
      <c r="P603" s="1">
        <v>0</v>
      </c>
      <c r="Q603" s="1">
        <v>-185191510</v>
      </c>
      <c r="R603" s="1">
        <f t="shared" si="19"/>
        <v>2349733736</v>
      </c>
    </row>
    <row r="604" spans="1:18">
      <c r="A604" t="s">
        <v>611</v>
      </c>
      <c r="C604" s="3">
        <v>345000</v>
      </c>
      <c r="D604" s="3">
        <v>2430736000</v>
      </c>
      <c r="E604" s="3">
        <v>1491153705</v>
      </c>
      <c r="F604" s="3">
        <v>4019618300</v>
      </c>
      <c r="G604" s="3">
        <v>0</v>
      </c>
      <c r="H604" s="3">
        <v>35037900</v>
      </c>
      <c r="I604" s="3">
        <v>0</v>
      </c>
      <c r="J604" s="3">
        <v>6000000</v>
      </c>
      <c r="K604" s="3">
        <v>365010</v>
      </c>
      <c r="L604" s="3">
        <f t="shared" si="18"/>
        <v>7983255915</v>
      </c>
      <c r="M604" s="1">
        <v>-1316733177</v>
      </c>
      <c r="N604" s="1">
        <v>-583501005</v>
      </c>
      <c r="O604" s="1">
        <v>0</v>
      </c>
      <c r="P604" s="1">
        <v>0</v>
      </c>
      <c r="Q604" s="1">
        <v>-365010</v>
      </c>
      <c r="R604" s="1">
        <f t="shared" si="19"/>
        <v>6082656723</v>
      </c>
    </row>
    <row r="605" spans="1:18">
      <c r="A605" t="s">
        <v>612</v>
      </c>
      <c r="C605" s="3">
        <v>69500</v>
      </c>
      <c r="D605" s="3">
        <v>1582240000</v>
      </c>
      <c r="E605" s="3">
        <v>1600323065</v>
      </c>
      <c r="F605" s="3">
        <v>4642914000</v>
      </c>
      <c r="G605" s="3">
        <v>0</v>
      </c>
      <c r="H605" s="3">
        <v>14427570</v>
      </c>
      <c r="I605" s="3">
        <v>0</v>
      </c>
      <c r="J605" s="3">
        <v>0</v>
      </c>
      <c r="K605" s="3">
        <v>14500000</v>
      </c>
      <c r="L605" s="3">
        <f t="shared" si="18"/>
        <v>7854474135</v>
      </c>
      <c r="M605" s="1">
        <v>-1362044865</v>
      </c>
      <c r="N605" s="1">
        <v>-744096220</v>
      </c>
      <c r="O605" s="1">
        <v>0</v>
      </c>
      <c r="P605" s="1">
        <v>0</v>
      </c>
      <c r="Q605" s="1">
        <v>-14500000</v>
      </c>
      <c r="R605" s="1">
        <f t="shared" si="19"/>
        <v>5733833050</v>
      </c>
    </row>
    <row r="606" spans="1:18">
      <c r="A606" t="s">
        <v>613</v>
      </c>
      <c r="C606" s="3">
        <v>780000</v>
      </c>
      <c r="D606" s="3">
        <v>301000000</v>
      </c>
      <c r="E606" s="3">
        <v>1283762601</v>
      </c>
      <c r="F606" s="3">
        <v>3488592650</v>
      </c>
      <c r="G606" s="3">
        <v>34990000</v>
      </c>
      <c r="H606" s="3">
        <v>0</v>
      </c>
      <c r="I606" s="3">
        <v>0</v>
      </c>
      <c r="J606" s="3">
        <v>0</v>
      </c>
      <c r="K606" s="3">
        <v>184808907</v>
      </c>
      <c r="L606" s="3">
        <f t="shared" si="18"/>
        <v>5293934158</v>
      </c>
      <c r="M606" s="1">
        <v>-1095609392</v>
      </c>
      <c r="N606" s="1">
        <v>-696154401</v>
      </c>
      <c r="O606" s="1">
        <v>-5373625</v>
      </c>
      <c r="P606" s="1">
        <v>0</v>
      </c>
      <c r="Q606" s="1">
        <v>-184808907</v>
      </c>
      <c r="R606" s="1">
        <f t="shared" si="19"/>
        <v>3311987833</v>
      </c>
    </row>
    <row r="607" spans="1:18">
      <c r="A607" t="s">
        <v>614</v>
      </c>
      <c r="C607" s="3">
        <v>461000</v>
      </c>
      <c r="D607" s="3">
        <v>1889500600</v>
      </c>
      <c r="E607" s="3">
        <v>1363015165</v>
      </c>
      <c r="F607" s="3">
        <v>3292239500</v>
      </c>
      <c r="G607" s="3">
        <v>0</v>
      </c>
      <c r="H607" s="3">
        <v>22940170</v>
      </c>
      <c r="I607" s="3">
        <v>0</v>
      </c>
      <c r="J607" s="3">
        <v>0</v>
      </c>
      <c r="K607" s="3">
        <v>210319100</v>
      </c>
      <c r="L607" s="3">
        <f t="shared" si="18"/>
        <v>6778475535</v>
      </c>
      <c r="M607" s="1">
        <v>-1030465315</v>
      </c>
      <c r="N607" s="1">
        <v>-423666580</v>
      </c>
      <c r="O607" s="1">
        <v>0</v>
      </c>
      <c r="P607" s="1">
        <v>0</v>
      </c>
      <c r="Q607" s="1">
        <v>-205824275</v>
      </c>
      <c r="R607" s="1">
        <f t="shared" si="19"/>
        <v>5118519365</v>
      </c>
    </row>
    <row r="608" spans="1:18">
      <c r="A608" t="s">
        <v>615</v>
      </c>
      <c r="C608" s="3">
        <v>95000</v>
      </c>
      <c r="D608" s="3">
        <v>677556000</v>
      </c>
      <c r="E608" s="3">
        <v>1137707882</v>
      </c>
      <c r="F608" s="3">
        <v>3566030650</v>
      </c>
      <c r="G608" s="3">
        <v>69200000</v>
      </c>
      <c r="H608" s="3">
        <v>16629235</v>
      </c>
      <c r="I608" s="3">
        <v>0</v>
      </c>
      <c r="J608" s="3">
        <v>0</v>
      </c>
      <c r="K608" s="3">
        <v>0</v>
      </c>
      <c r="L608" s="3">
        <f t="shared" si="18"/>
        <v>5467218767</v>
      </c>
      <c r="M608" s="1">
        <v>-952385253</v>
      </c>
      <c r="N608" s="1">
        <v>-489503025</v>
      </c>
      <c r="O608" s="1">
        <v>-10380000</v>
      </c>
      <c r="P608" s="1">
        <v>0</v>
      </c>
      <c r="Q608" s="1">
        <v>0</v>
      </c>
      <c r="R608" s="1">
        <f t="shared" si="19"/>
        <v>4014950489</v>
      </c>
    </row>
    <row r="609" spans="1:18">
      <c r="A609" t="s">
        <v>616</v>
      </c>
      <c r="C609" s="3">
        <v>83000</v>
      </c>
      <c r="D609" s="3">
        <v>1287200000</v>
      </c>
      <c r="E609" s="3">
        <v>1593813554</v>
      </c>
      <c r="F609" s="3">
        <v>4067617900</v>
      </c>
      <c r="G609" s="3">
        <v>0</v>
      </c>
      <c r="H609" s="3">
        <v>4941048</v>
      </c>
      <c r="I609" s="3">
        <v>0</v>
      </c>
      <c r="J609" s="3">
        <v>0</v>
      </c>
      <c r="K609" s="3">
        <v>0</v>
      </c>
      <c r="L609" s="3">
        <f t="shared" si="18"/>
        <v>6953655502</v>
      </c>
      <c r="M609" s="1">
        <v>-1185917254</v>
      </c>
      <c r="N609" s="1">
        <v>-904575970</v>
      </c>
      <c r="O609" s="1">
        <v>0</v>
      </c>
      <c r="P609" s="1">
        <v>0</v>
      </c>
      <c r="Q609" s="1">
        <v>0</v>
      </c>
      <c r="R609" s="1">
        <f t="shared" si="19"/>
        <v>4863162278</v>
      </c>
    </row>
    <row r="610" spans="1:18">
      <c r="A610" t="s">
        <v>617</v>
      </c>
      <c r="C610" s="3">
        <v>551000</v>
      </c>
      <c r="D610" s="3">
        <v>874748000</v>
      </c>
      <c r="E610" s="3">
        <v>1234651082</v>
      </c>
      <c r="F610" s="3">
        <v>3450286525</v>
      </c>
      <c r="G610" s="3">
        <v>26870000</v>
      </c>
      <c r="H610" s="3">
        <v>0</v>
      </c>
      <c r="I610" s="3">
        <v>0</v>
      </c>
      <c r="J610" s="3">
        <v>0</v>
      </c>
      <c r="K610" s="3">
        <v>153060352</v>
      </c>
      <c r="L610" s="3">
        <f t="shared" si="18"/>
        <v>5740166959</v>
      </c>
      <c r="M610" s="1">
        <v>-1050615100</v>
      </c>
      <c r="N610" s="1">
        <v>-404066106</v>
      </c>
      <c r="O610" s="1">
        <v>-16122000</v>
      </c>
      <c r="P610" s="1">
        <v>0</v>
      </c>
      <c r="Q610" s="1">
        <v>-152269328</v>
      </c>
      <c r="R610" s="1">
        <f t="shared" si="19"/>
        <v>4117094425</v>
      </c>
    </row>
    <row r="611" spans="1:18">
      <c r="A611" t="s">
        <v>618</v>
      </c>
      <c r="C611" s="3">
        <v>351500</v>
      </c>
      <c r="D611" s="3">
        <v>1296205000</v>
      </c>
      <c r="E611" s="3">
        <v>904669438</v>
      </c>
      <c r="F611" s="3">
        <v>4421791168</v>
      </c>
      <c r="G611" s="3">
        <v>0</v>
      </c>
      <c r="H611" s="3">
        <v>14535000</v>
      </c>
      <c r="I611" s="3">
        <v>0</v>
      </c>
      <c r="J611" s="3">
        <v>13000000</v>
      </c>
      <c r="K611" s="3">
        <v>91796874</v>
      </c>
      <c r="L611" s="3">
        <f t="shared" si="18"/>
        <v>6742348980</v>
      </c>
      <c r="M611" s="1">
        <v>-730832786</v>
      </c>
      <c r="N611" s="1">
        <v>-715804651</v>
      </c>
      <c r="O611" s="1">
        <v>0</v>
      </c>
      <c r="P611" s="1">
        <v>0</v>
      </c>
      <c r="Q611" s="1">
        <v>-91796874</v>
      </c>
      <c r="R611" s="1">
        <f t="shared" si="19"/>
        <v>5203914669</v>
      </c>
    </row>
    <row r="612" spans="1:18">
      <c r="A612" t="s">
        <v>619</v>
      </c>
      <c r="C612" s="3">
        <v>2786755</v>
      </c>
      <c r="D612" s="3">
        <v>1685884540</v>
      </c>
      <c r="E612" s="3">
        <v>1244389585</v>
      </c>
      <c r="F612" s="3">
        <v>4254556000</v>
      </c>
      <c r="G612" s="3">
        <v>0</v>
      </c>
      <c r="H612" s="3">
        <v>438000</v>
      </c>
      <c r="I612" s="3">
        <v>0</v>
      </c>
      <c r="J612" s="3">
        <v>0</v>
      </c>
      <c r="K612" s="3">
        <v>200000</v>
      </c>
      <c r="L612" s="3">
        <f t="shared" si="18"/>
        <v>7188254880</v>
      </c>
      <c r="M612" s="1">
        <v>-1084173504</v>
      </c>
      <c r="N612" s="1">
        <v>-578528912</v>
      </c>
      <c r="O612" s="1">
        <v>0</v>
      </c>
      <c r="P612" s="1">
        <v>0</v>
      </c>
      <c r="Q612" s="1">
        <v>-200000</v>
      </c>
      <c r="R612" s="1">
        <f t="shared" si="19"/>
        <v>5525352464</v>
      </c>
    </row>
    <row r="613" spans="1:18">
      <c r="A613" t="s">
        <v>620</v>
      </c>
      <c r="C613" s="3">
        <v>21000</v>
      </c>
      <c r="D613" s="3">
        <v>269000000</v>
      </c>
      <c r="E613" s="3">
        <v>1439763804</v>
      </c>
      <c r="F613" s="3">
        <v>3589579400</v>
      </c>
      <c r="G613" s="3">
        <v>9980000</v>
      </c>
      <c r="H613" s="3">
        <v>40026000</v>
      </c>
      <c r="I613" s="3">
        <v>0</v>
      </c>
      <c r="J613" s="3">
        <v>24972500</v>
      </c>
      <c r="K613" s="3">
        <v>0</v>
      </c>
      <c r="L613" s="3">
        <f t="shared" si="18"/>
        <v>5373342704</v>
      </c>
      <c r="M613" s="1">
        <v>-1196371628</v>
      </c>
      <c r="N613" s="1">
        <v>-768288198</v>
      </c>
      <c r="O613" s="1">
        <v>-998000</v>
      </c>
      <c r="P613" s="1">
        <v>0</v>
      </c>
      <c r="Q613" s="1">
        <v>0</v>
      </c>
      <c r="R613" s="1">
        <f t="shared" si="19"/>
        <v>3407684878</v>
      </c>
    </row>
    <row r="614" spans="1:18">
      <c r="A614" t="s">
        <v>621</v>
      </c>
      <c r="C614" s="3">
        <v>140000</v>
      </c>
      <c r="D614" s="3">
        <v>737600000</v>
      </c>
      <c r="E614" s="3">
        <v>1412520115</v>
      </c>
      <c r="F614" s="3">
        <v>2032632520</v>
      </c>
      <c r="G614" s="3">
        <v>45125350</v>
      </c>
      <c r="H614" s="3">
        <v>2265570</v>
      </c>
      <c r="I614" s="3">
        <v>0</v>
      </c>
      <c r="J614" s="3">
        <v>10450000</v>
      </c>
      <c r="K614" s="3">
        <v>0</v>
      </c>
      <c r="L614" s="3">
        <f t="shared" si="18"/>
        <v>4240733555</v>
      </c>
      <c r="M614" s="1">
        <v>-1176134383</v>
      </c>
      <c r="N614" s="1">
        <v>-447179153</v>
      </c>
      <c r="O614" s="1">
        <v>-4263618</v>
      </c>
      <c r="P614" s="1">
        <v>0</v>
      </c>
      <c r="Q614" s="1">
        <v>0</v>
      </c>
      <c r="R614" s="1">
        <f t="shared" si="19"/>
        <v>2613156401</v>
      </c>
    </row>
    <row r="615" spans="1:18">
      <c r="A615" t="s">
        <v>622</v>
      </c>
      <c r="C615" s="3">
        <v>0</v>
      </c>
      <c r="D615" s="3">
        <v>539000000</v>
      </c>
      <c r="E615" s="3">
        <v>1297720071</v>
      </c>
      <c r="F615" s="3">
        <v>3272795950</v>
      </c>
      <c r="G615" s="3">
        <v>31486000</v>
      </c>
      <c r="H615" s="3">
        <v>4439300</v>
      </c>
      <c r="I615" s="3">
        <v>0</v>
      </c>
      <c r="J615" s="3">
        <v>0</v>
      </c>
      <c r="K615" s="3">
        <v>7500000</v>
      </c>
      <c r="L615" s="3">
        <f t="shared" si="18"/>
        <v>5152941321</v>
      </c>
      <c r="M615" s="1">
        <v>-931611018</v>
      </c>
      <c r="N615" s="1">
        <v>-380636263</v>
      </c>
      <c r="O615" s="1">
        <v>-30511000</v>
      </c>
      <c r="P615" s="1">
        <v>0</v>
      </c>
      <c r="Q615" s="1">
        <v>-7500000</v>
      </c>
      <c r="R615" s="1">
        <f t="shared" si="19"/>
        <v>3802683040</v>
      </c>
    </row>
    <row r="616" spans="1:18">
      <c r="A616" t="s">
        <v>623</v>
      </c>
      <c r="C616" s="3">
        <v>197800</v>
      </c>
      <c r="D616" s="3">
        <v>2318630529</v>
      </c>
      <c r="E616" s="3">
        <v>1133980287</v>
      </c>
      <c r="F616" s="3">
        <v>2848871015</v>
      </c>
      <c r="G616" s="3">
        <v>35382000</v>
      </c>
      <c r="H616" s="3">
        <v>7905767</v>
      </c>
      <c r="I616" s="3">
        <v>0</v>
      </c>
      <c r="J616" s="3">
        <v>6450000</v>
      </c>
      <c r="K616" s="3">
        <v>684705</v>
      </c>
      <c r="L616" s="3">
        <f t="shared" si="18"/>
        <v>6352102103</v>
      </c>
      <c r="M616" s="1">
        <v>-898009196</v>
      </c>
      <c r="N616" s="1">
        <v>-620645236</v>
      </c>
      <c r="O616" s="1">
        <v>-4361850</v>
      </c>
      <c r="P616" s="1">
        <v>0</v>
      </c>
      <c r="Q616" s="1">
        <v>-684705</v>
      </c>
      <c r="R616" s="1">
        <f t="shared" si="19"/>
        <v>4828401116</v>
      </c>
    </row>
    <row r="617" spans="1:18">
      <c r="A617" t="s">
        <v>624</v>
      </c>
      <c r="C617" s="3">
        <v>1889500</v>
      </c>
      <c r="D617" s="3">
        <v>2374846000</v>
      </c>
      <c r="E617" s="3">
        <v>1115979240</v>
      </c>
      <c r="F617" s="3">
        <v>2843913100</v>
      </c>
      <c r="G617" s="3">
        <v>37900000</v>
      </c>
      <c r="H617" s="3">
        <v>1564370</v>
      </c>
      <c r="I617" s="3">
        <v>0</v>
      </c>
      <c r="J617" s="3">
        <v>0</v>
      </c>
      <c r="K617" s="3">
        <v>0</v>
      </c>
      <c r="L617" s="3">
        <f t="shared" si="18"/>
        <v>6376092210</v>
      </c>
      <c r="M617" s="1">
        <v>-969167250</v>
      </c>
      <c r="N617" s="1">
        <v>-437982295</v>
      </c>
      <c r="O617" s="1">
        <v>-16970000</v>
      </c>
      <c r="P617" s="1">
        <v>0</v>
      </c>
      <c r="Q617" s="1">
        <v>0</v>
      </c>
      <c r="R617" s="1">
        <f t="shared" si="19"/>
        <v>4951972665</v>
      </c>
    </row>
    <row r="618" spans="1:18">
      <c r="A618" t="s">
        <v>625</v>
      </c>
      <c r="C618" s="3">
        <v>12380850</v>
      </c>
      <c r="D618" s="3">
        <v>14658402000</v>
      </c>
      <c r="E618" s="3">
        <v>2920930725</v>
      </c>
      <c r="F618" s="3">
        <v>5293737000</v>
      </c>
      <c r="G618" s="3">
        <v>386420000</v>
      </c>
      <c r="H618" s="3">
        <v>100830000</v>
      </c>
      <c r="I618" s="3">
        <v>0</v>
      </c>
      <c r="J618" s="3">
        <v>252500000</v>
      </c>
      <c r="K618" s="3">
        <v>101366149</v>
      </c>
      <c r="L618" s="3">
        <f t="shared" si="18"/>
        <v>23726566724</v>
      </c>
      <c r="M618" s="1">
        <v>-2544794000</v>
      </c>
      <c r="N618" s="1">
        <v>-2532638016</v>
      </c>
      <c r="O618" s="1">
        <v>-346920000</v>
      </c>
      <c r="P618" s="1">
        <v>0</v>
      </c>
      <c r="Q618" s="1">
        <v>-101366149</v>
      </c>
      <c r="R618" s="1">
        <f t="shared" si="19"/>
        <v>18200848559</v>
      </c>
    </row>
    <row r="619" spans="1:18">
      <c r="A619" t="s">
        <v>626</v>
      </c>
      <c r="C619" s="3">
        <v>791000</v>
      </c>
      <c r="D619" s="3">
        <v>5580900000</v>
      </c>
      <c r="E619" s="3">
        <v>1982172749</v>
      </c>
      <c r="F619" s="3">
        <v>2914836158</v>
      </c>
      <c r="G619" s="3">
        <v>513287267</v>
      </c>
      <c r="H619" s="3">
        <v>24822000</v>
      </c>
      <c r="I619" s="3">
        <v>0</v>
      </c>
      <c r="J619" s="3">
        <v>134400000</v>
      </c>
      <c r="K619" s="3">
        <v>131165456</v>
      </c>
      <c r="L619" s="3">
        <f t="shared" si="18"/>
        <v>11282374630</v>
      </c>
      <c r="M619" s="1">
        <v>-1719745341</v>
      </c>
      <c r="N619" s="1">
        <v>-1183725889</v>
      </c>
      <c r="O619" s="1">
        <v>-248415689</v>
      </c>
      <c r="P619" s="1">
        <v>0</v>
      </c>
      <c r="Q619" s="1">
        <v>-131165456</v>
      </c>
      <c r="R619" s="1">
        <f t="shared" si="19"/>
        <v>7999322255</v>
      </c>
    </row>
    <row r="620" spans="1:18">
      <c r="A620" t="s">
        <v>627</v>
      </c>
      <c r="C620" s="3">
        <v>1595000</v>
      </c>
      <c r="D620" s="3">
        <v>0</v>
      </c>
      <c r="E620" s="3">
        <v>1041871849</v>
      </c>
      <c r="F620" s="3">
        <v>2161069000</v>
      </c>
      <c r="G620" s="3">
        <v>139066775</v>
      </c>
      <c r="H620" s="3">
        <v>39863445</v>
      </c>
      <c r="I620" s="3">
        <v>0</v>
      </c>
      <c r="J620" s="3">
        <v>25087000</v>
      </c>
      <c r="K620" s="3">
        <v>64568400</v>
      </c>
      <c r="L620" s="3">
        <f t="shared" si="18"/>
        <v>3473121469</v>
      </c>
      <c r="M620" s="1">
        <v>-922197197</v>
      </c>
      <c r="N620" s="1">
        <v>-382408059</v>
      </c>
      <c r="O620" s="1">
        <v>-17657321</v>
      </c>
      <c r="P620" s="1">
        <v>0</v>
      </c>
      <c r="Q620" s="1">
        <v>-62219900</v>
      </c>
      <c r="R620" s="1">
        <f t="shared" si="19"/>
        <v>2088638992</v>
      </c>
    </row>
    <row r="621" spans="1:18">
      <c r="A621" t="s">
        <v>628</v>
      </c>
      <c r="C621" s="3">
        <v>329500</v>
      </c>
      <c r="D621" s="3">
        <v>999982500</v>
      </c>
      <c r="E621" s="3">
        <v>2529588523</v>
      </c>
      <c r="F621" s="3">
        <v>6310780205</v>
      </c>
      <c r="G621" s="3">
        <v>290533250</v>
      </c>
      <c r="H621" s="3">
        <v>0</v>
      </c>
      <c r="I621" s="3">
        <v>0</v>
      </c>
      <c r="J621" s="3">
        <v>0</v>
      </c>
      <c r="K621" s="3">
        <v>0</v>
      </c>
      <c r="L621" s="3">
        <f t="shared" si="18"/>
        <v>10131213978</v>
      </c>
      <c r="M621" s="1">
        <v>-2020804220</v>
      </c>
      <c r="N621" s="1">
        <v>-442372016</v>
      </c>
      <c r="O621" s="1">
        <v>-99435606</v>
      </c>
      <c r="P621" s="1">
        <v>0</v>
      </c>
      <c r="Q621" s="1">
        <v>0</v>
      </c>
      <c r="R621" s="1">
        <f t="shared" si="19"/>
        <v>7568602136</v>
      </c>
    </row>
    <row r="622" spans="1:18">
      <c r="A622" t="s">
        <v>629</v>
      </c>
      <c r="C622" s="3">
        <v>1445500</v>
      </c>
      <c r="D622" s="3">
        <v>2642151416</v>
      </c>
      <c r="E622" s="3">
        <v>1252886190</v>
      </c>
      <c r="F622" s="3">
        <v>12227330533</v>
      </c>
      <c r="G622" s="3">
        <v>0</v>
      </c>
      <c r="H622" s="3">
        <v>2828680</v>
      </c>
      <c r="I622" s="3">
        <v>0</v>
      </c>
      <c r="J622" s="3">
        <v>0</v>
      </c>
      <c r="K622" s="3">
        <v>0</v>
      </c>
      <c r="L622" s="3">
        <f t="shared" si="18"/>
        <v>16126642319</v>
      </c>
      <c r="M622" s="1">
        <v>-562355563</v>
      </c>
      <c r="N622" s="1">
        <v>-477502732</v>
      </c>
      <c r="O622" s="1">
        <v>0</v>
      </c>
      <c r="P622" s="1">
        <v>0</v>
      </c>
      <c r="Q622" s="1">
        <v>0</v>
      </c>
      <c r="R622" s="1">
        <f t="shared" si="19"/>
        <v>15086784024</v>
      </c>
    </row>
    <row r="623" spans="1:18">
      <c r="A623" t="s">
        <v>630</v>
      </c>
      <c r="C623" s="3">
        <v>8452939</v>
      </c>
      <c r="D623" s="3">
        <v>703478834</v>
      </c>
      <c r="E623" s="3">
        <v>1172726760</v>
      </c>
      <c r="F623" s="3">
        <v>6677377287</v>
      </c>
      <c r="G623" s="3">
        <v>91595924</v>
      </c>
      <c r="H623" s="3">
        <v>0</v>
      </c>
      <c r="I623" s="3">
        <v>537445000</v>
      </c>
      <c r="J623" s="3">
        <v>0</v>
      </c>
      <c r="K623" s="3">
        <v>0</v>
      </c>
      <c r="L623" s="3">
        <f t="shared" si="18"/>
        <v>9191076744</v>
      </c>
      <c r="M623" s="1">
        <v>-703468041</v>
      </c>
      <c r="N623" s="1">
        <v>-657012692</v>
      </c>
      <c r="O623" s="1">
        <v>-7826536</v>
      </c>
      <c r="P623" s="1">
        <v>0</v>
      </c>
      <c r="Q623" s="1">
        <v>0</v>
      </c>
      <c r="R623" s="1">
        <f t="shared" si="19"/>
        <v>7822769475</v>
      </c>
    </row>
    <row r="624" spans="1:18">
      <c r="A624" t="s">
        <v>631</v>
      </c>
      <c r="C624" s="3">
        <v>6970900</v>
      </c>
      <c r="D624" s="3">
        <v>7144860188</v>
      </c>
      <c r="E624" s="3">
        <v>2779240907</v>
      </c>
      <c r="F624" s="3">
        <v>8924343321</v>
      </c>
      <c r="G624" s="3">
        <v>681106358</v>
      </c>
      <c r="H624" s="3">
        <v>4964210</v>
      </c>
      <c r="I624" s="3">
        <v>0</v>
      </c>
      <c r="J624" s="3">
        <v>15400000</v>
      </c>
      <c r="K624" s="3">
        <v>203387030</v>
      </c>
      <c r="L624" s="3">
        <f t="shared" si="18"/>
        <v>19760272914</v>
      </c>
      <c r="M624" s="1">
        <v>-2441719604</v>
      </c>
      <c r="N624" s="1">
        <v>-1010079477</v>
      </c>
      <c r="O624" s="1">
        <v>-173541299</v>
      </c>
      <c r="P624" s="1">
        <v>0</v>
      </c>
      <c r="Q624" s="1">
        <v>-187872030</v>
      </c>
      <c r="R624" s="1">
        <f t="shared" si="19"/>
        <v>15947060504</v>
      </c>
    </row>
    <row r="625" spans="1:18">
      <c r="A625" t="s">
        <v>632</v>
      </c>
      <c r="C625" s="3">
        <v>1420000</v>
      </c>
      <c r="D625" s="3">
        <v>7390758000</v>
      </c>
      <c r="E625" s="3">
        <v>2373270605</v>
      </c>
      <c r="F625" s="3">
        <v>7261601500</v>
      </c>
      <c r="G625" s="3">
        <v>140450000</v>
      </c>
      <c r="H625" s="3">
        <v>19233440</v>
      </c>
      <c r="I625" s="3">
        <v>0</v>
      </c>
      <c r="J625" s="3">
        <v>0</v>
      </c>
      <c r="K625" s="3">
        <v>14000000</v>
      </c>
      <c r="L625" s="3">
        <f t="shared" si="18"/>
        <v>17200733545</v>
      </c>
      <c r="M625" s="1">
        <v>-1416594252</v>
      </c>
      <c r="N625" s="1">
        <v>-1249911987</v>
      </c>
      <c r="O625" s="1">
        <v>-24347504</v>
      </c>
      <c r="P625" s="1">
        <v>0</v>
      </c>
      <c r="Q625" s="1">
        <v>-14000000</v>
      </c>
      <c r="R625" s="1">
        <f t="shared" si="19"/>
        <v>14495879802</v>
      </c>
    </row>
    <row r="626" spans="1:18">
      <c r="A626" t="s">
        <v>633</v>
      </c>
      <c r="C626" s="3">
        <v>35000</v>
      </c>
      <c r="D626" s="3">
        <v>2264088000</v>
      </c>
      <c r="E626" s="3">
        <v>1457319433</v>
      </c>
      <c r="F626" s="3">
        <v>10516357579</v>
      </c>
      <c r="G626" s="3">
        <v>154014000</v>
      </c>
      <c r="H626" s="3">
        <v>1943440</v>
      </c>
      <c r="I626" s="3">
        <v>0</v>
      </c>
      <c r="J626" s="3">
        <v>0</v>
      </c>
      <c r="K626" s="3">
        <v>50547500</v>
      </c>
      <c r="L626" s="3">
        <f t="shared" si="18"/>
        <v>14444304952</v>
      </c>
      <c r="M626" s="1">
        <v>-1243099120</v>
      </c>
      <c r="N626" s="1">
        <v>-750574032</v>
      </c>
      <c r="O626" s="1">
        <v>-28015554</v>
      </c>
      <c r="P626" s="1">
        <v>0</v>
      </c>
      <c r="Q626" s="1">
        <v>-50547500</v>
      </c>
      <c r="R626" s="1">
        <f t="shared" si="19"/>
        <v>12372068746</v>
      </c>
    </row>
    <row r="627" spans="1:18">
      <c r="A627" t="s">
        <v>634</v>
      </c>
      <c r="C627" s="3">
        <v>270000</v>
      </c>
      <c r="D627" s="3">
        <v>1714194000</v>
      </c>
      <c r="E627" s="3">
        <v>2181283857</v>
      </c>
      <c r="F627" s="3">
        <v>10025261000</v>
      </c>
      <c r="G627" s="3">
        <v>285000000</v>
      </c>
      <c r="H627" s="3">
        <v>6570280</v>
      </c>
      <c r="I627" s="3">
        <v>0</v>
      </c>
      <c r="J627" s="3">
        <v>0</v>
      </c>
      <c r="K627" s="3">
        <v>108527000</v>
      </c>
      <c r="L627" s="3">
        <f t="shared" si="18"/>
        <v>14321106137</v>
      </c>
      <c r="M627" s="1">
        <v>-2003171903</v>
      </c>
      <c r="N627" s="1">
        <v>-1014345919</v>
      </c>
      <c r="O627" s="1">
        <v>-89562500</v>
      </c>
      <c r="P627" s="1">
        <v>0</v>
      </c>
      <c r="Q627" s="1">
        <v>-108527000</v>
      </c>
      <c r="R627" s="1">
        <f t="shared" si="19"/>
        <v>11105498815</v>
      </c>
    </row>
    <row r="628" spans="1:18">
      <c r="A628" t="s">
        <v>635</v>
      </c>
      <c r="C628" s="3">
        <v>310000</v>
      </c>
      <c r="D628" s="3">
        <v>1550693000</v>
      </c>
      <c r="E628" s="3">
        <v>1273105101</v>
      </c>
      <c r="F628" s="3">
        <v>8863441000</v>
      </c>
      <c r="G628" s="3">
        <v>36550000</v>
      </c>
      <c r="H628" s="3">
        <v>26332370</v>
      </c>
      <c r="I628" s="3">
        <v>0</v>
      </c>
      <c r="J628" s="3">
        <v>10000000</v>
      </c>
      <c r="K628" s="3">
        <v>44711000</v>
      </c>
      <c r="L628" s="3">
        <f t="shared" si="18"/>
        <v>11805142471</v>
      </c>
      <c r="M628" s="1">
        <v>-935536010</v>
      </c>
      <c r="N628" s="1">
        <v>-463502668</v>
      </c>
      <c r="O628" s="1">
        <v>-4581664</v>
      </c>
      <c r="P628" s="1">
        <v>0</v>
      </c>
      <c r="Q628" s="1">
        <v>-30600000</v>
      </c>
      <c r="R628" s="1">
        <f t="shared" si="19"/>
        <v>10370922129</v>
      </c>
    </row>
    <row r="629" spans="1:18">
      <c r="A629" t="s">
        <v>636</v>
      </c>
      <c r="C629" s="3">
        <v>131000</v>
      </c>
      <c r="D629" s="3">
        <v>1131452000</v>
      </c>
      <c r="E629" s="3">
        <v>1576182903</v>
      </c>
      <c r="F629" s="3">
        <v>7981367910</v>
      </c>
      <c r="G629" s="3">
        <v>0</v>
      </c>
      <c r="H629" s="3">
        <v>41166928</v>
      </c>
      <c r="I629" s="3">
        <v>0</v>
      </c>
      <c r="J629" s="3">
        <v>13000000</v>
      </c>
      <c r="K629" s="3">
        <v>82722001</v>
      </c>
      <c r="L629" s="3">
        <f t="shared" si="18"/>
        <v>10826022742</v>
      </c>
      <c r="M629" s="1">
        <v>-908217250</v>
      </c>
      <c r="N629" s="1">
        <v>-676380308</v>
      </c>
      <c r="O629" s="1">
        <v>0</v>
      </c>
      <c r="P629" s="1">
        <v>0</v>
      </c>
      <c r="Q629" s="1">
        <v>-82722001</v>
      </c>
      <c r="R629" s="1">
        <f t="shared" si="19"/>
        <v>9158703183</v>
      </c>
    </row>
    <row r="630" spans="1:18">
      <c r="A630" t="s">
        <v>637</v>
      </c>
      <c r="C630" s="3">
        <v>1540130</v>
      </c>
      <c r="D630" s="3">
        <v>1364850000</v>
      </c>
      <c r="E630" s="3">
        <v>1519491846</v>
      </c>
      <c r="F630" s="3">
        <v>7090406000</v>
      </c>
      <c r="G630" s="3">
        <v>144896000</v>
      </c>
      <c r="H630" s="3">
        <v>21016084</v>
      </c>
      <c r="I630" s="3">
        <v>0</v>
      </c>
      <c r="J630" s="3">
        <v>0</v>
      </c>
      <c r="K630" s="3">
        <v>463416913</v>
      </c>
      <c r="L630" s="3">
        <f t="shared" si="18"/>
        <v>10605616973</v>
      </c>
      <c r="M630" s="1">
        <v>-999126289</v>
      </c>
      <c r="N630" s="1">
        <v>-818632777</v>
      </c>
      <c r="O630" s="1">
        <v>-65203200</v>
      </c>
      <c r="P630" s="1">
        <v>0</v>
      </c>
      <c r="Q630" s="1">
        <v>-218844926</v>
      </c>
      <c r="R630" s="1">
        <f t="shared" si="19"/>
        <v>8503809781</v>
      </c>
    </row>
    <row r="631" spans="1:18">
      <c r="A631" t="s">
        <v>638</v>
      </c>
      <c r="C631" s="3">
        <v>766750</v>
      </c>
      <c r="D631" s="3">
        <v>2477445000</v>
      </c>
      <c r="E631" s="3">
        <v>1545434053</v>
      </c>
      <c r="F631" s="3">
        <v>5139968500</v>
      </c>
      <c r="G631" s="3">
        <v>474231500</v>
      </c>
      <c r="H631" s="3">
        <v>3260500</v>
      </c>
      <c r="I631" s="3">
        <v>184334000</v>
      </c>
      <c r="J631" s="3">
        <v>16000000</v>
      </c>
      <c r="K631" s="3">
        <v>0</v>
      </c>
      <c r="L631" s="3">
        <f t="shared" si="18"/>
        <v>9841440303</v>
      </c>
      <c r="M631" s="1">
        <v>-1206061589</v>
      </c>
      <c r="N631" s="1">
        <v>-707338272</v>
      </c>
      <c r="O631" s="1">
        <v>-207739822</v>
      </c>
      <c r="P631" s="1">
        <v>0</v>
      </c>
      <c r="Q631" s="1">
        <v>0</v>
      </c>
      <c r="R631" s="1">
        <f t="shared" si="19"/>
        <v>7720300620</v>
      </c>
    </row>
    <row r="632" spans="1:18">
      <c r="A632" t="s">
        <v>639</v>
      </c>
      <c r="C632" s="3">
        <v>3806811</v>
      </c>
      <c r="D632" s="3">
        <v>3386868000</v>
      </c>
      <c r="E632" s="3">
        <v>3776574245</v>
      </c>
      <c r="F632" s="3">
        <v>6329221383</v>
      </c>
      <c r="G632" s="3">
        <v>436566000</v>
      </c>
      <c r="H632" s="3">
        <v>148192901</v>
      </c>
      <c r="I632" s="3">
        <v>0</v>
      </c>
      <c r="J632" s="3">
        <v>0</v>
      </c>
      <c r="K632" s="3">
        <v>299744750</v>
      </c>
      <c r="L632" s="3">
        <f t="shared" si="18"/>
        <v>14380974090</v>
      </c>
      <c r="M632" s="1">
        <v>-3440213191</v>
      </c>
      <c r="N632" s="1">
        <v>-1492794949</v>
      </c>
      <c r="O632" s="1">
        <v>-243416390</v>
      </c>
      <c r="P632" s="1">
        <v>0</v>
      </c>
      <c r="Q632" s="1">
        <v>-47960000</v>
      </c>
      <c r="R632" s="1">
        <f t="shared" si="19"/>
        <v>9156589560</v>
      </c>
    </row>
    <row r="633" spans="1:18">
      <c r="A633" t="s">
        <v>640</v>
      </c>
      <c r="C633" s="3">
        <v>1203000</v>
      </c>
      <c r="D633" s="3">
        <v>806264850</v>
      </c>
      <c r="E633" s="3">
        <v>1712153265</v>
      </c>
      <c r="F633" s="3">
        <v>9089681399</v>
      </c>
      <c r="G633" s="3">
        <v>316026112</v>
      </c>
      <c r="H633" s="3">
        <v>1943440</v>
      </c>
      <c r="I633" s="3">
        <v>0</v>
      </c>
      <c r="J633" s="3">
        <v>0</v>
      </c>
      <c r="K633" s="3">
        <v>16310000</v>
      </c>
      <c r="L633" s="3">
        <f t="shared" si="18"/>
        <v>11943582066</v>
      </c>
      <c r="M633" s="1">
        <v>-1640188258</v>
      </c>
      <c r="N633" s="1">
        <v>-685569605</v>
      </c>
      <c r="O633" s="1">
        <v>-76817673</v>
      </c>
      <c r="P633" s="1">
        <v>0</v>
      </c>
      <c r="Q633" s="1">
        <v>-16310000</v>
      </c>
      <c r="R633" s="1">
        <f t="shared" si="19"/>
        <v>9524696530</v>
      </c>
    </row>
    <row r="634" spans="1:18">
      <c r="A634" t="s">
        <v>641</v>
      </c>
      <c r="C634" s="3">
        <v>842900</v>
      </c>
      <c r="D634" s="3">
        <v>2439528000</v>
      </c>
      <c r="E634" s="3">
        <v>3115406175</v>
      </c>
      <c r="F634" s="3">
        <v>10206315960</v>
      </c>
      <c r="G634" s="3">
        <v>315030000</v>
      </c>
      <c r="H634" s="3">
        <v>17533898</v>
      </c>
      <c r="I634" s="3">
        <v>0</v>
      </c>
      <c r="J634" s="3">
        <v>0</v>
      </c>
      <c r="K634" s="3">
        <v>0</v>
      </c>
      <c r="L634" s="3">
        <f t="shared" si="18"/>
        <v>16094656933</v>
      </c>
      <c r="M634" s="1">
        <v>-2544602453</v>
      </c>
      <c r="N634" s="1">
        <v>-1364003000</v>
      </c>
      <c r="O634" s="1">
        <v>-29782063</v>
      </c>
      <c r="P634" s="1">
        <v>0</v>
      </c>
      <c r="Q634" s="1">
        <v>0</v>
      </c>
      <c r="R634" s="1">
        <f t="shared" si="19"/>
        <v>12156269417</v>
      </c>
    </row>
    <row r="635" spans="1:18">
      <c r="A635" t="s">
        <v>642</v>
      </c>
      <c r="C635" s="3">
        <v>14903300</v>
      </c>
      <c r="D635" s="3">
        <v>952200000</v>
      </c>
      <c r="E635" s="3">
        <v>2190601367</v>
      </c>
      <c r="F635" s="3">
        <v>5131278000</v>
      </c>
      <c r="G635" s="3">
        <v>282955000</v>
      </c>
      <c r="H635" s="3">
        <v>2828676</v>
      </c>
      <c r="I635" s="3">
        <v>0</v>
      </c>
      <c r="J635" s="3">
        <v>0</v>
      </c>
      <c r="K635" s="3">
        <v>392539286</v>
      </c>
      <c r="L635" s="3">
        <f t="shared" si="18"/>
        <v>8967305629</v>
      </c>
      <c r="M635" s="1">
        <v>-1792748626</v>
      </c>
      <c r="N635" s="1">
        <v>-802250112</v>
      </c>
      <c r="O635" s="1">
        <v>-76722125</v>
      </c>
      <c r="P635" s="1">
        <v>0</v>
      </c>
      <c r="Q635" s="1">
        <v>-391711786</v>
      </c>
      <c r="R635" s="1">
        <f t="shared" si="19"/>
        <v>5903872980</v>
      </c>
    </row>
    <row r="636" spans="1:18">
      <c r="A636" t="s">
        <v>643</v>
      </c>
      <c r="C636" s="3">
        <v>188000</v>
      </c>
      <c r="D636" s="3">
        <v>189250000</v>
      </c>
      <c r="E636" s="3">
        <v>1085977041</v>
      </c>
      <c r="F636" s="3">
        <v>7116053200</v>
      </c>
      <c r="G636" s="3">
        <v>26626000</v>
      </c>
      <c r="H636" s="3">
        <v>31209298</v>
      </c>
      <c r="I636" s="3">
        <v>0</v>
      </c>
      <c r="J636" s="3">
        <v>0</v>
      </c>
      <c r="K636" s="3">
        <v>409687286</v>
      </c>
      <c r="L636" s="3">
        <f t="shared" si="18"/>
        <v>8858990825</v>
      </c>
      <c r="M636" s="1">
        <v>-741862236</v>
      </c>
      <c r="N636" s="1">
        <v>-485142782</v>
      </c>
      <c r="O636" s="1">
        <v>-4954775</v>
      </c>
      <c r="P636" s="1">
        <v>0</v>
      </c>
      <c r="Q636" s="1">
        <v>-291459124</v>
      </c>
      <c r="R636" s="1">
        <f t="shared" si="19"/>
        <v>7335571908</v>
      </c>
    </row>
    <row r="637" spans="1:18">
      <c r="A637" t="s">
        <v>644</v>
      </c>
      <c r="C637" s="3">
        <v>2410988</v>
      </c>
      <c r="D637" s="3">
        <v>417525000</v>
      </c>
      <c r="E637" s="3">
        <v>1637403500</v>
      </c>
      <c r="F637" s="3">
        <v>11269428000</v>
      </c>
      <c r="G637" s="3">
        <v>215680000</v>
      </c>
      <c r="H637" s="3">
        <v>0</v>
      </c>
      <c r="I637" s="3">
        <v>0</v>
      </c>
      <c r="J637" s="3">
        <v>27390000</v>
      </c>
      <c r="K637" s="3">
        <v>0</v>
      </c>
      <c r="L637" s="3">
        <f t="shared" si="18"/>
        <v>13569837488</v>
      </c>
      <c r="M637" s="1">
        <v>-632041382</v>
      </c>
      <c r="N637" s="1">
        <v>-493546920</v>
      </c>
      <c r="O637" s="1">
        <v>-34508800</v>
      </c>
      <c r="P637" s="1">
        <v>0</v>
      </c>
      <c r="Q637" s="1">
        <v>0</v>
      </c>
      <c r="R637" s="1">
        <f t="shared" si="19"/>
        <v>12409740386</v>
      </c>
    </row>
    <row r="638" spans="1:18">
      <c r="A638" t="s">
        <v>645</v>
      </c>
      <c r="C638" s="3">
        <v>16610500</v>
      </c>
      <c r="D638" s="3">
        <v>51723000</v>
      </c>
      <c r="E638" s="3">
        <v>1938988950</v>
      </c>
      <c r="F638" s="3">
        <v>9875568000</v>
      </c>
      <c r="G638" s="3">
        <v>156677000</v>
      </c>
      <c r="H638" s="3">
        <v>1788000</v>
      </c>
      <c r="I638" s="3">
        <v>0</v>
      </c>
      <c r="J638" s="3">
        <v>25500000</v>
      </c>
      <c r="K638" s="3">
        <v>0</v>
      </c>
      <c r="L638" s="3">
        <f t="shared" si="18"/>
        <v>12066855450</v>
      </c>
      <c r="M638" s="1">
        <v>-692002407</v>
      </c>
      <c r="N638" s="1">
        <v>-278644681</v>
      </c>
      <c r="O638" s="1">
        <v>-5875388</v>
      </c>
      <c r="P638" s="1">
        <v>0</v>
      </c>
      <c r="Q638" s="1">
        <v>0</v>
      </c>
      <c r="R638" s="1">
        <f t="shared" si="19"/>
        <v>11090332974</v>
      </c>
    </row>
    <row r="639" spans="1:18">
      <c r="A639" t="s">
        <v>646</v>
      </c>
      <c r="C639" s="3">
        <v>590000</v>
      </c>
      <c r="D639" s="3">
        <v>481531000</v>
      </c>
      <c r="E639" s="3">
        <v>1069641633</v>
      </c>
      <c r="F639" s="3">
        <v>5550547500</v>
      </c>
      <c r="G639" s="3">
        <v>0</v>
      </c>
      <c r="H639" s="3">
        <v>185450</v>
      </c>
      <c r="I639" s="3">
        <v>0</v>
      </c>
      <c r="J639" s="3">
        <v>0</v>
      </c>
      <c r="K639" s="3">
        <v>100000</v>
      </c>
      <c r="L639" s="3">
        <f t="shared" si="18"/>
        <v>7102595583</v>
      </c>
      <c r="M639" s="1">
        <v>-460752210</v>
      </c>
      <c r="N639" s="1">
        <v>-55505475</v>
      </c>
      <c r="O639" s="1">
        <v>0</v>
      </c>
      <c r="P639" s="1">
        <v>0</v>
      </c>
      <c r="Q639" s="1">
        <v>-100000</v>
      </c>
      <c r="R639" s="1">
        <f t="shared" si="19"/>
        <v>6586237898</v>
      </c>
    </row>
    <row r="640" spans="1:18">
      <c r="A640" t="s">
        <v>647</v>
      </c>
      <c r="C640" s="3">
        <v>4255330</v>
      </c>
      <c r="D640" s="3">
        <v>218016000</v>
      </c>
      <c r="E640" s="3">
        <v>1076100727</v>
      </c>
      <c r="F640" s="3">
        <v>5505278000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f t="shared" si="18"/>
        <v>6803650057</v>
      </c>
      <c r="M640" s="1">
        <v>-392634367</v>
      </c>
      <c r="N640" s="1">
        <v>-165158340</v>
      </c>
      <c r="O640" s="1">
        <v>0</v>
      </c>
      <c r="P640" s="1">
        <v>0</v>
      </c>
      <c r="Q640" s="1">
        <v>0</v>
      </c>
      <c r="R640" s="1">
        <f t="shared" si="19"/>
        <v>6245857350</v>
      </c>
    </row>
    <row r="641" spans="1:18">
      <c r="A641" t="s">
        <v>648</v>
      </c>
      <c r="C641" s="3">
        <v>210000</v>
      </c>
      <c r="D641" s="3">
        <v>5508984000</v>
      </c>
      <c r="E641" s="3">
        <v>3682700516</v>
      </c>
      <c r="F641" s="3">
        <v>16945934900</v>
      </c>
      <c r="G641" s="3">
        <v>281355000</v>
      </c>
      <c r="H641" s="3">
        <v>7600796</v>
      </c>
      <c r="I641" s="3">
        <v>0</v>
      </c>
      <c r="J641" s="3">
        <v>0</v>
      </c>
      <c r="K641" s="3">
        <v>9446000</v>
      </c>
      <c r="L641" s="3">
        <f t="shared" si="18"/>
        <v>26436231212</v>
      </c>
      <c r="M641" s="1">
        <v>-3295117399</v>
      </c>
      <c r="N641" s="1">
        <v>-1377045528</v>
      </c>
      <c r="O641" s="1">
        <v>-30706405</v>
      </c>
      <c r="P641" s="1">
        <v>0</v>
      </c>
      <c r="Q641" s="1">
        <v>-9446000</v>
      </c>
      <c r="R641" s="1">
        <f t="shared" si="19"/>
        <v>21723915880</v>
      </c>
    </row>
    <row r="642" spans="1:18">
      <c r="A642" t="s">
        <v>649</v>
      </c>
      <c r="C642" s="3">
        <v>330500</v>
      </c>
      <c r="D642" s="3">
        <v>12166950000</v>
      </c>
      <c r="E642" s="3">
        <v>3213002259</v>
      </c>
      <c r="F642" s="3">
        <v>20653415249</v>
      </c>
      <c r="G642" s="3">
        <v>84496000</v>
      </c>
      <c r="H642" s="3">
        <v>1943440</v>
      </c>
      <c r="I642" s="3">
        <v>0</v>
      </c>
      <c r="J642" s="3">
        <v>0</v>
      </c>
      <c r="K642" s="3">
        <v>246000000</v>
      </c>
      <c r="L642" s="3">
        <f t="shared" si="18"/>
        <v>36366137448</v>
      </c>
      <c r="M642" s="1">
        <v>-2511223420</v>
      </c>
      <c r="N642" s="1">
        <v>-1226179923</v>
      </c>
      <c r="O642" s="1">
        <v>-5281000</v>
      </c>
      <c r="P642" s="1">
        <v>0</v>
      </c>
      <c r="Q642" s="1">
        <v>-69318667</v>
      </c>
      <c r="R642" s="1">
        <f t="shared" si="19"/>
        <v>32554134438</v>
      </c>
    </row>
    <row r="643" spans="1:18">
      <c r="A643" t="s">
        <v>650</v>
      </c>
      <c r="C643" s="3">
        <v>252000</v>
      </c>
      <c r="D643" s="3">
        <v>1757421000</v>
      </c>
      <c r="E643" s="3">
        <v>865631000</v>
      </c>
      <c r="F643" s="3">
        <v>7056898673</v>
      </c>
      <c r="G643" s="3">
        <v>25000000</v>
      </c>
      <c r="H643" s="3">
        <v>160588317</v>
      </c>
      <c r="I643" s="3">
        <v>0</v>
      </c>
      <c r="J643" s="3">
        <v>0</v>
      </c>
      <c r="K643" s="3">
        <v>9568000</v>
      </c>
      <c r="L643" s="3">
        <f t="shared" ref="L643:L706" si="20">SUM(C643:K643)</f>
        <v>9875358990</v>
      </c>
      <c r="M643" s="1">
        <v>-517236279</v>
      </c>
      <c r="N643" s="1">
        <v>-5192291080</v>
      </c>
      <c r="O643" s="1">
        <v>-3125000</v>
      </c>
      <c r="P643" s="1">
        <v>0</v>
      </c>
      <c r="Q643" s="1">
        <v>-9568000</v>
      </c>
      <c r="R643" s="1">
        <f t="shared" ref="R643:R706" si="21">SUM(L643:Q643)</f>
        <v>4153138631</v>
      </c>
    </row>
    <row r="644" spans="1:18">
      <c r="A644" t="s">
        <v>651</v>
      </c>
      <c r="C644" s="3">
        <v>137000</v>
      </c>
      <c r="D644" s="3">
        <v>1054820000</v>
      </c>
      <c r="E644" s="3">
        <v>2245394562</v>
      </c>
      <c r="F644" s="3">
        <v>7812703000</v>
      </c>
      <c r="G644" s="3">
        <v>124770000</v>
      </c>
      <c r="H644" s="3">
        <v>154548769</v>
      </c>
      <c r="I644" s="3">
        <v>0</v>
      </c>
      <c r="J644" s="3">
        <v>0</v>
      </c>
      <c r="K644" s="3">
        <v>240724546</v>
      </c>
      <c r="L644" s="3">
        <f t="shared" si="20"/>
        <v>11633097877</v>
      </c>
      <c r="M644" s="1">
        <v>-1653079890</v>
      </c>
      <c r="N644" s="1">
        <v>-1449679942</v>
      </c>
      <c r="O644" s="1">
        <v>-19961453</v>
      </c>
      <c r="P644" s="1">
        <v>0</v>
      </c>
      <c r="Q644" s="1">
        <v>-240704546</v>
      </c>
      <c r="R644" s="1">
        <f t="shared" si="21"/>
        <v>8269672046</v>
      </c>
    </row>
    <row r="645" spans="1:18">
      <c r="A645" t="s">
        <v>652</v>
      </c>
      <c r="C645" s="3">
        <v>93000</v>
      </c>
      <c r="D645" s="3">
        <v>1322800000</v>
      </c>
      <c r="E645" s="3">
        <v>2096100140</v>
      </c>
      <c r="F645" s="3">
        <v>2819219425</v>
      </c>
      <c r="G645" s="3">
        <v>180761900</v>
      </c>
      <c r="H645" s="3">
        <v>4723970</v>
      </c>
      <c r="I645" s="3">
        <v>0</v>
      </c>
      <c r="J645" s="3">
        <v>0</v>
      </c>
      <c r="K645" s="3">
        <v>0</v>
      </c>
      <c r="L645" s="3">
        <f t="shared" si="20"/>
        <v>6423698435</v>
      </c>
      <c r="M645" s="1">
        <v>-1575665834</v>
      </c>
      <c r="N645" s="1">
        <v>-386954550</v>
      </c>
      <c r="O645" s="1">
        <v>-135571425</v>
      </c>
      <c r="P645" s="1">
        <v>0</v>
      </c>
      <c r="Q645" s="1">
        <v>0</v>
      </c>
      <c r="R645" s="1">
        <f t="shared" si="21"/>
        <v>4325506626</v>
      </c>
    </row>
    <row r="646" spans="1:18">
      <c r="A646" t="s">
        <v>653</v>
      </c>
      <c r="C646" s="3">
        <v>324000</v>
      </c>
      <c r="D646" s="3">
        <v>1033000000</v>
      </c>
      <c r="E646" s="3">
        <v>1377954983</v>
      </c>
      <c r="F646" s="3">
        <v>8810824000</v>
      </c>
      <c r="G646" s="3">
        <v>0</v>
      </c>
      <c r="H646" s="3">
        <v>6523970</v>
      </c>
      <c r="I646" s="3">
        <v>0</v>
      </c>
      <c r="J646" s="3">
        <v>0</v>
      </c>
      <c r="K646" s="3">
        <v>715500</v>
      </c>
      <c r="L646" s="3">
        <f t="shared" si="20"/>
        <v>11229342453</v>
      </c>
      <c r="M646" s="1">
        <v>-1171419344</v>
      </c>
      <c r="N646" s="1">
        <v>-699256432</v>
      </c>
      <c r="O646" s="1">
        <v>0</v>
      </c>
      <c r="P646" s="1">
        <v>0</v>
      </c>
      <c r="Q646" s="1">
        <v>-715500</v>
      </c>
      <c r="R646" s="1">
        <f t="shared" si="21"/>
        <v>9357951177</v>
      </c>
    </row>
    <row r="647" spans="1:18">
      <c r="A647" t="s">
        <v>654</v>
      </c>
      <c r="C647" s="3">
        <v>140000</v>
      </c>
      <c r="D647" s="3">
        <v>1029900000</v>
      </c>
      <c r="E647" s="3">
        <v>1277962176</v>
      </c>
      <c r="F647" s="3">
        <v>2175924700</v>
      </c>
      <c r="G647" s="3">
        <v>19519000</v>
      </c>
      <c r="H647" s="3">
        <v>4769246</v>
      </c>
      <c r="I647" s="3">
        <v>0</v>
      </c>
      <c r="J647" s="3">
        <v>0</v>
      </c>
      <c r="K647" s="3">
        <v>53841000</v>
      </c>
      <c r="L647" s="3">
        <f t="shared" si="20"/>
        <v>4562056122</v>
      </c>
      <c r="M647" s="1">
        <v>-1076425648</v>
      </c>
      <c r="N647" s="1">
        <v>-328447767</v>
      </c>
      <c r="O647" s="1">
        <v>-2477850</v>
      </c>
      <c r="P647" s="1">
        <v>0</v>
      </c>
      <c r="Q647" s="1">
        <v>-27061000</v>
      </c>
      <c r="R647" s="1">
        <f t="shared" si="21"/>
        <v>3127643857</v>
      </c>
    </row>
    <row r="648" spans="1:18">
      <c r="A648" t="s">
        <v>655</v>
      </c>
      <c r="C648" s="3">
        <v>80000</v>
      </c>
      <c r="D648" s="3">
        <v>3225060000</v>
      </c>
      <c r="E648" s="3">
        <v>3530914666</v>
      </c>
      <c r="F648" s="3">
        <v>13689050508</v>
      </c>
      <c r="G648" s="3">
        <v>1311362566</v>
      </c>
      <c r="H648" s="3">
        <v>30914270</v>
      </c>
      <c r="I648" s="3">
        <v>0</v>
      </c>
      <c r="J648" s="3">
        <v>0</v>
      </c>
      <c r="K648" s="3">
        <v>0</v>
      </c>
      <c r="L648" s="3">
        <f t="shared" si="20"/>
        <v>21787382010</v>
      </c>
      <c r="M648" s="1">
        <v>-2156295208</v>
      </c>
      <c r="N648" s="1">
        <v>-1545179182</v>
      </c>
      <c r="O648" s="1">
        <v>-817419367</v>
      </c>
      <c r="P648" s="1">
        <v>0</v>
      </c>
      <c r="Q648" s="1">
        <v>0</v>
      </c>
      <c r="R648" s="1">
        <f t="shared" si="21"/>
        <v>17268488253</v>
      </c>
    </row>
    <row r="649" spans="1:18">
      <c r="A649" t="s">
        <v>656</v>
      </c>
      <c r="C649" s="3">
        <v>365000</v>
      </c>
      <c r="D649" s="3">
        <v>1929785000</v>
      </c>
      <c r="E649" s="3">
        <v>2370989704</v>
      </c>
      <c r="F649" s="3">
        <v>11689231043</v>
      </c>
      <c r="G649" s="3">
        <v>0</v>
      </c>
      <c r="H649" s="3">
        <v>0</v>
      </c>
      <c r="I649" s="3">
        <v>0</v>
      </c>
      <c r="J649" s="3">
        <v>68500000</v>
      </c>
      <c r="K649" s="3">
        <v>132203000</v>
      </c>
      <c r="L649" s="3">
        <f t="shared" si="20"/>
        <v>16191073747</v>
      </c>
      <c r="M649" s="1">
        <v>-1671331664</v>
      </c>
      <c r="N649" s="1">
        <v>-233864090</v>
      </c>
      <c r="O649" s="1">
        <v>0</v>
      </c>
      <c r="P649" s="1">
        <v>0</v>
      </c>
      <c r="Q649" s="1">
        <v>-19389777</v>
      </c>
      <c r="R649" s="1">
        <f t="shared" si="21"/>
        <v>14266488216</v>
      </c>
    </row>
    <row r="650" spans="1:18">
      <c r="A650" t="s">
        <v>657</v>
      </c>
      <c r="C650" s="3">
        <v>2090000</v>
      </c>
      <c r="D650" s="3">
        <v>1174000000</v>
      </c>
      <c r="E650" s="3">
        <v>1545164534</v>
      </c>
      <c r="F650" s="3">
        <v>0</v>
      </c>
      <c r="G650" s="3">
        <v>0</v>
      </c>
      <c r="H650" s="3">
        <v>7000000</v>
      </c>
      <c r="I650" s="3">
        <v>10043570175</v>
      </c>
      <c r="J650" s="3">
        <v>0</v>
      </c>
      <c r="K650" s="3">
        <v>279664000</v>
      </c>
      <c r="L650" s="3">
        <f t="shared" si="20"/>
        <v>13051488709</v>
      </c>
      <c r="M650" s="1">
        <v>-1315471989</v>
      </c>
      <c r="N650" s="1">
        <v>0</v>
      </c>
      <c r="O650" s="1">
        <v>0</v>
      </c>
      <c r="P650" s="1">
        <v>0</v>
      </c>
      <c r="Q650" s="1">
        <v>-276264200</v>
      </c>
      <c r="R650" s="1">
        <f t="shared" si="21"/>
        <v>11459752520</v>
      </c>
    </row>
    <row r="651" spans="1:18">
      <c r="A651" t="s">
        <v>658</v>
      </c>
      <c r="C651" s="3">
        <v>303000</v>
      </c>
      <c r="D651" s="3">
        <v>1200300000</v>
      </c>
      <c r="E651" s="3">
        <v>2048513796</v>
      </c>
      <c r="F651" s="3">
        <v>5847862000</v>
      </c>
      <c r="G651" s="3">
        <v>64470000</v>
      </c>
      <c r="H651" s="3">
        <v>2683400</v>
      </c>
      <c r="I651" s="3">
        <v>0</v>
      </c>
      <c r="J651" s="3">
        <v>0</v>
      </c>
      <c r="K651" s="3">
        <v>33490000</v>
      </c>
      <c r="L651" s="3">
        <f t="shared" si="20"/>
        <v>9197622196</v>
      </c>
      <c r="M651" s="1">
        <v>-1613135226</v>
      </c>
      <c r="N651" s="1">
        <v>-829632010</v>
      </c>
      <c r="O651" s="1">
        <v>-24735004</v>
      </c>
      <c r="P651" s="1">
        <v>0</v>
      </c>
      <c r="Q651" s="1">
        <v>-33490000</v>
      </c>
      <c r="R651" s="1">
        <f t="shared" si="21"/>
        <v>6696629956</v>
      </c>
    </row>
    <row r="652" spans="1:18">
      <c r="A652" t="s">
        <v>659</v>
      </c>
      <c r="C652" s="3">
        <v>23926750</v>
      </c>
      <c r="D652" s="3">
        <v>29524800000</v>
      </c>
      <c r="E652" s="3">
        <v>5740737714</v>
      </c>
      <c r="F652" s="3">
        <v>14949750861</v>
      </c>
      <c r="G652" s="3">
        <v>158324345</v>
      </c>
      <c r="H652" s="3">
        <v>16078440</v>
      </c>
      <c r="I652" s="3">
        <v>0</v>
      </c>
      <c r="J652" s="3">
        <v>0</v>
      </c>
      <c r="K652" s="3">
        <v>597546004</v>
      </c>
      <c r="L652" s="3">
        <f t="shared" si="20"/>
        <v>51011164114</v>
      </c>
      <c r="M652" s="1">
        <v>-5240090088</v>
      </c>
      <c r="N652" s="1">
        <v>-2624656189</v>
      </c>
      <c r="O652" s="1">
        <v>-20560639</v>
      </c>
      <c r="P652" s="1">
        <v>0</v>
      </c>
      <c r="Q652" s="1">
        <v>-286632557</v>
      </c>
      <c r="R652" s="1">
        <f t="shared" si="21"/>
        <v>42839224641</v>
      </c>
    </row>
    <row r="653" spans="1:18">
      <c r="A653" t="s">
        <v>660</v>
      </c>
      <c r="C653" s="3">
        <v>16479400</v>
      </c>
      <c r="D653" s="3">
        <v>28007635000</v>
      </c>
      <c r="E653" s="3">
        <v>3984982335</v>
      </c>
      <c r="F653" s="3">
        <v>12111898650</v>
      </c>
      <c r="G653" s="3">
        <v>358917000</v>
      </c>
      <c r="H653" s="3">
        <v>2788000</v>
      </c>
      <c r="I653" s="3">
        <v>0</v>
      </c>
      <c r="J653" s="3">
        <v>0</v>
      </c>
      <c r="K653" s="3">
        <v>12412000</v>
      </c>
      <c r="L653" s="3">
        <f t="shared" si="20"/>
        <v>44495112385</v>
      </c>
      <c r="M653" s="1">
        <v>-3166386315</v>
      </c>
      <c r="N653" s="1">
        <v>-1707444537</v>
      </c>
      <c r="O653" s="1">
        <v>-31405238</v>
      </c>
      <c r="P653" s="1">
        <v>0</v>
      </c>
      <c r="Q653" s="1">
        <v>-12412000</v>
      </c>
      <c r="R653" s="1">
        <f t="shared" si="21"/>
        <v>39577464295</v>
      </c>
    </row>
    <row r="654" spans="1:18">
      <c r="A654" t="s">
        <v>661</v>
      </c>
      <c r="C654" s="3">
        <v>3914100</v>
      </c>
      <c r="D654" s="3">
        <v>9199257000</v>
      </c>
      <c r="E654" s="3">
        <v>2260322148</v>
      </c>
      <c r="F654" s="3">
        <v>14971075950</v>
      </c>
      <c r="G654" s="3">
        <v>13560000</v>
      </c>
      <c r="H654" s="3">
        <v>22144440</v>
      </c>
      <c r="I654" s="3">
        <v>0</v>
      </c>
      <c r="J654" s="3">
        <v>0</v>
      </c>
      <c r="K654" s="3">
        <v>127160500</v>
      </c>
      <c r="L654" s="3">
        <f t="shared" si="20"/>
        <v>26597434138</v>
      </c>
      <c r="M654" s="1">
        <v>-1973716116</v>
      </c>
      <c r="N654" s="1">
        <v>-1060132268</v>
      </c>
      <c r="O654" s="1">
        <v>-847500</v>
      </c>
      <c r="P654" s="1">
        <v>-5700000</v>
      </c>
      <c r="Q654" s="1">
        <v>-127060500</v>
      </c>
      <c r="R654" s="1">
        <f t="shared" si="21"/>
        <v>23429977754</v>
      </c>
    </row>
    <row r="655" spans="1:18">
      <c r="A655" t="s">
        <v>662</v>
      </c>
      <c r="C655" s="3">
        <v>12177200</v>
      </c>
      <c r="D655" s="3">
        <v>1875075000</v>
      </c>
      <c r="E655" s="3">
        <v>1616500748</v>
      </c>
      <c r="F655" s="3">
        <v>2253254180</v>
      </c>
      <c r="G655" s="3">
        <v>45491200</v>
      </c>
      <c r="H655" s="3">
        <v>1943440</v>
      </c>
      <c r="I655" s="3">
        <v>0</v>
      </c>
      <c r="J655" s="3">
        <v>0</v>
      </c>
      <c r="K655" s="3">
        <v>55301500</v>
      </c>
      <c r="L655" s="3">
        <f t="shared" si="20"/>
        <v>5859743268</v>
      </c>
      <c r="M655" s="1">
        <v>-1480202094</v>
      </c>
      <c r="N655" s="1">
        <v>-287349648</v>
      </c>
      <c r="O655" s="1">
        <v>-6521523</v>
      </c>
      <c r="P655" s="1">
        <v>0</v>
      </c>
      <c r="Q655" s="1">
        <v>-55301500</v>
      </c>
      <c r="R655" s="1">
        <f t="shared" si="21"/>
        <v>4030368503</v>
      </c>
    </row>
    <row r="656" spans="1:18">
      <c r="A656" t="s">
        <v>663</v>
      </c>
      <c r="C656" s="3">
        <v>4704250</v>
      </c>
      <c r="D656" s="3">
        <v>2726104000</v>
      </c>
      <c r="E656" s="3">
        <v>1626960138</v>
      </c>
      <c r="F656" s="3">
        <v>3069323000</v>
      </c>
      <c r="G656" s="3">
        <v>105895000</v>
      </c>
      <c r="H656" s="3">
        <v>41102240</v>
      </c>
      <c r="I656" s="3">
        <v>0</v>
      </c>
      <c r="J656" s="3">
        <v>0</v>
      </c>
      <c r="K656" s="3">
        <v>43209073</v>
      </c>
      <c r="L656" s="3">
        <f t="shared" si="20"/>
        <v>7617297701</v>
      </c>
      <c r="M656" s="1">
        <v>-1556953640</v>
      </c>
      <c r="N656" s="1">
        <v>-1024074203</v>
      </c>
      <c r="O656" s="1">
        <v>-9876038</v>
      </c>
      <c r="P656" s="1">
        <v>0</v>
      </c>
      <c r="Q656" s="1">
        <v>-43209073</v>
      </c>
      <c r="R656" s="1">
        <f t="shared" si="21"/>
        <v>4983184747</v>
      </c>
    </row>
    <row r="657" spans="1:18">
      <c r="A657" t="s">
        <v>664</v>
      </c>
      <c r="C657" s="3">
        <v>0</v>
      </c>
      <c r="D657" s="3">
        <v>2812525000</v>
      </c>
      <c r="E657" s="3">
        <v>1981238947</v>
      </c>
      <c r="F657" s="3">
        <v>3333914549</v>
      </c>
      <c r="G657" s="3">
        <v>0</v>
      </c>
      <c r="H657" s="3">
        <v>64311218</v>
      </c>
      <c r="I657" s="3">
        <v>0</v>
      </c>
      <c r="J657" s="3">
        <v>0</v>
      </c>
      <c r="K657" s="3">
        <v>18775000</v>
      </c>
      <c r="L657" s="3">
        <f t="shared" si="20"/>
        <v>8210764714</v>
      </c>
      <c r="M657" s="1">
        <v>-1437442220</v>
      </c>
      <c r="N657" s="1">
        <v>-860295465</v>
      </c>
      <c r="O657" s="1">
        <v>0</v>
      </c>
      <c r="P657" s="1">
        <v>0</v>
      </c>
      <c r="Q657" s="1">
        <v>-18775000</v>
      </c>
      <c r="R657" s="1">
        <f t="shared" si="21"/>
        <v>5894252029</v>
      </c>
    </row>
    <row r="658" spans="1:18">
      <c r="A658" t="s">
        <v>665</v>
      </c>
      <c r="C658" s="3">
        <v>913060</v>
      </c>
      <c r="D658" s="3">
        <v>1689320000</v>
      </c>
      <c r="E658" s="3">
        <v>1639936050</v>
      </c>
      <c r="F658" s="3">
        <v>2472749000</v>
      </c>
      <c r="G658" s="3">
        <v>72402000</v>
      </c>
      <c r="H658" s="3">
        <v>12213218</v>
      </c>
      <c r="I658" s="3">
        <v>0</v>
      </c>
      <c r="J658" s="3">
        <v>0</v>
      </c>
      <c r="K658" s="3">
        <v>3752600</v>
      </c>
      <c r="L658" s="3">
        <f t="shared" si="20"/>
        <v>5891285928</v>
      </c>
      <c r="M658" s="1">
        <v>-1440071066</v>
      </c>
      <c r="N658" s="1">
        <v>-671887107</v>
      </c>
      <c r="O658" s="1">
        <v>-7205275</v>
      </c>
      <c r="P658" s="1">
        <v>0</v>
      </c>
      <c r="Q658" s="1">
        <v>-3752600</v>
      </c>
      <c r="R658" s="1">
        <f t="shared" si="21"/>
        <v>3768369880</v>
      </c>
    </row>
    <row r="659" spans="1:18">
      <c r="A659" t="s">
        <v>666</v>
      </c>
      <c r="C659" s="3">
        <v>1038500</v>
      </c>
      <c r="D659" s="3">
        <v>4239550000</v>
      </c>
      <c r="E659" s="3">
        <v>1762530428</v>
      </c>
      <c r="F659" s="3">
        <v>1745298750</v>
      </c>
      <c r="G659" s="3">
        <v>109700000</v>
      </c>
      <c r="H659" s="3">
        <v>45709179</v>
      </c>
      <c r="I659" s="3">
        <v>0</v>
      </c>
      <c r="J659" s="3">
        <v>0</v>
      </c>
      <c r="K659" s="3">
        <v>0</v>
      </c>
      <c r="L659" s="3">
        <f t="shared" si="20"/>
        <v>7903826857</v>
      </c>
      <c r="M659" s="1">
        <v>-1601832869</v>
      </c>
      <c r="N659" s="1">
        <v>-1189641403</v>
      </c>
      <c r="O659" s="1">
        <v>-13026250</v>
      </c>
      <c r="P659" s="1">
        <v>0</v>
      </c>
      <c r="Q659" s="1">
        <v>0</v>
      </c>
      <c r="R659" s="1">
        <f t="shared" si="21"/>
        <v>5099326335</v>
      </c>
    </row>
    <row r="660" spans="1:18">
      <c r="A660" t="s">
        <v>667</v>
      </c>
      <c r="C660" s="3">
        <v>162000</v>
      </c>
      <c r="D660" s="3">
        <v>4683580000</v>
      </c>
      <c r="E660" s="3">
        <v>3053309637</v>
      </c>
      <c r="F660" s="3">
        <v>9049530400</v>
      </c>
      <c r="G660" s="3">
        <v>119021000</v>
      </c>
      <c r="H660" s="3">
        <v>106679081</v>
      </c>
      <c r="I660" s="3">
        <v>0</v>
      </c>
      <c r="J660" s="3">
        <v>0</v>
      </c>
      <c r="K660" s="3">
        <v>243782400</v>
      </c>
      <c r="L660" s="3">
        <f t="shared" si="20"/>
        <v>17256064518</v>
      </c>
      <c r="M660" s="1">
        <v>-1953828802</v>
      </c>
      <c r="N660" s="1">
        <v>-1145548573</v>
      </c>
      <c r="O660" s="1">
        <v>-6667775</v>
      </c>
      <c r="P660" s="1">
        <v>0</v>
      </c>
      <c r="Q660" s="1">
        <v>-243782400</v>
      </c>
      <c r="R660" s="1">
        <f t="shared" si="21"/>
        <v>13906236968</v>
      </c>
    </row>
    <row r="661" spans="1:18">
      <c r="A661" t="s">
        <v>668</v>
      </c>
      <c r="C661" s="3">
        <v>5098800</v>
      </c>
      <c r="D661" s="3">
        <v>1915542000</v>
      </c>
      <c r="E661" s="3">
        <v>2034402136</v>
      </c>
      <c r="F661" s="3">
        <v>2120462000</v>
      </c>
      <c r="G661" s="3">
        <v>11280000</v>
      </c>
      <c r="H661" s="3">
        <v>11345120</v>
      </c>
      <c r="I661" s="3">
        <v>0</v>
      </c>
      <c r="J661" s="3">
        <v>7000000</v>
      </c>
      <c r="K661" s="3">
        <v>203358125</v>
      </c>
      <c r="L661" s="3">
        <f t="shared" si="20"/>
        <v>6308488181</v>
      </c>
      <c r="M661" s="1">
        <v>-1498520995</v>
      </c>
      <c r="N661" s="1">
        <v>-837613720</v>
      </c>
      <c r="O661" s="1">
        <v>-1551000</v>
      </c>
      <c r="P661" s="1">
        <v>0</v>
      </c>
      <c r="Q661" s="1">
        <v>-199825100</v>
      </c>
      <c r="R661" s="1">
        <f t="shared" si="21"/>
        <v>3770977366</v>
      </c>
    </row>
    <row r="662" spans="1:18">
      <c r="A662" t="s">
        <v>669</v>
      </c>
      <c r="C662" s="3">
        <v>2717250</v>
      </c>
      <c r="D662" s="3">
        <v>1977600000</v>
      </c>
      <c r="E662" s="3">
        <v>943623996</v>
      </c>
      <c r="F662" s="3">
        <v>2990597000</v>
      </c>
      <c r="G662" s="3">
        <v>134178000</v>
      </c>
      <c r="H662" s="3">
        <v>10901320</v>
      </c>
      <c r="I662" s="3">
        <v>0</v>
      </c>
      <c r="J662" s="3">
        <v>0</v>
      </c>
      <c r="K662" s="3">
        <v>91838577</v>
      </c>
      <c r="L662" s="3">
        <f t="shared" si="20"/>
        <v>6151456143</v>
      </c>
      <c r="M662" s="1">
        <v>-849119256</v>
      </c>
      <c r="N662" s="1">
        <v>-338934873</v>
      </c>
      <c r="O662" s="1">
        <v>-39953425</v>
      </c>
      <c r="P662" s="1">
        <v>0</v>
      </c>
      <c r="Q662" s="1">
        <v>-91523577</v>
      </c>
      <c r="R662" s="1">
        <f t="shared" si="21"/>
        <v>4831925012</v>
      </c>
    </row>
    <row r="663" spans="1:18">
      <c r="A663" t="s">
        <v>670</v>
      </c>
      <c r="C663" s="3">
        <v>1277550</v>
      </c>
      <c r="D663" s="3">
        <v>578750000</v>
      </c>
      <c r="E663" s="3">
        <v>1414932682</v>
      </c>
      <c r="F663" s="3">
        <v>2070222000</v>
      </c>
      <c r="G663" s="3">
        <v>10000000</v>
      </c>
      <c r="H663" s="3">
        <v>19451700</v>
      </c>
      <c r="I663" s="3">
        <v>0</v>
      </c>
      <c r="J663" s="3">
        <v>13000000</v>
      </c>
      <c r="K663" s="3">
        <v>32134000</v>
      </c>
      <c r="L663" s="3">
        <f t="shared" si="20"/>
        <v>4139767932</v>
      </c>
      <c r="M663" s="1">
        <v>-1212897562</v>
      </c>
      <c r="N663" s="1">
        <v>-338782892</v>
      </c>
      <c r="O663" s="1">
        <v>-875000</v>
      </c>
      <c r="P663" s="1">
        <v>0</v>
      </c>
      <c r="Q663" s="1">
        <v>-32134000</v>
      </c>
      <c r="R663" s="1">
        <f t="shared" si="21"/>
        <v>2555078478</v>
      </c>
    </row>
    <row r="664" spans="1:18">
      <c r="A664" t="s">
        <v>671</v>
      </c>
      <c r="C664" s="3">
        <v>572100</v>
      </c>
      <c r="D664" s="3">
        <v>1701250000</v>
      </c>
      <c r="E664" s="3">
        <v>1768311573</v>
      </c>
      <c r="F664" s="3">
        <v>5768216450</v>
      </c>
      <c r="G664" s="3">
        <v>0</v>
      </c>
      <c r="H664" s="3">
        <v>1379920</v>
      </c>
      <c r="I664" s="3">
        <v>0</v>
      </c>
      <c r="J664" s="3">
        <v>0</v>
      </c>
      <c r="K664" s="3">
        <v>79000</v>
      </c>
      <c r="L664" s="3">
        <f t="shared" si="20"/>
        <v>9239809043</v>
      </c>
      <c r="M664" s="1">
        <v>-1174542777</v>
      </c>
      <c r="N664" s="1">
        <v>-403540697</v>
      </c>
      <c r="O664" s="1">
        <v>0</v>
      </c>
      <c r="P664" s="1">
        <v>0</v>
      </c>
      <c r="Q664" s="1">
        <v>-79000</v>
      </c>
      <c r="R664" s="1">
        <f t="shared" si="21"/>
        <v>7661646569</v>
      </c>
    </row>
    <row r="665" spans="1:18">
      <c r="A665" t="s">
        <v>672</v>
      </c>
      <c r="C665" s="3">
        <v>1840500</v>
      </c>
      <c r="D665" s="3">
        <v>3010200000</v>
      </c>
      <c r="E665" s="3">
        <v>1415533523</v>
      </c>
      <c r="F665" s="3">
        <v>6095273000</v>
      </c>
      <c r="G665" s="3">
        <v>0</v>
      </c>
      <c r="H665" s="3">
        <v>1880620</v>
      </c>
      <c r="I665" s="3">
        <v>0</v>
      </c>
      <c r="J665" s="3">
        <v>27205000</v>
      </c>
      <c r="K665" s="3">
        <v>0</v>
      </c>
      <c r="L665" s="3">
        <f t="shared" si="20"/>
        <v>10551932643</v>
      </c>
      <c r="M665" s="1">
        <v>-1223638522</v>
      </c>
      <c r="N665" s="1">
        <v>-536839150</v>
      </c>
      <c r="O665" s="1">
        <v>0</v>
      </c>
      <c r="P665" s="1">
        <v>0</v>
      </c>
      <c r="Q665" s="1">
        <v>0</v>
      </c>
      <c r="R665" s="1">
        <f t="shared" si="21"/>
        <v>8791454971</v>
      </c>
    </row>
    <row r="666" spans="1:18">
      <c r="A666" t="s">
        <v>673</v>
      </c>
      <c r="C666" s="3">
        <v>6417000</v>
      </c>
      <c r="D666" s="3">
        <v>4561430000</v>
      </c>
      <c r="E666" s="3">
        <v>1504212323</v>
      </c>
      <c r="F666" s="3">
        <v>5831186600</v>
      </c>
      <c r="G666" s="3">
        <v>0</v>
      </c>
      <c r="H666" s="3">
        <v>2487027</v>
      </c>
      <c r="I666" s="3">
        <v>0</v>
      </c>
      <c r="J666" s="3">
        <v>0</v>
      </c>
      <c r="K666" s="3">
        <v>730000</v>
      </c>
      <c r="L666" s="3">
        <f t="shared" si="20"/>
        <v>11906462950</v>
      </c>
      <c r="M666" s="1">
        <v>-1268405645</v>
      </c>
      <c r="N666" s="1">
        <v>-576941951</v>
      </c>
      <c r="O666" s="1">
        <v>0</v>
      </c>
      <c r="P666" s="1">
        <v>0</v>
      </c>
      <c r="Q666" s="1">
        <v>-730000</v>
      </c>
      <c r="R666" s="1">
        <f t="shared" si="21"/>
        <v>10060385354</v>
      </c>
    </row>
    <row r="667" spans="1:18">
      <c r="A667" t="s">
        <v>674</v>
      </c>
      <c r="C667" s="3">
        <v>1754300</v>
      </c>
      <c r="D667" s="3">
        <v>4200970000</v>
      </c>
      <c r="E667" s="3">
        <v>1071729650</v>
      </c>
      <c r="F667" s="3">
        <v>7715112000</v>
      </c>
      <c r="G667" s="3">
        <v>27400000</v>
      </c>
      <c r="H667" s="3">
        <v>796350920</v>
      </c>
      <c r="I667" s="3">
        <v>0</v>
      </c>
      <c r="J667" s="3">
        <v>13000000</v>
      </c>
      <c r="K667" s="3">
        <v>630000</v>
      </c>
      <c r="L667" s="3">
        <f t="shared" si="20"/>
        <v>13826946870</v>
      </c>
      <c r="M667" s="1">
        <v>-937756418</v>
      </c>
      <c r="N667" s="1">
        <v>-193228905</v>
      </c>
      <c r="O667" s="1">
        <v>-2740000</v>
      </c>
      <c r="P667" s="1">
        <v>0</v>
      </c>
      <c r="Q667" s="1">
        <v>-630000</v>
      </c>
      <c r="R667" s="1">
        <f t="shared" si="21"/>
        <v>12692591547</v>
      </c>
    </row>
    <row r="668" spans="1:18">
      <c r="A668" t="s">
        <v>675</v>
      </c>
      <c r="C668" s="3">
        <v>1401900</v>
      </c>
      <c r="D668" s="3">
        <v>3351000000</v>
      </c>
      <c r="E668" s="3">
        <v>1207440748</v>
      </c>
      <c r="F668" s="3">
        <v>568397000</v>
      </c>
      <c r="G668" s="3">
        <v>98950000</v>
      </c>
      <c r="H668" s="3">
        <v>801891000</v>
      </c>
      <c r="I668" s="3">
        <v>8333812500</v>
      </c>
      <c r="J668" s="3">
        <v>0</v>
      </c>
      <c r="K668" s="3">
        <v>0</v>
      </c>
      <c r="L668" s="3">
        <f t="shared" si="20"/>
        <v>14362893148</v>
      </c>
      <c r="M668" s="1">
        <v>-952457734</v>
      </c>
      <c r="N668" s="1">
        <v>-108840200</v>
      </c>
      <c r="O668" s="1">
        <v>-32382500</v>
      </c>
      <c r="P668" s="1">
        <v>0</v>
      </c>
      <c r="Q668" s="1">
        <v>0</v>
      </c>
      <c r="R668" s="1">
        <f t="shared" si="21"/>
        <v>13269212714</v>
      </c>
    </row>
    <row r="669" spans="1:18">
      <c r="A669" t="s">
        <v>676</v>
      </c>
      <c r="C669" s="3">
        <v>1702000</v>
      </c>
      <c r="D669" s="3">
        <v>16061982000</v>
      </c>
      <c r="E669" s="3">
        <v>2053750770</v>
      </c>
      <c r="F669" s="3">
        <v>10949098370</v>
      </c>
      <c r="G669" s="3">
        <v>0</v>
      </c>
      <c r="H669" s="3">
        <v>0</v>
      </c>
      <c r="I669" s="3">
        <v>0</v>
      </c>
      <c r="J669" s="3">
        <v>91240000</v>
      </c>
      <c r="K669" s="3">
        <v>5299000</v>
      </c>
      <c r="L669" s="3">
        <f t="shared" si="20"/>
        <v>29163072140</v>
      </c>
      <c r="M669" s="1">
        <v>-1827714554</v>
      </c>
      <c r="N669" s="1">
        <v>-2196610865</v>
      </c>
      <c r="O669" s="1">
        <v>0</v>
      </c>
      <c r="P669" s="1">
        <v>0</v>
      </c>
      <c r="Q669" s="1">
        <v>-5299000</v>
      </c>
      <c r="R669" s="1">
        <f t="shared" si="21"/>
        <v>25133447721</v>
      </c>
    </row>
    <row r="670" spans="1:18">
      <c r="A670" t="s">
        <v>677</v>
      </c>
      <c r="C670" s="3">
        <v>2951000</v>
      </c>
      <c r="D670" s="3">
        <v>8026400000</v>
      </c>
      <c r="E670" s="3">
        <v>1914722598</v>
      </c>
      <c r="F670" s="3">
        <v>7490775100</v>
      </c>
      <c r="G670" s="3">
        <v>5091700</v>
      </c>
      <c r="H670" s="3">
        <v>22766620</v>
      </c>
      <c r="I670" s="3">
        <v>0</v>
      </c>
      <c r="J670" s="3">
        <v>32960000</v>
      </c>
      <c r="K670" s="3">
        <v>112169000</v>
      </c>
      <c r="L670" s="3">
        <f t="shared" si="20"/>
        <v>17607836018</v>
      </c>
      <c r="M670" s="1">
        <v>-1160975426</v>
      </c>
      <c r="N670" s="1">
        <v>-281084043</v>
      </c>
      <c r="O670" s="1">
        <v>-127293</v>
      </c>
      <c r="P670" s="1">
        <v>0</v>
      </c>
      <c r="Q670" s="1">
        <v>-108023775</v>
      </c>
      <c r="R670" s="1">
        <f t="shared" si="21"/>
        <v>16057625481</v>
      </c>
    </row>
    <row r="671" spans="1:18">
      <c r="A671" t="s">
        <v>678</v>
      </c>
      <c r="C671" s="3">
        <v>205900</v>
      </c>
      <c r="D671" s="3">
        <v>0</v>
      </c>
      <c r="E671" s="3">
        <v>1553892674</v>
      </c>
      <c r="F671" s="3">
        <v>0</v>
      </c>
      <c r="G671" s="3">
        <v>0</v>
      </c>
      <c r="H671" s="3">
        <v>32350000</v>
      </c>
      <c r="I671" s="3">
        <v>0</v>
      </c>
      <c r="J671" s="3">
        <v>74250000</v>
      </c>
      <c r="K671" s="3">
        <v>30146484</v>
      </c>
      <c r="L671" s="3">
        <f t="shared" si="20"/>
        <v>1690845058</v>
      </c>
      <c r="M671" s="1">
        <v>-1381235234</v>
      </c>
      <c r="N671" s="1">
        <v>0</v>
      </c>
      <c r="O671" s="1">
        <v>0</v>
      </c>
      <c r="P671" s="1">
        <v>0</v>
      </c>
      <c r="Q671" s="1">
        <v>-30146484</v>
      </c>
      <c r="R671" s="1">
        <f t="shared" si="21"/>
        <v>279463340</v>
      </c>
    </row>
    <row r="672" spans="1:18">
      <c r="A672" t="s">
        <v>679</v>
      </c>
      <c r="C672" s="3">
        <v>4383950</v>
      </c>
      <c r="D672" s="3">
        <v>13540063000</v>
      </c>
      <c r="E672" s="3">
        <v>3571835609</v>
      </c>
      <c r="F672" s="3">
        <v>15657414700</v>
      </c>
      <c r="G672" s="3">
        <v>0</v>
      </c>
      <c r="H672" s="3">
        <v>1943440</v>
      </c>
      <c r="I672" s="3">
        <v>0</v>
      </c>
      <c r="J672" s="3">
        <v>0</v>
      </c>
      <c r="K672" s="3">
        <v>12610800</v>
      </c>
      <c r="L672" s="3">
        <f t="shared" si="20"/>
        <v>32788251499</v>
      </c>
      <c r="M672" s="1">
        <v>-2655482306</v>
      </c>
      <c r="N672" s="1">
        <v>-1546599731</v>
      </c>
      <c r="O672" s="1">
        <v>0</v>
      </c>
      <c r="P672" s="1">
        <v>0</v>
      </c>
      <c r="Q672" s="1">
        <v>-12610800</v>
      </c>
      <c r="R672" s="1">
        <f t="shared" si="21"/>
        <v>28573558662</v>
      </c>
    </row>
    <row r="673" spans="1:18">
      <c r="A673" t="s">
        <v>680</v>
      </c>
      <c r="C673" s="3">
        <v>572000</v>
      </c>
      <c r="D673" s="3">
        <v>1611770000</v>
      </c>
      <c r="E673" s="3">
        <v>2339472015</v>
      </c>
      <c r="F673" s="3">
        <v>8330386819</v>
      </c>
      <c r="G673" s="3">
        <v>96301000</v>
      </c>
      <c r="H673" s="3">
        <v>75283854</v>
      </c>
      <c r="I673" s="3">
        <v>0</v>
      </c>
      <c r="J673" s="3">
        <v>0</v>
      </c>
      <c r="K673" s="3">
        <v>297190732</v>
      </c>
      <c r="L673" s="3">
        <f t="shared" si="20"/>
        <v>12750976420</v>
      </c>
      <c r="M673" s="1">
        <v>-1457654758</v>
      </c>
      <c r="N673" s="1">
        <v>-672039385</v>
      </c>
      <c r="O673" s="1">
        <v>-2192600</v>
      </c>
      <c r="P673" s="1">
        <v>0</v>
      </c>
      <c r="Q673" s="1">
        <v>-297190732</v>
      </c>
      <c r="R673" s="1">
        <f t="shared" si="21"/>
        <v>10321898945</v>
      </c>
    </row>
    <row r="674" spans="1:18">
      <c r="A674" t="s">
        <v>681</v>
      </c>
      <c r="C674" s="3">
        <v>6018500</v>
      </c>
      <c r="D674" s="3">
        <v>5629832000</v>
      </c>
      <c r="E674" s="3">
        <v>2127353718</v>
      </c>
      <c r="F674" s="3">
        <v>10716311650</v>
      </c>
      <c r="G674" s="3">
        <v>0</v>
      </c>
      <c r="H674" s="3">
        <v>9954692</v>
      </c>
      <c r="I674" s="3">
        <v>0</v>
      </c>
      <c r="J674" s="3">
        <v>0</v>
      </c>
      <c r="K674" s="3">
        <v>121669750</v>
      </c>
      <c r="L674" s="3">
        <f t="shared" si="20"/>
        <v>18611140310</v>
      </c>
      <c r="M674" s="1">
        <v>-1405088667</v>
      </c>
      <c r="N674" s="1">
        <v>-1594240223</v>
      </c>
      <c r="O674" s="1">
        <v>0</v>
      </c>
      <c r="P674" s="1">
        <v>0</v>
      </c>
      <c r="Q674" s="1">
        <v>-121669750</v>
      </c>
      <c r="R674" s="1">
        <f t="shared" si="21"/>
        <v>15490141670</v>
      </c>
    </row>
    <row r="675" spans="1:18">
      <c r="A675" t="s">
        <v>682</v>
      </c>
      <c r="C675" s="3">
        <v>3796500</v>
      </c>
      <c r="D675" s="3">
        <v>4395180000</v>
      </c>
      <c r="E675" s="3">
        <v>3077655817</v>
      </c>
      <c r="F675" s="3">
        <v>5621268653</v>
      </c>
      <c r="G675" s="3">
        <v>14955000</v>
      </c>
      <c r="H675" s="3">
        <v>2608840</v>
      </c>
      <c r="I675" s="3">
        <v>0</v>
      </c>
      <c r="J675" s="3">
        <v>0</v>
      </c>
      <c r="K675" s="3">
        <v>14075900</v>
      </c>
      <c r="L675" s="3">
        <f t="shared" si="20"/>
        <v>13129540710</v>
      </c>
      <c r="M675" s="1">
        <v>-2675485810</v>
      </c>
      <c r="N675" s="1">
        <v>-1826954561</v>
      </c>
      <c r="O675" s="1">
        <v>-1121625</v>
      </c>
      <c r="P675" s="1">
        <v>0</v>
      </c>
      <c r="Q675" s="1">
        <v>-14075900</v>
      </c>
      <c r="R675" s="1">
        <f t="shared" si="21"/>
        <v>8611902814</v>
      </c>
    </row>
    <row r="676" spans="1:18">
      <c r="A676" t="s">
        <v>683</v>
      </c>
      <c r="C676" s="3">
        <v>4188070</v>
      </c>
      <c r="D676" s="3">
        <v>3412228000</v>
      </c>
      <c r="E676" s="3">
        <v>1999320206</v>
      </c>
      <c r="F676" s="3">
        <v>7646924955</v>
      </c>
      <c r="G676" s="3">
        <v>0</v>
      </c>
      <c r="H676" s="3">
        <v>47666880</v>
      </c>
      <c r="I676" s="3">
        <v>0</v>
      </c>
      <c r="J676" s="3">
        <v>0</v>
      </c>
      <c r="K676" s="3">
        <v>72403000</v>
      </c>
      <c r="L676" s="3">
        <f t="shared" si="20"/>
        <v>13182731111</v>
      </c>
      <c r="M676" s="1">
        <v>-1528268296</v>
      </c>
      <c r="N676" s="1">
        <v>-2037279569</v>
      </c>
      <c r="O676" s="1">
        <v>0</v>
      </c>
      <c r="P676" s="1">
        <v>0</v>
      </c>
      <c r="Q676" s="1">
        <v>-72403000</v>
      </c>
      <c r="R676" s="1">
        <f t="shared" si="21"/>
        <v>9544780246</v>
      </c>
    </row>
    <row r="677" spans="1:18">
      <c r="A677" t="s">
        <v>684</v>
      </c>
      <c r="C677" s="3">
        <v>4508778</v>
      </c>
      <c r="D677" s="3">
        <v>4987141000</v>
      </c>
      <c r="E677" s="3">
        <v>2559901734</v>
      </c>
      <c r="F677" s="3">
        <v>11820354100</v>
      </c>
      <c r="G677" s="3">
        <v>245199500</v>
      </c>
      <c r="H677" s="3">
        <v>11281840</v>
      </c>
      <c r="I677" s="3">
        <v>0</v>
      </c>
      <c r="J677" s="3">
        <v>14080000</v>
      </c>
      <c r="K677" s="3">
        <v>301566000</v>
      </c>
      <c r="L677" s="3">
        <f t="shared" si="20"/>
        <v>19944032952</v>
      </c>
      <c r="M677" s="1">
        <v>-1756535623</v>
      </c>
      <c r="N677" s="1">
        <v>-1137601395</v>
      </c>
      <c r="O677" s="1">
        <v>-5386177</v>
      </c>
      <c r="P677" s="1">
        <v>0</v>
      </c>
      <c r="Q677" s="1">
        <v>-301566000</v>
      </c>
      <c r="R677" s="1">
        <f t="shared" si="21"/>
        <v>16742943757</v>
      </c>
    </row>
    <row r="678" spans="1:18">
      <c r="A678" t="s">
        <v>685</v>
      </c>
      <c r="C678" s="3">
        <v>5946750</v>
      </c>
      <c r="D678" s="3">
        <v>1250000000</v>
      </c>
      <c r="E678" s="3">
        <v>2561553185</v>
      </c>
      <c r="F678" s="3">
        <v>7142900000</v>
      </c>
      <c r="G678" s="3">
        <v>74995000</v>
      </c>
      <c r="H678" s="3">
        <v>12580420</v>
      </c>
      <c r="I678" s="3">
        <v>0</v>
      </c>
      <c r="J678" s="3">
        <v>0</v>
      </c>
      <c r="K678" s="3">
        <v>3150000</v>
      </c>
      <c r="L678" s="3">
        <f t="shared" si="20"/>
        <v>11051125355</v>
      </c>
      <c r="M678" s="1">
        <v>-2306153950</v>
      </c>
      <c r="N678" s="1">
        <v>-1142058245</v>
      </c>
      <c r="O678" s="1">
        <v>-10311750</v>
      </c>
      <c r="P678" s="1">
        <v>0</v>
      </c>
      <c r="Q678" s="1">
        <v>-3150000</v>
      </c>
      <c r="R678" s="1">
        <f t="shared" si="21"/>
        <v>7589451410</v>
      </c>
    </row>
    <row r="679" spans="1:18">
      <c r="A679" t="s">
        <v>686</v>
      </c>
      <c r="C679" s="3">
        <v>8026750</v>
      </c>
      <c r="D679" s="3">
        <v>1680662000</v>
      </c>
      <c r="E679" s="3">
        <v>1182903720</v>
      </c>
      <c r="F679" s="3">
        <v>4156879000</v>
      </c>
      <c r="G679" s="3">
        <v>0</v>
      </c>
      <c r="H679" s="3">
        <v>4436600</v>
      </c>
      <c r="I679" s="3">
        <v>3175109500</v>
      </c>
      <c r="J679" s="3">
        <v>0</v>
      </c>
      <c r="K679" s="3">
        <v>165494200</v>
      </c>
      <c r="L679" s="3">
        <f t="shared" si="20"/>
        <v>10373511770</v>
      </c>
      <c r="M679" s="1">
        <v>-960603600</v>
      </c>
      <c r="N679" s="1">
        <v>-803180230</v>
      </c>
      <c r="O679" s="1">
        <v>0</v>
      </c>
      <c r="P679" s="1">
        <v>0</v>
      </c>
      <c r="Q679" s="1">
        <v>-140881200</v>
      </c>
      <c r="R679" s="1">
        <f t="shared" si="21"/>
        <v>8468846740</v>
      </c>
    </row>
    <row r="680" spans="1:18">
      <c r="A680" t="s">
        <v>687</v>
      </c>
      <c r="C680" s="3">
        <v>14119000</v>
      </c>
      <c r="D680" s="3">
        <v>783625000</v>
      </c>
      <c r="E680" s="3">
        <v>2337004034</v>
      </c>
      <c r="F680" s="3">
        <v>3345785000</v>
      </c>
      <c r="G680" s="3">
        <v>81452800</v>
      </c>
      <c r="H680" s="3">
        <v>38141596</v>
      </c>
      <c r="I680" s="3">
        <v>0</v>
      </c>
      <c r="J680" s="3">
        <v>18815000</v>
      </c>
      <c r="K680" s="3">
        <v>15100000</v>
      </c>
      <c r="L680" s="3">
        <f t="shared" si="20"/>
        <v>6634042430</v>
      </c>
      <c r="M680" s="1">
        <v>-1686436476</v>
      </c>
      <c r="N680" s="1">
        <v>-530330700</v>
      </c>
      <c r="O680" s="1">
        <v>-14287710</v>
      </c>
      <c r="P680" s="1">
        <v>0</v>
      </c>
      <c r="Q680" s="1">
        <v>-15100000</v>
      </c>
      <c r="R680" s="1">
        <f t="shared" si="21"/>
        <v>4387887544</v>
      </c>
    </row>
    <row r="681" spans="1:18">
      <c r="A681" t="s">
        <v>688</v>
      </c>
      <c r="C681" s="3">
        <v>3518800</v>
      </c>
      <c r="D681" s="3">
        <v>1764811102</v>
      </c>
      <c r="E681" s="3">
        <v>2477093611</v>
      </c>
      <c r="F681" s="3">
        <v>7799897800</v>
      </c>
      <c r="G681" s="3">
        <v>26500000</v>
      </c>
      <c r="H681" s="3">
        <v>48365200</v>
      </c>
      <c r="I681" s="3">
        <v>0</v>
      </c>
      <c r="J681" s="3">
        <v>15000000</v>
      </c>
      <c r="K681" s="3">
        <v>0</v>
      </c>
      <c r="L681" s="3">
        <f t="shared" si="20"/>
        <v>12135186513</v>
      </c>
      <c r="M681" s="1">
        <v>-1818791139</v>
      </c>
      <c r="N681" s="1">
        <v>-745071589</v>
      </c>
      <c r="O681" s="1">
        <v>-4637500</v>
      </c>
      <c r="P681" s="1">
        <v>0</v>
      </c>
      <c r="Q681" s="1">
        <v>0</v>
      </c>
      <c r="R681" s="1">
        <f t="shared" si="21"/>
        <v>9566686285</v>
      </c>
    </row>
    <row r="682" spans="1:18">
      <c r="A682" t="s">
        <v>689</v>
      </c>
      <c r="C682" s="3">
        <v>275000</v>
      </c>
      <c r="D682" s="3">
        <v>582760000</v>
      </c>
      <c r="E682" s="3">
        <v>1963992942</v>
      </c>
      <c r="F682" s="3">
        <v>4342408040</v>
      </c>
      <c r="G682" s="3">
        <v>46904200</v>
      </c>
      <c r="H682" s="3">
        <v>4489720</v>
      </c>
      <c r="I682" s="3">
        <v>0</v>
      </c>
      <c r="J682" s="3">
        <v>12100000</v>
      </c>
      <c r="K682" s="3">
        <v>0</v>
      </c>
      <c r="L682" s="3">
        <f t="shared" si="20"/>
        <v>6952929902</v>
      </c>
      <c r="M682" s="1">
        <v>-1510151749</v>
      </c>
      <c r="N682" s="1">
        <v>-507524228</v>
      </c>
      <c r="O682" s="1">
        <v>-12441470</v>
      </c>
      <c r="P682" s="1">
        <v>0</v>
      </c>
      <c r="Q682" s="1">
        <v>0</v>
      </c>
      <c r="R682" s="1">
        <f t="shared" si="21"/>
        <v>4922812455</v>
      </c>
    </row>
    <row r="683" spans="1:18">
      <c r="A683" t="s">
        <v>690</v>
      </c>
      <c r="C683" s="3">
        <v>3315390</v>
      </c>
      <c r="D683" s="3">
        <v>551000000</v>
      </c>
      <c r="E683" s="3">
        <v>1441923778</v>
      </c>
      <c r="F683" s="3">
        <v>2507679090</v>
      </c>
      <c r="G683" s="3">
        <v>0</v>
      </c>
      <c r="H683" s="3">
        <v>1851688</v>
      </c>
      <c r="I683" s="3">
        <v>0</v>
      </c>
      <c r="J683" s="3">
        <v>0</v>
      </c>
      <c r="K683" s="3">
        <v>0</v>
      </c>
      <c r="L683" s="3">
        <f t="shared" si="20"/>
        <v>4505769946</v>
      </c>
      <c r="M683" s="1">
        <v>-1095501565</v>
      </c>
      <c r="N683" s="1">
        <v>-424365447</v>
      </c>
      <c r="O683" s="1">
        <v>0</v>
      </c>
      <c r="P683" s="1">
        <v>0</v>
      </c>
      <c r="Q683" s="1">
        <v>0</v>
      </c>
      <c r="R683" s="1">
        <f t="shared" si="21"/>
        <v>2985902934</v>
      </c>
    </row>
    <row r="684" spans="1:18">
      <c r="A684" t="s">
        <v>691</v>
      </c>
      <c r="C684" s="3">
        <v>39537932</v>
      </c>
      <c r="D684" s="3">
        <v>11253020000</v>
      </c>
      <c r="E684" s="3">
        <v>3963752836</v>
      </c>
      <c r="F684" s="3">
        <v>8857244161</v>
      </c>
      <c r="G684" s="3">
        <v>29903500</v>
      </c>
      <c r="H684" s="3">
        <v>9624118</v>
      </c>
      <c r="I684" s="3">
        <v>0</v>
      </c>
      <c r="J684" s="3">
        <v>291920000</v>
      </c>
      <c r="K684" s="3">
        <v>17695000</v>
      </c>
      <c r="L684" s="3">
        <f t="shared" si="20"/>
        <v>24462697547</v>
      </c>
      <c r="M684" s="1">
        <v>-3292682723</v>
      </c>
      <c r="N684" s="1">
        <v>-1610026998</v>
      </c>
      <c r="O684" s="1">
        <v>-747588</v>
      </c>
      <c r="P684" s="1">
        <v>0</v>
      </c>
      <c r="Q684" s="1">
        <v>-17695000</v>
      </c>
      <c r="R684" s="1">
        <f t="shared" si="21"/>
        <v>19541545238</v>
      </c>
    </row>
    <row r="685" spans="1:18">
      <c r="A685" t="s">
        <v>692</v>
      </c>
      <c r="C685" s="3">
        <v>27587125</v>
      </c>
      <c r="D685" s="3">
        <v>6153014000</v>
      </c>
      <c r="E685" s="3">
        <v>4393875303</v>
      </c>
      <c r="F685" s="3">
        <v>7357234273</v>
      </c>
      <c r="G685" s="3">
        <v>0</v>
      </c>
      <c r="H685" s="3">
        <v>127028585</v>
      </c>
      <c r="I685" s="3">
        <v>0</v>
      </c>
      <c r="J685" s="3">
        <v>121003000</v>
      </c>
      <c r="K685" s="3">
        <v>30870000</v>
      </c>
      <c r="L685" s="3">
        <f t="shared" si="20"/>
        <v>18210612286</v>
      </c>
      <c r="M685" s="1">
        <v>-3660544630</v>
      </c>
      <c r="N685" s="1">
        <v>-1399164230</v>
      </c>
      <c r="O685" s="1">
        <v>0</v>
      </c>
      <c r="P685" s="1">
        <v>0</v>
      </c>
      <c r="Q685" s="1">
        <v>-6620000</v>
      </c>
      <c r="R685" s="1">
        <f t="shared" si="21"/>
        <v>13144283426</v>
      </c>
    </row>
    <row r="686" spans="1:18">
      <c r="A686" t="s">
        <v>693</v>
      </c>
      <c r="C686" s="3">
        <v>2258745</v>
      </c>
      <c r="D686" s="3">
        <v>1671600000</v>
      </c>
      <c r="E686" s="3">
        <v>1543583720</v>
      </c>
      <c r="F686" s="3">
        <v>5951646835</v>
      </c>
      <c r="G686" s="3">
        <v>4400000</v>
      </c>
      <c r="H686" s="3">
        <v>12140400</v>
      </c>
      <c r="I686" s="3">
        <v>0</v>
      </c>
      <c r="J686" s="3">
        <v>134807530</v>
      </c>
      <c r="K686" s="3">
        <v>160280000</v>
      </c>
      <c r="L686" s="3">
        <f t="shared" si="20"/>
        <v>9480717230</v>
      </c>
      <c r="M686" s="1">
        <v>-1286914503</v>
      </c>
      <c r="N686" s="1">
        <v>-868291215</v>
      </c>
      <c r="O686" s="1">
        <v>-2200000</v>
      </c>
      <c r="P686" s="1">
        <v>0</v>
      </c>
      <c r="Q686" s="1">
        <v>-159895000</v>
      </c>
      <c r="R686" s="1">
        <f t="shared" si="21"/>
        <v>7163416512</v>
      </c>
    </row>
    <row r="687" spans="1:18">
      <c r="A687" t="s">
        <v>694</v>
      </c>
      <c r="C687" s="3">
        <v>991555</v>
      </c>
      <c r="D687" s="3">
        <v>1167777000</v>
      </c>
      <c r="E687" s="3">
        <v>1196091586</v>
      </c>
      <c r="F687" s="3">
        <v>5288519425</v>
      </c>
      <c r="G687" s="3">
        <v>0</v>
      </c>
      <c r="H687" s="3">
        <v>3176000</v>
      </c>
      <c r="I687" s="3">
        <v>0</v>
      </c>
      <c r="J687" s="3">
        <v>0</v>
      </c>
      <c r="K687" s="3">
        <v>0</v>
      </c>
      <c r="L687" s="3">
        <f t="shared" si="20"/>
        <v>7656555566</v>
      </c>
      <c r="M687" s="1">
        <v>-1071724895</v>
      </c>
      <c r="N687" s="1">
        <v>-429289667</v>
      </c>
      <c r="O687" s="1">
        <v>0</v>
      </c>
      <c r="P687" s="1">
        <v>0</v>
      </c>
      <c r="Q687" s="1">
        <v>0</v>
      </c>
      <c r="R687" s="1">
        <f t="shared" si="21"/>
        <v>6155541004</v>
      </c>
    </row>
    <row r="688" spans="1:18">
      <c r="A688" t="s">
        <v>695</v>
      </c>
      <c r="C688" s="3">
        <v>328600</v>
      </c>
      <c r="D688" s="3">
        <v>1512952000</v>
      </c>
      <c r="E688" s="3">
        <v>1429838000</v>
      </c>
      <c r="F688" s="3">
        <v>0</v>
      </c>
      <c r="G688" s="3">
        <v>0</v>
      </c>
      <c r="H688" s="3">
        <v>408000</v>
      </c>
      <c r="I688" s="3">
        <v>7882542200</v>
      </c>
      <c r="J688" s="3">
        <v>0</v>
      </c>
      <c r="K688" s="3">
        <v>7920000</v>
      </c>
      <c r="L688" s="3">
        <f t="shared" si="20"/>
        <v>10833988800</v>
      </c>
      <c r="M688" s="1">
        <v>-479181113</v>
      </c>
      <c r="N688" s="1">
        <v>0</v>
      </c>
      <c r="O688" s="1">
        <v>0</v>
      </c>
      <c r="P688" s="1">
        <v>0</v>
      </c>
      <c r="Q688" s="1">
        <v>-7920000</v>
      </c>
      <c r="R688" s="1">
        <f t="shared" si="21"/>
        <v>10346887687</v>
      </c>
    </row>
    <row r="689" spans="1:18">
      <c r="A689" t="s">
        <v>696</v>
      </c>
      <c r="C689" s="3">
        <v>0</v>
      </c>
      <c r="D689" s="3">
        <v>29155241820</v>
      </c>
      <c r="E689" s="3">
        <v>4279058372</v>
      </c>
      <c r="F689" s="3">
        <v>17613511083</v>
      </c>
      <c r="G689" s="3">
        <v>46855000</v>
      </c>
      <c r="H689" s="3">
        <v>27143440</v>
      </c>
      <c r="I689" s="3">
        <v>0</v>
      </c>
      <c r="J689" s="3">
        <v>9757000</v>
      </c>
      <c r="K689" s="3">
        <v>177876200</v>
      </c>
      <c r="L689" s="3">
        <f t="shared" si="20"/>
        <v>51309442915</v>
      </c>
      <c r="M689" s="1">
        <v>-3228672185</v>
      </c>
      <c r="N689" s="1">
        <v>-1211253088</v>
      </c>
      <c r="O689" s="1">
        <v>-17023194</v>
      </c>
      <c r="P689" s="1">
        <v>0</v>
      </c>
      <c r="Q689" s="1">
        <v>-42908071</v>
      </c>
      <c r="R689" s="1">
        <f t="shared" si="21"/>
        <v>46809586377</v>
      </c>
    </row>
    <row r="690" spans="1:18">
      <c r="A690" t="s">
        <v>697</v>
      </c>
      <c r="C690" s="3">
        <v>0</v>
      </c>
      <c r="D690" s="3">
        <v>3333268000</v>
      </c>
      <c r="E690" s="3">
        <v>1571284629</v>
      </c>
      <c r="F690" s="3">
        <v>10458188456</v>
      </c>
      <c r="G690" s="3">
        <v>104725000</v>
      </c>
      <c r="H690" s="3">
        <v>3718440</v>
      </c>
      <c r="I690" s="3">
        <v>0</v>
      </c>
      <c r="J690" s="3">
        <v>0</v>
      </c>
      <c r="K690" s="3">
        <v>59871311</v>
      </c>
      <c r="L690" s="3">
        <f t="shared" si="20"/>
        <v>15531055836</v>
      </c>
      <c r="M690" s="1">
        <v>-1445338192</v>
      </c>
      <c r="N690" s="1">
        <v>-1903564947</v>
      </c>
      <c r="O690" s="1">
        <v>-37258750</v>
      </c>
      <c r="P690" s="1">
        <v>0</v>
      </c>
      <c r="Q690" s="1">
        <v>-59871311</v>
      </c>
      <c r="R690" s="1">
        <f t="shared" si="21"/>
        <v>12085022636</v>
      </c>
    </row>
    <row r="691" spans="1:18">
      <c r="A691" t="s">
        <v>698</v>
      </c>
      <c r="C691" s="3">
        <v>6547000</v>
      </c>
      <c r="D691" s="3">
        <v>366540000</v>
      </c>
      <c r="E691" s="3">
        <v>1246232609</v>
      </c>
      <c r="F691" s="3">
        <v>3075589999</v>
      </c>
      <c r="G691" s="3">
        <v>0</v>
      </c>
      <c r="H691" s="3">
        <v>5787440</v>
      </c>
      <c r="I691" s="3">
        <v>0</v>
      </c>
      <c r="J691" s="3">
        <v>34000000</v>
      </c>
      <c r="K691" s="3">
        <v>970000</v>
      </c>
      <c r="L691" s="3">
        <f t="shared" si="20"/>
        <v>4735667048</v>
      </c>
      <c r="M691" s="1">
        <v>-1111822174</v>
      </c>
      <c r="N691" s="1">
        <v>-905786363</v>
      </c>
      <c r="O691" s="1">
        <v>0</v>
      </c>
      <c r="P691" s="1">
        <v>0</v>
      </c>
      <c r="Q691" s="1">
        <v>-970000</v>
      </c>
      <c r="R691" s="1">
        <f t="shared" si="21"/>
        <v>2717088511</v>
      </c>
    </row>
    <row r="692" spans="1:18">
      <c r="A692" t="s">
        <v>699</v>
      </c>
      <c r="C692" s="3">
        <v>131000</v>
      </c>
      <c r="D692" s="3">
        <v>372624000</v>
      </c>
      <c r="E692" s="3">
        <v>1449611543</v>
      </c>
      <c r="F692" s="3">
        <v>2313674000</v>
      </c>
      <c r="G692" s="3">
        <v>0</v>
      </c>
      <c r="H692" s="3">
        <v>4159368</v>
      </c>
      <c r="I692" s="3">
        <v>0</v>
      </c>
      <c r="J692" s="3">
        <v>0</v>
      </c>
      <c r="K692" s="3">
        <v>9295000</v>
      </c>
      <c r="L692" s="3">
        <f t="shared" si="20"/>
        <v>4149494911</v>
      </c>
      <c r="M692" s="1">
        <v>-1146042830</v>
      </c>
      <c r="N692" s="1">
        <v>-616906579</v>
      </c>
      <c r="O692" s="1">
        <v>0</v>
      </c>
      <c r="P692" s="1">
        <v>0</v>
      </c>
      <c r="Q692" s="1">
        <v>-9295000</v>
      </c>
      <c r="R692" s="1">
        <f t="shared" si="21"/>
        <v>2377250502</v>
      </c>
    </row>
    <row r="693" spans="1:18">
      <c r="A693" t="s">
        <v>700</v>
      </c>
      <c r="C693" s="3">
        <v>535000</v>
      </c>
      <c r="D693" s="3">
        <v>20729955000</v>
      </c>
      <c r="E693" s="3">
        <v>2157789556</v>
      </c>
      <c r="F693" s="3">
        <v>3834491080</v>
      </c>
      <c r="G693" s="3">
        <v>50000000</v>
      </c>
      <c r="H693" s="3">
        <v>109776964</v>
      </c>
      <c r="I693" s="3">
        <v>0</v>
      </c>
      <c r="J693" s="3">
        <v>0</v>
      </c>
      <c r="K693" s="3">
        <v>0</v>
      </c>
      <c r="L693" s="3">
        <f t="shared" si="20"/>
        <v>26882547600</v>
      </c>
      <c r="M693" s="1">
        <v>-1700668445</v>
      </c>
      <c r="N693" s="1">
        <v>-1043742211</v>
      </c>
      <c r="O693" s="1">
        <v>-10000000</v>
      </c>
      <c r="P693" s="1">
        <v>0</v>
      </c>
      <c r="Q693" s="1">
        <v>0</v>
      </c>
      <c r="R693" s="1">
        <f t="shared" si="21"/>
        <v>24128136944</v>
      </c>
    </row>
    <row r="694" spans="1:18">
      <c r="A694" t="s">
        <v>701</v>
      </c>
      <c r="C694" s="3">
        <v>7380500</v>
      </c>
      <c r="D694" s="3">
        <v>782832282</v>
      </c>
      <c r="E694" s="3">
        <v>1514983063</v>
      </c>
      <c r="F694" s="3">
        <v>12457319000</v>
      </c>
      <c r="G694" s="3">
        <v>122494000</v>
      </c>
      <c r="H694" s="3">
        <v>24455738</v>
      </c>
      <c r="I694" s="3">
        <v>0</v>
      </c>
      <c r="J694" s="3">
        <v>0</v>
      </c>
      <c r="K694" s="3">
        <v>192983000</v>
      </c>
      <c r="L694" s="3">
        <f t="shared" si="20"/>
        <v>15102447583</v>
      </c>
      <c r="M694" s="1">
        <v>-1239022090</v>
      </c>
      <c r="N694" s="1">
        <v>-903269562</v>
      </c>
      <c r="O694" s="1">
        <v>-57233911</v>
      </c>
      <c r="P694" s="1">
        <v>0</v>
      </c>
      <c r="Q694" s="1">
        <v>-50875256</v>
      </c>
      <c r="R694" s="1">
        <f t="shared" si="21"/>
        <v>12852046764</v>
      </c>
    </row>
    <row r="695" spans="1:18">
      <c r="A695" t="s">
        <v>702</v>
      </c>
      <c r="C695" s="3">
        <v>0</v>
      </c>
      <c r="D695" s="3">
        <v>5075535000</v>
      </c>
      <c r="E695" s="3">
        <v>1467678209</v>
      </c>
      <c r="F695" s="3">
        <v>4023881303</v>
      </c>
      <c r="G695" s="3">
        <v>0</v>
      </c>
      <c r="H695" s="3">
        <v>71412118</v>
      </c>
      <c r="I695" s="3">
        <v>0</v>
      </c>
      <c r="J695" s="3">
        <v>0</v>
      </c>
      <c r="K695" s="3">
        <v>71902243</v>
      </c>
      <c r="L695" s="3">
        <f t="shared" si="20"/>
        <v>10710408873</v>
      </c>
      <c r="M695" s="1">
        <v>-1383199993</v>
      </c>
      <c r="N695" s="1">
        <v>-620920425</v>
      </c>
      <c r="O695" s="1">
        <v>0</v>
      </c>
      <c r="P695" s="1">
        <v>0</v>
      </c>
      <c r="Q695" s="1">
        <v>-71902243</v>
      </c>
      <c r="R695" s="1">
        <f t="shared" si="21"/>
        <v>8634386212</v>
      </c>
    </row>
    <row r="696" spans="1:18">
      <c r="A696" t="s">
        <v>703</v>
      </c>
      <c r="C696" s="3">
        <v>487500</v>
      </c>
      <c r="D696" s="3">
        <v>432384000</v>
      </c>
      <c r="E696" s="3">
        <v>2206938862</v>
      </c>
      <c r="F696" s="3">
        <v>10792056500</v>
      </c>
      <c r="G696" s="3">
        <v>65325000</v>
      </c>
      <c r="H696" s="3">
        <v>4626840</v>
      </c>
      <c r="I696" s="3">
        <v>0</v>
      </c>
      <c r="J696" s="3">
        <v>0</v>
      </c>
      <c r="K696" s="3">
        <v>2640000</v>
      </c>
      <c r="L696" s="3">
        <f t="shared" si="20"/>
        <v>13504458702</v>
      </c>
      <c r="M696" s="1">
        <v>-2151521468</v>
      </c>
      <c r="N696" s="1">
        <v>-1866535488</v>
      </c>
      <c r="O696" s="1">
        <v>-65325000</v>
      </c>
      <c r="P696" s="1">
        <v>0</v>
      </c>
      <c r="Q696" s="1">
        <v>-1952500</v>
      </c>
      <c r="R696" s="1">
        <f t="shared" si="21"/>
        <v>9419124246</v>
      </c>
    </row>
    <row r="697" spans="1:18">
      <c r="A697" t="s">
        <v>704</v>
      </c>
      <c r="C697" s="3">
        <v>52500</v>
      </c>
      <c r="D697" s="3">
        <v>2074200000</v>
      </c>
      <c r="E697" s="3">
        <v>774673432</v>
      </c>
      <c r="F697" s="3">
        <v>1005345000</v>
      </c>
      <c r="G697" s="3">
        <v>28974000</v>
      </c>
      <c r="H697" s="3">
        <v>46151000</v>
      </c>
      <c r="I697" s="3">
        <v>0</v>
      </c>
      <c r="J697" s="3">
        <v>0</v>
      </c>
      <c r="K697" s="3">
        <v>233194857</v>
      </c>
      <c r="L697" s="3">
        <f t="shared" si="20"/>
        <v>4162590789</v>
      </c>
      <c r="M697" s="1">
        <v>-515942439</v>
      </c>
      <c r="N697" s="1">
        <v>-220669820</v>
      </c>
      <c r="O697" s="1">
        <v>-3259575</v>
      </c>
      <c r="P697" s="1">
        <v>0</v>
      </c>
      <c r="Q697" s="1">
        <v>-233194857</v>
      </c>
      <c r="R697" s="1">
        <f t="shared" si="21"/>
        <v>3189524098</v>
      </c>
    </row>
    <row r="698" spans="1:18">
      <c r="A698" t="s">
        <v>705</v>
      </c>
      <c r="C698" s="3">
        <v>1858388</v>
      </c>
      <c r="D698" s="3">
        <v>1909191000</v>
      </c>
      <c r="E698" s="3">
        <v>2145917201</v>
      </c>
      <c r="F698" s="3">
        <v>8556456594</v>
      </c>
      <c r="G698" s="3">
        <v>0</v>
      </c>
      <c r="H698" s="3">
        <v>2902770</v>
      </c>
      <c r="I698" s="3">
        <v>0</v>
      </c>
      <c r="J698" s="3">
        <v>0</v>
      </c>
      <c r="K698" s="3">
        <v>56617120</v>
      </c>
      <c r="L698" s="3">
        <f t="shared" si="20"/>
        <v>12672943073</v>
      </c>
      <c r="M698" s="1">
        <v>-1921897498</v>
      </c>
      <c r="N698" s="1">
        <v>-1157962079</v>
      </c>
      <c r="O698" s="1">
        <v>0</v>
      </c>
      <c r="P698" s="1">
        <v>0</v>
      </c>
      <c r="Q698" s="1">
        <v>-56617120</v>
      </c>
      <c r="R698" s="1">
        <f t="shared" si="21"/>
        <v>9536466376</v>
      </c>
    </row>
    <row r="699" spans="1:18">
      <c r="A699" t="s">
        <v>706</v>
      </c>
      <c r="C699" s="3">
        <v>0</v>
      </c>
      <c r="D699" s="3">
        <v>951450000</v>
      </c>
      <c r="E699" s="3">
        <v>1367218002</v>
      </c>
      <c r="F699" s="3">
        <v>7024569150</v>
      </c>
      <c r="G699" s="3">
        <v>18999000</v>
      </c>
      <c r="H699" s="3">
        <v>50373000</v>
      </c>
      <c r="I699" s="3">
        <v>0</v>
      </c>
      <c r="J699" s="3">
        <v>0</v>
      </c>
      <c r="K699" s="3">
        <v>92865722</v>
      </c>
      <c r="L699" s="3">
        <f t="shared" si="20"/>
        <v>9505474874</v>
      </c>
      <c r="M699" s="1">
        <v>-1086233635</v>
      </c>
      <c r="N699" s="1">
        <v>-328233912</v>
      </c>
      <c r="O699" s="1">
        <v>-1074950</v>
      </c>
      <c r="P699" s="1">
        <v>-11243750</v>
      </c>
      <c r="Q699" s="1">
        <v>-91379488</v>
      </c>
      <c r="R699" s="1">
        <f t="shared" si="21"/>
        <v>7987309139</v>
      </c>
    </row>
    <row r="700" spans="1:18">
      <c r="A700" t="s">
        <v>707</v>
      </c>
      <c r="C700" s="3">
        <v>2710000</v>
      </c>
      <c r="D700" s="3">
        <v>2080945000</v>
      </c>
      <c r="E700" s="3">
        <v>1776232287</v>
      </c>
      <c r="F700" s="3">
        <v>7374571700</v>
      </c>
      <c r="G700" s="3">
        <v>8940910</v>
      </c>
      <c r="H700" s="3">
        <v>34664870</v>
      </c>
      <c r="I700" s="3">
        <v>0</v>
      </c>
      <c r="J700" s="3">
        <v>0</v>
      </c>
      <c r="K700" s="3">
        <v>10854000</v>
      </c>
      <c r="L700" s="3">
        <f t="shared" si="20"/>
        <v>11288918767</v>
      </c>
      <c r="M700" s="1">
        <v>-1257289950</v>
      </c>
      <c r="N700" s="1">
        <v>-333899413</v>
      </c>
      <c r="O700" s="1">
        <v>-1937195</v>
      </c>
      <c r="P700" s="1">
        <v>0</v>
      </c>
      <c r="Q700" s="1">
        <v>-10854000</v>
      </c>
      <c r="R700" s="1">
        <f t="shared" si="21"/>
        <v>9684938209</v>
      </c>
    </row>
    <row r="701" spans="1:18">
      <c r="A701" t="s">
        <v>708</v>
      </c>
      <c r="C701" s="3">
        <v>0</v>
      </c>
      <c r="D701" s="3">
        <v>1170232000</v>
      </c>
      <c r="E701" s="3">
        <v>1357832241</v>
      </c>
      <c r="F701" s="3">
        <v>5724742312</v>
      </c>
      <c r="G701" s="3">
        <v>41497500</v>
      </c>
      <c r="H701" s="3">
        <v>18646320</v>
      </c>
      <c r="I701" s="3">
        <v>0</v>
      </c>
      <c r="J701" s="3">
        <v>0</v>
      </c>
      <c r="K701" s="3">
        <v>1225000</v>
      </c>
      <c r="L701" s="3">
        <f t="shared" si="20"/>
        <v>8314175373</v>
      </c>
      <c r="M701" s="1">
        <v>-1019079013</v>
      </c>
      <c r="N701" s="1">
        <v>-791518892</v>
      </c>
      <c r="O701" s="1">
        <v>-3631033</v>
      </c>
      <c r="P701" s="1">
        <v>0</v>
      </c>
      <c r="Q701" s="1">
        <v>0</v>
      </c>
      <c r="R701" s="1">
        <f t="shared" si="21"/>
        <v>6499946435</v>
      </c>
    </row>
    <row r="702" spans="1:18">
      <c r="A702" t="s">
        <v>709</v>
      </c>
      <c r="C702" s="3">
        <v>316500</v>
      </c>
      <c r="D702" s="3">
        <v>2323460386</v>
      </c>
      <c r="E702" s="3">
        <v>1469828993</v>
      </c>
      <c r="F702" s="3">
        <v>1999229380</v>
      </c>
      <c r="G702" s="3">
        <v>0</v>
      </c>
      <c r="H702" s="3">
        <v>320529818</v>
      </c>
      <c r="I702" s="3">
        <v>0</v>
      </c>
      <c r="J702" s="3">
        <v>0</v>
      </c>
      <c r="K702" s="3">
        <v>5597000</v>
      </c>
      <c r="L702" s="3">
        <f t="shared" si="20"/>
        <v>6118962077</v>
      </c>
      <c r="M702" s="1">
        <v>-1406434183</v>
      </c>
      <c r="N702" s="1">
        <v>-415093955</v>
      </c>
      <c r="O702" s="1">
        <v>0</v>
      </c>
      <c r="P702" s="1">
        <v>0</v>
      </c>
      <c r="Q702" s="1">
        <v>-5597000</v>
      </c>
      <c r="R702" s="1">
        <f t="shared" si="21"/>
        <v>4291836939</v>
      </c>
    </row>
    <row r="703" spans="1:18">
      <c r="A703" t="s">
        <v>710</v>
      </c>
      <c r="C703" s="3">
        <v>125000</v>
      </c>
      <c r="D703" s="3">
        <v>2462830000</v>
      </c>
      <c r="E703" s="3">
        <v>1669533722</v>
      </c>
      <c r="F703" s="3">
        <v>1262748000</v>
      </c>
      <c r="G703" s="3">
        <v>300000</v>
      </c>
      <c r="H703" s="3">
        <v>23519490</v>
      </c>
      <c r="I703" s="3">
        <v>0</v>
      </c>
      <c r="J703" s="3">
        <v>0</v>
      </c>
      <c r="K703" s="3">
        <v>0</v>
      </c>
      <c r="L703" s="3">
        <f t="shared" si="20"/>
        <v>5419056212</v>
      </c>
      <c r="M703" s="1">
        <v>-1505319274</v>
      </c>
      <c r="N703" s="1">
        <v>-241981756</v>
      </c>
      <c r="O703" s="1">
        <v>-51000</v>
      </c>
      <c r="P703" s="1">
        <v>0</v>
      </c>
      <c r="Q703" s="1">
        <v>0</v>
      </c>
      <c r="R703" s="1">
        <f t="shared" si="21"/>
        <v>3671704182</v>
      </c>
    </row>
    <row r="704" spans="1:18">
      <c r="A704" t="s">
        <v>711</v>
      </c>
      <c r="C704" s="3">
        <v>11263300</v>
      </c>
      <c r="D704" s="3">
        <v>7868667000</v>
      </c>
      <c r="E704" s="3">
        <v>1301637809</v>
      </c>
      <c r="F704" s="3">
        <v>3461471000</v>
      </c>
      <c r="G704" s="3">
        <v>30390000</v>
      </c>
      <c r="H704" s="3">
        <v>23443440</v>
      </c>
      <c r="I704" s="3">
        <v>0</v>
      </c>
      <c r="J704" s="3">
        <v>14830000</v>
      </c>
      <c r="K704" s="3">
        <v>2794000</v>
      </c>
      <c r="L704" s="3">
        <f t="shared" si="20"/>
        <v>12714496549</v>
      </c>
      <c r="M704" s="1">
        <v>-1184076531</v>
      </c>
      <c r="N704" s="1">
        <v>-2152230460</v>
      </c>
      <c r="O704" s="1">
        <v>-15195000</v>
      </c>
      <c r="P704" s="1">
        <v>0</v>
      </c>
      <c r="Q704" s="1">
        <v>-2794000</v>
      </c>
      <c r="R704" s="1">
        <f t="shared" si="21"/>
        <v>9360200558</v>
      </c>
    </row>
    <row r="705" spans="1:18">
      <c r="A705" t="s">
        <v>712</v>
      </c>
      <c r="C705" s="3">
        <v>17153000</v>
      </c>
      <c r="D705" s="3">
        <v>239885925</v>
      </c>
      <c r="E705" s="3">
        <v>1246776574</v>
      </c>
      <c r="F705" s="3">
        <v>2556514000</v>
      </c>
      <c r="G705" s="3">
        <v>96400000</v>
      </c>
      <c r="H705" s="3">
        <v>24738440</v>
      </c>
      <c r="I705" s="3">
        <v>7435042492</v>
      </c>
      <c r="J705" s="3">
        <v>0</v>
      </c>
      <c r="K705" s="3">
        <v>374545754</v>
      </c>
      <c r="L705" s="3">
        <f t="shared" si="20"/>
        <v>11991056185</v>
      </c>
      <c r="M705" s="1">
        <v>-1143715796</v>
      </c>
      <c r="N705" s="1">
        <v>-657314923</v>
      </c>
      <c r="O705" s="1">
        <v>-8435000</v>
      </c>
      <c r="P705" s="1">
        <v>0</v>
      </c>
      <c r="Q705" s="1">
        <v>-374545754</v>
      </c>
      <c r="R705" s="1">
        <f t="shared" si="21"/>
        <v>9807044712</v>
      </c>
    </row>
    <row r="706" spans="1:18">
      <c r="A706" t="s">
        <v>713</v>
      </c>
      <c r="C706" s="3">
        <v>20813060</v>
      </c>
      <c r="D706" s="3">
        <v>10133488000</v>
      </c>
      <c r="E706" s="3">
        <v>3910196839</v>
      </c>
      <c r="F706" s="3">
        <v>10855678555</v>
      </c>
      <c r="G706" s="3">
        <v>536016464</v>
      </c>
      <c r="H706" s="3">
        <v>8580940</v>
      </c>
      <c r="I706" s="3">
        <v>0</v>
      </c>
      <c r="J706" s="3">
        <v>0</v>
      </c>
      <c r="K706" s="3">
        <v>0</v>
      </c>
      <c r="L706" s="3">
        <f t="shared" si="20"/>
        <v>25464773858</v>
      </c>
      <c r="M706" s="1">
        <v>-3471110829</v>
      </c>
      <c r="N706" s="1">
        <v>-2049819632</v>
      </c>
      <c r="O706" s="1">
        <v>-321431770</v>
      </c>
      <c r="P706" s="1">
        <v>-6637500</v>
      </c>
      <c r="Q706" s="1">
        <v>0</v>
      </c>
      <c r="R706" s="1">
        <f t="shared" si="21"/>
        <v>19615774127</v>
      </c>
    </row>
    <row r="707" spans="1:18">
      <c r="A707" t="s">
        <v>714</v>
      </c>
      <c r="C707" s="3">
        <v>25000</v>
      </c>
      <c r="D707" s="3">
        <v>1031100000</v>
      </c>
      <c r="E707" s="3">
        <v>764534007</v>
      </c>
      <c r="F707" s="3">
        <v>764745000</v>
      </c>
      <c r="G707" s="3">
        <v>27165000</v>
      </c>
      <c r="H707" s="3">
        <v>74704370</v>
      </c>
      <c r="I707" s="3">
        <v>0</v>
      </c>
      <c r="J707" s="3">
        <v>21800000</v>
      </c>
      <c r="K707" s="3">
        <v>7404750</v>
      </c>
      <c r="L707" s="3">
        <f t="shared" ref="L707:L770" si="22">SUM(C707:K707)</f>
        <v>2691478127</v>
      </c>
      <c r="M707" s="1">
        <v>-683123229</v>
      </c>
      <c r="N707" s="1">
        <v>-109055031</v>
      </c>
      <c r="O707" s="1">
        <v>-5916063</v>
      </c>
      <c r="P707" s="1">
        <v>0</v>
      </c>
      <c r="Q707" s="1">
        <v>-7404750</v>
      </c>
      <c r="R707" s="1">
        <f t="shared" ref="R707:R770" si="23">SUM(L707:Q707)</f>
        <v>1885979054</v>
      </c>
    </row>
    <row r="708" spans="1:18">
      <c r="A708" t="s">
        <v>715</v>
      </c>
      <c r="C708" s="3">
        <v>1860000</v>
      </c>
      <c r="D708" s="3">
        <v>1165640000</v>
      </c>
      <c r="E708" s="3">
        <v>1023766564</v>
      </c>
      <c r="F708" s="3">
        <v>9540313243</v>
      </c>
      <c r="G708" s="3">
        <v>0</v>
      </c>
      <c r="H708" s="3">
        <v>22937762</v>
      </c>
      <c r="I708" s="3">
        <v>0</v>
      </c>
      <c r="J708" s="3">
        <v>2000000</v>
      </c>
      <c r="K708" s="3">
        <v>155480857</v>
      </c>
      <c r="L708" s="3">
        <f t="shared" si="22"/>
        <v>11911998426</v>
      </c>
      <c r="M708" s="1">
        <v>-865172359</v>
      </c>
      <c r="N708" s="1">
        <v>-219774090</v>
      </c>
      <c r="O708" s="1">
        <v>0</v>
      </c>
      <c r="P708" s="1">
        <v>0</v>
      </c>
      <c r="Q708" s="1">
        <v>-155480857</v>
      </c>
      <c r="R708" s="1">
        <f t="shared" si="23"/>
        <v>10671571120</v>
      </c>
    </row>
    <row r="709" spans="1:18">
      <c r="A709" t="s">
        <v>716</v>
      </c>
      <c r="C709" s="3">
        <v>147800</v>
      </c>
      <c r="D709" s="3">
        <v>1008750000</v>
      </c>
      <c r="E709" s="3">
        <v>1103569376</v>
      </c>
      <c r="F709" s="3">
        <v>476365000</v>
      </c>
      <c r="G709" s="3">
        <v>37590400</v>
      </c>
      <c r="H709" s="3">
        <v>1964870</v>
      </c>
      <c r="I709" s="3">
        <v>0</v>
      </c>
      <c r="J709" s="3">
        <v>0</v>
      </c>
      <c r="K709" s="3">
        <v>38534858</v>
      </c>
      <c r="L709" s="3">
        <f t="shared" si="22"/>
        <v>2666922304</v>
      </c>
      <c r="M709" s="1">
        <v>-944337969</v>
      </c>
      <c r="N709" s="1">
        <v>-151701350</v>
      </c>
      <c r="O709" s="1">
        <v>-5535050</v>
      </c>
      <c r="P709" s="1">
        <v>0</v>
      </c>
      <c r="Q709" s="1">
        <v>-38208921</v>
      </c>
      <c r="R709" s="1">
        <f t="shared" si="23"/>
        <v>1527139014</v>
      </c>
    </row>
    <row r="710" spans="1:18">
      <c r="A710" t="s">
        <v>717</v>
      </c>
      <c r="C710" s="3">
        <v>38500</v>
      </c>
      <c r="D710" s="3">
        <v>1207315000</v>
      </c>
      <c r="E710" s="3">
        <v>1873528699</v>
      </c>
      <c r="F710" s="3">
        <v>9144526025</v>
      </c>
      <c r="G710" s="3">
        <v>207000</v>
      </c>
      <c r="H710" s="3">
        <v>17479805</v>
      </c>
      <c r="I710" s="3">
        <v>0</v>
      </c>
      <c r="J710" s="3">
        <v>0</v>
      </c>
      <c r="K710" s="3">
        <v>9871000</v>
      </c>
      <c r="L710" s="3">
        <f t="shared" si="22"/>
        <v>12252966029</v>
      </c>
      <c r="M710" s="1">
        <v>-1346013968</v>
      </c>
      <c r="N710" s="1">
        <v>-337928152</v>
      </c>
      <c r="O710" s="1">
        <v>-71159</v>
      </c>
      <c r="P710" s="1">
        <v>-14797830</v>
      </c>
      <c r="Q710" s="1">
        <v>-9871000</v>
      </c>
      <c r="R710" s="1">
        <f t="shared" si="23"/>
        <v>10544283920</v>
      </c>
    </row>
    <row r="711" spans="1:18">
      <c r="A711" t="s">
        <v>718</v>
      </c>
      <c r="C711" s="3">
        <v>0</v>
      </c>
      <c r="D711" s="3">
        <v>282653000</v>
      </c>
      <c r="E711" s="3">
        <v>1082335400</v>
      </c>
      <c r="F711" s="3">
        <v>729132800</v>
      </c>
      <c r="G711" s="3">
        <v>0</v>
      </c>
      <c r="H711" s="3">
        <v>3955870</v>
      </c>
      <c r="I711" s="3">
        <v>0</v>
      </c>
      <c r="J711" s="3">
        <v>0</v>
      </c>
      <c r="K711" s="3">
        <v>168500</v>
      </c>
      <c r="L711" s="3">
        <f t="shared" si="22"/>
        <v>2098245570</v>
      </c>
      <c r="M711" s="1">
        <v>-932043437</v>
      </c>
      <c r="N711" s="1">
        <v>-129959119</v>
      </c>
      <c r="O711" s="1">
        <v>0</v>
      </c>
      <c r="P711" s="1">
        <v>0</v>
      </c>
      <c r="Q711" s="1">
        <v>-168500</v>
      </c>
      <c r="R711" s="1">
        <f t="shared" si="23"/>
        <v>1036074514</v>
      </c>
    </row>
    <row r="712" spans="1:18">
      <c r="A712" t="s">
        <v>719</v>
      </c>
      <c r="C712" s="3">
        <v>910000</v>
      </c>
      <c r="D712" s="3">
        <v>941223920</v>
      </c>
      <c r="E712" s="3">
        <v>778998312</v>
      </c>
      <c r="F712" s="3">
        <v>779054000</v>
      </c>
      <c r="G712" s="3">
        <v>7692000</v>
      </c>
      <c r="H712" s="3">
        <v>8914070</v>
      </c>
      <c r="I712" s="3">
        <v>0</v>
      </c>
      <c r="J712" s="3">
        <v>13000000</v>
      </c>
      <c r="K712" s="3">
        <v>17447000</v>
      </c>
      <c r="L712" s="3">
        <f t="shared" si="22"/>
        <v>2547239302</v>
      </c>
      <c r="M712" s="1">
        <v>-732625034</v>
      </c>
      <c r="N712" s="1">
        <v>-81941198</v>
      </c>
      <c r="O712" s="1">
        <v>-1442250</v>
      </c>
      <c r="P712" s="1">
        <v>0</v>
      </c>
      <c r="Q712" s="1">
        <v>-17447000</v>
      </c>
      <c r="R712" s="1">
        <f t="shared" si="23"/>
        <v>1713783820</v>
      </c>
    </row>
    <row r="713" spans="1:18">
      <c r="A713" t="s">
        <v>720</v>
      </c>
      <c r="C713" s="3">
        <v>291000</v>
      </c>
      <c r="D713" s="3">
        <v>907216000</v>
      </c>
      <c r="E713" s="3">
        <v>2159232756</v>
      </c>
      <c r="F713" s="3">
        <v>8496345641</v>
      </c>
      <c r="G713" s="3">
        <v>0</v>
      </c>
      <c r="H713" s="3">
        <v>24474870</v>
      </c>
      <c r="I713" s="3">
        <v>0</v>
      </c>
      <c r="J713" s="3">
        <v>0</v>
      </c>
      <c r="K713" s="3">
        <v>20822000</v>
      </c>
      <c r="L713" s="3">
        <f t="shared" si="22"/>
        <v>11608382267</v>
      </c>
      <c r="M713" s="1">
        <v>-1337069991</v>
      </c>
      <c r="N713" s="1">
        <v>-572374161</v>
      </c>
      <c r="O713" s="1">
        <v>0</v>
      </c>
      <c r="P713" s="1">
        <v>0</v>
      </c>
      <c r="Q713" s="1">
        <v>-20822000</v>
      </c>
      <c r="R713" s="1">
        <f t="shared" si="23"/>
        <v>9678116115</v>
      </c>
    </row>
    <row r="714" spans="1:18">
      <c r="A714" t="s">
        <v>721</v>
      </c>
      <c r="C714" s="3">
        <v>436000</v>
      </c>
      <c r="D714" s="3">
        <v>177250000</v>
      </c>
      <c r="E714" s="3">
        <v>1442436747</v>
      </c>
      <c r="F714" s="3">
        <v>7218443000</v>
      </c>
      <c r="G714" s="3">
        <v>118242251</v>
      </c>
      <c r="H714" s="3">
        <v>1943440</v>
      </c>
      <c r="I714" s="3">
        <v>0</v>
      </c>
      <c r="J714" s="3">
        <v>0</v>
      </c>
      <c r="K714" s="3">
        <v>84878303</v>
      </c>
      <c r="L714" s="3">
        <f t="shared" si="22"/>
        <v>9043629741</v>
      </c>
      <c r="M714" s="1">
        <v>-1019808917</v>
      </c>
      <c r="N714" s="1">
        <v>-1098415995</v>
      </c>
      <c r="O714" s="1">
        <v>-10927495</v>
      </c>
      <c r="P714" s="1">
        <v>0</v>
      </c>
      <c r="Q714" s="1">
        <v>-75005978</v>
      </c>
      <c r="R714" s="1">
        <f t="shared" si="23"/>
        <v>6839471356</v>
      </c>
    </row>
    <row r="715" spans="1:18">
      <c r="A715" t="s">
        <v>722</v>
      </c>
      <c r="C715" s="3">
        <v>3865100</v>
      </c>
      <c r="D715" s="3">
        <v>1404233860</v>
      </c>
      <c r="E715" s="3">
        <v>2453223841</v>
      </c>
      <c r="F715" s="3">
        <v>6201028713</v>
      </c>
      <c r="G715" s="3">
        <v>320580499</v>
      </c>
      <c r="H715" s="3">
        <v>16743940</v>
      </c>
      <c r="I715" s="3">
        <v>0</v>
      </c>
      <c r="J715" s="3">
        <v>0</v>
      </c>
      <c r="K715" s="3">
        <v>950000</v>
      </c>
      <c r="L715" s="3">
        <f t="shared" si="22"/>
        <v>10400625953</v>
      </c>
      <c r="M715" s="1">
        <v>-2057532121</v>
      </c>
      <c r="N715" s="1">
        <v>-975369943</v>
      </c>
      <c r="O715" s="1">
        <v>-50581676</v>
      </c>
      <c r="P715" s="1">
        <v>-14800500</v>
      </c>
      <c r="Q715" s="1">
        <v>-950000</v>
      </c>
      <c r="R715" s="1">
        <f t="shared" si="23"/>
        <v>7301391713</v>
      </c>
    </row>
    <row r="716" spans="1:18">
      <c r="A716" t="s">
        <v>723</v>
      </c>
      <c r="C716" s="3">
        <v>0</v>
      </c>
      <c r="D716" s="3">
        <v>1073100000</v>
      </c>
      <c r="E716" s="3">
        <v>2122990443</v>
      </c>
      <c r="F716" s="3">
        <v>8634728270</v>
      </c>
      <c r="G716" s="3">
        <v>204303332</v>
      </c>
      <c r="H716" s="3">
        <v>52182750</v>
      </c>
      <c r="I716" s="3">
        <v>0</v>
      </c>
      <c r="J716" s="3">
        <v>0</v>
      </c>
      <c r="K716" s="3">
        <v>81179456</v>
      </c>
      <c r="L716" s="3">
        <f t="shared" si="22"/>
        <v>12168484251</v>
      </c>
      <c r="M716" s="1">
        <v>-1820264329</v>
      </c>
      <c r="N716" s="1">
        <v>-1075132083</v>
      </c>
      <c r="O716" s="1">
        <v>-75730743</v>
      </c>
      <c r="P716" s="1">
        <v>0</v>
      </c>
      <c r="Q716" s="1">
        <v>-81179456</v>
      </c>
      <c r="R716" s="1">
        <f t="shared" si="23"/>
        <v>9116177640</v>
      </c>
    </row>
    <row r="717" spans="1:18">
      <c r="A717" t="s">
        <v>724</v>
      </c>
      <c r="C717" s="3">
        <v>18075355</v>
      </c>
      <c r="D717" s="3">
        <v>3748676000</v>
      </c>
      <c r="E717" s="3">
        <v>3169411573</v>
      </c>
      <c r="F717" s="3">
        <v>8850369706</v>
      </c>
      <c r="G717" s="3">
        <v>52021000</v>
      </c>
      <c r="H717" s="3">
        <v>13900680</v>
      </c>
      <c r="I717" s="3">
        <v>0</v>
      </c>
      <c r="J717" s="3">
        <v>13200000</v>
      </c>
      <c r="K717" s="3">
        <v>65528000</v>
      </c>
      <c r="L717" s="3">
        <f t="shared" si="22"/>
        <v>15931182314</v>
      </c>
      <c r="M717" s="1">
        <v>-2876571260</v>
      </c>
      <c r="N717" s="1">
        <v>-1289071368</v>
      </c>
      <c r="O717" s="1">
        <v>-10983500</v>
      </c>
      <c r="P717" s="1">
        <v>-5000000</v>
      </c>
      <c r="Q717" s="1">
        <v>-65528000</v>
      </c>
      <c r="R717" s="1">
        <f t="shared" si="23"/>
        <v>11684028186</v>
      </c>
    </row>
    <row r="718" spans="1:18">
      <c r="A718" t="s">
        <v>725</v>
      </c>
      <c r="C718" s="3">
        <v>526000</v>
      </c>
      <c r="D718" s="3">
        <v>452450000</v>
      </c>
      <c r="E718" s="3">
        <v>1330792833</v>
      </c>
      <c r="F718" s="3">
        <v>6950769000</v>
      </c>
      <c r="G718" s="3">
        <v>6800000</v>
      </c>
      <c r="H718" s="3">
        <v>23662070</v>
      </c>
      <c r="I718" s="3">
        <v>0</v>
      </c>
      <c r="J718" s="3">
        <v>0</v>
      </c>
      <c r="K718" s="3">
        <v>107862000</v>
      </c>
      <c r="L718" s="3">
        <f t="shared" si="22"/>
        <v>8872861903</v>
      </c>
      <c r="M718" s="1">
        <v>-1000622089</v>
      </c>
      <c r="N718" s="1">
        <v>-971684049</v>
      </c>
      <c r="O718" s="1">
        <v>-1066660</v>
      </c>
      <c r="P718" s="1">
        <v>-7109375</v>
      </c>
      <c r="Q718" s="1">
        <v>-107704500</v>
      </c>
      <c r="R718" s="1">
        <f t="shared" si="23"/>
        <v>6784675230</v>
      </c>
    </row>
    <row r="719" spans="1:18">
      <c r="A719" t="s">
        <v>726</v>
      </c>
      <c r="C719" s="3">
        <v>0</v>
      </c>
      <c r="D719" s="3">
        <v>1000000000</v>
      </c>
      <c r="E719" s="3">
        <v>2886298152</v>
      </c>
      <c r="F719" s="3">
        <v>7495130000</v>
      </c>
      <c r="G719" s="3">
        <v>145720000</v>
      </c>
      <c r="H719" s="3">
        <v>0</v>
      </c>
      <c r="I719" s="3">
        <v>0</v>
      </c>
      <c r="J719" s="3">
        <v>0</v>
      </c>
      <c r="K719" s="3">
        <v>222679719</v>
      </c>
      <c r="L719" s="3">
        <f t="shared" si="22"/>
        <v>11749827871</v>
      </c>
      <c r="M719" s="1">
        <v>-2122974519</v>
      </c>
      <c r="N719" s="1">
        <v>-824464300</v>
      </c>
      <c r="O719" s="1">
        <v>-77656770</v>
      </c>
      <c r="P719" s="1">
        <v>0</v>
      </c>
      <c r="Q719" s="1">
        <v>-222679719</v>
      </c>
      <c r="R719" s="1">
        <f t="shared" si="23"/>
        <v>8502052563</v>
      </c>
    </row>
    <row r="720" spans="1:18">
      <c r="A720" t="s">
        <v>727</v>
      </c>
      <c r="C720" s="3">
        <v>1260032</v>
      </c>
      <c r="D720" s="3">
        <v>740270000</v>
      </c>
      <c r="E720" s="3">
        <v>949932190</v>
      </c>
      <c r="F720" s="3">
        <v>6500130198</v>
      </c>
      <c r="G720" s="3">
        <v>0</v>
      </c>
      <c r="H720" s="3">
        <v>2530400</v>
      </c>
      <c r="I720" s="3">
        <v>639469000</v>
      </c>
      <c r="J720" s="3">
        <v>0</v>
      </c>
      <c r="K720" s="3">
        <v>0</v>
      </c>
      <c r="L720" s="3">
        <f t="shared" si="22"/>
        <v>8833591820</v>
      </c>
      <c r="M720" s="1">
        <v>-688710071</v>
      </c>
      <c r="N720" s="1">
        <v>-472385844</v>
      </c>
      <c r="O720" s="1">
        <v>0</v>
      </c>
      <c r="P720" s="1">
        <v>0</v>
      </c>
      <c r="Q720" s="1">
        <v>0</v>
      </c>
      <c r="R720" s="1">
        <f t="shared" si="23"/>
        <v>7672495905</v>
      </c>
    </row>
    <row r="721" spans="1:18">
      <c r="A721" t="s">
        <v>728</v>
      </c>
      <c r="C721" s="3">
        <v>2316600</v>
      </c>
      <c r="D721" s="3">
        <v>0</v>
      </c>
      <c r="E721" s="3">
        <v>2452299500</v>
      </c>
      <c r="F721" s="3">
        <v>6849827900</v>
      </c>
      <c r="G721" s="3">
        <v>35625000</v>
      </c>
      <c r="H721" s="3">
        <v>0</v>
      </c>
      <c r="I721" s="3">
        <v>0</v>
      </c>
      <c r="J721" s="3">
        <v>0</v>
      </c>
      <c r="K721" s="3">
        <v>0</v>
      </c>
      <c r="L721" s="3">
        <f t="shared" si="22"/>
        <v>9340069000</v>
      </c>
      <c r="M721" s="1">
        <v>-1244013055</v>
      </c>
      <c r="N721" s="1">
        <v>-475378055</v>
      </c>
      <c r="O721" s="1">
        <v>-2226563</v>
      </c>
      <c r="P721" s="1">
        <v>0</v>
      </c>
      <c r="Q721" s="1">
        <v>0</v>
      </c>
      <c r="R721" s="1">
        <f t="shared" si="23"/>
        <v>7618451327</v>
      </c>
    </row>
    <row r="722" spans="1:18">
      <c r="A722" t="s">
        <v>729</v>
      </c>
      <c r="C722" s="3">
        <v>407000</v>
      </c>
      <c r="D722" s="3">
        <v>1004500000</v>
      </c>
      <c r="E722" s="3">
        <v>748315300</v>
      </c>
      <c r="F722" s="3">
        <v>9901279316</v>
      </c>
      <c r="G722" s="3">
        <v>0</v>
      </c>
      <c r="H722" s="3">
        <v>1512570</v>
      </c>
      <c r="I722" s="3">
        <v>0</v>
      </c>
      <c r="J722" s="3">
        <v>0</v>
      </c>
      <c r="K722" s="3">
        <v>12500000</v>
      </c>
      <c r="L722" s="3">
        <f t="shared" si="22"/>
        <v>11668514186</v>
      </c>
      <c r="M722" s="1">
        <v>-447644492</v>
      </c>
      <c r="N722" s="1">
        <v>-105538893</v>
      </c>
      <c r="O722" s="1">
        <v>0</v>
      </c>
      <c r="P722" s="1">
        <v>0</v>
      </c>
      <c r="Q722" s="1">
        <v>-12500000</v>
      </c>
      <c r="R722" s="1">
        <f t="shared" si="23"/>
        <v>11102830801</v>
      </c>
    </row>
    <row r="723" spans="1:18">
      <c r="A723" t="s">
        <v>730</v>
      </c>
      <c r="C723" s="3">
        <v>2525465</v>
      </c>
      <c r="D723" s="3">
        <v>2736775000</v>
      </c>
      <c r="E723" s="3">
        <v>4517854021</v>
      </c>
      <c r="F723" s="3">
        <v>17590253640</v>
      </c>
      <c r="G723" s="3">
        <v>124167970</v>
      </c>
      <c r="H723" s="3">
        <v>9228465</v>
      </c>
      <c r="I723" s="3">
        <v>11610076100</v>
      </c>
      <c r="J723" s="3">
        <v>0</v>
      </c>
      <c r="K723" s="3">
        <v>375099000</v>
      </c>
      <c r="L723" s="3">
        <f t="shared" si="22"/>
        <v>36965979661</v>
      </c>
      <c r="M723" s="1">
        <v>-4194190289</v>
      </c>
      <c r="N723" s="1">
        <v>-4381889832</v>
      </c>
      <c r="O723" s="1">
        <v>-22417721</v>
      </c>
      <c r="P723" s="1">
        <v>0</v>
      </c>
      <c r="Q723" s="1">
        <v>-374036500</v>
      </c>
      <c r="R723" s="1">
        <f t="shared" si="23"/>
        <v>27993445319</v>
      </c>
    </row>
    <row r="724" spans="1:18">
      <c r="A724" t="s">
        <v>731</v>
      </c>
      <c r="C724" s="3">
        <v>36485080</v>
      </c>
      <c r="D724" s="3">
        <v>2978118000</v>
      </c>
      <c r="E724" s="3">
        <v>4100148284</v>
      </c>
      <c r="F724" s="3">
        <v>12685004600</v>
      </c>
      <c r="G724" s="3">
        <v>19020965</v>
      </c>
      <c r="H724" s="3">
        <v>7923603</v>
      </c>
      <c r="I724" s="3">
        <v>4472783100</v>
      </c>
      <c r="J724" s="3">
        <v>0</v>
      </c>
      <c r="K724" s="3">
        <v>354088450</v>
      </c>
      <c r="L724" s="3">
        <f t="shared" si="22"/>
        <v>24653572082</v>
      </c>
      <c r="M724" s="1">
        <v>-3057469463</v>
      </c>
      <c r="N724" s="1">
        <v>-1486578521</v>
      </c>
      <c r="O724" s="1">
        <v>-19020965</v>
      </c>
      <c r="P724" s="1">
        <v>0</v>
      </c>
      <c r="Q724" s="1">
        <v>-159219505</v>
      </c>
      <c r="R724" s="1">
        <f t="shared" si="23"/>
        <v>19931283628</v>
      </c>
    </row>
    <row r="725" spans="1:18">
      <c r="A725" t="s">
        <v>732</v>
      </c>
      <c r="C725" s="3">
        <v>10181000</v>
      </c>
      <c r="D725" s="3">
        <v>2043800000</v>
      </c>
      <c r="E725" s="3">
        <v>1652426628</v>
      </c>
      <c r="F725" s="3">
        <v>23770161163</v>
      </c>
      <c r="G725" s="3">
        <v>25000000</v>
      </c>
      <c r="H725" s="3">
        <v>2328463</v>
      </c>
      <c r="I725" s="3">
        <v>0</v>
      </c>
      <c r="J725" s="3">
        <v>100000000</v>
      </c>
      <c r="K725" s="3">
        <v>655831000</v>
      </c>
      <c r="L725" s="3">
        <f t="shared" si="22"/>
        <v>28259728254</v>
      </c>
      <c r="M725" s="1">
        <v>-940422634</v>
      </c>
      <c r="N725" s="1">
        <v>-2721003435</v>
      </c>
      <c r="O725" s="1">
        <v>-25000000</v>
      </c>
      <c r="P725" s="1">
        <v>0</v>
      </c>
      <c r="Q725" s="1">
        <v>-651071014</v>
      </c>
      <c r="R725" s="1">
        <f t="shared" si="23"/>
        <v>23922231171</v>
      </c>
    </row>
    <row r="726" spans="1:18">
      <c r="A726" t="s">
        <v>733</v>
      </c>
      <c r="C726" s="3">
        <v>4333000</v>
      </c>
      <c r="D726" s="3">
        <v>8087750000</v>
      </c>
      <c r="E726" s="3">
        <v>1273227500</v>
      </c>
      <c r="F726" s="3">
        <v>21792621595</v>
      </c>
      <c r="G726" s="3">
        <v>149575000</v>
      </c>
      <c r="H726" s="3">
        <v>7943440</v>
      </c>
      <c r="I726" s="3">
        <v>0</v>
      </c>
      <c r="J726" s="3">
        <v>0</v>
      </c>
      <c r="K726" s="3">
        <v>10834578</v>
      </c>
      <c r="L726" s="3">
        <f t="shared" si="22"/>
        <v>31326285113</v>
      </c>
      <c r="M726" s="1">
        <v>-1105465747</v>
      </c>
      <c r="N726" s="1">
        <v>-8771997933</v>
      </c>
      <c r="O726" s="1">
        <v>-48611875</v>
      </c>
      <c r="P726" s="1">
        <v>0</v>
      </c>
      <c r="Q726" s="1">
        <v>-10834578</v>
      </c>
      <c r="R726" s="1">
        <f t="shared" si="23"/>
        <v>21389374980</v>
      </c>
    </row>
    <row r="727" spans="1:18">
      <c r="A727" t="s">
        <v>734</v>
      </c>
      <c r="C727" s="3">
        <v>0</v>
      </c>
      <c r="D727" s="3">
        <v>685395000</v>
      </c>
      <c r="E727" s="3">
        <v>1496341918</v>
      </c>
      <c r="F727" s="3">
        <v>13089454000</v>
      </c>
      <c r="G727" s="3">
        <v>0</v>
      </c>
      <c r="H727" s="3">
        <v>1943440</v>
      </c>
      <c r="I727" s="3">
        <v>0</v>
      </c>
      <c r="J727" s="3">
        <v>0</v>
      </c>
      <c r="K727" s="3">
        <v>0</v>
      </c>
      <c r="L727" s="3">
        <f t="shared" si="22"/>
        <v>15273134358</v>
      </c>
      <c r="M727" s="1">
        <v>-1207062513</v>
      </c>
      <c r="N727" s="1">
        <v>-5411237060</v>
      </c>
      <c r="O727" s="1">
        <v>0</v>
      </c>
      <c r="P727" s="1">
        <v>0</v>
      </c>
      <c r="Q727" s="1">
        <v>0</v>
      </c>
      <c r="R727" s="1">
        <f t="shared" si="23"/>
        <v>8654834785</v>
      </c>
    </row>
    <row r="728" spans="1:18">
      <c r="A728" t="s">
        <v>735</v>
      </c>
      <c r="C728" s="3">
        <v>1678000</v>
      </c>
      <c r="D728" s="3">
        <v>1243109000</v>
      </c>
      <c r="E728" s="3">
        <v>1959689328</v>
      </c>
      <c r="F728" s="3">
        <v>9201182450</v>
      </c>
      <c r="G728" s="3">
        <v>6000000</v>
      </c>
      <c r="H728" s="3">
        <v>1943440</v>
      </c>
      <c r="I728" s="3">
        <v>0</v>
      </c>
      <c r="J728" s="3">
        <v>0</v>
      </c>
      <c r="K728" s="3">
        <v>126150000</v>
      </c>
      <c r="L728" s="3">
        <f t="shared" si="22"/>
        <v>12539752218</v>
      </c>
      <c r="M728" s="1">
        <v>-1442245214</v>
      </c>
      <c r="N728" s="1">
        <v>-1591078253</v>
      </c>
      <c r="O728" s="1">
        <v>-600000</v>
      </c>
      <c r="P728" s="1">
        <v>0</v>
      </c>
      <c r="Q728" s="1">
        <v>-123150000</v>
      </c>
      <c r="R728" s="1">
        <f t="shared" si="23"/>
        <v>9382678751</v>
      </c>
    </row>
    <row r="729" spans="1:18">
      <c r="A729" t="s">
        <v>736</v>
      </c>
      <c r="C729" s="3">
        <v>2044300</v>
      </c>
      <c r="D729" s="3">
        <v>344280000</v>
      </c>
      <c r="E729" s="3">
        <v>1303417234</v>
      </c>
      <c r="F729" s="3">
        <v>19966746698</v>
      </c>
      <c r="G729" s="3">
        <v>6950000</v>
      </c>
      <c r="H729" s="3">
        <v>1943440</v>
      </c>
      <c r="I729" s="3">
        <v>0</v>
      </c>
      <c r="J729" s="3">
        <v>32500000</v>
      </c>
      <c r="K729" s="3">
        <v>128533407</v>
      </c>
      <c r="L729" s="3">
        <f t="shared" si="22"/>
        <v>21786415079</v>
      </c>
      <c r="M729" s="1">
        <v>-1180103140</v>
      </c>
      <c r="N729" s="1">
        <v>-1558330872</v>
      </c>
      <c r="O729" s="1">
        <v>-1698887</v>
      </c>
      <c r="P729" s="1">
        <v>0</v>
      </c>
      <c r="Q729" s="1">
        <v>-128533407</v>
      </c>
      <c r="R729" s="1">
        <f t="shared" si="23"/>
        <v>18917748773</v>
      </c>
    </row>
    <row r="730" spans="1:18">
      <c r="A730" t="s">
        <v>737</v>
      </c>
      <c r="C730" s="3">
        <v>7800450</v>
      </c>
      <c r="D730" s="3">
        <v>4765000000</v>
      </c>
      <c r="E730" s="3">
        <v>5263745747</v>
      </c>
      <c r="F730" s="3">
        <v>26761014758</v>
      </c>
      <c r="G730" s="3">
        <v>61145000</v>
      </c>
      <c r="H730" s="3">
        <v>15923446</v>
      </c>
      <c r="I730" s="3">
        <v>0</v>
      </c>
      <c r="J730" s="3">
        <v>0</v>
      </c>
      <c r="K730" s="3">
        <v>90627731</v>
      </c>
      <c r="L730" s="3">
        <f t="shared" si="22"/>
        <v>36965257132</v>
      </c>
      <c r="M730" s="1">
        <v>-4881688709</v>
      </c>
      <c r="N730" s="1">
        <v>-3407453960</v>
      </c>
      <c r="O730" s="1">
        <v>-14818665</v>
      </c>
      <c r="P730" s="1">
        <v>0</v>
      </c>
      <c r="Q730" s="1">
        <v>-88002731</v>
      </c>
      <c r="R730" s="1">
        <f t="shared" si="23"/>
        <v>28573293067</v>
      </c>
    </row>
    <row r="731" spans="1:18">
      <c r="A731" t="s">
        <v>738</v>
      </c>
      <c r="C731" s="3">
        <v>2911150</v>
      </c>
      <c r="D731" s="3">
        <v>734000000</v>
      </c>
      <c r="E731" s="3">
        <v>1679030929</v>
      </c>
      <c r="F731" s="3">
        <v>5550177000</v>
      </c>
      <c r="G731" s="3">
        <v>39997000</v>
      </c>
      <c r="H731" s="3">
        <v>4940470</v>
      </c>
      <c r="I731" s="3">
        <v>0</v>
      </c>
      <c r="J731" s="3">
        <v>2000000</v>
      </c>
      <c r="K731" s="3">
        <v>0</v>
      </c>
      <c r="L731" s="3">
        <f t="shared" si="22"/>
        <v>8013056549</v>
      </c>
      <c r="M731" s="1">
        <v>-1458063797</v>
      </c>
      <c r="N731" s="1">
        <v>-777504088</v>
      </c>
      <c r="O731" s="1">
        <v>-3499738</v>
      </c>
      <c r="P731" s="1">
        <v>0</v>
      </c>
      <c r="Q731" s="1">
        <v>0</v>
      </c>
      <c r="R731" s="1">
        <f t="shared" si="23"/>
        <v>5773988926</v>
      </c>
    </row>
    <row r="732" spans="1:18">
      <c r="A732" t="s">
        <v>739</v>
      </c>
      <c r="C732" s="3">
        <v>91000</v>
      </c>
      <c r="D732" s="3">
        <v>206000000</v>
      </c>
      <c r="E732" s="3">
        <v>1142397895</v>
      </c>
      <c r="F732" s="3">
        <v>1235005665</v>
      </c>
      <c r="G732" s="3">
        <v>0</v>
      </c>
      <c r="H732" s="3">
        <v>4142670</v>
      </c>
      <c r="I732" s="3">
        <v>0</v>
      </c>
      <c r="J732" s="3">
        <v>8811000</v>
      </c>
      <c r="K732" s="3">
        <v>215260170</v>
      </c>
      <c r="L732" s="3">
        <f t="shared" si="22"/>
        <v>2811708400</v>
      </c>
      <c r="M732" s="1">
        <v>-865110976</v>
      </c>
      <c r="N732" s="1">
        <v>-375059085</v>
      </c>
      <c r="O732" s="1">
        <v>0</v>
      </c>
      <c r="P732" s="1">
        <v>0</v>
      </c>
      <c r="Q732" s="1">
        <v>-215260170</v>
      </c>
      <c r="R732" s="1">
        <f t="shared" si="23"/>
        <v>1356278169</v>
      </c>
    </row>
    <row r="733" spans="1:18">
      <c r="A733" t="s">
        <v>740</v>
      </c>
      <c r="C733" s="3">
        <v>589000</v>
      </c>
      <c r="D733" s="3">
        <v>226500000</v>
      </c>
      <c r="E733" s="3">
        <v>1120636298</v>
      </c>
      <c r="F733" s="3">
        <v>5043910000</v>
      </c>
      <c r="G733" s="3">
        <v>0</v>
      </c>
      <c r="H733" s="3">
        <v>33671400</v>
      </c>
      <c r="I733" s="3">
        <v>0</v>
      </c>
      <c r="J733" s="3">
        <v>0</v>
      </c>
      <c r="K733" s="3">
        <v>740000</v>
      </c>
      <c r="L733" s="3">
        <f t="shared" si="22"/>
        <v>6426046698</v>
      </c>
      <c r="M733" s="1">
        <v>-1029577248</v>
      </c>
      <c r="N733" s="1">
        <v>-1494450986</v>
      </c>
      <c r="O733" s="1">
        <v>0</v>
      </c>
      <c r="P733" s="1">
        <v>0</v>
      </c>
      <c r="Q733" s="1">
        <v>-740000</v>
      </c>
      <c r="R733" s="1">
        <f t="shared" si="23"/>
        <v>3901278464</v>
      </c>
    </row>
    <row r="734" spans="1:18">
      <c r="A734" t="s">
        <v>741</v>
      </c>
      <c r="C734" s="3">
        <v>8913000</v>
      </c>
      <c r="D734" s="3">
        <v>1631775000</v>
      </c>
      <c r="E734" s="3">
        <v>853550328</v>
      </c>
      <c r="F734" s="3">
        <v>3581127000</v>
      </c>
      <c r="G734" s="3">
        <v>0</v>
      </c>
      <c r="H734" s="3">
        <v>2828676</v>
      </c>
      <c r="I734" s="3">
        <v>997646800</v>
      </c>
      <c r="J734" s="3">
        <v>0</v>
      </c>
      <c r="K734" s="3">
        <v>0</v>
      </c>
      <c r="L734" s="3">
        <f t="shared" si="22"/>
        <v>7075840804</v>
      </c>
      <c r="M734" s="1">
        <v>-745524976</v>
      </c>
      <c r="N734" s="1">
        <v>-1024057101</v>
      </c>
      <c r="O734" s="1">
        <v>0</v>
      </c>
      <c r="P734" s="1">
        <v>0</v>
      </c>
      <c r="Q734" s="1">
        <v>0</v>
      </c>
      <c r="R734" s="1">
        <f t="shared" si="23"/>
        <v>5306258727</v>
      </c>
    </row>
    <row r="735" spans="1:18">
      <c r="A735" t="s">
        <v>742</v>
      </c>
      <c r="C735" s="3">
        <v>543000</v>
      </c>
      <c r="D735" s="3">
        <v>48680000</v>
      </c>
      <c r="E735" s="3">
        <v>1627774084</v>
      </c>
      <c r="F735" s="3">
        <v>7983759350</v>
      </c>
      <c r="G735" s="3">
        <v>0</v>
      </c>
      <c r="H735" s="3">
        <v>1459270</v>
      </c>
      <c r="I735" s="3">
        <v>0</v>
      </c>
      <c r="J735" s="3">
        <v>0</v>
      </c>
      <c r="K735" s="3">
        <v>166192000</v>
      </c>
      <c r="L735" s="3">
        <f t="shared" si="22"/>
        <v>9828407704</v>
      </c>
      <c r="M735" s="1">
        <v>-934632660</v>
      </c>
      <c r="N735" s="1">
        <v>-1498778577</v>
      </c>
      <c r="O735" s="1">
        <v>0</v>
      </c>
      <c r="P735" s="1">
        <v>0</v>
      </c>
      <c r="Q735" s="1">
        <v>-140094500</v>
      </c>
      <c r="R735" s="1">
        <f t="shared" si="23"/>
        <v>7254901967</v>
      </c>
    </row>
    <row r="736" spans="1:18">
      <c r="A736" t="s">
        <v>743</v>
      </c>
      <c r="C736" s="3">
        <v>128000</v>
      </c>
      <c r="D736" s="3">
        <v>666785000</v>
      </c>
      <c r="E736" s="3">
        <v>2069551253</v>
      </c>
      <c r="F736" s="3">
        <v>12756665800</v>
      </c>
      <c r="G736" s="3">
        <v>0</v>
      </c>
      <c r="H736" s="3">
        <v>1585270</v>
      </c>
      <c r="I736" s="3">
        <v>0</v>
      </c>
      <c r="J736" s="3">
        <v>0</v>
      </c>
      <c r="K736" s="3">
        <v>129876000</v>
      </c>
      <c r="L736" s="3">
        <f t="shared" si="22"/>
        <v>15624591323</v>
      </c>
      <c r="M736" s="1">
        <v>-1028330925</v>
      </c>
      <c r="N736" s="1">
        <v>-678742040</v>
      </c>
      <c r="O736" s="1">
        <v>0</v>
      </c>
      <c r="P736" s="1">
        <v>0</v>
      </c>
      <c r="Q736" s="1">
        <v>-129876000</v>
      </c>
      <c r="R736" s="1">
        <f t="shared" si="23"/>
        <v>13787642358</v>
      </c>
    </row>
    <row r="737" spans="1:18">
      <c r="A737" t="s">
        <v>744</v>
      </c>
      <c r="C737" s="3">
        <v>135000</v>
      </c>
      <c r="D737" s="3">
        <v>2459200000</v>
      </c>
      <c r="E737" s="3">
        <v>2138154138</v>
      </c>
      <c r="F737" s="3">
        <v>1051600000</v>
      </c>
      <c r="G737" s="3">
        <v>0</v>
      </c>
      <c r="H737" s="3">
        <v>2683400</v>
      </c>
      <c r="I737" s="3">
        <v>9468936220</v>
      </c>
      <c r="J737" s="3">
        <v>68750000</v>
      </c>
      <c r="K737" s="3">
        <v>245465500</v>
      </c>
      <c r="L737" s="3">
        <f t="shared" si="22"/>
        <v>15434924258</v>
      </c>
      <c r="M737" s="1">
        <v>-1772689157</v>
      </c>
      <c r="N737" s="1">
        <v>-472844000</v>
      </c>
      <c r="O737" s="1">
        <v>0</v>
      </c>
      <c r="P737" s="1">
        <v>0</v>
      </c>
      <c r="Q737" s="1">
        <v>-236164725</v>
      </c>
      <c r="R737" s="1">
        <f t="shared" si="23"/>
        <v>12953226376</v>
      </c>
    </row>
    <row r="738" spans="1:18">
      <c r="A738" t="s">
        <v>745</v>
      </c>
      <c r="C738" s="3">
        <v>550000</v>
      </c>
      <c r="D738" s="3">
        <v>2810600000</v>
      </c>
      <c r="E738" s="3">
        <v>2206877677</v>
      </c>
      <c r="F738" s="3">
        <v>9668656000</v>
      </c>
      <c r="G738" s="3">
        <v>0</v>
      </c>
      <c r="H738" s="3">
        <v>4287946</v>
      </c>
      <c r="I738" s="3">
        <v>0</v>
      </c>
      <c r="J738" s="3">
        <v>0</v>
      </c>
      <c r="K738" s="3">
        <v>0</v>
      </c>
      <c r="L738" s="3">
        <f t="shared" si="22"/>
        <v>14690971623</v>
      </c>
      <c r="M738" s="1">
        <v>-909603316</v>
      </c>
      <c r="N738" s="1">
        <v>-539924722</v>
      </c>
      <c r="O738" s="1">
        <v>0</v>
      </c>
      <c r="P738" s="1">
        <v>0</v>
      </c>
      <c r="Q738" s="1">
        <v>0</v>
      </c>
      <c r="R738" s="1">
        <f t="shared" si="23"/>
        <v>13241443585</v>
      </c>
    </row>
    <row r="739" spans="1:18">
      <c r="A739" t="s">
        <v>746</v>
      </c>
      <c r="C739" s="3">
        <v>2452000</v>
      </c>
      <c r="D739" s="3">
        <v>2591570000</v>
      </c>
      <c r="E739" s="3">
        <v>1160337211</v>
      </c>
      <c r="F739" s="3">
        <v>12562774702</v>
      </c>
      <c r="G739" s="3">
        <v>25000000</v>
      </c>
      <c r="H739" s="3">
        <v>1459270</v>
      </c>
      <c r="I739" s="3">
        <v>0</v>
      </c>
      <c r="J739" s="3">
        <v>0</v>
      </c>
      <c r="K739" s="3">
        <v>22383000</v>
      </c>
      <c r="L739" s="3">
        <f t="shared" si="22"/>
        <v>16365976183</v>
      </c>
      <c r="M739" s="1">
        <v>-863638097</v>
      </c>
      <c r="N739" s="1">
        <v>-349107747</v>
      </c>
      <c r="O739" s="1">
        <v>-3750000</v>
      </c>
      <c r="P739" s="1">
        <v>0</v>
      </c>
      <c r="Q739" s="1">
        <v>-22383000</v>
      </c>
      <c r="R739" s="1">
        <f t="shared" si="23"/>
        <v>15127097339</v>
      </c>
    </row>
    <row r="740" spans="1:18">
      <c r="A740" t="s">
        <v>747</v>
      </c>
      <c r="C740" s="3">
        <v>3724900</v>
      </c>
      <c r="D740" s="3">
        <v>1430000000</v>
      </c>
      <c r="E740" s="3">
        <v>856704375</v>
      </c>
      <c r="F740" s="3">
        <v>0</v>
      </c>
      <c r="G740" s="3">
        <v>0</v>
      </c>
      <c r="H740" s="3">
        <v>19347520</v>
      </c>
      <c r="I740" s="3">
        <v>15172072404</v>
      </c>
      <c r="J740" s="3">
        <v>0</v>
      </c>
      <c r="K740" s="3">
        <v>178592134</v>
      </c>
      <c r="L740" s="3">
        <f t="shared" si="22"/>
        <v>17660441333</v>
      </c>
      <c r="M740" s="1">
        <v>-789292364</v>
      </c>
      <c r="N740" s="1">
        <v>0</v>
      </c>
      <c r="O740" s="1">
        <v>0</v>
      </c>
      <c r="P740" s="1">
        <v>0</v>
      </c>
      <c r="Q740" s="1">
        <v>-178592134</v>
      </c>
      <c r="R740" s="1">
        <f t="shared" si="23"/>
        <v>16692556835</v>
      </c>
    </row>
    <row r="741" spans="1:18">
      <c r="A741" t="s">
        <v>748</v>
      </c>
      <c r="C741" s="3">
        <v>6862500</v>
      </c>
      <c r="D741" s="3">
        <v>1107000000</v>
      </c>
      <c r="E741" s="3">
        <v>1696030863</v>
      </c>
      <c r="F741" s="3">
        <v>13825518500</v>
      </c>
      <c r="G741" s="3">
        <v>0</v>
      </c>
      <c r="H741" s="3">
        <v>1943440</v>
      </c>
      <c r="I741" s="3">
        <v>5045144100</v>
      </c>
      <c r="J741" s="3">
        <v>0</v>
      </c>
      <c r="K741" s="3">
        <v>0</v>
      </c>
      <c r="L741" s="3">
        <f t="shared" si="22"/>
        <v>21682499403</v>
      </c>
      <c r="M741" s="1">
        <v>-1370240585</v>
      </c>
      <c r="N741" s="1">
        <v>-3529101115</v>
      </c>
      <c r="O741" s="1">
        <v>0</v>
      </c>
      <c r="P741" s="1">
        <v>0</v>
      </c>
      <c r="Q741" s="1">
        <v>0</v>
      </c>
      <c r="R741" s="1">
        <f t="shared" si="23"/>
        <v>16783157703</v>
      </c>
    </row>
    <row r="742" spans="1:18">
      <c r="A742" t="s">
        <v>749</v>
      </c>
      <c r="C742" s="3">
        <v>0</v>
      </c>
      <c r="D742" s="3">
        <v>1299700000</v>
      </c>
      <c r="E742" s="3">
        <v>1813534218</v>
      </c>
      <c r="F742" s="3">
        <v>0</v>
      </c>
      <c r="G742" s="3">
        <v>0</v>
      </c>
      <c r="H742" s="3">
        <v>2828678</v>
      </c>
      <c r="I742" s="3">
        <v>0</v>
      </c>
      <c r="J742" s="3">
        <v>113750000</v>
      </c>
      <c r="K742" s="3">
        <v>226752545</v>
      </c>
      <c r="L742" s="3">
        <f t="shared" si="22"/>
        <v>3456565441</v>
      </c>
      <c r="M742" s="1">
        <v>-1479285809</v>
      </c>
      <c r="N742" s="1">
        <v>0</v>
      </c>
      <c r="O742" s="1">
        <v>0</v>
      </c>
      <c r="P742" s="1">
        <v>0</v>
      </c>
      <c r="Q742" s="1">
        <v>-225252545</v>
      </c>
      <c r="R742" s="1">
        <f t="shared" si="23"/>
        <v>1752027087</v>
      </c>
    </row>
    <row r="743" spans="1:18">
      <c r="A743" t="s">
        <v>750</v>
      </c>
      <c r="C743" s="3">
        <v>9841823</v>
      </c>
      <c r="D743" s="3">
        <v>364658000</v>
      </c>
      <c r="E743" s="3">
        <v>1845873714</v>
      </c>
      <c r="F743" s="3">
        <v>0</v>
      </c>
      <c r="G743" s="3">
        <v>0</v>
      </c>
      <c r="H743" s="3">
        <v>1367820</v>
      </c>
      <c r="I743" s="3">
        <v>13737171700</v>
      </c>
      <c r="J743" s="3">
        <v>0</v>
      </c>
      <c r="K743" s="3">
        <v>0</v>
      </c>
      <c r="L743" s="3">
        <f t="shared" si="22"/>
        <v>15958913057</v>
      </c>
      <c r="M743" s="1">
        <v>-549082406</v>
      </c>
      <c r="N743" s="1">
        <v>0</v>
      </c>
      <c r="O743" s="1">
        <v>0</v>
      </c>
      <c r="P743" s="1">
        <v>0</v>
      </c>
      <c r="Q743" s="1">
        <v>0</v>
      </c>
      <c r="R743" s="1">
        <f t="shared" si="23"/>
        <v>15409830651</v>
      </c>
    </row>
    <row r="744" spans="1:18">
      <c r="A744" t="s">
        <v>751</v>
      </c>
      <c r="C744" s="3">
        <v>12950400</v>
      </c>
      <c r="D744" s="3">
        <v>201314000</v>
      </c>
      <c r="E744" s="3">
        <v>1248225307</v>
      </c>
      <c r="F744" s="3">
        <v>4403338525</v>
      </c>
      <c r="G744" s="3">
        <v>0</v>
      </c>
      <c r="H744" s="3">
        <v>42242848</v>
      </c>
      <c r="I744" s="3">
        <v>0</v>
      </c>
      <c r="J744" s="3">
        <v>13000000</v>
      </c>
      <c r="K744" s="3">
        <v>112162325</v>
      </c>
      <c r="L744" s="3">
        <f t="shared" si="22"/>
        <v>6033233405</v>
      </c>
      <c r="M744" s="1">
        <v>-1052513613</v>
      </c>
      <c r="N744" s="1">
        <v>-1059664985</v>
      </c>
      <c r="O744" s="1">
        <v>0</v>
      </c>
      <c r="P744" s="1">
        <v>0</v>
      </c>
      <c r="Q744" s="1">
        <v>-112162325</v>
      </c>
      <c r="R744" s="1">
        <f t="shared" si="23"/>
        <v>3808892482</v>
      </c>
    </row>
    <row r="745" spans="1:18">
      <c r="A745" t="s">
        <v>752</v>
      </c>
      <c r="C745" s="3">
        <v>219250</v>
      </c>
      <c r="D745" s="3">
        <v>1861261000</v>
      </c>
      <c r="E745" s="3">
        <v>1528818023</v>
      </c>
      <c r="F745" s="3">
        <v>4391041263</v>
      </c>
      <c r="G745" s="3">
        <v>0</v>
      </c>
      <c r="H745" s="3">
        <v>5493000</v>
      </c>
      <c r="I745" s="3">
        <v>0</v>
      </c>
      <c r="J745" s="3">
        <v>15000000</v>
      </c>
      <c r="K745" s="3">
        <v>118138580</v>
      </c>
      <c r="L745" s="3">
        <f t="shared" si="22"/>
        <v>7919971116</v>
      </c>
      <c r="M745" s="1">
        <v>-1071173427</v>
      </c>
      <c r="N745" s="1">
        <v>-939229050</v>
      </c>
      <c r="O745" s="1">
        <v>0</v>
      </c>
      <c r="P745" s="1">
        <v>0</v>
      </c>
      <c r="Q745" s="1">
        <v>-117823155</v>
      </c>
      <c r="R745" s="1">
        <f t="shared" si="23"/>
        <v>5791745484</v>
      </c>
    </row>
    <row r="746" spans="1:18">
      <c r="A746" t="s">
        <v>753</v>
      </c>
      <c r="C746" s="3">
        <v>5436550</v>
      </c>
      <c r="D746" s="3">
        <v>1846348000</v>
      </c>
      <c r="E746" s="3">
        <v>1668777253</v>
      </c>
      <c r="F746" s="3">
        <v>3557465600</v>
      </c>
      <c r="G746" s="3">
        <v>125623000</v>
      </c>
      <c r="H746" s="3">
        <v>29598500</v>
      </c>
      <c r="I746" s="3">
        <v>0</v>
      </c>
      <c r="J746" s="3">
        <v>26750000</v>
      </c>
      <c r="K746" s="3">
        <v>17560750</v>
      </c>
      <c r="L746" s="3">
        <f t="shared" si="22"/>
        <v>7277559653</v>
      </c>
      <c r="M746" s="1">
        <v>-1541891532</v>
      </c>
      <c r="N746" s="1">
        <v>-595037852</v>
      </c>
      <c r="O746" s="1">
        <v>-6996825</v>
      </c>
      <c r="P746" s="1">
        <v>0</v>
      </c>
      <c r="Q746" s="1">
        <v>-17560750</v>
      </c>
      <c r="R746" s="1">
        <f t="shared" si="23"/>
        <v>5116072694</v>
      </c>
    </row>
    <row r="747" spans="1:18">
      <c r="A747" t="s">
        <v>754</v>
      </c>
      <c r="C747" s="3">
        <v>1291650</v>
      </c>
      <c r="D747" s="3">
        <v>911070000</v>
      </c>
      <c r="E747" s="3">
        <v>2230426829</v>
      </c>
      <c r="F747" s="3">
        <v>4105643209</v>
      </c>
      <c r="G747" s="3">
        <v>50000000</v>
      </c>
      <c r="H747" s="3">
        <v>13418288</v>
      </c>
      <c r="I747" s="3">
        <v>0</v>
      </c>
      <c r="J747" s="3">
        <v>30650000</v>
      </c>
      <c r="K747" s="3">
        <v>215630500</v>
      </c>
      <c r="L747" s="3">
        <f t="shared" si="22"/>
        <v>7558130476</v>
      </c>
      <c r="M747" s="1">
        <v>-1882160971</v>
      </c>
      <c r="N747" s="1">
        <v>-547376760</v>
      </c>
      <c r="O747" s="1">
        <v>-1250000</v>
      </c>
      <c r="P747" s="1">
        <v>0</v>
      </c>
      <c r="Q747" s="1">
        <v>-215630500</v>
      </c>
      <c r="R747" s="1">
        <f t="shared" si="23"/>
        <v>4911712245</v>
      </c>
    </row>
    <row r="748" spans="1:18">
      <c r="A748" t="s">
        <v>755</v>
      </c>
      <c r="C748" s="3">
        <v>7632250</v>
      </c>
      <c r="D748" s="3">
        <v>4642487000</v>
      </c>
      <c r="E748" s="3">
        <v>3153182407</v>
      </c>
      <c r="F748" s="3">
        <v>4920832479</v>
      </c>
      <c r="G748" s="3">
        <v>56500000</v>
      </c>
      <c r="H748" s="3">
        <v>1943440</v>
      </c>
      <c r="I748" s="3">
        <v>0</v>
      </c>
      <c r="J748" s="3">
        <v>3300000</v>
      </c>
      <c r="K748" s="3">
        <v>220347000</v>
      </c>
      <c r="L748" s="3">
        <f t="shared" si="22"/>
        <v>13006224576</v>
      </c>
      <c r="M748" s="1">
        <v>-2608257759</v>
      </c>
      <c r="N748" s="1">
        <v>-2514769960</v>
      </c>
      <c r="O748" s="1">
        <v>-12712500</v>
      </c>
      <c r="P748" s="1">
        <v>0</v>
      </c>
      <c r="Q748" s="1">
        <v>-220347000</v>
      </c>
      <c r="R748" s="1">
        <f t="shared" si="23"/>
        <v>7650137357</v>
      </c>
    </row>
    <row r="749" spans="1:18">
      <c r="A749" t="s">
        <v>756</v>
      </c>
      <c r="C749" s="3">
        <v>964500</v>
      </c>
      <c r="D749" s="3">
        <v>1572670200</v>
      </c>
      <c r="E749" s="3">
        <v>1784202713</v>
      </c>
      <c r="F749" s="3">
        <v>3553020000</v>
      </c>
      <c r="G749" s="3">
        <v>0</v>
      </c>
      <c r="H749" s="3">
        <v>1943440</v>
      </c>
      <c r="I749" s="3">
        <v>0</v>
      </c>
      <c r="J749" s="3">
        <v>0</v>
      </c>
      <c r="K749" s="3">
        <v>47430000</v>
      </c>
      <c r="L749" s="3">
        <f t="shared" si="22"/>
        <v>6960230853</v>
      </c>
      <c r="M749" s="1">
        <v>-1485350628</v>
      </c>
      <c r="N749" s="1">
        <v>-2003143045</v>
      </c>
      <c r="O749" s="1">
        <v>0</v>
      </c>
      <c r="P749" s="1">
        <v>0</v>
      </c>
      <c r="Q749" s="1">
        <v>-34048628</v>
      </c>
      <c r="R749" s="1">
        <f t="shared" si="23"/>
        <v>3437688552</v>
      </c>
    </row>
    <row r="750" spans="1:18">
      <c r="A750" t="s">
        <v>757</v>
      </c>
      <c r="C750" s="3">
        <v>178000</v>
      </c>
      <c r="D750" s="3">
        <v>1968815000</v>
      </c>
      <c r="E750" s="3">
        <v>2004870762</v>
      </c>
      <c r="F750" s="3">
        <v>3684518147</v>
      </c>
      <c r="G750" s="3">
        <v>0</v>
      </c>
      <c r="H750" s="3">
        <v>7455516</v>
      </c>
      <c r="I750" s="3">
        <v>0</v>
      </c>
      <c r="J750" s="3">
        <v>0</v>
      </c>
      <c r="K750" s="3">
        <v>95258000</v>
      </c>
      <c r="L750" s="3">
        <f t="shared" si="22"/>
        <v>7761095425</v>
      </c>
      <c r="M750" s="1">
        <v>-1493119863</v>
      </c>
      <c r="N750" s="1">
        <v>-1708024503</v>
      </c>
      <c r="O750" s="1">
        <v>0</v>
      </c>
      <c r="P750" s="1">
        <v>0</v>
      </c>
      <c r="Q750" s="1">
        <v>-80703000</v>
      </c>
      <c r="R750" s="1">
        <f t="shared" si="23"/>
        <v>4479248059</v>
      </c>
    </row>
    <row r="751" spans="1:18">
      <c r="A751" t="s">
        <v>758</v>
      </c>
      <c r="C751" s="3">
        <v>2526000</v>
      </c>
      <c r="D751" s="3">
        <v>4530548000</v>
      </c>
      <c r="E751" s="3">
        <v>2923835003</v>
      </c>
      <c r="F751" s="3">
        <v>9591829000</v>
      </c>
      <c r="G751" s="3">
        <v>0</v>
      </c>
      <c r="H751" s="3">
        <v>2843440</v>
      </c>
      <c r="I751" s="3">
        <v>0</v>
      </c>
      <c r="J751" s="3">
        <v>13860000</v>
      </c>
      <c r="K751" s="3">
        <v>404902000</v>
      </c>
      <c r="L751" s="3">
        <f t="shared" si="22"/>
        <v>17470343443</v>
      </c>
      <c r="M751" s="1">
        <v>-2263609151</v>
      </c>
      <c r="N751" s="1">
        <v>-1770327175</v>
      </c>
      <c r="O751" s="1">
        <v>0</v>
      </c>
      <c r="P751" s="1">
        <v>0</v>
      </c>
      <c r="Q751" s="1">
        <v>-294013000</v>
      </c>
      <c r="R751" s="1">
        <f t="shared" si="23"/>
        <v>13142394117</v>
      </c>
    </row>
    <row r="752" spans="1:18">
      <c r="A752" t="s">
        <v>759</v>
      </c>
      <c r="C752" s="3">
        <v>19725100</v>
      </c>
      <c r="D752" s="3">
        <v>6623500000</v>
      </c>
      <c r="E752" s="3">
        <v>4139085582</v>
      </c>
      <c r="F752" s="3">
        <v>18193671978</v>
      </c>
      <c r="G752" s="3">
        <v>0</v>
      </c>
      <c r="H752" s="3">
        <v>23893440</v>
      </c>
      <c r="I752" s="3">
        <v>0</v>
      </c>
      <c r="J752" s="3">
        <v>0</v>
      </c>
      <c r="K752" s="3">
        <v>92446935</v>
      </c>
      <c r="L752" s="3">
        <f t="shared" si="22"/>
        <v>29092323035</v>
      </c>
      <c r="M752" s="1">
        <v>-3103084206</v>
      </c>
      <c r="N752" s="1">
        <v>-5597180573</v>
      </c>
      <c r="O752" s="1">
        <v>0</v>
      </c>
      <c r="P752" s="1">
        <v>0</v>
      </c>
      <c r="Q752" s="1">
        <v>-92436935</v>
      </c>
      <c r="R752" s="1">
        <f t="shared" si="23"/>
        <v>20299621321</v>
      </c>
    </row>
    <row r="753" spans="1:18">
      <c r="A753" t="s">
        <v>760</v>
      </c>
      <c r="C753" s="3">
        <v>2722054</v>
      </c>
      <c r="D753" s="3">
        <v>1241700000</v>
      </c>
      <c r="E753" s="3">
        <v>3118124348</v>
      </c>
      <c r="F753" s="3">
        <v>8602009309</v>
      </c>
      <c r="G753" s="3">
        <v>50000000</v>
      </c>
      <c r="H753" s="3">
        <v>76241620</v>
      </c>
      <c r="I753" s="3">
        <v>0</v>
      </c>
      <c r="J753" s="3">
        <v>20000000</v>
      </c>
      <c r="K753" s="3">
        <v>196083237</v>
      </c>
      <c r="L753" s="3">
        <f t="shared" si="22"/>
        <v>13306880568</v>
      </c>
      <c r="M753" s="1">
        <v>-2630710639</v>
      </c>
      <c r="N753" s="1">
        <v>-2047691517</v>
      </c>
      <c r="O753" s="1">
        <v>-3750000</v>
      </c>
      <c r="P753" s="1">
        <v>-25000000</v>
      </c>
      <c r="Q753" s="1">
        <v>-196105112</v>
      </c>
      <c r="R753" s="1">
        <f t="shared" si="23"/>
        <v>8403623300</v>
      </c>
    </row>
    <row r="754" spans="1:18">
      <c r="A754" t="s">
        <v>761</v>
      </c>
      <c r="C754" s="3">
        <v>1624000</v>
      </c>
      <c r="D754" s="3">
        <v>1241761000</v>
      </c>
      <c r="E754" s="3">
        <v>2297648420</v>
      </c>
      <c r="F754" s="3">
        <v>3824311900</v>
      </c>
      <c r="G754" s="3">
        <v>22500000</v>
      </c>
      <c r="H754" s="3">
        <v>44928680</v>
      </c>
      <c r="I754" s="3">
        <v>0</v>
      </c>
      <c r="J754" s="3">
        <v>0</v>
      </c>
      <c r="K754" s="3">
        <v>111159000</v>
      </c>
      <c r="L754" s="3">
        <f t="shared" si="22"/>
        <v>7543933000</v>
      </c>
      <c r="M754" s="1">
        <v>-1959579166</v>
      </c>
      <c r="N754" s="1">
        <v>-1020506793</v>
      </c>
      <c r="O754" s="1">
        <v>-2250000</v>
      </c>
      <c r="P754" s="1">
        <v>0</v>
      </c>
      <c r="Q754" s="1">
        <v>-110577600</v>
      </c>
      <c r="R754" s="1">
        <f t="shared" si="23"/>
        <v>4451019441</v>
      </c>
    </row>
    <row r="755" spans="1:18">
      <c r="A755" t="s">
        <v>762</v>
      </c>
      <c r="C755" s="3">
        <v>3868000</v>
      </c>
      <c r="D755" s="3">
        <v>306034347</v>
      </c>
      <c r="E755" s="3">
        <v>1445628368</v>
      </c>
      <c r="F755" s="3">
        <v>6066248000</v>
      </c>
      <c r="G755" s="3">
        <v>149350000</v>
      </c>
      <c r="H755" s="3">
        <v>0</v>
      </c>
      <c r="I755" s="3">
        <v>0</v>
      </c>
      <c r="J755" s="3">
        <v>0</v>
      </c>
      <c r="K755" s="3">
        <v>72773943</v>
      </c>
      <c r="L755" s="3">
        <f t="shared" si="22"/>
        <v>8043902658</v>
      </c>
      <c r="M755" s="1">
        <v>-989691954</v>
      </c>
      <c r="N755" s="1">
        <v>-572202400</v>
      </c>
      <c r="O755" s="1">
        <v>-10603750</v>
      </c>
      <c r="P755" s="1">
        <v>0</v>
      </c>
      <c r="Q755" s="1">
        <v>-64561540</v>
      </c>
      <c r="R755" s="1">
        <f t="shared" si="23"/>
        <v>6406843014</v>
      </c>
    </row>
    <row r="756" spans="1:18">
      <c r="A756" t="s">
        <v>763</v>
      </c>
      <c r="C756" s="3">
        <v>246000</v>
      </c>
      <c r="D756" s="3">
        <v>629100000</v>
      </c>
      <c r="E756" s="3">
        <v>861867571</v>
      </c>
      <c r="F756" s="3">
        <v>6750584000</v>
      </c>
      <c r="G756" s="3">
        <v>826546600</v>
      </c>
      <c r="H756" s="3">
        <v>0</v>
      </c>
      <c r="I756" s="3">
        <v>0</v>
      </c>
      <c r="J756" s="3">
        <v>0</v>
      </c>
      <c r="K756" s="3">
        <v>123505000</v>
      </c>
      <c r="L756" s="3">
        <f t="shared" si="22"/>
        <v>9191849171</v>
      </c>
      <c r="M756" s="1">
        <v>-657339781</v>
      </c>
      <c r="N756" s="1">
        <v>-563701548</v>
      </c>
      <c r="O756" s="1">
        <v>-39830945</v>
      </c>
      <c r="P756" s="1">
        <v>0</v>
      </c>
      <c r="Q756" s="1">
        <v>-113573500</v>
      </c>
      <c r="R756" s="1">
        <f t="shared" si="23"/>
        <v>7817403397</v>
      </c>
    </row>
    <row r="757" spans="1:18">
      <c r="A757" t="s">
        <v>764</v>
      </c>
      <c r="C757" s="3">
        <v>523000</v>
      </c>
      <c r="D757" s="3">
        <v>1217500000</v>
      </c>
      <c r="E757" s="3">
        <v>918702291</v>
      </c>
      <c r="F757" s="3">
        <v>7035863600</v>
      </c>
      <c r="G757" s="3">
        <v>99979000</v>
      </c>
      <c r="H757" s="3">
        <v>0</v>
      </c>
      <c r="I757" s="3">
        <v>0</v>
      </c>
      <c r="J757" s="3">
        <v>0</v>
      </c>
      <c r="K757" s="3">
        <v>0</v>
      </c>
      <c r="L757" s="3">
        <f t="shared" si="22"/>
        <v>9272567891</v>
      </c>
      <c r="M757" s="1">
        <v>-817823754</v>
      </c>
      <c r="N757" s="1">
        <v>-549640575</v>
      </c>
      <c r="O757" s="1">
        <v>-9997900</v>
      </c>
      <c r="P757" s="1">
        <v>0</v>
      </c>
      <c r="Q757" s="1">
        <v>0</v>
      </c>
      <c r="R757" s="1">
        <f t="shared" si="23"/>
        <v>7895105662</v>
      </c>
    </row>
    <row r="758" spans="1:18">
      <c r="A758" t="s">
        <v>765</v>
      </c>
      <c r="C758" s="3">
        <v>75000</v>
      </c>
      <c r="D758" s="3">
        <v>203600000</v>
      </c>
      <c r="E758" s="3">
        <v>1168234517</v>
      </c>
      <c r="F758" s="3">
        <v>6431742000</v>
      </c>
      <c r="G758" s="3">
        <v>0</v>
      </c>
      <c r="H758" s="3">
        <v>68459254</v>
      </c>
      <c r="I758" s="3">
        <v>0</v>
      </c>
      <c r="J758" s="3">
        <v>0</v>
      </c>
      <c r="K758" s="3">
        <v>0</v>
      </c>
      <c r="L758" s="3">
        <f t="shared" si="22"/>
        <v>7872110771</v>
      </c>
      <c r="M758" s="1">
        <v>-947738771</v>
      </c>
      <c r="N758" s="1">
        <v>-678392075</v>
      </c>
      <c r="O758" s="1">
        <v>0</v>
      </c>
      <c r="P758" s="1">
        <v>0</v>
      </c>
      <c r="Q758" s="1">
        <v>0</v>
      </c>
      <c r="R758" s="1">
        <f t="shared" si="23"/>
        <v>6245979925</v>
      </c>
    </row>
    <row r="759" spans="1:18">
      <c r="A759" t="s">
        <v>766</v>
      </c>
      <c r="C759" s="3">
        <v>830000</v>
      </c>
      <c r="D759" s="3">
        <v>676035000</v>
      </c>
      <c r="E759" s="3">
        <v>1154410400</v>
      </c>
      <c r="F759" s="3">
        <v>5690502359</v>
      </c>
      <c r="G759" s="3">
        <v>0</v>
      </c>
      <c r="H759" s="3">
        <v>18150000</v>
      </c>
      <c r="I759" s="3">
        <v>0</v>
      </c>
      <c r="J759" s="3">
        <v>0</v>
      </c>
      <c r="K759" s="3">
        <v>0</v>
      </c>
      <c r="L759" s="3">
        <f t="shared" si="22"/>
        <v>7539927759</v>
      </c>
      <c r="M759" s="1">
        <v>-355971171</v>
      </c>
      <c r="N759" s="1">
        <v>-256572319</v>
      </c>
      <c r="O759" s="1">
        <v>0</v>
      </c>
      <c r="P759" s="1">
        <v>0</v>
      </c>
      <c r="Q759" s="1">
        <v>0</v>
      </c>
      <c r="R759" s="1">
        <f t="shared" si="23"/>
        <v>6927384269</v>
      </c>
    </row>
    <row r="760" spans="1:18">
      <c r="A760" t="s">
        <v>767</v>
      </c>
      <c r="C760" s="3">
        <v>0</v>
      </c>
      <c r="D760" s="3">
        <v>4697762000</v>
      </c>
      <c r="E760" s="3">
        <v>5264629916</v>
      </c>
      <c r="F760" s="3">
        <v>1067201000</v>
      </c>
      <c r="G760" s="3">
        <v>171076312</v>
      </c>
      <c r="H760" s="3">
        <v>25262116</v>
      </c>
      <c r="I760" s="3">
        <v>20495342274</v>
      </c>
      <c r="J760" s="3">
        <v>0</v>
      </c>
      <c r="K760" s="3">
        <v>87480000</v>
      </c>
      <c r="L760" s="3">
        <f t="shared" si="22"/>
        <v>31808753618</v>
      </c>
      <c r="M760" s="1">
        <v>-3314564799</v>
      </c>
      <c r="N760" s="1">
        <v>-237746492</v>
      </c>
      <c r="O760" s="1">
        <v>-53369735</v>
      </c>
      <c r="P760" s="1">
        <v>-20490000</v>
      </c>
      <c r="Q760" s="1">
        <v>-87480000</v>
      </c>
      <c r="R760" s="1">
        <f t="shared" si="23"/>
        <v>28095102592</v>
      </c>
    </row>
    <row r="761" spans="1:18">
      <c r="A761" t="s">
        <v>768</v>
      </c>
      <c r="C761" s="3">
        <v>1140000</v>
      </c>
      <c r="D761" s="3">
        <v>713347000</v>
      </c>
      <c r="E761" s="3">
        <v>1637524357</v>
      </c>
      <c r="F761" s="3">
        <v>3280544000</v>
      </c>
      <c r="G761" s="3">
        <v>34795000</v>
      </c>
      <c r="H761" s="3">
        <v>1943440</v>
      </c>
      <c r="I761" s="3">
        <v>7661546000</v>
      </c>
      <c r="J761" s="3">
        <v>15000000</v>
      </c>
      <c r="K761" s="3">
        <v>213471126</v>
      </c>
      <c r="L761" s="3">
        <f t="shared" si="22"/>
        <v>13559310923</v>
      </c>
      <c r="M761" s="1">
        <v>-1259942883</v>
      </c>
      <c r="N761" s="1">
        <v>-732567151</v>
      </c>
      <c r="O761" s="1">
        <v>-34795000</v>
      </c>
      <c r="P761" s="1">
        <v>0</v>
      </c>
      <c r="Q761" s="1">
        <v>-213471126</v>
      </c>
      <c r="R761" s="1">
        <f t="shared" si="23"/>
        <v>11318534763</v>
      </c>
    </row>
    <row r="762" spans="1:18">
      <c r="A762" t="s">
        <v>769</v>
      </c>
      <c r="C762" s="3">
        <v>695000</v>
      </c>
      <c r="D762" s="3">
        <v>1493300000</v>
      </c>
      <c r="E762" s="3">
        <v>2798599154</v>
      </c>
      <c r="F762" s="3">
        <v>2485131284</v>
      </c>
      <c r="G762" s="3">
        <v>20000000</v>
      </c>
      <c r="H762" s="3">
        <v>5122120</v>
      </c>
      <c r="I762" s="3">
        <v>12219817600</v>
      </c>
      <c r="J762" s="3">
        <v>0</v>
      </c>
      <c r="K762" s="3">
        <v>0</v>
      </c>
      <c r="L762" s="3">
        <f t="shared" si="22"/>
        <v>19022665158</v>
      </c>
      <c r="M762" s="1">
        <v>-2351076728</v>
      </c>
      <c r="N762" s="1">
        <v>-825746629</v>
      </c>
      <c r="O762" s="1">
        <v>-2000000</v>
      </c>
      <c r="P762" s="1">
        <v>0</v>
      </c>
      <c r="Q762" s="1">
        <v>0</v>
      </c>
      <c r="R762" s="1">
        <f t="shared" si="23"/>
        <v>15843841801</v>
      </c>
    </row>
    <row r="763" spans="1:18">
      <c r="A763" t="s">
        <v>770</v>
      </c>
      <c r="C763" s="3">
        <v>0</v>
      </c>
      <c r="D763" s="3">
        <v>882881250</v>
      </c>
      <c r="E763" s="3">
        <v>1804898757</v>
      </c>
      <c r="F763" s="3">
        <v>2129968000</v>
      </c>
      <c r="G763" s="3">
        <v>0</v>
      </c>
      <c r="H763" s="3">
        <v>5072116</v>
      </c>
      <c r="I763" s="3">
        <v>12755721000</v>
      </c>
      <c r="J763" s="3">
        <v>19940000</v>
      </c>
      <c r="K763" s="3">
        <v>66232942</v>
      </c>
      <c r="L763" s="3">
        <f t="shared" si="22"/>
        <v>17664714065</v>
      </c>
      <c r="M763" s="1">
        <v>-1572962311</v>
      </c>
      <c r="N763" s="1">
        <v>-566810247</v>
      </c>
      <c r="O763" s="1">
        <v>0</v>
      </c>
      <c r="P763" s="1">
        <v>0</v>
      </c>
      <c r="Q763" s="1">
        <v>-66232942</v>
      </c>
      <c r="R763" s="1">
        <f t="shared" si="23"/>
        <v>15458708565</v>
      </c>
    </row>
    <row r="764" spans="1:18">
      <c r="A764" t="s">
        <v>771</v>
      </c>
      <c r="C764" s="3">
        <v>170000</v>
      </c>
      <c r="D764" s="3">
        <v>1101949000</v>
      </c>
      <c r="E764" s="3">
        <v>1620998819</v>
      </c>
      <c r="F764" s="3">
        <v>9536311117</v>
      </c>
      <c r="G764" s="3">
        <v>0</v>
      </c>
      <c r="H764" s="3">
        <v>32700000</v>
      </c>
      <c r="I764" s="3">
        <v>0</v>
      </c>
      <c r="J764" s="3">
        <v>0</v>
      </c>
      <c r="K764" s="3">
        <v>0</v>
      </c>
      <c r="L764" s="3">
        <f t="shared" si="22"/>
        <v>12292128936</v>
      </c>
      <c r="M764" s="1">
        <v>-1332089892</v>
      </c>
      <c r="N764" s="1">
        <v>-499499996</v>
      </c>
      <c r="O764" s="1">
        <v>0</v>
      </c>
      <c r="P764" s="1">
        <v>0</v>
      </c>
      <c r="Q764" s="1">
        <v>0</v>
      </c>
      <c r="R764" s="1">
        <f t="shared" si="23"/>
        <v>10460539048</v>
      </c>
    </row>
    <row r="765" spans="1:18">
      <c r="A765" t="s">
        <v>772</v>
      </c>
      <c r="C765" s="3">
        <v>857850</v>
      </c>
      <c r="D765" s="3">
        <v>988830000</v>
      </c>
      <c r="E765" s="3">
        <v>1361488750</v>
      </c>
      <c r="F765" s="3">
        <v>632527000</v>
      </c>
      <c r="G765" s="3">
        <v>85000000</v>
      </c>
      <c r="H765" s="3">
        <v>0</v>
      </c>
      <c r="I765" s="3">
        <v>8382843000</v>
      </c>
      <c r="J765" s="3">
        <v>0</v>
      </c>
      <c r="K765" s="3">
        <v>24867237</v>
      </c>
      <c r="L765" s="3">
        <f t="shared" si="22"/>
        <v>11476413837</v>
      </c>
      <c r="M765" s="1">
        <v>-1031174801</v>
      </c>
      <c r="N765" s="1">
        <v>-116977897</v>
      </c>
      <c r="O765" s="1">
        <v>-4250000</v>
      </c>
      <c r="P765" s="1">
        <v>0</v>
      </c>
      <c r="Q765" s="1">
        <v>-24492237</v>
      </c>
      <c r="R765" s="1">
        <f t="shared" si="23"/>
        <v>10299518902</v>
      </c>
    </row>
    <row r="766" spans="1:18">
      <c r="A766" t="s">
        <v>773</v>
      </c>
      <c r="C766" s="3">
        <v>0</v>
      </c>
      <c r="D766" s="3">
        <v>393300000</v>
      </c>
      <c r="E766" s="3">
        <v>1740728671</v>
      </c>
      <c r="F766" s="3">
        <v>11011529000</v>
      </c>
      <c r="G766" s="3">
        <v>5000000</v>
      </c>
      <c r="H766" s="3">
        <v>25000</v>
      </c>
      <c r="I766" s="3">
        <v>0</v>
      </c>
      <c r="J766" s="3">
        <v>0</v>
      </c>
      <c r="K766" s="3">
        <v>0</v>
      </c>
      <c r="L766" s="3">
        <f t="shared" si="22"/>
        <v>13150582671</v>
      </c>
      <c r="M766" s="1">
        <v>-1396718383</v>
      </c>
      <c r="N766" s="1">
        <v>-1136549966</v>
      </c>
      <c r="O766" s="1">
        <v>-2000000</v>
      </c>
      <c r="P766" s="1">
        <v>0</v>
      </c>
      <c r="Q766" s="1">
        <v>0</v>
      </c>
      <c r="R766" s="1">
        <f t="shared" si="23"/>
        <v>10615314322</v>
      </c>
    </row>
    <row r="767" spans="1:18">
      <c r="A767" t="s">
        <v>774</v>
      </c>
      <c r="C767" s="3">
        <v>2587300</v>
      </c>
      <c r="D767" s="3">
        <v>660040000</v>
      </c>
      <c r="E767" s="3">
        <v>1369553690</v>
      </c>
      <c r="F767" s="3">
        <v>410707000</v>
      </c>
      <c r="G767" s="3">
        <v>0</v>
      </c>
      <c r="H767" s="3">
        <v>951000</v>
      </c>
      <c r="I767" s="3">
        <v>9128205700</v>
      </c>
      <c r="J767" s="3">
        <v>0</v>
      </c>
      <c r="K767" s="3">
        <v>0</v>
      </c>
      <c r="L767" s="3">
        <f t="shared" si="22"/>
        <v>11572044690</v>
      </c>
      <c r="M767" s="1">
        <v>-1102744619</v>
      </c>
      <c r="N767" s="1">
        <v>-90370994</v>
      </c>
      <c r="O767" s="1">
        <v>0</v>
      </c>
      <c r="P767" s="1">
        <v>0</v>
      </c>
      <c r="Q767" s="1">
        <v>0</v>
      </c>
      <c r="R767" s="1">
        <f t="shared" si="23"/>
        <v>10378929077</v>
      </c>
    </row>
    <row r="768" spans="1:18">
      <c r="A768" t="s">
        <v>775</v>
      </c>
      <c r="C768" s="3">
        <v>3407198</v>
      </c>
      <c r="D768" s="3">
        <v>598000000</v>
      </c>
      <c r="E768" s="3">
        <v>1794948802</v>
      </c>
      <c r="F768" s="3">
        <v>14579527122</v>
      </c>
      <c r="G768" s="3">
        <v>300000000</v>
      </c>
      <c r="H768" s="3">
        <v>35259984</v>
      </c>
      <c r="I768" s="3">
        <v>0</v>
      </c>
      <c r="J768" s="3">
        <v>0</v>
      </c>
      <c r="K768" s="3">
        <v>2520000</v>
      </c>
      <c r="L768" s="3">
        <f t="shared" si="22"/>
        <v>17313663106</v>
      </c>
      <c r="M768" s="1">
        <v>-1582635709</v>
      </c>
      <c r="N768" s="1">
        <v>-1843077768</v>
      </c>
      <c r="O768" s="1">
        <v>-26250000</v>
      </c>
      <c r="P768" s="1">
        <v>0</v>
      </c>
      <c r="Q768" s="1">
        <v>-2520000</v>
      </c>
      <c r="R768" s="1">
        <f t="shared" si="23"/>
        <v>13859179629</v>
      </c>
    </row>
    <row r="769" spans="1:18">
      <c r="A769" t="s">
        <v>776</v>
      </c>
      <c r="C769" s="3">
        <v>547500</v>
      </c>
      <c r="D769" s="3">
        <v>4247942000</v>
      </c>
      <c r="E769" s="3">
        <v>3849053348</v>
      </c>
      <c r="F769" s="3">
        <v>1916800000</v>
      </c>
      <c r="G769" s="3">
        <v>1288451500</v>
      </c>
      <c r="H769" s="3">
        <v>14988824</v>
      </c>
      <c r="I769" s="3">
        <v>16990174661</v>
      </c>
      <c r="J769" s="3">
        <v>3095000</v>
      </c>
      <c r="K769" s="3">
        <v>2219394005</v>
      </c>
      <c r="L769" s="3">
        <f t="shared" si="22"/>
        <v>30530446838</v>
      </c>
      <c r="M769" s="1">
        <v>-3278965963</v>
      </c>
      <c r="N769" s="1">
        <v>-297316000</v>
      </c>
      <c r="O769" s="1">
        <v>-587697041</v>
      </c>
      <c r="P769" s="1">
        <v>0</v>
      </c>
      <c r="Q769" s="1">
        <v>-624386114</v>
      </c>
      <c r="R769" s="1">
        <f t="shared" si="23"/>
        <v>25742081720</v>
      </c>
    </row>
    <row r="770" spans="1:18">
      <c r="A770" t="s">
        <v>777</v>
      </c>
      <c r="C770" s="3">
        <v>4426050</v>
      </c>
      <c r="D770" s="3">
        <v>7430400000</v>
      </c>
      <c r="E770" s="3">
        <v>3180258217</v>
      </c>
      <c r="F770" s="3">
        <v>3385550648</v>
      </c>
      <c r="G770" s="3">
        <v>297169650</v>
      </c>
      <c r="H770" s="3">
        <v>12140462</v>
      </c>
      <c r="I770" s="3">
        <v>0</v>
      </c>
      <c r="J770" s="3">
        <v>24000000</v>
      </c>
      <c r="K770" s="3">
        <v>0</v>
      </c>
      <c r="L770" s="3">
        <f t="shared" si="22"/>
        <v>14333945027</v>
      </c>
      <c r="M770" s="1">
        <v>-2789345278</v>
      </c>
      <c r="N770" s="1">
        <v>-1921906226</v>
      </c>
      <c r="O770" s="1">
        <v>-37136567</v>
      </c>
      <c r="P770" s="1">
        <v>0</v>
      </c>
      <c r="Q770" s="1">
        <v>0</v>
      </c>
      <c r="R770" s="1">
        <f t="shared" si="23"/>
        <v>9585556956</v>
      </c>
    </row>
    <row r="771" spans="1:18">
      <c r="A771" t="s">
        <v>778</v>
      </c>
      <c r="C771" s="3">
        <v>2073170</v>
      </c>
      <c r="D771" s="3">
        <v>3827676000</v>
      </c>
      <c r="E771" s="3">
        <v>1914301631</v>
      </c>
      <c r="F771" s="3">
        <v>8232694670</v>
      </c>
      <c r="G771" s="3">
        <v>114275000</v>
      </c>
      <c r="H771" s="3">
        <v>16767140</v>
      </c>
      <c r="I771" s="3">
        <v>0</v>
      </c>
      <c r="J771" s="3">
        <v>0</v>
      </c>
      <c r="K771" s="3">
        <v>294888700</v>
      </c>
      <c r="L771" s="3">
        <f t="shared" ref="L771:L834" si="24">SUM(C771:K771)</f>
        <v>14402676311</v>
      </c>
      <c r="M771" s="1">
        <v>-1810444235</v>
      </c>
      <c r="N771" s="1">
        <v>-1176038744</v>
      </c>
      <c r="O771" s="1">
        <v>-74278750</v>
      </c>
      <c r="P771" s="1">
        <v>0</v>
      </c>
      <c r="Q771" s="1">
        <v>-294888700</v>
      </c>
      <c r="R771" s="1">
        <f t="shared" ref="R771:R834" si="25">SUM(L771:Q771)</f>
        <v>11047025882</v>
      </c>
    </row>
    <row r="772" spans="1:18">
      <c r="A772" t="s">
        <v>779</v>
      </c>
      <c r="C772" s="3">
        <v>2760180</v>
      </c>
      <c r="D772" s="3">
        <v>3741300000</v>
      </c>
      <c r="E772" s="3">
        <v>2135713532</v>
      </c>
      <c r="F772" s="3">
        <v>7050697435</v>
      </c>
      <c r="G772" s="3">
        <v>49983000</v>
      </c>
      <c r="H772" s="3">
        <v>6355062</v>
      </c>
      <c r="I772" s="3">
        <v>0</v>
      </c>
      <c r="J772" s="3">
        <v>14700000</v>
      </c>
      <c r="K772" s="3">
        <v>97643900</v>
      </c>
      <c r="L772" s="3">
        <f t="shared" si="24"/>
        <v>13099153109</v>
      </c>
      <c r="M772" s="1">
        <v>-1976909878</v>
      </c>
      <c r="N772" s="1">
        <v>-4374956587</v>
      </c>
      <c r="O772" s="1">
        <v>-3748725</v>
      </c>
      <c r="P772" s="1">
        <v>0</v>
      </c>
      <c r="Q772" s="1">
        <v>-97643900</v>
      </c>
      <c r="R772" s="1">
        <f t="shared" si="25"/>
        <v>6645894019</v>
      </c>
    </row>
    <row r="773" spans="1:18">
      <c r="A773" t="s">
        <v>780</v>
      </c>
      <c r="C773" s="3">
        <v>4465200</v>
      </c>
      <c r="D773" s="3">
        <v>13488470000</v>
      </c>
      <c r="E773" s="3">
        <v>2773934596</v>
      </c>
      <c r="F773" s="3">
        <v>4767349000</v>
      </c>
      <c r="G773" s="3">
        <v>49610000</v>
      </c>
      <c r="H773" s="3">
        <v>12285741</v>
      </c>
      <c r="I773" s="3">
        <v>0</v>
      </c>
      <c r="J773" s="3">
        <v>0</v>
      </c>
      <c r="K773" s="3">
        <v>0</v>
      </c>
      <c r="L773" s="3">
        <f t="shared" si="24"/>
        <v>21096114537</v>
      </c>
      <c r="M773" s="1">
        <v>-2599079654</v>
      </c>
      <c r="N773" s="1">
        <v>-2568557920</v>
      </c>
      <c r="O773" s="1">
        <v>-13642750</v>
      </c>
      <c r="P773" s="1">
        <v>0</v>
      </c>
      <c r="Q773" s="1">
        <v>0</v>
      </c>
      <c r="R773" s="1">
        <f t="shared" si="25"/>
        <v>15914834213</v>
      </c>
    </row>
    <row r="774" spans="1:18">
      <c r="A774" t="s">
        <v>781</v>
      </c>
      <c r="C774" s="3">
        <v>1062500</v>
      </c>
      <c r="D774" s="3">
        <v>3351882400</v>
      </c>
      <c r="E774" s="3">
        <v>1439278318</v>
      </c>
      <c r="F774" s="3">
        <v>1064785818</v>
      </c>
      <c r="G774" s="3">
        <v>0</v>
      </c>
      <c r="H774" s="3">
        <v>6405745</v>
      </c>
      <c r="I774" s="3">
        <v>0</v>
      </c>
      <c r="J774" s="3">
        <v>29200000</v>
      </c>
      <c r="K774" s="3">
        <v>149039725</v>
      </c>
      <c r="L774" s="3">
        <f t="shared" si="24"/>
        <v>6041654506</v>
      </c>
      <c r="M774" s="1">
        <v>-1141549828</v>
      </c>
      <c r="N774" s="1">
        <v>-187602834</v>
      </c>
      <c r="O774" s="1">
        <v>0</v>
      </c>
      <c r="P774" s="1">
        <v>0</v>
      </c>
      <c r="Q774" s="1">
        <v>-149039725</v>
      </c>
      <c r="R774" s="1">
        <f t="shared" si="25"/>
        <v>4563462119</v>
      </c>
    </row>
    <row r="775" spans="1:18">
      <c r="A775" t="s">
        <v>782</v>
      </c>
      <c r="C775" s="3">
        <v>2302925</v>
      </c>
      <c r="D775" s="3">
        <v>200000000</v>
      </c>
      <c r="E775" s="3">
        <v>1240287362</v>
      </c>
      <c r="F775" s="3">
        <v>2042873000</v>
      </c>
      <c r="G775" s="3">
        <v>0</v>
      </c>
      <c r="H775" s="3">
        <v>30302346</v>
      </c>
      <c r="I775" s="3">
        <v>0</v>
      </c>
      <c r="J775" s="3">
        <v>0</v>
      </c>
      <c r="K775" s="3">
        <v>0</v>
      </c>
      <c r="L775" s="3">
        <f t="shared" si="24"/>
        <v>3515765633</v>
      </c>
      <c r="M775" s="1">
        <v>-1153142841</v>
      </c>
      <c r="N775" s="1">
        <v>-388145870</v>
      </c>
      <c r="O775" s="1">
        <v>0</v>
      </c>
      <c r="P775" s="1">
        <v>0</v>
      </c>
      <c r="Q775" s="1">
        <v>0</v>
      </c>
      <c r="R775" s="1">
        <f t="shared" si="25"/>
        <v>1974476922</v>
      </c>
    </row>
    <row r="776" spans="1:18">
      <c r="A776" t="s">
        <v>783</v>
      </c>
      <c r="C776" s="3">
        <v>1975400</v>
      </c>
      <c r="D776" s="3">
        <v>894000000</v>
      </c>
      <c r="E776" s="3">
        <v>1048523980</v>
      </c>
      <c r="F776" s="3">
        <v>4671380100</v>
      </c>
      <c r="G776" s="3">
        <v>10383240</v>
      </c>
      <c r="H776" s="3">
        <v>5667346</v>
      </c>
      <c r="I776" s="3">
        <v>0</v>
      </c>
      <c r="J776" s="3">
        <v>0</v>
      </c>
      <c r="K776" s="3">
        <v>26900000</v>
      </c>
      <c r="L776" s="3">
        <f t="shared" si="24"/>
        <v>6658830066</v>
      </c>
      <c r="M776" s="1">
        <v>-828214351</v>
      </c>
      <c r="N776" s="1">
        <v>-530432041</v>
      </c>
      <c r="O776" s="1">
        <v>-5529568</v>
      </c>
      <c r="P776" s="1">
        <v>0</v>
      </c>
      <c r="Q776" s="1">
        <v>-26900000</v>
      </c>
      <c r="R776" s="1">
        <f t="shared" si="25"/>
        <v>5267754106</v>
      </c>
    </row>
    <row r="777" spans="1:18">
      <c r="A777" t="s">
        <v>784</v>
      </c>
      <c r="C777" s="3">
        <v>0</v>
      </c>
      <c r="D777" s="3">
        <v>1457430000</v>
      </c>
      <c r="E777" s="3">
        <v>1760818767</v>
      </c>
      <c r="F777" s="3">
        <v>4656740167</v>
      </c>
      <c r="G777" s="3">
        <v>0</v>
      </c>
      <c r="H777" s="3">
        <v>28203470</v>
      </c>
      <c r="I777" s="3">
        <v>0</v>
      </c>
      <c r="J777" s="3">
        <v>0</v>
      </c>
      <c r="K777" s="3">
        <v>0</v>
      </c>
      <c r="L777" s="3">
        <f t="shared" si="24"/>
        <v>7903192404</v>
      </c>
      <c r="M777" s="1">
        <v>-1612402812</v>
      </c>
      <c r="N777" s="1">
        <v>-2889354799</v>
      </c>
      <c r="O777" s="1">
        <v>0</v>
      </c>
      <c r="P777" s="1">
        <v>0</v>
      </c>
      <c r="Q777" s="1">
        <v>0</v>
      </c>
      <c r="R777" s="1">
        <f t="shared" si="25"/>
        <v>3401434793</v>
      </c>
    </row>
    <row r="778" spans="1:18">
      <c r="A778" t="s">
        <v>785</v>
      </c>
      <c r="C778" s="3">
        <v>10657564</v>
      </c>
      <c r="D778" s="3">
        <v>1480000000</v>
      </c>
      <c r="E778" s="3">
        <v>3886412120</v>
      </c>
      <c r="F778" s="3">
        <v>11548237967</v>
      </c>
      <c r="G778" s="3">
        <v>525801862</v>
      </c>
      <c r="H778" s="3">
        <v>36908507</v>
      </c>
      <c r="I778" s="3">
        <v>0</v>
      </c>
      <c r="J778" s="3">
        <v>20000000</v>
      </c>
      <c r="K778" s="3">
        <v>50228162</v>
      </c>
      <c r="L778" s="3">
        <f t="shared" si="24"/>
        <v>17558246182</v>
      </c>
      <c r="M778" s="1">
        <v>-3157666518</v>
      </c>
      <c r="N778" s="1">
        <v>-1514103338</v>
      </c>
      <c r="O778" s="1">
        <v>-341771209</v>
      </c>
      <c r="P778" s="1">
        <v>0</v>
      </c>
      <c r="Q778" s="1">
        <v>-43765662</v>
      </c>
      <c r="R778" s="1">
        <f t="shared" si="25"/>
        <v>12500939455</v>
      </c>
    </row>
    <row r="779" spans="1:18">
      <c r="A779" t="s">
        <v>786</v>
      </c>
      <c r="C779" s="3">
        <v>58000</v>
      </c>
      <c r="D779" s="3">
        <v>483000000</v>
      </c>
      <c r="E779" s="3">
        <v>1520820769</v>
      </c>
      <c r="F779" s="3">
        <v>7850149400</v>
      </c>
      <c r="G779" s="3">
        <v>0</v>
      </c>
      <c r="H779" s="3">
        <v>408000</v>
      </c>
      <c r="I779" s="3">
        <v>467030000</v>
      </c>
      <c r="J779" s="3">
        <v>0</v>
      </c>
      <c r="K779" s="3">
        <v>110582910</v>
      </c>
      <c r="L779" s="3">
        <f t="shared" si="24"/>
        <v>10432049079</v>
      </c>
      <c r="M779" s="1">
        <v>-1191379606</v>
      </c>
      <c r="N779" s="1">
        <v>-585159342</v>
      </c>
      <c r="O779" s="1">
        <v>0</v>
      </c>
      <c r="P779" s="1">
        <v>0</v>
      </c>
      <c r="Q779" s="1">
        <v>-110582910</v>
      </c>
      <c r="R779" s="1">
        <f t="shared" si="25"/>
        <v>8544927221</v>
      </c>
    </row>
    <row r="780" spans="1:18">
      <c r="A780" t="s">
        <v>787</v>
      </c>
      <c r="C780" s="3">
        <v>3417060</v>
      </c>
      <c r="D780" s="3">
        <v>1992524000</v>
      </c>
      <c r="E780" s="3">
        <v>1141205796</v>
      </c>
      <c r="F780" s="3">
        <v>2486830008</v>
      </c>
      <c r="G780" s="3">
        <v>0</v>
      </c>
      <c r="H780" s="3">
        <v>18039148</v>
      </c>
      <c r="I780" s="3">
        <v>7608155000</v>
      </c>
      <c r="J780" s="3">
        <v>0</v>
      </c>
      <c r="K780" s="3">
        <v>34277530</v>
      </c>
      <c r="L780" s="3">
        <f t="shared" si="24"/>
        <v>13284448542</v>
      </c>
      <c r="M780" s="1">
        <v>-1082684825</v>
      </c>
      <c r="N780" s="1">
        <v>-470069101</v>
      </c>
      <c r="O780" s="1">
        <v>0</v>
      </c>
      <c r="P780" s="1">
        <v>0</v>
      </c>
      <c r="Q780" s="1">
        <v>-34277530</v>
      </c>
      <c r="R780" s="1">
        <f t="shared" si="25"/>
        <v>11697417086</v>
      </c>
    </row>
    <row r="781" spans="1:18">
      <c r="A781" t="s">
        <v>788</v>
      </c>
      <c r="C781" s="3">
        <v>11451018</v>
      </c>
      <c r="D781" s="3">
        <v>7251444300</v>
      </c>
      <c r="E781" s="3">
        <v>4453968746</v>
      </c>
      <c r="F781" s="3">
        <v>40715188725</v>
      </c>
      <c r="G781" s="3">
        <v>537035000</v>
      </c>
      <c r="H781" s="3">
        <v>6355062</v>
      </c>
      <c r="I781" s="3">
        <v>49165791825</v>
      </c>
      <c r="J781" s="3">
        <v>0</v>
      </c>
      <c r="K781" s="3">
        <v>395641850</v>
      </c>
      <c r="L781" s="3">
        <f t="shared" si="24"/>
        <v>102536876526</v>
      </c>
      <c r="M781" s="1">
        <v>-4000932012</v>
      </c>
      <c r="N781" s="1">
        <v>-1863779198</v>
      </c>
      <c r="O781" s="1">
        <v>-122546043</v>
      </c>
      <c r="P781" s="1">
        <v>0</v>
      </c>
      <c r="Q781" s="1">
        <v>-395641850</v>
      </c>
      <c r="R781" s="1">
        <f t="shared" si="25"/>
        <v>96153977423</v>
      </c>
    </row>
    <row r="782" spans="1:18">
      <c r="A782" t="s">
        <v>789</v>
      </c>
      <c r="C782" s="3">
        <v>3095200</v>
      </c>
      <c r="D782" s="3">
        <v>3994380000</v>
      </c>
      <c r="E782" s="3">
        <v>2527756800</v>
      </c>
      <c r="F782" s="3">
        <v>10214622164</v>
      </c>
      <c r="G782" s="3">
        <v>0</v>
      </c>
      <c r="H782" s="3">
        <v>285000</v>
      </c>
      <c r="I782" s="3">
        <v>0</v>
      </c>
      <c r="J782" s="3">
        <v>99004550</v>
      </c>
      <c r="K782" s="3">
        <v>2902000</v>
      </c>
      <c r="L782" s="3">
        <f t="shared" si="24"/>
        <v>16842045714</v>
      </c>
      <c r="M782" s="1">
        <v>-1178495030</v>
      </c>
      <c r="N782" s="1">
        <v>-295503630</v>
      </c>
      <c r="O782" s="1">
        <v>0</v>
      </c>
      <c r="P782" s="1">
        <v>0</v>
      </c>
      <c r="Q782" s="1">
        <v>-2205040</v>
      </c>
      <c r="R782" s="1">
        <f t="shared" si="25"/>
        <v>15365842014</v>
      </c>
    </row>
    <row r="783" spans="1:18">
      <c r="A783" t="s">
        <v>790</v>
      </c>
      <c r="C783" s="3">
        <v>14742050</v>
      </c>
      <c r="D783" s="3">
        <v>5471646700</v>
      </c>
      <c r="E783" s="3">
        <v>2225352112</v>
      </c>
      <c r="F783" s="3">
        <v>9654878819</v>
      </c>
      <c r="G783" s="3">
        <v>0</v>
      </c>
      <c r="H783" s="3">
        <v>65209498</v>
      </c>
      <c r="I783" s="3">
        <v>0</v>
      </c>
      <c r="J783" s="3">
        <v>0</v>
      </c>
      <c r="K783" s="3">
        <v>475564655</v>
      </c>
      <c r="L783" s="3">
        <f t="shared" si="24"/>
        <v>17907393834</v>
      </c>
      <c r="M783" s="1">
        <v>-2030018525</v>
      </c>
      <c r="N783" s="1">
        <v>-824336391</v>
      </c>
      <c r="O783" s="1">
        <v>0</v>
      </c>
      <c r="P783" s="1">
        <v>0</v>
      </c>
      <c r="Q783" s="1">
        <v>-475544655</v>
      </c>
      <c r="R783" s="1">
        <f t="shared" si="25"/>
        <v>14577494263</v>
      </c>
    </row>
    <row r="784" spans="1:18">
      <c r="A784" t="s">
        <v>791</v>
      </c>
      <c r="C784" s="3">
        <v>5710000</v>
      </c>
      <c r="D784" s="3">
        <v>6063781240</v>
      </c>
      <c r="E784" s="3">
        <v>2379200737</v>
      </c>
      <c r="F784" s="3">
        <v>12041256000</v>
      </c>
      <c r="G784" s="3">
        <v>0</v>
      </c>
      <c r="H784" s="3">
        <v>1943440</v>
      </c>
      <c r="I784" s="3">
        <v>0</v>
      </c>
      <c r="J784" s="3">
        <v>0</v>
      </c>
      <c r="K784" s="3">
        <v>0</v>
      </c>
      <c r="L784" s="3">
        <f t="shared" si="24"/>
        <v>20491891417</v>
      </c>
      <c r="M784" s="1">
        <v>-1193549113</v>
      </c>
      <c r="N784" s="1">
        <v>-1285393520</v>
      </c>
      <c r="O784" s="1">
        <v>0</v>
      </c>
      <c r="P784" s="1">
        <v>0</v>
      </c>
      <c r="Q784" s="1">
        <v>0</v>
      </c>
      <c r="R784" s="1">
        <f t="shared" si="25"/>
        <v>18012948784</v>
      </c>
    </row>
    <row r="785" spans="1:18">
      <c r="A785" t="s">
        <v>792</v>
      </c>
      <c r="C785" s="3">
        <v>1883000</v>
      </c>
      <c r="D785" s="3">
        <v>585113000</v>
      </c>
      <c r="E785" s="3">
        <v>1206446617</v>
      </c>
      <c r="F785" s="3">
        <v>3832162000</v>
      </c>
      <c r="G785" s="3">
        <v>194610000</v>
      </c>
      <c r="H785" s="3">
        <v>4772118</v>
      </c>
      <c r="I785" s="3">
        <v>0</v>
      </c>
      <c r="J785" s="3">
        <v>0</v>
      </c>
      <c r="K785" s="3">
        <v>0</v>
      </c>
      <c r="L785" s="3">
        <f t="shared" si="24"/>
        <v>5824986735</v>
      </c>
      <c r="M785" s="1">
        <v>-1003988785</v>
      </c>
      <c r="N785" s="1">
        <v>-2635501360</v>
      </c>
      <c r="O785" s="1">
        <v>-107035500</v>
      </c>
      <c r="P785" s="1">
        <v>0</v>
      </c>
      <c r="Q785" s="1">
        <v>0</v>
      </c>
      <c r="R785" s="1">
        <f t="shared" si="25"/>
        <v>2078461090</v>
      </c>
    </row>
    <row r="786" spans="1:18">
      <c r="A786" t="s">
        <v>793</v>
      </c>
      <c r="C786" s="3">
        <v>1555600</v>
      </c>
      <c r="D786" s="3">
        <v>3050864520</v>
      </c>
      <c r="E786" s="3">
        <v>1885199869</v>
      </c>
      <c r="F786" s="3">
        <v>7527554429</v>
      </c>
      <c r="G786" s="3">
        <v>55119300</v>
      </c>
      <c r="H786" s="3">
        <v>20000</v>
      </c>
      <c r="I786" s="3">
        <v>0</v>
      </c>
      <c r="J786" s="3">
        <v>10650000</v>
      </c>
      <c r="K786" s="3">
        <v>19000</v>
      </c>
      <c r="L786" s="3">
        <f t="shared" si="24"/>
        <v>12530982718</v>
      </c>
      <c r="M786" s="1">
        <v>-1591811876</v>
      </c>
      <c r="N786" s="1">
        <v>-1067076165</v>
      </c>
      <c r="O786" s="1">
        <v>-10125566</v>
      </c>
      <c r="P786" s="1">
        <v>0</v>
      </c>
      <c r="Q786" s="1">
        <v>-19000</v>
      </c>
      <c r="R786" s="1">
        <f t="shared" si="25"/>
        <v>9861950111</v>
      </c>
    </row>
    <row r="787" spans="1:18">
      <c r="A787" t="s">
        <v>794</v>
      </c>
      <c r="C787" s="3">
        <v>2455306</v>
      </c>
      <c r="D787" s="3">
        <v>167500000</v>
      </c>
      <c r="E787" s="3">
        <v>1141870665</v>
      </c>
      <c r="F787" s="3">
        <v>1398943179</v>
      </c>
      <c r="G787" s="3">
        <v>59395000</v>
      </c>
      <c r="H787" s="3">
        <v>0</v>
      </c>
      <c r="I787" s="3">
        <v>0</v>
      </c>
      <c r="J787" s="3">
        <v>0</v>
      </c>
      <c r="K787" s="3">
        <v>357105896</v>
      </c>
      <c r="L787" s="3">
        <f t="shared" si="24"/>
        <v>3127270046</v>
      </c>
      <c r="M787" s="1">
        <v>-1039032345</v>
      </c>
      <c r="N787" s="1">
        <v>-299107333</v>
      </c>
      <c r="O787" s="1">
        <v>-9608754</v>
      </c>
      <c r="P787" s="1">
        <v>0</v>
      </c>
      <c r="Q787" s="1">
        <v>-357105896</v>
      </c>
      <c r="R787" s="1">
        <f t="shared" si="25"/>
        <v>1422415718</v>
      </c>
    </row>
    <row r="788" spans="1:18">
      <c r="A788" t="s">
        <v>795</v>
      </c>
      <c r="C788" s="3">
        <v>4047950</v>
      </c>
      <c r="D788" s="3">
        <v>264226400</v>
      </c>
      <c r="E788" s="3">
        <v>1606998137</v>
      </c>
      <c r="F788" s="3">
        <v>6135564102</v>
      </c>
      <c r="G788" s="3">
        <v>18370000</v>
      </c>
      <c r="H788" s="3">
        <v>0</v>
      </c>
      <c r="I788" s="3">
        <v>0</v>
      </c>
      <c r="J788" s="3">
        <v>0</v>
      </c>
      <c r="K788" s="3">
        <v>203019600</v>
      </c>
      <c r="L788" s="3">
        <f t="shared" si="24"/>
        <v>8232226189</v>
      </c>
      <c r="M788" s="1">
        <v>-1344477251</v>
      </c>
      <c r="N788" s="1">
        <v>-604473705</v>
      </c>
      <c r="O788" s="1">
        <v>-4592500</v>
      </c>
      <c r="P788" s="1">
        <v>0</v>
      </c>
      <c r="Q788" s="1">
        <v>-202844600</v>
      </c>
      <c r="R788" s="1">
        <f t="shared" si="25"/>
        <v>6075838133</v>
      </c>
    </row>
    <row r="789" spans="1:18">
      <c r="A789" t="s">
        <v>796</v>
      </c>
      <c r="C789" s="3">
        <v>14635211</v>
      </c>
      <c r="D789" s="3">
        <v>2795850000</v>
      </c>
      <c r="E789" s="3">
        <v>3000202166</v>
      </c>
      <c r="F789" s="3">
        <v>7398044817</v>
      </c>
      <c r="G789" s="3">
        <v>111348400</v>
      </c>
      <c r="H789" s="3">
        <v>5740000</v>
      </c>
      <c r="I789" s="3">
        <v>0</v>
      </c>
      <c r="J789" s="3">
        <v>0</v>
      </c>
      <c r="K789" s="3">
        <v>2170000</v>
      </c>
      <c r="L789" s="3">
        <f t="shared" si="24"/>
        <v>13327990594</v>
      </c>
      <c r="M789" s="1">
        <v>-2766305309</v>
      </c>
      <c r="N789" s="1">
        <v>-1224722611</v>
      </c>
      <c r="O789" s="1">
        <v>-14735385</v>
      </c>
      <c r="P789" s="1">
        <v>0</v>
      </c>
      <c r="Q789" s="1">
        <v>-2170000</v>
      </c>
      <c r="R789" s="1">
        <f t="shared" si="25"/>
        <v>9320057289</v>
      </c>
    </row>
    <row r="790" spans="1:18">
      <c r="A790" t="s">
        <v>797</v>
      </c>
      <c r="C790" s="3">
        <v>37738846</v>
      </c>
      <c r="D790" s="3">
        <v>10010136840</v>
      </c>
      <c r="E790" s="3">
        <v>3532531235</v>
      </c>
      <c r="F790" s="3">
        <v>12189216502</v>
      </c>
      <c r="G790" s="3">
        <v>118483400</v>
      </c>
      <c r="H790" s="3">
        <v>50331266</v>
      </c>
      <c r="I790" s="3">
        <v>0</v>
      </c>
      <c r="J790" s="3">
        <v>11678000</v>
      </c>
      <c r="K790" s="3">
        <v>198928612</v>
      </c>
      <c r="L790" s="3">
        <f t="shared" si="24"/>
        <v>26149044701</v>
      </c>
      <c r="M790" s="1">
        <v>-3385580591</v>
      </c>
      <c r="N790" s="1">
        <v>-2257185822</v>
      </c>
      <c r="O790" s="1">
        <v>-34006468</v>
      </c>
      <c r="P790" s="1">
        <v>0</v>
      </c>
      <c r="Q790" s="1">
        <v>-113673493</v>
      </c>
      <c r="R790" s="1">
        <f t="shared" si="25"/>
        <v>20358598327</v>
      </c>
    </row>
    <row r="791" spans="1:18">
      <c r="A791" t="s">
        <v>798</v>
      </c>
      <c r="C791" s="3">
        <v>3168050</v>
      </c>
      <c r="D791" s="3">
        <v>0</v>
      </c>
      <c r="E791" s="3">
        <v>1525965790</v>
      </c>
      <c r="F791" s="3">
        <v>6541498542</v>
      </c>
      <c r="G791" s="3">
        <v>14200000</v>
      </c>
      <c r="H791" s="3">
        <v>0</v>
      </c>
      <c r="I791" s="3">
        <v>0</v>
      </c>
      <c r="J791" s="3">
        <v>6500000</v>
      </c>
      <c r="K791" s="3">
        <v>0</v>
      </c>
      <c r="L791" s="3">
        <f t="shared" si="24"/>
        <v>8091332382</v>
      </c>
      <c r="M791" s="1">
        <v>-496727535</v>
      </c>
      <c r="N791" s="1">
        <v>-196244955</v>
      </c>
      <c r="O791" s="1">
        <v>-1420000</v>
      </c>
      <c r="P791" s="1">
        <v>0</v>
      </c>
      <c r="Q791" s="1">
        <v>0</v>
      </c>
      <c r="R791" s="1">
        <f t="shared" si="25"/>
        <v>7396939892</v>
      </c>
    </row>
    <row r="792" spans="1:18">
      <c r="A792" t="s">
        <v>799</v>
      </c>
      <c r="C792" s="3">
        <v>2857634</v>
      </c>
      <c r="D792" s="3">
        <v>4751977360</v>
      </c>
      <c r="E792" s="3">
        <v>3070407401</v>
      </c>
      <c r="F792" s="3">
        <v>19563615450</v>
      </c>
      <c r="G792" s="3">
        <v>206189000</v>
      </c>
      <c r="H792" s="3">
        <v>20156440</v>
      </c>
      <c r="I792" s="3">
        <v>0</v>
      </c>
      <c r="J792" s="3">
        <v>0</v>
      </c>
      <c r="K792" s="3">
        <v>4987821000</v>
      </c>
      <c r="L792" s="3">
        <f t="shared" si="24"/>
        <v>32603024285</v>
      </c>
      <c r="M792" s="1">
        <v>-2770623390</v>
      </c>
      <c r="N792" s="1">
        <v>-5044379386</v>
      </c>
      <c r="O792" s="1">
        <v>-31728350</v>
      </c>
      <c r="P792" s="1">
        <v>0</v>
      </c>
      <c r="Q792" s="1">
        <v>-1076000</v>
      </c>
      <c r="R792" s="1">
        <f t="shared" si="25"/>
        <v>24755217159</v>
      </c>
    </row>
    <row r="793" spans="1:18">
      <c r="A793" t="s">
        <v>800</v>
      </c>
      <c r="C793" s="3">
        <v>0</v>
      </c>
      <c r="D793" s="3">
        <v>2971471050</v>
      </c>
      <c r="E793" s="3">
        <v>1202492642</v>
      </c>
      <c r="F793" s="3">
        <v>9502191950</v>
      </c>
      <c r="G793" s="3">
        <v>353590357</v>
      </c>
      <c r="H793" s="3">
        <v>19563080</v>
      </c>
      <c r="I793" s="3">
        <v>0</v>
      </c>
      <c r="J793" s="3">
        <v>0</v>
      </c>
      <c r="K793" s="3">
        <v>1732000</v>
      </c>
      <c r="L793" s="3">
        <f t="shared" si="24"/>
        <v>14051041079</v>
      </c>
      <c r="M793" s="1">
        <v>-1038086522</v>
      </c>
      <c r="N793" s="1">
        <v>-370449182</v>
      </c>
      <c r="O793" s="1">
        <v>-60061693</v>
      </c>
      <c r="P793" s="1">
        <v>0</v>
      </c>
      <c r="Q793" s="1">
        <v>-1732000</v>
      </c>
      <c r="R793" s="1">
        <f t="shared" si="25"/>
        <v>12580711682</v>
      </c>
    </row>
    <row r="794" spans="1:18">
      <c r="A794" t="s">
        <v>801</v>
      </c>
      <c r="C794" s="3">
        <v>6691147</v>
      </c>
      <c r="D794" s="3">
        <v>3553661000</v>
      </c>
      <c r="E794" s="3">
        <v>2153843617</v>
      </c>
      <c r="F794" s="3">
        <v>8540787200</v>
      </c>
      <c r="G794" s="3">
        <v>0</v>
      </c>
      <c r="H794" s="3">
        <v>19542584</v>
      </c>
      <c r="I794" s="3">
        <v>0</v>
      </c>
      <c r="J794" s="3">
        <v>17000000</v>
      </c>
      <c r="K794" s="3">
        <v>4776000</v>
      </c>
      <c r="L794" s="3">
        <f t="shared" si="24"/>
        <v>14296301548</v>
      </c>
      <c r="M794" s="1">
        <v>-1960998882</v>
      </c>
      <c r="N794" s="1">
        <v>-4476017523</v>
      </c>
      <c r="O794" s="1">
        <v>0</v>
      </c>
      <c r="P794" s="1">
        <v>-14760000</v>
      </c>
      <c r="Q794" s="1">
        <v>-4776000</v>
      </c>
      <c r="R794" s="1">
        <f t="shared" si="25"/>
        <v>7839749143</v>
      </c>
    </row>
    <row r="795" spans="1:18">
      <c r="A795" t="s">
        <v>802</v>
      </c>
      <c r="C795" s="3">
        <v>0</v>
      </c>
      <c r="D795" s="3">
        <v>606800000</v>
      </c>
      <c r="E795" s="3">
        <v>1684986216</v>
      </c>
      <c r="F795" s="3">
        <v>4954192800</v>
      </c>
      <c r="G795" s="3">
        <v>331340000</v>
      </c>
      <c r="H795" s="3">
        <v>62926000</v>
      </c>
      <c r="I795" s="3">
        <v>0</v>
      </c>
      <c r="J795" s="3">
        <v>0</v>
      </c>
      <c r="K795" s="3">
        <v>0</v>
      </c>
      <c r="L795" s="3">
        <f t="shared" si="24"/>
        <v>7640245016</v>
      </c>
      <c r="M795" s="1">
        <v>-1210593955</v>
      </c>
      <c r="N795" s="1">
        <v>-378707192</v>
      </c>
      <c r="O795" s="1">
        <v>-49822046</v>
      </c>
      <c r="P795" s="1">
        <v>0</v>
      </c>
      <c r="Q795" s="1">
        <v>0</v>
      </c>
      <c r="R795" s="1">
        <f t="shared" si="25"/>
        <v>6001121823</v>
      </c>
    </row>
    <row r="796" spans="1:18">
      <c r="A796" t="s">
        <v>803</v>
      </c>
      <c r="C796" s="3">
        <v>201500</v>
      </c>
      <c r="D796" s="3">
        <v>1796595000</v>
      </c>
      <c r="E796" s="3">
        <v>3224219551</v>
      </c>
      <c r="F796" s="3">
        <v>13269173212</v>
      </c>
      <c r="G796" s="3">
        <v>453550000</v>
      </c>
      <c r="H796" s="3">
        <v>44279370</v>
      </c>
      <c r="I796" s="3">
        <v>0</v>
      </c>
      <c r="J796" s="3">
        <v>19655000</v>
      </c>
      <c r="K796" s="3">
        <v>412379000</v>
      </c>
      <c r="L796" s="3">
        <f t="shared" si="24"/>
        <v>19220052633</v>
      </c>
      <c r="M796" s="1">
        <v>-2736728077</v>
      </c>
      <c r="N796" s="1">
        <v>-1609653098</v>
      </c>
      <c r="O796" s="1">
        <v>-154945000</v>
      </c>
      <c r="P796" s="1">
        <v>0</v>
      </c>
      <c r="Q796" s="1">
        <v>-412379000</v>
      </c>
      <c r="R796" s="1">
        <f t="shared" si="25"/>
        <v>14306347458</v>
      </c>
    </row>
    <row r="797" spans="1:18">
      <c r="A797" t="s">
        <v>804</v>
      </c>
      <c r="C797" s="3">
        <v>1066025</v>
      </c>
      <c r="D797" s="3">
        <v>310649777</v>
      </c>
      <c r="E797" s="3">
        <v>2000430843</v>
      </c>
      <c r="F797" s="3">
        <v>5508616063</v>
      </c>
      <c r="G797" s="3">
        <v>238712000</v>
      </c>
      <c r="H797" s="3">
        <v>5854570</v>
      </c>
      <c r="I797" s="3">
        <v>0</v>
      </c>
      <c r="J797" s="3">
        <v>0</v>
      </c>
      <c r="K797" s="3">
        <v>243526231</v>
      </c>
      <c r="L797" s="3">
        <f t="shared" si="24"/>
        <v>8308855509</v>
      </c>
      <c r="M797" s="1">
        <v>-1477485506</v>
      </c>
      <c r="N797" s="1">
        <v>-843987462</v>
      </c>
      <c r="O797" s="1">
        <v>-186381614</v>
      </c>
      <c r="P797" s="1">
        <v>0</v>
      </c>
      <c r="Q797" s="1">
        <v>-165755926</v>
      </c>
      <c r="R797" s="1">
        <f t="shared" si="25"/>
        <v>5635245001</v>
      </c>
    </row>
    <row r="798" spans="1:18">
      <c r="A798" t="s">
        <v>805</v>
      </c>
      <c r="C798" s="3">
        <v>7523869</v>
      </c>
      <c r="D798" s="3">
        <v>148000000</v>
      </c>
      <c r="E798" s="3">
        <v>1206264976</v>
      </c>
      <c r="F798" s="3">
        <v>5718770399</v>
      </c>
      <c r="G798" s="3">
        <v>25370000</v>
      </c>
      <c r="H798" s="3">
        <v>438000</v>
      </c>
      <c r="I798" s="3">
        <v>0</v>
      </c>
      <c r="J798" s="3">
        <v>0</v>
      </c>
      <c r="K798" s="3">
        <v>29100000</v>
      </c>
      <c r="L798" s="3">
        <f t="shared" si="24"/>
        <v>7135467244</v>
      </c>
      <c r="M798" s="1">
        <v>-994837044</v>
      </c>
      <c r="N798" s="1">
        <v>-456048923</v>
      </c>
      <c r="O798" s="1">
        <v>-25370000</v>
      </c>
      <c r="P798" s="1">
        <v>0</v>
      </c>
      <c r="Q798" s="1">
        <v>-29100000</v>
      </c>
      <c r="R798" s="1">
        <f t="shared" si="25"/>
        <v>5630111277</v>
      </c>
    </row>
    <row r="799" spans="1:18">
      <c r="A799" t="s">
        <v>806</v>
      </c>
      <c r="C799" s="3">
        <v>6313180</v>
      </c>
      <c r="D799" s="3">
        <v>2939867975</v>
      </c>
      <c r="E799" s="3">
        <v>3215352101</v>
      </c>
      <c r="F799" s="3">
        <v>14551535800</v>
      </c>
      <c r="G799" s="3">
        <v>485917000</v>
      </c>
      <c r="H799" s="3">
        <v>23086876</v>
      </c>
      <c r="I799" s="3">
        <v>0</v>
      </c>
      <c r="J799" s="3">
        <v>29985000</v>
      </c>
      <c r="K799" s="3">
        <v>0</v>
      </c>
      <c r="L799" s="3">
        <f t="shared" si="24"/>
        <v>21252057932</v>
      </c>
      <c r="M799" s="1">
        <v>-2914173007</v>
      </c>
      <c r="N799" s="1">
        <v>-1694234279</v>
      </c>
      <c r="O799" s="1">
        <v>-205460375</v>
      </c>
      <c r="P799" s="1">
        <v>-13552000</v>
      </c>
      <c r="Q799" s="1">
        <v>0</v>
      </c>
      <c r="R799" s="1">
        <f t="shared" si="25"/>
        <v>16424638271</v>
      </c>
    </row>
    <row r="800" spans="1:18">
      <c r="A800" t="s">
        <v>807</v>
      </c>
      <c r="C800" s="3">
        <v>1810750</v>
      </c>
      <c r="D800" s="3">
        <v>1313228000</v>
      </c>
      <c r="E800" s="3">
        <v>2509338731</v>
      </c>
      <c r="F800" s="3">
        <v>7676043351</v>
      </c>
      <c r="G800" s="3">
        <v>25000000</v>
      </c>
      <c r="H800" s="3">
        <v>0</v>
      </c>
      <c r="I800" s="3">
        <v>0</v>
      </c>
      <c r="J800" s="3">
        <v>0</v>
      </c>
      <c r="K800" s="3">
        <v>0</v>
      </c>
      <c r="L800" s="3">
        <f t="shared" si="24"/>
        <v>11525420832</v>
      </c>
      <c r="M800" s="1">
        <v>-2105853960</v>
      </c>
      <c r="N800" s="1">
        <v>-794789401</v>
      </c>
      <c r="O800" s="1">
        <v>-312500</v>
      </c>
      <c r="P800" s="1">
        <v>0</v>
      </c>
      <c r="Q800" s="1">
        <v>0</v>
      </c>
      <c r="R800" s="1">
        <f t="shared" si="25"/>
        <v>8624464971</v>
      </c>
    </row>
    <row r="801" spans="1:18">
      <c r="A801" t="s">
        <v>808</v>
      </c>
      <c r="C801" s="3">
        <v>139000</v>
      </c>
      <c r="D801" s="3">
        <v>1274434100</v>
      </c>
      <c r="E801" s="3">
        <v>1084529309</v>
      </c>
      <c r="F801" s="3">
        <v>6740688016</v>
      </c>
      <c r="G801" s="3">
        <v>0</v>
      </c>
      <c r="H801" s="3">
        <v>1843000</v>
      </c>
      <c r="I801" s="3">
        <v>0</v>
      </c>
      <c r="J801" s="3">
        <v>0</v>
      </c>
      <c r="K801" s="3">
        <v>0</v>
      </c>
      <c r="L801" s="3">
        <f t="shared" si="24"/>
        <v>9101633425</v>
      </c>
      <c r="M801" s="1">
        <v>-431748374</v>
      </c>
      <c r="N801" s="1">
        <v>-67406880</v>
      </c>
      <c r="O801" s="1">
        <v>0</v>
      </c>
      <c r="P801" s="1">
        <v>0</v>
      </c>
      <c r="Q801" s="1">
        <v>0</v>
      </c>
      <c r="R801" s="1">
        <f t="shared" si="25"/>
        <v>8602478171</v>
      </c>
    </row>
    <row r="802" spans="1:18">
      <c r="A802" t="s">
        <v>809</v>
      </c>
      <c r="C802" s="3">
        <v>0</v>
      </c>
      <c r="D802" s="3">
        <v>8604672870</v>
      </c>
      <c r="E802" s="3">
        <v>1897673045</v>
      </c>
      <c r="F802" s="3">
        <v>7338925679</v>
      </c>
      <c r="G802" s="3">
        <v>94930000</v>
      </c>
      <c r="H802" s="3">
        <v>1943440</v>
      </c>
      <c r="I802" s="3">
        <v>0</v>
      </c>
      <c r="J802" s="3">
        <v>0</v>
      </c>
      <c r="K802" s="3">
        <v>0</v>
      </c>
      <c r="L802" s="3">
        <f t="shared" si="24"/>
        <v>17938145034</v>
      </c>
      <c r="M802" s="1">
        <v>-1475103920</v>
      </c>
      <c r="N802" s="1">
        <v>-810646496</v>
      </c>
      <c r="O802" s="1">
        <v>-17799375</v>
      </c>
      <c r="P802" s="1">
        <v>0</v>
      </c>
      <c r="Q802" s="1">
        <v>0</v>
      </c>
      <c r="R802" s="1">
        <f t="shared" si="25"/>
        <v>15634595243</v>
      </c>
    </row>
    <row r="803" spans="1:18">
      <c r="A803" t="s">
        <v>810</v>
      </c>
      <c r="C803" s="3">
        <v>0</v>
      </c>
      <c r="D803" s="3">
        <v>9082060000</v>
      </c>
      <c r="E803" s="3">
        <v>3909243432</v>
      </c>
      <c r="F803" s="3">
        <v>25640150066</v>
      </c>
      <c r="G803" s="3">
        <v>95636010</v>
      </c>
      <c r="H803" s="3">
        <v>41943440</v>
      </c>
      <c r="I803" s="3">
        <v>0</v>
      </c>
      <c r="J803" s="3">
        <v>0</v>
      </c>
      <c r="K803" s="3">
        <v>2200000</v>
      </c>
      <c r="L803" s="3">
        <f t="shared" si="24"/>
        <v>38771232948</v>
      </c>
      <c r="M803" s="1">
        <v>-3041268488</v>
      </c>
      <c r="N803" s="1">
        <v>-3436047397</v>
      </c>
      <c r="O803" s="1">
        <v>-16720179</v>
      </c>
      <c r="P803" s="1">
        <v>0</v>
      </c>
      <c r="Q803" s="1">
        <v>-2200000</v>
      </c>
      <c r="R803" s="1">
        <f t="shared" si="25"/>
        <v>32274996884</v>
      </c>
    </row>
    <row r="804" spans="1:18">
      <c r="A804" t="s">
        <v>811</v>
      </c>
      <c r="C804" s="3">
        <v>380500</v>
      </c>
      <c r="D804" s="3">
        <v>1354023000</v>
      </c>
      <c r="E804" s="3">
        <v>1296421802</v>
      </c>
      <c r="F804" s="3">
        <v>7193681912</v>
      </c>
      <c r="G804" s="3">
        <v>124000000</v>
      </c>
      <c r="H804" s="3">
        <v>11889529</v>
      </c>
      <c r="I804" s="3">
        <v>0</v>
      </c>
      <c r="J804" s="3">
        <v>0</v>
      </c>
      <c r="K804" s="3">
        <v>134190750</v>
      </c>
      <c r="L804" s="3">
        <f t="shared" si="24"/>
        <v>10114587493</v>
      </c>
      <c r="M804" s="1">
        <v>-1069108307</v>
      </c>
      <c r="N804" s="1">
        <v>-1324728693</v>
      </c>
      <c r="O804" s="1">
        <v>-9568750</v>
      </c>
      <c r="P804" s="1">
        <v>0</v>
      </c>
      <c r="Q804" s="1">
        <v>-134190750</v>
      </c>
      <c r="R804" s="1">
        <f t="shared" si="25"/>
        <v>7576990993</v>
      </c>
    </row>
    <row r="805" spans="1:18">
      <c r="A805" t="s">
        <v>812</v>
      </c>
      <c r="C805" s="3">
        <v>399000</v>
      </c>
      <c r="D805" s="3">
        <v>490280200</v>
      </c>
      <c r="E805" s="3">
        <v>847770397</v>
      </c>
      <c r="F805" s="3">
        <v>132178800</v>
      </c>
      <c r="G805" s="3">
        <v>0</v>
      </c>
      <c r="H805" s="3">
        <v>2328000</v>
      </c>
      <c r="I805" s="3">
        <v>0</v>
      </c>
      <c r="J805" s="3">
        <v>0</v>
      </c>
      <c r="K805" s="3">
        <v>47059</v>
      </c>
      <c r="L805" s="3">
        <f t="shared" si="24"/>
        <v>1473003456</v>
      </c>
      <c r="M805" s="1">
        <v>-767326904</v>
      </c>
      <c r="N805" s="1">
        <v>-57288213</v>
      </c>
      <c r="O805" s="1">
        <v>0</v>
      </c>
      <c r="P805" s="1">
        <v>0</v>
      </c>
      <c r="Q805" s="1">
        <v>-47059</v>
      </c>
      <c r="R805" s="1">
        <f t="shared" si="25"/>
        <v>648341280</v>
      </c>
    </row>
    <row r="806" spans="1:18">
      <c r="A806" t="s">
        <v>813</v>
      </c>
      <c r="C806" s="3">
        <v>0</v>
      </c>
      <c r="D806" s="3">
        <v>320384030</v>
      </c>
      <c r="E806" s="3">
        <v>1278989345</v>
      </c>
      <c r="F806" s="3">
        <v>6663699143</v>
      </c>
      <c r="G806" s="3">
        <v>0</v>
      </c>
      <c r="H806" s="3">
        <v>2276650</v>
      </c>
      <c r="I806" s="3">
        <v>0</v>
      </c>
      <c r="J806" s="3">
        <v>4950000</v>
      </c>
      <c r="K806" s="3">
        <v>4394701</v>
      </c>
      <c r="L806" s="3">
        <f t="shared" si="24"/>
        <v>8274693869</v>
      </c>
      <c r="M806" s="1">
        <v>-1147260131</v>
      </c>
      <c r="N806" s="1">
        <v>-1153047894</v>
      </c>
      <c r="O806" s="1">
        <v>0</v>
      </c>
      <c r="P806" s="1">
        <v>0</v>
      </c>
      <c r="Q806" s="1">
        <v>-4394701</v>
      </c>
      <c r="R806" s="1">
        <f t="shared" si="25"/>
        <v>5969991143</v>
      </c>
    </row>
    <row r="807" spans="1:18">
      <c r="A807" t="s">
        <v>814</v>
      </c>
      <c r="C807" s="3">
        <v>765000</v>
      </c>
      <c r="D807" s="3">
        <v>168375000</v>
      </c>
      <c r="E807" s="3">
        <v>614024800</v>
      </c>
      <c r="F807" s="3">
        <v>732626700</v>
      </c>
      <c r="G807" s="3">
        <v>0</v>
      </c>
      <c r="H807" s="3">
        <v>408000</v>
      </c>
      <c r="I807" s="3">
        <v>0</v>
      </c>
      <c r="J807" s="3">
        <v>0</v>
      </c>
      <c r="K807" s="3">
        <v>75029098</v>
      </c>
      <c r="L807" s="3">
        <f t="shared" si="24"/>
        <v>1591228598</v>
      </c>
      <c r="M807" s="1">
        <v>-548199380</v>
      </c>
      <c r="N807" s="1">
        <v>-196558384</v>
      </c>
      <c r="O807" s="1">
        <v>0</v>
      </c>
      <c r="P807" s="1">
        <v>0</v>
      </c>
      <c r="Q807" s="1">
        <v>-75029098</v>
      </c>
      <c r="R807" s="1">
        <f t="shared" si="25"/>
        <v>771441736</v>
      </c>
    </row>
    <row r="808" spans="1:18">
      <c r="A808" t="s">
        <v>815</v>
      </c>
      <c r="C808" s="3">
        <v>0</v>
      </c>
      <c r="D808" s="3">
        <v>1916600000</v>
      </c>
      <c r="E808" s="3">
        <v>1857087537</v>
      </c>
      <c r="F808" s="3">
        <v>821929500</v>
      </c>
      <c r="G808" s="3">
        <v>129576800</v>
      </c>
      <c r="H808" s="3">
        <v>3867500</v>
      </c>
      <c r="I808" s="3">
        <v>9193595700</v>
      </c>
      <c r="J808" s="3">
        <v>0</v>
      </c>
      <c r="K808" s="3">
        <v>27000000</v>
      </c>
      <c r="L808" s="3">
        <f t="shared" si="24"/>
        <v>13949657037</v>
      </c>
      <c r="M808" s="1">
        <v>-1250204821</v>
      </c>
      <c r="N808" s="1">
        <v>-129437160</v>
      </c>
      <c r="O808" s="1">
        <v>-1619710</v>
      </c>
      <c r="P808" s="1">
        <v>0</v>
      </c>
      <c r="Q808" s="1">
        <v>-27000000</v>
      </c>
      <c r="R808" s="1">
        <f t="shared" si="25"/>
        <v>12541395346</v>
      </c>
    </row>
    <row r="809" spans="1:18">
      <c r="A809" t="s">
        <v>816</v>
      </c>
      <c r="C809" s="3">
        <v>1006400</v>
      </c>
      <c r="D809" s="3">
        <v>1615831500</v>
      </c>
      <c r="E809" s="3">
        <v>956095133</v>
      </c>
      <c r="F809" s="3">
        <v>1076682700</v>
      </c>
      <c r="G809" s="3">
        <v>16400000</v>
      </c>
      <c r="H809" s="3">
        <v>3920620</v>
      </c>
      <c r="I809" s="3">
        <v>5977690750</v>
      </c>
      <c r="J809" s="3">
        <v>11550000</v>
      </c>
      <c r="K809" s="3">
        <v>75171600</v>
      </c>
      <c r="L809" s="3">
        <f t="shared" si="24"/>
        <v>9734348703</v>
      </c>
      <c r="M809" s="1">
        <v>-574639710</v>
      </c>
      <c r="N809" s="1">
        <v>-152707775</v>
      </c>
      <c r="O809" s="1">
        <v>-1640000</v>
      </c>
      <c r="P809" s="1">
        <v>0</v>
      </c>
      <c r="Q809" s="1">
        <v>-75171600</v>
      </c>
      <c r="R809" s="1">
        <f t="shared" si="25"/>
        <v>8930189618</v>
      </c>
    </row>
    <row r="810" spans="1:18">
      <c r="A810" t="s">
        <v>817</v>
      </c>
      <c r="C810" s="3">
        <v>129000</v>
      </c>
      <c r="D810" s="3">
        <v>484000000</v>
      </c>
      <c r="E810" s="3">
        <v>1673970417</v>
      </c>
      <c r="F810" s="3">
        <v>2441827700</v>
      </c>
      <c r="G810" s="3">
        <v>207018168</v>
      </c>
      <c r="H810" s="3">
        <v>1943440</v>
      </c>
      <c r="I810" s="3">
        <v>0</v>
      </c>
      <c r="J810" s="3">
        <v>0</v>
      </c>
      <c r="K810" s="3">
        <v>172592900</v>
      </c>
      <c r="L810" s="3">
        <f t="shared" si="24"/>
        <v>4981481625</v>
      </c>
      <c r="M810" s="1">
        <v>-1415121382</v>
      </c>
      <c r="N810" s="1">
        <v>-463881832</v>
      </c>
      <c r="O810" s="1">
        <v>-33640451</v>
      </c>
      <c r="P810" s="1">
        <v>0</v>
      </c>
      <c r="Q810" s="1">
        <v>-172592900</v>
      </c>
      <c r="R810" s="1">
        <f t="shared" si="25"/>
        <v>2896245060</v>
      </c>
    </row>
    <row r="811" spans="1:18">
      <c r="A811" t="s">
        <v>818</v>
      </c>
      <c r="C811" s="3">
        <v>0</v>
      </c>
      <c r="D811" s="3">
        <v>1794000000</v>
      </c>
      <c r="E811" s="3">
        <v>1586817696</v>
      </c>
      <c r="F811" s="3">
        <v>14228339657</v>
      </c>
      <c r="G811" s="3">
        <v>0</v>
      </c>
      <c r="H811" s="3">
        <v>1943440</v>
      </c>
      <c r="I811" s="3">
        <v>0</v>
      </c>
      <c r="J811" s="3">
        <v>0</v>
      </c>
      <c r="K811" s="3">
        <v>0</v>
      </c>
      <c r="L811" s="3">
        <f t="shared" si="24"/>
        <v>17611100793</v>
      </c>
      <c r="M811" s="1">
        <v>-988710348</v>
      </c>
      <c r="N811" s="1">
        <v>-142283397</v>
      </c>
      <c r="O811" s="1">
        <v>0</v>
      </c>
      <c r="P811" s="1">
        <v>0</v>
      </c>
      <c r="Q811" s="1">
        <v>0</v>
      </c>
      <c r="R811" s="1">
        <f t="shared" si="25"/>
        <v>16480107048</v>
      </c>
    </row>
    <row r="812" spans="1:18">
      <c r="A812" t="s">
        <v>819</v>
      </c>
      <c r="C812" s="3">
        <v>0</v>
      </c>
      <c r="D812" s="3">
        <v>0</v>
      </c>
      <c r="E812" s="3">
        <v>997333215</v>
      </c>
      <c r="F812" s="3">
        <v>0</v>
      </c>
      <c r="G812" s="3">
        <v>8614096</v>
      </c>
      <c r="H812" s="3">
        <v>0</v>
      </c>
      <c r="I812" s="3">
        <v>0</v>
      </c>
      <c r="J812" s="3">
        <v>36302544</v>
      </c>
      <c r="K812" s="3">
        <v>0</v>
      </c>
      <c r="L812" s="3">
        <f t="shared" si="24"/>
        <v>1042249855</v>
      </c>
      <c r="M812" s="1">
        <v>-595049774</v>
      </c>
      <c r="N812" s="1">
        <v>0</v>
      </c>
      <c r="O812" s="1">
        <v>-4307045</v>
      </c>
      <c r="P812" s="1">
        <v>0</v>
      </c>
      <c r="Q812" s="1">
        <v>0</v>
      </c>
      <c r="R812" s="1">
        <f t="shared" si="25"/>
        <v>442893036</v>
      </c>
    </row>
    <row r="813" spans="1:18">
      <c r="A813" t="s">
        <v>820</v>
      </c>
      <c r="C813" s="3">
        <v>1733500</v>
      </c>
      <c r="D813" s="3">
        <v>67915000</v>
      </c>
      <c r="E813" s="3">
        <v>2118209328</v>
      </c>
      <c r="F813" s="3">
        <v>7416291200</v>
      </c>
      <c r="G813" s="3">
        <v>863290000</v>
      </c>
      <c r="H813" s="3">
        <v>61176209</v>
      </c>
      <c r="I813" s="3">
        <v>199100000</v>
      </c>
      <c r="J813" s="3">
        <v>0</v>
      </c>
      <c r="K813" s="3">
        <v>0</v>
      </c>
      <c r="L813" s="3">
        <f t="shared" si="24"/>
        <v>10727715237</v>
      </c>
      <c r="M813" s="1">
        <v>-1655877817</v>
      </c>
      <c r="N813" s="1">
        <v>-1634612633</v>
      </c>
      <c r="O813" s="1">
        <v>-672030000</v>
      </c>
      <c r="P813" s="1">
        <v>0</v>
      </c>
      <c r="Q813" s="1">
        <v>0</v>
      </c>
      <c r="R813" s="1">
        <f t="shared" si="25"/>
        <v>6765194787</v>
      </c>
    </row>
    <row r="814" spans="1:18">
      <c r="A814" t="s">
        <v>821</v>
      </c>
      <c r="C814" s="3">
        <v>8855000</v>
      </c>
      <c r="D814" s="3">
        <v>19291453000</v>
      </c>
      <c r="E814" s="3">
        <v>2320241488</v>
      </c>
      <c r="F814" s="3">
        <v>4677825050</v>
      </c>
      <c r="G814" s="3">
        <v>0</v>
      </c>
      <c r="H814" s="3">
        <v>23743440</v>
      </c>
      <c r="I814" s="3">
        <v>0</v>
      </c>
      <c r="J814" s="3">
        <v>62065000</v>
      </c>
      <c r="K814" s="3">
        <v>0</v>
      </c>
      <c r="L814" s="3">
        <f t="shared" si="24"/>
        <v>26384182978</v>
      </c>
      <c r="M814" s="1">
        <v>-1796091277</v>
      </c>
      <c r="N814" s="1">
        <v>-954950538</v>
      </c>
      <c r="O814" s="1">
        <v>0</v>
      </c>
      <c r="P814" s="1">
        <v>0</v>
      </c>
      <c r="Q814" s="1">
        <v>0</v>
      </c>
      <c r="R814" s="1">
        <f t="shared" si="25"/>
        <v>23633141163</v>
      </c>
    </row>
    <row r="815" spans="1:18">
      <c r="A815" t="s">
        <v>822</v>
      </c>
      <c r="C815" s="3">
        <v>0</v>
      </c>
      <c r="D815" s="3">
        <v>2088445000</v>
      </c>
      <c r="E815" s="3">
        <v>1990377768</v>
      </c>
      <c r="F815" s="3">
        <v>13189784845</v>
      </c>
      <c r="G815" s="3">
        <v>66431000</v>
      </c>
      <c r="H815" s="3">
        <v>41943444</v>
      </c>
      <c r="I815" s="3">
        <v>182763055</v>
      </c>
      <c r="J815" s="3">
        <v>0</v>
      </c>
      <c r="K815" s="3">
        <v>70258480</v>
      </c>
      <c r="L815" s="3">
        <f t="shared" si="24"/>
        <v>17630003592</v>
      </c>
      <c r="M815" s="1">
        <v>-1818227249</v>
      </c>
      <c r="N815" s="1">
        <v>-2435204306</v>
      </c>
      <c r="O815" s="1">
        <v>-55696588</v>
      </c>
      <c r="P815" s="1">
        <v>0</v>
      </c>
      <c r="Q815" s="1">
        <v>-70258480</v>
      </c>
      <c r="R815" s="1">
        <f t="shared" si="25"/>
        <v>13250616969</v>
      </c>
    </row>
    <row r="816" spans="1:18">
      <c r="A816" t="s">
        <v>823</v>
      </c>
      <c r="C816" s="3">
        <v>1203150</v>
      </c>
      <c r="D816" s="3">
        <v>2153400000</v>
      </c>
      <c r="E816" s="3">
        <v>1633290023</v>
      </c>
      <c r="F816" s="3">
        <v>11199818460</v>
      </c>
      <c r="G816" s="3">
        <v>0</v>
      </c>
      <c r="H816" s="3">
        <v>1787470</v>
      </c>
      <c r="I816" s="3">
        <v>0</v>
      </c>
      <c r="J816" s="3">
        <v>20750000</v>
      </c>
      <c r="K816" s="3">
        <v>128083958</v>
      </c>
      <c r="L816" s="3">
        <f t="shared" si="24"/>
        <v>15138333061</v>
      </c>
      <c r="M816" s="1">
        <v>-871946514</v>
      </c>
      <c r="N816" s="1">
        <v>-1032496915</v>
      </c>
      <c r="O816" s="1">
        <v>0</v>
      </c>
      <c r="P816" s="1">
        <v>0</v>
      </c>
      <c r="Q816" s="1">
        <v>-128083958</v>
      </c>
      <c r="R816" s="1">
        <f t="shared" si="25"/>
        <v>13105805674</v>
      </c>
    </row>
    <row r="817" spans="1:18">
      <c r="A817" t="s">
        <v>824</v>
      </c>
      <c r="C817" s="3">
        <v>450000</v>
      </c>
      <c r="D817" s="3">
        <v>884967000</v>
      </c>
      <c r="E817" s="3">
        <v>1949181478</v>
      </c>
      <c r="F817" s="3">
        <v>12289822118</v>
      </c>
      <c r="G817" s="3">
        <v>15356365</v>
      </c>
      <c r="H817" s="3">
        <v>3266678</v>
      </c>
      <c r="I817" s="3">
        <v>0</v>
      </c>
      <c r="J817" s="3">
        <v>0</v>
      </c>
      <c r="K817" s="3">
        <v>54792027</v>
      </c>
      <c r="L817" s="3">
        <f t="shared" si="24"/>
        <v>15197835666</v>
      </c>
      <c r="M817" s="1">
        <v>-1219672200</v>
      </c>
      <c r="N817" s="1">
        <v>-640689483</v>
      </c>
      <c r="O817" s="1">
        <v>-2879323</v>
      </c>
      <c r="P817" s="1">
        <v>0</v>
      </c>
      <c r="Q817" s="1">
        <v>-54792027</v>
      </c>
      <c r="R817" s="1">
        <f t="shared" si="25"/>
        <v>13279802633</v>
      </c>
    </row>
    <row r="818" spans="1:18">
      <c r="A818" t="s">
        <v>825</v>
      </c>
      <c r="C818" s="3">
        <v>2715600</v>
      </c>
      <c r="D818" s="3">
        <v>1963750000</v>
      </c>
      <c r="E818" s="3">
        <v>1409147332</v>
      </c>
      <c r="F818" s="3">
        <v>1383304000</v>
      </c>
      <c r="G818" s="3">
        <v>0</v>
      </c>
      <c r="H818" s="3">
        <v>38755079</v>
      </c>
      <c r="I818" s="3">
        <v>8672997900</v>
      </c>
      <c r="J818" s="3">
        <v>0</v>
      </c>
      <c r="K818" s="3">
        <v>159016000</v>
      </c>
      <c r="L818" s="3">
        <f t="shared" si="24"/>
        <v>13629685911</v>
      </c>
      <c r="M818" s="1">
        <v>-1092989467</v>
      </c>
      <c r="N818" s="1">
        <v>-600281560</v>
      </c>
      <c r="O818" s="1">
        <v>0</v>
      </c>
      <c r="P818" s="1">
        <v>0</v>
      </c>
      <c r="Q818" s="1">
        <v>-159016000</v>
      </c>
      <c r="R818" s="1">
        <f t="shared" si="25"/>
        <v>11777398884</v>
      </c>
    </row>
    <row r="819" spans="1:18">
      <c r="A819" t="s">
        <v>826</v>
      </c>
      <c r="C819" s="3">
        <v>4798200</v>
      </c>
      <c r="D819" s="3">
        <v>2140400000</v>
      </c>
      <c r="E819" s="3">
        <v>2048647414</v>
      </c>
      <c r="F819" s="3">
        <v>2113391750</v>
      </c>
      <c r="G819" s="3">
        <v>0</v>
      </c>
      <c r="H819" s="3">
        <v>1946526</v>
      </c>
      <c r="I819" s="3">
        <v>0</v>
      </c>
      <c r="J819" s="3">
        <v>24349000</v>
      </c>
      <c r="K819" s="3">
        <v>136126932</v>
      </c>
      <c r="L819" s="3">
        <f t="shared" si="24"/>
        <v>6469659822</v>
      </c>
      <c r="M819" s="1">
        <v>-1543755992</v>
      </c>
      <c r="N819" s="1">
        <v>-440972713</v>
      </c>
      <c r="O819" s="1">
        <v>0</v>
      </c>
      <c r="P819" s="1">
        <v>0</v>
      </c>
      <c r="Q819" s="1">
        <v>-136126932</v>
      </c>
      <c r="R819" s="1">
        <f t="shared" si="25"/>
        <v>4348804185</v>
      </c>
    </row>
    <row r="820" spans="1:18">
      <c r="A820" t="s">
        <v>827</v>
      </c>
      <c r="C820" s="3">
        <v>2888000</v>
      </c>
      <c r="D820" s="3">
        <v>5108574881</v>
      </c>
      <c r="E820" s="3">
        <v>1937300579</v>
      </c>
      <c r="F820" s="3">
        <v>14347354328</v>
      </c>
      <c r="G820" s="3">
        <v>131600000</v>
      </c>
      <c r="H820" s="3">
        <v>17258440</v>
      </c>
      <c r="I820" s="3">
        <v>0</v>
      </c>
      <c r="J820" s="3">
        <v>24349000</v>
      </c>
      <c r="K820" s="3">
        <v>515221703</v>
      </c>
      <c r="L820" s="3">
        <f t="shared" si="24"/>
        <v>22084546931</v>
      </c>
      <c r="M820" s="1">
        <v>-1515873804</v>
      </c>
      <c r="N820" s="1">
        <v>-1754000899</v>
      </c>
      <c r="O820" s="1">
        <v>-33311250</v>
      </c>
      <c r="P820" s="1">
        <v>0</v>
      </c>
      <c r="Q820" s="1">
        <v>-515259203</v>
      </c>
      <c r="R820" s="1">
        <f t="shared" si="25"/>
        <v>18266101775</v>
      </c>
    </row>
    <row r="821" spans="1:18">
      <c r="A821" t="s">
        <v>828</v>
      </c>
      <c r="C821" s="3">
        <v>74000</v>
      </c>
      <c r="D821" s="3">
        <v>1521000000</v>
      </c>
      <c r="E821" s="3">
        <v>1559592199</v>
      </c>
      <c r="F821" s="3">
        <v>11861283331</v>
      </c>
      <c r="G821" s="3">
        <v>260000</v>
      </c>
      <c r="H821" s="3">
        <v>17186578</v>
      </c>
      <c r="I821" s="3">
        <v>0</v>
      </c>
      <c r="J821" s="3">
        <v>38599000</v>
      </c>
      <c r="K821" s="3">
        <v>1017010</v>
      </c>
      <c r="L821" s="3">
        <f t="shared" si="24"/>
        <v>14999012118</v>
      </c>
      <c r="M821" s="1">
        <v>-1216798908</v>
      </c>
      <c r="N821" s="1">
        <v>-3891325145</v>
      </c>
      <c r="O821" s="1">
        <v>-147331</v>
      </c>
      <c r="P821" s="1">
        <v>0</v>
      </c>
      <c r="Q821" s="1">
        <v>-1017010</v>
      </c>
      <c r="R821" s="1">
        <f t="shared" si="25"/>
        <v>9889723724</v>
      </c>
    </row>
    <row r="822" spans="1:18">
      <c r="A822" t="s">
        <v>829</v>
      </c>
      <c r="C822" s="3">
        <v>813200</v>
      </c>
      <c r="D822" s="3">
        <v>825000000</v>
      </c>
      <c r="E822" s="3">
        <v>1357156049</v>
      </c>
      <c r="F822" s="3">
        <v>3936171549</v>
      </c>
      <c r="G822" s="3">
        <v>9900000</v>
      </c>
      <c r="H822" s="3">
        <v>10778000</v>
      </c>
      <c r="I822" s="3">
        <v>0</v>
      </c>
      <c r="J822" s="3">
        <v>18670000</v>
      </c>
      <c r="K822" s="3">
        <v>5861500</v>
      </c>
      <c r="L822" s="3">
        <f t="shared" si="24"/>
        <v>6164350298</v>
      </c>
      <c r="M822" s="1">
        <v>-917885834</v>
      </c>
      <c r="N822" s="1">
        <v>-935912001</v>
      </c>
      <c r="O822" s="1">
        <v>-866250</v>
      </c>
      <c r="P822" s="1">
        <v>0</v>
      </c>
      <c r="Q822" s="1">
        <v>-5861500</v>
      </c>
      <c r="R822" s="1">
        <f t="shared" si="25"/>
        <v>4303824713</v>
      </c>
    </row>
    <row r="823" spans="1:18">
      <c r="A823" t="s">
        <v>830</v>
      </c>
      <c r="C823" s="3">
        <v>0</v>
      </c>
      <c r="D823" s="3">
        <v>1469000000</v>
      </c>
      <c r="E823" s="3">
        <v>1150824371</v>
      </c>
      <c r="F823" s="3">
        <v>5236671600</v>
      </c>
      <c r="G823" s="3">
        <v>16126000</v>
      </c>
      <c r="H823" s="3">
        <v>23656570</v>
      </c>
      <c r="I823" s="3">
        <v>0</v>
      </c>
      <c r="J823" s="3">
        <v>0</v>
      </c>
      <c r="K823" s="3">
        <v>0</v>
      </c>
      <c r="L823" s="3">
        <f t="shared" si="24"/>
        <v>7896278541</v>
      </c>
      <c r="M823" s="1">
        <v>-810198510</v>
      </c>
      <c r="N823" s="1">
        <v>-379347954</v>
      </c>
      <c r="O823" s="1">
        <v>-1612600</v>
      </c>
      <c r="P823" s="1">
        <v>0</v>
      </c>
      <c r="Q823" s="1">
        <v>0</v>
      </c>
      <c r="R823" s="1">
        <f t="shared" si="25"/>
        <v>6705119477</v>
      </c>
    </row>
    <row r="824" spans="1:18">
      <c r="A824" t="s">
        <v>831</v>
      </c>
      <c r="C824" s="3">
        <v>1813000</v>
      </c>
      <c r="D824" s="3">
        <v>476000000</v>
      </c>
      <c r="E824" s="3">
        <v>1358815312</v>
      </c>
      <c r="F824" s="3">
        <v>2568192000</v>
      </c>
      <c r="G824" s="3">
        <v>27566000</v>
      </c>
      <c r="H824" s="3">
        <v>13624216</v>
      </c>
      <c r="I824" s="3">
        <v>0</v>
      </c>
      <c r="J824" s="3">
        <v>0</v>
      </c>
      <c r="K824" s="3">
        <v>184328000</v>
      </c>
      <c r="L824" s="3">
        <f t="shared" si="24"/>
        <v>4630338528</v>
      </c>
      <c r="M824" s="1">
        <v>-1034273972</v>
      </c>
      <c r="N824" s="1">
        <v>-407716314</v>
      </c>
      <c r="O824" s="1">
        <v>-2483691</v>
      </c>
      <c r="P824" s="1">
        <v>0</v>
      </c>
      <c r="Q824" s="1">
        <v>-186843000</v>
      </c>
      <c r="R824" s="1">
        <f t="shared" si="25"/>
        <v>2999021551</v>
      </c>
    </row>
    <row r="825" spans="1:18">
      <c r="A825" t="s">
        <v>832</v>
      </c>
      <c r="C825" s="3">
        <v>96000</v>
      </c>
      <c r="D825" s="3">
        <v>1335292862</v>
      </c>
      <c r="E825" s="3">
        <v>882083934</v>
      </c>
      <c r="F825" s="3">
        <v>13611606345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f t="shared" si="24"/>
        <v>15829079141</v>
      </c>
      <c r="M825" s="1">
        <v>-364717263</v>
      </c>
      <c r="N825" s="1">
        <v>-387765741</v>
      </c>
      <c r="O825" s="1">
        <v>0</v>
      </c>
      <c r="P825" s="1">
        <v>0</v>
      </c>
      <c r="Q825" s="1">
        <v>0</v>
      </c>
      <c r="R825" s="1">
        <f t="shared" si="25"/>
        <v>15076596137</v>
      </c>
    </row>
    <row r="826" spans="1:18">
      <c r="A826" t="s">
        <v>1164</v>
      </c>
      <c r="C826" s="3">
        <v>1768600240</v>
      </c>
      <c r="D826" s="3">
        <v>0</v>
      </c>
      <c r="E826" s="3">
        <v>17185031836</v>
      </c>
      <c r="F826" s="3">
        <v>18775680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f t="shared" si="24"/>
        <v>18972407756</v>
      </c>
      <c r="M826" s="1">
        <v>-15129699605</v>
      </c>
      <c r="N826" s="1">
        <v>-2440840</v>
      </c>
      <c r="O826" s="1">
        <v>0</v>
      </c>
      <c r="P826" s="1">
        <v>0</v>
      </c>
      <c r="Q826" s="1">
        <v>0</v>
      </c>
      <c r="R826" s="1">
        <f t="shared" si="25"/>
        <v>3840267311</v>
      </c>
    </row>
    <row r="827" spans="1:18">
      <c r="A827" t="s">
        <v>833</v>
      </c>
      <c r="C827" s="3">
        <v>4188550</v>
      </c>
      <c r="D827" s="3">
        <v>0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f t="shared" si="24"/>
        <v>4188550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f t="shared" si="25"/>
        <v>4188550</v>
      </c>
    </row>
    <row r="828" spans="1:18">
      <c r="A828" t="s">
        <v>834</v>
      </c>
      <c r="C828" s="3">
        <v>34823800</v>
      </c>
      <c r="D828" s="3">
        <v>0</v>
      </c>
      <c r="E828" s="3">
        <v>0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f t="shared" si="24"/>
        <v>34823800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f t="shared" si="25"/>
        <v>34823800</v>
      </c>
    </row>
    <row r="829" spans="1:18">
      <c r="A829" t="s">
        <v>835</v>
      </c>
      <c r="C829" s="3">
        <v>25367500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f t="shared" si="24"/>
        <v>25367500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f t="shared" si="25"/>
        <v>25367500</v>
      </c>
    </row>
    <row r="830" spans="1:18">
      <c r="A830" t="s">
        <v>836</v>
      </c>
      <c r="C830" s="3">
        <v>1181950</v>
      </c>
      <c r="D830" s="3">
        <v>0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f t="shared" si="24"/>
        <v>1181950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f t="shared" si="25"/>
        <v>1181950</v>
      </c>
    </row>
    <row r="831" spans="1:18">
      <c r="A831" t="s">
        <v>837</v>
      </c>
      <c r="C831" s="3">
        <v>32507000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f t="shared" si="24"/>
        <v>32507000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f t="shared" si="25"/>
        <v>32507000</v>
      </c>
    </row>
    <row r="832" spans="1:18">
      <c r="A832" t="s">
        <v>838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f t="shared" si="24"/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f t="shared" si="25"/>
        <v>0</v>
      </c>
    </row>
    <row r="833" spans="1:18">
      <c r="A833" t="s">
        <v>1163</v>
      </c>
      <c r="C833" s="3">
        <v>767538072</v>
      </c>
      <c r="D833" s="3">
        <v>302589935000</v>
      </c>
      <c r="E833" s="3">
        <v>21831257576</v>
      </c>
      <c r="F833" s="3">
        <v>17602045391</v>
      </c>
      <c r="G833" s="3">
        <v>454644146</v>
      </c>
      <c r="H833" s="3">
        <v>128459011</v>
      </c>
      <c r="I833" s="3">
        <v>0</v>
      </c>
      <c r="J833" s="3">
        <v>2101792994</v>
      </c>
      <c r="K833" s="3">
        <v>113624276</v>
      </c>
      <c r="L833" s="3">
        <f t="shared" si="24"/>
        <v>345589296466</v>
      </c>
      <c r="M833" s="1">
        <v>-15406495275</v>
      </c>
      <c r="N833" s="1">
        <v>-3875084441</v>
      </c>
      <c r="O833" s="1">
        <v>-234826495</v>
      </c>
      <c r="P833" s="1">
        <v>0</v>
      </c>
      <c r="Q833" s="1">
        <v>-113624276</v>
      </c>
      <c r="R833" s="1">
        <f t="shared" si="25"/>
        <v>325959265979</v>
      </c>
    </row>
    <row r="834" spans="1:18">
      <c r="A834" t="s">
        <v>839</v>
      </c>
      <c r="C834" s="3">
        <v>37877950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f t="shared" si="24"/>
        <v>37877950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f t="shared" si="25"/>
        <v>37877950</v>
      </c>
    </row>
    <row r="835" spans="1:18">
      <c r="A835" t="s">
        <v>840</v>
      </c>
      <c r="C835" s="3">
        <v>1836300</v>
      </c>
      <c r="D835" s="3">
        <v>0</v>
      </c>
      <c r="E835" s="3">
        <v>0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f t="shared" ref="L835:L898" si="26">SUM(C835:K835)</f>
        <v>1836300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f t="shared" ref="R835:R898" si="27">SUM(L835:Q835)</f>
        <v>1836300</v>
      </c>
    </row>
    <row r="836" spans="1:18">
      <c r="A836" t="s">
        <v>841</v>
      </c>
      <c r="C836" s="3">
        <v>54000</v>
      </c>
      <c r="D836" s="3">
        <v>0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f t="shared" si="26"/>
        <v>54000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f t="shared" si="27"/>
        <v>54000</v>
      </c>
    </row>
    <row r="837" spans="1:18">
      <c r="A837" t="s">
        <v>842</v>
      </c>
      <c r="C837" s="3">
        <v>148000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f t="shared" si="26"/>
        <v>148000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f t="shared" si="27"/>
        <v>148000</v>
      </c>
    </row>
    <row r="838" spans="1:18">
      <c r="A838" t="s">
        <v>843</v>
      </c>
      <c r="C838" s="3">
        <v>203475</v>
      </c>
      <c r="D838" s="3">
        <v>0</v>
      </c>
      <c r="E838" s="3">
        <v>0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f t="shared" si="26"/>
        <v>203475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f t="shared" si="27"/>
        <v>203475</v>
      </c>
    </row>
    <row r="839" spans="1:18">
      <c r="A839" t="s">
        <v>844</v>
      </c>
      <c r="C839" s="3">
        <v>4514170</v>
      </c>
      <c r="D839" s="3">
        <v>0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f t="shared" si="26"/>
        <v>4514170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f t="shared" si="27"/>
        <v>4514170</v>
      </c>
    </row>
    <row r="840" spans="1:18">
      <c r="A840" t="s">
        <v>845</v>
      </c>
      <c r="C840" s="3">
        <v>6836150</v>
      </c>
      <c r="D840" s="3">
        <v>0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f t="shared" si="26"/>
        <v>6836150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f t="shared" si="27"/>
        <v>6836150</v>
      </c>
    </row>
    <row r="841" spans="1:18">
      <c r="A841" t="s">
        <v>846</v>
      </c>
      <c r="C841" s="3">
        <v>10975000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f t="shared" si="26"/>
        <v>10975000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f t="shared" si="27"/>
        <v>10975000</v>
      </c>
    </row>
    <row r="842" spans="1:18">
      <c r="A842" t="s">
        <v>847</v>
      </c>
      <c r="C842" s="3">
        <v>2087750</v>
      </c>
      <c r="D842" s="3">
        <v>0</v>
      </c>
      <c r="E842" s="3">
        <v>0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f t="shared" si="26"/>
        <v>2087750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f t="shared" si="27"/>
        <v>2087750</v>
      </c>
    </row>
    <row r="843" spans="1:18">
      <c r="A843" t="s">
        <v>848</v>
      </c>
      <c r="C843" s="3">
        <v>349500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f t="shared" si="26"/>
        <v>349500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1">
        <f t="shared" si="27"/>
        <v>349500</v>
      </c>
    </row>
    <row r="844" spans="1:18">
      <c r="A844" t="s">
        <v>849</v>
      </c>
      <c r="C844" s="3">
        <v>8500</v>
      </c>
      <c r="D844" s="3">
        <v>0</v>
      </c>
      <c r="E844" s="3">
        <v>0</v>
      </c>
      <c r="F844" s="3">
        <v>0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f t="shared" si="26"/>
        <v>8500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f t="shared" si="27"/>
        <v>8500</v>
      </c>
    </row>
    <row r="845" spans="1:18">
      <c r="A845" t="s">
        <v>850</v>
      </c>
      <c r="C845" s="3">
        <v>4634000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f t="shared" si="26"/>
        <v>4634000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f t="shared" si="27"/>
        <v>4634000</v>
      </c>
    </row>
    <row r="846" spans="1:18">
      <c r="A846" t="s">
        <v>851</v>
      </c>
      <c r="C846" s="3">
        <v>7461000</v>
      </c>
      <c r="D846" s="3">
        <v>0</v>
      </c>
      <c r="E846" s="3">
        <v>0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f t="shared" si="26"/>
        <v>7461000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f t="shared" si="27"/>
        <v>7461000</v>
      </c>
    </row>
    <row r="847" spans="1:18">
      <c r="A847" t="s">
        <v>852</v>
      </c>
      <c r="C847" s="3">
        <v>10296650</v>
      </c>
      <c r="D847" s="3">
        <v>0</v>
      </c>
      <c r="E847" s="3">
        <v>0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f t="shared" si="26"/>
        <v>10296650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f t="shared" si="27"/>
        <v>10296650</v>
      </c>
    </row>
    <row r="848" spans="1:18">
      <c r="A848" t="s">
        <v>853</v>
      </c>
      <c r="C848" s="3">
        <v>246800</v>
      </c>
      <c r="D848" s="3">
        <v>0</v>
      </c>
      <c r="E848" s="3">
        <v>0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f t="shared" si="26"/>
        <v>246800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f t="shared" si="27"/>
        <v>246800</v>
      </c>
    </row>
    <row r="849" spans="1:18">
      <c r="A849" t="s">
        <v>854</v>
      </c>
      <c r="C849" s="3">
        <v>518000</v>
      </c>
      <c r="D849" s="3">
        <v>0</v>
      </c>
      <c r="E849" s="3">
        <v>0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f t="shared" si="26"/>
        <v>518000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1">
        <f t="shared" si="27"/>
        <v>518000</v>
      </c>
    </row>
    <row r="850" spans="1:18">
      <c r="A850" t="s">
        <v>855</v>
      </c>
      <c r="C850" s="3">
        <v>2527300</v>
      </c>
      <c r="D850" s="3">
        <v>0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f t="shared" si="26"/>
        <v>2527300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f t="shared" si="27"/>
        <v>2527300</v>
      </c>
    </row>
    <row r="851" spans="1:18">
      <c r="A851" t="s">
        <v>856</v>
      </c>
      <c r="C851" s="3">
        <v>701550</v>
      </c>
      <c r="D851" s="3">
        <v>0</v>
      </c>
      <c r="E851" s="3">
        <v>0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f t="shared" si="26"/>
        <v>701550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f t="shared" si="27"/>
        <v>701550</v>
      </c>
    </row>
    <row r="852" spans="1:18">
      <c r="A852" t="s">
        <v>857</v>
      </c>
      <c r="C852" s="3">
        <v>15235320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f t="shared" si="26"/>
        <v>15235320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f t="shared" si="27"/>
        <v>15235320</v>
      </c>
    </row>
    <row r="853" spans="1:18">
      <c r="A853" t="s">
        <v>858</v>
      </c>
      <c r="C853" s="3">
        <v>3370000</v>
      </c>
      <c r="D853" s="3">
        <v>0</v>
      </c>
      <c r="E853" s="3">
        <v>0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f t="shared" si="26"/>
        <v>3370000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f t="shared" si="27"/>
        <v>3370000</v>
      </c>
    </row>
    <row r="854" spans="1:18">
      <c r="A854" t="s">
        <v>859</v>
      </c>
      <c r="C854" s="3">
        <v>5969500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f t="shared" si="26"/>
        <v>5969500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f t="shared" si="27"/>
        <v>5969500</v>
      </c>
    </row>
    <row r="855" spans="1:18">
      <c r="A855" t="s">
        <v>860</v>
      </c>
      <c r="C855" s="3">
        <v>31347300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f t="shared" si="26"/>
        <v>31347300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1">
        <f t="shared" si="27"/>
        <v>31347300</v>
      </c>
    </row>
    <row r="856" spans="1:18">
      <c r="A856" t="s">
        <v>2022</v>
      </c>
      <c r="C856" s="3">
        <v>20177885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f t="shared" si="26"/>
        <v>20177885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f t="shared" si="27"/>
        <v>20177885</v>
      </c>
    </row>
    <row r="857" spans="1:18">
      <c r="A857" t="s">
        <v>861</v>
      </c>
      <c r="C857" s="3">
        <v>1298750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f t="shared" si="26"/>
        <v>1298750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f t="shared" si="27"/>
        <v>1298750</v>
      </c>
    </row>
    <row r="858" spans="1:18">
      <c r="A858" t="s">
        <v>862</v>
      </c>
      <c r="C858" s="3">
        <v>1871250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f t="shared" si="26"/>
        <v>1871250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f t="shared" si="27"/>
        <v>1871250</v>
      </c>
    </row>
    <row r="859" spans="1:18">
      <c r="A859" t="s">
        <v>863</v>
      </c>
      <c r="C859" s="3">
        <v>4189600</v>
      </c>
      <c r="D859" s="3">
        <v>0</v>
      </c>
      <c r="E859" s="3">
        <v>0</v>
      </c>
      <c r="F859" s="3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f t="shared" si="26"/>
        <v>4189600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f t="shared" si="27"/>
        <v>4189600</v>
      </c>
    </row>
    <row r="860" spans="1:18">
      <c r="A860" t="s">
        <v>864</v>
      </c>
      <c r="C860" s="3">
        <v>2211010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f t="shared" si="26"/>
        <v>2211010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f t="shared" si="27"/>
        <v>2211010</v>
      </c>
    </row>
    <row r="861" spans="1:18">
      <c r="A861" t="s">
        <v>865</v>
      </c>
      <c r="C861" s="3">
        <v>30000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f t="shared" si="26"/>
        <v>30000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f t="shared" si="27"/>
        <v>30000</v>
      </c>
    </row>
    <row r="862" spans="1:18">
      <c r="A862" t="s">
        <v>866</v>
      </c>
      <c r="C862" s="3">
        <v>2728135</v>
      </c>
      <c r="D862" s="3">
        <v>0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f t="shared" si="26"/>
        <v>2728135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f t="shared" si="27"/>
        <v>2728135</v>
      </c>
    </row>
    <row r="863" spans="1:18">
      <c r="A863" t="s">
        <v>867</v>
      </c>
      <c r="C863" s="3">
        <v>2863300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f t="shared" si="26"/>
        <v>2863300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f t="shared" si="27"/>
        <v>2863300</v>
      </c>
    </row>
    <row r="864" spans="1:18">
      <c r="A864" t="s">
        <v>868</v>
      </c>
      <c r="C864" s="3">
        <v>1000000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f t="shared" si="26"/>
        <v>1000000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f t="shared" si="27"/>
        <v>1000000</v>
      </c>
    </row>
    <row r="865" spans="1:18">
      <c r="A865" t="s">
        <v>869</v>
      </c>
      <c r="C865" s="3">
        <v>10000</v>
      </c>
      <c r="D865" s="3">
        <v>0</v>
      </c>
      <c r="E865" s="3">
        <v>0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f t="shared" si="26"/>
        <v>10000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f t="shared" si="27"/>
        <v>10000</v>
      </c>
    </row>
    <row r="866" spans="1:18">
      <c r="A866" t="s">
        <v>870</v>
      </c>
      <c r="C866" s="3">
        <v>0</v>
      </c>
      <c r="D866" s="3">
        <v>0</v>
      </c>
      <c r="E866" s="3">
        <v>0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f t="shared" si="26"/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f t="shared" si="27"/>
        <v>0</v>
      </c>
    </row>
    <row r="867" spans="1:18">
      <c r="A867" t="s">
        <v>871</v>
      </c>
      <c r="C867" s="3">
        <v>68500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f t="shared" si="26"/>
        <v>68500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f t="shared" si="27"/>
        <v>68500</v>
      </c>
    </row>
    <row r="868" spans="1:18">
      <c r="A868" t="s">
        <v>872</v>
      </c>
      <c r="C868" s="3">
        <v>210000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f t="shared" si="26"/>
        <v>210000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f t="shared" si="27"/>
        <v>210000</v>
      </c>
    </row>
    <row r="869" spans="1:18">
      <c r="A869" t="s">
        <v>873</v>
      </c>
      <c r="C869" s="3">
        <v>0</v>
      </c>
      <c r="D869" s="3">
        <v>0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0</v>
      </c>
      <c r="L869" s="3">
        <f t="shared" si="26"/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f t="shared" si="27"/>
        <v>0</v>
      </c>
    </row>
    <row r="870" spans="1:18">
      <c r="A870" t="s">
        <v>874</v>
      </c>
      <c r="C870" s="3">
        <v>275000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f t="shared" si="26"/>
        <v>275000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1">
        <f t="shared" si="27"/>
        <v>275000</v>
      </c>
    </row>
    <row r="871" spans="1:18">
      <c r="A871" t="s">
        <v>875</v>
      </c>
      <c r="C871" s="3">
        <v>6770400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f t="shared" si="26"/>
        <v>6770400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f t="shared" si="27"/>
        <v>6770400</v>
      </c>
    </row>
    <row r="872" spans="1:18">
      <c r="A872" t="s">
        <v>876</v>
      </c>
      <c r="C872" s="3">
        <v>2129720</v>
      </c>
      <c r="D872" s="3">
        <v>0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f t="shared" si="26"/>
        <v>2129720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f t="shared" si="27"/>
        <v>2129720</v>
      </c>
    </row>
    <row r="873" spans="1:18">
      <c r="A873" t="s">
        <v>877</v>
      </c>
      <c r="C873" s="3">
        <v>486000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f t="shared" si="26"/>
        <v>486000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f t="shared" si="27"/>
        <v>486000</v>
      </c>
    </row>
    <row r="874" spans="1:18">
      <c r="A874" t="s">
        <v>878</v>
      </c>
      <c r="C874" s="3">
        <v>518900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f t="shared" si="26"/>
        <v>518900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f t="shared" si="27"/>
        <v>518900</v>
      </c>
    </row>
    <row r="875" spans="1:18">
      <c r="A875" t="s">
        <v>879</v>
      </c>
      <c r="C875" s="3">
        <v>0</v>
      </c>
      <c r="D875" s="3">
        <v>0</v>
      </c>
      <c r="E875" s="3">
        <v>0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f t="shared" si="26"/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f t="shared" si="27"/>
        <v>0</v>
      </c>
    </row>
    <row r="876" spans="1:18">
      <c r="A876" t="s">
        <v>2023</v>
      </c>
      <c r="C876" s="3">
        <v>12304341</v>
      </c>
      <c r="D876" s="3">
        <v>0</v>
      </c>
      <c r="E876" s="3">
        <v>0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f t="shared" si="26"/>
        <v>12304341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f t="shared" si="27"/>
        <v>12304341</v>
      </c>
    </row>
    <row r="877" spans="1:18">
      <c r="A877" t="s">
        <v>880</v>
      </c>
      <c r="C877" s="3">
        <v>201750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f t="shared" si="26"/>
        <v>201750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f t="shared" si="27"/>
        <v>201750</v>
      </c>
    </row>
    <row r="878" spans="1:18">
      <c r="A878" t="s">
        <v>881</v>
      </c>
      <c r="C878" s="3">
        <v>641500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0</v>
      </c>
      <c r="J878" s="3">
        <v>0</v>
      </c>
      <c r="K878" s="3">
        <v>0</v>
      </c>
      <c r="L878" s="3">
        <f t="shared" si="26"/>
        <v>641500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f t="shared" si="27"/>
        <v>641500</v>
      </c>
    </row>
    <row r="879" spans="1:18">
      <c r="A879" t="s">
        <v>882</v>
      </c>
      <c r="C879" s="3">
        <v>11459496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f t="shared" si="26"/>
        <v>11459496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f t="shared" si="27"/>
        <v>11459496</v>
      </c>
    </row>
    <row r="880" spans="1:18">
      <c r="A880" t="s">
        <v>883</v>
      </c>
      <c r="C880" s="3">
        <v>8473430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f t="shared" si="26"/>
        <v>8473430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f t="shared" si="27"/>
        <v>8473430</v>
      </c>
    </row>
    <row r="881" spans="1:18">
      <c r="A881" t="s">
        <v>884</v>
      </c>
      <c r="C881" s="3">
        <v>169500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f t="shared" si="26"/>
        <v>169500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f t="shared" si="27"/>
        <v>169500</v>
      </c>
    </row>
    <row r="882" spans="1:18">
      <c r="A882" t="s">
        <v>885</v>
      </c>
      <c r="C882" s="3">
        <v>2956200</v>
      </c>
      <c r="D882" s="3">
        <v>0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f t="shared" si="26"/>
        <v>2956200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f t="shared" si="27"/>
        <v>2956200</v>
      </c>
    </row>
    <row r="883" spans="1:18">
      <c r="A883" t="s">
        <v>886</v>
      </c>
      <c r="C883" s="3">
        <v>256000</v>
      </c>
      <c r="D883" s="3">
        <v>0</v>
      </c>
      <c r="E883" s="3">
        <v>0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f t="shared" si="26"/>
        <v>256000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f t="shared" si="27"/>
        <v>256000</v>
      </c>
    </row>
    <row r="884" spans="1:18">
      <c r="A884" t="s">
        <v>887</v>
      </c>
      <c r="C884" s="3">
        <v>600</v>
      </c>
      <c r="D884" s="3">
        <v>0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f t="shared" si="26"/>
        <v>600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1">
        <f t="shared" si="27"/>
        <v>600</v>
      </c>
    </row>
    <row r="885" spans="1:18">
      <c r="A885" t="s">
        <v>888</v>
      </c>
      <c r="C885" s="3">
        <v>257500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f t="shared" si="26"/>
        <v>257500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f t="shared" si="27"/>
        <v>257500</v>
      </c>
    </row>
    <row r="886" spans="1:18">
      <c r="A886" t="s">
        <v>889</v>
      </c>
      <c r="C886" s="3">
        <v>1617500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f t="shared" si="26"/>
        <v>1617500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f t="shared" si="27"/>
        <v>1617500</v>
      </c>
    </row>
    <row r="887" spans="1:18">
      <c r="A887" t="s">
        <v>890</v>
      </c>
      <c r="C887" s="3">
        <v>5320450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f t="shared" si="26"/>
        <v>5320450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f t="shared" si="27"/>
        <v>5320450</v>
      </c>
    </row>
    <row r="888" spans="1:18">
      <c r="A888" t="s">
        <v>2024</v>
      </c>
      <c r="C888" s="3">
        <v>7850500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f t="shared" si="26"/>
        <v>7850500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f t="shared" si="27"/>
        <v>7850500</v>
      </c>
    </row>
    <row r="889" spans="1:18">
      <c r="A889" t="s">
        <v>891</v>
      </c>
      <c r="C889" s="3">
        <v>280400</v>
      </c>
      <c r="D889" s="3">
        <v>0</v>
      </c>
      <c r="E889" s="3">
        <v>0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f t="shared" si="26"/>
        <v>280400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f t="shared" si="27"/>
        <v>280400</v>
      </c>
    </row>
    <row r="890" spans="1:18">
      <c r="A890" t="s">
        <v>892</v>
      </c>
      <c r="C890" s="3">
        <v>3921240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f t="shared" si="26"/>
        <v>3921240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f t="shared" si="27"/>
        <v>3921240</v>
      </c>
    </row>
    <row r="891" spans="1:18">
      <c r="A891" t="s">
        <v>2025</v>
      </c>
      <c r="C891" s="3">
        <v>3184750</v>
      </c>
      <c r="D891" s="3">
        <v>0</v>
      </c>
      <c r="E891" s="3">
        <v>0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f t="shared" si="26"/>
        <v>3184750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f t="shared" si="27"/>
        <v>3184750</v>
      </c>
    </row>
    <row r="892" spans="1:18">
      <c r="A892" t="s">
        <v>893</v>
      </c>
      <c r="C892" s="3">
        <v>631000</v>
      </c>
      <c r="D892" s="3">
        <v>0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f t="shared" si="26"/>
        <v>631000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f t="shared" si="27"/>
        <v>631000</v>
      </c>
    </row>
    <row r="893" spans="1:18">
      <c r="A893" t="s">
        <v>894</v>
      </c>
      <c r="C893" s="3">
        <v>12753250</v>
      </c>
      <c r="D893" s="3">
        <v>0</v>
      </c>
      <c r="E893" s="3">
        <v>0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f t="shared" si="26"/>
        <v>12753250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f t="shared" si="27"/>
        <v>12753250</v>
      </c>
    </row>
    <row r="894" spans="1:18">
      <c r="A894" t="s">
        <v>895</v>
      </c>
      <c r="C894" s="3">
        <v>7493700</v>
      </c>
      <c r="D894" s="3">
        <v>0</v>
      </c>
      <c r="E894" s="3">
        <v>0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f t="shared" si="26"/>
        <v>7493700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f t="shared" si="27"/>
        <v>7493700</v>
      </c>
    </row>
    <row r="895" spans="1:18">
      <c r="A895" t="s">
        <v>896</v>
      </c>
      <c r="C895" s="3">
        <v>2514751</v>
      </c>
      <c r="D895" s="3">
        <v>0</v>
      </c>
      <c r="E895" s="3">
        <v>0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f t="shared" si="26"/>
        <v>2514751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f t="shared" si="27"/>
        <v>2514751</v>
      </c>
    </row>
    <row r="896" spans="1:18">
      <c r="A896" t="s">
        <v>897</v>
      </c>
      <c r="C896" s="3">
        <v>5466950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f t="shared" si="26"/>
        <v>5466950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f t="shared" si="27"/>
        <v>5466950</v>
      </c>
    </row>
    <row r="897" spans="1:18">
      <c r="A897" t="s">
        <v>898</v>
      </c>
      <c r="C897" s="3">
        <v>10389750</v>
      </c>
      <c r="D897" s="3">
        <v>0</v>
      </c>
      <c r="E897" s="3">
        <v>0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f t="shared" si="26"/>
        <v>10389750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f t="shared" si="27"/>
        <v>10389750</v>
      </c>
    </row>
    <row r="898" spans="1:18">
      <c r="A898" t="s">
        <v>899</v>
      </c>
      <c r="C898" s="3">
        <v>115000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f t="shared" si="26"/>
        <v>115000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f t="shared" si="27"/>
        <v>115000</v>
      </c>
    </row>
    <row r="899" spans="1:18">
      <c r="A899" t="s">
        <v>900</v>
      </c>
      <c r="C899" s="3">
        <v>484000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f t="shared" ref="L899:L962" si="28">SUM(C899:K899)</f>
        <v>484000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f t="shared" ref="R899:R962" si="29">SUM(L899:Q899)</f>
        <v>484000</v>
      </c>
    </row>
    <row r="900" spans="1:18">
      <c r="A900" t="s">
        <v>901</v>
      </c>
      <c r="C900" s="3">
        <v>81000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f t="shared" si="28"/>
        <v>81000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f t="shared" si="29"/>
        <v>81000</v>
      </c>
    </row>
    <row r="901" spans="1:18">
      <c r="A901" t="s">
        <v>902</v>
      </c>
      <c r="C901" s="3">
        <v>0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f t="shared" si="28"/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f t="shared" si="29"/>
        <v>0</v>
      </c>
    </row>
    <row r="902" spans="1:18">
      <c r="A902" t="s">
        <v>903</v>
      </c>
      <c r="C902" s="3">
        <v>0</v>
      </c>
      <c r="D902" s="3">
        <v>0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f t="shared" si="28"/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f t="shared" si="29"/>
        <v>0</v>
      </c>
    </row>
    <row r="903" spans="1:18">
      <c r="A903" t="s">
        <v>904</v>
      </c>
      <c r="C903" s="3">
        <v>18000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f t="shared" si="28"/>
        <v>18000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f t="shared" si="29"/>
        <v>18000</v>
      </c>
    </row>
    <row r="904" spans="1:18">
      <c r="A904" t="s">
        <v>905</v>
      </c>
      <c r="C904" s="3">
        <v>40000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f t="shared" si="28"/>
        <v>40000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f t="shared" si="29"/>
        <v>40000</v>
      </c>
    </row>
    <row r="905" spans="1:18">
      <c r="A905" t="s">
        <v>2185</v>
      </c>
      <c r="C905" s="3">
        <v>0</v>
      </c>
      <c r="D905" s="3">
        <v>0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f t="shared" si="28"/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f t="shared" si="29"/>
        <v>0</v>
      </c>
    </row>
    <row r="906" spans="1:18">
      <c r="A906" t="s">
        <v>906</v>
      </c>
      <c r="C906" s="3">
        <v>14985</v>
      </c>
      <c r="D906" s="3">
        <v>0</v>
      </c>
      <c r="E906" s="3">
        <v>0</v>
      </c>
      <c r="F906" s="3">
        <v>0</v>
      </c>
      <c r="G906" s="3">
        <v>0</v>
      </c>
      <c r="H906" s="3">
        <v>0</v>
      </c>
      <c r="I906" s="3">
        <v>0</v>
      </c>
      <c r="J906" s="3">
        <v>0</v>
      </c>
      <c r="K906" s="3">
        <v>0</v>
      </c>
      <c r="L906" s="3">
        <f t="shared" si="28"/>
        <v>14985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f t="shared" si="29"/>
        <v>14985</v>
      </c>
    </row>
    <row r="907" spans="1:18">
      <c r="A907" t="s">
        <v>907</v>
      </c>
      <c r="C907" s="3">
        <v>4690500</v>
      </c>
      <c r="D907" s="3">
        <v>0</v>
      </c>
      <c r="E907" s="3">
        <v>0</v>
      </c>
      <c r="F907" s="3">
        <v>0</v>
      </c>
      <c r="G907" s="3">
        <v>0</v>
      </c>
      <c r="H907" s="3">
        <v>0</v>
      </c>
      <c r="I907" s="3">
        <v>0</v>
      </c>
      <c r="J907" s="3">
        <v>0</v>
      </c>
      <c r="K907" s="3">
        <v>0</v>
      </c>
      <c r="L907" s="3">
        <f t="shared" si="28"/>
        <v>4690500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f t="shared" si="29"/>
        <v>4690500</v>
      </c>
    </row>
    <row r="908" spans="1:18">
      <c r="A908" t="s">
        <v>908</v>
      </c>
      <c r="C908" s="3">
        <v>35000</v>
      </c>
      <c r="D908" s="3">
        <v>0</v>
      </c>
      <c r="E908" s="3">
        <v>0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f t="shared" si="28"/>
        <v>35000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f t="shared" si="29"/>
        <v>35000</v>
      </c>
    </row>
    <row r="909" spans="1:18">
      <c r="A909" t="s">
        <v>909</v>
      </c>
      <c r="C909" s="3">
        <v>0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f t="shared" si="28"/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1">
        <f t="shared" si="29"/>
        <v>0</v>
      </c>
    </row>
    <row r="910" spans="1:18">
      <c r="A910" t="s">
        <v>910</v>
      </c>
      <c r="C910" s="3">
        <v>523500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f t="shared" si="28"/>
        <v>523500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f t="shared" si="29"/>
        <v>523500</v>
      </c>
    </row>
    <row r="911" spans="1:18">
      <c r="A911" t="s">
        <v>2026</v>
      </c>
      <c r="C911" s="3">
        <v>0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f t="shared" si="28"/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f t="shared" si="29"/>
        <v>0</v>
      </c>
    </row>
    <row r="912" spans="1:18">
      <c r="A912" t="s">
        <v>911</v>
      </c>
      <c r="C912" s="3">
        <v>0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f t="shared" si="28"/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f t="shared" si="29"/>
        <v>0</v>
      </c>
    </row>
    <row r="913" spans="1:18">
      <c r="A913" t="s">
        <v>912</v>
      </c>
      <c r="C913" s="3">
        <v>0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f t="shared" si="28"/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f t="shared" si="29"/>
        <v>0</v>
      </c>
    </row>
    <row r="914" spans="1:18">
      <c r="A914" t="s">
        <v>913</v>
      </c>
      <c r="C914" s="3">
        <v>2691000</v>
      </c>
      <c r="D914" s="3">
        <v>0</v>
      </c>
      <c r="E914" s="3">
        <v>0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f t="shared" si="28"/>
        <v>2691000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f t="shared" si="29"/>
        <v>2691000</v>
      </c>
    </row>
    <row r="915" spans="1:18">
      <c r="A915" t="s">
        <v>2186</v>
      </c>
      <c r="C915" s="3">
        <v>0</v>
      </c>
      <c r="D915" s="3">
        <v>0</v>
      </c>
      <c r="E915" s="3">
        <v>0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f t="shared" si="28"/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f t="shared" si="29"/>
        <v>0</v>
      </c>
    </row>
    <row r="916" spans="1:18">
      <c r="A916" t="s">
        <v>2027</v>
      </c>
      <c r="C916" s="3">
        <v>0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f t="shared" si="28"/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f t="shared" si="29"/>
        <v>0</v>
      </c>
    </row>
    <row r="917" spans="1:18">
      <c r="A917" t="s">
        <v>914</v>
      </c>
      <c r="C917" s="3">
        <v>0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f t="shared" si="28"/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f t="shared" si="29"/>
        <v>0</v>
      </c>
    </row>
    <row r="918" spans="1:18">
      <c r="A918" t="s">
        <v>2028</v>
      </c>
      <c r="C918" s="3">
        <v>0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f t="shared" si="28"/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f t="shared" si="29"/>
        <v>0</v>
      </c>
    </row>
    <row r="919" spans="1:18">
      <c r="A919" t="s">
        <v>2029</v>
      </c>
      <c r="C919" s="3">
        <v>0</v>
      </c>
      <c r="D919" s="3">
        <v>0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f t="shared" si="28"/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f t="shared" si="29"/>
        <v>0</v>
      </c>
    </row>
    <row r="920" spans="1:18">
      <c r="A920" t="s">
        <v>2187</v>
      </c>
      <c r="C920" s="3">
        <v>0</v>
      </c>
      <c r="D920" s="3">
        <v>0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f t="shared" si="28"/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f t="shared" si="29"/>
        <v>0</v>
      </c>
    </row>
    <row r="921" spans="1:18">
      <c r="A921" t="s">
        <v>2188</v>
      </c>
      <c r="C921" s="3">
        <v>0</v>
      </c>
      <c r="D921" s="3">
        <v>0</v>
      </c>
      <c r="E921" s="3">
        <v>0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f t="shared" si="28"/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f t="shared" si="29"/>
        <v>0</v>
      </c>
    </row>
    <row r="922" spans="1:18">
      <c r="A922" t="s">
        <v>915</v>
      </c>
      <c r="C922" s="3">
        <v>614000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f t="shared" si="28"/>
        <v>614000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1">
        <f t="shared" si="29"/>
        <v>614000</v>
      </c>
    </row>
    <row r="923" spans="1:18">
      <c r="A923" t="s">
        <v>916</v>
      </c>
      <c r="C923" s="3">
        <v>0</v>
      </c>
      <c r="D923" s="3">
        <v>0</v>
      </c>
      <c r="E923" s="3">
        <v>0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f t="shared" si="28"/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f t="shared" si="29"/>
        <v>0</v>
      </c>
    </row>
    <row r="924" spans="1:18">
      <c r="A924" t="s">
        <v>917</v>
      </c>
      <c r="C924" s="3">
        <v>0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f t="shared" si="28"/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f t="shared" si="29"/>
        <v>0</v>
      </c>
    </row>
    <row r="925" spans="1:18">
      <c r="A925" t="s">
        <v>2263</v>
      </c>
      <c r="C925" s="3">
        <v>0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f t="shared" si="28"/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f t="shared" si="29"/>
        <v>0</v>
      </c>
    </row>
    <row r="926" spans="1:18">
      <c r="A926" t="s">
        <v>918</v>
      </c>
      <c r="C926" s="3">
        <v>0</v>
      </c>
      <c r="D926" s="3">
        <v>0</v>
      </c>
      <c r="E926" s="3">
        <v>0</v>
      </c>
      <c r="F926" s="3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f t="shared" si="28"/>
        <v>0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1">
        <f t="shared" si="29"/>
        <v>0</v>
      </c>
    </row>
    <row r="927" spans="1:18">
      <c r="A927" t="s">
        <v>919</v>
      </c>
      <c r="C927" s="3">
        <v>0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f t="shared" si="28"/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f t="shared" si="29"/>
        <v>0</v>
      </c>
    </row>
    <row r="928" spans="1:18">
      <c r="A928" t="s">
        <v>920</v>
      </c>
      <c r="C928" s="3">
        <v>152500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f t="shared" si="28"/>
        <v>152500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f t="shared" si="29"/>
        <v>152500</v>
      </c>
    </row>
    <row r="929" spans="1:18">
      <c r="A929" t="s">
        <v>921</v>
      </c>
      <c r="C929" s="3">
        <v>42800</v>
      </c>
      <c r="D929" s="3">
        <v>0</v>
      </c>
      <c r="E929" s="3">
        <v>0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f t="shared" si="28"/>
        <v>42800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f t="shared" si="29"/>
        <v>42800</v>
      </c>
    </row>
    <row r="930" spans="1:18">
      <c r="A930" t="s">
        <v>922</v>
      </c>
      <c r="C930" s="3">
        <v>450000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f t="shared" si="28"/>
        <v>450000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f t="shared" si="29"/>
        <v>450000</v>
      </c>
    </row>
    <row r="931" spans="1:18">
      <c r="A931" t="s">
        <v>923</v>
      </c>
      <c r="C931" s="3">
        <v>0</v>
      </c>
      <c r="D931" s="3">
        <v>0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f t="shared" si="28"/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1">
        <f t="shared" si="29"/>
        <v>0</v>
      </c>
    </row>
    <row r="932" spans="1:18">
      <c r="A932" t="s">
        <v>2264</v>
      </c>
      <c r="C932" s="3">
        <v>0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f t="shared" si="28"/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f t="shared" si="29"/>
        <v>0</v>
      </c>
    </row>
    <row r="933" spans="1:18">
      <c r="A933" t="s">
        <v>2030</v>
      </c>
      <c r="C933" s="3">
        <v>10145250</v>
      </c>
      <c r="D933" s="3">
        <v>0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f t="shared" si="28"/>
        <v>10145250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f t="shared" si="29"/>
        <v>10145250</v>
      </c>
    </row>
    <row r="934" spans="1:18">
      <c r="A934" t="s">
        <v>2265</v>
      </c>
      <c r="C934" s="3">
        <v>0</v>
      </c>
      <c r="D934" s="3">
        <v>0</v>
      </c>
      <c r="E934" s="3">
        <v>0</v>
      </c>
      <c r="F934" s="3">
        <v>0</v>
      </c>
      <c r="G934" s="3">
        <v>0</v>
      </c>
      <c r="H934" s="3">
        <v>0</v>
      </c>
      <c r="I934" s="3">
        <v>0</v>
      </c>
      <c r="J934" s="3">
        <v>0</v>
      </c>
      <c r="K934" s="3">
        <v>0</v>
      </c>
      <c r="L934" s="3">
        <f t="shared" si="28"/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f t="shared" si="29"/>
        <v>0</v>
      </c>
    </row>
    <row r="935" spans="1:18">
      <c r="A935" t="s">
        <v>2031</v>
      </c>
      <c r="C935" s="3">
        <v>0</v>
      </c>
      <c r="D935" s="3">
        <v>0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f t="shared" si="28"/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f t="shared" si="29"/>
        <v>0</v>
      </c>
    </row>
    <row r="936" spans="1:18">
      <c r="A936" t="s">
        <v>2189</v>
      </c>
      <c r="C936" s="3">
        <v>0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f t="shared" si="28"/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f t="shared" si="29"/>
        <v>0</v>
      </c>
    </row>
    <row r="937" spans="1:18">
      <c r="A937" t="s">
        <v>2032</v>
      </c>
      <c r="C937" s="3">
        <v>3498500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f t="shared" si="28"/>
        <v>3498500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f t="shared" si="29"/>
        <v>3498500</v>
      </c>
    </row>
    <row r="938" spans="1:18">
      <c r="A938" t="s">
        <v>2033</v>
      </c>
      <c r="C938" s="3">
        <v>1214000</v>
      </c>
      <c r="D938" s="3">
        <v>0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f t="shared" si="28"/>
        <v>1214000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1">
        <f t="shared" si="29"/>
        <v>1214000</v>
      </c>
    </row>
    <row r="939" spans="1:18">
      <c r="A939" t="s">
        <v>2034</v>
      </c>
      <c r="C939" s="3">
        <v>251500</v>
      </c>
      <c r="D939" s="3">
        <v>0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f t="shared" si="28"/>
        <v>251500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f t="shared" si="29"/>
        <v>251500</v>
      </c>
    </row>
    <row r="940" spans="1:18">
      <c r="A940" t="s">
        <v>2190</v>
      </c>
      <c r="C940" s="3">
        <v>508300</v>
      </c>
      <c r="D940" s="3">
        <v>0</v>
      </c>
      <c r="E940" s="3">
        <v>0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f t="shared" si="28"/>
        <v>508300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f t="shared" si="29"/>
        <v>508300</v>
      </c>
    </row>
    <row r="941" spans="1:18">
      <c r="A941" t="s">
        <v>2035</v>
      </c>
      <c r="C941" s="3">
        <v>0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f t="shared" si="28"/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f t="shared" si="29"/>
        <v>0</v>
      </c>
    </row>
    <row r="942" spans="1:18">
      <c r="A942" t="s">
        <v>2036</v>
      </c>
      <c r="C942" s="3">
        <v>0</v>
      </c>
      <c r="D942" s="3">
        <v>0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f t="shared" si="28"/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f t="shared" si="29"/>
        <v>0</v>
      </c>
    </row>
    <row r="943" spans="1:18">
      <c r="A943" t="s">
        <v>924</v>
      </c>
      <c r="C943" s="3">
        <v>0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f t="shared" si="28"/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f t="shared" si="29"/>
        <v>0</v>
      </c>
    </row>
    <row r="944" spans="1:18">
      <c r="A944" t="s">
        <v>2037</v>
      </c>
      <c r="C944" s="3">
        <v>0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f t="shared" si="28"/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1">
        <f t="shared" si="29"/>
        <v>0</v>
      </c>
    </row>
    <row r="945" spans="1:18">
      <c r="A945" t="s">
        <v>2038</v>
      </c>
      <c r="C945" s="3">
        <v>1971000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f t="shared" si="28"/>
        <v>1971000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f t="shared" si="29"/>
        <v>1971000</v>
      </c>
    </row>
    <row r="946" spans="1:18">
      <c r="A946" t="s">
        <v>925</v>
      </c>
      <c r="C946" s="3">
        <v>7668000</v>
      </c>
      <c r="D946" s="3">
        <v>0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f t="shared" si="28"/>
        <v>7668000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f t="shared" si="29"/>
        <v>7668000</v>
      </c>
    </row>
    <row r="947" spans="1:18">
      <c r="A947" t="s">
        <v>2039</v>
      </c>
      <c r="C947" s="3">
        <v>0</v>
      </c>
      <c r="D947" s="3">
        <v>0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f t="shared" si="28"/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f t="shared" si="29"/>
        <v>0</v>
      </c>
    </row>
    <row r="948" spans="1:18">
      <c r="A948" t="s">
        <v>926</v>
      </c>
      <c r="C948" s="3">
        <v>482800</v>
      </c>
      <c r="D948" s="3">
        <v>0</v>
      </c>
      <c r="E948" s="3">
        <v>0</v>
      </c>
      <c r="F948" s="3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f t="shared" si="28"/>
        <v>482800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f t="shared" si="29"/>
        <v>482800</v>
      </c>
    </row>
    <row r="949" spans="1:18">
      <c r="A949" t="s">
        <v>2040</v>
      </c>
      <c r="C949" s="3">
        <v>4742500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f t="shared" si="28"/>
        <v>4742500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f t="shared" si="29"/>
        <v>4742500</v>
      </c>
    </row>
    <row r="950" spans="1:18">
      <c r="A950" t="s">
        <v>2191</v>
      </c>
      <c r="C950" s="3">
        <v>0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f t="shared" si="28"/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f t="shared" si="29"/>
        <v>0</v>
      </c>
    </row>
    <row r="951" spans="1:18">
      <c r="A951" t="s">
        <v>927</v>
      </c>
      <c r="C951" s="3">
        <v>63000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f t="shared" si="28"/>
        <v>63000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f t="shared" si="29"/>
        <v>63000</v>
      </c>
    </row>
    <row r="952" spans="1:18">
      <c r="A952" t="s">
        <v>928</v>
      </c>
      <c r="C952" s="3">
        <v>2596000</v>
      </c>
      <c r="D952" s="3">
        <v>0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f t="shared" si="28"/>
        <v>2596000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f t="shared" si="29"/>
        <v>2596000</v>
      </c>
    </row>
    <row r="953" spans="1:18">
      <c r="A953" t="s">
        <v>2192</v>
      </c>
      <c r="C953" s="3">
        <v>1253200</v>
      </c>
      <c r="D953" s="3">
        <v>0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f t="shared" si="28"/>
        <v>1253200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f t="shared" si="29"/>
        <v>1253200</v>
      </c>
    </row>
    <row r="954" spans="1:18">
      <c r="A954" t="s">
        <v>2041</v>
      </c>
      <c r="C954" s="3">
        <v>385000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f t="shared" si="28"/>
        <v>385000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f t="shared" si="29"/>
        <v>385000</v>
      </c>
    </row>
    <row r="955" spans="1:18">
      <c r="A955" t="s">
        <v>929</v>
      </c>
      <c r="C955" s="3">
        <v>1915000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f t="shared" si="28"/>
        <v>1915000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1">
        <f t="shared" si="29"/>
        <v>1915000</v>
      </c>
    </row>
    <row r="956" spans="1:18">
      <c r="A956" t="s">
        <v>930</v>
      </c>
      <c r="C956" s="3">
        <v>0</v>
      </c>
      <c r="D956" s="3">
        <v>0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f t="shared" si="28"/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f t="shared" si="29"/>
        <v>0</v>
      </c>
    </row>
    <row r="957" spans="1:18">
      <c r="A957" t="s">
        <v>2042</v>
      </c>
      <c r="C957" s="3">
        <v>0</v>
      </c>
      <c r="D957" s="3">
        <v>0</v>
      </c>
      <c r="E957" s="3">
        <v>0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f t="shared" si="28"/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f t="shared" si="29"/>
        <v>0</v>
      </c>
    </row>
    <row r="958" spans="1:18">
      <c r="A958" t="s">
        <v>931</v>
      </c>
      <c r="C958" s="3">
        <v>9105000</v>
      </c>
      <c r="D958" s="3">
        <v>0</v>
      </c>
      <c r="E958" s="3">
        <v>0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f t="shared" si="28"/>
        <v>9105000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f t="shared" si="29"/>
        <v>9105000</v>
      </c>
    </row>
    <row r="959" spans="1:18">
      <c r="A959" t="s">
        <v>932</v>
      </c>
      <c r="C959" s="3">
        <v>0</v>
      </c>
      <c r="D959" s="3">
        <v>0</v>
      </c>
      <c r="E959" s="3">
        <v>0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f t="shared" si="28"/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f t="shared" si="29"/>
        <v>0</v>
      </c>
    </row>
    <row r="960" spans="1:18">
      <c r="A960" t="s">
        <v>933</v>
      </c>
      <c r="C960" s="3">
        <v>0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f t="shared" si="28"/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f t="shared" si="29"/>
        <v>0</v>
      </c>
    </row>
    <row r="961" spans="1:18">
      <c r="A961" t="s">
        <v>934</v>
      </c>
      <c r="C961" s="3">
        <v>800000</v>
      </c>
      <c r="D961" s="3">
        <v>0</v>
      </c>
      <c r="E961" s="3">
        <v>0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f t="shared" si="28"/>
        <v>800000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f t="shared" si="29"/>
        <v>800000</v>
      </c>
    </row>
    <row r="962" spans="1:18">
      <c r="A962" t="s">
        <v>935</v>
      </c>
      <c r="C962" s="3">
        <v>8000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f t="shared" si="28"/>
        <v>8000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f t="shared" si="29"/>
        <v>8000</v>
      </c>
    </row>
    <row r="963" spans="1:18">
      <c r="A963" t="s">
        <v>936</v>
      </c>
      <c r="C963" s="3">
        <v>226000</v>
      </c>
      <c r="D963" s="3">
        <v>0</v>
      </c>
      <c r="E963" s="3">
        <v>0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f t="shared" ref="L963:L1026" si="30">SUM(C963:K963)</f>
        <v>226000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f t="shared" ref="R963:R1026" si="31">SUM(L963:Q963)</f>
        <v>226000</v>
      </c>
    </row>
    <row r="964" spans="1:18">
      <c r="A964" t="s">
        <v>937</v>
      </c>
      <c r="C964" s="3">
        <v>2028500</v>
      </c>
      <c r="D964" s="3">
        <v>0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f t="shared" si="30"/>
        <v>2028500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f t="shared" si="31"/>
        <v>2028500</v>
      </c>
    </row>
    <row r="965" spans="1:18">
      <c r="A965" t="s">
        <v>938</v>
      </c>
      <c r="C965" s="3">
        <v>775000</v>
      </c>
      <c r="D965" s="3">
        <v>0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f t="shared" si="30"/>
        <v>775000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f t="shared" si="31"/>
        <v>775000</v>
      </c>
    </row>
    <row r="966" spans="1:18">
      <c r="A966" t="s">
        <v>939</v>
      </c>
      <c r="C966" s="3">
        <v>0</v>
      </c>
      <c r="D966" s="3">
        <v>0</v>
      </c>
      <c r="E966" s="3">
        <v>0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f t="shared" si="30"/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1">
        <f t="shared" si="31"/>
        <v>0</v>
      </c>
    </row>
    <row r="967" spans="1:18">
      <c r="A967" t="s">
        <v>2043</v>
      </c>
      <c r="C967" s="3">
        <v>855000</v>
      </c>
      <c r="D967" s="3">
        <v>0</v>
      </c>
      <c r="E967" s="3">
        <v>0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f t="shared" si="30"/>
        <v>855000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f t="shared" si="31"/>
        <v>855000</v>
      </c>
    </row>
    <row r="968" spans="1:18">
      <c r="A968" t="s">
        <v>2044</v>
      </c>
      <c r="C968" s="3">
        <v>0</v>
      </c>
      <c r="D968" s="3">
        <v>0</v>
      </c>
      <c r="E968" s="3">
        <v>0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f t="shared" si="30"/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f t="shared" si="31"/>
        <v>0</v>
      </c>
    </row>
    <row r="969" spans="1:18">
      <c r="A969" t="s">
        <v>940</v>
      </c>
      <c r="C969" s="3">
        <v>0</v>
      </c>
      <c r="D969" s="3">
        <v>0</v>
      </c>
      <c r="E969" s="3">
        <v>0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f t="shared" si="30"/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f t="shared" si="31"/>
        <v>0</v>
      </c>
    </row>
    <row r="970" spans="1:18">
      <c r="A970" t="s">
        <v>2045</v>
      </c>
      <c r="C970" s="3">
        <v>646250</v>
      </c>
      <c r="D970" s="3">
        <v>0</v>
      </c>
      <c r="E970" s="3">
        <v>0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f t="shared" si="30"/>
        <v>646250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f t="shared" si="31"/>
        <v>646250</v>
      </c>
    </row>
    <row r="971" spans="1:18">
      <c r="A971" t="s">
        <v>941</v>
      </c>
      <c r="C971" s="3">
        <v>1006900</v>
      </c>
      <c r="D971" s="3">
        <v>0</v>
      </c>
      <c r="E971" s="3">
        <v>0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f t="shared" si="30"/>
        <v>1006900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f t="shared" si="31"/>
        <v>1006900</v>
      </c>
    </row>
    <row r="972" spans="1:18">
      <c r="A972" t="s">
        <v>942</v>
      </c>
      <c r="C972" s="3">
        <v>1862900</v>
      </c>
      <c r="D972" s="3">
        <v>0</v>
      </c>
      <c r="E972" s="3">
        <v>0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f t="shared" si="30"/>
        <v>1862900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f t="shared" si="31"/>
        <v>1862900</v>
      </c>
    </row>
    <row r="973" spans="1:18">
      <c r="A973" t="s">
        <v>943</v>
      </c>
      <c r="C973" s="3">
        <v>4201780</v>
      </c>
      <c r="D973" s="3">
        <v>0</v>
      </c>
      <c r="E973" s="3">
        <v>0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f t="shared" si="30"/>
        <v>4201780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f t="shared" si="31"/>
        <v>4201780</v>
      </c>
    </row>
    <row r="974" spans="1:18">
      <c r="A974" t="s">
        <v>944</v>
      </c>
      <c r="C974" s="3">
        <v>4100412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f t="shared" si="30"/>
        <v>4100412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f t="shared" si="31"/>
        <v>4100412</v>
      </c>
    </row>
    <row r="975" spans="1:18">
      <c r="A975" t="s">
        <v>945</v>
      </c>
      <c r="C975" s="3">
        <v>29300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f t="shared" si="30"/>
        <v>29300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f t="shared" si="31"/>
        <v>29300</v>
      </c>
    </row>
    <row r="976" spans="1:18">
      <c r="A976" t="s">
        <v>946</v>
      </c>
      <c r="C976" s="3">
        <v>351050</v>
      </c>
      <c r="D976" s="3">
        <v>0</v>
      </c>
      <c r="E976" s="3">
        <v>0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f t="shared" si="30"/>
        <v>351050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f t="shared" si="31"/>
        <v>351050</v>
      </c>
    </row>
    <row r="977" spans="1:18">
      <c r="A977" t="s">
        <v>947</v>
      </c>
      <c r="C977" s="3">
        <v>0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f t="shared" si="30"/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f t="shared" si="31"/>
        <v>0</v>
      </c>
    </row>
    <row r="978" spans="1:18">
      <c r="A978" t="s">
        <v>948</v>
      </c>
      <c r="C978" s="3">
        <v>0</v>
      </c>
      <c r="D978" s="3">
        <v>0</v>
      </c>
      <c r="E978" s="3">
        <v>0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f t="shared" si="30"/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f t="shared" si="31"/>
        <v>0</v>
      </c>
    </row>
    <row r="979" spans="1:18">
      <c r="A979" t="s">
        <v>949</v>
      </c>
      <c r="C979" s="3">
        <v>1014035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f t="shared" si="30"/>
        <v>1014035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f t="shared" si="31"/>
        <v>1014035</v>
      </c>
    </row>
    <row r="980" spans="1:18">
      <c r="A980" t="s">
        <v>950</v>
      </c>
      <c r="C980" s="3">
        <v>2333300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f t="shared" si="30"/>
        <v>2333300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f t="shared" si="31"/>
        <v>2333300</v>
      </c>
    </row>
    <row r="981" spans="1:18">
      <c r="A981" t="s">
        <v>2046</v>
      </c>
      <c r="C981" s="3">
        <v>6429300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f t="shared" si="30"/>
        <v>6429300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f t="shared" si="31"/>
        <v>6429300</v>
      </c>
    </row>
    <row r="982" spans="1:18">
      <c r="A982" t="s">
        <v>951</v>
      </c>
      <c r="C982" s="3">
        <v>1576600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f t="shared" si="30"/>
        <v>1576600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f t="shared" si="31"/>
        <v>1576600</v>
      </c>
    </row>
    <row r="983" spans="1:18">
      <c r="A983" t="s">
        <v>952</v>
      </c>
      <c r="C983" s="3">
        <v>6823483</v>
      </c>
      <c r="D983" s="3">
        <v>0</v>
      </c>
      <c r="E983" s="3">
        <v>0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f t="shared" si="30"/>
        <v>6823483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f t="shared" si="31"/>
        <v>6823483</v>
      </c>
    </row>
    <row r="984" spans="1:18">
      <c r="A984" t="s">
        <v>953</v>
      </c>
      <c r="C984" s="3">
        <v>410000</v>
      </c>
      <c r="D984" s="3">
        <v>0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f t="shared" si="30"/>
        <v>410000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1">
        <f t="shared" si="31"/>
        <v>410000</v>
      </c>
    </row>
    <row r="985" spans="1:18">
      <c r="A985" t="s">
        <v>954</v>
      </c>
      <c r="C985" s="3">
        <v>1302000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f t="shared" si="30"/>
        <v>1302000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1">
        <f t="shared" si="31"/>
        <v>1302000</v>
      </c>
    </row>
    <row r="986" spans="1:18">
      <c r="A986" t="s">
        <v>955</v>
      </c>
      <c r="C986" s="3">
        <v>1276000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f t="shared" si="30"/>
        <v>1276000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f t="shared" si="31"/>
        <v>1276000</v>
      </c>
    </row>
    <row r="987" spans="1:18">
      <c r="A987" t="s">
        <v>956</v>
      </c>
      <c r="C987" s="3">
        <v>849360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f t="shared" si="30"/>
        <v>849360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f t="shared" si="31"/>
        <v>849360</v>
      </c>
    </row>
    <row r="988" spans="1:18">
      <c r="A988" t="s">
        <v>957</v>
      </c>
      <c r="C988" s="3">
        <v>34110108</v>
      </c>
      <c r="D988" s="3">
        <v>0</v>
      </c>
      <c r="E988" s="3">
        <v>0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f t="shared" si="30"/>
        <v>34110108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f t="shared" si="31"/>
        <v>34110108</v>
      </c>
    </row>
    <row r="989" spans="1:18">
      <c r="A989" t="s">
        <v>958</v>
      </c>
      <c r="C989" s="3">
        <v>259500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f t="shared" si="30"/>
        <v>259500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f t="shared" si="31"/>
        <v>259500</v>
      </c>
    </row>
    <row r="990" spans="1:18">
      <c r="A990" t="s">
        <v>959</v>
      </c>
      <c r="C990" s="3">
        <v>10914682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f t="shared" si="30"/>
        <v>10914682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f t="shared" si="31"/>
        <v>10914682</v>
      </c>
    </row>
    <row r="991" spans="1:18">
      <c r="A991" t="s">
        <v>960</v>
      </c>
      <c r="C991" s="3">
        <v>131200</v>
      </c>
      <c r="D991" s="3">
        <v>0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f t="shared" si="30"/>
        <v>131200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f t="shared" si="31"/>
        <v>131200</v>
      </c>
    </row>
    <row r="992" spans="1:18">
      <c r="A992" t="s">
        <v>961</v>
      </c>
      <c r="C992" s="3">
        <v>213000</v>
      </c>
      <c r="D992" s="3">
        <v>0</v>
      </c>
      <c r="E992" s="3">
        <v>0</v>
      </c>
      <c r="F992" s="3">
        <v>0</v>
      </c>
      <c r="G992" s="3">
        <v>0</v>
      </c>
      <c r="H992" s="3">
        <v>0</v>
      </c>
      <c r="I992" s="3">
        <v>0</v>
      </c>
      <c r="J992" s="3">
        <v>0</v>
      </c>
      <c r="K992" s="3">
        <v>0</v>
      </c>
      <c r="L992" s="3">
        <f t="shared" si="30"/>
        <v>213000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f t="shared" si="31"/>
        <v>213000</v>
      </c>
    </row>
    <row r="993" spans="1:18">
      <c r="A993" t="s">
        <v>2047</v>
      </c>
      <c r="C993" s="3">
        <v>4638596</v>
      </c>
      <c r="D993" s="3">
        <v>0</v>
      </c>
      <c r="E993" s="3">
        <v>0</v>
      </c>
      <c r="F993" s="3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f t="shared" si="30"/>
        <v>4638596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f t="shared" si="31"/>
        <v>4638596</v>
      </c>
    </row>
    <row r="994" spans="1:18">
      <c r="A994" t="s">
        <v>962</v>
      </c>
      <c r="C994" s="3">
        <v>0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0</v>
      </c>
      <c r="J994" s="3">
        <v>0</v>
      </c>
      <c r="K994" s="3">
        <v>0</v>
      </c>
      <c r="L994" s="3">
        <f t="shared" si="30"/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f t="shared" si="31"/>
        <v>0</v>
      </c>
    </row>
    <row r="995" spans="1:18">
      <c r="A995" t="s">
        <v>963</v>
      </c>
      <c r="C995" s="3">
        <v>16223270</v>
      </c>
      <c r="D995" s="3">
        <v>0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f t="shared" si="30"/>
        <v>16223270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f t="shared" si="31"/>
        <v>16223270</v>
      </c>
    </row>
    <row r="996" spans="1:18">
      <c r="A996" t="s">
        <v>964</v>
      </c>
      <c r="C996" s="3">
        <v>3719000</v>
      </c>
      <c r="D996" s="3">
        <v>0</v>
      </c>
      <c r="E996" s="3">
        <v>0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f t="shared" si="30"/>
        <v>3719000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f t="shared" si="31"/>
        <v>3719000</v>
      </c>
    </row>
    <row r="997" spans="1:18">
      <c r="A997" t="s">
        <v>965</v>
      </c>
      <c r="C997" s="3">
        <v>683900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f t="shared" si="30"/>
        <v>683900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f t="shared" si="31"/>
        <v>683900</v>
      </c>
    </row>
    <row r="998" spans="1:18">
      <c r="A998" t="s">
        <v>966</v>
      </c>
      <c r="C998" s="3">
        <v>332000</v>
      </c>
      <c r="D998" s="3">
        <v>0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f t="shared" si="30"/>
        <v>332000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f t="shared" si="31"/>
        <v>332000</v>
      </c>
    </row>
    <row r="999" spans="1:18">
      <c r="A999" t="s">
        <v>967</v>
      </c>
      <c r="C999" s="3">
        <v>863500</v>
      </c>
      <c r="D999" s="3">
        <v>0</v>
      </c>
      <c r="E999" s="3">
        <v>0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f t="shared" si="30"/>
        <v>863500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f t="shared" si="31"/>
        <v>863500</v>
      </c>
    </row>
    <row r="1000" spans="1:18">
      <c r="A1000" t="s">
        <v>968</v>
      </c>
      <c r="C1000" s="3">
        <v>3220541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f t="shared" si="30"/>
        <v>3220541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f t="shared" si="31"/>
        <v>3220541</v>
      </c>
    </row>
    <row r="1001" spans="1:18">
      <c r="A1001" t="s">
        <v>969</v>
      </c>
      <c r="C1001" s="3">
        <v>36927600</v>
      </c>
      <c r="D1001" s="3">
        <v>0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f t="shared" si="30"/>
        <v>36927600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f t="shared" si="31"/>
        <v>36927600</v>
      </c>
    </row>
    <row r="1002" spans="1:18">
      <c r="A1002" t="s">
        <v>970</v>
      </c>
      <c r="C1002" s="3">
        <v>3703184</v>
      </c>
      <c r="D1002" s="3">
        <v>0</v>
      </c>
      <c r="E1002" s="3">
        <v>0</v>
      </c>
      <c r="F1002" s="3">
        <v>0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f t="shared" si="30"/>
        <v>3703184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f t="shared" si="31"/>
        <v>3703184</v>
      </c>
    </row>
    <row r="1003" spans="1:18">
      <c r="A1003" t="s">
        <v>971</v>
      </c>
      <c r="C1003" s="3">
        <v>6175050</v>
      </c>
      <c r="D1003" s="3">
        <v>0</v>
      </c>
      <c r="E1003" s="3">
        <v>0</v>
      </c>
      <c r="F1003" s="3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f t="shared" si="30"/>
        <v>6175050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f t="shared" si="31"/>
        <v>6175050</v>
      </c>
    </row>
    <row r="1004" spans="1:18">
      <c r="A1004" t="s">
        <v>972</v>
      </c>
      <c r="C1004" s="3">
        <v>1112500</v>
      </c>
      <c r="D1004" s="3">
        <v>0</v>
      </c>
      <c r="E1004" s="3">
        <v>0</v>
      </c>
      <c r="F1004" s="3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f t="shared" si="30"/>
        <v>1112500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f t="shared" si="31"/>
        <v>1112500</v>
      </c>
    </row>
    <row r="1005" spans="1:18">
      <c r="A1005" t="s">
        <v>973</v>
      </c>
      <c r="C1005" s="3">
        <v>3042800</v>
      </c>
      <c r="D1005" s="3">
        <v>0</v>
      </c>
      <c r="E1005" s="3">
        <v>0</v>
      </c>
      <c r="F1005" s="3">
        <v>0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f t="shared" si="30"/>
        <v>3042800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f t="shared" si="31"/>
        <v>3042800</v>
      </c>
    </row>
    <row r="1006" spans="1:18">
      <c r="A1006" t="s">
        <v>974</v>
      </c>
      <c r="C1006" s="3">
        <v>6429894</v>
      </c>
      <c r="D1006" s="3">
        <v>0</v>
      </c>
      <c r="E1006" s="3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f t="shared" si="30"/>
        <v>6429894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f t="shared" si="31"/>
        <v>6429894</v>
      </c>
    </row>
    <row r="1007" spans="1:18">
      <c r="A1007" t="s">
        <v>975</v>
      </c>
      <c r="C1007" s="3">
        <v>935000</v>
      </c>
      <c r="D1007" s="3">
        <v>0</v>
      </c>
      <c r="E1007" s="3">
        <v>0</v>
      </c>
      <c r="F1007" s="3">
        <v>0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f t="shared" si="30"/>
        <v>935000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f t="shared" si="31"/>
        <v>935000</v>
      </c>
    </row>
    <row r="1008" spans="1:18">
      <c r="A1008" t="s">
        <v>976</v>
      </c>
      <c r="C1008" s="3">
        <v>462500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f t="shared" si="30"/>
        <v>462500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f t="shared" si="31"/>
        <v>462500</v>
      </c>
    </row>
    <row r="1009" spans="1:18">
      <c r="A1009" t="s">
        <v>977</v>
      </c>
      <c r="C1009" s="3">
        <v>186300</v>
      </c>
      <c r="D1009" s="3">
        <v>0</v>
      </c>
      <c r="E1009" s="3">
        <v>0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f t="shared" si="30"/>
        <v>186300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f t="shared" si="31"/>
        <v>186300</v>
      </c>
    </row>
    <row r="1010" spans="1:18">
      <c r="A1010" t="s">
        <v>978</v>
      </c>
      <c r="C1010" s="3">
        <v>931620</v>
      </c>
      <c r="D1010" s="3">
        <v>0</v>
      </c>
      <c r="E1010" s="3">
        <v>0</v>
      </c>
      <c r="F1010" s="3">
        <v>0</v>
      </c>
      <c r="G1010" s="3">
        <v>0</v>
      </c>
      <c r="H1010" s="3">
        <v>0</v>
      </c>
      <c r="I1010" s="3">
        <v>0</v>
      </c>
      <c r="J1010" s="3">
        <v>0</v>
      </c>
      <c r="K1010" s="3">
        <v>0</v>
      </c>
      <c r="L1010" s="3">
        <f t="shared" si="30"/>
        <v>931620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f t="shared" si="31"/>
        <v>931620</v>
      </c>
    </row>
    <row r="1011" spans="1:18">
      <c r="A1011" t="s">
        <v>979</v>
      </c>
      <c r="C1011" s="3">
        <v>7936500</v>
      </c>
      <c r="D1011" s="3">
        <v>0</v>
      </c>
      <c r="E1011" s="3">
        <v>0</v>
      </c>
      <c r="F1011" s="3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f t="shared" si="30"/>
        <v>7936500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f t="shared" si="31"/>
        <v>7936500</v>
      </c>
    </row>
    <row r="1012" spans="1:18">
      <c r="A1012" t="s">
        <v>980</v>
      </c>
      <c r="C1012" s="3">
        <v>194750</v>
      </c>
      <c r="D1012" s="3">
        <v>0</v>
      </c>
      <c r="E1012" s="3">
        <v>0</v>
      </c>
      <c r="F1012" s="3">
        <v>0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f t="shared" si="30"/>
        <v>194750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f t="shared" si="31"/>
        <v>194750</v>
      </c>
    </row>
    <row r="1013" spans="1:18">
      <c r="A1013" t="s">
        <v>981</v>
      </c>
      <c r="C1013" s="3">
        <v>100000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f t="shared" si="30"/>
        <v>100000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f t="shared" si="31"/>
        <v>100000</v>
      </c>
    </row>
    <row r="1014" spans="1:18">
      <c r="A1014" t="s">
        <v>2048</v>
      </c>
      <c r="C1014" s="3">
        <v>46239750</v>
      </c>
      <c r="D1014" s="3">
        <v>0</v>
      </c>
      <c r="E1014" s="3">
        <v>0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f t="shared" si="30"/>
        <v>46239750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f t="shared" si="31"/>
        <v>46239750</v>
      </c>
    </row>
    <row r="1015" spans="1:18">
      <c r="A1015" t="s">
        <v>982</v>
      </c>
      <c r="C1015" s="3">
        <v>966000</v>
      </c>
      <c r="D1015" s="3">
        <v>0</v>
      </c>
      <c r="E1015" s="3">
        <v>0</v>
      </c>
      <c r="F1015" s="3">
        <v>0</v>
      </c>
      <c r="G1015" s="3">
        <v>0</v>
      </c>
      <c r="H1015" s="3">
        <v>0</v>
      </c>
      <c r="I1015" s="3">
        <v>0</v>
      </c>
      <c r="J1015" s="3">
        <v>0</v>
      </c>
      <c r="K1015" s="3">
        <v>0</v>
      </c>
      <c r="L1015" s="3">
        <f t="shared" si="30"/>
        <v>966000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f t="shared" si="31"/>
        <v>966000</v>
      </c>
    </row>
    <row r="1016" spans="1:18">
      <c r="A1016" t="s">
        <v>2049</v>
      </c>
      <c r="C1016" s="3">
        <v>39000</v>
      </c>
      <c r="D1016" s="3">
        <v>0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f t="shared" si="30"/>
        <v>39000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f t="shared" si="31"/>
        <v>39000</v>
      </c>
    </row>
    <row r="1017" spans="1:18">
      <c r="A1017" t="s">
        <v>983</v>
      </c>
      <c r="C1017" s="3">
        <v>1398000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f t="shared" si="30"/>
        <v>1398000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f t="shared" si="31"/>
        <v>1398000</v>
      </c>
    </row>
    <row r="1018" spans="1:18">
      <c r="A1018" t="s">
        <v>984</v>
      </c>
      <c r="C1018" s="3">
        <v>2940164</v>
      </c>
      <c r="D1018" s="3">
        <v>0</v>
      </c>
      <c r="E1018" s="3">
        <v>0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f t="shared" si="30"/>
        <v>2940164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1">
        <f t="shared" si="31"/>
        <v>2940164</v>
      </c>
    </row>
    <row r="1019" spans="1:18">
      <c r="A1019" t="s">
        <v>2050</v>
      </c>
      <c r="C1019" s="3">
        <v>5849682</v>
      </c>
      <c r="D1019" s="3">
        <v>0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f t="shared" si="30"/>
        <v>5849682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f t="shared" si="31"/>
        <v>5849682</v>
      </c>
    </row>
    <row r="1020" spans="1:18">
      <c r="A1020" t="s">
        <v>2051</v>
      </c>
      <c r="C1020" s="3">
        <v>177776</v>
      </c>
      <c r="D1020" s="3">
        <v>0</v>
      </c>
      <c r="E1020" s="3">
        <v>0</v>
      </c>
      <c r="F1020" s="3">
        <v>0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f t="shared" si="30"/>
        <v>177776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f t="shared" si="31"/>
        <v>177776</v>
      </c>
    </row>
    <row r="1021" spans="1:18">
      <c r="A1021" t="s">
        <v>985</v>
      </c>
      <c r="C1021" s="3">
        <v>150000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f t="shared" si="30"/>
        <v>150000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f t="shared" si="31"/>
        <v>150000</v>
      </c>
    </row>
    <row r="1022" spans="1:18">
      <c r="A1022" t="s">
        <v>986</v>
      </c>
      <c r="C1022" s="3">
        <v>2290000</v>
      </c>
      <c r="D1022" s="3">
        <v>0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f t="shared" si="30"/>
        <v>2290000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f t="shared" si="31"/>
        <v>2290000</v>
      </c>
    </row>
    <row r="1023" spans="1:18">
      <c r="A1023" t="s">
        <v>2052</v>
      </c>
      <c r="C1023" s="3">
        <v>111000</v>
      </c>
      <c r="D1023" s="3">
        <v>0</v>
      </c>
      <c r="E1023" s="3">
        <v>0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f t="shared" si="30"/>
        <v>111000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1">
        <f t="shared" si="31"/>
        <v>111000</v>
      </c>
    </row>
    <row r="1024" spans="1:18">
      <c r="A1024" t="s">
        <v>987</v>
      </c>
      <c r="C1024" s="3">
        <v>349400</v>
      </c>
      <c r="D1024" s="3">
        <v>0</v>
      </c>
      <c r="E1024" s="3">
        <v>0</v>
      </c>
      <c r="F1024" s="3">
        <v>0</v>
      </c>
      <c r="G1024" s="3">
        <v>0</v>
      </c>
      <c r="H1024" s="3">
        <v>0</v>
      </c>
      <c r="I1024" s="3">
        <v>0</v>
      </c>
      <c r="J1024" s="3">
        <v>0</v>
      </c>
      <c r="K1024" s="3">
        <v>0</v>
      </c>
      <c r="L1024" s="3">
        <f t="shared" si="30"/>
        <v>349400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f t="shared" si="31"/>
        <v>349400</v>
      </c>
    </row>
    <row r="1025" spans="1:18">
      <c r="A1025" t="s">
        <v>988</v>
      </c>
      <c r="C1025" s="3">
        <v>235000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f t="shared" si="30"/>
        <v>235000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f t="shared" si="31"/>
        <v>235000</v>
      </c>
    </row>
    <row r="1026" spans="1:18">
      <c r="A1026" t="s">
        <v>2053</v>
      </c>
      <c r="C1026" s="3">
        <v>9819550</v>
      </c>
      <c r="D1026" s="3">
        <v>0</v>
      </c>
      <c r="E1026" s="3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f t="shared" si="30"/>
        <v>9819550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f t="shared" si="31"/>
        <v>9819550</v>
      </c>
    </row>
    <row r="1027" spans="1:18">
      <c r="A1027" t="s">
        <v>2054</v>
      </c>
      <c r="C1027" s="3">
        <v>2649500</v>
      </c>
      <c r="D1027" s="3">
        <v>0</v>
      </c>
      <c r="E1027" s="3">
        <v>0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f t="shared" ref="L1027:L1090" si="32">SUM(C1027:K1027)</f>
        <v>2649500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1">
        <f t="shared" ref="R1027:R1090" si="33">SUM(L1027:Q1027)</f>
        <v>2649500</v>
      </c>
    </row>
    <row r="1028" spans="1:18">
      <c r="A1028" t="s">
        <v>989</v>
      </c>
      <c r="C1028" s="3">
        <v>50000</v>
      </c>
      <c r="D1028" s="3">
        <v>0</v>
      </c>
      <c r="E1028" s="3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f t="shared" si="32"/>
        <v>50000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1">
        <f t="shared" si="33"/>
        <v>50000</v>
      </c>
    </row>
    <row r="1029" spans="1:18">
      <c r="A1029" t="s">
        <v>990</v>
      </c>
      <c r="C1029" s="3">
        <v>111000</v>
      </c>
      <c r="D1029" s="3">
        <v>0</v>
      </c>
      <c r="E1029" s="3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f t="shared" si="32"/>
        <v>111000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f t="shared" si="33"/>
        <v>111000</v>
      </c>
    </row>
    <row r="1030" spans="1:18">
      <c r="A1030" t="s">
        <v>991</v>
      </c>
      <c r="C1030" s="3">
        <v>96750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f t="shared" si="32"/>
        <v>96750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f t="shared" si="33"/>
        <v>96750</v>
      </c>
    </row>
    <row r="1031" spans="1:18">
      <c r="A1031" t="s">
        <v>992</v>
      </c>
      <c r="C1031" s="3">
        <v>76000</v>
      </c>
      <c r="D1031" s="3">
        <v>0</v>
      </c>
      <c r="E1031" s="3">
        <v>0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f t="shared" si="32"/>
        <v>76000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f t="shared" si="33"/>
        <v>76000</v>
      </c>
    </row>
    <row r="1032" spans="1:18">
      <c r="A1032" t="s">
        <v>993</v>
      </c>
      <c r="C1032" s="3">
        <v>0</v>
      </c>
      <c r="D1032" s="3">
        <v>0</v>
      </c>
      <c r="E1032" s="3">
        <v>0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f t="shared" si="32"/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f t="shared" si="33"/>
        <v>0</v>
      </c>
    </row>
    <row r="1033" spans="1:18">
      <c r="A1033" t="s">
        <v>994</v>
      </c>
      <c r="C1033" s="3">
        <v>51018150</v>
      </c>
      <c r="D1033" s="3">
        <v>0</v>
      </c>
      <c r="E1033" s="3">
        <v>0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f t="shared" si="32"/>
        <v>51018150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f t="shared" si="33"/>
        <v>51018150</v>
      </c>
    </row>
    <row r="1034" spans="1:18">
      <c r="A1034" t="s">
        <v>2055</v>
      </c>
      <c r="C1034" s="3">
        <v>14500</v>
      </c>
      <c r="D1034" s="3">
        <v>0</v>
      </c>
      <c r="E1034" s="3">
        <v>0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f t="shared" si="32"/>
        <v>14500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f t="shared" si="33"/>
        <v>14500</v>
      </c>
    </row>
    <row r="1035" spans="1:18">
      <c r="A1035" t="s">
        <v>2056</v>
      </c>
      <c r="C1035" s="3">
        <v>5092449</v>
      </c>
      <c r="D1035" s="3">
        <v>0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f t="shared" si="32"/>
        <v>5092449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f t="shared" si="33"/>
        <v>5092449</v>
      </c>
    </row>
    <row r="1036" spans="1:18">
      <c r="A1036" t="s">
        <v>995</v>
      </c>
      <c r="C1036" s="3">
        <v>8438300</v>
      </c>
      <c r="D1036" s="3">
        <v>0</v>
      </c>
      <c r="E1036" s="3">
        <v>0</v>
      </c>
      <c r="F1036" s="3">
        <v>0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f t="shared" si="32"/>
        <v>8438300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f t="shared" si="33"/>
        <v>8438300</v>
      </c>
    </row>
    <row r="1037" spans="1:18">
      <c r="A1037" t="s">
        <v>996</v>
      </c>
      <c r="C1037" s="3">
        <v>9951327</v>
      </c>
      <c r="D1037" s="3">
        <v>0</v>
      </c>
      <c r="E1037" s="3">
        <v>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f t="shared" si="32"/>
        <v>9951327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1">
        <f t="shared" si="33"/>
        <v>9951327</v>
      </c>
    </row>
    <row r="1038" spans="1:18">
      <c r="A1038" t="s">
        <v>997</v>
      </c>
      <c r="C1038" s="3">
        <v>1761430</v>
      </c>
      <c r="D1038" s="3">
        <v>0</v>
      </c>
      <c r="E1038" s="3">
        <v>0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f t="shared" si="32"/>
        <v>1761430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f t="shared" si="33"/>
        <v>1761430</v>
      </c>
    </row>
    <row r="1039" spans="1:18">
      <c r="A1039" t="s">
        <v>998</v>
      </c>
      <c r="C1039" s="3">
        <v>709000</v>
      </c>
      <c r="D1039" s="3">
        <v>0</v>
      </c>
      <c r="E1039" s="3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f t="shared" si="32"/>
        <v>709000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f t="shared" si="33"/>
        <v>709000</v>
      </c>
    </row>
    <row r="1040" spans="1:18">
      <c r="A1040" t="s">
        <v>2266</v>
      </c>
      <c r="C1040" s="3">
        <v>44100</v>
      </c>
      <c r="D1040" s="3">
        <v>0</v>
      </c>
      <c r="E1040" s="3">
        <v>0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f t="shared" si="32"/>
        <v>44100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f t="shared" si="33"/>
        <v>44100</v>
      </c>
    </row>
    <row r="1041" spans="1:18">
      <c r="A1041" t="s">
        <v>2193</v>
      </c>
      <c r="C1041" s="3">
        <v>17160000</v>
      </c>
      <c r="D1041" s="3">
        <v>0</v>
      </c>
      <c r="E1041" s="3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f t="shared" si="32"/>
        <v>17160000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f t="shared" si="33"/>
        <v>17160000</v>
      </c>
    </row>
    <row r="1042" spans="1:18">
      <c r="A1042" t="s">
        <v>999</v>
      </c>
      <c r="C1042" s="3">
        <v>2640500</v>
      </c>
      <c r="D1042" s="3">
        <v>0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f t="shared" si="32"/>
        <v>2640500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f t="shared" si="33"/>
        <v>2640500</v>
      </c>
    </row>
    <row r="1043" spans="1:18">
      <c r="A1043" t="s">
        <v>1000</v>
      </c>
      <c r="C1043" s="3">
        <v>140000</v>
      </c>
      <c r="D1043" s="3">
        <v>0</v>
      </c>
      <c r="E1043" s="3">
        <v>0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f t="shared" si="32"/>
        <v>140000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f t="shared" si="33"/>
        <v>140000</v>
      </c>
    </row>
    <row r="1044" spans="1:18">
      <c r="A1044" t="s">
        <v>2057</v>
      </c>
      <c r="C1044" s="3">
        <v>55000</v>
      </c>
      <c r="D1044" s="3">
        <v>0</v>
      </c>
      <c r="E1044" s="3">
        <v>0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f t="shared" si="32"/>
        <v>55000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1">
        <f t="shared" si="33"/>
        <v>55000</v>
      </c>
    </row>
    <row r="1045" spans="1:18">
      <c r="A1045" t="s">
        <v>1001</v>
      </c>
      <c r="C1045" s="3">
        <v>0</v>
      </c>
      <c r="D1045" s="3">
        <v>0</v>
      </c>
      <c r="E1045" s="3">
        <v>0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f t="shared" si="32"/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f t="shared" si="33"/>
        <v>0</v>
      </c>
    </row>
    <row r="1046" spans="1:18">
      <c r="A1046" t="s">
        <v>1002</v>
      </c>
      <c r="C1046" s="3">
        <v>0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f t="shared" si="32"/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f t="shared" si="33"/>
        <v>0</v>
      </c>
    </row>
    <row r="1047" spans="1:18">
      <c r="A1047" t="s">
        <v>1003</v>
      </c>
      <c r="C1047" s="3">
        <v>8553336</v>
      </c>
      <c r="D1047" s="3">
        <v>0</v>
      </c>
      <c r="E1047" s="3">
        <v>0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f t="shared" si="32"/>
        <v>8553336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1">
        <f t="shared" si="33"/>
        <v>8553336</v>
      </c>
    </row>
    <row r="1048" spans="1:18">
      <c r="A1048" t="s">
        <v>2058</v>
      </c>
      <c r="C1048" s="3">
        <v>0</v>
      </c>
      <c r="D1048" s="3">
        <v>0</v>
      </c>
      <c r="E1048" s="3">
        <v>0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f t="shared" si="32"/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f t="shared" si="33"/>
        <v>0</v>
      </c>
    </row>
    <row r="1049" spans="1:18">
      <c r="A1049" t="s">
        <v>1004</v>
      </c>
      <c r="C1049" s="3">
        <v>44550</v>
      </c>
      <c r="D1049" s="3">
        <v>0</v>
      </c>
      <c r="E1049" s="3">
        <v>0</v>
      </c>
      <c r="F1049" s="3">
        <v>0</v>
      </c>
      <c r="G1049" s="3">
        <v>0</v>
      </c>
      <c r="H1049" s="3">
        <v>0</v>
      </c>
      <c r="I1049" s="3">
        <v>0</v>
      </c>
      <c r="J1049" s="3">
        <v>0</v>
      </c>
      <c r="K1049" s="3">
        <v>0</v>
      </c>
      <c r="L1049" s="3">
        <f t="shared" si="32"/>
        <v>44550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f t="shared" si="33"/>
        <v>44550</v>
      </c>
    </row>
    <row r="1050" spans="1:18">
      <c r="A1050" t="s">
        <v>1005</v>
      </c>
      <c r="C1050" s="3">
        <v>0</v>
      </c>
      <c r="D1050" s="3">
        <v>0</v>
      </c>
      <c r="E1050" s="3">
        <v>0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f t="shared" si="32"/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1">
        <f t="shared" si="33"/>
        <v>0</v>
      </c>
    </row>
    <row r="1051" spans="1:18">
      <c r="A1051" t="s">
        <v>1006</v>
      </c>
      <c r="C1051" s="3">
        <v>270000</v>
      </c>
      <c r="D1051" s="3">
        <v>0</v>
      </c>
      <c r="E1051" s="3">
        <v>0</v>
      </c>
      <c r="F1051" s="3">
        <v>0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f t="shared" si="32"/>
        <v>270000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f t="shared" si="33"/>
        <v>270000</v>
      </c>
    </row>
    <row r="1052" spans="1:18">
      <c r="A1052" t="s">
        <v>2267</v>
      </c>
      <c r="C1052" s="3">
        <v>0</v>
      </c>
      <c r="D1052" s="3">
        <v>0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f t="shared" si="32"/>
        <v>0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f t="shared" si="33"/>
        <v>0</v>
      </c>
    </row>
    <row r="1053" spans="1:18">
      <c r="A1053" t="s">
        <v>1007</v>
      </c>
      <c r="C1053" s="3">
        <v>0</v>
      </c>
      <c r="D1053" s="3">
        <v>0</v>
      </c>
      <c r="E1053" s="3">
        <v>0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f t="shared" si="32"/>
        <v>0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f t="shared" si="33"/>
        <v>0</v>
      </c>
    </row>
    <row r="1054" spans="1:18">
      <c r="A1054" t="s">
        <v>2268</v>
      </c>
      <c r="C1054" s="3">
        <v>0</v>
      </c>
      <c r="D1054" s="3">
        <v>0</v>
      </c>
      <c r="E1054" s="3">
        <v>0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f t="shared" si="32"/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f t="shared" si="33"/>
        <v>0</v>
      </c>
    </row>
    <row r="1055" spans="1:18">
      <c r="A1055" t="s">
        <v>2059</v>
      </c>
      <c r="C1055" s="3">
        <v>3894000</v>
      </c>
      <c r="D1055" s="3">
        <v>0</v>
      </c>
      <c r="E1055" s="3">
        <v>0</v>
      </c>
      <c r="F1055" s="3">
        <v>0</v>
      </c>
      <c r="G1055" s="3">
        <v>0</v>
      </c>
      <c r="H1055" s="3">
        <v>0</v>
      </c>
      <c r="I1055" s="3">
        <v>0</v>
      </c>
      <c r="J1055" s="3">
        <v>0</v>
      </c>
      <c r="K1055" s="3">
        <v>0</v>
      </c>
      <c r="L1055" s="3">
        <f t="shared" si="32"/>
        <v>3894000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f t="shared" si="33"/>
        <v>3894000</v>
      </c>
    </row>
    <row r="1056" spans="1:18">
      <c r="A1056" t="s">
        <v>1008</v>
      </c>
      <c r="C1056" s="3">
        <v>0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f t="shared" si="32"/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1">
        <f t="shared" si="33"/>
        <v>0</v>
      </c>
    </row>
    <row r="1057" spans="1:18">
      <c r="A1057" t="s">
        <v>2060</v>
      </c>
      <c r="C1057" s="3">
        <v>484000</v>
      </c>
      <c r="D1057" s="3">
        <v>0</v>
      </c>
      <c r="E1057" s="3">
        <v>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f t="shared" si="32"/>
        <v>484000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1">
        <f t="shared" si="33"/>
        <v>484000</v>
      </c>
    </row>
    <row r="1058" spans="1:18">
      <c r="A1058" t="s">
        <v>2269</v>
      </c>
      <c r="C1058" s="3">
        <v>0</v>
      </c>
      <c r="D1058" s="3">
        <v>0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f t="shared" si="32"/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f t="shared" si="33"/>
        <v>0</v>
      </c>
    </row>
    <row r="1059" spans="1:18">
      <c r="A1059" t="s">
        <v>2270</v>
      </c>
      <c r="C1059" s="3">
        <v>23127909</v>
      </c>
      <c r="D1059" s="3">
        <v>0</v>
      </c>
      <c r="E1059" s="3">
        <v>0</v>
      </c>
      <c r="F1059" s="3">
        <v>0</v>
      </c>
      <c r="G1059" s="3">
        <v>0</v>
      </c>
      <c r="H1059" s="3">
        <v>0</v>
      </c>
      <c r="I1059" s="3">
        <v>0</v>
      </c>
      <c r="J1059" s="3">
        <v>0</v>
      </c>
      <c r="K1059" s="3">
        <v>0</v>
      </c>
      <c r="L1059" s="3">
        <f t="shared" si="32"/>
        <v>23127909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f t="shared" si="33"/>
        <v>23127909</v>
      </c>
    </row>
    <row r="1060" spans="1:18">
      <c r="A1060" t="s">
        <v>1009</v>
      </c>
      <c r="C1060" s="3">
        <v>297000</v>
      </c>
      <c r="D1060" s="3">
        <v>0</v>
      </c>
      <c r="E1060" s="3">
        <v>0</v>
      </c>
      <c r="F1060" s="3">
        <v>0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f t="shared" si="32"/>
        <v>297000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f t="shared" si="33"/>
        <v>297000</v>
      </c>
    </row>
    <row r="1061" spans="1:18">
      <c r="A1061" t="s">
        <v>2061</v>
      </c>
      <c r="C1061" s="3">
        <v>1211000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f t="shared" si="32"/>
        <v>1211000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f t="shared" si="33"/>
        <v>1211000</v>
      </c>
    </row>
    <row r="1062" spans="1:18">
      <c r="A1062" t="s">
        <v>2062</v>
      </c>
      <c r="C1062" s="3">
        <v>341000</v>
      </c>
      <c r="D1062" s="3">
        <v>0</v>
      </c>
      <c r="E1062" s="3">
        <v>0</v>
      </c>
      <c r="F1062" s="3">
        <v>0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f t="shared" si="32"/>
        <v>341000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f t="shared" si="33"/>
        <v>341000</v>
      </c>
    </row>
    <row r="1063" spans="1:18">
      <c r="A1063" t="s">
        <v>1010</v>
      </c>
      <c r="C1063" s="3">
        <v>1006000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f t="shared" si="32"/>
        <v>1006000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f t="shared" si="33"/>
        <v>1006000</v>
      </c>
    </row>
    <row r="1064" spans="1:18">
      <c r="A1064" t="s">
        <v>2063</v>
      </c>
      <c r="C1064" s="3">
        <v>4035877</v>
      </c>
      <c r="D1064" s="3">
        <v>0</v>
      </c>
      <c r="E1064" s="3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f t="shared" si="32"/>
        <v>4035877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1">
        <f t="shared" si="33"/>
        <v>4035877</v>
      </c>
    </row>
    <row r="1065" spans="1:18">
      <c r="A1065" t="s">
        <v>2194</v>
      </c>
      <c r="C1065" s="3">
        <v>0</v>
      </c>
      <c r="D1065" s="3">
        <v>0</v>
      </c>
      <c r="E1065" s="3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f t="shared" si="32"/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f t="shared" si="33"/>
        <v>0</v>
      </c>
    </row>
    <row r="1066" spans="1:18">
      <c r="A1066" t="s">
        <v>1011</v>
      </c>
      <c r="C1066" s="3">
        <v>70000</v>
      </c>
      <c r="D1066" s="3">
        <v>0</v>
      </c>
      <c r="E1066" s="3">
        <v>0</v>
      </c>
      <c r="F1066" s="3">
        <v>0</v>
      </c>
      <c r="G1066" s="3">
        <v>0</v>
      </c>
      <c r="H1066" s="3">
        <v>0</v>
      </c>
      <c r="I1066" s="3">
        <v>0</v>
      </c>
      <c r="J1066" s="3">
        <v>0</v>
      </c>
      <c r="K1066" s="3">
        <v>0</v>
      </c>
      <c r="L1066" s="3">
        <f t="shared" si="32"/>
        <v>70000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f t="shared" si="33"/>
        <v>70000</v>
      </c>
    </row>
    <row r="1067" spans="1:18">
      <c r="A1067" t="s">
        <v>1012</v>
      </c>
      <c r="C1067" s="3">
        <v>70987682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f t="shared" si="32"/>
        <v>70987682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f t="shared" si="33"/>
        <v>70987682</v>
      </c>
    </row>
    <row r="1068" spans="1:18">
      <c r="A1068" t="s">
        <v>1013</v>
      </c>
      <c r="C1068" s="3">
        <v>6585500</v>
      </c>
      <c r="D1068" s="3">
        <v>0</v>
      </c>
      <c r="E1068" s="3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f t="shared" si="32"/>
        <v>6585500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f t="shared" si="33"/>
        <v>6585500</v>
      </c>
    </row>
    <row r="1069" spans="1:18">
      <c r="A1069" t="s">
        <v>2195</v>
      </c>
      <c r="C1069" s="3">
        <v>0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f t="shared" si="32"/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f t="shared" si="33"/>
        <v>0</v>
      </c>
    </row>
    <row r="1070" spans="1:18">
      <c r="A1070" t="s">
        <v>1014</v>
      </c>
      <c r="C1070" s="3">
        <v>29233518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f t="shared" si="32"/>
        <v>29233518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f t="shared" si="33"/>
        <v>29233518</v>
      </c>
    </row>
    <row r="1071" spans="1:18">
      <c r="A1071" t="s">
        <v>1015</v>
      </c>
      <c r="C1071" s="3">
        <v>6181500</v>
      </c>
      <c r="D1071" s="3">
        <v>0</v>
      </c>
      <c r="E1071" s="3">
        <v>0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f t="shared" si="32"/>
        <v>6181500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f t="shared" si="33"/>
        <v>6181500</v>
      </c>
    </row>
    <row r="1072" spans="1:18">
      <c r="A1072" t="s">
        <v>1016</v>
      </c>
      <c r="C1072" s="3">
        <v>1483000</v>
      </c>
      <c r="D1072" s="3">
        <v>0</v>
      </c>
      <c r="E1072" s="3">
        <v>0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f t="shared" si="32"/>
        <v>1483000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f t="shared" si="33"/>
        <v>1483000</v>
      </c>
    </row>
    <row r="1073" spans="1:18">
      <c r="A1073" t="s">
        <v>1017</v>
      </c>
      <c r="C1073" s="3">
        <v>4521864</v>
      </c>
      <c r="D1073" s="3">
        <v>0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f t="shared" si="32"/>
        <v>4521864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f t="shared" si="33"/>
        <v>4521864</v>
      </c>
    </row>
    <row r="1074" spans="1:18">
      <c r="A1074" t="s">
        <v>1018</v>
      </c>
      <c r="C1074" s="3">
        <v>1374250</v>
      </c>
      <c r="D1074" s="3">
        <v>0</v>
      </c>
      <c r="E1074" s="3">
        <v>0</v>
      </c>
      <c r="F1074" s="3">
        <v>0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f t="shared" si="32"/>
        <v>1374250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f t="shared" si="33"/>
        <v>1374250</v>
      </c>
    </row>
    <row r="1075" spans="1:18">
      <c r="A1075" t="s">
        <v>1019</v>
      </c>
      <c r="C1075" s="3">
        <v>375300</v>
      </c>
      <c r="D1075" s="3">
        <v>0</v>
      </c>
      <c r="E1075" s="3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f t="shared" si="32"/>
        <v>375300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f t="shared" si="33"/>
        <v>375300</v>
      </c>
    </row>
    <row r="1076" spans="1:18">
      <c r="A1076" t="s">
        <v>1020</v>
      </c>
      <c r="C1076" s="3">
        <v>0</v>
      </c>
      <c r="D1076" s="3">
        <v>0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f t="shared" si="32"/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f t="shared" si="33"/>
        <v>0</v>
      </c>
    </row>
    <row r="1077" spans="1:18">
      <c r="A1077" t="s">
        <v>2064</v>
      </c>
      <c r="C1077" s="3">
        <v>0</v>
      </c>
      <c r="D1077" s="3">
        <v>0</v>
      </c>
      <c r="E1077" s="3">
        <v>0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f t="shared" si="32"/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f t="shared" si="33"/>
        <v>0</v>
      </c>
    </row>
    <row r="1078" spans="1:18">
      <c r="A1078" t="s">
        <v>1021</v>
      </c>
      <c r="C1078" s="3">
        <v>2330481</v>
      </c>
      <c r="D1078" s="3">
        <v>0</v>
      </c>
      <c r="E1078" s="3">
        <v>0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f t="shared" si="32"/>
        <v>2330481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f t="shared" si="33"/>
        <v>2330481</v>
      </c>
    </row>
    <row r="1079" spans="1:18">
      <c r="A1079" t="s">
        <v>2196</v>
      </c>
      <c r="C1079" s="3">
        <v>4000</v>
      </c>
      <c r="D1079" s="3">
        <v>0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f t="shared" si="32"/>
        <v>4000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f t="shared" si="33"/>
        <v>4000</v>
      </c>
    </row>
    <row r="1080" spans="1:18">
      <c r="A1080" t="s">
        <v>1022</v>
      </c>
      <c r="C1080" s="3">
        <v>0</v>
      </c>
      <c r="D1080" s="3">
        <v>0</v>
      </c>
      <c r="E1080" s="3">
        <v>0</v>
      </c>
      <c r="F1080" s="3">
        <v>0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f t="shared" si="32"/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f t="shared" si="33"/>
        <v>0</v>
      </c>
    </row>
    <row r="1081" spans="1:18">
      <c r="A1081" t="s">
        <v>1023</v>
      </c>
      <c r="C1081" s="3">
        <v>448000</v>
      </c>
      <c r="D1081" s="3">
        <v>0</v>
      </c>
      <c r="E1081" s="3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f t="shared" si="32"/>
        <v>448000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f t="shared" si="33"/>
        <v>448000</v>
      </c>
    </row>
    <row r="1082" spans="1:18">
      <c r="A1082" t="s">
        <v>1024</v>
      </c>
      <c r="C1082" s="3">
        <v>590000</v>
      </c>
      <c r="D1082" s="3">
        <v>0</v>
      </c>
      <c r="E1082" s="3">
        <v>0</v>
      </c>
      <c r="F1082" s="3">
        <v>0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f t="shared" si="32"/>
        <v>590000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f t="shared" si="33"/>
        <v>590000</v>
      </c>
    </row>
    <row r="1083" spans="1:18">
      <c r="A1083" t="s">
        <v>1025</v>
      </c>
      <c r="C1083" s="3">
        <v>48290303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f t="shared" si="32"/>
        <v>48290303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f t="shared" si="33"/>
        <v>48290303</v>
      </c>
    </row>
    <row r="1084" spans="1:18">
      <c r="A1084" t="s">
        <v>1026</v>
      </c>
      <c r="C1084" s="3">
        <v>1017950</v>
      </c>
      <c r="D1084" s="3">
        <v>0</v>
      </c>
      <c r="E1084" s="3">
        <v>0</v>
      </c>
      <c r="F1084" s="3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f t="shared" si="32"/>
        <v>1017950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f t="shared" si="33"/>
        <v>1017950</v>
      </c>
    </row>
    <row r="1085" spans="1:18">
      <c r="A1085" t="s">
        <v>1027</v>
      </c>
      <c r="C1085" s="3">
        <v>160000</v>
      </c>
      <c r="D1085" s="3">
        <v>0</v>
      </c>
      <c r="E1085" s="3">
        <v>0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f t="shared" si="32"/>
        <v>160000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f t="shared" si="33"/>
        <v>160000</v>
      </c>
    </row>
    <row r="1086" spans="1:18">
      <c r="A1086" t="s">
        <v>1028</v>
      </c>
      <c r="C1086" s="3">
        <v>0</v>
      </c>
      <c r="D1086" s="3">
        <v>0</v>
      </c>
      <c r="E1086" s="3">
        <v>0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f t="shared" si="32"/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f t="shared" si="33"/>
        <v>0</v>
      </c>
    </row>
    <row r="1087" spans="1:18">
      <c r="A1087" t="s">
        <v>1029</v>
      </c>
      <c r="C1087" s="3">
        <v>100350</v>
      </c>
      <c r="D1087" s="3">
        <v>0</v>
      </c>
      <c r="E1087" s="3">
        <v>0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f t="shared" si="32"/>
        <v>100350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f t="shared" si="33"/>
        <v>100350</v>
      </c>
    </row>
    <row r="1088" spans="1:18">
      <c r="A1088" t="s">
        <v>1030</v>
      </c>
      <c r="C1088" s="3">
        <v>3500000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f t="shared" si="32"/>
        <v>3500000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1">
        <f t="shared" si="33"/>
        <v>3500000</v>
      </c>
    </row>
    <row r="1089" spans="1:18">
      <c r="A1089" t="s">
        <v>1031</v>
      </c>
      <c r="C1089" s="3">
        <v>1930000</v>
      </c>
      <c r="D1089" s="3">
        <v>0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f t="shared" si="32"/>
        <v>1930000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f t="shared" si="33"/>
        <v>1930000</v>
      </c>
    </row>
    <row r="1090" spans="1:18">
      <c r="A1090" t="s">
        <v>1032</v>
      </c>
      <c r="C1090" s="3">
        <v>85001</v>
      </c>
      <c r="D1090" s="3">
        <v>0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f t="shared" si="32"/>
        <v>85001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f t="shared" si="33"/>
        <v>85001</v>
      </c>
    </row>
    <row r="1091" spans="1:18">
      <c r="A1091" t="s">
        <v>1033</v>
      </c>
      <c r="C1091" s="3">
        <v>415000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f t="shared" ref="L1091:L1154" si="34">SUM(C1091:K1091)</f>
        <v>415000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f t="shared" ref="R1091:R1154" si="35">SUM(L1091:Q1091)</f>
        <v>415000</v>
      </c>
    </row>
    <row r="1092" spans="1:18">
      <c r="A1092" t="s">
        <v>1034</v>
      </c>
      <c r="C1092" s="3">
        <v>2703160</v>
      </c>
      <c r="D1092" s="3">
        <v>0</v>
      </c>
      <c r="E1092" s="3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f t="shared" si="34"/>
        <v>2703160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f t="shared" si="35"/>
        <v>2703160</v>
      </c>
    </row>
    <row r="1093" spans="1:18">
      <c r="A1093" t="s">
        <v>1035</v>
      </c>
      <c r="C1093" s="3">
        <v>5037732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f t="shared" si="34"/>
        <v>5037732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f t="shared" si="35"/>
        <v>5037732</v>
      </c>
    </row>
    <row r="1094" spans="1:18">
      <c r="A1094" t="s">
        <v>1036</v>
      </c>
      <c r="C1094" s="3">
        <v>0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f t="shared" si="34"/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f t="shared" si="35"/>
        <v>0</v>
      </c>
    </row>
    <row r="1095" spans="1:18">
      <c r="A1095" t="s">
        <v>1037</v>
      </c>
      <c r="C1095" s="3">
        <v>4730000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f t="shared" si="34"/>
        <v>4730000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f t="shared" si="35"/>
        <v>4730000</v>
      </c>
    </row>
    <row r="1096" spans="1:18">
      <c r="A1096" t="s">
        <v>1038</v>
      </c>
      <c r="C1096" s="3">
        <v>2473000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f t="shared" si="34"/>
        <v>2473000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f t="shared" si="35"/>
        <v>2473000</v>
      </c>
    </row>
    <row r="1097" spans="1:18">
      <c r="A1097" t="s">
        <v>1039</v>
      </c>
      <c r="C1097" s="3">
        <v>225000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f t="shared" si="34"/>
        <v>225000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f t="shared" si="35"/>
        <v>225000</v>
      </c>
    </row>
    <row r="1098" spans="1:18">
      <c r="A1098" t="s">
        <v>1040</v>
      </c>
      <c r="C1098" s="3">
        <v>677500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f t="shared" si="34"/>
        <v>677500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f t="shared" si="35"/>
        <v>677500</v>
      </c>
    </row>
    <row r="1099" spans="1:18">
      <c r="A1099" t="s">
        <v>1041</v>
      </c>
      <c r="C1099" s="3">
        <v>42000</v>
      </c>
      <c r="D1099" s="3">
        <v>0</v>
      </c>
      <c r="E1099" s="3">
        <v>0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f t="shared" si="34"/>
        <v>42000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1">
        <f t="shared" si="35"/>
        <v>42000</v>
      </c>
    </row>
    <row r="1100" spans="1:18">
      <c r="A1100" t="s">
        <v>1042</v>
      </c>
      <c r="C1100" s="3">
        <v>6446100</v>
      </c>
      <c r="D1100" s="3">
        <v>0</v>
      </c>
      <c r="E1100" s="3">
        <v>0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f t="shared" si="34"/>
        <v>6446100</v>
      </c>
      <c r="M1100" s="1">
        <v>0</v>
      </c>
      <c r="N1100" s="1">
        <v>0</v>
      </c>
      <c r="O1100" s="1">
        <v>0</v>
      </c>
      <c r="P1100" s="1">
        <v>0</v>
      </c>
      <c r="Q1100" s="1">
        <v>0</v>
      </c>
      <c r="R1100" s="1">
        <f t="shared" si="35"/>
        <v>6446100</v>
      </c>
    </row>
    <row r="1101" spans="1:18">
      <c r="A1101" t="s">
        <v>1043</v>
      </c>
      <c r="C1101" s="3">
        <v>14967160</v>
      </c>
      <c r="D1101" s="3">
        <v>0</v>
      </c>
      <c r="E1101" s="3">
        <v>0</v>
      </c>
      <c r="F1101" s="3">
        <v>0</v>
      </c>
      <c r="G1101" s="3">
        <v>0</v>
      </c>
      <c r="H1101" s="3">
        <v>0</v>
      </c>
      <c r="I1101" s="3">
        <v>0</v>
      </c>
      <c r="J1101" s="3">
        <v>0</v>
      </c>
      <c r="K1101" s="3">
        <v>0</v>
      </c>
      <c r="L1101" s="3">
        <f t="shared" si="34"/>
        <v>14967160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1">
        <f t="shared" si="35"/>
        <v>14967160</v>
      </c>
    </row>
    <row r="1102" spans="1:18">
      <c r="A1102" t="s">
        <v>1044</v>
      </c>
      <c r="C1102" s="3">
        <v>217500</v>
      </c>
      <c r="D1102" s="3">
        <v>0</v>
      </c>
      <c r="E1102" s="3">
        <v>0</v>
      </c>
      <c r="F1102" s="3">
        <v>0</v>
      </c>
      <c r="G1102" s="3">
        <v>0</v>
      </c>
      <c r="H1102" s="3">
        <v>0</v>
      </c>
      <c r="I1102" s="3">
        <v>0</v>
      </c>
      <c r="J1102" s="3">
        <v>0</v>
      </c>
      <c r="K1102" s="3">
        <v>0</v>
      </c>
      <c r="L1102" s="3">
        <f t="shared" si="34"/>
        <v>217500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f t="shared" si="35"/>
        <v>217500</v>
      </c>
    </row>
    <row r="1103" spans="1:18">
      <c r="A1103" t="s">
        <v>1045</v>
      </c>
      <c r="C1103" s="3">
        <v>1791000</v>
      </c>
      <c r="D1103" s="3">
        <v>0</v>
      </c>
      <c r="E1103" s="3">
        <v>0</v>
      </c>
      <c r="F1103" s="3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f t="shared" si="34"/>
        <v>1791000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f t="shared" si="35"/>
        <v>1791000</v>
      </c>
    </row>
    <row r="1104" spans="1:18">
      <c r="A1104" t="s">
        <v>1046</v>
      </c>
      <c r="C1104" s="3">
        <v>3777300</v>
      </c>
      <c r="D1104" s="3">
        <v>0</v>
      </c>
      <c r="E1104" s="3">
        <v>0</v>
      </c>
      <c r="F1104" s="3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f t="shared" si="34"/>
        <v>3777300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f t="shared" si="35"/>
        <v>3777300</v>
      </c>
    </row>
    <row r="1105" spans="1:18">
      <c r="A1105" t="s">
        <v>1047</v>
      </c>
      <c r="C1105" s="3">
        <v>2560000</v>
      </c>
      <c r="D1105" s="3">
        <v>0</v>
      </c>
      <c r="E1105" s="3">
        <v>0</v>
      </c>
      <c r="F1105" s="3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f t="shared" si="34"/>
        <v>2560000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1">
        <f t="shared" si="35"/>
        <v>2560000</v>
      </c>
    </row>
    <row r="1106" spans="1:18">
      <c r="A1106" t="s">
        <v>2065</v>
      </c>
      <c r="C1106" s="3">
        <v>1186500</v>
      </c>
      <c r="D1106" s="3">
        <v>0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f t="shared" si="34"/>
        <v>1186500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f t="shared" si="35"/>
        <v>1186500</v>
      </c>
    </row>
    <row r="1107" spans="1:18">
      <c r="A1107" t="s">
        <v>1048</v>
      </c>
      <c r="C1107" s="3">
        <v>66000</v>
      </c>
      <c r="D1107" s="3">
        <v>0</v>
      </c>
      <c r="E1107" s="3">
        <v>0</v>
      </c>
      <c r="F1107" s="3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f t="shared" si="34"/>
        <v>66000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1">
        <f t="shared" si="35"/>
        <v>66000</v>
      </c>
    </row>
    <row r="1108" spans="1:18">
      <c r="A1108" t="s">
        <v>2197</v>
      </c>
      <c r="C1108" s="3">
        <v>120000</v>
      </c>
      <c r="D1108" s="3">
        <v>0</v>
      </c>
      <c r="E1108" s="3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0</v>
      </c>
      <c r="K1108" s="3">
        <v>0</v>
      </c>
      <c r="L1108" s="3">
        <f t="shared" si="34"/>
        <v>120000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1">
        <f t="shared" si="35"/>
        <v>120000</v>
      </c>
    </row>
    <row r="1109" spans="1:18">
      <c r="A1109" t="s">
        <v>1049</v>
      </c>
      <c r="C1109" s="3">
        <v>8800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0</v>
      </c>
      <c r="J1109" s="3">
        <v>0</v>
      </c>
      <c r="K1109" s="3">
        <v>0</v>
      </c>
      <c r="L1109" s="3">
        <f t="shared" si="34"/>
        <v>8800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f t="shared" si="35"/>
        <v>8800</v>
      </c>
    </row>
    <row r="1110" spans="1:18">
      <c r="A1110" t="s">
        <v>1050</v>
      </c>
      <c r="C1110" s="3">
        <v>594000</v>
      </c>
      <c r="D1110" s="3">
        <v>0</v>
      </c>
      <c r="E1110" s="3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0</v>
      </c>
      <c r="K1110" s="3">
        <v>0</v>
      </c>
      <c r="L1110" s="3">
        <f t="shared" si="34"/>
        <v>594000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f t="shared" si="35"/>
        <v>594000</v>
      </c>
    </row>
    <row r="1111" spans="1:18">
      <c r="A1111" t="s">
        <v>1051</v>
      </c>
      <c r="C1111" s="3">
        <v>1901040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0</v>
      </c>
      <c r="J1111" s="3">
        <v>0</v>
      </c>
      <c r="K1111" s="3">
        <v>0</v>
      </c>
      <c r="L1111" s="3">
        <f t="shared" si="34"/>
        <v>1901040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f t="shared" si="35"/>
        <v>1901040</v>
      </c>
    </row>
    <row r="1112" spans="1:18">
      <c r="A1112" t="s">
        <v>2066</v>
      </c>
      <c r="C1112" s="3">
        <v>1733500</v>
      </c>
      <c r="D1112" s="3">
        <v>0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0</v>
      </c>
      <c r="K1112" s="3">
        <v>0</v>
      </c>
      <c r="L1112" s="3">
        <f t="shared" si="34"/>
        <v>1733500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1">
        <f t="shared" si="35"/>
        <v>1733500</v>
      </c>
    </row>
    <row r="1113" spans="1:18">
      <c r="A1113" t="s">
        <v>2067</v>
      </c>
      <c r="C1113" s="3">
        <v>225000</v>
      </c>
      <c r="D1113" s="3">
        <v>0</v>
      </c>
      <c r="E1113" s="3">
        <v>0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f t="shared" si="34"/>
        <v>225000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1">
        <f t="shared" si="35"/>
        <v>225000</v>
      </c>
    </row>
    <row r="1114" spans="1:18">
      <c r="A1114" t="s">
        <v>1052</v>
      </c>
      <c r="C1114" s="3">
        <v>465000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f t="shared" si="34"/>
        <v>465000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1">
        <f t="shared" si="35"/>
        <v>465000</v>
      </c>
    </row>
    <row r="1115" spans="1:18">
      <c r="A1115" t="s">
        <v>1053</v>
      </c>
      <c r="C1115" s="3">
        <v>187000</v>
      </c>
      <c r="D1115" s="3">
        <v>0</v>
      </c>
      <c r="E1115" s="3">
        <v>0</v>
      </c>
      <c r="F1115" s="3">
        <v>0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f t="shared" si="34"/>
        <v>187000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1">
        <f t="shared" si="35"/>
        <v>187000</v>
      </c>
    </row>
    <row r="1116" spans="1:18">
      <c r="A1116" t="s">
        <v>1054</v>
      </c>
      <c r="C1116" s="3">
        <v>16000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0</v>
      </c>
      <c r="J1116" s="3">
        <v>0</v>
      </c>
      <c r="K1116" s="3">
        <v>0</v>
      </c>
      <c r="L1116" s="3">
        <f t="shared" si="34"/>
        <v>16000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f t="shared" si="35"/>
        <v>16000</v>
      </c>
    </row>
    <row r="1117" spans="1:18">
      <c r="A1117" t="s">
        <v>1055</v>
      </c>
      <c r="C1117" s="3">
        <v>2887000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f t="shared" si="34"/>
        <v>2887000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1">
        <f t="shared" si="35"/>
        <v>2887000</v>
      </c>
    </row>
    <row r="1118" spans="1:18">
      <c r="A1118" t="s">
        <v>1056</v>
      </c>
      <c r="C1118" s="3">
        <v>32776009</v>
      </c>
      <c r="D1118" s="3">
        <v>0</v>
      </c>
      <c r="E1118" s="3">
        <v>0</v>
      </c>
      <c r="F1118" s="3">
        <v>0</v>
      </c>
      <c r="G1118" s="3">
        <v>0</v>
      </c>
      <c r="H1118" s="3">
        <v>0</v>
      </c>
      <c r="I1118" s="3">
        <v>0</v>
      </c>
      <c r="J1118" s="3">
        <v>0</v>
      </c>
      <c r="K1118" s="3">
        <v>0</v>
      </c>
      <c r="L1118" s="3">
        <f t="shared" si="34"/>
        <v>32776009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f t="shared" si="35"/>
        <v>32776009</v>
      </c>
    </row>
    <row r="1119" spans="1:18">
      <c r="A1119" t="s">
        <v>1057</v>
      </c>
      <c r="C1119" s="3">
        <v>28045000</v>
      </c>
      <c r="D1119" s="3">
        <v>0</v>
      </c>
      <c r="E1119" s="3">
        <v>0</v>
      </c>
      <c r="F1119" s="3">
        <v>0</v>
      </c>
      <c r="G1119" s="3">
        <v>0</v>
      </c>
      <c r="H1119" s="3">
        <v>0</v>
      </c>
      <c r="I1119" s="3">
        <v>0</v>
      </c>
      <c r="J1119" s="3">
        <v>0</v>
      </c>
      <c r="K1119" s="3">
        <v>0</v>
      </c>
      <c r="L1119" s="3">
        <f t="shared" si="34"/>
        <v>28045000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1">
        <f t="shared" si="35"/>
        <v>28045000</v>
      </c>
    </row>
    <row r="1120" spans="1:18">
      <c r="A1120" t="s">
        <v>2198</v>
      </c>
      <c r="C1120" s="3">
        <v>3310400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0</v>
      </c>
      <c r="J1120" s="3">
        <v>0</v>
      </c>
      <c r="K1120" s="3">
        <v>0</v>
      </c>
      <c r="L1120" s="3">
        <f t="shared" si="34"/>
        <v>3310400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1">
        <f t="shared" si="35"/>
        <v>3310400</v>
      </c>
    </row>
    <row r="1121" spans="1:18">
      <c r="A1121" t="s">
        <v>1058</v>
      </c>
      <c r="C1121" s="3">
        <v>17243144</v>
      </c>
      <c r="D1121" s="3">
        <v>0</v>
      </c>
      <c r="E1121" s="3">
        <v>0</v>
      </c>
      <c r="F1121" s="3">
        <v>0</v>
      </c>
      <c r="G1121" s="3">
        <v>0</v>
      </c>
      <c r="H1121" s="3">
        <v>0</v>
      </c>
      <c r="I1121" s="3">
        <v>0</v>
      </c>
      <c r="J1121" s="3">
        <v>0</v>
      </c>
      <c r="K1121" s="3">
        <v>0</v>
      </c>
      <c r="L1121" s="3">
        <f t="shared" si="34"/>
        <v>17243144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f t="shared" si="35"/>
        <v>17243144</v>
      </c>
    </row>
    <row r="1122" spans="1:18">
      <c r="A1122" t="s">
        <v>1059</v>
      </c>
      <c r="C1122" s="3">
        <v>6868000</v>
      </c>
      <c r="D1122" s="3">
        <v>0</v>
      </c>
      <c r="E1122" s="3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f t="shared" si="34"/>
        <v>6868000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f t="shared" si="35"/>
        <v>6868000</v>
      </c>
    </row>
    <row r="1123" spans="1:18">
      <c r="A1123" t="s">
        <v>1060</v>
      </c>
      <c r="C1123" s="3">
        <v>0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f t="shared" si="34"/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f t="shared" si="35"/>
        <v>0</v>
      </c>
    </row>
    <row r="1124" spans="1:18">
      <c r="A1124" t="s">
        <v>1061</v>
      </c>
      <c r="C1124" s="3">
        <v>95270</v>
      </c>
      <c r="D1124" s="3">
        <v>0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f t="shared" si="34"/>
        <v>95270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1">
        <f t="shared" si="35"/>
        <v>95270</v>
      </c>
    </row>
    <row r="1125" spans="1:18">
      <c r="A1125" t="s">
        <v>1062</v>
      </c>
      <c r="C1125" s="3">
        <v>1835000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f t="shared" si="34"/>
        <v>1835000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f t="shared" si="35"/>
        <v>1835000</v>
      </c>
    </row>
    <row r="1126" spans="1:18">
      <c r="A1126" t="s">
        <v>1063</v>
      </c>
      <c r="C1126" s="3">
        <v>1230000</v>
      </c>
      <c r="D1126" s="3">
        <v>0</v>
      </c>
      <c r="E1126" s="3">
        <v>0</v>
      </c>
      <c r="F1126" s="3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f t="shared" si="34"/>
        <v>1230000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f t="shared" si="35"/>
        <v>1230000</v>
      </c>
    </row>
    <row r="1127" spans="1:18">
      <c r="A1127" t="s">
        <v>1064</v>
      </c>
      <c r="C1127" s="3">
        <v>2532500</v>
      </c>
      <c r="D1127" s="3">
        <v>0</v>
      </c>
      <c r="E1127" s="3">
        <v>0</v>
      </c>
      <c r="F1127" s="3">
        <v>0</v>
      </c>
      <c r="G1127" s="3">
        <v>0</v>
      </c>
      <c r="H1127" s="3">
        <v>0</v>
      </c>
      <c r="I1127" s="3">
        <v>0</v>
      </c>
      <c r="J1127" s="3">
        <v>0</v>
      </c>
      <c r="K1127" s="3">
        <v>0</v>
      </c>
      <c r="L1127" s="3">
        <f t="shared" si="34"/>
        <v>2532500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f t="shared" si="35"/>
        <v>2532500</v>
      </c>
    </row>
    <row r="1128" spans="1:18">
      <c r="A1128" t="s">
        <v>1065</v>
      </c>
      <c r="C1128" s="3">
        <v>4788443</v>
      </c>
      <c r="D1128" s="3">
        <v>0</v>
      </c>
      <c r="E1128" s="3">
        <v>0</v>
      </c>
      <c r="F1128" s="3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f t="shared" si="34"/>
        <v>4788443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f t="shared" si="35"/>
        <v>4788443</v>
      </c>
    </row>
    <row r="1129" spans="1:18">
      <c r="A1129" t="s">
        <v>1066</v>
      </c>
      <c r="C1129" s="3">
        <v>11084500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f t="shared" si="34"/>
        <v>11084500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f t="shared" si="35"/>
        <v>11084500</v>
      </c>
    </row>
    <row r="1130" spans="1:18">
      <c r="A1130" t="s">
        <v>1067</v>
      </c>
      <c r="C1130" s="3">
        <v>1931000</v>
      </c>
      <c r="D1130" s="3">
        <v>0</v>
      </c>
      <c r="E1130" s="3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f t="shared" si="34"/>
        <v>1931000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f t="shared" si="35"/>
        <v>1931000</v>
      </c>
    </row>
    <row r="1131" spans="1:18">
      <c r="A1131" t="s">
        <v>1068</v>
      </c>
      <c r="C1131" s="3">
        <v>1810500</v>
      </c>
      <c r="D1131" s="3">
        <v>0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f t="shared" si="34"/>
        <v>1810500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f t="shared" si="35"/>
        <v>1810500</v>
      </c>
    </row>
    <row r="1132" spans="1:18">
      <c r="A1132" t="s">
        <v>1069</v>
      </c>
      <c r="C1132" s="3">
        <v>1692810</v>
      </c>
      <c r="D1132" s="3">
        <v>0</v>
      </c>
      <c r="E1132" s="3">
        <v>0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f t="shared" si="34"/>
        <v>1692810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f t="shared" si="35"/>
        <v>1692810</v>
      </c>
    </row>
    <row r="1133" spans="1:18">
      <c r="A1133" t="s">
        <v>1070</v>
      </c>
      <c r="C1133" s="3">
        <v>18790844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f t="shared" si="34"/>
        <v>18790844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1">
        <f t="shared" si="35"/>
        <v>18790844</v>
      </c>
    </row>
    <row r="1134" spans="1:18">
      <c r="A1134" t="s">
        <v>1071</v>
      </c>
      <c r="C1134" s="3">
        <v>0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f t="shared" si="34"/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f t="shared" si="35"/>
        <v>0</v>
      </c>
    </row>
    <row r="1135" spans="1:18">
      <c r="A1135" t="s">
        <v>2271</v>
      </c>
      <c r="C1135" s="3">
        <v>0</v>
      </c>
      <c r="D1135" s="3">
        <v>0</v>
      </c>
      <c r="E1135" s="3">
        <v>0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f t="shared" si="34"/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f t="shared" si="35"/>
        <v>0</v>
      </c>
    </row>
    <row r="1136" spans="1:18">
      <c r="A1136" t="s">
        <v>1072</v>
      </c>
      <c r="C1136" s="3">
        <v>710000</v>
      </c>
      <c r="D1136" s="3">
        <v>0</v>
      </c>
      <c r="E1136" s="3">
        <v>0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f t="shared" si="34"/>
        <v>710000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f t="shared" si="35"/>
        <v>710000</v>
      </c>
    </row>
    <row r="1137" spans="1:18">
      <c r="A1137" t="s">
        <v>1073</v>
      </c>
      <c r="C1137" s="3">
        <v>200000</v>
      </c>
      <c r="D1137" s="3">
        <v>0</v>
      </c>
      <c r="E1137" s="3">
        <v>0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f t="shared" si="34"/>
        <v>200000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f t="shared" si="35"/>
        <v>200000</v>
      </c>
    </row>
    <row r="1138" spans="1:18">
      <c r="A1138" t="s">
        <v>1074</v>
      </c>
      <c r="C1138" s="3">
        <v>415000</v>
      </c>
      <c r="D1138" s="3">
        <v>0</v>
      </c>
      <c r="E1138" s="3">
        <v>0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f t="shared" si="34"/>
        <v>415000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1">
        <f t="shared" si="35"/>
        <v>415000</v>
      </c>
    </row>
    <row r="1139" spans="1:18">
      <c r="A1139" t="s">
        <v>1075</v>
      </c>
      <c r="C1139" s="3">
        <v>700500</v>
      </c>
      <c r="D1139" s="3">
        <v>0</v>
      </c>
      <c r="E1139" s="3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f t="shared" si="34"/>
        <v>700500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f t="shared" si="35"/>
        <v>700500</v>
      </c>
    </row>
    <row r="1140" spans="1:18">
      <c r="A1140" t="s">
        <v>1076</v>
      </c>
      <c r="C1140" s="3">
        <v>0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f t="shared" si="34"/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f t="shared" si="35"/>
        <v>0</v>
      </c>
    </row>
    <row r="1141" spans="1:18">
      <c r="A1141" t="s">
        <v>1077</v>
      </c>
      <c r="C1141" s="3">
        <v>1067500</v>
      </c>
      <c r="D1141" s="3">
        <v>0</v>
      </c>
      <c r="E1141" s="3">
        <v>0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f t="shared" si="34"/>
        <v>1067500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f t="shared" si="35"/>
        <v>1067500</v>
      </c>
    </row>
    <row r="1142" spans="1:18">
      <c r="A1142" t="s">
        <v>2199</v>
      </c>
      <c r="C1142" s="3">
        <v>642900</v>
      </c>
      <c r="D1142" s="3">
        <v>0</v>
      </c>
      <c r="E1142" s="3">
        <v>0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f t="shared" si="34"/>
        <v>642900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f t="shared" si="35"/>
        <v>642900</v>
      </c>
    </row>
    <row r="1143" spans="1:18">
      <c r="A1143" t="s">
        <v>1078</v>
      </c>
      <c r="C1143" s="3">
        <v>1222492</v>
      </c>
      <c r="D1143" s="3">
        <v>0</v>
      </c>
      <c r="E1143" s="3">
        <v>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f t="shared" si="34"/>
        <v>1222492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f t="shared" si="35"/>
        <v>1222492</v>
      </c>
    </row>
    <row r="1144" spans="1:18">
      <c r="A1144" t="s">
        <v>1079</v>
      </c>
      <c r="C1144" s="3">
        <v>617000</v>
      </c>
      <c r="D1144" s="3">
        <v>0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f t="shared" si="34"/>
        <v>617000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f t="shared" si="35"/>
        <v>617000</v>
      </c>
    </row>
    <row r="1145" spans="1:18">
      <c r="A1145" t="s">
        <v>2068</v>
      </c>
      <c r="C1145" s="3">
        <v>3698828</v>
      </c>
      <c r="D1145" s="3">
        <v>0</v>
      </c>
      <c r="E1145" s="3">
        <v>0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f t="shared" si="34"/>
        <v>3698828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f t="shared" si="35"/>
        <v>3698828</v>
      </c>
    </row>
    <row r="1146" spans="1:18">
      <c r="A1146" t="s">
        <v>2272</v>
      </c>
      <c r="C1146" s="3">
        <v>15838000</v>
      </c>
      <c r="D1146" s="3">
        <v>0</v>
      </c>
      <c r="E1146" s="3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f t="shared" si="34"/>
        <v>15838000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f t="shared" si="35"/>
        <v>15838000</v>
      </c>
    </row>
    <row r="1147" spans="1:18">
      <c r="A1147" t="s">
        <v>1080</v>
      </c>
      <c r="C1147" s="3">
        <v>17664775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f t="shared" si="34"/>
        <v>17664775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1">
        <f t="shared" si="35"/>
        <v>17664775</v>
      </c>
    </row>
    <row r="1148" spans="1:18">
      <c r="A1148" t="s">
        <v>1081</v>
      </c>
      <c r="C1148" s="3">
        <v>237000</v>
      </c>
      <c r="D1148" s="3">
        <v>0</v>
      </c>
      <c r="E1148" s="3">
        <v>0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f t="shared" si="34"/>
        <v>237000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f t="shared" si="35"/>
        <v>237000</v>
      </c>
    </row>
    <row r="1149" spans="1:18">
      <c r="A1149" t="s">
        <v>2069</v>
      </c>
      <c r="C1149" s="3">
        <v>0</v>
      </c>
      <c r="D1149" s="3">
        <v>0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f t="shared" si="34"/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f t="shared" si="35"/>
        <v>0</v>
      </c>
    </row>
    <row r="1150" spans="1:18">
      <c r="A1150" t="s">
        <v>2070</v>
      </c>
      <c r="C1150" s="3">
        <v>8197738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f t="shared" si="34"/>
        <v>8197738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f t="shared" si="35"/>
        <v>8197738</v>
      </c>
    </row>
    <row r="1151" spans="1:18">
      <c r="A1151" t="s">
        <v>2071</v>
      </c>
      <c r="C1151" s="3">
        <v>22658470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f t="shared" si="34"/>
        <v>22658470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1">
        <f t="shared" si="35"/>
        <v>22658470</v>
      </c>
    </row>
    <row r="1152" spans="1:18">
      <c r="A1152" t="s">
        <v>1082</v>
      </c>
      <c r="C1152" s="3">
        <v>32464846</v>
      </c>
      <c r="D1152" s="3">
        <v>0</v>
      </c>
      <c r="E1152" s="3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f t="shared" si="34"/>
        <v>32464846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f t="shared" si="35"/>
        <v>32464846</v>
      </c>
    </row>
    <row r="1153" spans="1:18">
      <c r="A1153" t="s">
        <v>2072</v>
      </c>
      <c r="C1153" s="3">
        <v>2239000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f t="shared" si="34"/>
        <v>2239000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f t="shared" si="35"/>
        <v>2239000</v>
      </c>
    </row>
    <row r="1154" spans="1:18">
      <c r="A1154" t="s">
        <v>2200</v>
      </c>
      <c r="C1154" s="3">
        <v>1175840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f t="shared" si="34"/>
        <v>1175840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f t="shared" si="35"/>
        <v>1175840</v>
      </c>
    </row>
    <row r="1155" spans="1:18">
      <c r="A1155" t="s">
        <v>2201</v>
      </c>
      <c r="C1155" s="3">
        <v>2612700</v>
      </c>
      <c r="D1155" s="3">
        <v>0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f t="shared" ref="L1155:L1218" si="36">SUM(C1155:K1155)</f>
        <v>2612700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f t="shared" ref="R1155:R1218" si="37">SUM(L1155:Q1155)</f>
        <v>2612700</v>
      </c>
    </row>
    <row r="1156" spans="1:18">
      <c r="A1156" t="s">
        <v>2073</v>
      </c>
      <c r="C1156" s="3">
        <v>540000</v>
      </c>
      <c r="D1156" s="3">
        <v>0</v>
      </c>
      <c r="E1156" s="3">
        <v>0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f t="shared" si="36"/>
        <v>540000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1">
        <f t="shared" si="37"/>
        <v>540000</v>
      </c>
    </row>
    <row r="1157" spans="1:18">
      <c r="A1157" t="s">
        <v>2074</v>
      </c>
      <c r="C1157" s="3">
        <v>2731960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f t="shared" si="36"/>
        <v>2731960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f t="shared" si="37"/>
        <v>2731960</v>
      </c>
    </row>
    <row r="1158" spans="1:18">
      <c r="A1158" t="s">
        <v>1083</v>
      </c>
      <c r="C1158" s="3">
        <v>30184500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f t="shared" si="36"/>
        <v>30184500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1">
        <f t="shared" si="37"/>
        <v>30184500</v>
      </c>
    </row>
    <row r="1159" spans="1:18">
      <c r="A1159" t="s">
        <v>1084</v>
      </c>
      <c r="C1159" s="3">
        <v>13012523</v>
      </c>
      <c r="D1159" s="3">
        <v>0</v>
      </c>
      <c r="E1159" s="3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f t="shared" si="36"/>
        <v>13012523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f t="shared" si="37"/>
        <v>13012523</v>
      </c>
    </row>
    <row r="1160" spans="1:18">
      <c r="A1160" t="s">
        <v>1085</v>
      </c>
      <c r="C1160" s="3">
        <v>1913500</v>
      </c>
      <c r="D1160" s="3">
        <v>0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f t="shared" si="36"/>
        <v>1913500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1">
        <f t="shared" si="37"/>
        <v>1913500</v>
      </c>
    </row>
    <row r="1161" spans="1:18">
      <c r="A1161" t="s">
        <v>1086</v>
      </c>
      <c r="C1161" s="3">
        <v>2051000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f t="shared" si="36"/>
        <v>2051000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f t="shared" si="37"/>
        <v>2051000</v>
      </c>
    </row>
    <row r="1162" spans="1:18">
      <c r="A1162" t="s">
        <v>1087</v>
      </c>
      <c r="C1162" s="3">
        <v>7455400</v>
      </c>
      <c r="D1162" s="3">
        <v>0</v>
      </c>
      <c r="E1162" s="3">
        <v>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f t="shared" si="36"/>
        <v>7455400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f t="shared" si="37"/>
        <v>7455400</v>
      </c>
    </row>
    <row r="1163" spans="1:18">
      <c r="A1163" t="s">
        <v>1088</v>
      </c>
      <c r="C1163" s="3">
        <v>10680080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f t="shared" si="36"/>
        <v>10680080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f t="shared" si="37"/>
        <v>10680080</v>
      </c>
    </row>
    <row r="1164" spans="1:18">
      <c r="A1164" t="s">
        <v>1089</v>
      </c>
      <c r="C1164" s="3">
        <v>489500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f t="shared" si="36"/>
        <v>489500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f t="shared" si="37"/>
        <v>489500</v>
      </c>
    </row>
    <row r="1165" spans="1:18">
      <c r="A1165" t="s">
        <v>1090</v>
      </c>
      <c r="C1165" s="3">
        <v>104250</v>
      </c>
      <c r="D1165" s="3">
        <v>0</v>
      </c>
      <c r="E1165" s="3">
        <v>0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f t="shared" si="36"/>
        <v>104250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f t="shared" si="37"/>
        <v>104250</v>
      </c>
    </row>
    <row r="1166" spans="1:18">
      <c r="A1166" t="s">
        <v>1091</v>
      </c>
      <c r="C1166" s="3">
        <v>345000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f t="shared" si="36"/>
        <v>345000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1">
        <f t="shared" si="37"/>
        <v>345000</v>
      </c>
    </row>
    <row r="1167" spans="1:18">
      <c r="A1167" t="s">
        <v>1092</v>
      </c>
      <c r="C1167" s="3">
        <v>85000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f t="shared" si="36"/>
        <v>85000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f t="shared" si="37"/>
        <v>85000</v>
      </c>
    </row>
    <row r="1168" spans="1:18">
      <c r="A1168" t="s">
        <v>1093</v>
      </c>
      <c r="C1168" s="3">
        <v>25000</v>
      </c>
      <c r="D1168" s="3">
        <v>0</v>
      </c>
      <c r="E1168" s="3">
        <v>0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f t="shared" si="36"/>
        <v>25000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f t="shared" si="37"/>
        <v>25000</v>
      </c>
    </row>
    <row r="1169" spans="1:18">
      <c r="A1169" t="s">
        <v>1094</v>
      </c>
      <c r="C1169" s="3">
        <v>1045000</v>
      </c>
      <c r="D1169" s="3">
        <v>0</v>
      </c>
      <c r="E1169" s="3">
        <v>0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f t="shared" si="36"/>
        <v>1045000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f t="shared" si="37"/>
        <v>1045000</v>
      </c>
    </row>
    <row r="1170" spans="1:18">
      <c r="A1170" t="s">
        <v>2202</v>
      </c>
      <c r="C1170" s="3">
        <v>1650000</v>
      </c>
      <c r="D1170" s="3">
        <v>0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f t="shared" si="36"/>
        <v>1650000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f t="shared" si="37"/>
        <v>1650000</v>
      </c>
    </row>
    <row r="1171" spans="1:18">
      <c r="A1171" t="s">
        <v>1095</v>
      </c>
      <c r="C1171" s="3">
        <v>0</v>
      </c>
      <c r="D1171" s="3">
        <v>0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f t="shared" si="36"/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1">
        <f t="shared" si="37"/>
        <v>0</v>
      </c>
    </row>
    <row r="1172" spans="1:18">
      <c r="A1172" t="s">
        <v>1096</v>
      </c>
      <c r="C1172" s="3">
        <v>6552575</v>
      </c>
      <c r="D1172" s="3">
        <v>0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f t="shared" si="36"/>
        <v>6552575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f t="shared" si="37"/>
        <v>6552575</v>
      </c>
    </row>
    <row r="1173" spans="1:18">
      <c r="A1173" t="s">
        <v>1097</v>
      </c>
      <c r="C1173" s="3">
        <v>548550</v>
      </c>
      <c r="D1173" s="3">
        <v>0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f t="shared" si="36"/>
        <v>548550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1">
        <f t="shared" si="37"/>
        <v>548550</v>
      </c>
    </row>
    <row r="1174" spans="1:18">
      <c r="A1174" t="s">
        <v>1098</v>
      </c>
      <c r="C1174" s="3">
        <v>949000</v>
      </c>
      <c r="D1174" s="3">
        <v>0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f t="shared" si="36"/>
        <v>949000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f t="shared" si="37"/>
        <v>949000</v>
      </c>
    </row>
    <row r="1175" spans="1:18">
      <c r="A1175" t="s">
        <v>1099</v>
      </c>
      <c r="C1175" s="3">
        <v>4157400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f t="shared" si="36"/>
        <v>4157400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f t="shared" si="37"/>
        <v>4157400</v>
      </c>
    </row>
    <row r="1176" spans="1:18">
      <c r="A1176" t="s">
        <v>1100</v>
      </c>
      <c r="C1176" s="3">
        <v>3217094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f t="shared" si="36"/>
        <v>3217094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f t="shared" si="37"/>
        <v>3217094</v>
      </c>
    </row>
    <row r="1177" spans="1:18">
      <c r="A1177" t="s">
        <v>1101</v>
      </c>
      <c r="B1177" s="2"/>
      <c r="C1177" s="3">
        <v>20973775</v>
      </c>
      <c r="D1177" s="3">
        <v>0</v>
      </c>
      <c r="E1177" s="3">
        <v>0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f t="shared" si="36"/>
        <v>20973775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f t="shared" si="37"/>
        <v>20973775</v>
      </c>
    </row>
    <row r="1178" spans="1:18">
      <c r="A1178" t="s">
        <v>1102</v>
      </c>
      <c r="C1178" s="3">
        <v>2539000</v>
      </c>
      <c r="D1178" s="3">
        <v>0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f t="shared" si="36"/>
        <v>2539000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f t="shared" si="37"/>
        <v>2539000</v>
      </c>
    </row>
    <row r="1179" spans="1:18">
      <c r="A1179" t="s">
        <v>1103</v>
      </c>
      <c r="C1179" s="3">
        <v>1103800</v>
      </c>
      <c r="D1179" s="3">
        <v>0</v>
      </c>
      <c r="E1179" s="3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f t="shared" si="36"/>
        <v>1103800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f t="shared" si="37"/>
        <v>1103800</v>
      </c>
    </row>
    <row r="1180" spans="1:18">
      <c r="A1180" t="s">
        <v>1104</v>
      </c>
      <c r="C1180" s="3">
        <v>12155600</v>
      </c>
      <c r="D1180" s="3">
        <v>0</v>
      </c>
      <c r="E1180" s="3">
        <v>0</v>
      </c>
      <c r="F1180" s="3">
        <v>0</v>
      </c>
      <c r="G1180" s="3">
        <v>0</v>
      </c>
      <c r="H1180" s="3">
        <v>0</v>
      </c>
      <c r="I1180" s="3">
        <v>0</v>
      </c>
      <c r="J1180" s="3">
        <v>0</v>
      </c>
      <c r="K1180" s="3">
        <v>0</v>
      </c>
      <c r="L1180" s="3">
        <f t="shared" si="36"/>
        <v>12155600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f t="shared" si="37"/>
        <v>12155600</v>
      </c>
    </row>
    <row r="1181" spans="1:18">
      <c r="A1181" t="s">
        <v>1105</v>
      </c>
      <c r="C1181" s="3">
        <v>16844563</v>
      </c>
      <c r="D1181" s="3">
        <v>0</v>
      </c>
      <c r="E1181" s="3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f t="shared" si="36"/>
        <v>16844563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f t="shared" si="37"/>
        <v>16844563</v>
      </c>
    </row>
    <row r="1182" spans="1:18">
      <c r="A1182" t="s">
        <v>1106</v>
      </c>
      <c r="C1182" s="3">
        <v>6126000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f t="shared" si="36"/>
        <v>6126000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f t="shared" si="37"/>
        <v>6126000</v>
      </c>
    </row>
    <row r="1183" spans="1:18">
      <c r="A1183" t="s">
        <v>1107</v>
      </c>
      <c r="C1183" s="3">
        <v>325600</v>
      </c>
      <c r="D1183" s="3">
        <v>0</v>
      </c>
      <c r="E1183" s="3">
        <v>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f t="shared" si="36"/>
        <v>325600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f t="shared" si="37"/>
        <v>325600</v>
      </c>
    </row>
    <row r="1184" spans="1:18">
      <c r="A1184" t="s">
        <v>1108</v>
      </c>
      <c r="C1184" s="3">
        <v>2921000</v>
      </c>
      <c r="D1184" s="3">
        <v>0</v>
      </c>
      <c r="E1184" s="3">
        <v>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f t="shared" si="36"/>
        <v>2921000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f t="shared" si="37"/>
        <v>2921000</v>
      </c>
    </row>
    <row r="1185" spans="1:18">
      <c r="A1185" t="s">
        <v>1109</v>
      </c>
      <c r="C1185" s="3">
        <v>4422342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f t="shared" si="36"/>
        <v>4422342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f t="shared" si="37"/>
        <v>4422342</v>
      </c>
    </row>
    <row r="1186" spans="1:18">
      <c r="A1186" t="s">
        <v>2203</v>
      </c>
      <c r="C1186" s="3">
        <v>0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f t="shared" si="36"/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f t="shared" si="37"/>
        <v>0</v>
      </c>
    </row>
    <row r="1187" spans="1:18">
      <c r="A1187" t="s">
        <v>1110</v>
      </c>
      <c r="C1187" s="3">
        <v>125400</v>
      </c>
      <c r="D1187" s="3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f t="shared" si="36"/>
        <v>125400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f t="shared" si="37"/>
        <v>125400</v>
      </c>
    </row>
    <row r="1188" spans="1:18">
      <c r="A1188" t="s">
        <v>1111</v>
      </c>
      <c r="C1188" s="3">
        <v>1813500</v>
      </c>
      <c r="D1188" s="3">
        <v>0</v>
      </c>
      <c r="E1188" s="3">
        <v>0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f t="shared" si="36"/>
        <v>1813500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f t="shared" si="37"/>
        <v>1813500</v>
      </c>
    </row>
    <row r="1189" spans="1:18">
      <c r="A1189" t="s">
        <v>1112</v>
      </c>
      <c r="C1189" s="3">
        <v>9719000</v>
      </c>
      <c r="D1189" s="3">
        <v>0</v>
      </c>
      <c r="E1189" s="3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f t="shared" si="36"/>
        <v>9719000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f t="shared" si="37"/>
        <v>9719000</v>
      </c>
    </row>
    <row r="1190" spans="1:18">
      <c r="A1190" t="s">
        <v>1113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f t="shared" si="36"/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f t="shared" si="37"/>
        <v>0</v>
      </c>
    </row>
    <row r="1191" spans="1:18">
      <c r="A1191" t="s">
        <v>1114</v>
      </c>
      <c r="C1191" s="3">
        <v>2027500</v>
      </c>
      <c r="D1191" s="3">
        <v>0</v>
      </c>
      <c r="E1191" s="3">
        <v>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f t="shared" si="36"/>
        <v>2027500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f t="shared" si="37"/>
        <v>2027500</v>
      </c>
    </row>
    <row r="1192" spans="1:18">
      <c r="A1192" t="s">
        <v>1115</v>
      </c>
      <c r="C1192" s="3">
        <v>4484000</v>
      </c>
      <c r="D1192" s="3">
        <v>0</v>
      </c>
      <c r="E1192" s="3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f t="shared" si="36"/>
        <v>4484000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f t="shared" si="37"/>
        <v>4484000</v>
      </c>
    </row>
    <row r="1193" spans="1:18">
      <c r="A1193" t="s">
        <v>1116</v>
      </c>
      <c r="C1193" s="3">
        <v>24000</v>
      </c>
      <c r="D1193" s="3">
        <v>0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f t="shared" si="36"/>
        <v>24000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f t="shared" si="37"/>
        <v>24000</v>
      </c>
    </row>
    <row r="1194" spans="1:18">
      <c r="A1194" t="s">
        <v>2075</v>
      </c>
      <c r="C1194" s="3">
        <v>66000</v>
      </c>
      <c r="D1194" s="3">
        <v>0</v>
      </c>
      <c r="E1194" s="3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f t="shared" si="36"/>
        <v>66000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f t="shared" si="37"/>
        <v>66000</v>
      </c>
    </row>
    <row r="1195" spans="1:18">
      <c r="A1195" t="s">
        <v>1117</v>
      </c>
      <c r="C1195" s="3">
        <v>31000</v>
      </c>
      <c r="D1195" s="3">
        <v>0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f t="shared" si="36"/>
        <v>31000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f t="shared" si="37"/>
        <v>31000</v>
      </c>
    </row>
    <row r="1196" spans="1:18">
      <c r="A1196" t="s">
        <v>1162</v>
      </c>
      <c r="C1196" s="3">
        <v>425901204</v>
      </c>
      <c r="D1196" s="3">
        <v>0</v>
      </c>
      <c r="E1196" s="3">
        <v>25119527124</v>
      </c>
      <c r="F1196" s="3">
        <v>0</v>
      </c>
      <c r="G1196" s="3">
        <v>0</v>
      </c>
      <c r="H1196" s="3">
        <v>480364250</v>
      </c>
      <c r="I1196" s="3">
        <v>0</v>
      </c>
      <c r="J1196" s="3">
        <v>976591725</v>
      </c>
      <c r="K1196" s="3">
        <v>116460000</v>
      </c>
      <c r="L1196" s="3">
        <f t="shared" si="36"/>
        <v>27118844303</v>
      </c>
      <c r="M1196" s="1">
        <v>-17008554091</v>
      </c>
      <c r="N1196" s="1">
        <v>0</v>
      </c>
      <c r="O1196" s="1">
        <v>0</v>
      </c>
      <c r="P1196" s="1">
        <v>0</v>
      </c>
      <c r="Q1196" s="1">
        <v>-116460000</v>
      </c>
      <c r="R1196" s="1">
        <f t="shared" si="37"/>
        <v>9993830212</v>
      </c>
    </row>
    <row r="1197" spans="1:18">
      <c r="A1197" t="s">
        <v>2204</v>
      </c>
      <c r="C1197" s="3">
        <v>0</v>
      </c>
      <c r="D1197" s="3">
        <v>0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f t="shared" si="36"/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f t="shared" si="37"/>
        <v>0</v>
      </c>
    </row>
    <row r="1198" spans="1:18">
      <c r="A1198" t="s">
        <v>2273</v>
      </c>
      <c r="C1198" s="3">
        <v>0</v>
      </c>
      <c r="D1198" s="3">
        <v>0</v>
      </c>
      <c r="E1198" s="3">
        <v>0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f t="shared" si="36"/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f t="shared" si="37"/>
        <v>0</v>
      </c>
    </row>
    <row r="1199" spans="1:18">
      <c r="A1199" t="s">
        <v>1118</v>
      </c>
      <c r="C1199" s="3">
        <v>0</v>
      </c>
      <c r="D1199" s="3">
        <v>0</v>
      </c>
      <c r="E1199" s="3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f t="shared" si="36"/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1">
        <f t="shared" si="37"/>
        <v>0</v>
      </c>
    </row>
    <row r="1200" spans="1:18">
      <c r="A1200" t="s">
        <v>1119</v>
      </c>
      <c r="C1200" s="3">
        <v>0</v>
      </c>
      <c r="D1200" s="3">
        <v>0</v>
      </c>
      <c r="E1200" s="3">
        <v>0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f t="shared" si="36"/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f t="shared" si="37"/>
        <v>0</v>
      </c>
    </row>
    <row r="1201" spans="1:18">
      <c r="A1201" t="s">
        <v>2274</v>
      </c>
      <c r="C1201" s="3">
        <v>0</v>
      </c>
      <c r="D1201" s="3">
        <v>0</v>
      </c>
      <c r="E1201" s="3">
        <v>0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f t="shared" si="36"/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f t="shared" si="37"/>
        <v>0</v>
      </c>
    </row>
    <row r="1202" spans="1:18">
      <c r="A1202" t="s">
        <v>2205</v>
      </c>
      <c r="C1202" s="3">
        <v>48500</v>
      </c>
      <c r="D1202" s="3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f t="shared" si="36"/>
        <v>48500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f t="shared" si="37"/>
        <v>48500</v>
      </c>
    </row>
    <row r="1203" spans="1:18">
      <c r="A1203" t="s">
        <v>2206</v>
      </c>
      <c r="C1203" s="3">
        <v>291000</v>
      </c>
      <c r="D1203" s="3">
        <v>0</v>
      </c>
      <c r="E1203" s="3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f t="shared" si="36"/>
        <v>291000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f t="shared" si="37"/>
        <v>291000</v>
      </c>
    </row>
    <row r="1204" spans="1:18">
      <c r="A1204" t="s">
        <v>1120</v>
      </c>
      <c r="C1204" s="3">
        <v>0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f t="shared" si="36"/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f t="shared" si="37"/>
        <v>0</v>
      </c>
    </row>
    <row r="1205" spans="1:18">
      <c r="A1205" t="s">
        <v>2275</v>
      </c>
      <c r="C1205" s="3">
        <v>0</v>
      </c>
      <c r="D1205" s="3">
        <v>0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f t="shared" si="36"/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f t="shared" si="37"/>
        <v>0</v>
      </c>
    </row>
    <row r="1206" spans="1:18">
      <c r="A1206" t="s">
        <v>2207</v>
      </c>
      <c r="C1206" s="3">
        <v>0</v>
      </c>
      <c r="D1206" s="3">
        <v>0</v>
      </c>
      <c r="E1206" s="3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f t="shared" si="36"/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f t="shared" si="37"/>
        <v>0</v>
      </c>
    </row>
    <row r="1207" spans="1:18">
      <c r="A1207" t="s">
        <v>2076</v>
      </c>
      <c r="C1207" s="3">
        <v>0</v>
      </c>
      <c r="D1207" s="3">
        <v>0</v>
      </c>
      <c r="E1207" s="3">
        <v>0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f t="shared" si="36"/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f t="shared" si="37"/>
        <v>0</v>
      </c>
    </row>
    <row r="1208" spans="1:18">
      <c r="A1208" t="s">
        <v>1121</v>
      </c>
      <c r="C1208" s="3">
        <v>0</v>
      </c>
      <c r="D1208" s="3">
        <v>0</v>
      </c>
      <c r="E1208" s="3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f t="shared" si="36"/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f t="shared" si="37"/>
        <v>0</v>
      </c>
    </row>
    <row r="1209" spans="1:18">
      <c r="A1209" t="s">
        <v>1122</v>
      </c>
      <c r="C1209" s="3">
        <v>0</v>
      </c>
      <c r="D1209" s="3">
        <v>0</v>
      </c>
      <c r="E1209" s="3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f t="shared" si="36"/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f t="shared" si="37"/>
        <v>0</v>
      </c>
    </row>
    <row r="1210" spans="1:18">
      <c r="A1210" t="s">
        <v>1123</v>
      </c>
      <c r="C1210" s="3">
        <v>0</v>
      </c>
      <c r="D1210" s="3">
        <v>0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f t="shared" si="36"/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f t="shared" si="37"/>
        <v>0</v>
      </c>
    </row>
    <row r="1211" spans="1:18">
      <c r="A1211" t="s">
        <v>1124</v>
      </c>
      <c r="C1211" s="3">
        <v>0</v>
      </c>
      <c r="D1211" s="3">
        <v>0</v>
      </c>
      <c r="E1211" s="3">
        <v>0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f t="shared" si="36"/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f t="shared" si="37"/>
        <v>0</v>
      </c>
    </row>
    <row r="1212" spans="1:18">
      <c r="A1212" t="s">
        <v>2208</v>
      </c>
      <c r="C1212" s="3">
        <v>0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f t="shared" si="36"/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f t="shared" si="37"/>
        <v>0</v>
      </c>
    </row>
    <row r="1213" spans="1:18">
      <c r="A1213" t="s">
        <v>1125</v>
      </c>
      <c r="C1213" s="3">
        <v>0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f t="shared" si="36"/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f t="shared" si="37"/>
        <v>0</v>
      </c>
    </row>
    <row r="1214" spans="1:18">
      <c r="A1214" t="s">
        <v>2276</v>
      </c>
      <c r="C1214" s="3">
        <v>0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f t="shared" si="36"/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f t="shared" si="37"/>
        <v>0</v>
      </c>
    </row>
    <row r="1215" spans="1:18">
      <c r="A1215" t="s">
        <v>2277</v>
      </c>
      <c r="C1215" s="3">
        <v>0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f t="shared" si="36"/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f t="shared" si="37"/>
        <v>0</v>
      </c>
    </row>
    <row r="1216" spans="1:18">
      <c r="A1216" t="s">
        <v>1126</v>
      </c>
      <c r="C1216" s="3">
        <v>0</v>
      </c>
      <c r="D1216" s="3">
        <v>0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f t="shared" si="36"/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f t="shared" si="37"/>
        <v>0</v>
      </c>
    </row>
    <row r="1217" spans="1:18">
      <c r="A1217" t="s">
        <v>2209</v>
      </c>
      <c r="C1217" s="3">
        <v>0</v>
      </c>
      <c r="D1217" s="3">
        <v>0</v>
      </c>
      <c r="E1217" s="3">
        <v>0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f t="shared" si="36"/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f t="shared" si="37"/>
        <v>0</v>
      </c>
    </row>
    <row r="1218" spans="1:18">
      <c r="A1218" t="s">
        <v>1127</v>
      </c>
      <c r="C1218" s="3">
        <v>0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f t="shared" si="36"/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1">
        <f t="shared" si="37"/>
        <v>0</v>
      </c>
    </row>
    <row r="1219" spans="1:18">
      <c r="A1219" t="s">
        <v>2077</v>
      </c>
      <c r="C1219" s="3">
        <v>0</v>
      </c>
      <c r="D1219" s="3">
        <v>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f t="shared" ref="L1219:L1270" si="38">SUM(C1219:K1219)</f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f t="shared" ref="R1219:R1270" si="39">SUM(L1219:Q1219)</f>
        <v>0</v>
      </c>
    </row>
    <row r="1220" spans="1:18">
      <c r="A1220" t="s">
        <v>2210</v>
      </c>
      <c r="C1220" s="3">
        <v>0</v>
      </c>
      <c r="D1220" s="3">
        <v>0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f t="shared" si="38"/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1">
        <f t="shared" si="39"/>
        <v>0</v>
      </c>
    </row>
    <row r="1221" spans="1:18">
      <c r="A1221" t="s">
        <v>2211</v>
      </c>
      <c r="C1221" s="3">
        <v>0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f t="shared" si="38"/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f t="shared" si="39"/>
        <v>0</v>
      </c>
    </row>
    <row r="1222" spans="1:18">
      <c r="A1222" t="s">
        <v>1128</v>
      </c>
      <c r="C1222" s="3">
        <v>0</v>
      </c>
      <c r="D1222" s="3">
        <v>0</v>
      </c>
      <c r="E1222" s="3">
        <v>0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f t="shared" si="38"/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f t="shared" si="39"/>
        <v>0</v>
      </c>
    </row>
    <row r="1223" spans="1:18">
      <c r="A1223" t="s">
        <v>1129</v>
      </c>
      <c r="C1223" s="3">
        <v>0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f t="shared" si="38"/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1">
        <f t="shared" si="39"/>
        <v>0</v>
      </c>
    </row>
    <row r="1224" spans="1:18">
      <c r="A1224" t="s">
        <v>1130</v>
      </c>
      <c r="C1224" s="3">
        <v>0</v>
      </c>
      <c r="D1224" s="3">
        <v>0</v>
      </c>
      <c r="E1224" s="3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f t="shared" si="38"/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f t="shared" si="39"/>
        <v>0</v>
      </c>
    </row>
    <row r="1225" spans="1:18">
      <c r="A1225" t="s">
        <v>2078</v>
      </c>
      <c r="C1225" s="3">
        <v>0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f t="shared" si="38"/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f t="shared" si="39"/>
        <v>0</v>
      </c>
    </row>
    <row r="1226" spans="1:18">
      <c r="A1226" t="s">
        <v>1131</v>
      </c>
      <c r="C1226" s="3">
        <v>2050000</v>
      </c>
      <c r="D1226" s="3">
        <v>0</v>
      </c>
      <c r="E1226" s="3">
        <v>0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f t="shared" si="38"/>
        <v>2050000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1">
        <f t="shared" si="39"/>
        <v>2050000</v>
      </c>
    </row>
    <row r="1227" spans="1:18">
      <c r="A1227" t="s">
        <v>1132</v>
      </c>
      <c r="C1227" s="3">
        <v>7000000</v>
      </c>
      <c r="D1227" s="3">
        <v>0</v>
      </c>
      <c r="E1227" s="3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f t="shared" si="38"/>
        <v>7000000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1">
        <f t="shared" si="39"/>
        <v>7000000</v>
      </c>
    </row>
    <row r="1228" spans="1:18">
      <c r="A1228" t="s">
        <v>1133</v>
      </c>
      <c r="C1228" s="3">
        <v>0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f t="shared" si="38"/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f t="shared" si="39"/>
        <v>0</v>
      </c>
    </row>
    <row r="1229" spans="1:18">
      <c r="A1229" t="s">
        <v>1161</v>
      </c>
      <c r="C1229" s="3">
        <v>14892848</v>
      </c>
      <c r="D1229" s="3">
        <v>24381940000</v>
      </c>
      <c r="E1229" s="3">
        <v>12001840776</v>
      </c>
      <c r="F1229" s="3">
        <v>0</v>
      </c>
      <c r="G1229" s="3">
        <v>0</v>
      </c>
      <c r="H1229" s="3">
        <v>0</v>
      </c>
      <c r="I1229" s="3">
        <v>0</v>
      </c>
      <c r="J1229" s="3">
        <v>1466990130</v>
      </c>
      <c r="K1229" s="3">
        <v>0</v>
      </c>
      <c r="L1229" s="3">
        <f t="shared" si="38"/>
        <v>37865663754</v>
      </c>
      <c r="M1229" s="1">
        <v>-8600879582</v>
      </c>
      <c r="N1229" s="1">
        <v>0</v>
      </c>
      <c r="O1229" s="1">
        <v>0</v>
      </c>
      <c r="P1229" s="1">
        <v>0</v>
      </c>
      <c r="Q1229" s="1">
        <v>0</v>
      </c>
      <c r="R1229" s="1">
        <f t="shared" si="39"/>
        <v>29264784172</v>
      </c>
    </row>
    <row r="1230" spans="1:18">
      <c r="A1230" t="s">
        <v>1134</v>
      </c>
      <c r="C1230" s="3">
        <v>125000</v>
      </c>
      <c r="D1230" s="3">
        <v>0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f t="shared" si="38"/>
        <v>125000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1">
        <f t="shared" si="39"/>
        <v>125000</v>
      </c>
    </row>
    <row r="1231" spans="1:18">
      <c r="A1231" t="s">
        <v>1135</v>
      </c>
      <c r="C1231" s="3">
        <v>42000</v>
      </c>
      <c r="D1231" s="3">
        <v>0</v>
      </c>
      <c r="E1231" s="3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f t="shared" si="38"/>
        <v>42000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1">
        <f t="shared" si="39"/>
        <v>42000</v>
      </c>
    </row>
    <row r="1232" spans="1:18">
      <c r="A1232" t="s">
        <v>1136</v>
      </c>
      <c r="C1232" s="3">
        <v>96700</v>
      </c>
      <c r="D1232" s="3">
        <v>0</v>
      </c>
      <c r="E1232" s="3">
        <v>0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f t="shared" si="38"/>
        <v>96700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f t="shared" si="39"/>
        <v>96700</v>
      </c>
    </row>
    <row r="1233" spans="1:18">
      <c r="A1233" t="s">
        <v>1137</v>
      </c>
      <c r="C1233" s="3">
        <v>612875</v>
      </c>
      <c r="D1233" s="3">
        <v>0</v>
      </c>
      <c r="E1233" s="3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f t="shared" si="38"/>
        <v>612875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f t="shared" si="39"/>
        <v>612875</v>
      </c>
    </row>
    <row r="1234" spans="1:18">
      <c r="A1234" t="s">
        <v>1138</v>
      </c>
      <c r="C1234" s="3">
        <v>0</v>
      </c>
      <c r="D1234" s="3">
        <v>0</v>
      </c>
      <c r="E1234" s="3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f t="shared" si="38"/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f t="shared" si="39"/>
        <v>0</v>
      </c>
    </row>
    <row r="1235" spans="1:18">
      <c r="A1235" t="s">
        <v>2278</v>
      </c>
      <c r="C1235" s="3">
        <v>0</v>
      </c>
      <c r="D1235" s="3">
        <v>0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f t="shared" si="38"/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f t="shared" si="39"/>
        <v>0</v>
      </c>
    </row>
    <row r="1236" spans="1:18">
      <c r="A1236" t="s">
        <v>2079</v>
      </c>
      <c r="C1236" s="3">
        <v>0</v>
      </c>
      <c r="D1236" s="3">
        <v>0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f t="shared" si="38"/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f t="shared" si="39"/>
        <v>0</v>
      </c>
    </row>
    <row r="1237" spans="1:18">
      <c r="A1237" t="s">
        <v>2080</v>
      </c>
      <c r="C1237" s="3">
        <v>94300</v>
      </c>
      <c r="D1237" s="3">
        <v>0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f t="shared" si="38"/>
        <v>94300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1">
        <f t="shared" si="39"/>
        <v>94300</v>
      </c>
    </row>
    <row r="1238" spans="1:18">
      <c r="A1238" t="s">
        <v>1139</v>
      </c>
      <c r="C1238" s="3">
        <v>5508450</v>
      </c>
      <c r="D1238" s="3">
        <v>0</v>
      </c>
      <c r="E1238" s="3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f t="shared" si="38"/>
        <v>5508450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f t="shared" si="39"/>
        <v>5508450</v>
      </c>
    </row>
    <row r="1239" spans="1:18">
      <c r="A1239" t="s">
        <v>1140</v>
      </c>
      <c r="C1239" s="3">
        <v>0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f t="shared" si="38"/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1">
        <f t="shared" si="39"/>
        <v>0</v>
      </c>
    </row>
    <row r="1240" spans="1:18">
      <c r="A1240" t="s">
        <v>2279</v>
      </c>
      <c r="C1240" s="3">
        <v>1647500</v>
      </c>
      <c r="D1240" s="3">
        <v>0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f t="shared" si="38"/>
        <v>1647500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f t="shared" si="39"/>
        <v>1647500</v>
      </c>
    </row>
    <row r="1241" spans="1:18">
      <c r="A1241" t="s">
        <v>2081</v>
      </c>
      <c r="C1241" s="3">
        <v>0</v>
      </c>
      <c r="D1241" s="3">
        <v>0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f t="shared" si="38"/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f t="shared" si="39"/>
        <v>0</v>
      </c>
    </row>
    <row r="1242" spans="1:18">
      <c r="A1242" t="s">
        <v>1141</v>
      </c>
      <c r="C1242" s="3">
        <v>337000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f t="shared" si="38"/>
        <v>337000</v>
      </c>
      <c r="M1242" s="1">
        <v>0</v>
      </c>
      <c r="N1242" s="1">
        <v>0</v>
      </c>
      <c r="O1242" s="1">
        <v>0</v>
      </c>
      <c r="P1242" s="1">
        <v>0</v>
      </c>
      <c r="Q1242" s="1">
        <v>0</v>
      </c>
      <c r="R1242" s="1">
        <f t="shared" si="39"/>
        <v>337000</v>
      </c>
    </row>
    <row r="1243" spans="1:18">
      <c r="A1243" t="s">
        <v>1142</v>
      </c>
      <c r="C1243" s="3">
        <v>260000</v>
      </c>
      <c r="D1243" s="3">
        <v>0</v>
      </c>
      <c r="E1243" s="3">
        <v>0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f t="shared" si="38"/>
        <v>260000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1">
        <f t="shared" si="39"/>
        <v>260000</v>
      </c>
    </row>
    <row r="1244" spans="1:18">
      <c r="A1244" t="s">
        <v>1143</v>
      </c>
      <c r="C1244" s="3">
        <v>0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f t="shared" si="38"/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f t="shared" si="39"/>
        <v>0</v>
      </c>
    </row>
    <row r="1245" spans="1:18">
      <c r="A1245" t="s">
        <v>2280</v>
      </c>
      <c r="C1245" s="3">
        <v>0</v>
      </c>
      <c r="D1245" s="3">
        <v>0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f t="shared" si="38"/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1">
        <f t="shared" si="39"/>
        <v>0</v>
      </c>
    </row>
    <row r="1246" spans="1:18">
      <c r="A1246" t="s">
        <v>1144</v>
      </c>
      <c r="C1246" s="3">
        <v>325000</v>
      </c>
      <c r="D1246" s="3">
        <v>0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f t="shared" si="38"/>
        <v>325000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f t="shared" si="39"/>
        <v>325000</v>
      </c>
    </row>
    <row r="1247" spans="1:18">
      <c r="A1247" t="s">
        <v>1145</v>
      </c>
      <c r="C1247" s="3">
        <v>3071700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f t="shared" si="38"/>
        <v>3071700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1">
        <f t="shared" si="39"/>
        <v>3071700</v>
      </c>
    </row>
    <row r="1248" spans="1:18">
      <c r="A1248" t="s">
        <v>1146</v>
      </c>
      <c r="C1248" s="3">
        <v>0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f t="shared" si="38"/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f t="shared" si="39"/>
        <v>0</v>
      </c>
    </row>
    <row r="1249" spans="1:18">
      <c r="A1249" t="s">
        <v>2281</v>
      </c>
      <c r="C1249" s="3">
        <v>0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f t="shared" si="38"/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1">
        <f t="shared" si="39"/>
        <v>0</v>
      </c>
    </row>
    <row r="1250" spans="1:18">
      <c r="A1250" t="s">
        <v>2082</v>
      </c>
      <c r="C1250" s="3">
        <v>0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f t="shared" si="38"/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f t="shared" si="39"/>
        <v>0</v>
      </c>
    </row>
    <row r="1251" spans="1:18">
      <c r="A1251" t="s">
        <v>2083</v>
      </c>
      <c r="C1251" s="3">
        <v>0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f t="shared" si="38"/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f t="shared" si="39"/>
        <v>0</v>
      </c>
    </row>
    <row r="1252" spans="1:18">
      <c r="A1252" t="s">
        <v>1147</v>
      </c>
      <c r="C1252" s="3">
        <v>0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f t="shared" si="38"/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f t="shared" si="39"/>
        <v>0</v>
      </c>
    </row>
    <row r="1253" spans="1:18">
      <c r="A1253" t="s">
        <v>1148</v>
      </c>
      <c r="C1253" s="3">
        <v>2808000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f t="shared" si="38"/>
        <v>2808000</v>
      </c>
      <c r="M1253" s="1">
        <v>0</v>
      </c>
      <c r="N1253" s="1">
        <v>0</v>
      </c>
      <c r="O1253" s="1">
        <v>0</v>
      </c>
      <c r="P1253" s="1">
        <v>0</v>
      </c>
      <c r="Q1253" s="1">
        <v>0</v>
      </c>
      <c r="R1253" s="1">
        <f t="shared" si="39"/>
        <v>2808000</v>
      </c>
    </row>
    <row r="1254" spans="1:18">
      <c r="A1254" t="s">
        <v>1149</v>
      </c>
      <c r="C1254" s="3">
        <v>3922220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f t="shared" si="38"/>
        <v>3922220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f t="shared" si="39"/>
        <v>3922220</v>
      </c>
    </row>
    <row r="1255" spans="1:18">
      <c r="A1255" t="s">
        <v>2084</v>
      </c>
      <c r="C1255" s="3">
        <v>0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f t="shared" si="38"/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f t="shared" si="39"/>
        <v>0</v>
      </c>
    </row>
    <row r="1256" spans="1:18">
      <c r="A1256" t="s">
        <v>2085</v>
      </c>
      <c r="C1256" s="3">
        <v>0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f t="shared" si="38"/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1">
        <f t="shared" si="39"/>
        <v>0</v>
      </c>
    </row>
    <row r="1257" spans="1:18">
      <c r="A1257" t="s">
        <v>1150</v>
      </c>
      <c r="C1257" s="3">
        <v>96000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f t="shared" si="38"/>
        <v>96000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f t="shared" si="39"/>
        <v>96000</v>
      </c>
    </row>
    <row r="1258" spans="1:18">
      <c r="A1258" t="s">
        <v>1151</v>
      </c>
      <c r="C1258" s="3">
        <v>0</v>
      </c>
      <c r="D1258" s="3">
        <v>0</v>
      </c>
      <c r="E1258" s="3">
        <v>0</v>
      </c>
      <c r="F1258" s="3">
        <v>0</v>
      </c>
      <c r="G1258" s="3">
        <v>0</v>
      </c>
      <c r="H1258" s="3">
        <v>0</v>
      </c>
      <c r="I1258" s="3">
        <v>0</v>
      </c>
      <c r="J1258" s="3">
        <v>0</v>
      </c>
      <c r="K1258" s="3">
        <v>0</v>
      </c>
      <c r="L1258" s="3">
        <f t="shared" si="38"/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1">
        <f t="shared" si="39"/>
        <v>0</v>
      </c>
    </row>
    <row r="1259" spans="1:18">
      <c r="A1259" t="s">
        <v>1152</v>
      </c>
      <c r="C1259" s="3">
        <v>0</v>
      </c>
      <c r="D1259" s="3">
        <v>0</v>
      </c>
      <c r="E1259" s="3">
        <v>0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f t="shared" si="38"/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f t="shared" si="39"/>
        <v>0</v>
      </c>
    </row>
    <row r="1260" spans="1:18">
      <c r="A1260" t="s">
        <v>1153</v>
      </c>
      <c r="C1260" s="3">
        <v>90000</v>
      </c>
      <c r="D1260" s="3">
        <v>0</v>
      </c>
      <c r="E1260" s="3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f t="shared" si="38"/>
        <v>90000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1">
        <f t="shared" si="39"/>
        <v>90000</v>
      </c>
    </row>
    <row r="1261" spans="1:18">
      <c r="A1261" t="s">
        <v>1154</v>
      </c>
      <c r="C1261" s="3">
        <v>245000</v>
      </c>
      <c r="D1261" s="3">
        <v>0</v>
      </c>
      <c r="E1261" s="3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f t="shared" si="38"/>
        <v>245000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f t="shared" si="39"/>
        <v>245000</v>
      </c>
    </row>
    <row r="1262" spans="1:18">
      <c r="A1262" t="s">
        <v>1155</v>
      </c>
      <c r="C1262" s="3">
        <v>0</v>
      </c>
      <c r="D1262" s="3">
        <v>0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f t="shared" si="38"/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1">
        <f t="shared" si="39"/>
        <v>0</v>
      </c>
    </row>
    <row r="1263" spans="1:18">
      <c r="A1263" t="s">
        <v>2212</v>
      </c>
      <c r="C1263" s="3">
        <v>18000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f t="shared" si="38"/>
        <v>18000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1">
        <f t="shared" si="39"/>
        <v>18000</v>
      </c>
    </row>
    <row r="1264" spans="1:18">
      <c r="A1264" t="s">
        <v>2213</v>
      </c>
      <c r="C1264" s="3">
        <v>1279125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f t="shared" si="38"/>
        <v>1279125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f t="shared" si="39"/>
        <v>1279125</v>
      </c>
    </row>
    <row r="1265" spans="1:18">
      <c r="A1265" t="s">
        <v>1156</v>
      </c>
      <c r="C1265" s="3">
        <v>0</v>
      </c>
      <c r="D1265" s="3">
        <v>0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f t="shared" si="38"/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f t="shared" si="39"/>
        <v>0</v>
      </c>
    </row>
    <row r="1266" spans="1:18">
      <c r="A1266" t="s">
        <v>2282</v>
      </c>
      <c r="C1266" s="3">
        <v>0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f t="shared" si="38"/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f t="shared" si="39"/>
        <v>0</v>
      </c>
    </row>
    <row r="1267" spans="1:18">
      <c r="A1267" t="s">
        <v>2086</v>
      </c>
      <c r="C1267" s="3">
        <v>0</v>
      </c>
      <c r="D1267" s="3">
        <v>0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f t="shared" si="38"/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f t="shared" si="39"/>
        <v>0</v>
      </c>
    </row>
    <row r="1268" spans="1:18">
      <c r="A1268" t="s">
        <v>2283</v>
      </c>
      <c r="C1268" s="3">
        <v>40000</v>
      </c>
      <c r="D1268" s="3">
        <v>0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f t="shared" si="38"/>
        <v>40000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f t="shared" si="39"/>
        <v>40000</v>
      </c>
    </row>
    <row r="1269" spans="1:18">
      <c r="A1269" t="s">
        <v>1159</v>
      </c>
      <c r="C1269" s="3">
        <v>70859014</v>
      </c>
      <c r="D1269" s="3">
        <v>15198558000</v>
      </c>
      <c r="E1269" s="3">
        <v>80550554704</v>
      </c>
      <c r="F1269" s="3">
        <v>118367878880</v>
      </c>
      <c r="G1269" s="3">
        <v>44016220236</v>
      </c>
      <c r="H1269" s="3">
        <v>1777076600</v>
      </c>
      <c r="I1269" s="3">
        <v>0</v>
      </c>
      <c r="J1269" s="3">
        <v>358616471</v>
      </c>
      <c r="K1269" s="3">
        <v>0</v>
      </c>
      <c r="L1269" s="3">
        <f t="shared" si="38"/>
        <v>260339763905</v>
      </c>
      <c r="M1269" s="1">
        <v>-62929851040</v>
      </c>
      <c r="N1269" s="1">
        <v>-9479345689</v>
      </c>
      <c r="O1269" s="1">
        <v>-10414327233</v>
      </c>
      <c r="P1269" s="1">
        <v>0</v>
      </c>
      <c r="Q1269" s="1">
        <v>0</v>
      </c>
      <c r="R1269" s="1">
        <f t="shared" si="39"/>
        <v>177516239943</v>
      </c>
    </row>
    <row r="1270" spans="1:18">
      <c r="A1270" t="s">
        <v>1160</v>
      </c>
      <c r="C1270" s="3">
        <v>326548278</v>
      </c>
      <c r="D1270" s="3">
        <v>0</v>
      </c>
      <c r="E1270" s="3">
        <v>12866232081</v>
      </c>
      <c r="F1270" s="3">
        <v>0</v>
      </c>
      <c r="G1270" s="3">
        <v>0</v>
      </c>
      <c r="H1270" s="3">
        <v>485972140</v>
      </c>
      <c r="I1270" s="3">
        <v>0</v>
      </c>
      <c r="J1270" s="3">
        <v>1352133171</v>
      </c>
      <c r="K1270" s="3">
        <v>0</v>
      </c>
      <c r="L1270" s="3">
        <f t="shared" si="38"/>
        <v>15030885670</v>
      </c>
      <c r="M1270" s="1">
        <v>-11421501530</v>
      </c>
      <c r="N1270" s="1">
        <v>0</v>
      </c>
      <c r="O1270" s="1">
        <v>0</v>
      </c>
      <c r="P1270" s="1">
        <v>0</v>
      </c>
      <c r="Q1270" s="1">
        <v>0</v>
      </c>
      <c r="R1270" s="1">
        <f t="shared" si="39"/>
        <v>3609384140</v>
      </c>
    </row>
    <row r="1272" spans="1:18">
      <c r="C1272" s="3">
        <f t="shared" ref="C1272:R1272" si="40">SUM(C2:C1271)</f>
        <v>11081339762</v>
      </c>
      <c r="D1272" s="3">
        <f t="shared" si="40"/>
        <v>4624572465545</v>
      </c>
      <c r="E1272" s="3">
        <f t="shared" si="40"/>
        <v>2155841525279</v>
      </c>
      <c r="F1272" s="3">
        <f t="shared" si="40"/>
        <v>6350911701339</v>
      </c>
      <c r="G1272" s="3">
        <f t="shared" si="40"/>
        <v>213986828068</v>
      </c>
      <c r="H1272" s="3">
        <f t="shared" si="40"/>
        <v>60407833305</v>
      </c>
      <c r="I1272" s="3">
        <f t="shared" si="40"/>
        <v>510237965667</v>
      </c>
      <c r="J1272" s="3">
        <f t="shared" si="40"/>
        <v>29199429629</v>
      </c>
      <c r="K1272" s="3">
        <f t="shared" si="40"/>
        <v>85881409268</v>
      </c>
      <c r="L1272" s="3">
        <f t="shared" si="40"/>
        <v>14042120497862</v>
      </c>
      <c r="M1272" s="3">
        <f t="shared" si="40"/>
        <v>-1730361583957</v>
      </c>
      <c r="N1272" s="3">
        <f t="shared" si="40"/>
        <v>-1184356734437</v>
      </c>
      <c r="O1272" s="3">
        <f t="shared" si="40"/>
        <v>-72404028615</v>
      </c>
      <c r="P1272" s="3">
        <f t="shared" si="40"/>
        <v>-535168605</v>
      </c>
      <c r="Q1272" s="3">
        <f t="shared" si="40"/>
        <v>-67260884867</v>
      </c>
      <c r="R1272" s="3">
        <f t="shared" si="40"/>
        <v>10987202097381</v>
      </c>
    </row>
  </sheetData>
  <pageMargins left="0.75" right="0.75" top="1" bottom="1" header="0.5" footer="0.5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P376"/>
  <sheetViews>
    <sheetView view="pageBreakPreview" topLeftCell="C51" zoomScale="90" zoomScaleSheetLayoutView="90" workbookViewId="0">
      <selection activeCell="G66" sqref="G66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1.71093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475</v>
      </c>
      <c r="P1" s="8" t="s">
        <v>1613</v>
      </c>
    </row>
    <row r="2" spans="1:16" ht="19.5" customHeight="1">
      <c r="C2" s="9" t="s">
        <v>2110</v>
      </c>
      <c r="O2" s="8" t="s">
        <v>476</v>
      </c>
      <c r="P2" s="8" t="s">
        <v>1614</v>
      </c>
    </row>
    <row r="3" spans="1:16" ht="19.5" customHeight="1">
      <c r="O3" s="8" t="s">
        <v>477</v>
      </c>
      <c r="P3" s="8" t="s">
        <v>1615</v>
      </c>
    </row>
    <row r="4" spans="1:16" ht="19.5" customHeight="1">
      <c r="A4" s="11" t="str">
        <f>O1</f>
        <v>005011400099120000KD</v>
      </c>
      <c r="B4" s="11" t="str">
        <f>P1</f>
        <v>PN. Palangkaraya</v>
      </c>
      <c r="C4" s="12" t="str">
        <f>A4&amp;" "&amp;B4</f>
        <v>005011400099120000KD PN. Palangkaraya</v>
      </c>
      <c r="D4" s="13"/>
      <c r="E4" s="13"/>
      <c r="F4" s="13"/>
      <c r="G4" s="13"/>
      <c r="H4" s="11"/>
      <c r="O4" s="8" t="s">
        <v>478</v>
      </c>
      <c r="P4" s="8" t="s">
        <v>1616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479</v>
      </c>
      <c r="P5" s="8" t="s">
        <v>1617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480</v>
      </c>
      <c r="P6" s="8" t="s">
        <v>1618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1597850</v>
      </c>
      <c r="E7" s="25">
        <f>SUMIFS('Daftar Koreksi'!$H$5:$H$92,'Daftar Koreksi'!$D$5:$D$92,'1400'!A4,'Daftar Koreksi'!$G$5:$G$92,"Persediaan",'Daftar Koreksi'!$H$5:$H$92,"&gt;0")</f>
        <v>0</v>
      </c>
      <c r="F7" s="25">
        <f>SUMIFS('Daftar Koreksi'!$H$5:$H$92,'Daftar Koreksi'!$D$5:$D$92,'1400'!A4,'Daftar Koreksi'!$G$5:$G$92,"Persediaan",'Daftar Koreksi'!$H$5:$H$92,"&lt;0")-SUMIFS('Daftar Koreksi'!$H$5:$H$92,'Daftar Koreksi'!$D$5:$D$92,'1400'!A4,'Daftar Koreksi'!$G$5:$G$92,"Persediaan",'Daftar Koreksi'!$H$5:$H$92,"&lt;0")-SUMIFS('Daftar Koreksi'!$H$5:$H$92,'Daftar Koreksi'!$D$5:$D$92,'1400'!A4,'Daftar Koreksi'!$G$5:$G$92,"Persediaan",'Daftar Koreksi'!$H$5:$H$92,"&lt;0")</f>
        <v>0</v>
      </c>
      <c r="G7" s="17">
        <f>D7+E7-F7</f>
        <v>1597850</v>
      </c>
      <c r="H7" s="121" t="str">
        <f>IF(ISNA(VLOOKUP(A4,'Mutasi Neraca'!$A$3:$S$914,19,FALSE)),"-",VLOOKUP(A4,'Mutasi Neraca'!$A$3:$S$914,19,FALSE))</f>
        <v>-</v>
      </c>
      <c r="O7" s="8" t="s">
        <v>481</v>
      </c>
      <c r="P7" s="8" t="s">
        <v>1619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5595514241</v>
      </c>
      <c r="E8" s="25">
        <f>SUMIFS('Daftar Koreksi'!$H$5:$H$92,'Daftar Koreksi'!$D$5:$D$92,'1400'!A4,'Daftar Koreksi'!$G$5:$G$92,"Tanah",'Daftar Koreksi'!$H$5:$H$92,"&gt;0")</f>
        <v>0</v>
      </c>
      <c r="F8" s="25">
        <f>SUMIFS('Daftar Koreksi'!$H$5:$H$92,'Daftar Koreksi'!$D$5:$D$92,'1400'!A4,'Daftar Koreksi'!$G$5:$G$92,"Tanah",'Daftar Koreksi'!$H$5:$H$92,"&lt;0")-SUMIFS('Daftar Koreksi'!$H$5:$H$92,'Daftar Koreksi'!$D$5:$D$92,'1400'!A4,'Daftar Koreksi'!$G$5:$G$92,"Tanah",'Daftar Koreksi'!$H$5:$H$92,"&lt;0")-SUMIFS('Daftar Koreksi'!$H$5:$H$92,'Daftar Koreksi'!$D$5:$D$92,'1400'!A4,'Daftar Koreksi'!$G$5:$G$92,"Tanah",'Daftar Koreksi'!$H$5:$H$92,"&lt;0")</f>
        <v>0</v>
      </c>
      <c r="G8" s="17">
        <f t="shared" ref="G8:G24" si="0">D8+E8-F8</f>
        <v>5595514241</v>
      </c>
      <c r="H8" s="122"/>
      <c r="O8" s="8" t="s">
        <v>482</v>
      </c>
      <c r="P8" s="8" t="s">
        <v>1620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3472419944</v>
      </c>
      <c r="E9" s="25">
        <f>SUMIFS('Daftar Koreksi'!$H$5:$H$92,'Daftar Koreksi'!$D$5:$D$92,'1400'!A4,'Daftar Koreksi'!$G$5:$G$92,"Peralatan dan mesin",'Daftar Koreksi'!$H$5:$H$92,"&gt;0")</f>
        <v>0</v>
      </c>
      <c r="F9" s="25">
        <f>SUMIFS('Daftar Koreksi'!$H$5:$H$92,'Daftar Koreksi'!$D$5:$D$92,'1400'!A4,'Daftar Koreksi'!$G$5:$G$92,"Peralatan dan mesin",'Daftar Koreksi'!$H$5:$H$92,"&lt;0")-SUMIFS('Daftar Koreksi'!$H$5:$H$92,'Daftar Koreksi'!$D$5:$D$92,'1400'!A4,'Daftar Koreksi'!$G$5:$G$92,"Peralatan dan mesin",'Daftar Koreksi'!$H$5:$H$92,"&lt;0")-SUMIFS('Daftar Koreksi'!$H$5:$H$92,'Daftar Koreksi'!$D$5:$D$92,'1400'!A4,'Daftar Koreksi'!$G$5:$G$92,"Peralatan dan mesin",'Daftar Koreksi'!$H$5:$H$92,"&lt;0")</f>
        <v>0</v>
      </c>
      <c r="G9" s="17">
        <f t="shared" si="0"/>
        <v>3472419944</v>
      </c>
      <c r="H9" s="122"/>
      <c r="O9" s="8" t="s">
        <v>483</v>
      </c>
      <c r="P9" s="8" t="s">
        <v>1621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16408849800</v>
      </c>
      <c r="E10" s="25">
        <f>SUMIFS('Daftar Koreksi'!$H$5:$H$92,'Daftar Koreksi'!$D$5:$D$92,'1400'!A4,'Daftar Koreksi'!$G$5:$G$92,"Gedung dan Bangunan",'Daftar Koreksi'!$H$5:$H$92,"&gt;0")</f>
        <v>0</v>
      </c>
      <c r="F10" s="25">
        <f>SUMIFS('Daftar Koreksi'!$H$5:$H$92,'Daftar Koreksi'!$D$5:$D$92,'1400'!A4,'Daftar Koreksi'!$G$5:$G$92,"Gedung dan Bangunan",'Daftar Koreksi'!$H$5:$H$92,"&lt;0")-SUMIFS('Daftar Koreksi'!$H$5:$H$92,'Daftar Koreksi'!$D$5:$D$92,'1400'!A4,'Daftar Koreksi'!$G$5:$G$92,"Gedung dan Bangunan",'Daftar Koreksi'!$H$5:$H$92,"&lt;0")-SUMIFS('Daftar Koreksi'!$H$5:$H$92,'Daftar Koreksi'!$D$5:$D$92,'1400'!A4,'Daftar Koreksi'!$G$5:$G$92,"Gedung dan Bangunan",'Daftar Koreksi'!$H$5:$H$92,"&lt;0")</f>
        <v>0</v>
      </c>
      <c r="G10" s="17">
        <f t="shared" si="0"/>
        <v>16408849800</v>
      </c>
      <c r="H10" s="122"/>
      <c r="O10" s="8" t="s">
        <v>484</v>
      </c>
      <c r="P10" s="8" t="s">
        <v>1622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1225118000</v>
      </c>
      <c r="E11" s="25">
        <f>SUMIFS('Daftar Koreksi'!$H$5:$H$92,'Daftar Koreksi'!$D$5:$D$92,'1400'!A4,'Daftar Koreksi'!$G$5:$G$92,"Jalan Irigasi Jaringan",'Daftar Koreksi'!$H$5:$H$92,"&gt;0")</f>
        <v>0</v>
      </c>
      <c r="F11" s="25">
        <f>SUMIFS('Daftar Koreksi'!$H$5:$H$92,'Daftar Koreksi'!$D$5:$D$92,'1400'!A4,'Daftar Koreksi'!$G$5:$G$92,"Jalan Irigasi Jaringan",'Daftar Koreksi'!$H$5:$H$92,"&lt;0")-SUMIFS('Daftar Koreksi'!$H$5:$H$92,'Daftar Koreksi'!$D$5:$D$92,'1400'!A4,'Daftar Koreksi'!$G$5:$G$92,"Jalan Irigasi Jaringan",'Daftar Koreksi'!$H$5:$H$92,"&lt;0")-SUMIFS('Daftar Koreksi'!$H$5:$H$92,'Daftar Koreksi'!$D$5:$D$92,'1400'!A4,'Daftar Koreksi'!$G$5:$G$92,"Jalan Irigasi Jaringan",'Daftar Koreksi'!$H$5:$H$92,"&lt;0")</f>
        <v>0</v>
      </c>
      <c r="G11" s="17">
        <f t="shared" si="0"/>
        <v>1225118000</v>
      </c>
      <c r="H11" s="122"/>
      <c r="O11" s="8" t="s">
        <v>485</v>
      </c>
      <c r="P11" s="8" t="s">
        <v>1623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4413440</v>
      </c>
      <c r="E12" s="25">
        <f>SUMIFS('Daftar Koreksi'!$H$5:$H$92,'Daftar Koreksi'!$D$5:$D$92,'1400'!A4,'Daftar Koreksi'!$G$5:$G$92,"Aset Tetap Lainnya",'Daftar Koreksi'!$H$5:$H$92,"&gt;0")</f>
        <v>0</v>
      </c>
      <c r="F12" s="25">
        <f>SUMIFS('Daftar Koreksi'!$H$5:$H$92,'Daftar Koreksi'!$D$5:$D$92,'1400'!A4,'Daftar Koreksi'!$G$5:$G$92,"Aset Tetap Lainnya",'Daftar Koreksi'!$H$5:$H$92,"&lt;0")-SUMIFS('Daftar Koreksi'!$H$5:$H$92,'Daftar Koreksi'!$D$5:$D$92,'1400'!A4,'Daftar Koreksi'!$G$5:$G$92,"Aset Tetap Lainnya",'Daftar Koreksi'!$H$5:$H$92,"&lt;0")-SUMIFS('Daftar Koreksi'!$H$5:$H$92,'Daftar Koreksi'!$D$5:$D$92,'1400'!A4,'Daftar Koreksi'!$G$5:$G$92,"Aset Tetap Lainnya",'Daftar Koreksi'!$H$5:$H$92,"&lt;0")</f>
        <v>0</v>
      </c>
      <c r="G12" s="17">
        <f t="shared" si="0"/>
        <v>4413440</v>
      </c>
      <c r="H12" s="122"/>
      <c r="O12" s="8" t="s">
        <v>486</v>
      </c>
      <c r="P12" s="8" t="s">
        <v>1624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Koreksi'!$D$5:$D$92,'1400'!A4,'Daftar Koreksi'!$G$5:$G$92,"Kontruksi Dalam Pengerjaan",'Daftar Koreksi'!$H$5:$H$92,"&gt;0")</f>
        <v>0</v>
      </c>
      <c r="F13" s="25">
        <f>SUMIFS('Daftar Koreksi'!$H$5:$H$92,'Daftar Koreksi'!$D$5:$D$92,'1400'!A4,'Daftar Koreksi'!$G$5:$G$92,"Kontruksi Dalam Pengerjaan",'Daftar Koreksi'!$H$5:$H$92,"&lt;0")-SUMIFS('Daftar Koreksi'!$H$5:$H$92,'Daftar Koreksi'!$D$5:$D$92,'1400'!A4,'Daftar Koreksi'!$G$5:$G$92,"Kontruksi Dalam Pengerjaan",'Daftar Koreksi'!$H$5:$H$92,"&lt;0")-SUMIFS('Daftar Koreksi'!$H$5:$H$92,'Daftar Koreksi'!$D$5:$D$92,'1400'!A4,'Daftar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487</v>
      </c>
      <c r="P13" s="8" t="s">
        <v>1625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37181829</v>
      </c>
      <c r="E14" s="25">
        <f>SUMIFS('Daftar Koreksi'!$H$5:$H$92,'Daftar Koreksi'!$D$5:$D$92,'1400'!A4,'Daftar Koreksi'!$G$5:$G$92,"Aset Tak Berwujud",'Daftar Koreksi'!$H$5:$H$92,"&gt;0")</f>
        <v>0</v>
      </c>
      <c r="F14" s="25">
        <f>SUMIFS('Daftar Koreksi'!$H$5:$H$92,'Daftar Koreksi'!$D$5:$D$92,'1400'!A4,'Daftar Koreksi'!$G$5:$G$92,"Aset Tak Berwujud",'Daftar Koreksi'!$H$5:$H$92,"&lt;0")-SUMIFS('Daftar Koreksi'!$H$5:$H$92,'Daftar Koreksi'!$D$5:$D$92,'1400'!A4,'Daftar Koreksi'!$G$5:$G$92,"Aset Tak Berwujud",'Daftar Koreksi'!$H$5:$H$92,"&lt;0")-SUMIFS('Daftar Koreksi'!$H$5:$H$92,'Daftar Koreksi'!$D$5:$D$92,'1400'!A4,'Daftar Koreksi'!$G$5:$G$92,"Aset Tak Berwujud",'Daftar Koreksi'!$H$5:$H$92,"&lt;0")</f>
        <v>0</v>
      </c>
      <c r="G14" s="17">
        <f t="shared" si="0"/>
        <v>37181829</v>
      </c>
      <c r="H14" s="122"/>
      <c r="O14" s="8" t="s">
        <v>488</v>
      </c>
      <c r="P14" s="8" t="s">
        <v>1626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17500000</v>
      </c>
      <c r="E15" s="25">
        <f>SUMIFS('Daftar Koreksi'!$H$5:$H$92,'Daftar Koreksi'!$D$5:$D$92,'1400'!A4,'Daftar Koreksi'!$G$5:$G$92,"Aset Henti Guna",'Daftar Koreksi'!$H$5:$H$92,"&gt;0")</f>
        <v>0</v>
      </c>
      <c r="F15" s="25">
        <f>SUMIFS('Daftar Koreksi'!$H$5:$H$92,'Daftar Koreksi'!$D$5:$D$92,'1400'!A4,'Daftar Koreksi'!$G$5:$G$92,"Aset Henti Guna",'Daftar Koreksi'!$H$5:$H$92,"&lt;0")-SUMIFS('Daftar Koreksi'!$H$5:$H$92,'Daftar Koreksi'!$D$5:$D$92,'1400'!A4,'Daftar Koreksi'!$G$5:$G$92,"Aset Henti Guna",'Daftar Koreksi'!$H$5:$H$92,"&lt;0")-SUMIFS('Daftar Koreksi'!$H$5:$H$92,'Daftar Koreksi'!$D$5:$D$92,'1400'!A4,'Daftar Koreksi'!$G$5:$G$92,"Aset Henti Guna",'Daftar Koreksi'!$H$5:$H$92,"&lt;0")</f>
        <v>0</v>
      </c>
      <c r="G15" s="17">
        <f t="shared" si="0"/>
        <v>17500000</v>
      </c>
      <c r="H15" s="122"/>
      <c r="O15" s="8" t="s">
        <v>489</v>
      </c>
      <c r="P15" s="8" t="s">
        <v>1627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26762595104</v>
      </c>
      <c r="E16" s="19">
        <f>SUM(E7:E15)</f>
        <v>0</v>
      </c>
      <c r="F16" s="19">
        <f>SUM(F7:F15)</f>
        <v>0</v>
      </c>
      <c r="G16" s="19">
        <f t="shared" si="0"/>
        <v>26762595104</v>
      </c>
      <c r="H16" s="122"/>
      <c r="O16" s="8" t="s">
        <v>490</v>
      </c>
      <c r="P16" s="8" t="s">
        <v>1628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-1941116259</v>
      </c>
      <c r="E17" s="25">
        <f>SUMIFS('Daftar Koreksi'!$I$5:$I$92,'Daftar Koreksi'!$D$5:$D$92,'1400'!A4,'Daftar Koreksi'!$G$5:$G$92,"Peralatan dan mesin",'Daftar Koreksi'!$I$5:$I$92,"&gt;0")</f>
        <v>0</v>
      </c>
      <c r="F17" s="25">
        <f>SUMIFS('Daftar Koreksi'!$I$5:$I$92,'Daftar Koreksi'!$D$5:$D$92,'1400'!A4,'Daftar Koreksi'!$G$5:$G$92,"Peralatan dan mesin",'Daftar Koreksi'!$I$5:$I$92,"&lt;0")-SUMIFS('Daftar Koreksi'!$I$5:$I$92,'Daftar Koreksi'!$D$5:$D$92,'1400'!A4,'Daftar Koreksi'!$G$5:$G$92,"Peralatan dan mesin",'Daftar Koreksi'!$I$5:$I$92,"&lt;0")-SUMIFS('Daftar Koreksi'!$I$5:$I$92,'Daftar Koreksi'!$D$5:$D$92,'1400'!A4,'Daftar Koreksi'!$G$5:$G$92,"Peralatan dan mesin",'Daftar Koreksi'!$I$5:$I$92,"&lt;0")</f>
        <v>0</v>
      </c>
      <c r="G17" s="17">
        <f t="shared" si="0"/>
        <v>-1941116259</v>
      </c>
      <c r="H17" s="122"/>
      <c r="O17" s="8" t="s">
        <v>491</v>
      </c>
      <c r="P17" s="8" t="s">
        <v>1629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-1571691046</v>
      </c>
      <c r="E18" s="25">
        <f>SUMIFS('Daftar Koreksi'!$I$5:$I$92,'Daftar Koreksi'!$D$5:$D$92,'1400'!A4,'Daftar Koreksi'!$G$5:$G$92,"Gedung dan Bangunan",'Daftar Koreksi'!$I$5:$I$92,"&gt;0")</f>
        <v>0</v>
      </c>
      <c r="F18" s="25">
        <f>SUMIFS('Daftar Koreksi'!$I$5:$I$92,'Daftar Koreksi'!$D$5:$D$92,'1400'!A4,'Daftar Koreksi'!$G$5:$G$92,"Gedung dan Bangunan",'Daftar Koreksi'!$I$5:$I$92,"&lt;0")-SUMIFS('Daftar Koreksi'!$I$5:$I$92,'Daftar Koreksi'!$D$5:$D$92,'1400'!A4,'Daftar Koreksi'!$G$5:$G$92,"Gedung dan Bangunan",'Daftar Koreksi'!$I$5:$I$92,"&lt;0")-SUMIFS('Daftar Koreksi'!$I$5:$I$92,'Daftar Koreksi'!$D$5:$D$92,'1400'!A4,'Daftar Koreksi'!$G$5:$G$92,"Gedung dan Bangunan",'Daftar Koreksi'!$I$5:$I$92,"&lt;0")</f>
        <v>0</v>
      </c>
      <c r="G18" s="17">
        <f t="shared" si="0"/>
        <v>-1571691046</v>
      </c>
      <c r="H18" s="122"/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-69134174</v>
      </c>
      <c r="E19" s="25">
        <f>SUMIFS('Daftar Koreksi'!$I$5:$I$92,'Daftar Koreksi'!$D$5:$D$92,'1400'!A4,'Daftar Koreksi'!$G$5:$G$92,"Jalan Irigasi Jaringan",'Daftar Koreksi'!$I$5:$I$92,"&gt;0")</f>
        <v>0</v>
      </c>
      <c r="F19" s="25">
        <f>SUMIFS('Daftar Koreksi'!$I$5:$I$92,'Daftar Koreksi'!$D$5:$D$92,'1400'!A4,'Daftar Koreksi'!$G$5:$G$92,"Jalan Irigasi Jaringan",'Daftar Koreksi'!$I$5:$I$92,"&lt;0")-SUMIFS('Daftar Koreksi'!$I$5:$I$92,'Daftar Koreksi'!$D$5:$D$92,'1400'!A4,'Daftar Koreksi'!$G$5:$G$92,"Jalan Irigasi Jaringan",'Daftar Koreksi'!$I$5:$I$92,"&lt;0")-SUMIFS('Daftar Koreksi'!$I$5:$I$92,'Daftar Koreksi'!$D$5:$D$92,'1400'!A4,'Daftar Koreksi'!$G$5:$G$92,"Jalan Irigasi Jaringan",'Daftar Koreksi'!$I$5:$I$92,"&lt;0")</f>
        <v>0</v>
      </c>
      <c r="G19" s="17">
        <f t="shared" si="0"/>
        <v>-69134174</v>
      </c>
      <c r="H19" s="122"/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Koreksi'!$D$5:$D$92,'1400'!A4,'Daftar Koreksi'!$G$5:$G$92,"Aset Tetap Lainnya",'Daftar Koreksi'!$I$5:$I$92,"&gt;0")</f>
        <v>0</v>
      </c>
      <c r="F20" s="25">
        <f>SUMIFS('Daftar Koreksi'!$I$5:$I$92,'Daftar Koreksi'!$D$5:$D$92,'1400'!A4,'Daftar Koreksi'!$G$5:$G$92,"Aset Tetap Lainnya",'Daftar Koreksi'!$I$5:$I$92,"&lt;0")-SUMIFS('Daftar Koreksi'!$I$5:$I$92,'Daftar Koreksi'!$D$5:$D$92,'1400'!A4,'Daftar Koreksi'!$G$5:$G$92,"Aset Tetap Lainnya",'Daftar Koreksi'!$I$5:$I$92,"&lt;0")-SUMIFS('Daftar Koreksi'!$I$5:$I$92,'Daftar Koreksi'!$D$5:$D$92,'1400'!A4,'Daftar Koreksi'!$G$5:$G$92,"Aset Tetap Lainnya",'Daftar Koreksi'!$I$5:$I$92,"&lt;0")</f>
        <v>0</v>
      </c>
      <c r="G20" s="17">
        <f t="shared" si="0"/>
        <v>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-17500000</v>
      </c>
      <c r="E21" s="25">
        <f>SUMIFS('Daftar Koreksi'!$I$5:$I$92,'Daftar Koreksi'!$D$5:$D$92,'1400'!A4,'Daftar Koreksi'!$G$5:$G$92,"Aset Henti Guna",'Daftar Koreksi'!$I$5:$I$92,"&gt;0")</f>
        <v>0</v>
      </c>
      <c r="F21" s="25">
        <f>SUMIFS('Daftar Koreksi'!$I$5:$I$92,'Daftar Koreksi'!$D$5:$D$92,'1400'!A4,'Daftar Koreksi'!$G$5:$G$92,"Aset Henti Guna",'Daftar Koreksi'!$I$5:$I$92,"&lt;0")-SUMIFS('Daftar Koreksi'!$I$5:$I$92,'Daftar Koreksi'!$D$5:$D$92,'1400'!A4,'Daftar Koreksi'!$G$5:$G$92,"Aset Henti Guna",'Daftar Koreksi'!$I$5:$I$92,"&lt;0")-SUMIFS('Daftar Koreksi'!$I$5:$I$92,'Daftar Koreksi'!$D$5:$D$92,'1400'!A4,'Daftar Koreksi'!$G$5:$G$92,"Aset Henti Guna",'Daftar Koreksi'!$I$5:$I$92,"&lt;0")</f>
        <v>0</v>
      </c>
      <c r="G21" s="17">
        <f t="shared" si="0"/>
        <v>-17500000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-3599441479</v>
      </c>
      <c r="E22" s="19">
        <f>SUM(E17:E21)</f>
        <v>0</v>
      </c>
      <c r="F22" s="19">
        <f>SUM(F17:F21)</f>
        <v>0</v>
      </c>
      <c r="G22" s="19">
        <f t="shared" si="0"/>
        <v>-3599441479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23163153625</v>
      </c>
      <c r="E23" s="19">
        <f>E22+E16</f>
        <v>0</v>
      </c>
      <c r="F23" s="19">
        <f>F22+F16</f>
        <v>0</v>
      </c>
      <c r="G23" s="19">
        <f t="shared" si="0"/>
        <v>23163153625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005011400099134000KD</v>
      </c>
      <c r="B26" s="11" t="str">
        <f>P2</f>
        <v>PN. Pangkalan Bun</v>
      </c>
      <c r="C26" s="12" t="str">
        <f>A26&amp;" "&amp;B26</f>
        <v>005011400099134000KD PN. Pangkalan Bun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10551379</v>
      </c>
      <c r="E29" s="25">
        <f>SUMIFS('Daftar Koreksi'!$H$5:$H$92,'Daftar Koreksi'!$D$5:$D$92,'1400'!A26,'Daftar Koreksi'!$G$5:$G$92,"Persediaan",'Daftar Koreksi'!$H$5:$H$92,"&gt;0")</f>
        <v>0</v>
      </c>
      <c r="F29" s="25">
        <f>SUMIFS('Daftar Koreksi'!$H$5:$H$92,'Daftar Koreksi'!$D$5:$D$92,'1400'!A26,'Daftar Koreksi'!$G$5:$G$92,"Persediaan",'Daftar Koreksi'!$H$5:$H$92,"&lt;0")-SUMIFS('Daftar Koreksi'!$H$5:$H$92,'Daftar Koreksi'!$D$5:$D$92,'1400'!A26,'Daftar Koreksi'!$G$5:$G$92,"Persediaan",'Daftar Koreksi'!$H$5:$H$92,"&lt;0")-SUMIFS('Daftar Koreksi'!$H$5:$H$92,'Daftar Koreksi'!$D$5:$D$92,'1400'!A26,'Daftar Koreksi'!$G$5:$G$92,"Persediaan",'Daftar Koreksi'!$H$5:$H$92,"&lt;0")</f>
        <v>0</v>
      </c>
      <c r="G29" s="17">
        <f>D29+E29-F29</f>
        <v>10551379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6125391600</v>
      </c>
      <c r="E30" s="25">
        <f>SUMIFS('Daftar Koreksi'!$H$5:$H$92,'Daftar Koreksi'!$D$5:$D$92,'1400'!A26,'Daftar Koreksi'!$G$5:$G$92,"Tanah",'Daftar Koreksi'!$H$5:$H$92,"&gt;0")</f>
        <v>0</v>
      </c>
      <c r="F30" s="25">
        <f>SUMIFS('Daftar Koreksi'!$H$5:$H$92,'Daftar Koreksi'!$D$5:$D$92,'1400'!A26,'Daftar Koreksi'!$G$5:$G$92,"Tanah",'Daftar Koreksi'!$H$5:$H$92,"&lt;0")-SUMIFS('Daftar Koreksi'!$H$5:$H$92,'Daftar Koreksi'!$D$5:$D$92,'1400'!A26,'Daftar Koreksi'!$G$5:$G$92,"Tanah",'Daftar Koreksi'!$H$5:$H$92,"&lt;0")-SUMIFS('Daftar Koreksi'!$H$5:$H$92,'Daftar Koreksi'!$D$5:$D$92,'1400'!A26,'Daftar Koreksi'!$G$5:$G$92,"Tanah",'Daftar Koreksi'!$H$5:$H$92,"&lt;0")</f>
        <v>0</v>
      </c>
      <c r="G30" s="17">
        <f t="shared" ref="G30:G46" si="1">D30+E30-F30</f>
        <v>6125391600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856006328</v>
      </c>
      <c r="E31" s="25">
        <f>SUMIFS('Daftar Koreksi'!$H$5:$H$92,'Daftar Koreksi'!$D$5:$D$92,'1400'!A26,'Daftar Koreksi'!$G$5:$G$92,"Peralatan dan mesin",'Daftar Koreksi'!$H$5:$H$92,"&gt;0")</f>
        <v>0</v>
      </c>
      <c r="F31" s="25">
        <f>SUMIFS('Daftar Koreksi'!$H$5:$H$92,'Daftar Koreksi'!$D$5:$D$92,'1400'!A26,'Daftar Koreksi'!$G$5:$G$92,"Peralatan dan mesin",'Daftar Koreksi'!$H$5:$H$92,"&lt;0")-SUMIFS('Daftar Koreksi'!$H$5:$H$92,'Daftar Koreksi'!$D$5:$D$92,'1400'!A26,'Daftar Koreksi'!$G$5:$G$92,"Peralatan dan mesin",'Daftar Koreksi'!$H$5:$H$92,"&lt;0")-SUMIFS('Daftar Koreksi'!$H$5:$H$92,'Daftar Koreksi'!$D$5:$D$92,'1400'!A26,'Daftar Koreksi'!$G$5:$G$92,"Peralatan dan mesin",'Daftar Koreksi'!$H$5:$H$92,"&lt;0")</f>
        <v>0</v>
      </c>
      <c r="G31" s="17">
        <f t="shared" si="1"/>
        <v>856006328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4574179476</v>
      </c>
      <c r="E32" s="25">
        <f>SUMIFS('Daftar Koreksi'!$H$5:$H$92,'Daftar Koreksi'!$D$5:$D$92,'1400'!A26,'Daftar Koreksi'!$G$5:$G$92,"Gedung dan Bangunan",'Daftar Koreksi'!$H$5:$H$92,"&gt;0")</f>
        <v>0</v>
      </c>
      <c r="F32" s="25">
        <f>SUMIFS('Daftar Koreksi'!$H$5:$H$92,'Daftar Koreksi'!$D$5:$D$92,'1400'!A26,'Daftar Koreksi'!$G$5:$G$92,"Gedung dan Bangunan",'Daftar Koreksi'!$H$5:$H$92,"&lt;0")-SUMIFS('Daftar Koreksi'!$H$5:$H$92,'Daftar Koreksi'!$D$5:$D$92,'1400'!A26,'Daftar Koreksi'!$G$5:$G$92,"Gedung dan Bangunan",'Daftar Koreksi'!$H$5:$H$92,"&lt;0")-SUMIFS('Daftar Koreksi'!$H$5:$H$92,'Daftar Koreksi'!$D$5:$D$92,'1400'!A26,'Daftar Koreksi'!$G$5:$G$92,"Gedung dan Bangunan",'Daftar Koreksi'!$H$5:$H$92,"&lt;0")</f>
        <v>0</v>
      </c>
      <c r="G32" s="17">
        <f t="shared" si="1"/>
        <v>4574179476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259408636</v>
      </c>
      <c r="E33" s="25">
        <f>SUMIFS('Daftar Koreksi'!$H$5:$H$92,'Daftar Koreksi'!$D$5:$D$92,'1400'!A26,'Daftar Koreksi'!$G$5:$G$92,"Jalan Irigasi Jaringan",'Daftar Koreksi'!$H$5:$H$92,"&gt;0")</f>
        <v>0</v>
      </c>
      <c r="F33" s="25">
        <f>SUMIFS('Daftar Koreksi'!$H$5:$H$92,'Daftar Koreksi'!$D$5:$D$92,'1400'!A26,'Daftar Koreksi'!$G$5:$G$92,"Jalan Irigasi Jaringan",'Daftar Koreksi'!$H$5:$H$92,"&lt;0")-SUMIFS('Daftar Koreksi'!$H$5:$H$92,'Daftar Koreksi'!$D$5:$D$92,'1400'!A26,'Daftar Koreksi'!$G$5:$G$92,"Jalan Irigasi Jaringan",'Daftar Koreksi'!$H$5:$H$92,"&lt;0")-SUMIFS('Daftar Koreksi'!$H$5:$H$92,'Daftar Koreksi'!$D$5:$D$92,'1400'!A26,'Daftar Koreksi'!$G$5:$G$92,"Jalan Irigasi Jaringan",'Daftar Koreksi'!$H$5:$H$92,"&lt;0")</f>
        <v>0</v>
      </c>
      <c r="G33" s="17">
        <f t="shared" si="1"/>
        <v>259408636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7355440</v>
      </c>
      <c r="E34" s="25">
        <f>SUMIFS('Daftar Koreksi'!$H$5:$H$92,'Daftar Koreksi'!$D$5:$D$92,'1400'!A26,'Daftar Koreksi'!$G$5:$G$92,"Aset Tetap Lainnya",'Daftar Koreksi'!$H$5:$H$92,"&gt;0")</f>
        <v>0</v>
      </c>
      <c r="F34" s="25">
        <f>SUMIFS('Daftar Koreksi'!$H$5:$H$92,'Daftar Koreksi'!$D$5:$D$92,'1400'!A26,'Daftar Koreksi'!$G$5:$G$92,"Aset Tetap Lainnya",'Daftar Koreksi'!$H$5:$H$92,"&lt;0")-SUMIFS('Daftar Koreksi'!$H$5:$H$92,'Daftar Koreksi'!$D$5:$D$92,'1400'!A26,'Daftar Koreksi'!$G$5:$G$92,"Aset Tetap Lainnya",'Daftar Koreksi'!$H$5:$H$92,"&lt;0")-SUMIFS('Daftar Koreksi'!$H$5:$H$92,'Daftar Koreksi'!$D$5:$D$92,'1400'!A26,'Daftar Koreksi'!$G$5:$G$92,"Aset Tetap Lainnya",'Daftar Koreksi'!$H$5:$H$92,"&lt;0")</f>
        <v>0</v>
      </c>
      <c r="G34" s="17">
        <f t="shared" si="1"/>
        <v>7355440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Koreksi'!$D$5:$D$92,'1400'!A26,'Daftar Koreksi'!$G$5:$G$92,"Kontruksi Dalam Pengerjaan",'Daftar Koreksi'!$H$5:$H$92,"&gt;0")</f>
        <v>0</v>
      </c>
      <c r="F35" s="25">
        <f>SUMIFS('Daftar Koreksi'!$H$5:$H$92,'Daftar Koreksi'!$D$5:$D$92,'1400'!A26,'Daftar Koreksi'!$G$5:$G$92,"Kontruksi Dalam Pengerjaan",'Daftar Koreksi'!$H$5:$H$92,"&lt;0")-SUMIFS('Daftar Koreksi'!$H$5:$H$92,'Daftar Koreksi'!$D$5:$D$92,'1400'!A26,'Daftar Koreksi'!$G$5:$G$92,"Kontruksi Dalam Pengerjaan",'Daftar Koreksi'!$H$5:$H$92,"&lt;0")-SUMIFS('Daftar Koreksi'!$H$5:$H$92,'Daftar Koreksi'!$D$5:$D$92,'1400'!A26,'Daftar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Koreksi'!$D$5:$D$92,'1400'!A26,'Daftar Koreksi'!$G$5:$G$92,"Aset Tak Berwujud",'Daftar Koreksi'!$H$5:$H$92,"&gt;0")</f>
        <v>0</v>
      </c>
      <c r="F36" s="25">
        <f>SUMIFS('Daftar Koreksi'!$H$5:$H$92,'Daftar Koreksi'!$D$5:$D$92,'1400'!A26,'Daftar Koreksi'!$G$5:$G$92,"Aset Tak Berwujud",'Daftar Koreksi'!$H$5:$H$92,"&lt;0")-SUMIFS('Daftar Koreksi'!$H$5:$H$92,'Daftar Koreksi'!$D$5:$D$92,'1400'!A26,'Daftar Koreksi'!$G$5:$G$92,"Aset Tak Berwujud",'Daftar Koreksi'!$H$5:$H$92,"&lt;0")-SUMIFS('Daftar Koreksi'!$H$5:$H$92,'Daftar Koreksi'!$D$5:$D$92,'1400'!A26,'Daftar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299095000</v>
      </c>
      <c r="E37" s="25">
        <f>SUMIFS('Daftar Koreksi'!$H$5:$H$92,'Daftar Koreksi'!$D$5:$D$92,'1400'!A26,'Daftar Koreksi'!$G$5:$G$92,"Aset Henti Guna",'Daftar Koreksi'!$H$5:$H$92,"&gt;0")</f>
        <v>0</v>
      </c>
      <c r="F37" s="25">
        <f>SUMIFS('Daftar Koreksi'!$H$5:$H$92,'Daftar Koreksi'!$D$5:$D$92,'1400'!A26,'Daftar Koreksi'!$G$5:$G$92,"Aset Henti Guna",'Daftar Koreksi'!$H$5:$H$92,"&lt;0")-SUMIFS('Daftar Koreksi'!$H$5:$H$92,'Daftar Koreksi'!$D$5:$D$92,'1400'!A26,'Daftar Koreksi'!$G$5:$G$92,"Aset Henti Guna",'Daftar Koreksi'!$H$5:$H$92,"&lt;0")-SUMIFS('Daftar Koreksi'!$H$5:$H$92,'Daftar Koreksi'!$D$5:$D$92,'1400'!A26,'Daftar Koreksi'!$G$5:$G$92,"Aset Henti Guna",'Daftar Koreksi'!$H$5:$H$92,"&lt;0")</f>
        <v>0</v>
      </c>
      <c r="G37" s="17">
        <f t="shared" si="1"/>
        <v>299095000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12131987859</v>
      </c>
      <c r="E38" s="19">
        <f>SUM(E29:E37)</f>
        <v>0</v>
      </c>
      <c r="F38" s="19">
        <f>SUM(F29:F37)</f>
        <v>0</v>
      </c>
      <c r="G38" s="19">
        <f t="shared" si="1"/>
        <v>12131987859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-751039929</v>
      </c>
      <c r="E39" s="25">
        <f>SUMIFS('Daftar Koreksi'!$I$5:$I$92,'Daftar Koreksi'!$D$5:$D$92,'1400'!A26,'Daftar Koreksi'!$G$5:$G$92,"Peralatan dan mesin",'Daftar Koreksi'!$I$5:$I$92,"&gt;0")</f>
        <v>0</v>
      </c>
      <c r="F39" s="25">
        <f>SUMIFS('Daftar Koreksi'!$I$5:$I$92,'Daftar Koreksi'!$D$5:$D$92,'1400'!A26,'Daftar Koreksi'!$G$5:$G$92,"Peralatan dan mesin",'Daftar Koreksi'!$I$5:$I$92,"&lt;0")-SUMIFS('Daftar Koreksi'!$I$5:$I$92,'Daftar Koreksi'!$D$5:$D$92,'1400'!A26,'Daftar Koreksi'!$G$5:$G$92,"Peralatan dan mesin",'Daftar Koreksi'!$I$5:$I$92,"&lt;0")-SUMIFS('Daftar Koreksi'!$I$5:$I$92,'Daftar Koreksi'!$D$5:$D$92,'1400'!A26,'Daftar Koreksi'!$G$5:$G$92,"Peralatan dan mesin",'Daftar Koreksi'!$I$5:$I$92,"&lt;0")</f>
        <v>0</v>
      </c>
      <c r="G39" s="17">
        <f t="shared" si="1"/>
        <v>-751039929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-1384976521</v>
      </c>
      <c r="E40" s="25">
        <f>SUMIFS('Daftar Koreksi'!$I$5:$I$92,'Daftar Koreksi'!$D$5:$D$92,'1400'!A26,'Daftar Koreksi'!$G$5:$G$92,"Gedung dan Bangunan",'Daftar Koreksi'!$I$5:$I$92,"&gt;0")</f>
        <v>0</v>
      </c>
      <c r="F40" s="25">
        <f>SUMIFS('Daftar Koreksi'!$I$5:$I$92,'Daftar Koreksi'!$D$5:$D$92,'1400'!A26,'Daftar Koreksi'!$G$5:$G$92,"Gedung dan Bangunan",'Daftar Koreksi'!$I$5:$I$92,"&lt;0")-SUMIFS('Daftar Koreksi'!$I$5:$I$92,'Daftar Koreksi'!$D$5:$D$92,'1400'!A26,'Daftar Koreksi'!$G$5:$G$92,"Gedung dan Bangunan",'Daftar Koreksi'!$I$5:$I$92,"&lt;0")-SUMIFS('Daftar Koreksi'!$I$5:$I$92,'Daftar Koreksi'!$D$5:$D$92,'1400'!A26,'Daftar Koreksi'!$G$5:$G$92,"Gedung dan Bangunan",'Daftar Koreksi'!$I$5:$I$92,"&lt;0")</f>
        <v>0</v>
      </c>
      <c r="G40" s="17">
        <f t="shared" si="1"/>
        <v>-1384976521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-168615616</v>
      </c>
      <c r="E41" s="25">
        <f>SUMIFS('Daftar Koreksi'!$I$5:$I$92,'Daftar Koreksi'!$D$5:$D$92,'1400'!A26,'Daftar Koreksi'!$G$5:$G$92,"Jalan Irigasi Jaringan",'Daftar Koreksi'!$I$5:$I$92,"&gt;0")</f>
        <v>0</v>
      </c>
      <c r="F41" s="25">
        <f>SUMIFS('Daftar Koreksi'!$I$5:$I$92,'Daftar Koreksi'!$D$5:$D$92,'1400'!A26,'Daftar Koreksi'!$G$5:$G$92,"Jalan Irigasi Jaringan",'Daftar Koreksi'!$I$5:$I$92,"&lt;0")-SUMIFS('Daftar Koreksi'!$I$5:$I$92,'Daftar Koreksi'!$D$5:$D$92,'1400'!A26,'Daftar Koreksi'!$G$5:$G$92,"Jalan Irigasi Jaringan",'Daftar Koreksi'!$I$5:$I$92,"&lt;0")-SUMIFS('Daftar Koreksi'!$I$5:$I$92,'Daftar Koreksi'!$D$5:$D$92,'1400'!A26,'Daftar Koreksi'!$G$5:$G$92,"Jalan Irigasi Jaringan",'Daftar Koreksi'!$I$5:$I$92,"&lt;0")</f>
        <v>0</v>
      </c>
      <c r="G41" s="17">
        <f t="shared" si="1"/>
        <v>-168615616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Koreksi'!$D$5:$D$92,'1400'!A26,'Daftar Koreksi'!$G$5:$G$92,"Aset Tetap Lainnya",'Daftar Koreksi'!$I$5:$I$92,"&gt;0")</f>
        <v>0</v>
      </c>
      <c r="F42" s="25">
        <f>SUMIFS('Daftar Koreksi'!$I$5:$I$92,'Daftar Koreksi'!$D$5:$D$92,'1400'!A26,'Daftar Koreksi'!$G$5:$G$92,"Aset Tetap Lainnya",'Daftar Koreksi'!$I$5:$I$92,"&lt;0")-SUMIFS('Daftar Koreksi'!$I$5:$I$92,'Daftar Koreksi'!$D$5:$D$92,'1400'!A26,'Daftar Koreksi'!$G$5:$G$92,"Aset Tetap Lainnya",'Daftar Koreksi'!$I$5:$I$92,"&lt;0")-SUMIFS('Daftar Koreksi'!$I$5:$I$92,'Daftar Koreksi'!$D$5:$D$92,'1400'!A26,'Daftar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-161442562</v>
      </c>
      <c r="E43" s="25">
        <f>SUMIFS('Daftar Koreksi'!$I$5:$I$92,'Daftar Koreksi'!$D$5:$D$92,'1400'!A26,'Daftar Koreksi'!$G$5:$G$92,"Aset Henti Guna",'Daftar Koreksi'!$I$5:$I$92,"&gt;0")</f>
        <v>0</v>
      </c>
      <c r="F43" s="25">
        <f>SUMIFS('Daftar Koreksi'!$I$5:$I$92,'Daftar Koreksi'!$D$5:$D$92,'1400'!A26,'Daftar Koreksi'!$G$5:$G$92,"Aset Henti Guna",'Daftar Koreksi'!$I$5:$I$92,"&lt;0")-SUMIFS('Daftar Koreksi'!$I$5:$I$92,'Daftar Koreksi'!$D$5:$D$92,'1400'!A26,'Daftar Koreksi'!$G$5:$G$92,"Aset Henti Guna",'Daftar Koreksi'!$I$5:$I$92,"&lt;0")-SUMIFS('Daftar Koreksi'!$I$5:$I$92,'Daftar Koreksi'!$D$5:$D$92,'1400'!A26,'Daftar Koreksi'!$G$5:$G$92,"Aset Henti Guna",'Daftar Koreksi'!$I$5:$I$92,"&lt;0")</f>
        <v>0</v>
      </c>
      <c r="G43" s="17">
        <f t="shared" si="1"/>
        <v>-161442562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-2466074628</v>
      </c>
      <c r="E44" s="19">
        <f>SUM(E39:E43)</f>
        <v>0</v>
      </c>
      <c r="F44" s="19">
        <f>SUM(F39:F43)</f>
        <v>0</v>
      </c>
      <c r="G44" s="19">
        <f t="shared" si="1"/>
        <v>-2466074628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9665913231</v>
      </c>
      <c r="E45" s="19">
        <f>E44+E38</f>
        <v>0</v>
      </c>
      <c r="F45" s="19">
        <f>F44+F38</f>
        <v>0</v>
      </c>
      <c r="G45" s="19">
        <f t="shared" si="1"/>
        <v>9665913231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005011400099141000KD</v>
      </c>
      <c r="B48" s="11" t="str">
        <f>P3</f>
        <v>PN. Muara Tewe</v>
      </c>
      <c r="C48" s="12" t="str">
        <f>A48&amp;" "&amp;B48</f>
        <v>005011400099141000KD PN. Muara Tewe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3592700</v>
      </c>
      <c r="E51" s="25">
        <f>SUMIFS('Daftar Koreksi'!$H$5:$H$92,'Daftar Koreksi'!$D$5:$D$92,'1400'!A48,'Daftar Koreksi'!$G$5:$G$92,"Persediaan",'Daftar Koreksi'!$H$5:$H$92,"&gt;0")</f>
        <v>0</v>
      </c>
      <c r="F51" s="25">
        <f>SUMIFS('Daftar Koreksi'!$H$5:$H$92,'Daftar Koreksi'!$D$5:$D$92,'1400'!A48,'Daftar Koreksi'!$G$5:$G$92,"Persediaan",'Daftar Koreksi'!$H$5:$H$92,"&lt;0")-SUMIFS('Daftar Koreksi'!$H$5:$H$92,'Daftar Koreksi'!$D$5:$D$92,'1400'!A48,'Daftar Koreksi'!$G$5:$G$92,"Persediaan",'Daftar Koreksi'!$H$5:$H$92,"&lt;0")-SUMIFS('Daftar Koreksi'!$H$5:$H$92,'Daftar Koreksi'!$D$5:$D$92,'1400'!A48,'Daftar Koreksi'!$G$5:$G$92,"Persediaan",'Daftar Koreksi'!$H$5:$H$92,"&lt;0")</f>
        <v>0</v>
      </c>
      <c r="G51" s="17">
        <f>D51+E51-F51</f>
        <v>3592700</v>
      </c>
      <c r="H51" s="121" t="str">
        <f>IF(ISNA(VLOOKUP(A48,'Mutasi Neraca'!$A$3:$S$914,19,FALSE)),"-",VLOOKUP(A48,'Mutasi Neraca'!$A$3:$S$914,19,FALSE))</f>
        <v>Tp. No 11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2636190000</v>
      </c>
      <c r="E52" s="25">
        <f>SUMIFS('Daftar Koreksi'!$H$5:$H$92,'Daftar Koreksi'!$D$5:$D$92,'1400'!A48,'Daftar Koreksi'!$G$5:$G$92,"Tanah",'Daftar Koreksi'!$H$5:$H$92,"&gt;0")</f>
        <v>0</v>
      </c>
      <c r="F52" s="25">
        <f>SUMIFS('Daftar Koreksi'!$H$5:$H$92,'Daftar Koreksi'!$D$5:$D$92,'1400'!A48,'Daftar Koreksi'!$G$5:$G$92,"Tanah",'Daftar Koreksi'!$H$5:$H$92,"&lt;0")-SUMIFS('Daftar Koreksi'!$H$5:$H$92,'Daftar Koreksi'!$D$5:$D$92,'1400'!A48,'Daftar Koreksi'!$G$5:$G$92,"Tanah",'Daftar Koreksi'!$H$5:$H$92,"&lt;0")-SUMIFS('Daftar Koreksi'!$H$5:$H$92,'Daftar Koreksi'!$D$5:$D$92,'1400'!A48,'Daftar Koreksi'!$G$5:$G$92,"Tanah",'Daftar Koreksi'!$H$5:$H$92,"&lt;0")</f>
        <v>0</v>
      </c>
      <c r="G52" s="17">
        <f t="shared" ref="G52:G68" si="2">D52+E52-F52</f>
        <v>2636190000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1248856426</v>
      </c>
      <c r="E53" s="25">
        <f>SUMIFS('Daftar Koreksi'!$H$5:$H$92,'Daftar Koreksi'!$D$5:$D$92,'1400'!A48,'Daftar Koreksi'!$G$5:$G$92,"Peralatan dan mesin",'Daftar Koreksi'!$H$5:$H$92,"&gt;0")</f>
        <v>0</v>
      </c>
      <c r="F53" s="25">
        <f>SUMIFS('Daftar Koreksi'!$H$5:$H$92,'Daftar Koreksi'!$D$5:$D$92,'1400'!A48,'Daftar Koreksi'!$G$5:$G$92,"Peralatan dan mesin",'Daftar Koreksi'!$H$5:$H$92,"&lt;0")-SUMIFS('Daftar Koreksi'!$H$5:$H$92,'Daftar Koreksi'!$D$5:$D$92,'1400'!A48,'Daftar Koreksi'!$G$5:$G$92,"Peralatan dan mesin",'Daftar Koreksi'!$H$5:$H$92,"&lt;0")-SUMIFS('Daftar Koreksi'!$H$5:$H$92,'Daftar Koreksi'!$D$5:$D$92,'1400'!A48,'Daftar Koreksi'!$G$5:$G$92,"Peralatan dan mesin",'Daftar Koreksi'!$H$5:$H$92,"&lt;0")</f>
        <v>0</v>
      </c>
      <c r="G53" s="17">
        <f t="shared" si="2"/>
        <v>1248856426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1979466900</v>
      </c>
      <c r="E54" s="25">
        <f>SUMIFS('Daftar Koreksi'!$H$5:$H$92,'Daftar Koreksi'!$D$5:$D$92,'1400'!A48,'Daftar Koreksi'!$G$5:$G$92,"Gedung dan Bangunan",'Daftar Koreksi'!$H$5:$H$92,"&gt;0")</f>
        <v>0</v>
      </c>
      <c r="F54" s="25">
        <f>SUMIFS('Daftar Koreksi'!$H$5:$H$92,'Daftar Koreksi'!$D$5:$D$92,'1400'!A48,'Daftar Koreksi'!$G$5:$G$92,"Gedung dan Bangunan",'Daftar Koreksi'!$H$5:$H$92,"&lt;0")-SUMIFS('Daftar Koreksi'!$H$5:$H$92,'Daftar Koreksi'!$D$5:$D$92,'1400'!A48,'Daftar Koreksi'!$G$5:$G$92,"Gedung dan Bangunan",'Daftar Koreksi'!$H$5:$H$92,"&lt;0")-SUMIFS('Daftar Koreksi'!$H$5:$H$92,'Daftar Koreksi'!$D$5:$D$92,'1400'!A48,'Daftar Koreksi'!$G$5:$G$92,"Gedung dan Bangunan",'Daftar Koreksi'!$H$5:$H$92,"&lt;0")</f>
        <v>696308400</v>
      </c>
      <c r="G54" s="17">
        <f t="shared" si="2"/>
        <v>1283158500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49750000</v>
      </c>
      <c r="E55" s="25">
        <f>SUMIFS('Daftar Koreksi'!$H$5:$H$92,'Daftar Koreksi'!$D$5:$D$92,'1400'!A48,'Daftar Koreksi'!$G$5:$G$92,"Jalan Irigasi Jaringan",'Daftar Koreksi'!$H$5:$H$92,"&gt;0")</f>
        <v>0</v>
      </c>
      <c r="F55" s="25">
        <f>SUMIFS('Daftar Koreksi'!$H$5:$H$92,'Daftar Koreksi'!$D$5:$D$92,'1400'!A48,'Daftar Koreksi'!$G$5:$G$92,"Jalan Irigasi Jaringan",'Daftar Koreksi'!$H$5:$H$92,"&lt;0")-SUMIFS('Daftar Koreksi'!$H$5:$H$92,'Daftar Koreksi'!$D$5:$D$92,'1400'!A48,'Daftar Koreksi'!$G$5:$G$92,"Jalan Irigasi Jaringan",'Daftar Koreksi'!$H$5:$H$92,"&lt;0")-SUMIFS('Daftar Koreksi'!$H$5:$H$92,'Daftar Koreksi'!$D$5:$D$92,'1400'!A48,'Daftar Koreksi'!$G$5:$G$92,"Jalan Irigasi Jaringan",'Daftar Koreksi'!$H$5:$H$92,"&lt;0")</f>
        <v>0</v>
      </c>
      <c r="G55" s="17">
        <f t="shared" si="2"/>
        <v>49750000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19340440</v>
      </c>
      <c r="E56" s="25">
        <f>SUMIFS('Daftar Koreksi'!$H$5:$H$92,'Daftar Koreksi'!$D$5:$D$92,'1400'!A48,'Daftar Koreksi'!$G$5:$G$92,"Aset Tetap Lainnya",'Daftar Koreksi'!$H$5:$H$92,"&gt;0")</f>
        <v>0</v>
      </c>
      <c r="F56" s="25">
        <f>SUMIFS('Daftar Koreksi'!$H$5:$H$92,'Daftar Koreksi'!$D$5:$D$92,'1400'!A48,'Daftar Koreksi'!$G$5:$G$92,"Aset Tetap Lainnya",'Daftar Koreksi'!$H$5:$H$92,"&lt;0")-SUMIFS('Daftar Koreksi'!$H$5:$H$92,'Daftar Koreksi'!$D$5:$D$92,'1400'!A48,'Daftar Koreksi'!$G$5:$G$92,"Aset Tetap Lainnya",'Daftar Koreksi'!$H$5:$H$92,"&lt;0")-SUMIFS('Daftar Koreksi'!$H$5:$H$92,'Daftar Koreksi'!$D$5:$D$92,'1400'!A48,'Daftar Koreksi'!$G$5:$G$92,"Aset Tetap Lainnya",'Daftar Koreksi'!$H$5:$H$92,"&lt;0")</f>
        <v>0</v>
      </c>
      <c r="G56" s="17">
        <f t="shared" si="2"/>
        <v>19340440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8641985615</v>
      </c>
      <c r="E57" s="25">
        <f>SUMIFS('Daftar Koreksi'!$H$5:$H$92,'Daftar Koreksi'!$D$5:$D$92,'1400'!A48,'Daftar Koreksi'!$G$5:$G$92,"Kontruksi Dalam Pengerjaan",'Daftar Koreksi'!$H$5:$H$92,"&gt;0")</f>
        <v>0</v>
      </c>
      <c r="F57" s="25">
        <f>SUMIFS('Daftar Koreksi'!$H$5:$H$92,'Daftar Koreksi'!$D$5:$D$92,'1400'!A48,'Daftar Koreksi'!$G$5:$G$92,"Kontruksi Dalam Pengerjaan",'Daftar Koreksi'!$H$5:$H$92,"&lt;0")-SUMIFS('Daftar Koreksi'!$H$5:$H$92,'Daftar Koreksi'!$D$5:$D$92,'1400'!A48,'Daftar Koreksi'!$G$5:$G$92,"Kontruksi Dalam Pengerjaan",'Daftar Koreksi'!$H$5:$H$92,"&lt;0")-SUMIFS('Daftar Koreksi'!$H$5:$H$92,'Daftar Koreksi'!$D$5:$D$92,'1400'!A48,'Daftar Koreksi'!$G$5:$G$92,"Kontruksi Dalam Pengerjaan",'Daftar Koreksi'!$H$5:$H$92,"&lt;0")</f>
        <v>0</v>
      </c>
      <c r="G57" s="17">
        <f t="shared" si="2"/>
        <v>8641985615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Koreksi'!$D$5:$D$92,'1400'!A48,'Daftar Koreksi'!$G$5:$G$92,"Aset Tak Berwujud",'Daftar Koreksi'!$H$5:$H$92,"&gt;0")</f>
        <v>0</v>
      </c>
      <c r="F58" s="25">
        <f>SUMIFS('Daftar Koreksi'!$H$5:$H$92,'Daftar Koreksi'!$D$5:$D$92,'1400'!A48,'Daftar Koreksi'!$G$5:$G$92,"Aset Tak Berwujud",'Daftar Koreksi'!$H$5:$H$92,"&lt;0")-SUMIFS('Daftar Koreksi'!$H$5:$H$92,'Daftar Koreksi'!$D$5:$D$92,'1400'!A48,'Daftar Koreksi'!$G$5:$G$92,"Aset Tak Berwujud",'Daftar Koreksi'!$H$5:$H$92,"&lt;0")-SUMIFS('Daftar Koreksi'!$H$5:$H$92,'Daftar Koreksi'!$D$5:$D$92,'1400'!A48,'Daftar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16653000</v>
      </c>
      <c r="E59" s="25">
        <f>SUMIFS('Daftar Koreksi'!$H$5:$H$92,'Daftar Koreksi'!$D$5:$D$92,'1400'!A48,'Daftar Koreksi'!$G$5:$G$92,"Aset Henti Guna",'Daftar Koreksi'!$H$5:$H$92,"&gt;0")</f>
        <v>0</v>
      </c>
      <c r="F59" s="25">
        <f>SUMIFS('Daftar Koreksi'!$H$5:$H$92,'Daftar Koreksi'!$D$5:$D$92,'1400'!A48,'Daftar Koreksi'!$G$5:$G$92,"Aset Henti Guna",'Daftar Koreksi'!$H$5:$H$92,"&lt;0")-SUMIFS('Daftar Koreksi'!$H$5:$H$92,'Daftar Koreksi'!$D$5:$D$92,'1400'!A48,'Daftar Koreksi'!$G$5:$G$92,"Aset Henti Guna",'Daftar Koreksi'!$H$5:$H$92,"&lt;0")-SUMIFS('Daftar Koreksi'!$H$5:$H$92,'Daftar Koreksi'!$D$5:$D$92,'1400'!A48,'Daftar Koreksi'!$G$5:$G$92,"Aset Henti Guna",'Daftar Koreksi'!$H$5:$H$92,"&lt;0")</f>
        <v>0</v>
      </c>
      <c r="G59" s="17">
        <f t="shared" si="2"/>
        <v>16653000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14595835081</v>
      </c>
      <c r="E60" s="19">
        <f>SUM(E51:E59)</f>
        <v>0</v>
      </c>
      <c r="F60" s="19">
        <f>SUM(F51:F59)</f>
        <v>696308400</v>
      </c>
      <c r="G60" s="19">
        <f t="shared" si="2"/>
        <v>13899526681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-1032907197</v>
      </c>
      <c r="E61" s="25">
        <f>SUMIFS('Daftar Koreksi'!$I$5:$I$92,'Daftar Koreksi'!$D$5:$D$92,'1400'!A48,'Daftar Koreksi'!$G$5:$G$92,"Peralatan dan mesin",'Daftar Koreksi'!$I$5:$I$92,"&gt;0")</f>
        <v>0</v>
      </c>
      <c r="F61" s="25">
        <f>SUMIFS('Daftar Koreksi'!$I$5:$I$92,'Daftar Koreksi'!$D$5:$D$92,'1400'!A48,'Daftar Koreksi'!$G$5:$G$92,"Peralatan dan mesin",'Daftar Koreksi'!$I$5:$I$92,"&lt;0")-SUMIFS('Daftar Koreksi'!$I$5:$I$92,'Daftar Koreksi'!$D$5:$D$92,'1400'!A48,'Daftar Koreksi'!$G$5:$G$92,"Peralatan dan mesin",'Daftar Koreksi'!$I$5:$I$92,"&lt;0")-SUMIFS('Daftar Koreksi'!$I$5:$I$92,'Daftar Koreksi'!$D$5:$D$92,'1400'!A48,'Daftar Koreksi'!$G$5:$G$92,"Peralatan dan mesin",'Daftar Koreksi'!$I$5:$I$92,"&lt;0")</f>
        <v>0</v>
      </c>
      <c r="G61" s="17">
        <f t="shared" si="2"/>
        <v>-1032907197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-433840733</v>
      </c>
      <c r="E62" s="25">
        <f>SUMIFS('Daftar Koreksi'!$I$5:$I$92,'Daftar Koreksi'!$D$5:$D$92,'1400'!A48,'Daftar Koreksi'!$G$5:$G$92,"Gedung dan Bangunan",'Daftar Koreksi'!$I$5:$I$92,"&gt;0")</f>
        <v>139409828</v>
      </c>
      <c r="F62" s="25">
        <f>SUMIFS('Daftar Koreksi'!$I$5:$I$92,'Daftar Koreksi'!$D$5:$D$92,'1400'!A48,'Daftar Koreksi'!$G$5:$G$92,"Gedung dan Bangunan",'Daftar Koreksi'!$I$5:$I$92,"&lt;0")-SUMIFS('Daftar Koreksi'!$I$5:$I$92,'Daftar Koreksi'!$D$5:$D$92,'1400'!A48,'Daftar Koreksi'!$G$5:$G$92,"Gedung dan Bangunan",'Daftar Koreksi'!$I$5:$I$92,"&lt;0")-SUMIFS('Daftar Koreksi'!$I$5:$I$92,'Daftar Koreksi'!$D$5:$D$92,'1400'!A48,'Daftar Koreksi'!$G$5:$G$92,"Gedung dan Bangunan",'Daftar Koreksi'!$I$5:$I$92,"&lt;0")</f>
        <v>0</v>
      </c>
      <c r="G62" s="17">
        <f t="shared" si="2"/>
        <v>-294430905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-4975000</v>
      </c>
      <c r="E63" s="25">
        <f>SUMIFS('Daftar Koreksi'!$I$5:$I$92,'Daftar Koreksi'!$D$5:$D$92,'1400'!A48,'Daftar Koreksi'!$G$5:$G$92,"Jalan Irigasi Jaringan",'Daftar Koreksi'!$I$5:$I$92,"&gt;0")</f>
        <v>0</v>
      </c>
      <c r="F63" s="25">
        <f>SUMIFS('Daftar Koreksi'!$I$5:$I$92,'Daftar Koreksi'!$D$5:$D$92,'1400'!A48,'Daftar Koreksi'!$G$5:$G$92,"Jalan Irigasi Jaringan",'Daftar Koreksi'!$I$5:$I$92,"&lt;0")-SUMIFS('Daftar Koreksi'!$I$5:$I$92,'Daftar Koreksi'!$D$5:$D$92,'1400'!A48,'Daftar Koreksi'!$G$5:$G$92,"Jalan Irigasi Jaringan",'Daftar Koreksi'!$I$5:$I$92,"&lt;0")-SUMIFS('Daftar Koreksi'!$I$5:$I$92,'Daftar Koreksi'!$D$5:$D$92,'1400'!A48,'Daftar Koreksi'!$G$5:$G$92,"Jalan Irigasi Jaringan",'Daftar Koreksi'!$I$5:$I$92,"&lt;0")</f>
        <v>0</v>
      </c>
      <c r="G63" s="17">
        <f t="shared" si="2"/>
        <v>-4975000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Koreksi'!$D$5:$D$92,'1400'!A48,'Daftar Koreksi'!$G$5:$G$92,"Aset Tetap Lainnya",'Daftar Koreksi'!$I$5:$I$92,"&gt;0")</f>
        <v>0</v>
      </c>
      <c r="F64" s="25">
        <f>SUMIFS('Daftar Koreksi'!$I$5:$I$92,'Daftar Koreksi'!$D$5:$D$92,'1400'!A48,'Daftar Koreksi'!$G$5:$G$92,"Aset Tetap Lainnya",'Daftar Koreksi'!$I$5:$I$92,"&lt;0")-SUMIFS('Daftar Koreksi'!$I$5:$I$92,'Daftar Koreksi'!$D$5:$D$92,'1400'!A48,'Daftar Koreksi'!$G$5:$G$92,"Aset Tetap Lainnya",'Daftar Koreksi'!$I$5:$I$92,"&lt;0")-SUMIFS('Daftar Koreksi'!$I$5:$I$92,'Daftar Koreksi'!$D$5:$D$92,'1400'!A48,'Daftar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-16653000</v>
      </c>
      <c r="E65" s="25">
        <f>SUMIFS('Daftar Koreksi'!$I$5:$I$92,'Daftar Koreksi'!$D$5:$D$92,'1400'!A48,'Daftar Koreksi'!$G$5:$G$92,"Aset Henti Guna",'Daftar Koreksi'!$I$5:$I$92,"&gt;0")</f>
        <v>0</v>
      </c>
      <c r="F65" s="25">
        <f>SUMIFS('Daftar Koreksi'!$I$5:$I$92,'Daftar Koreksi'!$D$5:$D$92,'1400'!A48,'Daftar Koreksi'!$G$5:$G$92,"Aset Henti Guna",'Daftar Koreksi'!$I$5:$I$92,"&lt;0")-SUMIFS('Daftar Koreksi'!$I$5:$I$92,'Daftar Koreksi'!$D$5:$D$92,'1400'!A48,'Daftar Koreksi'!$G$5:$G$92,"Aset Henti Guna",'Daftar Koreksi'!$I$5:$I$92,"&lt;0")-SUMIFS('Daftar Koreksi'!$I$5:$I$92,'Daftar Koreksi'!$D$5:$D$92,'1400'!A48,'Daftar Koreksi'!$G$5:$G$92,"Aset Henti Guna",'Daftar Koreksi'!$I$5:$I$92,"&lt;0")</f>
        <v>0</v>
      </c>
      <c r="G65" s="17">
        <f t="shared" si="2"/>
        <v>-16653000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-1488375930</v>
      </c>
      <c r="E66" s="19">
        <f>SUM(E61:E65)</f>
        <v>139409828</v>
      </c>
      <c r="F66" s="19">
        <f>SUM(F61:F65)</f>
        <v>0</v>
      </c>
      <c r="G66" s="19">
        <f t="shared" si="2"/>
        <v>-1348966102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13107459151</v>
      </c>
      <c r="E67" s="19">
        <f>E66+E60</f>
        <v>139409828</v>
      </c>
      <c r="F67" s="19">
        <f>F66+F60</f>
        <v>696308400</v>
      </c>
      <c r="G67" s="19">
        <f t="shared" si="2"/>
        <v>12550560579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005011400099155000KD</v>
      </c>
      <c r="B70" s="11" t="str">
        <f>P4</f>
        <v>PN. Kuala Kapuas</v>
      </c>
      <c r="C70" s="12" t="str">
        <f>A70&amp;" "&amp;B70</f>
        <v>005011400099155000KD PN. Kuala Kapuas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2095900</v>
      </c>
      <c r="E73" s="25">
        <f>SUMIFS('Daftar Koreksi'!$H$5:$H$92,'Daftar Koreksi'!$D$5:$D$92,'1400'!A70,'Daftar Koreksi'!$G$5:$G$92,"Persediaan",'Daftar Koreksi'!$H$5:$H$92,"&gt;0")</f>
        <v>0</v>
      </c>
      <c r="F73" s="25">
        <f>SUMIFS('Daftar Koreksi'!$H$5:$H$92,'Daftar Koreksi'!$D$5:$D$92,'1400'!A70,'Daftar Koreksi'!$G$5:$G$92,"Persediaan",'Daftar Koreksi'!$H$5:$H$92,"&lt;0")-SUMIFS('Daftar Koreksi'!$H$5:$H$92,'Daftar Koreksi'!$D$5:$D$92,'1400'!A70,'Daftar Koreksi'!$G$5:$G$92,"Persediaan",'Daftar Koreksi'!$H$5:$H$92,"&lt;0")-SUMIFS('Daftar Koreksi'!$H$5:$H$92,'Daftar Koreksi'!$D$5:$D$92,'1400'!A70,'Daftar Koreksi'!$G$5:$G$92,"Persediaan",'Daftar Koreksi'!$H$5:$H$92,"&lt;0")</f>
        <v>0</v>
      </c>
      <c r="G73" s="17">
        <f>D73+E73-F73</f>
        <v>2095900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2639456084</v>
      </c>
      <c r="E74" s="25">
        <f>SUMIFS('Daftar Koreksi'!$H$5:$H$92,'Daftar Koreksi'!$D$5:$D$92,'1400'!A70,'Daftar Koreksi'!$G$5:$G$92,"Tanah",'Daftar Koreksi'!$H$5:$H$92,"&gt;0")</f>
        <v>0</v>
      </c>
      <c r="F74" s="25">
        <f>SUMIFS('Daftar Koreksi'!$H$5:$H$92,'Daftar Koreksi'!$D$5:$D$92,'1400'!A70,'Daftar Koreksi'!$G$5:$G$92,"Tanah",'Daftar Koreksi'!$H$5:$H$92,"&lt;0")-SUMIFS('Daftar Koreksi'!$H$5:$H$92,'Daftar Koreksi'!$D$5:$D$92,'1400'!A70,'Daftar Koreksi'!$G$5:$G$92,"Tanah",'Daftar Koreksi'!$H$5:$H$92,"&lt;0")-SUMIFS('Daftar Koreksi'!$H$5:$H$92,'Daftar Koreksi'!$D$5:$D$92,'1400'!A70,'Daftar Koreksi'!$G$5:$G$92,"Tanah",'Daftar Koreksi'!$H$5:$H$92,"&lt;0")</f>
        <v>0</v>
      </c>
      <c r="G74" s="17">
        <f t="shared" ref="G74:G90" si="3">D74+E74-F74</f>
        <v>2639456084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1078752812</v>
      </c>
      <c r="E75" s="25">
        <f>SUMIFS('Daftar Koreksi'!$H$5:$H$92,'Daftar Koreksi'!$D$5:$D$92,'1400'!A70,'Daftar Koreksi'!$G$5:$G$92,"Peralatan dan mesin",'Daftar Koreksi'!$H$5:$H$92,"&gt;0")</f>
        <v>0</v>
      </c>
      <c r="F75" s="25">
        <f>SUMIFS('Daftar Koreksi'!$H$5:$H$92,'Daftar Koreksi'!$D$5:$D$92,'1400'!A70,'Daftar Koreksi'!$G$5:$G$92,"Peralatan dan mesin",'Daftar Koreksi'!$H$5:$H$92,"&lt;0")-SUMIFS('Daftar Koreksi'!$H$5:$H$92,'Daftar Koreksi'!$D$5:$D$92,'1400'!A70,'Daftar Koreksi'!$G$5:$G$92,"Peralatan dan mesin",'Daftar Koreksi'!$H$5:$H$92,"&lt;0")-SUMIFS('Daftar Koreksi'!$H$5:$H$92,'Daftar Koreksi'!$D$5:$D$92,'1400'!A70,'Daftar Koreksi'!$G$5:$G$92,"Peralatan dan mesin",'Daftar Koreksi'!$H$5:$H$92,"&lt;0")</f>
        <v>0</v>
      </c>
      <c r="G75" s="17">
        <f t="shared" si="3"/>
        <v>1078752812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7375823600</v>
      </c>
      <c r="E76" s="25">
        <f>SUMIFS('Daftar Koreksi'!$H$5:$H$92,'Daftar Koreksi'!$D$5:$D$92,'1400'!A70,'Daftar Koreksi'!$G$5:$G$92,"Gedung dan Bangunan",'Daftar Koreksi'!$H$5:$H$92,"&gt;0")</f>
        <v>0</v>
      </c>
      <c r="F76" s="25">
        <f>SUMIFS('Daftar Koreksi'!$H$5:$H$92,'Daftar Koreksi'!$D$5:$D$92,'1400'!A70,'Daftar Koreksi'!$G$5:$G$92,"Gedung dan Bangunan",'Daftar Koreksi'!$H$5:$H$92,"&lt;0")-SUMIFS('Daftar Koreksi'!$H$5:$H$92,'Daftar Koreksi'!$D$5:$D$92,'1400'!A70,'Daftar Koreksi'!$G$5:$G$92,"Gedung dan Bangunan",'Daftar Koreksi'!$H$5:$H$92,"&lt;0")-SUMIFS('Daftar Koreksi'!$H$5:$H$92,'Daftar Koreksi'!$D$5:$D$92,'1400'!A70,'Daftar Koreksi'!$G$5:$G$92,"Gedung dan Bangunan",'Daftar Koreksi'!$H$5:$H$92,"&lt;0")</f>
        <v>0</v>
      </c>
      <c r="G76" s="17">
        <f t="shared" si="3"/>
        <v>7375823600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Koreksi'!$D$5:$D$92,'1400'!A70,'Daftar Koreksi'!$G$5:$G$92,"Jalan Irigasi Jaringan",'Daftar Koreksi'!$H$5:$H$92,"&gt;0")</f>
        <v>0</v>
      </c>
      <c r="F77" s="25">
        <f>SUMIFS('Daftar Koreksi'!$H$5:$H$92,'Daftar Koreksi'!$D$5:$D$92,'1400'!A70,'Daftar Koreksi'!$G$5:$G$92,"Jalan Irigasi Jaringan",'Daftar Koreksi'!$H$5:$H$92,"&lt;0")-SUMIFS('Daftar Koreksi'!$H$5:$H$92,'Daftar Koreksi'!$D$5:$D$92,'1400'!A70,'Daftar Koreksi'!$G$5:$G$92,"Jalan Irigasi Jaringan",'Daftar Koreksi'!$H$5:$H$92,"&lt;0")-SUMIFS('Daftar Koreksi'!$H$5:$H$92,'Daftar Koreksi'!$D$5:$D$92,'1400'!A70,'Daftar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Koreksi'!$D$5:$D$92,'1400'!A70,'Daftar Koreksi'!$G$5:$G$92,"Aset Tetap Lainnya",'Daftar Koreksi'!$H$5:$H$92,"&gt;0")</f>
        <v>0</v>
      </c>
      <c r="F78" s="25">
        <f>SUMIFS('Daftar Koreksi'!$H$5:$H$92,'Daftar Koreksi'!$D$5:$D$92,'1400'!A70,'Daftar Koreksi'!$G$5:$G$92,"Aset Tetap Lainnya",'Daftar Koreksi'!$H$5:$H$92,"&lt;0")-SUMIFS('Daftar Koreksi'!$H$5:$H$92,'Daftar Koreksi'!$D$5:$D$92,'1400'!A70,'Daftar Koreksi'!$G$5:$G$92,"Aset Tetap Lainnya",'Daftar Koreksi'!$H$5:$H$92,"&lt;0")-SUMIFS('Daftar Koreksi'!$H$5:$H$92,'Daftar Koreksi'!$D$5:$D$92,'1400'!A70,'Daftar Koreksi'!$G$5:$G$92,"Aset Tetap Lainnya",'Daftar Koreksi'!$H$5:$H$92,"&lt;0")</f>
        <v>0</v>
      </c>
      <c r="G78" s="17">
        <f t="shared" si="3"/>
        <v>1943440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Koreksi'!$D$5:$D$92,'1400'!A70,'Daftar Koreksi'!$G$5:$G$92,"Kontruksi Dalam Pengerjaan",'Daftar Koreksi'!$H$5:$H$92,"&gt;0")</f>
        <v>0</v>
      </c>
      <c r="F79" s="25">
        <f>SUMIFS('Daftar Koreksi'!$H$5:$H$92,'Daftar Koreksi'!$D$5:$D$92,'1400'!A70,'Daftar Koreksi'!$G$5:$G$92,"Kontruksi Dalam Pengerjaan",'Daftar Koreksi'!$H$5:$H$92,"&lt;0")-SUMIFS('Daftar Koreksi'!$H$5:$H$92,'Daftar Koreksi'!$D$5:$D$92,'1400'!A70,'Daftar Koreksi'!$G$5:$G$92,"Kontruksi Dalam Pengerjaan",'Daftar Koreksi'!$H$5:$H$92,"&lt;0")-SUMIFS('Daftar Koreksi'!$H$5:$H$92,'Daftar Koreksi'!$D$5:$D$92,'1400'!A70,'Daftar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Koreksi'!$D$5:$D$92,'1400'!A70,'Daftar Koreksi'!$G$5:$G$92,"Aset Tak Berwujud",'Daftar Koreksi'!$H$5:$H$92,"&gt;0")</f>
        <v>0</v>
      </c>
      <c r="F80" s="25">
        <f>SUMIFS('Daftar Koreksi'!$H$5:$H$92,'Daftar Koreksi'!$D$5:$D$92,'1400'!A70,'Daftar Koreksi'!$G$5:$G$92,"Aset Tak Berwujud",'Daftar Koreksi'!$H$5:$H$92,"&lt;0")-SUMIFS('Daftar Koreksi'!$H$5:$H$92,'Daftar Koreksi'!$D$5:$D$92,'1400'!A70,'Daftar Koreksi'!$G$5:$G$92,"Aset Tak Berwujud",'Daftar Koreksi'!$H$5:$H$92,"&lt;0")-SUMIFS('Daftar Koreksi'!$H$5:$H$92,'Daftar Koreksi'!$D$5:$D$92,'1400'!A70,'Daftar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297728300</v>
      </c>
      <c r="E81" s="25">
        <f>SUMIFS('Daftar Koreksi'!$H$5:$H$92,'Daftar Koreksi'!$D$5:$D$92,'1400'!A70,'Daftar Koreksi'!$G$5:$G$92,"Aset Henti Guna",'Daftar Koreksi'!$H$5:$H$92,"&gt;0")</f>
        <v>0</v>
      </c>
      <c r="F81" s="25">
        <f>SUMIFS('Daftar Koreksi'!$H$5:$H$92,'Daftar Koreksi'!$D$5:$D$92,'1400'!A70,'Daftar Koreksi'!$G$5:$G$92,"Aset Henti Guna",'Daftar Koreksi'!$H$5:$H$92,"&lt;0")-SUMIFS('Daftar Koreksi'!$H$5:$H$92,'Daftar Koreksi'!$D$5:$D$92,'1400'!A70,'Daftar Koreksi'!$G$5:$G$92,"Aset Henti Guna",'Daftar Koreksi'!$H$5:$H$92,"&lt;0")-SUMIFS('Daftar Koreksi'!$H$5:$H$92,'Daftar Koreksi'!$D$5:$D$92,'1400'!A70,'Daftar Koreksi'!$G$5:$G$92,"Aset Henti Guna",'Daftar Koreksi'!$H$5:$H$92,"&lt;0")</f>
        <v>0</v>
      </c>
      <c r="G81" s="17">
        <f t="shared" si="3"/>
        <v>297728300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11395800136</v>
      </c>
      <c r="E82" s="19">
        <f>SUM(E73:E81)</f>
        <v>0</v>
      </c>
      <c r="F82" s="19">
        <f>SUM(F73:F81)</f>
        <v>0</v>
      </c>
      <c r="G82" s="19">
        <f t="shared" si="3"/>
        <v>11395800136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-942662566</v>
      </c>
      <c r="E83" s="25">
        <f>SUMIFS('Daftar Koreksi'!$I$5:$I$92,'Daftar Koreksi'!$D$5:$D$92,'1400'!A70,'Daftar Koreksi'!$G$5:$G$92,"Peralatan dan mesin",'Daftar Koreksi'!$I$5:$I$92,"&gt;0")</f>
        <v>0</v>
      </c>
      <c r="F83" s="25">
        <f>SUMIFS('Daftar Koreksi'!$I$5:$I$92,'Daftar Koreksi'!$D$5:$D$92,'1400'!A70,'Daftar Koreksi'!$G$5:$G$92,"Peralatan dan mesin",'Daftar Koreksi'!$I$5:$I$92,"&lt;0")-SUMIFS('Daftar Koreksi'!$I$5:$I$92,'Daftar Koreksi'!$D$5:$D$92,'1400'!A70,'Daftar Koreksi'!$G$5:$G$92,"Peralatan dan mesin",'Daftar Koreksi'!$I$5:$I$92,"&lt;0")-SUMIFS('Daftar Koreksi'!$I$5:$I$92,'Daftar Koreksi'!$D$5:$D$92,'1400'!A70,'Daftar Koreksi'!$G$5:$G$92,"Peralatan dan mesin",'Daftar Koreksi'!$I$5:$I$92,"&lt;0")</f>
        <v>0</v>
      </c>
      <c r="G83" s="17">
        <f t="shared" si="3"/>
        <v>-942662566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-572650896</v>
      </c>
      <c r="E84" s="25">
        <f>SUMIFS('Daftar Koreksi'!$I$5:$I$92,'Daftar Koreksi'!$D$5:$D$92,'1400'!A70,'Daftar Koreksi'!$G$5:$G$92,"Gedung dan Bangunan",'Daftar Koreksi'!$I$5:$I$92,"&gt;0")</f>
        <v>0</v>
      </c>
      <c r="F84" s="25">
        <f>SUMIFS('Daftar Koreksi'!$I$5:$I$92,'Daftar Koreksi'!$D$5:$D$92,'1400'!A70,'Daftar Koreksi'!$G$5:$G$92,"Gedung dan Bangunan",'Daftar Koreksi'!$I$5:$I$92,"&lt;0")-SUMIFS('Daftar Koreksi'!$I$5:$I$92,'Daftar Koreksi'!$D$5:$D$92,'1400'!A70,'Daftar Koreksi'!$G$5:$G$92,"Gedung dan Bangunan",'Daftar Koreksi'!$I$5:$I$92,"&lt;0")-SUMIFS('Daftar Koreksi'!$I$5:$I$92,'Daftar Koreksi'!$D$5:$D$92,'1400'!A70,'Daftar Koreksi'!$G$5:$G$92,"Gedung dan Bangunan",'Daftar Koreksi'!$I$5:$I$92,"&lt;0")</f>
        <v>0</v>
      </c>
      <c r="G84" s="17">
        <f t="shared" si="3"/>
        <v>-572650896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Koreksi'!$D$5:$D$92,'1400'!A70,'Daftar Koreksi'!$G$5:$G$92,"Jalan Irigasi Jaringan",'Daftar Koreksi'!$I$5:$I$92,"&gt;0")</f>
        <v>0</v>
      </c>
      <c r="F85" s="25">
        <f>SUMIFS('Daftar Koreksi'!$I$5:$I$92,'Daftar Koreksi'!$D$5:$D$92,'1400'!A70,'Daftar Koreksi'!$G$5:$G$92,"Jalan Irigasi Jaringan",'Daftar Koreksi'!$I$5:$I$92,"&lt;0")-SUMIFS('Daftar Koreksi'!$I$5:$I$92,'Daftar Koreksi'!$D$5:$D$92,'1400'!A70,'Daftar Koreksi'!$G$5:$G$92,"Jalan Irigasi Jaringan",'Daftar Koreksi'!$I$5:$I$92,"&lt;0")-SUMIFS('Daftar Koreksi'!$I$5:$I$92,'Daftar Koreksi'!$D$5:$D$92,'1400'!A70,'Daftar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Koreksi'!$D$5:$D$92,'1400'!A70,'Daftar Koreksi'!$G$5:$G$92,"Aset Tetap Lainnya",'Daftar Koreksi'!$I$5:$I$92,"&gt;0")</f>
        <v>0</v>
      </c>
      <c r="F86" s="25">
        <f>SUMIFS('Daftar Koreksi'!$I$5:$I$92,'Daftar Koreksi'!$D$5:$D$92,'1400'!A70,'Daftar Koreksi'!$G$5:$G$92,"Aset Tetap Lainnya",'Daftar Koreksi'!$I$5:$I$92,"&lt;0")-SUMIFS('Daftar Koreksi'!$I$5:$I$92,'Daftar Koreksi'!$D$5:$D$92,'1400'!A70,'Daftar Koreksi'!$G$5:$G$92,"Aset Tetap Lainnya",'Daftar Koreksi'!$I$5:$I$92,"&lt;0")-SUMIFS('Daftar Koreksi'!$I$5:$I$92,'Daftar Koreksi'!$D$5:$D$92,'1400'!A70,'Daftar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-68788768</v>
      </c>
      <c r="E87" s="25">
        <f>SUMIFS('Daftar Koreksi'!$I$5:$I$92,'Daftar Koreksi'!$D$5:$D$92,'1400'!A70,'Daftar Koreksi'!$G$5:$G$92,"Aset Henti Guna",'Daftar Koreksi'!$I$5:$I$92,"&gt;0")</f>
        <v>0</v>
      </c>
      <c r="F87" s="25">
        <f>SUMIFS('Daftar Koreksi'!$I$5:$I$92,'Daftar Koreksi'!$D$5:$D$92,'1400'!A70,'Daftar Koreksi'!$G$5:$G$92,"Aset Henti Guna",'Daftar Koreksi'!$I$5:$I$92,"&lt;0")-SUMIFS('Daftar Koreksi'!$I$5:$I$92,'Daftar Koreksi'!$D$5:$D$92,'1400'!A70,'Daftar Koreksi'!$G$5:$G$92,"Aset Henti Guna",'Daftar Koreksi'!$I$5:$I$92,"&lt;0")-SUMIFS('Daftar Koreksi'!$I$5:$I$92,'Daftar Koreksi'!$D$5:$D$92,'1400'!A70,'Daftar Koreksi'!$G$5:$G$92,"Aset Henti Guna",'Daftar Koreksi'!$I$5:$I$92,"&lt;0")</f>
        <v>0</v>
      </c>
      <c r="G87" s="17">
        <f t="shared" si="3"/>
        <v>-68788768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-1584102230</v>
      </c>
      <c r="E88" s="19">
        <f>SUM(E83:E87)</f>
        <v>0</v>
      </c>
      <c r="F88" s="19">
        <f>SUM(F83:F87)</f>
        <v>0</v>
      </c>
      <c r="G88" s="19">
        <f t="shared" si="3"/>
        <v>-1584102230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9811697906</v>
      </c>
      <c r="E89" s="19">
        <f>E88+E82</f>
        <v>0</v>
      </c>
      <c r="F89" s="19">
        <f>F88+F82</f>
        <v>0</v>
      </c>
      <c r="G89" s="19">
        <f t="shared" si="3"/>
        <v>9811697906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005011400099162000KD</v>
      </c>
      <c r="B92" s="11" t="str">
        <f>P5</f>
        <v>PN. Buntok</v>
      </c>
      <c r="C92" s="12" t="str">
        <f>A92&amp;" "&amp;B92</f>
        <v>005011400099162000KD PN. Buntok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206600</v>
      </c>
      <c r="E95" s="25">
        <f>SUMIFS('Daftar Koreksi'!$H$5:$H$92,'Daftar Koreksi'!$D$5:$D$92,'1400'!A92,'Daftar Koreksi'!$G$5:$G$92,"Persediaan",'Daftar Koreksi'!$H$5:$H$92,"&gt;0")</f>
        <v>0</v>
      </c>
      <c r="F95" s="25">
        <f>SUMIFS('Daftar Koreksi'!$H$5:$H$92,'Daftar Koreksi'!$D$5:$D$92,'1400'!A92,'Daftar Koreksi'!$G$5:$G$92,"Persediaan",'Daftar Koreksi'!$H$5:$H$92,"&lt;0")-SUMIFS('Daftar Koreksi'!$H$5:$H$92,'Daftar Koreksi'!$D$5:$D$92,'1400'!A92,'Daftar Koreksi'!$G$5:$G$92,"Persediaan",'Daftar Koreksi'!$H$5:$H$92,"&lt;0")-SUMIFS('Daftar Koreksi'!$H$5:$H$92,'Daftar Koreksi'!$D$5:$D$92,'1400'!A92,'Daftar Koreksi'!$G$5:$G$92,"Persediaan",'Daftar Koreksi'!$H$5:$H$92,"&lt;0")</f>
        <v>0</v>
      </c>
      <c r="G95" s="17">
        <f>D95+E95-F95</f>
        <v>206600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1817541000</v>
      </c>
      <c r="E96" s="25">
        <f>SUMIFS('Daftar Koreksi'!$H$5:$H$92,'Daftar Koreksi'!$D$5:$D$92,'1400'!A92,'Daftar Koreksi'!$G$5:$G$92,"Tanah",'Daftar Koreksi'!$H$5:$H$92,"&gt;0")</f>
        <v>0</v>
      </c>
      <c r="F96" s="25">
        <f>SUMIFS('Daftar Koreksi'!$H$5:$H$92,'Daftar Koreksi'!$D$5:$D$92,'1400'!A92,'Daftar Koreksi'!$G$5:$G$92,"Tanah",'Daftar Koreksi'!$H$5:$H$92,"&lt;0")-SUMIFS('Daftar Koreksi'!$H$5:$H$92,'Daftar Koreksi'!$D$5:$D$92,'1400'!A92,'Daftar Koreksi'!$G$5:$G$92,"Tanah",'Daftar Koreksi'!$H$5:$H$92,"&lt;0")-SUMIFS('Daftar Koreksi'!$H$5:$H$92,'Daftar Koreksi'!$D$5:$D$92,'1400'!A92,'Daftar Koreksi'!$G$5:$G$92,"Tanah",'Daftar Koreksi'!$H$5:$H$92,"&lt;0")</f>
        <v>0</v>
      </c>
      <c r="G96" s="17">
        <f t="shared" ref="G96:G112" si="4">D96+E96-F96</f>
        <v>1817541000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1340093204</v>
      </c>
      <c r="E97" s="25">
        <f>SUMIFS('Daftar Koreksi'!$H$5:$H$92,'Daftar Koreksi'!$D$5:$D$92,'1400'!A92,'Daftar Koreksi'!$G$5:$G$92,"Peralatan dan mesin",'Daftar Koreksi'!$H$5:$H$92,"&gt;0")</f>
        <v>0</v>
      </c>
      <c r="F97" s="25">
        <f>SUMIFS('Daftar Koreksi'!$H$5:$H$92,'Daftar Koreksi'!$D$5:$D$92,'1400'!A92,'Daftar Koreksi'!$G$5:$G$92,"Peralatan dan mesin",'Daftar Koreksi'!$H$5:$H$92,"&lt;0")-SUMIFS('Daftar Koreksi'!$H$5:$H$92,'Daftar Koreksi'!$D$5:$D$92,'1400'!A92,'Daftar Koreksi'!$G$5:$G$92,"Peralatan dan mesin",'Daftar Koreksi'!$H$5:$H$92,"&lt;0")-SUMIFS('Daftar Koreksi'!$H$5:$H$92,'Daftar Koreksi'!$D$5:$D$92,'1400'!A92,'Daftar Koreksi'!$G$5:$G$92,"Peralatan dan mesin",'Daftar Koreksi'!$H$5:$H$92,"&lt;0")</f>
        <v>0</v>
      </c>
      <c r="G97" s="17">
        <f t="shared" si="4"/>
        <v>1340093204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4464677281</v>
      </c>
      <c r="E98" s="25">
        <f>SUMIFS('Daftar Koreksi'!$H$5:$H$92,'Daftar Koreksi'!$D$5:$D$92,'1400'!A92,'Daftar Koreksi'!$G$5:$G$92,"Gedung dan Bangunan",'Daftar Koreksi'!$H$5:$H$92,"&gt;0")</f>
        <v>0</v>
      </c>
      <c r="F98" s="25">
        <f>SUMIFS('Daftar Koreksi'!$H$5:$H$92,'Daftar Koreksi'!$D$5:$D$92,'1400'!A92,'Daftar Koreksi'!$G$5:$G$92,"Gedung dan Bangunan",'Daftar Koreksi'!$H$5:$H$92,"&lt;0")-SUMIFS('Daftar Koreksi'!$H$5:$H$92,'Daftar Koreksi'!$D$5:$D$92,'1400'!A92,'Daftar Koreksi'!$G$5:$G$92,"Gedung dan Bangunan",'Daftar Koreksi'!$H$5:$H$92,"&lt;0")-SUMIFS('Daftar Koreksi'!$H$5:$H$92,'Daftar Koreksi'!$D$5:$D$92,'1400'!A92,'Daftar Koreksi'!$G$5:$G$92,"Gedung dan Bangunan",'Daftar Koreksi'!$H$5:$H$92,"&lt;0")</f>
        <v>0</v>
      </c>
      <c r="G98" s="17">
        <f t="shared" si="4"/>
        <v>4464677281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Koreksi'!$D$5:$D$92,'1400'!A92,'Daftar Koreksi'!$G$5:$G$92,"Jalan Irigasi Jaringan",'Daftar Koreksi'!$H$5:$H$92,"&gt;0")</f>
        <v>0</v>
      </c>
      <c r="F99" s="25">
        <f>SUMIFS('Daftar Koreksi'!$H$5:$H$92,'Daftar Koreksi'!$D$5:$D$92,'1400'!A92,'Daftar Koreksi'!$G$5:$G$92,"Jalan Irigasi Jaringan",'Daftar Koreksi'!$H$5:$H$92,"&lt;0")-SUMIFS('Daftar Koreksi'!$H$5:$H$92,'Daftar Koreksi'!$D$5:$D$92,'1400'!A92,'Daftar Koreksi'!$G$5:$G$92,"Jalan Irigasi Jaringan",'Daftar Koreksi'!$H$5:$H$92,"&lt;0")-SUMIFS('Daftar Koreksi'!$H$5:$H$92,'Daftar Koreksi'!$D$5:$D$92,'1400'!A92,'Daftar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55063640</v>
      </c>
      <c r="E100" s="25">
        <f>SUMIFS('Daftar Koreksi'!$H$5:$H$92,'Daftar Koreksi'!$D$5:$D$92,'1400'!A92,'Daftar Koreksi'!$G$5:$G$92,"Aset Tetap Lainnya",'Daftar Koreksi'!$H$5:$H$92,"&gt;0")</f>
        <v>0</v>
      </c>
      <c r="F100" s="25">
        <f>SUMIFS('Daftar Koreksi'!$H$5:$H$92,'Daftar Koreksi'!$D$5:$D$92,'1400'!A92,'Daftar Koreksi'!$G$5:$G$92,"Aset Tetap Lainnya",'Daftar Koreksi'!$H$5:$H$92,"&lt;0")-SUMIFS('Daftar Koreksi'!$H$5:$H$92,'Daftar Koreksi'!$D$5:$D$92,'1400'!A92,'Daftar Koreksi'!$G$5:$G$92,"Aset Tetap Lainnya",'Daftar Koreksi'!$H$5:$H$92,"&lt;0")-SUMIFS('Daftar Koreksi'!$H$5:$H$92,'Daftar Koreksi'!$D$5:$D$92,'1400'!A92,'Daftar Koreksi'!$G$5:$G$92,"Aset Tetap Lainnya",'Daftar Koreksi'!$H$5:$H$92,"&lt;0")</f>
        <v>0</v>
      </c>
      <c r="G100" s="17">
        <f t="shared" si="4"/>
        <v>55063640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Koreksi'!$D$5:$D$92,'1400'!A92,'Daftar Koreksi'!$G$5:$G$92,"Kontruksi Dalam Pengerjaan",'Daftar Koreksi'!$H$5:$H$92,"&gt;0")</f>
        <v>0</v>
      </c>
      <c r="F101" s="25">
        <f>SUMIFS('Daftar Koreksi'!$H$5:$H$92,'Daftar Koreksi'!$D$5:$D$92,'1400'!A92,'Daftar Koreksi'!$G$5:$G$92,"Kontruksi Dalam Pengerjaan",'Daftar Koreksi'!$H$5:$H$92,"&lt;0")-SUMIFS('Daftar Koreksi'!$H$5:$H$92,'Daftar Koreksi'!$D$5:$D$92,'1400'!A92,'Daftar Koreksi'!$G$5:$G$92,"Kontruksi Dalam Pengerjaan",'Daftar Koreksi'!$H$5:$H$92,"&lt;0")-SUMIFS('Daftar Koreksi'!$H$5:$H$92,'Daftar Koreksi'!$D$5:$D$92,'1400'!A92,'Daftar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Koreksi'!$D$5:$D$92,'1400'!A92,'Daftar Koreksi'!$G$5:$G$92,"Aset Tak Berwujud",'Daftar Koreksi'!$H$5:$H$92,"&gt;0")</f>
        <v>0</v>
      </c>
      <c r="F102" s="25">
        <f>SUMIFS('Daftar Koreksi'!$H$5:$H$92,'Daftar Koreksi'!$D$5:$D$92,'1400'!A92,'Daftar Koreksi'!$G$5:$G$92,"Aset Tak Berwujud",'Daftar Koreksi'!$H$5:$H$92,"&lt;0")-SUMIFS('Daftar Koreksi'!$H$5:$H$92,'Daftar Koreksi'!$D$5:$D$92,'1400'!A92,'Daftar Koreksi'!$G$5:$G$92,"Aset Tak Berwujud",'Daftar Koreksi'!$H$5:$H$92,"&lt;0")-SUMIFS('Daftar Koreksi'!$H$5:$H$92,'Daftar Koreksi'!$D$5:$D$92,'1400'!A92,'Daftar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36804000</v>
      </c>
      <c r="E103" s="25">
        <f>SUMIFS('Daftar Koreksi'!$H$5:$H$92,'Daftar Koreksi'!$D$5:$D$92,'1400'!A92,'Daftar Koreksi'!$G$5:$G$92,"Aset Henti Guna",'Daftar Koreksi'!$H$5:$H$92,"&gt;0")</f>
        <v>0</v>
      </c>
      <c r="F103" s="25">
        <f>SUMIFS('Daftar Koreksi'!$H$5:$H$92,'Daftar Koreksi'!$D$5:$D$92,'1400'!A92,'Daftar Koreksi'!$G$5:$G$92,"Aset Henti Guna",'Daftar Koreksi'!$H$5:$H$92,"&lt;0")-SUMIFS('Daftar Koreksi'!$H$5:$H$92,'Daftar Koreksi'!$D$5:$D$92,'1400'!A92,'Daftar Koreksi'!$G$5:$G$92,"Aset Henti Guna",'Daftar Koreksi'!$H$5:$H$92,"&lt;0")-SUMIFS('Daftar Koreksi'!$H$5:$H$92,'Daftar Koreksi'!$D$5:$D$92,'1400'!A92,'Daftar Koreksi'!$G$5:$G$92,"Aset Henti Guna",'Daftar Koreksi'!$H$5:$H$92,"&lt;0")</f>
        <v>0</v>
      </c>
      <c r="G103" s="17">
        <f t="shared" si="4"/>
        <v>36804000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7714385725</v>
      </c>
      <c r="E104" s="19">
        <f>SUM(E95:E103)</f>
        <v>0</v>
      </c>
      <c r="F104" s="19">
        <f>SUM(F95:F103)</f>
        <v>0</v>
      </c>
      <c r="G104" s="19">
        <f t="shared" si="4"/>
        <v>7714385725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-1060793552</v>
      </c>
      <c r="E105" s="25">
        <f>SUMIFS('Daftar Koreksi'!$I$5:$I$92,'Daftar Koreksi'!$D$5:$D$92,'1400'!A92,'Daftar Koreksi'!$G$5:$G$92,"Peralatan dan mesin",'Daftar Koreksi'!$I$5:$I$92,"&gt;0")</f>
        <v>0</v>
      </c>
      <c r="F105" s="25">
        <f>SUMIFS('Daftar Koreksi'!$I$5:$I$92,'Daftar Koreksi'!$D$5:$D$92,'1400'!A92,'Daftar Koreksi'!$G$5:$G$92,"Peralatan dan mesin",'Daftar Koreksi'!$I$5:$I$92,"&lt;0")-SUMIFS('Daftar Koreksi'!$I$5:$I$92,'Daftar Koreksi'!$D$5:$D$92,'1400'!A92,'Daftar Koreksi'!$G$5:$G$92,"Peralatan dan mesin",'Daftar Koreksi'!$I$5:$I$92,"&lt;0")-SUMIFS('Daftar Koreksi'!$I$5:$I$92,'Daftar Koreksi'!$D$5:$D$92,'1400'!A92,'Daftar Koreksi'!$G$5:$G$92,"Peralatan dan mesin",'Daftar Koreksi'!$I$5:$I$92,"&lt;0")</f>
        <v>0</v>
      </c>
      <c r="G105" s="17">
        <f t="shared" si="4"/>
        <v>-1060793552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-986123306</v>
      </c>
      <c r="E106" s="25">
        <f>SUMIFS('Daftar Koreksi'!$I$5:$I$92,'Daftar Koreksi'!$D$5:$D$92,'1400'!A92,'Daftar Koreksi'!$G$5:$G$92,"Gedung dan Bangunan",'Daftar Koreksi'!$I$5:$I$92,"&gt;0")</f>
        <v>0</v>
      </c>
      <c r="F106" s="25">
        <f>SUMIFS('Daftar Koreksi'!$I$5:$I$92,'Daftar Koreksi'!$D$5:$D$92,'1400'!A92,'Daftar Koreksi'!$G$5:$G$92,"Gedung dan Bangunan",'Daftar Koreksi'!$I$5:$I$92,"&lt;0")-SUMIFS('Daftar Koreksi'!$I$5:$I$92,'Daftar Koreksi'!$D$5:$D$92,'1400'!A92,'Daftar Koreksi'!$G$5:$G$92,"Gedung dan Bangunan",'Daftar Koreksi'!$I$5:$I$92,"&lt;0")-SUMIFS('Daftar Koreksi'!$I$5:$I$92,'Daftar Koreksi'!$D$5:$D$92,'1400'!A92,'Daftar Koreksi'!$G$5:$G$92,"Gedung dan Bangunan",'Daftar Koreksi'!$I$5:$I$92,"&lt;0")</f>
        <v>0</v>
      </c>
      <c r="G106" s="17">
        <f t="shared" si="4"/>
        <v>-986123306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Koreksi'!$D$5:$D$92,'1400'!A92,'Daftar Koreksi'!$G$5:$G$92,"Jalan Irigasi Jaringan",'Daftar Koreksi'!$I$5:$I$92,"&gt;0")</f>
        <v>0</v>
      </c>
      <c r="F107" s="25">
        <f>SUMIFS('Daftar Koreksi'!$I$5:$I$92,'Daftar Koreksi'!$D$5:$D$92,'1400'!A92,'Daftar Koreksi'!$G$5:$G$92,"Jalan Irigasi Jaringan",'Daftar Koreksi'!$I$5:$I$92,"&lt;0")-SUMIFS('Daftar Koreksi'!$I$5:$I$92,'Daftar Koreksi'!$D$5:$D$92,'1400'!A92,'Daftar Koreksi'!$G$5:$G$92,"Jalan Irigasi Jaringan",'Daftar Koreksi'!$I$5:$I$92,"&lt;0")-SUMIFS('Daftar Koreksi'!$I$5:$I$92,'Daftar Koreksi'!$D$5:$D$92,'1400'!A92,'Daftar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Koreksi'!$D$5:$D$92,'1400'!A92,'Daftar Koreksi'!$G$5:$G$92,"Aset Tetap Lainnya",'Daftar Koreksi'!$I$5:$I$92,"&gt;0")</f>
        <v>0</v>
      </c>
      <c r="F108" s="25">
        <f>SUMIFS('Daftar Koreksi'!$I$5:$I$92,'Daftar Koreksi'!$D$5:$D$92,'1400'!A92,'Daftar Koreksi'!$G$5:$G$92,"Aset Tetap Lainnya",'Daftar Koreksi'!$I$5:$I$92,"&lt;0")-SUMIFS('Daftar Koreksi'!$I$5:$I$92,'Daftar Koreksi'!$D$5:$D$92,'1400'!A92,'Daftar Koreksi'!$G$5:$G$92,"Aset Tetap Lainnya",'Daftar Koreksi'!$I$5:$I$92,"&lt;0")-SUMIFS('Daftar Koreksi'!$I$5:$I$92,'Daftar Koreksi'!$D$5:$D$92,'1400'!A92,'Daftar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-36804000</v>
      </c>
      <c r="E109" s="25">
        <f>SUMIFS('Daftar Koreksi'!$I$5:$I$92,'Daftar Koreksi'!$D$5:$D$92,'1400'!A92,'Daftar Koreksi'!$G$5:$G$92,"Aset Henti Guna",'Daftar Koreksi'!$I$5:$I$92,"&gt;0")</f>
        <v>0</v>
      </c>
      <c r="F109" s="25">
        <f>SUMIFS('Daftar Koreksi'!$I$5:$I$92,'Daftar Koreksi'!$D$5:$D$92,'1400'!A92,'Daftar Koreksi'!$G$5:$G$92,"Aset Henti Guna",'Daftar Koreksi'!$I$5:$I$92,"&lt;0")-SUMIFS('Daftar Koreksi'!$I$5:$I$92,'Daftar Koreksi'!$D$5:$D$92,'1400'!A92,'Daftar Koreksi'!$G$5:$G$92,"Aset Henti Guna",'Daftar Koreksi'!$I$5:$I$92,"&lt;0")-SUMIFS('Daftar Koreksi'!$I$5:$I$92,'Daftar Koreksi'!$D$5:$D$92,'1400'!A92,'Daftar Koreksi'!$G$5:$G$92,"Aset Henti Guna",'Daftar Koreksi'!$I$5:$I$92,"&lt;0")</f>
        <v>0</v>
      </c>
      <c r="G109" s="17">
        <f t="shared" si="4"/>
        <v>-36804000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-2083720858</v>
      </c>
      <c r="E110" s="19">
        <f>SUM(E105:E109)</f>
        <v>0</v>
      </c>
      <c r="F110" s="19">
        <f>SUM(F105:F109)</f>
        <v>0</v>
      </c>
      <c r="G110" s="19">
        <f t="shared" si="4"/>
        <v>-2083720858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5630664867</v>
      </c>
      <c r="E111" s="19">
        <f>E110+E104</f>
        <v>0</v>
      </c>
      <c r="F111" s="19">
        <f>F110+F104</f>
        <v>0</v>
      </c>
      <c r="G111" s="19">
        <f t="shared" si="4"/>
        <v>5630664867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005011400099176000KD</v>
      </c>
      <c r="B114" s="11" t="str">
        <f>P6</f>
        <v>PN. Sampit</v>
      </c>
      <c r="C114" s="12" t="str">
        <f>A114&amp;" "&amp;B114</f>
        <v>005011400099176000KD PN. Sampit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943769</v>
      </c>
      <c r="E117" s="25">
        <f>SUMIFS('Daftar Koreksi'!$H$5:$H$92,'Daftar Koreksi'!$D$5:$D$92,'1400'!A114,'Daftar Koreksi'!$G$5:$G$92,"Persediaan",'Daftar Koreksi'!$H$5:$H$92,"&gt;0")</f>
        <v>0</v>
      </c>
      <c r="F117" s="25">
        <f>SUMIFS('Daftar Koreksi'!$H$5:$H$92,'Daftar Koreksi'!$D$5:$D$92,'1400'!A114,'Daftar Koreksi'!$G$5:$G$92,"Persediaan",'Daftar Koreksi'!$H$5:$H$92,"&lt;0")-SUMIFS('Daftar Koreksi'!$H$5:$H$92,'Daftar Koreksi'!$D$5:$D$92,'1400'!A114,'Daftar Koreksi'!$G$5:$G$92,"Persediaan",'Daftar Koreksi'!$H$5:$H$92,"&lt;0")-SUMIFS('Daftar Koreksi'!$H$5:$H$92,'Daftar Koreksi'!$D$5:$D$92,'1400'!A114,'Daftar Koreksi'!$G$5:$G$92,"Persediaan",'Daftar Koreksi'!$H$5:$H$92,"&lt;0")</f>
        <v>0</v>
      </c>
      <c r="G117" s="17">
        <f>D117+E117-F117</f>
        <v>943769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4613034300</v>
      </c>
      <c r="E118" s="25">
        <f>SUMIFS('Daftar Koreksi'!$H$5:$H$92,'Daftar Koreksi'!$D$5:$D$92,'1400'!A114,'Daftar Koreksi'!$G$5:$G$92,"Tanah",'Daftar Koreksi'!$H$5:$H$92,"&gt;0")</f>
        <v>0</v>
      </c>
      <c r="F118" s="25">
        <f>SUMIFS('Daftar Koreksi'!$H$5:$H$92,'Daftar Koreksi'!$D$5:$D$92,'1400'!A114,'Daftar Koreksi'!$G$5:$G$92,"Tanah",'Daftar Koreksi'!$H$5:$H$92,"&lt;0")-SUMIFS('Daftar Koreksi'!$H$5:$H$92,'Daftar Koreksi'!$D$5:$D$92,'1400'!A114,'Daftar Koreksi'!$G$5:$G$92,"Tanah",'Daftar Koreksi'!$H$5:$H$92,"&lt;0")-SUMIFS('Daftar Koreksi'!$H$5:$H$92,'Daftar Koreksi'!$D$5:$D$92,'1400'!A114,'Daftar Koreksi'!$G$5:$G$92,"Tanah",'Daftar Koreksi'!$H$5:$H$92,"&lt;0")</f>
        <v>0</v>
      </c>
      <c r="G118" s="17">
        <f t="shared" ref="G118:G134" si="5">D118+E118-F118</f>
        <v>4613034300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884394426</v>
      </c>
      <c r="E119" s="25">
        <f>SUMIFS('Daftar Koreksi'!$H$5:$H$92,'Daftar Koreksi'!$D$5:$D$92,'1400'!A114,'Daftar Koreksi'!$G$5:$G$92,"Peralatan dan mesin",'Daftar Koreksi'!$H$5:$H$92,"&gt;0")</f>
        <v>0</v>
      </c>
      <c r="F119" s="25">
        <f>SUMIFS('Daftar Koreksi'!$H$5:$H$92,'Daftar Koreksi'!$D$5:$D$92,'1400'!A114,'Daftar Koreksi'!$G$5:$G$92,"Peralatan dan mesin",'Daftar Koreksi'!$H$5:$H$92,"&lt;0")-SUMIFS('Daftar Koreksi'!$H$5:$H$92,'Daftar Koreksi'!$D$5:$D$92,'1400'!A114,'Daftar Koreksi'!$G$5:$G$92,"Peralatan dan mesin",'Daftar Koreksi'!$H$5:$H$92,"&lt;0")-SUMIFS('Daftar Koreksi'!$H$5:$H$92,'Daftar Koreksi'!$D$5:$D$92,'1400'!A114,'Daftar Koreksi'!$G$5:$G$92,"Peralatan dan mesin",'Daftar Koreksi'!$H$5:$H$92,"&lt;0")</f>
        <v>0</v>
      </c>
      <c r="G119" s="17">
        <f t="shared" si="5"/>
        <v>884394426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4800768363</v>
      </c>
      <c r="E120" s="25">
        <f>SUMIFS('Daftar Koreksi'!$H$5:$H$92,'Daftar Koreksi'!$D$5:$D$92,'1400'!A114,'Daftar Koreksi'!$G$5:$G$92,"Gedung dan Bangunan",'Daftar Koreksi'!$H$5:$H$92,"&gt;0")</f>
        <v>0</v>
      </c>
      <c r="F120" s="25">
        <f>SUMIFS('Daftar Koreksi'!$H$5:$H$92,'Daftar Koreksi'!$D$5:$D$92,'1400'!A114,'Daftar Koreksi'!$G$5:$G$92,"Gedung dan Bangunan",'Daftar Koreksi'!$H$5:$H$92,"&lt;0")-SUMIFS('Daftar Koreksi'!$H$5:$H$92,'Daftar Koreksi'!$D$5:$D$92,'1400'!A114,'Daftar Koreksi'!$G$5:$G$92,"Gedung dan Bangunan",'Daftar Koreksi'!$H$5:$H$92,"&lt;0")-SUMIFS('Daftar Koreksi'!$H$5:$H$92,'Daftar Koreksi'!$D$5:$D$92,'1400'!A114,'Daftar Koreksi'!$G$5:$G$92,"Gedung dan Bangunan",'Daftar Koreksi'!$H$5:$H$92,"&lt;0")</f>
        <v>0</v>
      </c>
      <c r="G120" s="17">
        <f t="shared" si="5"/>
        <v>4800768363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Koreksi'!$D$5:$D$92,'1400'!A114,'Daftar Koreksi'!$G$5:$G$92,"Jalan Irigasi Jaringan",'Daftar Koreksi'!$H$5:$H$92,"&gt;0")</f>
        <v>0</v>
      </c>
      <c r="F121" s="25">
        <f>SUMIFS('Daftar Koreksi'!$H$5:$H$92,'Daftar Koreksi'!$D$5:$D$92,'1400'!A114,'Daftar Koreksi'!$G$5:$G$92,"Jalan Irigasi Jaringan",'Daftar Koreksi'!$H$5:$H$92,"&lt;0")-SUMIFS('Daftar Koreksi'!$H$5:$H$92,'Daftar Koreksi'!$D$5:$D$92,'1400'!A114,'Daftar Koreksi'!$G$5:$G$92,"Jalan Irigasi Jaringan",'Daftar Koreksi'!$H$5:$H$92,"&lt;0")-SUMIFS('Daftar Koreksi'!$H$5:$H$92,'Daftar Koreksi'!$D$5:$D$92,'1400'!A114,'Daftar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4626840</v>
      </c>
      <c r="E122" s="25">
        <f>SUMIFS('Daftar Koreksi'!$H$5:$H$92,'Daftar Koreksi'!$D$5:$D$92,'1400'!A114,'Daftar Koreksi'!$G$5:$G$92,"Aset Tetap Lainnya",'Daftar Koreksi'!$H$5:$H$92,"&gt;0")</f>
        <v>0</v>
      </c>
      <c r="F122" s="25">
        <f>SUMIFS('Daftar Koreksi'!$H$5:$H$92,'Daftar Koreksi'!$D$5:$D$92,'1400'!A114,'Daftar Koreksi'!$G$5:$G$92,"Aset Tetap Lainnya",'Daftar Koreksi'!$H$5:$H$92,"&lt;0")-SUMIFS('Daftar Koreksi'!$H$5:$H$92,'Daftar Koreksi'!$D$5:$D$92,'1400'!A114,'Daftar Koreksi'!$G$5:$G$92,"Aset Tetap Lainnya",'Daftar Koreksi'!$H$5:$H$92,"&lt;0")-SUMIFS('Daftar Koreksi'!$H$5:$H$92,'Daftar Koreksi'!$D$5:$D$92,'1400'!A114,'Daftar Koreksi'!$G$5:$G$92,"Aset Tetap Lainnya",'Daftar Koreksi'!$H$5:$H$92,"&lt;0")</f>
        <v>0</v>
      </c>
      <c r="G122" s="17">
        <f t="shared" si="5"/>
        <v>4626840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Koreksi'!$D$5:$D$92,'1400'!A114,'Daftar Koreksi'!$G$5:$G$92,"Kontruksi Dalam Pengerjaan",'Daftar Koreksi'!$H$5:$H$92,"&gt;0")</f>
        <v>0</v>
      </c>
      <c r="F123" s="25">
        <f>SUMIFS('Daftar Koreksi'!$H$5:$H$92,'Daftar Koreksi'!$D$5:$D$92,'1400'!A114,'Daftar Koreksi'!$G$5:$G$92,"Kontruksi Dalam Pengerjaan",'Daftar Koreksi'!$H$5:$H$92,"&lt;0")-SUMIFS('Daftar Koreksi'!$H$5:$H$92,'Daftar Koreksi'!$D$5:$D$92,'1400'!A114,'Daftar Koreksi'!$G$5:$G$92,"Kontruksi Dalam Pengerjaan",'Daftar Koreksi'!$H$5:$H$92,"&lt;0")-SUMIFS('Daftar Koreksi'!$H$5:$H$92,'Daftar Koreksi'!$D$5:$D$92,'1400'!A114,'Daftar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Koreksi'!$D$5:$D$92,'1400'!A114,'Daftar Koreksi'!$G$5:$G$92,"Aset Tak Berwujud",'Daftar Koreksi'!$H$5:$H$92,"&gt;0")</f>
        <v>0</v>
      </c>
      <c r="F124" s="25">
        <f>SUMIFS('Daftar Koreksi'!$H$5:$H$92,'Daftar Koreksi'!$D$5:$D$92,'1400'!A114,'Daftar Koreksi'!$G$5:$G$92,"Aset Tak Berwujud",'Daftar Koreksi'!$H$5:$H$92,"&lt;0")-SUMIFS('Daftar Koreksi'!$H$5:$H$92,'Daftar Koreksi'!$D$5:$D$92,'1400'!A114,'Daftar Koreksi'!$G$5:$G$92,"Aset Tak Berwujud",'Daftar Koreksi'!$H$5:$H$92,"&lt;0")-SUMIFS('Daftar Koreksi'!$H$5:$H$92,'Daftar Koreksi'!$D$5:$D$92,'1400'!A114,'Daftar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589704400</v>
      </c>
      <c r="E125" s="25">
        <f>SUMIFS('Daftar Koreksi'!$H$5:$H$92,'Daftar Koreksi'!$D$5:$D$92,'1400'!A114,'Daftar Koreksi'!$G$5:$G$92,"Aset Henti Guna",'Daftar Koreksi'!$H$5:$H$92,"&gt;0")</f>
        <v>0</v>
      </c>
      <c r="F125" s="25">
        <f>SUMIFS('Daftar Koreksi'!$H$5:$H$92,'Daftar Koreksi'!$D$5:$D$92,'1400'!A114,'Daftar Koreksi'!$G$5:$G$92,"Aset Henti Guna",'Daftar Koreksi'!$H$5:$H$92,"&lt;0")-SUMIFS('Daftar Koreksi'!$H$5:$H$92,'Daftar Koreksi'!$D$5:$D$92,'1400'!A114,'Daftar Koreksi'!$G$5:$G$92,"Aset Henti Guna",'Daftar Koreksi'!$H$5:$H$92,"&lt;0")-SUMIFS('Daftar Koreksi'!$H$5:$H$92,'Daftar Koreksi'!$D$5:$D$92,'1400'!A114,'Daftar Koreksi'!$G$5:$G$92,"Aset Henti Guna",'Daftar Koreksi'!$H$5:$H$92,"&lt;0")</f>
        <v>0</v>
      </c>
      <c r="G125" s="17">
        <f t="shared" si="5"/>
        <v>589704400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10893472098</v>
      </c>
      <c r="E126" s="19">
        <f>SUM(E117:E125)</f>
        <v>0</v>
      </c>
      <c r="F126" s="19">
        <f>SUM(F117:F125)</f>
        <v>0</v>
      </c>
      <c r="G126" s="19">
        <f t="shared" si="5"/>
        <v>10893472098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-644755876</v>
      </c>
      <c r="E127" s="25">
        <f>SUMIFS('Daftar Koreksi'!$I$5:$I$92,'Daftar Koreksi'!$D$5:$D$92,'1400'!A114,'Daftar Koreksi'!$G$5:$G$92,"Peralatan dan mesin",'Daftar Koreksi'!$I$5:$I$92,"&gt;0")</f>
        <v>0</v>
      </c>
      <c r="F127" s="25">
        <f>SUMIFS('Daftar Koreksi'!$I$5:$I$92,'Daftar Koreksi'!$D$5:$D$92,'1400'!A114,'Daftar Koreksi'!$G$5:$G$92,"Peralatan dan mesin",'Daftar Koreksi'!$I$5:$I$92,"&lt;0")-SUMIFS('Daftar Koreksi'!$I$5:$I$92,'Daftar Koreksi'!$D$5:$D$92,'1400'!A114,'Daftar Koreksi'!$G$5:$G$92,"Peralatan dan mesin",'Daftar Koreksi'!$I$5:$I$92,"&lt;0")-SUMIFS('Daftar Koreksi'!$I$5:$I$92,'Daftar Koreksi'!$D$5:$D$92,'1400'!A114,'Daftar Koreksi'!$G$5:$G$92,"Peralatan dan mesin",'Daftar Koreksi'!$I$5:$I$92,"&lt;0")</f>
        <v>0</v>
      </c>
      <c r="G127" s="17">
        <f t="shared" si="5"/>
        <v>-644755876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-1293068741</v>
      </c>
      <c r="E128" s="25">
        <f>SUMIFS('Daftar Koreksi'!$I$5:$I$92,'Daftar Koreksi'!$D$5:$D$92,'1400'!A114,'Daftar Koreksi'!$G$5:$G$92,"Gedung dan Bangunan",'Daftar Koreksi'!$I$5:$I$92,"&gt;0")</f>
        <v>0</v>
      </c>
      <c r="F128" s="25">
        <f>SUMIFS('Daftar Koreksi'!$I$5:$I$92,'Daftar Koreksi'!$D$5:$D$92,'1400'!A114,'Daftar Koreksi'!$G$5:$G$92,"Gedung dan Bangunan",'Daftar Koreksi'!$I$5:$I$92,"&lt;0")-SUMIFS('Daftar Koreksi'!$I$5:$I$92,'Daftar Koreksi'!$D$5:$D$92,'1400'!A114,'Daftar Koreksi'!$G$5:$G$92,"Gedung dan Bangunan",'Daftar Koreksi'!$I$5:$I$92,"&lt;0")-SUMIFS('Daftar Koreksi'!$I$5:$I$92,'Daftar Koreksi'!$D$5:$D$92,'1400'!A114,'Daftar Koreksi'!$G$5:$G$92,"Gedung dan Bangunan",'Daftar Koreksi'!$I$5:$I$92,"&lt;0")</f>
        <v>0</v>
      </c>
      <c r="G128" s="17">
        <f t="shared" si="5"/>
        <v>-1293068741</v>
      </c>
      <c r="H128" s="122"/>
    </row>
    <row r="129" spans="1:10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Koreksi'!$D$5:$D$92,'1400'!A114,'Daftar Koreksi'!$G$5:$G$92,"Jalan Irigasi Jaringan",'Daftar Koreksi'!$I$5:$I$92,"&gt;0")</f>
        <v>0</v>
      </c>
      <c r="F129" s="25">
        <f>SUMIFS('Daftar Koreksi'!$I$5:$I$92,'Daftar Koreksi'!$D$5:$D$92,'1400'!A114,'Daftar Koreksi'!$G$5:$G$92,"Jalan Irigasi Jaringan",'Daftar Koreksi'!$I$5:$I$92,"&lt;0")-SUMIFS('Daftar Koreksi'!$I$5:$I$92,'Daftar Koreksi'!$D$5:$D$92,'1400'!A114,'Daftar Koreksi'!$G$5:$G$92,"Jalan Irigasi Jaringan",'Daftar Koreksi'!$I$5:$I$92,"&lt;0")-SUMIFS('Daftar Koreksi'!$I$5:$I$92,'Daftar Koreksi'!$D$5:$D$92,'1400'!A114,'Daftar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10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Koreksi'!$D$5:$D$92,'1400'!A114,'Daftar Koreksi'!$G$5:$G$92,"Aset Tetap Lainnya",'Daftar Koreksi'!$I$5:$I$92,"&gt;0")</f>
        <v>0</v>
      </c>
      <c r="F130" s="25">
        <f>SUMIFS('Daftar Koreksi'!$I$5:$I$92,'Daftar Koreksi'!$D$5:$D$92,'1400'!A114,'Daftar Koreksi'!$G$5:$G$92,"Aset Tetap Lainnya",'Daftar Koreksi'!$I$5:$I$92,"&lt;0")-SUMIFS('Daftar Koreksi'!$I$5:$I$92,'Daftar Koreksi'!$D$5:$D$92,'1400'!A114,'Daftar Koreksi'!$G$5:$G$92,"Aset Tetap Lainnya",'Daftar Koreksi'!$I$5:$I$92,"&lt;0")-SUMIFS('Daftar Koreksi'!$I$5:$I$92,'Daftar Koreksi'!$D$5:$D$92,'1400'!A114,'Daftar Koreksi'!$G$5:$G$92,"Aset Tetap Lainnya",'Daftar Koreksi'!$I$5:$I$92,"&lt;0")</f>
        <v>0</v>
      </c>
      <c r="G130" s="17">
        <f t="shared" si="5"/>
        <v>0</v>
      </c>
      <c r="H130" s="122"/>
    </row>
    <row r="131" spans="1:10" ht="21.95" customHeight="1">
      <c r="A131" s="14"/>
      <c r="B131" s="14"/>
      <c r="C131" s="16" t="s">
        <v>2020</v>
      </c>
      <c r="D131" s="17">
        <f>VLOOKUP(A114,'Neraca Unaudited SIMAK'!$A$2:$S$10004,17,FALSE)</f>
        <v>-559129400</v>
      </c>
      <c r="E131" s="25">
        <f>SUMIFS('Daftar Koreksi'!$I$5:$I$92,'Daftar Koreksi'!$D$5:$D$92,'1400'!A114,'Daftar Koreksi'!$G$5:$G$92,"Aset Henti Guna",'Daftar Koreksi'!$I$5:$I$92,"&gt;0")</f>
        <v>0</v>
      </c>
      <c r="F131" s="25">
        <f>SUMIFS('Daftar Koreksi'!$I$5:$I$92,'Daftar Koreksi'!$D$5:$D$92,'1400'!A114,'Daftar Koreksi'!$G$5:$G$92,"Aset Henti Guna",'Daftar Koreksi'!$I$5:$I$92,"&lt;0")-SUMIFS('Daftar Koreksi'!$I$5:$I$92,'Daftar Koreksi'!$D$5:$D$92,'1400'!A114,'Daftar Koreksi'!$G$5:$G$92,"Aset Henti Guna",'Daftar Koreksi'!$I$5:$I$92,"&lt;0")-SUMIFS('Daftar Koreksi'!$I$5:$I$92,'Daftar Koreksi'!$D$5:$D$92,'1400'!A114,'Daftar Koreksi'!$G$5:$G$92,"Aset Henti Guna",'Daftar Koreksi'!$I$5:$I$92,"&lt;0")</f>
        <v>0</v>
      </c>
      <c r="G131" s="17">
        <f t="shared" si="5"/>
        <v>-559129400</v>
      </c>
      <c r="H131" s="122"/>
    </row>
    <row r="132" spans="1:10" ht="21.95" customHeight="1">
      <c r="A132" s="14"/>
      <c r="B132" s="14"/>
      <c r="C132" s="18" t="s">
        <v>2094</v>
      </c>
      <c r="D132" s="19">
        <f>SUM(D127:D131)</f>
        <v>-2496954017</v>
      </c>
      <c r="E132" s="19">
        <f>SUM(E127:E131)</f>
        <v>0</v>
      </c>
      <c r="F132" s="19">
        <f>SUM(F127:F131)</f>
        <v>0</v>
      </c>
      <c r="G132" s="19">
        <f t="shared" si="5"/>
        <v>-2496954017</v>
      </c>
      <c r="H132" s="122"/>
    </row>
    <row r="133" spans="1:10" ht="21.95" customHeight="1">
      <c r="A133" s="14"/>
      <c r="B133" s="14"/>
      <c r="C133" s="18" t="s">
        <v>2095</v>
      </c>
      <c r="D133" s="19">
        <f>VLOOKUP(A114,'Neraca Unaudited SIMAK'!$A$2:$S$10004,18,FALSE)</f>
        <v>8396518081</v>
      </c>
      <c r="E133" s="19">
        <f>E132+E126</f>
        <v>0</v>
      </c>
      <c r="F133" s="19">
        <f>F132+F126</f>
        <v>0</v>
      </c>
      <c r="G133" s="19">
        <f t="shared" si="5"/>
        <v>8396518081</v>
      </c>
      <c r="H133" s="122"/>
    </row>
    <row r="134" spans="1:10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10" ht="19.5" customHeight="1">
      <c r="A136" s="11" t="str">
        <f>O7</f>
        <v>005011400400358000KD</v>
      </c>
      <c r="B136" s="11" t="str">
        <f>P7</f>
        <v>PT. Palangkaraya</v>
      </c>
      <c r="C136" s="12" t="str">
        <f>A136&amp;" "&amp;B136</f>
        <v>005011400400358000KD PT. Palangkaraya</v>
      </c>
      <c r="D136" s="13"/>
      <c r="E136" s="13"/>
      <c r="F136" s="13"/>
      <c r="G136" s="13"/>
      <c r="H136" s="11"/>
    </row>
    <row r="137" spans="1:10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10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10" ht="21.95" customHeight="1">
      <c r="A139" s="14"/>
      <c r="B139" s="14"/>
      <c r="C139" s="16" t="s">
        <v>1165</v>
      </c>
      <c r="D139" s="17">
        <f>VLOOKUP(A136,'Neraca Unaudited SIMAK'!$A$2:$S$10004,3,FALSE)</f>
        <v>2366200</v>
      </c>
      <c r="E139" s="25">
        <f>SUMIFS('Daftar Koreksi'!$H$5:$H$92,'Daftar Koreksi'!$D$5:$D$92,'1400'!A136,'Daftar Koreksi'!$G$5:$G$92,"Persediaan",'Daftar Koreksi'!$H$5:$H$92,"&gt;0")</f>
        <v>0</v>
      </c>
      <c r="F139" s="25">
        <f>SUMIFS('Daftar Koreksi'!$H$5:$H$92,'Daftar Koreksi'!$D$5:$D$92,'1400'!A136,'Daftar Koreksi'!$G$5:$G$92,"Persediaan",'Daftar Koreksi'!$H$5:$H$92,"&lt;0")-SUMIFS('Daftar Koreksi'!$H$5:$H$92,'Daftar Koreksi'!$D$5:$D$92,'1400'!A136,'Daftar Koreksi'!$G$5:$G$92,"Persediaan",'Daftar Koreksi'!$H$5:$H$92,"&lt;0")-SUMIFS('Daftar Koreksi'!$H$5:$H$92,'Daftar Koreksi'!$D$5:$D$92,'1400'!A136,'Daftar Koreksi'!$G$5:$G$92,"Persediaan",'Daftar Koreksi'!$H$5:$H$92,"&lt;0")</f>
        <v>0</v>
      </c>
      <c r="G139" s="17">
        <f>D139+E139-F139</f>
        <v>2366200</v>
      </c>
      <c r="H139" s="121" t="str">
        <f>IF(ISNA(VLOOKUP(A136,'Mutasi Neraca'!$A$3:$S$914,19,FALSE)),"-",VLOOKUP(A136,'Mutasi Neraca'!$A$3:$S$914,19,FALSE))</f>
        <v>-</v>
      </c>
      <c r="I139" s="28"/>
      <c r="J139" s="28"/>
    </row>
    <row r="140" spans="1:10" ht="21.95" customHeight="1">
      <c r="A140" s="14"/>
      <c r="B140" s="14"/>
      <c r="C140" s="16" t="s">
        <v>1166</v>
      </c>
      <c r="D140" s="17">
        <f>VLOOKUP(A136,'Neraca Unaudited SIMAK'!$A$2:$S$10004,4,FALSE)</f>
        <v>4927626544</v>
      </c>
      <c r="E140" s="25">
        <f>SUMIFS('Daftar Koreksi'!$H$5:$H$92,'Daftar Koreksi'!$D$5:$D$92,'1400'!A136,'Daftar Koreksi'!$G$5:$G$92,"Tanah",'Daftar Koreksi'!$H$5:$H$92,"&gt;0")</f>
        <v>0</v>
      </c>
      <c r="F140" s="25">
        <f>SUMIFS('Daftar Koreksi'!$H$5:$H$92,'Daftar Koreksi'!$D$5:$D$92,'1400'!A136,'Daftar Koreksi'!$G$5:$G$92,"Tanah",'Daftar Koreksi'!$H$5:$H$92,"&lt;0")-SUMIFS('Daftar Koreksi'!$H$5:$H$92,'Daftar Koreksi'!$D$5:$D$92,'1400'!A136,'Daftar Koreksi'!$G$5:$G$92,"Tanah",'Daftar Koreksi'!$H$5:$H$92,"&lt;0")-SUMIFS('Daftar Koreksi'!$H$5:$H$92,'Daftar Koreksi'!$D$5:$D$92,'1400'!A136,'Daftar Koreksi'!$G$5:$G$92,"Tanah",'Daftar Koreksi'!$H$5:$H$92,"&lt;0")</f>
        <v>0</v>
      </c>
      <c r="G140" s="17">
        <f t="shared" ref="G140:G156" si="6">D140+E140-F140</f>
        <v>4927626544</v>
      </c>
      <c r="H140" s="122"/>
      <c r="I140" s="28"/>
      <c r="J140" s="28"/>
    </row>
    <row r="141" spans="1:10" ht="21.95" customHeight="1">
      <c r="A141" s="14"/>
      <c r="B141" s="14"/>
      <c r="C141" s="16" t="s">
        <v>1167</v>
      </c>
      <c r="D141" s="17">
        <f>VLOOKUP(A136,'Neraca Unaudited SIMAK'!$A$2:$S$10004,5,FALSE)</f>
        <v>2615093870</v>
      </c>
      <c r="E141" s="25">
        <f>SUMIFS('Daftar Koreksi'!$H$5:$H$92,'Daftar Koreksi'!$D$5:$D$92,'1400'!A136,'Daftar Koreksi'!$G$5:$G$92,"Peralatan dan mesin",'Daftar Koreksi'!$H$5:$H$92,"&gt;0")</f>
        <v>0</v>
      </c>
      <c r="F141" s="25">
        <f>SUMIFS('Daftar Koreksi'!$H$5:$H$92,'Daftar Koreksi'!$D$5:$D$92,'1400'!A136,'Daftar Koreksi'!$G$5:$G$92,"Peralatan dan mesin",'Daftar Koreksi'!$H$5:$H$92,"&lt;0")-SUMIFS('Daftar Koreksi'!$H$5:$H$92,'Daftar Koreksi'!$D$5:$D$92,'1400'!A136,'Daftar Koreksi'!$G$5:$G$92,"Peralatan dan mesin",'Daftar Koreksi'!$H$5:$H$92,"&lt;0")-SUMIFS('Daftar Koreksi'!$H$5:$H$92,'Daftar Koreksi'!$D$5:$D$92,'1400'!A136,'Daftar Koreksi'!$G$5:$G$92,"Peralatan dan mesin",'Daftar Koreksi'!$H$5:$H$92,"&lt;0")</f>
        <v>0</v>
      </c>
      <c r="G141" s="17">
        <f t="shared" si="6"/>
        <v>2615093870</v>
      </c>
      <c r="H141" s="122"/>
      <c r="I141" s="28"/>
      <c r="J141" s="28"/>
    </row>
    <row r="142" spans="1:10" ht="21.95" customHeight="1">
      <c r="A142" s="14"/>
      <c r="B142" s="14"/>
      <c r="C142" s="16" t="s">
        <v>1168</v>
      </c>
      <c r="D142" s="17">
        <f>VLOOKUP(A136,'Neraca Unaudited SIMAK'!$A$2:$S$10004,6,FALSE)</f>
        <v>9136083379</v>
      </c>
      <c r="E142" s="25">
        <f>SUMIFS('Daftar Koreksi'!$H$5:$H$92,'Daftar Koreksi'!$D$5:$D$92,'1400'!A136,'Daftar Koreksi'!$G$5:$G$92,"Gedung dan Bangunan",'Daftar Koreksi'!$H$5:$H$92,"&gt;0")</f>
        <v>0</v>
      </c>
      <c r="F142" s="25">
        <f>SUMIFS('Daftar Koreksi'!$H$5:$H$92,'Daftar Koreksi'!$D$5:$D$92,'1400'!A136,'Daftar Koreksi'!$G$5:$G$92,"Gedung dan Bangunan",'Daftar Koreksi'!$H$5:$H$92,"&lt;0")-SUMIFS('Daftar Koreksi'!$H$5:$H$92,'Daftar Koreksi'!$D$5:$D$92,'1400'!A136,'Daftar Koreksi'!$G$5:$G$92,"Gedung dan Bangunan",'Daftar Koreksi'!$H$5:$H$92,"&lt;0")-SUMIFS('Daftar Koreksi'!$H$5:$H$92,'Daftar Koreksi'!$D$5:$D$92,'1400'!A136,'Daftar Koreksi'!$G$5:$G$92,"Gedung dan Bangunan",'Daftar Koreksi'!$H$5:$H$92,"&lt;0")</f>
        <v>0</v>
      </c>
      <c r="G142" s="17">
        <f t="shared" si="6"/>
        <v>9136083379</v>
      </c>
      <c r="H142" s="122"/>
      <c r="I142" s="28"/>
      <c r="J142" s="28"/>
    </row>
    <row r="143" spans="1:10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Koreksi'!$D$5:$D$92,'1400'!A136,'Daftar Koreksi'!$G$5:$G$92,"Jalan Irigasi Jaringan",'Daftar Koreksi'!$H$5:$H$92,"&gt;0")</f>
        <v>0</v>
      </c>
      <c r="F143" s="25">
        <f>SUMIFS('Daftar Koreksi'!$H$5:$H$92,'Daftar Koreksi'!$D$5:$D$92,'1400'!A136,'Daftar Koreksi'!$G$5:$G$92,"Jalan Irigasi Jaringan",'Daftar Koreksi'!$H$5:$H$92,"&lt;0")-SUMIFS('Daftar Koreksi'!$H$5:$H$92,'Daftar Koreksi'!$D$5:$D$92,'1400'!A136,'Daftar Koreksi'!$G$5:$G$92,"Jalan Irigasi Jaringan",'Daftar Koreksi'!$H$5:$H$92,"&lt;0")-SUMIFS('Daftar Koreksi'!$H$5:$H$92,'Daftar Koreksi'!$D$5:$D$92,'1400'!A136,'Daftar Koreksi'!$G$5:$G$92,"Jalan Irigasi Jaringan",'Daftar Koreksi'!$H$5:$H$92,"&lt;0")</f>
        <v>0</v>
      </c>
      <c r="G143" s="17">
        <f t="shared" si="6"/>
        <v>0</v>
      </c>
      <c r="H143" s="122"/>
      <c r="I143" s="28"/>
      <c r="J143" s="28"/>
    </row>
    <row r="144" spans="1:10" ht="21.95" customHeight="1">
      <c r="A144" s="14"/>
      <c r="B144" s="14"/>
      <c r="C144" s="16" t="s">
        <v>1170</v>
      </c>
      <c r="D144" s="17">
        <f>VLOOKUP(A136,'Neraca Unaudited SIMAK'!$A$2:$S$10004,8,FALSE)</f>
        <v>30759488</v>
      </c>
      <c r="E144" s="25">
        <f>SUMIFS('Daftar Koreksi'!$H$5:$H$92,'Daftar Koreksi'!$D$5:$D$92,'1400'!A136,'Daftar Koreksi'!$G$5:$G$92,"Aset Tetap Lainnya",'Daftar Koreksi'!$H$5:$H$92,"&gt;0")</f>
        <v>0</v>
      </c>
      <c r="F144" s="25">
        <f>SUMIFS('Daftar Koreksi'!$H$5:$H$92,'Daftar Koreksi'!$D$5:$D$92,'1400'!A136,'Daftar Koreksi'!$G$5:$G$92,"Aset Tetap Lainnya",'Daftar Koreksi'!$H$5:$H$92,"&lt;0")-SUMIFS('Daftar Koreksi'!$H$5:$H$92,'Daftar Koreksi'!$D$5:$D$92,'1400'!A136,'Daftar Koreksi'!$G$5:$G$92,"Aset Tetap Lainnya",'Daftar Koreksi'!$H$5:$H$92,"&lt;0")-SUMIFS('Daftar Koreksi'!$H$5:$H$92,'Daftar Koreksi'!$D$5:$D$92,'1400'!A136,'Daftar Koreksi'!$G$5:$G$92,"Aset Tetap Lainnya",'Daftar Koreksi'!$H$5:$H$92,"&lt;0")</f>
        <v>0</v>
      </c>
      <c r="G144" s="17">
        <f t="shared" si="6"/>
        <v>30759488</v>
      </c>
      <c r="H144" s="122"/>
      <c r="I144" s="28"/>
      <c r="J144" s="28"/>
    </row>
    <row r="145" spans="1:10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Koreksi'!$D$5:$D$92,'1400'!A136,'Daftar Koreksi'!$G$5:$G$92,"Kontruksi Dalam Pengerjaan",'Daftar Koreksi'!$H$5:$H$92,"&gt;0")</f>
        <v>0</v>
      </c>
      <c r="F145" s="25">
        <f>SUMIFS('Daftar Koreksi'!$H$5:$H$92,'Daftar Koreksi'!$D$5:$D$92,'1400'!A136,'Daftar Koreksi'!$G$5:$G$92,"Kontruksi Dalam Pengerjaan",'Daftar Koreksi'!$H$5:$H$92,"&lt;0")-SUMIFS('Daftar Koreksi'!$H$5:$H$92,'Daftar Koreksi'!$D$5:$D$92,'1400'!A136,'Daftar Koreksi'!$G$5:$G$92,"Kontruksi Dalam Pengerjaan",'Daftar Koreksi'!$H$5:$H$92,"&lt;0")-SUMIFS('Daftar Koreksi'!$H$5:$H$92,'Daftar Koreksi'!$D$5:$D$92,'1400'!A136,'Daftar Koreksi'!$G$5:$G$92,"Kontruksi Dalam Pengerjaan",'Daftar Koreksi'!$H$5:$H$92,"&lt;0")</f>
        <v>0</v>
      </c>
      <c r="G145" s="17">
        <f t="shared" si="6"/>
        <v>0</v>
      </c>
      <c r="H145" s="122"/>
      <c r="I145" s="28"/>
      <c r="J145" s="28"/>
    </row>
    <row r="146" spans="1:10" ht="21.95" customHeight="1">
      <c r="A146" s="14"/>
      <c r="B146" s="14"/>
      <c r="C146" s="16" t="s">
        <v>1172</v>
      </c>
      <c r="D146" s="17">
        <f>VLOOKUP(A136,'Neraca Unaudited SIMAK'!$A$2:$S$10004,10,FALSE)</f>
        <v>29818425</v>
      </c>
      <c r="E146" s="25">
        <f>SUMIFS('Daftar Koreksi'!$H$5:$H$92,'Daftar Koreksi'!$D$5:$D$92,'1400'!A136,'Daftar Koreksi'!$G$5:$G$92,"Aset Tak Berwujud",'Daftar Koreksi'!$H$5:$H$92,"&gt;0")</f>
        <v>0</v>
      </c>
      <c r="F146" s="25">
        <f>SUMIFS('Daftar Koreksi'!$H$5:$H$92,'Daftar Koreksi'!$D$5:$D$92,'1400'!A136,'Daftar Koreksi'!$G$5:$G$92,"Aset Tak Berwujud",'Daftar Koreksi'!$H$5:$H$92,"&lt;0")-SUMIFS('Daftar Koreksi'!$H$5:$H$92,'Daftar Koreksi'!$D$5:$D$92,'1400'!A136,'Daftar Koreksi'!$G$5:$G$92,"Aset Tak Berwujud",'Daftar Koreksi'!$H$5:$H$92,"&lt;0")-SUMIFS('Daftar Koreksi'!$H$5:$H$92,'Daftar Koreksi'!$D$5:$D$92,'1400'!A136,'Daftar Koreksi'!$G$5:$G$92,"Aset Tak Berwujud",'Daftar Koreksi'!$H$5:$H$92,"&lt;0")</f>
        <v>0</v>
      </c>
      <c r="G146" s="17">
        <f t="shared" si="6"/>
        <v>29818425</v>
      </c>
      <c r="H146" s="122"/>
      <c r="I146" s="28"/>
      <c r="J146" s="28"/>
    </row>
    <row r="147" spans="1:10" ht="21.95" customHeight="1">
      <c r="A147" s="14"/>
      <c r="B147" s="14"/>
      <c r="C147" s="16" t="s">
        <v>1173</v>
      </c>
      <c r="D147" s="17">
        <f>VLOOKUP(A136,'Neraca Unaudited SIMAK'!$A$2:$S$10004,11,FALSE)</f>
        <v>8817000</v>
      </c>
      <c r="E147" s="25">
        <f>SUMIFS('Daftar Koreksi'!$H$5:$H$92,'Daftar Koreksi'!$D$5:$D$92,'1400'!A136,'Daftar Koreksi'!$G$5:$G$92,"Aset Henti Guna",'Daftar Koreksi'!$H$5:$H$92,"&gt;0")</f>
        <v>0</v>
      </c>
      <c r="F147" s="25">
        <f>SUMIFS('Daftar Koreksi'!$H$5:$H$92,'Daftar Koreksi'!$D$5:$D$92,'1400'!A136,'Daftar Koreksi'!$G$5:$G$92,"Aset Henti Guna",'Daftar Koreksi'!$H$5:$H$92,"&lt;0")-SUMIFS('Daftar Koreksi'!$H$5:$H$92,'Daftar Koreksi'!$D$5:$D$92,'1400'!A136,'Daftar Koreksi'!$G$5:$G$92,"Aset Henti Guna",'Daftar Koreksi'!$H$5:$H$92,"&lt;0")-SUMIFS('Daftar Koreksi'!$H$5:$H$92,'Daftar Koreksi'!$D$5:$D$92,'1400'!A136,'Daftar Koreksi'!$G$5:$G$92,"Aset Henti Guna",'Daftar Koreksi'!$H$5:$H$92,"&lt;0")</f>
        <v>0</v>
      </c>
      <c r="G147" s="17">
        <f t="shared" si="6"/>
        <v>8817000</v>
      </c>
      <c r="H147" s="122"/>
      <c r="I147" s="28"/>
      <c r="J147" s="28"/>
    </row>
    <row r="148" spans="1:10" ht="21.95" customHeight="1">
      <c r="A148" s="14"/>
      <c r="B148" s="14"/>
      <c r="C148" s="18" t="s">
        <v>2093</v>
      </c>
      <c r="D148" s="19">
        <f>VLOOKUP(A136,'Neraca Unaudited SIMAK'!$A$2:$S$10004,12,FALSE)</f>
        <v>16750564906</v>
      </c>
      <c r="E148" s="19">
        <f>SUM(E139:E147)</f>
        <v>0</v>
      </c>
      <c r="F148" s="19">
        <f>SUM(F139:F147)</f>
        <v>0</v>
      </c>
      <c r="G148" s="19">
        <f t="shared" si="6"/>
        <v>16750564906</v>
      </c>
      <c r="H148" s="122"/>
      <c r="I148" s="28"/>
      <c r="J148" s="28"/>
    </row>
    <row r="149" spans="1:10" ht="21.95" customHeight="1">
      <c r="A149" s="14"/>
      <c r="B149" s="14"/>
      <c r="C149" s="16" t="s">
        <v>2087</v>
      </c>
      <c r="D149" s="17">
        <f>VLOOKUP(A136,'Neraca Unaudited SIMAK'!$A$2:$S$10004,13,FALSE)</f>
        <v>-2295726087</v>
      </c>
      <c r="E149" s="25">
        <f>SUMIFS('Daftar Koreksi'!$I$5:$I$92,'Daftar Koreksi'!$D$5:$D$92,'1400'!A136,'Daftar Koreksi'!$G$5:$G$92,"Peralatan dan mesin",'Daftar Koreksi'!$I$5:$I$92,"&gt;0")</f>
        <v>0</v>
      </c>
      <c r="F149" s="25">
        <f>SUMIFS('Daftar Koreksi'!$I$5:$I$92,'Daftar Koreksi'!$D$5:$D$92,'1400'!A136,'Daftar Koreksi'!$G$5:$G$92,"Peralatan dan mesin",'Daftar Koreksi'!$I$5:$I$92,"&lt;0")-SUMIFS('Daftar Koreksi'!$I$5:$I$92,'Daftar Koreksi'!$D$5:$D$92,'1400'!A136,'Daftar Koreksi'!$G$5:$G$92,"Peralatan dan mesin",'Daftar Koreksi'!$I$5:$I$92,"&lt;0")-SUMIFS('Daftar Koreksi'!$I$5:$I$92,'Daftar Koreksi'!$D$5:$D$92,'1400'!A136,'Daftar Koreksi'!$G$5:$G$92,"Peralatan dan mesin",'Daftar Koreksi'!$I$5:$I$92,"&lt;0")</f>
        <v>0</v>
      </c>
      <c r="G149" s="17">
        <f t="shared" si="6"/>
        <v>-2295726087</v>
      </c>
      <c r="H149" s="122"/>
      <c r="I149" s="28"/>
      <c r="J149" s="28"/>
    </row>
    <row r="150" spans="1:10" ht="21.95" customHeight="1">
      <c r="A150" s="14"/>
      <c r="B150" s="14"/>
      <c r="C150" s="16" t="s">
        <v>2088</v>
      </c>
      <c r="D150" s="17">
        <f>VLOOKUP(A136,'Neraca Unaudited SIMAK'!$A$2:$S$10004,14,FALSE)</f>
        <v>-1913040727</v>
      </c>
      <c r="E150" s="25">
        <f>SUMIFS('Daftar Koreksi'!$I$5:$I$92,'Daftar Koreksi'!$D$5:$D$92,'1400'!A136,'Daftar Koreksi'!$G$5:$G$92,"Gedung dan Bangunan",'Daftar Koreksi'!$I$5:$I$92,"&gt;0")</f>
        <v>0</v>
      </c>
      <c r="F150" s="25">
        <f>SUMIFS('Daftar Koreksi'!$I$5:$I$92,'Daftar Koreksi'!$D$5:$D$92,'1400'!A136,'Daftar Koreksi'!$G$5:$G$92,"Gedung dan Bangunan",'Daftar Koreksi'!$I$5:$I$92,"&lt;0")-SUMIFS('Daftar Koreksi'!$I$5:$I$92,'Daftar Koreksi'!$D$5:$D$92,'1400'!A136,'Daftar Koreksi'!$G$5:$G$92,"Gedung dan Bangunan",'Daftar Koreksi'!$I$5:$I$92,"&lt;0")-SUMIFS('Daftar Koreksi'!$I$5:$I$92,'Daftar Koreksi'!$D$5:$D$92,'1400'!A136,'Daftar Koreksi'!$G$5:$G$92,"Gedung dan Bangunan",'Daftar Koreksi'!$I$5:$I$92,"&lt;0")</f>
        <v>0</v>
      </c>
      <c r="G150" s="17">
        <f t="shared" si="6"/>
        <v>-1913040727</v>
      </c>
      <c r="H150" s="122"/>
      <c r="I150" s="28"/>
      <c r="J150" s="28"/>
    </row>
    <row r="151" spans="1:10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Koreksi'!$D$5:$D$92,'1400'!A136,'Daftar Koreksi'!$G$5:$G$92,"Jalan Irigasi Jaringan",'Daftar Koreksi'!$I$5:$I$92,"&gt;0")</f>
        <v>0</v>
      </c>
      <c r="F151" s="25">
        <f>SUMIFS('Daftar Koreksi'!$I$5:$I$92,'Daftar Koreksi'!$D$5:$D$92,'1400'!A136,'Daftar Koreksi'!$G$5:$G$92,"Jalan Irigasi Jaringan",'Daftar Koreksi'!$I$5:$I$92,"&lt;0")-SUMIFS('Daftar Koreksi'!$I$5:$I$92,'Daftar Koreksi'!$D$5:$D$92,'1400'!A136,'Daftar Koreksi'!$G$5:$G$92,"Jalan Irigasi Jaringan",'Daftar Koreksi'!$I$5:$I$92,"&lt;0")-SUMIFS('Daftar Koreksi'!$I$5:$I$92,'Daftar Koreksi'!$D$5:$D$92,'1400'!A136,'Daftar Koreksi'!$G$5:$G$92,"Jalan Irigasi Jaringan",'Daftar Koreksi'!$I$5:$I$92,"&lt;0")</f>
        <v>0</v>
      </c>
      <c r="G151" s="17">
        <f t="shared" si="6"/>
        <v>0</v>
      </c>
      <c r="H151" s="122"/>
      <c r="I151" s="28"/>
      <c r="J151" s="28"/>
    </row>
    <row r="152" spans="1:10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Koreksi'!$D$5:$D$92,'1400'!A136,'Daftar Koreksi'!$G$5:$G$92,"Aset Tetap Lainnya",'Daftar Koreksi'!$I$5:$I$92,"&gt;0")</f>
        <v>0</v>
      </c>
      <c r="F152" s="25">
        <f>SUMIFS('Daftar Koreksi'!$I$5:$I$92,'Daftar Koreksi'!$D$5:$D$92,'1400'!A136,'Daftar Koreksi'!$G$5:$G$92,"Aset Tetap Lainnya",'Daftar Koreksi'!$I$5:$I$92,"&lt;0")-SUMIFS('Daftar Koreksi'!$I$5:$I$92,'Daftar Koreksi'!$D$5:$D$92,'1400'!A136,'Daftar Koreksi'!$G$5:$G$92,"Aset Tetap Lainnya",'Daftar Koreksi'!$I$5:$I$92,"&lt;0")-SUMIFS('Daftar Koreksi'!$I$5:$I$92,'Daftar Koreksi'!$D$5:$D$92,'1400'!A136,'Daftar Koreksi'!$G$5:$G$92,"Aset Tetap Lainnya",'Daftar Koreksi'!$I$5:$I$92,"&lt;0")</f>
        <v>0</v>
      </c>
      <c r="G152" s="17">
        <f t="shared" si="6"/>
        <v>0</v>
      </c>
      <c r="H152" s="122"/>
      <c r="I152" s="28"/>
      <c r="J152" s="28"/>
    </row>
    <row r="153" spans="1:10" ht="21.95" customHeight="1">
      <c r="A153" s="14"/>
      <c r="B153" s="14"/>
      <c r="C153" s="16" t="s">
        <v>2020</v>
      </c>
      <c r="D153" s="17">
        <f>VLOOKUP(A136,'Neraca Unaudited SIMAK'!$A$2:$S$10004,17,FALSE)</f>
        <v>-8817000</v>
      </c>
      <c r="E153" s="25">
        <f>SUMIFS('Daftar Koreksi'!$I$5:$I$92,'Daftar Koreksi'!$D$5:$D$92,'1400'!A136,'Daftar Koreksi'!$G$5:$G$92,"Aset Henti Guna",'Daftar Koreksi'!$I$5:$I$92,"&gt;0")</f>
        <v>0</v>
      </c>
      <c r="F153" s="25">
        <f>SUMIFS('Daftar Koreksi'!$I$5:$I$92,'Daftar Koreksi'!$D$5:$D$92,'1400'!A136,'Daftar Koreksi'!$G$5:$G$92,"Aset Henti Guna",'Daftar Koreksi'!$I$5:$I$92,"&lt;0")-SUMIFS('Daftar Koreksi'!$I$5:$I$92,'Daftar Koreksi'!$D$5:$D$92,'1400'!A136,'Daftar Koreksi'!$G$5:$G$92,"Aset Henti Guna",'Daftar Koreksi'!$I$5:$I$92,"&lt;0")-SUMIFS('Daftar Koreksi'!$I$5:$I$92,'Daftar Koreksi'!$D$5:$D$92,'1400'!A136,'Daftar Koreksi'!$G$5:$G$92,"Aset Henti Guna",'Daftar Koreksi'!$I$5:$I$92,"&lt;0")</f>
        <v>0</v>
      </c>
      <c r="G153" s="17">
        <f t="shared" si="6"/>
        <v>-8817000</v>
      </c>
      <c r="H153" s="122"/>
      <c r="I153" s="28"/>
      <c r="J153" s="28"/>
    </row>
    <row r="154" spans="1:10" ht="21.95" customHeight="1">
      <c r="A154" s="14"/>
      <c r="B154" s="14"/>
      <c r="C154" s="18" t="s">
        <v>2094</v>
      </c>
      <c r="D154" s="19">
        <f>SUM(D149:D153)</f>
        <v>-4217583814</v>
      </c>
      <c r="E154" s="19">
        <f>SUM(E149:E153)</f>
        <v>0</v>
      </c>
      <c r="F154" s="19">
        <f>SUM(F149:F153)</f>
        <v>0</v>
      </c>
      <c r="G154" s="19">
        <f t="shared" si="6"/>
        <v>-4217583814</v>
      </c>
      <c r="H154" s="122"/>
      <c r="I154" s="28"/>
      <c r="J154" s="28"/>
    </row>
    <row r="155" spans="1:10" ht="21.95" customHeight="1">
      <c r="A155" s="14"/>
      <c r="B155" s="14"/>
      <c r="C155" s="18" t="s">
        <v>2095</v>
      </c>
      <c r="D155" s="19">
        <f>VLOOKUP(A136,'Neraca Unaudited SIMAK'!$A$2:$S$10004,18,FALSE)</f>
        <v>12532981092</v>
      </c>
      <c r="E155" s="19">
        <f>E154+E148</f>
        <v>0</v>
      </c>
      <c r="F155" s="19">
        <f>F154+F148</f>
        <v>0</v>
      </c>
      <c r="G155" s="19">
        <f t="shared" si="6"/>
        <v>12532981092</v>
      </c>
      <c r="H155" s="122"/>
      <c r="I155" s="28"/>
      <c r="J155" s="28"/>
    </row>
    <row r="156" spans="1:10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  <c r="I156" s="28"/>
      <c r="J156" s="28"/>
    </row>
    <row r="158" spans="1:10" ht="19.5" customHeight="1">
      <c r="A158" s="11" t="str">
        <f>O8</f>
        <v>005011400402421000KD</v>
      </c>
      <c r="B158" s="11" t="str">
        <f>P8</f>
        <v>PA. Palangkaraya</v>
      </c>
      <c r="C158" s="12" t="str">
        <f>A158&amp;" "&amp;B158</f>
        <v>005011400402421000KD PA. Palangkaraya</v>
      </c>
      <c r="D158" s="13"/>
      <c r="E158" s="13"/>
      <c r="F158" s="13"/>
      <c r="G158" s="13"/>
      <c r="H158" s="11"/>
    </row>
    <row r="159" spans="1:10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10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2748000</v>
      </c>
      <c r="E161" s="25">
        <f>SUMIFS('Daftar Koreksi'!$H$5:$H$92,'Daftar Koreksi'!$D$5:$D$92,'1400'!A158,'Daftar Koreksi'!$G$5:$G$92,"Persediaan",'Daftar Koreksi'!$H$5:$H$92,"&gt;0")</f>
        <v>0</v>
      </c>
      <c r="F161" s="25">
        <f>SUMIFS('Daftar Koreksi'!$H$5:$H$92,'Daftar Koreksi'!$D$5:$D$92,'1400'!A158,'Daftar Koreksi'!$G$5:$G$92,"Persediaan",'Daftar Koreksi'!$H$5:$H$92,"&lt;0")-SUMIFS('Daftar Koreksi'!$H$5:$H$92,'Daftar Koreksi'!$D$5:$D$92,'1400'!A158,'Daftar Koreksi'!$G$5:$G$92,"Persediaan",'Daftar Koreksi'!$H$5:$H$92,"&lt;0")-SUMIFS('Daftar Koreksi'!$H$5:$H$92,'Daftar Koreksi'!$D$5:$D$92,'1400'!A158,'Daftar Koreksi'!$G$5:$G$92,"Persediaan",'Daftar Koreksi'!$H$5:$H$92,"&lt;0")</f>
        <v>0</v>
      </c>
      <c r="G161" s="17">
        <f>D161+E161-F161</f>
        <v>2748000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1494282000</v>
      </c>
      <c r="E162" s="25">
        <f>SUMIFS('Daftar Koreksi'!$H$5:$H$92,'Daftar Koreksi'!$D$5:$D$92,'1400'!A158,'Daftar Koreksi'!$G$5:$G$92,"Tanah",'Daftar Koreksi'!$H$5:$H$92,"&gt;0")</f>
        <v>0</v>
      </c>
      <c r="F162" s="25">
        <f>SUMIFS('Daftar Koreksi'!$H$5:$H$92,'Daftar Koreksi'!$D$5:$D$92,'1400'!A158,'Daftar Koreksi'!$G$5:$G$92,"Tanah",'Daftar Koreksi'!$H$5:$H$92,"&lt;0")-SUMIFS('Daftar Koreksi'!$H$5:$H$92,'Daftar Koreksi'!$D$5:$D$92,'1400'!A158,'Daftar Koreksi'!$G$5:$G$92,"Tanah",'Daftar Koreksi'!$H$5:$H$92,"&lt;0")-SUMIFS('Daftar Koreksi'!$H$5:$H$92,'Daftar Koreksi'!$D$5:$D$92,'1400'!A158,'Daftar Koreksi'!$G$5:$G$92,"Tanah",'Daftar Koreksi'!$H$5:$H$92,"&lt;0")</f>
        <v>0</v>
      </c>
      <c r="G162" s="17">
        <f t="shared" ref="G162:G178" si="7">D162+E162-F162</f>
        <v>1494282000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1533531375</v>
      </c>
      <c r="E163" s="25">
        <f>SUMIFS('Daftar Koreksi'!$H$5:$H$92,'Daftar Koreksi'!$D$5:$D$92,'1400'!A158,'Daftar Koreksi'!$G$5:$G$92,"Peralatan dan mesin",'Daftar Koreksi'!$H$5:$H$92,"&gt;0")</f>
        <v>0</v>
      </c>
      <c r="F163" s="25">
        <f>SUMIFS('Daftar Koreksi'!$H$5:$H$92,'Daftar Koreksi'!$D$5:$D$92,'1400'!A158,'Daftar Koreksi'!$G$5:$G$92,"Peralatan dan mesin",'Daftar Koreksi'!$H$5:$H$92,"&lt;0")-SUMIFS('Daftar Koreksi'!$H$5:$H$92,'Daftar Koreksi'!$D$5:$D$92,'1400'!A158,'Daftar Koreksi'!$G$5:$G$92,"Peralatan dan mesin",'Daftar Koreksi'!$H$5:$H$92,"&lt;0")-SUMIFS('Daftar Koreksi'!$H$5:$H$92,'Daftar Koreksi'!$D$5:$D$92,'1400'!A158,'Daftar Koreksi'!$G$5:$G$92,"Peralatan dan mesin",'Daftar Koreksi'!$H$5:$H$92,"&lt;0")</f>
        <v>0</v>
      </c>
      <c r="G163" s="17">
        <f t="shared" si="7"/>
        <v>1533531375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3169666600</v>
      </c>
      <c r="E164" s="25">
        <f>SUMIFS('Daftar Koreksi'!$H$5:$H$92,'Daftar Koreksi'!$D$5:$D$92,'1400'!A158,'Daftar Koreksi'!$G$5:$G$92,"Gedung dan Bangunan",'Daftar Koreksi'!$H$5:$H$92,"&gt;0")</f>
        <v>0</v>
      </c>
      <c r="F164" s="25">
        <f>SUMIFS('Daftar Koreksi'!$H$5:$H$92,'Daftar Koreksi'!$D$5:$D$92,'1400'!A158,'Daftar Koreksi'!$G$5:$G$92,"Gedung dan Bangunan",'Daftar Koreksi'!$H$5:$H$92,"&lt;0")-SUMIFS('Daftar Koreksi'!$H$5:$H$92,'Daftar Koreksi'!$D$5:$D$92,'1400'!A158,'Daftar Koreksi'!$G$5:$G$92,"Gedung dan Bangunan",'Daftar Koreksi'!$H$5:$H$92,"&lt;0")-SUMIFS('Daftar Koreksi'!$H$5:$H$92,'Daftar Koreksi'!$D$5:$D$92,'1400'!A158,'Daftar Koreksi'!$G$5:$G$92,"Gedung dan Bangunan",'Daftar Koreksi'!$H$5:$H$92,"&lt;0")</f>
        <v>0</v>
      </c>
      <c r="G164" s="17">
        <f t="shared" si="7"/>
        <v>3169666600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43985000</v>
      </c>
      <c r="E165" s="25">
        <f>SUMIFS('Daftar Koreksi'!$H$5:$H$92,'Daftar Koreksi'!$D$5:$D$92,'1400'!A158,'Daftar Koreksi'!$G$5:$G$92,"Jalan Irigasi Jaringan",'Daftar Koreksi'!$H$5:$H$92,"&gt;0")</f>
        <v>0</v>
      </c>
      <c r="F165" s="25">
        <f>SUMIFS('Daftar Koreksi'!$H$5:$H$92,'Daftar Koreksi'!$D$5:$D$92,'1400'!A158,'Daftar Koreksi'!$G$5:$G$92,"Jalan Irigasi Jaringan",'Daftar Koreksi'!$H$5:$H$92,"&lt;0")-SUMIFS('Daftar Koreksi'!$H$5:$H$92,'Daftar Koreksi'!$D$5:$D$92,'1400'!A158,'Daftar Koreksi'!$G$5:$G$92,"Jalan Irigasi Jaringan",'Daftar Koreksi'!$H$5:$H$92,"&lt;0")-SUMIFS('Daftar Koreksi'!$H$5:$H$92,'Daftar Koreksi'!$D$5:$D$92,'1400'!A158,'Daftar Koreksi'!$G$5:$G$92,"Jalan Irigasi Jaringan",'Daftar Koreksi'!$H$5:$H$92,"&lt;0")</f>
        <v>0</v>
      </c>
      <c r="G165" s="17">
        <f t="shared" si="7"/>
        <v>43985000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8739500</v>
      </c>
      <c r="E166" s="25">
        <f>SUMIFS('Daftar Koreksi'!$H$5:$H$92,'Daftar Koreksi'!$D$5:$D$92,'1400'!A158,'Daftar Koreksi'!$G$5:$G$92,"Aset Tetap Lainnya",'Daftar Koreksi'!$H$5:$H$92,"&gt;0")</f>
        <v>0</v>
      </c>
      <c r="F166" s="25">
        <f>SUMIFS('Daftar Koreksi'!$H$5:$H$92,'Daftar Koreksi'!$D$5:$D$92,'1400'!A158,'Daftar Koreksi'!$G$5:$G$92,"Aset Tetap Lainnya",'Daftar Koreksi'!$H$5:$H$92,"&lt;0")-SUMIFS('Daftar Koreksi'!$H$5:$H$92,'Daftar Koreksi'!$D$5:$D$92,'1400'!A158,'Daftar Koreksi'!$G$5:$G$92,"Aset Tetap Lainnya",'Daftar Koreksi'!$H$5:$H$92,"&lt;0")-SUMIFS('Daftar Koreksi'!$H$5:$H$92,'Daftar Koreksi'!$D$5:$D$92,'1400'!A158,'Daftar Koreksi'!$G$5:$G$92,"Aset Tetap Lainnya",'Daftar Koreksi'!$H$5:$H$92,"&lt;0")</f>
        <v>0</v>
      </c>
      <c r="G166" s="17">
        <f t="shared" si="7"/>
        <v>8739500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Koreksi'!$D$5:$D$92,'1400'!A158,'Daftar Koreksi'!$G$5:$G$92,"Kontruksi Dalam Pengerjaan",'Daftar Koreksi'!$H$5:$H$92,"&gt;0")</f>
        <v>0</v>
      </c>
      <c r="F167" s="25">
        <f>SUMIFS('Daftar Koreksi'!$H$5:$H$92,'Daftar Koreksi'!$D$5:$D$92,'1400'!A158,'Daftar Koreksi'!$G$5:$G$92,"Kontruksi Dalam Pengerjaan",'Daftar Koreksi'!$H$5:$H$92,"&lt;0")-SUMIFS('Daftar Koreksi'!$H$5:$H$92,'Daftar Koreksi'!$D$5:$D$92,'1400'!A158,'Daftar Koreksi'!$G$5:$G$92,"Kontruksi Dalam Pengerjaan",'Daftar Koreksi'!$H$5:$H$92,"&lt;0")-SUMIFS('Daftar Koreksi'!$H$5:$H$92,'Daftar Koreksi'!$D$5:$D$92,'1400'!A158,'Daftar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29100000</v>
      </c>
      <c r="E168" s="25">
        <f>SUMIFS('Daftar Koreksi'!$H$5:$H$92,'Daftar Koreksi'!$D$5:$D$92,'1400'!A158,'Daftar Koreksi'!$G$5:$G$92,"Aset Tak Berwujud",'Daftar Koreksi'!$H$5:$H$92,"&gt;0")</f>
        <v>0</v>
      </c>
      <c r="F168" s="25">
        <f>SUMIFS('Daftar Koreksi'!$H$5:$H$92,'Daftar Koreksi'!$D$5:$D$92,'1400'!A158,'Daftar Koreksi'!$G$5:$G$92,"Aset Tak Berwujud",'Daftar Koreksi'!$H$5:$H$92,"&lt;0")-SUMIFS('Daftar Koreksi'!$H$5:$H$92,'Daftar Koreksi'!$D$5:$D$92,'1400'!A158,'Daftar Koreksi'!$G$5:$G$92,"Aset Tak Berwujud",'Daftar Koreksi'!$H$5:$H$92,"&lt;0")-SUMIFS('Daftar Koreksi'!$H$5:$H$92,'Daftar Koreksi'!$D$5:$D$92,'1400'!A158,'Daftar Koreksi'!$G$5:$G$92,"Aset Tak Berwujud",'Daftar Koreksi'!$H$5:$H$92,"&lt;0")</f>
        <v>0</v>
      </c>
      <c r="G168" s="17">
        <f t="shared" si="7"/>
        <v>29100000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41134915</v>
      </c>
      <c r="E169" s="25">
        <f>SUMIFS('Daftar Koreksi'!$H$5:$H$92,'Daftar Koreksi'!$D$5:$D$92,'1400'!A158,'Daftar Koreksi'!$G$5:$G$92,"Aset Henti Guna",'Daftar Koreksi'!$H$5:$H$92,"&gt;0")</f>
        <v>0</v>
      </c>
      <c r="F169" s="25">
        <f>SUMIFS('Daftar Koreksi'!$H$5:$H$92,'Daftar Koreksi'!$D$5:$D$92,'1400'!A158,'Daftar Koreksi'!$G$5:$G$92,"Aset Henti Guna",'Daftar Koreksi'!$H$5:$H$92,"&lt;0")-SUMIFS('Daftar Koreksi'!$H$5:$H$92,'Daftar Koreksi'!$D$5:$D$92,'1400'!A158,'Daftar Koreksi'!$G$5:$G$92,"Aset Henti Guna",'Daftar Koreksi'!$H$5:$H$92,"&lt;0")-SUMIFS('Daftar Koreksi'!$H$5:$H$92,'Daftar Koreksi'!$D$5:$D$92,'1400'!A158,'Daftar Koreksi'!$G$5:$G$92,"Aset Henti Guna",'Daftar Koreksi'!$H$5:$H$92,"&lt;0")</f>
        <v>0</v>
      </c>
      <c r="G169" s="17">
        <f t="shared" si="7"/>
        <v>41134915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6323187390</v>
      </c>
      <c r="E170" s="19">
        <f>SUM(E161:E169)</f>
        <v>0</v>
      </c>
      <c r="F170" s="19">
        <f>SUM(F161:F169)</f>
        <v>0</v>
      </c>
      <c r="G170" s="19">
        <f t="shared" si="7"/>
        <v>6323187390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-1158636928</v>
      </c>
      <c r="E171" s="25">
        <f>SUMIFS('Daftar Koreksi'!$I$5:$I$92,'Daftar Koreksi'!$D$5:$D$92,'1400'!A158,'Daftar Koreksi'!$G$5:$G$92,"Peralatan dan mesin",'Daftar Koreksi'!$I$5:$I$92,"&gt;0")</f>
        <v>0</v>
      </c>
      <c r="F171" s="25">
        <f>SUMIFS('Daftar Koreksi'!$I$5:$I$92,'Daftar Koreksi'!$D$5:$D$92,'1400'!A158,'Daftar Koreksi'!$G$5:$G$92,"Peralatan dan mesin",'Daftar Koreksi'!$I$5:$I$92,"&lt;0")-SUMIFS('Daftar Koreksi'!$I$5:$I$92,'Daftar Koreksi'!$D$5:$D$92,'1400'!A158,'Daftar Koreksi'!$G$5:$G$92,"Peralatan dan mesin",'Daftar Koreksi'!$I$5:$I$92,"&lt;0")-SUMIFS('Daftar Koreksi'!$I$5:$I$92,'Daftar Koreksi'!$D$5:$D$92,'1400'!A158,'Daftar Koreksi'!$G$5:$G$92,"Peralatan dan mesin",'Daftar Koreksi'!$I$5:$I$92,"&lt;0")</f>
        <v>0</v>
      </c>
      <c r="G171" s="17">
        <f t="shared" si="7"/>
        <v>-1158636928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-575464963</v>
      </c>
      <c r="E172" s="25">
        <f>SUMIFS('Daftar Koreksi'!$I$5:$I$92,'Daftar Koreksi'!$D$5:$D$92,'1400'!A158,'Daftar Koreksi'!$G$5:$G$92,"Gedung dan Bangunan",'Daftar Koreksi'!$I$5:$I$92,"&gt;0")</f>
        <v>0</v>
      </c>
      <c r="F172" s="25">
        <f>SUMIFS('Daftar Koreksi'!$I$5:$I$92,'Daftar Koreksi'!$D$5:$D$92,'1400'!A158,'Daftar Koreksi'!$G$5:$G$92,"Gedung dan Bangunan",'Daftar Koreksi'!$I$5:$I$92,"&lt;0")-SUMIFS('Daftar Koreksi'!$I$5:$I$92,'Daftar Koreksi'!$D$5:$D$92,'1400'!A158,'Daftar Koreksi'!$G$5:$G$92,"Gedung dan Bangunan",'Daftar Koreksi'!$I$5:$I$92,"&lt;0")-SUMIFS('Daftar Koreksi'!$I$5:$I$92,'Daftar Koreksi'!$D$5:$D$92,'1400'!A158,'Daftar Koreksi'!$G$5:$G$92,"Gedung dan Bangunan",'Daftar Koreksi'!$I$5:$I$92,"&lt;0")</f>
        <v>0</v>
      </c>
      <c r="G172" s="17">
        <f t="shared" si="7"/>
        <v>-575464963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-39586500</v>
      </c>
      <c r="E173" s="25">
        <f>SUMIFS('Daftar Koreksi'!$I$5:$I$92,'Daftar Koreksi'!$D$5:$D$92,'1400'!A158,'Daftar Koreksi'!$G$5:$G$92,"Jalan Irigasi Jaringan",'Daftar Koreksi'!$I$5:$I$92,"&gt;0")</f>
        <v>0</v>
      </c>
      <c r="F173" s="25">
        <f>SUMIFS('Daftar Koreksi'!$I$5:$I$92,'Daftar Koreksi'!$D$5:$D$92,'1400'!A158,'Daftar Koreksi'!$G$5:$G$92,"Jalan Irigasi Jaringan",'Daftar Koreksi'!$I$5:$I$92,"&lt;0")-SUMIFS('Daftar Koreksi'!$I$5:$I$92,'Daftar Koreksi'!$D$5:$D$92,'1400'!A158,'Daftar Koreksi'!$G$5:$G$92,"Jalan Irigasi Jaringan",'Daftar Koreksi'!$I$5:$I$92,"&lt;0")-SUMIFS('Daftar Koreksi'!$I$5:$I$92,'Daftar Koreksi'!$D$5:$D$92,'1400'!A158,'Daftar Koreksi'!$G$5:$G$92,"Jalan Irigasi Jaringan",'Daftar Koreksi'!$I$5:$I$92,"&lt;0")</f>
        <v>0</v>
      </c>
      <c r="G173" s="17">
        <f t="shared" si="7"/>
        <v>-39586500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Koreksi'!$D$5:$D$92,'1400'!A158,'Daftar Koreksi'!$G$5:$G$92,"Aset Tetap Lainnya",'Daftar Koreksi'!$I$5:$I$92,"&gt;0")</f>
        <v>0</v>
      </c>
      <c r="F174" s="25">
        <f>SUMIFS('Daftar Koreksi'!$I$5:$I$92,'Daftar Koreksi'!$D$5:$D$92,'1400'!A158,'Daftar Koreksi'!$G$5:$G$92,"Aset Tetap Lainnya",'Daftar Koreksi'!$I$5:$I$92,"&lt;0")-SUMIFS('Daftar Koreksi'!$I$5:$I$92,'Daftar Koreksi'!$D$5:$D$92,'1400'!A158,'Daftar Koreksi'!$G$5:$G$92,"Aset Tetap Lainnya",'Daftar Koreksi'!$I$5:$I$92,"&lt;0")-SUMIFS('Daftar Koreksi'!$I$5:$I$92,'Daftar Koreksi'!$D$5:$D$92,'1400'!A158,'Daftar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-40534915</v>
      </c>
      <c r="E175" s="25">
        <f>SUMIFS('Daftar Koreksi'!$I$5:$I$92,'Daftar Koreksi'!$D$5:$D$92,'1400'!A158,'Daftar Koreksi'!$G$5:$G$92,"Aset Henti Guna",'Daftar Koreksi'!$I$5:$I$92,"&gt;0")</f>
        <v>0</v>
      </c>
      <c r="F175" s="25">
        <f>SUMIFS('Daftar Koreksi'!$I$5:$I$92,'Daftar Koreksi'!$D$5:$D$92,'1400'!A158,'Daftar Koreksi'!$G$5:$G$92,"Aset Henti Guna",'Daftar Koreksi'!$I$5:$I$92,"&lt;0")-SUMIFS('Daftar Koreksi'!$I$5:$I$92,'Daftar Koreksi'!$D$5:$D$92,'1400'!A158,'Daftar Koreksi'!$G$5:$G$92,"Aset Henti Guna",'Daftar Koreksi'!$I$5:$I$92,"&lt;0")-SUMIFS('Daftar Koreksi'!$I$5:$I$92,'Daftar Koreksi'!$D$5:$D$92,'1400'!A158,'Daftar Koreksi'!$G$5:$G$92,"Aset Henti Guna",'Daftar Koreksi'!$I$5:$I$92,"&lt;0")</f>
        <v>0</v>
      </c>
      <c r="G175" s="17">
        <f t="shared" si="7"/>
        <v>-40534915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-1814223306</v>
      </c>
      <c r="E176" s="19">
        <f>SUM(E171:E175)</f>
        <v>0</v>
      </c>
      <c r="F176" s="19">
        <f>SUM(F171:F175)</f>
        <v>0</v>
      </c>
      <c r="G176" s="19">
        <f t="shared" si="7"/>
        <v>-1814223306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4508964084</v>
      </c>
      <c r="E177" s="19">
        <f>E176+E170</f>
        <v>0</v>
      </c>
      <c r="F177" s="19">
        <f>F176+F170</f>
        <v>0</v>
      </c>
      <c r="G177" s="19">
        <f t="shared" si="7"/>
        <v>4508964084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005011400402437000KD</v>
      </c>
      <c r="B180" s="11" t="str">
        <f>P9</f>
        <v>PA. Pangkalan Bun</v>
      </c>
      <c r="C180" s="12" t="str">
        <f>A180&amp;" "&amp;B180</f>
        <v>005011400402437000KD PA. Pangkalan Bun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0</v>
      </c>
      <c r="E183" s="25">
        <f>SUMIFS('Daftar Koreksi'!$H$5:$H$92,'Daftar Koreksi'!$D$5:$D$92,'1400'!A180,'Daftar Koreksi'!$G$5:$G$92,"Persediaan",'Daftar Koreksi'!$H$5:$H$92,"&gt;0")</f>
        <v>0</v>
      </c>
      <c r="F183" s="25">
        <f>SUMIFS('Daftar Koreksi'!$H$5:$H$92,'Daftar Koreksi'!$D$5:$D$92,'1400'!A180,'Daftar Koreksi'!$G$5:$G$92,"Persediaan",'Daftar Koreksi'!$H$5:$H$92,"&lt;0")-SUMIFS('Daftar Koreksi'!$H$5:$H$92,'Daftar Koreksi'!$D$5:$D$92,'1400'!A180,'Daftar Koreksi'!$G$5:$G$92,"Persediaan",'Daftar Koreksi'!$H$5:$H$92,"&lt;0")-SUMIFS('Daftar Koreksi'!$H$5:$H$92,'Daftar Koreksi'!$D$5:$D$92,'1400'!A180,'Daftar Koreksi'!$G$5:$G$92,"Persediaan",'Daftar Koreksi'!$H$5:$H$92,"&lt;0")</f>
        <v>0</v>
      </c>
      <c r="G183" s="17">
        <f>D183+E183-F183</f>
        <v>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1616454000</v>
      </c>
      <c r="E184" s="25">
        <f>SUMIFS('Daftar Koreksi'!$H$5:$H$92,'Daftar Koreksi'!$D$5:$D$92,'1400'!A180,'Daftar Koreksi'!$G$5:$G$92,"Tanah",'Daftar Koreksi'!$H$5:$H$92,"&gt;0")</f>
        <v>0</v>
      </c>
      <c r="F184" s="25">
        <f>SUMIFS('Daftar Koreksi'!$H$5:$H$92,'Daftar Koreksi'!$D$5:$D$92,'1400'!A180,'Daftar Koreksi'!$G$5:$G$92,"Tanah",'Daftar Koreksi'!$H$5:$H$92,"&lt;0")-SUMIFS('Daftar Koreksi'!$H$5:$H$92,'Daftar Koreksi'!$D$5:$D$92,'1400'!A180,'Daftar Koreksi'!$G$5:$G$92,"Tanah",'Daftar Koreksi'!$H$5:$H$92,"&lt;0")-SUMIFS('Daftar Koreksi'!$H$5:$H$92,'Daftar Koreksi'!$D$5:$D$92,'1400'!A180,'Daftar Koreksi'!$G$5:$G$92,"Tanah",'Daftar Koreksi'!$H$5:$H$92,"&lt;0")</f>
        <v>0</v>
      </c>
      <c r="G184" s="17">
        <f t="shared" ref="G184:G200" si="8">D184+E184-F184</f>
        <v>1616454000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714273782</v>
      </c>
      <c r="E185" s="25">
        <f>SUMIFS('Daftar Koreksi'!$H$5:$H$92,'Daftar Koreksi'!$D$5:$D$92,'1400'!A180,'Daftar Koreksi'!$G$5:$G$92,"Peralatan dan mesin",'Daftar Koreksi'!$H$5:$H$92,"&gt;0")</f>
        <v>0</v>
      </c>
      <c r="F185" s="25">
        <f>SUMIFS('Daftar Koreksi'!$H$5:$H$92,'Daftar Koreksi'!$D$5:$D$92,'1400'!A180,'Daftar Koreksi'!$G$5:$G$92,"Peralatan dan mesin",'Daftar Koreksi'!$H$5:$H$92,"&lt;0")-SUMIFS('Daftar Koreksi'!$H$5:$H$92,'Daftar Koreksi'!$D$5:$D$92,'1400'!A180,'Daftar Koreksi'!$G$5:$G$92,"Peralatan dan mesin",'Daftar Koreksi'!$H$5:$H$92,"&lt;0")-SUMIFS('Daftar Koreksi'!$H$5:$H$92,'Daftar Koreksi'!$D$5:$D$92,'1400'!A180,'Daftar Koreksi'!$G$5:$G$92,"Peralatan dan mesin",'Daftar Koreksi'!$H$5:$H$92,"&lt;0")</f>
        <v>0</v>
      </c>
      <c r="G185" s="17">
        <f t="shared" si="8"/>
        <v>714273782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2876749850</v>
      </c>
      <c r="E186" s="25">
        <f>SUMIFS('Daftar Koreksi'!$H$5:$H$92,'Daftar Koreksi'!$D$5:$D$92,'1400'!A180,'Daftar Koreksi'!$G$5:$G$92,"Gedung dan Bangunan",'Daftar Koreksi'!$H$5:$H$92,"&gt;0")</f>
        <v>0</v>
      </c>
      <c r="F186" s="25">
        <f>SUMIFS('Daftar Koreksi'!$H$5:$H$92,'Daftar Koreksi'!$D$5:$D$92,'1400'!A180,'Daftar Koreksi'!$G$5:$G$92,"Gedung dan Bangunan",'Daftar Koreksi'!$H$5:$H$92,"&lt;0")-SUMIFS('Daftar Koreksi'!$H$5:$H$92,'Daftar Koreksi'!$D$5:$D$92,'1400'!A180,'Daftar Koreksi'!$G$5:$G$92,"Gedung dan Bangunan",'Daftar Koreksi'!$H$5:$H$92,"&lt;0")-SUMIFS('Daftar Koreksi'!$H$5:$H$92,'Daftar Koreksi'!$D$5:$D$92,'1400'!A180,'Daftar Koreksi'!$G$5:$G$92,"Gedung dan Bangunan",'Daftar Koreksi'!$H$5:$H$92,"&lt;0")</f>
        <v>0</v>
      </c>
      <c r="G186" s="17">
        <f t="shared" si="8"/>
        <v>2876749850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409390000</v>
      </c>
      <c r="E187" s="25">
        <f>SUMIFS('Daftar Koreksi'!$H$5:$H$92,'Daftar Koreksi'!$D$5:$D$92,'1400'!A180,'Daftar Koreksi'!$G$5:$G$92,"Jalan Irigasi Jaringan",'Daftar Koreksi'!$H$5:$H$92,"&gt;0")</f>
        <v>0</v>
      </c>
      <c r="F187" s="25">
        <f>SUMIFS('Daftar Koreksi'!$H$5:$H$92,'Daftar Koreksi'!$D$5:$D$92,'1400'!A180,'Daftar Koreksi'!$G$5:$G$92,"Jalan Irigasi Jaringan",'Daftar Koreksi'!$H$5:$H$92,"&lt;0")-SUMIFS('Daftar Koreksi'!$H$5:$H$92,'Daftar Koreksi'!$D$5:$D$92,'1400'!A180,'Daftar Koreksi'!$G$5:$G$92,"Jalan Irigasi Jaringan",'Daftar Koreksi'!$H$5:$H$92,"&lt;0")-SUMIFS('Daftar Koreksi'!$H$5:$H$92,'Daftar Koreksi'!$D$5:$D$92,'1400'!A180,'Daftar Koreksi'!$G$5:$G$92,"Jalan Irigasi Jaringan",'Daftar Koreksi'!$H$5:$H$92,"&lt;0")</f>
        <v>0</v>
      </c>
      <c r="G187" s="17">
        <f t="shared" si="8"/>
        <v>409390000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23532000</v>
      </c>
      <c r="E188" s="25">
        <f>SUMIFS('Daftar Koreksi'!$H$5:$H$92,'Daftar Koreksi'!$D$5:$D$92,'1400'!A180,'Daftar Koreksi'!$G$5:$G$92,"Aset Tetap Lainnya",'Daftar Koreksi'!$H$5:$H$92,"&gt;0")</f>
        <v>0</v>
      </c>
      <c r="F188" s="25">
        <f>SUMIFS('Daftar Koreksi'!$H$5:$H$92,'Daftar Koreksi'!$D$5:$D$92,'1400'!A180,'Daftar Koreksi'!$G$5:$G$92,"Aset Tetap Lainnya",'Daftar Koreksi'!$H$5:$H$92,"&lt;0")-SUMIFS('Daftar Koreksi'!$H$5:$H$92,'Daftar Koreksi'!$D$5:$D$92,'1400'!A180,'Daftar Koreksi'!$G$5:$G$92,"Aset Tetap Lainnya",'Daftar Koreksi'!$H$5:$H$92,"&lt;0")-SUMIFS('Daftar Koreksi'!$H$5:$H$92,'Daftar Koreksi'!$D$5:$D$92,'1400'!A180,'Daftar Koreksi'!$G$5:$G$92,"Aset Tetap Lainnya",'Daftar Koreksi'!$H$5:$H$92,"&lt;0")</f>
        <v>0</v>
      </c>
      <c r="G188" s="17">
        <f t="shared" si="8"/>
        <v>23532000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Koreksi'!$D$5:$D$92,'1400'!A180,'Daftar Koreksi'!$G$5:$G$92,"Kontruksi Dalam Pengerjaan",'Daftar Koreksi'!$H$5:$H$92,"&gt;0")</f>
        <v>0</v>
      </c>
      <c r="F189" s="25">
        <f>SUMIFS('Daftar Koreksi'!$H$5:$H$92,'Daftar Koreksi'!$D$5:$D$92,'1400'!A180,'Daftar Koreksi'!$G$5:$G$92,"Kontruksi Dalam Pengerjaan",'Daftar Koreksi'!$H$5:$H$92,"&lt;0")-SUMIFS('Daftar Koreksi'!$H$5:$H$92,'Daftar Koreksi'!$D$5:$D$92,'1400'!A180,'Daftar Koreksi'!$G$5:$G$92,"Kontruksi Dalam Pengerjaan",'Daftar Koreksi'!$H$5:$H$92,"&lt;0")-SUMIFS('Daftar Koreksi'!$H$5:$H$92,'Daftar Koreksi'!$D$5:$D$92,'1400'!A180,'Daftar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3000000</v>
      </c>
      <c r="E190" s="25">
        <f>SUMIFS('Daftar Koreksi'!$H$5:$H$92,'Daftar Koreksi'!$D$5:$D$92,'1400'!A180,'Daftar Koreksi'!$G$5:$G$92,"Aset Tak Berwujud",'Daftar Koreksi'!$H$5:$H$92,"&gt;0")</f>
        <v>0</v>
      </c>
      <c r="F190" s="25">
        <f>SUMIFS('Daftar Koreksi'!$H$5:$H$92,'Daftar Koreksi'!$D$5:$D$92,'1400'!A180,'Daftar Koreksi'!$G$5:$G$92,"Aset Tak Berwujud",'Daftar Koreksi'!$H$5:$H$92,"&lt;0")-SUMIFS('Daftar Koreksi'!$H$5:$H$92,'Daftar Koreksi'!$D$5:$D$92,'1400'!A180,'Daftar Koreksi'!$G$5:$G$92,"Aset Tak Berwujud",'Daftar Koreksi'!$H$5:$H$92,"&lt;0")-SUMIFS('Daftar Koreksi'!$H$5:$H$92,'Daftar Koreksi'!$D$5:$D$92,'1400'!A180,'Daftar Koreksi'!$G$5:$G$92,"Aset Tak Berwujud",'Daftar Koreksi'!$H$5:$H$92,"&lt;0")</f>
        <v>0</v>
      </c>
      <c r="G190" s="17">
        <f t="shared" si="8"/>
        <v>3000000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2096000</v>
      </c>
      <c r="E191" s="25">
        <f>SUMIFS('Daftar Koreksi'!$H$5:$H$92,'Daftar Koreksi'!$D$5:$D$92,'1400'!A180,'Daftar Koreksi'!$G$5:$G$92,"Aset Henti Guna",'Daftar Koreksi'!$H$5:$H$92,"&gt;0")</f>
        <v>0</v>
      </c>
      <c r="F191" s="25">
        <f>SUMIFS('Daftar Koreksi'!$H$5:$H$92,'Daftar Koreksi'!$D$5:$D$92,'1400'!A180,'Daftar Koreksi'!$G$5:$G$92,"Aset Henti Guna",'Daftar Koreksi'!$H$5:$H$92,"&lt;0")-SUMIFS('Daftar Koreksi'!$H$5:$H$92,'Daftar Koreksi'!$D$5:$D$92,'1400'!A180,'Daftar Koreksi'!$G$5:$G$92,"Aset Henti Guna",'Daftar Koreksi'!$H$5:$H$92,"&lt;0")-SUMIFS('Daftar Koreksi'!$H$5:$H$92,'Daftar Koreksi'!$D$5:$D$92,'1400'!A180,'Daftar Koreksi'!$G$5:$G$92,"Aset Henti Guna",'Daftar Koreksi'!$H$5:$H$92,"&lt;0")</f>
        <v>0</v>
      </c>
      <c r="G191" s="17">
        <f t="shared" si="8"/>
        <v>2096000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5645495632</v>
      </c>
      <c r="E192" s="19">
        <f>SUM(E183:E191)</f>
        <v>0</v>
      </c>
      <c r="F192" s="19">
        <f>SUM(F183:F191)</f>
        <v>0</v>
      </c>
      <c r="G192" s="19">
        <f t="shared" si="8"/>
        <v>5645495632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-588057292</v>
      </c>
      <c r="E193" s="25">
        <f>SUMIFS('Daftar Koreksi'!$I$5:$I$92,'Daftar Koreksi'!$D$5:$D$92,'1400'!A180,'Daftar Koreksi'!$G$5:$G$92,"Peralatan dan mesin",'Daftar Koreksi'!$I$5:$I$92,"&gt;0")</f>
        <v>0</v>
      </c>
      <c r="F193" s="25">
        <f>SUMIFS('Daftar Koreksi'!$I$5:$I$92,'Daftar Koreksi'!$D$5:$D$92,'1400'!A180,'Daftar Koreksi'!$G$5:$G$92,"Peralatan dan mesin",'Daftar Koreksi'!$I$5:$I$92,"&lt;0")-SUMIFS('Daftar Koreksi'!$I$5:$I$92,'Daftar Koreksi'!$D$5:$D$92,'1400'!A180,'Daftar Koreksi'!$G$5:$G$92,"Peralatan dan mesin",'Daftar Koreksi'!$I$5:$I$92,"&lt;0")-SUMIFS('Daftar Koreksi'!$I$5:$I$92,'Daftar Koreksi'!$D$5:$D$92,'1400'!A180,'Daftar Koreksi'!$G$5:$G$92,"Peralatan dan mesin",'Daftar Koreksi'!$I$5:$I$92,"&lt;0")</f>
        <v>0</v>
      </c>
      <c r="G193" s="17">
        <f t="shared" si="8"/>
        <v>-588057292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-441835695</v>
      </c>
      <c r="E194" s="25">
        <f>SUMIFS('Daftar Koreksi'!$I$5:$I$92,'Daftar Koreksi'!$D$5:$D$92,'1400'!A180,'Daftar Koreksi'!$G$5:$G$92,"Gedung dan Bangunan",'Daftar Koreksi'!$I$5:$I$92,"&gt;0")</f>
        <v>0</v>
      </c>
      <c r="F194" s="25">
        <f>SUMIFS('Daftar Koreksi'!$I$5:$I$92,'Daftar Koreksi'!$D$5:$D$92,'1400'!A180,'Daftar Koreksi'!$G$5:$G$92,"Gedung dan Bangunan",'Daftar Koreksi'!$I$5:$I$92,"&lt;0")-SUMIFS('Daftar Koreksi'!$I$5:$I$92,'Daftar Koreksi'!$D$5:$D$92,'1400'!A180,'Daftar Koreksi'!$G$5:$G$92,"Gedung dan Bangunan",'Daftar Koreksi'!$I$5:$I$92,"&lt;0")-SUMIFS('Daftar Koreksi'!$I$5:$I$92,'Daftar Koreksi'!$D$5:$D$92,'1400'!A180,'Daftar Koreksi'!$G$5:$G$92,"Gedung dan Bangunan",'Daftar Koreksi'!$I$5:$I$92,"&lt;0")</f>
        <v>0</v>
      </c>
      <c r="G194" s="17">
        <f t="shared" si="8"/>
        <v>-441835695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-266103500</v>
      </c>
      <c r="E195" s="25">
        <f>SUMIFS('Daftar Koreksi'!$I$5:$I$92,'Daftar Koreksi'!$D$5:$D$92,'1400'!A180,'Daftar Koreksi'!$G$5:$G$92,"Jalan Irigasi Jaringan",'Daftar Koreksi'!$I$5:$I$92,"&gt;0")</f>
        <v>0</v>
      </c>
      <c r="F195" s="25">
        <f>SUMIFS('Daftar Koreksi'!$I$5:$I$92,'Daftar Koreksi'!$D$5:$D$92,'1400'!A180,'Daftar Koreksi'!$G$5:$G$92,"Jalan Irigasi Jaringan",'Daftar Koreksi'!$I$5:$I$92,"&lt;0")-SUMIFS('Daftar Koreksi'!$I$5:$I$92,'Daftar Koreksi'!$D$5:$D$92,'1400'!A180,'Daftar Koreksi'!$G$5:$G$92,"Jalan Irigasi Jaringan",'Daftar Koreksi'!$I$5:$I$92,"&lt;0")-SUMIFS('Daftar Koreksi'!$I$5:$I$92,'Daftar Koreksi'!$D$5:$D$92,'1400'!A180,'Daftar Koreksi'!$G$5:$G$92,"Jalan Irigasi Jaringan",'Daftar Koreksi'!$I$5:$I$92,"&lt;0")</f>
        <v>0</v>
      </c>
      <c r="G195" s="17">
        <f t="shared" si="8"/>
        <v>-266103500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Koreksi'!$D$5:$D$92,'1400'!A180,'Daftar Koreksi'!$G$5:$G$92,"Aset Tetap Lainnya",'Daftar Koreksi'!$I$5:$I$92,"&gt;0")</f>
        <v>0</v>
      </c>
      <c r="F196" s="25">
        <f>SUMIFS('Daftar Koreksi'!$I$5:$I$92,'Daftar Koreksi'!$D$5:$D$92,'1400'!A180,'Daftar Koreksi'!$G$5:$G$92,"Aset Tetap Lainnya",'Daftar Koreksi'!$I$5:$I$92,"&lt;0")-SUMIFS('Daftar Koreksi'!$I$5:$I$92,'Daftar Koreksi'!$D$5:$D$92,'1400'!A180,'Daftar Koreksi'!$G$5:$G$92,"Aset Tetap Lainnya",'Daftar Koreksi'!$I$5:$I$92,"&lt;0")-SUMIFS('Daftar Koreksi'!$I$5:$I$92,'Daftar Koreksi'!$D$5:$D$92,'1400'!A180,'Daftar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-2096000</v>
      </c>
      <c r="E197" s="25">
        <f>SUMIFS('Daftar Koreksi'!$I$5:$I$92,'Daftar Koreksi'!$D$5:$D$92,'1400'!A180,'Daftar Koreksi'!$G$5:$G$92,"Aset Henti Guna",'Daftar Koreksi'!$I$5:$I$92,"&gt;0")</f>
        <v>0</v>
      </c>
      <c r="F197" s="25">
        <f>SUMIFS('Daftar Koreksi'!$I$5:$I$92,'Daftar Koreksi'!$D$5:$D$92,'1400'!A180,'Daftar Koreksi'!$G$5:$G$92,"Aset Henti Guna",'Daftar Koreksi'!$I$5:$I$92,"&lt;0")-SUMIFS('Daftar Koreksi'!$I$5:$I$92,'Daftar Koreksi'!$D$5:$D$92,'1400'!A180,'Daftar Koreksi'!$G$5:$G$92,"Aset Henti Guna",'Daftar Koreksi'!$I$5:$I$92,"&lt;0")-SUMIFS('Daftar Koreksi'!$I$5:$I$92,'Daftar Koreksi'!$D$5:$D$92,'1400'!A180,'Daftar Koreksi'!$G$5:$G$92,"Aset Henti Guna",'Daftar Koreksi'!$I$5:$I$92,"&lt;0")</f>
        <v>0</v>
      </c>
      <c r="G197" s="17">
        <f t="shared" si="8"/>
        <v>-2096000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-1298092487</v>
      </c>
      <c r="E198" s="19">
        <f>SUM(E193:E197)</f>
        <v>0</v>
      </c>
      <c r="F198" s="19">
        <f>SUM(F193:F197)</f>
        <v>0</v>
      </c>
      <c r="G198" s="19">
        <f t="shared" si="8"/>
        <v>-1298092487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4347403145</v>
      </c>
      <c r="E199" s="19">
        <f>E198+E192</f>
        <v>0</v>
      </c>
      <c r="F199" s="19">
        <f>F198+F192</f>
        <v>0</v>
      </c>
      <c r="G199" s="19">
        <f t="shared" si="8"/>
        <v>4347403145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005011400402443000KD</v>
      </c>
      <c r="B202" s="11" t="str">
        <f>P10</f>
        <v>PA. Muara Tewe</v>
      </c>
      <c r="C202" s="12" t="str">
        <f>A202&amp;" "&amp;B202</f>
        <v>005011400402443000KD PA. Muara Tewe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5374500</v>
      </c>
      <c r="E205" s="25">
        <f>SUMIFS('Daftar Koreksi'!$H$5:$H$92,'Daftar Koreksi'!$D$5:$D$92,'1400'!A202,'Daftar Koreksi'!$G$5:$G$92,"Persediaan",'Daftar Koreksi'!$H$5:$H$92,"&gt;0")</f>
        <v>0</v>
      </c>
      <c r="F205" s="25">
        <f>SUMIFS('Daftar Koreksi'!$H$5:$H$92,'Daftar Koreksi'!$D$5:$D$92,'1400'!A202,'Daftar Koreksi'!$G$5:$G$92,"Persediaan",'Daftar Koreksi'!$H$5:$H$92,"&lt;0")-SUMIFS('Daftar Koreksi'!$H$5:$H$92,'Daftar Koreksi'!$D$5:$D$92,'1400'!A202,'Daftar Koreksi'!$G$5:$G$92,"Persediaan",'Daftar Koreksi'!$H$5:$H$92,"&lt;0")-SUMIFS('Daftar Koreksi'!$H$5:$H$92,'Daftar Koreksi'!$D$5:$D$92,'1400'!A202,'Daftar Koreksi'!$G$5:$G$92,"Persediaan",'Daftar Koreksi'!$H$5:$H$92,"&lt;0")</f>
        <v>0</v>
      </c>
      <c r="G205" s="17">
        <f>D205+E205-F205</f>
        <v>5374500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330930000</v>
      </c>
      <c r="E206" s="25">
        <f>SUMIFS('Daftar Koreksi'!$H$5:$H$92,'Daftar Koreksi'!$D$5:$D$92,'1400'!A202,'Daftar Koreksi'!$G$5:$G$92,"Tanah",'Daftar Koreksi'!$H$5:$H$92,"&gt;0")</f>
        <v>0</v>
      </c>
      <c r="F206" s="25">
        <f>SUMIFS('Daftar Koreksi'!$H$5:$H$92,'Daftar Koreksi'!$D$5:$D$92,'1400'!A202,'Daftar Koreksi'!$G$5:$G$92,"Tanah",'Daftar Koreksi'!$H$5:$H$92,"&lt;0")-SUMIFS('Daftar Koreksi'!$H$5:$H$92,'Daftar Koreksi'!$D$5:$D$92,'1400'!A202,'Daftar Koreksi'!$G$5:$G$92,"Tanah",'Daftar Koreksi'!$H$5:$H$92,"&lt;0")-SUMIFS('Daftar Koreksi'!$H$5:$H$92,'Daftar Koreksi'!$D$5:$D$92,'1400'!A202,'Daftar Koreksi'!$G$5:$G$92,"Tanah",'Daftar Koreksi'!$H$5:$H$92,"&lt;0")</f>
        <v>0</v>
      </c>
      <c r="G206" s="17">
        <f t="shared" ref="G206:G222" si="9">D206+E206-F206</f>
        <v>330930000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892140542</v>
      </c>
      <c r="E207" s="25">
        <f>SUMIFS('Daftar Koreksi'!$H$5:$H$92,'Daftar Koreksi'!$D$5:$D$92,'1400'!A202,'Daftar Koreksi'!$G$5:$G$92,"Peralatan dan mesin",'Daftar Koreksi'!$H$5:$H$92,"&gt;0")</f>
        <v>0</v>
      </c>
      <c r="F207" s="25">
        <f>SUMIFS('Daftar Koreksi'!$H$5:$H$92,'Daftar Koreksi'!$D$5:$D$92,'1400'!A202,'Daftar Koreksi'!$G$5:$G$92,"Peralatan dan mesin",'Daftar Koreksi'!$H$5:$H$92,"&lt;0")-SUMIFS('Daftar Koreksi'!$H$5:$H$92,'Daftar Koreksi'!$D$5:$D$92,'1400'!A202,'Daftar Koreksi'!$G$5:$G$92,"Peralatan dan mesin",'Daftar Koreksi'!$H$5:$H$92,"&lt;0")-SUMIFS('Daftar Koreksi'!$H$5:$H$92,'Daftar Koreksi'!$D$5:$D$92,'1400'!A202,'Daftar Koreksi'!$G$5:$G$92,"Peralatan dan mesin",'Daftar Koreksi'!$H$5:$H$92,"&lt;0")</f>
        <v>0</v>
      </c>
      <c r="G207" s="17">
        <f t="shared" si="9"/>
        <v>892140542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358096900</v>
      </c>
      <c r="E208" s="25">
        <f>SUMIFS('Daftar Koreksi'!$H$5:$H$92,'Daftar Koreksi'!$D$5:$D$92,'1400'!A202,'Daftar Koreksi'!$G$5:$G$92,"Gedung dan Bangunan",'Daftar Koreksi'!$H$5:$H$92,"&gt;0")</f>
        <v>0</v>
      </c>
      <c r="F208" s="25">
        <f>SUMIFS('Daftar Koreksi'!$H$5:$H$92,'Daftar Koreksi'!$D$5:$D$92,'1400'!A202,'Daftar Koreksi'!$G$5:$G$92,"Gedung dan Bangunan",'Daftar Koreksi'!$H$5:$H$92,"&lt;0")-SUMIFS('Daftar Koreksi'!$H$5:$H$92,'Daftar Koreksi'!$D$5:$D$92,'1400'!A202,'Daftar Koreksi'!$G$5:$G$92,"Gedung dan Bangunan",'Daftar Koreksi'!$H$5:$H$92,"&lt;0")-SUMIFS('Daftar Koreksi'!$H$5:$H$92,'Daftar Koreksi'!$D$5:$D$92,'1400'!A202,'Daftar Koreksi'!$G$5:$G$92,"Gedung dan Bangunan",'Daftar Koreksi'!$H$5:$H$92,"&lt;0")</f>
        <v>0</v>
      </c>
      <c r="G208" s="17">
        <f t="shared" si="9"/>
        <v>358096900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Koreksi'!$D$5:$D$92,'1400'!A202,'Daftar Koreksi'!$G$5:$G$92,"Jalan Irigasi Jaringan",'Daftar Koreksi'!$H$5:$H$92,"&gt;0")</f>
        <v>0</v>
      </c>
      <c r="F209" s="25">
        <f>SUMIFS('Daftar Koreksi'!$H$5:$H$92,'Daftar Koreksi'!$D$5:$D$92,'1400'!A202,'Daftar Koreksi'!$G$5:$G$92,"Jalan Irigasi Jaringan",'Daftar Koreksi'!$H$5:$H$92,"&lt;0")-SUMIFS('Daftar Koreksi'!$H$5:$H$92,'Daftar Koreksi'!$D$5:$D$92,'1400'!A202,'Daftar Koreksi'!$G$5:$G$92,"Jalan Irigasi Jaringan",'Daftar Koreksi'!$H$5:$H$92,"&lt;0")-SUMIFS('Daftar Koreksi'!$H$5:$H$92,'Daftar Koreksi'!$D$5:$D$92,'1400'!A202,'Daftar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1342920</v>
      </c>
      <c r="E210" s="25">
        <f>SUMIFS('Daftar Koreksi'!$H$5:$H$92,'Daftar Koreksi'!$D$5:$D$92,'1400'!A202,'Daftar Koreksi'!$G$5:$G$92,"Aset Tetap Lainnya",'Daftar Koreksi'!$H$5:$H$92,"&gt;0")</f>
        <v>0</v>
      </c>
      <c r="F210" s="25">
        <f>SUMIFS('Daftar Koreksi'!$H$5:$H$92,'Daftar Koreksi'!$D$5:$D$92,'1400'!A202,'Daftar Koreksi'!$G$5:$G$92,"Aset Tetap Lainnya",'Daftar Koreksi'!$H$5:$H$92,"&lt;0")-SUMIFS('Daftar Koreksi'!$H$5:$H$92,'Daftar Koreksi'!$D$5:$D$92,'1400'!A202,'Daftar Koreksi'!$G$5:$G$92,"Aset Tetap Lainnya",'Daftar Koreksi'!$H$5:$H$92,"&lt;0")-SUMIFS('Daftar Koreksi'!$H$5:$H$92,'Daftar Koreksi'!$D$5:$D$92,'1400'!A202,'Daftar Koreksi'!$G$5:$G$92,"Aset Tetap Lainnya",'Daftar Koreksi'!$H$5:$H$92,"&lt;0")</f>
        <v>0</v>
      </c>
      <c r="G210" s="17">
        <f t="shared" si="9"/>
        <v>1342920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9614309000</v>
      </c>
      <c r="E211" s="25">
        <f>SUMIFS('Daftar Koreksi'!$H$5:$H$92,'Daftar Koreksi'!$D$5:$D$92,'1400'!A202,'Daftar Koreksi'!$G$5:$G$92,"Kontruksi Dalam Pengerjaan",'Daftar Koreksi'!$H$5:$H$92,"&gt;0")</f>
        <v>0</v>
      </c>
      <c r="F211" s="25">
        <f>SUMIFS('Daftar Koreksi'!$H$5:$H$92,'Daftar Koreksi'!$D$5:$D$92,'1400'!A202,'Daftar Koreksi'!$G$5:$G$92,"Kontruksi Dalam Pengerjaan",'Daftar Koreksi'!$H$5:$H$92,"&lt;0")-SUMIFS('Daftar Koreksi'!$H$5:$H$92,'Daftar Koreksi'!$D$5:$D$92,'1400'!A202,'Daftar Koreksi'!$G$5:$G$92,"Kontruksi Dalam Pengerjaan",'Daftar Koreksi'!$H$5:$H$92,"&lt;0")-SUMIFS('Daftar Koreksi'!$H$5:$H$92,'Daftar Koreksi'!$D$5:$D$92,'1400'!A202,'Daftar Koreksi'!$G$5:$G$92,"Kontruksi Dalam Pengerjaan",'Daftar Koreksi'!$H$5:$H$92,"&lt;0")</f>
        <v>0</v>
      </c>
      <c r="G211" s="17">
        <f t="shared" si="9"/>
        <v>9614309000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Koreksi'!$D$5:$D$92,'1400'!A202,'Daftar Koreksi'!$G$5:$G$92,"Aset Tak Berwujud",'Daftar Koreksi'!$H$5:$H$92,"&gt;0")</f>
        <v>0</v>
      </c>
      <c r="F212" s="25">
        <f>SUMIFS('Daftar Koreksi'!$H$5:$H$92,'Daftar Koreksi'!$D$5:$D$92,'1400'!A202,'Daftar Koreksi'!$G$5:$G$92,"Aset Tak Berwujud",'Daftar Koreksi'!$H$5:$H$92,"&lt;0")-SUMIFS('Daftar Koreksi'!$H$5:$H$92,'Daftar Koreksi'!$D$5:$D$92,'1400'!A202,'Daftar Koreksi'!$G$5:$G$92,"Aset Tak Berwujud",'Daftar Koreksi'!$H$5:$H$92,"&lt;0")-SUMIFS('Daftar Koreksi'!$H$5:$H$92,'Daftar Koreksi'!$D$5:$D$92,'1400'!A202,'Daftar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74575000</v>
      </c>
      <c r="E213" s="25">
        <f>SUMIFS('Daftar Koreksi'!$H$5:$H$92,'Daftar Koreksi'!$D$5:$D$92,'1400'!A202,'Daftar Koreksi'!$G$5:$G$92,"Aset Henti Guna",'Daftar Koreksi'!$H$5:$H$92,"&gt;0")</f>
        <v>0</v>
      </c>
      <c r="F213" s="25">
        <f>SUMIFS('Daftar Koreksi'!$H$5:$H$92,'Daftar Koreksi'!$D$5:$D$92,'1400'!A202,'Daftar Koreksi'!$G$5:$G$92,"Aset Henti Guna",'Daftar Koreksi'!$H$5:$H$92,"&lt;0")-SUMIFS('Daftar Koreksi'!$H$5:$H$92,'Daftar Koreksi'!$D$5:$D$92,'1400'!A202,'Daftar Koreksi'!$G$5:$G$92,"Aset Henti Guna",'Daftar Koreksi'!$H$5:$H$92,"&lt;0")-SUMIFS('Daftar Koreksi'!$H$5:$H$92,'Daftar Koreksi'!$D$5:$D$92,'1400'!A202,'Daftar Koreksi'!$G$5:$G$92,"Aset Henti Guna",'Daftar Koreksi'!$H$5:$H$92,"&lt;0")</f>
        <v>0</v>
      </c>
      <c r="G213" s="17">
        <f t="shared" si="9"/>
        <v>74575000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11276768862</v>
      </c>
      <c r="E214" s="19">
        <f>SUM(E205:E213)</f>
        <v>0</v>
      </c>
      <c r="F214" s="19">
        <f>SUM(F205:F213)</f>
        <v>0</v>
      </c>
      <c r="G214" s="19">
        <f t="shared" si="9"/>
        <v>11276768862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-692794072</v>
      </c>
      <c r="E215" s="25">
        <f>SUMIFS('Daftar Koreksi'!$I$5:$I$92,'Daftar Koreksi'!$D$5:$D$92,'1400'!A202,'Daftar Koreksi'!$G$5:$G$92,"Peralatan dan mesin",'Daftar Koreksi'!$I$5:$I$92,"&gt;0")</f>
        <v>0</v>
      </c>
      <c r="F215" s="25">
        <f>SUMIFS('Daftar Koreksi'!$I$5:$I$92,'Daftar Koreksi'!$D$5:$D$92,'1400'!A202,'Daftar Koreksi'!$G$5:$G$92,"Peralatan dan mesin",'Daftar Koreksi'!$I$5:$I$92,"&lt;0")-SUMIFS('Daftar Koreksi'!$I$5:$I$92,'Daftar Koreksi'!$D$5:$D$92,'1400'!A202,'Daftar Koreksi'!$G$5:$G$92,"Peralatan dan mesin",'Daftar Koreksi'!$I$5:$I$92,"&lt;0")-SUMIFS('Daftar Koreksi'!$I$5:$I$92,'Daftar Koreksi'!$D$5:$D$92,'1400'!A202,'Daftar Koreksi'!$G$5:$G$92,"Peralatan dan mesin",'Daftar Koreksi'!$I$5:$I$92,"&lt;0")</f>
        <v>0</v>
      </c>
      <c r="G215" s="17">
        <f t="shared" si="9"/>
        <v>-692794072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-84508721</v>
      </c>
      <c r="E216" s="25">
        <f>SUMIFS('Daftar Koreksi'!$I$5:$I$92,'Daftar Koreksi'!$D$5:$D$92,'1400'!A202,'Daftar Koreksi'!$G$5:$G$92,"Gedung dan Bangunan",'Daftar Koreksi'!$I$5:$I$92,"&gt;0")</f>
        <v>0</v>
      </c>
      <c r="F216" s="25">
        <f>SUMIFS('Daftar Koreksi'!$I$5:$I$92,'Daftar Koreksi'!$D$5:$D$92,'1400'!A202,'Daftar Koreksi'!$G$5:$G$92,"Gedung dan Bangunan",'Daftar Koreksi'!$I$5:$I$92,"&lt;0")-SUMIFS('Daftar Koreksi'!$I$5:$I$92,'Daftar Koreksi'!$D$5:$D$92,'1400'!A202,'Daftar Koreksi'!$G$5:$G$92,"Gedung dan Bangunan",'Daftar Koreksi'!$I$5:$I$92,"&lt;0")-SUMIFS('Daftar Koreksi'!$I$5:$I$92,'Daftar Koreksi'!$D$5:$D$92,'1400'!A202,'Daftar Koreksi'!$G$5:$G$92,"Gedung dan Bangunan",'Daftar Koreksi'!$I$5:$I$92,"&lt;0")</f>
        <v>0</v>
      </c>
      <c r="G216" s="17">
        <f t="shared" si="9"/>
        <v>-84508721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Koreksi'!$D$5:$D$92,'1400'!A202,'Daftar Koreksi'!$G$5:$G$92,"Jalan Irigasi Jaringan",'Daftar Koreksi'!$I$5:$I$92,"&gt;0")</f>
        <v>0</v>
      </c>
      <c r="F217" s="25">
        <f>SUMIFS('Daftar Koreksi'!$I$5:$I$92,'Daftar Koreksi'!$D$5:$D$92,'1400'!A202,'Daftar Koreksi'!$G$5:$G$92,"Jalan Irigasi Jaringan",'Daftar Koreksi'!$I$5:$I$92,"&lt;0")-SUMIFS('Daftar Koreksi'!$I$5:$I$92,'Daftar Koreksi'!$D$5:$D$92,'1400'!A202,'Daftar Koreksi'!$G$5:$G$92,"Jalan Irigasi Jaringan",'Daftar Koreksi'!$I$5:$I$92,"&lt;0")-SUMIFS('Daftar Koreksi'!$I$5:$I$92,'Daftar Koreksi'!$D$5:$D$92,'1400'!A202,'Daftar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Koreksi'!$D$5:$D$92,'1400'!A202,'Daftar Koreksi'!$G$5:$G$92,"Aset Tetap Lainnya",'Daftar Koreksi'!$I$5:$I$92,"&gt;0")</f>
        <v>0</v>
      </c>
      <c r="F218" s="25">
        <f>SUMIFS('Daftar Koreksi'!$I$5:$I$92,'Daftar Koreksi'!$D$5:$D$92,'1400'!A202,'Daftar Koreksi'!$G$5:$G$92,"Aset Tetap Lainnya",'Daftar Koreksi'!$I$5:$I$92,"&lt;0")-SUMIFS('Daftar Koreksi'!$I$5:$I$92,'Daftar Koreksi'!$D$5:$D$92,'1400'!A202,'Daftar Koreksi'!$G$5:$G$92,"Aset Tetap Lainnya",'Daftar Koreksi'!$I$5:$I$92,"&lt;0")-SUMIFS('Daftar Koreksi'!$I$5:$I$92,'Daftar Koreksi'!$D$5:$D$92,'1400'!A202,'Daftar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-74575000</v>
      </c>
      <c r="E219" s="25">
        <f>SUMIFS('Daftar Koreksi'!$I$5:$I$92,'Daftar Koreksi'!$D$5:$D$92,'1400'!A202,'Daftar Koreksi'!$G$5:$G$92,"Aset Henti Guna",'Daftar Koreksi'!$I$5:$I$92,"&gt;0")</f>
        <v>0</v>
      </c>
      <c r="F219" s="25">
        <f>SUMIFS('Daftar Koreksi'!$I$5:$I$92,'Daftar Koreksi'!$D$5:$D$92,'1400'!A202,'Daftar Koreksi'!$G$5:$G$92,"Aset Henti Guna",'Daftar Koreksi'!$I$5:$I$92,"&lt;0")-SUMIFS('Daftar Koreksi'!$I$5:$I$92,'Daftar Koreksi'!$D$5:$D$92,'1400'!A202,'Daftar Koreksi'!$G$5:$G$92,"Aset Henti Guna",'Daftar Koreksi'!$I$5:$I$92,"&lt;0")-SUMIFS('Daftar Koreksi'!$I$5:$I$92,'Daftar Koreksi'!$D$5:$D$92,'1400'!A202,'Daftar Koreksi'!$G$5:$G$92,"Aset Henti Guna",'Daftar Koreksi'!$I$5:$I$92,"&lt;0")</f>
        <v>0</v>
      </c>
      <c r="G219" s="17">
        <f t="shared" si="9"/>
        <v>-74575000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-851877793</v>
      </c>
      <c r="E220" s="19">
        <f>SUM(E215:E219)</f>
        <v>0</v>
      </c>
      <c r="F220" s="19">
        <f>SUM(F215:F219)</f>
        <v>0</v>
      </c>
      <c r="G220" s="19">
        <f t="shared" si="9"/>
        <v>-851877793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10424891069</v>
      </c>
      <c r="E221" s="19">
        <f>E220+E214</f>
        <v>0</v>
      </c>
      <c r="F221" s="19">
        <f>F220+F214</f>
        <v>0</v>
      </c>
      <c r="G221" s="19">
        <f t="shared" si="9"/>
        <v>10424891069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005011400402452000KD</v>
      </c>
      <c r="B224" s="11" t="str">
        <f>P11</f>
        <v>PA. Buntok</v>
      </c>
      <c r="C224" s="12" t="str">
        <f>A224&amp;" "&amp;B224</f>
        <v>005011400402452000KD PA. Buntok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125900</v>
      </c>
      <c r="E227" s="25">
        <f>SUMIFS('Daftar Koreksi'!$H$5:$H$92,'Daftar Koreksi'!$D$5:$D$92,'1400'!A224,'Daftar Koreksi'!$G$5:$G$92,"Persediaan",'Daftar Koreksi'!$H$5:$H$92,"&gt;0")</f>
        <v>0</v>
      </c>
      <c r="F227" s="25">
        <f>SUMIFS('Daftar Koreksi'!$H$5:$H$92,'Daftar Koreksi'!$D$5:$D$92,'1400'!A224,'Daftar Koreksi'!$G$5:$G$92,"Persediaan",'Daftar Koreksi'!$H$5:$H$92,"&lt;0")-SUMIFS('Daftar Koreksi'!$H$5:$H$92,'Daftar Koreksi'!$D$5:$D$92,'1400'!A224,'Daftar Koreksi'!$G$5:$G$92,"Persediaan",'Daftar Koreksi'!$H$5:$H$92,"&lt;0")-SUMIFS('Daftar Koreksi'!$H$5:$H$92,'Daftar Koreksi'!$D$5:$D$92,'1400'!A224,'Daftar Koreksi'!$G$5:$G$92,"Persediaan",'Daftar Koreksi'!$H$5:$H$92,"&lt;0")</f>
        <v>0</v>
      </c>
      <c r="G227" s="17">
        <f>D227+E227-F227</f>
        <v>125900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547475500</v>
      </c>
      <c r="E228" s="25">
        <f>SUMIFS('Daftar Koreksi'!$H$5:$H$92,'Daftar Koreksi'!$D$5:$D$92,'1400'!A224,'Daftar Koreksi'!$G$5:$G$92,"Tanah",'Daftar Koreksi'!$H$5:$H$92,"&gt;0")</f>
        <v>0</v>
      </c>
      <c r="F228" s="25">
        <f>SUMIFS('Daftar Koreksi'!$H$5:$H$92,'Daftar Koreksi'!$D$5:$D$92,'1400'!A224,'Daftar Koreksi'!$G$5:$G$92,"Tanah",'Daftar Koreksi'!$H$5:$H$92,"&lt;0")-SUMIFS('Daftar Koreksi'!$H$5:$H$92,'Daftar Koreksi'!$D$5:$D$92,'1400'!A224,'Daftar Koreksi'!$G$5:$G$92,"Tanah",'Daftar Koreksi'!$H$5:$H$92,"&lt;0")-SUMIFS('Daftar Koreksi'!$H$5:$H$92,'Daftar Koreksi'!$D$5:$D$92,'1400'!A224,'Daftar Koreksi'!$G$5:$G$92,"Tanah",'Daftar Koreksi'!$H$5:$H$92,"&lt;0")</f>
        <v>0</v>
      </c>
      <c r="G228" s="17">
        <f t="shared" ref="G228:G244" si="10">D228+E228-F228</f>
        <v>547475500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693952516</v>
      </c>
      <c r="E229" s="25">
        <f>SUMIFS('Daftar Koreksi'!$H$5:$H$92,'Daftar Koreksi'!$D$5:$D$92,'1400'!A224,'Daftar Koreksi'!$G$5:$G$92,"Peralatan dan mesin",'Daftar Koreksi'!$H$5:$H$92,"&gt;0")</f>
        <v>0</v>
      </c>
      <c r="F229" s="25">
        <f>SUMIFS('Daftar Koreksi'!$H$5:$H$92,'Daftar Koreksi'!$D$5:$D$92,'1400'!A224,'Daftar Koreksi'!$G$5:$G$92,"Peralatan dan mesin",'Daftar Koreksi'!$H$5:$H$92,"&lt;0")-SUMIFS('Daftar Koreksi'!$H$5:$H$92,'Daftar Koreksi'!$D$5:$D$92,'1400'!A224,'Daftar Koreksi'!$G$5:$G$92,"Peralatan dan mesin",'Daftar Koreksi'!$H$5:$H$92,"&lt;0")-SUMIFS('Daftar Koreksi'!$H$5:$H$92,'Daftar Koreksi'!$D$5:$D$92,'1400'!A224,'Daftar Koreksi'!$G$5:$G$92,"Peralatan dan mesin",'Daftar Koreksi'!$H$5:$H$92,"&lt;0")</f>
        <v>0</v>
      </c>
      <c r="G229" s="17">
        <f t="shared" si="10"/>
        <v>693952516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2944689950</v>
      </c>
      <c r="E230" s="25">
        <f>SUMIFS('Daftar Koreksi'!$H$5:$H$92,'Daftar Koreksi'!$D$5:$D$92,'1400'!A224,'Daftar Koreksi'!$G$5:$G$92,"Gedung dan Bangunan",'Daftar Koreksi'!$H$5:$H$92,"&gt;0")</f>
        <v>0</v>
      </c>
      <c r="F230" s="25">
        <f>SUMIFS('Daftar Koreksi'!$H$5:$H$92,'Daftar Koreksi'!$D$5:$D$92,'1400'!A224,'Daftar Koreksi'!$G$5:$G$92,"Gedung dan Bangunan",'Daftar Koreksi'!$H$5:$H$92,"&lt;0")-SUMIFS('Daftar Koreksi'!$H$5:$H$92,'Daftar Koreksi'!$D$5:$D$92,'1400'!A224,'Daftar Koreksi'!$G$5:$G$92,"Gedung dan Bangunan",'Daftar Koreksi'!$H$5:$H$92,"&lt;0")-SUMIFS('Daftar Koreksi'!$H$5:$H$92,'Daftar Koreksi'!$D$5:$D$92,'1400'!A224,'Daftar Koreksi'!$G$5:$G$92,"Gedung dan Bangunan",'Daftar Koreksi'!$H$5:$H$92,"&lt;0")</f>
        <v>0</v>
      </c>
      <c r="G230" s="17">
        <f t="shared" si="10"/>
        <v>2944689950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594353000</v>
      </c>
      <c r="E231" s="25">
        <f>SUMIFS('Daftar Koreksi'!$H$5:$H$92,'Daftar Koreksi'!$D$5:$D$92,'1400'!A224,'Daftar Koreksi'!$G$5:$G$92,"Jalan Irigasi Jaringan",'Daftar Koreksi'!$H$5:$H$92,"&gt;0")</f>
        <v>0</v>
      </c>
      <c r="F231" s="25">
        <f>SUMIFS('Daftar Koreksi'!$H$5:$H$92,'Daftar Koreksi'!$D$5:$D$92,'1400'!A224,'Daftar Koreksi'!$G$5:$G$92,"Jalan Irigasi Jaringan",'Daftar Koreksi'!$H$5:$H$92,"&lt;0")-SUMIFS('Daftar Koreksi'!$H$5:$H$92,'Daftar Koreksi'!$D$5:$D$92,'1400'!A224,'Daftar Koreksi'!$G$5:$G$92,"Jalan Irigasi Jaringan",'Daftar Koreksi'!$H$5:$H$92,"&lt;0")-SUMIFS('Daftar Koreksi'!$H$5:$H$92,'Daftar Koreksi'!$D$5:$D$92,'1400'!A224,'Daftar Koreksi'!$G$5:$G$92,"Jalan Irigasi Jaringan",'Daftar Koreksi'!$H$5:$H$92,"&lt;0")</f>
        <v>0</v>
      </c>
      <c r="G231" s="17">
        <f t="shared" si="10"/>
        <v>594353000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30830820</v>
      </c>
      <c r="E232" s="25">
        <f>SUMIFS('Daftar Koreksi'!$H$5:$H$92,'Daftar Koreksi'!$D$5:$D$92,'1400'!A224,'Daftar Koreksi'!$G$5:$G$92,"Aset Tetap Lainnya",'Daftar Koreksi'!$H$5:$H$92,"&gt;0")</f>
        <v>0</v>
      </c>
      <c r="F232" s="25">
        <f>SUMIFS('Daftar Koreksi'!$H$5:$H$92,'Daftar Koreksi'!$D$5:$D$92,'1400'!A224,'Daftar Koreksi'!$G$5:$G$92,"Aset Tetap Lainnya",'Daftar Koreksi'!$H$5:$H$92,"&lt;0")-SUMIFS('Daftar Koreksi'!$H$5:$H$92,'Daftar Koreksi'!$D$5:$D$92,'1400'!A224,'Daftar Koreksi'!$G$5:$G$92,"Aset Tetap Lainnya",'Daftar Koreksi'!$H$5:$H$92,"&lt;0")-SUMIFS('Daftar Koreksi'!$H$5:$H$92,'Daftar Koreksi'!$D$5:$D$92,'1400'!A224,'Daftar Koreksi'!$G$5:$G$92,"Aset Tetap Lainnya",'Daftar Koreksi'!$H$5:$H$92,"&lt;0")</f>
        <v>0</v>
      </c>
      <c r="G232" s="17">
        <f t="shared" si="10"/>
        <v>30830820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Koreksi'!$D$5:$D$92,'1400'!A224,'Daftar Koreksi'!$G$5:$G$92,"Kontruksi Dalam Pengerjaan",'Daftar Koreksi'!$H$5:$H$92,"&gt;0")</f>
        <v>0</v>
      </c>
      <c r="F233" s="25">
        <f>SUMIFS('Daftar Koreksi'!$H$5:$H$92,'Daftar Koreksi'!$D$5:$D$92,'1400'!A224,'Daftar Koreksi'!$G$5:$G$92,"Kontruksi Dalam Pengerjaan",'Daftar Koreksi'!$H$5:$H$92,"&lt;0")-SUMIFS('Daftar Koreksi'!$H$5:$H$92,'Daftar Koreksi'!$D$5:$D$92,'1400'!A224,'Daftar Koreksi'!$G$5:$G$92,"Kontruksi Dalam Pengerjaan",'Daftar Koreksi'!$H$5:$H$92,"&lt;0")-SUMIFS('Daftar Koreksi'!$H$5:$H$92,'Daftar Koreksi'!$D$5:$D$92,'1400'!A224,'Daftar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7500000</v>
      </c>
      <c r="E234" s="25">
        <f>SUMIFS('Daftar Koreksi'!$H$5:$H$92,'Daftar Koreksi'!$D$5:$D$92,'1400'!A224,'Daftar Koreksi'!$G$5:$G$92,"Aset Tak Berwujud",'Daftar Koreksi'!$H$5:$H$92,"&gt;0")</f>
        <v>0</v>
      </c>
      <c r="F234" s="25">
        <f>SUMIFS('Daftar Koreksi'!$H$5:$H$92,'Daftar Koreksi'!$D$5:$D$92,'1400'!A224,'Daftar Koreksi'!$G$5:$G$92,"Aset Tak Berwujud",'Daftar Koreksi'!$H$5:$H$92,"&lt;0")-SUMIFS('Daftar Koreksi'!$H$5:$H$92,'Daftar Koreksi'!$D$5:$D$92,'1400'!A224,'Daftar Koreksi'!$G$5:$G$92,"Aset Tak Berwujud",'Daftar Koreksi'!$H$5:$H$92,"&lt;0")-SUMIFS('Daftar Koreksi'!$H$5:$H$92,'Daftar Koreksi'!$D$5:$D$92,'1400'!A224,'Daftar Koreksi'!$G$5:$G$92,"Aset Tak Berwujud",'Daftar Koreksi'!$H$5:$H$92,"&lt;0")</f>
        <v>0</v>
      </c>
      <c r="G234" s="17">
        <f t="shared" si="10"/>
        <v>7500000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91240051</v>
      </c>
      <c r="E235" s="25">
        <f>SUMIFS('Daftar Koreksi'!$H$5:$H$92,'Daftar Koreksi'!$D$5:$D$92,'1400'!A224,'Daftar Koreksi'!$G$5:$G$92,"Aset Henti Guna",'Daftar Koreksi'!$H$5:$H$92,"&gt;0")</f>
        <v>0</v>
      </c>
      <c r="F235" s="25">
        <f>SUMIFS('Daftar Koreksi'!$H$5:$H$92,'Daftar Koreksi'!$D$5:$D$92,'1400'!A224,'Daftar Koreksi'!$G$5:$G$92,"Aset Henti Guna",'Daftar Koreksi'!$H$5:$H$92,"&lt;0")-SUMIFS('Daftar Koreksi'!$H$5:$H$92,'Daftar Koreksi'!$D$5:$D$92,'1400'!A224,'Daftar Koreksi'!$G$5:$G$92,"Aset Henti Guna",'Daftar Koreksi'!$H$5:$H$92,"&lt;0")-SUMIFS('Daftar Koreksi'!$H$5:$H$92,'Daftar Koreksi'!$D$5:$D$92,'1400'!A224,'Daftar Koreksi'!$G$5:$G$92,"Aset Henti Guna",'Daftar Koreksi'!$H$5:$H$92,"&lt;0")</f>
        <v>0</v>
      </c>
      <c r="G235" s="17">
        <f t="shared" si="10"/>
        <v>91240051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4910167737</v>
      </c>
      <c r="E236" s="19">
        <f>SUM(E227:E235)</f>
        <v>0</v>
      </c>
      <c r="F236" s="19">
        <f>SUM(F227:F235)</f>
        <v>0</v>
      </c>
      <c r="G236" s="19">
        <f t="shared" si="10"/>
        <v>4910167737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-507852028</v>
      </c>
      <c r="E237" s="25">
        <f>SUMIFS('Daftar Koreksi'!$I$5:$I$92,'Daftar Koreksi'!$D$5:$D$92,'1400'!A224,'Daftar Koreksi'!$G$5:$G$92,"Peralatan dan mesin",'Daftar Koreksi'!$I$5:$I$92,"&gt;0")</f>
        <v>0</v>
      </c>
      <c r="F237" s="25">
        <f>SUMIFS('Daftar Koreksi'!$I$5:$I$92,'Daftar Koreksi'!$D$5:$D$92,'1400'!A224,'Daftar Koreksi'!$G$5:$G$92,"Peralatan dan mesin",'Daftar Koreksi'!$I$5:$I$92,"&lt;0")-SUMIFS('Daftar Koreksi'!$I$5:$I$92,'Daftar Koreksi'!$D$5:$D$92,'1400'!A224,'Daftar Koreksi'!$G$5:$G$92,"Peralatan dan mesin",'Daftar Koreksi'!$I$5:$I$92,"&lt;0")-SUMIFS('Daftar Koreksi'!$I$5:$I$92,'Daftar Koreksi'!$D$5:$D$92,'1400'!A224,'Daftar Koreksi'!$G$5:$G$92,"Peralatan dan mesin",'Daftar Koreksi'!$I$5:$I$92,"&lt;0")</f>
        <v>0</v>
      </c>
      <c r="G237" s="17">
        <f t="shared" si="10"/>
        <v>-507852028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-446732615</v>
      </c>
      <c r="E238" s="25">
        <f>SUMIFS('Daftar Koreksi'!$I$5:$I$92,'Daftar Koreksi'!$D$5:$D$92,'1400'!A224,'Daftar Koreksi'!$G$5:$G$92,"Gedung dan Bangunan",'Daftar Koreksi'!$I$5:$I$92,"&gt;0")</f>
        <v>0</v>
      </c>
      <c r="F238" s="25">
        <f>SUMIFS('Daftar Koreksi'!$I$5:$I$92,'Daftar Koreksi'!$D$5:$D$92,'1400'!A224,'Daftar Koreksi'!$G$5:$G$92,"Gedung dan Bangunan",'Daftar Koreksi'!$I$5:$I$92,"&lt;0")-SUMIFS('Daftar Koreksi'!$I$5:$I$92,'Daftar Koreksi'!$D$5:$D$92,'1400'!A224,'Daftar Koreksi'!$G$5:$G$92,"Gedung dan Bangunan",'Daftar Koreksi'!$I$5:$I$92,"&lt;0")-SUMIFS('Daftar Koreksi'!$I$5:$I$92,'Daftar Koreksi'!$D$5:$D$92,'1400'!A224,'Daftar Koreksi'!$G$5:$G$92,"Gedung dan Bangunan",'Daftar Koreksi'!$I$5:$I$92,"&lt;0")</f>
        <v>0</v>
      </c>
      <c r="G238" s="17">
        <f t="shared" si="10"/>
        <v>-446732615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-179475710</v>
      </c>
      <c r="E239" s="25">
        <f>SUMIFS('Daftar Koreksi'!$I$5:$I$92,'Daftar Koreksi'!$D$5:$D$92,'1400'!A224,'Daftar Koreksi'!$G$5:$G$92,"Jalan Irigasi Jaringan",'Daftar Koreksi'!$I$5:$I$92,"&gt;0")</f>
        <v>0</v>
      </c>
      <c r="F239" s="25">
        <f>SUMIFS('Daftar Koreksi'!$I$5:$I$92,'Daftar Koreksi'!$D$5:$D$92,'1400'!A224,'Daftar Koreksi'!$G$5:$G$92,"Jalan Irigasi Jaringan",'Daftar Koreksi'!$I$5:$I$92,"&lt;0")-SUMIFS('Daftar Koreksi'!$I$5:$I$92,'Daftar Koreksi'!$D$5:$D$92,'1400'!A224,'Daftar Koreksi'!$G$5:$G$92,"Jalan Irigasi Jaringan",'Daftar Koreksi'!$I$5:$I$92,"&lt;0")-SUMIFS('Daftar Koreksi'!$I$5:$I$92,'Daftar Koreksi'!$D$5:$D$92,'1400'!A224,'Daftar Koreksi'!$G$5:$G$92,"Jalan Irigasi Jaringan",'Daftar Koreksi'!$I$5:$I$92,"&lt;0")</f>
        <v>0</v>
      </c>
      <c r="G239" s="17">
        <f t="shared" si="10"/>
        <v>-179475710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Koreksi'!$D$5:$D$92,'1400'!A224,'Daftar Koreksi'!$G$5:$G$92,"Aset Tetap Lainnya",'Daftar Koreksi'!$I$5:$I$92,"&gt;0")</f>
        <v>0</v>
      </c>
      <c r="F240" s="25">
        <f>SUMIFS('Daftar Koreksi'!$I$5:$I$92,'Daftar Koreksi'!$D$5:$D$92,'1400'!A224,'Daftar Koreksi'!$G$5:$G$92,"Aset Tetap Lainnya",'Daftar Koreksi'!$I$5:$I$92,"&lt;0")-SUMIFS('Daftar Koreksi'!$I$5:$I$92,'Daftar Koreksi'!$D$5:$D$92,'1400'!A224,'Daftar Koreksi'!$G$5:$G$92,"Aset Tetap Lainnya",'Daftar Koreksi'!$I$5:$I$92,"&lt;0")-SUMIFS('Daftar Koreksi'!$I$5:$I$92,'Daftar Koreksi'!$D$5:$D$92,'1400'!A224,'Daftar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-91240051</v>
      </c>
      <c r="E241" s="25">
        <f>SUMIFS('Daftar Koreksi'!$I$5:$I$92,'Daftar Koreksi'!$D$5:$D$92,'1400'!A224,'Daftar Koreksi'!$G$5:$G$92,"Aset Henti Guna",'Daftar Koreksi'!$I$5:$I$92,"&gt;0")</f>
        <v>0</v>
      </c>
      <c r="F241" s="25">
        <f>SUMIFS('Daftar Koreksi'!$I$5:$I$92,'Daftar Koreksi'!$D$5:$D$92,'1400'!A224,'Daftar Koreksi'!$G$5:$G$92,"Aset Henti Guna",'Daftar Koreksi'!$I$5:$I$92,"&lt;0")-SUMIFS('Daftar Koreksi'!$I$5:$I$92,'Daftar Koreksi'!$D$5:$D$92,'1400'!A224,'Daftar Koreksi'!$G$5:$G$92,"Aset Henti Guna",'Daftar Koreksi'!$I$5:$I$92,"&lt;0")-SUMIFS('Daftar Koreksi'!$I$5:$I$92,'Daftar Koreksi'!$D$5:$D$92,'1400'!A224,'Daftar Koreksi'!$G$5:$G$92,"Aset Henti Guna",'Daftar Koreksi'!$I$5:$I$92,"&lt;0")</f>
        <v>0</v>
      </c>
      <c r="G241" s="17">
        <f t="shared" si="10"/>
        <v>-91240051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-1225300404</v>
      </c>
      <c r="E242" s="19">
        <f>SUM(E237:E241)</f>
        <v>0</v>
      </c>
      <c r="F242" s="19">
        <f>SUM(F237:F241)</f>
        <v>0</v>
      </c>
      <c r="G242" s="19">
        <f t="shared" si="10"/>
        <v>-1225300404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3684867333</v>
      </c>
      <c r="E243" s="19">
        <f>E242+E236</f>
        <v>0</v>
      </c>
      <c r="F243" s="19">
        <f>F242+F236</f>
        <v>0</v>
      </c>
      <c r="G243" s="19">
        <f t="shared" si="10"/>
        <v>3684867333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005011400402468000KD</v>
      </c>
      <c r="B246" s="11" t="str">
        <f>P12</f>
        <v>PA. Kuala Kapuas</v>
      </c>
      <c r="C246" s="12" t="str">
        <f>A246&amp;" "&amp;B246</f>
        <v>005011400402468000KD PA. Kuala Kapuas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392900</v>
      </c>
      <c r="E249" s="25">
        <f>SUMIFS('Daftar Koreksi'!$H$5:$H$92,'Daftar Koreksi'!$D$5:$D$92,'1400'!A246,'Daftar Koreksi'!$G$5:$G$92,"Persediaan",'Daftar Koreksi'!$H$5:$H$92,"&gt;0")</f>
        <v>0</v>
      </c>
      <c r="F249" s="25">
        <f>SUMIFS('Daftar Koreksi'!$H$5:$H$92,'Daftar Koreksi'!$D$5:$D$92,'1400'!A246,'Daftar Koreksi'!$G$5:$G$92,"Persediaan",'Daftar Koreksi'!$H$5:$H$92,"&lt;0")-SUMIFS('Daftar Koreksi'!$H$5:$H$92,'Daftar Koreksi'!$D$5:$D$92,'1400'!A246,'Daftar Koreksi'!$G$5:$G$92,"Persediaan",'Daftar Koreksi'!$H$5:$H$92,"&lt;0")-SUMIFS('Daftar Koreksi'!$H$5:$H$92,'Daftar Koreksi'!$D$5:$D$92,'1400'!A246,'Daftar Koreksi'!$G$5:$G$92,"Persediaan",'Daftar Koreksi'!$H$5:$H$92,"&lt;0")</f>
        <v>0</v>
      </c>
      <c r="G249" s="17">
        <f>D249+E249-F249</f>
        <v>392900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689660000</v>
      </c>
      <c r="E250" s="25">
        <f>SUMIFS('Daftar Koreksi'!$H$5:$H$92,'Daftar Koreksi'!$D$5:$D$92,'1400'!A246,'Daftar Koreksi'!$G$5:$G$92,"Tanah",'Daftar Koreksi'!$H$5:$H$92,"&gt;0")</f>
        <v>0</v>
      </c>
      <c r="F250" s="25">
        <f>SUMIFS('Daftar Koreksi'!$H$5:$H$92,'Daftar Koreksi'!$D$5:$D$92,'1400'!A246,'Daftar Koreksi'!$G$5:$G$92,"Tanah",'Daftar Koreksi'!$H$5:$H$92,"&lt;0")-SUMIFS('Daftar Koreksi'!$H$5:$H$92,'Daftar Koreksi'!$D$5:$D$92,'1400'!A246,'Daftar Koreksi'!$G$5:$G$92,"Tanah",'Daftar Koreksi'!$H$5:$H$92,"&lt;0")-SUMIFS('Daftar Koreksi'!$H$5:$H$92,'Daftar Koreksi'!$D$5:$D$92,'1400'!A246,'Daftar Koreksi'!$G$5:$G$92,"Tanah",'Daftar Koreksi'!$H$5:$H$92,"&lt;0")</f>
        <v>0</v>
      </c>
      <c r="G250" s="17">
        <f t="shared" ref="G250:G266" si="11">D250+E250-F250</f>
        <v>689660000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791886098</v>
      </c>
      <c r="E251" s="25">
        <f>SUMIFS('Daftar Koreksi'!$H$5:$H$92,'Daftar Koreksi'!$D$5:$D$92,'1400'!A246,'Daftar Koreksi'!$G$5:$G$92,"Peralatan dan mesin",'Daftar Koreksi'!$H$5:$H$92,"&gt;0")</f>
        <v>0</v>
      </c>
      <c r="F251" s="25">
        <f>SUMIFS('Daftar Koreksi'!$H$5:$H$92,'Daftar Koreksi'!$D$5:$D$92,'1400'!A246,'Daftar Koreksi'!$G$5:$G$92,"Peralatan dan mesin",'Daftar Koreksi'!$H$5:$H$92,"&lt;0")-SUMIFS('Daftar Koreksi'!$H$5:$H$92,'Daftar Koreksi'!$D$5:$D$92,'1400'!A246,'Daftar Koreksi'!$G$5:$G$92,"Peralatan dan mesin",'Daftar Koreksi'!$H$5:$H$92,"&lt;0")-SUMIFS('Daftar Koreksi'!$H$5:$H$92,'Daftar Koreksi'!$D$5:$D$92,'1400'!A246,'Daftar Koreksi'!$G$5:$G$92,"Peralatan dan mesin",'Daftar Koreksi'!$H$5:$H$92,"&lt;0")</f>
        <v>0</v>
      </c>
      <c r="G251" s="17">
        <f t="shared" si="11"/>
        <v>791886098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9182556100</v>
      </c>
      <c r="E252" s="25">
        <f>SUMIFS('Daftar Koreksi'!$H$5:$H$92,'Daftar Koreksi'!$D$5:$D$92,'1400'!A246,'Daftar Koreksi'!$G$5:$G$92,"Gedung dan Bangunan",'Daftar Koreksi'!$H$5:$H$92,"&gt;0")</f>
        <v>0</v>
      </c>
      <c r="F252" s="25">
        <f>SUMIFS('Daftar Koreksi'!$H$5:$H$92,'Daftar Koreksi'!$D$5:$D$92,'1400'!A246,'Daftar Koreksi'!$G$5:$G$92,"Gedung dan Bangunan",'Daftar Koreksi'!$H$5:$H$92,"&lt;0")-SUMIFS('Daftar Koreksi'!$H$5:$H$92,'Daftar Koreksi'!$D$5:$D$92,'1400'!A246,'Daftar Koreksi'!$G$5:$G$92,"Gedung dan Bangunan",'Daftar Koreksi'!$H$5:$H$92,"&lt;0")-SUMIFS('Daftar Koreksi'!$H$5:$H$92,'Daftar Koreksi'!$D$5:$D$92,'1400'!A246,'Daftar Koreksi'!$G$5:$G$92,"Gedung dan Bangunan",'Daftar Koreksi'!$H$5:$H$92,"&lt;0")</f>
        <v>0</v>
      </c>
      <c r="G252" s="17">
        <f t="shared" si="11"/>
        <v>9182556100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Koreksi'!$D$5:$D$92,'1400'!A246,'Daftar Koreksi'!$G$5:$G$92,"Jalan Irigasi Jaringan",'Daftar Koreksi'!$H$5:$H$92,"&gt;0")</f>
        <v>0</v>
      </c>
      <c r="F253" s="25">
        <f>SUMIFS('Daftar Koreksi'!$H$5:$H$92,'Daftar Koreksi'!$D$5:$D$92,'1400'!A246,'Daftar Koreksi'!$G$5:$G$92,"Jalan Irigasi Jaringan",'Daftar Koreksi'!$H$5:$H$92,"&lt;0")-SUMIFS('Daftar Koreksi'!$H$5:$H$92,'Daftar Koreksi'!$D$5:$D$92,'1400'!A246,'Daftar Koreksi'!$G$5:$G$92,"Jalan Irigasi Jaringan",'Daftar Koreksi'!$H$5:$H$92,"&lt;0")-SUMIFS('Daftar Koreksi'!$H$5:$H$92,'Daftar Koreksi'!$D$5:$D$92,'1400'!A246,'Daftar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6961470</v>
      </c>
      <c r="E254" s="25">
        <f>SUMIFS('Daftar Koreksi'!$H$5:$H$92,'Daftar Koreksi'!$D$5:$D$92,'1400'!A246,'Daftar Koreksi'!$G$5:$G$92,"Aset Tetap Lainnya",'Daftar Koreksi'!$H$5:$H$92,"&gt;0")</f>
        <v>0</v>
      </c>
      <c r="F254" s="25">
        <f>SUMIFS('Daftar Koreksi'!$H$5:$H$92,'Daftar Koreksi'!$D$5:$D$92,'1400'!A246,'Daftar Koreksi'!$G$5:$G$92,"Aset Tetap Lainnya",'Daftar Koreksi'!$H$5:$H$92,"&lt;0")-SUMIFS('Daftar Koreksi'!$H$5:$H$92,'Daftar Koreksi'!$D$5:$D$92,'1400'!A246,'Daftar Koreksi'!$G$5:$G$92,"Aset Tetap Lainnya",'Daftar Koreksi'!$H$5:$H$92,"&lt;0")-SUMIFS('Daftar Koreksi'!$H$5:$H$92,'Daftar Koreksi'!$D$5:$D$92,'1400'!A246,'Daftar Koreksi'!$G$5:$G$92,"Aset Tetap Lainnya",'Daftar Koreksi'!$H$5:$H$92,"&lt;0")</f>
        <v>0</v>
      </c>
      <c r="G254" s="17">
        <f t="shared" si="11"/>
        <v>6961470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Koreksi'!$D$5:$D$92,'1400'!A246,'Daftar Koreksi'!$G$5:$G$92,"Kontruksi Dalam Pengerjaan",'Daftar Koreksi'!$H$5:$H$92,"&gt;0")</f>
        <v>0</v>
      </c>
      <c r="F255" s="25">
        <f>SUMIFS('Daftar Koreksi'!$H$5:$H$92,'Daftar Koreksi'!$D$5:$D$92,'1400'!A246,'Daftar Koreksi'!$G$5:$G$92,"Kontruksi Dalam Pengerjaan",'Daftar Koreksi'!$H$5:$H$92,"&lt;0")-SUMIFS('Daftar Koreksi'!$H$5:$H$92,'Daftar Koreksi'!$D$5:$D$92,'1400'!A246,'Daftar Koreksi'!$G$5:$G$92,"Kontruksi Dalam Pengerjaan",'Daftar Koreksi'!$H$5:$H$92,"&lt;0")-SUMIFS('Daftar Koreksi'!$H$5:$H$92,'Daftar Koreksi'!$D$5:$D$92,'1400'!A246,'Daftar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Koreksi'!$D$5:$D$92,'1400'!A246,'Daftar Koreksi'!$G$5:$G$92,"Aset Tak Berwujud",'Daftar Koreksi'!$H$5:$H$92,"&gt;0")</f>
        <v>0</v>
      </c>
      <c r="F256" s="25">
        <f>SUMIFS('Daftar Koreksi'!$H$5:$H$92,'Daftar Koreksi'!$D$5:$D$92,'1400'!A246,'Daftar Koreksi'!$G$5:$G$92,"Aset Tak Berwujud",'Daftar Koreksi'!$H$5:$H$92,"&lt;0")-SUMIFS('Daftar Koreksi'!$H$5:$H$92,'Daftar Koreksi'!$D$5:$D$92,'1400'!A246,'Daftar Koreksi'!$G$5:$G$92,"Aset Tak Berwujud",'Daftar Koreksi'!$H$5:$H$92,"&lt;0")-SUMIFS('Daftar Koreksi'!$H$5:$H$92,'Daftar Koreksi'!$D$5:$D$92,'1400'!A246,'Daftar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3791000</v>
      </c>
      <c r="E257" s="25">
        <f>SUMIFS('Daftar Koreksi'!$H$5:$H$92,'Daftar Koreksi'!$D$5:$D$92,'1400'!A246,'Daftar Koreksi'!$G$5:$G$92,"Aset Henti Guna",'Daftar Koreksi'!$H$5:$H$92,"&gt;0")</f>
        <v>0</v>
      </c>
      <c r="F257" s="25">
        <f>SUMIFS('Daftar Koreksi'!$H$5:$H$92,'Daftar Koreksi'!$D$5:$D$92,'1400'!A246,'Daftar Koreksi'!$G$5:$G$92,"Aset Henti Guna",'Daftar Koreksi'!$H$5:$H$92,"&lt;0")-SUMIFS('Daftar Koreksi'!$H$5:$H$92,'Daftar Koreksi'!$D$5:$D$92,'1400'!A246,'Daftar Koreksi'!$G$5:$G$92,"Aset Henti Guna",'Daftar Koreksi'!$H$5:$H$92,"&lt;0")-SUMIFS('Daftar Koreksi'!$H$5:$H$92,'Daftar Koreksi'!$D$5:$D$92,'1400'!A246,'Daftar Koreksi'!$G$5:$G$92,"Aset Henti Guna",'Daftar Koreksi'!$H$5:$H$92,"&lt;0")</f>
        <v>0</v>
      </c>
      <c r="G257" s="17">
        <f t="shared" si="11"/>
        <v>3791000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10675247568</v>
      </c>
      <c r="E258" s="19">
        <f>SUM(E249:E257)</f>
        <v>0</v>
      </c>
      <c r="F258" s="19">
        <f>SUM(F249:F257)</f>
        <v>0</v>
      </c>
      <c r="G258" s="19">
        <f t="shared" si="11"/>
        <v>10675247568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-621651628</v>
      </c>
      <c r="E259" s="25">
        <f>SUMIFS('Daftar Koreksi'!$I$5:$I$92,'Daftar Koreksi'!$D$5:$D$92,'1400'!A246,'Daftar Koreksi'!$G$5:$G$92,"Peralatan dan mesin",'Daftar Koreksi'!$I$5:$I$92,"&gt;0")</f>
        <v>0</v>
      </c>
      <c r="F259" s="25">
        <f>SUMIFS('Daftar Koreksi'!$I$5:$I$92,'Daftar Koreksi'!$D$5:$D$92,'1400'!A246,'Daftar Koreksi'!$G$5:$G$92,"Peralatan dan mesin",'Daftar Koreksi'!$I$5:$I$92,"&lt;0")-SUMIFS('Daftar Koreksi'!$I$5:$I$92,'Daftar Koreksi'!$D$5:$D$92,'1400'!A246,'Daftar Koreksi'!$G$5:$G$92,"Peralatan dan mesin",'Daftar Koreksi'!$I$5:$I$92,"&lt;0")-SUMIFS('Daftar Koreksi'!$I$5:$I$92,'Daftar Koreksi'!$D$5:$D$92,'1400'!A246,'Daftar Koreksi'!$G$5:$G$92,"Peralatan dan mesin",'Daftar Koreksi'!$I$5:$I$92,"&lt;0")</f>
        <v>0</v>
      </c>
      <c r="G259" s="17">
        <f t="shared" si="11"/>
        <v>-621651628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-878490385</v>
      </c>
      <c r="E260" s="25">
        <f>SUMIFS('Daftar Koreksi'!$I$5:$I$92,'Daftar Koreksi'!$D$5:$D$92,'1400'!A246,'Daftar Koreksi'!$G$5:$G$92,"Gedung dan Bangunan",'Daftar Koreksi'!$I$5:$I$92,"&gt;0")</f>
        <v>0</v>
      </c>
      <c r="F260" s="25">
        <f>SUMIFS('Daftar Koreksi'!$I$5:$I$92,'Daftar Koreksi'!$D$5:$D$92,'1400'!A246,'Daftar Koreksi'!$G$5:$G$92,"Gedung dan Bangunan",'Daftar Koreksi'!$I$5:$I$92,"&lt;0")-SUMIFS('Daftar Koreksi'!$I$5:$I$92,'Daftar Koreksi'!$D$5:$D$92,'1400'!A246,'Daftar Koreksi'!$G$5:$G$92,"Gedung dan Bangunan",'Daftar Koreksi'!$I$5:$I$92,"&lt;0")-SUMIFS('Daftar Koreksi'!$I$5:$I$92,'Daftar Koreksi'!$D$5:$D$92,'1400'!A246,'Daftar Koreksi'!$G$5:$G$92,"Gedung dan Bangunan",'Daftar Koreksi'!$I$5:$I$92,"&lt;0")</f>
        <v>0</v>
      </c>
      <c r="G260" s="17">
        <f t="shared" si="11"/>
        <v>-878490385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Koreksi'!$D$5:$D$92,'1400'!A246,'Daftar Koreksi'!$G$5:$G$92,"Jalan Irigasi Jaringan",'Daftar Koreksi'!$I$5:$I$92,"&gt;0")</f>
        <v>0</v>
      </c>
      <c r="F261" s="25">
        <f>SUMIFS('Daftar Koreksi'!$I$5:$I$92,'Daftar Koreksi'!$D$5:$D$92,'1400'!A246,'Daftar Koreksi'!$G$5:$G$92,"Jalan Irigasi Jaringan",'Daftar Koreksi'!$I$5:$I$92,"&lt;0")-SUMIFS('Daftar Koreksi'!$I$5:$I$92,'Daftar Koreksi'!$D$5:$D$92,'1400'!A246,'Daftar Koreksi'!$G$5:$G$92,"Jalan Irigasi Jaringan",'Daftar Koreksi'!$I$5:$I$92,"&lt;0")-SUMIFS('Daftar Koreksi'!$I$5:$I$92,'Daftar Koreksi'!$D$5:$D$92,'1400'!A246,'Daftar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Koreksi'!$D$5:$D$92,'1400'!A246,'Daftar Koreksi'!$G$5:$G$92,"Aset Tetap Lainnya",'Daftar Koreksi'!$I$5:$I$92,"&gt;0")</f>
        <v>0</v>
      </c>
      <c r="F262" s="25">
        <f>SUMIFS('Daftar Koreksi'!$I$5:$I$92,'Daftar Koreksi'!$D$5:$D$92,'1400'!A246,'Daftar Koreksi'!$G$5:$G$92,"Aset Tetap Lainnya",'Daftar Koreksi'!$I$5:$I$92,"&lt;0")-SUMIFS('Daftar Koreksi'!$I$5:$I$92,'Daftar Koreksi'!$D$5:$D$92,'1400'!A246,'Daftar Koreksi'!$G$5:$G$92,"Aset Tetap Lainnya",'Daftar Koreksi'!$I$5:$I$92,"&lt;0")-SUMIFS('Daftar Koreksi'!$I$5:$I$92,'Daftar Koreksi'!$D$5:$D$92,'1400'!A246,'Daftar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-3791000</v>
      </c>
      <c r="E263" s="25">
        <f>SUMIFS('Daftar Koreksi'!$I$5:$I$92,'Daftar Koreksi'!$D$5:$D$92,'1400'!A246,'Daftar Koreksi'!$G$5:$G$92,"Aset Henti Guna",'Daftar Koreksi'!$I$5:$I$92,"&gt;0")</f>
        <v>0</v>
      </c>
      <c r="F263" s="25">
        <f>SUMIFS('Daftar Koreksi'!$I$5:$I$92,'Daftar Koreksi'!$D$5:$D$92,'1400'!A246,'Daftar Koreksi'!$G$5:$G$92,"Aset Henti Guna",'Daftar Koreksi'!$I$5:$I$92,"&lt;0")-SUMIFS('Daftar Koreksi'!$I$5:$I$92,'Daftar Koreksi'!$D$5:$D$92,'1400'!A246,'Daftar Koreksi'!$G$5:$G$92,"Aset Henti Guna",'Daftar Koreksi'!$I$5:$I$92,"&lt;0")-SUMIFS('Daftar Koreksi'!$I$5:$I$92,'Daftar Koreksi'!$D$5:$D$92,'1400'!A246,'Daftar Koreksi'!$G$5:$G$92,"Aset Henti Guna",'Daftar Koreksi'!$I$5:$I$92,"&lt;0")</f>
        <v>0</v>
      </c>
      <c r="G263" s="17">
        <f t="shared" si="11"/>
        <v>-3791000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-1503933013</v>
      </c>
      <c r="E264" s="19">
        <f>SUM(E259:E263)</f>
        <v>0</v>
      </c>
      <c r="F264" s="19">
        <f>SUM(F259:F263)</f>
        <v>0</v>
      </c>
      <c r="G264" s="19">
        <f t="shared" si="11"/>
        <v>-1503933013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9171314555</v>
      </c>
      <c r="E265" s="19">
        <f>E264+E258</f>
        <v>0</v>
      </c>
      <c r="F265" s="19">
        <f>F264+F258</f>
        <v>0</v>
      </c>
      <c r="G265" s="19">
        <f t="shared" si="11"/>
        <v>9171314555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005011400402474000KD</v>
      </c>
      <c r="B268" s="11" t="str">
        <f>P13</f>
        <v>PA. Sampit</v>
      </c>
      <c r="C268" s="12" t="str">
        <f>A268&amp;" "&amp;B268</f>
        <v>005011400402474000KD PA. Sampit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225650</v>
      </c>
      <c r="E271" s="25">
        <f>SUMIFS('Daftar Koreksi'!$H$5:$H$92,'Daftar Koreksi'!$D$5:$D$92,'1400'!A268,'Daftar Koreksi'!$G$5:$G$92,"Persediaan",'Daftar Koreksi'!$H$5:$H$92,"&gt;0")</f>
        <v>0</v>
      </c>
      <c r="F271" s="25">
        <f>SUMIFS('Daftar Koreksi'!$H$5:$H$92,'Daftar Koreksi'!$D$5:$D$92,'1400'!A268,'Daftar Koreksi'!$G$5:$G$92,"Persediaan",'Daftar Koreksi'!$H$5:$H$92,"&lt;0")-SUMIFS('Daftar Koreksi'!$H$5:$H$92,'Daftar Koreksi'!$D$5:$D$92,'1400'!A268,'Daftar Koreksi'!$G$5:$G$92,"Persediaan",'Daftar Koreksi'!$H$5:$H$92,"&lt;0")-SUMIFS('Daftar Koreksi'!$H$5:$H$92,'Daftar Koreksi'!$D$5:$D$92,'1400'!A268,'Daftar Koreksi'!$G$5:$G$92,"Persediaan",'Daftar Koreksi'!$H$5:$H$92,"&lt;0")</f>
        <v>0</v>
      </c>
      <c r="G271" s="17">
        <f>D271+E271-F271</f>
        <v>225650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584810000</v>
      </c>
      <c r="E272" s="25">
        <f>SUMIFS('Daftar Koreksi'!$H$5:$H$92,'Daftar Koreksi'!$D$5:$D$92,'1400'!A268,'Daftar Koreksi'!$G$5:$G$92,"Tanah",'Daftar Koreksi'!$H$5:$H$92,"&gt;0")</f>
        <v>0</v>
      </c>
      <c r="F272" s="25">
        <f>SUMIFS('Daftar Koreksi'!$H$5:$H$92,'Daftar Koreksi'!$D$5:$D$92,'1400'!A268,'Daftar Koreksi'!$G$5:$G$92,"Tanah",'Daftar Koreksi'!$H$5:$H$92,"&lt;0")-SUMIFS('Daftar Koreksi'!$H$5:$H$92,'Daftar Koreksi'!$D$5:$D$92,'1400'!A268,'Daftar Koreksi'!$G$5:$G$92,"Tanah",'Daftar Koreksi'!$H$5:$H$92,"&lt;0")-SUMIFS('Daftar Koreksi'!$H$5:$H$92,'Daftar Koreksi'!$D$5:$D$92,'1400'!A268,'Daftar Koreksi'!$G$5:$G$92,"Tanah",'Daftar Koreksi'!$H$5:$H$92,"&lt;0")</f>
        <v>0</v>
      </c>
      <c r="G272" s="17">
        <f t="shared" ref="G272:G288" si="12">D272+E272-F272</f>
        <v>584810000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1081748710</v>
      </c>
      <c r="E273" s="25">
        <f>SUMIFS('Daftar Koreksi'!$H$5:$H$92,'Daftar Koreksi'!$D$5:$D$92,'1400'!A268,'Daftar Koreksi'!$G$5:$G$92,"Peralatan dan mesin",'Daftar Koreksi'!$H$5:$H$92,"&gt;0")</f>
        <v>0</v>
      </c>
      <c r="F273" s="25">
        <f>SUMIFS('Daftar Koreksi'!$H$5:$H$92,'Daftar Koreksi'!$D$5:$D$92,'1400'!A268,'Daftar Koreksi'!$G$5:$G$92,"Peralatan dan mesin",'Daftar Koreksi'!$H$5:$H$92,"&lt;0")-SUMIFS('Daftar Koreksi'!$H$5:$H$92,'Daftar Koreksi'!$D$5:$D$92,'1400'!A268,'Daftar Koreksi'!$G$5:$G$92,"Peralatan dan mesin",'Daftar Koreksi'!$H$5:$H$92,"&lt;0")-SUMIFS('Daftar Koreksi'!$H$5:$H$92,'Daftar Koreksi'!$D$5:$D$92,'1400'!A268,'Daftar Koreksi'!$G$5:$G$92,"Peralatan dan mesin",'Daftar Koreksi'!$H$5:$H$92,"&lt;0")</f>
        <v>0</v>
      </c>
      <c r="G273" s="17">
        <f t="shared" si="12"/>
        <v>1081748710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5418506044</v>
      </c>
      <c r="E274" s="25">
        <f>SUMIFS('Daftar Koreksi'!$H$5:$H$92,'Daftar Koreksi'!$D$5:$D$92,'1400'!A268,'Daftar Koreksi'!$G$5:$G$92,"Gedung dan Bangunan",'Daftar Koreksi'!$H$5:$H$92,"&gt;0")</f>
        <v>0</v>
      </c>
      <c r="F274" s="25">
        <f>SUMIFS('Daftar Koreksi'!$H$5:$H$92,'Daftar Koreksi'!$D$5:$D$92,'1400'!A268,'Daftar Koreksi'!$G$5:$G$92,"Gedung dan Bangunan",'Daftar Koreksi'!$H$5:$H$92,"&lt;0")-SUMIFS('Daftar Koreksi'!$H$5:$H$92,'Daftar Koreksi'!$D$5:$D$92,'1400'!A268,'Daftar Koreksi'!$G$5:$G$92,"Gedung dan Bangunan",'Daftar Koreksi'!$H$5:$H$92,"&lt;0")-SUMIFS('Daftar Koreksi'!$H$5:$H$92,'Daftar Koreksi'!$D$5:$D$92,'1400'!A268,'Daftar Koreksi'!$G$5:$G$92,"Gedung dan Bangunan",'Daftar Koreksi'!$H$5:$H$92,"&lt;0")</f>
        <v>0</v>
      </c>
      <c r="G274" s="17">
        <f t="shared" si="12"/>
        <v>5418506044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Koreksi'!$D$5:$D$92,'1400'!A268,'Daftar Koreksi'!$G$5:$G$92,"Jalan Irigasi Jaringan",'Daftar Koreksi'!$H$5:$H$92,"&gt;0")</f>
        <v>0</v>
      </c>
      <c r="F275" s="25">
        <f>SUMIFS('Daftar Koreksi'!$H$5:$H$92,'Daftar Koreksi'!$D$5:$D$92,'1400'!A268,'Daftar Koreksi'!$G$5:$G$92,"Jalan Irigasi Jaringan",'Daftar Koreksi'!$H$5:$H$92,"&lt;0")-SUMIFS('Daftar Koreksi'!$H$5:$H$92,'Daftar Koreksi'!$D$5:$D$92,'1400'!A268,'Daftar Koreksi'!$G$5:$G$92,"Jalan Irigasi Jaringan",'Daftar Koreksi'!$H$5:$H$92,"&lt;0")-SUMIFS('Daftar Koreksi'!$H$5:$H$92,'Daftar Koreksi'!$D$5:$D$92,'1400'!A268,'Daftar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28469545</v>
      </c>
      <c r="E276" s="25">
        <f>SUMIFS('Daftar Koreksi'!$H$5:$H$92,'Daftar Koreksi'!$D$5:$D$92,'1400'!A268,'Daftar Koreksi'!$G$5:$G$92,"Aset Tetap Lainnya",'Daftar Koreksi'!$H$5:$H$92,"&gt;0")</f>
        <v>0</v>
      </c>
      <c r="F276" s="25">
        <f>SUMIFS('Daftar Koreksi'!$H$5:$H$92,'Daftar Koreksi'!$D$5:$D$92,'1400'!A268,'Daftar Koreksi'!$G$5:$G$92,"Aset Tetap Lainnya",'Daftar Koreksi'!$H$5:$H$92,"&lt;0")-SUMIFS('Daftar Koreksi'!$H$5:$H$92,'Daftar Koreksi'!$D$5:$D$92,'1400'!A268,'Daftar Koreksi'!$G$5:$G$92,"Aset Tetap Lainnya",'Daftar Koreksi'!$H$5:$H$92,"&lt;0")-SUMIFS('Daftar Koreksi'!$H$5:$H$92,'Daftar Koreksi'!$D$5:$D$92,'1400'!A268,'Daftar Koreksi'!$G$5:$G$92,"Aset Tetap Lainnya",'Daftar Koreksi'!$H$5:$H$92,"&lt;0")</f>
        <v>0</v>
      </c>
      <c r="G276" s="17">
        <f t="shared" si="12"/>
        <v>28469545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Koreksi'!$D$5:$D$92,'1400'!A268,'Daftar Koreksi'!$G$5:$G$92,"Kontruksi Dalam Pengerjaan",'Daftar Koreksi'!$H$5:$H$92,"&gt;0")</f>
        <v>0</v>
      </c>
      <c r="F277" s="25">
        <f>SUMIFS('Daftar Koreksi'!$H$5:$H$92,'Daftar Koreksi'!$D$5:$D$92,'1400'!A268,'Daftar Koreksi'!$G$5:$G$92,"Kontruksi Dalam Pengerjaan",'Daftar Koreksi'!$H$5:$H$92,"&lt;0")-SUMIFS('Daftar Koreksi'!$H$5:$H$92,'Daftar Koreksi'!$D$5:$D$92,'1400'!A268,'Daftar Koreksi'!$G$5:$G$92,"Kontruksi Dalam Pengerjaan",'Daftar Koreksi'!$H$5:$H$92,"&lt;0")-SUMIFS('Daftar Koreksi'!$H$5:$H$92,'Daftar Koreksi'!$D$5:$D$92,'1400'!A268,'Daftar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Koreksi'!$D$5:$D$92,'1400'!A268,'Daftar Koreksi'!$G$5:$G$92,"Aset Tak Berwujud",'Daftar Koreksi'!$H$5:$H$92,"&gt;0")</f>
        <v>0</v>
      </c>
      <c r="F278" s="25">
        <f>SUMIFS('Daftar Koreksi'!$H$5:$H$92,'Daftar Koreksi'!$D$5:$D$92,'1400'!A268,'Daftar Koreksi'!$G$5:$G$92,"Aset Tak Berwujud",'Daftar Koreksi'!$H$5:$H$92,"&lt;0")-SUMIFS('Daftar Koreksi'!$H$5:$H$92,'Daftar Koreksi'!$D$5:$D$92,'1400'!A268,'Daftar Koreksi'!$G$5:$G$92,"Aset Tak Berwujud",'Daftar Koreksi'!$H$5:$H$92,"&lt;0")-SUMIFS('Daftar Koreksi'!$H$5:$H$92,'Daftar Koreksi'!$D$5:$D$92,'1400'!A268,'Daftar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3019334</v>
      </c>
      <c r="E279" s="25">
        <f>SUMIFS('Daftar Koreksi'!$H$5:$H$92,'Daftar Koreksi'!$D$5:$D$92,'1400'!A268,'Daftar Koreksi'!$G$5:$G$92,"Aset Henti Guna",'Daftar Koreksi'!$H$5:$H$92,"&gt;0")</f>
        <v>0</v>
      </c>
      <c r="F279" s="25">
        <f>SUMIFS('Daftar Koreksi'!$H$5:$H$92,'Daftar Koreksi'!$D$5:$D$92,'1400'!A268,'Daftar Koreksi'!$G$5:$G$92,"Aset Henti Guna",'Daftar Koreksi'!$H$5:$H$92,"&lt;0")-SUMIFS('Daftar Koreksi'!$H$5:$H$92,'Daftar Koreksi'!$D$5:$D$92,'1400'!A268,'Daftar Koreksi'!$G$5:$G$92,"Aset Henti Guna",'Daftar Koreksi'!$H$5:$H$92,"&lt;0")-SUMIFS('Daftar Koreksi'!$H$5:$H$92,'Daftar Koreksi'!$D$5:$D$92,'1400'!A268,'Daftar Koreksi'!$G$5:$G$92,"Aset Henti Guna",'Daftar Koreksi'!$H$5:$H$92,"&lt;0")</f>
        <v>0</v>
      </c>
      <c r="G279" s="17">
        <f t="shared" si="12"/>
        <v>3019334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7116779283</v>
      </c>
      <c r="E280" s="19">
        <f>SUM(E271:E279)</f>
        <v>0</v>
      </c>
      <c r="F280" s="19">
        <f>SUM(F271:F279)</f>
        <v>0</v>
      </c>
      <c r="G280" s="19">
        <f t="shared" si="12"/>
        <v>7116779283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-908802073</v>
      </c>
      <c r="E281" s="25">
        <f>SUMIFS('Daftar Koreksi'!$I$5:$I$92,'Daftar Koreksi'!$D$5:$D$92,'1400'!A268,'Daftar Koreksi'!$G$5:$G$92,"Peralatan dan mesin",'Daftar Koreksi'!$I$5:$I$92,"&gt;0")</f>
        <v>0</v>
      </c>
      <c r="F281" s="25">
        <f>SUMIFS('Daftar Koreksi'!$I$5:$I$92,'Daftar Koreksi'!$D$5:$D$92,'1400'!A268,'Daftar Koreksi'!$G$5:$G$92,"Peralatan dan mesin",'Daftar Koreksi'!$I$5:$I$92,"&lt;0")-SUMIFS('Daftar Koreksi'!$I$5:$I$92,'Daftar Koreksi'!$D$5:$D$92,'1400'!A268,'Daftar Koreksi'!$G$5:$G$92,"Peralatan dan mesin",'Daftar Koreksi'!$I$5:$I$92,"&lt;0")-SUMIFS('Daftar Koreksi'!$I$5:$I$92,'Daftar Koreksi'!$D$5:$D$92,'1400'!A268,'Daftar Koreksi'!$G$5:$G$92,"Peralatan dan mesin",'Daftar Koreksi'!$I$5:$I$92,"&lt;0")</f>
        <v>0</v>
      </c>
      <c r="G281" s="17">
        <f t="shared" si="12"/>
        <v>-908802073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-841607249</v>
      </c>
      <c r="E282" s="25">
        <f>SUMIFS('Daftar Koreksi'!$I$5:$I$92,'Daftar Koreksi'!$D$5:$D$92,'1400'!A268,'Daftar Koreksi'!$G$5:$G$92,"Gedung dan Bangunan",'Daftar Koreksi'!$I$5:$I$92,"&gt;0")</f>
        <v>0</v>
      </c>
      <c r="F282" s="25">
        <f>SUMIFS('Daftar Koreksi'!$I$5:$I$92,'Daftar Koreksi'!$D$5:$D$92,'1400'!A268,'Daftar Koreksi'!$G$5:$G$92,"Gedung dan Bangunan",'Daftar Koreksi'!$I$5:$I$92,"&lt;0")-SUMIFS('Daftar Koreksi'!$I$5:$I$92,'Daftar Koreksi'!$D$5:$D$92,'1400'!A268,'Daftar Koreksi'!$G$5:$G$92,"Gedung dan Bangunan",'Daftar Koreksi'!$I$5:$I$92,"&lt;0")-SUMIFS('Daftar Koreksi'!$I$5:$I$92,'Daftar Koreksi'!$D$5:$D$92,'1400'!A268,'Daftar Koreksi'!$G$5:$G$92,"Gedung dan Bangunan",'Daftar Koreksi'!$I$5:$I$92,"&lt;0")</f>
        <v>0</v>
      </c>
      <c r="G282" s="17">
        <f t="shared" si="12"/>
        <v>-841607249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Koreksi'!$D$5:$D$92,'1400'!A268,'Daftar Koreksi'!$G$5:$G$92,"Jalan Irigasi Jaringan",'Daftar Koreksi'!$I$5:$I$92,"&gt;0")</f>
        <v>0</v>
      </c>
      <c r="F283" s="25">
        <f>SUMIFS('Daftar Koreksi'!$I$5:$I$92,'Daftar Koreksi'!$D$5:$D$92,'1400'!A268,'Daftar Koreksi'!$G$5:$G$92,"Jalan Irigasi Jaringan",'Daftar Koreksi'!$I$5:$I$92,"&lt;0")-SUMIFS('Daftar Koreksi'!$I$5:$I$92,'Daftar Koreksi'!$D$5:$D$92,'1400'!A268,'Daftar Koreksi'!$G$5:$G$92,"Jalan Irigasi Jaringan",'Daftar Koreksi'!$I$5:$I$92,"&lt;0")-SUMIFS('Daftar Koreksi'!$I$5:$I$92,'Daftar Koreksi'!$D$5:$D$92,'1400'!A268,'Daftar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Koreksi'!$D$5:$D$92,'1400'!A268,'Daftar Koreksi'!$G$5:$G$92,"Aset Tetap Lainnya",'Daftar Koreksi'!$I$5:$I$92,"&gt;0")</f>
        <v>0</v>
      </c>
      <c r="F284" s="25">
        <f>SUMIFS('Daftar Koreksi'!$I$5:$I$92,'Daftar Koreksi'!$D$5:$D$92,'1400'!A268,'Daftar Koreksi'!$G$5:$G$92,"Aset Tetap Lainnya",'Daftar Koreksi'!$I$5:$I$92,"&lt;0")-SUMIFS('Daftar Koreksi'!$I$5:$I$92,'Daftar Koreksi'!$D$5:$D$92,'1400'!A268,'Daftar Koreksi'!$G$5:$G$92,"Aset Tetap Lainnya",'Daftar Koreksi'!$I$5:$I$92,"&lt;0")-SUMIFS('Daftar Koreksi'!$I$5:$I$92,'Daftar Koreksi'!$D$5:$D$92,'1400'!A268,'Daftar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-2796334</v>
      </c>
      <c r="E285" s="25">
        <f>SUMIFS('Daftar Koreksi'!$I$5:$I$92,'Daftar Koreksi'!$D$5:$D$92,'1400'!A268,'Daftar Koreksi'!$G$5:$G$92,"Aset Henti Guna",'Daftar Koreksi'!$I$5:$I$92,"&gt;0")</f>
        <v>0</v>
      </c>
      <c r="F285" s="25">
        <f>SUMIFS('Daftar Koreksi'!$I$5:$I$92,'Daftar Koreksi'!$D$5:$D$92,'1400'!A268,'Daftar Koreksi'!$G$5:$G$92,"Aset Henti Guna",'Daftar Koreksi'!$I$5:$I$92,"&lt;0")-SUMIFS('Daftar Koreksi'!$I$5:$I$92,'Daftar Koreksi'!$D$5:$D$92,'1400'!A268,'Daftar Koreksi'!$G$5:$G$92,"Aset Henti Guna",'Daftar Koreksi'!$I$5:$I$92,"&lt;0")-SUMIFS('Daftar Koreksi'!$I$5:$I$92,'Daftar Koreksi'!$D$5:$D$92,'1400'!A268,'Daftar Koreksi'!$G$5:$G$92,"Aset Henti Guna",'Daftar Koreksi'!$I$5:$I$92,"&lt;0")</f>
        <v>0</v>
      </c>
      <c r="G285" s="17">
        <f t="shared" si="12"/>
        <v>-2796334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-1753205656</v>
      </c>
      <c r="E286" s="19">
        <f>SUM(E281:E285)</f>
        <v>0</v>
      </c>
      <c r="F286" s="19">
        <f>SUM(F281:F285)</f>
        <v>0</v>
      </c>
      <c r="G286" s="19">
        <f t="shared" si="12"/>
        <v>-1753205656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5363573627</v>
      </c>
      <c r="E287" s="19">
        <f>E286+E280</f>
        <v>0</v>
      </c>
      <c r="F287" s="19">
        <f>F286+F280</f>
        <v>0</v>
      </c>
      <c r="G287" s="19">
        <f t="shared" si="12"/>
        <v>5363573627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005011400402989000KD</v>
      </c>
      <c r="B290" s="11" t="str">
        <f>P14</f>
        <v>PTA. Palangkaraya</v>
      </c>
      <c r="C290" s="12" t="str">
        <f>A290&amp;" "&amp;B290</f>
        <v>005011400402989000KD PTA. Palangkaraya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5650498</v>
      </c>
      <c r="E293" s="25">
        <f>SUMIFS('Daftar Koreksi'!$H$5:$H$92,'Daftar Koreksi'!$D$5:$D$92,'1400'!A290,'Daftar Koreksi'!$G$5:$G$92,"Persediaan",'Daftar Koreksi'!$H$5:$H$92,"&gt;0")</f>
        <v>0</v>
      </c>
      <c r="F293" s="25">
        <f>SUMIFS('Daftar Koreksi'!$H$5:$H$92,'Daftar Koreksi'!$D$5:$D$92,'1400'!A290,'Daftar Koreksi'!$G$5:$G$92,"Persediaan",'Daftar Koreksi'!$H$5:$H$92,"&lt;0")-SUMIFS('Daftar Koreksi'!$H$5:$H$92,'Daftar Koreksi'!$D$5:$D$92,'1400'!A290,'Daftar Koreksi'!$G$5:$G$92,"Persediaan",'Daftar Koreksi'!$H$5:$H$92,"&lt;0")-SUMIFS('Daftar Koreksi'!$H$5:$H$92,'Daftar Koreksi'!$D$5:$D$92,'1400'!A290,'Daftar Koreksi'!$G$5:$G$92,"Persediaan",'Daftar Koreksi'!$H$5:$H$92,"&lt;0")</f>
        <v>0</v>
      </c>
      <c r="G293" s="17">
        <f>D293+E293-F293</f>
        <v>5650498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3215335000</v>
      </c>
      <c r="E294" s="25">
        <f>SUMIFS('Daftar Koreksi'!$H$5:$H$92,'Daftar Koreksi'!$D$5:$D$92,'1400'!A290,'Daftar Koreksi'!$G$5:$G$92,"Tanah",'Daftar Koreksi'!$H$5:$H$92,"&gt;0")</f>
        <v>0</v>
      </c>
      <c r="F294" s="25">
        <f>SUMIFS('Daftar Koreksi'!$H$5:$H$92,'Daftar Koreksi'!$D$5:$D$92,'1400'!A290,'Daftar Koreksi'!$G$5:$G$92,"Tanah",'Daftar Koreksi'!$H$5:$H$92,"&lt;0")-SUMIFS('Daftar Koreksi'!$H$5:$H$92,'Daftar Koreksi'!$D$5:$D$92,'1400'!A290,'Daftar Koreksi'!$G$5:$G$92,"Tanah",'Daftar Koreksi'!$H$5:$H$92,"&lt;0")-SUMIFS('Daftar Koreksi'!$H$5:$H$92,'Daftar Koreksi'!$D$5:$D$92,'1400'!A290,'Daftar Koreksi'!$G$5:$G$92,"Tanah",'Daftar Koreksi'!$H$5:$H$92,"&lt;0")</f>
        <v>0</v>
      </c>
      <c r="G294" s="17">
        <f t="shared" ref="G294:G310" si="13">D294+E294-F294</f>
        <v>3215335000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3403157554</v>
      </c>
      <c r="E295" s="25">
        <f>SUMIFS('Daftar Koreksi'!$H$5:$H$92,'Daftar Koreksi'!$D$5:$D$92,'1400'!A290,'Daftar Koreksi'!$G$5:$G$92,"Peralatan dan mesin",'Daftar Koreksi'!$H$5:$H$92,"&gt;0")</f>
        <v>0</v>
      </c>
      <c r="F295" s="25">
        <f>SUMIFS('Daftar Koreksi'!$H$5:$H$92,'Daftar Koreksi'!$D$5:$D$92,'1400'!A290,'Daftar Koreksi'!$G$5:$G$92,"Peralatan dan mesin",'Daftar Koreksi'!$H$5:$H$92,"&lt;0")-SUMIFS('Daftar Koreksi'!$H$5:$H$92,'Daftar Koreksi'!$D$5:$D$92,'1400'!A290,'Daftar Koreksi'!$G$5:$G$92,"Peralatan dan mesin",'Daftar Koreksi'!$H$5:$H$92,"&lt;0")-SUMIFS('Daftar Koreksi'!$H$5:$H$92,'Daftar Koreksi'!$D$5:$D$92,'1400'!A290,'Daftar Koreksi'!$G$5:$G$92,"Peralatan dan mesin",'Daftar Koreksi'!$H$5:$H$92,"&lt;0")</f>
        <v>0</v>
      </c>
      <c r="G295" s="17">
        <f t="shared" si="13"/>
        <v>3403157554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9994457875</v>
      </c>
      <c r="E296" s="25">
        <f>SUMIFS('Daftar Koreksi'!$H$5:$H$92,'Daftar Koreksi'!$D$5:$D$92,'1400'!A290,'Daftar Koreksi'!$G$5:$G$92,"Gedung dan Bangunan",'Daftar Koreksi'!$H$5:$H$92,"&gt;0")</f>
        <v>0</v>
      </c>
      <c r="F296" s="25">
        <f>SUMIFS('Daftar Koreksi'!$H$5:$H$92,'Daftar Koreksi'!$D$5:$D$92,'1400'!A290,'Daftar Koreksi'!$G$5:$G$92,"Gedung dan Bangunan",'Daftar Koreksi'!$H$5:$H$92,"&lt;0")-SUMIFS('Daftar Koreksi'!$H$5:$H$92,'Daftar Koreksi'!$D$5:$D$92,'1400'!A290,'Daftar Koreksi'!$G$5:$G$92,"Gedung dan Bangunan",'Daftar Koreksi'!$H$5:$H$92,"&lt;0")-SUMIFS('Daftar Koreksi'!$H$5:$H$92,'Daftar Koreksi'!$D$5:$D$92,'1400'!A290,'Daftar Koreksi'!$G$5:$G$92,"Gedung dan Bangunan",'Daftar Koreksi'!$H$5:$H$92,"&lt;0")</f>
        <v>0</v>
      </c>
      <c r="G296" s="17">
        <f t="shared" si="13"/>
        <v>9994457875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842494448</v>
      </c>
      <c r="E297" s="25">
        <f>SUMIFS('Daftar Koreksi'!$H$5:$H$92,'Daftar Koreksi'!$D$5:$D$92,'1400'!A290,'Daftar Koreksi'!$G$5:$G$92,"Jalan Irigasi Jaringan",'Daftar Koreksi'!$H$5:$H$92,"&gt;0")</f>
        <v>0</v>
      </c>
      <c r="F297" s="25">
        <f>SUMIFS('Daftar Koreksi'!$H$5:$H$92,'Daftar Koreksi'!$D$5:$D$92,'1400'!A290,'Daftar Koreksi'!$G$5:$G$92,"Jalan Irigasi Jaringan",'Daftar Koreksi'!$H$5:$H$92,"&lt;0")-SUMIFS('Daftar Koreksi'!$H$5:$H$92,'Daftar Koreksi'!$D$5:$D$92,'1400'!A290,'Daftar Koreksi'!$G$5:$G$92,"Jalan Irigasi Jaringan",'Daftar Koreksi'!$H$5:$H$92,"&lt;0")-SUMIFS('Daftar Koreksi'!$H$5:$H$92,'Daftar Koreksi'!$D$5:$D$92,'1400'!A290,'Daftar Koreksi'!$G$5:$G$92,"Jalan Irigasi Jaringan",'Daftar Koreksi'!$H$5:$H$92,"&lt;0")</f>
        <v>0</v>
      </c>
      <c r="G297" s="17">
        <f t="shared" si="13"/>
        <v>842494448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15951356</v>
      </c>
      <c r="E298" s="25">
        <f>SUMIFS('Daftar Koreksi'!$H$5:$H$92,'Daftar Koreksi'!$D$5:$D$92,'1400'!A290,'Daftar Koreksi'!$G$5:$G$92,"Aset Tetap Lainnya",'Daftar Koreksi'!$H$5:$H$92,"&gt;0")</f>
        <v>0</v>
      </c>
      <c r="F298" s="25">
        <f>SUMIFS('Daftar Koreksi'!$H$5:$H$92,'Daftar Koreksi'!$D$5:$D$92,'1400'!A290,'Daftar Koreksi'!$G$5:$G$92,"Aset Tetap Lainnya",'Daftar Koreksi'!$H$5:$H$92,"&lt;0")-SUMIFS('Daftar Koreksi'!$H$5:$H$92,'Daftar Koreksi'!$D$5:$D$92,'1400'!A290,'Daftar Koreksi'!$G$5:$G$92,"Aset Tetap Lainnya",'Daftar Koreksi'!$H$5:$H$92,"&lt;0")-SUMIFS('Daftar Koreksi'!$H$5:$H$92,'Daftar Koreksi'!$D$5:$D$92,'1400'!A290,'Daftar Koreksi'!$G$5:$G$92,"Aset Tetap Lainnya",'Daftar Koreksi'!$H$5:$H$92,"&lt;0")</f>
        <v>0</v>
      </c>
      <c r="G298" s="17">
        <f t="shared" si="13"/>
        <v>15951356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Koreksi'!$D$5:$D$92,'1400'!A290,'Daftar Koreksi'!$G$5:$G$92,"Kontruksi Dalam Pengerjaan",'Daftar Koreksi'!$H$5:$H$92,"&gt;0")</f>
        <v>0</v>
      </c>
      <c r="F299" s="25">
        <f>SUMIFS('Daftar Koreksi'!$H$5:$H$92,'Daftar Koreksi'!$D$5:$D$92,'1400'!A290,'Daftar Koreksi'!$G$5:$G$92,"Kontruksi Dalam Pengerjaan",'Daftar Koreksi'!$H$5:$H$92,"&lt;0")-SUMIFS('Daftar Koreksi'!$H$5:$H$92,'Daftar Koreksi'!$D$5:$D$92,'1400'!A290,'Daftar Koreksi'!$G$5:$G$92,"Kontruksi Dalam Pengerjaan",'Daftar Koreksi'!$H$5:$H$92,"&lt;0")-SUMIFS('Daftar Koreksi'!$H$5:$H$92,'Daftar Koreksi'!$D$5:$D$92,'1400'!A290,'Daftar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Koreksi'!$D$5:$D$92,'1400'!A290,'Daftar Koreksi'!$G$5:$G$92,"Aset Tak Berwujud",'Daftar Koreksi'!$H$5:$H$92,"&gt;0")</f>
        <v>0</v>
      </c>
      <c r="F300" s="25">
        <f>SUMIFS('Daftar Koreksi'!$H$5:$H$92,'Daftar Koreksi'!$D$5:$D$92,'1400'!A290,'Daftar Koreksi'!$G$5:$G$92,"Aset Tak Berwujud",'Daftar Koreksi'!$H$5:$H$92,"&lt;0")-SUMIFS('Daftar Koreksi'!$H$5:$H$92,'Daftar Koreksi'!$D$5:$D$92,'1400'!A290,'Daftar Koreksi'!$G$5:$G$92,"Aset Tak Berwujud",'Daftar Koreksi'!$H$5:$H$92,"&lt;0")-SUMIFS('Daftar Koreksi'!$H$5:$H$92,'Daftar Koreksi'!$D$5:$D$92,'1400'!A290,'Daftar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Koreksi'!$D$5:$D$92,'1400'!A290,'Daftar Koreksi'!$G$5:$G$92,"Aset Henti Guna",'Daftar Koreksi'!$H$5:$H$92,"&gt;0")</f>
        <v>0</v>
      </c>
      <c r="F301" s="25">
        <f>SUMIFS('Daftar Koreksi'!$H$5:$H$92,'Daftar Koreksi'!$D$5:$D$92,'1400'!A290,'Daftar Koreksi'!$G$5:$G$92,"Aset Henti Guna",'Daftar Koreksi'!$H$5:$H$92,"&lt;0")-SUMIFS('Daftar Koreksi'!$H$5:$H$92,'Daftar Koreksi'!$D$5:$D$92,'1400'!A290,'Daftar Koreksi'!$G$5:$G$92,"Aset Henti Guna",'Daftar Koreksi'!$H$5:$H$92,"&lt;0")-SUMIFS('Daftar Koreksi'!$H$5:$H$92,'Daftar Koreksi'!$D$5:$D$92,'1400'!A290,'Daftar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17477046731</v>
      </c>
      <c r="E302" s="19">
        <f>SUM(E293:E301)</f>
        <v>0</v>
      </c>
      <c r="F302" s="19">
        <f>SUM(F293:F301)</f>
        <v>0</v>
      </c>
      <c r="G302" s="19">
        <f t="shared" si="13"/>
        <v>17477046731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-2840941603</v>
      </c>
      <c r="E303" s="25">
        <f>SUMIFS('Daftar Koreksi'!$I$5:$I$92,'Daftar Koreksi'!$D$5:$D$92,'1400'!A290,'Daftar Koreksi'!$G$5:$G$92,"Peralatan dan mesin",'Daftar Koreksi'!$I$5:$I$92,"&gt;0")</f>
        <v>0</v>
      </c>
      <c r="F303" s="25">
        <f>SUMIFS('Daftar Koreksi'!$I$5:$I$92,'Daftar Koreksi'!$D$5:$D$92,'1400'!A290,'Daftar Koreksi'!$G$5:$G$92,"Peralatan dan mesin",'Daftar Koreksi'!$I$5:$I$92,"&lt;0")-SUMIFS('Daftar Koreksi'!$I$5:$I$92,'Daftar Koreksi'!$D$5:$D$92,'1400'!A290,'Daftar Koreksi'!$G$5:$G$92,"Peralatan dan mesin",'Daftar Koreksi'!$I$5:$I$92,"&lt;0")-SUMIFS('Daftar Koreksi'!$I$5:$I$92,'Daftar Koreksi'!$D$5:$D$92,'1400'!A290,'Daftar Koreksi'!$G$5:$G$92,"Peralatan dan mesin",'Daftar Koreksi'!$I$5:$I$92,"&lt;0")</f>
        <v>0</v>
      </c>
      <c r="G303" s="17">
        <f t="shared" si="13"/>
        <v>-2840941603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-1632031273</v>
      </c>
      <c r="E304" s="25">
        <f>SUMIFS('Daftar Koreksi'!$I$5:$I$92,'Daftar Koreksi'!$D$5:$D$92,'1400'!A290,'Daftar Koreksi'!$G$5:$G$92,"Gedung dan Bangunan",'Daftar Koreksi'!$I$5:$I$92,"&gt;0")</f>
        <v>0</v>
      </c>
      <c r="F304" s="25">
        <f>SUMIFS('Daftar Koreksi'!$I$5:$I$92,'Daftar Koreksi'!$D$5:$D$92,'1400'!A290,'Daftar Koreksi'!$G$5:$G$92,"Gedung dan Bangunan",'Daftar Koreksi'!$I$5:$I$92,"&lt;0")-SUMIFS('Daftar Koreksi'!$I$5:$I$92,'Daftar Koreksi'!$D$5:$D$92,'1400'!A290,'Daftar Koreksi'!$G$5:$G$92,"Gedung dan Bangunan",'Daftar Koreksi'!$I$5:$I$92,"&lt;0")-SUMIFS('Daftar Koreksi'!$I$5:$I$92,'Daftar Koreksi'!$D$5:$D$92,'1400'!A290,'Daftar Koreksi'!$G$5:$G$92,"Gedung dan Bangunan",'Daftar Koreksi'!$I$5:$I$92,"&lt;0")</f>
        <v>0</v>
      </c>
      <c r="G304" s="17">
        <f t="shared" si="13"/>
        <v>-1632031273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-674192250</v>
      </c>
      <c r="E305" s="25">
        <f>SUMIFS('Daftar Koreksi'!$I$5:$I$92,'Daftar Koreksi'!$D$5:$D$92,'1400'!A290,'Daftar Koreksi'!$G$5:$G$92,"Jalan Irigasi Jaringan",'Daftar Koreksi'!$I$5:$I$92,"&gt;0")</f>
        <v>0</v>
      </c>
      <c r="F305" s="25">
        <f>SUMIFS('Daftar Koreksi'!$I$5:$I$92,'Daftar Koreksi'!$D$5:$D$92,'1400'!A290,'Daftar Koreksi'!$G$5:$G$92,"Jalan Irigasi Jaringan",'Daftar Koreksi'!$I$5:$I$92,"&lt;0")-SUMIFS('Daftar Koreksi'!$I$5:$I$92,'Daftar Koreksi'!$D$5:$D$92,'1400'!A290,'Daftar Koreksi'!$G$5:$G$92,"Jalan Irigasi Jaringan",'Daftar Koreksi'!$I$5:$I$92,"&lt;0")-SUMIFS('Daftar Koreksi'!$I$5:$I$92,'Daftar Koreksi'!$D$5:$D$92,'1400'!A290,'Daftar Koreksi'!$G$5:$G$92,"Jalan Irigasi Jaringan",'Daftar Koreksi'!$I$5:$I$92,"&lt;0")</f>
        <v>0</v>
      </c>
      <c r="G305" s="17">
        <f t="shared" si="13"/>
        <v>-674192250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-7000000</v>
      </c>
      <c r="E306" s="25">
        <f>SUMIFS('Daftar Koreksi'!$I$5:$I$92,'Daftar Koreksi'!$D$5:$D$92,'1400'!A290,'Daftar Koreksi'!$G$5:$G$92,"Aset Tetap Lainnya",'Daftar Koreksi'!$I$5:$I$92,"&gt;0")</f>
        <v>0</v>
      </c>
      <c r="F306" s="25">
        <f>SUMIFS('Daftar Koreksi'!$I$5:$I$92,'Daftar Koreksi'!$D$5:$D$92,'1400'!A290,'Daftar Koreksi'!$G$5:$G$92,"Aset Tetap Lainnya",'Daftar Koreksi'!$I$5:$I$92,"&lt;0")-SUMIFS('Daftar Koreksi'!$I$5:$I$92,'Daftar Koreksi'!$D$5:$D$92,'1400'!A290,'Daftar Koreksi'!$G$5:$G$92,"Aset Tetap Lainnya",'Daftar Koreksi'!$I$5:$I$92,"&lt;0")-SUMIFS('Daftar Koreksi'!$I$5:$I$92,'Daftar Koreksi'!$D$5:$D$92,'1400'!A290,'Daftar Koreksi'!$G$5:$G$92,"Aset Tetap Lainnya",'Daftar Koreksi'!$I$5:$I$92,"&lt;0")</f>
        <v>0</v>
      </c>
      <c r="G306" s="17">
        <f t="shared" si="13"/>
        <v>-7000000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Koreksi'!$D$5:$D$92,'1400'!A290,'Daftar Koreksi'!$G$5:$G$92,"Aset Henti Guna",'Daftar Koreksi'!$I$5:$I$92,"&gt;0")</f>
        <v>0</v>
      </c>
      <c r="F307" s="25">
        <f>SUMIFS('Daftar Koreksi'!$I$5:$I$92,'Daftar Koreksi'!$D$5:$D$92,'1400'!A290,'Daftar Koreksi'!$G$5:$G$92,"Aset Henti Guna",'Daftar Koreksi'!$I$5:$I$92,"&lt;0")-SUMIFS('Daftar Koreksi'!$I$5:$I$92,'Daftar Koreksi'!$D$5:$D$92,'1400'!A290,'Daftar Koreksi'!$G$5:$G$92,"Aset Henti Guna",'Daftar Koreksi'!$I$5:$I$92,"&lt;0")-SUMIFS('Daftar Koreksi'!$I$5:$I$92,'Daftar Koreksi'!$D$5:$D$92,'1400'!A290,'Daftar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-5154165126</v>
      </c>
      <c r="E308" s="19">
        <f>SUM(E303:E307)</f>
        <v>0</v>
      </c>
      <c r="F308" s="19">
        <f>SUM(F303:F307)</f>
        <v>0</v>
      </c>
      <c r="G308" s="19">
        <f t="shared" si="13"/>
        <v>-5154165126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12322881605</v>
      </c>
      <c r="E309" s="19">
        <f>E308+E302</f>
        <v>0</v>
      </c>
      <c r="F309" s="19">
        <f>F308+F302</f>
        <v>0</v>
      </c>
      <c r="G309" s="19">
        <f t="shared" si="13"/>
        <v>12322881605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005011400578843000KD</v>
      </c>
      <c r="B312" s="11" t="str">
        <f>P15</f>
        <v>PTUN. Palangkaraya</v>
      </c>
      <c r="C312" s="12" t="str">
        <f>A312&amp;" "&amp;B312</f>
        <v>005011400578843000KD PTUN. Palangkaraya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24007955</v>
      </c>
      <c r="E315" s="25">
        <f>SUMIFS('Daftar Koreksi'!$H$5:$H$92,'Daftar Koreksi'!$D$5:$D$92,'1400'!A312,'Daftar Koreksi'!$G$5:$G$92,"Persediaan",'Daftar Koreksi'!$H$5:$H$92,"&gt;0")</f>
        <v>0</v>
      </c>
      <c r="F315" s="25">
        <f>SUMIFS('Daftar Koreksi'!$H$5:$H$92,'Daftar Koreksi'!$D$5:$D$92,'1400'!A312,'Daftar Koreksi'!$G$5:$G$92,"Persediaan",'Daftar Koreksi'!$H$5:$H$92,"&lt;0")-SUMIFS('Daftar Koreksi'!$H$5:$H$92,'Daftar Koreksi'!$D$5:$D$92,'1400'!A312,'Daftar Koreksi'!$G$5:$G$92,"Persediaan",'Daftar Koreksi'!$H$5:$H$92,"&lt;0")-SUMIFS('Daftar Koreksi'!$H$5:$H$92,'Daftar Koreksi'!$D$5:$D$92,'1400'!A312,'Daftar Koreksi'!$G$5:$G$92,"Persediaan",'Daftar Koreksi'!$H$5:$H$92,"&lt;0")</f>
        <v>0</v>
      </c>
      <c r="G315" s="17">
        <f>D315+E315-F315</f>
        <v>24007955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4363490000</v>
      </c>
      <c r="E316" s="25">
        <f>SUMIFS('Daftar Koreksi'!$H$5:$H$92,'Daftar Koreksi'!$D$5:$D$92,'1400'!A312,'Daftar Koreksi'!$G$5:$G$92,"Tanah",'Daftar Koreksi'!$H$5:$H$92,"&gt;0")</f>
        <v>0</v>
      </c>
      <c r="F316" s="25">
        <f>SUMIFS('Daftar Koreksi'!$H$5:$H$92,'Daftar Koreksi'!$D$5:$D$92,'1400'!A312,'Daftar Koreksi'!$G$5:$G$92,"Tanah",'Daftar Koreksi'!$H$5:$H$92,"&lt;0")-SUMIFS('Daftar Koreksi'!$H$5:$H$92,'Daftar Koreksi'!$D$5:$D$92,'1400'!A312,'Daftar Koreksi'!$G$5:$G$92,"Tanah",'Daftar Koreksi'!$H$5:$H$92,"&lt;0")-SUMIFS('Daftar Koreksi'!$H$5:$H$92,'Daftar Koreksi'!$D$5:$D$92,'1400'!A312,'Daftar Koreksi'!$G$5:$G$92,"Tanah",'Daftar Koreksi'!$H$5:$H$92,"&lt;0")</f>
        <v>0</v>
      </c>
      <c r="G316" s="17">
        <f t="shared" ref="G316:G332" si="14">D316+E316-F316</f>
        <v>4363490000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3635101721</v>
      </c>
      <c r="E317" s="25">
        <f>SUMIFS('Daftar Koreksi'!$H$5:$H$92,'Daftar Koreksi'!$D$5:$D$92,'1400'!A312,'Daftar Koreksi'!$G$5:$G$92,"Peralatan dan mesin",'Daftar Koreksi'!$H$5:$H$92,"&gt;0")</f>
        <v>0</v>
      </c>
      <c r="F317" s="25">
        <f>SUMIFS('Daftar Koreksi'!$H$5:$H$92,'Daftar Koreksi'!$D$5:$D$92,'1400'!A312,'Daftar Koreksi'!$G$5:$G$92,"Peralatan dan mesin",'Daftar Koreksi'!$H$5:$H$92,"&lt;0")-SUMIFS('Daftar Koreksi'!$H$5:$H$92,'Daftar Koreksi'!$D$5:$D$92,'1400'!A312,'Daftar Koreksi'!$G$5:$G$92,"Peralatan dan mesin",'Daftar Koreksi'!$H$5:$H$92,"&lt;0")-SUMIFS('Daftar Koreksi'!$H$5:$H$92,'Daftar Koreksi'!$D$5:$D$92,'1400'!A312,'Daftar Koreksi'!$G$5:$G$92,"Peralatan dan mesin",'Daftar Koreksi'!$H$5:$H$92,"&lt;0")</f>
        <v>0</v>
      </c>
      <c r="G317" s="17">
        <f t="shared" si="14"/>
        <v>3635101721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2578560749</v>
      </c>
      <c r="E318" s="25">
        <f>SUMIFS('Daftar Koreksi'!$H$5:$H$92,'Daftar Koreksi'!$D$5:$D$92,'1400'!A312,'Daftar Koreksi'!$G$5:$G$92,"Gedung dan Bangunan",'Daftar Koreksi'!$H$5:$H$92,"&gt;0")</f>
        <v>0</v>
      </c>
      <c r="F318" s="25">
        <f>SUMIFS('Daftar Koreksi'!$H$5:$H$92,'Daftar Koreksi'!$D$5:$D$92,'1400'!A312,'Daftar Koreksi'!$G$5:$G$92,"Gedung dan Bangunan",'Daftar Koreksi'!$H$5:$H$92,"&lt;0")-SUMIFS('Daftar Koreksi'!$H$5:$H$92,'Daftar Koreksi'!$D$5:$D$92,'1400'!A312,'Daftar Koreksi'!$G$5:$G$92,"Gedung dan Bangunan",'Daftar Koreksi'!$H$5:$H$92,"&lt;0")-SUMIFS('Daftar Koreksi'!$H$5:$H$92,'Daftar Koreksi'!$D$5:$D$92,'1400'!A312,'Daftar Koreksi'!$G$5:$G$92,"Gedung dan Bangunan",'Daftar Koreksi'!$H$5:$H$92,"&lt;0")</f>
        <v>0</v>
      </c>
      <c r="G318" s="17">
        <f t="shared" si="14"/>
        <v>2578560749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Koreksi'!$D$5:$D$92,'1400'!A312,'Daftar Koreksi'!$G$5:$G$92,"Jalan Irigasi Jaringan",'Daftar Koreksi'!$H$5:$H$92,"&gt;0")</f>
        <v>0</v>
      </c>
      <c r="F319" s="25">
        <f>SUMIFS('Daftar Koreksi'!$H$5:$H$92,'Daftar Koreksi'!$D$5:$D$92,'1400'!A312,'Daftar Koreksi'!$G$5:$G$92,"Jalan Irigasi Jaringan",'Daftar Koreksi'!$H$5:$H$92,"&lt;0")-SUMIFS('Daftar Koreksi'!$H$5:$H$92,'Daftar Koreksi'!$D$5:$D$92,'1400'!A312,'Daftar Koreksi'!$G$5:$G$92,"Jalan Irigasi Jaringan",'Daftar Koreksi'!$H$5:$H$92,"&lt;0")-SUMIFS('Daftar Koreksi'!$H$5:$H$92,'Daftar Koreksi'!$D$5:$D$92,'1400'!A312,'Daftar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7980000</v>
      </c>
      <c r="E320" s="25">
        <f>SUMIFS('Daftar Koreksi'!$H$5:$H$92,'Daftar Koreksi'!$D$5:$D$92,'1400'!A312,'Daftar Koreksi'!$G$5:$G$92,"Aset Tetap Lainnya",'Daftar Koreksi'!$H$5:$H$92,"&gt;0")</f>
        <v>0</v>
      </c>
      <c r="F320" s="25">
        <f>SUMIFS('Daftar Koreksi'!$H$5:$H$92,'Daftar Koreksi'!$D$5:$D$92,'1400'!A312,'Daftar Koreksi'!$G$5:$G$92,"Aset Tetap Lainnya",'Daftar Koreksi'!$H$5:$H$92,"&lt;0")-SUMIFS('Daftar Koreksi'!$H$5:$H$92,'Daftar Koreksi'!$D$5:$D$92,'1400'!A312,'Daftar Koreksi'!$G$5:$G$92,"Aset Tetap Lainnya",'Daftar Koreksi'!$H$5:$H$92,"&lt;0")-SUMIFS('Daftar Koreksi'!$H$5:$H$92,'Daftar Koreksi'!$D$5:$D$92,'1400'!A312,'Daftar Koreksi'!$G$5:$G$92,"Aset Tetap Lainnya",'Daftar Koreksi'!$H$5:$H$92,"&lt;0")</f>
        <v>0</v>
      </c>
      <c r="G320" s="17">
        <f t="shared" si="14"/>
        <v>7980000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Koreksi'!$D$5:$D$92,'1400'!A312,'Daftar Koreksi'!$G$5:$G$92,"Kontruksi Dalam Pengerjaan",'Daftar Koreksi'!$H$5:$H$92,"&gt;0")</f>
        <v>0</v>
      </c>
      <c r="F321" s="25">
        <f>SUMIFS('Daftar Koreksi'!$H$5:$H$92,'Daftar Koreksi'!$D$5:$D$92,'1400'!A312,'Daftar Koreksi'!$G$5:$G$92,"Kontruksi Dalam Pengerjaan",'Daftar Koreksi'!$H$5:$H$92,"&lt;0")-SUMIFS('Daftar Koreksi'!$H$5:$H$92,'Daftar Koreksi'!$D$5:$D$92,'1400'!A312,'Daftar Koreksi'!$G$5:$G$92,"Kontruksi Dalam Pengerjaan",'Daftar Koreksi'!$H$5:$H$92,"&lt;0")-SUMIFS('Daftar Koreksi'!$H$5:$H$92,'Daftar Koreksi'!$D$5:$D$92,'1400'!A312,'Daftar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74750000</v>
      </c>
      <c r="E322" s="25">
        <f>SUMIFS('Daftar Koreksi'!$H$5:$H$92,'Daftar Koreksi'!$D$5:$D$92,'1400'!A312,'Daftar Koreksi'!$G$5:$G$92,"Aset Tak Berwujud",'Daftar Koreksi'!$H$5:$H$92,"&gt;0")</f>
        <v>0</v>
      </c>
      <c r="F322" s="25">
        <f>SUMIFS('Daftar Koreksi'!$H$5:$H$92,'Daftar Koreksi'!$D$5:$D$92,'1400'!A312,'Daftar Koreksi'!$G$5:$G$92,"Aset Tak Berwujud",'Daftar Koreksi'!$H$5:$H$92,"&lt;0")-SUMIFS('Daftar Koreksi'!$H$5:$H$92,'Daftar Koreksi'!$D$5:$D$92,'1400'!A312,'Daftar Koreksi'!$G$5:$G$92,"Aset Tak Berwujud",'Daftar Koreksi'!$H$5:$H$92,"&lt;0")-SUMIFS('Daftar Koreksi'!$H$5:$H$92,'Daftar Koreksi'!$D$5:$D$92,'1400'!A312,'Daftar Koreksi'!$G$5:$G$92,"Aset Tak Berwujud",'Daftar Koreksi'!$H$5:$H$92,"&lt;0")</f>
        <v>0</v>
      </c>
      <c r="G322" s="17">
        <f t="shared" si="14"/>
        <v>74750000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35513484</v>
      </c>
      <c r="E323" s="25">
        <f>SUMIFS('Daftar Koreksi'!$H$5:$H$92,'Daftar Koreksi'!$D$5:$D$92,'1400'!A312,'Daftar Koreksi'!$G$5:$G$92,"Aset Henti Guna",'Daftar Koreksi'!$H$5:$H$92,"&gt;0")</f>
        <v>0</v>
      </c>
      <c r="F323" s="25">
        <f>SUMIFS('Daftar Koreksi'!$H$5:$H$92,'Daftar Koreksi'!$D$5:$D$92,'1400'!A312,'Daftar Koreksi'!$G$5:$G$92,"Aset Henti Guna",'Daftar Koreksi'!$H$5:$H$92,"&lt;0")-SUMIFS('Daftar Koreksi'!$H$5:$H$92,'Daftar Koreksi'!$D$5:$D$92,'1400'!A312,'Daftar Koreksi'!$G$5:$G$92,"Aset Henti Guna",'Daftar Koreksi'!$H$5:$H$92,"&lt;0")-SUMIFS('Daftar Koreksi'!$H$5:$H$92,'Daftar Koreksi'!$D$5:$D$92,'1400'!A312,'Daftar Koreksi'!$G$5:$G$92,"Aset Henti Guna",'Daftar Koreksi'!$H$5:$H$92,"&lt;0")</f>
        <v>0</v>
      </c>
      <c r="G323" s="17">
        <f t="shared" si="14"/>
        <v>35513484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10719403909</v>
      </c>
      <c r="E324" s="19">
        <f>SUM(E315:E323)</f>
        <v>0</v>
      </c>
      <c r="F324" s="19">
        <f>SUM(F315:F323)</f>
        <v>0</v>
      </c>
      <c r="G324" s="19">
        <f t="shared" si="14"/>
        <v>10719403909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-3237256749</v>
      </c>
      <c r="E325" s="25">
        <f>SUMIFS('Daftar Koreksi'!$I$5:$I$92,'Daftar Koreksi'!$D$5:$D$92,'1400'!A312,'Daftar Koreksi'!$G$5:$G$92,"Peralatan dan mesin",'Daftar Koreksi'!$I$5:$I$92,"&gt;0")</f>
        <v>0</v>
      </c>
      <c r="F325" s="25">
        <f>SUMIFS('Daftar Koreksi'!$I$5:$I$92,'Daftar Koreksi'!$D$5:$D$92,'1400'!A312,'Daftar Koreksi'!$G$5:$G$92,"Peralatan dan mesin",'Daftar Koreksi'!$I$5:$I$92,"&lt;0")-SUMIFS('Daftar Koreksi'!$I$5:$I$92,'Daftar Koreksi'!$D$5:$D$92,'1400'!A312,'Daftar Koreksi'!$G$5:$G$92,"Peralatan dan mesin",'Daftar Koreksi'!$I$5:$I$92,"&lt;0")-SUMIFS('Daftar Koreksi'!$I$5:$I$92,'Daftar Koreksi'!$D$5:$D$92,'1400'!A312,'Daftar Koreksi'!$G$5:$G$92,"Peralatan dan mesin",'Daftar Koreksi'!$I$5:$I$92,"&lt;0")</f>
        <v>0</v>
      </c>
      <c r="G325" s="17">
        <f t="shared" si="14"/>
        <v>-3237256749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-334353106</v>
      </c>
      <c r="E326" s="25">
        <f>SUMIFS('Daftar Koreksi'!$I$5:$I$92,'Daftar Koreksi'!$D$5:$D$92,'1400'!A312,'Daftar Koreksi'!$G$5:$G$92,"Gedung dan Bangunan",'Daftar Koreksi'!$I$5:$I$92,"&gt;0")</f>
        <v>0</v>
      </c>
      <c r="F326" s="25">
        <f>SUMIFS('Daftar Koreksi'!$I$5:$I$92,'Daftar Koreksi'!$D$5:$D$92,'1400'!A312,'Daftar Koreksi'!$G$5:$G$92,"Gedung dan Bangunan",'Daftar Koreksi'!$I$5:$I$92,"&lt;0")-SUMIFS('Daftar Koreksi'!$I$5:$I$92,'Daftar Koreksi'!$D$5:$D$92,'1400'!A312,'Daftar Koreksi'!$G$5:$G$92,"Gedung dan Bangunan",'Daftar Koreksi'!$I$5:$I$92,"&lt;0")-SUMIFS('Daftar Koreksi'!$I$5:$I$92,'Daftar Koreksi'!$D$5:$D$92,'1400'!A312,'Daftar Koreksi'!$G$5:$G$92,"Gedung dan Bangunan",'Daftar Koreksi'!$I$5:$I$92,"&lt;0")</f>
        <v>0</v>
      </c>
      <c r="G326" s="17">
        <f t="shared" si="14"/>
        <v>-334353106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Koreksi'!$D$5:$D$92,'1400'!A312,'Daftar Koreksi'!$G$5:$G$92,"Jalan Irigasi Jaringan",'Daftar Koreksi'!$I$5:$I$92,"&gt;0")</f>
        <v>0</v>
      </c>
      <c r="F327" s="25">
        <f>SUMIFS('Daftar Koreksi'!$I$5:$I$92,'Daftar Koreksi'!$D$5:$D$92,'1400'!A312,'Daftar Koreksi'!$G$5:$G$92,"Jalan Irigasi Jaringan",'Daftar Koreksi'!$I$5:$I$92,"&lt;0")-SUMIFS('Daftar Koreksi'!$I$5:$I$92,'Daftar Koreksi'!$D$5:$D$92,'1400'!A312,'Daftar Koreksi'!$G$5:$G$92,"Jalan Irigasi Jaringan",'Daftar Koreksi'!$I$5:$I$92,"&lt;0")-SUMIFS('Daftar Koreksi'!$I$5:$I$92,'Daftar Koreksi'!$D$5:$D$92,'1400'!A312,'Daftar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Koreksi'!$D$5:$D$92,'1400'!A312,'Daftar Koreksi'!$G$5:$G$92,"Aset Tetap Lainnya",'Daftar Koreksi'!$I$5:$I$92,"&gt;0")</f>
        <v>0</v>
      </c>
      <c r="F328" s="25">
        <f>SUMIFS('Daftar Koreksi'!$I$5:$I$92,'Daftar Koreksi'!$D$5:$D$92,'1400'!A312,'Daftar Koreksi'!$G$5:$G$92,"Aset Tetap Lainnya",'Daftar Koreksi'!$I$5:$I$92,"&lt;0")-SUMIFS('Daftar Koreksi'!$I$5:$I$92,'Daftar Koreksi'!$D$5:$D$92,'1400'!A312,'Daftar Koreksi'!$G$5:$G$92,"Aset Tetap Lainnya",'Daftar Koreksi'!$I$5:$I$92,"&lt;0")-SUMIFS('Daftar Koreksi'!$I$5:$I$92,'Daftar Koreksi'!$D$5:$D$92,'1400'!A312,'Daftar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-35513484</v>
      </c>
      <c r="E329" s="25">
        <f>SUMIFS('Daftar Koreksi'!$I$5:$I$92,'Daftar Koreksi'!$D$5:$D$92,'1400'!A312,'Daftar Koreksi'!$G$5:$G$92,"Aset Henti Guna",'Daftar Koreksi'!$I$5:$I$92,"&gt;0")</f>
        <v>0</v>
      </c>
      <c r="F329" s="25">
        <f>SUMIFS('Daftar Koreksi'!$I$5:$I$92,'Daftar Koreksi'!$D$5:$D$92,'1400'!A312,'Daftar Koreksi'!$G$5:$G$92,"Aset Henti Guna",'Daftar Koreksi'!$I$5:$I$92,"&lt;0")-SUMIFS('Daftar Koreksi'!$I$5:$I$92,'Daftar Koreksi'!$D$5:$D$92,'1400'!A312,'Daftar Koreksi'!$G$5:$G$92,"Aset Henti Guna",'Daftar Koreksi'!$I$5:$I$92,"&lt;0")-SUMIFS('Daftar Koreksi'!$I$5:$I$92,'Daftar Koreksi'!$D$5:$D$92,'1400'!A312,'Daftar Koreksi'!$G$5:$G$92,"Aset Henti Guna",'Daftar Koreksi'!$I$5:$I$92,"&lt;0")</f>
        <v>0</v>
      </c>
      <c r="G329" s="17">
        <f t="shared" si="14"/>
        <v>-35513484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-3607123339</v>
      </c>
      <c r="E330" s="19">
        <f>SUM(E325:E329)</f>
        <v>0</v>
      </c>
      <c r="F330" s="19">
        <f>SUM(F325:F329)</f>
        <v>0</v>
      </c>
      <c r="G330" s="19">
        <f t="shared" si="14"/>
        <v>-3607123339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7112280570</v>
      </c>
      <c r="E331" s="19">
        <f>E330+E324</f>
        <v>0</v>
      </c>
      <c r="F331" s="19">
        <f>F330+F324</f>
        <v>0</v>
      </c>
      <c r="G331" s="19">
        <f t="shared" si="14"/>
        <v>7112280570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005011400670191000KD</v>
      </c>
      <c r="B334" s="11" t="str">
        <f>P16</f>
        <v>PN. Tamiang Layang</v>
      </c>
      <c r="C334" s="12" t="str">
        <f>A334&amp;" "&amp;B334</f>
        <v>005011400670191000KD PN. Tamiang Layang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73000</v>
      </c>
      <c r="E337" s="25">
        <f>SUMIFS('Daftar Koreksi'!$H$5:$H$92,'Daftar Koreksi'!$D$5:$D$92,'1400'!A334,'Daftar Koreksi'!$G$5:$G$92,"Persediaan",'Daftar Koreksi'!$H$5:$H$92,"&gt;0")</f>
        <v>0</v>
      </c>
      <c r="F337" s="25">
        <f>SUMIFS('Daftar Koreksi'!$H$5:$H$92,'Daftar Koreksi'!$D$5:$D$92,'1400'!A334,'Daftar Koreksi'!$G$5:$G$92,"Persediaan",'Daftar Koreksi'!$H$5:$H$92,"&lt;0")-SUMIFS('Daftar Koreksi'!$H$5:$H$92,'Daftar Koreksi'!$D$5:$D$92,'1400'!A334,'Daftar Koreksi'!$G$5:$G$92,"Persediaan",'Daftar Koreksi'!$H$5:$H$92,"&lt;0")-SUMIFS('Daftar Koreksi'!$H$5:$H$92,'Daftar Koreksi'!$D$5:$D$92,'1400'!A334,'Daftar Koreksi'!$G$5:$G$92,"Persediaan",'Daftar Koreksi'!$H$5:$H$92,"&lt;0")</f>
        <v>0</v>
      </c>
      <c r="G337" s="17">
        <f>D337+E337-F337</f>
        <v>73000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856800000</v>
      </c>
      <c r="E338" s="25">
        <f>SUMIFS('Daftar Koreksi'!$H$5:$H$92,'Daftar Koreksi'!$D$5:$D$92,'1400'!A334,'Daftar Koreksi'!$G$5:$G$92,"Tanah",'Daftar Koreksi'!$H$5:$H$92,"&gt;0")</f>
        <v>0</v>
      </c>
      <c r="F338" s="25">
        <f>SUMIFS('Daftar Koreksi'!$H$5:$H$92,'Daftar Koreksi'!$D$5:$D$92,'1400'!A334,'Daftar Koreksi'!$G$5:$G$92,"Tanah",'Daftar Koreksi'!$H$5:$H$92,"&lt;0")-SUMIFS('Daftar Koreksi'!$H$5:$H$92,'Daftar Koreksi'!$D$5:$D$92,'1400'!A334,'Daftar Koreksi'!$G$5:$G$92,"Tanah",'Daftar Koreksi'!$H$5:$H$92,"&lt;0")-SUMIFS('Daftar Koreksi'!$H$5:$H$92,'Daftar Koreksi'!$D$5:$D$92,'1400'!A334,'Daftar Koreksi'!$G$5:$G$92,"Tanah",'Daftar Koreksi'!$H$5:$H$92,"&lt;0")</f>
        <v>0</v>
      </c>
      <c r="G338" s="17">
        <f t="shared" ref="G338:G354" si="15">D338+E338-F338</f>
        <v>856800000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1842263324</v>
      </c>
      <c r="E339" s="25">
        <f>SUMIFS('Daftar Koreksi'!$H$5:$H$92,'Daftar Koreksi'!$D$5:$D$92,'1400'!A334,'Daftar Koreksi'!$G$5:$G$92,"Peralatan dan mesin",'Daftar Koreksi'!$H$5:$H$92,"&gt;0")</f>
        <v>0</v>
      </c>
      <c r="F339" s="25">
        <f>SUMIFS('Daftar Koreksi'!$H$5:$H$92,'Daftar Koreksi'!$D$5:$D$92,'1400'!A334,'Daftar Koreksi'!$G$5:$G$92,"Peralatan dan mesin",'Daftar Koreksi'!$H$5:$H$92,"&lt;0")-SUMIFS('Daftar Koreksi'!$H$5:$H$92,'Daftar Koreksi'!$D$5:$D$92,'1400'!A334,'Daftar Koreksi'!$G$5:$G$92,"Peralatan dan mesin",'Daftar Koreksi'!$H$5:$H$92,"&lt;0")-SUMIFS('Daftar Koreksi'!$H$5:$H$92,'Daftar Koreksi'!$D$5:$D$92,'1400'!A334,'Daftar Koreksi'!$G$5:$G$92,"Peralatan dan mesin",'Daftar Koreksi'!$H$5:$H$92,"&lt;0")</f>
        <v>0</v>
      </c>
      <c r="G339" s="17">
        <f t="shared" si="15"/>
        <v>1842263324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2540293000</v>
      </c>
      <c r="E340" s="25">
        <f>SUMIFS('Daftar Koreksi'!$H$5:$H$92,'Daftar Koreksi'!$D$5:$D$92,'1400'!A334,'Daftar Koreksi'!$G$5:$G$92,"Gedung dan Bangunan",'Daftar Koreksi'!$H$5:$H$92,"&gt;0")</f>
        <v>0</v>
      </c>
      <c r="F340" s="25">
        <f>SUMIFS('Daftar Koreksi'!$H$5:$H$92,'Daftar Koreksi'!$D$5:$D$92,'1400'!A334,'Daftar Koreksi'!$G$5:$G$92,"Gedung dan Bangunan",'Daftar Koreksi'!$H$5:$H$92,"&lt;0")-SUMIFS('Daftar Koreksi'!$H$5:$H$92,'Daftar Koreksi'!$D$5:$D$92,'1400'!A334,'Daftar Koreksi'!$G$5:$G$92,"Gedung dan Bangunan",'Daftar Koreksi'!$H$5:$H$92,"&lt;0")-SUMIFS('Daftar Koreksi'!$H$5:$H$92,'Daftar Koreksi'!$D$5:$D$92,'1400'!A334,'Daftar Koreksi'!$G$5:$G$92,"Gedung dan Bangunan",'Daftar Koreksi'!$H$5:$H$92,"&lt;0")</f>
        <v>0</v>
      </c>
      <c r="G340" s="17">
        <f t="shared" si="15"/>
        <v>2540293000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Koreksi'!$D$5:$D$92,'1400'!A334,'Daftar Koreksi'!$G$5:$G$92,"Jalan Irigasi Jaringan",'Daftar Koreksi'!$H$5:$H$92,"&gt;0")</f>
        <v>0</v>
      </c>
      <c r="F341" s="25">
        <f>SUMIFS('Daftar Koreksi'!$H$5:$H$92,'Daftar Koreksi'!$D$5:$D$92,'1400'!A334,'Daftar Koreksi'!$G$5:$G$92,"Jalan Irigasi Jaringan",'Daftar Koreksi'!$H$5:$H$92,"&lt;0")-SUMIFS('Daftar Koreksi'!$H$5:$H$92,'Daftar Koreksi'!$D$5:$D$92,'1400'!A334,'Daftar Koreksi'!$G$5:$G$92,"Jalan Irigasi Jaringan",'Daftar Koreksi'!$H$5:$H$92,"&lt;0")-SUMIFS('Daftar Koreksi'!$H$5:$H$92,'Daftar Koreksi'!$D$5:$D$92,'1400'!A334,'Daftar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2965060</v>
      </c>
      <c r="E342" s="25">
        <f>SUMIFS('Daftar Koreksi'!$H$5:$H$92,'Daftar Koreksi'!$D$5:$D$92,'1400'!A334,'Daftar Koreksi'!$G$5:$G$92,"Aset Tetap Lainnya",'Daftar Koreksi'!$H$5:$H$92,"&gt;0")</f>
        <v>0</v>
      </c>
      <c r="F342" s="25">
        <f>SUMIFS('Daftar Koreksi'!$H$5:$H$92,'Daftar Koreksi'!$D$5:$D$92,'1400'!A334,'Daftar Koreksi'!$G$5:$G$92,"Aset Tetap Lainnya",'Daftar Koreksi'!$H$5:$H$92,"&lt;0")-SUMIFS('Daftar Koreksi'!$H$5:$H$92,'Daftar Koreksi'!$D$5:$D$92,'1400'!A334,'Daftar Koreksi'!$G$5:$G$92,"Aset Tetap Lainnya",'Daftar Koreksi'!$H$5:$H$92,"&lt;0")-SUMIFS('Daftar Koreksi'!$H$5:$H$92,'Daftar Koreksi'!$D$5:$D$92,'1400'!A334,'Daftar Koreksi'!$G$5:$G$92,"Aset Tetap Lainnya",'Daftar Koreksi'!$H$5:$H$92,"&lt;0")</f>
        <v>0</v>
      </c>
      <c r="G342" s="17">
        <f t="shared" si="15"/>
        <v>2965060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456745000</v>
      </c>
      <c r="E343" s="25">
        <f>SUMIFS('Daftar Koreksi'!$H$5:$H$92,'Daftar Koreksi'!$D$5:$D$92,'1400'!A334,'Daftar Koreksi'!$G$5:$G$92,"Kontruksi Dalam Pengerjaan",'Daftar Koreksi'!$H$5:$H$92,"&gt;0")</f>
        <v>0</v>
      </c>
      <c r="F343" s="25">
        <f>SUMIFS('Daftar Koreksi'!$H$5:$H$92,'Daftar Koreksi'!$D$5:$D$92,'1400'!A334,'Daftar Koreksi'!$G$5:$G$92,"Kontruksi Dalam Pengerjaan",'Daftar Koreksi'!$H$5:$H$92,"&lt;0")-SUMIFS('Daftar Koreksi'!$H$5:$H$92,'Daftar Koreksi'!$D$5:$D$92,'1400'!A334,'Daftar Koreksi'!$G$5:$G$92,"Kontruksi Dalam Pengerjaan",'Daftar Koreksi'!$H$5:$H$92,"&lt;0")-SUMIFS('Daftar Koreksi'!$H$5:$H$92,'Daftar Koreksi'!$D$5:$D$92,'1400'!A334,'Daftar Koreksi'!$G$5:$G$92,"Kontruksi Dalam Pengerjaan",'Daftar Koreksi'!$H$5:$H$92,"&lt;0")</f>
        <v>0</v>
      </c>
      <c r="G343" s="17">
        <f t="shared" si="15"/>
        <v>456745000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5186000</v>
      </c>
      <c r="E344" s="25">
        <f>SUMIFS('Daftar Koreksi'!$H$5:$H$92,'Daftar Koreksi'!$D$5:$D$92,'1400'!A334,'Daftar Koreksi'!$G$5:$G$92,"Aset Tak Berwujud",'Daftar Koreksi'!$H$5:$H$92,"&gt;0")</f>
        <v>0</v>
      </c>
      <c r="F344" s="25">
        <f>SUMIFS('Daftar Koreksi'!$H$5:$H$92,'Daftar Koreksi'!$D$5:$D$92,'1400'!A334,'Daftar Koreksi'!$G$5:$G$92,"Aset Tak Berwujud",'Daftar Koreksi'!$H$5:$H$92,"&lt;0")-SUMIFS('Daftar Koreksi'!$H$5:$H$92,'Daftar Koreksi'!$D$5:$D$92,'1400'!A334,'Daftar Koreksi'!$G$5:$G$92,"Aset Tak Berwujud",'Daftar Koreksi'!$H$5:$H$92,"&lt;0")-SUMIFS('Daftar Koreksi'!$H$5:$H$92,'Daftar Koreksi'!$D$5:$D$92,'1400'!A334,'Daftar Koreksi'!$G$5:$G$92,"Aset Tak Berwujud",'Daftar Koreksi'!$H$5:$H$92,"&lt;0")</f>
        <v>0</v>
      </c>
      <c r="G344" s="17">
        <f t="shared" si="15"/>
        <v>5186000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52220000</v>
      </c>
      <c r="E345" s="25">
        <f>SUMIFS('Daftar Koreksi'!$H$5:$H$92,'Daftar Koreksi'!$D$5:$D$92,'1400'!A334,'Daftar Koreksi'!$G$5:$G$92,"Aset Henti Guna",'Daftar Koreksi'!$H$5:$H$92,"&gt;0")</f>
        <v>0</v>
      </c>
      <c r="F345" s="25">
        <f>SUMIFS('Daftar Koreksi'!$H$5:$H$92,'Daftar Koreksi'!$D$5:$D$92,'1400'!A334,'Daftar Koreksi'!$G$5:$G$92,"Aset Henti Guna",'Daftar Koreksi'!$H$5:$H$92,"&lt;0")-SUMIFS('Daftar Koreksi'!$H$5:$H$92,'Daftar Koreksi'!$D$5:$D$92,'1400'!A334,'Daftar Koreksi'!$G$5:$G$92,"Aset Henti Guna",'Daftar Koreksi'!$H$5:$H$92,"&lt;0")-SUMIFS('Daftar Koreksi'!$H$5:$H$92,'Daftar Koreksi'!$D$5:$D$92,'1400'!A334,'Daftar Koreksi'!$G$5:$G$92,"Aset Henti Guna",'Daftar Koreksi'!$H$5:$H$92,"&lt;0")</f>
        <v>0</v>
      </c>
      <c r="G345" s="17">
        <f t="shared" si="15"/>
        <v>52220000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5756545384</v>
      </c>
      <c r="E346" s="19">
        <f>SUM(E337:E345)</f>
        <v>0</v>
      </c>
      <c r="F346" s="19">
        <f>SUM(F337:F345)</f>
        <v>0</v>
      </c>
      <c r="G346" s="19">
        <f t="shared" si="15"/>
        <v>5756545384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-1257683648</v>
      </c>
      <c r="E347" s="25">
        <f>SUMIFS('Daftar Koreksi'!$I$5:$I$92,'Daftar Koreksi'!$D$5:$D$92,'1400'!A334,'Daftar Koreksi'!$G$5:$G$92,"Peralatan dan mesin",'Daftar Koreksi'!$I$5:$I$92,"&gt;0")</f>
        <v>0</v>
      </c>
      <c r="F347" s="25">
        <f>SUMIFS('Daftar Koreksi'!$I$5:$I$92,'Daftar Koreksi'!$D$5:$D$92,'1400'!A334,'Daftar Koreksi'!$G$5:$G$92,"Peralatan dan mesin",'Daftar Koreksi'!$I$5:$I$92,"&lt;0")-SUMIFS('Daftar Koreksi'!$I$5:$I$92,'Daftar Koreksi'!$D$5:$D$92,'1400'!A334,'Daftar Koreksi'!$G$5:$G$92,"Peralatan dan mesin",'Daftar Koreksi'!$I$5:$I$92,"&lt;0")-SUMIFS('Daftar Koreksi'!$I$5:$I$92,'Daftar Koreksi'!$D$5:$D$92,'1400'!A334,'Daftar Koreksi'!$G$5:$G$92,"Peralatan dan mesin",'Daftar Koreksi'!$I$5:$I$92,"&lt;0")</f>
        <v>0</v>
      </c>
      <c r="G347" s="17">
        <f t="shared" si="15"/>
        <v>-1257683648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-275031132</v>
      </c>
      <c r="E348" s="25">
        <f>SUMIFS('Daftar Koreksi'!$I$5:$I$92,'Daftar Koreksi'!$D$5:$D$92,'1400'!A334,'Daftar Koreksi'!$G$5:$G$92,"Gedung dan Bangunan",'Daftar Koreksi'!$I$5:$I$92,"&gt;0")</f>
        <v>0</v>
      </c>
      <c r="F348" s="25">
        <f>SUMIFS('Daftar Koreksi'!$I$5:$I$92,'Daftar Koreksi'!$D$5:$D$92,'1400'!A334,'Daftar Koreksi'!$G$5:$G$92,"Gedung dan Bangunan",'Daftar Koreksi'!$I$5:$I$92,"&lt;0")-SUMIFS('Daftar Koreksi'!$I$5:$I$92,'Daftar Koreksi'!$D$5:$D$92,'1400'!A334,'Daftar Koreksi'!$G$5:$G$92,"Gedung dan Bangunan",'Daftar Koreksi'!$I$5:$I$92,"&lt;0")-SUMIFS('Daftar Koreksi'!$I$5:$I$92,'Daftar Koreksi'!$D$5:$D$92,'1400'!A334,'Daftar Koreksi'!$G$5:$G$92,"Gedung dan Bangunan",'Daftar Koreksi'!$I$5:$I$92,"&lt;0")</f>
        <v>0</v>
      </c>
      <c r="G348" s="17">
        <f t="shared" si="15"/>
        <v>-275031132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Koreksi'!$D$5:$D$92,'1400'!A334,'Daftar Koreksi'!$G$5:$G$92,"Jalan Irigasi Jaringan",'Daftar Koreksi'!$I$5:$I$92,"&gt;0")</f>
        <v>0</v>
      </c>
      <c r="F349" s="25">
        <f>SUMIFS('Daftar Koreksi'!$I$5:$I$92,'Daftar Koreksi'!$D$5:$D$92,'1400'!A334,'Daftar Koreksi'!$G$5:$G$92,"Jalan Irigasi Jaringan",'Daftar Koreksi'!$I$5:$I$92,"&lt;0")-SUMIFS('Daftar Koreksi'!$I$5:$I$92,'Daftar Koreksi'!$D$5:$D$92,'1400'!A334,'Daftar Koreksi'!$G$5:$G$92,"Jalan Irigasi Jaringan",'Daftar Koreksi'!$I$5:$I$92,"&lt;0")-SUMIFS('Daftar Koreksi'!$I$5:$I$92,'Daftar Koreksi'!$D$5:$D$92,'1400'!A334,'Daftar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Koreksi'!$D$5:$D$92,'1400'!A334,'Daftar Koreksi'!$G$5:$G$92,"Aset Tetap Lainnya",'Daftar Koreksi'!$I$5:$I$92,"&gt;0")</f>
        <v>0</v>
      </c>
      <c r="F350" s="25">
        <f>SUMIFS('Daftar Koreksi'!$I$5:$I$92,'Daftar Koreksi'!$D$5:$D$92,'1400'!A334,'Daftar Koreksi'!$G$5:$G$92,"Aset Tetap Lainnya",'Daftar Koreksi'!$I$5:$I$92,"&lt;0")-SUMIFS('Daftar Koreksi'!$I$5:$I$92,'Daftar Koreksi'!$D$5:$D$92,'1400'!A334,'Daftar Koreksi'!$G$5:$G$92,"Aset Tetap Lainnya",'Daftar Koreksi'!$I$5:$I$92,"&lt;0")-SUMIFS('Daftar Koreksi'!$I$5:$I$92,'Daftar Koreksi'!$D$5:$D$92,'1400'!A334,'Daftar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-36636000</v>
      </c>
      <c r="E351" s="25">
        <f>SUMIFS('Daftar Koreksi'!$I$5:$I$92,'Daftar Koreksi'!$D$5:$D$92,'1400'!A334,'Daftar Koreksi'!$G$5:$G$92,"Aset Henti Guna",'Daftar Koreksi'!$I$5:$I$92,"&gt;0")</f>
        <v>0</v>
      </c>
      <c r="F351" s="25">
        <f>SUMIFS('Daftar Koreksi'!$I$5:$I$92,'Daftar Koreksi'!$D$5:$D$92,'1400'!A334,'Daftar Koreksi'!$G$5:$G$92,"Aset Henti Guna",'Daftar Koreksi'!$I$5:$I$92,"&lt;0")-SUMIFS('Daftar Koreksi'!$I$5:$I$92,'Daftar Koreksi'!$D$5:$D$92,'1400'!A334,'Daftar Koreksi'!$G$5:$G$92,"Aset Henti Guna",'Daftar Koreksi'!$I$5:$I$92,"&lt;0")-SUMIFS('Daftar Koreksi'!$I$5:$I$92,'Daftar Koreksi'!$D$5:$D$92,'1400'!A334,'Daftar Koreksi'!$G$5:$G$92,"Aset Henti Guna",'Daftar Koreksi'!$I$5:$I$92,"&lt;0")</f>
        <v>0</v>
      </c>
      <c r="G351" s="17">
        <f t="shared" si="15"/>
        <v>-36636000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-1569350780</v>
      </c>
      <c r="E352" s="19">
        <f>SUM(E347:E351)</f>
        <v>0</v>
      </c>
      <c r="F352" s="19">
        <f>SUM(F347:F351)</f>
        <v>0</v>
      </c>
      <c r="G352" s="19">
        <f t="shared" si="15"/>
        <v>-1569350780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4187194604</v>
      </c>
      <c r="E353" s="19">
        <f>E352+E346</f>
        <v>0</v>
      </c>
      <c r="F353" s="19">
        <f>F352+F346</f>
        <v>0</v>
      </c>
      <c r="G353" s="19">
        <f t="shared" si="15"/>
        <v>4187194604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005011400672973000KD</v>
      </c>
      <c r="B356" s="11" t="str">
        <f>P17</f>
        <v>PN. Kasongan</v>
      </c>
      <c r="C356" s="12" t="str">
        <f>A356&amp;" "&amp;B356</f>
        <v>005011400672973000KD PN. Kasongan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2190000</v>
      </c>
      <c r="E359" s="25">
        <f>SUMIFS('Daftar Koreksi'!$H$5:$H$92,'Daftar Koreksi'!$D$5:$D$92,'1400'!A356,'Daftar Koreksi'!$G$5:$G$92,"Persediaan",'Daftar Koreksi'!$H$5:$H$92,"&gt;0")</f>
        <v>0</v>
      </c>
      <c r="F359" s="25">
        <f>SUMIFS('Daftar Koreksi'!$H$5:$H$92,'Daftar Koreksi'!$D$5:$D$92,'1400'!A356,'Daftar Koreksi'!$G$5:$G$92,"Persediaan",'Daftar Koreksi'!$H$5:$H$92,"&lt;0")-SUMIFS('Daftar Koreksi'!$H$5:$H$92,'Daftar Koreksi'!$D$5:$D$92,'1400'!A356,'Daftar Koreksi'!$G$5:$G$92,"Persediaan",'Daftar Koreksi'!$H$5:$H$92,"&lt;0")-SUMIFS('Daftar Koreksi'!$H$5:$H$92,'Daftar Koreksi'!$D$5:$D$92,'1400'!A356,'Daftar Koreksi'!$G$5:$G$92,"Persediaan",'Daftar Koreksi'!$H$5:$H$92,"&lt;0")</f>
        <v>0</v>
      </c>
      <c r="G359" s="17">
        <f>D359+E359-F359</f>
        <v>2190000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2144827000</v>
      </c>
      <c r="E360" s="25">
        <f>SUMIFS('Daftar Koreksi'!$H$5:$H$92,'Daftar Koreksi'!$D$5:$D$92,'1400'!A356,'Daftar Koreksi'!$G$5:$G$92,"Tanah",'Daftar Koreksi'!$H$5:$H$92,"&gt;0")</f>
        <v>0</v>
      </c>
      <c r="F360" s="25">
        <f>SUMIFS('Daftar Koreksi'!$H$5:$H$92,'Daftar Koreksi'!$D$5:$D$92,'1400'!A356,'Daftar Koreksi'!$G$5:$G$92,"Tanah",'Daftar Koreksi'!$H$5:$H$92,"&lt;0")-SUMIFS('Daftar Koreksi'!$H$5:$H$92,'Daftar Koreksi'!$D$5:$D$92,'1400'!A356,'Daftar Koreksi'!$G$5:$G$92,"Tanah",'Daftar Koreksi'!$H$5:$H$92,"&lt;0")-SUMIFS('Daftar Koreksi'!$H$5:$H$92,'Daftar Koreksi'!$D$5:$D$92,'1400'!A356,'Daftar Koreksi'!$G$5:$G$92,"Tanah",'Daftar Koreksi'!$H$5:$H$92,"&lt;0")</f>
        <v>0</v>
      </c>
      <c r="G360" s="17">
        <f t="shared" ref="G360:G376" si="16">D360+E360-F360</f>
        <v>2144827000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1596889270</v>
      </c>
      <c r="E361" s="25">
        <f>SUMIFS('Daftar Koreksi'!$H$5:$H$92,'Daftar Koreksi'!$D$5:$D$92,'1400'!A356,'Daftar Koreksi'!$G$5:$G$92,"Peralatan dan mesin",'Daftar Koreksi'!$H$5:$H$92,"&gt;0")</f>
        <v>0</v>
      </c>
      <c r="F361" s="25">
        <f>SUMIFS('Daftar Koreksi'!$H$5:$H$92,'Daftar Koreksi'!$D$5:$D$92,'1400'!A356,'Daftar Koreksi'!$G$5:$G$92,"Peralatan dan mesin",'Daftar Koreksi'!$H$5:$H$92,"&lt;0")-SUMIFS('Daftar Koreksi'!$H$5:$H$92,'Daftar Koreksi'!$D$5:$D$92,'1400'!A356,'Daftar Koreksi'!$G$5:$G$92,"Peralatan dan mesin",'Daftar Koreksi'!$H$5:$H$92,"&lt;0")-SUMIFS('Daftar Koreksi'!$H$5:$H$92,'Daftar Koreksi'!$D$5:$D$92,'1400'!A356,'Daftar Koreksi'!$G$5:$G$92,"Peralatan dan mesin",'Daftar Koreksi'!$H$5:$H$92,"&lt;0")</f>
        <v>0</v>
      </c>
      <c r="G361" s="17">
        <f t="shared" si="16"/>
        <v>1596889270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7488278480</v>
      </c>
      <c r="E362" s="25">
        <f>SUMIFS('Daftar Koreksi'!$H$5:$H$92,'Daftar Koreksi'!$D$5:$D$92,'1400'!A356,'Daftar Koreksi'!$G$5:$G$92,"Gedung dan Bangunan",'Daftar Koreksi'!$H$5:$H$92,"&gt;0")</f>
        <v>0</v>
      </c>
      <c r="F362" s="25">
        <f>SUMIFS('Daftar Koreksi'!$H$5:$H$92,'Daftar Koreksi'!$D$5:$D$92,'1400'!A356,'Daftar Koreksi'!$G$5:$G$92,"Gedung dan Bangunan",'Daftar Koreksi'!$H$5:$H$92,"&lt;0")-SUMIFS('Daftar Koreksi'!$H$5:$H$92,'Daftar Koreksi'!$D$5:$D$92,'1400'!A356,'Daftar Koreksi'!$G$5:$G$92,"Gedung dan Bangunan",'Daftar Koreksi'!$H$5:$H$92,"&lt;0")-SUMIFS('Daftar Koreksi'!$H$5:$H$92,'Daftar Koreksi'!$D$5:$D$92,'1400'!A356,'Daftar Koreksi'!$G$5:$G$92,"Gedung dan Bangunan",'Daftar Koreksi'!$H$5:$H$92,"&lt;0")</f>
        <v>0</v>
      </c>
      <c r="G362" s="17">
        <f t="shared" si="16"/>
        <v>7488278480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Koreksi'!$D$5:$D$92,'1400'!A356,'Daftar Koreksi'!$G$5:$G$92,"Jalan Irigasi Jaringan",'Daftar Koreksi'!$H$5:$H$92,"&gt;0")</f>
        <v>0</v>
      </c>
      <c r="F363" s="25">
        <f>SUMIFS('Daftar Koreksi'!$H$5:$H$92,'Daftar Koreksi'!$D$5:$D$92,'1400'!A356,'Daftar Koreksi'!$G$5:$G$92,"Jalan Irigasi Jaringan",'Daftar Koreksi'!$H$5:$H$92,"&lt;0")-SUMIFS('Daftar Koreksi'!$H$5:$H$92,'Daftar Koreksi'!$D$5:$D$92,'1400'!A356,'Daftar Koreksi'!$G$5:$G$92,"Jalan Irigasi Jaringan",'Daftar Koreksi'!$H$5:$H$92,"&lt;0")-SUMIFS('Daftar Koreksi'!$H$5:$H$92,'Daftar Koreksi'!$D$5:$D$92,'1400'!A356,'Daftar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0</v>
      </c>
      <c r="E364" s="25">
        <f>SUMIFS('Daftar Koreksi'!$H$5:$H$92,'Daftar Koreksi'!$D$5:$D$92,'1400'!A356,'Daftar Koreksi'!$G$5:$G$92,"Aset Tetap Lainnya",'Daftar Koreksi'!$H$5:$H$92,"&gt;0")</f>
        <v>0</v>
      </c>
      <c r="F364" s="25">
        <f>SUMIFS('Daftar Koreksi'!$H$5:$H$92,'Daftar Koreksi'!$D$5:$D$92,'1400'!A356,'Daftar Koreksi'!$G$5:$G$92,"Aset Tetap Lainnya",'Daftar Koreksi'!$H$5:$H$92,"&lt;0")-SUMIFS('Daftar Koreksi'!$H$5:$H$92,'Daftar Koreksi'!$D$5:$D$92,'1400'!A356,'Daftar Koreksi'!$G$5:$G$92,"Aset Tetap Lainnya",'Daftar Koreksi'!$H$5:$H$92,"&lt;0")-SUMIFS('Daftar Koreksi'!$H$5:$H$92,'Daftar Koreksi'!$D$5:$D$92,'1400'!A356,'Daftar Koreksi'!$G$5:$G$92,"Aset Tetap Lainnya",'Daftar Koreksi'!$H$5:$H$92,"&lt;0")</f>
        <v>0</v>
      </c>
      <c r="G364" s="17">
        <f t="shared" si="16"/>
        <v>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2351307400</v>
      </c>
      <c r="E365" s="25">
        <f>SUMIFS('Daftar Koreksi'!$H$5:$H$92,'Daftar Koreksi'!$D$5:$D$92,'1400'!A356,'Daftar Koreksi'!$G$5:$G$92,"Kontruksi Dalam Pengerjaan",'Daftar Koreksi'!$H$5:$H$92,"&gt;0")</f>
        <v>0</v>
      </c>
      <c r="F365" s="25">
        <f>SUMIFS('Daftar Koreksi'!$H$5:$H$92,'Daftar Koreksi'!$D$5:$D$92,'1400'!A356,'Daftar Koreksi'!$G$5:$G$92,"Kontruksi Dalam Pengerjaan",'Daftar Koreksi'!$H$5:$H$92,"&lt;0")-SUMIFS('Daftar Koreksi'!$H$5:$H$92,'Daftar Koreksi'!$D$5:$D$92,'1400'!A356,'Daftar Koreksi'!$G$5:$G$92,"Kontruksi Dalam Pengerjaan",'Daftar Koreksi'!$H$5:$H$92,"&lt;0")-SUMIFS('Daftar Koreksi'!$H$5:$H$92,'Daftar Koreksi'!$D$5:$D$92,'1400'!A356,'Daftar Koreksi'!$G$5:$G$92,"Kontruksi Dalam Pengerjaan",'Daftar Koreksi'!$H$5:$H$92,"&lt;0")</f>
        <v>0</v>
      </c>
      <c r="G365" s="17">
        <f t="shared" si="16"/>
        <v>2351307400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17432000</v>
      </c>
      <c r="E366" s="25">
        <f>SUMIFS('Daftar Koreksi'!$H$5:$H$92,'Daftar Koreksi'!$D$5:$D$92,'1400'!A356,'Daftar Koreksi'!$G$5:$G$92,"Aset Tak Berwujud",'Daftar Koreksi'!$H$5:$H$92,"&gt;0")</f>
        <v>0</v>
      </c>
      <c r="F366" s="25">
        <f>SUMIFS('Daftar Koreksi'!$H$5:$H$92,'Daftar Koreksi'!$D$5:$D$92,'1400'!A356,'Daftar Koreksi'!$G$5:$G$92,"Aset Tak Berwujud",'Daftar Koreksi'!$H$5:$H$92,"&lt;0")-SUMIFS('Daftar Koreksi'!$H$5:$H$92,'Daftar Koreksi'!$D$5:$D$92,'1400'!A356,'Daftar Koreksi'!$G$5:$G$92,"Aset Tak Berwujud",'Daftar Koreksi'!$H$5:$H$92,"&lt;0")-SUMIFS('Daftar Koreksi'!$H$5:$H$92,'Daftar Koreksi'!$D$5:$D$92,'1400'!A356,'Daftar Koreksi'!$G$5:$G$92,"Aset Tak Berwujud",'Daftar Koreksi'!$H$5:$H$92,"&lt;0")</f>
        <v>0</v>
      </c>
      <c r="G366" s="17">
        <f t="shared" si="16"/>
        <v>17432000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Koreksi'!$D$5:$D$92,'1400'!A356,'Daftar Koreksi'!$G$5:$G$92,"Aset Henti Guna",'Daftar Koreksi'!$H$5:$H$92,"&gt;0")</f>
        <v>0</v>
      </c>
      <c r="F367" s="25">
        <f>SUMIFS('Daftar Koreksi'!$H$5:$H$92,'Daftar Koreksi'!$D$5:$D$92,'1400'!A356,'Daftar Koreksi'!$G$5:$G$92,"Aset Henti Guna",'Daftar Koreksi'!$H$5:$H$92,"&lt;0")-SUMIFS('Daftar Koreksi'!$H$5:$H$92,'Daftar Koreksi'!$D$5:$D$92,'1400'!A356,'Daftar Koreksi'!$G$5:$G$92,"Aset Henti Guna",'Daftar Koreksi'!$H$5:$H$92,"&lt;0")-SUMIFS('Daftar Koreksi'!$H$5:$H$92,'Daftar Koreksi'!$D$5:$D$92,'1400'!A356,'Daftar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13600924150</v>
      </c>
      <c r="E368" s="19">
        <f>SUM(E359:E367)</f>
        <v>0</v>
      </c>
      <c r="F368" s="19">
        <f>SUM(F359:F367)</f>
        <v>0</v>
      </c>
      <c r="G368" s="19">
        <f t="shared" si="16"/>
        <v>13600924150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-544403847</v>
      </c>
      <c r="E369" s="25">
        <f>SUMIFS('Daftar Koreksi'!$I$5:$I$92,'Daftar Koreksi'!$D$5:$D$92,'1400'!A356,'Daftar Koreksi'!$G$5:$G$92,"Peralatan dan mesin",'Daftar Koreksi'!$I$5:$I$92,"&gt;0")</f>
        <v>0</v>
      </c>
      <c r="F369" s="25">
        <f>SUMIFS('Daftar Koreksi'!$I$5:$I$92,'Daftar Koreksi'!$D$5:$D$92,'1400'!A356,'Daftar Koreksi'!$G$5:$G$92,"Peralatan dan mesin",'Daftar Koreksi'!$I$5:$I$92,"&lt;0")-SUMIFS('Daftar Koreksi'!$I$5:$I$92,'Daftar Koreksi'!$D$5:$D$92,'1400'!A356,'Daftar Koreksi'!$G$5:$G$92,"Peralatan dan mesin",'Daftar Koreksi'!$I$5:$I$92,"&lt;0")-SUMIFS('Daftar Koreksi'!$I$5:$I$92,'Daftar Koreksi'!$D$5:$D$92,'1400'!A356,'Daftar Koreksi'!$G$5:$G$92,"Peralatan dan mesin",'Daftar Koreksi'!$I$5:$I$92,"&lt;0")</f>
        <v>0</v>
      </c>
      <c r="G369" s="17">
        <f t="shared" si="16"/>
        <v>-544403847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-255082111</v>
      </c>
      <c r="E370" s="25">
        <f>SUMIFS('Daftar Koreksi'!$I$5:$I$92,'Daftar Koreksi'!$D$5:$D$92,'1400'!A356,'Daftar Koreksi'!$G$5:$G$92,"Gedung dan Bangunan",'Daftar Koreksi'!$I$5:$I$92,"&gt;0")</f>
        <v>0</v>
      </c>
      <c r="F370" s="25">
        <f>SUMIFS('Daftar Koreksi'!$I$5:$I$92,'Daftar Koreksi'!$D$5:$D$92,'1400'!A356,'Daftar Koreksi'!$G$5:$G$92,"Gedung dan Bangunan",'Daftar Koreksi'!$I$5:$I$92,"&lt;0")-SUMIFS('Daftar Koreksi'!$I$5:$I$92,'Daftar Koreksi'!$D$5:$D$92,'1400'!A356,'Daftar Koreksi'!$G$5:$G$92,"Gedung dan Bangunan",'Daftar Koreksi'!$I$5:$I$92,"&lt;0")-SUMIFS('Daftar Koreksi'!$I$5:$I$92,'Daftar Koreksi'!$D$5:$D$92,'1400'!A356,'Daftar Koreksi'!$G$5:$G$92,"Gedung dan Bangunan",'Daftar Koreksi'!$I$5:$I$92,"&lt;0")</f>
        <v>0</v>
      </c>
      <c r="G370" s="17">
        <f t="shared" si="16"/>
        <v>-255082111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Koreksi'!$D$5:$D$92,'1400'!A356,'Daftar Koreksi'!$G$5:$G$92,"Jalan Irigasi Jaringan",'Daftar Koreksi'!$I$5:$I$92,"&gt;0")</f>
        <v>0</v>
      </c>
      <c r="F371" s="25">
        <f>SUMIFS('Daftar Koreksi'!$I$5:$I$92,'Daftar Koreksi'!$D$5:$D$92,'1400'!A356,'Daftar Koreksi'!$G$5:$G$92,"Jalan Irigasi Jaringan",'Daftar Koreksi'!$I$5:$I$92,"&lt;0")-SUMIFS('Daftar Koreksi'!$I$5:$I$92,'Daftar Koreksi'!$D$5:$D$92,'1400'!A356,'Daftar Koreksi'!$G$5:$G$92,"Jalan Irigasi Jaringan",'Daftar Koreksi'!$I$5:$I$92,"&lt;0")-SUMIFS('Daftar Koreksi'!$I$5:$I$92,'Daftar Koreksi'!$D$5:$D$92,'1400'!A356,'Daftar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Koreksi'!$D$5:$D$92,'1400'!A356,'Daftar Koreksi'!$G$5:$G$92,"Aset Tetap Lainnya",'Daftar Koreksi'!$I$5:$I$92,"&gt;0")</f>
        <v>0</v>
      </c>
      <c r="F372" s="25">
        <f>SUMIFS('Daftar Koreksi'!$I$5:$I$92,'Daftar Koreksi'!$D$5:$D$92,'1400'!A356,'Daftar Koreksi'!$G$5:$G$92,"Aset Tetap Lainnya",'Daftar Koreksi'!$I$5:$I$92,"&lt;0")-SUMIFS('Daftar Koreksi'!$I$5:$I$92,'Daftar Koreksi'!$D$5:$D$92,'1400'!A356,'Daftar Koreksi'!$G$5:$G$92,"Aset Tetap Lainnya",'Daftar Koreksi'!$I$5:$I$92,"&lt;0")-SUMIFS('Daftar Koreksi'!$I$5:$I$92,'Daftar Koreksi'!$D$5:$D$92,'1400'!A356,'Daftar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Koreksi'!$D$5:$D$92,'1400'!A356,'Daftar Koreksi'!$G$5:$G$92,"Aset Henti Guna",'Daftar Koreksi'!$I$5:$I$92,"&gt;0")</f>
        <v>0</v>
      </c>
      <c r="F373" s="25">
        <f>SUMIFS('Daftar Koreksi'!$I$5:$I$92,'Daftar Koreksi'!$D$5:$D$92,'1400'!A356,'Daftar Koreksi'!$G$5:$G$92,"Aset Henti Guna",'Daftar Koreksi'!$I$5:$I$92,"&lt;0")-SUMIFS('Daftar Koreksi'!$I$5:$I$92,'Daftar Koreksi'!$D$5:$D$92,'1400'!A356,'Daftar Koreksi'!$G$5:$G$92,"Aset Henti Guna",'Daftar Koreksi'!$I$5:$I$92,"&lt;0")-SUMIFS('Daftar Koreksi'!$I$5:$I$92,'Daftar Koreksi'!$D$5:$D$92,'1400'!A356,'Daftar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-799485958</v>
      </c>
      <c r="E374" s="19">
        <f>SUM(E369:E373)</f>
        <v>0</v>
      </c>
      <c r="F374" s="19">
        <f>SUM(F369:F373)</f>
        <v>0</v>
      </c>
      <c r="G374" s="19">
        <f t="shared" si="16"/>
        <v>-799485958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12801438192</v>
      </c>
      <c r="E375" s="19">
        <f>E374+E368</f>
        <v>0</v>
      </c>
      <c r="F375" s="19">
        <f>F374+F368</f>
        <v>0</v>
      </c>
      <c r="G375" s="19">
        <f t="shared" si="16"/>
        <v>12801438192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</sheetData>
  <mergeCells count="102">
    <mergeCell ref="H359:H376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269:H270"/>
    <mergeCell ref="H29:H46"/>
    <mergeCell ref="H51:H68"/>
    <mergeCell ref="H73:H90"/>
    <mergeCell ref="H95:H112"/>
    <mergeCell ref="C357:C358"/>
    <mergeCell ref="D357:D358"/>
    <mergeCell ref="E357:F357"/>
    <mergeCell ref="G357:G358"/>
    <mergeCell ref="H357:H358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337:H354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7" manualBreakCount="7">
    <brk id="91" max="7" man="1"/>
    <brk id="135" max="7" man="1"/>
    <brk id="179" max="7" man="1"/>
    <brk id="223" max="7" man="1"/>
    <brk id="267" max="7" man="1"/>
    <brk id="311" max="7" man="1"/>
    <brk id="355" max="7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640"/>
  <sheetViews>
    <sheetView view="pageBreakPreview" topLeftCell="C444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5.71093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492</v>
      </c>
      <c r="P1" s="8" t="s">
        <v>1630</v>
      </c>
    </row>
    <row r="2" spans="1:16" ht="19.5" customHeight="1">
      <c r="C2" s="9" t="s">
        <v>2111</v>
      </c>
      <c r="O2" s="8" t="s">
        <v>493</v>
      </c>
      <c r="P2" s="8" t="s">
        <v>1631</v>
      </c>
    </row>
    <row r="3" spans="1:16" ht="19.5" customHeight="1">
      <c r="O3" s="8" t="s">
        <v>494</v>
      </c>
      <c r="P3" s="8" t="s">
        <v>1632</v>
      </c>
    </row>
    <row r="4" spans="1:16" ht="19.5" customHeight="1">
      <c r="A4" s="11" t="str">
        <f>O1</f>
        <v>005011500099180000KD</v>
      </c>
      <c r="B4" s="11" t="str">
        <f>P1</f>
        <v>PT. Banjarmasin</v>
      </c>
      <c r="C4" s="12" t="str">
        <f>A4&amp;" "&amp;B4</f>
        <v>005011500099180000KD PT. Banjarmasin</v>
      </c>
      <c r="D4" s="13"/>
      <c r="E4" s="13"/>
      <c r="F4" s="13"/>
      <c r="G4" s="13"/>
      <c r="H4" s="11"/>
      <c r="O4" s="8" t="s">
        <v>495</v>
      </c>
      <c r="P4" s="8" t="s">
        <v>1633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496</v>
      </c>
      <c r="P5" s="8" t="s">
        <v>1634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497</v>
      </c>
      <c r="P6" s="8" t="s">
        <v>1635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596000</v>
      </c>
      <c r="E7" s="25">
        <f>SUMIFS('Daftar Koreksi'!$H$5:$H$92,'Daftar Koreksi'!$D$5:$D$92,'1500'!A4,'Daftar Koreksi'!$G$5:$G$92,"Persediaan",'Daftar Koreksi'!$H$5:$H$92,"&gt;0")</f>
        <v>0</v>
      </c>
      <c r="F7" s="25">
        <f>SUMIFS('Daftar Koreksi'!$H$5:$H$92,'Daftar Koreksi'!$D$5:$D$92,'1500'!A4,'Daftar Koreksi'!$G$5:$G$92,"Persediaan",'Daftar Koreksi'!$H$5:$H$92,"&lt;0")-SUMIFS('Daftar Koreksi'!$H$5:$H$92,'Daftar Koreksi'!$D$5:$D$92,'1500'!A4,'Daftar Koreksi'!$G$5:$G$92,"Persediaan",'Daftar Koreksi'!$H$5:$H$92,"&lt;0")-SUMIFS('Daftar Koreksi'!$H$5:$H$92,'Daftar Koreksi'!$D$5:$D$92,'1500'!A4,'Daftar Koreksi'!$G$5:$G$92,"Persediaan",'Daftar Koreksi'!$H$5:$H$92,"&lt;0")</f>
        <v>0</v>
      </c>
      <c r="G7" s="17">
        <f>D7+E7-F7</f>
        <v>596000</v>
      </c>
      <c r="H7" s="121" t="str">
        <f>IF(ISNA(VLOOKUP(A4,'Mutasi Neraca'!$A$3:$S$914,19,FALSE)),"-",VLOOKUP(A4,'Mutasi Neraca'!$A$3:$S$914,19,FALSE))</f>
        <v>TP. No 5</v>
      </c>
      <c r="O7" s="8" t="s">
        <v>498</v>
      </c>
      <c r="P7" s="8" t="s">
        <v>1636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12151204650</v>
      </c>
      <c r="E8" s="25">
        <f>SUMIFS('Daftar Koreksi'!$H$5:$H$92,'Daftar Koreksi'!$D$5:$D$92,'1500'!A4,'Daftar Koreksi'!$G$5:$G$92,"Tanah",'Daftar Koreksi'!$H$5:$H$92,"&gt;0")</f>
        <v>0</v>
      </c>
      <c r="F8" s="25">
        <f>SUMIFS('Daftar Koreksi'!$H$5:$H$92,'Daftar Koreksi'!$D$5:$D$92,'1500'!A4,'Daftar Koreksi'!$G$5:$G$92,"Tanah",'Daftar Koreksi'!$H$5:$H$92,"&lt;0")-SUMIFS('Daftar Koreksi'!$H$5:$H$92,'Daftar Koreksi'!$D$5:$D$92,'1500'!A4,'Daftar Koreksi'!$G$5:$G$92,"Tanah",'Daftar Koreksi'!$H$5:$H$92,"&lt;0")-SUMIFS('Daftar Koreksi'!$H$5:$H$92,'Daftar Koreksi'!$D$5:$D$92,'1500'!A4,'Daftar Koreksi'!$G$5:$G$92,"Tanah",'Daftar Koreksi'!$H$5:$H$92,"&lt;0")</f>
        <v>0</v>
      </c>
      <c r="G8" s="17">
        <f t="shared" ref="G8:G24" si="0">D8+E8-F8</f>
        <v>12151204650</v>
      </c>
      <c r="H8" s="122"/>
      <c r="O8" s="8" t="s">
        <v>499</v>
      </c>
      <c r="P8" s="8" t="s">
        <v>1637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4170542201</v>
      </c>
      <c r="E9" s="25">
        <f>SUMIFS('Daftar Koreksi'!$H$5:$H$92,'Daftar Koreksi'!$D$5:$D$92,'1500'!A4,'Daftar Koreksi'!$G$5:$G$92,"Peralatan dan mesin",'Daftar Koreksi'!$H$5:$H$92,"&gt;0")</f>
        <v>0</v>
      </c>
      <c r="F9" s="25">
        <f>SUMIFS('Daftar Koreksi'!$H$5:$H$92,'Daftar Koreksi'!$D$5:$D$92,'1500'!A4,'Daftar Koreksi'!$G$5:$G$92,"Peralatan dan mesin",'Daftar Koreksi'!$H$5:$H$92,"&lt;0")-SUMIFS('Daftar Koreksi'!$H$5:$H$92,'Daftar Koreksi'!$D$5:$D$92,'1500'!A4,'Daftar Koreksi'!$G$5:$G$92,"Peralatan dan mesin",'Daftar Koreksi'!$H$5:$H$92,"&lt;0")-SUMIFS('Daftar Koreksi'!$H$5:$H$92,'Daftar Koreksi'!$D$5:$D$92,'1500'!A4,'Daftar Koreksi'!$G$5:$G$92,"Peralatan dan mesin",'Daftar Koreksi'!$H$5:$H$92,"&lt;0")</f>
        <v>12200000</v>
      </c>
      <c r="G9" s="17">
        <f t="shared" si="0"/>
        <v>4158342201</v>
      </c>
      <c r="H9" s="122"/>
      <c r="O9" s="8" t="s">
        <v>500</v>
      </c>
      <c r="P9" s="8" t="s">
        <v>1638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7278021934</v>
      </c>
      <c r="E10" s="25">
        <f>SUMIFS('Daftar Koreksi'!$H$5:$H$92,'Daftar Koreksi'!$D$5:$D$92,'1500'!A4,'Daftar Koreksi'!$G$5:$G$92,"Gedung dan Bangunan",'Daftar Koreksi'!$H$5:$H$92,"&gt;0")</f>
        <v>188707500</v>
      </c>
      <c r="F10" s="25">
        <f>SUMIFS('Daftar Koreksi'!$H$5:$H$92,'Daftar Koreksi'!$D$5:$D$92,'1500'!A4,'Daftar Koreksi'!$G$5:$G$92,"Gedung dan Bangunan",'Daftar Koreksi'!$H$5:$H$92,"&lt;0")-SUMIFS('Daftar Koreksi'!$H$5:$H$92,'Daftar Koreksi'!$D$5:$D$92,'1500'!A4,'Daftar Koreksi'!$G$5:$G$92,"Gedung dan Bangunan",'Daftar Koreksi'!$H$5:$H$92,"&lt;0")-SUMIFS('Daftar Koreksi'!$H$5:$H$92,'Daftar Koreksi'!$D$5:$D$92,'1500'!A4,'Daftar Koreksi'!$G$5:$G$92,"Gedung dan Bangunan",'Daftar Koreksi'!$H$5:$H$92,"&lt;0")</f>
        <v>0</v>
      </c>
      <c r="G10" s="17">
        <f t="shared" si="0"/>
        <v>7466729434</v>
      </c>
      <c r="H10" s="122"/>
      <c r="O10" s="8" t="s">
        <v>501</v>
      </c>
      <c r="P10" s="8" t="s">
        <v>1639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149672000</v>
      </c>
      <c r="E11" s="25">
        <f>SUMIFS('Daftar Koreksi'!$H$5:$H$92,'Daftar Koreksi'!$D$5:$D$92,'1500'!A4,'Daftar Koreksi'!$G$5:$G$92,"Jalan Irigasi Jaringan",'Daftar Koreksi'!$H$5:$H$92,"&gt;0")</f>
        <v>0</v>
      </c>
      <c r="F11" s="25">
        <f>SUMIFS('Daftar Koreksi'!$H$5:$H$92,'Daftar Koreksi'!$D$5:$D$92,'1500'!A4,'Daftar Koreksi'!$G$5:$G$92,"Jalan Irigasi Jaringan",'Daftar Koreksi'!$H$5:$H$92,"&lt;0")-SUMIFS('Daftar Koreksi'!$H$5:$H$92,'Daftar Koreksi'!$D$5:$D$92,'1500'!A4,'Daftar Koreksi'!$G$5:$G$92,"Jalan Irigasi Jaringan",'Daftar Koreksi'!$H$5:$H$92,"&lt;0")-SUMIFS('Daftar Koreksi'!$H$5:$H$92,'Daftar Koreksi'!$D$5:$D$92,'1500'!A4,'Daftar Koreksi'!$G$5:$G$92,"Jalan Irigasi Jaringan",'Daftar Koreksi'!$H$5:$H$92,"&lt;0")</f>
        <v>0</v>
      </c>
      <c r="G11" s="17">
        <f t="shared" si="0"/>
        <v>149672000</v>
      </c>
      <c r="H11" s="122"/>
      <c r="O11" s="8" t="s">
        <v>502</v>
      </c>
      <c r="P11" s="8" t="s">
        <v>1640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1165093440</v>
      </c>
      <c r="E12" s="25">
        <f>SUMIFS('Daftar Koreksi'!$H$5:$H$92,'Daftar Koreksi'!$D$5:$D$92,'1500'!A4,'Daftar Koreksi'!$G$5:$G$92,"Aset Tetap Lainnya",'Daftar Koreksi'!$H$5:$H$92,"&gt;0")</f>
        <v>0</v>
      </c>
      <c r="F12" s="25">
        <f>SUMIFS('Daftar Koreksi'!$H$5:$H$92,'Daftar Koreksi'!$D$5:$D$92,'1500'!A4,'Daftar Koreksi'!$G$5:$G$92,"Aset Tetap Lainnya",'Daftar Koreksi'!$H$5:$H$92,"&lt;0")-SUMIFS('Daftar Koreksi'!$H$5:$H$92,'Daftar Koreksi'!$D$5:$D$92,'1500'!A4,'Daftar Koreksi'!$G$5:$G$92,"Aset Tetap Lainnya",'Daftar Koreksi'!$H$5:$H$92,"&lt;0")-SUMIFS('Daftar Koreksi'!$H$5:$H$92,'Daftar Koreksi'!$D$5:$D$92,'1500'!A4,'Daftar Koreksi'!$G$5:$G$92,"Aset Tetap Lainnya",'Daftar Koreksi'!$H$5:$H$92,"&lt;0")</f>
        <v>0</v>
      </c>
      <c r="G12" s="17">
        <f t="shared" si="0"/>
        <v>1165093440</v>
      </c>
      <c r="H12" s="122"/>
      <c r="O12" s="8" t="s">
        <v>503</v>
      </c>
      <c r="P12" s="8" t="s">
        <v>1641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9791167800</v>
      </c>
      <c r="E13" s="25">
        <f>SUMIFS('Daftar Koreksi'!$H$5:$H$92,'Daftar Koreksi'!$D$5:$D$92,'1500'!A4,'Daftar Koreksi'!$G$5:$G$92,"Kontruksi Dalam Pengerjaan",'Daftar Koreksi'!$H$5:$H$92,"&gt;0")</f>
        <v>0</v>
      </c>
      <c r="F13" s="25">
        <f>SUMIFS('Daftar Koreksi'!$H$5:$H$92,'Daftar Koreksi'!$D$5:$D$92,'1500'!A4,'Daftar Koreksi'!$G$5:$G$92,"Kontruksi Dalam Pengerjaan",'Daftar Koreksi'!$H$5:$H$92,"&lt;0")-SUMIFS('Daftar Koreksi'!$H$5:$H$92,'Daftar Koreksi'!$D$5:$D$92,'1500'!A4,'Daftar Koreksi'!$G$5:$G$92,"Kontruksi Dalam Pengerjaan",'Daftar Koreksi'!$H$5:$H$92,"&lt;0")-SUMIFS('Daftar Koreksi'!$H$5:$H$92,'Daftar Koreksi'!$D$5:$D$92,'1500'!A4,'Daftar Koreksi'!$G$5:$G$92,"Kontruksi Dalam Pengerjaan",'Daftar Koreksi'!$H$5:$H$92,"&lt;0")</f>
        <v>176507500</v>
      </c>
      <c r="G13" s="17">
        <f t="shared" si="0"/>
        <v>9614660300</v>
      </c>
      <c r="H13" s="122"/>
      <c r="O13" s="8" t="s">
        <v>504</v>
      </c>
      <c r="P13" s="8" t="s">
        <v>1642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25085000</v>
      </c>
      <c r="E14" s="25">
        <f>SUMIFS('Daftar Koreksi'!$H$5:$H$92,'Daftar Koreksi'!$D$5:$D$92,'1500'!A4,'Daftar Koreksi'!$G$5:$G$92,"Aset Tak Berwujud",'Daftar Koreksi'!$H$5:$H$92,"&gt;0")</f>
        <v>0</v>
      </c>
      <c r="F14" s="25">
        <f>SUMIFS('Daftar Koreksi'!$H$5:$H$92,'Daftar Koreksi'!$D$5:$D$92,'1500'!A4,'Daftar Koreksi'!$G$5:$G$92,"Aset Tak Berwujud",'Daftar Koreksi'!$H$5:$H$92,"&lt;0")-SUMIFS('Daftar Koreksi'!$H$5:$H$92,'Daftar Koreksi'!$D$5:$D$92,'1500'!A4,'Daftar Koreksi'!$G$5:$G$92,"Aset Tak Berwujud",'Daftar Koreksi'!$H$5:$H$92,"&lt;0")-SUMIFS('Daftar Koreksi'!$H$5:$H$92,'Daftar Koreksi'!$D$5:$D$92,'1500'!A4,'Daftar Koreksi'!$G$5:$G$92,"Aset Tak Berwujud",'Daftar Koreksi'!$H$5:$H$92,"&lt;0")</f>
        <v>0</v>
      </c>
      <c r="G14" s="17">
        <f t="shared" si="0"/>
        <v>25085000</v>
      </c>
      <c r="H14" s="122"/>
      <c r="O14" s="8" t="s">
        <v>505</v>
      </c>
      <c r="P14" s="8" t="s">
        <v>1643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16750000</v>
      </c>
      <c r="E15" s="25">
        <f>SUMIFS('Daftar Koreksi'!$H$5:$H$92,'Daftar Koreksi'!$D$5:$D$92,'1500'!A4,'Daftar Koreksi'!$G$5:$G$92,"Aset Henti Guna",'Daftar Koreksi'!$H$5:$H$92,"&gt;0")</f>
        <v>0</v>
      </c>
      <c r="F15" s="25">
        <f>SUMIFS('Daftar Koreksi'!$H$5:$H$92,'Daftar Koreksi'!$D$5:$D$92,'1500'!A4,'Daftar Koreksi'!$G$5:$G$92,"Aset Henti Guna",'Daftar Koreksi'!$H$5:$H$92,"&lt;0")-SUMIFS('Daftar Koreksi'!$H$5:$H$92,'Daftar Koreksi'!$D$5:$D$92,'1500'!A4,'Daftar Koreksi'!$G$5:$G$92,"Aset Henti Guna",'Daftar Koreksi'!$H$5:$H$92,"&lt;0")-SUMIFS('Daftar Koreksi'!$H$5:$H$92,'Daftar Koreksi'!$D$5:$D$92,'1500'!A4,'Daftar Koreksi'!$G$5:$G$92,"Aset Henti Guna",'Daftar Koreksi'!$H$5:$H$92,"&lt;0")</f>
        <v>0</v>
      </c>
      <c r="G15" s="17">
        <f t="shared" si="0"/>
        <v>16750000</v>
      </c>
      <c r="H15" s="122"/>
      <c r="O15" s="8" t="s">
        <v>506</v>
      </c>
      <c r="P15" s="8" t="s">
        <v>1644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34748133025</v>
      </c>
      <c r="E16" s="19">
        <f>SUM(E7:E15)</f>
        <v>188707500</v>
      </c>
      <c r="F16" s="19">
        <f>SUM(F7:F15)</f>
        <v>188707500</v>
      </c>
      <c r="G16" s="19">
        <f t="shared" si="0"/>
        <v>34748133025</v>
      </c>
      <c r="H16" s="122"/>
      <c r="O16" s="8" t="s">
        <v>507</v>
      </c>
      <c r="P16" s="8" t="s">
        <v>1645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-3425155058</v>
      </c>
      <c r="E17" s="25">
        <f>SUMIFS('Daftar Koreksi'!$I$5:$I$92,'Daftar Koreksi'!$D$5:$D$92,'1500'!A4,'Daftar Koreksi'!$G$5:$G$92,"Peralatan dan mesin",'Daftar Koreksi'!$I$5:$I$92,"&gt;0")</f>
        <v>4880000</v>
      </c>
      <c r="F17" s="25">
        <f>SUMIFS('Daftar Koreksi'!$I$5:$I$92,'Daftar Koreksi'!$D$5:$D$92,'1500'!A4,'Daftar Koreksi'!$G$5:$G$92,"Peralatan dan mesin",'Daftar Koreksi'!$I$5:$I$92,"&lt;0")-SUMIFS('Daftar Koreksi'!$I$5:$I$92,'Daftar Koreksi'!$D$5:$D$92,'1500'!A4,'Daftar Koreksi'!$G$5:$G$92,"Peralatan dan mesin",'Daftar Koreksi'!$I$5:$I$92,"&lt;0")-SUMIFS('Daftar Koreksi'!$I$5:$I$92,'Daftar Koreksi'!$D$5:$D$92,'1500'!A4,'Daftar Koreksi'!$G$5:$G$92,"Peralatan dan mesin",'Daftar Koreksi'!$I$5:$I$92,"&lt;0")</f>
        <v>0</v>
      </c>
      <c r="G17" s="17">
        <f t="shared" si="0"/>
        <v>-3420275058</v>
      </c>
      <c r="H17" s="122"/>
      <c r="O17" s="8" t="s">
        <v>508</v>
      </c>
      <c r="P17" s="8" t="s">
        <v>1646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-2716245987</v>
      </c>
      <c r="E18" s="25">
        <f>SUMIFS('Daftar Koreksi'!$I$5:$I$92,'Daftar Koreksi'!$D$5:$D$92,'1500'!A4,'Daftar Koreksi'!$G$5:$G$92,"Gedung dan Bangunan",'Daftar Koreksi'!$I$5:$I$92,"&gt;0")</f>
        <v>0</v>
      </c>
      <c r="F18" s="25">
        <f>SUMIFS('Daftar Koreksi'!$I$5:$I$92,'Daftar Koreksi'!$D$5:$D$92,'1500'!A4,'Daftar Koreksi'!$G$5:$G$92,"Gedung dan Bangunan",'Daftar Koreksi'!$I$5:$I$92,"&lt;0")-SUMIFS('Daftar Koreksi'!$I$5:$I$92,'Daftar Koreksi'!$D$5:$D$92,'1500'!A4,'Daftar Koreksi'!$G$5:$G$92,"Gedung dan Bangunan",'Daftar Koreksi'!$I$5:$I$92,"&lt;0")-SUMIFS('Daftar Koreksi'!$I$5:$I$92,'Daftar Koreksi'!$D$5:$D$92,'1500'!A4,'Daftar Koreksi'!$G$5:$G$92,"Gedung dan Bangunan",'Daftar Koreksi'!$I$5:$I$92,"&lt;0")</f>
        <v>8268214</v>
      </c>
      <c r="G18" s="17">
        <f t="shared" si="0"/>
        <v>-2724514201</v>
      </c>
      <c r="H18" s="122"/>
      <c r="O18" s="8" t="s">
        <v>509</v>
      </c>
      <c r="P18" s="8" t="s">
        <v>1647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-7483600</v>
      </c>
      <c r="E19" s="25">
        <f>SUMIFS('Daftar Koreksi'!$I$5:$I$92,'Daftar Koreksi'!$D$5:$D$92,'1500'!A4,'Daftar Koreksi'!$G$5:$G$92,"Jalan Irigasi Jaringan",'Daftar Koreksi'!$I$5:$I$92,"&gt;0")</f>
        <v>0</v>
      </c>
      <c r="F19" s="25">
        <f>SUMIFS('Daftar Koreksi'!$I$5:$I$92,'Daftar Koreksi'!$D$5:$D$92,'1500'!A4,'Daftar Koreksi'!$G$5:$G$92,"Jalan Irigasi Jaringan",'Daftar Koreksi'!$I$5:$I$92,"&lt;0")-SUMIFS('Daftar Koreksi'!$I$5:$I$92,'Daftar Koreksi'!$D$5:$D$92,'1500'!A4,'Daftar Koreksi'!$G$5:$G$92,"Jalan Irigasi Jaringan",'Daftar Koreksi'!$I$5:$I$92,"&lt;0")-SUMIFS('Daftar Koreksi'!$I$5:$I$92,'Daftar Koreksi'!$D$5:$D$92,'1500'!A4,'Daftar Koreksi'!$G$5:$G$92,"Jalan Irigasi Jaringan",'Daftar Koreksi'!$I$5:$I$92,"&lt;0")</f>
        <v>0</v>
      </c>
      <c r="G19" s="17">
        <f t="shared" si="0"/>
        <v>-7483600</v>
      </c>
      <c r="H19" s="122"/>
      <c r="O19" s="8" t="s">
        <v>510</v>
      </c>
      <c r="P19" s="8" t="s">
        <v>1648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Koreksi'!$D$5:$D$92,'1500'!A4,'Daftar Koreksi'!$G$5:$G$92,"Aset Tetap Lainnya",'Daftar Koreksi'!$I$5:$I$92,"&gt;0")</f>
        <v>0</v>
      </c>
      <c r="F20" s="25">
        <f>SUMIFS('Daftar Koreksi'!$I$5:$I$92,'Daftar Koreksi'!$D$5:$D$92,'1500'!A4,'Daftar Koreksi'!$G$5:$G$92,"Aset Tetap Lainnya",'Daftar Koreksi'!$I$5:$I$92,"&lt;0")-SUMIFS('Daftar Koreksi'!$I$5:$I$92,'Daftar Koreksi'!$D$5:$D$92,'1500'!A4,'Daftar Koreksi'!$G$5:$G$92,"Aset Tetap Lainnya",'Daftar Koreksi'!$I$5:$I$92,"&lt;0")-SUMIFS('Daftar Koreksi'!$I$5:$I$92,'Daftar Koreksi'!$D$5:$D$92,'1500'!A4,'Daftar Koreksi'!$G$5:$G$92,"Aset Tetap Lainnya",'Daftar Koreksi'!$I$5:$I$92,"&lt;0")</f>
        <v>0</v>
      </c>
      <c r="G20" s="17">
        <f t="shared" si="0"/>
        <v>0</v>
      </c>
      <c r="H20" s="122"/>
      <c r="O20" s="8" t="s">
        <v>511</v>
      </c>
      <c r="P20" s="8" t="s">
        <v>1649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-16750000</v>
      </c>
      <c r="E21" s="25">
        <f>SUMIFS('Daftar Koreksi'!$I$5:$I$92,'Daftar Koreksi'!$D$5:$D$92,'1500'!A4,'Daftar Koreksi'!$G$5:$G$92,"Aset Henti Guna",'Daftar Koreksi'!$I$5:$I$92,"&gt;0")</f>
        <v>0</v>
      </c>
      <c r="F21" s="25">
        <f>SUMIFS('Daftar Koreksi'!$I$5:$I$92,'Daftar Koreksi'!$D$5:$D$92,'1500'!A4,'Daftar Koreksi'!$G$5:$G$92,"Aset Henti Guna",'Daftar Koreksi'!$I$5:$I$92,"&lt;0")-SUMIFS('Daftar Koreksi'!$I$5:$I$92,'Daftar Koreksi'!$D$5:$D$92,'1500'!A4,'Daftar Koreksi'!$G$5:$G$92,"Aset Henti Guna",'Daftar Koreksi'!$I$5:$I$92,"&lt;0")-SUMIFS('Daftar Koreksi'!$I$5:$I$92,'Daftar Koreksi'!$D$5:$D$92,'1500'!A4,'Daftar Koreksi'!$G$5:$G$92,"Aset Henti Guna",'Daftar Koreksi'!$I$5:$I$92,"&lt;0")</f>
        <v>0</v>
      </c>
      <c r="G21" s="17">
        <f t="shared" si="0"/>
        <v>-16750000</v>
      </c>
      <c r="H21" s="122"/>
      <c r="O21" s="8" t="s">
        <v>512</v>
      </c>
      <c r="P21" s="8" t="s">
        <v>1650</v>
      </c>
    </row>
    <row r="22" spans="1:16" ht="21.95" customHeight="1">
      <c r="A22" s="14"/>
      <c r="B22" s="14"/>
      <c r="C22" s="18" t="s">
        <v>2094</v>
      </c>
      <c r="D22" s="19">
        <f>SUM(D17:D21)</f>
        <v>-6165634645</v>
      </c>
      <c r="E22" s="19">
        <f>SUM(E17:E21)</f>
        <v>4880000</v>
      </c>
      <c r="F22" s="19">
        <f>SUM(F17:F21)</f>
        <v>8268214</v>
      </c>
      <c r="G22" s="19">
        <f t="shared" si="0"/>
        <v>-6169022859</v>
      </c>
      <c r="H22" s="122"/>
      <c r="O22" s="8" t="s">
        <v>513</v>
      </c>
      <c r="P22" s="8" t="s">
        <v>1651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28582498380</v>
      </c>
      <c r="E23" s="19">
        <f>E22+E16</f>
        <v>193587500</v>
      </c>
      <c r="F23" s="19">
        <f>F22+F16</f>
        <v>196975714</v>
      </c>
      <c r="G23" s="19">
        <f t="shared" si="0"/>
        <v>28579110166</v>
      </c>
      <c r="H23" s="122"/>
      <c r="O23" s="8" t="s">
        <v>514</v>
      </c>
      <c r="P23" s="8" t="s">
        <v>1652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515</v>
      </c>
      <c r="P24" s="8" t="s">
        <v>1653</v>
      </c>
    </row>
    <row r="25" spans="1:16" ht="19.5" customHeight="1">
      <c r="O25" s="8" t="s">
        <v>516</v>
      </c>
      <c r="P25" s="8" t="s">
        <v>1654</v>
      </c>
    </row>
    <row r="26" spans="1:16" ht="19.5" customHeight="1">
      <c r="A26" s="11" t="str">
        <f>O2</f>
        <v>005011500099197000KD</v>
      </c>
      <c r="B26" s="11" t="str">
        <f>P2</f>
        <v>PN. Banjarmasin</v>
      </c>
      <c r="C26" s="12" t="str">
        <f>A26&amp;" "&amp;B26</f>
        <v>005011500099197000KD PN. Banjarmasin</v>
      </c>
      <c r="D26" s="13"/>
      <c r="E26" s="13"/>
      <c r="F26" s="13"/>
      <c r="G26" s="13"/>
      <c r="H26" s="11"/>
      <c r="O26" s="8" t="s">
        <v>517</v>
      </c>
      <c r="P26" s="8" t="s">
        <v>1655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518</v>
      </c>
      <c r="P27" s="8" t="s">
        <v>1656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519</v>
      </c>
      <c r="P28" s="8" t="s">
        <v>1657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Koreksi'!$D$5:$D$92,'1500'!A26,'Daftar Koreksi'!$G$5:$G$92,"Persediaan",'Daftar Koreksi'!$H$5:$H$92,"&gt;0")</f>
        <v>0</v>
      </c>
      <c r="F29" s="25">
        <f>SUMIFS('Daftar Koreksi'!$H$5:$H$92,'Daftar Koreksi'!$D$5:$D$92,'1500'!A26,'Daftar Koreksi'!$G$5:$G$92,"Persediaan",'Daftar Koreksi'!$H$5:$H$92,"&lt;0")-SUMIFS('Daftar Koreksi'!$H$5:$H$92,'Daftar Koreksi'!$D$5:$D$92,'1500'!A26,'Daftar Koreksi'!$G$5:$G$92,"Persediaan",'Daftar Koreksi'!$H$5:$H$92,"&lt;0")-SUMIFS('Daftar Koreksi'!$H$5:$H$92,'Daftar Koreksi'!$D$5:$D$92,'1500'!A26,'Daftar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  <c r="O29" s="8" t="s">
        <v>520</v>
      </c>
      <c r="P29" s="8" t="s">
        <v>1658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11234232550</v>
      </c>
      <c r="E30" s="25">
        <f>SUMIFS('Daftar Koreksi'!$H$5:$H$92,'Daftar Koreksi'!$D$5:$D$92,'1500'!A26,'Daftar Koreksi'!$G$5:$G$92,"Tanah",'Daftar Koreksi'!$H$5:$H$92,"&gt;0")</f>
        <v>0</v>
      </c>
      <c r="F30" s="25">
        <f>SUMIFS('Daftar Koreksi'!$H$5:$H$92,'Daftar Koreksi'!$D$5:$D$92,'1500'!A26,'Daftar Koreksi'!$G$5:$G$92,"Tanah",'Daftar Koreksi'!$H$5:$H$92,"&lt;0")-SUMIFS('Daftar Koreksi'!$H$5:$H$92,'Daftar Koreksi'!$D$5:$D$92,'1500'!A26,'Daftar Koreksi'!$G$5:$G$92,"Tanah",'Daftar Koreksi'!$H$5:$H$92,"&lt;0")-SUMIFS('Daftar Koreksi'!$H$5:$H$92,'Daftar Koreksi'!$D$5:$D$92,'1500'!A26,'Daftar Koreksi'!$G$5:$G$92,"Tanah",'Daftar Koreksi'!$H$5:$H$92,"&lt;0")</f>
        <v>0</v>
      </c>
      <c r="G30" s="17">
        <f t="shared" ref="G30:G46" si="1">D30+E30-F30</f>
        <v>11234232550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3444867902</v>
      </c>
      <c r="E31" s="25">
        <f>SUMIFS('Daftar Koreksi'!$H$5:$H$92,'Daftar Koreksi'!$D$5:$D$92,'1500'!A26,'Daftar Koreksi'!$G$5:$G$92,"Peralatan dan mesin",'Daftar Koreksi'!$H$5:$H$92,"&gt;0")</f>
        <v>0</v>
      </c>
      <c r="F31" s="25">
        <f>SUMIFS('Daftar Koreksi'!$H$5:$H$92,'Daftar Koreksi'!$D$5:$D$92,'1500'!A26,'Daftar Koreksi'!$G$5:$G$92,"Peralatan dan mesin",'Daftar Koreksi'!$H$5:$H$92,"&lt;0")-SUMIFS('Daftar Koreksi'!$H$5:$H$92,'Daftar Koreksi'!$D$5:$D$92,'1500'!A26,'Daftar Koreksi'!$G$5:$G$92,"Peralatan dan mesin",'Daftar Koreksi'!$H$5:$H$92,"&lt;0")-SUMIFS('Daftar Koreksi'!$H$5:$H$92,'Daftar Koreksi'!$D$5:$D$92,'1500'!A26,'Daftar Koreksi'!$G$5:$G$92,"Peralatan dan mesin",'Daftar Koreksi'!$H$5:$H$92,"&lt;0")</f>
        <v>0</v>
      </c>
      <c r="G31" s="17">
        <f t="shared" si="1"/>
        <v>3444867902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13967925641</v>
      </c>
      <c r="E32" s="25">
        <f>SUMIFS('Daftar Koreksi'!$H$5:$H$92,'Daftar Koreksi'!$D$5:$D$92,'1500'!A26,'Daftar Koreksi'!$G$5:$G$92,"Gedung dan Bangunan",'Daftar Koreksi'!$H$5:$H$92,"&gt;0")</f>
        <v>0</v>
      </c>
      <c r="F32" s="25">
        <f>SUMIFS('Daftar Koreksi'!$H$5:$H$92,'Daftar Koreksi'!$D$5:$D$92,'1500'!A26,'Daftar Koreksi'!$G$5:$G$92,"Gedung dan Bangunan",'Daftar Koreksi'!$H$5:$H$92,"&lt;0")-SUMIFS('Daftar Koreksi'!$H$5:$H$92,'Daftar Koreksi'!$D$5:$D$92,'1500'!A26,'Daftar Koreksi'!$G$5:$G$92,"Gedung dan Bangunan",'Daftar Koreksi'!$H$5:$H$92,"&lt;0")-SUMIFS('Daftar Koreksi'!$H$5:$H$92,'Daftar Koreksi'!$D$5:$D$92,'1500'!A26,'Daftar Koreksi'!$G$5:$G$92,"Gedung dan Bangunan",'Daftar Koreksi'!$H$5:$H$92,"&lt;0")</f>
        <v>0</v>
      </c>
      <c r="G32" s="17">
        <f t="shared" si="1"/>
        <v>13967925641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171065783</v>
      </c>
      <c r="E33" s="25">
        <f>SUMIFS('Daftar Koreksi'!$H$5:$H$92,'Daftar Koreksi'!$D$5:$D$92,'1500'!A26,'Daftar Koreksi'!$G$5:$G$92,"Jalan Irigasi Jaringan",'Daftar Koreksi'!$H$5:$H$92,"&gt;0")</f>
        <v>0</v>
      </c>
      <c r="F33" s="25">
        <f>SUMIFS('Daftar Koreksi'!$H$5:$H$92,'Daftar Koreksi'!$D$5:$D$92,'1500'!A26,'Daftar Koreksi'!$G$5:$G$92,"Jalan Irigasi Jaringan",'Daftar Koreksi'!$H$5:$H$92,"&lt;0")-SUMIFS('Daftar Koreksi'!$H$5:$H$92,'Daftar Koreksi'!$D$5:$D$92,'1500'!A26,'Daftar Koreksi'!$G$5:$G$92,"Jalan Irigasi Jaringan",'Daftar Koreksi'!$H$5:$H$92,"&lt;0")-SUMIFS('Daftar Koreksi'!$H$5:$H$92,'Daftar Koreksi'!$D$5:$D$92,'1500'!A26,'Daftar Koreksi'!$G$5:$G$92,"Jalan Irigasi Jaringan",'Daftar Koreksi'!$H$5:$H$92,"&lt;0")</f>
        <v>0</v>
      </c>
      <c r="G33" s="17">
        <f t="shared" si="1"/>
        <v>171065783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4393440</v>
      </c>
      <c r="E34" s="25">
        <f>SUMIFS('Daftar Koreksi'!$H$5:$H$92,'Daftar Koreksi'!$D$5:$D$92,'1500'!A26,'Daftar Koreksi'!$G$5:$G$92,"Aset Tetap Lainnya",'Daftar Koreksi'!$H$5:$H$92,"&gt;0")</f>
        <v>0</v>
      </c>
      <c r="F34" s="25">
        <f>SUMIFS('Daftar Koreksi'!$H$5:$H$92,'Daftar Koreksi'!$D$5:$D$92,'1500'!A26,'Daftar Koreksi'!$G$5:$G$92,"Aset Tetap Lainnya",'Daftar Koreksi'!$H$5:$H$92,"&lt;0")-SUMIFS('Daftar Koreksi'!$H$5:$H$92,'Daftar Koreksi'!$D$5:$D$92,'1500'!A26,'Daftar Koreksi'!$G$5:$G$92,"Aset Tetap Lainnya",'Daftar Koreksi'!$H$5:$H$92,"&lt;0")-SUMIFS('Daftar Koreksi'!$H$5:$H$92,'Daftar Koreksi'!$D$5:$D$92,'1500'!A26,'Daftar Koreksi'!$G$5:$G$92,"Aset Tetap Lainnya",'Daftar Koreksi'!$H$5:$H$92,"&lt;0")</f>
        <v>0</v>
      </c>
      <c r="G34" s="17">
        <f t="shared" si="1"/>
        <v>4393440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Koreksi'!$D$5:$D$92,'1500'!A26,'Daftar Koreksi'!$G$5:$G$92,"Kontruksi Dalam Pengerjaan",'Daftar Koreksi'!$H$5:$H$92,"&gt;0")</f>
        <v>0</v>
      </c>
      <c r="F35" s="25">
        <f>SUMIFS('Daftar Koreksi'!$H$5:$H$92,'Daftar Koreksi'!$D$5:$D$92,'1500'!A26,'Daftar Koreksi'!$G$5:$G$92,"Kontruksi Dalam Pengerjaan",'Daftar Koreksi'!$H$5:$H$92,"&lt;0")-SUMIFS('Daftar Koreksi'!$H$5:$H$92,'Daftar Koreksi'!$D$5:$D$92,'1500'!A26,'Daftar Koreksi'!$G$5:$G$92,"Kontruksi Dalam Pengerjaan",'Daftar Koreksi'!$H$5:$H$92,"&lt;0")-SUMIFS('Daftar Koreksi'!$H$5:$H$92,'Daftar Koreksi'!$D$5:$D$92,'1500'!A26,'Daftar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24200000</v>
      </c>
      <c r="E36" s="25">
        <f>SUMIFS('Daftar Koreksi'!$H$5:$H$92,'Daftar Koreksi'!$D$5:$D$92,'1500'!A26,'Daftar Koreksi'!$G$5:$G$92,"Aset Tak Berwujud",'Daftar Koreksi'!$H$5:$H$92,"&gt;0")</f>
        <v>0</v>
      </c>
      <c r="F36" s="25">
        <f>SUMIFS('Daftar Koreksi'!$H$5:$H$92,'Daftar Koreksi'!$D$5:$D$92,'1500'!A26,'Daftar Koreksi'!$G$5:$G$92,"Aset Tak Berwujud",'Daftar Koreksi'!$H$5:$H$92,"&lt;0")-SUMIFS('Daftar Koreksi'!$H$5:$H$92,'Daftar Koreksi'!$D$5:$D$92,'1500'!A26,'Daftar Koreksi'!$G$5:$G$92,"Aset Tak Berwujud",'Daftar Koreksi'!$H$5:$H$92,"&lt;0")-SUMIFS('Daftar Koreksi'!$H$5:$H$92,'Daftar Koreksi'!$D$5:$D$92,'1500'!A26,'Daftar Koreksi'!$G$5:$G$92,"Aset Tak Berwujud",'Daftar Koreksi'!$H$5:$H$92,"&lt;0")</f>
        <v>0</v>
      </c>
      <c r="G36" s="17">
        <f t="shared" si="1"/>
        <v>24200000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438534004</v>
      </c>
      <c r="E37" s="25">
        <f>SUMIFS('Daftar Koreksi'!$H$5:$H$92,'Daftar Koreksi'!$D$5:$D$92,'1500'!A26,'Daftar Koreksi'!$G$5:$G$92,"Aset Henti Guna",'Daftar Koreksi'!$H$5:$H$92,"&gt;0")</f>
        <v>0</v>
      </c>
      <c r="F37" s="25">
        <f>SUMIFS('Daftar Koreksi'!$H$5:$H$92,'Daftar Koreksi'!$D$5:$D$92,'1500'!A26,'Daftar Koreksi'!$G$5:$G$92,"Aset Henti Guna",'Daftar Koreksi'!$H$5:$H$92,"&lt;0")-SUMIFS('Daftar Koreksi'!$H$5:$H$92,'Daftar Koreksi'!$D$5:$D$92,'1500'!A26,'Daftar Koreksi'!$G$5:$G$92,"Aset Henti Guna",'Daftar Koreksi'!$H$5:$H$92,"&lt;0")-SUMIFS('Daftar Koreksi'!$H$5:$H$92,'Daftar Koreksi'!$D$5:$D$92,'1500'!A26,'Daftar Koreksi'!$G$5:$G$92,"Aset Henti Guna",'Daftar Koreksi'!$H$5:$H$92,"&lt;0")</f>
        <v>0</v>
      </c>
      <c r="G37" s="17">
        <f t="shared" si="1"/>
        <v>438534004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29285219320</v>
      </c>
      <c r="E38" s="19">
        <f>SUM(E29:E37)</f>
        <v>0</v>
      </c>
      <c r="F38" s="19">
        <f>SUM(F29:F37)</f>
        <v>0</v>
      </c>
      <c r="G38" s="19">
        <f t="shared" si="1"/>
        <v>29285219320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-2408339103</v>
      </c>
      <c r="E39" s="25">
        <f>SUMIFS('Daftar Koreksi'!$I$5:$I$92,'Daftar Koreksi'!$D$5:$D$92,'1500'!A26,'Daftar Koreksi'!$G$5:$G$92,"Peralatan dan mesin",'Daftar Koreksi'!$I$5:$I$92,"&gt;0")</f>
        <v>0</v>
      </c>
      <c r="F39" s="25">
        <f>SUMIFS('Daftar Koreksi'!$I$5:$I$92,'Daftar Koreksi'!$D$5:$D$92,'1500'!A26,'Daftar Koreksi'!$G$5:$G$92,"Peralatan dan mesin",'Daftar Koreksi'!$I$5:$I$92,"&lt;0")-SUMIFS('Daftar Koreksi'!$I$5:$I$92,'Daftar Koreksi'!$D$5:$D$92,'1500'!A26,'Daftar Koreksi'!$G$5:$G$92,"Peralatan dan mesin",'Daftar Koreksi'!$I$5:$I$92,"&lt;0")-SUMIFS('Daftar Koreksi'!$I$5:$I$92,'Daftar Koreksi'!$D$5:$D$92,'1500'!A26,'Daftar Koreksi'!$G$5:$G$92,"Peralatan dan mesin",'Daftar Koreksi'!$I$5:$I$92,"&lt;0")</f>
        <v>0</v>
      </c>
      <c r="G39" s="17">
        <f t="shared" si="1"/>
        <v>-2408339103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-5655259666</v>
      </c>
      <c r="E40" s="25">
        <f>SUMIFS('Daftar Koreksi'!$I$5:$I$92,'Daftar Koreksi'!$D$5:$D$92,'1500'!A26,'Daftar Koreksi'!$G$5:$G$92,"Gedung dan Bangunan",'Daftar Koreksi'!$I$5:$I$92,"&gt;0")</f>
        <v>0</v>
      </c>
      <c r="F40" s="25">
        <f>SUMIFS('Daftar Koreksi'!$I$5:$I$92,'Daftar Koreksi'!$D$5:$D$92,'1500'!A26,'Daftar Koreksi'!$G$5:$G$92,"Gedung dan Bangunan",'Daftar Koreksi'!$I$5:$I$92,"&lt;0")-SUMIFS('Daftar Koreksi'!$I$5:$I$92,'Daftar Koreksi'!$D$5:$D$92,'1500'!A26,'Daftar Koreksi'!$G$5:$G$92,"Gedung dan Bangunan",'Daftar Koreksi'!$I$5:$I$92,"&lt;0")-SUMIFS('Daftar Koreksi'!$I$5:$I$92,'Daftar Koreksi'!$D$5:$D$92,'1500'!A26,'Daftar Koreksi'!$G$5:$G$92,"Gedung dan Bangunan",'Daftar Koreksi'!$I$5:$I$92,"&lt;0")</f>
        <v>0</v>
      </c>
      <c r="G40" s="17">
        <f t="shared" si="1"/>
        <v>-5655259666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-93474892</v>
      </c>
      <c r="E41" s="25">
        <f>SUMIFS('Daftar Koreksi'!$I$5:$I$92,'Daftar Koreksi'!$D$5:$D$92,'1500'!A26,'Daftar Koreksi'!$G$5:$G$92,"Jalan Irigasi Jaringan",'Daftar Koreksi'!$I$5:$I$92,"&gt;0")</f>
        <v>0</v>
      </c>
      <c r="F41" s="25">
        <f>SUMIFS('Daftar Koreksi'!$I$5:$I$92,'Daftar Koreksi'!$D$5:$D$92,'1500'!A26,'Daftar Koreksi'!$G$5:$G$92,"Jalan Irigasi Jaringan",'Daftar Koreksi'!$I$5:$I$92,"&lt;0")-SUMIFS('Daftar Koreksi'!$I$5:$I$92,'Daftar Koreksi'!$D$5:$D$92,'1500'!A26,'Daftar Koreksi'!$G$5:$G$92,"Jalan Irigasi Jaringan",'Daftar Koreksi'!$I$5:$I$92,"&lt;0")-SUMIFS('Daftar Koreksi'!$I$5:$I$92,'Daftar Koreksi'!$D$5:$D$92,'1500'!A26,'Daftar Koreksi'!$G$5:$G$92,"Jalan Irigasi Jaringan",'Daftar Koreksi'!$I$5:$I$92,"&lt;0")</f>
        <v>0</v>
      </c>
      <c r="G41" s="17">
        <f t="shared" si="1"/>
        <v>-93474892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Koreksi'!$D$5:$D$92,'1500'!A26,'Daftar Koreksi'!$G$5:$G$92,"Aset Tetap Lainnya",'Daftar Koreksi'!$I$5:$I$92,"&gt;0")</f>
        <v>0</v>
      </c>
      <c r="F42" s="25">
        <f>SUMIFS('Daftar Koreksi'!$I$5:$I$92,'Daftar Koreksi'!$D$5:$D$92,'1500'!A26,'Daftar Koreksi'!$G$5:$G$92,"Aset Tetap Lainnya",'Daftar Koreksi'!$I$5:$I$92,"&lt;0")-SUMIFS('Daftar Koreksi'!$I$5:$I$92,'Daftar Koreksi'!$D$5:$D$92,'1500'!A26,'Daftar Koreksi'!$G$5:$G$92,"Aset Tetap Lainnya",'Daftar Koreksi'!$I$5:$I$92,"&lt;0")-SUMIFS('Daftar Koreksi'!$I$5:$I$92,'Daftar Koreksi'!$D$5:$D$92,'1500'!A26,'Daftar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-438534004</v>
      </c>
      <c r="E43" s="25">
        <f>SUMIFS('Daftar Koreksi'!$I$5:$I$92,'Daftar Koreksi'!$D$5:$D$92,'1500'!A26,'Daftar Koreksi'!$G$5:$G$92,"Aset Henti Guna",'Daftar Koreksi'!$I$5:$I$92,"&gt;0")</f>
        <v>0</v>
      </c>
      <c r="F43" s="25">
        <f>SUMIFS('Daftar Koreksi'!$I$5:$I$92,'Daftar Koreksi'!$D$5:$D$92,'1500'!A26,'Daftar Koreksi'!$G$5:$G$92,"Aset Henti Guna",'Daftar Koreksi'!$I$5:$I$92,"&lt;0")-SUMIFS('Daftar Koreksi'!$I$5:$I$92,'Daftar Koreksi'!$D$5:$D$92,'1500'!A26,'Daftar Koreksi'!$G$5:$G$92,"Aset Henti Guna",'Daftar Koreksi'!$I$5:$I$92,"&lt;0")-SUMIFS('Daftar Koreksi'!$I$5:$I$92,'Daftar Koreksi'!$D$5:$D$92,'1500'!A26,'Daftar Koreksi'!$G$5:$G$92,"Aset Henti Guna",'Daftar Koreksi'!$I$5:$I$92,"&lt;0")</f>
        <v>0</v>
      </c>
      <c r="G43" s="17">
        <f t="shared" si="1"/>
        <v>-438534004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-8595607665</v>
      </c>
      <c r="E44" s="19">
        <f>SUM(E39:E43)</f>
        <v>0</v>
      </c>
      <c r="F44" s="19">
        <f>SUM(F39:F43)</f>
        <v>0</v>
      </c>
      <c r="G44" s="19">
        <f t="shared" si="1"/>
        <v>-8595607665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20689611655</v>
      </c>
      <c r="E45" s="19">
        <f>E44+E38</f>
        <v>0</v>
      </c>
      <c r="F45" s="19">
        <f>F44+F38</f>
        <v>0</v>
      </c>
      <c r="G45" s="19">
        <f t="shared" si="1"/>
        <v>20689611655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005011500099202000KD</v>
      </c>
      <c r="B48" s="11" t="str">
        <f>P3</f>
        <v>PN. Kandangan</v>
      </c>
      <c r="C48" s="12" t="str">
        <f>A48&amp;" "&amp;B48</f>
        <v>005011500099202000KD PN. Kandangan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2823400</v>
      </c>
      <c r="E51" s="25">
        <f>SUMIFS('Daftar Koreksi'!$H$5:$H$92,'Daftar Koreksi'!$D$5:$D$92,'1500'!A48,'Daftar Koreksi'!$G$5:$G$92,"Persediaan",'Daftar Koreksi'!$H$5:$H$92,"&gt;0")</f>
        <v>0</v>
      </c>
      <c r="F51" s="25">
        <f>SUMIFS('Daftar Koreksi'!$H$5:$H$92,'Daftar Koreksi'!$D$5:$D$92,'1500'!A48,'Daftar Koreksi'!$G$5:$G$92,"Persediaan",'Daftar Koreksi'!$H$5:$H$92,"&lt;0")-SUMIFS('Daftar Koreksi'!$H$5:$H$92,'Daftar Koreksi'!$D$5:$D$92,'1500'!A48,'Daftar Koreksi'!$G$5:$G$92,"Persediaan",'Daftar Koreksi'!$H$5:$H$92,"&lt;0")-SUMIFS('Daftar Koreksi'!$H$5:$H$92,'Daftar Koreksi'!$D$5:$D$92,'1500'!A48,'Daftar Koreksi'!$G$5:$G$92,"Persediaan",'Daftar Koreksi'!$H$5:$H$92,"&lt;0")</f>
        <v>0</v>
      </c>
      <c r="G51" s="17">
        <f>D51+E51-F51</f>
        <v>2823400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1514481800</v>
      </c>
      <c r="E52" s="25">
        <f>SUMIFS('Daftar Koreksi'!$H$5:$H$92,'Daftar Koreksi'!$D$5:$D$92,'1500'!A48,'Daftar Koreksi'!$G$5:$G$92,"Tanah",'Daftar Koreksi'!$H$5:$H$92,"&gt;0")</f>
        <v>0</v>
      </c>
      <c r="F52" s="25">
        <f>SUMIFS('Daftar Koreksi'!$H$5:$H$92,'Daftar Koreksi'!$D$5:$D$92,'1500'!A48,'Daftar Koreksi'!$G$5:$G$92,"Tanah",'Daftar Koreksi'!$H$5:$H$92,"&lt;0")-SUMIFS('Daftar Koreksi'!$H$5:$H$92,'Daftar Koreksi'!$D$5:$D$92,'1500'!A48,'Daftar Koreksi'!$G$5:$G$92,"Tanah",'Daftar Koreksi'!$H$5:$H$92,"&lt;0")-SUMIFS('Daftar Koreksi'!$H$5:$H$92,'Daftar Koreksi'!$D$5:$D$92,'1500'!A48,'Daftar Koreksi'!$G$5:$G$92,"Tanah",'Daftar Koreksi'!$H$5:$H$92,"&lt;0")</f>
        <v>0</v>
      </c>
      <c r="G52" s="17">
        <f t="shared" ref="G52:G68" si="2">D52+E52-F52</f>
        <v>1514481800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1381565962</v>
      </c>
      <c r="E53" s="25">
        <f>SUMIFS('Daftar Koreksi'!$H$5:$H$92,'Daftar Koreksi'!$D$5:$D$92,'1500'!A48,'Daftar Koreksi'!$G$5:$G$92,"Peralatan dan mesin",'Daftar Koreksi'!$H$5:$H$92,"&gt;0")</f>
        <v>0</v>
      </c>
      <c r="F53" s="25">
        <f>SUMIFS('Daftar Koreksi'!$H$5:$H$92,'Daftar Koreksi'!$D$5:$D$92,'1500'!A48,'Daftar Koreksi'!$G$5:$G$92,"Peralatan dan mesin",'Daftar Koreksi'!$H$5:$H$92,"&lt;0")-SUMIFS('Daftar Koreksi'!$H$5:$H$92,'Daftar Koreksi'!$D$5:$D$92,'1500'!A48,'Daftar Koreksi'!$G$5:$G$92,"Peralatan dan mesin",'Daftar Koreksi'!$H$5:$H$92,"&lt;0")-SUMIFS('Daftar Koreksi'!$H$5:$H$92,'Daftar Koreksi'!$D$5:$D$92,'1500'!A48,'Daftar Koreksi'!$G$5:$G$92,"Peralatan dan mesin",'Daftar Koreksi'!$H$5:$H$92,"&lt;0")</f>
        <v>0</v>
      </c>
      <c r="G53" s="17">
        <f t="shared" si="2"/>
        <v>1381565962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2342130931</v>
      </c>
      <c r="E54" s="25">
        <f>SUMIFS('Daftar Koreksi'!$H$5:$H$92,'Daftar Koreksi'!$D$5:$D$92,'1500'!A48,'Daftar Koreksi'!$G$5:$G$92,"Gedung dan Bangunan",'Daftar Koreksi'!$H$5:$H$92,"&gt;0")</f>
        <v>0</v>
      </c>
      <c r="F54" s="25">
        <f>SUMIFS('Daftar Koreksi'!$H$5:$H$92,'Daftar Koreksi'!$D$5:$D$92,'1500'!A48,'Daftar Koreksi'!$G$5:$G$92,"Gedung dan Bangunan",'Daftar Koreksi'!$H$5:$H$92,"&lt;0")-SUMIFS('Daftar Koreksi'!$H$5:$H$92,'Daftar Koreksi'!$D$5:$D$92,'1500'!A48,'Daftar Koreksi'!$G$5:$G$92,"Gedung dan Bangunan",'Daftar Koreksi'!$H$5:$H$92,"&lt;0")-SUMIFS('Daftar Koreksi'!$H$5:$H$92,'Daftar Koreksi'!$D$5:$D$92,'1500'!A48,'Daftar Koreksi'!$G$5:$G$92,"Gedung dan Bangunan",'Daftar Koreksi'!$H$5:$H$92,"&lt;0")</f>
        <v>0</v>
      </c>
      <c r="G54" s="17">
        <f t="shared" si="2"/>
        <v>2342130931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56300000</v>
      </c>
      <c r="E55" s="25">
        <f>SUMIFS('Daftar Koreksi'!$H$5:$H$92,'Daftar Koreksi'!$D$5:$D$92,'1500'!A48,'Daftar Koreksi'!$G$5:$G$92,"Jalan Irigasi Jaringan",'Daftar Koreksi'!$H$5:$H$92,"&gt;0")</f>
        <v>0</v>
      </c>
      <c r="F55" s="25">
        <f>SUMIFS('Daftar Koreksi'!$H$5:$H$92,'Daftar Koreksi'!$D$5:$D$92,'1500'!A48,'Daftar Koreksi'!$G$5:$G$92,"Jalan Irigasi Jaringan",'Daftar Koreksi'!$H$5:$H$92,"&lt;0")-SUMIFS('Daftar Koreksi'!$H$5:$H$92,'Daftar Koreksi'!$D$5:$D$92,'1500'!A48,'Daftar Koreksi'!$G$5:$G$92,"Jalan Irigasi Jaringan",'Daftar Koreksi'!$H$5:$H$92,"&lt;0")-SUMIFS('Daftar Koreksi'!$H$5:$H$92,'Daftar Koreksi'!$D$5:$D$92,'1500'!A48,'Daftar Koreksi'!$G$5:$G$92,"Jalan Irigasi Jaringan",'Daftar Koreksi'!$H$5:$H$92,"&lt;0")</f>
        <v>0</v>
      </c>
      <c r="G55" s="17">
        <f t="shared" si="2"/>
        <v>56300000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14472118</v>
      </c>
      <c r="E56" s="25">
        <f>SUMIFS('Daftar Koreksi'!$H$5:$H$92,'Daftar Koreksi'!$D$5:$D$92,'1500'!A48,'Daftar Koreksi'!$G$5:$G$92,"Aset Tetap Lainnya",'Daftar Koreksi'!$H$5:$H$92,"&gt;0")</f>
        <v>0</v>
      </c>
      <c r="F56" s="25">
        <f>SUMIFS('Daftar Koreksi'!$H$5:$H$92,'Daftar Koreksi'!$D$5:$D$92,'1500'!A48,'Daftar Koreksi'!$G$5:$G$92,"Aset Tetap Lainnya",'Daftar Koreksi'!$H$5:$H$92,"&lt;0")-SUMIFS('Daftar Koreksi'!$H$5:$H$92,'Daftar Koreksi'!$D$5:$D$92,'1500'!A48,'Daftar Koreksi'!$G$5:$G$92,"Aset Tetap Lainnya",'Daftar Koreksi'!$H$5:$H$92,"&lt;0")-SUMIFS('Daftar Koreksi'!$H$5:$H$92,'Daftar Koreksi'!$D$5:$D$92,'1500'!A48,'Daftar Koreksi'!$G$5:$G$92,"Aset Tetap Lainnya",'Daftar Koreksi'!$H$5:$H$92,"&lt;0")</f>
        <v>0</v>
      </c>
      <c r="G56" s="17">
        <f t="shared" si="2"/>
        <v>14472118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Koreksi'!$D$5:$D$92,'1500'!A48,'Daftar Koreksi'!$G$5:$G$92,"Kontruksi Dalam Pengerjaan",'Daftar Koreksi'!$H$5:$H$92,"&gt;0")</f>
        <v>0</v>
      </c>
      <c r="F57" s="25">
        <f>SUMIFS('Daftar Koreksi'!$H$5:$H$92,'Daftar Koreksi'!$D$5:$D$92,'1500'!A48,'Daftar Koreksi'!$G$5:$G$92,"Kontruksi Dalam Pengerjaan",'Daftar Koreksi'!$H$5:$H$92,"&lt;0")-SUMIFS('Daftar Koreksi'!$H$5:$H$92,'Daftar Koreksi'!$D$5:$D$92,'1500'!A48,'Daftar Koreksi'!$G$5:$G$92,"Kontruksi Dalam Pengerjaan",'Daftar Koreksi'!$H$5:$H$92,"&lt;0")-SUMIFS('Daftar Koreksi'!$H$5:$H$92,'Daftar Koreksi'!$D$5:$D$92,'1500'!A48,'Daftar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10154650</v>
      </c>
      <c r="E58" s="25">
        <f>SUMIFS('Daftar Koreksi'!$H$5:$H$92,'Daftar Koreksi'!$D$5:$D$92,'1500'!A48,'Daftar Koreksi'!$G$5:$G$92,"Aset Tak Berwujud",'Daftar Koreksi'!$H$5:$H$92,"&gt;0")</f>
        <v>0</v>
      </c>
      <c r="F58" s="25">
        <f>SUMIFS('Daftar Koreksi'!$H$5:$H$92,'Daftar Koreksi'!$D$5:$D$92,'1500'!A48,'Daftar Koreksi'!$G$5:$G$92,"Aset Tak Berwujud",'Daftar Koreksi'!$H$5:$H$92,"&lt;0")-SUMIFS('Daftar Koreksi'!$H$5:$H$92,'Daftar Koreksi'!$D$5:$D$92,'1500'!A48,'Daftar Koreksi'!$G$5:$G$92,"Aset Tak Berwujud",'Daftar Koreksi'!$H$5:$H$92,"&lt;0")-SUMIFS('Daftar Koreksi'!$H$5:$H$92,'Daftar Koreksi'!$D$5:$D$92,'1500'!A48,'Daftar Koreksi'!$G$5:$G$92,"Aset Tak Berwujud",'Daftar Koreksi'!$H$5:$H$92,"&lt;0")</f>
        <v>0</v>
      </c>
      <c r="G58" s="17">
        <f t="shared" si="2"/>
        <v>10154650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Koreksi'!$D$5:$D$92,'1500'!A48,'Daftar Koreksi'!$G$5:$G$92,"Aset Henti Guna",'Daftar Koreksi'!$H$5:$H$92,"&gt;0")</f>
        <v>0</v>
      </c>
      <c r="F59" s="25">
        <f>SUMIFS('Daftar Koreksi'!$H$5:$H$92,'Daftar Koreksi'!$D$5:$D$92,'1500'!A48,'Daftar Koreksi'!$G$5:$G$92,"Aset Henti Guna",'Daftar Koreksi'!$H$5:$H$92,"&lt;0")-SUMIFS('Daftar Koreksi'!$H$5:$H$92,'Daftar Koreksi'!$D$5:$D$92,'1500'!A48,'Daftar Koreksi'!$G$5:$G$92,"Aset Henti Guna",'Daftar Koreksi'!$H$5:$H$92,"&lt;0")-SUMIFS('Daftar Koreksi'!$H$5:$H$92,'Daftar Koreksi'!$D$5:$D$92,'1500'!A48,'Daftar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5321928861</v>
      </c>
      <c r="E60" s="19">
        <f>SUM(E51:E59)</f>
        <v>0</v>
      </c>
      <c r="F60" s="19">
        <f>SUM(F51:F59)</f>
        <v>0</v>
      </c>
      <c r="G60" s="19">
        <f t="shared" si="2"/>
        <v>5321928861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-1107134634</v>
      </c>
      <c r="E61" s="25">
        <f>SUMIFS('Daftar Koreksi'!$I$5:$I$92,'Daftar Koreksi'!$D$5:$D$92,'1500'!A48,'Daftar Koreksi'!$G$5:$G$92,"Peralatan dan mesin",'Daftar Koreksi'!$I$5:$I$92,"&gt;0")</f>
        <v>0</v>
      </c>
      <c r="F61" s="25">
        <f>SUMIFS('Daftar Koreksi'!$I$5:$I$92,'Daftar Koreksi'!$D$5:$D$92,'1500'!A48,'Daftar Koreksi'!$G$5:$G$92,"Peralatan dan mesin",'Daftar Koreksi'!$I$5:$I$92,"&lt;0")-SUMIFS('Daftar Koreksi'!$I$5:$I$92,'Daftar Koreksi'!$D$5:$D$92,'1500'!A48,'Daftar Koreksi'!$G$5:$G$92,"Peralatan dan mesin",'Daftar Koreksi'!$I$5:$I$92,"&lt;0")-SUMIFS('Daftar Koreksi'!$I$5:$I$92,'Daftar Koreksi'!$D$5:$D$92,'1500'!A48,'Daftar Koreksi'!$G$5:$G$92,"Peralatan dan mesin",'Daftar Koreksi'!$I$5:$I$92,"&lt;0")</f>
        <v>0</v>
      </c>
      <c r="G61" s="17">
        <f t="shared" si="2"/>
        <v>-1107134634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-411887683</v>
      </c>
      <c r="E62" s="25">
        <f>SUMIFS('Daftar Koreksi'!$I$5:$I$92,'Daftar Koreksi'!$D$5:$D$92,'1500'!A48,'Daftar Koreksi'!$G$5:$G$92,"Gedung dan Bangunan",'Daftar Koreksi'!$I$5:$I$92,"&gt;0")</f>
        <v>0</v>
      </c>
      <c r="F62" s="25">
        <f>SUMIFS('Daftar Koreksi'!$I$5:$I$92,'Daftar Koreksi'!$D$5:$D$92,'1500'!A48,'Daftar Koreksi'!$G$5:$G$92,"Gedung dan Bangunan",'Daftar Koreksi'!$I$5:$I$92,"&lt;0")-SUMIFS('Daftar Koreksi'!$I$5:$I$92,'Daftar Koreksi'!$D$5:$D$92,'1500'!A48,'Daftar Koreksi'!$G$5:$G$92,"Gedung dan Bangunan",'Daftar Koreksi'!$I$5:$I$92,"&lt;0")-SUMIFS('Daftar Koreksi'!$I$5:$I$92,'Daftar Koreksi'!$D$5:$D$92,'1500'!A48,'Daftar Koreksi'!$G$5:$G$92,"Gedung dan Bangunan",'Daftar Koreksi'!$I$5:$I$92,"&lt;0")</f>
        <v>0</v>
      </c>
      <c r="G62" s="17">
        <f t="shared" si="2"/>
        <v>-411887683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-1407500</v>
      </c>
      <c r="E63" s="25">
        <f>SUMIFS('Daftar Koreksi'!$I$5:$I$92,'Daftar Koreksi'!$D$5:$D$92,'1500'!A48,'Daftar Koreksi'!$G$5:$G$92,"Jalan Irigasi Jaringan",'Daftar Koreksi'!$I$5:$I$92,"&gt;0")</f>
        <v>0</v>
      </c>
      <c r="F63" s="25">
        <f>SUMIFS('Daftar Koreksi'!$I$5:$I$92,'Daftar Koreksi'!$D$5:$D$92,'1500'!A48,'Daftar Koreksi'!$G$5:$G$92,"Jalan Irigasi Jaringan",'Daftar Koreksi'!$I$5:$I$92,"&lt;0")-SUMIFS('Daftar Koreksi'!$I$5:$I$92,'Daftar Koreksi'!$D$5:$D$92,'1500'!A48,'Daftar Koreksi'!$G$5:$G$92,"Jalan Irigasi Jaringan",'Daftar Koreksi'!$I$5:$I$92,"&lt;0")-SUMIFS('Daftar Koreksi'!$I$5:$I$92,'Daftar Koreksi'!$D$5:$D$92,'1500'!A48,'Daftar Koreksi'!$G$5:$G$92,"Jalan Irigasi Jaringan",'Daftar Koreksi'!$I$5:$I$92,"&lt;0")</f>
        <v>0</v>
      </c>
      <c r="G63" s="17">
        <f t="shared" si="2"/>
        <v>-1407500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Koreksi'!$D$5:$D$92,'1500'!A48,'Daftar Koreksi'!$G$5:$G$92,"Aset Tetap Lainnya",'Daftar Koreksi'!$I$5:$I$92,"&gt;0")</f>
        <v>0</v>
      </c>
      <c r="F64" s="25">
        <f>SUMIFS('Daftar Koreksi'!$I$5:$I$92,'Daftar Koreksi'!$D$5:$D$92,'1500'!A48,'Daftar Koreksi'!$G$5:$G$92,"Aset Tetap Lainnya",'Daftar Koreksi'!$I$5:$I$92,"&lt;0")-SUMIFS('Daftar Koreksi'!$I$5:$I$92,'Daftar Koreksi'!$D$5:$D$92,'1500'!A48,'Daftar Koreksi'!$G$5:$G$92,"Aset Tetap Lainnya",'Daftar Koreksi'!$I$5:$I$92,"&lt;0")-SUMIFS('Daftar Koreksi'!$I$5:$I$92,'Daftar Koreksi'!$D$5:$D$92,'1500'!A48,'Daftar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Koreksi'!$D$5:$D$92,'1500'!A48,'Daftar Koreksi'!$G$5:$G$92,"Aset Henti Guna",'Daftar Koreksi'!$I$5:$I$92,"&gt;0")</f>
        <v>0</v>
      </c>
      <c r="F65" s="25">
        <f>SUMIFS('Daftar Koreksi'!$I$5:$I$92,'Daftar Koreksi'!$D$5:$D$92,'1500'!A48,'Daftar Koreksi'!$G$5:$G$92,"Aset Henti Guna",'Daftar Koreksi'!$I$5:$I$92,"&lt;0")-SUMIFS('Daftar Koreksi'!$I$5:$I$92,'Daftar Koreksi'!$D$5:$D$92,'1500'!A48,'Daftar Koreksi'!$G$5:$G$92,"Aset Henti Guna",'Daftar Koreksi'!$I$5:$I$92,"&lt;0")-SUMIFS('Daftar Koreksi'!$I$5:$I$92,'Daftar Koreksi'!$D$5:$D$92,'1500'!A48,'Daftar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-1520429817</v>
      </c>
      <c r="E66" s="19">
        <f>SUM(E61:E65)</f>
        <v>0</v>
      </c>
      <c r="F66" s="19">
        <f>SUM(F61:F65)</f>
        <v>0</v>
      </c>
      <c r="G66" s="19">
        <f t="shared" si="2"/>
        <v>-1520429817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3801499044</v>
      </c>
      <c r="E67" s="19">
        <f>E66+E60</f>
        <v>0</v>
      </c>
      <c r="F67" s="19">
        <f>F66+F60</f>
        <v>0</v>
      </c>
      <c r="G67" s="19">
        <f t="shared" si="2"/>
        <v>3801499044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005011500099219000KD</v>
      </c>
      <c r="B70" s="11" t="str">
        <f>P4</f>
        <v>PN. Kotabaru</v>
      </c>
      <c r="C70" s="12" t="str">
        <f>A70&amp;" "&amp;B70</f>
        <v>005011500099219000KD PN. Kotabaru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0</v>
      </c>
      <c r="E73" s="25">
        <f>SUMIFS('Daftar Koreksi'!$H$5:$H$92,'Daftar Koreksi'!$D$5:$D$92,'1500'!A70,'Daftar Koreksi'!$G$5:$G$92,"Persediaan",'Daftar Koreksi'!$H$5:$H$92,"&gt;0")</f>
        <v>0</v>
      </c>
      <c r="F73" s="25">
        <f>SUMIFS('Daftar Koreksi'!$H$5:$H$92,'Daftar Koreksi'!$D$5:$D$92,'1500'!A70,'Daftar Koreksi'!$G$5:$G$92,"Persediaan",'Daftar Koreksi'!$H$5:$H$92,"&lt;0")-SUMIFS('Daftar Koreksi'!$H$5:$H$92,'Daftar Koreksi'!$D$5:$D$92,'1500'!A70,'Daftar Koreksi'!$G$5:$G$92,"Persediaan",'Daftar Koreksi'!$H$5:$H$92,"&lt;0")-SUMIFS('Daftar Koreksi'!$H$5:$H$92,'Daftar Koreksi'!$D$5:$D$92,'1500'!A70,'Daftar Koreksi'!$G$5:$G$92,"Persediaan",'Daftar Koreksi'!$H$5:$H$92,"&lt;0")</f>
        <v>0</v>
      </c>
      <c r="G73" s="17">
        <f>D73+E73-F73</f>
        <v>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4541929200</v>
      </c>
      <c r="E74" s="25">
        <f>SUMIFS('Daftar Koreksi'!$H$5:$H$92,'Daftar Koreksi'!$D$5:$D$92,'1500'!A70,'Daftar Koreksi'!$G$5:$G$92,"Tanah",'Daftar Koreksi'!$H$5:$H$92,"&gt;0")</f>
        <v>0</v>
      </c>
      <c r="F74" s="25">
        <f>SUMIFS('Daftar Koreksi'!$H$5:$H$92,'Daftar Koreksi'!$D$5:$D$92,'1500'!A70,'Daftar Koreksi'!$G$5:$G$92,"Tanah",'Daftar Koreksi'!$H$5:$H$92,"&lt;0")-SUMIFS('Daftar Koreksi'!$H$5:$H$92,'Daftar Koreksi'!$D$5:$D$92,'1500'!A70,'Daftar Koreksi'!$G$5:$G$92,"Tanah",'Daftar Koreksi'!$H$5:$H$92,"&lt;0")-SUMIFS('Daftar Koreksi'!$H$5:$H$92,'Daftar Koreksi'!$D$5:$D$92,'1500'!A70,'Daftar Koreksi'!$G$5:$G$92,"Tanah",'Daftar Koreksi'!$H$5:$H$92,"&lt;0")</f>
        <v>0</v>
      </c>
      <c r="G74" s="17">
        <f t="shared" ref="G74:G90" si="3">D74+E74-F74</f>
        <v>4541929200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1431066298</v>
      </c>
      <c r="E75" s="25">
        <f>SUMIFS('Daftar Koreksi'!$H$5:$H$92,'Daftar Koreksi'!$D$5:$D$92,'1500'!A70,'Daftar Koreksi'!$G$5:$G$92,"Peralatan dan mesin",'Daftar Koreksi'!$H$5:$H$92,"&gt;0")</f>
        <v>0</v>
      </c>
      <c r="F75" s="25">
        <f>SUMIFS('Daftar Koreksi'!$H$5:$H$92,'Daftar Koreksi'!$D$5:$D$92,'1500'!A70,'Daftar Koreksi'!$G$5:$G$92,"Peralatan dan mesin",'Daftar Koreksi'!$H$5:$H$92,"&lt;0")-SUMIFS('Daftar Koreksi'!$H$5:$H$92,'Daftar Koreksi'!$D$5:$D$92,'1500'!A70,'Daftar Koreksi'!$G$5:$G$92,"Peralatan dan mesin",'Daftar Koreksi'!$H$5:$H$92,"&lt;0")-SUMIFS('Daftar Koreksi'!$H$5:$H$92,'Daftar Koreksi'!$D$5:$D$92,'1500'!A70,'Daftar Koreksi'!$G$5:$G$92,"Peralatan dan mesin",'Daftar Koreksi'!$H$5:$H$92,"&lt;0")</f>
        <v>0</v>
      </c>
      <c r="G75" s="17">
        <f t="shared" si="3"/>
        <v>1431066298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2501477000</v>
      </c>
      <c r="E76" s="25">
        <f>SUMIFS('Daftar Koreksi'!$H$5:$H$92,'Daftar Koreksi'!$D$5:$D$92,'1500'!A70,'Daftar Koreksi'!$G$5:$G$92,"Gedung dan Bangunan",'Daftar Koreksi'!$H$5:$H$92,"&gt;0")</f>
        <v>0</v>
      </c>
      <c r="F76" s="25">
        <f>SUMIFS('Daftar Koreksi'!$H$5:$H$92,'Daftar Koreksi'!$D$5:$D$92,'1500'!A70,'Daftar Koreksi'!$G$5:$G$92,"Gedung dan Bangunan",'Daftar Koreksi'!$H$5:$H$92,"&lt;0")-SUMIFS('Daftar Koreksi'!$H$5:$H$92,'Daftar Koreksi'!$D$5:$D$92,'1500'!A70,'Daftar Koreksi'!$G$5:$G$92,"Gedung dan Bangunan",'Daftar Koreksi'!$H$5:$H$92,"&lt;0")-SUMIFS('Daftar Koreksi'!$H$5:$H$92,'Daftar Koreksi'!$D$5:$D$92,'1500'!A70,'Daftar Koreksi'!$G$5:$G$92,"Gedung dan Bangunan",'Daftar Koreksi'!$H$5:$H$92,"&lt;0")</f>
        <v>0</v>
      </c>
      <c r="G76" s="17">
        <f t="shared" si="3"/>
        <v>2501477000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Koreksi'!$D$5:$D$92,'1500'!A70,'Daftar Koreksi'!$G$5:$G$92,"Jalan Irigasi Jaringan",'Daftar Koreksi'!$H$5:$H$92,"&gt;0")</f>
        <v>0</v>
      </c>
      <c r="F77" s="25">
        <f>SUMIFS('Daftar Koreksi'!$H$5:$H$92,'Daftar Koreksi'!$D$5:$D$92,'1500'!A70,'Daftar Koreksi'!$G$5:$G$92,"Jalan Irigasi Jaringan",'Daftar Koreksi'!$H$5:$H$92,"&lt;0")-SUMIFS('Daftar Koreksi'!$H$5:$H$92,'Daftar Koreksi'!$D$5:$D$92,'1500'!A70,'Daftar Koreksi'!$G$5:$G$92,"Jalan Irigasi Jaringan",'Daftar Koreksi'!$H$5:$H$92,"&lt;0")-SUMIFS('Daftar Koreksi'!$H$5:$H$92,'Daftar Koreksi'!$D$5:$D$92,'1500'!A70,'Daftar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4836116</v>
      </c>
      <c r="E78" s="25">
        <f>SUMIFS('Daftar Koreksi'!$H$5:$H$92,'Daftar Koreksi'!$D$5:$D$92,'1500'!A70,'Daftar Koreksi'!$G$5:$G$92,"Aset Tetap Lainnya",'Daftar Koreksi'!$H$5:$H$92,"&gt;0")</f>
        <v>0</v>
      </c>
      <c r="F78" s="25">
        <f>SUMIFS('Daftar Koreksi'!$H$5:$H$92,'Daftar Koreksi'!$D$5:$D$92,'1500'!A70,'Daftar Koreksi'!$G$5:$G$92,"Aset Tetap Lainnya",'Daftar Koreksi'!$H$5:$H$92,"&lt;0")-SUMIFS('Daftar Koreksi'!$H$5:$H$92,'Daftar Koreksi'!$D$5:$D$92,'1500'!A70,'Daftar Koreksi'!$G$5:$G$92,"Aset Tetap Lainnya",'Daftar Koreksi'!$H$5:$H$92,"&lt;0")-SUMIFS('Daftar Koreksi'!$H$5:$H$92,'Daftar Koreksi'!$D$5:$D$92,'1500'!A70,'Daftar Koreksi'!$G$5:$G$92,"Aset Tetap Lainnya",'Daftar Koreksi'!$H$5:$H$92,"&lt;0")</f>
        <v>0</v>
      </c>
      <c r="G78" s="17">
        <f t="shared" si="3"/>
        <v>4836116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5406961150</v>
      </c>
      <c r="E79" s="25">
        <f>SUMIFS('Daftar Koreksi'!$H$5:$H$92,'Daftar Koreksi'!$D$5:$D$92,'1500'!A70,'Daftar Koreksi'!$G$5:$G$92,"Kontruksi Dalam Pengerjaan",'Daftar Koreksi'!$H$5:$H$92,"&gt;0")</f>
        <v>0</v>
      </c>
      <c r="F79" s="25">
        <f>SUMIFS('Daftar Koreksi'!$H$5:$H$92,'Daftar Koreksi'!$D$5:$D$92,'1500'!A70,'Daftar Koreksi'!$G$5:$G$92,"Kontruksi Dalam Pengerjaan",'Daftar Koreksi'!$H$5:$H$92,"&lt;0")-SUMIFS('Daftar Koreksi'!$H$5:$H$92,'Daftar Koreksi'!$D$5:$D$92,'1500'!A70,'Daftar Koreksi'!$G$5:$G$92,"Kontruksi Dalam Pengerjaan",'Daftar Koreksi'!$H$5:$H$92,"&lt;0")-SUMIFS('Daftar Koreksi'!$H$5:$H$92,'Daftar Koreksi'!$D$5:$D$92,'1500'!A70,'Daftar Koreksi'!$G$5:$G$92,"Kontruksi Dalam Pengerjaan",'Daftar Koreksi'!$H$5:$H$92,"&lt;0")</f>
        <v>0</v>
      </c>
      <c r="G79" s="17">
        <f t="shared" si="3"/>
        <v>5406961150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Koreksi'!$D$5:$D$92,'1500'!A70,'Daftar Koreksi'!$G$5:$G$92,"Aset Tak Berwujud",'Daftar Koreksi'!$H$5:$H$92,"&gt;0")</f>
        <v>0</v>
      </c>
      <c r="F80" s="25">
        <f>SUMIFS('Daftar Koreksi'!$H$5:$H$92,'Daftar Koreksi'!$D$5:$D$92,'1500'!A70,'Daftar Koreksi'!$G$5:$G$92,"Aset Tak Berwujud",'Daftar Koreksi'!$H$5:$H$92,"&lt;0")-SUMIFS('Daftar Koreksi'!$H$5:$H$92,'Daftar Koreksi'!$D$5:$D$92,'1500'!A70,'Daftar Koreksi'!$G$5:$G$92,"Aset Tak Berwujud",'Daftar Koreksi'!$H$5:$H$92,"&lt;0")-SUMIFS('Daftar Koreksi'!$H$5:$H$92,'Daftar Koreksi'!$D$5:$D$92,'1500'!A70,'Daftar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Koreksi'!$D$5:$D$92,'1500'!A70,'Daftar Koreksi'!$G$5:$G$92,"Aset Henti Guna",'Daftar Koreksi'!$H$5:$H$92,"&gt;0")</f>
        <v>0</v>
      </c>
      <c r="F81" s="25">
        <f>SUMIFS('Daftar Koreksi'!$H$5:$H$92,'Daftar Koreksi'!$D$5:$D$92,'1500'!A70,'Daftar Koreksi'!$G$5:$G$92,"Aset Henti Guna",'Daftar Koreksi'!$H$5:$H$92,"&lt;0")-SUMIFS('Daftar Koreksi'!$H$5:$H$92,'Daftar Koreksi'!$D$5:$D$92,'1500'!A70,'Daftar Koreksi'!$G$5:$G$92,"Aset Henti Guna",'Daftar Koreksi'!$H$5:$H$92,"&lt;0")-SUMIFS('Daftar Koreksi'!$H$5:$H$92,'Daftar Koreksi'!$D$5:$D$92,'1500'!A70,'Daftar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13886269764</v>
      </c>
      <c r="E82" s="19">
        <f>SUM(E73:E81)</f>
        <v>0</v>
      </c>
      <c r="F82" s="19">
        <f>SUM(F73:F81)</f>
        <v>0</v>
      </c>
      <c r="G82" s="19">
        <f t="shared" si="3"/>
        <v>13886269764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-1151111652</v>
      </c>
      <c r="E83" s="25">
        <f>SUMIFS('Daftar Koreksi'!$I$5:$I$92,'Daftar Koreksi'!$D$5:$D$92,'1500'!A70,'Daftar Koreksi'!$G$5:$G$92,"Peralatan dan mesin",'Daftar Koreksi'!$I$5:$I$92,"&gt;0")</f>
        <v>0</v>
      </c>
      <c r="F83" s="25">
        <f>SUMIFS('Daftar Koreksi'!$I$5:$I$92,'Daftar Koreksi'!$D$5:$D$92,'1500'!A70,'Daftar Koreksi'!$G$5:$G$92,"Peralatan dan mesin",'Daftar Koreksi'!$I$5:$I$92,"&lt;0")-SUMIFS('Daftar Koreksi'!$I$5:$I$92,'Daftar Koreksi'!$D$5:$D$92,'1500'!A70,'Daftar Koreksi'!$G$5:$G$92,"Peralatan dan mesin",'Daftar Koreksi'!$I$5:$I$92,"&lt;0")-SUMIFS('Daftar Koreksi'!$I$5:$I$92,'Daftar Koreksi'!$D$5:$D$92,'1500'!A70,'Daftar Koreksi'!$G$5:$G$92,"Peralatan dan mesin",'Daftar Koreksi'!$I$5:$I$92,"&lt;0")</f>
        <v>0</v>
      </c>
      <c r="G83" s="17">
        <f t="shared" si="3"/>
        <v>-1151111652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-738106691</v>
      </c>
      <c r="E84" s="25">
        <f>SUMIFS('Daftar Koreksi'!$I$5:$I$92,'Daftar Koreksi'!$D$5:$D$92,'1500'!A70,'Daftar Koreksi'!$G$5:$G$92,"Gedung dan Bangunan",'Daftar Koreksi'!$I$5:$I$92,"&gt;0")</f>
        <v>0</v>
      </c>
      <c r="F84" s="25">
        <f>SUMIFS('Daftar Koreksi'!$I$5:$I$92,'Daftar Koreksi'!$D$5:$D$92,'1500'!A70,'Daftar Koreksi'!$G$5:$G$92,"Gedung dan Bangunan",'Daftar Koreksi'!$I$5:$I$92,"&lt;0")-SUMIFS('Daftar Koreksi'!$I$5:$I$92,'Daftar Koreksi'!$D$5:$D$92,'1500'!A70,'Daftar Koreksi'!$G$5:$G$92,"Gedung dan Bangunan",'Daftar Koreksi'!$I$5:$I$92,"&lt;0")-SUMIFS('Daftar Koreksi'!$I$5:$I$92,'Daftar Koreksi'!$D$5:$D$92,'1500'!A70,'Daftar Koreksi'!$G$5:$G$92,"Gedung dan Bangunan",'Daftar Koreksi'!$I$5:$I$92,"&lt;0")</f>
        <v>0</v>
      </c>
      <c r="G84" s="17">
        <f t="shared" si="3"/>
        <v>-738106691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Koreksi'!$D$5:$D$92,'1500'!A70,'Daftar Koreksi'!$G$5:$G$92,"Jalan Irigasi Jaringan",'Daftar Koreksi'!$I$5:$I$92,"&gt;0")</f>
        <v>0</v>
      </c>
      <c r="F85" s="25">
        <f>SUMIFS('Daftar Koreksi'!$I$5:$I$92,'Daftar Koreksi'!$D$5:$D$92,'1500'!A70,'Daftar Koreksi'!$G$5:$G$92,"Jalan Irigasi Jaringan",'Daftar Koreksi'!$I$5:$I$92,"&lt;0")-SUMIFS('Daftar Koreksi'!$I$5:$I$92,'Daftar Koreksi'!$D$5:$D$92,'1500'!A70,'Daftar Koreksi'!$G$5:$G$92,"Jalan Irigasi Jaringan",'Daftar Koreksi'!$I$5:$I$92,"&lt;0")-SUMIFS('Daftar Koreksi'!$I$5:$I$92,'Daftar Koreksi'!$D$5:$D$92,'1500'!A70,'Daftar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Koreksi'!$D$5:$D$92,'1500'!A70,'Daftar Koreksi'!$G$5:$G$92,"Aset Tetap Lainnya",'Daftar Koreksi'!$I$5:$I$92,"&gt;0")</f>
        <v>0</v>
      </c>
      <c r="F86" s="25">
        <f>SUMIFS('Daftar Koreksi'!$I$5:$I$92,'Daftar Koreksi'!$D$5:$D$92,'1500'!A70,'Daftar Koreksi'!$G$5:$G$92,"Aset Tetap Lainnya",'Daftar Koreksi'!$I$5:$I$92,"&lt;0")-SUMIFS('Daftar Koreksi'!$I$5:$I$92,'Daftar Koreksi'!$D$5:$D$92,'1500'!A70,'Daftar Koreksi'!$G$5:$G$92,"Aset Tetap Lainnya",'Daftar Koreksi'!$I$5:$I$92,"&lt;0")-SUMIFS('Daftar Koreksi'!$I$5:$I$92,'Daftar Koreksi'!$D$5:$D$92,'1500'!A70,'Daftar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Koreksi'!$D$5:$D$92,'1500'!A70,'Daftar Koreksi'!$G$5:$G$92,"Aset Henti Guna",'Daftar Koreksi'!$I$5:$I$92,"&gt;0")</f>
        <v>0</v>
      </c>
      <c r="F87" s="25">
        <f>SUMIFS('Daftar Koreksi'!$I$5:$I$92,'Daftar Koreksi'!$D$5:$D$92,'1500'!A70,'Daftar Koreksi'!$G$5:$G$92,"Aset Henti Guna",'Daftar Koreksi'!$I$5:$I$92,"&lt;0")-SUMIFS('Daftar Koreksi'!$I$5:$I$92,'Daftar Koreksi'!$D$5:$D$92,'1500'!A70,'Daftar Koreksi'!$G$5:$G$92,"Aset Henti Guna",'Daftar Koreksi'!$I$5:$I$92,"&lt;0")-SUMIFS('Daftar Koreksi'!$I$5:$I$92,'Daftar Koreksi'!$D$5:$D$92,'1500'!A70,'Daftar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-1889218343</v>
      </c>
      <c r="E88" s="19">
        <f>SUM(E83:E87)</f>
        <v>0</v>
      </c>
      <c r="F88" s="19">
        <f>SUM(F83:F87)</f>
        <v>0</v>
      </c>
      <c r="G88" s="19">
        <f t="shared" si="3"/>
        <v>-1889218343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11997051421</v>
      </c>
      <c r="E89" s="19">
        <f>E88+E82</f>
        <v>0</v>
      </c>
      <c r="F89" s="19">
        <f>F88+F82</f>
        <v>0</v>
      </c>
      <c r="G89" s="19">
        <f t="shared" si="3"/>
        <v>11997051421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005011500099223000KD</v>
      </c>
      <c r="B92" s="11" t="str">
        <f>P5</f>
        <v>PN. Barabai</v>
      </c>
      <c r="C92" s="12" t="str">
        <f>A92&amp;" "&amp;B92</f>
        <v>005011500099223000KD PN. Barabai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Koreksi'!$D$5:$D$92,'1500'!A92,'Daftar Koreksi'!$G$5:$G$92,"Persediaan",'Daftar Koreksi'!$H$5:$H$92,"&gt;0")</f>
        <v>0</v>
      </c>
      <c r="F95" s="25">
        <f>SUMIFS('Daftar Koreksi'!$H$5:$H$92,'Daftar Koreksi'!$D$5:$D$92,'1500'!A92,'Daftar Koreksi'!$G$5:$G$92,"Persediaan",'Daftar Koreksi'!$H$5:$H$92,"&lt;0")-SUMIFS('Daftar Koreksi'!$H$5:$H$92,'Daftar Koreksi'!$D$5:$D$92,'1500'!A92,'Daftar Koreksi'!$G$5:$G$92,"Persediaan",'Daftar Koreksi'!$H$5:$H$92,"&lt;0")-SUMIFS('Daftar Koreksi'!$H$5:$H$92,'Daftar Koreksi'!$D$5:$D$92,'1500'!A92,'Daftar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4706800000</v>
      </c>
      <c r="E96" s="25">
        <f>SUMIFS('Daftar Koreksi'!$H$5:$H$92,'Daftar Koreksi'!$D$5:$D$92,'1500'!A92,'Daftar Koreksi'!$G$5:$G$92,"Tanah",'Daftar Koreksi'!$H$5:$H$92,"&gt;0")</f>
        <v>0</v>
      </c>
      <c r="F96" s="25">
        <f>SUMIFS('Daftar Koreksi'!$H$5:$H$92,'Daftar Koreksi'!$D$5:$D$92,'1500'!A92,'Daftar Koreksi'!$G$5:$G$92,"Tanah",'Daftar Koreksi'!$H$5:$H$92,"&lt;0")-SUMIFS('Daftar Koreksi'!$H$5:$H$92,'Daftar Koreksi'!$D$5:$D$92,'1500'!A92,'Daftar Koreksi'!$G$5:$G$92,"Tanah",'Daftar Koreksi'!$H$5:$H$92,"&lt;0")-SUMIFS('Daftar Koreksi'!$H$5:$H$92,'Daftar Koreksi'!$D$5:$D$92,'1500'!A92,'Daftar Koreksi'!$G$5:$G$92,"Tanah",'Daftar Koreksi'!$H$5:$H$92,"&lt;0")</f>
        <v>0</v>
      </c>
      <c r="G96" s="17">
        <f t="shared" ref="G96:G112" si="4">D96+E96-F96</f>
        <v>4706800000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1368064703</v>
      </c>
      <c r="E97" s="25">
        <f>SUMIFS('Daftar Koreksi'!$H$5:$H$92,'Daftar Koreksi'!$D$5:$D$92,'1500'!A92,'Daftar Koreksi'!$G$5:$G$92,"Peralatan dan mesin",'Daftar Koreksi'!$H$5:$H$92,"&gt;0")</f>
        <v>0</v>
      </c>
      <c r="F97" s="25">
        <f>SUMIFS('Daftar Koreksi'!$H$5:$H$92,'Daftar Koreksi'!$D$5:$D$92,'1500'!A92,'Daftar Koreksi'!$G$5:$G$92,"Peralatan dan mesin",'Daftar Koreksi'!$H$5:$H$92,"&lt;0")-SUMIFS('Daftar Koreksi'!$H$5:$H$92,'Daftar Koreksi'!$D$5:$D$92,'1500'!A92,'Daftar Koreksi'!$G$5:$G$92,"Peralatan dan mesin",'Daftar Koreksi'!$H$5:$H$92,"&lt;0")-SUMIFS('Daftar Koreksi'!$H$5:$H$92,'Daftar Koreksi'!$D$5:$D$92,'1500'!A92,'Daftar Koreksi'!$G$5:$G$92,"Peralatan dan mesin",'Daftar Koreksi'!$H$5:$H$92,"&lt;0")</f>
        <v>0</v>
      </c>
      <c r="G97" s="17">
        <f t="shared" si="4"/>
        <v>1368064703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3677283610</v>
      </c>
      <c r="E98" s="25">
        <f>SUMIFS('Daftar Koreksi'!$H$5:$H$92,'Daftar Koreksi'!$D$5:$D$92,'1500'!A92,'Daftar Koreksi'!$G$5:$G$92,"Gedung dan Bangunan",'Daftar Koreksi'!$H$5:$H$92,"&gt;0")</f>
        <v>0</v>
      </c>
      <c r="F98" s="25">
        <f>SUMIFS('Daftar Koreksi'!$H$5:$H$92,'Daftar Koreksi'!$D$5:$D$92,'1500'!A92,'Daftar Koreksi'!$G$5:$G$92,"Gedung dan Bangunan",'Daftar Koreksi'!$H$5:$H$92,"&lt;0")-SUMIFS('Daftar Koreksi'!$H$5:$H$92,'Daftar Koreksi'!$D$5:$D$92,'1500'!A92,'Daftar Koreksi'!$G$5:$G$92,"Gedung dan Bangunan",'Daftar Koreksi'!$H$5:$H$92,"&lt;0")-SUMIFS('Daftar Koreksi'!$H$5:$H$92,'Daftar Koreksi'!$D$5:$D$92,'1500'!A92,'Daftar Koreksi'!$G$5:$G$92,"Gedung dan Bangunan",'Daftar Koreksi'!$H$5:$H$92,"&lt;0")</f>
        <v>0</v>
      </c>
      <c r="G98" s="17">
        <f t="shared" si="4"/>
        <v>3677283610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Koreksi'!$D$5:$D$92,'1500'!A92,'Daftar Koreksi'!$G$5:$G$92,"Jalan Irigasi Jaringan",'Daftar Koreksi'!$H$5:$H$92,"&gt;0")</f>
        <v>0</v>
      </c>
      <c r="F99" s="25">
        <f>SUMIFS('Daftar Koreksi'!$H$5:$H$92,'Daftar Koreksi'!$D$5:$D$92,'1500'!A92,'Daftar Koreksi'!$G$5:$G$92,"Jalan Irigasi Jaringan",'Daftar Koreksi'!$H$5:$H$92,"&lt;0")-SUMIFS('Daftar Koreksi'!$H$5:$H$92,'Daftar Koreksi'!$D$5:$D$92,'1500'!A92,'Daftar Koreksi'!$G$5:$G$92,"Jalan Irigasi Jaringan",'Daftar Koreksi'!$H$5:$H$92,"&lt;0")-SUMIFS('Daftar Koreksi'!$H$5:$H$92,'Daftar Koreksi'!$D$5:$D$92,'1500'!A92,'Daftar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97097118</v>
      </c>
      <c r="E100" s="25">
        <f>SUMIFS('Daftar Koreksi'!$H$5:$H$92,'Daftar Koreksi'!$D$5:$D$92,'1500'!A92,'Daftar Koreksi'!$G$5:$G$92,"Aset Tetap Lainnya",'Daftar Koreksi'!$H$5:$H$92,"&gt;0")</f>
        <v>0</v>
      </c>
      <c r="F100" s="25">
        <f>SUMIFS('Daftar Koreksi'!$H$5:$H$92,'Daftar Koreksi'!$D$5:$D$92,'1500'!A92,'Daftar Koreksi'!$G$5:$G$92,"Aset Tetap Lainnya",'Daftar Koreksi'!$H$5:$H$92,"&lt;0")-SUMIFS('Daftar Koreksi'!$H$5:$H$92,'Daftar Koreksi'!$D$5:$D$92,'1500'!A92,'Daftar Koreksi'!$G$5:$G$92,"Aset Tetap Lainnya",'Daftar Koreksi'!$H$5:$H$92,"&lt;0")-SUMIFS('Daftar Koreksi'!$H$5:$H$92,'Daftar Koreksi'!$D$5:$D$92,'1500'!A92,'Daftar Koreksi'!$G$5:$G$92,"Aset Tetap Lainnya",'Daftar Koreksi'!$H$5:$H$92,"&lt;0")</f>
        <v>0</v>
      </c>
      <c r="G100" s="17">
        <f t="shared" si="4"/>
        <v>97097118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Koreksi'!$D$5:$D$92,'1500'!A92,'Daftar Koreksi'!$G$5:$G$92,"Kontruksi Dalam Pengerjaan",'Daftar Koreksi'!$H$5:$H$92,"&gt;0")</f>
        <v>0</v>
      </c>
      <c r="F101" s="25">
        <f>SUMIFS('Daftar Koreksi'!$H$5:$H$92,'Daftar Koreksi'!$D$5:$D$92,'1500'!A92,'Daftar Koreksi'!$G$5:$G$92,"Kontruksi Dalam Pengerjaan",'Daftar Koreksi'!$H$5:$H$92,"&lt;0")-SUMIFS('Daftar Koreksi'!$H$5:$H$92,'Daftar Koreksi'!$D$5:$D$92,'1500'!A92,'Daftar Koreksi'!$G$5:$G$92,"Kontruksi Dalam Pengerjaan",'Daftar Koreksi'!$H$5:$H$92,"&lt;0")-SUMIFS('Daftar Koreksi'!$H$5:$H$92,'Daftar Koreksi'!$D$5:$D$92,'1500'!A92,'Daftar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Koreksi'!$D$5:$D$92,'1500'!A92,'Daftar Koreksi'!$G$5:$G$92,"Aset Tak Berwujud",'Daftar Koreksi'!$H$5:$H$92,"&gt;0")</f>
        <v>0</v>
      </c>
      <c r="F102" s="25">
        <f>SUMIFS('Daftar Koreksi'!$H$5:$H$92,'Daftar Koreksi'!$D$5:$D$92,'1500'!A92,'Daftar Koreksi'!$G$5:$G$92,"Aset Tak Berwujud",'Daftar Koreksi'!$H$5:$H$92,"&lt;0")-SUMIFS('Daftar Koreksi'!$H$5:$H$92,'Daftar Koreksi'!$D$5:$D$92,'1500'!A92,'Daftar Koreksi'!$G$5:$G$92,"Aset Tak Berwujud",'Daftar Koreksi'!$H$5:$H$92,"&lt;0")-SUMIFS('Daftar Koreksi'!$H$5:$H$92,'Daftar Koreksi'!$D$5:$D$92,'1500'!A92,'Daftar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7000</v>
      </c>
      <c r="E103" s="25">
        <f>SUMIFS('Daftar Koreksi'!$H$5:$H$92,'Daftar Koreksi'!$D$5:$D$92,'1500'!A92,'Daftar Koreksi'!$G$5:$G$92,"Aset Henti Guna",'Daftar Koreksi'!$H$5:$H$92,"&gt;0")</f>
        <v>0</v>
      </c>
      <c r="F103" s="25">
        <f>SUMIFS('Daftar Koreksi'!$H$5:$H$92,'Daftar Koreksi'!$D$5:$D$92,'1500'!A92,'Daftar Koreksi'!$G$5:$G$92,"Aset Henti Guna",'Daftar Koreksi'!$H$5:$H$92,"&lt;0")-SUMIFS('Daftar Koreksi'!$H$5:$H$92,'Daftar Koreksi'!$D$5:$D$92,'1500'!A92,'Daftar Koreksi'!$G$5:$G$92,"Aset Henti Guna",'Daftar Koreksi'!$H$5:$H$92,"&lt;0")-SUMIFS('Daftar Koreksi'!$H$5:$H$92,'Daftar Koreksi'!$D$5:$D$92,'1500'!A92,'Daftar Koreksi'!$G$5:$G$92,"Aset Henti Guna",'Daftar Koreksi'!$H$5:$H$92,"&lt;0")</f>
        <v>0</v>
      </c>
      <c r="G103" s="17">
        <f t="shared" si="4"/>
        <v>7000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9849252431</v>
      </c>
      <c r="E104" s="19">
        <f>SUM(E95:E103)</f>
        <v>0</v>
      </c>
      <c r="F104" s="19">
        <f>SUM(F95:F103)</f>
        <v>0</v>
      </c>
      <c r="G104" s="19">
        <f t="shared" si="4"/>
        <v>9849252431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-1256123051</v>
      </c>
      <c r="E105" s="25">
        <f>SUMIFS('Daftar Koreksi'!$I$5:$I$92,'Daftar Koreksi'!$D$5:$D$92,'1500'!A92,'Daftar Koreksi'!$G$5:$G$92,"Peralatan dan mesin",'Daftar Koreksi'!$I$5:$I$92,"&gt;0")</f>
        <v>0</v>
      </c>
      <c r="F105" s="25">
        <f>SUMIFS('Daftar Koreksi'!$I$5:$I$92,'Daftar Koreksi'!$D$5:$D$92,'1500'!A92,'Daftar Koreksi'!$G$5:$G$92,"Peralatan dan mesin",'Daftar Koreksi'!$I$5:$I$92,"&lt;0")-SUMIFS('Daftar Koreksi'!$I$5:$I$92,'Daftar Koreksi'!$D$5:$D$92,'1500'!A92,'Daftar Koreksi'!$G$5:$G$92,"Peralatan dan mesin",'Daftar Koreksi'!$I$5:$I$92,"&lt;0")-SUMIFS('Daftar Koreksi'!$I$5:$I$92,'Daftar Koreksi'!$D$5:$D$92,'1500'!A92,'Daftar Koreksi'!$G$5:$G$92,"Peralatan dan mesin",'Daftar Koreksi'!$I$5:$I$92,"&lt;0")</f>
        <v>0</v>
      </c>
      <c r="G105" s="17">
        <f t="shared" si="4"/>
        <v>-1256123051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-1789424023</v>
      </c>
      <c r="E106" s="25">
        <f>SUMIFS('Daftar Koreksi'!$I$5:$I$92,'Daftar Koreksi'!$D$5:$D$92,'1500'!A92,'Daftar Koreksi'!$G$5:$G$92,"Gedung dan Bangunan",'Daftar Koreksi'!$I$5:$I$92,"&gt;0")</f>
        <v>0</v>
      </c>
      <c r="F106" s="25">
        <f>SUMIFS('Daftar Koreksi'!$I$5:$I$92,'Daftar Koreksi'!$D$5:$D$92,'1500'!A92,'Daftar Koreksi'!$G$5:$G$92,"Gedung dan Bangunan",'Daftar Koreksi'!$I$5:$I$92,"&lt;0")-SUMIFS('Daftar Koreksi'!$I$5:$I$92,'Daftar Koreksi'!$D$5:$D$92,'1500'!A92,'Daftar Koreksi'!$G$5:$G$92,"Gedung dan Bangunan",'Daftar Koreksi'!$I$5:$I$92,"&lt;0")-SUMIFS('Daftar Koreksi'!$I$5:$I$92,'Daftar Koreksi'!$D$5:$D$92,'1500'!A92,'Daftar Koreksi'!$G$5:$G$92,"Gedung dan Bangunan",'Daftar Koreksi'!$I$5:$I$92,"&lt;0")</f>
        <v>0</v>
      </c>
      <c r="G106" s="17">
        <f t="shared" si="4"/>
        <v>-1789424023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Koreksi'!$D$5:$D$92,'1500'!A92,'Daftar Koreksi'!$G$5:$G$92,"Jalan Irigasi Jaringan",'Daftar Koreksi'!$I$5:$I$92,"&gt;0")</f>
        <v>0</v>
      </c>
      <c r="F107" s="25">
        <f>SUMIFS('Daftar Koreksi'!$I$5:$I$92,'Daftar Koreksi'!$D$5:$D$92,'1500'!A92,'Daftar Koreksi'!$G$5:$G$92,"Jalan Irigasi Jaringan",'Daftar Koreksi'!$I$5:$I$92,"&lt;0")-SUMIFS('Daftar Koreksi'!$I$5:$I$92,'Daftar Koreksi'!$D$5:$D$92,'1500'!A92,'Daftar Koreksi'!$G$5:$G$92,"Jalan Irigasi Jaringan",'Daftar Koreksi'!$I$5:$I$92,"&lt;0")-SUMIFS('Daftar Koreksi'!$I$5:$I$92,'Daftar Koreksi'!$D$5:$D$92,'1500'!A92,'Daftar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Koreksi'!$D$5:$D$92,'1500'!A92,'Daftar Koreksi'!$G$5:$G$92,"Aset Tetap Lainnya",'Daftar Koreksi'!$I$5:$I$92,"&gt;0")</f>
        <v>0</v>
      </c>
      <c r="F108" s="25">
        <f>SUMIFS('Daftar Koreksi'!$I$5:$I$92,'Daftar Koreksi'!$D$5:$D$92,'1500'!A92,'Daftar Koreksi'!$G$5:$G$92,"Aset Tetap Lainnya",'Daftar Koreksi'!$I$5:$I$92,"&lt;0")-SUMIFS('Daftar Koreksi'!$I$5:$I$92,'Daftar Koreksi'!$D$5:$D$92,'1500'!A92,'Daftar Koreksi'!$G$5:$G$92,"Aset Tetap Lainnya",'Daftar Koreksi'!$I$5:$I$92,"&lt;0")-SUMIFS('Daftar Koreksi'!$I$5:$I$92,'Daftar Koreksi'!$D$5:$D$92,'1500'!A92,'Daftar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-7000</v>
      </c>
      <c r="E109" s="25">
        <f>SUMIFS('Daftar Koreksi'!$I$5:$I$92,'Daftar Koreksi'!$D$5:$D$92,'1500'!A92,'Daftar Koreksi'!$G$5:$G$92,"Aset Henti Guna",'Daftar Koreksi'!$I$5:$I$92,"&gt;0")</f>
        <v>0</v>
      </c>
      <c r="F109" s="25">
        <f>SUMIFS('Daftar Koreksi'!$I$5:$I$92,'Daftar Koreksi'!$D$5:$D$92,'1500'!A92,'Daftar Koreksi'!$G$5:$G$92,"Aset Henti Guna",'Daftar Koreksi'!$I$5:$I$92,"&lt;0")-SUMIFS('Daftar Koreksi'!$I$5:$I$92,'Daftar Koreksi'!$D$5:$D$92,'1500'!A92,'Daftar Koreksi'!$G$5:$G$92,"Aset Henti Guna",'Daftar Koreksi'!$I$5:$I$92,"&lt;0")-SUMIFS('Daftar Koreksi'!$I$5:$I$92,'Daftar Koreksi'!$D$5:$D$92,'1500'!A92,'Daftar Koreksi'!$G$5:$G$92,"Aset Henti Guna",'Daftar Koreksi'!$I$5:$I$92,"&lt;0")</f>
        <v>0</v>
      </c>
      <c r="G109" s="17">
        <f t="shared" si="4"/>
        <v>-7000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-3045554074</v>
      </c>
      <c r="E110" s="19">
        <f>SUM(E105:E109)</f>
        <v>0</v>
      </c>
      <c r="F110" s="19">
        <f>SUM(F105:F109)</f>
        <v>0</v>
      </c>
      <c r="G110" s="19">
        <f t="shared" si="4"/>
        <v>-3045554074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6803698357</v>
      </c>
      <c r="E111" s="19">
        <f>E110+E104</f>
        <v>0</v>
      </c>
      <c r="F111" s="19">
        <f>F110+F104</f>
        <v>0</v>
      </c>
      <c r="G111" s="19">
        <f t="shared" si="4"/>
        <v>6803698357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005011500099230000KD</v>
      </c>
      <c r="B114" s="11" t="str">
        <f>P6</f>
        <v>PN. Martapura</v>
      </c>
      <c r="C114" s="12" t="str">
        <f>A114&amp;" "&amp;B114</f>
        <v>005011500099230000KD PN. Martapura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1783100</v>
      </c>
      <c r="E117" s="25">
        <f>SUMIFS('Daftar Koreksi'!$H$5:$H$92,'Daftar Koreksi'!$D$5:$D$92,'1500'!A114,'Daftar Koreksi'!$G$5:$G$92,"Persediaan",'Daftar Koreksi'!$H$5:$H$92,"&gt;0")</f>
        <v>0</v>
      </c>
      <c r="F117" s="25">
        <f>SUMIFS('Daftar Koreksi'!$H$5:$H$92,'Daftar Koreksi'!$D$5:$D$92,'1500'!A114,'Daftar Koreksi'!$G$5:$G$92,"Persediaan",'Daftar Koreksi'!$H$5:$H$92,"&lt;0")-SUMIFS('Daftar Koreksi'!$H$5:$H$92,'Daftar Koreksi'!$D$5:$D$92,'1500'!A114,'Daftar Koreksi'!$G$5:$G$92,"Persediaan",'Daftar Koreksi'!$H$5:$H$92,"&lt;0")-SUMIFS('Daftar Koreksi'!$H$5:$H$92,'Daftar Koreksi'!$D$5:$D$92,'1500'!A114,'Daftar Koreksi'!$G$5:$G$92,"Persediaan",'Daftar Koreksi'!$H$5:$H$92,"&lt;0")</f>
        <v>0</v>
      </c>
      <c r="G117" s="17">
        <f>D117+E117-F117</f>
        <v>1783100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7909000000</v>
      </c>
      <c r="E118" s="25">
        <f>SUMIFS('Daftar Koreksi'!$H$5:$H$92,'Daftar Koreksi'!$D$5:$D$92,'1500'!A114,'Daftar Koreksi'!$G$5:$G$92,"Tanah",'Daftar Koreksi'!$H$5:$H$92,"&gt;0")</f>
        <v>0</v>
      </c>
      <c r="F118" s="25">
        <f>SUMIFS('Daftar Koreksi'!$H$5:$H$92,'Daftar Koreksi'!$D$5:$D$92,'1500'!A114,'Daftar Koreksi'!$G$5:$G$92,"Tanah",'Daftar Koreksi'!$H$5:$H$92,"&lt;0")-SUMIFS('Daftar Koreksi'!$H$5:$H$92,'Daftar Koreksi'!$D$5:$D$92,'1500'!A114,'Daftar Koreksi'!$G$5:$G$92,"Tanah",'Daftar Koreksi'!$H$5:$H$92,"&lt;0")-SUMIFS('Daftar Koreksi'!$H$5:$H$92,'Daftar Koreksi'!$D$5:$D$92,'1500'!A114,'Daftar Koreksi'!$G$5:$G$92,"Tanah",'Daftar Koreksi'!$H$5:$H$92,"&lt;0")</f>
        <v>0</v>
      </c>
      <c r="G118" s="17">
        <f t="shared" ref="G118:G134" si="5">D118+E118-F118</f>
        <v>7909000000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1572221061</v>
      </c>
      <c r="E119" s="25">
        <f>SUMIFS('Daftar Koreksi'!$H$5:$H$92,'Daftar Koreksi'!$D$5:$D$92,'1500'!A114,'Daftar Koreksi'!$G$5:$G$92,"Peralatan dan mesin",'Daftar Koreksi'!$H$5:$H$92,"&gt;0")</f>
        <v>0</v>
      </c>
      <c r="F119" s="25">
        <f>SUMIFS('Daftar Koreksi'!$H$5:$H$92,'Daftar Koreksi'!$D$5:$D$92,'1500'!A114,'Daftar Koreksi'!$G$5:$G$92,"Peralatan dan mesin",'Daftar Koreksi'!$H$5:$H$92,"&lt;0")-SUMIFS('Daftar Koreksi'!$H$5:$H$92,'Daftar Koreksi'!$D$5:$D$92,'1500'!A114,'Daftar Koreksi'!$G$5:$G$92,"Peralatan dan mesin",'Daftar Koreksi'!$H$5:$H$92,"&lt;0")-SUMIFS('Daftar Koreksi'!$H$5:$H$92,'Daftar Koreksi'!$D$5:$D$92,'1500'!A114,'Daftar Koreksi'!$G$5:$G$92,"Peralatan dan mesin",'Daftar Koreksi'!$H$5:$H$92,"&lt;0")</f>
        <v>0</v>
      </c>
      <c r="G119" s="17">
        <f t="shared" si="5"/>
        <v>1572221061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12689217654</v>
      </c>
      <c r="E120" s="25">
        <f>SUMIFS('Daftar Koreksi'!$H$5:$H$92,'Daftar Koreksi'!$D$5:$D$92,'1500'!A114,'Daftar Koreksi'!$G$5:$G$92,"Gedung dan Bangunan",'Daftar Koreksi'!$H$5:$H$92,"&gt;0")</f>
        <v>0</v>
      </c>
      <c r="F120" s="25">
        <f>SUMIFS('Daftar Koreksi'!$H$5:$H$92,'Daftar Koreksi'!$D$5:$D$92,'1500'!A114,'Daftar Koreksi'!$G$5:$G$92,"Gedung dan Bangunan",'Daftar Koreksi'!$H$5:$H$92,"&lt;0")-SUMIFS('Daftar Koreksi'!$H$5:$H$92,'Daftar Koreksi'!$D$5:$D$92,'1500'!A114,'Daftar Koreksi'!$G$5:$G$92,"Gedung dan Bangunan",'Daftar Koreksi'!$H$5:$H$92,"&lt;0")-SUMIFS('Daftar Koreksi'!$H$5:$H$92,'Daftar Koreksi'!$D$5:$D$92,'1500'!A114,'Daftar Koreksi'!$G$5:$G$92,"Gedung dan Bangunan",'Daftar Koreksi'!$H$5:$H$92,"&lt;0")</f>
        <v>0</v>
      </c>
      <c r="G120" s="17">
        <f t="shared" si="5"/>
        <v>12689217654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Koreksi'!$D$5:$D$92,'1500'!A114,'Daftar Koreksi'!$G$5:$G$92,"Jalan Irigasi Jaringan",'Daftar Koreksi'!$H$5:$H$92,"&gt;0")</f>
        <v>0</v>
      </c>
      <c r="F121" s="25">
        <f>SUMIFS('Daftar Koreksi'!$H$5:$H$92,'Daftar Koreksi'!$D$5:$D$92,'1500'!A114,'Daftar Koreksi'!$G$5:$G$92,"Jalan Irigasi Jaringan",'Daftar Koreksi'!$H$5:$H$92,"&lt;0")-SUMIFS('Daftar Koreksi'!$H$5:$H$92,'Daftar Koreksi'!$D$5:$D$92,'1500'!A114,'Daftar Koreksi'!$G$5:$G$92,"Jalan Irigasi Jaringan",'Daftar Koreksi'!$H$5:$H$92,"&lt;0")-SUMIFS('Daftar Koreksi'!$H$5:$H$92,'Daftar Koreksi'!$D$5:$D$92,'1500'!A114,'Daftar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2014440</v>
      </c>
      <c r="E122" s="25">
        <f>SUMIFS('Daftar Koreksi'!$H$5:$H$92,'Daftar Koreksi'!$D$5:$D$92,'1500'!A114,'Daftar Koreksi'!$G$5:$G$92,"Aset Tetap Lainnya",'Daftar Koreksi'!$H$5:$H$92,"&gt;0")</f>
        <v>0</v>
      </c>
      <c r="F122" s="25">
        <f>SUMIFS('Daftar Koreksi'!$H$5:$H$92,'Daftar Koreksi'!$D$5:$D$92,'1500'!A114,'Daftar Koreksi'!$G$5:$G$92,"Aset Tetap Lainnya",'Daftar Koreksi'!$H$5:$H$92,"&lt;0")-SUMIFS('Daftar Koreksi'!$H$5:$H$92,'Daftar Koreksi'!$D$5:$D$92,'1500'!A114,'Daftar Koreksi'!$G$5:$G$92,"Aset Tetap Lainnya",'Daftar Koreksi'!$H$5:$H$92,"&lt;0")-SUMIFS('Daftar Koreksi'!$H$5:$H$92,'Daftar Koreksi'!$D$5:$D$92,'1500'!A114,'Daftar Koreksi'!$G$5:$G$92,"Aset Tetap Lainnya",'Daftar Koreksi'!$H$5:$H$92,"&lt;0")</f>
        <v>0</v>
      </c>
      <c r="G122" s="17">
        <f t="shared" si="5"/>
        <v>2014440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Koreksi'!$D$5:$D$92,'1500'!A114,'Daftar Koreksi'!$G$5:$G$92,"Kontruksi Dalam Pengerjaan",'Daftar Koreksi'!$H$5:$H$92,"&gt;0")</f>
        <v>0</v>
      </c>
      <c r="F123" s="25">
        <f>SUMIFS('Daftar Koreksi'!$H$5:$H$92,'Daftar Koreksi'!$D$5:$D$92,'1500'!A114,'Daftar Koreksi'!$G$5:$G$92,"Kontruksi Dalam Pengerjaan",'Daftar Koreksi'!$H$5:$H$92,"&lt;0")-SUMIFS('Daftar Koreksi'!$H$5:$H$92,'Daftar Koreksi'!$D$5:$D$92,'1500'!A114,'Daftar Koreksi'!$G$5:$G$92,"Kontruksi Dalam Pengerjaan",'Daftar Koreksi'!$H$5:$H$92,"&lt;0")-SUMIFS('Daftar Koreksi'!$H$5:$H$92,'Daftar Koreksi'!$D$5:$D$92,'1500'!A114,'Daftar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Koreksi'!$D$5:$D$92,'1500'!A114,'Daftar Koreksi'!$G$5:$G$92,"Aset Tak Berwujud",'Daftar Koreksi'!$H$5:$H$92,"&gt;0")</f>
        <v>0</v>
      </c>
      <c r="F124" s="25">
        <f>SUMIFS('Daftar Koreksi'!$H$5:$H$92,'Daftar Koreksi'!$D$5:$D$92,'1500'!A114,'Daftar Koreksi'!$G$5:$G$92,"Aset Tak Berwujud",'Daftar Koreksi'!$H$5:$H$92,"&lt;0")-SUMIFS('Daftar Koreksi'!$H$5:$H$92,'Daftar Koreksi'!$D$5:$D$92,'1500'!A114,'Daftar Koreksi'!$G$5:$G$92,"Aset Tak Berwujud",'Daftar Koreksi'!$H$5:$H$92,"&lt;0")-SUMIFS('Daftar Koreksi'!$H$5:$H$92,'Daftar Koreksi'!$D$5:$D$92,'1500'!A114,'Daftar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42027427</v>
      </c>
      <c r="E125" s="25">
        <f>SUMIFS('Daftar Koreksi'!$H$5:$H$92,'Daftar Koreksi'!$D$5:$D$92,'1500'!A114,'Daftar Koreksi'!$G$5:$G$92,"Aset Henti Guna",'Daftar Koreksi'!$H$5:$H$92,"&gt;0")</f>
        <v>0</v>
      </c>
      <c r="F125" s="25">
        <f>SUMIFS('Daftar Koreksi'!$H$5:$H$92,'Daftar Koreksi'!$D$5:$D$92,'1500'!A114,'Daftar Koreksi'!$G$5:$G$92,"Aset Henti Guna",'Daftar Koreksi'!$H$5:$H$92,"&lt;0")-SUMIFS('Daftar Koreksi'!$H$5:$H$92,'Daftar Koreksi'!$D$5:$D$92,'1500'!A114,'Daftar Koreksi'!$G$5:$G$92,"Aset Henti Guna",'Daftar Koreksi'!$H$5:$H$92,"&lt;0")-SUMIFS('Daftar Koreksi'!$H$5:$H$92,'Daftar Koreksi'!$D$5:$D$92,'1500'!A114,'Daftar Koreksi'!$G$5:$G$92,"Aset Henti Guna",'Daftar Koreksi'!$H$5:$H$92,"&lt;0")</f>
        <v>0</v>
      </c>
      <c r="G125" s="17">
        <f t="shared" si="5"/>
        <v>42027427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22216263682</v>
      </c>
      <c r="E126" s="19">
        <f>SUM(E117:E125)</f>
        <v>0</v>
      </c>
      <c r="F126" s="19">
        <f>SUM(F117:F125)</f>
        <v>0</v>
      </c>
      <c r="G126" s="19">
        <f t="shared" si="5"/>
        <v>22216263682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-1157472128</v>
      </c>
      <c r="E127" s="25">
        <f>SUMIFS('Daftar Koreksi'!$I$5:$I$92,'Daftar Koreksi'!$D$5:$D$92,'1500'!A114,'Daftar Koreksi'!$G$5:$G$92,"Peralatan dan mesin",'Daftar Koreksi'!$I$5:$I$92,"&gt;0")</f>
        <v>0</v>
      </c>
      <c r="F127" s="25">
        <f>SUMIFS('Daftar Koreksi'!$I$5:$I$92,'Daftar Koreksi'!$D$5:$D$92,'1500'!A114,'Daftar Koreksi'!$G$5:$G$92,"Peralatan dan mesin",'Daftar Koreksi'!$I$5:$I$92,"&lt;0")-SUMIFS('Daftar Koreksi'!$I$5:$I$92,'Daftar Koreksi'!$D$5:$D$92,'1500'!A114,'Daftar Koreksi'!$G$5:$G$92,"Peralatan dan mesin",'Daftar Koreksi'!$I$5:$I$92,"&lt;0")-SUMIFS('Daftar Koreksi'!$I$5:$I$92,'Daftar Koreksi'!$D$5:$D$92,'1500'!A114,'Daftar Koreksi'!$G$5:$G$92,"Peralatan dan mesin",'Daftar Koreksi'!$I$5:$I$92,"&lt;0")</f>
        <v>0</v>
      </c>
      <c r="G127" s="17">
        <f t="shared" si="5"/>
        <v>-1157472128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-1038991527</v>
      </c>
      <c r="E128" s="25">
        <f>SUMIFS('Daftar Koreksi'!$I$5:$I$92,'Daftar Koreksi'!$D$5:$D$92,'1500'!A114,'Daftar Koreksi'!$G$5:$G$92,"Gedung dan Bangunan",'Daftar Koreksi'!$I$5:$I$92,"&gt;0")</f>
        <v>0</v>
      </c>
      <c r="F128" s="25">
        <f>SUMIFS('Daftar Koreksi'!$I$5:$I$92,'Daftar Koreksi'!$D$5:$D$92,'1500'!A114,'Daftar Koreksi'!$G$5:$G$92,"Gedung dan Bangunan",'Daftar Koreksi'!$I$5:$I$92,"&lt;0")-SUMIFS('Daftar Koreksi'!$I$5:$I$92,'Daftar Koreksi'!$D$5:$D$92,'1500'!A114,'Daftar Koreksi'!$G$5:$G$92,"Gedung dan Bangunan",'Daftar Koreksi'!$I$5:$I$92,"&lt;0")-SUMIFS('Daftar Koreksi'!$I$5:$I$92,'Daftar Koreksi'!$D$5:$D$92,'1500'!A114,'Daftar Koreksi'!$G$5:$G$92,"Gedung dan Bangunan",'Daftar Koreksi'!$I$5:$I$92,"&lt;0")</f>
        <v>0</v>
      </c>
      <c r="G128" s="17">
        <f t="shared" si="5"/>
        <v>-1038991527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Koreksi'!$D$5:$D$92,'1500'!A114,'Daftar Koreksi'!$G$5:$G$92,"Jalan Irigasi Jaringan",'Daftar Koreksi'!$I$5:$I$92,"&gt;0")</f>
        <v>0</v>
      </c>
      <c r="F129" s="25">
        <f>SUMIFS('Daftar Koreksi'!$I$5:$I$92,'Daftar Koreksi'!$D$5:$D$92,'1500'!A114,'Daftar Koreksi'!$G$5:$G$92,"Jalan Irigasi Jaringan",'Daftar Koreksi'!$I$5:$I$92,"&lt;0")-SUMIFS('Daftar Koreksi'!$I$5:$I$92,'Daftar Koreksi'!$D$5:$D$92,'1500'!A114,'Daftar Koreksi'!$G$5:$G$92,"Jalan Irigasi Jaringan",'Daftar Koreksi'!$I$5:$I$92,"&lt;0")-SUMIFS('Daftar Koreksi'!$I$5:$I$92,'Daftar Koreksi'!$D$5:$D$92,'1500'!A114,'Daftar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Koreksi'!$D$5:$D$92,'1500'!A114,'Daftar Koreksi'!$G$5:$G$92,"Aset Tetap Lainnya",'Daftar Koreksi'!$I$5:$I$92,"&gt;0")</f>
        <v>0</v>
      </c>
      <c r="F130" s="25">
        <f>SUMIFS('Daftar Koreksi'!$I$5:$I$92,'Daftar Koreksi'!$D$5:$D$92,'1500'!A114,'Daftar Koreksi'!$G$5:$G$92,"Aset Tetap Lainnya",'Daftar Koreksi'!$I$5:$I$92,"&lt;0")-SUMIFS('Daftar Koreksi'!$I$5:$I$92,'Daftar Koreksi'!$D$5:$D$92,'1500'!A114,'Daftar Koreksi'!$G$5:$G$92,"Aset Tetap Lainnya",'Daftar Koreksi'!$I$5:$I$92,"&lt;0")-SUMIFS('Daftar Koreksi'!$I$5:$I$92,'Daftar Koreksi'!$D$5:$D$92,'1500'!A114,'Daftar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-42027427</v>
      </c>
      <c r="E131" s="25">
        <f>SUMIFS('Daftar Koreksi'!$I$5:$I$92,'Daftar Koreksi'!$D$5:$D$92,'1500'!A114,'Daftar Koreksi'!$G$5:$G$92,"Aset Henti Guna",'Daftar Koreksi'!$I$5:$I$92,"&gt;0")</f>
        <v>0</v>
      </c>
      <c r="F131" s="25">
        <f>SUMIFS('Daftar Koreksi'!$I$5:$I$92,'Daftar Koreksi'!$D$5:$D$92,'1500'!A114,'Daftar Koreksi'!$G$5:$G$92,"Aset Henti Guna",'Daftar Koreksi'!$I$5:$I$92,"&lt;0")-SUMIFS('Daftar Koreksi'!$I$5:$I$92,'Daftar Koreksi'!$D$5:$D$92,'1500'!A114,'Daftar Koreksi'!$G$5:$G$92,"Aset Henti Guna",'Daftar Koreksi'!$I$5:$I$92,"&lt;0")-SUMIFS('Daftar Koreksi'!$I$5:$I$92,'Daftar Koreksi'!$D$5:$D$92,'1500'!A114,'Daftar Koreksi'!$G$5:$G$92,"Aset Henti Guna",'Daftar Koreksi'!$I$5:$I$92,"&lt;0")</f>
        <v>0</v>
      </c>
      <c r="G131" s="17">
        <f t="shared" si="5"/>
        <v>-42027427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-2238491082</v>
      </c>
      <c r="E132" s="19">
        <f>SUM(E127:E131)</f>
        <v>0</v>
      </c>
      <c r="F132" s="19">
        <f>SUM(F127:F131)</f>
        <v>0</v>
      </c>
      <c r="G132" s="19">
        <f t="shared" si="5"/>
        <v>-2238491082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19977772600</v>
      </c>
      <c r="E133" s="19">
        <f>E132+E126</f>
        <v>0</v>
      </c>
      <c r="F133" s="19">
        <f>F132+F126</f>
        <v>0</v>
      </c>
      <c r="G133" s="19">
        <f t="shared" si="5"/>
        <v>19977772600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005011500099244000KD</v>
      </c>
      <c r="B136" s="11" t="str">
        <f>P7</f>
        <v>PN. Tanjung</v>
      </c>
      <c r="C136" s="12" t="str">
        <f>A136&amp;" "&amp;B136</f>
        <v>005011500099244000KD PN. Tanjung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Koreksi'!$D$5:$D$92,'1500'!A136,'Daftar Koreksi'!$G$5:$G$92,"Persediaan",'Daftar Koreksi'!$H$5:$H$92,"&gt;0")</f>
        <v>0</v>
      </c>
      <c r="F139" s="25">
        <f>SUMIFS('Daftar Koreksi'!$H$5:$H$92,'Daftar Koreksi'!$D$5:$D$92,'1500'!A136,'Daftar Koreksi'!$G$5:$G$92,"Persediaan",'Daftar Koreksi'!$H$5:$H$92,"&lt;0")-SUMIFS('Daftar Koreksi'!$H$5:$H$92,'Daftar Koreksi'!$D$5:$D$92,'1500'!A136,'Daftar Koreksi'!$G$5:$G$92,"Persediaan",'Daftar Koreksi'!$H$5:$H$92,"&lt;0")-SUMIFS('Daftar Koreksi'!$H$5:$H$92,'Daftar Koreksi'!$D$5:$D$92,'1500'!A136,'Daftar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3133447400</v>
      </c>
      <c r="E140" s="25">
        <f>SUMIFS('Daftar Koreksi'!$H$5:$H$92,'Daftar Koreksi'!$D$5:$D$92,'1500'!A136,'Daftar Koreksi'!$G$5:$G$92,"Tanah",'Daftar Koreksi'!$H$5:$H$92,"&gt;0")</f>
        <v>0</v>
      </c>
      <c r="F140" s="25">
        <f>SUMIFS('Daftar Koreksi'!$H$5:$H$92,'Daftar Koreksi'!$D$5:$D$92,'1500'!A136,'Daftar Koreksi'!$G$5:$G$92,"Tanah",'Daftar Koreksi'!$H$5:$H$92,"&lt;0")-SUMIFS('Daftar Koreksi'!$H$5:$H$92,'Daftar Koreksi'!$D$5:$D$92,'1500'!A136,'Daftar Koreksi'!$G$5:$G$92,"Tanah",'Daftar Koreksi'!$H$5:$H$92,"&lt;0")-SUMIFS('Daftar Koreksi'!$H$5:$H$92,'Daftar Koreksi'!$D$5:$D$92,'1500'!A136,'Daftar Koreksi'!$G$5:$G$92,"Tanah",'Daftar Koreksi'!$H$5:$H$92,"&lt;0")</f>
        <v>0</v>
      </c>
      <c r="G140" s="17">
        <f t="shared" ref="G140:G156" si="6">D140+E140-F140</f>
        <v>3133447400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1623506279</v>
      </c>
      <c r="E141" s="25">
        <f>SUMIFS('Daftar Koreksi'!$H$5:$H$92,'Daftar Koreksi'!$D$5:$D$92,'1500'!A136,'Daftar Koreksi'!$G$5:$G$92,"Peralatan dan mesin",'Daftar Koreksi'!$H$5:$H$92,"&gt;0")</f>
        <v>0</v>
      </c>
      <c r="F141" s="25">
        <f>SUMIFS('Daftar Koreksi'!$H$5:$H$92,'Daftar Koreksi'!$D$5:$D$92,'1500'!A136,'Daftar Koreksi'!$G$5:$G$92,"Peralatan dan mesin",'Daftar Koreksi'!$H$5:$H$92,"&lt;0")-SUMIFS('Daftar Koreksi'!$H$5:$H$92,'Daftar Koreksi'!$D$5:$D$92,'1500'!A136,'Daftar Koreksi'!$G$5:$G$92,"Peralatan dan mesin",'Daftar Koreksi'!$H$5:$H$92,"&lt;0")-SUMIFS('Daftar Koreksi'!$H$5:$H$92,'Daftar Koreksi'!$D$5:$D$92,'1500'!A136,'Daftar Koreksi'!$G$5:$G$92,"Peralatan dan mesin",'Daftar Koreksi'!$H$5:$H$92,"&lt;0")</f>
        <v>0</v>
      </c>
      <c r="G141" s="17">
        <f t="shared" si="6"/>
        <v>1623506279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5760775600</v>
      </c>
      <c r="E142" s="25">
        <f>SUMIFS('Daftar Koreksi'!$H$5:$H$92,'Daftar Koreksi'!$D$5:$D$92,'1500'!A136,'Daftar Koreksi'!$G$5:$G$92,"Gedung dan Bangunan",'Daftar Koreksi'!$H$5:$H$92,"&gt;0")</f>
        <v>0</v>
      </c>
      <c r="F142" s="25">
        <f>SUMIFS('Daftar Koreksi'!$H$5:$H$92,'Daftar Koreksi'!$D$5:$D$92,'1500'!A136,'Daftar Koreksi'!$G$5:$G$92,"Gedung dan Bangunan",'Daftar Koreksi'!$H$5:$H$92,"&lt;0")-SUMIFS('Daftar Koreksi'!$H$5:$H$92,'Daftar Koreksi'!$D$5:$D$92,'1500'!A136,'Daftar Koreksi'!$G$5:$G$92,"Gedung dan Bangunan",'Daftar Koreksi'!$H$5:$H$92,"&lt;0")-SUMIFS('Daftar Koreksi'!$H$5:$H$92,'Daftar Koreksi'!$D$5:$D$92,'1500'!A136,'Daftar Koreksi'!$G$5:$G$92,"Gedung dan Bangunan",'Daftar Koreksi'!$H$5:$H$92,"&lt;0")</f>
        <v>0</v>
      </c>
      <c r="G142" s="17">
        <f t="shared" si="6"/>
        <v>5760775600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6450000</v>
      </c>
      <c r="E143" s="25">
        <f>SUMIFS('Daftar Koreksi'!$H$5:$H$92,'Daftar Koreksi'!$D$5:$D$92,'1500'!A136,'Daftar Koreksi'!$G$5:$G$92,"Jalan Irigasi Jaringan",'Daftar Koreksi'!$H$5:$H$92,"&gt;0")</f>
        <v>0</v>
      </c>
      <c r="F143" s="25">
        <f>SUMIFS('Daftar Koreksi'!$H$5:$H$92,'Daftar Koreksi'!$D$5:$D$92,'1500'!A136,'Daftar Koreksi'!$G$5:$G$92,"Jalan Irigasi Jaringan",'Daftar Koreksi'!$H$5:$H$92,"&lt;0")-SUMIFS('Daftar Koreksi'!$H$5:$H$92,'Daftar Koreksi'!$D$5:$D$92,'1500'!A136,'Daftar Koreksi'!$G$5:$G$92,"Jalan Irigasi Jaringan",'Daftar Koreksi'!$H$5:$H$92,"&lt;0")-SUMIFS('Daftar Koreksi'!$H$5:$H$92,'Daftar Koreksi'!$D$5:$D$92,'1500'!A136,'Daftar Koreksi'!$G$5:$G$92,"Jalan Irigasi Jaringan",'Daftar Koreksi'!$H$5:$H$92,"&lt;0")</f>
        <v>0</v>
      </c>
      <c r="G143" s="17">
        <f t="shared" si="6"/>
        <v>6450000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19204940</v>
      </c>
      <c r="E144" s="25">
        <f>SUMIFS('Daftar Koreksi'!$H$5:$H$92,'Daftar Koreksi'!$D$5:$D$92,'1500'!A136,'Daftar Koreksi'!$G$5:$G$92,"Aset Tetap Lainnya",'Daftar Koreksi'!$H$5:$H$92,"&gt;0")</f>
        <v>0</v>
      </c>
      <c r="F144" s="25">
        <f>SUMIFS('Daftar Koreksi'!$H$5:$H$92,'Daftar Koreksi'!$D$5:$D$92,'1500'!A136,'Daftar Koreksi'!$G$5:$G$92,"Aset Tetap Lainnya",'Daftar Koreksi'!$H$5:$H$92,"&lt;0")-SUMIFS('Daftar Koreksi'!$H$5:$H$92,'Daftar Koreksi'!$D$5:$D$92,'1500'!A136,'Daftar Koreksi'!$G$5:$G$92,"Aset Tetap Lainnya",'Daftar Koreksi'!$H$5:$H$92,"&lt;0")-SUMIFS('Daftar Koreksi'!$H$5:$H$92,'Daftar Koreksi'!$D$5:$D$92,'1500'!A136,'Daftar Koreksi'!$G$5:$G$92,"Aset Tetap Lainnya",'Daftar Koreksi'!$H$5:$H$92,"&lt;0")</f>
        <v>0</v>
      </c>
      <c r="G144" s="17">
        <f t="shared" si="6"/>
        <v>19204940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Koreksi'!$D$5:$D$92,'1500'!A136,'Daftar Koreksi'!$G$5:$G$92,"Kontruksi Dalam Pengerjaan",'Daftar Koreksi'!$H$5:$H$92,"&gt;0")</f>
        <v>0</v>
      </c>
      <c r="F145" s="25">
        <f>SUMIFS('Daftar Koreksi'!$H$5:$H$92,'Daftar Koreksi'!$D$5:$D$92,'1500'!A136,'Daftar Koreksi'!$G$5:$G$92,"Kontruksi Dalam Pengerjaan",'Daftar Koreksi'!$H$5:$H$92,"&lt;0")-SUMIFS('Daftar Koreksi'!$H$5:$H$92,'Daftar Koreksi'!$D$5:$D$92,'1500'!A136,'Daftar Koreksi'!$G$5:$G$92,"Kontruksi Dalam Pengerjaan",'Daftar Koreksi'!$H$5:$H$92,"&lt;0")-SUMIFS('Daftar Koreksi'!$H$5:$H$92,'Daftar Koreksi'!$D$5:$D$92,'1500'!A136,'Daftar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10000000</v>
      </c>
      <c r="E146" s="25">
        <f>SUMIFS('Daftar Koreksi'!$H$5:$H$92,'Daftar Koreksi'!$D$5:$D$92,'1500'!A136,'Daftar Koreksi'!$G$5:$G$92,"Aset Tak Berwujud",'Daftar Koreksi'!$H$5:$H$92,"&gt;0")</f>
        <v>0</v>
      </c>
      <c r="F146" s="25">
        <f>SUMIFS('Daftar Koreksi'!$H$5:$H$92,'Daftar Koreksi'!$D$5:$D$92,'1500'!A136,'Daftar Koreksi'!$G$5:$G$92,"Aset Tak Berwujud",'Daftar Koreksi'!$H$5:$H$92,"&lt;0")-SUMIFS('Daftar Koreksi'!$H$5:$H$92,'Daftar Koreksi'!$D$5:$D$92,'1500'!A136,'Daftar Koreksi'!$G$5:$G$92,"Aset Tak Berwujud",'Daftar Koreksi'!$H$5:$H$92,"&lt;0")-SUMIFS('Daftar Koreksi'!$H$5:$H$92,'Daftar Koreksi'!$D$5:$D$92,'1500'!A136,'Daftar Koreksi'!$G$5:$G$92,"Aset Tak Berwujud",'Daftar Koreksi'!$H$5:$H$92,"&lt;0")</f>
        <v>0</v>
      </c>
      <c r="G146" s="17">
        <f t="shared" si="6"/>
        <v>10000000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29683250</v>
      </c>
      <c r="E147" s="25">
        <f>SUMIFS('Daftar Koreksi'!$H$5:$H$92,'Daftar Koreksi'!$D$5:$D$92,'1500'!A136,'Daftar Koreksi'!$G$5:$G$92,"Aset Henti Guna",'Daftar Koreksi'!$H$5:$H$92,"&gt;0")</f>
        <v>0</v>
      </c>
      <c r="F147" s="25">
        <f>SUMIFS('Daftar Koreksi'!$H$5:$H$92,'Daftar Koreksi'!$D$5:$D$92,'1500'!A136,'Daftar Koreksi'!$G$5:$G$92,"Aset Henti Guna",'Daftar Koreksi'!$H$5:$H$92,"&lt;0")-SUMIFS('Daftar Koreksi'!$H$5:$H$92,'Daftar Koreksi'!$D$5:$D$92,'1500'!A136,'Daftar Koreksi'!$G$5:$G$92,"Aset Henti Guna",'Daftar Koreksi'!$H$5:$H$92,"&lt;0")-SUMIFS('Daftar Koreksi'!$H$5:$H$92,'Daftar Koreksi'!$D$5:$D$92,'1500'!A136,'Daftar Koreksi'!$G$5:$G$92,"Aset Henti Guna",'Daftar Koreksi'!$H$5:$H$92,"&lt;0")</f>
        <v>0</v>
      </c>
      <c r="G147" s="17">
        <f t="shared" si="6"/>
        <v>29683250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10583067469</v>
      </c>
      <c r="E148" s="19">
        <f>SUM(E139:E147)</f>
        <v>0</v>
      </c>
      <c r="F148" s="19">
        <f>SUM(F139:F147)</f>
        <v>0</v>
      </c>
      <c r="G148" s="19">
        <f t="shared" si="6"/>
        <v>10583067469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-1518864307</v>
      </c>
      <c r="E149" s="25">
        <f>SUMIFS('Daftar Koreksi'!$I$5:$I$92,'Daftar Koreksi'!$D$5:$D$92,'1500'!A136,'Daftar Koreksi'!$G$5:$G$92,"Peralatan dan mesin",'Daftar Koreksi'!$I$5:$I$92,"&gt;0")</f>
        <v>0</v>
      </c>
      <c r="F149" s="25">
        <f>SUMIFS('Daftar Koreksi'!$I$5:$I$92,'Daftar Koreksi'!$D$5:$D$92,'1500'!A136,'Daftar Koreksi'!$G$5:$G$92,"Peralatan dan mesin",'Daftar Koreksi'!$I$5:$I$92,"&lt;0")-SUMIFS('Daftar Koreksi'!$I$5:$I$92,'Daftar Koreksi'!$D$5:$D$92,'1500'!A136,'Daftar Koreksi'!$G$5:$G$92,"Peralatan dan mesin",'Daftar Koreksi'!$I$5:$I$92,"&lt;0")-SUMIFS('Daftar Koreksi'!$I$5:$I$92,'Daftar Koreksi'!$D$5:$D$92,'1500'!A136,'Daftar Koreksi'!$G$5:$G$92,"Peralatan dan mesin",'Daftar Koreksi'!$I$5:$I$92,"&lt;0")</f>
        <v>0</v>
      </c>
      <c r="G149" s="17">
        <f t="shared" si="6"/>
        <v>-1518864307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-1843246623</v>
      </c>
      <c r="E150" s="25">
        <f>SUMIFS('Daftar Koreksi'!$I$5:$I$92,'Daftar Koreksi'!$D$5:$D$92,'1500'!A136,'Daftar Koreksi'!$G$5:$G$92,"Gedung dan Bangunan",'Daftar Koreksi'!$I$5:$I$92,"&gt;0")</f>
        <v>0</v>
      </c>
      <c r="F150" s="25">
        <f>SUMIFS('Daftar Koreksi'!$I$5:$I$92,'Daftar Koreksi'!$D$5:$D$92,'1500'!A136,'Daftar Koreksi'!$G$5:$G$92,"Gedung dan Bangunan",'Daftar Koreksi'!$I$5:$I$92,"&lt;0")-SUMIFS('Daftar Koreksi'!$I$5:$I$92,'Daftar Koreksi'!$D$5:$D$92,'1500'!A136,'Daftar Koreksi'!$G$5:$G$92,"Gedung dan Bangunan",'Daftar Koreksi'!$I$5:$I$92,"&lt;0")-SUMIFS('Daftar Koreksi'!$I$5:$I$92,'Daftar Koreksi'!$D$5:$D$92,'1500'!A136,'Daftar Koreksi'!$G$5:$G$92,"Gedung dan Bangunan",'Daftar Koreksi'!$I$5:$I$92,"&lt;0")</f>
        <v>0</v>
      </c>
      <c r="G150" s="17">
        <f t="shared" si="6"/>
        <v>-1843246623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-5450000</v>
      </c>
      <c r="E151" s="25">
        <f>SUMIFS('Daftar Koreksi'!$I$5:$I$92,'Daftar Koreksi'!$D$5:$D$92,'1500'!A136,'Daftar Koreksi'!$G$5:$G$92,"Jalan Irigasi Jaringan",'Daftar Koreksi'!$I$5:$I$92,"&gt;0")</f>
        <v>0</v>
      </c>
      <c r="F151" s="25">
        <f>SUMIFS('Daftar Koreksi'!$I$5:$I$92,'Daftar Koreksi'!$D$5:$D$92,'1500'!A136,'Daftar Koreksi'!$G$5:$G$92,"Jalan Irigasi Jaringan",'Daftar Koreksi'!$I$5:$I$92,"&lt;0")-SUMIFS('Daftar Koreksi'!$I$5:$I$92,'Daftar Koreksi'!$D$5:$D$92,'1500'!A136,'Daftar Koreksi'!$G$5:$G$92,"Jalan Irigasi Jaringan",'Daftar Koreksi'!$I$5:$I$92,"&lt;0")-SUMIFS('Daftar Koreksi'!$I$5:$I$92,'Daftar Koreksi'!$D$5:$D$92,'1500'!A136,'Daftar Koreksi'!$G$5:$G$92,"Jalan Irigasi Jaringan",'Daftar Koreksi'!$I$5:$I$92,"&lt;0")</f>
        <v>0</v>
      </c>
      <c r="G151" s="17">
        <f t="shared" si="6"/>
        <v>-5450000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Koreksi'!$D$5:$D$92,'1500'!A136,'Daftar Koreksi'!$G$5:$G$92,"Aset Tetap Lainnya",'Daftar Koreksi'!$I$5:$I$92,"&gt;0")</f>
        <v>0</v>
      </c>
      <c r="F152" s="25">
        <f>SUMIFS('Daftar Koreksi'!$I$5:$I$92,'Daftar Koreksi'!$D$5:$D$92,'1500'!A136,'Daftar Koreksi'!$G$5:$G$92,"Aset Tetap Lainnya",'Daftar Koreksi'!$I$5:$I$92,"&lt;0")-SUMIFS('Daftar Koreksi'!$I$5:$I$92,'Daftar Koreksi'!$D$5:$D$92,'1500'!A136,'Daftar Koreksi'!$G$5:$G$92,"Aset Tetap Lainnya",'Daftar Koreksi'!$I$5:$I$92,"&lt;0")-SUMIFS('Daftar Koreksi'!$I$5:$I$92,'Daftar Koreksi'!$D$5:$D$92,'1500'!A136,'Daftar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-8820000</v>
      </c>
      <c r="E153" s="25">
        <f>SUMIFS('Daftar Koreksi'!$I$5:$I$92,'Daftar Koreksi'!$D$5:$D$92,'1500'!A136,'Daftar Koreksi'!$G$5:$G$92,"Aset Henti Guna",'Daftar Koreksi'!$I$5:$I$92,"&gt;0")</f>
        <v>0</v>
      </c>
      <c r="F153" s="25">
        <f>SUMIFS('Daftar Koreksi'!$I$5:$I$92,'Daftar Koreksi'!$D$5:$D$92,'1500'!A136,'Daftar Koreksi'!$G$5:$G$92,"Aset Henti Guna",'Daftar Koreksi'!$I$5:$I$92,"&lt;0")-SUMIFS('Daftar Koreksi'!$I$5:$I$92,'Daftar Koreksi'!$D$5:$D$92,'1500'!A136,'Daftar Koreksi'!$G$5:$G$92,"Aset Henti Guna",'Daftar Koreksi'!$I$5:$I$92,"&lt;0")-SUMIFS('Daftar Koreksi'!$I$5:$I$92,'Daftar Koreksi'!$D$5:$D$92,'1500'!A136,'Daftar Koreksi'!$G$5:$G$92,"Aset Henti Guna",'Daftar Koreksi'!$I$5:$I$92,"&lt;0")</f>
        <v>0</v>
      </c>
      <c r="G153" s="17">
        <f t="shared" si="6"/>
        <v>-8820000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-3376380930</v>
      </c>
      <c r="E154" s="19">
        <f>SUM(E149:E153)</f>
        <v>0</v>
      </c>
      <c r="F154" s="19">
        <f>SUM(F149:F153)</f>
        <v>0</v>
      </c>
      <c r="G154" s="19">
        <f t="shared" si="6"/>
        <v>-3376380930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7206686539</v>
      </c>
      <c r="E155" s="19">
        <f>E154+E148</f>
        <v>0</v>
      </c>
      <c r="F155" s="19">
        <f>F154+F148</f>
        <v>0</v>
      </c>
      <c r="G155" s="19">
        <f t="shared" si="6"/>
        <v>7206686539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005011500099251000KD</v>
      </c>
      <c r="B158" s="11" t="str">
        <f>P8</f>
        <v>PN. Amuntai</v>
      </c>
      <c r="C158" s="12" t="str">
        <f>A158&amp;" "&amp;B158</f>
        <v>005011500099251000KD PN. Amuntai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10" ht="21.95" customHeight="1">
      <c r="A161" s="14"/>
      <c r="B161" s="14"/>
      <c r="C161" s="16" t="s">
        <v>1165</v>
      </c>
      <c r="D161" s="17">
        <f>VLOOKUP(A158,'Neraca Unaudited SIMAK'!$A$2:$S$10004,3,FALSE)</f>
        <v>12000</v>
      </c>
      <c r="E161" s="25">
        <f>SUMIFS('Daftar Koreksi'!$H$5:$H$92,'Daftar Koreksi'!$D$5:$D$92,'1500'!A158,'Daftar Koreksi'!$G$5:$G$92,"Persediaan",'Daftar Koreksi'!$H$5:$H$92,"&gt;0")</f>
        <v>0</v>
      </c>
      <c r="F161" s="25">
        <f>SUMIFS('Daftar Koreksi'!$H$5:$H$92,'Daftar Koreksi'!$D$5:$D$92,'1500'!A158,'Daftar Koreksi'!$G$5:$G$92,"Persediaan",'Daftar Koreksi'!$H$5:$H$92,"&lt;0")-SUMIFS('Daftar Koreksi'!$H$5:$H$92,'Daftar Koreksi'!$D$5:$D$92,'1500'!A158,'Daftar Koreksi'!$G$5:$G$92,"Persediaan",'Daftar Koreksi'!$H$5:$H$92,"&lt;0")-SUMIFS('Daftar Koreksi'!$H$5:$H$92,'Daftar Koreksi'!$D$5:$D$92,'1500'!A158,'Daftar Koreksi'!$G$5:$G$92,"Persediaan",'Daftar Koreksi'!$H$5:$H$92,"&lt;0")</f>
        <v>0</v>
      </c>
      <c r="G161" s="17">
        <f>D161+E161-F161</f>
        <v>12000</v>
      </c>
      <c r="H161" s="121" t="str">
        <f>IF(ISNA(VLOOKUP(A158,'Mutasi Neraca'!$A$3:$S$914,19,FALSE)),"-",VLOOKUP(A158,'Mutasi Neraca'!$A$3:$S$914,19,FALSE))</f>
        <v>-</v>
      </c>
      <c r="I161" s="28"/>
      <c r="J161" s="28"/>
    </row>
    <row r="162" spans="1:10" ht="21.95" customHeight="1">
      <c r="A162" s="14"/>
      <c r="B162" s="14"/>
      <c r="C162" s="16" t="s">
        <v>1166</v>
      </c>
      <c r="D162" s="17">
        <f>VLOOKUP(A158,'Neraca Unaudited SIMAK'!$A$2:$S$10004,4,FALSE)</f>
        <v>3253406000</v>
      </c>
      <c r="E162" s="25">
        <f>SUMIFS('Daftar Koreksi'!$H$5:$H$92,'Daftar Koreksi'!$D$5:$D$92,'1500'!A158,'Daftar Koreksi'!$G$5:$G$92,"Tanah",'Daftar Koreksi'!$H$5:$H$92,"&gt;0")</f>
        <v>0</v>
      </c>
      <c r="F162" s="25">
        <f>SUMIFS('Daftar Koreksi'!$H$5:$H$92,'Daftar Koreksi'!$D$5:$D$92,'1500'!A158,'Daftar Koreksi'!$G$5:$G$92,"Tanah",'Daftar Koreksi'!$H$5:$H$92,"&lt;0")-SUMIFS('Daftar Koreksi'!$H$5:$H$92,'Daftar Koreksi'!$D$5:$D$92,'1500'!A158,'Daftar Koreksi'!$G$5:$G$92,"Tanah",'Daftar Koreksi'!$H$5:$H$92,"&lt;0")-SUMIFS('Daftar Koreksi'!$H$5:$H$92,'Daftar Koreksi'!$D$5:$D$92,'1500'!A158,'Daftar Koreksi'!$G$5:$G$92,"Tanah",'Daftar Koreksi'!$H$5:$H$92,"&lt;0")</f>
        <v>0</v>
      </c>
      <c r="G162" s="17">
        <f t="shared" ref="G162:G178" si="7">D162+E162-F162</f>
        <v>3253406000</v>
      </c>
      <c r="H162" s="122"/>
      <c r="I162" s="28"/>
      <c r="J162" s="28"/>
    </row>
    <row r="163" spans="1:10" ht="21.95" customHeight="1">
      <c r="A163" s="14"/>
      <c r="B163" s="14"/>
      <c r="C163" s="16" t="s">
        <v>1167</v>
      </c>
      <c r="D163" s="17">
        <f>VLOOKUP(A158,'Neraca Unaudited SIMAK'!$A$2:$S$10004,5,FALSE)</f>
        <v>1373436500</v>
      </c>
      <c r="E163" s="25">
        <f>SUMIFS('Daftar Koreksi'!$H$5:$H$92,'Daftar Koreksi'!$D$5:$D$92,'1500'!A158,'Daftar Koreksi'!$G$5:$G$92,"Peralatan dan mesin",'Daftar Koreksi'!$H$5:$H$92,"&gt;0")</f>
        <v>0</v>
      </c>
      <c r="F163" s="25">
        <f>SUMIFS('Daftar Koreksi'!$H$5:$H$92,'Daftar Koreksi'!$D$5:$D$92,'1500'!A158,'Daftar Koreksi'!$G$5:$G$92,"Peralatan dan mesin",'Daftar Koreksi'!$H$5:$H$92,"&lt;0")-SUMIFS('Daftar Koreksi'!$H$5:$H$92,'Daftar Koreksi'!$D$5:$D$92,'1500'!A158,'Daftar Koreksi'!$G$5:$G$92,"Peralatan dan mesin",'Daftar Koreksi'!$H$5:$H$92,"&lt;0")-SUMIFS('Daftar Koreksi'!$H$5:$H$92,'Daftar Koreksi'!$D$5:$D$92,'1500'!A158,'Daftar Koreksi'!$G$5:$G$92,"Peralatan dan mesin",'Daftar Koreksi'!$H$5:$H$92,"&lt;0")</f>
        <v>0</v>
      </c>
      <c r="G163" s="17">
        <f t="shared" si="7"/>
        <v>1373436500</v>
      </c>
      <c r="H163" s="122"/>
      <c r="I163" s="28"/>
      <c r="J163" s="28"/>
    </row>
    <row r="164" spans="1:10" ht="21.95" customHeight="1">
      <c r="A164" s="14"/>
      <c r="B164" s="14"/>
      <c r="C164" s="16" t="s">
        <v>1168</v>
      </c>
      <c r="D164" s="17">
        <f>VLOOKUP(A158,'Neraca Unaudited SIMAK'!$A$2:$S$10004,6,FALSE)</f>
        <v>4030277325</v>
      </c>
      <c r="E164" s="25">
        <f>SUMIFS('Daftar Koreksi'!$H$5:$H$92,'Daftar Koreksi'!$D$5:$D$92,'1500'!A158,'Daftar Koreksi'!$G$5:$G$92,"Gedung dan Bangunan",'Daftar Koreksi'!$H$5:$H$92,"&gt;0")</f>
        <v>0</v>
      </c>
      <c r="F164" s="25">
        <f>SUMIFS('Daftar Koreksi'!$H$5:$H$92,'Daftar Koreksi'!$D$5:$D$92,'1500'!A158,'Daftar Koreksi'!$G$5:$G$92,"Gedung dan Bangunan",'Daftar Koreksi'!$H$5:$H$92,"&lt;0")-SUMIFS('Daftar Koreksi'!$H$5:$H$92,'Daftar Koreksi'!$D$5:$D$92,'1500'!A158,'Daftar Koreksi'!$G$5:$G$92,"Gedung dan Bangunan",'Daftar Koreksi'!$H$5:$H$92,"&lt;0")-SUMIFS('Daftar Koreksi'!$H$5:$H$92,'Daftar Koreksi'!$D$5:$D$92,'1500'!A158,'Daftar Koreksi'!$G$5:$G$92,"Gedung dan Bangunan",'Daftar Koreksi'!$H$5:$H$92,"&lt;0")</f>
        <v>0</v>
      </c>
      <c r="G164" s="17">
        <f t="shared" si="7"/>
        <v>4030277325</v>
      </c>
      <c r="H164" s="122"/>
      <c r="I164" s="28"/>
      <c r="J164" s="28"/>
    </row>
    <row r="165" spans="1:10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Koreksi'!$D$5:$D$92,'1500'!A158,'Daftar Koreksi'!$G$5:$G$92,"Jalan Irigasi Jaringan",'Daftar Koreksi'!$H$5:$H$92,"&gt;0")</f>
        <v>0</v>
      </c>
      <c r="F165" s="25">
        <f>SUMIFS('Daftar Koreksi'!$H$5:$H$92,'Daftar Koreksi'!$D$5:$D$92,'1500'!A158,'Daftar Koreksi'!$G$5:$G$92,"Jalan Irigasi Jaringan",'Daftar Koreksi'!$H$5:$H$92,"&lt;0")-SUMIFS('Daftar Koreksi'!$H$5:$H$92,'Daftar Koreksi'!$D$5:$D$92,'1500'!A158,'Daftar Koreksi'!$G$5:$G$92,"Jalan Irigasi Jaringan",'Daftar Koreksi'!$H$5:$H$92,"&lt;0")-SUMIFS('Daftar Koreksi'!$H$5:$H$92,'Daftar Koreksi'!$D$5:$D$92,'1500'!A158,'Daftar Koreksi'!$G$5:$G$92,"Jalan Irigasi Jaringan",'Daftar Koreksi'!$H$5:$H$92,"&lt;0")</f>
        <v>0</v>
      </c>
      <c r="G165" s="17">
        <f t="shared" si="7"/>
        <v>0</v>
      </c>
      <c r="H165" s="122"/>
      <c r="I165" s="28"/>
      <c r="J165" s="28"/>
    </row>
    <row r="166" spans="1:10" ht="21.95" customHeight="1">
      <c r="A166" s="14"/>
      <c r="B166" s="14"/>
      <c r="C166" s="16" t="s">
        <v>1170</v>
      </c>
      <c r="D166" s="17">
        <f>VLOOKUP(A158,'Neraca Unaudited SIMAK'!$A$2:$S$10004,8,FALSE)</f>
        <v>4772118</v>
      </c>
      <c r="E166" s="25">
        <f>SUMIFS('Daftar Koreksi'!$H$5:$H$92,'Daftar Koreksi'!$D$5:$D$92,'1500'!A158,'Daftar Koreksi'!$G$5:$G$92,"Aset Tetap Lainnya",'Daftar Koreksi'!$H$5:$H$92,"&gt;0")</f>
        <v>0</v>
      </c>
      <c r="F166" s="25">
        <f>SUMIFS('Daftar Koreksi'!$H$5:$H$92,'Daftar Koreksi'!$D$5:$D$92,'1500'!A158,'Daftar Koreksi'!$G$5:$G$92,"Aset Tetap Lainnya",'Daftar Koreksi'!$H$5:$H$92,"&lt;0")-SUMIFS('Daftar Koreksi'!$H$5:$H$92,'Daftar Koreksi'!$D$5:$D$92,'1500'!A158,'Daftar Koreksi'!$G$5:$G$92,"Aset Tetap Lainnya",'Daftar Koreksi'!$H$5:$H$92,"&lt;0")-SUMIFS('Daftar Koreksi'!$H$5:$H$92,'Daftar Koreksi'!$D$5:$D$92,'1500'!A158,'Daftar Koreksi'!$G$5:$G$92,"Aset Tetap Lainnya",'Daftar Koreksi'!$H$5:$H$92,"&lt;0")</f>
        <v>0</v>
      </c>
      <c r="G166" s="17">
        <f t="shared" si="7"/>
        <v>4772118</v>
      </c>
      <c r="H166" s="122"/>
      <c r="I166" s="28"/>
      <c r="J166" s="28"/>
    </row>
    <row r="167" spans="1:10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Koreksi'!$D$5:$D$92,'1500'!A158,'Daftar Koreksi'!$G$5:$G$92,"Kontruksi Dalam Pengerjaan",'Daftar Koreksi'!$H$5:$H$92,"&gt;0")</f>
        <v>0</v>
      </c>
      <c r="F167" s="25">
        <f>SUMIFS('Daftar Koreksi'!$H$5:$H$92,'Daftar Koreksi'!$D$5:$D$92,'1500'!A158,'Daftar Koreksi'!$G$5:$G$92,"Kontruksi Dalam Pengerjaan",'Daftar Koreksi'!$H$5:$H$92,"&lt;0")-SUMIFS('Daftar Koreksi'!$H$5:$H$92,'Daftar Koreksi'!$D$5:$D$92,'1500'!A158,'Daftar Koreksi'!$G$5:$G$92,"Kontruksi Dalam Pengerjaan",'Daftar Koreksi'!$H$5:$H$92,"&lt;0")-SUMIFS('Daftar Koreksi'!$H$5:$H$92,'Daftar Koreksi'!$D$5:$D$92,'1500'!A158,'Daftar Koreksi'!$G$5:$G$92,"Kontruksi Dalam Pengerjaan",'Daftar Koreksi'!$H$5:$H$92,"&lt;0")</f>
        <v>0</v>
      </c>
      <c r="G167" s="17">
        <f t="shared" si="7"/>
        <v>0</v>
      </c>
      <c r="H167" s="122"/>
      <c r="I167" s="28"/>
      <c r="J167" s="28"/>
    </row>
    <row r="168" spans="1:10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Koreksi'!$D$5:$D$92,'1500'!A158,'Daftar Koreksi'!$G$5:$G$92,"Aset Tak Berwujud",'Daftar Koreksi'!$H$5:$H$92,"&gt;0")</f>
        <v>0</v>
      </c>
      <c r="F168" s="25">
        <f>SUMIFS('Daftar Koreksi'!$H$5:$H$92,'Daftar Koreksi'!$D$5:$D$92,'1500'!A158,'Daftar Koreksi'!$G$5:$G$92,"Aset Tak Berwujud",'Daftar Koreksi'!$H$5:$H$92,"&lt;0")-SUMIFS('Daftar Koreksi'!$H$5:$H$92,'Daftar Koreksi'!$D$5:$D$92,'1500'!A158,'Daftar Koreksi'!$G$5:$G$92,"Aset Tak Berwujud",'Daftar Koreksi'!$H$5:$H$92,"&lt;0")-SUMIFS('Daftar Koreksi'!$H$5:$H$92,'Daftar Koreksi'!$D$5:$D$92,'1500'!A158,'Daftar Koreksi'!$G$5:$G$92,"Aset Tak Berwujud",'Daftar Koreksi'!$H$5:$H$92,"&lt;0")</f>
        <v>0</v>
      </c>
      <c r="G168" s="17">
        <f t="shared" si="7"/>
        <v>0</v>
      </c>
      <c r="H168" s="122"/>
      <c r="I168" s="28"/>
      <c r="J168" s="28"/>
    </row>
    <row r="169" spans="1:10" ht="21.95" customHeight="1">
      <c r="A169" s="14"/>
      <c r="B169" s="14"/>
      <c r="C169" s="16" t="s">
        <v>1173</v>
      </c>
      <c r="D169" s="17">
        <f>VLOOKUP(A158,'Neraca Unaudited SIMAK'!$A$2:$S$10004,11,FALSE)</f>
        <v>349471717</v>
      </c>
      <c r="E169" s="25">
        <f>SUMIFS('Daftar Koreksi'!$H$5:$H$92,'Daftar Koreksi'!$D$5:$D$92,'1500'!A158,'Daftar Koreksi'!$G$5:$G$92,"Aset Henti Guna",'Daftar Koreksi'!$H$5:$H$92,"&gt;0")</f>
        <v>0</v>
      </c>
      <c r="F169" s="25">
        <f>SUMIFS('Daftar Koreksi'!$H$5:$H$92,'Daftar Koreksi'!$D$5:$D$92,'1500'!A158,'Daftar Koreksi'!$G$5:$G$92,"Aset Henti Guna",'Daftar Koreksi'!$H$5:$H$92,"&lt;0")-SUMIFS('Daftar Koreksi'!$H$5:$H$92,'Daftar Koreksi'!$D$5:$D$92,'1500'!A158,'Daftar Koreksi'!$G$5:$G$92,"Aset Henti Guna",'Daftar Koreksi'!$H$5:$H$92,"&lt;0")-SUMIFS('Daftar Koreksi'!$H$5:$H$92,'Daftar Koreksi'!$D$5:$D$92,'1500'!A158,'Daftar Koreksi'!$G$5:$G$92,"Aset Henti Guna",'Daftar Koreksi'!$H$5:$H$92,"&lt;0")</f>
        <v>0</v>
      </c>
      <c r="G169" s="17">
        <f t="shared" si="7"/>
        <v>349471717</v>
      </c>
      <c r="H169" s="122"/>
      <c r="I169" s="28"/>
      <c r="J169" s="28"/>
    </row>
    <row r="170" spans="1:10" ht="21.95" customHeight="1">
      <c r="A170" s="14"/>
      <c r="B170" s="14"/>
      <c r="C170" s="18" t="s">
        <v>2093</v>
      </c>
      <c r="D170" s="19">
        <f>VLOOKUP(A158,'Neraca Unaudited SIMAK'!$A$2:$S$10004,12,FALSE)</f>
        <v>9011375660</v>
      </c>
      <c r="E170" s="19">
        <f>SUM(E161:E169)</f>
        <v>0</v>
      </c>
      <c r="F170" s="19">
        <f>SUM(F161:F169)</f>
        <v>0</v>
      </c>
      <c r="G170" s="19">
        <f t="shared" si="7"/>
        <v>9011375660</v>
      </c>
      <c r="H170" s="122"/>
      <c r="I170" s="28"/>
      <c r="J170" s="28"/>
    </row>
    <row r="171" spans="1:10" ht="21.95" customHeight="1">
      <c r="A171" s="14"/>
      <c r="B171" s="14"/>
      <c r="C171" s="16" t="s">
        <v>2087</v>
      </c>
      <c r="D171" s="17">
        <f>VLOOKUP(A158,'Neraca Unaudited SIMAK'!$A$2:$S$10004,13,FALSE)</f>
        <v>-993283433</v>
      </c>
      <c r="E171" s="25">
        <f>SUMIFS('Daftar Koreksi'!$I$5:$I$92,'Daftar Koreksi'!$D$5:$D$92,'1500'!A158,'Daftar Koreksi'!$G$5:$G$92,"Peralatan dan mesin",'Daftar Koreksi'!$I$5:$I$92,"&gt;0")</f>
        <v>0</v>
      </c>
      <c r="F171" s="25">
        <f>SUMIFS('Daftar Koreksi'!$I$5:$I$92,'Daftar Koreksi'!$D$5:$D$92,'1500'!A158,'Daftar Koreksi'!$G$5:$G$92,"Peralatan dan mesin",'Daftar Koreksi'!$I$5:$I$92,"&lt;0")-SUMIFS('Daftar Koreksi'!$I$5:$I$92,'Daftar Koreksi'!$D$5:$D$92,'1500'!A158,'Daftar Koreksi'!$G$5:$G$92,"Peralatan dan mesin",'Daftar Koreksi'!$I$5:$I$92,"&lt;0")-SUMIFS('Daftar Koreksi'!$I$5:$I$92,'Daftar Koreksi'!$D$5:$D$92,'1500'!A158,'Daftar Koreksi'!$G$5:$G$92,"Peralatan dan mesin",'Daftar Koreksi'!$I$5:$I$92,"&lt;0")</f>
        <v>0</v>
      </c>
      <c r="G171" s="17">
        <f t="shared" si="7"/>
        <v>-993283433</v>
      </c>
      <c r="H171" s="122"/>
      <c r="I171" s="28"/>
      <c r="J171" s="28"/>
    </row>
    <row r="172" spans="1:10" ht="21.95" customHeight="1">
      <c r="A172" s="14"/>
      <c r="B172" s="14"/>
      <c r="C172" s="16" t="s">
        <v>2088</v>
      </c>
      <c r="D172" s="17">
        <f>VLOOKUP(A158,'Neraca Unaudited SIMAK'!$A$2:$S$10004,14,FALSE)</f>
        <v>-1069933864</v>
      </c>
      <c r="E172" s="25">
        <f>SUMIFS('Daftar Koreksi'!$I$5:$I$92,'Daftar Koreksi'!$D$5:$D$92,'1500'!A158,'Daftar Koreksi'!$G$5:$G$92,"Gedung dan Bangunan",'Daftar Koreksi'!$I$5:$I$92,"&gt;0")</f>
        <v>0</v>
      </c>
      <c r="F172" s="25">
        <f>SUMIFS('Daftar Koreksi'!$I$5:$I$92,'Daftar Koreksi'!$D$5:$D$92,'1500'!A158,'Daftar Koreksi'!$G$5:$G$92,"Gedung dan Bangunan",'Daftar Koreksi'!$I$5:$I$92,"&lt;0")-SUMIFS('Daftar Koreksi'!$I$5:$I$92,'Daftar Koreksi'!$D$5:$D$92,'1500'!A158,'Daftar Koreksi'!$G$5:$G$92,"Gedung dan Bangunan",'Daftar Koreksi'!$I$5:$I$92,"&lt;0")-SUMIFS('Daftar Koreksi'!$I$5:$I$92,'Daftar Koreksi'!$D$5:$D$92,'1500'!A158,'Daftar Koreksi'!$G$5:$G$92,"Gedung dan Bangunan",'Daftar Koreksi'!$I$5:$I$92,"&lt;0")</f>
        <v>0</v>
      </c>
      <c r="G172" s="17">
        <f t="shared" si="7"/>
        <v>-1069933864</v>
      </c>
      <c r="H172" s="122"/>
      <c r="I172" s="28"/>
      <c r="J172" s="28"/>
    </row>
    <row r="173" spans="1:10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Koreksi'!$D$5:$D$92,'1500'!A158,'Daftar Koreksi'!$G$5:$G$92,"Jalan Irigasi Jaringan",'Daftar Koreksi'!$I$5:$I$92,"&gt;0")</f>
        <v>0</v>
      </c>
      <c r="F173" s="25">
        <f>SUMIFS('Daftar Koreksi'!$I$5:$I$92,'Daftar Koreksi'!$D$5:$D$92,'1500'!A158,'Daftar Koreksi'!$G$5:$G$92,"Jalan Irigasi Jaringan",'Daftar Koreksi'!$I$5:$I$92,"&lt;0")-SUMIFS('Daftar Koreksi'!$I$5:$I$92,'Daftar Koreksi'!$D$5:$D$92,'1500'!A158,'Daftar Koreksi'!$G$5:$G$92,"Jalan Irigasi Jaringan",'Daftar Koreksi'!$I$5:$I$92,"&lt;0")-SUMIFS('Daftar Koreksi'!$I$5:$I$92,'Daftar Koreksi'!$D$5:$D$92,'1500'!A158,'Daftar Koreksi'!$G$5:$G$92,"Jalan Irigasi Jaringan",'Daftar Koreksi'!$I$5:$I$92,"&lt;0")</f>
        <v>0</v>
      </c>
      <c r="G173" s="17">
        <f t="shared" si="7"/>
        <v>0</v>
      </c>
      <c r="H173" s="122"/>
      <c r="I173" s="28"/>
      <c r="J173" s="28"/>
    </row>
    <row r="174" spans="1:10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Koreksi'!$D$5:$D$92,'1500'!A158,'Daftar Koreksi'!$G$5:$G$92,"Aset Tetap Lainnya",'Daftar Koreksi'!$I$5:$I$92,"&gt;0")</f>
        <v>0</v>
      </c>
      <c r="F174" s="25">
        <f>SUMIFS('Daftar Koreksi'!$I$5:$I$92,'Daftar Koreksi'!$D$5:$D$92,'1500'!A158,'Daftar Koreksi'!$G$5:$G$92,"Aset Tetap Lainnya",'Daftar Koreksi'!$I$5:$I$92,"&lt;0")-SUMIFS('Daftar Koreksi'!$I$5:$I$92,'Daftar Koreksi'!$D$5:$D$92,'1500'!A158,'Daftar Koreksi'!$G$5:$G$92,"Aset Tetap Lainnya",'Daftar Koreksi'!$I$5:$I$92,"&lt;0")-SUMIFS('Daftar Koreksi'!$I$5:$I$92,'Daftar Koreksi'!$D$5:$D$92,'1500'!A158,'Daftar Koreksi'!$G$5:$G$92,"Aset Tetap Lainnya",'Daftar Koreksi'!$I$5:$I$92,"&lt;0")</f>
        <v>0</v>
      </c>
      <c r="G174" s="17">
        <f t="shared" si="7"/>
        <v>0</v>
      </c>
      <c r="H174" s="122"/>
      <c r="I174" s="28"/>
      <c r="J174" s="28"/>
    </row>
    <row r="175" spans="1:10" ht="21.95" customHeight="1">
      <c r="A175" s="14"/>
      <c r="B175" s="14"/>
      <c r="C175" s="16" t="s">
        <v>2020</v>
      </c>
      <c r="D175" s="17">
        <f>VLOOKUP(A158,'Neraca Unaudited SIMAK'!$A$2:$S$10004,17,FALSE)</f>
        <v>-312391550</v>
      </c>
      <c r="E175" s="25">
        <f>SUMIFS('Daftar Koreksi'!$I$5:$I$92,'Daftar Koreksi'!$D$5:$D$92,'1500'!A158,'Daftar Koreksi'!$G$5:$G$92,"Aset Henti Guna",'Daftar Koreksi'!$I$5:$I$92,"&gt;0")</f>
        <v>0</v>
      </c>
      <c r="F175" s="25">
        <f>SUMIFS('Daftar Koreksi'!$I$5:$I$92,'Daftar Koreksi'!$D$5:$D$92,'1500'!A158,'Daftar Koreksi'!$G$5:$G$92,"Aset Henti Guna",'Daftar Koreksi'!$I$5:$I$92,"&lt;0")-SUMIFS('Daftar Koreksi'!$I$5:$I$92,'Daftar Koreksi'!$D$5:$D$92,'1500'!A158,'Daftar Koreksi'!$G$5:$G$92,"Aset Henti Guna",'Daftar Koreksi'!$I$5:$I$92,"&lt;0")-SUMIFS('Daftar Koreksi'!$I$5:$I$92,'Daftar Koreksi'!$D$5:$D$92,'1500'!A158,'Daftar Koreksi'!$G$5:$G$92,"Aset Henti Guna",'Daftar Koreksi'!$I$5:$I$92,"&lt;0")</f>
        <v>0</v>
      </c>
      <c r="G175" s="17">
        <f t="shared" si="7"/>
        <v>-312391550</v>
      </c>
      <c r="H175" s="122"/>
      <c r="I175" s="28"/>
      <c r="J175" s="28"/>
    </row>
    <row r="176" spans="1:10" ht="21.95" customHeight="1">
      <c r="A176" s="14"/>
      <c r="B176" s="14"/>
      <c r="C176" s="18" t="s">
        <v>2094</v>
      </c>
      <c r="D176" s="19">
        <f>SUM(D171:D175)</f>
        <v>-2375608847</v>
      </c>
      <c r="E176" s="19">
        <f>SUM(E171:E175)</f>
        <v>0</v>
      </c>
      <c r="F176" s="19">
        <f>SUM(F171:F175)</f>
        <v>0</v>
      </c>
      <c r="G176" s="19">
        <f t="shared" si="7"/>
        <v>-2375608847</v>
      </c>
      <c r="H176" s="122"/>
      <c r="I176" s="28"/>
      <c r="J176" s="28"/>
    </row>
    <row r="177" spans="1:10" ht="21.95" customHeight="1">
      <c r="A177" s="14"/>
      <c r="B177" s="14"/>
      <c r="C177" s="18" t="s">
        <v>2095</v>
      </c>
      <c r="D177" s="19">
        <f>VLOOKUP(A158,'Neraca Unaudited SIMAK'!$A$2:$S$10004,18,FALSE)</f>
        <v>6635766813</v>
      </c>
      <c r="E177" s="19">
        <f>E176+E170</f>
        <v>0</v>
      </c>
      <c r="F177" s="19">
        <f>F176+F170</f>
        <v>0</v>
      </c>
      <c r="G177" s="19">
        <f t="shared" si="7"/>
        <v>6635766813</v>
      </c>
      <c r="H177" s="122"/>
      <c r="I177" s="28"/>
      <c r="J177" s="28"/>
    </row>
    <row r="178" spans="1:10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  <c r="I178" s="28"/>
      <c r="J178" s="28"/>
    </row>
    <row r="180" spans="1:10" ht="19.5" customHeight="1">
      <c r="A180" s="11" t="str">
        <f>O9</f>
        <v>005011500099265000KD</v>
      </c>
      <c r="B180" s="11" t="str">
        <f>P9</f>
        <v>PN. Rantau</v>
      </c>
      <c r="C180" s="12" t="str">
        <f>A180&amp;" "&amp;B180</f>
        <v>005011500099265000KD PN. Rantau</v>
      </c>
      <c r="D180" s="13"/>
      <c r="E180" s="13"/>
      <c r="F180" s="13"/>
      <c r="G180" s="13"/>
      <c r="H180" s="11"/>
    </row>
    <row r="181" spans="1:10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0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0" ht="21.95" customHeight="1">
      <c r="A183" s="14"/>
      <c r="B183" s="14"/>
      <c r="C183" s="16" t="s">
        <v>1165</v>
      </c>
      <c r="D183" s="17">
        <f>VLOOKUP(A180,'Neraca Unaudited SIMAK'!$A$2:$S$10004,3,FALSE)</f>
        <v>0</v>
      </c>
      <c r="E183" s="25">
        <f>SUMIFS('Daftar Koreksi'!$H$5:$H$92,'Daftar Koreksi'!$D$5:$D$92,'1500'!A180,'Daftar Koreksi'!$G$5:$G$92,"Persediaan",'Daftar Koreksi'!$H$5:$H$92,"&gt;0")</f>
        <v>0</v>
      </c>
      <c r="F183" s="25">
        <f>SUMIFS('Daftar Koreksi'!$H$5:$H$92,'Daftar Koreksi'!$D$5:$D$92,'1500'!A180,'Daftar Koreksi'!$G$5:$G$92,"Persediaan",'Daftar Koreksi'!$H$5:$H$92,"&lt;0")-SUMIFS('Daftar Koreksi'!$H$5:$H$92,'Daftar Koreksi'!$D$5:$D$92,'1500'!A180,'Daftar Koreksi'!$G$5:$G$92,"Persediaan",'Daftar Koreksi'!$H$5:$H$92,"&lt;0")-SUMIFS('Daftar Koreksi'!$H$5:$H$92,'Daftar Koreksi'!$D$5:$D$92,'1500'!A180,'Daftar Koreksi'!$G$5:$G$92,"Persediaan",'Daftar Koreksi'!$H$5:$H$92,"&lt;0")</f>
        <v>0</v>
      </c>
      <c r="G183" s="17">
        <f>D183+E183-F183</f>
        <v>0</v>
      </c>
      <c r="H183" s="121" t="str">
        <f>IF(ISNA(VLOOKUP(A180,'Mutasi Neraca'!$A$3:$S$914,19,FALSE)),"-",VLOOKUP(A180,'Mutasi Neraca'!$A$3:$S$914,19,FALSE))</f>
        <v>-</v>
      </c>
    </row>
    <row r="184" spans="1:10" ht="21.95" customHeight="1">
      <c r="A184" s="14"/>
      <c r="B184" s="14"/>
      <c r="C184" s="16" t="s">
        <v>1166</v>
      </c>
      <c r="D184" s="17">
        <f>VLOOKUP(A180,'Neraca Unaudited SIMAK'!$A$2:$S$10004,4,FALSE)</f>
        <v>1783348000</v>
      </c>
      <c r="E184" s="25">
        <f>SUMIFS('Daftar Koreksi'!$H$5:$H$92,'Daftar Koreksi'!$D$5:$D$92,'1500'!A180,'Daftar Koreksi'!$G$5:$G$92,"Tanah",'Daftar Koreksi'!$H$5:$H$92,"&gt;0")</f>
        <v>0</v>
      </c>
      <c r="F184" s="25">
        <f>SUMIFS('Daftar Koreksi'!$H$5:$H$92,'Daftar Koreksi'!$D$5:$D$92,'1500'!A180,'Daftar Koreksi'!$G$5:$G$92,"Tanah",'Daftar Koreksi'!$H$5:$H$92,"&lt;0")-SUMIFS('Daftar Koreksi'!$H$5:$H$92,'Daftar Koreksi'!$D$5:$D$92,'1500'!A180,'Daftar Koreksi'!$G$5:$G$92,"Tanah",'Daftar Koreksi'!$H$5:$H$92,"&lt;0")-SUMIFS('Daftar Koreksi'!$H$5:$H$92,'Daftar Koreksi'!$D$5:$D$92,'1500'!A180,'Daftar Koreksi'!$G$5:$G$92,"Tanah",'Daftar Koreksi'!$H$5:$H$92,"&lt;0")</f>
        <v>0</v>
      </c>
      <c r="G184" s="17">
        <f t="shared" ref="G184:G200" si="8">D184+E184-F184</f>
        <v>1783348000</v>
      </c>
      <c r="H184" s="122"/>
    </row>
    <row r="185" spans="1:10" ht="21.95" customHeight="1">
      <c r="A185" s="14"/>
      <c r="B185" s="14"/>
      <c r="C185" s="16" t="s">
        <v>1167</v>
      </c>
      <c r="D185" s="17">
        <f>VLOOKUP(A180,'Neraca Unaudited SIMAK'!$A$2:$S$10004,5,FALSE)</f>
        <v>1472260903</v>
      </c>
      <c r="E185" s="25">
        <f>SUMIFS('Daftar Koreksi'!$H$5:$H$92,'Daftar Koreksi'!$D$5:$D$92,'1500'!A180,'Daftar Koreksi'!$G$5:$G$92,"Peralatan dan mesin",'Daftar Koreksi'!$H$5:$H$92,"&gt;0")</f>
        <v>0</v>
      </c>
      <c r="F185" s="25">
        <f>SUMIFS('Daftar Koreksi'!$H$5:$H$92,'Daftar Koreksi'!$D$5:$D$92,'1500'!A180,'Daftar Koreksi'!$G$5:$G$92,"Peralatan dan mesin",'Daftar Koreksi'!$H$5:$H$92,"&lt;0")-SUMIFS('Daftar Koreksi'!$H$5:$H$92,'Daftar Koreksi'!$D$5:$D$92,'1500'!A180,'Daftar Koreksi'!$G$5:$G$92,"Peralatan dan mesin",'Daftar Koreksi'!$H$5:$H$92,"&lt;0")-SUMIFS('Daftar Koreksi'!$H$5:$H$92,'Daftar Koreksi'!$D$5:$D$92,'1500'!A180,'Daftar Koreksi'!$G$5:$G$92,"Peralatan dan mesin",'Daftar Koreksi'!$H$5:$H$92,"&lt;0")</f>
        <v>0</v>
      </c>
      <c r="G185" s="17">
        <f t="shared" si="8"/>
        <v>1472260903</v>
      </c>
      <c r="H185" s="122"/>
    </row>
    <row r="186" spans="1:10" ht="21.95" customHeight="1">
      <c r="A186" s="14"/>
      <c r="B186" s="14"/>
      <c r="C186" s="16" t="s">
        <v>1168</v>
      </c>
      <c r="D186" s="17">
        <f>VLOOKUP(A180,'Neraca Unaudited SIMAK'!$A$2:$S$10004,6,FALSE)</f>
        <v>4319626000</v>
      </c>
      <c r="E186" s="25">
        <f>SUMIFS('Daftar Koreksi'!$H$5:$H$92,'Daftar Koreksi'!$D$5:$D$92,'1500'!A180,'Daftar Koreksi'!$G$5:$G$92,"Gedung dan Bangunan",'Daftar Koreksi'!$H$5:$H$92,"&gt;0")</f>
        <v>0</v>
      </c>
      <c r="F186" s="25">
        <f>SUMIFS('Daftar Koreksi'!$H$5:$H$92,'Daftar Koreksi'!$D$5:$D$92,'1500'!A180,'Daftar Koreksi'!$G$5:$G$92,"Gedung dan Bangunan",'Daftar Koreksi'!$H$5:$H$92,"&lt;0")-SUMIFS('Daftar Koreksi'!$H$5:$H$92,'Daftar Koreksi'!$D$5:$D$92,'1500'!A180,'Daftar Koreksi'!$G$5:$G$92,"Gedung dan Bangunan",'Daftar Koreksi'!$H$5:$H$92,"&lt;0")-SUMIFS('Daftar Koreksi'!$H$5:$H$92,'Daftar Koreksi'!$D$5:$D$92,'1500'!A180,'Daftar Koreksi'!$G$5:$G$92,"Gedung dan Bangunan",'Daftar Koreksi'!$H$5:$H$92,"&lt;0")</f>
        <v>0</v>
      </c>
      <c r="G186" s="17">
        <f t="shared" si="8"/>
        <v>4319626000</v>
      </c>
      <c r="H186" s="122"/>
    </row>
    <row r="187" spans="1:10" ht="21.95" customHeight="1">
      <c r="A187" s="14"/>
      <c r="B187" s="14"/>
      <c r="C187" s="16" t="s">
        <v>1169</v>
      </c>
      <c r="D187" s="17">
        <f>VLOOKUP(A180,'Neraca Unaudited SIMAK'!$A$2:$S$10004,7,FALSE)</f>
        <v>29307000</v>
      </c>
      <c r="E187" s="25">
        <f>SUMIFS('Daftar Koreksi'!$H$5:$H$92,'Daftar Koreksi'!$D$5:$D$92,'1500'!A180,'Daftar Koreksi'!$G$5:$G$92,"Jalan Irigasi Jaringan",'Daftar Koreksi'!$H$5:$H$92,"&gt;0")</f>
        <v>0</v>
      </c>
      <c r="F187" s="25">
        <f>SUMIFS('Daftar Koreksi'!$H$5:$H$92,'Daftar Koreksi'!$D$5:$D$92,'1500'!A180,'Daftar Koreksi'!$G$5:$G$92,"Jalan Irigasi Jaringan",'Daftar Koreksi'!$H$5:$H$92,"&lt;0")-SUMIFS('Daftar Koreksi'!$H$5:$H$92,'Daftar Koreksi'!$D$5:$D$92,'1500'!A180,'Daftar Koreksi'!$G$5:$G$92,"Jalan Irigasi Jaringan",'Daftar Koreksi'!$H$5:$H$92,"&lt;0")-SUMIFS('Daftar Koreksi'!$H$5:$H$92,'Daftar Koreksi'!$D$5:$D$92,'1500'!A180,'Daftar Koreksi'!$G$5:$G$92,"Jalan Irigasi Jaringan",'Daftar Koreksi'!$H$5:$H$92,"&lt;0")</f>
        <v>0</v>
      </c>
      <c r="G187" s="17">
        <f t="shared" si="8"/>
        <v>29307000</v>
      </c>
      <c r="H187" s="122"/>
    </row>
    <row r="188" spans="1:10" ht="21.95" customHeight="1">
      <c r="A188" s="14"/>
      <c r="B188" s="14"/>
      <c r="C188" s="16" t="s">
        <v>1170</v>
      </c>
      <c r="D188" s="17">
        <f>VLOOKUP(A180,'Neraca Unaudited SIMAK'!$A$2:$S$10004,8,FALSE)</f>
        <v>24193440</v>
      </c>
      <c r="E188" s="25">
        <f>SUMIFS('Daftar Koreksi'!$H$5:$H$92,'Daftar Koreksi'!$D$5:$D$92,'1500'!A180,'Daftar Koreksi'!$G$5:$G$92,"Aset Tetap Lainnya",'Daftar Koreksi'!$H$5:$H$92,"&gt;0")</f>
        <v>0</v>
      </c>
      <c r="F188" s="25">
        <f>SUMIFS('Daftar Koreksi'!$H$5:$H$92,'Daftar Koreksi'!$D$5:$D$92,'1500'!A180,'Daftar Koreksi'!$G$5:$G$92,"Aset Tetap Lainnya",'Daftar Koreksi'!$H$5:$H$92,"&lt;0")-SUMIFS('Daftar Koreksi'!$H$5:$H$92,'Daftar Koreksi'!$D$5:$D$92,'1500'!A180,'Daftar Koreksi'!$G$5:$G$92,"Aset Tetap Lainnya",'Daftar Koreksi'!$H$5:$H$92,"&lt;0")-SUMIFS('Daftar Koreksi'!$H$5:$H$92,'Daftar Koreksi'!$D$5:$D$92,'1500'!A180,'Daftar Koreksi'!$G$5:$G$92,"Aset Tetap Lainnya",'Daftar Koreksi'!$H$5:$H$92,"&lt;0")</f>
        <v>0</v>
      </c>
      <c r="G188" s="17">
        <f t="shared" si="8"/>
        <v>24193440</v>
      </c>
      <c r="H188" s="122"/>
    </row>
    <row r="189" spans="1:10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Koreksi'!$D$5:$D$92,'1500'!A180,'Daftar Koreksi'!$G$5:$G$92,"Kontruksi Dalam Pengerjaan",'Daftar Koreksi'!$H$5:$H$92,"&gt;0")</f>
        <v>0</v>
      </c>
      <c r="F189" s="25">
        <f>SUMIFS('Daftar Koreksi'!$H$5:$H$92,'Daftar Koreksi'!$D$5:$D$92,'1500'!A180,'Daftar Koreksi'!$G$5:$G$92,"Kontruksi Dalam Pengerjaan",'Daftar Koreksi'!$H$5:$H$92,"&lt;0")-SUMIFS('Daftar Koreksi'!$H$5:$H$92,'Daftar Koreksi'!$D$5:$D$92,'1500'!A180,'Daftar Koreksi'!$G$5:$G$92,"Kontruksi Dalam Pengerjaan",'Daftar Koreksi'!$H$5:$H$92,"&lt;0")-SUMIFS('Daftar Koreksi'!$H$5:$H$92,'Daftar Koreksi'!$D$5:$D$92,'1500'!A180,'Daftar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10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Koreksi'!$D$5:$D$92,'1500'!A180,'Daftar Koreksi'!$G$5:$G$92,"Aset Tak Berwujud",'Daftar Koreksi'!$H$5:$H$92,"&gt;0")</f>
        <v>0</v>
      </c>
      <c r="F190" s="25">
        <f>SUMIFS('Daftar Koreksi'!$H$5:$H$92,'Daftar Koreksi'!$D$5:$D$92,'1500'!A180,'Daftar Koreksi'!$G$5:$G$92,"Aset Tak Berwujud",'Daftar Koreksi'!$H$5:$H$92,"&lt;0")-SUMIFS('Daftar Koreksi'!$H$5:$H$92,'Daftar Koreksi'!$D$5:$D$92,'1500'!A180,'Daftar Koreksi'!$G$5:$G$92,"Aset Tak Berwujud",'Daftar Koreksi'!$H$5:$H$92,"&lt;0")-SUMIFS('Daftar Koreksi'!$H$5:$H$92,'Daftar Koreksi'!$D$5:$D$92,'1500'!A180,'Daftar Koreksi'!$G$5:$G$92,"Aset Tak Berwujud",'Daftar Koreksi'!$H$5:$H$92,"&lt;0")</f>
        <v>0</v>
      </c>
      <c r="G190" s="17">
        <f t="shared" si="8"/>
        <v>0</v>
      </c>
      <c r="H190" s="122"/>
    </row>
    <row r="191" spans="1:10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Koreksi'!$D$5:$D$92,'1500'!A180,'Daftar Koreksi'!$G$5:$G$92,"Aset Henti Guna",'Daftar Koreksi'!$H$5:$H$92,"&gt;0")</f>
        <v>0</v>
      </c>
      <c r="F191" s="25">
        <f>SUMIFS('Daftar Koreksi'!$H$5:$H$92,'Daftar Koreksi'!$D$5:$D$92,'1500'!A180,'Daftar Koreksi'!$G$5:$G$92,"Aset Henti Guna",'Daftar Koreksi'!$H$5:$H$92,"&lt;0")-SUMIFS('Daftar Koreksi'!$H$5:$H$92,'Daftar Koreksi'!$D$5:$D$92,'1500'!A180,'Daftar Koreksi'!$G$5:$G$92,"Aset Henti Guna",'Daftar Koreksi'!$H$5:$H$92,"&lt;0")-SUMIFS('Daftar Koreksi'!$H$5:$H$92,'Daftar Koreksi'!$D$5:$D$92,'1500'!A180,'Daftar Koreksi'!$G$5:$G$92,"Aset Henti Guna",'Daftar Koreksi'!$H$5:$H$92,"&lt;0")</f>
        <v>0</v>
      </c>
      <c r="G191" s="17">
        <f t="shared" si="8"/>
        <v>0</v>
      </c>
      <c r="H191" s="122"/>
    </row>
    <row r="192" spans="1:10" ht="21.95" customHeight="1">
      <c r="A192" s="14"/>
      <c r="B192" s="14"/>
      <c r="C192" s="18" t="s">
        <v>2093</v>
      </c>
      <c r="D192" s="19">
        <f>VLOOKUP(A180,'Neraca Unaudited SIMAK'!$A$2:$S$10004,12,FALSE)</f>
        <v>7628735343</v>
      </c>
      <c r="E192" s="19">
        <f>SUM(E183:E191)</f>
        <v>0</v>
      </c>
      <c r="F192" s="19">
        <f>SUM(F183:F191)</f>
        <v>0</v>
      </c>
      <c r="G192" s="19">
        <f t="shared" si="8"/>
        <v>7628735343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-1153748974</v>
      </c>
      <c r="E193" s="25">
        <f>SUMIFS('Daftar Koreksi'!$I$5:$I$92,'Daftar Koreksi'!$D$5:$D$92,'1500'!A180,'Daftar Koreksi'!$G$5:$G$92,"Peralatan dan mesin",'Daftar Koreksi'!$I$5:$I$92,"&gt;0")</f>
        <v>0</v>
      </c>
      <c r="F193" s="25">
        <f>SUMIFS('Daftar Koreksi'!$I$5:$I$92,'Daftar Koreksi'!$D$5:$D$92,'1500'!A180,'Daftar Koreksi'!$G$5:$G$92,"Peralatan dan mesin",'Daftar Koreksi'!$I$5:$I$92,"&lt;0")-SUMIFS('Daftar Koreksi'!$I$5:$I$92,'Daftar Koreksi'!$D$5:$D$92,'1500'!A180,'Daftar Koreksi'!$G$5:$G$92,"Peralatan dan mesin",'Daftar Koreksi'!$I$5:$I$92,"&lt;0")-SUMIFS('Daftar Koreksi'!$I$5:$I$92,'Daftar Koreksi'!$D$5:$D$92,'1500'!A180,'Daftar Koreksi'!$G$5:$G$92,"Peralatan dan mesin",'Daftar Koreksi'!$I$5:$I$92,"&lt;0")</f>
        <v>0</v>
      </c>
      <c r="G193" s="17">
        <f t="shared" si="8"/>
        <v>-1153748974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-708134927</v>
      </c>
      <c r="E194" s="25">
        <f>SUMIFS('Daftar Koreksi'!$I$5:$I$92,'Daftar Koreksi'!$D$5:$D$92,'1500'!A180,'Daftar Koreksi'!$G$5:$G$92,"Gedung dan Bangunan",'Daftar Koreksi'!$I$5:$I$92,"&gt;0")</f>
        <v>0</v>
      </c>
      <c r="F194" s="25">
        <f>SUMIFS('Daftar Koreksi'!$I$5:$I$92,'Daftar Koreksi'!$D$5:$D$92,'1500'!A180,'Daftar Koreksi'!$G$5:$G$92,"Gedung dan Bangunan",'Daftar Koreksi'!$I$5:$I$92,"&lt;0")-SUMIFS('Daftar Koreksi'!$I$5:$I$92,'Daftar Koreksi'!$D$5:$D$92,'1500'!A180,'Daftar Koreksi'!$G$5:$G$92,"Gedung dan Bangunan",'Daftar Koreksi'!$I$5:$I$92,"&lt;0")-SUMIFS('Daftar Koreksi'!$I$5:$I$92,'Daftar Koreksi'!$D$5:$D$92,'1500'!A180,'Daftar Koreksi'!$G$5:$G$92,"Gedung dan Bangunan",'Daftar Koreksi'!$I$5:$I$92,"&lt;0")</f>
        <v>0</v>
      </c>
      <c r="G194" s="17">
        <f t="shared" si="8"/>
        <v>-708134927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-4396050</v>
      </c>
      <c r="E195" s="25">
        <f>SUMIFS('Daftar Koreksi'!$I$5:$I$92,'Daftar Koreksi'!$D$5:$D$92,'1500'!A180,'Daftar Koreksi'!$G$5:$G$92,"Jalan Irigasi Jaringan",'Daftar Koreksi'!$I$5:$I$92,"&gt;0")</f>
        <v>0</v>
      </c>
      <c r="F195" s="25">
        <f>SUMIFS('Daftar Koreksi'!$I$5:$I$92,'Daftar Koreksi'!$D$5:$D$92,'1500'!A180,'Daftar Koreksi'!$G$5:$G$92,"Jalan Irigasi Jaringan",'Daftar Koreksi'!$I$5:$I$92,"&lt;0")-SUMIFS('Daftar Koreksi'!$I$5:$I$92,'Daftar Koreksi'!$D$5:$D$92,'1500'!A180,'Daftar Koreksi'!$G$5:$G$92,"Jalan Irigasi Jaringan",'Daftar Koreksi'!$I$5:$I$92,"&lt;0")-SUMIFS('Daftar Koreksi'!$I$5:$I$92,'Daftar Koreksi'!$D$5:$D$92,'1500'!A180,'Daftar Koreksi'!$G$5:$G$92,"Jalan Irigasi Jaringan",'Daftar Koreksi'!$I$5:$I$92,"&lt;0")</f>
        <v>0</v>
      </c>
      <c r="G195" s="17">
        <f t="shared" si="8"/>
        <v>-4396050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Koreksi'!$D$5:$D$92,'1500'!A180,'Daftar Koreksi'!$G$5:$G$92,"Aset Tetap Lainnya",'Daftar Koreksi'!$I$5:$I$92,"&gt;0")</f>
        <v>0</v>
      </c>
      <c r="F196" s="25">
        <f>SUMIFS('Daftar Koreksi'!$I$5:$I$92,'Daftar Koreksi'!$D$5:$D$92,'1500'!A180,'Daftar Koreksi'!$G$5:$G$92,"Aset Tetap Lainnya",'Daftar Koreksi'!$I$5:$I$92,"&lt;0")-SUMIFS('Daftar Koreksi'!$I$5:$I$92,'Daftar Koreksi'!$D$5:$D$92,'1500'!A180,'Daftar Koreksi'!$G$5:$G$92,"Aset Tetap Lainnya",'Daftar Koreksi'!$I$5:$I$92,"&lt;0")-SUMIFS('Daftar Koreksi'!$I$5:$I$92,'Daftar Koreksi'!$D$5:$D$92,'1500'!A180,'Daftar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Koreksi'!$D$5:$D$92,'1500'!A180,'Daftar Koreksi'!$G$5:$G$92,"Aset Henti Guna",'Daftar Koreksi'!$I$5:$I$92,"&gt;0")</f>
        <v>0</v>
      </c>
      <c r="F197" s="25">
        <f>SUMIFS('Daftar Koreksi'!$I$5:$I$92,'Daftar Koreksi'!$D$5:$D$92,'1500'!A180,'Daftar Koreksi'!$G$5:$G$92,"Aset Henti Guna",'Daftar Koreksi'!$I$5:$I$92,"&lt;0")-SUMIFS('Daftar Koreksi'!$I$5:$I$92,'Daftar Koreksi'!$D$5:$D$92,'1500'!A180,'Daftar Koreksi'!$G$5:$G$92,"Aset Henti Guna",'Daftar Koreksi'!$I$5:$I$92,"&lt;0")-SUMIFS('Daftar Koreksi'!$I$5:$I$92,'Daftar Koreksi'!$D$5:$D$92,'1500'!A180,'Daftar Koreksi'!$G$5:$G$92,"Aset Henti Guna",'Daftar Koreksi'!$I$5:$I$92,"&lt;0")</f>
        <v>0</v>
      </c>
      <c r="G197" s="17">
        <f t="shared" si="8"/>
        <v>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-1866279951</v>
      </c>
      <c r="E198" s="19">
        <f>SUM(E193:E197)</f>
        <v>0</v>
      </c>
      <c r="F198" s="19">
        <f>SUM(F193:F197)</f>
        <v>0</v>
      </c>
      <c r="G198" s="19">
        <f t="shared" si="8"/>
        <v>-1866279951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5762455392</v>
      </c>
      <c r="E199" s="19">
        <f>E198+E192</f>
        <v>0</v>
      </c>
      <c r="F199" s="19">
        <f>F198+F192</f>
        <v>0</v>
      </c>
      <c r="G199" s="19">
        <f t="shared" si="8"/>
        <v>5762455392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005011500307101000KD</v>
      </c>
      <c r="B202" s="11" t="str">
        <f>P10</f>
        <v>PA. Marabahan</v>
      </c>
      <c r="C202" s="12" t="str">
        <f>A202&amp;" "&amp;B202</f>
        <v>005011500307101000KD PA. Marabahan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4095644</v>
      </c>
      <c r="E205" s="25">
        <f>SUMIFS('Daftar Koreksi'!$H$5:$H$92,'Daftar Koreksi'!$D$5:$D$92,'1500'!A202,'Daftar Koreksi'!$G$5:$G$92,"Persediaan",'Daftar Koreksi'!$H$5:$H$92,"&gt;0")</f>
        <v>0</v>
      </c>
      <c r="F205" s="25">
        <f>SUMIFS('Daftar Koreksi'!$H$5:$H$92,'Daftar Koreksi'!$D$5:$D$92,'1500'!A202,'Daftar Koreksi'!$G$5:$G$92,"Persediaan",'Daftar Koreksi'!$H$5:$H$92,"&lt;0")-SUMIFS('Daftar Koreksi'!$H$5:$H$92,'Daftar Koreksi'!$D$5:$D$92,'1500'!A202,'Daftar Koreksi'!$G$5:$G$92,"Persediaan",'Daftar Koreksi'!$H$5:$H$92,"&lt;0")-SUMIFS('Daftar Koreksi'!$H$5:$H$92,'Daftar Koreksi'!$D$5:$D$92,'1500'!A202,'Daftar Koreksi'!$G$5:$G$92,"Persediaan",'Daftar Koreksi'!$H$5:$H$92,"&lt;0")</f>
        <v>0</v>
      </c>
      <c r="G205" s="17">
        <f>D205+E205-F205</f>
        <v>4095644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501265000</v>
      </c>
      <c r="E206" s="25">
        <f>SUMIFS('Daftar Koreksi'!$H$5:$H$92,'Daftar Koreksi'!$D$5:$D$92,'1500'!A202,'Daftar Koreksi'!$G$5:$G$92,"Tanah",'Daftar Koreksi'!$H$5:$H$92,"&gt;0")</f>
        <v>0</v>
      </c>
      <c r="F206" s="25">
        <f>SUMIFS('Daftar Koreksi'!$H$5:$H$92,'Daftar Koreksi'!$D$5:$D$92,'1500'!A202,'Daftar Koreksi'!$G$5:$G$92,"Tanah",'Daftar Koreksi'!$H$5:$H$92,"&lt;0")-SUMIFS('Daftar Koreksi'!$H$5:$H$92,'Daftar Koreksi'!$D$5:$D$92,'1500'!A202,'Daftar Koreksi'!$G$5:$G$92,"Tanah",'Daftar Koreksi'!$H$5:$H$92,"&lt;0")-SUMIFS('Daftar Koreksi'!$H$5:$H$92,'Daftar Koreksi'!$D$5:$D$92,'1500'!A202,'Daftar Koreksi'!$G$5:$G$92,"Tanah",'Daftar Koreksi'!$H$5:$H$92,"&lt;0")</f>
        <v>0</v>
      </c>
      <c r="G206" s="17">
        <f t="shared" ref="G206:G222" si="9">D206+E206-F206</f>
        <v>501265000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1225185224</v>
      </c>
      <c r="E207" s="25">
        <f>SUMIFS('Daftar Koreksi'!$H$5:$H$92,'Daftar Koreksi'!$D$5:$D$92,'1500'!A202,'Daftar Koreksi'!$G$5:$G$92,"Peralatan dan mesin",'Daftar Koreksi'!$H$5:$H$92,"&gt;0")</f>
        <v>0</v>
      </c>
      <c r="F207" s="25">
        <f>SUMIFS('Daftar Koreksi'!$H$5:$H$92,'Daftar Koreksi'!$D$5:$D$92,'1500'!A202,'Daftar Koreksi'!$G$5:$G$92,"Peralatan dan mesin",'Daftar Koreksi'!$H$5:$H$92,"&lt;0")-SUMIFS('Daftar Koreksi'!$H$5:$H$92,'Daftar Koreksi'!$D$5:$D$92,'1500'!A202,'Daftar Koreksi'!$G$5:$G$92,"Peralatan dan mesin",'Daftar Koreksi'!$H$5:$H$92,"&lt;0")-SUMIFS('Daftar Koreksi'!$H$5:$H$92,'Daftar Koreksi'!$D$5:$D$92,'1500'!A202,'Daftar Koreksi'!$G$5:$G$92,"Peralatan dan mesin",'Daftar Koreksi'!$H$5:$H$92,"&lt;0")</f>
        <v>0</v>
      </c>
      <c r="G207" s="17">
        <f t="shared" si="9"/>
        <v>1225185224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10462923770</v>
      </c>
      <c r="E208" s="25">
        <f>SUMIFS('Daftar Koreksi'!$H$5:$H$92,'Daftar Koreksi'!$D$5:$D$92,'1500'!A202,'Daftar Koreksi'!$G$5:$G$92,"Gedung dan Bangunan",'Daftar Koreksi'!$H$5:$H$92,"&gt;0")</f>
        <v>0</v>
      </c>
      <c r="F208" s="25">
        <f>SUMIFS('Daftar Koreksi'!$H$5:$H$92,'Daftar Koreksi'!$D$5:$D$92,'1500'!A202,'Daftar Koreksi'!$G$5:$G$92,"Gedung dan Bangunan",'Daftar Koreksi'!$H$5:$H$92,"&lt;0")-SUMIFS('Daftar Koreksi'!$H$5:$H$92,'Daftar Koreksi'!$D$5:$D$92,'1500'!A202,'Daftar Koreksi'!$G$5:$G$92,"Gedung dan Bangunan",'Daftar Koreksi'!$H$5:$H$92,"&lt;0")-SUMIFS('Daftar Koreksi'!$H$5:$H$92,'Daftar Koreksi'!$D$5:$D$92,'1500'!A202,'Daftar Koreksi'!$G$5:$G$92,"Gedung dan Bangunan",'Daftar Koreksi'!$H$5:$H$92,"&lt;0")</f>
        <v>0</v>
      </c>
      <c r="G208" s="17">
        <f t="shared" si="9"/>
        <v>10462923770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97322000</v>
      </c>
      <c r="E209" s="25">
        <f>SUMIFS('Daftar Koreksi'!$H$5:$H$92,'Daftar Koreksi'!$D$5:$D$92,'1500'!A202,'Daftar Koreksi'!$G$5:$G$92,"Jalan Irigasi Jaringan",'Daftar Koreksi'!$H$5:$H$92,"&gt;0")</f>
        <v>0</v>
      </c>
      <c r="F209" s="25">
        <f>SUMIFS('Daftar Koreksi'!$H$5:$H$92,'Daftar Koreksi'!$D$5:$D$92,'1500'!A202,'Daftar Koreksi'!$G$5:$G$92,"Jalan Irigasi Jaringan",'Daftar Koreksi'!$H$5:$H$92,"&lt;0")-SUMIFS('Daftar Koreksi'!$H$5:$H$92,'Daftar Koreksi'!$D$5:$D$92,'1500'!A202,'Daftar Koreksi'!$G$5:$G$92,"Jalan Irigasi Jaringan",'Daftar Koreksi'!$H$5:$H$92,"&lt;0")-SUMIFS('Daftar Koreksi'!$H$5:$H$92,'Daftar Koreksi'!$D$5:$D$92,'1500'!A202,'Daftar Koreksi'!$G$5:$G$92,"Jalan Irigasi Jaringan",'Daftar Koreksi'!$H$5:$H$92,"&lt;0")</f>
        <v>0</v>
      </c>
      <c r="G209" s="17">
        <f t="shared" si="9"/>
        <v>97322000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2402420</v>
      </c>
      <c r="E210" s="25">
        <f>SUMIFS('Daftar Koreksi'!$H$5:$H$92,'Daftar Koreksi'!$D$5:$D$92,'1500'!A202,'Daftar Koreksi'!$G$5:$G$92,"Aset Tetap Lainnya",'Daftar Koreksi'!$H$5:$H$92,"&gt;0")</f>
        <v>0</v>
      </c>
      <c r="F210" s="25">
        <f>SUMIFS('Daftar Koreksi'!$H$5:$H$92,'Daftar Koreksi'!$D$5:$D$92,'1500'!A202,'Daftar Koreksi'!$G$5:$G$92,"Aset Tetap Lainnya",'Daftar Koreksi'!$H$5:$H$92,"&lt;0")-SUMIFS('Daftar Koreksi'!$H$5:$H$92,'Daftar Koreksi'!$D$5:$D$92,'1500'!A202,'Daftar Koreksi'!$G$5:$G$92,"Aset Tetap Lainnya",'Daftar Koreksi'!$H$5:$H$92,"&lt;0")-SUMIFS('Daftar Koreksi'!$H$5:$H$92,'Daftar Koreksi'!$D$5:$D$92,'1500'!A202,'Daftar Koreksi'!$G$5:$G$92,"Aset Tetap Lainnya",'Daftar Koreksi'!$H$5:$H$92,"&lt;0")</f>
        <v>0</v>
      </c>
      <c r="G210" s="17">
        <f t="shared" si="9"/>
        <v>2402420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Koreksi'!$D$5:$D$92,'1500'!A202,'Daftar Koreksi'!$G$5:$G$92,"Kontruksi Dalam Pengerjaan",'Daftar Koreksi'!$H$5:$H$92,"&gt;0")</f>
        <v>0</v>
      </c>
      <c r="F211" s="25">
        <f>SUMIFS('Daftar Koreksi'!$H$5:$H$92,'Daftar Koreksi'!$D$5:$D$92,'1500'!A202,'Daftar Koreksi'!$G$5:$G$92,"Kontruksi Dalam Pengerjaan",'Daftar Koreksi'!$H$5:$H$92,"&lt;0")-SUMIFS('Daftar Koreksi'!$H$5:$H$92,'Daftar Koreksi'!$D$5:$D$92,'1500'!A202,'Daftar Koreksi'!$G$5:$G$92,"Kontruksi Dalam Pengerjaan",'Daftar Koreksi'!$H$5:$H$92,"&lt;0")-SUMIFS('Daftar Koreksi'!$H$5:$H$92,'Daftar Koreksi'!$D$5:$D$92,'1500'!A202,'Daftar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7506000</v>
      </c>
      <c r="E212" s="25">
        <f>SUMIFS('Daftar Koreksi'!$H$5:$H$92,'Daftar Koreksi'!$D$5:$D$92,'1500'!A202,'Daftar Koreksi'!$G$5:$G$92,"Aset Tak Berwujud",'Daftar Koreksi'!$H$5:$H$92,"&gt;0")</f>
        <v>0</v>
      </c>
      <c r="F212" s="25">
        <f>SUMIFS('Daftar Koreksi'!$H$5:$H$92,'Daftar Koreksi'!$D$5:$D$92,'1500'!A202,'Daftar Koreksi'!$G$5:$G$92,"Aset Tak Berwujud",'Daftar Koreksi'!$H$5:$H$92,"&lt;0")-SUMIFS('Daftar Koreksi'!$H$5:$H$92,'Daftar Koreksi'!$D$5:$D$92,'1500'!A202,'Daftar Koreksi'!$G$5:$G$92,"Aset Tak Berwujud",'Daftar Koreksi'!$H$5:$H$92,"&lt;0")-SUMIFS('Daftar Koreksi'!$H$5:$H$92,'Daftar Koreksi'!$D$5:$D$92,'1500'!A202,'Daftar Koreksi'!$G$5:$G$92,"Aset Tak Berwujud",'Daftar Koreksi'!$H$5:$H$92,"&lt;0")</f>
        <v>0</v>
      </c>
      <c r="G212" s="17">
        <f t="shared" si="9"/>
        <v>7506000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288438128</v>
      </c>
      <c r="E213" s="25">
        <f>SUMIFS('Daftar Koreksi'!$H$5:$H$92,'Daftar Koreksi'!$D$5:$D$92,'1500'!A202,'Daftar Koreksi'!$G$5:$G$92,"Aset Henti Guna",'Daftar Koreksi'!$H$5:$H$92,"&gt;0")</f>
        <v>0</v>
      </c>
      <c r="F213" s="25">
        <f>SUMIFS('Daftar Koreksi'!$H$5:$H$92,'Daftar Koreksi'!$D$5:$D$92,'1500'!A202,'Daftar Koreksi'!$G$5:$G$92,"Aset Henti Guna",'Daftar Koreksi'!$H$5:$H$92,"&lt;0")-SUMIFS('Daftar Koreksi'!$H$5:$H$92,'Daftar Koreksi'!$D$5:$D$92,'1500'!A202,'Daftar Koreksi'!$G$5:$G$92,"Aset Henti Guna",'Daftar Koreksi'!$H$5:$H$92,"&lt;0")-SUMIFS('Daftar Koreksi'!$H$5:$H$92,'Daftar Koreksi'!$D$5:$D$92,'1500'!A202,'Daftar Koreksi'!$G$5:$G$92,"Aset Henti Guna",'Daftar Koreksi'!$H$5:$H$92,"&lt;0")</f>
        <v>0</v>
      </c>
      <c r="G213" s="17">
        <f t="shared" si="9"/>
        <v>288438128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12589138186</v>
      </c>
      <c r="E214" s="19">
        <f>SUM(E205:E213)</f>
        <v>0</v>
      </c>
      <c r="F214" s="19">
        <f>SUM(F205:F213)</f>
        <v>0</v>
      </c>
      <c r="G214" s="19">
        <f t="shared" si="9"/>
        <v>12589138186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-998511399</v>
      </c>
      <c r="E215" s="25">
        <f>SUMIFS('Daftar Koreksi'!$I$5:$I$92,'Daftar Koreksi'!$D$5:$D$92,'1500'!A202,'Daftar Koreksi'!$G$5:$G$92,"Peralatan dan mesin",'Daftar Koreksi'!$I$5:$I$92,"&gt;0")</f>
        <v>0</v>
      </c>
      <c r="F215" s="25">
        <f>SUMIFS('Daftar Koreksi'!$I$5:$I$92,'Daftar Koreksi'!$D$5:$D$92,'1500'!A202,'Daftar Koreksi'!$G$5:$G$92,"Peralatan dan mesin",'Daftar Koreksi'!$I$5:$I$92,"&lt;0")-SUMIFS('Daftar Koreksi'!$I$5:$I$92,'Daftar Koreksi'!$D$5:$D$92,'1500'!A202,'Daftar Koreksi'!$G$5:$G$92,"Peralatan dan mesin",'Daftar Koreksi'!$I$5:$I$92,"&lt;0")-SUMIFS('Daftar Koreksi'!$I$5:$I$92,'Daftar Koreksi'!$D$5:$D$92,'1500'!A202,'Daftar Koreksi'!$G$5:$G$92,"Peralatan dan mesin",'Daftar Koreksi'!$I$5:$I$92,"&lt;0")</f>
        <v>0</v>
      </c>
      <c r="G215" s="17">
        <f t="shared" si="9"/>
        <v>-998511399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-1076744435</v>
      </c>
      <c r="E216" s="25">
        <f>SUMIFS('Daftar Koreksi'!$I$5:$I$92,'Daftar Koreksi'!$D$5:$D$92,'1500'!A202,'Daftar Koreksi'!$G$5:$G$92,"Gedung dan Bangunan",'Daftar Koreksi'!$I$5:$I$92,"&gt;0")</f>
        <v>0</v>
      </c>
      <c r="F216" s="25">
        <f>SUMIFS('Daftar Koreksi'!$I$5:$I$92,'Daftar Koreksi'!$D$5:$D$92,'1500'!A202,'Daftar Koreksi'!$G$5:$G$92,"Gedung dan Bangunan",'Daftar Koreksi'!$I$5:$I$92,"&lt;0")-SUMIFS('Daftar Koreksi'!$I$5:$I$92,'Daftar Koreksi'!$D$5:$D$92,'1500'!A202,'Daftar Koreksi'!$G$5:$G$92,"Gedung dan Bangunan",'Daftar Koreksi'!$I$5:$I$92,"&lt;0")-SUMIFS('Daftar Koreksi'!$I$5:$I$92,'Daftar Koreksi'!$D$5:$D$92,'1500'!A202,'Daftar Koreksi'!$G$5:$G$92,"Gedung dan Bangunan",'Daftar Koreksi'!$I$5:$I$92,"&lt;0")</f>
        <v>0</v>
      </c>
      <c r="G216" s="17">
        <f t="shared" si="9"/>
        <v>-1076744435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-21361525</v>
      </c>
      <c r="E217" s="25">
        <f>SUMIFS('Daftar Koreksi'!$I$5:$I$92,'Daftar Koreksi'!$D$5:$D$92,'1500'!A202,'Daftar Koreksi'!$G$5:$G$92,"Jalan Irigasi Jaringan",'Daftar Koreksi'!$I$5:$I$92,"&gt;0")</f>
        <v>0</v>
      </c>
      <c r="F217" s="25">
        <f>SUMIFS('Daftar Koreksi'!$I$5:$I$92,'Daftar Koreksi'!$D$5:$D$92,'1500'!A202,'Daftar Koreksi'!$G$5:$G$92,"Jalan Irigasi Jaringan",'Daftar Koreksi'!$I$5:$I$92,"&lt;0")-SUMIFS('Daftar Koreksi'!$I$5:$I$92,'Daftar Koreksi'!$D$5:$D$92,'1500'!A202,'Daftar Koreksi'!$G$5:$G$92,"Jalan Irigasi Jaringan",'Daftar Koreksi'!$I$5:$I$92,"&lt;0")-SUMIFS('Daftar Koreksi'!$I$5:$I$92,'Daftar Koreksi'!$D$5:$D$92,'1500'!A202,'Daftar Koreksi'!$G$5:$G$92,"Jalan Irigasi Jaringan",'Daftar Koreksi'!$I$5:$I$92,"&lt;0")</f>
        <v>0</v>
      </c>
      <c r="G217" s="17">
        <f t="shared" si="9"/>
        <v>-21361525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Koreksi'!$D$5:$D$92,'1500'!A202,'Daftar Koreksi'!$G$5:$G$92,"Aset Tetap Lainnya",'Daftar Koreksi'!$I$5:$I$92,"&gt;0")</f>
        <v>0</v>
      </c>
      <c r="F218" s="25">
        <f>SUMIFS('Daftar Koreksi'!$I$5:$I$92,'Daftar Koreksi'!$D$5:$D$92,'1500'!A202,'Daftar Koreksi'!$G$5:$G$92,"Aset Tetap Lainnya",'Daftar Koreksi'!$I$5:$I$92,"&lt;0")-SUMIFS('Daftar Koreksi'!$I$5:$I$92,'Daftar Koreksi'!$D$5:$D$92,'1500'!A202,'Daftar Koreksi'!$G$5:$G$92,"Aset Tetap Lainnya",'Daftar Koreksi'!$I$5:$I$92,"&lt;0")-SUMIFS('Daftar Koreksi'!$I$5:$I$92,'Daftar Koreksi'!$D$5:$D$92,'1500'!A202,'Daftar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-287763128</v>
      </c>
      <c r="E219" s="25">
        <f>SUMIFS('Daftar Koreksi'!$I$5:$I$92,'Daftar Koreksi'!$D$5:$D$92,'1500'!A202,'Daftar Koreksi'!$G$5:$G$92,"Aset Henti Guna",'Daftar Koreksi'!$I$5:$I$92,"&gt;0")</f>
        <v>0</v>
      </c>
      <c r="F219" s="25">
        <f>SUMIFS('Daftar Koreksi'!$I$5:$I$92,'Daftar Koreksi'!$D$5:$D$92,'1500'!A202,'Daftar Koreksi'!$G$5:$G$92,"Aset Henti Guna",'Daftar Koreksi'!$I$5:$I$92,"&lt;0")-SUMIFS('Daftar Koreksi'!$I$5:$I$92,'Daftar Koreksi'!$D$5:$D$92,'1500'!A202,'Daftar Koreksi'!$G$5:$G$92,"Aset Henti Guna",'Daftar Koreksi'!$I$5:$I$92,"&lt;0")-SUMIFS('Daftar Koreksi'!$I$5:$I$92,'Daftar Koreksi'!$D$5:$D$92,'1500'!A202,'Daftar Koreksi'!$G$5:$G$92,"Aset Henti Guna",'Daftar Koreksi'!$I$5:$I$92,"&lt;0")</f>
        <v>0</v>
      </c>
      <c r="G219" s="17">
        <f t="shared" si="9"/>
        <v>-287763128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-2384380487</v>
      </c>
      <c r="E220" s="19">
        <f>SUM(E215:E219)</f>
        <v>0</v>
      </c>
      <c r="F220" s="19">
        <f>SUM(F215:F219)</f>
        <v>0</v>
      </c>
      <c r="G220" s="19">
        <f t="shared" si="9"/>
        <v>-2384380487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10204757699</v>
      </c>
      <c r="E221" s="19">
        <f>E220+E214</f>
        <v>0</v>
      </c>
      <c r="F221" s="19">
        <f>F220+F214</f>
        <v>0</v>
      </c>
      <c r="G221" s="19">
        <f t="shared" si="9"/>
        <v>10204757699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005011500307115000KD</v>
      </c>
      <c r="B224" s="11" t="str">
        <f>P11</f>
        <v>PA. Pelaihari</v>
      </c>
      <c r="C224" s="12" t="str">
        <f>A224&amp;" "&amp;B224</f>
        <v>005011500307115000KD PA. Pelaihari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75000</v>
      </c>
      <c r="E227" s="25">
        <f>SUMIFS('Daftar Koreksi'!$H$5:$H$92,'Daftar Koreksi'!$D$5:$D$92,'1500'!A224,'Daftar Koreksi'!$G$5:$G$92,"Persediaan",'Daftar Koreksi'!$H$5:$H$92,"&gt;0")</f>
        <v>0</v>
      </c>
      <c r="F227" s="25">
        <f>SUMIFS('Daftar Koreksi'!$H$5:$H$92,'Daftar Koreksi'!$D$5:$D$92,'1500'!A224,'Daftar Koreksi'!$G$5:$G$92,"Persediaan",'Daftar Koreksi'!$H$5:$H$92,"&lt;0")-SUMIFS('Daftar Koreksi'!$H$5:$H$92,'Daftar Koreksi'!$D$5:$D$92,'1500'!A224,'Daftar Koreksi'!$G$5:$G$92,"Persediaan",'Daftar Koreksi'!$H$5:$H$92,"&lt;0")-SUMIFS('Daftar Koreksi'!$H$5:$H$92,'Daftar Koreksi'!$D$5:$D$92,'1500'!A224,'Daftar Koreksi'!$G$5:$G$92,"Persediaan",'Daftar Koreksi'!$H$5:$H$92,"&lt;0")</f>
        <v>0</v>
      </c>
      <c r="G227" s="17">
        <f>D227+E227-F227</f>
        <v>75000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2882250000</v>
      </c>
      <c r="E228" s="25">
        <f>SUMIFS('Daftar Koreksi'!$H$5:$H$92,'Daftar Koreksi'!$D$5:$D$92,'1500'!A224,'Daftar Koreksi'!$G$5:$G$92,"Tanah",'Daftar Koreksi'!$H$5:$H$92,"&gt;0")</f>
        <v>0</v>
      </c>
      <c r="F228" s="25">
        <f>SUMIFS('Daftar Koreksi'!$H$5:$H$92,'Daftar Koreksi'!$D$5:$D$92,'1500'!A224,'Daftar Koreksi'!$G$5:$G$92,"Tanah",'Daftar Koreksi'!$H$5:$H$92,"&lt;0")-SUMIFS('Daftar Koreksi'!$H$5:$H$92,'Daftar Koreksi'!$D$5:$D$92,'1500'!A224,'Daftar Koreksi'!$G$5:$G$92,"Tanah",'Daftar Koreksi'!$H$5:$H$92,"&lt;0")-SUMIFS('Daftar Koreksi'!$H$5:$H$92,'Daftar Koreksi'!$D$5:$D$92,'1500'!A224,'Daftar Koreksi'!$G$5:$G$92,"Tanah",'Daftar Koreksi'!$H$5:$H$92,"&lt;0")</f>
        <v>0</v>
      </c>
      <c r="G228" s="17">
        <f t="shared" ref="G228:G244" si="10">D228+E228-F228</f>
        <v>2882250000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1083420402</v>
      </c>
      <c r="E229" s="25">
        <f>SUMIFS('Daftar Koreksi'!$H$5:$H$92,'Daftar Koreksi'!$D$5:$D$92,'1500'!A224,'Daftar Koreksi'!$G$5:$G$92,"Peralatan dan mesin",'Daftar Koreksi'!$H$5:$H$92,"&gt;0")</f>
        <v>0</v>
      </c>
      <c r="F229" s="25">
        <f>SUMIFS('Daftar Koreksi'!$H$5:$H$92,'Daftar Koreksi'!$D$5:$D$92,'1500'!A224,'Daftar Koreksi'!$G$5:$G$92,"Peralatan dan mesin",'Daftar Koreksi'!$H$5:$H$92,"&lt;0")-SUMIFS('Daftar Koreksi'!$H$5:$H$92,'Daftar Koreksi'!$D$5:$D$92,'1500'!A224,'Daftar Koreksi'!$G$5:$G$92,"Peralatan dan mesin",'Daftar Koreksi'!$H$5:$H$92,"&lt;0")-SUMIFS('Daftar Koreksi'!$H$5:$H$92,'Daftar Koreksi'!$D$5:$D$92,'1500'!A224,'Daftar Koreksi'!$G$5:$G$92,"Peralatan dan mesin",'Daftar Koreksi'!$H$5:$H$92,"&lt;0")</f>
        <v>0</v>
      </c>
      <c r="G229" s="17">
        <f t="shared" si="10"/>
        <v>1083420402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5087271998</v>
      </c>
      <c r="E230" s="25">
        <f>SUMIFS('Daftar Koreksi'!$H$5:$H$92,'Daftar Koreksi'!$D$5:$D$92,'1500'!A224,'Daftar Koreksi'!$G$5:$G$92,"Gedung dan Bangunan",'Daftar Koreksi'!$H$5:$H$92,"&gt;0")</f>
        <v>0</v>
      </c>
      <c r="F230" s="25">
        <f>SUMIFS('Daftar Koreksi'!$H$5:$H$92,'Daftar Koreksi'!$D$5:$D$92,'1500'!A224,'Daftar Koreksi'!$G$5:$G$92,"Gedung dan Bangunan",'Daftar Koreksi'!$H$5:$H$92,"&lt;0")-SUMIFS('Daftar Koreksi'!$H$5:$H$92,'Daftar Koreksi'!$D$5:$D$92,'1500'!A224,'Daftar Koreksi'!$G$5:$G$92,"Gedung dan Bangunan",'Daftar Koreksi'!$H$5:$H$92,"&lt;0")-SUMIFS('Daftar Koreksi'!$H$5:$H$92,'Daftar Koreksi'!$D$5:$D$92,'1500'!A224,'Daftar Koreksi'!$G$5:$G$92,"Gedung dan Bangunan",'Daftar Koreksi'!$H$5:$H$92,"&lt;0")</f>
        <v>0</v>
      </c>
      <c r="G230" s="17">
        <f t="shared" si="10"/>
        <v>5087271998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9760000</v>
      </c>
      <c r="E231" s="25">
        <f>SUMIFS('Daftar Koreksi'!$H$5:$H$92,'Daftar Koreksi'!$D$5:$D$92,'1500'!A224,'Daftar Koreksi'!$G$5:$G$92,"Jalan Irigasi Jaringan",'Daftar Koreksi'!$H$5:$H$92,"&gt;0")</f>
        <v>0</v>
      </c>
      <c r="F231" s="25">
        <f>SUMIFS('Daftar Koreksi'!$H$5:$H$92,'Daftar Koreksi'!$D$5:$D$92,'1500'!A224,'Daftar Koreksi'!$G$5:$G$92,"Jalan Irigasi Jaringan",'Daftar Koreksi'!$H$5:$H$92,"&lt;0")-SUMIFS('Daftar Koreksi'!$H$5:$H$92,'Daftar Koreksi'!$D$5:$D$92,'1500'!A224,'Daftar Koreksi'!$G$5:$G$92,"Jalan Irigasi Jaringan",'Daftar Koreksi'!$H$5:$H$92,"&lt;0")-SUMIFS('Daftar Koreksi'!$H$5:$H$92,'Daftar Koreksi'!$D$5:$D$92,'1500'!A224,'Daftar Koreksi'!$G$5:$G$92,"Jalan Irigasi Jaringan",'Daftar Koreksi'!$H$5:$H$92,"&lt;0")</f>
        <v>0</v>
      </c>
      <c r="G231" s="17">
        <f t="shared" si="10"/>
        <v>9760000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14040176</v>
      </c>
      <c r="E232" s="25">
        <f>SUMIFS('Daftar Koreksi'!$H$5:$H$92,'Daftar Koreksi'!$D$5:$D$92,'1500'!A224,'Daftar Koreksi'!$G$5:$G$92,"Aset Tetap Lainnya",'Daftar Koreksi'!$H$5:$H$92,"&gt;0")</f>
        <v>0</v>
      </c>
      <c r="F232" s="25">
        <f>SUMIFS('Daftar Koreksi'!$H$5:$H$92,'Daftar Koreksi'!$D$5:$D$92,'1500'!A224,'Daftar Koreksi'!$G$5:$G$92,"Aset Tetap Lainnya",'Daftar Koreksi'!$H$5:$H$92,"&lt;0")-SUMIFS('Daftar Koreksi'!$H$5:$H$92,'Daftar Koreksi'!$D$5:$D$92,'1500'!A224,'Daftar Koreksi'!$G$5:$G$92,"Aset Tetap Lainnya",'Daftar Koreksi'!$H$5:$H$92,"&lt;0")-SUMIFS('Daftar Koreksi'!$H$5:$H$92,'Daftar Koreksi'!$D$5:$D$92,'1500'!A224,'Daftar Koreksi'!$G$5:$G$92,"Aset Tetap Lainnya",'Daftar Koreksi'!$H$5:$H$92,"&lt;0")</f>
        <v>0</v>
      </c>
      <c r="G232" s="17">
        <f t="shared" si="10"/>
        <v>14040176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Koreksi'!$D$5:$D$92,'1500'!A224,'Daftar Koreksi'!$G$5:$G$92,"Kontruksi Dalam Pengerjaan",'Daftar Koreksi'!$H$5:$H$92,"&gt;0")</f>
        <v>0</v>
      </c>
      <c r="F233" s="25">
        <f>SUMIFS('Daftar Koreksi'!$H$5:$H$92,'Daftar Koreksi'!$D$5:$D$92,'1500'!A224,'Daftar Koreksi'!$G$5:$G$92,"Kontruksi Dalam Pengerjaan",'Daftar Koreksi'!$H$5:$H$92,"&lt;0")-SUMIFS('Daftar Koreksi'!$H$5:$H$92,'Daftar Koreksi'!$D$5:$D$92,'1500'!A224,'Daftar Koreksi'!$G$5:$G$92,"Kontruksi Dalam Pengerjaan",'Daftar Koreksi'!$H$5:$H$92,"&lt;0")-SUMIFS('Daftar Koreksi'!$H$5:$H$92,'Daftar Koreksi'!$D$5:$D$92,'1500'!A224,'Daftar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Koreksi'!$D$5:$D$92,'1500'!A224,'Daftar Koreksi'!$G$5:$G$92,"Aset Tak Berwujud",'Daftar Koreksi'!$H$5:$H$92,"&gt;0")</f>
        <v>0</v>
      </c>
      <c r="F234" s="25">
        <f>SUMIFS('Daftar Koreksi'!$H$5:$H$92,'Daftar Koreksi'!$D$5:$D$92,'1500'!A224,'Daftar Koreksi'!$G$5:$G$92,"Aset Tak Berwujud",'Daftar Koreksi'!$H$5:$H$92,"&lt;0")-SUMIFS('Daftar Koreksi'!$H$5:$H$92,'Daftar Koreksi'!$D$5:$D$92,'1500'!A224,'Daftar Koreksi'!$G$5:$G$92,"Aset Tak Berwujud",'Daftar Koreksi'!$H$5:$H$92,"&lt;0")-SUMIFS('Daftar Koreksi'!$H$5:$H$92,'Daftar Koreksi'!$D$5:$D$92,'1500'!A224,'Daftar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47600000</v>
      </c>
      <c r="E235" s="25">
        <f>SUMIFS('Daftar Koreksi'!$H$5:$H$92,'Daftar Koreksi'!$D$5:$D$92,'1500'!A224,'Daftar Koreksi'!$G$5:$G$92,"Aset Henti Guna",'Daftar Koreksi'!$H$5:$H$92,"&gt;0")</f>
        <v>0</v>
      </c>
      <c r="F235" s="25">
        <f>SUMIFS('Daftar Koreksi'!$H$5:$H$92,'Daftar Koreksi'!$D$5:$D$92,'1500'!A224,'Daftar Koreksi'!$G$5:$G$92,"Aset Henti Guna",'Daftar Koreksi'!$H$5:$H$92,"&lt;0")-SUMIFS('Daftar Koreksi'!$H$5:$H$92,'Daftar Koreksi'!$D$5:$D$92,'1500'!A224,'Daftar Koreksi'!$G$5:$G$92,"Aset Henti Guna",'Daftar Koreksi'!$H$5:$H$92,"&lt;0")-SUMIFS('Daftar Koreksi'!$H$5:$H$92,'Daftar Koreksi'!$D$5:$D$92,'1500'!A224,'Daftar Koreksi'!$G$5:$G$92,"Aset Henti Guna",'Daftar Koreksi'!$H$5:$H$92,"&lt;0")</f>
        <v>0</v>
      </c>
      <c r="G235" s="17">
        <f t="shared" si="10"/>
        <v>47600000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9124417576</v>
      </c>
      <c r="E236" s="19">
        <f>SUM(E227:E235)</f>
        <v>0</v>
      </c>
      <c r="F236" s="19">
        <f>SUM(F227:F235)</f>
        <v>0</v>
      </c>
      <c r="G236" s="19">
        <f t="shared" si="10"/>
        <v>9124417576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-914842619</v>
      </c>
      <c r="E237" s="25">
        <f>SUMIFS('Daftar Koreksi'!$I$5:$I$92,'Daftar Koreksi'!$D$5:$D$92,'1500'!A224,'Daftar Koreksi'!$G$5:$G$92,"Peralatan dan mesin",'Daftar Koreksi'!$I$5:$I$92,"&gt;0")</f>
        <v>0</v>
      </c>
      <c r="F237" s="25">
        <f>SUMIFS('Daftar Koreksi'!$I$5:$I$92,'Daftar Koreksi'!$D$5:$D$92,'1500'!A224,'Daftar Koreksi'!$G$5:$G$92,"Peralatan dan mesin",'Daftar Koreksi'!$I$5:$I$92,"&lt;0")-SUMIFS('Daftar Koreksi'!$I$5:$I$92,'Daftar Koreksi'!$D$5:$D$92,'1500'!A224,'Daftar Koreksi'!$G$5:$G$92,"Peralatan dan mesin",'Daftar Koreksi'!$I$5:$I$92,"&lt;0")-SUMIFS('Daftar Koreksi'!$I$5:$I$92,'Daftar Koreksi'!$D$5:$D$92,'1500'!A224,'Daftar Koreksi'!$G$5:$G$92,"Peralatan dan mesin",'Daftar Koreksi'!$I$5:$I$92,"&lt;0")</f>
        <v>0</v>
      </c>
      <c r="G237" s="17">
        <f t="shared" si="10"/>
        <v>-914842619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-838022366</v>
      </c>
      <c r="E238" s="25">
        <f>SUMIFS('Daftar Koreksi'!$I$5:$I$92,'Daftar Koreksi'!$D$5:$D$92,'1500'!A224,'Daftar Koreksi'!$G$5:$G$92,"Gedung dan Bangunan",'Daftar Koreksi'!$I$5:$I$92,"&gt;0")</f>
        <v>0</v>
      </c>
      <c r="F238" s="25">
        <f>SUMIFS('Daftar Koreksi'!$I$5:$I$92,'Daftar Koreksi'!$D$5:$D$92,'1500'!A224,'Daftar Koreksi'!$G$5:$G$92,"Gedung dan Bangunan",'Daftar Koreksi'!$I$5:$I$92,"&lt;0")-SUMIFS('Daftar Koreksi'!$I$5:$I$92,'Daftar Koreksi'!$D$5:$D$92,'1500'!A224,'Daftar Koreksi'!$G$5:$G$92,"Gedung dan Bangunan",'Daftar Koreksi'!$I$5:$I$92,"&lt;0")-SUMIFS('Daftar Koreksi'!$I$5:$I$92,'Daftar Koreksi'!$D$5:$D$92,'1500'!A224,'Daftar Koreksi'!$G$5:$G$92,"Gedung dan Bangunan",'Daftar Koreksi'!$I$5:$I$92,"&lt;0")</f>
        <v>0</v>
      </c>
      <c r="G238" s="17">
        <f t="shared" si="10"/>
        <v>-838022366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-1094922</v>
      </c>
      <c r="E239" s="25">
        <f>SUMIFS('Daftar Koreksi'!$I$5:$I$92,'Daftar Koreksi'!$D$5:$D$92,'1500'!A224,'Daftar Koreksi'!$G$5:$G$92,"Jalan Irigasi Jaringan",'Daftar Koreksi'!$I$5:$I$92,"&gt;0")</f>
        <v>0</v>
      </c>
      <c r="F239" s="25">
        <f>SUMIFS('Daftar Koreksi'!$I$5:$I$92,'Daftar Koreksi'!$D$5:$D$92,'1500'!A224,'Daftar Koreksi'!$G$5:$G$92,"Jalan Irigasi Jaringan",'Daftar Koreksi'!$I$5:$I$92,"&lt;0")-SUMIFS('Daftar Koreksi'!$I$5:$I$92,'Daftar Koreksi'!$D$5:$D$92,'1500'!A224,'Daftar Koreksi'!$G$5:$G$92,"Jalan Irigasi Jaringan",'Daftar Koreksi'!$I$5:$I$92,"&lt;0")-SUMIFS('Daftar Koreksi'!$I$5:$I$92,'Daftar Koreksi'!$D$5:$D$92,'1500'!A224,'Daftar Koreksi'!$G$5:$G$92,"Jalan Irigasi Jaringan",'Daftar Koreksi'!$I$5:$I$92,"&lt;0")</f>
        <v>0</v>
      </c>
      <c r="G239" s="17">
        <f t="shared" si="10"/>
        <v>-1094922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Koreksi'!$D$5:$D$92,'1500'!A224,'Daftar Koreksi'!$G$5:$G$92,"Aset Tetap Lainnya",'Daftar Koreksi'!$I$5:$I$92,"&gt;0")</f>
        <v>0</v>
      </c>
      <c r="F240" s="25">
        <f>SUMIFS('Daftar Koreksi'!$I$5:$I$92,'Daftar Koreksi'!$D$5:$D$92,'1500'!A224,'Daftar Koreksi'!$G$5:$G$92,"Aset Tetap Lainnya",'Daftar Koreksi'!$I$5:$I$92,"&lt;0")-SUMIFS('Daftar Koreksi'!$I$5:$I$92,'Daftar Koreksi'!$D$5:$D$92,'1500'!A224,'Daftar Koreksi'!$G$5:$G$92,"Aset Tetap Lainnya",'Daftar Koreksi'!$I$5:$I$92,"&lt;0")-SUMIFS('Daftar Koreksi'!$I$5:$I$92,'Daftar Koreksi'!$D$5:$D$92,'1500'!A224,'Daftar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-47600000</v>
      </c>
      <c r="E241" s="25">
        <f>SUMIFS('Daftar Koreksi'!$I$5:$I$92,'Daftar Koreksi'!$D$5:$D$92,'1500'!A224,'Daftar Koreksi'!$G$5:$G$92,"Aset Henti Guna",'Daftar Koreksi'!$I$5:$I$92,"&gt;0")</f>
        <v>0</v>
      </c>
      <c r="F241" s="25">
        <f>SUMIFS('Daftar Koreksi'!$I$5:$I$92,'Daftar Koreksi'!$D$5:$D$92,'1500'!A224,'Daftar Koreksi'!$G$5:$G$92,"Aset Henti Guna",'Daftar Koreksi'!$I$5:$I$92,"&lt;0")-SUMIFS('Daftar Koreksi'!$I$5:$I$92,'Daftar Koreksi'!$D$5:$D$92,'1500'!A224,'Daftar Koreksi'!$G$5:$G$92,"Aset Henti Guna",'Daftar Koreksi'!$I$5:$I$92,"&lt;0")-SUMIFS('Daftar Koreksi'!$I$5:$I$92,'Daftar Koreksi'!$D$5:$D$92,'1500'!A224,'Daftar Koreksi'!$G$5:$G$92,"Aset Henti Guna",'Daftar Koreksi'!$I$5:$I$92,"&lt;0")</f>
        <v>0</v>
      </c>
      <c r="G241" s="17">
        <f t="shared" si="10"/>
        <v>-47600000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-1801559907</v>
      </c>
      <c r="E242" s="19">
        <f>SUM(E237:E241)</f>
        <v>0</v>
      </c>
      <c r="F242" s="19">
        <f>SUM(F237:F241)</f>
        <v>0</v>
      </c>
      <c r="G242" s="19">
        <f t="shared" si="10"/>
        <v>-1801559907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7322857669</v>
      </c>
      <c r="E243" s="19">
        <f>E242+E236</f>
        <v>0</v>
      </c>
      <c r="F243" s="19">
        <f>F242+F236</f>
        <v>0</v>
      </c>
      <c r="G243" s="19">
        <f t="shared" si="10"/>
        <v>7322857669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005011500307122000KD</v>
      </c>
      <c r="B246" s="11" t="str">
        <f>P12</f>
        <v>PA. Kotabaru</v>
      </c>
      <c r="C246" s="12" t="str">
        <f>A246&amp;" "&amp;B246</f>
        <v>005011500307122000KD PA. Kotabaru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5953000</v>
      </c>
      <c r="E249" s="25">
        <f>SUMIFS('Daftar Koreksi'!$H$5:$H$92,'Daftar Koreksi'!$D$5:$D$92,'1500'!A246,'Daftar Koreksi'!$G$5:$G$92,"Persediaan",'Daftar Koreksi'!$H$5:$H$92,"&gt;0")</f>
        <v>0</v>
      </c>
      <c r="F249" s="25">
        <f>SUMIFS('Daftar Koreksi'!$H$5:$H$92,'Daftar Koreksi'!$D$5:$D$92,'1500'!A246,'Daftar Koreksi'!$G$5:$G$92,"Persediaan",'Daftar Koreksi'!$H$5:$H$92,"&lt;0")-SUMIFS('Daftar Koreksi'!$H$5:$H$92,'Daftar Koreksi'!$D$5:$D$92,'1500'!A246,'Daftar Koreksi'!$G$5:$G$92,"Persediaan",'Daftar Koreksi'!$H$5:$H$92,"&lt;0")-SUMIFS('Daftar Koreksi'!$H$5:$H$92,'Daftar Koreksi'!$D$5:$D$92,'1500'!A246,'Daftar Koreksi'!$G$5:$G$92,"Persediaan",'Daftar Koreksi'!$H$5:$H$92,"&lt;0")</f>
        <v>0</v>
      </c>
      <c r="G249" s="17">
        <f>D249+E249-F249</f>
        <v>5953000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1446629250</v>
      </c>
      <c r="E250" s="25">
        <f>SUMIFS('Daftar Koreksi'!$H$5:$H$92,'Daftar Koreksi'!$D$5:$D$92,'1500'!A246,'Daftar Koreksi'!$G$5:$G$92,"Tanah",'Daftar Koreksi'!$H$5:$H$92,"&gt;0")</f>
        <v>0</v>
      </c>
      <c r="F250" s="25">
        <f>SUMIFS('Daftar Koreksi'!$H$5:$H$92,'Daftar Koreksi'!$D$5:$D$92,'1500'!A246,'Daftar Koreksi'!$G$5:$G$92,"Tanah",'Daftar Koreksi'!$H$5:$H$92,"&lt;0")-SUMIFS('Daftar Koreksi'!$H$5:$H$92,'Daftar Koreksi'!$D$5:$D$92,'1500'!A246,'Daftar Koreksi'!$G$5:$G$92,"Tanah",'Daftar Koreksi'!$H$5:$H$92,"&lt;0")-SUMIFS('Daftar Koreksi'!$H$5:$H$92,'Daftar Koreksi'!$D$5:$D$92,'1500'!A246,'Daftar Koreksi'!$G$5:$G$92,"Tanah",'Daftar Koreksi'!$H$5:$H$92,"&lt;0")</f>
        <v>0</v>
      </c>
      <c r="G250" s="17">
        <f t="shared" ref="G250:G266" si="11">D250+E250-F250</f>
        <v>1446629250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1490454233</v>
      </c>
      <c r="E251" s="25">
        <f>SUMIFS('Daftar Koreksi'!$H$5:$H$92,'Daftar Koreksi'!$D$5:$D$92,'1500'!A246,'Daftar Koreksi'!$G$5:$G$92,"Peralatan dan mesin",'Daftar Koreksi'!$H$5:$H$92,"&gt;0")</f>
        <v>0</v>
      </c>
      <c r="F251" s="25">
        <f>SUMIFS('Daftar Koreksi'!$H$5:$H$92,'Daftar Koreksi'!$D$5:$D$92,'1500'!A246,'Daftar Koreksi'!$G$5:$G$92,"Peralatan dan mesin",'Daftar Koreksi'!$H$5:$H$92,"&lt;0")-SUMIFS('Daftar Koreksi'!$H$5:$H$92,'Daftar Koreksi'!$D$5:$D$92,'1500'!A246,'Daftar Koreksi'!$G$5:$G$92,"Peralatan dan mesin",'Daftar Koreksi'!$H$5:$H$92,"&lt;0")-SUMIFS('Daftar Koreksi'!$H$5:$H$92,'Daftar Koreksi'!$D$5:$D$92,'1500'!A246,'Daftar Koreksi'!$G$5:$G$92,"Peralatan dan mesin",'Daftar Koreksi'!$H$5:$H$92,"&lt;0")</f>
        <v>0</v>
      </c>
      <c r="G251" s="17">
        <f t="shared" si="11"/>
        <v>1490454233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7821370349</v>
      </c>
      <c r="E252" s="25">
        <f>SUMIFS('Daftar Koreksi'!$H$5:$H$92,'Daftar Koreksi'!$D$5:$D$92,'1500'!A246,'Daftar Koreksi'!$G$5:$G$92,"Gedung dan Bangunan",'Daftar Koreksi'!$H$5:$H$92,"&gt;0")</f>
        <v>0</v>
      </c>
      <c r="F252" s="25">
        <f>SUMIFS('Daftar Koreksi'!$H$5:$H$92,'Daftar Koreksi'!$D$5:$D$92,'1500'!A246,'Daftar Koreksi'!$G$5:$G$92,"Gedung dan Bangunan",'Daftar Koreksi'!$H$5:$H$92,"&lt;0")-SUMIFS('Daftar Koreksi'!$H$5:$H$92,'Daftar Koreksi'!$D$5:$D$92,'1500'!A246,'Daftar Koreksi'!$G$5:$G$92,"Gedung dan Bangunan",'Daftar Koreksi'!$H$5:$H$92,"&lt;0")-SUMIFS('Daftar Koreksi'!$H$5:$H$92,'Daftar Koreksi'!$D$5:$D$92,'1500'!A246,'Daftar Koreksi'!$G$5:$G$92,"Gedung dan Bangunan",'Daftar Koreksi'!$H$5:$H$92,"&lt;0")</f>
        <v>0</v>
      </c>
      <c r="G252" s="17">
        <f t="shared" si="11"/>
        <v>7821370349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Koreksi'!$D$5:$D$92,'1500'!A246,'Daftar Koreksi'!$G$5:$G$92,"Jalan Irigasi Jaringan",'Daftar Koreksi'!$H$5:$H$92,"&gt;0")</f>
        <v>0</v>
      </c>
      <c r="F253" s="25">
        <f>SUMIFS('Daftar Koreksi'!$H$5:$H$92,'Daftar Koreksi'!$D$5:$D$92,'1500'!A246,'Daftar Koreksi'!$G$5:$G$92,"Jalan Irigasi Jaringan",'Daftar Koreksi'!$H$5:$H$92,"&lt;0")-SUMIFS('Daftar Koreksi'!$H$5:$H$92,'Daftar Koreksi'!$D$5:$D$92,'1500'!A246,'Daftar Koreksi'!$G$5:$G$92,"Jalan Irigasi Jaringan",'Daftar Koreksi'!$H$5:$H$92,"&lt;0")-SUMIFS('Daftar Koreksi'!$H$5:$H$92,'Daftar Koreksi'!$D$5:$D$92,'1500'!A246,'Daftar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1861820</v>
      </c>
      <c r="E254" s="25">
        <f>SUMIFS('Daftar Koreksi'!$H$5:$H$92,'Daftar Koreksi'!$D$5:$D$92,'1500'!A246,'Daftar Koreksi'!$G$5:$G$92,"Aset Tetap Lainnya",'Daftar Koreksi'!$H$5:$H$92,"&gt;0")</f>
        <v>0</v>
      </c>
      <c r="F254" s="25">
        <f>SUMIFS('Daftar Koreksi'!$H$5:$H$92,'Daftar Koreksi'!$D$5:$D$92,'1500'!A246,'Daftar Koreksi'!$G$5:$G$92,"Aset Tetap Lainnya",'Daftar Koreksi'!$H$5:$H$92,"&lt;0")-SUMIFS('Daftar Koreksi'!$H$5:$H$92,'Daftar Koreksi'!$D$5:$D$92,'1500'!A246,'Daftar Koreksi'!$G$5:$G$92,"Aset Tetap Lainnya",'Daftar Koreksi'!$H$5:$H$92,"&lt;0")-SUMIFS('Daftar Koreksi'!$H$5:$H$92,'Daftar Koreksi'!$D$5:$D$92,'1500'!A246,'Daftar Koreksi'!$G$5:$G$92,"Aset Tetap Lainnya",'Daftar Koreksi'!$H$5:$H$92,"&lt;0")</f>
        <v>0</v>
      </c>
      <c r="G254" s="17">
        <f t="shared" si="11"/>
        <v>1861820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Koreksi'!$D$5:$D$92,'1500'!A246,'Daftar Koreksi'!$G$5:$G$92,"Kontruksi Dalam Pengerjaan",'Daftar Koreksi'!$H$5:$H$92,"&gt;0")</f>
        <v>0</v>
      </c>
      <c r="F255" s="25">
        <f>SUMIFS('Daftar Koreksi'!$H$5:$H$92,'Daftar Koreksi'!$D$5:$D$92,'1500'!A246,'Daftar Koreksi'!$G$5:$G$92,"Kontruksi Dalam Pengerjaan",'Daftar Koreksi'!$H$5:$H$92,"&lt;0")-SUMIFS('Daftar Koreksi'!$H$5:$H$92,'Daftar Koreksi'!$D$5:$D$92,'1500'!A246,'Daftar Koreksi'!$G$5:$G$92,"Kontruksi Dalam Pengerjaan",'Daftar Koreksi'!$H$5:$H$92,"&lt;0")-SUMIFS('Daftar Koreksi'!$H$5:$H$92,'Daftar Koreksi'!$D$5:$D$92,'1500'!A246,'Daftar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Koreksi'!$D$5:$D$92,'1500'!A246,'Daftar Koreksi'!$G$5:$G$92,"Aset Tak Berwujud",'Daftar Koreksi'!$H$5:$H$92,"&gt;0")</f>
        <v>0</v>
      </c>
      <c r="F256" s="25">
        <f>SUMIFS('Daftar Koreksi'!$H$5:$H$92,'Daftar Koreksi'!$D$5:$D$92,'1500'!A246,'Daftar Koreksi'!$G$5:$G$92,"Aset Tak Berwujud",'Daftar Koreksi'!$H$5:$H$92,"&lt;0")-SUMIFS('Daftar Koreksi'!$H$5:$H$92,'Daftar Koreksi'!$D$5:$D$92,'1500'!A246,'Daftar Koreksi'!$G$5:$G$92,"Aset Tak Berwujud",'Daftar Koreksi'!$H$5:$H$92,"&lt;0")-SUMIFS('Daftar Koreksi'!$H$5:$H$92,'Daftar Koreksi'!$D$5:$D$92,'1500'!A246,'Daftar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2375000</v>
      </c>
      <c r="E257" s="25">
        <f>SUMIFS('Daftar Koreksi'!$H$5:$H$92,'Daftar Koreksi'!$D$5:$D$92,'1500'!A246,'Daftar Koreksi'!$G$5:$G$92,"Aset Henti Guna",'Daftar Koreksi'!$H$5:$H$92,"&gt;0")</f>
        <v>0</v>
      </c>
      <c r="F257" s="25">
        <f>SUMIFS('Daftar Koreksi'!$H$5:$H$92,'Daftar Koreksi'!$D$5:$D$92,'1500'!A246,'Daftar Koreksi'!$G$5:$G$92,"Aset Henti Guna",'Daftar Koreksi'!$H$5:$H$92,"&lt;0")-SUMIFS('Daftar Koreksi'!$H$5:$H$92,'Daftar Koreksi'!$D$5:$D$92,'1500'!A246,'Daftar Koreksi'!$G$5:$G$92,"Aset Henti Guna",'Daftar Koreksi'!$H$5:$H$92,"&lt;0")-SUMIFS('Daftar Koreksi'!$H$5:$H$92,'Daftar Koreksi'!$D$5:$D$92,'1500'!A246,'Daftar Koreksi'!$G$5:$G$92,"Aset Henti Guna",'Daftar Koreksi'!$H$5:$H$92,"&lt;0")</f>
        <v>0</v>
      </c>
      <c r="G257" s="17">
        <f t="shared" si="11"/>
        <v>2375000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10768643652</v>
      </c>
      <c r="E258" s="19">
        <f>SUM(E249:E257)</f>
        <v>0</v>
      </c>
      <c r="F258" s="19">
        <f>SUM(F249:F257)</f>
        <v>0</v>
      </c>
      <c r="G258" s="19">
        <f t="shared" si="11"/>
        <v>10768643652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-1381182478</v>
      </c>
      <c r="E259" s="25">
        <f>SUMIFS('Daftar Koreksi'!$I$5:$I$92,'Daftar Koreksi'!$D$5:$D$92,'1500'!A246,'Daftar Koreksi'!$G$5:$G$92,"Peralatan dan mesin",'Daftar Koreksi'!$I$5:$I$92,"&gt;0")</f>
        <v>0</v>
      </c>
      <c r="F259" s="25">
        <f>SUMIFS('Daftar Koreksi'!$I$5:$I$92,'Daftar Koreksi'!$D$5:$D$92,'1500'!A246,'Daftar Koreksi'!$G$5:$G$92,"Peralatan dan mesin",'Daftar Koreksi'!$I$5:$I$92,"&lt;0")-SUMIFS('Daftar Koreksi'!$I$5:$I$92,'Daftar Koreksi'!$D$5:$D$92,'1500'!A246,'Daftar Koreksi'!$G$5:$G$92,"Peralatan dan mesin",'Daftar Koreksi'!$I$5:$I$92,"&lt;0")-SUMIFS('Daftar Koreksi'!$I$5:$I$92,'Daftar Koreksi'!$D$5:$D$92,'1500'!A246,'Daftar Koreksi'!$G$5:$G$92,"Peralatan dan mesin",'Daftar Koreksi'!$I$5:$I$92,"&lt;0")</f>
        <v>0</v>
      </c>
      <c r="G259" s="17">
        <f t="shared" si="11"/>
        <v>-1381182478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-886920152</v>
      </c>
      <c r="E260" s="25">
        <f>SUMIFS('Daftar Koreksi'!$I$5:$I$92,'Daftar Koreksi'!$D$5:$D$92,'1500'!A246,'Daftar Koreksi'!$G$5:$G$92,"Gedung dan Bangunan",'Daftar Koreksi'!$I$5:$I$92,"&gt;0")</f>
        <v>0</v>
      </c>
      <c r="F260" s="25">
        <f>SUMIFS('Daftar Koreksi'!$I$5:$I$92,'Daftar Koreksi'!$D$5:$D$92,'1500'!A246,'Daftar Koreksi'!$G$5:$G$92,"Gedung dan Bangunan",'Daftar Koreksi'!$I$5:$I$92,"&lt;0")-SUMIFS('Daftar Koreksi'!$I$5:$I$92,'Daftar Koreksi'!$D$5:$D$92,'1500'!A246,'Daftar Koreksi'!$G$5:$G$92,"Gedung dan Bangunan",'Daftar Koreksi'!$I$5:$I$92,"&lt;0")-SUMIFS('Daftar Koreksi'!$I$5:$I$92,'Daftar Koreksi'!$D$5:$D$92,'1500'!A246,'Daftar Koreksi'!$G$5:$G$92,"Gedung dan Bangunan",'Daftar Koreksi'!$I$5:$I$92,"&lt;0")</f>
        <v>0</v>
      </c>
      <c r="G260" s="17">
        <f t="shared" si="11"/>
        <v>-886920152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Koreksi'!$D$5:$D$92,'1500'!A246,'Daftar Koreksi'!$G$5:$G$92,"Jalan Irigasi Jaringan",'Daftar Koreksi'!$I$5:$I$92,"&gt;0")</f>
        <v>0</v>
      </c>
      <c r="F261" s="25">
        <f>SUMIFS('Daftar Koreksi'!$I$5:$I$92,'Daftar Koreksi'!$D$5:$D$92,'1500'!A246,'Daftar Koreksi'!$G$5:$G$92,"Jalan Irigasi Jaringan",'Daftar Koreksi'!$I$5:$I$92,"&lt;0")-SUMIFS('Daftar Koreksi'!$I$5:$I$92,'Daftar Koreksi'!$D$5:$D$92,'1500'!A246,'Daftar Koreksi'!$G$5:$G$92,"Jalan Irigasi Jaringan",'Daftar Koreksi'!$I$5:$I$92,"&lt;0")-SUMIFS('Daftar Koreksi'!$I$5:$I$92,'Daftar Koreksi'!$D$5:$D$92,'1500'!A246,'Daftar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Koreksi'!$D$5:$D$92,'1500'!A246,'Daftar Koreksi'!$G$5:$G$92,"Aset Tetap Lainnya",'Daftar Koreksi'!$I$5:$I$92,"&gt;0")</f>
        <v>0</v>
      </c>
      <c r="F262" s="25">
        <f>SUMIFS('Daftar Koreksi'!$I$5:$I$92,'Daftar Koreksi'!$D$5:$D$92,'1500'!A246,'Daftar Koreksi'!$G$5:$G$92,"Aset Tetap Lainnya",'Daftar Koreksi'!$I$5:$I$92,"&lt;0")-SUMIFS('Daftar Koreksi'!$I$5:$I$92,'Daftar Koreksi'!$D$5:$D$92,'1500'!A246,'Daftar Koreksi'!$G$5:$G$92,"Aset Tetap Lainnya",'Daftar Koreksi'!$I$5:$I$92,"&lt;0")-SUMIFS('Daftar Koreksi'!$I$5:$I$92,'Daftar Koreksi'!$D$5:$D$92,'1500'!A246,'Daftar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-2375000</v>
      </c>
      <c r="E263" s="25">
        <f>SUMIFS('Daftar Koreksi'!$I$5:$I$92,'Daftar Koreksi'!$D$5:$D$92,'1500'!A246,'Daftar Koreksi'!$G$5:$G$92,"Aset Henti Guna",'Daftar Koreksi'!$I$5:$I$92,"&gt;0")</f>
        <v>0</v>
      </c>
      <c r="F263" s="25">
        <f>SUMIFS('Daftar Koreksi'!$I$5:$I$92,'Daftar Koreksi'!$D$5:$D$92,'1500'!A246,'Daftar Koreksi'!$G$5:$G$92,"Aset Henti Guna",'Daftar Koreksi'!$I$5:$I$92,"&lt;0")-SUMIFS('Daftar Koreksi'!$I$5:$I$92,'Daftar Koreksi'!$D$5:$D$92,'1500'!A246,'Daftar Koreksi'!$G$5:$G$92,"Aset Henti Guna",'Daftar Koreksi'!$I$5:$I$92,"&lt;0")-SUMIFS('Daftar Koreksi'!$I$5:$I$92,'Daftar Koreksi'!$D$5:$D$92,'1500'!A246,'Daftar Koreksi'!$G$5:$G$92,"Aset Henti Guna",'Daftar Koreksi'!$I$5:$I$92,"&lt;0")</f>
        <v>0</v>
      </c>
      <c r="G263" s="17">
        <f t="shared" si="11"/>
        <v>-2375000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-2270477630</v>
      </c>
      <c r="E264" s="19">
        <f>SUM(E259:E263)</f>
        <v>0</v>
      </c>
      <c r="F264" s="19">
        <f>SUM(F259:F263)</f>
        <v>0</v>
      </c>
      <c r="G264" s="19">
        <f t="shared" si="11"/>
        <v>-2270477630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8498166022</v>
      </c>
      <c r="E265" s="19">
        <f>E264+E258</f>
        <v>0</v>
      </c>
      <c r="F265" s="19">
        <f>F264+F258</f>
        <v>0</v>
      </c>
      <c r="G265" s="19">
        <f t="shared" si="11"/>
        <v>8498166022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005011500400260000KD</v>
      </c>
      <c r="B268" s="11" t="str">
        <f>P13</f>
        <v>PN. Marabahan</v>
      </c>
      <c r="C268" s="12" t="str">
        <f>A268&amp;" "&amp;B268</f>
        <v>005011500400260000KD PN. Marabahan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Koreksi'!$D$5:$D$92,'1500'!A268,'Daftar Koreksi'!$G$5:$G$92,"Persediaan",'Daftar Koreksi'!$H$5:$H$92,"&gt;0")</f>
        <v>0</v>
      </c>
      <c r="F271" s="25">
        <f>SUMIFS('Daftar Koreksi'!$H$5:$H$92,'Daftar Koreksi'!$D$5:$D$92,'1500'!A268,'Daftar Koreksi'!$G$5:$G$92,"Persediaan",'Daftar Koreksi'!$H$5:$H$92,"&lt;0")-SUMIFS('Daftar Koreksi'!$H$5:$H$92,'Daftar Koreksi'!$D$5:$D$92,'1500'!A268,'Daftar Koreksi'!$G$5:$G$92,"Persediaan",'Daftar Koreksi'!$H$5:$H$92,"&lt;0")-SUMIFS('Daftar Koreksi'!$H$5:$H$92,'Daftar Koreksi'!$D$5:$D$92,'1500'!A268,'Daftar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1514694800</v>
      </c>
      <c r="E272" s="25">
        <f>SUMIFS('Daftar Koreksi'!$H$5:$H$92,'Daftar Koreksi'!$D$5:$D$92,'1500'!A268,'Daftar Koreksi'!$G$5:$G$92,"Tanah",'Daftar Koreksi'!$H$5:$H$92,"&gt;0")</f>
        <v>0</v>
      </c>
      <c r="F272" s="25">
        <f>SUMIFS('Daftar Koreksi'!$H$5:$H$92,'Daftar Koreksi'!$D$5:$D$92,'1500'!A268,'Daftar Koreksi'!$G$5:$G$92,"Tanah",'Daftar Koreksi'!$H$5:$H$92,"&lt;0")-SUMIFS('Daftar Koreksi'!$H$5:$H$92,'Daftar Koreksi'!$D$5:$D$92,'1500'!A268,'Daftar Koreksi'!$G$5:$G$92,"Tanah",'Daftar Koreksi'!$H$5:$H$92,"&lt;0")-SUMIFS('Daftar Koreksi'!$H$5:$H$92,'Daftar Koreksi'!$D$5:$D$92,'1500'!A268,'Daftar Koreksi'!$G$5:$G$92,"Tanah",'Daftar Koreksi'!$H$5:$H$92,"&lt;0")</f>
        <v>0</v>
      </c>
      <c r="G272" s="17">
        <f t="shared" ref="G272:G288" si="12">D272+E272-F272</f>
        <v>1514694800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1415386103</v>
      </c>
      <c r="E273" s="25">
        <f>SUMIFS('Daftar Koreksi'!$H$5:$H$92,'Daftar Koreksi'!$D$5:$D$92,'1500'!A268,'Daftar Koreksi'!$G$5:$G$92,"Peralatan dan mesin",'Daftar Koreksi'!$H$5:$H$92,"&gt;0")</f>
        <v>0</v>
      </c>
      <c r="F273" s="25">
        <f>SUMIFS('Daftar Koreksi'!$H$5:$H$92,'Daftar Koreksi'!$D$5:$D$92,'1500'!A268,'Daftar Koreksi'!$G$5:$G$92,"Peralatan dan mesin",'Daftar Koreksi'!$H$5:$H$92,"&lt;0")-SUMIFS('Daftar Koreksi'!$H$5:$H$92,'Daftar Koreksi'!$D$5:$D$92,'1500'!A268,'Daftar Koreksi'!$G$5:$G$92,"Peralatan dan mesin",'Daftar Koreksi'!$H$5:$H$92,"&lt;0")-SUMIFS('Daftar Koreksi'!$H$5:$H$92,'Daftar Koreksi'!$D$5:$D$92,'1500'!A268,'Daftar Koreksi'!$G$5:$G$92,"Peralatan dan mesin",'Daftar Koreksi'!$H$5:$H$92,"&lt;0")</f>
        <v>0</v>
      </c>
      <c r="G273" s="17">
        <f t="shared" si="12"/>
        <v>1415386103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3077307100</v>
      </c>
      <c r="E274" s="25">
        <f>SUMIFS('Daftar Koreksi'!$H$5:$H$92,'Daftar Koreksi'!$D$5:$D$92,'1500'!A268,'Daftar Koreksi'!$G$5:$G$92,"Gedung dan Bangunan",'Daftar Koreksi'!$H$5:$H$92,"&gt;0")</f>
        <v>0</v>
      </c>
      <c r="F274" s="25">
        <f>SUMIFS('Daftar Koreksi'!$H$5:$H$92,'Daftar Koreksi'!$D$5:$D$92,'1500'!A268,'Daftar Koreksi'!$G$5:$G$92,"Gedung dan Bangunan",'Daftar Koreksi'!$H$5:$H$92,"&lt;0")-SUMIFS('Daftar Koreksi'!$H$5:$H$92,'Daftar Koreksi'!$D$5:$D$92,'1500'!A268,'Daftar Koreksi'!$G$5:$G$92,"Gedung dan Bangunan",'Daftar Koreksi'!$H$5:$H$92,"&lt;0")-SUMIFS('Daftar Koreksi'!$H$5:$H$92,'Daftar Koreksi'!$D$5:$D$92,'1500'!A268,'Daftar Koreksi'!$G$5:$G$92,"Gedung dan Bangunan",'Daftar Koreksi'!$H$5:$H$92,"&lt;0")</f>
        <v>0</v>
      </c>
      <c r="G274" s="17">
        <f t="shared" si="12"/>
        <v>3077307100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55232350</v>
      </c>
      <c r="E275" s="25">
        <f>SUMIFS('Daftar Koreksi'!$H$5:$H$92,'Daftar Koreksi'!$D$5:$D$92,'1500'!A268,'Daftar Koreksi'!$G$5:$G$92,"Jalan Irigasi Jaringan",'Daftar Koreksi'!$H$5:$H$92,"&gt;0")</f>
        <v>0</v>
      </c>
      <c r="F275" s="25">
        <f>SUMIFS('Daftar Koreksi'!$H$5:$H$92,'Daftar Koreksi'!$D$5:$D$92,'1500'!A268,'Daftar Koreksi'!$G$5:$G$92,"Jalan Irigasi Jaringan",'Daftar Koreksi'!$H$5:$H$92,"&lt;0")-SUMIFS('Daftar Koreksi'!$H$5:$H$92,'Daftar Koreksi'!$D$5:$D$92,'1500'!A268,'Daftar Koreksi'!$G$5:$G$92,"Jalan Irigasi Jaringan",'Daftar Koreksi'!$H$5:$H$92,"&lt;0")-SUMIFS('Daftar Koreksi'!$H$5:$H$92,'Daftar Koreksi'!$D$5:$D$92,'1500'!A268,'Daftar Koreksi'!$G$5:$G$92,"Jalan Irigasi Jaringan",'Daftar Koreksi'!$H$5:$H$92,"&lt;0")</f>
        <v>0</v>
      </c>
      <c r="G275" s="17">
        <f t="shared" si="12"/>
        <v>55232350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53043440</v>
      </c>
      <c r="E276" s="25">
        <f>SUMIFS('Daftar Koreksi'!$H$5:$H$92,'Daftar Koreksi'!$D$5:$D$92,'1500'!A268,'Daftar Koreksi'!$G$5:$G$92,"Aset Tetap Lainnya",'Daftar Koreksi'!$H$5:$H$92,"&gt;0")</f>
        <v>0</v>
      </c>
      <c r="F276" s="25">
        <f>SUMIFS('Daftar Koreksi'!$H$5:$H$92,'Daftar Koreksi'!$D$5:$D$92,'1500'!A268,'Daftar Koreksi'!$G$5:$G$92,"Aset Tetap Lainnya",'Daftar Koreksi'!$H$5:$H$92,"&lt;0")-SUMIFS('Daftar Koreksi'!$H$5:$H$92,'Daftar Koreksi'!$D$5:$D$92,'1500'!A268,'Daftar Koreksi'!$G$5:$G$92,"Aset Tetap Lainnya",'Daftar Koreksi'!$H$5:$H$92,"&lt;0")-SUMIFS('Daftar Koreksi'!$H$5:$H$92,'Daftar Koreksi'!$D$5:$D$92,'1500'!A268,'Daftar Koreksi'!$G$5:$G$92,"Aset Tetap Lainnya",'Daftar Koreksi'!$H$5:$H$92,"&lt;0")</f>
        <v>0</v>
      </c>
      <c r="G276" s="17">
        <f t="shared" si="12"/>
        <v>53043440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Koreksi'!$D$5:$D$92,'1500'!A268,'Daftar Koreksi'!$G$5:$G$92,"Kontruksi Dalam Pengerjaan",'Daftar Koreksi'!$H$5:$H$92,"&gt;0")</f>
        <v>0</v>
      </c>
      <c r="F277" s="25">
        <f>SUMIFS('Daftar Koreksi'!$H$5:$H$92,'Daftar Koreksi'!$D$5:$D$92,'1500'!A268,'Daftar Koreksi'!$G$5:$G$92,"Kontruksi Dalam Pengerjaan",'Daftar Koreksi'!$H$5:$H$92,"&lt;0")-SUMIFS('Daftar Koreksi'!$H$5:$H$92,'Daftar Koreksi'!$D$5:$D$92,'1500'!A268,'Daftar Koreksi'!$G$5:$G$92,"Kontruksi Dalam Pengerjaan",'Daftar Koreksi'!$H$5:$H$92,"&lt;0")-SUMIFS('Daftar Koreksi'!$H$5:$H$92,'Daftar Koreksi'!$D$5:$D$92,'1500'!A268,'Daftar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Koreksi'!$D$5:$D$92,'1500'!A268,'Daftar Koreksi'!$G$5:$G$92,"Aset Tak Berwujud",'Daftar Koreksi'!$H$5:$H$92,"&gt;0")</f>
        <v>0</v>
      </c>
      <c r="F278" s="25">
        <f>SUMIFS('Daftar Koreksi'!$H$5:$H$92,'Daftar Koreksi'!$D$5:$D$92,'1500'!A268,'Daftar Koreksi'!$G$5:$G$92,"Aset Tak Berwujud",'Daftar Koreksi'!$H$5:$H$92,"&lt;0")-SUMIFS('Daftar Koreksi'!$H$5:$H$92,'Daftar Koreksi'!$D$5:$D$92,'1500'!A268,'Daftar Koreksi'!$G$5:$G$92,"Aset Tak Berwujud",'Daftar Koreksi'!$H$5:$H$92,"&lt;0")-SUMIFS('Daftar Koreksi'!$H$5:$H$92,'Daftar Koreksi'!$D$5:$D$92,'1500'!A268,'Daftar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2000000</v>
      </c>
      <c r="E279" s="25">
        <f>SUMIFS('Daftar Koreksi'!$H$5:$H$92,'Daftar Koreksi'!$D$5:$D$92,'1500'!A268,'Daftar Koreksi'!$G$5:$G$92,"Aset Henti Guna",'Daftar Koreksi'!$H$5:$H$92,"&gt;0")</f>
        <v>0</v>
      </c>
      <c r="F279" s="25">
        <f>SUMIFS('Daftar Koreksi'!$H$5:$H$92,'Daftar Koreksi'!$D$5:$D$92,'1500'!A268,'Daftar Koreksi'!$G$5:$G$92,"Aset Henti Guna",'Daftar Koreksi'!$H$5:$H$92,"&lt;0")-SUMIFS('Daftar Koreksi'!$H$5:$H$92,'Daftar Koreksi'!$D$5:$D$92,'1500'!A268,'Daftar Koreksi'!$G$5:$G$92,"Aset Henti Guna",'Daftar Koreksi'!$H$5:$H$92,"&lt;0")-SUMIFS('Daftar Koreksi'!$H$5:$H$92,'Daftar Koreksi'!$D$5:$D$92,'1500'!A268,'Daftar Koreksi'!$G$5:$G$92,"Aset Henti Guna",'Daftar Koreksi'!$H$5:$H$92,"&lt;0")</f>
        <v>0</v>
      </c>
      <c r="G279" s="17">
        <f t="shared" si="12"/>
        <v>2000000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6117663793</v>
      </c>
      <c r="E280" s="19">
        <f>SUM(E271:E279)</f>
        <v>0</v>
      </c>
      <c r="F280" s="19">
        <f>SUM(F271:F279)</f>
        <v>0</v>
      </c>
      <c r="G280" s="19">
        <f t="shared" si="12"/>
        <v>6117663793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-1258248791</v>
      </c>
      <c r="E281" s="25">
        <f>SUMIFS('Daftar Koreksi'!$I$5:$I$92,'Daftar Koreksi'!$D$5:$D$92,'1500'!A268,'Daftar Koreksi'!$G$5:$G$92,"Peralatan dan mesin",'Daftar Koreksi'!$I$5:$I$92,"&gt;0")</f>
        <v>0</v>
      </c>
      <c r="F281" s="25">
        <f>SUMIFS('Daftar Koreksi'!$I$5:$I$92,'Daftar Koreksi'!$D$5:$D$92,'1500'!A268,'Daftar Koreksi'!$G$5:$G$92,"Peralatan dan mesin",'Daftar Koreksi'!$I$5:$I$92,"&lt;0")-SUMIFS('Daftar Koreksi'!$I$5:$I$92,'Daftar Koreksi'!$D$5:$D$92,'1500'!A268,'Daftar Koreksi'!$G$5:$G$92,"Peralatan dan mesin",'Daftar Koreksi'!$I$5:$I$92,"&lt;0")-SUMIFS('Daftar Koreksi'!$I$5:$I$92,'Daftar Koreksi'!$D$5:$D$92,'1500'!A268,'Daftar Koreksi'!$G$5:$G$92,"Peralatan dan mesin",'Daftar Koreksi'!$I$5:$I$92,"&lt;0")</f>
        <v>0</v>
      </c>
      <c r="G281" s="17">
        <f t="shared" si="12"/>
        <v>-1258248791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-1539097391</v>
      </c>
      <c r="E282" s="25">
        <f>SUMIFS('Daftar Koreksi'!$I$5:$I$92,'Daftar Koreksi'!$D$5:$D$92,'1500'!A268,'Daftar Koreksi'!$G$5:$G$92,"Gedung dan Bangunan",'Daftar Koreksi'!$I$5:$I$92,"&gt;0")</f>
        <v>0</v>
      </c>
      <c r="F282" s="25">
        <f>SUMIFS('Daftar Koreksi'!$I$5:$I$92,'Daftar Koreksi'!$D$5:$D$92,'1500'!A268,'Daftar Koreksi'!$G$5:$G$92,"Gedung dan Bangunan",'Daftar Koreksi'!$I$5:$I$92,"&lt;0")-SUMIFS('Daftar Koreksi'!$I$5:$I$92,'Daftar Koreksi'!$D$5:$D$92,'1500'!A268,'Daftar Koreksi'!$G$5:$G$92,"Gedung dan Bangunan",'Daftar Koreksi'!$I$5:$I$92,"&lt;0")-SUMIFS('Daftar Koreksi'!$I$5:$I$92,'Daftar Koreksi'!$D$5:$D$92,'1500'!A268,'Daftar Koreksi'!$G$5:$G$92,"Gedung dan Bangunan",'Daftar Koreksi'!$I$5:$I$92,"&lt;0")</f>
        <v>0</v>
      </c>
      <c r="G282" s="17">
        <f t="shared" si="12"/>
        <v>-1539097391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-11736872</v>
      </c>
      <c r="E283" s="25">
        <f>SUMIFS('Daftar Koreksi'!$I$5:$I$92,'Daftar Koreksi'!$D$5:$D$92,'1500'!A268,'Daftar Koreksi'!$G$5:$G$92,"Jalan Irigasi Jaringan",'Daftar Koreksi'!$I$5:$I$92,"&gt;0")</f>
        <v>0</v>
      </c>
      <c r="F283" s="25">
        <f>SUMIFS('Daftar Koreksi'!$I$5:$I$92,'Daftar Koreksi'!$D$5:$D$92,'1500'!A268,'Daftar Koreksi'!$G$5:$G$92,"Jalan Irigasi Jaringan",'Daftar Koreksi'!$I$5:$I$92,"&lt;0")-SUMIFS('Daftar Koreksi'!$I$5:$I$92,'Daftar Koreksi'!$D$5:$D$92,'1500'!A268,'Daftar Koreksi'!$G$5:$G$92,"Jalan Irigasi Jaringan",'Daftar Koreksi'!$I$5:$I$92,"&lt;0")-SUMIFS('Daftar Koreksi'!$I$5:$I$92,'Daftar Koreksi'!$D$5:$D$92,'1500'!A268,'Daftar Koreksi'!$G$5:$G$92,"Jalan Irigasi Jaringan",'Daftar Koreksi'!$I$5:$I$92,"&lt;0")</f>
        <v>0</v>
      </c>
      <c r="G283" s="17">
        <f t="shared" si="12"/>
        <v>-11736872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Koreksi'!$D$5:$D$92,'1500'!A268,'Daftar Koreksi'!$G$5:$G$92,"Aset Tetap Lainnya",'Daftar Koreksi'!$I$5:$I$92,"&gt;0")</f>
        <v>0</v>
      </c>
      <c r="F284" s="25">
        <f>SUMIFS('Daftar Koreksi'!$I$5:$I$92,'Daftar Koreksi'!$D$5:$D$92,'1500'!A268,'Daftar Koreksi'!$G$5:$G$92,"Aset Tetap Lainnya",'Daftar Koreksi'!$I$5:$I$92,"&lt;0")-SUMIFS('Daftar Koreksi'!$I$5:$I$92,'Daftar Koreksi'!$D$5:$D$92,'1500'!A268,'Daftar Koreksi'!$G$5:$G$92,"Aset Tetap Lainnya",'Daftar Koreksi'!$I$5:$I$92,"&lt;0")-SUMIFS('Daftar Koreksi'!$I$5:$I$92,'Daftar Koreksi'!$D$5:$D$92,'1500'!A268,'Daftar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-1400000</v>
      </c>
      <c r="E285" s="25">
        <f>SUMIFS('Daftar Koreksi'!$I$5:$I$92,'Daftar Koreksi'!$D$5:$D$92,'1500'!A268,'Daftar Koreksi'!$G$5:$G$92,"Aset Henti Guna",'Daftar Koreksi'!$I$5:$I$92,"&gt;0")</f>
        <v>0</v>
      </c>
      <c r="F285" s="25">
        <f>SUMIFS('Daftar Koreksi'!$I$5:$I$92,'Daftar Koreksi'!$D$5:$D$92,'1500'!A268,'Daftar Koreksi'!$G$5:$G$92,"Aset Henti Guna",'Daftar Koreksi'!$I$5:$I$92,"&lt;0")-SUMIFS('Daftar Koreksi'!$I$5:$I$92,'Daftar Koreksi'!$D$5:$D$92,'1500'!A268,'Daftar Koreksi'!$G$5:$G$92,"Aset Henti Guna",'Daftar Koreksi'!$I$5:$I$92,"&lt;0")-SUMIFS('Daftar Koreksi'!$I$5:$I$92,'Daftar Koreksi'!$D$5:$D$92,'1500'!A268,'Daftar Koreksi'!$G$5:$G$92,"Aset Henti Guna",'Daftar Koreksi'!$I$5:$I$92,"&lt;0")</f>
        <v>0</v>
      </c>
      <c r="G285" s="17">
        <f t="shared" si="12"/>
        <v>-1400000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-2810483054</v>
      </c>
      <c r="E286" s="19">
        <f>SUM(E281:E285)</f>
        <v>0</v>
      </c>
      <c r="F286" s="19">
        <f>SUM(F281:F285)</f>
        <v>0</v>
      </c>
      <c r="G286" s="19">
        <f t="shared" si="12"/>
        <v>-2810483054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3307180739</v>
      </c>
      <c r="E287" s="19">
        <f>E286+E280</f>
        <v>0</v>
      </c>
      <c r="F287" s="19">
        <f>F286+F280</f>
        <v>0</v>
      </c>
      <c r="G287" s="19">
        <f t="shared" si="12"/>
        <v>3307180739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005011500400282000KD</v>
      </c>
      <c r="B290" s="11" t="str">
        <f>P14</f>
        <v>PN. Pleihari</v>
      </c>
      <c r="C290" s="12" t="str">
        <f>A290&amp;" "&amp;B290</f>
        <v>005011500400282000KD PN. Pleihari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0</v>
      </c>
      <c r="E293" s="25">
        <f>SUMIFS('Daftar Koreksi'!$H$5:$H$92,'Daftar Koreksi'!$D$5:$D$92,'1500'!A290,'Daftar Koreksi'!$G$5:$G$92,"Persediaan",'Daftar Koreksi'!$H$5:$H$92,"&gt;0")</f>
        <v>0</v>
      </c>
      <c r="F293" s="25">
        <f>SUMIFS('Daftar Koreksi'!$H$5:$H$92,'Daftar Koreksi'!$D$5:$D$92,'1500'!A290,'Daftar Koreksi'!$G$5:$G$92,"Persediaan",'Daftar Koreksi'!$H$5:$H$92,"&lt;0")-SUMIFS('Daftar Koreksi'!$H$5:$H$92,'Daftar Koreksi'!$D$5:$D$92,'1500'!A290,'Daftar Koreksi'!$G$5:$G$92,"Persediaan",'Daftar Koreksi'!$H$5:$H$92,"&lt;0")-SUMIFS('Daftar Koreksi'!$H$5:$H$92,'Daftar Koreksi'!$D$5:$D$92,'1500'!A290,'Daftar Koreksi'!$G$5:$G$92,"Persediaan",'Daftar Koreksi'!$H$5:$H$92,"&lt;0")</f>
        <v>0</v>
      </c>
      <c r="G293" s="17">
        <f>D293+E293-F293</f>
        <v>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7500000000</v>
      </c>
      <c r="E294" s="25">
        <f>SUMIFS('Daftar Koreksi'!$H$5:$H$92,'Daftar Koreksi'!$D$5:$D$92,'1500'!A290,'Daftar Koreksi'!$G$5:$G$92,"Tanah",'Daftar Koreksi'!$H$5:$H$92,"&gt;0")</f>
        <v>0</v>
      </c>
      <c r="F294" s="25">
        <f>SUMIFS('Daftar Koreksi'!$H$5:$H$92,'Daftar Koreksi'!$D$5:$D$92,'1500'!A290,'Daftar Koreksi'!$G$5:$G$92,"Tanah",'Daftar Koreksi'!$H$5:$H$92,"&lt;0")-SUMIFS('Daftar Koreksi'!$H$5:$H$92,'Daftar Koreksi'!$D$5:$D$92,'1500'!A290,'Daftar Koreksi'!$G$5:$G$92,"Tanah",'Daftar Koreksi'!$H$5:$H$92,"&lt;0")-SUMIFS('Daftar Koreksi'!$H$5:$H$92,'Daftar Koreksi'!$D$5:$D$92,'1500'!A290,'Daftar Koreksi'!$G$5:$G$92,"Tanah",'Daftar Koreksi'!$H$5:$H$92,"&lt;0")</f>
        <v>0</v>
      </c>
      <c r="G294" s="17">
        <f t="shared" ref="G294:G310" si="13">D294+E294-F294</f>
        <v>7500000000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1254730828</v>
      </c>
      <c r="E295" s="25">
        <f>SUMIFS('Daftar Koreksi'!$H$5:$H$92,'Daftar Koreksi'!$D$5:$D$92,'1500'!A290,'Daftar Koreksi'!$G$5:$G$92,"Peralatan dan mesin",'Daftar Koreksi'!$H$5:$H$92,"&gt;0")</f>
        <v>0</v>
      </c>
      <c r="F295" s="25">
        <f>SUMIFS('Daftar Koreksi'!$H$5:$H$92,'Daftar Koreksi'!$D$5:$D$92,'1500'!A290,'Daftar Koreksi'!$G$5:$G$92,"Peralatan dan mesin",'Daftar Koreksi'!$H$5:$H$92,"&lt;0")-SUMIFS('Daftar Koreksi'!$H$5:$H$92,'Daftar Koreksi'!$D$5:$D$92,'1500'!A290,'Daftar Koreksi'!$G$5:$G$92,"Peralatan dan mesin",'Daftar Koreksi'!$H$5:$H$92,"&lt;0")-SUMIFS('Daftar Koreksi'!$H$5:$H$92,'Daftar Koreksi'!$D$5:$D$92,'1500'!A290,'Daftar Koreksi'!$G$5:$G$92,"Peralatan dan mesin",'Daftar Koreksi'!$H$5:$H$92,"&lt;0")</f>
        <v>0</v>
      </c>
      <c r="G295" s="17">
        <f t="shared" si="13"/>
        <v>1254730828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3908020000</v>
      </c>
      <c r="E296" s="25">
        <f>SUMIFS('Daftar Koreksi'!$H$5:$H$92,'Daftar Koreksi'!$D$5:$D$92,'1500'!A290,'Daftar Koreksi'!$G$5:$G$92,"Gedung dan Bangunan",'Daftar Koreksi'!$H$5:$H$92,"&gt;0")</f>
        <v>0</v>
      </c>
      <c r="F296" s="25">
        <f>SUMIFS('Daftar Koreksi'!$H$5:$H$92,'Daftar Koreksi'!$D$5:$D$92,'1500'!A290,'Daftar Koreksi'!$G$5:$G$92,"Gedung dan Bangunan",'Daftar Koreksi'!$H$5:$H$92,"&lt;0")-SUMIFS('Daftar Koreksi'!$H$5:$H$92,'Daftar Koreksi'!$D$5:$D$92,'1500'!A290,'Daftar Koreksi'!$G$5:$G$92,"Gedung dan Bangunan",'Daftar Koreksi'!$H$5:$H$92,"&lt;0")-SUMIFS('Daftar Koreksi'!$H$5:$H$92,'Daftar Koreksi'!$D$5:$D$92,'1500'!A290,'Daftar Koreksi'!$G$5:$G$92,"Gedung dan Bangunan",'Daftar Koreksi'!$H$5:$H$92,"&lt;0")</f>
        <v>0</v>
      </c>
      <c r="G296" s="17">
        <f t="shared" si="13"/>
        <v>3908020000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133545750</v>
      </c>
      <c r="E297" s="25">
        <f>SUMIFS('Daftar Koreksi'!$H$5:$H$92,'Daftar Koreksi'!$D$5:$D$92,'1500'!A290,'Daftar Koreksi'!$G$5:$G$92,"Jalan Irigasi Jaringan",'Daftar Koreksi'!$H$5:$H$92,"&gt;0")</f>
        <v>0</v>
      </c>
      <c r="F297" s="25">
        <f>SUMIFS('Daftar Koreksi'!$H$5:$H$92,'Daftar Koreksi'!$D$5:$D$92,'1500'!A290,'Daftar Koreksi'!$G$5:$G$92,"Jalan Irigasi Jaringan",'Daftar Koreksi'!$H$5:$H$92,"&lt;0")-SUMIFS('Daftar Koreksi'!$H$5:$H$92,'Daftar Koreksi'!$D$5:$D$92,'1500'!A290,'Daftar Koreksi'!$G$5:$G$92,"Jalan Irigasi Jaringan",'Daftar Koreksi'!$H$5:$H$92,"&lt;0")-SUMIFS('Daftar Koreksi'!$H$5:$H$92,'Daftar Koreksi'!$D$5:$D$92,'1500'!A290,'Daftar Koreksi'!$G$5:$G$92,"Jalan Irigasi Jaringan",'Daftar Koreksi'!$H$5:$H$92,"&lt;0")</f>
        <v>0</v>
      </c>
      <c r="G297" s="17">
        <f t="shared" si="13"/>
        <v>133545750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136378440</v>
      </c>
      <c r="E298" s="25">
        <f>SUMIFS('Daftar Koreksi'!$H$5:$H$92,'Daftar Koreksi'!$D$5:$D$92,'1500'!A290,'Daftar Koreksi'!$G$5:$G$92,"Aset Tetap Lainnya",'Daftar Koreksi'!$H$5:$H$92,"&gt;0")</f>
        <v>0</v>
      </c>
      <c r="F298" s="25">
        <f>SUMIFS('Daftar Koreksi'!$H$5:$H$92,'Daftar Koreksi'!$D$5:$D$92,'1500'!A290,'Daftar Koreksi'!$G$5:$G$92,"Aset Tetap Lainnya",'Daftar Koreksi'!$H$5:$H$92,"&lt;0")-SUMIFS('Daftar Koreksi'!$H$5:$H$92,'Daftar Koreksi'!$D$5:$D$92,'1500'!A290,'Daftar Koreksi'!$G$5:$G$92,"Aset Tetap Lainnya",'Daftar Koreksi'!$H$5:$H$92,"&lt;0")-SUMIFS('Daftar Koreksi'!$H$5:$H$92,'Daftar Koreksi'!$D$5:$D$92,'1500'!A290,'Daftar Koreksi'!$G$5:$G$92,"Aset Tetap Lainnya",'Daftar Koreksi'!$H$5:$H$92,"&lt;0")</f>
        <v>0</v>
      </c>
      <c r="G298" s="17">
        <f t="shared" si="13"/>
        <v>136378440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Koreksi'!$D$5:$D$92,'1500'!A290,'Daftar Koreksi'!$G$5:$G$92,"Kontruksi Dalam Pengerjaan",'Daftar Koreksi'!$H$5:$H$92,"&gt;0")</f>
        <v>0</v>
      </c>
      <c r="F299" s="25">
        <f>SUMIFS('Daftar Koreksi'!$H$5:$H$92,'Daftar Koreksi'!$D$5:$D$92,'1500'!A290,'Daftar Koreksi'!$G$5:$G$92,"Kontruksi Dalam Pengerjaan",'Daftar Koreksi'!$H$5:$H$92,"&lt;0")-SUMIFS('Daftar Koreksi'!$H$5:$H$92,'Daftar Koreksi'!$D$5:$D$92,'1500'!A290,'Daftar Koreksi'!$G$5:$G$92,"Kontruksi Dalam Pengerjaan",'Daftar Koreksi'!$H$5:$H$92,"&lt;0")-SUMIFS('Daftar Koreksi'!$H$5:$H$92,'Daftar Koreksi'!$D$5:$D$92,'1500'!A290,'Daftar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Koreksi'!$D$5:$D$92,'1500'!A290,'Daftar Koreksi'!$G$5:$G$92,"Aset Tak Berwujud",'Daftar Koreksi'!$H$5:$H$92,"&gt;0")</f>
        <v>0</v>
      </c>
      <c r="F300" s="25">
        <f>SUMIFS('Daftar Koreksi'!$H$5:$H$92,'Daftar Koreksi'!$D$5:$D$92,'1500'!A290,'Daftar Koreksi'!$G$5:$G$92,"Aset Tak Berwujud",'Daftar Koreksi'!$H$5:$H$92,"&lt;0")-SUMIFS('Daftar Koreksi'!$H$5:$H$92,'Daftar Koreksi'!$D$5:$D$92,'1500'!A290,'Daftar Koreksi'!$G$5:$G$92,"Aset Tak Berwujud",'Daftar Koreksi'!$H$5:$H$92,"&lt;0")-SUMIFS('Daftar Koreksi'!$H$5:$H$92,'Daftar Koreksi'!$D$5:$D$92,'1500'!A290,'Daftar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Koreksi'!$D$5:$D$92,'1500'!A290,'Daftar Koreksi'!$G$5:$G$92,"Aset Henti Guna",'Daftar Koreksi'!$H$5:$H$92,"&gt;0")</f>
        <v>0</v>
      </c>
      <c r="F301" s="25">
        <f>SUMIFS('Daftar Koreksi'!$H$5:$H$92,'Daftar Koreksi'!$D$5:$D$92,'1500'!A290,'Daftar Koreksi'!$G$5:$G$92,"Aset Henti Guna",'Daftar Koreksi'!$H$5:$H$92,"&lt;0")-SUMIFS('Daftar Koreksi'!$H$5:$H$92,'Daftar Koreksi'!$D$5:$D$92,'1500'!A290,'Daftar Koreksi'!$G$5:$G$92,"Aset Henti Guna",'Daftar Koreksi'!$H$5:$H$92,"&lt;0")-SUMIFS('Daftar Koreksi'!$H$5:$H$92,'Daftar Koreksi'!$D$5:$D$92,'1500'!A290,'Daftar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12932675018</v>
      </c>
      <c r="E302" s="19">
        <f>SUM(E293:E301)</f>
        <v>0</v>
      </c>
      <c r="F302" s="19">
        <f>SUM(F293:F301)</f>
        <v>0</v>
      </c>
      <c r="G302" s="19">
        <f t="shared" si="13"/>
        <v>12932675018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-1144032456</v>
      </c>
      <c r="E303" s="25">
        <f>SUMIFS('Daftar Koreksi'!$I$5:$I$92,'Daftar Koreksi'!$D$5:$D$92,'1500'!A290,'Daftar Koreksi'!$G$5:$G$92,"Peralatan dan mesin",'Daftar Koreksi'!$I$5:$I$92,"&gt;0")</f>
        <v>0</v>
      </c>
      <c r="F303" s="25">
        <f>SUMIFS('Daftar Koreksi'!$I$5:$I$92,'Daftar Koreksi'!$D$5:$D$92,'1500'!A290,'Daftar Koreksi'!$G$5:$G$92,"Peralatan dan mesin",'Daftar Koreksi'!$I$5:$I$92,"&lt;0")-SUMIFS('Daftar Koreksi'!$I$5:$I$92,'Daftar Koreksi'!$D$5:$D$92,'1500'!A290,'Daftar Koreksi'!$G$5:$G$92,"Peralatan dan mesin",'Daftar Koreksi'!$I$5:$I$92,"&lt;0")-SUMIFS('Daftar Koreksi'!$I$5:$I$92,'Daftar Koreksi'!$D$5:$D$92,'1500'!A290,'Daftar Koreksi'!$G$5:$G$92,"Peralatan dan mesin",'Daftar Koreksi'!$I$5:$I$92,"&lt;0")</f>
        <v>0</v>
      </c>
      <c r="G303" s="17">
        <f t="shared" si="13"/>
        <v>-1144032456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-781083959</v>
      </c>
      <c r="E304" s="25">
        <f>SUMIFS('Daftar Koreksi'!$I$5:$I$92,'Daftar Koreksi'!$D$5:$D$92,'1500'!A290,'Daftar Koreksi'!$G$5:$G$92,"Gedung dan Bangunan",'Daftar Koreksi'!$I$5:$I$92,"&gt;0")</f>
        <v>0</v>
      </c>
      <c r="F304" s="25">
        <f>SUMIFS('Daftar Koreksi'!$I$5:$I$92,'Daftar Koreksi'!$D$5:$D$92,'1500'!A290,'Daftar Koreksi'!$G$5:$G$92,"Gedung dan Bangunan",'Daftar Koreksi'!$I$5:$I$92,"&lt;0")-SUMIFS('Daftar Koreksi'!$I$5:$I$92,'Daftar Koreksi'!$D$5:$D$92,'1500'!A290,'Daftar Koreksi'!$G$5:$G$92,"Gedung dan Bangunan",'Daftar Koreksi'!$I$5:$I$92,"&lt;0")-SUMIFS('Daftar Koreksi'!$I$5:$I$92,'Daftar Koreksi'!$D$5:$D$92,'1500'!A290,'Daftar Koreksi'!$G$5:$G$92,"Gedung dan Bangunan",'Daftar Koreksi'!$I$5:$I$92,"&lt;0")</f>
        <v>0</v>
      </c>
      <c r="G304" s="17">
        <f t="shared" si="13"/>
        <v>-781083959</v>
      </c>
      <c r="H304" s="122"/>
    </row>
    <row r="305" spans="1:10" ht="21.95" customHeight="1">
      <c r="A305" s="14"/>
      <c r="B305" s="14"/>
      <c r="C305" s="16" t="s">
        <v>2089</v>
      </c>
      <c r="D305" s="17">
        <f>VLOOKUP(A290,'Neraca Unaudited SIMAK'!$A$2:$S$10004,15,FALSE)</f>
        <v>-84921610</v>
      </c>
      <c r="E305" s="25">
        <f>SUMIFS('Daftar Koreksi'!$I$5:$I$92,'Daftar Koreksi'!$D$5:$D$92,'1500'!A290,'Daftar Koreksi'!$G$5:$G$92,"Jalan Irigasi Jaringan",'Daftar Koreksi'!$I$5:$I$92,"&gt;0")</f>
        <v>0</v>
      </c>
      <c r="F305" s="25">
        <f>SUMIFS('Daftar Koreksi'!$I$5:$I$92,'Daftar Koreksi'!$D$5:$D$92,'1500'!A290,'Daftar Koreksi'!$G$5:$G$92,"Jalan Irigasi Jaringan",'Daftar Koreksi'!$I$5:$I$92,"&lt;0")-SUMIFS('Daftar Koreksi'!$I$5:$I$92,'Daftar Koreksi'!$D$5:$D$92,'1500'!A290,'Daftar Koreksi'!$G$5:$G$92,"Jalan Irigasi Jaringan",'Daftar Koreksi'!$I$5:$I$92,"&lt;0")-SUMIFS('Daftar Koreksi'!$I$5:$I$92,'Daftar Koreksi'!$D$5:$D$92,'1500'!A290,'Daftar Koreksi'!$G$5:$G$92,"Jalan Irigasi Jaringan",'Daftar Koreksi'!$I$5:$I$92,"&lt;0")</f>
        <v>0</v>
      </c>
      <c r="G305" s="17">
        <f t="shared" si="13"/>
        <v>-84921610</v>
      </c>
      <c r="H305" s="122"/>
    </row>
    <row r="306" spans="1:10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Koreksi'!$D$5:$D$92,'1500'!A290,'Daftar Koreksi'!$G$5:$G$92,"Aset Tetap Lainnya",'Daftar Koreksi'!$I$5:$I$92,"&gt;0")</f>
        <v>0</v>
      </c>
      <c r="F306" s="25">
        <f>SUMIFS('Daftar Koreksi'!$I$5:$I$92,'Daftar Koreksi'!$D$5:$D$92,'1500'!A290,'Daftar Koreksi'!$G$5:$G$92,"Aset Tetap Lainnya",'Daftar Koreksi'!$I$5:$I$92,"&lt;0")-SUMIFS('Daftar Koreksi'!$I$5:$I$92,'Daftar Koreksi'!$D$5:$D$92,'1500'!A290,'Daftar Koreksi'!$G$5:$G$92,"Aset Tetap Lainnya",'Daftar Koreksi'!$I$5:$I$92,"&lt;0")-SUMIFS('Daftar Koreksi'!$I$5:$I$92,'Daftar Koreksi'!$D$5:$D$92,'1500'!A290,'Daftar Koreksi'!$G$5:$G$92,"Aset Tetap Lainnya",'Daftar Koreksi'!$I$5:$I$92,"&lt;0")</f>
        <v>0</v>
      </c>
      <c r="G306" s="17">
        <f t="shared" si="13"/>
        <v>0</v>
      </c>
      <c r="H306" s="122"/>
    </row>
    <row r="307" spans="1:10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Koreksi'!$D$5:$D$92,'1500'!A290,'Daftar Koreksi'!$G$5:$G$92,"Aset Henti Guna",'Daftar Koreksi'!$I$5:$I$92,"&gt;0")</f>
        <v>0</v>
      </c>
      <c r="F307" s="25">
        <f>SUMIFS('Daftar Koreksi'!$I$5:$I$92,'Daftar Koreksi'!$D$5:$D$92,'1500'!A290,'Daftar Koreksi'!$G$5:$G$92,"Aset Henti Guna",'Daftar Koreksi'!$I$5:$I$92,"&lt;0")-SUMIFS('Daftar Koreksi'!$I$5:$I$92,'Daftar Koreksi'!$D$5:$D$92,'1500'!A290,'Daftar Koreksi'!$G$5:$G$92,"Aset Henti Guna",'Daftar Koreksi'!$I$5:$I$92,"&lt;0")-SUMIFS('Daftar Koreksi'!$I$5:$I$92,'Daftar Koreksi'!$D$5:$D$92,'1500'!A290,'Daftar Koreksi'!$G$5:$G$92,"Aset Henti Guna",'Daftar Koreksi'!$I$5:$I$92,"&lt;0")</f>
        <v>0</v>
      </c>
      <c r="G307" s="17">
        <f t="shared" si="13"/>
        <v>0</v>
      </c>
      <c r="H307" s="122"/>
    </row>
    <row r="308" spans="1:10" ht="21.95" customHeight="1">
      <c r="A308" s="14"/>
      <c r="B308" s="14"/>
      <c r="C308" s="18" t="s">
        <v>2094</v>
      </c>
      <c r="D308" s="19">
        <f>SUM(D303:D307)</f>
        <v>-2010038025</v>
      </c>
      <c r="E308" s="19">
        <f>SUM(E303:E307)</f>
        <v>0</v>
      </c>
      <c r="F308" s="19">
        <f>SUM(F303:F307)</f>
        <v>0</v>
      </c>
      <c r="G308" s="19">
        <f t="shared" si="13"/>
        <v>-2010038025</v>
      </c>
      <c r="H308" s="122"/>
    </row>
    <row r="309" spans="1:10" ht="21.95" customHeight="1">
      <c r="A309" s="14"/>
      <c r="B309" s="14"/>
      <c r="C309" s="18" t="s">
        <v>2095</v>
      </c>
      <c r="D309" s="19">
        <f>VLOOKUP(A290,'Neraca Unaudited SIMAK'!$A$2:$S$10004,18,FALSE)</f>
        <v>10922636993</v>
      </c>
      <c r="E309" s="19">
        <f>E308+E302</f>
        <v>0</v>
      </c>
      <c r="F309" s="19">
        <f>F308+F302</f>
        <v>0</v>
      </c>
      <c r="G309" s="19">
        <f t="shared" si="13"/>
        <v>10922636993</v>
      </c>
      <c r="H309" s="122"/>
    </row>
    <row r="310" spans="1:10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10" ht="19.5" customHeight="1">
      <c r="A312" s="11" t="str">
        <f>O15</f>
        <v>005011500402449000KD</v>
      </c>
      <c r="B312" s="11" t="str">
        <f>P15</f>
        <v>PTA. Banjarmasin</v>
      </c>
      <c r="C312" s="12" t="str">
        <f>A312&amp;" "&amp;B312</f>
        <v>005011500402449000KD PTA. Banjarmasin</v>
      </c>
      <c r="D312" s="13"/>
      <c r="E312" s="13"/>
      <c r="F312" s="13"/>
      <c r="G312" s="13"/>
      <c r="H312" s="11"/>
    </row>
    <row r="313" spans="1:10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10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10" ht="21.95" customHeight="1">
      <c r="A315" s="14"/>
      <c r="B315" s="14"/>
      <c r="C315" s="16" t="s">
        <v>1165</v>
      </c>
      <c r="D315" s="17">
        <f>VLOOKUP(A312,'Neraca Unaudited SIMAK'!$A$2:$S$10004,3,FALSE)</f>
        <v>2770300</v>
      </c>
      <c r="E315" s="25">
        <f>SUMIFS('Daftar Koreksi'!$H$5:$H$92,'Daftar Koreksi'!$D$5:$D$92,'1500'!A312,'Daftar Koreksi'!$G$5:$G$92,"Persediaan",'Daftar Koreksi'!$H$5:$H$92,"&gt;0")</f>
        <v>0</v>
      </c>
      <c r="F315" s="25">
        <f>SUMIFS('Daftar Koreksi'!$H$5:$H$92,'Daftar Koreksi'!$D$5:$D$92,'1500'!A312,'Daftar Koreksi'!$G$5:$G$92,"Persediaan",'Daftar Koreksi'!$H$5:$H$92,"&lt;0")-SUMIFS('Daftar Koreksi'!$H$5:$H$92,'Daftar Koreksi'!$D$5:$D$92,'1500'!A312,'Daftar Koreksi'!$G$5:$G$92,"Persediaan",'Daftar Koreksi'!$H$5:$H$92,"&lt;0")-SUMIFS('Daftar Koreksi'!$H$5:$H$92,'Daftar Koreksi'!$D$5:$D$92,'1500'!A312,'Daftar Koreksi'!$G$5:$G$92,"Persediaan",'Daftar Koreksi'!$H$5:$H$92,"&lt;0")</f>
        <v>0</v>
      </c>
      <c r="G315" s="17">
        <f>D315+E315-F315</f>
        <v>2770300</v>
      </c>
      <c r="H315" s="121" t="str">
        <f>IF(ISNA(VLOOKUP(A312,'Mutasi Neraca'!$A$3:$S$914,19,FALSE)),"-",VLOOKUP(A312,'Mutasi Neraca'!$A$3:$S$914,19,FALSE))</f>
        <v>-</v>
      </c>
      <c r="I315" s="28"/>
      <c r="J315" s="28"/>
    </row>
    <row r="316" spans="1:10" ht="21.95" customHeight="1">
      <c r="A316" s="14"/>
      <c r="B316" s="14"/>
      <c r="C316" s="16" t="s">
        <v>1166</v>
      </c>
      <c r="D316" s="17">
        <f>VLOOKUP(A312,'Neraca Unaudited SIMAK'!$A$2:$S$10004,4,FALSE)</f>
        <v>6727468000</v>
      </c>
      <c r="E316" s="25">
        <f>SUMIFS('Daftar Koreksi'!$H$5:$H$92,'Daftar Koreksi'!$D$5:$D$92,'1500'!A312,'Daftar Koreksi'!$G$5:$G$92,"Tanah",'Daftar Koreksi'!$H$5:$H$92,"&gt;0")</f>
        <v>0</v>
      </c>
      <c r="F316" s="25">
        <f>SUMIFS('Daftar Koreksi'!$H$5:$H$92,'Daftar Koreksi'!$D$5:$D$92,'1500'!A312,'Daftar Koreksi'!$G$5:$G$92,"Tanah",'Daftar Koreksi'!$H$5:$H$92,"&lt;0")-SUMIFS('Daftar Koreksi'!$H$5:$H$92,'Daftar Koreksi'!$D$5:$D$92,'1500'!A312,'Daftar Koreksi'!$G$5:$G$92,"Tanah",'Daftar Koreksi'!$H$5:$H$92,"&lt;0")-SUMIFS('Daftar Koreksi'!$H$5:$H$92,'Daftar Koreksi'!$D$5:$D$92,'1500'!A312,'Daftar Koreksi'!$G$5:$G$92,"Tanah",'Daftar Koreksi'!$H$5:$H$92,"&lt;0")</f>
        <v>0</v>
      </c>
      <c r="G316" s="17">
        <f t="shared" ref="G316:G332" si="14">D316+E316-F316</f>
        <v>6727468000</v>
      </c>
      <c r="H316" s="122"/>
      <c r="I316" s="28"/>
      <c r="J316" s="28"/>
    </row>
    <row r="317" spans="1:10" ht="21.95" customHeight="1">
      <c r="A317" s="14"/>
      <c r="B317" s="14"/>
      <c r="C317" s="16" t="s">
        <v>1167</v>
      </c>
      <c r="D317" s="17">
        <f>VLOOKUP(A312,'Neraca Unaudited SIMAK'!$A$2:$S$10004,5,FALSE)</f>
        <v>4484344419</v>
      </c>
      <c r="E317" s="25">
        <f>SUMIFS('Daftar Koreksi'!$H$5:$H$92,'Daftar Koreksi'!$D$5:$D$92,'1500'!A312,'Daftar Koreksi'!$G$5:$G$92,"Peralatan dan mesin",'Daftar Koreksi'!$H$5:$H$92,"&gt;0")</f>
        <v>0</v>
      </c>
      <c r="F317" s="25">
        <f>SUMIFS('Daftar Koreksi'!$H$5:$H$92,'Daftar Koreksi'!$D$5:$D$92,'1500'!A312,'Daftar Koreksi'!$G$5:$G$92,"Peralatan dan mesin",'Daftar Koreksi'!$H$5:$H$92,"&lt;0")-SUMIFS('Daftar Koreksi'!$H$5:$H$92,'Daftar Koreksi'!$D$5:$D$92,'1500'!A312,'Daftar Koreksi'!$G$5:$G$92,"Peralatan dan mesin",'Daftar Koreksi'!$H$5:$H$92,"&lt;0")-SUMIFS('Daftar Koreksi'!$H$5:$H$92,'Daftar Koreksi'!$D$5:$D$92,'1500'!A312,'Daftar Koreksi'!$G$5:$G$92,"Peralatan dan mesin",'Daftar Koreksi'!$H$5:$H$92,"&lt;0")</f>
        <v>0</v>
      </c>
      <c r="G317" s="17">
        <f t="shared" si="14"/>
        <v>4484344419</v>
      </c>
      <c r="H317" s="122"/>
      <c r="I317" s="28"/>
      <c r="J317" s="28"/>
    </row>
    <row r="318" spans="1:10" ht="21.95" customHeight="1">
      <c r="A318" s="14"/>
      <c r="B318" s="14"/>
      <c r="C318" s="16" t="s">
        <v>1168</v>
      </c>
      <c r="D318" s="17">
        <f>VLOOKUP(A312,'Neraca Unaudited SIMAK'!$A$2:$S$10004,6,FALSE)</f>
        <v>9841645657</v>
      </c>
      <c r="E318" s="25">
        <f>SUMIFS('Daftar Koreksi'!$H$5:$H$92,'Daftar Koreksi'!$D$5:$D$92,'1500'!A312,'Daftar Koreksi'!$G$5:$G$92,"Gedung dan Bangunan",'Daftar Koreksi'!$H$5:$H$92,"&gt;0")</f>
        <v>0</v>
      </c>
      <c r="F318" s="25">
        <f>SUMIFS('Daftar Koreksi'!$H$5:$H$92,'Daftar Koreksi'!$D$5:$D$92,'1500'!A312,'Daftar Koreksi'!$G$5:$G$92,"Gedung dan Bangunan",'Daftar Koreksi'!$H$5:$H$92,"&lt;0")-SUMIFS('Daftar Koreksi'!$H$5:$H$92,'Daftar Koreksi'!$D$5:$D$92,'1500'!A312,'Daftar Koreksi'!$G$5:$G$92,"Gedung dan Bangunan",'Daftar Koreksi'!$H$5:$H$92,"&lt;0")-SUMIFS('Daftar Koreksi'!$H$5:$H$92,'Daftar Koreksi'!$D$5:$D$92,'1500'!A312,'Daftar Koreksi'!$G$5:$G$92,"Gedung dan Bangunan",'Daftar Koreksi'!$H$5:$H$92,"&lt;0")</f>
        <v>0</v>
      </c>
      <c r="G318" s="17">
        <f t="shared" si="14"/>
        <v>9841645657</v>
      </c>
      <c r="H318" s="122"/>
      <c r="I318" s="28"/>
      <c r="J318" s="28"/>
    </row>
    <row r="319" spans="1:10" ht="21.95" customHeight="1">
      <c r="A319" s="14"/>
      <c r="B319" s="14"/>
      <c r="C319" s="16" t="s">
        <v>1169</v>
      </c>
      <c r="D319" s="17">
        <f>VLOOKUP(A312,'Neraca Unaudited SIMAK'!$A$2:$S$10004,7,FALSE)</f>
        <v>5500000</v>
      </c>
      <c r="E319" s="25">
        <f>SUMIFS('Daftar Koreksi'!$H$5:$H$92,'Daftar Koreksi'!$D$5:$D$92,'1500'!A312,'Daftar Koreksi'!$G$5:$G$92,"Jalan Irigasi Jaringan",'Daftar Koreksi'!$H$5:$H$92,"&gt;0")</f>
        <v>0</v>
      </c>
      <c r="F319" s="25">
        <f>SUMIFS('Daftar Koreksi'!$H$5:$H$92,'Daftar Koreksi'!$D$5:$D$92,'1500'!A312,'Daftar Koreksi'!$G$5:$G$92,"Jalan Irigasi Jaringan",'Daftar Koreksi'!$H$5:$H$92,"&lt;0")-SUMIFS('Daftar Koreksi'!$H$5:$H$92,'Daftar Koreksi'!$D$5:$D$92,'1500'!A312,'Daftar Koreksi'!$G$5:$G$92,"Jalan Irigasi Jaringan",'Daftar Koreksi'!$H$5:$H$92,"&lt;0")-SUMIFS('Daftar Koreksi'!$H$5:$H$92,'Daftar Koreksi'!$D$5:$D$92,'1500'!A312,'Daftar Koreksi'!$G$5:$G$92,"Jalan Irigasi Jaringan",'Daftar Koreksi'!$H$5:$H$92,"&lt;0")</f>
        <v>0</v>
      </c>
      <c r="G319" s="17">
        <f t="shared" si="14"/>
        <v>5500000</v>
      </c>
      <c r="H319" s="122"/>
      <c r="I319" s="28"/>
      <c r="J319" s="28"/>
    </row>
    <row r="320" spans="1:10" ht="21.95" customHeight="1">
      <c r="A320" s="14"/>
      <c r="B320" s="14"/>
      <c r="C320" s="16" t="s">
        <v>1170</v>
      </c>
      <c r="D320" s="17">
        <f>VLOOKUP(A312,'Neraca Unaudited SIMAK'!$A$2:$S$10004,8,FALSE)</f>
        <v>11248738</v>
      </c>
      <c r="E320" s="25">
        <f>SUMIFS('Daftar Koreksi'!$H$5:$H$92,'Daftar Koreksi'!$D$5:$D$92,'1500'!A312,'Daftar Koreksi'!$G$5:$G$92,"Aset Tetap Lainnya",'Daftar Koreksi'!$H$5:$H$92,"&gt;0")</f>
        <v>0</v>
      </c>
      <c r="F320" s="25">
        <f>SUMIFS('Daftar Koreksi'!$H$5:$H$92,'Daftar Koreksi'!$D$5:$D$92,'1500'!A312,'Daftar Koreksi'!$G$5:$G$92,"Aset Tetap Lainnya",'Daftar Koreksi'!$H$5:$H$92,"&lt;0")-SUMIFS('Daftar Koreksi'!$H$5:$H$92,'Daftar Koreksi'!$D$5:$D$92,'1500'!A312,'Daftar Koreksi'!$G$5:$G$92,"Aset Tetap Lainnya",'Daftar Koreksi'!$H$5:$H$92,"&lt;0")-SUMIFS('Daftar Koreksi'!$H$5:$H$92,'Daftar Koreksi'!$D$5:$D$92,'1500'!A312,'Daftar Koreksi'!$G$5:$G$92,"Aset Tetap Lainnya",'Daftar Koreksi'!$H$5:$H$92,"&lt;0")</f>
        <v>0</v>
      </c>
      <c r="G320" s="17">
        <f t="shared" si="14"/>
        <v>11248738</v>
      </c>
      <c r="H320" s="122"/>
      <c r="I320" s="28"/>
      <c r="J320" s="28"/>
    </row>
    <row r="321" spans="1:10" ht="21.95" customHeight="1">
      <c r="A321" s="14"/>
      <c r="B321" s="14"/>
      <c r="C321" s="16" t="s">
        <v>1171</v>
      </c>
      <c r="D321" s="17">
        <f>VLOOKUP(A312,'Neraca Unaudited SIMAK'!$A$2:$S$10004,9,FALSE)</f>
        <v>9984399000</v>
      </c>
      <c r="E321" s="25">
        <f>SUMIFS('Daftar Koreksi'!$H$5:$H$92,'Daftar Koreksi'!$D$5:$D$92,'1500'!A312,'Daftar Koreksi'!$G$5:$G$92,"Kontruksi Dalam Pengerjaan",'Daftar Koreksi'!$H$5:$H$92,"&gt;0")</f>
        <v>0</v>
      </c>
      <c r="F321" s="25">
        <f>SUMIFS('Daftar Koreksi'!$H$5:$H$92,'Daftar Koreksi'!$D$5:$D$92,'1500'!A312,'Daftar Koreksi'!$G$5:$G$92,"Kontruksi Dalam Pengerjaan",'Daftar Koreksi'!$H$5:$H$92,"&lt;0")-SUMIFS('Daftar Koreksi'!$H$5:$H$92,'Daftar Koreksi'!$D$5:$D$92,'1500'!A312,'Daftar Koreksi'!$G$5:$G$92,"Kontruksi Dalam Pengerjaan",'Daftar Koreksi'!$H$5:$H$92,"&lt;0")-SUMIFS('Daftar Koreksi'!$H$5:$H$92,'Daftar Koreksi'!$D$5:$D$92,'1500'!A312,'Daftar Koreksi'!$G$5:$G$92,"Kontruksi Dalam Pengerjaan",'Daftar Koreksi'!$H$5:$H$92,"&lt;0")</f>
        <v>0</v>
      </c>
      <c r="G321" s="17">
        <f t="shared" si="14"/>
        <v>9984399000</v>
      </c>
      <c r="H321" s="122"/>
      <c r="I321" s="28"/>
      <c r="J321" s="28"/>
    </row>
    <row r="322" spans="1:10" ht="21.95" customHeight="1">
      <c r="A322" s="14"/>
      <c r="B322" s="14"/>
      <c r="C322" s="16" t="s">
        <v>1172</v>
      </c>
      <c r="D322" s="17">
        <f>VLOOKUP(A312,'Neraca Unaudited SIMAK'!$A$2:$S$10004,10,FALSE)</f>
        <v>416069420</v>
      </c>
      <c r="E322" s="25">
        <f>SUMIFS('Daftar Koreksi'!$H$5:$H$92,'Daftar Koreksi'!$D$5:$D$92,'1500'!A312,'Daftar Koreksi'!$G$5:$G$92,"Aset Tak Berwujud",'Daftar Koreksi'!$H$5:$H$92,"&gt;0")</f>
        <v>0</v>
      </c>
      <c r="F322" s="25">
        <f>SUMIFS('Daftar Koreksi'!$H$5:$H$92,'Daftar Koreksi'!$D$5:$D$92,'1500'!A312,'Daftar Koreksi'!$G$5:$G$92,"Aset Tak Berwujud",'Daftar Koreksi'!$H$5:$H$92,"&lt;0")-SUMIFS('Daftar Koreksi'!$H$5:$H$92,'Daftar Koreksi'!$D$5:$D$92,'1500'!A312,'Daftar Koreksi'!$G$5:$G$92,"Aset Tak Berwujud",'Daftar Koreksi'!$H$5:$H$92,"&lt;0")-SUMIFS('Daftar Koreksi'!$H$5:$H$92,'Daftar Koreksi'!$D$5:$D$92,'1500'!A312,'Daftar Koreksi'!$G$5:$G$92,"Aset Tak Berwujud",'Daftar Koreksi'!$H$5:$H$92,"&lt;0")</f>
        <v>0</v>
      </c>
      <c r="G322" s="17">
        <f t="shared" si="14"/>
        <v>416069420</v>
      </c>
      <c r="H322" s="122"/>
      <c r="I322" s="28"/>
      <c r="J322" s="28"/>
    </row>
    <row r="323" spans="1:10" ht="21.95" customHeight="1">
      <c r="A323" s="14"/>
      <c r="B323" s="14"/>
      <c r="C323" s="16" t="s">
        <v>1173</v>
      </c>
      <c r="D323" s="17">
        <f>VLOOKUP(A312,'Neraca Unaudited SIMAK'!$A$2:$S$10004,11,FALSE)</f>
        <v>119322120</v>
      </c>
      <c r="E323" s="25">
        <f>SUMIFS('Daftar Koreksi'!$H$5:$H$92,'Daftar Koreksi'!$D$5:$D$92,'1500'!A312,'Daftar Koreksi'!$G$5:$G$92,"Aset Henti Guna",'Daftar Koreksi'!$H$5:$H$92,"&gt;0")</f>
        <v>0</v>
      </c>
      <c r="F323" s="25">
        <f>SUMIFS('Daftar Koreksi'!$H$5:$H$92,'Daftar Koreksi'!$D$5:$D$92,'1500'!A312,'Daftar Koreksi'!$G$5:$G$92,"Aset Henti Guna",'Daftar Koreksi'!$H$5:$H$92,"&lt;0")-SUMIFS('Daftar Koreksi'!$H$5:$H$92,'Daftar Koreksi'!$D$5:$D$92,'1500'!A312,'Daftar Koreksi'!$G$5:$G$92,"Aset Henti Guna",'Daftar Koreksi'!$H$5:$H$92,"&lt;0")-SUMIFS('Daftar Koreksi'!$H$5:$H$92,'Daftar Koreksi'!$D$5:$D$92,'1500'!A312,'Daftar Koreksi'!$G$5:$G$92,"Aset Henti Guna",'Daftar Koreksi'!$H$5:$H$92,"&lt;0")</f>
        <v>0</v>
      </c>
      <c r="G323" s="17">
        <f t="shared" si="14"/>
        <v>119322120</v>
      </c>
      <c r="H323" s="122"/>
      <c r="I323" s="28"/>
      <c r="J323" s="28"/>
    </row>
    <row r="324" spans="1:10" ht="21.95" customHeight="1">
      <c r="A324" s="14"/>
      <c r="B324" s="14"/>
      <c r="C324" s="18" t="s">
        <v>2093</v>
      </c>
      <c r="D324" s="19">
        <f>VLOOKUP(A312,'Neraca Unaudited SIMAK'!$A$2:$S$10004,12,FALSE)</f>
        <v>31592767654</v>
      </c>
      <c r="E324" s="19">
        <f>SUM(E315:E323)</f>
        <v>0</v>
      </c>
      <c r="F324" s="19">
        <f>SUM(F315:F323)</f>
        <v>0</v>
      </c>
      <c r="G324" s="19">
        <f t="shared" si="14"/>
        <v>31592767654</v>
      </c>
      <c r="H324" s="122"/>
      <c r="I324" s="28"/>
      <c r="J324" s="28"/>
    </row>
    <row r="325" spans="1:10" ht="21.95" customHeight="1">
      <c r="A325" s="14"/>
      <c r="B325" s="14"/>
      <c r="C325" s="16" t="s">
        <v>2087</v>
      </c>
      <c r="D325" s="17">
        <f>VLOOKUP(A312,'Neraca Unaudited SIMAK'!$A$2:$S$10004,13,FALSE)</f>
        <v>-3888141167</v>
      </c>
      <c r="E325" s="25">
        <f>SUMIFS('Daftar Koreksi'!$I$5:$I$92,'Daftar Koreksi'!$D$5:$D$92,'1500'!A312,'Daftar Koreksi'!$G$5:$G$92,"Peralatan dan mesin",'Daftar Koreksi'!$I$5:$I$92,"&gt;0")</f>
        <v>0</v>
      </c>
      <c r="F325" s="25">
        <f>SUMIFS('Daftar Koreksi'!$I$5:$I$92,'Daftar Koreksi'!$D$5:$D$92,'1500'!A312,'Daftar Koreksi'!$G$5:$G$92,"Peralatan dan mesin",'Daftar Koreksi'!$I$5:$I$92,"&lt;0")-SUMIFS('Daftar Koreksi'!$I$5:$I$92,'Daftar Koreksi'!$D$5:$D$92,'1500'!A312,'Daftar Koreksi'!$G$5:$G$92,"Peralatan dan mesin",'Daftar Koreksi'!$I$5:$I$92,"&lt;0")-SUMIFS('Daftar Koreksi'!$I$5:$I$92,'Daftar Koreksi'!$D$5:$D$92,'1500'!A312,'Daftar Koreksi'!$G$5:$G$92,"Peralatan dan mesin",'Daftar Koreksi'!$I$5:$I$92,"&lt;0")</f>
        <v>0</v>
      </c>
      <c r="G325" s="17">
        <f t="shared" si="14"/>
        <v>-3888141167</v>
      </c>
      <c r="H325" s="122"/>
      <c r="I325" s="28"/>
      <c r="J325" s="28"/>
    </row>
    <row r="326" spans="1:10" ht="21.95" customHeight="1">
      <c r="A326" s="14"/>
      <c r="B326" s="14"/>
      <c r="C326" s="16" t="s">
        <v>2088</v>
      </c>
      <c r="D326" s="17">
        <f>VLOOKUP(A312,'Neraca Unaudited SIMAK'!$A$2:$S$10004,14,FALSE)</f>
        <v>-1779517219</v>
      </c>
      <c r="E326" s="25">
        <f>SUMIFS('Daftar Koreksi'!$I$5:$I$92,'Daftar Koreksi'!$D$5:$D$92,'1500'!A312,'Daftar Koreksi'!$G$5:$G$92,"Gedung dan Bangunan",'Daftar Koreksi'!$I$5:$I$92,"&gt;0")</f>
        <v>0</v>
      </c>
      <c r="F326" s="25">
        <f>SUMIFS('Daftar Koreksi'!$I$5:$I$92,'Daftar Koreksi'!$D$5:$D$92,'1500'!A312,'Daftar Koreksi'!$G$5:$G$92,"Gedung dan Bangunan",'Daftar Koreksi'!$I$5:$I$92,"&lt;0")-SUMIFS('Daftar Koreksi'!$I$5:$I$92,'Daftar Koreksi'!$D$5:$D$92,'1500'!A312,'Daftar Koreksi'!$G$5:$G$92,"Gedung dan Bangunan",'Daftar Koreksi'!$I$5:$I$92,"&lt;0")-SUMIFS('Daftar Koreksi'!$I$5:$I$92,'Daftar Koreksi'!$D$5:$D$92,'1500'!A312,'Daftar Koreksi'!$G$5:$G$92,"Gedung dan Bangunan",'Daftar Koreksi'!$I$5:$I$92,"&lt;0")</f>
        <v>0</v>
      </c>
      <c r="G326" s="17">
        <f t="shared" si="14"/>
        <v>-1779517219</v>
      </c>
      <c r="H326" s="122"/>
      <c r="I326" s="28"/>
      <c r="J326" s="28"/>
    </row>
    <row r="327" spans="1:10" ht="21.95" customHeight="1">
      <c r="A327" s="14"/>
      <c r="B327" s="14"/>
      <c r="C327" s="16" t="s">
        <v>2089</v>
      </c>
      <c r="D327" s="17">
        <f>VLOOKUP(A312,'Neraca Unaudited SIMAK'!$A$2:$S$10004,15,FALSE)</f>
        <v>-5500000</v>
      </c>
      <c r="E327" s="25">
        <f>SUMIFS('Daftar Koreksi'!$I$5:$I$92,'Daftar Koreksi'!$D$5:$D$92,'1500'!A312,'Daftar Koreksi'!$G$5:$G$92,"Jalan Irigasi Jaringan",'Daftar Koreksi'!$I$5:$I$92,"&gt;0")</f>
        <v>0</v>
      </c>
      <c r="F327" s="25">
        <f>SUMIFS('Daftar Koreksi'!$I$5:$I$92,'Daftar Koreksi'!$D$5:$D$92,'1500'!A312,'Daftar Koreksi'!$G$5:$G$92,"Jalan Irigasi Jaringan",'Daftar Koreksi'!$I$5:$I$92,"&lt;0")-SUMIFS('Daftar Koreksi'!$I$5:$I$92,'Daftar Koreksi'!$D$5:$D$92,'1500'!A312,'Daftar Koreksi'!$G$5:$G$92,"Jalan Irigasi Jaringan",'Daftar Koreksi'!$I$5:$I$92,"&lt;0")-SUMIFS('Daftar Koreksi'!$I$5:$I$92,'Daftar Koreksi'!$D$5:$D$92,'1500'!A312,'Daftar Koreksi'!$G$5:$G$92,"Jalan Irigasi Jaringan",'Daftar Koreksi'!$I$5:$I$92,"&lt;0")</f>
        <v>0</v>
      </c>
      <c r="G327" s="17">
        <f t="shared" si="14"/>
        <v>-5500000</v>
      </c>
      <c r="H327" s="122"/>
      <c r="I327" s="28"/>
      <c r="J327" s="28"/>
    </row>
    <row r="328" spans="1:10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Koreksi'!$D$5:$D$92,'1500'!A312,'Daftar Koreksi'!$G$5:$G$92,"Aset Tetap Lainnya",'Daftar Koreksi'!$I$5:$I$92,"&gt;0")</f>
        <v>0</v>
      </c>
      <c r="F328" s="25">
        <f>SUMIFS('Daftar Koreksi'!$I$5:$I$92,'Daftar Koreksi'!$D$5:$D$92,'1500'!A312,'Daftar Koreksi'!$G$5:$G$92,"Aset Tetap Lainnya",'Daftar Koreksi'!$I$5:$I$92,"&lt;0")-SUMIFS('Daftar Koreksi'!$I$5:$I$92,'Daftar Koreksi'!$D$5:$D$92,'1500'!A312,'Daftar Koreksi'!$G$5:$G$92,"Aset Tetap Lainnya",'Daftar Koreksi'!$I$5:$I$92,"&lt;0")-SUMIFS('Daftar Koreksi'!$I$5:$I$92,'Daftar Koreksi'!$D$5:$D$92,'1500'!A312,'Daftar Koreksi'!$G$5:$G$92,"Aset Tetap Lainnya",'Daftar Koreksi'!$I$5:$I$92,"&lt;0")</f>
        <v>0</v>
      </c>
      <c r="G328" s="17">
        <f t="shared" si="14"/>
        <v>0</v>
      </c>
      <c r="H328" s="122"/>
      <c r="I328" s="28"/>
      <c r="J328" s="28"/>
    </row>
    <row r="329" spans="1:10" ht="21.95" customHeight="1">
      <c r="A329" s="14"/>
      <c r="B329" s="14"/>
      <c r="C329" s="16" t="s">
        <v>2020</v>
      </c>
      <c r="D329" s="17">
        <f>VLOOKUP(A312,'Neraca Unaudited SIMAK'!$A$2:$S$10004,17,FALSE)</f>
        <v>-119253370</v>
      </c>
      <c r="E329" s="25">
        <f>SUMIFS('Daftar Koreksi'!$I$5:$I$92,'Daftar Koreksi'!$D$5:$D$92,'1500'!A312,'Daftar Koreksi'!$G$5:$G$92,"Aset Henti Guna",'Daftar Koreksi'!$I$5:$I$92,"&gt;0")</f>
        <v>0</v>
      </c>
      <c r="F329" s="25">
        <f>SUMIFS('Daftar Koreksi'!$I$5:$I$92,'Daftar Koreksi'!$D$5:$D$92,'1500'!A312,'Daftar Koreksi'!$G$5:$G$92,"Aset Henti Guna",'Daftar Koreksi'!$I$5:$I$92,"&lt;0")-SUMIFS('Daftar Koreksi'!$I$5:$I$92,'Daftar Koreksi'!$D$5:$D$92,'1500'!A312,'Daftar Koreksi'!$G$5:$G$92,"Aset Henti Guna",'Daftar Koreksi'!$I$5:$I$92,"&lt;0")-SUMIFS('Daftar Koreksi'!$I$5:$I$92,'Daftar Koreksi'!$D$5:$D$92,'1500'!A312,'Daftar Koreksi'!$G$5:$G$92,"Aset Henti Guna",'Daftar Koreksi'!$I$5:$I$92,"&lt;0")</f>
        <v>0</v>
      </c>
      <c r="G329" s="17">
        <f t="shared" si="14"/>
        <v>-119253370</v>
      </c>
      <c r="H329" s="122"/>
      <c r="I329" s="28"/>
      <c r="J329" s="28"/>
    </row>
    <row r="330" spans="1:10" ht="21.95" customHeight="1">
      <c r="A330" s="14"/>
      <c r="B330" s="14"/>
      <c r="C330" s="18" t="s">
        <v>2094</v>
      </c>
      <c r="D330" s="19">
        <f>SUM(D325:D329)</f>
        <v>-5792411756</v>
      </c>
      <c r="E330" s="19">
        <f>SUM(E325:E329)</f>
        <v>0</v>
      </c>
      <c r="F330" s="19">
        <f>SUM(F325:F329)</f>
        <v>0</v>
      </c>
      <c r="G330" s="19">
        <f t="shared" si="14"/>
        <v>-5792411756</v>
      </c>
      <c r="H330" s="122"/>
      <c r="I330" s="28"/>
      <c r="J330" s="28"/>
    </row>
    <row r="331" spans="1:10" ht="21.95" customHeight="1">
      <c r="A331" s="14"/>
      <c r="B331" s="14"/>
      <c r="C331" s="18" t="s">
        <v>2095</v>
      </c>
      <c r="D331" s="19">
        <f>VLOOKUP(A312,'Neraca Unaudited SIMAK'!$A$2:$S$10004,18,FALSE)</f>
        <v>25800355898</v>
      </c>
      <c r="E331" s="19">
        <f>E330+E324</f>
        <v>0</v>
      </c>
      <c r="F331" s="19">
        <f>F330+F324</f>
        <v>0</v>
      </c>
      <c r="G331" s="19">
        <f t="shared" si="14"/>
        <v>25800355898</v>
      </c>
      <c r="H331" s="122"/>
      <c r="I331" s="28"/>
      <c r="J331" s="28"/>
    </row>
    <row r="332" spans="1:10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  <c r="I332" s="28"/>
      <c r="J332" s="28"/>
    </row>
    <row r="334" spans="1:10" ht="19.5" customHeight="1">
      <c r="A334" s="11" t="str">
        <f>O16</f>
        <v>005011500402500000KD</v>
      </c>
      <c r="B334" s="11" t="str">
        <f>P16</f>
        <v>PA. Banjarmasin</v>
      </c>
      <c r="C334" s="12" t="str">
        <f>A334&amp;" "&amp;B334</f>
        <v>005011500402500000KD PA. Banjarmasin</v>
      </c>
      <c r="D334" s="13"/>
      <c r="E334" s="13"/>
      <c r="F334" s="13"/>
      <c r="G334" s="13"/>
      <c r="H334" s="11"/>
    </row>
    <row r="335" spans="1:10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10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2294300</v>
      </c>
      <c r="E337" s="25">
        <f>SUMIFS('Daftar Koreksi'!$H$5:$H$92,'Daftar Koreksi'!$D$5:$D$92,'1500'!A334,'Daftar Koreksi'!$G$5:$G$92,"Persediaan",'Daftar Koreksi'!$H$5:$H$92,"&gt;0")</f>
        <v>0</v>
      </c>
      <c r="F337" s="25">
        <f>SUMIFS('Daftar Koreksi'!$H$5:$H$92,'Daftar Koreksi'!$D$5:$D$92,'1500'!A334,'Daftar Koreksi'!$G$5:$G$92,"Persediaan",'Daftar Koreksi'!$H$5:$H$92,"&lt;0")-SUMIFS('Daftar Koreksi'!$H$5:$H$92,'Daftar Koreksi'!$D$5:$D$92,'1500'!A334,'Daftar Koreksi'!$G$5:$G$92,"Persediaan",'Daftar Koreksi'!$H$5:$H$92,"&lt;0")-SUMIFS('Daftar Koreksi'!$H$5:$H$92,'Daftar Koreksi'!$D$5:$D$92,'1500'!A334,'Daftar Koreksi'!$G$5:$G$92,"Persediaan",'Daftar Koreksi'!$H$5:$H$92,"&lt;0")</f>
        <v>0</v>
      </c>
      <c r="G337" s="17">
        <f>D337+E337-F337</f>
        <v>2294300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227531000</v>
      </c>
      <c r="E338" s="25">
        <f>SUMIFS('Daftar Koreksi'!$H$5:$H$92,'Daftar Koreksi'!$D$5:$D$92,'1500'!A334,'Daftar Koreksi'!$G$5:$G$92,"Tanah",'Daftar Koreksi'!$H$5:$H$92,"&gt;0")</f>
        <v>0</v>
      </c>
      <c r="F338" s="25">
        <f>SUMIFS('Daftar Koreksi'!$H$5:$H$92,'Daftar Koreksi'!$D$5:$D$92,'1500'!A334,'Daftar Koreksi'!$G$5:$G$92,"Tanah",'Daftar Koreksi'!$H$5:$H$92,"&lt;0")-SUMIFS('Daftar Koreksi'!$H$5:$H$92,'Daftar Koreksi'!$D$5:$D$92,'1500'!A334,'Daftar Koreksi'!$G$5:$G$92,"Tanah",'Daftar Koreksi'!$H$5:$H$92,"&lt;0")-SUMIFS('Daftar Koreksi'!$H$5:$H$92,'Daftar Koreksi'!$D$5:$D$92,'1500'!A334,'Daftar Koreksi'!$G$5:$G$92,"Tanah",'Daftar Koreksi'!$H$5:$H$92,"&lt;0")</f>
        <v>0</v>
      </c>
      <c r="G338" s="17">
        <f t="shared" ref="G338:G354" si="15">D338+E338-F338</f>
        <v>227531000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1905796789</v>
      </c>
      <c r="E339" s="25">
        <f>SUMIFS('Daftar Koreksi'!$H$5:$H$92,'Daftar Koreksi'!$D$5:$D$92,'1500'!A334,'Daftar Koreksi'!$G$5:$G$92,"Peralatan dan mesin",'Daftar Koreksi'!$H$5:$H$92,"&gt;0")</f>
        <v>0</v>
      </c>
      <c r="F339" s="25">
        <f>SUMIFS('Daftar Koreksi'!$H$5:$H$92,'Daftar Koreksi'!$D$5:$D$92,'1500'!A334,'Daftar Koreksi'!$G$5:$G$92,"Peralatan dan mesin",'Daftar Koreksi'!$H$5:$H$92,"&lt;0")-SUMIFS('Daftar Koreksi'!$H$5:$H$92,'Daftar Koreksi'!$D$5:$D$92,'1500'!A334,'Daftar Koreksi'!$G$5:$G$92,"Peralatan dan mesin",'Daftar Koreksi'!$H$5:$H$92,"&lt;0")-SUMIFS('Daftar Koreksi'!$H$5:$H$92,'Daftar Koreksi'!$D$5:$D$92,'1500'!A334,'Daftar Koreksi'!$G$5:$G$92,"Peralatan dan mesin",'Daftar Koreksi'!$H$5:$H$92,"&lt;0")</f>
        <v>0</v>
      </c>
      <c r="G339" s="17">
        <f t="shared" si="15"/>
        <v>1905796789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1570347100</v>
      </c>
      <c r="E340" s="25">
        <f>SUMIFS('Daftar Koreksi'!$H$5:$H$92,'Daftar Koreksi'!$D$5:$D$92,'1500'!A334,'Daftar Koreksi'!$G$5:$G$92,"Gedung dan Bangunan",'Daftar Koreksi'!$H$5:$H$92,"&gt;0")</f>
        <v>0</v>
      </c>
      <c r="F340" s="25">
        <f>SUMIFS('Daftar Koreksi'!$H$5:$H$92,'Daftar Koreksi'!$D$5:$D$92,'1500'!A334,'Daftar Koreksi'!$G$5:$G$92,"Gedung dan Bangunan",'Daftar Koreksi'!$H$5:$H$92,"&lt;0")-SUMIFS('Daftar Koreksi'!$H$5:$H$92,'Daftar Koreksi'!$D$5:$D$92,'1500'!A334,'Daftar Koreksi'!$G$5:$G$92,"Gedung dan Bangunan",'Daftar Koreksi'!$H$5:$H$92,"&lt;0")-SUMIFS('Daftar Koreksi'!$H$5:$H$92,'Daftar Koreksi'!$D$5:$D$92,'1500'!A334,'Daftar Koreksi'!$G$5:$G$92,"Gedung dan Bangunan",'Daftar Koreksi'!$H$5:$H$92,"&lt;0")</f>
        <v>0</v>
      </c>
      <c r="G340" s="17">
        <f t="shared" si="15"/>
        <v>1570347100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93000000</v>
      </c>
      <c r="E341" s="25">
        <f>SUMIFS('Daftar Koreksi'!$H$5:$H$92,'Daftar Koreksi'!$D$5:$D$92,'1500'!A334,'Daftar Koreksi'!$G$5:$G$92,"Jalan Irigasi Jaringan",'Daftar Koreksi'!$H$5:$H$92,"&gt;0")</f>
        <v>0</v>
      </c>
      <c r="F341" s="25">
        <f>SUMIFS('Daftar Koreksi'!$H$5:$H$92,'Daftar Koreksi'!$D$5:$D$92,'1500'!A334,'Daftar Koreksi'!$G$5:$G$92,"Jalan Irigasi Jaringan",'Daftar Koreksi'!$H$5:$H$92,"&lt;0")-SUMIFS('Daftar Koreksi'!$H$5:$H$92,'Daftar Koreksi'!$D$5:$D$92,'1500'!A334,'Daftar Koreksi'!$G$5:$G$92,"Jalan Irigasi Jaringan",'Daftar Koreksi'!$H$5:$H$92,"&lt;0")-SUMIFS('Daftar Koreksi'!$H$5:$H$92,'Daftar Koreksi'!$D$5:$D$92,'1500'!A334,'Daftar Koreksi'!$G$5:$G$92,"Jalan Irigasi Jaringan",'Daftar Koreksi'!$H$5:$H$92,"&lt;0")</f>
        <v>0</v>
      </c>
      <c r="G341" s="17">
        <f t="shared" si="15"/>
        <v>93000000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23305330</v>
      </c>
      <c r="E342" s="25">
        <f>SUMIFS('Daftar Koreksi'!$H$5:$H$92,'Daftar Koreksi'!$D$5:$D$92,'1500'!A334,'Daftar Koreksi'!$G$5:$G$92,"Aset Tetap Lainnya",'Daftar Koreksi'!$H$5:$H$92,"&gt;0")</f>
        <v>0</v>
      </c>
      <c r="F342" s="25">
        <f>SUMIFS('Daftar Koreksi'!$H$5:$H$92,'Daftar Koreksi'!$D$5:$D$92,'1500'!A334,'Daftar Koreksi'!$G$5:$G$92,"Aset Tetap Lainnya",'Daftar Koreksi'!$H$5:$H$92,"&lt;0")-SUMIFS('Daftar Koreksi'!$H$5:$H$92,'Daftar Koreksi'!$D$5:$D$92,'1500'!A334,'Daftar Koreksi'!$G$5:$G$92,"Aset Tetap Lainnya",'Daftar Koreksi'!$H$5:$H$92,"&lt;0")-SUMIFS('Daftar Koreksi'!$H$5:$H$92,'Daftar Koreksi'!$D$5:$D$92,'1500'!A334,'Daftar Koreksi'!$G$5:$G$92,"Aset Tetap Lainnya",'Daftar Koreksi'!$H$5:$H$92,"&lt;0")</f>
        <v>0</v>
      </c>
      <c r="G342" s="17">
        <f t="shared" si="15"/>
        <v>23305330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Koreksi'!$D$5:$D$92,'1500'!A334,'Daftar Koreksi'!$G$5:$G$92,"Kontruksi Dalam Pengerjaan",'Daftar Koreksi'!$H$5:$H$92,"&gt;0")</f>
        <v>0</v>
      </c>
      <c r="F343" s="25">
        <f>SUMIFS('Daftar Koreksi'!$H$5:$H$92,'Daftar Koreksi'!$D$5:$D$92,'1500'!A334,'Daftar Koreksi'!$G$5:$G$92,"Kontruksi Dalam Pengerjaan",'Daftar Koreksi'!$H$5:$H$92,"&lt;0")-SUMIFS('Daftar Koreksi'!$H$5:$H$92,'Daftar Koreksi'!$D$5:$D$92,'1500'!A334,'Daftar Koreksi'!$G$5:$G$92,"Kontruksi Dalam Pengerjaan",'Daftar Koreksi'!$H$5:$H$92,"&lt;0")-SUMIFS('Daftar Koreksi'!$H$5:$H$92,'Daftar Koreksi'!$D$5:$D$92,'1500'!A334,'Daftar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22200000</v>
      </c>
      <c r="E344" s="25">
        <f>SUMIFS('Daftar Koreksi'!$H$5:$H$92,'Daftar Koreksi'!$D$5:$D$92,'1500'!A334,'Daftar Koreksi'!$G$5:$G$92,"Aset Tak Berwujud",'Daftar Koreksi'!$H$5:$H$92,"&gt;0")</f>
        <v>0</v>
      </c>
      <c r="F344" s="25">
        <f>SUMIFS('Daftar Koreksi'!$H$5:$H$92,'Daftar Koreksi'!$D$5:$D$92,'1500'!A334,'Daftar Koreksi'!$G$5:$G$92,"Aset Tak Berwujud",'Daftar Koreksi'!$H$5:$H$92,"&lt;0")-SUMIFS('Daftar Koreksi'!$H$5:$H$92,'Daftar Koreksi'!$D$5:$D$92,'1500'!A334,'Daftar Koreksi'!$G$5:$G$92,"Aset Tak Berwujud",'Daftar Koreksi'!$H$5:$H$92,"&lt;0")-SUMIFS('Daftar Koreksi'!$H$5:$H$92,'Daftar Koreksi'!$D$5:$D$92,'1500'!A334,'Daftar Koreksi'!$G$5:$G$92,"Aset Tak Berwujud",'Daftar Koreksi'!$H$5:$H$92,"&lt;0")</f>
        <v>0</v>
      </c>
      <c r="G344" s="17">
        <f t="shared" si="15"/>
        <v>22200000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Koreksi'!$D$5:$D$92,'1500'!A334,'Daftar Koreksi'!$G$5:$G$92,"Aset Henti Guna",'Daftar Koreksi'!$H$5:$H$92,"&gt;0")</f>
        <v>0</v>
      </c>
      <c r="F345" s="25">
        <f>SUMIFS('Daftar Koreksi'!$H$5:$H$92,'Daftar Koreksi'!$D$5:$D$92,'1500'!A334,'Daftar Koreksi'!$G$5:$G$92,"Aset Henti Guna",'Daftar Koreksi'!$H$5:$H$92,"&lt;0")-SUMIFS('Daftar Koreksi'!$H$5:$H$92,'Daftar Koreksi'!$D$5:$D$92,'1500'!A334,'Daftar Koreksi'!$G$5:$G$92,"Aset Henti Guna",'Daftar Koreksi'!$H$5:$H$92,"&lt;0")-SUMIFS('Daftar Koreksi'!$H$5:$H$92,'Daftar Koreksi'!$D$5:$D$92,'1500'!A334,'Daftar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3844474519</v>
      </c>
      <c r="E346" s="19">
        <f>SUM(E337:E345)</f>
        <v>0</v>
      </c>
      <c r="F346" s="19">
        <f>SUM(F337:F345)</f>
        <v>0</v>
      </c>
      <c r="G346" s="19">
        <f t="shared" si="15"/>
        <v>3844474519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-1551408272</v>
      </c>
      <c r="E347" s="25">
        <f>SUMIFS('Daftar Koreksi'!$I$5:$I$92,'Daftar Koreksi'!$D$5:$D$92,'1500'!A334,'Daftar Koreksi'!$G$5:$G$92,"Peralatan dan mesin",'Daftar Koreksi'!$I$5:$I$92,"&gt;0")</f>
        <v>0</v>
      </c>
      <c r="F347" s="25">
        <f>SUMIFS('Daftar Koreksi'!$I$5:$I$92,'Daftar Koreksi'!$D$5:$D$92,'1500'!A334,'Daftar Koreksi'!$G$5:$G$92,"Peralatan dan mesin",'Daftar Koreksi'!$I$5:$I$92,"&lt;0")-SUMIFS('Daftar Koreksi'!$I$5:$I$92,'Daftar Koreksi'!$D$5:$D$92,'1500'!A334,'Daftar Koreksi'!$G$5:$G$92,"Peralatan dan mesin",'Daftar Koreksi'!$I$5:$I$92,"&lt;0")-SUMIFS('Daftar Koreksi'!$I$5:$I$92,'Daftar Koreksi'!$D$5:$D$92,'1500'!A334,'Daftar Koreksi'!$G$5:$G$92,"Peralatan dan mesin",'Daftar Koreksi'!$I$5:$I$92,"&lt;0")</f>
        <v>0</v>
      </c>
      <c r="G347" s="17">
        <f t="shared" si="15"/>
        <v>-1551408272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-233213291</v>
      </c>
      <c r="E348" s="25">
        <f>SUMIFS('Daftar Koreksi'!$I$5:$I$92,'Daftar Koreksi'!$D$5:$D$92,'1500'!A334,'Daftar Koreksi'!$G$5:$G$92,"Gedung dan Bangunan",'Daftar Koreksi'!$I$5:$I$92,"&gt;0")</f>
        <v>0</v>
      </c>
      <c r="F348" s="25">
        <f>SUMIFS('Daftar Koreksi'!$I$5:$I$92,'Daftar Koreksi'!$D$5:$D$92,'1500'!A334,'Daftar Koreksi'!$G$5:$G$92,"Gedung dan Bangunan",'Daftar Koreksi'!$I$5:$I$92,"&lt;0")-SUMIFS('Daftar Koreksi'!$I$5:$I$92,'Daftar Koreksi'!$D$5:$D$92,'1500'!A334,'Daftar Koreksi'!$G$5:$G$92,"Gedung dan Bangunan",'Daftar Koreksi'!$I$5:$I$92,"&lt;0")-SUMIFS('Daftar Koreksi'!$I$5:$I$92,'Daftar Koreksi'!$D$5:$D$92,'1500'!A334,'Daftar Koreksi'!$G$5:$G$92,"Gedung dan Bangunan",'Daftar Koreksi'!$I$5:$I$92,"&lt;0")</f>
        <v>0</v>
      </c>
      <c r="G348" s="17">
        <f t="shared" si="15"/>
        <v>-233213291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-12975000</v>
      </c>
      <c r="E349" s="25">
        <f>SUMIFS('Daftar Koreksi'!$I$5:$I$92,'Daftar Koreksi'!$D$5:$D$92,'1500'!A334,'Daftar Koreksi'!$G$5:$G$92,"Jalan Irigasi Jaringan",'Daftar Koreksi'!$I$5:$I$92,"&gt;0")</f>
        <v>0</v>
      </c>
      <c r="F349" s="25">
        <f>SUMIFS('Daftar Koreksi'!$I$5:$I$92,'Daftar Koreksi'!$D$5:$D$92,'1500'!A334,'Daftar Koreksi'!$G$5:$G$92,"Jalan Irigasi Jaringan",'Daftar Koreksi'!$I$5:$I$92,"&lt;0")-SUMIFS('Daftar Koreksi'!$I$5:$I$92,'Daftar Koreksi'!$D$5:$D$92,'1500'!A334,'Daftar Koreksi'!$G$5:$G$92,"Jalan Irigasi Jaringan",'Daftar Koreksi'!$I$5:$I$92,"&lt;0")-SUMIFS('Daftar Koreksi'!$I$5:$I$92,'Daftar Koreksi'!$D$5:$D$92,'1500'!A334,'Daftar Koreksi'!$G$5:$G$92,"Jalan Irigasi Jaringan",'Daftar Koreksi'!$I$5:$I$92,"&lt;0")</f>
        <v>0</v>
      </c>
      <c r="G349" s="17">
        <f t="shared" si="15"/>
        <v>-12975000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Koreksi'!$D$5:$D$92,'1500'!A334,'Daftar Koreksi'!$G$5:$G$92,"Aset Tetap Lainnya",'Daftar Koreksi'!$I$5:$I$92,"&gt;0")</f>
        <v>0</v>
      </c>
      <c r="F350" s="25">
        <f>SUMIFS('Daftar Koreksi'!$I$5:$I$92,'Daftar Koreksi'!$D$5:$D$92,'1500'!A334,'Daftar Koreksi'!$G$5:$G$92,"Aset Tetap Lainnya",'Daftar Koreksi'!$I$5:$I$92,"&lt;0")-SUMIFS('Daftar Koreksi'!$I$5:$I$92,'Daftar Koreksi'!$D$5:$D$92,'1500'!A334,'Daftar Koreksi'!$G$5:$G$92,"Aset Tetap Lainnya",'Daftar Koreksi'!$I$5:$I$92,"&lt;0")-SUMIFS('Daftar Koreksi'!$I$5:$I$92,'Daftar Koreksi'!$D$5:$D$92,'1500'!A334,'Daftar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Koreksi'!$D$5:$D$92,'1500'!A334,'Daftar Koreksi'!$G$5:$G$92,"Aset Henti Guna",'Daftar Koreksi'!$I$5:$I$92,"&gt;0")</f>
        <v>0</v>
      </c>
      <c r="F351" s="25">
        <f>SUMIFS('Daftar Koreksi'!$I$5:$I$92,'Daftar Koreksi'!$D$5:$D$92,'1500'!A334,'Daftar Koreksi'!$G$5:$G$92,"Aset Henti Guna",'Daftar Koreksi'!$I$5:$I$92,"&lt;0")-SUMIFS('Daftar Koreksi'!$I$5:$I$92,'Daftar Koreksi'!$D$5:$D$92,'1500'!A334,'Daftar Koreksi'!$G$5:$G$92,"Aset Henti Guna",'Daftar Koreksi'!$I$5:$I$92,"&lt;0")-SUMIFS('Daftar Koreksi'!$I$5:$I$92,'Daftar Koreksi'!$D$5:$D$92,'1500'!A334,'Daftar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-1797596563</v>
      </c>
      <c r="E352" s="19">
        <f>SUM(E347:E351)</f>
        <v>0</v>
      </c>
      <c r="F352" s="19">
        <f>SUM(F347:F351)</f>
        <v>0</v>
      </c>
      <c r="G352" s="19">
        <f t="shared" si="15"/>
        <v>-1797596563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2046877956</v>
      </c>
      <c r="E353" s="19">
        <f>E352+E346</f>
        <v>0</v>
      </c>
      <c r="F353" s="19">
        <f>F352+F346</f>
        <v>0</v>
      </c>
      <c r="G353" s="19">
        <f t="shared" si="15"/>
        <v>2046877956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005011500402519000KD</v>
      </c>
      <c r="B356" s="11" t="str">
        <f>P17</f>
        <v>PA. Martapura</v>
      </c>
      <c r="C356" s="12" t="str">
        <f>A356&amp;" "&amp;B356</f>
        <v>005011500402519000KD PA. Martapura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722700</v>
      </c>
      <c r="E359" s="25">
        <f>SUMIFS('Daftar Koreksi'!$H$5:$H$92,'Daftar Koreksi'!$D$5:$D$92,'1500'!A356,'Daftar Koreksi'!$G$5:$G$92,"Persediaan",'Daftar Koreksi'!$H$5:$H$92,"&gt;0")</f>
        <v>0</v>
      </c>
      <c r="F359" s="25">
        <f>SUMIFS('Daftar Koreksi'!$H$5:$H$92,'Daftar Koreksi'!$D$5:$D$92,'1500'!A356,'Daftar Koreksi'!$G$5:$G$92,"Persediaan",'Daftar Koreksi'!$H$5:$H$92,"&lt;0")-SUMIFS('Daftar Koreksi'!$H$5:$H$92,'Daftar Koreksi'!$D$5:$D$92,'1500'!A356,'Daftar Koreksi'!$G$5:$G$92,"Persediaan",'Daftar Koreksi'!$H$5:$H$92,"&lt;0")-SUMIFS('Daftar Koreksi'!$H$5:$H$92,'Daftar Koreksi'!$D$5:$D$92,'1500'!A356,'Daftar Koreksi'!$G$5:$G$92,"Persediaan",'Daftar Koreksi'!$H$5:$H$92,"&lt;0")</f>
        <v>0</v>
      </c>
      <c r="G359" s="17">
        <f>D359+E359-F359</f>
        <v>722700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929179400</v>
      </c>
      <c r="E360" s="25">
        <f>SUMIFS('Daftar Koreksi'!$H$5:$H$92,'Daftar Koreksi'!$D$5:$D$92,'1500'!A356,'Daftar Koreksi'!$G$5:$G$92,"Tanah",'Daftar Koreksi'!$H$5:$H$92,"&gt;0")</f>
        <v>0</v>
      </c>
      <c r="F360" s="25">
        <f>SUMIFS('Daftar Koreksi'!$H$5:$H$92,'Daftar Koreksi'!$D$5:$D$92,'1500'!A356,'Daftar Koreksi'!$G$5:$G$92,"Tanah",'Daftar Koreksi'!$H$5:$H$92,"&lt;0")-SUMIFS('Daftar Koreksi'!$H$5:$H$92,'Daftar Koreksi'!$D$5:$D$92,'1500'!A356,'Daftar Koreksi'!$G$5:$G$92,"Tanah",'Daftar Koreksi'!$H$5:$H$92,"&lt;0")-SUMIFS('Daftar Koreksi'!$H$5:$H$92,'Daftar Koreksi'!$D$5:$D$92,'1500'!A356,'Daftar Koreksi'!$G$5:$G$92,"Tanah",'Daftar Koreksi'!$H$5:$H$92,"&lt;0")</f>
        <v>0</v>
      </c>
      <c r="G360" s="17">
        <f t="shared" ref="G360:G376" si="16">D360+E360-F360</f>
        <v>929179400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1419148017</v>
      </c>
      <c r="E361" s="25">
        <f>SUMIFS('Daftar Koreksi'!$H$5:$H$92,'Daftar Koreksi'!$D$5:$D$92,'1500'!A356,'Daftar Koreksi'!$G$5:$G$92,"Peralatan dan mesin",'Daftar Koreksi'!$H$5:$H$92,"&gt;0")</f>
        <v>0</v>
      </c>
      <c r="F361" s="25">
        <f>SUMIFS('Daftar Koreksi'!$H$5:$H$92,'Daftar Koreksi'!$D$5:$D$92,'1500'!A356,'Daftar Koreksi'!$G$5:$G$92,"Peralatan dan mesin",'Daftar Koreksi'!$H$5:$H$92,"&lt;0")-SUMIFS('Daftar Koreksi'!$H$5:$H$92,'Daftar Koreksi'!$D$5:$D$92,'1500'!A356,'Daftar Koreksi'!$G$5:$G$92,"Peralatan dan mesin",'Daftar Koreksi'!$H$5:$H$92,"&lt;0")-SUMIFS('Daftar Koreksi'!$H$5:$H$92,'Daftar Koreksi'!$D$5:$D$92,'1500'!A356,'Daftar Koreksi'!$G$5:$G$92,"Peralatan dan mesin",'Daftar Koreksi'!$H$5:$H$92,"&lt;0")</f>
        <v>0</v>
      </c>
      <c r="G361" s="17">
        <f t="shared" si="16"/>
        <v>1419148017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9876917400</v>
      </c>
      <c r="E362" s="25">
        <f>SUMIFS('Daftar Koreksi'!$H$5:$H$92,'Daftar Koreksi'!$D$5:$D$92,'1500'!A356,'Daftar Koreksi'!$G$5:$G$92,"Gedung dan Bangunan",'Daftar Koreksi'!$H$5:$H$92,"&gt;0")</f>
        <v>0</v>
      </c>
      <c r="F362" s="25">
        <f>SUMIFS('Daftar Koreksi'!$H$5:$H$92,'Daftar Koreksi'!$D$5:$D$92,'1500'!A356,'Daftar Koreksi'!$G$5:$G$92,"Gedung dan Bangunan",'Daftar Koreksi'!$H$5:$H$92,"&lt;0")-SUMIFS('Daftar Koreksi'!$H$5:$H$92,'Daftar Koreksi'!$D$5:$D$92,'1500'!A356,'Daftar Koreksi'!$G$5:$G$92,"Gedung dan Bangunan",'Daftar Koreksi'!$H$5:$H$92,"&lt;0")-SUMIFS('Daftar Koreksi'!$H$5:$H$92,'Daftar Koreksi'!$D$5:$D$92,'1500'!A356,'Daftar Koreksi'!$G$5:$G$92,"Gedung dan Bangunan",'Daftar Koreksi'!$H$5:$H$92,"&lt;0")</f>
        <v>0</v>
      </c>
      <c r="G362" s="17">
        <f t="shared" si="16"/>
        <v>9876917400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24964850</v>
      </c>
      <c r="E363" s="25">
        <f>SUMIFS('Daftar Koreksi'!$H$5:$H$92,'Daftar Koreksi'!$D$5:$D$92,'1500'!A356,'Daftar Koreksi'!$G$5:$G$92,"Jalan Irigasi Jaringan",'Daftar Koreksi'!$H$5:$H$92,"&gt;0")</f>
        <v>0</v>
      </c>
      <c r="F363" s="25">
        <f>SUMIFS('Daftar Koreksi'!$H$5:$H$92,'Daftar Koreksi'!$D$5:$D$92,'1500'!A356,'Daftar Koreksi'!$G$5:$G$92,"Jalan Irigasi Jaringan",'Daftar Koreksi'!$H$5:$H$92,"&lt;0")-SUMIFS('Daftar Koreksi'!$H$5:$H$92,'Daftar Koreksi'!$D$5:$D$92,'1500'!A356,'Daftar Koreksi'!$G$5:$G$92,"Jalan Irigasi Jaringan",'Daftar Koreksi'!$H$5:$H$92,"&lt;0")-SUMIFS('Daftar Koreksi'!$H$5:$H$92,'Daftar Koreksi'!$D$5:$D$92,'1500'!A356,'Daftar Koreksi'!$G$5:$G$92,"Jalan Irigasi Jaringan",'Daftar Koreksi'!$H$5:$H$92,"&lt;0")</f>
        <v>0</v>
      </c>
      <c r="G363" s="17">
        <f t="shared" si="16"/>
        <v>24964850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30692098</v>
      </c>
      <c r="E364" s="25">
        <f>SUMIFS('Daftar Koreksi'!$H$5:$H$92,'Daftar Koreksi'!$D$5:$D$92,'1500'!A356,'Daftar Koreksi'!$G$5:$G$92,"Aset Tetap Lainnya",'Daftar Koreksi'!$H$5:$H$92,"&gt;0")</f>
        <v>0</v>
      </c>
      <c r="F364" s="25">
        <f>SUMIFS('Daftar Koreksi'!$H$5:$H$92,'Daftar Koreksi'!$D$5:$D$92,'1500'!A356,'Daftar Koreksi'!$G$5:$G$92,"Aset Tetap Lainnya",'Daftar Koreksi'!$H$5:$H$92,"&lt;0")-SUMIFS('Daftar Koreksi'!$H$5:$H$92,'Daftar Koreksi'!$D$5:$D$92,'1500'!A356,'Daftar Koreksi'!$G$5:$G$92,"Aset Tetap Lainnya",'Daftar Koreksi'!$H$5:$H$92,"&lt;0")-SUMIFS('Daftar Koreksi'!$H$5:$H$92,'Daftar Koreksi'!$D$5:$D$92,'1500'!A356,'Daftar Koreksi'!$G$5:$G$92,"Aset Tetap Lainnya",'Daftar Koreksi'!$H$5:$H$92,"&lt;0")</f>
        <v>0</v>
      </c>
      <c r="G364" s="17">
        <f t="shared" si="16"/>
        <v>30692098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1712780000</v>
      </c>
      <c r="E365" s="25">
        <f>SUMIFS('Daftar Koreksi'!$H$5:$H$92,'Daftar Koreksi'!$D$5:$D$92,'1500'!A356,'Daftar Koreksi'!$G$5:$G$92,"Kontruksi Dalam Pengerjaan",'Daftar Koreksi'!$H$5:$H$92,"&gt;0")</f>
        <v>0</v>
      </c>
      <c r="F365" s="25">
        <f>SUMIFS('Daftar Koreksi'!$H$5:$H$92,'Daftar Koreksi'!$D$5:$D$92,'1500'!A356,'Daftar Koreksi'!$G$5:$G$92,"Kontruksi Dalam Pengerjaan",'Daftar Koreksi'!$H$5:$H$92,"&lt;0")-SUMIFS('Daftar Koreksi'!$H$5:$H$92,'Daftar Koreksi'!$D$5:$D$92,'1500'!A356,'Daftar Koreksi'!$G$5:$G$92,"Kontruksi Dalam Pengerjaan",'Daftar Koreksi'!$H$5:$H$92,"&lt;0")-SUMIFS('Daftar Koreksi'!$H$5:$H$92,'Daftar Koreksi'!$D$5:$D$92,'1500'!A356,'Daftar Koreksi'!$G$5:$G$92,"Kontruksi Dalam Pengerjaan",'Daftar Koreksi'!$H$5:$H$92,"&lt;0")</f>
        <v>0</v>
      </c>
      <c r="G365" s="17">
        <f t="shared" si="16"/>
        <v>1712780000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63650000</v>
      </c>
      <c r="E366" s="25">
        <f>SUMIFS('Daftar Koreksi'!$H$5:$H$92,'Daftar Koreksi'!$D$5:$D$92,'1500'!A356,'Daftar Koreksi'!$G$5:$G$92,"Aset Tak Berwujud",'Daftar Koreksi'!$H$5:$H$92,"&gt;0")</f>
        <v>0</v>
      </c>
      <c r="F366" s="25">
        <f>SUMIFS('Daftar Koreksi'!$H$5:$H$92,'Daftar Koreksi'!$D$5:$D$92,'1500'!A356,'Daftar Koreksi'!$G$5:$G$92,"Aset Tak Berwujud",'Daftar Koreksi'!$H$5:$H$92,"&lt;0")-SUMIFS('Daftar Koreksi'!$H$5:$H$92,'Daftar Koreksi'!$D$5:$D$92,'1500'!A356,'Daftar Koreksi'!$G$5:$G$92,"Aset Tak Berwujud",'Daftar Koreksi'!$H$5:$H$92,"&lt;0")-SUMIFS('Daftar Koreksi'!$H$5:$H$92,'Daftar Koreksi'!$D$5:$D$92,'1500'!A356,'Daftar Koreksi'!$G$5:$G$92,"Aset Tak Berwujud",'Daftar Koreksi'!$H$5:$H$92,"&lt;0")</f>
        <v>0</v>
      </c>
      <c r="G366" s="17">
        <f t="shared" si="16"/>
        <v>63650000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1477203</v>
      </c>
      <c r="E367" s="25">
        <f>SUMIFS('Daftar Koreksi'!$H$5:$H$92,'Daftar Koreksi'!$D$5:$D$92,'1500'!A356,'Daftar Koreksi'!$G$5:$G$92,"Aset Henti Guna",'Daftar Koreksi'!$H$5:$H$92,"&gt;0")</f>
        <v>0</v>
      </c>
      <c r="F367" s="25">
        <f>SUMIFS('Daftar Koreksi'!$H$5:$H$92,'Daftar Koreksi'!$D$5:$D$92,'1500'!A356,'Daftar Koreksi'!$G$5:$G$92,"Aset Henti Guna",'Daftar Koreksi'!$H$5:$H$92,"&lt;0")-SUMIFS('Daftar Koreksi'!$H$5:$H$92,'Daftar Koreksi'!$D$5:$D$92,'1500'!A356,'Daftar Koreksi'!$G$5:$G$92,"Aset Henti Guna",'Daftar Koreksi'!$H$5:$H$92,"&lt;0")-SUMIFS('Daftar Koreksi'!$H$5:$H$92,'Daftar Koreksi'!$D$5:$D$92,'1500'!A356,'Daftar Koreksi'!$G$5:$G$92,"Aset Henti Guna",'Daftar Koreksi'!$H$5:$H$92,"&lt;0")</f>
        <v>0</v>
      </c>
      <c r="G367" s="17">
        <f t="shared" si="16"/>
        <v>1477203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14059531668</v>
      </c>
      <c r="E368" s="19">
        <f>SUM(E359:E367)</f>
        <v>0</v>
      </c>
      <c r="F368" s="19">
        <f>SUM(F359:F367)</f>
        <v>0</v>
      </c>
      <c r="G368" s="19">
        <f t="shared" si="16"/>
        <v>14059531668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-998292337</v>
      </c>
      <c r="E369" s="25">
        <f>SUMIFS('Daftar Koreksi'!$I$5:$I$92,'Daftar Koreksi'!$D$5:$D$92,'1500'!A356,'Daftar Koreksi'!$G$5:$G$92,"Peralatan dan mesin",'Daftar Koreksi'!$I$5:$I$92,"&gt;0")</f>
        <v>0</v>
      </c>
      <c r="F369" s="25">
        <f>SUMIFS('Daftar Koreksi'!$I$5:$I$92,'Daftar Koreksi'!$D$5:$D$92,'1500'!A356,'Daftar Koreksi'!$G$5:$G$92,"Peralatan dan mesin",'Daftar Koreksi'!$I$5:$I$92,"&lt;0")-SUMIFS('Daftar Koreksi'!$I$5:$I$92,'Daftar Koreksi'!$D$5:$D$92,'1500'!A356,'Daftar Koreksi'!$G$5:$G$92,"Peralatan dan mesin",'Daftar Koreksi'!$I$5:$I$92,"&lt;0")-SUMIFS('Daftar Koreksi'!$I$5:$I$92,'Daftar Koreksi'!$D$5:$D$92,'1500'!A356,'Daftar Koreksi'!$G$5:$G$92,"Peralatan dan mesin",'Daftar Koreksi'!$I$5:$I$92,"&lt;0")</f>
        <v>0</v>
      </c>
      <c r="G369" s="17">
        <f t="shared" si="16"/>
        <v>-998292337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-296307522</v>
      </c>
      <c r="E370" s="25">
        <f>SUMIFS('Daftar Koreksi'!$I$5:$I$92,'Daftar Koreksi'!$D$5:$D$92,'1500'!A356,'Daftar Koreksi'!$G$5:$G$92,"Gedung dan Bangunan",'Daftar Koreksi'!$I$5:$I$92,"&gt;0")</f>
        <v>0</v>
      </c>
      <c r="F370" s="25">
        <f>SUMIFS('Daftar Koreksi'!$I$5:$I$92,'Daftar Koreksi'!$D$5:$D$92,'1500'!A356,'Daftar Koreksi'!$G$5:$G$92,"Gedung dan Bangunan",'Daftar Koreksi'!$I$5:$I$92,"&lt;0")-SUMIFS('Daftar Koreksi'!$I$5:$I$92,'Daftar Koreksi'!$D$5:$D$92,'1500'!A356,'Daftar Koreksi'!$G$5:$G$92,"Gedung dan Bangunan",'Daftar Koreksi'!$I$5:$I$92,"&lt;0")-SUMIFS('Daftar Koreksi'!$I$5:$I$92,'Daftar Koreksi'!$D$5:$D$92,'1500'!A356,'Daftar Koreksi'!$G$5:$G$92,"Gedung dan Bangunan",'Daftar Koreksi'!$I$5:$I$92,"&lt;0")</f>
        <v>0</v>
      </c>
      <c r="G370" s="17">
        <f t="shared" si="16"/>
        <v>-296307522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-3744730</v>
      </c>
      <c r="E371" s="25">
        <f>SUMIFS('Daftar Koreksi'!$I$5:$I$92,'Daftar Koreksi'!$D$5:$D$92,'1500'!A356,'Daftar Koreksi'!$G$5:$G$92,"Jalan Irigasi Jaringan",'Daftar Koreksi'!$I$5:$I$92,"&gt;0")</f>
        <v>0</v>
      </c>
      <c r="F371" s="25">
        <f>SUMIFS('Daftar Koreksi'!$I$5:$I$92,'Daftar Koreksi'!$D$5:$D$92,'1500'!A356,'Daftar Koreksi'!$G$5:$G$92,"Jalan Irigasi Jaringan",'Daftar Koreksi'!$I$5:$I$92,"&lt;0")-SUMIFS('Daftar Koreksi'!$I$5:$I$92,'Daftar Koreksi'!$D$5:$D$92,'1500'!A356,'Daftar Koreksi'!$G$5:$G$92,"Jalan Irigasi Jaringan",'Daftar Koreksi'!$I$5:$I$92,"&lt;0")-SUMIFS('Daftar Koreksi'!$I$5:$I$92,'Daftar Koreksi'!$D$5:$D$92,'1500'!A356,'Daftar Koreksi'!$G$5:$G$92,"Jalan Irigasi Jaringan",'Daftar Koreksi'!$I$5:$I$92,"&lt;0")</f>
        <v>0</v>
      </c>
      <c r="G371" s="17">
        <f t="shared" si="16"/>
        <v>-3744730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Koreksi'!$D$5:$D$92,'1500'!A356,'Daftar Koreksi'!$G$5:$G$92,"Aset Tetap Lainnya",'Daftar Koreksi'!$I$5:$I$92,"&gt;0")</f>
        <v>0</v>
      </c>
      <c r="F372" s="25">
        <f>SUMIFS('Daftar Koreksi'!$I$5:$I$92,'Daftar Koreksi'!$D$5:$D$92,'1500'!A356,'Daftar Koreksi'!$G$5:$G$92,"Aset Tetap Lainnya",'Daftar Koreksi'!$I$5:$I$92,"&lt;0")-SUMIFS('Daftar Koreksi'!$I$5:$I$92,'Daftar Koreksi'!$D$5:$D$92,'1500'!A356,'Daftar Koreksi'!$G$5:$G$92,"Aset Tetap Lainnya",'Daftar Koreksi'!$I$5:$I$92,"&lt;0")-SUMIFS('Daftar Koreksi'!$I$5:$I$92,'Daftar Koreksi'!$D$5:$D$92,'1500'!A356,'Daftar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-1477203</v>
      </c>
      <c r="E373" s="25">
        <f>SUMIFS('Daftar Koreksi'!$I$5:$I$92,'Daftar Koreksi'!$D$5:$D$92,'1500'!A356,'Daftar Koreksi'!$G$5:$G$92,"Aset Henti Guna",'Daftar Koreksi'!$I$5:$I$92,"&gt;0")</f>
        <v>0</v>
      </c>
      <c r="F373" s="25">
        <f>SUMIFS('Daftar Koreksi'!$I$5:$I$92,'Daftar Koreksi'!$D$5:$D$92,'1500'!A356,'Daftar Koreksi'!$G$5:$G$92,"Aset Henti Guna",'Daftar Koreksi'!$I$5:$I$92,"&lt;0")-SUMIFS('Daftar Koreksi'!$I$5:$I$92,'Daftar Koreksi'!$D$5:$D$92,'1500'!A356,'Daftar Koreksi'!$G$5:$G$92,"Aset Henti Guna",'Daftar Koreksi'!$I$5:$I$92,"&lt;0")-SUMIFS('Daftar Koreksi'!$I$5:$I$92,'Daftar Koreksi'!$D$5:$D$92,'1500'!A356,'Daftar Koreksi'!$G$5:$G$92,"Aset Henti Guna",'Daftar Koreksi'!$I$5:$I$92,"&lt;0")</f>
        <v>0</v>
      </c>
      <c r="G373" s="17">
        <f t="shared" si="16"/>
        <v>-1477203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-1299821792</v>
      </c>
      <c r="E374" s="19">
        <f>SUM(E369:E373)</f>
        <v>0</v>
      </c>
      <c r="F374" s="19">
        <f>SUM(F369:F373)</f>
        <v>0</v>
      </c>
      <c r="G374" s="19">
        <f t="shared" si="16"/>
        <v>-1299821792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12759709876</v>
      </c>
      <c r="E375" s="19">
        <f>E374+E368</f>
        <v>0</v>
      </c>
      <c r="F375" s="19">
        <f>F374+F368</f>
        <v>0</v>
      </c>
      <c r="G375" s="19">
        <f t="shared" si="16"/>
        <v>12759709876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005011500402525000KD</v>
      </c>
      <c r="B378" s="11" t="str">
        <f>P18</f>
        <v>PA. Rantau</v>
      </c>
      <c r="C378" s="12" t="str">
        <f>A378&amp;" "&amp;B378</f>
        <v>005011500402525000KD PA. Rantau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12500</v>
      </c>
      <c r="E381" s="25">
        <f>SUMIFS('Daftar Koreksi'!$H$5:$H$92,'Daftar Koreksi'!$D$5:$D$92,'1500'!A378,'Daftar Koreksi'!$G$5:$G$92,"Persediaan",'Daftar Koreksi'!$H$5:$H$92,"&gt;0")</f>
        <v>0</v>
      </c>
      <c r="F381" s="25">
        <f>SUMIFS('Daftar Koreksi'!$H$5:$H$92,'Daftar Koreksi'!$D$5:$D$92,'1500'!A378,'Daftar Koreksi'!$G$5:$G$92,"Persediaan",'Daftar Koreksi'!$H$5:$H$92,"&lt;0")-SUMIFS('Daftar Koreksi'!$H$5:$H$92,'Daftar Koreksi'!$D$5:$D$92,'1500'!A378,'Daftar Koreksi'!$G$5:$G$92,"Persediaan",'Daftar Koreksi'!$H$5:$H$92,"&lt;0")-SUMIFS('Daftar Koreksi'!$H$5:$H$92,'Daftar Koreksi'!$D$5:$D$92,'1500'!A378,'Daftar Koreksi'!$G$5:$G$92,"Persediaan",'Daftar Koreksi'!$H$5:$H$92,"&lt;0")</f>
        <v>0</v>
      </c>
      <c r="G381" s="17">
        <f>D381+E381-F381</f>
        <v>12500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1282764336</v>
      </c>
      <c r="E382" s="25">
        <f>SUMIFS('Daftar Koreksi'!$H$5:$H$92,'Daftar Koreksi'!$D$5:$D$92,'1500'!A378,'Daftar Koreksi'!$G$5:$G$92,"Tanah",'Daftar Koreksi'!$H$5:$H$92,"&gt;0")</f>
        <v>0</v>
      </c>
      <c r="F382" s="25">
        <f>SUMIFS('Daftar Koreksi'!$H$5:$H$92,'Daftar Koreksi'!$D$5:$D$92,'1500'!A378,'Daftar Koreksi'!$G$5:$G$92,"Tanah",'Daftar Koreksi'!$H$5:$H$92,"&lt;0")-SUMIFS('Daftar Koreksi'!$H$5:$H$92,'Daftar Koreksi'!$D$5:$D$92,'1500'!A378,'Daftar Koreksi'!$G$5:$G$92,"Tanah",'Daftar Koreksi'!$H$5:$H$92,"&lt;0")-SUMIFS('Daftar Koreksi'!$H$5:$H$92,'Daftar Koreksi'!$D$5:$D$92,'1500'!A378,'Daftar Koreksi'!$G$5:$G$92,"Tanah",'Daftar Koreksi'!$H$5:$H$92,"&lt;0")</f>
        <v>0</v>
      </c>
      <c r="G382" s="17">
        <f t="shared" ref="G382:G398" si="17">D382+E382-F382</f>
        <v>1282764336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1351274375</v>
      </c>
      <c r="E383" s="25">
        <f>SUMIFS('Daftar Koreksi'!$H$5:$H$92,'Daftar Koreksi'!$D$5:$D$92,'1500'!A378,'Daftar Koreksi'!$G$5:$G$92,"Peralatan dan mesin",'Daftar Koreksi'!$H$5:$H$92,"&gt;0")</f>
        <v>0</v>
      </c>
      <c r="F383" s="25">
        <f>SUMIFS('Daftar Koreksi'!$H$5:$H$92,'Daftar Koreksi'!$D$5:$D$92,'1500'!A378,'Daftar Koreksi'!$G$5:$G$92,"Peralatan dan mesin",'Daftar Koreksi'!$H$5:$H$92,"&lt;0")-SUMIFS('Daftar Koreksi'!$H$5:$H$92,'Daftar Koreksi'!$D$5:$D$92,'1500'!A378,'Daftar Koreksi'!$G$5:$G$92,"Peralatan dan mesin",'Daftar Koreksi'!$H$5:$H$92,"&lt;0")-SUMIFS('Daftar Koreksi'!$H$5:$H$92,'Daftar Koreksi'!$D$5:$D$92,'1500'!A378,'Daftar Koreksi'!$G$5:$G$92,"Peralatan dan mesin",'Daftar Koreksi'!$H$5:$H$92,"&lt;0")</f>
        <v>0</v>
      </c>
      <c r="G383" s="17">
        <f t="shared" si="17"/>
        <v>1351274375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885948000</v>
      </c>
      <c r="E384" s="25">
        <f>SUMIFS('Daftar Koreksi'!$H$5:$H$92,'Daftar Koreksi'!$D$5:$D$92,'1500'!A378,'Daftar Koreksi'!$G$5:$G$92,"Gedung dan Bangunan",'Daftar Koreksi'!$H$5:$H$92,"&gt;0")</f>
        <v>0</v>
      </c>
      <c r="F384" s="25">
        <f>SUMIFS('Daftar Koreksi'!$H$5:$H$92,'Daftar Koreksi'!$D$5:$D$92,'1500'!A378,'Daftar Koreksi'!$G$5:$G$92,"Gedung dan Bangunan",'Daftar Koreksi'!$H$5:$H$92,"&lt;0")-SUMIFS('Daftar Koreksi'!$H$5:$H$92,'Daftar Koreksi'!$D$5:$D$92,'1500'!A378,'Daftar Koreksi'!$G$5:$G$92,"Gedung dan Bangunan",'Daftar Koreksi'!$H$5:$H$92,"&lt;0")-SUMIFS('Daftar Koreksi'!$H$5:$H$92,'Daftar Koreksi'!$D$5:$D$92,'1500'!A378,'Daftar Koreksi'!$G$5:$G$92,"Gedung dan Bangunan",'Daftar Koreksi'!$H$5:$H$92,"&lt;0")</f>
        <v>0</v>
      </c>
      <c r="G384" s="17">
        <f t="shared" si="17"/>
        <v>885948000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Koreksi'!$D$5:$D$92,'1500'!A378,'Daftar Koreksi'!$G$5:$G$92,"Jalan Irigasi Jaringan",'Daftar Koreksi'!$H$5:$H$92,"&gt;0")</f>
        <v>0</v>
      </c>
      <c r="F385" s="25">
        <f>SUMIFS('Daftar Koreksi'!$H$5:$H$92,'Daftar Koreksi'!$D$5:$D$92,'1500'!A378,'Daftar Koreksi'!$G$5:$G$92,"Jalan Irigasi Jaringan",'Daftar Koreksi'!$H$5:$H$92,"&lt;0")-SUMIFS('Daftar Koreksi'!$H$5:$H$92,'Daftar Koreksi'!$D$5:$D$92,'1500'!A378,'Daftar Koreksi'!$G$5:$G$92,"Jalan Irigasi Jaringan",'Daftar Koreksi'!$H$5:$H$92,"&lt;0")-SUMIFS('Daftar Koreksi'!$H$5:$H$92,'Daftar Koreksi'!$D$5:$D$92,'1500'!A378,'Daftar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21863698</v>
      </c>
      <c r="E386" s="25">
        <f>SUMIFS('Daftar Koreksi'!$H$5:$H$92,'Daftar Koreksi'!$D$5:$D$92,'1500'!A378,'Daftar Koreksi'!$G$5:$G$92,"Aset Tetap Lainnya",'Daftar Koreksi'!$H$5:$H$92,"&gt;0")</f>
        <v>0</v>
      </c>
      <c r="F386" s="25">
        <f>SUMIFS('Daftar Koreksi'!$H$5:$H$92,'Daftar Koreksi'!$D$5:$D$92,'1500'!A378,'Daftar Koreksi'!$G$5:$G$92,"Aset Tetap Lainnya",'Daftar Koreksi'!$H$5:$H$92,"&lt;0")-SUMIFS('Daftar Koreksi'!$H$5:$H$92,'Daftar Koreksi'!$D$5:$D$92,'1500'!A378,'Daftar Koreksi'!$G$5:$G$92,"Aset Tetap Lainnya",'Daftar Koreksi'!$H$5:$H$92,"&lt;0")-SUMIFS('Daftar Koreksi'!$H$5:$H$92,'Daftar Koreksi'!$D$5:$D$92,'1500'!A378,'Daftar Koreksi'!$G$5:$G$92,"Aset Tetap Lainnya",'Daftar Koreksi'!$H$5:$H$92,"&lt;0")</f>
        <v>0</v>
      </c>
      <c r="G386" s="17">
        <f t="shared" si="17"/>
        <v>21863698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2486911000</v>
      </c>
      <c r="E387" s="25">
        <f>SUMIFS('Daftar Koreksi'!$H$5:$H$92,'Daftar Koreksi'!$D$5:$D$92,'1500'!A378,'Daftar Koreksi'!$G$5:$G$92,"Kontruksi Dalam Pengerjaan",'Daftar Koreksi'!$H$5:$H$92,"&gt;0")</f>
        <v>0</v>
      </c>
      <c r="F387" s="25">
        <f>SUMIFS('Daftar Koreksi'!$H$5:$H$92,'Daftar Koreksi'!$D$5:$D$92,'1500'!A378,'Daftar Koreksi'!$G$5:$G$92,"Kontruksi Dalam Pengerjaan",'Daftar Koreksi'!$H$5:$H$92,"&lt;0")-SUMIFS('Daftar Koreksi'!$H$5:$H$92,'Daftar Koreksi'!$D$5:$D$92,'1500'!A378,'Daftar Koreksi'!$G$5:$G$92,"Kontruksi Dalam Pengerjaan",'Daftar Koreksi'!$H$5:$H$92,"&lt;0")-SUMIFS('Daftar Koreksi'!$H$5:$H$92,'Daftar Koreksi'!$D$5:$D$92,'1500'!A378,'Daftar Koreksi'!$G$5:$G$92,"Kontruksi Dalam Pengerjaan",'Daftar Koreksi'!$H$5:$H$92,"&lt;0")</f>
        <v>0</v>
      </c>
      <c r="G387" s="17">
        <f t="shared" si="17"/>
        <v>2486911000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27400000</v>
      </c>
      <c r="E388" s="25">
        <f>SUMIFS('Daftar Koreksi'!$H$5:$H$92,'Daftar Koreksi'!$D$5:$D$92,'1500'!A378,'Daftar Koreksi'!$G$5:$G$92,"Aset Tak Berwujud",'Daftar Koreksi'!$H$5:$H$92,"&gt;0")</f>
        <v>0</v>
      </c>
      <c r="F388" s="25">
        <f>SUMIFS('Daftar Koreksi'!$H$5:$H$92,'Daftar Koreksi'!$D$5:$D$92,'1500'!A378,'Daftar Koreksi'!$G$5:$G$92,"Aset Tak Berwujud",'Daftar Koreksi'!$H$5:$H$92,"&lt;0")-SUMIFS('Daftar Koreksi'!$H$5:$H$92,'Daftar Koreksi'!$D$5:$D$92,'1500'!A378,'Daftar Koreksi'!$G$5:$G$92,"Aset Tak Berwujud",'Daftar Koreksi'!$H$5:$H$92,"&lt;0")-SUMIFS('Daftar Koreksi'!$H$5:$H$92,'Daftar Koreksi'!$D$5:$D$92,'1500'!A378,'Daftar Koreksi'!$G$5:$G$92,"Aset Tak Berwujud",'Daftar Koreksi'!$H$5:$H$92,"&lt;0")</f>
        <v>0</v>
      </c>
      <c r="G388" s="17">
        <f t="shared" si="17"/>
        <v>27400000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211379405</v>
      </c>
      <c r="E389" s="25">
        <f>SUMIFS('Daftar Koreksi'!$H$5:$H$92,'Daftar Koreksi'!$D$5:$D$92,'1500'!A378,'Daftar Koreksi'!$G$5:$G$92,"Aset Henti Guna",'Daftar Koreksi'!$H$5:$H$92,"&gt;0")</f>
        <v>0</v>
      </c>
      <c r="F389" s="25">
        <f>SUMIFS('Daftar Koreksi'!$H$5:$H$92,'Daftar Koreksi'!$D$5:$D$92,'1500'!A378,'Daftar Koreksi'!$G$5:$G$92,"Aset Henti Guna",'Daftar Koreksi'!$H$5:$H$92,"&lt;0")-SUMIFS('Daftar Koreksi'!$H$5:$H$92,'Daftar Koreksi'!$D$5:$D$92,'1500'!A378,'Daftar Koreksi'!$G$5:$G$92,"Aset Henti Guna",'Daftar Koreksi'!$H$5:$H$92,"&lt;0")-SUMIFS('Daftar Koreksi'!$H$5:$H$92,'Daftar Koreksi'!$D$5:$D$92,'1500'!A378,'Daftar Koreksi'!$G$5:$G$92,"Aset Henti Guna",'Daftar Koreksi'!$H$5:$H$92,"&lt;0")</f>
        <v>0</v>
      </c>
      <c r="G389" s="17">
        <f t="shared" si="17"/>
        <v>211379405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6267553314</v>
      </c>
      <c r="E390" s="19">
        <f>SUM(E381:E389)</f>
        <v>0</v>
      </c>
      <c r="F390" s="19">
        <f>SUM(F381:F389)</f>
        <v>0</v>
      </c>
      <c r="G390" s="19">
        <f t="shared" si="17"/>
        <v>6267553314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-1196259940</v>
      </c>
      <c r="E391" s="25">
        <f>SUMIFS('Daftar Koreksi'!$I$5:$I$92,'Daftar Koreksi'!$D$5:$D$92,'1500'!A378,'Daftar Koreksi'!$G$5:$G$92,"Peralatan dan mesin",'Daftar Koreksi'!$I$5:$I$92,"&gt;0")</f>
        <v>0</v>
      </c>
      <c r="F391" s="25">
        <f>SUMIFS('Daftar Koreksi'!$I$5:$I$92,'Daftar Koreksi'!$D$5:$D$92,'1500'!A378,'Daftar Koreksi'!$G$5:$G$92,"Peralatan dan mesin",'Daftar Koreksi'!$I$5:$I$92,"&lt;0")-SUMIFS('Daftar Koreksi'!$I$5:$I$92,'Daftar Koreksi'!$D$5:$D$92,'1500'!A378,'Daftar Koreksi'!$G$5:$G$92,"Peralatan dan mesin",'Daftar Koreksi'!$I$5:$I$92,"&lt;0")-SUMIFS('Daftar Koreksi'!$I$5:$I$92,'Daftar Koreksi'!$D$5:$D$92,'1500'!A378,'Daftar Koreksi'!$G$5:$G$92,"Peralatan dan mesin",'Daftar Koreksi'!$I$5:$I$92,"&lt;0")</f>
        <v>0</v>
      </c>
      <c r="G391" s="17">
        <f t="shared" si="17"/>
        <v>-1196259940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-154448360</v>
      </c>
      <c r="E392" s="25">
        <f>SUMIFS('Daftar Koreksi'!$I$5:$I$92,'Daftar Koreksi'!$D$5:$D$92,'1500'!A378,'Daftar Koreksi'!$G$5:$G$92,"Gedung dan Bangunan",'Daftar Koreksi'!$I$5:$I$92,"&gt;0")</f>
        <v>0</v>
      </c>
      <c r="F392" s="25">
        <f>SUMIFS('Daftar Koreksi'!$I$5:$I$92,'Daftar Koreksi'!$D$5:$D$92,'1500'!A378,'Daftar Koreksi'!$G$5:$G$92,"Gedung dan Bangunan",'Daftar Koreksi'!$I$5:$I$92,"&lt;0")-SUMIFS('Daftar Koreksi'!$I$5:$I$92,'Daftar Koreksi'!$D$5:$D$92,'1500'!A378,'Daftar Koreksi'!$G$5:$G$92,"Gedung dan Bangunan",'Daftar Koreksi'!$I$5:$I$92,"&lt;0")-SUMIFS('Daftar Koreksi'!$I$5:$I$92,'Daftar Koreksi'!$D$5:$D$92,'1500'!A378,'Daftar Koreksi'!$G$5:$G$92,"Gedung dan Bangunan",'Daftar Koreksi'!$I$5:$I$92,"&lt;0")</f>
        <v>0</v>
      </c>
      <c r="G392" s="17">
        <f t="shared" si="17"/>
        <v>-154448360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Koreksi'!$D$5:$D$92,'1500'!A378,'Daftar Koreksi'!$G$5:$G$92,"Jalan Irigasi Jaringan",'Daftar Koreksi'!$I$5:$I$92,"&gt;0")</f>
        <v>0</v>
      </c>
      <c r="F393" s="25">
        <f>SUMIFS('Daftar Koreksi'!$I$5:$I$92,'Daftar Koreksi'!$D$5:$D$92,'1500'!A378,'Daftar Koreksi'!$G$5:$G$92,"Jalan Irigasi Jaringan",'Daftar Koreksi'!$I$5:$I$92,"&lt;0")-SUMIFS('Daftar Koreksi'!$I$5:$I$92,'Daftar Koreksi'!$D$5:$D$92,'1500'!A378,'Daftar Koreksi'!$G$5:$G$92,"Jalan Irigasi Jaringan",'Daftar Koreksi'!$I$5:$I$92,"&lt;0")-SUMIFS('Daftar Koreksi'!$I$5:$I$92,'Daftar Koreksi'!$D$5:$D$92,'1500'!A378,'Daftar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Koreksi'!$D$5:$D$92,'1500'!A378,'Daftar Koreksi'!$G$5:$G$92,"Aset Tetap Lainnya",'Daftar Koreksi'!$I$5:$I$92,"&gt;0")</f>
        <v>0</v>
      </c>
      <c r="F394" s="25">
        <f>SUMIFS('Daftar Koreksi'!$I$5:$I$92,'Daftar Koreksi'!$D$5:$D$92,'1500'!A378,'Daftar Koreksi'!$G$5:$G$92,"Aset Tetap Lainnya",'Daftar Koreksi'!$I$5:$I$92,"&lt;0")-SUMIFS('Daftar Koreksi'!$I$5:$I$92,'Daftar Koreksi'!$D$5:$D$92,'1500'!A378,'Daftar Koreksi'!$G$5:$G$92,"Aset Tetap Lainnya",'Daftar Koreksi'!$I$5:$I$92,"&lt;0")-SUMIFS('Daftar Koreksi'!$I$5:$I$92,'Daftar Koreksi'!$D$5:$D$92,'1500'!A378,'Daftar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-211379405</v>
      </c>
      <c r="E395" s="25">
        <f>SUMIFS('Daftar Koreksi'!$I$5:$I$92,'Daftar Koreksi'!$D$5:$D$92,'1500'!A378,'Daftar Koreksi'!$G$5:$G$92,"Aset Henti Guna",'Daftar Koreksi'!$I$5:$I$92,"&gt;0")</f>
        <v>0</v>
      </c>
      <c r="F395" s="25">
        <f>SUMIFS('Daftar Koreksi'!$I$5:$I$92,'Daftar Koreksi'!$D$5:$D$92,'1500'!A378,'Daftar Koreksi'!$G$5:$G$92,"Aset Henti Guna",'Daftar Koreksi'!$I$5:$I$92,"&lt;0")-SUMIFS('Daftar Koreksi'!$I$5:$I$92,'Daftar Koreksi'!$D$5:$D$92,'1500'!A378,'Daftar Koreksi'!$G$5:$G$92,"Aset Henti Guna",'Daftar Koreksi'!$I$5:$I$92,"&lt;0")-SUMIFS('Daftar Koreksi'!$I$5:$I$92,'Daftar Koreksi'!$D$5:$D$92,'1500'!A378,'Daftar Koreksi'!$G$5:$G$92,"Aset Henti Guna",'Daftar Koreksi'!$I$5:$I$92,"&lt;0")</f>
        <v>0</v>
      </c>
      <c r="G395" s="17">
        <f t="shared" si="17"/>
        <v>-211379405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-1562087705</v>
      </c>
      <c r="E396" s="19">
        <f>SUM(E391:E395)</f>
        <v>0</v>
      </c>
      <c r="F396" s="19">
        <f>SUM(F391:F395)</f>
        <v>0</v>
      </c>
      <c r="G396" s="19">
        <f t="shared" si="17"/>
        <v>-1562087705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4705465609</v>
      </c>
      <c r="E397" s="19">
        <f>E396+E390</f>
        <v>0</v>
      </c>
      <c r="F397" s="19">
        <f>F396+F390</f>
        <v>0</v>
      </c>
      <c r="G397" s="19">
        <f t="shared" si="17"/>
        <v>4705465609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005011500402531000KD</v>
      </c>
      <c r="B400" s="11" t="str">
        <f>P19</f>
        <v>PA. Kandangan</v>
      </c>
      <c r="C400" s="12" t="str">
        <f>A400&amp;" "&amp;B400</f>
        <v>005011500402531000KD PA. Kandangan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660100</v>
      </c>
      <c r="E403" s="25">
        <f>SUMIFS('Daftar Koreksi'!$H$5:$H$92,'Daftar Koreksi'!$D$5:$D$92,'1500'!A400,'Daftar Koreksi'!$G$5:$G$92,"Persediaan",'Daftar Koreksi'!$H$5:$H$92,"&gt;0")</f>
        <v>0</v>
      </c>
      <c r="F403" s="25">
        <f>SUMIFS('Daftar Koreksi'!$H$5:$H$92,'Daftar Koreksi'!$D$5:$D$92,'1500'!A400,'Daftar Koreksi'!$G$5:$G$92,"Persediaan",'Daftar Koreksi'!$H$5:$H$92,"&lt;0")-SUMIFS('Daftar Koreksi'!$H$5:$H$92,'Daftar Koreksi'!$D$5:$D$92,'1500'!A400,'Daftar Koreksi'!$G$5:$G$92,"Persediaan",'Daftar Koreksi'!$H$5:$H$92,"&lt;0")-SUMIFS('Daftar Koreksi'!$H$5:$H$92,'Daftar Koreksi'!$D$5:$D$92,'1500'!A400,'Daftar Koreksi'!$G$5:$G$92,"Persediaan",'Daftar Koreksi'!$H$5:$H$92,"&lt;0")</f>
        <v>0</v>
      </c>
      <c r="G403" s="17">
        <f>D403+E403-F403</f>
        <v>660100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1644137000</v>
      </c>
      <c r="E404" s="25">
        <f>SUMIFS('Daftar Koreksi'!$H$5:$H$92,'Daftar Koreksi'!$D$5:$D$92,'1500'!A400,'Daftar Koreksi'!$G$5:$G$92,"Tanah",'Daftar Koreksi'!$H$5:$H$92,"&gt;0")</f>
        <v>0</v>
      </c>
      <c r="F404" s="25">
        <f>SUMIFS('Daftar Koreksi'!$H$5:$H$92,'Daftar Koreksi'!$D$5:$D$92,'1500'!A400,'Daftar Koreksi'!$G$5:$G$92,"Tanah",'Daftar Koreksi'!$H$5:$H$92,"&lt;0")-SUMIFS('Daftar Koreksi'!$H$5:$H$92,'Daftar Koreksi'!$D$5:$D$92,'1500'!A400,'Daftar Koreksi'!$G$5:$G$92,"Tanah",'Daftar Koreksi'!$H$5:$H$92,"&lt;0")-SUMIFS('Daftar Koreksi'!$H$5:$H$92,'Daftar Koreksi'!$D$5:$D$92,'1500'!A400,'Daftar Koreksi'!$G$5:$G$92,"Tanah",'Daftar Koreksi'!$H$5:$H$92,"&lt;0")</f>
        <v>0</v>
      </c>
      <c r="G404" s="17">
        <f t="shared" ref="G404:G420" si="18">D404+E404-F404</f>
        <v>1644137000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1243710440</v>
      </c>
      <c r="E405" s="25">
        <f>SUMIFS('Daftar Koreksi'!$H$5:$H$92,'Daftar Koreksi'!$D$5:$D$92,'1500'!A400,'Daftar Koreksi'!$G$5:$G$92,"Peralatan dan mesin",'Daftar Koreksi'!$H$5:$H$92,"&gt;0")</f>
        <v>0</v>
      </c>
      <c r="F405" s="25">
        <f>SUMIFS('Daftar Koreksi'!$H$5:$H$92,'Daftar Koreksi'!$D$5:$D$92,'1500'!A400,'Daftar Koreksi'!$G$5:$G$92,"Peralatan dan mesin",'Daftar Koreksi'!$H$5:$H$92,"&lt;0")-SUMIFS('Daftar Koreksi'!$H$5:$H$92,'Daftar Koreksi'!$D$5:$D$92,'1500'!A400,'Daftar Koreksi'!$G$5:$G$92,"Peralatan dan mesin",'Daftar Koreksi'!$H$5:$H$92,"&lt;0")-SUMIFS('Daftar Koreksi'!$H$5:$H$92,'Daftar Koreksi'!$D$5:$D$92,'1500'!A400,'Daftar Koreksi'!$G$5:$G$92,"Peralatan dan mesin",'Daftar Koreksi'!$H$5:$H$92,"&lt;0")</f>
        <v>0</v>
      </c>
      <c r="G405" s="17">
        <f t="shared" si="18"/>
        <v>1243710440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5755047426</v>
      </c>
      <c r="E406" s="25">
        <f>SUMIFS('Daftar Koreksi'!$H$5:$H$92,'Daftar Koreksi'!$D$5:$D$92,'1500'!A400,'Daftar Koreksi'!$G$5:$G$92,"Gedung dan Bangunan",'Daftar Koreksi'!$H$5:$H$92,"&gt;0")</f>
        <v>0</v>
      </c>
      <c r="F406" s="25">
        <f>SUMIFS('Daftar Koreksi'!$H$5:$H$92,'Daftar Koreksi'!$D$5:$D$92,'1500'!A400,'Daftar Koreksi'!$G$5:$G$92,"Gedung dan Bangunan",'Daftar Koreksi'!$H$5:$H$92,"&lt;0")-SUMIFS('Daftar Koreksi'!$H$5:$H$92,'Daftar Koreksi'!$D$5:$D$92,'1500'!A400,'Daftar Koreksi'!$G$5:$G$92,"Gedung dan Bangunan",'Daftar Koreksi'!$H$5:$H$92,"&lt;0")-SUMIFS('Daftar Koreksi'!$H$5:$H$92,'Daftar Koreksi'!$D$5:$D$92,'1500'!A400,'Daftar Koreksi'!$G$5:$G$92,"Gedung dan Bangunan",'Daftar Koreksi'!$H$5:$H$92,"&lt;0")</f>
        <v>0</v>
      </c>
      <c r="G406" s="17">
        <f t="shared" si="18"/>
        <v>5755047426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99770000</v>
      </c>
      <c r="E407" s="25">
        <f>SUMIFS('Daftar Koreksi'!$H$5:$H$92,'Daftar Koreksi'!$D$5:$D$92,'1500'!A400,'Daftar Koreksi'!$G$5:$G$92,"Jalan Irigasi Jaringan",'Daftar Koreksi'!$H$5:$H$92,"&gt;0")</f>
        <v>0</v>
      </c>
      <c r="F407" s="25">
        <f>SUMIFS('Daftar Koreksi'!$H$5:$H$92,'Daftar Koreksi'!$D$5:$D$92,'1500'!A400,'Daftar Koreksi'!$G$5:$G$92,"Jalan Irigasi Jaringan",'Daftar Koreksi'!$H$5:$H$92,"&lt;0")-SUMIFS('Daftar Koreksi'!$H$5:$H$92,'Daftar Koreksi'!$D$5:$D$92,'1500'!A400,'Daftar Koreksi'!$G$5:$G$92,"Jalan Irigasi Jaringan",'Daftar Koreksi'!$H$5:$H$92,"&lt;0")-SUMIFS('Daftar Koreksi'!$H$5:$H$92,'Daftar Koreksi'!$D$5:$D$92,'1500'!A400,'Daftar Koreksi'!$G$5:$G$92,"Jalan Irigasi Jaringan",'Daftar Koreksi'!$H$5:$H$92,"&lt;0")</f>
        <v>0</v>
      </c>
      <c r="G407" s="17">
        <f t="shared" si="18"/>
        <v>99770000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39538120</v>
      </c>
      <c r="E408" s="25">
        <f>SUMIFS('Daftar Koreksi'!$H$5:$H$92,'Daftar Koreksi'!$D$5:$D$92,'1500'!A400,'Daftar Koreksi'!$G$5:$G$92,"Aset Tetap Lainnya",'Daftar Koreksi'!$H$5:$H$92,"&gt;0")</f>
        <v>0</v>
      </c>
      <c r="F408" s="25">
        <f>SUMIFS('Daftar Koreksi'!$H$5:$H$92,'Daftar Koreksi'!$D$5:$D$92,'1500'!A400,'Daftar Koreksi'!$G$5:$G$92,"Aset Tetap Lainnya",'Daftar Koreksi'!$H$5:$H$92,"&lt;0")-SUMIFS('Daftar Koreksi'!$H$5:$H$92,'Daftar Koreksi'!$D$5:$D$92,'1500'!A400,'Daftar Koreksi'!$G$5:$G$92,"Aset Tetap Lainnya",'Daftar Koreksi'!$H$5:$H$92,"&lt;0")-SUMIFS('Daftar Koreksi'!$H$5:$H$92,'Daftar Koreksi'!$D$5:$D$92,'1500'!A400,'Daftar Koreksi'!$G$5:$G$92,"Aset Tetap Lainnya",'Daftar Koreksi'!$H$5:$H$92,"&lt;0")</f>
        <v>0</v>
      </c>
      <c r="G408" s="17">
        <f t="shared" si="18"/>
        <v>39538120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Koreksi'!$D$5:$D$92,'1500'!A400,'Daftar Koreksi'!$G$5:$G$92,"Kontruksi Dalam Pengerjaan",'Daftar Koreksi'!$H$5:$H$92,"&gt;0")</f>
        <v>0</v>
      </c>
      <c r="F409" s="25">
        <f>SUMIFS('Daftar Koreksi'!$H$5:$H$92,'Daftar Koreksi'!$D$5:$D$92,'1500'!A400,'Daftar Koreksi'!$G$5:$G$92,"Kontruksi Dalam Pengerjaan",'Daftar Koreksi'!$H$5:$H$92,"&lt;0")-SUMIFS('Daftar Koreksi'!$H$5:$H$92,'Daftar Koreksi'!$D$5:$D$92,'1500'!A400,'Daftar Koreksi'!$G$5:$G$92,"Kontruksi Dalam Pengerjaan",'Daftar Koreksi'!$H$5:$H$92,"&lt;0")-SUMIFS('Daftar Koreksi'!$H$5:$H$92,'Daftar Koreksi'!$D$5:$D$92,'1500'!A400,'Daftar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27475000</v>
      </c>
      <c r="E410" s="25">
        <f>SUMIFS('Daftar Koreksi'!$H$5:$H$92,'Daftar Koreksi'!$D$5:$D$92,'1500'!A400,'Daftar Koreksi'!$G$5:$G$92,"Aset Tak Berwujud",'Daftar Koreksi'!$H$5:$H$92,"&gt;0")</f>
        <v>0</v>
      </c>
      <c r="F410" s="25">
        <f>SUMIFS('Daftar Koreksi'!$H$5:$H$92,'Daftar Koreksi'!$D$5:$D$92,'1500'!A400,'Daftar Koreksi'!$G$5:$G$92,"Aset Tak Berwujud",'Daftar Koreksi'!$H$5:$H$92,"&lt;0")-SUMIFS('Daftar Koreksi'!$H$5:$H$92,'Daftar Koreksi'!$D$5:$D$92,'1500'!A400,'Daftar Koreksi'!$G$5:$G$92,"Aset Tak Berwujud",'Daftar Koreksi'!$H$5:$H$92,"&lt;0")-SUMIFS('Daftar Koreksi'!$H$5:$H$92,'Daftar Koreksi'!$D$5:$D$92,'1500'!A400,'Daftar Koreksi'!$G$5:$G$92,"Aset Tak Berwujud",'Daftar Koreksi'!$H$5:$H$92,"&lt;0")</f>
        <v>0</v>
      </c>
      <c r="G410" s="17">
        <f t="shared" si="18"/>
        <v>27475000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Koreksi'!$D$5:$D$92,'1500'!A400,'Daftar Koreksi'!$G$5:$G$92,"Aset Henti Guna",'Daftar Koreksi'!$H$5:$H$92,"&gt;0")</f>
        <v>0</v>
      </c>
      <c r="F411" s="25">
        <f>SUMIFS('Daftar Koreksi'!$H$5:$H$92,'Daftar Koreksi'!$D$5:$D$92,'1500'!A400,'Daftar Koreksi'!$G$5:$G$92,"Aset Henti Guna",'Daftar Koreksi'!$H$5:$H$92,"&lt;0")-SUMIFS('Daftar Koreksi'!$H$5:$H$92,'Daftar Koreksi'!$D$5:$D$92,'1500'!A400,'Daftar Koreksi'!$G$5:$G$92,"Aset Henti Guna",'Daftar Koreksi'!$H$5:$H$92,"&lt;0")-SUMIFS('Daftar Koreksi'!$H$5:$H$92,'Daftar Koreksi'!$D$5:$D$92,'1500'!A400,'Daftar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8810338086</v>
      </c>
      <c r="E412" s="19">
        <f>SUM(E403:E411)</f>
        <v>0</v>
      </c>
      <c r="F412" s="19">
        <f>SUM(F403:F411)</f>
        <v>0</v>
      </c>
      <c r="G412" s="19">
        <f t="shared" si="18"/>
        <v>8810338086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-1055130454</v>
      </c>
      <c r="E413" s="25">
        <f>SUMIFS('Daftar Koreksi'!$I$5:$I$92,'Daftar Koreksi'!$D$5:$D$92,'1500'!A400,'Daftar Koreksi'!$G$5:$G$92,"Peralatan dan mesin",'Daftar Koreksi'!$I$5:$I$92,"&gt;0")</f>
        <v>0</v>
      </c>
      <c r="F413" s="25">
        <f>SUMIFS('Daftar Koreksi'!$I$5:$I$92,'Daftar Koreksi'!$D$5:$D$92,'1500'!A400,'Daftar Koreksi'!$G$5:$G$92,"Peralatan dan mesin",'Daftar Koreksi'!$I$5:$I$92,"&lt;0")-SUMIFS('Daftar Koreksi'!$I$5:$I$92,'Daftar Koreksi'!$D$5:$D$92,'1500'!A400,'Daftar Koreksi'!$G$5:$G$92,"Peralatan dan mesin",'Daftar Koreksi'!$I$5:$I$92,"&lt;0")-SUMIFS('Daftar Koreksi'!$I$5:$I$92,'Daftar Koreksi'!$D$5:$D$92,'1500'!A400,'Daftar Koreksi'!$G$5:$G$92,"Peralatan dan mesin",'Daftar Koreksi'!$I$5:$I$92,"&lt;0")</f>
        <v>0</v>
      </c>
      <c r="G413" s="17">
        <f t="shared" si="18"/>
        <v>-1055130454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-1116580261</v>
      </c>
      <c r="E414" s="25">
        <f>SUMIFS('Daftar Koreksi'!$I$5:$I$92,'Daftar Koreksi'!$D$5:$D$92,'1500'!A400,'Daftar Koreksi'!$G$5:$G$92,"Gedung dan Bangunan",'Daftar Koreksi'!$I$5:$I$92,"&gt;0")</f>
        <v>0</v>
      </c>
      <c r="F414" s="25">
        <f>SUMIFS('Daftar Koreksi'!$I$5:$I$92,'Daftar Koreksi'!$D$5:$D$92,'1500'!A400,'Daftar Koreksi'!$G$5:$G$92,"Gedung dan Bangunan",'Daftar Koreksi'!$I$5:$I$92,"&lt;0")-SUMIFS('Daftar Koreksi'!$I$5:$I$92,'Daftar Koreksi'!$D$5:$D$92,'1500'!A400,'Daftar Koreksi'!$G$5:$G$92,"Gedung dan Bangunan",'Daftar Koreksi'!$I$5:$I$92,"&lt;0")-SUMIFS('Daftar Koreksi'!$I$5:$I$92,'Daftar Koreksi'!$D$5:$D$92,'1500'!A400,'Daftar Koreksi'!$G$5:$G$92,"Gedung dan Bangunan",'Daftar Koreksi'!$I$5:$I$92,"&lt;0")</f>
        <v>0</v>
      </c>
      <c r="G414" s="17">
        <f t="shared" si="18"/>
        <v>-1116580261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-99770000</v>
      </c>
      <c r="E415" s="25">
        <f>SUMIFS('Daftar Koreksi'!$I$5:$I$92,'Daftar Koreksi'!$D$5:$D$92,'1500'!A400,'Daftar Koreksi'!$G$5:$G$92,"Jalan Irigasi Jaringan",'Daftar Koreksi'!$I$5:$I$92,"&gt;0")</f>
        <v>0</v>
      </c>
      <c r="F415" s="25">
        <f>SUMIFS('Daftar Koreksi'!$I$5:$I$92,'Daftar Koreksi'!$D$5:$D$92,'1500'!A400,'Daftar Koreksi'!$G$5:$G$92,"Jalan Irigasi Jaringan",'Daftar Koreksi'!$I$5:$I$92,"&lt;0")-SUMIFS('Daftar Koreksi'!$I$5:$I$92,'Daftar Koreksi'!$D$5:$D$92,'1500'!A400,'Daftar Koreksi'!$G$5:$G$92,"Jalan Irigasi Jaringan",'Daftar Koreksi'!$I$5:$I$92,"&lt;0")-SUMIFS('Daftar Koreksi'!$I$5:$I$92,'Daftar Koreksi'!$D$5:$D$92,'1500'!A400,'Daftar Koreksi'!$G$5:$G$92,"Jalan Irigasi Jaringan",'Daftar Koreksi'!$I$5:$I$92,"&lt;0")</f>
        <v>0</v>
      </c>
      <c r="G415" s="17">
        <f t="shared" si="18"/>
        <v>-99770000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Koreksi'!$D$5:$D$92,'1500'!A400,'Daftar Koreksi'!$G$5:$G$92,"Aset Tetap Lainnya",'Daftar Koreksi'!$I$5:$I$92,"&gt;0")</f>
        <v>0</v>
      </c>
      <c r="F416" s="25">
        <f>SUMIFS('Daftar Koreksi'!$I$5:$I$92,'Daftar Koreksi'!$D$5:$D$92,'1500'!A400,'Daftar Koreksi'!$G$5:$G$92,"Aset Tetap Lainnya",'Daftar Koreksi'!$I$5:$I$92,"&lt;0")-SUMIFS('Daftar Koreksi'!$I$5:$I$92,'Daftar Koreksi'!$D$5:$D$92,'1500'!A400,'Daftar Koreksi'!$G$5:$G$92,"Aset Tetap Lainnya",'Daftar Koreksi'!$I$5:$I$92,"&lt;0")-SUMIFS('Daftar Koreksi'!$I$5:$I$92,'Daftar Koreksi'!$D$5:$D$92,'1500'!A400,'Daftar Koreksi'!$G$5:$G$92,"Aset Tetap Lainnya",'Daftar Koreksi'!$I$5:$I$92,"&lt;0")</f>
        <v>0</v>
      </c>
      <c r="G416" s="17">
        <f t="shared" si="18"/>
        <v>0</v>
      </c>
      <c r="H416" s="122"/>
    </row>
    <row r="417" spans="1:10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Koreksi'!$D$5:$D$92,'1500'!A400,'Daftar Koreksi'!$G$5:$G$92,"Aset Henti Guna",'Daftar Koreksi'!$I$5:$I$92,"&gt;0")</f>
        <v>0</v>
      </c>
      <c r="F417" s="25">
        <f>SUMIFS('Daftar Koreksi'!$I$5:$I$92,'Daftar Koreksi'!$D$5:$D$92,'1500'!A400,'Daftar Koreksi'!$G$5:$G$92,"Aset Henti Guna",'Daftar Koreksi'!$I$5:$I$92,"&lt;0")-SUMIFS('Daftar Koreksi'!$I$5:$I$92,'Daftar Koreksi'!$D$5:$D$92,'1500'!A400,'Daftar Koreksi'!$G$5:$G$92,"Aset Henti Guna",'Daftar Koreksi'!$I$5:$I$92,"&lt;0")-SUMIFS('Daftar Koreksi'!$I$5:$I$92,'Daftar Koreksi'!$D$5:$D$92,'1500'!A400,'Daftar Koreksi'!$G$5:$G$92,"Aset Henti Guna",'Daftar Koreksi'!$I$5:$I$92,"&lt;0")</f>
        <v>0</v>
      </c>
      <c r="G417" s="17">
        <f t="shared" si="18"/>
        <v>0</v>
      </c>
      <c r="H417" s="122"/>
    </row>
    <row r="418" spans="1:10" ht="21.95" customHeight="1">
      <c r="A418" s="14"/>
      <c r="B418" s="14"/>
      <c r="C418" s="18" t="s">
        <v>2094</v>
      </c>
      <c r="D418" s="19">
        <f>SUM(D413:D417)</f>
        <v>-2271480715</v>
      </c>
      <c r="E418" s="19">
        <f>SUM(E413:E417)</f>
        <v>0</v>
      </c>
      <c r="F418" s="19">
        <f>SUM(F413:F417)</f>
        <v>0</v>
      </c>
      <c r="G418" s="19">
        <f t="shared" si="18"/>
        <v>-2271480715</v>
      </c>
      <c r="H418" s="122"/>
    </row>
    <row r="419" spans="1:10" ht="21.95" customHeight="1">
      <c r="A419" s="14"/>
      <c r="B419" s="14"/>
      <c r="C419" s="18" t="s">
        <v>2095</v>
      </c>
      <c r="D419" s="19">
        <f>VLOOKUP(A400,'Neraca Unaudited SIMAK'!$A$2:$S$10004,18,FALSE)</f>
        <v>6538857371</v>
      </c>
      <c r="E419" s="19">
        <f>E418+E412</f>
        <v>0</v>
      </c>
      <c r="F419" s="19">
        <f>F418+F412</f>
        <v>0</v>
      </c>
      <c r="G419" s="19">
        <f t="shared" si="18"/>
        <v>6538857371</v>
      </c>
      <c r="H419" s="122"/>
    </row>
    <row r="420" spans="1:10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10" ht="19.5" customHeight="1">
      <c r="A422" s="11" t="str">
        <f>O20</f>
        <v>005011500402540000KD</v>
      </c>
      <c r="B422" s="11" t="str">
        <f>P20</f>
        <v>PA. Barabai</v>
      </c>
      <c r="C422" s="12" t="str">
        <f>A422&amp;" "&amp;B422</f>
        <v>005011500402540000KD PA. Barabai</v>
      </c>
      <c r="D422" s="13"/>
      <c r="E422" s="13"/>
      <c r="F422" s="13"/>
      <c r="G422" s="13"/>
      <c r="H422" s="11"/>
    </row>
    <row r="423" spans="1:10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10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10" ht="21.95" customHeight="1">
      <c r="A425" s="14"/>
      <c r="B425" s="14"/>
      <c r="C425" s="16" t="s">
        <v>1165</v>
      </c>
      <c r="D425" s="17">
        <f>VLOOKUP(A422,'Neraca Unaudited SIMAK'!$A$2:$S$10004,3,FALSE)</f>
        <v>471600</v>
      </c>
      <c r="E425" s="25">
        <f>SUMIFS('Daftar Koreksi'!$H$5:$H$92,'Daftar Koreksi'!$D$5:$D$92,'1500'!A422,'Daftar Koreksi'!$G$5:$G$92,"Persediaan",'Daftar Koreksi'!$H$5:$H$92,"&gt;0")</f>
        <v>0</v>
      </c>
      <c r="F425" s="25">
        <f>SUMIFS('Daftar Koreksi'!$H$5:$H$92,'Daftar Koreksi'!$D$5:$D$92,'1500'!A422,'Daftar Koreksi'!$G$5:$G$92,"Persediaan",'Daftar Koreksi'!$H$5:$H$92,"&lt;0")-SUMIFS('Daftar Koreksi'!$H$5:$H$92,'Daftar Koreksi'!$D$5:$D$92,'1500'!A422,'Daftar Koreksi'!$G$5:$G$92,"Persediaan",'Daftar Koreksi'!$H$5:$H$92,"&lt;0")-SUMIFS('Daftar Koreksi'!$H$5:$H$92,'Daftar Koreksi'!$D$5:$D$92,'1500'!A422,'Daftar Koreksi'!$G$5:$G$92,"Persediaan",'Daftar Koreksi'!$H$5:$H$92,"&lt;0")</f>
        <v>0</v>
      </c>
      <c r="G425" s="17">
        <f>D425+E425-F425</f>
        <v>471600</v>
      </c>
      <c r="H425" s="121" t="str">
        <f>IF(ISNA(VLOOKUP(A422,'Mutasi Neraca'!$A$3:$S$914,19,FALSE)),"-",VLOOKUP(A422,'Mutasi Neraca'!$A$3:$S$914,19,FALSE))</f>
        <v>-</v>
      </c>
      <c r="I425" s="28"/>
      <c r="J425" s="28"/>
    </row>
    <row r="426" spans="1:10" ht="21.95" customHeight="1">
      <c r="A426" s="14"/>
      <c r="B426" s="14"/>
      <c r="C426" s="16" t="s">
        <v>1166</v>
      </c>
      <c r="D426" s="17">
        <f>VLOOKUP(A422,'Neraca Unaudited SIMAK'!$A$2:$S$10004,4,FALSE)</f>
        <v>2454225000</v>
      </c>
      <c r="E426" s="25">
        <f>SUMIFS('Daftar Koreksi'!$H$5:$H$92,'Daftar Koreksi'!$D$5:$D$92,'1500'!A422,'Daftar Koreksi'!$G$5:$G$92,"Tanah",'Daftar Koreksi'!$H$5:$H$92,"&gt;0")</f>
        <v>0</v>
      </c>
      <c r="F426" s="25">
        <f>SUMIFS('Daftar Koreksi'!$H$5:$H$92,'Daftar Koreksi'!$D$5:$D$92,'1500'!A422,'Daftar Koreksi'!$G$5:$G$92,"Tanah",'Daftar Koreksi'!$H$5:$H$92,"&lt;0")-SUMIFS('Daftar Koreksi'!$H$5:$H$92,'Daftar Koreksi'!$D$5:$D$92,'1500'!A422,'Daftar Koreksi'!$G$5:$G$92,"Tanah",'Daftar Koreksi'!$H$5:$H$92,"&lt;0")-SUMIFS('Daftar Koreksi'!$H$5:$H$92,'Daftar Koreksi'!$D$5:$D$92,'1500'!A422,'Daftar Koreksi'!$G$5:$G$92,"Tanah",'Daftar Koreksi'!$H$5:$H$92,"&lt;0")</f>
        <v>0</v>
      </c>
      <c r="G426" s="17">
        <f t="shared" ref="G426:G442" si="19">D426+E426-F426</f>
        <v>2454225000</v>
      </c>
      <c r="H426" s="122"/>
      <c r="I426" s="28"/>
      <c r="J426" s="28"/>
    </row>
    <row r="427" spans="1:10" ht="21.95" customHeight="1">
      <c r="A427" s="14"/>
      <c r="B427" s="14"/>
      <c r="C427" s="16" t="s">
        <v>1167</v>
      </c>
      <c r="D427" s="17">
        <f>VLOOKUP(A422,'Neraca Unaudited SIMAK'!$A$2:$S$10004,5,FALSE)</f>
        <v>1442055873</v>
      </c>
      <c r="E427" s="25">
        <f>SUMIFS('Daftar Koreksi'!$H$5:$H$92,'Daftar Koreksi'!$D$5:$D$92,'1500'!A422,'Daftar Koreksi'!$G$5:$G$92,"Peralatan dan mesin",'Daftar Koreksi'!$H$5:$H$92,"&gt;0")</f>
        <v>0</v>
      </c>
      <c r="F427" s="25">
        <f>SUMIFS('Daftar Koreksi'!$H$5:$H$92,'Daftar Koreksi'!$D$5:$D$92,'1500'!A422,'Daftar Koreksi'!$G$5:$G$92,"Peralatan dan mesin",'Daftar Koreksi'!$H$5:$H$92,"&lt;0")-SUMIFS('Daftar Koreksi'!$H$5:$H$92,'Daftar Koreksi'!$D$5:$D$92,'1500'!A422,'Daftar Koreksi'!$G$5:$G$92,"Peralatan dan mesin",'Daftar Koreksi'!$H$5:$H$92,"&lt;0")-SUMIFS('Daftar Koreksi'!$H$5:$H$92,'Daftar Koreksi'!$D$5:$D$92,'1500'!A422,'Daftar Koreksi'!$G$5:$G$92,"Peralatan dan mesin",'Daftar Koreksi'!$H$5:$H$92,"&lt;0")</f>
        <v>0</v>
      </c>
      <c r="G427" s="17">
        <f t="shared" si="19"/>
        <v>1442055873</v>
      </c>
      <c r="H427" s="122"/>
      <c r="I427" s="28"/>
      <c r="J427" s="28"/>
    </row>
    <row r="428" spans="1:10" ht="21.95" customHeight="1">
      <c r="A428" s="14"/>
      <c r="B428" s="14"/>
      <c r="C428" s="16" t="s">
        <v>1168</v>
      </c>
      <c r="D428" s="17">
        <f>VLOOKUP(A422,'Neraca Unaudited SIMAK'!$A$2:$S$10004,6,FALSE)</f>
        <v>9447453242</v>
      </c>
      <c r="E428" s="25">
        <f>SUMIFS('Daftar Koreksi'!$H$5:$H$92,'Daftar Koreksi'!$D$5:$D$92,'1500'!A422,'Daftar Koreksi'!$G$5:$G$92,"Gedung dan Bangunan",'Daftar Koreksi'!$H$5:$H$92,"&gt;0")</f>
        <v>0</v>
      </c>
      <c r="F428" s="25">
        <f>SUMIFS('Daftar Koreksi'!$H$5:$H$92,'Daftar Koreksi'!$D$5:$D$92,'1500'!A422,'Daftar Koreksi'!$G$5:$G$92,"Gedung dan Bangunan",'Daftar Koreksi'!$H$5:$H$92,"&lt;0")-SUMIFS('Daftar Koreksi'!$H$5:$H$92,'Daftar Koreksi'!$D$5:$D$92,'1500'!A422,'Daftar Koreksi'!$G$5:$G$92,"Gedung dan Bangunan",'Daftar Koreksi'!$H$5:$H$92,"&lt;0")-SUMIFS('Daftar Koreksi'!$H$5:$H$92,'Daftar Koreksi'!$D$5:$D$92,'1500'!A422,'Daftar Koreksi'!$G$5:$G$92,"Gedung dan Bangunan",'Daftar Koreksi'!$H$5:$H$92,"&lt;0")</f>
        <v>0</v>
      </c>
      <c r="G428" s="17">
        <f t="shared" si="19"/>
        <v>9447453242</v>
      </c>
      <c r="H428" s="122"/>
      <c r="I428" s="28"/>
      <c r="J428" s="28"/>
    </row>
    <row r="429" spans="1:10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Koreksi'!$D$5:$D$92,'1500'!A422,'Daftar Koreksi'!$G$5:$G$92,"Jalan Irigasi Jaringan",'Daftar Koreksi'!$H$5:$H$92,"&gt;0")</f>
        <v>0</v>
      </c>
      <c r="F429" s="25">
        <f>SUMIFS('Daftar Koreksi'!$H$5:$H$92,'Daftar Koreksi'!$D$5:$D$92,'1500'!A422,'Daftar Koreksi'!$G$5:$G$92,"Jalan Irigasi Jaringan",'Daftar Koreksi'!$H$5:$H$92,"&lt;0")-SUMIFS('Daftar Koreksi'!$H$5:$H$92,'Daftar Koreksi'!$D$5:$D$92,'1500'!A422,'Daftar Koreksi'!$G$5:$G$92,"Jalan Irigasi Jaringan",'Daftar Koreksi'!$H$5:$H$92,"&lt;0")-SUMIFS('Daftar Koreksi'!$H$5:$H$92,'Daftar Koreksi'!$D$5:$D$92,'1500'!A422,'Daftar Koreksi'!$G$5:$G$92,"Jalan Irigasi Jaringan",'Daftar Koreksi'!$H$5:$H$92,"&lt;0")</f>
        <v>0</v>
      </c>
      <c r="G429" s="17">
        <f t="shared" si="19"/>
        <v>0</v>
      </c>
      <c r="H429" s="122"/>
      <c r="I429" s="28"/>
      <c r="J429" s="28"/>
    </row>
    <row r="430" spans="1:10" ht="21.95" customHeight="1">
      <c r="A430" s="14"/>
      <c r="B430" s="14"/>
      <c r="C430" s="16" t="s">
        <v>1170</v>
      </c>
      <c r="D430" s="17">
        <f>VLOOKUP(A422,'Neraca Unaudited SIMAK'!$A$2:$S$10004,8,FALSE)</f>
        <v>9877798</v>
      </c>
      <c r="E430" s="25">
        <f>SUMIFS('Daftar Koreksi'!$H$5:$H$92,'Daftar Koreksi'!$D$5:$D$92,'1500'!A422,'Daftar Koreksi'!$G$5:$G$92,"Aset Tetap Lainnya",'Daftar Koreksi'!$H$5:$H$92,"&gt;0")</f>
        <v>0</v>
      </c>
      <c r="F430" s="25">
        <f>SUMIFS('Daftar Koreksi'!$H$5:$H$92,'Daftar Koreksi'!$D$5:$D$92,'1500'!A422,'Daftar Koreksi'!$G$5:$G$92,"Aset Tetap Lainnya",'Daftar Koreksi'!$H$5:$H$92,"&lt;0")-SUMIFS('Daftar Koreksi'!$H$5:$H$92,'Daftar Koreksi'!$D$5:$D$92,'1500'!A422,'Daftar Koreksi'!$G$5:$G$92,"Aset Tetap Lainnya",'Daftar Koreksi'!$H$5:$H$92,"&lt;0")-SUMIFS('Daftar Koreksi'!$H$5:$H$92,'Daftar Koreksi'!$D$5:$D$92,'1500'!A422,'Daftar Koreksi'!$G$5:$G$92,"Aset Tetap Lainnya",'Daftar Koreksi'!$H$5:$H$92,"&lt;0")</f>
        <v>0</v>
      </c>
      <c r="G430" s="17">
        <f t="shared" si="19"/>
        <v>9877798</v>
      </c>
      <c r="H430" s="122"/>
      <c r="I430" s="28"/>
      <c r="J430" s="28"/>
    </row>
    <row r="431" spans="1:10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Koreksi'!$D$5:$D$92,'1500'!A422,'Daftar Koreksi'!$G$5:$G$92,"Kontruksi Dalam Pengerjaan",'Daftar Koreksi'!$H$5:$H$92,"&gt;0")</f>
        <v>0</v>
      </c>
      <c r="F431" s="25">
        <f>SUMIFS('Daftar Koreksi'!$H$5:$H$92,'Daftar Koreksi'!$D$5:$D$92,'1500'!A422,'Daftar Koreksi'!$G$5:$G$92,"Kontruksi Dalam Pengerjaan",'Daftar Koreksi'!$H$5:$H$92,"&lt;0")-SUMIFS('Daftar Koreksi'!$H$5:$H$92,'Daftar Koreksi'!$D$5:$D$92,'1500'!A422,'Daftar Koreksi'!$G$5:$G$92,"Kontruksi Dalam Pengerjaan",'Daftar Koreksi'!$H$5:$H$92,"&lt;0")-SUMIFS('Daftar Koreksi'!$H$5:$H$92,'Daftar Koreksi'!$D$5:$D$92,'1500'!A422,'Daftar Koreksi'!$G$5:$G$92,"Kontruksi Dalam Pengerjaan",'Daftar Koreksi'!$H$5:$H$92,"&lt;0")</f>
        <v>0</v>
      </c>
      <c r="G431" s="17">
        <f t="shared" si="19"/>
        <v>0</v>
      </c>
      <c r="H431" s="122"/>
      <c r="I431" s="28"/>
      <c r="J431" s="28"/>
    </row>
    <row r="432" spans="1:10" ht="21.95" customHeight="1">
      <c r="A432" s="14"/>
      <c r="B432" s="14"/>
      <c r="C432" s="16" t="s">
        <v>1172</v>
      </c>
      <c r="D432" s="17">
        <f>VLOOKUP(A422,'Neraca Unaudited SIMAK'!$A$2:$S$10004,10,FALSE)</f>
        <v>23320937</v>
      </c>
      <c r="E432" s="25">
        <f>SUMIFS('Daftar Koreksi'!$H$5:$H$92,'Daftar Koreksi'!$D$5:$D$92,'1500'!A422,'Daftar Koreksi'!$G$5:$G$92,"Aset Tak Berwujud",'Daftar Koreksi'!$H$5:$H$92,"&gt;0")</f>
        <v>0</v>
      </c>
      <c r="F432" s="25">
        <f>SUMIFS('Daftar Koreksi'!$H$5:$H$92,'Daftar Koreksi'!$D$5:$D$92,'1500'!A422,'Daftar Koreksi'!$G$5:$G$92,"Aset Tak Berwujud",'Daftar Koreksi'!$H$5:$H$92,"&lt;0")-SUMIFS('Daftar Koreksi'!$H$5:$H$92,'Daftar Koreksi'!$D$5:$D$92,'1500'!A422,'Daftar Koreksi'!$G$5:$G$92,"Aset Tak Berwujud",'Daftar Koreksi'!$H$5:$H$92,"&lt;0")-SUMIFS('Daftar Koreksi'!$H$5:$H$92,'Daftar Koreksi'!$D$5:$D$92,'1500'!A422,'Daftar Koreksi'!$G$5:$G$92,"Aset Tak Berwujud",'Daftar Koreksi'!$H$5:$H$92,"&lt;0")</f>
        <v>0</v>
      </c>
      <c r="G432" s="17">
        <f t="shared" si="19"/>
        <v>23320937</v>
      </c>
      <c r="H432" s="122"/>
      <c r="I432" s="28"/>
      <c r="J432" s="28"/>
    </row>
    <row r="433" spans="1:10" ht="21.95" customHeight="1">
      <c r="A433" s="14"/>
      <c r="B433" s="14"/>
      <c r="C433" s="16" t="s">
        <v>1173</v>
      </c>
      <c r="D433" s="17">
        <f>VLOOKUP(A422,'Neraca Unaudited SIMAK'!$A$2:$S$10004,11,FALSE)</f>
        <v>139985520</v>
      </c>
      <c r="E433" s="25">
        <f>SUMIFS('Daftar Koreksi'!$H$5:$H$92,'Daftar Koreksi'!$D$5:$D$92,'1500'!A422,'Daftar Koreksi'!$G$5:$G$92,"Aset Henti Guna",'Daftar Koreksi'!$H$5:$H$92,"&gt;0")</f>
        <v>0</v>
      </c>
      <c r="F433" s="25">
        <f>SUMIFS('Daftar Koreksi'!$H$5:$H$92,'Daftar Koreksi'!$D$5:$D$92,'1500'!A422,'Daftar Koreksi'!$G$5:$G$92,"Aset Henti Guna",'Daftar Koreksi'!$H$5:$H$92,"&lt;0")-SUMIFS('Daftar Koreksi'!$H$5:$H$92,'Daftar Koreksi'!$D$5:$D$92,'1500'!A422,'Daftar Koreksi'!$G$5:$G$92,"Aset Henti Guna",'Daftar Koreksi'!$H$5:$H$92,"&lt;0")-SUMIFS('Daftar Koreksi'!$H$5:$H$92,'Daftar Koreksi'!$D$5:$D$92,'1500'!A422,'Daftar Koreksi'!$G$5:$G$92,"Aset Henti Guna",'Daftar Koreksi'!$H$5:$H$92,"&lt;0")</f>
        <v>0</v>
      </c>
      <c r="G433" s="17">
        <f t="shared" si="19"/>
        <v>139985520</v>
      </c>
      <c r="H433" s="122"/>
      <c r="I433" s="28"/>
      <c r="J433" s="28"/>
    </row>
    <row r="434" spans="1:10" ht="21.95" customHeight="1">
      <c r="A434" s="14"/>
      <c r="B434" s="14"/>
      <c r="C434" s="18" t="s">
        <v>2093</v>
      </c>
      <c r="D434" s="19">
        <f>VLOOKUP(A422,'Neraca Unaudited SIMAK'!$A$2:$S$10004,12,FALSE)</f>
        <v>13517389970</v>
      </c>
      <c r="E434" s="19">
        <f>SUM(E425:E433)</f>
        <v>0</v>
      </c>
      <c r="F434" s="19">
        <f>SUM(F425:F433)</f>
        <v>0</v>
      </c>
      <c r="G434" s="19">
        <f t="shared" si="19"/>
        <v>13517389970</v>
      </c>
      <c r="H434" s="122"/>
      <c r="I434" s="28"/>
      <c r="J434" s="28"/>
    </row>
    <row r="435" spans="1:10" ht="21.95" customHeight="1">
      <c r="A435" s="14"/>
      <c r="B435" s="14"/>
      <c r="C435" s="16" t="s">
        <v>2087</v>
      </c>
      <c r="D435" s="17">
        <f>VLOOKUP(A422,'Neraca Unaudited SIMAK'!$A$2:$S$10004,13,FALSE)</f>
        <v>-1117052208</v>
      </c>
      <c r="E435" s="25">
        <f>SUMIFS('Daftar Koreksi'!$I$5:$I$92,'Daftar Koreksi'!$D$5:$D$92,'1500'!A422,'Daftar Koreksi'!$G$5:$G$92,"Peralatan dan mesin",'Daftar Koreksi'!$I$5:$I$92,"&gt;0")</f>
        <v>0</v>
      </c>
      <c r="F435" s="25">
        <f>SUMIFS('Daftar Koreksi'!$I$5:$I$92,'Daftar Koreksi'!$D$5:$D$92,'1500'!A422,'Daftar Koreksi'!$G$5:$G$92,"Peralatan dan mesin",'Daftar Koreksi'!$I$5:$I$92,"&lt;0")-SUMIFS('Daftar Koreksi'!$I$5:$I$92,'Daftar Koreksi'!$D$5:$D$92,'1500'!A422,'Daftar Koreksi'!$G$5:$G$92,"Peralatan dan mesin",'Daftar Koreksi'!$I$5:$I$92,"&lt;0")-SUMIFS('Daftar Koreksi'!$I$5:$I$92,'Daftar Koreksi'!$D$5:$D$92,'1500'!A422,'Daftar Koreksi'!$G$5:$G$92,"Peralatan dan mesin",'Daftar Koreksi'!$I$5:$I$92,"&lt;0")</f>
        <v>0</v>
      </c>
      <c r="G435" s="17">
        <f t="shared" si="19"/>
        <v>-1117052208</v>
      </c>
      <c r="H435" s="122"/>
      <c r="I435" s="28"/>
      <c r="J435" s="28"/>
    </row>
    <row r="436" spans="1:10" ht="21.95" customHeight="1">
      <c r="A436" s="14"/>
      <c r="B436" s="14"/>
      <c r="C436" s="16" t="s">
        <v>2088</v>
      </c>
      <c r="D436" s="17">
        <f>VLOOKUP(A422,'Neraca Unaudited SIMAK'!$A$2:$S$10004,14,FALSE)</f>
        <v>-516235514</v>
      </c>
      <c r="E436" s="25">
        <f>SUMIFS('Daftar Koreksi'!$I$5:$I$92,'Daftar Koreksi'!$D$5:$D$92,'1500'!A422,'Daftar Koreksi'!$G$5:$G$92,"Gedung dan Bangunan",'Daftar Koreksi'!$I$5:$I$92,"&gt;0")</f>
        <v>0</v>
      </c>
      <c r="F436" s="25">
        <f>SUMIFS('Daftar Koreksi'!$I$5:$I$92,'Daftar Koreksi'!$D$5:$D$92,'1500'!A422,'Daftar Koreksi'!$G$5:$G$92,"Gedung dan Bangunan",'Daftar Koreksi'!$I$5:$I$92,"&lt;0")-SUMIFS('Daftar Koreksi'!$I$5:$I$92,'Daftar Koreksi'!$D$5:$D$92,'1500'!A422,'Daftar Koreksi'!$G$5:$G$92,"Gedung dan Bangunan",'Daftar Koreksi'!$I$5:$I$92,"&lt;0")-SUMIFS('Daftar Koreksi'!$I$5:$I$92,'Daftar Koreksi'!$D$5:$D$92,'1500'!A422,'Daftar Koreksi'!$G$5:$G$92,"Gedung dan Bangunan",'Daftar Koreksi'!$I$5:$I$92,"&lt;0")</f>
        <v>0</v>
      </c>
      <c r="G436" s="17">
        <f t="shared" si="19"/>
        <v>-516235514</v>
      </c>
      <c r="H436" s="122"/>
      <c r="I436" s="28"/>
      <c r="J436" s="28"/>
    </row>
    <row r="437" spans="1:10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Koreksi'!$D$5:$D$92,'1500'!A422,'Daftar Koreksi'!$G$5:$G$92,"Jalan Irigasi Jaringan",'Daftar Koreksi'!$I$5:$I$92,"&gt;0")</f>
        <v>0</v>
      </c>
      <c r="F437" s="25">
        <f>SUMIFS('Daftar Koreksi'!$I$5:$I$92,'Daftar Koreksi'!$D$5:$D$92,'1500'!A422,'Daftar Koreksi'!$G$5:$G$92,"Jalan Irigasi Jaringan",'Daftar Koreksi'!$I$5:$I$92,"&lt;0")-SUMIFS('Daftar Koreksi'!$I$5:$I$92,'Daftar Koreksi'!$D$5:$D$92,'1500'!A422,'Daftar Koreksi'!$G$5:$G$92,"Jalan Irigasi Jaringan",'Daftar Koreksi'!$I$5:$I$92,"&lt;0")-SUMIFS('Daftar Koreksi'!$I$5:$I$92,'Daftar Koreksi'!$D$5:$D$92,'1500'!A422,'Daftar Koreksi'!$G$5:$G$92,"Jalan Irigasi Jaringan",'Daftar Koreksi'!$I$5:$I$92,"&lt;0")</f>
        <v>0</v>
      </c>
      <c r="G437" s="17">
        <f t="shared" si="19"/>
        <v>0</v>
      </c>
      <c r="H437" s="122"/>
      <c r="I437" s="28"/>
      <c r="J437" s="28"/>
    </row>
    <row r="438" spans="1:10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Koreksi'!$D$5:$D$92,'1500'!A422,'Daftar Koreksi'!$G$5:$G$92,"Aset Tetap Lainnya",'Daftar Koreksi'!$I$5:$I$92,"&gt;0")</f>
        <v>0</v>
      </c>
      <c r="F438" s="25">
        <f>SUMIFS('Daftar Koreksi'!$I$5:$I$92,'Daftar Koreksi'!$D$5:$D$92,'1500'!A422,'Daftar Koreksi'!$G$5:$G$92,"Aset Tetap Lainnya",'Daftar Koreksi'!$I$5:$I$92,"&lt;0")-SUMIFS('Daftar Koreksi'!$I$5:$I$92,'Daftar Koreksi'!$D$5:$D$92,'1500'!A422,'Daftar Koreksi'!$G$5:$G$92,"Aset Tetap Lainnya",'Daftar Koreksi'!$I$5:$I$92,"&lt;0")-SUMIFS('Daftar Koreksi'!$I$5:$I$92,'Daftar Koreksi'!$D$5:$D$92,'1500'!A422,'Daftar Koreksi'!$G$5:$G$92,"Aset Tetap Lainnya",'Daftar Koreksi'!$I$5:$I$92,"&lt;0")</f>
        <v>0</v>
      </c>
      <c r="G438" s="17">
        <f t="shared" si="19"/>
        <v>0</v>
      </c>
      <c r="H438" s="122"/>
      <c r="I438" s="28"/>
      <c r="J438" s="28"/>
    </row>
    <row r="439" spans="1:10" ht="21.95" customHeight="1">
      <c r="A439" s="14"/>
      <c r="B439" s="14"/>
      <c r="C439" s="16" t="s">
        <v>2020</v>
      </c>
      <c r="D439" s="17">
        <f>VLOOKUP(A422,'Neraca Unaudited SIMAK'!$A$2:$S$10004,17,FALSE)</f>
        <v>-139985520</v>
      </c>
      <c r="E439" s="25">
        <f>SUMIFS('Daftar Koreksi'!$I$5:$I$92,'Daftar Koreksi'!$D$5:$D$92,'1500'!A422,'Daftar Koreksi'!$G$5:$G$92,"Aset Henti Guna",'Daftar Koreksi'!$I$5:$I$92,"&gt;0")</f>
        <v>0</v>
      </c>
      <c r="F439" s="25">
        <f>SUMIFS('Daftar Koreksi'!$I$5:$I$92,'Daftar Koreksi'!$D$5:$D$92,'1500'!A422,'Daftar Koreksi'!$G$5:$G$92,"Aset Henti Guna",'Daftar Koreksi'!$I$5:$I$92,"&lt;0")-SUMIFS('Daftar Koreksi'!$I$5:$I$92,'Daftar Koreksi'!$D$5:$D$92,'1500'!A422,'Daftar Koreksi'!$G$5:$G$92,"Aset Henti Guna",'Daftar Koreksi'!$I$5:$I$92,"&lt;0")-SUMIFS('Daftar Koreksi'!$I$5:$I$92,'Daftar Koreksi'!$D$5:$D$92,'1500'!A422,'Daftar Koreksi'!$G$5:$G$92,"Aset Henti Guna",'Daftar Koreksi'!$I$5:$I$92,"&lt;0")</f>
        <v>0</v>
      </c>
      <c r="G439" s="17">
        <f t="shared" si="19"/>
        <v>-139985520</v>
      </c>
      <c r="H439" s="122"/>
      <c r="I439" s="28"/>
      <c r="J439" s="28"/>
    </row>
    <row r="440" spans="1:10" ht="21.95" customHeight="1">
      <c r="A440" s="14"/>
      <c r="B440" s="14"/>
      <c r="C440" s="18" t="s">
        <v>2094</v>
      </c>
      <c r="D440" s="19">
        <f>SUM(D435:D439)</f>
        <v>-1773273242</v>
      </c>
      <c r="E440" s="19">
        <f>SUM(E435:E439)</f>
        <v>0</v>
      </c>
      <c r="F440" s="19">
        <f>SUM(F435:F439)</f>
        <v>0</v>
      </c>
      <c r="G440" s="19">
        <f t="shared" si="19"/>
        <v>-1773273242</v>
      </c>
      <c r="H440" s="122"/>
      <c r="I440" s="28"/>
      <c r="J440" s="28"/>
    </row>
    <row r="441" spans="1:10" ht="21.95" customHeight="1">
      <c r="A441" s="14"/>
      <c r="B441" s="14"/>
      <c r="C441" s="18" t="s">
        <v>2095</v>
      </c>
      <c r="D441" s="19">
        <f>VLOOKUP(A422,'Neraca Unaudited SIMAK'!$A$2:$S$10004,18,FALSE)</f>
        <v>11744116728</v>
      </c>
      <c r="E441" s="19">
        <f>E440+E434</f>
        <v>0</v>
      </c>
      <c r="F441" s="19">
        <f>F440+F434</f>
        <v>0</v>
      </c>
      <c r="G441" s="19">
        <f t="shared" si="19"/>
        <v>11744116728</v>
      </c>
      <c r="H441" s="122"/>
      <c r="I441" s="28"/>
      <c r="J441" s="28"/>
    </row>
    <row r="442" spans="1:10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  <c r="I442" s="28"/>
      <c r="J442" s="28"/>
    </row>
    <row r="444" spans="1:10" ht="19.5" customHeight="1">
      <c r="A444" s="11" t="str">
        <f>O21</f>
        <v>005011500402556000KD</v>
      </c>
      <c r="B444" s="11" t="str">
        <f>P21</f>
        <v>PA. Amuntai</v>
      </c>
      <c r="C444" s="12" t="str">
        <f>A444&amp;" "&amp;B444</f>
        <v>005011500402556000KD PA. Amuntai</v>
      </c>
      <c r="D444" s="13"/>
      <c r="E444" s="13"/>
      <c r="F444" s="13"/>
      <c r="G444" s="13"/>
      <c r="H444" s="11"/>
    </row>
    <row r="445" spans="1:10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10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10" ht="21.95" customHeight="1">
      <c r="A447" s="14"/>
      <c r="B447" s="14"/>
      <c r="C447" s="16" t="s">
        <v>1165</v>
      </c>
      <c r="D447" s="17">
        <f>VLOOKUP(A444,'Neraca Unaudited SIMAK'!$A$2:$S$10004,3,FALSE)</f>
        <v>608250</v>
      </c>
      <c r="E447" s="25">
        <f>SUMIFS('Daftar Koreksi'!$H$5:$H$92,'Daftar Koreksi'!$D$5:$D$92,'1500'!A444,'Daftar Koreksi'!$G$5:$G$92,"Persediaan",'Daftar Koreksi'!$H$5:$H$92,"&gt;0")</f>
        <v>0</v>
      </c>
      <c r="F447" s="25">
        <f>SUMIFS('Daftar Koreksi'!$H$5:$H$92,'Daftar Koreksi'!$D$5:$D$92,'1500'!A444,'Daftar Koreksi'!$G$5:$G$92,"Persediaan",'Daftar Koreksi'!$H$5:$H$92,"&lt;0")-SUMIFS('Daftar Koreksi'!$H$5:$H$92,'Daftar Koreksi'!$D$5:$D$92,'1500'!A444,'Daftar Koreksi'!$G$5:$G$92,"Persediaan",'Daftar Koreksi'!$H$5:$H$92,"&lt;0")-SUMIFS('Daftar Koreksi'!$H$5:$H$92,'Daftar Koreksi'!$D$5:$D$92,'1500'!A444,'Daftar Koreksi'!$G$5:$G$92,"Persediaan",'Daftar Koreksi'!$H$5:$H$92,"&lt;0")</f>
        <v>0</v>
      </c>
      <c r="G447" s="17">
        <f>D447+E447-F447</f>
        <v>608250</v>
      </c>
      <c r="H447" s="121" t="str">
        <f>IF(ISNA(VLOOKUP(A444,'Mutasi Neraca'!$A$3:$S$914,19,FALSE)),"-",VLOOKUP(A444,'Mutasi Neraca'!$A$3:$S$914,19,FALSE))</f>
        <v>-</v>
      </c>
      <c r="J447" s="10"/>
    </row>
    <row r="448" spans="1:10" ht="21.95" customHeight="1">
      <c r="A448" s="14"/>
      <c r="B448" s="14"/>
      <c r="C448" s="16" t="s">
        <v>1166</v>
      </c>
      <c r="D448" s="17">
        <f>VLOOKUP(A444,'Neraca Unaudited SIMAK'!$A$2:$S$10004,4,FALSE)</f>
        <v>414000000</v>
      </c>
      <c r="E448" s="25">
        <f>SUMIFS('Daftar Koreksi'!$H$5:$H$92,'Daftar Koreksi'!$D$5:$D$92,'1500'!A444,'Daftar Koreksi'!$G$5:$G$92,"Tanah",'Daftar Koreksi'!$H$5:$H$92,"&gt;0")</f>
        <v>0</v>
      </c>
      <c r="F448" s="25">
        <f>SUMIFS('Daftar Koreksi'!$H$5:$H$92,'Daftar Koreksi'!$D$5:$D$92,'1500'!A444,'Daftar Koreksi'!$G$5:$G$92,"Tanah",'Daftar Koreksi'!$H$5:$H$92,"&lt;0")-SUMIFS('Daftar Koreksi'!$H$5:$H$92,'Daftar Koreksi'!$D$5:$D$92,'1500'!A444,'Daftar Koreksi'!$G$5:$G$92,"Tanah",'Daftar Koreksi'!$H$5:$H$92,"&lt;0")-SUMIFS('Daftar Koreksi'!$H$5:$H$92,'Daftar Koreksi'!$D$5:$D$92,'1500'!A444,'Daftar Koreksi'!$G$5:$G$92,"Tanah",'Daftar Koreksi'!$H$5:$H$92,"&lt;0")</f>
        <v>0</v>
      </c>
      <c r="G448" s="17">
        <f t="shared" ref="G448:G464" si="20">D448+E448-F448</f>
        <v>414000000</v>
      </c>
      <c r="H448" s="122"/>
      <c r="J448" s="10"/>
    </row>
    <row r="449" spans="1:10" ht="21.95" customHeight="1">
      <c r="A449" s="14"/>
      <c r="B449" s="14"/>
      <c r="C449" s="16" t="s">
        <v>1167</v>
      </c>
      <c r="D449" s="17">
        <f>VLOOKUP(A444,'Neraca Unaudited SIMAK'!$A$2:$S$10004,5,FALSE)</f>
        <v>1753712693</v>
      </c>
      <c r="E449" s="25">
        <f>SUMIFS('Daftar Koreksi'!$H$5:$H$92,'Daftar Koreksi'!$D$5:$D$92,'1500'!A444,'Daftar Koreksi'!$G$5:$G$92,"Peralatan dan mesin",'Daftar Koreksi'!$H$5:$H$92,"&gt;0")</f>
        <v>0</v>
      </c>
      <c r="F449" s="25">
        <f>SUMIFS('Daftar Koreksi'!$H$5:$H$92,'Daftar Koreksi'!$D$5:$D$92,'1500'!A444,'Daftar Koreksi'!$G$5:$G$92,"Peralatan dan mesin",'Daftar Koreksi'!$H$5:$H$92,"&lt;0")-SUMIFS('Daftar Koreksi'!$H$5:$H$92,'Daftar Koreksi'!$D$5:$D$92,'1500'!A444,'Daftar Koreksi'!$G$5:$G$92,"Peralatan dan mesin",'Daftar Koreksi'!$H$5:$H$92,"&lt;0")-SUMIFS('Daftar Koreksi'!$H$5:$H$92,'Daftar Koreksi'!$D$5:$D$92,'1500'!A444,'Daftar Koreksi'!$G$5:$G$92,"Peralatan dan mesin",'Daftar Koreksi'!$H$5:$H$92,"&lt;0")</f>
        <v>0</v>
      </c>
      <c r="G449" s="17">
        <f t="shared" si="20"/>
        <v>1753712693</v>
      </c>
      <c r="H449" s="122"/>
      <c r="J449" s="10"/>
    </row>
    <row r="450" spans="1:10" ht="21.95" customHeight="1">
      <c r="A450" s="14"/>
      <c r="B450" s="14"/>
      <c r="C450" s="16" t="s">
        <v>1168</v>
      </c>
      <c r="D450" s="17">
        <f>VLOOKUP(A444,'Neraca Unaudited SIMAK'!$A$2:$S$10004,6,FALSE)</f>
        <v>4994960000</v>
      </c>
      <c r="E450" s="25">
        <f>SUMIFS('Daftar Koreksi'!$H$5:$H$92,'Daftar Koreksi'!$D$5:$D$92,'1500'!A444,'Daftar Koreksi'!$G$5:$G$92,"Gedung dan Bangunan",'Daftar Koreksi'!$H$5:$H$92,"&gt;0")</f>
        <v>0</v>
      </c>
      <c r="F450" s="25">
        <f>SUMIFS('Daftar Koreksi'!$H$5:$H$92,'Daftar Koreksi'!$D$5:$D$92,'1500'!A444,'Daftar Koreksi'!$G$5:$G$92,"Gedung dan Bangunan",'Daftar Koreksi'!$H$5:$H$92,"&lt;0")-SUMIFS('Daftar Koreksi'!$H$5:$H$92,'Daftar Koreksi'!$D$5:$D$92,'1500'!A444,'Daftar Koreksi'!$G$5:$G$92,"Gedung dan Bangunan",'Daftar Koreksi'!$H$5:$H$92,"&lt;0")-SUMIFS('Daftar Koreksi'!$H$5:$H$92,'Daftar Koreksi'!$D$5:$D$92,'1500'!A444,'Daftar Koreksi'!$G$5:$G$92,"Gedung dan Bangunan",'Daftar Koreksi'!$H$5:$H$92,"&lt;0")</f>
        <v>0</v>
      </c>
      <c r="G450" s="17">
        <f t="shared" si="20"/>
        <v>4994960000</v>
      </c>
      <c r="H450" s="122"/>
      <c r="J450" s="10"/>
    </row>
    <row r="451" spans="1:10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Koreksi'!$D$5:$D$92,'1500'!A444,'Daftar Koreksi'!$G$5:$G$92,"Jalan Irigasi Jaringan",'Daftar Koreksi'!$H$5:$H$92,"&gt;0")</f>
        <v>0</v>
      </c>
      <c r="F451" s="25">
        <f>SUMIFS('Daftar Koreksi'!$H$5:$H$92,'Daftar Koreksi'!$D$5:$D$92,'1500'!A444,'Daftar Koreksi'!$G$5:$G$92,"Jalan Irigasi Jaringan",'Daftar Koreksi'!$H$5:$H$92,"&lt;0")-SUMIFS('Daftar Koreksi'!$H$5:$H$92,'Daftar Koreksi'!$D$5:$D$92,'1500'!A444,'Daftar Koreksi'!$G$5:$G$92,"Jalan Irigasi Jaringan",'Daftar Koreksi'!$H$5:$H$92,"&lt;0")-SUMIFS('Daftar Koreksi'!$H$5:$H$92,'Daftar Koreksi'!$D$5:$D$92,'1500'!A444,'Daftar Koreksi'!$G$5:$G$92,"Jalan Irigasi Jaringan",'Daftar Koreksi'!$H$5:$H$92,"&lt;0")</f>
        <v>0</v>
      </c>
      <c r="G451" s="17">
        <f t="shared" si="20"/>
        <v>0</v>
      </c>
      <c r="H451" s="122"/>
      <c r="J451" s="10"/>
    </row>
    <row r="452" spans="1:10" ht="21.95" customHeight="1">
      <c r="A452" s="14"/>
      <c r="B452" s="14"/>
      <c r="C452" s="16" t="s">
        <v>1170</v>
      </c>
      <c r="D452" s="17">
        <f>VLOOKUP(A444,'Neraca Unaudited SIMAK'!$A$2:$S$10004,8,FALSE)</f>
        <v>5074098</v>
      </c>
      <c r="E452" s="25">
        <f>SUMIFS('Daftar Koreksi'!$H$5:$H$92,'Daftar Koreksi'!$D$5:$D$92,'1500'!A444,'Daftar Koreksi'!$G$5:$G$92,"Aset Tetap Lainnya",'Daftar Koreksi'!$H$5:$H$92,"&gt;0")</f>
        <v>0</v>
      </c>
      <c r="F452" s="25">
        <f>SUMIFS('Daftar Koreksi'!$H$5:$H$92,'Daftar Koreksi'!$D$5:$D$92,'1500'!A444,'Daftar Koreksi'!$G$5:$G$92,"Aset Tetap Lainnya",'Daftar Koreksi'!$H$5:$H$92,"&lt;0")-SUMIFS('Daftar Koreksi'!$H$5:$H$92,'Daftar Koreksi'!$D$5:$D$92,'1500'!A444,'Daftar Koreksi'!$G$5:$G$92,"Aset Tetap Lainnya",'Daftar Koreksi'!$H$5:$H$92,"&lt;0")-SUMIFS('Daftar Koreksi'!$H$5:$H$92,'Daftar Koreksi'!$D$5:$D$92,'1500'!A444,'Daftar Koreksi'!$G$5:$G$92,"Aset Tetap Lainnya",'Daftar Koreksi'!$H$5:$H$92,"&lt;0")</f>
        <v>0</v>
      </c>
      <c r="G452" s="17">
        <f t="shared" si="20"/>
        <v>5074098</v>
      </c>
      <c r="H452" s="122"/>
      <c r="J452" s="10"/>
    </row>
    <row r="453" spans="1:10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Koreksi'!$D$5:$D$92,'1500'!A444,'Daftar Koreksi'!$G$5:$G$92,"Kontruksi Dalam Pengerjaan",'Daftar Koreksi'!$H$5:$H$92,"&gt;0")</f>
        <v>0</v>
      </c>
      <c r="F453" s="25">
        <f>SUMIFS('Daftar Koreksi'!$H$5:$H$92,'Daftar Koreksi'!$D$5:$D$92,'1500'!A444,'Daftar Koreksi'!$G$5:$G$92,"Kontruksi Dalam Pengerjaan",'Daftar Koreksi'!$H$5:$H$92,"&lt;0")-SUMIFS('Daftar Koreksi'!$H$5:$H$92,'Daftar Koreksi'!$D$5:$D$92,'1500'!A444,'Daftar Koreksi'!$G$5:$G$92,"Kontruksi Dalam Pengerjaan",'Daftar Koreksi'!$H$5:$H$92,"&lt;0")-SUMIFS('Daftar Koreksi'!$H$5:$H$92,'Daftar Koreksi'!$D$5:$D$92,'1500'!A444,'Daftar Koreksi'!$G$5:$G$92,"Kontruksi Dalam Pengerjaan",'Daftar Koreksi'!$H$5:$H$92,"&lt;0")</f>
        <v>0</v>
      </c>
      <c r="G453" s="17">
        <f t="shared" si="20"/>
        <v>0</v>
      </c>
      <c r="H453" s="122"/>
      <c r="J453" s="10"/>
    </row>
    <row r="454" spans="1:10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Koreksi'!$D$5:$D$92,'1500'!A444,'Daftar Koreksi'!$G$5:$G$92,"Aset Tak Berwujud",'Daftar Koreksi'!$H$5:$H$92,"&gt;0")</f>
        <v>0</v>
      </c>
      <c r="F454" s="25">
        <f>SUMIFS('Daftar Koreksi'!$H$5:$H$92,'Daftar Koreksi'!$D$5:$D$92,'1500'!A444,'Daftar Koreksi'!$G$5:$G$92,"Aset Tak Berwujud",'Daftar Koreksi'!$H$5:$H$92,"&lt;0")-SUMIFS('Daftar Koreksi'!$H$5:$H$92,'Daftar Koreksi'!$D$5:$D$92,'1500'!A444,'Daftar Koreksi'!$G$5:$G$92,"Aset Tak Berwujud",'Daftar Koreksi'!$H$5:$H$92,"&lt;0")-SUMIFS('Daftar Koreksi'!$H$5:$H$92,'Daftar Koreksi'!$D$5:$D$92,'1500'!A444,'Daftar Koreksi'!$G$5:$G$92,"Aset Tak Berwujud",'Daftar Koreksi'!$H$5:$H$92,"&lt;0")</f>
        <v>0</v>
      </c>
      <c r="G454" s="17">
        <f t="shared" si="20"/>
        <v>0</v>
      </c>
      <c r="H454" s="122"/>
      <c r="J454" s="10"/>
    </row>
    <row r="455" spans="1:10" ht="21.95" customHeight="1">
      <c r="A455" s="14"/>
      <c r="B455" s="14"/>
      <c r="C455" s="16" t="s">
        <v>1173</v>
      </c>
      <c r="D455" s="17">
        <f>VLOOKUP(A444,'Neraca Unaudited SIMAK'!$A$2:$S$10004,11,FALSE)</f>
        <v>90605891</v>
      </c>
      <c r="E455" s="25">
        <f>SUMIFS('Daftar Koreksi'!$H$5:$H$92,'Daftar Koreksi'!$D$5:$D$92,'1500'!A444,'Daftar Koreksi'!$G$5:$G$92,"Aset Henti Guna",'Daftar Koreksi'!$H$5:$H$92,"&gt;0")</f>
        <v>0</v>
      </c>
      <c r="F455" s="25">
        <f>SUMIFS('Daftar Koreksi'!$H$5:$H$92,'Daftar Koreksi'!$D$5:$D$92,'1500'!A444,'Daftar Koreksi'!$G$5:$G$92,"Aset Henti Guna",'Daftar Koreksi'!$H$5:$H$92,"&lt;0")-SUMIFS('Daftar Koreksi'!$H$5:$H$92,'Daftar Koreksi'!$D$5:$D$92,'1500'!A444,'Daftar Koreksi'!$G$5:$G$92,"Aset Henti Guna",'Daftar Koreksi'!$H$5:$H$92,"&lt;0")-SUMIFS('Daftar Koreksi'!$H$5:$H$92,'Daftar Koreksi'!$D$5:$D$92,'1500'!A444,'Daftar Koreksi'!$G$5:$G$92,"Aset Henti Guna",'Daftar Koreksi'!$H$5:$H$92,"&lt;0")</f>
        <v>0</v>
      </c>
      <c r="G455" s="17">
        <f t="shared" si="20"/>
        <v>90605891</v>
      </c>
      <c r="H455" s="122"/>
      <c r="J455" s="10"/>
    </row>
    <row r="456" spans="1:10" ht="21.95" customHeight="1">
      <c r="A456" s="14"/>
      <c r="B456" s="14"/>
      <c r="C456" s="18" t="s">
        <v>2093</v>
      </c>
      <c r="D456" s="19">
        <f>VLOOKUP(A444,'Neraca Unaudited SIMAK'!$A$2:$S$10004,12,FALSE)</f>
        <v>7258960932</v>
      </c>
      <c r="E456" s="19">
        <f>SUM(E447:E455)</f>
        <v>0</v>
      </c>
      <c r="F456" s="19">
        <f>SUM(F447:F455)</f>
        <v>0</v>
      </c>
      <c r="G456" s="19">
        <f t="shared" si="20"/>
        <v>7258960932</v>
      </c>
      <c r="H456" s="122"/>
      <c r="J456" s="10"/>
    </row>
    <row r="457" spans="1:10" ht="21.95" customHeight="1">
      <c r="A457" s="14"/>
      <c r="B457" s="14"/>
      <c r="C457" s="16" t="s">
        <v>2087</v>
      </c>
      <c r="D457" s="17">
        <f>VLOOKUP(A444,'Neraca Unaudited SIMAK'!$A$2:$S$10004,13,FALSE)</f>
        <v>-1385897367</v>
      </c>
      <c r="E457" s="25">
        <f>SUMIFS('Daftar Koreksi'!$I$5:$I$92,'Daftar Koreksi'!$D$5:$D$92,'1500'!A444,'Daftar Koreksi'!$G$5:$G$92,"Peralatan dan mesin",'Daftar Koreksi'!$I$5:$I$92,"&gt;0")</f>
        <v>0</v>
      </c>
      <c r="F457" s="25">
        <f>SUMIFS('Daftar Koreksi'!$I$5:$I$92,'Daftar Koreksi'!$D$5:$D$92,'1500'!A444,'Daftar Koreksi'!$G$5:$G$92,"Peralatan dan mesin",'Daftar Koreksi'!$I$5:$I$92,"&lt;0")-SUMIFS('Daftar Koreksi'!$I$5:$I$92,'Daftar Koreksi'!$D$5:$D$92,'1500'!A444,'Daftar Koreksi'!$G$5:$G$92,"Peralatan dan mesin",'Daftar Koreksi'!$I$5:$I$92,"&lt;0")-SUMIFS('Daftar Koreksi'!$I$5:$I$92,'Daftar Koreksi'!$D$5:$D$92,'1500'!A444,'Daftar Koreksi'!$G$5:$G$92,"Peralatan dan mesin",'Daftar Koreksi'!$I$5:$I$92,"&lt;0")</f>
        <v>0</v>
      </c>
      <c r="G457" s="17">
        <f t="shared" si="20"/>
        <v>-1385897367</v>
      </c>
      <c r="H457" s="122"/>
      <c r="J457" s="10"/>
    </row>
    <row r="458" spans="1:10" ht="21.95" customHeight="1">
      <c r="A458" s="14"/>
      <c r="B458" s="14"/>
      <c r="C458" s="16" t="s">
        <v>2088</v>
      </c>
      <c r="D458" s="17">
        <f>VLOOKUP(A444,'Neraca Unaudited SIMAK'!$A$2:$S$10004,14,FALSE)</f>
        <v>-875820531</v>
      </c>
      <c r="E458" s="25">
        <f>SUMIFS('Daftar Koreksi'!$I$5:$I$92,'Daftar Koreksi'!$D$5:$D$92,'1500'!A444,'Daftar Koreksi'!$G$5:$G$92,"Gedung dan Bangunan",'Daftar Koreksi'!$I$5:$I$92,"&gt;0")</f>
        <v>0</v>
      </c>
      <c r="F458" s="25">
        <f>SUMIFS('Daftar Koreksi'!$I$5:$I$92,'Daftar Koreksi'!$D$5:$D$92,'1500'!A444,'Daftar Koreksi'!$G$5:$G$92,"Gedung dan Bangunan",'Daftar Koreksi'!$I$5:$I$92,"&lt;0")-SUMIFS('Daftar Koreksi'!$I$5:$I$92,'Daftar Koreksi'!$D$5:$D$92,'1500'!A444,'Daftar Koreksi'!$G$5:$G$92,"Gedung dan Bangunan",'Daftar Koreksi'!$I$5:$I$92,"&lt;0")-SUMIFS('Daftar Koreksi'!$I$5:$I$92,'Daftar Koreksi'!$D$5:$D$92,'1500'!A444,'Daftar Koreksi'!$G$5:$G$92,"Gedung dan Bangunan",'Daftar Koreksi'!$I$5:$I$92,"&lt;0")</f>
        <v>0</v>
      </c>
      <c r="G458" s="17">
        <f t="shared" si="20"/>
        <v>-875820531</v>
      </c>
      <c r="H458" s="122"/>
      <c r="J458" s="10"/>
    </row>
    <row r="459" spans="1:10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Koreksi'!$D$5:$D$92,'1500'!A444,'Daftar Koreksi'!$G$5:$G$92,"Jalan Irigasi Jaringan",'Daftar Koreksi'!$I$5:$I$92,"&gt;0")</f>
        <v>0</v>
      </c>
      <c r="F459" s="25">
        <f>SUMIFS('Daftar Koreksi'!$I$5:$I$92,'Daftar Koreksi'!$D$5:$D$92,'1500'!A444,'Daftar Koreksi'!$G$5:$G$92,"Jalan Irigasi Jaringan",'Daftar Koreksi'!$I$5:$I$92,"&lt;0")-SUMIFS('Daftar Koreksi'!$I$5:$I$92,'Daftar Koreksi'!$D$5:$D$92,'1500'!A444,'Daftar Koreksi'!$G$5:$G$92,"Jalan Irigasi Jaringan",'Daftar Koreksi'!$I$5:$I$92,"&lt;0")-SUMIFS('Daftar Koreksi'!$I$5:$I$92,'Daftar Koreksi'!$D$5:$D$92,'1500'!A444,'Daftar Koreksi'!$G$5:$G$92,"Jalan Irigasi Jaringan",'Daftar Koreksi'!$I$5:$I$92,"&lt;0")</f>
        <v>0</v>
      </c>
      <c r="G459" s="17">
        <f t="shared" si="20"/>
        <v>0</v>
      </c>
      <c r="H459" s="122"/>
      <c r="J459" s="10"/>
    </row>
    <row r="460" spans="1:10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Koreksi'!$D$5:$D$92,'1500'!A444,'Daftar Koreksi'!$G$5:$G$92,"Aset Tetap Lainnya",'Daftar Koreksi'!$I$5:$I$92,"&gt;0")</f>
        <v>0</v>
      </c>
      <c r="F460" s="25">
        <f>SUMIFS('Daftar Koreksi'!$I$5:$I$92,'Daftar Koreksi'!$D$5:$D$92,'1500'!A444,'Daftar Koreksi'!$G$5:$G$92,"Aset Tetap Lainnya",'Daftar Koreksi'!$I$5:$I$92,"&lt;0")-SUMIFS('Daftar Koreksi'!$I$5:$I$92,'Daftar Koreksi'!$D$5:$D$92,'1500'!A444,'Daftar Koreksi'!$G$5:$G$92,"Aset Tetap Lainnya",'Daftar Koreksi'!$I$5:$I$92,"&lt;0")-SUMIFS('Daftar Koreksi'!$I$5:$I$92,'Daftar Koreksi'!$D$5:$D$92,'1500'!A444,'Daftar Koreksi'!$G$5:$G$92,"Aset Tetap Lainnya",'Daftar Koreksi'!$I$5:$I$92,"&lt;0")</f>
        <v>0</v>
      </c>
      <c r="G460" s="17">
        <f t="shared" si="20"/>
        <v>0</v>
      </c>
      <c r="H460" s="122"/>
      <c r="J460" s="10"/>
    </row>
    <row r="461" spans="1:10" ht="21.95" customHeight="1">
      <c r="A461" s="14"/>
      <c r="B461" s="14"/>
      <c r="C461" s="16" t="s">
        <v>2020</v>
      </c>
      <c r="D461" s="17">
        <f>VLOOKUP(A444,'Neraca Unaudited SIMAK'!$A$2:$S$10004,17,FALSE)</f>
        <v>-81112891</v>
      </c>
      <c r="E461" s="25">
        <f>SUMIFS('Daftar Koreksi'!$I$5:$I$92,'Daftar Koreksi'!$D$5:$D$92,'1500'!A444,'Daftar Koreksi'!$G$5:$G$92,"Aset Henti Guna",'Daftar Koreksi'!$I$5:$I$92,"&gt;0")</f>
        <v>0</v>
      </c>
      <c r="F461" s="25">
        <f>SUMIFS('Daftar Koreksi'!$I$5:$I$92,'Daftar Koreksi'!$D$5:$D$92,'1500'!A444,'Daftar Koreksi'!$G$5:$G$92,"Aset Henti Guna",'Daftar Koreksi'!$I$5:$I$92,"&lt;0")-SUMIFS('Daftar Koreksi'!$I$5:$I$92,'Daftar Koreksi'!$D$5:$D$92,'1500'!A444,'Daftar Koreksi'!$G$5:$G$92,"Aset Henti Guna",'Daftar Koreksi'!$I$5:$I$92,"&lt;0")-SUMIFS('Daftar Koreksi'!$I$5:$I$92,'Daftar Koreksi'!$D$5:$D$92,'1500'!A444,'Daftar Koreksi'!$G$5:$G$92,"Aset Henti Guna",'Daftar Koreksi'!$I$5:$I$92,"&lt;0")</f>
        <v>0</v>
      </c>
      <c r="G461" s="17">
        <f t="shared" si="20"/>
        <v>-81112891</v>
      </c>
      <c r="H461" s="122"/>
      <c r="J461" s="10"/>
    </row>
    <row r="462" spans="1:10" ht="21.95" customHeight="1">
      <c r="A462" s="14"/>
      <c r="B462" s="14"/>
      <c r="C462" s="18" t="s">
        <v>2094</v>
      </c>
      <c r="D462" s="19">
        <f>SUM(D457:D461)</f>
        <v>-2342830789</v>
      </c>
      <c r="E462" s="19">
        <f>SUM(E457:E461)</f>
        <v>0</v>
      </c>
      <c r="F462" s="19">
        <f>SUM(F457:F461)</f>
        <v>0</v>
      </c>
      <c r="G462" s="19">
        <f t="shared" si="20"/>
        <v>-2342830789</v>
      </c>
      <c r="H462" s="122"/>
      <c r="J462" s="10"/>
    </row>
    <row r="463" spans="1:10" ht="21.95" customHeight="1">
      <c r="A463" s="14"/>
      <c r="B463" s="14"/>
      <c r="C463" s="18" t="s">
        <v>2095</v>
      </c>
      <c r="D463" s="19">
        <f>VLOOKUP(A444,'Neraca Unaudited SIMAK'!$A$2:$S$10004,18,FALSE)</f>
        <v>4916130143</v>
      </c>
      <c r="E463" s="19">
        <f>E462+E456</f>
        <v>0</v>
      </c>
      <c r="F463" s="19">
        <f>F462+F456</f>
        <v>0</v>
      </c>
      <c r="G463" s="19">
        <f t="shared" si="20"/>
        <v>4916130143</v>
      </c>
      <c r="H463" s="122"/>
      <c r="J463" s="10"/>
    </row>
    <row r="464" spans="1:10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  <c r="J464" s="10"/>
    </row>
    <row r="466" spans="1:10" ht="19.5" customHeight="1">
      <c r="A466" s="11" t="str">
        <f>O22</f>
        <v>005011500402562000KD</v>
      </c>
      <c r="B466" s="11" t="str">
        <f>P22</f>
        <v>PA. Tanjung</v>
      </c>
      <c r="C466" s="12" t="str">
        <f>A466&amp;" "&amp;B466</f>
        <v>005011500402562000KD PA. Tanjung</v>
      </c>
      <c r="D466" s="13"/>
      <c r="E466" s="13"/>
      <c r="F466" s="13"/>
      <c r="G466" s="13"/>
      <c r="H466" s="11"/>
    </row>
    <row r="467" spans="1:10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10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10" ht="21.95" customHeight="1">
      <c r="A469" s="14"/>
      <c r="B469" s="14"/>
      <c r="C469" s="16" t="s">
        <v>1165</v>
      </c>
      <c r="D469" s="17">
        <f>VLOOKUP(A466,'Neraca Unaudited SIMAK'!$A$2:$S$10004,3,FALSE)</f>
        <v>2116000</v>
      </c>
      <c r="E469" s="25">
        <f>SUMIFS('Daftar Koreksi'!$H$5:$H$92,'Daftar Koreksi'!$D$5:$D$92,'1500'!A466,'Daftar Koreksi'!$G$5:$G$92,"Persediaan",'Daftar Koreksi'!$H$5:$H$92,"&gt;0")</f>
        <v>0</v>
      </c>
      <c r="F469" s="25">
        <f>SUMIFS('Daftar Koreksi'!$H$5:$H$92,'Daftar Koreksi'!$D$5:$D$92,'1500'!A466,'Daftar Koreksi'!$G$5:$G$92,"Persediaan",'Daftar Koreksi'!$H$5:$H$92,"&lt;0")-SUMIFS('Daftar Koreksi'!$H$5:$H$92,'Daftar Koreksi'!$D$5:$D$92,'1500'!A466,'Daftar Koreksi'!$G$5:$G$92,"Persediaan",'Daftar Koreksi'!$H$5:$H$92,"&lt;0")-SUMIFS('Daftar Koreksi'!$H$5:$H$92,'Daftar Koreksi'!$D$5:$D$92,'1500'!A466,'Daftar Koreksi'!$G$5:$G$92,"Persediaan",'Daftar Koreksi'!$H$5:$H$92,"&lt;0")</f>
        <v>0</v>
      </c>
      <c r="G469" s="17">
        <f>D469+E469-F469</f>
        <v>2116000</v>
      </c>
      <c r="H469" s="121" t="str">
        <f>IF(ISNA(VLOOKUP(A466,'Mutasi Neraca'!$A$3:$S$914,19,FALSE)),"-",VLOOKUP(A466,'Mutasi Neraca'!$A$3:$S$914,19,FALSE))</f>
        <v>-</v>
      </c>
      <c r="I469" s="28"/>
      <c r="J469" s="28"/>
    </row>
    <row r="470" spans="1:10" ht="21.95" customHeight="1">
      <c r="A470" s="14"/>
      <c r="B470" s="14"/>
      <c r="C470" s="16" t="s">
        <v>1166</v>
      </c>
      <c r="D470" s="17">
        <f>VLOOKUP(A466,'Neraca Unaudited SIMAK'!$A$2:$S$10004,4,FALSE)</f>
        <v>3859373000</v>
      </c>
      <c r="E470" s="25">
        <f>SUMIFS('Daftar Koreksi'!$H$5:$H$92,'Daftar Koreksi'!$D$5:$D$92,'1500'!A466,'Daftar Koreksi'!$G$5:$G$92,"Tanah",'Daftar Koreksi'!$H$5:$H$92,"&gt;0")</f>
        <v>0</v>
      </c>
      <c r="F470" s="25">
        <f>SUMIFS('Daftar Koreksi'!$H$5:$H$92,'Daftar Koreksi'!$D$5:$D$92,'1500'!A466,'Daftar Koreksi'!$G$5:$G$92,"Tanah",'Daftar Koreksi'!$H$5:$H$92,"&lt;0")-SUMIFS('Daftar Koreksi'!$H$5:$H$92,'Daftar Koreksi'!$D$5:$D$92,'1500'!A466,'Daftar Koreksi'!$G$5:$G$92,"Tanah",'Daftar Koreksi'!$H$5:$H$92,"&lt;0")-SUMIFS('Daftar Koreksi'!$H$5:$H$92,'Daftar Koreksi'!$D$5:$D$92,'1500'!A466,'Daftar Koreksi'!$G$5:$G$92,"Tanah",'Daftar Koreksi'!$H$5:$H$92,"&lt;0")</f>
        <v>0</v>
      </c>
      <c r="G470" s="17">
        <f t="shared" ref="G470:G486" si="21">D470+E470-F470</f>
        <v>3859373000</v>
      </c>
      <c r="H470" s="122"/>
      <c r="I470" s="28"/>
      <c r="J470" s="28"/>
    </row>
    <row r="471" spans="1:10" ht="21.95" customHeight="1">
      <c r="A471" s="14"/>
      <c r="B471" s="14"/>
      <c r="C471" s="16" t="s">
        <v>1167</v>
      </c>
      <c r="D471" s="17">
        <f>VLOOKUP(A466,'Neraca Unaudited SIMAK'!$A$2:$S$10004,5,FALSE)</f>
        <v>1167229118</v>
      </c>
      <c r="E471" s="25">
        <f>SUMIFS('Daftar Koreksi'!$H$5:$H$92,'Daftar Koreksi'!$D$5:$D$92,'1500'!A466,'Daftar Koreksi'!$G$5:$G$92,"Peralatan dan mesin",'Daftar Koreksi'!$H$5:$H$92,"&gt;0")</f>
        <v>0</v>
      </c>
      <c r="F471" s="25">
        <f>SUMIFS('Daftar Koreksi'!$H$5:$H$92,'Daftar Koreksi'!$D$5:$D$92,'1500'!A466,'Daftar Koreksi'!$G$5:$G$92,"Peralatan dan mesin",'Daftar Koreksi'!$H$5:$H$92,"&lt;0")-SUMIFS('Daftar Koreksi'!$H$5:$H$92,'Daftar Koreksi'!$D$5:$D$92,'1500'!A466,'Daftar Koreksi'!$G$5:$G$92,"Peralatan dan mesin",'Daftar Koreksi'!$H$5:$H$92,"&lt;0")-SUMIFS('Daftar Koreksi'!$H$5:$H$92,'Daftar Koreksi'!$D$5:$D$92,'1500'!A466,'Daftar Koreksi'!$G$5:$G$92,"Peralatan dan mesin",'Daftar Koreksi'!$H$5:$H$92,"&lt;0")</f>
        <v>0</v>
      </c>
      <c r="G471" s="17">
        <f t="shared" si="21"/>
        <v>1167229118</v>
      </c>
      <c r="H471" s="122"/>
      <c r="I471" s="28"/>
      <c r="J471" s="28"/>
    </row>
    <row r="472" spans="1:10" ht="21.95" customHeight="1">
      <c r="A472" s="14"/>
      <c r="B472" s="14"/>
      <c r="C472" s="16" t="s">
        <v>1168</v>
      </c>
      <c r="D472" s="17">
        <f>VLOOKUP(A466,'Neraca Unaudited SIMAK'!$A$2:$S$10004,6,FALSE)</f>
        <v>2131202400</v>
      </c>
      <c r="E472" s="25">
        <f>SUMIFS('Daftar Koreksi'!$H$5:$H$92,'Daftar Koreksi'!$D$5:$D$92,'1500'!A466,'Daftar Koreksi'!$G$5:$G$92,"Gedung dan Bangunan",'Daftar Koreksi'!$H$5:$H$92,"&gt;0")</f>
        <v>0</v>
      </c>
      <c r="F472" s="25">
        <f>SUMIFS('Daftar Koreksi'!$H$5:$H$92,'Daftar Koreksi'!$D$5:$D$92,'1500'!A466,'Daftar Koreksi'!$G$5:$G$92,"Gedung dan Bangunan",'Daftar Koreksi'!$H$5:$H$92,"&lt;0")-SUMIFS('Daftar Koreksi'!$H$5:$H$92,'Daftar Koreksi'!$D$5:$D$92,'1500'!A466,'Daftar Koreksi'!$G$5:$G$92,"Gedung dan Bangunan",'Daftar Koreksi'!$H$5:$H$92,"&lt;0")-SUMIFS('Daftar Koreksi'!$H$5:$H$92,'Daftar Koreksi'!$D$5:$D$92,'1500'!A466,'Daftar Koreksi'!$G$5:$G$92,"Gedung dan Bangunan",'Daftar Koreksi'!$H$5:$H$92,"&lt;0")</f>
        <v>0</v>
      </c>
      <c r="G472" s="17">
        <f t="shared" si="21"/>
        <v>2131202400</v>
      </c>
      <c r="H472" s="122"/>
      <c r="I472" s="28"/>
      <c r="J472" s="28"/>
    </row>
    <row r="473" spans="1:10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Koreksi'!$D$5:$D$92,'1500'!A466,'Daftar Koreksi'!$G$5:$G$92,"Jalan Irigasi Jaringan",'Daftar Koreksi'!$H$5:$H$92,"&gt;0")</f>
        <v>0</v>
      </c>
      <c r="F473" s="25">
        <f>SUMIFS('Daftar Koreksi'!$H$5:$H$92,'Daftar Koreksi'!$D$5:$D$92,'1500'!A466,'Daftar Koreksi'!$G$5:$G$92,"Jalan Irigasi Jaringan",'Daftar Koreksi'!$H$5:$H$92,"&lt;0")-SUMIFS('Daftar Koreksi'!$H$5:$H$92,'Daftar Koreksi'!$D$5:$D$92,'1500'!A466,'Daftar Koreksi'!$G$5:$G$92,"Jalan Irigasi Jaringan",'Daftar Koreksi'!$H$5:$H$92,"&lt;0")-SUMIFS('Daftar Koreksi'!$H$5:$H$92,'Daftar Koreksi'!$D$5:$D$92,'1500'!A466,'Daftar Koreksi'!$G$5:$G$92,"Jalan Irigasi Jaringan",'Daftar Koreksi'!$H$5:$H$92,"&lt;0")</f>
        <v>0</v>
      </c>
      <c r="G473" s="17">
        <f t="shared" si="21"/>
        <v>0</v>
      </c>
      <c r="H473" s="122"/>
      <c r="I473" s="28"/>
      <c r="J473" s="28"/>
    </row>
    <row r="474" spans="1:10" ht="21.95" customHeight="1">
      <c r="A474" s="14"/>
      <c r="B474" s="14"/>
      <c r="C474" s="16" t="s">
        <v>1170</v>
      </c>
      <c r="D474" s="17">
        <f>VLOOKUP(A466,'Neraca Unaudited SIMAK'!$A$2:$S$10004,8,FALSE)</f>
        <v>16854500</v>
      </c>
      <c r="E474" s="25">
        <f>SUMIFS('Daftar Koreksi'!$H$5:$H$92,'Daftar Koreksi'!$D$5:$D$92,'1500'!A466,'Daftar Koreksi'!$G$5:$G$92,"Aset Tetap Lainnya",'Daftar Koreksi'!$H$5:$H$92,"&gt;0")</f>
        <v>0</v>
      </c>
      <c r="F474" s="25">
        <f>SUMIFS('Daftar Koreksi'!$H$5:$H$92,'Daftar Koreksi'!$D$5:$D$92,'1500'!A466,'Daftar Koreksi'!$G$5:$G$92,"Aset Tetap Lainnya",'Daftar Koreksi'!$H$5:$H$92,"&lt;0")-SUMIFS('Daftar Koreksi'!$H$5:$H$92,'Daftar Koreksi'!$D$5:$D$92,'1500'!A466,'Daftar Koreksi'!$G$5:$G$92,"Aset Tetap Lainnya",'Daftar Koreksi'!$H$5:$H$92,"&lt;0")-SUMIFS('Daftar Koreksi'!$H$5:$H$92,'Daftar Koreksi'!$D$5:$D$92,'1500'!A466,'Daftar Koreksi'!$G$5:$G$92,"Aset Tetap Lainnya",'Daftar Koreksi'!$H$5:$H$92,"&lt;0")</f>
        <v>0</v>
      </c>
      <c r="G474" s="17">
        <f t="shared" si="21"/>
        <v>16854500</v>
      </c>
      <c r="H474" s="122"/>
      <c r="I474" s="28"/>
      <c r="J474" s="28"/>
    </row>
    <row r="475" spans="1:10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Koreksi'!$D$5:$D$92,'1500'!A466,'Daftar Koreksi'!$G$5:$G$92,"Kontruksi Dalam Pengerjaan",'Daftar Koreksi'!$H$5:$H$92,"&gt;0")</f>
        <v>0</v>
      </c>
      <c r="F475" s="25">
        <f>SUMIFS('Daftar Koreksi'!$H$5:$H$92,'Daftar Koreksi'!$D$5:$D$92,'1500'!A466,'Daftar Koreksi'!$G$5:$G$92,"Kontruksi Dalam Pengerjaan",'Daftar Koreksi'!$H$5:$H$92,"&lt;0")-SUMIFS('Daftar Koreksi'!$H$5:$H$92,'Daftar Koreksi'!$D$5:$D$92,'1500'!A466,'Daftar Koreksi'!$G$5:$G$92,"Kontruksi Dalam Pengerjaan",'Daftar Koreksi'!$H$5:$H$92,"&lt;0")-SUMIFS('Daftar Koreksi'!$H$5:$H$92,'Daftar Koreksi'!$D$5:$D$92,'1500'!A466,'Daftar Koreksi'!$G$5:$G$92,"Kontruksi Dalam Pengerjaan",'Daftar Koreksi'!$H$5:$H$92,"&lt;0")</f>
        <v>0</v>
      </c>
      <c r="G475" s="17">
        <f t="shared" si="21"/>
        <v>0</v>
      </c>
      <c r="H475" s="122"/>
      <c r="I475" s="28"/>
      <c r="J475" s="28"/>
    </row>
    <row r="476" spans="1:10" ht="21.95" customHeight="1">
      <c r="A476" s="14"/>
      <c r="B476" s="14"/>
      <c r="C476" s="16" t="s">
        <v>1172</v>
      </c>
      <c r="D476" s="17">
        <f>VLOOKUP(A466,'Neraca Unaudited SIMAK'!$A$2:$S$10004,10,FALSE)</f>
        <v>28147500</v>
      </c>
      <c r="E476" s="25">
        <f>SUMIFS('Daftar Koreksi'!$H$5:$H$92,'Daftar Koreksi'!$D$5:$D$92,'1500'!A466,'Daftar Koreksi'!$G$5:$G$92,"Aset Tak Berwujud",'Daftar Koreksi'!$H$5:$H$92,"&gt;0")</f>
        <v>0</v>
      </c>
      <c r="F476" s="25">
        <f>SUMIFS('Daftar Koreksi'!$H$5:$H$92,'Daftar Koreksi'!$D$5:$D$92,'1500'!A466,'Daftar Koreksi'!$G$5:$G$92,"Aset Tak Berwujud",'Daftar Koreksi'!$H$5:$H$92,"&lt;0")-SUMIFS('Daftar Koreksi'!$H$5:$H$92,'Daftar Koreksi'!$D$5:$D$92,'1500'!A466,'Daftar Koreksi'!$G$5:$G$92,"Aset Tak Berwujud",'Daftar Koreksi'!$H$5:$H$92,"&lt;0")-SUMIFS('Daftar Koreksi'!$H$5:$H$92,'Daftar Koreksi'!$D$5:$D$92,'1500'!A466,'Daftar Koreksi'!$G$5:$G$92,"Aset Tak Berwujud",'Daftar Koreksi'!$H$5:$H$92,"&lt;0")</f>
        <v>0</v>
      </c>
      <c r="G476" s="17">
        <f t="shared" si="21"/>
        <v>28147500</v>
      </c>
      <c r="H476" s="122"/>
      <c r="I476" s="28"/>
      <c r="J476" s="28"/>
    </row>
    <row r="477" spans="1:10" ht="21.95" customHeight="1">
      <c r="A477" s="14"/>
      <c r="B477" s="14"/>
      <c r="C477" s="16" t="s">
        <v>1173</v>
      </c>
      <c r="D477" s="17">
        <f>VLOOKUP(A466,'Neraca Unaudited SIMAK'!$A$2:$S$10004,11,FALSE)</f>
        <v>31460500</v>
      </c>
      <c r="E477" s="25">
        <f>SUMIFS('Daftar Koreksi'!$H$5:$H$92,'Daftar Koreksi'!$D$5:$D$92,'1500'!A466,'Daftar Koreksi'!$G$5:$G$92,"Aset Henti Guna",'Daftar Koreksi'!$H$5:$H$92,"&gt;0")</f>
        <v>0</v>
      </c>
      <c r="F477" s="25">
        <f>SUMIFS('Daftar Koreksi'!$H$5:$H$92,'Daftar Koreksi'!$D$5:$D$92,'1500'!A466,'Daftar Koreksi'!$G$5:$G$92,"Aset Henti Guna",'Daftar Koreksi'!$H$5:$H$92,"&lt;0")-SUMIFS('Daftar Koreksi'!$H$5:$H$92,'Daftar Koreksi'!$D$5:$D$92,'1500'!A466,'Daftar Koreksi'!$G$5:$G$92,"Aset Henti Guna",'Daftar Koreksi'!$H$5:$H$92,"&lt;0")-SUMIFS('Daftar Koreksi'!$H$5:$H$92,'Daftar Koreksi'!$D$5:$D$92,'1500'!A466,'Daftar Koreksi'!$G$5:$G$92,"Aset Henti Guna",'Daftar Koreksi'!$H$5:$H$92,"&lt;0")</f>
        <v>0</v>
      </c>
      <c r="G477" s="17">
        <f t="shared" si="21"/>
        <v>31460500</v>
      </c>
      <c r="H477" s="122"/>
      <c r="I477" s="28"/>
      <c r="J477" s="28"/>
    </row>
    <row r="478" spans="1:10" ht="21.95" customHeight="1">
      <c r="A478" s="14"/>
      <c r="B478" s="14"/>
      <c r="C478" s="18" t="s">
        <v>2093</v>
      </c>
      <c r="D478" s="19">
        <f>VLOOKUP(A466,'Neraca Unaudited SIMAK'!$A$2:$S$10004,12,FALSE)</f>
        <v>7236383018</v>
      </c>
      <c r="E478" s="19">
        <f>SUM(E469:E477)</f>
        <v>0</v>
      </c>
      <c r="F478" s="19">
        <f>SUM(F469:F477)</f>
        <v>0</v>
      </c>
      <c r="G478" s="19">
        <f t="shared" si="21"/>
        <v>7236383018</v>
      </c>
      <c r="H478" s="122"/>
      <c r="I478" s="28"/>
      <c r="J478" s="28"/>
    </row>
    <row r="479" spans="1:10" ht="21.95" customHeight="1">
      <c r="A479" s="14"/>
      <c r="B479" s="14"/>
      <c r="C479" s="16" t="s">
        <v>2087</v>
      </c>
      <c r="D479" s="17">
        <f>VLOOKUP(A466,'Neraca Unaudited SIMAK'!$A$2:$S$10004,13,FALSE)</f>
        <v>-961441711</v>
      </c>
      <c r="E479" s="25">
        <f>SUMIFS('Daftar Koreksi'!$I$5:$I$92,'Daftar Koreksi'!$D$5:$D$92,'1500'!A466,'Daftar Koreksi'!$G$5:$G$92,"Peralatan dan mesin",'Daftar Koreksi'!$I$5:$I$92,"&gt;0")</f>
        <v>0</v>
      </c>
      <c r="F479" s="25">
        <f>SUMIFS('Daftar Koreksi'!$I$5:$I$92,'Daftar Koreksi'!$D$5:$D$92,'1500'!A466,'Daftar Koreksi'!$G$5:$G$92,"Peralatan dan mesin",'Daftar Koreksi'!$I$5:$I$92,"&lt;0")-SUMIFS('Daftar Koreksi'!$I$5:$I$92,'Daftar Koreksi'!$D$5:$D$92,'1500'!A466,'Daftar Koreksi'!$G$5:$G$92,"Peralatan dan mesin",'Daftar Koreksi'!$I$5:$I$92,"&lt;0")-SUMIFS('Daftar Koreksi'!$I$5:$I$92,'Daftar Koreksi'!$D$5:$D$92,'1500'!A466,'Daftar Koreksi'!$G$5:$G$92,"Peralatan dan mesin",'Daftar Koreksi'!$I$5:$I$92,"&lt;0")</f>
        <v>0</v>
      </c>
      <c r="G479" s="17">
        <f t="shared" si="21"/>
        <v>-961441711</v>
      </c>
      <c r="H479" s="122"/>
      <c r="I479" s="28"/>
      <c r="J479" s="28"/>
    </row>
    <row r="480" spans="1:10" ht="21.95" customHeight="1">
      <c r="A480" s="14"/>
      <c r="B480" s="14"/>
      <c r="C480" s="16" t="s">
        <v>2088</v>
      </c>
      <c r="D480" s="17">
        <f>VLOOKUP(A466,'Neraca Unaudited SIMAK'!$A$2:$S$10004,14,FALSE)</f>
        <v>-389348119</v>
      </c>
      <c r="E480" s="25">
        <f>SUMIFS('Daftar Koreksi'!$I$5:$I$92,'Daftar Koreksi'!$D$5:$D$92,'1500'!A466,'Daftar Koreksi'!$G$5:$G$92,"Gedung dan Bangunan",'Daftar Koreksi'!$I$5:$I$92,"&gt;0")</f>
        <v>0</v>
      </c>
      <c r="F480" s="25">
        <f>SUMIFS('Daftar Koreksi'!$I$5:$I$92,'Daftar Koreksi'!$D$5:$D$92,'1500'!A466,'Daftar Koreksi'!$G$5:$G$92,"Gedung dan Bangunan",'Daftar Koreksi'!$I$5:$I$92,"&lt;0")-SUMIFS('Daftar Koreksi'!$I$5:$I$92,'Daftar Koreksi'!$D$5:$D$92,'1500'!A466,'Daftar Koreksi'!$G$5:$G$92,"Gedung dan Bangunan",'Daftar Koreksi'!$I$5:$I$92,"&lt;0")-SUMIFS('Daftar Koreksi'!$I$5:$I$92,'Daftar Koreksi'!$D$5:$D$92,'1500'!A466,'Daftar Koreksi'!$G$5:$G$92,"Gedung dan Bangunan",'Daftar Koreksi'!$I$5:$I$92,"&lt;0")</f>
        <v>0</v>
      </c>
      <c r="G480" s="17">
        <f t="shared" si="21"/>
        <v>-389348119</v>
      </c>
      <c r="H480" s="122"/>
      <c r="I480" s="28"/>
      <c r="J480" s="28"/>
    </row>
    <row r="481" spans="1:10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Koreksi'!$D$5:$D$92,'1500'!A466,'Daftar Koreksi'!$G$5:$G$92,"Jalan Irigasi Jaringan",'Daftar Koreksi'!$I$5:$I$92,"&gt;0")</f>
        <v>0</v>
      </c>
      <c r="F481" s="25">
        <f>SUMIFS('Daftar Koreksi'!$I$5:$I$92,'Daftar Koreksi'!$D$5:$D$92,'1500'!A466,'Daftar Koreksi'!$G$5:$G$92,"Jalan Irigasi Jaringan",'Daftar Koreksi'!$I$5:$I$92,"&lt;0")-SUMIFS('Daftar Koreksi'!$I$5:$I$92,'Daftar Koreksi'!$D$5:$D$92,'1500'!A466,'Daftar Koreksi'!$G$5:$G$92,"Jalan Irigasi Jaringan",'Daftar Koreksi'!$I$5:$I$92,"&lt;0")-SUMIFS('Daftar Koreksi'!$I$5:$I$92,'Daftar Koreksi'!$D$5:$D$92,'1500'!A466,'Daftar Koreksi'!$G$5:$G$92,"Jalan Irigasi Jaringan",'Daftar Koreksi'!$I$5:$I$92,"&lt;0")</f>
        <v>0</v>
      </c>
      <c r="G481" s="17">
        <f t="shared" si="21"/>
        <v>0</v>
      </c>
      <c r="H481" s="122"/>
      <c r="I481" s="28"/>
      <c r="J481" s="28"/>
    </row>
    <row r="482" spans="1:10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Koreksi'!$D$5:$D$92,'1500'!A466,'Daftar Koreksi'!$G$5:$G$92,"Aset Tetap Lainnya",'Daftar Koreksi'!$I$5:$I$92,"&gt;0")</f>
        <v>0</v>
      </c>
      <c r="F482" s="25">
        <f>SUMIFS('Daftar Koreksi'!$I$5:$I$92,'Daftar Koreksi'!$D$5:$D$92,'1500'!A466,'Daftar Koreksi'!$G$5:$G$92,"Aset Tetap Lainnya",'Daftar Koreksi'!$I$5:$I$92,"&lt;0")-SUMIFS('Daftar Koreksi'!$I$5:$I$92,'Daftar Koreksi'!$D$5:$D$92,'1500'!A466,'Daftar Koreksi'!$G$5:$G$92,"Aset Tetap Lainnya",'Daftar Koreksi'!$I$5:$I$92,"&lt;0")-SUMIFS('Daftar Koreksi'!$I$5:$I$92,'Daftar Koreksi'!$D$5:$D$92,'1500'!A466,'Daftar Koreksi'!$G$5:$G$92,"Aset Tetap Lainnya",'Daftar Koreksi'!$I$5:$I$92,"&lt;0")</f>
        <v>0</v>
      </c>
      <c r="G482" s="17">
        <f t="shared" si="21"/>
        <v>0</v>
      </c>
      <c r="H482" s="122"/>
      <c r="I482" s="28"/>
      <c r="J482" s="28"/>
    </row>
    <row r="483" spans="1:10" ht="21.95" customHeight="1">
      <c r="A483" s="14"/>
      <c r="B483" s="14"/>
      <c r="C483" s="16" t="s">
        <v>2020</v>
      </c>
      <c r="D483" s="17">
        <f>VLOOKUP(A466,'Neraca Unaudited SIMAK'!$A$2:$S$10004,17,FALSE)</f>
        <v>-31337300</v>
      </c>
      <c r="E483" s="25">
        <f>SUMIFS('Daftar Koreksi'!$I$5:$I$92,'Daftar Koreksi'!$D$5:$D$92,'1500'!A466,'Daftar Koreksi'!$G$5:$G$92,"Aset Henti Guna",'Daftar Koreksi'!$I$5:$I$92,"&gt;0")</f>
        <v>0</v>
      </c>
      <c r="F483" s="25">
        <f>SUMIFS('Daftar Koreksi'!$I$5:$I$92,'Daftar Koreksi'!$D$5:$D$92,'1500'!A466,'Daftar Koreksi'!$G$5:$G$92,"Aset Henti Guna",'Daftar Koreksi'!$I$5:$I$92,"&lt;0")-SUMIFS('Daftar Koreksi'!$I$5:$I$92,'Daftar Koreksi'!$D$5:$D$92,'1500'!A466,'Daftar Koreksi'!$G$5:$G$92,"Aset Henti Guna",'Daftar Koreksi'!$I$5:$I$92,"&lt;0")-SUMIFS('Daftar Koreksi'!$I$5:$I$92,'Daftar Koreksi'!$D$5:$D$92,'1500'!A466,'Daftar Koreksi'!$G$5:$G$92,"Aset Henti Guna",'Daftar Koreksi'!$I$5:$I$92,"&lt;0")</f>
        <v>0</v>
      </c>
      <c r="G483" s="17">
        <f t="shared" si="21"/>
        <v>-31337300</v>
      </c>
      <c r="H483" s="122"/>
      <c r="I483" s="28"/>
      <c r="J483" s="28"/>
    </row>
    <row r="484" spans="1:10" ht="21.95" customHeight="1">
      <c r="A484" s="14"/>
      <c r="B484" s="14"/>
      <c r="C484" s="18" t="s">
        <v>2094</v>
      </c>
      <c r="D484" s="19">
        <f>SUM(D479:D483)</f>
        <v>-1382127130</v>
      </c>
      <c r="E484" s="19">
        <f>SUM(E479:E483)</f>
        <v>0</v>
      </c>
      <c r="F484" s="19">
        <f>SUM(F479:F483)</f>
        <v>0</v>
      </c>
      <c r="G484" s="19">
        <f t="shared" si="21"/>
        <v>-1382127130</v>
      </c>
      <c r="H484" s="122"/>
      <c r="I484" s="28"/>
      <c r="J484" s="28"/>
    </row>
    <row r="485" spans="1:10" ht="21.95" customHeight="1">
      <c r="A485" s="14"/>
      <c r="B485" s="14"/>
      <c r="C485" s="18" t="s">
        <v>2095</v>
      </c>
      <c r="D485" s="19">
        <f>VLOOKUP(A466,'Neraca Unaudited SIMAK'!$A$2:$S$10004,18,FALSE)</f>
        <v>5854255888</v>
      </c>
      <c r="E485" s="19">
        <f>E484+E478</f>
        <v>0</v>
      </c>
      <c r="F485" s="19">
        <f>F484+F478</f>
        <v>0</v>
      </c>
      <c r="G485" s="19">
        <f t="shared" si="21"/>
        <v>5854255888</v>
      </c>
      <c r="H485" s="122"/>
      <c r="I485" s="28"/>
      <c r="J485" s="28"/>
    </row>
    <row r="486" spans="1:10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  <c r="I486" s="28"/>
      <c r="J486" s="28"/>
    </row>
    <row r="488" spans="1:10" ht="19.5" customHeight="1">
      <c r="A488" s="11" t="str">
        <f>O23</f>
        <v>005011500402571000KD</v>
      </c>
      <c r="B488" s="11" t="str">
        <f>P23</f>
        <v>PA. Negara</v>
      </c>
      <c r="C488" s="12" t="str">
        <f>A488&amp;" "&amp;B488</f>
        <v>005011500402571000KD PA. Negara</v>
      </c>
      <c r="D488" s="13"/>
      <c r="E488" s="13"/>
      <c r="F488" s="13"/>
      <c r="G488" s="13"/>
      <c r="H488" s="11"/>
    </row>
    <row r="489" spans="1:10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10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10" ht="21.95" customHeight="1">
      <c r="A491" s="14"/>
      <c r="B491" s="14"/>
      <c r="C491" s="16" t="s">
        <v>1165</v>
      </c>
      <c r="D491" s="17">
        <f>VLOOKUP(A488,'Neraca Unaudited SIMAK'!$A$2:$S$10004,3,FALSE)</f>
        <v>1211500</v>
      </c>
      <c r="E491" s="25">
        <f>SUMIFS('Daftar Koreksi'!$H$5:$H$92,'Daftar Koreksi'!$D$5:$D$92,'1500'!A488,'Daftar Koreksi'!$G$5:$G$92,"Persediaan",'Daftar Koreksi'!$H$5:$H$92,"&gt;0")</f>
        <v>0</v>
      </c>
      <c r="F491" s="25">
        <f>SUMIFS('Daftar Koreksi'!$H$5:$H$92,'Daftar Koreksi'!$D$5:$D$92,'1500'!A488,'Daftar Koreksi'!$G$5:$G$92,"Persediaan",'Daftar Koreksi'!$H$5:$H$92,"&lt;0")-SUMIFS('Daftar Koreksi'!$H$5:$H$92,'Daftar Koreksi'!$D$5:$D$92,'1500'!A488,'Daftar Koreksi'!$G$5:$G$92,"Persediaan",'Daftar Koreksi'!$H$5:$H$92,"&lt;0")-SUMIFS('Daftar Koreksi'!$H$5:$H$92,'Daftar Koreksi'!$D$5:$D$92,'1500'!A488,'Daftar Koreksi'!$G$5:$G$92,"Persediaan",'Daftar Koreksi'!$H$5:$H$92,"&lt;0")</f>
        <v>0</v>
      </c>
      <c r="G491" s="17">
        <f>D491+E491-F491</f>
        <v>1211500</v>
      </c>
      <c r="H491" s="121" t="str">
        <f>IF(ISNA(VLOOKUP(A488,'Mutasi Neraca'!$A$3:$S$914,19,FALSE)),"-",VLOOKUP(A488,'Mutasi Neraca'!$A$3:$S$914,19,FALSE))</f>
        <v>-</v>
      </c>
    </row>
    <row r="492" spans="1:10" ht="21.95" customHeight="1">
      <c r="A492" s="14"/>
      <c r="B492" s="14"/>
      <c r="C492" s="16" t="s">
        <v>1166</v>
      </c>
      <c r="D492" s="17">
        <f>VLOOKUP(A488,'Neraca Unaudited SIMAK'!$A$2:$S$10004,4,FALSE)</f>
        <v>296920000</v>
      </c>
      <c r="E492" s="25">
        <f>SUMIFS('Daftar Koreksi'!$H$5:$H$92,'Daftar Koreksi'!$D$5:$D$92,'1500'!A488,'Daftar Koreksi'!$G$5:$G$92,"Tanah",'Daftar Koreksi'!$H$5:$H$92,"&gt;0")</f>
        <v>0</v>
      </c>
      <c r="F492" s="25">
        <f>SUMIFS('Daftar Koreksi'!$H$5:$H$92,'Daftar Koreksi'!$D$5:$D$92,'1500'!A488,'Daftar Koreksi'!$G$5:$G$92,"Tanah",'Daftar Koreksi'!$H$5:$H$92,"&lt;0")-SUMIFS('Daftar Koreksi'!$H$5:$H$92,'Daftar Koreksi'!$D$5:$D$92,'1500'!A488,'Daftar Koreksi'!$G$5:$G$92,"Tanah",'Daftar Koreksi'!$H$5:$H$92,"&lt;0")-SUMIFS('Daftar Koreksi'!$H$5:$H$92,'Daftar Koreksi'!$D$5:$D$92,'1500'!A488,'Daftar Koreksi'!$G$5:$G$92,"Tanah",'Daftar Koreksi'!$H$5:$H$92,"&lt;0")</f>
        <v>0</v>
      </c>
      <c r="G492" s="17">
        <f t="shared" ref="G492:G508" si="22">D492+E492-F492</f>
        <v>296920000</v>
      </c>
      <c r="H492" s="122"/>
    </row>
    <row r="493" spans="1:10" ht="21.95" customHeight="1">
      <c r="A493" s="14"/>
      <c r="B493" s="14"/>
      <c r="C493" s="16" t="s">
        <v>1167</v>
      </c>
      <c r="D493" s="17">
        <f>VLOOKUP(A488,'Neraca Unaudited SIMAK'!$A$2:$S$10004,5,FALSE)</f>
        <v>1168337412</v>
      </c>
      <c r="E493" s="25">
        <f>SUMIFS('Daftar Koreksi'!$H$5:$H$92,'Daftar Koreksi'!$D$5:$D$92,'1500'!A488,'Daftar Koreksi'!$G$5:$G$92,"Peralatan dan mesin",'Daftar Koreksi'!$H$5:$H$92,"&gt;0")</f>
        <v>0</v>
      </c>
      <c r="F493" s="25">
        <f>SUMIFS('Daftar Koreksi'!$H$5:$H$92,'Daftar Koreksi'!$D$5:$D$92,'1500'!A488,'Daftar Koreksi'!$G$5:$G$92,"Peralatan dan mesin",'Daftar Koreksi'!$H$5:$H$92,"&lt;0")-SUMIFS('Daftar Koreksi'!$H$5:$H$92,'Daftar Koreksi'!$D$5:$D$92,'1500'!A488,'Daftar Koreksi'!$G$5:$G$92,"Peralatan dan mesin",'Daftar Koreksi'!$H$5:$H$92,"&lt;0")-SUMIFS('Daftar Koreksi'!$H$5:$H$92,'Daftar Koreksi'!$D$5:$D$92,'1500'!A488,'Daftar Koreksi'!$G$5:$G$92,"Peralatan dan mesin",'Daftar Koreksi'!$H$5:$H$92,"&lt;0")</f>
        <v>0</v>
      </c>
      <c r="G493" s="17">
        <f t="shared" si="22"/>
        <v>1168337412</v>
      </c>
      <c r="H493" s="122"/>
    </row>
    <row r="494" spans="1:10" ht="21.95" customHeight="1">
      <c r="A494" s="14"/>
      <c r="B494" s="14"/>
      <c r="C494" s="16" t="s">
        <v>1168</v>
      </c>
      <c r="D494" s="17">
        <f>VLOOKUP(A488,'Neraca Unaudited SIMAK'!$A$2:$S$10004,6,FALSE)</f>
        <v>1537171200</v>
      </c>
      <c r="E494" s="25">
        <f>SUMIFS('Daftar Koreksi'!$H$5:$H$92,'Daftar Koreksi'!$D$5:$D$92,'1500'!A488,'Daftar Koreksi'!$G$5:$G$92,"Gedung dan Bangunan",'Daftar Koreksi'!$H$5:$H$92,"&gt;0")</f>
        <v>0</v>
      </c>
      <c r="F494" s="25">
        <f>SUMIFS('Daftar Koreksi'!$H$5:$H$92,'Daftar Koreksi'!$D$5:$D$92,'1500'!A488,'Daftar Koreksi'!$G$5:$G$92,"Gedung dan Bangunan",'Daftar Koreksi'!$H$5:$H$92,"&lt;0")-SUMIFS('Daftar Koreksi'!$H$5:$H$92,'Daftar Koreksi'!$D$5:$D$92,'1500'!A488,'Daftar Koreksi'!$G$5:$G$92,"Gedung dan Bangunan",'Daftar Koreksi'!$H$5:$H$92,"&lt;0")-SUMIFS('Daftar Koreksi'!$H$5:$H$92,'Daftar Koreksi'!$D$5:$D$92,'1500'!A488,'Daftar Koreksi'!$G$5:$G$92,"Gedung dan Bangunan",'Daftar Koreksi'!$H$5:$H$92,"&lt;0")</f>
        <v>0</v>
      </c>
      <c r="G494" s="17">
        <f t="shared" si="22"/>
        <v>1537171200</v>
      </c>
      <c r="H494" s="122"/>
    </row>
    <row r="495" spans="1:10" ht="21.95" customHeight="1">
      <c r="A495" s="14"/>
      <c r="B495" s="14"/>
      <c r="C495" s="16" t="s">
        <v>1169</v>
      </c>
      <c r="D495" s="17">
        <f>VLOOKUP(A488,'Neraca Unaudited SIMAK'!$A$2:$S$10004,7,FALSE)</f>
        <v>74717500</v>
      </c>
      <c r="E495" s="25">
        <f>SUMIFS('Daftar Koreksi'!$H$5:$H$92,'Daftar Koreksi'!$D$5:$D$92,'1500'!A488,'Daftar Koreksi'!$G$5:$G$92,"Jalan Irigasi Jaringan",'Daftar Koreksi'!$H$5:$H$92,"&gt;0")</f>
        <v>0</v>
      </c>
      <c r="F495" s="25">
        <f>SUMIFS('Daftar Koreksi'!$H$5:$H$92,'Daftar Koreksi'!$D$5:$D$92,'1500'!A488,'Daftar Koreksi'!$G$5:$G$92,"Jalan Irigasi Jaringan",'Daftar Koreksi'!$H$5:$H$92,"&lt;0")-SUMIFS('Daftar Koreksi'!$H$5:$H$92,'Daftar Koreksi'!$D$5:$D$92,'1500'!A488,'Daftar Koreksi'!$G$5:$G$92,"Jalan Irigasi Jaringan",'Daftar Koreksi'!$H$5:$H$92,"&lt;0")-SUMIFS('Daftar Koreksi'!$H$5:$H$92,'Daftar Koreksi'!$D$5:$D$92,'1500'!A488,'Daftar Koreksi'!$G$5:$G$92,"Jalan Irigasi Jaringan",'Daftar Koreksi'!$H$5:$H$92,"&lt;0")</f>
        <v>0</v>
      </c>
      <c r="G495" s="17">
        <f t="shared" si="22"/>
        <v>74717500</v>
      </c>
      <c r="H495" s="122"/>
    </row>
    <row r="496" spans="1:10" ht="21.95" customHeight="1">
      <c r="A496" s="14"/>
      <c r="B496" s="14"/>
      <c r="C496" s="16" t="s">
        <v>1170</v>
      </c>
      <c r="D496" s="17">
        <f>VLOOKUP(A488,'Neraca Unaudited SIMAK'!$A$2:$S$10004,8,FALSE)</f>
        <v>30012348</v>
      </c>
      <c r="E496" s="25">
        <f>SUMIFS('Daftar Koreksi'!$H$5:$H$92,'Daftar Koreksi'!$D$5:$D$92,'1500'!A488,'Daftar Koreksi'!$G$5:$G$92,"Aset Tetap Lainnya",'Daftar Koreksi'!$H$5:$H$92,"&gt;0")</f>
        <v>0</v>
      </c>
      <c r="F496" s="25">
        <f>SUMIFS('Daftar Koreksi'!$H$5:$H$92,'Daftar Koreksi'!$D$5:$D$92,'1500'!A488,'Daftar Koreksi'!$G$5:$G$92,"Aset Tetap Lainnya",'Daftar Koreksi'!$H$5:$H$92,"&lt;0")-SUMIFS('Daftar Koreksi'!$H$5:$H$92,'Daftar Koreksi'!$D$5:$D$92,'1500'!A488,'Daftar Koreksi'!$G$5:$G$92,"Aset Tetap Lainnya",'Daftar Koreksi'!$H$5:$H$92,"&lt;0")-SUMIFS('Daftar Koreksi'!$H$5:$H$92,'Daftar Koreksi'!$D$5:$D$92,'1500'!A488,'Daftar Koreksi'!$G$5:$G$92,"Aset Tetap Lainnya",'Daftar Koreksi'!$H$5:$H$92,"&lt;0")</f>
        <v>0</v>
      </c>
      <c r="G496" s="17">
        <f t="shared" si="22"/>
        <v>30012348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Koreksi'!$D$5:$D$92,'1500'!A488,'Daftar Koreksi'!$G$5:$G$92,"Kontruksi Dalam Pengerjaan",'Daftar Koreksi'!$H$5:$H$92,"&gt;0")</f>
        <v>0</v>
      </c>
      <c r="F497" s="25">
        <f>SUMIFS('Daftar Koreksi'!$H$5:$H$92,'Daftar Koreksi'!$D$5:$D$92,'1500'!A488,'Daftar Koreksi'!$G$5:$G$92,"Kontruksi Dalam Pengerjaan",'Daftar Koreksi'!$H$5:$H$92,"&lt;0")-SUMIFS('Daftar Koreksi'!$H$5:$H$92,'Daftar Koreksi'!$D$5:$D$92,'1500'!A488,'Daftar Koreksi'!$G$5:$G$92,"Kontruksi Dalam Pengerjaan",'Daftar Koreksi'!$H$5:$H$92,"&lt;0")-SUMIFS('Daftar Koreksi'!$H$5:$H$92,'Daftar Koreksi'!$D$5:$D$92,'1500'!A488,'Daftar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14450000</v>
      </c>
      <c r="E498" s="25">
        <f>SUMIFS('Daftar Koreksi'!$H$5:$H$92,'Daftar Koreksi'!$D$5:$D$92,'1500'!A488,'Daftar Koreksi'!$G$5:$G$92,"Aset Tak Berwujud",'Daftar Koreksi'!$H$5:$H$92,"&gt;0")</f>
        <v>0</v>
      </c>
      <c r="F498" s="25">
        <f>SUMIFS('Daftar Koreksi'!$H$5:$H$92,'Daftar Koreksi'!$D$5:$D$92,'1500'!A488,'Daftar Koreksi'!$G$5:$G$92,"Aset Tak Berwujud",'Daftar Koreksi'!$H$5:$H$92,"&lt;0")-SUMIFS('Daftar Koreksi'!$H$5:$H$92,'Daftar Koreksi'!$D$5:$D$92,'1500'!A488,'Daftar Koreksi'!$G$5:$G$92,"Aset Tak Berwujud",'Daftar Koreksi'!$H$5:$H$92,"&lt;0")-SUMIFS('Daftar Koreksi'!$H$5:$H$92,'Daftar Koreksi'!$D$5:$D$92,'1500'!A488,'Daftar Koreksi'!$G$5:$G$92,"Aset Tak Berwujud",'Daftar Koreksi'!$H$5:$H$92,"&lt;0")</f>
        <v>0</v>
      </c>
      <c r="G498" s="17">
        <f t="shared" si="22"/>
        <v>14450000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164608500</v>
      </c>
      <c r="E499" s="25">
        <f>SUMIFS('Daftar Koreksi'!$H$5:$H$92,'Daftar Koreksi'!$D$5:$D$92,'1500'!A488,'Daftar Koreksi'!$G$5:$G$92,"Aset Henti Guna",'Daftar Koreksi'!$H$5:$H$92,"&gt;0")</f>
        <v>0</v>
      </c>
      <c r="F499" s="25">
        <f>SUMIFS('Daftar Koreksi'!$H$5:$H$92,'Daftar Koreksi'!$D$5:$D$92,'1500'!A488,'Daftar Koreksi'!$G$5:$G$92,"Aset Henti Guna",'Daftar Koreksi'!$H$5:$H$92,"&lt;0")-SUMIFS('Daftar Koreksi'!$H$5:$H$92,'Daftar Koreksi'!$D$5:$D$92,'1500'!A488,'Daftar Koreksi'!$G$5:$G$92,"Aset Henti Guna",'Daftar Koreksi'!$H$5:$H$92,"&lt;0")-SUMIFS('Daftar Koreksi'!$H$5:$H$92,'Daftar Koreksi'!$D$5:$D$92,'1500'!A488,'Daftar Koreksi'!$G$5:$G$92,"Aset Henti Guna",'Daftar Koreksi'!$H$5:$H$92,"&lt;0")</f>
        <v>0</v>
      </c>
      <c r="G499" s="17">
        <f t="shared" si="22"/>
        <v>164608500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3287428460</v>
      </c>
      <c r="E500" s="19">
        <f>SUM(E491:E499)</f>
        <v>0</v>
      </c>
      <c r="F500" s="19">
        <f>SUM(F491:F499)</f>
        <v>0</v>
      </c>
      <c r="G500" s="19">
        <f t="shared" si="22"/>
        <v>3287428460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-1033255306</v>
      </c>
      <c r="E501" s="25">
        <f>SUMIFS('Daftar Koreksi'!$I$5:$I$92,'Daftar Koreksi'!$D$5:$D$92,'1500'!A488,'Daftar Koreksi'!$G$5:$G$92,"Peralatan dan mesin",'Daftar Koreksi'!$I$5:$I$92,"&gt;0")</f>
        <v>0</v>
      </c>
      <c r="F501" s="25">
        <f>SUMIFS('Daftar Koreksi'!$I$5:$I$92,'Daftar Koreksi'!$D$5:$D$92,'1500'!A488,'Daftar Koreksi'!$G$5:$G$92,"Peralatan dan mesin",'Daftar Koreksi'!$I$5:$I$92,"&lt;0")-SUMIFS('Daftar Koreksi'!$I$5:$I$92,'Daftar Koreksi'!$D$5:$D$92,'1500'!A488,'Daftar Koreksi'!$G$5:$G$92,"Peralatan dan mesin",'Daftar Koreksi'!$I$5:$I$92,"&lt;0")-SUMIFS('Daftar Koreksi'!$I$5:$I$92,'Daftar Koreksi'!$D$5:$D$92,'1500'!A488,'Daftar Koreksi'!$G$5:$G$92,"Peralatan dan mesin",'Daftar Koreksi'!$I$5:$I$92,"&lt;0")</f>
        <v>0</v>
      </c>
      <c r="G501" s="17">
        <f t="shared" si="22"/>
        <v>-1033255306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-263356968</v>
      </c>
      <c r="E502" s="25">
        <f>SUMIFS('Daftar Koreksi'!$I$5:$I$92,'Daftar Koreksi'!$D$5:$D$92,'1500'!A488,'Daftar Koreksi'!$G$5:$G$92,"Gedung dan Bangunan",'Daftar Koreksi'!$I$5:$I$92,"&gt;0")</f>
        <v>0</v>
      </c>
      <c r="F502" s="25">
        <f>SUMIFS('Daftar Koreksi'!$I$5:$I$92,'Daftar Koreksi'!$D$5:$D$92,'1500'!A488,'Daftar Koreksi'!$G$5:$G$92,"Gedung dan Bangunan",'Daftar Koreksi'!$I$5:$I$92,"&lt;0")-SUMIFS('Daftar Koreksi'!$I$5:$I$92,'Daftar Koreksi'!$D$5:$D$92,'1500'!A488,'Daftar Koreksi'!$G$5:$G$92,"Gedung dan Bangunan",'Daftar Koreksi'!$I$5:$I$92,"&lt;0")-SUMIFS('Daftar Koreksi'!$I$5:$I$92,'Daftar Koreksi'!$D$5:$D$92,'1500'!A488,'Daftar Koreksi'!$G$5:$G$92,"Gedung dan Bangunan",'Daftar Koreksi'!$I$5:$I$92,"&lt;0")</f>
        <v>0</v>
      </c>
      <c r="G502" s="17">
        <f t="shared" si="22"/>
        <v>-263356968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-74717500</v>
      </c>
      <c r="E503" s="25">
        <f>SUMIFS('Daftar Koreksi'!$I$5:$I$92,'Daftar Koreksi'!$D$5:$D$92,'1500'!A488,'Daftar Koreksi'!$G$5:$G$92,"Jalan Irigasi Jaringan",'Daftar Koreksi'!$I$5:$I$92,"&gt;0")</f>
        <v>0</v>
      </c>
      <c r="F503" s="25">
        <f>SUMIFS('Daftar Koreksi'!$I$5:$I$92,'Daftar Koreksi'!$D$5:$D$92,'1500'!A488,'Daftar Koreksi'!$G$5:$G$92,"Jalan Irigasi Jaringan",'Daftar Koreksi'!$I$5:$I$92,"&lt;0")-SUMIFS('Daftar Koreksi'!$I$5:$I$92,'Daftar Koreksi'!$D$5:$D$92,'1500'!A488,'Daftar Koreksi'!$G$5:$G$92,"Jalan Irigasi Jaringan",'Daftar Koreksi'!$I$5:$I$92,"&lt;0")-SUMIFS('Daftar Koreksi'!$I$5:$I$92,'Daftar Koreksi'!$D$5:$D$92,'1500'!A488,'Daftar Koreksi'!$G$5:$G$92,"Jalan Irigasi Jaringan",'Daftar Koreksi'!$I$5:$I$92,"&lt;0")</f>
        <v>0</v>
      </c>
      <c r="G503" s="17">
        <f t="shared" si="22"/>
        <v>-74717500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Koreksi'!$D$5:$D$92,'1500'!A488,'Daftar Koreksi'!$G$5:$G$92,"Aset Tetap Lainnya",'Daftar Koreksi'!$I$5:$I$92,"&gt;0")</f>
        <v>0</v>
      </c>
      <c r="F504" s="25">
        <f>SUMIFS('Daftar Koreksi'!$I$5:$I$92,'Daftar Koreksi'!$D$5:$D$92,'1500'!A488,'Daftar Koreksi'!$G$5:$G$92,"Aset Tetap Lainnya",'Daftar Koreksi'!$I$5:$I$92,"&lt;0")-SUMIFS('Daftar Koreksi'!$I$5:$I$92,'Daftar Koreksi'!$D$5:$D$92,'1500'!A488,'Daftar Koreksi'!$G$5:$G$92,"Aset Tetap Lainnya",'Daftar Koreksi'!$I$5:$I$92,"&lt;0")-SUMIFS('Daftar Koreksi'!$I$5:$I$92,'Daftar Koreksi'!$D$5:$D$92,'1500'!A488,'Daftar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-164608500</v>
      </c>
      <c r="E505" s="25">
        <f>SUMIFS('Daftar Koreksi'!$I$5:$I$92,'Daftar Koreksi'!$D$5:$D$92,'1500'!A488,'Daftar Koreksi'!$G$5:$G$92,"Aset Henti Guna",'Daftar Koreksi'!$I$5:$I$92,"&gt;0")</f>
        <v>0</v>
      </c>
      <c r="F505" s="25">
        <f>SUMIFS('Daftar Koreksi'!$I$5:$I$92,'Daftar Koreksi'!$D$5:$D$92,'1500'!A488,'Daftar Koreksi'!$G$5:$G$92,"Aset Henti Guna",'Daftar Koreksi'!$I$5:$I$92,"&lt;0")-SUMIFS('Daftar Koreksi'!$I$5:$I$92,'Daftar Koreksi'!$D$5:$D$92,'1500'!A488,'Daftar Koreksi'!$G$5:$G$92,"Aset Henti Guna",'Daftar Koreksi'!$I$5:$I$92,"&lt;0")-SUMIFS('Daftar Koreksi'!$I$5:$I$92,'Daftar Koreksi'!$D$5:$D$92,'1500'!A488,'Daftar Koreksi'!$G$5:$G$92,"Aset Henti Guna",'Daftar Koreksi'!$I$5:$I$92,"&lt;0")</f>
        <v>0</v>
      </c>
      <c r="G505" s="17">
        <f t="shared" si="22"/>
        <v>-164608500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-1535938274</v>
      </c>
      <c r="E506" s="19">
        <f>SUM(E501:E505)</f>
        <v>0</v>
      </c>
      <c r="F506" s="19">
        <f>SUM(F501:F505)</f>
        <v>0</v>
      </c>
      <c r="G506" s="19">
        <f t="shared" si="22"/>
        <v>-1535938274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1751490186</v>
      </c>
      <c r="E507" s="19">
        <f>E506+E500</f>
        <v>0</v>
      </c>
      <c r="F507" s="19">
        <f>F506+F500</f>
        <v>0</v>
      </c>
      <c r="G507" s="19">
        <f t="shared" si="22"/>
        <v>1751490186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005011500531865000KD</v>
      </c>
      <c r="B510" s="11" t="str">
        <f>P24</f>
        <v>PTUN. Banjarmasin</v>
      </c>
      <c r="C510" s="12" t="str">
        <f>A510&amp;" "&amp;B510</f>
        <v>005011500531865000KD PTUN. Banjarmasin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0</v>
      </c>
      <c r="E513" s="25">
        <f>SUMIFS('Daftar Koreksi'!$H$5:$H$92,'Daftar Koreksi'!$D$5:$D$92,'1500'!A510,'Daftar Koreksi'!$G$5:$G$92,"Persediaan",'Daftar Koreksi'!$H$5:$H$92,"&gt;0")</f>
        <v>0</v>
      </c>
      <c r="F513" s="25">
        <f>SUMIFS('Daftar Koreksi'!$H$5:$H$92,'Daftar Koreksi'!$D$5:$D$92,'1500'!A510,'Daftar Koreksi'!$G$5:$G$92,"Persediaan",'Daftar Koreksi'!$H$5:$H$92,"&lt;0")-SUMIFS('Daftar Koreksi'!$H$5:$H$92,'Daftar Koreksi'!$D$5:$D$92,'1500'!A510,'Daftar Koreksi'!$G$5:$G$92,"Persediaan",'Daftar Koreksi'!$H$5:$H$92,"&lt;0")-SUMIFS('Daftar Koreksi'!$H$5:$H$92,'Daftar Koreksi'!$D$5:$D$92,'1500'!A510,'Daftar Koreksi'!$G$5:$G$92,"Persediaan",'Daftar Koreksi'!$H$5:$H$92,"&lt;0")</f>
        <v>0</v>
      </c>
      <c r="G513" s="17">
        <f>D513+E513-F513</f>
        <v>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6363400000</v>
      </c>
      <c r="E514" s="25">
        <f>SUMIFS('Daftar Koreksi'!$H$5:$H$92,'Daftar Koreksi'!$D$5:$D$92,'1500'!A510,'Daftar Koreksi'!$G$5:$G$92,"Tanah",'Daftar Koreksi'!$H$5:$H$92,"&gt;0")</f>
        <v>0</v>
      </c>
      <c r="F514" s="25">
        <f>SUMIFS('Daftar Koreksi'!$H$5:$H$92,'Daftar Koreksi'!$D$5:$D$92,'1500'!A510,'Daftar Koreksi'!$G$5:$G$92,"Tanah",'Daftar Koreksi'!$H$5:$H$92,"&lt;0")-SUMIFS('Daftar Koreksi'!$H$5:$H$92,'Daftar Koreksi'!$D$5:$D$92,'1500'!A510,'Daftar Koreksi'!$G$5:$G$92,"Tanah",'Daftar Koreksi'!$H$5:$H$92,"&lt;0")-SUMIFS('Daftar Koreksi'!$H$5:$H$92,'Daftar Koreksi'!$D$5:$D$92,'1500'!A510,'Daftar Koreksi'!$G$5:$G$92,"Tanah",'Daftar Koreksi'!$H$5:$H$92,"&lt;0")</f>
        <v>0</v>
      </c>
      <c r="G514" s="17">
        <f t="shared" ref="G514:G530" si="23">D514+E514-F514</f>
        <v>6363400000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1817036649</v>
      </c>
      <c r="E515" s="25">
        <f>SUMIFS('Daftar Koreksi'!$H$5:$H$92,'Daftar Koreksi'!$D$5:$D$92,'1500'!A510,'Daftar Koreksi'!$G$5:$G$92,"Peralatan dan mesin",'Daftar Koreksi'!$H$5:$H$92,"&gt;0")</f>
        <v>0</v>
      </c>
      <c r="F515" s="25">
        <f>SUMIFS('Daftar Koreksi'!$H$5:$H$92,'Daftar Koreksi'!$D$5:$D$92,'1500'!A510,'Daftar Koreksi'!$G$5:$G$92,"Peralatan dan mesin",'Daftar Koreksi'!$H$5:$H$92,"&lt;0")-SUMIFS('Daftar Koreksi'!$H$5:$H$92,'Daftar Koreksi'!$D$5:$D$92,'1500'!A510,'Daftar Koreksi'!$G$5:$G$92,"Peralatan dan mesin",'Daftar Koreksi'!$H$5:$H$92,"&lt;0")-SUMIFS('Daftar Koreksi'!$H$5:$H$92,'Daftar Koreksi'!$D$5:$D$92,'1500'!A510,'Daftar Koreksi'!$G$5:$G$92,"Peralatan dan mesin",'Daftar Koreksi'!$H$5:$H$92,"&lt;0")</f>
        <v>0</v>
      </c>
      <c r="G515" s="17">
        <f t="shared" si="23"/>
        <v>1817036649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2969023000</v>
      </c>
      <c r="E516" s="25">
        <f>SUMIFS('Daftar Koreksi'!$H$5:$H$92,'Daftar Koreksi'!$D$5:$D$92,'1500'!A510,'Daftar Koreksi'!$G$5:$G$92,"Gedung dan Bangunan",'Daftar Koreksi'!$H$5:$H$92,"&gt;0")</f>
        <v>0</v>
      </c>
      <c r="F516" s="25">
        <f>SUMIFS('Daftar Koreksi'!$H$5:$H$92,'Daftar Koreksi'!$D$5:$D$92,'1500'!A510,'Daftar Koreksi'!$G$5:$G$92,"Gedung dan Bangunan",'Daftar Koreksi'!$H$5:$H$92,"&lt;0")-SUMIFS('Daftar Koreksi'!$H$5:$H$92,'Daftar Koreksi'!$D$5:$D$92,'1500'!A510,'Daftar Koreksi'!$G$5:$G$92,"Gedung dan Bangunan",'Daftar Koreksi'!$H$5:$H$92,"&lt;0")-SUMIFS('Daftar Koreksi'!$H$5:$H$92,'Daftar Koreksi'!$D$5:$D$92,'1500'!A510,'Daftar Koreksi'!$G$5:$G$92,"Gedung dan Bangunan",'Daftar Koreksi'!$H$5:$H$92,"&lt;0")</f>
        <v>0</v>
      </c>
      <c r="G516" s="17">
        <f t="shared" si="23"/>
        <v>2969023000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1500000</v>
      </c>
      <c r="E517" s="25">
        <f>SUMIFS('Daftar Koreksi'!$H$5:$H$92,'Daftar Koreksi'!$D$5:$D$92,'1500'!A510,'Daftar Koreksi'!$G$5:$G$92,"Jalan Irigasi Jaringan",'Daftar Koreksi'!$H$5:$H$92,"&gt;0")</f>
        <v>0</v>
      </c>
      <c r="F517" s="25">
        <f>SUMIFS('Daftar Koreksi'!$H$5:$H$92,'Daftar Koreksi'!$D$5:$D$92,'1500'!A510,'Daftar Koreksi'!$G$5:$G$92,"Jalan Irigasi Jaringan",'Daftar Koreksi'!$H$5:$H$92,"&lt;0")-SUMIFS('Daftar Koreksi'!$H$5:$H$92,'Daftar Koreksi'!$D$5:$D$92,'1500'!A510,'Daftar Koreksi'!$G$5:$G$92,"Jalan Irigasi Jaringan",'Daftar Koreksi'!$H$5:$H$92,"&lt;0")-SUMIFS('Daftar Koreksi'!$H$5:$H$92,'Daftar Koreksi'!$D$5:$D$92,'1500'!A510,'Daftar Koreksi'!$G$5:$G$92,"Jalan Irigasi Jaringan",'Daftar Koreksi'!$H$5:$H$92,"&lt;0")</f>
        <v>0</v>
      </c>
      <c r="G517" s="17">
        <f t="shared" si="23"/>
        <v>1500000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83827400</v>
      </c>
      <c r="E518" s="25">
        <f>SUMIFS('Daftar Koreksi'!$H$5:$H$92,'Daftar Koreksi'!$D$5:$D$92,'1500'!A510,'Daftar Koreksi'!$G$5:$G$92,"Aset Tetap Lainnya",'Daftar Koreksi'!$H$5:$H$92,"&gt;0")</f>
        <v>0</v>
      </c>
      <c r="F518" s="25">
        <f>SUMIFS('Daftar Koreksi'!$H$5:$H$92,'Daftar Koreksi'!$D$5:$D$92,'1500'!A510,'Daftar Koreksi'!$G$5:$G$92,"Aset Tetap Lainnya",'Daftar Koreksi'!$H$5:$H$92,"&lt;0")-SUMIFS('Daftar Koreksi'!$H$5:$H$92,'Daftar Koreksi'!$D$5:$D$92,'1500'!A510,'Daftar Koreksi'!$G$5:$G$92,"Aset Tetap Lainnya",'Daftar Koreksi'!$H$5:$H$92,"&lt;0")-SUMIFS('Daftar Koreksi'!$H$5:$H$92,'Daftar Koreksi'!$D$5:$D$92,'1500'!A510,'Daftar Koreksi'!$G$5:$G$92,"Aset Tetap Lainnya",'Daftar Koreksi'!$H$5:$H$92,"&lt;0")</f>
        <v>0</v>
      </c>
      <c r="G518" s="17">
        <f t="shared" si="23"/>
        <v>83827400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Koreksi'!$D$5:$D$92,'1500'!A510,'Daftar Koreksi'!$G$5:$G$92,"Kontruksi Dalam Pengerjaan",'Daftar Koreksi'!$H$5:$H$92,"&gt;0")</f>
        <v>0</v>
      </c>
      <c r="F519" s="25">
        <f>SUMIFS('Daftar Koreksi'!$H$5:$H$92,'Daftar Koreksi'!$D$5:$D$92,'1500'!A510,'Daftar Koreksi'!$G$5:$G$92,"Kontruksi Dalam Pengerjaan",'Daftar Koreksi'!$H$5:$H$92,"&lt;0")-SUMIFS('Daftar Koreksi'!$H$5:$H$92,'Daftar Koreksi'!$D$5:$D$92,'1500'!A510,'Daftar Koreksi'!$G$5:$G$92,"Kontruksi Dalam Pengerjaan",'Daftar Koreksi'!$H$5:$H$92,"&lt;0")-SUMIFS('Daftar Koreksi'!$H$5:$H$92,'Daftar Koreksi'!$D$5:$D$92,'1500'!A510,'Daftar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97460000</v>
      </c>
      <c r="E520" s="25">
        <f>SUMIFS('Daftar Koreksi'!$H$5:$H$92,'Daftar Koreksi'!$D$5:$D$92,'1500'!A510,'Daftar Koreksi'!$G$5:$G$92,"Aset Tak Berwujud",'Daftar Koreksi'!$H$5:$H$92,"&gt;0")</f>
        <v>0</v>
      </c>
      <c r="F520" s="25">
        <f>SUMIFS('Daftar Koreksi'!$H$5:$H$92,'Daftar Koreksi'!$D$5:$D$92,'1500'!A510,'Daftar Koreksi'!$G$5:$G$92,"Aset Tak Berwujud",'Daftar Koreksi'!$H$5:$H$92,"&lt;0")-SUMIFS('Daftar Koreksi'!$H$5:$H$92,'Daftar Koreksi'!$D$5:$D$92,'1500'!A510,'Daftar Koreksi'!$G$5:$G$92,"Aset Tak Berwujud",'Daftar Koreksi'!$H$5:$H$92,"&lt;0")-SUMIFS('Daftar Koreksi'!$H$5:$H$92,'Daftar Koreksi'!$D$5:$D$92,'1500'!A510,'Daftar Koreksi'!$G$5:$G$92,"Aset Tak Berwujud",'Daftar Koreksi'!$H$5:$H$92,"&lt;0")</f>
        <v>0</v>
      </c>
      <c r="G520" s="17">
        <f t="shared" si="23"/>
        <v>97460000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0</v>
      </c>
      <c r="E521" s="25">
        <f>SUMIFS('Daftar Koreksi'!$H$5:$H$92,'Daftar Koreksi'!$D$5:$D$92,'1500'!A510,'Daftar Koreksi'!$G$5:$G$92,"Aset Henti Guna",'Daftar Koreksi'!$H$5:$H$92,"&gt;0")</f>
        <v>0</v>
      </c>
      <c r="F521" s="25">
        <f>SUMIFS('Daftar Koreksi'!$H$5:$H$92,'Daftar Koreksi'!$D$5:$D$92,'1500'!A510,'Daftar Koreksi'!$G$5:$G$92,"Aset Henti Guna",'Daftar Koreksi'!$H$5:$H$92,"&lt;0")-SUMIFS('Daftar Koreksi'!$H$5:$H$92,'Daftar Koreksi'!$D$5:$D$92,'1500'!A510,'Daftar Koreksi'!$G$5:$G$92,"Aset Henti Guna",'Daftar Koreksi'!$H$5:$H$92,"&lt;0")-SUMIFS('Daftar Koreksi'!$H$5:$H$92,'Daftar Koreksi'!$D$5:$D$92,'1500'!A510,'Daftar Koreksi'!$G$5:$G$92,"Aset Henti Guna",'Daftar Koreksi'!$H$5:$H$92,"&lt;0")</f>
        <v>0</v>
      </c>
      <c r="G521" s="17">
        <f t="shared" si="23"/>
        <v>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11332247049</v>
      </c>
      <c r="E522" s="19">
        <f>SUM(E513:E521)</f>
        <v>0</v>
      </c>
      <c r="F522" s="19">
        <f>SUM(F513:F521)</f>
        <v>0</v>
      </c>
      <c r="G522" s="19">
        <f t="shared" si="23"/>
        <v>11332247049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-1590330714</v>
      </c>
      <c r="E523" s="25">
        <f>SUMIFS('Daftar Koreksi'!$I$5:$I$92,'Daftar Koreksi'!$D$5:$D$92,'1500'!A510,'Daftar Koreksi'!$G$5:$G$92,"Peralatan dan mesin",'Daftar Koreksi'!$I$5:$I$92,"&gt;0")</f>
        <v>0</v>
      </c>
      <c r="F523" s="25">
        <f>SUMIFS('Daftar Koreksi'!$I$5:$I$92,'Daftar Koreksi'!$D$5:$D$92,'1500'!A510,'Daftar Koreksi'!$G$5:$G$92,"Peralatan dan mesin",'Daftar Koreksi'!$I$5:$I$92,"&lt;0")-SUMIFS('Daftar Koreksi'!$I$5:$I$92,'Daftar Koreksi'!$D$5:$D$92,'1500'!A510,'Daftar Koreksi'!$G$5:$G$92,"Peralatan dan mesin",'Daftar Koreksi'!$I$5:$I$92,"&lt;0")-SUMIFS('Daftar Koreksi'!$I$5:$I$92,'Daftar Koreksi'!$D$5:$D$92,'1500'!A510,'Daftar Koreksi'!$G$5:$G$92,"Peralatan dan mesin",'Daftar Koreksi'!$I$5:$I$92,"&lt;0")</f>
        <v>0</v>
      </c>
      <c r="G523" s="17">
        <f t="shared" si="23"/>
        <v>-1590330714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-492971585</v>
      </c>
      <c r="E524" s="25">
        <f>SUMIFS('Daftar Koreksi'!$I$5:$I$92,'Daftar Koreksi'!$D$5:$D$92,'1500'!A510,'Daftar Koreksi'!$G$5:$G$92,"Gedung dan Bangunan",'Daftar Koreksi'!$I$5:$I$92,"&gt;0")</f>
        <v>0</v>
      </c>
      <c r="F524" s="25">
        <f>SUMIFS('Daftar Koreksi'!$I$5:$I$92,'Daftar Koreksi'!$D$5:$D$92,'1500'!A510,'Daftar Koreksi'!$G$5:$G$92,"Gedung dan Bangunan",'Daftar Koreksi'!$I$5:$I$92,"&lt;0")-SUMIFS('Daftar Koreksi'!$I$5:$I$92,'Daftar Koreksi'!$D$5:$D$92,'1500'!A510,'Daftar Koreksi'!$G$5:$G$92,"Gedung dan Bangunan",'Daftar Koreksi'!$I$5:$I$92,"&lt;0")-SUMIFS('Daftar Koreksi'!$I$5:$I$92,'Daftar Koreksi'!$D$5:$D$92,'1500'!A510,'Daftar Koreksi'!$G$5:$G$92,"Gedung dan Bangunan",'Daftar Koreksi'!$I$5:$I$92,"&lt;0")</f>
        <v>0</v>
      </c>
      <c r="G524" s="17">
        <f t="shared" si="23"/>
        <v>-492971585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-1500000</v>
      </c>
      <c r="E525" s="25">
        <f>SUMIFS('Daftar Koreksi'!$I$5:$I$92,'Daftar Koreksi'!$D$5:$D$92,'1500'!A510,'Daftar Koreksi'!$G$5:$G$92,"Jalan Irigasi Jaringan",'Daftar Koreksi'!$I$5:$I$92,"&gt;0")</f>
        <v>0</v>
      </c>
      <c r="F525" s="25">
        <f>SUMIFS('Daftar Koreksi'!$I$5:$I$92,'Daftar Koreksi'!$D$5:$D$92,'1500'!A510,'Daftar Koreksi'!$G$5:$G$92,"Jalan Irigasi Jaringan",'Daftar Koreksi'!$I$5:$I$92,"&lt;0")-SUMIFS('Daftar Koreksi'!$I$5:$I$92,'Daftar Koreksi'!$D$5:$D$92,'1500'!A510,'Daftar Koreksi'!$G$5:$G$92,"Jalan Irigasi Jaringan",'Daftar Koreksi'!$I$5:$I$92,"&lt;0")-SUMIFS('Daftar Koreksi'!$I$5:$I$92,'Daftar Koreksi'!$D$5:$D$92,'1500'!A510,'Daftar Koreksi'!$G$5:$G$92,"Jalan Irigasi Jaringan",'Daftar Koreksi'!$I$5:$I$92,"&lt;0")</f>
        <v>0</v>
      </c>
      <c r="G525" s="17">
        <f t="shared" si="23"/>
        <v>-1500000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Koreksi'!$D$5:$D$92,'1500'!A510,'Daftar Koreksi'!$G$5:$G$92,"Aset Tetap Lainnya",'Daftar Koreksi'!$I$5:$I$92,"&gt;0")</f>
        <v>0</v>
      </c>
      <c r="F526" s="25">
        <f>SUMIFS('Daftar Koreksi'!$I$5:$I$92,'Daftar Koreksi'!$D$5:$D$92,'1500'!A510,'Daftar Koreksi'!$G$5:$G$92,"Aset Tetap Lainnya",'Daftar Koreksi'!$I$5:$I$92,"&lt;0")-SUMIFS('Daftar Koreksi'!$I$5:$I$92,'Daftar Koreksi'!$D$5:$D$92,'1500'!A510,'Daftar Koreksi'!$G$5:$G$92,"Aset Tetap Lainnya",'Daftar Koreksi'!$I$5:$I$92,"&lt;0")-SUMIFS('Daftar Koreksi'!$I$5:$I$92,'Daftar Koreksi'!$D$5:$D$92,'1500'!A510,'Daftar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0</v>
      </c>
      <c r="E527" s="25">
        <f>SUMIFS('Daftar Koreksi'!$I$5:$I$92,'Daftar Koreksi'!$D$5:$D$92,'1500'!A510,'Daftar Koreksi'!$G$5:$G$92,"Aset Henti Guna",'Daftar Koreksi'!$I$5:$I$92,"&gt;0")</f>
        <v>0</v>
      </c>
      <c r="F527" s="25">
        <f>SUMIFS('Daftar Koreksi'!$I$5:$I$92,'Daftar Koreksi'!$D$5:$D$92,'1500'!A510,'Daftar Koreksi'!$G$5:$G$92,"Aset Henti Guna",'Daftar Koreksi'!$I$5:$I$92,"&lt;0")-SUMIFS('Daftar Koreksi'!$I$5:$I$92,'Daftar Koreksi'!$D$5:$D$92,'1500'!A510,'Daftar Koreksi'!$G$5:$G$92,"Aset Henti Guna",'Daftar Koreksi'!$I$5:$I$92,"&lt;0")-SUMIFS('Daftar Koreksi'!$I$5:$I$92,'Daftar Koreksi'!$D$5:$D$92,'1500'!A510,'Daftar Koreksi'!$G$5:$G$92,"Aset Henti Guna",'Daftar Koreksi'!$I$5:$I$92,"&lt;0")</f>
        <v>0</v>
      </c>
      <c r="G527" s="17">
        <f t="shared" si="23"/>
        <v>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-2084802299</v>
      </c>
      <c r="E528" s="19">
        <f>SUM(E523:E527)</f>
        <v>0</v>
      </c>
      <c r="F528" s="19">
        <f>SUM(F523:F527)</f>
        <v>0</v>
      </c>
      <c r="G528" s="19">
        <f t="shared" si="23"/>
        <v>-2084802299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9247444750</v>
      </c>
      <c r="E529" s="19">
        <f>E528+E522</f>
        <v>0</v>
      </c>
      <c r="F529" s="19">
        <f>F528+F522</f>
        <v>0</v>
      </c>
      <c r="G529" s="19">
        <f t="shared" si="23"/>
        <v>9247444750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005011500632043000KD</v>
      </c>
      <c r="B532" s="11" t="str">
        <f>P25</f>
        <v>PA. Banjarbaru</v>
      </c>
      <c r="C532" s="12" t="str">
        <f>A532&amp;" "&amp;B532</f>
        <v>005011500632043000KD PA. Banjarbaru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0</v>
      </c>
      <c r="E535" s="25">
        <f>SUMIFS('Daftar Koreksi'!$H$5:$H$92,'Daftar Koreksi'!$D$5:$D$92,'1500'!A532,'Daftar Koreksi'!$G$5:$G$92,"Persediaan",'Daftar Koreksi'!$H$5:$H$92,"&gt;0")</f>
        <v>0</v>
      </c>
      <c r="F535" s="25">
        <f>SUMIFS('Daftar Koreksi'!$H$5:$H$92,'Daftar Koreksi'!$D$5:$D$92,'1500'!A532,'Daftar Koreksi'!$G$5:$G$92,"Persediaan",'Daftar Koreksi'!$H$5:$H$92,"&lt;0")-SUMIFS('Daftar Koreksi'!$H$5:$H$92,'Daftar Koreksi'!$D$5:$D$92,'1500'!A532,'Daftar Koreksi'!$G$5:$G$92,"Persediaan",'Daftar Koreksi'!$H$5:$H$92,"&lt;0")-SUMIFS('Daftar Koreksi'!$H$5:$H$92,'Daftar Koreksi'!$D$5:$D$92,'1500'!A532,'Daftar Koreksi'!$G$5:$G$92,"Persediaan",'Daftar Koreksi'!$H$5:$H$92,"&lt;0")</f>
        <v>0</v>
      </c>
      <c r="G535" s="17">
        <f>D535+E535-F535</f>
        <v>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117000000</v>
      </c>
      <c r="E536" s="25">
        <f>SUMIFS('Daftar Koreksi'!$H$5:$H$92,'Daftar Koreksi'!$D$5:$D$92,'1500'!A532,'Daftar Koreksi'!$G$5:$G$92,"Tanah",'Daftar Koreksi'!$H$5:$H$92,"&gt;0")</f>
        <v>0</v>
      </c>
      <c r="F536" s="25">
        <f>SUMIFS('Daftar Koreksi'!$H$5:$H$92,'Daftar Koreksi'!$D$5:$D$92,'1500'!A532,'Daftar Koreksi'!$G$5:$G$92,"Tanah",'Daftar Koreksi'!$H$5:$H$92,"&lt;0")-SUMIFS('Daftar Koreksi'!$H$5:$H$92,'Daftar Koreksi'!$D$5:$D$92,'1500'!A532,'Daftar Koreksi'!$G$5:$G$92,"Tanah",'Daftar Koreksi'!$H$5:$H$92,"&lt;0")-SUMIFS('Daftar Koreksi'!$H$5:$H$92,'Daftar Koreksi'!$D$5:$D$92,'1500'!A532,'Daftar Koreksi'!$G$5:$G$92,"Tanah",'Daftar Koreksi'!$H$5:$H$92,"&lt;0")</f>
        <v>0</v>
      </c>
      <c r="G536" s="17">
        <f t="shared" ref="G536:G552" si="24">D536+E536-F536</f>
        <v>117000000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1622066327</v>
      </c>
      <c r="E537" s="25">
        <f>SUMIFS('Daftar Koreksi'!$H$5:$H$92,'Daftar Koreksi'!$D$5:$D$92,'1500'!A532,'Daftar Koreksi'!$G$5:$G$92,"Peralatan dan mesin",'Daftar Koreksi'!$H$5:$H$92,"&gt;0")</f>
        <v>0</v>
      </c>
      <c r="F537" s="25">
        <f>SUMIFS('Daftar Koreksi'!$H$5:$H$92,'Daftar Koreksi'!$D$5:$D$92,'1500'!A532,'Daftar Koreksi'!$G$5:$G$92,"Peralatan dan mesin",'Daftar Koreksi'!$H$5:$H$92,"&lt;0")-SUMIFS('Daftar Koreksi'!$H$5:$H$92,'Daftar Koreksi'!$D$5:$D$92,'1500'!A532,'Daftar Koreksi'!$G$5:$G$92,"Peralatan dan mesin",'Daftar Koreksi'!$H$5:$H$92,"&lt;0")-SUMIFS('Daftar Koreksi'!$H$5:$H$92,'Daftar Koreksi'!$D$5:$D$92,'1500'!A532,'Daftar Koreksi'!$G$5:$G$92,"Peralatan dan mesin",'Daftar Koreksi'!$H$5:$H$92,"&lt;0")</f>
        <v>0</v>
      </c>
      <c r="G537" s="17">
        <f t="shared" si="24"/>
        <v>1622066327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5598864650</v>
      </c>
      <c r="E538" s="25">
        <f>SUMIFS('Daftar Koreksi'!$H$5:$H$92,'Daftar Koreksi'!$D$5:$D$92,'1500'!A532,'Daftar Koreksi'!$G$5:$G$92,"Gedung dan Bangunan",'Daftar Koreksi'!$H$5:$H$92,"&gt;0")</f>
        <v>0</v>
      </c>
      <c r="F538" s="25">
        <f>SUMIFS('Daftar Koreksi'!$H$5:$H$92,'Daftar Koreksi'!$D$5:$D$92,'1500'!A532,'Daftar Koreksi'!$G$5:$G$92,"Gedung dan Bangunan",'Daftar Koreksi'!$H$5:$H$92,"&lt;0")-SUMIFS('Daftar Koreksi'!$H$5:$H$92,'Daftar Koreksi'!$D$5:$D$92,'1500'!A532,'Daftar Koreksi'!$G$5:$G$92,"Gedung dan Bangunan",'Daftar Koreksi'!$H$5:$H$92,"&lt;0")-SUMIFS('Daftar Koreksi'!$H$5:$H$92,'Daftar Koreksi'!$D$5:$D$92,'1500'!A532,'Daftar Koreksi'!$G$5:$G$92,"Gedung dan Bangunan",'Daftar Koreksi'!$H$5:$H$92,"&lt;0")</f>
        <v>0</v>
      </c>
      <c r="G538" s="17">
        <f t="shared" si="24"/>
        <v>5598864650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0</v>
      </c>
      <c r="E539" s="25">
        <f>SUMIFS('Daftar Koreksi'!$H$5:$H$92,'Daftar Koreksi'!$D$5:$D$92,'1500'!A532,'Daftar Koreksi'!$G$5:$G$92,"Jalan Irigasi Jaringan",'Daftar Koreksi'!$H$5:$H$92,"&gt;0")</f>
        <v>0</v>
      </c>
      <c r="F539" s="25">
        <f>SUMIFS('Daftar Koreksi'!$H$5:$H$92,'Daftar Koreksi'!$D$5:$D$92,'1500'!A532,'Daftar Koreksi'!$G$5:$G$92,"Jalan Irigasi Jaringan",'Daftar Koreksi'!$H$5:$H$92,"&lt;0")-SUMIFS('Daftar Koreksi'!$H$5:$H$92,'Daftar Koreksi'!$D$5:$D$92,'1500'!A532,'Daftar Koreksi'!$G$5:$G$92,"Jalan Irigasi Jaringan",'Daftar Koreksi'!$H$5:$H$92,"&lt;0")-SUMIFS('Daftar Koreksi'!$H$5:$H$92,'Daftar Koreksi'!$D$5:$D$92,'1500'!A532,'Daftar Koreksi'!$G$5:$G$92,"Jalan Irigasi Jaringan",'Daftar Koreksi'!$H$5:$H$92,"&lt;0")</f>
        <v>0</v>
      </c>
      <c r="G539" s="17">
        <f t="shared" si="24"/>
        <v>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267556298</v>
      </c>
      <c r="E540" s="25">
        <f>SUMIFS('Daftar Koreksi'!$H$5:$H$92,'Daftar Koreksi'!$D$5:$D$92,'1500'!A532,'Daftar Koreksi'!$G$5:$G$92,"Aset Tetap Lainnya",'Daftar Koreksi'!$H$5:$H$92,"&gt;0")</f>
        <v>0</v>
      </c>
      <c r="F540" s="25">
        <f>SUMIFS('Daftar Koreksi'!$H$5:$H$92,'Daftar Koreksi'!$D$5:$D$92,'1500'!A532,'Daftar Koreksi'!$G$5:$G$92,"Aset Tetap Lainnya",'Daftar Koreksi'!$H$5:$H$92,"&lt;0")-SUMIFS('Daftar Koreksi'!$H$5:$H$92,'Daftar Koreksi'!$D$5:$D$92,'1500'!A532,'Daftar Koreksi'!$G$5:$G$92,"Aset Tetap Lainnya",'Daftar Koreksi'!$H$5:$H$92,"&lt;0")-SUMIFS('Daftar Koreksi'!$H$5:$H$92,'Daftar Koreksi'!$D$5:$D$92,'1500'!A532,'Daftar Koreksi'!$G$5:$G$92,"Aset Tetap Lainnya",'Daftar Koreksi'!$H$5:$H$92,"&lt;0")</f>
        <v>0</v>
      </c>
      <c r="G540" s="17">
        <f t="shared" si="24"/>
        <v>267556298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Koreksi'!$D$5:$D$92,'1500'!A532,'Daftar Koreksi'!$G$5:$G$92,"Kontruksi Dalam Pengerjaan",'Daftar Koreksi'!$H$5:$H$92,"&gt;0")</f>
        <v>0</v>
      </c>
      <c r="F541" s="25">
        <f>SUMIFS('Daftar Koreksi'!$H$5:$H$92,'Daftar Koreksi'!$D$5:$D$92,'1500'!A532,'Daftar Koreksi'!$G$5:$G$92,"Kontruksi Dalam Pengerjaan",'Daftar Koreksi'!$H$5:$H$92,"&lt;0")-SUMIFS('Daftar Koreksi'!$H$5:$H$92,'Daftar Koreksi'!$D$5:$D$92,'1500'!A532,'Daftar Koreksi'!$G$5:$G$92,"Kontruksi Dalam Pengerjaan",'Daftar Koreksi'!$H$5:$H$92,"&lt;0")-SUMIFS('Daftar Koreksi'!$H$5:$H$92,'Daftar Koreksi'!$D$5:$D$92,'1500'!A532,'Daftar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6600000</v>
      </c>
      <c r="E542" s="25">
        <f>SUMIFS('Daftar Koreksi'!$H$5:$H$92,'Daftar Koreksi'!$D$5:$D$92,'1500'!A532,'Daftar Koreksi'!$G$5:$G$92,"Aset Tak Berwujud",'Daftar Koreksi'!$H$5:$H$92,"&gt;0")</f>
        <v>0</v>
      </c>
      <c r="F542" s="25">
        <f>SUMIFS('Daftar Koreksi'!$H$5:$H$92,'Daftar Koreksi'!$D$5:$D$92,'1500'!A532,'Daftar Koreksi'!$G$5:$G$92,"Aset Tak Berwujud",'Daftar Koreksi'!$H$5:$H$92,"&lt;0")-SUMIFS('Daftar Koreksi'!$H$5:$H$92,'Daftar Koreksi'!$D$5:$D$92,'1500'!A532,'Daftar Koreksi'!$G$5:$G$92,"Aset Tak Berwujud",'Daftar Koreksi'!$H$5:$H$92,"&lt;0")-SUMIFS('Daftar Koreksi'!$H$5:$H$92,'Daftar Koreksi'!$D$5:$D$92,'1500'!A532,'Daftar Koreksi'!$G$5:$G$92,"Aset Tak Berwujud",'Daftar Koreksi'!$H$5:$H$92,"&lt;0")</f>
        <v>0</v>
      </c>
      <c r="G542" s="17">
        <f t="shared" si="24"/>
        <v>6600000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0</v>
      </c>
      <c r="E543" s="25">
        <f>SUMIFS('Daftar Koreksi'!$H$5:$H$92,'Daftar Koreksi'!$D$5:$D$92,'1500'!A532,'Daftar Koreksi'!$G$5:$G$92,"Aset Henti Guna",'Daftar Koreksi'!$H$5:$H$92,"&gt;0")</f>
        <v>0</v>
      </c>
      <c r="F543" s="25">
        <f>SUMIFS('Daftar Koreksi'!$H$5:$H$92,'Daftar Koreksi'!$D$5:$D$92,'1500'!A532,'Daftar Koreksi'!$G$5:$G$92,"Aset Henti Guna",'Daftar Koreksi'!$H$5:$H$92,"&lt;0")-SUMIFS('Daftar Koreksi'!$H$5:$H$92,'Daftar Koreksi'!$D$5:$D$92,'1500'!A532,'Daftar Koreksi'!$G$5:$G$92,"Aset Henti Guna",'Daftar Koreksi'!$H$5:$H$92,"&lt;0")-SUMIFS('Daftar Koreksi'!$H$5:$H$92,'Daftar Koreksi'!$D$5:$D$92,'1500'!A532,'Daftar Koreksi'!$G$5:$G$92,"Aset Henti Guna",'Daftar Koreksi'!$H$5:$H$92,"&lt;0")</f>
        <v>0</v>
      </c>
      <c r="G543" s="17">
        <f t="shared" si="24"/>
        <v>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7612087275</v>
      </c>
      <c r="E544" s="19">
        <f>SUM(E535:E543)</f>
        <v>0</v>
      </c>
      <c r="F544" s="19">
        <f>SUM(F535:F543)</f>
        <v>0</v>
      </c>
      <c r="G544" s="19">
        <f t="shared" si="24"/>
        <v>7612087275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-1368967117</v>
      </c>
      <c r="E545" s="25">
        <f>SUMIFS('Daftar Koreksi'!$I$5:$I$92,'Daftar Koreksi'!$D$5:$D$92,'1500'!A532,'Daftar Koreksi'!$G$5:$G$92,"Peralatan dan mesin",'Daftar Koreksi'!$I$5:$I$92,"&gt;0")</f>
        <v>0</v>
      </c>
      <c r="F545" s="25">
        <f>SUMIFS('Daftar Koreksi'!$I$5:$I$92,'Daftar Koreksi'!$D$5:$D$92,'1500'!A532,'Daftar Koreksi'!$G$5:$G$92,"Peralatan dan mesin",'Daftar Koreksi'!$I$5:$I$92,"&lt;0")-SUMIFS('Daftar Koreksi'!$I$5:$I$92,'Daftar Koreksi'!$D$5:$D$92,'1500'!A532,'Daftar Koreksi'!$G$5:$G$92,"Peralatan dan mesin",'Daftar Koreksi'!$I$5:$I$92,"&lt;0")-SUMIFS('Daftar Koreksi'!$I$5:$I$92,'Daftar Koreksi'!$D$5:$D$92,'1500'!A532,'Daftar Koreksi'!$G$5:$G$92,"Peralatan dan mesin",'Daftar Koreksi'!$I$5:$I$92,"&lt;0")</f>
        <v>0</v>
      </c>
      <c r="G545" s="17">
        <f t="shared" si="24"/>
        <v>-1368967117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-1072373560</v>
      </c>
      <c r="E546" s="25">
        <f>SUMIFS('Daftar Koreksi'!$I$5:$I$92,'Daftar Koreksi'!$D$5:$D$92,'1500'!A532,'Daftar Koreksi'!$G$5:$G$92,"Gedung dan Bangunan",'Daftar Koreksi'!$I$5:$I$92,"&gt;0")</f>
        <v>0</v>
      </c>
      <c r="F546" s="25">
        <f>SUMIFS('Daftar Koreksi'!$I$5:$I$92,'Daftar Koreksi'!$D$5:$D$92,'1500'!A532,'Daftar Koreksi'!$G$5:$G$92,"Gedung dan Bangunan",'Daftar Koreksi'!$I$5:$I$92,"&lt;0")-SUMIFS('Daftar Koreksi'!$I$5:$I$92,'Daftar Koreksi'!$D$5:$D$92,'1500'!A532,'Daftar Koreksi'!$G$5:$G$92,"Gedung dan Bangunan",'Daftar Koreksi'!$I$5:$I$92,"&lt;0")-SUMIFS('Daftar Koreksi'!$I$5:$I$92,'Daftar Koreksi'!$D$5:$D$92,'1500'!A532,'Daftar Koreksi'!$G$5:$G$92,"Gedung dan Bangunan",'Daftar Koreksi'!$I$5:$I$92,"&lt;0")</f>
        <v>0</v>
      </c>
      <c r="G546" s="17">
        <f t="shared" si="24"/>
        <v>-1072373560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0</v>
      </c>
      <c r="E547" s="25">
        <f>SUMIFS('Daftar Koreksi'!$I$5:$I$92,'Daftar Koreksi'!$D$5:$D$92,'1500'!A532,'Daftar Koreksi'!$G$5:$G$92,"Jalan Irigasi Jaringan",'Daftar Koreksi'!$I$5:$I$92,"&gt;0")</f>
        <v>0</v>
      </c>
      <c r="F547" s="25">
        <f>SUMIFS('Daftar Koreksi'!$I$5:$I$92,'Daftar Koreksi'!$D$5:$D$92,'1500'!A532,'Daftar Koreksi'!$G$5:$G$92,"Jalan Irigasi Jaringan",'Daftar Koreksi'!$I$5:$I$92,"&lt;0")-SUMIFS('Daftar Koreksi'!$I$5:$I$92,'Daftar Koreksi'!$D$5:$D$92,'1500'!A532,'Daftar Koreksi'!$G$5:$G$92,"Jalan Irigasi Jaringan",'Daftar Koreksi'!$I$5:$I$92,"&lt;0")-SUMIFS('Daftar Koreksi'!$I$5:$I$92,'Daftar Koreksi'!$D$5:$D$92,'1500'!A532,'Daftar Koreksi'!$G$5:$G$92,"Jalan Irigasi Jaringan",'Daftar Koreksi'!$I$5:$I$92,"&lt;0")</f>
        <v>0</v>
      </c>
      <c r="G547" s="17">
        <f t="shared" si="24"/>
        <v>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Koreksi'!$D$5:$D$92,'1500'!A532,'Daftar Koreksi'!$G$5:$G$92,"Aset Tetap Lainnya",'Daftar Koreksi'!$I$5:$I$92,"&gt;0")</f>
        <v>0</v>
      </c>
      <c r="F548" s="25">
        <f>SUMIFS('Daftar Koreksi'!$I$5:$I$92,'Daftar Koreksi'!$D$5:$D$92,'1500'!A532,'Daftar Koreksi'!$G$5:$G$92,"Aset Tetap Lainnya",'Daftar Koreksi'!$I$5:$I$92,"&lt;0")-SUMIFS('Daftar Koreksi'!$I$5:$I$92,'Daftar Koreksi'!$D$5:$D$92,'1500'!A532,'Daftar Koreksi'!$G$5:$G$92,"Aset Tetap Lainnya",'Daftar Koreksi'!$I$5:$I$92,"&lt;0")-SUMIFS('Daftar Koreksi'!$I$5:$I$92,'Daftar Koreksi'!$D$5:$D$92,'1500'!A532,'Daftar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0</v>
      </c>
      <c r="E549" s="25">
        <f>SUMIFS('Daftar Koreksi'!$I$5:$I$92,'Daftar Koreksi'!$D$5:$D$92,'1500'!A532,'Daftar Koreksi'!$G$5:$G$92,"Aset Henti Guna",'Daftar Koreksi'!$I$5:$I$92,"&gt;0")</f>
        <v>0</v>
      </c>
      <c r="F549" s="25">
        <f>SUMIFS('Daftar Koreksi'!$I$5:$I$92,'Daftar Koreksi'!$D$5:$D$92,'1500'!A532,'Daftar Koreksi'!$G$5:$G$92,"Aset Henti Guna",'Daftar Koreksi'!$I$5:$I$92,"&lt;0")-SUMIFS('Daftar Koreksi'!$I$5:$I$92,'Daftar Koreksi'!$D$5:$D$92,'1500'!A532,'Daftar Koreksi'!$G$5:$G$92,"Aset Henti Guna",'Daftar Koreksi'!$I$5:$I$92,"&lt;0")-SUMIFS('Daftar Koreksi'!$I$5:$I$92,'Daftar Koreksi'!$D$5:$D$92,'1500'!A532,'Daftar Koreksi'!$G$5:$G$92,"Aset Henti Guna",'Daftar Koreksi'!$I$5:$I$92,"&lt;0")</f>
        <v>0</v>
      </c>
      <c r="G549" s="17">
        <f t="shared" si="24"/>
        <v>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-2441340677</v>
      </c>
      <c r="E550" s="19">
        <f>SUM(E545:E549)</f>
        <v>0</v>
      </c>
      <c r="F550" s="19">
        <f>SUM(F545:F549)</f>
        <v>0</v>
      </c>
      <c r="G550" s="19">
        <f t="shared" si="24"/>
        <v>-2441340677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5170746598</v>
      </c>
      <c r="E551" s="19">
        <f>E550+E544</f>
        <v>0</v>
      </c>
      <c r="F551" s="19">
        <f>F550+F544</f>
        <v>0</v>
      </c>
      <c r="G551" s="19">
        <f t="shared" si="24"/>
        <v>5170746598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005011500653458000KD</v>
      </c>
      <c r="B554" s="11" t="str">
        <f>P26</f>
        <v>PN. Banjarbaru</v>
      </c>
      <c r="C554" s="12" t="str">
        <f>A554&amp;" "&amp;B554</f>
        <v>005011500653458000KD PN. Banjarbaru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494900</v>
      </c>
      <c r="E557" s="25">
        <f>SUMIFS('Daftar Koreksi'!$H$5:$H$92,'Daftar Koreksi'!$D$5:$D$92,'1500'!A554,'Daftar Koreksi'!$G$5:$G$92,"Persediaan",'Daftar Koreksi'!$H$5:$H$92,"&gt;0")</f>
        <v>0</v>
      </c>
      <c r="F557" s="25">
        <f>SUMIFS('Daftar Koreksi'!$H$5:$H$92,'Daftar Koreksi'!$D$5:$D$92,'1500'!A554,'Daftar Koreksi'!$G$5:$G$92,"Persediaan",'Daftar Koreksi'!$H$5:$H$92,"&lt;0")-SUMIFS('Daftar Koreksi'!$H$5:$H$92,'Daftar Koreksi'!$D$5:$D$92,'1500'!A554,'Daftar Koreksi'!$G$5:$G$92,"Persediaan",'Daftar Koreksi'!$H$5:$H$92,"&lt;0")-SUMIFS('Daftar Koreksi'!$H$5:$H$92,'Daftar Koreksi'!$D$5:$D$92,'1500'!A554,'Daftar Koreksi'!$G$5:$G$92,"Persediaan",'Daftar Koreksi'!$H$5:$H$92,"&lt;0")</f>
        <v>0</v>
      </c>
      <c r="G557" s="17">
        <f>D557+E557-F557</f>
        <v>494900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0</v>
      </c>
      <c r="E558" s="25">
        <f>SUMIFS('Daftar Koreksi'!$H$5:$H$92,'Daftar Koreksi'!$D$5:$D$92,'1500'!A554,'Daftar Koreksi'!$G$5:$G$92,"Tanah",'Daftar Koreksi'!$H$5:$H$92,"&gt;0")</f>
        <v>0</v>
      </c>
      <c r="F558" s="25">
        <f>SUMIFS('Daftar Koreksi'!$H$5:$H$92,'Daftar Koreksi'!$D$5:$D$92,'1500'!A554,'Daftar Koreksi'!$G$5:$G$92,"Tanah",'Daftar Koreksi'!$H$5:$H$92,"&lt;0")-SUMIFS('Daftar Koreksi'!$H$5:$H$92,'Daftar Koreksi'!$D$5:$D$92,'1500'!A554,'Daftar Koreksi'!$G$5:$G$92,"Tanah",'Daftar Koreksi'!$H$5:$H$92,"&lt;0")-SUMIFS('Daftar Koreksi'!$H$5:$H$92,'Daftar Koreksi'!$D$5:$D$92,'1500'!A554,'Daftar Koreksi'!$G$5:$G$92,"Tanah",'Daftar Koreksi'!$H$5:$H$92,"&lt;0")</f>
        <v>0</v>
      </c>
      <c r="G558" s="17">
        <f t="shared" ref="G558:G574" si="25">D558+E558-F558</f>
        <v>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1742441153</v>
      </c>
      <c r="E559" s="25">
        <f>SUMIFS('Daftar Koreksi'!$H$5:$H$92,'Daftar Koreksi'!$D$5:$D$92,'1500'!A554,'Daftar Koreksi'!$G$5:$G$92,"Peralatan dan mesin",'Daftar Koreksi'!$H$5:$H$92,"&gt;0")</f>
        <v>0</v>
      </c>
      <c r="F559" s="25">
        <f>SUMIFS('Daftar Koreksi'!$H$5:$H$92,'Daftar Koreksi'!$D$5:$D$92,'1500'!A554,'Daftar Koreksi'!$G$5:$G$92,"Peralatan dan mesin",'Daftar Koreksi'!$H$5:$H$92,"&lt;0")-SUMIFS('Daftar Koreksi'!$H$5:$H$92,'Daftar Koreksi'!$D$5:$D$92,'1500'!A554,'Daftar Koreksi'!$G$5:$G$92,"Peralatan dan mesin",'Daftar Koreksi'!$H$5:$H$92,"&lt;0")-SUMIFS('Daftar Koreksi'!$H$5:$H$92,'Daftar Koreksi'!$D$5:$D$92,'1500'!A554,'Daftar Koreksi'!$G$5:$G$92,"Peralatan dan mesin",'Daftar Koreksi'!$H$5:$H$92,"&lt;0")</f>
        <v>0</v>
      </c>
      <c r="G559" s="17">
        <f t="shared" si="25"/>
        <v>1742441153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3512779050</v>
      </c>
      <c r="E560" s="25">
        <f>SUMIFS('Daftar Koreksi'!$H$5:$H$92,'Daftar Koreksi'!$D$5:$D$92,'1500'!A554,'Daftar Koreksi'!$G$5:$G$92,"Gedung dan Bangunan",'Daftar Koreksi'!$H$5:$H$92,"&gt;0")</f>
        <v>0</v>
      </c>
      <c r="F560" s="25">
        <f>SUMIFS('Daftar Koreksi'!$H$5:$H$92,'Daftar Koreksi'!$D$5:$D$92,'1500'!A554,'Daftar Koreksi'!$G$5:$G$92,"Gedung dan Bangunan",'Daftar Koreksi'!$H$5:$H$92,"&lt;0")-SUMIFS('Daftar Koreksi'!$H$5:$H$92,'Daftar Koreksi'!$D$5:$D$92,'1500'!A554,'Daftar Koreksi'!$G$5:$G$92,"Gedung dan Bangunan",'Daftar Koreksi'!$H$5:$H$92,"&lt;0")-SUMIFS('Daftar Koreksi'!$H$5:$H$92,'Daftar Koreksi'!$D$5:$D$92,'1500'!A554,'Daftar Koreksi'!$G$5:$G$92,"Gedung dan Bangunan",'Daftar Koreksi'!$H$5:$H$92,"&lt;0")</f>
        <v>0</v>
      </c>
      <c r="G560" s="17">
        <f t="shared" si="25"/>
        <v>3512779050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105162928</v>
      </c>
      <c r="E561" s="25">
        <f>SUMIFS('Daftar Koreksi'!$H$5:$H$92,'Daftar Koreksi'!$D$5:$D$92,'1500'!A554,'Daftar Koreksi'!$G$5:$G$92,"Jalan Irigasi Jaringan",'Daftar Koreksi'!$H$5:$H$92,"&gt;0")</f>
        <v>0</v>
      </c>
      <c r="F561" s="25">
        <f>SUMIFS('Daftar Koreksi'!$H$5:$H$92,'Daftar Koreksi'!$D$5:$D$92,'1500'!A554,'Daftar Koreksi'!$G$5:$G$92,"Jalan Irigasi Jaringan",'Daftar Koreksi'!$H$5:$H$92,"&lt;0")-SUMIFS('Daftar Koreksi'!$H$5:$H$92,'Daftar Koreksi'!$D$5:$D$92,'1500'!A554,'Daftar Koreksi'!$G$5:$G$92,"Jalan Irigasi Jaringan",'Daftar Koreksi'!$H$5:$H$92,"&lt;0")-SUMIFS('Daftar Koreksi'!$H$5:$H$92,'Daftar Koreksi'!$D$5:$D$92,'1500'!A554,'Daftar Koreksi'!$G$5:$G$92,"Jalan Irigasi Jaringan",'Daftar Koreksi'!$H$5:$H$92,"&lt;0")</f>
        <v>0</v>
      </c>
      <c r="G561" s="17">
        <f t="shared" si="25"/>
        <v>105162928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173952968</v>
      </c>
      <c r="E562" s="25">
        <f>SUMIFS('Daftar Koreksi'!$H$5:$H$92,'Daftar Koreksi'!$D$5:$D$92,'1500'!A554,'Daftar Koreksi'!$G$5:$G$92,"Aset Tetap Lainnya",'Daftar Koreksi'!$H$5:$H$92,"&gt;0")</f>
        <v>0</v>
      </c>
      <c r="F562" s="25">
        <f>SUMIFS('Daftar Koreksi'!$H$5:$H$92,'Daftar Koreksi'!$D$5:$D$92,'1500'!A554,'Daftar Koreksi'!$G$5:$G$92,"Aset Tetap Lainnya",'Daftar Koreksi'!$H$5:$H$92,"&lt;0")-SUMIFS('Daftar Koreksi'!$H$5:$H$92,'Daftar Koreksi'!$D$5:$D$92,'1500'!A554,'Daftar Koreksi'!$G$5:$G$92,"Aset Tetap Lainnya",'Daftar Koreksi'!$H$5:$H$92,"&lt;0")-SUMIFS('Daftar Koreksi'!$H$5:$H$92,'Daftar Koreksi'!$D$5:$D$92,'1500'!A554,'Daftar Koreksi'!$G$5:$G$92,"Aset Tetap Lainnya",'Daftar Koreksi'!$H$5:$H$92,"&lt;0")</f>
        <v>0</v>
      </c>
      <c r="G562" s="17">
        <f t="shared" si="25"/>
        <v>173952968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Koreksi'!$D$5:$D$92,'1500'!A554,'Daftar Koreksi'!$G$5:$G$92,"Kontruksi Dalam Pengerjaan",'Daftar Koreksi'!$H$5:$H$92,"&gt;0")</f>
        <v>0</v>
      </c>
      <c r="F563" s="25">
        <f>SUMIFS('Daftar Koreksi'!$H$5:$H$92,'Daftar Koreksi'!$D$5:$D$92,'1500'!A554,'Daftar Koreksi'!$G$5:$G$92,"Kontruksi Dalam Pengerjaan",'Daftar Koreksi'!$H$5:$H$92,"&lt;0")-SUMIFS('Daftar Koreksi'!$H$5:$H$92,'Daftar Koreksi'!$D$5:$D$92,'1500'!A554,'Daftar Koreksi'!$G$5:$G$92,"Kontruksi Dalam Pengerjaan",'Daftar Koreksi'!$H$5:$H$92,"&lt;0")-SUMIFS('Daftar Koreksi'!$H$5:$H$92,'Daftar Koreksi'!$D$5:$D$92,'1500'!A554,'Daftar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Koreksi'!$D$5:$D$92,'1500'!A554,'Daftar Koreksi'!$G$5:$G$92,"Aset Tak Berwujud",'Daftar Koreksi'!$H$5:$H$92,"&gt;0")</f>
        <v>0</v>
      </c>
      <c r="F564" s="25">
        <f>SUMIFS('Daftar Koreksi'!$H$5:$H$92,'Daftar Koreksi'!$D$5:$D$92,'1500'!A554,'Daftar Koreksi'!$G$5:$G$92,"Aset Tak Berwujud",'Daftar Koreksi'!$H$5:$H$92,"&lt;0")-SUMIFS('Daftar Koreksi'!$H$5:$H$92,'Daftar Koreksi'!$D$5:$D$92,'1500'!A554,'Daftar Koreksi'!$G$5:$G$92,"Aset Tak Berwujud",'Daftar Koreksi'!$H$5:$H$92,"&lt;0")-SUMIFS('Daftar Koreksi'!$H$5:$H$92,'Daftar Koreksi'!$D$5:$D$92,'1500'!A554,'Daftar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2000000</v>
      </c>
      <c r="E565" s="25">
        <f>SUMIFS('Daftar Koreksi'!$H$5:$H$92,'Daftar Koreksi'!$D$5:$D$92,'1500'!A554,'Daftar Koreksi'!$G$5:$G$92,"Aset Henti Guna",'Daftar Koreksi'!$H$5:$H$92,"&gt;0")</f>
        <v>0</v>
      </c>
      <c r="F565" s="25">
        <f>SUMIFS('Daftar Koreksi'!$H$5:$H$92,'Daftar Koreksi'!$D$5:$D$92,'1500'!A554,'Daftar Koreksi'!$G$5:$G$92,"Aset Henti Guna",'Daftar Koreksi'!$H$5:$H$92,"&lt;0")-SUMIFS('Daftar Koreksi'!$H$5:$H$92,'Daftar Koreksi'!$D$5:$D$92,'1500'!A554,'Daftar Koreksi'!$G$5:$G$92,"Aset Henti Guna",'Daftar Koreksi'!$H$5:$H$92,"&lt;0")-SUMIFS('Daftar Koreksi'!$H$5:$H$92,'Daftar Koreksi'!$D$5:$D$92,'1500'!A554,'Daftar Koreksi'!$G$5:$G$92,"Aset Henti Guna",'Daftar Koreksi'!$H$5:$H$92,"&lt;0")</f>
        <v>0</v>
      </c>
      <c r="G565" s="17">
        <f t="shared" si="25"/>
        <v>2000000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5536830999</v>
      </c>
      <c r="E566" s="19">
        <f>SUM(E557:E565)</f>
        <v>0</v>
      </c>
      <c r="F566" s="19">
        <f>SUM(F557:F565)</f>
        <v>0</v>
      </c>
      <c r="G566" s="19">
        <f t="shared" si="25"/>
        <v>5536830999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-1522404573</v>
      </c>
      <c r="E567" s="25">
        <f>SUMIFS('Daftar Koreksi'!$I$5:$I$92,'Daftar Koreksi'!$D$5:$D$92,'1500'!A554,'Daftar Koreksi'!$G$5:$G$92,"Peralatan dan mesin",'Daftar Koreksi'!$I$5:$I$92,"&gt;0")</f>
        <v>0</v>
      </c>
      <c r="F567" s="25">
        <f>SUMIFS('Daftar Koreksi'!$I$5:$I$92,'Daftar Koreksi'!$D$5:$D$92,'1500'!A554,'Daftar Koreksi'!$G$5:$G$92,"Peralatan dan mesin",'Daftar Koreksi'!$I$5:$I$92,"&lt;0")-SUMIFS('Daftar Koreksi'!$I$5:$I$92,'Daftar Koreksi'!$D$5:$D$92,'1500'!A554,'Daftar Koreksi'!$G$5:$G$92,"Peralatan dan mesin",'Daftar Koreksi'!$I$5:$I$92,"&lt;0")-SUMIFS('Daftar Koreksi'!$I$5:$I$92,'Daftar Koreksi'!$D$5:$D$92,'1500'!A554,'Daftar Koreksi'!$G$5:$G$92,"Peralatan dan mesin",'Daftar Koreksi'!$I$5:$I$92,"&lt;0")</f>
        <v>0</v>
      </c>
      <c r="G567" s="17">
        <f t="shared" si="25"/>
        <v>-1522404573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-606233847</v>
      </c>
      <c r="E568" s="25">
        <f>SUMIFS('Daftar Koreksi'!$I$5:$I$92,'Daftar Koreksi'!$D$5:$D$92,'1500'!A554,'Daftar Koreksi'!$G$5:$G$92,"Gedung dan Bangunan",'Daftar Koreksi'!$I$5:$I$92,"&gt;0")</f>
        <v>0</v>
      </c>
      <c r="F568" s="25">
        <f>SUMIFS('Daftar Koreksi'!$I$5:$I$92,'Daftar Koreksi'!$D$5:$D$92,'1500'!A554,'Daftar Koreksi'!$G$5:$G$92,"Gedung dan Bangunan",'Daftar Koreksi'!$I$5:$I$92,"&lt;0")-SUMIFS('Daftar Koreksi'!$I$5:$I$92,'Daftar Koreksi'!$D$5:$D$92,'1500'!A554,'Daftar Koreksi'!$G$5:$G$92,"Gedung dan Bangunan",'Daftar Koreksi'!$I$5:$I$92,"&lt;0")-SUMIFS('Daftar Koreksi'!$I$5:$I$92,'Daftar Koreksi'!$D$5:$D$92,'1500'!A554,'Daftar Koreksi'!$G$5:$G$92,"Gedung dan Bangunan",'Daftar Koreksi'!$I$5:$I$92,"&lt;0")</f>
        <v>0</v>
      </c>
      <c r="G568" s="17">
        <f t="shared" si="25"/>
        <v>-606233847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-32560412</v>
      </c>
      <c r="E569" s="25">
        <f>SUMIFS('Daftar Koreksi'!$I$5:$I$92,'Daftar Koreksi'!$D$5:$D$92,'1500'!A554,'Daftar Koreksi'!$G$5:$G$92,"Jalan Irigasi Jaringan",'Daftar Koreksi'!$I$5:$I$92,"&gt;0")</f>
        <v>0</v>
      </c>
      <c r="F569" s="25">
        <f>SUMIFS('Daftar Koreksi'!$I$5:$I$92,'Daftar Koreksi'!$D$5:$D$92,'1500'!A554,'Daftar Koreksi'!$G$5:$G$92,"Jalan Irigasi Jaringan",'Daftar Koreksi'!$I$5:$I$92,"&lt;0")-SUMIFS('Daftar Koreksi'!$I$5:$I$92,'Daftar Koreksi'!$D$5:$D$92,'1500'!A554,'Daftar Koreksi'!$G$5:$G$92,"Jalan Irigasi Jaringan",'Daftar Koreksi'!$I$5:$I$92,"&lt;0")-SUMIFS('Daftar Koreksi'!$I$5:$I$92,'Daftar Koreksi'!$D$5:$D$92,'1500'!A554,'Daftar Koreksi'!$G$5:$G$92,"Jalan Irigasi Jaringan",'Daftar Koreksi'!$I$5:$I$92,"&lt;0")</f>
        <v>0</v>
      </c>
      <c r="G569" s="17">
        <f t="shared" si="25"/>
        <v>-32560412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Koreksi'!$D$5:$D$92,'1500'!A554,'Daftar Koreksi'!$G$5:$G$92,"Aset Tetap Lainnya",'Daftar Koreksi'!$I$5:$I$92,"&gt;0")</f>
        <v>0</v>
      </c>
      <c r="F570" s="25">
        <f>SUMIFS('Daftar Koreksi'!$I$5:$I$92,'Daftar Koreksi'!$D$5:$D$92,'1500'!A554,'Daftar Koreksi'!$G$5:$G$92,"Aset Tetap Lainnya",'Daftar Koreksi'!$I$5:$I$92,"&lt;0")-SUMIFS('Daftar Koreksi'!$I$5:$I$92,'Daftar Koreksi'!$D$5:$D$92,'1500'!A554,'Daftar Koreksi'!$G$5:$G$92,"Aset Tetap Lainnya",'Daftar Koreksi'!$I$5:$I$92,"&lt;0")-SUMIFS('Daftar Koreksi'!$I$5:$I$92,'Daftar Koreksi'!$D$5:$D$92,'1500'!A554,'Daftar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-2000000</v>
      </c>
      <c r="E571" s="25">
        <f>SUMIFS('Daftar Koreksi'!$I$5:$I$92,'Daftar Koreksi'!$D$5:$D$92,'1500'!A554,'Daftar Koreksi'!$G$5:$G$92,"Aset Henti Guna",'Daftar Koreksi'!$I$5:$I$92,"&gt;0")</f>
        <v>0</v>
      </c>
      <c r="F571" s="25">
        <f>SUMIFS('Daftar Koreksi'!$I$5:$I$92,'Daftar Koreksi'!$D$5:$D$92,'1500'!A554,'Daftar Koreksi'!$G$5:$G$92,"Aset Henti Guna",'Daftar Koreksi'!$I$5:$I$92,"&lt;0")-SUMIFS('Daftar Koreksi'!$I$5:$I$92,'Daftar Koreksi'!$D$5:$D$92,'1500'!A554,'Daftar Koreksi'!$G$5:$G$92,"Aset Henti Guna",'Daftar Koreksi'!$I$5:$I$92,"&lt;0")-SUMIFS('Daftar Koreksi'!$I$5:$I$92,'Daftar Koreksi'!$D$5:$D$92,'1500'!A554,'Daftar Koreksi'!$G$5:$G$92,"Aset Henti Guna",'Daftar Koreksi'!$I$5:$I$92,"&lt;0")</f>
        <v>0</v>
      </c>
      <c r="G571" s="17">
        <f t="shared" si="25"/>
        <v>-2000000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-2163198832</v>
      </c>
      <c r="E572" s="19">
        <f>SUM(E567:E571)</f>
        <v>0</v>
      </c>
      <c r="F572" s="19">
        <f>SUM(F567:F571)</f>
        <v>0</v>
      </c>
      <c r="G572" s="19">
        <f t="shared" si="25"/>
        <v>-2163198832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3373632167</v>
      </c>
      <c r="E573" s="19">
        <f>E572+E566</f>
        <v>0</v>
      </c>
      <c r="F573" s="19">
        <f>F572+F566</f>
        <v>0</v>
      </c>
      <c r="G573" s="19">
        <f t="shared" si="25"/>
        <v>3373632167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005011500663232000KD</v>
      </c>
      <c r="B576" s="11" t="str">
        <f>P27</f>
        <v>DILMIL.  I - 06 di Banjarmasin</v>
      </c>
      <c r="C576" s="12" t="str">
        <f>A576&amp;" "&amp;B576</f>
        <v>005011500663232000KD DILMIL.  I - 06 di Banjarmasin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0</v>
      </c>
      <c r="E579" s="25">
        <f>SUMIFS('Daftar Koreksi'!$H$5:$H$92,'Daftar Koreksi'!$D$5:$D$92,'1500'!A576,'Daftar Koreksi'!$G$5:$G$92,"Persediaan",'Daftar Koreksi'!$H$5:$H$92,"&gt;0")</f>
        <v>0</v>
      </c>
      <c r="F579" s="25">
        <f>SUMIFS('Daftar Koreksi'!$H$5:$H$92,'Daftar Koreksi'!$D$5:$D$92,'1500'!A576,'Daftar Koreksi'!$G$5:$G$92,"Persediaan",'Daftar Koreksi'!$H$5:$H$92,"&lt;0")-SUMIFS('Daftar Koreksi'!$H$5:$H$92,'Daftar Koreksi'!$D$5:$D$92,'1500'!A576,'Daftar Koreksi'!$G$5:$G$92,"Persediaan",'Daftar Koreksi'!$H$5:$H$92,"&lt;0")-SUMIFS('Daftar Koreksi'!$H$5:$H$92,'Daftar Koreksi'!$D$5:$D$92,'1500'!A576,'Daftar Koreksi'!$G$5:$G$92,"Persediaan",'Daftar Koreksi'!$H$5:$H$92,"&lt;0")</f>
        <v>0</v>
      </c>
      <c r="G579" s="17">
        <f>D579+E579-F579</f>
        <v>0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982837000</v>
      </c>
      <c r="E580" s="25">
        <f>SUMIFS('Daftar Koreksi'!$H$5:$H$92,'Daftar Koreksi'!$D$5:$D$92,'1500'!A576,'Daftar Koreksi'!$G$5:$G$92,"Tanah",'Daftar Koreksi'!$H$5:$H$92,"&gt;0")</f>
        <v>0</v>
      </c>
      <c r="F580" s="25">
        <f>SUMIFS('Daftar Koreksi'!$H$5:$H$92,'Daftar Koreksi'!$D$5:$D$92,'1500'!A576,'Daftar Koreksi'!$G$5:$G$92,"Tanah",'Daftar Koreksi'!$H$5:$H$92,"&lt;0")-SUMIFS('Daftar Koreksi'!$H$5:$H$92,'Daftar Koreksi'!$D$5:$D$92,'1500'!A576,'Daftar Koreksi'!$G$5:$G$92,"Tanah",'Daftar Koreksi'!$H$5:$H$92,"&lt;0")-SUMIFS('Daftar Koreksi'!$H$5:$H$92,'Daftar Koreksi'!$D$5:$D$92,'1500'!A576,'Daftar Koreksi'!$G$5:$G$92,"Tanah",'Daftar Koreksi'!$H$5:$H$92,"&lt;0")</f>
        <v>0</v>
      </c>
      <c r="G580" s="17">
        <f t="shared" ref="G580:G596" si="26">D580+E580-F580</f>
        <v>982837000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2362240473</v>
      </c>
      <c r="E581" s="25">
        <f>SUMIFS('Daftar Koreksi'!$H$5:$H$92,'Daftar Koreksi'!$D$5:$D$92,'1500'!A576,'Daftar Koreksi'!$G$5:$G$92,"Peralatan dan mesin",'Daftar Koreksi'!$H$5:$H$92,"&gt;0")</f>
        <v>0</v>
      </c>
      <c r="F581" s="25">
        <f>SUMIFS('Daftar Koreksi'!$H$5:$H$92,'Daftar Koreksi'!$D$5:$D$92,'1500'!A576,'Daftar Koreksi'!$G$5:$G$92,"Peralatan dan mesin",'Daftar Koreksi'!$H$5:$H$92,"&lt;0")-SUMIFS('Daftar Koreksi'!$H$5:$H$92,'Daftar Koreksi'!$D$5:$D$92,'1500'!A576,'Daftar Koreksi'!$G$5:$G$92,"Peralatan dan mesin",'Daftar Koreksi'!$H$5:$H$92,"&lt;0")-SUMIFS('Daftar Koreksi'!$H$5:$H$92,'Daftar Koreksi'!$D$5:$D$92,'1500'!A576,'Daftar Koreksi'!$G$5:$G$92,"Peralatan dan mesin",'Daftar Koreksi'!$H$5:$H$92,"&lt;0")</f>
        <v>0</v>
      </c>
      <c r="G581" s="17">
        <f t="shared" si="26"/>
        <v>2362240473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6781164200</v>
      </c>
      <c r="E582" s="25">
        <f>SUMIFS('Daftar Koreksi'!$H$5:$H$92,'Daftar Koreksi'!$D$5:$D$92,'1500'!A576,'Daftar Koreksi'!$G$5:$G$92,"Gedung dan Bangunan",'Daftar Koreksi'!$H$5:$H$92,"&gt;0")</f>
        <v>0</v>
      </c>
      <c r="F582" s="25">
        <f>SUMIFS('Daftar Koreksi'!$H$5:$H$92,'Daftar Koreksi'!$D$5:$D$92,'1500'!A576,'Daftar Koreksi'!$G$5:$G$92,"Gedung dan Bangunan",'Daftar Koreksi'!$H$5:$H$92,"&lt;0")-SUMIFS('Daftar Koreksi'!$H$5:$H$92,'Daftar Koreksi'!$D$5:$D$92,'1500'!A576,'Daftar Koreksi'!$G$5:$G$92,"Gedung dan Bangunan",'Daftar Koreksi'!$H$5:$H$92,"&lt;0")-SUMIFS('Daftar Koreksi'!$H$5:$H$92,'Daftar Koreksi'!$D$5:$D$92,'1500'!A576,'Daftar Koreksi'!$G$5:$G$92,"Gedung dan Bangunan",'Daftar Koreksi'!$H$5:$H$92,"&lt;0")</f>
        <v>0</v>
      </c>
      <c r="G582" s="17">
        <f t="shared" si="26"/>
        <v>6781164200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0</v>
      </c>
      <c r="E583" s="25">
        <f>SUMIFS('Daftar Koreksi'!$H$5:$H$92,'Daftar Koreksi'!$D$5:$D$92,'1500'!A576,'Daftar Koreksi'!$G$5:$G$92,"Jalan Irigasi Jaringan",'Daftar Koreksi'!$H$5:$H$92,"&gt;0")</f>
        <v>0</v>
      </c>
      <c r="F583" s="25">
        <f>SUMIFS('Daftar Koreksi'!$H$5:$H$92,'Daftar Koreksi'!$D$5:$D$92,'1500'!A576,'Daftar Koreksi'!$G$5:$G$92,"Jalan Irigasi Jaringan",'Daftar Koreksi'!$H$5:$H$92,"&lt;0")-SUMIFS('Daftar Koreksi'!$H$5:$H$92,'Daftar Koreksi'!$D$5:$D$92,'1500'!A576,'Daftar Koreksi'!$G$5:$G$92,"Jalan Irigasi Jaringan",'Daftar Koreksi'!$H$5:$H$92,"&lt;0")-SUMIFS('Daftar Koreksi'!$H$5:$H$92,'Daftar Koreksi'!$D$5:$D$92,'1500'!A576,'Daftar Koreksi'!$G$5:$G$92,"Jalan Irigasi Jaringan",'Daftar Koreksi'!$H$5:$H$92,"&lt;0")</f>
        <v>0</v>
      </c>
      <c r="G583" s="17">
        <f t="shared" si="26"/>
        <v>0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0</v>
      </c>
      <c r="E584" s="25">
        <f>SUMIFS('Daftar Koreksi'!$H$5:$H$92,'Daftar Koreksi'!$D$5:$D$92,'1500'!A576,'Daftar Koreksi'!$G$5:$G$92,"Aset Tetap Lainnya",'Daftar Koreksi'!$H$5:$H$92,"&gt;0")</f>
        <v>0</v>
      </c>
      <c r="F584" s="25">
        <f>SUMIFS('Daftar Koreksi'!$H$5:$H$92,'Daftar Koreksi'!$D$5:$D$92,'1500'!A576,'Daftar Koreksi'!$G$5:$G$92,"Aset Tetap Lainnya",'Daftar Koreksi'!$H$5:$H$92,"&lt;0")-SUMIFS('Daftar Koreksi'!$H$5:$H$92,'Daftar Koreksi'!$D$5:$D$92,'1500'!A576,'Daftar Koreksi'!$G$5:$G$92,"Aset Tetap Lainnya",'Daftar Koreksi'!$H$5:$H$92,"&lt;0")-SUMIFS('Daftar Koreksi'!$H$5:$H$92,'Daftar Koreksi'!$D$5:$D$92,'1500'!A576,'Daftar Koreksi'!$G$5:$G$92,"Aset Tetap Lainnya",'Daftar Koreksi'!$H$5:$H$92,"&lt;0")</f>
        <v>0</v>
      </c>
      <c r="G584" s="17">
        <f t="shared" si="26"/>
        <v>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Koreksi'!$D$5:$D$92,'1500'!A576,'Daftar Koreksi'!$G$5:$G$92,"Kontruksi Dalam Pengerjaan",'Daftar Koreksi'!$H$5:$H$92,"&gt;0")</f>
        <v>0</v>
      </c>
      <c r="F585" s="25">
        <f>SUMIFS('Daftar Koreksi'!$H$5:$H$92,'Daftar Koreksi'!$D$5:$D$92,'1500'!A576,'Daftar Koreksi'!$G$5:$G$92,"Kontruksi Dalam Pengerjaan",'Daftar Koreksi'!$H$5:$H$92,"&lt;0")-SUMIFS('Daftar Koreksi'!$H$5:$H$92,'Daftar Koreksi'!$D$5:$D$92,'1500'!A576,'Daftar Koreksi'!$G$5:$G$92,"Kontruksi Dalam Pengerjaan",'Daftar Koreksi'!$H$5:$H$92,"&lt;0")-SUMIFS('Daftar Koreksi'!$H$5:$H$92,'Daftar Koreksi'!$D$5:$D$92,'1500'!A576,'Daftar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92738000</v>
      </c>
      <c r="E586" s="25">
        <f>SUMIFS('Daftar Koreksi'!$H$5:$H$92,'Daftar Koreksi'!$D$5:$D$92,'1500'!A576,'Daftar Koreksi'!$G$5:$G$92,"Aset Tak Berwujud",'Daftar Koreksi'!$H$5:$H$92,"&gt;0")</f>
        <v>0</v>
      </c>
      <c r="F586" s="25">
        <f>SUMIFS('Daftar Koreksi'!$H$5:$H$92,'Daftar Koreksi'!$D$5:$D$92,'1500'!A576,'Daftar Koreksi'!$G$5:$G$92,"Aset Tak Berwujud",'Daftar Koreksi'!$H$5:$H$92,"&lt;0")-SUMIFS('Daftar Koreksi'!$H$5:$H$92,'Daftar Koreksi'!$D$5:$D$92,'1500'!A576,'Daftar Koreksi'!$G$5:$G$92,"Aset Tak Berwujud",'Daftar Koreksi'!$H$5:$H$92,"&lt;0")-SUMIFS('Daftar Koreksi'!$H$5:$H$92,'Daftar Koreksi'!$D$5:$D$92,'1500'!A576,'Daftar Koreksi'!$G$5:$G$92,"Aset Tak Berwujud",'Daftar Koreksi'!$H$5:$H$92,"&lt;0")</f>
        <v>0</v>
      </c>
      <c r="G586" s="17">
        <f t="shared" si="26"/>
        <v>92738000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21000000</v>
      </c>
      <c r="E587" s="25">
        <f>SUMIFS('Daftar Koreksi'!$H$5:$H$92,'Daftar Koreksi'!$D$5:$D$92,'1500'!A576,'Daftar Koreksi'!$G$5:$G$92,"Aset Henti Guna",'Daftar Koreksi'!$H$5:$H$92,"&gt;0")</f>
        <v>0</v>
      </c>
      <c r="F587" s="25">
        <f>SUMIFS('Daftar Koreksi'!$H$5:$H$92,'Daftar Koreksi'!$D$5:$D$92,'1500'!A576,'Daftar Koreksi'!$G$5:$G$92,"Aset Henti Guna",'Daftar Koreksi'!$H$5:$H$92,"&lt;0")-SUMIFS('Daftar Koreksi'!$H$5:$H$92,'Daftar Koreksi'!$D$5:$D$92,'1500'!A576,'Daftar Koreksi'!$G$5:$G$92,"Aset Henti Guna",'Daftar Koreksi'!$H$5:$H$92,"&lt;0")-SUMIFS('Daftar Koreksi'!$H$5:$H$92,'Daftar Koreksi'!$D$5:$D$92,'1500'!A576,'Daftar Koreksi'!$G$5:$G$92,"Aset Henti Guna",'Daftar Koreksi'!$H$5:$H$92,"&lt;0")</f>
        <v>0</v>
      </c>
      <c r="G587" s="17">
        <f t="shared" si="26"/>
        <v>21000000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10239979673</v>
      </c>
      <c r="E588" s="19">
        <f>SUM(E579:E587)</f>
        <v>0</v>
      </c>
      <c r="F588" s="19">
        <f>SUM(F579:F587)</f>
        <v>0</v>
      </c>
      <c r="G588" s="19">
        <f t="shared" si="26"/>
        <v>10239979673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-1820855020</v>
      </c>
      <c r="E589" s="25">
        <f>SUMIFS('Daftar Koreksi'!$I$5:$I$92,'Daftar Koreksi'!$D$5:$D$92,'1500'!A576,'Daftar Koreksi'!$G$5:$G$92,"Peralatan dan mesin",'Daftar Koreksi'!$I$5:$I$92,"&gt;0")</f>
        <v>0</v>
      </c>
      <c r="F589" s="25">
        <f>SUMIFS('Daftar Koreksi'!$I$5:$I$92,'Daftar Koreksi'!$D$5:$D$92,'1500'!A576,'Daftar Koreksi'!$G$5:$G$92,"Peralatan dan mesin",'Daftar Koreksi'!$I$5:$I$92,"&lt;0")-SUMIFS('Daftar Koreksi'!$I$5:$I$92,'Daftar Koreksi'!$D$5:$D$92,'1500'!A576,'Daftar Koreksi'!$G$5:$G$92,"Peralatan dan mesin",'Daftar Koreksi'!$I$5:$I$92,"&lt;0")-SUMIFS('Daftar Koreksi'!$I$5:$I$92,'Daftar Koreksi'!$D$5:$D$92,'1500'!A576,'Daftar Koreksi'!$G$5:$G$92,"Peralatan dan mesin",'Daftar Koreksi'!$I$5:$I$92,"&lt;0")</f>
        <v>0</v>
      </c>
      <c r="G589" s="17">
        <f t="shared" si="26"/>
        <v>-1820855020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-406869852</v>
      </c>
      <c r="E590" s="25">
        <f>SUMIFS('Daftar Koreksi'!$I$5:$I$92,'Daftar Koreksi'!$D$5:$D$92,'1500'!A576,'Daftar Koreksi'!$G$5:$G$92,"Gedung dan Bangunan",'Daftar Koreksi'!$I$5:$I$92,"&gt;0")</f>
        <v>0</v>
      </c>
      <c r="F590" s="25">
        <f>SUMIFS('Daftar Koreksi'!$I$5:$I$92,'Daftar Koreksi'!$D$5:$D$92,'1500'!A576,'Daftar Koreksi'!$G$5:$G$92,"Gedung dan Bangunan",'Daftar Koreksi'!$I$5:$I$92,"&lt;0")-SUMIFS('Daftar Koreksi'!$I$5:$I$92,'Daftar Koreksi'!$D$5:$D$92,'1500'!A576,'Daftar Koreksi'!$G$5:$G$92,"Gedung dan Bangunan",'Daftar Koreksi'!$I$5:$I$92,"&lt;0")-SUMIFS('Daftar Koreksi'!$I$5:$I$92,'Daftar Koreksi'!$D$5:$D$92,'1500'!A576,'Daftar Koreksi'!$G$5:$G$92,"Gedung dan Bangunan",'Daftar Koreksi'!$I$5:$I$92,"&lt;0")</f>
        <v>0</v>
      </c>
      <c r="G590" s="17">
        <f t="shared" si="26"/>
        <v>-406869852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0</v>
      </c>
      <c r="E591" s="25">
        <f>SUMIFS('Daftar Koreksi'!$I$5:$I$92,'Daftar Koreksi'!$D$5:$D$92,'1500'!A576,'Daftar Koreksi'!$G$5:$G$92,"Jalan Irigasi Jaringan",'Daftar Koreksi'!$I$5:$I$92,"&gt;0")</f>
        <v>0</v>
      </c>
      <c r="F591" s="25">
        <f>SUMIFS('Daftar Koreksi'!$I$5:$I$92,'Daftar Koreksi'!$D$5:$D$92,'1500'!A576,'Daftar Koreksi'!$G$5:$G$92,"Jalan Irigasi Jaringan",'Daftar Koreksi'!$I$5:$I$92,"&lt;0")-SUMIFS('Daftar Koreksi'!$I$5:$I$92,'Daftar Koreksi'!$D$5:$D$92,'1500'!A576,'Daftar Koreksi'!$G$5:$G$92,"Jalan Irigasi Jaringan",'Daftar Koreksi'!$I$5:$I$92,"&lt;0")-SUMIFS('Daftar Koreksi'!$I$5:$I$92,'Daftar Koreksi'!$D$5:$D$92,'1500'!A576,'Daftar Koreksi'!$G$5:$G$92,"Jalan Irigasi Jaringan",'Daftar Koreksi'!$I$5:$I$92,"&lt;0")</f>
        <v>0</v>
      </c>
      <c r="G591" s="17">
        <f t="shared" si="26"/>
        <v>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Koreksi'!$D$5:$D$92,'1500'!A576,'Daftar Koreksi'!$G$5:$G$92,"Aset Tetap Lainnya",'Daftar Koreksi'!$I$5:$I$92,"&gt;0")</f>
        <v>0</v>
      </c>
      <c r="F592" s="25">
        <f>SUMIFS('Daftar Koreksi'!$I$5:$I$92,'Daftar Koreksi'!$D$5:$D$92,'1500'!A576,'Daftar Koreksi'!$G$5:$G$92,"Aset Tetap Lainnya",'Daftar Koreksi'!$I$5:$I$92,"&lt;0")-SUMIFS('Daftar Koreksi'!$I$5:$I$92,'Daftar Koreksi'!$D$5:$D$92,'1500'!A576,'Daftar Koreksi'!$G$5:$G$92,"Aset Tetap Lainnya",'Daftar Koreksi'!$I$5:$I$92,"&lt;0")-SUMIFS('Daftar Koreksi'!$I$5:$I$92,'Daftar Koreksi'!$D$5:$D$92,'1500'!A576,'Daftar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-21000000</v>
      </c>
      <c r="E593" s="25">
        <f>SUMIFS('Daftar Koreksi'!$I$5:$I$92,'Daftar Koreksi'!$D$5:$D$92,'1500'!A576,'Daftar Koreksi'!$G$5:$G$92,"Aset Henti Guna",'Daftar Koreksi'!$I$5:$I$92,"&gt;0")</f>
        <v>0</v>
      </c>
      <c r="F593" s="25">
        <f>SUMIFS('Daftar Koreksi'!$I$5:$I$92,'Daftar Koreksi'!$D$5:$D$92,'1500'!A576,'Daftar Koreksi'!$G$5:$G$92,"Aset Henti Guna",'Daftar Koreksi'!$I$5:$I$92,"&lt;0")-SUMIFS('Daftar Koreksi'!$I$5:$I$92,'Daftar Koreksi'!$D$5:$D$92,'1500'!A576,'Daftar Koreksi'!$G$5:$G$92,"Aset Henti Guna",'Daftar Koreksi'!$I$5:$I$92,"&lt;0")-SUMIFS('Daftar Koreksi'!$I$5:$I$92,'Daftar Koreksi'!$D$5:$D$92,'1500'!A576,'Daftar Koreksi'!$G$5:$G$92,"Aset Henti Guna",'Daftar Koreksi'!$I$5:$I$92,"&lt;0")</f>
        <v>0</v>
      </c>
      <c r="G593" s="17">
        <f t="shared" si="26"/>
        <v>-21000000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-2248724872</v>
      </c>
      <c r="E594" s="19">
        <f>SUM(E589:E593)</f>
        <v>0</v>
      </c>
      <c r="F594" s="19">
        <f>SUM(F589:F593)</f>
        <v>0</v>
      </c>
      <c r="G594" s="19">
        <f t="shared" si="26"/>
        <v>-2248724872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7991254801</v>
      </c>
      <c r="E595" s="19">
        <f>E594+E588</f>
        <v>0</v>
      </c>
      <c r="F595" s="19">
        <f>F594+F588</f>
        <v>0</v>
      </c>
      <c r="G595" s="19">
        <f t="shared" si="26"/>
        <v>7991254801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005011500670206000KD</v>
      </c>
      <c r="B598" s="11" t="str">
        <f>P28</f>
        <v>PN. Batulicin</v>
      </c>
      <c r="C598" s="12" t="str">
        <f>A598&amp;" "&amp;B598</f>
        <v>005011500670206000KD PN. Batulicin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0</v>
      </c>
      <c r="E601" s="25">
        <f>SUMIFS('Daftar Koreksi'!$H$5:$H$92,'Daftar Koreksi'!$D$5:$D$92,'1500'!A598,'Daftar Koreksi'!$G$5:$G$92,"Persediaan",'Daftar Koreksi'!$H$5:$H$92,"&gt;0")</f>
        <v>0</v>
      </c>
      <c r="F601" s="25">
        <f>SUMIFS('Daftar Koreksi'!$H$5:$H$92,'Daftar Koreksi'!$D$5:$D$92,'1500'!A598,'Daftar Koreksi'!$G$5:$G$92,"Persediaan",'Daftar Koreksi'!$H$5:$H$92,"&lt;0")-SUMIFS('Daftar Koreksi'!$H$5:$H$92,'Daftar Koreksi'!$D$5:$D$92,'1500'!A598,'Daftar Koreksi'!$G$5:$G$92,"Persediaan",'Daftar Koreksi'!$H$5:$H$92,"&lt;0")-SUMIFS('Daftar Koreksi'!$H$5:$H$92,'Daftar Koreksi'!$D$5:$D$92,'1500'!A598,'Daftar Koreksi'!$G$5:$G$92,"Persediaan",'Daftar Koreksi'!$H$5:$H$92,"&lt;0")</f>
        <v>0</v>
      </c>
      <c r="G601" s="17">
        <f>D601+E601-F601</f>
        <v>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1280217752</v>
      </c>
      <c r="E602" s="25">
        <f>SUMIFS('Daftar Koreksi'!$H$5:$H$92,'Daftar Koreksi'!$D$5:$D$92,'1500'!A598,'Daftar Koreksi'!$G$5:$G$92,"Tanah",'Daftar Koreksi'!$H$5:$H$92,"&gt;0")</f>
        <v>0</v>
      </c>
      <c r="F602" s="25">
        <f>SUMIFS('Daftar Koreksi'!$H$5:$H$92,'Daftar Koreksi'!$D$5:$D$92,'1500'!A598,'Daftar Koreksi'!$G$5:$G$92,"Tanah",'Daftar Koreksi'!$H$5:$H$92,"&lt;0")-SUMIFS('Daftar Koreksi'!$H$5:$H$92,'Daftar Koreksi'!$D$5:$D$92,'1500'!A598,'Daftar Koreksi'!$G$5:$G$92,"Tanah",'Daftar Koreksi'!$H$5:$H$92,"&lt;0")-SUMIFS('Daftar Koreksi'!$H$5:$H$92,'Daftar Koreksi'!$D$5:$D$92,'1500'!A598,'Daftar Koreksi'!$G$5:$G$92,"Tanah",'Daftar Koreksi'!$H$5:$H$92,"&lt;0")</f>
        <v>0</v>
      </c>
      <c r="G602" s="17">
        <f t="shared" ref="G602:G618" si="27">D602+E602-F602</f>
        <v>1280217752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1667378668</v>
      </c>
      <c r="E603" s="25">
        <f>SUMIFS('Daftar Koreksi'!$H$5:$H$92,'Daftar Koreksi'!$D$5:$D$92,'1500'!A598,'Daftar Koreksi'!$G$5:$G$92,"Peralatan dan mesin",'Daftar Koreksi'!$H$5:$H$92,"&gt;0")</f>
        <v>0</v>
      </c>
      <c r="F603" s="25">
        <f>SUMIFS('Daftar Koreksi'!$H$5:$H$92,'Daftar Koreksi'!$D$5:$D$92,'1500'!A598,'Daftar Koreksi'!$G$5:$G$92,"Peralatan dan mesin",'Daftar Koreksi'!$H$5:$H$92,"&lt;0")-SUMIFS('Daftar Koreksi'!$H$5:$H$92,'Daftar Koreksi'!$D$5:$D$92,'1500'!A598,'Daftar Koreksi'!$G$5:$G$92,"Peralatan dan mesin",'Daftar Koreksi'!$H$5:$H$92,"&lt;0")-SUMIFS('Daftar Koreksi'!$H$5:$H$92,'Daftar Koreksi'!$D$5:$D$92,'1500'!A598,'Daftar Koreksi'!$G$5:$G$92,"Peralatan dan mesin",'Daftar Koreksi'!$H$5:$H$92,"&lt;0")</f>
        <v>0</v>
      </c>
      <c r="G603" s="17">
        <f t="shared" si="27"/>
        <v>1667378668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9372548556</v>
      </c>
      <c r="E604" s="25">
        <f>SUMIFS('Daftar Koreksi'!$H$5:$H$92,'Daftar Koreksi'!$D$5:$D$92,'1500'!A598,'Daftar Koreksi'!$G$5:$G$92,"Gedung dan Bangunan",'Daftar Koreksi'!$H$5:$H$92,"&gt;0")</f>
        <v>0</v>
      </c>
      <c r="F604" s="25">
        <f>SUMIFS('Daftar Koreksi'!$H$5:$H$92,'Daftar Koreksi'!$D$5:$D$92,'1500'!A598,'Daftar Koreksi'!$G$5:$G$92,"Gedung dan Bangunan",'Daftar Koreksi'!$H$5:$H$92,"&lt;0")-SUMIFS('Daftar Koreksi'!$H$5:$H$92,'Daftar Koreksi'!$D$5:$D$92,'1500'!A598,'Daftar Koreksi'!$G$5:$G$92,"Gedung dan Bangunan",'Daftar Koreksi'!$H$5:$H$92,"&lt;0")-SUMIFS('Daftar Koreksi'!$H$5:$H$92,'Daftar Koreksi'!$D$5:$D$92,'1500'!A598,'Daftar Koreksi'!$G$5:$G$92,"Gedung dan Bangunan",'Daftar Koreksi'!$H$5:$H$92,"&lt;0")</f>
        <v>0</v>
      </c>
      <c r="G604" s="17">
        <f t="shared" si="27"/>
        <v>9372548556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0</v>
      </c>
      <c r="E605" s="25">
        <f>SUMIFS('Daftar Koreksi'!$H$5:$H$92,'Daftar Koreksi'!$D$5:$D$92,'1500'!A598,'Daftar Koreksi'!$G$5:$G$92,"Jalan Irigasi Jaringan",'Daftar Koreksi'!$H$5:$H$92,"&gt;0")</f>
        <v>0</v>
      </c>
      <c r="F605" s="25">
        <f>SUMIFS('Daftar Koreksi'!$H$5:$H$92,'Daftar Koreksi'!$D$5:$D$92,'1500'!A598,'Daftar Koreksi'!$G$5:$G$92,"Jalan Irigasi Jaringan",'Daftar Koreksi'!$H$5:$H$92,"&lt;0")-SUMIFS('Daftar Koreksi'!$H$5:$H$92,'Daftar Koreksi'!$D$5:$D$92,'1500'!A598,'Daftar Koreksi'!$G$5:$G$92,"Jalan Irigasi Jaringan",'Daftar Koreksi'!$H$5:$H$92,"&lt;0")-SUMIFS('Daftar Koreksi'!$H$5:$H$92,'Daftar Koreksi'!$D$5:$D$92,'1500'!A598,'Daftar Koreksi'!$G$5:$G$92,"Jalan Irigasi Jaringan",'Daftar Koreksi'!$H$5:$H$92,"&lt;0")</f>
        <v>0</v>
      </c>
      <c r="G605" s="17">
        <f t="shared" si="27"/>
        <v>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0</v>
      </c>
      <c r="E606" s="25">
        <f>SUMIFS('Daftar Koreksi'!$H$5:$H$92,'Daftar Koreksi'!$D$5:$D$92,'1500'!A598,'Daftar Koreksi'!$G$5:$G$92,"Aset Tetap Lainnya",'Daftar Koreksi'!$H$5:$H$92,"&gt;0")</f>
        <v>0</v>
      </c>
      <c r="F606" s="25">
        <f>SUMIFS('Daftar Koreksi'!$H$5:$H$92,'Daftar Koreksi'!$D$5:$D$92,'1500'!A598,'Daftar Koreksi'!$G$5:$G$92,"Aset Tetap Lainnya",'Daftar Koreksi'!$H$5:$H$92,"&lt;0")-SUMIFS('Daftar Koreksi'!$H$5:$H$92,'Daftar Koreksi'!$D$5:$D$92,'1500'!A598,'Daftar Koreksi'!$G$5:$G$92,"Aset Tetap Lainnya",'Daftar Koreksi'!$H$5:$H$92,"&lt;0")-SUMIFS('Daftar Koreksi'!$H$5:$H$92,'Daftar Koreksi'!$D$5:$D$92,'1500'!A598,'Daftar Koreksi'!$G$5:$G$92,"Aset Tetap Lainnya",'Daftar Koreksi'!$H$5:$H$92,"&lt;0")</f>
        <v>0</v>
      </c>
      <c r="G606" s="17">
        <f t="shared" si="27"/>
        <v>0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Koreksi'!$D$5:$D$92,'1500'!A598,'Daftar Koreksi'!$G$5:$G$92,"Kontruksi Dalam Pengerjaan",'Daftar Koreksi'!$H$5:$H$92,"&gt;0")</f>
        <v>0</v>
      </c>
      <c r="F607" s="25">
        <f>SUMIFS('Daftar Koreksi'!$H$5:$H$92,'Daftar Koreksi'!$D$5:$D$92,'1500'!A598,'Daftar Koreksi'!$G$5:$G$92,"Kontruksi Dalam Pengerjaan",'Daftar Koreksi'!$H$5:$H$92,"&lt;0")-SUMIFS('Daftar Koreksi'!$H$5:$H$92,'Daftar Koreksi'!$D$5:$D$92,'1500'!A598,'Daftar Koreksi'!$G$5:$G$92,"Kontruksi Dalam Pengerjaan",'Daftar Koreksi'!$H$5:$H$92,"&lt;0")-SUMIFS('Daftar Koreksi'!$H$5:$H$92,'Daftar Koreksi'!$D$5:$D$92,'1500'!A598,'Daftar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31738750</v>
      </c>
      <c r="E608" s="25">
        <f>SUMIFS('Daftar Koreksi'!$H$5:$H$92,'Daftar Koreksi'!$D$5:$D$92,'1500'!A598,'Daftar Koreksi'!$G$5:$G$92,"Aset Tak Berwujud",'Daftar Koreksi'!$H$5:$H$92,"&gt;0")</f>
        <v>0</v>
      </c>
      <c r="F608" s="25">
        <f>SUMIFS('Daftar Koreksi'!$H$5:$H$92,'Daftar Koreksi'!$D$5:$D$92,'1500'!A598,'Daftar Koreksi'!$G$5:$G$92,"Aset Tak Berwujud",'Daftar Koreksi'!$H$5:$H$92,"&lt;0")-SUMIFS('Daftar Koreksi'!$H$5:$H$92,'Daftar Koreksi'!$D$5:$D$92,'1500'!A598,'Daftar Koreksi'!$G$5:$G$92,"Aset Tak Berwujud",'Daftar Koreksi'!$H$5:$H$92,"&lt;0")-SUMIFS('Daftar Koreksi'!$H$5:$H$92,'Daftar Koreksi'!$D$5:$D$92,'1500'!A598,'Daftar Koreksi'!$G$5:$G$92,"Aset Tak Berwujud",'Daftar Koreksi'!$H$5:$H$92,"&lt;0")</f>
        <v>0</v>
      </c>
      <c r="G608" s="17">
        <f t="shared" si="27"/>
        <v>31738750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0</v>
      </c>
      <c r="E609" s="25">
        <f>SUMIFS('Daftar Koreksi'!$H$5:$H$92,'Daftar Koreksi'!$D$5:$D$92,'1500'!A598,'Daftar Koreksi'!$G$5:$G$92,"Aset Henti Guna",'Daftar Koreksi'!$H$5:$H$92,"&gt;0")</f>
        <v>0</v>
      </c>
      <c r="F609" s="25">
        <f>SUMIFS('Daftar Koreksi'!$H$5:$H$92,'Daftar Koreksi'!$D$5:$D$92,'1500'!A598,'Daftar Koreksi'!$G$5:$G$92,"Aset Henti Guna",'Daftar Koreksi'!$H$5:$H$92,"&lt;0")-SUMIFS('Daftar Koreksi'!$H$5:$H$92,'Daftar Koreksi'!$D$5:$D$92,'1500'!A598,'Daftar Koreksi'!$G$5:$G$92,"Aset Henti Guna",'Daftar Koreksi'!$H$5:$H$92,"&lt;0")-SUMIFS('Daftar Koreksi'!$H$5:$H$92,'Daftar Koreksi'!$D$5:$D$92,'1500'!A598,'Daftar Koreksi'!$G$5:$G$92,"Aset Henti Guna",'Daftar Koreksi'!$H$5:$H$92,"&lt;0")</f>
        <v>0</v>
      </c>
      <c r="G609" s="17">
        <f t="shared" si="27"/>
        <v>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12351883726</v>
      </c>
      <c r="E610" s="19">
        <f>SUM(E601:E609)</f>
        <v>0</v>
      </c>
      <c r="F610" s="19">
        <f>SUM(F601:F609)</f>
        <v>0</v>
      </c>
      <c r="G610" s="19">
        <f t="shared" si="27"/>
        <v>12351883726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-1134628805</v>
      </c>
      <c r="E611" s="25">
        <f>SUMIFS('Daftar Koreksi'!$I$5:$I$92,'Daftar Koreksi'!$D$5:$D$92,'1500'!A598,'Daftar Koreksi'!$G$5:$G$92,"Peralatan dan mesin",'Daftar Koreksi'!$I$5:$I$92,"&gt;0")</f>
        <v>0</v>
      </c>
      <c r="F611" s="25">
        <f>SUMIFS('Daftar Koreksi'!$I$5:$I$92,'Daftar Koreksi'!$D$5:$D$92,'1500'!A598,'Daftar Koreksi'!$G$5:$G$92,"Peralatan dan mesin",'Daftar Koreksi'!$I$5:$I$92,"&lt;0")-SUMIFS('Daftar Koreksi'!$I$5:$I$92,'Daftar Koreksi'!$D$5:$D$92,'1500'!A598,'Daftar Koreksi'!$G$5:$G$92,"Peralatan dan mesin",'Daftar Koreksi'!$I$5:$I$92,"&lt;0")-SUMIFS('Daftar Koreksi'!$I$5:$I$92,'Daftar Koreksi'!$D$5:$D$92,'1500'!A598,'Daftar Koreksi'!$G$5:$G$92,"Peralatan dan mesin",'Daftar Koreksi'!$I$5:$I$92,"&lt;0")</f>
        <v>0</v>
      </c>
      <c r="G611" s="17">
        <f t="shared" si="27"/>
        <v>-1134628805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-605103573</v>
      </c>
      <c r="E612" s="25">
        <f>SUMIFS('Daftar Koreksi'!$I$5:$I$92,'Daftar Koreksi'!$D$5:$D$92,'1500'!A598,'Daftar Koreksi'!$G$5:$G$92,"Gedung dan Bangunan",'Daftar Koreksi'!$I$5:$I$92,"&gt;0")</f>
        <v>0</v>
      </c>
      <c r="F612" s="25">
        <f>SUMIFS('Daftar Koreksi'!$I$5:$I$92,'Daftar Koreksi'!$D$5:$D$92,'1500'!A598,'Daftar Koreksi'!$G$5:$G$92,"Gedung dan Bangunan",'Daftar Koreksi'!$I$5:$I$92,"&lt;0")-SUMIFS('Daftar Koreksi'!$I$5:$I$92,'Daftar Koreksi'!$D$5:$D$92,'1500'!A598,'Daftar Koreksi'!$G$5:$G$92,"Gedung dan Bangunan",'Daftar Koreksi'!$I$5:$I$92,"&lt;0")-SUMIFS('Daftar Koreksi'!$I$5:$I$92,'Daftar Koreksi'!$D$5:$D$92,'1500'!A598,'Daftar Koreksi'!$G$5:$G$92,"Gedung dan Bangunan",'Daftar Koreksi'!$I$5:$I$92,"&lt;0")</f>
        <v>0</v>
      </c>
      <c r="G612" s="17">
        <f t="shared" si="27"/>
        <v>-605103573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0</v>
      </c>
      <c r="E613" s="25">
        <f>SUMIFS('Daftar Koreksi'!$I$5:$I$92,'Daftar Koreksi'!$D$5:$D$92,'1500'!A598,'Daftar Koreksi'!$G$5:$G$92,"Jalan Irigasi Jaringan",'Daftar Koreksi'!$I$5:$I$92,"&gt;0")</f>
        <v>0</v>
      </c>
      <c r="F613" s="25">
        <f>SUMIFS('Daftar Koreksi'!$I$5:$I$92,'Daftar Koreksi'!$D$5:$D$92,'1500'!A598,'Daftar Koreksi'!$G$5:$G$92,"Jalan Irigasi Jaringan",'Daftar Koreksi'!$I$5:$I$92,"&lt;0")-SUMIFS('Daftar Koreksi'!$I$5:$I$92,'Daftar Koreksi'!$D$5:$D$92,'1500'!A598,'Daftar Koreksi'!$G$5:$G$92,"Jalan Irigasi Jaringan",'Daftar Koreksi'!$I$5:$I$92,"&lt;0")-SUMIFS('Daftar Koreksi'!$I$5:$I$92,'Daftar Koreksi'!$D$5:$D$92,'1500'!A598,'Daftar Koreksi'!$G$5:$G$92,"Jalan Irigasi Jaringan",'Daftar Koreksi'!$I$5:$I$92,"&lt;0")</f>
        <v>0</v>
      </c>
      <c r="G613" s="17">
        <f t="shared" si="27"/>
        <v>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Koreksi'!$D$5:$D$92,'1500'!A598,'Daftar Koreksi'!$G$5:$G$92,"Aset Tetap Lainnya",'Daftar Koreksi'!$I$5:$I$92,"&gt;0")</f>
        <v>0</v>
      </c>
      <c r="F614" s="25">
        <f>SUMIFS('Daftar Koreksi'!$I$5:$I$92,'Daftar Koreksi'!$D$5:$D$92,'1500'!A598,'Daftar Koreksi'!$G$5:$G$92,"Aset Tetap Lainnya",'Daftar Koreksi'!$I$5:$I$92,"&lt;0")-SUMIFS('Daftar Koreksi'!$I$5:$I$92,'Daftar Koreksi'!$D$5:$D$92,'1500'!A598,'Daftar Koreksi'!$G$5:$G$92,"Aset Tetap Lainnya",'Daftar Koreksi'!$I$5:$I$92,"&lt;0")-SUMIFS('Daftar Koreksi'!$I$5:$I$92,'Daftar Koreksi'!$D$5:$D$92,'1500'!A598,'Daftar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0</v>
      </c>
      <c r="E615" s="25">
        <f>SUMIFS('Daftar Koreksi'!$I$5:$I$92,'Daftar Koreksi'!$D$5:$D$92,'1500'!A598,'Daftar Koreksi'!$G$5:$G$92,"Aset Henti Guna",'Daftar Koreksi'!$I$5:$I$92,"&gt;0")</f>
        <v>0</v>
      </c>
      <c r="F615" s="25">
        <f>SUMIFS('Daftar Koreksi'!$I$5:$I$92,'Daftar Koreksi'!$D$5:$D$92,'1500'!A598,'Daftar Koreksi'!$G$5:$G$92,"Aset Henti Guna",'Daftar Koreksi'!$I$5:$I$92,"&lt;0")-SUMIFS('Daftar Koreksi'!$I$5:$I$92,'Daftar Koreksi'!$D$5:$D$92,'1500'!A598,'Daftar Koreksi'!$G$5:$G$92,"Aset Henti Guna",'Daftar Koreksi'!$I$5:$I$92,"&lt;0")-SUMIFS('Daftar Koreksi'!$I$5:$I$92,'Daftar Koreksi'!$D$5:$D$92,'1500'!A598,'Daftar Koreksi'!$G$5:$G$92,"Aset Henti Guna",'Daftar Koreksi'!$I$5:$I$92,"&lt;0")</f>
        <v>0</v>
      </c>
      <c r="G615" s="17">
        <f t="shared" si="27"/>
        <v>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-1739732378</v>
      </c>
      <c r="E616" s="19">
        <f>SUM(E611:E615)</f>
        <v>0</v>
      </c>
      <c r="F616" s="19">
        <f>SUM(F611:F615)</f>
        <v>0</v>
      </c>
      <c r="G616" s="19">
        <f t="shared" si="27"/>
        <v>-1739732378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10612151348</v>
      </c>
      <c r="E617" s="19">
        <f>E616+E610</f>
        <v>0</v>
      </c>
      <c r="F617" s="19">
        <f>F616+F610</f>
        <v>0</v>
      </c>
      <c r="G617" s="19">
        <f t="shared" si="27"/>
        <v>10612151348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005011500682260000KD</v>
      </c>
      <c r="B620" s="11" t="str">
        <f>P29</f>
        <v>PA. Batulicin</v>
      </c>
      <c r="C620" s="12" t="str">
        <f>A620&amp;" "&amp;B620</f>
        <v>005011500682260000KD PA. Batulicin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0</v>
      </c>
      <c r="E623" s="25">
        <f>SUMIFS('Daftar Koreksi'!$H$5:$H$92,'Daftar Koreksi'!$D$5:$D$92,'1500'!A620,'Daftar Koreksi'!$G$5:$G$92,"Persediaan",'Daftar Koreksi'!$H$5:$H$92,"&gt;0")</f>
        <v>0</v>
      </c>
      <c r="F623" s="25">
        <f>SUMIFS('Daftar Koreksi'!$H$5:$H$92,'Daftar Koreksi'!$D$5:$D$92,'1500'!A620,'Daftar Koreksi'!$G$5:$G$92,"Persediaan",'Daftar Koreksi'!$H$5:$H$92,"&lt;0")-SUMIFS('Daftar Koreksi'!$H$5:$H$92,'Daftar Koreksi'!$D$5:$D$92,'1500'!A620,'Daftar Koreksi'!$G$5:$G$92,"Persediaan",'Daftar Koreksi'!$H$5:$H$92,"&lt;0")-SUMIFS('Daftar Koreksi'!$H$5:$H$92,'Daftar Koreksi'!$D$5:$D$92,'1500'!A620,'Daftar Koreksi'!$G$5:$G$92,"Persediaan",'Daftar Koreksi'!$H$5:$H$92,"&lt;0")</f>
        <v>0</v>
      </c>
      <c r="G623" s="17">
        <f>D623+E623-F623</f>
        <v>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1487500000</v>
      </c>
      <c r="E624" s="25">
        <f>SUMIFS('Daftar Koreksi'!$H$5:$H$92,'Daftar Koreksi'!$D$5:$D$92,'1500'!A620,'Daftar Koreksi'!$G$5:$G$92,"Tanah",'Daftar Koreksi'!$H$5:$H$92,"&gt;0")</f>
        <v>0</v>
      </c>
      <c r="F624" s="25">
        <f>SUMIFS('Daftar Koreksi'!$H$5:$H$92,'Daftar Koreksi'!$D$5:$D$92,'1500'!A620,'Daftar Koreksi'!$G$5:$G$92,"Tanah",'Daftar Koreksi'!$H$5:$H$92,"&lt;0")-SUMIFS('Daftar Koreksi'!$H$5:$H$92,'Daftar Koreksi'!$D$5:$D$92,'1500'!A620,'Daftar Koreksi'!$G$5:$G$92,"Tanah",'Daftar Koreksi'!$H$5:$H$92,"&lt;0")-SUMIFS('Daftar Koreksi'!$H$5:$H$92,'Daftar Koreksi'!$D$5:$D$92,'1500'!A620,'Daftar Koreksi'!$G$5:$G$92,"Tanah",'Daftar Koreksi'!$H$5:$H$92,"&lt;0")</f>
        <v>0</v>
      </c>
      <c r="G624" s="17">
        <f t="shared" ref="G624:G640" si="28">D624+E624-F624</f>
        <v>1487500000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942482640</v>
      </c>
      <c r="E625" s="25">
        <f>SUMIFS('Daftar Koreksi'!$H$5:$H$92,'Daftar Koreksi'!$D$5:$D$92,'1500'!A620,'Daftar Koreksi'!$G$5:$G$92,"Peralatan dan mesin",'Daftar Koreksi'!$H$5:$H$92,"&gt;0")</f>
        <v>0</v>
      </c>
      <c r="F625" s="25">
        <f>SUMIFS('Daftar Koreksi'!$H$5:$H$92,'Daftar Koreksi'!$D$5:$D$92,'1500'!A620,'Daftar Koreksi'!$G$5:$G$92,"Peralatan dan mesin",'Daftar Koreksi'!$H$5:$H$92,"&lt;0")-SUMIFS('Daftar Koreksi'!$H$5:$H$92,'Daftar Koreksi'!$D$5:$D$92,'1500'!A620,'Daftar Koreksi'!$G$5:$G$92,"Peralatan dan mesin",'Daftar Koreksi'!$H$5:$H$92,"&lt;0")-SUMIFS('Daftar Koreksi'!$H$5:$H$92,'Daftar Koreksi'!$D$5:$D$92,'1500'!A620,'Daftar Koreksi'!$G$5:$G$92,"Peralatan dan mesin",'Daftar Koreksi'!$H$5:$H$92,"&lt;0")</f>
        <v>0</v>
      </c>
      <c r="G625" s="17">
        <f t="shared" si="28"/>
        <v>942482640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8464025500</v>
      </c>
      <c r="E626" s="25">
        <f>SUMIFS('Daftar Koreksi'!$H$5:$H$92,'Daftar Koreksi'!$D$5:$D$92,'1500'!A620,'Daftar Koreksi'!$G$5:$G$92,"Gedung dan Bangunan",'Daftar Koreksi'!$H$5:$H$92,"&gt;0")</f>
        <v>0</v>
      </c>
      <c r="F626" s="25">
        <f>SUMIFS('Daftar Koreksi'!$H$5:$H$92,'Daftar Koreksi'!$D$5:$D$92,'1500'!A620,'Daftar Koreksi'!$G$5:$G$92,"Gedung dan Bangunan",'Daftar Koreksi'!$H$5:$H$92,"&lt;0")-SUMIFS('Daftar Koreksi'!$H$5:$H$92,'Daftar Koreksi'!$D$5:$D$92,'1500'!A620,'Daftar Koreksi'!$G$5:$G$92,"Gedung dan Bangunan",'Daftar Koreksi'!$H$5:$H$92,"&lt;0")-SUMIFS('Daftar Koreksi'!$H$5:$H$92,'Daftar Koreksi'!$D$5:$D$92,'1500'!A620,'Daftar Koreksi'!$G$5:$G$92,"Gedung dan Bangunan",'Daftar Koreksi'!$H$5:$H$92,"&lt;0")</f>
        <v>0</v>
      </c>
      <c r="G626" s="17">
        <f t="shared" si="28"/>
        <v>8464025500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Koreksi'!$D$5:$D$92,'1500'!A620,'Daftar Koreksi'!$G$5:$G$92,"Jalan Irigasi Jaringan",'Daftar Koreksi'!$H$5:$H$92,"&gt;0")</f>
        <v>0</v>
      </c>
      <c r="F627" s="25">
        <f>SUMIFS('Daftar Koreksi'!$H$5:$H$92,'Daftar Koreksi'!$D$5:$D$92,'1500'!A620,'Daftar Koreksi'!$G$5:$G$92,"Jalan Irigasi Jaringan",'Daftar Koreksi'!$H$5:$H$92,"&lt;0")-SUMIFS('Daftar Koreksi'!$H$5:$H$92,'Daftar Koreksi'!$D$5:$D$92,'1500'!A620,'Daftar Koreksi'!$G$5:$G$92,"Jalan Irigasi Jaringan",'Daftar Koreksi'!$H$5:$H$92,"&lt;0")-SUMIFS('Daftar Koreksi'!$H$5:$H$92,'Daftar Koreksi'!$D$5:$D$92,'1500'!A620,'Daftar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408000</v>
      </c>
      <c r="E628" s="25">
        <f>SUMIFS('Daftar Koreksi'!$H$5:$H$92,'Daftar Koreksi'!$D$5:$D$92,'1500'!A620,'Daftar Koreksi'!$G$5:$G$92,"Aset Tetap Lainnya",'Daftar Koreksi'!$H$5:$H$92,"&gt;0")</f>
        <v>0</v>
      </c>
      <c r="F628" s="25">
        <f>SUMIFS('Daftar Koreksi'!$H$5:$H$92,'Daftar Koreksi'!$D$5:$D$92,'1500'!A620,'Daftar Koreksi'!$G$5:$G$92,"Aset Tetap Lainnya",'Daftar Koreksi'!$H$5:$H$92,"&lt;0")-SUMIFS('Daftar Koreksi'!$H$5:$H$92,'Daftar Koreksi'!$D$5:$D$92,'1500'!A620,'Daftar Koreksi'!$G$5:$G$92,"Aset Tetap Lainnya",'Daftar Koreksi'!$H$5:$H$92,"&lt;0")-SUMIFS('Daftar Koreksi'!$H$5:$H$92,'Daftar Koreksi'!$D$5:$D$92,'1500'!A620,'Daftar Koreksi'!$G$5:$G$92,"Aset Tetap Lainnya",'Daftar Koreksi'!$H$5:$H$92,"&lt;0")</f>
        <v>0</v>
      </c>
      <c r="G628" s="17">
        <f t="shared" si="28"/>
        <v>408000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Koreksi'!$D$5:$D$92,'1500'!A620,'Daftar Koreksi'!$G$5:$G$92,"Kontruksi Dalam Pengerjaan",'Daftar Koreksi'!$H$5:$H$92,"&gt;0")</f>
        <v>0</v>
      </c>
      <c r="F629" s="25">
        <f>SUMIFS('Daftar Koreksi'!$H$5:$H$92,'Daftar Koreksi'!$D$5:$D$92,'1500'!A620,'Daftar Koreksi'!$G$5:$G$92,"Kontruksi Dalam Pengerjaan",'Daftar Koreksi'!$H$5:$H$92,"&lt;0")-SUMIFS('Daftar Koreksi'!$H$5:$H$92,'Daftar Koreksi'!$D$5:$D$92,'1500'!A620,'Daftar Koreksi'!$G$5:$G$92,"Kontruksi Dalam Pengerjaan",'Daftar Koreksi'!$H$5:$H$92,"&lt;0")-SUMIFS('Daftar Koreksi'!$H$5:$H$92,'Daftar Koreksi'!$D$5:$D$92,'1500'!A620,'Daftar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0</v>
      </c>
      <c r="E630" s="25">
        <f>SUMIFS('Daftar Koreksi'!$H$5:$H$92,'Daftar Koreksi'!$D$5:$D$92,'1500'!A620,'Daftar Koreksi'!$G$5:$G$92,"Aset Tak Berwujud",'Daftar Koreksi'!$H$5:$H$92,"&gt;0")</f>
        <v>0</v>
      </c>
      <c r="F630" s="25">
        <f>SUMIFS('Daftar Koreksi'!$H$5:$H$92,'Daftar Koreksi'!$D$5:$D$92,'1500'!A620,'Daftar Koreksi'!$G$5:$G$92,"Aset Tak Berwujud",'Daftar Koreksi'!$H$5:$H$92,"&lt;0")-SUMIFS('Daftar Koreksi'!$H$5:$H$92,'Daftar Koreksi'!$D$5:$D$92,'1500'!A620,'Daftar Koreksi'!$G$5:$G$92,"Aset Tak Berwujud",'Daftar Koreksi'!$H$5:$H$92,"&lt;0")-SUMIFS('Daftar Koreksi'!$H$5:$H$92,'Daftar Koreksi'!$D$5:$D$92,'1500'!A620,'Daftar Koreksi'!$G$5:$G$92,"Aset Tak Berwujud",'Daftar Koreksi'!$H$5:$H$92,"&lt;0")</f>
        <v>0</v>
      </c>
      <c r="G630" s="17">
        <f t="shared" si="28"/>
        <v>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0</v>
      </c>
      <c r="E631" s="25">
        <f>SUMIFS('Daftar Koreksi'!$H$5:$H$92,'Daftar Koreksi'!$D$5:$D$92,'1500'!A620,'Daftar Koreksi'!$G$5:$G$92,"Aset Henti Guna",'Daftar Koreksi'!$H$5:$H$92,"&gt;0")</f>
        <v>0</v>
      </c>
      <c r="F631" s="25">
        <f>SUMIFS('Daftar Koreksi'!$H$5:$H$92,'Daftar Koreksi'!$D$5:$D$92,'1500'!A620,'Daftar Koreksi'!$G$5:$G$92,"Aset Henti Guna",'Daftar Koreksi'!$H$5:$H$92,"&lt;0")-SUMIFS('Daftar Koreksi'!$H$5:$H$92,'Daftar Koreksi'!$D$5:$D$92,'1500'!A620,'Daftar Koreksi'!$G$5:$G$92,"Aset Henti Guna",'Daftar Koreksi'!$H$5:$H$92,"&lt;0")-SUMIFS('Daftar Koreksi'!$H$5:$H$92,'Daftar Koreksi'!$D$5:$D$92,'1500'!A620,'Daftar Koreksi'!$G$5:$G$92,"Aset Henti Guna",'Daftar Koreksi'!$H$5:$H$92,"&lt;0")</f>
        <v>0</v>
      </c>
      <c r="G631" s="17">
        <f t="shared" si="28"/>
        <v>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10894416140</v>
      </c>
      <c r="E632" s="19">
        <f>SUM(E623:E631)</f>
        <v>0</v>
      </c>
      <c r="F632" s="19">
        <f>SUM(F623:F631)</f>
        <v>0</v>
      </c>
      <c r="G632" s="19">
        <f t="shared" si="28"/>
        <v>10894416140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-280851805</v>
      </c>
      <c r="E633" s="25">
        <f>SUMIFS('Daftar Koreksi'!$I$5:$I$92,'Daftar Koreksi'!$D$5:$D$92,'1500'!A620,'Daftar Koreksi'!$G$5:$G$92,"Peralatan dan mesin",'Daftar Koreksi'!$I$5:$I$92,"&gt;0")</f>
        <v>0</v>
      </c>
      <c r="F633" s="25">
        <f>SUMIFS('Daftar Koreksi'!$I$5:$I$92,'Daftar Koreksi'!$D$5:$D$92,'1500'!A620,'Daftar Koreksi'!$G$5:$G$92,"Peralatan dan mesin",'Daftar Koreksi'!$I$5:$I$92,"&lt;0")-SUMIFS('Daftar Koreksi'!$I$5:$I$92,'Daftar Koreksi'!$D$5:$D$92,'1500'!A620,'Daftar Koreksi'!$G$5:$G$92,"Peralatan dan mesin",'Daftar Koreksi'!$I$5:$I$92,"&lt;0")-SUMIFS('Daftar Koreksi'!$I$5:$I$92,'Daftar Koreksi'!$D$5:$D$92,'1500'!A620,'Daftar Koreksi'!$G$5:$G$92,"Peralatan dan mesin",'Daftar Koreksi'!$I$5:$I$92,"&lt;0")</f>
        <v>0</v>
      </c>
      <c r="G633" s="17">
        <f t="shared" si="28"/>
        <v>-280851805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-360336109</v>
      </c>
      <c r="E634" s="25">
        <f>SUMIFS('Daftar Koreksi'!$I$5:$I$92,'Daftar Koreksi'!$D$5:$D$92,'1500'!A620,'Daftar Koreksi'!$G$5:$G$92,"Gedung dan Bangunan",'Daftar Koreksi'!$I$5:$I$92,"&gt;0")</f>
        <v>0</v>
      </c>
      <c r="F634" s="25">
        <f>SUMIFS('Daftar Koreksi'!$I$5:$I$92,'Daftar Koreksi'!$D$5:$D$92,'1500'!A620,'Daftar Koreksi'!$G$5:$G$92,"Gedung dan Bangunan",'Daftar Koreksi'!$I$5:$I$92,"&lt;0")-SUMIFS('Daftar Koreksi'!$I$5:$I$92,'Daftar Koreksi'!$D$5:$D$92,'1500'!A620,'Daftar Koreksi'!$G$5:$G$92,"Gedung dan Bangunan",'Daftar Koreksi'!$I$5:$I$92,"&lt;0")-SUMIFS('Daftar Koreksi'!$I$5:$I$92,'Daftar Koreksi'!$D$5:$D$92,'1500'!A620,'Daftar Koreksi'!$G$5:$G$92,"Gedung dan Bangunan",'Daftar Koreksi'!$I$5:$I$92,"&lt;0")</f>
        <v>0</v>
      </c>
      <c r="G634" s="17">
        <f t="shared" si="28"/>
        <v>-360336109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Koreksi'!$D$5:$D$92,'1500'!A620,'Daftar Koreksi'!$G$5:$G$92,"Jalan Irigasi Jaringan",'Daftar Koreksi'!$I$5:$I$92,"&gt;0")</f>
        <v>0</v>
      </c>
      <c r="F635" s="25">
        <f>SUMIFS('Daftar Koreksi'!$I$5:$I$92,'Daftar Koreksi'!$D$5:$D$92,'1500'!A620,'Daftar Koreksi'!$G$5:$G$92,"Jalan Irigasi Jaringan",'Daftar Koreksi'!$I$5:$I$92,"&lt;0")-SUMIFS('Daftar Koreksi'!$I$5:$I$92,'Daftar Koreksi'!$D$5:$D$92,'1500'!A620,'Daftar Koreksi'!$G$5:$G$92,"Jalan Irigasi Jaringan",'Daftar Koreksi'!$I$5:$I$92,"&lt;0")-SUMIFS('Daftar Koreksi'!$I$5:$I$92,'Daftar Koreksi'!$D$5:$D$92,'1500'!A620,'Daftar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Koreksi'!$D$5:$D$92,'1500'!A620,'Daftar Koreksi'!$G$5:$G$92,"Aset Tetap Lainnya",'Daftar Koreksi'!$I$5:$I$92,"&gt;0")</f>
        <v>0</v>
      </c>
      <c r="F636" s="25">
        <f>SUMIFS('Daftar Koreksi'!$I$5:$I$92,'Daftar Koreksi'!$D$5:$D$92,'1500'!A620,'Daftar Koreksi'!$G$5:$G$92,"Aset Tetap Lainnya",'Daftar Koreksi'!$I$5:$I$92,"&lt;0")-SUMIFS('Daftar Koreksi'!$I$5:$I$92,'Daftar Koreksi'!$D$5:$D$92,'1500'!A620,'Daftar Koreksi'!$G$5:$G$92,"Aset Tetap Lainnya",'Daftar Koreksi'!$I$5:$I$92,"&lt;0")-SUMIFS('Daftar Koreksi'!$I$5:$I$92,'Daftar Koreksi'!$D$5:$D$92,'1500'!A620,'Daftar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0</v>
      </c>
      <c r="E637" s="25">
        <f>SUMIFS('Daftar Koreksi'!$I$5:$I$92,'Daftar Koreksi'!$D$5:$D$92,'1500'!A620,'Daftar Koreksi'!$G$5:$G$92,"Aset Henti Guna",'Daftar Koreksi'!$I$5:$I$92,"&gt;0")</f>
        <v>0</v>
      </c>
      <c r="F637" s="25">
        <f>SUMIFS('Daftar Koreksi'!$I$5:$I$92,'Daftar Koreksi'!$D$5:$D$92,'1500'!A620,'Daftar Koreksi'!$G$5:$G$92,"Aset Henti Guna",'Daftar Koreksi'!$I$5:$I$92,"&lt;0")-SUMIFS('Daftar Koreksi'!$I$5:$I$92,'Daftar Koreksi'!$D$5:$D$92,'1500'!A620,'Daftar Koreksi'!$G$5:$G$92,"Aset Henti Guna",'Daftar Koreksi'!$I$5:$I$92,"&lt;0")-SUMIFS('Daftar Koreksi'!$I$5:$I$92,'Daftar Koreksi'!$D$5:$D$92,'1500'!A620,'Daftar Koreksi'!$G$5:$G$92,"Aset Henti Guna",'Daftar Koreksi'!$I$5:$I$92,"&lt;0")</f>
        <v>0</v>
      </c>
      <c r="G637" s="17">
        <f t="shared" si="28"/>
        <v>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-641187914</v>
      </c>
      <c r="E638" s="19">
        <f>SUM(E633:E637)</f>
        <v>0</v>
      </c>
      <c r="F638" s="19">
        <f>SUM(F633:F637)</f>
        <v>0</v>
      </c>
      <c r="G638" s="19">
        <f t="shared" si="28"/>
        <v>-641187914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10253228226</v>
      </c>
      <c r="E639" s="19">
        <f>E638+E632</f>
        <v>0</v>
      </c>
      <c r="F639" s="19">
        <f>F638+F632</f>
        <v>0</v>
      </c>
      <c r="G639" s="19">
        <f t="shared" si="28"/>
        <v>10253228226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</sheetData>
  <mergeCells count="174"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621:C622"/>
    <mergeCell ref="D621:D622"/>
    <mergeCell ref="E621:F621"/>
    <mergeCell ref="G621:G622"/>
    <mergeCell ref="H621:H622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3" manualBreakCount="13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57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.855468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521</v>
      </c>
      <c r="P1" s="8" t="s">
        <v>1659</v>
      </c>
    </row>
    <row r="2" spans="1:16" ht="19.5" customHeight="1">
      <c r="C2" s="9" t="s">
        <v>2112</v>
      </c>
      <c r="O2" s="8" t="s">
        <v>522</v>
      </c>
      <c r="P2" s="8" t="s">
        <v>1660</v>
      </c>
    </row>
    <row r="3" spans="1:16" ht="19.5" customHeight="1">
      <c r="O3" s="8" t="s">
        <v>523</v>
      </c>
      <c r="P3" s="8" t="s">
        <v>1661</v>
      </c>
    </row>
    <row r="4" spans="1:16" ht="19.5" customHeight="1">
      <c r="A4" s="11" t="str">
        <f>O1</f>
        <v>005011600099272000KD</v>
      </c>
      <c r="B4" s="11" t="str">
        <f>P1</f>
        <v>PN. Tarakan</v>
      </c>
      <c r="C4" s="12" t="str">
        <f>A4&amp;" "&amp;B4</f>
        <v>005011600099272000KD PN. Tarakan</v>
      </c>
      <c r="D4" s="13"/>
      <c r="E4" s="13"/>
      <c r="F4" s="13"/>
      <c r="G4" s="13"/>
      <c r="H4" s="11"/>
      <c r="O4" s="8" t="s">
        <v>524</v>
      </c>
      <c r="P4" s="8" t="s">
        <v>1662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525</v>
      </c>
      <c r="P5" s="8" t="s">
        <v>1663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526</v>
      </c>
      <c r="P6" s="8" t="s">
        <v>1664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669900</v>
      </c>
      <c r="E7" s="25">
        <f>SUMIFS('Daftar Koreksi'!$H$5:$H$92,'Daftar Koreksi'!$D$5:$D$92,'1600'!A4,'Daftar Koreksi'!$G$5:$G$92,"Persediaan",'Daftar Koreksi'!$H$5:$H$92,"&gt;0")</f>
        <v>0</v>
      </c>
      <c r="F7" s="25">
        <f>SUMIFS('Daftar Koreksi'!$H$5:$H$92,'Daftar Koreksi'!$D$5:$D$92,'1600'!A4,'Daftar Koreksi'!$G$5:$G$92,"Persediaan",'Daftar Koreksi'!$H$5:$H$92,"&lt;0")-SUMIFS('Daftar Koreksi'!$H$5:$H$92,'Daftar Koreksi'!$D$5:$D$92,'1600'!A4,'Daftar Koreksi'!$G$5:$G$92,"Persediaan",'Daftar Koreksi'!$H$5:$H$92,"&lt;0")-SUMIFS('Daftar Koreksi'!$H$5:$H$92,'Daftar Koreksi'!$D$5:$D$92,'1600'!A4,'Daftar Koreksi'!$G$5:$G$92,"Persediaan",'Daftar Koreksi'!$H$5:$H$92,"&lt;0")</f>
        <v>0</v>
      </c>
      <c r="G7" s="17">
        <f>D7+E7-F7</f>
        <v>669900</v>
      </c>
      <c r="H7" s="121" t="str">
        <f>IF(ISNA(VLOOKUP(A4,'Mutasi Neraca'!$A$3:$S$914,19,FALSE)),"-",VLOOKUP(A4,'Mutasi Neraca'!$A$3:$S$914,19,FALSE))</f>
        <v>-</v>
      </c>
      <c r="I7" s="28"/>
      <c r="J7" s="10"/>
      <c r="O7" s="8" t="s">
        <v>527</v>
      </c>
      <c r="P7" s="8" t="s">
        <v>1665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26174709794</v>
      </c>
      <c r="E8" s="25">
        <f>SUMIFS('Daftar Koreksi'!$H$5:$H$92,'Daftar Koreksi'!$D$5:$D$92,'1600'!A4,'Daftar Koreksi'!$G$5:$G$92,"Tanah",'Daftar Koreksi'!$H$5:$H$92,"&gt;0")</f>
        <v>0</v>
      </c>
      <c r="F8" s="25">
        <f>SUMIFS('Daftar Koreksi'!$H$5:$H$92,'Daftar Koreksi'!$D$5:$D$92,'1600'!A4,'Daftar Koreksi'!$G$5:$G$92,"Tanah",'Daftar Koreksi'!$H$5:$H$92,"&lt;0")-SUMIFS('Daftar Koreksi'!$H$5:$H$92,'Daftar Koreksi'!$D$5:$D$92,'1600'!A4,'Daftar Koreksi'!$G$5:$G$92,"Tanah",'Daftar Koreksi'!$H$5:$H$92,"&lt;0")-SUMIFS('Daftar Koreksi'!$H$5:$H$92,'Daftar Koreksi'!$D$5:$D$92,'1600'!A4,'Daftar Koreksi'!$G$5:$G$92,"Tanah",'Daftar Koreksi'!$H$5:$H$92,"&lt;0")</f>
        <v>0</v>
      </c>
      <c r="G8" s="17">
        <f t="shared" ref="G8:G24" si="0">D8+E8-F8</f>
        <v>26174709794</v>
      </c>
      <c r="H8" s="122"/>
      <c r="I8" s="28"/>
      <c r="J8" s="10"/>
      <c r="O8" s="8" t="s">
        <v>528</v>
      </c>
      <c r="P8" s="8" t="s">
        <v>1666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1675465229</v>
      </c>
      <c r="E9" s="25">
        <f>SUMIFS('Daftar Koreksi'!$H$5:$H$92,'Daftar Koreksi'!$D$5:$D$92,'1600'!A4,'Daftar Koreksi'!$G$5:$G$92,"Peralatan dan mesin",'Daftar Koreksi'!$H$5:$H$92,"&gt;0")</f>
        <v>0</v>
      </c>
      <c r="F9" s="25">
        <f>SUMIFS('Daftar Koreksi'!$H$5:$H$92,'Daftar Koreksi'!$D$5:$D$92,'1600'!A4,'Daftar Koreksi'!$G$5:$G$92,"Peralatan dan mesin",'Daftar Koreksi'!$H$5:$H$92,"&lt;0")-SUMIFS('Daftar Koreksi'!$H$5:$H$92,'Daftar Koreksi'!$D$5:$D$92,'1600'!A4,'Daftar Koreksi'!$G$5:$G$92,"Peralatan dan mesin",'Daftar Koreksi'!$H$5:$H$92,"&lt;0")-SUMIFS('Daftar Koreksi'!$H$5:$H$92,'Daftar Koreksi'!$D$5:$D$92,'1600'!A4,'Daftar Koreksi'!$G$5:$G$92,"Peralatan dan mesin",'Daftar Koreksi'!$H$5:$H$92,"&lt;0")</f>
        <v>0</v>
      </c>
      <c r="G9" s="17">
        <f t="shared" si="0"/>
        <v>1675465229</v>
      </c>
      <c r="H9" s="122"/>
      <c r="I9" s="28"/>
      <c r="J9" s="10"/>
      <c r="O9" s="8" t="s">
        <v>529</v>
      </c>
      <c r="P9" s="8" t="s">
        <v>1667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4874152120</v>
      </c>
      <c r="E10" s="25">
        <f>SUMIFS('Daftar Koreksi'!$H$5:$H$92,'Daftar Koreksi'!$D$5:$D$92,'1600'!A4,'Daftar Koreksi'!$G$5:$G$92,"Gedung dan Bangunan",'Daftar Koreksi'!$H$5:$H$92,"&gt;0")</f>
        <v>0</v>
      </c>
      <c r="F10" s="25">
        <f>SUMIFS('Daftar Koreksi'!$H$5:$H$92,'Daftar Koreksi'!$D$5:$D$92,'1600'!A4,'Daftar Koreksi'!$G$5:$G$92,"Gedung dan Bangunan",'Daftar Koreksi'!$H$5:$H$92,"&lt;0")-SUMIFS('Daftar Koreksi'!$H$5:$H$92,'Daftar Koreksi'!$D$5:$D$92,'1600'!A4,'Daftar Koreksi'!$G$5:$G$92,"Gedung dan Bangunan",'Daftar Koreksi'!$H$5:$H$92,"&lt;0")-SUMIFS('Daftar Koreksi'!$H$5:$H$92,'Daftar Koreksi'!$D$5:$D$92,'1600'!A4,'Daftar Koreksi'!$G$5:$G$92,"Gedung dan Bangunan",'Daftar Koreksi'!$H$5:$H$92,"&lt;0")</f>
        <v>0</v>
      </c>
      <c r="G10" s="17">
        <f t="shared" si="0"/>
        <v>4874152120</v>
      </c>
      <c r="H10" s="122"/>
      <c r="I10" s="28"/>
      <c r="J10" s="10"/>
      <c r="O10" s="8" t="s">
        <v>530</v>
      </c>
      <c r="P10" s="8" t="s">
        <v>1668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2240000</v>
      </c>
      <c r="E11" s="25">
        <f>SUMIFS('Daftar Koreksi'!$H$5:$H$92,'Daftar Koreksi'!$D$5:$D$92,'1600'!A4,'Daftar Koreksi'!$G$5:$G$92,"Jalan Irigasi Jaringan",'Daftar Koreksi'!$H$5:$H$92,"&gt;0")</f>
        <v>0</v>
      </c>
      <c r="F11" s="25">
        <f>SUMIFS('Daftar Koreksi'!$H$5:$H$92,'Daftar Koreksi'!$D$5:$D$92,'1600'!A4,'Daftar Koreksi'!$G$5:$G$92,"Jalan Irigasi Jaringan",'Daftar Koreksi'!$H$5:$H$92,"&lt;0")-SUMIFS('Daftar Koreksi'!$H$5:$H$92,'Daftar Koreksi'!$D$5:$D$92,'1600'!A4,'Daftar Koreksi'!$G$5:$G$92,"Jalan Irigasi Jaringan",'Daftar Koreksi'!$H$5:$H$92,"&lt;0")-SUMIFS('Daftar Koreksi'!$H$5:$H$92,'Daftar Koreksi'!$D$5:$D$92,'1600'!A4,'Daftar Koreksi'!$G$5:$G$92,"Jalan Irigasi Jaringan",'Daftar Koreksi'!$H$5:$H$92,"&lt;0")</f>
        <v>0</v>
      </c>
      <c r="G11" s="17">
        <f t="shared" si="0"/>
        <v>2240000</v>
      </c>
      <c r="H11" s="122"/>
      <c r="I11" s="28"/>
      <c r="J11" s="10"/>
      <c r="O11" s="8" t="s">
        <v>531</v>
      </c>
      <c r="P11" s="8" t="s">
        <v>1669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30020190</v>
      </c>
      <c r="E12" s="25">
        <f>SUMIFS('Daftar Koreksi'!$H$5:$H$92,'Daftar Koreksi'!$D$5:$D$92,'1600'!A4,'Daftar Koreksi'!$G$5:$G$92,"Aset Tetap Lainnya",'Daftar Koreksi'!$H$5:$H$92,"&gt;0")</f>
        <v>0</v>
      </c>
      <c r="F12" s="25">
        <f>SUMIFS('Daftar Koreksi'!$H$5:$H$92,'Daftar Koreksi'!$D$5:$D$92,'1600'!A4,'Daftar Koreksi'!$G$5:$G$92,"Aset Tetap Lainnya",'Daftar Koreksi'!$H$5:$H$92,"&lt;0")-SUMIFS('Daftar Koreksi'!$H$5:$H$92,'Daftar Koreksi'!$D$5:$D$92,'1600'!A4,'Daftar Koreksi'!$G$5:$G$92,"Aset Tetap Lainnya",'Daftar Koreksi'!$H$5:$H$92,"&lt;0")-SUMIFS('Daftar Koreksi'!$H$5:$H$92,'Daftar Koreksi'!$D$5:$D$92,'1600'!A4,'Daftar Koreksi'!$G$5:$G$92,"Aset Tetap Lainnya",'Daftar Koreksi'!$H$5:$H$92,"&lt;0")</f>
        <v>0</v>
      </c>
      <c r="G12" s="17">
        <f t="shared" si="0"/>
        <v>30020190</v>
      </c>
      <c r="H12" s="122"/>
      <c r="I12" s="28"/>
      <c r="J12" s="10"/>
      <c r="O12" s="8" t="s">
        <v>532</v>
      </c>
      <c r="P12" s="8" t="s">
        <v>1670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Koreksi'!$D$5:$D$92,'1600'!A4,'Daftar Koreksi'!$G$5:$G$92,"Kontruksi Dalam Pengerjaan",'Daftar Koreksi'!$H$5:$H$92,"&gt;0")</f>
        <v>0</v>
      </c>
      <c r="F13" s="25">
        <f>SUMIFS('Daftar Koreksi'!$H$5:$H$92,'Daftar Koreksi'!$D$5:$D$92,'1600'!A4,'Daftar Koreksi'!$G$5:$G$92,"Kontruksi Dalam Pengerjaan",'Daftar Koreksi'!$H$5:$H$92,"&lt;0")-SUMIFS('Daftar Koreksi'!$H$5:$H$92,'Daftar Koreksi'!$D$5:$D$92,'1600'!A4,'Daftar Koreksi'!$G$5:$G$92,"Kontruksi Dalam Pengerjaan",'Daftar Koreksi'!$H$5:$H$92,"&lt;0")-SUMIFS('Daftar Koreksi'!$H$5:$H$92,'Daftar Koreksi'!$D$5:$D$92,'1600'!A4,'Daftar Koreksi'!$G$5:$G$92,"Kontruksi Dalam Pengerjaan",'Daftar Koreksi'!$H$5:$H$92,"&lt;0")</f>
        <v>0</v>
      </c>
      <c r="G13" s="17">
        <f t="shared" si="0"/>
        <v>0</v>
      </c>
      <c r="H13" s="122"/>
      <c r="I13" s="28"/>
      <c r="O13" s="8" t="s">
        <v>533</v>
      </c>
      <c r="P13" s="8" t="s">
        <v>1671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Koreksi'!$D$5:$D$92,'1600'!A4,'Daftar Koreksi'!$G$5:$G$92,"Aset Tak Berwujud",'Daftar Koreksi'!$H$5:$H$92,"&gt;0")</f>
        <v>0</v>
      </c>
      <c r="F14" s="25">
        <f>SUMIFS('Daftar Koreksi'!$H$5:$H$92,'Daftar Koreksi'!$D$5:$D$92,'1600'!A4,'Daftar Koreksi'!$G$5:$G$92,"Aset Tak Berwujud",'Daftar Koreksi'!$H$5:$H$92,"&lt;0")-SUMIFS('Daftar Koreksi'!$H$5:$H$92,'Daftar Koreksi'!$D$5:$D$92,'1600'!A4,'Daftar Koreksi'!$G$5:$G$92,"Aset Tak Berwujud",'Daftar Koreksi'!$H$5:$H$92,"&lt;0")-SUMIFS('Daftar Koreksi'!$H$5:$H$92,'Daftar Koreksi'!$D$5:$D$92,'1600'!A4,'Daftar Koreksi'!$G$5:$G$92,"Aset Tak Berwujud",'Daftar Koreksi'!$H$5:$H$92,"&lt;0")</f>
        <v>0</v>
      </c>
      <c r="G14" s="17">
        <f t="shared" si="0"/>
        <v>0</v>
      </c>
      <c r="H14" s="122"/>
      <c r="I14" s="28"/>
      <c r="O14" s="8" t="s">
        <v>534</v>
      </c>
      <c r="P14" s="8" t="s">
        <v>1672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2980000</v>
      </c>
      <c r="E15" s="25">
        <f>SUMIFS('Daftar Koreksi'!$H$5:$H$92,'Daftar Koreksi'!$D$5:$D$92,'1600'!A4,'Daftar Koreksi'!$G$5:$G$92,"Aset Henti Guna",'Daftar Koreksi'!$H$5:$H$92,"&gt;0")</f>
        <v>0</v>
      </c>
      <c r="F15" s="25">
        <f>SUMIFS('Daftar Koreksi'!$H$5:$H$92,'Daftar Koreksi'!$D$5:$D$92,'1600'!A4,'Daftar Koreksi'!$G$5:$G$92,"Aset Henti Guna",'Daftar Koreksi'!$H$5:$H$92,"&lt;0")-SUMIFS('Daftar Koreksi'!$H$5:$H$92,'Daftar Koreksi'!$D$5:$D$92,'1600'!A4,'Daftar Koreksi'!$G$5:$G$92,"Aset Henti Guna",'Daftar Koreksi'!$H$5:$H$92,"&lt;0")-SUMIFS('Daftar Koreksi'!$H$5:$H$92,'Daftar Koreksi'!$D$5:$D$92,'1600'!A4,'Daftar Koreksi'!$G$5:$G$92,"Aset Henti Guna",'Daftar Koreksi'!$H$5:$H$92,"&lt;0")</f>
        <v>0</v>
      </c>
      <c r="G15" s="17">
        <f t="shared" si="0"/>
        <v>2980000</v>
      </c>
      <c r="H15" s="122"/>
      <c r="I15" s="28"/>
      <c r="J15" s="10"/>
      <c r="O15" s="8" t="s">
        <v>535</v>
      </c>
      <c r="P15" s="8" t="s">
        <v>1673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32760237233</v>
      </c>
      <c r="E16" s="19">
        <f>SUM(E7:E15)</f>
        <v>0</v>
      </c>
      <c r="F16" s="19">
        <f>SUM(F7:F15)</f>
        <v>0</v>
      </c>
      <c r="G16" s="19">
        <f t="shared" si="0"/>
        <v>32760237233</v>
      </c>
      <c r="H16" s="122"/>
      <c r="I16" s="28"/>
      <c r="O16" s="8" t="s">
        <v>536</v>
      </c>
      <c r="P16" s="8" t="s">
        <v>1674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-1175463436</v>
      </c>
      <c r="E17" s="25">
        <f>SUMIFS('Daftar Koreksi'!$I$5:$I$92,'Daftar Koreksi'!$D$5:$D$92,'1600'!A4,'Daftar Koreksi'!$G$5:$G$92,"Peralatan dan mesin",'Daftar Koreksi'!$I$5:$I$92,"&gt;0")</f>
        <v>0</v>
      </c>
      <c r="F17" s="25">
        <f>SUMIFS('Daftar Koreksi'!$I$5:$I$92,'Daftar Koreksi'!$D$5:$D$92,'1600'!A4,'Daftar Koreksi'!$G$5:$G$92,"Peralatan dan mesin",'Daftar Koreksi'!$I$5:$I$92,"&lt;0")-SUMIFS('Daftar Koreksi'!$I$5:$I$92,'Daftar Koreksi'!$D$5:$D$92,'1600'!A4,'Daftar Koreksi'!$G$5:$G$92,"Peralatan dan mesin",'Daftar Koreksi'!$I$5:$I$92,"&lt;0")-SUMIFS('Daftar Koreksi'!$I$5:$I$92,'Daftar Koreksi'!$D$5:$D$92,'1600'!A4,'Daftar Koreksi'!$G$5:$G$92,"Peralatan dan mesin",'Daftar Koreksi'!$I$5:$I$92,"&lt;0")</f>
        <v>0</v>
      </c>
      <c r="G17" s="17">
        <f t="shared" si="0"/>
        <v>-1175463436</v>
      </c>
      <c r="H17" s="122"/>
      <c r="I17" s="28"/>
      <c r="J17" s="10"/>
      <c r="O17" s="8" t="s">
        <v>537</v>
      </c>
      <c r="P17" s="8" t="s">
        <v>1675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-3358305396</v>
      </c>
      <c r="E18" s="25">
        <f>SUMIFS('Daftar Koreksi'!$I$5:$I$92,'Daftar Koreksi'!$D$5:$D$92,'1600'!A4,'Daftar Koreksi'!$G$5:$G$92,"Gedung dan Bangunan",'Daftar Koreksi'!$I$5:$I$92,"&gt;0")</f>
        <v>0</v>
      </c>
      <c r="F18" s="25">
        <f>SUMIFS('Daftar Koreksi'!$I$5:$I$92,'Daftar Koreksi'!$D$5:$D$92,'1600'!A4,'Daftar Koreksi'!$G$5:$G$92,"Gedung dan Bangunan",'Daftar Koreksi'!$I$5:$I$92,"&lt;0")-SUMIFS('Daftar Koreksi'!$I$5:$I$92,'Daftar Koreksi'!$D$5:$D$92,'1600'!A4,'Daftar Koreksi'!$G$5:$G$92,"Gedung dan Bangunan",'Daftar Koreksi'!$I$5:$I$92,"&lt;0")-SUMIFS('Daftar Koreksi'!$I$5:$I$92,'Daftar Koreksi'!$D$5:$D$92,'1600'!A4,'Daftar Koreksi'!$G$5:$G$92,"Gedung dan Bangunan",'Daftar Koreksi'!$I$5:$I$92,"&lt;0")</f>
        <v>0</v>
      </c>
      <c r="G18" s="17">
        <f t="shared" si="0"/>
        <v>-3358305396</v>
      </c>
      <c r="H18" s="122"/>
      <c r="I18" s="28"/>
      <c r="J18" s="10"/>
      <c r="O18" s="8" t="s">
        <v>538</v>
      </c>
      <c r="P18" s="8" t="s">
        <v>1676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-2240000</v>
      </c>
      <c r="E19" s="25">
        <f>SUMIFS('Daftar Koreksi'!$I$5:$I$92,'Daftar Koreksi'!$D$5:$D$92,'1600'!A4,'Daftar Koreksi'!$G$5:$G$92,"Jalan Irigasi Jaringan",'Daftar Koreksi'!$I$5:$I$92,"&gt;0")</f>
        <v>0</v>
      </c>
      <c r="F19" s="25">
        <f>SUMIFS('Daftar Koreksi'!$I$5:$I$92,'Daftar Koreksi'!$D$5:$D$92,'1600'!A4,'Daftar Koreksi'!$G$5:$G$92,"Jalan Irigasi Jaringan",'Daftar Koreksi'!$I$5:$I$92,"&lt;0")-SUMIFS('Daftar Koreksi'!$I$5:$I$92,'Daftar Koreksi'!$D$5:$D$92,'1600'!A4,'Daftar Koreksi'!$G$5:$G$92,"Jalan Irigasi Jaringan",'Daftar Koreksi'!$I$5:$I$92,"&lt;0")-SUMIFS('Daftar Koreksi'!$I$5:$I$92,'Daftar Koreksi'!$D$5:$D$92,'1600'!A4,'Daftar Koreksi'!$G$5:$G$92,"Jalan Irigasi Jaringan",'Daftar Koreksi'!$I$5:$I$92,"&lt;0")</f>
        <v>0</v>
      </c>
      <c r="G19" s="17">
        <f t="shared" si="0"/>
        <v>-2240000</v>
      </c>
      <c r="H19" s="122"/>
      <c r="I19" s="28"/>
      <c r="O19" s="8" t="s">
        <v>539</v>
      </c>
      <c r="P19" s="8" t="s">
        <v>1677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Koreksi'!$D$5:$D$92,'1600'!A4,'Daftar Koreksi'!$G$5:$G$92,"Aset Tetap Lainnya",'Daftar Koreksi'!$I$5:$I$92,"&gt;0")</f>
        <v>0</v>
      </c>
      <c r="F20" s="25">
        <f>SUMIFS('Daftar Koreksi'!$I$5:$I$92,'Daftar Koreksi'!$D$5:$D$92,'1600'!A4,'Daftar Koreksi'!$G$5:$G$92,"Aset Tetap Lainnya",'Daftar Koreksi'!$I$5:$I$92,"&lt;0")-SUMIFS('Daftar Koreksi'!$I$5:$I$92,'Daftar Koreksi'!$D$5:$D$92,'1600'!A4,'Daftar Koreksi'!$G$5:$G$92,"Aset Tetap Lainnya",'Daftar Koreksi'!$I$5:$I$92,"&lt;0")-SUMIFS('Daftar Koreksi'!$I$5:$I$92,'Daftar Koreksi'!$D$5:$D$92,'1600'!A4,'Daftar Koreksi'!$G$5:$G$92,"Aset Tetap Lainnya",'Daftar Koreksi'!$I$5:$I$92,"&lt;0")</f>
        <v>0</v>
      </c>
      <c r="G20" s="17">
        <f t="shared" si="0"/>
        <v>0</v>
      </c>
      <c r="H20" s="122"/>
      <c r="I20" s="28"/>
      <c r="O20" s="8" t="s">
        <v>540</v>
      </c>
      <c r="P20" s="8" t="s">
        <v>1678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-2980000</v>
      </c>
      <c r="E21" s="25">
        <f>SUMIFS('Daftar Koreksi'!$I$5:$I$92,'Daftar Koreksi'!$D$5:$D$92,'1600'!A4,'Daftar Koreksi'!$G$5:$G$92,"Aset Henti Guna",'Daftar Koreksi'!$I$5:$I$92,"&gt;0")</f>
        <v>0</v>
      </c>
      <c r="F21" s="25">
        <f>SUMIFS('Daftar Koreksi'!$I$5:$I$92,'Daftar Koreksi'!$D$5:$D$92,'1600'!A4,'Daftar Koreksi'!$G$5:$G$92,"Aset Henti Guna",'Daftar Koreksi'!$I$5:$I$92,"&lt;0")-SUMIFS('Daftar Koreksi'!$I$5:$I$92,'Daftar Koreksi'!$D$5:$D$92,'1600'!A4,'Daftar Koreksi'!$G$5:$G$92,"Aset Henti Guna",'Daftar Koreksi'!$I$5:$I$92,"&lt;0")-SUMIFS('Daftar Koreksi'!$I$5:$I$92,'Daftar Koreksi'!$D$5:$D$92,'1600'!A4,'Daftar Koreksi'!$G$5:$G$92,"Aset Henti Guna",'Daftar Koreksi'!$I$5:$I$92,"&lt;0")</f>
        <v>0</v>
      </c>
      <c r="G21" s="17">
        <f t="shared" si="0"/>
        <v>-2980000</v>
      </c>
      <c r="H21" s="122"/>
      <c r="I21" s="28"/>
      <c r="J21" s="10"/>
      <c r="O21" s="8" t="s">
        <v>541</v>
      </c>
      <c r="P21" s="8" t="s">
        <v>1679</v>
      </c>
    </row>
    <row r="22" spans="1:16" ht="21.95" customHeight="1">
      <c r="A22" s="14"/>
      <c r="B22" s="14"/>
      <c r="C22" s="18" t="s">
        <v>2094</v>
      </c>
      <c r="D22" s="19">
        <f>SUM(D17:D21)</f>
        <v>-4538988832</v>
      </c>
      <c r="E22" s="19">
        <f>SUM(E17:E21)</f>
        <v>0</v>
      </c>
      <c r="F22" s="19">
        <f>SUM(F17:F21)</f>
        <v>0</v>
      </c>
      <c r="G22" s="19">
        <f t="shared" si="0"/>
        <v>-4538988832</v>
      </c>
      <c r="H22" s="122"/>
      <c r="O22" s="8" t="s">
        <v>542</v>
      </c>
      <c r="P22" s="8" t="s">
        <v>1680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28221248401</v>
      </c>
      <c r="E23" s="19">
        <f>E22+E16</f>
        <v>0</v>
      </c>
      <c r="F23" s="19">
        <f>F22+F16</f>
        <v>0</v>
      </c>
      <c r="G23" s="19">
        <f t="shared" si="0"/>
        <v>28221248401</v>
      </c>
      <c r="H23" s="122"/>
      <c r="O23" s="8" t="s">
        <v>543</v>
      </c>
      <c r="P23" s="8" t="s">
        <v>1681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544</v>
      </c>
      <c r="P24" s="8" t="s">
        <v>1682</v>
      </c>
    </row>
    <row r="25" spans="1:16" ht="19.5" customHeight="1">
      <c r="O25" s="8" t="s">
        <v>545</v>
      </c>
      <c r="P25" s="8" t="s">
        <v>1683</v>
      </c>
    </row>
    <row r="26" spans="1:16" ht="19.5" customHeight="1">
      <c r="A26" s="11" t="str">
        <f>O2</f>
        <v>005011600099286000KD</v>
      </c>
      <c r="B26" s="11" t="str">
        <f>P2</f>
        <v>PN. Samarinda</v>
      </c>
      <c r="C26" s="12" t="str">
        <f>A26&amp;" "&amp;B26</f>
        <v>005011600099286000KD PN. Samarinda</v>
      </c>
      <c r="D26" s="13"/>
      <c r="E26" s="13"/>
      <c r="F26" s="13"/>
      <c r="G26" s="13"/>
      <c r="H26" s="11"/>
      <c r="O26" s="8" t="s">
        <v>546</v>
      </c>
      <c r="P26" s="8" t="s">
        <v>1684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458125</v>
      </c>
      <c r="E29" s="25">
        <f>SUMIFS('Daftar Koreksi'!$H$5:$H$92,'Daftar Koreksi'!$D$5:$D$92,'1600'!A26,'Daftar Koreksi'!$G$5:$G$92,"Persediaan",'Daftar Koreksi'!$H$5:$H$92,"&gt;0")</f>
        <v>0</v>
      </c>
      <c r="F29" s="25">
        <f>SUMIFS('Daftar Koreksi'!$H$5:$H$92,'Daftar Koreksi'!$D$5:$D$92,'1600'!A26,'Daftar Koreksi'!$G$5:$G$92,"Persediaan",'Daftar Koreksi'!$H$5:$H$92,"&lt;0")-SUMIFS('Daftar Koreksi'!$H$5:$H$92,'Daftar Koreksi'!$D$5:$D$92,'1600'!A26,'Daftar Koreksi'!$G$5:$G$92,"Persediaan",'Daftar Koreksi'!$H$5:$H$92,"&lt;0")-SUMIFS('Daftar Koreksi'!$H$5:$H$92,'Daftar Koreksi'!$D$5:$D$92,'1600'!A26,'Daftar Koreksi'!$G$5:$G$92,"Persediaan",'Daftar Koreksi'!$H$5:$H$92,"&lt;0")</f>
        <v>0</v>
      </c>
      <c r="G29" s="17">
        <f>D29+E29-F29</f>
        <v>458125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28654700000</v>
      </c>
      <c r="E30" s="25">
        <f>SUMIFS('Daftar Koreksi'!$H$5:$H$92,'Daftar Koreksi'!$D$5:$D$92,'1600'!A26,'Daftar Koreksi'!$G$5:$G$92,"Tanah",'Daftar Koreksi'!$H$5:$H$92,"&gt;0")</f>
        <v>0</v>
      </c>
      <c r="F30" s="25">
        <f>SUMIFS('Daftar Koreksi'!$H$5:$H$92,'Daftar Koreksi'!$D$5:$D$92,'1600'!A26,'Daftar Koreksi'!$G$5:$G$92,"Tanah",'Daftar Koreksi'!$H$5:$H$92,"&lt;0")-SUMIFS('Daftar Koreksi'!$H$5:$H$92,'Daftar Koreksi'!$D$5:$D$92,'1600'!A26,'Daftar Koreksi'!$G$5:$G$92,"Tanah",'Daftar Koreksi'!$H$5:$H$92,"&lt;0")-SUMIFS('Daftar Koreksi'!$H$5:$H$92,'Daftar Koreksi'!$D$5:$D$92,'1600'!A26,'Daftar Koreksi'!$G$5:$G$92,"Tanah",'Daftar Koreksi'!$H$5:$H$92,"&lt;0")</f>
        <v>0</v>
      </c>
      <c r="G30" s="17">
        <f t="shared" ref="G30:G46" si="1">D30+E30-F30</f>
        <v>28654700000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3831889633</v>
      </c>
      <c r="E31" s="25">
        <f>SUMIFS('Daftar Koreksi'!$H$5:$H$92,'Daftar Koreksi'!$D$5:$D$92,'1600'!A26,'Daftar Koreksi'!$G$5:$G$92,"Peralatan dan mesin",'Daftar Koreksi'!$H$5:$H$92,"&gt;0")</f>
        <v>0</v>
      </c>
      <c r="F31" s="25">
        <f>SUMIFS('Daftar Koreksi'!$H$5:$H$92,'Daftar Koreksi'!$D$5:$D$92,'1600'!A26,'Daftar Koreksi'!$G$5:$G$92,"Peralatan dan mesin",'Daftar Koreksi'!$H$5:$H$92,"&lt;0")-SUMIFS('Daftar Koreksi'!$H$5:$H$92,'Daftar Koreksi'!$D$5:$D$92,'1600'!A26,'Daftar Koreksi'!$G$5:$G$92,"Peralatan dan mesin",'Daftar Koreksi'!$H$5:$H$92,"&lt;0")-SUMIFS('Daftar Koreksi'!$H$5:$H$92,'Daftar Koreksi'!$D$5:$D$92,'1600'!A26,'Daftar Koreksi'!$G$5:$G$92,"Peralatan dan mesin",'Daftar Koreksi'!$H$5:$H$92,"&lt;0")</f>
        <v>0</v>
      </c>
      <c r="G31" s="17">
        <f t="shared" si="1"/>
        <v>3831889633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14165693450</v>
      </c>
      <c r="E32" s="25">
        <f>SUMIFS('Daftar Koreksi'!$H$5:$H$92,'Daftar Koreksi'!$D$5:$D$92,'1600'!A26,'Daftar Koreksi'!$G$5:$G$92,"Gedung dan Bangunan",'Daftar Koreksi'!$H$5:$H$92,"&gt;0")</f>
        <v>0</v>
      </c>
      <c r="F32" s="25">
        <f>SUMIFS('Daftar Koreksi'!$H$5:$H$92,'Daftar Koreksi'!$D$5:$D$92,'1600'!A26,'Daftar Koreksi'!$G$5:$G$92,"Gedung dan Bangunan",'Daftar Koreksi'!$H$5:$H$92,"&lt;0")-SUMIFS('Daftar Koreksi'!$H$5:$H$92,'Daftar Koreksi'!$D$5:$D$92,'1600'!A26,'Daftar Koreksi'!$G$5:$G$92,"Gedung dan Bangunan",'Daftar Koreksi'!$H$5:$H$92,"&lt;0")-SUMIFS('Daftar Koreksi'!$H$5:$H$92,'Daftar Koreksi'!$D$5:$D$92,'1600'!A26,'Daftar Koreksi'!$G$5:$G$92,"Gedung dan Bangunan",'Daftar Koreksi'!$H$5:$H$92,"&lt;0")</f>
        <v>0</v>
      </c>
      <c r="G32" s="17">
        <f t="shared" si="1"/>
        <v>14165693450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284912000</v>
      </c>
      <c r="E33" s="25">
        <f>SUMIFS('Daftar Koreksi'!$H$5:$H$92,'Daftar Koreksi'!$D$5:$D$92,'1600'!A26,'Daftar Koreksi'!$G$5:$G$92,"Jalan Irigasi Jaringan",'Daftar Koreksi'!$H$5:$H$92,"&gt;0")</f>
        <v>0</v>
      </c>
      <c r="F33" s="25">
        <f>SUMIFS('Daftar Koreksi'!$H$5:$H$92,'Daftar Koreksi'!$D$5:$D$92,'1600'!A26,'Daftar Koreksi'!$G$5:$G$92,"Jalan Irigasi Jaringan",'Daftar Koreksi'!$H$5:$H$92,"&lt;0")-SUMIFS('Daftar Koreksi'!$H$5:$H$92,'Daftar Koreksi'!$D$5:$D$92,'1600'!A26,'Daftar Koreksi'!$G$5:$G$92,"Jalan Irigasi Jaringan",'Daftar Koreksi'!$H$5:$H$92,"&lt;0")-SUMIFS('Daftar Koreksi'!$H$5:$H$92,'Daftar Koreksi'!$D$5:$D$92,'1600'!A26,'Daftar Koreksi'!$G$5:$G$92,"Jalan Irigasi Jaringan",'Daftar Koreksi'!$H$5:$H$92,"&lt;0")</f>
        <v>0</v>
      </c>
      <c r="G33" s="17">
        <f t="shared" si="1"/>
        <v>284912000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24420022</v>
      </c>
      <c r="E34" s="25">
        <f>SUMIFS('Daftar Koreksi'!$H$5:$H$92,'Daftar Koreksi'!$D$5:$D$92,'1600'!A26,'Daftar Koreksi'!$G$5:$G$92,"Aset Tetap Lainnya",'Daftar Koreksi'!$H$5:$H$92,"&gt;0")</f>
        <v>0</v>
      </c>
      <c r="F34" s="25">
        <f>SUMIFS('Daftar Koreksi'!$H$5:$H$92,'Daftar Koreksi'!$D$5:$D$92,'1600'!A26,'Daftar Koreksi'!$G$5:$G$92,"Aset Tetap Lainnya",'Daftar Koreksi'!$H$5:$H$92,"&lt;0")-SUMIFS('Daftar Koreksi'!$H$5:$H$92,'Daftar Koreksi'!$D$5:$D$92,'1600'!A26,'Daftar Koreksi'!$G$5:$G$92,"Aset Tetap Lainnya",'Daftar Koreksi'!$H$5:$H$92,"&lt;0")-SUMIFS('Daftar Koreksi'!$H$5:$H$92,'Daftar Koreksi'!$D$5:$D$92,'1600'!A26,'Daftar Koreksi'!$G$5:$G$92,"Aset Tetap Lainnya",'Daftar Koreksi'!$H$5:$H$92,"&lt;0")</f>
        <v>0</v>
      </c>
      <c r="G34" s="17">
        <f t="shared" si="1"/>
        <v>24420022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Koreksi'!$D$5:$D$92,'1600'!A26,'Daftar Koreksi'!$G$5:$G$92,"Kontruksi Dalam Pengerjaan",'Daftar Koreksi'!$H$5:$H$92,"&gt;0")</f>
        <v>0</v>
      </c>
      <c r="F35" s="25">
        <f>SUMIFS('Daftar Koreksi'!$H$5:$H$92,'Daftar Koreksi'!$D$5:$D$92,'1600'!A26,'Daftar Koreksi'!$G$5:$G$92,"Kontruksi Dalam Pengerjaan",'Daftar Koreksi'!$H$5:$H$92,"&lt;0")-SUMIFS('Daftar Koreksi'!$H$5:$H$92,'Daftar Koreksi'!$D$5:$D$92,'1600'!A26,'Daftar Koreksi'!$G$5:$G$92,"Kontruksi Dalam Pengerjaan",'Daftar Koreksi'!$H$5:$H$92,"&lt;0")-SUMIFS('Daftar Koreksi'!$H$5:$H$92,'Daftar Koreksi'!$D$5:$D$92,'1600'!A26,'Daftar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58936310</v>
      </c>
      <c r="E36" s="25">
        <f>SUMIFS('Daftar Koreksi'!$H$5:$H$92,'Daftar Koreksi'!$D$5:$D$92,'1600'!A26,'Daftar Koreksi'!$G$5:$G$92,"Aset Tak Berwujud",'Daftar Koreksi'!$H$5:$H$92,"&gt;0")</f>
        <v>0</v>
      </c>
      <c r="F36" s="25">
        <f>SUMIFS('Daftar Koreksi'!$H$5:$H$92,'Daftar Koreksi'!$D$5:$D$92,'1600'!A26,'Daftar Koreksi'!$G$5:$G$92,"Aset Tak Berwujud",'Daftar Koreksi'!$H$5:$H$92,"&lt;0")-SUMIFS('Daftar Koreksi'!$H$5:$H$92,'Daftar Koreksi'!$D$5:$D$92,'1600'!A26,'Daftar Koreksi'!$G$5:$G$92,"Aset Tak Berwujud",'Daftar Koreksi'!$H$5:$H$92,"&lt;0")-SUMIFS('Daftar Koreksi'!$H$5:$H$92,'Daftar Koreksi'!$D$5:$D$92,'1600'!A26,'Daftar Koreksi'!$G$5:$G$92,"Aset Tak Berwujud",'Daftar Koreksi'!$H$5:$H$92,"&lt;0")</f>
        <v>0</v>
      </c>
      <c r="G36" s="17">
        <f t="shared" si="1"/>
        <v>58936310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239354000</v>
      </c>
      <c r="E37" s="25">
        <f>SUMIFS('Daftar Koreksi'!$H$5:$H$92,'Daftar Koreksi'!$D$5:$D$92,'1600'!A26,'Daftar Koreksi'!$G$5:$G$92,"Aset Henti Guna",'Daftar Koreksi'!$H$5:$H$92,"&gt;0")</f>
        <v>0</v>
      </c>
      <c r="F37" s="25">
        <f>SUMIFS('Daftar Koreksi'!$H$5:$H$92,'Daftar Koreksi'!$D$5:$D$92,'1600'!A26,'Daftar Koreksi'!$G$5:$G$92,"Aset Henti Guna",'Daftar Koreksi'!$H$5:$H$92,"&lt;0")-SUMIFS('Daftar Koreksi'!$H$5:$H$92,'Daftar Koreksi'!$D$5:$D$92,'1600'!A26,'Daftar Koreksi'!$G$5:$G$92,"Aset Henti Guna",'Daftar Koreksi'!$H$5:$H$92,"&lt;0")-SUMIFS('Daftar Koreksi'!$H$5:$H$92,'Daftar Koreksi'!$D$5:$D$92,'1600'!A26,'Daftar Koreksi'!$G$5:$G$92,"Aset Henti Guna",'Daftar Koreksi'!$H$5:$H$92,"&lt;0")</f>
        <v>0</v>
      </c>
      <c r="G37" s="17">
        <f t="shared" si="1"/>
        <v>239354000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47260363540</v>
      </c>
      <c r="E38" s="19">
        <f>SUM(E29:E37)</f>
        <v>0</v>
      </c>
      <c r="F38" s="19">
        <f>SUM(F29:F37)</f>
        <v>0</v>
      </c>
      <c r="G38" s="19">
        <f t="shared" si="1"/>
        <v>47260363540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-3457879465</v>
      </c>
      <c r="E39" s="25">
        <f>SUMIFS('Daftar Koreksi'!$I$5:$I$92,'Daftar Koreksi'!$D$5:$D$92,'1600'!A26,'Daftar Koreksi'!$G$5:$G$92,"Peralatan dan mesin",'Daftar Koreksi'!$I$5:$I$92,"&gt;0")</f>
        <v>0</v>
      </c>
      <c r="F39" s="25">
        <f>SUMIFS('Daftar Koreksi'!$I$5:$I$92,'Daftar Koreksi'!$D$5:$D$92,'1600'!A26,'Daftar Koreksi'!$G$5:$G$92,"Peralatan dan mesin",'Daftar Koreksi'!$I$5:$I$92,"&lt;0")-SUMIFS('Daftar Koreksi'!$I$5:$I$92,'Daftar Koreksi'!$D$5:$D$92,'1600'!A26,'Daftar Koreksi'!$G$5:$G$92,"Peralatan dan mesin",'Daftar Koreksi'!$I$5:$I$92,"&lt;0")-SUMIFS('Daftar Koreksi'!$I$5:$I$92,'Daftar Koreksi'!$D$5:$D$92,'1600'!A26,'Daftar Koreksi'!$G$5:$G$92,"Peralatan dan mesin",'Daftar Koreksi'!$I$5:$I$92,"&lt;0")</f>
        <v>0</v>
      </c>
      <c r="G39" s="17">
        <f t="shared" si="1"/>
        <v>-3457879465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-2564901591</v>
      </c>
      <c r="E40" s="25">
        <f>SUMIFS('Daftar Koreksi'!$I$5:$I$92,'Daftar Koreksi'!$D$5:$D$92,'1600'!A26,'Daftar Koreksi'!$G$5:$G$92,"Gedung dan Bangunan",'Daftar Koreksi'!$I$5:$I$92,"&gt;0")</f>
        <v>0</v>
      </c>
      <c r="F40" s="25">
        <f>SUMIFS('Daftar Koreksi'!$I$5:$I$92,'Daftar Koreksi'!$D$5:$D$92,'1600'!A26,'Daftar Koreksi'!$G$5:$G$92,"Gedung dan Bangunan",'Daftar Koreksi'!$I$5:$I$92,"&lt;0")-SUMIFS('Daftar Koreksi'!$I$5:$I$92,'Daftar Koreksi'!$D$5:$D$92,'1600'!A26,'Daftar Koreksi'!$G$5:$G$92,"Gedung dan Bangunan",'Daftar Koreksi'!$I$5:$I$92,"&lt;0")-SUMIFS('Daftar Koreksi'!$I$5:$I$92,'Daftar Koreksi'!$D$5:$D$92,'1600'!A26,'Daftar Koreksi'!$G$5:$G$92,"Gedung dan Bangunan",'Daftar Koreksi'!$I$5:$I$92,"&lt;0")</f>
        <v>0</v>
      </c>
      <c r="G40" s="17">
        <f t="shared" si="1"/>
        <v>-2564901591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-20169500</v>
      </c>
      <c r="E41" s="25">
        <f>SUMIFS('Daftar Koreksi'!$I$5:$I$92,'Daftar Koreksi'!$D$5:$D$92,'1600'!A26,'Daftar Koreksi'!$G$5:$G$92,"Jalan Irigasi Jaringan",'Daftar Koreksi'!$I$5:$I$92,"&gt;0")</f>
        <v>0</v>
      </c>
      <c r="F41" s="25">
        <f>SUMIFS('Daftar Koreksi'!$I$5:$I$92,'Daftar Koreksi'!$D$5:$D$92,'1600'!A26,'Daftar Koreksi'!$G$5:$G$92,"Jalan Irigasi Jaringan",'Daftar Koreksi'!$I$5:$I$92,"&lt;0")-SUMIFS('Daftar Koreksi'!$I$5:$I$92,'Daftar Koreksi'!$D$5:$D$92,'1600'!A26,'Daftar Koreksi'!$G$5:$G$92,"Jalan Irigasi Jaringan",'Daftar Koreksi'!$I$5:$I$92,"&lt;0")-SUMIFS('Daftar Koreksi'!$I$5:$I$92,'Daftar Koreksi'!$D$5:$D$92,'1600'!A26,'Daftar Koreksi'!$G$5:$G$92,"Jalan Irigasi Jaringan",'Daftar Koreksi'!$I$5:$I$92,"&lt;0")</f>
        <v>0</v>
      </c>
      <c r="G41" s="17">
        <f t="shared" si="1"/>
        <v>-20169500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Koreksi'!$D$5:$D$92,'1600'!A26,'Daftar Koreksi'!$G$5:$G$92,"Aset Tetap Lainnya",'Daftar Koreksi'!$I$5:$I$92,"&gt;0")</f>
        <v>0</v>
      </c>
      <c r="F42" s="25">
        <f>SUMIFS('Daftar Koreksi'!$I$5:$I$92,'Daftar Koreksi'!$D$5:$D$92,'1600'!A26,'Daftar Koreksi'!$G$5:$G$92,"Aset Tetap Lainnya",'Daftar Koreksi'!$I$5:$I$92,"&lt;0")-SUMIFS('Daftar Koreksi'!$I$5:$I$92,'Daftar Koreksi'!$D$5:$D$92,'1600'!A26,'Daftar Koreksi'!$G$5:$G$92,"Aset Tetap Lainnya",'Daftar Koreksi'!$I$5:$I$92,"&lt;0")-SUMIFS('Daftar Koreksi'!$I$5:$I$92,'Daftar Koreksi'!$D$5:$D$92,'1600'!A26,'Daftar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-239116000</v>
      </c>
      <c r="E43" s="25">
        <f>SUMIFS('Daftar Koreksi'!$I$5:$I$92,'Daftar Koreksi'!$D$5:$D$92,'1600'!A26,'Daftar Koreksi'!$G$5:$G$92,"Aset Henti Guna",'Daftar Koreksi'!$I$5:$I$92,"&gt;0")</f>
        <v>0</v>
      </c>
      <c r="F43" s="25">
        <f>SUMIFS('Daftar Koreksi'!$I$5:$I$92,'Daftar Koreksi'!$D$5:$D$92,'1600'!A26,'Daftar Koreksi'!$G$5:$G$92,"Aset Henti Guna",'Daftar Koreksi'!$I$5:$I$92,"&lt;0")-SUMIFS('Daftar Koreksi'!$I$5:$I$92,'Daftar Koreksi'!$D$5:$D$92,'1600'!A26,'Daftar Koreksi'!$G$5:$G$92,"Aset Henti Guna",'Daftar Koreksi'!$I$5:$I$92,"&lt;0")-SUMIFS('Daftar Koreksi'!$I$5:$I$92,'Daftar Koreksi'!$D$5:$D$92,'1600'!A26,'Daftar Koreksi'!$G$5:$G$92,"Aset Henti Guna",'Daftar Koreksi'!$I$5:$I$92,"&lt;0")</f>
        <v>0</v>
      </c>
      <c r="G43" s="17">
        <f t="shared" si="1"/>
        <v>-239116000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-6282066556</v>
      </c>
      <c r="E44" s="19">
        <f>SUM(E39:E43)</f>
        <v>0</v>
      </c>
      <c r="F44" s="19">
        <f>SUM(F39:F43)</f>
        <v>0</v>
      </c>
      <c r="G44" s="19">
        <f t="shared" si="1"/>
        <v>-6282066556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40978296984</v>
      </c>
      <c r="E45" s="19">
        <f>E44+E38</f>
        <v>0</v>
      </c>
      <c r="F45" s="19">
        <f>F44+F38</f>
        <v>0</v>
      </c>
      <c r="G45" s="19">
        <f t="shared" si="1"/>
        <v>40978296984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005011600099290000KD</v>
      </c>
      <c r="B48" s="11" t="str">
        <f>P3</f>
        <v>PN. Tenggarong</v>
      </c>
      <c r="C48" s="12" t="str">
        <f>A48&amp;" "&amp;B48</f>
        <v>005011600099290000KD PN. Tenggarong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503000</v>
      </c>
      <c r="E51" s="25">
        <f>SUMIFS('Daftar Koreksi'!$H$5:$H$92,'Daftar Koreksi'!$D$5:$D$92,'1600'!A48,'Daftar Koreksi'!$G$5:$G$92,"Persediaan",'Daftar Koreksi'!$H$5:$H$92,"&gt;0")</f>
        <v>0</v>
      </c>
      <c r="F51" s="25">
        <f>SUMIFS('Daftar Koreksi'!$H$5:$H$92,'Daftar Koreksi'!$D$5:$D$92,'1600'!A48,'Daftar Koreksi'!$G$5:$G$92,"Persediaan",'Daftar Koreksi'!$H$5:$H$92,"&lt;0")-SUMIFS('Daftar Koreksi'!$H$5:$H$92,'Daftar Koreksi'!$D$5:$D$92,'1600'!A48,'Daftar Koreksi'!$G$5:$G$92,"Persediaan",'Daftar Koreksi'!$H$5:$H$92,"&lt;0")-SUMIFS('Daftar Koreksi'!$H$5:$H$92,'Daftar Koreksi'!$D$5:$D$92,'1600'!A48,'Daftar Koreksi'!$G$5:$G$92,"Persediaan",'Daftar Koreksi'!$H$5:$H$92,"&lt;0")</f>
        <v>0</v>
      </c>
      <c r="G51" s="17">
        <f>D51+E51-F51</f>
        <v>503000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14141840000</v>
      </c>
      <c r="E52" s="25">
        <f>SUMIFS('Daftar Koreksi'!$H$5:$H$92,'Daftar Koreksi'!$D$5:$D$92,'1600'!A48,'Daftar Koreksi'!$G$5:$G$92,"Tanah",'Daftar Koreksi'!$H$5:$H$92,"&gt;0")</f>
        <v>0</v>
      </c>
      <c r="F52" s="25">
        <f>SUMIFS('Daftar Koreksi'!$H$5:$H$92,'Daftar Koreksi'!$D$5:$D$92,'1600'!A48,'Daftar Koreksi'!$G$5:$G$92,"Tanah",'Daftar Koreksi'!$H$5:$H$92,"&lt;0")-SUMIFS('Daftar Koreksi'!$H$5:$H$92,'Daftar Koreksi'!$D$5:$D$92,'1600'!A48,'Daftar Koreksi'!$G$5:$G$92,"Tanah",'Daftar Koreksi'!$H$5:$H$92,"&lt;0")-SUMIFS('Daftar Koreksi'!$H$5:$H$92,'Daftar Koreksi'!$D$5:$D$92,'1600'!A48,'Daftar Koreksi'!$G$5:$G$92,"Tanah",'Daftar Koreksi'!$H$5:$H$92,"&lt;0")</f>
        <v>0</v>
      </c>
      <c r="G52" s="17">
        <f t="shared" ref="G52:G68" si="2">D52+E52-F52</f>
        <v>14141840000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937062578</v>
      </c>
      <c r="E53" s="25">
        <f>SUMIFS('Daftar Koreksi'!$H$5:$H$92,'Daftar Koreksi'!$D$5:$D$92,'1600'!A48,'Daftar Koreksi'!$G$5:$G$92,"Peralatan dan mesin",'Daftar Koreksi'!$H$5:$H$92,"&gt;0")</f>
        <v>0</v>
      </c>
      <c r="F53" s="25">
        <f>SUMIFS('Daftar Koreksi'!$H$5:$H$92,'Daftar Koreksi'!$D$5:$D$92,'1600'!A48,'Daftar Koreksi'!$G$5:$G$92,"Peralatan dan mesin",'Daftar Koreksi'!$H$5:$H$92,"&lt;0")-SUMIFS('Daftar Koreksi'!$H$5:$H$92,'Daftar Koreksi'!$D$5:$D$92,'1600'!A48,'Daftar Koreksi'!$G$5:$G$92,"Peralatan dan mesin",'Daftar Koreksi'!$H$5:$H$92,"&lt;0")-SUMIFS('Daftar Koreksi'!$H$5:$H$92,'Daftar Koreksi'!$D$5:$D$92,'1600'!A48,'Daftar Koreksi'!$G$5:$G$92,"Peralatan dan mesin",'Daftar Koreksi'!$H$5:$H$92,"&lt;0")</f>
        <v>0</v>
      </c>
      <c r="G53" s="17">
        <f t="shared" si="2"/>
        <v>937062578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11256912900</v>
      </c>
      <c r="E54" s="25">
        <f>SUMIFS('Daftar Koreksi'!$H$5:$H$92,'Daftar Koreksi'!$D$5:$D$92,'1600'!A48,'Daftar Koreksi'!$G$5:$G$92,"Gedung dan Bangunan",'Daftar Koreksi'!$H$5:$H$92,"&gt;0")</f>
        <v>0</v>
      </c>
      <c r="F54" s="25">
        <f>SUMIFS('Daftar Koreksi'!$H$5:$H$92,'Daftar Koreksi'!$D$5:$D$92,'1600'!A48,'Daftar Koreksi'!$G$5:$G$92,"Gedung dan Bangunan",'Daftar Koreksi'!$H$5:$H$92,"&lt;0")-SUMIFS('Daftar Koreksi'!$H$5:$H$92,'Daftar Koreksi'!$D$5:$D$92,'1600'!A48,'Daftar Koreksi'!$G$5:$G$92,"Gedung dan Bangunan",'Daftar Koreksi'!$H$5:$H$92,"&lt;0")-SUMIFS('Daftar Koreksi'!$H$5:$H$92,'Daftar Koreksi'!$D$5:$D$92,'1600'!A48,'Daftar Koreksi'!$G$5:$G$92,"Gedung dan Bangunan",'Daftar Koreksi'!$H$5:$H$92,"&lt;0")</f>
        <v>0</v>
      </c>
      <c r="G54" s="17">
        <f t="shared" si="2"/>
        <v>11256912900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20000000</v>
      </c>
      <c r="E55" s="25">
        <f>SUMIFS('Daftar Koreksi'!$H$5:$H$92,'Daftar Koreksi'!$D$5:$D$92,'1600'!A48,'Daftar Koreksi'!$G$5:$G$92,"Jalan Irigasi Jaringan",'Daftar Koreksi'!$H$5:$H$92,"&gt;0")</f>
        <v>0</v>
      </c>
      <c r="F55" s="25">
        <f>SUMIFS('Daftar Koreksi'!$H$5:$H$92,'Daftar Koreksi'!$D$5:$D$92,'1600'!A48,'Daftar Koreksi'!$G$5:$G$92,"Jalan Irigasi Jaringan",'Daftar Koreksi'!$H$5:$H$92,"&lt;0")-SUMIFS('Daftar Koreksi'!$H$5:$H$92,'Daftar Koreksi'!$D$5:$D$92,'1600'!A48,'Daftar Koreksi'!$G$5:$G$92,"Jalan Irigasi Jaringan",'Daftar Koreksi'!$H$5:$H$92,"&lt;0")-SUMIFS('Daftar Koreksi'!$H$5:$H$92,'Daftar Koreksi'!$D$5:$D$92,'1600'!A48,'Daftar Koreksi'!$G$5:$G$92,"Jalan Irigasi Jaringan",'Daftar Koreksi'!$H$5:$H$92,"&lt;0")</f>
        <v>0</v>
      </c>
      <c r="G55" s="17">
        <f t="shared" si="2"/>
        <v>20000000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48086932</v>
      </c>
      <c r="E56" s="25">
        <f>SUMIFS('Daftar Koreksi'!$H$5:$H$92,'Daftar Koreksi'!$D$5:$D$92,'1600'!A48,'Daftar Koreksi'!$G$5:$G$92,"Aset Tetap Lainnya",'Daftar Koreksi'!$H$5:$H$92,"&gt;0")</f>
        <v>0</v>
      </c>
      <c r="F56" s="25">
        <f>SUMIFS('Daftar Koreksi'!$H$5:$H$92,'Daftar Koreksi'!$D$5:$D$92,'1600'!A48,'Daftar Koreksi'!$G$5:$G$92,"Aset Tetap Lainnya",'Daftar Koreksi'!$H$5:$H$92,"&lt;0")-SUMIFS('Daftar Koreksi'!$H$5:$H$92,'Daftar Koreksi'!$D$5:$D$92,'1600'!A48,'Daftar Koreksi'!$G$5:$G$92,"Aset Tetap Lainnya",'Daftar Koreksi'!$H$5:$H$92,"&lt;0")-SUMIFS('Daftar Koreksi'!$H$5:$H$92,'Daftar Koreksi'!$D$5:$D$92,'1600'!A48,'Daftar Koreksi'!$G$5:$G$92,"Aset Tetap Lainnya",'Daftar Koreksi'!$H$5:$H$92,"&lt;0")</f>
        <v>0</v>
      </c>
      <c r="G56" s="17">
        <f t="shared" si="2"/>
        <v>48086932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Koreksi'!$D$5:$D$92,'1600'!A48,'Daftar Koreksi'!$G$5:$G$92,"Kontruksi Dalam Pengerjaan",'Daftar Koreksi'!$H$5:$H$92,"&gt;0")</f>
        <v>0</v>
      </c>
      <c r="F57" s="25">
        <f>SUMIFS('Daftar Koreksi'!$H$5:$H$92,'Daftar Koreksi'!$D$5:$D$92,'1600'!A48,'Daftar Koreksi'!$G$5:$G$92,"Kontruksi Dalam Pengerjaan",'Daftar Koreksi'!$H$5:$H$92,"&lt;0")-SUMIFS('Daftar Koreksi'!$H$5:$H$92,'Daftar Koreksi'!$D$5:$D$92,'1600'!A48,'Daftar Koreksi'!$G$5:$G$92,"Kontruksi Dalam Pengerjaan",'Daftar Koreksi'!$H$5:$H$92,"&lt;0")-SUMIFS('Daftar Koreksi'!$H$5:$H$92,'Daftar Koreksi'!$D$5:$D$92,'1600'!A48,'Daftar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Koreksi'!$D$5:$D$92,'1600'!A48,'Daftar Koreksi'!$G$5:$G$92,"Aset Tak Berwujud",'Daftar Koreksi'!$H$5:$H$92,"&gt;0")</f>
        <v>0</v>
      </c>
      <c r="F58" s="25">
        <f>SUMIFS('Daftar Koreksi'!$H$5:$H$92,'Daftar Koreksi'!$D$5:$D$92,'1600'!A48,'Daftar Koreksi'!$G$5:$G$92,"Aset Tak Berwujud",'Daftar Koreksi'!$H$5:$H$92,"&lt;0")-SUMIFS('Daftar Koreksi'!$H$5:$H$92,'Daftar Koreksi'!$D$5:$D$92,'1600'!A48,'Daftar Koreksi'!$G$5:$G$92,"Aset Tak Berwujud",'Daftar Koreksi'!$H$5:$H$92,"&lt;0")-SUMIFS('Daftar Koreksi'!$H$5:$H$92,'Daftar Koreksi'!$D$5:$D$92,'1600'!A48,'Daftar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Koreksi'!$D$5:$D$92,'1600'!A48,'Daftar Koreksi'!$G$5:$G$92,"Aset Henti Guna",'Daftar Koreksi'!$H$5:$H$92,"&gt;0")</f>
        <v>0</v>
      </c>
      <c r="F59" s="25">
        <f>SUMIFS('Daftar Koreksi'!$H$5:$H$92,'Daftar Koreksi'!$D$5:$D$92,'1600'!A48,'Daftar Koreksi'!$G$5:$G$92,"Aset Henti Guna",'Daftar Koreksi'!$H$5:$H$92,"&lt;0")-SUMIFS('Daftar Koreksi'!$H$5:$H$92,'Daftar Koreksi'!$D$5:$D$92,'1600'!A48,'Daftar Koreksi'!$G$5:$G$92,"Aset Henti Guna",'Daftar Koreksi'!$H$5:$H$92,"&lt;0")-SUMIFS('Daftar Koreksi'!$H$5:$H$92,'Daftar Koreksi'!$D$5:$D$92,'1600'!A48,'Daftar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26404405410</v>
      </c>
      <c r="E60" s="19">
        <f>SUM(E51:E59)</f>
        <v>0</v>
      </c>
      <c r="F60" s="19">
        <f>SUM(F51:F59)</f>
        <v>0</v>
      </c>
      <c r="G60" s="19">
        <f t="shared" si="2"/>
        <v>26404405410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-722180158</v>
      </c>
      <c r="E61" s="25">
        <f>SUMIFS('Daftar Koreksi'!$I$5:$I$92,'Daftar Koreksi'!$D$5:$D$92,'1600'!A48,'Daftar Koreksi'!$G$5:$G$92,"Peralatan dan mesin",'Daftar Koreksi'!$I$5:$I$92,"&gt;0")</f>
        <v>0</v>
      </c>
      <c r="F61" s="25">
        <f>SUMIFS('Daftar Koreksi'!$I$5:$I$92,'Daftar Koreksi'!$D$5:$D$92,'1600'!A48,'Daftar Koreksi'!$G$5:$G$92,"Peralatan dan mesin",'Daftar Koreksi'!$I$5:$I$92,"&lt;0")-SUMIFS('Daftar Koreksi'!$I$5:$I$92,'Daftar Koreksi'!$D$5:$D$92,'1600'!A48,'Daftar Koreksi'!$G$5:$G$92,"Peralatan dan mesin",'Daftar Koreksi'!$I$5:$I$92,"&lt;0")-SUMIFS('Daftar Koreksi'!$I$5:$I$92,'Daftar Koreksi'!$D$5:$D$92,'1600'!A48,'Daftar Koreksi'!$G$5:$G$92,"Peralatan dan mesin",'Daftar Koreksi'!$I$5:$I$92,"&lt;0")</f>
        <v>0</v>
      </c>
      <c r="G61" s="17">
        <f t="shared" si="2"/>
        <v>-722180158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-1623885842</v>
      </c>
      <c r="E62" s="25">
        <f>SUMIFS('Daftar Koreksi'!$I$5:$I$92,'Daftar Koreksi'!$D$5:$D$92,'1600'!A48,'Daftar Koreksi'!$G$5:$G$92,"Gedung dan Bangunan",'Daftar Koreksi'!$I$5:$I$92,"&gt;0")</f>
        <v>0</v>
      </c>
      <c r="F62" s="25">
        <f>SUMIFS('Daftar Koreksi'!$I$5:$I$92,'Daftar Koreksi'!$D$5:$D$92,'1600'!A48,'Daftar Koreksi'!$G$5:$G$92,"Gedung dan Bangunan",'Daftar Koreksi'!$I$5:$I$92,"&lt;0")-SUMIFS('Daftar Koreksi'!$I$5:$I$92,'Daftar Koreksi'!$D$5:$D$92,'1600'!A48,'Daftar Koreksi'!$G$5:$G$92,"Gedung dan Bangunan",'Daftar Koreksi'!$I$5:$I$92,"&lt;0")-SUMIFS('Daftar Koreksi'!$I$5:$I$92,'Daftar Koreksi'!$D$5:$D$92,'1600'!A48,'Daftar Koreksi'!$G$5:$G$92,"Gedung dan Bangunan",'Daftar Koreksi'!$I$5:$I$92,"&lt;0")</f>
        <v>0</v>
      </c>
      <c r="G62" s="17">
        <f t="shared" si="2"/>
        <v>-1623885842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-3000000</v>
      </c>
      <c r="E63" s="25">
        <f>SUMIFS('Daftar Koreksi'!$I$5:$I$92,'Daftar Koreksi'!$D$5:$D$92,'1600'!A48,'Daftar Koreksi'!$G$5:$G$92,"Jalan Irigasi Jaringan",'Daftar Koreksi'!$I$5:$I$92,"&gt;0")</f>
        <v>0</v>
      </c>
      <c r="F63" s="25">
        <f>SUMIFS('Daftar Koreksi'!$I$5:$I$92,'Daftar Koreksi'!$D$5:$D$92,'1600'!A48,'Daftar Koreksi'!$G$5:$G$92,"Jalan Irigasi Jaringan",'Daftar Koreksi'!$I$5:$I$92,"&lt;0")-SUMIFS('Daftar Koreksi'!$I$5:$I$92,'Daftar Koreksi'!$D$5:$D$92,'1600'!A48,'Daftar Koreksi'!$G$5:$G$92,"Jalan Irigasi Jaringan",'Daftar Koreksi'!$I$5:$I$92,"&lt;0")-SUMIFS('Daftar Koreksi'!$I$5:$I$92,'Daftar Koreksi'!$D$5:$D$92,'1600'!A48,'Daftar Koreksi'!$G$5:$G$92,"Jalan Irigasi Jaringan",'Daftar Koreksi'!$I$5:$I$92,"&lt;0")</f>
        <v>0</v>
      </c>
      <c r="G63" s="17">
        <f t="shared" si="2"/>
        <v>-3000000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Koreksi'!$D$5:$D$92,'1600'!A48,'Daftar Koreksi'!$G$5:$G$92,"Aset Tetap Lainnya",'Daftar Koreksi'!$I$5:$I$92,"&gt;0")</f>
        <v>0</v>
      </c>
      <c r="F64" s="25">
        <f>SUMIFS('Daftar Koreksi'!$I$5:$I$92,'Daftar Koreksi'!$D$5:$D$92,'1600'!A48,'Daftar Koreksi'!$G$5:$G$92,"Aset Tetap Lainnya",'Daftar Koreksi'!$I$5:$I$92,"&lt;0")-SUMIFS('Daftar Koreksi'!$I$5:$I$92,'Daftar Koreksi'!$D$5:$D$92,'1600'!A48,'Daftar Koreksi'!$G$5:$G$92,"Aset Tetap Lainnya",'Daftar Koreksi'!$I$5:$I$92,"&lt;0")-SUMIFS('Daftar Koreksi'!$I$5:$I$92,'Daftar Koreksi'!$D$5:$D$92,'1600'!A48,'Daftar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Koreksi'!$D$5:$D$92,'1600'!A48,'Daftar Koreksi'!$G$5:$G$92,"Aset Henti Guna",'Daftar Koreksi'!$I$5:$I$92,"&gt;0")</f>
        <v>0</v>
      </c>
      <c r="F65" s="25">
        <f>SUMIFS('Daftar Koreksi'!$I$5:$I$92,'Daftar Koreksi'!$D$5:$D$92,'1600'!A48,'Daftar Koreksi'!$G$5:$G$92,"Aset Henti Guna",'Daftar Koreksi'!$I$5:$I$92,"&lt;0")-SUMIFS('Daftar Koreksi'!$I$5:$I$92,'Daftar Koreksi'!$D$5:$D$92,'1600'!A48,'Daftar Koreksi'!$G$5:$G$92,"Aset Henti Guna",'Daftar Koreksi'!$I$5:$I$92,"&lt;0")-SUMIFS('Daftar Koreksi'!$I$5:$I$92,'Daftar Koreksi'!$D$5:$D$92,'1600'!A48,'Daftar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-2349066000</v>
      </c>
      <c r="E66" s="19">
        <f>SUM(E61:E65)</f>
        <v>0</v>
      </c>
      <c r="F66" s="19">
        <f>SUM(F61:F65)</f>
        <v>0</v>
      </c>
      <c r="G66" s="19">
        <f t="shared" si="2"/>
        <v>-2349066000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24055339410</v>
      </c>
      <c r="E67" s="19">
        <f>E66+E60</f>
        <v>0</v>
      </c>
      <c r="F67" s="19">
        <f>F66+F60</f>
        <v>0</v>
      </c>
      <c r="G67" s="19">
        <f t="shared" si="2"/>
        <v>24055339410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005011600099308000KD</v>
      </c>
      <c r="B70" s="11" t="str">
        <f>P4</f>
        <v>PN. Balikpapan</v>
      </c>
      <c r="C70" s="12" t="str">
        <f>A70&amp;" "&amp;B70</f>
        <v>005011600099308000KD PN. Balikpapan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665000</v>
      </c>
      <c r="E73" s="25">
        <f>SUMIFS('Daftar Koreksi'!$H$5:$H$92,'Daftar Koreksi'!$D$5:$D$92,'1600'!A70,'Daftar Koreksi'!$G$5:$G$92,"Persediaan",'Daftar Koreksi'!$H$5:$H$92,"&gt;0")</f>
        <v>0</v>
      </c>
      <c r="F73" s="25">
        <f>SUMIFS('Daftar Koreksi'!$H$5:$H$92,'Daftar Koreksi'!$D$5:$D$92,'1600'!A70,'Daftar Koreksi'!$G$5:$G$92,"Persediaan",'Daftar Koreksi'!$H$5:$H$92,"&lt;0")-SUMIFS('Daftar Koreksi'!$H$5:$H$92,'Daftar Koreksi'!$D$5:$D$92,'1600'!A70,'Daftar Koreksi'!$G$5:$G$92,"Persediaan",'Daftar Koreksi'!$H$5:$H$92,"&lt;0")-SUMIFS('Daftar Koreksi'!$H$5:$H$92,'Daftar Koreksi'!$D$5:$D$92,'1600'!A70,'Daftar Koreksi'!$G$5:$G$92,"Persediaan",'Daftar Koreksi'!$H$5:$H$92,"&lt;0")</f>
        <v>0</v>
      </c>
      <c r="G73" s="17">
        <f>D73+E73-F73</f>
        <v>665000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45961098000</v>
      </c>
      <c r="E74" s="25">
        <f>SUMIFS('Daftar Koreksi'!$H$5:$H$92,'Daftar Koreksi'!$D$5:$D$92,'1600'!A70,'Daftar Koreksi'!$G$5:$G$92,"Tanah",'Daftar Koreksi'!$H$5:$H$92,"&gt;0")</f>
        <v>0</v>
      </c>
      <c r="F74" s="25">
        <f>SUMIFS('Daftar Koreksi'!$H$5:$H$92,'Daftar Koreksi'!$D$5:$D$92,'1600'!A70,'Daftar Koreksi'!$G$5:$G$92,"Tanah",'Daftar Koreksi'!$H$5:$H$92,"&lt;0")-SUMIFS('Daftar Koreksi'!$H$5:$H$92,'Daftar Koreksi'!$D$5:$D$92,'1600'!A70,'Daftar Koreksi'!$G$5:$G$92,"Tanah",'Daftar Koreksi'!$H$5:$H$92,"&lt;0")-SUMIFS('Daftar Koreksi'!$H$5:$H$92,'Daftar Koreksi'!$D$5:$D$92,'1600'!A70,'Daftar Koreksi'!$G$5:$G$92,"Tanah",'Daftar Koreksi'!$H$5:$H$92,"&lt;0")</f>
        <v>0</v>
      </c>
      <c r="G74" s="17">
        <f t="shared" ref="G74:G90" si="3">D74+E74-F74</f>
        <v>45961098000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2871875062</v>
      </c>
      <c r="E75" s="25">
        <f>SUMIFS('Daftar Koreksi'!$H$5:$H$92,'Daftar Koreksi'!$D$5:$D$92,'1600'!A70,'Daftar Koreksi'!$G$5:$G$92,"Peralatan dan mesin",'Daftar Koreksi'!$H$5:$H$92,"&gt;0")</f>
        <v>0</v>
      </c>
      <c r="F75" s="25">
        <f>SUMIFS('Daftar Koreksi'!$H$5:$H$92,'Daftar Koreksi'!$D$5:$D$92,'1600'!A70,'Daftar Koreksi'!$G$5:$G$92,"Peralatan dan mesin",'Daftar Koreksi'!$H$5:$H$92,"&lt;0")-SUMIFS('Daftar Koreksi'!$H$5:$H$92,'Daftar Koreksi'!$D$5:$D$92,'1600'!A70,'Daftar Koreksi'!$G$5:$G$92,"Peralatan dan mesin",'Daftar Koreksi'!$H$5:$H$92,"&lt;0")-SUMIFS('Daftar Koreksi'!$H$5:$H$92,'Daftar Koreksi'!$D$5:$D$92,'1600'!A70,'Daftar Koreksi'!$G$5:$G$92,"Peralatan dan mesin",'Daftar Koreksi'!$H$5:$H$92,"&lt;0")</f>
        <v>0</v>
      </c>
      <c r="G75" s="17">
        <f t="shared" si="3"/>
        <v>2871875062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12924097500</v>
      </c>
      <c r="E76" s="25">
        <f>SUMIFS('Daftar Koreksi'!$H$5:$H$92,'Daftar Koreksi'!$D$5:$D$92,'1600'!A70,'Daftar Koreksi'!$G$5:$G$92,"Gedung dan Bangunan",'Daftar Koreksi'!$H$5:$H$92,"&gt;0")</f>
        <v>0</v>
      </c>
      <c r="F76" s="25">
        <f>SUMIFS('Daftar Koreksi'!$H$5:$H$92,'Daftar Koreksi'!$D$5:$D$92,'1600'!A70,'Daftar Koreksi'!$G$5:$G$92,"Gedung dan Bangunan",'Daftar Koreksi'!$H$5:$H$92,"&lt;0")-SUMIFS('Daftar Koreksi'!$H$5:$H$92,'Daftar Koreksi'!$D$5:$D$92,'1600'!A70,'Daftar Koreksi'!$G$5:$G$92,"Gedung dan Bangunan",'Daftar Koreksi'!$H$5:$H$92,"&lt;0")-SUMIFS('Daftar Koreksi'!$H$5:$H$92,'Daftar Koreksi'!$D$5:$D$92,'1600'!A70,'Daftar Koreksi'!$G$5:$G$92,"Gedung dan Bangunan",'Daftar Koreksi'!$H$5:$H$92,"&lt;0")</f>
        <v>0</v>
      </c>
      <c r="G76" s="17">
        <f t="shared" si="3"/>
        <v>12924097500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215285000</v>
      </c>
      <c r="E77" s="25">
        <f>SUMIFS('Daftar Koreksi'!$H$5:$H$92,'Daftar Koreksi'!$D$5:$D$92,'1600'!A70,'Daftar Koreksi'!$G$5:$G$92,"Jalan Irigasi Jaringan",'Daftar Koreksi'!$H$5:$H$92,"&gt;0")</f>
        <v>0</v>
      </c>
      <c r="F77" s="25">
        <f>SUMIFS('Daftar Koreksi'!$H$5:$H$92,'Daftar Koreksi'!$D$5:$D$92,'1600'!A70,'Daftar Koreksi'!$G$5:$G$92,"Jalan Irigasi Jaringan",'Daftar Koreksi'!$H$5:$H$92,"&lt;0")-SUMIFS('Daftar Koreksi'!$H$5:$H$92,'Daftar Koreksi'!$D$5:$D$92,'1600'!A70,'Daftar Koreksi'!$G$5:$G$92,"Jalan Irigasi Jaringan",'Daftar Koreksi'!$H$5:$H$92,"&lt;0")-SUMIFS('Daftar Koreksi'!$H$5:$H$92,'Daftar Koreksi'!$D$5:$D$92,'1600'!A70,'Daftar Koreksi'!$G$5:$G$92,"Jalan Irigasi Jaringan",'Daftar Koreksi'!$H$5:$H$92,"&lt;0")</f>
        <v>0</v>
      </c>
      <c r="G77" s="17">
        <f t="shared" si="3"/>
        <v>215285000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177161594</v>
      </c>
      <c r="E78" s="25">
        <f>SUMIFS('Daftar Koreksi'!$H$5:$H$92,'Daftar Koreksi'!$D$5:$D$92,'1600'!A70,'Daftar Koreksi'!$G$5:$G$92,"Aset Tetap Lainnya",'Daftar Koreksi'!$H$5:$H$92,"&gt;0")</f>
        <v>0</v>
      </c>
      <c r="F78" s="25">
        <f>SUMIFS('Daftar Koreksi'!$H$5:$H$92,'Daftar Koreksi'!$D$5:$D$92,'1600'!A70,'Daftar Koreksi'!$G$5:$G$92,"Aset Tetap Lainnya",'Daftar Koreksi'!$H$5:$H$92,"&lt;0")-SUMIFS('Daftar Koreksi'!$H$5:$H$92,'Daftar Koreksi'!$D$5:$D$92,'1600'!A70,'Daftar Koreksi'!$G$5:$G$92,"Aset Tetap Lainnya",'Daftar Koreksi'!$H$5:$H$92,"&lt;0")-SUMIFS('Daftar Koreksi'!$H$5:$H$92,'Daftar Koreksi'!$D$5:$D$92,'1600'!A70,'Daftar Koreksi'!$G$5:$G$92,"Aset Tetap Lainnya",'Daftar Koreksi'!$H$5:$H$92,"&lt;0")</f>
        <v>0</v>
      </c>
      <c r="G78" s="17">
        <f t="shared" si="3"/>
        <v>177161594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Koreksi'!$D$5:$D$92,'1600'!A70,'Daftar Koreksi'!$G$5:$G$92,"Kontruksi Dalam Pengerjaan",'Daftar Koreksi'!$H$5:$H$92,"&gt;0")</f>
        <v>0</v>
      </c>
      <c r="F79" s="25">
        <f>SUMIFS('Daftar Koreksi'!$H$5:$H$92,'Daftar Koreksi'!$D$5:$D$92,'1600'!A70,'Daftar Koreksi'!$G$5:$G$92,"Kontruksi Dalam Pengerjaan",'Daftar Koreksi'!$H$5:$H$92,"&lt;0")-SUMIFS('Daftar Koreksi'!$H$5:$H$92,'Daftar Koreksi'!$D$5:$D$92,'1600'!A70,'Daftar Koreksi'!$G$5:$G$92,"Kontruksi Dalam Pengerjaan",'Daftar Koreksi'!$H$5:$H$92,"&lt;0")-SUMIFS('Daftar Koreksi'!$H$5:$H$92,'Daftar Koreksi'!$D$5:$D$92,'1600'!A70,'Daftar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Koreksi'!$D$5:$D$92,'1600'!A70,'Daftar Koreksi'!$G$5:$G$92,"Aset Tak Berwujud",'Daftar Koreksi'!$H$5:$H$92,"&gt;0")</f>
        <v>0</v>
      </c>
      <c r="F80" s="25">
        <f>SUMIFS('Daftar Koreksi'!$H$5:$H$92,'Daftar Koreksi'!$D$5:$D$92,'1600'!A70,'Daftar Koreksi'!$G$5:$G$92,"Aset Tak Berwujud",'Daftar Koreksi'!$H$5:$H$92,"&lt;0")-SUMIFS('Daftar Koreksi'!$H$5:$H$92,'Daftar Koreksi'!$D$5:$D$92,'1600'!A70,'Daftar Koreksi'!$G$5:$G$92,"Aset Tak Berwujud",'Daftar Koreksi'!$H$5:$H$92,"&lt;0")-SUMIFS('Daftar Koreksi'!$H$5:$H$92,'Daftar Koreksi'!$D$5:$D$92,'1600'!A70,'Daftar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286214543</v>
      </c>
      <c r="E81" s="25">
        <f>SUMIFS('Daftar Koreksi'!$H$5:$H$92,'Daftar Koreksi'!$D$5:$D$92,'1600'!A70,'Daftar Koreksi'!$G$5:$G$92,"Aset Henti Guna",'Daftar Koreksi'!$H$5:$H$92,"&gt;0")</f>
        <v>0</v>
      </c>
      <c r="F81" s="25">
        <f>SUMIFS('Daftar Koreksi'!$H$5:$H$92,'Daftar Koreksi'!$D$5:$D$92,'1600'!A70,'Daftar Koreksi'!$G$5:$G$92,"Aset Henti Guna",'Daftar Koreksi'!$H$5:$H$92,"&lt;0")-SUMIFS('Daftar Koreksi'!$H$5:$H$92,'Daftar Koreksi'!$D$5:$D$92,'1600'!A70,'Daftar Koreksi'!$G$5:$G$92,"Aset Henti Guna",'Daftar Koreksi'!$H$5:$H$92,"&lt;0")-SUMIFS('Daftar Koreksi'!$H$5:$H$92,'Daftar Koreksi'!$D$5:$D$92,'1600'!A70,'Daftar Koreksi'!$G$5:$G$92,"Aset Henti Guna",'Daftar Koreksi'!$H$5:$H$92,"&lt;0")</f>
        <v>0</v>
      </c>
      <c r="G81" s="17">
        <f t="shared" si="3"/>
        <v>286214543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62436396699</v>
      </c>
      <c r="E82" s="19">
        <f>SUM(E73:E81)</f>
        <v>0</v>
      </c>
      <c r="F82" s="19">
        <f>SUM(F73:F81)</f>
        <v>0</v>
      </c>
      <c r="G82" s="19">
        <f t="shared" si="3"/>
        <v>62436396699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-1863342388</v>
      </c>
      <c r="E83" s="25">
        <f>SUMIFS('Daftar Koreksi'!$I$5:$I$92,'Daftar Koreksi'!$D$5:$D$92,'1600'!A70,'Daftar Koreksi'!$G$5:$G$92,"Peralatan dan mesin",'Daftar Koreksi'!$I$5:$I$92,"&gt;0")</f>
        <v>0</v>
      </c>
      <c r="F83" s="25">
        <f>SUMIFS('Daftar Koreksi'!$I$5:$I$92,'Daftar Koreksi'!$D$5:$D$92,'1600'!A70,'Daftar Koreksi'!$G$5:$G$92,"Peralatan dan mesin",'Daftar Koreksi'!$I$5:$I$92,"&lt;0")-SUMIFS('Daftar Koreksi'!$I$5:$I$92,'Daftar Koreksi'!$D$5:$D$92,'1600'!A70,'Daftar Koreksi'!$G$5:$G$92,"Peralatan dan mesin",'Daftar Koreksi'!$I$5:$I$92,"&lt;0")-SUMIFS('Daftar Koreksi'!$I$5:$I$92,'Daftar Koreksi'!$D$5:$D$92,'1600'!A70,'Daftar Koreksi'!$G$5:$G$92,"Peralatan dan mesin",'Daftar Koreksi'!$I$5:$I$92,"&lt;0")</f>
        <v>0</v>
      </c>
      <c r="G83" s="17">
        <f t="shared" si="3"/>
        <v>-1863342388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-1716469381</v>
      </c>
      <c r="E84" s="25">
        <f>SUMIFS('Daftar Koreksi'!$I$5:$I$92,'Daftar Koreksi'!$D$5:$D$92,'1600'!A70,'Daftar Koreksi'!$G$5:$G$92,"Gedung dan Bangunan",'Daftar Koreksi'!$I$5:$I$92,"&gt;0")</f>
        <v>0</v>
      </c>
      <c r="F84" s="25">
        <f>SUMIFS('Daftar Koreksi'!$I$5:$I$92,'Daftar Koreksi'!$D$5:$D$92,'1600'!A70,'Daftar Koreksi'!$G$5:$G$92,"Gedung dan Bangunan",'Daftar Koreksi'!$I$5:$I$92,"&lt;0")-SUMIFS('Daftar Koreksi'!$I$5:$I$92,'Daftar Koreksi'!$D$5:$D$92,'1600'!A70,'Daftar Koreksi'!$G$5:$G$92,"Gedung dan Bangunan",'Daftar Koreksi'!$I$5:$I$92,"&lt;0")-SUMIFS('Daftar Koreksi'!$I$5:$I$92,'Daftar Koreksi'!$D$5:$D$92,'1600'!A70,'Daftar Koreksi'!$G$5:$G$92,"Gedung dan Bangunan",'Daftar Koreksi'!$I$5:$I$92,"&lt;0")</f>
        <v>0</v>
      </c>
      <c r="G84" s="17">
        <f t="shared" si="3"/>
        <v>-1716469381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-171553563</v>
      </c>
      <c r="E85" s="25">
        <f>SUMIFS('Daftar Koreksi'!$I$5:$I$92,'Daftar Koreksi'!$D$5:$D$92,'1600'!A70,'Daftar Koreksi'!$G$5:$G$92,"Jalan Irigasi Jaringan",'Daftar Koreksi'!$I$5:$I$92,"&gt;0")</f>
        <v>0</v>
      </c>
      <c r="F85" s="25">
        <f>SUMIFS('Daftar Koreksi'!$I$5:$I$92,'Daftar Koreksi'!$D$5:$D$92,'1600'!A70,'Daftar Koreksi'!$G$5:$G$92,"Jalan Irigasi Jaringan",'Daftar Koreksi'!$I$5:$I$92,"&lt;0")-SUMIFS('Daftar Koreksi'!$I$5:$I$92,'Daftar Koreksi'!$D$5:$D$92,'1600'!A70,'Daftar Koreksi'!$G$5:$G$92,"Jalan Irigasi Jaringan",'Daftar Koreksi'!$I$5:$I$92,"&lt;0")-SUMIFS('Daftar Koreksi'!$I$5:$I$92,'Daftar Koreksi'!$D$5:$D$92,'1600'!A70,'Daftar Koreksi'!$G$5:$G$92,"Jalan Irigasi Jaringan",'Daftar Koreksi'!$I$5:$I$92,"&lt;0")</f>
        <v>0</v>
      </c>
      <c r="G85" s="17">
        <f t="shared" si="3"/>
        <v>-171553563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Koreksi'!$D$5:$D$92,'1600'!A70,'Daftar Koreksi'!$G$5:$G$92,"Aset Tetap Lainnya",'Daftar Koreksi'!$I$5:$I$92,"&gt;0")</f>
        <v>0</v>
      </c>
      <c r="F86" s="25">
        <f>SUMIFS('Daftar Koreksi'!$I$5:$I$92,'Daftar Koreksi'!$D$5:$D$92,'1600'!A70,'Daftar Koreksi'!$G$5:$G$92,"Aset Tetap Lainnya",'Daftar Koreksi'!$I$5:$I$92,"&lt;0")-SUMIFS('Daftar Koreksi'!$I$5:$I$92,'Daftar Koreksi'!$D$5:$D$92,'1600'!A70,'Daftar Koreksi'!$G$5:$G$92,"Aset Tetap Lainnya",'Daftar Koreksi'!$I$5:$I$92,"&lt;0")-SUMIFS('Daftar Koreksi'!$I$5:$I$92,'Daftar Koreksi'!$D$5:$D$92,'1600'!A70,'Daftar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-286214543</v>
      </c>
      <c r="E87" s="25">
        <f>SUMIFS('Daftar Koreksi'!$I$5:$I$92,'Daftar Koreksi'!$D$5:$D$92,'1600'!A70,'Daftar Koreksi'!$G$5:$G$92,"Aset Henti Guna",'Daftar Koreksi'!$I$5:$I$92,"&gt;0")</f>
        <v>0</v>
      </c>
      <c r="F87" s="25">
        <f>SUMIFS('Daftar Koreksi'!$I$5:$I$92,'Daftar Koreksi'!$D$5:$D$92,'1600'!A70,'Daftar Koreksi'!$G$5:$G$92,"Aset Henti Guna",'Daftar Koreksi'!$I$5:$I$92,"&lt;0")-SUMIFS('Daftar Koreksi'!$I$5:$I$92,'Daftar Koreksi'!$D$5:$D$92,'1600'!A70,'Daftar Koreksi'!$G$5:$G$92,"Aset Henti Guna",'Daftar Koreksi'!$I$5:$I$92,"&lt;0")-SUMIFS('Daftar Koreksi'!$I$5:$I$92,'Daftar Koreksi'!$D$5:$D$92,'1600'!A70,'Daftar Koreksi'!$G$5:$G$92,"Aset Henti Guna",'Daftar Koreksi'!$I$5:$I$92,"&lt;0")</f>
        <v>0</v>
      </c>
      <c r="G87" s="17">
        <f t="shared" si="3"/>
        <v>-286214543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-4037579875</v>
      </c>
      <c r="E88" s="19">
        <f>SUM(E83:E87)</f>
        <v>0</v>
      </c>
      <c r="F88" s="19">
        <f>SUM(F83:F87)</f>
        <v>0</v>
      </c>
      <c r="G88" s="19">
        <f t="shared" si="3"/>
        <v>-4037579875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58398816824</v>
      </c>
      <c r="E89" s="19">
        <f>E88+E82</f>
        <v>0</v>
      </c>
      <c r="F89" s="19">
        <f>F88+F82</f>
        <v>0</v>
      </c>
      <c r="G89" s="19">
        <f t="shared" si="3"/>
        <v>58398816824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005011600307161000KD</v>
      </c>
      <c r="B92" s="11" t="str">
        <f>P5</f>
        <v>PA. Tenggarong</v>
      </c>
      <c r="C92" s="12" t="str">
        <f>A92&amp;" "&amp;B92</f>
        <v>005011600307161000KD PA. Tenggarong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657000</v>
      </c>
      <c r="E95" s="25">
        <f>SUMIFS('Daftar Koreksi'!$H$5:$H$92,'Daftar Koreksi'!$D$5:$D$92,'1600'!A92,'Daftar Koreksi'!$G$5:$G$92,"Persediaan",'Daftar Koreksi'!$H$5:$H$92,"&gt;0")</f>
        <v>0</v>
      </c>
      <c r="F95" s="25">
        <f>SUMIFS('Daftar Koreksi'!$H$5:$H$92,'Daftar Koreksi'!$D$5:$D$92,'1600'!A92,'Daftar Koreksi'!$G$5:$G$92,"Persediaan",'Daftar Koreksi'!$H$5:$H$92,"&lt;0")-SUMIFS('Daftar Koreksi'!$H$5:$H$92,'Daftar Koreksi'!$D$5:$D$92,'1600'!A92,'Daftar Koreksi'!$G$5:$G$92,"Persediaan",'Daftar Koreksi'!$H$5:$H$92,"&lt;0")-SUMIFS('Daftar Koreksi'!$H$5:$H$92,'Daftar Koreksi'!$D$5:$D$92,'1600'!A92,'Daftar Koreksi'!$G$5:$G$92,"Persediaan",'Daftar Koreksi'!$H$5:$H$92,"&lt;0")</f>
        <v>0</v>
      </c>
      <c r="G95" s="17">
        <f>D95+E95-F95</f>
        <v>657000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0</v>
      </c>
      <c r="E96" s="25">
        <f>SUMIFS('Daftar Koreksi'!$H$5:$H$92,'Daftar Koreksi'!$D$5:$D$92,'1600'!A92,'Daftar Koreksi'!$G$5:$G$92,"Tanah",'Daftar Koreksi'!$H$5:$H$92,"&gt;0")</f>
        <v>0</v>
      </c>
      <c r="F96" s="25">
        <f>SUMIFS('Daftar Koreksi'!$H$5:$H$92,'Daftar Koreksi'!$D$5:$D$92,'1600'!A92,'Daftar Koreksi'!$G$5:$G$92,"Tanah",'Daftar Koreksi'!$H$5:$H$92,"&lt;0")-SUMIFS('Daftar Koreksi'!$H$5:$H$92,'Daftar Koreksi'!$D$5:$D$92,'1600'!A92,'Daftar Koreksi'!$G$5:$G$92,"Tanah",'Daftar Koreksi'!$H$5:$H$92,"&lt;0")-SUMIFS('Daftar Koreksi'!$H$5:$H$92,'Daftar Koreksi'!$D$5:$D$92,'1600'!A92,'Daftar Koreksi'!$G$5:$G$92,"Tanah",'Daftar Koreksi'!$H$5:$H$92,"&lt;0")</f>
        <v>0</v>
      </c>
      <c r="G96" s="17">
        <f t="shared" ref="G96:G112" si="4">D96+E96-F96</f>
        <v>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1496298839</v>
      </c>
      <c r="E97" s="25">
        <f>SUMIFS('Daftar Koreksi'!$H$5:$H$92,'Daftar Koreksi'!$D$5:$D$92,'1600'!A92,'Daftar Koreksi'!$G$5:$G$92,"Peralatan dan mesin",'Daftar Koreksi'!$H$5:$H$92,"&gt;0")</f>
        <v>0</v>
      </c>
      <c r="F97" s="25">
        <f>SUMIFS('Daftar Koreksi'!$H$5:$H$92,'Daftar Koreksi'!$D$5:$D$92,'1600'!A92,'Daftar Koreksi'!$G$5:$G$92,"Peralatan dan mesin",'Daftar Koreksi'!$H$5:$H$92,"&lt;0")-SUMIFS('Daftar Koreksi'!$H$5:$H$92,'Daftar Koreksi'!$D$5:$D$92,'1600'!A92,'Daftar Koreksi'!$G$5:$G$92,"Peralatan dan mesin",'Daftar Koreksi'!$H$5:$H$92,"&lt;0")-SUMIFS('Daftar Koreksi'!$H$5:$H$92,'Daftar Koreksi'!$D$5:$D$92,'1600'!A92,'Daftar Koreksi'!$G$5:$G$92,"Peralatan dan mesin",'Daftar Koreksi'!$H$5:$H$92,"&lt;0")</f>
        <v>0</v>
      </c>
      <c r="G97" s="17">
        <f t="shared" si="4"/>
        <v>1496298839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1347400000</v>
      </c>
      <c r="E98" s="25">
        <f>SUMIFS('Daftar Koreksi'!$H$5:$H$92,'Daftar Koreksi'!$D$5:$D$92,'1600'!A92,'Daftar Koreksi'!$G$5:$G$92,"Gedung dan Bangunan",'Daftar Koreksi'!$H$5:$H$92,"&gt;0")</f>
        <v>0</v>
      </c>
      <c r="F98" s="25">
        <f>SUMIFS('Daftar Koreksi'!$H$5:$H$92,'Daftar Koreksi'!$D$5:$D$92,'1600'!A92,'Daftar Koreksi'!$G$5:$G$92,"Gedung dan Bangunan",'Daftar Koreksi'!$H$5:$H$92,"&lt;0")-SUMIFS('Daftar Koreksi'!$H$5:$H$92,'Daftar Koreksi'!$D$5:$D$92,'1600'!A92,'Daftar Koreksi'!$G$5:$G$92,"Gedung dan Bangunan",'Daftar Koreksi'!$H$5:$H$92,"&lt;0")-SUMIFS('Daftar Koreksi'!$H$5:$H$92,'Daftar Koreksi'!$D$5:$D$92,'1600'!A92,'Daftar Koreksi'!$G$5:$G$92,"Gedung dan Bangunan",'Daftar Koreksi'!$H$5:$H$92,"&lt;0")</f>
        <v>0</v>
      </c>
      <c r="G98" s="17">
        <f t="shared" si="4"/>
        <v>1347400000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75322710</v>
      </c>
      <c r="E99" s="25">
        <f>SUMIFS('Daftar Koreksi'!$H$5:$H$92,'Daftar Koreksi'!$D$5:$D$92,'1600'!A92,'Daftar Koreksi'!$G$5:$G$92,"Jalan Irigasi Jaringan",'Daftar Koreksi'!$H$5:$H$92,"&gt;0")</f>
        <v>0</v>
      </c>
      <c r="F99" s="25">
        <f>SUMIFS('Daftar Koreksi'!$H$5:$H$92,'Daftar Koreksi'!$D$5:$D$92,'1600'!A92,'Daftar Koreksi'!$G$5:$G$92,"Jalan Irigasi Jaringan",'Daftar Koreksi'!$H$5:$H$92,"&lt;0")-SUMIFS('Daftar Koreksi'!$H$5:$H$92,'Daftar Koreksi'!$D$5:$D$92,'1600'!A92,'Daftar Koreksi'!$G$5:$G$92,"Jalan Irigasi Jaringan",'Daftar Koreksi'!$H$5:$H$92,"&lt;0")-SUMIFS('Daftar Koreksi'!$H$5:$H$92,'Daftar Koreksi'!$D$5:$D$92,'1600'!A92,'Daftar Koreksi'!$G$5:$G$92,"Jalan Irigasi Jaringan",'Daftar Koreksi'!$H$5:$H$92,"&lt;0")</f>
        <v>0</v>
      </c>
      <c r="G99" s="17">
        <f t="shared" si="4"/>
        <v>75322710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19871400</v>
      </c>
      <c r="E100" s="25">
        <f>SUMIFS('Daftar Koreksi'!$H$5:$H$92,'Daftar Koreksi'!$D$5:$D$92,'1600'!A92,'Daftar Koreksi'!$G$5:$G$92,"Aset Tetap Lainnya",'Daftar Koreksi'!$H$5:$H$92,"&gt;0")</f>
        <v>0</v>
      </c>
      <c r="F100" s="25">
        <f>SUMIFS('Daftar Koreksi'!$H$5:$H$92,'Daftar Koreksi'!$D$5:$D$92,'1600'!A92,'Daftar Koreksi'!$G$5:$G$92,"Aset Tetap Lainnya",'Daftar Koreksi'!$H$5:$H$92,"&lt;0")-SUMIFS('Daftar Koreksi'!$H$5:$H$92,'Daftar Koreksi'!$D$5:$D$92,'1600'!A92,'Daftar Koreksi'!$G$5:$G$92,"Aset Tetap Lainnya",'Daftar Koreksi'!$H$5:$H$92,"&lt;0")-SUMIFS('Daftar Koreksi'!$H$5:$H$92,'Daftar Koreksi'!$D$5:$D$92,'1600'!A92,'Daftar Koreksi'!$G$5:$G$92,"Aset Tetap Lainnya",'Daftar Koreksi'!$H$5:$H$92,"&lt;0")</f>
        <v>0</v>
      </c>
      <c r="G100" s="17">
        <f t="shared" si="4"/>
        <v>19871400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Koreksi'!$D$5:$D$92,'1600'!A92,'Daftar Koreksi'!$G$5:$G$92,"Kontruksi Dalam Pengerjaan",'Daftar Koreksi'!$H$5:$H$92,"&gt;0")</f>
        <v>0</v>
      </c>
      <c r="F101" s="25">
        <f>SUMIFS('Daftar Koreksi'!$H$5:$H$92,'Daftar Koreksi'!$D$5:$D$92,'1600'!A92,'Daftar Koreksi'!$G$5:$G$92,"Kontruksi Dalam Pengerjaan",'Daftar Koreksi'!$H$5:$H$92,"&lt;0")-SUMIFS('Daftar Koreksi'!$H$5:$H$92,'Daftar Koreksi'!$D$5:$D$92,'1600'!A92,'Daftar Koreksi'!$G$5:$G$92,"Kontruksi Dalam Pengerjaan",'Daftar Koreksi'!$H$5:$H$92,"&lt;0")-SUMIFS('Daftar Koreksi'!$H$5:$H$92,'Daftar Koreksi'!$D$5:$D$92,'1600'!A92,'Daftar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Koreksi'!$D$5:$D$92,'1600'!A92,'Daftar Koreksi'!$G$5:$G$92,"Aset Tak Berwujud",'Daftar Koreksi'!$H$5:$H$92,"&gt;0")</f>
        <v>0</v>
      </c>
      <c r="F102" s="25">
        <f>SUMIFS('Daftar Koreksi'!$H$5:$H$92,'Daftar Koreksi'!$D$5:$D$92,'1600'!A92,'Daftar Koreksi'!$G$5:$G$92,"Aset Tak Berwujud",'Daftar Koreksi'!$H$5:$H$92,"&lt;0")-SUMIFS('Daftar Koreksi'!$H$5:$H$92,'Daftar Koreksi'!$D$5:$D$92,'1600'!A92,'Daftar Koreksi'!$G$5:$G$92,"Aset Tak Berwujud",'Daftar Koreksi'!$H$5:$H$92,"&lt;0")-SUMIFS('Daftar Koreksi'!$H$5:$H$92,'Daftar Koreksi'!$D$5:$D$92,'1600'!A92,'Daftar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Koreksi'!$D$5:$D$92,'1600'!A92,'Daftar Koreksi'!$G$5:$G$92,"Aset Henti Guna",'Daftar Koreksi'!$H$5:$H$92,"&gt;0")</f>
        <v>0</v>
      </c>
      <c r="F103" s="25">
        <f>SUMIFS('Daftar Koreksi'!$H$5:$H$92,'Daftar Koreksi'!$D$5:$D$92,'1600'!A92,'Daftar Koreksi'!$G$5:$G$92,"Aset Henti Guna",'Daftar Koreksi'!$H$5:$H$92,"&lt;0")-SUMIFS('Daftar Koreksi'!$H$5:$H$92,'Daftar Koreksi'!$D$5:$D$92,'1600'!A92,'Daftar Koreksi'!$G$5:$G$92,"Aset Henti Guna",'Daftar Koreksi'!$H$5:$H$92,"&lt;0")-SUMIFS('Daftar Koreksi'!$H$5:$H$92,'Daftar Koreksi'!$D$5:$D$92,'1600'!A92,'Daftar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2939549949</v>
      </c>
      <c r="E104" s="19">
        <f>SUM(E95:E103)</f>
        <v>0</v>
      </c>
      <c r="F104" s="19">
        <f>SUM(F95:F103)</f>
        <v>0</v>
      </c>
      <c r="G104" s="19">
        <f t="shared" si="4"/>
        <v>2939549949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-1272472939</v>
      </c>
      <c r="E105" s="25">
        <f>SUMIFS('Daftar Koreksi'!$I$5:$I$92,'Daftar Koreksi'!$D$5:$D$92,'1600'!A92,'Daftar Koreksi'!$G$5:$G$92,"Peralatan dan mesin",'Daftar Koreksi'!$I$5:$I$92,"&gt;0")</f>
        <v>0</v>
      </c>
      <c r="F105" s="25">
        <f>SUMIFS('Daftar Koreksi'!$I$5:$I$92,'Daftar Koreksi'!$D$5:$D$92,'1600'!A92,'Daftar Koreksi'!$G$5:$G$92,"Peralatan dan mesin",'Daftar Koreksi'!$I$5:$I$92,"&lt;0")-SUMIFS('Daftar Koreksi'!$I$5:$I$92,'Daftar Koreksi'!$D$5:$D$92,'1600'!A92,'Daftar Koreksi'!$G$5:$G$92,"Peralatan dan mesin",'Daftar Koreksi'!$I$5:$I$92,"&lt;0")-SUMIFS('Daftar Koreksi'!$I$5:$I$92,'Daftar Koreksi'!$D$5:$D$92,'1600'!A92,'Daftar Koreksi'!$G$5:$G$92,"Peralatan dan mesin",'Daftar Koreksi'!$I$5:$I$92,"&lt;0")</f>
        <v>0</v>
      </c>
      <c r="G105" s="17">
        <f t="shared" si="4"/>
        <v>-1272472939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-434268000</v>
      </c>
      <c r="E106" s="25">
        <f>SUMIFS('Daftar Koreksi'!$I$5:$I$92,'Daftar Koreksi'!$D$5:$D$92,'1600'!A92,'Daftar Koreksi'!$G$5:$G$92,"Gedung dan Bangunan",'Daftar Koreksi'!$I$5:$I$92,"&gt;0")</f>
        <v>0</v>
      </c>
      <c r="F106" s="25">
        <f>SUMIFS('Daftar Koreksi'!$I$5:$I$92,'Daftar Koreksi'!$D$5:$D$92,'1600'!A92,'Daftar Koreksi'!$G$5:$G$92,"Gedung dan Bangunan",'Daftar Koreksi'!$I$5:$I$92,"&lt;0")-SUMIFS('Daftar Koreksi'!$I$5:$I$92,'Daftar Koreksi'!$D$5:$D$92,'1600'!A92,'Daftar Koreksi'!$G$5:$G$92,"Gedung dan Bangunan",'Daftar Koreksi'!$I$5:$I$92,"&lt;0")-SUMIFS('Daftar Koreksi'!$I$5:$I$92,'Daftar Koreksi'!$D$5:$D$92,'1600'!A92,'Daftar Koreksi'!$G$5:$G$92,"Gedung dan Bangunan",'Daftar Koreksi'!$I$5:$I$92,"&lt;0")</f>
        <v>0</v>
      </c>
      <c r="G106" s="17">
        <f t="shared" si="4"/>
        <v>-434268000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-26724150</v>
      </c>
      <c r="E107" s="25">
        <f>SUMIFS('Daftar Koreksi'!$I$5:$I$92,'Daftar Koreksi'!$D$5:$D$92,'1600'!A92,'Daftar Koreksi'!$G$5:$G$92,"Jalan Irigasi Jaringan",'Daftar Koreksi'!$I$5:$I$92,"&gt;0")</f>
        <v>0</v>
      </c>
      <c r="F107" s="25">
        <f>SUMIFS('Daftar Koreksi'!$I$5:$I$92,'Daftar Koreksi'!$D$5:$D$92,'1600'!A92,'Daftar Koreksi'!$G$5:$G$92,"Jalan Irigasi Jaringan",'Daftar Koreksi'!$I$5:$I$92,"&lt;0")-SUMIFS('Daftar Koreksi'!$I$5:$I$92,'Daftar Koreksi'!$D$5:$D$92,'1600'!A92,'Daftar Koreksi'!$G$5:$G$92,"Jalan Irigasi Jaringan",'Daftar Koreksi'!$I$5:$I$92,"&lt;0")-SUMIFS('Daftar Koreksi'!$I$5:$I$92,'Daftar Koreksi'!$D$5:$D$92,'1600'!A92,'Daftar Koreksi'!$G$5:$G$92,"Jalan Irigasi Jaringan",'Daftar Koreksi'!$I$5:$I$92,"&lt;0")</f>
        <v>0</v>
      </c>
      <c r="G107" s="17">
        <f t="shared" si="4"/>
        <v>-26724150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Koreksi'!$D$5:$D$92,'1600'!A92,'Daftar Koreksi'!$G$5:$G$92,"Aset Tetap Lainnya",'Daftar Koreksi'!$I$5:$I$92,"&gt;0")</f>
        <v>0</v>
      </c>
      <c r="F108" s="25">
        <f>SUMIFS('Daftar Koreksi'!$I$5:$I$92,'Daftar Koreksi'!$D$5:$D$92,'1600'!A92,'Daftar Koreksi'!$G$5:$G$92,"Aset Tetap Lainnya",'Daftar Koreksi'!$I$5:$I$92,"&lt;0")-SUMIFS('Daftar Koreksi'!$I$5:$I$92,'Daftar Koreksi'!$D$5:$D$92,'1600'!A92,'Daftar Koreksi'!$G$5:$G$92,"Aset Tetap Lainnya",'Daftar Koreksi'!$I$5:$I$92,"&lt;0")-SUMIFS('Daftar Koreksi'!$I$5:$I$92,'Daftar Koreksi'!$D$5:$D$92,'1600'!A92,'Daftar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Koreksi'!$D$5:$D$92,'1600'!A92,'Daftar Koreksi'!$G$5:$G$92,"Aset Henti Guna",'Daftar Koreksi'!$I$5:$I$92,"&gt;0")</f>
        <v>0</v>
      </c>
      <c r="F109" s="25">
        <f>SUMIFS('Daftar Koreksi'!$I$5:$I$92,'Daftar Koreksi'!$D$5:$D$92,'1600'!A92,'Daftar Koreksi'!$G$5:$G$92,"Aset Henti Guna",'Daftar Koreksi'!$I$5:$I$92,"&lt;0")-SUMIFS('Daftar Koreksi'!$I$5:$I$92,'Daftar Koreksi'!$D$5:$D$92,'1600'!A92,'Daftar Koreksi'!$G$5:$G$92,"Aset Henti Guna",'Daftar Koreksi'!$I$5:$I$92,"&lt;0")-SUMIFS('Daftar Koreksi'!$I$5:$I$92,'Daftar Koreksi'!$D$5:$D$92,'1600'!A92,'Daftar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-1733465089</v>
      </c>
      <c r="E110" s="19">
        <f>SUM(E105:E109)</f>
        <v>0</v>
      </c>
      <c r="F110" s="19">
        <f>SUM(F105:F109)</f>
        <v>0</v>
      </c>
      <c r="G110" s="19">
        <f t="shared" si="4"/>
        <v>-1733465089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1206084860</v>
      </c>
      <c r="E111" s="19">
        <f>E110+E104</f>
        <v>0</v>
      </c>
      <c r="F111" s="19">
        <f>F110+F104</f>
        <v>0</v>
      </c>
      <c r="G111" s="19">
        <f t="shared" si="4"/>
        <v>1206084860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005011600307178000KD</v>
      </c>
      <c r="B114" s="11" t="str">
        <f>P6</f>
        <v>PA. Samarinda</v>
      </c>
      <c r="C114" s="12" t="str">
        <f>A114&amp;" "&amp;B114</f>
        <v>005011600307178000KD PA. Samarinda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0</v>
      </c>
      <c r="E117" s="25">
        <f>SUMIFS('Daftar Koreksi'!$H$5:$H$92,'Daftar Koreksi'!$D$5:$D$92,'1600'!A114,'Daftar Koreksi'!$G$5:$G$92,"Persediaan",'Daftar Koreksi'!$H$5:$H$92,"&gt;0")</f>
        <v>0</v>
      </c>
      <c r="F117" s="25">
        <f>SUMIFS('Daftar Koreksi'!$H$5:$H$92,'Daftar Koreksi'!$D$5:$D$92,'1600'!A114,'Daftar Koreksi'!$G$5:$G$92,"Persediaan",'Daftar Koreksi'!$H$5:$H$92,"&lt;0")-SUMIFS('Daftar Koreksi'!$H$5:$H$92,'Daftar Koreksi'!$D$5:$D$92,'1600'!A114,'Daftar Koreksi'!$G$5:$G$92,"Persediaan",'Daftar Koreksi'!$H$5:$H$92,"&lt;0")-SUMIFS('Daftar Koreksi'!$H$5:$H$92,'Daftar Koreksi'!$D$5:$D$92,'1600'!A114,'Daftar Koreksi'!$G$5:$G$92,"Persediaan",'Daftar Koreksi'!$H$5:$H$92,"&lt;0")</f>
        <v>0</v>
      </c>
      <c r="G117" s="17">
        <f>D117+E117-F117</f>
        <v>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5589072000</v>
      </c>
      <c r="E118" s="25">
        <f>SUMIFS('Daftar Koreksi'!$H$5:$H$92,'Daftar Koreksi'!$D$5:$D$92,'1600'!A114,'Daftar Koreksi'!$G$5:$G$92,"Tanah",'Daftar Koreksi'!$H$5:$H$92,"&gt;0")</f>
        <v>0</v>
      </c>
      <c r="F118" s="25">
        <f>SUMIFS('Daftar Koreksi'!$H$5:$H$92,'Daftar Koreksi'!$D$5:$D$92,'1600'!A114,'Daftar Koreksi'!$G$5:$G$92,"Tanah",'Daftar Koreksi'!$H$5:$H$92,"&lt;0")-SUMIFS('Daftar Koreksi'!$H$5:$H$92,'Daftar Koreksi'!$D$5:$D$92,'1600'!A114,'Daftar Koreksi'!$G$5:$G$92,"Tanah",'Daftar Koreksi'!$H$5:$H$92,"&lt;0")-SUMIFS('Daftar Koreksi'!$H$5:$H$92,'Daftar Koreksi'!$D$5:$D$92,'1600'!A114,'Daftar Koreksi'!$G$5:$G$92,"Tanah",'Daftar Koreksi'!$H$5:$H$92,"&lt;0")</f>
        <v>0</v>
      </c>
      <c r="G118" s="17">
        <f t="shared" ref="G118:G134" si="5">D118+E118-F118</f>
        <v>5589072000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1954574743</v>
      </c>
      <c r="E119" s="25">
        <f>SUMIFS('Daftar Koreksi'!$H$5:$H$92,'Daftar Koreksi'!$D$5:$D$92,'1600'!A114,'Daftar Koreksi'!$G$5:$G$92,"Peralatan dan mesin",'Daftar Koreksi'!$H$5:$H$92,"&gt;0")</f>
        <v>0</v>
      </c>
      <c r="F119" s="25">
        <f>SUMIFS('Daftar Koreksi'!$H$5:$H$92,'Daftar Koreksi'!$D$5:$D$92,'1600'!A114,'Daftar Koreksi'!$G$5:$G$92,"Peralatan dan mesin",'Daftar Koreksi'!$H$5:$H$92,"&lt;0")-SUMIFS('Daftar Koreksi'!$H$5:$H$92,'Daftar Koreksi'!$D$5:$D$92,'1600'!A114,'Daftar Koreksi'!$G$5:$G$92,"Peralatan dan mesin",'Daftar Koreksi'!$H$5:$H$92,"&lt;0")-SUMIFS('Daftar Koreksi'!$H$5:$H$92,'Daftar Koreksi'!$D$5:$D$92,'1600'!A114,'Daftar Koreksi'!$G$5:$G$92,"Peralatan dan mesin",'Daftar Koreksi'!$H$5:$H$92,"&lt;0")</f>
        <v>0</v>
      </c>
      <c r="G119" s="17">
        <f t="shared" si="5"/>
        <v>1954574743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7538608949</v>
      </c>
      <c r="E120" s="25">
        <f>SUMIFS('Daftar Koreksi'!$H$5:$H$92,'Daftar Koreksi'!$D$5:$D$92,'1600'!A114,'Daftar Koreksi'!$G$5:$G$92,"Gedung dan Bangunan",'Daftar Koreksi'!$H$5:$H$92,"&gt;0")</f>
        <v>0</v>
      </c>
      <c r="F120" s="25">
        <f>SUMIFS('Daftar Koreksi'!$H$5:$H$92,'Daftar Koreksi'!$D$5:$D$92,'1600'!A114,'Daftar Koreksi'!$G$5:$G$92,"Gedung dan Bangunan",'Daftar Koreksi'!$H$5:$H$92,"&lt;0")-SUMIFS('Daftar Koreksi'!$H$5:$H$92,'Daftar Koreksi'!$D$5:$D$92,'1600'!A114,'Daftar Koreksi'!$G$5:$G$92,"Gedung dan Bangunan",'Daftar Koreksi'!$H$5:$H$92,"&lt;0")-SUMIFS('Daftar Koreksi'!$H$5:$H$92,'Daftar Koreksi'!$D$5:$D$92,'1600'!A114,'Daftar Koreksi'!$G$5:$G$92,"Gedung dan Bangunan",'Daftar Koreksi'!$H$5:$H$92,"&lt;0")</f>
        <v>0</v>
      </c>
      <c r="G120" s="17">
        <f t="shared" si="5"/>
        <v>7538608949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115639851</v>
      </c>
      <c r="E121" s="25">
        <f>SUMIFS('Daftar Koreksi'!$H$5:$H$92,'Daftar Koreksi'!$D$5:$D$92,'1600'!A114,'Daftar Koreksi'!$G$5:$G$92,"Jalan Irigasi Jaringan",'Daftar Koreksi'!$H$5:$H$92,"&gt;0")</f>
        <v>0</v>
      </c>
      <c r="F121" s="25">
        <f>SUMIFS('Daftar Koreksi'!$H$5:$H$92,'Daftar Koreksi'!$D$5:$D$92,'1600'!A114,'Daftar Koreksi'!$G$5:$G$92,"Jalan Irigasi Jaringan",'Daftar Koreksi'!$H$5:$H$92,"&lt;0")-SUMIFS('Daftar Koreksi'!$H$5:$H$92,'Daftar Koreksi'!$D$5:$D$92,'1600'!A114,'Daftar Koreksi'!$G$5:$G$92,"Jalan Irigasi Jaringan",'Daftar Koreksi'!$H$5:$H$92,"&lt;0")-SUMIFS('Daftar Koreksi'!$H$5:$H$92,'Daftar Koreksi'!$D$5:$D$92,'1600'!A114,'Daftar Koreksi'!$G$5:$G$92,"Jalan Irigasi Jaringan",'Daftar Koreksi'!$H$5:$H$92,"&lt;0")</f>
        <v>0</v>
      </c>
      <c r="G121" s="17">
        <f t="shared" si="5"/>
        <v>115639851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2908678</v>
      </c>
      <c r="E122" s="25">
        <f>SUMIFS('Daftar Koreksi'!$H$5:$H$92,'Daftar Koreksi'!$D$5:$D$92,'1600'!A114,'Daftar Koreksi'!$G$5:$G$92,"Aset Tetap Lainnya",'Daftar Koreksi'!$H$5:$H$92,"&gt;0")</f>
        <v>0</v>
      </c>
      <c r="F122" s="25">
        <f>SUMIFS('Daftar Koreksi'!$H$5:$H$92,'Daftar Koreksi'!$D$5:$D$92,'1600'!A114,'Daftar Koreksi'!$G$5:$G$92,"Aset Tetap Lainnya",'Daftar Koreksi'!$H$5:$H$92,"&lt;0")-SUMIFS('Daftar Koreksi'!$H$5:$H$92,'Daftar Koreksi'!$D$5:$D$92,'1600'!A114,'Daftar Koreksi'!$G$5:$G$92,"Aset Tetap Lainnya",'Daftar Koreksi'!$H$5:$H$92,"&lt;0")-SUMIFS('Daftar Koreksi'!$H$5:$H$92,'Daftar Koreksi'!$D$5:$D$92,'1600'!A114,'Daftar Koreksi'!$G$5:$G$92,"Aset Tetap Lainnya",'Daftar Koreksi'!$H$5:$H$92,"&lt;0")</f>
        <v>0</v>
      </c>
      <c r="G122" s="17">
        <f t="shared" si="5"/>
        <v>2908678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Koreksi'!$D$5:$D$92,'1600'!A114,'Daftar Koreksi'!$G$5:$G$92,"Kontruksi Dalam Pengerjaan",'Daftar Koreksi'!$H$5:$H$92,"&gt;0")</f>
        <v>0</v>
      </c>
      <c r="F123" s="25">
        <f>SUMIFS('Daftar Koreksi'!$H$5:$H$92,'Daftar Koreksi'!$D$5:$D$92,'1600'!A114,'Daftar Koreksi'!$G$5:$G$92,"Kontruksi Dalam Pengerjaan",'Daftar Koreksi'!$H$5:$H$92,"&lt;0")-SUMIFS('Daftar Koreksi'!$H$5:$H$92,'Daftar Koreksi'!$D$5:$D$92,'1600'!A114,'Daftar Koreksi'!$G$5:$G$92,"Kontruksi Dalam Pengerjaan",'Daftar Koreksi'!$H$5:$H$92,"&lt;0")-SUMIFS('Daftar Koreksi'!$H$5:$H$92,'Daftar Koreksi'!$D$5:$D$92,'1600'!A114,'Daftar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Koreksi'!$D$5:$D$92,'1600'!A114,'Daftar Koreksi'!$G$5:$G$92,"Aset Tak Berwujud",'Daftar Koreksi'!$H$5:$H$92,"&gt;0")</f>
        <v>0</v>
      </c>
      <c r="F124" s="25">
        <f>SUMIFS('Daftar Koreksi'!$H$5:$H$92,'Daftar Koreksi'!$D$5:$D$92,'1600'!A114,'Daftar Koreksi'!$G$5:$G$92,"Aset Tak Berwujud",'Daftar Koreksi'!$H$5:$H$92,"&lt;0")-SUMIFS('Daftar Koreksi'!$H$5:$H$92,'Daftar Koreksi'!$D$5:$D$92,'1600'!A114,'Daftar Koreksi'!$G$5:$G$92,"Aset Tak Berwujud",'Daftar Koreksi'!$H$5:$H$92,"&lt;0")-SUMIFS('Daftar Koreksi'!$H$5:$H$92,'Daftar Koreksi'!$D$5:$D$92,'1600'!A114,'Daftar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Koreksi'!$D$5:$D$92,'1600'!A114,'Daftar Koreksi'!$G$5:$G$92,"Aset Henti Guna",'Daftar Koreksi'!$H$5:$H$92,"&gt;0")</f>
        <v>0</v>
      </c>
      <c r="F125" s="25">
        <f>SUMIFS('Daftar Koreksi'!$H$5:$H$92,'Daftar Koreksi'!$D$5:$D$92,'1600'!A114,'Daftar Koreksi'!$G$5:$G$92,"Aset Henti Guna",'Daftar Koreksi'!$H$5:$H$92,"&lt;0")-SUMIFS('Daftar Koreksi'!$H$5:$H$92,'Daftar Koreksi'!$D$5:$D$92,'1600'!A114,'Daftar Koreksi'!$G$5:$G$92,"Aset Henti Guna",'Daftar Koreksi'!$H$5:$H$92,"&lt;0")-SUMIFS('Daftar Koreksi'!$H$5:$H$92,'Daftar Koreksi'!$D$5:$D$92,'1600'!A114,'Daftar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15200804221</v>
      </c>
      <c r="E126" s="19">
        <f>SUM(E117:E125)</f>
        <v>0</v>
      </c>
      <c r="F126" s="19">
        <f>SUM(F117:F125)</f>
        <v>0</v>
      </c>
      <c r="G126" s="19">
        <f t="shared" si="5"/>
        <v>15200804221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-1714575465</v>
      </c>
      <c r="E127" s="25">
        <f>SUMIFS('Daftar Koreksi'!$I$5:$I$92,'Daftar Koreksi'!$D$5:$D$92,'1600'!A114,'Daftar Koreksi'!$G$5:$G$92,"Peralatan dan mesin",'Daftar Koreksi'!$I$5:$I$92,"&gt;0")</f>
        <v>0</v>
      </c>
      <c r="F127" s="25">
        <f>SUMIFS('Daftar Koreksi'!$I$5:$I$92,'Daftar Koreksi'!$D$5:$D$92,'1600'!A114,'Daftar Koreksi'!$G$5:$G$92,"Peralatan dan mesin",'Daftar Koreksi'!$I$5:$I$92,"&lt;0")-SUMIFS('Daftar Koreksi'!$I$5:$I$92,'Daftar Koreksi'!$D$5:$D$92,'1600'!A114,'Daftar Koreksi'!$G$5:$G$92,"Peralatan dan mesin",'Daftar Koreksi'!$I$5:$I$92,"&lt;0")-SUMIFS('Daftar Koreksi'!$I$5:$I$92,'Daftar Koreksi'!$D$5:$D$92,'1600'!A114,'Daftar Koreksi'!$G$5:$G$92,"Peralatan dan mesin",'Daftar Koreksi'!$I$5:$I$92,"&lt;0")</f>
        <v>0</v>
      </c>
      <c r="G127" s="17">
        <f t="shared" si="5"/>
        <v>-1714575465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-966772799</v>
      </c>
      <c r="E128" s="25">
        <f>SUMIFS('Daftar Koreksi'!$I$5:$I$92,'Daftar Koreksi'!$D$5:$D$92,'1600'!A114,'Daftar Koreksi'!$G$5:$G$92,"Gedung dan Bangunan",'Daftar Koreksi'!$I$5:$I$92,"&gt;0")</f>
        <v>0</v>
      </c>
      <c r="F128" s="25">
        <f>SUMIFS('Daftar Koreksi'!$I$5:$I$92,'Daftar Koreksi'!$D$5:$D$92,'1600'!A114,'Daftar Koreksi'!$G$5:$G$92,"Gedung dan Bangunan",'Daftar Koreksi'!$I$5:$I$92,"&lt;0")-SUMIFS('Daftar Koreksi'!$I$5:$I$92,'Daftar Koreksi'!$D$5:$D$92,'1600'!A114,'Daftar Koreksi'!$G$5:$G$92,"Gedung dan Bangunan",'Daftar Koreksi'!$I$5:$I$92,"&lt;0")-SUMIFS('Daftar Koreksi'!$I$5:$I$92,'Daftar Koreksi'!$D$5:$D$92,'1600'!A114,'Daftar Koreksi'!$G$5:$G$92,"Gedung dan Bangunan",'Daftar Koreksi'!$I$5:$I$92,"&lt;0")</f>
        <v>0</v>
      </c>
      <c r="G128" s="17">
        <f t="shared" si="5"/>
        <v>-966772799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-18791475</v>
      </c>
      <c r="E129" s="25">
        <f>SUMIFS('Daftar Koreksi'!$I$5:$I$92,'Daftar Koreksi'!$D$5:$D$92,'1600'!A114,'Daftar Koreksi'!$G$5:$G$92,"Jalan Irigasi Jaringan",'Daftar Koreksi'!$I$5:$I$92,"&gt;0")</f>
        <v>0</v>
      </c>
      <c r="F129" s="25">
        <f>SUMIFS('Daftar Koreksi'!$I$5:$I$92,'Daftar Koreksi'!$D$5:$D$92,'1600'!A114,'Daftar Koreksi'!$G$5:$G$92,"Jalan Irigasi Jaringan",'Daftar Koreksi'!$I$5:$I$92,"&lt;0")-SUMIFS('Daftar Koreksi'!$I$5:$I$92,'Daftar Koreksi'!$D$5:$D$92,'1600'!A114,'Daftar Koreksi'!$G$5:$G$92,"Jalan Irigasi Jaringan",'Daftar Koreksi'!$I$5:$I$92,"&lt;0")-SUMIFS('Daftar Koreksi'!$I$5:$I$92,'Daftar Koreksi'!$D$5:$D$92,'1600'!A114,'Daftar Koreksi'!$G$5:$G$92,"Jalan Irigasi Jaringan",'Daftar Koreksi'!$I$5:$I$92,"&lt;0")</f>
        <v>0</v>
      </c>
      <c r="G129" s="17">
        <f t="shared" si="5"/>
        <v>-18791475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Koreksi'!$D$5:$D$92,'1600'!A114,'Daftar Koreksi'!$G$5:$G$92,"Aset Tetap Lainnya",'Daftar Koreksi'!$I$5:$I$92,"&gt;0")</f>
        <v>0</v>
      </c>
      <c r="F130" s="25">
        <f>SUMIFS('Daftar Koreksi'!$I$5:$I$92,'Daftar Koreksi'!$D$5:$D$92,'1600'!A114,'Daftar Koreksi'!$G$5:$G$92,"Aset Tetap Lainnya",'Daftar Koreksi'!$I$5:$I$92,"&lt;0")-SUMIFS('Daftar Koreksi'!$I$5:$I$92,'Daftar Koreksi'!$D$5:$D$92,'1600'!A114,'Daftar Koreksi'!$G$5:$G$92,"Aset Tetap Lainnya",'Daftar Koreksi'!$I$5:$I$92,"&lt;0")-SUMIFS('Daftar Koreksi'!$I$5:$I$92,'Daftar Koreksi'!$D$5:$D$92,'1600'!A114,'Daftar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Koreksi'!$D$5:$D$92,'1600'!A114,'Daftar Koreksi'!$G$5:$G$92,"Aset Henti Guna",'Daftar Koreksi'!$I$5:$I$92,"&gt;0")</f>
        <v>0</v>
      </c>
      <c r="F131" s="25">
        <f>SUMIFS('Daftar Koreksi'!$I$5:$I$92,'Daftar Koreksi'!$D$5:$D$92,'1600'!A114,'Daftar Koreksi'!$G$5:$G$92,"Aset Henti Guna",'Daftar Koreksi'!$I$5:$I$92,"&lt;0")-SUMIFS('Daftar Koreksi'!$I$5:$I$92,'Daftar Koreksi'!$D$5:$D$92,'1600'!A114,'Daftar Koreksi'!$G$5:$G$92,"Aset Henti Guna",'Daftar Koreksi'!$I$5:$I$92,"&lt;0")-SUMIFS('Daftar Koreksi'!$I$5:$I$92,'Daftar Koreksi'!$D$5:$D$92,'1600'!A114,'Daftar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-2700139739</v>
      </c>
      <c r="E132" s="19">
        <f>SUM(E127:E131)</f>
        <v>0</v>
      </c>
      <c r="F132" s="19">
        <f>SUM(F127:F131)</f>
        <v>0</v>
      </c>
      <c r="G132" s="19">
        <f t="shared" si="5"/>
        <v>-2700139739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12500664482</v>
      </c>
      <c r="E133" s="19">
        <f>E132+E126</f>
        <v>0</v>
      </c>
      <c r="F133" s="19">
        <f>F132+F126</f>
        <v>0</v>
      </c>
      <c r="G133" s="19">
        <f t="shared" si="5"/>
        <v>12500664482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005011600307182000KD</v>
      </c>
      <c r="B136" s="11" t="str">
        <f>P7</f>
        <v xml:space="preserve">PA. Tanah Grogot </v>
      </c>
      <c r="C136" s="12" t="str">
        <f>A136&amp;" "&amp;B136</f>
        <v xml:space="preserve">005011600307182000KD PA. Tanah Grogot 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Koreksi'!$D$5:$D$92,'1600'!A136,'Daftar Koreksi'!$G$5:$G$92,"Persediaan",'Daftar Koreksi'!$H$5:$H$92,"&gt;0")</f>
        <v>0</v>
      </c>
      <c r="F139" s="25">
        <f>SUMIFS('Daftar Koreksi'!$H$5:$H$92,'Daftar Koreksi'!$D$5:$D$92,'1600'!A136,'Daftar Koreksi'!$G$5:$G$92,"Persediaan",'Daftar Koreksi'!$H$5:$H$92,"&lt;0")-SUMIFS('Daftar Koreksi'!$H$5:$H$92,'Daftar Koreksi'!$D$5:$D$92,'1600'!A136,'Daftar Koreksi'!$G$5:$G$92,"Persediaan",'Daftar Koreksi'!$H$5:$H$92,"&lt;0")-SUMIFS('Daftar Koreksi'!$H$5:$H$92,'Daftar Koreksi'!$D$5:$D$92,'1600'!A136,'Daftar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212625000</v>
      </c>
      <c r="E140" s="25">
        <f>SUMIFS('Daftar Koreksi'!$H$5:$H$92,'Daftar Koreksi'!$D$5:$D$92,'1600'!A136,'Daftar Koreksi'!$G$5:$G$92,"Tanah",'Daftar Koreksi'!$H$5:$H$92,"&gt;0")</f>
        <v>0</v>
      </c>
      <c r="F140" s="25">
        <f>SUMIFS('Daftar Koreksi'!$H$5:$H$92,'Daftar Koreksi'!$D$5:$D$92,'1600'!A136,'Daftar Koreksi'!$G$5:$G$92,"Tanah",'Daftar Koreksi'!$H$5:$H$92,"&lt;0")-SUMIFS('Daftar Koreksi'!$H$5:$H$92,'Daftar Koreksi'!$D$5:$D$92,'1600'!A136,'Daftar Koreksi'!$G$5:$G$92,"Tanah",'Daftar Koreksi'!$H$5:$H$92,"&lt;0")-SUMIFS('Daftar Koreksi'!$H$5:$H$92,'Daftar Koreksi'!$D$5:$D$92,'1600'!A136,'Daftar Koreksi'!$G$5:$G$92,"Tanah",'Daftar Koreksi'!$H$5:$H$92,"&lt;0")</f>
        <v>0</v>
      </c>
      <c r="G140" s="17">
        <f t="shared" ref="G140:G156" si="6">D140+E140-F140</f>
        <v>212625000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616543753</v>
      </c>
      <c r="E141" s="25">
        <f>SUMIFS('Daftar Koreksi'!$H$5:$H$92,'Daftar Koreksi'!$D$5:$D$92,'1600'!A136,'Daftar Koreksi'!$G$5:$G$92,"Peralatan dan mesin",'Daftar Koreksi'!$H$5:$H$92,"&gt;0")</f>
        <v>0</v>
      </c>
      <c r="F141" s="25">
        <f>SUMIFS('Daftar Koreksi'!$H$5:$H$92,'Daftar Koreksi'!$D$5:$D$92,'1600'!A136,'Daftar Koreksi'!$G$5:$G$92,"Peralatan dan mesin",'Daftar Koreksi'!$H$5:$H$92,"&lt;0")-SUMIFS('Daftar Koreksi'!$H$5:$H$92,'Daftar Koreksi'!$D$5:$D$92,'1600'!A136,'Daftar Koreksi'!$G$5:$G$92,"Peralatan dan mesin",'Daftar Koreksi'!$H$5:$H$92,"&lt;0")-SUMIFS('Daftar Koreksi'!$H$5:$H$92,'Daftar Koreksi'!$D$5:$D$92,'1600'!A136,'Daftar Koreksi'!$G$5:$G$92,"Peralatan dan mesin",'Daftar Koreksi'!$H$5:$H$92,"&lt;0")</f>
        <v>0</v>
      </c>
      <c r="G141" s="17">
        <f t="shared" si="6"/>
        <v>616543753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8375771000</v>
      </c>
      <c r="E142" s="25">
        <f>SUMIFS('Daftar Koreksi'!$H$5:$H$92,'Daftar Koreksi'!$D$5:$D$92,'1600'!A136,'Daftar Koreksi'!$G$5:$G$92,"Gedung dan Bangunan",'Daftar Koreksi'!$H$5:$H$92,"&gt;0")</f>
        <v>0</v>
      </c>
      <c r="F142" s="25">
        <f>SUMIFS('Daftar Koreksi'!$H$5:$H$92,'Daftar Koreksi'!$D$5:$D$92,'1600'!A136,'Daftar Koreksi'!$G$5:$G$92,"Gedung dan Bangunan",'Daftar Koreksi'!$H$5:$H$92,"&lt;0")-SUMIFS('Daftar Koreksi'!$H$5:$H$92,'Daftar Koreksi'!$D$5:$D$92,'1600'!A136,'Daftar Koreksi'!$G$5:$G$92,"Gedung dan Bangunan",'Daftar Koreksi'!$H$5:$H$92,"&lt;0")-SUMIFS('Daftar Koreksi'!$H$5:$H$92,'Daftar Koreksi'!$D$5:$D$92,'1600'!A136,'Daftar Koreksi'!$G$5:$G$92,"Gedung dan Bangunan",'Daftar Koreksi'!$H$5:$H$92,"&lt;0")</f>
        <v>0</v>
      </c>
      <c r="G142" s="17">
        <f t="shared" si="6"/>
        <v>8375771000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1028625</v>
      </c>
      <c r="E143" s="25">
        <f>SUMIFS('Daftar Koreksi'!$H$5:$H$92,'Daftar Koreksi'!$D$5:$D$92,'1600'!A136,'Daftar Koreksi'!$G$5:$G$92,"Jalan Irigasi Jaringan",'Daftar Koreksi'!$H$5:$H$92,"&gt;0")</f>
        <v>0</v>
      </c>
      <c r="F143" s="25">
        <f>SUMIFS('Daftar Koreksi'!$H$5:$H$92,'Daftar Koreksi'!$D$5:$D$92,'1600'!A136,'Daftar Koreksi'!$G$5:$G$92,"Jalan Irigasi Jaringan",'Daftar Koreksi'!$H$5:$H$92,"&lt;0")-SUMIFS('Daftar Koreksi'!$H$5:$H$92,'Daftar Koreksi'!$D$5:$D$92,'1600'!A136,'Daftar Koreksi'!$G$5:$G$92,"Jalan Irigasi Jaringan",'Daftar Koreksi'!$H$5:$H$92,"&lt;0")-SUMIFS('Daftar Koreksi'!$H$5:$H$92,'Daftar Koreksi'!$D$5:$D$92,'1600'!A136,'Daftar Koreksi'!$G$5:$G$92,"Jalan Irigasi Jaringan",'Daftar Koreksi'!$H$5:$H$92,"&lt;0")</f>
        <v>0</v>
      </c>
      <c r="G143" s="17">
        <f t="shared" si="6"/>
        <v>1028625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2828678</v>
      </c>
      <c r="E144" s="25">
        <f>SUMIFS('Daftar Koreksi'!$H$5:$H$92,'Daftar Koreksi'!$D$5:$D$92,'1600'!A136,'Daftar Koreksi'!$G$5:$G$92,"Aset Tetap Lainnya",'Daftar Koreksi'!$H$5:$H$92,"&gt;0")</f>
        <v>0</v>
      </c>
      <c r="F144" s="25">
        <f>SUMIFS('Daftar Koreksi'!$H$5:$H$92,'Daftar Koreksi'!$D$5:$D$92,'1600'!A136,'Daftar Koreksi'!$G$5:$G$92,"Aset Tetap Lainnya",'Daftar Koreksi'!$H$5:$H$92,"&lt;0")-SUMIFS('Daftar Koreksi'!$H$5:$H$92,'Daftar Koreksi'!$D$5:$D$92,'1600'!A136,'Daftar Koreksi'!$G$5:$G$92,"Aset Tetap Lainnya",'Daftar Koreksi'!$H$5:$H$92,"&lt;0")-SUMIFS('Daftar Koreksi'!$H$5:$H$92,'Daftar Koreksi'!$D$5:$D$92,'1600'!A136,'Daftar Koreksi'!$G$5:$G$92,"Aset Tetap Lainnya",'Daftar Koreksi'!$H$5:$H$92,"&lt;0")</f>
        <v>0</v>
      </c>
      <c r="G144" s="17">
        <f t="shared" si="6"/>
        <v>2828678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4187511000</v>
      </c>
      <c r="E145" s="25">
        <f>SUMIFS('Daftar Koreksi'!$H$5:$H$92,'Daftar Koreksi'!$D$5:$D$92,'1600'!A136,'Daftar Koreksi'!$G$5:$G$92,"Kontruksi Dalam Pengerjaan",'Daftar Koreksi'!$H$5:$H$92,"&gt;0")</f>
        <v>0</v>
      </c>
      <c r="F145" s="25">
        <f>SUMIFS('Daftar Koreksi'!$H$5:$H$92,'Daftar Koreksi'!$D$5:$D$92,'1600'!A136,'Daftar Koreksi'!$G$5:$G$92,"Kontruksi Dalam Pengerjaan",'Daftar Koreksi'!$H$5:$H$92,"&lt;0")-SUMIFS('Daftar Koreksi'!$H$5:$H$92,'Daftar Koreksi'!$D$5:$D$92,'1600'!A136,'Daftar Koreksi'!$G$5:$G$92,"Kontruksi Dalam Pengerjaan",'Daftar Koreksi'!$H$5:$H$92,"&lt;0")-SUMIFS('Daftar Koreksi'!$H$5:$H$92,'Daftar Koreksi'!$D$5:$D$92,'1600'!A136,'Daftar Koreksi'!$G$5:$G$92,"Kontruksi Dalam Pengerjaan",'Daftar Koreksi'!$H$5:$H$92,"&lt;0")</f>
        <v>0</v>
      </c>
      <c r="G145" s="17">
        <f t="shared" si="6"/>
        <v>4187511000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Koreksi'!$D$5:$D$92,'1600'!A136,'Daftar Koreksi'!$G$5:$G$92,"Aset Tak Berwujud",'Daftar Koreksi'!$H$5:$H$92,"&gt;0")</f>
        <v>0</v>
      </c>
      <c r="F146" s="25">
        <f>SUMIFS('Daftar Koreksi'!$H$5:$H$92,'Daftar Koreksi'!$D$5:$D$92,'1600'!A136,'Daftar Koreksi'!$G$5:$G$92,"Aset Tak Berwujud",'Daftar Koreksi'!$H$5:$H$92,"&lt;0")-SUMIFS('Daftar Koreksi'!$H$5:$H$92,'Daftar Koreksi'!$D$5:$D$92,'1600'!A136,'Daftar Koreksi'!$G$5:$G$92,"Aset Tak Berwujud",'Daftar Koreksi'!$H$5:$H$92,"&lt;0")-SUMIFS('Daftar Koreksi'!$H$5:$H$92,'Daftar Koreksi'!$D$5:$D$92,'1600'!A136,'Daftar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Koreksi'!$D$5:$D$92,'1600'!A136,'Daftar Koreksi'!$G$5:$G$92,"Aset Henti Guna",'Daftar Koreksi'!$H$5:$H$92,"&gt;0")</f>
        <v>0</v>
      </c>
      <c r="F147" s="25">
        <f>SUMIFS('Daftar Koreksi'!$H$5:$H$92,'Daftar Koreksi'!$D$5:$D$92,'1600'!A136,'Daftar Koreksi'!$G$5:$G$92,"Aset Henti Guna",'Daftar Koreksi'!$H$5:$H$92,"&lt;0")-SUMIFS('Daftar Koreksi'!$H$5:$H$92,'Daftar Koreksi'!$D$5:$D$92,'1600'!A136,'Daftar Koreksi'!$G$5:$G$92,"Aset Henti Guna",'Daftar Koreksi'!$H$5:$H$92,"&lt;0")-SUMIFS('Daftar Koreksi'!$H$5:$H$92,'Daftar Koreksi'!$D$5:$D$92,'1600'!A136,'Daftar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13396308056</v>
      </c>
      <c r="E148" s="19">
        <f>SUM(E139:E147)</f>
        <v>0</v>
      </c>
      <c r="F148" s="19">
        <f>SUM(F139:F147)</f>
        <v>0</v>
      </c>
      <c r="G148" s="19">
        <f t="shared" si="6"/>
        <v>13396308056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-495943687</v>
      </c>
      <c r="E149" s="25">
        <f>SUMIFS('Daftar Koreksi'!$I$5:$I$92,'Daftar Koreksi'!$D$5:$D$92,'1600'!A136,'Daftar Koreksi'!$G$5:$G$92,"Peralatan dan mesin",'Daftar Koreksi'!$I$5:$I$92,"&gt;0")</f>
        <v>0</v>
      </c>
      <c r="F149" s="25">
        <f>SUMIFS('Daftar Koreksi'!$I$5:$I$92,'Daftar Koreksi'!$D$5:$D$92,'1600'!A136,'Daftar Koreksi'!$G$5:$G$92,"Peralatan dan mesin",'Daftar Koreksi'!$I$5:$I$92,"&lt;0")-SUMIFS('Daftar Koreksi'!$I$5:$I$92,'Daftar Koreksi'!$D$5:$D$92,'1600'!A136,'Daftar Koreksi'!$G$5:$G$92,"Peralatan dan mesin",'Daftar Koreksi'!$I$5:$I$92,"&lt;0")-SUMIFS('Daftar Koreksi'!$I$5:$I$92,'Daftar Koreksi'!$D$5:$D$92,'1600'!A136,'Daftar Koreksi'!$G$5:$G$92,"Peralatan dan mesin",'Daftar Koreksi'!$I$5:$I$92,"&lt;0")</f>
        <v>0</v>
      </c>
      <c r="G149" s="17">
        <f t="shared" si="6"/>
        <v>-495943687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-240309193</v>
      </c>
      <c r="E150" s="25">
        <f>SUMIFS('Daftar Koreksi'!$I$5:$I$92,'Daftar Koreksi'!$D$5:$D$92,'1600'!A136,'Daftar Koreksi'!$G$5:$G$92,"Gedung dan Bangunan",'Daftar Koreksi'!$I$5:$I$92,"&gt;0")</f>
        <v>0</v>
      </c>
      <c r="F150" s="25">
        <f>SUMIFS('Daftar Koreksi'!$I$5:$I$92,'Daftar Koreksi'!$D$5:$D$92,'1600'!A136,'Daftar Koreksi'!$G$5:$G$92,"Gedung dan Bangunan",'Daftar Koreksi'!$I$5:$I$92,"&lt;0")-SUMIFS('Daftar Koreksi'!$I$5:$I$92,'Daftar Koreksi'!$D$5:$D$92,'1600'!A136,'Daftar Koreksi'!$G$5:$G$92,"Gedung dan Bangunan",'Daftar Koreksi'!$I$5:$I$92,"&lt;0")-SUMIFS('Daftar Koreksi'!$I$5:$I$92,'Daftar Koreksi'!$D$5:$D$92,'1600'!A136,'Daftar Koreksi'!$G$5:$G$92,"Gedung dan Bangunan",'Daftar Koreksi'!$I$5:$I$92,"&lt;0")</f>
        <v>0</v>
      </c>
      <c r="G150" s="17">
        <f t="shared" si="6"/>
        <v>-240309193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-315829</v>
      </c>
      <c r="E151" s="25">
        <f>SUMIFS('Daftar Koreksi'!$I$5:$I$92,'Daftar Koreksi'!$D$5:$D$92,'1600'!A136,'Daftar Koreksi'!$G$5:$G$92,"Jalan Irigasi Jaringan",'Daftar Koreksi'!$I$5:$I$92,"&gt;0")</f>
        <v>0</v>
      </c>
      <c r="F151" s="25">
        <f>SUMIFS('Daftar Koreksi'!$I$5:$I$92,'Daftar Koreksi'!$D$5:$D$92,'1600'!A136,'Daftar Koreksi'!$G$5:$G$92,"Jalan Irigasi Jaringan",'Daftar Koreksi'!$I$5:$I$92,"&lt;0")-SUMIFS('Daftar Koreksi'!$I$5:$I$92,'Daftar Koreksi'!$D$5:$D$92,'1600'!A136,'Daftar Koreksi'!$G$5:$G$92,"Jalan Irigasi Jaringan",'Daftar Koreksi'!$I$5:$I$92,"&lt;0")-SUMIFS('Daftar Koreksi'!$I$5:$I$92,'Daftar Koreksi'!$D$5:$D$92,'1600'!A136,'Daftar Koreksi'!$G$5:$G$92,"Jalan Irigasi Jaringan",'Daftar Koreksi'!$I$5:$I$92,"&lt;0")</f>
        <v>0</v>
      </c>
      <c r="G151" s="17">
        <f t="shared" si="6"/>
        <v>-315829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Koreksi'!$D$5:$D$92,'1600'!A136,'Daftar Koreksi'!$G$5:$G$92,"Aset Tetap Lainnya",'Daftar Koreksi'!$I$5:$I$92,"&gt;0")</f>
        <v>0</v>
      </c>
      <c r="F152" s="25">
        <f>SUMIFS('Daftar Koreksi'!$I$5:$I$92,'Daftar Koreksi'!$D$5:$D$92,'1600'!A136,'Daftar Koreksi'!$G$5:$G$92,"Aset Tetap Lainnya",'Daftar Koreksi'!$I$5:$I$92,"&lt;0")-SUMIFS('Daftar Koreksi'!$I$5:$I$92,'Daftar Koreksi'!$D$5:$D$92,'1600'!A136,'Daftar Koreksi'!$G$5:$G$92,"Aset Tetap Lainnya",'Daftar Koreksi'!$I$5:$I$92,"&lt;0")-SUMIFS('Daftar Koreksi'!$I$5:$I$92,'Daftar Koreksi'!$D$5:$D$92,'1600'!A136,'Daftar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Koreksi'!$D$5:$D$92,'1600'!A136,'Daftar Koreksi'!$G$5:$G$92,"Aset Henti Guna",'Daftar Koreksi'!$I$5:$I$92,"&gt;0")</f>
        <v>0</v>
      </c>
      <c r="F153" s="25">
        <f>SUMIFS('Daftar Koreksi'!$I$5:$I$92,'Daftar Koreksi'!$D$5:$D$92,'1600'!A136,'Daftar Koreksi'!$G$5:$G$92,"Aset Henti Guna",'Daftar Koreksi'!$I$5:$I$92,"&lt;0")-SUMIFS('Daftar Koreksi'!$I$5:$I$92,'Daftar Koreksi'!$D$5:$D$92,'1600'!A136,'Daftar Koreksi'!$G$5:$G$92,"Aset Henti Guna",'Daftar Koreksi'!$I$5:$I$92,"&lt;0")-SUMIFS('Daftar Koreksi'!$I$5:$I$92,'Daftar Koreksi'!$D$5:$D$92,'1600'!A136,'Daftar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-736568709</v>
      </c>
      <c r="E154" s="19">
        <f>SUM(E149:E153)</f>
        <v>0</v>
      </c>
      <c r="F154" s="19">
        <f>SUM(F149:F153)</f>
        <v>0</v>
      </c>
      <c r="G154" s="19">
        <f t="shared" si="6"/>
        <v>-736568709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12659739347</v>
      </c>
      <c r="E155" s="19">
        <f>E154+E148</f>
        <v>0</v>
      </c>
      <c r="F155" s="19">
        <f>F154+F148</f>
        <v>0</v>
      </c>
      <c r="G155" s="19">
        <f t="shared" si="6"/>
        <v>12659739347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005011600307199000KD</v>
      </c>
      <c r="B158" s="11" t="str">
        <f>P8</f>
        <v>PA. Balikpapan</v>
      </c>
      <c r="C158" s="12" t="str">
        <f>A158&amp;" "&amp;B158</f>
        <v>005011600307199000KD PA. Balikpapan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4946500</v>
      </c>
      <c r="E161" s="25">
        <f>SUMIFS('Daftar Koreksi'!$H$5:$H$92,'Daftar Koreksi'!$D$5:$D$92,'1600'!A158,'Daftar Koreksi'!$G$5:$G$92,"Persediaan",'Daftar Koreksi'!$H$5:$H$92,"&gt;0")</f>
        <v>0</v>
      </c>
      <c r="F161" s="25">
        <f>SUMIFS('Daftar Koreksi'!$H$5:$H$92,'Daftar Koreksi'!$D$5:$D$92,'1600'!A158,'Daftar Koreksi'!$G$5:$G$92,"Persediaan",'Daftar Koreksi'!$H$5:$H$92,"&lt;0")-SUMIFS('Daftar Koreksi'!$H$5:$H$92,'Daftar Koreksi'!$D$5:$D$92,'1600'!A158,'Daftar Koreksi'!$G$5:$G$92,"Persediaan",'Daftar Koreksi'!$H$5:$H$92,"&lt;0")-SUMIFS('Daftar Koreksi'!$H$5:$H$92,'Daftar Koreksi'!$D$5:$D$92,'1600'!A158,'Daftar Koreksi'!$G$5:$G$92,"Persediaan",'Daftar Koreksi'!$H$5:$H$92,"&lt;0")</f>
        <v>0</v>
      </c>
      <c r="G161" s="17">
        <f>D161+E161-F161</f>
        <v>4946500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8927074</v>
      </c>
      <c r="E162" s="25">
        <f>SUMIFS('Daftar Koreksi'!$H$5:$H$92,'Daftar Koreksi'!$D$5:$D$92,'1600'!A158,'Daftar Koreksi'!$G$5:$G$92,"Tanah",'Daftar Koreksi'!$H$5:$H$92,"&gt;0")</f>
        <v>0</v>
      </c>
      <c r="F162" s="25">
        <f>SUMIFS('Daftar Koreksi'!$H$5:$H$92,'Daftar Koreksi'!$D$5:$D$92,'1600'!A158,'Daftar Koreksi'!$G$5:$G$92,"Tanah",'Daftar Koreksi'!$H$5:$H$92,"&lt;0")-SUMIFS('Daftar Koreksi'!$H$5:$H$92,'Daftar Koreksi'!$D$5:$D$92,'1600'!A158,'Daftar Koreksi'!$G$5:$G$92,"Tanah",'Daftar Koreksi'!$H$5:$H$92,"&lt;0")-SUMIFS('Daftar Koreksi'!$H$5:$H$92,'Daftar Koreksi'!$D$5:$D$92,'1600'!A158,'Daftar Koreksi'!$G$5:$G$92,"Tanah",'Daftar Koreksi'!$H$5:$H$92,"&lt;0")</f>
        <v>0</v>
      </c>
      <c r="G162" s="17">
        <f t="shared" ref="G162:G178" si="7">D162+E162-F162</f>
        <v>8927074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1767723204</v>
      </c>
      <c r="E163" s="25">
        <f>SUMIFS('Daftar Koreksi'!$H$5:$H$92,'Daftar Koreksi'!$D$5:$D$92,'1600'!A158,'Daftar Koreksi'!$G$5:$G$92,"Peralatan dan mesin",'Daftar Koreksi'!$H$5:$H$92,"&gt;0")</f>
        <v>0</v>
      </c>
      <c r="F163" s="25">
        <f>SUMIFS('Daftar Koreksi'!$H$5:$H$92,'Daftar Koreksi'!$D$5:$D$92,'1600'!A158,'Daftar Koreksi'!$G$5:$G$92,"Peralatan dan mesin",'Daftar Koreksi'!$H$5:$H$92,"&lt;0")-SUMIFS('Daftar Koreksi'!$H$5:$H$92,'Daftar Koreksi'!$D$5:$D$92,'1600'!A158,'Daftar Koreksi'!$G$5:$G$92,"Peralatan dan mesin",'Daftar Koreksi'!$H$5:$H$92,"&lt;0")-SUMIFS('Daftar Koreksi'!$H$5:$H$92,'Daftar Koreksi'!$D$5:$D$92,'1600'!A158,'Daftar Koreksi'!$G$5:$G$92,"Peralatan dan mesin",'Daftar Koreksi'!$H$5:$H$92,"&lt;0")</f>
        <v>0</v>
      </c>
      <c r="G163" s="17">
        <f t="shared" si="7"/>
        <v>1767723204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5786053400</v>
      </c>
      <c r="E164" s="25">
        <f>SUMIFS('Daftar Koreksi'!$H$5:$H$92,'Daftar Koreksi'!$D$5:$D$92,'1600'!A158,'Daftar Koreksi'!$G$5:$G$92,"Gedung dan Bangunan",'Daftar Koreksi'!$H$5:$H$92,"&gt;0")</f>
        <v>0</v>
      </c>
      <c r="F164" s="25">
        <f>SUMIFS('Daftar Koreksi'!$H$5:$H$92,'Daftar Koreksi'!$D$5:$D$92,'1600'!A158,'Daftar Koreksi'!$G$5:$G$92,"Gedung dan Bangunan",'Daftar Koreksi'!$H$5:$H$92,"&lt;0")-SUMIFS('Daftar Koreksi'!$H$5:$H$92,'Daftar Koreksi'!$D$5:$D$92,'1600'!A158,'Daftar Koreksi'!$G$5:$G$92,"Gedung dan Bangunan",'Daftar Koreksi'!$H$5:$H$92,"&lt;0")-SUMIFS('Daftar Koreksi'!$H$5:$H$92,'Daftar Koreksi'!$D$5:$D$92,'1600'!A158,'Daftar Koreksi'!$G$5:$G$92,"Gedung dan Bangunan",'Daftar Koreksi'!$H$5:$H$92,"&lt;0")</f>
        <v>0</v>
      </c>
      <c r="G164" s="17">
        <f t="shared" si="7"/>
        <v>5786053400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309018180</v>
      </c>
      <c r="E165" s="25">
        <f>SUMIFS('Daftar Koreksi'!$H$5:$H$92,'Daftar Koreksi'!$D$5:$D$92,'1600'!A158,'Daftar Koreksi'!$G$5:$G$92,"Jalan Irigasi Jaringan",'Daftar Koreksi'!$H$5:$H$92,"&gt;0")</f>
        <v>0</v>
      </c>
      <c r="F165" s="25">
        <f>SUMIFS('Daftar Koreksi'!$H$5:$H$92,'Daftar Koreksi'!$D$5:$D$92,'1600'!A158,'Daftar Koreksi'!$G$5:$G$92,"Jalan Irigasi Jaringan",'Daftar Koreksi'!$H$5:$H$92,"&lt;0")-SUMIFS('Daftar Koreksi'!$H$5:$H$92,'Daftar Koreksi'!$D$5:$D$92,'1600'!A158,'Daftar Koreksi'!$G$5:$G$92,"Jalan Irigasi Jaringan",'Daftar Koreksi'!$H$5:$H$92,"&lt;0")-SUMIFS('Daftar Koreksi'!$H$5:$H$92,'Daftar Koreksi'!$D$5:$D$92,'1600'!A158,'Daftar Koreksi'!$G$5:$G$92,"Jalan Irigasi Jaringan",'Daftar Koreksi'!$H$5:$H$92,"&lt;0")</f>
        <v>0</v>
      </c>
      <c r="G165" s="17">
        <f t="shared" si="7"/>
        <v>309018180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58296678</v>
      </c>
      <c r="E166" s="25">
        <f>SUMIFS('Daftar Koreksi'!$H$5:$H$92,'Daftar Koreksi'!$D$5:$D$92,'1600'!A158,'Daftar Koreksi'!$G$5:$G$92,"Aset Tetap Lainnya",'Daftar Koreksi'!$H$5:$H$92,"&gt;0")</f>
        <v>0</v>
      </c>
      <c r="F166" s="25">
        <f>SUMIFS('Daftar Koreksi'!$H$5:$H$92,'Daftar Koreksi'!$D$5:$D$92,'1600'!A158,'Daftar Koreksi'!$G$5:$G$92,"Aset Tetap Lainnya",'Daftar Koreksi'!$H$5:$H$92,"&lt;0")-SUMIFS('Daftar Koreksi'!$H$5:$H$92,'Daftar Koreksi'!$D$5:$D$92,'1600'!A158,'Daftar Koreksi'!$G$5:$G$92,"Aset Tetap Lainnya",'Daftar Koreksi'!$H$5:$H$92,"&lt;0")-SUMIFS('Daftar Koreksi'!$H$5:$H$92,'Daftar Koreksi'!$D$5:$D$92,'1600'!A158,'Daftar Koreksi'!$G$5:$G$92,"Aset Tetap Lainnya",'Daftar Koreksi'!$H$5:$H$92,"&lt;0")</f>
        <v>0</v>
      </c>
      <c r="G166" s="17">
        <f t="shared" si="7"/>
        <v>58296678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Koreksi'!$D$5:$D$92,'1600'!A158,'Daftar Koreksi'!$G$5:$G$92,"Kontruksi Dalam Pengerjaan",'Daftar Koreksi'!$H$5:$H$92,"&gt;0")</f>
        <v>0</v>
      </c>
      <c r="F167" s="25">
        <f>SUMIFS('Daftar Koreksi'!$H$5:$H$92,'Daftar Koreksi'!$D$5:$D$92,'1600'!A158,'Daftar Koreksi'!$G$5:$G$92,"Kontruksi Dalam Pengerjaan",'Daftar Koreksi'!$H$5:$H$92,"&lt;0")-SUMIFS('Daftar Koreksi'!$H$5:$H$92,'Daftar Koreksi'!$D$5:$D$92,'1600'!A158,'Daftar Koreksi'!$G$5:$G$92,"Kontruksi Dalam Pengerjaan",'Daftar Koreksi'!$H$5:$H$92,"&lt;0")-SUMIFS('Daftar Koreksi'!$H$5:$H$92,'Daftar Koreksi'!$D$5:$D$92,'1600'!A158,'Daftar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Koreksi'!$D$5:$D$92,'1600'!A158,'Daftar Koreksi'!$G$5:$G$92,"Aset Tak Berwujud",'Daftar Koreksi'!$H$5:$H$92,"&gt;0")</f>
        <v>0</v>
      </c>
      <c r="F168" s="25">
        <f>SUMIFS('Daftar Koreksi'!$H$5:$H$92,'Daftar Koreksi'!$D$5:$D$92,'1600'!A158,'Daftar Koreksi'!$G$5:$G$92,"Aset Tak Berwujud",'Daftar Koreksi'!$H$5:$H$92,"&lt;0")-SUMIFS('Daftar Koreksi'!$H$5:$H$92,'Daftar Koreksi'!$D$5:$D$92,'1600'!A158,'Daftar Koreksi'!$G$5:$G$92,"Aset Tak Berwujud",'Daftar Koreksi'!$H$5:$H$92,"&lt;0")-SUMIFS('Daftar Koreksi'!$H$5:$H$92,'Daftar Koreksi'!$D$5:$D$92,'1600'!A158,'Daftar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1321000</v>
      </c>
      <c r="E169" s="25">
        <f>SUMIFS('Daftar Koreksi'!$H$5:$H$92,'Daftar Koreksi'!$D$5:$D$92,'1600'!A158,'Daftar Koreksi'!$G$5:$G$92,"Aset Henti Guna",'Daftar Koreksi'!$H$5:$H$92,"&gt;0")</f>
        <v>0</v>
      </c>
      <c r="F169" s="25">
        <f>SUMIFS('Daftar Koreksi'!$H$5:$H$92,'Daftar Koreksi'!$D$5:$D$92,'1600'!A158,'Daftar Koreksi'!$G$5:$G$92,"Aset Henti Guna",'Daftar Koreksi'!$H$5:$H$92,"&lt;0")-SUMIFS('Daftar Koreksi'!$H$5:$H$92,'Daftar Koreksi'!$D$5:$D$92,'1600'!A158,'Daftar Koreksi'!$G$5:$G$92,"Aset Henti Guna",'Daftar Koreksi'!$H$5:$H$92,"&lt;0")-SUMIFS('Daftar Koreksi'!$H$5:$H$92,'Daftar Koreksi'!$D$5:$D$92,'1600'!A158,'Daftar Koreksi'!$G$5:$G$92,"Aset Henti Guna",'Daftar Koreksi'!$H$5:$H$92,"&lt;0")</f>
        <v>0</v>
      </c>
      <c r="G169" s="17">
        <f t="shared" si="7"/>
        <v>1321000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7936286036</v>
      </c>
      <c r="E170" s="19">
        <f>SUM(E161:E169)</f>
        <v>0</v>
      </c>
      <c r="F170" s="19">
        <f>SUM(F161:F169)</f>
        <v>0</v>
      </c>
      <c r="G170" s="19">
        <f t="shared" si="7"/>
        <v>7936286036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-1493790037</v>
      </c>
      <c r="E171" s="25">
        <f>SUMIFS('Daftar Koreksi'!$I$5:$I$92,'Daftar Koreksi'!$D$5:$D$92,'1600'!A158,'Daftar Koreksi'!$G$5:$G$92,"Peralatan dan mesin",'Daftar Koreksi'!$I$5:$I$92,"&gt;0")</f>
        <v>0</v>
      </c>
      <c r="F171" s="25">
        <f>SUMIFS('Daftar Koreksi'!$I$5:$I$92,'Daftar Koreksi'!$D$5:$D$92,'1600'!A158,'Daftar Koreksi'!$G$5:$G$92,"Peralatan dan mesin",'Daftar Koreksi'!$I$5:$I$92,"&lt;0")-SUMIFS('Daftar Koreksi'!$I$5:$I$92,'Daftar Koreksi'!$D$5:$D$92,'1600'!A158,'Daftar Koreksi'!$G$5:$G$92,"Peralatan dan mesin",'Daftar Koreksi'!$I$5:$I$92,"&lt;0")-SUMIFS('Daftar Koreksi'!$I$5:$I$92,'Daftar Koreksi'!$D$5:$D$92,'1600'!A158,'Daftar Koreksi'!$G$5:$G$92,"Peralatan dan mesin",'Daftar Koreksi'!$I$5:$I$92,"&lt;0")</f>
        <v>0</v>
      </c>
      <c r="G171" s="17">
        <f t="shared" si="7"/>
        <v>-1493790037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-942303503</v>
      </c>
      <c r="E172" s="25">
        <f>SUMIFS('Daftar Koreksi'!$I$5:$I$92,'Daftar Koreksi'!$D$5:$D$92,'1600'!A158,'Daftar Koreksi'!$G$5:$G$92,"Gedung dan Bangunan",'Daftar Koreksi'!$I$5:$I$92,"&gt;0")</f>
        <v>0</v>
      </c>
      <c r="F172" s="25">
        <f>SUMIFS('Daftar Koreksi'!$I$5:$I$92,'Daftar Koreksi'!$D$5:$D$92,'1600'!A158,'Daftar Koreksi'!$G$5:$G$92,"Gedung dan Bangunan",'Daftar Koreksi'!$I$5:$I$92,"&lt;0")-SUMIFS('Daftar Koreksi'!$I$5:$I$92,'Daftar Koreksi'!$D$5:$D$92,'1600'!A158,'Daftar Koreksi'!$G$5:$G$92,"Gedung dan Bangunan",'Daftar Koreksi'!$I$5:$I$92,"&lt;0")-SUMIFS('Daftar Koreksi'!$I$5:$I$92,'Daftar Koreksi'!$D$5:$D$92,'1600'!A158,'Daftar Koreksi'!$G$5:$G$92,"Gedung dan Bangunan",'Daftar Koreksi'!$I$5:$I$92,"&lt;0")</f>
        <v>0</v>
      </c>
      <c r="G172" s="17">
        <f t="shared" si="7"/>
        <v>-942303503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-155872465</v>
      </c>
      <c r="E173" s="25">
        <f>SUMIFS('Daftar Koreksi'!$I$5:$I$92,'Daftar Koreksi'!$D$5:$D$92,'1600'!A158,'Daftar Koreksi'!$G$5:$G$92,"Jalan Irigasi Jaringan",'Daftar Koreksi'!$I$5:$I$92,"&gt;0")</f>
        <v>0</v>
      </c>
      <c r="F173" s="25">
        <f>SUMIFS('Daftar Koreksi'!$I$5:$I$92,'Daftar Koreksi'!$D$5:$D$92,'1600'!A158,'Daftar Koreksi'!$G$5:$G$92,"Jalan Irigasi Jaringan",'Daftar Koreksi'!$I$5:$I$92,"&lt;0")-SUMIFS('Daftar Koreksi'!$I$5:$I$92,'Daftar Koreksi'!$D$5:$D$92,'1600'!A158,'Daftar Koreksi'!$G$5:$G$92,"Jalan Irigasi Jaringan",'Daftar Koreksi'!$I$5:$I$92,"&lt;0")-SUMIFS('Daftar Koreksi'!$I$5:$I$92,'Daftar Koreksi'!$D$5:$D$92,'1600'!A158,'Daftar Koreksi'!$G$5:$G$92,"Jalan Irigasi Jaringan",'Daftar Koreksi'!$I$5:$I$92,"&lt;0")</f>
        <v>0</v>
      </c>
      <c r="G173" s="17">
        <f t="shared" si="7"/>
        <v>-155872465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Koreksi'!$D$5:$D$92,'1600'!A158,'Daftar Koreksi'!$G$5:$G$92,"Aset Tetap Lainnya",'Daftar Koreksi'!$I$5:$I$92,"&gt;0")</f>
        <v>0</v>
      </c>
      <c r="F174" s="25">
        <f>SUMIFS('Daftar Koreksi'!$I$5:$I$92,'Daftar Koreksi'!$D$5:$D$92,'1600'!A158,'Daftar Koreksi'!$G$5:$G$92,"Aset Tetap Lainnya",'Daftar Koreksi'!$I$5:$I$92,"&lt;0")-SUMIFS('Daftar Koreksi'!$I$5:$I$92,'Daftar Koreksi'!$D$5:$D$92,'1600'!A158,'Daftar Koreksi'!$G$5:$G$92,"Aset Tetap Lainnya",'Daftar Koreksi'!$I$5:$I$92,"&lt;0")-SUMIFS('Daftar Koreksi'!$I$5:$I$92,'Daftar Koreksi'!$D$5:$D$92,'1600'!A158,'Daftar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-1321000</v>
      </c>
      <c r="E175" s="25">
        <f>SUMIFS('Daftar Koreksi'!$I$5:$I$92,'Daftar Koreksi'!$D$5:$D$92,'1600'!A158,'Daftar Koreksi'!$G$5:$G$92,"Aset Henti Guna",'Daftar Koreksi'!$I$5:$I$92,"&gt;0")</f>
        <v>0</v>
      </c>
      <c r="F175" s="25">
        <f>SUMIFS('Daftar Koreksi'!$I$5:$I$92,'Daftar Koreksi'!$D$5:$D$92,'1600'!A158,'Daftar Koreksi'!$G$5:$G$92,"Aset Henti Guna",'Daftar Koreksi'!$I$5:$I$92,"&lt;0")-SUMIFS('Daftar Koreksi'!$I$5:$I$92,'Daftar Koreksi'!$D$5:$D$92,'1600'!A158,'Daftar Koreksi'!$G$5:$G$92,"Aset Henti Guna",'Daftar Koreksi'!$I$5:$I$92,"&lt;0")-SUMIFS('Daftar Koreksi'!$I$5:$I$92,'Daftar Koreksi'!$D$5:$D$92,'1600'!A158,'Daftar Koreksi'!$G$5:$G$92,"Aset Henti Guna",'Daftar Koreksi'!$I$5:$I$92,"&lt;0")</f>
        <v>0</v>
      </c>
      <c r="G175" s="17">
        <f t="shared" si="7"/>
        <v>-1321000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-2593287005</v>
      </c>
      <c r="E176" s="19">
        <f>SUM(E171:E175)</f>
        <v>0</v>
      </c>
      <c r="F176" s="19">
        <f>SUM(F171:F175)</f>
        <v>0</v>
      </c>
      <c r="G176" s="19">
        <f t="shared" si="7"/>
        <v>-2593287005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5342999031</v>
      </c>
      <c r="E177" s="19">
        <f>E176+E170</f>
        <v>0</v>
      </c>
      <c r="F177" s="19">
        <f>F176+F170</f>
        <v>0</v>
      </c>
      <c r="G177" s="19">
        <f t="shared" si="7"/>
        <v>5342999031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005011600307204000KD</v>
      </c>
      <c r="B180" s="11" t="str">
        <f>P9</f>
        <v>PA. Tanjung Redeb</v>
      </c>
      <c r="C180" s="12" t="str">
        <f>A180&amp;" "&amp;B180</f>
        <v>005011600307204000KD PA. Tanjung Redeb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595000</v>
      </c>
      <c r="E183" s="25">
        <f>SUMIFS('Daftar Koreksi'!$H$5:$H$92,'Daftar Koreksi'!$D$5:$D$92,'1600'!A180,'Daftar Koreksi'!$G$5:$G$92,"Persediaan",'Daftar Koreksi'!$H$5:$H$92,"&gt;0")</f>
        <v>0</v>
      </c>
      <c r="F183" s="25">
        <f>SUMIFS('Daftar Koreksi'!$H$5:$H$92,'Daftar Koreksi'!$D$5:$D$92,'1600'!A180,'Daftar Koreksi'!$G$5:$G$92,"Persediaan",'Daftar Koreksi'!$H$5:$H$92,"&lt;0")-SUMIFS('Daftar Koreksi'!$H$5:$H$92,'Daftar Koreksi'!$D$5:$D$92,'1600'!A180,'Daftar Koreksi'!$G$5:$G$92,"Persediaan",'Daftar Koreksi'!$H$5:$H$92,"&lt;0")-SUMIFS('Daftar Koreksi'!$H$5:$H$92,'Daftar Koreksi'!$D$5:$D$92,'1600'!A180,'Daftar Koreksi'!$G$5:$G$92,"Persediaan",'Daftar Koreksi'!$H$5:$H$92,"&lt;0")</f>
        <v>0</v>
      </c>
      <c r="G183" s="17">
        <f>D183+E183-F183</f>
        <v>595000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13815554750</v>
      </c>
      <c r="E184" s="25">
        <f>SUMIFS('Daftar Koreksi'!$H$5:$H$92,'Daftar Koreksi'!$D$5:$D$92,'1600'!A180,'Daftar Koreksi'!$G$5:$G$92,"Tanah",'Daftar Koreksi'!$H$5:$H$92,"&gt;0")</f>
        <v>0</v>
      </c>
      <c r="F184" s="25">
        <f>SUMIFS('Daftar Koreksi'!$H$5:$H$92,'Daftar Koreksi'!$D$5:$D$92,'1600'!A180,'Daftar Koreksi'!$G$5:$G$92,"Tanah",'Daftar Koreksi'!$H$5:$H$92,"&lt;0")-SUMIFS('Daftar Koreksi'!$H$5:$H$92,'Daftar Koreksi'!$D$5:$D$92,'1600'!A180,'Daftar Koreksi'!$G$5:$G$92,"Tanah",'Daftar Koreksi'!$H$5:$H$92,"&lt;0")-SUMIFS('Daftar Koreksi'!$H$5:$H$92,'Daftar Koreksi'!$D$5:$D$92,'1600'!A180,'Daftar Koreksi'!$G$5:$G$92,"Tanah",'Daftar Koreksi'!$H$5:$H$92,"&lt;0")</f>
        <v>0</v>
      </c>
      <c r="G184" s="17">
        <f t="shared" ref="G184:G200" si="8">D184+E184-F184</f>
        <v>13815554750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1229338565</v>
      </c>
      <c r="E185" s="25">
        <f>SUMIFS('Daftar Koreksi'!$H$5:$H$92,'Daftar Koreksi'!$D$5:$D$92,'1600'!A180,'Daftar Koreksi'!$G$5:$G$92,"Peralatan dan mesin",'Daftar Koreksi'!$H$5:$H$92,"&gt;0")</f>
        <v>0</v>
      </c>
      <c r="F185" s="25">
        <f>SUMIFS('Daftar Koreksi'!$H$5:$H$92,'Daftar Koreksi'!$D$5:$D$92,'1600'!A180,'Daftar Koreksi'!$G$5:$G$92,"Peralatan dan mesin",'Daftar Koreksi'!$H$5:$H$92,"&lt;0")-SUMIFS('Daftar Koreksi'!$H$5:$H$92,'Daftar Koreksi'!$D$5:$D$92,'1600'!A180,'Daftar Koreksi'!$G$5:$G$92,"Peralatan dan mesin",'Daftar Koreksi'!$H$5:$H$92,"&lt;0")-SUMIFS('Daftar Koreksi'!$H$5:$H$92,'Daftar Koreksi'!$D$5:$D$92,'1600'!A180,'Daftar Koreksi'!$G$5:$G$92,"Peralatan dan mesin",'Daftar Koreksi'!$H$5:$H$92,"&lt;0")</f>
        <v>0</v>
      </c>
      <c r="G185" s="17">
        <f t="shared" si="8"/>
        <v>1229338565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12338572600</v>
      </c>
      <c r="E186" s="25">
        <f>SUMIFS('Daftar Koreksi'!$H$5:$H$92,'Daftar Koreksi'!$D$5:$D$92,'1600'!A180,'Daftar Koreksi'!$G$5:$G$92,"Gedung dan Bangunan",'Daftar Koreksi'!$H$5:$H$92,"&gt;0")</f>
        <v>0</v>
      </c>
      <c r="F186" s="25">
        <f>SUMIFS('Daftar Koreksi'!$H$5:$H$92,'Daftar Koreksi'!$D$5:$D$92,'1600'!A180,'Daftar Koreksi'!$G$5:$G$92,"Gedung dan Bangunan",'Daftar Koreksi'!$H$5:$H$92,"&lt;0")-SUMIFS('Daftar Koreksi'!$H$5:$H$92,'Daftar Koreksi'!$D$5:$D$92,'1600'!A180,'Daftar Koreksi'!$G$5:$G$92,"Gedung dan Bangunan",'Daftar Koreksi'!$H$5:$H$92,"&lt;0")-SUMIFS('Daftar Koreksi'!$H$5:$H$92,'Daftar Koreksi'!$D$5:$D$92,'1600'!A180,'Daftar Koreksi'!$G$5:$G$92,"Gedung dan Bangunan",'Daftar Koreksi'!$H$5:$H$92,"&lt;0")</f>
        <v>0</v>
      </c>
      <c r="G186" s="17">
        <f t="shared" si="8"/>
        <v>12338572600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4950000</v>
      </c>
      <c r="E187" s="25">
        <f>SUMIFS('Daftar Koreksi'!$H$5:$H$92,'Daftar Koreksi'!$D$5:$D$92,'1600'!A180,'Daftar Koreksi'!$G$5:$G$92,"Jalan Irigasi Jaringan",'Daftar Koreksi'!$H$5:$H$92,"&gt;0")</f>
        <v>0</v>
      </c>
      <c r="F187" s="25">
        <f>SUMIFS('Daftar Koreksi'!$H$5:$H$92,'Daftar Koreksi'!$D$5:$D$92,'1600'!A180,'Daftar Koreksi'!$G$5:$G$92,"Jalan Irigasi Jaringan",'Daftar Koreksi'!$H$5:$H$92,"&lt;0")-SUMIFS('Daftar Koreksi'!$H$5:$H$92,'Daftar Koreksi'!$D$5:$D$92,'1600'!A180,'Daftar Koreksi'!$G$5:$G$92,"Jalan Irigasi Jaringan",'Daftar Koreksi'!$H$5:$H$92,"&lt;0")-SUMIFS('Daftar Koreksi'!$H$5:$H$92,'Daftar Koreksi'!$D$5:$D$92,'1600'!A180,'Daftar Koreksi'!$G$5:$G$92,"Jalan Irigasi Jaringan",'Daftar Koreksi'!$H$5:$H$92,"&lt;0")</f>
        <v>0</v>
      </c>
      <c r="G187" s="17">
        <f t="shared" si="8"/>
        <v>4950000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2828678</v>
      </c>
      <c r="E188" s="25">
        <f>SUMIFS('Daftar Koreksi'!$H$5:$H$92,'Daftar Koreksi'!$D$5:$D$92,'1600'!A180,'Daftar Koreksi'!$G$5:$G$92,"Aset Tetap Lainnya",'Daftar Koreksi'!$H$5:$H$92,"&gt;0")</f>
        <v>0</v>
      </c>
      <c r="F188" s="25">
        <f>SUMIFS('Daftar Koreksi'!$H$5:$H$92,'Daftar Koreksi'!$D$5:$D$92,'1600'!A180,'Daftar Koreksi'!$G$5:$G$92,"Aset Tetap Lainnya",'Daftar Koreksi'!$H$5:$H$92,"&lt;0")-SUMIFS('Daftar Koreksi'!$H$5:$H$92,'Daftar Koreksi'!$D$5:$D$92,'1600'!A180,'Daftar Koreksi'!$G$5:$G$92,"Aset Tetap Lainnya",'Daftar Koreksi'!$H$5:$H$92,"&lt;0")-SUMIFS('Daftar Koreksi'!$H$5:$H$92,'Daftar Koreksi'!$D$5:$D$92,'1600'!A180,'Daftar Koreksi'!$G$5:$G$92,"Aset Tetap Lainnya",'Daftar Koreksi'!$H$5:$H$92,"&lt;0")</f>
        <v>0</v>
      </c>
      <c r="G188" s="17">
        <f t="shared" si="8"/>
        <v>2828678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Koreksi'!$D$5:$D$92,'1600'!A180,'Daftar Koreksi'!$G$5:$G$92,"Kontruksi Dalam Pengerjaan",'Daftar Koreksi'!$H$5:$H$92,"&gt;0")</f>
        <v>0</v>
      </c>
      <c r="F189" s="25">
        <f>SUMIFS('Daftar Koreksi'!$H$5:$H$92,'Daftar Koreksi'!$D$5:$D$92,'1600'!A180,'Daftar Koreksi'!$G$5:$G$92,"Kontruksi Dalam Pengerjaan",'Daftar Koreksi'!$H$5:$H$92,"&lt;0")-SUMIFS('Daftar Koreksi'!$H$5:$H$92,'Daftar Koreksi'!$D$5:$D$92,'1600'!A180,'Daftar Koreksi'!$G$5:$G$92,"Kontruksi Dalam Pengerjaan",'Daftar Koreksi'!$H$5:$H$92,"&lt;0")-SUMIFS('Daftar Koreksi'!$H$5:$H$92,'Daftar Koreksi'!$D$5:$D$92,'1600'!A180,'Daftar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20750000</v>
      </c>
      <c r="E190" s="25">
        <f>SUMIFS('Daftar Koreksi'!$H$5:$H$92,'Daftar Koreksi'!$D$5:$D$92,'1600'!A180,'Daftar Koreksi'!$G$5:$G$92,"Aset Tak Berwujud",'Daftar Koreksi'!$H$5:$H$92,"&gt;0")</f>
        <v>0</v>
      </c>
      <c r="F190" s="25">
        <f>SUMIFS('Daftar Koreksi'!$H$5:$H$92,'Daftar Koreksi'!$D$5:$D$92,'1600'!A180,'Daftar Koreksi'!$G$5:$G$92,"Aset Tak Berwujud",'Daftar Koreksi'!$H$5:$H$92,"&lt;0")-SUMIFS('Daftar Koreksi'!$H$5:$H$92,'Daftar Koreksi'!$D$5:$D$92,'1600'!A180,'Daftar Koreksi'!$G$5:$G$92,"Aset Tak Berwujud",'Daftar Koreksi'!$H$5:$H$92,"&lt;0")-SUMIFS('Daftar Koreksi'!$H$5:$H$92,'Daftar Koreksi'!$D$5:$D$92,'1600'!A180,'Daftar Koreksi'!$G$5:$G$92,"Aset Tak Berwujud",'Daftar Koreksi'!$H$5:$H$92,"&lt;0")</f>
        <v>0</v>
      </c>
      <c r="G190" s="17">
        <f t="shared" si="8"/>
        <v>20750000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Koreksi'!$D$5:$D$92,'1600'!A180,'Daftar Koreksi'!$G$5:$G$92,"Aset Henti Guna",'Daftar Koreksi'!$H$5:$H$92,"&gt;0")</f>
        <v>0</v>
      </c>
      <c r="F191" s="25">
        <f>SUMIFS('Daftar Koreksi'!$H$5:$H$92,'Daftar Koreksi'!$D$5:$D$92,'1600'!A180,'Daftar Koreksi'!$G$5:$G$92,"Aset Henti Guna",'Daftar Koreksi'!$H$5:$H$92,"&lt;0")-SUMIFS('Daftar Koreksi'!$H$5:$H$92,'Daftar Koreksi'!$D$5:$D$92,'1600'!A180,'Daftar Koreksi'!$G$5:$G$92,"Aset Henti Guna",'Daftar Koreksi'!$H$5:$H$92,"&lt;0")-SUMIFS('Daftar Koreksi'!$H$5:$H$92,'Daftar Koreksi'!$D$5:$D$92,'1600'!A180,'Daftar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27412589593</v>
      </c>
      <c r="E192" s="19">
        <f>SUM(E183:E191)</f>
        <v>0</v>
      </c>
      <c r="F192" s="19">
        <f>SUM(F183:F191)</f>
        <v>0</v>
      </c>
      <c r="G192" s="19">
        <f t="shared" si="8"/>
        <v>27412589593</v>
      </c>
      <c r="H192" s="122"/>
    </row>
    <row r="193" spans="1:10" ht="21.95" customHeight="1">
      <c r="A193" s="14"/>
      <c r="B193" s="14"/>
      <c r="C193" s="16" t="s">
        <v>2087</v>
      </c>
      <c r="D193" s="17">
        <f>VLOOKUP(A180,'Neraca Unaudited SIMAK'!$A$2:$S$10004,13,FALSE)</f>
        <v>-847567631</v>
      </c>
      <c r="E193" s="25">
        <f>SUMIFS('Daftar Koreksi'!$I$5:$I$92,'Daftar Koreksi'!$D$5:$D$92,'1600'!A180,'Daftar Koreksi'!$G$5:$G$92,"Peralatan dan mesin",'Daftar Koreksi'!$I$5:$I$92,"&gt;0")</f>
        <v>0</v>
      </c>
      <c r="F193" s="25">
        <f>SUMIFS('Daftar Koreksi'!$I$5:$I$92,'Daftar Koreksi'!$D$5:$D$92,'1600'!A180,'Daftar Koreksi'!$G$5:$G$92,"Peralatan dan mesin",'Daftar Koreksi'!$I$5:$I$92,"&lt;0")-SUMIFS('Daftar Koreksi'!$I$5:$I$92,'Daftar Koreksi'!$D$5:$D$92,'1600'!A180,'Daftar Koreksi'!$G$5:$G$92,"Peralatan dan mesin",'Daftar Koreksi'!$I$5:$I$92,"&lt;0")-SUMIFS('Daftar Koreksi'!$I$5:$I$92,'Daftar Koreksi'!$D$5:$D$92,'1600'!A180,'Daftar Koreksi'!$G$5:$G$92,"Peralatan dan mesin",'Daftar Koreksi'!$I$5:$I$92,"&lt;0")</f>
        <v>0</v>
      </c>
      <c r="G193" s="17">
        <f t="shared" si="8"/>
        <v>-847567631</v>
      </c>
      <c r="H193" s="122"/>
    </row>
    <row r="194" spans="1:10" ht="21.95" customHeight="1">
      <c r="A194" s="14"/>
      <c r="B194" s="14"/>
      <c r="C194" s="16" t="s">
        <v>2088</v>
      </c>
      <c r="D194" s="17">
        <f>VLOOKUP(A180,'Neraca Unaudited SIMAK'!$A$2:$S$10004,14,FALSE)</f>
        <v>-282134555</v>
      </c>
      <c r="E194" s="25">
        <f>SUMIFS('Daftar Koreksi'!$I$5:$I$92,'Daftar Koreksi'!$D$5:$D$92,'1600'!A180,'Daftar Koreksi'!$G$5:$G$92,"Gedung dan Bangunan",'Daftar Koreksi'!$I$5:$I$92,"&gt;0")</f>
        <v>0</v>
      </c>
      <c r="F194" s="25">
        <f>SUMIFS('Daftar Koreksi'!$I$5:$I$92,'Daftar Koreksi'!$D$5:$D$92,'1600'!A180,'Daftar Koreksi'!$G$5:$G$92,"Gedung dan Bangunan",'Daftar Koreksi'!$I$5:$I$92,"&lt;0")-SUMIFS('Daftar Koreksi'!$I$5:$I$92,'Daftar Koreksi'!$D$5:$D$92,'1600'!A180,'Daftar Koreksi'!$G$5:$G$92,"Gedung dan Bangunan",'Daftar Koreksi'!$I$5:$I$92,"&lt;0")-SUMIFS('Daftar Koreksi'!$I$5:$I$92,'Daftar Koreksi'!$D$5:$D$92,'1600'!A180,'Daftar Koreksi'!$G$5:$G$92,"Gedung dan Bangunan",'Daftar Koreksi'!$I$5:$I$92,"&lt;0")</f>
        <v>0</v>
      </c>
      <c r="G194" s="17">
        <f t="shared" si="8"/>
        <v>-282134555</v>
      </c>
      <c r="H194" s="122"/>
    </row>
    <row r="195" spans="1:10" ht="21.95" customHeight="1">
      <c r="A195" s="14"/>
      <c r="B195" s="14"/>
      <c r="C195" s="16" t="s">
        <v>2089</v>
      </c>
      <c r="D195" s="17">
        <f>VLOOKUP(A180,'Neraca Unaudited SIMAK'!$A$2:$S$10004,15,FALSE)</f>
        <v>-412500</v>
      </c>
      <c r="E195" s="25">
        <f>SUMIFS('Daftar Koreksi'!$I$5:$I$92,'Daftar Koreksi'!$D$5:$D$92,'1600'!A180,'Daftar Koreksi'!$G$5:$G$92,"Jalan Irigasi Jaringan",'Daftar Koreksi'!$I$5:$I$92,"&gt;0")</f>
        <v>0</v>
      </c>
      <c r="F195" s="25">
        <f>SUMIFS('Daftar Koreksi'!$I$5:$I$92,'Daftar Koreksi'!$D$5:$D$92,'1600'!A180,'Daftar Koreksi'!$G$5:$G$92,"Jalan Irigasi Jaringan",'Daftar Koreksi'!$I$5:$I$92,"&lt;0")-SUMIFS('Daftar Koreksi'!$I$5:$I$92,'Daftar Koreksi'!$D$5:$D$92,'1600'!A180,'Daftar Koreksi'!$G$5:$G$92,"Jalan Irigasi Jaringan",'Daftar Koreksi'!$I$5:$I$92,"&lt;0")-SUMIFS('Daftar Koreksi'!$I$5:$I$92,'Daftar Koreksi'!$D$5:$D$92,'1600'!A180,'Daftar Koreksi'!$G$5:$G$92,"Jalan Irigasi Jaringan",'Daftar Koreksi'!$I$5:$I$92,"&lt;0")</f>
        <v>0</v>
      </c>
      <c r="G195" s="17">
        <f t="shared" si="8"/>
        <v>-412500</v>
      </c>
      <c r="H195" s="122"/>
    </row>
    <row r="196" spans="1:10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Koreksi'!$D$5:$D$92,'1600'!A180,'Daftar Koreksi'!$G$5:$G$92,"Aset Tetap Lainnya",'Daftar Koreksi'!$I$5:$I$92,"&gt;0")</f>
        <v>0</v>
      </c>
      <c r="F196" s="25">
        <f>SUMIFS('Daftar Koreksi'!$I$5:$I$92,'Daftar Koreksi'!$D$5:$D$92,'1600'!A180,'Daftar Koreksi'!$G$5:$G$92,"Aset Tetap Lainnya",'Daftar Koreksi'!$I$5:$I$92,"&lt;0")-SUMIFS('Daftar Koreksi'!$I$5:$I$92,'Daftar Koreksi'!$D$5:$D$92,'1600'!A180,'Daftar Koreksi'!$G$5:$G$92,"Aset Tetap Lainnya",'Daftar Koreksi'!$I$5:$I$92,"&lt;0")-SUMIFS('Daftar Koreksi'!$I$5:$I$92,'Daftar Koreksi'!$D$5:$D$92,'1600'!A180,'Daftar Koreksi'!$G$5:$G$92,"Aset Tetap Lainnya",'Daftar Koreksi'!$I$5:$I$92,"&lt;0")</f>
        <v>0</v>
      </c>
      <c r="G196" s="17">
        <f t="shared" si="8"/>
        <v>0</v>
      </c>
      <c r="H196" s="122"/>
    </row>
    <row r="197" spans="1:10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Koreksi'!$D$5:$D$92,'1600'!A180,'Daftar Koreksi'!$G$5:$G$92,"Aset Henti Guna",'Daftar Koreksi'!$I$5:$I$92,"&gt;0")</f>
        <v>0</v>
      </c>
      <c r="F197" s="25">
        <f>SUMIFS('Daftar Koreksi'!$I$5:$I$92,'Daftar Koreksi'!$D$5:$D$92,'1600'!A180,'Daftar Koreksi'!$G$5:$G$92,"Aset Henti Guna",'Daftar Koreksi'!$I$5:$I$92,"&lt;0")-SUMIFS('Daftar Koreksi'!$I$5:$I$92,'Daftar Koreksi'!$D$5:$D$92,'1600'!A180,'Daftar Koreksi'!$G$5:$G$92,"Aset Henti Guna",'Daftar Koreksi'!$I$5:$I$92,"&lt;0")-SUMIFS('Daftar Koreksi'!$I$5:$I$92,'Daftar Koreksi'!$D$5:$D$92,'1600'!A180,'Daftar Koreksi'!$G$5:$G$92,"Aset Henti Guna",'Daftar Koreksi'!$I$5:$I$92,"&lt;0")</f>
        <v>0</v>
      </c>
      <c r="G197" s="17">
        <f t="shared" si="8"/>
        <v>0</v>
      </c>
      <c r="H197" s="122"/>
    </row>
    <row r="198" spans="1:10" ht="21.95" customHeight="1">
      <c r="A198" s="14"/>
      <c r="B198" s="14"/>
      <c r="C198" s="18" t="s">
        <v>2094</v>
      </c>
      <c r="D198" s="19">
        <f>SUM(D193:D197)</f>
        <v>-1130114686</v>
      </c>
      <c r="E198" s="19">
        <f>SUM(E193:E197)</f>
        <v>0</v>
      </c>
      <c r="F198" s="19">
        <f>SUM(F193:F197)</f>
        <v>0</v>
      </c>
      <c r="G198" s="19">
        <f t="shared" si="8"/>
        <v>-1130114686</v>
      </c>
      <c r="H198" s="122"/>
    </row>
    <row r="199" spans="1:10" ht="21.95" customHeight="1">
      <c r="A199" s="14"/>
      <c r="B199" s="14"/>
      <c r="C199" s="18" t="s">
        <v>2095</v>
      </c>
      <c r="D199" s="19">
        <f>VLOOKUP(A180,'Neraca Unaudited SIMAK'!$A$2:$S$10004,18,FALSE)</f>
        <v>26282474907</v>
      </c>
      <c r="E199" s="19">
        <f>E198+E192</f>
        <v>0</v>
      </c>
      <c r="F199" s="19">
        <f>F198+F192</f>
        <v>0</v>
      </c>
      <c r="G199" s="19">
        <f t="shared" si="8"/>
        <v>26282474907</v>
      </c>
      <c r="H199" s="122"/>
    </row>
    <row r="200" spans="1:10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10" ht="19.5" customHeight="1">
      <c r="A202" s="11" t="str">
        <f>O10</f>
        <v>005011600307211000KD</v>
      </c>
      <c r="B202" s="11" t="str">
        <f>P10</f>
        <v>PA. Tanjung Selor</v>
      </c>
      <c r="C202" s="12" t="str">
        <f>A202&amp;" "&amp;B202</f>
        <v>005011600307211000KD PA. Tanjung Selor</v>
      </c>
      <c r="D202" s="13"/>
      <c r="E202" s="13"/>
      <c r="F202" s="13"/>
      <c r="G202" s="13"/>
      <c r="H202" s="11"/>
    </row>
    <row r="203" spans="1:10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0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0" ht="21.95" customHeight="1">
      <c r="A205" s="14"/>
      <c r="B205" s="14"/>
      <c r="C205" s="16" t="s">
        <v>1165</v>
      </c>
      <c r="D205" s="17">
        <f>VLOOKUP(A202,'Neraca Unaudited SIMAK'!$A$2:$S$10004,3,FALSE)</f>
        <v>81000</v>
      </c>
      <c r="E205" s="25">
        <f>SUMIFS('Daftar Koreksi'!$H$5:$H$92,'Daftar Koreksi'!$D$5:$D$92,'1600'!A202,'Daftar Koreksi'!$G$5:$G$92,"Persediaan",'Daftar Koreksi'!$H$5:$H$92,"&gt;0")</f>
        <v>0</v>
      </c>
      <c r="F205" s="25">
        <f>SUMIFS('Daftar Koreksi'!$H$5:$H$92,'Daftar Koreksi'!$D$5:$D$92,'1600'!A202,'Daftar Koreksi'!$G$5:$G$92,"Persediaan",'Daftar Koreksi'!$H$5:$H$92,"&lt;0")-SUMIFS('Daftar Koreksi'!$H$5:$H$92,'Daftar Koreksi'!$D$5:$D$92,'1600'!A202,'Daftar Koreksi'!$G$5:$G$92,"Persediaan",'Daftar Koreksi'!$H$5:$H$92,"&lt;0")-SUMIFS('Daftar Koreksi'!$H$5:$H$92,'Daftar Koreksi'!$D$5:$D$92,'1600'!A202,'Daftar Koreksi'!$G$5:$G$92,"Persediaan",'Daftar Koreksi'!$H$5:$H$92,"&lt;0")</f>
        <v>0</v>
      </c>
      <c r="G205" s="17">
        <f>D205+E205-F205</f>
        <v>81000</v>
      </c>
      <c r="H205" s="121" t="str">
        <f>IF(ISNA(VLOOKUP(A202,'Mutasi Neraca'!$A$3:$S$914,19,FALSE)),"-",VLOOKUP(A202,'Mutasi Neraca'!$A$3:$S$914,19,FALSE))</f>
        <v>-</v>
      </c>
      <c r="I205" s="28"/>
      <c r="J205" s="28"/>
    </row>
    <row r="206" spans="1:10" ht="21.95" customHeight="1">
      <c r="A206" s="14"/>
      <c r="B206" s="14"/>
      <c r="C206" s="16" t="s">
        <v>1166</v>
      </c>
      <c r="D206" s="17">
        <f>VLOOKUP(A202,'Neraca Unaudited SIMAK'!$A$2:$S$10004,4,FALSE)</f>
        <v>1671208075</v>
      </c>
      <c r="E206" s="25">
        <f>SUMIFS('Daftar Koreksi'!$H$5:$H$92,'Daftar Koreksi'!$D$5:$D$92,'1600'!A202,'Daftar Koreksi'!$G$5:$G$92,"Tanah",'Daftar Koreksi'!$H$5:$H$92,"&gt;0")</f>
        <v>0</v>
      </c>
      <c r="F206" s="25">
        <f>SUMIFS('Daftar Koreksi'!$H$5:$H$92,'Daftar Koreksi'!$D$5:$D$92,'1600'!A202,'Daftar Koreksi'!$G$5:$G$92,"Tanah",'Daftar Koreksi'!$H$5:$H$92,"&lt;0")-SUMIFS('Daftar Koreksi'!$H$5:$H$92,'Daftar Koreksi'!$D$5:$D$92,'1600'!A202,'Daftar Koreksi'!$G$5:$G$92,"Tanah",'Daftar Koreksi'!$H$5:$H$92,"&lt;0")-SUMIFS('Daftar Koreksi'!$H$5:$H$92,'Daftar Koreksi'!$D$5:$D$92,'1600'!A202,'Daftar Koreksi'!$G$5:$G$92,"Tanah",'Daftar Koreksi'!$H$5:$H$92,"&lt;0")</f>
        <v>0</v>
      </c>
      <c r="G206" s="17">
        <f t="shared" ref="G206:G222" si="9">D206+E206-F206</f>
        <v>1671208075</v>
      </c>
      <c r="H206" s="122"/>
      <c r="I206" s="28"/>
      <c r="J206" s="28"/>
    </row>
    <row r="207" spans="1:10" ht="21.95" customHeight="1">
      <c r="A207" s="14"/>
      <c r="B207" s="14"/>
      <c r="C207" s="16" t="s">
        <v>1167</v>
      </c>
      <c r="D207" s="17">
        <f>VLOOKUP(A202,'Neraca Unaudited SIMAK'!$A$2:$S$10004,5,FALSE)</f>
        <v>998826563</v>
      </c>
      <c r="E207" s="25">
        <f>SUMIFS('Daftar Koreksi'!$H$5:$H$92,'Daftar Koreksi'!$D$5:$D$92,'1600'!A202,'Daftar Koreksi'!$G$5:$G$92,"Peralatan dan mesin",'Daftar Koreksi'!$H$5:$H$92,"&gt;0")</f>
        <v>0</v>
      </c>
      <c r="F207" s="25">
        <f>SUMIFS('Daftar Koreksi'!$H$5:$H$92,'Daftar Koreksi'!$D$5:$D$92,'1600'!A202,'Daftar Koreksi'!$G$5:$G$92,"Peralatan dan mesin",'Daftar Koreksi'!$H$5:$H$92,"&lt;0")-SUMIFS('Daftar Koreksi'!$H$5:$H$92,'Daftar Koreksi'!$D$5:$D$92,'1600'!A202,'Daftar Koreksi'!$G$5:$G$92,"Peralatan dan mesin",'Daftar Koreksi'!$H$5:$H$92,"&lt;0")-SUMIFS('Daftar Koreksi'!$H$5:$H$92,'Daftar Koreksi'!$D$5:$D$92,'1600'!A202,'Daftar Koreksi'!$G$5:$G$92,"Peralatan dan mesin",'Daftar Koreksi'!$H$5:$H$92,"&lt;0")</f>
        <v>0</v>
      </c>
      <c r="G207" s="17">
        <f t="shared" si="9"/>
        <v>998826563</v>
      </c>
      <c r="H207" s="122"/>
      <c r="I207" s="28"/>
      <c r="J207" s="28"/>
    </row>
    <row r="208" spans="1:10" ht="21.95" customHeight="1">
      <c r="A208" s="14"/>
      <c r="B208" s="14"/>
      <c r="C208" s="16" t="s">
        <v>1168</v>
      </c>
      <c r="D208" s="17">
        <f>VLOOKUP(A202,'Neraca Unaudited SIMAK'!$A$2:$S$10004,6,FALSE)</f>
        <v>3642476467</v>
      </c>
      <c r="E208" s="25">
        <f>SUMIFS('Daftar Koreksi'!$H$5:$H$92,'Daftar Koreksi'!$D$5:$D$92,'1600'!A202,'Daftar Koreksi'!$G$5:$G$92,"Gedung dan Bangunan",'Daftar Koreksi'!$H$5:$H$92,"&gt;0")</f>
        <v>0</v>
      </c>
      <c r="F208" s="25">
        <f>SUMIFS('Daftar Koreksi'!$H$5:$H$92,'Daftar Koreksi'!$D$5:$D$92,'1600'!A202,'Daftar Koreksi'!$G$5:$G$92,"Gedung dan Bangunan",'Daftar Koreksi'!$H$5:$H$92,"&lt;0")-SUMIFS('Daftar Koreksi'!$H$5:$H$92,'Daftar Koreksi'!$D$5:$D$92,'1600'!A202,'Daftar Koreksi'!$G$5:$G$92,"Gedung dan Bangunan",'Daftar Koreksi'!$H$5:$H$92,"&lt;0")-SUMIFS('Daftar Koreksi'!$H$5:$H$92,'Daftar Koreksi'!$D$5:$D$92,'1600'!A202,'Daftar Koreksi'!$G$5:$G$92,"Gedung dan Bangunan",'Daftar Koreksi'!$H$5:$H$92,"&lt;0")</f>
        <v>0</v>
      </c>
      <c r="G208" s="17">
        <f t="shared" si="9"/>
        <v>3642476467</v>
      </c>
      <c r="H208" s="122"/>
      <c r="I208" s="28"/>
      <c r="J208" s="28"/>
    </row>
    <row r="209" spans="1:10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Koreksi'!$D$5:$D$92,'1600'!A202,'Daftar Koreksi'!$G$5:$G$92,"Jalan Irigasi Jaringan",'Daftar Koreksi'!$H$5:$H$92,"&gt;0")</f>
        <v>0</v>
      </c>
      <c r="F209" s="25">
        <f>SUMIFS('Daftar Koreksi'!$H$5:$H$92,'Daftar Koreksi'!$D$5:$D$92,'1600'!A202,'Daftar Koreksi'!$G$5:$G$92,"Jalan Irigasi Jaringan",'Daftar Koreksi'!$H$5:$H$92,"&lt;0")-SUMIFS('Daftar Koreksi'!$H$5:$H$92,'Daftar Koreksi'!$D$5:$D$92,'1600'!A202,'Daftar Koreksi'!$G$5:$G$92,"Jalan Irigasi Jaringan",'Daftar Koreksi'!$H$5:$H$92,"&lt;0")-SUMIFS('Daftar Koreksi'!$H$5:$H$92,'Daftar Koreksi'!$D$5:$D$92,'1600'!A202,'Daftar Koreksi'!$G$5:$G$92,"Jalan Irigasi Jaringan",'Daftar Koreksi'!$H$5:$H$92,"&lt;0")</f>
        <v>0</v>
      </c>
      <c r="G209" s="17">
        <f t="shared" si="9"/>
        <v>0</v>
      </c>
      <c r="H209" s="122"/>
      <c r="I209" s="28"/>
      <c r="J209" s="28"/>
    </row>
    <row r="210" spans="1:10" ht="21.95" customHeight="1">
      <c r="A210" s="14"/>
      <c r="B210" s="14"/>
      <c r="C210" s="16" t="s">
        <v>1170</v>
      </c>
      <c r="D210" s="17">
        <f>VLOOKUP(A202,'Neraca Unaudited SIMAK'!$A$2:$S$10004,8,FALSE)</f>
        <v>4177678</v>
      </c>
      <c r="E210" s="25">
        <f>SUMIFS('Daftar Koreksi'!$H$5:$H$92,'Daftar Koreksi'!$D$5:$D$92,'1600'!A202,'Daftar Koreksi'!$G$5:$G$92,"Aset Tetap Lainnya",'Daftar Koreksi'!$H$5:$H$92,"&gt;0")</f>
        <v>0</v>
      </c>
      <c r="F210" s="25">
        <f>SUMIFS('Daftar Koreksi'!$H$5:$H$92,'Daftar Koreksi'!$D$5:$D$92,'1600'!A202,'Daftar Koreksi'!$G$5:$G$92,"Aset Tetap Lainnya",'Daftar Koreksi'!$H$5:$H$92,"&lt;0")-SUMIFS('Daftar Koreksi'!$H$5:$H$92,'Daftar Koreksi'!$D$5:$D$92,'1600'!A202,'Daftar Koreksi'!$G$5:$G$92,"Aset Tetap Lainnya",'Daftar Koreksi'!$H$5:$H$92,"&lt;0")-SUMIFS('Daftar Koreksi'!$H$5:$H$92,'Daftar Koreksi'!$D$5:$D$92,'1600'!A202,'Daftar Koreksi'!$G$5:$G$92,"Aset Tetap Lainnya",'Daftar Koreksi'!$H$5:$H$92,"&lt;0")</f>
        <v>0</v>
      </c>
      <c r="G210" s="17">
        <f t="shared" si="9"/>
        <v>4177678</v>
      </c>
      <c r="H210" s="122"/>
      <c r="I210" s="28"/>
      <c r="J210" s="28"/>
    </row>
    <row r="211" spans="1:10" ht="21.95" customHeight="1">
      <c r="A211" s="14"/>
      <c r="B211" s="14"/>
      <c r="C211" s="16" t="s">
        <v>1171</v>
      </c>
      <c r="D211" s="17">
        <f>VLOOKUP(A202,'Neraca Unaudited SIMAK'!$A$2:$S$10004,9,FALSE)</f>
        <v>997171300</v>
      </c>
      <c r="E211" s="25">
        <f>SUMIFS('Daftar Koreksi'!$H$5:$H$92,'Daftar Koreksi'!$D$5:$D$92,'1600'!A202,'Daftar Koreksi'!$G$5:$G$92,"Kontruksi Dalam Pengerjaan",'Daftar Koreksi'!$H$5:$H$92,"&gt;0")</f>
        <v>0</v>
      </c>
      <c r="F211" s="25">
        <f>SUMIFS('Daftar Koreksi'!$H$5:$H$92,'Daftar Koreksi'!$D$5:$D$92,'1600'!A202,'Daftar Koreksi'!$G$5:$G$92,"Kontruksi Dalam Pengerjaan",'Daftar Koreksi'!$H$5:$H$92,"&lt;0")-SUMIFS('Daftar Koreksi'!$H$5:$H$92,'Daftar Koreksi'!$D$5:$D$92,'1600'!A202,'Daftar Koreksi'!$G$5:$G$92,"Kontruksi Dalam Pengerjaan",'Daftar Koreksi'!$H$5:$H$92,"&lt;0")-SUMIFS('Daftar Koreksi'!$H$5:$H$92,'Daftar Koreksi'!$D$5:$D$92,'1600'!A202,'Daftar Koreksi'!$G$5:$G$92,"Kontruksi Dalam Pengerjaan",'Daftar Koreksi'!$H$5:$H$92,"&lt;0")</f>
        <v>0</v>
      </c>
      <c r="G211" s="17">
        <f t="shared" si="9"/>
        <v>997171300</v>
      </c>
      <c r="H211" s="122"/>
      <c r="I211" s="28"/>
      <c r="J211" s="28"/>
    </row>
    <row r="212" spans="1:10" ht="21.95" customHeight="1">
      <c r="A212" s="14"/>
      <c r="B212" s="14"/>
      <c r="C212" s="16" t="s">
        <v>1172</v>
      </c>
      <c r="D212" s="17">
        <f>VLOOKUP(A202,'Neraca Unaudited SIMAK'!$A$2:$S$10004,10,FALSE)</f>
        <v>20750000</v>
      </c>
      <c r="E212" s="25">
        <f>SUMIFS('Daftar Koreksi'!$H$5:$H$92,'Daftar Koreksi'!$D$5:$D$92,'1600'!A202,'Daftar Koreksi'!$G$5:$G$92,"Aset Tak Berwujud",'Daftar Koreksi'!$H$5:$H$92,"&gt;0")</f>
        <v>0</v>
      </c>
      <c r="F212" s="25">
        <f>SUMIFS('Daftar Koreksi'!$H$5:$H$92,'Daftar Koreksi'!$D$5:$D$92,'1600'!A202,'Daftar Koreksi'!$G$5:$G$92,"Aset Tak Berwujud",'Daftar Koreksi'!$H$5:$H$92,"&lt;0")-SUMIFS('Daftar Koreksi'!$H$5:$H$92,'Daftar Koreksi'!$D$5:$D$92,'1600'!A202,'Daftar Koreksi'!$G$5:$G$92,"Aset Tak Berwujud",'Daftar Koreksi'!$H$5:$H$92,"&lt;0")-SUMIFS('Daftar Koreksi'!$H$5:$H$92,'Daftar Koreksi'!$D$5:$D$92,'1600'!A202,'Daftar Koreksi'!$G$5:$G$92,"Aset Tak Berwujud",'Daftar Koreksi'!$H$5:$H$92,"&lt;0")</f>
        <v>0</v>
      </c>
      <c r="G212" s="17">
        <f t="shared" si="9"/>
        <v>20750000</v>
      </c>
      <c r="H212" s="122"/>
      <c r="I212" s="28"/>
      <c r="J212" s="28"/>
    </row>
    <row r="213" spans="1:10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Koreksi'!$D$5:$D$92,'1600'!A202,'Daftar Koreksi'!$G$5:$G$92,"Aset Henti Guna",'Daftar Koreksi'!$H$5:$H$92,"&gt;0")</f>
        <v>0</v>
      </c>
      <c r="F213" s="25">
        <f>SUMIFS('Daftar Koreksi'!$H$5:$H$92,'Daftar Koreksi'!$D$5:$D$92,'1600'!A202,'Daftar Koreksi'!$G$5:$G$92,"Aset Henti Guna",'Daftar Koreksi'!$H$5:$H$92,"&lt;0")-SUMIFS('Daftar Koreksi'!$H$5:$H$92,'Daftar Koreksi'!$D$5:$D$92,'1600'!A202,'Daftar Koreksi'!$G$5:$G$92,"Aset Henti Guna",'Daftar Koreksi'!$H$5:$H$92,"&lt;0")-SUMIFS('Daftar Koreksi'!$H$5:$H$92,'Daftar Koreksi'!$D$5:$D$92,'1600'!A202,'Daftar Koreksi'!$G$5:$G$92,"Aset Henti Guna",'Daftar Koreksi'!$H$5:$H$92,"&lt;0")</f>
        <v>0</v>
      </c>
      <c r="G213" s="17">
        <f t="shared" si="9"/>
        <v>0</v>
      </c>
      <c r="H213" s="122"/>
      <c r="I213" s="28"/>
      <c r="J213" s="28"/>
    </row>
    <row r="214" spans="1:10" ht="21.95" customHeight="1">
      <c r="A214" s="14"/>
      <c r="B214" s="14"/>
      <c r="C214" s="18" t="s">
        <v>2093</v>
      </c>
      <c r="D214" s="19">
        <f>VLOOKUP(A202,'Neraca Unaudited SIMAK'!$A$2:$S$10004,12,FALSE)</f>
        <v>7334691083</v>
      </c>
      <c r="E214" s="19">
        <f>SUM(E205:E213)</f>
        <v>0</v>
      </c>
      <c r="F214" s="19">
        <f>SUM(F205:F213)</f>
        <v>0</v>
      </c>
      <c r="G214" s="19">
        <f t="shared" si="9"/>
        <v>7334691083</v>
      </c>
      <c r="H214" s="122"/>
      <c r="I214" s="28"/>
      <c r="J214" s="28"/>
    </row>
    <row r="215" spans="1:10" ht="21.95" customHeight="1">
      <c r="A215" s="14"/>
      <c r="B215" s="14"/>
      <c r="C215" s="16" t="s">
        <v>2087</v>
      </c>
      <c r="D215" s="17">
        <f>VLOOKUP(A202,'Neraca Unaudited SIMAK'!$A$2:$S$10004,13,FALSE)</f>
        <v>-903016288</v>
      </c>
      <c r="E215" s="25">
        <f>SUMIFS('Daftar Koreksi'!$I$5:$I$92,'Daftar Koreksi'!$D$5:$D$92,'1600'!A202,'Daftar Koreksi'!$G$5:$G$92,"Peralatan dan mesin",'Daftar Koreksi'!$I$5:$I$92,"&gt;0")</f>
        <v>0</v>
      </c>
      <c r="F215" s="25">
        <f>SUMIFS('Daftar Koreksi'!$I$5:$I$92,'Daftar Koreksi'!$D$5:$D$92,'1600'!A202,'Daftar Koreksi'!$G$5:$G$92,"Peralatan dan mesin",'Daftar Koreksi'!$I$5:$I$92,"&lt;0")-SUMIFS('Daftar Koreksi'!$I$5:$I$92,'Daftar Koreksi'!$D$5:$D$92,'1600'!A202,'Daftar Koreksi'!$G$5:$G$92,"Peralatan dan mesin",'Daftar Koreksi'!$I$5:$I$92,"&lt;0")-SUMIFS('Daftar Koreksi'!$I$5:$I$92,'Daftar Koreksi'!$D$5:$D$92,'1600'!A202,'Daftar Koreksi'!$G$5:$G$92,"Peralatan dan mesin",'Daftar Koreksi'!$I$5:$I$92,"&lt;0")</f>
        <v>0</v>
      </c>
      <c r="G215" s="17">
        <f t="shared" si="9"/>
        <v>-903016288</v>
      </c>
      <c r="H215" s="122"/>
      <c r="I215" s="28"/>
      <c r="J215" s="28"/>
    </row>
    <row r="216" spans="1:10" ht="21.95" customHeight="1">
      <c r="A216" s="14"/>
      <c r="B216" s="14"/>
      <c r="C216" s="16" t="s">
        <v>2088</v>
      </c>
      <c r="D216" s="17">
        <f>VLOOKUP(A202,'Neraca Unaudited SIMAK'!$A$2:$S$10004,14,FALSE)</f>
        <v>-688089707</v>
      </c>
      <c r="E216" s="25">
        <f>SUMIFS('Daftar Koreksi'!$I$5:$I$92,'Daftar Koreksi'!$D$5:$D$92,'1600'!A202,'Daftar Koreksi'!$G$5:$G$92,"Gedung dan Bangunan",'Daftar Koreksi'!$I$5:$I$92,"&gt;0")</f>
        <v>0</v>
      </c>
      <c r="F216" s="25">
        <f>SUMIFS('Daftar Koreksi'!$I$5:$I$92,'Daftar Koreksi'!$D$5:$D$92,'1600'!A202,'Daftar Koreksi'!$G$5:$G$92,"Gedung dan Bangunan",'Daftar Koreksi'!$I$5:$I$92,"&lt;0")-SUMIFS('Daftar Koreksi'!$I$5:$I$92,'Daftar Koreksi'!$D$5:$D$92,'1600'!A202,'Daftar Koreksi'!$G$5:$G$92,"Gedung dan Bangunan",'Daftar Koreksi'!$I$5:$I$92,"&lt;0")-SUMIFS('Daftar Koreksi'!$I$5:$I$92,'Daftar Koreksi'!$D$5:$D$92,'1600'!A202,'Daftar Koreksi'!$G$5:$G$92,"Gedung dan Bangunan",'Daftar Koreksi'!$I$5:$I$92,"&lt;0")</f>
        <v>0</v>
      </c>
      <c r="G216" s="17">
        <f t="shared" si="9"/>
        <v>-688089707</v>
      </c>
      <c r="H216" s="122"/>
      <c r="I216" s="28"/>
      <c r="J216" s="28"/>
    </row>
    <row r="217" spans="1:10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Koreksi'!$D$5:$D$92,'1600'!A202,'Daftar Koreksi'!$G$5:$G$92,"Jalan Irigasi Jaringan",'Daftar Koreksi'!$I$5:$I$92,"&gt;0")</f>
        <v>0</v>
      </c>
      <c r="F217" s="25">
        <f>SUMIFS('Daftar Koreksi'!$I$5:$I$92,'Daftar Koreksi'!$D$5:$D$92,'1600'!A202,'Daftar Koreksi'!$G$5:$G$92,"Jalan Irigasi Jaringan",'Daftar Koreksi'!$I$5:$I$92,"&lt;0")-SUMIFS('Daftar Koreksi'!$I$5:$I$92,'Daftar Koreksi'!$D$5:$D$92,'1600'!A202,'Daftar Koreksi'!$G$5:$G$92,"Jalan Irigasi Jaringan",'Daftar Koreksi'!$I$5:$I$92,"&lt;0")-SUMIFS('Daftar Koreksi'!$I$5:$I$92,'Daftar Koreksi'!$D$5:$D$92,'1600'!A202,'Daftar Koreksi'!$G$5:$G$92,"Jalan Irigasi Jaringan",'Daftar Koreksi'!$I$5:$I$92,"&lt;0")</f>
        <v>0</v>
      </c>
      <c r="G217" s="17">
        <f t="shared" si="9"/>
        <v>0</v>
      </c>
      <c r="H217" s="122"/>
      <c r="I217" s="28"/>
      <c r="J217" s="28"/>
    </row>
    <row r="218" spans="1:10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Koreksi'!$D$5:$D$92,'1600'!A202,'Daftar Koreksi'!$G$5:$G$92,"Aset Tetap Lainnya",'Daftar Koreksi'!$I$5:$I$92,"&gt;0")</f>
        <v>0</v>
      </c>
      <c r="F218" s="25">
        <f>SUMIFS('Daftar Koreksi'!$I$5:$I$92,'Daftar Koreksi'!$D$5:$D$92,'1600'!A202,'Daftar Koreksi'!$G$5:$G$92,"Aset Tetap Lainnya",'Daftar Koreksi'!$I$5:$I$92,"&lt;0")-SUMIFS('Daftar Koreksi'!$I$5:$I$92,'Daftar Koreksi'!$D$5:$D$92,'1600'!A202,'Daftar Koreksi'!$G$5:$G$92,"Aset Tetap Lainnya",'Daftar Koreksi'!$I$5:$I$92,"&lt;0")-SUMIFS('Daftar Koreksi'!$I$5:$I$92,'Daftar Koreksi'!$D$5:$D$92,'1600'!A202,'Daftar Koreksi'!$G$5:$G$92,"Aset Tetap Lainnya",'Daftar Koreksi'!$I$5:$I$92,"&lt;0")</f>
        <v>0</v>
      </c>
      <c r="G218" s="17">
        <f t="shared" si="9"/>
        <v>0</v>
      </c>
      <c r="H218" s="122"/>
      <c r="I218" s="28"/>
      <c r="J218" s="28"/>
    </row>
    <row r="219" spans="1:10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Koreksi'!$D$5:$D$92,'1600'!A202,'Daftar Koreksi'!$G$5:$G$92,"Aset Henti Guna",'Daftar Koreksi'!$I$5:$I$92,"&gt;0")</f>
        <v>0</v>
      </c>
      <c r="F219" s="25">
        <f>SUMIFS('Daftar Koreksi'!$I$5:$I$92,'Daftar Koreksi'!$D$5:$D$92,'1600'!A202,'Daftar Koreksi'!$G$5:$G$92,"Aset Henti Guna",'Daftar Koreksi'!$I$5:$I$92,"&lt;0")-SUMIFS('Daftar Koreksi'!$I$5:$I$92,'Daftar Koreksi'!$D$5:$D$92,'1600'!A202,'Daftar Koreksi'!$G$5:$G$92,"Aset Henti Guna",'Daftar Koreksi'!$I$5:$I$92,"&lt;0")-SUMIFS('Daftar Koreksi'!$I$5:$I$92,'Daftar Koreksi'!$D$5:$D$92,'1600'!A202,'Daftar Koreksi'!$G$5:$G$92,"Aset Henti Guna",'Daftar Koreksi'!$I$5:$I$92,"&lt;0")</f>
        <v>0</v>
      </c>
      <c r="G219" s="17">
        <f t="shared" si="9"/>
        <v>0</v>
      </c>
      <c r="H219" s="122"/>
      <c r="I219" s="28"/>
      <c r="J219" s="28"/>
    </row>
    <row r="220" spans="1:10" ht="21.95" customHeight="1">
      <c r="A220" s="14"/>
      <c r="B220" s="14"/>
      <c r="C220" s="18" t="s">
        <v>2094</v>
      </c>
      <c r="D220" s="19">
        <f>SUM(D215:D219)</f>
        <v>-1591105995</v>
      </c>
      <c r="E220" s="19">
        <f>SUM(E215:E219)</f>
        <v>0</v>
      </c>
      <c r="F220" s="19">
        <f>SUM(F215:F219)</f>
        <v>0</v>
      </c>
      <c r="G220" s="19">
        <f t="shared" si="9"/>
        <v>-1591105995</v>
      </c>
      <c r="H220" s="122"/>
      <c r="I220" s="28"/>
      <c r="J220" s="28"/>
    </row>
    <row r="221" spans="1:10" ht="21.95" customHeight="1">
      <c r="A221" s="14"/>
      <c r="B221" s="14"/>
      <c r="C221" s="18" t="s">
        <v>2095</v>
      </c>
      <c r="D221" s="19">
        <f>VLOOKUP(A202,'Neraca Unaudited SIMAK'!$A$2:$S$10004,18,FALSE)</f>
        <v>5743585088</v>
      </c>
      <c r="E221" s="19">
        <f>E220+E214</f>
        <v>0</v>
      </c>
      <c r="F221" s="19">
        <f>F220+F214</f>
        <v>0</v>
      </c>
      <c r="G221" s="19">
        <f t="shared" si="9"/>
        <v>5743585088</v>
      </c>
      <c r="H221" s="122"/>
      <c r="I221" s="28"/>
      <c r="J221" s="28"/>
    </row>
    <row r="222" spans="1:10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  <c r="I222" s="28"/>
      <c r="J222" s="28"/>
    </row>
    <row r="224" spans="1:10" ht="19.5" customHeight="1">
      <c r="A224" s="11" t="str">
        <f>O11</f>
        <v>005011600400291000KD</v>
      </c>
      <c r="B224" s="11" t="str">
        <f>P11</f>
        <v xml:space="preserve">PN. Tanjung Redeb </v>
      </c>
      <c r="C224" s="12" t="str">
        <f>A224&amp;" "&amp;B224</f>
        <v xml:space="preserve">005011600400291000KD PN. Tanjung Redeb 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374000</v>
      </c>
      <c r="E227" s="25">
        <f>SUMIFS('Daftar Koreksi'!$H$5:$H$92,'Daftar Koreksi'!$D$5:$D$92,'1600'!A224,'Daftar Koreksi'!$G$5:$G$92,"Persediaan",'Daftar Koreksi'!$H$5:$H$92,"&gt;0")</f>
        <v>0</v>
      </c>
      <c r="F227" s="25">
        <f>SUMIFS('Daftar Koreksi'!$H$5:$H$92,'Daftar Koreksi'!$D$5:$D$92,'1600'!A224,'Daftar Koreksi'!$G$5:$G$92,"Persediaan",'Daftar Koreksi'!$H$5:$H$92,"&lt;0")-SUMIFS('Daftar Koreksi'!$H$5:$H$92,'Daftar Koreksi'!$D$5:$D$92,'1600'!A224,'Daftar Koreksi'!$G$5:$G$92,"Persediaan",'Daftar Koreksi'!$H$5:$H$92,"&lt;0")-SUMIFS('Daftar Koreksi'!$H$5:$H$92,'Daftar Koreksi'!$D$5:$D$92,'1600'!A224,'Daftar Koreksi'!$G$5:$G$92,"Persediaan",'Daftar Koreksi'!$H$5:$H$92,"&lt;0")</f>
        <v>0</v>
      </c>
      <c r="G227" s="17">
        <f>D227+E227-F227</f>
        <v>374000</v>
      </c>
      <c r="H227" s="121" t="str">
        <f>IF(ISNA(VLOOKUP(A224,'Mutasi Neraca'!$A$3:$S$914,19,FALSE)),"-",VLOOKUP(A224,'Mutasi Neraca'!$A$3:$S$914,19,FALSE))</f>
        <v>TP. No 4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9547478138</v>
      </c>
      <c r="E228" s="25">
        <f>SUMIFS('Daftar Koreksi'!$H$5:$H$92,'Daftar Koreksi'!$D$5:$D$92,'1600'!A224,'Daftar Koreksi'!$G$5:$G$92,"Tanah",'Daftar Koreksi'!$H$5:$H$92,"&gt;0")</f>
        <v>0</v>
      </c>
      <c r="F228" s="25">
        <f>SUMIFS('Daftar Koreksi'!$H$5:$H$92,'Daftar Koreksi'!$D$5:$D$92,'1600'!A224,'Daftar Koreksi'!$G$5:$G$92,"Tanah",'Daftar Koreksi'!$H$5:$H$92,"&lt;0")-SUMIFS('Daftar Koreksi'!$H$5:$H$92,'Daftar Koreksi'!$D$5:$D$92,'1600'!A224,'Daftar Koreksi'!$G$5:$G$92,"Tanah",'Daftar Koreksi'!$H$5:$H$92,"&lt;0")-SUMIFS('Daftar Koreksi'!$H$5:$H$92,'Daftar Koreksi'!$D$5:$D$92,'1600'!A224,'Daftar Koreksi'!$G$5:$G$92,"Tanah",'Daftar Koreksi'!$H$5:$H$92,"&lt;0")</f>
        <v>0</v>
      </c>
      <c r="G228" s="17">
        <f t="shared" ref="G228:G244" si="10">D228+E228-F228</f>
        <v>9547478138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1048649303</v>
      </c>
      <c r="E229" s="25">
        <f>SUMIFS('Daftar Koreksi'!$H$5:$H$92,'Daftar Koreksi'!$D$5:$D$92,'1600'!A224,'Daftar Koreksi'!$G$5:$G$92,"Peralatan dan mesin",'Daftar Koreksi'!$H$5:$H$92,"&gt;0")</f>
        <v>3895309</v>
      </c>
      <c r="F229" s="25">
        <f>SUMIFS('Daftar Koreksi'!$H$5:$H$92,'Daftar Koreksi'!$D$5:$D$92,'1600'!A224,'Daftar Koreksi'!$G$5:$G$92,"Peralatan dan mesin",'Daftar Koreksi'!$H$5:$H$92,"&lt;0")-SUMIFS('Daftar Koreksi'!$H$5:$H$92,'Daftar Koreksi'!$D$5:$D$92,'1600'!A224,'Daftar Koreksi'!$G$5:$G$92,"Peralatan dan mesin",'Daftar Koreksi'!$H$5:$H$92,"&lt;0")-SUMIFS('Daftar Koreksi'!$H$5:$H$92,'Daftar Koreksi'!$D$5:$D$92,'1600'!A224,'Daftar Koreksi'!$G$5:$G$92,"Peralatan dan mesin",'Daftar Koreksi'!$H$5:$H$92,"&lt;0")</f>
        <v>0</v>
      </c>
      <c r="G229" s="17">
        <f t="shared" si="10"/>
        <v>1052544612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18088590843</v>
      </c>
      <c r="E230" s="25">
        <f>SUMIFS('Daftar Koreksi'!$H$5:$H$92,'Daftar Koreksi'!$D$5:$D$92,'1600'!A224,'Daftar Koreksi'!$G$5:$G$92,"Gedung dan Bangunan",'Daftar Koreksi'!$H$5:$H$92,"&gt;0")</f>
        <v>0</v>
      </c>
      <c r="F230" s="25">
        <f>SUMIFS('Daftar Koreksi'!$H$5:$H$92,'Daftar Koreksi'!$D$5:$D$92,'1600'!A224,'Daftar Koreksi'!$G$5:$G$92,"Gedung dan Bangunan",'Daftar Koreksi'!$H$5:$H$92,"&lt;0")-SUMIFS('Daftar Koreksi'!$H$5:$H$92,'Daftar Koreksi'!$D$5:$D$92,'1600'!A224,'Daftar Koreksi'!$G$5:$G$92,"Gedung dan Bangunan",'Daftar Koreksi'!$H$5:$H$92,"&lt;0")-SUMIFS('Daftar Koreksi'!$H$5:$H$92,'Daftar Koreksi'!$D$5:$D$92,'1600'!A224,'Daftar Koreksi'!$G$5:$G$92,"Gedung dan Bangunan",'Daftar Koreksi'!$H$5:$H$92,"&lt;0")</f>
        <v>0</v>
      </c>
      <c r="G230" s="17">
        <f t="shared" si="10"/>
        <v>18088590843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Koreksi'!$D$5:$D$92,'1600'!A224,'Daftar Koreksi'!$G$5:$G$92,"Jalan Irigasi Jaringan",'Daftar Koreksi'!$H$5:$H$92,"&gt;0")</f>
        <v>0</v>
      </c>
      <c r="F231" s="25">
        <f>SUMIFS('Daftar Koreksi'!$H$5:$H$92,'Daftar Koreksi'!$D$5:$D$92,'1600'!A224,'Daftar Koreksi'!$G$5:$G$92,"Jalan Irigasi Jaringan",'Daftar Koreksi'!$H$5:$H$92,"&lt;0")-SUMIFS('Daftar Koreksi'!$H$5:$H$92,'Daftar Koreksi'!$D$5:$D$92,'1600'!A224,'Daftar Koreksi'!$G$5:$G$92,"Jalan Irigasi Jaringan",'Daftar Koreksi'!$H$5:$H$92,"&lt;0")-SUMIFS('Daftar Koreksi'!$H$5:$H$92,'Daftar Koreksi'!$D$5:$D$92,'1600'!A224,'Daftar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1943440</v>
      </c>
      <c r="E232" s="25">
        <f>SUMIFS('Daftar Koreksi'!$H$5:$H$92,'Daftar Koreksi'!$D$5:$D$92,'1600'!A224,'Daftar Koreksi'!$G$5:$G$92,"Aset Tetap Lainnya",'Daftar Koreksi'!$H$5:$H$92,"&gt;0")</f>
        <v>0</v>
      </c>
      <c r="F232" s="25">
        <f>SUMIFS('Daftar Koreksi'!$H$5:$H$92,'Daftar Koreksi'!$D$5:$D$92,'1600'!A224,'Daftar Koreksi'!$G$5:$G$92,"Aset Tetap Lainnya",'Daftar Koreksi'!$H$5:$H$92,"&lt;0")-SUMIFS('Daftar Koreksi'!$H$5:$H$92,'Daftar Koreksi'!$D$5:$D$92,'1600'!A224,'Daftar Koreksi'!$G$5:$G$92,"Aset Tetap Lainnya",'Daftar Koreksi'!$H$5:$H$92,"&lt;0")-SUMIFS('Daftar Koreksi'!$H$5:$H$92,'Daftar Koreksi'!$D$5:$D$92,'1600'!A224,'Daftar Koreksi'!$G$5:$G$92,"Aset Tetap Lainnya",'Daftar Koreksi'!$H$5:$H$92,"&lt;0")</f>
        <v>0</v>
      </c>
      <c r="G232" s="17">
        <f t="shared" si="10"/>
        <v>1943440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Koreksi'!$D$5:$D$92,'1600'!A224,'Daftar Koreksi'!$G$5:$G$92,"Kontruksi Dalam Pengerjaan",'Daftar Koreksi'!$H$5:$H$92,"&gt;0")</f>
        <v>0</v>
      </c>
      <c r="F233" s="25">
        <f>SUMIFS('Daftar Koreksi'!$H$5:$H$92,'Daftar Koreksi'!$D$5:$D$92,'1600'!A224,'Daftar Koreksi'!$G$5:$G$92,"Kontruksi Dalam Pengerjaan",'Daftar Koreksi'!$H$5:$H$92,"&lt;0")-SUMIFS('Daftar Koreksi'!$H$5:$H$92,'Daftar Koreksi'!$D$5:$D$92,'1600'!A224,'Daftar Koreksi'!$G$5:$G$92,"Kontruksi Dalam Pengerjaan",'Daftar Koreksi'!$H$5:$H$92,"&lt;0")-SUMIFS('Daftar Koreksi'!$H$5:$H$92,'Daftar Koreksi'!$D$5:$D$92,'1600'!A224,'Daftar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Koreksi'!$D$5:$D$92,'1600'!A224,'Daftar Koreksi'!$G$5:$G$92,"Aset Tak Berwujud",'Daftar Koreksi'!$H$5:$H$92,"&gt;0")</f>
        <v>0</v>
      </c>
      <c r="F234" s="25">
        <f>SUMIFS('Daftar Koreksi'!$H$5:$H$92,'Daftar Koreksi'!$D$5:$D$92,'1600'!A224,'Daftar Koreksi'!$G$5:$G$92,"Aset Tak Berwujud",'Daftar Koreksi'!$H$5:$H$92,"&lt;0")-SUMIFS('Daftar Koreksi'!$H$5:$H$92,'Daftar Koreksi'!$D$5:$D$92,'1600'!A224,'Daftar Koreksi'!$G$5:$G$92,"Aset Tak Berwujud",'Daftar Koreksi'!$H$5:$H$92,"&lt;0")-SUMIFS('Daftar Koreksi'!$H$5:$H$92,'Daftar Koreksi'!$D$5:$D$92,'1600'!A224,'Daftar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190555500</v>
      </c>
      <c r="E235" s="25">
        <f>SUMIFS('Daftar Koreksi'!$H$5:$H$92,'Daftar Koreksi'!$D$5:$D$92,'1600'!A224,'Daftar Koreksi'!$G$5:$G$92,"Aset Henti Guna",'Daftar Koreksi'!$H$5:$H$92,"&gt;0")</f>
        <v>0</v>
      </c>
      <c r="F235" s="25">
        <f>SUMIFS('Daftar Koreksi'!$H$5:$H$92,'Daftar Koreksi'!$D$5:$D$92,'1600'!A224,'Daftar Koreksi'!$G$5:$G$92,"Aset Henti Guna",'Daftar Koreksi'!$H$5:$H$92,"&lt;0")-SUMIFS('Daftar Koreksi'!$H$5:$H$92,'Daftar Koreksi'!$D$5:$D$92,'1600'!A224,'Daftar Koreksi'!$G$5:$G$92,"Aset Henti Guna",'Daftar Koreksi'!$H$5:$H$92,"&lt;0")-SUMIFS('Daftar Koreksi'!$H$5:$H$92,'Daftar Koreksi'!$D$5:$D$92,'1600'!A224,'Daftar Koreksi'!$G$5:$G$92,"Aset Henti Guna",'Daftar Koreksi'!$H$5:$H$92,"&lt;0")</f>
        <v>0</v>
      </c>
      <c r="G235" s="17">
        <f t="shared" si="10"/>
        <v>190555500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28877591224</v>
      </c>
      <c r="E236" s="19">
        <f>SUM(E227:E235)</f>
        <v>3895309</v>
      </c>
      <c r="F236" s="19">
        <f>SUM(F227:F235)</f>
        <v>0</v>
      </c>
      <c r="G236" s="19">
        <f t="shared" si="10"/>
        <v>28881486533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-816272553</v>
      </c>
      <c r="E237" s="25">
        <f>SUMIFS('Daftar Koreksi'!$I$5:$I$92,'Daftar Koreksi'!$D$5:$D$92,'1600'!A224,'Daftar Koreksi'!$G$5:$G$92,"Peralatan dan mesin",'Daftar Koreksi'!$I$5:$I$92,"&gt;0")</f>
        <v>0</v>
      </c>
      <c r="F237" s="25">
        <f>SUMIFS('Daftar Koreksi'!$I$5:$I$92,'Daftar Koreksi'!$D$5:$D$92,'1600'!A224,'Daftar Koreksi'!$G$5:$G$92,"Peralatan dan mesin",'Daftar Koreksi'!$I$5:$I$92,"&lt;0")-SUMIFS('Daftar Koreksi'!$I$5:$I$92,'Daftar Koreksi'!$D$5:$D$92,'1600'!A224,'Daftar Koreksi'!$G$5:$G$92,"Peralatan dan mesin",'Daftar Koreksi'!$I$5:$I$92,"&lt;0")-SUMIFS('Daftar Koreksi'!$I$5:$I$92,'Daftar Koreksi'!$D$5:$D$92,'1600'!A224,'Daftar Koreksi'!$G$5:$G$92,"Peralatan dan mesin",'Daftar Koreksi'!$I$5:$I$92,"&lt;0")</f>
        <v>389531</v>
      </c>
      <c r="G237" s="17">
        <f t="shared" si="10"/>
        <v>-816662084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-2811608456</v>
      </c>
      <c r="E238" s="25">
        <f>SUMIFS('Daftar Koreksi'!$I$5:$I$92,'Daftar Koreksi'!$D$5:$D$92,'1600'!A224,'Daftar Koreksi'!$G$5:$G$92,"Gedung dan Bangunan",'Daftar Koreksi'!$I$5:$I$92,"&gt;0")</f>
        <v>0</v>
      </c>
      <c r="F238" s="25">
        <f>SUMIFS('Daftar Koreksi'!$I$5:$I$92,'Daftar Koreksi'!$D$5:$D$92,'1600'!A224,'Daftar Koreksi'!$G$5:$G$92,"Gedung dan Bangunan",'Daftar Koreksi'!$I$5:$I$92,"&lt;0")-SUMIFS('Daftar Koreksi'!$I$5:$I$92,'Daftar Koreksi'!$D$5:$D$92,'1600'!A224,'Daftar Koreksi'!$G$5:$G$92,"Gedung dan Bangunan",'Daftar Koreksi'!$I$5:$I$92,"&lt;0")-SUMIFS('Daftar Koreksi'!$I$5:$I$92,'Daftar Koreksi'!$D$5:$D$92,'1600'!A224,'Daftar Koreksi'!$G$5:$G$92,"Gedung dan Bangunan",'Daftar Koreksi'!$I$5:$I$92,"&lt;0")</f>
        <v>0</v>
      </c>
      <c r="G238" s="17">
        <f t="shared" si="10"/>
        <v>-2811608456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Koreksi'!$D$5:$D$92,'1600'!A224,'Daftar Koreksi'!$G$5:$G$92,"Jalan Irigasi Jaringan",'Daftar Koreksi'!$I$5:$I$92,"&gt;0")</f>
        <v>0</v>
      </c>
      <c r="F239" s="25">
        <f>SUMIFS('Daftar Koreksi'!$I$5:$I$92,'Daftar Koreksi'!$D$5:$D$92,'1600'!A224,'Daftar Koreksi'!$G$5:$G$92,"Jalan Irigasi Jaringan",'Daftar Koreksi'!$I$5:$I$92,"&lt;0")-SUMIFS('Daftar Koreksi'!$I$5:$I$92,'Daftar Koreksi'!$D$5:$D$92,'1600'!A224,'Daftar Koreksi'!$G$5:$G$92,"Jalan Irigasi Jaringan",'Daftar Koreksi'!$I$5:$I$92,"&lt;0")-SUMIFS('Daftar Koreksi'!$I$5:$I$92,'Daftar Koreksi'!$D$5:$D$92,'1600'!A224,'Daftar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Koreksi'!$D$5:$D$92,'1600'!A224,'Daftar Koreksi'!$G$5:$G$92,"Aset Tetap Lainnya",'Daftar Koreksi'!$I$5:$I$92,"&gt;0")</f>
        <v>0</v>
      </c>
      <c r="F240" s="25">
        <f>SUMIFS('Daftar Koreksi'!$I$5:$I$92,'Daftar Koreksi'!$D$5:$D$92,'1600'!A224,'Daftar Koreksi'!$G$5:$G$92,"Aset Tetap Lainnya",'Daftar Koreksi'!$I$5:$I$92,"&lt;0")-SUMIFS('Daftar Koreksi'!$I$5:$I$92,'Daftar Koreksi'!$D$5:$D$92,'1600'!A224,'Daftar Koreksi'!$G$5:$G$92,"Aset Tetap Lainnya",'Daftar Koreksi'!$I$5:$I$92,"&lt;0")-SUMIFS('Daftar Koreksi'!$I$5:$I$92,'Daftar Koreksi'!$D$5:$D$92,'1600'!A224,'Daftar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-190555500</v>
      </c>
      <c r="E241" s="25">
        <f>SUMIFS('Daftar Koreksi'!$I$5:$I$92,'Daftar Koreksi'!$D$5:$D$92,'1600'!A224,'Daftar Koreksi'!$G$5:$G$92,"Aset Henti Guna",'Daftar Koreksi'!$I$5:$I$92,"&gt;0")</f>
        <v>0</v>
      </c>
      <c r="F241" s="25">
        <f>SUMIFS('Daftar Koreksi'!$I$5:$I$92,'Daftar Koreksi'!$D$5:$D$92,'1600'!A224,'Daftar Koreksi'!$G$5:$G$92,"Aset Henti Guna",'Daftar Koreksi'!$I$5:$I$92,"&lt;0")-SUMIFS('Daftar Koreksi'!$I$5:$I$92,'Daftar Koreksi'!$D$5:$D$92,'1600'!A224,'Daftar Koreksi'!$G$5:$G$92,"Aset Henti Guna",'Daftar Koreksi'!$I$5:$I$92,"&lt;0")-SUMIFS('Daftar Koreksi'!$I$5:$I$92,'Daftar Koreksi'!$D$5:$D$92,'1600'!A224,'Daftar Koreksi'!$G$5:$G$92,"Aset Henti Guna",'Daftar Koreksi'!$I$5:$I$92,"&lt;0")</f>
        <v>0</v>
      </c>
      <c r="G241" s="17">
        <f t="shared" si="10"/>
        <v>-190555500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-3818436509</v>
      </c>
      <c r="E242" s="19">
        <f>SUM(E237:E241)</f>
        <v>0</v>
      </c>
      <c r="F242" s="19">
        <f>SUM(F237:F241)</f>
        <v>389531</v>
      </c>
      <c r="G242" s="19">
        <f t="shared" si="10"/>
        <v>-3818826040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25059154715</v>
      </c>
      <c r="E243" s="19">
        <f>E242+E236</f>
        <v>3895309</v>
      </c>
      <c r="F243" s="19">
        <f>F242+F236</f>
        <v>389531</v>
      </c>
      <c r="G243" s="19">
        <f t="shared" si="10"/>
        <v>25062660493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005011600400302000KD</v>
      </c>
      <c r="B246" s="11" t="str">
        <f>P12</f>
        <v>PN. Tanah Grogot</v>
      </c>
      <c r="C246" s="12" t="str">
        <f>A246&amp;" "&amp;B246</f>
        <v>005011600400302000KD PN. Tanah Grogot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579000</v>
      </c>
      <c r="E249" s="25">
        <f>SUMIFS('Daftar Koreksi'!$H$5:$H$92,'Daftar Koreksi'!$D$5:$D$92,'1600'!A246,'Daftar Koreksi'!$G$5:$G$92,"Persediaan",'Daftar Koreksi'!$H$5:$H$92,"&gt;0")</f>
        <v>0</v>
      </c>
      <c r="F249" s="25">
        <f>SUMIFS('Daftar Koreksi'!$H$5:$H$92,'Daftar Koreksi'!$D$5:$D$92,'1600'!A246,'Daftar Koreksi'!$G$5:$G$92,"Persediaan",'Daftar Koreksi'!$H$5:$H$92,"&lt;0")-SUMIFS('Daftar Koreksi'!$H$5:$H$92,'Daftar Koreksi'!$D$5:$D$92,'1600'!A246,'Daftar Koreksi'!$G$5:$G$92,"Persediaan",'Daftar Koreksi'!$H$5:$H$92,"&lt;0")-SUMIFS('Daftar Koreksi'!$H$5:$H$92,'Daftar Koreksi'!$D$5:$D$92,'1600'!A246,'Daftar Koreksi'!$G$5:$G$92,"Persediaan",'Daftar Koreksi'!$H$5:$H$92,"&lt;0")</f>
        <v>0</v>
      </c>
      <c r="G249" s="17">
        <f>D249+E249-F249</f>
        <v>579000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8610500000</v>
      </c>
      <c r="E250" s="25">
        <f>SUMIFS('Daftar Koreksi'!$H$5:$H$92,'Daftar Koreksi'!$D$5:$D$92,'1600'!A246,'Daftar Koreksi'!$G$5:$G$92,"Tanah",'Daftar Koreksi'!$H$5:$H$92,"&gt;0")</f>
        <v>0</v>
      </c>
      <c r="F250" s="25">
        <f>SUMIFS('Daftar Koreksi'!$H$5:$H$92,'Daftar Koreksi'!$D$5:$D$92,'1600'!A246,'Daftar Koreksi'!$G$5:$G$92,"Tanah",'Daftar Koreksi'!$H$5:$H$92,"&lt;0")-SUMIFS('Daftar Koreksi'!$H$5:$H$92,'Daftar Koreksi'!$D$5:$D$92,'1600'!A246,'Daftar Koreksi'!$G$5:$G$92,"Tanah",'Daftar Koreksi'!$H$5:$H$92,"&lt;0")-SUMIFS('Daftar Koreksi'!$H$5:$H$92,'Daftar Koreksi'!$D$5:$D$92,'1600'!A246,'Daftar Koreksi'!$G$5:$G$92,"Tanah",'Daftar Koreksi'!$H$5:$H$92,"&lt;0")</f>
        <v>0</v>
      </c>
      <c r="G250" s="17">
        <f t="shared" ref="G250:G266" si="11">D250+E250-F250</f>
        <v>8610500000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1068496096</v>
      </c>
      <c r="E251" s="25">
        <f>SUMIFS('Daftar Koreksi'!$H$5:$H$92,'Daftar Koreksi'!$D$5:$D$92,'1600'!A246,'Daftar Koreksi'!$G$5:$G$92,"Peralatan dan mesin",'Daftar Koreksi'!$H$5:$H$92,"&gt;0")</f>
        <v>0</v>
      </c>
      <c r="F251" s="25">
        <f>SUMIFS('Daftar Koreksi'!$H$5:$H$92,'Daftar Koreksi'!$D$5:$D$92,'1600'!A246,'Daftar Koreksi'!$G$5:$G$92,"Peralatan dan mesin",'Daftar Koreksi'!$H$5:$H$92,"&lt;0")-SUMIFS('Daftar Koreksi'!$H$5:$H$92,'Daftar Koreksi'!$D$5:$D$92,'1600'!A246,'Daftar Koreksi'!$G$5:$G$92,"Peralatan dan mesin",'Daftar Koreksi'!$H$5:$H$92,"&lt;0")-SUMIFS('Daftar Koreksi'!$H$5:$H$92,'Daftar Koreksi'!$D$5:$D$92,'1600'!A246,'Daftar Koreksi'!$G$5:$G$92,"Peralatan dan mesin",'Daftar Koreksi'!$H$5:$H$92,"&lt;0")</f>
        <v>0</v>
      </c>
      <c r="G251" s="17">
        <f t="shared" si="11"/>
        <v>1068496096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4352772250</v>
      </c>
      <c r="E252" s="25">
        <f>SUMIFS('Daftar Koreksi'!$H$5:$H$92,'Daftar Koreksi'!$D$5:$D$92,'1600'!A246,'Daftar Koreksi'!$G$5:$G$92,"Gedung dan Bangunan",'Daftar Koreksi'!$H$5:$H$92,"&gt;0")</f>
        <v>0</v>
      </c>
      <c r="F252" s="25">
        <f>SUMIFS('Daftar Koreksi'!$H$5:$H$92,'Daftar Koreksi'!$D$5:$D$92,'1600'!A246,'Daftar Koreksi'!$G$5:$G$92,"Gedung dan Bangunan",'Daftar Koreksi'!$H$5:$H$92,"&lt;0")-SUMIFS('Daftar Koreksi'!$H$5:$H$92,'Daftar Koreksi'!$D$5:$D$92,'1600'!A246,'Daftar Koreksi'!$G$5:$G$92,"Gedung dan Bangunan",'Daftar Koreksi'!$H$5:$H$92,"&lt;0")-SUMIFS('Daftar Koreksi'!$H$5:$H$92,'Daftar Koreksi'!$D$5:$D$92,'1600'!A246,'Daftar Koreksi'!$G$5:$G$92,"Gedung dan Bangunan",'Daftar Koreksi'!$H$5:$H$92,"&lt;0")</f>
        <v>0</v>
      </c>
      <c r="G252" s="17">
        <f t="shared" si="11"/>
        <v>4352772250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Koreksi'!$D$5:$D$92,'1600'!A246,'Daftar Koreksi'!$G$5:$G$92,"Jalan Irigasi Jaringan",'Daftar Koreksi'!$H$5:$H$92,"&gt;0")</f>
        <v>0</v>
      </c>
      <c r="F253" s="25">
        <f>SUMIFS('Daftar Koreksi'!$H$5:$H$92,'Daftar Koreksi'!$D$5:$D$92,'1600'!A246,'Daftar Koreksi'!$G$5:$G$92,"Jalan Irigasi Jaringan",'Daftar Koreksi'!$H$5:$H$92,"&lt;0")-SUMIFS('Daftar Koreksi'!$H$5:$H$92,'Daftar Koreksi'!$D$5:$D$92,'1600'!A246,'Daftar Koreksi'!$G$5:$G$92,"Jalan Irigasi Jaringan",'Daftar Koreksi'!$H$5:$H$92,"&lt;0")-SUMIFS('Daftar Koreksi'!$H$5:$H$92,'Daftar Koreksi'!$D$5:$D$92,'1600'!A246,'Daftar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4772118</v>
      </c>
      <c r="E254" s="25">
        <f>SUMIFS('Daftar Koreksi'!$H$5:$H$92,'Daftar Koreksi'!$D$5:$D$92,'1600'!A246,'Daftar Koreksi'!$G$5:$G$92,"Aset Tetap Lainnya",'Daftar Koreksi'!$H$5:$H$92,"&gt;0")</f>
        <v>0</v>
      </c>
      <c r="F254" s="25">
        <f>SUMIFS('Daftar Koreksi'!$H$5:$H$92,'Daftar Koreksi'!$D$5:$D$92,'1600'!A246,'Daftar Koreksi'!$G$5:$G$92,"Aset Tetap Lainnya",'Daftar Koreksi'!$H$5:$H$92,"&lt;0")-SUMIFS('Daftar Koreksi'!$H$5:$H$92,'Daftar Koreksi'!$D$5:$D$92,'1600'!A246,'Daftar Koreksi'!$G$5:$G$92,"Aset Tetap Lainnya",'Daftar Koreksi'!$H$5:$H$92,"&lt;0")-SUMIFS('Daftar Koreksi'!$H$5:$H$92,'Daftar Koreksi'!$D$5:$D$92,'1600'!A246,'Daftar Koreksi'!$G$5:$G$92,"Aset Tetap Lainnya",'Daftar Koreksi'!$H$5:$H$92,"&lt;0")</f>
        <v>0</v>
      </c>
      <c r="G254" s="17">
        <f t="shared" si="11"/>
        <v>4772118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Koreksi'!$D$5:$D$92,'1600'!A246,'Daftar Koreksi'!$G$5:$G$92,"Kontruksi Dalam Pengerjaan",'Daftar Koreksi'!$H$5:$H$92,"&gt;0")</f>
        <v>0</v>
      </c>
      <c r="F255" s="25">
        <f>SUMIFS('Daftar Koreksi'!$H$5:$H$92,'Daftar Koreksi'!$D$5:$D$92,'1600'!A246,'Daftar Koreksi'!$G$5:$G$92,"Kontruksi Dalam Pengerjaan",'Daftar Koreksi'!$H$5:$H$92,"&lt;0")-SUMIFS('Daftar Koreksi'!$H$5:$H$92,'Daftar Koreksi'!$D$5:$D$92,'1600'!A246,'Daftar Koreksi'!$G$5:$G$92,"Kontruksi Dalam Pengerjaan",'Daftar Koreksi'!$H$5:$H$92,"&lt;0")-SUMIFS('Daftar Koreksi'!$H$5:$H$92,'Daftar Koreksi'!$D$5:$D$92,'1600'!A246,'Daftar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Koreksi'!$D$5:$D$92,'1600'!A246,'Daftar Koreksi'!$G$5:$G$92,"Aset Tak Berwujud",'Daftar Koreksi'!$H$5:$H$92,"&gt;0")</f>
        <v>0</v>
      </c>
      <c r="F256" s="25">
        <f>SUMIFS('Daftar Koreksi'!$H$5:$H$92,'Daftar Koreksi'!$D$5:$D$92,'1600'!A246,'Daftar Koreksi'!$G$5:$G$92,"Aset Tak Berwujud",'Daftar Koreksi'!$H$5:$H$92,"&lt;0")-SUMIFS('Daftar Koreksi'!$H$5:$H$92,'Daftar Koreksi'!$D$5:$D$92,'1600'!A246,'Daftar Koreksi'!$G$5:$G$92,"Aset Tak Berwujud",'Daftar Koreksi'!$H$5:$H$92,"&lt;0")-SUMIFS('Daftar Koreksi'!$H$5:$H$92,'Daftar Koreksi'!$D$5:$D$92,'1600'!A246,'Daftar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5740350</v>
      </c>
      <c r="E257" s="25">
        <f>SUMIFS('Daftar Koreksi'!$H$5:$H$92,'Daftar Koreksi'!$D$5:$D$92,'1600'!A246,'Daftar Koreksi'!$G$5:$G$92,"Aset Henti Guna",'Daftar Koreksi'!$H$5:$H$92,"&gt;0")</f>
        <v>0</v>
      </c>
      <c r="F257" s="25">
        <f>SUMIFS('Daftar Koreksi'!$H$5:$H$92,'Daftar Koreksi'!$D$5:$D$92,'1600'!A246,'Daftar Koreksi'!$G$5:$G$92,"Aset Henti Guna",'Daftar Koreksi'!$H$5:$H$92,"&lt;0")-SUMIFS('Daftar Koreksi'!$H$5:$H$92,'Daftar Koreksi'!$D$5:$D$92,'1600'!A246,'Daftar Koreksi'!$G$5:$G$92,"Aset Henti Guna",'Daftar Koreksi'!$H$5:$H$92,"&lt;0")-SUMIFS('Daftar Koreksi'!$H$5:$H$92,'Daftar Koreksi'!$D$5:$D$92,'1600'!A246,'Daftar Koreksi'!$G$5:$G$92,"Aset Henti Guna",'Daftar Koreksi'!$H$5:$H$92,"&lt;0")</f>
        <v>0</v>
      </c>
      <c r="G257" s="17">
        <f t="shared" si="11"/>
        <v>5740350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14042859814</v>
      </c>
      <c r="E258" s="19">
        <f>SUM(E249:E257)</f>
        <v>0</v>
      </c>
      <c r="F258" s="19">
        <f>SUM(F249:F257)</f>
        <v>0</v>
      </c>
      <c r="G258" s="19">
        <f t="shared" si="11"/>
        <v>14042859814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-1008865646</v>
      </c>
      <c r="E259" s="25">
        <f>SUMIFS('Daftar Koreksi'!$I$5:$I$92,'Daftar Koreksi'!$D$5:$D$92,'1600'!A246,'Daftar Koreksi'!$G$5:$G$92,"Peralatan dan mesin",'Daftar Koreksi'!$I$5:$I$92,"&gt;0")</f>
        <v>0</v>
      </c>
      <c r="F259" s="25">
        <f>SUMIFS('Daftar Koreksi'!$I$5:$I$92,'Daftar Koreksi'!$D$5:$D$92,'1600'!A246,'Daftar Koreksi'!$G$5:$G$92,"Peralatan dan mesin",'Daftar Koreksi'!$I$5:$I$92,"&lt;0")-SUMIFS('Daftar Koreksi'!$I$5:$I$92,'Daftar Koreksi'!$D$5:$D$92,'1600'!A246,'Daftar Koreksi'!$G$5:$G$92,"Peralatan dan mesin",'Daftar Koreksi'!$I$5:$I$92,"&lt;0")-SUMIFS('Daftar Koreksi'!$I$5:$I$92,'Daftar Koreksi'!$D$5:$D$92,'1600'!A246,'Daftar Koreksi'!$G$5:$G$92,"Peralatan dan mesin",'Daftar Koreksi'!$I$5:$I$92,"&lt;0")</f>
        <v>0</v>
      </c>
      <c r="G259" s="17">
        <f t="shared" si="11"/>
        <v>-1008865646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-1251248700</v>
      </c>
      <c r="E260" s="25">
        <f>SUMIFS('Daftar Koreksi'!$I$5:$I$92,'Daftar Koreksi'!$D$5:$D$92,'1600'!A246,'Daftar Koreksi'!$G$5:$G$92,"Gedung dan Bangunan",'Daftar Koreksi'!$I$5:$I$92,"&gt;0")</f>
        <v>0</v>
      </c>
      <c r="F260" s="25">
        <f>SUMIFS('Daftar Koreksi'!$I$5:$I$92,'Daftar Koreksi'!$D$5:$D$92,'1600'!A246,'Daftar Koreksi'!$G$5:$G$92,"Gedung dan Bangunan",'Daftar Koreksi'!$I$5:$I$92,"&lt;0")-SUMIFS('Daftar Koreksi'!$I$5:$I$92,'Daftar Koreksi'!$D$5:$D$92,'1600'!A246,'Daftar Koreksi'!$G$5:$G$92,"Gedung dan Bangunan",'Daftar Koreksi'!$I$5:$I$92,"&lt;0")-SUMIFS('Daftar Koreksi'!$I$5:$I$92,'Daftar Koreksi'!$D$5:$D$92,'1600'!A246,'Daftar Koreksi'!$G$5:$G$92,"Gedung dan Bangunan",'Daftar Koreksi'!$I$5:$I$92,"&lt;0")</f>
        <v>0</v>
      </c>
      <c r="G260" s="17">
        <f t="shared" si="11"/>
        <v>-1251248700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Koreksi'!$D$5:$D$92,'1600'!A246,'Daftar Koreksi'!$G$5:$G$92,"Jalan Irigasi Jaringan",'Daftar Koreksi'!$I$5:$I$92,"&gt;0")</f>
        <v>0</v>
      </c>
      <c r="F261" s="25">
        <f>SUMIFS('Daftar Koreksi'!$I$5:$I$92,'Daftar Koreksi'!$D$5:$D$92,'1600'!A246,'Daftar Koreksi'!$G$5:$G$92,"Jalan Irigasi Jaringan",'Daftar Koreksi'!$I$5:$I$92,"&lt;0")-SUMIFS('Daftar Koreksi'!$I$5:$I$92,'Daftar Koreksi'!$D$5:$D$92,'1600'!A246,'Daftar Koreksi'!$G$5:$G$92,"Jalan Irigasi Jaringan",'Daftar Koreksi'!$I$5:$I$92,"&lt;0")-SUMIFS('Daftar Koreksi'!$I$5:$I$92,'Daftar Koreksi'!$D$5:$D$92,'1600'!A246,'Daftar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Koreksi'!$D$5:$D$92,'1600'!A246,'Daftar Koreksi'!$G$5:$G$92,"Aset Tetap Lainnya",'Daftar Koreksi'!$I$5:$I$92,"&gt;0")</f>
        <v>0</v>
      </c>
      <c r="F262" s="25">
        <f>SUMIFS('Daftar Koreksi'!$I$5:$I$92,'Daftar Koreksi'!$D$5:$D$92,'1600'!A246,'Daftar Koreksi'!$G$5:$G$92,"Aset Tetap Lainnya",'Daftar Koreksi'!$I$5:$I$92,"&lt;0")-SUMIFS('Daftar Koreksi'!$I$5:$I$92,'Daftar Koreksi'!$D$5:$D$92,'1600'!A246,'Daftar Koreksi'!$G$5:$G$92,"Aset Tetap Lainnya",'Daftar Koreksi'!$I$5:$I$92,"&lt;0")-SUMIFS('Daftar Koreksi'!$I$5:$I$92,'Daftar Koreksi'!$D$5:$D$92,'1600'!A246,'Daftar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-5740350</v>
      </c>
      <c r="E263" s="25">
        <f>SUMIFS('Daftar Koreksi'!$I$5:$I$92,'Daftar Koreksi'!$D$5:$D$92,'1600'!A246,'Daftar Koreksi'!$G$5:$G$92,"Aset Henti Guna",'Daftar Koreksi'!$I$5:$I$92,"&gt;0")</f>
        <v>0</v>
      </c>
      <c r="F263" s="25">
        <f>SUMIFS('Daftar Koreksi'!$I$5:$I$92,'Daftar Koreksi'!$D$5:$D$92,'1600'!A246,'Daftar Koreksi'!$G$5:$G$92,"Aset Henti Guna",'Daftar Koreksi'!$I$5:$I$92,"&lt;0")-SUMIFS('Daftar Koreksi'!$I$5:$I$92,'Daftar Koreksi'!$D$5:$D$92,'1600'!A246,'Daftar Koreksi'!$G$5:$G$92,"Aset Henti Guna",'Daftar Koreksi'!$I$5:$I$92,"&lt;0")-SUMIFS('Daftar Koreksi'!$I$5:$I$92,'Daftar Koreksi'!$D$5:$D$92,'1600'!A246,'Daftar Koreksi'!$G$5:$G$92,"Aset Henti Guna",'Daftar Koreksi'!$I$5:$I$92,"&lt;0")</f>
        <v>0</v>
      </c>
      <c r="G263" s="17">
        <f t="shared" si="11"/>
        <v>-5740350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-2265854696</v>
      </c>
      <c r="E264" s="19">
        <f>SUM(E259:E263)</f>
        <v>0</v>
      </c>
      <c r="F264" s="19">
        <f>SUM(F259:F263)</f>
        <v>0</v>
      </c>
      <c r="G264" s="19">
        <f t="shared" si="11"/>
        <v>-2265854696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11777005118</v>
      </c>
      <c r="E265" s="19">
        <f>E264+E258</f>
        <v>0</v>
      </c>
      <c r="F265" s="19">
        <f>F264+F258</f>
        <v>0</v>
      </c>
      <c r="G265" s="19">
        <f t="shared" si="11"/>
        <v>11777005118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005011600400528000KD</v>
      </c>
      <c r="B268" s="11" t="str">
        <f>P13</f>
        <v>PT. Samarinda</v>
      </c>
      <c r="C268" s="12" t="str">
        <f>A268&amp;" "&amp;B268</f>
        <v>005011600400528000KD PT. Samarinda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7827331</v>
      </c>
      <c r="E271" s="25">
        <f>SUMIFS('Daftar Koreksi'!$H$5:$H$92,'Daftar Koreksi'!$D$5:$D$92,'1600'!A268,'Daftar Koreksi'!$G$5:$G$92,"Persediaan",'Daftar Koreksi'!$H$5:$H$92,"&gt;0")</f>
        <v>0</v>
      </c>
      <c r="F271" s="25">
        <f>SUMIFS('Daftar Koreksi'!$H$5:$H$92,'Daftar Koreksi'!$D$5:$D$92,'1600'!A268,'Daftar Koreksi'!$G$5:$G$92,"Persediaan",'Daftar Koreksi'!$H$5:$H$92,"&lt;0")-SUMIFS('Daftar Koreksi'!$H$5:$H$92,'Daftar Koreksi'!$D$5:$D$92,'1600'!A268,'Daftar Koreksi'!$G$5:$G$92,"Persediaan",'Daftar Koreksi'!$H$5:$H$92,"&lt;0")-SUMIFS('Daftar Koreksi'!$H$5:$H$92,'Daftar Koreksi'!$D$5:$D$92,'1600'!A268,'Daftar Koreksi'!$G$5:$G$92,"Persediaan",'Daftar Koreksi'!$H$5:$H$92,"&lt;0")</f>
        <v>0</v>
      </c>
      <c r="G271" s="17">
        <f>D271+E271-F271</f>
        <v>7827331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23011940000</v>
      </c>
      <c r="E272" s="25">
        <f>SUMIFS('Daftar Koreksi'!$H$5:$H$92,'Daftar Koreksi'!$D$5:$D$92,'1600'!A268,'Daftar Koreksi'!$G$5:$G$92,"Tanah",'Daftar Koreksi'!$H$5:$H$92,"&gt;0")</f>
        <v>0</v>
      </c>
      <c r="F272" s="25">
        <f>SUMIFS('Daftar Koreksi'!$H$5:$H$92,'Daftar Koreksi'!$D$5:$D$92,'1600'!A268,'Daftar Koreksi'!$G$5:$G$92,"Tanah",'Daftar Koreksi'!$H$5:$H$92,"&lt;0")-SUMIFS('Daftar Koreksi'!$H$5:$H$92,'Daftar Koreksi'!$D$5:$D$92,'1600'!A268,'Daftar Koreksi'!$G$5:$G$92,"Tanah",'Daftar Koreksi'!$H$5:$H$92,"&lt;0")-SUMIFS('Daftar Koreksi'!$H$5:$H$92,'Daftar Koreksi'!$D$5:$D$92,'1600'!A268,'Daftar Koreksi'!$G$5:$G$92,"Tanah",'Daftar Koreksi'!$H$5:$H$92,"&lt;0")</f>
        <v>0</v>
      </c>
      <c r="G272" s="17">
        <f t="shared" ref="G272:G288" si="12">D272+E272-F272</f>
        <v>23011940000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3038971183</v>
      </c>
      <c r="E273" s="25">
        <f>SUMIFS('Daftar Koreksi'!$H$5:$H$92,'Daftar Koreksi'!$D$5:$D$92,'1600'!A268,'Daftar Koreksi'!$G$5:$G$92,"Peralatan dan mesin",'Daftar Koreksi'!$H$5:$H$92,"&gt;0")</f>
        <v>0</v>
      </c>
      <c r="F273" s="25">
        <f>SUMIFS('Daftar Koreksi'!$H$5:$H$92,'Daftar Koreksi'!$D$5:$D$92,'1600'!A268,'Daftar Koreksi'!$G$5:$G$92,"Peralatan dan mesin",'Daftar Koreksi'!$H$5:$H$92,"&lt;0")-SUMIFS('Daftar Koreksi'!$H$5:$H$92,'Daftar Koreksi'!$D$5:$D$92,'1600'!A268,'Daftar Koreksi'!$G$5:$G$92,"Peralatan dan mesin",'Daftar Koreksi'!$H$5:$H$92,"&lt;0")-SUMIFS('Daftar Koreksi'!$H$5:$H$92,'Daftar Koreksi'!$D$5:$D$92,'1600'!A268,'Daftar Koreksi'!$G$5:$G$92,"Peralatan dan mesin",'Daftar Koreksi'!$H$5:$H$92,"&lt;0")</f>
        <v>0</v>
      </c>
      <c r="G273" s="17">
        <f t="shared" si="12"/>
        <v>3038971183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12727514070</v>
      </c>
      <c r="E274" s="25">
        <f>SUMIFS('Daftar Koreksi'!$H$5:$H$92,'Daftar Koreksi'!$D$5:$D$92,'1600'!A268,'Daftar Koreksi'!$G$5:$G$92,"Gedung dan Bangunan",'Daftar Koreksi'!$H$5:$H$92,"&gt;0")</f>
        <v>0</v>
      </c>
      <c r="F274" s="25">
        <f>SUMIFS('Daftar Koreksi'!$H$5:$H$92,'Daftar Koreksi'!$D$5:$D$92,'1600'!A268,'Daftar Koreksi'!$G$5:$G$92,"Gedung dan Bangunan",'Daftar Koreksi'!$H$5:$H$92,"&lt;0")-SUMIFS('Daftar Koreksi'!$H$5:$H$92,'Daftar Koreksi'!$D$5:$D$92,'1600'!A268,'Daftar Koreksi'!$G$5:$G$92,"Gedung dan Bangunan",'Daftar Koreksi'!$H$5:$H$92,"&lt;0")-SUMIFS('Daftar Koreksi'!$H$5:$H$92,'Daftar Koreksi'!$D$5:$D$92,'1600'!A268,'Daftar Koreksi'!$G$5:$G$92,"Gedung dan Bangunan",'Daftar Koreksi'!$H$5:$H$92,"&lt;0")</f>
        <v>0</v>
      </c>
      <c r="G274" s="17">
        <f t="shared" si="12"/>
        <v>12727514070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1148364988</v>
      </c>
      <c r="E275" s="25">
        <f>SUMIFS('Daftar Koreksi'!$H$5:$H$92,'Daftar Koreksi'!$D$5:$D$92,'1600'!A268,'Daftar Koreksi'!$G$5:$G$92,"Jalan Irigasi Jaringan",'Daftar Koreksi'!$H$5:$H$92,"&gt;0")</f>
        <v>0</v>
      </c>
      <c r="F275" s="25">
        <f>SUMIFS('Daftar Koreksi'!$H$5:$H$92,'Daftar Koreksi'!$D$5:$D$92,'1600'!A268,'Daftar Koreksi'!$G$5:$G$92,"Jalan Irigasi Jaringan",'Daftar Koreksi'!$H$5:$H$92,"&lt;0")-SUMIFS('Daftar Koreksi'!$H$5:$H$92,'Daftar Koreksi'!$D$5:$D$92,'1600'!A268,'Daftar Koreksi'!$G$5:$G$92,"Jalan Irigasi Jaringan",'Daftar Koreksi'!$H$5:$H$92,"&lt;0")-SUMIFS('Daftar Koreksi'!$H$5:$H$92,'Daftar Koreksi'!$D$5:$D$92,'1600'!A268,'Daftar Koreksi'!$G$5:$G$92,"Jalan Irigasi Jaringan",'Daftar Koreksi'!$H$5:$H$92,"&lt;0")</f>
        <v>0</v>
      </c>
      <c r="G275" s="17">
        <f t="shared" si="12"/>
        <v>1148364988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4772118</v>
      </c>
      <c r="E276" s="25">
        <f>SUMIFS('Daftar Koreksi'!$H$5:$H$92,'Daftar Koreksi'!$D$5:$D$92,'1600'!A268,'Daftar Koreksi'!$G$5:$G$92,"Aset Tetap Lainnya",'Daftar Koreksi'!$H$5:$H$92,"&gt;0")</f>
        <v>0</v>
      </c>
      <c r="F276" s="25">
        <f>SUMIFS('Daftar Koreksi'!$H$5:$H$92,'Daftar Koreksi'!$D$5:$D$92,'1600'!A268,'Daftar Koreksi'!$G$5:$G$92,"Aset Tetap Lainnya",'Daftar Koreksi'!$H$5:$H$92,"&lt;0")-SUMIFS('Daftar Koreksi'!$H$5:$H$92,'Daftar Koreksi'!$D$5:$D$92,'1600'!A268,'Daftar Koreksi'!$G$5:$G$92,"Aset Tetap Lainnya",'Daftar Koreksi'!$H$5:$H$92,"&lt;0")-SUMIFS('Daftar Koreksi'!$H$5:$H$92,'Daftar Koreksi'!$D$5:$D$92,'1600'!A268,'Daftar Koreksi'!$G$5:$G$92,"Aset Tetap Lainnya",'Daftar Koreksi'!$H$5:$H$92,"&lt;0")</f>
        <v>0</v>
      </c>
      <c r="G276" s="17">
        <f t="shared" si="12"/>
        <v>4772118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Koreksi'!$D$5:$D$92,'1600'!A268,'Daftar Koreksi'!$G$5:$G$92,"Kontruksi Dalam Pengerjaan",'Daftar Koreksi'!$H$5:$H$92,"&gt;0")</f>
        <v>0</v>
      </c>
      <c r="F277" s="25">
        <f>SUMIFS('Daftar Koreksi'!$H$5:$H$92,'Daftar Koreksi'!$D$5:$D$92,'1600'!A268,'Daftar Koreksi'!$G$5:$G$92,"Kontruksi Dalam Pengerjaan",'Daftar Koreksi'!$H$5:$H$92,"&lt;0")-SUMIFS('Daftar Koreksi'!$H$5:$H$92,'Daftar Koreksi'!$D$5:$D$92,'1600'!A268,'Daftar Koreksi'!$G$5:$G$92,"Kontruksi Dalam Pengerjaan",'Daftar Koreksi'!$H$5:$H$92,"&lt;0")-SUMIFS('Daftar Koreksi'!$H$5:$H$92,'Daftar Koreksi'!$D$5:$D$92,'1600'!A268,'Daftar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129000000</v>
      </c>
      <c r="E278" s="25">
        <f>SUMIFS('Daftar Koreksi'!$H$5:$H$92,'Daftar Koreksi'!$D$5:$D$92,'1600'!A268,'Daftar Koreksi'!$G$5:$G$92,"Aset Tak Berwujud",'Daftar Koreksi'!$H$5:$H$92,"&gt;0")</f>
        <v>0</v>
      </c>
      <c r="F278" s="25">
        <f>SUMIFS('Daftar Koreksi'!$H$5:$H$92,'Daftar Koreksi'!$D$5:$D$92,'1600'!A268,'Daftar Koreksi'!$G$5:$G$92,"Aset Tak Berwujud",'Daftar Koreksi'!$H$5:$H$92,"&lt;0")-SUMIFS('Daftar Koreksi'!$H$5:$H$92,'Daftar Koreksi'!$D$5:$D$92,'1600'!A268,'Daftar Koreksi'!$G$5:$G$92,"Aset Tak Berwujud",'Daftar Koreksi'!$H$5:$H$92,"&lt;0")-SUMIFS('Daftar Koreksi'!$H$5:$H$92,'Daftar Koreksi'!$D$5:$D$92,'1600'!A268,'Daftar Koreksi'!$G$5:$G$92,"Aset Tak Berwujud",'Daftar Koreksi'!$H$5:$H$92,"&lt;0")</f>
        <v>0</v>
      </c>
      <c r="G278" s="17">
        <f t="shared" si="12"/>
        <v>129000000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Koreksi'!$D$5:$D$92,'1600'!A268,'Daftar Koreksi'!$G$5:$G$92,"Aset Henti Guna",'Daftar Koreksi'!$H$5:$H$92,"&gt;0")</f>
        <v>0</v>
      </c>
      <c r="F279" s="25">
        <f>SUMIFS('Daftar Koreksi'!$H$5:$H$92,'Daftar Koreksi'!$D$5:$D$92,'1600'!A268,'Daftar Koreksi'!$G$5:$G$92,"Aset Henti Guna",'Daftar Koreksi'!$H$5:$H$92,"&lt;0")-SUMIFS('Daftar Koreksi'!$H$5:$H$92,'Daftar Koreksi'!$D$5:$D$92,'1600'!A268,'Daftar Koreksi'!$G$5:$G$92,"Aset Henti Guna",'Daftar Koreksi'!$H$5:$H$92,"&lt;0")-SUMIFS('Daftar Koreksi'!$H$5:$H$92,'Daftar Koreksi'!$D$5:$D$92,'1600'!A268,'Daftar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40068389690</v>
      </c>
      <c r="E280" s="19">
        <f>SUM(E271:E279)</f>
        <v>0</v>
      </c>
      <c r="F280" s="19">
        <f>SUM(F271:F279)</f>
        <v>0</v>
      </c>
      <c r="G280" s="19">
        <f t="shared" si="12"/>
        <v>40068389690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-2772284743</v>
      </c>
      <c r="E281" s="25">
        <f>SUMIFS('Daftar Koreksi'!$I$5:$I$92,'Daftar Koreksi'!$D$5:$D$92,'1600'!A268,'Daftar Koreksi'!$G$5:$G$92,"Peralatan dan mesin",'Daftar Koreksi'!$I$5:$I$92,"&gt;0")</f>
        <v>0</v>
      </c>
      <c r="F281" s="25">
        <f>SUMIFS('Daftar Koreksi'!$I$5:$I$92,'Daftar Koreksi'!$D$5:$D$92,'1600'!A268,'Daftar Koreksi'!$G$5:$G$92,"Peralatan dan mesin",'Daftar Koreksi'!$I$5:$I$92,"&lt;0")-SUMIFS('Daftar Koreksi'!$I$5:$I$92,'Daftar Koreksi'!$D$5:$D$92,'1600'!A268,'Daftar Koreksi'!$G$5:$G$92,"Peralatan dan mesin",'Daftar Koreksi'!$I$5:$I$92,"&lt;0")-SUMIFS('Daftar Koreksi'!$I$5:$I$92,'Daftar Koreksi'!$D$5:$D$92,'1600'!A268,'Daftar Koreksi'!$G$5:$G$92,"Peralatan dan mesin",'Daftar Koreksi'!$I$5:$I$92,"&lt;0")</f>
        <v>0</v>
      </c>
      <c r="G281" s="17">
        <f t="shared" si="12"/>
        <v>-2772284743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-7396529317</v>
      </c>
      <c r="E282" s="25">
        <f>SUMIFS('Daftar Koreksi'!$I$5:$I$92,'Daftar Koreksi'!$D$5:$D$92,'1600'!A268,'Daftar Koreksi'!$G$5:$G$92,"Gedung dan Bangunan",'Daftar Koreksi'!$I$5:$I$92,"&gt;0")</f>
        <v>0</v>
      </c>
      <c r="F282" s="25">
        <f>SUMIFS('Daftar Koreksi'!$I$5:$I$92,'Daftar Koreksi'!$D$5:$D$92,'1600'!A268,'Daftar Koreksi'!$G$5:$G$92,"Gedung dan Bangunan",'Daftar Koreksi'!$I$5:$I$92,"&lt;0")-SUMIFS('Daftar Koreksi'!$I$5:$I$92,'Daftar Koreksi'!$D$5:$D$92,'1600'!A268,'Daftar Koreksi'!$G$5:$G$92,"Gedung dan Bangunan",'Daftar Koreksi'!$I$5:$I$92,"&lt;0")-SUMIFS('Daftar Koreksi'!$I$5:$I$92,'Daftar Koreksi'!$D$5:$D$92,'1600'!A268,'Daftar Koreksi'!$G$5:$G$92,"Gedung dan Bangunan",'Daftar Koreksi'!$I$5:$I$92,"&lt;0")</f>
        <v>0</v>
      </c>
      <c r="G282" s="17">
        <f t="shared" si="12"/>
        <v>-7396529317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-586928065</v>
      </c>
      <c r="E283" s="25">
        <f>SUMIFS('Daftar Koreksi'!$I$5:$I$92,'Daftar Koreksi'!$D$5:$D$92,'1600'!A268,'Daftar Koreksi'!$G$5:$G$92,"Jalan Irigasi Jaringan",'Daftar Koreksi'!$I$5:$I$92,"&gt;0")</f>
        <v>0</v>
      </c>
      <c r="F283" s="25">
        <f>SUMIFS('Daftar Koreksi'!$I$5:$I$92,'Daftar Koreksi'!$D$5:$D$92,'1600'!A268,'Daftar Koreksi'!$G$5:$G$92,"Jalan Irigasi Jaringan",'Daftar Koreksi'!$I$5:$I$92,"&lt;0")-SUMIFS('Daftar Koreksi'!$I$5:$I$92,'Daftar Koreksi'!$D$5:$D$92,'1600'!A268,'Daftar Koreksi'!$G$5:$G$92,"Jalan Irigasi Jaringan",'Daftar Koreksi'!$I$5:$I$92,"&lt;0")-SUMIFS('Daftar Koreksi'!$I$5:$I$92,'Daftar Koreksi'!$D$5:$D$92,'1600'!A268,'Daftar Koreksi'!$G$5:$G$92,"Jalan Irigasi Jaringan",'Daftar Koreksi'!$I$5:$I$92,"&lt;0")</f>
        <v>0</v>
      </c>
      <c r="G283" s="17">
        <f t="shared" si="12"/>
        <v>-586928065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Koreksi'!$D$5:$D$92,'1600'!A268,'Daftar Koreksi'!$G$5:$G$92,"Aset Tetap Lainnya",'Daftar Koreksi'!$I$5:$I$92,"&gt;0")</f>
        <v>0</v>
      </c>
      <c r="F284" s="25">
        <f>SUMIFS('Daftar Koreksi'!$I$5:$I$92,'Daftar Koreksi'!$D$5:$D$92,'1600'!A268,'Daftar Koreksi'!$G$5:$G$92,"Aset Tetap Lainnya",'Daftar Koreksi'!$I$5:$I$92,"&lt;0")-SUMIFS('Daftar Koreksi'!$I$5:$I$92,'Daftar Koreksi'!$D$5:$D$92,'1600'!A268,'Daftar Koreksi'!$G$5:$G$92,"Aset Tetap Lainnya",'Daftar Koreksi'!$I$5:$I$92,"&lt;0")-SUMIFS('Daftar Koreksi'!$I$5:$I$92,'Daftar Koreksi'!$D$5:$D$92,'1600'!A268,'Daftar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Koreksi'!$D$5:$D$92,'1600'!A268,'Daftar Koreksi'!$G$5:$G$92,"Aset Henti Guna",'Daftar Koreksi'!$I$5:$I$92,"&gt;0")</f>
        <v>0</v>
      </c>
      <c r="F285" s="25">
        <f>SUMIFS('Daftar Koreksi'!$I$5:$I$92,'Daftar Koreksi'!$D$5:$D$92,'1600'!A268,'Daftar Koreksi'!$G$5:$G$92,"Aset Henti Guna",'Daftar Koreksi'!$I$5:$I$92,"&lt;0")-SUMIFS('Daftar Koreksi'!$I$5:$I$92,'Daftar Koreksi'!$D$5:$D$92,'1600'!A268,'Daftar Koreksi'!$G$5:$G$92,"Aset Henti Guna",'Daftar Koreksi'!$I$5:$I$92,"&lt;0")-SUMIFS('Daftar Koreksi'!$I$5:$I$92,'Daftar Koreksi'!$D$5:$D$92,'1600'!A268,'Daftar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-10755742125</v>
      </c>
      <c r="E286" s="19">
        <f>SUM(E281:E285)</f>
        <v>0</v>
      </c>
      <c r="F286" s="19">
        <f>SUM(F281:F285)</f>
        <v>0</v>
      </c>
      <c r="G286" s="19">
        <f t="shared" si="12"/>
        <v>-10755742125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29312647565</v>
      </c>
      <c r="E287" s="19">
        <f>E286+E280</f>
        <v>0</v>
      </c>
      <c r="F287" s="19">
        <f>F286+F280</f>
        <v>0</v>
      </c>
      <c r="G287" s="19">
        <f t="shared" si="12"/>
        <v>29312647565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005011600402480000KD</v>
      </c>
      <c r="B290" s="11" t="str">
        <f>P14</f>
        <v>PTA. Samarinda</v>
      </c>
      <c r="C290" s="12" t="str">
        <f>A290&amp;" "&amp;B290</f>
        <v>005011600402480000KD PTA. Samarinda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299300</v>
      </c>
      <c r="E293" s="25">
        <f>SUMIFS('Daftar Koreksi'!$H$5:$H$92,'Daftar Koreksi'!$D$5:$D$92,'1600'!A290,'Daftar Koreksi'!$G$5:$G$92,"Persediaan",'Daftar Koreksi'!$H$5:$H$92,"&gt;0")</f>
        <v>0</v>
      </c>
      <c r="F293" s="25">
        <f>SUMIFS('Daftar Koreksi'!$H$5:$H$92,'Daftar Koreksi'!$D$5:$D$92,'1600'!A290,'Daftar Koreksi'!$G$5:$G$92,"Persediaan",'Daftar Koreksi'!$H$5:$H$92,"&lt;0")-SUMIFS('Daftar Koreksi'!$H$5:$H$92,'Daftar Koreksi'!$D$5:$D$92,'1600'!A290,'Daftar Koreksi'!$G$5:$G$92,"Persediaan",'Daftar Koreksi'!$H$5:$H$92,"&lt;0")-SUMIFS('Daftar Koreksi'!$H$5:$H$92,'Daftar Koreksi'!$D$5:$D$92,'1600'!A290,'Daftar Koreksi'!$G$5:$G$92,"Persediaan",'Daftar Koreksi'!$H$5:$H$92,"&lt;0")</f>
        <v>0</v>
      </c>
      <c r="G293" s="17">
        <f>D293+E293-F293</f>
        <v>299300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11312700000</v>
      </c>
      <c r="E294" s="25">
        <f>SUMIFS('Daftar Koreksi'!$H$5:$H$92,'Daftar Koreksi'!$D$5:$D$92,'1600'!A290,'Daftar Koreksi'!$G$5:$G$92,"Tanah",'Daftar Koreksi'!$H$5:$H$92,"&gt;0")</f>
        <v>0</v>
      </c>
      <c r="F294" s="25">
        <f>SUMIFS('Daftar Koreksi'!$H$5:$H$92,'Daftar Koreksi'!$D$5:$D$92,'1600'!A290,'Daftar Koreksi'!$G$5:$G$92,"Tanah",'Daftar Koreksi'!$H$5:$H$92,"&lt;0")-SUMIFS('Daftar Koreksi'!$H$5:$H$92,'Daftar Koreksi'!$D$5:$D$92,'1600'!A290,'Daftar Koreksi'!$G$5:$G$92,"Tanah",'Daftar Koreksi'!$H$5:$H$92,"&lt;0")-SUMIFS('Daftar Koreksi'!$H$5:$H$92,'Daftar Koreksi'!$D$5:$D$92,'1600'!A290,'Daftar Koreksi'!$G$5:$G$92,"Tanah",'Daftar Koreksi'!$H$5:$H$92,"&lt;0")</f>
        <v>0</v>
      </c>
      <c r="G294" s="17">
        <f t="shared" ref="G294:G310" si="13">D294+E294-F294</f>
        <v>11312700000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3835682135</v>
      </c>
      <c r="E295" s="25">
        <f>SUMIFS('Daftar Koreksi'!$H$5:$H$92,'Daftar Koreksi'!$D$5:$D$92,'1600'!A290,'Daftar Koreksi'!$G$5:$G$92,"Peralatan dan mesin",'Daftar Koreksi'!$H$5:$H$92,"&gt;0")</f>
        <v>0</v>
      </c>
      <c r="F295" s="25">
        <f>SUMIFS('Daftar Koreksi'!$H$5:$H$92,'Daftar Koreksi'!$D$5:$D$92,'1600'!A290,'Daftar Koreksi'!$G$5:$G$92,"Peralatan dan mesin",'Daftar Koreksi'!$H$5:$H$92,"&lt;0")-SUMIFS('Daftar Koreksi'!$H$5:$H$92,'Daftar Koreksi'!$D$5:$D$92,'1600'!A290,'Daftar Koreksi'!$G$5:$G$92,"Peralatan dan mesin",'Daftar Koreksi'!$H$5:$H$92,"&lt;0")-SUMIFS('Daftar Koreksi'!$H$5:$H$92,'Daftar Koreksi'!$D$5:$D$92,'1600'!A290,'Daftar Koreksi'!$G$5:$G$92,"Peralatan dan mesin",'Daftar Koreksi'!$H$5:$H$92,"&lt;0")</f>
        <v>0</v>
      </c>
      <c r="G295" s="17">
        <f t="shared" si="13"/>
        <v>3835682135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6806275000</v>
      </c>
      <c r="E296" s="25">
        <f>SUMIFS('Daftar Koreksi'!$H$5:$H$92,'Daftar Koreksi'!$D$5:$D$92,'1600'!A290,'Daftar Koreksi'!$G$5:$G$92,"Gedung dan Bangunan",'Daftar Koreksi'!$H$5:$H$92,"&gt;0")</f>
        <v>0</v>
      </c>
      <c r="F296" s="25">
        <f>SUMIFS('Daftar Koreksi'!$H$5:$H$92,'Daftar Koreksi'!$D$5:$D$92,'1600'!A290,'Daftar Koreksi'!$G$5:$G$92,"Gedung dan Bangunan",'Daftar Koreksi'!$H$5:$H$92,"&lt;0")-SUMIFS('Daftar Koreksi'!$H$5:$H$92,'Daftar Koreksi'!$D$5:$D$92,'1600'!A290,'Daftar Koreksi'!$G$5:$G$92,"Gedung dan Bangunan",'Daftar Koreksi'!$H$5:$H$92,"&lt;0")-SUMIFS('Daftar Koreksi'!$H$5:$H$92,'Daftar Koreksi'!$D$5:$D$92,'1600'!A290,'Daftar Koreksi'!$G$5:$G$92,"Gedung dan Bangunan",'Daftar Koreksi'!$H$5:$H$92,"&lt;0")</f>
        <v>0</v>
      </c>
      <c r="G296" s="17">
        <f t="shared" si="13"/>
        <v>6806275000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29551000</v>
      </c>
      <c r="E297" s="25">
        <f>SUMIFS('Daftar Koreksi'!$H$5:$H$92,'Daftar Koreksi'!$D$5:$D$92,'1600'!A290,'Daftar Koreksi'!$G$5:$G$92,"Jalan Irigasi Jaringan",'Daftar Koreksi'!$H$5:$H$92,"&gt;0")</f>
        <v>0</v>
      </c>
      <c r="F297" s="25">
        <f>SUMIFS('Daftar Koreksi'!$H$5:$H$92,'Daftar Koreksi'!$D$5:$D$92,'1600'!A290,'Daftar Koreksi'!$G$5:$G$92,"Jalan Irigasi Jaringan",'Daftar Koreksi'!$H$5:$H$92,"&lt;0")-SUMIFS('Daftar Koreksi'!$H$5:$H$92,'Daftar Koreksi'!$D$5:$D$92,'1600'!A290,'Daftar Koreksi'!$G$5:$G$92,"Jalan Irigasi Jaringan",'Daftar Koreksi'!$H$5:$H$92,"&lt;0")-SUMIFS('Daftar Koreksi'!$H$5:$H$92,'Daftar Koreksi'!$D$5:$D$92,'1600'!A290,'Daftar Koreksi'!$G$5:$G$92,"Jalan Irigasi Jaringan",'Daftar Koreksi'!$H$5:$H$92,"&lt;0")</f>
        <v>0</v>
      </c>
      <c r="G297" s="17">
        <f t="shared" si="13"/>
        <v>29551000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10145356</v>
      </c>
      <c r="E298" s="25">
        <f>SUMIFS('Daftar Koreksi'!$H$5:$H$92,'Daftar Koreksi'!$D$5:$D$92,'1600'!A290,'Daftar Koreksi'!$G$5:$G$92,"Aset Tetap Lainnya",'Daftar Koreksi'!$H$5:$H$92,"&gt;0")</f>
        <v>0</v>
      </c>
      <c r="F298" s="25">
        <f>SUMIFS('Daftar Koreksi'!$H$5:$H$92,'Daftar Koreksi'!$D$5:$D$92,'1600'!A290,'Daftar Koreksi'!$G$5:$G$92,"Aset Tetap Lainnya",'Daftar Koreksi'!$H$5:$H$92,"&lt;0")-SUMIFS('Daftar Koreksi'!$H$5:$H$92,'Daftar Koreksi'!$D$5:$D$92,'1600'!A290,'Daftar Koreksi'!$G$5:$G$92,"Aset Tetap Lainnya",'Daftar Koreksi'!$H$5:$H$92,"&lt;0")-SUMIFS('Daftar Koreksi'!$H$5:$H$92,'Daftar Koreksi'!$D$5:$D$92,'1600'!A290,'Daftar Koreksi'!$G$5:$G$92,"Aset Tetap Lainnya",'Daftar Koreksi'!$H$5:$H$92,"&lt;0")</f>
        <v>0</v>
      </c>
      <c r="G298" s="17">
        <f t="shared" si="13"/>
        <v>10145356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Koreksi'!$D$5:$D$92,'1600'!A290,'Daftar Koreksi'!$G$5:$G$92,"Kontruksi Dalam Pengerjaan",'Daftar Koreksi'!$H$5:$H$92,"&gt;0")</f>
        <v>0</v>
      </c>
      <c r="F299" s="25">
        <f>SUMIFS('Daftar Koreksi'!$H$5:$H$92,'Daftar Koreksi'!$D$5:$D$92,'1600'!A290,'Daftar Koreksi'!$G$5:$G$92,"Kontruksi Dalam Pengerjaan",'Daftar Koreksi'!$H$5:$H$92,"&lt;0")-SUMIFS('Daftar Koreksi'!$H$5:$H$92,'Daftar Koreksi'!$D$5:$D$92,'1600'!A290,'Daftar Koreksi'!$G$5:$G$92,"Kontruksi Dalam Pengerjaan",'Daftar Koreksi'!$H$5:$H$92,"&lt;0")-SUMIFS('Daftar Koreksi'!$H$5:$H$92,'Daftar Koreksi'!$D$5:$D$92,'1600'!A290,'Daftar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Koreksi'!$D$5:$D$92,'1600'!A290,'Daftar Koreksi'!$G$5:$G$92,"Aset Tak Berwujud",'Daftar Koreksi'!$H$5:$H$92,"&gt;0")</f>
        <v>0</v>
      </c>
      <c r="F300" s="25">
        <f>SUMIFS('Daftar Koreksi'!$H$5:$H$92,'Daftar Koreksi'!$D$5:$D$92,'1600'!A290,'Daftar Koreksi'!$G$5:$G$92,"Aset Tak Berwujud",'Daftar Koreksi'!$H$5:$H$92,"&lt;0")-SUMIFS('Daftar Koreksi'!$H$5:$H$92,'Daftar Koreksi'!$D$5:$D$92,'1600'!A290,'Daftar Koreksi'!$G$5:$G$92,"Aset Tak Berwujud",'Daftar Koreksi'!$H$5:$H$92,"&lt;0")-SUMIFS('Daftar Koreksi'!$H$5:$H$92,'Daftar Koreksi'!$D$5:$D$92,'1600'!A290,'Daftar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Koreksi'!$D$5:$D$92,'1600'!A290,'Daftar Koreksi'!$G$5:$G$92,"Aset Henti Guna",'Daftar Koreksi'!$H$5:$H$92,"&gt;0")</f>
        <v>0</v>
      </c>
      <c r="F301" s="25">
        <f>SUMIFS('Daftar Koreksi'!$H$5:$H$92,'Daftar Koreksi'!$D$5:$D$92,'1600'!A290,'Daftar Koreksi'!$G$5:$G$92,"Aset Henti Guna",'Daftar Koreksi'!$H$5:$H$92,"&lt;0")-SUMIFS('Daftar Koreksi'!$H$5:$H$92,'Daftar Koreksi'!$D$5:$D$92,'1600'!A290,'Daftar Koreksi'!$G$5:$G$92,"Aset Henti Guna",'Daftar Koreksi'!$H$5:$H$92,"&lt;0")-SUMIFS('Daftar Koreksi'!$H$5:$H$92,'Daftar Koreksi'!$D$5:$D$92,'1600'!A290,'Daftar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21994652791</v>
      </c>
      <c r="E302" s="19">
        <f>SUM(E293:E301)</f>
        <v>0</v>
      </c>
      <c r="F302" s="19">
        <f>SUM(F293:F301)</f>
        <v>0</v>
      </c>
      <c r="G302" s="19">
        <f t="shared" si="13"/>
        <v>21994652791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-3614772066</v>
      </c>
      <c r="E303" s="25">
        <f>SUMIFS('Daftar Koreksi'!$I$5:$I$92,'Daftar Koreksi'!$D$5:$D$92,'1600'!A290,'Daftar Koreksi'!$G$5:$G$92,"Peralatan dan mesin",'Daftar Koreksi'!$I$5:$I$92,"&gt;0")</f>
        <v>0</v>
      </c>
      <c r="F303" s="25">
        <f>SUMIFS('Daftar Koreksi'!$I$5:$I$92,'Daftar Koreksi'!$D$5:$D$92,'1600'!A290,'Daftar Koreksi'!$G$5:$G$92,"Peralatan dan mesin",'Daftar Koreksi'!$I$5:$I$92,"&lt;0")-SUMIFS('Daftar Koreksi'!$I$5:$I$92,'Daftar Koreksi'!$D$5:$D$92,'1600'!A290,'Daftar Koreksi'!$G$5:$G$92,"Peralatan dan mesin",'Daftar Koreksi'!$I$5:$I$92,"&lt;0")-SUMIFS('Daftar Koreksi'!$I$5:$I$92,'Daftar Koreksi'!$D$5:$D$92,'1600'!A290,'Daftar Koreksi'!$G$5:$G$92,"Peralatan dan mesin",'Daftar Koreksi'!$I$5:$I$92,"&lt;0")</f>
        <v>0</v>
      </c>
      <c r="G303" s="17">
        <f t="shared" si="13"/>
        <v>-3614772066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-1275758931</v>
      </c>
      <c r="E304" s="25">
        <f>SUMIFS('Daftar Koreksi'!$I$5:$I$92,'Daftar Koreksi'!$D$5:$D$92,'1600'!A290,'Daftar Koreksi'!$G$5:$G$92,"Gedung dan Bangunan",'Daftar Koreksi'!$I$5:$I$92,"&gt;0")</f>
        <v>0</v>
      </c>
      <c r="F304" s="25">
        <f>SUMIFS('Daftar Koreksi'!$I$5:$I$92,'Daftar Koreksi'!$D$5:$D$92,'1600'!A290,'Daftar Koreksi'!$G$5:$G$92,"Gedung dan Bangunan",'Daftar Koreksi'!$I$5:$I$92,"&lt;0")-SUMIFS('Daftar Koreksi'!$I$5:$I$92,'Daftar Koreksi'!$D$5:$D$92,'1600'!A290,'Daftar Koreksi'!$G$5:$G$92,"Gedung dan Bangunan",'Daftar Koreksi'!$I$5:$I$92,"&lt;0")-SUMIFS('Daftar Koreksi'!$I$5:$I$92,'Daftar Koreksi'!$D$5:$D$92,'1600'!A290,'Daftar Koreksi'!$G$5:$G$92,"Gedung dan Bangunan",'Daftar Koreksi'!$I$5:$I$92,"&lt;0")</f>
        <v>0</v>
      </c>
      <c r="G304" s="17">
        <f t="shared" si="13"/>
        <v>-1275758931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-2955100</v>
      </c>
      <c r="E305" s="25">
        <f>SUMIFS('Daftar Koreksi'!$I$5:$I$92,'Daftar Koreksi'!$D$5:$D$92,'1600'!A290,'Daftar Koreksi'!$G$5:$G$92,"Jalan Irigasi Jaringan",'Daftar Koreksi'!$I$5:$I$92,"&gt;0")</f>
        <v>0</v>
      </c>
      <c r="F305" s="25">
        <f>SUMIFS('Daftar Koreksi'!$I$5:$I$92,'Daftar Koreksi'!$D$5:$D$92,'1600'!A290,'Daftar Koreksi'!$G$5:$G$92,"Jalan Irigasi Jaringan",'Daftar Koreksi'!$I$5:$I$92,"&lt;0")-SUMIFS('Daftar Koreksi'!$I$5:$I$92,'Daftar Koreksi'!$D$5:$D$92,'1600'!A290,'Daftar Koreksi'!$G$5:$G$92,"Jalan Irigasi Jaringan",'Daftar Koreksi'!$I$5:$I$92,"&lt;0")-SUMIFS('Daftar Koreksi'!$I$5:$I$92,'Daftar Koreksi'!$D$5:$D$92,'1600'!A290,'Daftar Koreksi'!$G$5:$G$92,"Jalan Irigasi Jaringan",'Daftar Koreksi'!$I$5:$I$92,"&lt;0")</f>
        <v>0</v>
      </c>
      <c r="G305" s="17">
        <f t="shared" si="13"/>
        <v>-2955100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Koreksi'!$D$5:$D$92,'1600'!A290,'Daftar Koreksi'!$G$5:$G$92,"Aset Tetap Lainnya",'Daftar Koreksi'!$I$5:$I$92,"&gt;0")</f>
        <v>0</v>
      </c>
      <c r="F306" s="25">
        <f>SUMIFS('Daftar Koreksi'!$I$5:$I$92,'Daftar Koreksi'!$D$5:$D$92,'1600'!A290,'Daftar Koreksi'!$G$5:$G$92,"Aset Tetap Lainnya",'Daftar Koreksi'!$I$5:$I$92,"&lt;0")-SUMIFS('Daftar Koreksi'!$I$5:$I$92,'Daftar Koreksi'!$D$5:$D$92,'1600'!A290,'Daftar Koreksi'!$G$5:$G$92,"Aset Tetap Lainnya",'Daftar Koreksi'!$I$5:$I$92,"&lt;0")-SUMIFS('Daftar Koreksi'!$I$5:$I$92,'Daftar Koreksi'!$D$5:$D$92,'1600'!A290,'Daftar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Koreksi'!$D$5:$D$92,'1600'!A290,'Daftar Koreksi'!$G$5:$G$92,"Aset Henti Guna",'Daftar Koreksi'!$I$5:$I$92,"&gt;0")</f>
        <v>0</v>
      </c>
      <c r="F307" s="25">
        <f>SUMIFS('Daftar Koreksi'!$I$5:$I$92,'Daftar Koreksi'!$D$5:$D$92,'1600'!A290,'Daftar Koreksi'!$G$5:$G$92,"Aset Henti Guna",'Daftar Koreksi'!$I$5:$I$92,"&lt;0")-SUMIFS('Daftar Koreksi'!$I$5:$I$92,'Daftar Koreksi'!$D$5:$D$92,'1600'!A290,'Daftar Koreksi'!$G$5:$G$92,"Aset Henti Guna",'Daftar Koreksi'!$I$5:$I$92,"&lt;0")-SUMIFS('Daftar Koreksi'!$I$5:$I$92,'Daftar Koreksi'!$D$5:$D$92,'1600'!A290,'Daftar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-4893486097</v>
      </c>
      <c r="E308" s="19">
        <f>SUM(E303:E307)</f>
        <v>0</v>
      </c>
      <c r="F308" s="19">
        <f>SUM(F303:F307)</f>
        <v>0</v>
      </c>
      <c r="G308" s="19">
        <f t="shared" si="13"/>
        <v>-4893486097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17101166694</v>
      </c>
      <c r="E309" s="19">
        <f>E308+E302</f>
        <v>0</v>
      </c>
      <c r="F309" s="19">
        <f>F308+F302</f>
        <v>0</v>
      </c>
      <c r="G309" s="19">
        <f t="shared" si="13"/>
        <v>17101166694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005011600402675000KD</v>
      </c>
      <c r="B312" s="11" t="str">
        <f>P15</f>
        <v>PA. Tarakan</v>
      </c>
      <c r="C312" s="12" t="str">
        <f>A312&amp;" "&amp;B312</f>
        <v>005011600402675000KD PA. Tarakan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21669675</v>
      </c>
      <c r="E315" s="25">
        <f>SUMIFS('Daftar Koreksi'!$H$5:$H$92,'Daftar Koreksi'!$D$5:$D$92,'1600'!A312,'Daftar Koreksi'!$G$5:$G$92,"Persediaan",'Daftar Koreksi'!$H$5:$H$92,"&gt;0")</f>
        <v>0</v>
      </c>
      <c r="F315" s="25">
        <f>SUMIFS('Daftar Koreksi'!$H$5:$H$92,'Daftar Koreksi'!$D$5:$D$92,'1600'!A312,'Daftar Koreksi'!$G$5:$G$92,"Persediaan",'Daftar Koreksi'!$H$5:$H$92,"&lt;0")-SUMIFS('Daftar Koreksi'!$H$5:$H$92,'Daftar Koreksi'!$D$5:$D$92,'1600'!A312,'Daftar Koreksi'!$G$5:$G$92,"Persediaan",'Daftar Koreksi'!$H$5:$H$92,"&lt;0")-SUMIFS('Daftar Koreksi'!$H$5:$H$92,'Daftar Koreksi'!$D$5:$D$92,'1600'!A312,'Daftar Koreksi'!$G$5:$G$92,"Persediaan",'Daftar Koreksi'!$H$5:$H$92,"&lt;0")</f>
        <v>0</v>
      </c>
      <c r="G315" s="17">
        <f>D315+E315-F315</f>
        <v>21669675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639200000</v>
      </c>
      <c r="E316" s="25">
        <f>SUMIFS('Daftar Koreksi'!$H$5:$H$92,'Daftar Koreksi'!$D$5:$D$92,'1600'!A312,'Daftar Koreksi'!$G$5:$G$92,"Tanah",'Daftar Koreksi'!$H$5:$H$92,"&gt;0")</f>
        <v>0</v>
      </c>
      <c r="F316" s="25">
        <f>SUMIFS('Daftar Koreksi'!$H$5:$H$92,'Daftar Koreksi'!$D$5:$D$92,'1600'!A312,'Daftar Koreksi'!$G$5:$G$92,"Tanah",'Daftar Koreksi'!$H$5:$H$92,"&lt;0")-SUMIFS('Daftar Koreksi'!$H$5:$H$92,'Daftar Koreksi'!$D$5:$D$92,'1600'!A312,'Daftar Koreksi'!$G$5:$G$92,"Tanah",'Daftar Koreksi'!$H$5:$H$92,"&lt;0")-SUMIFS('Daftar Koreksi'!$H$5:$H$92,'Daftar Koreksi'!$D$5:$D$92,'1600'!A312,'Daftar Koreksi'!$G$5:$G$92,"Tanah",'Daftar Koreksi'!$H$5:$H$92,"&lt;0")</f>
        <v>0</v>
      </c>
      <c r="G316" s="17">
        <f t="shared" ref="G316:G332" si="14">D316+E316-F316</f>
        <v>639200000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950736145</v>
      </c>
      <c r="E317" s="25">
        <f>SUMIFS('Daftar Koreksi'!$H$5:$H$92,'Daftar Koreksi'!$D$5:$D$92,'1600'!A312,'Daftar Koreksi'!$G$5:$G$92,"Peralatan dan mesin",'Daftar Koreksi'!$H$5:$H$92,"&gt;0")</f>
        <v>0</v>
      </c>
      <c r="F317" s="25">
        <f>SUMIFS('Daftar Koreksi'!$H$5:$H$92,'Daftar Koreksi'!$D$5:$D$92,'1600'!A312,'Daftar Koreksi'!$G$5:$G$92,"Peralatan dan mesin",'Daftar Koreksi'!$H$5:$H$92,"&lt;0")-SUMIFS('Daftar Koreksi'!$H$5:$H$92,'Daftar Koreksi'!$D$5:$D$92,'1600'!A312,'Daftar Koreksi'!$G$5:$G$92,"Peralatan dan mesin",'Daftar Koreksi'!$H$5:$H$92,"&lt;0")-SUMIFS('Daftar Koreksi'!$H$5:$H$92,'Daftar Koreksi'!$D$5:$D$92,'1600'!A312,'Daftar Koreksi'!$G$5:$G$92,"Peralatan dan mesin",'Daftar Koreksi'!$H$5:$H$92,"&lt;0")</f>
        <v>0</v>
      </c>
      <c r="G317" s="17">
        <f t="shared" si="14"/>
        <v>950736145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15064806447</v>
      </c>
      <c r="E318" s="25">
        <f>SUMIFS('Daftar Koreksi'!$H$5:$H$92,'Daftar Koreksi'!$D$5:$D$92,'1600'!A312,'Daftar Koreksi'!$G$5:$G$92,"Gedung dan Bangunan",'Daftar Koreksi'!$H$5:$H$92,"&gt;0")</f>
        <v>0</v>
      </c>
      <c r="F318" s="25">
        <f>SUMIFS('Daftar Koreksi'!$H$5:$H$92,'Daftar Koreksi'!$D$5:$D$92,'1600'!A312,'Daftar Koreksi'!$G$5:$G$92,"Gedung dan Bangunan",'Daftar Koreksi'!$H$5:$H$92,"&lt;0")-SUMIFS('Daftar Koreksi'!$H$5:$H$92,'Daftar Koreksi'!$D$5:$D$92,'1600'!A312,'Daftar Koreksi'!$G$5:$G$92,"Gedung dan Bangunan",'Daftar Koreksi'!$H$5:$H$92,"&lt;0")-SUMIFS('Daftar Koreksi'!$H$5:$H$92,'Daftar Koreksi'!$D$5:$D$92,'1600'!A312,'Daftar Koreksi'!$G$5:$G$92,"Gedung dan Bangunan",'Daftar Koreksi'!$H$5:$H$92,"&lt;0")</f>
        <v>0</v>
      </c>
      <c r="G318" s="17">
        <f t="shared" si="14"/>
        <v>15064806447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Koreksi'!$D$5:$D$92,'1600'!A312,'Daftar Koreksi'!$G$5:$G$92,"Jalan Irigasi Jaringan",'Daftar Koreksi'!$H$5:$H$92,"&gt;0")</f>
        <v>0</v>
      </c>
      <c r="F319" s="25">
        <f>SUMIFS('Daftar Koreksi'!$H$5:$H$92,'Daftar Koreksi'!$D$5:$D$92,'1600'!A312,'Daftar Koreksi'!$G$5:$G$92,"Jalan Irigasi Jaringan",'Daftar Koreksi'!$H$5:$H$92,"&lt;0")-SUMIFS('Daftar Koreksi'!$H$5:$H$92,'Daftar Koreksi'!$D$5:$D$92,'1600'!A312,'Daftar Koreksi'!$G$5:$G$92,"Jalan Irigasi Jaringan",'Daftar Koreksi'!$H$5:$H$92,"&lt;0")-SUMIFS('Daftar Koreksi'!$H$5:$H$92,'Daftar Koreksi'!$D$5:$D$92,'1600'!A312,'Daftar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27359678</v>
      </c>
      <c r="E320" s="25">
        <f>SUMIFS('Daftar Koreksi'!$H$5:$H$92,'Daftar Koreksi'!$D$5:$D$92,'1600'!A312,'Daftar Koreksi'!$G$5:$G$92,"Aset Tetap Lainnya",'Daftar Koreksi'!$H$5:$H$92,"&gt;0")</f>
        <v>0</v>
      </c>
      <c r="F320" s="25">
        <f>SUMIFS('Daftar Koreksi'!$H$5:$H$92,'Daftar Koreksi'!$D$5:$D$92,'1600'!A312,'Daftar Koreksi'!$G$5:$G$92,"Aset Tetap Lainnya",'Daftar Koreksi'!$H$5:$H$92,"&lt;0")-SUMIFS('Daftar Koreksi'!$H$5:$H$92,'Daftar Koreksi'!$D$5:$D$92,'1600'!A312,'Daftar Koreksi'!$G$5:$G$92,"Aset Tetap Lainnya",'Daftar Koreksi'!$H$5:$H$92,"&lt;0")-SUMIFS('Daftar Koreksi'!$H$5:$H$92,'Daftar Koreksi'!$D$5:$D$92,'1600'!A312,'Daftar Koreksi'!$G$5:$G$92,"Aset Tetap Lainnya",'Daftar Koreksi'!$H$5:$H$92,"&lt;0")</f>
        <v>0</v>
      </c>
      <c r="G320" s="17">
        <f t="shared" si="14"/>
        <v>27359678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Koreksi'!$D$5:$D$92,'1600'!A312,'Daftar Koreksi'!$G$5:$G$92,"Kontruksi Dalam Pengerjaan",'Daftar Koreksi'!$H$5:$H$92,"&gt;0")</f>
        <v>0</v>
      </c>
      <c r="F321" s="25">
        <f>SUMIFS('Daftar Koreksi'!$H$5:$H$92,'Daftar Koreksi'!$D$5:$D$92,'1600'!A312,'Daftar Koreksi'!$G$5:$G$92,"Kontruksi Dalam Pengerjaan",'Daftar Koreksi'!$H$5:$H$92,"&lt;0")-SUMIFS('Daftar Koreksi'!$H$5:$H$92,'Daftar Koreksi'!$D$5:$D$92,'1600'!A312,'Daftar Koreksi'!$G$5:$G$92,"Kontruksi Dalam Pengerjaan",'Daftar Koreksi'!$H$5:$H$92,"&lt;0")-SUMIFS('Daftar Koreksi'!$H$5:$H$92,'Daftar Koreksi'!$D$5:$D$92,'1600'!A312,'Daftar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Koreksi'!$D$5:$D$92,'1600'!A312,'Daftar Koreksi'!$G$5:$G$92,"Aset Tak Berwujud",'Daftar Koreksi'!$H$5:$H$92,"&gt;0")</f>
        <v>0</v>
      </c>
      <c r="F322" s="25">
        <f>SUMIFS('Daftar Koreksi'!$H$5:$H$92,'Daftar Koreksi'!$D$5:$D$92,'1600'!A312,'Daftar Koreksi'!$G$5:$G$92,"Aset Tak Berwujud",'Daftar Koreksi'!$H$5:$H$92,"&lt;0")-SUMIFS('Daftar Koreksi'!$H$5:$H$92,'Daftar Koreksi'!$D$5:$D$92,'1600'!A312,'Daftar Koreksi'!$G$5:$G$92,"Aset Tak Berwujud",'Daftar Koreksi'!$H$5:$H$92,"&lt;0")-SUMIFS('Daftar Koreksi'!$H$5:$H$92,'Daftar Koreksi'!$D$5:$D$92,'1600'!A312,'Daftar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Koreksi'!$D$5:$D$92,'1600'!A312,'Daftar Koreksi'!$G$5:$G$92,"Aset Henti Guna",'Daftar Koreksi'!$H$5:$H$92,"&gt;0")</f>
        <v>0</v>
      </c>
      <c r="F323" s="25">
        <f>SUMIFS('Daftar Koreksi'!$H$5:$H$92,'Daftar Koreksi'!$D$5:$D$92,'1600'!A312,'Daftar Koreksi'!$G$5:$G$92,"Aset Henti Guna",'Daftar Koreksi'!$H$5:$H$92,"&lt;0")-SUMIFS('Daftar Koreksi'!$H$5:$H$92,'Daftar Koreksi'!$D$5:$D$92,'1600'!A312,'Daftar Koreksi'!$G$5:$G$92,"Aset Henti Guna",'Daftar Koreksi'!$H$5:$H$92,"&lt;0")-SUMIFS('Daftar Koreksi'!$H$5:$H$92,'Daftar Koreksi'!$D$5:$D$92,'1600'!A312,'Daftar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16703771945</v>
      </c>
      <c r="E324" s="19">
        <f>SUM(E315:E323)</f>
        <v>0</v>
      </c>
      <c r="F324" s="19">
        <f>SUM(F315:F323)</f>
        <v>0</v>
      </c>
      <c r="G324" s="19">
        <f t="shared" si="14"/>
        <v>16703771945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-825131219</v>
      </c>
      <c r="E325" s="25">
        <f>SUMIFS('Daftar Koreksi'!$I$5:$I$92,'Daftar Koreksi'!$D$5:$D$92,'1600'!A312,'Daftar Koreksi'!$G$5:$G$92,"Peralatan dan mesin",'Daftar Koreksi'!$I$5:$I$92,"&gt;0")</f>
        <v>0</v>
      </c>
      <c r="F325" s="25">
        <f>SUMIFS('Daftar Koreksi'!$I$5:$I$92,'Daftar Koreksi'!$D$5:$D$92,'1600'!A312,'Daftar Koreksi'!$G$5:$G$92,"Peralatan dan mesin",'Daftar Koreksi'!$I$5:$I$92,"&lt;0")-SUMIFS('Daftar Koreksi'!$I$5:$I$92,'Daftar Koreksi'!$D$5:$D$92,'1600'!A312,'Daftar Koreksi'!$G$5:$G$92,"Peralatan dan mesin",'Daftar Koreksi'!$I$5:$I$92,"&lt;0")-SUMIFS('Daftar Koreksi'!$I$5:$I$92,'Daftar Koreksi'!$D$5:$D$92,'1600'!A312,'Daftar Koreksi'!$G$5:$G$92,"Peralatan dan mesin",'Daftar Koreksi'!$I$5:$I$92,"&lt;0")</f>
        <v>0</v>
      </c>
      <c r="G325" s="17">
        <f t="shared" si="14"/>
        <v>-825131219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-2177636102</v>
      </c>
      <c r="E326" s="25">
        <f>SUMIFS('Daftar Koreksi'!$I$5:$I$92,'Daftar Koreksi'!$D$5:$D$92,'1600'!A312,'Daftar Koreksi'!$G$5:$G$92,"Gedung dan Bangunan",'Daftar Koreksi'!$I$5:$I$92,"&gt;0")</f>
        <v>0</v>
      </c>
      <c r="F326" s="25">
        <f>SUMIFS('Daftar Koreksi'!$I$5:$I$92,'Daftar Koreksi'!$D$5:$D$92,'1600'!A312,'Daftar Koreksi'!$G$5:$G$92,"Gedung dan Bangunan",'Daftar Koreksi'!$I$5:$I$92,"&lt;0")-SUMIFS('Daftar Koreksi'!$I$5:$I$92,'Daftar Koreksi'!$D$5:$D$92,'1600'!A312,'Daftar Koreksi'!$G$5:$G$92,"Gedung dan Bangunan",'Daftar Koreksi'!$I$5:$I$92,"&lt;0")-SUMIFS('Daftar Koreksi'!$I$5:$I$92,'Daftar Koreksi'!$D$5:$D$92,'1600'!A312,'Daftar Koreksi'!$G$5:$G$92,"Gedung dan Bangunan",'Daftar Koreksi'!$I$5:$I$92,"&lt;0")</f>
        <v>0</v>
      </c>
      <c r="G326" s="17">
        <f t="shared" si="14"/>
        <v>-2177636102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Koreksi'!$D$5:$D$92,'1600'!A312,'Daftar Koreksi'!$G$5:$G$92,"Jalan Irigasi Jaringan",'Daftar Koreksi'!$I$5:$I$92,"&gt;0")</f>
        <v>0</v>
      </c>
      <c r="F327" s="25">
        <f>SUMIFS('Daftar Koreksi'!$I$5:$I$92,'Daftar Koreksi'!$D$5:$D$92,'1600'!A312,'Daftar Koreksi'!$G$5:$G$92,"Jalan Irigasi Jaringan",'Daftar Koreksi'!$I$5:$I$92,"&lt;0")-SUMIFS('Daftar Koreksi'!$I$5:$I$92,'Daftar Koreksi'!$D$5:$D$92,'1600'!A312,'Daftar Koreksi'!$G$5:$G$92,"Jalan Irigasi Jaringan",'Daftar Koreksi'!$I$5:$I$92,"&lt;0")-SUMIFS('Daftar Koreksi'!$I$5:$I$92,'Daftar Koreksi'!$D$5:$D$92,'1600'!A312,'Daftar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Koreksi'!$D$5:$D$92,'1600'!A312,'Daftar Koreksi'!$G$5:$G$92,"Aset Tetap Lainnya",'Daftar Koreksi'!$I$5:$I$92,"&gt;0")</f>
        <v>0</v>
      </c>
      <c r="F328" s="25">
        <f>SUMIFS('Daftar Koreksi'!$I$5:$I$92,'Daftar Koreksi'!$D$5:$D$92,'1600'!A312,'Daftar Koreksi'!$G$5:$G$92,"Aset Tetap Lainnya",'Daftar Koreksi'!$I$5:$I$92,"&lt;0")-SUMIFS('Daftar Koreksi'!$I$5:$I$92,'Daftar Koreksi'!$D$5:$D$92,'1600'!A312,'Daftar Koreksi'!$G$5:$G$92,"Aset Tetap Lainnya",'Daftar Koreksi'!$I$5:$I$92,"&lt;0")-SUMIFS('Daftar Koreksi'!$I$5:$I$92,'Daftar Koreksi'!$D$5:$D$92,'1600'!A312,'Daftar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Koreksi'!$D$5:$D$92,'1600'!A312,'Daftar Koreksi'!$G$5:$G$92,"Aset Henti Guna",'Daftar Koreksi'!$I$5:$I$92,"&gt;0")</f>
        <v>0</v>
      </c>
      <c r="F329" s="25">
        <f>SUMIFS('Daftar Koreksi'!$I$5:$I$92,'Daftar Koreksi'!$D$5:$D$92,'1600'!A312,'Daftar Koreksi'!$G$5:$G$92,"Aset Henti Guna",'Daftar Koreksi'!$I$5:$I$92,"&lt;0")-SUMIFS('Daftar Koreksi'!$I$5:$I$92,'Daftar Koreksi'!$D$5:$D$92,'1600'!A312,'Daftar Koreksi'!$G$5:$G$92,"Aset Henti Guna",'Daftar Koreksi'!$I$5:$I$92,"&lt;0")-SUMIFS('Daftar Koreksi'!$I$5:$I$92,'Daftar Koreksi'!$D$5:$D$92,'1600'!A312,'Daftar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-3002767321</v>
      </c>
      <c r="E330" s="19">
        <f>SUM(E325:E329)</f>
        <v>0</v>
      </c>
      <c r="F330" s="19">
        <f>SUM(F325:F329)</f>
        <v>0</v>
      </c>
      <c r="G330" s="19">
        <f t="shared" si="14"/>
        <v>-3002767321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13701004624</v>
      </c>
      <c r="E331" s="19">
        <f>E330+E324</f>
        <v>0</v>
      </c>
      <c r="F331" s="19">
        <f>F330+F324</f>
        <v>0</v>
      </c>
      <c r="G331" s="19">
        <f t="shared" si="14"/>
        <v>13701004624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005011600477270000KD</v>
      </c>
      <c r="B334" s="11" t="str">
        <f>P16</f>
        <v>PN. Nunukan</v>
      </c>
      <c r="C334" s="12" t="str">
        <f>A334&amp;" "&amp;B334</f>
        <v>005011600477270000KD PN. Nunukan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305000</v>
      </c>
      <c r="E337" s="25">
        <f>SUMIFS('Daftar Koreksi'!$H$5:$H$92,'Daftar Koreksi'!$D$5:$D$92,'1600'!A334,'Daftar Koreksi'!$G$5:$G$92,"Persediaan",'Daftar Koreksi'!$H$5:$H$92,"&gt;0")</f>
        <v>0</v>
      </c>
      <c r="F337" s="25">
        <f>SUMIFS('Daftar Koreksi'!$H$5:$H$92,'Daftar Koreksi'!$D$5:$D$92,'1600'!A334,'Daftar Koreksi'!$G$5:$G$92,"Persediaan",'Daftar Koreksi'!$H$5:$H$92,"&lt;0")-SUMIFS('Daftar Koreksi'!$H$5:$H$92,'Daftar Koreksi'!$D$5:$D$92,'1600'!A334,'Daftar Koreksi'!$G$5:$G$92,"Persediaan",'Daftar Koreksi'!$H$5:$H$92,"&lt;0")-SUMIFS('Daftar Koreksi'!$H$5:$H$92,'Daftar Koreksi'!$D$5:$D$92,'1600'!A334,'Daftar Koreksi'!$G$5:$G$92,"Persediaan",'Daftar Koreksi'!$H$5:$H$92,"&lt;0")</f>
        <v>0</v>
      </c>
      <c r="G337" s="17">
        <f>D337+E337-F337</f>
        <v>305000</v>
      </c>
      <c r="H337" s="121" t="str">
        <f>IF(ISNA(VLOOKUP(A334,'Mutasi Neraca'!$A$3:$S$914,19,FALSE)),"-",VLOOKUP(A334,'Mutasi Neraca'!$A$3:$S$914,19,FALSE))</f>
        <v>TP. No 4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7800000</v>
      </c>
      <c r="E338" s="25">
        <f>SUMIFS('Daftar Koreksi'!$H$5:$H$92,'Daftar Koreksi'!$D$5:$D$92,'1600'!A334,'Daftar Koreksi'!$G$5:$G$92,"Tanah",'Daftar Koreksi'!$H$5:$H$92,"&gt;0")</f>
        <v>0</v>
      </c>
      <c r="F338" s="25">
        <f>SUMIFS('Daftar Koreksi'!$H$5:$H$92,'Daftar Koreksi'!$D$5:$D$92,'1600'!A334,'Daftar Koreksi'!$G$5:$G$92,"Tanah",'Daftar Koreksi'!$H$5:$H$92,"&lt;0")-SUMIFS('Daftar Koreksi'!$H$5:$H$92,'Daftar Koreksi'!$D$5:$D$92,'1600'!A334,'Daftar Koreksi'!$G$5:$G$92,"Tanah",'Daftar Koreksi'!$H$5:$H$92,"&lt;0")-SUMIFS('Daftar Koreksi'!$H$5:$H$92,'Daftar Koreksi'!$D$5:$D$92,'1600'!A334,'Daftar Koreksi'!$G$5:$G$92,"Tanah",'Daftar Koreksi'!$H$5:$H$92,"&lt;0")</f>
        <v>0</v>
      </c>
      <c r="G338" s="17">
        <f t="shared" ref="G338:G354" si="15">D338+E338-F338</f>
        <v>7800000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1001750617</v>
      </c>
      <c r="E339" s="25">
        <f>SUMIFS('Daftar Koreksi'!$H$5:$H$92,'Daftar Koreksi'!$D$5:$D$92,'1600'!A334,'Daftar Koreksi'!$G$5:$G$92,"Peralatan dan mesin",'Daftar Koreksi'!$H$5:$H$92,"&gt;0")</f>
        <v>3895309</v>
      </c>
      <c r="F339" s="25">
        <f>SUMIFS('Daftar Koreksi'!$H$5:$H$92,'Daftar Koreksi'!$D$5:$D$92,'1600'!A334,'Daftar Koreksi'!$G$5:$G$92,"Peralatan dan mesin",'Daftar Koreksi'!$H$5:$H$92,"&lt;0")-SUMIFS('Daftar Koreksi'!$H$5:$H$92,'Daftar Koreksi'!$D$5:$D$92,'1600'!A334,'Daftar Koreksi'!$G$5:$G$92,"Peralatan dan mesin",'Daftar Koreksi'!$H$5:$H$92,"&lt;0")-SUMIFS('Daftar Koreksi'!$H$5:$H$92,'Daftar Koreksi'!$D$5:$D$92,'1600'!A334,'Daftar Koreksi'!$G$5:$G$92,"Peralatan dan mesin",'Daftar Koreksi'!$H$5:$H$92,"&lt;0")</f>
        <v>0</v>
      </c>
      <c r="G339" s="17">
        <f t="shared" si="15"/>
        <v>1005645926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5971419700</v>
      </c>
      <c r="E340" s="25">
        <f>SUMIFS('Daftar Koreksi'!$H$5:$H$92,'Daftar Koreksi'!$D$5:$D$92,'1600'!A334,'Daftar Koreksi'!$G$5:$G$92,"Gedung dan Bangunan",'Daftar Koreksi'!$H$5:$H$92,"&gt;0")</f>
        <v>0</v>
      </c>
      <c r="F340" s="25">
        <f>SUMIFS('Daftar Koreksi'!$H$5:$H$92,'Daftar Koreksi'!$D$5:$D$92,'1600'!A334,'Daftar Koreksi'!$G$5:$G$92,"Gedung dan Bangunan",'Daftar Koreksi'!$H$5:$H$92,"&lt;0")-SUMIFS('Daftar Koreksi'!$H$5:$H$92,'Daftar Koreksi'!$D$5:$D$92,'1600'!A334,'Daftar Koreksi'!$G$5:$G$92,"Gedung dan Bangunan",'Daftar Koreksi'!$H$5:$H$92,"&lt;0")-SUMIFS('Daftar Koreksi'!$H$5:$H$92,'Daftar Koreksi'!$D$5:$D$92,'1600'!A334,'Daftar Koreksi'!$G$5:$G$92,"Gedung dan Bangunan",'Daftar Koreksi'!$H$5:$H$92,"&lt;0")</f>
        <v>0</v>
      </c>
      <c r="G340" s="17">
        <f t="shared" si="15"/>
        <v>5971419700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220123600</v>
      </c>
      <c r="E341" s="25">
        <f>SUMIFS('Daftar Koreksi'!$H$5:$H$92,'Daftar Koreksi'!$D$5:$D$92,'1600'!A334,'Daftar Koreksi'!$G$5:$G$92,"Jalan Irigasi Jaringan",'Daftar Koreksi'!$H$5:$H$92,"&gt;0")</f>
        <v>0</v>
      </c>
      <c r="F341" s="25">
        <f>SUMIFS('Daftar Koreksi'!$H$5:$H$92,'Daftar Koreksi'!$D$5:$D$92,'1600'!A334,'Daftar Koreksi'!$G$5:$G$92,"Jalan Irigasi Jaringan",'Daftar Koreksi'!$H$5:$H$92,"&lt;0")-SUMIFS('Daftar Koreksi'!$H$5:$H$92,'Daftar Koreksi'!$D$5:$D$92,'1600'!A334,'Daftar Koreksi'!$G$5:$G$92,"Jalan Irigasi Jaringan",'Daftar Koreksi'!$H$5:$H$92,"&lt;0")-SUMIFS('Daftar Koreksi'!$H$5:$H$92,'Daftar Koreksi'!$D$5:$D$92,'1600'!A334,'Daftar Koreksi'!$G$5:$G$92,"Jalan Irigasi Jaringan",'Daftar Koreksi'!$H$5:$H$92,"&lt;0")</f>
        <v>0</v>
      </c>
      <c r="G341" s="17">
        <f t="shared" si="15"/>
        <v>220123600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4772118</v>
      </c>
      <c r="E342" s="25">
        <f>SUMIFS('Daftar Koreksi'!$H$5:$H$92,'Daftar Koreksi'!$D$5:$D$92,'1600'!A334,'Daftar Koreksi'!$G$5:$G$92,"Aset Tetap Lainnya",'Daftar Koreksi'!$H$5:$H$92,"&gt;0")</f>
        <v>0</v>
      </c>
      <c r="F342" s="25">
        <f>SUMIFS('Daftar Koreksi'!$H$5:$H$92,'Daftar Koreksi'!$D$5:$D$92,'1600'!A334,'Daftar Koreksi'!$G$5:$G$92,"Aset Tetap Lainnya",'Daftar Koreksi'!$H$5:$H$92,"&lt;0")-SUMIFS('Daftar Koreksi'!$H$5:$H$92,'Daftar Koreksi'!$D$5:$D$92,'1600'!A334,'Daftar Koreksi'!$G$5:$G$92,"Aset Tetap Lainnya",'Daftar Koreksi'!$H$5:$H$92,"&lt;0")-SUMIFS('Daftar Koreksi'!$H$5:$H$92,'Daftar Koreksi'!$D$5:$D$92,'1600'!A334,'Daftar Koreksi'!$G$5:$G$92,"Aset Tetap Lainnya",'Daftar Koreksi'!$H$5:$H$92,"&lt;0")</f>
        <v>0</v>
      </c>
      <c r="G342" s="17">
        <f t="shared" si="15"/>
        <v>4772118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Koreksi'!$D$5:$D$92,'1600'!A334,'Daftar Koreksi'!$G$5:$G$92,"Kontruksi Dalam Pengerjaan",'Daftar Koreksi'!$H$5:$H$92,"&gt;0")</f>
        <v>0</v>
      </c>
      <c r="F343" s="25">
        <f>SUMIFS('Daftar Koreksi'!$H$5:$H$92,'Daftar Koreksi'!$D$5:$D$92,'1600'!A334,'Daftar Koreksi'!$G$5:$G$92,"Kontruksi Dalam Pengerjaan",'Daftar Koreksi'!$H$5:$H$92,"&lt;0")-SUMIFS('Daftar Koreksi'!$H$5:$H$92,'Daftar Koreksi'!$D$5:$D$92,'1600'!A334,'Daftar Koreksi'!$G$5:$G$92,"Kontruksi Dalam Pengerjaan",'Daftar Koreksi'!$H$5:$H$92,"&lt;0")-SUMIFS('Daftar Koreksi'!$H$5:$H$92,'Daftar Koreksi'!$D$5:$D$92,'1600'!A334,'Daftar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Koreksi'!$D$5:$D$92,'1600'!A334,'Daftar Koreksi'!$G$5:$G$92,"Aset Tak Berwujud",'Daftar Koreksi'!$H$5:$H$92,"&gt;0")</f>
        <v>0</v>
      </c>
      <c r="F344" s="25">
        <f>SUMIFS('Daftar Koreksi'!$H$5:$H$92,'Daftar Koreksi'!$D$5:$D$92,'1600'!A334,'Daftar Koreksi'!$G$5:$G$92,"Aset Tak Berwujud",'Daftar Koreksi'!$H$5:$H$92,"&lt;0")-SUMIFS('Daftar Koreksi'!$H$5:$H$92,'Daftar Koreksi'!$D$5:$D$92,'1600'!A334,'Daftar Koreksi'!$G$5:$G$92,"Aset Tak Berwujud",'Daftar Koreksi'!$H$5:$H$92,"&lt;0")-SUMIFS('Daftar Koreksi'!$H$5:$H$92,'Daftar Koreksi'!$D$5:$D$92,'1600'!A334,'Daftar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69000000</v>
      </c>
      <c r="E345" s="25">
        <f>SUMIFS('Daftar Koreksi'!$H$5:$H$92,'Daftar Koreksi'!$D$5:$D$92,'1600'!A334,'Daftar Koreksi'!$G$5:$G$92,"Aset Henti Guna",'Daftar Koreksi'!$H$5:$H$92,"&gt;0")</f>
        <v>0</v>
      </c>
      <c r="F345" s="25">
        <f>SUMIFS('Daftar Koreksi'!$H$5:$H$92,'Daftar Koreksi'!$D$5:$D$92,'1600'!A334,'Daftar Koreksi'!$G$5:$G$92,"Aset Henti Guna",'Daftar Koreksi'!$H$5:$H$92,"&lt;0")-SUMIFS('Daftar Koreksi'!$H$5:$H$92,'Daftar Koreksi'!$D$5:$D$92,'1600'!A334,'Daftar Koreksi'!$G$5:$G$92,"Aset Henti Guna",'Daftar Koreksi'!$H$5:$H$92,"&lt;0")-SUMIFS('Daftar Koreksi'!$H$5:$H$92,'Daftar Koreksi'!$D$5:$D$92,'1600'!A334,'Daftar Koreksi'!$G$5:$G$92,"Aset Henti Guna",'Daftar Koreksi'!$H$5:$H$92,"&lt;0")</f>
        <v>0</v>
      </c>
      <c r="G345" s="17">
        <f t="shared" si="15"/>
        <v>69000000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7275171035</v>
      </c>
      <c r="E346" s="19">
        <f>SUM(E337:E345)</f>
        <v>3895309</v>
      </c>
      <c r="F346" s="19">
        <f>SUM(F337:F345)</f>
        <v>0</v>
      </c>
      <c r="G346" s="19">
        <f t="shared" si="15"/>
        <v>7279066344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-906391117</v>
      </c>
      <c r="E347" s="25">
        <f>SUMIFS('Daftar Koreksi'!$I$5:$I$92,'Daftar Koreksi'!$D$5:$D$92,'1600'!A334,'Daftar Koreksi'!$G$5:$G$92,"Peralatan dan mesin",'Daftar Koreksi'!$I$5:$I$92,"&gt;0")</f>
        <v>0</v>
      </c>
      <c r="F347" s="25">
        <f>SUMIFS('Daftar Koreksi'!$I$5:$I$92,'Daftar Koreksi'!$D$5:$D$92,'1600'!A334,'Daftar Koreksi'!$G$5:$G$92,"Peralatan dan mesin",'Daftar Koreksi'!$I$5:$I$92,"&lt;0")-SUMIFS('Daftar Koreksi'!$I$5:$I$92,'Daftar Koreksi'!$D$5:$D$92,'1600'!A334,'Daftar Koreksi'!$G$5:$G$92,"Peralatan dan mesin",'Daftar Koreksi'!$I$5:$I$92,"&lt;0")-SUMIFS('Daftar Koreksi'!$I$5:$I$92,'Daftar Koreksi'!$D$5:$D$92,'1600'!A334,'Daftar Koreksi'!$G$5:$G$92,"Peralatan dan mesin",'Daftar Koreksi'!$I$5:$I$92,"&lt;0")</f>
        <v>389531</v>
      </c>
      <c r="G347" s="17">
        <f t="shared" si="15"/>
        <v>-906780648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-759238333</v>
      </c>
      <c r="E348" s="25">
        <f>SUMIFS('Daftar Koreksi'!$I$5:$I$92,'Daftar Koreksi'!$D$5:$D$92,'1600'!A334,'Daftar Koreksi'!$G$5:$G$92,"Gedung dan Bangunan",'Daftar Koreksi'!$I$5:$I$92,"&gt;0")</f>
        <v>0</v>
      </c>
      <c r="F348" s="25">
        <f>SUMIFS('Daftar Koreksi'!$I$5:$I$92,'Daftar Koreksi'!$D$5:$D$92,'1600'!A334,'Daftar Koreksi'!$G$5:$G$92,"Gedung dan Bangunan",'Daftar Koreksi'!$I$5:$I$92,"&lt;0")-SUMIFS('Daftar Koreksi'!$I$5:$I$92,'Daftar Koreksi'!$D$5:$D$92,'1600'!A334,'Daftar Koreksi'!$G$5:$G$92,"Gedung dan Bangunan",'Daftar Koreksi'!$I$5:$I$92,"&lt;0")-SUMIFS('Daftar Koreksi'!$I$5:$I$92,'Daftar Koreksi'!$D$5:$D$92,'1600'!A334,'Daftar Koreksi'!$G$5:$G$92,"Gedung dan Bangunan",'Daftar Koreksi'!$I$5:$I$92,"&lt;0")</f>
        <v>0</v>
      </c>
      <c r="G348" s="17">
        <f t="shared" si="15"/>
        <v>-759238333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-89583468</v>
      </c>
      <c r="E349" s="25">
        <f>SUMIFS('Daftar Koreksi'!$I$5:$I$92,'Daftar Koreksi'!$D$5:$D$92,'1600'!A334,'Daftar Koreksi'!$G$5:$G$92,"Jalan Irigasi Jaringan",'Daftar Koreksi'!$I$5:$I$92,"&gt;0")</f>
        <v>0</v>
      </c>
      <c r="F349" s="25">
        <f>SUMIFS('Daftar Koreksi'!$I$5:$I$92,'Daftar Koreksi'!$D$5:$D$92,'1600'!A334,'Daftar Koreksi'!$G$5:$G$92,"Jalan Irigasi Jaringan",'Daftar Koreksi'!$I$5:$I$92,"&lt;0")-SUMIFS('Daftar Koreksi'!$I$5:$I$92,'Daftar Koreksi'!$D$5:$D$92,'1600'!A334,'Daftar Koreksi'!$G$5:$G$92,"Jalan Irigasi Jaringan",'Daftar Koreksi'!$I$5:$I$92,"&lt;0")-SUMIFS('Daftar Koreksi'!$I$5:$I$92,'Daftar Koreksi'!$D$5:$D$92,'1600'!A334,'Daftar Koreksi'!$G$5:$G$92,"Jalan Irigasi Jaringan",'Daftar Koreksi'!$I$5:$I$92,"&lt;0")</f>
        <v>0</v>
      </c>
      <c r="G349" s="17">
        <f t="shared" si="15"/>
        <v>-89583468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Koreksi'!$D$5:$D$92,'1600'!A334,'Daftar Koreksi'!$G$5:$G$92,"Aset Tetap Lainnya",'Daftar Koreksi'!$I$5:$I$92,"&gt;0")</f>
        <v>0</v>
      </c>
      <c r="F350" s="25">
        <f>SUMIFS('Daftar Koreksi'!$I$5:$I$92,'Daftar Koreksi'!$D$5:$D$92,'1600'!A334,'Daftar Koreksi'!$G$5:$G$92,"Aset Tetap Lainnya",'Daftar Koreksi'!$I$5:$I$92,"&lt;0")-SUMIFS('Daftar Koreksi'!$I$5:$I$92,'Daftar Koreksi'!$D$5:$D$92,'1600'!A334,'Daftar Koreksi'!$G$5:$G$92,"Aset Tetap Lainnya",'Daftar Koreksi'!$I$5:$I$92,"&lt;0")-SUMIFS('Daftar Koreksi'!$I$5:$I$92,'Daftar Koreksi'!$D$5:$D$92,'1600'!A334,'Daftar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-69000000</v>
      </c>
      <c r="E351" s="25">
        <f>SUMIFS('Daftar Koreksi'!$I$5:$I$92,'Daftar Koreksi'!$D$5:$D$92,'1600'!A334,'Daftar Koreksi'!$G$5:$G$92,"Aset Henti Guna",'Daftar Koreksi'!$I$5:$I$92,"&gt;0")</f>
        <v>0</v>
      </c>
      <c r="F351" s="25">
        <f>SUMIFS('Daftar Koreksi'!$I$5:$I$92,'Daftar Koreksi'!$D$5:$D$92,'1600'!A334,'Daftar Koreksi'!$G$5:$G$92,"Aset Henti Guna",'Daftar Koreksi'!$I$5:$I$92,"&lt;0")-SUMIFS('Daftar Koreksi'!$I$5:$I$92,'Daftar Koreksi'!$D$5:$D$92,'1600'!A334,'Daftar Koreksi'!$G$5:$G$92,"Aset Henti Guna",'Daftar Koreksi'!$I$5:$I$92,"&lt;0")-SUMIFS('Daftar Koreksi'!$I$5:$I$92,'Daftar Koreksi'!$D$5:$D$92,'1600'!A334,'Daftar Koreksi'!$G$5:$G$92,"Aset Henti Guna",'Daftar Koreksi'!$I$5:$I$92,"&lt;0")</f>
        <v>0</v>
      </c>
      <c r="G351" s="17">
        <f t="shared" si="15"/>
        <v>-69000000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-1824212918</v>
      </c>
      <c r="E352" s="19">
        <f>SUM(E347:E351)</f>
        <v>0</v>
      </c>
      <c r="F352" s="19">
        <f>SUM(F347:F351)</f>
        <v>389531</v>
      </c>
      <c r="G352" s="19">
        <f t="shared" si="15"/>
        <v>-1824602449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5450958117</v>
      </c>
      <c r="E353" s="19">
        <f>E352+E346</f>
        <v>3895309</v>
      </c>
      <c r="F353" s="19">
        <f>F352+F346</f>
        <v>389531</v>
      </c>
      <c r="G353" s="19">
        <f t="shared" si="15"/>
        <v>5454463895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005011600477286000KD</v>
      </c>
      <c r="B356" s="11" t="str">
        <f>P17</f>
        <v>PN. Malinau</v>
      </c>
      <c r="C356" s="12" t="str">
        <f>A356&amp;" "&amp;B356</f>
        <v>005011600477286000KD PN. Malinau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2582000</v>
      </c>
      <c r="E359" s="25">
        <f>SUMIFS('Daftar Koreksi'!$H$5:$H$92,'Daftar Koreksi'!$D$5:$D$92,'1600'!A356,'Daftar Koreksi'!$G$5:$G$92,"Persediaan",'Daftar Koreksi'!$H$5:$H$92,"&gt;0")</f>
        <v>0</v>
      </c>
      <c r="F359" s="25">
        <f>SUMIFS('Daftar Koreksi'!$H$5:$H$92,'Daftar Koreksi'!$D$5:$D$92,'1600'!A356,'Daftar Koreksi'!$G$5:$G$92,"Persediaan",'Daftar Koreksi'!$H$5:$H$92,"&lt;0")-SUMIFS('Daftar Koreksi'!$H$5:$H$92,'Daftar Koreksi'!$D$5:$D$92,'1600'!A356,'Daftar Koreksi'!$G$5:$G$92,"Persediaan",'Daftar Koreksi'!$H$5:$H$92,"&lt;0")-SUMIFS('Daftar Koreksi'!$H$5:$H$92,'Daftar Koreksi'!$D$5:$D$92,'1600'!A356,'Daftar Koreksi'!$G$5:$G$92,"Persediaan",'Daftar Koreksi'!$H$5:$H$92,"&lt;0")</f>
        <v>0</v>
      </c>
      <c r="G359" s="17">
        <f>D359+E359-F359</f>
        <v>2582000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92280000</v>
      </c>
      <c r="E360" s="25">
        <f>SUMIFS('Daftar Koreksi'!$H$5:$H$92,'Daftar Koreksi'!$D$5:$D$92,'1600'!A356,'Daftar Koreksi'!$G$5:$G$92,"Tanah",'Daftar Koreksi'!$H$5:$H$92,"&gt;0")</f>
        <v>0</v>
      </c>
      <c r="F360" s="25">
        <f>SUMIFS('Daftar Koreksi'!$H$5:$H$92,'Daftar Koreksi'!$D$5:$D$92,'1600'!A356,'Daftar Koreksi'!$G$5:$G$92,"Tanah",'Daftar Koreksi'!$H$5:$H$92,"&lt;0")-SUMIFS('Daftar Koreksi'!$H$5:$H$92,'Daftar Koreksi'!$D$5:$D$92,'1600'!A356,'Daftar Koreksi'!$G$5:$G$92,"Tanah",'Daftar Koreksi'!$H$5:$H$92,"&lt;0")-SUMIFS('Daftar Koreksi'!$H$5:$H$92,'Daftar Koreksi'!$D$5:$D$92,'1600'!A356,'Daftar Koreksi'!$G$5:$G$92,"Tanah",'Daftar Koreksi'!$H$5:$H$92,"&lt;0")</f>
        <v>0</v>
      </c>
      <c r="G360" s="17">
        <f t="shared" ref="G360:G376" si="16">D360+E360-F360</f>
        <v>92280000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1793852026</v>
      </c>
      <c r="E361" s="25">
        <f>SUMIFS('Daftar Koreksi'!$H$5:$H$92,'Daftar Koreksi'!$D$5:$D$92,'1600'!A356,'Daftar Koreksi'!$G$5:$G$92,"Peralatan dan mesin",'Daftar Koreksi'!$H$5:$H$92,"&gt;0")</f>
        <v>0</v>
      </c>
      <c r="F361" s="25">
        <f>SUMIFS('Daftar Koreksi'!$H$5:$H$92,'Daftar Koreksi'!$D$5:$D$92,'1600'!A356,'Daftar Koreksi'!$G$5:$G$92,"Peralatan dan mesin",'Daftar Koreksi'!$H$5:$H$92,"&lt;0")-SUMIFS('Daftar Koreksi'!$H$5:$H$92,'Daftar Koreksi'!$D$5:$D$92,'1600'!A356,'Daftar Koreksi'!$G$5:$G$92,"Peralatan dan mesin",'Daftar Koreksi'!$H$5:$H$92,"&lt;0")-SUMIFS('Daftar Koreksi'!$H$5:$H$92,'Daftar Koreksi'!$D$5:$D$92,'1600'!A356,'Daftar Koreksi'!$G$5:$G$92,"Peralatan dan mesin",'Daftar Koreksi'!$H$5:$H$92,"&lt;0")</f>
        <v>0</v>
      </c>
      <c r="G361" s="17">
        <f t="shared" si="16"/>
        <v>1793852026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11074541900</v>
      </c>
      <c r="E362" s="25">
        <f>SUMIFS('Daftar Koreksi'!$H$5:$H$92,'Daftar Koreksi'!$D$5:$D$92,'1600'!A356,'Daftar Koreksi'!$G$5:$G$92,"Gedung dan Bangunan",'Daftar Koreksi'!$H$5:$H$92,"&gt;0")</f>
        <v>0</v>
      </c>
      <c r="F362" s="25">
        <f>SUMIFS('Daftar Koreksi'!$H$5:$H$92,'Daftar Koreksi'!$D$5:$D$92,'1600'!A356,'Daftar Koreksi'!$G$5:$G$92,"Gedung dan Bangunan",'Daftar Koreksi'!$H$5:$H$92,"&lt;0")-SUMIFS('Daftar Koreksi'!$H$5:$H$92,'Daftar Koreksi'!$D$5:$D$92,'1600'!A356,'Daftar Koreksi'!$G$5:$G$92,"Gedung dan Bangunan",'Daftar Koreksi'!$H$5:$H$92,"&lt;0")-SUMIFS('Daftar Koreksi'!$H$5:$H$92,'Daftar Koreksi'!$D$5:$D$92,'1600'!A356,'Daftar Koreksi'!$G$5:$G$92,"Gedung dan Bangunan",'Daftar Koreksi'!$H$5:$H$92,"&lt;0")</f>
        <v>0</v>
      </c>
      <c r="G362" s="17">
        <f t="shared" si="16"/>
        <v>11074541900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690685000</v>
      </c>
      <c r="E363" s="25">
        <f>SUMIFS('Daftar Koreksi'!$H$5:$H$92,'Daftar Koreksi'!$D$5:$D$92,'1600'!A356,'Daftar Koreksi'!$G$5:$G$92,"Jalan Irigasi Jaringan",'Daftar Koreksi'!$H$5:$H$92,"&gt;0")</f>
        <v>0</v>
      </c>
      <c r="F363" s="25">
        <f>SUMIFS('Daftar Koreksi'!$H$5:$H$92,'Daftar Koreksi'!$D$5:$D$92,'1600'!A356,'Daftar Koreksi'!$G$5:$G$92,"Jalan Irigasi Jaringan",'Daftar Koreksi'!$H$5:$H$92,"&lt;0")-SUMIFS('Daftar Koreksi'!$H$5:$H$92,'Daftar Koreksi'!$D$5:$D$92,'1600'!A356,'Daftar Koreksi'!$G$5:$G$92,"Jalan Irigasi Jaringan",'Daftar Koreksi'!$H$5:$H$92,"&lt;0")-SUMIFS('Daftar Koreksi'!$H$5:$H$92,'Daftar Koreksi'!$D$5:$D$92,'1600'!A356,'Daftar Koreksi'!$G$5:$G$92,"Jalan Irigasi Jaringan",'Daftar Koreksi'!$H$5:$H$92,"&lt;0")</f>
        <v>0</v>
      </c>
      <c r="G363" s="17">
        <f t="shared" si="16"/>
        <v>690685000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5072116</v>
      </c>
      <c r="E364" s="25">
        <f>SUMIFS('Daftar Koreksi'!$H$5:$H$92,'Daftar Koreksi'!$D$5:$D$92,'1600'!A356,'Daftar Koreksi'!$G$5:$G$92,"Aset Tetap Lainnya",'Daftar Koreksi'!$H$5:$H$92,"&gt;0")</f>
        <v>0</v>
      </c>
      <c r="F364" s="25">
        <f>SUMIFS('Daftar Koreksi'!$H$5:$H$92,'Daftar Koreksi'!$D$5:$D$92,'1600'!A356,'Daftar Koreksi'!$G$5:$G$92,"Aset Tetap Lainnya",'Daftar Koreksi'!$H$5:$H$92,"&lt;0")-SUMIFS('Daftar Koreksi'!$H$5:$H$92,'Daftar Koreksi'!$D$5:$D$92,'1600'!A356,'Daftar Koreksi'!$G$5:$G$92,"Aset Tetap Lainnya",'Daftar Koreksi'!$H$5:$H$92,"&lt;0")-SUMIFS('Daftar Koreksi'!$H$5:$H$92,'Daftar Koreksi'!$D$5:$D$92,'1600'!A356,'Daftar Koreksi'!$G$5:$G$92,"Aset Tetap Lainnya",'Daftar Koreksi'!$H$5:$H$92,"&lt;0")</f>
        <v>0</v>
      </c>
      <c r="G364" s="17">
        <f t="shared" si="16"/>
        <v>5072116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129251243</v>
      </c>
      <c r="E365" s="25">
        <f>SUMIFS('Daftar Koreksi'!$H$5:$H$92,'Daftar Koreksi'!$D$5:$D$92,'1600'!A356,'Daftar Koreksi'!$G$5:$G$92,"Kontruksi Dalam Pengerjaan",'Daftar Koreksi'!$H$5:$H$92,"&gt;0")</f>
        <v>0</v>
      </c>
      <c r="F365" s="25">
        <f>SUMIFS('Daftar Koreksi'!$H$5:$H$92,'Daftar Koreksi'!$D$5:$D$92,'1600'!A356,'Daftar Koreksi'!$G$5:$G$92,"Kontruksi Dalam Pengerjaan",'Daftar Koreksi'!$H$5:$H$92,"&lt;0")-SUMIFS('Daftar Koreksi'!$H$5:$H$92,'Daftar Koreksi'!$D$5:$D$92,'1600'!A356,'Daftar Koreksi'!$G$5:$G$92,"Kontruksi Dalam Pengerjaan",'Daftar Koreksi'!$H$5:$H$92,"&lt;0")-SUMIFS('Daftar Koreksi'!$H$5:$H$92,'Daftar Koreksi'!$D$5:$D$92,'1600'!A356,'Daftar Koreksi'!$G$5:$G$92,"Kontruksi Dalam Pengerjaan",'Daftar Koreksi'!$H$5:$H$92,"&lt;0")</f>
        <v>0</v>
      </c>
      <c r="G365" s="17">
        <f t="shared" si="16"/>
        <v>129251243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Koreksi'!$D$5:$D$92,'1600'!A356,'Daftar Koreksi'!$G$5:$G$92,"Aset Tak Berwujud",'Daftar Koreksi'!$H$5:$H$92,"&gt;0")</f>
        <v>0</v>
      </c>
      <c r="F366" s="25">
        <f>SUMIFS('Daftar Koreksi'!$H$5:$H$92,'Daftar Koreksi'!$D$5:$D$92,'1600'!A356,'Daftar Koreksi'!$G$5:$G$92,"Aset Tak Berwujud",'Daftar Koreksi'!$H$5:$H$92,"&lt;0")-SUMIFS('Daftar Koreksi'!$H$5:$H$92,'Daftar Koreksi'!$D$5:$D$92,'1600'!A356,'Daftar Koreksi'!$G$5:$G$92,"Aset Tak Berwujud",'Daftar Koreksi'!$H$5:$H$92,"&lt;0")-SUMIFS('Daftar Koreksi'!$H$5:$H$92,'Daftar Koreksi'!$D$5:$D$92,'1600'!A356,'Daftar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Koreksi'!$D$5:$D$92,'1600'!A356,'Daftar Koreksi'!$G$5:$G$92,"Aset Henti Guna",'Daftar Koreksi'!$H$5:$H$92,"&gt;0")</f>
        <v>0</v>
      </c>
      <c r="F367" s="25">
        <f>SUMIFS('Daftar Koreksi'!$H$5:$H$92,'Daftar Koreksi'!$D$5:$D$92,'1600'!A356,'Daftar Koreksi'!$G$5:$G$92,"Aset Henti Guna",'Daftar Koreksi'!$H$5:$H$92,"&lt;0")-SUMIFS('Daftar Koreksi'!$H$5:$H$92,'Daftar Koreksi'!$D$5:$D$92,'1600'!A356,'Daftar Koreksi'!$G$5:$G$92,"Aset Henti Guna",'Daftar Koreksi'!$H$5:$H$92,"&lt;0")-SUMIFS('Daftar Koreksi'!$H$5:$H$92,'Daftar Koreksi'!$D$5:$D$92,'1600'!A356,'Daftar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13788264285</v>
      </c>
      <c r="E368" s="19">
        <f>SUM(E359:E367)</f>
        <v>0</v>
      </c>
      <c r="F368" s="19">
        <f>SUM(F359:F367)</f>
        <v>0</v>
      </c>
      <c r="G368" s="19">
        <f t="shared" si="16"/>
        <v>13788264285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-1162703881</v>
      </c>
      <c r="E369" s="25">
        <f>SUMIFS('Daftar Koreksi'!$I$5:$I$92,'Daftar Koreksi'!$D$5:$D$92,'1600'!A356,'Daftar Koreksi'!$G$5:$G$92,"Peralatan dan mesin",'Daftar Koreksi'!$I$5:$I$92,"&gt;0")</f>
        <v>0</v>
      </c>
      <c r="F369" s="25">
        <f>SUMIFS('Daftar Koreksi'!$I$5:$I$92,'Daftar Koreksi'!$D$5:$D$92,'1600'!A356,'Daftar Koreksi'!$G$5:$G$92,"Peralatan dan mesin",'Daftar Koreksi'!$I$5:$I$92,"&lt;0")-SUMIFS('Daftar Koreksi'!$I$5:$I$92,'Daftar Koreksi'!$D$5:$D$92,'1600'!A356,'Daftar Koreksi'!$G$5:$G$92,"Peralatan dan mesin",'Daftar Koreksi'!$I$5:$I$92,"&lt;0")-SUMIFS('Daftar Koreksi'!$I$5:$I$92,'Daftar Koreksi'!$D$5:$D$92,'1600'!A356,'Daftar Koreksi'!$G$5:$G$92,"Peralatan dan mesin",'Daftar Koreksi'!$I$5:$I$92,"&lt;0")</f>
        <v>0</v>
      </c>
      <c r="G369" s="17">
        <f t="shared" si="16"/>
        <v>-1162703881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-1756397117</v>
      </c>
      <c r="E370" s="25">
        <f>SUMIFS('Daftar Koreksi'!$I$5:$I$92,'Daftar Koreksi'!$D$5:$D$92,'1600'!A356,'Daftar Koreksi'!$G$5:$G$92,"Gedung dan Bangunan",'Daftar Koreksi'!$I$5:$I$92,"&gt;0")</f>
        <v>0</v>
      </c>
      <c r="F370" s="25">
        <f>SUMIFS('Daftar Koreksi'!$I$5:$I$92,'Daftar Koreksi'!$D$5:$D$92,'1600'!A356,'Daftar Koreksi'!$G$5:$G$92,"Gedung dan Bangunan",'Daftar Koreksi'!$I$5:$I$92,"&lt;0")-SUMIFS('Daftar Koreksi'!$I$5:$I$92,'Daftar Koreksi'!$D$5:$D$92,'1600'!A356,'Daftar Koreksi'!$G$5:$G$92,"Gedung dan Bangunan",'Daftar Koreksi'!$I$5:$I$92,"&lt;0")-SUMIFS('Daftar Koreksi'!$I$5:$I$92,'Daftar Koreksi'!$D$5:$D$92,'1600'!A356,'Daftar Koreksi'!$G$5:$G$92,"Gedung dan Bangunan",'Daftar Koreksi'!$I$5:$I$92,"&lt;0")</f>
        <v>0</v>
      </c>
      <c r="G370" s="17">
        <f t="shared" si="16"/>
        <v>-1756397117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-539524726</v>
      </c>
      <c r="E371" s="25">
        <f>SUMIFS('Daftar Koreksi'!$I$5:$I$92,'Daftar Koreksi'!$D$5:$D$92,'1600'!A356,'Daftar Koreksi'!$G$5:$G$92,"Jalan Irigasi Jaringan",'Daftar Koreksi'!$I$5:$I$92,"&gt;0")</f>
        <v>0</v>
      </c>
      <c r="F371" s="25">
        <f>SUMIFS('Daftar Koreksi'!$I$5:$I$92,'Daftar Koreksi'!$D$5:$D$92,'1600'!A356,'Daftar Koreksi'!$G$5:$G$92,"Jalan Irigasi Jaringan",'Daftar Koreksi'!$I$5:$I$92,"&lt;0")-SUMIFS('Daftar Koreksi'!$I$5:$I$92,'Daftar Koreksi'!$D$5:$D$92,'1600'!A356,'Daftar Koreksi'!$G$5:$G$92,"Jalan Irigasi Jaringan",'Daftar Koreksi'!$I$5:$I$92,"&lt;0")-SUMIFS('Daftar Koreksi'!$I$5:$I$92,'Daftar Koreksi'!$D$5:$D$92,'1600'!A356,'Daftar Koreksi'!$G$5:$G$92,"Jalan Irigasi Jaringan",'Daftar Koreksi'!$I$5:$I$92,"&lt;0")</f>
        <v>0</v>
      </c>
      <c r="G371" s="17">
        <f t="shared" si="16"/>
        <v>-539524726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Koreksi'!$D$5:$D$92,'1600'!A356,'Daftar Koreksi'!$G$5:$G$92,"Aset Tetap Lainnya",'Daftar Koreksi'!$I$5:$I$92,"&gt;0")</f>
        <v>0</v>
      </c>
      <c r="F372" s="25">
        <f>SUMIFS('Daftar Koreksi'!$I$5:$I$92,'Daftar Koreksi'!$D$5:$D$92,'1600'!A356,'Daftar Koreksi'!$G$5:$G$92,"Aset Tetap Lainnya",'Daftar Koreksi'!$I$5:$I$92,"&lt;0")-SUMIFS('Daftar Koreksi'!$I$5:$I$92,'Daftar Koreksi'!$D$5:$D$92,'1600'!A356,'Daftar Koreksi'!$G$5:$G$92,"Aset Tetap Lainnya",'Daftar Koreksi'!$I$5:$I$92,"&lt;0")-SUMIFS('Daftar Koreksi'!$I$5:$I$92,'Daftar Koreksi'!$D$5:$D$92,'1600'!A356,'Daftar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Koreksi'!$D$5:$D$92,'1600'!A356,'Daftar Koreksi'!$G$5:$G$92,"Aset Henti Guna",'Daftar Koreksi'!$I$5:$I$92,"&gt;0")</f>
        <v>0</v>
      </c>
      <c r="F373" s="25">
        <f>SUMIFS('Daftar Koreksi'!$I$5:$I$92,'Daftar Koreksi'!$D$5:$D$92,'1600'!A356,'Daftar Koreksi'!$G$5:$G$92,"Aset Henti Guna",'Daftar Koreksi'!$I$5:$I$92,"&lt;0")-SUMIFS('Daftar Koreksi'!$I$5:$I$92,'Daftar Koreksi'!$D$5:$D$92,'1600'!A356,'Daftar Koreksi'!$G$5:$G$92,"Aset Henti Guna",'Daftar Koreksi'!$I$5:$I$92,"&lt;0")-SUMIFS('Daftar Koreksi'!$I$5:$I$92,'Daftar Koreksi'!$D$5:$D$92,'1600'!A356,'Daftar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-3458625724</v>
      </c>
      <c r="E374" s="19">
        <f>SUM(E369:E373)</f>
        <v>0</v>
      </c>
      <c r="F374" s="19">
        <f>SUM(F369:F373)</f>
        <v>0</v>
      </c>
      <c r="G374" s="19">
        <f t="shared" si="16"/>
        <v>-3458625724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10329638561</v>
      </c>
      <c r="E375" s="19">
        <f>E374+E368</f>
        <v>0</v>
      </c>
      <c r="F375" s="19">
        <f>F374+F368</f>
        <v>0</v>
      </c>
      <c r="G375" s="19">
        <f t="shared" si="16"/>
        <v>10329638561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005011600477380000KD</v>
      </c>
      <c r="B378" s="11" t="str">
        <f>P18</f>
        <v>PN. Kutai Barat</v>
      </c>
      <c r="C378" s="12" t="str">
        <f>A378&amp;" "&amp;B378</f>
        <v>005011600477380000KD PN. Kutai Barat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74500</v>
      </c>
      <c r="E381" s="25">
        <f>SUMIFS('Daftar Koreksi'!$H$5:$H$92,'Daftar Koreksi'!$D$5:$D$92,'1600'!A378,'Daftar Koreksi'!$G$5:$G$92,"Persediaan",'Daftar Koreksi'!$H$5:$H$92,"&gt;0")</f>
        <v>0</v>
      </c>
      <c r="F381" s="25">
        <f>SUMIFS('Daftar Koreksi'!$H$5:$H$92,'Daftar Koreksi'!$D$5:$D$92,'1600'!A378,'Daftar Koreksi'!$G$5:$G$92,"Persediaan",'Daftar Koreksi'!$H$5:$H$92,"&lt;0")-SUMIFS('Daftar Koreksi'!$H$5:$H$92,'Daftar Koreksi'!$D$5:$D$92,'1600'!A378,'Daftar Koreksi'!$G$5:$G$92,"Persediaan",'Daftar Koreksi'!$H$5:$H$92,"&lt;0")-SUMIFS('Daftar Koreksi'!$H$5:$H$92,'Daftar Koreksi'!$D$5:$D$92,'1600'!A378,'Daftar Koreksi'!$G$5:$G$92,"Persediaan",'Daftar Koreksi'!$H$5:$H$92,"&lt;0")</f>
        <v>0</v>
      </c>
      <c r="G381" s="17">
        <f>D381+E381-F381</f>
        <v>74500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1033500000</v>
      </c>
      <c r="E382" s="25">
        <f>SUMIFS('Daftar Koreksi'!$H$5:$H$92,'Daftar Koreksi'!$D$5:$D$92,'1600'!A378,'Daftar Koreksi'!$G$5:$G$92,"Tanah",'Daftar Koreksi'!$H$5:$H$92,"&gt;0")</f>
        <v>0</v>
      </c>
      <c r="F382" s="25">
        <f>SUMIFS('Daftar Koreksi'!$H$5:$H$92,'Daftar Koreksi'!$D$5:$D$92,'1600'!A378,'Daftar Koreksi'!$G$5:$G$92,"Tanah",'Daftar Koreksi'!$H$5:$H$92,"&lt;0")-SUMIFS('Daftar Koreksi'!$H$5:$H$92,'Daftar Koreksi'!$D$5:$D$92,'1600'!A378,'Daftar Koreksi'!$G$5:$G$92,"Tanah",'Daftar Koreksi'!$H$5:$H$92,"&lt;0")-SUMIFS('Daftar Koreksi'!$H$5:$H$92,'Daftar Koreksi'!$D$5:$D$92,'1600'!A378,'Daftar Koreksi'!$G$5:$G$92,"Tanah",'Daftar Koreksi'!$H$5:$H$92,"&lt;0")</f>
        <v>0</v>
      </c>
      <c r="G382" s="17">
        <f t="shared" ref="G382:G398" si="17">D382+E382-F382</f>
        <v>1033500000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970321043</v>
      </c>
      <c r="E383" s="25">
        <f>SUMIFS('Daftar Koreksi'!$H$5:$H$92,'Daftar Koreksi'!$D$5:$D$92,'1600'!A378,'Daftar Koreksi'!$G$5:$G$92,"Peralatan dan mesin",'Daftar Koreksi'!$H$5:$H$92,"&gt;0")</f>
        <v>0</v>
      </c>
      <c r="F383" s="25">
        <f>SUMIFS('Daftar Koreksi'!$H$5:$H$92,'Daftar Koreksi'!$D$5:$D$92,'1600'!A378,'Daftar Koreksi'!$G$5:$G$92,"Peralatan dan mesin",'Daftar Koreksi'!$H$5:$H$92,"&lt;0")-SUMIFS('Daftar Koreksi'!$H$5:$H$92,'Daftar Koreksi'!$D$5:$D$92,'1600'!A378,'Daftar Koreksi'!$G$5:$G$92,"Peralatan dan mesin",'Daftar Koreksi'!$H$5:$H$92,"&lt;0")-SUMIFS('Daftar Koreksi'!$H$5:$H$92,'Daftar Koreksi'!$D$5:$D$92,'1600'!A378,'Daftar Koreksi'!$G$5:$G$92,"Peralatan dan mesin",'Daftar Koreksi'!$H$5:$H$92,"&lt;0")</f>
        <v>0</v>
      </c>
      <c r="G383" s="17">
        <f t="shared" si="17"/>
        <v>970321043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6828876500</v>
      </c>
      <c r="E384" s="25">
        <f>SUMIFS('Daftar Koreksi'!$H$5:$H$92,'Daftar Koreksi'!$D$5:$D$92,'1600'!A378,'Daftar Koreksi'!$G$5:$G$92,"Gedung dan Bangunan",'Daftar Koreksi'!$H$5:$H$92,"&gt;0")</f>
        <v>0</v>
      </c>
      <c r="F384" s="25">
        <f>SUMIFS('Daftar Koreksi'!$H$5:$H$92,'Daftar Koreksi'!$D$5:$D$92,'1600'!A378,'Daftar Koreksi'!$G$5:$G$92,"Gedung dan Bangunan",'Daftar Koreksi'!$H$5:$H$92,"&lt;0")-SUMIFS('Daftar Koreksi'!$H$5:$H$92,'Daftar Koreksi'!$D$5:$D$92,'1600'!A378,'Daftar Koreksi'!$G$5:$G$92,"Gedung dan Bangunan",'Daftar Koreksi'!$H$5:$H$92,"&lt;0")-SUMIFS('Daftar Koreksi'!$H$5:$H$92,'Daftar Koreksi'!$D$5:$D$92,'1600'!A378,'Daftar Koreksi'!$G$5:$G$92,"Gedung dan Bangunan",'Daftar Koreksi'!$H$5:$H$92,"&lt;0")</f>
        <v>0</v>
      </c>
      <c r="G384" s="17">
        <f t="shared" si="17"/>
        <v>6828876500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167571500</v>
      </c>
      <c r="E385" s="25">
        <f>SUMIFS('Daftar Koreksi'!$H$5:$H$92,'Daftar Koreksi'!$D$5:$D$92,'1600'!A378,'Daftar Koreksi'!$G$5:$G$92,"Jalan Irigasi Jaringan",'Daftar Koreksi'!$H$5:$H$92,"&gt;0")</f>
        <v>0</v>
      </c>
      <c r="F385" s="25">
        <f>SUMIFS('Daftar Koreksi'!$H$5:$H$92,'Daftar Koreksi'!$D$5:$D$92,'1600'!A378,'Daftar Koreksi'!$G$5:$G$92,"Jalan Irigasi Jaringan",'Daftar Koreksi'!$H$5:$H$92,"&lt;0")-SUMIFS('Daftar Koreksi'!$H$5:$H$92,'Daftar Koreksi'!$D$5:$D$92,'1600'!A378,'Daftar Koreksi'!$G$5:$G$92,"Jalan Irigasi Jaringan",'Daftar Koreksi'!$H$5:$H$92,"&lt;0")-SUMIFS('Daftar Koreksi'!$H$5:$H$92,'Daftar Koreksi'!$D$5:$D$92,'1600'!A378,'Daftar Koreksi'!$G$5:$G$92,"Jalan Irigasi Jaringan",'Daftar Koreksi'!$H$5:$H$92,"&lt;0")</f>
        <v>0</v>
      </c>
      <c r="G385" s="17">
        <f t="shared" si="17"/>
        <v>167571500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2683400</v>
      </c>
      <c r="E386" s="25">
        <f>SUMIFS('Daftar Koreksi'!$H$5:$H$92,'Daftar Koreksi'!$D$5:$D$92,'1600'!A378,'Daftar Koreksi'!$G$5:$G$92,"Aset Tetap Lainnya",'Daftar Koreksi'!$H$5:$H$92,"&gt;0")</f>
        <v>0</v>
      </c>
      <c r="F386" s="25">
        <f>SUMIFS('Daftar Koreksi'!$H$5:$H$92,'Daftar Koreksi'!$D$5:$D$92,'1600'!A378,'Daftar Koreksi'!$G$5:$G$92,"Aset Tetap Lainnya",'Daftar Koreksi'!$H$5:$H$92,"&lt;0")-SUMIFS('Daftar Koreksi'!$H$5:$H$92,'Daftar Koreksi'!$D$5:$D$92,'1600'!A378,'Daftar Koreksi'!$G$5:$G$92,"Aset Tetap Lainnya",'Daftar Koreksi'!$H$5:$H$92,"&lt;0")-SUMIFS('Daftar Koreksi'!$H$5:$H$92,'Daftar Koreksi'!$D$5:$D$92,'1600'!A378,'Daftar Koreksi'!$G$5:$G$92,"Aset Tetap Lainnya",'Daftar Koreksi'!$H$5:$H$92,"&lt;0")</f>
        <v>0</v>
      </c>
      <c r="G386" s="17">
        <f t="shared" si="17"/>
        <v>2683400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Koreksi'!$D$5:$D$92,'1600'!A378,'Daftar Koreksi'!$G$5:$G$92,"Kontruksi Dalam Pengerjaan",'Daftar Koreksi'!$H$5:$H$92,"&gt;0")</f>
        <v>0</v>
      </c>
      <c r="F387" s="25">
        <f>SUMIFS('Daftar Koreksi'!$H$5:$H$92,'Daftar Koreksi'!$D$5:$D$92,'1600'!A378,'Daftar Koreksi'!$G$5:$G$92,"Kontruksi Dalam Pengerjaan",'Daftar Koreksi'!$H$5:$H$92,"&lt;0")-SUMIFS('Daftar Koreksi'!$H$5:$H$92,'Daftar Koreksi'!$D$5:$D$92,'1600'!A378,'Daftar Koreksi'!$G$5:$G$92,"Kontruksi Dalam Pengerjaan",'Daftar Koreksi'!$H$5:$H$92,"&lt;0")-SUMIFS('Daftar Koreksi'!$H$5:$H$92,'Daftar Koreksi'!$D$5:$D$92,'1600'!A378,'Daftar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Koreksi'!$D$5:$D$92,'1600'!A378,'Daftar Koreksi'!$G$5:$G$92,"Aset Tak Berwujud",'Daftar Koreksi'!$H$5:$H$92,"&gt;0")</f>
        <v>0</v>
      </c>
      <c r="F388" s="25">
        <f>SUMIFS('Daftar Koreksi'!$H$5:$H$92,'Daftar Koreksi'!$D$5:$D$92,'1600'!A378,'Daftar Koreksi'!$G$5:$G$92,"Aset Tak Berwujud",'Daftar Koreksi'!$H$5:$H$92,"&lt;0")-SUMIFS('Daftar Koreksi'!$H$5:$H$92,'Daftar Koreksi'!$D$5:$D$92,'1600'!A378,'Daftar Koreksi'!$G$5:$G$92,"Aset Tak Berwujud",'Daftar Koreksi'!$H$5:$H$92,"&lt;0")-SUMIFS('Daftar Koreksi'!$H$5:$H$92,'Daftar Koreksi'!$D$5:$D$92,'1600'!A378,'Daftar Koreksi'!$G$5:$G$92,"Aset Tak Berwujud",'Daftar Koreksi'!$H$5:$H$92,"&lt;0")</f>
        <v>0</v>
      </c>
      <c r="G388" s="17">
        <f t="shared" si="17"/>
        <v>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Koreksi'!$D$5:$D$92,'1600'!A378,'Daftar Koreksi'!$G$5:$G$92,"Aset Henti Guna",'Daftar Koreksi'!$H$5:$H$92,"&gt;0")</f>
        <v>0</v>
      </c>
      <c r="F389" s="25">
        <f>SUMIFS('Daftar Koreksi'!$H$5:$H$92,'Daftar Koreksi'!$D$5:$D$92,'1600'!A378,'Daftar Koreksi'!$G$5:$G$92,"Aset Henti Guna",'Daftar Koreksi'!$H$5:$H$92,"&lt;0")-SUMIFS('Daftar Koreksi'!$H$5:$H$92,'Daftar Koreksi'!$D$5:$D$92,'1600'!A378,'Daftar Koreksi'!$G$5:$G$92,"Aset Henti Guna",'Daftar Koreksi'!$H$5:$H$92,"&lt;0")-SUMIFS('Daftar Koreksi'!$H$5:$H$92,'Daftar Koreksi'!$D$5:$D$92,'1600'!A378,'Daftar Koreksi'!$G$5:$G$92,"Aset Henti Guna",'Daftar Koreksi'!$H$5:$H$92,"&lt;0")</f>
        <v>0</v>
      </c>
      <c r="G389" s="17">
        <f t="shared" si="17"/>
        <v>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9003026943</v>
      </c>
      <c r="E390" s="19">
        <f>SUM(E381:E389)</f>
        <v>0</v>
      </c>
      <c r="F390" s="19">
        <f>SUM(F381:F389)</f>
        <v>0</v>
      </c>
      <c r="G390" s="19">
        <f t="shared" si="17"/>
        <v>9003026943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-911067001</v>
      </c>
      <c r="E391" s="25">
        <f>SUMIFS('Daftar Koreksi'!$I$5:$I$92,'Daftar Koreksi'!$D$5:$D$92,'1600'!A378,'Daftar Koreksi'!$G$5:$G$92,"Peralatan dan mesin",'Daftar Koreksi'!$I$5:$I$92,"&gt;0")</f>
        <v>0</v>
      </c>
      <c r="F391" s="25">
        <f>SUMIFS('Daftar Koreksi'!$I$5:$I$92,'Daftar Koreksi'!$D$5:$D$92,'1600'!A378,'Daftar Koreksi'!$G$5:$G$92,"Peralatan dan mesin",'Daftar Koreksi'!$I$5:$I$92,"&lt;0")-SUMIFS('Daftar Koreksi'!$I$5:$I$92,'Daftar Koreksi'!$D$5:$D$92,'1600'!A378,'Daftar Koreksi'!$G$5:$G$92,"Peralatan dan mesin",'Daftar Koreksi'!$I$5:$I$92,"&lt;0")-SUMIFS('Daftar Koreksi'!$I$5:$I$92,'Daftar Koreksi'!$D$5:$D$92,'1600'!A378,'Daftar Koreksi'!$G$5:$G$92,"Peralatan dan mesin",'Daftar Koreksi'!$I$5:$I$92,"&lt;0")</f>
        <v>0</v>
      </c>
      <c r="G391" s="17">
        <f t="shared" si="17"/>
        <v>-911067001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-1094611514</v>
      </c>
      <c r="E392" s="25">
        <f>SUMIFS('Daftar Koreksi'!$I$5:$I$92,'Daftar Koreksi'!$D$5:$D$92,'1600'!A378,'Daftar Koreksi'!$G$5:$G$92,"Gedung dan Bangunan",'Daftar Koreksi'!$I$5:$I$92,"&gt;0")</f>
        <v>0</v>
      </c>
      <c r="F392" s="25">
        <f>SUMIFS('Daftar Koreksi'!$I$5:$I$92,'Daftar Koreksi'!$D$5:$D$92,'1600'!A378,'Daftar Koreksi'!$G$5:$G$92,"Gedung dan Bangunan",'Daftar Koreksi'!$I$5:$I$92,"&lt;0")-SUMIFS('Daftar Koreksi'!$I$5:$I$92,'Daftar Koreksi'!$D$5:$D$92,'1600'!A378,'Daftar Koreksi'!$G$5:$G$92,"Gedung dan Bangunan",'Daftar Koreksi'!$I$5:$I$92,"&lt;0")-SUMIFS('Daftar Koreksi'!$I$5:$I$92,'Daftar Koreksi'!$D$5:$D$92,'1600'!A378,'Daftar Koreksi'!$G$5:$G$92,"Gedung dan Bangunan",'Daftar Koreksi'!$I$5:$I$92,"&lt;0")</f>
        <v>0</v>
      </c>
      <c r="G392" s="17">
        <f t="shared" si="17"/>
        <v>-1094611514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-41543768</v>
      </c>
      <c r="E393" s="25">
        <f>SUMIFS('Daftar Koreksi'!$I$5:$I$92,'Daftar Koreksi'!$D$5:$D$92,'1600'!A378,'Daftar Koreksi'!$G$5:$G$92,"Jalan Irigasi Jaringan",'Daftar Koreksi'!$I$5:$I$92,"&gt;0")</f>
        <v>0</v>
      </c>
      <c r="F393" s="25">
        <f>SUMIFS('Daftar Koreksi'!$I$5:$I$92,'Daftar Koreksi'!$D$5:$D$92,'1600'!A378,'Daftar Koreksi'!$G$5:$G$92,"Jalan Irigasi Jaringan",'Daftar Koreksi'!$I$5:$I$92,"&lt;0")-SUMIFS('Daftar Koreksi'!$I$5:$I$92,'Daftar Koreksi'!$D$5:$D$92,'1600'!A378,'Daftar Koreksi'!$G$5:$G$92,"Jalan Irigasi Jaringan",'Daftar Koreksi'!$I$5:$I$92,"&lt;0")-SUMIFS('Daftar Koreksi'!$I$5:$I$92,'Daftar Koreksi'!$D$5:$D$92,'1600'!A378,'Daftar Koreksi'!$G$5:$G$92,"Jalan Irigasi Jaringan",'Daftar Koreksi'!$I$5:$I$92,"&lt;0")</f>
        <v>0</v>
      </c>
      <c r="G393" s="17">
        <f t="shared" si="17"/>
        <v>-41543768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Koreksi'!$D$5:$D$92,'1600'!A378,'Daftar Koreksi'!$G$5:$G$92,"Aset Tetap Lainnya",'Daftar Koreksi'!$I$5:$I$92,"&gt;0")</f>
        <v>0</v>
      </c>
      <c r="F394" s="25">
        <f>SUMIFS('Daftar Koreksi'!$I$5:$I$92,'Daftar Koreksi'!$D$5:$D$92,'1600'!A378,'Daftar Koreksi'!$G$5:$G$92,"Aset Tetap Lainnya",'Daftar Koreksi'!$I$5:$I$92,"&lt;0")-SUMIFS('Daftar Koreksi'!$I$5:$I$92,'Daftar Koreksi'!$D$5:$D$92,'1600'!A378,'Daftar Koreksi'!$G$5:$G$92,"Aset Tetap Lainnya",'Daftar Koreksi'!$I$5:$I$92,"&lt;0")-SUMIFS('Daftar Koreksi'!$I$5:$I$92,'Daftar Koreksi'!$D$5:$D$92,'1600'!A378,'Daftar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0</v>
      </c>
      <c r="E395" s="25">
        <f>SUMIFS('Daftar Koreksi'!$I$5:$I$92,'Daftar Koreksi'!$D$5:$D$92,'1600'!A378,'Daftar Koreksi'!$G$5:$G$92,"Aset Henti Guna",'Daftar Koreksi'!$I$5:$I$92,"&gt;0")</f>
        <v>0</v>
      </c>
      <c r="F395" s="25">
        <f>SUMIFS('Daftar Koreksi'!$I$5:$I$92,'Daftar Koreksi'!$D$5:$D$92,'1600'!A378,'Daftar Koreksi'!$G$5:$G$92,"Aset Henti Guna",'Daftar Koreksi'!$I$5:$I$92,"&lt;0")-SUMIFS('Daftar Koreksi'!$I$5:$I$92,'Daftar Koreksi'!$D$5:$D$92,'1600'!A378,'Daftar Koreksi'!$G$5:$G$92,"Aset Henti Guna",'Daftar Koreksi'!$I$5:$I$92,"&lt;0")-SUMIFS('Daftar Koreksi'!$I$5:$I$92,'Daftar Koreksi'!$D$5:$D$92,'1600'!A378,'Daftar Koreksi'!$G$5:$G$92,"Aset Henti Guna",'Daftar Koreksi'!$I$5:$I$92,"&lt;0")</f>
        <v>0</v>
      </c>
      <c r="G395" s="17">
        <f t="shared" si="17"/>
        <v>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-2047222283</v>
      </c>
      <c r="E396" s="19">
        <f>SUM(E391:E395)</f>
        <v>0</v>
      </c>
      <c r="F396" s="19">
        <f>SUM(F391:F395)</f>
        <v>0</v>
      </c>
      <c r="G396" s="19">
        <f t="shared" si="17"/>
        <v>-2047222283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6955804660</v>
      </c>
      <c r="E397" s="19">
        <f>E396+E390</f>
        <v>0</v>
      </c>
      <c r="F397" s="19">
        <f>F396+F390</f>
        <v>0</v>
      </c>
      <c r="G397" s="19">
        <f t="shared" si="17"/>
        <v>6955804660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005011600559857000KD</v>
      </c>
      <c r="B400" s="11" t="str">
        <f>P19</f>
        <v>PTUN. Samarinda</v>
      </c>
      <c r="C400" s="12" t="str">
        <f>A400&amp;" "&amp;B400</f>
        <v>005011600559857000KD PTUN. Samarinda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520750</v>
      </c>
      <c r="E403" s="25">
        <f>SUMIFS('Daftar Koreksi'!$H$5:$H$92,'Daftar Koreksi'!$D$5:$D$92,'1600'!A400,'Daftar Koreksi'!$G$5:$G$92,"Persediaan",'Daftar Koreksi'!$H$5:$H$92,"&gt;0")</f>
        <v>0</v>
      </c>
      <c r="F403" s="25">
        <f>SUMIFS('Daftar Koreksi'!$H$5:$H$92,'Daftar Koreksi'!$D$5:$D$92,'1600'!A400,'Daftar Koreksi'!$G$5:$G$92,"Persediaan",'Daftar Koreksi'!$H$5:$H$92,"&lt;0")-SUMIFS('Daftar Koreksi'!$H$5:$H$92,'Daftar Koreksi'!$D$5:$D$92,'1600'!A400,'Daftar Koreksi'!$G$5:$G$92,"Persediaan",'Daftar Koreksi'!$H$5:$H$92,"&lt;0")-SUMIFS('Daftar Koreksi'!$H$5:$H$92,'Daftar Koreksi'!$D$5:$D$92,'1600'!A400,'Daftar Koreksi'!$G$5:$G$92,"Persediaan",'Daftar Koreksi'!$H$5:$H$92,"&lt;0")</f>
        <v>0</v>
      </c>
      <c r="G403" s="17">
        <f>D403+E403-F403</f>
        <v>520750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5593500000</v>
      </c>
      <c r="E404" s="25">
        <f>SUMIFS('Daftar Koreksi'!$H$5:$H$92,'Daftar Koreksi'!$D$5:$D$92,'1600'!A400,'Daftar Koreksi'!$G$5:$G$92,"Tanah",'Daftar Koreksi'!$H$5:$H$92,"&gt;0")</f>
        <v>0</v>
      </c>
      <c r="F404" s="25">
        <f>SUMIFS('Daftar Koreksi'!$H$5:$H$92,'Daftar Koreksi'!$D$5:$D$92,'1600'!A400,'Daftar Koreksi'!$G$5:$G$92,"Tanah",'Daftar Koreksi'!$H$5:$H$92,"&lt;0")-SUMIFS('Daftar Koreksi'!$H$5:$H$92,'Daftar Koreksi'!$D$5:$D$92,'1600'!A400,'Daftar Koreksi'!$G$5:$G$92,"Tanah",'Daftar Koreksi'!$H$5:$H$92,"&lt;0")-SUMIFS('Daftar Koreksi'!$H$5:$H$92,'Daftar Koreksi'!$D$5:$D$92,'1600'!A400,'Daftar Koreksi'!$G$5:$G$92,"Tanah",'Daftar Koreksi'!$H$5:$H$92,"&lt;0")</f>
        <v>0</v>
      </c>
      <c r="G404" s="17">
        <f t="shared" ref="G404:G420" si="18">D404+E404-F404</f>
        <v>5593500000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2089745361</v>
      </c>
      <c r="E405" s="25">
        <f>SUMIFS('Daftar Koreksi'!$H$5:$H$92,'Daftar Koreksi'!$D$5:$D$92,'1600'!A400,'Daftar Koreksi'!$G$5:$G$92,"Peralatan dan mesin",'Daftar Koreksi'!$H$5:$H$92,"&gt;0")</f>
        <v>0</v>
      </c>
      <c r="F405" s="25">
        <f>SUMIFS('Daftar Koreksi'!$H$5:$H$92,'Daftar Koreksi'!$D$5:$D$92,'1600'!A400,'Daftar Koreksi'!$G$5:$G$92,"Peralatan dan mesin",'Daftar Koreksi'!$H$5:$H$92,"&lt;0")-SUMIFS('Daftar Koreksi'!$H$5:$H$92,'Daftar Koreksi'!$D$5:$D$92,'1600'!A400,'Daftar Koreksi'!$G$5:$G$92,"Peralatan dan mesin",'Daftar Koreksi'!$H$5:$H$92,"&lt;0")-SUMIFS('Daftar Koreksi'!$H$5:$H$92,'Daftar Koreksi'!$D$5:$D$92,'1600'!A400,'Daftar Koreksi'!$G$5:$G$92,"Peralatan dan mesin",'Daftar Koreksi'!$H$5:$H$92,"&lt;0")</f>
        <v>0</v>
      </c>
      <c r="G405" s="17">
        <f t="shared" si="18"/>
        <v>2089745361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12537722106</v>
      </c>
      <c r="E406" s="25">
        <f>SUMIFS('Daftar Koreksi'!$H$5:$H$92,'Daftar Koreksi'!$D$5:$D$92,'1600'!A400,'Daftar Koreksi'!$G$5:$G$92,"Gedung dan Bangunan",'Daftar Koreksi'!$H$5:$H$92,"&gt;0")</f>
        <v>0</v>
      </c>
      <c r="F406" s="25">
        <f>SUMIFS('Daftar Koreksi'!$H$5:$H$92,'Daftar Koreksi'!$D$5:$D$92,'1600'!A400,'Daftar Koreksi'!$G$5:$G$92,"Gedung dan Bangunan",'Daftar Koreksi'!$H$5:$H$92,"&lt;0")-SUMIFS('Daftar Koreksi'!$H$5:$H$92,'Daftar Koreksi'!$D$5:$D$92,'1600'!A400,'Daftar Koreksi'!$G$5:$G$92,"Gedung dan Bangunan",'Daftar Koreksi'!$H$5:$H$92,"&lt;0")-SUMIFS('Daftar Koreksi'!$H$5:$H$92,'Daftar Koreksi'!$D$5:$D$92,'1600'!A400,'Daftar Koreksi'!$G$5:$G$92,"Gedung dan Bangunan",'Daftar Koreksi'!$H$5:$H$92,"&lt;0")</f>
        <v>0</v>
      </c>
      <c r="G406" s="17">
        <f t="shared" si="18"/>
        <v>12537722106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0</v>
      </c>
      <c r="E407" s="25">
        <f>SUMIFS('Daftar Koreksi'!$H$5:$H$92,'Daftar Koreksi'!$D$5:$D$92,'1600'!A400,'Daftar Koreksi'!$G$5:$G$92,"Jalan Irigasi Jaringan",'Daftar Koreksi'!$H$5:$H$92,"&gt;0")</f>
        <v>0</v>
      </c>
      <c r="F407" s="25">
        <f>SUMIFS('Daftar Koreksi'!$H$5:$H$92,'Daftar Koreksi'!$D$5:$D$92,'1600'!A400,'Daftar Koreksi'!$G$5:$G$92,"Jalan Irigasi Jaringan",'Daftar Koreksi'!$H$5:$H$92,"&lt;0")-SUMIFS('Daftar Koreksi'!$H$5:$H$92,'Daftar Koreksi'!$D$5:$D$92,'1600'!A400,'Daftar Koreksi'!$G$5:$G$92,"Jalan Irigasi Jaringan",'Daftar Koreksi'!$H$5:$H$92,"&lt;0")-SUMIFS('Daftar Koreksi'!$H$5:$H$92,'Daftar Koreksi'!$D$5:$D$92,'1600'!A400,'Daftar Koreksi'!$G$5:$G$92,"Jalan Irigasi Jaringan",'Daftar Koreksi'!$H$5:$H$92,"&lt;0")</f>
        <v>0</v>
      </c>
      <c r="G407" s="17">
        <f t="shared" si="18"/>
        <v>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5527078</v>
      </c>
      <c r="E408" s="25">
        <f>SUMIFS('Daftar Koreksi'!$H$5:$H$92,'Daftar Koreksi'!$D$5:$D$92,'1600'!A400,'Daftar Koreksi'!$G$5:$G$92,"Aset Tetap Lainnya",'Daftar Koreksi'!$H$5:$H$92,"&gt;0")</f>
        <v>0</v>
      </c>
      <c r="F408" s="25">
        <f>SUMIFS('Daftar Koreksi'!$H$5:$H$92,'Daftar Koreksi'!$D$5:$D$92,'1600'!A400,'Daftar Koreksi'!$G$5:$G$92,"Aset Tetap Lainnya",'Daftar Koreksi'!$H$5:$H$92,"&lt;0")-SUMIFS('Daftar Koreksi'!$H$5:$H$92,'Daftar Koreksi'!$D$5:$D$92,'1600'!A400,'Daftar Koreksi'!$G$5:$G$92,"Aset Tetap Lainnya",'Daftar Koreksi'!$H$5:$H$92,"&lt;0")-SUMIFS('Daftar Koreksi'!$H$5:$H$92,'Daftar Koreksi'!$D$5:$D$92,'1600'!A400,'Daftar Koreksi'!$G$5:$G$92,"Aset Tetap Lainnya",'Daftar Koreksi'!$H$5:$H$92,"&lt;0")</f>
        <v>0</v>
      </c>
      <c r="G408" s="17">
        <f t="shared" si="18"/>
        <v>5527078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Koreksi'!$D$5:$D$92,'1600'!A400,'Daftar Koreksi'!$G$5:$G$92,"Kontruksi Dalam Pengerjaan",'Daftar Koreksi'!$H$5:$H$92,"&gt;0")</f>
        <v>0</v>
      </c>
      <c r="F409" s="25">
        <f>SUMIFS('Daftar Koreksi'!$H$5:$H$92,'Daftar Koreksi'!$D$5:$D$92,'1600'!A400,'Daftar Koreksi'!$G$5:$G$92,"Kontruksi Dalam Pengerjaan",'Daftar Koreksi'!$H$5:$H$92,"&lt;0")-SUMIFS('Daftar Koreksi'!$H$5:$H$92,'Daftar Koreksi'!$D$5:$D$92,'1600'!A400,'Daftar Koreksi'!$G$5:$G$92,"Kontruksi Dalam Pengerjaan",'Daftar Koreksi'!$H$5:$H$92,"&lt;0")-SUMIFS('Daftar Koreksi'!$H$5:$H$92,'Daftar Koreksi'!$D$5:$D$92,'1600'!A400,'Daftar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98890000</v>
      </c>
      <c r="E410" s="25">
        <f>SUMIFS('Daftar Koreksi'!$H$5:$H$92,'Daftar Koreksi'!$D$5:$D$92,'1600'!A400,'Daftar Koreksi'!$G$5:$G$92,"Aset Tak Berwujud",'Daftar Koreksi'!$H$5:$H$92,"&gt;0")</f>
        <v>0</v>
      </c>
      <c r="F410" s="25">
        <f>SUMIFS('Daftar Koreksi'!$H$5:$H$92,'Daftar Koreksi'!$D$5:$D$92,'1600'!A400,'Daftar Koreksi'!$G$5:$G$92,"Aset Tak Berwujud",'Daftar Koreksi'!$H$5:$H$92,"&lt;0")-SUMIFS('Daftar Koreksi'!$H$5:$H$92,'Daftar Koreksi'!$D$5:$D$92,'1600'!A400,'Daftar Koreksi'!$G$5:$G$92,"Aset Tak Berwujud",'Daftar Koreksi'!$H$5:$H$92,"&lt;0")-SUMIFS('Daftar Koreksi'!$H$5:$H$92,'Daftar Koreksi'!$D$5:$D$92,'1600'!A400,'Daftar Koreksi'!$G$5:$G$92,"Aset Tak Berwujud",'Daftar Koreksi'!$H$5:$H$92,"&lt;0")</f>
        <v>0</v>
      </c>
      <c r="G410" s="17">
        <f t="shared" si="18"/>
        <v>98890000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Koreksi'!$D$5:$D$92,'1600'!A400,'Daftar Koreksi'!$G$5:$G$92,"Aset Henti Guna",'Daftar Koreksi'!$H$5:$H$92,"&gt;0")</f>
        <v>0</v>
      </c>
      <c r="F411" s="25">
        <f>SUMIFS('Daftar Koreksi'!$H$5:$H$92,'Daftar Koreksi'!$D$5:$D$92,'1600'!A400,'Daftar Koreksi'!$G$5:$G$92,"Aset Henti Guna",'Daftar Koreksi'!$H$5:$H$92,"&lt;0")-SUMIFS('Daftar Koreksi'!$H$5:$H$92,'Daftar Koreksi'!$D$5:$D$92,'1600'!A400,'Daftar Koreksi'!$G$5:$G$92,"Aset Henti Guna",'Daftar Koreksi'!$H$5:$H$92,"&lt;0")-SUMIFS('Daftar Koreksi'!$H$5:$H$92,'Daftar Koreksi'!$D$5:$D$92,'1600'!A400,'Daftar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20325905295</v>
      </c>
      <c r="E412" s="19">
        <f>SUM(E403:E411)</f>
        <v>0</v>
      </c>
      <c r="F412" s="19">
        <f>SUM(F403:F411)</f>
        <v>0</v>
      </c>
      <c r="G412" s="19">
        <f t="shared" si="18"/>
        <v>20325905295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-1560095887</v>
      </c>
      <c r="E413" s="25">
        <f>SUMIFS('Daftar Koreksi'!$I$5:$I$92,'Daftar Koreksi'!$D$5:$D$92,'1600'!A400,'Daftar Koreksi'!$G$5:$G$92,"Peralatan dan mesin",'Daftar Koreksi'!$I$5:$I$92,"&gt;0")</f>
        <v>0</v>
      </c>
      <c r="F413" s="25">
        <f>SUMIFS('Daftar Koreksi'!$I$5:$I$92,'Daftar Koreksi'!$D$5:$D$92,'1600'!A400,'Daftar Koreksi'!$G$5:$G$92,"Peralatan dan mesin",'Daftar Koreksi'!$I$5:$I$92,"&lt;0")-SUMIFS('Daftar Koreksi'!$I$5:$I$92,'Daftar Koreksi'!$D$5:$D$92,'1600'!A400,'Daftar Koreksi'!$G$5:$G$92,"Peralatan dan mesin",'Daftar Koreksi'!$I$5:$I$92,"&lt;0")-SUMIFS('Daftar Koreksi'!$I$5:$I$92,'Daftar Koreksi'!$D$5:$D$92,'1600'!A400,'Daftar Koreksi'!$G$5:$G$92,"Peralatan dan mesin",'Daftar Koreksi'!$I$5:$I$92,"&lt;0")</f>
        <v>0</v>
      </c>
      <c r="G413" s="17">
        <f t="shared" si="18"/>
        <v>-1560095887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-689800600</v>
      </c>
      <c r="E414" s="25">
        <f>SUMIFS('Daftar Koreksi'!$I$5:$I$92,'Daftar Koreksi'!$D$5:$D$92,'1600'!A400,'Daftar Koreksi'!$G$5:$G$92,"Gedung dan Bangunan",'Daftar Koreksi'!$I$5:$I$92,"&gt;0")</f>
        <v>0</v>
      </c>
      <c r="F414" s="25">
        <f>SUMIFS('Daftar Koreksi'!$I$5:$I$92,'Daftar Koreksi'!$D$5:$D$92,'1600'!A400,'Daftar Koreksi'!$G$5:$G$92,"Gedung dan Bangunan",'Daftar Koreksi'!$I$5:$I$92,"&lt;0")-SUMIFS('Daftar Koreksi'!$I$5:$I$92,'Daftar Koreksi'!$D$5:$D$92,'1600'!A400,'Daftar Koreksi'!$G$5:$G$92,"Gedung dan Bangunan",'Daftar Koreksi'!$I$5:$I$92,"&lt;0")-SUMIFS('Daftar Koreksi'!$I$5:$I$92,'Daftar Koreksi'!$D$5:$D$92,'1600'!A400,'Daftar Koreksi'!$G$5:$G$92,"Gedung dan Bangunan",'Daftar Koreksi'!$I$5:$I$92,"&lt;0")</f>
        <v>0</v>
      </c>
      <c r="G414" s="17">
        <f t="shared" si="18"/>
        <v>-689800600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0</v>
      </c>
      <c r="E415" s="25">
        <f>SUMIFS('Daftar Koreksi'!$I$5:$I$92,'Daftar Koreksi'!$D$5:$D$92,'1600'!A400,'Daftar Koreksi'!$G$5:$G$92,"Jalan Irigasi Jaringan",'Daftar Koreksi'!$I$5:$I$92,"&gt;0")</f>
        <v>0</v>
      </c>
      <c r="F415" s="25">
        <f>SUMIFS('Daftar Koreksi'!$I$5:$I$92,'Daftar Koreksi'!$D$5:$D$92,'1600'!A400,'Daftar Koreksi'!$G$5:$G$92,"Jalan Irigasi Jaringan",'Daftar Koreksi'!$I$5:$I$92,"&lt;0")-SUMIFS('Daftar Koreksi'!$I$5:$I$92,'Daftar Koreksi'!$D$5:$D$92,'1600'!A400,'Daftar Koreksi'!$G$5:$G$92,"Jalan Irigasi Jaringan",'Daftar Koreksi'!$I$5:$I$92,"&lt;0")-SUMIFS('Daftar Koreksi'!$I$5:$I$92,'Daftar Koreksi'!$D$5:$D$92,'1600'!A400,'Daftar Koreksi'!$G$5:$G$92,"Jalan Irigasi Jaringan",'Daftar Koreksi'!$I$5:$I$92,"&lt;0")</f>
        <v>0</v>
      </c>
      <c r="G415" s="17">
        <f t="shared" si="18"/>
        <v>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Koreksi'!$D$5:$D$92,'1600'!A400,'Daftar Koreksi'!$G$5:$G$92,"Aset Tetap Lainnya",'Daftar Koreksi'!$I$5:$I$92,"&gt;0")</f>
        <v>0</v>
      </c>
      <c r="F416" s="25">
        <f>SUMIFS('Daftar Koreksi'!$I$5:$I$92,'Daftar Koreksi'!$D$5:$D$92,'1600'!A400,'Daftar Koreksi'!$G$5:$G$92,"Aset Tetap Lainnya",'Daftar Koreksi'!$I$5:$I$92,"&lt;0")-SUMIFS('Daftar Koreksi'!$I$5:$I$92,'Daftar Koreksi'!$D$5:$D$92,'1600'!A400,'Daftar Koreksi'!$G$5:$G$92,"Aset Tetap Lainnya",'Daftar Koreksi'!$I$5:$I$92,"&lt;0")-SUMIFS('Daftar Koreksi'!$I$5:$I$92,'Daftar Koreksi'!$D$5:$D$92,'1600'!A400,'Daftar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Koreksi'!$D$5:$D$92,'1600'!A400,'Daftar Koreksi'!$G$5:$G$92,"Aset Henti Guna",'Daftar Koreksi'!$I$5:$I$92,"&gt;0")</f>
        <v>0</v>
      </c>
      <c r="F417" s="25">
        <f>SUMIFS('Daftar Koreksi'!$I$5:$I$92,'Daftar Koreksi'!$D$5:$D$92,'1600'!A400,'Daftar Koreksi'!$G$5:$G$92,"Aset Henti Guna",'Daftar Koreksi'!$I$5:$I$92,"&lt;0")-SUMIFS('Daftar Koreksi'!$I$5:$I$92,'Daftar Koreksi'!$D$5:$D$92,'1600'!A400,'Daftar Koreksi'!$G$5:$G$92,"Aset Henti Guna",'Daftar Koreksi'!$I$5:$I$92,"&lt;0")-SUMIFS('Daftar Koreksi'!$I$5:$I$92,'Daftar Koreksi'!$D$5:$D$92,'1600'!A400,'Daftar Koreksi'!$G$5:$G$92,"Aset Henti Guna",'Daftar Koreksi'!$I$5:$I$92,"&lt;0")</f>
        <v>0</v>
      </c>
      <c r="G417" s="17">
        <f t="shared" si="18"/>
        <v>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-2249896487</v>
      </c>
      <c r="E418" s="19">
        <f>SUM(E413:E417)</f>
        <v>0</v>
      </c>
      <c r="F418" s="19">
        <f>SUM(F413:F417)</f>
        <v>0</v>
      </c>
      <c r="G418" s="19">
        <f t="shared" si="18"/>
        <v>-2249896487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18076008808</v>
      </c>
      <c r="E419" s="19">
        <f>E418+E412</f>
        <v>0</v>
      </c>
      <c r="F419" s="19">
        <f>F418+F412</f>
        <v>0</v>
      </c>
      <c r="G419" s="19">
        <f t="shared" si="18"/>
        <v>18076008808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005011600652080000KD</v>
      </c>
      <c r="B422" s="11" t="str">
        <f>P20</f>
        <v>PA. Bontang</v>
      </c>
      <c r="C422" s="12" t="str">
        <f>A422&amp;" "&amp;B422</f>
        <v>005011600652080000KD PA. Bontang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184000</v>
      </c>
      <c r="E425" s="25">
        <f>SUMIFS('Daftar Koreksi'!$H$5:$H$92,'Daftar Koreksi'!$D$5:$D$92,'1600'!A422,'Daftar Koreksi'!$G$5:$G$92,"Persediaan",'Daftar Koreksi'!$H$5:$H$92,"&gt;0")</f>
        <v>0</v>
      </c>
      <c r="F425" s="25">
        <f>SUMIFS('Daftar Koreksi'!$H$5:$H$92,'Daftar Koreksi'!$D$5:$D$92,'1600'!A422,'Daftar Koreksi'!$G$5:$G$92,"Persediaan",'Daftar Koreksi'!$H$5:$H$92,"&lt;0")-SUMIFS('Daftar Koreksi'!$H$5:$H$92,'Daftar Koreksi'!$D$5:$D$92,'1600'!A422,'Daftar Koreksi'!$G$5:$G$92,"Persediaan",'Daftar Koreksi'!$H$5:$H$92,"&lt;0")-SUMIFS('Daftar Koreksi'!$H$5:$H$92,'Daftar Koreksi'!$D$5:$D$92,'1600'!A422,'Daftar Koreksi'!$G$5:$G$92,"Persediaan",'Daftar Koreksi'!$H$5:$H$92,"&lt;0")</f>
        <v>0</v>
      </c>
      <c r="G425" s="17">
        <f>D425+E425-F425</f>
        <v>184000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0</v>
      </c>
      <c r="E426" s="25">
        <f>SUMIFS('Daftar Koreksi'!$H$5:$H$92,'Daftar Koreksi'!$D$5:$D$92,'1600'!A422,'Daftar Koreksi'!$G$5:$G$92,"Tanah",'Daftar Koreksi'!$H$5:$H$92,"&gt;0")</f>
        <v>0</v>
      </c>
      <c r="F426" s="25">
        <f>SUMIFS('Daftar Koreksi'!$H$5:$H$92,'Daftar Koreksi'!$D$5:$D$92,'1600'!A422,'Daftar Koreksi'!$G$5:$G$92,"Tanah",'Daftar Koreksi'!$H$5:$H$92,"&lt;0")-SUMIFS('Daftar Koreksi'!$H$5:$H$92,'Daftar Koreksi'!$D$5:$D$92,'1600'!A422,'Daftar Koreksi'!$G$5:$G$92,"Tanah",'Daftar Koreksi'!$H$5:$H$92,"&lt;0")-SUMIFS('Daftar Koreksi'!$H$5:$H$92,'Daftar Koreksi'!$D$5:$D$92,'1600'!A422,'Daftar Koreksi'!$G$5:$G$92,"Tanah",'Daftar Koreksi'!$H$5:$H$92,"&lt;0")</f>
        <v>0</v>
      </c>
      <c r="G426" s="17">
        <f t="shared" ref="G426:G442" si="19">D426+E426-F426</f>
        <v>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1109274560</v>
      </c>
      <c r="E427" s="25">
        <f>SUMIFS('Daftar Koreksi'!$H$5:$H$92,'Daftar Koreksi'!$D$5:$D$92,'1600'!A422,'Daftar Koreksi'!$G$5:$G$92,"Peralatan dan mesin",'Daftar Koreksi'!$H$5:$H$92,"&gt;0")</f>
        <v>0</v>
      </c>
      <c r="F427" s="25">
        <f>SUMIFS('Daftar Koreksi'!$H$5:$H$92,'Daftar Koreksi'!$D$5:$D$92,'1600'!A422,'Daftar Koreksi'!$G$5:$G$92,"Peralatan dan mesin",'Daftar Koreksi'!$H$5:$H$92,"&lt;0")-SUMIFS('Daftar Koreksi'!$H$5:$H$92,'Daftar Koreksi'!$D$5:$D$92,'1600'!A422,'Daftar Koreksi'!$G$5:$G$92,"Peralatan dan mesin",'Daftar Koreksi'!$H$5:$H$92,"&lt;0")-SUMIFS('Daftar Koreksi'!$H$5:$H$92,'Daftar Koreksi'!$D$5:$D$92,'1600'!A422,'Daftar Koreksi'!$G$5:$G$92,"Peralatan dan mesin",'Daftar Koreksi'!$H$5:$H$92,"&lt;0")</f>
        <v>0</v>
      </c>
      <c r="G427" s="17">
        <f t="shared" si="19"/>
        <v>1109274560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6967761549</v>
      </c>
      <c r="E428" s="25">
        <f>SUMIFS('Daftar Koreksi'!$H$5:$H$92,'Daftar Koreksi'!$D$5:$D$92,'1600'!A422,'Daftar Koreksi'!$G$5:$G$92,"Gedung dan Bangunan",'Daftar Koreksi'!$H$5:$H$92,"&gt;0")</f>
        <v>0</v>
      </c>
      <c r="F428" s="25">
        <f>SUMIFS('Daftar Koreksi'!$H$5:$H$92,'Daftar Koreksi'!$D$5:$D$92,'1600'!A422,'Daftar Koreksi'!$G$5:$G$92,"Gedung dan Bangunan",'Daftar Koreksi'!$H$5:$H$92,"&lt;0")-SUMIFS('Daftar Koreksi'!$H$5:$H$92,'Daftar Koreksi'!$D$5:$D$92,'1600'!A422,'Daftar Koreksi'!$G$5:$G$92,"Gedung dan Bangunan",'Daftar Koreksi'!$H$5:$H$92,"&lt;0")-SUMIFS('Daftar Koreksi'!$H$5:$H$92,'Daftar Koreksi'!$D$5:$D$92,'1600'!A422,'Daftar Koreksi'!$G$5:$G$92,"Gedung dan Bangunan",'Daftar Koreksi'!$H$5:$H$92,"&lt;0")</f>
        <v>0</v>
      </c>
      <c r="G428" s="17">
        <f t="shared" si="19"/>
        <v>6967761549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Koreksi'!$D$5:$D$92,'1600'!A422,'Daftar Koreksi'!$G$5:$G$92,"Jalan Irigasi Jaringan",'Daftar Koreksi'!$H$5:$H$92,"&gt;0")</f>
        <v>0</v>
      </c>
      <c r="F429" s="25">
        <f>SUMIFS('Daftar Koreksi'!$H$5:$H$92,'Daftar Koreksi'!$D$5:$D$92,'1600'!A422,'Daftar Koreksi'!$G$5:$G$92,"Jalan Irigasi Jaringan",'Daftar Koreksi'!$H$5:$H$92,"&lt;0")-SUMIFS('Daftar Koreksi'!$H$5:$H$92,'Daftar Koreksi'!$D$5:$D$92,'1600'!A422,'Daftar Koreksi'!$G$5:$G$92,"Jalan Irigasi Jaringan",'Daftar Koreksi'!$H$5:$H$92,"&lt;0")-SUMIFS('Daftar Koreksi'!$H$5:$H$92,'Daftar Koreksi'!$D$5:$D$92,'1600'!A422,'Daftar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2683400</v>
      </c>
      <c r="E430" s="25">
        <f>SUMIFS('Daftar Koreksi'!$H$5:$H$92,'Daftar Koreksi'!$D$5:$D$92,'1600'!A422,'Daftar Koreksi'!$G$5:$G$92,"Aset Tetap Lainnya",'Daftar Koreksi'!$H$5:$H$92,"&gt;0")</f>
        <v>0</v>
      </c>
      <c r="F430" s="25">
        <f>SUMIFS('Daftar Koreksi'!$H$5:$H$92,'Daftar Koreksi'!$D$5:$D$92,'1600'!A422,'Daftar Koreksi'!$G$5:$G$92,"Aset Tetap Lainnya",'Daftar Koreksi'!$H$5:$H$92,"&lt;0")-SUMIFS('Daftar Koreksi'!$H$5:$H$92,'Daftar Koreksi'!$D$5:$D$92,'1600'!A422,'Daftar Koreksi'!$G$5:$G$92,"Aset Tetap Lainnya",'Daftar Koreksi'!$H$5:$H$92,"&lt;0")-SUMIFS('Daftar Koreksi'!$H$5:$H$92,'Daftar Koreksi'!$D$5:$D$92,'1600'!A422,'Daftar Koreksi'!$G$5:$G$92,"Aset Tetap Lainnya",'Daftar Koreksi'!$H$5:$H$92,"&lt;0")</f>
        <v>0</v>
      </c>
      <c r="G430" s="17">
        <f t="shared" si="19"/>
        <v>2683400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Koreksi'!$D$5:$D$92,'1600'!A422,'Daftar Koreksi'!$G$5:$G$92,"Kontruksi Dalam Pengerjaan",'Daftar Koreksi'!$H$5:$H$92,"&gt;0")</f>
        <v>0</v>
      </c>
      <c r="F431" s="25">
        <f>SUMIFS('Daftar Koreksi'!$H$5:$H$92,'Daftar Koreksi'!$D$5:$D$92,'1600'!A422,'Daftar Koreksi'!$G$5:$G$92,"Kontruksi Dalam Pengerjaan",'Daftar Koreksi'!$H$5:$H$92,"&lt;0")-SUMIFS('Daftar Koreksi'!$H$5:$H$92,'Daftar Koreksi'!$D$5:$D$92,'1600'!A422,'Daftar Koreksi'!$G$5:$G$92,"Kontruksi Dalam Pengerjaan",'Daftar Koreksi'!$H$5:$H$92,"&lt;0")-SUMIFS('Daftar Koreksi'!$H$5:$H$92,'Daftar Koreksi'!$D$5:$D$92,'1600'!A422,'Daftar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Koreksi'!$D$5:$D$92,'1600'!A422,'Daftar Koreksi'!$G$5:$G$92,"Aset Tak Berwujud",'Daftar Koreksi'!$H$5:$H$92,"&gt;0")</f>
        <v>0</v>
      </c>
      <c r="F432" s="25">
        <f>SUMIFS('Daftar Koreksi'!$H$5:$H$92,'Daftar Koreksi'!$D$5:$D$92,'1600'!A422,'Daftar Koreksi'!$G$5:$G$92,"Aset Tak Berwujud",'Daftar Koreksi'!$H$5:$H$92,"&lt;0")-SUMIFS('Daftar Koreksi'!$H$5:$H$92,'Daftar Koreksi'!$D$5:$D$92,'1600'!A422,'Daftar Koreksi'!$G$5:$G$92,"Aset Tak Berwujud",'Daftar Koreksi'!$H$5:$H$92,"&lt;0")-SUMIFS('Daftar Koreksi'!$H$5:$H$92,'Daftar Koreksi'!$D$5:$D$92,'1600'!A422,'Daftar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Koreksi'!$D$5:$D$92,'1600'!A422,'Daftar Koreksi'!$G$5:$G$92,"Aset Henti Guna",'Daftar Koreksi'!$H$5:$H$92,"&gt;0")</f>
        <v>0</v>
      </c>
      <c r="F433" s="25">
        <f>SUMIFS('Daftar Koreksi'!$H$5:$H$92,'Daftar Koreksi'!$D$5:$D$92,'1600'!A422,'Daftar Koreksi'!$G$5:$G$92,"Aset Henti Guna",'Daftar Koreksi'!$H$5:$H$92,"&lt;0")-SUMIFS('Daftar Koreksi'!$H$5:$H$92,'Daftar Koreksi'!$D$5:$D$92,'1600'!A422,'Daftar Koreksi'!$G$5:$G$92,"Aset Henti Guna",'Daftar Koreksi'!$H$5:$H$92,"&lt;0")-SUMIFS('Daftar Koreksi'!$H$5:$H$92,'Daftar Koreksi'!$D$5:$D$92,'1600'!A422,'Daftar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8079903509</v>
      </c>
      <c r="E434" s="19">
        <f>SUM(E425:E433)</f>
        <v>0</v>
      </c>
      <c r="F434" s="19">
        <f>SUM(F425:F433)</f>
        <v>0</v>
      </c>
      <c r="G434" s="19">
        <f t="shared" si="19"/>
        <v>8079903509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-1000894009</v>
      </c>
      <c r="E435" s="25">
        <f>SUMIFS('Daftar Koreksi'!$I$5:$I$92,'Daftar Koreksi'!$D$5:$D$92,'1600'!A422,'Daftar Koreksi'!$G$5:$G$92,"Peralatan dan mesin",'Daftar Koreksi'!$I$5:$I$92,"&gt;0")</f>
        <v>0</v>
      </c>
      <c r="F435" s="25">
        <f>SUMIFS('Daftar Koreksi'!$I$5:$I$92,'Daftar Koreksi'!$D$5:$D$92,'1600'!A422,'Daftar Koreksi'!$G$5:$G$92,"Peralatan dan mesin",'Daftar Koreksi'!$I$5:$I$92,"&lt;0")-SUMIFS('Daftar Koreksi'!$I$5:$I$92,'Daftar Koreksi'!$D$5:$D$92,'1600'!A422,'Daftar Koreksi'!$G$5:$G$92,"Peralatan dan mesin",'Daftar Koreksi'!$I$5:$I$92,"&lt;0")-SUMIFS('Daftar Koreksi'!$I$5:$I$92,'Daftar Koreksi'!$D$5:$D$92,'1600'!A422,'Daftar Koreksi'!$G$5:$G$92,"Peralatan dan mesin",'Daftar Koreksi'!$I$5:$I$92,"&lt;0")</f>
        <v>0</v>
      </c>
      <c r="G435" s="17">
        <f t="shared" si="19"/>
        <v>-1000894009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-645048756</v>
      </c>
      <c r="E436" s="25">
        <f>SUMIFS('Daftar Koreksi'!$I$5:$I$92,'Daftar Koreksi'!$D$5:$D$92,'1600'!A422,'Daftar Koreksi'!$G$5:$G$92,"Gedung dan Bangunan",'Daftar Koreksi'!$I$5:$I$92,"&gt;0")</f>
        <v>0</v>
      </c>
      <c r="F436" s="25">
        <f>SUMIFS('Daftar Koreksi'!$I$5:$I$92,'Daftar Koreksi'!$D$5:$D$92,'1600'!A422,'Daftar Koreksi'!$G$5:$G$92,"Gedung dan Bangunan",'Daftar Koreksi'!$I$5:$I$92,"&lt;0")-SUMIFS('Daftar Koreksi'!$I$5:$I$92,'Daftar Koreksi'!$D$5:$D$92,'1600'!A422,'Daftar Koreksi'!$G$5:$G$92,"Gedung dan Bangunan",'Daftar Koreksi'!$I$5:$I$92,"&lt;0")-SUMIFS('Daftar Koreksi'!$I$5:$I$92,'Daftar Koreksi'!$D$5:$D$92,'1600'!A422,'Daftar Koreksi'!$G$5:$G$92,"Gedung dan Bangunan",'Daftar Koreksi'!$I$5:$I$92,"&lt;0")</f>
        <v>0</v>
      </c>
      <c r="G436" s="17">
        <f t="shared" si="19"/>
        <v>-645048756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Koreksi'!$D$5:$D$92,'1600'!A422,'Daftar Koreksi'!$G$5:$G$92,"Jalan Irigasi Jaringan",'Daftar Koreksi'!$I$5:$I$92,"&gt;0")</f>
        <v>0</v>
      </c>
      <c r="F437" s="25">
        <f>SUMIFS('Daftar Koreksi'!$I$5:$I$92,'Daftar Koreksi'!$D$5:$D$92,'1600'!A422,'Daftar Koreksi'!$G$5:$G$92,"Jalan Irigasi Jaringan",'Daftar Koreksi'!$I$5:$I$92,"&lt;0")-SUMIFS('Daftar Koreksi'!$I$5:$I$92,'Daftar Koreksi'!$D$5:$D$92,'1600'!A422,'Daftar Koreksi'!$G$5:$G$92,"Jalan Irigasi Jaringan",'Daftar Koreksi'!$I$5:$I$92,"&lt;0")-SUMIFS('Daftar Koreksi'!$I$5:$I$92,'Daftar Koreksi'!$D$5:$D$92,'1600'!A422,'Daftar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Koreksi'!$D$5:$D$92,'1600'!A422,'Daftar Koreksi'!$G$5:$G$92,"Aset Tetap Lainnya",'Daftar Koreksi'!$I$5:$I$92,"&gt;0")</f>
        <v>0</v>
      </c>
      <c r="F438" s="25">
        <f>SUMIFS('Daftar Koreksi'!$I$5:$I$92,'Daftar Koreksi'!$D$5:$D$92,'1600'!A422,'Daftar Koreksi'!$G$5:$G$92,"Aset Tetap Lainnya",'Daftar Koreksi'!$I$5:$I$92,"&lt;0")-SUMIFS('Daftar Koreksi'!$I$5:$I$92,'Daftar Koreksi'!$D$5:$D$92,'1600'!A422,'Daftar Koreksi'!$G$5:$G$92,"Aset Tetap Lainnya",'Daftar Koreksi'!$I$5:$I$92,"&lt;0")-SUMIFS('Daftar Koreksi'!$I$5:$I$92,'Daftar Koreksi'!$D$5:$D$92,'1600'!A422,'Daftar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Koreksi'!$D$5:$D$92,'1600'!A422,'Daftar Koreksi'!$G$5:$G$92,"Aset Henti Guna",'Daftar Koreksi'!$I$5:$I$92,"&gt;0")</f>
        <v>0</v>
      </c>
      <c r="F439" s="25">
        <f>SUMIFS('Daftar Koreksi'!$I$5:$I$92,'Daftar Koreksi'!$D$5:$D$92,'1600'!A422,'Daftar Koreksi'!$G$5:$G$92,"Aset Henti Guna",'Daftar Koreksi'!$I$5:$I$92,"&lt;0")-SUMIFS('Daftar Koreksi'!$I$5:$I$92,'Daftar Koreksi'!$D$5:$D$92,'1600'!A422,'Daftar Koreksi'!$G$5:$G$92,"Aset Henti Guna",'Daftar Koreksi'!$I$5:$I$92,"&lt;0")-SUMIFS('Daftar Koreksi'!$I$5:$I$92,'Daftar Koreksi'!$D$5:$D$92,'1600'!A422,'Daftar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-1645942765</v>
      </c>
      <c r="E440" s="19">
        <f>SUM(E435:E439)</f>
        <v>0</v>
      </c>
      <c r="F440" s="19">
        <f>SUM(F435:F439)</f>
        <v>0</v>
      </c>
      <c r="G440" s="19">
        <f t="shared" si="19"/>
        <v>-1645942765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6433960744</v>
      </c>
      <c r="E441" s="19">
        <f>E440+E434</f>
        <v>0</v>
      </c>
      <c r="F441" s="19">
        <f>F440+F434</f>
        <v>0</v>
      </c>
      <c r="G441" s="19">
        <f t="shared" si="19"/>
        <v>6433960744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005011600652097000KD</v>
      </c>
      <c r="B444" s="11" t="str">
        <f>P21</f>
        <v>PA. Sangatta</v>
      </c>
      <c r="C444" s="12" t="str">
        <f>A444&amp;" "&amp;B444</f>
        <v>005011600652097000KD PA. Sangatta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1946859</v>
      </c>
      <c r="E447" s="25">
        <f>SUMIFS('Daftar Koreksi'!$H$5:$H$92,'Daftar Koreksi'!$D$5:$D$92,'1600'!A444,'Daftar Koreksi'!$G$5:$G$92,"Persediaan",'Daftar Koreksi'!$H$5:$H$92,"&gt;0")</f>
        <v>0</v>
      </c>
      <c r="F447" s="25">
        <f>SUMIFS('Daftar Koreksi'!$H$5:$H$92,'Daftar Koreksi'!$D$5:$D$92,'1600'!A444,'Daftar Koreksi'!$G$5:$G$92,"Persediaan",'Daftar Koreksi'!$H$5:$H$92,"&lt;0")-SUMIFS('Daftar Koreksi'!$H$5:$H$92,'Daftar Koreksi'!$D$5:$D$92,'1600'!A444,'Daftar Koreksi'!$G$5:$G$92,"Persediaan",'Daftar Koreksi'!$H$5:$H$92,"&lt;0")-SUMIFS('Daftar Koreksi'!$H$5:$H$92,'Daftar Koreksi'!$D$5:$D$92,'1600'!A444,'Daftar Koreksi'!$G$5:$G$92,"Persediaan",'Daftar Koreksi'!$H$5:$H$92,"&lt;0")</f>
        <v>0</v>
      </c>
      <c r="G447" s="17">
        <f>D447+E447-F447</f>
        <v>1946859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0</v>
      </c>
      <c r="E448" s="25">
        <f>SUMIFS('Daftar Koreksi'!$H$5:$H$92,'Daftar Koreksi'!$D$5:$D$92,'1600'!A444,'Daftar Koreksi'!$G$5:$G$92,"Tanah",'Daftar Koreksi'!$H$5:$H$92,"&gt;0")</f>
        <v>0</v>
      </c>
      <c r="F448" s="25">
        <f>SUMIFS('Daftar Koreksi'!$H$5:$H$92,'Daftar Koreksi'!$D$5:$D$92,'1600'!A444,'Daftar Koreksi'!$G$5:$G$92,"Tanah",'Daftar Koreksi'!$H$5:$H$92,"&lt;0")-SUMIFS('Daftar Koreksi'!$H$5:$H$92,'Daftar Koreksi'!$D$5:$D$92,'1600'!A444,'Daftar Koreksi'!$G$5:$G$92,"Tanah",'Daftar Koreksi'!$H$5:$H$92,"&lt;0")-SUMIFS('Daftar Koreksi'!$H$5:$H$92,'Daftar Koreksi'!$D$5:$D$92,'1600'!A444,'Daftar Koreksi'!$G$5:$G$92,"Tanah",'Daftar Koreksi'!$H$5:$H$92,"&lt;0")</f>
        <v>0</v>
      </c>
      <c r="G448" s="17">
        <f t="shared" ref="G448:G464" si="20">D448+E448-F448</f>
        <v>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1053181867</v>
      </c>
      <c r="E449" s="25">
        <f>SUMIFS('Daftar Koreksi'!$H$5:$H$92,'Daftar Koreksi'!$D$5:$D$92,'1600'!A444,'Daftar Koreksi'!$G$5:$G$92,"Peralatan dan mesin",'Daftar Koreksi'!$H$5:$H$92,"&gt;0")</f>
        <v>0</v>
      </c>
      <c r="F449" s="25">
        <f>SUMIFS('Daftar Koreksi'!$H$5:$H$92,'Daftar Koreksi'!$D$5:$D$92,'1600'!A444,'Daftar Koreksi'!$G$5:$G$92,"Peralatan dan mesin",'Daftar Koreksi'!$H$5:$H$92,"&lt;0")-SUMIFS('Daftar Koreksi'!$H$5:$H$92,'Daftar Koreksi'!$D$5:$D$92,'1600'!A444,'Daftar Koreksi'!$G$5:$G$92,"Peralatan dan mesin",'Daftar Koreksi'!$H$5:$H$92,"&lt;0")-SUMIFS('Daftar Koreksi'!$H$5:$H$92,'Daftar Koreksi'!$D$5:$D$92,'1600'!A444,'Daftar Koreksi'!$G$5:$G$92,"Peralatan dan mesin",'Daftar Koreksi'!$H$5:$H$92,"&lt;0")</f>
        <v>0</v>
      </c>
      <c r="G449" s="17">
        <f t="shared" si="20"/>
        <v>1053181867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3474009000</v>
      </c>
      <c r="E450" s="25">
        <f>SUMIFS('Daftar Koreksi'!$H$5:$H$92,'Daftar Koreksi'!$D$5:$D$92,'1600'!A444,'Daftar Koreksi'!$G$5:$G$92,"Gedung dan Bangunan",'Daftar Koreksi'!$H$5:$H$92,"&gt;0")</f>
        <v>0</v>
      </c>
      <c r="F450" s="25">
        <f>SUMIFS('Daftar Koreksi'!$H$5:$H$92,'Daftar Koreksi'!$D$5:$D$92,'1600'!A444,'Daftar Koreksi'!$G$5:$G$92,"Gedung dan Bangunan",'Daftar Koreksi'!$H$5:$H$92,"&lt;0")-SUMIFS('Daftar Koreksi'!$H$5:$H$92,'Daftar Koreksi'!$D$5:$D$92,'1600'!A444,'Daftar Koreksi'!$G$5:$G$92,"Gedung dan Bangunan",'Daftar Koreksi'!$H$5:$H$92,"&lt;0")-SUMIFS('Daftar Koreksi'!$H$5:$H$92,'Daftar Koreksi'!$D$5:$D$92,'1600'!A444,'Daftar Koreksi'!$G$5:$G$92,"Gedung dan Bangunan",'Daftar Koreksi'!$H$5:$H$92,"&lt;0")</f>
        <v>0</v>
      </c>
      <c r="G450" s="17">
        <f t="shared" si="20"/>
        <v>3474009000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Koreksi'!$D$5:$D$92,'1600'!A444,'Daftar Koreksi'!$G$5:$G$92,"Jalan Irigasi Jaringan",'Daftar Koreksi'!$H$5:$H$92,"&gt;0")</f>
        <v>0</v>
      </c>
      <c r="F451" s="25">
        <f>SUMIFS('Daftar Koreksi'!$H$5:$H$92,'Daftar Koreksi'!$D$5:$D$92,'1600'!A444,'Daftar Koreksi'!$G$5:$G$92,"Jalan Irigasi Jaringan",'Daftar Koreksi'!$H$5:$H$92,"&lt;0")-SUMIFS('Daftar Koreksi'!$H$5:$H$92,'Daftar Koreksi'!$D$5:$D$92,'1600'!A444,'Daftar Koreksi'!$G$5:$G$92,"Jalan Irigasi Jaringan",'Daftar Koreksi'!$H$5:$H$92,"&lt;0")-SUMIFS('Daftar Koreksi'!$H$5:$H$92,'Daftar Koreksi'!$D$5:$D$92,'1600'!A444,'Daftar Koreksi'!$G$5:$G$92,"Jalan Irigasi Jaringan",'Daftar Koreksi'!$H$5:$H$92,"&lt;0")</f>
        <v>0</v>
      </c>
      <c r="G451" s="17">
        <f t="shared" si="20"/>
        <v>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2683400</v>
      </c>
      <c r="E452" s="25">
        <f>SUMIFS('Daftar Koreksi'!$H$5:$H$92,'Daftar Koreksi'!$D$5:$D$92,'1600'!A444,'Daftar Koreksi'!$G$5:$G$92,"Aset Tetap Lainnya",'Daftar Koreksi'!$H$5:$H$92,"&gt;0")</f>
        <v>0</v>
      </c>
      <c r="F452" s="25">
        <f>SUMIFS('Daftar Koreksi'!$H$5:$H$92,'Daftar Koreksi'!$D$5:$D$92,'1600'!A444,'Daftar Koreksi'!$G$5:$G$92,"Aset Tetap Lainnya",'Daftar Koreksi'!$H$5:$H$92,"&lt;0")-SUMIFS('Daftar Koreksi'!$H$5:$H$92,'Daftar Koreksi'!$D$5:$D$92,'1600'!A444,'Daftar Koreksi'!$G$5:$G$92,"Aset Tetap Lainnya",'Daftar Koreksi'!$H$5:$H$92,"&lt;0")-SUMIFS('Daftar Koreksi'!$H$5:$H$92,'Daftar Koreksi'!$D$5:$D$92,'1600'!A444,'Daftar Koreksi'!$G$5:$G$92,"Aset Tetap Lainnya",'Daftar Koreksi'!$H$5:$H$92,"&lt;0")</f>
        <v>0</v>
      </c>
      <c r="G452" s="17">
        <f t="shared" si="20"/>
        <v>2683400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Koreksi'!$D$5:$D$92,'1600'!A444,'Daftar Koreksi'!$G$5:$G$92,"Kontruksi Dalam Pengerjaan",'Daftar Koreksi'!$H$5:$H$92,"&gt;0")</f>
        <v>0</v>
      </c>
      <c r="F453" s="25">
        <f>SUMIFS('Daftar Koreksi'!$H$5:$H$92,'Daftar Koreksi'!$D$5:$D$92,'1600'!A444,'Daftar Koreksi'!$G$5:$G$92,"Kontruksi Dalam Pengerjaan",'Daftar Koreksi'!$H$5:$H$92,"&lt;0")-SUMIFS('Daftar Koreksi'!$H$5:$H$92,'Daftar Koreksi'!$D$5:$D$92,'1600'!A444,'Daftar Koreksi'!$G$5:$G$92,"Kontruksi Dalam Pengerjaan",'Daftar Koreksi'!$H$5:$H$92,"&lt;0")-SUMIFS('Daftar Koreksi'!$H$5:$H$92,'Daftar Koreksi'!$D$5:$D$92,'1600'!A444,'Daftar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Koreksi'!$D$5:$D$92,'1600'!A444,'Daftar Koreksi'!$G$5:$G$92,"Aset Tak Berwujud",'Daftar Koreksi'!$H$5:$H$92,"&gt;0")</f>
        <v>0</v>
      </c>
      <c r="F454" s="25">
        <f>SUMIFS('Daftar Koreksi'!$H$5:$H$92,'Daftar Koreksi'!$D$5:$D$92,'1600'!A444,'Daftar Koreksi'!$G$5:$G$92,"Aset Tak Berwujud",'Daftar Koreksi'!$H$5:$H$92,"&lt;0")-SUMIFS('Daftar Koreksi'!$H$5:$H$92,'Daftar Koreksi'!$D$5:$D$92,'1600'!A444,'Daftar Koreksi'!$G$5:$G$92,"Aset Tak Berwujud",'Daftar Koreksi'!$H$5:$H$92,"&lt;0")-SUMIFS('Daftar Koreksi'!$H$5:$H$92,'Daftar Koreksi'!$D$5:$D$92,'1600'!A444,'Daftar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Koreksi'!$D$5:$D$92,'1600'!A444,'Daftar Koreksi'!$G$5:$G$92,"Aset Henti Guna",'Daftar Koreksi'!$H$5:$H$92,"&gt;0")</f>
        <v>0</v>
      </c>
      <c r="F455" s="25">
        <f>SUMIFS('Daftar Koreksi'!$H$5:$H$92,'Daftar Koreksi'!$D$5:$D$92,'1600'!A444,'Daftar Koreksi'!$G$5:$G$92,"Aset Henti Guna",'Daftar Koreksi'!$H$5:$H$92,"&lt;0")-SUMIFS('Daftar Koreksi'!$H$5:$H$92,'Daftar Koreksi'!$D$5:$D$92,'1600'!A444,'Daftar Koreksi'!$G$5:$G$92,"Aset Henti Guna",'Daftar Koreksi'!$H$5:$H$92,"&lt;0")-SUMIFS('Daftar Koreksi'!$H$5:$H$92,'Daftar Koreksi'!$D$5:$D$92,'1600'!A444,'Daftar Koreksi'!$G$5:$G$92,"Aset Henti Guna",'Daftar Koreksi'!$H$5:$H$92,"&lt;0")</f>
        <v>0</v>
      </c>
      <c r="G455" s="17">
        <f t="shared" si="20"/>
        <v>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4531821126</v>
      </c>
      <c r="E456" s="19">
        <f>SUM(E447:E455)</f>
        <v>0</v>
      </c>
      <c r="F456" s="19">
        <f>SUM(F447:F455)</f>
        <v>0</v>
      </c>
      <c r="G456" s="19">
        <f t="shared" si="20"/>
        <v>4531821126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-965408717</v>
      </c>
      <c r="E457" s="25">
        <f>SUMIFS('Daftar Koreksi'!$I$5:$I$92,'Daftar Koreksi'!$D$5:$D$92,'1600'!A444,'Daftar Koreksi'!$G$5:$G$92,"Peralatan dan mesin",'Daftar Koreksi'!$I$5:$I$92,"&gt;0")</f>
        <v>0</v>
      </c>
      <c r="F457" s="25">
        <f>SUMIFS('Daftar Koreksi'!$I$5:$I$92,'Daftar Koreksi'!$D$5:$D$92,'1600'!A444,'Daftar Koreksi'!$G$5:$G$92,"Peralatan dan mesin",'Daftar Koreksi'!$I$5:$I$92,"&lt;0")-SUMIFS('Daftar Koreksi'!$I$5:$I$92,'Daftar Koreksi'!$D$5:$D$92,'1600'!A444,'Daftar Koreksi'!$G$5:$G$92,"Peralatan dan mesin",'Daftar Koreksi'!$I$5:$I$92,"&lt;0")-SUMIFS('Daftar Koreksi'!$I$5:$I$92,'Daftar Koreksi'!$D$5:$D$92,'1600'!A444,'Daftar Koreksi'!$G$5:$G$92,"Peralatan dan mesin",'Daftar Koreksi'!$I$5:$I$92,"&lt;0")</f>
        <v>0</v>
      </c>
      <c r="G457" s="17">
        <f t="shared" si="20"/>
        <v>-965408717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-661933710</v>
      </c>
      <c r="E458" s="25">
        <f>SUMIFS('Daftar Koreksi'!$I$5:$I$92,'Daftar Koreksi'!$D$5:$D$92,'1600'!A444,'Daftar Koreksi'!$G$5:$G$92,"Gedung dan Bangunan",'Daftar Koreksi'!$I$5:$I$92,"&gt;0")</f>
        <v>0</v>
      </c>
      <c r="F458" s="25">
        <f>SUMIFS('Daftar Koreksi'!$I$5:$I$92,'Daftar Koreksi'!$D$5:$D$92,'1600'!A444,'Daftar Koreksi'!$G$5:$G$92,"Gedung dan Bangunan",'Daftar Koreksi'!$I$5:$I$92,"&lt;0")-SUMIFS('Daftar Koreksi'!$I$5:$I$92,'Daftar Koreksi'!$D$5:$D$92,'1600'!A444,'Daftar Koreksi'!$G$5:$G$92,"Gedung dan Bangunan",'Daftar Koreksi'!$I$5:$I$92,"&lt;0")-SUMIFS('Daftar Koreksi'!$I$5:$I$92,'Daftar Koreksi'!$D$5:$D$92,'1600'!A444,'Daftar Koreksi'!$G$5:$G$92,"Gedung dan Bangunan",'Daftar Koreksi'!$I$5:$I$92,"&lt;0")</f>
        <v>0</v>
      </c>
      <c r="G458" s="17">
        <f t="shared" si="20"/>
        <v>-661933710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Koreksi'!$D$5:$D$92,'1600'!A444,'Daftar Koreksi'!$G$5:$G$92,"Jalan Irigasi Jaringan",'Daftar Koreksi'!$I$5:$I$92,"&gt;0")</f>
        <v>0</v>
      </c>
      <c r="F459" s="25">
        <f>SUMIFS('Daftar Koreksi'!$I$5:$I$92,'Daftar Koreksi'!$D$5:$D$92,'1600'!A444,'Daftar Koreksi'!$G$5:$G$92,"Jalan Irigasi Jaringan",'Daftar Koreksi'!$I$5:$I$92,"&lt;0")-SUMIFS('Daftar Koreksi'!$I$5:$I$92,'Daftar Koreksi'!$D$5:$D$92,'1600'!A444,'Daftar Koreksi'!$G$5:$G$92,"Jalan Irigasi Jaringan",'Daftar Koreksi'!$I$5:$I$92,"&lt;0")-SUMIFS('Daftar Koreksi'!$I$5:$I$92,'Daftar Koreksi'!$D$5:$D$92,'1600'!A444,'Daftar Koreksi'!$G$5:$G$92,"Jalan Irigasi Jaringan",'Daftar Koreksi'!$I$5:$I$92,"&lt;0")</f>
        <v>0</v>
      </c>
      <c r="G459" s="17">
        <f t="shared" si="20"/>
        <v>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Koreksi'!$D$5:$D$92,'1600'!A444,'Daftar Koreksi'!$G$5:$G$92,"Aset Tetap Lainnya",'Daftar Koreksi'!$I$5:$I$92,"&gt;0")</f>
        <v>0</v>
      </c>
      <c r="F460" s="25">
        <f>SUMIFS('Daftar Koreksi'!$I$5:$I$92,'Daftar Koreksi'!$D$5:$D$92,'1600'!A444,'Daftar Koreksi'!$G$5:$G$92,"Aset Tetap Lainnya",'Daftar Koreksi'!$I$5:$I$92,"&lt;0")-SUMIFS('Daftar Koreksi'!$I$5:$I$92,'Daftar Koreksi'!$D$5:$D$92,'1600'!A444,'Daftar Koreksi'!$G$5:$G$92,"Aset Tetap Lainnya",'Daftar Koreksi'!$I$5:$I$92,"&lt;0")-SUMIFS('Daftar Koreksi'!$I$5:$I$92,'Daftar Koreksi'!$D$5:$D$92,'1600'!A444,'Daftar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Koreksi'!$D$5:$D$92,'1600'!A444,'Daftar Koreksi'!$G$5:$G$92,"Aset Henti Guna",'Daftar Koreksi'!$I$5:$I$92,"&gt;0")</f>
        <v>0</v>
      </c>
      <c r="F461" s="25">
        <f>SUMIFS('Daftar Koreksi'!$I$5:$I$92,'Daftar Koreksi'!$D$5:$D$92,'1600'!A444,'Daftar Koreksi'!$G$5:$G$92,"Aset Henti Guna",'Daftar Koreksi'!$I$5:$I$92,"&lt;0")-SUMIFS('Daftar Koreksi'!$I$5:$I$92,'Daftar Koreksi'!$D$5:$D$92,'1600'!A444,'Daftar Koreksi'!$G$5:$G$92,"Aset Henti Guna",'Daftar Koreksi'!$I$5:$I$92,"&lt;0")-SUMIFS('Daftar Koreksi'!$I$5:$I$92,'Daftar Koreksi'!$D$5:$D$92,'1600'!A444,'Daftar Koreksi'!$G$5:$G$92,"Aset Henti Guna",'Daftar Koreksi'!$I$5:$I$92,"&lt;0")</f>
        <v>0</v>
      </c>
      <c r="G461" s="17">
        <f t="shared" si="20"/>
        <v>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-1627342427</v>
      </c>
      <c r="E462" s="19">
        <f>SUM(E457:E461)</f>
        <v>0</v>
      </c>
      <c r="F462" s="19">
        <f>SUM(F457:F461)</f>
        <v>0</v>
      </c>
      <c r="G462" s="19">
        <f t="shared" si="20"/>
        <v>-1627342427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2904478699</v>
      </c>
      <c r="E463" s="19">
        <f>E462+E456</f>
        <v>0</v>
      </c>
      <c r="F463" s="19">
        <f>F462+F456</f>
        <v>0</v>
      </c>
      <c r="G463" s="19">
        <f t="shared" si="20"/>
        <v>2904478699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005011600662972000KD</v>
      </c>
      <c r="B466" s="11" t="str">
        <f>P22</f>
        <v>PN. Bontang</v>
      </c>
      <c r="C466" s="12" t="str">
        <f>A466&amp;" "&amp;B466</f>
        <v>005011600662972000KD PN. Bontang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862500</v>
      </c>
      <c r="E469" s="25">
        <f>SUMIFS('Daftar Koreksi'!$H$5:$H$92,'Daftar Koreksi'!$D$5:$D$92,'1600'!A466,'Daftar Koreksi'!$G$5:$G$92,"Persediaan",'Daftar Koreksi'!$H$5:$H$92,"&gt;0")</f>
        <v>0</v>
      </c>
      <c r="F469" s="25">
        <f>SUMIFS('Daftar Koreksi'!$H$5:$H$92,'Daftar Koreksi'!$D$5:$D$92,'1600'!A466,'Daftar Koreksi'!$G$5:$G$92,"Persediaan",'Daftar Koreksi'!$H$5:$H$92,"&lt;0")-SUMIFS('Daftar Koreksi'!$H$5:$H$92,'Daftar Koreksi'!$D$5:$D$92,'1600'!A466,'Daftar Koreksi'!$G$5:$G$92,"Persediaan",'Daftar Koreksi'!$H$5:$H$92,"&lt;0")-SUMIFS('Daftar Koreksi'!$H$5:$H$92,'Daftar Koreksi'!$D$5:$D$92,'1600'!A466,'Daftar Koreksi'!$G$5:$G$92,"Persediaan",'Daftar Koreksi'!$H$5:$H$92,"&lt;0")</f>
        <v>0</v>
      </c>
      <c r="G469" s="17">
        <f>D469+E469-F469</f>
        <v>862500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1848436500</v>
      </c>
      <c r="E470" s="25">
        <f>SUMIFS('Daftar Koreksi'!$H$5:$H$92,'Daftar Koreksi'!$D$5:$D$92,'1600'!A466,'Daftar Koreksi'!$G$5:$G$92,"Tanah",'Daftar Koreksi'!$H$5:$H$92,"&gt;0")</f>
        <v>0</v>
      </c>
      <c r="F470" s="25">
        <f>SUMIFS('Daftar Koreksi'!$H$5:$H$92,'Daftar Koreksi'!$D$5:$D$92,'1600'!A466,'Daftar Koreksi'!$G$5:$G$92,"Tanah",'Daftar Koreksi'!$H$5:$H$92,"&lt;0")-SUMIFS('Daftar Koreksi'!$H$5:$H$92,'Daftar Koreksi'!$D$5:$D$92,'1600'!A466,'Daftar Koreksi'!$G$5:$G$92,"Tanah",'Daftar Koreksi'!$H$5:$H$92,"&lt;0")-SUMIFS('Daftar Koreksi'!$H$5:$H$92,'Daftar Koreksi'!$D$5:$D$92,'1600'!A466,'Daftar Koreksi'!$G$5:$G$92,"Tanah",'Daftar Koreksi'!$H$5:$H$92,"&lt;0")</f>
        <v>0</v>
      </c>
      <c r="G470" s="17">
        <f t="shared" ref="G470:G486" si="21">D470+E470-F470</f>
        <v>1848436500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1476426896</v>
      </c>
      <c r="E471" s="25">
        <f>SUMIFS('Daftar Koreksi'!$H$5:$H$92,'Daftar Koreksi'!$D$5:$D$92,'1600'!A466,'Daftar Koreksi'!$G$5:$G$92,"Peralatan dan mesin",'Daftar Koreksi'!$H$5:$H$92,"&gt;0")</f>
        <v>0</v>
      </c>
      <c r="F471" s="25">
        <f>SUMIFS('Daftar Koreksi'!$H$5:$H$92,'Daftar Koreksi'!$D$5:$D$92,'1600'!A466,'Daftar Koreksi'!$G$5:$G$92,"Peralatan dan mesin",'Daftar Koreksi'!$H$5:$H$92,"&lt;0")-SUMIFS('Daftar Koreksi'!$H$5:$H$92,'Daftar Koreksi'!$D$5:$D$92,'1600'!A466,'Daftar Koreksi'!$G$5:$G$92,"Peralatan dan mesin",'Daftar Koreksi'!$H$5:$H$92,"&lt;0")-SUMIFS('Daftar Koreksi'!$H$5:$H$92,'Daftar Koreksi'!$D$5:$D$92,'1600'!A466,'Daftar Koreksi'!$G$5:$G$92,"Peralatan dan mesin",'Daftar Koreksi'!$H$5:$H$92,"&lt;0")</f>
        <v>0</v>
      </c>
      <c r="G471" s="17">
        <f t="shared" si="21"/>
        <v>1476426896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2557659506</v>
      </c>
      <c r="E472" s="25">
        <f>SUMIFS('Daftar Koreksi'!$H$5:$H$92,'Daftar Koreksi'!$D$5:$D$92,'1600'!A466,'Daftar Koreksi'!$G$5:$G$92,"Gedung dan Bangunan",'Daftar Koreksi'!$H$5:$H$92,"&gt;0")</f>
        <v>0</v>
      </c>
      <c r="F472" s="25">
        <f>SUMIFS('Daftar Koreksi'!$H$5:$H$92,'Daftar Koreksi'!$D$5:$D$92,'1600'!A466,'Daftar Koreksi'!$G$5:$G$92,"Gedung dan Bangunan",'Daftar Koreksi'!$H$5:$H$92,"&lt;0")-SUMIFS('Daftar Koreksi'!$H$5:$H$92,'Daftar Koreksi'!$D$5:$D$92,'1600'!A466,'Daftar Koreksi'!$G$5:$G$92,"Gedung dan Bangunan",'Daftar Koreksi'!$H$5:$H$92,"&lt;0")-SUMIFS('Daftar Koreksi'!$H$5:$H$92,'Daftar Koreksi'!$D$5:$D$92,'1600'!A466,'Daftar Koreksi'!$G$5:$G$92,"Gedung dan Bangunan",'Daftar Koreksi'!$H$5:$H$92,"&lt;0")</f>
        <v>0</v>
      </c>
      <c r="G472" s="17">
        <f t="shared" si="21"/>
        <v>2557659506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Koreksi'!$D$5:$D$92,'1600'!A466,'Daftar Koreksi'!$G$5:$G$92,"Jalan Irigasi Jaringan",'Daftar Koreksi'!$H$5:$H$92,"&gt;0")</f>
        <v>0</v>
      </c>
      <c r="F473" s="25">
        <f>SUMIFS('Daftar Koreksi'!$H$5:$H$92,'Daftar Koreksi'!$D$5:$D$92,'1600'!A466,'Daftar Koreksi'!$G$5:$G$92,"Jalan Irigasi Jaringan",'Daftar Koreksi'!$H$5:$H$92,"&lt;0")-SUMIFS('Daftar Koreksi'!$H$5:$H$92,'Daftar Koreksi'!$D$5:$D$92,'1600'!A466,'Daftar Koreksi'!$G$5:$G$92,"Jalan Irigasi Jaringan",'Daftar Koreksi'!$H$5:$H$92,"&lt;0")-SUMIFS('Daftar Koreksi'!$H$5:$H$92,'Daftar Koreksi'!$D$5:$D$92,'1600'!A466,'Daftar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4626840</v>
      </c>
      <c r="E474" s="25">
        <f>SUMIFS('Daftar Koreksi'!$H$5:$H$92,'Daftar Koreksi'!$D$5:$D$92,'1600'!A466,'Daftar Koreksi'!$G$5:$G$92,"Aset Tetap Lainnya",'Daftar Koreksi'!$H$5:$H$92,"&gt;0")</f>
        <v>0</v>
      </c>
      <c r="F474" s="25">
        <f>SUMIFS('Daftar Koreksi'!$H$5:$H$92,'Daftar Koreksi'!$D$5:$D$92,'1600'!A466,'Daftar Koreksi'!$G$5:$G$92,"Aset Tetap Lainnya",'Daftar Koreksi'!$H$5:$H$92,"&lt;0")-SUMIFS('Daftar Koreksi'!$H$5:$H$92,'Daftar Koreksi'!$D$5:$D$92,'1600'!A466,'Daftar Koreksi'!$G$5:$G$92,"Aset Tetap Lainnya",'Daftar Koreksi'!$H$5:$H$92,"&lt;0")-SUMIFS('Daftar Koreksi'!$H$5:$H$92,'Daftar Koreksi'!$D$5:$D$92,'1600'!A466,'Daftar Koreksi'!$G$5:$G$92,"Aset Tetap Lainnya",'Daftar Koreksi'!$H$5:$H$92,"&lt;0")</f>
        <v>0</v>
      </c>
      <c r="G474" s="17">
        <f t="shared" si="21"/>
        <v>4626840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Koreksi'!$D$5:$D$92,'1600'!A466,'Daftar Koreksi'!$G$5:$G$92,"Kontruksi Dalam Pengerjaan",'Daftar Koreksi'!$H$5:$H$92,"&gt;0")</f>
        <v>0</v>
      </c>
      <c r="F475" s="25">
        <f>SUMIFS('Daftar Koreksi'!$H$5:$H$92,'Daftar Koreksi'!$D$5:$D$92,'1600'!A466,'Daftar Koreksi'!$G$5:$G$92,"Kontruksi Dalam Pengerjaan",'Daftar Koreksi'!$H$5:$H$92,"&lt;0")-SUMIFS('Daftar Koreksi'!$H$5:$H$92,'Daftar Koreksi'!$D$5:$D$92,'1600'!A466,'Daftar Koreksi'!$G$5:$G$92,"Kontruksi Dalam Pengerjaan",'Daftar Koreksi'!$H$5:$H$92,"&lt;0")-SUMIFS('Daftar Koreksi'!$H$5:$H$92,'Daftar Koreksi'!$D$5:$D$92,'1600'!A466,'Daftar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Koreksi'!$D$5:$D$92,'1600'!A466,'Daftar Koreksi'!$G$5:$G$92,"Aset Tak Berwujud",'Daftar Koreksi'!$H$5:$H$92,"&gt;0")</f>
        <v>0</v>
      </c>
      <c r="F476" s="25">
        <f>SUMIFS('Daftar Koreksi'!$H$5:$H$92,'Daftar Koreksi'!$D$5:$D$92,'1600'!A466,'Daftar Koreksi'!$G$5:$G$92,"Aset Tak Berwujud",'Daftar Koreksi'!$H$5:$H$92,"&lt;0")-SUMIFS('Daftar Koreksi'!$H$5:$H$92,'Daftar Koreksi'!$D$5:$D$92,'1600'!A466,'Daftar Koreksi'!$G$5:$G$92,"Aset Tak Berwujud",'Daftar Koreksi'!$H$5:$H$92,"&lt;0")-SUMIFS('Daftar Koreksi'!$H$5:$H$92,'Daftar Koreksi'!$D$5:$D$92,'1600'!A466,'Daftar Koreksi'!$G$5:$G$92,"Aset Tak Berwujud",'Daftar Koreksi'!$H$5:$H$92,"&lt;0")</f>
        <v>0</v>
      </c>
      <c r="G476" s="17">
        <f t="shared" si="21"/>
        <v>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0</v>
      </c>
      <c r="E477" s="25">
        <f>SUMIFS('Daftar Koreksi'!$H$5:$H$92,'Daftar Koreksi'!$D$5:$D$92,'1600'!A466,'Daftar Koreksi'!$G$5:$G$92,"Aset Henti Guna",'Daftar Koreksi'!$H$5:$H$92,"&gt;0")</f>
        <v>0</v>
      </c>
      <c r="F477" s="25">
        <f>SUMIFS('Daftar Koreksi'!$H$5:$H$92,'Daftar Koreksi'!$D$5:$D$92,'1600'!A466,'Daftar Koreksi'!$G$5:$G$92,"Aset Henti Guna",'Daftar Koreksi'!$H$5:$H$92,"&lt;0")-SUMIFS('Daftar Koreksi'!$H$5:$H$92,'Daftar Koreksi'!$D$5:$D$92,'1600'!A466,'Daftar Koreksi'!$G$5:$G$92,"Aset Henti Guna",'Daftar Koreksi'!$H$5:$H$92,"&lt;0")-SUMIFS('Daftar Koreksi'!$H$5:$H$92,'Daftar Koreksi'!$D$5:$D$92,'1600'!A466,'Daftar Koreksi'!$G$5:$G$92,"Aset Henti Guna",'Daftar Koreksi'!$H$5:$H$92,"&lt;0")</f>
        <v>0</v>
      </c>
      <c r="G477" s="17">
        <f t="shared" si="21"/>
        <v>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5888012242</v>
      </c>
      <c r="E478" s="19">
        <f>SUM(E469:E477)</f>
        <v>0</v>
      </c>
      <c r="F478" s="19">
        <f>SUM(F469:F477)</f>
        <v>0</v>
      </c>
      <c r="G478" s="19">
        <f t="shared" si="21"/>
        <v>5888012242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-1347794743</v>
      </c>
      <c r="E479" s="25">
        <f>SUMIFS('Daftar Koreksi'!$I$5:$I$92,'Daftar Koreksi'!$D$5:$D$92,'1600'!A466,'Daftar Koreksi'!$G$5:$G$92,"Peralatan dan mesin",'Daftar Koreksi'!$I$5:$I$92,"&gt;0")</f>
        <v>0</v>
      </c>
      <c r="F479" s="25">
        <f>SUMIFS('Daftar Koreksi'!$I$5:$I$92,'Daftar Koreksi'!$D$5:$D$92,'1600'!A466,'Daftar Koreksi'!$G$5:$G$92,"Peralatan dan mesin",'Daftar Koreksi'!$I$5:$I$92,"&lt;0")-SUMIFS('Daftar Koreksi'!$I$5:$I$92,'Daftar Koreksi'!$D$5:$D$92,'1600'!A466,'Daftar Koreksi'!$G$5:$G$92,"Peralatan dan mesin",'Daftar Koreksi'!$I$5:$I$92,"&lt;0")-SUMIFS('Daftar Koreksi'!$I$5:$I$92,'Daftar Koreksi'!$D$5:$D$92,'1600'!A466,'Daftar Koreksi'!$G$5:$G$92,"Peralatan dan mesin",'Daftar Koreksi'!$I$5:$I$92,"&lt;0")</f>
        <v>0</v>
      </c>
      <c r="G479" s="17">
        <f t="shared" si="21"/>
        <v>-1347794743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-574981404</v>
      </c>
      <c r="E480" s="25">
        <f>SUMIFS('Daftar Koreksi'!$I$5:$I$92,'Daftar Koreksi'!$D$5:$D$92,'1600'!A466,'Daftar Koreksi'!$G$5:$G$92,"Gedung dan Bangunan",'Daftar Koreksi'!$I$5:$I$92,"&gt;0")</f>
        <v>0</v>
      </c>
      <c r="F480" s="25">
        <f>SUMIFS('Daftar Koreksi'!$I$5:$I$92,'Daftar Koreksi'!$D$5:$D$92,'1600'!A466,'Daftar Koreksi'!$G$5:$G$92,"Gedung dan Bangunan",'Daftar Koreksi'!$I$5:$I$92,"&lt;0")-SUMIFS('Daftar Koreksi'!$I$5:$I$92,'Daftar Koreksi'!$D$5:$D$92,'1600'!A466,'Daftar Koreksi'!$G$5:$G$92,"Gedung dan Bangunan",'Daftar Koreksi'!$I$5:$I$92,"&lt;0")-SUMIFS('Daftar Koreksi'!$I$5:$I$92,'Daftar Koreksi'!$D$5:$D$92,'1600'!A466,'Daftar Koreksi'!$G$5:$G$92,"Gedung dan Bangunan",'Daftar Koreksi'!$I$5:$I$92,"&lt;0")</f>
        <v>0</v>
      </c>
      <c r="G480" s="17">
        <f t="shared" si="21"/>
        <v>-574981404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Koreksi'!$D$5:$D$92,'1600'!A466,'Daftar Koreksi'!$G$5:$G$92,"Jalan Irigasi Jaringan",'Daftar Koreksi'!$I$5:$I$92,"&gt;0")</f>
        <v>0</v>
      </c>
      <c r="F481" s="25">
        <f>SUMIFS('Daftar Koreksi'!$I$5:$I$92,'Daftar Koreksi'!$D$5:$D$92,'1600'!A466,'Daftar Koreksi'!$G$5:$G$92,"Jalan Irigasi Jaringan",'Daftar Koreksi'!$I$5:$I$92,"&lt;0")-SUMIFS('Daftar Koreksi'!$I$5:$I$92,'Daftar Koreksi'!$D$5:$D$92,'1600'!A466,'Daftar Koreksi'!$G$5:$G$92,"Jalan Irigasi Jaringan",'Daftar Koreksi'!$I$5:$I$92,"&lt;0")-SUMIFS('Daftar Koreksi'!$I$5:$I$92,'Daftar Koreksi'!$D$5:$D$92,'1600'!A466,'Daftar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Koreksi'!$D$5:$D$92,'1600'!A466,'Daftar Koreksi'!$G$5:$G$92,"Aset Tetap Lainnya",'Daftar Koreksi'!$I$5:$I$92,"&gt;0")</f>
        <v>0</v>
      </c>
      <c r="F482" s="25">
        <f>SUMIFS('Daftar Koreksi'!$I$5:$I$92,'Daftar Koreksi'!$D$5:$D$92,'1600'!A466,'Daftar Koreksi'!$G$5:$G$92,"Aset Tetap Lainnya",'Daftar Koreksi'!$I$5:$I$92,"&lt;0")-SUMIFS('Daftar Koreksi'!$I$5:$I$92,'Daftar Koreksi'!$D$5:$D$92,'1600'!A466,'Daftar Koreksi'!$G$5:$G$92,"Aset Tetap Lainnya",'Daftar Koreksi'!$I$5:$I$92,"&lt;0")-SUMIFS('Daftar Koreksi'!$I$5:$I$92,'Daftar Koreksi'!$D$5:$D$92,'1600'!A466,'Daftar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0</v>
      </c>
      <c r="E483" s="25">
        <f>SUMIFS('Daftar Koreksi'!$I$5:$I$92,'Daftar Koreksi'!$D$5:$D$92,'1600'!A466,'Daftar Koreksi'!$G$5:$G$92,"Aset Henti Guna",'Daftar Koreksi'!$I$5:$I$92,"&gt;0")</f>
        <v>0</v>
      </c>
      <c r="F483" s="25">
        <f>SUMIFS('Daftar Koreksi'!$I$5:$I$92,'Daftar Koreksi'!$D$5:$D$92,'1600'!A466,'Daftar Koreksi'!$G$5:$G$92,"Aset Henti Guna",'Daftar Koreksi'!$I$5:$I$92,"&lt;0")-SUMIFS('Daftar Koreksi'!$I$5:$I$92,'Daftar Koreksi'!$D$5:$D$92,'1600'!A466,'Daftar Koreksi'!$G$5:$G$92,"Aset Henti Guna",'Daftar Koreksi'!$I$5:$I$92,"&lt;0")-SUMIFS('Daftar Koreksi'!$I$5:$I$92,'Daftar Koreksi'!$D$5:$D$92,'1600'!A466,'Daftar Koreksi'!$G$5:$G$92,"Aset Henti Guna",'Daftar Koreksi'!$I$5:$I$92,"&lt;0")</f>
        <v>0</v>
      </c>
      <c r="G483" s="17">
        <f t="shared" si="21"/>
        <v>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-1922776147</v>
      </c>
      <c r="E484" s="19">
        <f>SUM(E479:E483)</f>
        <v>0</v>
      </c>
      <c r="F484" s="19">
        <f>SUM(F479:F483)</f>
        <v>0</v>
      </c>
      <c r="G484" s="19">
        <f t="shared" si="21"/>
        <v>-1922776147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3965236095</v>
      </c>
      <c r="E485" s="19">
        <f>E484+E478</f>
        <v>0</v>
      </c>
      <c r="F485" s="19">
        <f>F484+F478</f>
        <v>0</v>
      </c>
      <c r="G485" s="19">
        <f t="shared" si="21"/>
        <v>3965236095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005011600662986000KD</v>
      </c>
      <c r="B488" s="11" t="str">
        <f>P23</f>
        <v>PN. Sangatta</v>
      </c>
      <c r="C488" s="12" t="str">
        <f>A488&amp;" "&amp;B488</f>
        <v>005011600662986000KD PN. Sangatta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6616400</v>
      </c>
      <c r="E491" s="25">
        <f>SUMIFS('Daftar Koreksi'!$H$5:$H$92,'Daftar Koreksi'!$D$5:$D$92,'1600'!A488,'Daftar Koreksi'!$G$5:$G$92,"Persediaan",'Daftar Koreksi'!$H$5:$H$92,"&gt;0")</f>
        <v>0</v>
      </c>
      <c r="F491" s="25">
        <f>SUMIFS('Daftar Koreksi'!$H$5:$H$92,'Daftar Koreksi'!$D$5:$D$92,'1600'!A488,'Daftar Koreksi'!$G$5:$G$92,"Persediaan",'Daftar Koreksi'!$H$5:$H$92,"&lt;0")-SUMIFS('Daftar Koreksi'!$H$5:$H$92,'Daftar Koreksi'!$D$5:$D$92,'1600'!A488,'Daftar Koreksi'!$G$5:$G$92,"Persediaan",'Daftar Koreksi'!$H$5:$H$92,"&lt;0")-SUMIFS('Daftar Koreksi'!$H$5:$H$92,'Daftar Koreksi'!$D$5:$D$92,'1600'!A488,'Daftar Koreksi'!$G$5:$G$92,"Persediaan",'Daftar Koreksi'!$H$5:$H$92,"&lt;0")</f>
        <v>0</v>
      </c>
      <c r="G491" s="17">
        <f>D491+E491-F491</f>
        <v>6616400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0</v>
      </c>
      <c r="E492" s="25">
        <f>SUMIFS('Daftar Koreksi'!$H$5:$H$92,'Daftar Koreksi'!$D$5:$D$92,'1600'!A488,'Daftar Koreksi'!$G$5:$G$92,"Tanah",'Daftar Koreksi'!$H$5:$H$92,"&gt;0")</f>
        <v>0</v>
      </c>
      <c r="F492" s="25">
        <f>SUMIFS('Daftar Koreksi'!$H$5:$H$92,'Daftar Koreksi'!$D$5:$D$92,'1600'!A488,'Daftar Koreksi'!$G$5:$G$92,"Tanah",'Daftar Koreksi'!$H$5:$H$92,"&lt;0")-SUMIFS('Daftar Koreksi'!$H$5:$H$92,'Daftar Koreksi'!$D$5:$D$92,'1600'!A488,'Daftar Koreksi'!$G$5:$G$92,"Tanah",'Daftar Koreksi'!$H$5:$H$92,"&lt;0")-SUMIFS('Daftar Koreksi'!$H$5:$H$92,'Daftar Koreksi'!$D$5:$D$92,'1600'!A488,'Daftar Koreksi'!$G$5:$G$92,"Tanah",'Daftar Koreksi'!$H$5:$H$92,"&lt;0")</f>
        <v>0</v>
      </c>
      <c r="G492" s="17">
        <f t="shared" ref="G492:G508" si="22">D492+E492-F492</f>
        <v>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1529194479</v>
      </c>
      <c r="E493" s="25">
        <f>SUMIFS('Daftar Koreksi'!$H$5:$H$92,'Daftar Koreksi'!$D$5:$D$92,'1600'!A488,'Daftar Koreksi'!$G$5:$G$92,"Peralatan dan mesin",'Daftar Koreksi'!$H$5:$H$92,"&gt;0")</f>
        <v>0</v>
      </c>
      <c r="F493" s="25">
        <f>SUMIFS('Daftar Koreksi'!$H$5:$H$92,'Daftar Koreksi'!$D$5:$D$92,'1600'!A488,'Daftar Koreksi'!$G$5:$G$92,"Peralatan dan mesin",'Daftar Koreksi'!$H$5:$H$92,"&lt;0")-SUMIFS('Daftar Koreksi'!$H$5:$H$92,'Daftar Koreksi'!$D$5:$D$92,'1600'!A488,'Daftar Koreksi'!$G$5:$G$92,"Peralatan dan mesin",'Daftar Koreksi'!$H$5:$H$92,"&lt;0")-SUMIFS('Daftar Koreksi'!$H$5:$H$92,'Daftar Koreksi'!$D$5:$D$92,'1600'!A488,'Daftar Koreksi'!$G$5:$G$92,"Peralatan dan mesin",'Daftar Koreksi'!$H$5:$H$92,"&lt;0")</f>
        <v>0</v>
      </c>
      <c r="G493" s="17">
        <f t="shared" si="22"/>
        <v>1529194479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2981117930</v>
      </c>
      <c r="E494" s="25">
        <f>SUMIFS('Daftar Koreksi'!$H$5:$H$92,'Daftar Koreksi'!$D$5:$D$92,'1600'!A488,'Daftar Koreksi'!$G$5:$G$92,"Gedung dan Bangunan",'Daftar Koreksi'!$H$5:$H$92,"&gt;0")</f>
        <v>0</v>
      </c>
      <c r="F494" s="25">
        <f>SUMIFS('Daftar Koreksi'!$H$5:$H$92,'Daftar Koreksi'!$D$5:$D$92,'1600'!A488,'Daftar Koreksi'!$G$5:$G$92,"Gedung dan Bangunan",'Daftar Koreksi'!$H$5:$H$92,"&lt;0")-SUMIFS('Daftar Koreksi'!$H$5:$H$92,'Daftar Koreksi'!$D$5:$D$92,'1600'!A488,'Daftar Koreksi'!$G$5:$G$92,"Gedung dan Bangunan",'Daftar Koreksi'!$H$5:$H$92,"&lt;0")-SUMIFS('Daftar Koreksi'!$H$5:$H$92,'Daftar Koreksi'!$D$5:$D$92,'1600'!A488,'Daftar Koreksi'!$G$5:$G$92,"Gedung dan Bangunan",'Daftar Koreksi'!$H$5:$H$92,"&lt;0")</f>
        <v>0</v>
      </c>
      <c r="G494" s="17">
        <f t="shared" si="22"/>
        <v>2981117930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0</v>
      </c>
      <c r="E495" s="25">
        <f>SUMIFS('Daftar Koreksi'!$H$5:$H$92,'Daftar Koreksi'!$D$5:$D$92,'1600'!A488,'Daftar Koreksi'!$G$5:$G$92,"Jalan Irigasi Jaringan",'Daftar Koreksi'!$H$5:$H$92,"&gt;0")</f>
        <v>0</v>
      </c>
      <c r="F495" s="25">
        <f>SUMIFS('Daftar Koreksi'!$H$5:$H$92,'Daftar Koreksi'!$D$5:$D$92,'1600'!A488,'Daftar Koreksi'!$G$5:$G$92,"Jalan Irigasi Jaringan",'Daftar Koreksi'!$H$5:$H$92,"&lt;0")-SUMIFS('Daftar Koreksi'!$H$5:$H$92,'Daftar Koreksi'!$D$5:$D$92,'1600'!A488,'Daftar Koreksi'!$G$5:$G$92,"Jalan Irigasi Jaringan",'Daftar Koreksi'!$H$5:$H$92,"&lt;0")-SUMIFS('Daftar Koreksi'!$H$5:$H$92,'Daftar Koreksi'!$D$5:$D$92,'1600'!A488,'Daftar Koreksi'!$G$5:$G$92,"Jalan Irigasi Jaringan",'Daftar Koreksi'!$H$5:$H$92,"&lt;0")</f>
        <v>0</v>
      </c>
      <c r="G495" s="17">
        <f t="shared" si="22"/>
        <v>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22404018</v>
      </c>
      <c r="E496" s="25">
        <f>SUMIFS('Daftar Koreksi'!$H$5:$H$92,'Daftar Koreksi'!$D$5:$D$92,'1600'!A488,'Daftar Koreksi'!$G$5:$G$92,"Aset Tetap Lainnya",'Daftar Koreksi'!$H$5:$H$92,"&gt;0")</f>
        <v>0</v>
      </c>
      <c r="F496" s="25">
        <f>SUMIFS('Daftar Koreksi'!$H$5:$H$92,'Daftar Koreksi'!$D$5:$D$92,'1600'!A488,'Daftar Koreksi'!$G$5:$G$92,"Aset Tetap Lainnya",'Daftar Koreksi'!$H$5:$H$92,"&lt;0")-SUMIFS('Daftar Koreksi'!$H$5:$H$92,'Daftar Koreksi'!$D$5:$D$92,'1600'!A488,'Daftar Koreksi'!$G$5:$G$92,"Aset Tetap Lainnya",'Daftar Koreksi'!$H$5:$H$92,"&lt;0")-SUMIFS('Daftar Koreksi'!$H$5:$H$92,'Daftar Koreksi'!$D$5:$D$92,'1600'!A488,'Daftar Koreksi'!$G$5:$G$92,"Aset Tetap Lainnya",'Daftar Koreksi'!$H$5:$H$92,"&lt;0")</f>
        <v>0</v>
      </c>
      <c r="G496" s="17">
        <f t="shared" si="22"/>
        <v>22404018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Koreksi'!$D$5:$D$92,'1600'!A488,'Daftar Koreksi'!$G$5:$G$92,"Kontruksi Dalam Pengerjaan",'Daftar Koreksi'!$H$5:$H$92,"&gt;0")</f>
        <v>0</v>
      </c>
      <c r="F497" s="25">
        <f>SUMIFS('Daftar Koreksi'!$H$5:$H$92,'Daftar Koreksi'!$D$5:$D$92,'1600'!A488,'Daftar Koreksi'!$G$5:$G$92,"Kontruksi Dalam Pengerjaan",'Daftar Koreksi'!$H$5:$H$92,"&lt;0")-SUMIFS('Daftar Koreksi'!$H$5:$H$92,'Daftar Koreksi'!$D$5:$D$92,'1600'!A488,'Daftar Koreksi'!$G$5:$G$92,"Kontruksi Dalam Pengerjaan",'Daftar Koreksi'!$H$5:$H$92,"&lt;0")-SUMIFS('Daftar Koreksi'!$H$5:$H$92,'Daftar Koreksi'!$D$5:$D$92,'1600'!A488,'Daftar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Koreksi'!$D$5:$D$92,'1600'!A488,'Daftar Koreksi'!$G$5:$G$92,"Aset Tak Berwujud",'Daftar Koreksi'!$H$5:$H$92,"&gt;0")</f>
        <v>0</v>
      </c>
      <c r="F498" s="25">
        <f>SUMIFS('Daftar Koreksi'!$H$5:$H$92,'Daftar Koreksi'!$D$5:$D$92,'1600'!A488,'Daftar Koreksi'!$G$5:$G$92,"Aset Tak Berwujud",'Daftar Koreksi'!$H$5:$H$92,"&lt;0")-SUMIFS('Daftar Koreksi'!$H$5:$H$92,'Daftar Koreksi'!$D$5:$D$92,'1600'!A488,'Daftar Koreksi'!$G$5:$G$92,"Aset Tak Berwujud",'Daftar Koreksi'!$H$5:$H$92,"&lt;0")-SUMIFS('Daftar Koreksi'!$H$5:$H$92,'Daftar Koreksi'!$D$5:$D$92,'1600'!A488,'Daftar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142750000</v>
      </c>
      <c r="E499" s="25">
        <f>SUMIFS('Daftar Koreksi'!$H$5:$H$92,'Daftar Koreksi'!$D$5:$D$92,'1600'!A488,'Daftar Koreksi'!$G$5:$G$92,"Aset Henti Guna",'Daftar Koreksi'!$H$5:$H$92,"&gt;0")</f>
        <v>0</v>
      </c>
      <c r="F499" s="25">
        <f>SUMIFS('Daftar Koreksi'!$H$5:$H$92,'Daftar Koreksi'!$D$5:$D$92,'1600'!A488,'Daftar Koreksi'!$G$5:$G$92,"Aset Henti Guna",'Daftar Koreksi'!$H$5:$H$92,"&lt;0")-SUMIFS('Daftar Koreksi'!$H$5:$H$92,'Daftar Koreksi'!$D$5:$D$92,'1600'!A488,'Daftar Koreksi'!$G$5:$G$92,"Aset Henti Guna",'Daftar Koreksi'!$H$5:$H$92,"&lt;0")-SUMIFS('Daftar Koreksi'!$H$5:$H$92,'Daftar Koreksi'!$D$5:$D$92,'1600'!A488,'Daftar Koreksi'!$G$5:$G$92,"Aset Henti Guna",'Daftar Koreksi'!$H$5:$H$92,"&lt;0")</f>
        <v>0</v>
      </c>
      <c r="G499" s="17">
        <f t="shared" si="22"/>
        <v>142750000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4682082827</v>
      </c>
      <c r="E500" s="19">
        <f>SUM(E491:E499)</f>
        <v>0</v>
      </c>
      <c r="F500" s="19">
        <f>SUM(F491:F499)</f>
        <v>0</v>
      </c>
      <c r="G500" s="19">
        <f t="shared" si="22"/>
        <v>4682082827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-1314088230</v>
      </c>
      <c r="E501" s="25">
        <f>SUMIFS('Daftar Koreksi'!$I$5:$I$92,'Daftar Koreksi'!$D$5:$D$92,'1600'!A488,'Daftar Koreksi'!$G$5:$G$92,"Peralatan dan mesin",'Daftar Koreksi'!$I$5:$I$92,"&gt;0")</f>
        <v>0</v>
      </c>
      <c r="F501" s="25">
        <f>SUMIFS('Daftar Koreksi'!$I$5:$I$92,'Daftar Koreksi'!$D$5:$D$92,'1600'!A488,'Daftar Koreksi'!$G$5:$G$92,"Peralatan dan mesin",'Daftar Koreksi'!$I$5:$I$92,"&lt;0")-SUMIFS('Daftar Koreksi'!$I$5:$I$92,'Daftar Koreksi'!$D$5:$D$92,'1600'!A488,'Daftar Koreksi'!$G$5:$G$92,"Peralatan dan mesin",'Daftar Koreksi'!$I$5:$I$92,"&lt;0")-SUMIFS('Daftar Koreksi'!$I$5:$I$92,'Daftar Koreksi'!$D$5:$D$92,'1600'!A488,'Daftar Koreksi'!$G$5:$G$92,"Peralatan dan mesin",'Daftar Koreksi'!$I$5:$I$92,"&lt;0")</f>
        <v>0</v>
      </c>
      <c r="G501" s="17">
        <f t="shared" si="22"/>
        <v>-1314088230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-557185774</v>
      </c>
      <c r="E502" s="25">
        <f>SUMIFS('Daftar Koreksi'!$I$5:$I$92,'Daftar Koreksi'!$D$5:$D$92,'1600'!A488,'Daftar Koreksi'!$G$5:$G$92,"Gedung dan Bangunan",'Daftar Koreksi'!$I$5:$I$92,"&gt;0")</f>
        <v>0</v>
      </c>
      <c r="F502" s="25">
        <f>SUMIFS('Daftar Koreksi'!$I$5:$I$92,'Daftar Koreksi'!$D$5:$D$92,'1600'!A488,'Daftar Koreksi'!$G$5:$G$92,"Gedung dan Bangunan",'Daftar Koreksi'!$I$5:$I$92,"&lt;0")-SUMIFS('Daftar Koreksi'!$I$5:$I$92,'Daftar Koreksi'!$D$5:$D$92,'1600'!A488,'Daftar Koreksi'!$G$5:$G$92,"Gedung dan Bangunan",'Daftar Koreksi'!$I$5:$I$92,"&lt;0")-SUMIFS('Daftar Koreksi'!$I$5:$I$92,'Daftar Koreksi'!$D$5:$D$92,'1600'!A488,'Daftar Koreksi'!$G$5:$G$92,"Gedung dan Bangunan",'Daftar Koreksi'!$I$5:$I$92,"&lt;0")</f>
        <v>0</v>
      </c>
      <c r="G502" s="17">
        <f t="shared" si="22"/>
        <v>-557185774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0</v>
      </c>
      <c r="E503" s="25">
        <f>SUMIFS('Daftar Koreksi'!$I$5:$I$92,'Daftar Koreksi'!$D$5:$D$92,'1600'!A488,'Daftar Koreksi'!$G$5:$G$92,"Jalan Irigasi Jaringan",'Daftar Koreksi'!$I$5:$I$92,"&gt;0")</f>
        <v>0</v>
      </c>
      <c r="F503" s="25">
        <f>SUMIFS('Daftar Koreksi'!$I$5:$I$92,'Daftar Koreksi'!$D$5:$D$92,'1600'!A488,'Daftar Koreksi'!$G$5:$G$92,"Jalan Irigasi Jaringan",'Daftar Koreksi'!$I$5:$I$92,"&lt;0")-SUMIFS('Daftar Koreksi'!$I$5:$I$92,'Daftar Koreksi'!$D$5:$D$92,'1600'!A488,'Daftar Koreksi'!$G$5:$G$92,"Jalan Irigasi Jaringan",'Daftar Koreksi'!$I$5:$I$92,"&lt;0")-SUMIFS('Daftar Koreksi'!$I$5:$I$92,'Daftar Koreksi'!$D$5:$D$92,'1600'!A488,'Daftar Koreksi'!$G$5:$G$92,"Jalan Irigasi Jaringan",'Daftar Koreksi'!$I$5:$I$92,"&lt;0")</f>
        <v>0</v>
      </c>
      <c r="G503" s="17">
        <f t="shared" si="22"/>
        <v>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-6000000</v>
      </c>
      <c r="E504" s="25">
        <f>SUMIFS('Daftar Koreksi'!$I$5:$I$92,'Daftar Koreksi'!$D$5:$D$92,'1600'!A488,'Daftar Koreksi'!$G$5:$G$92,"Aset Tetap Lainnya",'Daftar Koreksi'!$I$5:$I$92,"&gt;0")</f>
        <v>0</v>
      </c>
      <c r="F504" s="25">
        <f>SUMIFS('Daftar Koreksi'!$I$5:$I$92,'Daftar Koreksi'!$D$5:$D$92,'1600'!A488,'Daftar Koreksi'!$G$5:$G$92,"Aset Tetap Lainnya",'Daftar Koreksi'!$I$5:$I$92,"&lt;0")-SUMIFS('Daftar Koreksi'!$I$5:$I$92,'Daftar Koreksi'!$D$5:$D$92,'1600'!A488,'Daftar Koreksi'!$G$5:$G$92,"Aset Tetap Lainnya",'Daftar Koreksi'!$I$5:$I$92,"&lt;0")-SUMIFS('Daftar Koreksi'!$I$5:$I$92,'Daftar Koreksi'!$D$5:$D$92,'1600'!A488,'Daftar Koreksi'!$G$5:$G$92,"Aset Tetap Lainnya",'Daftar Koreksi'!$I$5:$I$92,"&lt;0")</f>
        <v>0</v>
      </c>
      <c r="G504" s="17">
        <f t="shared" si="22"/>
        <v>-6000000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-142750000</v>
      </c>
      <c r="E505" s="25">
        <f>SUMIFS('Daftar Koreksi'!$I$5:$I$92,'Daftar Koreksi'!$D$5:$D$92,'1600'!A488,'Daftar Koreksi'!$G$5:$G$92,"Aset Henti Guna",'Daftar Koreksi'!$I$5:$I$92,"&gt;0")</f>
        <v>0</v>
      </c>
      <c r="F505" s="25">
        <f>SUMIFS('Daftar Koreksi'!$I$5:$I$92,'Daftar Koreksi'!$D$5:$D$92,'1600'!A488,'Daftar Koreksi'!$G$5:$G$92,"Aset Henti Guna",'Daftar Koreksi'!$I$5:$I$92,"&lt;0")-SUMIFS('Daftar Koreksi'!$I$5:$I$92,'Daftar Koreksi'!$D$5:$D$92,'1600'!A488,'Daftar Koreksi'!$G$5:$G$92,"Aset Henti Guna",'Daftar Koreksi'!$I$5:$I$92,"&lt;0")-SUMIFS('Daftar Koreksi'!$I$5:$I$92,'Daftar Koreksi'!$D$5:$D$92,'1600'!A488,'Daftar Koreksi'!$G$5:$G$92,"Aset Henti Guna",'Daftar Koreksi'!$I$5:$I$92,"&lt;0")</f>
        <v>0</v>
      </c>
      <c r="G505" s="17">
        <f t="shared" si="22"/>
        <v>-142750000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-2020024004</v>
      </c>
      <c r="E506" s="19">
        <f>SUM(E501:E505)</f>
        <v>0</v>
      </c>
      <c r="F506" s="19">
        <f>SUM(F501:F505)</f>
        <v>0</v>
      </c>
      <c r="G506" s="19">
        <f t="shared" si="22"/>
        <v>-2020024004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2662058823</v>
      </c>
      <c r="E507" s="19">
        <f>E506+E500</f>
        <v>0</v>
      </c>
      <c r="F507" s="19">
        <f>F506+F500</f>
        <v>0</v>
      </c>
      <c r="G507" s="19">
        <f t="shared" si="22"/>
        <v>2662058823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005011600663246000KD</v>
      </c>
      <c r="B510" s="11" t="str">
        <f>P24</f>
        <v>Dilmil. I - 07 di Balikpapan</v>
      </c>
      <c r="C510" s="12" t="str">
        <f>A510&amp;" "&amp;B510</f>
        <v>005011600663246000KD Dilmil. I - 07 di Balikpapan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87500</v>
      </c>
      <c r="E513" s="25">
        <f>SUMIFS('Daftar Koreksi'!$H$5:$H$92,'Daftar Koreksi'!$D$5:$D$92,'1600'!A510,'Daftar Koreksi'!$G$5:$G$92,"Persediaan",'Daftar Koreksi'!$H$5:$H$92,"&gt;0")</f>
        <v>0</v>
      </c>
      <c r="F513" s="25">
        <f>SUMIFS('Daftar Koreksi'!$H$5:$H$92,'Daftar Koreksi'!$D$5:$D$92,'1600'!A510,'Daftar Koreksi'!$G$5:$G$92,"Persediaan",'Daftar Koreksi'!$H$5:$H$92,"&lt;0")-SUMIFS('Daftar Koreksi'!$H$5:$H$92,'Daftar Koreksi'!$D$5:$D$92,'1600'!A510,'Daftar Koreksi'!$G$5:$G$92,"Persediaan",'Daftar Koreksi'!$H$5:$H$92,"&lt;0")-SUMIFS('Daftar Koreksi'!$H$5:$H$92,'Daftar Koreksi'!$D$5:$D$92,'1600'!A510,'Daftar Koreksi'!$G$5:$G$92,"Persediaan",'Daftar Koreksi'!$H$5:$H$92,"&lt;0")</f>
        <v>0</v>
      </c>
      <c r="G513" s="17">
        <f>D513+E513-F513</f>
        <v>87500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2476473000</v>
      </c>
      <c r="E514" s="25">
        <f>SUMIFS('Daftar Koreksi'!$H$5:$H$92,'Daftar Koreksi'!$D$5:$D$92,'1600'!A510,'Daftar Koreksi'!$G$5:$G$92,"Tanah",'Daftar Koreksi'!$H$5:$H$92,"&gt;0")</f>
        <v>0</v>
      </c>
      <c r="F514" s="25">
        <f>SUMIFS('Daftar Koreksi'!$H$5:$H$92,'Daftar Koreksi'!$D$5:$D$92,'1600'!A510,'Daftar Koreksi'!$G$5:$G$92,"Tanah",'Daftar Koreksi'!$H$5:$H$92,"&lt;0")-SUMIFS('Daftar Koreksi'!$H$5:$H$92,'Daftar Koreksi'!$D$5:$D$92,'1600'!A510,'Daftar Koreksi'!$G$5:$G$92,"Tanah",'Daftar Koreksi'!$H$5:$H$92,"&lt;0")-SUMIFS('Daftar Koreksi'!$H$5:$H$92,'Daftar Koreksi'!$D$5:$D$92,'1600'!A510,'Daftar Koreksi'!$G$5:$G$92,"Tanah",'Daftar Koreksi'!$H$5:$H$92,"&lt;0")</f>
        <v>0</v>
      </c>
      <c r="G514" s="17">
        <f t="shared" ref="G514:G530" si="23">D514+E514-F514</f>
        <v>2476473000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3256249383</v>
      </c>
      <c r="E515" s="25">
        <f>SUMIFS('Daftar Koreksi'!$H$5:$H$92,'Daftar Koreksi'!$D$5:$D$92,'1600'!A510,'Daftar Koreksi'!$G$5:$G$92,"Peralatan dan mesin",'Daftar Koreksi'!$H$5:$H$92,"&gt;0")</f>
        <v>0</v>
      </c>
      <c r="F515" s="25">
        <f>SUMIFS('Daftar Koreksi'!$H$5:$H$92,'Daftar Koreksi'!$D$5:$D$92,'1600'!A510,'Daftar Koreksi'!$G$5:$G$92,"Peralatan dan mesin",'Daftar Koreksi'!$H$5:$H$92,"&lt;0")-SUMIFS('Daftar Koreksi'!$H$5:$H$92,'Daftar Koreksi'!$D$5:$D$92,'1600'!A510,'Daftar Koreksi'!$G$5:$G$92,"Peralatan dan mesin",'Daftar Koreksi'!$H$5:$H$92,"&lt;0")-SUMIFS('Daftar Koreksi'!$H$5:$H$92,'Daftar Koreksi'!$D$5:$D$92,'1600'!A510,'Daftar Koreksi'!$G$5:$G$92,"Peralatan dan mesin",'Daftar Koreksi'!$H$5:$H$92,"&lt;0")</f>
        <v>0</v>
      </c>
      <c r="G515" s="17">
        <f t="shared" si="23"/>
        <v>3256249383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11024307088</v>
      </c>
      <c r="E516" s="25">
        <f>SUMIFS('Daftar Koreksi'!$H$5:$H$92,'Daftar Koreksi'!$D$5:$D$92,'1600'!A510,'Daftar Koreksi'!$G$5:$G$92,"Gedung dan Bangunan",'Daftar Koreksi'!$H$5:$H$92,"&gt;0")</f>
        <v>0</v>
      </c>
      <c r="F516" s="25">
        <f>SUMIFS('Daftar Koreksi'!$H$5:$H$92,'Daftar Koreksi'!$D$5:$D$92,'1600'!A510,'Daftar Koreksi'!$G$5:$G$92,"Gedung dan Bangunan",'Daftar Koreksi'!$H$5:$H$92,"&lt;0")-SUMIFS('Daftar Koreksi'!$H$5:$H$92,'Daftar Koreksi'!$D$5:$D$92,'1600'!A510,'Daftar Koreksi'!$G$5:$G$92,"Gedung dan Bangunan",'Daftar Koreksi'!$H$5:$H$92,"&lt;0")-SUMIFS('Daftar Koreksi'!$H$5:$H$92,'Daftar Koreksi'!$D$5:$D$92,'1600'!A510,'Daftar Koreksi'!$G$5:$G$92,"Gedung dan Bangunan",'Daftar Koreksi'!$H$5:$H$92,"&lt;0")</f>
        <v>0</v>
      </c>
      <c r="G516" s="17">
        <f t="shared" si="23"/>
        <v>11024307088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0</v>
      </c>
      <c r="E517" s="25">
        <f>SUMIFS('Daftar Koreksi'!$H$5:$H$92,'Daftar Koreksi'!$D$5:$D$92,'1600'!A510,'Daftar Koreksi'!$G$5:$G$92,"Jalan Irigasi Jaringan",'Daftar Koreksi'!$H$5:$H$92,"&gt;0")</f>
        <v>0</v>
      </c>
      <c r="F517" s="25">
        <f>SUMIFS('Daftar Koreksi'!$H$5:$H$92,'Daftar Koreksi'!$D$5:$D$92,'1600'!A510,'Daftar Koreksi'!$G$5:$G$92,"Jalan Irigasi Jaringan",'Daftar Koreksi'!$H$5:$H$92,"&lt;0")-SUMIFS('Daftar Koreksi'!$H$5:$H$92,'Daftar Koreksi'!$D$5:$D$92,'1600'!A510,'Daftar Koreksi'!$G$5:$G$92,"Jalan Irigasi Jaringan",'Daftar Koreksi'!$H$5:$H$92,"&lt;0")-SUMIFS('Daftar Koreksi'!$H$5:$H$92,'Daftar Koreksi'!$D$5:$D$92,'1600'!A510,'Daftar Koreksi'!$G$5:$G$92,"Jalan Irigasi Jaringan",'Daftar Koreksi'!$H$5:$H$92,"&lt;0")</f>
        <v>0</v>
      </c>
      <c r="G517" s="17">
        <f t="shared" si="23"/>
        <v>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2828678</v>
      </c>
      <c r="E518" s="25">
        <f>SUMIFS('Daftar Koreksi'!$H$5:$H$92,'Daftar Koreksi'!$D$5:$D$92,'1600'!A510,'Daftar Koreksi'!$G$5:$G$92,"Aset Tetap Lainnya",'Daftar Koreksi'!$H$5:$H$92,"&gt;0")</f>
        <v>0</v>
      </c>
      <c r="F518" s="25">
        <f>SUMIFS('Daftar Koreksi'!$H$5:$H$92,'Daftar Koreksi'!$D$5:$D$92,'1600'!A510,'Daftar Koreksi'!$G$5:$G$92,"Aset Tetap Lainnya",'Daftar Koreksi'!$H$5:$H$92,"&lt;0")-SUMIFS('Daftar Koreksi'!$H$5:$H$92,'Daftar Koreksi'!$D$5:$D$92,'1600'!A510,'Daftar Koreksi'!$G$5:$G$92,"Aset Tetap Lainnya",'Daftar Koreksi'!$H$5:$H$92,"&lt;0")-SUMIFS('Daftar Koreksi'!$H$5:$H$92,'Daftar Koreksi'!$D$5:$D$92,'1600'!A510,'Daftar Koreksi'!$G$5:$G$92,"Aset Tetap Lainnya",'Daftar Koreksi'!$H$5:$H$92,"&lt;0")</f>
        <v>0</v>
      </c>
      <c r="G518" s="17">
        <f t="shared" si="23"/>
        <v>2828678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Koreksi'!$D$5:$D$92,'1600'!A510,'Daftar Koreksi'!$G$5:$G$92,"Kontruksi Dalam Pengerjaan",'Daftar Koreksi'!$H$5:$H$92,"&gt;0")</f>
        <v>0</v>
      </c>
      <c r="F519" s="25">
        <f>SUMIFS('Daftar Koreksi'!$H$5:$H$92,'Daftar Koreksi'!$D$5:$D$92,'1600'!A510,'Daftar Koreksi'!$G$5:$G$92,"Kontruksi Dalam Pengerjaan",'Daftar Koreksi'!$H$5:$H$92,"&lt;0")-SUMIFS('Daftar Koreksi'!$H$5:$H$92,'Daftar Koreksi'!$D$5:$D$92,'1600'!A510,'Daftar Koreksi'!$G$5:$G$92,"Kontruksi Dalam Pengerjaan",'Daftar Koreksi'!$H$5:$H$92,"&lt;0")-SUMIFS('Daftar Koreksi'!$H$5:$H$92,'Daftar Koreksi'!$D$5:$D$92,'1600'!A510,'Daftar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75350000</v>
      </c>
      <c r="E520" s="25">
        <f>SUMIFS('Daftar Koreksi'!$H$5:$H$92,'Daftar Koreksi'!$D$5:$D$92,'1600'!A510,'Daftar Koreksi'!$G$5:$G$92,"Aset Tak Berwujud",'Daftar Koreksi'!$H$5:$H$92,"&gt;0")</f>
        <v>0</v>
      </c>
      <c r="F520" s="25">
        <f>SUMIFS('Daftar Koreksi'!$H$5:$H$92,'Daftar Koreksi'!$D$5:$D$92,'1600'!A510,'Daftar Koreksi'!$G$5:$G$92,"Aset Tak Berwujud",'Daftar Koreksi'!$H$5:$H$92,"&lt;0")-SUMIFS('Daftar Koreksi'!$H$5:$H$92,'Daftar Koreksi'!$D$5:$D$92,'1600'!A510,'Daftar Koreksi'!$G$5:$G$92,"Aset Tak Berwujud",'Daftar Koreksi'!$H$5:$H$92,"&lt;0")-SUMIFS('Daftar Koreksi'!$H$5:$H$92,'Daftar Koreksi'!$D$5:$D$92,'1600'!A510,'Daftar Koreksi'!$G$5:$G$92,"Aset Tak Berwujud",'Daftar Koreksi'!$H$5:$H$92,"&lt;0")</f>
        <v>0</v>
      </c>
      <c r="G520" s="17">
        <f t="shared" si="23"/>
        <v>75350000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0</v>
      </c>
      <c r="E521" s="25">
        <f>SUMIFS('Daftar Koreksi'!$H$5:$H$92,'Daftar Koreksi'!$D$5:$D$92,'1600'!A510,'Daftar Koreksi'!$G$5:$G$92,"Aset Henti Guna",'Daftar Koreksi'!$H$5:$H$92,"&gt;0")</f>
        <v>0</v>
      </c>
      <c r="F521" s="25">
        <f>SUMIFS('Daftar Koreksi'!$H$5:$H$92,'Daftar Koreksi'!$D$5:$D$92,'1600'!A510,'Daftar Koreksi'!$G$5:$G$92,"Aset Henti Guna",'Daftar Koreksi'!$H$5:$H$92,"&lt;0")-SUMIFS('Daftar Koreksi'!$H$5:$H$92,'Daftar Koreksi'!$D$5:$D$92,'1600'!A510,'Daftar Koreksi'!$G$5:$G$92,"Aset Henti Guna",'Daftar Koreksi'!$H$5:$H$92,"&lt;0")-SUMIFS('Daftar Koreksi'!$H$5:$H$92,'Daftar Koreksi'!$D$5:$D$92,'1600'!A510,'Daftar Koreksi'!$G$5:$G$92,"Aset Henti Guna",'Daftar Koreksi'!$H$5:$H$92,"&lt;0")</f>
        <v>0</v>
      </c>
      <c r="G521" s="17">
        <f t="shared" si="23"/>
        <v>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16835295649</v>
      </c>
      <c r="E522" s="19">
        <f>SUM(E513:E521)</f>
        <v>0</v>
      </c>
      <c r="F522" s="19">
        <f>SUM(F513:F521)</f>
        <v>0</v>
      </c>
      <c r="G522" s="19">
        <f t="shared" si="23"/>
        <v>16835295649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-1848956858</v>
      </c>
      <c r="E523" s="25">
        <f>SUMIFS('Daftar Koreksi'!$I$5:$I$92,'Daftar Koreksi'!$D$5:$D$92,'1600'!A510,'Daftar Koreksi'!$G$5:$G$92,"Peralatan dan mesin",'Daftar Koreksi'!$I$5:$I$92,"&gt;0")</f>
        <v>0</v>
      </c>
      <c r="F523" s="25">
        <f>SUMIFS('Daftar Koreksi'!$I$5:$I$92,'Daftar Koreksi'!$D$5:$D$92,'1600'!A510,'Daftar Koreksi'!$G$5:$G$92,"Peralatan dan mesin",'Daftar Koreksi'!$I$5:$I$92,"&lt;0")-SUMIFS('Daftar Koreksi'!$I$5:$I$92,'Daftar Koreksi'!$D$5:$D$92,'1600'!A510,'Daftar Koreksi'!$G$5:$G$92,"Peralatan dan mesin",'Daftar Koreksi'!$I$5:$I$92,"&lt;0")-SUMIFS('Daftar Koreksi'!$I$5:$I$92,'Daftar Koreksi'!$D$5:$D$92,'1600'!A510,'Daftar Koreksi'!$G$5:$G$92,"Peralatan dan mesin",'Daftar Koreksi'!$I$5:$I$92,"&lt;0")</f>
        <v>0</v>
      </c>
      <c r="G523" s="17">
        <f t="shared" si="23"/>
        <v>-1848956858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-325064927</v>
      </c>
      <c r="E524" s="25">
        <f>SUMIFS('Daftar Koreksi'!$I$5:$I$92,'Daftar Koreksi'!$D$5:$D$92,'1600'!A510,'Daftar Koreksi'!$G$5:$G$92,"Gedung dan Bangunan",'Daftar Koreksi'!$I$5:$I$92,"&gt;0")</f>
        <v>0</v>
      </c>
      <c r="F524" s="25">
        <f>SUMIFS('Daftar Koreksi'!$I$5:$I$92,'Daftar Koreksi'!$D$5:$D$92,'1600'!A510,'Daftar Koreksi'!$G$5:$G$92,"Gedung dan Bangunan",'Daftar Koreksi'!$I$5:$I$92,"&lt;0")-SUMIFS('Daftar Koreksi'!$I$5:$I$92,'Daftar Koreksi'!$D$5:$D$92,'1600'!A510,'Daftar Koreksi'!$G$5:$G$92,"Gedung dan Bangunan",'Daftar Koreksi'!$I$5:$I$92,"&lt;0")-SUMIFS('Daftar Koreksi'!$I$5:$I$92,'Daftar Koreksi'!$D$5:$D$92,'1600'!A510,'Daftar Koreksi'!$G$5:$G$92,"Gedung dan Bangunan",'Daftar Koreksi'!$I$5:$I$92,"&lt;0")</f>
        <v>0</v>
      </c>
      <c r="G524" s="17">
        <f t="shared" si="23"/>
        <v>-325064927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0</v>
      </c>
      <c r="E525" s="25">
        <f>SUMIFS('Daftar Koreksi'!$I$5:$I$92,'Daftar Koreksi'!$D$5:$D$92,'1600'!A510,'Daftar Koreksi'!$G$5:$G$92,"Jalan Irigasi Jaringan",'Daftar Koreksi'!$I$5:$I$92,"&gt;0")</f>
        <v>0</v>
      </c>
      <c r="F525" s="25">
        <f>SUMIFS('Daftar Koreksi'!$I$5:$I$92,'Daftar Koreksi'!$D$5:$D$92,'1600'!A510,'Daftar Koreksi'!$G$5:$G$92,"Jalan Irigasi Jaringan",'Daftar Koreksi'!$I$5:$I$92,"&lt;0")-SUMIFS('Daftar Koreksi'!$I$5:$I$92,'Daftar Koreksi'!$D$5:$D$92,'1600'!A510,'Daftar Koreksi'!$G$5:$G$92,"Jalan Irigasi Jaringan",'Daftar Koreksi'!$I$5:$I$92,"&lt;0")-SUMIFS('Daftar Koreksi'!$I$5:$I$92,'Daftar Koreksi'!$D$5:$D$92,'1600'!A510,'Daftar Koreksi'!$G$5:$G$92,"Jalan Irigasi Jaringan",'Daftar Koreksi'!$I$5:$I$92,"&lt;0")</f>
        <v>0</v>
      </c>
      <c r="G525" s="17">
        <f t="shared" si="23"/>
        <v>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Koreksi'!$D$5:$D$92,'1600'!A510,'Daftar Koreksi'!$G$5:$G$92,"Aset Tetap Lainnya",'Daftar Koreksi'!$I$5:$I$92,"&gt;0")</f>
        <v>0</v>
      </c>
      <c r="F526" s="25">
        <f>SUMIFS('Daftar Koreksi'!$I$5:$I$92,'Daftar Koreksi'!$D$5:$D$92,'1600'!A510,'Daftar Koreksi'!$G$5:$G$92,"Aset Tetap Lainnya",'Daftar Koreksi'!$I$5:$I$92,"&lt;0")-SUMIFS('Daftar Koreksi'!$I$5:$I$92,'Daftar Koreksi'!$D$5:$D$92,'1600'!A510,'Daftar Koreksi'!$G$5:$G$92,"Aset Tetap Lainnya",'Daftar Koreksi'!$I$5:$I$92,"&lt;0")-SUMIFS('Daftar Koreksi'!$I$5:$I$92,'Daftar Koreksi'!$D$5:$D$92,'1600'!A510,'Daftar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0</v>
      </c>
      <c r="E527" s="25">
        <f>SUMIFS('Daftar Koreksi'!$I$5:$I$92,'Daftar Koreksi'!$D$5:$D$92,'1600'!A510,'Daftar Koreksi'!$G$5:$G$92,"Aset Henti Guna",'Daftar Koreksi'!$I$5:$I$92,"&gt;0")</f>
        <v>0</v>
      </c>
      <c r="F527" s="25">
        <f>SUMIFS('Daftar Koreksi'!$I$5:$I$92,'Daftar Koreksi'!$D$5:$D$92,'1600'!A510,'Daftar Koreksi'!$G$5:$G$92,"Aset Henti Guna",'Daftar Koreksi'!$I$5:$I$92,"&lt;0")-SUMIFS('Daftar Koreksi'!$I$5:$I$92,'Daftar Koreksi'!$D$5:$D$92,'1600'!A510,'Daftar Koreksi'!$G$5:$G$92,"Aset Henti Guna",'Daftar Koreksi'!$I$5:$I$92,"&lt;0")-SUMIFS('Daftar Koreksi'!$I$5:$I$92,'Daftar Koreksi'!$D$5:$D$92,'1600'!A510,'Daftar Koreksi'!$G$5:$G$92,"Aset Henti Guna",'Daftar Koreksi'!$I$5:$I$92,"&lt;0")</f>
        <v>0</v>
      </c>
      <c r="G527" s="17">
        <f t="shared" si="23"/>
        <v>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-2174021785</v>
      </c>
      <c r="E528" s="19">
        <f>SUM(E523:E527)</f>
        <v>0</v>
      </c>
      <c r="F528" s="19">
        <f>SUM(F523:F527)</f>
        <v>0</v>
      </c>
      <c r="G528" s="19">
        <f t="shared" si="23"/>
        <v>-2174021785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14661273864</v>
      </c>
      <c r="E529" s="19">
        <f>E528+E522</f>
        <v>0</v>
      </c>
      <c r="F529" s="19">
        <f>F528+F522</f>
        <v>0</v>
      </c>
      <c r="G529" s="19">
        <f t="shared" si="23"/>
        <v>14661273864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005011600670170000KD</v>
      </c>
      <c r="B532" s="11" t="str">
        <f>P25</f>
        <v>PN. Tanjung Selor</v>
      </c>
      <c r="C532" s="12" t="str">
        <f>A532&amp;" "&amp;B532</f>
        <v>005011600670170000KD PN. Tanjung Selor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325869</v>
      </c>
      <c r="E535" s="25">
        <f>SUMIFS('Daftar Koreksi'!$H$5:$H$92,'Daftar Koreksi'!$D$5:$D$92,'1600'!A532,'Daftar Koreksi'!$G$5:$G$92,"Persediaan",'Daftar Koreksi'!$H$5:$H$92,"&gt;0")</f>
        <v>0</v>
      </c>
      <c r="F535" s="25">
        <f>SUMIFS('Daftar Koreksi'!$H$5:$H$92,'Daftar Koreksi'!$D$5:$D$92,'1600'!A532,'Daftar Koreksi'!$G$5:$G$92,"Persediaan",'Daftar Koreksi'!$H$5:$H$92,"&lt;0")-SUMIFS('Daftar Koreksi'!$H$5:$H$92,'Daftar Koreksi'!$D$5:$D$92,'1600'!A532,'Daftar Koreksi'!$G$5:$G$92,"Persediaan",'Daftar Koreksi'!$H$5:$H$92,"&lt;0")-SUMIFS('Daftar Koreksi'!$H$5:$H$92,'Daftar Koreksi'!$D$5:$D$92,'1600'!A532,'Daftar Koreksi'!$G$5:$G$92,"Persediaan",'Daftar Koreksi'!$H$5:$H$92,"&lt;0")</f>
        <v>0</v>
      </c>
      <c r="G535" s="17">
        <f>D535+E535-F535</f>
        <v>325869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7053200000</v>
      </c>
      <c r="E536" s="25">
        <f>SUMIFS('Daftar Koreksi'!$H$5:$H$92,'Daftar Koreksi'!$D$5:$D$92,'1600'!A532,'Daftar Koreksi'!$G$5:$G$92,"Tanah",'Daftar Koreksi'!$H$5:$H$92,"&gt;0")</f>
        <v>0</v>
      </c>
      <c r="F536" s="25">
        <f>SUMIFS('Daftar Koreksi'!$H$5:$H$92,'Daftar Koreksi'!$D$5:$D$92,'1600'!A532,'Daftar Koreksi'!$G$5:$G$92,"Tanah",'Daftar Koreksi'!$H$5:$H$92,"&lt;0")-SUMIFS('Daftar Koreksi'!$H$5:$H$92,'Daftar Koreksi'!$D$5:$D$92,'1600'!A532,'Daftar Koreksi'!$G$5:$G$92,"Tanah",'Daftar Koreksi'!$H$5:$H$92,"&lt;0")-SUMIFS('Daftar Koreksi'!$H$5:$H$92,'Daftar Koreksi'!$D$5:$D$92,'1600'!A532,'Daftar Koreksi'!$G$5:$G$92,"Tanah",'Daftar Koreksi'!$H$5:$H$92,"&lt;0")</f>
        <v>0</v>
      </c>
      <c r="G536" s="17">
        <f t="shared" ref="G536:G552" si="24">D536+E536-F536</f>
        <v>7053200000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1561774543</v>
      </c>
      <c r="E537" s="25">
        <f>SUMIFS('Daftar Koreksi'!$H$5:$H$92,'Daftar Koreksi'!$D$5:$D$92,'1600'!A532,'Daftar Koreksi'!$G$5:$G$92,"Peralatan dan mesin",'Daftar Koreksi'!$H$5:$H$92,"&gt;0")</f>
        <v>0</v>
      </c>
      <c r="F537" s="25">
        <f>SUMIFS('Daftar Koreksi'!$H$5:$H$92,'Daftar Koreksi'!$D$5:$D$92,'1600'!A532,'Daftar Koreksi'!$G$5:$G$92,"Peralatan dan mesin",'Daftar Koreksi'!$H$5:$H$92,"&lt;0")-SUMIFS('Daftar Koreksi'!$H$5:$H$92,'Daftar Koreksi'!$D$5:$D$92,'1600'!A532,'Daftar Koreksi'!$G$5:$G$92,"Peralatan dan mesin",'Daftar Koreksi'!$H$5:$H$92,"&lt;0")-SUMIFS('Daftar Koreksi'!$H$5:$H$92,'Daftar Koreksi'!$D$5:$D$92,'1600'!A532,'Daftar Koreksi'!$G$5:$G$92,"Peralatan dan mesin",'Daftar Koreksi'!$H$5:$H$92,"&lt;0")</f>
        <v>0</v>
      </c>
      <c r="G537" s="17">
        <f t="shared" si="24"/>
        <v>1561774543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10591789000</v>
      </c>
      <c r="E538" s="25">
        <f>SUMIFS('Daftar Koreksi'!$H$5:$H$92,'Daftar Koreksi'!$D$5:$D$92,'1600'!A532,'Daftar Koreksi'!$G$5:$G$92,"Gedung dan Bangunan",'Daftar Koreksi'!$H$5:$H$92,"&gt;0")</f>
        <v>0</v>
      </c>
      <c r="F538" s="25">
        <f>SUMIFS('Daftar Koreksi'!$H$5:$H$92,'Daftar Koreksi'!$D$5:$D$92,'1600'!A532,'Daftar Koreksi'!$G$5:$G$92,"Gedung dan Bangunan",'Daftar Koreksi'!$H$5:$H$92,"&lt;0")-SUMIFS('Daftar Koreksi'!$H$5:$H$92,'Daftar Koreksi'!$D$5:$D$92,'1600'!A532,'Daftar Koreksi'!$G$5:$G$92,"Gedung dan Bangunan",'Daftar Koreksi'!$H$5:$H$92,"&lt;0")-SUMIFS('Daftar Koreksi'!$H$5:$H$92,'Daftar Koreksi'!$D$5:$D$92,'1600'!A532,'Daftar Koreksi'!$G$5:$G$92,"Gedung dan Bangunan",'Daftar Koreksi'!$H$5:$H$92,"&lt;0")</f>
        <v>0</v>
      </c>
      <c r="G538" s="17">
        <f t="shared" si="24"/>
        <v>10591789000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12000000</v>
      </c>
      <c r="E539" s="25">
        <f>SUMIFS('Daftar Koreksi'!$H$5:$H$92,'Daftar Koreksi'!$D$5:$D$92,'1600'!A532,'Daftar Koreksi'!$G$5:$G$92,"Jalan Irigasi Jaringan",'Daftar Koreksi'!$H$5:$H$92,"&gt;0")</f>
        <v>0</v>
      </c>
      <c r="F539" s="25">
        <f>SUMIFS('Daftar Koreksi'!$H$5:$H$92,'Daftar Koreksi'!$D$5:$D$92,'1600'!A532,'Daftar Koreksi'!$G$5:$G$92,"Jalan Irigasi Jaringan",'Daftar Koreksi'!$H$5:$H$92,"&lt;0")-SUMIFS('Daftar Koreksi'!$H$5:$H$92,'Daftar Koreksi'!$D$5:$D$92,'1600'!A532,'Daftar Koreksi'!$G$5:$G$92,"Jalan Irigasi Jaringan",'Daftar Koreksi'!$H$5:$H$92,"&lt;0")-SUMIFS('Daftar Koreksi'!$H$5:$H$92,'Daftar Koreksi'!$D$5:$D$92,'1600'!A532,'Daftar Koreksi'!$G$5:$G$92,"Jalan Irigasi Jaringan",'Daftar Koreksi'!$H$5:$H$92,"&lt;0")</f>
        <v>0</v>
      </c>
      <c r="G539" s="17">
        <f t="shared" si="24"/>
        <v>12000000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4772118</v>
      </c>
      <c r="E540" s="25">
        <f>SUMIFS('Daftar Koreksi'!$H$5:$H$92,'Daftar Koreksi'!$D$5:$D$92,'1600'!A532,'Daftar Koreksi'!$G$5:$G$92,"Aset Tetap Lainnya",'Daftar Koreksi'!$H$5:$H$92,"&gt;0")</f>
        <v>0</v>
      </c>
      <c r="F540" s="25">
        <f>SUMIFS('Daftar Koreksi'!$H$5:$H$92,'Daftar Koreksi'!$D$5:$D$92,'1600'!A532,'Daftar Koreksi'!$G$5:$G$92,"Aset Tetap Lainnya",'Daftar Koreksi'!$H$5:$H$92,"&lt;0")-SUMIFS('Daftar Koreksi'!$H$5:$H$92,'Daftar Koreksi'!$D$5:$D$92,'1600'!A532,'Daftar Koreksi'!$G$5:$G$92,"Aset Tetap Lainnya",'Daftar Koreksi'!$H$5:$H$92,"&lt;0")-SUMIFS('Daftar Koreksi'!$H$5:$H$92,'Daftar Koreksi'!$D$5:$D$92,'1600'!A532,'Daftar Koreksi'!$G$5:$G$92,"Aset Tetap Lainnya",'Daftar Koreksi'!$H$5:$H$92,"&lt;0")</f>
        <v>0</v>
      </c>
      <c r="G540" s="17">
        <f t="shared" si="24"/>
        <v>4772118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Koreksi'!$D$5:$D$92,'1600'!A532,'Daftar Koreksi'!$G$5:$G$92,"Kontruksi Dalam Pengerjaan",'Daftar Koreksi'!$H$5:$H$92,"&gt;0")</f>
        <v>0</v>
      </c>
      <c r="F541" s="25">
        <f>SUMIFS('Daftar Koreksi'!$H$5:$H$92,'Daftar Koreksi'!$D$5:$D$92,'1600'!A532,'Daftar Koreksi'!$G$5:$G$92,"Kontruksi Dalam Pengerjaan",'Daftar Koreksi'!$H$5:$H$92,"&lt;0")-SUMIFS('Daftar Koreksi'!$H$5:$H$92,'Daftar Koreksi'!$D$5:$D$92,'1600'!A532,'Daftar Koreksi'!$G$5:$G$92,"Kontruksi Dalam Pengerjaan",'Daftar Koreksi'!$H$5:$H$92,"&lt;0")-SUMIFS('Daftar Koreksi'!$H$5:$H$92,'Daftar Koreksi'!$D$5:$D$92,'1600'!A532,'Daftar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Koreksi'!$D$5:$D$92,'1600'!A532,'Daftar Koreksi'!$G$5:$G$92,"Aset Tak Berwujud",'Daftar Koreksi'!$H$5:$H$92,"&gt;0")</f>
        <v>0</v>
      </c>
      <c r="F542" s="25">
        <f>SUMIFS('Daftar Koreksi'!$H$5:$H$92,'Daftar Koreksi'!$D$5:$D$92,'1600'!A532,'Daftar Koreksi'!$G$5:$G$92,"Aset Tak Berwujud",'Daftar Koreksi'!$H$5:$H$92,"&lt;0")-SUMIFS('Daftar Koreksi'!$H$5:$H$92,'Daftar Koreksi'!$D$5:$D$92,'1600'!A532,'Daftar Koreksi'!$G$5:$G$92,"Aset Tak Berwujud",'Daftar Koreksi'!$H$5:$H$92,"&lt;0")-SUMIFS('Daftar Koreksi'!$H$5:$H$92,'Daftar Koreksi'!$D$5:$D$92,'1600'!A532,'Daftar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0</v>
      </c>
      <c r="E543" s="25">
        <f>SUMIFS('Daftar Koreksi'!$H$5:$H$92,'Daftar Koreksi'!$D$5:$D$92,'1600'!A532,'Daftar Koreksi'!$G$5:$G$92,"Aset Henti Guna",'Daftar Koreksi'!$H$5:$H$92,"&gt;0")</f>
        <v>0</v>
      </c>
      <c r="F543" s="25">
        <f>SUMIFS('Daftar Koreksi'!$H$5:$H$92,'Daftar Koreksi'!$D$5:$D$92,'1600'!A532,'Daftar Koreksi'!$G$5:$G$92,"Aset Henti Guna",'Daftar Koreksi'!$H$5:$H$92,"&lt;0")-SUMIFS('Daftar Koreksi'!$H$5:$H$92,'Daftar Koreksi'!$D$5:$D$92,'1600'!A532,'Daftar Koreksi'!$G$5:$G$92,"Aset Henti Guna",'Daftar Koreksi'!$H$5:$H$92,"&lt;0")-SUMIFS('Daftar Koreksi'!$H$5:$H$92,'Daftar Koreksi'!$D$5:$D$92,'1600'!A532,'Daftar Koreksi'!$G$5:$G$92,"Aset Henti Guna",'Daftar Koreksi'!$H$5:$H$92,"&lt;0")</f>
        <v>0</v>
      </c>
      <c r="G543" s="17">
        <f t="shared" si="24"/>
        <v>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19223861530</v>
      </c>
      <c r="E544" s="19">
        <f>SUM(E535:E543)</f>
        <v>0</v>
      </c>
      <c r="F544" s="19">
        <f>SUM(F535:F543)</f>
        <v>0</v>
      </c>
      <c r="G544" s="19">
        <f t="shared" si="24"/>
        <v>19223861530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-1262814482</v>
      </c>
      <c r="E545" s="25">
        <f>SUMIFS('Daftar Koreksi'!$I$5:$I$92,'Daftar Koreksi'!$D$5:$D$92,'1600'!A532,'Daftar Koreksi'!$G$5:$G$92,"Peralatan dan mesin",'Daftar Koreksi'!$I$5:$I$92,"&gt;0")</f>
        <v>0</v>
      </c>
      <c r="F545" s="25">
        <f>SUMIFS('Daftar Koreksi'!$I$5:$I$92,'Daftar Koreksi'!$D$5:$D$92,'1600'!A532,'Daftar Koreksi'!$G$5:$G$92,"Peralatan dan mesin",'Daftar Koreksi'!$I$5:$I$92,"&lt;0")-SUMIFS('Daftar Koreksi'!$I$5:$I$92,'Daftar Koreksi'!$D$5:$D$92,'1600'!A532,'Daftar Koreksi'!$G$5:$G$92,"Peralatan dan mesin",'Daftar Koreksi'!$I$5:$I$92,"&lt;0")-SUMIFS('Daftar Koreksi'!$I$5:$I$92,'Daftar Koreksi'!$D$5:$D$92,'1600'!A532,'Daftar Koreksi'!$G$5:$G$92,"Peralatan dan mesin",'Daftar Koreksi'!$I$5:$I$92,"&lt;0")</f>
        <v>0</v>
      </c>
      <c r="G545" s="17">
        <f t="shared" si="24"/>
        <v>-1262814482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-1366348740</v>
      </c>
      <c r="E546" s="25">
        <f>SUMIFS('Daftar Koreksi'!$I$5:$I$92,'Daftar Koreksi'!$D$5:$D$92,'1600'!A532,'Daftar Koreksi'!$G$5:$G$92,"Gedung dan Bangunan",'Daftar Koreksi'!$I$5:$I$92,"&gt;0")</f>
        <v>0</v>
      </c>
      <c r="F546" s="25">
        <f>SUMIFS('Daftar Koreksi'!$I$5:$I$92,'Daftar Koreksi'!$D$5:$D$92,'1600'!A532,'Daftar Koreksi'!$G$5:$G$92,"Gedung dan Bangunan",'Daftar Koreksi'!$I$5:$I$92,"&lt;0")-SUMIFS('Daftar Koreksi'!$I$5:$I$92,'Daftar Koreksi'!$D$5:$D$92,'1600'!A532,'Daftar Koreksi'!$G$5:$G$92,"Gedung dan Bangunan",'Daftar Koreksi'!$I$5:$I$92,"&lt;0")-SUMIFS('Daftar Koreksi'!$I$5:$I$92,'Daftar Koreksi'!$D$5:$D$92,'1600'!A532,'Daftar Koreksi'!$G$5:$G$92,"Gedung dan Bangunan",'Daftar Koreksi'!$I$5:$I$92,"&lt;0")</f>
        <v>0</v>
      </c>
      <c r="G546" s="17">
        <f t="shared" si="24"/>
        <v>-1366348740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-1050000</v>
      </c>
      <c r="E547" s="25">
        <f>SUMIFS('Daftar Koreksi'!$I$5:$I$92,'Daftar Koreksi'!$D$5:$D$92,'1600'!A532,'Daftar Koreksi'!$G$5:$G$92,"Jalan Irigasi Jaringan",'Daftar Koreksi'!$I$5:$I$92,"&gt;0")</f>
        <v>0</v>
      </c>
      <c r="F547" s="25">
        <f>SUMIFS('Daftar Koreksi'!$I$5:$I$92,'Daftar Koreksi'!$D$5:$D$92,'1600'!A532,'Daftar Koreksi'!$G$5:$G$92,"Jalan Irigasi Jaringan",'Daftar Koreksi'!$I$5:$I$92,"&lt;0")-SUMIFS('Daftar Koreksi'!$I$5:$I$92,'Daftar Koreksi'!$D$5:$D$92,'1600'!A532,'Daftar Koreksi'!$G$5:$G$92,"Jalan Irigasi Jaringan",'Daftar Koreksi'!$I$5:$I$92,"&lt;0")-SUMIFS('Daftar Koreksi'!$I$5:$I$92,'Daftar Koreksi'!$D$5:$D$92,'1600'!A532,'Daftar Koreksi'!$G$5:$G$92,"Jalan Irigasi Jaringan",'Daftar Koreksi'!$I$5:$I$92,"&lt;0")</f>
        <v>0</v>
      </c>
      <c r="G547" s="17">
        <f t="shared" si="24"/>
        <v>-1050000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Koreksi'!$D$5:$D$92,'1600'!A532,'Daftar Koreksi'!$G$5:$G$92,"Aset Tetap Lainnya",'Daftar Koreksi'!$I$5:$I$92,"&gt;0")</f>
        <v>0</v>
      </c>
      <c r="F548" s="25">
        <f>SUMIFS('Daftar Koreksi'!$I$5:$I$92,'Daftar Koreksi'!$D$5:$D$92,'1600'!A532,'Daftar Koreksi'!$G$5:$G$92,"Aset Tetap Lainnya",'Daftar Koreksi'!$I$5:$I$92,"&lt;0")-SUMIFS('Daftar Koreksi'!$I$5:$I$92,'Daftar Koreksi'!$D$5:$D$92,'1600'!A532,'Daftar Koreksi'!$G$5:$G$92,"Aset Tetap Lainnya",'Daftar Koreksi'!$I$5:$I$92,"&lt;0")-SUMIFS('Daftar Koreksi'!$I$5:$I$92,'Daftar Koreksi'!$D$5:$D$92,'1600'!A532,'Daftar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0</v>
      </c>
      <c r="E549" s="25">
        <f>SUMIFS('Daftar Koreksi'!$I$5:$I$92,'Daftar Koreksi'!$D$5:$D$92,'1600'!A532,'Daftar Koreksi'!$G$5:$G$92,"Aset Henti Guna",'Daftar Koreksi'!$I$5:$I$92,"&gt;0")</f>
        <v>0</v>
      </c>
      <c r="F549" s="25">
        <f>SUMIFS('Daftar Koreksi'!$I$5:$I$92,'Daftar Koreksi'!$D$5:$D$92,'1600'!A532,'Daftar Koreksi'!$G$5:$G$92,"Aset Henti Guna",'Daftar Koreksi'!$I$5:$I$92,"&lt;0")-SUMIFS('Daftar Koreksi'!$I$5:$I$92,'Daftar Koreksi'!$D$5:$D$92,'1600'!A532,'Daftar Koreksi'!$G$5:$G$92,"Aset Henti Guna",'Daftar Koreksi'!$I$5:$I$92,"&lt;0")-SUMIFS('Daftar Koreksi'!$I$5:$I$92,'Daftar Koreksi'!$D$5:$D$92,'1600'!A532,'Daftar Koreksi'!$G$5:$G$92,"Aset Henti Guna",'Daftar Koreksi'!$I$5:$I$92,"&lt;0")</f>
        <v>0</v>
      </c>
      <c r="G549" s="17">
        <f t="shared" si="24"/>
        <v>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-2630213222</v>
      </c>
      <c r="E550" s="19">
        <f>SUM(E545:E549)</f>
        <v>0</v>
      </c>
      <c r="F550" s="19">
        <f>SUM(F545:F549)</f>
        <v>0</v>
      </c>
      <c r="G550" s="19">
        <f t="shared" si="24"/>
        <v>-2630213222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16593648308</v>
      </c>
      <c r="E551" s="19">
        <f>E550+E544</f>
        <v>0</v>
      </c>
      <c r="F551" s="19">
        <f>F550+F544</f>
        <v>0</v>
      </c>
      <c r="G551" s="19">
        <f t="shared" si="24"/>
        <v>16593648308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005011600682295000KD</v>
      </c>
      <c r="B554" s="11" t="str">
        <f>P26</f>
        <v>PA. Nunukan</v>
      </c>
      <c r="C554" s="12" t="str">
        <f>A554&amp;" "&amp;B554</f>
        <v>005011600682295000KD PA. Nunukan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1036000</v>
      </c>
      <c r="E557" s="25">
        <f>SUMIFS('Daftar Koreksi'!$H$5:$H$92,'Daftar Koreksi'!$D$5:$D$92,'1600'!A554,'Daftar Koreksi'!$G$5:$G$92,"Persediaan",'Daftar Koreksi'!$H$5:$H$92,"&gt;0")</f>
        <v>0</v>
      </c>
      <c r="F557" s="25">
        <f>SUMIFS('Daftar Koreksi'!$H$5:$H$92,'Daftar Koreksi'!$D$5:$D$92,'1600'!A554,'Daftar Koreksi'!$G$5:$G$92,"Persediaan",'Daftar Koreksi'!$H$5:$H$92,"&lt;0")-SUMIFS('Daftar Koreksi'!$H$5:$H$92,'Daftar Koreksi'!$D$5:$D$92,'1600'!A554,'Daftar Koreksi'!$G$5:$G$92,"Persediaan",'Daftar Koreksi'!$H$5:$H$92,"&lt;0")-SUMIFS('Daftar Koreksi'!$H$5:$H$92,'Daftar Koreksi'!$D$5:$D$92,'1600'!A554,'Daftar Koreksi'!$G$5:$G$92,"Persediaan",'Daftar Koreksi'!$H$5:$H$92,"&lt;0")</f>
        <v>0</v>
      </c>
      <c r="G557" s="17">
        <f>D557+E557-F557</f>
        <v>1036000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0</v>
      </c>
      <c r="E558" s="25">
        <f>SUMIFS('Daftar Koreksi'!$H$5:$H$92,'Daftar Koreksi'!$D$5:$D$92,'1600'!A554,'Daftar Koreksi'!$G$5:$G$92,"Tanah",'Daftar Koreksi'!$H$5:$H$92,"&gt;0")</f>
        <v>0</v>
      </c>
      <c r="F558" s="25">
        <f>SUMIFS('Daftar Koreksi'!$H$5:$H$92,'Daftar Koreksi'!$D$5:$D$92,'1600'!A554,'Daftar Koreksi'!$G$5:$G$92,"Tanah",'Daftar Koreksi'!$H$5:$H$92,"&lt;0")-SUMIFS('Daftar Koreksi'!$H$5:$H$92,'Daftar Koreksi'!$D$5:$D$92,'1600'!A554,'Daftar Koreksi'!$G$5:$G$92,"Tanah",'Daftar Koreksi'!$H$5:$H$92,"&lt;0")-SUMIFS('Daftar Koreksi'!$H$5:$H$92,'Daftar Koreksi'!$D$5:$D$92,'1600'!A554,'Daftar Koreksi'!$G$5:$G$92,"Tanah",'Daftar Koreksi'!$H$5:$H$92,"&lt;0")</f>
        <v>0</v>
      </c>
      <c r="G558" s="17">
        <f t="shared" ref="G558:G574" si="25">D558+E558-F558</f>
        <v>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1011297550</v>
      </c>
      <c r="E559" s="25">
        <f>SUMIFS('Daftar Koreksi'!$H$5:$H$92,'Daftar Koreksi'!$D$5:$D$92,'1600'!A554,'Daftar Koreksi'!$G$5:$G$92,"Peralatan dan mesin",'Daftar Koreksi'!$H$5:$H$92,"&gt;0")</f>
        <v>0</v>
      </c>
      <c r="F559" s="25">
        <f>SUMIFS('Daftar Koreksi'!$H$5:$H$92,'Daftar Koreksi'!$D$5:$D$92,'1600'!A554,'Daftar Koreksi'!$G$5:$G$92,"Peralatan dan mesin",'Daftar Koreksi'!$H$5:$H$92,"&lt;0")-SUMIFS('Daftar Koreksi'!$H$5:$H$92,'Daftar Koreksi'!$D$5:$D$92,'1600'!A554,'Daftar Koreksi'!$G$5:$G$92,"Peralatan dan mesin",'Daftar Koreksi'!$H$5:$H$92,"&lt;0")-SUMIFS('Daftar Koreksi'!$H$5:$H$92,'Daftar Koreksi'!$D$5:$D$92,'1600'!A554,'Daftar Koreksi'!$G$5:$G$92,"Peralatan dan mesin",'Daftar Koreksi'!$H$5:$H$92,"&lt;0")</f>
        <v>0</v>
      </c>
      <c r="G559" s="17">
        <f t="shared" si="25"/>
        <v>1011297550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12201843700</v>
      </c>
      <c r="E560" s="25">
        <f>SUMIFS('Daftar Koreksi'!$H$5:$H$92,'Daftar Koreksi'!$D$5:$D$92,'1600'!A554,'Daftar Koreksi'!$G$5:$G$92,"Gedung dan Bangunan",'Daftar Koreksi'!$H$5:$H$92,"&gt;0")</f>
        <v>0</v>
      </c>
      <c r="F560" s="25">
        <f>SUMIFS('Daftar Koreksi'!$H$5:$H$92,'Daftar Koreksi'!$D$5:$D$92,'1600'!A554,'Daftar Koreksi'!$G$5:$G$92,"Gedung dan Bangunan",'Daftar Koreksi'!$H$5:$H$92,"&lt;0")-SUMIFS('Daftar Koreksi'!$H$5:$H$92,'Daftar Koreksi'!$D$5:$D$92,'1600'!A554,'Daftar Koreksi'!$G$5:$G$92,"Gedung dan Bangunan",'Daftar Koreksi'!$H$5:$H$92,"&lt;0")-SUMIFS('Daftar Koreksi'!$H$5:$H$92,'Daftar Koreksi'!$D$5:$D$92,'1600'!A554,'Daftar Koreksi'!$G$5:$G$92,"Gedung dan Bangunan",'Daftar Koreksi'!$H$5:$H$92,"&lt;0")</f>
        <v>0</v>
      </c>
      <c r="G560" s="17">
        <f t="shared" si="25"/>
        <v>12201843700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118880300</v>
      </c>
      <c r="E561" s="25">
        <f>SUMIFS('Daftar Koreksi'!$H$5:$H$92,'Daftar Koreksi'!$D$5:$D$92,'1600'!A554,'Daftar Koreksi'!$G$5:$G$92,"Jalan Irigasi Jaringan",'Daftar Koreksi'!$H$5:$H$92,"&gt;0")</f>
        <v>0</v>
      </c>
      <c r="F561" s="25">
        <f>SUMIFS('Daftar Koreksi'!$H$5:$H$92,'Daftar Koreksi'!$D$5:$D$92,'1600'!A554,'Daftar Koreksi'!$G$5:$G$92,"Jalan Irigasi Jaringan",'Daftar Koreksi'!$H$5:$H$92,"&lt;0")-SUMIFS('Daftar Koreksi'!$H$5:$H$92,'Daftar Koreksi'!$D$5:$D$92,'1600'!A554,'Daftar Koreksi'!$G$5:$G$92,"Jalan Irigasi Jaringan",'Daftar Koreksi'!$H$5:$H$92,"&lt;0")-SUMIFS('Daftar Koreksi'!$H$5:$H$92,'Daftar Koreksi'!$D$5:$D$92,'1600'!A554,'Daftar Koreksi'!$G$5:$G$92,"Jalan Irigasi Jaringan",'Daftar Koreksi'!$H$5:$H$92,"&lt;0")</f>
        <v>0</v>
      </c>
      <c r="G561" s="17">
        <f t="shared" si="25"/>
        <v>118880300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0</v>
      </c>
      <c r="E562" s="25">
        <f>SUMIFS('Daftar Koreksi'!$H$5:$H$92,'Daftar Koreksi'!$D$5:$D$92,'1600'!A554,'Daftar Koreksi'!$G$5:$G$92,"Aset Tetap Lainnya",'Daftar Koreksi'!$H$5:$H$92,"&gt;0")</f>
        <v>0</v>
      </c>
      <c r="F562" s="25">
        <f>SUMIFS('Daftar Koreksi'!$H$5:$H$92,'Daftar Koreksi'!$D$5:$D$92,'1600'!A554,'Daftar Koreksi'!$G$5:$G$92,"Aset Tetap Lainnya",'Daftar Koreksi'!$H$5:$H$92,"&lt;0")-SUMIFS('Daftar Koreksi'!$H$5:$H$92,'Daftar Koreksi'!$D$5:$D$92,'1600'!A554,'Daftar Koreksi'!$G$5:$G$92,"Aset Tetap Lainnya",'Daftar Koreksi'!$H$5:$H$92,"&lt;0")-SUMIFS('Daftar Koreksi'!$H$5:$H$92,'Daftar Koreksi'!$D$5:$D$92,'1600'!A554,'Daftar Koreksi'!$G$5:$G$92,"Aset Tetap Lainnya",'Daftar Koreksi'!$H$5:$H$92,"&lt;0")</f>
        <v>0</v>
      </c>
      <c r="G562" s="17">
        <f t="shared" si="25"/>
        <v>0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Koreksi'!$D$5:$D$92,'1600'!A554,'Daftar Koreksi'!$G$5:$G$92,"Kontruksi Dalam Pengerjaan",'Daftar Koreksi'!$H$5:$H$92,"&gt;0")</f>
        <v>0</v>
      </c>
      <c r="F563" s="25">
        <f>SUMIFS('Daftar Koreksi'!$H$5:$H$92,'Daftar Koreksi'!$D$5:$D$92,'1600'!A554,'Daftar Koreksi'!$G$5:$G$92,"Kontruksi Dalam Pengerjaan",'Daftar Koreksi'!$H$5:$H$92,"&lt;0")-SUMIFS('Daftar Koreksi'!$H$5:$H$92,'Daftar Koreksi'!$D$5:$D$92,'1600'!A554,'Daftar Koreksi'!$G$5:$G$92,"Kontruksi Dalam Pengerjaan",'Daftar Koreksi'!$H$5:$H$92,"&lt;0")-SUMIFS('Daftar Koreksi'!$H$5:$H$92,'Daftar Koreksi'!$D$5:$D$92,'1600'!A554,'Daftar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Koreksi'!$D$5:$D$92,'1600'!A554,'Daftar Koreksi'!$G$5:$G$92,"Aset Tak Berwujud",'Daftar Koreksi'!$H$5:$H$92,"&gt;0")</f>
        <v>0</v>
      </c>
      <c r="F564" s="25">
        <f>SUMIFS('Daftar Koreksi'!$H$5:$H$92,'Daftar Koreksi'!$D$5:$D$92,'1600'!A554,'Daftar Koreksi'!$G$5:$G$92,"Aset Tak Berwujud",'Daftar Koreksi'!$H$5:$H$92,"&lt;0")-SUMIFS('Daftar Koreksi'!$H$5:$H$92,'Daftar Koreksi'!$D$5:$D$92,'1600'!A554,'Daftar Koreksi'!$G$5:$G$92,"Aset Tak Berwujud",'Daftar Koreksi'!$H$5:$H$92,"&lt;0")-SUMIFS('Daftar Koreksi'!$H$5:$H$92,'Daftar Koreksi'!$D$5:$D$92,'1600'!A554,'Daftar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0</v>
      </c>
      <c r="E565" s="25">
        <f>SUMIFS('Daftar Koreksi'!$H$5:$H$92,'Daftar Koreksi'!$D$5:$D$92,'1600'!A554,'Daftar Koreksi'!$G$5:$G$92,"Aset Henti Guna",'Daftar Koreksi'!$H$5:$H$92,"&gt;0")</f>
        <v>0</v>
      </c>
      <c r="F565" s="25">
        <f>SUMIFS('Daftar Koreksi'!$H$5:$H$92,'Daftar Koreksi'!$D$5:$D$92,'1600'!A554,'Daftar Koreksi'!$G$5:$G$92,"Aset Henti Guna",'Daftar Koreksi'!$H$5:$H$92,"&lt;0")-SUMIFS('Daftar Koreksi'!$H$5:$H$92,'Daftar Koreksi'!$D$5:$D$92,'1600'!A554,'Daftar Koreksi'!$G$5:$G$92,"Aset Henti Guna",'Daftar Koreksi'!$H$5:$H$92,"&lt;0")-SUMIFS('Daftar Koreksi'!$H$5:$H$92,'Daftar Koreksi'!$D$5:$D$92,'1600'!A554,'Daftar Koreksi'!$G$5:$G$92,"Aset Henti Guna",'Daftar Koreksi'!$H$5:$H$92,"&lt;0")</f>
        <v>0</v>
      </c>
      <c r="G565" s="17">
        <f t="shared" si="25"/>
        <v>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13333057550</v>
      </c>
      <c r="E566" s="19">
        <f>SUM(E557:E565)</f>
        <v>0</v>
      </c>
      <c r="F566" s="19">
        <f>SUM(F557:F565)</f>
        <v>0</v>
      </c>
      <c r="G566" s="19">
        <f t="shared" si="25"/>
        <v>13333057550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-344973802</v>
      </c>
      <c r="E567" s="25">
        <f>SUMIFS('Daftar Koreksi'!$I$5:$I$92,'Daftar Koreksi'!$D$5:$D$92,'1600'!A554,'Daftar Koreksi'!$G$5:$G$92,"Peralatan dan mesin",'Daftar Koreksi'!$I$5:$I$92,"&gt;0")</f>
        <v>0</v>
      </c>
      <c r="F567" s="25">
        <f>SUMIFS('Daftar Koreksi'!$I$5:$I$92,'Daftar Koreksi'!$D$5:$D$92,'1600'!A554,'Daftar Koreksi'!$G$5:$G$92,"Peralatan dan mesin",'Daftar Koreksi'!$I$5:$I$92,"&lt;0")-SUMIFS('Daftar Koreksi'!$I$5:$I$92,'Daftar Koreksi'!$D$5:$D$92,'1600'!A554,'Daftar Koreksi'!$G$5:$G$92,"Peralatan dan mesin",'Daftar Koreksi'!$I$5:$I$92,"&lt;0")-SUMIFS('Daftar Koreksi'!$I$5:$I$92,'Daftar Koreksi'!$D$5:$D$92,'1600'!A554,'Daftar Koreksi'!$G$5:$G$92,"Peralatan dan mesin",'Daftar Koreksi'!$I$5:$I$92,"&lt;0")</f>
        <v>0</v>
      </c>
      <c r="G567" s="17">
        <f t="shared" si="25"/>
        <v>-344973802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-230271397</v>
      </c>
      <c r="E568" s="25">
        <f>SUMIFS('Daftar Koreksi'!$I$5:$I$92,'Daftar Koreksi'!$D$5:$D$92,'1600'!A554,'Daftar Koreksi'!$G$5:$G$92,"Gedung dan Bangunan",'Daftar Koreksi'!$I$5:$I$92,"&gt;0")</f>
        <v>0</v>
      </c>
      <c r="F568" s="25">
        <f>SUMIFS('Daftar Koreksi'!$I$5:$I$92,'Daftar Koreksi'!$D$5:$D$92,'1600'!A554,'Daftar Koreksi'!$G$5:$G$92,"Gedung dan Bangunan",'Daftar Koreksi'!$I$5:$I$92,"&lt;0")-SUMIFS('Daftar Koreksi'!$I$5:$I$92,'Daftar Koreksi'!$D$5:$D$92,'1600'!A554,'Daftar Koreksi'!$G$5:$G$92,"Gedung dan Bangunan",'Daftar Koreksi'!$I$5:$I$92,"&lt;0")-SUMIFS('Daftar Koreksi'!$I$5:$I$92,'Daftar Koreksi'!$D$5:$D$92,'1600'!A554,'Daftar Koreksi'!$G$5:$G$92,"Gedung dan Bangunan",'Daftar Koreksi'!$I$5:$I$92,"&lt;0")</f>
        <v>0</v>
      </c>
      <c r="G568" s="17">
        <f t="shared" si="25"/>
        <v>-230271397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-1486004</v>
      </c>
      <c r="E569" s="25">
        <f>SUMIFS('Daftar Koreksi'!$I$5:$I$92,'Daftar Koreksi'!$D$5:$D$92,'1600'!A554,'Daftar Koreksi'!$G$5:$G$92,"Jalan Irigasi Jaringan",'Daftar Koreksi'!$I$5:$I$92,"&gt;0")</f>
        <v>0</v>
      </c>
      <c r="F569" s="25">
        <f>SUMIFS('Daftar Koreksi'!$I$5:$I$92,'Daftar Koreksi'!$D$5:$D$92,'1600'!A554,'Daftar Koreksi'!$G$5:$G$92,"Jalan Irigasi Jaringan",'Daftar Koreksi'!$I$5:$I$92,"&lt;0")-SUMIFS('Daftar Koreksi'!$I$5:$I$92,'Daftar Koreksi'!$D$5:$D$92,'1600'!A554,'Daftar Koreksi'!$G$5:$G$92,"Jalan Irigasi Jaringan",'Daftar Koreksi'!$I$5:$I$92,"&lt;0")-SUMIFS('Daftar Koreksi'!$I$5:$I$92,'Daftar Koreksi'!$D$5:$D$92,'1600'!A554,'Daftar Koreksi'!$G$5:$G$92,"Jalan Irigasi Jaringan",'Daftar Koreksi'!$I$5:$I$92,"&lt;0")</f>
        <v>0</v>
      </c>
      <c r="G569" s="17">
        <f t="shared" si="25"/>
        <v>-1486004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Koreksi'!$D$5:$D$92,'1600'!A554,'Daftar Koreksi'!$G$5:$G$92,"Aset Tetap Lainnya",'Daftar Koreksi'!$I$5:$I$92,"&gt;0")</f>
        <v>0</v>
      </c>
      <c r="F570" s="25">
        <f>SUMIFS('Daftar Koreksi'!$I$5:$I$92,'Daftar Koreksi'!$D$5:$D$92,'1600'!A554,'Daftar Koreksi'!$G$5:$G$92,"Aset Tetap Lainnya",'Daftar Koreksi'!$I$5:$I$92,"&lt;0")-SUMIFS('Daftar Koreksi'!$I$5:$I$92,'Daftar Koreksi'!$D$5:$D$92,'1600'!A554,'Daftar Koreksi'!$G$5:$G$92,"Aset Tetap Lainnya",'Daftar Koreksi'!$I$5:$I$92,"&lt;0")-SUMIFS('Daftar Koreksi'!$I$5:$I$92,'Daftar Koreksi'!$D$5:$D$92,'1600'!A554,'Daftar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0</v>
      </c>
      <c r="E571" s="25">
        <f>SUMIFS('Daftar Koreksi'!$I$5:$I$92,'Daftar Koreksi'!$D$5:$D$92,'1600'!A554,'Daftar Koreksi'!$G$5:$G$92,"Aset Henti Guna",'Daftar Koreksi'!$I$5:$I$92,"&gt;0")</f>
        <v>0</v>
      </c>
      <c r="F571" s="25">
        <f>SUMIFS('Daftar Koreksi'!$I$5:$I$92,'Daftar Koreksi'!$D$5:$D$92,'1600'!A554,'Daftar Koreksi'!$G$5:$G$92,"Aset Henti Guna",'Daftar Koreksi'!$I$5:$I$92,"&lt;0")-SUMIFS('Daftar Koreksi'!$I$5:$I$92,'Daftar Koreksi'!$D$5:$D$92,'1600'!A554,'Daftar Koreksi'!$G$5:$G$92,"Aset Henti Guna",'Daftar Koreksi'!$I$5:$I$92,"&lt;0")-SUMIFS('Daftar Koreksi'!$I$5:$I$92,'Daftar Koreksi'!$D$5:$D$92,'1600'!A554,'Daftar Koreksi'!$G$5:$G$92,"Aset Henti Guna",'Daftar Koreksi'!$I$5:$I$92,"&lt;0")</f>
        <v>0</v>
      </c>
      <c r="G571" s="17">
        <f t="shared" si="25"/>
        <v>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-576731203</v>
      </c>
      <c r="E572" s="19">
        <f>SUM(E567:E571)</f>
        <v>0</v>
      </c>
      <c r="F572" s="19">
        <f>SUM(F567:F571)</f>
        <v>0</v>
      </c>
      <c r="G572" s="19">
        <f t="shared" si="25"/>
        <v>-576731203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12756326347</v>
      </c>
      <c r="E573" s="19">
        <f>E572+E566</f>
        <v>0</v>
      </c>
      <c r="F573" s="19">
        <f>F572+F566</f>
        <v>0</v>
      </c>
      <c r="G573" s="19">
        <f t="shared" si="25"/>
        <v>12756326347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</sheetData>
  <mergeCells count="156">
    <mergeCell ref="H469:H486"/>
    <mergeCell ref="H491:H508"/>
    <mergeCell ref="H513:H530"/>
    <mergeCell ref="H535:H552"/>
    <mergeCell ref="H557:H574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11" manualBreakCount="11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P376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7.28515625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547</v>
      </c>
      <c r="P1" s="8" t="s">
        <v>1685</v>
      </c>
    </row>
    <row r="2" spans="1:16" ht="19.5" customHeight="1">
      <c r="C2" s="9" t="s">
        <v>2113</v>
      </c>
      <c r="O2" s="8" t="s">
        <v>548</v>
      </c>
      <c r="P2" s="8" t="s">
        <v>1686</v>
      </c>
    </row>
    <row r="3" spans="1:16" ht="19.5" customHeight="1">
      <c r="O3" s="8" t="s">
        <v>549</v>
      </c>
      <c r="P3" s="8" t="s">
        <v>1687</v>
      </c>
    </row>
    <row r="4" spans="1:16" ht="19.5" customHeight="1">
      <c r="A4" s="11" t="str">
        <f>O1</f>
        <v>005011700099312000KD</v>
      </c>
      <c r="B4" s="11" t="str">
        <f>P1</f>
        <v>PT. Manado</v>
      </c>
      <c r="C4" s="12" t="str">
        <f>A4&amp;" "&amp;B4</f>
        <v>005011700099312000KD PT. Manado</v>
      </c>
      <c r="D4" s="13"/>
      <c r="E4" s="13"/>
      <c r="F4" s="13"/>
      <c r="G4" s="13"/>
      <c r="H4" s="11"/>
      <c r="O4" s="8" t="s">
        <v>550</v>
      </c>
      <c r="P4" s="8" t="s">
        <v>1688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551</v>
      </c>
      <c r="P5" s="8" t="s">
        <v>1689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552</v>
      </c>
      <c r="P6" s="8" t="s">
        <v>1690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3277700</v>
      </c>
      <c r="E7" s="25">
        <f>SUMIFS('Daftar Koreksi'!$H$5:$H$92,'Daftar Koreksi'!$D$5:$D$92,'1700'!A4,'Daftar Koreksi'!$G$5:$G$92,"Persediaan",'Daftar Koreksi'!$H$5:$H$92,"&gt;0")</f>
        <v>0</v>
      </c>
      <c r="F7" s="25">
        <f>SUMIFS('Daftar Koreksi'!$H$5:$H$92,'Daftar Koreksi'!$D$5:$D$92,'1700'!A4,'Daftar Koreksi'!$G$5:$G$92,"Persediaan",'Daftar Koreksi'!$H$5:$H$92,"&lt;0")-SUMIFS('Daftar Koreksi'!$H$5:$H$92,'Daftar Koreksi'!$D$5:$D$92,'1700'!A4,'Daftar Koreksi'!$G$5:$G$92,"Persediaan",'Daftar Koreksi'!$H$5:$H$92,"&lt;0")-SUMIFS('Daftar Koreksi'!$H$5:$H$92,'Daftar Koreksi'!$D$5:$D$92,'1700'!A4,'Daftar Koreksi'!$G$5:$G$92,"Persediaan",'Daftar Koreksi'!$H$5:$H$92,"&lt;0")</f>
        <v>0</v>
      </c>
      <c r="G7" s="17">
        <f>D7+E7-F7</f>
        <v>3277700</v>
      </c>
      <c r="H7" s="121" t="str">
        <f>IF(ISNA(VLOOKUP(A4,'Mutasi Neraca'!$A$3:$S$914,19,FALSE)),"-",VLOOKUP(A4,'Mutasi Neraca'!$A$3:$S$914,19,FALSE))</f>
        <v>-</v>
      </c>
      <c r="O7" s="8" t="s">
        <v>553</v>
      </c>
      <c r="P7" s="8" t="s">
        <v>1691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33648187000</v>
      </c>
      <c r="E8" s="25">
        <f>SUMIFS('Daftar Koreksi'!$H$5:$H$92,'Daftar Koreksi'!$D$5:$D$92,'1700'!A4,'Daftar Koreksi'!$G$5:$G$92,"Tanah",'Daftar Koreksi'!$H$5:$H$92,"&gt;0")</f>
        <v>0</v>
      </c>
      <c r="F8" s="25">
        <f>SUMIFS('Daftar Koreksi'!$H$5:$H$92,'Daftar Koreksi'!$D$5:$D$92,'1700'!A4,'Daftar Koreksi'!$G$5:$G$92,"Tanah",'Daftar Koreksi'!$H$5:$H$92,"&lt;0")-SUMIFS('Daftar Koreksi'!$H$5:$H$92,'Daftar Koreksi'!$D$5:$D$92,'1700'!A4,'Daftar Koreksi'!$G$5:$G$92,"Tanah",'Daftar Koreksi'!$H$5:$H$92,"&lt;0")-SUMIFS('Daftar Koreksi'!$H$5:$H$92,'Daftar Koreksi'!$D$5:$D$92,'1700'!A4,'Daftar Koreksi'!$G$5:$G$92,"Tanah",'Daftar Koreksi'!$H$5:$H$92,"&lt;0")</f>
        <v>0</v>
      </c>
      <c r="G8" s="17">
        <f t="shared" ref="G8:G24" si="0">D8+E8-F8</f>
        <v>33648187000</v>
      </c>
      <c r="H8" s="122"/>
      <c r="O8" s="8" t="s">
        <v>554</v>
      </c>
      <c r="P8" s="8" t="s">
        <v>1692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4464598753</v>
      </c>
      <c r="E9" s="25">
        <f>SUMIFS('Daftar Koreksi'!$H$5:$H$92,'Daftar Koreksi'!$D$5:$D$92,'1700'!A4,'Daftar Koreksi'!$G$5:$G$92,"Peralatan dan mesin",'Daftar Koreksi'!$H$5:$H$92,"&gt;0")</f>
        <v>0</v>
      </c>
      <c r="F9" s="25">
        <f>SUMIFS('Daftar Koreksi'!$H$5:$H$92,'Daftar Koreksi'!$D$5:$D$92,'1700'!A4,'Daftar Koreksi'!$G$5:$G$92,"Peralatan dan mesin",'Daftar Koreksi'!$H$5:$H$92,"&lt;0")-SUMIFS('Daftar Koreksi'!$H$5:$H$92,'Daftar Koreksi'!$D$5:$D$92,'1700'!A4,'Daftar Koreksi'!$G$5:$G$92,"Peralatan dan mesin",'Daftar Koreksi'!$H$5:$H$92,"&lt;0")-SUMIFS('Daftar Koreksi'!$H$5:$H$92,'Daftar Koreksi'!$D$5:$D$92,'1700'!A4,'Daftar Koreksi'!$G$5:$G$92,"Peralatan dan mesin",'Daftar Koreksi'!$H$5:$H$92,"&lt;0")</f>
        <v>0</v>
      </c>
      <c r="G9" s="17">
        <f t="shared" si="0"/>
        <v>4464598753</v>
      </c>
      <c r="H9" s="122"/>
      <c r="O9" s="8" t="s">
        <v>555</v>
      </c>
      <c r="P9" s="8" t="s">
        <v>1693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7657389398</v>
      </c>
      <c r="E10" s="25">
        <f>SUMIFS('Daftar Koreksi'!$H$5:$H$92,'Daftar Koreksi'!$D$5:$D$92,'1700'!A4,'Daftar Koreksi'!$G$5:$G$92,"Gedung dan Bangunan",'Daftar Koreksi'!$H$5:$H$92,"&gt;0")</f>
        <v>0</v>
      </c>
      <c r="F10" s="25">
        <f>SUMIFS('Daftar Koreksi'!$H$5:$H$92,'Daftar Koreksi'!$D$5:$D$92,'1700'!A4,'Daftar Koreksi'!$G$5:$G$92,"Gedung dan Bangunan",'Daftar Koreksi'!$H$5:$H$92,"&lt;0")-SUMIFS('Daftar Koreksi'!$H$5:$H$92,'Daftar Koreksi'!$D$5:$D$92,'1700'!A4,'Daftar Koreksi'!$G$5:$G$92,"Gedung dan Bangunan",'Daftar Koreksi'!$H$5:$H$92,"&lt;0")-SUMIFS('Daftar Koreksi'!$H$5:$H$92,'Daftar Koreksi'!$D$5:$D$92,'1700'!A4,'Daftar Koreksi'!$G$5:$G$92,"Gedung dan Bangunan",'Daftar Koreksi'!$H$5:$H$92,"&lt;0")</f>
        <v>0</v>
      </c>
      <c r="G10" s="17">
        <f t="shared" si="0"/>
        <v>7657389398</v>
      </c>
      <c r="H10" s="122"/>
      <c r="O10" s="8" t="s">
        <v>556</v>
      </c>
      <c r="P10" s="8" t="s">
        <v>1694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471121999</v>
      </c>
      <c r="E11" s="25">
        <f>SUMIFS('Daftar Koreksi'!$H$5:$H$92,'Daftar Koreksi'!$D$5:$D$92,'1700'!A4,'Daftar Koreksi'!$G$5:$G$92,"Jalan Irigasi Jaringan",'Daftar Koreksi'!$H$5:$H$92,"&gt;0")</f>
        <v>0</v>
      </c>
      <c r="F11" s="25">
        <f>SUMIFS('Daftar Koreksi'!$H$5:$H$92,'Daftar Koreksi'!$D$5:$D$92,'1700'!A4,'Daftar Koreksi'!$G$5:$G$92,"Jalan Irigasi Jaringan",'Daftar Koreksi'!$H$5:$H$92,"&lt;0")-SUMIFS('Daftar Koreksi'!$H$5:$H$92,'Daftar Koreksi'!$D$5:$D$92,'1700'!A4,'Daftar Koreksi'!$G$5:$G$92,"Jalan Irigasi Jaringan",'Daftar Koreksi'!$H$5:$H$92,"&lt;0")-SUMIFS('Daftar Koreksi'!$H$5:$H$92,'Daftar Koreksi'!$D$5:$D$92,'1700'!A4,'Daftar Koreksi'!$G$5:$G$92,"Jalan Irigasi Jaringan",'Daftar Koreksi'!$H$5:$H$92,"&lt;0")</f>
        <v>0</v>
      </c>
      <c r="G11" s="17">
        <f t="shared" si="0"/>
        <v>471121999</v>
      </c>
      <c r="H11" s="122"/>
      <c r="O11" s="8" t="s">
        <v>557</v>
      </c>
      <c r="P11" s="8" t="s">
        <v>1695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103149990</v>
      </c>
      <c r="E12" s="25">
        <f>SUMIFS('Daftar Koreksi'!$H$5:$H$92,'Daftar Koreksi'!$D$5:$D$92,'1700'!A4,'Daftar Koreksi'!$G$5:$G$92,"Aset Tetap Lainnya",'Daftar Koreksi'!$H$5:$H$92,"&gt;0")</f>
        <v>0</v>
      </c>
      <c r="F12" s="25">
        <f>SUMIFS('Daftar Koreksi'!$H$5:$H$92,'Daftar Koreksi'!$D$5:$D$92,'1700'!A4,'Daftar Koreksi'!$G$5:$G$92,"Aset Tetap Lainnya",'Daftar Koreksi'!$H$5:$H$92,"&lt;0")-SUMIFS('Daftar Koreksi'!$H$5:$H$92,'Daftar Koreksi'!$D$5:$D$92,'1700'!A4,'Daftar Koreksi'!$G$5:$G$92,"Aset Tetap Lainnya",'Daftar Koreksi'!$H$5:$H$92,"&lt;0")-SUMIFS('Daftar Koreksi'!$H$5:$H$92,'Daftar Koreksi'!$D$5:$D$92,'1700'!A4,'Daftar Koreksi'!$G$5:$G$92,"Aset Tetap Lainnya",'Daftar Koreksi'!$H$5:$H$92,"&lt;0")</f>
        <v>0</v>
      </c>
      <c r="G12" s="17">
        <f t="shared" si="0"/>
        <v>103149990</v>
      </c>
      <c r="H12" s="122"/>
      <c r="O12" s="8" t="s">
        <v>558</v>
      </c>
      <c r="P12" s="8" t="s">
        <v>1696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Koreksi'!$D$5:$D$92,'1700'!A4,'Daftar Koreksi'!$G$5:$G$92,"Kontruksi Dalam Pengerjaan",'Daftar Koreksi'!$H$5:$H$92,"&gt;0")</f>
        <v>0</v>
      </c>
      <c r="F13" s="25">
        <f>SUMIFS('Daftar Koreksi'!$H$5:$H$92,'Daftar Koreksi'!$D$5:$D$92,'1700'!A4,'Daftar Koreksi'!$G$5:$G$92,"Kontruksi Dalam Pengerjaan",'Daftar Koreksi'!$H$5:$H$92,"&lt;0")-SUMIFS('Daftar Koreksi'!$H$5:$H$92,'Daftar Koreksi'!$D$5:$D$92,'1700'!A4,'Daftar Koreksi'!$G$5:$G$92,"Kontruksi Dalam Pengerjaan",'Daftar Koreksi'!$H$5:$H$92,"&lt;0")-SUMIFS('Daftar Koreksi'!$H$5:$H$92,'Daftar Koreksi'!$D$5:$D$92,'1700'!A4,'Daftar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559</v>
      </c>
      <c r="P13" s="8" t="s">
        <v>1697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35200000</v>
      </c>
      <c r="E14" s="25">
        <f>SUMIFS('Daftar Koreksi'!$H$5:$H$92,'Daftar Koreksi'!$D$5:$D$92,'1700'!A4,'Daftar Koreksi'!$G$5:$G$92,"Aset Tak Berwujud",'Daftar Koreksi'!$H$5:$H$92,"&gt;0")</f>
        <v>0</v>
      </c>
      <c r="F14" s="25">
        <f>SUMIFS('Daftar Koreksi'!$H$5:$H$92,'Daftar Koreksi'!$D$5:$D$92,'1700'!A4,'Daftar Koreksi'!$G$5:$G$92,"Aset Tak Berwujud",'Daftar Koreksi'!$H$5:$H$92,"&lt;0")-SUMIFS('Daftar Koreksi'!$H$5:$H$92,'Daftar Koreksi'!$D$5:$D$92,'1700'!A4,'Daftar Koreksi'!$G$5:$G$92,"Aset Tak Berwujud",'Daftar Koreksi'!$H$5:$H$92,"&lt;0")-SUMIFS('Daftar Koreksi'!$H$5:$H$92,'Daftar Koreksi'!$D$5:$D$92,'1700'!A4,'Daftar Koreksi'!$G$5:$G$92,"Aset Tak Berwujud",'Daftar Koreksi'!$H$5:$H$92,"&lt;0")</f>
        <v>0</v>
      </c>
      <c r="G14" s="17">
        <f t="shared" si="0"/>
        <v>35200000</v>
      </c>
      <c r="H14" s="122"/>
      <c r="O14" s="8" t="s">
        <v>560</v>
      </c>
      <c r="P14" s="8" t="s">
        <v>1698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Koreksi'!$D$5:$D$92,'1700'!A4,'Daftar Koreksi'!$G$5:$G$92,"Aset Henti Guna",'Daftar Koreksi'!$H$5:$H$92,"&gt;0")</f>
        <v>0</v>
      </c>
      <c r="F15" s="25">
        <f>SUMIFS('Daftar Koreksi'!$H$5:$H$92,'Daftar Koreksi'!$D$5:$D$92,'1700'!A4,'Daftar Koreksi'!$G$5:$G$92,"Aset Henti Guna",'Daftar Koreksi'!$H$5:$H$92,"&lt;0")-SUMIFS('Daftar Koreksi'!$H$5:$H$92,'Daftar Koreksi'!$D$5:$D$92,'1700'!A4,'Daftar Koreksi'!$G$5:$G$92,"Aset Henti Guna",'Daftar Koreksi'!$H$5:$H$92,"&lt;0")-SUMIFS('Daftar Koreksi'!$H$5:$H$92,'Daftar Koreksi'!$D$5:$D$92,'1700'!A4,'Daftar Koreksi'!$G$5:$G$92,"Aset Henti Guna",'Daftar Koreksi'!$H$5:$H$92,"&lt;0")</f>
        <v>0</v>
      </c>
      <c r="G15" s="17">
        <f t="shared" si="0"/>
        <v>0</v>
      </c>
      <c r="H15" s="122"/>
      <c r="O15" s="8" t="s">
        <v>561</v>
      </c>
      <c r="P15" s="8" t="s">
        <v>1699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46382924840</v>
      </c>
      <c r="E16" s="19">
        <f>SUM(E7:E15)</f>
        <v>0</v>
      </c>
      <c r="F16" s="19">
        <f>SUM(F7:F15)</f>
        <v>0</v>
      </c>
      <c r="G16" s="19">
        <f t="shared" si="0"/>
        <v>46382924840</v>
      </c>
      <c r="H16" s="122"/>
      <c r="O16" s="8" t="s">
        <v>562</v>
      </c>
      <c r="P16" s="8" t="s">
        <v>1700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-3887150255</v>
      </c>
      <c r="E17" s="25">
        <f>SUMIFS('Daftar Koreksi'!$I$5:$I$92,'Daftar Koreksi'!$D$5:$D$92,'1700'!A4,'Daftar Koreksi'!$G$5:$G$92,"Peralatan dan mesin",'Daftar Koreksi'!$I$5:$I$92,"&gt;0")</f>
        <v>0</v>
      </c>
      <c r="F17" s="25">
        <f>SUMIFS('Daftar Koreksi'!$I$5:$I$92,'Daftar Koreksi'!$D$5:$D$92,'1700'!A4,'Daftar Koreksi'!$G$5:$G$92,"Peralatan dan mesin",'Daftar Koreksi'!$I$5:$I$92,"&lt;0")-SUMIFS('Daftar Koreksi'!$I$5:$I$92,'Daftar Koreksi'!$D$5:$D$92,'1700'!A4,'Daftar Koreksi'!$G$5:$G$92,"Peralatan dan mesin",'Daftar Koreksi'!$I$5:$I$92,"&lt;0")-SUMIFS('Daftar Koreksi'!$I$5:$I$92,'Daftar Koreksi'!$D$5:$D$92,'1700'!A4,'Daftar Koreksi'!$G$5:$G$92,"Peralatan dan mesin",'Daftar Koreksi'!$I$5:$I$92,"&lt;0")</f>
        <v>0</v>
      </c>
      <c r="G17" s="17">
        <f t="shared" si="0"/>
        <v>-3887150255</v>
      </c>
      <c r="H17" s="122"/>
      <c r="O17" s="8" t="s">
        <v>563</v>
      </c>
      <c r="P17" s="8" t="s">
        <v>1701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-2890238679</v>
      </c>
      <c r="E18" s="25">
        <f>SUMIFS('Daftar Koreksi'!$I$5:$I$92,'Daftar Koreksi'!$D$5:$D$92,'1700'!A4,'Daftar Koreksi'!$G$5:$G$92,"Gedung dan Bangunan",'Daftar Koreksi'!$I$5:$I$92,"&gt;0")</f>
        <v>0</v>
      </c>
      <c r="F18" s="25">
        <f>SUMIFS('Daftar Koreksi'!$I$5:$I$92,'Daftar Koreksi'!$D$5:$D$92,'1700'!A4,'Daftar Koreksi'!$G$5:$G$92,"Gedung dan Bangunan",'Daftar Koreksi'!$I$5:$I$92,"&lt;0")-SUMIFS('Daftar Koreksi'!$I$5:$I$92,'Daftar Koreksi'!$D$5:$D$92,'1700'!A4,'Daftar Koreksi'!$G$5:$G$92,"Gedung dan Bangunan",'Daftar Koreksi'!$I$5:$I$92,"&lt;0")-SUMIFS('Daftar Koreksi'!$I$5:$I$92,'Daftar Koreksi'!$D$5:$D$92,'1700'!A4,'Daftar Koreksi'!$G$5:$G$92,"Gedung dan Bangunan",'Daftar Koreksi'!$I$5:$I$92,"&lt;0")</f>
        <v>0</v>
      </c>
      <c r="G18" s="17">
        <f t="shared" si="0"/>
        <v>-2890238679</v>
      </c>
      <c r="H18" s="122"/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-217686857</v>
      </c>
      <c r="E19" s="25">
        <f>SUMIFS('Daftar Koreksi'!$I$5:$I$92,'Daftar Koreksi'!$D$5:$D$92,'1700'!A4,'Daftar Koreksi'!$G$5:$G$92,"Jalan Irigasi Jaringan",'Daftar Koreksi'!$I$5:$I$92,"&gt;0")</f>
        <v>0</v>
      </c>
      <c r="F19" s="25">
        <f>SUMIFS('Daftar Koreksi'!$I$5:$I$92,'Daftar Koreksi'!$D$5:$D$92,'1700'!A4,'Daftar Koreksi'!$G$5:$G$92,"Jalan Irigasi Jaringan",'Daftar Koreksi'!$I$5:$I$92,"&lt;0")-SUMIFS('Daftar Koreksi'!$I$5:$I$92,'Daftar Koreksi'!$D$5:$D$92,'1700'!A4,'Daftar Koreksi'!$G$5:$G$92,"Jalan Irigasi Jaringan",'Daftar Koreksi'!$I$5:$I$92,"&lt;0")-SUMIFS('Daftar Koreksi'!$I$5:$I$92,'Daftar Koreksi'!$D$5:$D$92,'1700'!A4,'Daftar Koreksi'!$G$5:$G$92,"Jalan Irigasi Jaringan",'Daftar Koreksi'!$I$5:$I$92,"&lt;0")</f>
        <v>0</v>
      </c>
      <c r="G19" s="17">
        <f t="shared" si="0"/>
        <v>-217686857</v>
      </c>
      <c r="H19" s="122"/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-7100000</v>
      </c>
      <c r="E20" s="25">
        <f>SUMIFS('Daftar Koreksi'!$I$5:$I$92,'Daftar Koreksi'!$D$5:$D$92,'1700'!A4,'Daftar Koreksi'!$G$5:$G$92,"Aset Tetap Lainnya",'Daftar Koreksi'!$I$5:$I$92,"&gt;0")</f>
        <v>0</v>
      </c>
      <c r="F20" s="25">
        <f>SUMIFS('Daftar Koreksi'!$I$5:$I$92,'Daftar Koreksi'!$D$5:$D$92,'1700'!A4,'Daftar Koreksi'!$G$5:$G$92,"Aset Tetap Lainnya",'Daftar Koreksi'!$I$5:$I$92,"&lt;0")-SUMIFS('Daftar Koreksi'!$I$5:$I$92,'Daftar Koreksi'!$D$5:$D$92,'1700'!A4,'Daftar Koreksi'!$G$5:$G$92,"Aset Tetap Lainnya",'Daftar Koreksi'!$I$5:$I$92,"&lt;0")-SUMIFS('Daftar Koreksi'!$I$5:$I$92,'Daftar Koreksi'!$D$5:$D$92,'1700'!A4,'Daftar Koreksi'!$G$5:$G$92,"Aset Tetap Lainnya",'Daftar Koreksi'!$I$5:$I$92,"&lt;0")</f>
        <v>0</v>
      </c>
      <c r="G20" s="17">
        <f t="shared" si="0"/>
        <v>-7100000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Koreksi'!$D$5:$D$92,'1700'!A4,'Daftar Koreksi'!$G$5:$G$92,"Aset Henti Guna",'Daftar Koreksi'!$I$5:$I$92,"&gt;0")</f>
        <v>0</v>
      </c>
      <c r="F21" s="25">
        <f>SUMIFS('Daftar Koreksi'!$I$5:$I$92,'Daftar Koreksi'!$D$5:$D$92,'1700'!A4,'Daftar Koreksi'!$G$5:$G$92,"Aset Henti Guna",'Daftar Koreksi'!$I$5:$I$92,"&lt;0")-SUMIFS('Daftar Koreksi'!$I$5:$I$92,'Daftar Koreksi'!$D$5:$D$92,'1700'!A4,'Daftar Koreksi'!$G$5:$G$92,"Aset Henti Guna",'Daftar Koreksi'!$I$5:$I$92,"&lt;0")-SUMIFS('Daftar Koreksi'!$I$5:$I$92,'Daftar Koreksi'!$D$5:$D$92,'1700'!A4,'Daftar Koreksi'!$G$5:$G$92,"Aset Henti Guna",'Daftar Koreksi'!$I$5:$I$92,"&lt;0")</f>
        <v>0</v>
      </c>
      <c r="G21" s="17">
        <f t="shared" si="0"/>
        <v>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-7002175791</v>
      </c>
      <c r="E22" s="19">
        <f>SUM(E17:E21)</f>
        <v>0</v>
      </c>
      <c r="F22" s="19">
        <f>SUM(F17:F21)</f>
        <v>0</v>
      </c>
      <c r="G22" s="19">
        <f t="shared" si="0"/>
        <v>-7002175791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39380749049</v>
      </c>
      <c r="E23" s="19">
        <f>E22+E16</f>
        <v>0</v>
      </c>
      <c r="F23" s="19">
        <f>F22+F16</f>
        <v>0</v>
      </c>
      <c r="G23" s="19">
        <f t="shared" si="0"/>
        <v>39380749049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005011700099329000KD</v>
      </c>
      <c r="B26" s="11" t="str">
        <f>P2</f>
        <v>PN. Manado</v>
      </c>
      <c r="C26" s="12" t="str">
        <f>A26&amp;" "&amp;B26</f>
        <v>005011700099329000KD PN. Manado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50860112</v>
      </c>
      <c r="E29" s="25">
        <f>SUMIFS('Daftar Koreksi'!$H$5:$H$92,'Daftar Koreksi'!$D$5:$D$92,'1700'!A26,'Daftar Koreksi'!$G$5:$G$92,"Persediaan",'Daftar Koreksi'!$H$5:$H$92,"&gt;0")</f>
        <v>0</v>
      </c>
      <c r="F29" s="25">
        <f>SUMIFS('Daftar Koreksi'!$H$5:$H$92,'Daftar Koreksi'!$D$5:$D$92,'1700'!A26,'Daftar Koreksi'!$G$5:$G$92,"Persediaan",'Daftar Koreksi'!$H$5:$H$92,"&lt;0")-SUMIFS('Daftar Koreksi'!$H$5:$H$92,'Daftar Koreksi'!$D$5:$D$92,'1700'!A26,'Daftar Koreksi'!$G$5:$G$92,"Persediaan",'Daftar Koreksi'!$H$5:$H$92,"&lt;0")-SUMIFS('Daftar Koreksi'!$H$5:$H$92,'Daftar Koreksi'!$D$5:$D$92,'1700'!A26,'Daftar Koreksi'!$G$5:$G$92,"Persediaan",'Daftar Koreksi'!$H$5:$H$92,"&lt;0")</f>
        <v>0</v>
      </c>
      <c r="G29" s="17">
        <f>D29+E29-F29</f>
        <v>50860112</v>
      </c>
      <c r="H29" s="121" t="str">
        <f>IF(ISNA(VLOOKUP(A26,'Mutasi Neraca'!$A$3:$S$914,19,FALSE)),"-",VLOOKUP(A26,'Mutasi Neraca'!$A$3:$S$914,19,FALSE))</f>
        <v>-</v>
      </c>
      <c r="J29" s="10"/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9568079060</v>
      </c>
      <c r="E30" s="25">
        <f>SUMIFS('Daftar Koreksi'!$H$5:$H$92,'Daftar Koreksi'!$D$5:$D$92,'1700'!A26,'Daftar Koreksi'!$G$5:$G$92,"Tanah",'Daftar Koreksi'!$H$5:$H$92,"&gt;0")</f>
        <v>0</v>
      </c>
      <c r="F30" s="25">
        <f>SUMIFS('Daftar Koreksi'!$H$5:$H$92,'Daftar Koreksi'!$D$5:$D$92,'1700'!A26,'Daftar Koreksi'!$G$5:$G$92,"Tanah",'Daftar Koreksi'!$H$5:$H$92,"&lt;0")-SUMIFS('Daftar Koreksi'!$H$5:$H$92,'Daftar Koreksi'!$D$5:$D$92,'1700'!A26,'Daftar Koreksi'!$G$5:$G$92,"Tanah",'Daftar Koreksi'!$H$5:$H$92,"&lt;0")-SUMIFS('Daftar Koreksi'!$H$5:$H$92,'Daftar Koreksi'!$D$5:$D$92,'1700'!A26,'Daftar Koreksi'!$G$5:$G$92,"Tanah",'Daftar Koreksi'!$H$5:$H$92,"&lt;0")</f>
        <v>0</v>
      </c>
      <c r="G30" s="17">
        <f t="shared" ref="G30:G46" si="1">D30+E30-F30</f>
        <v>9568079060</v>
      </c>
      <c r="H30" s="122"/>
      <c r="J30" s="10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3893200419</v>
      </c>
      <c r="E31" s="25">
        <f>SUMIFS('Daftar Koreksi'!$H$5:$H$92,'Daftar Koreksi'!$D$5:$D$92,'1700'!A26,'Daftar Koreksi'!$G$5:$G$92,"Peralatan dan mesin",'Daftar Koreksi'!$H$5:$H$92,"&gt;0")</f>
        <v>0</v>
      </c>
      <c r="F31" s="25">
        <f>SUMIFS('Daftar Koreksi'!$H$5:$H$92,'Daftar Koreksi'!$D$5:$D$92,'1700'!A26,'Daftar Koreksi'!$G$5:$G$92,"Peralatan dan mesin",'Daftar Koreksi'!$H$5:$H$92,"&lt;0")-SUMIFS('Daftar Koreksi'!$H$5:$H$92,'Daftar Koreksi'!$D$5:$D$92,'1700'!A26,'Daftar Koreksi'!$G$5:$G$92,"Peralatan dan mesin",'Daftar Koreksi'!$H$5:$H$92,"&lt;0")-SUMIFS('Daftar Koreksi'!$H$5:$H$92,'Daftar Koreksi'!$D$5:$D$92,'1700'!A26,'Daftar Koreksi'!$G$5:$G$92,"Peralatan dan mesin",'Daftar Koreksi'!$H$5:$H$92,"&lt;0")</f>
        <v>0</v>
      </c>
      <c r="G31" s="17">
        <f t="shared" si="1"/>
        <v>3893200419</v>
      </c>
      <c r="H31" s="122"/>
      <c r="J31" s="10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3512551000</v>
      </c>
      <c r="E32" s="25">
        <f>SUMIFS('Daftar Koreksi'!$H$5:$H$92,'Daftar Koreksi'!$D$5:$D$92,'1700'!A26,'Daftar Koreksi'!$G$5:$G$92,"Gedung dan Bangunan",'Daftar Koreksi'!$H$5:$H$92,"&gt;0")</f>
        <v>0</v>
      </c>
      <c r="F32" s="25">
        <f>SUMIFS('Daftar Koreksi'!$H$5:$H$92,'Daftar Koreksi'!$D$5:$D$92,'1700'!A26,'Daftar Koreksi'!$G$5:$G$92,"Gedung dan Bangunan",'Daftar Koreksi'!$H$5:$H$92,"&lt;0")-SUMIFS('Daftar Koreksi'!$H$5:$H$92,'Daftar Koreksi'!$D$5:$D$92,'1700'!A26,'Daftar Koreksi'!$G$5:$G$92,"Gedung dan Bangunan",'Daftar Koreksi'!$H$5:$H$92,"&lt;0")-SUMIFS('Daftar Koreksi'!$H$5:$H$92,'Daftar Koreksi'!$D$5:$D$92,'1700'!A26,'Daftar Koreksi'!$G$5:$G$92,"Gedung dan Bangunan",'Daftar Koreksi'!$H$5:$H$92,"&lt;0")</f>
        <v>0</v>
      </c>
      <c r="G32" s="17">
        <f t="shared" si="1"/>
        <v>3512551000</v>
      </c>
      <c r="H32" s="122"/>
      <c r="J32" s="10"/>
    </row>
    <row r="33" spans="1:10" ht="21.95" customHeight="1">
      <c r="A33" s="14"/>
      <c r="B33" s="14"/>
      <c r="C33" s="16" t="s">
        <v>1169</v>
      </c>
      <c r="D33" s="17">
        <f>VLOOKUP(A26,'Neraca Unaudited SIMAK'!$A$2:$S$10004,7,FALSE)</f>
        <v>287389500</v>
      </c>
      <c r="E33" s="25">
        <f>SUMIFS('Daftar Koreksi'!$H$5:$H$92,'Daftar Koreksi'!$D$5:$D$92,'1700'!A26,'Daftar Koreksi'!$G$5:$G$92,"Jalan Irigasi Jaringan",'Daftar Koreksi'!$H$5:$H$92,"&gt;0")</f>
        <v>0</v>
      </c>
      <c r="F33" s="25">
        <f>SUMIFS('Daftar Koreksi'!$H$5:$H$92,'Daftar Koreksi'!$D$5:$D$92,'1700'!A26,'Daftar Koreksi'!$G$5:$G$92,"Jalan Irigasi Jaringan",'Daftar Koreksi'!$H$5:$H$92,"&lt;0")-SUMIFS('Daftar Koreksi'!$H$5:$H$92,'Daftar Koreksi'!$D$5:$D$92,'1700'!A26,'Daftar Koreksi'!$G$5:$G$92,"Jalan Irigasi Jaringan",'Daftar Koreksi'!$H$5:$H$92,"&lt;0")-SUMIFS('Daftar Koreksi'!$H$5:$H$92,'Daftar Koreksi'!$D$5:$D$92,'1700'!A26,'Daftar Koreksi'!$G$5:$G$92,"Jalan Irigasi Jaringan",'Daftar Koreksi'!$H$5:$H$92,"&lt;0")</f>
        <v>0</v>
      </c>
      <c r="G33" s="17">
        <f t="shared" si="1"/>
        <v>287389500</v>
      </c>
      <c r="H33" s="122"/>
      <c r="J33" s="10"/>
    </row>
    <row r="34" spans="1:10" ht="21.95" customHeight="1">
      <c r="A34" s="14"/>
      <c r="B34" s="14"/>
      <c r="C34" s="16" t="s">
        <v>1170</v>
      </c>
      <c r="D34" s="17">
        <f>VLOOKUP(A26,'Neraca Unaudited SIMAK'!$A$2:$S$10004,8,FALSE)</f>
        <v>151513440</v>
      </c>
      <c r="E34" s="25">
        <f>SUMIFS('Daftar Koreksi'!$H$5:$H$92,'Daftar Koreksi'!$D$5:$D$92,'1700'!A26,'Daftar Koreksi'!$G$5:$G$92,"Aset Tetap Lainnya",'Daftar Koreksi'!$H$5:$H$92,"&gt;0")</f>
        <v>0</v>
      </c>
      <c r="F34" s="25">
        <f>SUMIFS('Daftar Koreksi'!$H$5:$H$92,'Daftar Koreksi'!$D$5:$D$92,'1700'!A26,'Daftar Koreksi'!$G$5:$G$92,"Aset Tetap Lainnya",'Daftar Koreksi'!$H$5:$H$92,"&lt;0")-SUMIFS('Daftar Koreksi'!$H$5:$H$92,'Daftar Koreksi'!$D$5:$D$92,'1700'!A26,'Daftar Koreksi'!$G$5:$G$92,"Aset Tetap Lainnya",'Daftar Koreksi'!$H$5:$H$92,"&lt;0")-SUMIFS('Daftar Koreksi'!$H$5:$H$92,'Daftar Koreksi'!$D$5:$D$92,'1700'!A26,'Daftar Koreksi'!$G$5:$G$92,"Aset Tetap Lainnya",'Daftar Koreksi'!$H$5:$H$92,"&lt;0")</f>
        <v>0</v>
      </c>
      <c r="G34" s="17">
        <f t="shared" si="1"/>
        <v>151513440</v>
      </c>
      <c r="H34" s="122"/>
      <c r="J34" s="10"/>
    </row>
    <row r="35" spans="1:10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Koreksi'!$D$5:$D$92,'1700'!A26,'Daftar Koreksi'!$G$5:$G$92,"Kontruksi Dalam Pengerjaan",'Daftar Koreksi'!$H$5:$H$92,"&gt;0")</f>
        <v>0</v>
      </c>
      <c r="F35" s="25">
        <f>SUMIFS('Daftar Koreksi'!$H$5:$H$92,'Daftar Koreksi'!$D$5:$D$92,'1700'!A26,'Daftar Koreksi'!$G$5:$G$92,"Kontruksi Dalam Pengerjaan",'Daftar Koreksi'!$H$5:$H$92,"&lt;0")-SUMIFS('Daftar Koreksi'!$H$5:$H$92,'Daftar Koreksi'!$D$5:$D$92,'1700'!A26,'Daftar Koreksi'!$G$5:$G$92,"Kontruksi Dalam Pengerjaan",'Daftar Koreksi'!$H$5:$H$92,"&lt;0")-SUMIFS('Daftar Koreksi'!$H$5:$H$92,'Daftar Koreksi'!$D$5:$D$92,'1700'!A26,'Daftar Koreksi'!$G$5:$G$92,"Kontruksi Dalam Pengerjaan",'Daftar Koreksi'!$H$5:$H$92,"&lt;0")</f>
        <v>0</v>
      </c>
      <c r="G35" s="17">
        <f t="shared" si="1"/>
        <v>0</v>
      </c>
      <c r="H35" s="122"/>
      <c r="J35" s="10"/>
    </row>
    <row r="36" spans="1:10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Koreksi'!$D$5:$D$92,'1700'!A26,'Daftar Koreksi'!$G$5:$G$92,"Aset Tak Berwujud",'Daftar Koreksi'!$H$5:$H$92,"&gt;0")</f>
        <v>0</v>
      </c>
      <c r="F36" s="25">
        <f>SUMIFS('Daftar Koreksi'!$H$5:$H$92,'Daftar Koreksi'!$D$5:$D$92,'1700'!A26,'Daftar Koreksi'!$G$5:$G$92,"Aset Tak Berwujud",'Daftar Koreksi'!$H$5:$H$92,"&lt;0")-SUMIFS('Daftar Koreksi'!$H$5:$H$92,'Daftar Koreksi'!$D$5:$D$92,'1700'!A26,'Daftar Koreksi'!$G$5:$G$92,"Aset Tak Berwujud",'Daftar Koreksi'!$H$5:$H$92,"&lt;0")-SUMIFS('Daftar Koreksi'!$H$5:$H$92,'Daftar Koreksi'!$D$5:$D$92,'1700'!A26,'Daftar Koreksi'!$G$5:$G$92,"Aset Tak Berwujud",'Daftar Koreksi'!$H$5:$H$92,"&lt;0")</f>
        <v>0</v>
      </c>
      <c r="G36" s="17">
        <f t="shared" si="1"/>
        <v>0</v>
      </c>
      <c r="H36" s="122"/>
      <c r="J36" s="10"/>
    </row>
    <row r="37" spans="1:10" ht="21.95" customHeight="1">
      <c r="A37" s="14"/>
      <c r="B37" s="14"/>
      <c r="C37" s="16" t="s">
        <v>1173</v>
      </c>
      <c r="D37" s="17">
        <f>VLOOKUP(A26,'Neraca Unaudited SIMAK'!$A$2:$S$10004,11,FALSE)</f>
        <v>407000</v>
      </c>
      <c r="E37" s="25">
        <f>SUMIFS('Daftar Koreksi'!$H$5:$H$92,'Daftar Koreksi'!$D$5:$D$92,'1700'!A26,'Daftar Koreksi'!$G$5:$G$92,"Aset Henti Guna",'Daftar Koreksi'!$H$5:$H$92,"&gt;0")</f>
        <v>0</v>
      </c>
      <c r="F37" s="25">
        <f>SUMIFS('Daftar Koreksi'!$H$5:$H$92,'Daftar Koreksi'!$D$5:$D$92,'1700'!A26,'Daftar Koreksi'!$G$5:$G$92,"Aset Henti Guna",'Daftar Koreksi'!$H$5:$H$92,"&lt;0")-SUMIFS('Daftar Koreksi'!$H$5:$H$92,'Daftar Koreksi'!$D$5:$D$92,'1700'!A26,'Daftar Koreksi'!$G$5:$G$92,"Aset Henti Guna",'Daftar Koreksi'!$H$5:$H$92,"&lt;0")-SUMIFS('Daftar Koreksi'!$H$5:$H$92,'Daftar Koreksi'!$D$5:$D$92,'1700'!A26,'Daftar Koreksi'!$G$5:$G$92,"Aset Henti Guna",'Daftar Koreksi'!$H$5:$H$92,"&lt;0")</f>
        <v>0</v>
      </c>
      <c r="G37" s="17">
        <f t="shared" si="1"/>
        <v>407000</v>
      </c>
      <c r="H37" s="122"/>
      <c r="J37" s="10"/>
    </row>
    <row r="38" spans="1:10" ht="21.95" customHeight="1">
      <c r="A38" s="14"/>
      <c r="B38" s="14"/>
      <c r="C38" s="18" t="s">
        <v>2093</v>
      </c>
      <c r="D38" s="19">
        <f>VLOOKUP(A26,'Neraca Unaudited SIMAK'!$A$2:$S$10004,12,FALSE)</f>
        <v>17464000531</v>
      </c>
      <c r="E38" s="19">
        <f>SUM(E29:E37)</f>
        <v>0</v>
      </c>
      <c r="F38" s="19">
        <f>SUM(F29:F37)</f>
        <v>0</v>
      </c>
      <c r="G38" s="19">
        <f t="shared" si="1"/>
        <v>17464000531</v>
      </c>
      <c r="H38" s="122"/>
      <c r="J38" s="10"/>
    </row>
    <row r="39" spans="1:10" ht="21.95" customHeight="1">
      <c r="A39" s="14"/>
      <c r="B39" s="14"/>
      <c r="C39" s="16" t="s">
        <v>2087</v>
      </c>
      <c r="D39" s="17">
        <f>VLOOKUP(A26,'Neraca Unaudited SIMAK'!$A$2:$S$10004,13,FALSE)</f>
        <v>-3479841314</v>
      </c>
      <c r="E39" s="25">
        <f>SUMIFS('Daftar Koreksi'!$I$5:$I$92,'Daftar Koreksi'!$D$5:$D$92,'1700'!A26,'Daftar Koreksi'!$G$5:$G$92,"Peralatan dan mesin",'Daftar Koreksi'!$I$5:$I$92,"&gt;0")</f>
        <v>0</v>
      </c>
      <c r="F39" s="25">
        <f>SUMIFS('Daftar Koreksi'!$I$5:$I$92,'Daftar Koreksi'!$D$5:$D$92,'1700'!A26,'Daftar Koreksi'!$G$5:$G$92,"Peralatan dan mesin",'Daftar Koreksi'!$I$5:$I$92,"&lt;0")-SUMIFS('Daftar Koreksi'!$I$5:$I$92,'Daftar Koreksi'!$D$5:$D$92,'1700'!A26,'Daftar Koreksi'!$G$5:$G$92,"Peralatan dan mesin",'Daftar Koreksi'!$I$5:$I$92,"&lt;0")-SUMIFS('Daftar Koreksi'!$I$5:$I$92,'Daftar Koreksi'!$D$5:$D$92,'1700'!A26,'Daftar Koreksi'!$G$5:$G$92,"Peralatan dan mesin",'Daftar Koreksi'!$I$5:$I$92,"&lt;0")</f>
        <v>0</v>
      </c>
      <c r="G39" s="17">
        <f t="shared" si="1"/>
        <v>-3479841314</v>
      </c>
      <c r="H39" s="122"/>
      <c r="J39" s="10"/>
    </row>
    <row r="40" spans="1:10" ht="21.95" customHeight="1">
      <c r="A40" s="14"/>
      <c r="B40" s="14"/>
      <c r="C40" s="16" t="s">
        <v>2088</v>
      </c>
      <c r="D40" s="17">
        <f>VLOOKUP(A26,'Neraca Unaudited SIMAK'!$A$2:$S$10004,14,FALSE)</f>
        <v>-2321698120</v>
      </c>
      <c r="E40" s="25">
        <f>SUMIFS('Daftar Koreksi'!$I$5:$I$92,'Daftar Koreksi'!$D$5:$D$92,'1700'!A26,'Daftar Koreksi'!$G$5:$G$92,"Gedung dan Bangunan",'Daftar Koreksi'!$I$5:$I$92,"&gt;0")</f>
        <v>0</v>
      </c>
      <c r="F40" s="25">
        <f>SUMIFS('Daftar Koreksi'!$I$5:$I$92,'Daftar Koreksi'!$D$5:$D$92,'1700'!A26,'Daftar Koreksi'!$G$5:$G$92,"Gedung dan Bangunan",'Daftar Koreksi'!$I$5:$I$92,"&lt;0")-SUMIFS('Daftar Koreksi'!$I$5:$I$92,'Daftar Koreksi'!$D$5:$D$92,'1700'!A26,'Daftar Koreksi'!$G$5:$G$92,"Gedung dan Bangunan",'Daftar Koreksi'!$I$5:$I$92,"&lt;0")-SUMIFS('Daftar Koreksi'!$I$5:$I$92,'Daftar Koreksi'!$D$5:$D$92,'1700'!A26,'Daftar Koreksi'!$G$5:$G$92,"Gedung dan Bangunan",'Daftar Koreksi'!$I$5:$I$92,"&lt;0")</f>
        <v>0</v>
      </c>
      <c r="G40" s="17">
        <f t="shared" si="1"/>
        <v>-2321698120</v>
      </c>
      <c r="H40" s="122"/>
      <c r="J40" s="10"/>
    </row>
    <row r="41" spans="1:10" ht="21.95" customHeight="1">
      <c r="A41" s="14"/>
      <c r="B41" s="14"/>
      <c r="C41" s="16" t="s">
        <v>2089</v>
      </c>
      <c r="D41" s="17">
        <f>VLOOKUP(A26,'Neraca Unaudited SIMAK'!$A$2:$S$10004,15,FALSE)</f>
        <v>-123744750</v>
      </c>
      <c r="E41" s="25">
        <f>SUMIFS('Daftar Koreksi'!$I$5:$I$92,'Daftar Koreksi'!$D$5:$D$92,'1700'!A26,'Daftar Koreksi'!$G$5:$G$92,"Jalan Irigasi Jaringan",'Daftar Koreksi'!$I$5:$I$92,"&gt;0")</f>
        <v>0</v>
      </c>
      <c r="F41" s="25">
        <f>SUMIFS('Daftar Koreksi'!$I$5:$I$92,'Daftar Koreksi'!$D$5:$D$92,'1700'!A26,'Daftar Koreksi'!$G$5:$G$92,"Jalan Irigasi Jaringan",'Daftar Koreksi'!$I$5:$I$92,"&lt;0")-SUMIFS('Daftar Koreksi'!$I$5:$I$92,'Daftar Koreksi'!$D$5:$D$92,'1700'!A26,'Daftar Koreksi'!$G$5:$G$92,"Jalan Irigasi Jaringan",'Daftar Koreksi'!$I$5:$I$92,"&lt;0")-SUMIFS('Daftar Koreksi'!$I$5:$I$92,'Daftar Koreksi'!$D$5:$D$92,'1700'!A26,'Daftar Koreksi'!$G$5:$G$92,"Jalan Irigasi Jaringan",'Daftar Koreksi'!$I$5:$I$92,"&lt;0")</f>
        <v>0</v>
      </c>
      <c r="G41" s="17">
        <f t="shared" si="1"/>
        <v>-123744750</v>
      </c>
      <c r="H41" s="122"/>
      <c r="J41" s="10"/>
    </row>
    <row r="42" spans="1:10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Koreksi'!$D$5:$D$92,'1700'!A26,'Daftar Koreksi'!$G$5:$G$92,"Aset Tetap Lainnya",'Daftar Koreksi'!$I$5:$I$92,"&gt;0")</f>
        <v>0</v>
      </c>
      <c r="F42" s="25">
        <f>SUMIFS('Daftar Koreksi'!$I$5:$I$92,'Daftar Koreksi'!$D$5:$D$92,'1700'!A26,'Daftar Koreksi'!$G$5:$G$92,"Aset Tetap Lainnya",'Daftar Koreksi'!$I$5:$I$92,"&lt;0")-SUMIFS('Daftar Koreksi'!$I$5:$I$92,'Daftar Koreksi'!$D$5:$D$92,'1700'!A26,'Daftar Koreksi'!$G$5:$G$92,"Aset Tetap Lainnya",'Daftar Koreksi'!$I$5:$I$92,"&lt;0")-SUMIFS('Daftar Koreksi'!$I$5:$I$92,'Daftar Koreksi'!$D$5:$D$92,'1700'!A26,'Daftar Koreksi'!$G$5:$G$92,"Aset Tetap Lainnya",'Daftar Koreksi'!$I$5:$I$92,"&lt;0")</f>
        <v>0</v>
      </c>
      <c r="G42" s="17">
        <f t="shared" si="1"/>
        <v>0</v>
      </c>
      <c r="H42" s="122"/>
      <c r="J42" s="10"/>
    </row>
    <row r="43" spans="1:10" ht="21.95" customHeight="1">
      <c r="A43" s="14"/>
      <c r="B43" s="14"/>
      <c r="C43" s="16" t="s">
        <v>2020</v>
      </c>
      <c r="D43" s="17">
        <f>VLOOKUP(A26,'Neraca Unaudited SIMAK'!$A$2:$S$10004,17,FALSE)</f>
        <v>-407000</v>
      </c>
      <c r="E43" s="25">
        <f>SUMIFS('Daftar Koreksi'!$I$5:$I$92,'Daftar Koreksi'!$D$5:$D$92,'1700'!A26,'Daftar Koreksi'!$G$5:$G$92,"Aset Henti Guna",'Daftar Koreksi'!$I$5:$I$92,"&gt;0")</f>
        <v>0</v>
      </c>
      <c r="F43" s="25">
        <f>SUMIFS('Daftar Koreksi'!$I$5:$I$92,'Daftar Koreksi'!$D$5:$D$92,'1700'!A26,'Daftar Koreksi'!$G$5:$G$92,"Aset Henti Guna",'Daftar Koreksi'!$I$5:$I$92,"&lt;0")-SUMIFS('Daftar Koreksi'!$I$5:$I$92,'Daftar Koreksi'!$D$5:$D$92,'1700'!A26,'Daftar Koreksi'!$G$5:$G$92,"Aset Henti Guna",'Daftar Koreksi'!$I$5:$I$92,"&lt;0")-SUMIFS('Daftar Koreksi'!$I$5:$I$92,'Daftar Koreksi'!$D$5:$D$92,'1700'!A26,'Daftar Koreksi'!$G$5:$G$92,"Aset Henti Guna",'Daftar Koreksi'!$I$5:$I$92,"&lt;0")</f>
        <v>0</v>
      </c>
      <c r="G43" s="17">
        <f t="shared" si="1"/>
        <v>-407000</v>
      </c>
      <c r="H43" s="122"/>
      <c r="J43" s="10"/>
    </row>
    <row r="44" spans="1:10" ht="21.95" customHeight="1">
      <c r="A44" s="14"/>
      <c r="B44" s="14"/>
      <c r="C44" s="18" t="s">
        <v>2094</v>
      </c>
      <c r="D44" s="19">
        <f>SUM(D39:D43)</f>
        <v>-5925691184</v>
      </c>
      <c r="E44" s="19">
        <f>SUM(E39:E43)</f>
        <v>0</v>
      </c>
      <c r="F44" s="19">
        <f>SUM(F39:F43)</f>
        <v>0</v>
      </c>
      <c r="G44" s="19">
        <f t="shared" si="1"/>
        <v>-5925691184</v>
      </c>
      <c r="H44" s="122"/>
      <c r="J44" s="10"/>
    </row>
    <row r="45" spans="1:10" ht="21.95" customHeight="1">
      <c r="A45" s="14"/>
      <c r="B45" s="14"/>
      <c r="C45" s="18" t="s">
        <v>2095</v>
      </c>
      <c r="D45" s="19">
        <f>VLOOKUP(A26,'Neraca Unaudited SIMAK'!$A$2:$S$10004,18,FALSE)</f>
        <v>11538309347</v>
      </c>
      <c r="E45" s="19">
        <f>E44+E38</f>
        <v>0</v>
      </c>
      <c r="F45" s="19">
        <f>F44+F38</f>
        <v>0</v>
      </c>
      <c r="G45" s="19">
        <f t="shared" si="1"/>
        <v>11538309347</v>
      </c>
      <c r="H45" s="122"/>
      <c r="J45" s="10"/>
    </row>
    <row r="46" spans="1:10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J46" s="10"/>
    </row>
    <row r="48" spans="1:10" ht="19.5" customHeight="1">
      <c r="A48" s="11" t="str">
        <f>O3</f>
        <v>005011700099333000KD</v>
      </c>
      <c r="B48" s="11" t="str">
        <f>P3</f>
        <v>PN. Kotamubago</v>
      </c>
      <c r="C48" s="12" t="str">
        <f>A48&amp;" "&amp;B48</f>
        <v>005011700099333000KD PN. Kotamubago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10560750</v>
      </c>
      <c r="E51" s="25">
        <f>SUMIFS('Daftar Koreksi'!$H$5:$H$92,'Daftar Koreksi'!$D$5:$D$92,'1700'!A48,'Daftar Koreksi'!$G$5:$G$92,"Persediaan",'Daftar Koreksi'!$H$5:$H$92,"&gt;0")</f>
        <v>0</v>
      </c>
      <c r="F51" s="25">
        <f>SUMIFS('Daftar Koreksi'!$H$5:$H$92,'Daftar Koreksi'!$D$5:$D$92,'1700'!A48,'Daftar Koreksi'!$G$5:$G$92,"Persediaan",'Daftar Koreksi'!$H$5:$H$92,"&lt;0")-SUMIFS('Daftar Koreksi'!$H$5:$H$92,'Daftar Koreksi'!$D$5:$D$92,'1700'!A48,'Daftar Koreksi'!$G$5:$G$92,"Persediaan",'Daftar Koreksi'!$H$5:$H$92,"&lt;0")-SUMIFS('Daftar Koreksi'!$H$5:$H$92,'Daftar Koreksi'!$D$5:$D$92,'1700'!A48,'Daftar Koreksi'!$G$5:$G$92,"Persediaan",'Daftar Koreksi'!$H$5:$H$92,"&lt;0")</f>
        <v>0</v>
      </c>
      <c r="G51" s="17">
        <f>D51+E51-F51</f>
        <v>10560750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7096715000</v>
      </c>
      <c r="E52" s="25">
        <f>SUMIFS('Daftar Koreksi'!$H$5:$H$92,'Daftar Koreksi'!$D$5:$D$92,'1700'!A48,'Daftar Koreksi'!$G$5:$G$92,"Tanah",'Daftar Koreksi'!$H$5:$H$92,"&gt;0")</f>
        <v>0</v>
      </c>
      <c r="F52" s="25">
        <f>SUMIFS('Daftar Koreksi'!$H$5:$H$92,'Daftar Koreksi'!$D$5:$D$92,'1700'!A48,'Daftar Koreksi'!$G$5:$G$92,"Tanah",'Daftar Koreksi'!$H$5:$H$92,"&lt;0")-SUMIFS('Daftar Koreksi'!$H$5:$H$92,'Daftar Koreksi'!$D$5:$D$92,'1700'!A48,'Daftar Koreksi'!$G$5:$G$92,"Tanah",'Daftar Koreksi'!$H$5:$H$92,"&lt;0")-SUMIFS('Daftar Koreksi'!$H$5:$H$92,'Daftar Koreksi'!$D$5:$D$92,'1700'!A48,'Daftar Koreksi'!$G$5:$G$92,"Tanah",'Daftar Koreksi'!$H$5:$H$92,"&lt;0")</f>
        <v>0</v>
      </c>
      <c r="G52" s="17">
        <f t="shared" ref="G52:G68" si="2">D52+E52-F52</f>
        <v>7096715000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2323076589</v>
      </c>
      <c r="E53" s="25">
        <f>SUMIFS('Daftar Koreksi'!$H$5:$H$92,'Daftar Koreksi'!$D$5:$D$92,'1700'!A48,'Daftar Koreksi'!$G$5:$G$92,"Peralatan dan mesin",'Daftar Koreksi'!$H$5:$H$92,"&gt;0")</f>
        <v>0</v>
      </c>
      <c r="F53" s="25">
        <f>SUMIFS('Daftar Koreksi'!$H$5:$H$92,'Daftar Koreksi'!$D$5:$D$92,'1700'!A48,'Daftar Koreksi'!$G$5:$G$92,"Peralatan dan mesin",'Daftar Koreksi'!$H$5:$H$92,"&lt;0")-SUMIFS('Daftar Koreksi'!$H$5:$H$92,'Daftar Koreksi'!$D$5:$D$92,'1700'!A48,'Daftar Koreksi'!$G$5:$G$92,"Peralatan dan mesin",'Daftar Koreksi'!$H$5:$H$92,"&lt;0")-SUMIFS('Daftar Koreksi'!$H$5:$H$92,'Daftar Koreksi'!$D$5:$D$92,'1700'!A48,'Daftar Koreksi'!$G$5:$G$92,"Peralatan dan mesin",'Daftar Koreksi'!$H$5:$H$92,"&lt;0")</f>
        <v>0</v>
      </c>
      <c r="G53" s="17">
        <f t="shared" si="2"/>
        <v>2323076589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3934845749</v>
      </c>
      <c r="E54" s="25">
        <f>SUMIFS('Daftar Koreksi'!$H$5:$H$92,'Daftar Koreksi'!$D$5:$D$92,'1700'!A48,'Daftar Koreksi'!$G$5:$G$92,"Gedung dan Bangunan",'Daftar Koreksi'!$H$5:$H$92,"&gt;0")</f>
        <v>0</v>
      </c>
      <c r="F54" s="25">
        <f>SUMIFS('Daftar Koreksi'!$H$5:$H$92,'Daftar Koreksi'!$D$5:$D$92,'1700'!A48,'Daftar Koreksi'!$G$5:$G$92,"Gedung dan Bangunan",'Daftar Koreksi'!$H$5:$H$92,"&lt;0")-SUMIFS('Daftar Koreksi'!$H$5:$H$92,'Daftar Koreksi'!$D$5:$D$92,'1700'!A48,'Daftar Koreksi'!$G$5:$G$92,"Gedung dan Bangunan",'Daftar Koreksi'!$H$5:$H$92,"&lt;0")-SUMIFS('Daftar Koreksi'!$H$5:$H$92,'Daftar Koreksi'!$D$5:$D$92,'1700'!A48,'Daftar Koreksi'!$G$5:$G$92,"Gedung dan Bangunan",'Daftar Koreksi'!$H$5:$H$92,"&lt;0")</f>
        <v>0</v>
      </c>
      <c r="G54" s="17">
        <f t="shared" si="2"/>
        <v>3934845749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99900000</v>
      </c>
      <c r="E55" s="25">
        <f>SUMIFS('Daftar Koreksi'!$H$5:$H$92,'Daftar Koreksi'!$D$5:$D$92,'1700'!A48,'Daftar Koreksi'!$G$5:$G$92,"Jalan Irigasi Jaringan",'Daftar Koreksi'!$H$5:$H$92,"&gt;0")</f>
        <v>0</v>
      </c>
      <c r="F55" s="25">
        <f>SUMIFS('Daftar Koreksi'!$H$5:$H$92,'Daftar Koreksi'!$D$5:$D$92,'1700'!A48,'Daftar Koreksi'!$G$5:$G$92,"Jalan Irigasi Jaringan",'Daftar Koreksi'!$H$5:$H$92,"&lt;0")-SUMIFS('Daftar Koreksi'!$H$5:$H$92,'Daftar Koreksi'!$D$5:$D$92,'1700'!A48,'Daftar Koreksi'!$G$5:$G$92,"Jalan Irigasi Jaringan",'Daftar Koreksi'!$H$5:$H$92,"&lt;0")-SUMIFS('Daftar Koreksi'!$H$5:$H$92,'Daftar Koreksi'!$D$5:$D$92,'1700'!A48,'Daftar Koreksi'!$G$5:$G$92,"Jalan Irigasi Jaringan",'Daftar Koreksi'!$H$5:$H$92,"&lt;0")</f>
        <v>0</v>
      </c>
      <c r="G55" s="17">
        <f t="shared" si="2"/>
        <v>99900000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5503440</v>
      </c>
      <c r="E56" s="25">
        <f>SUMIFS('Daftar Koreksi'!$H$5:$H$92,'Daftar Koreksi'!$D$5:$D$92,'1700'!A48,'Daftar Koreksi'!$G$5:$G$92,"Aset Tetap Lainnya",'Daftar Koreksi'!$H$5:$H$92,"&gt;0")</f>
        <v>0</v>
      </c>
      <c r="F56" s="25">
        <f>SUMIFS('Daftar Koreksi'!$H$5:$H$92,'Daftar Koreksi'!$D$5:$D$92,'1700'!A48,'Daftar Koreksi'!$G$5:$G$92,"Aset Tetap Lainnya",'Daftar Koreksi'!$H$5:$H$92,"&lt;0")-SUMIFS('Daftar Koreksi'!$H$5:$H$92,'Daftar Koreksi'!$D$5:$D$92,'1700'!A48,'Daftar Koreksi'!$G$5:$G$92,"Aset Tetap Lainnya",'Daftar Koreksi'!$H$5:$H$92,"&lt;0")-SUMIFS('Daftar Koreksi'!$H$5:$H$92,'Daftar Koreksi'!$D$5:$D$92,'1700'!A48,'Daftar Koreksi'!$G$5:$G$92,"Aset Tetap Lainnya",'Daftar Koreksi'!$H$5:$H$92,"&lt;0")</f>
        <v>0</v>
      </c>
      <c r="G56" s="17">
        <f t="shared" si="2"/>
        <v>5503440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Koreksi'!$D$5:$D$92,'1700'!A48,'Daftar Koreksi'!$G$5:$G$92,"Kontruksi Dalam Pengerjaan",'Daftar Koreksi'!$H$5:$H$92,"&gt;0")</f>
        <v>0</v>
      </c>
      <c r="F57" s="25">
        <f>SUMIFS('Daftar Koreksi'!$H$5:$H$92,'Daftar Koreksi'!$D$5:$D$92,'1700'!A48,'Daftar Koreksi'!$G$5:$G$92,"Kontruksi Dalam Pengerjaan",'Daftar Koreksi'!$H$5:$H$92,"&lt;0")-SUMIFS('Daftar Koreksi'!$H$5:$H$92,'Daftar Koreksi'!$D$5:$D$92,'1700'!A48,'Daftar Koreksi'!$G$5:$G$92,"Kontruksi Dalam Pengerjaan",'Daftar Koreksi'!$H$5:$H$92,"&lt;0")-SUMIFS('Daftar Koreksi'!$H$5:$H$92,'Daftar Koreksi'!$D$5:$D$92,'1700'!A48,'Daftar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Koreksi'!$D$5:$D$92,'1700'!A48,'Daftar Koreksi'!$G$5:$G$92,"Aset Tak Berwujud",'Daftar Koreksi'!$H$5:$H$92,"&gt;0")</f>
        <v>0</v>
      </c>
      <c r="F58" s="25">
        <f>SUMIFS('Daftar Koreksi'!$H$5:$H$92,'Daftar Koreksi'!$D$5:$D$92,'1700'!A48,'Daftar Koreksi'!$G$5:$G$92,"Aset Tak Berwujud",'Daftar Koreksi'!$H$5:$H$92,"&lt;0")-SUMIFS('Daftar Koreksi'!$H$5:$H$92,'Daftar Koreksi'!$D$5:$D$92,'1700'!A48,'Daftar Koreksi'!$G$5:$G$92,"Aset Tak Berwujud",'Daftar Koreksi'!$H$5:$H$92,"&lt;0")-SUMIFS('Daftar Koreksi'!$H$5:$H$92,'Daftar Koreksi'!$D$5:$D$92,'1700'!A48,'Daftar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184206480</v>
      </c>
      <c r="E59" s="25">
        <f>SUMIFS('Daftar Koreksi'!$H$5:$H$92,'Daftar Koreksi'!$D$5:$D$92,'1700'!A48,'Daftar Koreksi'!$G$5:$G$92,"Aset Henti Guna",'Daftar Koreksi'!$H$5:$H$92,"&gt;0")</f>
        <v>0</v>
      </c>
      <c r="F59" s="25">
        <f>SUMIFS('Daftar Koreksi'!$H$5:$H$92,'Daftar Koreksi'!$D$5:$D$92,'1700'!A48,'Daftar Koreksi'!$G$5:$G$92,"Aset Henti Guna",'Daftar Koreksi'!$H$5:$H$92,"&lt;0")-SUMIFS('Daftar Koreksi'!$H$5:$H$92,'Daftar Koreksi'!$D$5:$D$92,'1700'!A48,'Daftar Koreksi'!$G$5:$G$92,"Aset Henti Guna",'Daftar Koreksi'!$H$5:$H$92,"&lt;0")-SUMIFS('Daftar Koreksi'!$H$5:$H$92,'Daftar Koreksi'!$D$5:$D$92,'1700'!A48,'Daftar Koreksi'!$G$5:$G$92,"Aset Henti Guna",'Daftar Koreksi'!$H$5:$H$92,"&lt;0")</f>
        <v>0</v>
      </c>
      <c r="G59" s="17">
        <f t="shared" si="2"/>
        <v>184206480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13654808008</v>
      </c>
      <c r="E60" s="19">
        <f>SUM(E51:E59)</f>
        <v>0</v>
      </c>
      <c r="F60" s="19">
        <f>SUM(F51:F59)</f>
        <v>0</v>
      </c>
      <c r="G60" s="19">
        <f t="shared" si="2"/>
        <v>13654808008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-2061633625</v>
      </c>
      <c r="E61" s="25">
        <f>SUMIFS('Daftar Koreksi'!$I$5:$I$92,'Daftar Koreksi'!$D$5:$D$92,'1700'!A48,'Daftar Koreksi'!$G$5:$G$92,"Peralatan dan mesin",'Daftar Koreksi'!$I$5:$I$92,"&gt;0")</f>
        <v>0</v>
      </c>
      <c r="F61" s="25">
        <f>SUMIFS('Daftar Koreksi'!$I$5:$I$92,'Daftar Koreksi'!$D$5:$D$92,'1700'!A48,'Daftar Koreksi'!$G$5:$G$92,"Peralatan dan mesin",'Daftar Koreksi'!$I$5:$I$92,"&lt;0")-SUMIFS('Daftar Koreksi'!$I$5:$I$92,'Daftar Koreksi'!$D$5:$D$92,'1700'!A48,'Daftar Koreksi'!$G$5:$G$92,"Peralatan dan mesin",'Daftar Koreksi'!$I$5:$I$92,"&lt;0")-SUMIFS('Daftar Koreksi'!$I$5:$I$92,'Daftar Koreksi'!$D$5:$D$92,'1700'!A48,'Daftar Koreksi'!$G$5:$G$92,"Peralatan dan mesin",'Daftar Koreksi'!$I$5:$I$92,"&lt;0")</f>
        <v>0</v>
      </c>
      <c r="G61" s="17">
        <f t="shared" si="2"/>
        <v>-2061633625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-2751162044</v>
      </c>
      <c r="E62" s="25">
        <f>SUMIFS('Daftar Koreksi'!$I$5:$I$92,'Daftar Koreksi'!$D$5:$D$92,'1700'!A48,'Daftar Koreksi'!$G$5:$G$92,"Gedung dan Bangunan",'Daftar Koreksi'!$I$5:$I$92,"&gt;0")</f>
        <v>0</v>
      </c>
      <c r="F62" s="25">
        <f>SUMIFS('Daftar Koreksi'!$I$5:$I$92,'Daftar Koreksi'!$D$5:$D$92,'1700'!A48,'Daftar Koreksi'!$G$5:$G$92,"Gedung dan Bangunan",'Daftar Koreksi'!$I$5:$I$92,"&lt;0")-SUMIFS('Daftar Koreksi'!$I$5:$I$92,'Daftar Koreksi'!$D$5:$D$92,'1700'!A48,'Daftar Koreksi'!$G$5:$G$92,"Gedung dan Bangunan",'Daftar Koreksi'!$I$5:$I$92,"&lt;0")-SUMIFS('Daftar Koreksi'!$I$5:$I$92,'Daftar Koreksi'!$D$5:$D$92,'1700'!A48,'Daftar Koreksi'!$G$5:$G$92,"Gedung dan Bangunan",'Daftar Koreksi'!$I$5:$I$92,"&lt;0")</f>
        <v>0</v>
      </c>
      <c r="G62" s="17">
        <f t="shared" si="2"/>
        <v>-2751162044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-13736250</v>
      </c>
      <c r="E63" s="25">
        <f>SUMIFS('Daftar Koreksi'!$I$5:$I$92,'Daftar Koreksi'!$D$5:$D$92,'1700'!A48,'Daftar Koreksi'!$G$5:$G$92,"Jalan Irigasi Jaringan",'Daftar Koreksi'!$I$5:$I$92,"&gt;0")</f>
        <v>0</v>
      </c>
      <c r="F63" s="25">
        <f>SUMIFS('Daftar Koreksi'!$I$5:$I$92,'Daftar Koreksi'!$D$5:$D$92,'1700'!A48,'Daftar Koreksi'!$G$5:$G$92,"Jalan Irigasi Jaringan",'Daftar Koreksi'!$I$5:$I$92,"&lt;0")-SUMIFS('Daftar Koreksi'!$I$5:$I$92,'Daftar Koreksi'!$D$5:$D$92,'1700'!A48,'Daftar Koreksi'!$G$5:$G$92,"Jalan Irigasi Jaringan",'Daftar Koreksi'!$I$5:$I$92,"&lt;0")-SUMIFS('Daftar Koreksi'!$I$5:$I$92,'Daftar Koreksi'!$D$5:$D$92,'1700'!A48,'Daftar Koreksi'!$G$5:$G$92,"Jalan Irigasi Jaringan",'Daftar Koreksi'!$I$5:$I$92,"&lt;0")</f>
        <v>0</v>
      </c>
      <c r="G63" s="17">
        <f t="shared" si="2"/>
        <v>-13736250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-3500000</v>
      </c>
      <c r="E64" s="25">
        <f>SUMIFS('Daftar Koreksi'!$I$5:$I$92,'Daftar Koreksi'!$D$5:$D$92,'1700'!A48,'Daftar Koreksi'!$G$5:$G$92,"Aset Tetap Lainnya",'Daftar Koreksi'!$I$5:$I$92,"&gt;0")</f>
        <v>0</v>
      </c>
      <c r="F64" s="25">
        <f>SUMIFS('Daftar Koreksi'!$I$5:$I$92,'Daftar Koreksi'!$D$5:$D$92,'1700'!A48,'Daftar Koreksi'!$G$5:$G$92,"Aset Tetap Lainnya",'Daftar Koreksi'!$I$5:$I$92,"&lt;0")-SUMIFS('Daftar Koreksi'!$I$5:$I$92,'Daftar Koreksi'!$D$5:$D$92,'1700'!A48,'Daftar Koreksi'!$G$5:$G$92,"Aset Tetap Lainnya",'Daftar Koreksi'!$I$5:$I$92,"&lt;0")-SUMIFS('Daftar Koreksi'!$I$5:$I$92,'Daftar Koreksi'!$D$5:$D$92,'1700'!A48,'Daftar Koreksi'!$G$5:$G$92,"Aset Tetap Lainnya",'Daftar Koreksi'!$I$5:$I$92,"&lt;0")</f>
        <v>0</v>
      </c>
      <c r="G64" s="17">
        <f t="shared" si="2"/>
        <v>-3500000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-184581480</v>
      </c>
      <c r="E65" s="25">
        <f>SUMIFS('Daftar Koreksi'!$I$5:$I$92,'Daftar Koreksi'!$D$5:$D$92,'1700'!A48,'Daftar Koreksi'!$G$5:$G$92,"Aset Henti Guna",'Daftar Koreksi'!$I$5:$I$92,"&gt;0")</f>
        <v>0</v>
      </c>
      <c r="F65" s="25">
        <f>SUMIFS('Daftar Koreksi'!$I$5:$I$92,'Daftar Koreksi'!$D$5:$D$92,'1700'!A48,'Daftar Koreksi'!$G$5:$G$92,"Aset Henti Guna",'Daftar Koreksi'!$I$5:$I$92,"&lt;0")-SUMIFS('Daftar Koreksi'!$I$5:$I$92,'Daftar Koreksi'!$D$5:$D$92,'1700'!A48,'Daftar Koreksi'!$G$5:$G$92,"Aset Henti Guna",'Daftar Koreksi'!$I$5:$I$92,"&lt;0")-SUMIFS('Daftar Koreksi'!$I$5:$I$92,'Daftar Koreksi'!$D$5:$D$92,'1700'!A48,'Daftar Koreksi'!$G$5:$G$92,"Aset Henti Guna",'Daftar Koreksi'!$I$5:$I$92,"&lt;0")</f>
        <v>0</v>
      </c>
      <c r="G65" s="17">
        <f t="shared" si="2"/>
        <v>-184581480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-5014613399</v>
      </c>
      <c r="E66" s="19">
        <f>SUM(E61:E65)</f>
        <v>0</v>
      </c>
      <c r="F66" s="19">
        <f>SUM(F61:F65)</f>
        <v>0</v>
      </c>
      <c r="G66" s="19">
        <f t="shared" si="2"/>
        <v>-5014613399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8640194609</v>
      </c>
      <c r="E67" s="19">
        <f>E66+E60</f>
        <v>0</v>
      </c>
      <c r="F67" s="19">
        <f>F66+F60</f>
        <v>0</v>
      </c>
      <c r="G67" s="19">
        <f t="shared" si="2"/>
        <v>8640194609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005011700099340000KD</v>
      </c>
      <c r="B70" s="11" t="str">
        <f>P4</f>
        <v>PN. Tahuna</v>
      </c>
      <c r="C70" s="12" t="str">
        <f>A70&amp;" "&amp;B70</f>
        <v>005011700099340000KD PN. Tahuna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12374500</v>
      </c>
      <c r="E73" s="25">
        <f>SUMIFS('Daftar Koreksi'!$H$5:$H$92,'Daftar Koreksi'!$D$5:$D$92,'1700'!A70,'Daftar Koreksi'!$G$5:$G$92,"Persediaan",'Daftar Koreksi'!$H$5:$H$92,"&gt;0")</f>
        <v>0</v>
      </c>
      <c r="F73" s="25">
        <f>SUMIFS('Daftar Koreksi'!$H$5:$H$92,'Daftar Koreksi'!$D$5:$D$92,'1700'!A70,'Daftar Koreksi'!$G$5:$G$92,"Persediaan",'Daftar Koreksi'!$H$5:$H$92,"&lt;0")-SUMIFS('Daftar Koreksi'!$H$5:$H$92,'Daftar Koreksi'!$D$5:$D$92,'1700'!A70,'Daftar Koreksi'!$G$5:$G$92,"Persediaan",'Daftar Koreksi'!$H$5:$H$92,"&lt;0")-SUMIFS('Daftar Koreksi'!$H$5:$H$92,'Daftar Koreksi'!$D$5:$D$92,'1700'!A70,'Daftar Koreksi'!$G$5:$G$92,"Persediaan",'Daftar Koreksi'!$H$5:$H$92,"&lt;0")</f>
        <v>0</v>
      </c>
      <c r="G73" s="17">
        <f>D73+E73-F73</f>
        <v>12374500</v>
      </c>
      <c r="H73" s="121" t="str">
        <f>IF(ISNA(VLOOKUP(A70,'Mutasi Neraca'!$A$3:$S$914,19,FALSE)),"-",VLOOKUP(A70,'Mutasi Neraca'!$A$3:$S$914,19,FALSE))</f>
        <v>TP. No 4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814720000</v>
      </c>
      <c r="E74" s="25">
        <f>SUMIFS('Daftar Koreksi'!$H$5:$H$92,'Daftar Koreksi'!$D$5:$D$92,'1700'!A70,'Daftar Koreksi'!$G$5:$G$92,"Tanah",'Daftar Koreksi'!$H$5:$H$92,"&gt;0")</f>
        <v>0</v>
      </c>
      <c r="F74" s="25">
        <f>SUMIFS('Daftar Koreksi'!$H$5:$H$92,'Daftar Koreksi'!$D$5:$D$92,'1700'!A70,'Daftar Koreksi'!$G$5:$G$92,"Tanah",'Daftar Koreksi'!$H$5:$H$92,"&lt;0")-SUMIFS('Daftar Koreksi'!$H$5:$H$92,'Daftar Koreksi'!$D$5:$D$92,'1700'!A70,'Daftar Koreksi'!$G$5:$G$92,"Tanah",'Daftar Koreksi'!$H$5:$H$92,"&lt;0")-SUMIFS('Daftar Koreksi'!$H$5:$H$92,'Daftar Koreksi'!$D$5:$D$92,'1700'!A70,'Daftar Koreksi'!$G$5:$G$92,"Tanah",'Daftar Koreksi'!$H$5:$H$92,"&lt;0")</f>
        <v>0</v>
      </c>
      <c r="G74" s="17">
        <f t="shared" ref="G74:G90" si="3">D74+E74-F74</f>
        <v>814720000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2008024520</v>
      </c>
      <c r="E75" s="25">
        <f>SUMIFS('Daftar Koreksi'!$H$5:$H$92,'Daftar Koreksi'!$D$5:$D$92,'1700'!A70,'Daftar Koreksi'!$G$5:$G$92,"Peralatan dan mesin",'Daftar Koreksi'!$H$5:$H$92,"&gt;0")</f>
        <v>3895309</v>
      </c>
      <c r="F75" s="25">
        <f>SUMIFS('Daftar Koreksi'!$H$5:$H$92,'Daftar Koreksi'!$D$5:$D$92,'1700'!A70,'Daftar Koreksi'!$G$5:$G$92,"Peralatan dan mesin",'Daftar Koreksi'!$H$5:$H$92,"&lt;0")-SUMIFS('Daftar Koreksi'!$H$5:$H$92,'Daftar Koreksi'!$D$5:$D$92,'1700'!A70,'Daftar Koreksi'!$G$5:$G$92,"Peralatan dan mesin",'Daftar Koreksi'!$H$5:$H$92,"&lt;0")-SUMIFS('Daftar Koreksi'!$H$5:$H$92,'Daftar Koreksi'!$D$5:$D$92,'1700'!A70,'Daftar Koreksi'!$G$5:$G$92,"Peralatan dan mesin",'Daftar Koreksi'!$H$5:$H$92,"&lt;0")</f>
        <v>0</v>
      </c>
      <c r="G75" s="17">
        <f t="shared" si="3"/>
        <v>2011919829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6130387500</v>
      </c>
      <c r="E76" s="25">
        <f>SUMIFS('Daftar Koreksi'!$H$5:$H$92,'Daftar Koreksi'!$D$5:$D$92,'1700'!A70,'Daftar Koreksi'!$G$5:$G$92,"Gedung dan Bangunan",'Daftar Koreksi'!$H$5:$H$92,"&gt;0")</f>
        <v>0</v>
      </c>
      <c r="F76" s="25">
        <f>SUMIFS('Daftar Koreksi'!$H$5:$H$92,'Daftar Koreksi'!$D$5:$D$92,'1700'!A70,'Daftar Koreksi'!$G$5:$G$92,"Gedung dan Bangunan",'Daftar Koreksi'!$H$5:$H$92,"&lt;0")-SUMIFS('Daftar Koreksi'!$H$5:$H$92,'Daftar Koreksi'!$D$5:$D$92,'1700'!A70,'Daftar Koreksi'!$G$5:$G$92,"Gedung dan Bangunan",'Daftar Koreksi'!$H$5:$H$92,"&lt;0")-SUMIFS('Daftar Koreksi'!$H$5:$H$92,'Daftar Koreksi'!$D$5:$D$92,'1700'!A70,'Daftar Koreksi'!$G$5:$G$92,"Gedung dan Bangunan",'Daftar Koreksi'!$H$5:$H$92,"&lt;0")</f>
        <v>0</v>
      </c>
      <c r="G76" s="17">
        <f t="shared" si="3"/>
        <v>6130387500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10000000</v>
      </c>
      <c r="E77" s="25">
        <f>SUMIFS('Daftar Koreksi'!$H$5:$H$92,'Daftar Koreksi'!$D$5:$D$92,'1700'!A70,'Daftar Koreksi'!$G$5:$G$92,"Jalan Irigasi Jaringan",'Daftar Koreksi'!$H$5:$H$92,"&gt;0")</f>
        <v>0</v>
      </c>
      <c r="F77" s="25">
        <f>SUMIFS('Daftar Koreksi'!$H$5:$H$92,'Daftar Koreksi'!$D$5:$D$92,'1700'!A70,'Daftar Koreksi'!$G$5:$G$92,"Jalan Irigasi Jaringan",'Daftar Koreksi'!$H$5:$H$92,"&lt;0")-SUMIFS('Daftar Koreksi'!$H$5:$H$92,'Daftar Koreksi'!$D$5:$D$92,'1700'!A70,'Daftar Koreksi'!$G$5:$G$92,"Jalan Irigasi Jaringan",'Daftar Koreksi'!$H$5:$H$92,"&lt;0")-SUMIFS('Daftar Koreksi'!$H$5:$H$92,'Daftar Koreksi'!$D$5:$D$92,'1700'!A70,'Daftar Koreksi'!$G$5:$G$92,"Jalan Irigasi Jaringan",'Daftar Koreksi'!$H$5:$H$92,"&lt;0")</f>
        <v>0</v>
      </c>
      <c r="G77" s="17">
        <f t="shared" si="3"/>
        <v>10000000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Koreksi'!$D$5:$D$92,'1700'!A70,'Daftar Koreksi'!$G$5:$G$92,"Aset Tetap Lainnya",'Daftar Koreksi'!$H$5:$H$92,"&gt;0")</f>
        <v>0</v>
      </c>
      <c r="F78" s="25">
        <f>SUMIFS('Daftar Koreksi'!$H$5:$H$92,'Daftar Koreksi'!$D$5:$D$92,'1700'!A70,'Daftar Koreksi'!$G$5:$G$92,"Aset Tetap Lainnya",'Daftar Koreksi'!$H$5:$H$92,"&lt;0")-SUMIFS('Daftar Koreksi'!$H$5:$H$92,'Daftar Koreksi'!$D$5:$D$92,'1700'!A70,'Daftar Koreksi'!$G$5:$G$92,"Aset Tetap Lainnya",'Daftar Koreksi'!$H$5:$H$92,"&lt;0")-SUMIFS('Daftar Koreksi'!$H$5:$H$92,'Daftar Koreksi'!$D$5:$D$92,'1700'!A70,'Daftar Koreksi'!$G$5:$G$92,"Aset Tetap Lainnya",'Daftar Koreksi'!$H$5:$H$92,"&lt;0")</f>
        <v>0</v>
      </c>
      <c r="G78" s="17">
        <f t="shared" si="3"/>
        <v>1943440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Koreksi'!$D$5:$D$92,'1700'!A70,'Daftar Koreksi'!$G$5:$G$92,"Kontruksi Dalam Pengerjaan",'Daftar Koreksi'!$H$5:$H$92,"&gt;0")</f>
        <v>0</v>
      </c>
      <c r="F79" s="25">
        <f>SUMIFS('Daftar Koreksi'!$H$5:$H$92,'Daftar Koreksi'!$D$5:$D$92,'1700'!A70,'Daftar Koreksi'!$G$5:$G$92,"Kontruksi Dalam Pengerjaan",'Daftar Koreksi'!$H$5:$H$92,"&lt;0")-SUMIFS('Daftar Koreksi'!$H$5:$H$92,'Daftar Koreksi'!$D$5:$D$92,'1700'!A70,'Daftar Koreksi'!$G$5:$G$92,"Kontruksi Dalam Pengerjaan",'Daftar Koreksi'!$H$5:$H$92,"&lt;0")-SUMIFS('Daftar Koreksi'!$H$5:$H$92,'Daftar Koreksi'!$D$5:$D$92,'1700'!A70,'Daftar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19850000</v>
      </c>
      <c r="E80" s="25">
        <f>SUMIFS('Daftar Koreksi'!$H$5:$H$92,'Daftar Koreksi'!$D$5:$D$92,'1700'!A70,'Daftar Koreksi'!$G$5:$G$92,"Aset Tak Berwujud",'Daftar Koreksi'!$H$5:$H$92,"&gt;0")</f>
        <v>0</v>
      </c>
      <c r="F80" s="25">
        <f>SUMIFS('Daftar Koreksi'!$H$5:$H$92,'Daftar Koreksi'!$D$5:$D$92,'1700'!A70,'Daftar Koreksi'!$G$5:$G$92,"Aset Tak Berwujud",'Daftar Koreksi'!$H$5:$H$92,"&lt;0")-SUMIFS('Daftar Koreksi'!$H$5:$H$92,'Daftar Koreksi'!$D$5:$D$92,'1700'!A70,'Daftar Koreksi'!$G$5:$G$92,"Aset Tak Berwujud",'Daftar Koreksi'!$H$5:$H$92,"&lt;0")-SUMIFS('Daftar Koreksi'!$H$5:$H$92,'Daftar Koreksi'!$D$5:$D$92,'1700'!A70,'Daftar Koreksi'!$G$5:$G$92,"Aset Tak Berwujud",'Daftar Koreksi'!$H$5:$H$92,"&lt;0")</f>
        <v>0</v>
      </c>
      <c r="G80" s="17">
        <f t="shared" si="3"/>
        <v>19850000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50555000</v>
      </c>
      <c r="E81" s="25">
        <f>SUMIFS('Daftar Koreksi'!$H$5:$H$92,'Daftar Koreksi'!$D$5:$D$92,'1700'!A70,'Daftar Koreksi'!$G$5:$G$92,"Aset Henti Guna",'Daftar Koreksi'!$H$5:$H$92,"&gt;0")</f>
        <v>0</v>
      </c>
      <c r="F81" s="25">
        <f>SUMIFS('Daftar Koreksi'!$H$5:$H$92,'Daftar Koreksi'!$D$5:$D$92,'1700'!A70,'Daftar Koreksi'!$G$5:$G$92,"Aset Henti Guna",'Daftar Koreksi'!$H$5:$H$92,"&lt;0")-SUMIFS('Daftar Koreksi'!$H$5:$H$92,'Daftar Koreksi'!$D$5:$D$92,'1700'!A70,'Daftar Koreksi'!$G$5:$G$92,"Aset Henti Guna",'Daftar Koreksi'!$H$5:$H$92,"&lt;0")-SUMIFS('Daftar Koreksi'!$H$5:$H$92,'Daftar Koreksi'!$D$5:$D$92,'1700'!A70,'Daftar Koreksi'!$G$5:$G$92,"Aset Henti Guna",'Daftar Koreksi'!$H$5:$H$92,"&lt;0")</f>
        <v>0</v>
      </c>
      <c r="G81" s="17">
        <f t="shared" si="3"/>
        <v>50555000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9047854960</v>
      </c>
      <c r="E82" s="19">
        <f>SUM(E73:E81)</f>
        <v>3895309</v>
      </c>
      <c r="F82" s="19">
        <f>SUM(F73:F81)</f>
        <v>0</v>
      </c>
      <c r="G82" s="19">
        <f t="shared" si="3"/>
        <v>9051750269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-1469866336</v>
      </c>
      <c r="E83" s="25">
        <f>SUMIFS('Daftar Koreksi'!$I$5:$I$92,'Daftar Koreksi'!$D$5:$D$92,'1700'!A70,'Daftar Koreksi'!$G$5:$G$92,"Peralatan dan mesin",'Daftar Koreksi'!$I$5:$I$92,"&gt;0")</f>
        <v>0</v>
      </c>
      <c r="F83" s="25">
        <f>SUMIFS('Daftar Koreksi'!$I$5:$I$92,'Daftar Koreksi'!$D$5:$D$92,'1700'!A70,'Daftar Koreksi'!$G$5:$G$92,"Peralatan dan mesin",'Daftar Koreksi'!$I$5:$I$92,"&lt;0")-SUMIFS('Daftar Koreksi'!$I$5:$I$92,'Daftar Koreksi'!$D$5:$D$92,'1700'!A70,'Daftar Koreksi'!$G$5:$G$92,"Peralatan dan mesin",'Daftar Koreksi'!$I$5:$I$92,"&lt;0")-SUMIFS('Daftar Koreksi'!$I$5:$I$92,'Daftar Koreksi'!$D$5:$D$92,'1700'!A70,'Daftar Koreksi'!$G$5:$G$92,"Peralatan dan mesin",'Daftar Koreksi'!$I$5:$I$92,"&lt;0")</f>
        <v>389531</v>
      </c>
      <c r="G83" s="17">
        <f t="shared" si="3"/>
        <v>-1470255867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-1506752822</v>
      </c>
      <c r="E84" s="25">
        <f>SUMIFS('Daftar Koreksi'!$I$5:$I$92,'Daftar Koreksi'!$D$5:$D$92,'1700'!A70,'Daftar Koreksi'!$G$5:$G$92,"Gedung dan Bangunan",'Daftar Koreksi'!$I$5:$I$92,"&gt;0")</f>
        <v>0</v>
      </c>
      <c r="F84" s="25">
        <f>SUMIFS('Daftar Koreksi'!$I$5:$I$92,'Daftar Koreksi'!$D$5:$D$92,'1700'!A70,'Daftar Koreksi'!$G$5:$G$92,"Gedung dan Bangunan",'Daftar Koreksi'!$I$5:$I$92,"&lt;0")-SUMIFS('Daftar Koreksi'!$I$5:$I$92,'Daftar Koreksi'!$D$5:$D$92,'1700'!A70,'Daftar Koreksi'!$G$5:$G$92,"Gedung dan Bangunan",'Daftar Koreksi'!$I$5:$I$92,"&lt;0")-SUMIFS('Daftar Koreksi'!$I$5:$I$92,'Daftar Koreksi'!$D$5:$D$92,'1700'!A70,'Daftar Koreksi'!$G$5:$G$92,"Gedung dan Bangunan",'Daftar Koreksi'!$I$5:$I$92,"&lt;0")</f>
        <v>0</v>
      </c>
      <c r="G84" s="17">
        <f t="shared" si="3"/>
        <v>-1506752822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-250000</v>
      </c>
      <c r="E85" s="25">
        <f>SUMIFS('Daftar Koreksi'!$I$5:$I$92,'Daftar Koreksi'!$D$5:$D$92,'1700'!A70,'Daftar Koreksi'!$G$5:$G$92,"Jalan Irigasi Jaringan",'Daftar Koreksi'!$I$5:$I$92,"&gt;0")</f>
        <v>0</v>
      </c>
      <c r="F85" s="25">
        <f>SUMIFS('Daftar Koreksi'!$I$5:$I$92,'Daftar Koreksi'!$D$5:$D$92,'1700'!A70,'Daftar Koreksi'!$G$5:$G$92,"Jalan Irigasi Jaringan",'Daftar Koreksi'!$I$5:$I$92,"&lt;0")-SUMIFS('Daftar Koreksi'!$I$5:$I$92,'Daftar Koreksi'!$D$5:$D$92,'1700'!A70,'Daftar Koreksi'!$G$5:$G$92,"Jalan Irigasi Jaringan",'Daftar Koreksi'!$I$5:$I$92,"&lt;0")-SUMIFS('Daftar Koreksi'!$I$5:$I$92,'Daftar Koreksi'!$D$5:$D$92,'1700'!A70,'Daftar Koreksi'!$G$5:$G$92,"Jalan Irigasi Jaringan",'Daftar Koreksi'!$I$5:$I$92,"&lt;0")</f>
        <v>0</v>
      </c>
      <c r="G85" s="17">
        <f t="shared" si="3"/>
        <v>-250000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Koreksi'!$D$5:$D$92,'1700'!A70,'Daftar Koreksi'!$G$5:$G$92,"Aset Tetap Lainnya",'Daftar Koreksi'!$I$5:$I$92,"&gt;0")</f>
        <v>0</v>
      </c>
      <c r="F86" s="25">
        <f>SUMIFS('Daftar Koreksi'!$I$5:$I$92,'Daftar Koreksi'!$D$5:$D$92,'1700'!A70,'Daftar Koreksi'!$G$5:$G$92,"Aset Tetap Lainnya",'Daftar Koreksi'!$I$5:$I$92,"&lt;0")-SUMIFS('Daftar Koreksi'!$I$5:$I$92,'Daftar Koreksi'!$D$5:$D$92,'1700'!A70,'Daftar Koreksi'!$G$5:$G$92,"Aset Tetap Lainnya",'Daftar Koreksi'!$I$5:$I$92,"&lt;0")-SUMIFS('Daftar Koreksi'!$I$5:$I$92,'Daftar Koreksi'!$D$5:$D$92,'1700'!A70,'Daftar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-45197857</v>
      </c>
      <c r="E87" s="25">
        <f>SUMIFS('Daftar Koreksi'!$I$5:$I$92,'Daftar Koreksi'!$D$5:$D$92,'1700'!A70,'Daftar Koreksi'!$G$5:$G$92,"Aset Henti Guna",'Daftar Koreksi'!$I$5:$I$92,"&gt;0")</f>
        <v>0</v>
      </c>
      <c r="F87" s="25">
        <f>SUMIFS('Daftar Koreksi'!$I$5:$I$92,'Daftar Koreksi'!$D$5:$D$92,'1700'!A70,'Daftar Koreksi'!$G$5:$G$92,"Aset Henti Guna",'Daftar Koreksi'!$I$5:$I$92,"&lt;0")-SUMIFS('Daftar Koreksi'!$I$5:$I$92,'Daftar Koreksi'!$D$5:$D$92,'1700'!A70,'Daftar Koreksi'!$G$5:$G$92,"Aset Henti Guna",'Daftar Koreksi'!$I$5:$I$92,"&lt;0")-SUMIFS('Daftar Koreksi'!$I$5:$I$92,'Daftar Koreksi'!$D$5:$D$92,'1700'!A70,'Daftar Koreksi'!$G$5:$G$92,"Aset Henti Guna",'Daftar Koreksi'!$I$5:$I$92,"&lt;0")</f>
        <v>0</v>
      </c>
      <c r="G87" s="17">
        <f t="shared" si="3"/>
        <v>-45197857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-3022067015</v>
      </c>
      <c r="E88" s="19">
        <f>SUM(E83:E87)</f>
        <v>0</v>
      </c>
      <c r="F88" s="19">
        <f>SUM(F83:F87)</f>
        <v>389531</v>
      </c>
      <c r="G88" s="19">
        <f t="shared" si="3"/>
        <v>-3022456546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6025787945</v>
      </c>
      <c r="E89" s="19">
        <f>E88+E82</f>
        <v>3895309</v>
      </c>
      <c r="F89" s="19">
        <f>F88+F82</f>
        <v>389531</v>
      </c>
      <c r="G89" s="19">
        <f t="shared" si="3"/>
        <v>6029293723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005011700099354000KD</v>
      </c>
      <c r="B92" s="11" t="str">
        <f>P5</f>
        <v>PN. Tondano</v>
      </c>
      <c r="C92" s="12" t="str">
        <f>A92&amp;" "&amp;B92</f>
        <v>005011700099354000KD PN. Tondano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14657836</v>
      </c>
      <c r="E95" s="25">
        <f>SUMIFS('Daftar Koreksi'!$H$5:$H$92,'Daftar Koreksi'!$D$5:$D$92,'1700'!A92,'Daftar Koreksi'!$G$5:$G$92,"Persediaan",'Daftar Koreksi'!$H$5:$H$92,"&gt;0")</f>
        <v>0</v>
      </c>
      <c r="F95" s="25">
        <f>SUMIFS('Daftar Koreksi'!$H$5:$H$92,'Daftar Koreksi'!$D$5:$D$92,'1700'!A92,'Daftar Koreksi'!$G$5:$G$92,"Persediaan",'Daftar Koreksi'!$H$5:$H$92,"&lt;0")-SUMIFS('Daftar Koreksi'!$H$5:$H$92,'Daftar Koreksi'!$D$5:$D$92,'1700'!A92,'Daftar Koreksi'!$G$5:$G$92,"Persediaan",'Daftar Koreksi'!$H$5:$H$92,"&lt;0")-SUMIFS('Daftar Koreksi'!$H$5:$H$92,'Daftar Koreksi'!$D$5:$D$92,'1700'!A92,'Daftar Koreksi'!$G$5:$G$92,"Persediaan",'Daftar Koreksi'!$H$5:$H$92,"&lt;0")</f>
        <v>0</v>
      </c>
      <c r="G95" s="17">
        <f>D95+E95-F95</f>
        <v>14657836</v>
      </c>
      <c r="H95" s="121" t="str">
        <f>IF(ISNA(VLOOKUP(A92,'Mutasi Neraca'!$A$3:$S$914,19,FALSE)),"-",VLOOKUP(A92,'Mutasi Neraca'!$A$3:$S$914,19,FALSE))</f>
        <v>TP. No 4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1615200000</v>
      </c>
      <c r="E96" s="25">
        <f>SUMIFS('Daftar Koreksi'!$H$5:$H$92,'Daftar Koreksi'!$D$5:$D$92,'1700'!A92,'Daftar Koreksi'!$G$5:$G$92,"Tanah",'Daftar Koreksi'!$H$5:$H$92,"&gt;0")</f>
        <v>0</v>
      </c>
      <c r="F96" s="25">
        <f>SUMIFS('Daftar Koreksi'!$H$5:$H$92,'Daftar Koreksi'!$D$5:$D$92,'1700'!A92,'Daftar Koreksi'!$G$5:$G$92,"Tanah",'Daftar Koreksi'!$H$5:$H$92,"&lt;0")-SUMIFS('Daftar Koreksi'!$H$5:$H$92,'Daftar Koreksi'!$D$5:$D$92,'1700'!A92,'Daftar Koreksi'!$G$5:$G$92,"Tanah",'Daftar Koreksi'!$H$5:$H$92,"&lt;0")-SUMIFS('Daftar Koreksi'!$H$5:$H$92,'Daftar Koreksi'!$D$5:$D$92,'1700'!A92,'Daftar Koreksi'!$G$5:$G$92,"Tanah",'Daftar Koreksi'!$H$5:$H$92,"&lt;0")</f>
        <v>0</v>
      </c>
      <c r="G96" s="17">
        <f t="shared" ref="G96:G112" si="4">D96+E96-F96</f>
        <v>1615200000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2280990928</v>
      </c>
      <c r="E97" s="25">
        <f>SUMIFS('Daftar Koreksi'!$H$5:$H$92,'Daftar Koreksi'!$D$5:$D$92,'1700'!A92,'Daftar Koreksi'!$G$5:$G$92,"Peralatan dan mesin",'Daftar Koreksi'!$H$5:$H$92,"&gt;0")</f>
        <v>3895309</v>
      </c>
      <c r="F97" s="25">
        <f>SUMIFS('Daftar Koreksi'!$H$5:$H$92,'Daftar Koreksi'!$D$5:$D$92,'1700'!A92,'Daftar Koreksi'!$G$5:$G$92,"Peralatan dan mesin",'Daftar Koreksi'!$H$5:$H$92,"&lt;0")-SUMIFS('Daftar Koreksi'!$H$5:$H$92,'Daftar Koreksi'!$D$5:$D$92,'1700'!A92,'Daftar Koreksi'!$G$5:$G$92,"Peralatan dan mesin",'Daftar Koreksi'!$H$5:$H$92,"&lt;0")-SUMIFS('Daftar Koreksi'!$H$5:$H$92,'Daftar Koreksi'!$D$5:$D$92,'1700'!A92,'Daftar Koreksi'!$G$5:$G$92,"Peralatan dan mesin",'Daftar Koreksi'!$H$5:$H$92,"&lt;0")</f>
        <v>0</v>
      </c>
      <c r="G97" s="17">
        <f t="shared" si="4"/>
        <v>2284886237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4019100649</v>
      </c>
      <c r="E98" s="25">
        <f>SUMIFS('Daftar Koreksi'!$H$5:$H$92,'Daftar Koreksi'!$D$5:$D$92,'1700'!A92,'Daftar Koreksi'!$G$5:$G$92,"Gedung dan Bangunan",'Daftar Koreksi'!$H$5:$H$92,"&gt;0")</f>
        <v>0</v>
      </c>
      <c r="F98" s="25">
        <f>SUMIFS('Daftar Koreksi'!$H$5:$H$92,'Daftar Koreksi'!$D$5:$D$92,'1700'!A92,'Daftar Koreksi'!$G$5:$G$92,"Gedung dan Bangunan",'Daftar Koreksi'!$H$5:$H$92,"&lt;0")-SUMIFS('Daftar Koreksi'!$H$5:$H$92,'Daftar Koreksi'!$D$5:$D$92,'1700'!A92,'Daftar Koreksi'!$G$5:$G$92,"Gedung dan Bangunan",'Daftar Koreksi'!$H$5:$H$92,"&lt;0")-SUMIFS('Daftar Koreksi'!$H$5:$H$92,'Daftar Koreksi'!$D$5:$D$92,'1700'!A92,'Daftar Koreksi'!$G$5:$G$92,"Gedung dan Bangunan",'Daftar Koreksi'!$H$5:$H$92,"&lt;0")</f>
        <v>0</v>
      </c>
      <c r="G98" s="17">
        <f t="shared" si="4"/>
        <v>4019100649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558432375</v>
      </c>
      <c r="E99" s="25">
        <f>SUMIFS('Daftar Koreksi'!$H$5:$H$92,'Daftar Koreksi'!$D$5:$D$92,'1700'!A92,'Daftar Koreksi'!$G$5:$G$92,"Jalan Irigasi Jaringan",'Daftar Koreksi'!$H$5:$H$92,"&gt;0")</f>
        <v>0</v>
      </c>
      <c r="F99" s="25">
        <f>SUMIFS('Daftar Koreksi'!$H$5:$H$92,'Daftar Koreksi'!$D$5:$D$92,'1700'!A92,'Daftar Koreksi'!$G$5:$G$92,"Jalan Irigasi Jaringan",'Daftar Koreksi'!$H$5:$H$92,"&lt;0")-SUMIFS('Daftar Koreksi'!$H$5:$H$92,'Daftar Koreksi'!$D$5:$D$92,'1700'!A92,'Daftar Koreksi'!$G$5:$G$92,"Jalan Irigasi Jaringan",'Daftar Koreksi'!$H$5:$H$92,"&lt;0")-SUMIFS('Daftar Koreksi'!$H$5:$H$92,'Daftar Koreksi'!$D$5:$D$92,'1700'!A92,'Daftar Koreksi'!$G$5:$G$92,"Jalan Irigasi Jaringan",'Daftar Koreksi'!$H$5:$H$92,"&lt;0")</f>
        <v>0</v>
      </c>
      <c r="G99" s="17">
        <f t="shared" si="4"/>
        <v>558432375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321625360</v>
      </c>
      <c r="E100" s="25">
        <f>SUMIFS('Daftar Koreksi'!$H$5:$H$92,'Daftar Koreksi'!$D$5:$D$92,'1700'!A92,'Daftar Koreksi'!$G$5:$G$92,"Aset Tetap Lainnya",'Daftar Koreksi'!$H$5:$H$92,"&gt;0")</f>
        <v>0</v>
      </c>
      <c r="F100" s="25">
        <f>SUMIFS('Daftar Koreksi'!$H$5:$H$92,'Daftar Koreksi'!$D$5:$D$92,'1700'!A92,'Daftar Koreksi'!$G$5:$G$92,"Aset Tetap Lainnya",'Daftar Koreksi'!$H$5:$H$92,"&lt;0")-SUMIFS('Daftar Koreksi'!$H$5:$H$92,'Daftar Koreksi'!$D$5:$D$92,'1700'!A92,'Daftar Koreksi'!$G$5:$G$92,"Aset Tetap Lainnya",'Daftar Koreksi'!$H$5:$H$92,"&lt;0")-SUMIFS('Daftar Koreksi'!$H$5:$H$92,'Daftar Koreksi'!$D$5:$D$92,'1700'!A92,'Daftar Koreksi'!$G$5:$G$92,"Aset Tetap Lainnya",'Daftar Koreksi'!$H$5:$H$92,"&lt;0")</f>
        <v>0</v>
      </c>
      <c r="G100" s="17">
        <f t="shared" si="4"/>
        <v>321625360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Koreksi'!$D$5:$D$92,'1700'!A92,'Daftar Koreksi'!$G$5:$G$92,"Kontruksi Dalam Pengerjaan",'Daftar Koreksi'!$H$5:$H$92,"&gt;0")</f>
        <v>0</v>
      </c>
      <c r="F101" s="25">
        <f>SUMIFS('Daftar Koreksi'!$H$5:$H$92,'Daftar Koreksi'!$D$5:$D$92,'1700'!A92,'Daftar Koreksi'!$G$5:$G$92,"Kontruksi Dalam Pengerjaan",'Daftar Koreksi'!$H$5:$H$92,"&lt;0")-SUMIFS('Daftar Koreksi'!$H$5:$H$92,'Daftar Koreksi'!$D$5:$D$92,'1700'!A92,'Daftar Koreksi'!$G$5:$G$92,"Kontruksi Dalam Pengerjaan",'Daftar Koreksi'!$H$5:$H$92,"&lt;0")-SUMIFS('Daftar Koreksi'!$H$5:$H$92,'Daftar Koreksi'!$D$5:$D$92,'1700'!A92,'Daftar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49613000</v>
      </c>
      <c r="E102" s="25">
        <f>SUMIFS('Daftar Koreksi'!$H$5:$H$92,'Daftar Koreksi'!$D$5:$D$92,'1700'!A92,'Daftar Koreksi'!$G$5:$G$92,"Aset Tak Berwujud",'Daftar Koreksi'!$H$5:$H$92,"&gt;0")</f>
        <v>0</v>
      </c>
      <c r="F102" s="25">
        <f>SUMIFS('Daftar Koreksi'!$H$5:$H$92,'Daftar Koreksi'!$D$5:$D$92,'1700'!A92,'Daftar Koreksi'!$G$5:$G$92,"Aset Tak Berwujud",'Daftar Koreksi'!$H$5:$H$92,"&lt;0")-SUMIFS('Daftar Koreksi'!$H$5:$H$92,'Daftar Koreksi'!$D$5:$D$92,'1700'!A92,'Daftar Koreksi'!$G$5:$G$92,"Aset Tak Berwujud",'Daftar Koreksi'!$H$5:$H$92,"&lt;0")-SUMIFS('Daftar Koreksi'!$H$5:$H$92,'Daftar Koreksi'!$D$5:$D$92,'1700'!A92,'Daftar Koreksi'!$G$5:$G$92,"Aset Tak Berwujud",'Daftar Koreksi'!$H$5:$H$92,"&lt;0")</f>
        <v>0</v>
      </c>
      <c r="G102" s="17">
        <f t="shared" si="4"/>
        <v>49613000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Koreksi'!$D$5:$D$92,'1700'!A92,'Daftar Koreksi'!$G$5:$G$92,"Aset Henti Guna",'Daftar Koreksi'!$H$5:$H$92,"&gt;0")</f>
        <v>0</v>
      </c>
      <c r="F103" s="25">
        <f>SUMIFS('Daftar Koreksi'!$H$5:$H$92,'Daftar Koreksi'!$D$5:$D$92,'1700'!A92,'Daftar Koreksi'!$G$5:$G$92,"Aset Henti Guna",'Daftar Koreksi'!$H$5:$H$92,"&lt;0")-SUMIFS('Daftar Koreksi'!$H$5:$H$92,'Daftar Koreksi'!$D$5:$D$92,'1700'!A92,'Daftar Koreksi'!$G$5:$G$92,"Aset Henti Guna",'Daftar Koreksi'!$H$5:$H$92,"&lt;0")-SUMIFS('Daftar Koreksi'!$H$5:$H$92,'Daftar Koreksi'!$D$5:$D$92,'1700'!A92,'Daftar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8859620148</v>
      </c>
      <c r="E104" s="19">
        <f>SUM(E95:E103)</f>
        <v>3895309</v>
      </c>
      <c r="F104" s="19">
        <f>SUM(F95:F103)</f>
        <v>0</v>
      </c>
      <c r="G104" s="19">
        <f t="shared" si="4"/>
        <v>8863515457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-1794033047</v>
      </c>
      <c r="E105" s="25">
        <f>SUMIFS('Daftar Koreksi'!$I$5:$I$92,'Daftar Koreksi'!$D$5:$D$92,'1700'!A92,'Daftar Koreksi'!$G$5:$G$92,"Peralatan dan mesin",'Daftar Koreksi'!$I$5:$I$92,"&gt;0")</f>
        <v>0</v>
      </c>
      <c r="F105" s="25">
        <f>SUMIFS('Daftar Koreksi'!$I$5:$I$92,'Daftar Koreksi'!$D$5:$D$92,'1700'!A92,'Daftar Koreksi'!$G$5:$G$92,"Peralatan dan mesin",'Daftar Koreksi'!$I$5:$I$92,"&lt;0")-SUMIFS('Daftar Koreksi'!$I$5:$I$92,'Daftar Koreksi'!$D$5:$D$92,'1700'!A92,'Daftar Koreksi'!$G$5:$G$92,"Peralatan dan mesin",'Daftar Koreksi'!$I$5:$I$92,"&lt;0")-SUMIFS('Daftar Koreksi'!$I$5:$I$92,'Daftar Koreksi'!$D$5:$D$92,'1700'!A92,'Daftar Koreksi'!$G$5:$G$92,"Peralatan dan mesin",'Daftar Koreksi'!$I$5:$I$92,"&lt;0")</f>
        <v>389531</v>
      </c>
      <c r="G105" s="17">
        <f t="shared" si="4"/>
        <v>-1794422578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-1800872347</v>
      </c>
      <c r="E106" s="25">
        <f>SUMIFS('Daftar Koreksi'!$I$5:$I$92,'Daftar Koreksi'!$D$5:$D$92,'1700'!A92,'Daftar Koreksi'!$G$5:$G$92,"Gedung dan Bangunan",'Daftar Koreksi'!$I$5:$I$92,"&gt;0")</f>
        <v>0</v>
      </c>
      <c r="F106" s="25">
        <f>SUMIFS('Daftar Koreksi'!$I$5:$I$92,'Daftar Koreksi'!$D$5:$D$92,'1700'!A92,'Daftar Koreksi'!$G$5:$G$92,"Gedung dan Bangunan",'Daftar Koreksi'!$I$5:$I$92,"&lt;0")-SUMIFS('Daftar Koreksi'!$I$5:$I$92,'Daftar Koreksi'!$D$5:$D$92,'1700'!A92,'Daftar Koreksi'!$G$5:$G$92,"Gedung dan Bangunan",'Daftar Koreksi'!$I$5:$I$92,"&lt;0")-SUMIFS('Daftar Koreksi'!$I$5:$I$92,'Daftar Koreksi'!$D$5:$D$92,'1700'!A92,'Daftar Koreksi'!$G$5:$G$92,"Gedung dan Bangunan",'Daftar Koreksi'!$I$5:$I$92,"&lt;0")</f>
        <v>0</v>
      </c>
      <c r="G106" s="17">
        <f t="shared" si="4"/>
        <v>-1800872347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-213439987</v>
      </c>
      <c r="E107" s="25">
        <f>SUMIFS('Daftar Koreksi'!$I$5:$I$92,'Daftar Koreksi'!$D$5:$D$92,'1700'!A92,'Daftar Koreksi'!$G$5:$G$92,"Jalan Irigasi Jaringan",'Daftar Koreksi'!$I$5:$I$92,"&gt;0")</f>
        <v>0</v>
      </c>
      <c r="F107" s="25">
        <f>SUMIFS('Daftar Koreksi'!$I$5:$I$92,'Daftar Koreksi'!$D$5:$D$92,'1700'!A92,'Daftar Koreksi'!$G$5:$G$92,"Jalan Irigasi Jaringan",'Daftar Koreksi'!$I$5:$I$92,"&lt;0")-SUMIFS('Daftar Koreksi'!$I$5:$I$92,'Daftar Koreksi'!$D$5:$D$92,'1700'!A92,'Daftar Koreksi'!$G$5:$G$92,"Jalan Irigasi Jaringan",'Daftar Koreksi'!$I$5:$I$92,"&lt;0")-SUMIFS('Daftar Koreksi'!$I$5:$I$92,'Daftar Koreksi'!$D$5:$D$92,'1700'!A92,'Daftar Koreksi'!$G$5:$G$92,"Jalan Irigasi Jaringan",'Daftar Koreksi'!$I$5:$I$92,"&lt;0")</f>
        <v>0</v>
      </c>
      <c r="G107" s="17">
        <f t="shared" si="4"/>
        <v>-213439987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Koreksi'!$D$5:$D$92,'1700'!A92,'Daftar Koreksi'!$G$5:$G$92,"Aset Tetap Lainnya",'Daftar Koreksi'!$I$5:$I$92,"&gt;0")</f>
        <v>0</v>
      </c>
      <c r="F108" s="25">
        <f>SUMIFS('Daftar Koreksi'!$I$5:$I$92,'Daftar Koreksi'!$D$5:$D$92,'1700'!A92,'Daftar Koreksi'!$G$5:$G$92,"Aset Tetap Lainnya",'Daftar Koreksi'!$I$5:$I$92,"&lt;0")-SUMIFS('Daftar Koreksi'!$I$5:$I$92,'Daftar Koreksi'!$D$5:$D$92,'1700'!A92,'Daftar Koreksi'!$G$5:$G$92,"Aset Tetap Lainnya",'Daftar Koreksi'!$I$5:$I$92,"&lt;0")-SUMIFS('Daftar Koreksi'!$I$5:$I$92,'Daftar Koreksi'!$D$5:$D$92,'1700'!A92,'Daftar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Koreksi'!$D$5:$D$92,'1700'!A92,'Daftar Koreksi'!$G$5:$G$92,"Aset Henti Guna",'Daftar Koreksi'!$I$5:$I$92,"&gt;0")</f>
        <v>0</v>
      </c>
      <c r="F109" s="25">
        <f>SUMIFS('Daftar Koreksi'!$I$5:$I$92,'Daftar Koreksi'!$D$5:$D$92,'1700'!A92,'Daftar Koreksi'!$G$5:$G$92,"Aset Henti Guna",'Daftar Koreksi'!$I$5:$I$92,"&lt;0")-SUMIFS('Daftar Koreksi'!$I$5:$I$92,'Daftar Koreksi'!$D$5:$D$92,'1700'!A92,'Daftar Koreksi'!$G$5:$G$92,"Aset Henti Guna",'Daftar Koreksi'!$I$5:$I$92,"&lt;0")-SUMIFS('Daftar Koreksi'!$I$5:$I$92,'Daftar Koreksi'!$D$5:$D$92,'1700'!A92,'Daftar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-3808345381</v>
      </c>
      <c r="E110" s="19">
        <f>SUM(E105:E109)</f>
        <v>0</v>
      </c>
      <c r="F110" s="19">
        <f>SUM(F105:F109)</f>
        <v>389531</v>
      </c>
      <c r="G110" s="19">
        <f t="shared" si="4"/>
        <v>-3808734912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5051274767</v>
      </c>
      <c r="E111" s="19">
        <f>E110+E104</f>
        <v>3895309</v>
      </c>
      <c r="F111" s="19">
        <f>F110+F104</f>
        <v>389531</v>
      </c>
      <c r="G111" s="19">
        <f t="shared" si="4"/>
        <v>5054780545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005011700307225000KD</v>
      </c>
      <c r="B114" s="11" t="str">
        <f>P6</f>
        <v>PA. Manado</v>
      </c>
      <c r="C114" s="12" t="str">
        <f>A114&amp;" "&amp;B114</f>
        <v>005011700307225000KD PA. Manado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940100</v>
      </c>
      <c r="E117" s="25">
        <f>SUMIFS('Daftar Koreksi'!$H$5:$H$92,'Daftar Koreksi'!$D$5:$D$92,'1700'!A114,'Daftar Koreksi'!$G$5:$G$92,"Persediaan",'Daftar Koreksi'!$H$5:$H$92,"&gt;0")</f>
        <v>0</v>
      </c>
      <c r="F117" s="25">
        <f>SUMIFS('Daftar Koreksi'!$H$5:$H$92,'Daftar Koreksi'!$D$5:$D$92,'1700'!A114,'Daftar Koreksi'!$G$5:$G$92,"Persediaan",'Daftar Koreksi'!$H$5:$H$92,"&lt;0")-SUMIFS('Daftar Koreksi'!$H$5:$H$92,'Daftar Koreksi'!$D$5:$D$92,'1700'!A114,'Daftar Koreksi'!$G$5:$G$92,"Persediaan",'Daftar Koreksi'!$H$5:$H$92,"&lt;0")-SUMIFS('Daftar Koreksi'!$H$5:$H$92,'Daftar Koreksi'!$D$5:$D$92,'1700'!A114,'Daftar Koreksi'!$G$5:$G$92,"Persediaan",'Daftar Koreksi'!$H$5:$H$92,"&lt;0")</f>
        <v>0</v>
      </c>
      <c r="G117" s="17">
        <f>D117+E117-F117</f>
        <v>940100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183940000</v>
      </c>
      <c r="E118" s="25">
        <f>SUMIFS('Daftar Koreksi'!$H$5:$H$92,'Daftar Koreksi'!$D$5:$D$92,'1700'!A114,'Daftar Koreksi'!$G$5:$G$92,"Tanah",'Daftar Koreksi'!$H$5:$H$92,"&gt;0")</f>
        <v>0</v>
      </c>
      <c r="F118" s="25">
        <f>SUMIFS('Daftar Koreksi'!$H$5:$H$92,'Daftar Koreksi'!$D$5:$D$92,'1700'!A114,'Daftar Koreksi'!$G$5:$G$92,"Tanah",'Daftar Koreksi'!$H$5:$H$92,"&lt;0")-SUMIFS('Daftar Koreksi'!$H$5:$H$92,'Daftar Koreksi'!$D$5:$D$92,'1700'!A114,'Daftar Koreksi'!$G$5:$G$92,"Tanah",'Daftar Koreksi'!$H$5:$H$92,"&lt;0")-SUMIFS('Daftar Koreksi'!$H$5:$H$92,'Daftar Koreksi'!$D$5:$D$92,'1700'!A114,'Daftar Koreksi'!$G$5:$G$92,"Tanah",'Daftar Koreksi'!$H$5:$H$92,"&lt;0")</f>
        <v>0</v>
      </c>
      <c r="G118" s="17">
        <f t="shared" ref="G118:G134" si="5">D118+E118-F118</f>
        <v>183940000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1808707479</v>
      </c>
      <c r="E119" s="25">
        <f>SUMIFS('Daftar Koreksi'!$H$5:$H$92,'Daftar Koreksi'!$D$5:$D$92,'1700'!A114,'Daftar Koreksi'!$G$5:$G$92,"Peralatan dan mesin",'Daftar Koreksi'!$H$5:$H$92,"&gt;0")</f>
        <v>0</v>
      </c>
      <c r="F119" s="25">
        <f>SUMIFS('Daftar Koreksi'!$H$5:$H$92,'Daftar Koreksi'!$D$5:$D$92,'1700'!A114,'Daftar Koreksi'!$G$5:$G$92,"Peralatan dan mesin",'Daftar Koreksi'!$H$5:$H$92,"&lt;0")-SUMIFS('Daftar Koreksi'!$H$5:$H$92,'Daftar Koreksi'!$D$5:$D$92,'1700'!A114,'Daftar Koreksi'!$G$5:$G$92,"Peralatan dan mesin",'Daftar Koreksi'!$H$5:$H$92,"&lt;0")-SUMIFS('Daftar Koreksi'!$H$5:$H$92,'Daftar Koreksi'!$D$5:$D$92,'1700'!A114,'Daftar Koreksi'!$G$5:$G$92,"Peralatan dan mesin",'Daftar Koreksi'!$H$5:$H$92,"&lt;0")</f>
        <v>0</v>
      </c>
      <c r="G119" s="17">
        <f t="shared" si="5"/>
        <v>1808707479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1622466000</v>
      </c>
      <c r="E120" s="25">
        <f>SUMIFS('Daftar Koreksi'!$H$5:$H$92,'Daftar Koreksi'!$D$5:$D$92,'1700'!A114,'Daftar Koreksi'!$G$5:$G$92,"Gedung dan Bangunan",'Daftar Koreksi'!$H$5:$H$92,"&gt;0")</f>
        <v>0</v>
      </c>
      <c r="F120" s="25">
        <f>SUMIFS('Daftar Koreksi'!$H$5:$H$92,'Daftar Koreksi'!$D$5:$D$92,'1700'!A114,'Daftar Koreksi'!$G$5:$G$92,"Gedung dan Bangunan",'Daftar Koreksi'!$H$5:$H$92,"&lt;0")-SUMIFS('Daftar Koreksi'!$H$5:$H$92,'Daftar Koreksi'!$D$5:$D$92,'1700'!A114,'Daftar Koreksi'!$G$5:$G$92,"Gedung dan Bangunan",'Daftar Koreksi'!$H$5:$H$92,"&lt;0")-SUMIFS('Daftar Koreksi'!$H$5:$H$92,'Daftar Koreksi'!$D$5:$D$92,'1700'!A114,'Daftar Koreksi'!$G$5:$G$92,"Gedung dan Bangunan",'Daftar Koreksi'!$H$5:$H$92,"&lt;0")</f>
        <v>0</v>
      </c>
      <c r="G120" s="17">
        <f t="shared" si="5"/>
        <v>1622466000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11500000</v>
      </c>
      <c r="E121" s="25">
        <f>SUMIFS('Daftar Koreksi'!$H$5:$H$92,'Daftar Koreksi'!$D$5:$D$92,'1700'!A114,'Daftar Koreksi'!$G$5:$G$92,"Jalan Irigasi Jaringan",'Daftar Koreksi'!$H$5:$H$92,"&gt;0")</f>
        <v>0</v>
      </c>
      <c r="F121" s="25">
        <f>SUMIFS('Daftar Koreksi'!$H$5:$H$92,'Daftar Koreksi'!$D$5:$D$92,'1700'!A114,'Daftar Koreksi'!$G$5:$G$92,"Jalan Irigasi Jaringan",'Daftar Koreksi'!$H$5:$H$92,"&lt;0")-SUMIFS('Daftar Koreksi'!$H$5:$H$92,'Daftar Koreksi'!$D$5:$D$92,'1700'!A114,'Daftar Koreksi'!$G$5:$G$92,"Jalan Irigasi Jaringan",'Daftar Koreksi'!$H$5:$H$92,"&lt;0")-SUMIFS('Daftar Koreksi'!$H$5:$H$92,'Daftar Koreksi'!$D$5:$D$92,'1700'!A114,'Daftar Koreksi'!$G$5:$G$92,"Jalan Irigasi Jaringan",'Daftar Koreksi'!$H$5:$H$92,"&lt;0")</f>
        <v>0</v>
      </c>
      <c r="G121" s="17">
        <f t="shared" si="5"/>
        <v>11500000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0</v>
      </c>
      <c r="E122" s="25">
        <f>SUMIFS('Daftar Koreksi'!$H$5:$H$92,'Daftar Koreksi'!$D$5:$D$92,'1700'!A114,'Daftar Koreksi'!$G$5:$G$92,"Aset Tetap Lainnya",'Daftar Koreksi'!$H$5:$H$92,"&gt;0")</f>
        <v>0</v>
      </c>
      <c r="F122" s="25">
        <f>SUMIFS('Daftar Koreksi'!$H$5:$H$92,'Daftar Koreksi'!$D$5:$D$92,'1700'!A114,'Daftar Koreksi'!$G$5:$G$92,"Aset Tetap Lainnya",'Daftar Koreksi'!$H$5:$H$92,"&lt;0")-SUMIFS('Daftar Koreksi'!$H$5:$H$92,'Daftar Koreksi'!$D$5:$D$92,'1700'!A114,'Daftar Koreksi'!$G$5:$G$92,"Aset Tetap Lainnya",'Daftar Koreksi'!$H$5:$H$92,"&lt;0")-SUMIFS('Daftar Koreksi'!$H$5:$H$92,'Daftar Koreksi'!$D$5:$D$92,'1700'!A114,'Daftar Koreksi'!$G$5:$G$92,"Aset Tetap Lainnya",'Daftar Koreksi'!$H$5:$H$92,"&lt;0")</f>
        <v>0</v>
      </c>
      <c r="G122" s="17">
        <f t="shared" si="5"/>
        <v>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Koreksi'!$D$5:$D$92,'1700'!A114,'Daftar Koreksi'!$G$5:$G$92,"Kontruksi Dalam Pengerjaan",'Daftar Koreksi'!$H$5:$H$92,"&gt;0")</f>
        <v>0</v>
      </c>
      <c r="F123" s="25">
        <f>SUMIFS('Daftar Koreksi'!$H$5:$H$92,'Daftar Koreksi'!$D$5:$D$92,'1700'!A114,'Daftar Koreksi'!$G$5:$G$92,"Kontruksi Dalam Pengerjaan",'Daftar Koreksi'!$H$5:$H$92,"&lt;0")-SUMIFS('Daftar Koreksi'!$H$5:$H$92,'Daftar Koreksi'!$D$5:$D$92,'1700'!A114,'Daftar Koreksi'!$G$5:$G$92,"Kontruksi Dalam Pengerjaan",'Daftar Koreksi'!$H$5:$H$92,"&lt;0")-SUMIFS('Daftar Koreksi'!$H$5:$H$92,'Daftar Koreksi'!$D$5:$D$92,'1700'!A114,'Daftar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Koreksi'!$D$5:$D$92,'1700'!A114,'Daftar Koreksi'!$G$5:$G$92,"Aset Tak Berwujud",'Daftar Koreksi'!$H$5:$H$92,"&gt;0")</f>
        <v>0</v>
      </c>
      <c r="F124" s="25">
        <f>SUMIFS('Daftar Koreksi'!$H$5:$H$92,'Daftar Koreksi'!$D$5:$D$92,'1700'!A114,'Daftar Koreksi'!$G$5:$G$92,"Aset Tak Berwujud",'Daftar Koreksi'!$H$5:$H$92,"&lt;0")-SUMIFS('Daftar Koreksi'!$H$5:$H$92,'Daftar Koreksi'!$D$5:$D$92,'1700'!A114,'Daftar Koreksi'!$G$5:$G$92,"Aset Tak Berwujud",'Daftar Koreksi'!$H$5:$H$92,"&lt;0")-SUMIFS('Daftar Koreksi'!$H$5:$H$92,'Daftar Koreksi'!$D$5:$D$92,'1700'!A114,'Daftar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159550003</v>
      </c>
      <c r="E125" s="25">
        <f>SUMIFS('Daftar Koreksi'!$H$5:$H$92,'Daftar Koreksi'!$D$5:$D$92,'1700'!A114,'Daftar Koreksi'!$G$5:$G$92,"Aset Henti Guna",'Daftar Koreksi'!$H$5:$H$92,"&gt;0")</f>
        <v>0</v>
      </c>
      <c r="F125" s="25">
        <f>SUMIFS('Daftar Koreksi'!$H$5:$H$92,'Daftar Koreksi'!$D$5:$D$92,'1700'!A114,'Daftar Koreksi'!$G$5:$G$92,"Aset Henti Guna",'Daftar Koreksi'!$H$5:$H$92,"&lt;0")-SUMIFS('Daftar Koreksi'!$H$5:$H$92,'Daftar Koreksi'!$D$5:$D$92,'1700'!A114,'Daftar Koreksi'!$G$5:$G$92,"Aset Henti Guna",'Daftar Koreksi'!$H$5:$H$92,"&lt;0")-SUMIFS('Daftar Koreksi'!$H$5:$H$92,'Daftar Koreksi'!$D$5:$D$92,'1700'!A114,'Daftar Koreksi'!$G$5:$G$92,"Aset Henti Guna",'Daftar Koreksi'!$H$5:$H$92,"&lt;0")</f>
        <v>0</v>
      </c>
      <c r="G125" s="17">
        <f t="shared" si="5"/>
        <v>159550003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3787103582</v>
      </c>
      <c r="E126" s="19">
        <f>SUM(E117:E125)</f>
        <v>0</v>
      </c>
      <c r="F126" s="19">
        <f>SUM(F117:F125)</f>
        <v>0</v>
      </c>
      <c r="G126" s="19">
        <f t="shared" si="5"/>
        <v>3787103582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-999546906</v>
      </c>
      <c r="E127" s="25">
        <f>SUMIFS('Daftar Koreksi'!$I$5:$I$92,'Daftar Koreksi'!$D$5:$D$92,'1700'!A114,'Daftar Koreksi'!$G$5:$G$92,"Peralatan dan mesin",'Daftar Koreksi'!$I$5:$I$92,"&gt;0")</f>
        <v>0</v>
      </c>
      <c r="F127" s="25">
        <f>SUMIFS('Daftar Koreksi'!$I$5:$I$92,'Daftar Koreksi'!$D$5:$D$92,'1700'!A114,'Daftar Koreksi'!$G$5:$G$92,"Peralatan dan mesin",'Daftar Koreksi'!$I$5:$I$92,"&lt;0")-SUMIFS('Daftar Koreksi'!$I$5:$I$92,'Daftar Koreksi'!$D$5:$D$92,'1700'!A114,'Daftar Koreksi'!$G$5:$G$92,"Peralatan dan mesin",'Daftar Koreksi'!$I$5:$I$92,"&lt;0")-SUMIFS('Daftar Koreksi'!$I$5:$I$92,'Daftar Koreksi'!$D$5:$D$92,'1700'!A114,'Daftar Koreksi'!$G$5:$G$92,"Peralatan dan mesin",'Daftar Koreksi'!$I$5:$I$92,"&lt;0")</f>
        <v>0</v>
      </c>
      <c r="G127" s="17">
        <f t="shared" si="5"/>
        <v>-999546906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-564909900</v>
      </c>
      <c r="E128" s="25">
        <f>SUMIFS('Daftar Koreksi'!$I$5:$I$92,'Daftar Koreksi'!$D$5:$D$92,'1700'!A114,'Daftar Koreksi'!$G$5:$G$92,"Gedung dan Bangunan",'Daftar Koreksi'!$I$5:$I$92,"&gt;0")</f>
        <v>0</v>
      </c>
      <c r="F128" s="25">
        <f>SUMIFS('Daftar Koreksi'!$I$5:$I$92,'Daftar Koreksi'!$D$5:$D$92,'1700'!A114,'Daftar Koreksi'!$G$5:$G$92,"Gedung dan Bangunan",'Daftar Koreksi'!$I$5:$I$92,"&lt;0")-SUMIFS('Daftar Koreksi'!$I$5:$I$92,'Daftar Koreksi'!$D$5:$D$92,'1700'!A114,'Daftar Koreksi'!$G$5:$G$92,"Gedung dan Bangunan",'Daftar Koreksi'!$I$5:$I$92,"&lt;0")-SUMIFS('Daftar Koreksi'!$I$5:$I$92,'Daftar Koreksi'!$D$5:$D$92,'1700'!A114,'Daftar Koreksi'!$G$5:$G$92,"Gedung dan Bangunan",'Daftar Koreksi'!$I$5:$I$92,"&lt;0")</f>
        <v>0</v>
      </c>
      <c r="G128" s="17">
        <f t="shared" si="5"/>
        <v>-564909900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-1150000</v>
      </c>
      <c r="E129" s="25">
        <f>SUMIFS('Daftar Koreksi'!$I$5:$I$92,'Daftar Koreksi'!$D$5:$D$92,'1700'!A114,'Daftar Koreksi'!$G$5:$G$92,"Jalan Irigasi Jaringan",'Daftar Koreksi'!$I$5:$I$92,"&gt;0")</f>
        <v>0</v>
      </c>
      <c r="F129" s="25">
        <f>SUMIFS('Daftar Koreksi'!$I$5:$I$92,'Daftar Koreksi'!$D$5:$D$92,'1700'!A114,'Daftar Koreksi'!$G$5:$G$92,"Jalan Irigasi Jaringan",'Daftar Koreksi'!$I$5:$I$92,"&lt;0")-SUMIFS('Daftar Koreksi'!$I$5:$I$92,'Daftar Koreksi'!$D$5:$D$92,'1700'!A114,'Daftar Koreksi'!$G$5:$G$92,"Jalan Irigasi Jaringan",'Daftar Koreksi'!$I$5:$I$92,"&lt;0")-SUMIFS('Daftar Koreksi'!$I$5:$I$92,'Daftar Koreksi'!$D$5:$D$92,'1700'!A114,'Daftar Koreksi'!$G$5:$G$92,"Jalan Irigasi Jaringan",'Daftar Koreksi'!$I$5:$I$92,"&lt;0")</f>
        <v>0</v>
      </c>
      <c r="G129" s="17">
        <f t="shared" si="5"/>
        <v>-1150000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Koreksi'!$D$5:$D$92,'1700'!A114,'Daftar Koreksi'!$G$5:$G$92,"Aset Tetap Lainnya",'Daftar Koreksi'!$I$5:$I$92,"&gt;0")</f>
        <v>0</v>
      </c>
      <c r="F130" s="25">
        <f>SUMIFS('Daftar Koreksi'!$I$5:$I$92,'Daftar Koreksi'!$D$5:$D$92,'1700'!A114,'Daftar Koreksi'!$G$5:$G$92,"Aset Tetap Lainnya",'Daftar Koreksi'!$I$5:$I$92,"&lt;0")-SUMIFS('Daftar Koreksi'!$I$5:$I$92,'Daftar Koreksi'!$D$5:$D$92,'1700'!A114,'Daftar Koreksi'!$G$5:$G$92,"Aset Tetap Lainnya",'Daftar Koreksi'!$I$5:$I$92,"&lt;0")-SUMIFS('Daftar Koreksi'!$I$5:$I$92,'Daftar Koreksi'!$D$5:$D$92,'1700'!A114,'Daftar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-159550003</v>
      </c>
      <c r="E131" s="25">
        <f>SUMIFS('Daftar Koreksi'!$I$5:$I$92,'Daftar Koreksi'!$D$5:$D$92,'1700'!A114,'Daftar Koreksi'!$G$5:$G$92,"Aset Henti Guna",'Daftar Koreksi'!$I$5:$I$92,"&gt;0")</f>
        <v>0</v>
      </c>
      <c r="F131" s="25">
        <f>SUMIFS('Daftar Koreksi'!$I$5:$I$92,'Daftar Koreksi'!$D$5:$D$92,'1700'!A114,'Daftar Koreksi'!$G$5:$G$92,"Aset Henti Guna",'Daftar Koreksi'!$I$5:$I$92,"&lt;0")-SUMIFS('Daftar Koreksi'!$I$5:$I$92,'Daftar Koreksi'!$D$5:$D$92,'1700'!A114,'Daftar Koreksi'!$G$5:$G$92,"Aset Henti Guna",'Daftar Koreksi'!$I$5:$I$92,"&lt;0")-SUMIFS('Daftar Koreksi'!$I$5:$I$92,'Daftar Koreksi'!$D$5:$D$92,'1700'!A114,'Daftar Koreksi'!$G$5:$G$92,"Aset Henti Guna",'Daftar Koreksi'!$I$5:$I$92,"&lt;0")</f>
        <v>0</v>
      </c>
      <c r="G131" s="17">
        <f t="shared" si="5"/>
        <v>-159550003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-1725156809</v>
      </c>
      <c r="E132" s="19">
        <f>SUM(E127:E131)</f>
        <v>0</v>
      </c>
      <c r="F132" s="19">
        <f>SUM(F127:F131)</f>
        <v>0</v>
      </c>
      <c r="G132" s="19">
        <f t="shared" si="5"/>
        <v>-1725156809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2061946773</v>
      </c>
      <c r="E133" s="19">
        <f>E132+E126</f>
        <v>0</v>
      </c>
      <c r="F133" s="19">
        <f>F132+F126</f>
        <v>0</v>
      </c>
      <c r="G133" s="19">
        <f t="shared" si="5"/>
        <v>2061946773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005011700307232000KD</v>
      </c>
      <c r="B136" s="11" t="str">
        <f>P7</f>
        <v>PA. Kotamubagu</v>
      </c>
      <c r="C136" s="12" t="str">
        <f>A136&amp;" "&amp;B136</f>
        <v>005011700307232000KD PA. Kotamubagu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14000</v>
      </c>
      <c r="E139" s="25">
        <f>SUMIFS('Daftar Koreksi'!$H$5:$H$92,'Daftar Koreksi'!$D$5:$D$92,'1700'!A136,'Daftar Koreksi'!$G$5:$G$92,"Persediaan",'Daftar Koreksi'!$H$5:$H$92,"&gt;0")</f>
        <v>0</v>
      </c>
      <c r="F139" s="25">
        <f>SUMIFS('Daftar Koreksi'!$H$5:$H$92,'Daftar Koreksi'!$D$5:$D$92,'1700'!A136,'Daftar Koreksi'!$G$5:$G$92,"Persediaan",'Daftar Koreksi'!$H$5:$H$92,"&lt;0")-SUMIFS('Daftar Koreksi'!$H$5:$H$92,'Daftar Koreksi'!$D$5:$D$92,'1700'!A136,'Daftar Koreksi'!$G$5:$G$92,"Persediaan",'Daftar Koreksi'!$H$5:$H$92,"&lt;0")-SUMIFS('Daftar Koreksi'!$H$5:$H$92,'Daftar Koreksi'!$D$5:$D$92,'1700'!A136,'Daftar Koreksi'!$G$5:$G$92,"Persediaan",'Daftar Koreksi'!$H$5:$H$92,"&lt;0")</f>
        <v>0</v>
      </c>
      <c r="G139" s="17">
        <f>D139+E139-F139</f>
        <v>14000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305000000</v>
      </c>
      <c r="E140" s="25">
        <f>SUMIFS('Daftar Koreksi'!$H$5:$H$92,'Daftar Koreksi'!$D$5:$D$92,'1700'!A136,'Daftar Koreksi'!$G$5:$G$92,"Tanah",'Daftar Koreksi'!$H$5:$H$92,"&gt;0")</f>
        <v>0</v>
      </c>
      <c r="F140" s="25">
        <f>SUMIFS('Daftar Koreksi'!$H$5:$H$92,'Daftar Koreksi'!$D$5:$D$92,'1700'!A136,'Daftar Koreksi'!$G$5:$G$92,"Tanah",'Daftar Koreksi'!$H$5:$H$92,"&lt;0")-SUMIFS('Daftar Koreksi'!$H$5:$H$92,'Daftar Koreksi'!$D$5:$D$92,'1700'!A136,'Daftar Koreksi'!$G$5:$G$92,"Tanah",'Daftar Koreksi'!$H$5:$H$92,"&lt;0")-SUMIFS('Daftar Koreksi'!$H$5:$H$92,'Daftar Koreksi'!$D$5:$D$92,'1700'!A136,'Daftar Koreksi'!$G$5:$G$92,"Tanah",'Daftar Koreksi'!$H$5:$H$92,"&lt;0")</f>
        <v>0</v>
      </c>
      <c r="G140" s="17">
        <f t="shared" ref="G140:G156" si="6">D140+E140-F140</f>
        <v>305000000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1265287062</v>
      </c>
      <c r="E141" s="25">
        <f>SUMIFS('Daftar Koreksi'!$H$5:$H$92,'Daftar Koreksi'!$D$5:$D$92,'1700'!A136,'Daftar Koreksi'!$G$5:$G$92,"Peralatan dan mesin",'Daftar Koreksi'!$H$5:$H$92,"&gt;0")</f>
        <v>0</v>
      </c>
      <c r="F141" s="25">
        <f>SUMIFS('Daftar Koreksi'!$H$5:$H$92,'Daftar Koreksi'!$D$5:$D$92,'1700'!A136,'Daftar Koreksi'!$G$5:$G$92,"Peralatan dan mesin",'Daftar Koreksi'!$H$5:$H$92,"&lt;0")-SUMIFS('Daftar Koreksi'!$H$5:$H$92,'Daftar Koreksi'!$D$5:$D$92,'1700'!A136,'Daftar Koreksi'!$G$5:$G$92,"Peralatan dan mesin",'Daftar Koreksi'!$H$5:$H$92,"&lt;0")-SUMIFS('Daftar Koreksi'!$H$5:$H$92,'Daftar Koreksi'!$D$5:$D$92,'1700'!A136,'Daftar Koreksi'!$G$5:$G$92,"Peralatan dan mesin",'Daftar Koreksi'!$H$5:$H$92,"&lt;0")</f>
        <v>0</v>
      </c>
      <c r="G141" s="17">
        <f t="shared" si="6"/>
        <v>1265287062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4571732600</v>
      </c>
      <c r="E142" s="25">
        <f>SUMIFS('Daftar Koreksi'!$H$5:$H$92,'Daftar Koreksi'!$D$5:$D$92,'1700'!A136,'Daftar Koreksi'!$G$5:$G$92,"Gedung dan Bangunan",'Daftar Koreksi'!$H$5:$H$92,"&gt;0")</f>
        <v>0</v>
      </c>
      <c r="F142" s="25">
        <f>SUMIFS('Daftar Koreksi'!$H$5:$H$92,'Daftar Koreksi'!$D$5:$D$92,'1700'!A136,'Daftar Koreksi'!$G$5:$G$92,"Gedung dan Bangunan",'Daftar Koreksi'!$H$5:$H$92,"&lt;0")-SUMIFS('Daftar Koreksi'!$H$5:$H$92,'Daftar Koreksi'!$D$5:$D$92,'1700'!A136,'Daftar Koreksi'!$G$5:$G$92,"Gedung dan Bangunan",'Daftar Koreksi'!$H$5:$H$92,"&lt;0")-SUMIFS('Daftar Koreksi'!$H$5:$H$92,'Daftar Koreksi'!$D$5:$D$92,'1700'!A136,'Daftar Koreksi'!$G$5:$G$92,"Gedung dan Bangunan",'Daftar Koreksi'!$H$5:$H$92,"&lt;0")</f>
        <v>0</v>
      </c>
      <c r="G142" s="17">
        <f t="shared" si="6"/>
        <v>4571732600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20000000</v>
      </c>
      <c r="E143" s="25">
        <f>SUMIFS('Daftar Koreksi'!$H$5:$H$92,'Daftar Koreksi'!$D$5:$D$92,'1700'!A136,'Daftar Koreksi'!$G$5:$G$92,"Jalan Irigasi Jaringan",'Daftar Koreksi'!$H$5:$H$92,"&gt;0")</f>
        <v>0</v>
      </c>
      <c r="F143" s="25">
        <f>SUMIFS('Daftar Koreksi'!$H$5:$H$92,'Daftar Koreksi'!$D$5:$D$92,'1700'!A136,'Daftar Koreksi'!$G$5:$G$92,"Jalan Irigasi Jaringan",'Daftar Koreksi'!$H$5:$H$92,"&lt;0")-SUMIFS('Daftar Koreksi'!$H$5:$H$92,'Daftar Koreksi'!$D$5:$D$92,'1700'!A136,'Daftar Koreksi'!$G$5:$G$92,"Jalan Irigasi Jaringan",'Daftar Koreksi'!$H$5:$H$92,"&lt;0")-SUMIFS('Daftar Koreksi'!$H$5:$H$92,'Daftar Koreksi'!$D$5:$D$92,'1700'!A136,'Daftar Koreksi'!$G$5:$G$92,"Jalan Irigasi Jaringan",'Daftar Koreksi'!$H$5:$H$92,"&lt;0")</f>
        <v>0</v>
      </c>
      <c r="G143" s="17">
        <f t="shared" si="6"/>
        <v>20000000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46103900</v>
      </c>
      <c r="E144" s="25">
        <f>SUMIFS('Daftar Koreksi'!$H$5:$H$92,'Daftar Koreksi'!$D$5:$D$92,'1700'!A136,'Daftar Koreksi'!$G$5:$G$92,"Aset Tetap Lainnya",'Daftar Koreksi'!$H$5:$H$92,"&gt;0")</f>
        <v>0</v>
      </c>
      <c r="F144" s="25">
        <f>SUMIFS('Daftar Koreksi'!$H$5:$H$92,'Daftar Koreksi'!$D$5:$D$92,'1700'!A136,'Daftar Koreksi'!$G$5:$G$92,"Aset Tetap Lainnya",'Daftar Koreksi'!$H$5:$H$92,"&lt;0")-SUMIFS('Daftar Koreksi'!$H$5:$H$92,'Daftar Koreksi'!$D$5:$D$92,'1700'!A136,'Daftar Koreksi'!$G$5:$G$92,"Aset Tetap Lainnya",'Daftar Koreksi'!$H$5:$H$92,"&lt;0")-SUMIFS('Daftar Koreksi'!$H$5:$H$92,'Daftar Koreksi'!$D$5:$D$92,'1700'!A136,'Daftar Koreksi'!$G$5:$G$92,"Aset Tetap Lainnya",'Daftar Koreksi'!$H$5:$H$92,"&lt;0")</f>
        <v>0</v>
      </c>
      <c r="G144" s="17">
        <f t="shared" si="6"/>
        <v>46103900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Koreksi'!$D$5:$D$92,'1700'!A136,'Daftar Koreksi'!$G$5:$G$92,"Kontruksi Dalam Pengerjaan",'Daftar Koreksi'!$H$5:$H$92,"&gt;0")</f>
        <v>0</v>
      </c>
      <c r="F145" s="25">
        <f>SUMIFS('Daftar Koreksi'!$H$5:$H$92,'Daftar Koreksi'!$D$5:$D$92,'1700'!A136,'Daftar Koreksi'!$G$5:$G$92,"Kontruksi Dalam Pengerjaan",'Daftar Koreksi'!$H$5:$H$92,"&lt;0")-SUMIFS('Daftar Koreksi'!$H$5:$H$92,'Daftar Koreksi'!$D$5:$D$92,'1700'!A136,'Daftar Koreksi'!$G$5:$G$92,"Kontruksi Dalam Pengerjaan",'Daftar Koreksi'!$H$5:$H$92,"&lt;0")-SUMIFS('Daftar Koreksi'!$H$5:$H$92,'Daftar Koreksi'!$D$5:$D$92,'1700'!A136,'Daftar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Koreksi'!$D$5:$D$92,'1700'!A136,'Daftar Koreksi'!$G$5:$G$92,"Aset Tak Berwujud",'Daftar Koreksi'!$H$5:$H$92,"&gt;0")</f>
        <v>0</v>
      </c>
      <c r="F146" s="25">
        <f>SUMIFS('Daftar Koreksi'!$H$5:$H$92,'Daftar Koreksi'!$D$5:$D$92,'1700'!A136,'Daftar Koreksi'!$G$5:$G$92,"Aset Tak Berwujud",'Daftar Koreksi'!$H$5:$H$92,"&lt;0")-SUMIFS('Daftar Koreksi'!$H$5:$H$92,'Daftar Koreksi'!$D$5:$D$92,'1700'!A136,'Daftar Koreksi'!$G$5:$G$92,"Aset Tak Berwujud",'Daftar Koreksi'!$H$5:$H$92,"&lt;0")-SUMIFS('Daftar Koreksi'!$H$5:$H$92,'Daftar Koreksi'!$D$5:$D$92,'1700'!A136,'Daftar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72668000</v>
      </c>
      <c r="E147" s="25">
        <f>SUMIFS('Daftar Koreksi'!$H$5:$H$92,'Daftar Koreksi'!$D$5:$D$92,'1700'!A136,'Daftar Koreksi'!$G$5:$G$92,"Aset Henti Guna",'Daftar Koreksi'!$H$5:$H$92,"&gt;0")</f>
        <v>0</v>
      </c>
      <c r="F147" s="25">
        <f>SUMIFS('Daftar Koreksi'!$H$5:$H$92,'Daftar Koreksi'!$D$5:$D$92,'1700'!A136,'Daftar Koreksi'!$G$5:$G$92,"Aset Henti Guna",'Daftar Koreksi'!$H$5:$H$92,"&lt;0")-SUMIFS('Daftar Koreksi'!$H$5:$H$92,'Daftar Koreksi'!$D$5:$D$92,'1700'!A136,'Daftar Koreksi'!$G$5:$G$92,"Aset Henti Guna",'Daftar Koreksi'!$H$5:$H$92,"&lt;0")-SUMIFS('Daftar Koreksi'!$H$5:$H$92,'Daftar Koreksi'!$D$5:$D$92,'1700'!A136,'Daftar Koreksi'!$G$5:$G$92,"Aset Henti Guna",'Daftar Koreksi'!$H$5:$H$92,"&lt;0")</f>
        <v>0</v>
      </c>
      <c r="G147" s="17">
        <f t="shared" si="6"/>
        <v>72668000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6280805562</v>
      </c>
      <c r="E148" s="19">
        <f>SUM(E139:E147)</f>
        <v>0</v>
      </c>
      <c r="F148" s="19">
        <f>SUM(F139:F147)</f>
        <v>0</v>
      </c>
      <c r="G148" s="19">
        <f t="shared" si="6"/>
        <v>6280805562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-1035683070</v>
      </c>
      <c r="E149" s="25">
        <f>SUMIFS('Daftar Koreksi'!$I$5:$I$92,'Daftar Koreksi'!$D$5:$D$92,'1700'!A136,'Daftar Koreksi'!$G$5:$G$92,"Peralatan dan mesin",'Daftar Koreksi'!$I$5:$I$92,"&gt;0")</f>
        <v>0</v>
      </c>
      <c r="F149" s="25">
        <f>SUMIFS('Daftar Koreksi'!$I$5:$I$92,'Daftar Koreksi'!$D$5:$D$92,'1700'!A136,'Daftar Koreksi'!$G$5:$G$92,"Peralatan dan mesin",'Daftar Koreksi'!$I$5:$I$92,"&lt;0")-SUMIFS('Daftar Koreksi'!$I$5:$I$92,'Daftar Koreksi'!$D$5:$D$92,'1700'!A136,'Daftar Koreksi'!$G$5:$G$92,"Peralatan dan mesin",'Daftar Koreksi'!$I$5:$I$92,"&lt;0")-SUMIFS('Daftar Koreksi'!$I$5:$I$92,'Daftar Koreksi'!$D$5:$D$92,'1700'!A136,'Daftar Koreksi'!$G$5:$G$92,"Peralatan dan mesin",'Daftar Koreksi'!$I$5:$I$92,"&lt;0")</f>
        <v>0</v>
      </c>
      <c r="G149" s="17">
        <f t="shared" si="6"/>
        <v>-1035683070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-980211194</v>
      </c>
      <c r="E150" s="25">
        <f>SUMIFS('Daftar Koreksi'!$I$5:$I$92,'Daftar Koreksi'!$D$5:$D$92,'1700'!A136,'Daftar Koreksi'!$G$5:$G$92,"Gedung dan Bangunan",'Daftar Koreksi'!$I$5:$I$92,"&gt;0")</f>
        <v>0</v>
      </c>
      <c r="F150" s="25">
        <f>SUMIFS('Daftar Koreksi'!$I$5:$I$92,'Daftar Koreksi'!$D$5:$D$92,'1700'!A136,'Daftar Koreksi'!$G$5:$G$92,"Gedung dan Bangunan",'Daftar Koreksi'!$I$5:$I$92,"&lt;0")-SUMIFS('Daftar Koreksi'!$I$5:$I$92,'Daftar Koreksi'!$D$5:$D$92,'1700'!A136,'Daftar Koreksi'!$G$5:$G$92,"Gedung dan Bangunan",'Daftar Koreksi'!$I$5:$I$92,"&lt;0")-SUMIFS('Daftar Koreksi'!$I$5:$I$92,'Daftar Koreksi'!$D$5:$D$92,'1700'!A136,'Daftar Koreksi'!$G$5:$G$92,"Gedung dan Bangunan",'Daftar Koreksi'!$I$5:$I$92,"&lt;0")</f>
        <v>0</v>
      </c>
      <c r="G150" s="17">
        <f t="shared" si="6"/>
        <v>-980211194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-500000</v>
      </c>
      <c r="E151" s="25">
        <f>SUMIFS('Daftar Koreksi'!$I$5:$I$92,'Daftar Koreksi'!$D$5:$D$92,'1700'!A136,'Daftar Koreksi'!$G$5:$G$92,"Jalan Irigasi Jaringan",'Daftar Koreksi'!$I$5:$I$92,"&gt;0")</f>
        <v>0</v>
      </c>
      <c r="F151" s="25">
        <f>SUMIFS('Daftar Koreksi'!$I$5:$I$92,'Daftar Koreksi'!$D$5:$D$92,'1700'!A136,'Daftar Koreksi'!$G$5:$G$92,"Jalan Irigasi Jaringan",'Daftar Koreksi'!$I$5:$I$92,"&lt;0")-SUMIFS('Daftar Koreksi'!$I$5:$I$92,'Daftar Koreksi'!$D$5:$D$92,'1700'!A136,'Daftar Koreksi'!$G$5:$G$92,"Jalan Irigasi Jaringan",'Daftar Koreksi'!$I$5:$I$92,"&lt;0")-SUMIFS('Daftar Koreksi'!$I$5:$I$92,'Daftar Koreksi'!$D$5:$D$92,'1700'!A136,'Daftar Koreksi'!$G$5:$G$92,"Jalan Irigasi Jaringan",'Daftar Koreksi'!$I$5:$I$92,"&lt;0")</f>
        <v>0</v>
      </c>
      <c r="G151" s="17">
        <f t="shared" si="6"/>
        <v>-500000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Koreksi'!$D$5:$D$92,'1700'!A136,'Daftar Koreksi'!$G$5:$G$92,"Aset Tetap Lainnya",'Daftar Koreksi'!$I$5:$I$92,"&gt;0")</f>
        <v>0</v>
      </c>
      <c r="F152" s="25">
        <f>SUMIFS('Daftar Koreksi'!$I$5:$I$92,'Daftar Koreksi'!$D$5:$D$92,'1700'!A136,'Daftar Koreksi'!$G$5:$G$92,"Aset Tetap Lainnya",'Daftar Koreksi'!$I$5:$I$92,"&lt;0")-SUMIFS('Daftar Koreksi'!$I$5:$I$92,'Daftar Koreksi'!$D$5:$D$92,'1700'!A136,'Daftar Koreksi'!$G$5:$G$92,"Aset Tetap Lainnya",'Daftar Koreksi'!$I$5:$I$92,"&lt;0")-SUMIFS('Daftar Koreksi'!$I$5:$I$92,'Daftar Koreksi'!$D$5:$D$92,'1700'!A136,'Daftar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-72405500</v>
      </c>
      <c r="E153" s="25">
        <f>SUMIFS('Daftar Koreksi'!$I$5:$I$92,'Daftar Koreksi'!$D$5:$D$92,'1700'!A136,'Daftar Koreksi'!$G$5:$G$92,"Aset Henti Guna",'Daftar Koreksi'!$I$5:$I$92,"&gt;0")</f>
        <v>0</v>
      </c>
      <c r="F153" s="25">
        <f>SUMIFS('Daftar Koreksi'!$I$5:$I$92,'Daftar Koreksi'!$D$5:$D$92,'1700'!A136,'Daftar Koreksi'!$G$5:$G$92,"Aset Henti Guna",'Daftar Koreksi'!$I$5:$I$92,"&lt;0")-SUMIFS('Daftar Koreksi'!$I$5:$I$92,'Daftar Koreksi'!$D$5:$D$92,'1700'!A136,'Daftar Koreksi'!$G$5:$G$92,"Aset Henti Guna",'Daftar Koreksi'!$I$5:$I$92,"&lt;0")-SUMIFS('Daftar Koreksi'!$I$5:$I$92,'Daftar Koreksi'!$D$5:$D$92,'1700'!A136,'Daftar Koreksi'!$G$5:$G$92,"Aset Henti Guna",'Daftar Koreksi'!$I$5:$I$92,"&lt;0")</f>
        <v>0</v>
      </c>
      <c r="G153" s="17">
        <f t="shared" si="6"/>
        <v>-72405500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-2088799764</v>
      </c>
      <c r="E154" s="19">
        <f>SUM(E149:E153)</f>
        <v>0</v>
      </c>
      <c r="F154" s="19">
        <f>SUM(F149:F153)</f>
        <v>0</v>
      </c>
      <c r="G154" s="19">
        <f t="shared" si="6"/>
        <v>-2088799764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4192005798</v>
      </c>
      <c r="E155" s="19">
        <f>E154+E148</f>
        <v>0</v>
      </c>
      <c r="F155" s="19">
        <f>F154+F148</f>
        <v>0</v>
      </c>
      <c r="G155" s="19">
        <f t="shared" si="6"/>
        <v>4192005798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005011700307246000KD</v>
      </c>
      <c r="B158" s="11" t="str">
        <f>P8</f>
        <v>PA. Tahuna</v>
      </c>
      <c r="C158" s="12" t="str">
        <f>A158&amp;" "&amp;B158</f>
        <v>005011700307246000KD PA. Tahuna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230900</v>
      </c>
      <c r="E161" s="25">
        <f>SUMIFS('Daftar Koreksi'!$H$5:$H$92,'Daftar Koreksi'!$D$5:$D$92,'1700'!A158,'Daftar Koreksi'!$G$5:$G$92,"Persediaan",'Daftar Koreksi'!$H$5:$H$92,"&gt;0")</f>
        <v>0</v>
      </c>
      <c r="F161" s="25">
        <f>SUMIFS('Daftar Koreksi'!$H$5:$H$92,'Daftar Koreksi'!$D$5:$D$92,'1700'!A158,'Daftar Koreksi'!$G$5:$G$92,"Persediaan",'Daftar Koreksi'!$H$5:$H$92,"&lt;0")-SUMIFS('Daftar Koreksi'!$H$5:$H$92,'Daftar Koreksi'!$D$5:$D$92,'1700'!A158,'Daftar Koreksi'!$G$5:$G$92,"Persediaan",'Daftar Koreksi'!$H$5:$H$92,"&lt;0")-SUMIFS('Daftar Koreksi'!$H$5:$H$92,'Daftar Koreksi'!$D$5:$D$92,'1700'!A158,'Daftar Koreksi'!$G$5:$G$92,"Persediaan",'Daftar Koreksi'!$H$5:$H$92,"&lt;0")</f>
        <v>0</v>
      </c>
      <c r="G161" s="17">
        <f>D161+E161-F161</f>
        <v>230900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412400000</v>
      </c>
      <c r="E162" s="25">
        <f>SUMIFS('Daftar Koreksi'!$H$5:$H$92,'Daftar Koreksi'!$D$5:$D$92,'1700'!A158,'Daftar Koreksi'!$G$5:$G$92,"Tanah",'Daftar Koreksi'!$H$5:$H$92,"&gt;0")</f>
        <v>0</v>
      </c>
      <c r="F162" s="25">
        <f>SUMIFS('Daftar Koreksi'!$H$5:$H$92,'Daftar Koreksi'!$D$5:$D$92,'1700'!A158,'Daftar Koreksi'!$G$5:$G$92,"Tanah",'Daftar Koreksi'!$H$5:$H$92,"&lt;0")-SUMIFS('Daftar Koreksi'!$H$5:$H$92,'Daftar Koreksi'!$D$5:$D$92,'1700'!A158,'Daftar Koreksi'!$G$5:$G$92,"Tanah",'Daftar Koreksi'!$H$5:$H$92,"&lt;0")-SUMIFS('Daftar Koreksi'!$H$5:$H$92,'Daftar Koreksi'!$D$5:$D$92,'1700'!A158,'Daftar Koreksi'!$G$5:$G$92,"Tanah",'Daftar Koreksi'!$H$5:$H$92,"&lt;0")</f>
        <v>0</v>
      </c>
      <c r="G162" s="17">
        <f t="shared" ref="G162:G178" si="7">D162+E162-F162</f>
        <v>412400000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937992430</v>
      </c>
      <c r="E163" s="25">
        <f>SUMIFS('Daftar Koreksi'!$H$5:$H$92,'Daftar Koreksi'!$D$5:$D$92,'1700'!A158,'Daftar Koreksi'!$G$5:$G$92,"Peralatan dan mesin",'Daftar Koreksi'!$H$5:$H$92,"&gt;0")</f>
        <v>0</v>
      </c>
      <c r="F163" s="25">
        <f>SUMIFS('Daftar Koreksi'!$H$5:$H$92,'Daftar Koreksi'!$D$5:$D$92,'1700'!A158,'Daftar Koreksi'!$G$5:$G$92,"Peralatan dan mesin",'Daftar Koreksi'!$H$5:$H$92,"&lt;0")-SUMIFS('Daftar Koreksi'!$H$5:$H$92,'Daftar Koreksi'!$D$5:$D$92,'1700'!A158,'Daftar Koreksi'!$G$5:$G$92,"Peralatan dan mesin",'Daftar Koreksi'!$H$5:$H$92,"&lt;0")-SUMIFS('Daftar Koreksi'!$H$5:$H$92,'Daftar Koreksi'!$D$5:$D$92,'1700'!A158,'Daftar Koreksi'!$G$5:$G$92,"Peralatan dan mesin",'Daftar Koreksi'!$H$5:$H$92,"&lt;0")</f>
        <v>0</v>
      </c>
      <c r="G163" s="17">
        <f t="shared" si="7"/>
        <v>937992430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2204030000</v>
      </c>
      <c r="E164" s="25">
        <f>SUMIFS('Daftar Koreksi'!$H$5:$H$92,'Daftar Koreksi'!$D$5:$D$92,'1700'!A158,'Daftar Koreksi'!$G$5:$G$92,"Gedung dan Bangunan",'Daftar Koreksi'!$H$5:$H$92,"&gt;0")</f>
        <v>0</v>
      </c>
      <c r="F164" s="25">
        <f>SUMIFS('Daftar Koreksi'!$H$5:$H$92,'Daftar Koreksi'!$D$5:$D$92,'1700'!A158,'Daftar Koreksi'!$G$5:$G$92,"Gedung dan Bangunan",'Daftar Koreksi'!$H$5:$H$92,"&lt;0")-SUMIFS('Daftar Koreksi'!$H$5:$H$92,'Daftar Koreksi'!$D$5:$D$92,'1700'!A158,'Daftar Koreksi'!$G$5:$G$92,"Gedung dan Bangunan",'Daftar Koreksi'!$H$5:$H$92,"&lt;0")-SUMIFS('Daftar Koreksi'!$H$5:$H$92,'Daftar Koreksi'!$D$5:$D$92,'1700'!A158,'Daftar Koreksi'!$G$5:$G$92,"Gedung dan Bangunan",'Daftar Koreksi'!$H$5:$H$92,"&lt;0")</f>
        <v>0</v>
      </c>
      <c r="G164" s="17">
        <f t="shared" si="7"/>
        <v>2204030000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Koreksi'!$D$5:$D$92,'1700'!A158,'Daftar Koreksi'!$G$5:$G$92,"Jalan Irigasi Jaringan",'Daftar Koreksi'!$H$5:$H$92,"&gt;0")</f>
        <v>0</v>
      </c>
      <c r="F165" s="25">
        <f>SUMIFS('Daftar Koreksi'!$H$5:$H$92,'Daftar Koreksi'!$D$5:$D$92,'1700'!A158,'Daftar Koreksi'!$G$5:$G$92,"Jalan Irigasi Jaringan",'Daftar Koreksi'!$H$5:$H$92,"&lt;0")-SUMIFS('Daftar Koreksi'!$H$5:$H$92,'Daftar Koreksi'!$D$5:$D$92,'1700'!A158,'Daftar Koreksi'!$G$5:$G$92,"Jalan Irigasi Jaringan",'Daftar Koreksi'!$H$5:$H$92,"&lt;0")-SUMIFS('Daftar Koreksi'!$H$5:$H$92,'Daftar Koreksi'!$D$5:$D$92,'1700'!A158,'Daftar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0</v>
      </c>
      <c r="E166" s="25">
        <f>SUMIFS('Daftar Koreksi'!$H$5:$H$92,'Daftar Koreksi'!$D$5:$D$92,'1700'!A158,'Daftar Koreksi'!$G$5:$G$92,"Aset Tetap Lainnya",'Daftar Koreksi'!$H$5:$H$92,"&gt;0")</f>
        <v>0</v>
      </c>
      <c r="F166" s="25">
        <f>SUMIFS('Daftar Koreksi'!$H$5:$H$92,'Daftar Koreksi'!$D$5:$D$92,'1700'!A158,'Daftar Koreksi'!$G$5:$G$92,"Aset Tetap Lainnya",'Daftar Koreksi'!$H$5:$H$92,"&lt;0")-SUMIFS('Daftar Koreksi'!$H$5:$H$92,'Daftar Koreksi'!$D$5:$D$92,'1700'!A158,'Daftar Koreksi'!$G$5:$G$92,"Aset Tetap Lainnya",'Daftar Koreksi'!$H$5:$H$92,"&lt;0")-SUMIFS('Daftar Koreksi'!$H$5:$H$92,'Daftar Koreksi'!$D$5:$D$92,'1700'!A158,'Daftar Koreksi'!$G$5:$G$92,"Aset Tetap Lainnya",'Daftar Koreksi'!$H$5:$H$92,"&lt;0")</f>
        <v>0</v>
      </c>
      <c r="G166" s="17">
        <f t="shared" si="7"/>
        <v>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Koreksi'!$D$5:$D$92,'1700'!A158,'Daftar Koreksi'!$G$5:$G$92,"Kontruksi Dalam Pengerjaan",'Daftar Koreksi'!$H$5:$H$92,"&gt;0")</f>
        <v>0</v>
      </c>
      <c r="F167" s="25">
        <f>SUMIFS('Daftar Koreksi'!$H$5:$H$92,'Daftar Koreksi'!$D$5:$D$92,'1700'!A158,'Daftar Koreksi'!$G$5:$G$92,"Kontruksi Dalam Pengerjaan",'Daftar Koreksi'!$H$5:$H$92,"&lt;0")-SUMIFS('Daftar Koreksi'!$H$5:$H$92,'Daftar Koreksi'!$D$5:$D$92,'1700'!A158,'Daftar Koreksi'!$G$5:$G$92,"Kontruksi Dalam Pengerjaan",'Daftar Koreksi'!$H$5:$H$92,"&lt;0")-SUMIFS('Daftar Koreksi'!$H$5:$H$92,'Daftar Koreksi'!$D$5:$D$92,'1700'!A158,'Daftar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Koreksi'!$D$5:$D$92,'1700'!A158,'Daftar Koreksi'!$G$5:$G$92,"Aset Tak Berwujud",'Daftar Koreksi'!$H$5:$H$92,"&gt;0")</f>
        <v>0</v>
      </c>
      <c r="F168" s="25">
        <f>SUMIFS('Daftar Koreksi'!$H$5:$H$92,'Daftar Koreksi'!$D$5:$D$92,'1700'!A158,'Daftar Koreksi'!$G$5:$G$92,"Aset Tak Berwujud",'Daftar Koreksi'!$H$5:$H$92,"&lt;0")-SUMIFS('Daftar Koreksi'!$H$5:$H$92,'Daftar Koreksi'!$D$5:$D$92,'1700'!A158,'Daftar Koreksi'!$G$5:$G$92,"Aset Tak Berwujud",'Daftar Koreksi'!$H$5:$H$92,"&lt;0")-SUMIFS('Daftar Koreksi'!$H$5:$H$92,'Daftar Koreksi'!$D$5:$D$92,'1700'!A158,'Daftar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Koreksi'!$D$5:$D$92,'1700'!A158,'Daftar Koreksi'!$G$5:$G$92,"Aset Henti Guna",'Daftar Koreksi'!$H$5:$H$92,"&gt;0")</f>
        <v>0</v>
      </c>
      <c r="F169" s="25">
        <f>SUMIFS('Daftar Koreksi'!$H$5:$H$92,'Daftar Koreksi'!$D$5:$D$92,'1700'!A158,'Daftar Koreksi'!$G$5:$G$92,"Aset Henti Guna",'Daftar Koreksi'!$H$5:$H$92,"&lt;0")-SUMIFS('Daftar Koreksi'!$H$5:$H$92,'Daftar Koreksi'!$D$5:$D$92,'1700'!A158,'Daftar Koreksi'!$G$5:$G$92,"Aset Henti Guna",'Daftar Koreksi'!$H$5:$H$92,"&lt;0")-SUMIFS('Daftar Koreksi'!$H$5:$H$92,'Daftar Koreksi'!$D$5:$D$92,'1700'!A158,'Daftar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3554653330</v>
      </c>
      <c r="E170" s="19">
        <f>SUM(E161:E169)</f>
        <v>0</v>
      </c>
      <c r="F170" s="19">
        <f>SUM(F161:F169)</f>
        <v>0</v>
      </c>
      <c r="G170" s="19">
        <f t="shared" si="7"/>
        <v>3554653330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-850131172</v>
      </c>
      <c r="E171" s="25">
        <f>SUMIFS('Daftar Koreksi'!$I$5:$I$92,'Daftar Koreksi'!$D$5:$D$92,'1700'!A158,'Daftar Koreksi'!$G$5:$G$92,"Peralatan dan mesin",'Daftar Koreksi'!$I$5:$I$92,"&gt;0")</f>
        <v>0</v>
      </c>
      <c r="F171" s="25">
        <f>SUMIFS('Daftar Koreksi'!$I$5:$I$92,'Daftar Koreksi'!$D$5:$D$92,'1700'!A158,'Daftar Koreksi'!$G$5:$G$92,"Peralatan dan mesin",'Daftar Koreksi'!$I$5:$I$92,"&lt;0")-SUMIFS('Daftar Koreksi'!$I$5:$I$92,'Daftar Koreksi'!$D$5:$D$92,'1700'!A158,'Daftar Koreksi'!$G$5:$G$92,"Peralatan dan mesin",'Daftar Koreksi'!$I$5:$I$92,"&lt;0")-SUMIFS('Daftar Koreksi'!$I$5:$I$92,'Daftar Koreksi'!$D$5:$D$92,'1700'!A158,'Daftar Koreksi'!$G$5:$G$92,"Peralatan dan mesin",'Daftar Koreksi'!$I$5:$I$92,"&lt;0")</f>
        <v>0</v>
      </c>
      <c r="G171" s="17">
        <f t="shared" si="7"/>
        <v>-850131172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-533181300</v>
      </c>
      <c r="E172" s="25">
        <f>SUMIFS('Daftar Koreksi'!$I$5:$I$92,'Daftar Koreksi'!$D$5:$D$92,'1700'!A158,'Daftar Koreksi'!$G$5:$G$92,"Gedung dan Bangunan",'Daftar Koreksi'!$I$5:$I$92,"&gt;0")</f>
        <v>0</v>
      </c>
      <c r="F172" s="25">
        <f>SUMIFS('Daftar Koreksi'!$I$5:$I$92,'Daftar Koreksi'!$D$5:$D$92,'1700'!A158,'Daftar Koreksi'!$G$5:$G$92,"Gedung dan Bangunan",'Daftar Koreksi'!$I$5:$I$92,"&lt;0")-SUMIFS('Daftar Koreksi'!$I$5:$I$92,'Daftar Koreksi'!$D$5:$D$92,'1700'!A158,'Daftar Koreksi'!$G$5:$G$92,"Gedung dan Bangunan",'Daftar Koreksi'!$I$5:$I$92,"&lt;0")-SUMIFS('Daftar Koreksi'!$I$5:$I$92,'Daftar Koreksi'!$D$5:$D$92,'1700'!A158,'Daftar Koreksi'!$G$5:$G$92,"Gedung dan Bangunan",'Daftar Koreksi'!$I$5:$I$92,"&lt;0")</f>
        <v>0</v>
      </c>
      <c r="G172" s="17">
        <f t="shared" si="7"/>
        <v>-533181300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Koreksi'!$D$5:$D$92,'1700'!A158,'Daftar Koreksi'!$G$5:$G$92,"Jalan Irigasi Jaringan",'Daftar Koreksi'!$I$5:$I$92,"&gt;0")</f>
        <v>0</v>
      </c>
      <c r="F173" s="25">
        <f>SUMIFS('Daftar Koreksi'!$I$5:$I$92,'Daftar Koreksi'!$D$5:$D$92,'1700'!A158,'Daftar Koreksi'!$G$5:$G$92,"Jalan Irigasi Jaringan",'Daftar Koreksi'!$I$5:$I$92,"&lt;0")-SUMIFS('Daftar Koreksi'!$I$5:$I$92,'Daftar Koreksi'!$D$5:$D$92,'1700'!A158,'Daftar Koreksi'!$G$5:$G$92,"Jalan Irigasi Jaringan",'Daftar Koreksi'!$I$5:$I$92,"&lt;0")-SUMIFS('Daftar Koreksi'!$I$5:$I$92,'Daftar Koreksi'!$D$5:$D$92,'1700'!A158,'Daftar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Koreksi'!$D$5:$D$92,'1700'!A158,'Daftar Koreksi'!$G$5:$G$92,"Aset Tetap Lainnya",'Daftar Koreksi'!$I$5:$I$92,"&gt;0")</f>
        <v>0</v>
      </c>
      <c r="F174" s="25">
        <f>SUMIFS('Daftar Koreksi'!$I$5:$I$92,'Daftar Koreksi'!$D$5:$D$92,'1700'!A158,'Daftar Koreksi'!$G$5:$G$92,"Aset Tetap Lainnya",'Daftar Koreksi'!$I$5:$I$92,"&lt;0")-SUMIFS('Daftar Koreksi'!$I$5:$I$92,'Daftar Koreksi'!$D$5:$D$92,'1700'!A158,'Daftar Koreksi'!$G$5:$G$92,"Aset Tetap Lainnya",'Daftar Koreksi'!$I$5:$I$92,"&lt;0")-SUMIFS('Daftar Koreksi'!$I$5:$I$92,'Daftar Koreksi'!$D$5:$D$92,'1700'!A158,'Daftar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Koreksi'!$D$5:$D$92,'1700'!A158,'Daftar Koreksi'!$G$5:$G$92,"Aset Henti Guna",'Daftar Koreksi'!$I$5:$I$92,"&gt;0")</f>
        <v>0</v>
      </c>
      <c r="F175" s="25">
        <f>SUMIFS('Daftar Koreksi'!$I$5:$I$92,'Daftar Koreksi'!$D$5:$D$92,'1700'!A158,'Daftar Koreksi'!$G$5:$G$92,"Aset Henti Guna",'Daftar Koreksi'!$I$5:$I$92,"&lt;0")-SUMIFS('Daftar Koreksi'!$I$5:$I$92,'Daftar Koreksi'!$D$5:$D$92,'1700'!A158,'Daftar Koreksi'!$G$5:$G$92,"Aset Henti Guna",'Daftar Koreksi'!$I$5:$I$92,"&lt;0")-SUMIFS('Daftar Koreksi'!$I$5:$I$92,'Daftar Koreksi'!$D$5:$D$92,'1700'!A158,'Daftar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-1383312472</v>
      </c>
      <c r="E176" s="19">
        <f>SUM(E171:E175)</f>
        <v>0</v>
      </c>
      <c r="F176" s="19">
        <f>SUM(F171:F175)</f>
        <v>0</v>
      </c>
      <c r="G176" s="19">
        <f t="shared" si="7"/>
        <v>-1383312472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2171340858</v>
      </c>
      <c r="E177" s="19">
        <f>E176+E170</f>
        <v>0</v>
      </c>
      <c r="F177" s="19">
        <f>F176+F170</f>
        <v>0</v>
      </c>
      <c r="G177" s="19">
        <f t="shared" si="7"/>
        <v>2171340858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005011700402681000KD</v>
      </c>
      <c r="B180" s="11" t="str">
        <f>P9</f>
        <v>PTA. Manado</v>
      </c>
      <c r="C180" s="12" t="str">
        <f>A180&amp;" "&amp;B180</f>
        <v>005011700402681000KD PTA. Manado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294000</v>
      </c>
      <c r="E183" s="25">
        <f>SUMIFS('Daftar Koreksi'!$H$5:$H$92,'Daftar Koreksi'!$D$5:$D$92,'1700'!A180,'Daftar Koreksi'!$G$5:$G$92,"Persediaan",'Daftar Koreksi'!$H$5:$H$92,"&gt;0")</f>
        <v>0</v>
      </c>
      <c r="F183" s="25">
        <f>SUMIFS('Daftar Koreksi'!$H$5:$H$92,'Daftar Koreksi'!$D$5:$D$92,'1700'!A180,'Daftar Koreksi'!$G$5:$G$92,"Persediaan",'Daftar Koreksi'!$H$5:$H$92,"&lt;0")-SUMIFS('Daftar Koreksi'!$H$5:$H$92,'Daftar Koreksi'!$D$5:$D$92,'1700'!A180,'Daftar Koreksi'!$G$5:$G$92,"Persediaan",'Daftar Koreksi'!$H$5:$H$92,"&lt;0")-SUMIFS('Daftar Koreksi'!$H$5:$H$92,'Daftar Koreksi'!$D$5:$D$92,'1700'!A180,'Daftar Koreksi'!$G$5:$G$92,"Persediaan",'Daftar Koreksi'!$H$5:$H$92,"&lt;0")</f>
        <v>0</v>
      </c>
      <c r="G183" s="17">
        <f>D183+E183-F183</f>
        <v>294000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2981470000</v>
      </c>
      <c r="E184" s="25">
        <f>SUMIFS('Daftar Koreksi'!$H$5:$H$92,'Daftar Koreksi'!$D$5:$D$92,'1700'!A180,'Daftar Koreksi'!$G$5:$G$92,"Tanah",'Daftar Koreksi'!$H$5:$H$92,"&gt;0")</f>
        <v>0</v>
      </c>
      <c r="F184" s="25">
        <f>SUMIFS('Daftar Koreksi'!$H$5:$H$92,'Daftar Koreksi'!$D$5:$D$92,'1700'!A180,'Daftar Koreksi'!$G$5:$G$92,"Tanah",'Daftar Koreksi'!$H$5:$H$92,"&lt;0")-SUMIFS('Daftar Koreksi'!$H$5:$H$92,'Daftar Koreksi'!$D$5:$D$92,'1700'!A180,'Daftar Koreksi'!$G$5:$G$92,"Tanah",'Daftar Koreksi'!$H$5:$H$92,"&lt;0")-SUMIFS('Daftar Koreksi'!$H$5:$H$92,'Daftar Koreksi'!$D$5:$D$92,'1700'!A180,'Daftar Koreksi'!$G$5:$G$92,"Tanah",'Daftar Koreksi'!$H$5:$H$92,"&lt;0")</f>
        <v>0</v>
      </c>
      <c r="G184" s="17">
        <f t="shared" ref="G184:G200" si="8">D184+E184-F184</f>
        <v>2981470000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3499474315</v>
      </c>
      <c r="E185" s="25">
        <f>SUMIFS('Daftar Koreksi'!$H$5:$H$92,'Daftar Koreksi'!$D$5:$D$92,'1700'!A180,'Daftar Koreksi'!$G$5:$G$92,"Peralatan dan mesin",'Daftar Koreksi'!$H$5:$H$92,"&gt;0")</f>
        <v>0</v>
      </c>
      <c r="F185" s="25">
        <f>SUMIFS('Daftar Koreksi'!$H$5:$H$92,'Daftar Koreksi'!$D$5:$D$92,'1700'!A180,'Daftar Koreksi'!$G$5:$G$92,"Peralatan dan mesin",'Daftar Koreksi'!$H$5:$H$92,"&lt;0")-SUMIFS('Daftar Koreksi'!$H$5:$H$92,'Daftar Koreksi'!$D$5:$D$92,'1700'!A180,'Daftar Koreksi'!$G$5:$G$92,"Peralatan dan mesin",'Daftar Koreksi'!$H$5:$H$92,"&lt;0")-SUMIFS('Daftar Koreksi'!$H$5:$H$92,'Daftar Koreksi'!$D$5:$D$92,'1700'!A180,'Daftar Koreksi'!$G$5:$G$92,"Peralatan dan mesin",'Daftar Koreksi'!$H$5:$H$92,"&lt;0")</f>
        <v>0</v>
      </c>
      <c r="G185" s="17">
        <f t="shared" si="8"/>
        <v>3499474315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6147128296</v>
      </c>
      <c r="E186" s="25">
        <f>SUMIFS('Daftar Koreksi'!$H$5:$H$92,'Daftar Koreksi'!$D$5:$D$92,'1700'!A180,'Daftar Koreksi'!$G$5:$G$92,"Gedung dan Bangunan",'Daftar Koreksi'!$H$5:$H$92,"&gt;0")</f>
        <v>0</v>
      </c>
      <c r="F186" s="25">
        <f>SUMIFS('Daftar Koreksi'!$H$5:$H$92,'Daftar Koreksi'!$D$5:$D$92,'1700'!A180,'Daftar Koreksi'!$G$5:$G$92,"Gedung dan Bangunan",'Daftar Koreksi'!$H$5:$H$92,"&lt;0")-SUMIFS('Daftar Koreksi'!$H$5:$H$92,'Daftar Koreksi'!$D$5:$D$92,'1700'!A180,'Daftar Koreksi'!$G$5:$G$92,"Gedung dan Bangunan",'Daftar Koreksi'!$H$5:$H$92,"&lt;0")-SUMIFS('Daftar Koreksi'!$H$5:$H$92,'Daftar Koreksi'!$D$5:$D$92,'1700'!A180,'Daftar Koreksi'!$G$5:$G$92,"Gedung dan Bangunan",'Daftar Koreksi'!$H$5:$H$92,"&lt;0")</f>
        <v>0</v>
      </c>
      <c r="G186" s="17">
        <f t="shared" si="8"/>
        <v>6147128296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83943601</v>
      </c>
      <c r="E187" s="25">
        <f>SUMIFS('Daftar Koreksi'!$H$5:$H$92,'Daftar Koreksi'!$D$5:$D$92,'1700'!A180,'Daftar Koreksi'!$G$5:$G$92,"Jalan Irigasi Jaringan",'Daftar Koreksi'!$H$5:$H$92,"&gt;0")</f>
        <v>0</v>
      </c>
      <c r="F187" s="25">
        <f>SUMIFS('Daftar Koreksi'!$H$5:$H$92,'Daftar Koreksi'!$D$5:$D$92,'1700'!A180,'Daftar Koreksi'!$G$5:$G$92,"Jalan Irigasi Jaringan",'Daftar Koreksi'!$H$5:$H$92,"&lt;0")-SUMIFS('Daftar Koreksi'!$H$5:$H$92,'Daftar Koreksi'!$D$5:$D$92,'1700'!A180,'Daftar Koreksi'!$G$5:$G$92,"Jalan Irigasi Jaringan",'Daftar Koreksi'!$H$5:$H$92,"&lt;0")-SUMIFS('Daftar Koreksi'!$H$5:$H$92,'Daftar Koreksi'!$D$5:$D$92,'1700'!A180,'Daftar Koreksi'!$G$5:$G$92,"Jalan Irigasi Jaringan",'Daftar Koreksi'!$H$5:$H$92,"&lt;0")</f>
        <v>0</v>
      </c>
      <c r="G187" s="17">
        <f t="shared" si="8"/>
        <v>83943601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213016770</v>
      </c>
      <c r="E188" s="25">
        <f>SUMIFS('Daftar Koreksi'!$H$5:$H$92,'Daftar Koreksi'!$D$5:$D$92,'1700'!A180,'Daftar Koreksi'!$G$5:$G$92,"Aset Tetap Lainnya",'Daftar Koreksi'!$H$5:$H$92,"&gt;0")</f>
        <v>0</v>
      </c>
      <c r="F188" s="25">
        <f>SUMIFS('Daftar Koreksi'!$H$5:$H$92,'Daftar Koreksi'!$D$5:$D$92,'1700'!A180,'Daftar Koreksi'!$G$5:$G$92,"Aset Tetap Lainnya",'Daftar Koreksi'!$H$5:$H$92,"&lt;0")-SUMIFS('Daftar Koreksi'!$H$5:$H$92,'Daftar Koreksi'!$D$5:$D$92,'1700'!A180,'Daftar Koreksi'!$G$5:$G$92,"Aset Tetap Lainnya",'Daftar Koreksi'!$H$5:$H$92,"&lt;0")-SUMIFS('Daftar Koreksi'!$H$5:$H$92,'Daftar Koreksi'!$D$5:$D$92,'1700'!A180,'Daftar Koreksi'!$G$5:$G$92,"Aset Tetap Lainnya",'Daftar Koreksi'!$H$5:$H$92,"&lt;0")</f>
        <v>0</v>
      </c>
      <c r="G188" s="17">
        <f t="shared" si="8"/>
        <v>213016770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Koreksi'!$D$5:$D$92,'1700'!A180,'Daftar Koreksi'!$G$5:$G$92,"Kontruksi Dalam Pengerjaan",'Daftar Koreksi'!$H$5:$H$92,"&gt;0")</f>
        <v>0</v>
      </c>
      <c r="F189" s="25">
        <f>SUMIFS('Daftar Koreksi'!$H$5:$H$92,'Daftar Koreksi'!$D$5:$D$92,'1700'!A180,'Daftar Koreksi'!$G$5:$G$92,"Kontruksi Dalam Pengerjaan",'Daftar Koreksi'!$H$5:$H$92,"&lt;0")-SUMIFS('Daftar Koreksi'!$H$5:$H$92,'Daftar Koreksi'!$D$5:$D$92,'1700'!A180,'Daftar Koreksi'!$G$5:$G$92,"Kontruksi Dalam Pengerjaan",'Daftar Koreksi'!$H$5:$H$92,"&lt;0")-SUMIFS('Daftar Koreksi'!$H$5:$H$92,'Daftar Koreksi'!$D$5:$D$92,'1700'!A180,'Daftar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Koreksi'!$D$5:$D$92,'1700'!A180,'Daftar Koreksi'!$G$5:$G$92,"Aset Tak Berwujud",'Daftar Koreksi'!$H$5:$H$92,"&gt;0")</f>
        <v>0</v>
      </c>
      <c r="F190" s="25">
        <f>SUMIFS('Daftar Koreksi'!$H$5:$H$92,'Daftar Koreksi'!$D$5:$D$92,'1700'!A180,'Daftar Koreksi'!$G$5:$G$92,"Aset Tak Berwujud",'Daftar Koreksi'!$H$5:$H$92,"&lt;0")-SUMIFS('Daftar Koreksi'!$H$5:$H$92,'Daftar Koreksi'!$D$5:$D$92,'1700'!A180,'Daftar Koreksi'!$G$5:$G$92,"Aset Tak Berwujud",'Daftar Koreksi'!$H$5:$H$92,"&lt;0")-SUMIFS('Daftar Koreksi'!$H$5:$H$92,'Daftar Koreksi'!$D$5:$D$92,'1700'!A180,'Daftar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Koreksi'!$D$5:$D$92,'1700'!A180,'Daftar Koreksi'!$G$5:$G$92,"Aset Henti Guna",'Daftar Koreksi'!$H$5:$H$92,"&gt;0")</f>
        <v>0</v>
      </c>
      <c r="F191" s="25">
        <f>SUMIFS('Daftar Koreksi'!$H$5:$H$92,'Daftar Koreksi'!$D$5:$D$92,'1700'!A180,'Daftar Koreksi'!$G$5:$G$92,"Aset Henti Guna",'Daftar Koreksi'!$H$5:$H$92,"&lt;0")-SUMIFS('Daftar Koreksi'!$H$5:$H$92,'Daftar Koreksi'!$D$5:$D$92,'1700'!A180,'Daftar Koreksi'!$G$5:$G$92,"Aset Henti Guna",'Daftar Koreksi'!$H$5:$H$92,"&lt;0")-SUMIFS('Daftar Koreksi'!$H$5:$H$92,'Daftar Koreksi'!$D$5:$D$92,'1700'!A180,'Daftar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12925326982</v>
      </c>
      <c r="E192" s="19">
        <f>SUM(E183:E191)</f>
        <v>0</v>
      </c>
      <c r="F192" s="19">
        <f>SUM(F183:F191)</f>
        <v>0</v>
      </c>
      <c r="G192" s="19">
        <f t="shared" si="8"/>
        <v>12925326982</v>
      </c>
      <c r="H192" s="122"/>
    </row>
    <row r="193" spans="1:10" ht="21.95" customHeight="1">
      <c r="A193" s="14"/>
      <c r="B193" s="14"/>
      <c r="C193" s="16" t="s">
        <v>2087</v>
      </c>
      <c r="D193" s="17">
        <f>VLOOKUP(A180,'Neraca Unaudited SIMAK'!$A$2:$S$10004,13,FALSE)</f>
        <v>-3094970863</v>
      </c>
      <c r="E193" s="25">
        <f>SUMIFS('Daftar Koreksi'!$I$5:$I$92,'Daftar Koreksi'!$D$5:$D$92,'1700'!A180,'Daftar Koreksi'!$G$5:$G$92,"Peralatan dan mesin",'Daftar Koreksi'!$I$5:$I$92,"&gt;0")</f>
        <v>0</v>
      </c>
      <c r="F193" s="25">
        <f>SUMIFS('Daftar Koreksi'!$I$5:$I$92,'Daftar Koreksi'!$D$5:$D$92,'1700'!A180,'Daftar Koreksi'!$G$5:$G$92,"Peralatan dan mesin",'Daftar Koreksi'!$I$5:$I$92,"&lt;0")-SUMIFS('Daftar Koreksi'!$I$5:$I$92,'Daftar Koreksi'!$D$5:$D$92,'1700'!A180,'Daftar Koreksi'!$G$5:$G$92,"Peralatan dan mesin",'Daftar Koreksi'!$I$5:$I$92,"&lt;0")-SUMIFS('Daftar Koreksi'!$I$5:$I$92,'Daftar Koreksi'!$D$5:$D$92,'1700'!A180,'Daftar Koreksi'!$G$5:$G$92,"Peralatan dan mesin",'Daftar Koreksi'!$I$5:$I$92,"&lt;0")</f>
        <v>0</v>
      </c>
      <c r="G193" s="17">
        <f t="shared" si="8"/>
        <v>-3094970863</v>
      </c>
      <c r="H193" s="122"/>
    </row>
    <row r="194" spans="1:10" ht="21.95" customHeight="1">
      <c r="A194" s="14"/>
      <c r="B194" s="14"/>
      <c r="C194" s="16" t="s">
        <v>2088</v>
      </c>
      <c r="D194" s="17">
        <f>VLOOKUP(A180,'Neraca Unaudited SIMAK'!$A$2:$S$10004,14,FALSE)</f>
        <v>-2523912556</v>
      </c>
      <c r="E194" s="25">
        <f>SUMIFS('Daftar Koreksi'!$I$5:$I$92,'Daftar Koreksi'!$D$5:$D$92,'1700'!A180,'Daftar Koreksi'!$G$5:$G$92,"Gedung dan Bangunan",'Daftar Koreksi'!$I$5:$I$92,"&gt;0")</f>
        <v>0</v>
      </c>
      <c r="F194" s="25">
        <f>SUMIFS('Daftar Koreksi'!$I$5:$I$92,'Daftar Koreksi'!$D$5:$D$92,'1700'!A180,'Daftar Koreksi'!$G$5:$G$92,"Gedung dan Bangunan",'Daftar Koreksi'!$I$5:$I$92,"&lt;0")-SUMIFS('Daftar Koreksi'!$I$5:$I$92,'Daftar Koreksi'!$D$5:$D$92,'1700'!A180,'Daftar Koreksi'!$G$5:$G$92,"Gedung dan Bangunan",'Daftar Koreksi'!$I$5:$I$92,"&lt;0")-SUMIFS('Daftar Koreksi'!$I$5:$I$92,'Daftar Koreksi'!$D$5:$D$92,'1700'!A180,'Daftar Koreksi'!$G$5:$G$92,"Gedung dan Bangunan",'Daftar Koreksi'!$I$5:$I$92,"&lt;0")</f>
        <v>0</v>
      </c>
      <c r="G194" s="17">
        <f t="shared" si="8"/>
        <v>-2523912556</v>
      </c>
      <c r="H194" s="122"/>
    </row>
    <row r="195" spans="1:10" ht="21.95" customHeight="1">
      <c r="A195" s="14"/>
      <c r="B195" s="14"/>
      <c r="C195" s="16" t="s">
        <v>2089</v>
      </c>
      <c r="D195" s="17">
        <f>VLOOKUP(A180,'Neraca Unaudited SIMAK'!$A$2:$S$10004,15,FALSE)</f>
        <v>-45759520</v>
      </c>
      <c r="E195" s="25">
        <f>SUMIFS('Daftar Koreksi'!$I$5:$I$92,'Daftar Koreksi'!$D$5:$D$92,'1700'!A180,'Daftar Koreksi'!$G$5:$G$92,"Jalan Irigasi Jaringan",'Daftar Koreksi'!$I$5:$I$92,"&gt;0")</f>
        <v>0</v>
      </c>
      <c r="F195" s="25">
        <f>SUMIFS('Daftar Koreksi'!$I$5:$I$92,'Daftar Koreksi'!$D$5:$D$92,'1700'!A180,'Daftar Koreksi'!$G$5:$G$92,"Jalan Irigasi Jaringan",'Daftar Koreksi'!$I$5:$I$92,"&lt;0")-SUMIFS('Daftar Koreksi'!$I$5:$I$92,'Daftar Koreksi'!$D$5:$D$92,'1700'!A180,'Daftar Koreksi'!$G$5:$G$92,"Jalan Irigasi Jaringan",'Daftar Koreksi'!$I$5:$I$92,"&lt;0")-SUMIFS('Daftar Koreksi'!$I$5:$I$92,'Daftar Koreksi'!$D$5:$D$92,'1700'!A180,'Daftar Koreksi'!$G$5:$G$92,"Jalan Irigasi Jaringan",'Daftar Koreksi'!$I$5:$I$92,"&lt;0")</f>
        <v>0</v>
      </c>
      <c r="G195" s="17">
        <f t="shared" si="8"/>
        <v>-45759520</v>
      </c>
      <c r="H195" s="122"/>
    </row>
    <row r="196" spans="1:10" ht="21.95" customHeight="1">
      <c r="A196" s="14"/>
      <c r="B196" s="14"/>
      <c r="C196" s="16" t="s">
        <v>2090</v>
      </c>
      <c r="D196" s="17">
        <f>VLOOKUP(A180,'Neraca Unaudited SIMAK'!$A$2:$S$10004,16,FALSE)</f>
        <v>-37417000</v>
      </c>
      <c r="E196" s="25">
        <f>SUMIFS('Daftar Koreksi'!$I$5:$I$92,'Daftar Koreksi'!$D$5:$D$92,'1700'!A180,'Daftar Koreksi'!$G$5:$G$92,"Aset Tetap Lainnya",'Daftar Koreksi'!$I$5:$I$92,"&gt;0")</f>
        <v>0</v>
      </c>
      <c r="F196" s="25">
        <f>SUMIFS('Daftar Koreksi'!$I$5:$I$92,'Daftar Koreksi'!$D$5:$D$92,'1700'!A180,'Daftar Koreksi'!$G$5:$G$92,"Aset Tetap Lainnya",'Daftar Koreksi'!$I$5:$I$92,"&lt;0")-SUMIFS('Daftar Koreksi'!$I$5:$I$92,'Daftar Koreksi'!$D$5:$D$92,'1700'!A180,'Daftar Koreksi'!$G$5:$G$92,"Aset Tetap Lainnya",'Daftar Koreksi'!$I$5:$I$92,"&lt;0")-SUMIFS('Daftar Koreksi'!$I$5:$I$92,'Daftar Koreksi'!$D$5:$D$92,'1700'!A180,'Daftar Koreksi'!$G$5:$G$92,"Aset Tetap Lainnya",'Daftar Koreksi'!$I$5:$I$92,"&lt;0")</f>
        <v>0</v>
      </c>
      <c r="G196" s="17">
        <f t="shared" si="8"/>
        <v>-37417000</v>
      </c>
      <c r="H196" s="122"/>
    </row>
    <row r="197" spans="1:10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Koreksi'!$D$5:$D$92,'1700'!A180,'Daftar Koreksi'!$G$5:$G$92,"Aset Henti Guna",'Daftar Koreksi'!$I$5:$I$92,"&gt;0")</f>
        <v>0</v>
      </c>
      <c r="F197" s="25">
        <f>SUMIFS('Daftar Koreksi'!$I$5:$I$92,'Daftar Koreksi'!$D$5:$D$92,'1700'!A180,'Daftar Koreksi'!$G$5:$G$92,"Aset Henti Guna",'Daftar Koreksi'!$I$5:$I$92,"&lt;0")-SUMIFS('Daftar Koreksi'!$I$5:$I$92,'Daftar Koreksi'!$D$5:$D$92,'1700'!A180,'Daftar Koreksi'!$G$5:$G$92,"Aset Henti Guna",'Daftar Koreksi'!$I$5:$I$92,"&lt;0")-SUMIFS('Daftar Koreksi'!$I$5:$I$92,'Daftar Koreksi'!$D$5:$D$92,'1700'!A180,'Daftar Koreksi'!$G$5:$G$92,"Aset Henti Guna",'Daftar Koreksi'!$I$5:$I$92,"&lt;0")</f>
        <v>0</v>
      </c>
      <c r="G197" s="17">
        <f t="shared" si="8"/>
        <v>0</v>
      </c>
      <c r="H197" s="122"/>
    </row>
    <row r="198" spans="1:10" ht="21.95" customHeight="1">
      <c r="A198" s="14"/>
      <c r="B198" s="14"/>
      <c r="C198" s="18" t="s">
        <v>2094</v>
      </c>
      <c r="D198" s="19">
        <f>SUM(D193:D197)</f>
        <v>-5702059939</v>
      </c>
      <c r="E198" s="19">
        <f>SUM(E193:E197)</f>
        <v>0</v>
      </c>
      <c r="F198" s="19">
        <f>SUM(F193:F197)</f>
        <v>0</v>
      </c>
      <c r="G198" s="19">
        <f t="shared" si="8"/>
        <v>-5702059939</v>
      </c>
      <c r="H198" s="122"/>
    </row>
    <row r="199" spans="1:10" ht="21.95" customHeight="1">
      <c r="A199" s="14"/>
      <c r="B199" s="14"/>
      <c r="C199" s="18" t="s">
        <v>2095</v>
      </c>
      <c r="D199" s="19">
        <f>VLOOKUP(A180,'Neraca Unaudited SIMAK'!$A$2:$S$10004,18,FALSE)</f>
        <v>7223267043</v>
      </c>
      <c r="E199" s="19">
        <f>E198+E192</f>
        <v>0</v>
      </c>
      <c r="F199" s="19">
        <f>F198+F192</f>
        <v>0</v>
      </c>
      <c r="G199" s="19">
        <f t="shared" si="8"/>
        <v>7223267043</v>
      </c>
      <c r="H199" s="122"/>
    </row>
    <row r="200" spans="1:10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10" ht="19.5" customHeight="1">
      <c r="A202" s="11" t="str">
        <f>O10</f>
        <v>005011700402701000KD</v>
      </c>
      <c r="B202" s="11" t="str">
        <f>P10</f>
        <v>PA. Tondano</v>
      </c>
      <c r="C202" s="12" t="str">
        <f>A202&amp;" "&amp;B202</f>
        <v>005011700402701000KD PA. Tondano</v>
      </c>
      <c r="D202" s="13"/>
      <c r="E202" s="13"/>
      <c r="F202" s="13"/>
      <c r="G202" s="13"/>
      <c r="H202" s="11"/>
    </row>
    <row r="203" spans="1:10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0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0" ht="21.95" customHeight="1">
      <c r="A205" s="14"/>
      <c r="B205" s="14"/>
      <c r="C205" s="16" t="s">
        <v>1165</v>
      </c>
      <c r="D205" s="17">
        <f>VLOOKUP(A202,'Neraca Unaudited SIMAK'!$A$2:$S$10004,3,FALSE)</f>
        <v>0</v>
      </c>
      <c r="E205" s="25">
        <f>SUMIFS('Daftar Koreksi'!$H$5:$H$92,'Daftar Koreksi'!$D$5:$D$92,'1700'!A202,'Daftar Koreksi'!$G$5:$G$92,"Persediaan",'Daftar Koreksi'!$H$5:$H$92,"&gt;0")</f>
        <v>0</v>
      </c>
      <c r="F205" s="25">
        <f>SUMIFS('Daftar Koreksi'!$H$5:$H$92,'Daftar Koreksi'!$D$5:$D$92,'1700'!A202,'Daftar Koreksi'!$G$5:$G$92,"Persediaan",'Daftar Koreksi'!$H$5:$H$92,"&lt;0")-SUMIFS('Daftar Koreksi'!$H$5:$H$92,'Daftar Koreksi'!$D$5:$D$92,'1700'!A202,'Daftar Koreksi'!$G$5:$G$92,"Persediaan",'Daftar Koreksi'!$H$5:$H$92,"&lt;0")-SUMIFS('Daftar Koreksi'!$H$5:$H$92,'Daftar Koreksi'!$D$5:$D$92,'1700'!A202,'Daftar Koreksi'!$G$5:$G$92,"Persediaan",'Daftar Koreksi'!$H$5:$H$92,"&lt;0")</f>
        <v>0</v>
      </c>
      <c r="G205" s="17">
        <f>D205+E205-F205</f>
        <v>0</v>
      </c>
      <c r="H205" s="121" t="str">
        <f>IF(ISNA(VLOOKUP(A202,'Mutasi Neraca'!$A$3:$S$914,19,FALSE)),"-",VLOOKUP(A202,'Mutasi Neraca'!$A$3:$S$914,19,FALSE))</f>
        <v>-</v>
      </c>
      <c r="I205" s="28"/>
      <c r="J205" s="28"/>
    </row>
    <row r="206" spans="1:10" ht="21.95" customHeight="1">
      <c r="A206" s="14"/>
      <c r="B206" s="14"/>
      <c r="C206" s="16" t="s">
        <v>1166</v>
      </c>
      <c r="D206" s="17">
        <f>VLOOKUP(A202,'Neraca Unaudited SIMAK'!$A$2:$S$10004,4,FALSE)</f>
        <v>364820000</v>
      </c>
      <c r="E206" s="25">
        <f>SUMIFS('Daftar Koreksi'!$H$5:$H$92,'Daftar Koreksi'!$D$5:$D$92,'1700'!A202,'Daftar Koreksi'!$G$5:$G$92,"Tanah",'Daftar Koreksi'!$H$5:$H$92,"&gt;0")</f>
        <v>0</v>
      </c>
      <c r="F206" s="25">
        <f>SUMIFS('Daftar Koreksi'!$H$5:$H$92,'Daftar Koreksi'!$D$5:$D$92,'1700'!A202,'Daftar Koreksi'!$G$5:$G$92,"Tanah",'Daftar Koreksi'!$H$5:$H$92,"&lt;0")-SUMIFS('Daftar Koreksi'!$H$5:$H$92,'Daftar Koreksi'!$D$5:$D$92,'1700'!A202,'Daftar Koreksi'!$G$5:$G$92,"Tanah",'Daftar Koreksi'!$H$5:$H$92,"&lt;0")-SUMIFS('Daftar Koreksi'!$H$5:$H$92,'Daftar Koreksi'!$D$5:$D$92,'1700'!A202,'Daftar Koreksi'!$G$5:$G$92,"Tanah",'Daftar Koreksi'!$H$5:$H$92,"&lt;0")</f>
        <v>0</v>
      </c>
      <c r="G206" s="17">
        <f t="shared" ref="G206:G222" si="9">D206+E206-F206</f>
        <v>364820000</v>
      </c>
      <c r="H206" s="122"/>
      <c r="I206" s="28"/>
      <c r="J206" s="28"/>
    </row>
    <row r="207" spans="1:10" ht="21.95" customHeight="1">
      <c r="A207" s="14"/>
      <c r="B207" s="14"/>
      <c r="C207" s="16" t="s">
        <v>1167</v>
      </c>
      <c r="D207" s="17">
        <f>VLOOKUP(A202,'Neraca Unaudited SIMAK'!$A$2:$S$10004,5,FALSE)</f>
        <v>1092896992</v>
      </c>
      <c r="E207" s="25">
        <f>SUMIFS('Daftar Koreksi'!$H$5:$H$92,'Daftar Koreksi'!$D$5:$D$92,'1700'!A202,'Daftar Koreksi'!$G$5:$G$92,"Peralatan dan mesin",'Daftar Koreksi'!$H$5:$H$92,"&gt;0")</f>
        <v>0</v>
      </c>
      <c r="F207" s="25">
        <f>SUMIFS('Daftar Koreksi'!$H$5:$H$92,'Daftar Koreksi'!$D$5:$D$92,'1700'!A202,'Daftar Koreksi'!$G$5:$G$92,"Peralatan dan mesin",'Daftar Koreksi'!$H$5:$H$92,"&lt;0")-SUMIFS('Daftar Koreksi'!$H$5:$H$92,'Daftar Koreksi'!$D$5:$D$92,'1700'!A202,'Daftar Koreksi'!$G$5:$G$92,"Peralatan dan mesin",'Daftar Koreksi'!$H$5:$H$92,"&lt;0")-SUMIFS('Daftar Koreksi'!$H$5:$H$92,'Daftar Koreksi'!$D$5:$D$92,'1700'!A202,'Daftar Koreksi'!$G$5:$G$92,"Peralatan dan mesin",'Daftar Koreksi'!$H$5:$H$92,"&lt;0")</f>
        <v>0</v>
      </c>
      <c r="G207" s="17">
        <f t="shared" si="9"/>
        <v>1092896992</v>
      </c>
      <c r="H207" s="122"/>
      <c r="I207" s="28"/>
      <c r="J207" s="28"/>
    </row>
    <row r="208" spans="1:10" ht="21.95" customHeight="1">
      <c r="A208" s="14"/>
      <c r="B208" s="14"/>
      <c r="C208" s="16" t="s">
        <v>1168</v>
      </c>
      <c r="D208" s="17">
        <f>VLOOKUP(A202,'Neraca Unaudited SIMAK'!$A$2:$S$10004,6,FALSE)</f>
        <v>2600580054</v>
      </c>
      <c r="E208" s="25">
        <f>SUMIFS('Daftar Koreksi'!$H$5:$H$92,'Daftar Koreksi'!$D$5:$D$92,'1700'!A202,'Daftar Koreksi'!$G$5:$G$92,"Gedung dan Bangunan",'Daftar Koreksi'!$H$5:$H$92,"&gt;0")</f>
        <v>0</v>
      </c>
      <c r="F208" s="25">
        <f>SUMIFS('Daftar Koreksi'!$H$5:$H$92,'Daftar Koreksi'!$D$5:$D$92,'1700'!A202,'Daftar Koreksi'!$G$5:$G$92,"Gedung dan Bangunan",'Daftar Koreksi'!$H$5:$H$92,"&lt;0")-SUMIFS('Daftar Koreksi'!$H$5:$H$92,'Daftar Koreksi'!$D$5:$D$92,'1700'!A202,'Daftar Koreksi'!$G$5:$G$92,"Gedung dan Bangunan",'Daftar Koreksi'!$H$5:$H$92,"&lt;0")-SUMIFS('Daftar Koreksi'!$H$5:$H$92,'Daftar Koreksi'!$D$5:$D$92,'1700'!A202,'Daftar Koreksi'!$G$5:$G$92,"Gedung dan Bangunan",'Daftar Koreksi'!$H$5:$H$92,"&lt;0")</f>
        <v>0</v>
      </c>
      <c r="G208" s="17">
        <f t="shared" si="9"/>
        <v>2600580054</v>
      </c>
      <c r="H208" s="122"/>
      <c r="I208" s="28"/>
      <c r="J208" s="28"/>
    </row>
    <row r="209" spans="1:10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Koreksi'!$D$5:$D$92,'1700'!A202,'Daftar Koreksi'!$G$5:$G$92,"Jalan Irigasi Jaringan",'Daftar Koreksi'!$H$5:$H$92,"&gt;0")</f>
        <v>0</v>
      </c>
      <c r="F209" s="25">
        <f>SUMIFS('Daftar Koreksi'!$H$5:$H$92,'Daftar Koreksi'!$D$5:$D$92,'1700'!A202,'Daftar Koreksi'!$G$5:$G$92,"Jalan Irigasi Jaringan",'Daftar Koreksi'!$H$5:$H$92,"&lt;0")-SUMIFS('Daftar Koreksi'!$H$5:$H$92,'Daftar Koreksi'!$D$5:$D$92,'1700'!A202,'Daftar Koreksi'!$G$5:$G$92,"Jalan Irigasi Jaringan",'Daftar Koreksi'!$H$5:$H$92,"&lt;0")-SUMIFS('Daftar Koreksi'!$H$5:$H$92,'Daftar Koreksi'!$D$5:$D$92,'1700'!A202,'Daftar Koreksi'!$G$5:$G$92,"Jalan Irigasi Jaringan",'Daftar Koreksi'!$H$5:$H$92,"&lt;0")</f>
        <v>0</v>
      </c>
      <c r="G209" s="17">
        <f t="shared" si="9"/>
        <v>0</v>
      </c>
      <c r="H209" s="122"/>
      <c r="I209" s="28"/>
      <c r="J209" s="28"/>
    </row>
    <row r="210" spans="1:10" ht="21.95" customHeight="1">
      <c r="A210" s="14"/>
      <c r="B210" s="14"/>
      <c r="C210" s="16" t="s">
        <v>1170</v>
      </c>
      <c r="D210" s="17">
        <f>VLOOKUP(A202,'Neraca Unaudited SIMAK'!$A$2:$S$10004,8,FALSE)</f>
        <v>85619500</v>
      </c>
      <c r="E210" s="25">
        <f>SUMIFS('Daftar Koreksi'!$H$5:$H$92,'Daftar Koreksi'!$D$5:$D$92,'1700'!A202,'Daftar Koreksi'!$G$5:$G$92,"Aset Tetap Lainnya",'Daftar Koreksi'!$H$5:$H$92,"&gt;0")</f>
        <v>0</v>
      </c>
      <c r="F210" s="25">
        <f>SUMIFS('Daftar Koreksi'!$H$5:$H$92,'Daftar Koreksi'!$D$5:$D$92,'1700'!A202,'Daftar Koreksi'!$G$5:$G$92,"Aset Tetap Lainnya",'Daftar Koreksi'!$H$5:$H$92,"&lt;0")-SUMIFS('Daftar Koreksi'!$H$5:$H$92,'Daftar Koreksi'!$D$5:$D$92,'1700'!A202,'Daftar Koreksi'!$G$5:$G$92,"Aset Tetap Lainnya",'Daftar Koreksi'!$H$5:$H$92,"&lt;0")-SUMIFS('Daftar Koreksi'!$H$5:$H$92,'Daftar Koreksi'!$D$5:$D$92,'1700'!A202,'Daftar Koreksi'!$G$5:$G$92,"Aset Tetap Lainnya",'Daftar Koreksi'!$H$5:$H$92,"&lt;0")</f>
        <v>0</v>
      </c>
      <c r="G210" s="17">
        <f t="shared" si="9"/>
        <v>85619500</v>
      </c>
      <c r="H210" s="122"/>
      <c r="I210" s="28"/>
      <c r="J210" s="28"/>
    </row>
    <row r="211" spans="1:10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Koreksi'!$D$5:$D$92,'1700'!A202,'Daftar Koreksi'!$G$5:$G$92,"Kontruksi Dalam Pengerjaan",'Daftar Koreksi'!$H$5:$H$92,"&gt;0")</f>
        <v>0</v>
      </c>
      <c r="F211" s="25">
        <f>SUMIFS('Daftar Koreksi'!$H$5:$H$92,'Daftar Koreksi'!$D$5:$D$92,'1700'!A202,'Daftar Koreksi'!$G$5:$G$92,"Kontruksi Dalam Pengerjaan",'Daftar Koreksi'!$H$5:$H$92,"&lt;0")-SUMIFS('Daftar Koreksi'!$H$5:$H$92,'Daftar Koreksi'!$D$5:$D$92,'1700'!A202,'Daftar Koreksi'!$G$5:$G$92,"Kontruksi Dalam Pengerjaan",'Daftar Koreksi'!$H$5:$H$92,"&lt;0")-SUMIFS('Daftar Koreksi'!$H$5:$H$92,'Daftar Koreksi'!$D$5:$D$92,'1700'!A202,'Daftar Koreksi'!$G$5:$G$92,"Kontruksi Dalam Pengerjaan",'Daftar Koreksi'!$H$5:$H$92,"&lt;0")</f>
        <v>0</v>
      </c>
      <c r="G211" s="17">
        <f t="shared" si="9"/>
        <v>0</v>
      </c>
      <c r="H211" s="122"/>
      <c r="I211" s="28"/>
      <c r="J211" s="28"/>
    </row>
    <row r="212" spans="1:10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Koreksi'!$D$5:$D$92,'1700'!A202,'Daftar Koreksi'!$G$5:$G$92,"Aset Tak Berwujud",'Daftar Koreksi'!$H$5:$H$92,"&gt;0")</f>
        <v>0</v>
      </c>
      <c r="F212" s="25">
        <f>SUMIFS('Daftar Koreksi'!$H$5:$H$92,'Daftar Koreksi'!$D$5:$D$92,'1700'!A202,'Daftar Koreksi'!$G$5:$G$92,"Aset Tak Berwujud",'Daftar Koreksi'!$H$5:$H$92,"&lt;0")-SUMIFS('Daftar Koreksi'!$H$5:$H$92,'Daftar Koreksi'!$D$5:$D$92,'1700'!A202,'Daftar Koreksi'!$G$5:$G$92,"Aset Tak Berwujud",'Daftar Koreksi'!$H$5:$H$92,"&lt;0")-SUMIFS('Daftar Koreksi'!$H$5:$H$92,'Daftar Koreksi'!$D$5:$D$92,'1700'!A202,'Daftar Koreksi'!$G$5:$G$92,"Aset Tak Berwujud",'Daftar Koreksi'!$H$5:$H$92,"&lt;0")</f>
        <v>0</v>
      </c>
      <c r="G212" s="17">
        <f t="shared" si="9"/>
        <v>0</v>
      </c>
      <c r="H212" s="122"/>
      <c r="I212" s="28"/>
      <c r="J212" s="28"/>
    </row>
    <row r="213" spans="1:10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Koreksi'!$D$5:$D$92,'1700'!A202,'Daftar Koreksi'!$G$5:$G$92,"Aset Henti Guna",'Daftar Koreksi'!$H$5:$H$92,"&gt;0")</f>
        <v>0</v>
      </c>
      <c r="F213" s="25">
        <f>SUMIFS('Daftar Koreksi'!$H$5:$H$92,'Daftar Koreksi'!$D$5:$D$92,'1700'!A202,'Daftar Koreksi'!$G$5:$G$92,"Aset Henti Guna",'Daftar Koreksi'!$H$5:$H$92,"&lt;0")-SUMIFS('Daftar Koreksi'!$H$5:$H$92,'Daftar Koreksi'!$D$5:$D$92,'1700'!A202,'Daftar Koreksi'!$G$5:$G$92,"Aset Henti Guna",'Daftar Koreksi'!$H$5:$H$92,"&lt;0")-SUMIFS('Daftar Koreksi'!$H$5:$H$92,'Daftar Koreksi'!$D$5:$D$92,'1700'!A202,'Daftar Koreksi'!$G$5:$G$92,"Aset Henti Guna",'Daftar Koreksi'!$H$5:$H$92,"&lt;0")</f>
        <v>0</v>
      </c>
      <c r="G213" s="17">
        <f t="shared" si="9"/>
        <v>0</v>
      </c>
      <c r="H213" s="122"/>
      <c r="I213" s="28"/>
      <c r="J213" s="28"/>
    </row>
    <row r="214" spans="1:10" ht="21.95" customHeight="1">
      <c r="A214" s="14"/>
      <c r="B214" s="14"/>
      <c r="C214" s="18" t="s">
        <v>2093</v>
      </c>
      <c r="D214" s="19">
        <f>VLOOKUP(A202,'Neraca Unaudited SIMAK'!$A$2:$S$10004,12,FALSE)</f>
        <v>4143916546</v>
      </c>
      <c r="E214" s="19">
        <f>SUM(E205:E213)</f>
        <v>0</v>
      </c>
      <c r="F214" s="19">
        <f>SUM(F205:F213)</f>
        <v>0</v>
      </c>
      <c r="G214" s="19">
        <f t="shared" si="9"/>
        <v>4143916546</v>
      </c>
      <c r="H214" s="122"/>
      <c r="I214" s="28"/>
      <c r="J214" s="28"/>
    </row>
    <row r="215" spans="1:10" ht="21.95" customHeight="1">
      <c r="A215" s="14"/>
      <c r="B215" s="14"/>
      <c r="C215" s="16" t="s">
        <v>2087</v>
      </c>
      <c r="D215" s="17">
        <f>VLOOKUP(A202,'Neraca Unaudited SIMAK'!$A$2:$S$10004,13,FALSE)</f>
        <v>-1030519238</v>
      </c>
      <c r="E215" s="25">
        <f>SUMIFS('Daftar Koreksi'!$I$5:$I$92,'Daftar Koreksi'!$D$5:$D$92,'1700'!A202,'Daftar Koreksi'!$G$5:$G$92,"Peralatan dan mesin",'Daftar Koreksi'!$I$5:$I$92,"&gt;0")</f>
        <v>0</v>
      </c>
      <c r="F215" s="25">
        <f>SUMIFS('Daftar Koreksi'!$I$5:$I$92,'Daftar Koreksi'!$D$5:$D$92,'1700'!A202,'Daftar Koreksi'!$G$5:$G$92,"Peralatan dan mesin",'Daftar Koreksi'!$I$5:$I$92,"&lt;0")-SUMIFS('Daftar Koreksi'!$I$5:$I$92,'Daftar Koreksi'!$D$5:$D$92,'1700'!A202,'Daftar Koreksi'!$G$5:$G$92,"Peralatan dan mesin",'Daftar Koreksi'!$I$5:$I$92,"&lt;0")-SUMIFS('Daftar Koreksi'!$I$5:$I$92,'Daftar Koreksi'!$D$5:$D$92,'1700'!A202,'Daftar Koreksi'!$G$5:$G$92,"Peralatan dan mesin",'Daftar Koreksi'!$I$5:$I$92,"&lt;0")</f>
        <v>0</v>
      </c>
      <c r="G215" s="17">
        <f t="shared" si="9"/>
        <v>-1030519238</v>
      </c>
      <c r="H215" s="122"/>
      <c r="I215" s="28"/>
      <c r="J215" s="28"/>
    </row>
    <row r="216" spans="1:10" ht="21.95" customHeight="1">
      <c r="A216" s="14"/>
      <c r="B216" s="14"/>
      <c r="C216" s="16" t="s">
        <v>2088</v>
      </c>
      <c r="D216" s="17">
        <f>VLOOKUP(A202,'Neraca Unaudited SIMAK'!$A$2:$S$10004,14,FALSE)</f>
        <v>-409530003</v>
      </c>
      <c r="E216" s="25">
        <f>SUMIFS('Daftar Koreksi'!$I$5:$I$92,'Daftar Koreksi'!$D$5:$D$92,'1700'!A202,'Daftar Koreksi'!$G$5:$G$92,"Gedung dan Bangunan",'Daftar Koreksi'!$I$5:$I$92,"&gt;0")</f>
        <v>0</v>
      </c>
      <c r="F216" s="25">
        <f>SUMIFS('Daftar Koreksi'!$I$5:$I$92,'Daftar Koreksi'!$D$5:$D$92,'1700'!A202,'Daftar Koreksi'!$G$5:$G$92,"Gedung dan Bangunan",'Daftar Koreksi'!$I$5:$I$92,"&lt;0")-SUMIFS('Daftar Koreksi'!$I$5:$I$92,'Daftar Koreksi'!$D$5:$D$92,'1700'!A202,'Daftar Koreksi'!$G$5:$G$92,"Gedung dan Bangunan",'Daftar Koreksi'!$I$5:$I$92,"&lt;0")-SUMIFS('Daftar Koreksi'!$I$5:$I$92,'Daftar Koreksi'!$D$5:$D$92,'1700'!A202,'Daftar Koreksi'!$G$5:$G$92,"Gedung dan Bangunan",'Daftar Koreksi'!$I$5:$I$92,"&lt;0")</f>
        <v>0</v>
      </c>
      <c r="G216" s="17">
        <f t="shared" si="9"/>
        <v>-409530003</v>
      </c>
      <c r="H216" s="122"/>
      <c r="I216" s="28"/>
      <c r="J216" s="28"/>
    </row>
    <row r="217" spans="1:10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Koreksi'!$D$5:$D$92,'1700'!A202,'Daftar Koreksi'!$G$5:$G$92,"Jalan Irigasi Jaringan",'Daftar Koreksi'!$I$5:$I$92,"&gt;0")</f>
        <v>0</v>
      </c>
      <c r="F217" s="25">
        <f>SUMIFS('Daftar Koreksi'!$I$5:$I$92,'Daftar Koreksi'!$D$5:$D$92,'1700'!A202,'Daftar Koreksi'!$G$5:$G$92,"Jalan Irigasi Jaringan",'Daftar Koreksi'!$I$5:$I$92,"&lt;0")-SUMIFS('Daftar Koreksi'!$I$5:$I$92,'Daftar Koreksi'!$D$5:$D$92,'1700'!A202,'Daftar Koreksi'!$G$5:$G$92,"Jalan Irigasi Jaringan",'Daftar Koreksi'!$I$5:$I$92,"&lt;0")-SUMIFS('Daftar Koreksi'!$I$5:$I$92,'Daftar Koreksi'!$D$5:$D$92,'1700'!A202,'Daftar Koreksi'!$G$5:$G$92,"Jalan Irigasi Jaringan",'Daftar Koreksi'!$I$5:$I$92,"&lt;0")</f>
        <v>0</v>
      </c>
      <c r="G217" s="17">
        <f t="shared" si="9"/>
        <v>0</v>
      </c>
      <c r="H217" s="122"/>
      <c r="I217" s="28"/>
      <c r="J217" s="28"/>
    </row>
    <row r="218" spans="1:10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Koreksi'!$D$5:$D$92,'1700'!A202,'Daftar Koreksi'!$G$5:$G$92,"Aset Tetap Lainnya",'Daftar Koreksi'!$I$5:$I$92,"&gt;0")</f>
        <v>0</v>
      </c>
      <c r="F218" s="25">
        <f>SUMIFS('Daftar Koreksi'!$I$5:$I$92,'Daftar Koreksi'!$D$5:$D$92,'1700'!A202,'Daftar Koreksi'!$G$5:$G$92,"Aset Tetap Lainnya",'Daftar Koreksi'!$I$5:$I$92,"&lt;0")-SUMIFS('Daftar Koreksi'!$I$5:$I$92,'Daftar Koreksi'!$D$5:$D$92,'1700'!A202,'Daftar Koreksi'!$G$5:$G$92,"Aset Tetap Lainnya",'Daftar Koreksi'!$I$5:$I$92,"&lt;0")-SUMIFS('Daftar Koreksi'!$I$5:$I$92,'Daftar Koreksi'!$D$5:$D$92,'1700'!A202,'Daftar Koreksi'!$G$5:$G$92,"Aset Tetap Lainnya",'Daftar Koreksi'!$I$5:$I$92,"&lt;0")</f>
        <v>0</v>
      </c>
      <c r="G218" s="17">
        <f t="shared" si="9"/>
        <v>0</v>
      </c>
      <c r="H218" s="122"/>
      <c r="I218" s="28"/>
      <c r="J218" s="28"/>
    </row>
    <row r="219" spans="1:10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Koreksi'!$D$5:$D$92,'1700'!A202,'Daftar Koreksi'!$G$5:$G$92,"Aset Henti Guna",'Daftar Koreksi'!$I$5:$I$92,"&gt;0")</f>
        <v>0</v>
      </c>
      <c r="F219" s="25">
        <f>SUMIFS('Daftar Koreksi'!$I$5:$I$92,'Daftar Koreksi'!$D$5:$D$92,'1700'!A202,'Daftar Koreksi'!$G$5:$G$92,"Aset Henti Guna",'Daftar Koreksi'!$I$5:$I$92,"&lt;0")-SUMIFS('Daftar Koreksi'!$I$5:$I$92,'Daftar Koreksi'!$D$5:$D$92,'1700'!A202,'Daftar Koreksi'!$G$5:$G$92,"Aset Henti Guna",'Daftar Koreksi'!$I$5:$I$92,"&lt;0")-SUMIFS('Daftar Koreksi'!$I$5:$I$92,'Daftar Koreksi'!$D$5:$D$92,'1700'!A202,'Daftar Koreksi'!$G$5:$G$92,"Aset Henti Guna",'Daftar Koreksi'!$I$5:$I$92,"&lt;0")</f>
        <v>0</v>
      </c>
      <c r="G219" s="17">
        <f t="shared" si="9"/>
        <v>0</v>
      </c>
      <c r="H219" s="122"/>
      <c r="I219" s="28"/>
      <c r="J219" s="28"/>
    </row>
    <row r="220" spans="1:10" ht="21.95" customHeight="1">
      <c r="A220" s="14"/>
      <c r="B220" s="14"/>
      <c r="C220" s="18" t="s">
        <v>2094</v>
      </c>
      <c r="D220" s="19">
        <f>SUM(D215:D219)</f>
        <v>-1440049241</v>
      </c>
      <c r="E220" s="19">
        <f>SUM(E215:E219)</f>
        <v>0</v>
      </c>
      <c r="F220" s="19">
        <f>SUM(F215:F219)</f>
        <v>0</v>
      </c>
      <c r="G220" s="19">
        <f t="shared" si="9"/>
        <v>-1440049241</v>
      </c>
      <c r="H220" s="122"/>
      <c r="I220" s="28"/>
      <c r="J220" s="28"/>
    </row>
    <row r="221" spans="1:10" ht="21.95" customHeight="1">
      <c r="A221" s="14"/>
      <c r="B221" s="14"/>
      <c r="C221" s="18" t="s">
        <v>2095</v>
      </c>
      <c r="D221" s="19">
        <f>VLOOKUP(A202,'Neraca Unaudited SIMAK'!$A$2:$S$10004,18,FALSE)</f>
        <v>2703867305</v>
      </c>
      <c r="E221" s="19">
        <f>E220+E214</f>
        <v>0</v>
      </c>
      <c r="F221" s="19">
        <f>F220+F214</f>
        <v>0</v>
      </c>
      <c r="G221" s="19">
        <f t="shared" si="9"/>
        <v>2703867305</v>
      </c>
      <c r="H221" s="122"/>
      <c r="I221" s="28"/>
      <c r="J221" s="28"/>
    </row>
    <row r="222" spans="1:10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  <c r="I222" s="28"/>
      <c r="J222" s="28"/>
    </row>
    <row r="224" spans="1:10" ht="19.5" customHeight="1">
      <c r="A224" s="11" t="str">
        <f>O11</f>
        <v>005011700531872000KD</v>
      </c>
      <c r="B224" s="11" t="str">
        <f>P11</f>
        <v>PTUN. Manado</v>
      </c>
      <c r="C224" s="12" t="str">
        <f>A224&amp;" "&amp;B224</f>
        <v>005011700531872000KD PTUN. Manado</v>
      </c>
      <c r="D224" s="13"/>
      <c r="E224" s="13"/>
      <c r="F224" s="13"/>
      <c r="G224" s="13"/>
      <c r="H224" s="11"/>
    </row>
    <row r="225" spans="1:10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10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10" ht="21.95" customHeight="1">
      <c r="A227" s="14"/>
      <c r="B227" s="14"/>
      <c r="C227" s="16" t="s">
        <v>1165</v>
      </c>
      <c r="D227" s="17">
        <f>VLOOKUP(A224,'Neraca Unaudited SIMAK'!$A$2:$S$10004,3,FALSE)</f>
        <v>2222200</v>
      </c>
      <c r="E227" s="25">
        <f>SUMIFS('Daftar Koreksi'!$H$5:$H$92,'Daftar Koreksi'!$D$5:$D$92,'1700'!A224,'Daftar Koreksi'!$G$5:$G$92,"Persediaan",'Daftar Koreksi'!$H$5:$H$92,"&gt;0")</f>
        <v>0</v>
      </c>
      <c r="F227" s="25">
        <f>SUMIFS('Daftar Koreksi'!$H$5:$H$92,'Daftar Koreksi'!$D$5:$D$92,'1700'!A224,'Daftar Koreksi'!$G$5:$G$92,"Persediaan",'Daftar Koreksi'!$H$5:$H$92,"&lt;0")-SUMIFS('Daftar Koreksi'!$H$5:$H$92,'Daftar Koreksi'!$D$5:$D$92,'1700'!A224,'Daftar Koreksi'!$G$5:$G$92,"Persediaan",'Daftar Koreksi'!$H$5:$H$92,"&lt;0")-SUMIFS('Daftar Koreksi'!$H$5:$H$92,'Daftar Koreksi'!$D$5:$D$92,'1700'!A224,'Daftar Koreksi'!$G$5:$G$92,"Persediaan",'Daftar Koreksi'!$H$5:$H$92,"&lt;0")</f>
        <v>0</v>
      </c>
      <c r="G227" s="17">
        <f>D227+E227-F227</f>
        <v>2222200</v>
      </c>
      <c r="H227" s="121" t="str">
        <f>IF(ISNA(VLOOKUP(A224,'Mutasi Neraca'!$A$3:$S$914,19,FALSE)),"-",VLOOKUP(A224,'Mutasi Neraca'!$A$3:$S$914,19,FALSE))</f>
        <v>-</v>
      </c>
      <c r="I227" s="28"/>
      <c r="J227" s="28"/>
    </row>
    <row r="228" spans="1:10" ht="21.95" customHeight="1">
      <c r="A228" s="14"/>
      <c r="B228" s="14"/>
      <c r="C228" s="16" t="s">
        <v>1166</v>
      </c>
      <c r="D228" s="17">
        <f>VLOOKUP(A224,'Neraca Unaudited SIMAK'!$A$2:$S$10004,4,FALSE)</f>
        <v>1513380550</v>
      </c>
      <c r="E228" s="25">
        <f>SUMIFS('Daftar Koreksi'!$H$5:$H$92,'Daftar Koreksi'!$D$5:$D$92,'1700'!A224,'Daftar Koreksi'!$G$5:$G$92,"Tanah",'Daftar Koreksi'!$H$5:$H$92,"&gt;0")</f>
        <v>0</v>
      </c>
      <c r="F228" s="25">
        <f>SUMIFS('Daftar Koreksi'!$H$5:$H$92,'Daftar Koreksi'!$D$5:$D$92,'1700'!A224,'Daftar Koreksi'!$G$5:$G$92,"Tanah",'Daftar Koreksi'!$H$5:$H$92,"&lt;0")-SUMIFS('Daftar Koreksi'!$H$5:$H$92,'Daftar Koreksi'!$D$5:$D$92,'1700'!A224,'Daftar Koreksi'!$G$5:$G$92,"Tanah",'Daftar Koreksi'!$H$5:$H$92,"&lt;0")-SUMIFS('Daftar Koreksi'!$H$5:$H$92,'Daftar Koreksi'!$D$5:$D$92,'1700'!A224,'Daftar Koreksi'!$G$5:$G$92,"Tanah",'Daftar Koreksi'!$H$5:$H$92,"&lt;0")</f>
        <v>0</v>
      </c>
      <c r="G228" s="17">
        <f t="shared" ref="G228:G244" si="10">D228+E228-F228</f>
        <v>1513380550</v>
      </c>
      <c r="H228" s="122"/>
      <c r="I228" s="28"/>
      <c r="J228" s="28"/>
    </row>
    <row r="229" spans="1:10" ht="21.95" customHeight="1">
      <c r="A229" s="14"/>
      <c r="B229" s="14"/>
      <c r="C229" s="16" t="s">
        <v>1167</v>
      </c>
      <c r="D229" s="17">
        <f>VLOOKUP(A224,'Neraca Unaudited SIMAK'!$A$2:$S$10004,5,FALSE)</f>
        <v>1938045231</v>
      </c>
      <c r="E229" s="25">
        <f>SUMIFS('Daftar Koreksi'!$H$5:$H$92,'Daftar Koreksi'!$D$5:$D$92,'1700'!A224,'Daftar Koreksi'!$G$5:$G$92,"Peralatan dan mesin",'Daftar Koreksi'!$H$5:$H$92,"&gt;0")</f>
        <v>0</v>
      </c>
      <c r="F229" s="25">
        <f>SUMIFS('Daftar Koreksi'!$H$5:$H$92,'Daftar Koreksi'!$D$5:$D$92,'1700'!A224,'Daftar Koreksi'!$G$5:$G$92,"Peralatan dan mesin",'Daftar Koreksi'!$H$5:$H$92,"&lt;0")-SUMIFS('Daftar Koreksi'!$H$5:$H$92,'Daftar Koreksi'!$D$5:$D$92,'1700'!A224,'Daftar Koreksi'!$G$5:$G$92,"Peralatan dan mesin",'Daftar Koreksi'!$H$5:$H$92,"&lt;0")-SUMIFS('Daftar Koreksi'!$H$5:$H$92,'Daftar Koreksi'!$D$5:$D$92,'1700'!A224,'Daftar Koreksi'!$G$5:$G$92,"Peralatan dan mesin",'Daftar Koreksi'!$H$5:$H$92,"&lt;0")</f>
        <v>0</v>
      </c>
      <c r="G229" s="17">
        <f t="shared" si="10"/>
        <v>1938045231</v>
      </c>
      <c r="H229" s="122"/>
      <c r="I229" s="28"/>
      <c r="J229" s="28"/>
    </row>
    <row r="230" spans="1:10" ht="21.95" customHeight="1">
      <c r="A230" s="14"/>
      <c r="B230" s="14"/>
      <c r="C230" s="16" t="s">
        <v>1168</v>
      </c>
      <c r="D230" s="17">
        <f>VLOOKUP(A224,'Neraca Unaudited SIMAK'!$A$2:$S$10004,6,FALSE)</f>
        <v>4092183500</v>
      </c>
      <c r="E230" s="25">
        <f>SUMIFS('Daftar Koreksi'!$H$5:$H$92,'Daftar Koreksi'!$D$5:$D$92,'1700'!A224,'Daftar Koreksi'!$G$5:$G$92,"Gedung dan Bangunan",'Daftar Koreksi'!$H$5:$H$92,"&gt;0")</f>
        <v>0</v>
      </c>
      <c r="F230" s="25">
        <f>SUMIFS('Daftar Koreksi'!$H$5:$H$92,'Daftar Koreksi'!$D$5:$D$92,'1700'!A224,'Daftar Koreksi'!$G$5:$G$92,"Gedung dan Bangunan",'Daftar Koreksi'!$H$5:$H$92,"&lt;0")-SUMIFS('Daftar Koreksi'!$H$5:$H$92,'Daftar Koreksi'!$D$5:$D$92,'1700'!A224,'Daftar Koreksi'!$G$5:$G$92,"Gedung dan Bangunan",'Daftar Koreksi'!$H$5:$H$92,"&lt;0")-SUMIFS('Daftar Koreksi'!$H$5:$H$92,'Daftar Koreksi'!$D$5:$D$92,'1700'!A224,'Daftar Koreksi'!$G$5:$G$92,"Gedung dan Bangunan",'Daftar Koreksi'!$H$5:$H$92,"&lt;0")</f>
        <v>0</v>
      </c>
      <c r="G230" s="17">
        <f t="shared" si="10"/>
        <v>4092183500</v>
      </c>
      <c r="H230" s="122"/>
      <c r="I230" s="28"/>
      <c r="J230" s="28"/>
    </row>
    <row r="231" spans="1:10" ht="21.95" customHeight="1">
      <c r="A231" s="14"/>
      <c r="B231" s="14"/>
      <c r="C231" s="16" t="s">
        <v>1169</v>
      </c>
      <c r="D231" s="17">
        <f>VLOOKUP(A224,'Neraca Unaudited SIMAK'!$A$2:$S$10004,7,FALSE)</f>
        <v>4983000</v>
      </c>
      <c r="E231" s="25">
        <f>SUMIFS('Daftar Koreksi'!$H$5:$H$92,'Daftar Koreksi'!$D$5:$D$92,'1700'!A224,'Daftar Koreksi'!$G$5:$G$92,"Jalan Irigasi Jaringan",'Daftar Koreksi'!$H$5:$H$92,"&gt;0")</f>
        <v>0</v>
      </c>
      <c r="F231" s="25">
        <f>SUMIFS('Daftar Koreksi'!$H$5:$H$92,'Daftar Koreksi'!$D$5:$D$92,'1700'!A224,'Daftar Koreksi'!$G$5:$G$92,"Jalan Irigasi Jaringan",'Daftar Koreksi'!$H$5:$H$92,"&lt;0")-SUMIFS('Daftar Koreksi'!$H$5:$H$92,'Daftar Koreksi'!$D$5:$D$92,'1700'!A224,'Daftar Koreksi'!$G$5:$G$92,"Jalan Irigasi Jaringan",'Daftar Koreksi'!$H$5:$H$92,"&lt;0")-SUMIFS('Daftar Koreksi'!$H$5:$H$92,'Daftar Koreksi'!$D$5:$D$92,'1700'!A224,'Daftar Koreksi'!$G$5:$G$92,"Jalan Irigasi Jaringan",'Daftar Koreksi'!$H$5:$H$92,"&lt;0")</f>
        <v>0</v>
      </c>
      <c r="G231" s="17">
        <f t="shared" si="10"/>
        <v>4983000</v>
      </c>
      <c r="H231" s="122"/>
      <c r="I231" s="28"/>
      <c r="J231" s="28"/>
    </row>
    <row r="232" spans="1:10" ht="21.95" customHeight="1">
      <c r="A232" s="14"/>
      <c r="B232" s="14"/>
      <c r="C232" s="16" t="s">
        <v>1170</v>
      </c>
      <c r="D232" s="17">
        <f>VLOOKUP(A224,'Neraca Unaudited SIMAK'!$A$2:$S$10004,8,FALSE)</f>
        <v>57193096</v>
      </c>
      <c r="E232" s="25">
        <f>SUMIFS('Daftar Koreksi'!$H$5:$H$92,'Daftar Koreksi'!$D$5:$D$92,'1700'!A224,'Daftar Koreksi'!$G$5:$G$92,"Aset Tetap Lainnya",'Daftar Koreksi'!$H$5:$H$92,"&gt;0")</f>
        <v>0</v>
      </c>
      <c r="F232" s="25">
        <f>SUMIFS('Daftar Koreksi'!$H$5:$H$92,'Daftar Koreksi'!$D$5:$D$92,'1700'!A224,'Daftar Koreksi'!$G$5:$G$92,"Aset Tetap Lainnya",'Daftar Koreksi'!$H$5:$H$92,"&lt;0")-SUMIFS('Daftar Koreksi'!$H$5:$H$92,'Daftar Koreksi'!$D$5:$D$92,'1700'!A224,'Daftar Koreksi'!$G$5:$G$92,"Aset Tetap Lainnya",'Daftar Koreksi'!$H$5:$H$92,"&lt;0")-SUMIFS('Daftar Koreksi'!$H$5:$H$92,'Daftar Koreksi'!$D$5:$D$92,'1700'!A224,'Daftar Koreksi'!$G$5:$G$92,"Aset Tetap Lainnya",'Daftar Koreksi'!$H$5:$H$92,"&lt;0")</f>
        <v>0</v>
      </c>
      <c r="G232" s="17">
        <f t="shared" si="10"/>
        <v>57193096</v>
      </c>
      <c r="H232" s="122"/>
      <c r="I232" s="28"/>
      <c r="J232" s="28"/>
    </row>
    <row r="233" spans="1:10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Koreksi'!$D$5:$D$92,'1700'!A224,'Daftar Koreksi'!$G$5:$G$92,"Kontruksi Dalam Pengerjaan",'Daftar Koreksi'!$H$5:$H$92,"&gt;0")</f>
        <v>0</v>
      </c>
      <c r="F233" s="25">
        <f>SUMIFS('Daftar Koreksi'!$H$5:$H$92,'Daftar Koreksi'!$D$5:$D$92,'1700'!A224,'Daftar Koreksi'!$G$5:$G$92,"Kontruksi Dalam Pengerjaan",'Daftar Koreksi'!$H$5:$H$92,"&lt;0")-SUMIFS('Daftar Koreksi'!$H$5:$H$92,'Daftar Koreksi'!$D$5:$D$92,'1700'!A224,'Daftar Koreksi'!$G$5:$G$92,"Kontruksi Dalam Pengerjaan",'Daftar Koreksi'!$H$5:$H$92,"&lt;0")-SUMIFS('Daftar Koreksi'!$H$5:$H$92,'Daftar Koreksi'!$D$5:$D$92,'1700'!A224,'Daftar Koreksi'!$G$5:$G$92,"Kontruksi Dalam Pengerjaan",'Daftar Koreksi'!$H$5:$H$92,"&lt;0")</f>
        <v>0</v>
      </c>
      <c r="G233" s="17">
        <f t="shared" si="10"/>
        <v>0</v>
      </c>
      <c r="H233" s="122"/>
      <c r="I233" s="28"/>
      <c r="J233" s="28"/>
    </row>
    <row r="234" spans="1:10" ht="21.95" customHeight="1">
      <c r="A234" s="14"/>
      <c r="B234" s="14"/>
      <c r="C234" s="16" t="s">
        <v>1172</v>
      </c>
      <c r="D234" s="17">
        <f>VLOOKUP(A224,'Neraca Unaudited SIMAK'!$A$2:$S$10004,10,FALSE)</f>
        <v>124300000</v>
      </c>
      <c r="E234" s="25">
        <f>SUMIFS('Daftar Koreksi'!$H$5:$H$92,'Daftar Koreksi'!$D$5:$D$92,'1700'!A224,'Daftar Koreksi'!$G$5:$G$92,"Aset Tak Berwujud",'Daftar Koreksi'!$H$5:$H$92,"&gt;0")</f>
        <v>0</v>
      </c>
      <c r="F234" s="25">
        <f>SUMIFS('Daftar Koreksi'!$H$5:$H$92,'Daftar Koreksi'!$D$5:$D$92,'1700'!A224,'Daftar Koreksi'!$G$5:$G$92,"Aset Tak Berwujud",'Daftar Koreksi'!$H$5:$H$92,"&lt;0")-SUMIFS('Daftar Koreksi'!$H$5:$H$92,'Daftar Koreksi'!$D$5:$D$92,'1700'!A224,'Daftar Koreksi'!$G$5:$G$92,"Aset Tak Berwujud",'Daftar Koreksi'!$H$5:$H$92,"&lt;0")-SUMIFS('Daftar Koreksi'!$H$5:$H$92,'Daftar Koreksi'!$D$5:$D$92,'1700'!A224,'Daftar Koreksi'!$G$5:$G$92,"Aset Tak Berwujud",'Daftar Koreksi'!$H$5:$H$92,"&lt;0")</f>
        <v>0</v>
      </c>
      <c r="G234" s="17">
        <f t="shared" si="10"/>
        <v>124300000</v>
      </c>
      <c r="H234" s="122"/>
      <c r="I234" s="28"/>
      <c r="J234" s="28"/>
    </row>
    <row r="235" spans="1:10" ht="21.95" customHeight="1">
      <c r="A235" s="14"/>
      <c r="B235" s="14"/>
      <c r="C235" s="16" t="s">
        <v>1173</v>
      </c>
      <c r="D235" s="17">
        <f>VLOOKUP(A224,'Neraca Unaudited SIMAK'!$A$2:$S$10004,11,FALSE)</f>
        <v>58450000</v>
      </c>
      <c r="E235" s="25">
        <f>SUMIFS('Daftar Koreksi'!$H$5:$H$92,'Daftar Koreksi'!$D$5:$D$92,'1700'!A224,'Daftar Koreksi'!$G$5:$G$92,"Aset Henti Guna",'Daftar Koreksi'!$H$5:$H$92,"&gt;0")</f>
        <v>0</v>
      </c>
      <c r="F235" s="25">
        <f>SUMIFS('Daftar Koreksi'!$H$5:$H$92,'Daftar Koreksi'!$D$5:$D$92,'1700'!A224,'Daftar Koreksi'!$G$5:$G$92,"Aset Henti Guna",'Daftar Koreksi'!$H$5:$H$92,"&lt;0")-SUMIFS('Daftar Koreksi'!$H$5:$H$92,'Daftar Koreksi'!$D$5:$D$92,'1700'!A224,'Daftar Koreksi'!$G$5:$G$92,"Aset Henti Guna",'Daftar Koreksi'!$H$5:$H$92,"&lt;0")-SUMIFS('Daftar Koreksi'!$H$5:$H$92,'Daftar Koreksi'!$D$5:$D$92,'1700'!A224,'Daftar Koreksi'!$G$5:$G$92,"Aset Henti Guna",'Daftar Koreksi'!$H$5:$H$92,"&lt;0")</f>
        <v>0</v>
      </c>
      <c r="G235" s="17">
        <f t="shared" si="10"/>
        <v>58450000</v>
      </c>
      <c r="H235" s="122"/>
      <c r="I235" s="28"/>
      <c r="J235" s="28"/>
    </row>
    <row r="236" spans="1:10" ht="21.95" customHeight="1">
      <c r="A236" s="14"/>
      <c r="B236" s="14"/>
      <c r="C236" s="18" t="s">
        <v>2093</v>
      </c>
      <c r="D236" s="19">
        <f>VLOOKUP(A224,'Neraca Unaudited SIMAK'!$A$2:$S$10004,12,FALSE)</f>
        <v>7790757577</v>
      </c>
      <c r="E236" s="19">
        <f>SUM(E227:E235)</f>
        <v>0</v>
      </c>
      <c r="F236" s="19">
        <f>SUM(F227:F235)</f>
        <v>0</v>
      </c>
      <c r="G236" s="19">
        <f t="shared" si="10"/>
        <v>7790757577</v>
      </c>
      <c r="H236" s="122"/>
      <c r="I236" s="28"/>
      <c r="J236" s="28"/>
    </row>
    <row r="237" spans="1:10" ht="21.95" customHeight="1">
      <c r="A237" s="14"/>
      <c r="B237" s="14"/>
      <c r="C237" s="16" t="s">
        <v>2087</v>
      </c>
      <c r="D237" s="17">
        <f>VLOOKUP(A224,'Neraca Unaudited SIMAK'!$A$2:$S$10004,13,FALSE)</f>
        <v>-1497906388</v>
      </c>
      <c r="E237" s="25">
        <f>SUMIFS('Daftar Koreksi'!$I$5:$I$92,'Daftar Koreksi'!$D$5:$D$92,'1700'!A224,'Daftar Koreksi'!$G$5:$G$92,"Peralatan dan mesin",'Daftar Koreksi'!$I$5:$I$92,"&gt;0")</f>
        <v>0</v>
      </c>
      <c r="F237" s="25">
        <f>SUMIFS('Daftar Koreksi'!$I$5:$I$92,'Daftar Koreksi'!$D$5:$D$92,'1700'!A224,'Daftar Koreksi'!$G$5:$G$92,"Peralatan dan mesin",'Daftar Koreksi'!$I$5:$I$92,"&lt;0")-SUMIFS('Daftar Koreksi'!$I$5:$I$92,'Daftar Koreksi'!$D$5:$D$92,'1700'!A224,'Daftar Koreksi'!$G$5:$G$92,"Peralatan dan mesin",'Daftar Koreksi'!$I$5:$I$92,"&lt;0")-SUMIFS('Daftar Koreksi'!$I$5:$I$92,'Daftar Koreksi'!$D$5:$D$92,'1700'!A224,'Daftar Koreksi'!$G$5:$G$92,"Peralatan dan mesin",'Daftar Koreksi'!$I$5:$I$92,"&lt;0")</f>
        <v>0</v>
      </c>
      <c r="G237" s="17">
        <f t="shared" si="10"/>
        <v>-1497906388</v>
      </c>
      <c r="H237" s="122"/>
      <c r="I237" s="28"/>
      <c r="J237" s="28"/>
    </row>
    <row r="238" spans="1:10" ht="21.95" customHeight="1">
      <c r="A238" s="14"/>
      <c r="B238" s="14"/>
      <c r="C238" s="16" t="s">
        <v>2088</v>
      </c>
      <c r="D238" s="17">
        <f>VLOOKUP(A224,'Neraca Unaudited SIMAK'!$A$2:$S$10004,14,FALSE)</f>
        <v>-1337125869</v>
      </c>
      <c r="E238" s="25">
        <f>SUMIFS('Daftar Koreksi'!$I$5:$I$92,'Daftar Koreksi'!$D$5:$D$92,'1700'!A224,'Daftar Koreksi'!$G$5:$G$92,"Gedung dan Bangunan",'Daftar Koreksi'!$I$5:$I$92,"&gt;0")</f>
        <v>0</v>
      </c>
      <c r="F238" s="25">
        <f>SUMIFS('Daftar Koreksi'!$I$5:$I$92,'Daftar Koreksi'!$D$5:$D$92,'1700'!A224,'Daftar Koreksi'!$G$5:$G$92,"Gedung dan Bangunan",'Daftar Koreksi'!$I$5:$I$92,"&lt;0")-SUMIFS('Daftar Koreksi'!$I$5:$I$92,'Daftar Koreksi'!$D$5:$D$92,'1700'!A224,'Daftar Koreksi'!$G$5:$G$92,"Gedung dan Bangunan",'Daftar Koreksi'!$I$5:$I$92,"&lt;0")-SUMIFS('Daftar Koreksi'!$I$5:$I$92,'Daftar Koreksi'!$D$5:$D$92,'1700'!A224,'Daftar Koreksi'!$G$5:$G$92,"Gedung dan Bangunan",'Daftar Koreksi'!$I$5:$I$92,"&lt;0")</f>
        <v>0</v>
      </c>
      <c r="G238" s="17">
        <f t="shared" si="10"/>
        <v>-1337125869</v>
      </c>
      <c r="H238" s="122"/>
      <c r="I238" s="28"/>
      <c r="J238" s="28"/>
    </row>
    <row r="239" spans="1:10" ht="21.95" customHeight="1">
      <c r="A239" s="14"/>
      <c r="B239" s="14"/>
      <c r="C239" s="16" t="s">
        <v>2089</v>
      </c>
      <c r="D239" s="17">
        <f>VLOOKUP(A224,'Neraca Unaudited SIMAK'!$A$2:$S$10004,15,FALSE)</f>
        <v>-996600</v>
      </c>
      <c r="E239" s="25">
        <f>SUMIFS('Daftar Koreksi'!$I$5:$I$92,'Daftar Koreksi'!$D$5:$D$92,'1700'!A224,'Daftar Koreksi'!$G$5:$G$92,"Jalan Irigasi Jaringan",'Daftar Koreksi'!$I$5:$I$92,"&gt;0")</f>
        <v>0</v>
      </c>
      <c r="F239" s="25">
        <f>SUMIFS('Daftar Koreksi'!$I$5:$I$92,'Daftar Koreksi'!$D$5:$D$92,'1700'!A224,'Daftar Koreksi'!$G$5:$G$92,"Jalan Irigasi Jaringan",'Daftar Koreksi'!$I$5:$I$92,"&lt;0")-SUMIFS('Daftar Koreksi'!$I$5:$I$92,'Daftar Koreksi'!$D$5:$D$92,'1700'!A224,'Daftar Koreksi'!$G$5:$G$92,"Jalan Irigasi Jaringan",'Daftar Koreksi'!$I$5:$I$92,"&lt;0")-SUMIFS('Daftar Koreksi'!$I$5:$I$92,'Daftar Koreksi'!$D$5:$D$92,'1700'!A224,'Daftar Koreksi'!$G$5:$G$92,"Jalan Irigasi Jaringan",'Daftar Koreksi'!$I$5:$I$92,"&lt;0")</f>
        <v>0</v>
      </c>
      <c r="G239" s="17">
        <f t="shared" si="10"/>
        <v>-996600</v>
      </c>
      <c r="H239" s="122"/>
      <c r="I239" s="28"/>
      <c r="J239" s="28"/>
    </row>
    <row r="240" spans="1:10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Koreksi'!$D$5:$D$92,'1700'!A224,'Daftar Koreksi'!$G$5:$G$92,"Aset Tetap Lainnya",'Daftar Koreksi'!$I$5:$I$92,"&gt;0")</f>
        <v>0</v>
      </c>
      <c r="F240" s="25">
        <f>SUMIFS('Daftar Koreksi'!$I$5:$I$92,'Daftar Koreksi'!$D$5:$D$92,'1700'!A224,'Daftar Koreksi'!$G$5:$G$92,"Aset Tetap Lainnya",'Daftar Koreksi'!$I$5:$I$92,"&lt;0")-SUMIFS('Daftar Koreksi'!$I$5:$I$92,'Daftar Koreksi'!$D$5:$D$92,'1700'!A224,'Daftar Koreksi'!$G$5:$G$92,"Aset Tetap Lainnya",'Daftar Koreksi'!$I$5:$I$92,"&lt;0")-SUMIFS('Daftar Koreksi'!$I$5:$I$92,'Daftar Koreksi'!$D$5:$D$92,'1700'!A224,'Daftar Koreksi'!$G$5:$G$92,"Aset Tetap Lainnya",'Daftar Koreksi'!$I$5:$I$92,"&lt;0")</f>
        <v>0</v>
      </c>
      <c r="G240" s="17">
        <f t="shared" si="10"/>
        <v>0</v>
      </c>
      <c r="H240" s="122"/>
      <c r="I240" s="28"/>
      <c r="J240" s="28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-52605000</v>
      </c>
      <c r="E241" s="25">
        <f>SUMIFS('Daftar Koreksi'!$I$5:$I$92,'Daftar Koreksi'!$D$5:$D$92,'1700'!A224,'Daftar Koreksi'!$G$5:$G$92,"Aset Henti Guna",'Daftar Koreksi'!$I$5:$I$92,"&gt;0")</f>
        <v>0</v>
      </c>
      <c r="F241" s="25">
        <f>SUMIFS('Daftar Koreksi'!$I$5:$I$92,'Daftar Koreksi'!$D$5:$D$92,'1700'!A224,'Daftar Koreksi'!$G$5:$G$92,"Aset Henti Guna",'Daftar Koreksi'!$I$5:$I$92,"&lt;0")-SUMIFS('Daftar Koreksi'!$I$5:$I$92,'Daftar Koreksi'!$D$5:$D$92,'1700'!A224,'Daftar Koreksi'!$G$5:$G$92,"Aset Henti Guna",'Daftar Koreksi'!$I$5:$I$92,"&lt;0")-SUMIFS('Daftar Koreksi'!$I$5:$I$92,'Daftar Koreksi'!$D$5:$D$92,'1700'!A224,'Daftar Koreksi'!$G$5:$G$92,"Aset Henti Guna",'Daftar Koreksi'!$I$5:$I$92,"&lt;0")</f>
        <v>0</v>
      </c>
      <c r="G241" s="17">
        <f t="shared" si="10"/>
        <v>-52605000</v>
      </c>
      <c r="H241" s="122"/>
      <c r="I241" s="28"/>
      <c r="J241" s="28"/>
    </row>
    <row r="242" spans="1:10" ht="21.95" customHeight="1">
      <c r="A242" s="14"/>
      <c r="B242" s="14"/>
      <c r="C242" s="18" t="s">
        <v>2094</v>
      </c>
      <c r="D242" s="19">
        <f>SUM(D237:D241)</f>
        <v>-2888633857</v>
      </c>
      <c r="E242" s="19">
        <f>SUM(E237:E241)</f>
        <v>0</v>
      </c>
      <c r="F242" s="19">
        <f>SUM(F237:F241)</f>
        <v>0</v>
      </c>
      <c r="G242" s="19">
        <f t="shared" si="10"/>
        <v>-2888633857</v>
      </c>
      <c r="H242" s="122"/>
      <c r="I242" s="28"/>
      <c r="J242" s="28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4902123720</v>
      </c>
      <c r="E243" s="19">
        <f>E242+E236</f>
        <v>0</v>
      </c>
      <c r="F243" s="19">
        <f>F242+F236</f>
        <v>0</v>
      </c>
      <c r="G243" s="19">
        <f t="shared" si="10"/>
        <v>4902123720</v>
      </c>
      <c r="H243" s="122"/>
      <c r="I243" s="28"/>
      <c r="J243" s="28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  <c r="I244" s="28"/>
      <c r="J244" s="28"/>
    </row>
    <row r="246" spans="1:10" ht="19.5" customHeight="1">
      <c r="A246" s="11" t="str">
        <f>O12</f>
        <v>005011700568725000KD</v>
      </c>
      <c r="B246" s="11" t="str">
        <f>P12</f>
        <v>PN. Bitung</v>
      </c>
      <c r="C246" s="12" t="str">
        <f>A246&amp;" "&amp;B246</f>
        <v>005011700568725000KD PN. Bitung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3451500</v>
      </c>
      <c r="E249" s="25">
        <f>SUMIFS('Daftar Koreksi'!$H$5:$H$92,'Daftar Koreksi'!$D$5:$D$92,'1700'!A246,'Daftar Koreksi'!$G$5:$G$92,"Persediaan",'Daftar Koreksi'!$H$5:$H$92,"&gt;0")</f>
        <v>0</v>
      </c>
      <c r="F249" s="25">
        <f>SUMIFS('Daftar Koreksi'!$H$5:$H$92,'Daftar Koreksi'!$D$5:$D$92,'1700'!A246,'Daftar Koreksi'!$G$5:$G$92,"Persediaan",'Daftar Koreksi'!$H$5:$H$92,"&lt;0")-SUMIFS('Daftar Koreksi'!$H$5:$H$92,'Daftar Koreksi'!$D$5:$D$92,'1700'!A246,'Daftar Koreksi'!$G$5:$G$92,"Persediaan",'Daftar Koreksi'!$H$5:$H$92,"&lt;0")-SUMIFS('Daftar Koreksi'!$H$5:$H$92,'Daftar Koreksi'!$D$5:$D$92,'1700'!A246,'Daftar Koreksi'!$G$5:$G$92,"Persediaan",'Daftar Koreksi'!$H$5:$H$92,"&lt;0")</f>
        <v>0</v>
      </c>
      <c r="G249" s="17">
        <f>D249+E249-F249</f>
        <v>3451500</v>
      </c>
      <c r="H249" s="121" t="str">
        <f>IF(ISNA(VLOOKUP(A246,'Mutasi Neraca'!$A$3:$S$914,19,FALSE)),"-",VLOOKUP(A246,'Mutasi Neraca'!$A$3:$S$914,19,FALSE))</f>
        <v>TP Koreksi Hibah No. 16</v>
      </c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4121042750</v>
      </c>
      <c r="E250" s="25">
        <f>SUMIFS('Daftar Koreksi'!$H$5:$H$92,'Daftar Koreksi'!$D$5:$D$92,'1700'!A246,'Daftar Koreksi'!$G$5:$G$92,"Tanah",'Daftar Koreksi'!$H$5:$H$92,"&gt;0")</f>
        <v>0</v>
      </c>
      <c r="F250" s="25">
        <f>SUMIFS('Daftar Koreksi'!$H$5:$H$92,'Daftar Koreksi'!$D$5:$D$92,'1700'!A246,'Daftar Koreksi'!$G$5:$G$92,"Tanah",'Daftar Koreksi'!$H$5:$H$92,"&lt;0")-SUMIFS('Daftar Koreksi'!$H$5:$H$92,'Daftar Koreksi'!$D$5:$D$92,'1700'!A246,'Daftar Koreksi'!$G$5:$G$92,"Tanah",'Daftar Koreksi'!$H$5:$H$92,"&lt;0")-SUMIFS('Daftar Koreksi'!$H$5:$H$92,'Daftar Koreksi'!$D$5:$D$92,'1700'!A246,'Daftar Koreksi'!$G$5:$G$92,"Tanah",'Daftar Koreksi'!$H$5:$H$92,"&lt;0")</f>
        <v>0</v>
      </c>
      <c r="G250" s="17">
        <f t="shared" ref="G250:G266" si="11">D250+E250-F250</f>
        <v>4121042750</v>
      </c>
      <c r="H250" s="122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1400002515</v>
      </c>
      <c r="E251" s="25">
        <f>SUMIFS('Daftar Koreksi'!$H$5:$H$92,'Daftar Koreksi'!$D$5:$D$92,'1700'!A246,'Daftar Koreksi'!$G$5:$G$92,"Peralatan dan mesin",'Daftar Koreksi'!$H$5:$H$92,"&gt;0")</f>
        <v>3000000</v>
      </c>
      <c r="F251" s="25">
        <f>SUMIFS('Daftar Koreksi'!$H$5:$H$92,'Daftar Koreksi'!$D$5:$D$92,'1700'!A246,'Daftar Koreksi'!$G$5:$G$92,"Peralatan dan mesin",'Daftar Koreksi'!$H$5:$H$92,"&lt;0")-SUMIFS('Daftar Koreksi'!$H$5:$H$92,'Daftar Koreksi'!$D$5:$D$92,'1700'!A246,'Daftar Koreksi'!$G$5:$G$92,"Peralatan dan mesin",'Daftar Koreksi'!$H$5:$H$92,"&lt;0")-SUMIFS('Daftar Koreksi'!$H$5:$H$92,'Daftar Koreksi'!$D$5:$D$92,'1700'!A246,'Daftar Koreksi'!$G$5:$G$92,"Peralatan dan mesin",'Daftar Koreksi'!$H$5:$H$92,"&lt;0")</f>
        <v>0</v>
      </c>
      <c r="G251" s="17">
        <f t="shared" si="11"/>
        <v>1403002515</v>
      </c>
      <c r="H251" s="122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4617143500</v>
      </c>
      <c r="E252" s="25">
        <f>SUMIFS('Daftar Koreksi'!$H$5:$H$92,'Daftar Koreksi'!$D$5:$D$92,'1700'!A246,'Daftar Koreksi'!$G$5:$G$92,"Gedung dan Bangunan",'Daftar Koreksi'!$H$5:$H$92,"&gt;0")</f>
        <v>0</v>
      </c>
      <c r="F252" s="25">
        <f>SUMIFS('Daftar Koreksi'!$H$5:$H$92,'Daftar Koreksi'!$D$5:$D$92,'1700'!A246,'Daftar Koreksi'!$G$5:$G$92,"Gedung dan Bangunan",'Daftar Koreksi'!$H$5:$H$92,"&lt;0")-SUMIFS('Daftar Koreksi'!$H$5:$H$92,'Daftar Koreksi'!$D$5:$D$92,'1700'!A246,'Daftar Koreksi'!$G$5:$G$92,"Gedung dan Bangunan",'Daftar Koreksi'!$H$5:$H$92,"&lt;0")-SUMIFS('Daftar Koreksi'!$H$5:$H$92,'Daftar Koreksi'!$D$5:$D$92,'1700'!A246,'Daftar Koreksi'!$G$5:$G$92,"Gedung dan Bangunan",'Daftar Koreksi'!$H$5:$H$92,"&lt;0")</f>
        <v>0</v>
      </c>
      <c r="G252" s="17">
        <f t="shared" si="11"/>
        <v>4617143500</v>
      </c>
      <c r="H252" s="122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Koreksi'!$D$5:$D$92,'1700'!A246,'Daftar Koreksi'!$G$5:$G$92,"Jalan Irigasi Jaringan",'Daftar Koreksi'!$H$5:$H$92,"&gt;0")</f>
        <v>0</v>
      </c>
      <c r="F253" s="25">
        <f>SUMIFS('Daftar Koreksi'!$H$5:$H$92,'Daftar Koreksi'!$D$5:$D$92,'1700'!A246,'Daftar Koreksi'!$G$5:$G$92,"Jalan Irigasi Jaringan",'Daftar Koreksi'!$H$5:$H$92,"&lt;0")-SUMIFS('Daftar Koreksi'!$H$5:$H$92,'Daftar Koreksi'!$D$5:$D$92,'1700'!A246,'Daftar Koreksi'!$G$5:$G$92,"Jalan Irigasi Jaringan",'Daftar Koreksi'!$H$5:$H$92,"&lt;0")-SUMIFS('Daftar Koreksi'!$H$5:$H$92,'Daftar Koreksi'!$D$5:$D$92,'1700'!A246,'Daftar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6780439</v>
      </c>
      <c r="E254" s="25">
        <f>SUMIFS('Daftar Koreksi'!$H$5:$H$92,'Daftar Koreksi'!$D$5:$D$92,'1700'!A246,'Daftar Koreksi'!$G$5:$G$92,"Aset Tetap Lainnya",'Daftar Koreksi'!$H$5:$H$92,"&gt;0")</f>
        <v>0</v>
      </c>
      <c r="F254" s="25">
        <f>SUMIFS('Daftar Koreksi'!$H$5:$H$92,'Daftar Koreksi'!$D$5:$D$92,'1700'!A246,'Daftar Koreksi'!$G$5:$G$92,"Aset Tetap Lainnya",'Daftar Koreksi'!$H$5:$H$92,"&lt;0")-SUMIFS('Daftar Koreksi'!$H$5:$H$92,'Daftar Koreksi'!$D$5:$D$92,'1700'!A246,'Daftar Koreksi'!$G$5:$G$92,"Aset Tetap Lainnya",'Daftar Koreksi'!$H$5:$H$92,"&lt;0")-SUMIFS('Daftar Koreksi'!$H$5:$H$92,'Daftar Koreksi'!$D$5:$D$92,'1700'!A246,'Daftar Koreksi'!$G$5:$G$92,"Aset Tetap Lainnya",'Daftar Koreksi'!$H$5:$H$92,"&lt;0")</f>
        <v>0</v>
      </c>
      <c r="G254" s="17">
        <f t="shared" si="11"/>
        <v>6780439</v>
      </c>
      <c r="H254" s="122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Koreksi'!$D$5:$D$92,'1700'!A246,'Daftar Koreksi'!$G$5:$G$92,"Kontruksi Dalam Pengerjaan",'Daftar Koreksi'!$H$5:$H$92,"&gt;0")</f>
        <v>0</v>
      </c>
      <c r="F255" s="25">
        <f>SUMIFS('Daftar Koreksi'!$H$5:$H$92,'Daftar Koreksi'!$D$5:$D$92,'1700'!A246,'Daftar Koreksi'!$G$5:$G$92,"Kontruksi Dalam Pengerjaan",'Daftar Koreksi'!$H$5:$H$92,"&lt;0")-SUMIFS('Daftar Koreksi'!$H$5:$H$92,'Daftar Koreksi'!$D$5:$D$92,'1700'!A246,'Daftar Koreksi'!$G$5:$G$92,"Kontruksi Dalam Pengerjaan",'Daftar Koreksi'!$H$5:$H$92,"&lt;0")-SUMIFS('Daftar Koreksi'!$H$5:$H$92,'Daftar Koreksi'!$D$5:$D$92,'1700'!A246,'Daftar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Koreksi'!$D$5:$D$92,'1700'!A246,'Daftar Koreksi'!$G$5:$G$92,"Aset Tak Berwujud",'Daftar Koreksi'!$H$5:$H$92,"&gt;0")</f>
        <v>0</v>
      </c>
      <c r="F256" s="25">
        <f>SUMIFS('Daftar Koreksi'!$H$5:$H$92,'Daftar Koreksi'!$D$5:$D$92,'1700'!A246,'Daftar Koreksi'!$G$5:$G$92,"Aset Tak Berwujud",'Daftar Koreksi'!$H$5:$H$92,"&lt;0")-SUMIFS('Daftar Koreksi'!$H$5:$H$92,'Daftar Koreksi'!$D$5:$D$92,'1700'!A246,'Daftar Koreksi'!$G$5:$G$92,"Aset Tak Berwujud",'Daftar Koreksi'!$H$5:$H$92,"&lt;0")-SUMIFS('Daftar Koreksi'!$H$5:$H$92,'Daftar Koreksi'!$D$5:$D$92,'1700'!A246,'Daftar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Koreksi'!$D$5:$D$92,'1700'!A246,'Daftar Koreksi'!$G$5:$G$92,"Aset Henti Guna",'Daftar Koreksi'!$H$5:$H$92,"&gt;0")</f>
        <v>0</v>
      </c>
      <c r="F257" s="25">
        <f>SUMIFS('Daftar Koreksi'!$H$5:$H$92,'Daftar Koreksi'!$D$5:$D$92,'1700'!A246,'Daftar Koreksi'!$G$5:$G$92,"Aset Henti Guna",'Daftar Koreksi'!$H$5:$H$92,"&lt;0")-SUMIFS('Daftar Koreksi'!$H$5:$H$92,'Daftar Koreksi'!$D$5:$D$92,'1700'!A246,'Daftar Koreksi'!$G$5:$G$92,"Aset Henti Guna",'Daftar Koreksi'!$H$5:$H$92,"&lt;0")-SUMIFS('Daftar Koreksi'!$H$5:$H$92,'Daftar Koreksi'!$D$5:$D$92,'1700'!A246,'Daftar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10148420704</v>
      </c>
      <c r="E258" s="19">
        <f>SUM(E249:E257)</f>
        <v>3000000</v>
      </c>
      <c r="F258" s="19">
        <f>SUM(F249:F257)</f>
        <v>0</v>
      </c>
      <c r="G258" s="19">
        <f t="shared" si="11"/>
        <v>10151420704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-1282183979</v>
      </c>
      <c r="E259" s="25">
        <f>SUMIFS('Daftar Koreksi'!$I$5:$I$92,'Daftar Koreksi'!$D$5:$D$92,'1700'!A246,'Daftar Koreksi'!$G$5:$G$92,"Peralatan dan mesin",'Daftar Koreksi'!$I$5:$I$92,"&gt;0")</f>
        <v>0</v>
      </c>
      <c r="F259" s="25">
        <f>SUMIFS('Daftar Koreksi'!$I$5:$I$92,'Daftar Koreksi'!$D$5:$D$92,'1700'!A246,'Daftar Koreksi'!$G$5:$G$92,"Peralatan dan mesin",'Daftar Koreksi'!$I$5:$I$92,"&lt;0")-SUMIFS('Daftar Koreksi'!$I$5:$I$92,'Daftar Koreksi'!$D$5:$D$92,'1700'!A246,'Daftar Koreksi'!$G$5:$G$92,"Peralatan dan mesin",'Daftar Koreksi'!$I$5:$I$92,"&lt;0")-SUMIFS('Daftar Koreksi'!$I$5:$I$92,'Daftar Koreksi'!$D$5:$D$92,'1700'!A246,'Daftar Koreksi'!$G$5:$G$92,"Peralatan dan mesin",'Daftar Koreksi'!$I$5:$I$92,"&lt;0")</f>
        <v>300000</v>
      </c>
      <c r="G259" s="17">
        <f t="shared" si="11"/>
        <v>-1282483979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-1801387100</v>
      </c>
      <c r="E260" s="25">
        <f>SUMIFS('Daftar Koreksi'!$I$5:$I$92,'Daftar Koreksi'!$D$5:$D$92,'1700'!A246,'Daftar Koreksi'!$G$5:$G$92,"Gedung dan Bangunan",'Daftar Koreksi'!$I$5:$I$92,"&gt;0")</f>
        <v>0</v>
      </c>
      <c r="F260" s="25">
        <f>SUMIFS('Daftar Koreksi'!$I$5:$I$92,'Daftar Koreksi'!$D$5:$D$92,'1700'!A246,'Daftar Koreksi'!$G$5:$G$92,"Gedung dan Bangunan",'Daftar Koreksi'!$I$5:$I$92,"&lt;0")-SUMIFS('Daftar Koreksi'!$I$5:$I$92,'Daftar Koreksi'!$D$5:$D$92,'1700'!A246,'Daftar Koreksi'!$G$5:$G$92,"Gedung dan Bangunan",'Daftar Koreksi'!$I$5:$I$92,"&lt;0")-SUMIFS('Daftar Koreksi'!$I$5:$I$92,'Daftar Koreksi'!$D$5:$D$92,'1700'!A246,'Daftar Koreksi'!$G$5:$G$92,"Gedung dan Bangunan",'Daftar Koreksi'!$I$5:$I$92,"&lt;0")</f>
        <v>0</v>
      </c>
      <c r="G260" s="17">
        <f t="shared" si="11"/>
        <v>-1801387100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Koreksi'!$D$5:$D$92,'1700'!A246,'Daftar Koreksi'!$G$5:$G$92,"Jalan Irigasi Jaringan",'Daftar Koreksi'!$I$5:$I$92,"&gt;0")</f>
        <v>0</v>
      </c>
      <c r="F261" s="25">
        <f>SUMIFS('Daftar Koreksi'!$I$5:$I$92,'Daftar Koreksi'!$D$5:$D$92,'1700'!A246,'Daftar Koreksi'!$G$5:$G$92,"Jalan Irigasi Jaringan",'Daftar Koreksi'!$I$5:$I$92,"&lt;0")-SUMIFS('Daftar Koreksi'!$I$5:$I$92,'Daftar Koreksi'!$D$5:$D$92,'1700'!A246,'Daftar Koreksi'!$G$5:$G$92,"Jalan Irigasi Jaringan",'Daftar Koreksi'!$I$5:$I$92,"&lt;0")-SUMIFS('Daftar Koreksi'!$I$5:$I$92,'Daftar Koreksi'!$D$5:$D$92,'1700'!A246,'Daftar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Koreksi'!$D$5:$D$92,'1700'!A246,'Daftar Koreksi'!$G$5:$G$92,"Aset Tetap Lainnya",'Daftar Koreksi'!$I$5:$I$92,"&gt;0")</f>
        <v>0</v>
      </c>
      <c r="F262" s="25">
        <f>SUMIFS('Daftar Koreksi'!$I$5:$I$92,'Daftar Koreksi'!$D$5:$D$92,'1700'!A246,'Daftar Koreksi'!$G$5:$G$92,"Aset Tetap Lainnya",'Daftar Koreksi'!$I$5:$I$92,"&lt;0")-SUMIFS('Daftar Koreksi'!$I$5:$I$92,'Daftar Koreksi'!$D$5:$D$92,'1700'!A246,'Daftar Koreksi'!$G$5:$G$92,"Aset Tetap Lainnya",'Daftar Koreksi'!$I$5:$I$92,"&lt;0")-SUMIFS('Daftar Koreksi'!$I$5:$I$92,'Daftar Koreksi'!$D$5:$D$92,'1700'!A246,'Daftar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Koreksi'!$D$5:$D$92,'1700'!A246,'Daftar Koreksi'!$G$5:$G$92,"Aset Henti Guna",'Daftar Koreksi'!$I$5:$I$92,"&gt;0")</f>
        <v>0</v>
      </c>
      <c r="F263" s="25">
        <f>SUMIFS('Daftar Koreksi'!$I$5:$I$92,'Daftar Koreksi'!$D$5:$D$92,'1700'!A246,'Daftar Koreksi'!$G$5:$G$92,"Aset Henti Guna",'Daftar Koreksi'!$I$5:$I$92,"&lt;0")-SUMIFS('Daftar Koreksi'!$I$5:$I$92,'Daftar Koreksi'!$D$5:$D$92,'1700'!A246,'Daftar Koreksi'!$G$5:$G$92,"Aset Henti Guna",'Daftar Koreksi'!$I$5:$I$92,"&lt;0")-SUMIFS('Daftar Koreksi'!$I$5:$I$92,'Daftar Koreksi'!$D$5:$D$92,'1700'!A246,'Daftar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-3083571079</v>
      </c>
      <c r="E264" s="19">
        <f>SUM(E259:E263)</f>
        <v>0</v>
      </c>
      <c r="F264" s="19">
        <f>SUM(F259:F263)</f>
        <v>300000</v>
      </c>
      <c r="G264" s="19">
        <f t="shared" si="11"/>
        <v>-3083871079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7064849625</v>
      </c>
      <c r="E265" s="19">
        <f>E264+E258</f>
        <v>3000000</v>
      </c>
      <c r="F265" s="19">
        <f>F264+F258</f>
        <v>300000</v>
      </c>
      <c r="G265" s="19">
        <f t="shared" si="11"/>
        <v>7067549625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005011700604751000KD</v>
      </c>
      <c r="B268" s="11" t="str">
        <f>P13</f>
        <v>PA. Bitung</v>
      </c>
      <c r="C268" s="12" t="str">
        <f>A268&amp;" "&amp;B268</f>
        <v>005011700604751000KD PA. Bitung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609700</v>
      </c>
      <c r="E271" s="25">
        <f>SUMIFS('Daftar Koreksi'!$H$5:$H$92,'Daftar Koreksi'!$D$5:$D$92,'1700'!A268,'Daftar Koreksi'!$G$5:$G$92,"Persediaan",'Daftar Koreksi'!$H$5:$H$92,"&gt;0")</f>
        <v>0</v>
      </c>
      <c r="F271" s="25">
        <f>SUMIFS('Daftar Koreksi'!$H$5:$H$92,'Daftar Koreksi'!$D$5:$D$92,'1700'!A268,'Daftar Koreksi'!$G$5:$G$92,"Persediaan",'Daftar Koreksi'!$H$5:$H$92,"&lt;0")-SUMIFS('Daftar Koreksi'!$H$5:$H$92,'Daftar Koreksi'!$D$5:$D$92,'1700'!A268,'Daftar Koreksi'!$G$5:$G$92,"Persediaan",'Daftar Koreksi'!$H$5:$H$92,"&lt;0")-SUMIFS('Daftar Koreksi'!$H$5:$H$92,'Daftar Koreksi'!$D$5:$D$92,'1700'!A268,'Daftar Koreksi'!$G$5:$G$92,"Persediaan",'Daftar Koreksi'!$H$5:$H$92,"&lt;0")</f>
        <v>0</v>
      </c>
      <c r="G271" s="17">
        <f>D271+E271-F271</f>
        <v>609700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3505120000</v>
      </c>
      <c r="E272" s="25">
        <f>SUMIFS('Daftar Koreksi'!$H$5:$H$92,'Daftar Koreksi'!$D$5:$D$92,'1700'!A268,'Daftar Koreksi'!$G$5:$G$92,"Tanah",'Daftar Koreksi'!$H$5:$H$92,"&gt;0")</f>
        <v>0</v>
      </c>
      <c r="F272" s="25">
        <f>SUMIFS('Daftar Koreksi'!$H$5:$H$92,'Daftar Koreksi'!$D$5:$D$92,'1700'!A268,'Daftar Koreksi'!$G$5:$G$92,"Tanah",'Daftar Koreksi'!$H$5:$H$92,"&lt;0")-SUMIFS('Daftar Koreksi'!$H$5:$H$92,'Daftar Koreksi'!$D$5:$D$92,'1700'!A268,'Daftar Koreksi'!$G$5:$G$92,"Tanah",'Daftar Koreksi'!$H$5:$H$92,"&lt;0")-SUMIFS('Daftar Koreksi'!$H$5:$H$92,'Daftar Koreksi'!$D$5:$D$92,'1700'!A268,'Daftar Koreksi'!$G$5:$G$92,"Tanah",'Daftar Koreksi'!$H$5:$H$92,"&lt;0")</f>
        <v>0</v>
      </c>
      <c r="G272" s="17">
        <f t="shared" ref="G272:G288" si="12">D272+E272-F272</f>
        <v>3505120000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1278929926</v>
      </c>
      <c r="E273" s="25">
        <f>SUMIFS('Daftar Koreksi'!$H$5:$H$92,'Daftar Koreksi'!$D$5:$D$92,'1700'!A268,'Daftar Koreksi'!$G$5:$G$92,"Peralatan dan mesin",'Daftar Koreksi'!$H$5:$H$92,"&gt;0")</f>
        <v>0</v>
      </c>
      <c r="F273" s="25">
        <f>SUMIFS('Daftar Koreksi'!$H$5:$H$92,'Daftar Koreksi'!$D$5:$D$92,'1700'!A268,'Daftar Koreksi'!$G$5:$G$92,"Peralatan dan mesin",'Daftar Koreksi'!$H$5:$H$92,"&lt;0")-SUMIFS('Daftar Koreksi'!$H$5:$H$92,'Daftar Koreksi'!$D$5:$D$92,'1700'!A268,'Daftar Koreksi'!$G$5:$G$92,"Peralatan dan mesin",'Daftar Koreksi'!$H$5:$H$92,"&lt;0")-SUMIFS('Daftar Koreksi'!$H$5:$H$92,'Daftar Koreksi'!$D$5:$D$92,'1700'!A268,'Daftar Koreksi'!$G$5:$G$92,"Peralatan dan mesin",'Daftar Koreksi'!$H$5:$H$92,"&lt;0")</f>
        <v>0</v>
      </c>
      <c r="G273" s="17">
        <f t="shared" si="12"/>
        <v>1278929926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2342750100</v>
      </c>
      <c r="E274" s="25">
        <f>SUMIFS('Daftar Koreksi'!$H$5:$H$92,'Daftar Koreksi'!$D$5:$D$92,'1700'!A268,'Daftar Koreksi'!$G$5:$G$92,"Gedung dan Bangunan",'Daftar Koreksi'!$H$5:$H$92,"&gt;0")</f>
        <v>0</v>
      </c>
      <c r="F274" s="25">
        <f>SUMIFS('Daftar Koreksi'!$H$5:$H$92,'Daftar Koreksi'!$D$5:$D$92,'1700'!A268,'Daftar Koreksi'!$G$5:$G$92,"Gedung dan Bangunan",'Daftar Koreksi'!$H$5:$H$92,"&lt;0")-SUMIFS('Daftar Koreksi'!$H$5:$H$92,'Daftar Koreksi'!$D$5:$D$92,'1700'!A268,'Daftar Koreksi'!$G$5:$G$92,"Gedung dan Bangunan",'Daftar Koreksi'!$H$5:$H$92,"&lt;0")-SUMIFS('Daftar Koreksi'!$H$5:$H$92,'Daftar Koreksi'!$D$5:$D$92,'1700'!A268,'Daftar Koreksi'!$G$5:$G$92,"Gedung dan Bangunan",'Daftar Koreksi'!$H$5:$H$92,"&lt;0")</f>
        <v>0</v>
      </c>
      <c r="G274" s="17">
        <f t="shared" si="12"/>
        <v>2342750100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Koreksi'!$D$5:$D$92,'1700'!A268,'Daftar Koreksi'!$G$5:$G$92,"Jalan Irigasi Jaringan",'Daftar Koreksi'!$H$5:$H$92,"&gt;0")</f>
        <v>0</v>
      </c>
      <c r="F275" s="25">
        <f>SUMIFS('Daftar Koreksi'!$H$5:$H$92,'Daftar Koreksi'!$D$5:$D$92,'1700'!A268,'Daftar Koreksi'!$G$5:$G$92,"Jalan Irigasi Jaringan",'Daftar Koreksi'!$H$5:$H$92,"&lt;0")-SUMIFS('Daftar Koreksi'!$H$5:$H$92,'Daftar Koreksi'!$D$5:$D$92,'1700'!A268,'Daftar Koreksi'!$G$5:$G$92,"Jalan Irigasi Jaringan",'Daftar Koreksi'!$H$5:$H$92,"&lt;0")-SUMIFS('Daftar Koreksi'!$H$5:$H$92,'Daftar Koreksi'!$D$5:$D$92,'1700'!A268,'Daftar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6132800</v>
      </c>
      <c r="E276" s="25">
        <f>SUMIFS('Daftar Koreksi'!$H$5:$H$92,'Daftar Koreksi'!$D$5:$D$92,'1700'!A268,'Daftar Koreksi'!$G$5:$G$92,"Aset Tetap Lainnya",'Daftar Koreksi'!$H$5:$H$92,"&gt;0")</f>
        <v>0</v>
      </c>
      <c r="F276" s="25">
        <f>SUMIFS('Daftar Koreksi'!$H$5:$H$92,'Daftar Koreksi'!$D$5:$D$92,'1700'!A268,'Daftar Koreksi'!$G$5:$G$92,"Aset Tetap Lainnya",'Daftar Koreksi'!$H$5:$H$92,"&lt;0")-SUMIFS('Daftar Koreksi'!$H$5:$H$92,'Daftar Koreksi'!$D$5:$D$92,'1700'!A268,'Daftar Koreksi'!$G$5:$G$92,"Aset Tetap Lainnya",'Daftar Koreksi'!$H$5:$H$92,"&lt;0")-SUMIFS('Daftar Koreksi'!$H$5:$H$92,'Daftar Koreksi'!$D$5:$D$92,'1700'!A268,'Daftar Koreksi'!$G$5:$G$92,"Aset Tetap Lainnya",'Daftar Koreksi'!$H$5:$H$92,"&lt;0")</f>
        <v>0</v>
      </c>
      <c r="G276" s="17">
        <f t="shared" si="12"/>
        <v>6132800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Koreksi'!$D$5:$D$92,'1700'!A268,'Daftar Koreksi'!$G$5:$G$92,"Kontruksi Dalam Pengerjaan",'Daftar Koreksi'!$H$5:$H$92,"&gt;0")</f>
        <v>0</v>
      </c>
      <c r="F277" s="25">
        <f>SUMIFS('Daftar Koreksi'!$H$5:$H$92,'Daftar Koreksi'!$D$5:$D$92,'1700'!A268,'Daftar Koreksi'!$G$5:$G$92,"Kontruksi Dalam Pengerjaan",'Daftar Koreksi'!$H$5:$H$92,"&lt;0")-SUMIFS('Daftar Koreksi'!$H$5:$H$92,'Daftar Koreksi'!$D$5:$D$92,'1700'!A268,'Daftar Koreksi'!$G$5:$G$92,"Kontruksi Dalam Pengerjaan",'Daftar Koreksi'!$H$5:$H$92,"&lt;0")-SUMIFS('Daftar Koreksi'!$H$5:$H$92,'Daftar Koreksi'!$D$5:$D$92,'1700'!A268,'Daftar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Koreksi'!$D$5:$D$92,'1700'!A268,'Daftar Koreksi'!$G$5:$G$92,"Aset Tak Berwujud",'Daftar Koreksi'!$H$5:$H$92,"&gt;0")</f>
        <v>0</v>
      </c>
      <c r="F278" s="25">
        <f>SUMIFS('Daftar Koreksi'!$H$5:$H$92,'Daftar Koreksi'!$D$5:$D$92,'1700'!A268,'Daftar Koreksi'!$G$5:$G$92,"Aset Tak Berwujud",'Daftar Koreksi'!$H$5:$H$92,"&lt;0")-SUMIFS('Daftar Koreksi'!$H$5:$H$92,'Daftar Koreksi'!$D$5:$D$92,'1700'!A268,'Daftar Koreksi'!$G$5:$G$92,"Aset Tak Berwujud",'Daftar Koreksi'!$H$5:$H$92,"&lt;0")-SUMIFS('Daftar Koreksi'!$H$5:$H$92,'Daftar Koreksi'!$D$5:$D$92,'1700'!A268,'Daftar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7750000</v>
      </c>
      <c r="E279" s="25">
        <f>SUMIFS('Daftar Koreksi'!$H$5:$H$92,'Daftar Koreksi'!$D$5:$D$92,'1700'!A268,'Daftar Koreksi'!$G$5:$G$92,"Aset Henti Guna",'Daftar Koreksi'!$H$5:$H$92,"&gt;0")</f>
        <v>0</v>
      </c>
      <c r="F279" s="25">
        <f>SUMIFS('Daftar Koreksi'!$H$5:$H$92,'Daftar Koreksi'!$D$5:$D$92,'1700'!A268,'Daftar Koreksi'!$G$5:$G$92,"Aset Henti Guna",'Daftar Koreksi'!$H$5:$H$92,"&lt;0")-SUMIFS('Daftar Koreksi'!$H$5:$H$92,'Daftar Koreksi'!$D$5:$D$92,'1700'!A268,'Daftar Koreksi'!$G$5:$G$92,"Aset Henti Guna",'Daftar Koreksi'!$H$5:$H$92,"&lt;0")-SUMIFS('Daftar Koreksi'!$H$5:$H$92,'Daftar Koreksi'!$D$5:$D$92,'1700'!A268,'Daftar Koreksi'!$G$5:$G$92,"Aset Henti Guna",'Daftar Koreksi'!$H$5:$H$92,"&lt;0")</f>
        <v>0</v>
      </c>
      <c r="G279" s="17">
        <f t="shared" si="12"/>
        <v>7750000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7141292526</v>
      </c>
      <c r="E280" s="19">
        <f>SUM(E271:E279)</f>
        <v>0</v>
      </c>
      <c r="F280" s="19">
        <f>SUM(F271:F279)</f>
        <v>0</v>
      </c>
      <c r="G280" s="19">
        <f t="shared" si="12"/>
        <v>7141292526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-1115263067</v>
      </c>
      <c r="E281" s="25">
        <f>SUMIFS('Daftar Koreksi'!$I$5:$I$92,'Daftar Koreksi'!$D$5:$D$92,'1700'!A268,'Daftar Koreksi'!$G$5:$G$92,"Peralatan dan mesin",'Daftar Koreksi'!$I$5:$I$92,"&gt;0")</f>
        <v>0</v>
      </c>
      <c r="F281" s="25">
        <f>SUMIFS('Daftar Koreksi'!$I$5:$I$92,'Daftar Koreksi'!$D$5:$D$92,'1700'!A268,'Daftar Koreksi'!$G$5:$G$92,"Peralatan dan mesin",'Daftar Koreksi'!$I$5:$I$92,"&lt;0")-SUMIFS('Daftar Koreksi'!$I$5:$I$92,'Daftar Koreksi'!$D$5:$D$92,'1700'!A268,'Daftar Koreksi'!$G$5:$G$92,"Peralatan dan mesin",'Daftar Koreksi'!$I$5:$I$92,"&lt;0")-SUMIFS('Daftar Koreksi'!$I$5:$I$92,'Daftar Koreksi'!$D$5:$D$92,'1700'!A268,'Daftar Koreksi'!$G$5:$G$92,"Peralatan dan mesin",'Daftar Koreksi'!$I$5:$I$92,"&lt;0")</f>
        <v>0</v>
      </c>
      <c r="G281" s="17">
        <f t="shared" si="12"/>
        <v>-1115263067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-530125008</v>
      </c>
      <c r="E282" s="25">
        <f>SUMIFS('Daftar Koreksi'!$I$5:$I$92,'Daftar Koreksi'!$D$5:$D$92,'1700'!A268,'Daftar Koreksi'!$G$5:$G$92,"Gedung dan Bangunan",'Daftar Koreksi'!$I$5:$I$92,"&gt;0")</f>
        <v>0</v>
      </c>
      <c r="F282" s="25">
        <f>SUMIFS('Daftar Koreksi'!$I$5:$I$92,'Daftar Koreksi'!$D$5:$D$92,'1700'!A268,'Daftar Koreksi'!$G$5:$G$92,"Gedung dan Bangunan",'Daftar Koreksi'!$I$5:$I$92,"&lt;0")-SUMIFS('Daftar Koreksi'!$I$5:$I$92,'Daftar Koreksi'!$D$5:$D$92,'1700'!A268,'Daftar Koreksi'!$G$5:$G$92,"Gedung dan Bangunan",'Daftar Koreksi'!$I$5:$I$92,"&lt;0")-SUMIFS('Daftar Koreksi'!$I$5:$I$92,'Daftar Koreksi'!$D$5:$D$92,'1700'!A268,'Daftar Koreksi'!$G$5:$G$92,"Gedung dan Bangunan",'Daftar Koreksi'!$I$5:$I$92,"&lt;0")</f>
        <v>0</v>
      </c>
      <c r="G282" s="17">
        <f t="shared" si="12"/>
        <v>-530125008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Koreksi'!$D$5:$D$92,'1700'!A268,'Daftar Koreksi'!$G$5:$G$92,"Jalan Irigasi Jaringan",'Daftar Koreksi'!$I$5:$I$92,"&gt;0")</f>
        <v>0</v>
      </c>
      <c r="F283" s="25">
        <f>SUMIFS('Daftar Koreksi'!$I$5:$I$92,'Daftar Koreksi'!$D$5:$D$92,'1700'!A268,'Daftar Koreksi'!$G$5:$G$92,"Jalan Irigasi Jaringan",'Daftar Koreksi'!$I$5:$I$92,"&lt;0")-SUMIFS('Daftar Koreksi'!$I$5:$I$92,'Daftar Koreksi'!$D$5:$D$92,'1700'!A268,'Daftar Koreksi'!$G$5:$G$92,"Jalan Irigasi Jaringan",'Daftar Koreksi'!$I$5:$I$92,"&lt;0")-SUMIFS('Daftar Koreksi'!$I$5:$I$92,'Daftar Koreksi'!$D$5:$D$92,'1700'!A268,'Daftar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Koreksi'!$D$5:$D$92,'1700'!A268,'Daftar Koreksi'!$G$5:$G$92,"Aset Tetap Lainnya",'Daftar Koreksi'!$I$5:$I$92,"&gt;0")</f>
        <v>0</v>
      </c>
      <c r="F284" s="25">
        <f>SUMIFS('Daftar Koreksi'!$I$5:$I$92,'Daftar Koreksi'!$D$5:$D$92,'1700'!A268,'Daftar Koreksi'!$G$5:$G$92,"Aset Tetap Lainnya",'Daftar Koreksi'!$I$5:$I$92,"&lt;0")-SUMIFS('Daftar Koreksi'!$I$5:$I$92,'Daftar Koreksi'!$D$5:$D$92,'1700'!A268,'Daftar Koreksi'!$G$5:$G$92,"Aset Tetap Lainnya",'Daftar Koreksi'!$I$5:$I$92,"&lt;0")-SUMIFS('Daftar Koreksi'!$I$5:$I$92,'Daftar Koreksi'!$D$5:$D$92,'1700'!A268,'Daftar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-7750000</v>
      </c>
      <c r="E285" s="25">
        <f>SUMIFS('Daftar Koreksi'!$I$5:$I$92,'Daftar Koreksi'!$D$5:$D$92,'1700'!A268,'Daftar Koreksi'!$G$5:$G$92,"Aset Henti Guna",'Daftar Koreksi'!$I$5:$I$92,"&gt;0")</f>
        <v>0</v>
      </c>
      <c r="F285" s="25">
        <f>SUMIFS('Daftar Koreksi'!$I$5:$I$92,'Daftar Koreksi'!$D$5:$D$92,'1700'!A268,'Daftar Koreksi'!$G$5:$G$92,"Aset Henti Guna",'Daftar Koreksi'!$I$5:$I$92,"&lt;0")-SUMIFS('Daftar Koreksi'!$I$5:$I$92,'Daftar Koreksi'!$D$5:$D$92,'1700'!A268,'Daftar Koreksi'!$G$5:$G$92,"Aset Henti Guna",'Daftar Koreksi'!$I$5:$I$92,"&lt;0")-SUMIFS('Daftar Koreksi'!$I$5:$I$92,'Daftar Koreksi'!$D$5:$D$92,'1700'!A268,'Daftar Koreksi'!$G$5:$G$92,"Aset Henti Guna",'Daftar Koreksi'!$I$5:$I$92,"&lt;0")</f>
        <v>0</v>
      </c>
      <c r="G285" s="17">
        <f t="shared" si="12"/>
        <v>-7750000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-1653138075</v>
      </c>
      <c r="E286" s="19">
        <f>SUM(E281:E285)</f>
        <v>0</v>
      </c>
      <c r="F286" s="19">
        <f>SUM(F281:F285)</f>
        <v>0</v>
      </c>
      <c r="G286" s="19">
        <f t="shared" si="12"/>
        <v>-1653138075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5488154451</v>
      </c>
      <c r="E287" s="19">
        <f>E286+E280</f>
        <v>0</v>
      </c>
      <c r="F287" s="19">
        <f>F286+F280</f>
        <v>0</v>
      </c>
      <c r="G287" s="19">
        <f t="shared" si="12"/>
        <v>5488154451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005011700663360000KD</v>
      </c>
      <c r="B290" s="11" t="str">
        <f>P14</f>
        <v>DILMIL.  III - 17 di Manado</v>
      </c>
      <c r="C290" s="12" t="str">
        <f>A290&amp;" "&amp;B290</f>
        <v>005011700663360000KD DILMIL.  III - 17 di Manado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0</v>
      </c>
      <c r="E293" s="25">
        <f>SUMIFS('Daftar Koreksi'!$H$5:$H$92,'Daftar Koreksi'!$D$5:$D$92,'1700'!A290,'Daftar Koreksi'!$G$5:$G$92,"Persediaan",'Daftar Koreksi'!$H$5:$H$92,"&gt;0")</f>
        <v>0</v>
      </c>
      <c r="F293" s="25">
        <f>SUMIFS('Daftar Koreksi'!$H$5:$H$92,'Daftar Koreksi'!$D$5:$D$92,'1700'!A290,'Daftar Koreksi'!$G$5:$G$92,"Persediaan",'Daftar Koreksi'!$H$5:$H$92,"&lt;0")-SUMIFS('Daftar Koreksi'!$H$5:$H$92,'Daftar Koreksi'!$D$5:$D$92,'1700'!A290,'Daftar Koreksi'!$G$5:$G$92,"Persediaan",'Daftar Koreksi'!$H$5:$H$92,"&lt;0")-SUMIFS('Daftar Koreksi'!$H$5:$H$92,'Daftar Koreksi'!$D$5:$D$92,'1700'!A290,'Daftar Koreksi'!$G$5:$G$92,"Persediaan",'Daftar Koreksi'!$H$5:$H$92,"&lt;0")</f>
        <v>0</v>
      </c>
      <c r="G293" s="17">
        <f>D293+E293-F293</f>
        <v>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949050000</v>
      </c>
      <c r="E294" s="25">
        <f>SUMIFS('Daftar Koreksi'!$H$5:$H$92,'Daftar Koreksi'!$D$5:$D$92,'1700'!A290,'Daftar Koreksi'!$G$5:$G$92,"Tanah",'Daftar Koreksi'!$H$5:$H$92,"&gt;0")</f>
        <v>0</v>
      </c>
      <c r="F294" s="25">
        <f>SUMIFS('Daftar Koreksi'!$H$5:$H$92,'Daftar Koreksi'!$D$5:$D$92,'1700'!A290,'Daftar Koreksi'!$G$5:$G$92,"Tanah",'Daftar Koreksi'!$H$5:$H$92,"&lt;0")-SUMIFS('Daftar Koreksi'!$H$5:$H$92,'Daftar Koreksi'!$D$5:$D$92,'1700'!A290,'Daftar Koreksi'!$G$5:$G$92,"Tanah",'Daftar Koreksi'!$H$5:$H$92,"&lt;0")-SUMIFS('Daftar Koreksi'!$H$5:$H$92,'Daftar Koreksi'!$D$5:$D$92,'1700'!A290,'Daftar Koreksi'!$G$5:$G$92,"Tanah",'Daftar Koreksi'!$H$5:$H$92,"&lt;0")</f>
        <v>0</v>
      </c>
      <c r="G294" s="17">
        <f t="shared" ref="G294:G310" si="13">D294+E294-F294</f>
        <v>949050000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1581921423</v>
      </c>
      <c r="E295" s="25">
        <f>SUMIFS('Daftar Koreksi'!$H$5:$H$92,'Daftar Koreksi'!$D$5:$D$92,'1700'!A290,'Daftar Koreksi'!$G$5:$G$92,"Peralatan dan mesin",'Daftar Koreksi'!$H$5:$H$92,"&gt;0")</f>
        <v>0</v>
      </c>
      <c r="F295" s="25">
        <f>SUMIFS('Daftar Koreksi'!$H$5:$H$92,'Daftar Koreksi'!$D$5:$D$92,'1700'!A290,'Daftar Koreksi'!$G$5:$G$92,"Peralatan dan mesin",'Daftar Koreksi'!$H$5:$H$92,"&lt;0")-SUMIFS('Daftar Koreksi'!$H$5:$H$92,'Daftar Koreksi'!$D$5:$D$92,'1700'!A290,'Daftar Koreksi'!$G$5:$G$92,"Peralatan dan mesin",'Daftar Koreksi'!$H$5:$H$92,"&lt;0")-SUMIFS('Daftar Koreksi'!$H$5:$H$92,'Daftar Koreksi'!$D$5:$D$92,'1700'!A290,'Daftar Koreksi'!$G$5:$G$92,"Peralatan dan mesin",'Daftar Koreksi'!$H$5:$H$92,"&lt;0")</f>
        <v>0</v>
      </c>
      <c r="G295" s="17">
        <f t="shared" si="13"/>
        <v>1581921423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0</v>
      </c>
      <c r="E296" s="25">
        <f>SUMIFS('Daftar Koreksi'!$H$5:$H$92,'Daftar Koreksi'!$D$5:$D$92,'1700'!A290,'Daftar Koreksi'!$G$5:$G$92,"Gedung dan Bangunan",'Daftar Koreksi'!$H$5:$H$92,"&gt;0")</f>
        <v>0</v>
      </c>
      <c r="F296" s="25">
        <f>SUMIFS('Daftar Koreksi'!$H$5:$H$92,'Daftar Koreksi'!$D$5:$D$92,'1700'!A290,'Daftar Koreksi'!$G$5:$G$92,"Gedung dan Bangunan",'Daftar Koreksi'!$H$5:$H$92,"&lt;0")-SUMIFS('Daftar Koreksi'!$H$5:$H$92,'Daftar Koreksi'!$D$5:$D$92,'1700'!A290,'Daftar Koreksi'!$G$5:$G$92,"Gedung dan Bangunan",'Daftar Koreksi'!$H$5:$H$92,"&lt;0")-SUMIFS('Daftar Koreksi'!$H$5:$H$92,'Daftar Koreksi'!$D$5:$D$92,'1700'!A290,'Daftar Koreksi'!$G$5:$G$92,"Gedung dan Bangunan",'Daftar Koreksi'!$H$5:$H$92,"&lt;0")</f>
        <v>0</v>
      </c>
      <c r="G296" s="17">
        <f t="shared" si="13"/>
        <v>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11110000</v>
      </c>
      <c r="E297" s="25">
        <f>SUMIFS('Daftar Koreksi'!$H$5:$H$92,'Daftar Koreksi'!$D$5:$D$92,'1700'!A290,'Daftar Koreksi'!$G$5:$G$92,"Jalan Irigasi Jaringan",'Daftar Koreksi'!$H$5:$H$92,"&gt;0")</f>
        <v>0</v>
      </c>
      <c r="F297" s="25">
        <f>SUMIFS('Daftar Koreksi'!$H$5:$H$92,'Daftar Koreksi'!$D$5:$D$92,'1700'!A290,'Daftar Koreksi'!$G$5:$G$92,"Jalan Irigasi Jaringan",'Daftar Koreksi'!$H$5:$H$92,"&lt;0")-SUMIFS('Daftar Koreksi'!$H$5:$H$92,'Daftar Koreksi'!$D$5:$D$92,'1700'!A290,'Daftar Koreksi'!$G$5:$G$92,"Jalan Irigasi Jaringan",'Daftar Koreksi'!$H$5:$H$92,"&lt;0")-SUMIFS('Daftar Koreksi'!$H$5:$H$92,'Daftar Koreksi'!$D$5:$D$92,'1700'!A290,'Daftar Koreksi'!$G$5:$G$92,"Jalan Irigasi Jaringan",'Daftar Koreksi'!$H$5:$H$92,"&lt;0")</f>
        <v>0</v>
      </c>
      <c r="G297" s="17">
        <f t="shared" si="13"/>
        <v>11110000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0</v>
      </c>
      <c r="E298" s="25">
        <f>SUMIFS('Daftar Koreksi'!$H$5:$H$92,'Daftar Koreksi'!$D$5:$D$92,'1700'!A290,'Daftar Koreksi'!$G$5:$G$92,"Aset Tetap Lainnya",'Daftar Koreksi'!$H$5:$H$92,"&gt;0")</f>
        <v>0</v>
      </c>
      <c r="F298" s="25">
        <f>SUMIFS('Daftar Koreksi'!$H$5:$H$92,'Daftar Koreksi'!$D$5:$D$92,'1700'!A290,'Daftar Koreksi'!$G$5:$G$92,"Aset Tetap Lainnya",'Daftar Koreksi'!$H$5:$H$92,"&lt;0")-SUMIFS('Daftar Koreksi'!$H$5:$H$92,'Daftar Koreksi'!$D$5:$D$92,'1700'!A290,'Daftar Koreksi'!$G$5:$G$92,"Aset Tetap Lainnya",'Daftar Koreksi'!$H$5:$H$92,"&lt;0")-SUMIFS('Daftar Koreksi'!$H$5:$H$92,'Daftar Koreksi'!$D$5:$D$92,'1700'!A290,'Daftar Koreksi'!$G$5:$G$92,"Aset Tetap Lainnya",'Daftar Koreksi'!$H$5:$H$92,"&lt;0")</f>
        <v>0</v>
      </c>
      <c r="G298" s="17">
        <f t="shared" si="13"/>
        <v>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Koreksi'!$D$5:$D$92,'1700'!A290,'Daftar Koreksi'!$G$5:$G$92,"Kontruksi Dalam Pengerjaan",'Daftar Koreksi'!$H$5:$H$92,"&gt;0")</f>
        <v>0</v>
      </c>
      <c r="F299" s="25">
        <f>SUMIFS('Daftar Koreksi'!$H$5:$H$92,'Daftar Koreksi'!$D$5:$D$92,'1700'!A290,'Daftar Koreksi'!$G$5:$G$92,"Kontruksi Dalam Pengerjaan",'Daftar Koreksi'!$H$5:$H$92,"&lt;0")-SUMIFS('Daftar Koreksi'!$H$5:$H$92,'Daftar Koreksi'!$D$5:$D$92,'1700'!A290,'Daftar Koreksi'!$G$5:$G$92,"Kontruksi Dalam Pengerjaan",'Daftar Koreksi'!$H$5:$H$92,"&lt;0")-SUMIFS('Daftar Koreksi'!$H$5:$H$92,'Daftar Koreksi'!$D$5:$D$92,'1700'!A290,'Daftar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108660000</v>
      </c>
      <c r="E300" s="25">
        <f>SUMIFS('Daftar Koreksi'!$H$5:$H$92,'Daftar Koreksi'!$D$5:$D$92,'1700'!A290,'Daftar Koreksi'!$G$5:$G$92,"Aset Tak Berwujud",'Daftar Koreksi'!$H$5:$H$92,"&gt;0")</f>
        <v>0</v>
      </c>
      <c r="F300" s="25">
        <f>SUMIFS('Daftar Koreksi'!$H$5:$H$92,'Daftar Koreksi'!$D$5:$D$92,'1700'!A290,'Daftar Koreksi'!$G$5:$G$92,"Aset Tak Berwujud",'Daftar Koreksi'!$H$5:$H$92,"&lt;0")-SUMIFS('Daftar Koreksi'!$H$5:$H$92,'Daftar Koreksi'!$D$5:$D$92,'1700'!A290,'Daftar Koreksi'!$G$5:$G$92,"Aset Tak Berwujud",'Daftar Koreksi'!$H$5:$H$92,"&lt;0")-SUMIFS('Daftar Koreksi'!$H$5:$H$92,'Daftar Koreksi'!$D$5:$D$92,'1700'!A290,'Daftar Koreksi'!$G$5:$G$92,"Aset Tak Berwujud",'Daftar Koreksi'!$H$5:$H$92,"&lt;0")</f>
        <v>0</v>
      </c>
      <c r="G300" s="17">
        <f t="shared" si="13"/>
        <v>108660000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76042000</v>
      </c>
      <c r="E301" s="25">
        <f>SUMIFS('Daftar Koreksi'!$H$5:$H$92,'Daftar Koreksi'!$D$5:$D$92,'1700'!A290,'Daftar Koreksi'!$G$5:$G$92,"Aset Henti Guna",'Daftar Koreksi'!$H$5:$H$92,"&gt;0")</f>
        <v>0</v>
      </c>
      <c r="F301" s="25">
        <f>SUMIFS('Daftar Koreksi'!$H$5:$H$92,'Daftar Koreksi'!$D$5:$D$92,'1700'!A290,'Daftar Koreksi'!$G$5:$G$92,"Aset Henti Guna",'Daftar Koreksi'!$H$5:$H$92,"&lt;0")-SUMIFS('Daftar Koreksi'!$H$5:$H$92,'Daftar Koreksi'!$D$5:$D$92,'1700'!A290,'Daftar Koreksi'!$G$5:$G$92,"Aset Henti Guna",'Daftar Koreksi'!$H$5:$H$92,"&lt;0")-SUMIFS('Daftar Koreksi'!$H$5:$H$92,'Daftar Koreksi'!$D$5:$D$92,'1700'!A290,'Daftar Koreksi'!$G$5:$G$92,"Aset Henti Guna",'Daftar Koreksi'!$H$5:$H$92,"&lt;0")</f>
        <v>0</v>
      </c>
      <c r="G301" s="17">
        <f t="shared" si="13"/>
        <v>76042000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2726783423</v>
      </c>
      <c r="E302" s="19">
        <f>SUM(E293:E301)</f>
        <v>0</v>
      </c>
      <c r="F302" s="19">
        <f>SUM(F293:F301)</f>
        <v>0</v>
      </c>
      <c r="G302" s="19">
        <f t="shared" si="13"/>
        <v>2726783423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-1416520758</v>
      </c>
      <c r="E303" s="25">
        <f>SUMIFS('Daftar Koreksi'!$I$5:$I$92,'Daftar Koreksi'!$D$5:$D$92,'1700'!A290,'Daftar Koreksi'!$G$5:$G$92,"Peralatan dan mesin",'Daftar Koreksi'!$I$5:$I$92,"&gt;0")</f>
        <v>0</v>
      </c>
      <c r="F303" s="25">
        <f>SUMIFS('Daftar Koreksi'!$I$5:$I$92,'Daftar Koreksi'!$D$5:$D$92,'1700'!A290,'Daftar Koreksi'!$G$5:$G$92,"Peralatan dan mesin",'Daftar Koreksi'!$I$5:$I$92,"&lt;0")-SUMIFS('Daftar Koreksi'!$I$5:$I$92,'Daftar Koreksi'!$D$5:$D$92,'1700'!A290,'Daftar Koreksi'!$G$5:$G$92,"Peralatan dan mesin",'Daftar Koreksi'!$I$5:$I$92,"&lt;0")-SUMIFS('Daftar Koreksi'!$I$5:$I$92,'Daftar Koreksi'!$D$5:$D$92,'1700'!A290,'Daftar Koreksi'!$G$5:$G$92,"Peralatan dan mesin",'Daftar Koreksi'!$I$5:$I$92,"&lt;0")</f>
        <v>0</v>
      </c>
      <c r="G303" s="17">
        <f t="shared" si="13"/>
        <v>-1416520758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0</v>
      </c>
      <c r="E304" s="25">
        <f>SUMIFS('Daftar Koreksi'!$I$5:$I$92,'Daftar Koreksi'!$D$5:$D$92,'1700'!A290,'Daftar Koreksi'!$G$5:$G$92,"Gedung dan Bangunan",'Daftar Koreksi'!$I$5:$I$92,"&gt;0")</f>
        <v>0</v>
      </c>
      <c r="F304" s="25">
        <f>SUMIFS('Daftar Koreksi'!$I$5:$I$92,'Daftar Koreksi'!$D$5:$D$92,'1700'!A290,'Daftar Koreksi'!$G$5:$G$92,"Gedung dan Bangunan",'Daftar Koreksi'!$I$5:$I$92,"&lt;0")-SUMIFS('Daftar Koreksi'!$I$5:$I$92,'Daftar Koreksi'!$D$5:$D$92,'1700'!A290,'Daftar Koreksi'!$G$5:$G$92,"Gedung dan Bangunan",'Daftar Koreksi'!$I$5:$I$92,"&lt;0")-SUMIFS('Daftar Koreksi'!$I$5:$I$92,'Daftar Koreksi'!$D$5:$D$92,'1700'!A290,'Daftar Koreksi'!$G$5:$G$92,"Gedung dan Bangunan",'Daftar Koreksi'!$I$5:$I$92,"&lt;0")</f>
        <v>0</v>
      </c>
      <c r="G304" s="17">
        <f t="shared" si="13"/>
        <v>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-11110000</v>
      </c>
      <c r="E305" s="25">
        <f>SUMIFS('Daftar Koreksi'!$I$5:$I$92,'Daftar Koreksi'!$D$5:$D$92,'1700'!A290,'Daftar Koreksi'!$G$5:$G$92,"Jalan Irigasi Jaringan",'Daftar Koreksi'!$I$5:$I$92,"&gt;0")</f>
        <v>0</v>
      </c>
      <c r="F305" s="25">
        <f>SUMIFS('Daftar Koreksi'!$I$5:$I$92,'Daftar Koreksi'!$D$5:$D$92,'1700'!A290,'Daftar Koreksi'!$G$5:$G$92,"Jalan Irigasi Jaringan",'Daftar Koreksi'!$I$5:$I$92,"&lt;0")-SUMIFS('Daftar Koreksi'!$I$5:$I$92,'Daftar Koreksi'!$D$5:$D$92,'1700'!A290,'Daftar Koreksi'!$G$5:$G$92,"Jalan Irigasi Jaringan",'Daftar Koreksi'!$I$5:$I$92,"&lt;0")-SUMIFS('Daftar Koreksi'!$I$5:$I$92,'Daftar Koreksi'!$D$5:$D$92,'1700'!A290,'Daftar Koreksi'!$G$5:$G$92,"Jalan Irigasi Jaringan",'Daftar Koreksi'!$I$5:$I$92,"&lt;0")</f>
        <v>0</v>
      </c>
      <c r="G305" s="17">
        <f t="shared" si="13"/>
        <v>-11110000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Koreksi'!$D$5:$D$92,'1700'!A290,'Daftar Koreksi'!$G$5:$G$92,"Aset Tetap Lainnya",'Daftar Koreksi'!$I$5:$I$92,"&gt;0")</f>
        <v>0</v>
      </c>
      <c r="F306" s="25">
        <f>SUMIFS('Daftar Koreksi'!$I$5:$I$92,'Daftar Koreksi'!$D$5:$D$92,'1700'!A290,'Daftar Koreksi'!$G$5:$G$92,"Aset Tetap Lainnya",'Daftar Koreksi'!$I$5:$I$92,"&lt;0")-SUMIFS('Daftar Koreksi'!$I$5:$I$92,'Daftar Koreksi'!$D$5:$D$92,'1700'!A290,'Daftar Koreksi'!$G$5:$G$92,"Aset Tetap Lainnya",'Daftar Koreksi'!$I$5:$I$92,"&lt;0")-SUMIFS('Daftar Koreksi'!$I$5:$I$92,'Daftar Koreksi'!$D$5:$D$92,'1700'!A290,'Daftar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-76042000</v>
      </c>
      <c r="E307" s="25">
        <f>SUMIFS('Daftar Koreksi'!$I$5:$I$92,'Daftar Koreksi'!$D$5:$D$92,'1700'!A290,'Daftar Koreksi'!$G$5:$G$92,"Aset Henti Guna",'Daftar Koreksi'!$I$5:$I$92,"&gt;0")</f>
        <v>0</v>
      </c>
      <c r="F307" s="25">
        <f>SUMIFS('Daftar Koreksi'!$I$5:$I$92,'Daftar Koreksi'!$D$5:$D$92,'1700'!A290,'Daftar Koreksi'!$G$5:$G$92,"Aset Henti Guna",'Daftar Koreksi'!$I$5:$I$92,"&lt;0")-SUMIFS('Daftar Koreksi'!$I$5:$I$92,'Daftar Koreksi'!$D$5:$D$92,'1700'!A290,'Daftar Koreksi'!$G$5:$G$92,"Aset Henti Guna",'Daftar Koreksi'!$I$5:$I$92,"&lt;0")-SUMIFS('Daftar Koreksi'!$I$5:$I$92,'Daftar Koreksi'!$D$5:$D$92,'1700'!A290,'Daftar Koreksi'!$G$5:$G$92,"Aset Henti Guna",'Daftar Koreksi'!$I$5:$I$92,"&lt;0")</f>
        <v>0</v>
      </c>
      <c r="G307" s="17">
        <f t="shared" si="13"/>
        <v>-76042000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-1503672758</v>
      </c>
      <c r="E308" s="19">
        <f>SUM(E303:E307)</f>
        <v>0</v>
      </c>
      <c r="F308" s="19">
        <f>SUM(F303:F307)</f>
        <v>0</v>
      </c>
      <c r="G308" s="19">
        <f t="shared" si="13"/>
        <v>-1503672758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1223110665</v>
      </c>
      <c r="E309" s="19">
        <f>E308+E302</f>
        <v>0</v>
      </c>
      <c r="F309" s="19">
        <f>F308+F302</f>
        <v>0</v>
      </c>
      <c r="G309" s="19">
        <f t="shared" si="13"/>
        <v>1223110665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005011700670210000KD</v>
      </c>
      <c r="B312" s="11" t="str">
        <f>P15</f>
        <v>PN. Airmadidi</v>
      </c>
      <c r="C312" s="12" t="str">
        <f>A312&amp;" "&amp;B312</f>
        <v>005011700670210000KD PN. Airmadidi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387950</v>
      </c>
      <c r="E315" s="25">
        <f>SUMIFS('Daftar Koreksi'!$H$5:$H$92,'Daftar Koreksi'!$D$5:$D$92,'1700'!A312,'Daftar Koreksi'!$G$5:$G$92,"Persediaan",'Daftar Koreksi'!$H$5:$H$92,"&gt;0")</f>
        <v>0</v>
      </c>
      <c r="F315" s="25">
        <f>SUMIFS('Daftar Koreksi'!$H$5:$H$92,'Daftar Koreksi'!$D$5:$D$92,'1700'!A312,'Daftar Koreksi'!$G$5:$G$92,"Persediaan",'Daftar Koreksi'!$H$5:$H$92,"&lt;0")-SUMIFS('Daftar Koreksi'!$H$5:$H$92,'Daftar Koreksi'!$D$5:$D$92,'1700'!A312,'Daftar Koreksi'!$G$5:$G$92,"Persediaan",'Daftar Koreksi'!$H$5:$H$92,"&lt;0")-SUMIFS('Daftar Koreksi'!$H$5:$H$92,'Daftar Koreksi'!$D$5:$D$92,'1700'!A312,'Daftar Koreksi'!$G$5:$G$92,"Persediaan",'Daftar Koreksi'!$H$5:$H$92,"&lt;0")</f>
        <v>0</v>
      </c>
      <c r="G315" s="17">
        <f>D315+E315-F315</f>
        <v>387950</v>
      </c>
      <c r="H315" s="121" t="str">
        <f>IF(ISNA(VLOOKUP(A312,'Mutasi Neraca'!$A$3:$S$914,19,FALSE)),"-",VLOOKUP(A312,'Mutasi Neraca'!$A$3:$S$914,19,FALSE))</f>
        <v>TP. No 4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4253474000</v>
      </c>
      <c r="E316" s="25">
        <f>SUMIFS('Daftar Koreksi'!$H$5:$H$92,'Daftar Koreksi'!$D$5:$D$92,'1700'!A312,'Daftar Koreksi'!$G$5:$G$92,"Tanah",'Daftar Koreksi'!$H$5:$H$92,"&gt;0")</f>
        <v>0</v>
      </c>
      <c r="F316" s="25">
        <f>SUMIFS('Daftar Koreksi'!$H$5:$H$92,'Daftar Koreksi'!$D$5:$D$92,'1700'!A312,'Daftar Koreksi'!$G$5:$G$92,"Tanah",'Daftar Koreksi'!$H$5:$H$92,"&lt;0")-SUMIFS('Daftar Koreksi'!$H$5:$H$92,'Daftar Koreksi'!$D$5:$D$92,'1700'!A312,'Daftar Koreksi'!$G$5:$G$92,"Tanah",'Daftar Koreksi'!$H$5:$H$92,"&lt;0")-SUMIFS('Daftar Koreksi'!$H$5:$H$92,'Daftar Koreksi'!$D$5:$D$92,'1700'!A312,'Daftar Koreksi'!$G$5:$G$92,"Tanah",'Daftar Koreksi'!$H$5:$H$92,"&lt;0")</f>
        <v>0</v>
      </c>
      <c r="G316" s="17">
        <f t="shared" ref="G316:G332" si="14">D316+E316-F316</f>
        <v>4253474000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2987678351</v>
      </c>
      <c r="E317" s="25">
        <f>SUMIFS('Daftar Koreksi'!$H$5:$H$92,'Daftar Koreksi'!$D$5:$D$92,'1700'!A312,'Daftar Koreksi'!$G$5:$G$92,"Peralatan dan mesin",'Daftar Koreksi'!$H$5:$H$92,"&gt;0")</f>
        <v>3895309</v>
      </c>
      <c r="F317" s="25">
        <f>SUMIFS('Daftar Koreksi'!$H$5:$H$92,'Daftar Koreksi'!$D$5:$D$92,'1700'!A312,'Daftar Koreksi'!$G$5:$G$92,"Peralatan dan mesin",'Daftar Koreksi'!$H$5:$H$92,"&lt;0")-SUMIFS('Daftar Koreksi'!$H$5:$H$92,'Daftar Koreksi'!$D$5:$D$92,'1700'!A312,'Daftar Koreksi'!$G$5:$G$92,"Peralatan dan mesin",'Daftar Koreksi'!$H$5:$H$92,"&lt;0")-SUMIFS('Daftar Koreksi'!$H$5:$H$92,'Daftar Koreksi'!$D$5:$D$92,'1700'!A312,'Daftar Koreksi'!$G$5:$G$92,"Peralatan dan mesin",'Daftar Koreksi'!$H$5:$H$92,"&lt;0")</f>
        <v>0</v>
      </c>
      <c r="G317" s="17">
        <f t="shared" si="14"/>
        <v>2991573660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10808447500</v>
      </c>
      <c r="E318" s="25">
        <f>SUMIFS('Daftar Koreksi'!$H$5:$H$92,'Daftar Koreksi'!$D$5:$D$92,'1700'!A312,'Daftar Koreksi'!$G$5:$G$92,"Gedung dan Bangunan",'Daftar Koreksi'!$H$5:$H$92,"&gt;0")</f>
        <v>0</v>
      </c>
      <c r="F318" s="25">
        <f>SUMIFS('Daftar Koreksi'!$H$5:$H$92,'Daftar Koreksi'!$D$5:$D$92,'1700'!A312,'Daftar Koreksi'!$G$5:$G$92,"Gedung dan Bangunan",'Daftar Koreksi'!$H$5:$H$92,"&lt;0")-SUMIFS('Daftar Koreksi'!$H$5:$H$92,'Daftar Koreksi'!$D$5:$D$92,'1700'!A312,'Daftar Koreksi'!$G$5:$G$92,"Gedung dan Bangunan",'Daftar Koreksi'!$H$5:$H$92,"&lt;0")-SUMIFS('Daftar Koreksi'!$H$5:$H$92,'Daftar Koreksi'!$D$5:$D$92,'1700'!A312,'Daftar Koreksi'!$G$5:$G$92,"Gedung dan Bangunan",'Daftar Koreksi'!$H$5:$H$92,"&lt;0")</f>
        <v>0</v>
      </c>
      <c r="G318" s="17">
        <f t="shared" si="14"/>
        <v>10808447500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296025000</v>
      </c>
      <c r="E319" s="25">
        <f>SUMIFS('Daftar Koreksi'!$H$5:$H$92,'Daftar Koreksi'!$D$5:$D$92,'1700'!A312,'Daftar Koreksi'!$G$5:$G$92,"Jalan Irigasi Jaringan",'Daftar Koreksi'!$H$5:$H$92,"&gt;0")</f>
        <v>0</v>
      </c>
      <c r="F319" s="25">
        <f>SUMIFS('Daftar Koreksi'!$H$5:$H$92,'Daftar Koreksi'!$D$5:$D$92,'1700'!A312,'Daftar Koreksi'!$G$5:$G$92,"Jalan Irigasi Jaringan",'Daftar Koreksi'!$H$5:$H$92,"&lt;0")-SUMIFS('Daftar Koreksi'!$H$5:$H$92,'Daftar Koreksi'!$D$5:$D$92,'1700'!A312,'Daftar Koreksi'!$G$5:$G$92,"Jalan Irigasi Jaringan",'Daftar Koreksi'!$H$5:$H$92,"&lt;0")-SUMIFS('Daftar Koreksi'!$H$5:$H$92,'Daftar Koreksi'!$D$5:$D$92,'1700'!A312,'Daftar Koreksi'!$G$5:$G$92,"Jalan Irigasi Jaringan",'Daftar Koreksi'!$H$5:$H$92,"&lt;0")</f>
        <v>0</v>
      </c>
      <c r="G319" s="17">
        <f t="shared" si="14"/>
        <v>296025000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2828675</v>
      </c>
      <c r="E320" s="25">
        <f>SUMIFS('Daftar Koreksi'!$H$5:$H$92,'Daftar Koreksi'!$D$5:$D$92,'1700'!A312,'Daftar Koreksi'!$G$5:$G$92,"Aset Tetap Lainnya",'Daftar Koreksi'!$H$5:$H$92,"&gt;0")</f>
        <v>0</v>
      </c>
      <c r="F320" s="25">
        <f>SUMIFS('Daftar Koreksi'!$H$5:$H$92,'Daftar Koreksi'!$D$5:$D$92,'1700'!A312,'Daftar Koreksi'!$G$5:$G$92,"Aset Tetap Lainnya",'Daftar Koreksi'!$H$5:$H$92,"&lt;0")-SUMIFS('Daftar Koreksi'!$H$5:$H$92,'Daftar Koreksi'!$D$5:$D$92,'1700'!A312,'Daftar Koreksi'!$G$5:$G$92,"Aset Tetap Lainnya",'Daftar Koreksi'!$H$5:$H$92,"&lt;0")-SUMIFS('Daftar Koreksi'!$H$5:$H$92,'Daftar Koreksi'!$D$5:$D$92,'1700'!A312,'Daftar Koreksi'!$G$5:$G$92,"Aset Tetap Lainnya",'Daftar Koreksi'!$H$5:$H$92,"&lt;0")</f>
        <v>0</v>
      </c>
      <c r="G320" s="17">
        <f t="shared" si="14"/>
        <v>2828675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Koreksi'!$D$5:$D$92,'1700'!A312,'Daftar Koreksi'!$G$5:$G$92,"Kontruksi Dalam Pengerjaan",'Daftar Koreksi'!$H$5:$H$92,"&gt;0")</f>
        <v>0</v>
      </c>
      <c r="F321" s="25">
        <f>SUMIFS('Daftar Koreksi'!$H$5:$H$92,'Daftar Koreksi'!$D$5:$D$92,'1700'!A312,'Daftar Koreksi'!$G$5:$G$92,"Kontruksi Dalam Pengerjaan",'Daftar Koreksi'!$H$5:$H$92,"&lt;0")-SUMIFS('Daftar Koreksi'!$H$5:$H$92,'Daftar Koreksi'!$D$5:$D$92,'1700'!A312,'Daftar Koreksi'!$G$5:$G$92,"Kontruksi Dalam Pengerjaan",'Daftar Koreksi'!$H$5:$H$92,"&lt;0")-SUMIFS('Daftar Koreksi'!$H$5:$H$92,'Daftar Koreksi'!$D$5:$D$92,'1700'!A312,'Daftar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Koreksi'!$D$5:$D$92,'1700'!A312,'Daftar Koreksi'!$G$5:$G$92,"Aset Tak Berwujud",'Daftar Koreksi'!$H$5:$H$92,"&gt;0")</f>
        <v>0</v>
      </c>
      <c r="F322" s="25">
        <f>SUMIFS('Daftar Koreksi'!$H$5:$H$92,'Daftar Koreksi'!$D$5:$D$92,'1700'!A312,'Daftar Koreksi'!$G$5:$G$92,"Aset Tak Berwujud",'Daftar Koreksi'!$H$5:$H$92,"&lt;0")-SUMIFS('Daftar Koreksi'!$H$5:$H$92,'Daftar Koreksi'!$D$5:$D$92,'1700'!A312,'Daftar Koreksi'!$G$5:$G$92,"Aset Tak Berwujud",'Daftar Koreksi'!$H$5:$H$92,"&lt;0")-SUMIFS('Daftar Koreksi'!$H$5:$H$92,'Daftar Koreksi'!$D$5:$D$92,'1700'!A312,'Daftar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Koreksi'!$D$5:$D$92,'1700'!A312,'Daftar Koreksi'!$G$5:$G$92,"Aset Henti Guna",'Daftar Koreksi'!$H$5:$H$92,"&gt;0")</f>
        <v>0</v>
      </c>
      <c r="F323" s="25">
        <f>SUMIFS('Daftar Koreksi'!$H$5:$H$92,'Daftar Koreksi'!$D$5:$D$92,'1700'!A312,'Daftar Koreksi'!$G$5:$G$92,"Aset Henti Guna",'Daftar Koreksi'!$H$5:$H$92,"&lt;0")-SUMIFS('Daftar Koreksi'!$H$5:$H$92,'Daftar Koreksi'!$D$5:$D$92,'1700'!A312,'Daftar Koreksi'!$G$5:$G$92,"Aset Henti Guna",'Daftar Koreksi'!$H$5:$H$92,"&lt;0")-SUMIFS('Daftar Koreksi'!$H$5:$H$92,'Daftar Koreksi'!$D$5:$D$92,'1700'!A312,'Daftar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18348841476</v>
      </c>
      <c r="E324" s="19">
        <f>SUM(E315:E323)</f>
        <v>3895309</v>
      </c>
      <c r="F324" s="19">
        <f>SUM(F315:F323)</f>
        <v>0</v>
      </c>
      <c r="G324" s="19">
        <f t="shared" si="14"/>
        <v>18352736785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-1954334833</v>
      </c>
      <c r="E325" s="25">
        <f>SUMIFS('Daftar Koreksi'!$I$5:$I$92,'Daftar Koreksi'!$D$5:$D$92,'1700'!A312,'Daftar Koreksi'!$G$5:$G$92,"Peralatan dan mesin",'Daftar Koreksi'!$I$5:$I$92,"&gt;0")</f>
        <v>0</v>
      </c>
      <c r="F325" s="25">
        <f>SUMIFS('Daftar Koreksi'!$I$5:$I$92,'Daftar Koreksi'!$D$5:$D$92,'1700'!A312,'Daftar Koreksi'!$G$5:$G$92,"Peralatan dan mesin",'Daftar Koreksi'!$I$5:$I$92,"&lt;0")-SUMIFS('Daftar Koreksi'!$I$5:$I$92,'Daftar Koreksi'!$D$5:$D$92,'1700'!A312,'Daftar Koreksi'!$G$5:$G$92,"Peralatan dan mesin",'Daftar Koreksi'!$I$5:$I$92,"&lt;0")-SUMIFS('Daftar Koreksi'!$I$5:$I$92,'Daftar Koreksi'!$D$5:$D$92,'1700'!A312,'Daftar Koreksi'!$G$5:$G$92,"Peralatan dan mesin",'Daftar Koreksi'!$I$5:$I$92,"&lt;0")</f>
        <v>389531</v>
      </c>
      <c r="G325" s="17">
        <f t="shared" si="14"/>
        <v>-1954724364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-1394716250</v>
      </c>
      <c r="E326" s="25">
        <f>SUMIFS('Daftar Koreksi'!$I$5:$I$92,'Daftar Koreksi'!$D$5:$D$92,'1700'!A312,'Daftar Koreksi'!$G$5:$G$92,"Gedung dan Bangunan",'Daftar Koreksi'!$I$5:$I$92,"&gt;0")</f>
        <v>0</v>
      </c>
      <c r="F326" s="25">
        <f>SUMIFS('Daftar Koreksi'!$I$5:$I$92,'Daftar Koreksi'!$D$5:$D$92,'1700'!A312,'Daftar Koreksi'!$G$5:$G$92,"Gedung dan Bangunan",'Daftar Koreksi'!$I$5:$I$92,"&lt;0")-SUMIFS('Daftar Koreksi'!$I$5:$I$92,'Daftar Koreksi'!$D$5:$D$92,'1700'!A312,'Daftar Koreksi'!$G$5:$G$92,"Gedung dan Bangunan",'Daftar Koreksi'!$I$5:$I$92,"&lt;0")-SUMIFS('Daftar Koreksi'!$I$5:$I$92,'Daftar Koreksi'!$D$5:$D$92,'1700'!A312,'Daftar Koreksi'!$G$5:$G$92,"Gedung dan Bangunan",'Daftar Koreksi'!$I$5:$I$92,"&lt;0")</f>
        <v>0</v>
      </c>
      <c r="G326" s="17">
        <f t="shared" si="14"/>
        <v>-1394716250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-133078750</v>
      </c>
      <c r="E327" s="25">
        <f>SUMIFS('Daftar Koreksi'!$I$5:$I$92,'Daftar Koreksi'!$D$5:$D$92,'1700'!A312,'Daftar Koreksi'!$G$5:$G$92,"Jalan Irigasi Jaringan",'Daftar Koreksi'!$I$5:$I$92,"&gt;0")</f>
        <v>0</v>
      </c>
      <c r="F327" s="25">
        <f>SUMIFS('Daftar Koreksi'!$I$5:$I$92,'Daftar Koreksi'!$D$5:$D$92,'1700'!A312,'Daftar Koreksi'!$G$5:$G$92,"Jalan Irigasi Jaringan",'Daftar Koreksi'!$I$5:$I$92,"&lt;0")-SUMIFS('Daftar Koreksi'!$I$5:$I$92,'Daftar Koreksi'!$D$5:$D$92,'1700'!A312,'Daftar Koreksi'!$G$5:$G$92,"Jalan Irigasi Jaringan",'Daftar Koreksi'!$I$5:$I$92,"&lt;0")-SUMIFS('Daftar Koreksi'!$I$5:$I$92,'Daftar Koreksi'!$D$5:$D$92,'1700'!A312,'Daftar Koreksi'!$G$5:$G$92,"Jalan Irigasi Jaringan",'Daftar Koreksi'!$I$5:$I$92,"&lt;0")</f>
        <v>0</v>
      </c>
      <c r="G327" s="17">
        <f t="shared" si="14"/>
        <v>-133078750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Koreksi'!$D$5:$D$92,'1700'!A312,'Daftar Koreksi'!$G$5:$G$92,"Aset Tetap Lainnya",'Daftar Koreksi'!$I$5:$I$92,"&gt;0")</f>
        <v>0</v>
      </c>
      <c r="F328" s="25">
        <f>SUMIFS('Daftar Koreksi'!$I$5:$I$92,'Daftar Koreksi'!$D$5:$D$92,'1700'!A312,'Daftar Koreksi'!$G$5:$G$92,"Aset Tetap Lainnya",'Daftar Koreksi'!$I$5:$I$92,"&lt;0")-SUMIFS('Daftar Koreksi'!$I$5:$I$92,'Daftar Koreksi'!$D$5:$D$92,'1700'!A312,'Daftar Koreksi'!$G$5:$G$92,"Aset Tetap Lainnya",'Daftar Koreksi'!$I$5:$I$92,"&lt;0")-SUMIFS('Daftar Koreksi'!$I$5:$I$92,'Daftar Koreksi'!$D$5:$D$92,'1700'!A312,'Daftar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Koreksi'!$D$5:$D$92,'1700'!A312,'Daftar Koreksi'!$G$5:$G$92,"Aset Henti Guna",'Daftar Koreksi'!$I$5:$I$92,"&gt;0")</f>
        <v>0</v>
      </c>
      <c r="F329" s="25">
        <f>SUMIFS('Daftar Koreksi'!$I$5:$I$92,'Daftar Koreksi'!$D$5:$D$92,'1700'!A312,'Daftar Koreksi'!$G$5:$G$92,"Aset Henti Guna",'Daftar Koreksi'!$I$5:$I$92,"&lt;0")-SUMIFS('Daftar Koreksi'!$I$5:$I$92,'Daftar Koreksi'!$D$5:$D$92,'1700'!A312,'Daftar Koreksi'!$G$5:$G$92,"Aset Henti Guna",'Daftar Koreksi'!$I$5:$I$92,"&lt;0")-SUMIFS('Daftar Koreksi'!$I$5:$I$92,'Daftar Koreksi'!$D$5:$D$92,'1700'!A312,'Daftar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-3482129833</v>
      </c>
      <c r="E330" s="19">
        <f>SUM(E325:E329)</f>
        <v>0</v>
      </c>
      <c r="F330" s="19">
        <f>SUM(F325:F329)</f>
        <v>389531</v>
      </c>
      <c r="G330" s="19">
        <f t="shared" si="14"/>
        <v>-3482519364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14866711643</v>
      </c>
      <c r="E331" s="19">
        <f>E330+E324</f>
        <v>3895309</v>
      </c>
      <c r="F331" s="19">
        <f>F330+F324</f>
        <v>389531</v>
      </c>
      <c r="G331" s="19">
        <f t="shared" si="14"/>
        <v>14870217421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005011700673034000KD</v>
      </c>
      <c r="B334" s="11" t="str">
        <f>P16</f>
        <v>PN. Amurang</v>
      </c>
      <c r="C334" s="12" t="str">
        <f>A334&amp;" "&amp;B334</f>
        <v>005011700673034000KD PN. Amurang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314600</v>
      </c>
      <c r="E337" s="25">
        <f>SUMIFS('Daftar Koreksi'!$H$5:$H$92,'Daftar Koreksi'!$D$5:$D$92,'1700'!A334,'Daftar Koreksi'!$G$5:$G$92,"Persediaan",'Daftar Koreksi'!$H$5:$H$92,"&gt;0")</f>
        <v>0</v>
      </c>
      <c r="F337" s="25">
        <f>SUMIFS('Daftar Koreksi'!$H$5:$H$92,'Daftar Koreksi'!$D$5:$D$92,'1700'!A334,'Daftar Koreksi'!$G$5:$G$92,"Persediaan",'Daftar Koreksi'!$H$5:$H$92,"&lt;0")-SUMIFS('Daftar Koreksi'!$H$5:$H$92,'Daftar Koreksi'!$D$5:$D$92,'1700'!A334,'Daftar Koreksi'!$G$5:$G$92,"Persediaan",'Daftar Koreksi'!$H$5:$H$92,"&lt;0")-SUMIFS('Daftar Koreksi'!$H$5:$H$92,'Daftar Koreksi'!$D$5:$D$92,'1700'!A334,'Daftar Koreksi'!$G$5:$G$92,"Persediaan",'Daftar Koreksi'!$H$5:$H$92,"&lt;0")</f>
        <v>0</v>
      </c>
      <c r="G337" s="17">
        <f>D337+E337-F337</f>
        <v>314600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812174000</v>
      </c>
      <c r="E338" s="25">
        <f>SUMIFS('Daftar Koreksi'!$H$5:$H$92,'Daftar Koreksi'!$D$5:$D$92,'1700'!A334,'Daftar Koreksi'!$G$5:$G$92,"Tanah",'Daftar Koreksi'!$H$5:$H$92,"&gt;0")</f>
        <v>0</v>
      </c>
      <c r="F338" s="25">
        <f>SUMIFS('Daftar Koreksi'!$H$5:$H$92,'Daftar Koreksi'!$D$5:$D$92,'1700'!A334,'Daftar Koreksi'!$G$5:$G$92,"Tanah",'Daftar Koreksi'!$H$5:$H$92,"&lt;0")-SUMIFS('Daftar Koreksi'!$H$5:$H$92,'Daftar Koreksi'!$D$5:$D$92,'1700'!A334,'Daftar Koreksi'!$G$5:$G$92,"Tanah",'Daftar Koreksi'!$H$5:$H$92,"&lt;0")-SUMIFS('Daftar Koreksi'!$H$5:$H$92,'Daftar Koreksi'!$D$5:$D$92,'1700'!A334,'Daftar Koreksi'!$G$5:$G$92,"Tanah",'Daftar Koreksi'!$H$5:$H$92,"&lt;0")</f>
        <v>0</v>
      </c>
      <c r="G338" s="17">
        <f t="shared" ref="G338:G354" si="15">D338+E338-F338</f>
        <v>812174000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1870581266</v>
      </c>
      <c r="E339" s="25">
        <f>SUMIFS('Daftar Koreksi'!$H$5:$H$92,'Daftar Koreksi'!$D$5:$D$92,'1700'!A334,'Daftar Koreksi'!$G$5:$G$92,"Peralatan dan mesin",'Daftar Koreksi'!$H$5:$H$92,"&gt;0")</f>
        <v>0</v>
      </c>
      <c r="F339" s="25">
        <f>SUMIFS('Daftar Koreksi'!$H$5:$H$92,'Daftar Koreksi'!$D$5:$D$92,'1700'!A334,'Daftar Koreksi'!$G$5:$G$92,"Peralatan dan mesin",'Daftar Koreksi'!$H$5:$H$92,"&lt;0")-SUMIFS('Daftar Koreksi'!$H$5:$H$92,'Daftar Koreksi'!$D$5:$D$92,'1700'!A334,'Daftar Koreksi'!$G$5:$G$92,"Peralatan dan mesin",'Daftar Koreksi'!$H$5:$H$92,"&lt;0")-SUMIFS('Daftar Koreksi'!$H$5:$H$92,'Daftar Koreksi'!$D$5:$D$92,'1700'!A334,'Daftar Koreksi'!$G$5:$G$92,"Peralatan dan mesin",'Daftar Koreksi'!$H$5:$H$92,"&lt;0")</f>
        <v>0</v>
      </c>
      <c r="G339" s="17">
        <f t="shared" si="15"/>
        <v>1870581266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7236435512</v>
      </c>
      <c r="E340" s="25">
        <f>SUMIFS('Daftar Koreksi'!$H$5:$H$92,'Daftar Koreksi'!$D$5:$D$92,'1700'!A334,'Daftar Koreksi'!$G$5:$G$92,"Gedung dan Bangunan",'Daftar Koreksi'!$H$5:$H$92,"&gt;0")</f>
        <v>0</v>
      </c>
      <c r="F340" s="25">
        <f>SUMIFS('Daftar Koreksi'!$H$5:$H$92,'Daftar Koreksi'!$D$5:$D$92,'1700'!A334,'Daftar Koreksi'!$G$5:$G$92,"Gedung dan Bangunan",'Daftar Koreksi'!$H$5:$H$92,"&lt;0")-SUMIFS('Daftar Koreksi'!$H$5:$H$92,'Daftar Koreksi'!$D$5:$D$92,'1700'!A334,'Daftar Koreksi'!$G$5:$G$92,"Gedung dan Bangunan",'Daftar Koreksi'!$H$5:$H$92,"&lt;0")-SUMIFS('Daftar Koreksi'!$H$5:$H$92,'Daftar Koreksi'!$D$5:$D$92,'1700'!A334,'Daftar Koreksi'!$G$5:$G$92,"Gedung dan Bangunan",'Daftar Koreksi'!$H$5:$H$92,"&lt;0")</f>
        <v>0</v>
      </c>
      <c r="G340" s="17">
        <f t="shared" si="15"/>
        <v>7236435512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15301000</v>
      </c>
      <c r="E341" s="25">
        <f>SUMIFS('Daftar Koreksi'!$H$5:$H$92,'Daftar Koreksi'!$D$5:$D$92,'1700'!A334,'Daftar Koreksi'!$G$5:$G$92,"Jalan Irigasi Jaringan",'Daftar Koreksi'!$H$5:$H$92,"&gt;0")</f>
        <v>0</v>
      </c>
      <c r="F341" s="25">
        <f>SUMIFS('Daftar Koreksi'!$H$5:$H$92,'Daftar Koreksi'!$D$5:$D$92,'1700'!A334,'Daftar Koreksi'!$G$5:$G$92,"Jalan Irigasi Jaringan",'Daftar Koreksi'!$H$5:$H$92,"&lt;0")-SUMIFS('Daftar Koreksi'!$H$5:$H$92,'Daftar Koreksi'!$D$5:$D$92,'1700'!A334,'Daftar Koreksi'!$G$5:$G$92,"Jalan Irigasi Jaringan",'Daftar Koreksi'!$H$5:$H$92,"&lt;0")-SUMIFS('Daftar Koreksi'!$H$5:$H$92,'Daftar Koreksi'!$D$5:$D$92,'1700'!A334,'Daftar Koreksi'!$G$5:$G$92,"Jalan Irigasi Jaringan",'Daftar Koreksi'!$H$5:$H$92,"&lt;0")</f>
        <v>0</v>
      </c>
      <c r="G341" s="17">
        <f t="shared" si="15"/>
        <v>15301000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5980900</v>
      </c>
      <c r="E342" s="25">
        <f>SUMIFS('Daftar Koreksi'!$H$5:$H$92,'Daftar Koreksi'!$D$5:$D$92,'1700'!A334,'Daftar Koreksi'!$G$5:$G$92,"Aset Tetap Lainnya",'Daftar Koreksi'!$H$5:$H$92,"&gt;0")</f>
        <v>0</v>
      </c>
      <c r="F342" s="25">
        <f>SUMIFS('Daftar Koreksi'!$H$5:$H$92,'Daftar Koreksi'!$D$5:$D$92,'1700'!A334,'Daftar Koreksi'!$G$5:$G$92,"Aset Tetap Lainnya",'Daftar Koreksi'!$H$5:$H$92,"&lt;0")-SUMIFS('Daftar Koreksi'!$H$5:$H$92,'Daftar Koreksi'!$D$5:$D$92,'1700'!A334,'Daftar Koreksi'!$G$5:$G$92,"Aset Tetap Lainnya",'Daftar Koreksi'!$H$5:$H$92,"&lt;0")-SUMIFS('Daftar Koreksi'!$H$5:$H$92,'Daftar Koreksi'!$D$5:$D$92,'1700'!A334,'Daftar Koreksi'!$G$5:$G$92,"Aset Tetap Lainnya",'Daftar Koreksi'!$H$5:$H$92,"&lt;0")</f>
        <v>0</v>
      </c>
      <c r="G342" s="17">
        <f t="shared" si="15"/>
        <v>5980900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Koreksi'!$D$5:$D$92,'1700'!A334,'Daftar Koreksi'!$G$5:$G$92,"Kontruksi Dalam Pengerjaan",'Daftar Koreksi'!$H$5:$H$92,"&gt;0")</f>
        <v>0</v>
      </c>
      <c r="F343" s="25">
        <f>SUMIFS('Daftar Koreksi'!$H$5:$H$92,'Daftar Koreksi'!$D$5:$D$92,'1700'!A334,'Daftar Koreksi'!$G$5:$G$92,"Kontruksi Dalam Pengerjaan",'Daftar Koreksi'!$H$5:$H$92,"&lt;0")-SUMIFS('Daftar Koreksi'!$H$5:$H$92,'Daftar Koreksi'!$D$5:$D$92,'1700'!A334,'Daftar Koreksi'!$G$5:$G$92,"Kontruksi Dalam Pengerjaan",'Daftar Koreksi'!$H$5:$H$92,"&lt;0")-SUMIFS('Daftar Koreksi'!$H$5:$H$92,'Daftar Koreksi'!$D$5:$D$92,'1700'!A334,'Daftar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56545000</v>
      </c>
      <c r="E344" s="25">
        <f>SUMIFS('Daftar Koreksi'!$H$5:$H$92,'Daftar Koreksi'!$D$5:$D$92,'1700'!A334,'Daftar Koreksi'!$G$5:$G$92,"Aset Tak Berwujud",'Daftar Koreksi'!$H$5:$H$92,"&gt;0")</f>
        <v>0</v>
      </c>
      <c r="F344" s="25">
        <f>SUMIFS('Daftar Koreksi'!$H$5:$H$92,'Daftar Koreksi'!$D$5:$D$92,'1700'!A334,'Daftar Koreksi'!$G$5:$G$92,"Aset Tak Berwujud",'Daftar Koreksi'!$H$5:$H$92,"&lt;0")-SUMIFS('Daftar Koreksi'!$H$5:$H$92,'Daftar Koreksi'!$D$5:$D$92,'1700'!A334,'Daftar Koreksi'!$G$5:$G$92,"Aset Tak Berwujud",'Daftar Koreksi'!$H$5:$H$92,"&lt;0")-SUMIFS('Daftar Koreksi'!$H$5:$H$92,'Daftar Koreksi'!$D$5:$D$92,'1700'!A334,'Daftar Koreksi'!$G$5:$G$92,"Aset Tak Berwujud",'Daftar Koreksi'!$H$5:$H$92,"&lt;0")</f>
        <v>0</v>
      </c>
      <c r="G344" s="17">
        <f t="shared" si="15"/>
        <v>56545000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15741122</v>
      </c>
      <c r="E345" s="25">
        <f>SUMIFS('Daftar Koreksi'!$H$5:$H$92,'Daftar Koreksi'!$D$5:$D$92,'1700'!A334,'Daftar Koreksi'!$G$5:$G$92,"Aset Henti Guna",'Daftar Koreksi'!$H$5:$H$92,"&gt;0")</f>
        <v>0</v>
      </c>
      <c r="F345" s="25">
        <f>SUMIFS('Daftar Koreksi'!$H$5:$H$92,'Daftar Koreksi'!$D$5:$D$92,'1700'!A334,'Daftar Koreksi'!$G$5:$G$92,"Aset Henti Guna",'Daftar Koreksi'!$H$5:$H$92,"&lt;0")-SUMIFS('Daftar Koreksi'!$H$5:$H$92,'Daftar Koreksi'!$D$5:$D$92,'1700'!A334,'Daftar Koreksi'!$G$5:$G$92,"Aset Henti Guna",'Daftar Koreksi'!$H$5:$H$92,"&lt;0")-SUMIFS('Daftar Koreksi'!$H$5:$H$92,'Daftar Koreksi'!$D$5:$D$92,'1700'!A334,'Daftar Koreksi'!$G$5:$G$92,"Aset Henti Guna",'Daftar Koreksi'!$H$5:$H$92,"&lt;0")</f>
        <v>0</v>
      </c>
      <c r="G345" s="17">
        <f t="shared" si="15"/>
        <v>15741122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10013073400</v>
      </c>
      <c r="E346" s="19">
        <f>SUM(E337:E345)</f>
        <v>0</v>
      </c>
      <c r="F346" s="19">
        <f>SUM(F337:F345)</f>
        <v>0</v>
      </c>
      <c r="G346" s="19">
        <f t="shared" si="15"/>
        <v>10013073400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-1330831933</v>
      </c>
      <c r="E347" s="25">
        <f>SUMIFS('Daftar Koreksi'!$I$5:$I$92,'Daftar Koreksi'!$D$5:$D$92,'1700'!A334,'Daftar Koreksi'!$G$5:$G$92,"Peralatan dan mesin",'Daftar Koreksi'!$I$5:$I$92,"&gt;0")</f>
        <v>0</v>
      </c>
      <c r="F347" s="25">
        <f>SUMIFS('Daftar Koreksi'!$I$5:$I$92,'Daftar Koreksi'!$D$5:$D$92,'1700'!A334,'Daftar Koreksi'!$G$5:$G$92,"Peralatan dan mesin",'Daftar Koreksi'!$I$5:$I$92,"&lt;0")-SUMIFS('Daftar Koreksi'!$I$5:$I$92,'Daftar Koreksi'!$D$5:$D$92,'1700'!A334,'Daftar Koreksi'!$G$5:$G$92,"Peralatan dan mesin",'Daftar Koreksi'!$I$5:$I$92,"&lt;0")-SUMIFS('Daftar Koreksi'!$I$5:$I$92,'Daftar Koreksi'!$D$5:$D$92,'1700'!A334,'Daftar Koreksi'!$G$5:$G$92,"Peralatan dan mesin",'Daftar Koreksi'!$I$5:$I$92,"&lt;0")</f>
        <v>0</v>
      </c>
      <c r="G347" s="17">
        <f t="shared" si="15"/>
        <v>-1330831933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-1103998356</v>
      </c>
      <c r="E348" s="25">
        <f>SUMIFS('Daftar Koreksi'!$I$5:$I$92,'Daftar Koreksi'!$D$5:$D$92,'1700'!A334,'Daftar Koreksi'!$G$5:$G$92,"Gedung dan Bangunan",'Daftar Koreksi'!$I$5:$I$92,"&gt;0")</f>
        <v>0</v>
      </c>
      <c r="F348" s="25">
        <f>SUMIFS('Daftar Koreksi'!$I$5:$I$92,'Daftar Koreksi'!$D$5:$D$92,'1700'!A334,'Daftar Koreksi'!$G$5:$G$92,"Gedung dan Bangunan",'Daftar Koreksi'!$I$5:$I$92,"&lt;0")-SUMIFS('Daftar Koreksi'!$I$5:$I$92,'Daftar Koreksi'!$D$5:$D$92,'1700'!A334,'Daftar Koreksi'!$G$5:$G$92,"Gedung dan Bangunan",'Daftar Koreksi'!$I$5:$I$92,"&lt;0")-SUMIFS('Daftar Koreksi'!$I$5:$I$92,'Daftar Koreksi'!$D$5:$D$92,'1700'!A334,'Daftar Koreksi'!$G$5:$G$92,"Gedung dan Bangunan",'Daftar Koreksi'!$I$5:$I$92,"&lt;0")</f>
        <v>0</v>
      </c>
      <c r="G348" s="17">
        <f t="shared" si="15"/>
        <v>-1103998356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-7650500</v>
      </c>
      <c r="E349" s="25">
        <f>SUMIFS('Daftar Koreksi'!$I$5:$I$92,'Daftar Koreksi'!$D$5:$D$92,'1700'!A334,'Daftar Koreksi'!$G$5:$G$92,"Jalan Irigasi Jaringan",'Daftar Koreksi'!$I$5:$I$92,"&gt;0")</f>
        <v>0</v>
      </c>
      <c r="F349" s="25">
        <f>SUMIFS('Daftar Koreksi'!$I$5:$I$92,'Daftar Koreksi'!$D$5:$D$92,'1700'!A334,'Daftar Koreksi'!$G$5:$G$92,"Jalan Irigasi Jaringan",'Daftar Koreksi'!$I$5:$I$92,"&lt;0")-SUMIFS('Daftar Koreksi'!$I$5:$I$92,'Daftar Koreksi'!$D$5:$D$92,'1700'!A334,'Daftar Koreksi'!$G$5:$G$92,"Jalan Irigasi Jaringan",'Daftar Koreksi'!$I$5:$I$92,"&lt;0")-SUMIFS('Daftar Koreksi'!$I$5:$I$92,'Daftar Koreksi'!$D$5:$D$92,'1700'!A334,'Daftar Koreksi'!$G$5:$G$92,"Jalan Irigasi Jaringan",'Daftar Koreksi'!$I$5:$I$92,"&lt;0")</f>
        <v>0</v>
      </c>
      <c r="G349" s="17">
        <f t="shared" si="15"/>
        <v>-7650500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Koreksi'!$D$5:$D$92,'1700'!A334,'Daftar Koreksi'!$G$5:$G$92,"Aset Tetap Lainnya",'Daftar Koreksi'!$I$5:$I$92,"&gt;0")</f>
        <v>0</v>
      </c>
      <c r="F350" s="25">
        <f>SUMIFS('Daftar Koreksi'!$I$5:$I$92,'Daftar Koreksi'!$D$5:$D$92,'1700'!A334,'Daftar Koreksi'!$G$5:$G$92,"Aset Tetap Lainnya",'Daftar Koreksi'!$I$5:$I$92,"&lt;0")-SUMIFS('Daftar Koreksi'!$I$5:$I$92,'Daftar Koreksi'!$D$5:$D$92,'1700'!A334,'Daftar Koreksi'!$G$5:$G$92,"Aset Tetap Lainnya",'Daftar Koreksi'!$I$5:$I$92,"&lt;0")-SUMIFS('Daftar Koreksi'!$I$5:$I$92,'Daftar Koreksi'!$D$5:$D$92,'1700'!A334,'Daftar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-15741122</v>
      </c>
      <c r="E351" s="25">
        <f>SUMIFS('Daftar Koreksi'!$I$5:$I$92,'Daftar Koreksi'!$D$5:$D$92,'1700'!A334,'Daftar Koreksi'!$G$5:$G$92,"Aset Henti Guna",'Daftar Koreksi'!$I$5:$I$92,"&gt;0")</f>
        <v>0</v>
      </c>
      <c r="F351" s="25">
        <f>SUMIFS('Daftar Koreksi'!$I$5:$I$92,'Daftar Koreksi'!$D$5:$D$92,'1700'!A334,'Daftar Koreksi'!$G$5:$G$92,"Aset Henti Guna",'Daftar Koreksi'!$I$5:$I$92,"&lt;0")-SUMIFS('Daftar Koreksi'!$I$5:$I$92,'Daftar Koreksi'!$D$5:$D$92,'1700'!A334,'Daftar Koreksi'!$G$5:$G$92,"Aset Henti Guna",'Daftar Koreksi'!$I$5:$I$92,"&lt;0")-SUMIFS('Daftar Koreksi'!$I$5:$I$92,'Daftar Koreksi'!$D$5:$D$92,'1700'!A334,'Daftar Koreksi'!$G$5:$G$92,"Aset Henti Guna",'Daftar Koreksi'!$I$5:$I$92,"&lt;0")</f>
        <v>0</v>
      </c>
      <c r="G351" s="17">
        <f t="shared" si="15"/>
        <v>-15741122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-2458221911</v>
      </c>
      <c r="E352" s="19">
        <f>SUM(E347:E351)</f>
        <v>0</v>
      </c>
      <c r="F352" s="19">
        <f>SUM(F347:F351)</f>
        <v>0</v>
      </c>
      <c r="G352" s="19">
        <f t="shared" si="15"/>
        <v>-2458221911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7554851489</v>
      </c>
      <c r="E353" s="19">
        <f>E352+E346</f>
        <v>0</v>
      </c>
      <c r="F353" s="19">
        <f>F352+F346</f>
        <v>0</v>
      </c>
      <c r="G353" s="19">
        <f t="shared" si="15"/>
        <v>7554851489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005011700682171000KD</v>
      </c>
      <c r="B356" s="11" t="str">
        <f>P17</f>
        <v>PA. Amurang</v>
      </c>
      <c r="C356" s="12" t="str">
        <f>A356&amp;" "&amp;B356</f>
        <v>005011700682171000KD PA. Amurang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12000</v>
      </c>
      <c r="E359" s="25">
        <f>SUMIFS('Daftar Koreksi'!$H$5:$H$92,'Daftar Koreksi'!$D$5:$D$92,'1700'!A356,'Daftar Koreksi'!$G$5:$G$92,"Persediaan",'Daftar Koreksi'!$H$5:$H$92,"&gt;0")</f>
        <v>0</v>
      </c>
      <c r="F359" s="25">
        <f>SUMIFS('Daftar Koreksi'!$H$5:$H$92,'Daftar Koreksi'!$D$5:$D$92,'1700'!A356,'Daftar Koreksi'!$G$5:$G$92,"Persediaan",'Daftar Koreksi'!$H$5:$H$92,"&lt;0")-SUMIFS('Daftar Koreksi'!$H$5:$H$92,'Daftar Koreksi'!$D$5:$D$92,'1700'!A356,'Daftar Koreksi'!$G$5:$G$92,"Persediaan",'Daftar Koreksi'!$H$5:$H$92,"&lt;0")-SUMIFS('Daftar Koreksi'!$H$5:$H$92,'Daftar Koreksi'!$D$5:$D$92,'1700'!A356,'Daftar Koreksi'!$G$5:$G$92,"Persediaan",'Daftar Koreksi'!$H$5:$H$92,"&lt;0")</f>
        <v>0</v>
      </c>
      <c r="G359" s="17">
        <f>D359+E359-F359</f>
        <v>12000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1800000000</v>
      </c>
      <c r="E360" s="25">
        <f>SUMIFS('Daftar Koreksi'!$H$5:$H$92,'Daftar Koreksi'!$D$5:$D$92,'1700'!A356,'Daftar Koreksi'!$G$5:$G$92,"Tanah",'Daftar Koreksi'!$H$5:$H$92,"&gt;0")</f>
        <v>0</v>
      </c>
      <c r="F360" s="25">
        <f>SUMIFS('Daftar Koreksi'!$H$5:$H$92,'Daftar Koreksi'!$D$5:$D$92,'1700'!A356,'Daftar Koreksi'!$G$5:$G$92,"Tanah",'Daftar Koreksi'!$H$5:$H$92,"&lt;0")-SUMIFS('Daftar Koreksi'!$H$5:$H$92,'Daftar Koreksi'!$D$5:$D$92,'1700'!A356,'Daftar Koreksi'!$G$5:$G$92,"Tanah",'Daftar Koreksi'!$H$5:$H$92,"&lt;0")-SUMIFS('Daftar Koreksi'!$H$5:$H$92,'Daftar Koreksi'!$D$5:$D$92,'1700'!A356,'Daftar Koreksi'!$G$5:$G$92,"Tanah",'Daftar Koreksi'!$H$5:$H$92,"&lt;0")</f>
        <v>0</v>
      </c>
      <c r="G360" s="17">
        <f t="shared" ref="G360:G376" si="16">D360+E360-F360</f>
        <v>1800000000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812255309</v>
      </c>
      <c r="E361" s="25">
        <f>SUMIFS('Daftar Koreksi'!$H$5:$H$92,'Daftar Koreksi'!$D$5:$D$92,'1700'!A356,'Daftar Koreksi'!$G$5:$G$92,"Peralatan dan mesin",'Daftar Koreksi'!$H$5:$H$92,"&gt;0")</f>
        <v>0</v>
      </c>
      <c r="F361" s="25">
        <f>SUMIFS('Daftar Koreksi'!$H$5:$H$92,'Daftar Koreksi'!$D$5:$D$92,'1700'!A356,'Daftar Koreksi'!$G$5:$G$92,"Peralatan dan mesin",'Daftar Koreksi'!$H$5:$H$92,"&lt;0")-SUMIFS('Daftar Koreksi'!$H$5:$H$92,'Daftar Koreksi'!$D$5:$D$92,'1700'!A356,'Daftar Koreksi'!$G$5:$G$92,"Peralatan dan mesin",'Daftar Koreksi'!$H$5:$H$92,"&lt;0")-SUMIFS('Daftar Koreksi'!$H$5:$H$92,'Daftar Koreksi'!$D$5:$D$92,'1700'!A356,'Daftar Koreksi'!$G$5:$G$92,"Peralatan dan mesin",'Daftar Koreksi'!$H$5:$H$92,"&lt;0")</f>
        <v>0</v>
      </c>
      <c r="G361" s="17">
        <f t="shared" si="16"/>
        <v>812255309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8021692028</v>
      </c>
      <c r="E362" s="25">
        <f>SUMIFS('Daftar Koreksi'!$H$5:$H$92,'Daftar Koreksi'!$D$5:$D$92,'1700'!A356,'Daftar Koreksi'!$G$5:$G$92,"Gedung dan Bangunan",'Daftar Koreksi'!$H$5:$H$92,"&gt;0")</f>
        <v>0</v>
      </c>
      <c r="F362" s="25">
        <f>SUMIFS('Daftar Koreksi'!$H$5:$H$92,'Daftar Koreksi'!$D$5:$D$92,'1700'!A356,'Daftar Koreksi'!$G$5:$G$92,"Gedung dan Bangunan",'Daftar Koreksi'!$H$5:$H$92,"&lt;0")-SUMIFS('Daftar Koreksi'!$H$5:$H$92,'Daftar Koreksi'!$D$5:$D$92,'1700'!A356,'Daftar Koreksi'!$G$5:$G$92,"Gedung dan Bangunan",'Daftar Koreksi'!$H$5:$H$92,"&lt;0")-SUMIFS('Daftar Koreksi'!$H$5:$H$92,'Daftar Koreksi'!$D$5:$D$92,'1700'!A356,'Daftar Koreksi'!$G$5:$G$92,"Gedung dan Bangunan",'Daftar Koreksi'!$H$5:$H$92,"&lt;0")</f>
        <v>0</v>
      </c>
      <c r="G362" s="17">
        <f t="shared" si="16"/>
        <v>8021692028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Koreksi'!$D$5:$D$92,'1700'!A356,'Daftar Koreksi'!$G$5:$G$92,"Jalan Irigasi Jaringan",'Daftar Koreksi'!$H$5:$H$92,"&gt;0")</f>
        <v>0</v>
      </c>
      <c r="F363" s="25">
        <f>SUMIFS('Daftar Koreksi'!$H$5:$H$92,'Daftar Koreksi'!$D$5:$D$92,'1700'!A356,'Daftar Koreksi'!$G$5:$G$92,"Jalan Irigasi Jaringan",'Daftar Koreksi'!$H$5:$H$92,"&lt;0")-SUMIFS('Daftar Koreksi'!$H$5:$H$92,'Daftar Koreksi'!$D$5:$D$92,'1700'!A356,'Daftar Koreksi'!$G$5:$G$92,"Jalan Irigasi Jaringan",'Daftar Koreksi'!$H$5:$H$92,"&lt;0")-SUMIFS('Daftar Koreksi'!$H$5:$H$92,'Daftar Koreksi'!$D$5:$D$92,'1700'!A356,'Daftar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0</v>
      </c>
      <c r="E364" s="25">
        <f>SUMIFS('Daftar Koreksi'!$H$5:$H$92,'Daftar Koreksi'!$D$5:$D$92,'1700'!A356,'Daftar Koreksi'!$G$5:$G$92,"Aset Tetap Lainnya",'Daftar Koreksi'!$H$5:$H$92,"&gt;0")</f>
        <v>0</v>
      </c>
      <c r="F364" s="25">
        <f>SUMIFS('Daftar Koreksi'!$H$5:$H$92,'Daftar Koreksi'!$D$5:$D$92,'1700'!A356,'Daftar Koreksi'!$G$5:$G$92,"Aset Tetap Lainnya",'Daftar Koreksi'!$H$5:$H$92,"&lt;0")-SUMIFS('Daftar Koreksi'!$H$5:$H$92,'Daftar Koreksi'!$D$5:$D$92,'1700'!A356,'Daftar Koreksi'!$G$5:$G$92,"Aset Tetap Lainnya",'Daftar Koreksi'!$H$5:$H$92,"&lt;0")-SUMIFS('Daftar Koreksi'!$H$5:$H$92,'Daftar Koreksi'!$D$5:$D$92,'1700'!A356,'Daftar Koreksi'!$G$5:$G$92,"Aset Tetap Lainnya",'Daftar Koreksi'!$H$5:$H$92,"&lt;0")</f>
        <v>0</v>
      </c>
      <c r="G364" s="17">
        <f t="shared" si="16"/>
        <v>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Koreksi'!$D$5:$D$92,'1700'!A356,'Daftar Koreksi'!$G$5:$G$92,"Kontruksi Dalam Pengerjaan",'Daftar Koreksi'!$H$5:$H$92,"&gt;0")</f>
        <v>0</v>
      </c>
      <c r="F365" s="25">
        <f>SUMIFS('Daftar Koreksi'!$H$5:$H$92,'Daftar Koreksi'!$D$5:$D$92,'1700'!A356,'Daftar Koreksi'!$G$5:$G$92,"Kontruksi Dalam Pengerjaan",'Daftar Koreksi'!$H$5:$H$92,"&lt;0")-SUMIFS('Daftar Koreksi'!$H$5:$H$92,'Daftar Koreksi'!$D$5:$D$92,'1700'!A356,'Daftar Koreksi'!$G$5:$G$92,"Kontruksi Dalam Pengerjaan",'Daftar Koreksi'!$H$5:$H$92,"&lt;0")-SUMIFS('Daftar Koreksi'!$H$5:$H$92,'Daftar Koreksi'!$D$5:$D$92,'1700'!A356,'Daftar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Koreksi'!$D$5:$D$92,'1700'!A356,'Daftar Koreksi'!$G$5:$G$92,"Aset Tak Berwujud",'Daftar Koreksi'!$H$5:$H$92,"&gt;0")</f>
        <v>0</v>
      </c>
      <c r="F366" s="25">
        <f>SUMIFS('Daftar Koreksi'!$H$5:$H$92,'Daftar Koreksi'!$D$5:$D$92,'1700'!A356,'Daftar Koreksi'!$G$5:$G$92,"Aset Tak Berwujud",'Daftar Koreksi'!$H$5:$H$92,"&lt;0")-SUMIFS('Daftar Koreksi'!$H$5:$H$92,'Daftar Koreksi'!$D$5:$D$92,'1700'!A356,'Daftar Koreksi'!$G$5:$G$92,"Aset Tak Berwujud",'Daftar Koreksi'!$H$5:$H$92,"&lt;0")-SUMIFS('Daftar Koreksi'!$H$5:$H$92,'Daftar Koreksi'!$D$5:$D$92,'1700'!A356,'Daftar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Koreksi'!$D$5:$D$92,'1700'!A356,'Daftar Koreksi'!$G$5:$G$92,"Aset Henti Guna",'Daftar Koreksi'!$H$5:$H$92,"&gt;0")</f>
        <v>0</v>
      </c>
      <c r="F367" s="25">
        <f>SUMIFS('Daftar Koreksi'!$H$5:$H$92,'Daftar Koreksi'!$D$5:$D$92,'1700'!A356,'Daftar Koreksi'!$G$5:$G$92,"Aset Henti Guna",'Daftar Koreksi'!$H$5:$H$92,"&lt;0")-SUMIFS('Daftar Koreksi'!$H$5:$H$92,'Daftar Koreksi'!$D$5:$D$92,'1700'!A356,'Daftar Koreksi'!$G$5:$G$92,"Aset Henti Guna",'Daftar Koreksi'!$H$5:$H$92,"&lt;0")-SUMIFS('Daftar Koreksi'!$H$5:$H$92,'Daftar Koreksi'!$D$5:$D$92,'1700'!A356,'Daftar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10633959337</v>
      </c>
      <c r="E368" s="19">
        <f>SUM(E359:E367)</f>
        <v>0</v>
      </c>
      <c r="F368" s="19">
        <f>SUM(F359:F367)</f>
        <v>0</v>
      </c>
      <c r="G368" s="19">
        <f t="shared" si="16"/>
        <v>10633959337</v>
      </c>
      <c r="H368" s="122"/>
    </row>
    <row r="369" spans="1:10" ht="21.95" customHeight="1">
      <c r="A369" s="14"/>
      <c r="B369" s="14"/>
      <c r="C369" s="16" t="s">
        <v>2087</v>
      </c>
      <c r="D369" s="17">
        <f>VLOOKUP(A356,'Neraca Unaudited SIMAK'!$A$2:$S$10004,13,FALSE)</f>
        <v>-195628743</v>
      </c>
      <c r="E369" s="25">
        <f>SUMIFS('Daftar Koreksi'!$I$5:$I$92,'Daftar Koreksi'!$D$5:$D$92,'1700'!A356,'Daftar Koreksi'!$G$5:$G$92,"Peralatan dan mesin",'Daftar Koreksi'!$I$5:$I$92,"&gt;0")</f>
        <v>0</v>
      </c>
      <c r="F369" s="25">
        <f>SUMIFS('Daftar Koreksi'!$I$5:$I$92,'Daftar Koreksi'!$D$5:$D$92,'1700'!A356,'Daftar Koreksi'!$G$5:$G$92,"Peralatan dan mesin",'Daftar Koreksi'!$I$5:$I$92,"&lt;0")-SUMIFS('Daftar Koreksi'!$I$5:$I$92,'Daftar Koreksi'!$D$5:$D$92,'1700'!A356,'Daftar Koreksi'!$G$5:$G$92,"Peralatan dan mesin",'Daftar Koreksi'!$I$5:$I$92,"&lt;0")-SUMIFS('Daftar Koreksi'!$I$5:$I$92,'Daftar Koreksi'!$D$5:$D$92,'1700'!A356,'Daftar Koreksi'!$G$5:$G$92,"Peralatan dan mesin",'Daftar Koreksi'!$I$5:$I$92,"&lt;0")</f>
        <v>0</v>
      </c>
      <c r="G369" s="17">
        <f t="shared" si="16"/>
        <v>-195628743</v>
      </c>
      <c r="H369" s="122"/>
      <c r="I369" s="10"/>
      <c r="J369" s="10"/>
    </row>
    <row r="370" spans="1:10" ht="21.95" customHeight="1">
      <c r="A370" s="14"/>
      <c r="B370" s="14"/>
      <c r="C370" s="16" t="s">
        <v>2088</v>
      </c>
      <c r="D370" s="17">
        <f>VLOOKUP(A356,'Neraca Unaudited SIMAK'!$A$2:$S$10004,14,FALSE)</f>
        <v>-198744760</v>
      </c>
      <c r="E370" s="25">
        <f>SUMIFS('Daftar Koreksi'!$I$5:$I$92,'Daftar Koreksi'!$D$5:$D$92,'1700'!A356,'Daftar Koreksi'!$G$5:$G$92,"Gedung dan Bangunan",'Daftar Koreksi'!$I$5:$I$92,"&gt;0")</f>
        <v>0</v>
      </c>
      <c r="F370" s="25">
        <f>SUMIFS('Daftar Koreksi'!$I$5:$I$92,'Daftar Koreksi'!$D$5:$D$92,'1700'!A356,'Daftar Koreksi'!$G$5:$G$92,"Gedung dan Bangunan",'Daftar Koreksi'!$I$5:$I$92,"&lt;0")-SUMIFS('Daftar Koreksi'!$I$5:$I$92,'Daftar Koreksi'!$D$5:$D$92,'1700'!A356,'Daftar Koreksi'!$G$5:$G$92,"Gedung dan Bangunan",'Daftar Koreksi'!$I$5:$I$92,"&lt;0")-SUMIFS('Daftar Koreksi'!$I$5:$I$92,'Daftar Koreksi'!$D$5:$D$92,'1700'!A356,'Daftar Koreksi'!$G$5:$G$92,"Gedung dan Bangunan",'Daftar Koreksi'!$I$5:$I$92,"&lt;0")</f>
        <v>0</v>
      </c>
      <c r="G370" s="17">
        <f t="shared" si="16"/>
        <v>-198744760</v>
      </c>
      <c r="H370" s="122"/>
    </row>
    <row r="371" spans="1:10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Koreksi'!$D$5:$D$92,'1700'!A356,'Daftar Koreksi'!$G$5:$G$92,"Jalan Irigasi Jaringan",'Daftar Koreksi'!$I$5:$I$92,"&gt;0")</f>
        <v>0</v>
      </c>
      <c r="F371" s="25">
        <f>SUMIFS('Daftar Koreksi'!$I$5:$I$92,'Daftar Koreksi'!$D$5:$D$92,'1700'!A356,'Daftar Koreksi'!$G$5:$G$92,"Jalan Irigasi Jaringan",'Daftar Koreksi'!$I$5:$I$92,"&lt;0")-SUMIFS('Daftar Koreksi'!$I$5:$I$92,'Daftar Koreksi'!$D$5:$D$92,'1700'!A356,'Daftar Koreksi'!$G$5:$G$92,"Jalan Irigasi Jaringan",'Daftar Koreksi'!$I$5:$I$92,"&lt;0")-SUMIFS('Daftar Koreksi'!$I$5:$I$92,'Daftar Koreksi'!$D$5:$D$92,'1700'!A356,'Daftar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10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Koreksi'!$D$5:$D$92,'1700'!A356,'Daftar Koreksi'!$G$5:$G$92,"Aset Tetap Lainnya",'Daftar Koreksi'!$I$5:$I$92,"&gt;0")</f>
        <v>0</v>
      </c>
      <c r="F372" s="25">
        <f>SUMIFS('Daftar Koreksi'!$I$5:$I$92,'Daftar Koreksi'!$D$5:$D$92,'1700'!A356,'Daftar Koreksi'!$G$5:$G$92,"Aset Tetap Lainnya",'Daftar Koreksi'!$I$5:$I$92,"&lt;0")-SUMIFS('Daftar Koreksi'!$I$5:$I$92,'Daftar Koreksi'!$D$5:$D$92,'1700'!A356,'Daftar Koreksi'!$G$5:$G$92,"Aset Tetap Lainnya",'Daftar Koreksi'!$I$5:$I$92,"&lt;0")-SUMIFS('Daftar Koreksi'!$I$5:$I$92,'Daftar Koreksi'!$D$5:$D$92,'1700'!A356,'Daftar Koreksi'!$G$5:$G$92,"Aset Tetap Lainnya",'Daftar Koreksi'!$I$5:$I$92,"&lt;0")</f>
        <v>0</v>
      </c>
      <c r="G372" s="17">
        <f t="shared" si="16"/>
        <v>0</v>
      </c>
      <c r="H372" s="122"/>
    </row>
    <row r="373" spans="1:10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Koreksi'!$D$5:$D$92,'1700'!A356,'Daftar Koreksi'!$G$5:$G$92,"Aset Henti Guna",'Daftar Koreksi'!$I$5:$I$92,"&gt;0")</f>
        <v>0</v>
      </c>
      <c r="F373" s="25">
        <f>SUMIFS('Daftar Koreksi'!$I$5:$I$92,'Daftar Koreksi'!$D$5:$D$92,'1700'!A356,'Daftar Koreksi'!$G$5:$G$92,"Aset Henti Guna",'Daftar Koreksi'!$I$5:$I$92,"&lt;0")-SUMIFS('Daftar Koreksi'!$I$5:$I$92,'Daftar Koreksi'!$D$5:$D$92,'1700'!A356,'Daftar Koreksi'!$G$5:$G$92,"Aset Henti Guna",'Daftar Koreksi'!$I$5:$I$92,"&lt;0")-SUMIFS('Daftar Koreksi'!$I$5:$I$92,'Daftar Koreksi'!$D$5:$D$92,'1700'!A356,'Daftar Koreksi'!$G$5:$G$92,"Aset Henti Guna",'Daftar Koreksi'!$I$5:$I$92,"&lt;0")</f>
        <v>0</v>
      </c>
      <c r="G373" s="17">
        <f t="shared" si="16"/>
        <v>0</v>
      </c>
      <c r="H373" s="122"/>
    </row>
    <row r="374" spans="1:10" ht="21.95" customHeight="1">
      <c r="A374" s="14"/>
      <c r="B374" s="14"/>
      <c r="C374" s="18" t="s">
        <v>2094</v>
      </c>
      <c r="D374" s="19">
        <f>SUM(D369:D373)</f>
        <v>-394373503</v>
      </c>
      <c r="E374" s="19">
        <f>SUM(E369:E373)</f>
        <v>0</v>
      </c>
      <c r="F374" s="19">
        <f>SUM(F369:F373)</f>
        <v>0</v>
      </c>
      <c r="G374" s="19">
        <f t="shared" si="16"/>
        <v>-394373503</v>
      </c>
      <c r="H374" s="122"/>
    </row>
    <row r="375" spans="1:10" ht="21.95" customHeight="1">
      <c r="A375" s="14"/>
      <c r="B375" s="14"/>
      <c r="C375" s="18" t="s">
        <v>2095</v>
      </c>
      <c r="D375" s="19">
        <f>VLOOKUP(A356,'Neraca Unaudited SIMAK'!$A$2:$S$10004,18,FALSE)</f>
        <v>10239585834</v>
      </c>
      <c r="E375" s="19">
        <f>E374+E368</f>
        <v>0</v>
      </c>
      <c r="F375" s="19">
        <f>F374+F368</f>
        <v>0</v>
      </c>
      <c r="G375" s="19">
        <f t="shared" si="16"/>
        <v>10239585834</v>
      </c>
      <c r="H375" s="122"/>
    </row>
    <row r="376" spans="1:10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</sheetData>
  <mergeCells count="102">
    <mergeCell ref="H359:H376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291:H292"/>
    <mergeCell ref="H51:H68"/>
    <mergeCell ref="H73:H90"/>
    <mergeCell ref="H95:H112"/>
    <mergeCell ref="C357:C358"/>
    <mergeCell ref="D357:D358"/>
    <mergeCell ref="E357:F357"/>
    <mergeCell ref="G357:G358"/>
    <mergeCell ref="H357:H358"/>
    <mergeCell ref="C335:C336"/>
    <mergeCell ref="D335:D336"/>
    <mergeCell ref="E335:F335"/>
    <mergeCell ref="G335:G336"/>
    <mergeCell ref="H335:H336"/>
    <mergeCell ref="C313:C314"/>
    <mergeCell ref="D313:D314"/>
    <mergeCell ref="E313:F313"/>
    <mergeCell ref="G313:G314"/>
    <mergeCell ref="H313:H314"/>
    <mergeCell ref="C291:C292"/>
    <mergeCell ref="D291:D292"/>
    <mergeCell ref="E291:F291"/>
    <mergeCell ref="G291:G292"/>
    <mergeCell ref="H337:H354"/>
    <mergeCell ref="C269:C270"/>
    <mergeCell ref="D269:D270"/>
    <mergeCell ref="E269:F269"/>
    <mergeCell ref="G269:G270"/>
    <mergeCell ref="H269:H270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49:C50"/>
    <mergeCell ref="D49:D50"/>
    <mergeCell ref="E49:F49"/>
    <mergeCell ref="G49:G50"/>
    <mergeCell ref="H49:H50"/>
    <mergeCell ref="C27:C28"/>
    <mergeCell ref="D27:D28"/>
    <mergeCell ref="E27:F27"/>
    <mergeCell ref="G27:G28"/>
    <mergeCell ref="H27:H28"/>
    <mergeCell ref="H7:H24"/>
    <mergeCell ref="H29:H46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7" manualBreakCount="7">
    <brk id="91" max="7" man="1"/>
    <brk id="135" max="7" man="1"/>
    <brk id="179" max="7" man="1"/>
    <brk id="223" max="7" man="1"/>
    <brk id="267" max="7" man="1"/>
    <brk id="311" max="7" man="1"/>
    <brk id="355" max="7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P420"/>
  <sheetViews>
    <sheetView view="pageBreakPreview" topLeftCell="C294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3.4257812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564</v>
      </c>
      <c r="P1" s="8" t="s">
        <v>1702</v>
      </c>
    </row>
    <row r="2" spans="1:16" ht="19.5" customHeight="1">
      <c r="C2" s="9" t="s">
        <v>2114</v>
      </c>
      <c r="O2" s="8" t="s">
        <v>565</v>
      </c>
      <c r="P2" s="8" t="s">
        <v>1703</v>
      </c>
    </row>
    <row r="3" spans="1:16" ht="19.5" customHeight="1">
      <c r="O3" s="8" t="s">
        <v>566</v>
      </c>
      <c r="P3" s="8" t="s">
        <v>1704</v>
      </c>
    </row>
    <row r="4" spans="1:16" ht="19.5" customHeight="1">
      <c r="A4" s="11" t="str">
        <f>O1</f>
        <v>005011800099375000KD</v>
      </c>
      <c r="B4" s="11" t="str">
        <f>P1</f>
        <v>PN. Palu</v>
      </c>
      <c r="C4" s="12" t="str">
        <f>A4&amp;" "&amp;B4</f>
        <v>005011800099375000KD PN. Palu</v>
      </c>
      <c r="D4" s="13"/>
      <c r="E4" s="13"/>
      <c r="F4" s="13"/>
      <c r="G4" s="13"/>
      <c r="H4" s="11"/>
      <c r="O4" s="8" t="s">
        <v>567</v>
      </c>
      <c r="P4" s="8" t="s">
        <v>1705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568</v>
      </c>
      <c r="P5" s="8" t="s">
        <v>1706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569</v>
      </c>
      <c r="P6" s="8" t="s">
        <v>1707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738500</v>
      </c>
      <c r="E7" s="25">
        <f>SUMIFS('Daftar Koreksi'!$H$5:$H$92,'Daftar Koreksi'!$D$5:$D$92,'1800'!A4,'Daftar Koreksi'!$G$5:$G$92,"Persediaan",'Daftar Koreksi'!$H$5:$H$92,"&gt;0")</f>
        <v>0</v>
      </c>
      <c r="F7" s="25">
        <f>SUMIFS('Daftar Koreksi'!$H$5:$H$92,'Daftar Koreksi'!$D$5:$D$92,'1800'!A4,'Daftar Koreksi'!$G$5:$G$92,"Persediaan",'Daftar Koreksi'!$H$5:$H$92,"&lt;0")-SUMIFS('Daftar Koreksi'!$H$5:$H$92,'Daftar Koreksi'!$D$5:$D$92,'1800'!A4,'Daftar Koreksi'!$G$5:$G$92,"Persediaan",'Daftar Koreksi'!$H$5:$H$92,"&lt;0")-SUMIFS('Daftar Koreksi'!$H$5:$H$92,'Daftar Koreksi'!$D$5:$D$92,'1800'!A4,'Daftar Koreksi'!$G$5:$G$92,"Persediaan",'Daftar Koreksi'!$H$5:$H$92,"&lt;0")</f>
        <v>0</v>
      </c>
      <c r="G7" s="17">
        <f>D7+E7-F7</f>
        <v>738500</v>
      </c>
      <c r="H7" s="121" t="str">
        <f>IF(ISNA(VLOOKUP(A4,'Mutasi Neraca'!$A$3:$S$914,19,FALSE)),"-",VLOOKUP(A4,'Mutasi Neraca'!$A$3:$S$914,19,FALSE))</f>
        <v>-</v>
      </c>
      <c r="O7" s="8" t="s">
        <v>570</v>
      </c>
      <c r="P7" s="8" t="s">
        <v>1708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17229818000</v>
      </c>
      <c r="E8" s="25">
        <f>SUMIFS('Daftar Koreksi'!$H$5:$H$92,'Daftar Koreksi'!$D$5:$D$92,'1800'!A4,'Daftar Koreksi'!$G$5:$G$92,"Tanah",'Daftar Koreksi'!$H$5:$H$92,"&gt;0")</f>
        <v>0</v>
      </c>
      <c r="F8" s="25">
        <f>SUMIFS('Daftar Koreksi'!$H$5:$H$92,'Daftar Koreksi'!$D$5:$D$92,'1800'!A4,'Daftar Koreksi'!$G$5:$G$92,"Tanah",'Daftar Koreksi'!$H$5:$H$92,"&lt;0")-SUMIFS('Daftar Koreksi'!$H$5:$H$92,'Daftar Koreksi'!$D$5:$D$92,'1800'!A4,'Daftar Koreksi'!$G$5:$G$92,"Tanah",'Daftar Koreksi'!$H$5:$H$92,"&lt;0")-SUMIFS('Daftar Koreksi'!$H$5:$H$92,'Daftar Koreksi'!$D$5:$D$92,'1800'!A4,'Daftar Koreksi'!$G$5:$G$92,"Tanah",'Daftar Koreksi'!$H$5:$H$92,"&lt;0")</f>
        <v>0</v>
      </c>
      <c r="G8" s="17">
        <f t="shared" ref="G8:G24" si="0">D8+E8-F8</f>
        <v>17229818000</v>
      </c>
      <c r="H8" s="122"/>
      <c r="O8" s="8" t="s">
        <v>571</v>
      </c>
      <c r="P8" s="8" t="s">
        <v>1709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2332510167</v>
      </c>
      <c r="E9" s="25">
        <f>SUMIFS('Daftar Koreksi'!$H$5:$H$92,'Daftar Koreksi'!$D$5:$D$92,'1800'!A4,'Daftar Koreksi'!$G$5:$G$92,"Peralatan dan mesin",'Daftar Koreksi'!$H$5:$H$92,"&gt;0")</f>
        <v>0</v>
      </c>
      <c r="F9" s="25">
        <f>SUMIFS('Daftar Koreksi'!$H$5:$H$92,'Daftar Koreksi'!$D$5:$D$92,'1800'!A4,'Daftar Koreksi'!$G$5:$G$92,"Peralatan dan mesin",'Daftar Koreksi'!$H$5:$H$92,"&lt;0")-SUMIFS('Daftar Koreksi'!$H$5:$H$92,'Daftar Koreksi'!$D$5:$D$92,'1800'!A4,'Daftar Koreksi'!$G$5:$G$92,"Peralatan dan mesin",'Daftar Koreksi'!$H$5:$H$92,"&lt;0")-SUMIFS('Daftar Koreksi'!$H$5:$H$92,'Daftar Koreksi'!$D$5:$D$92,'1800'!A4,'Daftar Koreksi'!$G$5:$G$92,"Peralatan dan mesin",'Daftar Koreksi'!$H$5:$H$92,"&lt;0")</f>
        <v>0</v>
      </c>
      <c r="G9" s="17">
        <f t="shared" si="0"/>
        <v>2332510167</v>
      </c>
      <c r="H9" s="122"/>
      <c r="O9" s="8" t="s">
        <v>572</v>
      </c>
      <c r="P9" s="8" t="s">
        <v>1710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14448228540</v>
      </c>
      <c r="E10" s="25">
        <f>SUMIFS('Daftar Koreksi'!$H$5:$H$92,'Daftar Koreksi'!$D$5:$D$92,'1800'!A4,'Daftar Koreksi'!$G$5:$G$92,"Gedung dan Bangunan",'Daftar Koreksi'!$H$5:$H$92,"&gt;0")</f>
        <v>0</v>
      </c>
      <c r="F10" s="25">
        <f>SUMIFS('Daftar Koreksi'!$H$5:$H$92,'Daftar Koreksi'!$D$5:$D$92,'1800'!A4,'Daftar Koreksi'!$G$5:$G$92,"Gedung dan Bangunan",'Daftar Koreksi'!$H$5:$H$92,"&lt;0")-SUMIFS('Daftar Koreksi'!$H$5:$H$92,'Daftar Koreksi'!$D$5:$D$92,'1800'!A4,'Daftar Koreksi'!$G$5:$G$92,"Gedung dan Bangunan",'Daftar Koreksi'!$H$5:$H$92,"&lt;0")-SUMIFS('Daftar Koreksi'!$H$5:$H$92,'Daftar Koreksi'!$D$5:$D$92,'1800'!A4,'Daftar Koreksi'!$G$5:$G$92,"Gedung dan Bangunan",'Daftar Koreksi'!$H$5:$H$92,"&lt;0")</f>
        <v>0</v>
      </c>
      <c r="G10" s="17">
        <f t="shared" si="0"/>
        <v>14448228540</v>
      </c>
      <c r="H10" s="122"/>
      <c r="O10" s="8" t="s">
        <v>573</v>
      </c>
      <c r="P10" s="8" t="s">
        <v>1711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Koreksi'!$D$5:$D$92,'1800'!A4,'Daftar Koreksi'!$G$5:$G$92,"Jalan Irigasi Jaringan",'Daftar Koreksi'!$H$5:$H$92,"&gt;0")</f>
        <v>0</v>
      </c>
      <c r="F11" s="25">
        <f>SUMIFS('Daftar Koreksi'!$H$5:$H$92,'Daftar Koreksi'!$D$5:$D$92,'1800'!A4,'Daftar Koreksi'!$G$5:$G$92,"Jalan Irigasi Jaringan",'Daftar Koreksi'!$H$5:$H$92,"&lt;0")-SUMIFS('Daftar Koreksi'!$H$5:$H$92,'Daftar Koreksi'!$D$5:$D$92,'1800'!A4,'Daftar Koreksi'!$G$5:$G$92,"Jalan Irigasi Jaringan",'Daftar Koreksi'!$H$5:$H$92,"&lt;0")-SUMIFS('Daftar Koreksi'!$H$5:$H$92,'Daftar Koreksi'!$D$5:$D$92,'1800'!A4,'Daftar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574</v>
      </c>
      <c r="P11" s="8" t="s">
        <v>1712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61893440</v>
      </c>
      <c r="E12" s="25">
        <f>SUMIFS('Daftar Koreksi'!$H$5:$H$92,'Daftar Koreksi'!$D$5:$D$92,'1800'!A4,'Daftar Koreksi'!$G$5:$G$92,"Aset Tetap Lainnya",'Daftar Koreksi'!$H$5:$H$92,"&gt;0")</f>
        <v>0</v>
      </c>
      <c r="F12" s="25">
        <f>SUMIFS('Daftar Koreksi'!$H$5:$H$92,'Daftar Koreksi'!$D$5:$D$92,'1800'!A4,'Daftar Koreksi'!$G$5:$G$92,"Aset Tetap Lainnya",'Daftar Koreksi'!$H$5:$H$92,"&lt;0")-SUMIFS('Daftar Koreksi'!$H$5:$H$92,'Daftar Koreksi'!$D$5:$D$92,'1800'!A4,'Daftar Koreksi'!$G$5:$G$92,"Aset Tetap Lainnya",'Daftar Koreksi'!$H$5:$H$92,"&lt;0")-SUMIFS('Daftar Koreksi'!$H$5:$H$92,'Daftar Koreksi'!$D$5:$D$92,'1800'!A4,'Daftar Koreksi'!$G$5:$G$92,"Aset Tetap Lainnya",'Daftar Koreksi'!$H$5:$H$92,"&lt;0")</f>
        <v>0</v>
      </c>
      <c r="G12" s="17">
        <f t="shared" si="0"/>
        <v>61893440</v>
      </c>
      <c r="H12" s="122"/>
      <c r="O12" s="8" t="s">
        <v>575</v>
      </c>
      <c r="P12" s="8" t="s">
        <v>1713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Koreksi'!$D$5:$D$92,'1800'!A4,'Daftar Koreksi'!$G$5:$G$92,"Kontruksi Dalam Pengerjaan",'Daftar Koreksi'!$H$5:$H$92,"&gt;0")</f>
        <v>0</v>
      </c>
      <c r="F13" s="25">
        <f>SUMIFS('Daftar Koreksi'!$H$5:$H$92,'Daftar Koreksi'!$D$5:$D$92,'1800'!A4,'Daftar Koreksi'!$G$5:$G$92,"Kontruksi Dalam Pengerjaan",'Daftar Koreksi'!$H$5:$H$92,"&lt;0")-SUMIFS('Daftar Koreksi'!$H$5:$H$92,'Daftar Koreksi'!$D$5:$D$92,'1800'!A4,'Daftar Koreksi'!$G$5:$G$92,"Kontruksi Dalam Pengerjaan",'Daftar Koreksi'!$H$5:$H$92,"&lt;0")-SUMIFS('Daftar Koreksi'!$H$5:$H$92,'Daftar Koreksi'!$D$5:$D$92,'1800'!A4,'Daftar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576</v>
      </c>
      <c r="P13" s="8" t="s">
        <v>1714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Koreksi'!$D$5:$D$92,'1800'!A4,'Daftar Koreksi'!$G$5:$G$92,"Aset Tak Berwujud",'Daftar Koreksi'!$H$5:$H$92,"&gt;0")</f>
        <v>0</v>
      </c>
      <c r="F14" s="25">
        <f>SUMIFS('Daftar Koreksi'!$H$5:$H$92,'Daftar Koreksi'!$D$5:$D$92,'1800'!A4,'Daftar Koreksi'!$G$5:$G$92,"Aset Tak Berwujud",'Daftar Koreksi'!$H$5:$H$92,"&lt;0")-SUMIFS('Daftar Koreksi'!$H$5:$H$92,'Daftar Koreksi'!$D$5:$D$92,'1800'!A4,'Daftar Koreksi'!$G$5:$G$92,"Aset Tak Berwujud",'Daftar Koreksi'!$H$5:$H$92,"&lt;0")-SUMIFS('Daftar Koreksi'!$H$5:$H$92,'Daftar Koreksi'!$D$5:$D$92,'1800'!A4,'Daftar Koreksi'!$G$5:$G$92,"Aset Tak Berwujud",'Daftar Koreksi'!$H$5:$H$92,"&lt;0")</f>
        <v>0</v>
      </c>
      <c r="G14" s="17">
        <f t="shared" si="0"/>
        <v>0</v>
      </c>
      <c r="H14" s="122"/>
      <c r="O14" s="8" t="s">
        <v>577</v>
      </c>
      <c r="P14" s="8" t="s">
        <v>1715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61839800</v>
      </c>
      <c r="E15" s="25">
        <f>SUMIFS('Daftar Koreksi'!$H$5:$H$92,'Daftar Koreksi'!$D$5:$D$92,'1800'!A4,'Daftar Koreksi'!$G$5:$G$92,"Aset Henti Guna",'Daftar Koreksi'!$H$5:$H$92,"&gt;0")</f>
        <v>0</v>
      </c>
      <c r="F15" s="25">
        <f>SUMIFS('Daftar Koreksi'!$H$5:$H$92,'Daftar Koreksi'!$D$5:$D$92,'1800'!A4,'Daftar Koreksi'!$G$5:$G$92,"Aset Henti Guna",'Daftar Koreksi'!$H$5:$H$92,"&lt;0")-SUMIFS('Daftar Koreksi'!$H$5:$H$92,'Daftar Koreksi'!$D$5:$D$92,'1800'!A4,'Daftar Koreksi'!$G$5:$G$92,"Aset Henti Guna",'Daftar Koreksi'!$H$5:$H$92,"&lt;0")-SUMIFS('Daftar Koreksi'!$H$5:$H$92,'Daftar Koreksi'!$D$5:$D$92,'1800'!A4,'Daftar Koreksi'!$G$5:$G$92,"Aset Henti Guna",'Daftar Koreksi'!$H$5:$H$92,"&lt;0")</f>
        <v>0</v>
      </c>
      <c r="G15" s="17">
        <f t="shared" si="0"/>
        <v>61839800</v>
      </c>
      <c r="H15" s="122"/>
      <c r="O15" s="8" t="s">
        <v>578</v>
      </c>
      <c r="P15" s="8" t="s">
        <v>1716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34135028447</v>
      </c>
      <c r="E16" s="19">
        <f>SUM(E7:E15)</f>
        <v>0</v>
      </c>
      <c r="F16" s="19">
        <f>SUM(F7:F15)</f>
        <v>0</v>
      </c>
      <c r="G16" s="19">
        <f t="shared" si="0"/>
        <v>34135028447</v>
      </c>
      <c r="H16" s="122"/>
      <c r="O16" s="8" t="s">
        <v>579</v>
      </c>
      <c r="P16" s="8" t="s">
        <v>1717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-1989407124</v>
      </c>
      <c r="E17" s="25">
        <f>SUMIFS('Daftar Koreksi'!$I$5:$I$92,'Daftar Koreksi'!$D$5:$D$92,'1800'!A4,'Daftar Koreksi'!$G$5:$G$92,"Peralatan dan mesin",'Daftar Koreksi'!$I$5:$I$92,"&gt;0")</f>
        <v>0</v>
      </c>
      <c r="F17" s="25">
        <f>SUMIFS('Daftar Koreksi'!$I$5:$I$92,'Daftar Koreksi'!$D$5:$D$92,'1800'!A4,'Daftar Koreksi'!$G$5:$G$92,"Peralatan dan mesin",'Daftar Koreksi'!$I$5:$I$92,"&lt;0")-SUMIFS('Daftar Koreksi'!$I$5:$I$92,'Daftar Koreksi'!$D$5:$D$92,'1800'!A4,'Daftar Koreksi'!$G$5:$G$92,"Peralatan dan mesin",'Daftar Koreksi'!$I$5:$I$92,"&lt;0")-SUMIFS('Daftar Koreksi'!$I$5:$I$92,'Daftar Koreksi'!$D$5:$D$92,'1800'!A4,'Daftar Koreksi'!$G$5:$G$92,"Peralatan dan mesin",'Daftar Koreksi'!$I$5:$I$92,"&lt;0")</f>
        <v>0</v>
      </c>
      <c r="G17" s="17">
        <f t="shared" si="0"/>
        <v>-1989407124</v>
      </c>
      <c r="H17" s="122"/>
      <c r="O17" s="8" t="s">
        <v>580</v>
      </c>
      <c r="P17" s="8" t="s">
        <v>1718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-2142301453</v>
      </c>
      <c r="E18" s="25">
        <f>SUMIFS('Daftar Koreksi'!$I$5:$I$92,'Daftar Koreksi'!$D$5:$D$92,'1800'!A4,'Daftar Koreksi'!$G$5:$G$92,"Gedung dan Bangunan",'Daftar Koreksi'!$I$5:$I$92,"&gt;0")</f>
        <v>0</v>
      </c>
      <c r="F18" s="25">
        <f>SUMIFS('Daftar Koreksi'!$I$5:$I$92,'Daftar Koreksi'!$D$5:$D$92,'1800'!A4,'Daftar Koreksi'!$G$5:$G$92,"Gedung dan Bangunan",'Daftar Koreksi'!$I$5:$I$92,"&lt;0")-SUMIFS('Daftar Koreksi'!$I$5:$I$92,'Daftar Koreksi'!$D$5:$D$92,'1800'!A4,'Daftar Koreksi'!$G$5:$G$92,"Gedung dan Bangunan",'Daftar Koreksi'!$I$5:$I$92,"&lt;0")-SUMIFS('Daftar Koreksi'!$I$5:$I$92,'Daftar Koreksi'!$D$5:$D$92,'1800'!A4,'Daftar Koreksi'!$G$5:$G$92,"Gedung dan Bangunan",'Daftar Koreksi'!$I$5:$I$92,"&lt;0")</f>
        <v>0</v>
      </c>
      <c r="G18" s="17">
        <f t="shared" si="0"/>
        <v>-2142301453</v>
      </c>
      <c r="H18" s="122"/>
      <c r="O18" s="8" t="s">
        <v>581</v>
      </c>
      <c r="P18" s="8" t="s">
        <v>1719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Koreksi'!$D$5:$D$92,'1800'!A4,'Daftar Koreksi'!$G$5:$G$92,"Jalan Irigasi Jaringan",'Daftar Koreksi'!$I$5:$I$92,"&gt;0")</f>
        <v>0</v>
      </c>
      <c r="F19" s="25">
        <f>SUMIFS('Daftar Koreksi'!$I$5:$I$92,'Daftar Koreksi'!$D$5:$D$92,'1800'!A4,'Daftar Koreksi'!$G$5:$G$92,"Jalan Irigasi Jaringan",'Daftar Koreksi'!$I$5:$I$92,"&lt;0")-SUMIFS('Daftar Koreksi'!$I$5:$I$92,'Daftar Koreksi'!$D$5:$D$92,'1800'!A4,'Daftar Koreksi'!$G$5:$G$92,"Jalan Irigasi Jaringan",'Daftar Koreksi'!$I$5:$I$92,"&lt;0")-SUMIFS('Daftar Koreksi'!$I$5:$I$92,'Daftar Koreksi'!$D$5:$D$92,'1800'!A4,'Daftar Koreksi'!$G$5:$G$92,"Jalan Irigasi Jaringan",'Daftar Koreksi'!$I$5:$I$92,"&lt;0")</f>
        <v>0</v>
      </c>
      <c r="G19" s="17">
        <f t="shared" si="0"/>
        <v>0</v>
      </c>
      <c r="H19" s="122"/>
      <c r="O19" s="8" t="s">
        <v>582</v>
      </c>
      <c r="P19" s="8" t="s">
        <v>1720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Koreksi'!$D$5:$D$92,'1800'!A4,'Daftar Koreksi'!$G$5:$G$92,"Aset Tetap Lainnya",'Daftar Koreksi'!$I$5:$I$92,"&gt;0")</f>
        <v>0</v>
      </c>
      <c r="F20" s="25">
        <f>SUMIFS('Daftar Koreksi'!$I$5:$I$92,'Daftar Koreksi'!$D$5:$D$92,'1800'!A4,'Daftar Koreksi'!$G$5:$G$92,"Aset Tetap Lainnya",'Daftar Koreksi'!$I$5:$I$92,"&lt;0")-SUMIFS('Daftar Koreksi'!$I$5:$I$92,'Daftar Koreksi'!$D$5:$D$92,'1800'!A4,'Daftar Koreksi'!$G$5:$G$92,"Aset Tetap Lainnya",'Daftar Koreksi'!$I$5:$I$92,"&lt;0")-SUMIFS('Daftar Koreksi'!$I$5:$I$92,'Daftar Koreksi'!$D$5:$D$92,'1800'!A4,'Daftar Koreksi'!$G$5:$G$92,"Aset Tetap Lainnya",'Daftar Koreksi'!$I$5:$I$92,"&lt;0")</f>
        <v>0</v>
      </c>
      <c r="G20" s="17">
        <f t="shared" si="0"/>
        <v>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-50499020</v>
      </c>
      <c r="E21" s="25">
        <f>SUMIFS('Daftar Koreksi'!$I$5:$I$92,'Daftar Koreksi'!$D$5:$D$92,'1800'!A4,'Daftar Koreksi'!$G$5:$G$92,"Aset Henti Guna",'Daftar Koreksi'!$I$5:$I$92,"&gt;0")</f>
        <v>0</v>
      </c>
      <c r="F21" s="25">
        <f>SUMIFS('Daftar Koreksi'!$I$5:$I$92,'Daftar Koreksi'!$D$5:$D$92,'1800'!A4,'Daftar Koreksi'!$G$5:$G$92,"Aset Henti Guna",'Daftar Koreksi'!$I$5:$I$92,"&lt;0")-SUMIFS('Daftar Koreksi'!$I$5:$I$92,'Daftar Koreksi'!$D$5:$D$92,'1800'!A4,'Daftar Koreksi'!$G$5:$G$92,"Aset Henti Guna",'Daftar Koreksi'!$I$5:$I$92,"&lt;0")-SUMIFS('Daftar Koreksi'!$I$5:$I$92,'Daftar Koreksi'!$D$5:$D$92,'1800'!A4,'Daftar Koreksi'!$G$5:$G$92,"Aset Henti Guna",'Daftar Koreksi'!$I$5:$I$92,"&lt;0")</f>
        <v>0</v>
      </c>
      <c r="G21" s="17">
        <f t="shared" si="0"/>
        <v>-50499020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-4182207597</v>
      </c>
      <c r="E22" s="19">
        <f>SUM(E17:E21)</f>
        <v>0</v>
      </c>
      <c r="F22" s="19">
        <f>SUM(F17:F21)</f>
        <v>0</v>
      </c>
      <c r="G22" s="19">
        <f t="shared" si="0"/>
        <v>-4182207597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29952820850</v>
      </c>
      <c r="E23" s="19">
        <f>E22+E16</f>
        <v>0</v>
      </c>
      <c r="F23" s="19">
        <f>F22+F16</f>
        <v>0</v>
      </c>
      <c r="G23" s="19">
        <f t="shared" si="0"/>
        <v>29952820850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005011800099382000KD</v>
      </c>
      <c r="B26" s="11" t="str">
        <f>P2</f>
        <v>PN. Toli-Toli</v>
      </c>
      <c r="C26" s="12" t="str">
        <f>A26&amp;" "&amp;B26</f>
        <v>005011800099382000KD PN. Toli-Toli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396000</v>
      </c>
      <c r="E29" s="25">
        <f>SUMIFS('Daftar Koreksi'!$H$5:$H$92,'Daftar Koreksi'!$D$5:$D$92,'1800'!A26,'Daftar Koreksi'!$G$5:$G$92,"Persediaan",'Daftar Koreksi'!$H$5:$H$92,"&gt;0")</f>
        <v>0</v>
      </c>
      <c r="F29" s="25">
        <f>SUMIFS('Daftar Koreksi'!$H$5:$H$92,'Daftar Koreksi'!$D$5:$D$92,'1800'!A26,'Daftar Koreksi'!$G$5:$G$92,"Persediaan",'Daftar Koreksi'!$H$5:$H$92,"&lt;0")-SUMIFS('Daftar Koreksi'!$H$5:$H$92,'Daftar Koreksi'!$D$5:$D$92,'1800'!A26,'Daftar Koreksi'!$G$5:$G$92,"Persediaan",'Daftar Koreksi'!$H$5:$H$92,"&lt;0")-SUMIFS('Daftar Koreksi'!$H$5:$H$92,'Daftar Koreksi'!$D$5:$D$92,'1800'!A26,'Daftar Koreksi'!$G$5:$G$92,"Persediaan",'Daftar Koreksi'!$H$5:$H$92,"&lt;0")</f>
        <v>0</v>
      </c>
      <c r="G29" s="17">
        <f>D29+E29-F29</f>
        <v>396000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1065000000</v>
      </c>
      <c r="E30" s="25">
        <f>SUMIFS('Daftar Koreksi'!$H$5:$H$92,'Daftar Koreksi'!$D$5:$D$92,'1800'!A26,'Daftar Koreksi'!$G$5:$G$92,"Tanah",'Daftar Koreksi'!$H$5:$H$92,"&gt;0")</f>
        <v>0</v>
      </c>
      <c r="F30" s="25">
        <f>SUMIFS('Daftar Koreksi'!$H$5:$H$92,'Daftar Koreksi'!$D$5:$D$92,'1800'!A26,'Daftar Koreksi'!$G$5:$G$92,"Tanah",'Daftar Koreksi'!$H$5:$H$92,"&lt;0")-SUMIFS('Daftar Koreksi'!$H$5:$H$92,'Daftar Koreksi'!$D$5:$D$92,'1800'!A26,'Daftar Koreksi'!$G$5:$G$92,"Tanah",'Daftar Koreksi'!$H$5:$H$92,"&lt;0")-SUMIFS('Daftar Koreksi'!$H$5:$H$92,'Daftar Koreksi'!$D$5:$D$92,'1800'!A26,'Daftar Koreksi'!$G$5:$G$92,"Tanah",'Daftar Koreksi'!$H$5:$H$92,"&lt;0")</f>
        <v>0</v>
      </c>
      <c r="G30" s="17">
        <f t="shared" ref="G30:G46" si="1">D30+E30-F30</f>
        <v>1065000000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1170242831</v>
      </c>
      <c r="E31" s="25">
        <f>SUMIFS('Daftar Koreksi'!$H$5:$H$92,'Daftar Koreksi'!$D$5:$D$92,'1800'!A26,'Daftar Koreksi'!$G$5:$G$92,"Peralatan dan mesin",'Daftar Koreksi'!$H$5:$H$92,"&gt;0")</f>
        <v>0</v>
      </c>
      <c r="F31" s="25">
        <f>SUMIFS('Daftar Koreksi'!$H$5:$H$92,'Daftar Koreksi'!$D$5:$D$92,'1800'!A26,'Daftar Koreksi'!$G$5:$G$92,"Peralatan dan mesin",'Daftar Koreksi'!$H$5:$H$92,"&lt;0")-SUMIFS('Daftar Koreksi'!$H$5:$H$92,'Daftar Koreksi'!$D$5:$D$92,'1800'!A26,'Daftar Koreksi'!$G$5:$G$92,"Peralatan dan mesin",'Daftar Koreksi'!$H$5:$H$92,"&lt;0")-SUMIFS('Daftar Koreksi'!$H$5:$H$92,'Daftar Koreksi'!$D$5:$D$92,'1800'!A26,'Daftar Koreksi'!$G$5:$G$92,"Peralatan dan mesin",'Daftar Koreksi'!$H$5:$H$92,"&lt;0")</f>
        <v>0</v>
      </c>
      <c r="G31" s="17">
        <f t="shared" si="1"/>
        <v>1170242831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12879770500</v>
      </c>
      <c r="E32" s="25">
        <f>SUMIFS('Daftar Koreksi'!$H$5:$H$92,'Daftar Koreksi'!$D$5:$D$92,'1800'!A26,'Daftar Koreksi'!$G$5:$G$92,"Gedung dan Bangunan",'Daftar Koreksi'!$H$5:$H$92,"&gt;0")</f>
        <v>0</v>
      </c>
      <c r="F32" s="25">
        <f>SUMIFS('Daftar Koreksi'!$H$5:$H$92,'Daftar Koreksi'!$D$5:$D$92,'1800'!A26,'Daftar Koreksi'!$G$5:$G$92,"Gedung dan Bangunan",'Daftar Koreksi'!$H$5:$H$92,"&lt;0")-SUMIFS('Daftar Koreksi'!$H$5:$H$92,'Daftar Koreksi'!$D$5:$D$92,'1800'!A26,'Daftar Koreksi'!$G$5:$G$92,"Gedung dan Bangunan",'Daftar Koreksi'!$H$5:$H$92,"&lt;0")-SUMIFS('Daftar Koreksi'!$H$5:$H$92,'Daftar Koreksi'!$D$5:$D$92,'1800'!A26,'Daftar Koreksi'!$G$5:$G$92,"Gedung dan Bangunan",'Daftar Koreksi'!$H$5:$H$92,"&lt;0")</f>
        <v>0</v>
      </c>
      <c r="G32" s="17">
        <f t="shared" si="1"/>
        <v>12879770500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Koreksi'!$D$5:$D$92,'1800'!A26,'Daftar Koreksi'!$G$5:$G$92,"Jalan Irigasi Jaringan",'Daftar Koreksi'!$H$5:$H$92,"&gt;0")</f>
        <v>0</v>
      </c>
      <c r="F33" s="25">
        <f>SUMIFS('Daftar Koreksi'!$H$5:$H$92,'Daftar Koreksi'!$D$5:$D$92,'1800'!A26,'Daftar Koreksi'!$G$5:$G$92,"Jalan Irigasi Jaringan",'Daftar Koreksi'!$H$5:$H$92,"&lt;0")-SUMIFS('Daftar Koreksi'!$H$5:$H$92,'Daftar Koreksi'!$D$5:$D$92,'1800'!A26,'Daftar Koreksi'!$G$5:$G$92,"Jalan Irigasi Jaringan",'Daftar Koreksi'!$H$5:$H$92,"&lt;0")-SUMIFS('Daftar Koreksi'!$H$5:$H$92,'Daftar Koreksi'!$D$5:$D$92,'1800'!A26,'Daftar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1440000</v>
      </c>
      <c r="E34" s="25">
        <f>SUMIFS('Daftar Koreksi'!$H$5:$H$92,'Daftar Koreksi'!$D$5:$D$92,'1800'!A26,'Daftar Koreksi'!$G$5:$G$92,"Aset Tetap Lainnya",'Daftar Koreksi'!$H$5:$H$92,"&gt;0")</f>
        <v>0</v>
      </c>
      <c r="F34" s="25">
        <f>SUMIFS('Daftar Koreksi'!$H$5:$H$92,'Daftar Koreksi'!$D$5:$D$92,'1800'!A26,'Daftar Koreksi'!$G$5:$G$92,"Aset Tetap Lainnya",'Daftar Koreksi'!$H$5:$H$92,"&lt;0")-SUMIFS('Daftar Koreksi'!$H$5:$H$92,'Daftar Koreksi'!$D$5:$D$92,'1800'!A26,'Daftar Koreksi'!$G$5:$G$92,"Aset Tetap Lainnya",'Daftar Koreksi'!$H$5:$H$92,"&lt;0")-SUMIFS('Daftar Koreksi'!$H$5:$H$92,'Daftar Koreksi'!$D$5:$D$92,'1800'!A26,'Daftar Koreksi'!$G$5:$G$92,"Aset Tetap Lainnya",'Daftar Koreksi'!$H$5:$H$92,"&lt;0")</f>
        <v>0</v>
      </c>
      <c r="G34" s="17">
        <f t="shared" si="1"/>
        <v>1440000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Koreksi'!$D$5:$D$92,'1800'!A26,'Daftar Koreksi'!$G$5:$G$92,"Kontruksi Dalam Pengerjaan",'Daftar Koreksi'!$H$5:$H$92,"&gt;0")</f>
        <v>0</v>
      </c>
      <c r="F35" s="25">
        <f>SUMIFS('Daftar Koreksi'!$H$5:$H$92,'Daftar Koreksi'!$D$5:$D$92,'1800'!A26,'Daftar Koreksi'!$G$5:$G$92,"Kontruksi Dalam Pengerjaan",'Daftar Koreksi'!$H$5:$H$92,"&lt;0")-SUMIFS('Daftar Koreksi'!$H$5:$H$92,'Daftar Koreksi'!$D$5:$D$92,'1800'!A26,'Daftar Koreksi'!$G$5:$G$92,"Kontruksi Dalam Pengerjaan",'Daftar Koreksi'!$H$5:$H$92,"&lt;0")-SUMIFS('Daftar Koreksi'!$H$5:$H$92,'Daftar Koreksi'!$D$5:$D$92,'1800'!A26,'Daftar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4400000</v>
      </c>
      <c r="E36" s="25">
        <f>SUMIFS('Daftar Koreksi'!$H$5:$H$92,'Daftar Koreksi'!$D$5:$D$92,'1800'!A26,'Daftar Koreksi'!$G$5:$G$92,"Aset Tak Berwujud",'Daftar Koreksi'!$H$5:$H$92,"&gt;0")</f>
        <v>0</v>
      </c>
      <c r="F36" s="25">
        <f>SUMIFS('Daftar Koreksi'!$H$5:$H$92,'Daftar Koreksi'!$D$5:$D$92,'1800'!A26,'Daftar Koreksi'!$G$5:$G$92,"Aset Tak Berwujud",'Daftar Koreksi'!$H$5:$H$92,"&lt;0")-SUMIFS('Daftar Koreksi'!$H$5:$H$92,'Daftar Koreksi'!$D$5:$D$92,'1800'!A26,'Daftar Koreksi'!$G$5:$G$92,"Aset Tak Berwujud",'Daftar Koreksi'!$H$5:$H$92,"&lt;0")-SUMIFS('Daftar Koreksi'!$H$5:$H$92,'Daftar Koreksi'!$D$5:$D$92,'1800'!A26,'Daftar Koreksi'!$G$5:$G$92,"Aset Tak Berwujud",'Daftar Koreksi'!$H$5:$H$92,"&lt;0")</f>
        <v>0</v>
      </c>
      <c r="G36" s="17">
        <f t="shared" si="1"/>
        <v>4400000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5538506</v>
      </c>
      <c r="E37" s="25">
        <f>SUMIFS('Daftar Koreksi'!$H$5:$H$92,'Daftar Koreksi'!$D$5:$D$92,'1800'!A26,'Daftar Koreksi'!$G$5:$G$92,"Aset Henti Guna",'Daftar Koreksi'!$H$5:$H$92,"&gt;0")</f>
        <v>0</v>
      </c>
      <c r="F37" s="25">
        <f>SUMIFS('Daftar Koreksi'!$H$5:$H$92,'Daftar Koreksi'!$D$5:$D$92,'1800'!A26,'Daftar Koreksi'!$G$5:$G$92,"Aset Henti Guna",'Daftar Koreksi'!$H$5:$H$92,"&lt;0")-SUMIFS('Daftar Koreksi'!$H$5:$H$92,'Daftar Koreksi'!$D$5:$D$92,'1800'!A26,'Daftar Koreksi'!$G$5:$G$92,"Aset Henti Guna",'Daftar Koreksi'!$H$5:$H$92,"&lt;0")-SUMIFS('Daftar Koreksi'!$H$5:$H$92,'Daftar Koreksi'!$D$5:$D$92,'1800'!A26,'Daftar Koreksi'!$G$5:$G$92,"Aset Henti Guna",'Daftar Koreksi'!$H$5:$H$92,"&lt;0")</f>
        <v>0</v>
      </c>
      <c r="G37" s="17">
        <f t="shared" si="1"/>
        <v>5538506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15126787837</v>
      </c>
      <c r="E38" s="19">
        <f>SUM(E29:E37)</f>
        <v>0</v>
      </c>
      <c r="F38" s="19">
        <f>SUM(F29:F37)</f>
        <v>0</v>
      </c>
      <c r="G38" s="19">
        <f t="shared" si="1"/>
        <v>15126787837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-1073349181</v>
      </c>
      <c r="E39" s="25">
        <f>SUMIFS('Daftar Koreksi'!$I$5:$I$92,'Daftar Koreksi'!$D$5:$D$92,'1800'!A26,'Daftar Koreksi'!$G$5:$G$92,"Peralatan dan mesin",'Daftar Koreksi'!$I$5:$I$92,"&gt;0")</f>
        <v>0</v>
      </c>
      <c r="F39" s="25">
        <f>SUMIFS('Daftar Koreksi'!$I$5:$I$92,'Daftar Koreksi'!$D$5:$D$92,'1800'!A26,'Daftar Koreksi'!$G$5:$G$92,"Peralatan dan mesin",'Daftar Koreksi'!$I$5:$I$92,"&lt;0")-SUMIFS('Daftar Koreksi'!$I$5:$I$92,'Daftar Koreksi'!$D$5:$D$92,'1800'!A26,'Daftar Koreksi'!$G$5:$G$92,"Peralatan dan mesin",'Daftar Koreksi'!$I$5:$I$92,"&lt;0")-SUMIFS('Daftar Koreksi'!$I$5:$I$92,'Daftar Koreksi'!$D$5:$D$92,'1800'!A26,'Daftar Koreksi'!$G$5:$G$92,"Peralatan dan mesin",'Daftar Koreksi'!$I$5:$I$92,"&lt;0")</f>
        <v>0</v>
      </c>
      <c r="G39" s="17">
        <f t="shared" si="1"/>
        <v>-1073349181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-2579452075</v>
      </c>
      <c r="E40" s="25">
        <f>SUMIFS('Daftar Koreksi'!$I$5:$I$92,'Daftar Koreksi'!$D$5:$D$92,'1800'!A26,'Daftar Koreksi'!$G$5:$G$92,"Gedung dan Bangunan",'Daftar Koreksi'!$I$5:$I$92,"&gt;0")</f>
        <v>0</v>
      </c>
      <c r="F40" s="25">
        <f>SUMIFS('Daftar Koreksi'!$I$5:$I$92,'Daftar Koreksi'!$D$5:$D$92,'1800'!A26,'Daftar Koreksi'!$G$5:$G$92,"Gedung dan Bangunan",'Daftar Koreksi'!$I$5:$I$92,"&lt;0")-SUMIFS('Daftar Koreksi'!$I$5:$I$92,'Daftar Koreksi'!$D$5:$D$92,'1800'!A26,'Daftar Koreksi'!$G$5:$G$92,"Gedung dan Bangunan",'Daftar Koreksi'!$I$5:$I$92,"&lt;0")-SUMIFS('Daftar Koreksi'!$I$5:$I$92,'Daftar Koreksi'!$D$5:$D$92,'1800'!A26,'Daftar Koreksi'!$G$5:$G$92,"Gedung dan Bangunan",'Daftar Koreksi'!$I$5:$I$92,"&lt;0")</f>
        <v>0</v>
      </c>
      <c r="G40" s="17">
        <f t="shared" si="1"/>
        <v>-2579452075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Koreksi'!$D$5:$D$92,'1800'!A26,'Daftar Koreksi'!$G$5:$G$92,"Jalan Irigasi Jaringan",'Daftar Koreksi'!$I$5:$I$92,"&gt;0")</f>
        <v>0</v>
      </c>
      <c r="F41" s="25">
        <f>SUMIFS('Daftar Koreksi'!$I$5:$I$92,'Daftar Koreksi'!$D$5:$D$92,'1800'!A26,'Daftar Koreksi'!$G$5:$G$92,"Jalan Irigasi Jaringan",'Daftar Koreksi'!$I$5:$I$92,"&lt;0")-SUMIFS('Daftar Koreksi'!$I$5:$I$92,'Daftar Koreksi'!$D$5:$D$92,'1800'!A26,'Daftar Koreksi'!$G$5:$G$92,"Jalan Irigasi Jaringan",'Daftar Koreksi'!$I$5:$I$92,"&lt;0")-SUMIFS('Daftar Koreksi'!$I$5:$I$92,'Daftar Koreksi'!$D$5:$D$92,'1800'!A26,'Daftar Koreksi'!$G$5:$G$92,"Jalan Irigasi Jaringan",'Daftar Koreksi'!$I$5:$I$92,"&lt;0")</f>
        <v>0</v>
      </c>
      <c r="G41" s="17">
        <f t="shared" si="1"/>
        <v>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Koreksi'!$D$5:$D$92,'1800'!A26,'Daftar Koreksi'!$G$5:$G$92,"Aset Tetap Lainnya",'Daftar Koreksi'!$I$5:$I$92,"&gt;0")</f>
        <v>0</v>
      </c>
      <c r="F42" s="25">
        <f>SUMIFS('Daftar Koreksi'!$I$5:$I$92,'Daftar Koreksi'!$D$5:$D$92,'1800'!A26,'Daftar Koreksi'!$G$5:$G$92,"Aset Tetap Lainnya",'Daftar Koreksi'!$I$5:$I$92,"&lt;0")-SUMIFS('Daftar Koreksi'!$I$5:$I$92,'Daftar Koreksi'!$D$5:$D$92,'1800'!A26,'Daftar Koreksi'!$G$5:$G$92,"Aset Tetap Lainnya",'Daftar Koreksi'!$I$5:$I$92,"&lt;0")-SUMIFS('Daftar Koreksi'!$I$5:$I$92,'Daftar Koreksi'!$D$5:$D$92,'1800'!A26,'Daftar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-4288506</v>
      </c>
      <c r="E43" s="25">
        <f>SUMIFS('Daftar Koreksi'!$I$5:$I$92,'Daftar Koreksi'!$D$5:$D$92,'1800'!A26,'Daftar Koreksi'!$G$5:$G$92,"Aset Henti Guna",'Daftar Koreksi'!$I$5:$I$92,"&gt;0")</f>
        <v>0</v>
      </c>
      <c r="F43" s="25">
        <f>SUMIFS('Daftar Koreksi'!$I$5:$I$92,'Daftar Koreksi'!$D$5:$D$92,'1800'!A26,'Daftar Koreksi'!$G$5:$G$92,"Aset Henti Guna",'Daftar Koreksi'!$I$5:$I$92,"&lt;0")-SUMIFS('Daftar Koreksi'!$I$5:$I$92,'Daftar Koreksi'!$D$5:$D$92,'1800'!A26,'Daftar Koreksi'!$G$5:$G$92,"Aset Henti Guna",'Daftar Koreksi'!$I$5:$I$92,"&lt;0")-SUMIFS('Daftar Koreksi'!$I$5:$I$92,'Daftar Koreksi'!$D$5:$D$92,'1800'!A26,'Daftar Koreksi'!$G$5:$G$92,"Aset Henti Guna",'Daftar Koreksi'!$I$5:$I$92,"&lt;0")</f>
        <v>0</v>
      </c>
      <c r="G43" s="17">
        <f t="shared" si="1"/>
        <v>-4288506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-3657089762</v>
      </c>
      <c r="E44" s="19">
        <f>SUM(E39:E43)</f>
        <v>0</v>
      </c>
      <c r="F44" s="19">
        <f>SUM(F39:F43)</f>
        <v>0</v>
      </c>
      <c r="G44" s="19">
        <f t="shared" si="1"/>
        <v>-3657089762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11469698075</v>
      </c>
      <c r="E45" s="19">
        <f>E44+E38</f>
        <v>0</v>
      </c>
      <c r="F45" s="19">
        <f>F44+F38</f>
        <v>0</v>
      </c>
      <c r="G45" s="19">
        <f t="shared" si="1"/>
        <v>11469698075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005011800099396000KD</v>
      </c>
      <c r="B48" s="11" t="str">
        <f>P3</f>
        <v>PN. Luwuk</v>
      </c>
      <c r="C48" s="12" t="str">
        <f>A48&amp;" "&amp;B48</f>
        <v>005011800099396000KD PN. Luwuk</v>
      </c>
      <c r="D48" s="13"/>
      <c r="E48" s="13"/>
      <c r="F48" s="13"/>
      <c r="G48" s="13"/>
      <c r="H48" s="11"/>
    </row>
    <row r="49" spans="1:10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10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10" ht="21.95" customHeight="1">
      <c r="A51" s="14"/>
      <c r="B51" s="14"/>
      <c r="C51" s="16" t="s">
        <v>1165</v>
      </c>
      <c r="D51" s="17">
        <f>VLOOKUP(A48,'Neraca Unaudited SIMAK'!$A$2:$S$10004,3,FALSE)</f>
        <v>0</v>
      </c>
      <c r="E51" s="25">
        <f>SUMIFS('Daftar Koreksi'!$H$5:$H$92,'Daftar Koreksi'!$D$5:$D$92,'1800'!A48,'Daftar Koreksi'!$G$5:$G$92,"Persediaan",'Daftar Koreksi'!$H$5:$H$92,"&gt;0")</f>
        <v>0</v>
      </c>
      <c r="F51" s="25">
        <f>SUMIFS('Daftar Koreksi'!$H$5:$H$92,'Daftar Koreksi'!$D$5:$D$92,'1800'!A48,'Daftar Koreksi'!$G$5:$G$92,"Persediaan",'Daftar Koreksi'!$H$5:$H$92,"&lt;0")-SUMIFS('Daftar Koreksi'!$H$5:$H$92,'Daftar Koreksi'!$D$5:$D$92,'1800'!A48,'Daftar Koreksi'!$G$5:$G$92,"Persediaan",'Daftar Koreksi'!$H$5:$H$92,"&lt;0")-SUMIFS('Daftar Koreksi'!$H$5:$H$92,'Daftar Koreksi'!$D$5:$D$92,'1800'!A48,'Daftar Koreksi'!$G$5:$G$92,"Persediaan",'Daftar Koreksi'!$H$5:$H$92,"&lt;0")</f>
        <v>0</v>
      </c>
      <c r="G51" s="17">
        <f>D51+E51-F51</f>
        <v>0</v>
      </c>
      <c r="H51" s="121" t="str">
        <f>IF(ISNA(VLOOKUP(A48,'Mutasi Neraca'!$A$3:$S$914,19,FALSE)),"-",VLOOKUP(A48,'Mutasi Neraca'!$A$3:$S$914,19,FALSE))</f>
        <v>-</v>
      </c>
      <c r="I51" s="28"/>
      <c r="J51" s="28"/>
    </row>
    <row r="52" spans="1:10" ht="21.95" customHeight="1">
      <c r="A52" s="14"/>
      <c r="B52" s="14"/>
      <c r="C52" s="16" t="s">
        <v>1166</v>
      </c>
      <c r="D52" s="17">
        <f>VLOOKUP(A48,'Neraca Unaudited SIMAK'!$A$2:$S$10004,4,FALSE)</f>
        <v>2756915449</v>
      </c>
      <c r="E52" s="25">
        <f>SUMIFS('Daftar Koreksi'!$H$5:$H$92,'Daftar Koreksi'!$D$5:$D$92,'1800'!A48,'Daftar Koreksi'!$G$5:$G$92,"Tanah",'Daftar Koreksi'!$H$5:$H$92,"&gt;0")</f>
        <v>0</v>
      </c>
      <c r="F52" s="25">
        <f>SUMIFS('Daftar Koreksi'!$H$5:$H$92,'Daftar Koreksi'!$D$5:$D$92,'1800'!A48,'Daftar Koreksi'!$G$5:$G$92,"Tanah",'Daftar Koreksi'!$H$5:$H$92,"&lt;0")-SUMIFS('Daftar Koreksi'!$H$5:$H$92,'Daftar Koreksi'!$D$5:$D$92,'1800'!A48,'Daftar Koreksi'!$G$5:$G$92,"Tanah",'Daftar Koreksi'!$H$5:$H$92,"&lt;0")-SUMIFS('Daftar Koreksi'!$H$5:$H$92,'Daftar Koreksi'!$D$5:$D$92,'1800'!A48,'Daftar Koreksi'!$G$5:$G$92,"Tanah",'Daftar Koreksi'!$H$5:$H$92,"&lt;0")</f>
        <v>0</v>
      </c>
      <c r="G52" s="17">
        <f t="shared" ref="G52:G68" si="2">D52+E52-F52</f>
        <v>2756915449</v>
      </c>
      <c r="H52" s="122"/>
      <c r="I52" s="28"/>
      <c r="J52" s="28"/>
    </row>
    <row r="53" spans="1:10" ht="21.95" customHeight="1">
      <c r="A53" s="14"/>
      <c r="B53" s="14"/>
      <c r="C53" s="16" t="s">
        <v>1167</v>
      </c>
      <c r="D53" s="17">
        <f>VLOOKUP(A48,'Neraca Unaudited SIMAK'!$A$2:$S$10004,5,FALSE)</f>
        <v>1102748426</v>
      </c>
      <c r="E53" s="25">
        <f>SUMIFS('Daftar Koreksi'!$H$5:$H$92,'Daftar Koreksi'!$D$5:$D$92,'1800'!A48,'Daftar Koreksi'!$G$5:$G$92,"Peralatan dan mesin",'Daftar Koreksi'!$H$5:$H$92,"&gt;0")</f>
        <v>0</v>
      </c>
      <c r="F53" s="25">
        <f>SUMIFS('Daftar Koreksi'!$H$5:$H$92,'Daftar Koreksi'!$D$5:$D$92,'1800'!A48,'Daftar Koreksi'!$G$5:$G$92,"Peralatan dan mesin",'Daftar Koreksi'!$H$5:$H$92,"&lt;0")-SUMIFS('Daftar Koreksi'!$H$5:$H$92,'Daftar Koreksi'!$D$5:$D$92,'1800'!A48,'Daftar Koreksi'!$G$5:$G$92,"Peralatan dan mesin",'Daftar Koreksi'!$H$5:$H$92,"&lt;0")-SUMIFS('Daftar Koreksi'!$H$5:$H$92,'Daftar Koreksi'!$D$5:$D$92,'1800'!A48,'Daftar Koreksi'!$G$5:$G$92,"Peralatan dan mesin",'Daftar Koreksi'!$H$5:$H$92,"&lt;0")</f>
        <v>0</v>
      </c>
      <c r="G53" s="17">
        <f t="shared" si="2"/>
        <v>1102748426</v>
      </c>
      <c r="H53" s="122"/>
      <c r="I53" s="28"/>
      <c r="J53" s="28"/>
    </row>
    <row r="54" spans="1:10" ht="21.95" customHeight="1">
      <c r="A54" s="14"/>
      <c r="B54" s="14"/>
      <c r="C54" s="16" t="s">
        <v>1168</v>
      </c>
      <c r="D54" s="17">
        <f>VLOOKUP(A48,'Neraca Unaudited SIMAK'!$A$2:$S$10004,6,FALSE)</f>
        <v>7024343518</v>
      </c>
      <c r="E54" s="25">
        <f>SUMIFS('Daftar Koreksi'!$H$5:$H$92,'Daftar Koreksi'!$D$5:$D$92,'1800'!A48,'Daftar Koreksi'!$G$5:$G$92,"Gedung dan Bangunan",'Daftar Koreksi'!$H$5:$H$92,"&gt;0")</f>
        <v>0</v>
      </c>
      <c r="F54" s="25">
        <f>SUMIFS('Daftar Koreksi'!$H$5:$H$92,'Daftar Koreksi'!$D$5:$D$92,'1800'!A48,'Daftar Koreksi'!$G$5:$G$92,"Gedung dan Bangunan",'Daftar Koreksi'!$H$5:$H$92,"&lt;0")-SUMIFS('Daftar Koreksi'!$H$5:$H$92,'Daftar Koreksi'!$D$5:$D$92,'1800'!A48,'Daftar Koreksi'!$G$5:$G$92,"Gedung dan Bangunan",'Daftar Koreksi'!$H$5:$H$92,"&lt;0")-SUMIFS('Daftar Koreksi'!$H$5:$H$92,'Daftar Koreksi'!$D$5:$D$92,'1800'!A48,'Daftar Koreksi'!$G$5:$G$92,"Gedung dan Bangunan",'Daftar Koreksi'!$H$5:$H$92,"&lt;0")</f>
        <v>0</v>
      </c>
      <c r="G54" s="17">
        <f t="shared" si="2"/>
        <v>7024343518</v>
      </c>
      <c r="H54" s="122"/>
      <c r="I54" s="28"/>
      <c r="J54" s="28"/>
    </row>
    <row r="55" spans="1:10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Koreksi'!$D$5:$D$92,'1800'!A48,'Daftar Koreksi'!$G$5:$G$92,"Jalan Irigasi Jaringan",'Daftar Koreksi'!$H$5:$H$92,"&gt;0")</f>
        <v>0</v>
      </c>
      <c r="F55" s="25">
        <f>SUMIFS('Daftar Koreksi'!$H$5:$H$92,'Daftar Koreksi'!$D$5:$D$92,'1800'!A48,'Daftar Koreksi'!$G$5:$G$92,"Jalan Irigasi Jaringan",'Daftar Koreksi'!$H$5:$H$92,"&lt;0")-SUMIFS('Daftar Koreksi'!$H$5:$H$92,'Daftar Koreksi'!$D$5:$D$92,'1800'!A48,'Daftar Koreksi'!$G$5:$G$92,"Jalan Irigasi Jaringan",'Daftar Koreksi'!$H$5:$H$92,"&lt;0")-SUMIFS('Daftar Koreksi'!$H$5:$H$92,'Daftar Koreksi'!$D$5:$D$92,'1800'!A48,'Daftar Koreksi'!$G$5:$G$92,"Jalan Irigasi Jaringan",'Daftar Koreksi'!$H$5:$H$92,"&lt;0")</f>
        <v>0</v>
      </c>
      <c r="G55" s="17">
        <f t="shared" si="2"/>
        <v>0</v>
      </c>
      <c r="H55" s="122"/>
      <c r="I55" s="28"/>
      <c r="J55" s="28"/>
    </row>
    <row r="56" spans="1:10" ht="21.95" customHeight="1">
      <c r="A56" s="14"/>
      <c r="B56" s="14"/>
      <c r="C56" s="16" t="s">
        <v>1170</v>
      </c>
      <c r="D56" s="17">
        <f>VLOOKUP(A48,'Neraca Unaudited SIMAK'!$A$2:$S$10004,8,FALSE)</f>
        <v>4626840</v>
      </c>
      <c r="E56" s="25">
        <f>SUMIFS('Daftar Koreksi'!$H$5:$H$92,'Daftar Koreksi'!$D$5:$D$92,'1800'!A48,'Daftar Koreksi'!$G$5:$G$92,"Aset Tetap Lainnya",'Daftar Koreksi'!$H$5:$H$92,"&gt;0")</f>
        <v>0</v>
      </c>
      <c r="F56" s="25">
        <f>SUMIFS('Daftar Koreksi'!$H$5:$H$92,'Daftar Koreksi'!$D$5:$D$92,'1800'!A48,'Daftar Koreksi'!$G$5:$G$92,"Aset Tetap Lainnya",'Daftar Koreksi'!$H$5:$H$92,"&lt;0")-SUMIFS('Daftar Koreksi'!$H$5:$H$92,'Daftar Koreksi'!$D$5:$D$92,'1800'!A48,'Daftar Koreksi'!$G$5:$G$92,"Aset Tetap Lainnya",'Daftar Koreksi'!$H$5:$H$92,"&lt;0")-SUMIFS('Daftar Koreksi'!$H$5:$H$92,'Daftar Koreksi'!$D$5:$D$92,'1800'!A48,'Daftar Koreksi'!$G$5:$G$92,"Aset Tetap Lainnya",'Daftar Koreksi'!$H$5:$H$92,"&lt;0")</f>
        <v>0</v>
      </c>
      <c r="G56" s="17">
        <f t="shared" si="2"/>
        <v>4626840</v>
      </c>
      <c r="H56" s="122"/>
      <c r="I56" s="28"/>
      <c r="J56" s="28"/>
    </row>
    <row r="57" spans="1:10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Koreksi'!$D$5:$D$92,'1800'!A48,'Daftar Koreksi'!$G$5:$G$92,"Kontruksi Dalam Pengerjaan",'Daftar Koreksi'!$H$5:$H$92,"&gt;0")</f>
        <v>0</v>
      </c>
      <c r="F57" s="25">
        <f>SUMIFS('Daftar Koreksi'!$H$5:$H$92,'Daftar Koreksi'!$D$5:$D$92,'1800'!A48,'Daftar Koreksi'!$G$5:$G$92,"Kontruksi Dalam Pengerjaan",'Daftar Koreksi'!$H$5:$H$92,"&lt;0")-SUMIFS('Daftar Koreksi'!$H$5:$H$92,'Daftar Koreksi'!$D$5:$D$92,'1800'!A48,'Daftar Koreksi'!$G$5:$G$92,"Kontruksi Dalam Pengerjaan",'Daftar Koreksi'!$H$5:$H$92,"&lt;0")-SUMIFS('Daftar Koreksi'!$H$5:$H$92,'Daftar Koreksi'!$D$5:$D$92,'1800'!A48,'Daftar Koreksi'!$G$5:$G$92,"Kontruksi Dalam Pengerjaan",'Daftar Koreksi'!$H$5:$H$92,"&lt;0")</f>
        <v>0</v>
      </c>
      <c r="G57" s="17">
        <f t="shared" si="2"/>
        <v>0</v>
      </c>
      <c r="H57" s="122"/>
      <c r="I57" s="28"/>
      <c r="J57" s="28"/>
    </row>
    <row r="58" spans="1:10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Koreksi'!$D$5:$D$92,'1800'!A48,'Daftar Koreksi'!$G$5:$G$92,"Aset Tak Berwujud",'Daftar Koreksi'!$H$5:$H$92,"&gt;0")</f>
        <v>0</v>
      </c>
      <c r="F58" s="25">
        <f>SUMIFS('Daftar Koreksi'!$H$5:$H$92,'Daftar Koreksi'!$D$5:$D$92,'1800'!A48,'Daftar Koreksi'!$G$5:$G$92,"Aset Tak Berwujud",'Daftar Koreksi'!$H$5:$H$92,"&lt;0")-SUMIFS('Daftar Koreksi'!$H$5:$H$92,'Daftar Koreksi'!$D$5:$D$92,'1800'!A48,'Daftar Koreksi'!$G$5:$G$92,"Aset Tak Berwujud",'Daftar Koreksi'!$H$5:$H$92,"&lt;0")-SUMIFS('Daftar Koreksi'!$H$5:$H$92,'Daftar Koreksi'!$D$5:$D$92,'1800'!A48,'Daftar Koreksi'!$G$5:$G$92,"Aset Tak Berwujud",'Daftar Koreksi'!$H$5:$H$92,"&lt;0")</f>
        <v>0</v>
      </c>
      <c r="G58" s="17">
        <f t="shared" si="2"/>
        <v>0</v>
      </c>
      <c r="H58" s="122"/>
      <c r="I58" s="28"/>
      <c r="J58" s="28"/>
    </row>
    <row r="59" spans="1:10" ht="21.95" customHeight="1">
      <c r="A59" s="14"/>
      <c r="B59" s="14"/>
      <c r="C59" s="16" t="s">
        <v>1173</v>
      </c>
      <c r="D59" s="17">
        <f>VLOOKUP(A48,'Neraca Unaudited SIMAK'!$A$2:$S$10004,11,FALSE)</f>
        <v>162735000</v>
      </c>
      <c r="E59" s="25">
        <f>SUMIFS('Daftar Koreksi'!$H$5:$H$92,'Daftar Koreksi'!$D$5:$D$92,'1800'!A48,'Daftar Koreksi'!$G$5:$G$92,"Aset Henti Guna",'Daftar Koreksi'!$H$5:$H$92,"&gt;0")</f>
        <v>0</v>
      </c>
      <c r="F59" s="25">
        <f>SUMIFS('Daftar Koreksi'!$H$5:$H$92,'Daftar Koreksi'!$D$5:$D$92,'1800'!A48,'Daftar Koreksi'!$G$5:$G$92,"Aset Henti Guna",'Daftar Koreksi'!$H$5:$H$92,"&lt;0")-SUMIFS('Daftar Koreksi'!$H$5:$H$92,'Daftar Koreksi'!$D$5:$D$92,'1800'!A48,'Daftar Koreksi'!$G$5:$G$92,"Aset Henti Guna",'Daftar Koreksi'!$H$5:$H$92,"&lt;0")-SUMIFS('Daftar Koreksi'!$H$5:$H$92,'Daftar Koreksi'!$D$5:$D$92,'1800'!A48,'Daftar Koreksi'!$G$5:$G$92,"Aset Henti Guna",'Daftar Koreksi'!$H$5:$H$92,"&lt;0")</f>
        <v>0</v>
      </c>
      <c r="G59" s="17">
        <f t="shared" si="2"/>
        <v>162735000</v>
      </c>
      <c r="H59" s="122"/>
      <c r="I59" s="28"/>
      <c r="J59" s="28"/>
    </row>
    <row r="60" spans="1:10" ht="21.95" customHeight="1">
      <c r="A60" s="14"/>
      <c r="B60" s="14"/>
      <c r="C60" s="18" t="s">
        <v>2093</v>
      </c>
      <c r="D60" s="19">
        <f>VLOOKUP(A48,'Neraca Unaudited SIMAK'!$A$2:$S$10004,12,FALSE)</f>
        <v>11051369233</v>
      </c>
      <c r="E60" s="19">
        <f>SUM(E51:E59)</f>
        <v>0</v>
      </c>
      <c r="F60" s="19">
        <f>SUM(F51:F59)</f>
        <v>0</v>
      </c>
      <c r="G60" s="19">
        <f t="shared" si="2"/>
        <v>11051369233</v>
      </c>
      <c r="H60" s="122"/>
      <c r="I60" s="28"/>
      <c r="J60" s="28"/>
    </row>
    <row r="61" spans="1:10" ht="21.95" customHeight="1">
      <c r="A61" s="14"/>
      <c r="B61" s="14"/>
      <c r="C61" s="16" t="s">
        <v>2087</v>
      </c>
      <c r="D61" s="17">
        <f>VLOOKUP(A48,'Neraca Unaudited SIMAK'!$A$2:$S$10004,13,FALSE)</f>
        <v>-1057645285</v>
      </c>
      <c r="E61" s="25">
        <f>SUMIFS('Daftar Koreksi'!$I$5:$I$92,'Daftar Koreksi'!$D$5:$D$92,'1800'!A48,'Daftar Koreksi'!$G$5:$G$92,"Peralatan dan mesin",'Daftar Koreksi'!$I$5:$I$92,"&gt;0")</f>
        <v>0</v>
      </c>
      <c r="F61" s="25">
        <f>SUMIFS('Daftar Koreksi'!$I$5:$I$92,'Daftar Koreksi'!$D$5:$D$92,'1800'!A48,'Daftar Koreksi'!$G$5:$G$92,"Peralatan dan mesin",'Daftar Koreksi'!$I$5:$I$92,"&lt;0")-SUMIFS('Daftar Koreksi'!$I$5:$I$92,'Daftar Koreksi'!$D$5:$D$92,'1800'!A48,'Daftar Koreksi'!$G$5:$G$92,"Peralatan dan mesin",'Daftar Koreksi'!$I$5:$I$92,"&lt;0")-SUMIFS('Daftar Koreksi'!$I$5:$I$92,'Daftar Koreksi'!$D$5:$D$92,'1800'!A48,'Daftar Koreksi'!$G$5:$G$92,"Peralatan dan mesin",'Daftar Koreksi'!$I$5:$I$92,"&lt;0")</f>
        <v>0</v>
      </c>
      <c r="G61" s="17">
        <f t="shared" si="2"/>
        <v>-1057645285</v>
      </c>
      <c r="H61" s="122"/>
      <c r="I61" s="28"/>
      <c r="J61" s="28"/>
    </row>
    <row r="62" spans="1:10" ht="21.95" customHeight="1">
      <c r="A62" s="14"/>
      <c r="B62" s="14"/>
      <c r="C62" s="16" t="s">
        <v>2088</v>
      </c>
      <c r="D62" s="17">
        <f>VLOOKUP(A48,'Neraca Unaudited SIMAK'!$A$2:$S$10004,14,FALSE)</f>
        <v>-1086543937</v>
      </c>
      <c r="E62" s="25">
        <f>SUMIFS('Daftar Koreksi'!$I$5:$I$92,'Daftar Koreksi'!$D$5:$D$92,'1800'!A48,'Daftar Koreksi'!$G$5:$G$92,"Gedung dan Bangunan",'Daftar Koreksi'!$I$5:$I$92,"&gt;0")</f>
        <v>0</v>
      </c>
      <c r="F62" s="25">
        <f>SUMIFS('Daftar Koreksi'!$I$5:$I$92,'Daftar Koreksi'!$D$5:$D$92,'1800'!A48,'Daftar Koreksi'!$G$5:$G$92,"Gedung dan Bangunan",'Daftar Koreksi'!$I$5:$I$92,"&lt;0")-SUMIFS('Daftar Koreksi'!$I$5:$I$92,'Daftar Koreksi'!$D$5:$D$92,'1800'!A48,'Daftar Koreksi'!$G$5:$G$92,"Gedung dan Bangunan",'Daftar Koreksi'!$I$5:$I$92,"&lt;0")-SUMIFS('Daftar Koreksi'!$I$5:$I$92,'Daftar Koreksi'!$D$5:$D$92,'1800'!A48,'Daftar Koreksi'!$G$5:$G$92,"Gedung dan Bangunan",'Daftar Koreksi'!$I$5:$I$92,"&lt;0")</f>
        <v>0</v>
      </c>
      <c r="G62" s="17">
        <f t="shared" si="2"/>
        <v>-1086543937</v>
      </c>
      <c r="H62" s="122"/>
      <c r="I62" s="28"/>
      <c r="J62" s="28"/>
    </row>
    <row r="63" spans="1:10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Koreksi'!$D$5:$D$92,'1800'!A48,'Daftar Koreksi'!$G$5:$G$92,"Jalan Irigasi Jaringan",'Daftar Koreksi'!$I$5:$I$92,"&gt;0")</f>
        <v>0</v>
      </c>
      <c r="F63" s="25">
        <f>SUMIFS('Daftar Koreksi'!$I$5:$I$92,'Daftar Koreksi'!$D$5:$D$92,'1800'!A48,'Daftar Koreksi'!$G$5:$G$92,"Jalan Irigasi Jaringan",'Daftar Koreksi'!$I$5:$I$92,"&lt;0")-SUMIFS('Daftar Koreksi'!$I$5:$I$92,'Daftar Koreksi'!$D$5:$D$92,'1800'!A48,'Daftar Koreksi'!$G$5:$G$92,"Jalan Irigasi Jaringan",'Daftar Koreksi'!$I$5:$I$92,"&lt;0")-SUMIFS('Daftar Koreksi'!$I$5:$I$92,'Daftar Koreksi'!$D$5:$D$92,'1800'!A48,'Daftar Koreksi'!$G$5:$G$92,"Jalan Irigasi Jaringan",'Daftar Koreksi'!$I$5:$I$92,"&lt;0")</f>
        <v>0</v>
      </c>
      <c r="G63" s="17">
        <f t="shared" si="2"/>
        <v>0</v>
      </c>
      <c r="H63" s="122"/>
      <c r="I63" s="28"/>
      <c r="J63" s="28"/>
    </row>
    <row r="64" spans="1:10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Koreksi'!$D$5:$D$92,'1800'!A48,'Daftar Koreksi'!$G$5:$G$92,"Aset Tetap Lainnya",'Daftar Koreksi'!$I$5:$I$92,"&gt;0")</f>
        <v>0</v>
      </c>
      <c r="F64" s="25">
        <f>SUMIFS('Daftar Koreksi'!$I$5:$I$92,'Daftar Koreksi'!$D$5:$D$92,'1800'!A48,'Daftar Koreksi'!$G$5:$G$92,"Aset Tetap Lainnya",'Daftar Koreksi'!$I$5:$I$92,"&lt;0")-SUMIFS('Daftar Koreksi'!$I$5:$I$92,'Daftar Koreksi'!$D$5:$D$92,'1800'!A48,'Daftar Koreksi'!$G$5:$G$92,"Aset Tetap Lainnya",'Daftar Koreksi'!$I$5:$I$92,"&lt;0")-SUMIFS('Daftar Koreksi'!$I$5:$I$92,'Daftar Koreksi'!$D$5:$D$92,'1800'!A48,'Daftar Koreksi'!$G$5:$G$92,"Aset Tetap Lainnya",'Daftar Koreksi'!$I$5:$I$92,"&lt;0")</f>
        <v>0</v>
      </c>
      <c r="G64" s="17">
        <f t="shared" si="2"/>
        <v>0</v>
      </c>
      <c r="H64" s="122"/>
      <c r="I64" s="28"/>
      <c r="J64" s="28"/>
    </row>
    <row r="65" spans="1:10" ht="21.95" customHeight="1">
      <c r="A65" s="14"/>
      <c r="B65" s="14"/>
      <c r="C65" s="16" t="s">
        <v>2020</v>
      </c>
      <c r="D65" s="17">
        <f>VLOOKUP(A48,'Neraca Unaudited SIMAK'!$A$2:$S$10004,17,FALSE)</f>
        <v>-128105000</v>
      </c>
      <c r="E65" s="25">
        <f>SUMIFS('Daftar Koreksi'!$I$5:$I$92,'Daftar Koreksi'!$D$5:$D$92,'1800'!A48,'Daftar Koreksi'!$G$5:$G$92,"Aset Henti Guna",'Daftar Koreksi'!$I$5:$I$92,"&gt;0")</f>
        <v>0</v>
      </c>
      <c r="F65" s="25">
        <f>SUMIFS('Daftar Koreksi'!$I$5:$I$92,'Daftar Koreksi'!$D$5:$D$92,'1800'!A48,'Daftar Koreksi'!$G$5:$G$92,"Aset Henti Guna",'Daftar Koreksi'!$I$5:$I$92,"&lt;0")-SUMIFS('Daftar Koreksi'!$I$5:$I$92,'Daftar Koreksi'!$D$5:$D$92,'1800'!A48,'Daftar Koreksi'!$G$5:$G$92,"Aset Henti Guna",'Daftar Koreksi'!$I$5:$I$92,"&lt;0")-SUMIFS('Daftar Koreksi'!$I$5:$I$92,'Daftar Koreksi'!$D$5:$D$92,'1800'!A48,'Daftar Koreksi'!$G$5:$G$92,"Aset Henti Guna",'Daftar Koreksi'!$I$5:$I$92,"&lt;0")</f>
        <v>0</v>
      </c>
      <c r="G65" s="17">
        <f t="shared" si="2"/>
        <v>-128105000</v>
      </c>
      <c r="H65" s="122"/>
      <c r="I65" s="28"/>
      <c r="J65" s="28"/>
    </row>
    <row r="66" spans="1:10" ht="21.95" customHeight="1">
      <c r="A66" s="14"/>
      <c r="B66" s="14"/>
      <c r="C66" s="18" t="s">
        <v>2094</v>
      </c>
      <c r="D66" s="19">
        <f>SUM(D61:D65)</f>
        <v>-2272294222</v>
      </c>
      <c r="E66" s="19">
        <f>SUM(E61:E65)</f>
        <v>0</v>
      </c>
      <c r="F66" s="19">
        <f>SUM(F61:F65)</f>
        <v>0</v>
      </c>
      <c r="G66" s="19">
        <f t="shared" si="2"/>
        <v>-2272294222</v>
      </c>
      <c r="H66" s="122"/>
      <c r="I66" s="28"/>
      <c r="J66" s="28"/>
    </row>
    <row r="67" spans="1:10" ht="21.95" customHeight="1">
      <c r="A67" s="14"/>
      <c r="B67" s="14"/>
      <c r="C67" s="18" t="s">
        <v>2095</v>
      </c>
      <c r="D67" s="19">
        <f>VLOOKUP(A48,'Neraca Unaudited SIMAK'!$A$2:$S$10004,18,FALSE)</f>
        <v>8779075011</v>
      </c>
      <c r="E67" s="19">
        <f>E66+E60</f>
        <v>0</v>
      </c>
      <c r="F67" s="19">
        <f>F66+F60</f>
        <v>0</v>
      </c>
      <c r="G67" s="19">
        <f t="shared" si="2"/>
        <v>8779075011</v>
      </c>
      <c r="H67" s="122"/>
      <c r="I67" s="28"/>
      <c r="J67" s="28"/>
    </row>
    <row r="68" spans="1:10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  <c r="I68" s="28"/>
      <c r="J68" s="28"/>
    </row>
    <row r="70" spans="1:10" ht="19.5" customHeight="1">
      <c r="A70" s="11" t="str">
        <f>O4</f>
        <v>005011800099401000KD</v>
      </c>
      <c r="B70" s="11" t="str">
        <f>P4</f>
        <v>PN. Poso</v>
      </c>
      <c r="C70" s="12" t="str">
        <f>A70&amp;" "&amp;B70</f>
        <v>005011800099401000KD PN. Poso</v>
      </c>
      <c r="D70" s="13"/>
      <c r="E70" s="13"/>
      <c r="F70" s="13"/>
      <c r="G70" s="13"/>
      <c r="H70" s="11"/>
    </row>
    <row r="71" spans="1:10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10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10" ht="21.95" customHeight="1">
      <c r="A73" s="14"/>
      <c r="B73" s="14"/>
      <c r="C73" s="16" t="s">
        <v>1165</v>
      </c>
      <c r="D73" s="17">
        <f>VLOOKUP(A70,'Neraca Unaudited SIMAK'!$A$2:$S$10004,3,FALSE)</f>
        <v>0</v>
      </c>
      <c r="E73" s="25">
        <f>SUMIFS('Daftar Koreksi'!$H$5:$H$92,'Daftar Koreksi'!$D$5:$D$92,'1800'!A70,'Daftar Koreksi'!$G$5:$G$92,"Persediaan",'Daftar Koreksi'!$H$5:$H$92,"&gt;0")</f>
        <v>0</v>
      </c>
      <c r="F73" s="25">
        <f>SUMIFS('Daftar Koreksi'!$H$5:$H$92,'Daftar Koreksi'!$D$5:$D$92,'1800'!A70,'Daftar Koreksi'!$G$5:$G$92,"Persediaan",'Daftar Koreksi'!$H$5:$H$92,"&lt;0")-SUMIFS('Daftar Koreksi'!$H$5:$H$92,'Daftar Koreksi'!$D$5:$D$92,'1800'!A70,'Daftar Koreksi'!$G$5:$G$92,"Persediaan",'Daftar Koreksi'!$H$5:$H$92,"&lt;0")-SUMIFS('Daftar Koreksi'!$H$5:$H$92,'Daftar Koreksi'!$D$5:$D$92,'1800'!A70,'Daftar Koreksi'!$G$5:$G$92,"Persediaan",'Daftar Koreksi'!$H$5:$H$92,"&lt;0")</f>
        <v>0</v>
      </c>
      <c r="G73" s="17">
        <f>D73+E73-F73</f>
        <v>0</v>
      </c>
      <c r="H73" s="121" t="str">
        <f>IF(ISNA(VLOOKUP(A70,'Mutasi Neraca'!$A$3:$S$914,19,FALSE)),"-",VLOOKUP(A70,'Mutasi Neraca'!$A$3:$S$914,19,FALSE))</f>
        <v>-</v>
      </c>
    </row>
    <row r="74" spans="1:10" ht="21.95" customHeight="1">
      <c r="A74" s="14"/>
      <c r="B74" s="14"/>
      <c r="C74" s="16" t="s">
        <v>1166</v>
      </c>
      <c r="D74" s="17">
        <f>VLOOKUP(A70,'Neraca Unaudited SIMAK'!$A$2:$S$10004,4,FALSE)</f>
        <v>3063161350</v>
      </c>
      <c r="E74" s="25">
        <f>SUMIFS('Daftar Koreksi'!$H$5:$H$92,'Daftar Koreksi'!$D$5:$D$92,'1800'!A70,'Daftar Koreksi'!$G$5:$G$92,"Tanah",'Daftar Koreksi'!$H$5:$H$92,"&gt;0")</f>
        <v>0</v>
      </c>
      <c r="F74" s="25">
        <f>SUMIFS('Daftar Koreksi'!$H$5:$H$92,'Daftar Koreksi'!$D$5:$D$92,'1800'!A70,'Daftar Koreksi'!$G$5:$G$92,"Tanah",'Daftar Koreksi'!$H$5:$H$92,"&lt;0")-SUMIFS('Daftar Koreksi'!$H$5:$H$92,'Daftar Koreksi'!$D$5:$D$92,'1800'!A70,'Daftar Koreksi'!$G$5:$G$92,"Tanah",'Daftar Koreksi'!$H$5:$H$92,"&lt;0")-SUMIFS('Daftar Koreksi'!$H$5:$H$92,'Daftar Koreksi'!$D$5:$D$92,'1800'!A70,'Daftar Koreksi'!$G$5:$G$92,"Tanah",'Daftar Koreksi'!$H$5:$H$92,"&lt;0")</f>
        <v>0</v>
      </c>
      <c r="G74" s="17">
        <f t="shared" ref="G74:G90" si="3">D74+E74-F74</f>
        <v>3063161350</v>
      </c>
      <c r="H74" s="122"/>
    </row>
    <row r="75" spans="1:10" ht="21.95" customHeight="1">
      <c r="A75" s="14"/>
      <c r="B75" s="14"/>
      <c r="C75" s="16" t="s">
        <v>1167</v>
      </c>
      <c r="D75" s="17">
        <f>VLOOKUP(A70,'Neraca Unaudited SIMAK'!$A$2:$S$10004,5,FALSE)</f>
        <v>1590712067</v>
      </c>
      <c r="E75" s="25">
        <f>SUMIFS('Daftar Koreksi'!$H$5:$H$92,'Daftar Koreksi'!$D$5:$D$92,'1800'!A70,'Daftar Koreksi'!$G$5:$G$92,"Peralatan dan mesin",'Daftar Koreksi'!$H$5:$H$92,"&gt;0")</f>
        <v>0</v>
      </c>
      <c r="F75" s="25">
        <f>SUMIFS('Daftar Koreksi'!$H$5:$H$92,'Daftar Koreksi'!$D$5:$D$92,'1800'!A70,'Daftar Koreksi'!$G$5:$G$92,"Peralatan dan mesin",'Daftar Koreksi'!$H$5:$H$92,"&lt;0")-SUMIFS('Daftar Koreksi'!$H$5:$H$92,'Daftar Koreksi'!$D$5:$D$92,'1800'!A70,'Daftar Koreksi'!$G$5:$G$92,"Peralatan dan mesin",'Daftar Koreksi'!$H$5:$H$92,"&lt;0")-SUMIFS('Daftar Koreksi'!$H$5:$H$92,'Daftar Koreksi'!$D$5:$D$92,'1800'!A70,'Daftar Koreksi'!$G$5:$G$92,"Peralatan dan mesin",'Daftar Koreksi'!$H$5:$H$92,"&lt;0")</f>
        <v>0</v>
      </c>
      <c r="G75" s="17">
        <f t="shared" si="3"/>
        <v>1590712067</v>
      </c>
      <c r="H75" s="122"/>
    </row>
    <row r="76" spans="1:10" ht="21.95" customHeight="1">
      <c r="A76" s="14"/>
      <c r="B76" s="14"/>
      <c r="C76" s="16" t="s">
        <v>1168</v>
      </c>
      <c r="D76" s="17">
        <f>VLOOKUP(A70,'Neraca Unaudited SIMAK'!$A$2:$S$10004,6,FALSE)</f>
        <v>11997230935</v>
      </c>
      <c r="E76" s="25">
        <f>SUMIFS('Daftar Koreksi'!$H$5:$H$92,'Daftar Koreksi'!$D$5:$D$92,'1800'!A70,'Daftar Koreksi'!$G$5:$G$92,"Gedung dan Bangunan",'Daftar Koreksi'!$H$5:$H$92,"&gt;0")</f>
        <v>0</v>
      </c>
      <c r="F76" s="25">
        <f>SUMIFS('Daftar Koreksi'!$H$5:$H$92,'Daftar Koreksi'!$D$5:$D$92,'1800'!A70,'Daftar Koreksi'!$G$5:$G$92,"Gedung dan Bangunan",'Daftar Koreksi'!$H$5:$H$92,"&lt;0")-SUMIFS('Daftar Koreksi'!$H$5:$H$92,'Daftar Koreksi'!$D$5:$D$92,'1800'!A70,'Daftar Koreksi'!$G$5:$G$92,"Gedung dan Bangunan",'Daftar Koreksi'!$H$5:$H$92,"&lt;0")-SUMIFS('Daftar Koreksi'!$H$5:$H$92,'Daftar Koreksi'!$D$5:$D$92,'1800'!A70,'Daftar Koreksi'!$G$5:$G$92,"Gedung dan Bangunan",'Daftar Koreksi'!$H$5:$H$92,"&lt;0")</f>
        <v>0</v>
      </c>
      <c r="G76" s="17">
        <f t="shared" si="3"/>
        <v>11997230935</v>
      </c>
      <c r="H76" s="122"/>
    </row>
    <row r="77" spans="1:10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Koreksi'!$D$5:$D$92,'1800'!A70,'Daftar Koreksi'!$G$5:$G$92,"Jalan Irigasi Jaringan",'Daftar Koreksi'!$H$5:$H$92,"&gt;0")</f>
        <v>0</v>
      </c>
      <c r="F77" s="25">
        <f>SUMIFS('Daftar Koreksi'!$H$5:$H$92,'Daftar Koreksi'!$D$5:$D$92,'1800'!A70,'Daftar Koreksi'!$G$5:$G$92,"Jalan Irigasi Jaringan",'Daftar Koreksi'!$H$5:$H$92,"&lt;0")-SUMIFS('Daftar Koreksi'!$H$5:$H$92,'Daftar Koreksi'!$D$5:$D$92,'1800'!A70,'Daftar Koreksi'!$G$5:$G$92,"Jalan Irigasi Jaringan",'Daftar Koreksi'!$H$5:$H$92,"&lt;0")-SUMIFS('Daftar Koreksi'!$H$5:$H$92,'Daftar Koreksi'!$D$5:$D$92,'1800'!A70,'Daftar Koreksi'!$G$5:$G$92,"Jalan Irigasi Jaringan",'Daftar Koreksi'!$H$5:$H$92,"&lt;0")</f>
        <v>0</v>
      </c>
      <c r="G77" s="17">
        <f t="shared" si="3"/>
        <v>0</v>
      </c>
      <c r="H77" s="122"/>
    </row>
    <row r="78" spans="1:10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Koreksi'!$D$5:$D$92,'1800'!A70,'Daftar Koreksi'!$G$5:$G$92,"Aset Tetap Lainnya",'Daftar Koreksi'!$H$5:$H$92,"&gt;0")</f>
        <v>0</v>
      </c>
      <c r="F78" s="25">
        <f>SUMIFS('Daftar Koreksi'!$H$5:$H$92,'Daftar Koreksi'!$D$5:$D$92,'1800'!A70,'Daftar Koreksi'!$G$5:$G$92,"Aset Tetap Lainnya",'Daftar Koreksi'!$H$5:$H$92,"&lt;0")-SUMIFS('Daftar Koreksi'!$H$5:$H$92,'Daftar Koreksi'!$D$5:$D$92,'1800'!A70,'Daftar Koreksi'!$G$5:$G$92,"Aset Tetap Lainnya",'Daftar Koreksi'!$H$5:$H$92,"&lt;0")-SUMIFS('Daftar Koreksi'!$H$5:$H$92,'Daftar Koreksi'!$D$5:$D$92,'1800'!A70,'Daftar Koreksi'!$G$5:$G$92,"Aset Tetap Lainnya",'Daftar Koreksi'!$H$5:$H$92,"&lt;0")</f>
        <v>0</v>
      </c>
      <c r="G78" s="17">
        <f t="shared" si="3"/>
        <v>1943440</v>
      </c>
      <c r="H78" s="122"/>
    </row>
    <row r="79" spans="1:10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Koreksi'!$D$5:$D$92,'1800'!A70,'Daftar Koreksi'!$G$5:$G$92,"Kontruksi Dalam Pengerjaan",'Daftar Koreksi'!$H$5:$H$92,"&gt;0")</f>
        <v>0</v>
      </c>
      <c r="F79" s="25">
        <f>SUMIFS('Daftar Koreksi'!$H$5:$H$92,'Daftar Koreksi'!$D$5:$D$92,'1800'!A70,'Daftar Koreksi'!$G$5:$G$92,"Kontruksi Dalam Pengerjaan",'Daftar Koreksi'!$H$5:$H$92,"&lt;0")-SUMIFS('Daftar Koreksi'!$H$5:$H$92,'Daftar Koreksi'!$D$5:$D$92,'1800'!A70,'Daftar Koreksi'!$G$5:$G$92,"Kontruksi Dalam Pengerjaan",'Daftar Koreksi'!$H$5:$H$92,"&lt;0")-SUMIFS('Daftar Koreksi'!$H$5:$H$92,'Daftar Koreksi'!$D$5:$D$92,'1800'!A70,'Daftar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10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Koreksi'!$D$5:$D$92,'1800'!A70,'Daftar Koreksi'!$G$5:$G$92,"Aset Tak Berwujud",'Daftar Koreksi'!$H$5:$H$92,"&gt;0")</f>
        <v>0</v>
      </c>
      <c r="F80" s="25">
        <f>SUMIFS('Daftar Koreksi'!$H$5:$H$92,'Daftar Koreksi'!$D$5:$D$92,'1800'!A70,'Daftar Koreksi'!$G$5:$G$92,"Aset Tak Berwujud",'Daftar Koreksi'!$H$5:$H$92,"&lt;0")-SUMIFS('Daftar Koreksi'!$H$5:$H$92,'Daftar Koreksi'!$D$5:$D$92,'1800'!A70,'Daftar Koreksi'!$G$5:$G$92,"Aset Tak Berwujud",'Daftar Koreksi'!$H$5:$H$92,"&lt;0")-SUMIFS('Daftar Koreksi'!$H$5:$H$92,'Daftar Koreksi'!$D$5:$D$92,'1800'!A70,'Daftar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418580500</v>
      </c>
      <c r="E81" s="25">
        <f>SUMIFS('Daftar Koreksi'!$H$5:$H$92,'Daftar Koreksi'!$D$5:$D$92,'1800'!A70,'Daftar Koreksi'!$G$5:$G$92,"Aset Henti Guna",'Daftar Koreksi'!$H$5:$H$92,"&gt;0")</f>
        <v>0</v>
      </c>
      <c r="F81" s="25">
        <f>SUMIFS('Daftar Koreksi'!$H$5:$H$92,'Daftar Koreksi'!$D$5:$D$92,'1800'!A70,'Daftar Koreksi'!$G$5:$G$92,"Aset Henti Guna",'Daftar Koreksi'!$H$5:$H$92,"&lt;0")-SUMIFS('Daftar Koreksi'!$H$5:$H$92,'Daftar Koreksi'!$D$5:$D$92,'1800'!A70,'Daftar Koreksi'!$G$5:$G$92,"Aset Henti Guna",'Daftar Koreksi'!$H$5:$H$92,"&lt;0")-SUMIFS('Daftar Koreksi'!$H$5:$H$92,'Daftar Koreksi'!$D$5:$D$92,'1800'!A70,'Daftar Koreksi'!$G$5:$G$92,"Aset Henti Guna",'Daftar Koreksi'!$H$5:$H$92,"&lt;0")</f>
        <v>0</v>
      </c>
      <c r="G81" s="17">
        <f t="shared" si="3"/>
        <v>418580500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17071628292</v>
      </c>
      <c r="E82" s="19">
        <f>SUM(E73:E81)</f>
        <v>0</v>
      </c>
      <c r="F82" s="19">
        <f>SUM(F73:F81)</f>
        <v>0</v>
      </c>
      <c r="G82" s="19">
        <f t="shared" si="3"/>
        <v>17071628292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-1109068862</v>
      </c>
      <c r="E83" s="25">
        <f>SUMIFS('Daftar Koreksi'!$I$5:$I$92,'Daftar Koreksi'!$D$5:$D$92,'1800'!A70,'Daftar Koreksi'!$G$5:$G$92,"Peralatan dan mesin",'Daftar Koreksi'!$I$5:$I$92,"&gt;0")</f>
        <v>0</v>
      </c>
      <c r="F83" s="25">
        <f>SUMIFS('Daftar Koreksi'!$I$5:$I$92,'Daftar Koreksi'!$D$5:$D$92,'1800'!A70,'Daftar Koreksi'!$G$5:$G$92,"Peralatan dan mesin",'Daftar Koreksi'!$I$5:$I$92,"&lt;0")-SUMIFS('Daftar Koreksi'!$I$5:$I$92,'Daftar Koreksi'!$D$5:$D$92,'1800'!A70,'Daftar Koreksi'!$G$5:$G$92,"Peralatan dan mesin",'Daftar Koreksi'!$I$5:$I$92,"&lt;0")-SUMIFS('Daftar Koreksi'!$I$5:$I$92,'Daftar Koreksi'!$D$5:$D$92,'1800'!A70,'Daftar Koreksi'!$G$5:$G$92,"Peralatan dan mesin",'Daftar Koreksi'!$I$5:$I$92,"&lt;0")</f>
        <v>0</v>
      </c>
      <c r="G83" s="17">
        <f t="shared" si="3"/>
        <v>-1109068862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-974932739</v>
      </c>
      <c r="E84" s="25">
        <f>SUMIFS('Daftar Koreksi'!$I$5:$I$92,'Daftar Koreksi'!$D$5:$D$92,'1800'!A70,'Daftar Koreksi'!$G$5:$G$92,"Gedung dan Bangunan",'Daftar Koreksi'!$I$5:$I$92,"&gt;0")</f>
        <v>0</v>
      </c>
      <c r="F84" s="25">
        <f>SUMIFS('Daftar Koreksi'!$I$5:$I$92,'Daftar Koreksi'!$D$5:$D$92,'1800'!A70,'Daftar Koreksi'!$G$5:$G$92,"Gedung dan Bangunan",'Daftar Koreksi'!$I$5:$I$92,"&lt;0")-SUMIFS('Daftar Koreksi'!$I$5:$I$92,'Daftar Koreksi'!$D$5:$D$92,'1800'!A70,'Daftar Koreksi'!$G$5:$G$92,"Gedung dan Bangunan",'Daftar Koreksi'!$I$5:$I$92,"&lt;0")-SUMIFS('Daftar Koreksi'!$I$5:$I$92,'Daftar Koreksi'!$D$5:$D$92,'1800'!A70,'Daftar Koreksi'!$G$5:$G$92,"Gedung dan Bangunan",'Daftar Koreksi'!$I$5:$I$92,"&lt;0")</f>
        <v>0</v>
      </c>
      <c r="G84" s="17">
        <f t="shared" si="3"/>
        <v>-974932739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Koreksi'!$D$5:$D$92,'1800'!A70,'Daftar Koreksi'!$G$5:$G$92,"Jalan Irigasi Jaringan",'Daftar Koreksi'!$I$5:$I$92,"&gt;0")</f>
        <v>0</v>
      </c>
      <c r="F85" s="25">
        <f>SUMIFS('Daftar Koreksi'!$I$5:$I$92,'Daftar Koreksi'!$D$5:$D$92,'1800'!A70,'Daftar Koreksi'!$G$5:$G$92,"Jalan Irigasi Jaringan",'Daftar Koreksi'!$I$5:$I$92,"&lt;0")-SUMIFS('Daftar Koreksi'!$I$5:$I$92,'Daftar Koreksi'!$D$5:$D$92,'1800'!A70,'Daftar Koreksi'!$G$5:$G$92,"Jalan Irigasi Jaringan",'Daftar Koreksi'!$I$5:$I$92,"&lt;0")-SUMIFS('Daftar Koreksi'!$I$5:$I$92,'Daftar Koreksi'!$D$5:$D$92,'1800'!A70,'Daftar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Koreksi'!$D$5:$D$92,'1800'!A70,'Daftar Koreksi'!$G$5:$G$92,"Aset Tetap Lainnya",'Daftar Koreksi'!$I$5:$I$92,"&gt;0")</f>
        <v>0</v>
      </c>
      <c r="F86" s="25">
        <f>SUMIFS('Daftar Koreksi'!$I$5:$I$92,'Daftar Koreksi'!$D$5:$D$92,'1800'!A70,'Daftar Koreksi'!$G$5:$G$92,"Aset Tetap Lainnya",'Daftar Koreksi'!$I$5:$I$92,"&lt;0")-SUMIFS('Daftar Koreksi'!$I$5:$I$92,'Daftar Koreksi'!$D$5:$D$92,'1800'!A70,'Daftar Koreksi'!$G$5:$G$92,"Aset Tetap Lainnya",'Daftar Koreksi'!$I$5:$I$92,"&lt;0")-SUMIFS('Daftar Koreksi'!$I$5:$I$92,'Daftar Koreksi'!$D$5:$D$92,'1800'!A70,'Daftar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-418580500</v>
      </c>
      <c r="E87" s="25">
        <f>SUMIFS('Daftar Koreksi'!$I$5:$I$92,'Daftar Koreksi'!$D$5:$D$92,'1800'!A70,'Daftar Koreksi'!$G$5:$G$92,"Aset Henti Guna",'Daftar Koreksi'!$I$5:$I$92,"&gt;0")</f>
        <v>0</v>
      </c>
      <c r="F87" s="25">
        <f>SUMIFS('Daftar Koreksi'!$I$5:$I$92,'Daftar Koreksi'!$D$5:$D$92,'1800'!A70,'Daftar Koreksi'!$G$5:$G$92,"Aset Henti Guna",'Daftar Koreksi'!$I$5:$I$92,"&lt;0")-SUMIFS('Daftar Koreksi'!$I$5:$I$92,'Daftar Koreksi'!$D$5:$D$92,'1800'!A70,'Daftar Koreksi'!$G$5:$G$92,"Aset Henti Guna",'Daftar Koreksi'!$I$5:$I$92,"&lt;0")-SUMIFS('Daftar Koreksi'!$I$5:$I$92,'Daftar Koreksi'!$D$5:$D$92,'1800'!A70,'Daftar Koreksi'!$G$5:$G$92,"Aset Henti Guna",'Daftar Koreksi'!$I$5:$I$92,"&lt;0")</f>
        <v>0</v>
      </c>
      <c r="G87" s="17">
        <f t="shared" si="3"/>
        <v>-418580500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-2502582101</v>
      </c>
      <c r="E88" s="19">
        <f>SUM(E83:E87)</f>
        <v>0</v>
      </c>
      <c r="F88" s="19">
        <f>SUM(F83:F87)</f>
        <v>0</v>
      </c>
      <c r="G88" s="19">
        <f t="shared" si="3"/>
        <v>-2502582101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14569046191</v>
      </c>
      <c r="E89" s="19">
        <f>E88+E82</f>
        <v>0</v>
      </c>
      <c r="F89" s="19">
        <f>F88+F82</f>
        <v>0</v>
      </c>
      <c r="G89" s="19">
        <f t="shared" si="3"/>
        <v>14569046191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005011800307271000KD</v>
      </c>
      <c r="B92" s="11" t="str">
        <f>P5</f>
        <v>PA. Kodya Palu</v>
      </c>
      <c r="C92" s="12" t="str">
        <f>A92&amp;" "&amp;B92</f>
        <v>005011800307271000KD PA. Kodya Palu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52425</v>
      </c>
      <c r="E95" s="25">
        <f>SUMIFS('Daftar Koreksi'!$H$5:$H$92,'Daftar Koreksi'!$D$5:$D$92,'1800'!A92,'Daftar Koreksi'!$G$5:$G$92,"Persediaan",'Daftar Koreksi'!$H$5:$H$92,"&gt;0")</f>
        <v>0</v>
      </c>
      <c r="F95" s="25">
        <f>SUMIFS('Daftar Koreksi'!$H$5:$H$92,'Daftar Koreksi'!$D$5:$D$92,'1800'!A92,'Daftar Koreksi'!$G$5:$G$92,"Persediaan",'Daftar Koreksi'!$H$5:$H$92,"&lt;0")-SUMIFS('Daftar Koreksi'!$H$5:$H$92,'Daftar Koreksi'!$D$5:$D$92,'1800'!A92,'Daftar Koreksi'!$G$5:$G$92,"Persediaan",'Daftar Koreksi'!$H$5:$H$92,"&lt;0")-SUMIFS('Daftar Koreksi'!$H$5:$H$92,'Daftar Koreksi'!$D$5:$D$92,'1800'!A92,'Daftar Koreksi'!$G$5:$G$92,"Persediaan",'Daftar Koreksi'!$H$5:$H$92,"&lt;0")</f>
        <v>0</v>
      </c>
      <c r="G95" s="17">
        <f>D95+E95-F95</f>
        <v>52425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1279000000</v>
      </c>
      <c r="E96" s="25">
        <f>SUMIFS('Daftar Koreksi'!$H$5:$H$92,'Daftar Koreksi'!$D$5:$D$92,'1800'!A92,'Daftar Koreksi'!$G$5:$G$92,"Tanah",'Daftar Koreksi'!$H$5:$H$92,"&gt;0")</f>
        <v>0</v>
      </c>
      <c r="F96" s="25">
        <f>SUMIFS('Daftar Koreksi'!$H$5:$H$92,'Daftar Koreksi'!$D$5:$D$92,'1800'!A92,'Daftar Koreksi'!$G$5:$G$92,"Tanah",'Daftar Koreksi'!$H$5:$H$92,"&lt;0")-SUMIFS('Daftar Koreksi'!$H$5:$H$92,'Daftar Koreksi'!$D$5:$D$92,'1800'!A92,'Daftar Koreksi'!$G$5:$G$92,"Tanah",'Daftar Koreksi'!$H$5:$H$92,"&lt;0")-SUMIFS('Daftar Koreksi'!$H$5:$H$92,'Daftar Koreksi'!$D$5:$D$92,'1800'!A92,'Daftar Koreksi'!$G$5:$G$92,"Tanah",'Daftar Koreksi'!$H$5:$H$92,"&lt;0")</f>
        <v>0</v>
      </c>
      <c r="G96" s="17">
        <f t="shared" ref="G96:G112" si="4">D96+E96-F96</f>
        <v>1279000000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1653642065</v>
      </c>
      <c r="E97" s="25">
        <f>SUMIFS('Daftar Koreksi'!$H$5:$H$92,'Daftar Koreksi'!$D$5:$D$92,'1800'!A92,'Daftar Koreksi'!$G$5:$G$92,"Peralatan dan mesin",'Daftar Koreksi'!$H$5:$H$92,"&gt;0")</f>
        <v>0</v>
      </c>
      <c r="F97" s="25">
        <f>SUMIFS('Daftar Koreksi'!$H$5:$H$92,'Daftar Koreksi'!$D$5:$D$92,'1800'!A92,'Daftar Koreksi'!$G$5:$G$92,"Peralatan dan mesin",'Daftar Koreksi'!$H$5:$H$92,"&lt;0")-SUMIFS('Daftar Koreksi'!$H$5:$H$92,'Daftar Koreksi'!$D$5:$D$92,'1800'!A92,'Daftar Koreksi'!$G$5:$G$92,"Peralatan dan mesin",'Daftar Koreksi'!$H$5:$H$92,"&lt;0")-SUMIFS('Daftar Koreksi'!$H$5:$H$92,'Daftar Koreksi'!$D$5:$D$92,'1800'!A92,'Daftar Koreksi'!$G$5:$G$92,"Peralatan dan mesin",'Daftar Koreksi'!$H$5:$H$92,"&lt;0")</f>
        <v>0</v>
      </c>
      <c r="G97" s="17">
        <f t="shared" si="4"/>
        <v>1653642065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5762448718</v>
      </c>
      <c r="E98" s="25">
        <f>SUMIFS('Daftar Koreksi'!$H$5:$H$92,'Daftar Koreksi'!$D$5:$D$92,'1800'!A92,'Daftar Koreksi'!$G$5:$G$92,"Gedung dan Bangunan",'Daftar Koreksi'!$H$5:$H$92,"&gt;0")</f>
        <v>0</v>
      </c>
      <c r="F98" s="25">
        <f>SUMIFS('Daftar Koreksi'!$H$5:$H$92,'Daftar Koreksi'!$D$5:$D$92,'1800'!A92,'Daftar Koreksi'!$G$5:$G$92,"Gedung dan Bangunan",'Daftar Koreksi'!$H$5:$H$92,"&lt;0")-SUMIFS('Daftar Koreksi'!$H$5:$H$92,'Daftar Koreksi'!$D$5:$D$92,'1800'!A92,'Daftar Koreksi'!$G$5:$G$92,"Gedung dan Bangunan",'Daftar Koreksi'!$H$5:$H$92,"&lt;0")-SUMIFS('Daftar Koreksi'!$H$5:$H$92,'Daftar Koreksi'!$D$5:$D$92,'1800'!A92,'Daftar Koreksi'!$G$5:$G$92,"Gedung dan Bangunan",'Daftar Koreksi'!$H$5:$H$92,"&lt;0")</f>
        <v>0</v>
      </c>
      <c r="G98" s="17">
        <f t="shared" si="4"/>
        <v>5762448718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8800000</v>
      </c>
      <c r="E99" s="25">
        <f>SUMIFS('Daftar Koreksi'!$H$5:$H$92,'Daftar Koreksi'!$D$5:$D$92,'1800'!A92,'Daftar Koreksi'!$G$5:$G$92,"Jalan Irigasi Jaringan",'Daftar Koreksi'!$H$5:$H$92,"&gt;0")</f>
        <v>0</v>
      </c>
      <c r="F99" s="25">
        <f>SUMIFS('Daftar Koreksi'!$H$5:$H$92,'Daftar Koreksi'!$D$5:$D$92,'1800'!A92,'Daftar Koreksi'!$G$5:$G$92,"Jalan Irigasi Jaringan",'Daftar Koreksi'!$H$5:$H$92,"&lt;0")-SUMIFS('Daftar Koreksi'!$H$5:$H$92,'Daftar Koreksi'!$D$5:$D$92,'1800'!A92,'Daftar Koreksi'!$G$5:$G$92,"Jalan Irigasi Jaringan",'Daftar Koreksi'!$H$5:$H$92,"&lt;0")-SUMIFS('Daftar Koreksi'!$H$5:$H$92,'Daftar Koreksi'!$D$5:$D$92,'1800'!A92,'Daftar Koreksi'!$G$5:$G$92,"Jalan Irigasi Jaringan",'Daftar Koreksi'!$H$5:$H$92,"&lt;0")</f>
        <v>0</v>
      </c>
      <c r="G99" s="17">
        <f t="shared" si="4"/>
        <v>8800000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4532370</v>
      </c>
      <c r="E100" s="25">
        <f>SUMIFS('Daftar Koreksi'!$H$5:$H$92,'Daftar Koreksi'!$D$5:$D$92,'1800'!A92,'Daftar Koreksi'!$G$5:$G$92,"Aset Tetap Lainnya",'Daftar Koreksi'!$H$5:$H$92,"&gt;0")</f>
        <v>0</v>
      </c>
      <c r="F100" s="25">
        <f>SUMIFS('Daftar Koreksi'!$H$5:$H$92,'Daftar Koreksi'!$D$5:$D$92,'1800'!A92,'Daftar Koreksi'!$G$5:$G$92,"Aset Tetap Lainnya",'Daftar Koreksi'!$H$5:$H$92,"&lt;0")-SUMIFS('Daftar Koreksi'!$H$5:$H$92,'Daftar Koreksi'!$D$5:$D$92,'1800'!A92,'Daftar Koreksi'!$G$5:$G$92,"Aset Tetap Lainnya",'Daftar Koreksi'!$H$5:$H$92,"&lt;0")-SUMIFS('Daftar Koreksi'!$H$5:$H$92,'Daftar Koreksi'!$D$5:$D$92,'1800'!A92,'Daftar Koreksi'!$G$5:$G$92,"Aset Tetap Lainnya",'Daftar Koreksi'!$H$5:$H$92,"&lt;0")</f>
        <v>0</v>
      </c>
      <c r="G100" s="17">
        <f t="shared" si="4"/>
        <v>4532370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Koreksi'!$D$5:$D$92,'1800'!A92,'Daftar Koreksi'!$G$5:$G$92,"Kontruksi Dalam Pengerjaan",'Daftar Koreksi'!$H$5:$H$92,"&gt;0")</f>
        <v>0</v>
      </c>
      <c r="F101" s="25">
        <f>SUMIFS('Daftar Koreksi'!$H$5:$H$92,'Daftar Koreksi'!$D$5:$D$92,'1800'!A92,'Daftar Koreksi'!$G$5:$G$92,"Kontruksi Dalam Pengerjaan",'Daftar Koreksi'!$H$5:$H$92,"&lt;0")-SUMIFS('Daftar Koreksi'!$H$5:$H$92,'Daftar Koreksi'!$D$5:$D$92,'1800'!A92,'Daftar Koreksi'!$G$5:$G$92,"Kontruksi Dalam Pengerjaan",'Daftar Koreksi'!$H$5:$H$92,"&lt;0")-SUMIFS('Daftar Koreksi'!$H$5:$H$92,'Daftar Koreksi'!$D$5:$D$92,'1800'!A92,'Daftar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18480000</v>
      </c>
      <c r="E102" s="25">
        <f>SUMIFS('Daftar Koreksi'!$H$5:$H$92,'Daftar Koreksi'!$D$5:$D$92,'1800'!A92,'Daftar Koreksi'!$G$5:$G$92,"Aset Tak Berwujud",'Daftar Koreksi'!$H$5:$H$92,"&gt;0")</f>
        <v>0</v>
      </c>
      <c r="F102" s="25">
        <f>SUMIFS('Daftar Koreksi'!$H$5:$H$92,'Daftar Koreksi'!$D$5:$D$92,'1800'!A92,'Daftar Koreksi'!$G$5:$G$92,"Aset Tak Berwujud",'Daftar Koreksi'!$H$5:$H$92,"&lt;0")-SUMIFS('Daftar Koreksi'!$H$5:$H$92,'Daftar Koreksi'!$D$5:$D$92,'1800'!A92,'Daftar Koreksi'!$G$5:$G$92,"Aset Tak Berwujud",'Daftar Koreksi'!$H$5:$H$92,"&lt;0")-SUMIFS('Daftar Koreksi'!$H$5:$H$92,'Daftar Koreksi'!$D$5:$D$92,'1800'!A92,'Daftar Koreksi'!$G$5:$G$92,"Aset Tak Berwujud",'Daftar Koreksi'!$H$5:$H$92,"&lt;0")</f>
        <v>0</v>
      </c>
      <c r="G102" s="17">
        <f t="shared" si="4"/>
        <v>18480000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42629266</v>
      </c>
      <c r="E103" s="25">
        <f>SUMIFS('Daftar Koreksi'!$H$5:$H$92,'Daftar Koreksi'!$D$5:$D$92,'1800'!A92,'Daftar Koreksi'!$G$5:$G$92,"Aset Henti Guna",'Daftar Koreksi'!$H$5:$H$92,"&gt;0")</f>
        <v>0</v>
      </c>
      <c r="F103" s="25">
        <f>SUMIFS('Daftar Koreksi'!$H$5:$H$92,'Daftar Koreksi'!$D$5:$D$92,'1800'!A92,'Daftar Koreksi'!$G$5:$G$92,"Aset Henti Guna",'Daftar Koreksi'!$H$5:$H$92,"&lt;0")-SUMIFS('Daftar Koreksi'!$H$5:$H$92,'Daftar Koreksi'!$D$5:$D$92,'1800'!A92,'Daftar Koreksi'!$G$5:$G$92,"Aset Henti Guna",'Daftar Koreksi'!$H$5:$H$92,"&lt;0")-SUMIFS('Daftar Koreksi'!$H$5:$H$92,'Daftar Koreksi'!$D$5:$D$92,'1800'!A92,'Daftar Koreksi'!$G$5:$G$92,"Aset Henti Guna",'Daftar Koreksi'!$H$5:$H$92,"&lt;0")</f>
        <v>0</v>
      </c>
      <c r="G103" s="17">
        <f t="shared" si="4"/>
        <v>42629266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8769584844</v>
      </c>
      <c r="E104" s="19">
        <f>SUM(E95:E103)</f>
        <v>0</v>
      </c>
      <c r="F104" s="19">
        <f>SUM(F95:F103)</f>
        <v>0</v>
      </c>
      <c r="G104" s="19">
        <f t="shared" si="4"/>
        <v>8769584844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-1163149183</v>
      </c>
      <c r="E105" s="25">
        <f>SUMIFS('Daftar Koreksi'!$I$5:$I$92,'Daftar Koreksi'!$D$5:$D$92,'1800'!A92,'Daftar Koreksi'!$G$5:$G$92,"Peralatan dan mesin",'Daftar Koreksi'!$I$5:$I$92,"&gt;0")</f>
        <v>0</v>
      </c>
      <c r="F105" s="25">
        <f>SUMIFS('Daftar Koreksi'!$I$5:$I$92,'Daftar Koreksi'!$D$5:$D$92,'1800'!A92,'Daftar Koreksi'!$G$5:$G$92,"Peralatan dan mesin",'Daftar Koreksi'!$I$5:$I$92,"&lt;0")-SUMIFS('Daftar Koreksi'!$I$5:$I$92,'Daftar Koreksi'!$D$5:$D$92,'1800'!A92,'Daftar Koreksi'!$G$5:$G$92,"Peralatan dan mesin",'Daftar Koreksi'!$I$5:$I$92,"&lt;0")-SUMIFS('Daftar Koreksi'!$I$5:$I$92,'Daftar Koreksi'!$D$5:$D$92,'1800'!A92,'Daftar Koreksi'!$G$5:$G$92,"Peralatan dan mesin",'Daftar Koreksi'!$I$5:$I$92,"&lt;0")</f>
        <v>0</v>
      </c>
      <c r="G105" s="17">
        <f t="shared" si="4"/>
        <v>-1163149183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-549667365</v>
      </c>
      <c r="E106" s="25">
        <f>SUMIFS('Daftar Koreksi'!$I$5:$I$92,'Daftar Koreksi'!$D$5:$D$92,'1800'!A92,'Daftar Koreksi'!$G$5:$G$92,"Gedung dan Bangunan",'Daftar Koreksi'!$I$5:$I$92,"&gt;0")</f>
        <v>0</v>
      </c>
      <c r="F106" s="25">
        <f>SUMIFS('Daftar Koreksi'!$I$5:$I$92,'Daftar Koreksi'!$D$5:$D$92,'1800'!A92,'Daftar Koreksi'!$G$5:$G$92,"Gedung dan Bangunan",'Daftar Koreksi'!$I$5:$I$92,"&lt;0")-SUMIFS('Daftar Koreksi'!$I$5:$I$92,'Daftar Koreksi'!$D$5:$D$92,'1800'!A92,'Daftar Koreksi'!$G$5:$G$92,"Gedung dan Bangunan",'Daftar Koreksi'!$I$5:$I$92,"&lt;0")-SUMIFS('Daftar Koreksi'!$I$5:$I$92,'Daftar Koreksi'!$D$5:$D$92,'1800'!A92,'Daftar Koreksi'!$G$5:$G$92,"Gedung dan Bangunan",'Daftar Koreksi'!$I$5:$I$92,"&lt;0")</f>
        <v>0</v>
      </c>
      <c r="G106" s="17">
        <f t="shared" si="4"/>
        <v>-549667365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-1760000</v>
      </c>
      <c r="E107" s="25">
        <f>SUMIFS('Daftar Koreksi'!$I$5:$I$92,'Daftar Koreksi'!$D$5:$D$92,'1800'!A92,'Daftar Koreksi'!$G$5:$G$92,"Jalan Irigasi Jaringan",'Daftar Koreksi'!$I$5:$I$92,"&gt;0")</f>
        <v>0</v>
      </c>
      <c r="F107" s="25">
        <f>SUMIFS('Daftar Koreksi'!$I$5:$I$92,'Daftar Koreksi'!$D$5:$D$92,'1800'!A92,'Daftar Koreksi'!$G$5:$G$92,"Jalan Irigasi Jaringan",'Daftar Koreksi'!$I$5:$I$92,"&lt;0")-SUMIFS('Daftar Koreksi'!$I$5:$I$92,'Daftar Koreksi'!$D$5:$D$92,'1800'!A92,'Daftar Koreksi'!$G$5:$G$92,"Jalan Irigasi Jaringan",'Daftar Koreksi'!$I$5:$I$92,"&lt;0")-SUMIFS('Daftar Koreksi'!$I$5:$I$92,'Daftar Koreksi'!$D$5:$D$92,'1800'!A92,'Daftar Koreksi'!$G$5:$G$92,"Jalan Irigasi Jaringan",'Daftar Koreksi'!$I$5:$I$92,"&lt;0")</f>
        <v>0</v>
      </c>
      <c r="G107" s="17">
        <f t="shared" si="4"/>
        <v>-1760000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Koreksi'!$D$5:$D$92,'1800'!A92,'Daftar Koreksi'!$G$5:$G$92,"Aset Tetap Lainnya",'Daftar Koreksi'!$I$5:$I$92,"&gt;0")</f>
        <v>0</v>
      </c>
      <c r="F108" s="25">
        <f>SUMIFS('Daftar Koreksi'!$I$5:$I$92,'Daftar Koreksi'!$D$5:$D$92,'1800'!A92,'Daftar Koreksi'!$G$5:$G$92,"Aset Tetap Lainnya",'Daftar Koreksi'!$I$5:$I$92,"&lt;0")-SUMIFS('Daftar Koreksi'!$I$5:$I$92,'Daftar Koreksi'!$D$5:$D$92,'1800'!A92,'Daftar Koreksi'!$G$5:$G$92,"Aset Tetap Lainnya",'Daftar Koreksi'!$I$5:$I$92,"&lt;0")-SUMIFS('Daftar Koreksi'!$I$5:$I$92,'Daftar Koreksi'!$D$5:$D$92,'1800'!A92,'Daftar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-42548740</v>
      </c>
      <c r="E109" s="25">
        <f>SUMIFS('Daftar Koreksi'!$I$5:$I$92,'Daftar Koreksi'!$D$5:$D$92,'1800'!A92,'Daftar Koreksi'!$G$5:$G$92,"Aset Henti Guna",'Daftar Koreksi'!$I$5:$I$92,"&gt;0")</f>
        <v>0</v>
      </c>
      <c r="F109" s="25">
        <f>SUMIFS('Daftar Koreksi'!$I$5:$I$92,'Daftar Koreksi'!$D$5:$D$92,'1800'!A92,'Daftar Koreksi'!$G$5:$G$92,"Aset Henti Guna",'Daftar Koreksi'!$I$5:$I$92,"&lt;0")-SUMIFS('Daftar Koreksi'!$I$5:$I$92,'Daftar Koreksi'!$D$5:$D$92,'1800'!A92,'Daftar Koreksi'!$G$5:$G$92,"Aset Henti Guna",'Daftar Koreksi'!$I$5:$I$92,"&lt;0")-SUMIFS('Daftar Koreksi'!$I$5:$I$92,'Daftar Koreksi'!$D$5:$D$92,'1800'!A92,'Daftar Koreksi'!$G$5:$G$92,"Aset Henti Guna",'Daftar Koreksi'!$I$5:$I$92,"&lt;0")</f>
        <v>0</v>
      </c>
      <c r="G109" s="17">
        <f t="shared" si="4"/>
        <v>-42548740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-1757125288</v>
      </c>
      <c r="E110" s="19">
        <f>SUM(E105:E109)</f>
        <v>0</v>
      </c>
      <c r="F110" s="19">
        <f>SUM(F105:F109)</f>
        <v>0</v>
      </c>
      <c r="G110" s="19">
        <f t="shared" si="4"/>
        <v>-1757125288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7012459556</v>
      </c>
      <c r="E111" s="19">
        <f>E110+E104</f>
        <v>0</v>
      </c>
      <c r="F111" s="19">
        <f>F110+F104</f>
        <v>0</v>
      </c>
      <c r="G111" s="19">
        <f t="shared" si="4"/>
        <v>7012459556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005011800307288000KD</v>
      </c>
      <c r="B114" s="11" t="str">
        <f>P6</f>
        <v>PA. Toli Toli</v>
      </c>
      <c r="C114" s="12" t="str">
        <f>A114&amp;" "&amp;B114</f>
        <v>005011800307288000KD PA. Toli Toli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0</v>
      </c>
      <c r="E117" s="25">
        <f>SUMIFS('Daftar Koreksi'!$H$5:$H$92,'Daftar Koreksi'!$D$5:$D$92,'1800'!A114,'Daftar Koreksi'!$G$5:$G$92,"Persediaan",'Daftar Koreksi'!$H$5:$H$92,"&gt;0")</f>
        <v>0</v>
      </c>
      <c r="F117" s="25">
        <f>SUMIFS('Daftar Koreksi'!$H$5:$H$92,'Daftar Koreksi'!$D$5:$D$92,'1800'!A114,'Daftar Koreksi'!$G$5:$G$92,"Persediaan",'Daftar Koreksi'!$H$5:$H$92,"&lt;0")-SUMIFS('Daftar Koreksi'!$H$5:$H$92,'Daftar Koreksi'!$D$5:$D$92,'1800'!A114,'Daftar Koreksi'!$G$5:$G$92,"Persediaan",'Daftar Koreksi'!$H$5:$H$92,"&lt;0")-SUMIFS('Daftar Koreksi'!$H$5:$H$92,'Daftar Koreksi'!$D$5:$D$92,'1800'!A114,'Daftar Koreksi'!$G$5:$G$92,"Persediaan",'Daftar Koreksi'!$H$5:$H$92,"&lt;0")</f>
        <v>0</v>
      </c>
      <c r="G117" s="17">
        <f>D117+E117-F117</f>
        <v>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330567000</v>
      </c>
      <c r="E118" s="25">
        <f>SUMIFS('Daftar Koreksi'!$H$5:$H$92,'Daftar Koreksi'!$D$5:$D$92,'1800'!A114,'Daftar Koreksi'!$G$5:$G$92,"Tanah",'Daftar Koreksi'!$H$5:$H$92,"&gt;0")</f>
        <v>0</v>
      </c>
      <c r="F118" s="25">
        <f>SUMIFS('Daftar Koreksi'!$H$5:$H$92,'Daftar Koreksi'!$D$5:$D$92,'1800'!A114,'Daftar Koreksi'!$G$5:$G$92,"Tanah",'Daftar Koreksi'!$H$5:$H$92,"&lt;0")-SUMIFS('Daftar Koreksi'!$H$5:$H$92,'Daftar Koreksi'!$D$5:$D$92,'1800'!A114,'Daftar Koreksi'!$G$5:$G$92,"Tanah",'Daftar Koreksi'!$H$5:$H$92,"&lt;0")-SUMIFS('Daftar Koreksi'!$H$5:$H$92,'Daftar Koreksi'!$D$5:$D$92,'1800'!A114,'Daftar Koreksi'!$G$5:$G$92,"Tanah",'Daftar Koreksi'!$H$5:$H$92,"&lt;0")</f>
        <v>0</v>
      </c>
      <c r="G118" s="17">
        <f t="shared" ref="G118:G134" si="5">D118+E118-F118</f>
        <v>330567000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1295299634</v>
      </c>
      <c r="E119" s="25">
        <f>SUMIFS('Daftar Koreksi'!$H$5:$H$92,'Daftar Koreksi'!$D$5:$D$92,'1800'!A114,'Daftar Koreksi'!$G$5:$G$92,"Peralatan dan mesin",'Daftar Koreksi'!$H$5:$H$92,"&gt;0")</f>
        <v>0</v>
      </c>
      <c r="F119" s="25">
        <f>SUMIFS('Daftar Koreksi'!$H$5:$H$92,'Daftar Koreksi'!$D$5:$D$92,'1800'!A114,'Daftar Koreksi'!$G$5:$G$92,"Peralatan dan mesin",'Daftar Koreksi'!$H$5:$H$92,"&lt;0")-SUMIFS('Daftar Koreksi'!$H$5:$H$92,'Daftar Koreksi'!$D$5:$D$92,'1800'!A114,'Daftar Koreksi'!$G$5:$G$92,"Peralatan dan mesin",'Daftar Koreksi'!$H$5:$H$92,"&lt;0")-SUMIFS('Daftar Koreksi'!$H$5:$H$92,'Daftar Koreksi'!$D$5:$D$92,'1800'!A114,'Daftar Koreksi'!$G$5:$G$92,"Peralatan dan mesin",'Daftar Koreksi'!$H$5:$H$92,"&lt;0")</f>
        <v>0</v>
      </c>
      <c r="G119" s="17">
        <f t="shared" si="5"/>
        <v>1295299634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1697251056</v>
      </c>
      <c r="E120" s="25">
        <f>SUMIFS('Daftar Koreksi'!$H$5:$H$92,'Daftar Koreksi'!$D$5:$D$92,'1800'!A114,'Daftar Koreksi'!$G$5:$G$92,"Gedung dan Bangunan",'Daftar Koreksi'!$H$5:$H$92,"&gt;0")</f>
        <v>0</v>
      </c>
      <c r="F120" s="25">
        <f>SUMIFS('Daftar Koreksi'!$H$5:$H$92,'Daftar Koreksi'!$D$5:$D$92,'1800'!A114,'Daftar Koreksi'!$G$5:$G$92,"Gedung dan Bangunan",'Daftar Koreksi'!$H$5:$H$92,"&lt;0")-SUMIFS('Daftar Koreksi'!$H$5:$H$92,'Daftar Koreksi'!$D$5:$D$92,'1800'!A114,'Daftar Koreksi'!$G$5:$G$92,"Gedung dan Bangunan",'Daftar Koreksi'!$H$5:$H$92,"&lt;0")-SUMIFS('Daftar Koreksi'!$H$5:$H$92,'Daftar Koreksi'!$D$5:$D$92,'1800'!A114,'Daftar Koreksi'!$G$5:$G$92,"Gedung dan Bangunan",'Daftar Koreksi'!$H$5:$H$92,"&lt;0")</f>
        <v>0</v>
      </c>
      <c r="G120" s="17">
        <f t="shared" si="5"/>
        <v>1697251056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8000000</v>
      </c>
      <c r="E121" s="25">
        <f>SUMIFS('Daftar Koreksi'!$H$5:$H$92,'Daftar Koreksi'!$D$5:$D$92,'1800'!A114,'Daftar Koreksi'!$G$5:$G$92,"Jalan Irigasi Jaringan",'Daftar Koreksi'!$H$5:$H$92,"&gt;0")</f>
        <v>0</v>
      </c>
      <c r="F121" s="25">
        <f>SUMIFS('Daftar Koreksi'!$H$5:$H$92,'Daftar Koreksi'!$D$5:$D$92,'1800'!A114,'Daftar Koreksi'!$G$5:$G$92,"Jalan Irigasi Jaringan",'Daftar Koreksi'!$H$5:$H$92,"&lt;0")-SUMIFS('Daftar Koreksi'!$H$5:$H$92,'Daftar Koreksi'!$D$5:$D$92,'1800'!A114,'Daftar Koreksi'!$G$5:$G$92,"Jalan Irigasi Jaringan",'Daftar Koreksi'!$H$5:$H$92,"&lt;0")-SUMIFS('Daftar Koreksi'!$H$5:$H$92,'Daftar Koreksi'!$D$5:$D$92,'1800'!A114,'Daftar Koreksi'!$G$5:$G$92,"Jalan Irigasi Jaringan",'Daftar Koreksi'!$H$5:$H$92,"&lt;0")</f>
        <v>0</v>
      </c>
      <c r="G121" s="17">
        <f t="shared" si="5"/>
        <v>8000000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408000</v>
      </c>
      <c r="E122" s="25">
        <f>SUMIFS('Daftar Koreksi'!$H$5:$H$92,'Daftar Koreksi'!$D$5:$D$92,'1800'!A114,'Daftar Koreksi'!$G$5:$G$92,"Aset Tetap Lainnya",'Daftar Koreksi'!$H$5:$H$92,"&gt;0")</f>
        <v>0</v>
      </c>
      <c r="F122" s="25">
        <f>SUMIFS('Daftar Koreksi'!$H$5:$H$92,'Daftar Koreksi'!$D$5:$D$92,'1800'!A114,'Daftar Koreksi'!$G$5:$G$92,"Aset Tetap Lainnya",'Daftar Koreksi'!$H$5:$H$92,"&lt;0")-SUMIFS('Daftar Koreksi'!$H$5:$H$92,'Daftar Koreksi'!$D$5:$D$92,'1800'!A114,'Daftar Koreksi'!$G$5:$G$92,"Aset Tetap Lainnya",'Daftar Koreksi'!$H$5:$H$92,"&lt;0")-SUMIFS('Daftar Koreksi'!$H$5:$H$92,'Daftar Koreksi'!$D$5:$D$92,'1800'!A114,'Daftar Koreksi'!$G$5:$G$92,"Aset Tetap Lainnya",'Daftar Koreksi'!$H$5:$H$92,"&lt;0")</f>
        <v>0</v>
      </c>
      <c r="G122" s="17">
        <f t="shared" si="5"/>
        <v>408000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Koreksi'!$D$5:$D$92,'1800'!A114,'Daftar Koreksi'!$G$5:$G$92,"Kontruksi Dalam Pengerjaan",'Daftar Koreksi'!$H$5:$H$92,"&gt;0")</f>
        <v>0</v>
      </c>
      <c r="F123" s="25">
        <f>SUMIFS('Daftar Koreksi'!$H$5:$H$92,'Daftar Koreksi'!$D$5:$D$92,'1800'!A114,'Daftar Koreksi'!$G$5:$G$92,"Kontruksi Dalam Pengerjaan",'Daftar Koreksi'!$H$5:$H$92,"&lt;0")-SUMIFS('Daftar Koreksi'!$H$5:$H$92,'Daftar Koreksi'!$D$5:$D$92,'1800'!A114,'Daftar Koreksi'!$G$5:$G$92,"Kontruksi Dalam Pengerjaan",'Daftar Koreksi'!$H$5:$H$92,"&lt;0")-SUMIFS('Daftar Koreksi'!$H$5:$H$92,'Daftar Koreksi'!$D$5:$D$92,'1800'!A114,'Daftar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3850000</v>
      </c>
      <c r="E124" s="25">
        <f>SUMIFS('Daftar Koreksi'!$H$5:$H$92,'Daftar Koreksi'!$D$5:$D$92,'1800'!A114,'Daftar Koreksi'!$G$5:$G$92,"Aset Tak Berwujud",'Daftar Koreksi'!$H$5:$H$92,"&gt;0")</f>
        <v>0</v>
      </c>
      <c r="F124" s="25">
        <f>SUMIFS('Daftar Koreksi'!$H$5:$H$92,'Daftar Koreksi'!$D$5:$D$92,'1800'!A114,'Daftar Koreksi'!$G$5:$G$92,"Aset Tak Berwujud",'Daftar Koreksi'!$H$5:$H$92,"&lt;0")-SUMIFS('Daftar Koreksi'!$H$5:$H$92,'Daftar Koreksi'!$D$5:$D$92,'1800'!A114,'Daftar Koreksi'!$G$5:$G$92,"Aset Tak Berwujud",'Daftar Koreksi'!$H$5:$H$92,"&lt;0")-SUMIFS('Daftar Koreksi'!$H$5:$H$92,'Daftar Koreksi'!$D$5:$D$92,'1800'!A114,'Daftar Koreksi'!$G$5:$G$92,"Aset Tak Berwujud",'Daftar Koreksi'!$H$5:$H$92,"&lt;0")</f>
        <v>0</v>
      </c>
      <c r="G124" s="17">
        <f t="shared" si="5"/>
        <v>3850000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170701593</v>
      </c>
      <c r="E125" s="25">
        <f>SUMIFS('Daftar Koreksi'!$H$5:$H$92,'Daftar Koreksi'!$D$5:$D$92,'1800'!A114,'Daftar Koreksi'!$G$5:$G$92,"Aset Henti Guna",'Daftar Koreksi'!$H$5:$H$92,"&gt;0")</f>
        <v>0</v>
      </c>
      <c r="F125" s="25">
        <f>SUMIFS('Daftar Koreksi'!$H$5:$H$92,'Daftar Koreksi'!$D$5:$D$92,'1800'!A114,'Daftar Koreksi'!$G$5:$G$92,"Aset Henti Guna",'Daftar Koreksi'!$H$5:$H$92,"&lt;0")-SUMIFS('Daftar Koreksi'!$H$5:$H$92,'Daftar Koreksi'!$D$5:$D$92,'1800'!A114,'Daftar Koreksi'!$G$5:$G$92,"Aset Henti Guna",'Daftar Koreksi'!$H$5:$H$92,"&lt;0")-SUMIFS('Daftar Koreksi'!$H$5:$H$92,'Daftar Koreksi'!$D$5:$D$92,'1800'!A114,'Daftar Koreksi'!$G$5:$G$92,"Aset Henti Guna",'Daftar Koreksi'!$H$5:$H$92,"&lt;0")</f>
        <v>0</v>
      </c>
      <c r="G125" s="17">
        <f t="shared" si="5"/>
        <v>170701593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3506077283</v>
      </c>
      <c r="E126" s="19">
        <f>SUM(E117:E125)</f>
        <v>0</v>
      </c>
      <c r="F126" s="19">
        <f>SUM(F117:F125)</f>
        <v>0</v>
      </c>
      <c r="G126" s="19">
        <f t="shared" si="5"/>
        <v>3506077283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-935877977</v>
      </c>
      <c r="E127" s="25">
        <f>SUMIFS('Daftar Koreksi'!$I$5:$I$92,'Daftar Koreksi'!$D$5:$D$92,'1800'!A114,'Daftar Koreksi'!$G$5:$G$92,"Peralatan dan mesin",'Daftar Koreksi'!$I$5:$I$92,"&gt;0")</f>
        <v>0</v>
      </c>
      <c r="F127" s="25">
        <f>SUMIFS('Daftar Koreksi'!$I$5:$I$92,'Daftar Koreksi'!$D$5:$D$92,'1800'!A114,'Daftar Koreksi'!$G$5:$G$92,"Peralatan dan mesin",'Daftar Koreksi'!$I$5:$I$92,"&lt;0")-SUMIFS('Daftar Koreksi'!$I$5:$I$92,'Daftar Koreksi'!$D$5:$D$92,'1800'!A114,'Daftar Koreksi'!$G$5:$G$92,"Peralatan dan mesin",'Daftar Koreksi'!$I$5:$I$92,"&lt;0")-SUMIFS('Daftar Koreksi'!$I$5:$I$92,'Daftar Koreksi'!$D$5:$D$92,'1800'!A114,'Daftar Koreksi'!$G$5:$G$92,"Peralatan dan mesin",'Daftar Koreksi'!$I$5:$I$92,"&lt;0")</f>
        <v>0</v>
      </c>
      <c r="G127" s="17">
        <f t="shared" si="5"/>
        <v>-935877977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-853411838</v>
      </c>
      <c r="E128" s="25">
        <f>SUMIFS('Daftar Koreksi'!$I$5:$I$92,'Daftar Koreksi'!$D$5:$D$92,'1800'!A114,'Daftar Koreksi'!$G$5:$G$92,"Gedung dan Bangunan",'Daftar Koreksi'!$I$5:$I$92,"&gt;0")</f>
        <v>0</v>
      </c>
      <c r="F128" s="25">
        <f>SUMIFS('Daftar Koreksi'!$I$5:$I$92,'Daftar Koreksi'!$D$5:$D$92,'1800'!A114,'Daftar Koreksi'!$G$5:$G$92,"Gedung dan Bangunan",'Daftar Koreksi'!$I$5:$I$92,"&lt;0")-SUMIFS('Daftar Koreksi'!$I$5:$I$92,'Daftar Koreksi'!$D$5:$D$92,'1800'!A114,'Daftar Koreksi'!$G$5:$G$92,"Gedung dan Bangunan",'Daftar Koreksi'!$I$5:$I$92,"&lt;0")-SUMIFS('Daftar Koreksi'!$I$5:$I$92,'Daftar Koreksi'!$D$5:$D$92,'1800'!A114,'Daftar Koreksi'!$G$5:$G$92,"Gedung dan Bangunan",'Daftar Koreksi'!$I$5:$I$92,"&lt;0")</f>
        <v>0</v>
      </c>
      <c r="G128" s="17">
        <f t="shared" si="5"/>
        <v>-853411838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-800000</v>
      </c>
      <c r="E129" s="25">
        <f>SUMIFS('Daftar Koreksi'!$I$5:$I$92,'Daftar Koreksi'!$D$5:$D$92,'1800'!A114,'Daftar Koreksi'!$G$5:$G$92,"Jalan Irigasi Jaringan",'Daftar Koreksi'!$I$5:$I$92,"&gt;0")</f>
        <v>0</v>
      </c>
      <c r="F129" s="25">
        <f>SUMIFS('Daftar Koreksi'!$I$5:$I$92,'Daftar Koreksi'!$D$5:$D$92,'1800'!A114,'Daftar Koreksi'!$G$5:$G$92,"Jalan Irigasi Jaringan",'Daftar Koreksi'!$I$5:$I$92,"&lt;0")-SUMIFS('Daftar Koreksi'!$I$5:$I$92,'Daftar Koreksi'!$D$5:$D$92,'1800'!A114,'Daftar Koreksi'!$G$5:$G$92,"Jalan Irigasi Jaringan",'Daftar Koreksi'!$I$5:$I$92,"&lt;0")-SUMIFS('Daftar Koreksi'!$I$5:$I$92,'Daftar Koreksi'!$D$5:$D$92,'1800'!A114,'Daftar Koreksi'!$G$5:$G$92,"Jalan Irigasi Jaringan",'Daftar Koreksi'!$I$5:$I$92,"&lt;0")</f>
        <v>0</v>
      </c>
      <c r="G129" s="17">
        <f t="shared" si="5"/>
        <v>-800000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Koreksi'!$D$5:$D$92,'1800'!A114,'Daftar Koreksi'!$G$5:$G$92,"Aset Tetap Lainnya",'Daftar Koreksi'!$I$5:$I$92,"&gt;0")</f>
        <v>0</v>
      </c>
      <c r="F130" s="25">
        <f>SUMIFS('Daftar Koreksi'!$I$5:$I$92,'Daftar Koreksi'!$D$5:$D$92,'1800'!A114,'Daftar Koreksi'!$G$5:$G$92,"Aset Tetap Lainnya",'Daftar Koreksi'!$I$5:$I$92,"&lt;0")-SUMIFS('Daftar Koreksi'!$I$5:$I$92,'Daftar Koreksi'!$D$5:$D$92,'1800'!A114,'Daftar Koreksi'!$G$5:$G$92,"Aset Tetap Lainnya",'Daftar Koreksi'!$I$5:$I$92,"&lt;0")-SUMIFS('Daftar Koreksi'!$I$5:$I$92,'Daftar Koreksi'!$D$5:$D$92,'1800'!A114,'Daftar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-170701593</v>
      </c>
      <c r="E131" s="25">
        <f>SUMIFS('Daftar Koreksi'!$I$5:$I$92,'Daftar Koreksi'!$D$5:$D$92,'1800'!A114,'Daftar Koreksi'!$G$5:$G$92,"Aset Henti Guna",'Daftar Koreksi'!$I$5:$I$92,"&gt;0")</f>
        <v>0</v>
      </c>
      <c r="F131" s="25">
        <f>SUMIFS('Daftar Koreksi'!$I$5:$I$92,'Daftar Koreksi'!$D$5:$D$92,'1800'!A114,'Daftar Koreksi'!$G$5:$G$92,"Aset Henti Guna",'Daftar Koreksi'!$I$5:$I$92,"&lt;0")-SUMIFS('Daftar Koreksi'!$I$5:$I$92,'Daftar Koreksi'!$D$5:$D$92,'1800'!A114,'Daftar Koreksi'!$G$5:$G$92,"Aset Henti Guna",'Daftar Koreksi'!$I$5:$I$92,"&lt;0")-SUMIFS('Daftar Koreksi'!$I$5:$I$92,'Daftar Koreksi'!$D$5:$D$92,'1800'!A114,'Daftar Koreksi'!$G$5:$G$92,"Aset Henti Guna",'Daftar Koreksi'!$I$5:$I$92,"&lt;0")</f>
        <v>0</v>
      </c>
      <c r="G131" s="17">
        <f t="shared" si="5"/>
        <v>-170701593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-1960791408</v>
      </c>
      <c r="E132" s="19">
        <f>SUM(E127:E131)</f>
        <v>0</v>
      </c>
      <c r="F132" s="19">
        <f>SUM(F127:F131)</f>
        <v>0</v>
      </c>
      <c r="G132" s="19">
        <f t="shared" si="5"/>
        <v>-1960791408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1545285875</v>
      </c>
      <c r="E133" s="19">
        <f>E132+E126</f>
        <v>0</v>
      </c>
      <c r="F133" s="19">
        <f>F132+F126</f>
        <v>0</v>
      </c>
      <c r="G133" s="19">
        <f t="shared" si="5"/>
        <v>1545285875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005011800307292000KD</v>
      </c>
      <c r="B136" s="11" t="str">
        <f>P7</f>
        <v>PA. Poso</v>
      </c>
      <c r="C136" s="12" t="str">
        <f>A136&amp;" "&amp;B136</f>
        <v>005011800307292000KD PA. Poso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Koreksi'!$D$5:$D$92,'1800'!A136,'Daftar Koreksi'!$G$5:$G$92,"Persediaan",'Daftar Koreksi'!$H$5:$H$92,"&gt;0")</f>
        <v>0</v>
      </c>
      <c r="F139" s="25">
        <f>SUMIFS('Daftar Koreksi'!$H$5:$H$92,'Daftar Koreksi'!$D$5:$D$92,'1800'!A136,'Daftar Koreksi'!$G$5:$G$92,"Persediaan",'Daftar Koreksi'!$H$5:$H$92,"&lt;0")-SUMIFS('Daftar Koreksi'!$H$5:$H$92,'Daftar Koreksi'!$D$5:$D$92,'1800'!A136,'Daftar Koreksi'!$G$5:$G$92,"Persediaan",'Daftar Koreksi'!$H$5:$H$92,"&lt;0")-SUMIFS('Daftar Koreksi'!$H$5:$H$92,'Daftar Koreksi'!$D$5:$D$92,'1800'!A136,'Daftar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975300000</v>
      </c>
      <c r="E140" s="25">
        <f>SUMIFS('Daftar Koreksi'!$H$5:$H$92,'Daftar Koreksi'!$D$5:$D$92,'1800'!A136,'Daftar Koreksi'!$G$5:$G$92,"Tanah",'Daftar Koreksi'!$H$5:$H$92,"&gt;0")</f>
        <v>0</v>
      </c>
      <c r="F140" s="25">
        <f>SUMIFS('Daftar Koreksi'!$H$5:$H$92,'Daftar Koreksi'!$D$5:$D$92,'1800'!A136,'Daftar Koreksi'!$G$5:$G$92,"Tanah",'Daftar Koreksi'!$H$5:$H$92,"&lt;0")-SUMIFS('Daftar Koreksi'!$H$5:$H$92,'Daftar Koreksi'!$D$5:$D$92,'1800'!A136,'Daftar Koreksi'!$G$5:$G$92,"Tanah",'Daftar Koreksi'!$H$5:$H$92,"&lt;0")-SUMIFS('Daftar Koreksi'!$H$5:$H$92,'Daftar Koreksi'!$D$5:$D$92,'1800'!A136,'Daftar Koreksi'!$G$5:$G$92,"Tanah",'Daftar Koreksi'!$H$5:$H$92,"&lt;0")</f>
        <v>0</v>
      </c>
      <c r="G140" s="17">
        <f t="shared" ref="G140:G156" si="6">D140+E140-F140</f>
        <v>975300000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1167558217</v>
      </c>
      <c r="E141" s="25">
        <f>SUMIFS('Daftar Koreksi'!$H$5:$H$92,'Daftar Koreksi'!$D$5:$D$92,'1800'!A136,'Daftar Koreksi'!$G$5:$G$92,"Peralatan dan mesin",'Daftar Koreksi'!$H$5:$H$92,"&gt;0")</f>
        <v>0</v>
      </c>
      <c r="F141" s="25">
        <f>SUMIFS('Daftar Koreksi'!$H$5:$H$92,'Daftar Koreksi'!$D$5:$D$92,'1800'!A136,'Daftar Koreksi'!$G$5:$G$92,"Peralatan dan mesin",'Daftar Koreksi'!$H$5:$H$92,"&lt;0")-SUMIFS('Daftar Koreksi'!$H$5:$H$92,'Daftar Koreksi'!$D$5:$D$92,'1800'!A136,'Daftar Koreksi'!$G$5:$G$92,"Peralatan dan mesin",'Daftar Koreksi'!$H$5:$H$92,"&lt;0")-SUMIFS('Daftar Koreksi'!$H$5:$H$92,'Daftar Koreksi'!$D$5:$D$92,'1800'!A136,'Daftar Koreksi'!$G$5:$G$92,"Peralatan dan mesin",'Daftar Koreksi'!$H$5:$H$92,"&lt;0")</f>
        <v>0</v>
      </c>
      <c r="G141" s="17">
        <f t="shared" si="6"/>
        <v>1167558217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8679914993</v>
      </c>
      <c r="E142" s="25">
        <f>SUMIFS('Daftar Koreksi'!$H$5:$H$92,'Daftar Koreksi'!$D$5:$D$92,'1800'!A136,'Daftar Koreksi'!$G$5:$G$92,"Gedung dan Bangunan",'Daftar Koreksi'!$H$5:$H$92,"&gt;0")</f>
        <v>0</v>
      </c>
      <c r="F142" s="25">
        <f>SUMIFS('Daftar Koreksi'!$H$5:$H$92,'Daftar Koreksi'!$D$5:$D$92,'1800'!A136,'Daftar Koreksi'!$G$5:$G$92,"Gedung dan Bangunan",'Daftar Koreksi'!$H$5:$H$92,"&lt;0")-SUMIFS('Daftar Koreksi'!$H$5:$H$92,'Daftar Koreksi'!$D$5:$D$92,'1800'!A136,'Daftar Koreksi'!$G$5:$G$92,"Gedung dan Bangunan",'Daftar Koreksi'!$H$5:$H$92,"&lt;0")-SUMIFS('Daftar Koreksi'!$H$5:$H$92,'Daftar Koreksi'!$D$5:$D$92,'1800'!A136,'Daftar Koreksi'!$G$5:$G$92,"Gedung dan Bangunan",'Daftar Koreksi'!$H$5:$H$92,"&lt;0")</f>
        <v>0</v>
      </c>
      <c r="G142" s="17">
        <f t="shared" si="6"/>
        <v>8679914993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Koreksi'!$D$5:$D$92,'1800'!A136,'Daftar Koreksi'!$G$5:$G$92,"Jalan Irigasi Jaringan",'Daftar Koreksi'!$H$5:$H$92,"&gt;0")</f>
        <v>0</v>
      </c>
      <c r="F143" s="25">
        <f>SUMIFS('Daftar Koreksi'!$H$5:$H$92,'Daftar Koreksi'!$D$5:$D$92,'1800'!A136,'Daftar Koreksi'!$G$5:$G$92,"Jalan Irigasi Jaringan",'Daftar Koreksi'!$H$5:$H$92,"&lt;0")-SUMIFS('Daftar Koreksi'!$H$5:$H$92,'Daftar Koreksi'!$D$5:$D$92,'1800'!A136,'Daftar Koreksi'!$G$5:$G$92,"Jalan Irigasi Jaringan",'Daftar Koreksi'!$H$5:$H$92,"&lt;0")-SUMIFS('Daftar Koreksi'!$H$5:$H$92,'Daftar Koreksi'!$D$5:$D$92,'1800'!A136,'Daftar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29873900</v>
      </c>
      <c r="E144" s="25">
        <f>SUMIFS('Daftar Koreksi'!$H$5:$H$92,'Daftar Koreksi'!$D$5:$D$92,'1800'!A136,'Daftar Koreksi'!$G$5:$G$92,"Aset Tetap Lainnya",'Daftar Koreksi'!$H$5:$H$92,"&gt;0")</f>
        <v>0</v>
      </c>
      <c r="F144" s="25">
        <f>SUMIFS('Daftar Koreksi'!$H$5:$H$92,'Daftar Koreksi'!$D$5:$D$92,'1800'!A136,'Daftar Koreksi'!$G$5:$G$92,"Aset Tetap Lainnya",'Daftar Koreksi'!$H$5:$H$92,"&lt;0")-SUMIFS('Daftar Koreksi'!$H$5:$H$92,'Daftar Koreksi'!$D$5:$D$92,'1800'!A136,'Daftar Koreksi'!$G$5:$G$92,"Aset Tetap Lainnya",'Daftar Koreksi'!$H$5:$H$92,"&lt;0")-SUMIFS('Daftar Koreksi'!$H$5:$H$92,'Daftar Koreksi'!$D$5:$D$92,'1800'!A136,'Daftar Koreksi'!$G$5:$G$92,"Aset Tetap Lainnya",'Daftar Koreksi'!$H$5:$H$92,"&lt;0")</f>
        <v>0</v>
      </c>
      <c r="G144" s="17">
        <f t="shared" si="6"/>
        <v>29873900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Koreksi'!$D$5:$D$92,'1800'!A136,'Daftar Koreksi'!$G$5:$G$92,"Kontruksi Dalam Pengerjaan",'Daftar Koreksi'!$H$5:$H$92,"&gt;0")</f>
        <v>0</v>
      </c>
      <c r="F145" s="25">
        <f>SUMIFS('Daftar Koreksi'!$H$5:$H$92,'Daftar Koreksi'!$D$5:$D$92,'1800'!A136,'Daftar Koreksi'!$G$5:$G$92,"Kontruksi Dalam Pengerjaan",'Daftar Koreksi'!$H$5:$H$92,"&lt;0")-SUMIFS('Daftar Koreksi'!$H$5:$H$92,'Daftar Koreksi'!$D$5:$D$92,'1800'!A136,'Daftar Koreksi'!$G$5:$G$92,"Kontruksi Dalam Pengerjaan",'Daftar Koreksi'!$H$5:$H$92,"&lt;0")-SUMIFS('Daftar Koreksi'!$H$5:$H$92,'Daftar Koreksi'!$D$5:$D$92,'1800'!A136,'Daftar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3850000</v>
      </c>
      <c r="E146" s="25">
        <f>SUMIFS('Daftar Koreksi'!$H$5:$H$92,'Daftar Koreksi'!$D$5:$D$92,'1800'!A136,'Daftar Koreksi'!$G$5:$G$92,"Aset Tak Berwujud",'Daftar Koreksi'!$H$5:$H$92,"&gt;0")</f>
        <v>0</v>
      </c>
      <c r="F146" s="25">
        <f>SUMIFS('Daftar Koreksi'!$H$5:$H$92,'Daftar Koreksi'!$D$5:$D$92,'1800'!A136,'Daftar Koreksi'!$G$5:$G$92,"Aset Tak Berwujud",'Daftar Koreksi'!$H$5:$H$92,"&lt;0")-SUMIFS('Daftar Koreksi'!$H$5:$H$92,'Daftar Koreksi'!$D$5:$D$92,'1800'!A136,'Daftar Koreksi'!$G$5:$G$92,"Aset Tak Berwujud",'Daftar Koreksi'!$H$5:$H$92,"&lt;0")-SUMIFS('Daftar Koreksi'!$H$5:$H$92,'Daftar Koreksi'!$D$5:$D$92,'1800'!A136,'Daftar Koreksi'!$G$5:$G$92,"Aset Tak Berwujud",'Daftar Koreksi'!$H$5:$H$92,"&lt;0")</f>
        <v>0</v>
      </c>
      <c r="G146" s="17">
        <f t="shared" si="6"/>
        <v>3850000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83810110</v>
      </c>
      <c r="E147" s="25">
        <f>SUMIFS('Daftar Koreksi'!$H$5:$H$92,'Daftar Koreksi'!$D$5:$D$92,'1800'!A136,'Daftar Koreksi'!$G$5:$G$92,"Aset Henti Guna",'Daftar Koreksi'!$H$5:$H$92,"&gt;0")</f>
        <v>0</v>
      </c>
      <c r="F147" s="25">
        <f>SUMIFS('Daftar Koreksi'!$H$5:$H$92,'Daftar Koreksi'!$D$5:$D$92,'1800'!A136,'Daftar Koreksi'!$G$5:$G$92,"Aset Henti Guna",'Daftar Koreksi'!$H$5:$H$92,"&lt;0")-SUMIFS('Daftar Koreksi'!$H$5:$H$92,'Daftar Koreksi'!$D$5:$D$92,'1800'!A136,'Daftar Koreksi'!$G$5:$G$92,"Aset Henti Guna",'Daftar Koreksi'!$H$5:$H$92,"&lt;0")-SUMIFS('Daftar Koreksi'!$H$5:$H$92,'Daftar Koreksi'!$D$5:$D$92,'1800'!A136,'Daftar Koreksi'!$G$5:$G$92,"Aset Henti Guna",'Daftar Koreksi'!$H$5:$H$92,"&lt;0")</f>
        <v>0</v>
      </c>
      <c r="G147" s="17">
        <f t="shared" si="6"/>
        <v>83810110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10940307220</v>
      </c>
      <c r="E148" s="19">
        <f>SUM(E139:E147)</f>
        <v>0</v>
      </c>
      <c r="F148" s="19">
        <f>SUM(F139:F147)</f>
        <v>0</v>
      </c>
      <c r="G148" s="19">
        <f t="shared" si="6"/>
        <v>10940307220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-691248199</v>
      </c>
      <c r="E149" s="25">
        <f>SUMIFS('Daftar Koreksi'!$I$5:$I$92,'Daftar Koreksi'!$D$5:$D$92,'1800'!A136,'Daftar Koreksi'!$G$5:$G$92,"Peralatan dan mesin",'Daftar Koreksi'!$I$5:$I$92,"&gt;0")</f>
        <v>0</v>
      </c>
      <c r="F149" s="25">
        <f>SUMIFS('Daftar Koreksi'!$I$5:$I$92,'Daftar Koreksi'!$D$5:$D$92,'1800'!A136,'Daftar Koreksi'!$G$5:$G$92,"Peralatan dan mesin",'Daftar Koreksi'!$I$5:$I$92,"&lt;0")-SUMIFS('Daftar Koreksi'!$I$5:$I$92,'Daftar Koreksi'!$D$5:$D$92,'1800'!A136,'Daftar Koreksi'!$G$5:$G$92,"Peralatan dan mesin",'Daftar Koreksi'!$I$5:$I$92,"&lt;0")-SUMIFS('Daftar Koreksi'!$I$5:$I$92,'Daftar Koreksi'!$D$5:$D$92,'1800'!A136,'Daftar Koreksi'!$G$5:$G$92,"Peralatan dan mesin",'Daftar Koreksi'!$I$5:$I$92,"&lt;0")</f>
        <v>0</v>
      </c>
      <c r="G149" s="17">
        <f t="shared" si="6"/>
        <v>-691248199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-659785297</v>
      </c>
      <c r="E150" s="25">
        <f>SUMIFS('Daftar Koreksi'!$I$5:$I$92,'Daftar Koreksi'!$D$5:$D$92,'1800'!A136,'Daftar Koreksi'!$G$5:$G$92,"Gedung dan Bangunan",'Daftar Koreksi'!$I$5:$I$92,"&gt;0")</f>
        <v>0</v>
      </c>
      <c r="F150" s="25">
        <f>SUMIFS('Daftar Koreksi'!$I$5:$I$92,'Daftar Koreksi'!$D$5:$D$92,'1800'!A136,'Daftar Koreksi'!$G$5:$G$92,"Gedung dan Bangunan",'Daftar Koreksi'!$I$5:$I$92,"&lt;0")-SUMIFS('Daftar Koreksi'!$I$5:$I$92,'Daftar Koreksi'!$D$5:$D$92,'1800'!A136,'Daftar Koreksi'!$G$5:$G$92,"Gedung dan Bangunan",'Daftar Koreksi'!$I$5:$I$92,"&lt;0")-SUMIFS('Daftar Koreksi'!$I$5:$I$92,'Daftar Koreksi'!$D$5:$D$92,'1800'!A136,'Daftar Koreksi'!$G$5:$G$92,"Gedung dan Bangunan",'Daftar Koreksi'!$I$5:$I$92,"&lt;0")</f>
        <v>0</v>
      </c>
      <c r="G150" s="17">
        <f t="shared" si="6"/>
        <v>-659785297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Koreksi'!$D$5:$D$92,'1800'!A136,'Daftar Koreksi'!$G$5:$G$92,"Jalan Irigasi Jaringan",'Daftar Koreksi'!$I$5:$I$92,"&gt;0")</f>
        <v>0</v>
      </c>
      <c r="F151" s="25">
        <f>SUMIFS('Daftar Koreksi'!$I$5:$I$92,'Daftar Koreksi'!$D$5:$D$92,'1800'!A136,'Daftar Koreksi'!$G$5:$G$92,"Jalan Irigasi Jaringan",'Daftar Koreksi'!$I$5:$I$92,"&lt;0")-SUMIFS('Daftar Koreksi'!$I$5:$I$92,'Daftar Koreksi'!$D$5:$D$92,'1800'!A136,'Daftar Koreksi'!$G$5:$G$92,"Jalan Irigasi Jaringan",'Daftar Koreksi'!$I$5:$I$92,"&lt;0")-SUMIFS('Daftar Koreksi'!$I$5:$I$92,'Daftar Koreksi'!$D$5:$D$92,'1800'!A136,'Daftar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Koreksi'!$D$5:$D$92,'1800'!A136,'Daftar Koreksi'!$G$5:$G$92,"Aset Tetap Lainnya",'Daftar Koreksi'!$I$5:$I$92,"&gt;0")</f>
        <v>0</v>
      </c>
      <c r="F152" s="25">
        <f>SUMIFS('Daftar Koreksi'!$I$5:$I$92,'Daftar Koreksi'!$D$5:$D$92,'1800'!A136,'Daftar Koreksi'!$G$5:$G$92,"Aset Tetap Lainnya",'Daftar Koreksi'!$I$5:$I$92,"&lt;0")-SUMIFS('Daftar Koreksi'!$I$5:$I$92,'Daftar Koreksi'!$D$5:$D$92,'1800'!A136,'Daftar Koreksi'!$G$5:$G$92,"Aset Tetap Lainnya",'Daftar Koreksi'!$I$5:$I$92,"&lt;0")-SUMIFS('Daftar Koreksi'!$I$5:$I$92,'Daftar Koreksi'!$D$5:$D$92,'1800'!A136,'Daftar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-83810110</v>
      </c>
      <c r="E153" s="25">
        <f>SUMIFS('Daftar Koreksi'!$I$5:$I$92,'Daftar Koreksi'!$D$5:$D$92,'1800'!A136,'Daftar Koreksi'!$G$5:$G$92,"Aset Henti Guna",'Daftar Koreksi'!$I$5:$I$92,"&gt;0")</f>
        <v>0</v>
      </c>
      <c r="F153" s="25">
        <f>SUMIFS('Daftar Koreksi'!$I$5:$I$92,'Daftar Koreksi'!$D$5:$D$92,'1800'!A136,'Daftar Koreksi'!$G$5:$G$92,"Aset Henti Guna",'Daftar Koreksi'!$I$5:$I$92,"&lt;0")-SUMIFS('Daftar Koreksi'!$I$5:$I$92,'Daftar Koreksi'!$D$5:$D$92,'1800'!A136,'Daftar Koreksi'!$G$5:$G$92,"Aset Henti Guna",'Daftar Koreksi'!$I$5:$I$92,"&lt;0")-SUMIFS('Daftar Koreksi'!$I$5:$I$92,'Daftar Koreksi'!$D$5:$D$92,'1800'!A136,'Daftar Koreksi'!$G$5:$G$92,"Aset Henti Guna",'Daftar Koreksi'!$I$5:$I$92,"&lt;0")</f>
        <v>0</v>
      </c>
      <c r="G153" s="17">
        <f t="shared" si="6"/>
        <v>-83810110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-1434843606</v>
      </c>
      <c r="E154" s="19">
        <f>SUM(E149:E153)</f>
        <v>0</v>
      </c>
      <c r="F154" s="19">
        <f>SUM(F149:F153)</f>
        <v>0</v>
      </c>
      <c r="G154" s="19">
        <f t="shared" si="6"/>
        <v>-1434843606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9505463614</v>
      </c>
      <c r="E155" s="19">
        <f>E154+E148</f>
        <v>0</v>
      </c>
      <c r="F155" s="19">
        <f>F154+F148</f>
        <v>0</v>
      </c>
      <c r="G155" s="19">
        <f t="shared" si="6"/>
        <v>9505463614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005011800307300000KD</v>
      </c>
      <c r="B158" s="11" t="str">
        <f>P8</f>
        <v>PA. Luwuk</v>
      </c>
      <c r="C158" s="12" t="str">
        <f>A158&amp;" "&amp;B158</f>
        <v>005011800307300000KD PA. Luwuk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0</v>
      </c>
      <c r="E161" s="25">
        <f>SUMIFS('Daftar Koreksi'!$H$5:$H$92,'Daftar Koreksi'!$D$5:$D$92,'1800'!A158,'Daftar Koreksi'!$G$5:$G$92,"Persediaan",'Daftar Koreksi'!$H$5:$H$92,"&gt;0")</f>
        <v>0</v>
      </c>
      <c r="F161" s="25">
        <f>SUMIFS('Daftar Koreksi'!$H$5:$H$92,'Daftar Koreksi'!$D$5:$D$92,'1800'!A158,'Daftar Koreksi'!$G$5:$G$92,"Persediaan",'Daftar Koreksi'!$H$5:$H$92,"&lt;0")-SUMIFS('Daftar Koreksi'!$H$5:$H$92,'Daftar Koreksi'!$D$5:$D$92,'1800'!A158,'Daftar Koreksi'!$G$5:$G$92,"Persediaan",'Daftar Koreksi'!$H$5:$H$92,"&lt;0")-SUMIFS('Daftar Koreksi'!$H$5:$H$92,'Daftar Koreksi'!$D$5:$D$92,'1800'!A158,'Daftar Koreksi'!$G$5:$G$92,"Persediaan",'Daftar Koreksi'!$H$5:$H$92,"&lt;0")</f>
        <v>0</v>
      </c>
      <c r="G161" s="17">
        <f>D161+E161-F161</f>
        <v>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844769000</v>
      </c>
      <c r="E162" s="25">
        <f>SUMIFS('Daftar Koreksi'!$H$5:$H$92,'Daftar Koreksi'!$D$5:$D$92,'1800'!A158,'Daftar Koreksi'!$G$5:$G$92,"Tanah",'Daftar Koreksi'!$H$5:$H$92,"&gt;0")</f>
        <v>0</v>
      </c>
      <c r="F162" s="25">
        <f>SUMIFS('Daftar Koreksi'!$H$5:$H$92,'Daftar Koreksi'!$D$5:$D$92,'1800'!A158,'Daftar Koreksi'!$G$5:$G$92,"Tanah",'Daftar Koreksi'!$H$5:$H$92,"&lt;0")-SUMIFS('Daftar Koreksi'!$H$5:$H$92,'Daftar Koreksi'!$D$5:$D$92,'1800'!A158,'Daftar Koreksi'!$G$5:$G$92,"Tanah",'Daftar Koreksi'!$H$5:$H$92,"&lt;0")-SUMIFS('Daftar Koreksi'!$H$5:$H$92,'Daftar Koreksi'!$D$5:$D$92,'1800'!A158,'Daftar Koreksi'!$G$5:$G$92,"Tanah",'Daftar Koreksi'!$H$5:$H$92,"&lt;0")</f>
        <v>0</v>
      </c>
      <c r="G162" s="17">
        <f t="shared" ref="G162:G178" si="7">D162+E162-F162</f>
        <v>844769000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788607503</v>
      </c>
      <c r="E163" s="25">
        <f>SUMIFS('Daftar Koreksi'!$H$5:$H$92,'Daftar Koreksi'!$D$5:$D$92,'1800'!A158,'Daftar Koreksi'!$G$5:$G$92,"Peralatan dan mesin",'Daftar Koreksi'!$H$5:$H$92,"&gt;0")</f>
        <v>0</v>
      </c>
      <c r="F163" s="25">
        <f>SUMIFS('Daftar Koreksi'!$H$5:$H$92,'Daftar Koreksi'!$D$5:$D$92,'1800'!A158,'Daftar Koreksi'!$G$5:$G$92,"Peralatan dan mesin",'Daftar Koreksi'!$H$5:$H$92,"&lt;0")-SUMIFS('Daftar Koreksi'!$H$5:$H$92,'Daftar Koreksi'!$D$5:$D$92,'1800'!A158,'Daftar Koreksi'!$G$5:$G$92,"Peralatan dan mesin",'Daftar Koreksi'!$H$5:$H$92,"&lt;0")-SUMIFS('Daftar Koreksi'!$H$5:$H$92,'Daftar Koreksi'!$D$5:$D$92,'1800'!A158,'Daftar Koreksi'!$G$5:$G$92,"Peralatan dan mesin",'Daftar Koreksi'!$H$5:$H$92,"&lt;0")</f>
        <v>0</v>
      </c>
      <c r="G163" s="17">
        <f t="shared" si="7"/>
        <v>788607503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5162730000</v>
      </c>
      <c r="E164" s="25">
        <f>SUMIFS('Daftar Koreksi'!$H$5:$H$92,'Daftar Koreksi'!$D$5:$D$92,'1800'!A158,'Daftar Koreksi'!$G$5:$G$92,"Gedung dan Bangunan",'Daftar Koreksi'!$H$5:$H$92,"&gt;0")</f>
        <v>0</v>
      </c>
      <c r="F164" s="25">
        <f>SUMIFS('Daftar Koreksi'!$H$5:$H$92,'Daftar Koreksi'!$D$5:$D$92,'1800'!A158,'Daftar Koreksi'!$G$5:$G$92,"Gedung dan Bangunan",'Daftar Koreksi'!$H$5:$H$92,"&lt;0")-SUMIFS('Daftar Koreksi'!$H$5:$H$92,'Daftar Koreksi'!$D$5:$D$92,'1800'!A158,'Daftar Koreksi'!$G$5:$G$92,"Gedung dan Bangunan",'Daftar Koreksi'!$H$5:$H$92,"&lt;0")-SUMIFS('Daftar Koreksi'!$H$5:$H$92,'Daftar Koreksi'!$D$5:$D$92,'1800'!A158,'Daftar Koreksi'!$G$5:$G$92,"Gedung dan Bangunan",'Daftar Koreksi'!$H$5:$H$92,"&lt;0")</f>
        <v>0</v>
      </c>
      <c r="G164" s="17">
        <f t="shared" si="7"/>
        <v>5162730000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420181900</v>
      </c>
      <c r="E165" s="25">
        <f>SUMIFS('Daftar Koreksi'!$H$5:$H$92,'Daftar Koreksi'!$D$5:$D$92,'1800'!A158,'Daftar Koreksi'!$G$5:$G$92,"Jalan Irigasi Jaringan",'Daftar Koreksi'!$H$5:$H$92,"&gt;0")</f>
        <v>0</v>
      </c>
      <c r="F165" s="25">
        <f>SUMIFS('Daftar Koreksi'!$H$5:$H$92,'Daftar Koreksi'!$D$5:$D$92,'1800'!A158,'Daftar Koreksi'!$G$5:$G$92,"Jalan Irigasi Jaringan",'Daftar Koreksi'!$H$5:$H$92,"&lt;0")-SUMIFS('Daftar Koreksi'!$H$5:$H$92,'Daftar Koreksi'!$D$5:$D$92,'1800'!A158,'Daftar Koreksi'!$G$5:$G$92,"Jalan Irigasi Jaringan",'Daftar Koreksi'!$H$5:$H$92,"&lt;0")-SUMIFS('Daftar Koreksi'!$H$5:$H$92,'Daftar Koreksi'!$D$5:$D$92,'1800'!A158,'Daftar Koreksi'!$G$5:$G$92,"Jalan Irigasi Jaringan",'Daftar Koreksi'!$H$5:$H$92,"&lt;0")</f>
        <v>0</v>
      </c>
      <c r="G165" s="17">
        <f t="shared" si="7"/>
        <v>420181900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408000</v>
      </c>
      <c r="E166" s="25">
        <f>SUMIFS('Daftar Koreksi'!$H$5:$H$92,'Daftar Koreksi'!$D$5:$D$92,'1800'!A158,'Daftar Koreksi'!$G$5:$G$92,"Aset Tetap Lainnya",'Daftar Koreksi'!$H$5:$H$92,"&gt;0")</f>
        <v>0</v>
      </c>
      <c r="F166" s="25">
        <f>SUMIFS('Daftar Koreksi'!$H$5:$H$92,'Daftar Koreksi'!$D$5:$D$92,'1800'!A158,'Daftar Koreksi'!$G$5:$G$92,"Aset Tetap Lainnya",'Daftar Koreksi'!$H$5:$H$92,"&lt;0")-SUMIFS('Daftar Koreksi'!$H$5:$H$92,'Daftar Koreksi'!$D$5:$D$92,'1800'!A158,'Daftar Koreksi'!$G$5:$G$92,"Aset Tetap Lainnya",'Daftar Koreksi'!$H$5:$H$92,"&lt;0")-SUMIFS('Daftar Koreksi'!$H$5:$H$92,'Daftar Koreksi'!$D$5:$D$92,'1800'!A158,'Daftar Koreksi'!$G$5:$G$92,"Aset Tetap Lainnya",'Daftar Koreksi'!$H$5:$H$92,"&lt;0")</f>
        <v>0</v>
      </c>
      <c r="G166" s="17">
        <f t="shared" si="7"/>
        <v>408000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Koreksi'!$D$5:$D$92,'1800'!A158,'Daftar Koreksi'!$G$5:$G$92,"Kontruksi Dalam Pengerjaan",'Daftar Koreksi'!$H$5:$H$92,"&gt;0")</f>
        <v>0</v>
      </c>
      <c r="F167" s="25">
        <f>SUMIFS('Daftar Koreksi'!$H$5:$H$92,'Daftar Koreksi'!$D$5:$D$92,'1800'!A158,'Daftar Koreksi'!$G$5:$G$92,"Kontruksi Dalam Pengerjaan",'Daftar Koreksi'!$H$5:$H$92,"&lt;0")-SUMIFS('Daftar Koreksi'!$H$5:$H$92,'Daftar Koreksi'!$D$5:$D$92,'1800'!A158,'Daftar Koreksi'!$G$5:$G$92,"Kontruksi Dalam Pengerjaan",'Daftar Koreksi'!$H$5:$H$92,"&lt;0")-SUMIFS('Daftar Koreksi'!$H$5:$H$92,'Daftar Koreksi'!$D$5:$D$92,'1800'!A158,'Daftar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3850000</v>
      </c>
      <c r="E168" s="25">
        <f>SUMIFS('Daftar Koreksi'!$H$5:$H$92,'Daftar Koreksi'!$D$5:$D$92,'1800'!A158,'Daftar Koreksi'!$G$5:$G$92,"Aset Tak Berwujud",'Daftar Koreksi'!$H$5:$H$92,"&gt;0")</f>
        <v>0</v>
      </c>
      <c r="F168" s="25">
        <f>SUMIFS('Daftar Koreksi'!$H$5:$H$92,'Daftar Koreksi'!$D$5:$D$92,'1800'!A158,'Daftar Koreksi'!$G$5:$G$92,"Aset Tak Berwujud",'Daftar Koreksi'!$H$5:$H$92,"&lt;0")-SUMIFS('Daftar Koreksi'!$H$5:$H$92,'Daftar Koreksi'!$D$5:$D$92,'1800'!A158,'Daftar Koreksi'!$G$5:$G$92,"Aset Tak Berwujud",'Daftar Koreksi'!$H$5:$H$92,"&lt;0")-SUMIFS('Daftar Koreksi'!$H$5:$H$92,'Daftar Koreksi'!$D$5:$D$92,'1800'!A158,'Daftar Koreksi'!$G$5:$G$92,"Aset Tak Berwujud",'Daftar Koreksi'!$H$5:$H$92,"&lt;0")</f>
        <v>0</v>
      </c>
      <c r="G168" s="17">
        <f t="shared" si="7"/>
        <v>3850000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277870237</v>
      </c>
      <c r="E169" s="25">
        <f>SUMIFS('Daftar Koreksi'!$H$5:$H$92,'Daftar Koreksi'!$D$5:$D$92,'1800'!A158,'Daftar Koreksi'!$G$5:$G$92,"Aset Henti Guna",'Daftar Koreksi'!$H$5:$H$92,"&gt;0")</f>
        <v>0</v>
      </c>
      <c r="F169" s="25">
        <f>SUMIFS('Daftar Koreksi'!$H$5:$H$92,'Daftar Koreksi'!$D$5:$D$92,'1800'!A158,'Daftar Koreksi'!$G$5:$G$92,"Aset Henti Guna",'Daftar Koreksi'!$H$5:$H$92,"&lt;0")-SUMIFS('Daftar Koreksi'!$H$5:$H$92,'Daftar Koreksi'!$D$5:$D$92,'1800'!A158,'Daftar Koreksi'!$G$5:$G$92,"Aset Henti Guna",'Daftar Koreksi'!$H$5:$H$92,"&lt;0")-SUMIFS('Daftar Koreksi'!$H$5:$H$92,'Daftar Koreksi'!$D$5:$D$92,'1800'!A158,'Daftar Koreksi'!$G$5:$G$92,"Aset Henti Guna",'Daftar Koreksi'!$H$5:$H$92,"&lt;0")</f>
        <v>0</v>
      </c>
      <c r="G169" s="17">
        <f t="shared" si="7"/>
        <v>277870237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7498416640</v>
      </c>
      <c r="E170" s="19">
        <f>SUM(E161:E169)</f>
        <v>0</v>
      </c>
      <c r="F170" s="19">
        <f>SUM(F161:F169)</f>
        <v>0</v>
      </c>
      <c r="G170" s="19">
        <f t="shared" si="7"/>
        <v>7498416640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-621639106</v>
      </c>
      <c r="E171" s="25">
        <f>SUMIFS('Daftar Koreksi'!$I$5:$I$92,'Daftar Koreksi'!$D$5:$D$92,'1800'!A158,'Daftar Koreksi'!$G$5:$G$92,"Peralatan dan mesin",'Daftar Koreksi'!$I$5:$I$92,"&gt;0")</f>
        <v>0</v>
      </c>
      <c r="F171" s="25">
        <f>SUMIFS('Daftar Koreksi'!$I$5:$I$92,'Daftar Koreksi'!$D$5:$D$92,'1800'!A158,'Daftar Koreksi'!$G$5:$G$92,"Peralatan dan mesin",'Daftar Koreksi'!$I$5:$I$92,"&lt;0")-SUMIFS('Daftar Koreksi'!$I$5:$I$92,'Daftar Koreksi'!$D$5:$D$92,'1800'!A158,'Daftar Koreksi'!$G$5:$G$92,"Peralatan dan mesin",'Daftar Koreksi'!$I$5:$I$92,"&lt;0")-SUMIFS('Daftar Koreksi'!$I$5:$I$92,'Daftar Koreksi'!$D$5:$D$92,'1800'!A158,'Daftar Koreksi'!$G$5:$G$92,"Peralatan dan mesin",'Daftar Koreksi'!$I$5:$I$92,"&lt;0")</f>
        <v>0</v>
      </c>
      <c r="G171" s="17">
        <f t="shared" si="7"/>
        <v>-621639106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-510337295</v>
      </c>
      <c r="E172" s="25">
        <f>SUMIFS('Daftar Koreksi'!$I$5:$I$92,'Daftar Koreksi'!$D$5:$D$92,'1800'!A158,'Daftar Koreksi'!$G$5:$G$92,"Gedung dan Bangunan",'Daftar Koreksi'!$I$5:$I$92,"&gt;0")</f>
        <v>0</v>
      </c>
      <c r="F172" s="25">
        <f>SUMIFS('Daftar Koreksi'!$I$5:$I$92,'Daftar Koreksi'!$D$5:$D$92,'1800'!A158,'Daftar Koreksi'!$G$5:$G$92,"Gedung dan Bangunan",'Daftar Koreksi'!$I$5:$I$92,"&lt;0")-SUMIFS('Daftar Koreksi'!$I$5:$I$92,'Daftar Koreksi'!$D$5:$D$92,'1800'!A158,'Daftar Koreksi'!$G$5:$G$92,"Gedung dan Bangunan",'Daftar Koreksi'!$I$5:$I$92,"&lt;0")-SUMIFS('Daftar Koreksi'!$I$5:$I$92,'Daftar Koreksi'!$D$5:$D$92,'1800'!A158,'Daftar Koreksi'!$G$5:$G$92,"Gedung dan Bangunan",'Daftar Koreksi'!$I$5:$I$92,"&lt;0")</f>
        <v>0</v>
      </c>
      <c r="G172" s="17">
        <f t="shared" si="7"/>
        <v>-510337295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-38082072</v>
      </c>
      <c r="E173" s="25">
        <f>SUMIFS('Daftar Koreksi'!$I$5:$I$92,'Daftar Koreksi'!$D$5:$D$92,'1800'!A158,'Daftar Koreksi'!$G$5:$G$92,"Jalan Irigasi Jaringan",'Daftar Koreksi'!$I$5:$I$92,"&gt;0")</f>
        <v>0</v>
      </c>
      <c r="F173" s="25">
        <f>SUMIFS('Daftar Koreksi'!$I$5:$I$92,'Daftar Koreksi'!$D$5:$D$92,'1800'!A158,'Daftar Koreksi'!$G$5:$G$92,"Jalan Irigasi Jaringan",'Daftar Koreksi'!$I$5:$I$92,"&lt;0")-SUMIFS('Daftar Koreksi'!$I$5:$I$92,'Daftar Koreksi'!$D$5:$D$92,'1800'!A158,'Daftar Koreksi'!$G$5:$G$92,"Jalan Irigasi Jaringan",'Daftar Koreksi'!$I$5:$I$92,"&lt;0")-SUMIFS('Daftar Koreksi'!$I$5:$I$92,'Daftar Koreksi'!$D$5:$D$92,'1800'!A158,'Daftar Koreksi'!$G$5:$G$92,"Jalan Irigasi Jaringan",'Daftar Koreksi'!$I$5:$I$92,"&lt;0")</f>
        <v>0</v>
      </c>
      <c r="G173" s="17">
        <f t="shared" si="7"/>
        <v>-38082072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Koreksi'!$D$5:$D$92,'1800'!A158,'Daftar Koreksi'!$G$5:$G$92,"Aset Tetap Lainnya",'Daftar Koreksi'!$I$5:$I$92,"&gt;0")</f>
        <v>0</v>
      </c>
      <c r="F174" s="25">
        <f>SUMIFS('Daftar Koreksi'!$I$5:$I$92,'Daftar Koreksi'!$D$5:$D$92,'1800'!A158,'Daftar Koreksi'!$G$5:$G$92,"Aset Tetap Lainnya",'Daftar Koreksi'!$I$5:$I$92,"&lt;0")-SUMIFS('Daftar Koreksi'!$I$5:$I$92,'Daftar Koreksi'!$D$5:$D$92,'1800'!A158,'Daftar Koreksi'!$G$5:$G$92,"Aset Tetap Lainnya",'Daftar Koreksi'!$I$5:$I$92,"&lt;0")-SUMIFS('Daftar Koreksi'!$I$5:$I$92,'Daftar Koreksi'!$D$5:$D$92,'1800'!A158,'Daftar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-277870237</v>
      </c>
      <c r="E175" s="25">
        <f>SUMIFS('Daftar Koreksi'!$I$5:$I$92,'Daftar Koreksi'!$D$5:$D$92,'1800'!A158,'Daftar Koreksi'!$G$5:$G$92,"Aset Henti Guna",'Daftar Koreksi'!$I$5:$I$92,"&gt;0")</f>
        <v>0</v>
      </c>
      <c r="F175" s="25">
        <f>SUMIFS('Daftar Koreksi'!$I$5:$I$92,'Daftar Koreksi'!$D$5:$D$92,'1800'!A158,'Daftar Koreksi'!$G$5:$G$92,"Aset Henti Guna",'Daftar Koreksi'!$I$5:$I$92,"&lt;0")-SUMIFS('Daftar Koreksi'!$I$5:$I$92,'Daftar Koreksi'!$D$5:$D$92,'1800'!A158,'Daftar Koreksi'!$G$5:$G$92,"Aset Henti Guna",'Daftar Koreksi'!$I$5:$I$92,"&lt;0")-SUMIFS('Daftar Koreksi'!$I$5:$I$92,'Daftar Koreksi'!$D$5:$D$92,'1800'!A158,'Daftar Koreksi'!$G$5:$G$92,"Aset Henti Guna",'Daftar Koreksi'!$I$5:$I$92,"&lt;0")</f>
        <v>0</v>
      </c>
      <c r="G175" s="17">
        <f t="shared" si="7"/>
        <v>-277870237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-1447928710</v>
      </c>
      <c r="E176" s="19">
        <f>SUM(E171:E175)</f>
        <v>0</v>
      </c>
      <c r="F176" s="19">
        <f>SUM(F171:F175)</f>
        <v>0</v>
      </c>
      <c r="G176" s="19">
        <f t="shared" si="7"/>
        <v>-1447928710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6050487930</v>
      </c>
      <c r="E177" s="19">
        <f>E176+E170</f>
        <v>0</v>
      </c>
      <c r="F177" s="19">
        <f>F176+F170</f>
        <v>0</v>
      </c>
      <c r="G177" s="19">
        <f t="shared" si="7"/>
        <v>6050487930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005011800400534000KD</v>
      </c>
      <c r="B180" s="11" t="str">
        <f>P9</f>
        <v>PT. Palu</v>
      </c>
      <c r="C180" s="12" t="str">
        <f>A180&amp;" "&amp;B180</f>
        <v>005011800400534000KD PT. Palu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3532315</v>
      </c>
      <c r="E183" s="25">
        <f>SUMIFS('Daftar Koreksi'!$H$5:$H$92,'Daftar Koreksi'!$D$5:$D$92,'1800'!A180,'Daftar Koreksi'!$G$5:$G$92,"Persediaan",'Daftar Koreksi'!$H$5:$H$92,"&gt;0")</f>
        <v>0</v>
      </c>
      <c r="F183" s="25">
        <f>SUMIFS('Daftar Koreksi'!$H$5:$H$92,'Daftar Koreksi'!$D$5:$D$92,'1800'!A180,'Daftar Koreksi'!$G$5:$G$92,"Persediaan",'Daftar Koreksi'!$H$5:$H$92,"&lt;0")-SUMIFS('Daftar Koreksi'!$H$5:$H$92,'Daftar Koreksi'!$D$5:$D$92,'1800'!A180,'Daftar Koreksi'!$G$5:$G$92,"Persediaan",'Daftar Koreksi'!$H$5:$H$92,"&lt;0")-SUMIFS('Daftar Koreksi'!$H$5:$H$92,'Daftar Koreksi'!$D$5:$D$92,'1800'!A180,'Daftar Koreksi'!$G$5:$G$92,"Persediaan",'Daftar Koreksi'!$H$5:$H$92,"&lt;0")</f>
        <v>0</v>
      </c>
      <c r="G183" s="17">
        <f>D183+E183-F183</f>
        <v>3532315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7887962310</v>
      </c>
      <c r="E184" s="25">
        <f>SUMIFS('Daftar Koreksi'!$H$5:$H$92,'Daftar Koreksi'!$D$5:$D$92,'1800'!A180,'Daftar Koreksi'!$G$5:$G$92,"Tanah",'Daftar Koreksi'!$H$5:$H$92,"&gt;0")</f>
        <v>0</v>
      </c>
      <c r="F184" s="25">
        <f>SUMIFS('Daftar Koreksi'!$H$5:$H$92,'Daftar Koreksi'!$D$5:$D$92,'1800'!A180,'Daftar Koreksi'!$G$5:$G$92,"Tanah",'Daftar Koreksi'!$H$5:$H$92,"&lt;0")-SUMIFS('Daftar Koreksi'!$H$5:$H$92,'Daftar Koreksi'!$D$5:$D$92,'1800'!A180,'Daftar Koreksi'!$G$5:$G$92,"Tanah",'Daftar Koreksi'!$H$5:$H$92,"&lt;0")-SUMIFS('Daftar Koreksi'!$H$5:$H$92,'Daftar Koreksi'!$D$5:$D$92,'1800'!A180,'Daftar Koreksi'!$G$5:$G$92,"Tanah",'Daftar Koreksi'!$H$5:$H$92,"&lt;0")</f>
        <v>0</v>
      </c>
      <c r="G184" s="17">
        <f t="shared" ref="G184:G200" si="8">D184+E184-F184</f>
        <v>7887962310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3983581373</v>
      </c>
      <c r="E185" s="25">
        <f>SUMIFS('Daftar Koreksi'!$H$5:$H$92,'Daftar Koreksi'!$D$5:$D$92,'1800'!A180,'Daftar Koreksi'!$G$5:$G$92,"Peralatan dan mesin",'Daftar Koreksi'!$H$5:$H$92,"&gt;0")</f>
        <v>0</v>
      </c>
      <c r="F185" s="25">
        <f>SUMIFS('Daftar Koreksi'!$H$5:$H$92,'Daftar Koreksi'!$D$5:$D$92,'1800'!A180,'Daftar Koreksi'!$G$5:$G$92,"Peralatan dan mesin",'Daftar Koreksi'!$H$5:$H$92,"&lt;0")-SUMIFS('Daftar Koreksi'!$H$5:$H$92,'Daftar Koreksi'!$D$5:$D$92,'1800'!A180,'Daftar Koreksi'!$G$5:$G$92,"Peralatan dan mesin",'Daftar Koreksi'!$H$5:$H$92,"&lt;0")-SUMIFS('Daftar Koreksi'!$H$5:$H$92,'Daftar Koreksi'!$D$5:$D$92,'1800'!A180,'Daftar Koreksi'!$G$5:$G$92,"Peralatan dan mesin",'Daftar Koreksi'!$H$5:$H$92,"&lt;0")</f>
        <v>0</v>
      </c>
      <c r="G185" s="17">
        <f t="shared" si="8"/>
        <v>3983581373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6144007671</v>
      </c>
      <c r="E186" s="25">
        <f>SUMIFS('Daftar Koreksi'!$H$5:$H$92,'Daftar Koreksi'!$D$5:$D$92,'1800'!A180,'Daftar Koreksi'!$G$5:$G$92,"Gedung dan Bangunan",'Daftar Koreksi'!$H$5:$H$92,"&gt;0")</f>
        <v>0</v>
      </c>
      <c r="F186" s="25">
        <f>SUMIFS('Daftar Koreksi'!$H$5:$H$92,'Daftar Koreksi'!$D$5:$D$92,'1800'!A180,'Daftar Koreksi'!$G$5:$G$92,"Gedung dan Bangunan",'Daftar Koreksi'!$H$5:$H$92,"&lt;0")-SUMIFS('Daftar Koreksi'!$H$5:$H$92,'Daftar Koreksi'!$D$5:$D$92,'1800'!A180,'Daftar Koreksi'!$G$5:$G$92,"Gedung dan Bangunan",'Daftar Koreksi'!$H$5:$H$92,"&lt;0")-SUMIFS('Daftar Koreksi'!$H$5:$H$92,'Daftar Koreksi'!$D$5:$D$92,'1800'!A180,'Daftar Koreksi'!$G$5:$G$92,"Gedung dan Bangunan",'Daftar Koreksi'!$H$5:$H$92,"&lt;0")</f>
        <v>0</v>
      </c>
      <c r="G186" s="17">
        <f t="shared" si="8"/>
        <v>6144007671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331446400</v>
      </c>
      <c r="E187" s="25">
        <f>SUMIFS('Daftar Koreksi'!$H$5:$H$92,'Daftar Koreksi'!$D$5:$D$92,'1800'!A180,'Daftar Koreksi'!$G$5:$G$92,"Jalan Irigasi Jaringan",'Daftar Koreksi'!$H$5:$H$92,"&gt;0")</f>
        <v>0</v>
      </c>
      <c r="F187" s="25">
        <f>SUMIFS('Daftar Koreksi'!$H$5:$H$92,'Daftar Koreksi'!$D$5:$D$92,'1800'!A180,'Daftar Koreksi'!$G$5:$G$92,"Jalan Irigasi Jaringan",'Daftar Koreksi'!$H$5:$H$92,"&lt;0")-SUMIFS('Daftar Koreksi'!$H$5:$H$92,'Daftar Koreksi'!$D$5:$D$92,'1800'!A180,'Daftar Koreksi'!$G$5:$G$92,"Jalan Irigasi Jaringan",'Daftar Koreksi'!$H$5:$H$92,"&lt;0")-SUMIFS('Daftar Koreksi'!$H$5:$H$92,'Daftar Koreksi'!$D$5:$D$92,'1800'!A180,'Daftar Koreksi'!$G$5:$G$92,"Jalan Irigasi Jaringan",'Daftar Koreksi'!$H$5:$H$92,"&lt;0")</f>
        <v>0</v>
      </c>
      <c r="G187" s="17">
        <f t="shared" si="8"/>
        <v>331446400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8063440</v>
      </c>
      <c r="E188" s="25">
        <f>SUMIFS('Daftar Koreksi'!$H$5:$H$92,'Daftar Koreksi'!$D$5:$D$92,'1800'!A180,'Daftar Koreksi'!$G$5:$G$92,"Aset Tetap Lainnya",'Daftar Koreksi'!$H$5:$H$92,"&gt;0")</f>
        <v>0</v>
      </c>
      <c r="F188" s="25">
        <f>SUMIFS('Daftar Koreksi'!$H$5:$H$92,'Daftar Koreksi'!$D$5:$D$92,'1800'!A180,'Daftar Koreksi'!$G$5:$G$92,"Aset Tetap Lainnya",'Daftar Koreksi'!$H$5:$H$92,"&lt;0")-SUMIFS('Daftar Koreksi'!$H$5:$H$92,'Daftar Koreksi'!$D$5:$D$92,'1800'!A180,'Daftar Koreksi'!$G$5:$G$92,"Aset Tetap Lainnya",'Daftar Koreksi'!$H$5:$H$92,"&lt;0")-SUMIFS('Daftar Koreksi'!$H$5:$H$92,'Daftar Koreksi'!$D$5:$D$92,'1800'!A180,'Daftar Koreksi'!$G$5:$G$92,"Aset Tetap Lainnya",'Daftar Koreksi'!$H$5:$H$92,"&lt;0")</f>
        <v>0</v>
      </c>
      <c r="G188" s="17">
        <f t="shared" si="8"/>
        <v>8063440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Koreksi'!$D$5:$D$92,'1800'!A180,'Daftar Koreksi'!$G$5:$G$92,"Kontruksi Dalam Pengerjaan",'Daftar Koreksi'!$H$5:$H$92,"&gt;0")</f>
        <v>0</v>
      </c>
      <c r="F189" s="25">
        <f>SUMIFS('Daftar Koreksi'!$H$5:$H$92,'Daftar Koreksi'!$D$5:$D$92,'1800'!A180,'Daftar Koreksi'!$G$5:$G$92,"Kontruksi Dalam Pengerjaan",'Daftar Koreksi'!$H$5:$H$92,"&lt;0")-SUMIFS('Daftar Koreksi'!$H$5:$H$92,'Daftar Koreksi'!$D$5:$D$92,'1800'!A180,'Daftar Koreksi'!$G$5:$G$92,"Kontruksi Dalam Pengerjaan",'Daftar Koreksi'!$H$5:$H$92,"&lt;0")-SUMIFS('Daftar Koreksi'!$H$5:$H$92,'Daftar Koreksi'!$D$5:$D$92,'1800'!A180,'Daftar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Koreksi'!$D$5:$D$92,'1800'!A180,'Daftar Koreksi'!$G$5:$G$92,"Aset Tak Berwujud",'Daftar Koreksi'!$H$5:$H$92,"&gt;0")</f>
        <v>0</v>
      </c>
      <c r="F190" s="25">
        <f>SUMIFS('Daftar Koreksi'!$H$5:$H$92,'Daftar Koreksi'!$D$5:$D$92,'1800'!A180,'Daftar Koreksi'!$G$5:$G$92,"Aset Tak Berwujud",'Daftar Koreksi'!$H$5:$H$92,"&lt;0")-SUMIFS('Daftar Koreksi'!$H$5:$H$92,'Daftar Koreksi'!$D$5:$D$92,'1800'!A180,'Daftar Koreksi'!$G$5:$G$92,"Aset Tak Berwujud",'Daftar Koreksi'!$H$5:$H$92,"&lt;0")-SUMIFS('Daftar Koreksi'!$H$5:$H$92,'Daftar Koreksi'!$D$5:$D$92,'1800'!A180,'Daftar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15876000</v>
      </c>
      <c r="E191" s="25">
        <f>SUMIFS('Daftar Koreksi'!$H$5:$H$92,'Daftar Koreksi'!$D$5:$D$92,'1800'!A180,'Daftar Koreksi'!$G$5:$G$92,"Aset Henti Guna",'Daftar Koreksi'!$H$5:$H$92,"&gt;0")</f>
        <v>0</v>
      </c>
      <c r="F191" s="25">
        <f>SUMIFS('Daftar Koreksi'!$H$5:$H$92,'Daftar Koreksi'!$D$5:$D$92,'1800'!A180,'Daftar Koreksi'!$G$5:$G$92,"Aset Henti Guna",'Daftar Koreksi'!$H$5:$H$92,"&lt;0")-SUMIFS('Daftar Koreksi'!$H$5:$H$92,'Daftar Koreksi'!$D$5:$D$92,'1800'!A180,'Daftar Koreksi'!$G$5:$G$92,"Aset Henti Guna",'Daftar Koreksi'!$H$5:$H$92,"&lt;0")-SUMIFS('Daftar Koreksi'!$H$5:$H$92,'Daftar Koreksi'!$D$5:$D$92,'1800'!A180,'Daftar Koreksi'!$G$5:$G$92,"Aset Henti Guna",'Daftar Koreksi'!$H$5:$H$92,"&lt;0")</f>
        <v>0</v>
      </c>
      <c r="G191" s="17">
        <f t="shared" si="8"/>
        <v>15876000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18374469509</v>
      </c>
      <c r="E192" s="19">
        <f>SUM(E183:E191)</f>
        <v>0</v>
      </c>
      <c r="F192" s="19">
        <f>SUM(F183:F191)</f>
        <v>0</v>
      </c>
      <c r="G192" s="19">
        <f t="shared" si="8"/>
        <v>18374469509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-3651441860</v>
      </c>
      <c r="E193" s="25">
        <f>SUMIFS('Daftar Koreksi'!$I$5:$I$92,'Daftar Koreksi'!$D$5:$D$92,'1800'!A180,'Daftar Koreksi'!$G$5:$G$92,"Peralatan dan mesin",'Daftar Koreksi'!$I$5:$I$92,"&gt;0")</f>
        <v>0</v>
      </c>
      <c r="F193" s="25">
        <f>SUMIFS('Daftar Koreksi'!$I$5:$I$92,'Daftar Koreksi'!$D$5:$D$92,'1800'!A180,'Daftar Koreksi'!$G$5:$G$92,"Peralatan dan mesin",'Daftar Koreksi'!$I$5:$I$92,"&lt;0")-SUMIFS('Daftar Koreksi'!$I$5:$I$92,'Daftar Koreksi'!$D$5:$D$92,'1800'!A180,'Daftar Koreksi'!$G$5:$G$92,"Peralatan dan mesin",'Daftar Koreksi'!$I$5:$I$92,"&lt;0")-SUMIFS('Daftar Koreksi'!$I$5:$I$92,'Daftar Koreksi'!$D$5:$D$92,'1800'!A180,'Daftar Koreksi'!$G$5:$G$92,"Peralatan dan mesin",'Daftar Koreksi'!$I$5:$I$92,"&lt;0")</f>
        <v>0</v>
      </c>
      <c r="G193" s="17">
        <f t="shared" si="8"/>
        <v>-3651441860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-2570019701</v>
      </c>
      <c r="E194" s="25">
        <f>SUMIFS('Daftar Koreksi'!$I$5:$I$92,'Daftar Koreksi'!$D$5:$D$92,'1800'!A180,'Daftar Koreksi'!$G$5:$G$92,"Gedung dan Bangunan",'Daftar Koreksi'!$I$5:$I$92,"&gt;0")</f>
        <v>0</v>
      </c>
      <c r="F194" s="25">
        <f>SUMIFS('Daftar Koreksi'!$I$5:$I$92,'Daftar Koreksi'!$D$5:$D$92,'1800'!A180,'Daftar Koreksi'!$G$5:$G$92,"Gedung dan Bangunan",'Daftar Koreksi'!$I$5:$I$92,"&lt;0")-SUMIFS('Daftar Koreksi'!$I$5:$I$92,'Daftar Koreksi'!$D$5:$D$92,'1800'!A180,'Daftar Koreksi'!$G$5:$G$92,"Gedung dan Bangunan",'Daftar Koreksi'!$I$5:$I$92,"&lt;0")-SUMIFS('Daftar Koreksi'!$I$5:$I$92,'Daftar Koreksi'!$D$5:$D$92,'1800'!A180,'Daftar Koreksi'!$G$5:$G$92,"Gedung dan Bangunan",'Daftar Koreksi'!$I$5:$I$92,"&lt;0")</f>
        <v>0</v>
      </c>
      <c r="G194" s="17">
        <f t="shared" si="8"/>
        <v>-2570019701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-93834320</v>
      </c>
      <c r="E195" s="25">
        <f>SUMIFS('Daftar Koreksi'!$I$5:$I$92,'Daftar Koreksi'!$D$5:$D$92,'1800'!A180,'Daftar Koreksi'!$G$5:$G$92,"Jalan Irigasi Jaringan",'Daftar Koreksi'!$I$5:$I$92,"&gt;0")</f>
        <v>0</v>
      </c>
      <c r="F195" s="25">
        <f>SUMIFS('Daftar Koreksi'!$I$5:$I$92,'Daftar Koreksi'!$D$5:$D$92,'1800'!A180,'Daftar Koreksi'!$G$5:$G$92,"Jalan Irigasi Jaringan",'Daftar Koreksi'!$I$5:$I$92,"&lt;0")-SUMIFS('Daftar Koreksi'!$I$5:$I$92,'Daftar Koreksi'!$D$5:$D$92,'1800'!A180,'Daftar Koreksi'!$G$5:$G$92,"Jalan Irigasi Jaringan",'Daftar Koreksi'!$I$5:$I$92,"&lt;0")-SUMIFS('Daftar Koreksi'!$I$5:$I$92,'Daftar Koreksi'!$D$5:$D$92,'1800'!A180,'Daftar Koreksi'!$G$5:$G$92,"Jalan Irigasi Jaringan",'Daftar Koreksi'!$I$5:$I$92,"&lt;0")</f>
        <v>0</v>
      </c>
      <c r="G195" s="17">
        <f t="shared" si="8"/>
        <v>-93834320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-1500000</v>
      </c>
      <c r="E196" s="25">
        <f>SUMIFS('Daftar Koreksi'!$I$5:$I$92,'Daftar Koreksi'!$D$5:$D$92,'1800'!A180,'Daftar Koreksi'!$G$5:$G$92,"Aset Tetap Lainnya",'Daftar Koreksi'!$I$5:$I$92,"&gt;0")</f>
        <v>0</v>
      </c>
      <c r="F196" s="25">
        <f>SUMIFS('Daftar Koreksi'!$I$5:$I$92,'Daftar Koreksi'!$D$5:$D$92,'1800'!A180,'Daftar Koreksi'!$G$5:$G$92,"Aset Tetap Lainnya",'Daftar Koreksi'!$I$5:$I$92,"&lt;0")-SUMIFS('Daftar Koreksi'!$I$5:$I$92,'Daftar Koreksi'!$D$5:$D$92,'1800'!A180,'Daftar Koreksi'!$G$5:$G$92,"Aset Tetap Lainnya",'Daftar Koreksi'!$I$5:$I$92,"&lt;0")-SUMIFS('Daftar Koreksi'!$I$5:$I$92,'Daftar Koreksi'!$D$5:$D$92,'1800'!A180,'Daftar Koreksi'!$G$5:$G$92,"Aset Tetap Lainnya",'Daftar Koreksi'!$I$5:$I$92,"&lt;0")</f>
        <v>0</v>
      </c>
      <c r="G196" s="17">
        <f t="shared" si="8"/>
        <v>-1500000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-15876000</v>
      </c>
      <c r="E197" s="25">
        <f>SUMIFS('Daftar Koreksi'!$I$5:$I$92,'Daftar Koreksi'!$D$5:$D$92,'1800'!A180,'Daftar Koreksi'!$G$5:$G$92,"Aset Henti Guna",'Daftar Koreksi'!$I$5:$I$92,"&gt;0")</f>
        <v>0</v>
      </c>
      <c r="F197" s="25">
        <f>SUMIFS('Daftar Koreksi'!$I$5:$I$92,'Daftar Koreksi'!$D$5:$D$92,'1800'!A180,'Daftar Koreksi'!$G$5:$G$92,"Aset Henti Guna",'Daftar Koreksi'!$I$5:$I$92,"&lt;0")-SUMIFS('Daftar Koreksi'!$I$5:$I$92,'Daftar Koreksi'!$D$5:$D$92,'1800'!A180,'Daftar Koreksi'!$G$5:$G$92,"Aset Henti Guna",'Daftar Koreksi'!$I$5:$I$92,"&lt;0")-SUMIFS('Daftar Koreksi'!$I$5:$I$92,'Daftar Koreksi'!$D$5:$D$92,'1800'!A180,'Daftar Koreksi'!$G$5:$G$92,"Aset Henti Guna",'Daftar Koreksi'!$I$5:$I$92,"&lt;0")</f>
        <v>0</v>
      </c>
      <c r="G197" s="17">
        <f t="shared" si="8"/>
        <v>-15876000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-6332671881</v>
      </c>
      <c r="E198" s="19">
        <f>SUM(E193:E197)</f>
        <v>0</v>
      </c>
      <c r="F198" s="19">
        <f>SUM(F193:F197)</f>
        <v>0</v>
      </c>
      <c r="G198" s="19">
        <f t="shared" si="8"/>
        <v>-6332671881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12041797628</v>
      </c>
      <c r="E199" s="19">
        <f>E198+E192</f>
        <v>0</v>
      </c>
      <c r="F199" s="19">
        <f>F198+F192</f>
        <v>0</v>
      </c>
      <c r="G199" s="19">
        <f t="shared" si="8"/>
        <v>12041797628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005011800477202000KD</v>
      </c>
      <c r="B202" s="11" t="str">
        <f>P10</f>
        <v>PN. Donggala</v>
      </c>
      <c r="C202" s="12" t="str">
        <f>A202&amp;" "&amp;B202</f>
        <v>005011800477202000KD PN. Donggala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73500</v>
      </c>
      <c r="E205" s="25">
        <f>SUMIFS('Daftar Koreksi'!$H$5:$H$92,'Daftar Koreksi'!$D$5:$D$92,'1800'!A202,'Daftar Koreksi'!$G$5:$G$92,"Persediaan",'Daftar Koreksi'!$H$5:$H$92,"&gt;0")</f>
        <v>0</v>
      </c>
      <c r="F205" s="25">
        <f>SUMIFS('Daftar Koreksi'!$H$5:$H$92,'Daftar Koreksi'!$D$5:$D$92,'1800'!A202,'Daftar Koreksi'!$G$5:$G$92,"Persediaan",'Daftar Koreksi'!$H$5:$H$92,"&lt;0")-SUMIFS('Daftar Koreksi'!$H$5:$H$92,'Daftar Koreksi'!$D$5:$D$92,'1800'!A202,'Daftar Koreksi'!$G$5:$G$92,"Persediaan",'Daftar Koreksi'!$H$5:$H$92,"&lt;0")-SUMIFS('Daftar Koreksi'!$H$5:$H$92,'Daftar Koreksi'!$D$5:$D$92,'1800'!A202,'Daftar Koreksi'!$G$5:$G$92,"Persediaan",'Daftar Koreksi'!$H$5:$H$92,"&lt;0")</f>
        <v>0</v>
      </c>
      <c r="G205" s="17">
        <f>D205+E205-F205</f>
        <v>73500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149710000</v>
      </c>
      <c r="E206" s="25">
        <f>SUMIFS('Daftar Koreksi'!$H$5:$H$92,'Daftar Koreksi'!$D$5:$D$92,'1800'!A202,'Daftar Koreksi'!$G$5:$G$92,"Tanah",'Daftar Koreksi'!$H$5:$H$92,"&gt;0")</f>
        <v>0</v>
      </c>
      <c r="F206" s="25">
        <f>SUMIFS('Daftar Koreksi'!$H$5:$H$92,'Daftar Koreksi'!$D$5:$D$92,'1800'!A202,'Daftar Koreksi'!$G$5:$G$92,"Tanah",'Daftar Koreksi'!$H$5:$H$92,"&lt;0")-SUMIFS('Daftar Koreksi'!$H$5:$H$92,'Daftar Koreksi'!$D$5:$D$92,'1800'!A202,'Daftar Koreksi'!$G$5:$G$92,"Tanah",'Daftar Koreksi'!$H$5:$H$92,"&lt;0")-SUMIFS('Daftar Koreksi'!$H$5:$H$92,'Daftar Koreksi'!$D$5:$D$92,'1800'!A202,'Daftar Koreksi'!$G$5:$G$92,"Tanah",'Daftar Koreksi'!$H$5:$H$92,"&lt;0")</f>
        <v>0</v>
      </c>
      <c r="G206" s="17">
        <f t="shared" ref="G206:G222" si="9">D206+E206-F206</f>
        <v>149710000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1385103247</v>
      </c>
      <c r="E207" s="25">
        <f>SUMIFS('Daftar Koreksi'!$H$5:$H$92,'Daftar Koreksi'!$D$5:$D$92,'1800'!A202,'Daftar Koreksi'!$G$5:$G$92,"Peralatan dan mesin",'Daftar Koreksi'!$H$5:$H$92,"&gt;0")</f>
        <v>0</v>
      </c>
      <c r="F207" s="25">
        <f>SUMIFS('Daftar Koreksi'!$H$5:$H$92,'Daftar Koreksi'!$D$5:$D$92,'1800'!A202,'Daftar Koreksi'!$G$5:$G$92,"Peralatan dan mesin",'Daftar Koreksi'!$H$5:$H$92,"&lt;0")-SUMIFS('Daftar Koreksi'!$H$5:$H$92,'Daftar Koreksi'!$D$5:$D$92,'1800'!A202,'Daftar Koreksi'!$G$5:$G$92,"Peralatan dan mesin",'Daftar Koreksi'!$H$5:$H$92,"&lt;0")-SUMIFS('Daftar Koreksi'!$H$5:$H$92,'Daftar Koreksi'!$D$5:$D$92,'1800'!A202,'Daftar Koreksi'!$G$5:$G$92,"Peralatan dan mesin",'Daftar Koreksi'!$H$5:$H$92,"&lt;0")</f>
        <v>0</v>
      </c>
      <c r="G207" s="17">
        <f t="shared" si="9"/>
        <v>1385103247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5665367008</v>
      </c>
      <c r="E208" s="25">
        <f>SUMIFS('Daftar Koreksi'!$H$5:$H$92,'Daftar Koreksi'!$D$5:$D$92,'1800'!A202,'Daftar Koreksi'!$G$5:$G$92,"Gedung dan Bangunan",'Daftar Koreksi'!$H$5:$H$92,"&gt;0")</f>
        <v>0</v>
      </c>
      <c r="F208" s="25">
        <f>SUMIFS('Daftar Koreksi'!$H$5:$H$92,'Daftar Koreksi'!$D$5:$D$92,'1800'!A202,'Daftar Koreksi'!$G$5:$G$92,"Gedung dan Bangunan",'Daftar Koreksi'!$H$5:$H$92,"&lt;0")-SUMIFS('Daftar Koreksi'!$H$5:$H$92,'Daftar Koreksi'!$D$5:$D$92,'1800'!A202,'Daftar Koreksi'!$G$5:$G$92,"Gedung dan Bangunan",'Daftar Koreksi'!$H$5:$H$92,"&lt;0")-SUMIFS('Daftar Koreksi'!$H$5:$H$92,'Daftar Koreksi'!$D$5:$D$92,'1800'!A202,'Daftar Koreksi'!$G$5:$G$92,"Gedung dan Bangunan",'Daftar Koreksi'!$H$5:$H$92,"&lt;0")</f>
        <v>0</v>
      </c>
      <c r="G208" s="17">
        <f t="shared" si="9"/>
        <v>5665367008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238439000</v>
      </c>
      <c r="E209" s="25">
        <f>SUMIFS('Daftar Koreksi'!$H$5:$H$92,'Daftar Koreksi'!$D$5:$D$92,'1800'!A202,'Daftar Koreksi'!$G$5:$G$92,"Jalan Irigasi Jaringan",'Daftar Koreksi'!$H$5:$H$92,"&gt;0")</f>
        <v>0</v>
      </c>
      <c r="F209" s="25">
        <f>SUMIFS('Daftar Koreksi'!$H$5:$H$92,'Daftar Koreksi'!$D$5:$D$92,'1800'!A202,'Daftar Koreksi'!$G$5:$G$92,"Jalan Irigasi Jaringan",'Daftar Koreksi'!$H$5:$H$92,"&lt;0")-SUMIFS('Daftar Koreksi'!$H$5:$H$92,'Daftar Koreksi'!$D$5:$D$92,'1800'!A202,'Daftar Koreksi'!$G$5:$G$92,"Jalan Irigasi Jaringan",'Daftar Koreksi'!$H$5:$H$92,"&lt;0")-SUMIFS('Daftar Koreksi'!$H$5:$H$92,'Daftar Koreksi'!$D$5:$D$92,'1800'!A202,'Daftar Koreksi'!$G$5:$G$92,"Jalan Irigasi Jaringan",'Daftar Koreksi'!$H$5:$H$92,"&lt;0")</f>
        <v>0</v>
      </c>
      <c r="G209" s="17">
        <f t="shared" si="9"/>
        <v>238439000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11626840</v>
      </c>
      <c r="E210" s="25">
        <f>SUMIFS('Daftar Koreksi'!$H$5:$H$92,'Daftar Koreksi'!$D$5:$D$92,'1800'!A202,'Daftar Koreksi'!$G$5:$G$92,"Aset Tetap Lainnya",'Daftar Koreksi'!$H$5:$H$92,"&gt;0")</f>
        <v>0</v>
      </c>
      <c r="F210" s="25">
        <f>SUMIFS('Daftar Koreksi'!$H$5:$H$92,'Daftar Koreksi'!$D$5:$D$92,'1800'!A202,'Daftar Koreksi'!$G$5:$G$92,"Aset Tetap Lainnya",'Daftar Koreksi'!$H$5:$H$92,"&lt;0")-SUMIFS('Daftar Koreksi'!$H$5:$H$92,'Daftar Koreksi'!$D$5:$D$92,'1800'!A202,'Daftar Koreksi'!$G$5:$G$92,"Aset Tetap Lainnya",'Daftar Koreksi'!$H$5:$H$92,"&lt;0")-SUMIFS('Daftar Koreksi'!$H$5:$H$92,'Daftar Koreksi'!$D$5:$D$92,'1800'!A202,'Daftar Koreksi'!$G$5:$G$92,"Aset Tetap Lainnya",'Daftar Koreksi'!$H$5:$H$92,"&lt;0")</f>
        <v>0</v>
      </c>
      <c r="G210" s="17">
        <f t="shared" si="9"/>
        <v>11626840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Koreksi'!$D$5:$D$92,'1800'!A202,'Daftar Koreksi'!$G$5:$G$92,"Kontruksi Dalam Pengerjaan",'Daftar Koreksi'!$H$5:$H$92,"&gt;0")</f>
        <v>0</v>
      </c>
      <c r="F211" s="25">
        <f>SUMIFS('Daftar Koreksi'!$H$5:$H$92,'Daftar Koreksi'!$D$5:$D$92,'1800'!A202,'Daftar Koreksi'!$G$5:$G$92,"Kontruksi Dalam Pengerjaan",'Daftar Koreksi'!$H$5:$H$92,"&lt;0")-SUMIFS('Daftar Koreksi'!$H$5:$H$92,'Daftar Koreksi'!$D$5:$D$92,'1800'!A202,'Daftar Koreksi'!$G$5:$G$92,"Kontruksi Dalam Pengerjaan",'Daftar Koreksi'!$H$5:$H$92,"&lt;0")-SUMIFS('Daftar Koreksi'!$H$5:$H$92,'Daftar Koreksi'!$D$5:$D$92,'1800'!A202,'Daftar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Koreksi'!$D$5:$D$92,'1800'!A202,'Daftar Koreksi'!$G$5:$G$92,"Aset Tak Berwujud",'Daftar Koreksi'!$H$5:$H$92,"&gt;0")</f>
        <v>0</v>
      </c>
      <c r="F212" s="25">
        <f>SUMIFS('Daftar Koreksi'!$H$5:$H$92,'Daftar Koreksi'!$D$5:$D$92,'1800'!A202,'Daftar Koreksi'!$G$5:$G$92,"Aset Tak Berwujud",'Daftar Koreksi'!$H$5:$H$92,"&lt;0")-SUMIFS('Daftar Koreksi'!$H$5:$H$92,'Daftar Koreksi'!$D$5:$D$92,'1800'!A202,'Daftar Koreksi'!$G$5:$G$92,"Aset Tak Berwujud",'Daftar Koreksi'!$H$5:$H$92,"&lt;0")-SUMIFS('Daftar Koreksi'!$H$5:$H$92,'Daftar Koreksi'!$D$5:$D$92,'1800'!A202,'Daftar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43560500</v>
      </c>
      <c r="E213" s="25">
        <f>SUMIFS('Daftar Koreksi'!$H$5:$H$92,'Daftar Koreksi'!$D$5:$D$92,'1800'!A202,'Daftar Koreksi'!$G$5:$G$92,"Aset Henti Guna",'Daftar Koreksi'!$H$5:$H$92,"&gt;0")</f>
        <v>0</v>
      </c>
      <c r="F213" s="25">
        <f>SUMIFS('Daftar Koreksi'!$H$5:$H$92,'Daftar Koreksi'!$D$5:$D$92,'1800'!A202,'Daftar Koreksi'!$G$5:$G$92,"Aset Henti Guna",'Daftar Koreksi'!$H$5:$H$92,"&lt;0")-SUMIFS('Daftar Koreksi'!$H$5:$H$92,'Daftar Koreksi'!$D$5:$D$92,'1800'!A202,'Daftar Koreksi'!$G$5:$G$92,"Aset Henti Guna",'Daftar Koreksi'!$H$5:$H$92,"&lt;0")-SUMIFS('Daftar Koreksi'!$H$5:$H$92,'Daftar Koreksi'!$D$5:$D$92,'1800'!A202,'Daftar Koreksi'!$G$5:$G$92,"Aset Henti Guna",'Daftar Koreksi'!$H$5:$H$92,"&lt;0")</f>
        <v>0</v>
      </c>
      <c r="G213" s="17">
        <f t="shared" si="9"/>
        <v>43560500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7493880095</v>
      </c>
      <c r="E214" s="19">
        <f>SUM(E205:E213)</f>
        <v>0</v>
      </c>
      <c r="F214" s="19">
        <f>SUM(F205:F213)</f>
        <v>0</v>
      </c>
      <c r="G214" s="19">
        <f t="shared" si="9"/>
        <v>7493880095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-1079518819</v>
      </c>
      <c r="E215" s="25">
        <f>SUMIFS('Daftar Koreksi'!$I$5:$I$92,'Daftar Koreksi'!$D$5:$D$92,'1800'!A202,'Daftar Koreksi'!$G$5:$G$92,"Peralatan dan mesin",'Daftar Koreksi'!$I$5:$I$92,"&gt;0")</f>
        <v>0</v>
      </c>
      <c r="F215" s="25">
        <f>SUMIFS('Daftar Koreksi'!$I$5:$I$92,'Daftar Koreksi'!$D$5:$D$92,'1800'!A202,'Daftar Koreksi'!$G$5:$G$92,"Peralatan dan mesin",'Daftar Koreksi'!$I$5:$I$92,"&lt;0")-SUMIFS('Daftar Koreksi'!$I$5:$I$92,'Daftar Koreksi'!$D$5:$D$92,'1800'!A202,'Daftar Koreksi'!$G$5:$G$92,"Peralatan dan mesin",'Daftar Koreksi'!$I$5:$I$92,"&lt;0")-SUMIFS('Daftar Koreksi'!$I$5:$I$92,'Daftar Koreksi'!$D$5:$D$92,'1800'!A202,'Daftar Koreksi'!$G$5:$G$92,"Peralatan dan mesin",'Daftar Koreksi'!$I$5:$I$92,"&lt;0")</f>
        <v>0</v>
      </c>
      <c r="G215" s="17">
        <f t="shared" si="9"/>
        <v>-1079518819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-1412306801</v>
      </c>
      <c r="E216" s="25">
        <f>SUMIFS('Daftar Koreksi'!$I$5:$I$92,'Daftar Koreksi'!$D$5:$D$92,'1800'!A202,'Daftar Koreksi'!$G$5:$G$92,"Gedung dan Bangunan",'Daftar Koreksi'!$I$5:$I$92,"&gt;0")</f>
        <v>0</v>
      </c>
      <c r="F216" s="25">
        <f>SUMIFS('Daftar Koreksi'!$I$5:$I$92,'Daftar Koreksi'!$D$5:$D$92,'1800'!A202,'Daftar Koreksi'!$G$5:$G$92,"Gedung dan Bangunan",'Daftar Koreksi'!$I$5:$I$92,"&lt;0")-SUMIFS('Daftar Koreksi'!$I$5:$I$92,'Daftar Koreksi'!$D$5:$D$92,'1800'!A202,'Daftar Koreksi'!$G$5:$G$92,"Gedung dan Bangunan",'Daftar Koreksi'!$I$5:$I$92,"&lt;0")-SUMIFS('Daftar Koreksi'!$I$5:$I$92,'Daftar Koreksi'!$D$5:$D$92,'1800'!A202,'Daftar Koreksi'!$G$5:$G$92,"Gedung dan Bangunan",'Daftar Koreksi'!$I$5:$I$92,"&lt;0")</f>
        <v>0</v>
      </c>
      <c r="G216" s="17">
        <f t="shared" si="9"/>
        <v>-1412306801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-39740088</v>
      </c>
      <c r="E217" s="25">
        <f>SUMIFS('Daftar Koreksi'!$I$5:$I$92,'Daftar Koreksi'!$D$5:$D$92,'1800'!A202,'Daftar Koreksi'!$G$5:$G$92,"Jalan Irigasi Jaringan",'Daftar Koreksi'!$I$5:$I$92,"&gt;0")</f>
        <v>0</v>
      </c>
      <c r="F217" s="25">
        <f>SUMIFS('Daftar Koreksi'!$I$5:$I$92,'Daftar Koreksi'!$D$5:$D$92,'1800'!A202,'Daftar Koreksi'!$G$5:$G$92,"Jalan Irigasi Jaringan",'Daftar Koreksi'!$I$5:$I$92,"&lt;0")-SUMIFS('Daftar Koreksi'!$I$5:$I$92,'Daftar Koreksi'!$D$5:$D$92,'1800'!A202,'Daftar Koreksi'!$G$5:$G$92,"Jalan Irigasi Jaringan",'Daftar Koreksi'!$I$5:$I$92,"&lt;0")-SUMIFS('Daftar Koreksi'!$I$5:$I$92,'Daftar Koreksi'!$D$5:$D$92,'1800'!A202,'Daftar Koreksi'!$G$5:$G$92,"Jalan Irigasi Jaringan",'Daftar Koreksi'!$I$5:$I$92,"&lt;0")</f>
        <v>0</v>
      </c>
      <c r="G217" s="17">
        <f t="shared" si="9"/>
        <v>-39740088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Koreksi'!$D$5:$D$92,'1800'!A202,'Daftar Koreksi'!$G$5:$G$92,"Aset Tetap Lainnya",'Daftar Koreksi'!$I$5:$I$92,"&gt;0")</f>
        <v>0</v>
      </c>
      <c r="F218" s="25">
        <f>SUMIFS('Daftar Koreksi'!$I$5:$I$92,'Daftar Koreksi'!$D$5:$D$92,'1800'!A202,'Daftar Koreksi'!$G$5:$G$92,"Aset Tetap Lainnya",'Daftar Koreksi'!$I$5:$I$92,"&lt;0")-SUMIFS('Daftar Koreksi'!$I$5:$I$92,'Daftar Koreksi'!$D$5:$D$92,'1800'!A202,'Daftar Koreksi'!$G$5:$G$92,"Aset Tetap Lainnya",'Daftar Koreksi'!$I$5:$I$92,"&lt;0")-SUMIFS('Daftar Koreksi'!$I$5:$I$92,'Daftar Koreksi'!$D$5:$D$92,'1800'!A202,'Daftar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-43560500</v>
      </c>
      <c r="E219" s="25">
        <f>SUMIFS('Daftar Koreksi'!$I$5:$I$92,'Daftar Koreksi'!$D$5:$D$92,'1800'!A202,'Daftar Koreksi'!$G$5:$G$92,"Aset Henti Guna",'Daftar Koreksi'!$I$5:$I$92,"&gt;0")</f>
        <v>0</v>
      </c>
      <c r="F219" s="25">
        <f>SUMIFS('Daftar Koreksi'!$I$5:$I$92,'Daftar Koreksi'!$D$5:$D$92,'1800'!A202,'Daftar Koreksi'!$G$5:$G$92,"Aset Henti Guna",'Daftar Koreksi'!$I$5:$I$92,"&lt;0")-SUMIFS('Daftar Koreksi'!$I$5:$I$92,'Daftar Koreksi'!$D$5:$D$92,'1800'!A202,'Daftar Koreksi'!$G$5:$G$92,"Aset Henti Guna",'Daftar Koreksi'!$I$5:$I$92,"&lt;0")-SUMIFS('Daftar Koreksi'!$I$5:$I$92,'Daftar Koreksi'!$D$5:$D$92,'1800'!A202,'Daftar Koreksi'!$G$5:$G$92,"Aset Henti Guna",'Daftar Koreksi'!$I$5:$I$92,"&lt;0")</f>
        <v>0</v>
      </c>
      <c r="G219" s="17">
        <f t="shared" si="9"/>
        <v>-43560500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-2575126208</v>
      </c>
      <c r="E220" s="19">
        <f>SUM(E215:E219)</f>
        <v>0</v>
      </c>
      <c r="F220" s="19">
        <f>SUM(F215:F219)</f>
        <v>0</v>
      </c>
      <c r="G220" s="19">
        <f t="shared" si="9"/>
        <v>-2575126208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4918753887</v>
      </c>
      <c r="E221" s="19">
        <f>E220+E214</f>
        <v>0</v>
      </c>
      <c r="F221" s="19">
        <f>F220+F214</f>
        <v>0</v>
      </c>
      <c r="G221" s="19">
        <f t="shared" si="9"/>
        <v>4918753887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005011800576249000KD</v>
      </c>
      <c r="B224" s="11" t="str">
        <f>P11</f>
        <v>PTA. Palu</v>
      </c>
      <c r="C224" s="12" t="str">
        <f>A224&amp;" "&amp;B224</f>
        <v>005011800576249000KD PTA. Palu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155875</v>
      </c>
      <c r="E227" s="25">
        <f>SUMIFS('Daftar Koreksi'!$H$5:$H$92,'Daftar Koreksi'!$D$5:$D$92,'1800'!A224,'Daftar Koreksi'!$G$5:$G$92,"Persediaan",'Daftar Koreksi'!$H$5:$H$92,"&gt;0")</f>
        <v>0</v>
      </c>
      <c r="F227" s="25">
        <f>SUMIFS('Daftar Koreksi'!$H$5:$H$92,'Daftar Koreksi'!$D$5:$D$92,'1800'!A224,'Daftar Koreksi'!$G$5:$G$92,"Persediaan",'Daftar Koreksi'!$H$5:$H$92,"&lt;0")-SUMIFS('Daftar Koreksi'!$H$5:$H$92,'Daftar Koreksi'!$D$5:$D$92,'1800'!A224,'Daftar Koreksi'!$G$5:$G$92,"Persediaan",'Daftar Koreksi'!$H$5:$H$92,"&lt;0")-SUMIFS('Daftar Koreksi'!$H$5:$H$92,'Daftar Koreksi'!$D$5:$D$92,'1800'!A224,'Daftar Koreksi'!$G$5:$G$92,"Persediaan",'Daftar Koreksi'!$H$5:$H$92,"&lt;0")</f>
        <v>0</v>
      </c>
      <c r="G227" s="17">
        <f>D227+E227-F227</f>
        <v>155875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2516266520</v>
      </c>
      <c r="E228" s="25">
        <f>SUMIFS('Daftar Koreksi'!$H$5:$H$92,'Daftar Koreksi'!$D$5:$D$92,'1800'!A224,'Daftar Koreksi'!$G$5:$G$92,"Tanah",'Daftar Koreksi'!$H$5:$H$92,"&gt;0")</f>
        <v>0</v>
      </c>
      <c r="F228" s="25">
        <f>SUMIFS('Daftar Koreksi'!$H$5:$H$92,'Daftar Koreksi'!$D$5:$D$92,'1800'!A224,'Daftar Koreksi'!$G$5:$G$92,"Tanah",'Daftar Koreksi'!$H$5:$H$92,"&lt;0")-SUMIFS('Daftar Koreksi'!$H$5:$H$92,'Daftar Koreksi'!$D$5:$D$92,'1800'!A224,'Daftar Koreksi'!$G$5:$G$92,"Tanah",'Daftar Koreksi'!$H$5:$H$92,"&lt;0")-SUMIFS('Daftar Koreksi'!$H$5:$H$92,'Daftar Koreksi'!$D$5:$D$92,'1800'!A224,'Daftar Koreksi'!$G$5:$G$92,"Tanah",'Daftar Koreksi'!$H$5:$H$92,"&lt;0")</f>
        <v>0</v>
      </c>
      <c r="G228" s="17">
        <f t="shared" ref="G228:G244" si="10">D228+E228-F228</f>
        <v>2516266520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3529280257</v>
      </c>
      <c r="E229" s="25">
        <f>SUMIFS('Daftar Koreksi'!$H$5:$H$92,'Daftar Koreksi'!$D$5:$D$92,'1800'!A224,'Daftar Koreksi'!$G$5:$G$92,"Peralatan dan mesin",'Daftar Koreksi'!$H$5:$H$92,"&gt;0")</f>
        <v>0</v>
      </c>
      <c r="F229" s="25">
        <f>SUMIFS('Daftar Koreksi'!$H$5:$H$92,'Daftar Koreksi'!$D$5:$D$92,'1800'!A224,'Daftar Koreksi'!$G$5:$G$92,"Peralatan dan mesin",'Daftar Koreksi'!$H$5:$H$92,"&lt;0")-SUMIFS('Daftar Koreksi'!$H$5:$H$92,'Daftar Koreksi'!$D$5:$D$92,'1800'!A224,'Daftar Koreksi'!$G$5:$G$92,"Peralatan dan mesin",'Daftar Koreksi'!$H$5:$H$92,"&lt;0")-SUMIFS('Daftar Koreksi'!$H$5:$H$92,'Daftar Koreksi'!$D$5:$D$92,'1800'!A224,'Daftar Koreksi'!$G$5:$G$92,"Peralatan dan mesin",'Daftar Koreksi'!$H$5:$H$92,"&lt;0")</f>
        <v>0</v>
      </c>
      <c r="G229" s="17">
        <f t="shared" si="10"/>
        <v>3529280257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10987830552</v>
      </c>
      <c r="E230" s="25">
        <f>SUMIFS('Daftar Koreksi'!$H$5:$H$92,'Daftar Koreksi'!$D$5:$D$92,'1800'!A224,'Daftar Koreksi'!$G$5:$G$92,"Gedung dan Bangunan",'Daftar Koreksi'!$H$5:$H$92,"&gt;0")</f>
        <v>0</v>
      </c>
      <c r="F230" s="25">
        <f>SUMIFS('Daftar Koreksi'!$H$5:$H$92,'Daftar Koreksi'!$D$5:$D$92,'1800'!A224,'Daftar Koreksi'!$G$5:$G$92,"Gedung dan Bangunan",'Daftar Koreksi'!$H$5:$H$92,"&lt;0")-SUMIFS('Daftar Koreksi'!$H$5:$H$92,'Daftar Koreksi'!$D$5:$D$92,'1800'!A224,'Daftar Koreksi'!$G$5:$G$92,"Gedung dan Bangunan",'Daftar Koreksi'!$H$5:$H$92,"&lt;0")-SUMIFS('Daftar Koreksi'!$H$5:$H$92,'Daftar Koreksi'!$D$5:$D$92,'1800'!A224,'Daftar Koreksi'!$G$5:$G$92,"Gedung dan Bangunan",'Daftar Koreksi'!$H$5:$H$92,"&lt;0")</f>
        <v>0</v>
      </c>
      <c r="G230" s="17">
        <f t="shared" si="10"/>
        <v>10987830552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7884900</v>
      </c>
      <c r="E231" s="25">
        <f>SUMIFS('Daftar Koreksi'!$H$5:$H$92,'Daftar Koreksi'!$D$5:$D$92,'1800'!A224,'Daftar Koreksi'!$G$5:$G$92,"Jalan Irigasi Jaringan",'Daftar Koreksi'!$H$5:$H$92,"&gt;0")</f>
        <v>0</v>
      </c>
      <c r="F231" s="25">
        <f>SUMIFS('Daftar Koreksi'!$H$5:$H$92,'Daftar Koreksi'!$D$5:$D$92,'1800'!A224,'Daftar Koreksi'!$G$5:$G$92,"Jalan Irigasi Jaringan",'Daftar Koreksi'!$H$5:$H$92,"&lt;0")-SUMIFS('Daftar Koreksi'!$H$5:$H$92,'Daftar Koreksi'!$D$5:$D$92,'1800'!A224,'Daftar Koreksi'!$G$5:$G$92,"Jalan Irigasi Jaringan",'Daftar Koreksi'!$H$5:$H$92,"&lt;0")-SUMIFS('Daftar Koreksi'!$H$5:$H$92,'Daftar Koreksi'!$D$5:$D$92,'1800'!A224,'Daftar Koreksi'!$G$5:$G$92,"Jalan Irigasi Jaringan",'Daftar Koreksi'!$H$5:$H$92,"&lt;0")</f>
        <v>0</v>
      </c>
      <c r="G231" s="17">
        <f t="shared" si="10"/>
        <v>7884900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36058740</v>
      </c>
      <c r="E232" s="25">
        <f>SUMIFS('Daftar Koreksi'!$H$5:$H$92,'Daftar Koreksi'!$D$5:$D$92,'1800'!A224,'Daftar Koreksi'!$G$5:$G$92,"Aset Tetap Lainnya",'Daftar Koreksi'!$H$5:$H$92,"&gt;0")</f>
        <v>0</v>
      </c>
      <c r="F232" s="25">
        <f>SUMIFS('Daftar Koreksi'!$H$5:$H$92,'Daftar Koreksi'!$D$5:$D$92,'1800'!A224,'Daftar Koreksi'!$G$5:$G$92,"Aset Tetap Lainnya",'Daftar Koreksi'!$H$5:$H$92,"&lt;0")-SUMIFS('Daftar Koreksi'!$H$5:$H$92,'Daftar Koreksi'!$D$5:$D$92,'1800'!A224,'Daftar Koreksi'!$G$5:$G$92,"Aset Tetap Lainnya",'Daftar Koreksi'!$H$5:$H$92,"&lt;0")-SUMIFS('Daftar Koreksi'!$H$5:$H$92,'Daftar Koreksi'!$D$5:$D$92,'1800'!A224,'Daftar Koreksi'!$G$5:$G$92,"Aset Tetap Lainnya",'Daftar Koreksi'!$H$5:$H$92,"&lt;0")</f>
        <v>0</v>
      </c>
      <c r="G232" s="17">
        <f t="shared" si="10"/>
        <v>36058740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Koreksi'!$D$5:$D$92,'1800'!A224,'Daftar Koreksi'!$G$5:$G$92,"Kontruksi Dalam Pengerjaan",'Daftar Koreksi'!$H$5:$H$92,"&gt;0")</f>
        <v>0</v>
      </c>
      <c r="F233" s="25">
        <f>SUMIFS('Daftar Koreksi'!$H$5:$H$92,'Daftar Koreksi'!$D$5:$D$92,'1800'!A224,'Daftar Koreksi'!$G$5:$G$92,"Kontruksi Dalam Pengerjaan",'Daftar Koreksi'!$H$5:$H$92,"&lt;0")-SUMIFS('Daftar Koreksi'!$H$5:$H$92,'Daftar Koreksi'!$D$5:$D$92,'1800'!A224,'Daftar Koreksi'!$G$5:$G$92,"Kontruksi Dalam Pengerjaan",'Daftar Koreksi'!$H$5:$H$92,"&lt;0")-SUMIFS('Daftar Koreksi'!$H$5:$H$92,'Daftar Koreksi'!$D$5:$D$92,'1800'!A224,'Daftar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3850000</v>
      </c>
      <c r="E234" s="25">
        <f>SUMIFS('Daftar Koreksi'!$H$5:$H$92,'Daftar Koreksi'!$D$5:$D$92,'1800'!A224,'Daftar Koreksi'!$G$5:$G$92,"Aset Tak Berwujud",'Daftar Koreksi'!$H$5:$H$92,"&gt;0")</f>
        <v>0</v>
      </c>
      <c r="F234" s="25">
        <f>SUMIFS('Daftar Koreksi'!$H$5:$H$92,'Daftar Koreksi'!$D$5:$D$92,'1800'!A224,'Daftar Koreksi'!$G$5:$G$92,"Aset Tak Berwujud",'Daftar Koreksi'!$H$5:$H$92,"&lt;0")-SUMIFS('Daftar Koreksi'!$H$5:$H$92,'Daftar Koreksi'!$D$5:$D$92,'1800'!A224,'Daftar Koreksi'!$G$5:$G$92,"Aset Tak Berwujud",'Daftar Koreksi'!$H$5:$H$92,"&lt;0")-SUMIFS('Daftar Koreksi'!$H$5:$H$92,'Daftar Koreksi'!$D$5:$D$92,'1800'!A224,'Daftar Koreksi'!$G$5:$G$92,"Aset Tak Berwujud",'Daftar Koreksi'!$H$5:$H$92,"&lt;0")</f>
        <v>0</v>
      </c>
      <c r="G234" s="17">
        <f t="shared" si="10"/>
        <v>3850000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16431450</v>
      </c>
      <c r="E235" s="25">
        <f>SUMIFS('Daftar Koreksi'!$H$5:$H$92,'Daftar Koreksi'!$D$5:$D$92,'1800'!A224,'Daftar Koreksi'!$G$5:$G$92,"Aset Henti Guna",'Daftar Koreksi'!$H$5:$H$92,"&gt;0")</f>
        <v>0</v>
      </c>
      <c r="F235" s="25">
        <f>SUMIFS('Daftar Koreksi'!$H$5:$H$92,'Daftar Koreksi'!$D$5:$D$92,'1800'!A224,'Daftar Koreksi'!$G$5:$G$92,"Aset Henti Guna",'Daftar Koreksi'!$H$5:$H$92,"&lt;0")-SUMIFS('Daftar Koreksi'!$H$5:$H$92,'Daftar Koreksi'!$D$5:$D$92,'1800'!A224,'Daftar Koreksi'!$G$5:$G$92,"Aset Henti Guna",'Daftar Koreksi'!$H$5:$H$92,"&lt;0")-SUMIFS('Daftar Koreksi'!$H$5:$H$92,'Daftar Koreksi'!$D$5:$D$92,'1800'!A224,'Daftar Koreksi'!$G$5:$G$92,"Aset Henti Guna",'Daftar Koreksi'!$H$5:$H$92,"&lt;0")</f>
        <v>0</v>
      </c>
      <c r="G235" s="17">
        <f t="shared" si="10"/>
        <v>16431450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17097758294</v>
      </c>
      <c r="E236" s="19">
        <f>SUM(E227:E235)</f>
        <v>0</v>
      </c>
      <c r="F236" s="19">
        <f>SUM(F227:F235)</f>
        <v>0</v>
      </c>
      <c r="G236" s="19">
        <f t="shared" si="10"/>
        <v>17097758294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-3223631512</v>
      </c>
      <c r="E237" s="25">
        <f>SUMIFS('Daftar Koreksi'!$I$5:$I$92,'Daftar Koreksi'!$D$5:$D$92,'1800'!A224,'Daftar Koreksi'!$G$5:$G$92,"Peralatan dan mesin",'Daftar Koreksi'!$I$5:$I$92,"&gt;0")</f>
        <v>0</v>
      </c>
      <c r="F237" s="25">
        <f>SUMIFS('Daftar Koreksi'!$I$5:$I$92,'Daftar Koreksi'!$D$5:$D$92,'1800'!A224,'Daftar Koreksi'!$G$5:$G$92,"Peralatan dan mesin",'Daftar Koreksi'!$I$5:$I$92,"&lt;0")-SUMIFS('Daftar Koreksi'!$I$5:$I$92,'Daftar Koreksi'!$D$5:$D$92,'1800'!A224,'Daftar Koreksi'!$G$5:$G$92,"Peralatan dan mesin",'Daftar Koreksi'!$I$5:$I$92,"&lt;0")-SUMIFS('Daftar Koreksi'!$I$5:$I$92,'Daftar Koreksi'!$D$5:$D$92,'1800'!A224,'Daftar Koreksi'!$G$5:$G$92,"Peralatan dan mesin",'Daftar Koreksi'!$I$5:$I$92,"&lt;0")</f>
        <v>0</v>
      </c>
      <c r="G237" s="17">
        <f t="shared" si="10"/>
        <v>-3223631512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-1020161867</v>
      </c>
      <c r="E238" s="25">
        <f>SUMIFS('Daftar Koreksi'!$I$5:$I$92,'Daftar Koreksi'!$D$5:$D$92,'1800'!A224,'Daftar Koreksi'!$G$5:$G$92,"Gedung dan Bangunan",'Daftar Koreksi'!$I$5:$I$92,"&gt;0")</f>
        <v>0</v>
      </c>
      <c r="F238" s="25">
        <f>SUMIFS('Daftar Koreksi'!$I$5:$I$92,'Daftar Koreksi'!$D$5:$D$92,'1800'!A224,'Daftar Koreksi'!$G$5:$G$92,"Gedung dan Bangunan",'Daftar Koreksi'!$I$5:$I$92,"&lt;0")-SUMIFS('Daftar Koreksi'!$I$5:$I$92,'Daftar Koreksi'!$D$5:$D$92,'1800'!A224,'Daftar Koreksi'!$G$5:$G$92,"Gedung dan Bangunan",'Daftar Koreksi'!$I$5:$I$92,"&lt;0")-SUMIFS('Daftar Koreksi'!$I$5:$I$92,'Daftar Koreksi'!$D$5:$D$92,'1800'!A224,'Daftar Koreksi'!$G$5:$G$92,"Gedung dan Bangunan",'Daftar Koreksi'!$I$5:$I$92,"&lt;0")</f>
        <v>0</v>
      </c>
      <c r="G238" s="17">
        <f t="shared" si="10"/>
        <v>-1020161867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-1182735</v>
      </c>
      <c r="E239" s="25">
        <f>SUMIFS('Daftar Koreksi'!$I$5:$I$92,'Daftar Koreksi'!$D$5:$D$92,'1800'!A224,'Daftar Koreksi'!$G$5:$G$92,"Jalan Irigasi Jaringan",'Daftar Koreksi'!$I$5:$I$92,"&gt;0")</f>
        <v>0</v>
      </c>
      <c r="F239" s="25">
        <f>SUMIFS('Daftar Koreksi'!$I$5:$I$92,'Daftar Koreksi'!$D$5:$D$92,'1800'!A224,'Daftar Koreksi'!$G$5:$G$92,"Jalan Irigasi Jaringan",'Daftar Koreksi'!$I$5:$I$92,"&lt;0")-SUMIFS('Daftar Koreksi'!$I$5:$I$92,'Daftar Koreksi'!$D$5:$D$92,'1800'!A224,'Daftar Koreksi'!$G$5:$G$92,"Jalan Irigasi Jaringan",'Daftar Koreksi'!$I$5:$I$92,"&lt;0")-SUMIFS('Daftar Koreksi'!$I$5:$I$92,'Daftar Koreksi'!$D$5:$D$92,'1800'!A224,'Daftar Koreksi'!$G$5:$G$92,"Jalan Irigasi Jaringan",'Daftar Koreksi'!$I$5:$I$92,"&lt;0")</f>
        <v>0</v>
      </c>
      <c r="G239" s="17">
        <f t="shared" si="10"/>
        <v>-1182735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-25500000</v>
      </c>
      <c r="E240" s="25">
        <f>SUMIFS('Daftar Koreksi'!$I$5:$I$92,'Daftar Koreksi'!$D$5:$D$92,'1800'!A224,'Daftar Koreksi'!$G$5:$G$92,"Aset Tetap Lainnya",'Daftar Koreksi'!$I$5:$I$92,"&gt;0")</f>
        <v>0</v>
      </c>
      <c r="F240" s="25">
        <f>SUMIFS('Daftar Koreksi'!$I$5:$I$92,'Daftar Koreksi'!$D$5:$D$92,'1800'!A224,'Daftar Koreksi'!$G$5:$G$92,"Aset Tetap Lainnya",'Daftar Koreksi'!$I$5:$I$92,"&lt;0")-SUMIFS('Daftar Koreksi'!$I$5:$I$92,'Daftar Koreksi'!$D$5:$D$92,'1800'!A224,'Daftar Koreksi'!$G$5:$G$92,"Aset Tetap Lainnya",'Daftar Koreksi'!$I$5:$I$92,"&lt;0")-SUMIFS('Daftar Koreksi'!$I$5:$I$92,'Daftar Koreksi'!$D$5:$D$92,'1800'!A224,'Daftar Koreksi'!$G$5:$G$92,"Aset Tetap Lainnya",'Daftar Koreksi'!$I$5:$I$92,"&lt;0")</f>
        <v>0</v>
      </c>
      <c r="G240" s="17">
        <f t="shared" si="10"/>
        <v>-25500000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-15627034</v>
      </c>
      <c r="E241" s="25">
        <f>SUMIFS('Daftar Koreksi'!$I$5:$I$92,'Daftar Koreksi'!$D$5:$D$92,'1800'!A224,'Daftar Koreksi'!$G$5:$G$92,"Aset Henti Guna",'Daftar Koreksi'!$I$5:$I$92,"&gt;0")</f>
        <v>0</v>
      </c>
      <c r="F241" s="25">
        <f>SUMIFS('Daftar Koreksi'!$I$5:$I$92,'Daftar Koreksi'!$D$5:$D$92,'1800'!A224,'Daftar Koreksi'!$G$5:$G$92,"Aset Henti Guna",'Daftar Koreksi'!$I$5:$I$92,"&lt;0")-SUMIFS('Daftar Koreksi'!$I$5:$I$92,'Daftar Koreksi'!$D$5:$D$92,'1800'!A224,'Daftar Koreksi'!$G$5:$G$92,"Aset Henti Guna",'Daftar Koreksi'!$I$5:$I$92,"&lt;0")-SUMIFS('Daftar Koreksi'!$I$5:$I$92,'Daftar Koreksi'!$D$5:$D$92,'1800'!A224,'Daftar Koreksi'!$G$5:$G$92,"Aset Henti Guna",'Daftar Koreksi'!$I$5:$I$92,"&lt;0")</f>
        <v>0</v>
      </c>
      <c r="G241" s="17">
        <f t="shared" si="10"/>
        <v>-15627034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-4286103148</v>
      </c>
      <c r="E242" s="19">
        <f>SUM(E237:E241)</f>
        <v>0</v>
      </c>
      <c r="F242" s="19">
        <f>SUM(F237:F241)</f>
        <v>0</v>
      </c>
      <c r="G242" s="19">
        <f t="shared" si="10"/>
        <v>-4286103148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12811655146</v>
      </c>
      <c r="E243" s="19">
        <f>E242+E236</f>
        <v>0</v>
      </c>
      <c r="F243" s="19">
        <f>F242+F236</f>
        <v>0</v>
      </c>
      <c r="G243" s="19">
        <f t="shared" si="10"/>
        <v>12811655146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005011800578850000KD</v>
      </c>
      <c r="B246" s="11" t="str">
        <f>P12</f>
        <v>PTUN. Palu</v>
      </c>
      <c r="C246" s="12" t="str">
        <f>A246&amp;" "&amp;B246</f>
        <v>005011800578850000KD PTUN. Palu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0</v>
      </c>
      <c r="E249" s="25">
        <f>SUMIFS('Daftar Koreksi'!$H$5:$H$92,'Daftar Koreksi'!$D$5:$D$92,'1800'!A246,'Daftar Koreksi'!$G$5:$G$92,"Persediaan",'Daftar Koreksi'!$H$5:$H$92,"&gt;0")</f>
        <v>0</v>
      </c>
      <c r="F249" s="25">
        <f>SUMIFS('Daftar Koreksi'!$H$5:$H$92,'Daftar Koreksi'!$D$5:$D$92,'1800'!A246,'Daftar Koreksi'!$G$5:$G$92,"Persediaan",'Daftar Koreksi'!$H$5:$H$92,"&lt;0")-SUMIFS('Daftar Koreksi'!$H$5:$H$92,'Daftar Koreksi'!$D$5:$D$92,'1800'!A246,'Daftar Koreksi'!$G$5:$G$92,"Persediaan",'Daftar Koreksi'!$H$5:$H$92,"&lt;0")-SUMIFS('Daftar Koreksi'!$H$5:$H$92,'Daftar Koreksi'!$D$5:$D$92,'1800'!A246,'Daftar Koreksi'!$G$5:$G$92,"Persediaan",'Daftar Koreksi'!$H$5:$H$92,"&lt;0")</f>
        <v>0</v>
      </c>
      <c r="G249" s="17">
        <f>D249+E249-F249</f>
        <v>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1996275000</v>
      </c>
      <c r="E250" s="25">
        <f>SUMIFS('Daftar Koreksi'!$H$5:$H$92,'Daftar Koreksi'!$D$5:$D$92,'1800'!A246,'Daftar Koreksi'!$G$5:$G$92,"Tanah",'Daftar Koreksi'!$H$5:$H$92,"&gt;0")</f>
        <v>0</v>
      </c>
      <c r="F250" s="25">
        <f>SUMIFS('Daftar Koreksi'!$H$5:$H$92,'Daftar Koreksi'!$D$5:$D$92,'1800'!A246,'Daftar Koreksi'!$G$5:$G$92,"Tanah",'Daftar Koreksi'!$H$5:$H$92,"&lt;0")-SUMIFS('Daftar Koreksi'!$H$5:$H$92,'Daftar Koreksi'!$D$5:$D$92,'1800'!A246,'Daftar Koreksi'!$G$5:$G$92,"Tanah",'Daftar Koreksi'!$H$5:$H$92,"&lt;0")-SUMIFS('Daftar Koreksi'!$H$5:$H$92,'Daftar Koreksi'!$D$5:$D$92,'1800'!A246,'Daftar Koreksi'!$G$5:$G$92,"Tanah",'Daftar Koreksi'!$H$5:$H$92,"&lt;0")</f>
        <v>0</v>
      </c>
      <c r="G250" s="17">
        <f t="shared" ref="G250:G266" si="11">D250+E250-F250</f>
        <v>1996275000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2176293032</v>
      </c>
      <c r="E251" s="25">
        <f>SUMIFS('Daftar Koreksi'!$H$5:$H$92,'Daftar Koreksi'!$D$5:$D$92,'1800'!A246,'Daftar Koreksi'!$G$5:$G$92,"Peralatan dan mesin",'Daftar Koreksi'!$H$5:$H$92,"&gt;0")</f>
        <v>0</v>
      </c>
      <c r="F251" s="25">
        <f>SUMIFS('Daftar Koreksi'!$H$5:$H$92,'Daftar Koreksi'!$D$5:$D$92,'1800'!A246,'Daftar Koreksi'!$G$5:$G$92,"Peralatan dan mesin",'Daftar Koreksi'!$H$5:$H$92,"&lt;0")-SUMIFS('Daftar Koreksi'!$H$5:$H$92,'Daftar Koreksi'!$D$5:$D$92,'1800'!A246,'Daftar Koreksi'!$G$5:$G$92,"Peralatan dan mesin",'Daftar Koreksi'!$H$5:$H$92,"&lt;0")-SUMIFS('Daftar Koreksi'!$H$5:$H$92,'Daftar Koreksi'!$D$5:$D$92,'1800'!A246,'Daftar Koreksi'!$G$5:$G$92,"Peralatan dan mesin",'Daftar Koreksi'!$H$5:$H$92,"&lt;0")</f>
        <v>0</v>
      </c>
      <c r="G251" s="17">
        <f t="shared" si="11"/>
        <v>2176293032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9743461521</v>
      </c>
      <c r="E252" s="25">
        <f>SUMIFS('Daftar Koreksi'!$H$5:$H$92,'Daftar Koreksi'!$D$5:$D$92,'1800'!A246,'Daftar Koreksi'!$G$5:$G$92,"Gedung dan Bangunan",'Daftar Koreksi'!$H$5:$H$92,"&gt;0")</f>
        <v>0</v>
      </c>
      <c r="F252" s="25">
        <f>SUMIFS('Daftar Koreksi'!$H$5:$H$92,'Daftar Koreksi'!$D$5:$D$92,'1800'!A246,'Daftar Koreksi'!$G$5:$G$92,"Gedung dan Bangunan",'Daftar Koreksi'!$H$5:$H$92,"&lt;0")-SUMIFS('Daftar Koreksi'!$H$5:$H$92,'Daftar Koreksi'!$D$5:$D$92,'1800'!A246,'Daftar Koreksi'!$G$5:$G$92,"Gedung dan Bangunan",'Daftar Koreksi'!$H$5:$H$92,"&lt;0")-SUMIFS('Daftar Koreksi'!$H$5:$H$92,'Daftar Koreksi'!$D$5:$D$92,'1800'!A246,'Daftar Koreksi'!$G$5:$G$92,"Gedung dan Bangunan",'Daftar Koreksi'!$H$5:$H$92,"&lt;0")</f>
        <v>0</v>
      </c>
      <c r="G252" s="17">
        <f t="shared" si="11"/>
        <v>9743461521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92860000</v>
      </c>
      <c r="E253" s="25">
        <f>SUMIFS('Daftar Koreksi'!$H$5:$H$92,'Daftar Koreksi'!$D$5:$D$92,'1800'!A246,'Daftar Koreksi'!$G$5:$G$92,"Jalan Irigasi Jaringan",'Daftar Koreksi'!$H$5:$H$92,"&gt;0")</f>
        <v>0</v>
      </c>
      <c r="F253" s="25">
        <f>SUMIFS('Daftar Koreksi'!$H$5:$H$92,'Daftar Koreksi'!$D$5:$D$92,'1800'!A246,'Daftar Koreksi'!$G$5:$G$92,"Jalan Irigasi Jaringan",'Daftar Koreksi'!$H$5:$H$92,"&lt;0")-SUMIFS('Daftar Koreksi'!$H$5:$H$92,'Daftar Koreksi'!$D$5:$D$92,'1800'!A246,'Daftar Koreksi'!$G$5:$G$92,"Jalan Irigasi Jaringan",'Daftar Koreksi'!$H$5:$H$92,"&lt;0")-SUMIFS('Daftar Koreksi'!$H$5:$H$92,'Daftar Koreksi'!$D$5:$D$92,'1800'!A246,'Daftar Koreksi'!$G$5:$G$92,"Jalan Irigasi Jaringan",'Daftar Koreksi'!$H$5:$H$92,"&lt;0")</f>
        <v>0</v>
      </c>
      <c r="G253" s="17">
        <f t="shared" si="11"/>
        <v>92860000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15064000</v>
      </c>
      <c r="E254" s="25">
        <f>SUMIFS('Daftar Koreksi'!$H$5:$H$92,'Daftar Koreksi'!$D$5:$D$92,'1800'!A246,'Daftar Koreksi'!$G$5:$G$92,"Aset Tetap Lainnya",'Daftar Koreksi'!$H$5:$H$92,"&gt;0")</f>
        <v>0</v>
      </c>
      <c r="F254" s="25">
        <f>SUMIFS('Daftar Koreksi'!$H$5:$H$92,'Daftar Koreksi'!$D$5:$D$92,'1800'!A246,'Daftar Koreksi'!$G$5:$G$92,"Aset Tetap Lainnya",'Daftar Koreksi'!$H$5:$H$92,"&lt;0")-SUMIFS('Daftar Koreksi'!$H$5:$H$92,'Daftar Koreksi'!$D$5:$D$92,'1800'!A246,'Daftar Koreksi'!$G$5:$G$92,"Aset Tetap Lainnya",'Daftar Koreksi'!$H$5:$H$92,"&lt;0")-SUMIFS('Daftar Koreksi'!$H$5:$H$92,'Daftar Koreksi'!$D$5:$D$92,'1800'!A246,'Daftar Koreksi'!$G$5:$G$92,"Aset Tetap Lainnya",'Daftar Koreksi'!$H$5:$H$92,"&lt;0")</f>
        <v>0</v>
      </c>
      <c r="G254" s="17">
        <f t="shared" si="11"/>
        <v>15064000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Koreksi'!$D$5:$D$92,'1800'!A246,'Daftar Koreksi'!$G$5:$G$92,"Kontruksi Dalam Pengerjaan",'Daftar Koreksi'!$H$5:$H$92,"&gt;0")</f>
        <v>0</v>
      </c>
      <c r="F255" s="25">
        <f>SUMIFS('Daftar Koreksi'!$H$5:$H$92,'Daftar Koreksi'!$D$5:$D$92,'1800'!A246,'Daftar Koreksi'!$G$5:$G$92,"Kontruksi Dalam Pengerjaan",'Daftar Koreksi'!$H$5:$H$92,"&lt;0")-SUMIFS('Daftar Koreksi'!$H$5:$H$92,'Daftar Koreksi'!$D$5:$D$92,'1800'!A246,'Daftar Koreksi'!$G$5:$G$92,"Kontruksi Dalam Pengerjaan",'Daftar Koreksi'!$H$5:$H$92,"&lt;0")-SUMIFS('Daftar Koreksi'!$H$5:$H$92,'Daftar Koreksi'!$D$5:$D$92,'1800'!A246,'Daftar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156405000</v>
      </c>
      <c r="E256" s="25">
        <f>SUMIFS('Daftar Koreksi'!$H$5:$H$92,'Daftar Koreksi'!$D$5:$D$92,'1800'!A246,'Daftar Koreksi'!$G$5:$G$92,"Aset Tak Berwujud",'Daftar Koreksi'!$H$5:$H$92,"&gt;0")</f>
        <v>0</v>
      </c>
      <c r="F256" s="25">
        <f>SUMIFS('Daftar Koreksi'!$H$5:$H$92,'Daftar Koreksi'!$D$5:$D$92,'1800'!A246,'Daftar Koreksi'!$G$5:$G$92,"Aset Tak Berwujud",'Daftar Koreksi'!$H$5:$H$92,"&lt;0")-SUMIFS('Daftar Koreksi'!$H$5:$H$92,'Daftar Koreksi'!$D$5:$D$92,'1800'!A246,'Daftar Koreksi'!$G$5:$G$92,"Aset Tak Berwujud",'Daftar Koreksi'!$H$5:$H$92,"&lt;0")-SUMIFS('Daftar Koreksi'!$H$5:$H$92,'Daftar Koreksi'!$D$5:$D$92,'1800'!A246,'Daftar Koreksi'!$G$5:$G$92,"Aset Tak Berwujud",'Daftar Koreksi'!$H$5:$H$92,"&lt;0")</f>
        <v>0</v>
      </c>
      <c r="G256" s="17">
        <f t="shared" si="11"/>
        <v>156405000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Koreksi'!$D$5:$D$92,'1800'!A246,'Daftar Koreksi'!$G$5:$G$92,"Aset Henti Guna",'Daftar Koreksi'!$H$5:$H$92,"&gt;0")</f>
        <v>0</v>
      </c>
      <c r="F257" s="25">
        <f>SUMIFS('Daftar Koreksi'!$H$5:$H$92,'Daftar Koreksi'!$D$5:$D$92,'1800'!A246,'Daftar Koreksi'!$G$5:$G$92,"Aset Henti Guna",'Daftar Koreksi'!$H$5:$H$92,"&lt;0")-SUMIFS('Daftar Koreksi'!$H$5:$H$92,'Daftar Koreksi'!$D$5:$D$92,'1800'!A246,'Daftar Koreksi'!$G$5:$G$92,"Aset Henti Guna",'Daftar Koreksi'!$H$5:$H$92,"&lt;0")-SUMIFS('Daftar Koreksi'!$H$5:$H$92,'Daftar Koreksi'!$D$5:$D$92,'1800'!A246,'Daftar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14180358553</v>
      </c>
      <c r="E258" s="19">
        <f>SUM(E249:E257)</f>
        <v>0</v>
      </c>
      <c r="F258" s="19">
        <f>SUM(F249:F257)</f>
        <v>0</v>
      </c>
      <c r="G258" s="19">
        <f t="shared" si="11"/>
        <v>14180358553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-1838491449</v>
      </c>
      <c r="E259" s="25">
        <f>SUMIFS('Daftar Koreksi'!$I$5:$I$92,'Daftar Koreksi'!$D$5:$D$92,'1800'!A246,'Daftar Koreksi'!$G$5:$G$92,"Peralatan dan mesin",'Daftar Koreksi'!$I$5:$I$92,"&gt;0")</f>
        <v>0</v>
      </c>
      <c r="F259" s="25">
        <f>SUMIFS('Daftar Koreksi'!$I$5:$I$92,'Daftar Koreksi'!$D$5:$D$92,'1800'!A246,'Daftar Koreksi'!$G$5:$G$92,"Peralatan dan mesin",'Daftar Koreksi'!$I$5:$I$92,"&lt;0")-SUMIFS('Daftar Koreksi'!$I$5:$I$92,'Daftar Koreksi'!$D$5:$D$92,'1800'!A246,'Daftar Koreksi'!$G$5:$G$92,"Peralatan dan mesin",'Daftar Koreksi'!$I$5:$I$92,"&lt;0")-SUMIFS('Daftar Koreksi'!$I$5:$I$92,'Daftar Koreksi'!$D$5:$D$92,'1800'!A246,'Daftar Koreksi'!$G$5:$G$92,"Peralatan dan mesin",'Daftar Koreksi'!$I$5:$I$92,"&lt;0")</f>
        <v>0</v>
      </c>
      <c r="G259" s="17">
        <f t="shared" si="11"/>
        <v>-1838491449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-821813549</v>
      </c>
      <c r="E260" s="25">
        <f>SUMIFS('Daftar Koreksi'!$I$5:$I$92,'Daftar Koreksi'!$D$5:$D$92,'1800'!A246,'Daftar Koreksi'!$G$5:$G$92,"Gedung dan Bangunan",'Daftar Koreksi'!$I$5:$I$92,"&gt;0")</f>
        <v>0</v>
      </c>
      <c r="F260" s="25">
        <f>SUMIFS('Daftar Koreksi'!$I$5:$I$92,'Daftar Koreksi'!$D$5:$D$92,'1800'!A246,'Daftar Koreksi'!$G$5:$G$92,"Gedung dan Bangunan",'Daftar Koreksi'!$I$5:$I$92,"&lt;0")-SUMIFS('Daftar Koreksi'!$I$5:$I$92,'Daftar Koreksi'!$D$5:$D$92,'1800'!A246,'Daftar Koreksi'!$G$5:$G$92,"Gedung dan Bangunan",'Daftar Koreksi'!$I$5:$I$92,"&lt;0")-SUMIFS('Daftar Koreksi'!$I$5:$I$92,'Daftar Koreksi'!$D$5:$D$92,'1800'!A246,'Daftar Koreksi'!$G$5:$G$92,"Gedung dan Bangunan",'Daftar Koreksi'!$I$5:$I$92,"&lt;0")</f>
        <v>0</v>
      </c>
      <c r="G260" s="17">
        <f t="shared" si="11"/>
        <v>-821813549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-16250500</v>
      </c>
      <c r="E261" s="25">
        <f>SUMIFS('Daftar Koreksi'!$I$5:$I$92,'Daftar Koreksi'!$D$5:$D$92,'1800'!A246,'Daftar Koreksi'!$G$5:$G$92,"Jalan Irigasi Jaringan",'Daftar Koreksi'!$I$5:$I$92,"&gt;0")</f>
        <v>0</v>
      </c>
      <c r="F261" s="25">
        <f>SUMIFS('Daftar Koreksi'!$I$5:$I$92,'Daftar Koreksi'!$D$5:$D$92,'1800'!A246,'Daftar Koreksi'!$G$5:$G$92,"Jalan Irigasi Jaringan",'Daftar Koreksi'!$I$5:$I$92,"&lt;0")-SUMIFS('Daftar Koreksi'!$I$5:$I$92,'Daftar Koreksi'!$D$5:$D$92,'1800'!A246,'Daftar Koreksi'!$G$5:$G$92,"Jalan Irigasi Jaringan",'Daftar Koreksi'!$I$5:$I$92,"&lt;0")-SUMIFS('Daftar Koreksi'!$I$5:$I$92,'Daftar Koreksi'!$D$5:$D$92,'1800'!A246,'Daftar Koreksi'!$G$5:$G$92,"Jalan Irigasi Jaringan",'Daftar Koreksi'!$I$5:$I$92,"&lt;0")</f>
        <v>0</v>
      </c>
      <c r="G261" s="17">
        <f t="shared" si="11"/>
        <v>-16250500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-15064000</v>
      </c>
      <c r="E262" s="25">
        <f>SUMIFS('Daftar Koreksi'!$I$5:$I$92,'Daftar Koreksi'!$D$5:$D$92,'1800'!A246,'Daftar Koreksi'!$G$5:$G$92,"Aset Tetap Lainnya",'Daftar Koreksi'!$I$5:$I$92,"&gt;0")</f>
        <v>0</v>
      </c>
      <c r="F262" s="25">
        <f>SUMIFS('Daftar Koreksi'!$I$5:$I$92,'Daftar Koreksi'!$D$5:$D$92,'1800'!A246,'Daftar Koreksi'!$G$5:$G$92,"Aset Tetap Lainnya",'Daftar Koreksi'!$I$5:$I$92,"&lt;0")-SUMIFS('Daftar Koreksi'!$I$5:$I$92,'Daftar Koreksi'!$D$5:$D$92,'1800'!A246,'Daftar Koreksi'!$G$5:$G$92,"Aset Tetap Lainnya",'Daftar Koreksi'!$I$5:$I$92,"&lt;0")-SUMIFS('Daftar Koreksi'!$I$5:$I$92,'Daftar Koreksi'!$D$5:$D$92,'1800'!A246,'Daftar Koreksi'!$G$5:$G$92,"Aset Tetap Lainnya",'Daftar Koreksi'!$I$5:$I$92,"&lt;0")</f>
        <v>0</v>
      </c>
      <c r="G262" s="17">
        <f t="shared" si="11"/>
        <v>-15064000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Koreksi'!$D$5:$D$92,'1800'!A246,'Daftar Koreksi'!$G$5:$G$92,"Aset Henti Guna",'Daftar Koreksi'!$I$5:$I$92,"&gt;0")</f>
        <v>0</v>
      </c>
      <c r="F263" s="25">
        <f>SUMIFS('Daftar Koreksi'!$I$5:$I$92,'Daftar Koreksi'!$D$5:$D$92,'1800'!A246,'Daftar Koreksi'!$G$5:$G$92,"Aset Henti Guna",'Daftar Koreksi'!$I$5:$I$92,"&lt;0")-SUMIFS('Daftar Koreksi'!$I$5:$I$92,'Daftar Koreksi'!$D$5:$D$92,'1800'!A246,'Daftar Koreksi'!$G$5:$G$92,"Aset Henti Guna",'Daftar Koreksi'!$I$5:$I$92,"&lt;0")-SUMIFS('Daftar Koreksi'!$I$5:$I$92,'Daftar Koreksi'!$D$5:$D$92,'1800'!A246,'Daftar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-2691619498</v>
      </c>
      <c r="E264" s="19">
        <f>SUM(E259:E263)</f>
        <v>0</v>
      </c>
      <c r="F264" s="19">
        <f>SUM(F259:F263)</f>
        <v>0</v>
      </c>
      <c r="G264" s="19">
        <f t="shared" si="11"/>
        <v>-2691619498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11488739055</v>
      </c>
      <c r="E265" s="19">
        <f>E264+E258</f>
        <v>0</v>
      </c>
      <c r="F265" s="19">
        <f>F264+F258</f>
        <v>0</v>
      </c>
      <c r="G265" s="19">
        <f t="shared" si="11"/>
        <v>11488739055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005011800604765000KD</v>
      </c>
      <c r="B268" s="11" t="str">
        <f>P13</f>
        <v>PA. Palu Kab. Donggala</v>
      </c>
      <c r="C268" s="12" t="str">
        <f>A268&amp;" "&amp;B268</f>
        <v>005011800604765000KD PA. Palu Kab. Donggala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Koreksi'!$D$5:$D$92,'1800'!A268,'Daftar Koreksi'!$G$5:$G$92,"Persediaan",'Daftar Koreksi'!$H$5:$H$92,"&gt;0")</f>
        <v>0</v>
      </c>
      <c r="F271" s="25">
        <f>SUMIFS('Daftar Koreksi'!$H$5:$H$92,'Daftar Koreksi'!$D$5:$D$92,'1800'!A268,'Daftar Koreksi'!$G$5:$G$92,"Persediaan",'Daftar Koreksi'!$H$5:$H$92,"&lt;0")-SUMIFS('Daftar Koreksi'!$H$5:$H$92,'Daftar Koreksi'!$D$5:$D$92,'1800'!A268,'Daftar Koreksi'!$G$5:$G$92,"Persediaan",'Daftar Koreksi'!$H$5:$H$92,"&lt;0")-SUMIFS('Daftar Koreksi'!$H$5:$H$92,'Daftar Koreksi'!$D$5:$D$92,'1800'!A268,'Daftar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242820000</v>
      </c>
      <c r="E272" s="25">
        <f>SUMIFS('Daftar Koreksi'!$H$5:$H$92,'Daftar Koreksi'!$D$5:$D$92,'1800'!A268,'Daftar Koreksi'!$G$5:$G$92,"Tanah",'Daftar Koreksi'!$H$5:$H$92,"&gt;0")</f>
        <v>0</v>
      </c>
      <c r="F272" s="25">
        <f>SUMIFS('Daftar Koreksi'!$H$5:$H$92,'Daftar Koreksi'!$D$5:$D$92,'1800'!A268,'Daftar Koreksi'!$G$5:$G$92,"Tanah",'Daftar Koreksi'!$H$5:$H$92,"&lt;0")-SUMIFS('Daftar Koreksi'!$H$5:$H$92,'Daftar Koreksi'!$D$5:$D$92,'1800'!A268,'Daftar Koreksi'!$G$5:$G$92,"Tanah",'Daftar Koreksi'!$H$5:$H$92,"&lt;0")-SUMIFS('Daftar Koreksi'!$H$5:$H$92,'Daftar Koreksi'!$D$5:$D$92,'1800'!A268,'Daftar Koreksi'!$G$5:$G$92,"Tanah",'Daftar Koreksi'!$H$5:$H$92,"&lt;0")</f>
        <v>0</v>
      </c>
      <c r="G272" s="17">
        <f t="shared" ref="G272:G288" si="12">D272+E272-F272</f>
        <v>242820000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1378829990</v>
      </c>
      <c r="E273" s="25">
        <f>SUMIFS('Daftar Koreksi'!$H$5:$H$92,'Daftar Koreksi'!$D$5:$D$92,'1800'!A268,'Daftar Koreksi'!$G$5:$G$92,"Peralatan dan mesin",'Daftar Koreksi'!$H$5:$H$92,"&gt;0")</f>
        <v>0</v>
      </c>
      <c r="F273" s="25">
        <f>SUMIFS('Daftar Koreksi'!$H$5:$H$92,'Daftar Koreksi'!$D$5:$D$92,'1800'!A268,'Daftar Koreksi'!$G$5:$G$92,"Peralatan dan mesin",'Daftar Koreksi'!$H$5:$H$92,"&lt;0")-SUMIFS('Daftar Koreksi'!$H$5:$H$92,'Daftar Koreksi'!$D$5:$D$92,'1800'!A268,'Daftar Koreksi'!$G$5:$G$92,"Peralatan dan mesin",'Daftar Koreksi'!$H$5:$H$92,"&lt;0")-SUMIFS('Daftar Koreksi'!$H$5:$H$92,'Daftar Koreksi'!$D$5:$D$92,'1800'!A268,'Daftar Koreksi'!$G$5:$G$92,"Peralatan dan mesin",'Daftar Koreksi'!$H$5:$H$92,"&lt;0")</f>
        <v>0</v>
      </c>
      <c r="G273" s="17">
        <f t="shared" si="12"/>
        <v>1378829990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1379401787</v>
      </c>
      <c r="E274" s="25">
        <f>SUMIFS('Daftar Koreksi'!$H$5:$H$92,'Daftar Koreksi'!$D$5:$D$92,'1800'!A268,'Daftar Koreksi'!$G$5:$G$92,"Gedung dan Bangunan",'Daftar Koreksi'!$H$5:$H$92,"&gt;0")</f>
        <v>0</v>
      </c>
      <c r="F274" s="25">
        <f>SUMIFS('Daftar Koreksi'!$H$5:$H$92,'Daftar Koreksi'!$D$5:$D$92,'1800'!A268,'Daftar Koreksi'!$G$5:$G$92,"Gedung dan Bangunan",'Daftar Koreksi'!$H$5:$H$92,"&lt;0")-SUMIFS('Daftar Koreksi'!$H$5:$H$92,'Daftar Koreksi'!$D$5:$D$92,'1800'!A268,'Daftar Koreksi'!$G$5:$G$92,"Gedung dan Bangunan",'Daftar Koreksi'!$H$5:$H$92,"&lt;0")-SUMIFS('Daftar Koreksi'!$H$5:$H$92,'Daftar Koreksi'!$D$5:$D$92,'1800'!A268,'Daftar Koreksi'!$G$5:$G$92,"Gedung dan Bangunan",'Daftar Koreksi'!$H$5:$H$92,"&lt;0")</f>
        <v>0</v>
      </c>
      <c r="G274" s="17">
        <f t="shared" si="12"/>
        <v>1379401787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Koreksi'!$D$5:$D$92,'1800'!A268,'Daftar Koreksi'!$G$5:$G$92,"Jalan Irigasi Jaringan",'Daftar Koreksi'!$H$5:$H$92,"&gt;0")</f>
        <v>0</v>
      </c>
      <c r="F275" s="25">
        <f>SUMIFS('Daftar Koreksi'!$H$5:$H$92,'Daftar Koreksi'!$D$5:$D$92,'1800'!A268,'Daftar Koreksi'!$G$5:$G$92,"Jalan Irigasi Jaringan",'Daftar Koreksi'!$H$5:$H$92,"&lt;0")-SUMIFS('Daftar Koreksi'!$H$5:$H$92,'Daftar Koreksi'!$D$5:$D$92,'1800'!A268,'Daftar Koreksi'!$G$5:$G$92,"Jalan Irigasi Jaringan",'Daftar Koreksi'!$H$5:$H$92,"&lt;0")-SUMIFS('Daftar Koreksi'!$H$5:$H$92,'Daftar Koreksi'!$D$5:$D$92,'1800'!A268,'Daftar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4532370</v>
      </c>
      <c r="E276" s="25">
        <f>SUMIFS('Daftar Koreksi'!$H$5:$H$92,'Daftar Koreksi'!$D$5:$D$92,'1800'!A268,'Daftar Koreksi'!$G$5:$G$92,"Aset Tetap Lainnya",'Daftar Koreksi'!$H$5:$H$92,"&gt;0")</f>
        <v>0</v>
      </c>
      <c r="F276" s="25">
        <f>SUMIFS('Daftar Koreksi'!$H$5:$H$92,'Daftar Koreksi'!$D$5:$D$92,'1800'!A268,'Daftar Koreksi'!$G$5:$G$92,"Aset Tetap Lainnya",'Daftar Koreksi'!$H$5:$H$92,"&lt;0")-SUMIFS('Daftar Koreksi'!$H$5:$H$92,'Daftar Koreksi'!$D$5:$D$92,'1800'!A268,'Daftar Koreksi'!$G$5:$G$92,"Aset Tetap Lainnya",'Daftar Koreksi'!$H$5:$H$92,"&lt;0")-SUMIFS('Daftar Koreksi'!$H$5:$H$92,'Daftar Koreksi'!$D$5:$D$92,'1800'!A268,'Daftar Koreksi'!$G$5:$G$92,"Aset Tetap Lainnya",'Daftar Koreksi'!$H$5:$H$92,"&lt;0")</f>
        <v>0</v>
      </c>
      <c r="G276" s="17">
        <f t="shared" si="12"/>
        <v>4532370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Koreksi'!$D$5:$D$92,'1800'!A268,'Daftar Koreksi'!$G$5:$G$92,"Kontruksi Dalam Pengerjaan",'Daftar Koreksi'!$H$5:$H$92,"&gt;0")</f>
        <v>0</v>
      </c>
      <c r="F277" s="25">
        <f>SUMIFS('Daftar Koreksi'!$H$5:$H$92,'Daftar Koreksi'!$D$5:$D$92,'1800'!A268,'Daftar Koreksi'!$G$5:$G$92,"Kontruksi Dalam Pengerjaan",'Daftar Koreksi'!$H$5:$H$92,"&lt;0")-SUMIFS('Daftar Koreksi'!$H$5:$H$92,'Daftar Koreksi'!$D$5:$D$92,'1800'!A268,'Daftar Koreksi'!$G$5:$G$92,"Kontruksi Dalam Pengerjaan",'Daftar Koreksi'!$H$5:$H$92,"&lt;0")-SUMIFS('Daftar Koreksi'!$H$5:$H$92,'Daftar Koreksi'!$D$5:$D$92,'1800'!A268,'Daftar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26720000</v>
      </c>
      <c r="E278" s="25">
        <f>SUMIFS('Daftar Koreksi'!$H$5:$H$92,'Daftar Koreksi'!$D$5:$D$92,'1800'!A268,'Daftar Koreksi'!$G$5:$G$92,"Aset Tak Berwujud",'Daftar Koreksi'!$H$5:$H$92,"&gt;0")</f>
        <v>0</v>
      </c>
      <c r="F278" s="25">
        <f>SUMIFS('Daftar Koreksi'!$H$5:$H$92,'Daftar Koreksi'!$D$5:$D$92,'1800'!A268,'Daftar Koreksi'!$G$5:$G$92,"Aset Tak Berwujud",'Daftar Koreksi'!$H$5:$H$92,"&lt;0")-SUMIFS('Daftar Koreksi'!$H$5:$H$92,'Daftar Koreksi'!$D$5:$D$92,'1800'!A268,'Daftar Koreksi'!$G$5:$G$92,"Aset Tak Berwujud",'Daftar Koreksi'!$H$5:$H$92,"&lt;0")-SUMIFS('Daftar Koreksi'!$H$5:$H$92,'Daftar Koreksi'!$D$5:$D$92,'1800'!A268,'Daftar Koreksi'!$G$5:$G$92,"Aset Tak Berwujud",'Daftar Koreksi'!$H$5:$H$92,"&lt;0")</f>
        <v>0</v>
      </c>
      <c r="G278" s="17">
        <f t="shared" si="12"/>
        <v>26720000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Koreksi'!$D$5:$D$92,'1800'!A268,'Daftar Koreksi'!$G$5:$G$92,"Aset Henti Guna",'Daftar Koreksi'!$H$5:$H$92,"&gt;0")</f>
        <v>0</v>
      </c>
      <c r="F279" s="25">
        <f>SUMIFS('Daftar Koreksi'!$H$5:$H$92,'Daftar Koreksi'!$D$5:$D$92,'1800'!A268,'Daftar Koreksi'!$G$5:$G$92,"Aset Henti Guna",'Daftar Koreksi'!$H$5:$H$92,"&lt;0")-SUMIFS('Daftar Koreksi'!$H$5:$H$92,'Daftar Koreksi'!$D$5:$D$92,'1800'!A268,'Daftar Koreksi'!$G$5:$G$92,"Aset Henti Guna",'Daftar Koreksi'!$H$5:$H$92,"&lt;0")-SUMIFS('Daftar Koreksi'!$H$5:$H$92,'Daftar Koreksi'!$D$5:$D$92,'1800'!A268,'Daftar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3032304147</v>
      </c>
      <c r="E280" s="19">
        <f>SUM(E271:E279)</f>
        <v>0</v>
      </c>
      <c r="F280" s="19">
        <f>SUM(F271:F279)</f>
        <v>0</v>
      </c>
      <c r="G280" s="19">
        <f t="shared" si="12"/>
        <v>3032304147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-1138853036</v>
      </c>
      <c r="E281" s="25">
        <f>SUMIFS('Daftar Koreksi'!$I$5:$I$92,'Daftar Koreksi'!$D$5:$D$92,'1800'!A268,'Daftar Koreksi'!$G$5:$G$92,"Peralatan dan mesin",'Daftar Koreksi'!$I$5:$I$92,"&gt;0")</f>
        <v>0</v>
      </c>
      <c r="F281" s="25">
        <f>SUMIFS('Daftar Koreksi'!$I$5:$I$92,'Daftar Koreksi'!$D$5:$D$92,'1800'!A268,'Daftar Koreksi'!$G$5:$G$92,"Peralatan dan mesin",'Daftar Koreksi'!$I$5:$I$92,"&lt;0")-SUMIFS('Daftar Koreksi'!$I$5:$I$92,'Daftar Koreksi'!$D$5:$D$92,'1800'!A268,'Daftar Koreksi'!$G$5:$G$92,"Peralatan dan mesin",'Daftar Koreksi'!$I$5:$I$92,"&lt;0")-SUMIFS('Daftar Koreksi'!$I$5:$I$92,'Daftar Koreksi'!$D$5:$D$92,'1800'!A268,'Daftar Koreksi'!$G$5:$G$92,"Peralatan dan mesin",'Daftar Koreksi'!$I$5:$I$92,"&lt;0")</f>
        <v>0</v>
      </c>
      <c r="G281" s="17">
        <f t="shared" si="12"/>
        <v>-1138853036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-179554517</v>
      </c>
      <c r="E282" s="25">
        <f>SUMIFS('Daftar Koreksi'!$I$5:$I$92,'Daftar Koreksi'!$D$5:$D$92,'1800'!A268,'Daftar Koreksi'!$G$5:$G$92,"Gedung dan Bangunan",'Daftar Koreksi'!$I$5:$I$92,"&gt;0")</f>
        <v>0</v>
      </c>
      <c r="F282" s="25">
        <f>SUMIFS('Daftar Koreksi'!$I$5:$I$92,'Daftar Koreksi'!$D$5:$D$92,'1800'!A268,'Daftar Koreksi'!$G$5:$G$92,"Gedung dan Bangunan",'Daftar Koreksi'!$I$5:$I$92,"&lt;0")-SUMIFS('Daftar Koreksi'!$I$5:$I$92,'Daftar Koreksi'!$D$5:$D$92,'1800'!A268,'Daftar Koreksi'!$G$5:$G$92,"Gedung dan Bangunan",'Daftar Koreksi'!$I$5:$I$92,"&lt;0")-SUMIFS('Daftar Koreksi'!$I$5:$I$92,'Daftar Koreksi'!$D$5:$D$92,'1800'!A268,'Daftar Koreksi'!$G$5:$G$92,"Gedung dan Bangunan",'Daftar Koreksi'!$I$5:$I$92,"&lt;0")</f>
        <v>0</v>
      </c>
      <c r="G282" s="17">
        <f t="shared" si="12"/>
        <v>-179554517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Koreksi'!$D$5:$D$92,'1800'!A268,'Daftar Koreksi'!$G$5:$G$92,"Jalan Irigasi Jaringan",'Daftar Koreksi'!$I$5:$I$92,"&gt;0")</f>
        <v>0</v>
      </c>
      <c r="F283" s="25">
        <f>SUMIFS('Daftar Koreksi'!$I$5:$I$92,'Daftar Koreksi'!$D$5:$D$92,'1800'!A268,'Daftar Koreksi'!$G$5:$G$92,"Jalan Irigasi Jaringan",'Daftar Koreksi'!$I$5:$I$92,"&lt;0")-SUMIFS('Daftar Koreksi'!$I$5:$I$92,'Daftar Koreksi'!$D$5:$D$92,'1800'!A268,'Daftar Koreksi'!$G$5:$G$92,"Jalan Irigasi Jaringan",'Daftar Koreksi'!$I$5:$I$92,"&lt;0")-SUMIFS('Daftar Koreksi'!$I$5:$I$92,'Daftar Koreksi'!$D$5:$D$92,'1800'!A268,'Daftar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Koreksi'!$D$5:$D$92,'1800'!A268,'Daftar Koreksi'!$G$5:$G$92,"Aset Tetap Lainnya",'Daftar Koreksi'!$I$5:$I$92,"&gt;0")</f>
        <v>0</v>
      </c>
      <c r="F284" s="25">
        <f>SUMIFS('Daftar Koreksi'!$I$5:$I$92,'Daftar Koreksi'!$D$5:$D$92,'1800'!A268,'Daftar Koreksi'!$G$5:$G$92,"Aset Tetap Lainnya",'Daftar Koreksi'!$I$5:$I$92,"&lt;0")-SUMIFS('Daftar Koreksi'!$I$5:$I$92,'Daftar Koreksi'!$D$5:$D$92,'1800'!A268,'Daftar Koreksi'!$G$5:$G$92,"Aset Tetap Lainnya",'Daftar Koreksi'!$I$5:$I$92,"&lt;0")-SUMIFS('Daftar Koreksi'!$I$5:$I$92,'Daftar Koreksi'!$D$5:$D$92,'1800'!A268,'Daftar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Koreksi'!$D$5:$D$92,'1800'!A268,'Daftar Koreksi'!$G$5:$G$92,"Aset Henti Guna",'Daftar Koreksi'!$I$5:$I$92,"&gt;0")</f>
        <v>0</v>
      </c>
      <c r="F285" s="25">
        <f>SUMIFS('Daftar Koreksi'!$I$5:$I$92,'Daftar Koreksi'!$D$5:$D$92,'1800'!A268,'Daftar Koreksi'!$G$5:$G$92,"Aset Henti Guna",'Daftar Koreksi'!$I$5:$I$92,"&lt;0")-SUMIFS('Daftar Koreksi'!$I$5:$I$92,'Daftar Koreksi'!$D$5:$D$92,'1800'!A268,'Daftar Koreksi'!$G$5:$G$92,"Aset Henti Guna",'Daftar Koreksi'!$I$5:$I$92,"&lt;0")-SUMIFS('Daftar Koreksi'!$I$5:$I$92,'Daftar Koreksi'!$D$5:$D$92,'1800'!A268,'Daftar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-1318407553</v>
      </c>
      <c r="E286" s="19">
        <f>SUM(E281:E285)</f>
        <v>0</v>
      </c>
      <c r="F286" s="19">
        <f>SUM(F281:F285)</f>
        <v>0</v>
      </c>
      <c r="G286" s="19">
        <f t="shared" si="12"/>
        <v>-1318407553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1713896594</v>
      </c>
      <c r="E287" s="19">
        <f>E286+E280</f>
        <v>0</v>
      </c>
      <c r="F287" s="19">
        <f>F286+F280</f>
        <v>0</v>
      </c>
      <c r="G287" s="19">
        <f t="shared" si="12"/>
        <v>1713896594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005011800652102000KD</v>
      </c>
      <c r="B290" s="11" t="str">
        <f>P14</f>
        <v>PA. Buol</v>
      </c>
      <c r="C290" s="12" t="str">
        <f>A290&amp;" "&amp;B290</f>
        <v>005011800652102000KD PA. Buol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442000</v>
      </c>
      <c r="E293" s="25">
        <f>SUMIFS('Daftar Koreksi'!$H$5:$H$92,'Daftar Koreksi'!$D$5:$D$92,'1800'!A290,'Daftar Koreksi'!$G$5:$G$92,"Persediaan",'Daftar Koreksi'!$H$5:$H$92,"&gt;0")</f>
        <v>0</v>
      </c>
      <c r="F293" s="25">
        <f>SUMIFS('Daftar Koreksi'!$H$5:$H$92,'Daftar Koreksi'!$D$5:$D$92,'1800'!A290,'Daftar Koreksi'!$G$5:$G$92,"Persediaan",'Daftar Koreksi'!$H$5:$H$92,"&lt;0")-SUMIFS('Daftar Koreksi'!$H$5:$H$92,'Daftar Koreksi'!$D$5:$D$92,'1800'!A290,'Daftar Koreksi'!$G$5:$G$92,"Persediaan",'Daftar Koreksi'!$H$5:$H$92,"&lt;0")-SUMIFS('Daftar Koreksi'!$H$5:$H$92,'Daftar Koreksi'!$D$5:$D$92,'1800'!A290,'Daftar Koreksi'!$G$5:$G$92,"Persediaan",'Daftar Koreksi'!$H$5:$H$92,"&lt;0")</f>
        <v>0</v>
      </c>
      <c r="G293" s="17">
        <f>D293+E293-F293</f>
        <v>442000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925312037</v>
      </c>
      <c r="E294" s="25">
        <f>SUMIFS('Daftar Koreksi'!$H$5:$H$92,'Daftar Koreksi'!$D$5:$D$92,'1800'!A290,'Daftar Koreksi'!$G$5:$G$92,"Tanah",'Daftar Koreksi'!$H$5:$H$92,"&gt;0")</f>
        <v>0</v>
      </c>
      <c r="F294" s="25">
        <f>SUMIFS('Daftar Koreksi'!$H$5:$H$92,'Daftar Koreksi'!$D$5:$D$92,'1800'!A290,'Daftar Koreksi'!$G$5:$G$92,"Tanah",'Daftar Koreksi'!$H$5:$H$92,"&lt;0")-SUMIFS('Daftar Koreksi'!$H$5:$H$92,'Daftar Koreksi'!$D$5:$D$92,'1800'!A290,'Daftar Koreksi'!$G$5:$G$92,"Tanah",'Daftar Koreksi'!$H$5:$H$92,"&lt;0")-SUMIFS('Daftar Koreksi'!$H$5:$H$92,'Daftar Koreksi'!$D$5:$D$92,'1800'!A290,'Daftar Koreksi'!$G$5:$G$92,"Tanah",'Daftar Koreksi'!$H$5:$H$92,"&lt;0")</f>
        <v>0</v>
      </c>
      <c r="G294" s="17">
        <f t="shared" ref="G294:G310" si="13">D294+E294-F294</f>
        <v>925312037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824066804</v>
      </c>
      <c r="E295" s="25">
        <f>SUMIFS('Daftar Koreksi'!$H$5:$H$92,'Daftar Koreksi'!$D$5:$D$92,'1800'!A290,'Daftar Koreksi'!$G$5:$G$92,"Peralatan dan mesin",'Daftar Koreksi'!$H$5:$H$92,"&gt;0")</f>
        <v>0</v>
      </c>
      <c r="F295" s="25">
        <f>SUMIFS('Daftar Koreksi'!$H$5:$H$92,'Daftar Koreksi'!$D$5:$D$92,'1800'!A290,'Daftar Koreksi'!$G$5:$G$92,"Peralatan dan mesin",'Daftar Koreksi'!$H$5:$H$92,"&lt;0")-SUMIFS('Daftar Koreksi'!$H$5:$H$92,'Daftar Koreksi'!$D$5:$D$92,'1800'!A290,'Daftar Koreksi'!$G$5:$G$92,"Peralatan dan mesin",'Daftar Koreksi'!$H$5:$H$92,"&lt;0")-SUMIFS('Daftar Koreksi'!$H$5:$H$92,'Daftar Koreksi'!$D$5:$D$92,'1800'!A290,'Daftar Koreksi'!$G$5:$G$92,"Peralatan dan mesin",'Daftar Koreksi'!$H$5:$H$92,"&lt;0")</f>
        <v>0</v>
      </c>
      <c r="G295" s="17">
        <f t="shared" si="13"/>
        <v>824066804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2230781800</v>
      </c>
      <c r="E296" s="25">
        <f>SUMIFS('Daftar Koreksi'!$H$5:$H$92,'Daftar Koreksi'!$D$5:$D$92,'1800'!A290,'Daftar Koreksi'!$G$5:$G$92,"Gedung dan Bangunan",'Daftar Koreksi'!$H$5:$H$92,"&gt;0")</f>
        <v>0</v>
      </c>
      <c r="F296" s="25">
        <f>SUMIFS('Daftar Koreksi'!$H$5:$H$92,'Daftar Koreksi'!$D$5:$D$92,'1800'!A290,'Daftar Koreksi'!$G$5:$G$92,"Gedung dan Bangunan",'Daftar Koreksi'!$H$5:$H$92,"&lt;0")-SUMIFS('Daftar Koreksi'!$H$5:$H$92,'Daftar Koreksi'!$D$5:$D$92,'1800'!A290,'Daftar Koreksi'!$G$5:$G$92,"Gedung dan Bangunan",'Daftar Koreksi'!$H$5:$H$92,"&lt;0")-SUMIFS('Daftar Koreksi'!$H$5:$H$92,'Daftar Koreksi'!$D$5:$D$92,'1800'!A290,'Daftar Koreksi'!$G$5:$G$92,"Gedung dan Bangunan",'Daftar Koreksi'!$H$5:$H$92,"&lt;0")</f>
        <v>0</v>
      </c>
      <c r="G296" s="17">
        <f t="shared" si="13"/>
        <v>2230781800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Koreksi'!$D$5:$D$92,'1800'!A290,'Daftar Koreksi'!$G$5:$G$92,"Jalan Irigasi Jaringan",'Daftar Koreksi'!$H$5:$H$92,"&gt;0")</f>
        <v>0</v>
      </c>
      <c r="F297" s="25">
        <f>SUMIFS('Daftar Koreksi'!$H$5:$H$92,'Daftar Koreksi'!$D$5:$D$92,'1800'!A290,'Daftar Koreksi'!$G$5:$G$92,"Jalan Irigasi Jaringan",'Daftar Koreksi'!$H$5:$H$92,"&lt;0")-SUMIFS('Daftar Koreksi'!$H$5:$H$92,'Daftar Koreksi'!$D$5:$D$92,'1800'!A290,'Daftar Koreksi'!$G$5:$G$92,"Jalan Irigasi Jaringan",'Daftar Koreksi'!$H$5:$H$92,"&lt;0")-SUMIFS('Daftar Koreksi'!$H$5:$H$92,'Daftar Koreksi'!$D$5:$D$92,'1800'!A290,'Daftar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408000</v>
      </c>
      <c r="E298" s="25">
        <f>SUMIFS('Daftar Koreksi'!$H$5:$H$92,'Daftar Koreksi'!$D$5:$D$92,'1800'!A290,'Daftar Koreksi'!$G$5:$G$92,"Aset Tetap Lainnya",'Daftar Koreksi'!$H$5:$H$92,"&gt;0")</f>
        <v>0</v>
      </c>
      <c r="F298" s="25">
        <f>SUMIFS('Daftar Koreksi'!$H$5:$H$92,'Daftar Koreksi'!$D$5:$D$92,'1800'!A290,'Daftar Koreksi'!$G$5:$G$92,"Aset Tetap Lainnya",'Daftar Koreksi'!$H$5:$H$92,"&lt;0")-SUMIFS('Daftar Koreksi'!$H$5:$H$92,'Daftar Koreksi'!$D$5:$D$92,'1800'!A290,'Daftar Koreksi'!$G$5:$G$92,"Aset Tetap Lainnya",'Daftar Koreksi'!$H$5:$H$92,"&lt;0")-SUMIFS('Daftar Koreksi'!$H$5:$H$92,'Daftar Koreksi'!$D$5:$D$92,'1800'!A290,'Daftar Koreksi'!$G$5:$G$92,"Aset Tetap Lainnya",'Daftar Koreksi'!$H$5:$H$92,"&lt;0")</f>
        <v>0</v>
      </c>
      <c r="G298" s="17">
        <f t="shared" si="13"/>
        <v>408000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Koreksi'!$D$5:$D$92,'1800'!A290,'Daftar Koreksi'!$G$5:$G$92,"Kontruksi Dalam Pengerjaan",'Daftar Koreksi'!$H$5:$H$92,"&gt;0")</f>
        <v>0</v>
      </c>
      <c r="F299" s="25">
        <f>SUMIFS('Daftar Koreksi'!$H$5:$H$92,'Daftar Koreksi'!$D$5:$D$92,'1800'!A290,'Daftar Koreksi'!$G$5:$G$92,"Kontruksi Dalam Pengerjaan",'Daftar Koreksi'!$H$5:$H$92,"&lt;0")-SUMIFS('Daftar Koreksi'!$H$5:$H$92,'Daftar Koreksi'!$D$5:$D$92,'1800'!A290,'Daftar Koreksi'!$G$5:$G$92,"Kontruksi Dalam Pengerjaan",'Daftar Koreksi'!$H$5:$H$92,"&lt;0")-SUMIFS('Daftar Koreksi'!$H$5:$H$92,'Daftar Koreksi'!$D$5:$D$92,'1800'!A290,'Daftar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3850000</v>
      </c>
      <c r="E300" s="25">
        <f>SUMIFS('Daftar Koreksi'!$H$5:$H$92,'Daftar Koreksi'!$D$5:$D$92,'1800'!A290,'Daftar Koreksi'!$G$5:$G$92,"Aset Tak Berwujud",'Daftar Koreksi'!$H$5:$H$92,"&gt;0")</f>
        <v>0</v>
      </c>
      <c r="F300" s="25">
        <f>SUMIFS('Daftar Koreksi'!$H$5:$H$92,'Daftar Koreksi'!$D$5:$D$92,'1800'!A290,'Daftar Koreksi'!$G$5:$G$92,"Aset Tak Berwujud",'Daftar Koreksi'!$H$5:$H$92,"&lt;0")-SUMIFS('Daftar Koreksi'!$H$5:$H$92,'Daftar Koreksi'!$D$5:$D$92,'1800'!A290,'Daftar Koreksi'!$G$5:$G$92,"Aset Tak Berwujud",'Daftar Koreksi'!$H$5:$H$92,"&lt;0")-SUMIFS('Daftar Koreksi'!$H$5:$H$92,'Daftar Koreksi'!$D$5:$D$92,'1800'!A290,'Daftar Koreksi'!$G$5:$G$92,"Aset Tak Berwujud",'Daftar Koreksi'!$H$5:$H$92,"&lt;0")</f>
        <v>0</v>
      </c>
      <c r="G300" s="17">
        <f t="shared" si="13"/>
        <v>3850000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54918998</v>
      </c>
      <c r="E301" s="25">
        <f>SUMIFS('Daftar Koreksi'!$H$5:$H$92,'Daftar Koreksi'!$D$5:$D$92,'1800'!A290,'Daftar Koreksi'!$G$5:$G$92,"Aset Henti Guna",'Daftar Koreksi'!$H$5:$H$92,"&gt;0")</f>
        <v>0</v>
      </c>
      <c r="F301" s="25">
        <f>SUMIFS('Daftar Koreksi'!$H$5:$H$92,'Daftar Koreksi'!$D$5:$D$92,'1800'!A290,'Daftar Koreksi'!$G$5:$G$92,"Aset Henti Guna",'Daftar Koreksi'!$H$5:$H$92,"&lt;0")-SUMIFS('Daftar Koreksi'!$H$5:$H$92,'Daftar Koreksi'!$D$5:$D$92,'1800'!A290,'Daftar Koreksi'!$G$5:$G$92,"Aset Henti Guna",'Daftar Koreksi'!$H$5:$H$92,"&lt;0")-SUMIFS('Daftar Koreksi'!$H$5:$H$92,'Daftar Koreksi'!$D$5:$D$92,'1800'!A290,'Daftar Koreksi'!$G$5:$G$92,"Aset Henti Guna",'Daftar Koreksi'!$H$5:$H$92,"&lt;0")</f>
        <v>0</v>
      </c>
      <c r="G301" s="17">
        <f t="shared" si="13"/>
        <v>54918998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4039779639</v>
      </c>
      <c r="E302" s="19">
        <f>SUM(E293:E301)</f>
        <v>0</v>
      </c>
      <c r="F302" s="19">
        <f>SUM(F293:F301)</f>
        <v>0</v>
      </c>
      <c r="G302" s="19">
        <f t="shared" si="13"/>
        <v>4039779639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-674816084</v>
      </c>
      <c r="E303" s="25">
        <f>SUMIFS('Daftar Koreksi'!$I$5:$I$92,'Daftar Koreksi'!$D$5:$D$92,'1800'!A290,'Daftar Koreksi'!$G$5:$G$92,"Peralatan dan mesin",'Daftar Koreksi'!$I$5:$I$92,"&gt;0")</f>
        <v>0</v>
      </c>
      <c r="F303" s="25">
        <f>SUMIFS('Daftar Koreksi'!$I$5:$I$92,'Daftar Koreksi'!$D$5:$D$92,'1800'!A290,'Daftar Koreksi'!$G$5:$G$92,"Peralatan dan mesin",'Daftar Koreksi'!$I$5:$I$92,"&lt;0")-SUMIFS('Daftar Koreksi'!$I$5:$I$92,'Daftar Koreksi'!$D$5:$D$92,'1800'!A290,'Daftar Koreksi'!$G$5:$G$92,"Peralatan dan mesin",'Daftar Koreksi'!$I$5:$I$92,"&lt;0")-SUMIFS('Daftar Koreksi'!$I$5:$I$92,'Daftar Koreksi'!$D$5:$D$92,'1800'!A290,'Daftar Koreksi'!$G$5:$G$92,"Peralatan dan mesin",'Daftar Koreksi'!$I$5:$I$92,"&lt;0")</f>
        <v>0</v>
      </c>
      <c r="G303" s="17">
        <f t="shared" si="13"/>
        <v>-674816084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-388190426</v>
      </c>
      <c r="E304" s="25">
        <f>SUMIFS('Daftar Koreksi'!$I$5:$I$92,'Daftar Koreksi'!$D$5:$D$92,'1800'!A290,'Daftar Koreksi'!$G$5:$G$92,"Gedung dan Bangunan",'Daftar Koreksi'!$I$5:$I$92,"&gt;0")</f>
        <v>0</v>
      </c>
      <c r="F304" s="25">
        <f>SUMIFS('Daftar Koreksi'!$I$5:$I$92,'Daftar Koreksi'!$D$5:$D$92,'1800'!A290,'Daftar Koreksi'!$G$5:$G$92,"Gedung dan Bangunan",'Daftar Koreksi'!$I$5:$I$92,"&lt;0")-SUMIFS('Daftar Koreksi'!$I$5:$I$92,'Daftar Koreksi'!$D$5:$D$92,'1800'!A290,'Daftar Koreksi'!$G$5:$G$92,"Gedung dan Bangunan",'Daftar Koreksi'!$I$5:$I$92,"&lt;0")-SUMIFS('Daftar Koreksi'!$I$5:$I$92,'Daftar Koreksi'!$D$5:$D$92,'1800'!A290,'Daftar Koreksi'!$G$5:$G$92,"Gedung dan Bangunan",'Daftar Koreksi'!$I$5:$I$92,"&lt;0")</f>
        <v>0</v>
      </c>
      <c r="G304" s="17">
        <f t="shared" si="13"/>
        <v>-388190426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Koreksi'!$D$5:$D$92,'1800'!A290,'Daftar Koreksi'!$G$5:$G$92,"Jalan Irigasi Jaringan",'Daftar Koreksi'!$I$5:$I$92,"&gt;0")</f>
        <v>0</v>
      </c>
      <c r="F305" s="25">
        <f>SUMIFS('Daftar Koreksi'!$I$5:$I$92,'Daftar Koreksi'!$D$5:$D$92,'1800'!A290,'Daftar Koreksi'!$G$5:$G$92,"Jalan Irigasi Jaringan",'Daftar Koreksi'!$I$5:$I$92,"&lt;0")-SUMIFS('Daftar Koreksi'!$I$5:$I$92,'Daftar Koreksi'!$D$5:$D$92,'1800'!A290,'Daftar Koreksi'!$G$5:$G$92,"Jalan Irigasi Jaringan",'Daftar Koreksi'!$I$5:$I$92,"&lt;0")-SUMIFS('Daftar Koreksi'!$I$5:$I$92,'Daftar Koreksi'!$D$5:$D$92,'1800'!A290,'Daftar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Koreksi'!$D$5:$D$92,'1800'!A290,'Daftar Koreksi'!$G$5:$G$92,"Aset Tetap Lainnya",'Daftar Koreksi'!$I$5:$I$92,"&gt;0")</f>
        <v>0</v>
      </c>
      <c r="F306" s="25">
        <f>SUMIFS('Daftar Koreksi'!$I$5:$I$92,'Daftar Koreksi'!$D$5:$D$92,'1800'!A290,'Daftar Koreksi'!$G$5:$G$92,"Aset Tetap Lainnya",'Daftar Koreksi'!$I$5:$I$92,"&lt;0")-SUMIFS('Daftar Koreksi'!$I$5:$I$92,'Daftar Koreksi'!$D$5:$D$92,'1800'!A290,'Daftar Koreksi'!$G$5:$G$92,"Aset Tetap Lainnya",'Daftar Koreksi'!$I$5:$I$92,"&lt;0")-SUMIFS('Daftar Koreksi'!$I$5:$I$92,'Daftar Koreksi'!$D$5:$D$92,'1800'!A290,'Daftar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-54823998</v>
      </c>
      <c r="E307" s="25">
        <f>SUMIFS('Daftar Koreksi'!$I$5:$I$92,'Daftar Koreksi'!$D$5:$D$92,'1800'!A290,'Daftar Koreksi'!$G$5:$G$92,"Aset Henti Guna",'Daftar Koreksi'!$I$5:$I$92,"&gt;0")</f>
        <v>0</v>
      </c>
      <c r="F307" s="25">
        <f>SUMIFS('Daftar Koreksi'!$I$5:$I$92,'Daftar Koreksi'!$D$5:$D$92,'1800'!A290,'Daftar Koreksi'!$G$5:$G$92,"Aset Henti Guna",'Daftar Koreksi'!$I$5:$I$92,"&lt;0")-SUMIFS('Daftar Koreksi'!$I$5:$I$92,'Daftar Koreksi'!$D$5:$D$92,'1800'!A290,'Daftar Koreksi'!$G$5:$G$92,"Aset Henti Guna",'Daftar Koreksi'!$I$5:$I$92,"&lt;0")-SUMIFS('Daftar Koreksi'!$I$5:$I$92,'Daftar Koreksi'!$D$5:$D$92,'1800'!A290,'Daftar Koreksi'!$G$5:$G$92,"Aset Henti Guna",'Daftar Koreksi'!$I$5:$I$92,"&lt;0")</f>
        <v>0</v>
      </c>
      <c r="G307" s="17">
        <f t="shared" si="13"/>
        <v>-54823998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-1117830508</v>
      </c>
      <c r="E308" s="19">
        <f>SUM(E303:E307)</f>
        <v>0</v>
      </c>
      <c r="F308" s="19">
        <f>SUM(F303:F307)</f>
        <v>0</v>
      </c>
      <c r="G308" s="19">
        <f t="shared" si="13"/>
        <v>-1117830508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2921949131</v>
      </c>
      <c r="E309" s="19">
        <f>E308+E302</f>
        <v>0</v>
      </c>
      <c r="F309" s="19">
        <f>F308+F302</f>
        <v>0</v>
      </c>
      <c r="G309" s="19">
        <f t="shared" si="13"/>
        <v>2921949131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005011800652119000KD</v>
      </c>
      <c r="B312" s="11" t="str">
        <f>P15</f>
        <v>PA. Bungku</v>
      </c>
      <c r="C312" s="12" t="str">
        <f>A312&amp;" "&amp;B312</f>
        <v>005011800652119000KD PA. Bungku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0</v>
      </c>
      <c r="E315" s="25">
        <f>SUMIFS('Daftar Koreksi'!$H$5:$H$92,'Daftar Koreksi'!$D$5:$D$92,'1800'!A312,'Daftar Koreksi'!$G$5:$G$92,"Persediaan",'Daftar Koreksi'!$H$5:$H$92,"&gt;0")</f>
        <v>0</v>
      </c>
      <c r="F315" s="25">
        <f>SUMIFS('Daftar Koreksi'!$H$5:$H$92,'Daftar Koreksi'!$D$5:$D$92,'1800'!A312,'Daftar Koreksi'!$G$5:$G$92,"Persediaan",'Daftar Koreksi'!$H$5:$H$92,"&lt;0")-SUMIFS('Daftar Koreksi'!$H$5:$H$92,'Daftar Koreksi'!$D$5:$D$92,'1800'!A312,'Daftar Koreksi'!$G$5:$G$92,"Persediaan",'Daftar Koreksi'!$H$5:$H$92,"&lt;0")-SUMIFS('Daftar Koreksi'!$H$5:$H$92,'Daftar Koreksi'!$D$5:$D$92,'1800'!A312,'Daftar Koreksi'!$G$5:$G$92,"Persediaan",'Daftar Koreksi'!$H$5:$H$92,"&lt;0")</f>
        <v>0</v>
      </c>
      <c r="G315" s="17">
        <f>D315+E315-F315</f>
        <v>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304000000</v>
      </c>
      <c r="E316" s="25">
        <f>SUMIFS('Daftar Koreksi'!$H$5:$H$92,'Daftar Koreksi'!$D$5:$D$92,'1800'!A312,'Daftar Koreksi'!$G$5:$G$92,"Tanah",'Daftar Koreksi'!$H$5:$H$92,"&gt;0")</f>
        <v>0</v>
      </c>
      <c r="F316" s="25">
        <f>SUMIFS('Daftar Koreksi'!$H$5:$H$92,'Daftar Koreksi'!$D$5:$D$92,'1800'!A312,'Daftar Koreksi'!$G$5:$G$92,"Tanah",'Daftar Koreksi'!$H$5:$H$92,"&lt;0")-SUMIFS('Daftar Koreksi'!$H$5:$H$92,'Daftar Koreksi'!$D$5:$D$92,'1800'!A312,'Daftar Koreksi'!$G$5:$G$92,"Tanah",'Daftar Koreksi'!$H$5:$H$92,"&lt;0")-SUMIFS('Daftar Koreksi'!$H$5:$H$92,'Daftar Koreksi'!$D$5:$D$92,'1800'!A312,'Daftar Koreksi'!$G$5:$G$92,"Tanah",'Daftar Koreksi'!$H$5:$H$92,"&lt;0")</f>
        <v>0</v>
      </c>
      <c r="G316" s="17">
        <f t="shared" ref="G316:G332" si="14">D316+E316-F316</f>
        <v>304000000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905889257</v>
      </c>
      <c r="E317" s="25">
        <f>SUMIFS('Daftar Koreksi'!$H$5:$H$92,'Daftar Koreksi'!$D$5:$D$92,'1800'!A312,'Daftar Koreksi'!$G$5:$G$92,"Peralatan dan mesin",'Daftar Koreksi'!$H$5:$H$92,"&gt;0")</f>
        <v>0</v>
      </c>
      <c r="F317" s="25">
        <f>SUMIFS('Daftar Koreksi'!$H$5:$H$92,'Daftar Koreksi'!$D$5:$D$92,'1800'!A312,'Daftar Koreksi'!$G$5:$G$92,"Peralatan dan mesin",'Daftar Koreksi'!$H$5:$H$92,"&lt;0")-SUMIFS('Daftar Koreksi'!$H$5:$H$92,'Daftar Koreksi'!$D$5:$D$92,'1800'!A312,'Daftar Koreksi'!$G$5:$G$92,"Peralatan dan mesin",'Daftar Koreksi'!$H$5:$H$92,"&lt;0")-SUMIFS('Daftar Koreksi'!$H$5:$H$92,'Daftar Koreksi'!$D$5:$D$92,'1800'!A312,'Daftar Koreksi'!$G$5:$G$92,"Peralatan dan mesin",'Daftar Koreksi'!$H$5:$H$92,"&lt;0")</f>
        <v>0</v>
      </c>
      <c r="G317" s="17">
        <f t="shared" si="14"/>
        <v>905889257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1851298000</v>
      </c>
      <c r="E318" s="25">
        <f>SUMIFS('Daftar Koreksi'!$H$5:$H$92,'Daftar Koreksi'!$D$5:$D$92,'1800'!A312,'Daftar Koreksi'!$G$5:$G$92,"Gedung dan Bangunan",'Daftar Koreksi'!$H$5:$H$92,"&gt;0")</f>
        <v>0</v>
      </c>
      <c r="F318" s="25">
        <f>SUMIFS('Daftar Koreksi'!$H$5:$H$92,'Daftar Koreksi'!$D$5:$D$92,'1800'!A312,'Daftar Koreksi'!$G$5:$G$92,"Gedung dan Bangunan",'Daftar Koreksi'!$H$5:$H$92,"&lt;0")-SUMIFS('Daftar Koreksi'!$H$5:$H$92,'Daftar Koreksi'!$D$5:$D$92,'1800'!A312,'Daftar Koreksi'!$G$5:$G$92,"Gedung dan Bangunan",'Daftar Koreksi'!$H$5:$H$92,"&lt;0")-SUMIFS('Daftar Koreksi'!$H$5:$H$92,'Daftar Koreksi'!$D$5:$D$92,'1800'!A312,'Daftar Koreksi'!$G$5:$G$92,"Gedung dan Bangunan",'Daftar Koreksi'!$H$5:$H$92,"&lt;0")</f>
        <v>0</v>
      </c>
      <c r="G318" s="17">
        <f t="shared" si="14"/>
        <v>1851298000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Koreksi'!$D$5:$D$92,'1800'!A312,'Daftar Koreksi'!$G$5:$G$92,"Jalan Irigasi Jaringan",'Daftar Koreksi'!$H$5:$H$92,"&gt;0")</f>
        <v>0</v>
      </c>
      <c r="F319" s="25">
        <f>SUMIFS('Daftar Koreksi'!$H$5:$H$92,'Daftar Koreksi'!$D$5:$D$92,'1800'!A312,'Daftar Koreksi'!$G$5:$G$92,"Jalan Irigasi Jaringan",'Daftar Koreksi'!$H$5:$H$92,"&lt;0")-SUMIFS('Daftar Koreksi'!$H$5:$H$92,'Daftar Koreksi'!$D$5:$D$92,'1800'!A312,'Daftar Koreksi'!$G$5:$G$92,"Jalan Irigasi Jaringan",'Daftar Koreksi'!$H$5:$H$92,"&lt;0")-SUMIFS('Daftar Koreksi'!$H$5:$H$92,'Daftar Koreksi'!$D$5:$D$92,'1800'!A312,'Daftar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24241970</v>
      </c>
      <c r="E320" s="25">
        <f>SUMIFS('Daftar Koreksi'!$H$5:$H$92,'Daftar Koreksi'!$D$5:$D$92,'1800'!A312,'Daftar Koreksi'!$G$5:$G$92,"Aset Tetap Lainnya",'Daftar Koreksi'!$H$5:$H$92,"&gt;0")</f>
        <v>0</v>
      </c>
      <c r="F320" s="25">
        <f>SUMIFS('Daftar Koreksi'!$H$5:$H$92,'Daftar Koreksi'!$D$5:$D$92,'1800'!A312,'Daftar Koreksi'!$G$5:$G$92,"Aset Tetap Lainnya",'Daftar Koreksi'!$H$5:$H$92,"&lt;0")-SUMIFS('Daftar Koreksi'!$H$5:$H$92,'Daftar Koreksi'!$D$5:$D$92,'1800'!A312,'Daftar Koreksi'!$G$5:$G$92,"Aset Tetap Lainnya",'Daftar Koreksi'!$H$5:$H$92,"&lt;0")-SUMIFS('Daftar Koreksi'!$H$5:$H$92,'Daftar Koreksi'!$D$5:$D$92,'1800'!A312,'Daftar Koreksi'!$G$5:$G$92,"Aset Tetap Lainnya",'Daftar Koreksi'!$H$5:$H$92,"&lt;0")</f>
        <v>0</v>
      </c>
      <c r="G320" s="17">
        <f t="shared" si="14"/>
        <v>24241970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Koreksi'!$D$5:$D$92,'1800'!A312,'Daftar Koreksi'!$G$5:$G$92,"Kontruksi Dalam Pengerjaan",'Daftar Koreksi'!$H$5:$H$92,"&gt;0")</f>
        <v>0</v>
      </c>
      <c r="F321" s="25">
        <f>SUMIFS('Daftar Koreksi'!$H$5:$H$92,'Daftar Koreksi'!$D$5:$D$92,'1800'!A312,'Daftar Koreksi'!$G$5:$G$92,"Kontruksi Dalam Pengerjaan",'Daftar Koreksi'!$H$5:$H$92,"&lt;0")-SUMIFS('Daftar Koreksi'!$H$5:$H$92,'Daftar Koreksi'!$D$5:$D$92,'1800'!A312,'Daftar Koreksi'!$G$5:$G$92,"Kontruksi Dalam Pengerjaan",'Daftar Koreksi'!$H$5:$H$92,"&lt;0")-SUMIFS('Daftar Koreksi'!$H$5:$H$92,'Daftar Koreksi'!$D$5:$D$92,'1800'!A312,'Daftar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16900000</v>
      </c>
      <c r="E322" s="25">
        <f>SUMIFS('Daftar Koreksi'!$H$5:$H$92,'Daftar Koreksi'!$D$5:$D$92,'1800'!A312,'Daftar Koreksi'!$G$5:$G$92,"Aset Tak Berwujud",'Daftar Koreksi'!$H$5:$H$92,"&gt;0")</f>
        <v>0</v>
      </c>
      <c r="F322" s="25">
        <f>SUMIFS('Daftar Koreksi'!$H$5:$H$92,'Daftar Koreksi'!$D$5:$D$92,'1800'!A312,'Daftar Koreksi'!$G$5:$G$92,"Aset Tak Berwujud",'Daftar Koreksi'!$H$5:$H$92,"&lt;0")-SUMIFS('Daftar Koreksi'!$H$5:$H$92,'Daftar Koreksi'!$D$5:$D$92,'1800'!A312,'Daftar Koreksi'!$G$5:$G$92,"Aset Tak Berwujud",'Daftar Koreksi'!$H$5:$H$92,"&lt;0")-SUMIFS('Daftar Koreksi'!$H$5:$H$92,'Daftar Koreksi'!$D$5:$D$92,'1800'!A312,'Daftar Koreksi'!$G$5:$G$92,"Aset Tak Berwujud",'Daftar Koreksi'!$H$5:$H$92,"&lt;0")</f>
        <v>0</v>
      </c>
      <c r="G322" s="17">
        <f t="shared" si="14"/>
        <v>16900000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124673960</v>
      </c>
      <c r="E323" s="25">
        <f>SUMIFS('Daftar Koreksi'!$H$5:$H$92,'Daftar Koreksi'!$D$5:$D$92,'1800'!A312,'Daftar Koreksi'!$G$5:$G$92,"Aset Henti Guna",'Daftar Koreksi'!$H$5:$H$92,"&gt;0")</f>
        <v>0</v>
      </c>
      <c r="F323" s="25">
        <f>SUMIFS('Daftar Koreksi'!$H$5:$H$92,'Daftar Koreksi'!$D$5:$D$92,'1800'!A312,'Daftar Koreksi'!$G$5:$G$92,"Aset Henti Guna",'Daftar Koreksi'!$H$5:$H$92,"&lt;0")-SUMIFS('Daftar Koreksi'!$H$5:$H$92,'Daftar Koreksi'!$D$5:$D$92,'1800'!A312,'Daftar Koreksi'!$G$5:$G$92,"Aset Henti Guna",'Daftar Koreksi'!$H$5:$H$92,"&lt;0")-SUMIFS('Daftar Koreksi'!$H$5:$H$92,'Daftar Koreksi'!$D$5:$D$92,'1800'!A312,'Daftar Koreksi'!$G$5:$G$92,"Aset Henti Guna",'Daftar Koreksi'!$H$5:$H$92,"&lt;0")</f>
        <v>0</v>
      </c>
      <c r="G323" s="17">
        <f t="shared" si="14"/>
        <v>124673960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3227003187</v>
      </c>
      <c r="E324" s="19">
        <f>SUM(E315:E323)</f>
        <v>0</v>
      </c>
      <c r="F324" s="19">
        <f>SUM(F315:F323)</f>
        <v>0</v>
      </c>
      <c r="G324" s="19">
        <f t="shared" si="14"/>
        <v>3227003187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-758141211</v>
      </c>
      <c r="E325" s="25">
        <f>SUMIFS('Daftar Koreksi'!$I$5:$I$92,'Daftar Koreksi'!$D$5:$D$92,'1800'!A312,'Daftar Koreksi'!$G$5:$G$92,"Peralatan dan mesin",'Daftar Koreksi'!$I$5:$I$92,"&gt;0")</f>
        <v>0</v>
      </c>
      <c r="F325" s="25">
        <f>SUMIFS('Daftar Koreksi'!$I$5:$I$92,'Daftar Koreksi'!$D$5:$D$92,'1800'!A312,'Daftar Koreksi'!$G$5:$G$92,"Peralatan dan mesin",'Daftar Koreksi'!$I$5:$I$92,"&lt;0")-SUMIFS('Daftar Koreksi'!$I$5:$I$92,'Daftar Koreksi'!$D$5:$D$92,'1800'!A312,'Daftar Koreksi'!$G$5:$G$92,"Peralatan dan mesin",'Daftar Koreksi'!$I$5:$I$92,"&lt;0")-SUMIFS('Daftar Koreksi'!$I$5:$I$92,'Daftar Koreksi'!$D$5:$D$92,'1800'!A312,'Daftar Koreksi'!$G$5:$G$92,"Peralatan dan mesin",'Daftar Koreksi'!$I$5:$I$92,"&lt;0")</f>
        <v>0</v>
      </c>
      <c r="G325" s="17">
        <f t="shared" si="14"/>
        <v>-758141211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-294164430</v>
      </c>
      <c r="E326" s="25">
        <f>SUMIFS('Daftar Koreksi'!$I$5:$I$92,'Daftar Koreksi'!$D$5:$D$92,'1800'!A312,'Daftar Koreksi'!$G$5:$G$92,"Gedung dan Bangunan",'Daftar Koreksi'!$I$5:$I$92,"&gt;0")</f>
        <v>0</v>
      </c>
      <c r="F326" s="25">
        <f>SUMIFS('Daftar Koreksi'!$I$5:$I$92,'Daftar Koreksi'!$D$5:$D$92,'1800'!A312,'Daftar Koreksi'!$G$5:$G$92,"Gedung dan Bangunan",'Daftar Koreksi'!$I$5:$I$92,"&lt;0")-SUMIFS('Daftar Koreksi'!$I$5:$I$92,'Daftar Koreksi'!$D$5:$D$92,'1800'!A312,'Daftar Koreksi'!$G$5:$G$92,"Gedung dan Bangunan",'Daftar Koreksi'!$I$5:$I$92,"&lt;0")-SUMIFS('Daftar Koreksi'!$I$5:$I$92,'Daftar Koreksi'!$D$5:$D$92,'1800'!A312,'Daftar Koreksi'!$G$5:$G$92,"Gedung dan Bangunan",'Daftar Koreksi'!$I$5:$I$92,"&lt;0")</f>
        <v>0</v>
      </c>
      <c r="G326" s="17">
        <f t="shared" si="14"/>
        <v>-294164430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Koreksi'!$D$5:$D$92,'1800'!A312,'Daftar Koreksi'!$G$5:$G$92,"Jalan Irigasi Jaringan",'Daftar Koreksi'!$I$5:$I$92,"&gt;0")</f>
        <v>0</v>
      </c>
      <c r="F327" s="25">
        <f>SUMIFS('Daftar Koreksi'!$I$5:$I$92,'Daftar Koreksi'!$D$5:$D$92,'1800'!A312,'Daftar Koreksi'!$G$5:$G$92,"Jalan Irigasi Jaringan",'Daftar Koreksi'!$I$5:$I$92,"&lt;0")-SUMIFS('Daftar Koreksi'!$I$5:$I$92,'Daftar Koreksi'!$D$5:$D$92,'1800'!A312,'Daftar Koreksi'!$G$5:$G$92,"Jalan Irigasi Jaringan",'Daftar Koreksi'!$I$5:$I$92,"&lt;0")-SUMIFS('Daftar Koreksi'!$I$5:$I$92,'Daftar Koreksi'!$D$5:$D$92,'1800'!A312,'Daftar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Koreksi'!$D$5:$D$92,'1800'!A312,'Daftar Koreksi'!$G$5:$G$92,"Aset Tetap Lainnya",'Daftar Koreksi'!$I$5:$I$92,"&gt;0")</f>
        <v>0</v>
      </c>
      <c r="F328" s="25">
        <f>SUMIFS('Daftar Koreksi'!$I$5:$I$92,'Daftar Koreksi'!$D$5:$D$92,'1800'!A312,'Daftar Koreksi'!$G$5:$G$92,"Aset Tetap Lainnya",'Daftar Koreksi'!$I$5:$I$92,"&lt;0")-SUMIFS('Daftar Koreksi'!$I$5:$I$92,'Daftar Koreksi'!$D$5:$D$92,'1800'!A312,'Daftar Koreksi'!$G$5:$G$92,"Aset Tetap Lainnya",'Daftar Koreksi'!$I$5:$I$92,"&lt;0")-SUMIFS('Daftar Koreksi'!$I$5:$I$92,'Daftar Koreksi'!$D$5:$D$92,'1800'!A312,'Daftar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-121235710</v>
      </c>
      <c r="E329" s="25">
        <f>SUMIFS('Daftar Koreksi'!$I$5:$I$92,'Daftar Koreksi'!$D$5:$D$92,'1800'!A312,'Daftar Koreksi'!$G$5:$G$92,"Aset Henti Guna",'Daftar Koreksi'!$I$5:$I$92,"&gt;0")</f>
        <v>0</v>
      </c>
      <c r="F329" s="25">
        <f>SUMIFS('Daftar Koreksi'!$I$5:$I$92,'Daftar Koreksi'!$D$5:$D$92,'1800'!A312,'Daftar Koreksi'!$G$5:$G$92,"Aset Henti Guna",'Daftar Koreksi'!$I$5:$I$92,"&lt;0")-SUMIFS('Daftar Koreksi'!$I$5:$I$92,'Daftar Koreksi'!$D$5:$D$92,'1800'!A312,'Daftar Koreksi'!$G$5:$G$92,"Aset Henti Guna",'Daftar Koreksi'!$I$5:$I$92,"&lt;0")-SUMIFS('Daftar Koreksi'!$I$5:$I$92,'Daftar Koreksi'!$D$5:$D$92,'1800'!A312,'Daftar Koreksi'!$G$5:$G$92,"Aset Henti Guna",'Daftar Koreksi'!$I$5:$I$92,"&lt;0")</f>
        <v>0</v>
      </c>
      <c r="G329" s="17">
        <f t="shared" si="14"/>
        <v>-121235710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-1173541351</v>
      </c>
      <c r="E330" s="19">
        <f>SUM(E325:E329)</f>
        <v>0</v>
      </c>
      <c r="F330" s="19">
        <f>SUM(F325:F329)</f>
        <v>0</v>
      </c>
      <c r="G330" s="19">
        <f t="shared" si="14"/>
        <v>-1173541351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2053461836</v>
      </c>
      <c r="E331" s="19">
        <f>E330+E324</f>
        <v>0</v>
      </c>
      <c r="F331" s="19">
        <f>F330+F324</f>
        <v>0</v>
      </c>
      <c r="G331" s="19">
        <f t="shared" si="14"/>
        <v>2053461836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005011800652123000KD</v>
      </c>
      <c r="B334" s="11" t="str">
        <f>P16</f>
        <v>PA. Banggai</v>
      </c>
      <c r="C334" s="12" t="str">
        <f>A334&amp;" "&amp;B334</f>
        <v>005011800652123000KD PA. Banggai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0</v>
      </c>
      <c r="E337" s="25">
        <f>SUMIFS('Daftar Koreksi'!$H$5:$H$92,'Daftar Koreksi'!$D$5:$D$92,'1800'!A334,'Daftar Koreksi'!$G$5:$G$92,"Persediaan",'Daftar Koreksi'!$H$5:$H$92,"&gt;0")</f>
        <v>0</v>
      </c>
      <c r="F337" s="25">
        <f>SUMIFS('Daftar Koreksi'!$H$5:$H$92,'Daftar Koreksi'!$D$5:$D$92,'1800'!A334,'Daftar Koreksi'!$G$5:$G$92,"Persediaan",'Daftar Koreksi'!$H$5:$H$92,"&lt;0")-SUMIFS('Daftar Koreksi'!$H$5:$H$92,'Daftar Koreksi'!$D$5:$D$92,'1800'!A334,'Daftar Koreksi'!$G$5:$G$92,"Persediaan",'Daftar Koreksi'!$H$5:$H$92,"&lt;0")-SUMIFS('Daftar Koreksi'!$H$5:$H$92,'Daftar Koreksi'!$D$5:$D$92,'1800'!A334,'Daftar Koreksi'!$G$5:$G$92,"Persediaan",'Daftar Koreksi'!$H$5:$H$92,"&lt;0")</f>
        <v>0</v>
      </c>
      <c r="G337" s="17">
        <f>D337+E337-F337</f>
        <v>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120000000</v>
      </c>
      <c r="E338" s="25">
        <f>SUMIFS('Daftar Koreksi'!$H$5:$H$92,'Daftar Koreksi'!$D$5:$D$92,'1800'!A334,'Daftar Koreksi'!$G$5:$G$92,"Tanah",'Daftar Koreksi'!$H$5:$H$92,"&gt;0")</f>
        <v>0</v>
      </c>
      <c r="F338" s="25">
        <f>SUMIFS('Daftar Koreksi'!$H$5:$H$92,'Daftar Koreksi'!$D$5:$D$92,'1800'!A334,'Daftar Koreksi'!$G$5:$G$92,"Tanah",'Daftar Koreksi'!$H$5:$H$92,"&lt;0")-SUMIFS('Daftar Koreksi'!$H$5:$H$92,'Daftar Koreksi'!$D$5:$D$92,'1800'!A334,'Daftar Koreksi'!$G$5:$G$92,"Tanah",'Daftar Koreksi'!$H$5:$H$92,"&lt;0")-SUMIFS('Daftar Koreksi'!$H$5:$H$92,'Daftar Koreksi'!$D$5:$D$92,'1800'!A334,'Daftar Koreksi'!$G$5:$G$92,"Tanah",'Daftar Koreksi'!$H$5:$H$92,"&lt;0")</f>
        <v>0</v>
      </c>
      <c r="G338" s="17">
        <f t="shared" ref="G338:G354" si="15">D338+E338-F338</f>
        <v>120000000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995014117</v>
      </c>
      <c r="E339" s="25">
        <f>SUMIFS('Daftar Koreksi'!$H$5:$H$92,'Daftar Koreksi'!$D$5:$D$92,'1800'!A334,'Daftar Koreksi'!$G$5:$G$92,"Peralatan dan mesin",'Daftar Koreksi'!$H$5:$H$92,"&gt;0")</f>
        <v>0</v>
      </c>
      <c r="F339" s="25">
        <f>SUMIFS('Daftar Koreksi'!$H$5:$H$92,'Daftar Koreksi'!$D$5:$D$92,'1800'!A334,'Daftar Koreksi'!$G$5:$G$92,"Peralatan dan mesin",'Daftar Koreksi'!$H$5:$H$92,"&lt;0")-SUMIFS('Daftar Koreksi'!$H$5:$H$92,'Daftar Koreksi'!$D$5:$D$92,'1800'!A334,'Daftar Koreksi'!$G$5:$G$92,"Peralatan dan mesin",'Daftar Koreksi'!$H$5:$H$92,"&lt;0")-SUMIFS('Daftar Koreksi'!$H$5:$H$92,'Daftar Koreksi'!$D$5:$D$92,'1800'!A334,'Daftar Koreksi'!$G$5:$G$92,"Peralatan dan mesin",'Daftar Koreksi'!$H$5:$H$92,"&lt;0")</f>
        <v>0</v>
      </c>
      <c r="G339" s="17">
        <f t="shared" si="15"/>
        <v>995014117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2060105383</v>
      </c>
      <c r="E340" s="25">
        <f>SUMIFS('Daftar Koreksi'!$H$5:$H$92,'Daftar Koreksi'!$D$5:$D$92,'1800'!A334,'Daftar Koreksi'!$G$5:$G$92,"Gedung dan Bangunan",'Daftar Koreksi'!$H$5:$H$92,"&gt;0")</f>
        <v>0</v>
      </c>
      <c r="F340" s="25">
        <f>SUMIFS('Daftar Koreksi'!$H$5:$H$92,'Daftar Koreksi'!$D$5:$D$92,'1800'!A334,'Daftar Koreksi'!$G$5:$G$92,"Gedung dan Bangunan",'Daftar Koreksi'!$H$5:$H$92,"&lt;0")-SUMIFS('Daftar Koreksi'!$H$5:$H$92,'Daftar Koreksi'!$D$5:$D$92,'1800'!A334,'Daftar Koreksi'!$G$5:$G$92,"Gedung dan Bangunan",'Daftar Koreksi'!$H$5:$H$92,"&lt;0")-SUMIFS('Daftar Koreksi'!$H$5:$H$92,'Daftar Koreksi'!$D$5:$D$92,'1800'!A334,'Daftar Koreksi'!$G$5:$G$92,"Gedung dan Bangunan",'Daftar Koreksi'!$H$5:$H$92,"&lt;0")</f>
        <v>0</v>
      </c>
      <c r="G340" s="17">
        <f t="shared" si="15"/>
        <v>2060105383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Koreksi'!$D$5:$D$92,'1800'!A334,'Daftar Koreksi'!$G$5:$G$92,"Jalan Irigasi Jaringan",'Daftar Koreksi'!$H$5:$H$92,"&gt;0")</f>
        <v>0</v>
      </c>
      <c r="F341" s="25">
        <f>SUMIFS('Daftar Koreksi'!$H$5:$H$92,'Daftar Koreksi'!$D$5:$D$92,'1800'!A334,'Daftar Koreksi'!$G$5:$G$92,"Jalan Irigasi Jaringan",'Daftar Koreksi'!$H$5:$H$92,"&lt;0")-SUMIFS('Daftar Koreksi'!$H$5:$H$92,'Daftar Koreksi'!$D$5:$D$92,'1800'!A334,'Daftar Koreksi'!$G$5:$G$92,"Jalan Irigasi Jaringan",'Daftar Koreksi'!$H$5:$H$92,"&lt;0")-SUMIFS('Daftar Koreksi'!$H$5:$H$92,'Daftar Koreksi'!$D$5:$D$92,'1800'!A334,'Daftar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1889370</v>
      </c>
      <c r="E342" s="25">
        <f>SUMIFS('Daftar Koreksi'!$H$5:$H$92,'Daftar Koreksi'!$D$5:$D$92,'1800'!A334,'Daftar Koreksi'!$G$5:$G$92,"Aset Tetap Lainnya",'Daftar Koreksi'!$H$5:$H$92,"&gt;0")</f>
        <v>0</v>
      </c>
      <c r="F342" s="25">
        <f>SUMIFS('Daftar Koreksi'!$H$5:$H$92,'Daftar Koreksi'!$D$5:$D$92,'1800'!A334,'Daftar Koreksi'!$G$5:$G$92,"Aset Tetap Lainnya",'Daftar Koreksi'!$H$5:$H$92,"&lt;0")-SUMIFS('Daftar Koreksi'!$H$5:$H$92,'Daftar Koreksi'!$D$5:$D$92,'1800'!A334,'Daftar Koreksi'!$G$5:$G$92,"Aset Tetap Lainnya",'Daftar Koreksi'!$H$5:$H$92,"&lt;0")-SUMIFS('Daftar Koreksi'!$H$5:$H$92,'Daftar Koreksi'!$D$5:$D$92,'1800'!A334,'Daftar Koreksi'!$G$5:$G$92,"Aset Tetap Lainnya",'Daftar Koreksi'!$H$5:$H$92,"&lt;0")</f>
        <v>0</v>
      </c>
      <c r="G342" s="17">
        <f t="shared" si="15"/>
        <v>1889370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Koreksi'!$D$5:$D$92,'1800'!A334,'Daftar Koreksi'!$G$5:$G$92,"Kontruksi Dalam Pengerjaan",'Daftar Koreksi'!$H$5:$H$92,"&gt;0")</f>
        <v>0</v>
      </c>
      <c r="F343" s="25">
        <f>SUMIFS('Daftar Koreksi'!$H$5:$H$92,'Daftar Koreksi'!$D$5:$D$92,'1800'!A334,'Daftar Koreksi'!$G$5:$G$92,"Kontruksi Dalam Pengerjaan",'Daftar Koreksi'!$H$5:$H$92,"&lt;0")-SUMIFS('Daftar Koreksi'!$H$5:$H$92,'Daftar Koreksi'!$D$5:$D$92,'1800'!A334,'Daftar Koreksi'!$G$5:$G$92,"Kontruksi Dalam Pengerjaan",'Daftar Koreksi'!$H$5:$H$92,"&lt;0")-SUMIFS('Daftar Koreksi'!$H$5:$H$92,'Daftar Koreksi'!$D$5:$D$92,'1800'!A334,'Daftar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16850000</v>
      </c>
      <c r="E344" s="25">
        <f>SUMIFS('Daftar Koreksi'!$H$5:$H$92,'Daftar Koreksi'!$D$5:$D$92,'1800'!A334,'Daftar Koreksi'!$G$5:$G$92,"Aset Tak Berwujud",'Daftar Koreksi'!$H$5:$H$92,"&gt;0")</f>
        <v>0</v>
      </c>
      <c r="F344" s="25">
        <f>SUMIFS('Daftar Koreksi'!$H$5:$H$92,'Daftar Koreksi'!$D$5:$D$92,'1800'!A334,'Daftar Koreksi'!$G$5:$G$92,"Aset Tak Berwujud",'Daftar Koreksi'!$H$5:$H$92,"&lt;0")-SUMIFS('Daftar Koreksi'!$H$5:$H$92,'Daftar Koreksi'!$D$5:$D$92,'1800'!A334,'Daftar Koreksi'!$G$5:$G$92,"Aset Tak Berwujud",'Daftar Koreksi'!$H$5:$H$92,"&lt;0")-SUMIFS('Daftar Koreksi'!$H$5:$H$92,'Daftar Koreksi'!$D$5:$D$92,'1800'!A334,'Daftar Koreksi'!$G$5:$G$92,"Aset Tak Berwujud",'Daftar Koreksi'!$H$5:$H$92,"&lt;0")</f>
        <v>0</v>
      </c>
      <c r="G344" s="17">
        <f t="shared" si="15"/>
        <v>16850000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291407500</v>
      </c>
      <c r="E345" s="25">
        <f>SUMIFS('Daftar Koreksi'!$H$5:$H$92,'Daftar Koreksi'!$D$5:$D$92,'1800'!A334,'Daftar Koreksi'!$G$5:$G$92,"Aset Henti Guna",'Daftar Koreksi'!$H$5:$H$92,"&gt;0")</f>
        <v>0</v>
      </c>
      <c r="F345" s="25">
        <f>SUMIFS('Daftar Koreksi'!$H$5:$H$92,'Daftar Koreksi'!$D$5:$D$92,'1800'!A334,'Daftar Koreksi'!$G$5:$G$92,"Aset Henti Guna",'Daftar Koreksi'!$H$5:$H$92,"&lt;0")-SUMIFS('Daftar Koreksi'!$H$5:$H$92,'Daftar Koreksi'!$D$5:$D$92,'1800'!A334,'Daftar Koreksi'!$G$5:$G$92,"Aset Henti Guna",'Daftar Koreksi'!$H$5:$H$92,"&lt;0")-SUMIFS('Daftar Koreksi'!$H$5:$H$92,'Daftar Koreksi'!$D$5:$D$92,'1800'!A334,'Daftar Koreksi'!$G$5:$G$92,"Aset Henti Guna",'Daftar Koreksi'!$H$5:$H$92,"&lt;0")</f>
        <v>0</v>
      </c>
      <c r="G345" s="17">
        <f t="shared" si="15"/>
        <v>291407500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3485266370</v>
      </c>
      <c r="E346" s="19">
        <f>SUM(E337:E345)</f>
        <v>0</v>
      </c>
      <c r="F346" s="19">
        <f>SUM(F337:F345)</f>
        <v>0</v>
      </c>
      <c r="G346" s="19">
        <f t="shared" si="15"/>
        <v>3485266370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-909740467</v>
      </c>
      <c r="E347" s="25">
        <f>SUMIFS('Daftar Koreksi'!$I$5:$I$92,'Daftar Koreksi'!$D$5:$D$92,'1800'!A334,'Daftar Koreksi'!$G$5:$G$92,"Peralatan dan mesin",'Daftar Koreksi'!$I$5:$I$92,"&gt;0")</f>
        <v>0</v>
      </c>
      <c r="F347" s="25">
        <f>SUMIFS('Daftar Koreksi'!$I$5:$I$92,'Daftar Koreksi'!$D$5:$D$92,'1800'!A334,'Daftar Koreksi'!$G$5:$G$92,"Peralatan dan mesin",'Daftar Koreksi'!$I$5:$I$92,"&lt;0")-SUMIFS('Daftar Koreksi'!$I$5:$I$92,'Daftar Koreksi'!$D$5:$D$92,'1800'!A334,'Daftar Koreksi'!$G$5:$G$92,"Peralatan dan mesin",'Daftar Koreksi'!$I$5:$I$92,"&lt;0")-SUMIFS('Daftar Koreksi'!$I$5:$I$92,'Daftar Koreksi'!$D$5:$D$92,'1800'!A334,'Daftar Koreksi'!$G$5:$G$92,"Peralatan dan mesin",'Daftar Koreksi'!$I$5:$I$92,"&lt;0")</f>
        <v>0</v>
      </c>
      <c r="G347" s="17">
        <f t="shared" si="15"/>
        <v>-909740467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-375850624</v>
      </c>
      <c r="E348" s="25">
        <f>SUMIFS('Daftar Koreksi'!$I$5:$I$92,'Daftar Koreksi'!$D$5:$D$92,'1800'!A334,'Daftar Koreksi'!$G$5:$G$92,"Gedung dan Bangunan",'Daftar Koreksi'!$I$5:$I$92,"&gt;0")</f>
        <v>0</v>
      </c>
      <c r="F348" s="25">
        <f>SUMIFS('Daftar Koreksi'!$I$5:$I$92,'Daftar Koreksi'!$D$5:$D$92,'1800'!A334,'Daftar Koreksi'!$G$5:$G$92,"Gedung dan Bangunan",'Daftar Koreksi'!$I$5:$I$92,"&lt;0")-SUMIFS('Daftar Koreksi'!$I$5:$I$92,'Daftar Koreksi'!$D$5:$D$92,'1800'!A334,'Daftar Koreksi'!$G$5:$G$92,"Gedung dan Bangunan",'Daftar Koreksi'!$I$5:$I$92,"&lt;0")-SUMIFS('Daftar Koreksi'!$I$5:$I$92,'Daftar Koreksi'!$D$5:$D$92,'1800'!A334,'Daftar Koreksi'!$G$5:$G$92,"Gedung dan Bangunan",'Daftar Koreksi'!$I$5:$I$92,"&lt;0")</f>
        <v>0</v>
      </c>
      <c r="G348" s="17">
        <f t="shared" si="15"/>
        <v>-375850624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Koreksi'!$D$5:$D$92,'1800'!A334,'Daftar Koreksi'!$G$5:$G$92,"Jalan Irigasi Jaringan",'Daftar Koreksi'!$I$5:$I$92,"&gt;0")</f>
        <v>0</v>
      </c>
      <c r="F349" s="25">
        <f>SUMIFS('Daftar Koreksi'!$I$5:$I$92,'Daftar Koreksi'!$D$5:$D$92,'1800'!A334,'Daftar Koreksi'!$G$5:$G$92,"Jalan Irigasi Jaringan",'Daftar Koreksi'!$I$5:$I$92,"&lt;0")-SUMIFS('Daftar Koreksi'!$I$5:$I$92,'Daftar Koreksi'!$D$5:$D$92,'1800'!A334,'Daftar Koreksi'!$G$5:$G$92,"Jalan Irigasi Jaringan",'Daftar Koreksi'!$I$5:$I$92,"&lt;0")-SUMIFS('Daftar Koreksi'!$I$5:$I$92,'Daftar Koreksi'!$D$5:$D$92,'1800'!A334,'Daftar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Koreksi'!$D$5:$D$92,'1800'!A334,'Daftar Koreksi'!$G$5:$G$92,"Aset Tetap Lainnya",'Daftar Koreksi'!$I$5:$I$92,"&gt;0")</f>
        <v>0</v>
      </c>
      <c r="F350" s="25">
        <f>SUMIFS('Daftar Koreksi'!$I$5:$I$92,'Daftar Koreksi'!$D$5:$D$92,'1800'!A334,'Daftar Koreksi'!$G$5:$G$92,"Aset Tetap Lainnya",'Daftar Koreksi'!$I$5:$I$92,"&lt;0")-SUMIFS('Daftar Koreksi'!$I$5:$I$92,'Daftar Koreksi'!$D$5:$D$92,'1800'!A334,'Daftar Koreksi'!$G$5:$G$92,"Aset Tetap Lainnya",'Daftar Koreksi'!$I$5:$I$92,"&lt;0")-SUMIFS('Daftar Koreksi'!$I$5:$I$92,'Daftar Koreksi'!$D$5:$D$92,'1800'!A334,'Daftar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-291407500</v>
      </c>
      <c r="E351" s="25">
        <f>SUMIFS('Daftar Koreksi'!$I$5:$I$92,'Daftar Koreksi'!$D$5:$D$92,'1800'!A334,'Daftar Koreksi'!$G$5:$G$92,"Aset Henti Guna",'Daftar Koreksi'!$I$5:$I$92,"&gt;0")</f>
        <v>0</v>
      </c>
      <c r="F351" s="25">
        <f>SUMIFS('Daftar Koreksi'!$I$5:$I$92,'Daftar Koreksi'!$D$5:$D$92,'1800'!A334,'Daftar Koreksi'!$G$5:$G$92,"Aset Henti Guna",'Daftar Koreksi'!$I$5:$I$92,"&lt;0")-SUMIFS('Daftar Koreksi'!$I$5:$I$92,'Daftar Koreksi'!$D$5:$D$92,'1800'!A334,'Daftar Koreksi'!$G$5:$G$92,"Aset Henti Guna",'Daftar Koreksi'!$I$5:$I$92,"&lt;0")-SUMIFS('Daftar Koreksi'!$I$5:$I$92,'Daftar Koreksi'!$D$5:$D$92,'1800'!A334,'Daftar Koreksi'!$G$5:$G$92,"Aset Henti Guna",'Daftar Koreksi'!$I$5:$I$92,"&lt;0")</f>
        <v>0</v>
      </c>
      <c r="G351" s="17">
        <f t="shared" si="15"/>
        <v>-291407500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-1576998591</v>
      </c>
      <c r="E352" s="19">
        <f>SUM(E347:E351)</f>
        <v>0</v>
      </c>
      <c r="F352" s="19">
        <f>SUM(F347:F351)</f>
        <v>0</v>
      </c>
      <c r="G352" s="19">
        <f t="shared" si="15"/>
        <v>-1576998591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1908267779</v>
      </c>
      <c r="E353" s="19">
        <f>E352+E346</f>
        <v>0</v>
      </c>
      <c r="F353" s="19">
        <f>F352+F346</f>
        <v>0</v>
      </c>
      <c r="G353" s="19">
        <f t="shared" si="15"/>
        <v>1908267779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005011800670248000KD</v>
      </c>
      <c r="B356" s="11" t="str">
        <f>P17</f>
        <v>PN. Buol</v>
      </c>
      <c r="C356" s="12" t="str">
        <f>A356&amp;" "&amp;B356</f>
        <v>005011800670248000KD PN. Buol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0</v>
      </c>
      <c r="E359" s="25">
        <f>SUMIFS('Daftar Koreksi'!$H$5:$H$92,'Daftar Koreksi'!$D$5:$D$92,'1800'!A356,'Daftar Koreksi'!$G$5:$G$92,"Persediaan",'Daftar Koreksi'!$H$5:$H$92,"&gt;0")</f>
        <v>0</v>
      </c>
      <c r="F359" s="25">
        <f>SUMIFS('Daftar Koreksi'!$H$5:$H$92,'Daftar Koreksi'!$D$5:$D$92,'1800'!A356,'Daftar Koreksi'!$G$5:$G$92,"Persediaan",'Daftar Koreksi'!$H$5:$H$92,"&lt;0")-SUMIFS('Daftar Koreksi'!$H$5:$H$92,'Daftar Koreksi'!$D$5:$D$92,'1800'!A356,'Daftar Koreksi'!$G$5:$G$92,"Persediaan",'Daftar Koreksi'!$H$5:$H$92,"&lt;0")-SUMIFS('Daftar Koreksi'!$H$5:$H$92,'Daftar Koreksi'!$D$5:$D$92,'1800'!A356,'Daftar Koreksi'!$G$5:$G$92,"Persediaan",'Daftar Koreksi'!$H$5:$H$92,"&lt;0")</f>
        <v>0</v>
      </c>
      <c r="G359" s="17">
        <f>D359+E359-F359</f>
        <v>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413750000</v>
      </c>
      <c r="E360" s="25">
        <f>SUMIFS('Daftar Koreksi'!$H$5:$H$92,'Daftar Koreksi'!$D$5:$D$92,'1800'!A356,'Daftar Koreksi'!$G$5:$G$92,"Tanah",'Daftar Koreksi'!$H$5:$H$92,"&gt;0")</f>
        <v>0</v>
      </c>
      <c r="F360" s="25">
        <f>SUMIFS('Daftar Koreksi'!$H$5:$H$92,'Daftar Koreksi'!$D$5:$D$92,'1800'!A356,'Daftar Koreksi'!$G$5:$G$92,"Tanah",'Daftar Koreksi'!$H$5:$H$92,"&lt;0")-SUMIFS('Daftar Koreksi'!$H$5:$H$92,'Daftar Koreksi'!$D$5:$D$92,'1800'!A356,'Daftar Koreksi'!$G$5:$G$92,"Tanah",'Daftar Koreksi'!$H$5:$H$92,"&lt;0")-SUMIFS('Daftar Koreksi'!$H$5:$H$92,'Daftar Koreksi'!$D$5:$D$92,'1800'!A356,'Daftar Koreksi'!$G$5:$G$92,"Tanah",'Daftar Koreksi'!$H$5:$H$92,"&lt;0")</f>
        <v>0</v>
      </c>
      <c r="G360" s="17">
        <f t="shared" ref="G360:G376" si="16">D360+E360-F360</f>
        <v>413750000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1224293215</v>
      </c>
      <c r="E361" s="25">
        <f>SUMIFS('Daftar Koreksi'!$H$5:$H$92,'Daftar Koreksi'!$D$5:$D$92,'1800'!A356,'Daftar Koreksi'!$G$5:$G$92,"Peralatan dan mesin",'Daftar Koreksi'!$H$5:$H$92,"&gt;0")</f>
        <v>0</v>
      </c>
      <c r="F361" s="25">
        <f>SUMIFS('Daftar Koreksi'!$H$5:$H$92,'Daftar Koreksi'!$D$5:$D$92,'1800'!A356,'Daftar Koreksi'!$G$5:$G$92,"Peralatan dan mesin",'Daftar Koreksi'!$H$5:$H$92,"&lt;0")-SUMIFS('Daftar Koreksi'!$H$5:$H$92,'Daftar Koreksi'!$D$5:$D$92,'1800'!A356,'Daftar Koreksi'!$G$5:$G$92,"Peralatan dan mesin",'Daftar Koreksi'!$H$5:$H$92,"&lt;0")-SUMIFS('Daftar Koreksi'!$H$5:$H$92,'Daftar Koreksi'!$D$5:$D$92,'1800'!A356,'Daftar Koreksi'!$G$5:$G$92,"Peralatan dan mesin",'Daftar Koreksi'!$H$5:$H$92,"&lt;0")</f>
        <v>0</v>
      </c>
      <c r="G361" s="17">
        <f t="shared" si="16"/>
        <v>1224293215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3123900000</v>
      </c>
      <c r="E362" s="25">
        <f>SUMIFS('Daftar Koreksi'!$H$5:$H$92,'Daftar Koreksi'!$D$5:$D$92,'1800'!A356,'Daftar Koreksi'!$G$5:$G$92,"Gedung dan Bangunan",'Daftar Koreksi'!$H$5:$H$92,"&gt;0")</f>
        <v>0</v>
      </c>
      <c r="F362" s="25">
        <f>SUMIFS('Daftar Koreksi'!$H$5:$H$92,'Daftar Koreksi'!$D$5:$D$92,'1800'!A356,'Daftar Koreksi'!$G$5:$G$92,"Gedung dan Bangunan",'Daftar Koreksi'!$H$5:$H$92,"&lt;0")-SUMIFS('Daftar Koreksi'!$H$5:$H$92,'Daftar Koreksi'!$D$5:$D$92,'1800'!A356,'Daftar Koreksi'!$G$5:$G$92,"Gedung dan Bangunan",'Daftar Koreksi'!$H$5:$H$92,"&lt;0")-SUMIFS('Daftar Koreksi'!$H$5:$H$92,'Daftar Koreksi'!$D$5:$D$92,'1800'!A356,'Daftar Koreksi'!$G$5:$G$92,"Gedung dan Bangunan",'Daftar Koreksi'!$H$5:$H$92,"&lt;0")</f>
        <v>0</v>
      </c>
      <c r="G362" s="17">
        <f t="shared" si="16"/>
        <v>3123900000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Koreksi'!$D$5:$D$92,'1800'!A356,'Daftar Koreksi'!$G$5:$G$92,"Jalan Irigasi Jaringan",'Daftar Koreksi'!$H$5:$H$92,"&gt;0")</f>
        <v>0</v>
      </c>
      <c r="F363" s="25">
        <f>SUMIFS('Daftar Koreksi'!$H$5:$H$92,'Daftar Koreksi'!$D$5:$D$92,'1800'!A356,'Daftar Koreksi'!$G$5:$G$92,"Jalan Irigasi Jaringan",'Daftar Koreksi'!$H$5:$H$92,"&lt;0")-SUMIFS('Daftar Koreksi'!$H$5:$H$92,'Daftar Koreksi'!$D$5:$D$92,'1800'!A356,'Daftar Koreksi'!$G$5:$G$92,"Jalan Irigasi Jaringan",'Daftar Koreksi'!$H$5:$H$92,"&lt;0")-SUMIFS('Daftar Koreksi'!$H$5:$H$92,'Daftar Koreksi'!$D$5:$D$92,'1800'!A356,'Daftar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1943440</v>
      </c>
      <c r="E364" s="25">
        <f>SUMIFS('Daftar Koreksi'!$H$5:$H$92,'Daftar Koreksi'!$D$5:$D$92,'1800'!A356,'Daftar Koreksi'!$G$5:$G$92,"Aset Tetap Lainnya",'Daftar Koreksi'!$H$5:$H$92,"&gt;0")</f>
        <v>0</v>
      </c>
      <c r="F364" s="25">
        <f>SUMIFS('Daftar Koreksi'!$H$5:$H$92,'Daftar Koreksi'!$D$5:$D$92,'1800'!A356,'Daftar Koreksi'!$G$5:$G$92,"Aset Tetap Lainnya",'Daftar Koreksi'!$H$5:$H$92,"&lt;0")-SUMIFS('Daftar Koreksi'!$H$5:$H$92,'Daftar Koreksi'!$D$5:$D$92,'1800'!A356,'Daftar Koreksi'!$G$5:$G$92,"Aset Tetap Lainnya",'Daftar Koreksi'!$H$5:$H$92,"&lt;0")-SUMIFS('Daftar Koreksi'!$H$5:$H$92,'Daftar Koreksi'!$D$5:$D$92,'1800'!A356,'Daftar Koreksi'!$G$5:$G$92,"Aset Tetap Lainnya",'Daftar Koreksi'!$H$5:$H$92,"&lt;0")</f>
        <v>0</v>
      </c>
      <c r="G364" s="17">
        <f t="shared" si="16"/>
        <v>1943440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Koreksi'!$D$5:$D$92,'1800'!A356,'Daftar Koreksi'!$G$5:$G$92,"Kontruksi Dalam Pengerjaan",'Daftar Koreksi'!$H$5:$H$92,"&gt;0")</f>
        <v>0</v>
      </c>
      <c r="F365" s="25">
        <f>SUMIFS('Daftar Koreksi'!$H$5:$H$92,'Daftar Koreksi'!$D$5:$D$92,'1800'!A356,'Daftar Koreksi'!$G$5:$G$92,"Kontruksi Dalam Pengerjaan",'Daftar Koreksi'!$H$5:$H$92,"&lt;0")-SUMIFS('Daftar Koreksi'!$H$5:$H$92,'Daftar Koreksi'!$D$5:$D$92,'1800'!A356,'Daftar Koreksi'!$G$5:$G$92,"Kontruksi Dalam Pengerjaan",'Daftar Koreksi'!$H$5:$H$92,"&lt;0")-SUMIFS('Daftar Koreksi'!$H$5:$H$92,'Daftar Koreksi'!$D$5:$D$92,'1800'!A356,'Daftar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Koreksi'!$D$5:$D$92,'1800'!A356,'Daftar Koreksi'!$G$5:$G$92,"Aset Tak Berwujud",'Daftar Koreksi'!$H$5:$H$92,"&gt;0")</f>
        <v>0</v>
      </c>
      <c r="F366" s="25">
        <f>SUMIFS('Daftar Koreksi'!$H$5:$H$92,'Daftar Koreksi'!$D$5:$D$92,'1800'!A356,'Daftar Koreksi'!$G$5:$G$92,"Aset Tak Berwujud",'Daftar Koreksi'!$H$5:$H$92,"&lt;0")-SUMIFS('Daftar Koreksi'!$H$5:$H$92,'Daftar Koreksi'!$D$5:$D$92,'1800'!A356,'Daftar Koreksi'!$G$5:$G$92,"Aset Tak Berwujud",'Daftar Koreksi'!$H$5:$H$92,"&lt;0")-SUMIFS('Daftar Koreksi'!$H$5:$H$92,'Daftar Koreksi'!$D$5:$D$92,'1800'!A356,'Daftar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197026094</v>
      </c>
      <c r="E367" s="25">
        <f>SUMIFS('Daftar Koreksi'!$H$5:$H$92,'Daftar Koreksi'!$D$5:$D$92,'1800'!A356,'Daftar Koreksi'!$G$5:$G$92,"Aset Henti Guna",'Daftar Koreksi'!$H$5:$H$92,"&gt;0")</f>
        <v>0</v>
      </c>
      <c r="F367" s="25">
        <f>SUMIFS('Daftar Koreksi'!$H$5:$H$92,'Daftar Koreksi'!$D$5:$D$92,'1800'!A356,'Daftar Koreksi'!$G$5:$G$92,"Aset Henti Guna",'Daftar Koreksi'!$H$5:$H$92,"&lt;0")-SUMIFS('Daftar Koreksi'!$H$5:$H$92,'Daftar Koreksi'!$D$5:$D$92,'1800'!A356,'Daftar Koreksi'!$G$5:$G$92,"Aset Henti Guna",'Daftar Koreksi'!$H$5:$H$92,"&lt;0")-SUMIFS('Daftar Koreksi'!$H$5:$H$92,'Daftar Koreksi'!$D$5:$D$92,'1800'!A356,'Daftar Koreksi'!$G$5:$G$92,"Aset Henti Guna",'Daftar Koreksi'!$H$5:$H$92,"&lt;0")</f>
        <v>0</v>
      </c>
      <c r="G367" s="17">
        <f t="shared" si="16"/>
        <v>197026094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4960912749</v>
      </c>
      <c r="E368" s="19">
        <f>SUM(E359:E367)</f>
        <v>0</v>
      </c>
      <c r="F368" s="19">
        <f>SUM(F359:F367)</f>
        <v>0</v>
      </c>
      <c r="G368" s="19">
        <f t="shared" si="16"/>
        <v>4960912749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-884162705</v>
      </c>
      <c r="E369" s="25">
        <f>SUMIFS('Daftar Koreksi'!$I$5:$I$92,'Daftar Koreksi'!$D$5:$D$92,'1800'!A356,'Daftar Koreksi'!$G$5:$G$92,"Peralatan dan mesin",'Daftar Koreksi'!$I$5:$I$92,"&gt;0")</f>
        <v>0</v>
      </c>
      <c r="F369" s="25">
        <f>SUMIFS('Daftar Koreksi'!$I$5:$I$92,'Daftar Koreksi'!$D$5:$D$92,'1800'!A356,'Daftar Koreksi'!$G$5:$G$92,"Peralatan dan mesin",'Daftar Koreksi'!$I$5:$I$92,"&lt;0")-SUMIFS('Daftar Koreksi'!$I$5:$I$92,'Daftar Koreksi'!$D$5:$D$92,'1800'!A356,'Daftar Koreksi'!$G$5:$G$92,"Peralatan dan mesin",'Daftar Koreksi'!$I$5:$I$92,"&lt;0")-SUMIFS('Daftar Koreksi'!$I$5:$I$92,'Daftar Koreksi'!$D$5:$D$92,'1800'!A356,'Daftar Koreksi'!$G$5:$G$92,"Peralatan dan mesin",'Daftar Koreksi'!$I$5:$I$92,"&lt;0")</f>
        <v>0</v>
      </c>
      <c r="G369" s="17">
        <f t="shared" si="16"/>
        <v>-884162705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-736195000</v>
      </c>
      <c r="E370" s="25">
        <f>SUMIFS('Daftar Koreksi'!$I$5:$I$92,'Daftar Koreksi'!$D$5:$D$92,'1800'!A356,'Daftar Koreksi'!$G$5:$G$92,"Gedung dan Bangunan",'Daftar Koreksi'!$I$5:$I$92,"&gt;0")</f>
        <v>0</v>
      </c>
      <c r="F370" s="25">
        <f>SUMIFS('Daftar Koreksi'!$I$5:$I$92,'Daftar Koreksi'!$D$5:$D$92,'1800'!A356,'Daftar Koreksi'!$G$5:$G$92,"Gedung dan Bangunan",'Daftar Koreksi'!$I$5:$I$92,"&lt;0")-SUMIFS('Daftar Koreksi'!$I$5:$I$92,'Daftar Koreksi'!$D$5:$D$92,'1800'!A356,'Daftar Koreksi'!$G$5:$G$92,"Gedung dan Bangunan",'Daftar Koreksi'!$I$5:$I$92,"&lt;0")-SUMIFS('Daftar Koreksi'!$I$5:$I$92,'Daftar Koreksi'!$D$5:$D$92,'1800'!A356,'Daftar Koreksi'!$G$5:$G$92,"Gedung dan Bangunan",'Daftar Koreksi'!$I$5:$I$92,"&lt;0")</f>
        <v>0</v>
      </c>
      <c r="G370" s="17">
        <f t="shared" si="16"/>
        <v>-736195000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Koreksi'!$D$5:$D$92,'1800'!A356,'Daftar Koreksi'!$G$5:$G$92,"Jalan Irigasi Jaringan",'Daftar Koreksi'!$I$5:$I$92,"&gt;0")</f>
        <v>0</v>
      </c>
      <c r="F371" s="25">
        <f>SUMIFS('Daftar Koreksi'!$I$5:$I$92,'Daftar Koreksi'!$D$5:$D$92,'1800'!A356,'Daftar Koreksi'!$G$5:$G$92,"Jalan Irigasi Jaringan",'Daftar Koreksi'!$I$5:$I$92,"&lt;0")-SUMIFS('Daftar Koreksi'!$I$5:$I$92,'Daftar Koreksi'!$D$5:$D$92,'1800'!A356,'Daftar Koreksi'!$G$5:$G$92,"Jalan Irigasi Jaringan",'Daftar Koreksi'!$I$5:$I$92,"&lt;0")-SUMIFS('Daftar Koreksi'!$I$5:$I$92,'Daftar Koreksi'!$D$5:$D$92,'1800'!A356,'Daftar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Koreksi'!$D$5:$D$92,'1800'!A356,'Daftar Koreksi'!$G$5:$G$92,"Aset Tetap Lainnya",'Daftar Koreksi'!$I$5:$I$92,"&gt;0")</f>
        <v>0</v>
      </c>
      <c r="F372" s="25">
        <f>SUMIFS('Daftar Koreksi'!$I$5:$I$92,'Daftar Koreksi'!$D$5:$D$92,'1800'!A356,'Daftar Koreksi'!$G$5:$G$92,"Aset Tetap Lainnya",'Daftar Koreksi'!$I$5:$I$92,"&lt;0")-SUMIFS('Daftar Koreksi'!$I$5:$I$92,'Daftar Koreksi'!$D$5:$D$92,'1800'!A356,'Daftar Koreksi'!$G$5:$G$92,"Aset Tetap Lainnya",'Daftar Koreksi'!$I$5:$I$92,"&lt;0")-SUMIFS('Daftar Koreksi'!$I$5:$I$92,'Daftar Koreksi'!$D$5:$D$92,'1800'!A356,'Daftar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-187109488</v>
      </c>
      <c r="E373" s="25">
        <f>SUMIFS('Daftar Koreksi'!$I$5:$I$92,'Daftar Koreksi'!$D$5:$D$92,'1800'!A356,'Daftar Koreksi'!$G$5:$G$92,"Aset Henti Guna",'Daftar Koreksi'!$I$5:$I$92,"&gt;0")</f>
        <v>0</v>
      </c>
      <c r="F373" s="25">
        <f>SUMIFS('Daftar Koreksi'!$I$5:$I$92,'Daftar Koreksi'!$D$5:$D$92,'1800'!A356,'Daftar Koreksi'!$G$5:$G$92,"Aset Henti Guna",'Daftar Koreksi'!$I$5:$I$92,"&lt;0")-SUMIFS('Daftar Koreksi'!$I$5:$I$92,'Daftar Koreksi'!$D$5:$D$92,'1800'!A356,'Daftar Koreksi'!$G$5:$G$92,"Aset Henti Guna",'Daftar Koreksi'!$I$5:$I$92,"&lt;0")-SUMIFS('Daftar Koreksi'!$I$5:$I$92,'Daftar Koreksi'!$D$5:$D$92,'1800'!A356,'Daftar Koreksi'!$G$5:$G$92,"Aset Henti Guna",'Daftar Koreksi'!$I$5:$I$92,"&lt;0")</f>
        <v>0</v>
      </c>
      <c r="G373" s="17">
        <f t="shared" si="16"/>
        <v>-187109488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-1807467193</v>
      </c>
      <c r="E374" s="19">
        <f>SUM(E369:E373)</f>
        <v>0</v>
      </c>
      <c r="F374" s="19">
        <f>SUM(F369:F373)</f>
        <v>0</v>
      </c>
      <c r="G374" s="19">
        <f t="shared" si="16"/>
        <v>-1807467193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3153445556</v>
      </c>
      <c r="E375" s="19">
        <f>E374+E368</f>
        <v>0</v>
      </c>
      <c r="F375" s="19">
        <f>F374+F368</f>
        <v>0</v>
      </c>
      <c r="G375" s="19">
        <f t="shared" si="16"/>
        <v>3153445556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005011800672980000KD</v>
      </c>
      <c r="B378" s="11" t="str">
        <f>P18</f>
        <v>PN. Parigi</v>
      </c>
      <c r="C378" s="12" t="str">
        <f>A378&amp;" "&amp;B378</f>
        <v>005011800672980000KD PN. Parigi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780000</v>
      </c>
      <c r="E381" s="25">
        <f>SUMIFS('Daftar Koreksi'!$H$5:$H$92,'Daftar Koreksi'!$D$5:$D$92,'1800'!A378,'Daftar Koreksi'!$G$5:$G$92,"Persediaan",'Daftar Koreksi'!$H$5:$H$92,"&gt;0")</f>
        <v>0</v>
      </c>
      <c r="F381" s="25">
        <f>SUMIFS('Daftar Koreksi'!$H$5:$H$92,'Daftar Koreksi'!$D$5:$D$92,'1800'!A378,'Daftar Koreksi'!$G$5:$G$92,"Persediaan",'Daftar Koreksi'!$H$5:$H$92,"&lt;0")-SUMIFS('Daftar Koreksi'!$H$5:$H$92,'Daftar Koreksi'!$D$5:$D$92,'1800'!A378,'Daftar Koreksi'!$G$5:$G$92,"Persediaan",'Daftar Koreksi'!$H$5:$H$92,"&lt;0")-SUMIFS('Daftar Koreksi'!$H$5:$H$92,'Daftar Koreksi'!$D$5:$D$92,'1800'!A378,'Daftar Koreksi'!$G$5:$G$92,"Persediaan",'Daftar Koreksi'!$H$5:$H$92,"&lt;0")</f>
        <v>0</v>
      </c>
      <c r="G381" s="17">
        <f>D381+E381-F381</f>
        <v>780000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2351430000</v>
      </c>
      <c r="E382" s="25">
        <f>SUMIFS('Daftar Koreksi'!$H$5:$H$92,'Daftar Koreksi'!$D$5:$D$92,'1800'!A378,'Daftar Koreksi'!$G$5:$G$92,"Tanah",'Daftar Koreksi'!$H$5:$H$92,"&gt;0")</f>
        <v>0</v>
      </c>
      <c r="F382" s="25">
        <f>SUMIFS('Daftar Koreksi'!$H$5:$H$92,'Daftar Koreksi'!$D$5:$D$92,'1800'!A378,'Daftar Koreksi'!$G$5:$G$92,"Tanah",'Daftar Koreksi'!$H$5:$H$92,"&lt;0")-SUMIFS('Daftar Koreksi'!$H$5:$H$92,'Daftar Koreksi'!$D$5:$D$92,'1800'!A378,'Daftar Koreksi'!$G$5:$G$92,"Tanah",'Daftar Koreksi'!$H$5:$H$92,"&lt;0")-SUMIFS('Daftar Koreksi'!$H$5:$H$92,'Daftar Koreksi'!$D$5:$D$92,'1800'!A378,'Daftar Koreksi'!$G$5:$G$92,"Tanah",'Daftar Koreksi'!$H$5:$H$92,"&lt;0")</f>
        <v>0</v>
      </c>
      <c r="G382" s="17">
        <f t="shared" ref="G382:G398" si="17">D382+E382-F382</f>
        <v>2351430000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1303757547</v>
      </c>
      <c r="E383" s="25">
        <f>SUMIFS('Daftar Koreksi'!$H$5:$H$92,'Daftar Koreksi'!$D$5:$D$92,'1800'!A378,'Daftar Koreksi'!$G$5:$G$92,"Peralatan dan mesin",'Daftar Koreksi'!$H$5:$H$92,"&gt;0")</f>
        <v>0</v>
      </c>
      <c r="F383" s="25">
        <f>SUMIFS('Daftar Koreksi'!$H$5:$H$92,'Daftar Koreksi'!$D$5:$D$92,'1800'!A378,'Daftar Koreksi'!$G$5:$G$92,"Peralatan dan mesin",'Daftar Koreksi'!$H$5:$H$92,"&lt;0")-SUMIFS('Daftar Koreksi'!$H$5:$H$92,'Daftar Koreksi'!$D$5:$D$92,'1800'!A378,'Daftar Koreksi'!$G$5:$G$92,"Peralatan dan mesin",'Daftar Koreksi'!$H$5:$H$92,"&lt;0")-SUMIFS('Daftar Koreksi'!$H$5:$H$92,'Daftar Koreksi'!$D$5:$D$92,'1800'!A378,'Daftar Koreksi'!$G$5:$G$92,"Peralatan dan mesin",'Daftar Koreksi'!$H$5:$H$92,"&lt;0")</f>
        <v>0</v>
      </c>
      <c r="G383" s="17">
        <f t="shared" si="17"/>
        <v>1303757547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8486875492</v>
      </c>
      <c r="E384" s="25">
        <f>SUMIFS('Daftar Koreksi'!$H$5:$H$92,'Daftar Koreksi'!$D$5:$D$92,'1800'!A378,'Daftar Koreksi'!$G$5:$G$92,"Gedung dan Bangunan",'Daftar Koreksi'!$H$5:$H$92,"&gt;0")</f>
        <v>0</v>
      </c>
      <c r="F384" s="25">
        <f>SUMIFS('Daftar Koreksi'!$H$5:$H$92,'Daftar Koreksi'!$D$5:$D$92,'1800'!A378,'Daftar Koreksi'!$G$5:$G$92,"Gedung dan Bangunan",'Daftar Koreksi'!$H$5:$H$92,"&lt;0")-SUMIFS('Daftar Koreksi'!$H$5:$H$92,'Daftar Koreksi'!$D$5:$D$92,'1800'!A378,'Daftar Koreksi'!$G$5:$G$92,"Gedung dan Bangunan",'Daftar Koreksi'!$H$5:$H$92,"&lt;0")-SUMIFS('Daftar Koreksi'!$H$5:$H$92,'Daftar Koreksi'!$D$5:$D$92,'1800'!A378,'Daftar Koreksi'!$G$5:$G$92,"Gedung dan Bangunan",'Daftar Koreksi'!$H$5:$H$92,"&lt;0")</f>
        <v>0</v>
      </c>
      <c r="G384" s="17">
        <f t="shared" si="17"/>
        <v>8486875492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Koreksi'!$D$5:$D$92,'1800'!A378,'Daftar Koreksi'!$G$5:$G$92,"Jalan Irigasi Jaringan",'Daftar Koreksi'!$H$5:$H$92,"&gt;0")</f>
        <v>0</v>
      </c>
      <c r="F385" s="25">
        <f>SUMIFS('Daftar Koreksi'!$H$5:$H$92,'Daftar Koreksi'!$D$5:$D$92,'1800'!A378,'Daftar Koreksi'!$G$5:$G$92,"Jalan Irigasi Jaringan",'Daftar Koreksi'!$H$5:$H$92,"&lt;0")-SUMIFS('Daftar Koreksi'!$H$5:$H$92,'Daftar Koreksi'!$D$5:$D$92,'1800'!A378,'Daftar Koreksi'!$G$5:$G$92,"Jalan Irigasi Jaringan",'Daftar Koreksi'!$H$5:$H$92,"&lt;0")-SUMIFS('Daftar Koreksi'!$H$5:$H$92,'Daftar Koreksi'!$D$5:$D$92,'1800'!A378,'Daftar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1943440</v>
      </c>
      <c r="E386" s="25">
        <f>SUMIFS('Daftar Koreksi'!$H$5:$H$92,'Daftar Koreksi'!$D$5:$D$92,'1800'!A378,'Daftar Koreksi'!$G$5:$G$92,"Aset Tetap Lainnya",'Daftar Koreksi'!$H$5:$H$92,"&gt;0")</f>
        <v>0</v>
      </c>
      <c r="F386" s="25">
        <f>SUMIFS('Daftar Koreksi'!$H$5:$H$92,'Daftar Koreksi'!$D$5:$D$92,'1800'!A378,'Daftar Koreksi'!$G$5:$G$92,"Aset Tetap Lainnya",'Daftar Koreksi'!$H$5:$H$92,"&lt;0")-SUMIFS('Daftar Koreksi'!$H$5:$H$92,'Daftar Koreksi'!$D$5:$D$92,'1800'!A378,'Daftar Koreksi'!$G$5:$G$92,"Aset Tetap Lainnya",'Daftar Koreksi'!$H$5:$H$92,"&lt;0")-SUMIFS('Daftar Koreksi'!$H$5:$H$92,'Daftar Koreksi'!$D$5:$D$92,'1800'!A378,'Daftar Koreksi'!$G$5:$G$92,"Aset Tetap Lainnya",'Daftar Koreksi'!$H$5:$H$92,"&lt;0")</f>
        <v>0</v>
      </c>
      <c r="G386" s="17">
        <f t="shared" si="17"/>
        <v>1943440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Koreksi'!$D$5:$D$92,'1800'!A378,'Daftar Koreksi'!$G$5:$G$92,"Kontruksi Dalam Pengerjaan",'Daftar Koreksi'!$H$5:$H$92,"&gt;0")</f>
        <v>0</v>
      </c>
      <c r="F387" s="25">
        <f>SUMIFS('Daftar Koreksi'!$H$5:$H$92,'Daftar Koreksi'!$D$5:$D$92,'1800'!A378,'Daftar Koreksi'!$G$5:$G$92,"Kontruksi Dalam Pengerjaan",'Daftar Koreksi'!$H$5:$H$92,"&lt;0")-SUMIFS('Daftar Koreksi'!$H$5:$H$92,'Daftar Koreksi'!$D$5:$D$92,'1800'!A378,'Daftar Koreksi'!$G$5:$G$92,"Kontruksi Dalam Pengerjaan",'Daftar Koreksi'!$H$5:$H$92,"&lt;0")-SUMIFS('Daftar Koreksi'!$H$5:$H$92,'Daftar Koreksi'!$D$5:$D$92,'1800'!A378,'Daftar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Koreksi'!$D$5:$D$92,'1800'!A378,'Daftar Koreksi'!$G$5:$G$92,"Aset Tak Berwujud",'Daftar Koreksi'!$H$5:$H$92,"&gt;0")</f>
        <v>0</v>
      </c>
      <c r="F388" s="25">
        <f>SUMIFS('Daftar Koreksi'!$H$5:$H$92,'Daftar Koreksi'!$D$5:$D$92,'1800'!A378,'Daftar Koreksi'!$G$5:$G$92,"Aset Tak Berwujud",'Daftar Koreksi'!$H$5:$H$92,"&lt;0")-SUMIFS('Daftar Koreksi'!$H$5:$H$92,'Daftar Koreksi'!$D$5:$D$92,'1800'!A378,'Daftar Koreksi'!$G$5:$G$92,"Aset Tak Berwujud",'Daftar Koreksi'!$H$5:$H$92,"&lt;0")-SUMIFS('Daftar Koreksi'!$H$5:$H$92,'Daftar Koreksi'!$D$5:$D$92,'1800'!A378,'Daftar Koreksi'!$G$5:$G$92,"Aset Tak Berwujud",'Daftar Koreksi'!$H$5:$H$92,"&lt;0")</f>
        <v>0</v>
      </c>
      <c r="G388" s="17">
        <f t="shared" si="17"/>
        <v>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45486750</v>
      </c>
      <c r="E389" s="25">
        <f>SUMIFS('Daftar Koreksi'!$H$5:$H$92,'Daftar Koreksi'!$D$5:$D$92,'1800'!A378,'Daftar Koreksi'!$G$5:$G$92,"Aset Henti Guna",'Daftar Koreksi'!$H$5:$H$92,"&gt;0")</f>
        <v>0</v>
      </c>
      <c r="F389" s="25">
        <f>SUMIFS('Daftar Koreksi'!$H$5:$H$92,'Daftar Koreksi'!$D$5:$D$92,'1800'!A378,'Daftar Koreksi'!$G$5:$G$92,"Aset Henti Guna",'Daftar Koreksi'!$H$5:$H$92,"&lt;0")-SUMIFS('Daftar Koreksi'!$H$5:$H$92,'Daftar Koreksi'!$D$5:$D$92,'1800'!A378,'Daftar Koreksi'!$G$5:$G$92,"Aset Henti Guna",'Daftar Koreksi'!$H$5:$H$92,"&lt;0")-SUMIFS('Daftar Koreksi'!$H$5:$H$92,'Daftar Koreksi'!$D$5:$D$92,'1800'!A378,'Daftar Koreksi'!$G$5:$G$92,"Aset Henti Guna",'Daftar Koreksi'!$H$5:$H$92,"&lt;0")</f>
        <v>0</v>
      </c>
      <c r="G389" s="17">
        <f t="shared" si="17"/>
        <v>45486750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12190273229</v>
      </c>
      <c r="E390" s="19">
        <f>SUM(E381:E389)</f>
        <v>0</v>
      </c>
      <c r="F390" s="19">
        <f>SUM(F381:F389)</f>
        <v>0</v>
      </c>
      <c r="G390" s="19">
        <f t="shared" si="17"/>
        <v>12190273229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-724115136</v>
      </c>
      <c r="E391" s="25">
        <f>SUMIFS('Daftar Koreksi'!$I$5:$I$92,'Daftar Koreksi'!$D$5:$D$92,'1800'!A378,'Daftar Koreksi'!$G$5:$G$92,"Peralatan dan mesin",'Daftar Koreksi'!$I$5:$I$92,"&gt;0")</f>
        <v>0</v>
      </c>
      <c r="F391" s="25">
        <f>SUMIFS('Daftar Koreksi'!$I$5:$I$92,'Daftar Koreksi'!$D$5:$D$92,'1800'!A378,'Daftar Koreksi'!$G$5:$G$92,"Peralatan dan mesin",'Daftar Koreksi'!$I$5:$I$92,"&lt;0")-SUMIFS('Daftar Koreksi'!$I$5:$I$92,'Daftar Koreksi'!$D$5:$D$92,'1800'!A378,'Daftar Koreksi'!$G$5:$G$92,"Peralatan dan mesin",'Daftar Koreksi'!$I$5:$I$92,"&lt;0")-SUMIFS('Daftar Koreksi'!$I$5:$I$92,'Daftar Koreksi'!$D$5:$D$92,'1800'!A378,'Daftar Koreksi'!$G$5:$G$92,"Peralatan dan mesin",'Daftar Koreksi'!$I$5:$I$92,"&lt;0")</f>
        <v>0</v>
      </c>
      <c r="G391" s="17">
        <f t="shared" si="17"/>
        <v>-724115136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-588187205</v>
      </c>
      <c r="E392" s="25">
        <f>SUMIFS('Daftar Koreksi'!$I$5:$I$92,'Daftar Koreksi'!$D$5:$D$92,'1800'!A378,'Daftar Koreksi'!$G$5:$G$92,"Gedung dan Bangunan",'Daftar Koreksi'!$I$5:$I$92,"&gt;0")</f>
        <v>0</v>
      </c>
      <c r="F392" s="25">
        <f>SUMIFS('Daftar Koreksi'!$I$5:$I$92,'Daftar Koreksi'!$D$5:$D$92,'1800'!A378,'Daftar Koreksi'!$G$5:$G$92,"Gedung dan Bangunan",'Daftar Koreksi'!$I$5:$I$92,"&lt;0")-SUMIFS('Daftar Koreksi'!$I$5:$I$92,'Daftar Koreksi'!$D$5:$D$92,'1800'!A378,'Daftar Koreksi'!$G$5:$G$92,"Gedung dan Bangunan",'Daftar Koreksi'!$I$5:$I$92,"&lt;0")-SUMIFS('Daftar Koreksi'!$I$5:$I$92,'Daftar Koreksi'!$D$5:$D$92,'1800'!A378,'Daftar Koreksi'!$G$5:$G$92,"Gedung dan Bangunan",'Daftar Koreksi'!$I$5:$I$92,"&lt;0")</f>
        <v>0</v>
      </c>
      <c r="G392" s="17">
        <f t="shared" si="17"/>
        <v>-588187205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Koreksi'!$D$5:$D$92,'1800'!A378,'Daftar Koreksi'!$G$5:$G$92,"Jalan Irigasi Jaringan",'Daftar Koreksi'!$I$5:$I$92,"&gt;0")</f>
        <v>0</v>
      </c>
      <c r="F393" s="25">
        <f>SUMIFS('Daftar Koreksi'!$I$5:$I$92,'Daftar Koreksi'!$D$5:$D$92,'1800'!A378,'Daftar Koreksi'!$G$5:$G$92,"Jalan Irigasi Jaringan",'Daftar Koreksi'!$I$5:$I$92,"&lt;0")-SUMIFS('Daftar Koreksi'!$I$5:$I$92,'Daftar Koreksi'!$D$5:$D$92,'1800'!A378,'Daftar Koreksi'!$G$5:$G$92,"Jalan Irigasi Jaringan",'Daftar Koreksi'!$I$5:$I$92,"&lt;0")-SUMIFS('Daftar Koreksi'!$I$5:$I$92,'Daftar Koreksi'!$D$5:$D$92,'1800'!A378,'Daftar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Koreksi'!$D$5:$D$92,'1800'!A378,'Daftar Koreksi'!$G$5:$G$92,"Aset Tetap Lainnya",'Daftar Koreksi'!$I$5:$I$92,"&gt;0")</f>
        <v>0</v>
      </c>
      <c r="F394" s="25">
        <f>SUMIFS('Daftar Koreksi'!$I$5:$I$92,'Daftar Koreksi'!$D$5:$D$92,'1800'!A378,'Daftar Koreksi'!$G$5:$G$92,"Aset Tetap Lainnya",'Daftar Koreksi'!$I$5:$I$92,"&lt;0")-SUMIFS('Daftar Koreksi'!$I$5:$I$92,'Daftar Koreksi'!$D$5:$D$92,'1800'!A378,'Daftar Koreksi'!$G$5:$G$92,"Aset Tetap Lainnya",'Daftar Koreksi'!$I$5:$I$92,"&lt;0")-SUMIFS('Daftar Koreksi'!$I$5:$I$92,'Daftar Koreksi'!$D$5:$D$92,'1800'!A378,'Daftar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-45218750</v>
      </c>
      <c r="E395" s="25">
        <f>SUMIFS('Daftar Koreksi'!$I$5:$I$92,'Daftar Koreksi'!$D$5:$D$92,'1800'!A378,'Daftar Koreksi'!$G$5:$G$92,"Aset Henti Guna",'Daftar Koreksi'!$I$5:$I$92,"&gt;0")</f>
        <v>0</v>
      </c>
      <c r="F395" s="25">
        <f>SUMIFS('Daftar Koreksi'!$I$5:$I$92,'Daftar Koreksi'!$D$5:$D$92,'1800'!A378,'Daftar Koreksi'!$G$5:$G$92,"Aset Henti Guna",'Daftar Koreksi'!$I$5:$I$92,"&lt;0")-SUMIFS('Daftar Koreksi'!$I$5:$I$92,'Daftar Koreksi'!$D$5:$D$92,'1800'!A378,'Daftar Koreksi'!$G$5:$G$92,"Aset Henti Guna",'Daftar Koreksi'!$I$5:$I$92,"&lt;0")-SUMIFS('Daftar Koreksi'!$I$5:$I$92,'Daftar Koreksi'!$D$5:$D$92,'1800'!A378,'Daftar Koreksi'!$G$5:$G$92,"Aset Henti Guna",'Daftar Koreksi'!$I$5:$I$92,"&lt;0")</f>
        <v>0</v>
      </c>
      <c r="G395" s="17">
        <f t="shared" si="17"/>
        <v>-45218750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-1357521091</v>
      </c>
      <c r="E396" s="19">
        <f>SUM(E391:E395)</f>
        <v>0</v>
      </c>
      <c r="F396" s="19">
        <f>SUM(F391:F395)</f>
        <v>0</v>
      </c>
      <c r="G396" s="19">
        <f t="shared" si="17"/>
        <v>-1357521091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10832752138</v>
      </c>
      <c r="E397" s="19">
        <f>E396+E390</f>
        <v>0</v>
      </c>
      <c r="F397" s="19">
        <f>F396+F390</f>
        <v>0</v>
      </c>
      <c r="G397" s="19">
        <f t="shared" si="17"/>
        <v>10832752138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005011800682192000KD</v>
      </c>
      <c r="B400" s="11" t="str">
        <f>P19</f>
        <v>PA. Parigi</v>
      </c>
      <c r="C400" s="12" t="str">
        <f>A400&amp;" "&amp;B400</f>
        <v>005011800682192000KD PA. Parigi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318000</v>
      </c>
      <c r="E403" s="25">
        <f>SUMIFS('Daftar Koreksi'!$H$5:$H$92,'Daftar Koreksi'!$D$5:$D$92,'1800'!A400,'Daftar Koreksi'!$G$5:$G$92,"Persediaan",'Daftar Koreksi'!$H$5:$H$92,"&gt;0")</f>
        <v>0</v>
      </c>
      <c r="F403" s="25">
        <f>SUMIFS('Daftar Koreksi'!$H$5:$H$92,'Daftar Koreksi'!$D$5:$D$92,'1800'!A400,'Daftar Koreksi'!$G$5:$G$92,"Persediaan",'Daftar Koreksi'!$H$5:$H$92,"&lt;0")-SUMIFS('Daftar Koreksi'!$H$5:$H$92,'Daftar Koreksi'!$D$5:$D$92,'1800'!A400,'Daftar Koreksi'!$G$5:$G$92,"Persediaan",'Daftar Koreksi'!$H$5:$H$92,"&lt;0")-SUMIFS('Daftar Koreksi'!$H$5:$H$92,'Daftar Koreksi'!$D$5:$D$92,'1800'!A400,'Daftar Koreksi'!$G$5:$G$92,"Persediaan",'Daftar Koreksi'!$H$5:$H$92,"&lt;0")</f>
        <v>0</v>
      </c>
      <c r="G403" s="17">
        <f>D403+E403-F403</f>
        <v>318000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2842100000</v>
      </c>
      <c r="E404" s="25">
        <f>SUMIFS('Daftar Koreksi'!$H$5:$H$92,'Daftar Koreksi'!$D$5:$D$92,'1800'!A400,'Daftar Koreksi'!$G$5:$G$92,"Tanah",'Daftar Koreksi'!$H$5:$H$92,"&gt;0")</f>
        <v>0</v>
      </c>
      <c r="F404" s="25">
        <f>SUMIFS('Daftar Koreksi'!$H$5:$H$92,'Daftar Koreksi'!$D$5:$D$92,'1800'!A400,'Daftar Koreksi'!$G$5:$G$92,"Tanah",'Daftar Koreksi'!$H$5:$H$92,"&lt;0")-SUMIFS('Daftar Koreksi'!$H$5:$H$92,'Daftar Koreksi'!$D$5:$D$92,'1800'!A400,'Daftar Koreksi'!$G$5:$G$92,"Tanah",'Daftar Koreksi'!$H$5:$H$92,"&lt;0")-SUMIFS('Daftar Koreksi'!$H$5:$H$92,'Daftar Koreksi'!$D$5:$D$92,'1800'!A400,'Daftar Koreksi'!$G$5:$G$92,"Tanah",'Daftar Koreksi'!$H$5:$H$92,"&lt;0")</f>
        <v>0</v>
      </c>
      <c r="G404" s="17">
        <f t="shared" ref="G404:G420" si="18">D404+E404-F404</f>
        <v>2842100000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1260952000</v>
      </c>
      <c r="E405" s="25">
        <f>SUMIFS('Daftar Koreksi'!$H$5:$H$92,'Daftar Koreksi'!$D$5:$D$92,'1800'!A400,'Daftar Koreksi'!$G$5:$G$92,"Peralatan dan mesin",'Daftar Koreksi'!$H$5:$H$92,"&gt;0")</f>
        <v>0</v>
      </c>
      <c r="F405" s="25">
        <f>SUMIFS('Daftar Koreksi'!$H$5:$H$92,'Daftar Koreksi'!$D$5:$D$92,'1800'!A400,'Daftar Koreksi'!$G$5:$G$92,"Peralatan dan mesin",'Daftar Koreksi'!$H$5:$H$92,"&lt;0")-SUMIFS('Daftar Koreksi'!$H$5:$H$92,'Daftar Koreksi'!$D$5:$D$92,'1800'!A400,'Daftar Koreksi'!$G$5:$G$92,"Peralatan dan mesin",'Daftar Koreksi'!$H$5:$H$92,"&lt;0")-SUMIFS('Daftar Koreksi'!$H$5:$H$92,'Daftar Koreksi'!$D$5:$D$92,'1800'!A400,'Daftar Koreksi'!$G$5:$G$92,"Peralatan dan mesin",'Daftar Koreksi'!$H$5:$H$92,"&lt;0")</f>
        <v>0</v>
      </c>
      <c r="G405" s="17">
        <f t="shared" si="18"/>
        <v>1260952000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8162706800</v>
      </c>
      <c r="E406" s="25">
        <f>SUMIFS('Daftar Koreksi'!$H$5:$H$92,'Daftar Koreksi'!$D$5:$D$92,'1800'!A400,'Daftar Koreksi'!$G$5:$G$92,"Gedung dan Bangunan",'Daftar Koreksi'!$H$5:$H$92,"&gt;0")</f>
        <v>0</v>
      </c>
      <c r="F406" s="25">
        <f>SUMIFS('Daftar Koreksi'!$H$5:$H$92,'Daftar Koreksi'!$D$5:$D$92,'1800'!A400,'Daftar Koreksi'!$G$5:$G$92,"Gedung dan Bangunan",'Daftar Koreksi'!$H$5:$H$92,"&lt;0")-SUMIFS('Daftar Koreksi'!$H$5:$H$92,'Daftar Koreksi'!$D$5:$D$92,'1800'!A400,'Daftar Koreksi'!$G$5:$G$92,"Gedung dan Bangunan",'Daftar Koreksi'!$H$5:$H$92,"&lt;0")-SUMIFS('Daftar Koreksi'!$H$5:$H$92,'Daftar Koreksi'!$D$5:$D$92,'1800'!A400,'Daftar Koreksi'!$G$5:$G$92,"Gedung dan Bangunan",'Daftar Koreksi'!$H$5:$H$92,"&lt;0")</f>
        <v>0</v>
      </c>
      <c r="G406" s="17">
        <f t="shared" si="18"/>
        <v>8162706800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500000</v>
      </c>
      <c r="E407" s="25">
        <f>SUMIFS('Daftar Koreksi'!$H$5:$H$92,'Daftar Koreksi'!$D$5:$D$92,'1800'!A400,'Daftar Koreksi'!$G$5:$G$92,"Jalan Irigasi Jaringan",'Daftar Koreksi'!$H$5:$H$92,"&gt;0")</f>
        <v>0</v>
      </c>
      <c r="F407" s="25">
        <f>SUMIFS('Daftar Koreksi'!$H$5:$H$92,'Daftar Koreksi'!$D$5:$D$92,'1800'!A400,'Daftar Koreksi'!$G$5:$G$92,"Jalan Irigasi Jaringan",'Daftar Koreksi'!$H$5:$H$92,"&lt;0")-SUMIFS('Daftar Koreksi'!$H$5:$H$92,'Daftar Koreksi'!$D$5:$D$92,'1800'!A400,'Daftar Koreksi'!$G$5:$G$92,"Jalan Irigasi Jaringan",'Daftar Koreksi'!$H$5:$H$92,"&lt;0")-SUMIFS('Daftar Koreksi'!$H$5:$H$92,'Daftar Koreksi'!$D$5:$D$92,'1800'!A400,'Daftar Koreksi'!$G$5:$G$92,"Jalan Irigasi Jaringan",'Daftar Koreksi'!$H$5:$H$92,"&lt;0")</f>
        <v>0</v>
      </c>
      <c r="G407" s="17">
        <f t="shared" si="18"/>
        <v>500000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1848970</v>
      </c>
      <c r="E408" s="25">
        <f>SUMIFS('Daftar Koreksi'!$H$5:$H$92,'Daftar Koreksi'!$D$5:$D$92,'1800'!A400,'Daftar Koreksi'!$G$5:$G$92,"Aset Tetap Lainnya",'Daftar Koreksi'!$H$5:$H$92,"&gt;0")</f>
        <v>0</v>
      </c>
      <c r="F408" s="25">
        <f>SUMIFS('Daftar Koreksi'!$H$5:$H$92,'Daftar Koreksi'!$D$5:$D$92,'1800'!A400,'Daftar Koreksi'!$G$5:$G$92,"Aset Tetap Lainnya",'Daftar Koreksi'!$H$5:$H$92,"&lt;0")-SUMIFS('Daftar Koreksi'!$H$5:$H$92,'Daftar Koreksi'!$D$5:$D$92,'1800'!A400,'Daftar Koreksi'!$G$5:$G$92,"Aset Tetap Lainnya",'Daftar Koreksi'!$H$5:$H$92,"&lt;0")-SUMIFS('Daftar Koreksi'!$H$5:$H$92,'Daftar Koreksi'!$D$5:$D$92,'1800'!A400,'Daftar Koreksi'!$G$5:$G$92,"Aset Tetap Lainnya",'Daftar Koreksi'!$H$5:$H$92,"&lt;0")</f>
        <v>0</v>
      </c>
      <c r="G408" s="17">
        <f t="shared" si="18"/>
        <v>1848970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Koreksi'!$D$5:$D$92,'1800'!A400,'Daftar Koreksi'!$G$5:$G$92,"Kontruksi Dalam Pengerjaan",'Daftar Koreksi'!$H$5:$H$92,"&gt;0")</f>
        <v>0</v>
      </c>
      <c r="F409" s="25">
        <f>SUMIFS('Daftar Koreksi'!$H$5:$H$92,'Daftar Koreksi'!$D$5:$D$92,'1800'!A400,'Daftar Koreksi'!$G$5:$G$92,"Kontruksi Dalam Pengerjaan",'Daftar Koreksi'!$H$5:$H$92,"&lt;0")-SUMIFS('Daftar Koreksi'!$H$5:$H$92,'Daftar Koreksi'!$D$5:$D$92,'1800'!A400,'Daftar Koreksi'!$G$5:$G$92,"Kontruksi Dalam Pengerjaan",'Daftar Koreksi'!$H$5:$H$92,"&lt;0")-SUMIFS('Daftar Koreksi'!$H$5:$H$92,'Daftar Koreksi'!$D$5:$D$92,'1800'!A400,'Daftar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6950000</v>
      </c>
      <c r="E410" s="25">
        <f>SUMIFS('Daftar Koreksi'!$H$5:$H$92,'Daftar Koreksi'!$D$5:$D$92,'1800'!A400,'Daftar Koreksi'!$G$5:$G$92,"Aset Tak Berwujud",'Daftar Koreksi'!$H$5:$H$92,"&gt;0")</f>
        <v>0</v>
      </c>
      <c r="F410" s="25">
        <f>SUMIFS('Daftar Koreksi'!$H$5:$H$92,'Daftar Koreksi'!$D$5:$D$92,'1800'!A400,'Daftar Koreksi'!$G$5:$G$92,"Aset Tak Berwujud",'Daftar Koreksi'!$H$5:$H$92,"&lt;0")-SUMIFS('Daftar Koreksi'!$H$5:$H$92,'Daftar Koreksi'!$D$5:$D$92,'1800'!A400,'Daftar Koreksi'!$G$5:$G$92,"Aset Tak Berwujud",'Daftar Koreksi'!$H$5:$H$92,"&lt;0")-SUMIFS('Daftar Koreksi'!$H$5:$H$92,'Daftar Koreksi'!$D$5:$D$92,'1800'!A400,'Daftar Koreksi'!$G$5:$G$92,"Aset Tak Berwujud",'Daftar Koreksi'!$H$5:$H$92,"&lt;0")</f>
        <v>0</v>
      </c>
      <c r="G410" s="17">
        <f t="shared" si="18"/>
        <v>6950000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4890500</v>
      </c>
      <c r="E411" s="25">
        <f>SUMIFS('Daftar Koreksi'!$H$5:$H$92,'Daftar Koreksi'!$D$5:$D$92,'1800'!A400,'Daftar Koreksi'!$G$5:$G$92,"Aset Henti Guna",'Daftar Koreksi'!$H$5:$H$92,"&gt;0")</f>
        <v>0</v>
      </c>
      <c r="F411" s="25">
        <f>SUMIFS('Daftar Koreksi'!$H$5:$H$92,'Daftar Koreksi'!$D$5:$D$92,'1800'!A400,'Daftar Koreksi'!$G$5:$G$92,"Aset Henti Guna",'Daftar Koreksi'!$H$5:$H$92,"&lt;0")-SUMIFS('Daftar Koreksi'!$H$5:$H$92,'Daftar Koreksi'!$D$5:$D$92,'1800'!A400,'Daftar Koreksi'!$G$5:$G$92,"Aset Henti Guna",'Daftar Koreksi'!$H$5:$H$92,"&lt;0")-SUMIFS('Daftar Koreksi'!$H$5:$H$92,'Daftar Koreksi'!$D$5:$D$92,'1800'!A400,'Daftar Koreksi'!$G$5:$G$92,"Aset Henti Guna",'Daftar Koreksi'!$H$5:$H$92,"&lt;0")</f>
        <v>0</v>
      </c>
      <c r="G411" s="17">
        <f t="shared" si="18"/>
        <v>4890500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12280266270</v>
      </c>
      <c r="E412" s="19">
        <f>SUM(E403:E411)</f>
        <v>0</v>
      </c>
      <c r="F412" s="19">
        <f>SUM(F403:F411)</f>
        <v>0</v>
      </c>
      <c r="G412" s="19">
        <f t="shared" si="18"/>
        <v>12280266270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-456225156</v>
      </c>
      <c r="E413" s="25">
        <f>SUMIFS('Daftar Koreksi'!$I$5:$I$92,'Daftar Koreksi'!$D$5:$D$92,'1800'!A400,'Daftar Koreksi'!$G$5:$G$92,"Peralatan dan mesin",'Daftar Koreksi'!$I$5:$I$92,"&gt;0")</f>
        <v>0</v>
      </c>
      <c r="F413" s="25">
        <f>SUMIFS('Daftar Koreksi'!$I$5:$I$92,'Daftar Koreksi'!$D$5:$D$92,'1800'!A400,'Daftar Koreksi'!$G$5:$G$92,"Peralatan dan mesin",'Daftar Koreksi'!$I$5:$I$92,"&lt;0")-SUMIFS('Daftar Koreksi'!$I$5:$I$92,'Daftar Koreksi'!$D$5:$D$92,'1800'!A400,'Daftar Koreksi'!$G$5:$G$92,"Peralatan dan mesin",'Daftar Koreksi'!$I$5:$I$92,"&lt;0")-SUMIFS('Daftar Koreksi'!$I$5:$I$92,'Daftar Koreksi'!$D$5:$D$92,'1800'!A400,'Daftar Koreksi'!$G$5:$G$92,"Peralatan dan mesin",'Daftar Koreksi'!$I$5:$I$92,"&lt;0")</f>
        <v>0</v>
      </c>
      <c r="G413" s="17">
        <f t="shared" si="18"/>
        <v>-456225156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-210458404</v>
      </c>
      <c r="E414" s="25">
        <f>SUMIFS('Daftar Koreksi'!$I$5:$I$92,'Daftar Koreksi'!$D$5:$D$92,'1800'!A400,'Daftar Koreksi'!$G$5:$G$92,"Gedung dan Bangunan",'Daftar Koreksi'!$I$5:$I$92,"&gt;0")</f>
        <v>0</v>
      </c>
      <c r="F414" s="25">
        <f>SUMIFS('Daftar Koreksi'!$I$5:$I$92,'Daftar Koreksi'!$D$5:$D$92,'1800'!A400,'Daftar Koreksi'!$G$5:$G$92,"Gedung dan Bangunan",'Daftar Koreksi'!$I$5:$I$92,"&lt;0")-SUMIFS('Daftar Koreksi'!$I$5:$I$92,'Daftar Koreksi'!$D$5:$D$92,'1800'!A400,'Daftar Koreksi'!$G$5:$G$92,"Gedung dan Bangunan",'Daftar Koreksi'!$I$5:$I$92,"&lt;0")-SUMIFS('Daftar Koreksi'!$I$5:$I$92,'Daftar Koreksi'!$D$5:$D$92,'1800'!A400,'Daftar Koreksi'!$G$5:$G$92,"Gedung dan Bangunan",'Daftar Koreksi'!$I$5:$I$92,"&lt;0")</f>
        <v>0</v>
      </c>
      <c r="G414" s="17">
        <f t="shared" si="18"/>
        <v>-210458404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-100000</v>
      </c>
      <c r="E415" s="25">
        <f>SUMIFS('Daftar Koreksi'!$I$5:$I$92,'Daftar Koreksi'!$D$5:$D$92,'1800'!A400,'Daftar Koreksi'!$G$5:$G$92,"Jalan Irigasi Jaringan",'Daftar Koreksi'!$I$5:$I$92,"&gt;0")</f>
        <v>0</v>
      </c>
      <c r="F415" s="25">
        <f>SUMIFS('Daftar Koreksi'!$I$5:$I$92,'Daftar Koreksi'!$D$5:$D$92,'1800'!A400,'Daftar Koreksi'!$G$5:$G$92,"Jalan Irigasi Jaringan",'Daftar Koreksi'!$I$5:$I$92,"&lt;0")-SUMIFS('Daftar Koreksi'!$I$5:$I$92,'Daftar Koreksi'!$D$5:$D$92,'1800'!A400,'Daftar Koreksi'!$G$5:$G$92,"Jalan Irigasi Jaringan",'Daftar Koreksi'!$I$5:$I$92,"&lt;0")-SUMIFS('Daftar Koreksi'!$I$5:$I$92,'Daftar Koreksi'!$D$5:$D$92,'1800'!A400,'Daftar Koreksi'!$G$5:$G$92,"Jalan Irigasi Jaringan",'Daftar Koreksi'!$I$5:$I$92,"&lt;0")</f>
        <v>0</v>
      </c>
      <c r="G415" s="17">
        <f t="shared" si="18"/>
        <v>-100000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Koreksi'!$D$5:$D$92,'1800'!A400,'Daftar Koreksi'!$G$5:$G$92,"Aset Tetap Lainnya",'Daftar Koreksi'!$I$5:$I$92,"&gt;0")</f>
        <v>0</v>
      </c>
      <c r="F416" s="25">
        <f>SUMIFS('Daftar Koreksi'!$I$5:$I$92,'Daftar Koreksi'!$D$5:$D$92,'1800'!A400,'Daftar Koreksi'!$G$5:$G$92,"Aset Tetap Lainnya",'Daftar Koreksi'!$I$5:$I$92,"&lt;0")-SUMIFS('Daftar Koreksi'!$I$5:$I$92,'Daftar Koreksi'!$D$5:$D$92,'1800'!A400,'Daftar Koreksi'!$G$5:$G$92,"Aset Tetap Lainnya",'Daftar Koreksi'!$I$5:$I$92,"&lt;0")-SUMIFS('Daftar Koreksi'!$I$5:$I$92,'Daftar Koreksi'!$D$5:$D$92,'1800'!A400,'Daftar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-3992963</v>
      </c>
      <c r="E417" s="25">
        <f>SUMIFS('Daftar Koreksi'!$I$5:$I$92,'Daftar Koreksi'!$D$5:$D$92,'1800'!A400,'Daftar Koreksi'!$G$5:$G$92,"Aset Henti Guna",'Daftar Koreksi'!$I$5:$I$92,"&gt;0")</f>
        <v>0</v>
      </c>
      <c r="F417" s="25">
        <f>SUMIFS('Daftar Koreksi'!$I$5:$I$92,'Daftar Koreksi'!$D$5:$D$92,'1800'!A400,'Daftar Koreksi'!$G$5:$G$92,"Aset Henti Guna",'Daftar Koreksi'!$I$5:$I$92,"&lt;0")-SUMIFS('Daftar Koreksi'!$I$5:$I$92,'Daftar Koreksi'!$D$5:$D$92,'1800'!A400,'Daftar Koreksi'!$G$5:$G$92,"Aset Henti Guna",'Daftar Koreksi'!$I$5:$I$92,"&lt;0")-SUMIFS('Daftar Koreksi'!$I$5:$I$92,'Daftar Koreksi'!$D$5:$D$92,'1800'!A400,'Daftar Koreksi'!$G$5:$G$92,"Aset Henti Guna",'Daftar Koreksi'!$I$5:$I$92,"&lt;0")</f>
        <v>0</v>
      </c>
      <c r="G417" s="17">
        <f t="shared" si="18"/>
        <v>-3992963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-670776523</v>
      </c>
      <c r="E418" s="19">
        <f>SUM(E413:E417)</f>
        <v>0</v>
      </c>
      <c r="F418" s="19">
        <f>SUM(F413:F417)</f>
        <v>0</v>
      </c>
      <c r="G418" s="19">
        <f t="shared" si="18"/>
        <v>-670776523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11609489747</v>
      </c>
      <c r="E419" s="19">
        <f>E418+E412</f>
        <v>0</v>
      </c>
      <c r="F419" s="19">
        <f>F418+F412</f>
        <v>0</v>
      </c>
      <c r="G419" s="19">
        <f t="shared" si="18"/>
        <v>11609489747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</sheetData>
  <mergeCells count="114">
    <mergeCell ref="H403:H420"/>
    <mergeCell ref="H227:H244"/>
    <mergeCell ref="H249:H266"/>
    <mergeCell ref="H271:H288"/>
    <mergeCell ref="H293:H310"/>
    <mergeCell ref="H315:H332"/>
    <mergeCell ref="H139:H156"/>
    <mergeCell ref="H161:H178"/>
    <mergeCell ref="H183:H200"/>
    <mergeCell ref="H205:H222"/>
    <mergeCell ref="H335:H336"/>
    <mergeCell ref="H337:H354"/>
    <mergeCell ref="H51:H68"/>
    <mergeCell ref="H73:H90"/>
    <mergeCell ref="H95:H112"/>
    <mergeCell ref="C401:C402"/>
    <mergeCell ref="D401:D402"/>
    <mergeCell ref="E401:F401"/>
    <mergeCell ref="G401:G402"/>
    <mergeCell ref="H401:H402"/>
    <mergeCell ref="C379:C380"/>
    <mergeCell ref="D379:D380"/>
    <mergeCell ref="E379:F379"/>
    <mergeCell ref="G379:G380"/>
    <mergeCell ref="H379:H380"/>
    <mergeCell ref="C357:C358"/>
    <mergeCell ref="D357:D358"/>
    <mergeCell ref="E357:F357"/>
    <mergeCell ref="G357:G358"/>
    <mergeCell ref="H357:H358"/>
    <mergeCell ref="C335:C336"/>
    <mergeCell ref="D335:D336"/>
    <mergeCell ref="E335:F335"/>
    <mergeCell ref="G335:G336"/>
    <mergeCell ref="H359:H376"/>
    <mergeCell ref="H381:H398"/>
    <mergeCell ref="C313:C314"/>
    <mergeCell ref="D313:D314"/>
    <mergeCell ref="E313:F313"/>
    <mergeCell ref="G313:G314"/>
    <mergeCell ref="H313:H314"/>
    <mergeCell ref="C291:C292"/>
    <mergeCell ref="D291:D292"/>
    <mergeCell ref="E291:F291"/>
    <mergeCell ref="G291:G292"/>
    <mergeCell ref="H291:H292"/>
    <mergeCell ref="C269:C270"/>
    <mergeCell ref="D269:D270"/>
    <mergeCell ref="E269:F269"/>
    <mergeCell ref="G269:G270"/>
    <mergeCell ref="H269:H270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115:C116"/>
    <mergeCell ref="D115:D116"/>
    <mergeCell ref="E115:F115"/>
    <mergeCell ref="G115:G116"/>
    <mergeCell ref="H115:H116"/>
    <mergeCell ref="H117:H134"/>
    <mergeCell ref="C93:C94"/>
    <mergeCell ref="D93:D94"/>
    <mergeCell ref="E93:F93"/>
    <mergeCell ref="G93:G94"/>
    <mergeCell ref="H93:H94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49:C50"/>
    <mergeCell ref="D49:D50"/>
    <mergeCell ref="E49:F49"/>
    <mergeCell ref="G49:G50"/>
    <mergeCell ref="H49:H50"/>
    <mergeCell ref="C27:C28"/>
    <mergeCell ref="D27:D28"/>
    <mergeCell ref="E27:F27"/>
    <mergeCell ref="G27:G28"/>
    <mergeCell ref="H27:H28"/>
    <mergeCell ref="H7:H24"/>
    <mergeCell ref="H29:H46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8" manualBreakCount="8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P1058"/>
  <sheetViews>
    <sheetView view="pageBreakPreview" topLeftCell="C179" zoomScale="90" zoomScaleSheetLayoutView="90" workbookViewId="0">
      <selection activeCell="G187" sqref="G187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5.7109375" style="8" bestFit="1" customWidth="1"/>
    <col min="11" max="11" width="14.28515625" style="8" bestFit="1" customWidth="1"/>
    <col min="12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583</v>
      </c>
      <c r="P1" s="8" t="s">
        <v>1721</v>
      </c>
    </row>
    <row r="2" spans="1:16" ht="19.5" customHeight="1">
      <c r="C2" s="9" t="s">
        <v>2115</v>
      </c>
      <c r="O2" s="8" t="s">
        <v>584</v>
      </c>
      <c r="P2" s="8" t="s">
        <v>1722</v>
      </c>
    </row>
    <row r="3" spans="1:16" ht="19.5" customHeight="1">
      <c r="O3" s="8" t="s">
        <v>585</v>
      </c>
      <c r="P3" s="8" t="s">
        <v>1723</v>
      </c>
    </row>
    <row r="4" spans="1:16" ht="19.5" customHeight="1">
      <c r="A4" s="11" t="str">
        <f>O1</f>
        <v>005011900099418000KD</v>
      </c>
      <c r="B4" s="11" t="str">
        <f>P1</f>
        <v>PT. Makassar</v>
      </c>
      <c r="C4" s="12" t="str">
        <f>A4&amp;" "&amp;B4</f>
        <v>005011900099418000KD PT. Makassar</v>
      </c>
      <c r="D4" s="13"/>
      <c r="E4" s="13"/>
      <c r="F4" s="13"/>
      <c r="G4" s="13"/>
      <c r="H4" s="11"/>
      <c r="O4" s="8" t="s">
        <v>586</v>
      </c>
      <c r="P4" s="8" t="s">
        <v>1724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587</v>
      </c>
      <c r="P5" s="8" t="s">
        <v>1725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588</v>
      </c>
      <c r="P6" s="8" t="s">
        <v>1726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1985000</v>
      </c>
      <c r="E7" s="25">
        <f>SUMIFS('Daftar Koreksi'!$H$5:$H$92,'Daftar Koreksi'!$D$5:$D$92,'1900'!A4,'Daftar Koreksi'!$G$5:$G$92,"Persediaan",'Daftar Koreksi'!$H$5:$H$92,"&gt;0")</f>
        <v>0</v>
      </c>
      <c r="F7" s="25">
        <f>SUMIFS('Daftar Koreksi'!$H$5:$H$92,'Daftar Koreksi'!$D$5:$D$92,'1900'!A4,'Daftar Koreksi'!$G$5:$G$92,"Persediaan",'Daftar Koreksi'!$H$5:$H$92,"&lt;0")-SUMIFS('Daftar Koreksi'!$H$5:$H$92,'Daftar Koreksi'!$D$5:$D$92,'1900'!A4,'Daftar Koreksi'!$G$5:$G$92,"Persediaan",'Daftar Koreksi'!$H$5:$H$92,"&lt;0")-SUMIFS('Daftar Koreksi'!$H$5:$H$92,'Daftar Koreksi'!$D$5:$D$92,'1900'!A4,'Daftar Koreksi'!$G$5:$G$92,"Persediaan",'Daftar Koreksi'!$H$5:$H$92,"&lt;0")</f>
        <v>0</v>
      </c>
      <c r="G7" s="17">
        <f>D7+E7-F7</f>
        <v>1985000</v>
      </c>
      <c r="H7" s="121" t="str">
        <f>IF(ISNA(VLOOKUP(A4,'Mutasi Neraca'!$A$3:$S$914,19,FALSE)),"-",VLOOKUP(A4,'Mutasi Neraca'!$A$3:$S$914,19,FALSE))</f>
        <v>-</v>
      </c>
      <c r="O7" s="8" t="s">
        <v>589</v>
      </c>
      <c r="P7" s="8" t="s">
        <v>1727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61912091000</v>
      </c>
      <c r="E8" s="25">
        <f>SUMIFS('Daftar Koreksi'!$H$5:$H$92,'Daftar Koreksi'!$D$5:$D$92,'1900'!A4,'Daftar Koreksi'!$G$5:$G$92,"Tanah",'Daftar Koreksi'!$H$5:$H$92,"&gt;0")</f>
        <v>0</v>
      </c>
      <c r="F8" s="25">
        <f>SUMIFS('Daftar Koreksi'!$H$5:$H$92,'Daftar Koreksi'!$D$5:$D$92,'1900'!A4,'Daftar Koreksi'!$G$5:$G$92,"Tanah",'Daftar Koreksi'!$H$5:$H$92,"&lt;0")-SUMIFS('Daftar Koreksi'!$H$5:$H$92,'Daftar Koreksi'!$D$5:$D$92,'1900'!A4,'Daftar Koreksi'!$G$5:$G$92,"Tanah",'Daftar Koreksi'!$H$5:$H$92,"&lt;0")-SUMIFS('Daftar Koreksi'!$H$5:$H$92,'Daftar Koreksi'!$D$5:$D$92,'1900'!A4,'Daftar Koreksi'!$G$5:$G$92,"Tanah",'Daftar Koreksi'!$H$5:$H$92,"&lt;0")</f>
        <v>0</v>
      </c>
      <c r="G8" s="17">
        <f t="shared" ref="G8:G24" si="0">D8+E8-F8</f>
        <v>61912091000</v>
      </c>
      <c r="H8" s="122"/>
      <c r="O8" s="8" t="s">
        <v>590</v>
      </c>
      <c r="P8" s="8" t="s">
        <v>1728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5409825786</v>
      </c>
      <c r="E9" s="25">
        <f>SUMIFS('Daftar Koreksi'!$H$5:$H$92,'Daftar Koreksi'!$D$5:$D$92,'1900'!A4,'Daftar Koreksi'!$G$5:$G$92,"Peralatan dan mesin",'Daftar Koreksi'!$H$5:$H$92,"&gt;0")</f>
        <v>0</v>
      </c>
      <c r="F9" s="25">
        <f>SUMIFS('Daftar Koreksi'!$H$5:$H$92,'Daftar Koreksi'!$D$5:$D$92,'1900'!A4,'Daftar Koreksi'!$G$5:$G$92,"Peralatan dan mesin",'Daftar Koreksi'!$H$5:$H$92,"&lt;0")-SUMIFS('Daftar Koreksi'!$H$5:$H$92,'Daftar Koreksi'!$D$5:$D$92,'1900'!A4,'Daftar Koreksi'!$G$5:$G$92,"Peralatan dan mesin",'Daftar Koreksi'!$H$5:$H$92,"&lt;0")-SUMIFS('Daftar Koreksi'!$H$5:$H$92,'Daftar Koreksi'!$D$5:$D$92,'1900'!A4,'Daftar Koreksi'!$G$5:$G$92,"Peralatan dan mesin",'Daftar Koreksi'!$H$5:$H$92,"&lt;0")</f>
        <v>0</v>
      </c>
      <c r="G9" s="17">
        <f t="shared" si="0"/>
        <v>5409825786</v>
      </c>
      <c r="H9" s="122"/>
      <c r="O9" s="8" t="s">
        <v>591</v>
      </c>
      <c r="P9" s="8" t="s">
        <v>1729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17403448353</v>
      </c>
      <c r="E10" s="25">
        <f>SUMIFS('Daftar Koreksi'!$H$5:$H$92,'Daftar Koreksi'!$D$5:$D$92,'1900'!A4,'Daftar Koreksi'!$G$5:$G$92,"Gedung dan Bangunan",'Daftar Koreksi'!$H$5:$H$92,"&gt;0")</f>
        <v>0</v>
      </c>
      <c r="F10" s="25">
        <f>SUMIFS('Daftar Koreksi'!$H$5:$H$92,'Daftar Koreksi'!$D$5:$D$92,'1900'!A4,'Daftar Koreksi'!$G$5:$G$92,"Gedung dan Bangunan",'Daftar Koreksi'!$H$5:$H$92,"&lt;0")-SUMIFS('Daftar Koreksi'!$H$5:$H$92,'Daftar Koreksi'!$D$5:$D$92,'1900'!A4,'Daftar Koreksi'!$G$5:$G$92,"Gedung dan Bangunan",'Daftar Koreksi'!$H$5:$H$92,"&lt;0")-SUMIFS('Daftar Koreksi'!$H$5:$H$92,'Daftar Koreksi'!$D$5:$D$92,'1900'!A4,'Daftar Koreksi'!$G$5:$G$92,"Gedung dan Bangunan",'Daftar Koreksi'!$H$5:$H$92,"&lt;0")</f>
        <v>0</v>
      </c>
      <c r="G10" s="17">
        <f t="shared" si="0"/>
        <v>17403448353</v>
      </c>
      <c r="H10" s="122"/>
      <c r="O10" s="8" t="s">
        <v>592</v>
      </c>
      <c r="P10" s="8" t="s">
        <v>1730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437772500</v>
      </c>
      <c r="E11" s="25">
        <f>SUMIFS('Daftar Koreksi'!$H$5:$H$92,'Daftar Koreksi'!$D$5:$D$92,'1900'!A4,'Daftar Koreksi'!$G$5:$G$92,"Jalan Irigasi Jaringan",'Daftar Koreksi'!$H$5:$H$92,"&gt;0")</f>
        <v>0</v>
      </c>
      <c r="F11" s="25">
        <f>SUMIFS('Daftar Koreksi'!$H$5:$H$92,'Daftar Koreksi'!$D$5:$D$92,'1900'!A4,'Daftar Koreksi'!$G$5:$G$92,"Jalan Irigasi Jaringan",'Daftar Koreksi'!$H$5:$H$92,"&lt;0")-SUMIFS('Daftar Koreksi'!$H$5:$H$92,'Daftar Koreksi'!$D$5:$D$92,'1900'!A4,'Daftar Koreksi'!$G$5:$G$92,"Jalan Irigasi Jaringan",'Daftar Koreksi'!$H$5:$H$92,"&lt;0")-SUMIFS('Daftar Koreksi'!$H$5:$H$92,'Daftar Koreksi'!$D$5:$D$92,'1900'!A4,'Daftar Koreksi'!$G$5:$G$92,"Jalan Irigasi Jaringan",'Daftar Koreksi'!$H$5:$H$92,"&lt;0")</f>
        <v>0</v>
      </c>
      <c r="G11" s="17">
        <f t="shared" si="0"/>
        <v>437772500</v>
      </c>
      <c r="H11" s="122"/>
      <c r="O11" s="8" t="s">
        <v>593</v>
      </c>
      <c r="P11" s="8" t="s">
        <v>1731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4100630</v>
      </c>
      <c r="E12" s="25">
        <f>SUMIFS('Daftar Koreksi'!$H$5:$H$92,'Daftar Koreksi'!$D$5:$D$92,'1900'!A4,'Daftar Koreksi'!$G$5:$G$92,"Aset Tetap Lainnya",'Daftar Koreksi'!$H$5:$H$92,"&gt;0")</f>
        <v>0</v>
      </c>
      <c r="F12" s="25">
        <f>SUMIFS('Daftar Koreksi'!$H$5:$H$92,'Daftar Koreksi'!$D$5:$D$92,'1900'!A4,'Daftar Koreksi'!$G$5:$G$92,"Aset Tetap Lainnya",'Daftar Koreksi'!$H$5:$H$92,"&lt;0")-SUMIFS('Daftar Koreksi'!$H$5:$H$92,'Daftar Koreksi'!$D$5:$D$92,'1900'!A4,'Daftar Koreksi'!$G$5:$G$92,"Aset Tetap Lainnya",'Daftar Koreksi'!$H$5:$H$92,"&lt;0")-SUMIFS('Daftar Koreksi'!$H$5:$H$92,'Daftar Koreksi'!$D$5:$D$92,'1900'!A4,'Daftar Koreksi'!$G$5:$G$92,"Aset Tetap Lainnya",'Daftar Koreksi'!$H$5:$H$92,"&lt;0")</f>
        <v>0</v>
      </c>
      <c r="G12" s="17">
        <f t="shared" si="0"/>
        <v>4100630</v>
      </c>
      <c r="H12" s="122"/>
      <c r="O12" s="8" t="s">
        <v>594</v>
      </c>
      <c r="P12" s="8" t="s">
        <v>1732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5260320900</v>
      </c>
      <c r="E13" s="25">
        <f>SUMIFS('Daftar Koreksi'!$H$5:$H$92,'Daftar Koreksi'!$D$5:$D$92,'1900'!A4,'Daftar Koreksi'!$G$5:$G$92,"Kontruksi Dalam Pengerjaan",'Daftar Koreksi'!$H$5:$H$92,"&gt;0")</f>
        <v>0</v>
      </c>
      <c r="F13" s="25">
        <f>SUMIFS('Daftar Koreksi'!$H$5:$H$92,'Daftar Koreksi'!$D$5:$D$92,'1900'!A4,'Daftar Koreksi'!$G$5:$G$92,"Kontruksi Dalam Pengerjaan",'Daftar Koreksi'!$H$5:$H$92,"&lt;0")-SUMIFS('Daftar Koreksi'!$H$5:$H$92,'Daftar Koreksi'!$D$5:$D$92,'1900'!A4,'Daftar Koreksi'!$G$5:$G$92,"Kontruksi Dalam Pengerjaan",'Daftar Koreksi'!$H$5:$H$92,"&lt;0")-SUMIFS('Daftar Koreksi'!$H$5:$H$92,'Daftar Koreksi'!$D$5:$D$92,'1900'!A4,'Daftar Koreksi'!$G$5:$G$92,"Kontruksi Dalam Pengerjaan",'Daftar Koreksi'!$H$5:$H$92,"&lt;0")</f>
        <v>0</v>
      </c>
      <c r="G13" s="17">
        <f t="shared" si="0"/>
        <v>5260320900</v>
      </c>
      <c r="H13" s="122"/>
      <c r="O13" s="8" t="s">
        <v>595</v>
      </c>
      <c r="P13" s="8" t="s">
        <v>1733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152285000</v>
      </c>
      <c r="E14" s="25">
        <f>SUMIFS('Daftar Koreksi'!$H$5:$H$92,'Daftar Koreksi'!$D$5:$D$92,'1900'!A4,'Daftar Koreksi'!$G$5:$G$92,"Aset Tak Berwujud",'Daftar Koreksi'!$H$5:$H$92,"&gt;0")</f>
        <v>0</v>
      </c>
      <c r="F14" s="25">
        <f>SUMIFS('Daftar Koreksi'!$H$5:$H$92,'Daftar Koreksi'!$D$5:$D$92,'1900'!A4,'Daftar Koreksi'!$G$5:$G$92,"Aset Tak Berwujud",'Daftar Koreksi'!$H$5:$H$92,"&lt;0")-SUMIFS('Daftar Koreksi'!$H$5:$H$92,'Daftar Koreksi'!$D$5:$D$92,'1900'!A4,'Daftar Koreksi'!$G$5:$G$92,"Aset Tak Berwujud",'Daftar Koreksi'!$H$5:$H$92,"&lt;0")-SUMIFS('Daftar Koreksi'!$H$5:$H$92,'Daftar Koreksi'!$D$5:$D$92,'1900'!A4,'Daftar Koreksi'!$G$5:$G$92,"Aset Tak Berwujud",'Daftar Koreksi'!$H$5:$H$92,"&lt;0")</f>
        <v>0</v>
      </c>
      <c r="G14" s="17">
        <f t="shared" si="0"/>
        <v>152285000</v>
      </c>
      <c r="H14" s="122"/>
      <c r="O14" s="8" t="s">
        <v>596</v>
      </c>
      <c r="P14" s="8" t="s">
        <v>1734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493719248</v>
      </c>
      <c r="E15" s="25">
        <f>SUMIFS('Daftar Koreksi'!$H$5:$H$92,'Daftar Koreksi'!$D$5:$D$92,'1900'!A4,'Daftar Koreksi'!$G$5:$G$92,"Aset Henti Guna",'Daftar Koreksi'!$H$5:$H$92,"&gt;0")</f>
        <v>0</v>
      </c>
      <c r="F15" s="25">
        <f>SUMIFS('Daftar Koreksi'!$H$5:$H$92,'Daftar Koreksi'!$D$5:$D$92,'1900'!A4,'Daftar Koreksi'!$G$5:$G$92,"Aset Henti Guna",'Daftar Koreksi'!$H$5:$H$92,"&lt;0")-SUMIFS('Daftar Koreksi'!$H$5:$H$92,'Daftar Koreksi'!$D$5:$D$92,'1900'!A4,'Daftar Koreksi'!$G$5:$G$92,"Aset Henti Guna",'Daftar Koreksi'!$H$5:$H$92,"&lt;0")-SUMIFS('Daftar Koreksi'!$H$5:$H$92,'Daftar Koreksi'!$D$5:$D$92,'1900'!A4,'Daftar Koreksi'!$G$5:$G$92,"Aset Henti Guna",'Daftar Koreksi'!$H$5:$H$92,"&lt;0")</f>
        <v>0</v>
      </c>
      <c r="G15" s="17">
        <f t="shared" si="0"/>
        <v>493719248</v>
      </c>
      <c r="H15" s="122"/>
      <c r="O15" s="8" t="s">
        <v>597</v>
      </c>
      <c r="P15" s="8" t="s">
        <v>1735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91075548417</v>
      </c>
      <c r="E16" s="19">
        <f>SUM(E7:E15)</f>
        <v>0</v>
      </c>
      <c r="F16" s="19">
        <f>SUM(F7:F15)</f>
        <v>0</v>
      </c>
      <c r="G16" s="19">
        <f t="shared" si="0"/>
        <v>91075548417</v>
      </c>
      <c r="H16" s="122"/>
      <c r="O16" s="8" t="s">
        <v>598</v>
      </c>
      <c r="P16" s="8" t="s">
        <v>1736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-4819598091</v>
      </c>
      <c r="E17" s="25">
        <f>SUMIFS('Daftar Koreksi'!$I$5:$I$92,'Daftar Koreksi'!$D$5:$D$92,'1900'!A4,'Daftar Koreksi'!$G$5:$G$92,"Peralatan dan mesin",'Daftar Koreksi'!$I$5:$I$92,"&gt;0")</f>
        <v>0</v>
      </c>
      <c r="F17" s="25">
        <f>SUMIFS('Daftar Koreksi'!$I$5:$I$92,'Daftar Koreksi'!$D$5:$D$92,'1900'!A4,'Daftar Koreksi'!$G$5:$G$92,"Peralatan dan mesin",'Daftar Koreksi'!$I$5:$I$92,"&lt;0")-SUMIFS('Daftar Koreksi'!$I$5:$I$92,'Daftar Koreksi'!$D$5:$D$92,'1900'!A4,'Daftar Koreksi'!$G$5:$G$92,"Peralatan dan mesin",'Daftar Koreksi'!$I$5:$I$92,"&lt;0")-SUMIFS('Daftar Koreksi'!$I$5:$I$92,'Daftar Koreksi'!$D$5:$D$92,'1900'!A4,'Daftar Koreksi'!$G$5:$G$92,"Peralatan dan mesin",'Daftar Koreksi'!$I$5:$I$92,"&lt;0")</f>
        <v>0</v>
      </c>
      <c r="G17" s="17">
        <f t="shared" si="0"/>
        <v>-4819598091</v>
      </c>
      <c r="H17" s="122"/>
      <c r="O17" s="8" t="s">
        <v>599</v>
      </c>
      <c r="P17" s="8" t="s">
        <v>1737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-8853039307</v>
      </c>
      <c r="E18" s="25">
        <f>SUMIFS('Daftar Koreksi'!$I$5:$I$92,'Daftar Koreksi'!$D$5:$D$92,'1900'!A4,'Daftar Koreksi'!$G$5:$G$92,"Gedung dan Bangunan",'Daftar Koreksi'!$I$5:$I$92,"&gt;0")</f>
        <v>0</v>
      </c>
      <c r="F18" s="25">
        <f>SUMIFS('Daftar Koreksi'!$I$5:$I$92,'Daftar Koreksi'!$D$5:$D$92,'1900'!A4,'Daftar Koreksi'!$G$5:$G$92,"Gedung dan Bangunan",'Daftar Koreksi'!$I$5:$I$92,"&lt;0")-SUMIFS('Daftar Koreksi'!$I$5:$I$92,'Daftar Koreksi'!$D$5:$D$92,'1900'!A4,'Daftar Koreksi'!$G$5:$G$92,"Gedung dan Bangunan",'Daftar Koreksi'!$I$5:$I$92,"&lt;0")-SUMIFS('Daftar Koreksi'!$I$5:$I$92,'Daftar Koreksi'!$D$5:$D$92,'1900'!A4,'Daftar Koreksi'!$G$5:$G$92,"Gedung dan Bangunan",'Daftar Koreksi'!$I$5:$I$92,"&lt;0")</f>
        <v>0</v>
      </c>
      <c r="G18" s="17">
        <f t="shared" si="0"/>
        <v>-8853039307</v>
      </c>
      <c r="H18" s="122"/>
      <c r="O18" s="8" t="s">
        <v>600</v>
      </c>
      <c r="P18" s="8" t="s">
        <v>1738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-253500475</v>
      </c>
      <c r="E19" s="25">
        <f>SUMIFS('Daftar Koreksi'!$I$5:$I$92,'Daftar Koreksi'!$D$5:$D$92,'1900'!A4,'Daftar Koreksi'!$G$5:$G$92,"Jalan Irigasi Jaringan",'Daftar Koreksi'!$I$5:$I$92,"&gt;0")</f>
        <v>0</v>
      </c>
      <c r="F19" s="25">
        <f>SUMIFS('Daftar Koreksi'!$I$5:$I$92,'Daftar Koreksi'!$D$5:$D$92,'1900'!A4,'Daftar Koreksi'!$G$5:$G$92,"Jalan Irigasi Jaringan",'Daftar Koreksi'!$I$5:$I$92,"&lt;0")-SUMIFS('Daftar Koreksi'!$I$5:$I$92,'Daftar Koreksi'!$D$5:$D$92,'1900'!A4,'Daftar Koreksi'!$G$5:$G$92,"Jalan Irigasi Jaringan",'Daftar Koreksi'!$I$5:$I$92,"&lt;0")-SUMIFS('Daftar Koreksi'!$I$5:$I$92,'Daftar Koreksi'!$D$5:$D$92,'1900'!A4,'Daftar Koreksi'!$G$5:$G$92,"Jalan Irigasi Jaringan",'Daftar Koreksi'!$I$5:$I$92,"&lt;0")</f>
        <v>0</v>
      </c>
      <c r="G19" s="17">
        <f t="shared" si="0"/>
        <v>-253500475</v>
      </c>
      <c r="H19" s="122"/>
      <c r="O19" s="8" t="s">
        <v>601</v>
      </c>
      <c r="P19" s="8" t="s">
        <v>1739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Koreksi'!$D$5:$D$92,'1900'!A4,'Daftar Koreksi'!$G$5:$G$92,"Aset Tetap Lainnya",'Daftar Koreksi'!$I$5:$I$92,"&gt;0")</f>
        <v>0</v>
      </c>
      <c r="F20" s="25">
        <f>SUMIFS('Daftar Koreksi'!$I$5:$I$92,'Daftar Koreksi'!$D$5:$D$92,'1900'!A4,'Daftar Koreksi'!$G$5:$G$92,"Aset Tetap Lainnya",'Daftar Koreksi'!$I$5:$I$92,"&lt;0")-SUMIFS('Daftar Koreksi'!$I$5:$I$92,'Daftar Koreksi'!$D$5:$D$92,'1900'!A4,'Daftar Koreksi'!$G$5:$G$92,"Aset Tetap Lainnya",'Daftar Koreksi'!$I$5:$I$92,"&lt;0")-SUMIFS('Daftar Koreksi'!$I$5:$I$92,'Daftar Koreksi'!$D$5:$D$92,'1900'!A4,'Daftar Koreksi'!$G$5:$G$92,"Aset Tetap Lainnya",'Daftar Koreksi'!$I$5:$I$92,"&lt;0")</f>
        <v>0</v>
      </c>
      <c r="G20" s="17">
        <f t="shared" si="0"/>
        <v>0</v>
      </c>
      <c r="H20" s="122"/>
      <c r="O20" s="8" t="s">
        <v>602</v>
      </c>
      <c r="P20" s="8" t="s">
        <v>1740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-493719248</v>
      </c>
      <c r="E21" s="25">
        <f>SUMIFS('Daftar Koreksi'!$I$5:$I$92,'Daftar Koreksi'!$D$5:$D$92,'1900'!A4,'Daftar Koreksi'!$G$5:$G$92,"Aset Henti Guna",'Daftar Koreksi'!$I$5:$I$92,"&gt;0")</f>
        <v>0</v>
      </c>
      <c r="F21" s="25">
        <f>SUMIFS('Daftar Koreksi'!$I$5:$I$92,'Daftar Koreksi'!$D$5:$D$92,'1900'!A4,'Daftar Koreksi'!$G$5:$G$92,"Aset Henti Guna",'Daftar Koreksi'!$I$5:$I$92,"&lt;0")-SUMIFS('Daftar Koreksi'!$I$5:$I$92,'Daftar Koreksi'!$D$5:$D$92,'1900'!A4,'Daftar Koreksi'!$G$5:$G$92,"Aset Henti Guna",'Daftar Koreksi'!$I$5:$I$92,"&lt;0")-SUMIFS('Daftar Koreksi'!$I$5:$I$92,'Daftar Koreksi'!$D$5:$D$92,'1900'!A4,'Daftar Koreksi'!$G$5:$G$92,"Aset Henti Guna",'Daftar Koreksi'!$I$5:$I$92,"&lt;0")</f>
        <v>0</v>
      </c>
      <c r="G21" s="17">
        <f t="shared" si="0"/>
        <v>-493719248</v>
      </c>
      <c r="H21" s="122"/>
      <c r="O21" s="8" t="s">
        <v>603</v>
      </c>
      <c r="P21" s="8" t="s">
        <v>1741</v>
      </c>
    </row>
    <row r="22" spans="1:16" ht="21.95" customHeight="1">
      <c r="A22" s="14"/>
      <c r="B22" s="14"/>
      <c r="C22" s="18" t="s">
        <v>2094</v>
      </c>
      <c r="D22" s="19">
        <f>SUM(D17:D21)</f>
        <v>-14419857121</v>
      </c>
      <c r="E22" s="19">
        <f>SUM(E17:E21)</f>
        <v>0</v>
      </c>
      <c r="F22" s="19">
        <f>SUM(F17:F21)</f>
        <v>0</v>
      </c>
      <c r="G22" s="19">
        <f t="shared" si="0"/>
        <v>-14419857121</v>
      </c>
      <c r="H22" s="122"/>
      <c r="O22" s="8" t="s">
        <v>604</v>
      </c>
      <c r="P22" s="8" t="s">
        <v>1742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76655691296</v>
      </c>
      <c r="E23" s="19">
        <f>E22+E16</f>
        <v>0</v>
      </c>
      <c r="F23" s="19">
        <f>F22+F16</f>
        <v>0</v>
      </c>
      <c r="G23" s="19">
        <f t="shared" si="0"/>
        <v>76655691296</v>
      </c>
      <c r="H23" s="122"/>
      <c r="O23" s="8" t="s">
        <v>605</v>
      </c>
      <c r="P23" s="8" t="s">
        <v>1743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606</v>
      </c>
      <c r="P24" s="8" t="s">
        <v>1744</v>
      </c>
    </row>
    <row r="25" spans="1:16" ht="19.5" customHeight="1">
      <c r="O25" s="8" t="s">
        <v>607</v>
      </c>
      <c r="P25" s="8" t="s">
        <v>1745</v>
      </c>
    </row>
    <row r="26" spans="1:16" ht="19.5" customHeight="1">
      <c r="A26" s="11" t="str">
        <f>O2</f>
        <v>005011900099422000KD</v>
      </c>
      <c r="B26" s="11" t="str">
        <f>P2</f>
        <v xml:space="preserve">PN. Makassar </v>
      </c>
      <c r="C26" s="12" t="str">
        <f>A26&amp;" "&amp;B26</f>
        <v xml:space="preserve">005011900099422000KD PN. Makassar </v>
      </c>
      <c r="D26" s="13"/>
      <c r="E26" s="13"/>
      <c r="F26" s="13"/>
      <c r="G26" s="13"/>
      <c r="H26" s="11"/>
      <c r="O26" s="8" t="s">
        <v>608</v>
      </c>
      <c r="P26" s="8" t="s">
        <v>1746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609</v>
      </c>
      <c r="P27" s="8" t="s">
        <v>1747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610</v>
      </c>
      <c r="P28" s="8" t="s">
        <v>1748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59023960</v>
      </c>
      <c r="E29" s="25">
        <f>SUMIFS('Daftar Koreksi'!$H$5:$H$92,'Daftar Koreksi'!$D$5:$D$92,'1900'!A26,'Daftar Koreksi'!$G$5:$G$92,"Persediaan",'Daftar Koreksi'!$H$5:$H$92,"&gt;0")</f>
        <v>0</v>
      </c>
      <c r="F29" s="25">
        <f>SUMIFS('Daftar Koreksi'!$H$5:$H$92,'Daftar Koreksi'!$D$5:$D$92,'1900'!A26,'Daftar Koreksi'!$G$5:$G$92,"Persediaan",'Daftar Koreksi'!$H$5:$H$92,"&lt;0")-SUMIFS('Daftar Koreksi'!$H$5:$H$92,'Daftar Koreksi'!$D$5:$D$92,'1900'!A26,'Daftar Koreksi'!$G$5:$G$92,"Persediaan",'Daftar Koreksi'!$H$5:$H$92,"&lt;0")-SUMIFS('Daftar Koreksi'!$H$5:$H$92,'Daftar Koreksi'!$D$5:$D$92,'1900'!A26,'Daftar Koreksi'!$G$5:$G$92,"Persediaan",'Daftar Koreksi'!$H$5:$H$92,"&lt;0")</f>
        <v>0</v>
      </c>
      <c r="G29" s="17">
        <f>D29+E29-F29</f>
        <v>59023960</v>
      </c>
      <c r="H29" s="121" t="str">
        <f>IF(ISNA(VLOOKUP(A26,'Mutasi Neraca'!$A$3:$S$914,19,FALSE)),"-",VLOOKUP(A26,'Mutasi Neraca'!$A$3:$S$914,19,FALSE))</f>
        <v>-</v>
      </c>
      <c r="O29" s="8" t="s">
        <v>611</v>
      </c>
      <c r="P29" s="8" t="s">
        <v>1749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32878550000</v>
      </c>
      <c r="E30" s="25">
        <f>SUMIFS('Daftar Koreksi'!$H$5:$H$92,'Daftar Koreksi'!$D$5:$D$92,'1900'!A26,'Daftar Koreksi'!$G$5:$G$92,"Tanah",'Daftar Koreksi'!$H$5:$H$92,"&gt;0")</f>
        <v>0</v>
      </c>
      <c r="F30" s="25">
        <f>SUMIFS('Daftar Koreksi'!$H$5:$H$92,'Daftar Koreksi'!$D$5:$D$92,'1900'!A26,'Daftar Koreksi'!$G$5:$G$92,"Tanah",'Daftar Koreksi'!$H$5:$H$92,"&lt;0")-SUMIFS('Daftar Koreksi'!$H$5:$H$92,'Daftar Koreksi'!$D$5:$D$92,'1900'!A26,'Daftar Koreksi'!$G$5:$G$92,"Tanah",'Daftar Koreksi'!$H$5:$H$92,"&lt;0")-SUMIFS('Daftar Koreksi'!$H$5:$H$92,'Daftar Koreksi'!$D$5:$D$92,'1900'!A26,'Daftar Koreksi'!$G$5:$G$92,"Tanah",'Daftar Koreksi'!$H$5:$H$92,"&lt;0")</f>
        <v>0</v>
      </c>
      <c r="G30" s="17">
        <f t="shared" ref="G30:G46" si="1">D30+E30-F30</f>
        <v>32878550000</v>
      </c>
      <c r="H30" s="122"/>
      <c r="O30" s="8" t="s">
        <v>612</v>
      </c>
      <c r="P30" s="8" t="s">
        <v>1750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7122605741</v>
      </c>
      <c r="E31" s="25">
        <f>SUMIFS('Daftar Koreksi'!$H$5:$H$92,'Daftar Koreksi'!$D$5:$D$92,'1900'!A26,'Daftar Koreksi'!$G$5:$G$92,"Peralatan dan mesin",'Daftar Koreksi'!$H$5:$H$92,"&gt;0")</f>
        <v>0</v>
      </c>
      <c r="F31" s="25">
        <f>SUMIFS('Daftar Koreksi'!$H$5:$H$92,'Daftar Koreksi'!$D$5:$D$92,'1900'!A26,'Daftar Koreksi'!$G$5:$G$92,"Peralatan dan mesin",'Daftar Koreksi'!$H$5:$H$92,"&lt;0")-SUMIFS('Daftar Koreksi'!$H$5:$H$92,'Daftar Koreksi'!$D$5:$D$92,'1900'!A26,'Daftar Koreksi'!$G$5:$G$92,"Peralatan dan mesin",'Daftar Koreksi'!$H$5:$H$92,"&lt;0")-SUMIFS('Daftar Koreksi'!$H$5:$H$92,'Daftar Koreksi'!$D$5:$D$92,'1900'!A26,'Daftar Koreksi'!$G$5:$G$92,"Peralatan dan mesin",'Daftar Koreksi'!$H$5:$H$92,"&lt;0")</f>
        <v>0</v>
      </c>
      <c r="G31" s="17">
        <f t="shared" si="1"/>
        <v>7122605741</v>
      </c>
      <c r="H31" s="122"/>
      <c r="O31" s="8" t="s">
        <v>613</v>
      </c>
      <c r="P31" s="8" t="s">
        <v>1751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19918651302</v>
      </c>
      <c r="E32" s="25">
        <f>SUMIFS('Daftar Koreksi'!$H$5:$H$92,'Daftar Koreksi'!$D$5:$D$92,'1900'!A26,'Daftar Koreksi'!$G$5:$G$92,"Gedung dan Bangunan",'Daftar Koreksi'!$H$5:$H$92,"&gt;0")</f>
        <v>0</v>
      </c>
      <c r="F32" s="25">
        <f>SUMIFS('Daftar Koreksi'!$H$5:$H$92,'Daftar Koreksi'!$D$5:$D$92,'1900'!A26,'Daftar Koreksi'!$G$5:$G$92,"Gedung dan Bangunan",'Daftar Koreksi'!$H$5:$H$92,"&lt;0")-SUMIFS('Daftar Koreksi'!$H$5:$H$92,'Daftar Koreksi'!$D$5:$D$92,'1900'!A26,'Daftar Koreksi'!$G$5:$G$92,"Gedung dan Bangunan",'Daftar Koreksi'!$H$5:$H$92,"&lt;0")-SUMIFS('Daftar Koreksi'!$H$5:$H$92,'Daftar Koreksi'!$D$5:$D$92,'1900'!A26,'Daftar Koreksi'!$G$5:$G$92,"Gedung dan Bangunan",'Daftar Koreksi'!$H$5:$H$92,"&lt;0")</f>
        <v>0</v>
      </c>
      <c r="G32" s="17">
        <f t="shared" si="1"/>
        <v>19918651302</v>
      </c>
      <c r="H32" s="122"/>
      <c r="O32" s="8" t="s">
        <v>614</v>
      </c>
      <c r="P32" s="8" t="s">
        <v>1752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Koreksi'!$D$5:$D$92,'1900'!A26,'Daftar Koreksi'!$G$5:$G$92,"Jalan Irigasi Jaringan",'Daftar Koreksi'!$H$5:$H$92,"&gt;0")</f>
        <v>0</v>
      </c>
      <c r="F33" s="25">
        <f>SUMIFS('Daftar Koreksi'!$H$5:$H$92,'Daftar Koreksi'!$D$5:$D$92,'1900'!A26,'Daftar Koreksi'!$G$5:$G$92,"Jalan Irigasi Jaringan",'Daftar Koreksi'!$H$5:$H$92,"&lt;0")-SUMIFS('Daftar Koreksi'!$H$5:$H$92,'Daftar Koreksi'!$D$5:$D$92,'1900'!A26,'Daftar Koreksi'!$G$5:$G$92,"Jalan Irigasi Jaringan",'Daftar Koreksi'!$H$5:$H$92,"&lt;0")-SUMIFS('Daftar Koreksi'!$H$5:$H$92,'Daftar Koreksi'!$D$5:$D$92,'1900'!A26,'Daftar Koreksi'!$G$5:$G$92,"Jalan Irigasi Jaringan",'Daftar Koreksi'!$H$5:$H$92,"&lt;0")</f>
        <v>0</v>
      </c>
      <c r="G33" s="17">
        <f t="shared" si="1"/>
        <v>0</v>
      </c>
      <c r="H33" s="122"/>
      <c r="O33" s="8" t="s">
        <v>615</v>
      </c>
      <c r="P33" s="8" t="s">
        <v>1753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157273440</v>
      </c>
      <c r="E34" s="25">
        <f>SUMIFS('Daftar Koreksi'!$H$5:$H$92,'Daftar Koreksi'!$D$5:$D$92,'1900'!A26,'Daftar Koreksi'!$G$5:$G$92,"Aset Tetap Lainnya",'Daftar Koreksi'!$H$5:$H$92,"&gt;0")</f>
        <v>0</v>
      </c>
      <c r="F34" s="25">
        <f>SUMIFS('Daftar Koreksi'!$H$5:$H$92,'Daftar Koreksi'!$D$5:$D$92,'1900'!A26,'Daftar Koreksi'!$G$5:$G$92,"Aset Tetap Lainnya",'Daftar Koreksi'!$H$5:$H$92,"&lt;0")-SUMIFS('Daftar Koreksi'!$H$5:$H$92,'Daftar Koreksi'!$D$5:$D$92,'1900'!A26,'Daftar Koreksi'!$G$5:$G$92,"Aset Tetap Lainnya",'Daftar Koreksi'!$H$5:$H$92,"&lt;0")-SUMIFS('Daftar Koreksi'!$H$5:$H$92,'Daftar Koreksi'!$D$5:$D$92,'1900'!A26,'Daftar Koreksi'!$G$5:$G$92,"Aset Tetap Lainnya",'Daftar Koreksi'!$H$5:$H$92,"&lt;0")</f>
        <v>0</v>
      </c>
      <c r="G34" s="17">
        <f t="shared" si="1"/>
        <v>157273440</v>
      </c>
      <c r="H34" s="122"/>
      <c r="O34" s="8" t="s">
        <v>616</v>
      </c>
      <c r="P34" s="8" t="s">
        <v>1754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Koreksi'!$D$5:$D$92,'1900'!A26,'Daftar Koreksi'!$G$5:$G$92,"Kontruksi Dalam Pengerjaan",'Daftar Koreksi'!$H$5:$H$92,"&gt;0")</f>
        <v>0</v>
      </c>
      <c r="F35" s="25">
        <f>SUMIFS('Daftar Koreksi'!$H$5:$H$92,'Daftar Koreksi'!$D$5:$D$92,'1900'!A26,'Daftar Koreksi'!$G$5:$G$92,"Kontruksi Dalam Pengerjaan",'Daftar Koreksi'!$H$5:$H$92,"&lt;0")-SUMIFS('Daftar Koreksi'!$H$5:$H$92,'Daftar Koreksi'!$D$5:$D$92,'1900'!A26,'Daftar Koreksi'!$G$5:$G$92,"Kontruksi Dalam Pengerjaan",'Daftar Koreksi'!$H$5:$H$92,"&lt;0")-SUMIFS('Daftar Koreksi'!$H$5:$H$92,'Daftar Koreksi'!$D$5:$D$92,'1900'!A26,'Daftar Koreksi'!$G$5:$G$92,"Kontruksi Dalam Pengerjaan",'Daftar Koreksi'!$H$5:$H$92,"&lt;0")</f>
        <v>0</v>
      </c>
      <c r="G35" s="17">
        <f t="shared" si="1"/>
        <v>0</v>
      </c>
      <c r="H35" s="122"/>
      <c r="O35" s="8" t="s">
        <v>617</v>
      </c>
      <c r="P35" s="8" t="s">
        <v>1755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Koreksi'!$D$5:$D$92,'1900'!A26,'Daftar Koreksi'!$G$5:$G$92,"Aset Tak Berwujud",'Daftar Koreksi'!$H$5:$H$92,"&gt;0")</f>
        <v>0</v>
      </c>
      <c r="F36" s="25">
        <f>SUMIFS('Daftar Koreksi'!$H$5:$H$92,'Daftar Koreksi'!$D$5:$D$92,'1900'!A26,'Daftar Koreksi'!$G$5:$G$92,"Aset Tak Berwujud",'Daftar Koreksi'!$H$5:$H$92,"&lt;0")-SUMIFS('Daftar Koreksi'!$H$5:$H$92,'Daftar Koreksi'!$D$5:$D$92,'1900'!A26,'Daftar Koreksi'!$G$5:$G$92,"Aset Tak Berwujud",'Daftar Koreksi'!$H$5:$H$92,"&lt;0")-SUMIFS('Daftar Koreksi'!$H$5:$H$92,'Daftar Koreksi'!$D$5:$D$92,'1900'!A26,'Daftar Koreksi'!$G$5:$G$92,"Aset Tak Berwujud",'Daftar Koreksi'!$H$5:$H$92,"&lt;0")</f>
        <v>0</v>
      </c>
      <c r="G36" s="17">
        <f t="shared" si="1"/>
        <v>0</v>
      </c>
      <c r="H36" s="122"/>
      <c r="O36" s="8" t="s">
        <v>618</v>
      </c>
      <c r="P36" s="8" t="s">
        <v>1756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Koreksi'!$D$5:$D$92,'1900'!A26,'Daftar Koreksi'!$G$5:$G$92,"Aset Henti Guna",'Daftar Koreksi'!$H$5:$H$92,"&gt;0")</f>
        <v>0</v>
      </c>
      <c r="F37" s="25">
        <f>SUMIFS('Daftar Koreksi'!$H$5:$H$92,'Daftar Koreksi'!$D$5:$D$92,'1900'!A26,'Daftar Koreksi'!$G$5:$G$92,"Aset Henti Guna",'Daftar Koreksi'!$H$5:$H$92,"&lt;0")-SUMIFS('Daftar Koreksi'!$H$5:$H$92,'Daftar Koreksi'!$D$5:$D$92,'1900'!A26,'Daftar Koreksi'!$G$5:$G$92,"Aset Henti Guna",'Daftar Koreksi'!$H$5:$H$92,"&lt;0")-SUMIFS('Daftar Koreksi'!$H$5:$H$92,'Daftar Koreksi'!$D$5:$D$92,'1900'!A26,'Daftar Koreksi'!$G$5:$G$92,"Aset Henti Guna",'Daftar Koreksi'!$H$5:$H$92,"&lt;0")</f>
        <v>0</v>
      </c>
      <c r="G37" s="17">
        <f t="shared" si="1"/>
        <v>0</v>
      </c>
      <c r="H37" s="122"/>
      <c r="O37" s="8" t="s">
        <v>619</v>
      </c>
      <c r="P37" s="8" t="s">
        <v>1757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60136104443</v>
      </c>
      <c r="E38" s="19">
        <f>SUM(E29:E37)</f>
        <v>0</v>
      </c>
      <c r="F38" s="19">
        <f>SUM(F29:F37)</f>
        <v>0</v>
      </c>
      <c r="G38" s="19">
        <f t="shared" si="1"/>
        <v>60136104443</v>
      </c>
      <c r="H38" s="122"/>
      <c r="O38" s="8" t="s">
        <v>620</v>
      </c>
      <c r="P38" s="8" t="s">
        <v>1758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-4997783992</v>
      </c>
      <c r="E39" s="25">
        <f>SUMIFS('Daftar Koreksi'!$I$5:$I$92,'Daftar Koreksi'!$D$5:$D$92,'1900'!A26,'Daftar Koreksi'!$G$5:$G$92,"Peralatan dan mesin",'Daftar Koreksi'!$I$5:$I$92,"&gt;0")</f>
        <v>0</v>
      </c>
      <c r="F39" s="25">
        <f>SUMIFS('Daftar Koreksi'!$I$5:$I$92,'Daftar Koreksi'!$D$5:$D$92,'1900'!A26,'Daftar Koreksi'!$G$5:$G$92,"Peralatan dan mesin",'Daftar Koreksi'!$I$5:$I$92,"&lt;0")-SUMIFS('Daftar Koreksi'!$I$5:$I$92,'Daftar Koreksi'!$D$5:$D$92,'1900'!A26,'Daftar Koreksi'!$G$5:$G$92,"Peralatan dan mesin",'Daftar Koreksi'!$I$5:$I$92,"&lt;0")-SUMIFS('Daftar Koreksi'!$I$5:$I$92,'Daftar Koreksi'!$D$5:$D$92,'1900'!A26,'Daftar Koreksi'!$G$5:$G$92,"Peralatan dan mesin",'Daftar Koreksi'!$I$5:$I$92,"&lt;0")</f>
        <v>0</v>
      </c>
      <c r="G39" s="17">
        <f t="shared" si="1"/>
        <v>-4997783992</v>
      </c>
      <c r="H39" s="122"/>
      <c r="O39" s="8" t="s">
        <v>621</v>
      </c>
      <c r="P39" s="8" t="s">
        <v>1759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-4491844113</v>
      </c>
      <c r="E40" s="25">
        <f>SUMIFS('Daftar Koreksi'!$I$5:$I$92,'Daftar Koreksi'!$D$5:$D$92,'1900'!A26,'Daftar Koreksi'!$G$5:$G$92,"Gedung dan Bangunan",'Daftar Koreksi'!$I$5:$I$92,"&gt;0")</f>
        <v>0</v>
      </c>
      <c r="F40" s="25">
        <f>SUMIFS('Daftar Koreksi'!$I$5:$I$92,'Daftar Koreksi'!$D$5:$D$92,'1900'!A26,'Daftar Koreksi'!$G$5:$G$92,"Gedung dan Bangunan",'Daftar Koreksi'!$I$5:$I$92,"&lt;0")-SUMIFS('Daftar Koreksi'!$I$5:$I$92,'Daftar Koreksi'!$D$5:$D$92,'1900'!A26,'Daftar Koreksi'!$G$5:$G$92,"Gedung dan Bangunan",'Daftar Koreksi'!$I$5:$I$92,"&lt;0")-SUMIFS('Daftar Koreksi'!$I$5:$I$92,'Daftar Koreksi'!$D$5:$D$92,'1900'!A26,'Daftar Koreksi'!$G$5:$G$92,"Gedung dan Bangunan",'Daftar Koreksi'!$I$5:$I$92,"&lt;0")</f>
        <v>0</v>
      </c>
      <c r="G40" s="17">
        <f t="shared" si="1"/>
        <v>-4491844113</v>
      </c>
      <c r="H40" s="122"/>
      <c r="O40" s="8" t="s">
        <v>622</v>
      </c>
      <c r="P40" s="8" t="s">
        <v>1760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Koreksi'!$D$5:$D$92,'1900'!A26,'Daftar Koreksi'!$G$5:$G$92,"Jalan Irigasi Jaringan",'Daftar Koreksi'!$I$5:$I$92,"&gt;0")</f>
        <v>0</v>
      </c>
      <c r="F41" s="25">
        <f>SUMIFS('Daftar Koreksi'!$I$5:$I$92,'Daftar Koreksi'!$D$5:$D$92,'1900'!A26,'Daftar Koreksi'!$G$5:$G$92,"Jalan Irigasi Jaringan",'Daftar Koreksi'!$I$5:$I$92,"&lt;0")-SUMIFS('Daftar Koreksi'!$I$5:$I$92,'Daftar Koreksi'!$D$5:$D$92,'1900'!A26,'Daftar Koreksi'!$G$5:$G$92,"Jalan Irigasi Jaringan",'Daftar Koreksi'!$I$5:$I$92,"&lt;0")-SUMIFS('Daftar Koreksi'!$I$5:$I$92,'Daftar Koreksi'!$D$5:$D$92,'1900'!A26,'Daftar Koreksi'!$G$5:$G$92,"Jalan Irigasi Jaringan",'Daftar Koreksi'!$I$5:$I$92,"&lt;0")</f>
        <v>0</v>
      </c>
      <c r="G41" s="17">
        <f t="shared" si="1"/>
        <v>0</v>
      </c>
      <c r="H41" s="122"/>
      <c r="O41" s="8" t="s">
        <v>623</v>
      </c>
      <c r="P41" s="8" t="s">
        <v>1761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-1500000</v>
      </c>
      <c r="E42" s="25">
        <f>SUMIFS('Daftar Koreksi'!$I$5:$I$92,'Daftar Koreksi'!$D$5:$D$92,'1900'!A26,'Daftar Koreksi'!$G$5:$G$92,"Aset Tetap Lainnya",'Daftar Koreksi'!$I$5:$I$92,"&gt;0")</f>
        <v>0</v>
      </c>
      <c r="F42" s="25">
        <f>SUMIFS('Daftar Koreksi'!$I$5:$I$92,'Daftar Koreksi'!$D$5:$D$92,'1900'!A26,'Daftar Koreksi'!$G$5:$G$92,"Aset Tetap Lainnya",'Daftar Koreksi'!$I$5:$I$92,"&lt;0")-SUMIFS('Daftar Koreksi'!$I$5:$I$92,'Daftar Koreksi'!$D$5:$D$92,'1900'!A26,'Daftar Koreksi'!$G$5:$G$92,"Aset Tetap Lainnya",'Daftar Koreksi'!$I$5:$I$92,"&lt;0")-SUMIFS('Daftar Koreksi'!$I$5:$I$92,'Daftar Koreksi'!$D$5:$D$92,'1900'!A26,'Daftar Koreksi'!$G$5:$G$92,"Aset Tetap Lainnya",'Daftar Koreksi'!$I$5:$I$92,"&lt;0")</f>
        <v>0</v>
      </c>
      <c r="G42" s="17">
        <f t="shared" si="1"/>
        <v>-1500000</v>
      </c>
      <c r="H42" s="122"/>
      <c r="O42" s="8" t="s">
        <v>624</v>
      </c>
      <c r="P42" s="8" t="s">
        <v>1762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Koreksi'!$D$5:$D$92,'1900'!A26,'Daftar Koreksi'!$G$5:$G$92,"Aset Henti Guna",'Daftar Koreksi'!$I$5:$I$92,"&gt;0")</f>
        <v>0</v>
      </c>
      <c r="F43" s="25">
        <f>SUMIFS('Daftar Koreksi'!$I$5:$I$92,'Daftar Koreksi'!$D$5:$D$92,'1900'!A26,'Daftar Koreksi'!$G$5:$G$92,"Aset Henti Guna",'Daftar Koreksi'!$I$5:$I$92,"&lt;0")-SUMIFS('Daftar Koreksi'!$I$5:$I$92,'Daftar Koreksi'!$D$5:$D$92,'1900'!A26,'Daftar Koreksi'!$G$5:$G$92,"Aset Henti Guna",'Daftar Koreksi'!$I$5:$I$92,"&lt;0")-SUMIFS('Daftar Koreksi'!$I$5:$I$92,'Daftar Koreksi'!$D$5:$D$92,'1900'!A26,'Daftar Koreksi'!$G$5:$G$92,"Aset Henti Guna",'Daftar Koreksi'!$I$5:$I$92,"&lt;0")</f>
        <v>0</v>
      </c>
      <c r="G43" s="17">
        <f t="shared" si="1"/>
        <v>0</v>
      </c>
      <c r="H43" s="122"/>
      <c r="O43" s="8" t="s">
        <v>625</v>
      </c>
      <c r="P43" s="8" t="s">
        <v>1763</v>
      </c>
    </row>
    <row r="44" spans="1:16" ht="21.95" customHeight="1">
      <c r="A44" s="14"/>
      <c r="B44" s="14"/>
      <c r="C44" s="18" t="s">
        <v>2094</v>
      </c>
      <c r="D44" s="19">
        <f>SUM(D39:D43)</f>
        <v>-9491128105</v>
      </c>
      <c r="E44" s="19">
        <f>SUM(E39:E43)</f>
        <v>0</v>
      </c>
      <c r="F44" s="19">
        <f>SUM(F39:F43)</f>
        <v>0</v>
      </c>
      <c r="G44" s="19">
        <f t="shared" si="1"/>
        <v>-9491128105</v>
      </c>
      <c r="H44" s="122"/>
      <c r="O44" s="8" t="s">
        <v>626</v>
      </c>
      <c r="P44" s="8" t="s">
        <v>1764</v>
      </c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50644976338</v>
      </c>
      <c r="E45" s="19">
        <f>E44+E38</f>
        <v>0</v>
      </c>
      <c r="F45" s="19">
        <f>F44+F38</f>
        <v>0</v>
      </c>
      <c r="G45" s="19">
        <f t="shared" si="1"/>
        <v>50644976338</v>
      </c>
      <c r="H45" s="122"/>
      <c r="O45" s="8" t="s">
        <v>627</v>
      </c>
      <c r="P45" s="8" t="s">
        <v>1765</v>
      </c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O46" s="8" t="s">
        <v>628</v>
      </c>
      <c r="P46" s="8" t="s">
        <v>1766</v>
      </c>
    </row>
    <row r="47" spans="1:16" ht="19.5" customHeight="1">
      <c r="O47" s="8" t="s">
        <v>629</v>
      </c>
      <c r="P47" s="8" t="s">
        <v>1767</v>
      </c>
    </row>
    <row r="48" spans="1:16" ht="19.5" customHeight="1">
      <c r="A48" s="11" t="str">
        <f>O3</f>
        <v>005011900099439000KD</v>
      </c>
      <c r="B48" s="11" t="str">
        <f>P3</f>
        <v>PN. Sungguminasa</v>
      </c>
      <c r="C48" s="12" t="str">
        <f>A48&amp;" "&amp;B48</f>
        <v>005011900099439000KD PN. Sungguminasa</v>
      </c>
      <c r="D48" s="13"/>
      <c r="E48" s="13"/>
      <c r="F48" s="13"/>
      <c r="G48" s="13"/>
      <c r="H48" s="11"/>
      <c r="O48" s="8" t="s">
        <v>630</v>
      </c>
      <c r="P48" s="8" t="s">
        <v>1768</v>
      </c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1071995</v>
      </c>
      <c r="E51" s="25">
        <f>SUMIFS('Daftar Koreksi'!$H$5:$H$92,'Daftar Koreksi'!$D$5:$D$92,'1900'!A48,'Daftar Koreksi'!$G$5:$G$92,"Persediaan",'Daftar Koreksi'!$H$5:$H$92,"&gt;0")</f>
        <v>0</v>
      </c>
      <c r="F51" s="25">
        <f>SUMIFS('Daftar Koreksi'!$H$5:$H$92,'Daftar Koreksi'!$D$5:$D$92,'1900'!A48,'Daftar Koreksi'!$G$5:$G$92,"Persediaan",'Daftar Koreksi'!$H$5:$H$92,"&lt;0")-SUMIFS('Daftar Koreksi'!$H$5:$H$92,'Daftar Koreksi'!$D$5:$D$92,'1900'!A48,'Daftar Koreksi'!$G$5:$G$92,"Persediaan",'Daftar Koreksi'!$H$5:$H$92,"&lt;0")-SUMIFS('Daftar Koreksi'!$H$5:$H$92,'Daftar Koreksi'!$D$5:$D$92,'1900'!A48,'Daftar Koreksi'!$G$5:$G$92,"Persediaan",'Daftar Koreksi'!$H$5:$H$92,"&lt;0")</f>
        <v>0</v>
      </c>
      <c r="G51" s="17">
        <f>D51+E51-F51</f>
        <v>1071995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4230309756</v>
      </c>
      <c r="E52" s="25">
        <f>SUMIFS('Daftar Koreksi'!$H$5:$H$92,'Daftar Koreksi'!$D$5:$D$92,'1900'!A48,'Daftar Koreksi'!$G$5:$G$92,"Tanah",'Daftar Koreksi'!$H$5:$H$92,"&gt;0")</f>
        <v>0</v>
      </c>
      <c r="F52" s="25">
        <f>SUMIFS('Daftar Koreksi'!$H$5:$H$92,'Daftar Koreksi'!$D$5:$D$92,'1900'!A48,'Daftar Koreksi'!$G$5:$G$92,"Tanah",'Daftar Koreksi'!$H$5:$H$92,"&lt;0")-SUMIFS('Daftar Koreksi'!$H$5:$H$92,'Daftar Koreksi'!$D$5:$D$92,'1900'!A48,'Daftar Koreksi'!$G$5:$G$92,"Tanah",'Daftar Koreksi'!$H$5:$H$92,"&lt;0")-SUMIFS('Daftar Koreksi'!$H$5:$H$92,'Daftar Koreksi'!$D$5:$D$92,'1900'!A48,'Daftar Koreksi'!$G$5:$G$92,"Tanah",'Daftar Koreksi'!$H$5:$H$92,"&lt;0")</f>
        <v>0</v>
      </c>
      <c r="G52" s="17">
        <f t="shared" ref="G52:G68" si="2">D52+E52-F52</f>
        <v>4230309756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1947587861</v>
      </c>
      <c r="E53" s="25">
        <f>SUMIFS('Daftar Koreksi'!$H$5:$H$92,'Daftar Koreksi'!$D$5:$D$92,'1900'!A48,'Daftar Koreksi'!$G$5:$G$92,"Peralatan dan mesin",'Daftar Koreksi'!$H$5:$H$92,"&gt;0")</f>
        <v>0</v>
      </c>
      <c r="F53" s="25">
        <f>SUMIFS('Daftar Koreksi'!$H$5:$H$92,'Daftar Koreksi'!$D$5:$D$92,'1900'!A48,'Daftar Koreksi'!$G$5:$G$92,"Peralatan dan mesin",'Daftar Koreksi'!$H$5:$H$92,"&lt;0")-SUMIFS('Daftar Koreksi'!$H$5:$H$92,'Daftar Koreksi'!$D$5:$D$92,'1900'!A48,'Daftar Koreksi'!$G$5:$G$92,"Peralatan dan mesin",'Daftar Koreksi'!$H$5:$H$92,"&lt;0")-SUMIFS('Daftar Koreksi'!$H$5:$H$92,'Daftar Koreksi'!$D$5:$D$92,'1900'!A48,'Daftar Koreksi'!$G$5:$G$92,"Peralatan dan mesin",'Daftar Koreksi'!$H$5:$H$92,"&lt;0")</f>
        <v>0</v>
      </c>
      <c r="G53" s="17">
        <f t="shared" si="2"/>
        <v>1947587861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4511087355</v>
      </c>
      <c r="E54" s="25">
        <f>SUMIFS('Daftar Koreksi'!$H$5:$H$92,'Daftar Koreksi'!$D$5:$D$92,'1900'!A48,'Daftar Koreksi'!$G$5:$G$92,"Gedung dan Bangunan",'Daftar Koreksi'!$H$5:$H$92,"&gt;0")</f>
        <v>0</v>
      </c>
      <c r="F54" s="25">
        <f>SUMIFS('Daftar Koreksi'!$H$5:$H$92,'Daftar Koreksi'!$D$5:$D$92,'1900'!A48,'Daftar Koreksi'!$G$5:$G$92,"Gedung dan Bangunan",'Daftar Koreksi'!$H$5:$H$92,"&lt;0")-SUMIFS('Daftar Koreksi'!$H$5:$H$92,'Daftar Koreksi'!$D$5:$D$92,'1900'!A48,'Daftar Koreksi'!$G$5:$G$92,"Gedung dan Bangunan",'Daftar Koreksi'!$H$5:$H$92,"&lt;0")-SUMIFS('Daftar Koreksi'!$H$5:$H$92,'Daftar Koreksi'!$D$5:$D$92,'1900'!A48,'Daftar Koreksi'!$G$5:$G$92,"Gedung dan Bangunan",'Daftar Koreksi'!$H$5:$H$92,"&lt;0")</f>
        <v>0</v>
      </c>
      <c r="G54" s="17">
        <f t="shared" si="2"/>
        <v>4511087355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Koreksi'!$D$5:$D$92,'1900'!A48,'Daftar Koreksi'!$G$5:$G$92,"Jalan Irigasi Jaringan",'Daftar Koreksi'!$H$5:$H$92,"&gt;0")</f>
        <v>0</v>
      </c>
      <c r="F55" s="25">
        <f>SUMIFS('Daftar Koreksi'!$H$5:$H$92,'Daftar Koreksi'!$D$5:$D$92,'1900'!A48,'Daftar Koreksi'!$G$5:$G$92,"Jalan Irigasi Jaringan",'Daftar Koreksi'!$H$5:$H$92,"&lt;0")-SUMIFS('Daftar Koreksi'!$H$5:$H$92,'Daftar Koreksi'!$D$5:$D$92,'1900'!A48,'Daftar Koreksi'!$G$5:$G$92,"Jalan Irigasi Jaringan",'Daftar Koreksi'!$H$5:$H$92,"&lt;0")-SUMIFS('Daftar Koreksi'!$H$5:$H$92,'Daftar Koreksi'!$D$5:$D$92,'1900'!A48,'Daftar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98532118</v>
      </c>
      <c r="E56" s="25">
        <f>SUMIFS('Daftar Koreksi'!$H$5:$H$92,'Daftar Koreksi'!$D$5:$D$92,'1900'!A48,'Daftar Koreksi'!$G$5:$G$92,"Aset Tetap Lainnya",'Daftar Koreksi'!$H$5:$H$92,"&gt;0")</f>
        <v>0</v>
      </c>
      <c r="F56" s="25">
        <f>SUMIFS('Daftar Koreksi'!$H$5:$H$92,'Daftar Koreksi'!$D$5:$D$92,'1900'!A48,'Daftar Koreksi'!$G$5:$G$92,"Aset Tetap Lainnya",'Daftar Koreksi'!$H$5:$H$92,"&lt;0")-SUMIFS('Daftar Koreksi'!$H$5:$H$92,'Daftar Koreksi'!$D$5:$D$92,'1900'!A48,'Daftar Koreksi'!$G$5:$G$92,"Aset Tetap Lainnya",'Daftar Koreksi'!$H$5:$H$92,"&lt;0")-SUMIFS('Daftar Koreksi'!$H$5:$H$92,'Daftar Koreksi'!$D$5:$D$92,'1900'!A48,'Daftar Koreksi'!$G$5:$G$92,"Aset Tetap Lainnya",'Daftar Koreksi'!$H$5:$H$92,"&lt;0")</f>
        <v>0</v>
      </c>
      <c r="G56" s="17">
        <f t="shared" si="2"/>
        <v>98532118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Koreksi'!$D$5:$D$92,'1900'!A48,'Daftar Koreksi'!$G$5:$G$92,"Kontruksi Dalam Pengerjaan",'Daftar Koreksi'!$H$5:$H$92,"&gt;0")</f>
        <v>0</v>
      </c>
      <c r="F57" s="25">
        <f>SUMIFS('Daftar Koreksi'!$H$5:$H$92,'Daftar Koreksi'!$D$5:$D$92,'1900'!A48,'Daftar Koreksi'!$G$5:$G$92,"Kontruksi Dalam Pengerjaan",'Daftar Koreksi'!$H$5:$H$92,"&lt;0")-SUMIFS('Daftar Koreksi'!$H$5:$H$92,'Daftar Koreksi'!$D$5:$D$92,'1900'!A48,'Daftar Koreksi'!$G$5:$G$92,"Kontruksi Dalam Pengerjaan",'Daftar Koreksi'!$H$5:$H$92,"&lt;0")-SUMIFS('Daftar Koreksi'!$H$5:$H$92,'Daftar Koreksi'!$D$5:$D$92,'1900'!A48,'Daftar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Koreksi'!$D$5:$D$92,'1900'!A48,'Daftar Koreksi'!$G$5:$G$92,"Aset Tak Berwujud",'Daftar Koreksi'!$H$5:$H$92,"&gt;0")</f>
        <v>0</v>
      </c>
      <c r="F58" s="25">
        <f>SUMIFS('Daftar Koreksi'!$H$5:$H$92,'Daftar Koreksi'!$D$5:$D$92,'1900'!A48,'Daftar Koreksi'!$G$5:$G$92,"Aset Tak Berwujud",'Daftar Koreksi'!$H$5:$H$92,"&lt;0")-SUMIFS('Daftar Koreksi'!$H$5:$H$92,'Daftar Koreksi'!$D$5:$D$92,'1900'!A48,'Daftar Koreksi'!$G$5:$G$92,"Aset Tak Berwujud",'Daftar Koreksi'!$H$5:$H$92,"&lt;0")-SUMIFS('Daftar Koreksi'!$H$5:$H$92,'Daftar Koreksi'!$D$5:$D$92,'1900'!A48,'Daftar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Koreksi'!$D$5:$D$92,'1900'!A48,'Daftar Koreksi'!$G$5:$G$92,"Aset Henti Guna",'Daftar Koreksi'!$H$5:$H$92,"&gt;0")</f>
        <v>0</v>
      </c>
      <c r="F59" s="25">
        <f>SUMIFS('Daftar Koreksi'!$H$5:$H$92,'Daftar Koreksi'!$D$5:$D$92,'1900'!A48,'Daftar Koreksi'!$G$5:$G$92,"Aset Henti Guna",'Daftar Koreksi'!$H$5:$H$92,"&lt;0")-SUMIFS('Daftar Koreksi'!$H$5:$H$92,'Daftar Koreksi'!$D$5:$D$92,'1900'!A48,'Daftar Koreksi'!$G$5:$G$92,"Aset Henti Guna",'Daftar Koreksi'!$H$5:$H$92,"&lt;0")-SUMIFS('Daftar Koreksi'!$H$5:$H$92,'Daftar Koreksi'!$D$5:$D$92,'1900'!A48,'Daftar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10788589085</v>
      </c>
      <c r="E60" s="19">
        <f>SUM(E51:E59)</f>
        <v>0</v>
      </c>
      <c r="F60" s="19">
        <f>SUM(F51:F59)</f>
        <v>0</v>
      </c>
      <c r="G60" s="19">
        <f t="shared" si="2"/>
        <v>10788589085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-1651184704</v>
      </c>
      <c r="E61" s="25">
        <f>SUMIFS('Daftar Koreksi'!$I$5:$I$92,'Daftar Koreksi'!$D$5:$D$92,'1900'!A48,'Daftar Koreksi'!$G$5:$G$92,"Peralatan dan mesin",'Daftar Koreksi'!$I$5:$I$92,"&gt;0")</f>
        <v>0</v>
      </c>
      <c r="F61" s="25">
        <f>SUMIFS('Daftar Koreksi'!$I$5:$I$92,'Daftar Koreksi'!$D$5:$D$92,'1900'!A48,'Daftar Koreksi'!$G$5:$G$92,"Peralatan dan mesin",'Daftar Koreksi'!$I$5:$I$92,"&lt;0")-SUMIFS('Daftar Koreksi'!$I$5:$I$92,'Daftar Koreksi'!$D$5:$D$92,'1900'!A48,'Daftar Koreksi'!$G$5:$G$92,"Peralatan dan mesin",'Daftar Koreksi'!$I$5:$I$92,"&lt;0")-SUMIFS('Daftar Koreksi'!$I$5:$I$92,'Daftar Koreksi'!$D$5:$D$92,'1900'!A48,'Daftar Koreksi'!$G$5:$G$92,"Peralatan dan mesin",'Daftar Koreksi'!$I$5:$I$92,"&lt;0")</f>
        <v>0</v>
      </c>
      <c r="G61" s="17">
        <f t="shared" si="2"/>
        <v>-1651184704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-2717355707</v>
      </c>
      <c r="E62" s="25">
        <f>SUMIFS('Daftar Koreksi'!$I$5:$I$92,'Daftar Koreksi'!$D$5:$D$92,'1900'!A48,'Daftar Koreksi'!$G$5:$G$92,"Gedung dan Bangunan",'Daftar Koreksi'!$I$5:$I$92,"&gt;0")</f>
        <v>0</v>
      </c>
      <c r="F62" s="25">
        <f>SUMIFS('Daftar Koreksi'!$I$5:$I$92,'Daftar Koreksi'!$D$5:$D$92,'1900'!A48,'Daftar Koreksi'!$G$5:$G$92,"Gedung dan Bangunan",'Daftar Koreksi'!$I$5:$I$92,"&lt;0")-SUMIFS('Daftar Koreksi'!$I$5:$I$92,'Daftar Koreksi'!$D$5:$D$92,'1900'!A48,'Daftar Koreksi'!$G$5:$G$92,"Gedung dan Bangunan",'Daftar Koreksi'!$I$5:$I$92,"&lt;0")-SUMIFS('Daftar Koreksi'!$I$5:$I$92,'Daftar Koreksi'!$D$5:$D$92,'1900'!A48,'Daftar Koreksi'!$G$5:$G$92,"Gedung dan Bangunan",'Daftar Koreksi'!$I$5:$I$92,"&lt;0")</f>
        <v>0</v>
      </c>
      <c r="G62" s="17">
        <f t="shared" si="2"/>
        <v>-2717355707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Koreksi'!$D$5:$D$92,'1900'!A48,'Daftar Koreksi'!$G$5:$G$92,"Jalan Irigasi Jaringan",'Daftar Koreksi'!$I$5:$I$92,"&gt;0")</f>
        <v>0</v>
      </c>
      <c r="F63" s="25">
        <f>SUMIFS('Daftar Koreksi'!$I$5:$I$92,'Daftar Koreksi'!$D$5:$D$92,'1900'!A48,'Daftar Koreksi'!$G$5:$G$92,"Jalan Irigasi Jaringan",'Daftar Koreksi'!$I$5:$I$92,"&lt;0")-SUMIFS('Daftar Koreksi'!$I$5:$I$92,'Daftar Koreksi'!$D$5:$D$92,'1900'!A48,'Daftar Koreksi'!$G$5:$G$92,"Jalan Irigasi Jaringan",'Daftar Koreksi'!$I$5:$I$92,"&lt;0")-SUMIFS('Daftar Koreksi'!$I$5:$I$92,'Daftar Koreksi'!$D$5:$D$92,'1900'!A48,'Daftar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Koreksi'!$D$5:$D$92,'1900'!A48,'Daftar Koreksi'!$G$5:$G$92,"Aset Tetap Lainnya",'Daftar Koreksi'!$I$5:$I$92,"&gt;0")</f>
        <v>0</v>
      </c>
      <c r="F64" s="25">
        <f>SUMIFS('Daftar Koreksi'!$I$5:$I$92,'Daftar Koreksi'!$D$5:$D$92,'1900'!A48,'Daftar Koreksi'!$G$5:$G$92,"Aset Tetap Lainnya",'Daftar Koreksi'!$I$5:$I$92,"&lt;0")-SUMIFS('Daftar Koreksi'!$I$5:$I$92,'Daftar Koreksi'!$D$5:$D$92,'1900'!A48,'Daftar Koreksi'!$G$5:$G$92,"Aset Tetap Lainnya",'Daftar Koreksi'!$I$5:$I$92,"&lt;0")-SUMIFS('Daftar Koreksi'!$I$5:$I$92,'Daftar Koreksi'!$D$5:$D$92,'1900'!A48,'Daftar Koreksi'!$G$5:$G$92,"Aset Tetap Lainnya",'Daftar Koreksi'!$I$5:$I$92,"&lt;0")</f>
        <v>0</v>
      </c>
      <c r="G64" s="17">
        <f t="shared" si="2"/>
        <v>0</v>
      </c>
      <c r="H64" s="122"/>
    </row>
    <row r="65" spans="1:10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Koreksi'!$D$5:$D$92,'1900'!A48,'Daftar Koreksi'!$G$5:$G$92,"Aset Henti Guna",'Daftar Koreksi'!$I$5:$I$92,"&gt;0")</f>
        <v>0</v>
      </c>
      <c r="F65" s="25">
        <f>SUMIFS('Daftar Koreksi'!$I$5:$I$92,'Daftar Koreksi'!$D$5:$D$92,'1900'!A48,'Daftar Koreksi'!$G$5:$G$92,"Aset Henti Guna",'Daftar Koreksi'!$I$5:$I$92,"&lt;0")-SUMIFS('Daftar Koreksi'!$I$5:$I$92,'Daftar Koreksi'!$D$5:$D$92,'1900'!A48,'Daftar Koreksi'!$G$5:$G$92,"Aset Henti Guna",'Daftar Koreksi'!$I$5:$I$92,"&lt;0")-SUMIFS('Daftar Koreksi'!$I$5:$I$92,'Daftar Koreksi'!$D$5:$D$92,'1900'!A48,'Daftar Koreksi'!$G$5:$G$92,"Aset Henti Guna",'Daftar Koreksi'!$I$5:$I$92,"&lt;0")</f>
        <v>0</v>
      </c>
      <c r="G65" s="17">
        <f t="shared" si="2"/>
        <v>0</v>
      </c>
      <c r="H65" s="122"/>
    </row>
    <row r="66" spans="1:10" ht="21.95" customHeight="1">
      <c r="A66" s="14"/>
      <c r="B66" s="14"/>
      <c r="C66" s="18" t="s">
        <v>2094</v>
      </c>
      <c r="D66" s="19">
        <f>SUM(D61:D65)</f>
        <v>-4368540411</v>
      </c>
      <c r="E66" s="19">
        <f>SUM(E61:E65)</f>
        <v>0</v>
      </c>
      <c r="F66" s="19">
        <f>SUM(F61:F65)</f>
        <v>0</v>
      </c>
      <c r="G66" s="19">
        <f t="shared" si="2"/>
        <v>-4368540411</v>
      </c>
      <c r="H66" s="122"/>
    </row>
    <row r="67" spans="1:10" ht="21.95" customHeight="1">
      <c r="A67" s="14"/>
      <c r="B67" s="14"/>
      <c r="C67" s="18" t="s">
        <v>2095</v>
      </c>
      <c r="D67" s="19">
        <f>VLOOKUP(A48,'Neraca Unaudited SIMAK'!$A$2:$S$10004,18,FALSE)</f>
        <v>6420048674</v>
      </c>
      <c r="E67" s="19">
        <f>E66+E60</f>
        <v>0</v>
      </c>
      <c r="F67" s="19">
        <f>F66+F60</f>
        <v>0</v>
      </c>
      <c r="G67" s="19">
        <f t="shared" si="2"/>
        <v>6420048674</v>
      </c>
      <c r="H67" s="122"/>
    </row>
    <row r="68" spans="1:10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10" ht="19.5" customHeight="1">
      <c r="A70" s="11" t="str">
        <f>O4</f>
        <v>005011900099443000KD</v>
      </c>
      <c r="B70" s="11" t="str">
        <f>P4</f>
        <v>PN. Pangkajene</v>
      </c>
      <c r="C70" s="12" t="str">
        <f>A70&amp;" "&amp;B70</f>
        <v>005011900099443000KD PN. Pangkajene</v>
      </c>
      <c r="D70" s="13"/>
      <c r="E70" s="13"/>
      <c r="F70" s="13"/>
      <c r="G70" s="13"/>
      <c r="H70" s="11"/>
    </row>
    <row r="71" spans="1:10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10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10" ht="21.95" customHeight="1">
      <c r="A73" s="14"/>
      <c r="B73" s="14"/>
      <c r="C73" s="16" t="s">
        <v>1165</v>
      </c>
      <c r="D73" s="17">
        <f>VLOOKUP(A70,'Neraca Unaudited SIMAK'!$A$2:$S$10004,3,FALSE)</f>
        <v>205900</v>
      </c>
      <c r="E73" s="25">
        <f>SUMIFS('Daftar Koreksi'!$H$5:$H$92,'Daftar Koreksi'!$D$5:$D$92,'1900'!A70,'Daftar Koreksi'!$G$5:$G$92,"Persediaan",'Daftar Koreksi'!$H$5:$H$92,"&gt;0")</f>
        <v>0</v>
      </c>
      <c r="F73" s="25">
        <f>SUMIFS('Daftar Koreksi'!$H$5:$H$92,'Daftar Koreksi'!$D$5:$D$92,'1900'!A70,'Daftar Koreksi'!$G$5:$G$92,"Persediaan",'Daftar Koreksi'!$H$5:$H$92,"&lt;0")-SUMIFS('Daftar Koreksi'!$H$5:$H$92,'Daftar Koreksi'!$D$5:$D$92,'1900'!A70,'Daftar Koreksi'!$G$5:$G$92,"Persediaan",'Daftar Koreksi'!$H$5:$H$92,"&lt;0")-SUMIFS('Daftar Koreksi'!$H$5:$H$92,'Daftar Koreksi'!$D$5:$D$92,'1900'!A70,'Daftar Koreksi'!$G$5:$G$92,"Persediaan",'Daftar Koreksi'!$H$5:$H$92,"&lt;0")</f>
        <v>0</v>
      </c>
      <c r="G73" s="17">
        <f>D73+E73-F73</f>
        <v>205900</v>
      </c>
      <c r="H73" s="121" t="str">
        <f>IF(ISNA(VLOOKUP(A70,'Mutasi Neraca'!$A$3:$S$914,19,FALSE)),"-",VLOOKUP(A70,'Mutasi Neraca'!$A$3:$S$914,19,FALSE))</f>
        <v>-</v>
      </c>
      <c r="I73" s="28"/>
      <c r="J73" s="28"/>
    </row>
    <row r="74" spans="1:10" ht="21.95" customHeight="1">
      <c r="A74" s="14"/>
      <c r="B74" s="14"/>
      <c r="C74" s="16" t="s">
        <v>1166</v>
      </c>
      <c r="D74" s="17">
        <f>VLOOKUP(A70,'Neraca Unaudited SIMAK'!$A$2:$S$10004,4,FALSE)</f>
        <v>4648573000</v>
      </c>
      <c r="E74" s="25">
        <f>SUMIFS('Daftar Koreksi'!$H$5:$H$92,'Daftar Koreksi'!$D$5:$D$92,'1900'!A70,'Daftar Koreksi'!$G$5:$G$92,"Tanah",'Daftar Koreksi'!$H$5:$H$92,"&gt;0")</f>
        <v>0</v>
      </c>
      <c r="F74" s="25">
        <f>SUMIFS('Daftar Koreksi'!$H$5:$H$92,'Daftar Koreksi'!$D$5:$D$92,'1900'!A70,'Daftar Koreksi'!$G$5:$G$92,"Tanah",'Daftar Koreksi'!$H$5:$H$92,"&lt;0")-SUMIFS('Daftar Koreksi'!$H$5:$H$92,'Daftar Koreksi'!$D$5:$D$92,'1900'!A70,'Daftar Koreksi'!$G$5:$G$92,"Tanah",'Daftar Koreksi'!$H$5:$H$92,"&lt;0")-SUMIFS('Daftar Koreksi'!$H$5:$H$92,'Daftar Koreksi'!$D$5:$D$92,'1900'!A70,'Daftar Koreksi'!$G$5:$G$92,"Tanah",'Daftar Koreksi'!$H$5:$H$92,"&lt;0")</f>
        <v>0</v>
      </c>
      <c r="G74" s="17">
        <f t="shared" ref="G74:G90" si="3">D74+E74-F74</f>
        <v>4648573000</v>
      </c>
      <c r="H74" s="122"/>
      <c r="I74" s="28"/>
      <c r="J74" s="28"/>
    </row>
    <row r="75" spans="1:10" ht="21.95" customHeight="1">
      <c r="A75" s="14"/>
      <c r="B75" s="14"/>
      <c r="C75" s="16" t="s">
        <v>1167</v>
      </c>
      <c r="D75" s="17">
        <f>VLOOKUP(A70,'Neraca Unaudited SIMAK'!$A$2:$S$10004,5,FALSE)</f>
        <v>1526922378</v>
      </c>
      <c r="E75" s="25">
        <f>SUMIFS('Daftar Koreksi'!$H$5:$H$92,'Daftar Koreksi'!$D$5:$D$92,'1900'!A70,'Daftar Koreksi'!$G$5:$G$92,"Peralatan dan mesin",'Daftar Koreksi'!$H$5:$H$92,"&gt;0")</f>
        <v>0</v>
      </c>
      <c r="F75" s="25">
        <f>SUMIFS('Daftar Koreksi'!$H$5:$H$92,'Daftar Koreksi'!$D$5:$D$92,'1900'!A70,'Daftar Koreksi'!$G$5:$G$92,"Peralatan dan mesin",'Daftar Koreksi'!$H$5:$H$92,"&lt;0")-SUMIFS('Daftar Koreksi'!$H$5:$H$92,'Daftar Koreksi'!$D$5:$D$92,'1900'!A70,'Daftar Koreksi'!$G$5:$G$92,"Peralatan dan mesin",'Daftar Koreksi'!$H$5:$H$92,"&lt;0")-SUMIFS('Daftar Koreksi'!$H$5:$H$92,'Daftar Koreksi'!$D$5:$D$92,'1900'!A70,'Daftar Koreksi'!$G$5:$G$92,"Peralatan dan mesin",'Daftar Koreksi'!$H$5:$H$92,"&lt;0")</f>
        <v>0</v>
      </c>
      <c r="G75" s="17">
        <f t="shared" si="3"/>
        <v>1526922378</v>
      </c>
      <c r="H75" s="122"/>
      <c r="I75" s="28"/>
      <c r="J75" s="28"/>
    </row>
    <row r="76" spans="1:10" ht="21.95" customHeight="1">
      <c r="A76" s="14"/>
      <c r="B76" s="14"/>
      <c r="C76" s="16" t="s">
        <v>1168</v>
      </c>
      <c r="D76" s="17">
        <f>VLOOKUP(A70,'Neraca Unaudited SIMAK'!$A$2:$S$10004,6,FALSE)</f>
        <v>3889766100</v>
      </c>
      <c r="E76" s="25">
        <f>SUMIFS('Daftar Koreksi'!$H$5:$H$92,'Daftar Koreksi'!$D$5:$D$92,'1900'!A70,'Daftar Koreksi'!$G$5:$G$92,"Gedung dan Bangunan",'Daftar Koreksi'!$H$5:$H$92,"&gt;0")</f>
        <v>0</v>
      </c>
      <c r="F76" s="25">
        <f>SUMIFS('Daftar Koreksi'!$H$5:$H$92,'Daftar Koreksi'!$D$5:$D$92,'1900'!A70,'Daftar Koreksi'!$G$5:$G$92,"Gedung dan Bangunan",'Daftar Koreksi'!$H$5:$H$92,"&lt;0")-SUMIFS('Daftar Koreksi'!$H$5:$H$92,'Daftar Koreksi'!$D$5:$D$92,'1900'!A70,'Daftar Koreksi'!$G$5:$G$92,"Gedung dan Bangunan",'Daftar Koreksi'!$H$5:$H$92,"&lt;0")-SUMIFS('Daftar Koreksi'!$H$5:$H$92,'Daftar Koreksi'!$D$5:$D$92,'1900'!A70,'Daftar Koreksi'!$G$5:$G$92,"Gedung dan Bangunan",'Daftar Koreksi'!$H$5:$H$92,"&lt;0")</f>
        <v>0</v>
      </c>
      <c r="G76" s="17">
        <f t="shared" si="3"/>
        <v>3889766100</v>
      </c>
      <c r="H76" s="122"/>
      <c r="I76" s="28"/>
      <c r="J76" s="28"/>
    </row>
    <row r="77" spans="1:10" ht="21.95" customHeight="1">
      <c r="A77" s="14"/>
      <c r="B77" s="14"/>
      <c r="C77" s="16" t="s">
        <v>1169</v>
      </c>
      <c r="D77" s="17">
        <f>VLOOKUP(A70,'Neraca Unaudited SIMAK'!$A$2:$S$10004,7,FALSE)</f>
        <v>138744000</v>
      </c>
      <c r="E77" s="25">
        <f>SUMIFS('Daftar Koreksi'!$H$5:$H$92,'Daftar Koreksi'!$D$5:$D$92,'1900'!A70,'Daftar Koreksi'!$G$5:$G$92,"Jalan Irigasi Jaringan",'Daftar Koreksi'!$H$5:$H$92,"&gt;0")</f>
        <v>0</v>
      </c>
      <c r="F77" s="25">
        <f>SUMIFS('Daftar Koreksi'!$H$5:$H$92,'Daftar Koreksi'!$D$5:$D$92,'1900'!A70,'Daftar Koreksi'!$G$5:$G$92,"Jalan Irigasi Jaringan",'Daftar Koreksi'!$H$5:$H$92,"&lt;0")-SUMIFS('Daftar Koreksi'!$H$5:$H$92,'Daftar Koreksi'!$D$5:$D$92,'1900'!A70,'Daftar Koreksi'!$G$5:$G$92,"Jalan Irigasi Jaringan",'Daftar Koreksi'!$H$5:$H$92,"&lt;0")-SUMIFS('Daftar Koreksi'!$H$5:$H$92,'Daftar Koreksi'!$D$5:$D$92,'1900'!A70,'Daftar Koreksi'!$G$5:$G$92,"Jalan Irigasi Jaringan",'Daftar Koreksi'!$H$5:$H$92,"&lt;0")</f>
        <v>0</v>
      </c>
      <c r="G77" s="17">
        <f t="shared" si="3"/>
        <v>138744000</v>
      </c>
      <c r="H77" s="122"/>
      <c r="I77" s="28"/>
      <c r="J77" s="28"/>
    </row>
    <row r="78" spans="1:10" ht="21.95" customHeight="1">
      <c r="A78" s="14"/>
      <c r="B78" s="14"/>
      <c r="C78" s="16" t="s">
        <v>1170</v>
      </c>
      <c r="D78" s="17">
        <f>VLOOKUP(A70,'Neraca Unaudited SIMAK'!$A$2:$S$10004,8,FALSE)</f>
        <v>5058840</v>
      </c>
      <c r="E78" s="25">
        <f>SUMIFS('Daftar Koreksi'!$H$5:$H$92,'Daftar Koreksi'!$D$5:$D$92,'1900'!A70,'Daftar Koreksi'!$G$5:$G$92,"Aset Tetap Lainnya",'Daftar Koreksi'!$H$5:$H$92,"&gt;0")</f>
        <v>0</v>
      </c>
      <c r="F78" s="25">
        <f>SUMIFS('Daftar Koreksi'!$H$5:$H$92,'Daftar Koreksi'!$D$5:$D$92,'1900'!A70,'Daftar Koreksi'!$G$5:$G$92,"Aset Tetap Lainnya",'Daftar Koreksi'!$H$5:$H$92,"&lt;0")-SUMIFS('Daftar Koreksi'!$H$5:$H$92,'Daftar Koreksi'!$D$5:$D$92,'1900'!A70,'Daftar Koreksi'!$G$5:$G$92,"Aset Tetap Lainnya",'Daftar Koreksi'!$H$5:$H$92,"&lt;0")-SUMIFS('Daftar Koreksi'!$H$5:$H$92,'Daftar Koreksi'!$D$5:$D$92,'1900'!A70,'Daftar Koreksi'!$G$5:$G$92,"Aset Tetap Lainnya",'Daftar Koreksi'!$H$5:$H$92,"&lt;0")</f>
        <v>0</v>
      </c>
      <c r="G78" s="17">
        <f t="shared" si="3"/>
        <v>5058840</v>
      </c>
      <c r="H78" s="122"/>
      <c r="I78" s="28"/>
      <c r="J78" s="28"/>
    </row>
    <row r="79" spans="1:10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Koreksi'!$D$5:$D$92,'1900'!A70,'Daftar Koreksi'!$G$5:$G$92,"Kontruksi Dalam Pengerjaan",'Daftar Koreksi'!$H$5:$H$92,"&gt;0")</f>
        <v>0</v>
      </c>
      <c r="F79" s="25">
        <f>SUMIFS('Daftar Koreksi'!$H$5:$H$92,'Daftar Koreksi'!$D$5:$D$92,'1900'!A70,'Daftar Koreksi'!$G$5:$G$92,"Kontruksi Dalam Pengerjaan",'Daftar Koreksi'!$H$5:$H$92,"&lt;0")-SUMIFS('Daftar Koreksi'!$H$5:$H$92,'Daftar Koreksi'!$D$5:$D$92,'1900'!A70,'Daftar Koreksi'!$G$5:$G$92,"Kontruksi Dalam Pengerjaan",'Daftar Koreksi'!$H$5:$H$92,"&lt;0")-SUMIFS('Daftar Koreksi'!$H$5:$H$92,'Daftar Koreksi'!$D$5:$D$92,'1900'!A70,'Daftar Koreksi'!$G$5:$G$92,"Kontruksi Dalam Pengerjaan",'Daftar Koreksi'!$H$5:$H$92,"&lt;0")</f>
        <v>0</v>
      </c>
      <c r="G79" s="17">
        <f t="shared" si="3"/>
        <v>0</v>
      </c>
      <c r="H79" s="122"/>
      <c r="I79" s="28"/>
      <c r="J79" s="28"/>
    </row>
    <row r="80" spans="1:10" ht="21.95" customHeight="1">
      <c r="A80" s="14"/>
      <c r="B80" s="14"/>
      <c r="C80" s="16" t="s">
        <v>1172</v>
      </c>
      <c r="D80" s="17">
        <f>VLOOKUP(A70,'Neraca Unaudited SIMAK'!$A$2:$S$10004,10,FALSE)</f>
        <v>24349000</v>
      </c>
      <c r="E80" s="25">
        <f>SUMIFS('Daftar Koreksi'!$H$5:$H$92,'Daftar Koreksi'!$D$5:$D$92,'1900'!A70,'Daftar Koreksi'!$G$5:$G$92,"Aset Tak Berwujud",'Daftar Koreksi'!$H$5:$H$92,"&gt;0")</f>
        <v>0</v>
      </c>
      <c r="F80" s="25">
        <f>SUMIFS('Daftar Koreksi'!$H$5:$H$92,'Daftar Koreksi'!$D$5:$D$92,'1900'!A70,'Daftar Koreksi'!$G$5:$G$92,"Aset Tak Berwujud",'Daftar Koreksi'!$H$5:$H$92,"&lt;0")-SUMIFS('Daftar Koreksi'!$H$5:$H$92,'Daftar Koreksi'!$D$5:$D$92,'1900'!A70,'Daftar Koreksi'!$G$5:$G$92,"Aset Tak Berwujud",'Daftar Koreksi'!$H$5:$H$92,"&lt;0")-SUMIFS('Daftar Koreksi'!$H$5:$H$92,'Daftar Koreksi'!$D$5:$D$92,'1900'!A70,'Daftar Koreksi'!$G$5:$G$92,"Aset Tak Berwujud",'Daftar Koreksi'!$H$5:$H$92,"&lt;0")</f>
        <v>0</v>
      </c>
      <c r="G80" s="17">
        <f t="shared" si="3"/>
        <v>24349000</v>
      </c>
      <c r="H80" s="122"/>
      <c r="I80" s="28"/>
      <c r="J80" s="28"/>
    </row>
    <row r="81" spans="1:10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Koreksi'!$D$5:$D$92,'1900'!A70,'Daftar Koreksi'!$G$5:$G$92,"Aset Henti Guna",'Daftar Koreksi'!$H$5:$H$92,"&gt;0")</f>
        <v>0</v>
      </c>
      <c r="F81" s="25">
        <f>SUMIFS('Daftar Koreksi'!$H$5:$H$92,'Daftar Koreksi'!$D$5:$D$92,'1900'!A70,'Daftar Koreksi'!$G$5:$G$92,"Aset Henti Guna",'Daftar Koreksi'!$H$5:$H$92,"&lt;0")-SUMIFS('Daftar Koreksi'!$H$5:$H$92,'Daftar Koreksi'!$D$5:$D$92,'1900'!A70,'Daftar Koreksi'!$G$5:$G$92,"Aset Henti Guna",'Daftar Koreksi'!$H$5:$H$92,"&lt;0")-SUMIFS('Daftar Koreksi'!$H$5:$H$92,'Daftar Koreksi'!$D$5:$D$92,'1900'!A70,'Daftar Koreksi'!$G$5:$G$92,"Aset Henti Guna",'Daftar Koreksi'!$H$5:$H$92,"&lt;0")</f>
        <v>0</v>
      </c>
      <c r="G81" s="17">
        <f t="shared" si="3"/>
        <v>0</v>
      </c>
      <c r="H81" s="122"/>
      <c r="I81" s="28"/>
      <c r="J81" s="28"/>
    </row>
    <row r="82" spans="1:10" ht="21.95" customHeight="1">
      <c r="A82" s="14"/>
      <c r="B82" s="14"/>
      <c r="C82" s="18" t="s">
        <v>2093</v>
      </c>
      <c r="D82" s="19">
        <f>VLOOKUP(A70,'Neraca Unaudited SIMAK'!$A$2:$S$10004,12,FALSE)</f>
        <v>10233619218</v>
      </c>
      <c r="E82" s="19">
        <f>SUM(E73:E81)</f>
        <v>0</v>
      </c>
      <c r="F82" s="19">
        <f>SUM(F73:F81)</f>
        <v>0</v>
      </c>
      <c r="G82" s="19">
        <f t="shared" si="3"/>
        <v>10233619218</v>
      </c>
      <c r="H82" s="122"/>
      <c r="I82" s="28"/>
      <c r="J82" s="28"/>
    </row>
    <row r="83" spans="1:10" ht="21.95" customHeight="1">
      <c r="A83" s="14"/>
      <c r="B83" s="14"/>
      <c r="C83" s="16" t="s">
        <v>2087</v>
      </c>
      <c r="D83" s="17">
        <f>VLOOKUP(A70,'Neraca Unaudited SIMAK'!$A$2:$S$10004,13,FALSE)</f>
        <v>-1210753724</v>
      </c>
      <c r="E83" s="25">
        <f>SUMIFS('Daftar Koreksi'!$I$5:$I$92,'Daftar Koreksi'!$D$5:$D$92,'1900'!A70,'Daftar Koreksi'!$G$5:$G$92,"Peralatan dan mesin",'Daftar Koreksi'!$I$5:$I$92,"&gt;0")</f>
        <v>0</v>
      </c>
      <c r="F83" s="25">
        <f>SUMIFS('Daftar Koreksi'!$I$5:$I$92,'Daftar Koreksi'!$D$5:$D$92,'1900'!A70,'Daftar Koreksi'!$G$5:$G$92,"Peralatan dan mesin",'Daftar Koreksi'!$I$5:$I$92,"&lt;0")-SUMIFS('Daftar Koreksi'!$I$5:$I$92,'Daftar Koreksi'!$D$5:$D$92,'1900'!A70,'Daftar Koreksi'!$G$5:$G$92,"Peralatan dan mesin",'Daftar Koreksi'!$I$5:$I$92,"&lt;0")-SUMIFS('Daftar Koreksi'!$I$5:$I$92,'Daftar Koreksi'!$D$5:$D$92,'1900'!A70,'Daftar Koreksi'!$G$5:$G$92,"Peralatan dan mesin",'Daftar Koreksi'!$I$5:$I$92,"&lt;0")</f>
        <v>0</v>
      </c>
      <c r="G83" s="17">
        <f t="shared" si="3"/>
        <v>-1210753724</v>
      </c>
      <c r="H83" s="122"/>
      <c r="I83" s="28"/>
      <c r="J83" s="28"/>
    </row>
    <row r="84" spans="1:10" ht="21.95" customHeight="1">
      <c r="A84" s="14"/>
      <c r="B84" s="14"/>
      <c r="C84" s="16" t="s">
        <v>2088</v>
      </c>
      <c r="D84" s="17">
        <f>VLOOKUP(A70,'Neraca Unaudited SIMAK'!$A$2:$S$10004,14,FALSE)</f>
        <v>-865443374</v>
      </c>
      <c r="E84" s="25">
        <f>SUMIFS('Daftar Koreksi'!$I$5:$I$92,'Daftar Koreksi'!$D$5:$D$92,'1900'!A70,'Daftar Koreksi'!$G$5:$G$92,"Gedung dan Bangunan",'Daftar Koreksi'!$I$5:$I$92,"&gt;0")</f>
        <v>0</v>
      </c>
      <c r="F84" s="25">
        <f>SUMIFS('Daftar Koreksi'!$I$5:$I$92,'Daftar Koreksi'!$D$5:$D$92,'1900'!A70,'Daftar Koreksi'!$G$5:$G$92,"Gedung dan Bangunan",'Daftar Koreksi'!$I$5:$I$92,"&lt;0")-SUMIFS('Daftar Koreksi'!$I$5:$I$92,'Daftar Koreksi'!$D$5:$D$92,'1900'!A70,'Daftar Koreksi'!$G$5:$G$92,"Gedung dan Bangunan",'Daftar Koreksi'!$I$5:$I$92,"&lt;0")-SUMIFS('Daftar Koreksi'!$I$5:$I$92,'Daftar Koreksi'!$D$5:$D$92,'1900'!A70,'Daftar Koreksi'!$G$5:$G$92,"Gedung dan Bangunan",'Daftar Koreksi'!$I$5:$I$92,"&lt;0")</f>
        <v>0</v>
      </c>
      <c r="G84" s="17">
        <f t="shared" si="3"/>
        <v>-865443374</v>
      </c>
      <c r="H84" s="122"/>
      <c r="I84" s="28"/>
      <c r="J84" s="28"/>
    </row>
    <row r="85" spans="1:10" ht="21.95" customHeight="1">
      <c r="A85" s="14"/>
      <c r="B85" s="14"/>
      <c r="C85" s="16" t="s">
        <v>2089</v>
      </c>
      <c r="D85" s="17">
        <f>VLOOKUP(A70,'Neraca Unaudited SIMAK'!$A$2:$S$10004,15,FALSE)</f>
        <v>-77356589</v>
      </c>
      <c r="E85" s="25">
        <f>SUMIFS('Daftar Koreksi'!$I$5:$I$92,'Daftar Koreksi'!$D$5:$D$92,'1900'!A70,'Daftar Koreksi'!$G$5:$G$92,"Jalan Irigasi Jaringan",'Daftar Koreksi'!$I$5:$I$92,"&gt;0")</f>
        <v>0</v>
      </c>
      <c r="F85" s="25">
        <f>SUMIFS('Daftar Koreksi'!$I$5:$I$92,'Daftar Koreksi'!$D$5:$D$92,'1900'!A70,'Daftar Koreksi'!$G$5:$G$92,"Jalan Irigasi Jaringan",'Daftar Koreksi'!$I$5:$I$92,"&lt;0")-SUMIFS('Daftar Koreksi'!$I$5:$I$92,'Daftar Koreksi'!$D$5:$D$92,'1900'!A70,'Daftar Koreksi'!$G$5:$G$92,"Jalan Irigasi Jaringan",'Daftar Koreksi'!$I$5:$I$92,"&lt;0")-SUMIFS('Daftar Koreksi'!$I$5:$I$92,'Daftar Koreksi'!$D$5:$D$92,'1900'!A70,'Daftar Koreksi'!$G$5:$G$92,"Jalan Irigasi Jaringan",'Daftar Koreksi'!$I$5:$I$92,"&lt;0")</f>
        <v>0</v>
      </c>
      <c r="G85" s="17">
        <f t="shared" si="3"/>
        <v>-77356589</v>
      </c>
      <c r="H85" s="122"/>
      <c r="I85" s="28"/>
      <c r="J85" s="28"/>
    </row>
    <row r="86" spans="1:10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Koreksi'!$D$5:$D$92,'1900'!A70,'Daftar Koreksi'!$G$5:$G$92,"Aset Tetap Lainnya",'Daftar Koreksi'!$I$5:$I$92,"&gt;0")</f>
        <v>0</v>
      </c>
      <c r="F86" s="25">
        <f>SUMIFS('Daftar Koreksi'!$I$5:$I$92,'Daftar Koreksi'!$D$5:$D$92,'1900'!A70,'Daftar Koreksi'!$G$5:$G$92,"Aset Tetap Lainnya",'Daftar Koreksi'!$I$5:$I$92,"&lt;0")-SUMIFS('Daftar Koreksi'!$I$5:$I$92,'Daftar Koreksi'!$D$5:$D$92,'1900'!A70,'Daftar Koreksi'!$G$5:$G$92,"Aset Tetap Lainnya",'Daftar Koreksi'!$I$5:$I$92,"&lt;0")-SUMIFS('Daftar Koreksi'!$I$5:$I$92,'Daftar Koreksi'!$D$5:$D$92,'1900'!A70,'Daftar Koreksi'!$G$5:$G$92,"Aset Tetap Lainnya",'Daftar Koreksi'!$I$5:$I$92,"&lt;0")</f>
        <v>0</v>
      </c>
      <c r="G86" s="17">
        <f t="shared" si="3"/>
        <v>0</v>
      </c>
      <c r="H86" s="122"/>
      <c r="I86" s="28"/>
      <c r="J86" s="28"/>
    </row>
    <row r="87" spans="1:10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Koreksi'!$D$5:$D$92,'1900'!A70,'Daftar Koreksi'!$G$5:$G$92,"Aset Henti Guna",'Daftar Koreksi'!$I$5:$I$92,"&gt;0")</f>
        <v>0</v>
      </c>
      <c r="F87" s="25">
        <f>SUMIFS('Daftar Koreksi'!$I$5:$I$92,'Daftar Koreksi'!$D$5:$D$92,'1900'!A70,'Daftar Koreksi'!$G$5:$G$92,"Aset Henti Guna",'Daftar Koreksi'!$I$5:$I$92,"&lt;0")-SUMIFS('Daftar Koreksi'!$I$5:$I$92,'Daftar Koreksi'!$D$5:$D$92,'1900'!A70,'Daftar Koreksi'!$G$5:$G$92,"Aset Henti Guna",'Daftar Koreksi'!$I$5:$I$92,"&lt;0")-SUMIFS('Daftar Koreksi'!$I$5:$I$92,'Daftar Koreksi'!$D$5:$D$92,'1900'!A70,'Daftar Koreksi'!$G$5:$G$92,"Aset Henti Guna",'Daftar Koreksi'!$I$5:$I$92,"&lt;0")</f>
        <v>0</v>
      </c>
      <c r="G87" s="17">
        <f t="shared" si="3"/>
        <v>0</v>
      </c>
      <c r="H87" s="122"/>
      <c r="I87" s="28"/>
      <c r="J87" s="28"/>
    </row>
    <row r="88" spans="1:10" ht="21.95" customHeight="1">
      <c r="A88" s="14"/>
      <c r="B88" s="14"/>
      <c r="C88" s="18" t="s">
        <v>2094</v>
      </c>
      <c r="D88" s="19">
        <f>SUM(D83:D87)</f>
        <v>-2153553687</v>
      </c>
      <c r="E88" s="19">
        <f>SUM(E83:E87)</f>
        <v>0</v>
      </c>
      <c r="F88" s="19">
        <f>SUM(F83:F87)</f>
        <v>0</v>
      </c>
      <c r="G88" s="19">
        <f t="shared" si="3"/>
        <v>-2153553687</v>
      </c>
      <c r="H88" s="122"/>
      <c r="I88" s="28"/>
      <c r="J88" s="28"/>
    </row>
    <row r="89" spans="1:10" ht="21.95" customHeight="1">
      <c r="A89" s="14"/>
      <c r="B89" s="14"/>
      <c r="C89" s="18" t="s">
        <v>2095</v>
      </c>
      <c r="D89" s="19">
        <f>VLOOKUP(A70,'Neraca Unaudited SIMAK'!$A$2:$S$10004,18,FALSE)</f>
        <v>8080065531</v>
      </c>
      <c r="E89" s="19">
        <f>E88+E82</f>
        <v>0</v>
      </c>
      <c r="F89" s="19">
        <f>F88+F82</f>
        <v>0</v>
      </c>
      <c r="G89" s="19">
        <f t="shared" si="3"/>
        <v>8080065531</v>
      </c>
      <c r="H89" s="122"/>
      <c r="I89" s="28"/>
      <c r="J89" s="28"/>
    </row>
    <row r="90" spans="1:10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  <c r="I90" s="28"/>
      <c r="J90" s="28"/>
    </row>
    <row r="92" spans="1:10" ht="19.5" customHeight="1">
      <c r="A92" s="11" t="str">
        <f>O5</f>
        <v>005011900099450000KD</v>
      </c>
      <c r="B92" s="11" t="str">
        <f>P5</f>
        <v>PN. Barru</v>
      </c>
      <c r="C92" s="12" t="str">
        <f>A92&amp;" "&amp;B92</f>
        <v>005011900099450000KD PN. Barru</v>
      </c>
      <c r="D92" s="13"/>
      <c r="E92" s="13"/>
      <c r="F92" s="13"/>
      <c r="G92" s="13"/>
      <c r="H92" s="11"/>
    </row>
    <row r="93" spans="1:10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10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10" ht="21.95" customHeight="1">
      <c r="A95" s="14"/>
      <c r="B95" s="14"/>
      <c r="C95" s="16" t="s">
        <v>1165</v>
      </c>
      <c r="D95" s="17">
        <f>VLOOKUP(A92,'Neraca Unaudited SIMAK'!$A$2:$S$10004,3,FALSE)</f>
        <v>1125600</v>
      </c>
      <c r="E95" s="25">
        <f>SUMIFS('Daftar Koreksi'!$H$5:$H$92,'Daftar Koreksi'!$D$5:$D$92,'1900'!A92,'Daftar Koreksi'!$G$5:$G$92,"Persediaan",'Daftar Koreksi'!$H$5:$H$92,"&gt;0")</f>
        <v>0</v>
      </c>
      <c r="F95" s="25">
        <f>SUMIFS('Daftar Koreksi'!$H$5:$H$92,'Daftar Koreksi'!$D$5:$D$92,'1900'!A92,'Daftar Koreksi'!$G$5:$G$92,"Persediaan",'Daftar Koreksi'!$H$5:$H$92,"&lt;0")-SUMIFS('Daftar Koreksi'!$H$5:$H$92,'Daftar Koreksi'!$D$5:$D$92,'1900'!A92,'Daftar Koreksi'!$G$5:$G$92,"Persediaan",'Daftar Koreksi'!$H$5:$H$92,"&lt;0")-SUMIFS('Daftar Koreksi'!$H$5:$H$92,'Daftar Koreksi'!$D$5:$D$92,'1900'!A92,'Daftar Koreksi'!$G$5:$G$92,"Persediaan",'Daftar Koreksi'!$H$5:$H$92,"&lt;0")</f>
        <v>0</v>
      </c>
      <c r="G95" s="17">
        <f>D95+E95-F95</f>
        <v>1125600</v>
      </c>
      <c r="H95" s="121" t="str">
        <f>IF(ISNA(VLOOKUP(A92,'Mutasi Neraca'!$A$3:$S$914,19,FALSE)),"-",VLOOKUP(A92,'Mutasi Neraca'!$A$3:$S$914,19,FALSE))</f>
        <v>-</v>
      </c>
    </row>
    <row r="96" spans="1:10" ht="21.95" customHeight="1">
      <c r="A96" s="14"/>
      <c r="B96" s="14"/>
      <c r="C96" s="16" t="s">
        <v>1166</v>
      </c>
      <c r="D96" s="17">
        <f>VLOOKUP(A92,'Neraca Unaudited SIMAK'!$A$2:$S$10004,4,FALSE)</f>
        <v>2977000000</v>
      </c>
      <c r="E96" s="25">
        <f>SUMIFS('Daftar Koreksi'!$H$5:$H$92,'Daftar Koreksi'!$D$5:$D$92,'1900'!A92,'Daftar Koreksi'!$G$5:$G$92,"Tanah",'Daftar Koreksi'!$H$5:$H$92,"&gt;0")</f>
        <v>0</v>
      </c>
      <c r="F96" s="25">
        <f>SUMIFS('Daftar Koreksi'!$H$5:$H$92,'Daftar Koreksi'!$D$5:$D$92,'1900'!A92,'Daftar Koreksi'!$G$5:$G$92,"Tanah",'Daftar Koreksi'!$H$5:$H$92,"&lt;0")-SUMIFS('Daftar Koreksi'!$H$5:$H$92,'Daftar Koreksi'!$D$5:$D$92,'1900'!A92,'Daftar Koreksi'!$G$5:$G$92,"Tanah",'Daftar Koreksi'!$H$5:$H$92,"&lt;0")-SUMIFS('Daftar Koreksi'!$H$5:$H$92,'Daftar Koreksi'!$D$5:$D$92,'1900'!A92,'Daftar Koreksi'!$G$5:$G$92,"Tanah",'Daftar Koreksi'!$H$5:$H$92,"&lt;0")</f>
        <v>0</v>
      </c>
      <c r="G96" s="17">
        <f t="shared" ref="G96:G112" si="4">D96+E96-F96</f>
        <v>2977000000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1465063735</v>
      </c>
      <c r="E97" s="25">
        <f>SUMIFS('Daftar Koreksi'!$H$5:$H$92,'Daftar Koreksi'!$D$5:$D$92,'1900'!A92,'Daftar Koreksi'!$G$5:$G$92,"Peralatan dan mesin",'Daftar Koreksi'!$H$5:$H$92,"&gt;0")</f>
        <v>0</v>
      </c>
      <c r="F97" s="25">
        <f>SUMIFS('Daftar Koreksi'!$H$5:$H$92,'Daftar Koreksi'!$D$5:$D$92,'1900'!A92,'Daftar Koreksi'!$G$5:$G$92,"Peralatan dan mesin",'Daftar Koreksi'!$H$5:$H$92,"&lt;0")-SUMIFS('Daftar Koreksi'!$H$5:$H$92,'Daftar Koreksi'!$D$5:$D$92,'1900'!A92,'Daftar Koreksi'!$G$5:$G$92,"Peralatan dan mesin",'Daftar Koreksi'!$H$5:$H$92,"&lt;0")-SUMIFS('Daftar Koreksi'!$H$5:$H$92,'Daftar Koreksi'!$D$5:$D$92,'1900'!A92,'Daftar Koreksi'!$G$5:$G$92,"Peralatan dan mesin",'Daftar Koreksi'!$H$5:$H$92,"&lt;0")</f>
        <v>0</v>
      </c>
      <c r="G97" s="17">
        <f t="shared" si="4"/>
        <v>1465063735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4454951900</v>
      </c>
      <c r="E98" s="25">
        <f>SUMIFS('Daftar Koreksi'!$H$5:$H$92,'Daftar Koreksi'!$D$5:$D$92,'1900'!A92,'Daftar Koreksi'!$G$5:$G$92,"Gedung dan Bangunan",'Daftar Koreksi'!$H$5:$H$92,"&gt;0")</f>
        <v>0</v>
      </c>
      <c r="F98" s="25">
        <f>SUMIFS('Daftar Koreksi'!$H$5:$H$92,'Daftar Koreksi'!$D$5:$D$92,'1900'!A92,'Daftar Koreksi'!$G$5:$G$92,"Gedung dan Bangunan",'Daftar Koreksi'!$H$5:$H$92,"&lt;0")-SUMIFS('Daftar Koreksi'!$H$5:$H$92,'Daftar Koreksi'!$D$5:$D$92,'1900'!A92,'Daftar Koreksi'!$G$5:$G$92,"Gedung dan Bangunan",'Daftar Koreksi'!$H$5:$H$92,"&lt;0")-SUMIFS('Daftar Koreksi'!$H$5:$H$92,'Daftar Koreksi'!$D$5:$D$92,'1900'!A92,'Daftar Koreksi'!$G$5:$G$92,"Gedung dan Bangunan",'Daftar Koreksi'!$H$5:$H$92,"&lt;0")</f>
        <v>0</v>
      </c>
      <c r="G98" s="17">
        <f t="shared" si="4"/>
        <v>4454951900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Koreksi'!$D$5:$D$92,'1900'!A92,'Daftar Koreksi'!$G$5:$G$92,"Jalan Irigasi Jaringan",'Daftar Koreksi'!$H$5:$H$92,"&gt;0")</f>
        <v>0</v>
      </c>
      <c r="F99" s="25">
        <f>SUMIFS('Daftar Koreksi'!$H$5:$H$92,'Daftar Koreksi'!$D$5:$D$92,'1900'!A92,'Daftar Koreksi'!$G$5:$G$92,"Jalan Irigasi Jaringan",'Daftar Koreksi'!$H$5:$H$92,"&lt;0")-SUMIFS('Daftar Koreksi'!$H$5:$H$92,'Daftar Koreksi'!$D$5:$D$92,'1900'!A92,'Daftar Koreksi'!$G$5:$G$92,"Jalan Irigasi Jaringan",'Daftar Koreksi'!$H$5:$H$92,"&lt;0")-SUMIFS('Daftar Koreksi'!$H$5:$H$92,'Daftar Koreksi'!$D$5:$D$92,'1900'!A92,'Daftar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31843440</v>
      </c>
      <c r="E100" s="25">
        <f>SUMIFS('Daftar Koreksi'!$H$5:$H$92,'Daftar Koreksi'!$D$5:$D$92,'1900'!A92,'Daftar Koreksi'!$G$5:$G$92,"Aset Tetap Lainnya",'Daftar Koreksi'!$H$5:$H$92,"&gt;0")</f>
        <v>0</v>
      </c>
      <c r="F100" s="25">
        <f>SUMIFS('Daftar Koreksi'!$H$5:$H$92,'Daftar Koreksi'!$D$5:$D$92,'1900'!A92,'Daftar Koreksi'!$G$5:$G$92,"Aset Tetap Lainnya",'Daftar Koreksi'!$H$5:$H$92,"&lt;0")-SUMIFS('Daftar Koreksi'!$H$5:$H$92,'Daftar Koreksi'!$D$5:$D$92,'1900'!A92,'Daftar Koreksi'!$G$5:$G$92,"Aset Tetap Lainnya",'Daftar Koreksi'!$H$5:$H$92,"&lt;0")-SUMIFS('Daftar Koreksi'!$H$5:$H$92,'Daftar Koreksi'!$D$5:$D$92,'1900'!A92,'Daftar Koreksi'!$G$5:$G$92,"Aset Tetap Lainnya",'Daftar Koreksi'!$H$5:$H$92,"&lt;0")</f>
        <v>0</v>
      </c>
      <c r="G100" s="17">
        <f t="shared" si="4"/>
        <v>31843440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Koreksi'!$D$5:$D$92,'1900'!A92,'Daftar Koreksi'!$G$5:$G$92,"Kontruksi Dalam Pengerjaan",'Daftar Koreksi'!$H$5:$H$92,"&gt;0")</f>
        <v>0</v>
      </c>
      <c r="F101" s="25">
        <f>SUMIFS('Daftar Koreksi'!$H$5:$H$92,'Daftar Koreksi'!$D$5:$D$92,'1900'!A92,'Daftar Koreksi'!$G$5:$G$92,"Kontruksi Dalam Pengerjaan",'Daftar Koreksi'!$H$5:$H$92,"&lt;0")-SUMIFS('Daftar Koreksi'!$H$5:$H$92,'Daftar Koreksi'!$D$5:$D$92,'1900'!A92,'Daftar Koreksi'!$G$5:$G$92,"Kontruksi Dalam Pengerjaan",'Daftar Koreksi'!$H$5:$H$92,"&lt;0")-SUMIFS('Daftar Koreksi'!$H$5:$H$92,'Daftar Koreksi'!$D$5:$D$92,'1900'!A92,'Daftar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24349000</v>
      </c>
      <c r="E102" s="25">
        <f>SUMIFS('Daftar Koreksi'!$H$5:$H$92,'Daftar Koreksi'!$D$5:$D$92,'1900'!A92,'Daftar Koreksi'!$G$5:$G$92,"Aset Tak Berwujud",'Daftar Koreksi'!$H$5:$H$92,"&gt;0")</f>
        <v>0</v>
      </c>
      <c r="F102" s="25">
        <f>SUMIFS('Daftar Koreksi'!$H$5:$H$92,'Daftar Koreksi'!$D$5:$D$92,'1900'!A92,'Daftar Koreksi'!$G$5:$G$92,"Aset Tak Berwujud",'Daftar Koreksi'!$H$5:$H$92,"&lt;0")-SUMIFS('Daftar Koreksi'!$H$5:$H$92,'Daftar Koreksi'!$D$5:$D$92,'1900'!A92,'Daftar Koreksi'!$G$5:$G$92,"Aset Tak Berwujud",'Daftar Koreksi'!$H$5:$H$92,"&lt;0")-SUMIFS('Daftar Koreksi'!$H$5:$H$92,'Daftar Koreksi'!$D$5:$D$92,'1900'!A92,'Daftar Koreksi'!$G$5:$G$92,"Aset Tak Berwujud",'Daftar Koreksi'!$H$5:$H$92,"&lt;0")</f>
        <v>0</v>
      </c>
      <c r="G102" s="17">
        <f t="shared" si="4"/>
        <v>24349000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63047000</v>
      </c>
      <c r="E103" s="25">
        <f>SUMIFS('Daftar Koreksi'!$H$5:$H$92,'Daftar Koreksi'!$D$5:$D$92,'1900'!A92,'Daftar Koreksi'!$G$5:$G$92,"Aset Henti Guna",'Daftar Koreksi'!$H$5:$H$92,"&gt;0")</f>
        <v>0</v>
      </c>
      <c r="F103" s="25">
        <f>SUMIFS('Daftar Koreksi'!$H$5:$H$92,'Daftar Koreksi'!$D$5:$D$92,'1900'!A92,'Daftar Koreksi'!$G$5:$G$92,"Aset Henti Guna",'Daftar Koreksi'!$H$5:$H$92,"&lt;0")-SUMIFS('Daftar Koreksi'!$H$5:$H$92,'Daftar Koreksi'!$D$5:$D$92,'1900'!A92,'Daftar Koreksi'!$G$5:$G$92,"Aset Henti Guna",'Daftar Koreksi'!$H$5:$H$92,"&lt;0")-SUMIFS('Daftar Koreksi'!$H$5:$H$92,'Daftar Koreksi'!$D$5:$D$92,'1900'!A92,'Daftar Koreksi'!$G$5:$G$92,"Aset Henti Guna",'Daftar Koreksi'!$H$5:$H$92,"&lt;0")</f>
        <v>0</v>
      </c>
      <c r="G103" s="17">
        <f t="shared" si="4"/>
        <v>63047000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9017380675</v>
      </c>
      <c r="E104" s="19">
        <f>SUM(E95:E103)</f>
        <v>0</v>
      </c>
      <c r="F104" s="19">
        <f>SUM(F95:F103)</f>
        <v>0</v>
      </c>
      <c r="G104" s="19">
        <f t="shared" si="4"/>
        <v>9017380675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-1277725639</v>
      </c>
      <c r="E105" s="25">
        <f>SUMIFS('Daftar Koreksi'!$I$5:$I$92,'Daftar Koreksi'!$D$5:$D$92,'1900'!A92,'Daftar Koreksi'!$G$5:$G$92,"Peralatan dan mesin",'Daftar Koreksi'!$I$5:$I$92,"&gt;0")</f>
        <v>0</v>
      </c>
      <c r="F105" s="25">
        <f>SUMIFS('Daftar Koreksi'!$I$5:$I$92,'Daftar Koreksi'!$D$5:$D$92,'1900'!A92,'Daftar Koreksi'!$G$5:$G$92,"Peralatan dan mesin",'Daftar Koreksi'!$I$5:$I$92,"&lt;0")-SUMIFS('Daftar Koreksi'!$I$5:$I$92,'Daftar Koreksi'!$D$5:$D$92,'1900'!A92,'Daftar Koreksi'!$G$5:$G$92,"Peralatan dan mesin",'Daftar Koreksi'!$I$5:$I$92,"&lt;0")-SUMIFS('Daftar Koreksi'!$I$5:$I$92,'Daftar Koreksi'!$D$5:$D$92,'1900'!A92,'Daftar Koreksi'!$G$5:$G$92,"Peralatan dan mesin",'Daftar Koreksi'!$I$5:$I$92,"&lt;0")</f>
        <v>0</v>
      </c>
      <c r="G105" s="17">
        <f t="shared" si="4"/>
        <v>-1277725639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-3040020713</v>
      </c>
      <c r="E106" s="25">
        <f>SUMIFS('Daftar Koreksi'!$I$5:$I$92,'Daftar Koreksi'!$D$5:$D$92,'1900'!A92,'Daftar Koreksi'!$G$5:$G$92,"Gedung dan Bangunan",'Daftar Koreksi'!$I$5:$I$92,"&gt;0")</f>
        <v>0</v>
      </c>
      <c r="F106" s="25">
        <f>SUMIFS('Daftar Koreksi'!$I$5:$I$92,'Daftar Koreksi'!$D$5:$D$92,'1900'!A92,'Daftar Koreksi'!$G$5:$G$92,"Gedung dan Bangunan",'Daftar Koreksi'!$I$5:$I$92,"&lt;0")-SUMIFS('Daftar Koreksi'!$I$5:$I$92,'Daftar Koreksi'!$D$5:$D$92,'1900'!A92,'Daftar Koreksi'!$G$5:$G$92,"Gedung dan Bangunan",'Daftar Koreksi'!$I$5:$I$92,"&lt;0")-SUMIFS('Daftar Koreksi'!$I$5:$I$92,'Daftar Koreksi'!$D$5:$D$92,'1900'!A92,'Daftar Koreksi'!$G$5:$G$92,"Gedung dan Bangunan",'Daftar Koreksi'!$I$5:$I$92,"&lt;0")</f>
        <v>0</v>
      </c>
      <c r="G106" s="17">
        <f t="shared" si="4"/>
        <v>-3040020713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Koreksi'!$D$5:$D$92,'1900'!A92,'Daftar Koreksi'!$G$5:$G$92,"Jalan Irigasi Jaringan",'Daftar Koreksi'!$I$5:$I$92,"&gt;0")</f>
        <v>0</v>
      </c>
      <c r="F107" s="25">
        <f>SUMIFS('Daftar Koreksi'!$I$5:$I$92,'Daftar Koreksi'!$D$5:$D$92,'1900'!A92,'Daftar Koreksi'!$G$5:$G$92,"Jalan Irigasi Jaringan",'Daftar Koreksi'!$I$5:$I$92,"&lt;0")-SUMIFS('Daftar Koreksi'!$I$5:$I$92,'Daftar Koreksi'!$D$5:$D$92,'1900'!A92,'Daftar Koreksi'!$G$5:$G$92,"Jalan Irigasi Jaringan",'Daftar Koreksi'!$I$5:$I$92,"&lt;0")-SUMIFS('Daftar Koreksi'!$I$5:$I$92,'Daftar Koreksi'!$D$5:$D$92,'1900'!A92,'Daftar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Koreksi'!$D$5:$D$92,'1900'!A92,'Daftar Koreksi'!$G$5:$G$92,"Aset Tetap Lainnya",'Daftar Koreksi'!$I$5:$I$92,"&gt;0")</f>
        <v>0</v>
      </c>
      <c r="F108" s="25">
        <f>SUMIFS('Daftar Koreksi'!$I$5:$I$92,'Daftar Koreksi'!$D$5:$D$92,'1900'!A92,'Daftar Koreksi'!$G$5:$G$92,"Aset Tetap Lainnya",'Daftar Koreksi'!$I$5:$I$92,"&lt;0")-SUMIFS('Daftar Koreksi'!$I$5:$I$92,'Daftar Koreksi'!$D$5:$D$92,'1900'!A92,'Daftar Koreksi'!$G$5:$G$92,"Aset Tetap Lainnya",'Daftar Koreksi'!$I$5:$I$92,"&lt;0")-SUMIFS('Daftar Koreksi'!$I$5:$I$92,'Daftar Koreksi'!$D$5:$D$92,'1900'!A92,'Daftar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-40657720</v>
      </c>
      <c r="E109" s="25">
        <f>SUMIFS('Daftar Koreksi'!$I$5:$I$92,'Daftar Koreksi'!$D$5:$D$92,'1900'!A92,'Daftar Koreksi'!$G$5:$G$92,"Aset Henti Guna",'Daftar Koreksi'!$I$5:$I$92,"&gt;0")</f>
        <v>0</v>
      </c>
      <c r="F109" s="25">
        <f>SUMIFS('Daftar Koreksi'!$I$5:$I$92,'Daftar Koreksi'!$D$5:$D$92,'1900'!A92,'Daftar Koreksi'!$G$5:$G$92,"Aset Henti Guna",'Daftar Koreksi'!$I$5:$I$92,"&lt;0")-SUMIFS('Daftar Koreksi'!$I$5:$I$92,'Daftar Koreksi'!$D$5:$D$92,'1900'!A92,'Daftar Koreksi'!$G$5:$G$92,"Aset Henti Guna",'Daftar Koreksi'!$I$5:$I$92,"&lt;0")-SUMIFS('Daftar Koreksi'!$I$5:$I$92,'Daftar Koreksi'!$D$5:$D$92,'1900'!A92,'Daftar Koreksi'!$G$5:$G$92,"Aset Henti Guna",'Daftar Koreksi'!$I$5:$I$92,"&lt;0")</f>
        <v>0</v>
      </c>
      <c r="G109" s="17">
        <f t="shared" si="4"/>
        <v>-40657720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-4358404072</v>
      </c>
      <c r="E110" s="19">
        <f>SUM(E105:E109)</f>
        <v>0</v>
      </c>
      <c r="F110" s="19">
        <f>SUM(F105:F109)</f>
        <v>0</v>
      </c>
      <c r="G110" s="19">
        <f t="shared" si="4"/>
        <v>-4358404072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4658976603</v>
      </c>
      <c r="E111" s="19">
        <f>E110+E104</f>
        <v>0</v>
      </c>
      <c r="F111" s="19">
        <f>F110+F104</f>
        <v>0</v>
      </c>
      <c r="G111" s="19">
        <f t="shared" si="4"/>
        <v>4658976603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005011900099464000KD</v>
      </c>
      <c r="B114" s="11" t="str">
        <f>P6</f>
        <v>PN. Takalar</v>
      </c>
      <c r="C114" s="12" t="str">
        <f>A114&amp;" "&amp;B114</f>
        <v>005011900099464000KD PN. Takalar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93200</v>
      </c>
      <c r="E117" s="25">
        <f>SUMIFS('Daftar Koreksi'!$H$5:$H$92,'Daftar Koreksi'!$D$5:$D$92,'1900'!A114,'Daftar Koreksi'!$G$5:$G$92,"Persediaan",'Daftar Koreksi'!$H$5:$H$92,"&gt;0")</f>
        <v>0</v>
      </c>
      <c r="F117" s="25">
        <f>SUMIFS('Daftar Koreksi'!$H$5:$H$92,'Daftar Koreksi'!$D$5:$D$92,'1900'!A114,'Daftar Koreksi'!$G$5:$G$92,"Persediaan",'Daftar Koreksi'!$H$5:$H$92,"&lt;0")-SUMIFS('Daftar Koreksi'!$H$5:$H$92,'Daftar Koreksi'!$D$5:$D$92,'1900'!A114,'Daftar Koreksi'!$G$5:$G$92,"Persediaan",'Daftar Koreksi'!$H$5:$H$92,"&lt;0")-SUMIFS('Daftar Koreksi'!$H$5:$H$92,'Daftar Koreksi'!$D$5:$D$92,'1900'!A114,'Daftar Koreksi'!$G$5:$G$92,"Persediaan",'Daftar Koreksi'!$H$5:$H$92,"&lt;0")</f>
        <v>0</v>
      </c>
      <c r="G117" s="17">
        <f>D117+E117-F117</f>
        <v>93200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3695916200</v>
      </c>
      <c r="E118" s="25">
        <f>SUMIFS('Daftar Koreksi'!$H$5:$H$92,'Daftar Koreksi'!$D$5:$D$92,'1900'!A114,'Daftar Koreksi'!$G$5:$G$92,"Tanah",'Daftar Koreksi'!$H$5:$H$92,"&gt;0")</f>
        <v>0</v>
      </c>
      <c r="F118" s="25">
        <f>SUMIFS('Daftar Koreksi'!$H$5:$H$92,'Daftar Koreksi'!$D$5:$D$92,'1900'!A114,'Daftar Koreksi'!$G$5:$G$92,"Tanah",'Daftar Koreksi'!$H$5:$H$92,"&lt;0")-SUMIFS('Daftar Koreksi'!$H$5:$H$92,'Daftar Koreksi'!$D$5:$D$92,'1900'!A114,'Daftar Koreksi'!$G$5:$G$92,"Tanah",'Daftar Koreksi'!$H$5:$H$92,"&lt;0")-SUMIFS('Daftar Koreksi'!$H$5:$H$92,'Daftar Koreksi'!$D$5:$D$92,'1900'!A114,'Daftar Koreksi'!$G$5:$G$92,"Tanah",'Daftar Koreksi'!$H$5:$H$92,"&lt;0")</f>
        <v>0</v>
      </c>
      <c r="G118" s="17">
        <f t="shared" ref="G118:G134" si="5">D118+E118-F118</f>
        <v>3695916200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1661221527</v>
      </c>
      <c r="E119" s="25">
        <f>SUMIFS('Daftar Koreksi'!$H$5:$H$92,'Daftar Koreksi'!$D$5:$D$92,'1900'!A114,'Daftar Koreksi'!$G$5:$G$92,"Peralatan dan mesin",'Daftar Koreksi'!$H$5:$H$92,"&gt;0")</f>
        <v>0</v>
      </c>
      <c r="F119" s="25">
        <f>SUMIFS('Daftar Koreksi'!$H$5:$H$92,'Daftar Koreksi'!$D$5:$D$92,'1900'!A114,'Daftar Koreksi'!$G$5:$G$92,"Peralatan dan mesin",'Daftar Koreksi'!$H$5:$H$92,"&lt;0")-SUMIFS('Daftar Koreksi'!$H$5:$H$92,'Daftar Koreksi'!$D$5:$D$92,'1900'!A114,'Daftar Koreksi'!$G$5:$G$92,"Peralatan dan mesin",'Daftar Koreksi'!$H$5:$H$92,"&lt;0")-SUMIFS('Daftar Koreksi'!$H$5:$H$92,'Daftar Koreksi'!$D$5:$D$92,'1900'!A114,'Daftar Koreksi'!$G$5:$G$92,"Peralatan dan mesin",'Daftar Koreksi'!$H$5:$H$92,"&lt;0")</f>
        <v>0</v>
      </c>
      <c r="G119" s="17">
        <f t="shared" si="5"/>
        <v>1661221527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3245654037</v>
      </c>
      <c r="E120" s="25">
        <f>SUMIFS('Daftar Koreksi'!$H$5:$H$92,'Daftar Koreksi'!$D$5:$D$92,'1900'!A114,'Daftar Koreksi'!$G$5:$G$92,"Gedung dan Bangunan",'Daftar Koreksi'!$H$5:$H$92,"&gt;0")</f>
        <v>0</v>
      </c>
      <c r="F120" s="25">
        <f>SUMIFS('Daftar Koreksi'!$H$5:$H$92,'Daftar Koreksi'!$D$5:$D$92,'1900'!A114,'Daftar Koreksi'!$G$5:$G$92,"Gedung dan Bangunan",'Daftar Koreksi'!$H$5:$H$92,"&lt;0")-SUMIFS('Daftar Koreksi'!$H$5:$H$92,'Daftar Koreksi'!$D$5:$D$92,'1900'!A114,'Daftar Koreksi'!$G$5:$G$92,"Gedung dan Bangunan",'Daftar Koreksi'!$H$5:$H$92,"&lt;0")-SUMIFS('Daftar Koreksi'!$H$5:$H$92,'Daftar Koreksi'!$D$5:$D$92,'1900'!A114,'Daftar Koreksi'!$G$5:$G$92,"Gedung dan Bangunan",'Daftar Koreksi'!$H$5:$H$92,"&lt;0")</f>
        <v>0</v>
      </c>
      <c r="G120" s="17">
        <f t="shared" si="5"/>
        <v>3245654037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196044915</v>
      </c>
      <c r="E121" s="25">
        <f>SUMIFS('Daftar Koreksi'!$H$5:$H$92,'Daftar Koreksi'!$D$5:$D$92,'1900'!A114,'Daftar Koreksi'!$G$5:$G$92,"Jalan Irigasi Jaringan",'Daftar Koreksi'!$H$5:$H$92,"&gt;0")</f>
        <v>0</v>
      </c>
      <c r="F121" s="25">
        <f>SUMIFS('Daftar Koreksi'!$H$5:$H$92,'Daftar Koreksi'!$D$5:$D$92,'1900'!A114,'Daftar Koreksi'!$G$5:$G$92,"Jalan Irigasi Jaringan",'Daftar Koreksi'!$H$5:$H$92,"&lt;0")-SUMIFS('Daftar Koreksi'!$H$5:$H$92,'Daftar Koreksi'!$D$5:$D$92,'1900'!A114,'Daftar Koreksi'!$G$5:$G$92,"Jalan Irigasi Jaringan",'Daftar Koreksi'!$H$5:$H$92,"&lt;0")-SUMIFS('Daftar Koreksi'!$H$5:$H$92,'Daftar Koreksi'!$D$5:$D$92,'1900'!A114,'Daftar Koreksi'!$G$5:$G$92,"Jalan Irigasi Jaringan",'Daftar Koreksi'!$H$5:$H$92,"&lt;0")</f>
        <v>0</v>
      </c>
      <c r="G121" s="17">
        <f t="shared" si="5"/>
        <v>196044915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28885518</v>
      </c>
      <c r="E122" s="25">
        <f>SUMIFS('Daftar Koreksi'!$H$5:$H$92,'Daftar Koreksi'!$D$5:$D$92,'1900'!A114,'Daftar Koreksi'!$G$5:$G$92,"Aset Tetap Lainnya",'Daftar Koreksi'!$H$5:$H$92,"&gt;0")</f>
        <v>0</v>
      </c>
      <c r="F122" s="25">
        <f>SUMIFS('Daftar Koreksi'!$H$5:$H$92,'Daftar Koreksi'!$D$5:$D$92,'1900'!A114,'Daftar Koreksi'!$G$5:$G$92,"Aset Tetap Lainnya",'Daftar Koreksi'!$H$5:$H$92,"&lt;0")-SUMIFS('Daftar Koreksi'!$H$5:$H$92,'Daftar Koreksi'!$D$5:$D$92,'1900'!A114,'Daftar Koreksi'!$G$5:$G$92,"Aset Tetap Lainnya",'Daftar Koreksi'!$H$5:$H$92,"&lt;0")-SUMIFS('Daftar Koreksi'!$H$5:$H$92,'Daftar Koreksi'!$D$5:$D$92,'1900'!A114,'Daftar Koreksi'!$G$5:$G$92,"Aset Tetap Lainnya",'Daftar Koreksi'!$H$5:$H$92,"&lt;0")</f>
        <v>0</v>
      </c>
      <c r="G122" s="17">
        <f t="shared" si="5"/>
        <v>28885518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Koreksi'!$D$5:$D$92,'1900'!A114,'Daftar Koreksi'!$G$5:$G$92,"Kontruksi Dalam Pengerjaan",'Daftar Koreksi'!$H$5:$H$92,"&gt;0")</f>
        <v>0</v>
      </c>
      <c r="F123" s="25">
        <f>SUMIFS('Daftar Koreksi'!$H$5:$H$92,'Daftar Koreksi'!$D$5:$D$92,'1900'!A114,'Daftar Koreksi'!$G$5:$G$92,"Kontruksi Dalam Pengerjaan",'Daftar Koreksi'!$H$5:$H$92,"&lt;0")-SUMIFS('Daftar Koreksi'!$H$5:$H$92,'Daftar Koreksi'!$D$5:$D$92,'1900'!A114,'Daftar Koreksi'!$G$5:$G$92,"Kontruksi Dalam Pengerjaan",'Daftar Koreksi'!$H$5:$H$92,"&lt;0")-SUMIFS('Daftar Koreksi'!$H$5:$H$92,'Daftar Koreksi'!$D$5:$D$92,'1900'!A114,'Daftar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24349000</v>
      </c>
      <c r="E124" s="25">
        <f>SUMIFS('Daftar Koreksi'!$H$5:$H$92,'Daftar Koreksi'!$D$5:$D$92,'1900'!A114,'Daftar Koreksi'!$G$5:$G$92,"Aset Tak Berwujud",'Daftar Koreksi'!$H$5:$H$92,"&gt;0")</f>
        <v>0</v>
      </c>
      <c r="F124" s="25">
        <f>SUMIFS('Daftar Koreksi'!$H$5:$H$92,'Daftar Koreksi'!$D$5:$D$92,'1900'!A114,'Daftar Koreksi'!$G$5:$G$92,"Aset Tak Berwujud",'Daftar Koreksi'!$H$5:$H$92,"&lt;0")-SUMIFS('Daftar Koreksi'!$H$5:$H$92,'Daftar Koreksi'!$D$5:$D$92,'1900'!A114,'Daftar Koreksi'!$G$5:$G$92,"Aset Tak Berwujud",'Daftar Koreksi'!$H$5:$H$92,"&lt;0")-SUMIFS('Daftar Koreksi'!$H$5:$H$92,'Daftar Koreksi'!$D$5:$D$92,'1900'!A114,'Daftar Koreksi'!$G$5:$G$92,"Aset Tak Berwujud",'Daftar Koreksi'!$H$5:$H$92,"&lt;0")</f>
        <v>0</v>
      </c>
      <c r="G124" s="17">
        <f t="shared" si="5"/>
        <v>24349000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281788910</v>
      </c>
      <c r="E125" s="25">
        <f>SUMIFS('Daftar Koreksi'!$H$5:$H$92,'Daftar Koreksi'!$D$5:$D$92,'1900'!A114,'Daftar Koreksi'!$G$5:$G$92,"Aset Henti Guna",'Daftar Koreksi'!$H$5:$H$92,"&gt;0")</f>
        <v>0</v>
      </c>
      <c r="F125" s="25">
        <f>SUMIFS('Daftar Koreksi'!$H$5:$H$92,'Daftar Koreksi'!$D$5:$D$92,'1900'!A114,'Daftar Koreksi'!$G$5:$G$92,"Aset Henti Guna",'Daftar Koreksi'!$H$5:$H$92,"&lt;0")-SUMIFS('Daftar Koreksi'!$H$5:$H$92,'Daftar Koreksi'!$D$5:$D$92,'1900'!A114,'Daftar Koreksi'!$G$5:$G$92,"Aset Henti Guna",'Daftar Koreksi'!$H$5:$H$92,"&lt;0")-SUMIFS('Daftar Koreksi'!$H$5:$H$92,'Daftar Koreksi'!$D$5:$D$92,'1900'!A114,'Daftar Koreksi'!$G$5:$G$92,"Aset Henti Guna",'Daftar Koreksi'!$H$5:$H$92,"&lt;0")</f>
        <v>0</v>
      </c>
      <c r="G125" s="17">
        <f t="shared" si="5"/>
        <v>281788910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9133953307</v>
      </c>
      <c r="E126" s="19">
        <f>SUM(E117:E125)</f>
        <v>0</v>
      </c>
      <c r="F126" s="19">
        <f>SUM(F117:F125)</f>
        <v>0</v>
      </c>
      <c r="G126" s="19">
        <f t="shared" si="5"/>
        <v>9133953307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-1461939345</v>
      </c>
      <c r="E127" s="25">
        <f>SUMIFS('Daftar Koreksi'!$I$5:$I$92,'Daftar Koreksi'!$D$5:$D$92,'1900'!A114,'Daftar Koreksi'!$G$5:$G$92,"Peralatan dan mesin",'Daftar Koreksi'!$I$5:$I$92,"&gt;0")</f>
        <v>0</v>
      </c>
      <c r="F127" s="25">
        <f>SUMIFS('Daftar Koreksi'!$I$5:$I$92,'Daftar Koreksi'!$D$5:$D$92,'1900'!A114,'Daftar Koreksi'!$G$5:$G$92,"Peralatan dan mesin",'Daftar Koreksi'!$I$5:$I$92,"&lt;0")-SUMIFS('Daftar Koreksi'!$I$5:$I$92,'Daftar Koreksi'!$D$5:$D$92,'1900'!A114,'Daftar Koreksi'!$G$5:$G$92,"Peralatan dan mesin",'Daftar Koreksi'!$I$5:$I$92,"&lt;0")-SUMIFS('Daftar Koreksi'!$I$5:$I$92,'Daftar Koreksi'!$D$5:$D$92,'1900'!A114,'Daftar Koreksi'!$G$5:$G$92,"Peralatan dan mesin",'Daftar Koreksi'!$I$5:$I$92,"&lt;0")</f>
        <v>0</v>
      </c>
      <c r="G127" s="17">
        <f t="shared" si="5"/>
        <v>-1461939345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-765187088</v>
      </c>
      <c r="E128" s="25">
        <f>SUMIFS('Daftar Koreksi'!$I$5:$I$92,'Daftar Koreksi'!$D$5:$D$92,'1900'!A114,'Daftar Koreksi'!$G$5:$G$92,"Gedung dan Bangunan",'Daftar Koreksi'!$I$5:$I$92,"&gt;0")</f>
        <v>0</v>
      </c>
      <c r="F128" s="25">
        <f>SUMIFS('Daftar Koreksi'!$I$5:$I$92,'Daftar Koreksi'!$D$5:$D$92,'1900'!A114,'Daftar Koreksi'!$G$5:$G$92,"Gedung dan Bangunan",'Daftar Koreksi'!$I$5:$I$92,"&lt;0")-SUMIFS('Daftar Koreksi'!$I$5:$I$92,'Daftar Koreksi'!$D$5:$D$92,'1900'!A114,'Daftar Koreksi'!$G$5:$G$92,"Gedung dan Bangunan",'Daftar Koreksi'!$I$5:$I$92,"&lt;0")-SUMIFS('Daftar Koreksi'!$I$5:$I$92,'Daftar Koreksi'!$D$5:$D$92,'1900'!A114,'Daftar Koreksi'!$G$5:$G$92,"Gedung dan Bangunan",'Daftar Koreksi'!$I$5:$I$92,"&lt;0")</f>
        <v>0</v>
      </c>
      <c r="G128" s="17">
        <f t="shared" si="5"/>
        <v>-765187088</v>
      </c>
      <c r="H128" s="122"/>
    </row>
    <row r="129" spans="1:10" ht="21.95" customHeight="1">
      <c r="A129" s="14"/>
      <c r="B129" s="14"/>
      <c r="C129" s="16" t="s">
        <v>2089</v>
      </c>
      <c r="D129" s="17">
        <f>VLOOKUP(A114,'Neraca Unaudited SIMAK'!$A$2:$S$10004,15,FALSE)</f>
        <v>-75854246</v>
      </c>
      <c r="E129" s="25">
        <f>SUMIFS('Daftar Koreksi'!$I$5:$I$92,'Daftar Koreksi'!$D$5:$D$92,'1900'!A114,'Daftar Koreksi'!$G$5:$G$92,"Jalan Irigasi Jaringan",'Daftar Koreksi'!$I$5:$I$92,"&gt;0")</f>
        <v>0</v>
      </c>
      <c r="F129" s="25">
        <f>SUMIFS('Daftar Koreksi'!$I$5:$I$92,'Daftar Koreksi'!$D$5:$D$92,'1900'!A114,'Daftar Koreksi'!$G$5:$G$92,"Jalan Irigasi Jaringan",'Daftar Koreksi'!$I$5:$I$92,"&lt;0")-SUMIFS('Daftar Koreksi'!$I$5:$I$92,'Daftar Koreksi'!$D$5:$D$92,'1900'!A114,'Daftar Koreksi'!$G$5:$G$92,"Jalan Irigasi Jaringan",'Daftar Koreksi'!$I$5:$I$92,"&lt;0")-SUMIFS('Daftar Koreksi'!$I$5:$I$92,'Daftar Koreksi'!$D$5:$D$92,'1900'!A114,'Daftar Koreksi'!$G$5:$G$92,"Jalan Irigasi Jaringan",'Daftar Koreksi'!$I$5:$I$92,"&lt;0")</f>
        <v>0</v>
      </c>
      <c r="G129" s="17">
        <f t="shared" si="5"/>
        <v>-75854246</v>
      </c>
      <c r="H129" s="122"/>
    </row>
    <row r="130" spans="1:10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Koreksi'!$D$5:$D$92,'1900'!A114,'Daftar Koreksi'!$G$5:$G$92,"Aset Tetap Lainnya",'Daftar Koreksi'!$I$5:$I$92,"&gt;0")</f>
        <v>0</v>
      </c>
      <c r="F130" s="25">
        <f>SUMIFS('Daftar Koreksi'!$I$5:$I$92,'Daftar Koreksi'!$D$5:$D$92,'1900'!A114,'Daftar Koreksi'!$G$5:$G$92,"Aset Tetap Lainnya",'Daftar Koreksi'!$I$5:$I$92,"&lt;0")-SUMIFS('Daftar Koreksi'!$I$5:$I$92,'Daftar Koreksi'!$D$5:$D$92,'1900'!A114,'Daftar Koreksi'!$G$5:$G$92,"Aset Tetap Lainnya",'Daftar Koreksi'!$I$5:$I$92,"&lt;0")-SUMIFS('Daftar Koreksi'!$I$5:$I$92,'Daftar Koreksi'!$D$5:$D$92,'1900'!A114,'Daftar Koreksi'!$G$5:$G$92,"Aset Tetap Lainnya",'Daftar Koreksi'!$I$5:$I$92,"&lt;0")</f>
        <v>0</v>
      </c>
      <c r="G130" s="17">
        <f t="shared" si="5"/>
        <v>0</v>
      </c>
      <c r="H130" s="122"/>
    </row>
    <row r="131" spans="1:10" ht="21.95" customHeight="1">
      <c r="A131" s="14"/>
      <c r="B131" s="14"/>
      <c r="C131" s="16" t="s">
        <v>2020</v>
      </c>
      <c r="D131" s="17">
        <f>VLOOKUP(A114,'Neraca Unaudited SIMAK'!$A$2:$S$10004,17,FALSE)</f>
        <v>-280038910</v>
      </c>
      <c r="E131" s="25">
        <f>SUMIFS('Daftar Koreksi'!$I$5:$I$92,'Daftar Koreksi'!$D$5:$D$92,'1900'!A114,'Daftar Koreksi'!$G$5:$G$92,"Aset Henti Guna",'Daftar Koreksi'!$I$5:$I$92,"&gt;0")</f>
        <v>0</v>
      </c>
      <c r="F131" s="25">
        <f>SUMIFS('Daftar Koreksi'!$I$5:$I$92,'Daftar Koreksi'!$D$5:$D$92,'1900'!A114,'Daftar Koreksi'!$G$5:$G$92,"Aset Henti Guna",'Daftar Koreksi'!$I$5:$I$92,"&lt;0")-SUMIFS('Daftar Koreksi'!$I$5:$I$92,'Daftar Koreksi'!$D$5:$D$92,'1900'!A114,'Daftar Koreksi'!$G$5:$G$92,"Aset Henti Guna",'Daftar Koreksi'!$I$5:$I$92,"&lt;0")-SUMIFS('Daftar Koreksi'!$I$5:$I$92,'Daftar Koreksi'!$D$5:$D$92,'1900'!A114,'Daftar Koreksi'!$G$5:$G$92,"Aset Henti Guna",'Daftar Koreksi'!$I$5:$I$92,"&lt;0")</f>
        <v>0</v>
      </c>
      <c r="G131" s="17">
        <f t="shared" si="5"/>
        <v>-280038910</v>
      </c>
      <c r="H131" s="122"/>
    </row>
    <row r="132" spans="1:10" ht="21.95" customHeight="1">
      <c r="A132" s="14"/>
      <c r="B132" s="14"/>
      <c r="C132" s="18" t="s">
        <v>2094</v>
      </c>
      <c r="D132" s="19">
        <f>SUM(D127:D131)</f>
        <v>-2583019589</v>
      </c>
      <c r="E132" s="19">
        <f>SUM(E127:E131)</f>
        <v>0</v>
      </c>
      <c r="F132" s="19">
        <f>SUM(F127:F131)</f>
        <v>0</v>
      </c>
      <c r="G132" s="19">
        <f t="shared" si="5"/>
        <v>-2583019589</v>
      </c>
      <c r="H132" s="122"/>
    </row>
    <row r="133" spans="1:10" ht="21.95" customHeight="1">
      <c r="A133" s="14"/>
      <c r="B133" s="14"/>
      <c r="C133" s="18" t="s">
        <v>2095</v>
      </c>
      <c r="D133" s="19">
        <f>VLOOKUP(A114,'Neraca Unaudited SIMAK'!$A$2:$S$10004,18,FALSE)</f>
        <v>6550933718</v>
      </c>
      <c r="E133" s="19">
        <f>E132+E126</f>
        <v>0</v>
      </c>
      <c r="F133" s="19">
        <f>F132+F126</f>
        <v>0</v>
      </c>
      <c r="G133" s="19">
        <f t="shared" si="5"/>
        <v>6550933718</v>
      </c>
      <c r="H133" s="122"/>
    </row>
    <row r="134" spans="1:10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10" ht="19.5" customHeight="1">
      <c r="A136" s="11" t="str">
        <f>O7</f>
        <v>005011900099471000KD</v>
      </c>
      <c r="B136" s="11" t="str">
        <f>P7</f>
        <v>PN. Maros</v>
      </c>
      <c r="C136" s="12" t="str">
        <f>A136&amp;" "&amp;B136</f>
        <v>005011900099471000KD PN. Maros</v>
      </c>
      <c r="D136" s="13"/>
      <c r="E136" s="13"/>
      <c r="F136" s="13"/>
      <c r="G136" s="13"/>
      <c r="H136" s="11"/>
    </row>
    <row r="137" spans="1:10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10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10" ht="21.95" customHeight="1">
      <c r="A139" s="14"/>
      <c r="B139" s="14"/>
      <c r="C139" s="16" t="s">
        <v>1165</v>
      </c>
      <c r="D139" s="17">
        <f>VLOOKUP(A136,'Neraca Unaudited SIMAK'!$A$2:$S$10004,3,FALSE)</f>
        <v>924000</v>
      </c>
      <c r="E139" s="25">
        <f>SUMIFS('Daftar Koreksi'!$H$5:$H$92,'Daftar Koreksi'!$D$5:$D$92,'1900'!A136,'Daftar Koreksi'!$G$5:$G$92,"Persediaan",'Daftar Koreksi'!$H$5:$H$92,"&gt;0")</f>
        <v>0</v>
      </c>
      <c r="F139" s="25">
        <f>SUMIFS('Daftar Koreksi'!$H$5:$H$92,'Daftar Koreksi'!$D$5:$D$92,'1900'!A136,'Daftar Koreksi'!$G$5:$G$92,"Persediaan",'Daftar Koreksi'!$H$5:$H$92,"&lt;0")-SUMIFS('Daftar Koreksi'!$H$5:$H$92,'Daftar Koreksi'!$D$5:$D$92,'1900'!A136,'Daftar Koreksi'!$G$5:$G$92,"Persediaan",'Daftar Koreksi'!$H$5:$H$92,"&lt;0")-SUMIFS('Daftar Koreksi'!$H$5:$H$92,'Daftar Koreksi'!$D$5:$D$92,'1900'!A136,'Daftar Koreksi'!$G$5:$G$92,"Persediaan",'Daftar Koreksi'!$H$5:$H$92,"&lt;0")</f>
        <v>0</v>
      </c>
      <c r="G139" s="17">
        <f>D139+E139-F139</f>
        <v>924000</v>
      </c>
      <c r="H139" s="121" t="str">
        <f>IF(ISNA(VLOOKUP(A136,'Mutasi Neraca'!$A$3:$S$914,19,FALSE)),"-",VLOOKUP(A136,'Mutasi Neraca'!$A$3:$S$914,19,FALSE))</f>
        <v>TP. No 4</v>
      </c>
      <c r="I139" s="28"/>
      <c r="J139" s="28"/>
    </row>
    <row r="140" spans="1:10" ht="21.95" customHeight="1">
      <c r="A140" s="14"/>
      <c r="B140" s="14"/>
      <c r="C140" s="16" t="s">
        <v>1166</v>
      </c>
      <c r="D140" s="17">
        <f>VLOOKUP(A136,'Neraca Unaudited SIMAK'!$A$2:$S$10004,4,FALSE)</f>
        <v>5769766000</v>
      </c>
      <c r="E140" s="25">
        <f>SUMIFS('Daftar Koreksi'!$H$5:$H$92,'Daftar Koreksi'!$D$5:$D$92,'1900'!A136,'Daftar Koreksi'!$G$5:$G$92,"Tanah",'Daftar Koreksi'!$H$5:$H$92,"&gt;0")</f>
        <v>0</v>
      </c>
      <c r="F140" s="25">
        <f>SUMIFS('Daftar Koreksi'!$H$5:$H$92,'Daftar Koreksi'!$D$5:$D$92,'1900'!A136,'Daftar Koreksi'!$G$5:$G$92,"Tanah",'Daftar Koreksi'!$H$5:$H$92,"&lt;0")-SUMIFS('Daftar Koreksi'!$H$5:$H$92,'Daftar Koreksi'!$D$5:$D$92,'1900'!A136,'Daftar Koreksi'!$G$5:$G$92,"Tanah",'Daftar Koreksi'!$H$5:$H$92,"&lt;0")-SUMIFS('Daftar Koreksi'!$H$5:$H$92,'Daftar Koreksi'!$D$5:$D$92,'1900'!A136,'Daftar Koreksi'!$G$5:$G$92,"Tanah",'Daftar Koreksi'!$H$5:$H$92,"&lt;0")</f>
        <v>0</v>
      </c>
      <c r="G140" s="17">
        <f t="shared" ref="G140:G156" si="6">D140+E140-F140</f>
        <v>5769766000</v>
      </c>
      <c r="H140" s="122"/>
      <c r="I140" s="28"/>
      <c r="J140" s="28"/>
    </row>
    <row r="141" spans="1:10" ht="21.95" customHeight="1">
      <c r="A141" s="14"/>
      <c r="B141" s="14"/>
      <c r="C141" s="16" t="s">
        <v>1167</v>
      </c>
      <c r="D141" s="17">
        <f>VLOOKUP(A136,'Neraca Unaudited SIMAK'!$A$2:$S$10004,5,FALSE)</f>
        <v>1537099462</v>
      </c>
      <c r="E141" s="25">
        <f>SUMIFS('Daftar Koreksi'!$H$5:$H$92,'Daftar Koreksi'!$D$5:$D$92,'1900'!A136,'Daftar Koreksi'!$G$5:$G$92,"Peralatan dan mesin",'Daftar Koreksi'!$H$5:$H$92,"&gt;0")</f>
        <v>3895309</v>
      </c>
      <c r="F141" s="25">
        <f>SUMIFS('Daftar Koreksi'!$H$5:$H$92,'Daftar Koreksi'!$D$5:$D$92,'1900'!A136,'Daftar Koreksi'!$G$5:$G$92,"Peralatan dan mesin",'Daftar Koreksi'!$H$5:$H$92,"&lt;0")-SUMIFS('Daftar Koreksi'!$H$5:$H$92,'Daftar Koreksi'!$D$5:$D$92,'1900'!A136,'Daftar Koreksi'!$G$5:$G$92,"Peralatan dan mesin",'Daftar Koreksi'!$H$5:$H$92,"&lt;0")-SUMIFS('Daftar Koreksi'!$H$5:$H$92,'Daftar Koreksi'!$D$5:$D$92,'1900'!A136,'Daftar Koreksi'!$G$5:$G$92,"Peralatan dan mesin",'Daftar Koreksi'!$H$5:$H$92,"&lt;0")</f>
        <v>0</v>
      </c>
      <c r="G141" s="17">
        <f t="shared" si="6"/>
        <v>1540994771</v>
      </c>
      <c r="H141" s="122"/>
      <c r="I141" s="28"/>
      <c r="J141" s="28"/>
    </row>
    <row r="142" spans="1:10" ht="21.95" customHeight="1">
      <c r="A142" s="14"/>
      <c r="B142" s="14"/>
      <c r="C142" s="16" t="s">
        <v>1168</v>
      </c>
      <c r="D142" s="17">
        <f>VLOOKUP(A136,'Neraca Unaudited SIMAK'!$A$2:$S$10004,6,FALSE)</f>
        <v>4739960969</v>
      </c>
      <c r="E142" s="25">
        <f>SUMIFS('Daftar Koreksi'!$H$5:$H$92,'Daftar Koreksi'!$D$5:$D$92,'1900'!A136,'Daftar Koreksi'!$G$5:$G$92,"Gedung dan Bangunan",'Daftar Koreksi'!$H$5:$H$92,"&gt;0")</f>
        <v>0</v>
      </c>
      <c r="F142" s="25">
        <f>SUMIFS('Daftar Koreksi'!$H$5:$H$92,'Daftar Koreksi'!$D$5:$D$92,'1900'!A136,'Daftar Koreksi'!$G$5:$G$92,"Gedung dan Bangunan",'Daftar Koreksi'!$H$5:$H$92,"&lt;0")-SUMIFS('Daftar Koreksi'!$H$5:$H$92,'Daftar Koreksi'!$D$5:$D$92,'1900'!A136,'Daftar Koreksi'!$G$5:$G$92,"Gedung dan Bangunan",'Daftar Koreksi'!$H$5:$H$92,"&lt;0")-SUMIFS('Daftar Koreksi'!$H$5:$H$92,'Daftar Koreksi'!$D$5:$D$92,'1900'!A136,'Daftar Koreksi'!$G$5:$G$92,"Gedung dan Bangunan",'Daftar Koreksi'!$H$5:$H$92,"&lt;0")</f>
        <v>0</v>
      </c>
      <c r="G142" s="17">
        <f t="shared" si="6"/>
        <v>4739960969</v>
      </c>
      <c r="H142" s="122"/>
      <c r="I142" s="28"/>
      <c r="J142" s="28"/>
    </row>
    <row r="143" spans="1:10" ht="21.95" customHeight="1">
      <c r="A143" s="14"/>
      <c r="B143" s="14"/>
      <c r="C143" s="16" t="s">
        <v>1169</v>
      </c>
      <c r="D143" s="17">
        <f>VLOOKUP(A136,'Neraca Unaudited SIMAK'!$A$2:$S$10004,7,FALSE)</f>
        <v>138683700</v>
      </c>
      <c r="E143" s="25">
        <f>SUMIFS('Daftar Koreksi'!$H$5:$H$92,'Daftar Koreksi'!$D$5:$D$92,'1900'!A136,'Daftar Koreksi'!$G$5:$G$92,"Jalan Irigasi Jaringan",'Daftar Koreksi'!$H$5:$H$92,"&gt;0")</f>
        <v>0</v>
      </c>
      <c r="F143" s="25">
        <f>SUMIFS('Daftar Koreksi'!$H$5:$H$92,'Daftar Koreksi'!$D$5:$D$92,'1900'!A136,'Daftar Koreksi'!$G$5:$G$92,"Jalan Irigasi Jaringan",'Daftar Koreksi'!$H$5:$H$92,"&lt;0")-SUMIFS('Daftar Koreksi'!$H$5:$H$92,'Daftar Koreksi'!$D$5:$D$92,'1900'!A136,'Daftar Koreksi'!$G$5:$G$92,"Jalan Irigasi Jaringan",'Daftar Koreksi'!$H$5:$H$92,"&lt;0")-SUMIFS('Daftar Koreksi'!$H$5:$H$92,'Daftar Koreksi'!$D$5:$D$92,'1900'!A136,'Daftar Koreksi'!$G$5:$G$92,"Jalan Irigasi Jaringan",'Daftar Koreksi'!$H$5:$H$92,"&lt;0")</f>
        <v>0</v>
      </c>
      <c r="G143" s="17">
        <f t="shared" si="6"/>
        <v>138683700</v>
      </c>
      <c r="H143" s="122"/>
      <c r="I143" s="28"/>
      <c r="J143" s="28"/>
    </row>
    <row r="144" spans="1:10" ht="21.95" customHeight="1">
      <c r="A144" s="14"/>
      <c r="B144" s="14"/>
      <c r="C144" s="16" t="s">
        <v>1170</v>
      </c>
      <c r="D144" s="17">
        <f>VLOOKUP(A136,'Neraca Unaudited SIMAK'!$A$2:$S$10004,8,FALSE)</f>
        <v>2717714</v>
      </c>
      <c r="E144" s="25">
        <f>SUMIFS('Daftar Koreksi'!$H$5:$H$92,'Daftar Koreksi'!$D$5:$D$92,'1900'!A136,'Daftar Koreksi'!$G$5:$G$92,"Aset Tetap Lainnya",'Daftar Koreksi'!$H$5:$H$92,"&gt;0")</f>
        <v>0</v>
      </c>
      <c r="F144" s="25">
        <f>SUMIFS('Daftar Koreksi'!$H$5:$H$92,'Daftar Koreksi'!$D$5:$D$92,'1900'!A136,'Daftar Koreksi'!$G$5:$G$92,"Aset Tetap Lainnya",'Daftar Koreksi'!$H$5:$H$92,"&lt;0")-SUMIFS('Daftar Koreksi'!$H$5:$H$92,'Daftar Koreksi'!$D$5:$D$92,'1900'!A136,'Daftar Koreksi'!$G$5:$G$92,"Aset Tetap Lainnya",'Daftar Koreksi'!$H$5:$H$92,"&lt;0")-SUMIFS('Daftar Koreksi'!$H$5:$H$92,'Daftar Koreksi'!$D$5:$D$92,'1900'!A136,'Daftar Koreksi'!$G$5:$G$92,"Aset Tetap Lainnya",'Daftar Koreksi'!$H$5:$H$92,"&lt;0")</f>
        <v>0</v>
      </c>
      <c r="G144" s="17">
        <f t="shared" si="6"/>
        <v>2717714</v>
      </c>
      <c r="H144" s="122"/>
      <c r="I144" s="28"/>
      <c r="J144" s="28"/>
    </row>
    <row r="145" spans="1:10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Koreksi'!$D$5:$D$92,'1900'!A136,'Daftar Koreksi'!$G$5:$G$92,"Kontruksi Dalam Pengerjaan",'Daftar Koreksi'!$H$5:$H$92,"&gt;0")</f>
        <v>0</v>
      </c>
      <c r="F145" s="25">
        <f>SUMIFS('Daftar Koreksi'!$H$5:$H$92,'Daftar Koreksi'!$D$5:$D$92,'1900'!A136,'Daftar Koreksi'!$G$5:$G$92,"Kontruksi Dalam Pengerjaan",'Daftar Koreksi'!$H$5:$H$92,"&lt;0")-SUMIFS('Daftar Koreksi'!$H$5:$H$92,'Daftar Koreksi'!$D$5:$D$92,'1900'!A136,'Daftar Koreksi'!$G$5:$G$92,"Kontruksi Dalam Pengerjaan",'Daftar Koreksi'!$H$5:$H$92,"&lt;0")-SUMIFS('Daftar Koreksi'!$H$5:$H$92,'Daftar Koreksi'!$D$5:$D$92,'1900'!A136,'Daftar Koreksi'!$G$5:$G$92,"Kontruksi Dalam Pengerjaan",'Daftar Koreksi'!$H$5:$H$92,"&lt;0")</f>
        <v>0</v>
      </c>
      <c r="G145" s="17">
        <f t="shared" si="6"/>
        <v>0</v>
      </c>
      <c r="H145" s="122"/>
      <c r="I145" s="28"/>
      <c r="J145" s="28"/>
    </row>
    <row r="146" spans="1:10" ht="21.95" customHeight="1">
      <c r="A146" s="14"/>
      <c r="B146" s="14"/>
      <c r="C146" s="16" t="s">
        <v>1172</v>
      </c>
      <c r="D146" s="17">
        <f>VLOOKUP(A136,'Neraca Unaudited SIMAK'!$A$2:$S$10004,10,FALSE)</f>
        <v>24349000</v>
      </c>
      <c r="E146" s="25">
        <f>SUMIFS('Daftar Koreksi'!$H$5:$H$92,'Daftar Koreksi'!$D$5:$D$92,'1900'!A136,'Daftar Koreksi'!$G$5:$G$92,"Aset Tak Berwujud",'Daftar Koreksi'!$H$5:$H$92,"&gt;0")</f>
        <v>0</v>
      </c>
      <c r="F146" s="25">
        <f>SUMIFS('Daftar Koreksi'!$H$5:$H$92,'Daftar Koreksi'!$D$5:$D$92,'1900'!A136,'Daftar Koreksi'!$G$5:$G$92,"Aset Tak Berwujud",'Daftar Koreksi'!$H$5:$H$92,"&lt;0")-SUMIFS('Daftar Koreksi'!$H$5:$H$92,'Daftar Koreksi'!$D$5:$D$92,'1900'!A136,'Daftar Koreksi'!$G$5:$G$92,"Aset Tak Berwujud",'Daftar Koreksi'!$H$5:$H$92,"&lt;0")-SUMIFS('Daftar Koreksi'!$H$5:$H$92,'Daftar Koreksi'!$D$5:$D$92,'1900'!A136,'Daftar Koreksi'!$G$5:$G$92,"Aset Tak Berwujud",'Daftar Koreksi'!$H$5:$H$92,"&lt;0")</f>
        <v>0</v>
      </c>
      <c r="G146" s="17">
        <f t="shared" si="6"/>
        <v>24349000</v>
      </c>
      <c r="H146" s="122"/>
      <c r="I146" s="28"/>
      <c r="J146" s="28"/>
    </row>
    <row r="147" spans="1:10" ht="21.95" customHeight="1">
      <c r="A147" s="14"/>
      <c r="B147" s="14"/>
      <c r="C147" s="16" t="s">
        <v>1173</v>
      </c>
      <c r="D147" s="17">
        <f>VLOOKUP(A136,'Neraca Unaudited SIMAK'!$A$2:$S$10004,11,FALSE)</f>
        <v>29876480</v>
      </c>
      <c r="E147" s="25">
        <f>SUMIFS('Daftar Koreksi'!$H$5:$H$92,'Daftar Koreksi'!$D$5:$D$92,'1900'!A136,'Daftar Koreksi'!$G$5:$G$92,"Aset Henti Guna",'Daftar Koreksi'!$H$5:$H$92,"&gt;0")</f>
        <v>0</v>
      </c>
      <c r="F147" s="25">
        <f>SUMIFS('Daftar Koreksi'!$H$5:$H$92,'Daftar Koreksi'!$D$5:$D$92,'1900'!A136,'Daftar Koreksi'!$G$5:$G$92,"Aset Henti Guna",'Daftar Koreksi'!$H$5:$H$92,"&lt;0")-SUMIFS('Daftar Koreksi'!$H$5:$H$92,'Daftar Koreksi'!$D$5:$D$92,'1900'!A136,'Daftar Koreksi'!$G$5:$G$92,"Aset Henti Guna",'Daftar Koreksi'!$H$5:$H$92,"&lt;0")-SUMIFS('Daftar Koreksi'!$H$5:$H$92,'Daftar Koreksi'!$D$5:$D$92,'1900'!A136,'Daftar Koreksi'!$G$5:$G$92,"Aset Henti Guna",'Daftar Koreksi'!$H$5:$H$92,"&lt;0")</f>
        <v>0</v>
      </c>
      <c r="G147" s="17">
        <f t="shared" si="6"/>
        <v>29876480</v>
      </c>
      <c r="H147" s="122"/>
      <c r="I147" s="28"/>
      <c r="J147" s="28"/>
    </row>
    <row r="148" spans="1:10" ht="21.95" customHeight="1">
      <c r="A148" s="14"/>
      <c r="B148" s="14"/>
      <c r="C148" s="18" t="s">
        <v>2093</v>
      </c>
      <c r="D148" s="19">
        <f>VLOOKUP(A136,'Neraca Unaudited SIMAK'!$A$2:$S$10004,12,FALSE)</f>
        <v>12243377325</v>
      </c>
      <c r="E148" s="19">
        <f>SUM(E139:E147)</f>
        <v>3895309</v>
      </c>
      <c r="F148" s="19">
        <f>SUM(F139:F147)</f>
        <v>0</v>
      </c>
      <c r="G148" s="19">
        <f t="shared" si="6"/>
        <v>12247272634</v>
      </c>
      <c r="H148" s="122"/>
      <c r="I148" s="28"/>
      <c r="J148" s="28"/>
    </row>
    <row r="149" spans="1:10" ht="21.95" customHeight="1">
      <c r="A149" s="14"/>
      <c r="B149" s="14"/>
      <c r="C149" s="16" t="s">
        <v>2087</v>
      </c>
      <c r="D149" s="17">
        <f>VLOOKUP(A136,'Neraca Unaudited SIMAK'!$A$2:$S$10004,13,FALSE)</f>
        <v>-1346652838</v>
      </c>
      <c r="E149" s="25">
        <f>SUMIFS('Daftar Koreksi'!$I$5:$I$92,'Daftar Koreksi'!$D$5:$D$92,'1900'!A136,'Daftar Koreksi'!$G$5:$G$92,"Peralatan dan mesin",'Daftar Koreksi'!$I$5:$I$92,"&gt;0")</f>
        <v>0</v>
      </c>
      <c r="F149" s="25">
        <f>SUMIFS('Daftar Koreksi'!$I$5:$I$92,'Daftar Koreksi'!$D$5:$D$92,'1900'!A136,'Daftar Koreksi'!$G$5:$G$92,"Peralatan dan mesin",'Daftar Koreksi'!$I$5:$I$92,"&lt;0")-SUMIFS('Daftar Koreksi'!$I$5:$I$92,'Daftar Koreksi'!$D$5:$D$92,'1900'!A136,'Daftar Koreksi'!$G$5:$G$92,"Peralatan dan mesin",'Daftar Koreksi'!$I$5:$I$92,"&lt;0")-SUMIFS('Daftar Koreksi'!$I$5:$I$92,'Daftar Koreksi'!$D$5:$D$92,'1900'!A136,'Daftar Koreksi'!$G$5:$G$92,"Peralatan dan mesin",'Daftar Koreksi'!$I$5:$I$92,"&lt;0")</f>
        <v>389531</v>
      </c>
      <c r="G149" s="17">
        <f t="shared" si="6"/>
        <v>-1347042369</v>
      </c>
      <c r="H149" s="122"/>
      <c r="I149" s="28"/>
      <c r="J149" s="28"/>
    </row>
    <row r="150" spans="1:10" ht="21.95" customHeight="1">
      <c r="A150" s="14"/>
      <c r="B150" s="14"/>
      <c r="C150" s="16" t="s">
        <v>2088</v>
      </c>
      <c r="D150" s="17">
        <f>VLOOKUP(A136,'Neraca Unaudited SIMAK'!$A$2:$S$10004,14,FALSE)</f>
        <v>-3015681706</v>
      </c>
      <c r="E150" s="25">
        <f>SUMIFS('Daftar Koreksi'!$I$5:$I$92,'Daftar Koreksi'!$D$5:$D$92,'1900'!A136,'Daftar Koreksi'!$G$5:$G$92,"Gedung dan Bangunan",'Daftar Koreksi'!$I$5:$I$92,"&gt;0")</f>
        <v>0</v>
      </c>
      <c r="F150" s="25">
        <f>SUMIFS('Daftar Koreksi'!$I$5:$I$92,'Daftar Koreksi'!$D$5:$D$92,'1900'!A136,'Daftar Koreksi'!$G$5:$G$92,"Gedung dan Bangunan",'Daftar Koreksi'!$I$5:$I$92,"&lt;0")-SUMIFS('Daftar Koreksi'!$I$5:$I$92,'Daftar Koreksi'!$D$5:$D$92,'1900'!A136,'Daftar Koreksi'!$G$5:$G$92,"Gedung dan Bangunan",'Daftar Koreksi'!$I$5:$I$92,"&lt;0")-SUMIFS('Daftar Koreksi'!$I$5:$I$92,'Daftar Koreksi'!$D$5:$D$92,'1900'!A136,'Daftar Koreksi'!$G$5:$G$92,"Gedung dan Bangunan",'Daftar Koreksi'!$I$5:$I$92,"&lt;0")</f>
        <v>0</v>
      </c>
      <c r="G150" s="17">
        <f t="shared" si="6"/>
        <v>-3015681706</v>
      </c>
      <c r="H150" s="122"/>
      <c r="I150" s="28"/>
      <c r="J150" s="28"/>
    </row>
    <row r="151" spans="1:10" ht="21.95" customHeight="1">
      <c r="A151" s="14"/>
      <c r="B151" s="14"/>
      <c r="C151" s="16" t="s">
        <v>2089</v>
      </c>
      <c r="D151" s="17">
        <f>VLOOKUP(A136,'Neraca Unaudited SIMAK'!$A$2:$S$10004,15,FALSE)</f>
        <v>-39941511</v>
      </c>
      <c r="E151" s="25">
        <f>SUMIFS('Daftar Koreksi'!$I$5:$I$92,'Daftar Koreksi'!$D$5:$D$92,'1900'!A136,'Daftar Koreksi'!$G$5:$G$92,"Jalan Irigasi Jaringan",'Daftar Koreksi'!$I$5:$I$92,"&gt;0")</f>
        <v>0</v>
      </c>
      <c r="F151" s="25">
        <f>SUMIFS('Daftar Koreksi'!$I$5:$I$92,'Daftar Koreksi'!$D$5:$D$92,'1900'!A136,'Daftar Koreksi'!$G$5:$G$92,"Jalan Irigasi Jaringan",'Daftar Koreksi'!$I$5:$I$92,"&lt;0")-SUMIFS('Daftar Koreksi'!$I$5:$I$92,'Daftar Koreksi'!$D$5:$D$92,'1900'!A136,'Daftar Koreksi'!$G$5:$G$92,"Jalan Irigasi Jaringan",'Daftar Koreksi'!$I$5:$I$92,"&lt;0")-SUMIFS('Daftar Koreksi'!$I$5:$I$92,'Daftar Koreksi'!$D$5:$D$92,'1900'!A136,'Daftar Koreksi'!$G$5:$G$92,"Jalan Irigasi Jaringan",'Daftar Koreksi'!$I$5:$I$92,"&lt;0")</f>
        <v>0</v>
      </c>
      <c r="G151" s="17">
        <f t="shared" si="6"/>
        <v>-39941511</v>
      </c>
      <c r="H151" s="122"/>
      <c r="I151" s="28"/>
      <c r="J151" s="28"/>
    </row>
    <row r="152" spans="1:10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Koreksi'!$D$5:$D$92,'1900'!A136,'Daftar Koreksi'!$G$5:$G$92,"Aset Tetap Lainnya",'Daftar Koreksi'!$I$5:$I$92,"&gt;0")</f>
        <v>0</v>
      </c>
      <c r="F152" s="25">
        <f>SUMIFS('Daftar Koreksi'!$I$5:$I$92,'Daftar Koreksi'!$D$5:$D$92,'1900'!A136,'Daftar Koreksi'!$G$5:$G$92,"Aset Tetap Lainnya",'Daftar Koreksi'!$I$5:$I$92,"&lt;0")-SUMIFS('Daftar Koreksi'!$I$5:$I$92,'Daftar Koreksi'!$D$5:$D$92,'1900'!A136,'Daftar Koreksi'!$G$5:$G$92,"Aset Tetap Lainnya",'Daftar Koreksi'!$I$5:$I$92,"&lt;0")-SUMIFS('Daftar Koreksi'!$I$5:$I$92,'Daftar Koreksi'!$D$5:$D$92,'1900'!A136,'Daftar Koreksi'!$G$5:$G$92,"Aset Tetap Lainnya",'Daftar Koreksi'!$I$5:$I$92,"&lt;0")</f>
        <v>0</v>
      </c>
      <c r="G152" s="17">
        <f t="shared" si="6"/>
        <v>0</v>
      </c>
      <c r="H152" s="122"/>
      <c r="I152" s="28"/>
      <c r="J152" s="28"/>
    </row>
    <row r="153" spans="1:10" ht="21.95" customHeight="1">
      <c r="A153" s="14"/>
      <c r="B153" s="14"/>
      <c r="C153" s="16" t="s">
        <v>2020</v>
      </c>
      <c r="D153" s="17">
        <f>VLOOKUP(A136,'Neraca Unaudited SIMAK'!$A$2:$S$10004,17,FALSE)</f>
        <v>-22046480</v>
      </c>
      <c r="E153" s="25">
        <f>SUMIFS('Daftar Koreksi'!$I$5:$I$92,'Daftar Koreksi'!$D$5:$D$92,'1900'!A136,'Daftar Koreksi'!$G$5:$G$92,"Aset Henti Guna",'Daftar Koreksi'!$I$5:$I$92,"&gt;0")</f>
        <v>0</v>
      </c>
      <c r="F153" s="25">
        <f>SUMIFS('Daftar Koreksi'!$I$5:$I$92,'Daftar Koreksi'!$D$5:$D$92,'1900'!A136,'Daftar Koreksi'!$G$5:$G$92,"Aset Henti Guna",'Daftar Koreksi'!$I$5:$I$92,"&lt;0")-SUMIFS('Daftar Koreksi'!$I$5:$I$92,'Daftar Koreksi'!$D$5:$D$92,'1900'!A136,'Daftar Koreksi'!$G$5:$G$92,"Aset Henti Guna",'Daftar Koreksi'!$I$5:$I$92,"&lt;0")-SUMIFS('Daftar Koreksi'!$I$5:$I$92,'Daftar Koreksi'!$D$5:$D$92,'1900'!A136,'Daftar Koreksi'!$G$5:$G$92,"Aset Henti Guna",'Daftar Koreksi'!$I$5:$I$92,"&lt;0")</f>
        <v>0</v>
      </c>
      <c r="G153" s="17">
        <f t="shared" si="6"/>
        <v>-22046480</v>
      </c>
      <c r="H153" s="122"/>
      <c r="I153" s="28"/>
      <c r="J153" s="28"/>
    </row>
    <row r="154" spans="1:10" ht="21.95" customHeight="1">
      <c r="A154" s="14"/>
      <c r="B154" s="14"/>
      <c r="C154" s="18" t="s">
        <v>2094</v>
      </c>
      <c r="D154" s="19">
        <f>SUM(D149:D153)</f>
        <v>-4424322535</v>
      </c>
      <c r="E154" s="19">
        <f>SUM(E149:E153)</f>
        <v>0</v>
      </c>
      <c r="F154" s="19">
        <f>SUM(F149:F153)</f>
        <v>389531</v>
      </c>
      <c r="G154" s="19">
        <f t="shared" si="6"/>
        <v>-4424712066</v>
      </c>
      <c r="H154" s="122"/>
      <c r="I154" s="28"/>
      <c r="J154" s="28"/>
    </row>
    <row r="155" spans="1:10" ht="21.95" customHeight="1">
      <c r="A155" s="14"/>
      <c r="B155" s="14"/>
      <c r="C155" s="18" t="s">
        <v>2095</v>
      </c>
      <c r="D155" s="19">
        <f>VLOOKUP(A136,'Neraca Unaudited SIMAK'!$A$2:$S$10004,18,FALSE)</f>
        <v>7819054790</v>
      </c>
      <c r="E155" s="19">
        <f>E154+E148</f>
        <v>3895309</v>
      </c>
      <c r="F155" s="19">
        <f>F154+F148</f>
        <v>389531</v>
      </c>
      <c r="G155" s="19">
        <f t="shared" si="6"/>
        <v>7822560568</v>
      </c>
      <c r="H155" s="122"/>
      <c r="I155" s="28"/>
      <c r="J155" s="28"/>
    </row>
    <row r="156" spans="1:10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  <c r="I156" s="28"/>
      <c r="J156" s="28"/>
    </row>
    <row r="158" spans="1:10" ht="19.5" customHeight="1">
      <c r="A158" s="11" t="str">
        <f>O8</f>
        <v>005011900099485000KD</v>
      </c>
      <c r="B158" s="11" t="str">
        <f>P8</f>
        <v>PN. Jeneponto</v>
      </c>
      <c r="C158" s="12" t="str">
        <f>A158&amp;" "&amp;B158</f>
        <v>005011900099485000KD PN. Jeneponto</v>
      </c>
      <c r="D158" s="13"/>
      <c r="E158" s="13"/>
      <c r="F158" s="13"/>
      <c r="G158" s="13"/>
      <c r="H158" s="11"/>
    </row>
    <row r="159" spans="1:10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10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2210000</v>
      </c>
      <c r="E161" s="25">
        <f>SUMIFS('Daftar Koreksi'!$H$5:$H$92,'Daftar Koreksi'!$D$5:$D$92,'1900'!A158,'Daftar Koreksi'!$G$5:$G$92,"Persediaan",'Daftar Koreksi'!$H$5:$H$92,"&gt;0")</f>
        <v>0</v>
      </c>
      <c r="F161" s="25">
        <f>SUMIFS('Daftar Koreksi'!$H$5:$H$92,'Daftar Koreksi'!$D$5:$D$92,'1900'!A158,'Daftar Koreksi'!$G$5:$G$92,"Persediaan",'Daftar Koreksi'!$H$5:$H$92,"&lt;0")-SUMIFS('Daftar Koreksi'!$H$5:$H$92,'Daftar Koreksi'!$D$5:$D$92,'1900'!A158,'Daftar Koreksi'!$G$5:$G$92,"Persediaan",'Daftar Koreksi'!$H$5:$H$92,"&lt;0")-SUMIFS('Daftar Koreksi'!$H$5:$H$92,'Daftar Koreksi'!$D$5:$D$92,'1900'!A158,'Daftar Koreksi'!$G$5:$G$92,"Persediaan",'Daftar Koreksi'!$H$5:$H$92,"&lt;0")</f>
        <v>0</v>
      </c>
      <c r="G161" s="17">
        <f>D161+E161-F161</f>
        <v>2210000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2327247696</v>
      </c>
      <c r="E162" s="25">
        <f>SUMIFS('Daftar Koreksi'!$H$5:$H$92,'Daftar Koreksi'!$D$5:$D$92,'1900'!A158,'Daftar Koreksi'!$G$5:$G$92,"Tanah",'Daftar Koreksi'!$H$5:$H$92,"&gt;0")</f>
        <v>0</v>
      </c>
      <c r="F162" s="25">
        <f>SUMIFS('Daftar Koreksi'!$H$5:$H$92,'Daftar Koreksi'!$D$5:$D$92,'1900'!A158,'Daftar Koreksi'!$G$5:$G$92,"Tanah",'Daftar Koreksi'!$H$5:$H$92,"&lt;0")-SUMIFS('Daftar Koreksi'!$H$5:$H$92,'Daftar Koreksi'!$D$5:$D$92,'1900'!A158,'Daftar Koreksi'!$G$5:$G$92,"Tanah",'Daftar Koreksi'!$H$5:$H$92,"&lt;0")-SUMIFS('Daftar Koreksi'!$H$5:$H$92,'Daftar Koreksi'!$D$5:$D$92,'1900'!A158,'Daftar Koreksi'!$G$5:$G$92,"Tanah",'Daftar Koreksi'!$H$5:$H$92,"&lt;0")</f>
        <v>0</v>
      </c>
      <c r="G162" s="17">
        <f t="shared" ref="G162:G178" si="7">D162+E162-F162</f>
        <v>2327247696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1682361162</v>
      </c>
      <c r="E163" s="25">
        <f>SUMIFS('Daftar Koreksi'!$H$5:$H$92,'Daftar Koreksi'!$D$5:$D$92,'1900'!A158,'Daftar Koreksi'!$G$5:$G$92,"Peralatan dan mesin",'Daftar Koreksi'!$H$5:$H$92,"&gt;0")</f>
        <v>0</v>
      </c>
      <c r="F163" s="25">
        <f>SUMIFS('Daftar Koreksi'!$H$5:$H$92,'Daftar Koreksi'!$D$5:$D$92,'1900'!A158,'Daftar Koreksi'!$G$5:$G$92,"Peralatan dan mesin",'Daftar Koreksi'!$H$5:$H$92,"&lt;0")-SUMIFS('Daftar Koreksi'!$H$5:$H$92,'Daftar Koreksi'!$D$5:$D$92,'1900'!A158,'Daftar Koreksi'!$G$5:$G$92,"Peralatan dan mesin",'Daftar Koreksi'!$H$5:$H$92,"&lt;0")-SUMIFS('Daftar Koreksi'!$H$5:$H$92,'Daftar Koreksi'!$D$5:$D$92,'1900'!A158,'Daftar Koreksi'!$G$5:$G$92,"Peralatan dan mesin",'Daftar Koreksi'!$H$5:$H$92,"&lt;0")</f>
        <v>0</v>
      </c>
      <c r="G163" s="17">
        <f t="shared" si="7"/>
        <v>1682361162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2047560500</v>
      </c>
      <c r="E164" s="25">
        <f>SUMIFS('Daftar Koreksi'!$H$5:$H$92,'Daftar Koreksi'!$D$5:$D$92,'1900'!A158,'Daftar Koreksi'!$G$5:$G$92,"Gedung dan Bangunan",'Daftar Koreksi'!$H$5:$H$92,"&gt;0")</f>
        <v>0</v>
      </c>
      <c r="F164" s="25">
        <f>SUMIFS('Daftar Koreksi'!$H$5:$H$92,'Daftar Koreksi'!$D$5:$D$92,'1900'!A158,'Daftar Koreksi'!$G$5:$G$92,"Gedung dan Bangunan",'Daftar Koreksi'!$H$5:$H$92,"&lt;0")-SUMIFS('Daftar Koreksi'!$H$5:$H$92,'Daftar Koreksi'!$D$5:$D$92,'1900'!A158,'Daftar Koreksi'!$G$5:$G$92,"Gedung dan Bangunan",'Daftar Koreksi'!$H$5:$H$92,"&lt;0")-SUMIFS('Daftar Koreksi'!$H$5:$H$92,'Daftar Koreksi'!$D$5:$D$92,'1900'!A158,'Daftar Koreksi'!$G$5:$G$92,"Gedung dan Bangunan",'Daftar Koreksi'!$H$5:$H$92,"&lt;0")</f>
        <v>0</v>
      </c>
      <c r="G164" s="17">
        <f t="shared" si="7"/>
        <v>2047560500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266618000</v>
      </c>
      <c r="E165" s="25">
        <f>SUMIFS('Daftar Koreksi'!$H$5:$H$92,'Daftar Koreksi'!$D$5:$D$92,'1900'!A158,'Daftar Koreksi'!$G$5:$G$92,"Jalan Irigasi Jaringan",'Daftar Koreksi'!$H$5:$H$92,"&gt;0")</f>
        <v>0</v>
      </c>
      <c r="F165" s="25">
        <f>SUMIFS('Daftar Koreksi'!$H$5:$H$92,'Daftar Koreksi'!$D$5:$D$92,'1900'!A158,'Daftar Koreksi'!$G$5:$G$92,"Jalan Irigasi Jaringan",'Daftar Koreksi'!$H$5:$H$92,"&lt;0")-SUMIFS('Daftar Koreksi'!$H$5:$H$92,'Daftar Koreksi'!$D$5:$D$92,'1900'!A158,'Daftar Koreksi'!$G$5:$G$92,"Jalan Irigasi Jaringan",'Daftar Koreksi'!$H$5:$H$92,"&lt;0")-SUMIFS('Daftar Koreksi'!$H$5:$H$92,'Daftar Koreksi'!$D$5:$D$92,'1900'!A158,'Daftar Koreksi'!$G$5:$G$92,"Jalan Irigasi Jaringan",'Daftar Koreksi'!$H$5:$H$92,"&lt;0")</f>
        <v>0</v>
      </c>
      <c r="G165" s="17">
        <f t="shared" si="7"/>
        <v>266618000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2096897</v>
      </c>
      <c r="E166" s="25">
        <f>SUMIFS('Daftar Koreksi'!$H$5:$H$92,'Daftar Koreksi'!$D$5:$D$92,'1900'!A158,'Daftar Koreksi'!$G$5:$G$92,"Aset Tetap Lainnya",'Daftar Koreksi'!$H$5:$H$92,"&gt;0")</f>
        <v>0</v>
      </c>
      <c r="F166" s="25">
        <f>SUMIFS('Daftar Koreksi'!$H$5:$H$92,'Daftar Koreksi'!$D$5:$D$92,'1900'!A158,'Daftar Koreksi'!$G$5:$G$92,"Aset Tetap Lainnya",'Daftar Koreksi'!$H$5:$H$92,"&lt;0")-SUMIFS('Daftar Koreksi'!$H$5:$H$92,'Daftar Koreksi'!$D$5:$D$92,'1900'!A158,'Daftar Koreksi'!$G$5:$G$92,"Aset Tetap Lainnya",'Daftar Koreksi'!$H$5:$H$92,"&lt;0")-SUMIFS('Daftar Koreksi'!$H$5:$H$92,'Daftar Koreksi'!$D$5:$D$92,'1900'!A158,'Daftar Koreksi'!$G$5:$G$92,"Aset Tetap Lainnya",'Daftar Koreksi'!$H$5:$H$92,"&lt;0")</f>
        <v>0</v>
      </c>
      <c r="G166" s="17">
        <f t="shared" si="7"/>
        <v>2096897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4901284679</v>
      </c>
      <c r="E167" s="25">
        <f>SUMIFS('Daftar Koreksi'!$H$5:$H$92,'Daftar Koreksi'!$D$5:$D$92,'1900'!A158,'Daftar Koreksi'!$G$5:$G$92,"Kontruksi Dalam Pengerjaan",'Daftar Koreksi'!$H$5:$H$92,"&gt;0")</f>
        <v>0</v>
      </c>
      <c r="F167" s="25">
        <f>SUMIFS('Daftar Koreksi'!$H$5:$H$92,'Daftar Koreksi'!$D$5:$D$92,'1900'!A158,'Daftar Koreksi'!$G$5:$G$92,"Kontruksi Dalam Pengerjaan",'Daftar Koreksi'!$H$5:$H$92,"&lt;0")-SUMIFS('Daftar Koreksi'!$H$5:$H$92,'Daftar Koreksi'!$D$5:$D$92,'1900'!A158,'Daftar Koreksi'!$G$5:$G$92,"Kontruksi Dalam Pengerjaan",'Daftar Koreksi'!$H$5:$H$92,"&lt;0")-SUMIFS('Daftar Koreksi'!$H$5:$H$92,'Daftar Koreksi'!$D$5:$D$92,'1900'!A158,'Daftar Koreksi'!$G$5:$G$92,"Kontruksi Dalam Pengerjaan",'Daftar Koreksi'!$H$5:$H$92,"&lt;0")</f>
        <v>0</v>
      </c>
      <c r="G167" s="17">
        <f t="shared" si="7"/>
        <v>4901284679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24349000</v>
      </c>
      <c r="E168" s="25">
        <f>SUMIFS('Daftar Koreksi'!$H$5:$H$92,'Daftar Koreksi'!$D$5:$D$92,'1900'!A158,'Daftar Koreksi'!$G$5:$G$92,"Aset Tak Berwujud",'Daftar Koreksi'!$H$5:$H$92,"&gt;0")</f>
        <v>0</v>
      </c>
      <c r="F168" s="25">
        <f>SUMIFS('Daftar Koreksi'!$H$5:$H$92,'Daftar Koreksi'!$D$5:$D$92,'1900'!A158,'Daftar Koreksi'!$G$5:$G$92,"Aset Tak Berwujud",'Daftar Koreksi'!$H$5:$H$92,"&lt;0")-SUMIFS('Daftar Koreksi'!$H$5:$H$92,'Daftar Koreksi'!$D$5:$D$92,'1900'!A158,'Daftar Koreksi'!$G$5:$G$92,"Aset Tak Berwujud",'Daftar Koreksi'!$H$5:$H$92,"&lt;0")-SUMIFS('Daftar Koreksi'!$H$5:$H$92,'Daftar Koreksi'!$D$5:$D$92,'1900'!A158,'Daftar Koreksi'!$G$5:$G$92,"Aset Tak Berwujud",'Daftar Koreksi'!$H$5:$H$92,"&lt;0")</f>
        <v>0</v>
      </c>
      <c r="G168" s="17">
        <f t="shared" si="7"/>
        <v>24349000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257705443</v>
      </c>
      <c r="E169" s="25">
        <f>SUMIFS('Daftar Koreksi'!$H$5:$H$92,'Daftar Koreksi'!$D$5:$D$92,'1900'!A158,'Daftar Koreksi'!$G$5:$G$92,"Aset Henti Guna",'Daftar Koreksi'!$H$5:$H$92,"&gt;0")</f>
        <v>0</v>
      </c>
      <c r="F169" s="25">
        <f>SUMIFS('Daftar Koreksi'!$H$5:$H$92,'Daftar Koreksi'!$D$5:$D$92,'1900'!A158,'Daftar Koreksi'!$G$5:$G$92,"Aset Henti Guna",'Daftar Koreksi'!$H$5:$H$92,"&lt;0")-SUMIFS('Daftar Koreksi'!$H$5:$H$92,'Daftar Koreksi'!$D$5:$D$92,'1900'!A158,'Daftar Koreksi'!$G$5:$G$92,"Aset Henti Guna",'Daftar Koreksi'!$H$5:$H$92,"&lt;0")-SUMIFS('Daftar Koreksi'!$H$5:$H$92,'Daftar Koreksi'!$D$5:$D$92,'1900'!A158,'Daftar Koreksi'!$G$5:$G$92,"Aset Henti Guna",'Daftar Koreksi'!$H$5:$H$92,"&lt;0")</f>
        <v>0</v>
      </c>
      <c r="G169" s="17">
        <f t="shared" si="7"/>
        <v>257705443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11511433377</v>
      </c>
      <c r="E170" s="19">
        <f>SUM(E161:E169)</f>
        <v>0</v>
      </c>
      <c r="F170" s="19">
        <f>SUM(F161:F169)</f>
        <v>0</v>
      </c>
      <c r="G170" s="19">
        <f t="shared" si="7"/>
        <v>11511433377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-1490865515</v>
      </c>
      <c r="E171" s="25">
        <f>SUMIFS('Daftar Koreksi'!$I$5:$I$92,'Daftar Koreksi'!$D$5:$D$92,'1900'!A158,'Daftar Koreksi'!$G$5:$G$92,"Peralatan dan mesin",'Daftar Koreksi'!$I$5:$I$92,"&gt;0")</f>
        <v>0</v>
      </c>
      <c r="F171" s="25">
        <f>SUMIFS('Daftar Koreksi'!$I$5:$I$92,'Daftar Koreksi'!$D$5:$D$92,'1900'!A158,'Daftar Koreksi'!$G$5:$G$92,"Peralatan dan mesin",'Daftar Koreksi'!$I$5:$I$92,"&lt;0")-SUMIFS('Daftar Koreksi'!$I$5:$I$92,'Daftar Koreksi'!$D$5:$D$92,'1900'!A158,'Daftar Koreksi'!$G$5:$G$92,"Peralatan dan mesin",'Daftar Koreksi'!$I$5:$I$92,"&lt;0")-SUMIFS('Daftar Koreksi'!$I$5:$I$92,'Daftar Koreksi'!$D$5:$D$92,'1900'!A158,'Daftar Koreksi'!$G$5:$G$92,"Peralatan dan mesin",'Daftar Koreksi'!$I$5:$I$92,"&lt;0")</f>
        <v>0</v>
      </c>
      <c r="G171" s="17">
        <f t="shared" si="7"/>
        <v>-1490865515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-482847398</v>
      </c>
      <c r="E172" s="25">
        <f>SUMIFS('Daftar Koreksi'!$I$5:$I$92,'Daftar Koreksi'!$D$5:$D$92,'1900'!A158,'Daftar Koreksi'!$G$5:$G$92,"Gedung dan Bangunan",'Daftar Koreksi'!$I$5:$I$92,"&gt;0")</f>
        <v>0</v>
      </c>
      <c r="F172" s="25">
        <f>SUMIFS('Daftar Koreksi'!$I$5:$I$92,'Daftar Koreksi'!$D$5:$D$92,'1900'!A158,'Daftar Koreksi'!$G$5:$G$92,"Gedung dan Bangunan",'Daftar Koreksi'!$I$5:$I$92,"&lt;0")-SUMIFS('Daftar Koreksi'!$I$5:$I$92,'Daftar Koreksi'!$D$5:$D$92,'1900'!A158,'Daftar Koreksi'!$G$5:$G$92,"Gedung dan Bangunan",'Daftar Koreksi'!$I$5:$I$92,"&lt;0")-SUMIFS('Daftar Koreksi'!$I$5:$I$92,'Daftar Koreksi'!$D$5:$D$92,'1900'!A158,'Daftar Koreksi'!$G$5:$G$92,"Gedung dan Bangunan",'Daftar Koreksi'!$I$5:$I$92,"&lt;0")</f>
        <v>0</v>
      </c>
      <c r="G172" s="17">
        <f t="shared" si="7"/>
        <v>-482847398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-64145650</v>
      </c>
      <c r="E173" s="25">
        <f>SUMIFS('Daftar Koreksi'!$I$5:$I$92,'Daftar Koreksi'!$D$5:$D$92,'1900'!A158,'Daftar Koreksi'!$G$5:$G$92,"Jalan Irigasi Jaringan",'Daftar Koreksi'!$I$5:$I$92,"&gt;0")</f>
        <v>0</v>
      </c>
      <c r="F173" s="25">
        <f>SUMIFS('Daftar Koreksi'!$I$5:$I$92,'Daftar Koreksi'!$D$5:$D$92,'1900'!A158,'Daftar Koreksi'!$G$5:$G$92,"Jalan Irigasi Jaringan",'Daftar Koreksi'!$I$5:$I$92,"&lt;0")-SUMIFS('Daftar Koreksi'!$I$5:$I$92,'Daftar Koreksi'!$D$5:$D$92,'1900'!A158,'Daftar Koreksi'!$G$5:$G$92,"Jalan Irigasi Jaringan",'Daftar Koreksi'!$I$5:$I$92,"&lt;0")-SUMIFS('Daftar Koreksi'!$I$5:$I$92,'Daftar Koreksi'!$D$5:$D$92,'1900'!A158,'Daftar Koreksi'!$G$5:$G$92,"Jalan Irigasi Jaringan",'Daftar Koreksi'!$I$5:$I$92,"&lt;0")</f>
        <v>0</v>
      </c>
      <c r="G173" s="17">
        <f t="shared" si="7"/>
        <v>-64145650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Koreksi'!$D$5:$D$92,'1900'!A158,'Daftar Koreksi'!$G$5:$G$92,"Aset Tetap Lainnya",'Daftar Koreksi'!$I$5:$I$92,"&gt;0")</f>
        <v>0</v>
      </c>
      <c r="F174" s="25">
        <f>SUMIFS('Daftar Koreksi'!$I$5:$I$92,'Daftar Koreksi'!$D$5:$D$92,'1900'!A158,'Daftar Koreksi'!$G$5:$G$92,"Aset Tetap Lainnya",'Daftar Koreksi'!$I$5:$I$92,"&lt;0")-SUMIFS('Daftar Koreksi'!$I$5:$I$92,'Daftar Koreksi'!$D$5:$D$92,'1900'!A158,'Daftar Koreksi'!$G$5:$G$92,"Aset Tetap Lainnya",'Daftar Koreksi'!$I$5:$I$92,"&lt;0")-SUMIFS('Daftar Koreksi'!$I$5:$I$92,'Daftar Koreksi'!$D$5:$D$92,'1900'!A158,'Daftar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-257705443</v>
      </c>
      <c r="E175" s="25">
        <f>SUMIFS('Daftar Koreksi'!$I$5:$I$92,'Daftar Koreksi'!$D$5:$D$92,'1900'!A158,'Daftar Koreksi'!$G$5:$G$92,"Aset Henti Guna",'Daftar Koreksi'!$I$5:$I$92,"&gt;0")</f>
        <v>0</v>
      </c>
      <c r="F175" s="25">
        <f>SUMIFS('Daftar Koreksi'!$I$5:$I$92,'Daftar Koreksi'!$D$5:$D$92,'1900'!A158,'Daftar Koreksi'!$G$5:$G$92,"Aset Henti Guna",'Daftar Koreksi'!$I$5:$I$92,"&lt;0")-SUMIFS('Daftar Koreksi'!$I$5:$I$92,'Daftar Koreksi'!$D$5:$D$92,'1900'!A158,'Daftar Koreksi'!$G$5:$G$92,"Aset Henti Guna",'Daftar Koreksi'!$I$5:$I$92,"&lt;0")-SUMIFS('Daftar Koreksi'!$I$5:$I$92,'Daftar Koreksi'!$D$5:$D$92,'1900'!A158,'Daftar Koreksi'!$G$5:$G$92,"Aset Henti Guna",'Daftar Koreksi'!$I$5:$I$92,"&lt;0")</f>
        <v>0</v>
      </c>
      <c r="G175" s="17">
        <f t="shared" si="7"/>
        <v>-257705443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-2295564006</v>
      </c>
      <c r="E176" s="19">
        <f>SUM(E171:E175)</f>
        <v>0</v>
      </c>
      <c r="F176" s="19">
        <f>SUM(F171:F175)</f>
        <v>0</v>
      </c>
      <c r="G176" s="19">
        <f t="shared" si="7"/>
        <v>-2295564006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9215869371</v>
      </c>
      <c r="E177" s="19">
        <f>E176+E170</f>
        <v>0</v>
      </c>
      <c r="F177" s="19">
        <f>F176+F170</f>
        <v>0</v>
      </c>
      <c r="G177" s="19">
        <f t="shared" si="7"/>
        <v>9215869371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005011900099492000KD</v>
      </c>
      <c r="B180" s="11" t="str">
        <f>P9</f>
        <v>PN. Pare-Pare</v>
      </c>
      <c r="C180" s="12" t="str">
        <f>A180&amp;" "&amp;B180</f>
        <v>005011900099492000KD PN. Pare-Pare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821725</v>
      </c>
      <c r="E183" s="25">
        <f>SUMIFS('Daftar Koreksi'!$H$5:$H$92,'Daftar Koreksi'!$D$5:$D$92,'1900'!A180,'Daftar Koreksi'!$G$5:$G$92,"Persediaan",'Daftar Koreksi'!$H$5:$H$92,"&gt;0")</f>
        <v>0</v>
      </c>
      <c r="F183" s="25">
        <f>SUMIFS('Daftar Koreksi'!$H$5:$H$92,'Daftar Koreksi'!$D$5:$D$92,'1900'!A180,'Daftar Koreksi'!$G$5:$G$92,"Persediaan",'Daftar Koreksi'!$H$5:$H$92,"&lt;0")-SUMIFS('Daftar Koreksi'!$H$5:$H$92,'Daftar Koreksi'!$D$5:$D$92,'1900'!A180,'Daftar Koreksi'!$G$5:$G$92,"Persediaan",'Daftar Koreksi'!$H$5:$H$92,"&lt;0")-SUMIFS('Daftar Koreksi'!$H$5:$H$92,'Daftar Koreksi'!$D$5:$D$92,'1900'!A180,'Daftar Koreksi'!$G$5:$G$92,"Persediaan",'Daftar Koreksi'!$H$5:$H$92,"&lt;0")</f>
        <v>0</v>
      </c>
      <c r="G183" s="17">
        <f>D183+E183-F183</f>
        <v>821725</v>
      </c>
      <c r="H183" s="121" t="str">
        <f>IF(ISNA(VLOOKUP(A180,'Mutasi Neraca'!$A$3:$S$914,19,FALSE)),"-",VLOOKUP(A180,'Mutasi Neraca'!$A$3:$S$914,19,FALSE))</f>
        <v>TP. No 10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3228000000</v>
      </c>
      <c r="E184" s="25">
        <f>SUMIFS('Daftar Koreksi'!$H$5:$H$92,'Daftar Koreksi'!$D$5:$D$92,'1900'!A180,'Daftar Koreksi'!$G$5:$G$92,"Tanah",'Daftar Koreksi'!$H$5:$H$92,"&gt;0")</f>
        <v>0</v>
      </c>
      <c r="F184" s="25">
        <f>SUMIFS('Daftar Koreksi'!$H$5:$H$92,'Daftar Koreksi'!$D$5:$D$92,'1900'!A180,'Daftar Koreksi'!$G$5:$G$92,"Tanah",'Daftar Koreksi'!$H$5:$H$92,"&lt;0")-SUMIFS('Daftar Koreksi'!$H$5:$H$92,'Daftar Koreksi'!$D$5:$D$92,'1900'!A180,'Daftar Koreksi'!$G$5:$G$92,"Tanah",'Daftar Koreksi'!$H$5:$H$92,"&lt;0")-SUMIFS('Daftar Koreksi'!$H$5:$H$92,'Daftar Koreksi'!$D$5:$D$92,'1900'!A180,'Daftar Koreksi'!$G$5:$G$92,"Tanah",'Daftar Koreksi'!$H$5:$H$92,"&lt;0")</f>
        <v>0</v>
      </c>
      <c r="G184" s="17">
        <f t="shared" ref="G184:G200" si="8">D184+E184-F184</f>
        <v>3228000000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1816033956</v>
      </c>
      <c r="E185" s="25">
        <f>SUMIFS('Daftar Koreksi'!$H$5:$H$92,'Daftar Koreksi'!$D$5:$D$92,'1900'!A180,'Daftar Koreksi'!$G$5:$G$92,"Peralatan dan mesin",'Daftar Koreksi'!$H$5:$H$92,"&gt;0")</f>
        <v>0</v>
      </c>
      <c r="F185" s="25">
        <f>SUMIFS('Daftar Koreksi'!$H$5:$H$92,'Daftar Koreksi'!$D$5:$D$92,'1900'!A180,'Daftar Koreksi'!$G$5:$G$92,"Peralatan dan mesin",'Daftar Koreksi'!$H$5:$H$92,"&lt;0")-SUMIFS('Daftar Koreksi'!$H$5:$H$92,'Daftar Koreksi'!$D$5:$D$92,'1900'!A180,'Daftar Koreksi'!$G$5:$G$92,"Peralatan dan mesin",'Daftar Koreksi'!$H$5:$H$92,"&lt;0")-SUMIFS('Daftar Koreksi'!$H$5:$H$92,'Daftar Koreksi'!$D$5:$D$92,'1900'!A180,'Daftar Koreksi'!$G$5:$G$92,"Peralatan dan mesin",'Daftar Koreksi'!$H$5:$H$92,"&lt;0")</f>
        <v>0</v>
      </c>
      <c r="G185" s="17">
        <f t="shared" si="8"/>
        <v>1816033956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3198645504</v>
      </c>
      <c r="E186" s="25">
        <f>SUMIFS('Daftar Koreksi'!$H$5:$H$92,'Daftar Koreksi'!$D$5:$D$92,'1900'!A180,'Daftar Koreksi'!$G$5:$G$92,"Gedung dan Bangunan",'Daftar Koreksi'!$H$5:$H$92,"&gt;0")</f>
        <v>0</v>
      </c>
      <c r="F186" s="25">
        <f>SUMIFS('Daftar Koreksi'!$H$5:$H$92,'Daftar Koreksi'!$D$5:$D$92,'1900'!A180,'Daftar Koreksi'!$G$5:$G$92,"Gedung dan Bangunan",'Daftar Koreksi'!$H$5:$H$92,"&lt;0")-SUMIFS('Daftar Koreksi'!$H$5:$H$92,'Daftar Koreksi'!$D$5:$D$92,'1900'!A180,'Daftar Koreksi'!$G$5:$G$92,"Gedung dan Bangunan",'Daftar Koreksi'!$H$5:$H$92,"&lt;0")-SUMIFS('Daftar Koreksi'!$H$5:$H$92,'Daftar Koreksi'!$D$5:$D$92,'1900'!A180,'Daftar Koreksi'!$G$5:$G$92,"Gedung dan Bangunan",'Daftar Koreksi'!$H$5:$H$92,"&lt;0")</f>
        <v>1090665000</v>
      </c>
      <c r="G186" s="17">
        <f t="shared" si="8"/>
        <v>2107980504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20192000</v>
      </c>
      <c r="E187" s="25">
        <f>SUMIFS('Daftar Koreksi'!$H$5:$H$92,'Daftar Koreksi'!$D$5:$D$92,'1900'!A180,'Daftar Koreksi'!$G$5:$G$92,"Jalan Irigasi Jaringan",'Daftar Koreksi'!$H$5:$H$92,"&gt;0")</f>
        <v>0</v>
      </c>
      <c r="F187" s="25">
        <f>SUMIFS('Daftar Koreksi'!$H$5:$H$92,'Daftar Koreksi'!$D$5:$D$92,'1900'!A180,'Daftar Koreksi'!$G$5:$G$92,"Jalan Irigasi Jaringan",'Daftar Koreksi'!$H$5:$H$92,"&lt;0")-SUMIFS('Daftar Koreksi'!$H$5:$H$92,'Daftar Koreksi'!$D$5:$D$92,'1900'!A180,'Daftar Koreksi'!$G$5:$G$92,"Jalan Irigasi Jaringan",'Daftar Koreksi'!$H$5:$H$92,"&lt;0")-SUMIFS('Daftar Koreksi'!$H$5:$H$92,'Daftar Koreksi'!$D$5:$D$92,'1900'!A180,'Daftar Koreksi'!$G$5:$G$92,"Jalan Irigasi Jaringan",'Daftar Koreksi'!$H$5:$H$92,"&lt;0")</f>
        <v>0</v>
      </c>
      <c r="G187" s="17">
        <f t="shared" si="8"/>
        <v>20192000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3995770</v>
      </c>
      <c r="E188" s="25">
        <f>SUMIFS('Daftar Koreksi'!$H$5:$H$92,'Daftar Koreksi'!$D$5:$D$92,'1900'!A180,'Daftar Koreksi'!$G$5:$G$92,"Aset Tetap Lainnya",'Daftar Koreksi'!$H$5:$H$92,"&gt;0")</f>
        <v>0</v>
      </c>
      <c r="F188" s="25">
        <f>SUMIFS('Daftar Koreksi'!$H$5:$H$92,'Daftar Koreksi'!$D$5:$D$92,'1900'!A180,'Daftar Koreksi'!$G$5:$G$92,"Aset Tetap Lainnya",'Daftar Koreksi'!$H$5:$H$92,"&lt;0")-SUMIFS('Daftar Koreksi'!$H$5:$H$92,'Daftar Koreksi'!$D$5:$D$92,'1900'!A180,'Daftar Koreksi'!$G$5:$G$92,"Aset Tetap Lainnya",'Daftar Koreksi'!$H$5:$H$92,"&lt;0")-SUMIFS('Daftar Koreksi'!$H$5:$H$92,'Daftar Koreksi'!$D$5:$D$92,'1900'!A180,'Daftar Koreksi'!$G$5:$G$92,"Aset Tetap Lainnya",'Daftar Koreksi'!$H$5:$H$92,"&lt;0")</f>
        <v>0</v>
      </c>
      <c r="G188" s="17">
        <f t="shared" si="8"/>
        <v>3995770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5551699725</v>
      </c>
      <c r="E189" s="25">
        <f>SUMIFS('Daftar Koreksi'!$H$5:$H$92,'Daftar Koreksi'!$D$5:$D$92,'1900'!A180,'Daftar Koreksi'!$G$5:$G$92,"Kontruksi Dalam Pengerjaan",'Daftar Koreksi'!$H$5:$H$92,"&gt;0")</f>
        <v>0</v>
      </c>
      <c r="F189" s="25">
        <f>SUMIFS('Daftar Koreksi'!$H$5:$H$92,'Daftar Koreksi'!$D$5:$D$92,'1900'!A180,'Daftar Koreksi'!$G$5:$G$92,"Kontruksi Dalam Pengerjaan",'Daftar Koreksi'!$H$5:$H$92,"&lt;0")-SUMIFS('Daftar Koreksi'!$H$5:$H$92,'Daftar Koreksi'!$D$5:$D$92,'1900'!A180,'Daftar Koreksi'!$G$5:$G$92,"Kontruksi Dalam Pengerjaan",'Daftar Koreksi'!$H$5:$H$92,"&lt;0")-SUMIFS('Daftar Koreksi'!$H$5:$H$92,'Daftar Koreksi'!$D$5:$D$92,'1900'!A180,'Daftar Koreksi'!$G$5:$G$92,"Kontruksi Dalam Pengerjaan",'Daftar Koreksi'!$H$5:$H$92,"&lt;0")</f>
        <v>0</v>
      </c>
      <c r="G189" s="17">
        <f t="shared" si="8"/>
        <v>5551699725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24349000</v>
      </c>
      <c r="E190" s="25">
        <f>SUMIFS('Daftar Koreksi'!$H$5:$H$92,'Daftar Koreksi'!$D$5:$D$92,'1900'!A180,'Daftar Koreksi'!$G$5:$G$92,"Aset Tak Berwujud",'Daftar Koreksi'!$H$5:$H$92,"&gt;0")</f>
        <v>0</v>
      </c>
      <c r="F190" s="25">
        <f>SUMIFS('Daftar Koreksi'!$H$5:$H$92,'Daftar Koreksi'!$D$5:$D$92,'1900'!A180,'Daftar Koreksi'!$G$5:$G$92,"Aset Tak Berwujud",'Daftar Koreksi'!$H$5:$H$92,"&lt;0")-SUMIFS('Daftar Koreksi'!$H$5:$H$92,'Daftar Koreksi'!$D$5:$D$92,'1900'!A180,'Daftar Koreksi'!$G$5:$G$92,"Aset Tak Berwujud",'Daftar Koreksi'!$H$5:$H$92,"&lt;0")-SUMIFS('Daftar Koreksi'!$H$5:$H$92,'Daftar Koreksi'!$D$5:$D$92,'1900'!A180,'Daftar Koreksi'!$G$5:$G$92,"Aset Tak Berwujud",'Daftar Koreksi'!$H$5:$H$92,"&lt;0")</f>
        <v>0</v>
      </c>
      <c r="G190" s="17">
        <f t="shared" si="8"/>
        <v>24349000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173321083</v>
      </c>
      <c r="E191" s="25">
        <f>SUMIFS('Daftar Koreksi'!$H$5:$H$92,'Daftar Koreksi'!$D$5:$D$92,'1900'!A180,'Daftar Koreksi'!$G$5:$G$92,"Aset Henti Guna",'Daftar Koreksi'!$H$5:$H$92,"&gt;0")</f>
        <v>0</v>
      </c>
      <c r="F191" s="25">
        <f>SUMIFS('Daftar Koreksi'!$H$5:$H$92,'Daftar Koreksi'!$D$5:$D$92,'1900'!A180,'Daftar Koreksi'!$G$5:$G$92,"Aset Henti Guna",'Daftar Koreksi'!$H$5:$H$92,"&lt;0")-SUMIFS('Daftar Koreksi'!$H$5:$H$92,'Daftar Koreksi'!$D$5:$D$92,'1900'!A180,'Daftar Koreksi'!$G$5:$G$92,"Aset Henti Guna",'Daftar Koreksi'!$H$5:$H$92,"&lt;0")-SUMIFS('Daftar Koreksi'!$H$5:$H$92,'Daftar Koreksi'!$D$5:$D$92,'1900'!A180,'Daftar Koreksi'!$G$5:$G$92,"Aset Henti Guna",'Daftar Koreksi'!$H$5:$H$92,"&lt;0")</f>
        <v>0</v>
      </c>
      <c r="G191" s="17">
        <f t="shared" si="8"/>
        <v>173321083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14017058763</v>
      </c>
      <c r="E192" s="19">
        <f>SUM(E183:E191)</f>
        <v>0</v>
      </c>
      <c r="F192" s="19">
        <f>SUM(F183:F191)</f>
        <v>1090665000</v>
      </c>
      <c r="G192" s="19">
        <f t="shared" si="8"/>
        <v>12926393763</v>
      </c>
      <c r="H192" s="122"/>
    </row>
    <row r="193" spans="1:11" ht="21.95" customHeight="1">
      <c r="A193" s="14"/>
      <c r="B193" s="14"/>
      <c r="C193" s="16" t="s">
        <v>2087</v>
      </c>
      <c r="D193" s="17">
        <f>VLOOKUP(A180,'Neraca Unaudited SIMAK'!$A$2:$S$10004,13,FALSE)</f>
        <v>-1656043949</v>
      </c>
      <c r="E193" s="25">
        <f>SUMIFS('Daftar Koreksi'!$I$5:$I$92,'Daftar Koreksi'!$D$5:$D$92,'1900'!A180,'Daftar Koreksi'!$G$5:$G$92,"Peralatan dan mesin",'Daftar Koreksi'!$I$5:$I$92,"&gt;0")</f>
        <v>0</v>
      </c>
      <c r="F193" s="25">
        <f>SUMIFS('Daftar Koreksi'!$I$5:$I$92,'Daftar Koreksi'!$D$5:$D$92,'1900'!A180,'Daftar Koreksi'!$G$5:$G$92,"Peralatan dan mesin",'Daftar Koreksi'!$I$5:$I$92,"&lt;0")-SUMIFS('Daftar Koreksi'!$I$5:$I$92,'Daftar Koreksi'!$D$5:$D$92,'1900'!A180,'Daftar Koreksi'!$G$5:$G$92,"Peralatan dan mesin",'Daftar Koreksi'!$I$5:$I$92,"&lt;0")-SUMIFS('Daftar Koreksi'!$I$5:$I$92,'Daftar Koreksi'!$D$5:$D$92,'1900'!A180,'Daftar Koreksi'!$G$5:$G$92,"Peralatan dan mesin",'Daftar Koreksi'!$I$5:$I$92,"&lt;0")</f>
        <v>0</v>
      </c>
      <c r="G193" s="17">
        <f t="shared" si="8"/>
        <v>-1656043949</v>
      </c>
      <c r="H193" s="122"/>
    </row>
    <row r="194" spans="1:11" ht="21.95" customHeight="1">
      <c r="A194" s="14"/>
      <c r="B194" s="14"/>
      <c r="C194" s="16" t="s">
        <v>2088</v>
      </c>
      <c r="D194" s="17">
        <f>VLOOKUP(A180,'Neraca Unaudited SIMAK'!$A$2:$S$10004,14,FALSE)</f>
        <v>-2180335027</v>
      </c>
      <c r="E194" s="25">
        <f>SUMIFS('Daftar Koreksi'!$I$5:$I$92,'Daftar Koreksi'!$D$5:$D$92,'1900'!A180,'Daftar Koreksi'!$G$5:$G$92,"Gedung dan Bangunan",'Daftar Koreksi'!$I$5:$I$92,"&gt;0")</f>
        <v>774372150</v>
      </c>
      <c r="F194" s="25">
        <f>SUMIFS('Daftar Koreksi'!$I$5:$I$92,'Daftar Koreksi'!$D$5:$D$92,'1900'!A180,'Daftar Koreksi'!$G$5:$G$92,"Gedung dan Bangunan",'Daftar Koreksi'!$I$5:$I$92,"&lt;0")-SUMIFS('Daftar Koreksi'!$I$5:$I$92,'Daftar Koreksi'!$D$5:$D$92,'1900'!A180,'Daftar Koreksi'!$G$5:$G$92,"Gedung dan Bangunan",'Daftar Koreksi'!$I$5:$I$92,"&lt;0")-SUMIFS('Daftar Koreksi'!$I$5:$I$92,'Daftar Koreksi'!$D$5:$D$92,'1900'!A180,'Daftar Koreksi'!$G$5:$G$92,"Gedung dan Bangunan",'Daftar Koreksi'!$I$5:$I$92,"&lt;0")</f>
        <v>0</v>
      </c>
      <c r="G194" s="17">
        <f t="shared" si="8"/>
        <v>-1405962877</v>
      </c>
      <c r="H194" s="122"/>
      <c r="J194" s="10">
        <f>1405962877+D194</f>
        <v>-774372150</v>
      </c>
      <c r="K194" s="10">
        <f>D194-J194</f>
        <v>-1405962877</v>
      </c>
    </row>
    <row r="195" spans="1:11" ht="21.95" customHeight="1">
      <c r="A195" s="14"/>
      <c r="B195" s="14"/>
      <c r="C195" s="16" t="s">
        <v>2089</v>
      </c>
      <c r="D195" s="17">
        <f>VLOOKUP(A180,'Neraca Unaudited SIMAK'!$A$2:$S$10004,15,FALSE)</f>
        <v>-16153600</v>
      </c>
      <c r="E195" s="25">
        <f>SUMIFS('Daftar Koreksi'!$I$5:$I$92,'Daftar Koreksi'!$D$5:$D$92,'1900'!A180,'Daftar Koreksi'!$G$5:$G$92,"Jalan Irigasi Jaringan",'Daftar Koreksi'!$I$5:$I$92,"&gt;0")</f>
        <v>0</v>
      </c>
      <c r="F195" s="25">
        <f>SUMIFS('Daftar Koreksi'!$I$5:$I$92,'Daftar Koreksi'!$D$5:$D$92,'1900'!A180,'Daftar Koreksi'!$G$5:$G$92,"Jalan Irigasi Jaringan",'Daftar Koreksi'!$I$5:$I$92,"&lt;0")-SUMIFS('Daftar Koreksi'!$I$5:$I$92,'Daftar Koreksi'!$D$5:$D$92,'1900'!A180,'Daftar Koreksi'!$G$5:$G$92,"Jalan Irigasi Jaringan",'Daftar Koreksi'!$I$5:$I$92,"&lt;0")-SUMIFS('Daftar Koreksi'!$I$5:$I$92,'Daftar Koreksi'!$D$5:$D$92,'1900'!A180,'Daftar Koreksi'!$G$5:$G$92,"Jalan Irigasi Jaringan",'Daftar Koreksi'!$I$5:$I$92,"&lt;0")</f>
        <v>0</v>
      </c>
      <c r="G195" s="17">
        <f t="shared" si="8"/>
        <v>-16153600</v>
      </c>
      <c r="H195" s="122"/>
    </row>
    <row r="196" spans="1:11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Koreksi'!$D$5:$D$92,'1900'!A180,'Daftar Koreksi'!$G$5:$G$92,"Aset Tetap Lainnya",'Daftar Koreksi'!$I$5:$I$92,"&gt;0")</f>
        <v>0</v>
      </c>
      <c r="F196" s="25">
        <f>SUMIFS('Daftar Koreksi'!$I$5:$I$92,'Daftar Koreksi'!$D$5:$D$92,'1900'!A180,'Daftar Koreksi'!$G$5:$G$92,"Aset Tetap Lainnya",'Daftar Koreksi'!$I$5:$I$92,"&lt;0")-SUMIFS('Daftar Koreksi'!$I$5:$I$92,'Daftar Koreksi'!$D$5:$D$92,'1900'!A180,'Daftar Koreksi'!$G$5:$G$92,"Aset Tetap Lainnya",'Daftar Koreksi'!$I$5:$I$92,"&lt;0")-SUMIFS('Daftar Koreksi'!$I$5:$I$92,'Daftar Koreksi'!$D$5:$D$92,'1900'!A180,'Daftar Koreksi'!$G$5:$G$92,"Aset Tetap Lainnya",'Daftar Koreksi'!$I$5:$I$92,"&lt;0")</f>
        <v>0</v>
      </c>
      <c r="G196" s="17">
        <f t="shared" si="8"/>
        <v>0</v>
      </c>
      <c r="H196" s="122"/>
    </row>
    <row r="197" spans="1:11" ht="21.95" customHeight="1">
      <c r="A197" s="14"/>
      <c r="B197" s="14"/>
      <c r="C197" s="16" t="s">
        <v>2020</v>
      </c>
      <c r="D197" s="17">
        <f>VLOOKUP(A180,'Neraca Unaudited SIMAK'!$A$2:$S$10004,17,FALSE)</f>
        <v>-133729000</v>
      </c>
      <c r="E197" s="25">
        <f>SUMIFS('Daftar Koreksi'!$I$5:$I$92,'Daftar Koreksi'!$D$5:$D$92,'1900'!A180,'Daftar Koreksi'!$G$5:$G$92,"Aset Henti Guna",'Daftar Koreksi'!$I$5:$I$92,"&gt;0")</f>
        <v>0</v>
      </c>
      <c r="F197" s="25">
        <f>SUMIFS('Daftar Koreksi'!$I$5:$I$92,'Daftar Koreksi'!$D$5:$D$92,'1900'!A180,'Daftar Koreksi'!$G$5:$G$92,"Aset Henti Guna",'Daftar Koreksi'!$I$5:$I$92,"&lt;0")-SUMIFS('Daftar Koreksi'!$I$5:$I$92,'Daftar Koreksi'!$D$5:$D$92,'1900'!A180,'Daftar Koreksi'!$G$5:$G$92,"Aset Henti Guna",'Daftar Koreksi'!$I$5:$I$92,"&lt;0")-SUMIFS('Daftar Koreksi'!$I$5:$I$92,'Daftar Koreksi'!$D$5:$D$92,'1900'!A180,'Daftar Koreksi'!$G$5:$G$92,"Aset Henti Guna",'Daftar Koreksi'!$I$5:$I$92,"&lt;0")</f>
        <v>0</v>
      </c>
      <c r="G197" s="17">
        <f t="shared" si="8"/>
        <v>-133729000</v>
      </c>
      <c r="H197" s="122"/>
    </row>
    <row r="198" spans="1:11" ht="21.95" customHeight="1">
      <c r="A198" s="14"/>
      <c r="B198" s="14"/>
      <c r="C198" s="18" t="s">
        <v>2094</v>
      </c>
      <c r="D198" s="19">
        <f>SUM(D193:D197)</f>
        <v>-3986261576</v>
      </c>
      <c r="E198" s="19">
        <f>SUM(E193:E197)</f>
        <v>774372150</v>
      </c>
      <c r="F198" s="19">
        <f>SUM(F193:F197)</f>
        <v>0</v>
      </c>
      <c r="G198" s="19">
        <f t="shared" si="8"/>
        <v>-3211889426</v>
      </c>
      <c r="H198" s="122"/>
    </row>
    <row r="199" spans="1:11" ht="21.95" customHeight="1">
      <c r="A199" s="14"/>
      <c r="B199" s="14"/>
      <c r="C199" s="18" t="s">
        <v>2095</v>
      </c>
      <c r="D199" s="19">
        <f>VLOOKUP(A180,'Neraca Unaudited SIMAK'!$A$2:$S$10004,18,FALSE)</f>
        <v>10030797187</v>
      </c>
      <c r="E199" s="19">
        <f>E198+E192</f>
        <v>774372150</v>
      </c>
      <c r="F199" s="19">
        <f>F198+F192</f>
        <v>1090665000</v>
      </c>
      <c r="G199" s="19">
        <f t="shared" si="8"/>
        <v>9714504337</v>
      </c>
      <c r="H199" s="122"/>
    </row>
    <row r="200" spans="1:11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11" ht="19.5" customHeight="1">
      <c r="A202" s="11" t="str">
        <f>O10</f>
        <v>005011900099507000KD</v>
      </c>
      <c r="B202" s="11" t="str">
        <f>P10</f>
        <v>PN. Enrekang</v>
      </c>
      <c r="C202" s="12" t="str">
        <f>A202&amp;" "&amp;B202</f>
        <v>005011900099507000KD PN. Enrekang</v>
      </c>
      <c r="D202" s="13"/>
      <c r="E202" s="13"/>
      <c r="F202" s="13"/>
      <c r="G202" s="13"/>
      <c r="H202" s="11"/>
    </row>
    <row r="203" spans="1:11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1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1" ht="21.95" customHeight="1">
      <c r="A205" s="14"/>
      <c r="B205" s="14"/>
      <c r="C205" s="16" t="s">
        <v>1165</v>
      </c>
      <c r="D205" s="17">
        <f>VLOOKUP(A202,'Neraca Unaudited SIMAK'!$A$2:$S$10004,3,FALSE)</f>
        <v>1900000</v>
      </c>
      <c r="E205" s="25">
        <f>SUMIFS('Daftar Koreksi'!$H$5:$H$92,'Daftar Koreksi'!$D$5:$D$92,'1900'!A202,'Daftar Koreksi'!$G$5:$G$92,"Persediaan",'Daftar Koreksi'!$H$5:$H$92,"&gt;0")</f>
        <v>0</v>
      </c>
      <c r="F205" s="25">
        <f>SUMIFS('Daftar Koreksi'!$H$5:$H$92,'Daftar Koreksi'!$D$5:$D$92,'1900'!A202,'Daftar Koreksi'!$G$5:$G$92,"Persediaan",'Daftar Koreksi'!$H$5:$H$92,"&lt;0")-SUMIFS('Daftar Koreksi'!$H$5:$H$92,'Daftar Koreksi'!$D$5:$D$92,'1900'!A202,'Daftar Koreksi'!$G$5:$G$92,"Persediaan",'Daftar Koreksi'!$H$5:$H$92,"&lt;0")-SUMIFS('Daftar Koreksi'!$H$5:$H$92,'Daftar Koreksi'!$D$5:$D$92,'1900'!A202,'Daftar Koreksi'!$G$5:$G$92,"Persediaan",'Daftar Koreksi'!$H$5:$H$92,"&lt;0")</f>
        <v>0</v>
      </c>
      <c r="G205" s="17">
        <f>D205+E205-F205</f>
        <v>1900000</v>
      </c>
      <c r="H205" s="121" t="str">
        <f>IF(ISNA(VLOOKUP(A202,'Mutasi Neraca'!$A$3:$S$914,19,FALSE)),"-",VLOOKUP(A202,'Mutasi Neraca'!$A$3:$S$914,19,FALSE))</f>
        <v>-</v>
      </c>
    </row>
    <row r="206" spans="1:11" ht="21.95" customHeight="1">
      <c r="A206" s="14"/>
      <c r="B206" s="14"/>
      <c r="C206" s="16" t="s">
        <v>1166</v>
      </c>
      <c r="D206" s="17">
        <f>VLOOKUP(A202,'Neraca Unaudited SIMAK'!$A$2:$S$10004,4,FALSE)</f>
        <v>1677250000</v>
      </c>
      <c r="E206" s="25">
        <f>SUMIFS('Daftar Koreksi'!$H$5:$H$92,'Daftar Koreksi'!$D$5:$D$92,'1900'!A202,'Daftar Koreksi'!$G$5:$G$92,"Tanah",'Daftar Koreksi'!$H$5:$H$92,"&gt;0")</f>
        <v>0</v>
      </c>
      <c r="F206" s="25">
        <f>SUMIFS('Daftar Koreksi'!$H$5:$H$92,'Daftar Koreksi'!$D$5:$D$92,'1900'!A202,'Daftar Koreksi'!$G$5:$G$92,"Tanah",'Daftar Koreksi'!$H$5:$H$92,"&lt;0")-SUMIFS('Daftar Koreksi'!$H$5:$H$92,'Daftar Koreksi'!$D$5:$D$92,'1900'!A202,'Daftar Koreksi'!$G$5:$G$92,"Tanah",'Daftar Koreksi'!$H$5:$H$92,"&lt;0")-SUMIFS('Daftar Koreksi'!$H$5:$H$92,'Daftar Koreksi'!$D$5:$D$92,'1900'!A202,'Daftar Koreksi'!$G$5:$G$92,"Tanah",'Daftar Koreksi'!$H$5:$H$92,"&lt;0")</f>
        <v>0</v>
      </c>
      <c r="G206" s="17">
        <f t="shared" ref="G206:G222" si="9">D206+E206-F206</f>
        <v>1677250000</v>
      </c>
      <c r="H206" s="122"/>
    </row>
    <row r="207" spans="1:11" ht="21.95" customHeight="1">
      <c r="A207" s="14"/>
      <c r="B207" s="14"/>
      <c r="C207" s="16" t="s">
        <v>1167</v>
      </c>
      <c r="D207" s="17">
        <f>VLOOKUP(A202,'Neraca Unaudited SIMAK'!$A$2:$S$10004,5,FALSE)</f>
        <v>1340403051</v>
      </c>
      <c r="E207" s="25">
        <f>SUMIFS('Daftar Koreksi'!$H$5:$H$92,'Daftar Koreksi'!$D$5:$D$92,'1900'!A202,'Daftar Koreksi'!$G$5:$G$92,"Peralatan dan mesin",'Daftar Koreksi'!$H$5:$H$92,"&gt;0")</f>
        <v>0</v>
      </c>
      <c r="F207" s="25">
        <f>SUMIFS('Daftar Koreksi'!$H$5:$H$92,'Daftar Koreksi'!$D$5:$D$92,'1900'!A202,'Daftar Koreksi'!$G$5:$G$92,"Peralatan dan mesin",'Daftar Koreksi'!$H$5:$H$92,"&lt;0")-SUMIFS('Daftar Koreksi'!$H$5:$H$92,'Daftar Koreksi'!$D$5:$D$92,'1900'!A202,'Daftar Koreksi'!$G$5:$G$92,"Peralatan dan mesin",'Daftar Koreksi'!$H$5:$H$92,"&lt;0")-SUMIFS('Daftar Koreksi'!$H$5:$H$92,'Daftar Koreksi'!$D$5:$D$92,'1900'!A202,'Daftar Koreksi'!$G$5:$G$92,"Peralatan dan mesin",'Daftar Koreksi'!$H$5:$H$92,"&lt;0")</f>
        <v>0</v>
      </c>
      <c r="G207" s="17">
        <f t="shared" si="9"/>
        <v>1340403051</v>
      </c>
      <c r="H207" s="122"/>
    </row>
    <row r="208" spans="1:11" ht="21.95" customHeight="1">
      <c r="A208" s="14"/>
      <c r="B208" s="14"/>
      <c r="C208" s="16" t="s">
        <v>1168</v>
      </c>
      <c r="D208" s="17">
        <f>VLOOKUP(A202,'Neraca Unaudited SIMAK'!$A$2:$S$10004,6,FALSE)</f>
        <v>7310917188</v>
      </c>
      <c r="E208" s="25">
        <f>SUMIFS('Daftar Koreksi'!$H$5:$H$92,'Daftar Koreksi'!$D$5:$D$92,'1900'!A202,'Daftar Koreksi'!$G$5:$G$92,"Gedung dan Bangunan",'Daftar Koreksi'!$H$5:$H$92,"&gt;0")</f>
        <v>0</v>
      </c>
      <c r="F208" s="25">
        <f>SUMIFS('Daftar Koreksi'!$H$5:$H$92,'Daftar Koreksi'!$D$5:$D$92,'1900'!A202,'Daftar Koreksi'!$G$5:$G$92,"Gedung dan Bangunan",'Daftar Koreksi'!$H$5:$H$92,"&lt;0")-SUMIFS('Daftar Koreksi'!$H$5:$H$92,'Daftar Koreksi'!$D$5:$D$92,'1900'!A202,'Daftar Koreksi'!$G$5:$G$92,"Gedung dan Bangunan",'Daftar Koreksi'!$H$5:$H$92,"&lt;0")-SUMIFS('Daftar Koreksi'!$H$5:$H$92,'Daftar Koreksi'!$D$5:$D$92,'1900'!A202,'Daftar Koreksi'!$G$5:$G$92,"Gedung dan Bangunan",'Daftar Koreksi'!$H$5:$H$92,"&lt;0")</f>
        <v>0</v>
      </c>
      <c r="G208" s="17">
        <f t="shared" si="9"/>
        <v>7310917188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33973000</v>
      </c>
      <c r="E209" s="25">
        <f>SUMIFS('Daftar Koreksi'!$H$5:$H$92,'Daftar Koreksi'!$D$5:$D$92,'1900'!A202,'Daftar Koreksi'!$G$5:$G$92,"Jalan Irigasi Jaringan",'Daftar Koreksi'!$H$5:$H$92,"&gt;0")</f>
        <v>0</v>
      </c>
      <c r="F209" s="25">
        <f>SUMIFS('Daftar Koreksi'!$H$5:$H$92,'Daftar Koreksi'!$D$5:$D$92,'1900'!A202,'Daftar Koreksi'!$G$5:$G$92,"Jalan Irigasi Jaringan",'Daftar Koreksi'!$H$5:$H$92,"&lt;0")-SUMIFS('Daftar Koreksi'!$H$5:$H$92,'Daftar Koreksi'!$D$5:$D$92,'1900'!A202,'Daftar Koreksi'!$G$5:$G$92,"Jalan Irigasi Jaringan",'Daftar Koreksi'!$H$5:$H$92,"&lt;0")-SUMIFS('Daftar Koreksi'!$H$5:$H$92,'Daftar Koreksi'!$D$5:$D$92,'1900'!A202,'Daftar Koreksi'!$G$5:$G$92,"Jalan Irigasi Jaringan",'Daftar Koreksi'!$H$5:$H$92,"&lt;0")</f>
        <v>0</v>
      </c>
      <c r="G209" s="17">
        <f t="shared" si="9"/>
        <v>33973000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167143436</v>
      </c>
      <c r="E210" s="25">
        <f>SUMIFS('Daftar Koreksi'!$H$5:$H$92,'Daftar Koreksi'!$D$5:$D$92,'1900'!A202,'Daftar Koreksi'!$G$5:$G$92,"Aset Tetap Lainnya",'Daftar Koreksi'!$H$5:$H$92,"&gt;0")</f>
        <v>0</v>
      </c>
      <c r="F210" s="25">
        <f>SUMIFS('Daftar Koreksi'!$H$5:$H$92,'Daftar Koreksi'!$D$5:$D$92,'1900'!A202,'Daftar Koreksi'!$G$5:$G$92,"Aset Tetap Lainnya",'Daftar Koreksi'!$H$5:$H$92,"&lt;0")-SUMIFS('Daftar Koreksi'!$H$5:$H$92,'Daftar Koreksi'!$D$5:$D$92,'1900'!A202,'Daftar Koreksi'!$G$5:$G$92,"Aset Tetap Lainnya",'Daftar Koreksi'!$H$5:$H$92,"&lt;0")-SUMIFS('Daftar Koreksi'!$H$5:$H$92,'Daftar Koreksi'!$D$5:$D$92,'1900'!A202,'Daftar Koreksi'!$G$5:$G$92,"Aset Tetap Lainnya",'Daftar Koreksi'!$H$5:$H$92,"&lt;0")</f>
        <v>0</v>
      </c>
      <c r="G210" s="17">
        <f t="shared" si="9"/>
        <v>167143436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Koreksi'!$D$5:$D$92,'1900'!A202,'Daftar Koreksi'!$G$5:$G$92,"Kontruksi Dalam Pengerjaan",'Daftar Koreksi'!$H$5:$H$92,"&gt;0")</f>
        <v>0</v>
      </c>
      <c r="F211" s="25">
        <f>SUMIFS('Daftar Koreksi'!$H$5:$H$92,'Daftar Koreksi'!$D$5:$D$92,'1900'!A202,'Daftar Koreksi'!$G$5:$G$92,"Kontruksi Dalam Pengerjaan",'Daftar Koreksi'!$H$5:$H$92,"&lt;0")-SUMIFS('Daftar Koreksi'!$H$5:$H$92,'Daftar Koreksi'!$D$5:$D$92,'1900'!A202,'Daftar Koreksi'!$G$5:$G$92,"Kontruksi Dalam Pengerjaan",'Daftar Koreksi'!$H$5:$H$92,"&lt;0")-SUMIFS('Daftar Koreksi'!$H$5:$H$92,'Daftar Koreksi'!$D$5:$D$92,'1900'!A202,'Daftar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24349000</v>
      </c>
      <c r="E212" s="25">
        <f>SUMIFS('Daftar Koreksi'!$H$5:$H$92,'Daftar Koreksi'!$D$5:$D$92,'1900'!A202,'Daftar Koreksi'!$G$5:$G$92,"Aset Tak Berwujud",'Daftar Koreksi'!$H$5:$H$92,"&gt;0")</f>
        <v>0</v>
      </c>
      <c r="F212" s="25">
        <f>SUMIFS('Daftar Koreksi'!$H$5:$H$92,'Daftar Koreksi'!$D$5:$D$92,'1900'!A202,'Daftar Koreksi'!$G$5:$G$92,"Aset Tak Berwujud",'Daftar Koreksi'!$H$5:$H$92,"&lt;0")-SUMIFS('Daftar Koreksi'!$H$5:$H$92,'Daftar Koreksi'!$D$5:$D$92,'1900'!A202,'Daftar Koreksi'!$G$5:$G$92,"Aset Tak Berwujud",'Daftar Koreksi'!$H$5:$H$92,"&lt;0")-SUMIFS('Daftar Koreksi'!$H$5:$H$92,'Daftar Koreksi'!$D$5:$D$92,'1900'!A202,'Daftar Koreksi'!$G$5:$G$92,"Aset Tak Berwujud",'Daftar Koreksi'!$H$5:$H$92,"&lt;0")</f>
        <v>0</v>
      </c>
      <c r="G212" s="17">
        <f t="shared" si="9"/>
        <v>24349000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28929000</v>
      </c>
      <c r="E213" s="25">
        <f>SUMIFS('Daftar Koreksi'!$H$5:$H$92,'Daftar Koreksi'!$D$5:$D$92,'1900'!A202,'Daftar Koreksi'!$G$5:$G$92,"Aset Henti Guna",'Daftar Koreksi'!$H$5:$H$92,"&gt;0")</f>
        <v>0</v>
      </c>
      <c r="F213" s="25">
        <f>SUMIFS('Daftar Koreksi'!$H$5:$H$92,'Daftar Koreksi'!$D$5:$D$92,'1900'!A202,'Daftar Koreksi'!$G$5:$G$92,"Aset Henti Guna",'Daftar Koreksi'!$H$5:$H$92,"&lt;0")-SUMIFS('Daftar Koreksi'!$H$5:$H$92,'Daftar Koreksi'!$D$5:$D$92,'1900'!A202,'Daftar Koreksi'!$G$5:$G$92,"Aset Henti Guna",'Daftar Koreksi'!$H$5:$H$92,"&lt;0")-SUMIFS('Daftar Koreksi'!$H$5:$H$92,'Daftar Koreksi'!$D$5:$D$92,'1900'!A202,'Daftar Koreksi'!$G$5:$G$92,"Aset Henti Guna",'Daftar Koreksi'!$H$5:$H$92,"&lt;0")</f>
        <v>0</v>
      </c>
      <c r="G213" s="17">
        <f t="shared" si="9"/>
        <v>28929000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10584864675</v>
      </c>
      <c r="E214" s="19">
        <f>SUM(E205:E213)</f>
        <v>0</v>
      </c>
      <c r="F214" s="19">
        <f>SUM(F205:F213)</f>
        <v>0</v>
      </c>
      <c r="G214" s="19">
        <f t="shared" si="9"/>
        <v>10584864675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-1117405369</v>
      </c>
      <c r="E215" s="25">
        <f>SUMIFS('Daftar Koreksi'!$I$5:$I$92,'Daftar Koreksi'!$D$5:$D$92,'1900'!A202,'Daftar Koreksi'!$G$5:$G$92,"Peralatan dan mesin",'Daftar Koreksi'!$I$5:$I$92,"&gt;0")</f>
        <v>0</v>
      </c>
      <c r="F215" s="25">
        <f>SUMIFS('Daftar Koreksi'!$I$5:$I$92,'Daftar Koreksi'!$D$5:$D$92,'1900'!A202,'Daftar Koreksi'!$G$5:$G$92,"Peralatan dan mesin",'Daftar Koreksi'!$I$5:$I$92,"&lt;0")-SUMIFS('Daftar Koreksi'!$I$5:$I$92,'Daftar Koreksi'!$D$5:$D$92,'1900'!A202,'Daftar Koreksi'!$G$5:$G$92,"Peralatan dan mesin",'Daftar Koreksi'!$I$5:$I$92,"&lt;0")-SUMIFS('Daftar Koreksi'!$I$5:$I$92,'Daftar Koreksi'!$D$5:$D$92,'1900'!A202,'Daftar Koreksi'!$G$5:$G$92,"Peralatan dan mesin",'Daftar Koreksi'!$I$5:$I$92,"&lt;0")</f>
        <v>0</v>
      </c>
      <c r="G215" s="17">
        <f t="shared" si="9"/>
        <v>-1117405369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-5632599000</v>
      </c>
      <c r="E216" s="25">
        <f>SUMIFS('Daftar Koreksi'!$I$5:$I$92,'Daftar Koreksi'!$D$5:$D$92,'1900'!A202,'Daftar Koreksi'!$G$5:$G$92,"Gedung dan Bangunan",'Daftar Koreksi'!$I$5:$I$92,"&gt;0")</f>
        <v>0</v>
      </c>
      <c r="F216" s="25">
        <f>SUMIFS('Daftar Koreksi'!$I$5:$I$92,'Daftar Koreksi'!$D$5:$D$92,'1900'!A202,'Daftar Koreksi'!$G$5:$G$92,"Gedung dan Bangunan",'Daftar Koreksi'!$I$5:$I$92,"&lt;0")-SUMIFS('Daftar Koreksi'!$I$5:$I$92,'Daftar Koreksi'!$D$5:$D$92,'1900'!A202,'Daftar Koreksi'!$G$5:$G$92,"Gedung dan Bangunan",'Daftar Koreksi'!$I$5:$I$92,"&lt;0")-SUMIFS('Daftar Koreksi'!$I$5:$I$92,'Daftar Koreksi'!$D$5:$D$92,'1900'!A202,'Daftar Koreksi'!$G$5:$G$92,"Gedung dan Bangunan",'Daftar Koreksi'!$I$5:$I$92,"&lt;0")</f>
        <v>0</v>
      </c>
      <c r="G216" s="17">
        <f t="shared" si="9"/>
        <v>-5632599000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-5520613</v>
      </c>
      <c r="E217" s="25">
        <f>SUMIFS('Daftar Koreksi'!$I$5:$I$92,'Daftar Koreksi'!$D$5:$D$92,'1900'!A202,'Daftar Koreksi'!$G$5:$G$92,"Jalan Irigasi Jaringan",'Daftar Koreksi'!$I$5:$I$92,"&gt;0")</f>
        <v>0</v>
      </c>
      <c r="F217" s="25">
        <f>SUMIFS('Daftar Koreksi'!$I$5:$I$92,'Daftar Koreksi'!$D$5:$D$92,'1900'!A202,'Daftar Koreksi'!$G$5:$G$92,"Jalan Irigasi Jaringan",'Daftar Koreksi'!$I$5:$I$92,"&lt;0")-SUMIFS('Daftar Koreksi'!$I$5:$I$92,'Daftar Koreksi'!$D$5:$D$92,'1900'!A202,'Daftar Koreksi'!$G$5:$G$92,"Jalan Irigasi Jaringan",'Daftar Koreksi'!$I$5:$I$92,"&lt;0")-SUMIFS('Daftar Koreksi'!$I$5:$I$92,'Daftar Koreksi'!$D$5:$D$92,'1900'!A202,'Daftar Koreksi'!$G$5:$G$92,"Jalan Irigasi Jaringan",'Daftar Koreksi'!$I$5:$I$92,"&lt;0")</f>
        <v>0</v>
      </c>
      <c r="G217" s="17">
        <f t="shared" si="9"/>
        <v>-5520613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Koreksi'!$D$5:$D$92,'1900'!A202,'Daftar Koreksi'!$G$5:$G$92,"Aset Tetap Lainnya",'Daftar Koreksi'!$I$5:$I$92,"&gt;0")</f>
        <v>0</v>
      </c>
      <c r="F218" s="25">
        <f>SUMIFS('Daftar Koreksi'!$I$5:$I$92,'Daftar Koreksi'!$D$5:$D$92,'1900'!A202,'Daftar Koreksi'!$G$5:$G$92,"Aset Tetap Lainnya",'Daftar Koreksi'!$I$5:$I$92,"&lt;0")-SUMIFS('Daftar Koreksi'!$I$5:$I$92,'Daftar Koreksi'!$D$5:$D$92,'1900'!A202,'Daftar Koreksi'!$G$5:$G$92,"Aset Tetap Lainnya",'Daftar Koreksi'!$I$5:$I$92,"&lt;0")-SUMIFS('Daftar Koreksi'!$I$5:$I$92,'Daftar Koreksi'!$D$5:$D$92,'1900'!A202,'Daftar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-28929000</v>
      </c>
      <c r="E219" s="25">
        <f>SUMIFS('Daftar Koreksi'!$I$5:$I$92,'Daftar Koreksi'!$D$5:$D$92,'1900'!A202,'Daftar Koreksi'!$G$5:$G$92,"Aset Henti Guna",'Daftar Koreksi'!$I$5:$I$92,"&gt;0")</f>
        <v>0</v>
      </c>
      <c r="F219" s="25">
        <f>SUMIFS('Daftar Koreksi'!$I$5:$I$92,'Daftar Koreksi'!$D$5:$D$92,'1900'!A202,'Daftar Koreksi'!$G$5:$G$92,"Aset Henti Guna",'Daftar Koreksi'!$I$5:$I$92,"&lt;0")-SUMIFS('Daftar Koreksi'!$I$5:$I$92,'Daftar Koreksi'!$D$5:$D$92,'1900'!A202,'Daftar Koreksi'!$G$5:$G$92,"Aset Henti Guna",'Daftar Koreksi'!$I$5:$I$92,"&lt;0")-SUMIFS('Daftar Koreksi'!$I$5:$I$92,'Daftar Koreksi'!$D$5:$D$92,'1900'!A202,'Daftar Koreksi'!$G$5:$G$92,"Aset Henti Guna",'Daftar Koreksi'!$I$5:$I$92,"&lt;0")</f>
        <v>0</v>
      </c>
      <c r="G219" s="17">
        <f t="shared" si="9"/>
        <v>-28929000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-6784453982</v>
      </c>
      <c r="E220" s="19">
        <f>SUM(E215:E219)</f>
        <v>0</v>
      </c>
      <c r="F220" s="19">
        <f>SUM(F215:F219)</f>
        <v>0</v>
      </c>
      <c r="G220" s="19">
        <f t="shared" si="9"/>
        <v>-6784453982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3800410693</v>
      </c>
      <c r="E221" s="19">
        <f>E220+E214</f>
        <v>0</v>
      </c>
      <c r="F221" s="19">
        <f>F220+F214</f>
        <v>0</v>
      </c>
      <c r="G221" s="19">
        <f t="shared" si="9"/>
        <v>3800410693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005011900099511000KD</v>
      </c>
      <c r="B224" s="11" t="str">
        <f>P11</f>
        <v>PN. Sidenreng Rappang</v>
      </c>
      <c r="C224" s="12" t="str">
        <f>A224&amp;" "&amp;B224</f>
        <v>005011900099511000KD PN. Sidenreng Rappang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427500</v>
      </c>
      <c r="E227" s="25">
        <f>SUMIFS('Daftar Koreksi'!$H$5:$H$92,'Daftar Koreksi'!$D$5:$D$92,'1900'!A224,'Daftar Koreksi'!$G$5:$G$92,"Persediaan",'Daftar Koreksi'!$H$5:$H$92,"&gt;0")</f>
        <v>0</v>
      </c>
      <c r="F227" s="25">
        <f>SUMIFS('Daftar Koreksi'!$H$5:$H$92,'Daftar Koreksi'!$D$5:$D$92,'1900'!A224,'Daftar Koreksi'!$G$5:$G$92,"Persediaan",'Daftar Koreksi'!$H$5:$H$92,"&lt;0")-SUMIFS('Daftar Koreksi'!$H$5:$H$92,'Daftar Koreksi'!$D$5:$D$92,'1900'!A224,'Daftar Koreksi'!$G$5:$G$92,"Persediaan",'Daftar Koreksi'!$H$5:$H$92,"&lt;0")-SUMIFS('Daftar Koreksi'!$H$5:$H$92,'Daftar Koreksi'!$D$5:$D$92,'1900'!A224,'Daftar Koreksi'!$G$5:$G$92,"Persediaan",'Daftar Koreksi'!$H$5:$H$92,"&lt;0")</f>
        <v>0</v>
      </c>
      <c r="G227" s="17">
        <f>D227+E227-F227</f>
        <v>427500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2411100000</v>
      </c>
      <c r="E228" s="25">
        <f>SUMIFS('Daftar Koreksi'!$H$5:$H$92,'Daftar Koreksi'!$D$5:$D$92,'1900'!A224,'Daftar Koreksi'!$G$5:$G$92,"Tanah",'Daftar Koreksi'!$H$5:$H$92,"&gt;0")</f>
        <v>0</v>
      </c>
      <c r="F228" s="25">
        <f>SUMIFS('Daftar Koreksi'!$H$5:$H$92,'Daftar Koreksi'!$D$5:$D$92,'1900'!A224,'Daftar Koreksi'!$G$5:$G$92,"Tanah",'Daftar Koreksi'!$H$5:$H$92,"&lt;0")-SUMIFS('Daftar Koreksi'!$H$5:$H$92,'Daftar Koreksi'!$D$5:$D$92,'1900'!A224,'Daftar Koreksi'!$G$5:$G$92,"Tanah",'Daftar Koreksi'!$H$5:$H$92,"&lt;0")-SUMIFS('Daftar Koreksi'!$H$5:$H$92,'Daftar Koreksi'!$D$5:$D$92,'1900'!A224,'Daftar Koreksi'!$G$5:$G$92,"Tanah",'Daftar Koreksi'!$H$5:$H$92,"&lt;0")</f>
        <v>0</v>
      </c>
      <c r="G228" s="17">
        <f t="shared" ref="G228:G244" si="10">D228+E228-F228</f>
        <v>2411100000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1232505909</v>
      </c>
      <c r="E229" s="25">
        <f>SUMIFS('Daftar Koreksi'!$H$5:$H$92,'Daftar Koreksi'!$D$5:$D$92,'1900'!A224,'Daftar Koreksi'!$G$5:$G$92,"Peralatan dan mesin",'Daftar Koreksi'!$H$5:$H$92,"&gt;0")</f>
        <v>0</v>
      </c>
      <c r="F229" s="25">
        <f>SUMIFS('Daftar Koreksi'!$H$5:$H$92,'Daftar Koreksi'!$D$5:$D$92,'1900'!A224,'Daftar Koreksi'!$G$5:$G$92,"Peralatan dan mesin",'Daftar Koreksi'!$H$5:$H$92,"&lt;0")-SUMIFS('Daftar Koreksi'!$H$5:$H$92,'Daftar Koreksi'!$D$5:$D$92,'1900'!A224,'Daftar Koreksi'!$G$5:$G$92,"Peralatan dan mesin",'Daftar Koreksi'!$H$5:$H$92,"&lt;0")-SUMIFS('Daftar Koreksi'!$H$5:$H$92,'Daftar Koreksi'!$D$5:$D$92,'1900'!A224,'Daftar Koreksi'!$G$5:$G$92,"Peralatan dan mesin",'Daftar Koreksi'!$H$5:$H$92,"&lt;0")</f>
        <v>0</v>
      </c>
      <c r="G229" s="17">
        <f t="shared" si="10"/>
        <v>1232505909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2599913000</v>
      </c>
      <c r="E230" s="25">
        <f>SUMIFS('Daftar Koreksi'!$H$5:$H$92,'Daftar Koreksi'!$D$5:$D$92,'1900'!A224,'Daftar Koreksi'!$G$5:$G$92,"Gedung dan Bangunan",'Daftar Koreksi'!$H$5:$H$92,"&gt;0")</f>
        <v>0</v>
      </c>
      <c r="F230" s="25">
        <f>SUMIFS('Daftar Koreksi'!$H$5:$H$92,'Daftar Koreksi'!$D$5:$D$92,'1900'!A224,'Daftar Koreksi'!$G$5:$G$92,"Gedung dan Bangunan",'Daftar Koreksi'!$H$5:$H$92,"&lt;0")-SUMIFS('Daftar Koreksi'!$H$5:$H$92,'Daftar Koreksi'!$D$5:$D$92,'1900'!A224,'Daftar Koreksi'!$G$5:$G$92,"Gedung dan Bangunan",'Daftar Koreksi'!$H$5:$H$92,"&lt;0")-SUMIFS('Daftar Koreksi'!$H$5:$H$92,'Daftar Koreksi'!$D$5:$D$92,'1900'!A224,'Daftar Koreksi'!$G$5:$G$92,"Gedung dan Bangunan",'Daftar Koreksi'!$H$5:$H$92,"&lt;0")</f>
        <v>0</v>
      </c>
      <c r="G230" s="17">
        <f t="shared" si="10"/>
        <v>2599913000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Koreksi'!$D$5:$D$92,'1900'!A224,'Daftar Koreksi'!$G$5:$G$92,"Jalan Irigasi Jaringan",'Daftar Koreksi'!$H$5:$H$92,"&gt;0")</f>
        <v>0</v>
      </c>
      <c r="F231" s="25">
        <f>SUMIFS('Daftar Koreksi'!$H$5:$H$92,'Daftar Koreksi'!$D$5:$D$92,'1900'!A224,'Daftar Koreksi'!$G$5:$G$92,"Jalan Irigasi Jaringan",'Daftar Koreksi'!$H$5:$H$92,"&lt;0")-SUMIFS('Daftar Koreksi'!$H$5:$H$92,'Daftar Koreksi'!$D$5:$D$92,'1900'!A224,'Daftar Koreksi'!$G$5:$G$92,"Jalan Irigasi Jaringan",'Daftar Koreksi'!$H$5:$H$92,"&lt;0")-SUMIFS('Daftar Koreksi'!$H$5:$H$92,'Daftar Koreksi'!$D$5:$D$92,'1900'!A224,'Daftar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58491740</v>
      </c>
      <c r="E232" s="25">
        <f>SUMIFS('Daftar Koreksi'!$H$5:$H$92,'Daftar Koreksi'!$D$5:$D$92,'1900'!A224,'Daftar Koreksi'!$G$5:$G$92,"Aset Tetap Lainnya",'Daftar Koreksi'!$H$5:$H$92,"&gt;0")</f>
        <v>0</v>
      </c>
      <c r="F232" s="25">
        <f>SUMIFS('Daftar Koreksi'!$H$5:$H$92,'Daftar Koreksi'!$D$5:$D$92,'1900'!A224,'Daftar Koreksi'!$G$5:$G$92,"Aset Tetap Lainnya",'Daftar Koreksi'!$H$5:$H$92,"&lt;0")-SUMIFS('Daftar Koreksi'!$H$5:$H$92,'Daftar Koreksi'!$D$5:$D$92,'1900'!A224,'Daftar Koreksi'!$G$5:$G$92,"Aset Tetap Lainnya",'Daftar Koreksi'!$H$5:$H$92,"&lt;0")-SUMIFS('Daftar Koreksi'!$H$5:$H$92,'Daftar Koreksi'!$D$5:$D$92,'1900'!A224,'Daftar Koreksi'!$G$5:$G$92,"Aset Tetap Lainnya",'Daftar Koreksi'!$H$5:$H$92,"&lt;0")</f>
        <v>0</v>
      </c>
      <c r="G232" s="17">
        <f t="shared" si="10"/>
        <v>58491740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8400313300</v>
      </c>
      <c r="E233" s="25">
        <f>SUMIFS('Daftar Koreksi'!$H$5:$H$92,'Daftar Koreksi'!$D$5:$D$92,'1900'!A224,'Daftar Koreksi'!$G$5:$G$92,"Kontruksi Dalam Pengerjaan",'Daftar Koreksi'!$H$5:$H$92,"&gt;0")</f>
        <v>0</v>
      </c>
      <c r="F233" s="25">
        <f>SUMIFS('Daftar Koreksi'!$H$5:$H$92,'Daftar Koreksi'!$D$5:$D$92,'1900'!A224,'Daftar Koreksi'!$G$5:$G$92,"Kontruksi Dalam Pengerjaan",'Daftar Koreksi'!$H$5:$H$92,"&lt;0")-SUMIFS('Daftar Koreksi'!$H$5:$H$92,'Daftar Koreksi'!$D$5:$D$92,'1900'!A224,'Daftar Koreksi'!$G$5:$G$92,"Kontruksi Dalam Pengerjaan",'Daftar Koreksi'!$H$5:$H$92,"&lt;0")-SUMIFS('Daftar Koreksi'!$H$5:$H$92,'Daftar Koreksi'!$D$5:$D$92,'1900'!A224,'Daftar Koreksi'!$G$5:$G$92,"Kontruksi Dalam Pengerjaan",'Daftar Koreksi'!$H$5:$H$92,"&lt;0")</f>
        <v>0</v>
      </c>
      <c r="G233" s="17">
        <f t="shared" si="10"/>
        <v>8400313300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24349000</v>
      </c>
      <c r="E234" s="25">
        <f>SUMIFS('Daftar Koreksi'!$H$5:$H$92,'Daftar Koreksi'!$D$5:$D$92,'1900'!A224,'Daftar Koreksi'!$G$5:$G$92,"Aset Tak Berwujud",'Daftar Koreksi'!$H$5:$H$92,"&gt;0")</f>
        <v>0</v>
      </c>
      <c r="F234" s="25">
        <f>SUMIFS('Daftar Koreksi'!$H$5:$H$92,'Daftar Koreksi'!$D$5:$D$92,'1900'!A224,'Daftar Koreksi'!$G$5:$G$92,"Aset Tak Berwujud",'Daftar Koreksi'!$H$5:$H$92,"&lt;0")-SUMIFS('Daftar Koreksi'!$H$5:$H$92,'Daftar Koreksi'!$D$5:$D$92,'1900'!A224,'Daftar Koreksi'!$G$5:$G$92,"Aset Tak Berwujud",'Daftar Koreksi'!$H$5:$H$92,"&lt;0")-SUMIFS('Daftar Koreksi'!$H$5:$H$92,'Daftar Koreksi'!$D$5:$D$92,'1900'!A224,'Daftar Koreksi'!$G$5:$G$92,"Aset Tak Berwujud",'Daftar Koreksi'!$H$5:$H$92,"&lt;0")</f>
        <v>0</v>
      </c>
      <c r="G234" s="17">
        <f t="shared" si="10"/>
        <v>24349000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394399160</v>
      </c>
      <c r="E235" s="25">
        <f>SUMIFS('Daftar Koreksi'!$H$5:$H$92,'Daftar Koreksi'!$D$5:$D$92,'1900'!A224,'Daftar Koreksi'!$G$5:$G$92,"Aset Henti Guna",'Daftar Koreksi'!$H$5:$H$92,"&gt;0")</f>
        <v>0</v>
      </c>
      <c r="F235" s="25">
        <f>SUMIFS('Daftar Koreksi'!$H$5:$H$92,'Daftar Koreksi'!$D$5:$D$92,'1900'!A224,'Daftar Koreksi'!$G$5:$G$92,"Aset Henti Guna",'Daftar Koreksi'!$H$5:$H$92,"&lt;0")-SUMIFS('Daftar Koreksi'!$H$5:$H$92,'Daftar Koreksi'!$D$5:$D$92,'1900'!A224,'Daftar Koreksi'!$G$5:$G$92,"Aset Henti Guna",'Daftar Koreksi'!$H$5:$H$92,"&lt;0")-SUMIFS('Daftar Koreksi'!$H$5:$H$92,'Daftar Koreksi'!$D$5:$D$92,'1900'!A224,'Daftar Koreksi'!$G$5:$G$92,"Aset Henti Guna",'Daftar Koreksi'!$H$5:$H$92,"&lt;0")</f>
        <v>0</v>
      </c>
      <c r="G235" s="17">
        <f t="shared" si="10"/>
        <v>394399160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15121499609</v>
      </c>
      <c r="E236" s="19">
        <f>SUM(E227:E235)</f>
        <v>0</v>
      </c>
      <c r="F236" s="19">
        <f>SUM(F227:F235)</f>
        <v>0</v>
      </c>
      <c r="G236" s="19">
        <f t="shared" si="10"/>
        <v>15121499609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-924049680</v>
      </c>
      <c r="E237" s="25">
        <f>SUMIFS('Daftar Koreksi'!$I$5:$I$92,'Daftar Koreksi'!$D$5:$D$92,'1900'!A224,'Daftar Koreksi'!$G$5:$G$92,"Peralatan dan mesin",'Daftar Koreksi'!$I$5:$I$92,"&gt;0")</f>
        <v>0</v>
      </c>
      <c r="F237" s="25">
        <f>SUMIFS('Daftar Koreksi'!$I$5:$I$92,'Daftar Koreksi'!$D$5:$D$92,'1900'!A224,'Daftar Koreksi'!$G$5:$G$92,"Peralatan dan mesin",'Daftar Koreksi'!$I$5:$I$92,"&lt;0")-SUMIFS('Daftar Koreksi'!$I$5:$I$92,'Daftar Koreksi'!$D$5:$D$92,'1900'!A224,'Daftar Koreksi'!$G$5:$G$92,"Peralatan dan mesin",'Daftar Koreksi'!$I$5:$I$92,"&lt;0")-SUMIFS('Daftar Koreksi'!$I$5:$I$92,'Daftar Koreksi'!$D$5:$D$92,'1900'!A224,'Daftar Koreksi'!$G$5:$G$92,"Peralatan dan mesin",'Daftar Koreksi'!$I$5:$I$92,"&lt;0")</f>
        <v>0</v>
      </c>
      <c r="G237" s="17">
        <f t="shared" si="10"/>
        <v>-924049680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-1970996790</v>
      </c>
      <c r="E238" s="25">
        <f>SUMIFS('Daftar Koreksi'!$I$5:$I$92,'Daftar Koreksi'!$D$5:$D$92,'1900'!A224,'Daftar Koreksi'!$G$5:$G$92,"Gedung dan Bangunan",'Daftar Koreksi'!$I$5:$I$92,"&gt;0")</f>
        <v>0</v>
      </c>
      <c r="F238" s="25">
        <f>SUMIFS('Daftar Koreksi'!$I$5:$I$92,'Daftar Koreksi'!$D$5:$D$92,'1900'!A224,'Daftar Koreksi'!$G$5:$G$92,"Gedung dan Bangunan",'Daftar Koreksi'!$I$5:$I$92,"&lt;0")-SUMIFS('Daftar Koreksi'!$I$5:$I$92,'Daftar Koreksi'!$D$5:$D$92,'1900'!A224,'Daftar Koreksi'!$G$5:$G$92,"Gedung dan Bangunan",'Daftar Koreksi'!$I$5:$I$92,"&lt;0")-SUMIFS('Daftar Koreksi'!$I$5:$I$92,'Daftar Koreksi'!$D$5:$D$92,'1900'!A224,'Daftar Koreksi'!$G$5:$G$92,"Gedung dan Bangunan",'Daftar Koreksi'!$I$5:$I$92,"&lt;0")</f>
        <v>0</v>
      </c>
      <c r="G238" s="17">
        <f t="shared" si="10"/>
        <v>-1970996790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Koreksi'!$D$5:$D$92,'1900'!A224,'Daftar Koreksi'!$G$5:$G$92,"Jalan Irigasi Jaringan",'Daftar Koreksi'!$I$5:$I$92,"&gt;0")</f>
        <v>0</v>
      </c>
      <c r="F239" s="25">
        <f>SUMIFS('Daftar Koreksi'!$I$5:$I$92,'Daftar Koreksi'!$D$5:$D$92,'1900'!A224,'Daftar Koreksi'!$G$5:$G$92,"Jalan Irigasi Jaringan",'Daftar Koreksi'!$I$5:$I$92,"&lt;0")-SUMIFS('Daftar Koreksi'!$I$5:$I$92,'Daftar Koreksi'!$D$5:$D$92,'1900'!A224,'Daftar Koreksi'!$G$5:$G$92,"Jalan Irigasi Jaringan",'Daftar Koreksi'!$I$5:$I$92,"&lt;0")-SUMIFS('Daftar Koreksi'!$I$5:$I$92,'Daftar Koreksi'!$D$5:$D$92,'1900'!A224,'Daftar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-24700000</v>
      </c>
      <c r="E240" s="25">
        <f>SUMIFS('Daftar Koreksi'!$I$5:$I$92,'Daftar Koreksi'!$D$5:$D$92,'1900'!A224,'Daftar Koreksi'!$G$5:$G$92,"Aset Tetap Lainnya",'Daftar Koreksi'!$I$5:$I$92,"&gt;0")</f>
        <v>0</v>
      </c>
      <c r="F240" s="25">
        <f>SUMIFS('Daftar Koreksi'!$I$5:$I$92,'Daftar Koreksi'!$D$5:$D$92,'1900'!A224,'Daftar Koreksi'!$G$5:$G$92,"Aset Tetap Lainnya",'Daftar Koreksi'!$I$5:$I$92,"&lt;0")-SUMIFS('Daftar Koreksi'!$I$5:$I$92,'Daftar Koreksi'!$D$5:$D$92,'1900'!A224,'Daftar Koreksi'!$G$5:$G$92,"Aset Tetap Lainnya",'Daftar Koreksi'!$I$5:$I$92,"&lt;0")-SUMIFS('Daftar Koreksi'!$I$5:$I$92,'Daftar Koreksi'!$D$5:$D$92,'1900'!A224,'Daftar Koreksi'!$G$5:$G$92,"Aset Tetap Lainnya",'Daftar Koreksi'!$I$5:$I$92,"&lt;0")</f>
        <v>0</v>
      </c>
      <c r="G240" s="17">
        <f t="shared" si="10"/>
        <v>-24700000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-394399160</v>
      </c>
      <c r="E241" s="25">
        <f>SUMIFS('Daftar Koreksi'!$I$5:$I$92,'Daftar Koreksi'!$D$5:$D$92,'1900'!A224,'Daftar Koreksi'!$G$5:$G$92,"Aset Henti Guna",'Daftar Koreksi'!$I$5:$I$92,"&gt;0")</f>
        <v>0</v>
      </c>
      <c r="F241" s="25">
        <f>SUMIFS('Daftar Koreksi'!$I$5:$I$92,'Daftar Koreksi'!$D$5:$D$92,'1900'!A224,'Daftar Koreksi'!$G$5:$G$92,"Aset Henti Guna",'Daftar Koreksi'!$I$5:$I$92,"&lt;0")-SUMIFS('Daftar Koreksi'!$I$5:$I$92,'Daftar Koreksi'!$D$5:$D$92,'1900'!A224,'Daftar Koreksi'!$G$5:$G$92,"Aset Henti Guna",'Daftar Koreksi'!$I$5:$I$92,"&lt;0")-SUMIFS('Daftar Koreksi'!$I$5:$I$92,'Daftar Koreksi'!$D$5:$D$92,'1900'!A224,'Daftar Koreksi'!$G$5:$G$92,"Aset Henti Guna",'Daftar Koreksi'!$I$5:$I$92,"&lt;0")</f>
        <v>0</v>
      </c>
      <c r="G241" s="17">
        <f t="shared" si="10"/>
        <v>-394399160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-3314145630</v>
      </c>
      <c r="E242" s="19">
        <f>SUM(E237:E241)</f>
        <v>0</v>
      </c>
      <c r="F242" s="19">
        <f>SUM(F237:F241)</f>
        <v>0</v>
      </c>
      <c r="G242" s="19">
        <f t="shared" si="10"/>
        <v>-3314145630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11807353979</v>
      </c>
      <c r="E243" s="19">
        <f>E242+E236</f>
        <v>0</v>
      </c>
      <c r="F243" s="19">
        <f>F242+F236</f>
        <v>0</v>
      </c>
      <c r="G243" s="19">
        <f t="shared" si="10"/>
        <v>11807353979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005011900099528000KD</v>
      </c>
      <c r="B246" s="11" t="str">
        <f>P12</f>
        <v>PN. Pinrang</v>
      </c>
      <c r="C246" s="12" t="str">
        <f>A246&amp;" "&amp;B246</f>
        <v>005011900099528000KD PN. Pinrang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3863437</v>
      </c>
      <c r="E249" s="25">
        <f>SUMIFS('Daftar Koreksi'!$H$5:$H$92,'Daftar Koreksi'!$D$5:$D$92,'1900'!A246,'Daftar Koreksi'!$G$5:$G$92,"Persediaan",'Daftar Koreksi'!$H$5:$H$92,"&gt;0")</f>
        <v>0</v>
      </c>
      <c r="F249" s="25">
        <f>SUMIFS('Daftar Koreksi'!$H$5:$H$92,'Daftar Koreksi'!$D$5:$D$92,'1900'!A246,'Daftar Koreksi'!$G$5:$G$92,"Persediaan",'Daftar Koreksi'!$H$5:$H$92,"&lt;0")-SUMIFS('Daftar Koreksi'!$H$5:$H$92,'Daftar Koreksi'!$D$5:$D$92,'1900'!A246,'Daftar Koreksi'!$G$5:$G$92,"Persediaan",'Daftar Koreksi'!$H$5:$H$92,"&lt;0")-SUMIFS('Daftar Koreksi'!$H$5:$H$92,'Daftar Koreksi'!$D$5:$D$92,'1900'!A246,'Daftar Koreksi'!$G$5:$G$92,"Persediaan",'Daftar Koreksi'!$H$5:$H$92,"&lt;0")</f>
        <v>0</v>
      </c>
      <c r="G249" s="17">
        <f>D249+E249-F249</f>
        <v>3863437</v>
      </c>
      <c r="H249" s="121" t="str">
        <f>IF(ISNA(VLOOKUP(A246,'Mutasi Neraca'!$A$3:$S$914,19,FALSE)),"-",VLOOKUP(A246,'Mutasi Neraca'!$A$3:$S$914,19,FALSE))</f>
        <v>TP. No 4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3983500000</v>
      </c>
      <c r="E250" s="25">
        <f>SUMIFS('Daftar Koreksi'!$H$5:$H$92,'Daftar Koreksi'!$D$5:$D$92,'1900'!A246,'Daftar Koreksi'!$G$5:$G$92,"Tanah",'Daftar Koreksi'!$H$5:$H$92,"&gt;0")</f>
        <v>0</v>
      </c>
      <c r="F250" s="25">
        <f>SUMIFS('Daftar Koreksi'!$H$5:$H$92,'Daftar Koreksi'!$D$5:$D$92,'1900'!A246,'Daftar Koreksi'!$G$5:$G$92,"Tanah",'Daftar Koreksi'!$H$5:$H$92,"&lt;0")-SUMIFS('Daftar Koreksi'!$H$5:$H$92,'Daftar Koreksi'!$D$5:$D$92,'1900'!A246,'Daftar Koreksi'!$G$5:$G$92,"Tanah",'Daftar Koreksi'!$H$5:$H$92,"&lt;0")-SUMIFS('Daftar Koreksi'!$H$5:$H$92,'Daftar Koreksi'!$D$5:$D$92,'1900'!A246,'Daftar Koreksi'!$G$5:$G$92,"Tanah",'Daftar Koreksi'!$H$5:$H$92,"&lt;0")</f>
        <v>0</v>
      </c>
      <c r="G250" s="17">
        <f t="shared" ref="G250:G266" si="11">D250+E250-F250</f>
        <v>3983500000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1717802454</v>
      </c>
      <c r="E251" s="25">
        <f>SUMIFS('Daftar Koreksi'!$H$5:$H$92,'Daftar Koreksi'!$D$5:$D$92,'1900'!A246,'Daftar Koreksi'!$G$5:$G$92,"Peralatan dan mesin",'Daftar Koreksi'!$H$5:$H$92,"&gt;0")</f>
        <v>3895309</v>
      </c>
      <c r="F251" s="25">
        <f>SUMIFS('Daftar Koreksi'!$H$5:$H$92,'Daftar Koreksi'!$D$5:$D$92,'1900'!A246,'Daftar Koreksi'!$G$5:$G$92,"Peralatan dan mesin",'Daftar Koreksi'!$H$5:$H$92,"&lt;0")-SUMIFS('Daftar Koreksi'!$H$5:$H$92,'Daftar Koreksi'!$D$5:$D$92,'1900'!A246,'Daftar Koreksi'!$G$5:$G$92,"Peralatan dan mesin",'Daftar Koreksi'!$H$5:$H$92,"&lt;0")-SUMIFS('Daftar Koreksi'!$H$5:$H$92,'Daftar Koreksi'!$D$5:$D$92,'1900'!A246,'Daftar Koreksi'!$G$5:$G$92,"Peralatan dan mesin",'Daftar Koreksi'!$H$5:$H$92,"&lt;0")</f>
        <v>0</v>
      </c>
      <c r="G251" s="17">
        <f t="shared" si="11"/>
        <v>1721697763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2678810000</v>
      </c>
      <c r="E252" s="25">
        <f>SUMIFS('Daftar Koreksi'!$H$5:$H$92,'Daftar Koreksi'!$D$5:$D$92,'1900'!A246,'Daftar Koreksi'!$G$5:$G$92,"Gedung dan Bangunan",'Daftar Koreksi'!$H$5:$H$92,"&gt;0")</f>
        <v>0</v>
      </c>
      <c r="F252" s="25">
        <f>SUMIFS('Daftar Koreksi'!$H$5:$H$92,'Daftar Koreksi'!$D$5:$D$92,'1900'!A246,'Daftar Koreksi'!$G$5:$G$92,"Gedung dan Bangunan",'Daftar Koreksi'!$H$5:$H$92,"&lt;0")-SUMIFS('Daftar Koreksi'!$H$5:$H$92,'Daftar Koreksi'!$D$5:$D$92,'1900'!A246,'Daftar Koreksi'!$G$5:$G$92,"Gedung dan Bangunan",'Daftar Koreksi'!$H$5:$H$92,"&lt;0")-SUMIFS('Daftar Koreksi'!$H$5:$H$92,'Daftar Koreksi'!$D$5:$D$92,'1900'!A246,'Daftar Koreksi'!$G$5:$G$92,"Gedung dan Bangunan",'Daftar Koreksi'!$H$5:$H$92,"&lt;0")</f>
        <v>0</v>
      </c>
      <c r="G252" s="17">
        <f t="shared" si="11"/>
        <v>2678810000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49328961</v>
      </c>
      <c r="E253" s="25">
        <f>SUMIFS('Daftar Koreksi'!$H$5:$H$92,'Daftar Koreksi'!$D$5:$D$92,'1900'!A246,'Daftar Koreksi'!$G$5:$G$92,"Jalan Irigasi Jaringan",'Daftar Koreksi'!$H$5:$H$92,"&gt;0")</f>
        <v>0</v>
      </c>
      <c r="F253" s="25">
        <f>SUMIFS('Daftar Koreksi'!$H$5:$H$92,'Daftar Koreksi'!$D$5:$D$92,'1900'!A246,'Daftar Koreksi'!$G$5:$G$92,"Jalan Irigasi Jaringan",'Daftar Koreksi'!$H$5:$H$92,"&lt;0")-SUMIFS('Daftar Koreksi'!$H$5:$H$92,'Daftar Koreksi'!$D$5:$D$92,'1900'!A246,'Daftar Koreksi'!$G$5:$G$92,"Jalan Irigasi Jaringan",'Daftar Koreksi'!$H$5:$H$92,"&lt;0")-SUMIFS('Daftar Koreksi'!$H$5:$H$92,'Daftar Koreksi'!$D$5:$D$92,'1900'!A246,'Daftar Koreksi'!$G$5:$G$92,"Jalan Irigasi Jaringan",'Daftar Koreksi'!$H$5:$H$92,"&lt;0")</f>
        <v>0</v>
      </c>
      <c r="G253" s="17">
        <f t="shared" si="11"/>
        <v>49328961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70933513</v>
      </c>
      <c r="E254" s="25">
        <f>SUMIFS('Daftar Koreksi'!$H$5:$H$92,'Daftar Koreksi'!$D$5:$D$92,'1900'!A246,'Daftar Koreksi'!$G$5:$G$92,"Aset Tetap Lainnya",'Daftar Koreksi'!$H$5:$H$92,"&gt;0")</f>
        <v>0</v>
      </c>
      <c r="F254" s="25">
        <f>SUMIFS('Daftar Koreksi'!$H$5:$H$92,'Daftar Koreksi'!$D$5:$D$92,'1900'!A246,'Daftar Koreksi'!$G$5:$G$92,"Aset Tetap Lainnya",'Daftar Koreksi'!$H$5:$H$92,"&lt;0")-SUMIFS('Daftar Koreksi'!$H$5:$H$92,'Daftar Koreksi'!$D$5:$D$92,'1900'!A246,'Daftar Koreksi'!$G$5:$G$92,"Aset Tetap Lainnya",'Daftar Koreksi'!$H$5:$H$92,"&lt;0")-SUMIFS('Daftar Koreksi'!$H$5:$H$92,'Daftar Koreksi'!$D$5:$D$92,'1900'!A246,'Daftar Koreksi'!$G$5:$G$92,"Aset Tetap Lainnya",'Daftar Koreksi'!$H$5:$H$92,"&lt;0")</f>
        <v>0</v>
      </c>
      <c r="G254" s="17">
        <f t="shared" si="11"/>
        <v>70933513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Koreksi'!$D$5:$D$92,'1900'!A246,'Daftar Koreksi'!$G$5:$G$92,"Kontruksi Dalam Pengerjaan",'Daftar Koreksi'!$H$5:$H$92,"&gt;0")</f>
        <v>0</v>
      </c>
      <c r="F255" s="25">
        <f>SUMIFS('Daftar Koreksi'!$H$5:$H$92,'Daftar Koreksi'!$D$5:$D$92,'1900'!A246,'Daftar Koreksi'!$G$5:$G$92,"Kontruksi Dalam Pengerjaan",'Daftar Koreksi'!$H$5:$H$92,"&lt;0")-SUMIFS('Daftar Koreksi'!$H$5:$H$92,'Daftar Koreksi'!$D$5:$D$92,'1900'!A246,'Daftar Koreksi'!$G$5:$G$92,"Kontruksi Dalam Pengerjaan",'Daftar Koreksi'!$H$5:$H$92,"&lt;0")-SUMIFS('Daftar Koreksi'!$H$5:$H$92,'Daftar Koreksi'!$D$5:$D$92,'1900'!A246,'Daftar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24349000</v>
      </c>
      <c r="E256" s="25">
        <f>SUMIFS('Daftar Koreksi'!$H$5:$H$92,'Daftar Koreksi'!$D$5:$D$92,'1900'!A246,'Daftar Koreksi'!$G$5:$G$92,"Aset Tak Berwujud",'Daftar Koreksi'!$H$5:$H$92,"&gt;0")</f>
        <v>0</v>
      </c>
      <c r="F256" s="25">
        <f>SUMIFS('Daftar Koreksi'!$H$5:$H$92,'Daftar Koreksi'!$D$5:$D$92,'1900'!A246,'Daftar Koreksi'!$G$5:$G$92,"Aset Tak Berwujud",'Daftar Koreksi'!$H$5:$H$92,"&lt;0")-SUMIFS('Daftar Koreksi'!$H$5:$H$92,'Daftar Koreksi'!$D$5:$D$92,'1900'!A246,'Daftar Koreksi'!$G$5:$G$92,"Aset Tak Berwujud",'Daftar Koreksi'!$H$5:$H$92,"&lt;0")-SUMIFS('Daftar Koreksi'!$H$5:$H$92,'Daftar Koreksi'!$D$5:$D$92,'1900'!A246,'Daftar Koreksi'!$G$5:$G$92,"Aset Tak Berwujud",'Daftar Koreksi'!$H$5:$H$92,"&lt;0")</f>
        <v>0</v>
      </c>
      <c r="G256" s="17">
        <f t="shared" si="11"/>
        <v>24349000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Koreksi'!$D$5:$D$92,'1900'!A246,'Daftar Koreksi'!$G$5:$G$92,"Aset Henti Guna",'Daftar Koreksi'!$H$5:$H$92,"&gt;0")</f>
        <v>0</v>
      </c>
      <c r="F257" s="25">
        <f>SUMIFS('Daftar Koreksi'!$H$5:$H$92,'Daftar Koreksi'!$D$5:$D$92,'1900'!A246,'Daftar Koreksi'!$G$5:$G$92,"Aset Henti Guna",'Daftar Koreksi'!$H$5:$H$92,"&lt;0")-SUMIFS('Daftar Koreksi'!$H$5:$H$92,'Daftar Koreksi'!$D$5:$D$92,'1900'!A246,'Daftar Koreksi'!$G$5:$G$92,"Aset Henti Guna",'Daftar Koreksi'!$H$5:$H$92,"&lt;0")-SUMIFS('Daftar Koreksi'!$H$5:$H$92,'Daftar Koreksi'!$D$5:$D$92,'1900'!A246,'Daftar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8528587365</v>
      </c>
      <c r="E258" s="19">
        <f>SUM(E249:E257)</f>
        <v>3895309</v>
      </c>
      <c r="F258" s="19">
        <f>SUM(F249:F257)</f>
        <v>0</v>
      </c>
      <c r="G258" s="19">
        <f t="shared" si="11"/>
        <v>8532482674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-1510057540</v>
      </c>
      <c r="E259" s="25">
        <f>SUMIFS('Daftar Koreksi'!$I$5:$I$92,'Daftar Koreksi'!$D$5:$D$92,'1900'!A246,'Daftar Koreksi'!$G$5:$G$92,"Peralatan dan mesin",'Daftar Koreksi'!$I$5:$I$92,"&gt;0")</f>
        <v>0</v>
      </c>
      <c r="F259" s="25">
        <f>SUMIFS('Daftar Koreksi'!$I$5:$I$92,'Daftar Koreksi'!$D$5:$D$92,'1900'!A246,'Daftar Koreksi'!$G$5:$G$92,"Peralatan dan mesin",'Daftar Koreksi'!$I$5:$I$92,"&lt;0")-SUMIFS('Daftar Koreksi'!$I$5:$I$92,'Daftar Koreksi'!$D$5:$D$92,'1900'!A246,'Daftar Koreksi'!$G$5:$G$92,"Peralatan dan mesin",'Daftar Koreksi'!$I$5:$I$92,"&lt;0")-SUMIFS('Daftar Koreksi'!$I$5:$I$92,'Daftar Koreksi'!$D$5:$D$92,'1900'!A246,'Daftar Koreksi'!$G$5:$G$92,"Peralatan dan mesin",'Daftar Koreksi'!$I$5:$I$92,"&lt;0")</f>
        <v>389531</v>
      </c>
      <c r="G259" s="17">
        <f t="shared" si="11"/>
        <v>-1510447071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-1791716690</v>
      </c>
      <c r="E260" s="25">
        <f>SUMIFS('Daftar Koreksi'!$I$5:$I$92,'Daftar Koreksi'!$D$5:$D$92,'1900'!A246,'Daftar Koreksi'!$G$5:$G$92,"Gedung dan Bangunan",'Daftar Koreksi'!$I$5:$I$92,"&gt;0")</f>
        <v>0</v>
      </c>
      <c r="F260" s="25">
        <f>SUMIFS('Daftar Koreksi'!$I$5:$I$92,'Daftar Koreksi'!$D$5:$D$92,'1900'!A246,'Daftar Koreksi'!$G$5:$G$92,"Gedung dan Bangunan",'Daftar Koreksi'!$I$5:$I$92,"&lt;0")-SUMIFS('Daftar Koreksi'!$I$5:$I$92,'Daftar Koreksi'!$D$5:$D$92,'1900'!A246,'Daftar Koreksi'!$G$5:$G$92,"Gedung dan Bangunan",'Daftar Koreksi'!$I$5:$I$92,"&lt;0")-SUMIFS('Daftar Koreksi'!$I$5:$I$92,'Daftar Koreksi'!$D$5:$D$92,'1900'!A246,'Daftar Koreksi'!$G$5:$G$92,"Gedung dan Bangunan",'Daftar Koreksi'!$I$5:$I$92,"&lt;0")</f>
        <v>0</v>
      </c>
      <c r="G260" s="17">
        <f t="shared" si="11"/>
        <v>-1791716690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-8632568</v>
      </c>
      <c r="E261" s="25">
        <f>SUMIFS('Daftar Koreksi'!$I$5:$I$92,'Daftar Koreksi'!$D$5:$D$92,'1900'!A246,'Daftar Koreksi'!$G$5:$G$92,"Jalan Irigasi Jaringan",'Daftar Koreksi'!$I$5:$I$92,"&gt;0")</f>
        <v>0</v>
      </c>
      <c r="F261" s="25">
        <f>SUMIFS('Daftar Koreksi'!$I$5:$I$92,'Daftar Koreksi'!$D$5:$D$92,'1900'!A246,'Daftar Koreksi'!$G$5:$G$92,"Jalan Irigasi Jaringan",'Daftar Koreksi'!$I$5:$I$92,"&lt;0")-SUMIFS('Daftar Koreksi'!$I$5:$I$92,'Daftar Koreksi'!$D$5:$D$92,'1900'!A246,'Daftar Koreksi'!$G$5:$G$92,"Jalan Irigasi Jaringan",'Daftar Koreksi'!$I$5:$I$92,"&lt;0")-SUMIFS('Daftar Koreksi'!$I$5:$I$92,'Daftar Koreksi'!$D$5:$D$92,'1900'!A246,'Daftar Koreksi'!$G$5:$G$92,"Jalan Irigasi Jaringan",'Daftar Koreksi'!$I$5:$I$92,"&lt;0")</f>
        <v>0</v>
      </c>
      <c r="G261" s="17">
        <f t="shared" si="11"/>
        <v>-8632568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Koreksi'!$D$5:$D$92,'1900'!A246,'Daftar Koreksi'!$G$5:$G$92,"Aset Tetap Lainnya",'Daftar Koreksi'!$I$5:$I$92,"&gt;0")</f>
        <v>0</v>
      </c>
      <c r="F262" s="25">
        <f>SUMIFS('Daftar Koreksi'!$I$5:$I$92,'Daftar Koreksi'!$D$5:$D$92,'1900'!A246,'Daftar Koreksi'!$G$5:$G$92,"Aset Tetap Lainnya",'Daftar Koreksi'!$I$5:$I$92,"&lt;0")-SUMIFS('Daftar Koreksi'!$I$5:$I$92,'Daftar Koreksi'!$D$5:$D$92,'1900'!A246,'Daftar Koreksi'!$G$5:$G$92,"Aset Tetap Lainnya",'Daftar Koreksi'!$I$5:$I$92,"&lt;0")-SUMIFS('Daftar Koreksi'!$I$5:$I$92,'Daftar Koreksi'!$D$5:$D$92,'1900'!A246,'Daftar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Koreksi'!$D$5:$D$92,'1900'!A246,'Daftar Koreksi'!$G$5:$G$92,"Aset Henti Guna",'Daftar Koreksi'!$I$5:$I$92,"&gt;0")</f>
        <v>0</v>
      </c>
      <c r="F263" s="25">
        <f>SUMIFS('Daftar Koreksi'!$I$5:$I$92,'Daftar Koreksi'!$D$5:$D$92,'1900'!A246,'Daftar Koreksi'!$G$5:$G$92,"Aset Henti Guna",'Daftar Koreksi'!$I$5:$I$92,"&lt;0")-SUMIFS('Daftar Koreksi'!$I$5:$I$92,'Daftar Koreksi'!$D$5:$D$92,'1900'!A246,'Daftar Koreksi'!$G$5:$G$92,"Aset Henti Guna",'Daftar Koreksi'!$I$5:$I$92,"&lt;0")-SUMIFS('Daftar Koreksi'!$I$5:$I$92,'Daftar Koreksi'!$D$5:$D$92,'1900'!A246,'Daftar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-3310406798</v>
      </c>
      <c r="E264" s="19">
        <f>SUM(E259:E263)</f>
        <v>0</v>
      </c>
      <c r="F264" s="19">
        <f>SUM(F259:F263)</f>
        <v>389531</v>
      </c>
      <c r="G264" s="19">
        <f t="shared" si="11"/>
        <v>-3310796329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5218180567</v>
      </c>
      <c r="E265" s="19">
        <f>E264+E258</f>
        <v>3895309</v>
      </c>
      <c r="F265" s="19">
        <f>F264+F258</f>
        <v>389531</v>
      </c>
      <c r="G265" s="19">
        <f t="shared" si="11"/>
        <v>5221686345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005011900099532000KD</v>
      </c>
      <c r="B268" s="11" t="str">
        <f>P13</f>
        <v>PN. Watampone (Bone)</v>
      </c>
      <c r="C268" s="12" t="str">
        <f>A268&amp;" "&amp;B268</f>
        <v>005011900099532000KD PN. Watampone (Bone)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Koreksi'!$D$5:$D$92,'1900'!A268,'Daftar Koreksi'!$G$5:$G$92,"Persediaan",'Daftar Koreksi'!$H$5:$H$92,"&gt;0")</f>
        <v>0</v>
      </c>
      <c r="F271" s="25">
        <f>SUMIFS('Daftar Koreksi'!$H$5:$H$92,'Daftar Koreksi'!$D$5:$D$92,'1900'!A268,'Daftar Koreksi'!$G$5:$G$92,"Persediaan",'Daftar Koreksi'!$H$5:$H$92,"&lt;0")-SUMIFS('Daftar Koreksi'!$H$5:$H$92,'Daftar Koreksi'!$D$5:$D$92,'1900'!A268,'Daftar Koreksi'!$G$5:$G$92,"Persediaan",'Daftar Koreksi'!$H$5:$H$92,"&lt;0")-SUMIFS('Daftar Koreksi'!$H$5:$H$92,'Daftar Koreksi'!$D$5:$D$92,'1900'!A268,'Daftar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3819965800</v>
      </c>
      <c r="E272" s="25">
        <f>SUMIFS('Daftar Koreksi'!$H$5:$H$92,'Daftar Koreksi'!$D$5:$D$92,'1900'!A268,'Daftar Koreksi'!$G$5:$G$92,"Tanah",'Daftar Koreksi'!$H$5:$H$92,"&gt;0")</f>
        <v>0</v>
      </c>
      <c r="F272" s="25">
        <f>SUMIFS('Daftar Koreksi'!$H$5:$H$92,'Daftar Koreksi'!$D$5:$D$92,'1900'!A268,'Daftar Koreksi'!$G$5:$G$92,"Tanah",'Daftar Koreksi'!$H$5:$H$92,"&lt;0")-SUMIFS('Daftar Koreksi'!$H$5:$H$92,'Daftar Koreksi'!$D$5:$D$92,'1900'!A268,'Daftar Koreksi'!$G$5:$G$92,"Tanah",'Daftar Koreksi'!$H$5:$H$92,"&lt;0")-SUMIFS('Daftar Koreksi'!$H$5:$H$92,'Daftar Koreksi'!$D$5:$D$92,'1900'!A268,'Daftar Koreksi'!$G$5:$G$92,"Tanah",'Daftar Koreksi'!$H$5:$H$92,"&lt;0")</f>
        <v>0</v>
      </c>
      <c r="G272" s="17">
        <f t="shared" ref="G272:G288" si="12">D272+E272-F272</f>
        <v>3819965800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1842210457</v>
      </c>
      <c r="E273" s="25">
        <f>SUMIFS('Daftar Koreksi'!$H$5:$H$92,'Daftar Koreksi'!$D$5:$D$92,'1900'!A268,'Daftar Koreksi'!$G$5:$G$92,"Peralatan dan mesin",'Daftar Koreksi'!$H$5:$H$92,"&gt;0")</f>
        <v>0</v>
      </c>
      <c r="F273" s="25">
        <f>SUMIFS('Daftar Koreksi'!$H$5:$H$92,'Daftar Koreksi'!$D$5:$D$92,'1900'!A268,'Daftar Koreksi'!$G$5:$G$92,"Peralatan dan mesin",'Daftar Koreksi'!$H$5:$H$92,"&lt;0")-SUMIFS('Daftar Koreksi'!$H$5:$H$92,'Daftar Koreksi'!$D$5:$D$92,'1900'!A268,'Daftar Koreksi'!$G$5:$G$92,"Peralatan dan mesin",'Daftar Koreksi'!$H$5:$H$92,"&lt;0")-SUMIFS('Daftar Koreksi'!$H$5:$H$92,'Daftar Koreksi'!$D$5:$D$92,'1900'!A268,'Daftar Koreksi'!$G$5:$G$92,"Peralatan dan mesin",'Daftar Koreksi'!$H$5:$H$92,"&lt;0")</f>
        <v>0</v>
      </c>
      <c r="G273" s="17">
        <f t="shared" si="12"/>
        <v>1842210457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5433298100</v>
      </c>
      <c r="E274" s="25">
        <f>SUMIFS('Daftar Koreksi'!$H$5:$H$92,'Daftar Koreksi'!$D$5:$D$92,'1900'!A268,'Daftar Koreksi'!$G$5:$G$92,"Gedung dan Bangunan",'Daftar Koreksi'!$H$5:$H$92,"&gt;0")</f>
        <v>0</v>
      </c>
      <c r="F274" s="25">
        <f>SUMIFS('Daftar Koreksi'!$H$5:$H$92,'Daftar Koreksi'!$D$5:$D$92,'1900'!A268,'Daftar Koreksi'!$G$5:$G$92,"Gedung dan Bangunan",'Daftar Koreksi'!$H$5:$H$92,"&lt;0")-SUMIFS('Daftar Koreksi'!$H$5:$H$92,'Daftar Koreksi'!$D$5:$D$92,'1900'!A268,'Daftar Koreksi'!$G$5:$G$92,"Gedung dan Bangunan",'Daftar Koreksi'!$H$5:$H$92,"&lt;0")-SUMIFS('Daftar Koreksi'!$H$5:$H$92,'Daftar Koreksi'!$D$5:$D$92,'1900'!A268,'Daftar Koreksi'!$G$5:$G$92,"Gedung dan Bangunan",'Daftar Koreksi'!$H$5:$H$92,"&lt;0")</f>
        <v>0</v>
      </c>
      <c r="G274" s="17">
        <f t="shared" si="12"/>
        <v>5433298100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71505000</v>
      </c>
      <c r="E275" s="25">
        <f>SUMIFS('Daftar Koreksi'!$H$5:$H$92,'Daftar Koreksi'!$D$5:$D$92,'1900'!A268,'Daftar Koreksi'!$G$5:$G$92,"Jalan Irigasi Jaringan",'Daftar Koreksi'!$H$5:$H$92,"&gt;0")</f>
        <v>0</v>
      </c>
      <c r="F275" s="25">
        <f>SUMIFS('Daftar Koreksi'!$H$5:$H$92,'Daftar Koreksi'!$D$5:$D$92,'1900'!A268,'Daftar Koreksi'!$G$5:$G$92,"Jalan Irigasi Jaringan",'Daftar Koreksi'!$H$5:$H$92,"&lt;0")-SUMIFS('Daftar Koreksi'!$H$5:$H$92,'Daftar Koreksi'!$D$5:$D$92,'1900'!A268,'Daftar Koreksi'!$G$5:$G$92,"Jalan Irigasi Jaringan",'Daftar Koreksi'!$H$5:$H$92,"&lt;0")-SUMIFS('Daftar Koreksi'!$H$5:$H$92,'Daftar Koreksi'!$D$5:$D$92,'1900'!A268,'Daftar Koreksi'!$G$5:$G$92,"Jalan Irigasi Jaringan",'Daftar Koreksi'!$H$5:$H$92,"&lt;0")</f>
        <v>0</v>
      </c>
      <c r="G275" s="17">
        <f t="shared" si="12"/>
        <v>71505000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62635253</v>
      </c>
      <c r="E276" s="25">
        <f>SUMIFS('Daftar Koreksi'!$H$5:$H$92,'Daftar Koreksi'!$D$5:$D$92,'1900'!A268,'Daftar Koreksi'!$G$5:$G$92,"Aset Tetap Lainnya",'Daftar Koreksi'!$H$5:$H$92,"&gt;0")</f>
        <v>0</v>
      </c>
      <c r="F276" s="25">
        <f>SUMIFS('Daftar Koreksi'!$H$5:$H$92,'Daftar Koreksi'!$D$5:$D$92,'1900'!A268,'Daftar Koreksi'!$G$5:$G$92,"Aset Tetap Lainnya",'Daftar Koreksi'!$H$5:$H$92,"&lt;0")-SUMIFS('Daftar Koreksi'!$H$5:$H$92,'Daftar Koreksi'!$D$5:$D$92,'1900'!A268,'Daftar Koreksi'!$G$5:$G$92,"Aset Tetap Lainnya",'Daftar Koreksi'!$H$5:$H$92,"&lt;0")-SUMIFS('Daftar Koreksi'!$H$5:$H$92,'Daftar Koreksi'!$D$5:$D$92,'1900'!A268,'Daftar Koreksi'!$G$5:$G$92,"Aset Tetap Lainnya",'Daftar Koreksi'!$H$5:$H$92,"&lt;0")</f>
        <v>0</v>
      </c>
      <c r="G276" s="17">
        <f t="shared" si="12"/>
        <v>62635253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5022314550</v>
      </c>
      <c r="E277" s="25">
        <f>SUMIFS('Daftar Koreksi'!$H$5:$H$92,'Daftar Koreksi'!$D$5:$D$92,'1900'!A268,'Daftar Koreksi'!$G$5:$G$92,"Kontruksi Dalam Pengerjaan",'Daftar Koreksi'!$H$5:$H$92,"&gt;0")</f>
        <v>0</v>
      </c>
      <c r="F277" s="25">
        <f>SUMIFS('Daftar Koreksi'!$H$5:$H$92,'Daftar Koreksi'!$D$5:$D$92,'1900'!A268,'Daftar Koreksi'!$G$5:$G$92,"Kontruksi Dalam Pengerjaan",'Daftar Koreksi'!$H$5:$H$92,"&lt;0")-SUMIFS('Daftar Koreksi'!$H$5:$H$92,'Daftar Koreksi'!$D$5:$D$92,'1900'!A268,'Daftar Koreksi'!$G$5:$G$92,"Kontruksi Dalam Pengerjaan",'Daftar Koreksi'!$H$5:$H$92,"&lt;0")-SUMIFS('Daftar Koreksi'!$H$5:$H$92,'Daftar Koreksi'!$D$5:$D$92,'1900'!A268,'Daftar Koreksi'!$G$5:$G$92,"Kontruksi Dalam Pengerjaan",'Daftar Koreksi'!$H$5:$H$92,"&lt;0")</f>
        <v>0</v>
      </c>
      <c r="G277" s="17">
        <f t="shared" si="12"/>
        <v>5022314550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24349000</v>
      </c>
      <c r="E278" s="25">
        <f>SUMIFS('Daftar Koreksi'!$H$5:$H$92,'Daftar Koreksi'!$D$5:$D$92,'1900'!A268,'Daftar Koreksi'!$G$5:$G$92,"Aset Tak Berwujud",'Daftar Koreksi'!$H$5:$H$92,"&gt;0")</f>
        <v>0</v>
      </c>
      <c r="F278" s="25">
        <f>SUMIFS('Daftar Koreksi'!$H$5:$H$92,'Daftar Koreksi'!$D$5:$D$92,'1900'!A268,'Daftar Koreksi'!$G$5:$G$92,"Aset Tak Berwujud",'Daftar Koreksi'!$H$5:$H$92,"&lt;0")-SUMIFS('Daftar Koreksi'!$H$5:$H$92,'Daftar Koreksi'!$D$5:$D$92,'1900'!A268,'Daftar Koreksi'!$G$5:$G$92,"Aset Tak Berwujud",'Daftar Koreksi'!$H$5:$H$92,"&lt;0")-SUMIFS('Daftar Koreksi'!$H$5:$H$92,'Daftar Koreksi'!$D$5:$D$92,'1900'!A268,'Daftar Koreksi'!$G$5:$G$92,"Aset Tak Berwujud",'Daftar Koreksi'!$H$5:$H$92,"&lt;0")</f>
        <v>0</v>
      </c>
      <c r="G278" s="17">
        <f t="shared" si="12"/>
        <v>24349000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Koreksi'!$D$5:$D$92,'1900'!A268,'Daftar Koreksi'!$G$5:$G$92,"Aset Henti Guna",'Daftar Koreksi'!$H$5:$H$92,"&gt;0")</f>
        <v>0</v>
      </c>
      <c r="F279" s="25">
        <f>SUMIFS('Daftar Koreksi'!$H$5:$H$92,'Daftar Koreksi'!$D$5:$D$92,'1900'!A268,'Daftar Koreksi'!$G$5:$G$92,"Aset Henti Guna",'Daftar Koreksi'!$H$5:$H$92,"&lt;0")-SUMIFS('Daftar Koreksi'!$H$5:$H$92,'Daftar Koreksi'!$D$5:$D$92,'1900'!A268,'Daftar Koreksi'!$G$5:$G$92,"Aset Henti Guna",'Daftar Koreksi'!$H$5:$H$92,"&lt;0")-SUMIFS('Daftar Koreksi'!$H$5:$H$92,'Daftar Koreksi'!$D$5:$D$92,'1900'!A268,'Daftar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16276278160</v>
      </c>
      <c r="E280" s="19">
        <f>SUM(E271:E279)</f>
        <v>0</v>
      </c>
      <c r="F280" s="19">
        <f>SUM(F271:F279)</f>
        <v>0</v>
      </c>
      <c r="G280" s="19">
        <f t="shared" si="12"/>
        <v>16276278160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-1574605097</v>
      </c>
      <c r="E281" s="25">
        <f>SUMIFS('Daftar Koreksi'!$I$5:$I$92,'Daftar Koreksi'!$D$5:$D$92,'1900'!A268,'Daftar Koreksi'!$G$5:$G$92,"Peralatan dan mesin",'Daftar Koreksi'!$I$5:$I$92,"&gt;0")</f>
        <v>0</v>
      </c>
      <c r="F281" s="25">
        <f>SUMIFS('Daftar Koreksi'!$I$5:$I$92,'Daftar Koreksi'!$D$5:$D$92,'1900'!A268,'Daftar Koreksi'!$G$5:$G$92,"Peralatan dan mesin",'Daftar Koreksi'!$I$5:$I$92,"&lt;0")-SUMIFS('Daftar Koreksi'!$I$5:$I$92,'Daftar Koreksi'!$D$5:$D$92,'1900'!A268,'Daftar Koreksi'!$G$5:$G$92,"Peralatan dan mesin",'Daftar Koreksi'!$I$5:$I$92,"&lt;0")-SUMIFS('Daftar Koreksi'!$I$5:$I$92,'Daftar Koreksi'!$D$5:$D$92,'1900'!A268,'Daftar Koreksi'!$G$5:$G$92,"Peralatan dan mesin",'Daftar Koreksi'!$I$5:$I$92,"&lt;0")</f>
        <v>0</v>
      </c>
      <c r="G281" s="17">
        <f t="shared" si="12"/>
        <v>-1574605097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-2426735840</v>
      </c>
      <c r="E282" s="25">
        <f>SUMIFS('Daftar Koreksi'!$I$5:$I$92,'Daftar Koreksi'!$D$5:$D$92,'1900'!A268,'Daftar Koreksi'!$G$5:$G$92,"Gedung dan Bangunan",'Daftar Koreksi'!$I$5:$I$92,"&gt;0")</f>
        <v>0</v>
      </c>
      <c r="F282" s="25">
        <f>SUMIFS('Daftar Koreksi'!$I$5:$I$92,'Daftar Koreksi'!$D$5:$D$92,'1900'!A268,'Daftar Koreksi'!$G$5:$G$92,"Gedung dan Bangunan",'Daftar Koreksi'!$I$5:$I$92,"&lt;0")-SUMIFS('Daftar Koreksi'!$I$5:$I$92,'Daftar Koreksi'!$D$5:$D$92,'1900'!A268,'Daftar Koreksi'!$G$5:$G$92,"Gedung dan Bangunan",'Daftar Koreksi'!$I$5:$I$92,"&lt;0")-SUMIFS('Daftar Koreksi'!$I$5:$I$92,'Daftar Koreksi'!$D$5:$D$92,'1900'!A268,'Daftar Koreksi'!$G$5:$G$92,"Gedung dan Bangunan",'Daftar Koreksi'!$I$5:$I$92,"&lt;0")</f>
        <v>0</v>
      </c>
      <c r="G282" s="17">
        <f t="shared" si="12"/>
        <v>-2426735840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-39327750</v>
      </c>
      <c r="E283" s="25">
        <f>SUMIFS('Daftar Koreksi'!$I$5:$I$92,'Daftar Koreksi'!$D$5:$D$92,'1900'!A268,'Daftar Koreksi'!$G$5:$G$92,"Jalan Irigasi Jaringan",'Daftar Koreksi'!$I$5:$I$92,"&gt;0")</f>
        <v>0</v>
      </c>
      <c r="F283" s="25">
        <f>SUMIFS('Daftar Koreksi'!$I$5:$I$92,'Daftar Koreksi'!$D$5:$D$92,'1900'!A268,'Daftar Koreksi'!$G$5:$G$92,"Jalan Irigasi Jaringan",'Daftar Koreksi'!$I$5:$I$92,"&lt;0")-SUMIFS('Daftar Koreksi'!$I$5:$I$92,'Daftar Koreksi'!$D$5:$D$92,'1900'!A268,'Daftar Koreksi'!$G$5:$G$92,"Jalan Irigasi Jaringan",'Daftar Koreksi'!$I$5:$I$92,"&lt;0")-SUMIFS('Daftar Koreksi'!$I$5:$I$92,'Daftar Koreksi'!$D$5:$D$92,'1900'!A268,'Daftar Koreksi'!$G$5:$G$92,"Jalan Irigasi Jaringan",'Daftar Koreksi'!$I$5:$I$92,"&lt;0")</f>
        <v>0</v>
      </c>
      <c r="G283" s="17">
        <f t="shared" si="12"/>
        <v>-39327750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Koreksi'!$D$5:$D$92,'1900'!A268,'Daftar Koreksi'!$G$5:$G$92,"Aset Tetap Lainnya",'Daftar Koreksi'!$I$5:$I$92,"&gt;0")</f>
        <v>0</v>
      </c>
      <c r="F284" s="25">
        <f>SUMIFS('Daftar Koreksi'!$I$5:$I$92,'Daftar Koreksi'!$D$5:$D$92,'1900'!A268,'Daftar Koreksi'!$G$5:$G$92,"Aset Tetap Lainnya",'Daftar Koreksi'!$I$5:$I$92,"&lt;0")-SUMIFS('Daftar Koreksi'!$I$5:$I$92,'Daftar Koreksi'!$D$5:$D$92,'1900'!A268,'Daftar Koreksi'!$G$5:$G$92,"Aset Tetap Lainnya",'Daftar Koreksi'!$I$5:$I$92,"&lt;0")-SUMIFS('Daftar Koreksi'!$I$5:$I$92,'Daftar Koreksi'!$D$5:$D$92,'1900'!A268,'Daftar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Koreksi'!$D$5:$D$92,'1900'!A268,'Daftar Koreksi'!$G$5:$G$92,"Aset Henti Guna",'Daftar Koreksi'!$I$5:$I$92,"&gt;0")</f>
        <v>0</v>
      </c>
      <c r="F285" s="25">
        <f>SUMIFS('Daftar Koreksi'!$I$5:$I$92,'Daftar Koreksi'!$D$5:$D$92,'1900'!A268,'Daftar Koreksi'!$G$5:$G$92,"Aset Henti Guna",'Daftar Koreksi'!$I$5:$I$92,"&lt;0")-SUMIFS('Daftar Koreksi'!$I$5:$I$92,'Daftar Koreksi'!$D$5:$D$92,'1900'!A268,'Daftar Koreksi'!$G$5:$G$92,"Aset Henti Guna",'Daftar Koreksi'!$I$5:$I$92,"&lt;0")-SUMIFS('Daftar Koreksi'!$I$5:$I$92,'Daftar Koreksi'!$D$5:$D$92,'1900'!A268,'Daftar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-4040668687</v>
      </c>
      <c r="E286" s="19">
        <f>SUM(E281:E285)</f>
        <v>0</v>
      </c>
      <c r="F286" s="19">
        <f>SUM(F281:F285)</f>
        <v>0</v>
      </c>
      <c r="G286" s="19">
        <f t="shared" si="12"/>
        <v>-4040668687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12235609473</v>
      </c>
      <c r="E287" s="19">
        <f>E286+E280</f>
        <v>0</v>
      </c>
      <c r="F287" s="19">
        <f>F286+F280</f>
        <v>0</v>
      </c>
      <c r="G287" s="19">
        <f t="shared" si="12"/>
        <v>12235609473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005011900099549000KD</v>
      </c>
      <c r="B290" s="11" t="str">
        <f>P14</f>
        <v>PN. Watansoppeng</v>
      </c>
      <c r="C290" s="12" t="str">
        <f>A290&amp;" "&amp;B290</f>
        <v>005011900099549000KD PN. Watansoppeng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4769900</v>
      </c>
      <c r="E293" s="25">
        <f>SUMIFS('Daftar Koreksi'!$H$5:$H$92,'Daftar Koreksi'!$D$5:$D$92,'1900'!A290,'Daftar Koreksi'!$G$5:$G$92,"Persediaan",'Daftar Koreksi'!$H$5:$H$92,"&gt;0")</f>
        <v>0</v>
      </c>
      <c r="F293" s="25">
        <f>SUMIFS('Daftar Koreksi'!$H$5:$H$92,'Daftar Koreksi'!$D$5:$D$92,'1900'!A290,'Daftar Koreksi'!$G$5:$G$92,"Persediaan",'Daftar Koreksi'!$H$5:$H$92,"&lt;0")-SUMIFS('Daftar Koreksi'!$H$5:$H$92,'Daftar Koreksi'!$D$5:$D$92,'1900'!A290,'Daftar Koreksi'!$G$5:$G$92,"Persediaan",'Daftar Koreksi'!$H$5:$H$92,"&lt;0")-SUMIFS('Daftar Koreksi'!$H$5:$H$92,'Daftar Koreksi'!$D$5:$D$92,'1900'!A290,'Daftar Koreksi'!$G$5:$G$92,"Persediaan",'Daftar Koreksi'!$H$5:$H$92,"&lt;0")</f>
        <v>0</v>
      </c>
      <c r="G293" s="17">
        <f>D293+E293-F293</f>
        <v>4769900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3527000000</v>
      </c>
      <c r="E294" s="25">
        <f>SUMIFS('Daftar Koreksi'!$H$5:$H$92,'Daftar Koreksi'!$D$5:$D$92,'1900'!A290,'Daftar Koreksi'!$G$5:$G$92,"Tanah",'Daftar Koreksi'!$H$5:$H$92,"&gt;0")</f>
        <v>0</v>
      </c>
      <c r="F294" s="25">
        <f>SUMIFS('Daftar Koreksi'!$H$5:$H$92,'Daftar Koreksi'!$D$5:$D$92,'1900'!A290,'Daftar Koreksi'!$G$5:$G$92,"Tanah",'Daftar Koreksi'!$H$5:$H$92,"&lt;0")-SUMIFS('Daftar Koreksi'!$H$5:$H$92,'Daftar Koreksi'!$D$5:$D$92,'1900'!A290,'Daftar Koreksi'!$G$5:$G$92,"Tanah",'Daftar Koreksi'!$H$5:$H$92,"&lt;0")-SUMIFS('Daftar Koreksi'!$H$5:$H$92,'Daftar Koreksi'!$D$5:$D$92,'1900'!A290,'Daftar Koreksi'!$G$5:$G$92,"Tanah",'Daftar Koreksi'!$H$5:$H$92,"&lt;0")</f>
        <v>0</v>
      </c>
      <c r="G294" s="17">
        <f t="shared" ref="G294:G310" si="13">D294+E294-F294</f>
        <v>3527000000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1734778565</v>
      </c>
      <c r="E295" s="25">
        <f>SUMIFS('Daftar Koreksi'!$H$5:$H$92,'Daftar Koreksi'!$D$5:$D$92,'1900'!A290,'Daftar Koreksi'!$G$5:$G$92,"Peralatan dan mesin",'Daftar Koreksi'!$H$5:$H$92,"&gt;0")</f>
        <v>0</v>
      </c>
      <c r="F295" s="25">
        <f>SUMIFS('Daftar Koreksi'!$H$5:$H$92,'Daftar Koreksi'!$D$5:$D$92,'1900'!A290,'Daftar Koreksi'!$G$5:$G$92,"Peralatan dan mesin",'Daftar Koreksi'!$H$5:$H$92,"&lt;0")-SUMIFS('Daftar Koreksi'!$H$5:$H$92,'Daftar Koreksi'!$D$5:$D$92,'1900'!A290,'Daftar Koreksi'!$G$5:$G$92,"Peralatan dan mesin",'Daftar Koreksi'!$H$5:$H$92,"&lt;0")-SUMIFS('Daftar Koreksi'!$H$5:$H$92,'Daftar Koreksi'!$D$5:$D$92,'1900'!A290,'Daftar Koreksi'!$G$5:$G$92,"Peralatan dan mesin",'Daftar Koreksi'!$H$5:$H$92,"&lt;0")</f>
        <v>0</v>
      </c>
      <c r="G295" s="17">
        <f t="shared" si="13"/>
        <v>1734778565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3645118005</v>
      </c>
      <c r="E296" s="25">
        <f>SUMIFS('Daftar Koreksi'!$H$5:$H$92,'Daftar Koreksi'!$D$5:$D$92,'1900'!A290,'Daftar Koreksi'!$G$5:$G$92,"Gedung dan Bangunan",'Daftar Koreksi'!$H$5:$H$92,"&gt;0")</f>
        <v>0</v>
      </c>
      <c r="F296" s="25">
        <f>SUMIFS('Daftar Koreksi'!$H$5:$H$92,'Daftar Koreksi'!$D$5:$D$92,'1900'!A290,'Daftar Koreksi'!$G$5:$G$92,"Gedung dan Bangunan",'Daftar Koreksi'!$H$5:$H$92,"&lt;0")-SUMIFS('Daftar Koreksi'!$H$5:$H$92,'Daftar Koreksi'!$D$5:$D$92,'1900'!A290,'Daftar Koreksi'!$G$5:$G$92,"Gedung dan Bangunan",'Daftar Koreksi'!$H$5:$H$92,"&lt;0")-SUMIFS('Daftar Koreksi'!$H$5:$H$92,'Daftar Koreksi'!$D$5:$D$92,'1900'!A290,'Daftar Koreksi'!$G$5:$G$92,"Gedung dan Bangunan",'Daftar Koreksi'!$H$5:$H$92,"&lt;0")</f>
        <v>0</v>
      </c>
      <c r="G296" s="17">
        <f t="shared" si="13"/>
        <v>3645118005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107799000</v>
      </c>
      <c r="E297" s="25">
        <f>SUMIFS('Daftar Koreksi'!$H$5:$H$92,'Daftar Koreksi'!$D$5:$D$92,'1900'!A290,'Daftar Koreksi'!$G$5:$G$92,"Jalan Irigasi Jaringan",'Daftar Koreksi'!$H$5:$H$92,"&gt;0")</f>
        <v>0</v>
      </c>
      <c r="F297" s="25">
        <f>SUMIFS('Daftar Koreksi'!$H$5:$H$92,'Daftar Koreksi'!$D$5:$D$92,'1900'!A290,'Daftar Koreksi'!$G$5:$G$92,"Jalan Irigasi Jaringan",'Daftar Koreksi'!$H$5:$H$92,"&lt;0")-SUMIFS('Daftar Koreksi'!$H$5:$H$92,'Daftar Koreksi'!$D$5:$D$92,'1900'!A290,'Daftar Koreksi'!$G$5:$G$92,"Jalan Irigasi Jaringan",'Daftar Koreksi'!$H$5:$H$92,"&lt;0")-SUMIFS('Daftar Koreksi'!$H$5:$H$92,'Daftar Koreksi'!$D$5:$D$92,'1900'!A290,'Daftar Koreksi'!$G$5:$G$92,"Jalan Irigasi Jaringan",'Daftar Koreksi'!$H$5:$H$92,"&lt;0")</f>
        <v>0</v>
      </c>
      <c r="G297" s="17">
        <f t="shared" si="13"/>
        <v>107799000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57576938</v>
      </c>
      <c r="E298" s="25">
        <f>SUMIFS('Daftar Koreksi'!$H$5:$H$92,'Daftar Koreksi'!$D$5:$D$92,'1900'!A290,'Daftar Koreksi'!$G$5:$G$92,"Aset Tetap Lainnya",'Daftar Koreksi'!$H$5:$H$92,"&gt;0")</f>
        <v>0</v>
      </c>
      <c r="F298" s="25">
        <f>SUMIFS('Daftar Koreksi'!$H$5:$H$92,'Daftar Koreksi'!$D$5:$D$92,'1900'!A290,'Daftar Koreksi'!$G$5:$G$92,"Aset Tetap Lainnya",'Daftar Koreksi'!$H$5:$H$92,"&lt;0")-SUMIFS('Daftar Koreksi'!$H$5:$H$92,'Daftar Koreksi'!$D$5:$D$92,'1900'!A290,'Daftar Koreksi'!$G$5:$G$92,"Aset Tetap Lainnya",'Daftar Koreksi'!$H$5:$H$92,"&lt;0")-SUMIFS('Daftar Koreksi'!$H$5:$H$92,'Daftar Koreksi'!$D$5:$D$92,'1900'!A290,'Daftar Koreksi'!$G$5:$G$92,"Aset Tetap Lainnya",'Daftar Koreksi'!$H$5:$H$92,"&lt;0")</f>
        <v>0</v>
      </c>
      <c r="G298" s="17">
        <f t="shared" si="13"/>
        <v>57576938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Koreksi'!$D$5:$D$92,'1900'!A290,'Daftar Koreksi'!$G$5:$G$92,"Kontruksi Dalam Pengerjaan",'Daftar Koreksi'!$H$5:$H$92,"&gt;0")</f>
        <v>0</v>
      </c>
      <c r="F299" s="25">
        <f>SUMIFS('Daftar Koreksi'!$H$5:$H$92,'Daftar Koreksi'!$D$5:$D$92,'1900'!A290,'Daftar Koreksi'!$G$5:$G$92,"Kontruksi Dalam Pengerjaan",'Daftar Koreksi'!$H$5:$H$92,"&lt;0")-SUMIFS('Daftar Koreksi'!$H$5:$H$92,'Daftar Koreksi'!$D$5:$D$92,'1900'!A290,'Daftar Koreksi'!$G$5:$G$92,"Kontruksi Dalam Pengerjaan",'Daftar Koreksi'!$H$5:$H$92,"&lt;0")-SUMIFS('Daftar Koreksi'!$H$5:$H$92,'Daftar Koreksi'!$D$5:$D$92,'1900'!A290,'Daftar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24349000</v>
      </c>
      <c r="E300" s="25">
        <f>SUMIFS('Daftar Koreksi'!$H$5:$H$92,'Daftar Koreksi'!$D$5:$D$92,'1900'!A290,'Daftar Koreksi'!$G$5:$G$92,"Aset Tak Berwujud",'Daftar Koreksi'!$H$5:$H$92,"&gt;0")</f>
        <v>0</v>
      </c>
      <c r="F300" s="25">
        <f>SUMIFS('Daftar Koreksi'!$H$5:$H$92,'Daftar Koreksi'!$D$5:$D$92,'1900'!A290,'Daftar Koreksi'!$G$5:$G$92,"Aset Tak Berwujud",'Daftar Koreksi'!$H$5:$H$92,"&lt;0")-SUMIFS('Daftar Koreksi'!$H$5:$H$92,'Daftar Koreksi'!$D$5:$D$92,'1900'!A290,'Daftar Koreksi'!$G$5:$G$92,"Aset Tak Berwujud",'Daftar Koreksi'!$H$5:$H$92,"&lt;0")-SUMIFS('Daftar Koreksi'!$H$5:$H$92,'Daftar Koreksi'!$D$5:$D$92,'1900'!A290,'Daftar Koreksi'!$G$5:$G$92,"Aset Tak Berwujud",'Daftar Koreksi'!$H$5:$H$92,"&lt;0")</f>
        <v>0</v>
      </c>
      <c r="G300" s="17">
        <f t="shared" si="13"/>
        <v>24349000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2593000</v>
      </c>
      <c r="E301" s="25">
        <f>SUMIFS('Daftar Koreksi'!$H$5:$H$92,'Daftar Koreksi'!$D$5:$D$92,'1900'!A290,'Daftar Koreksi'!$G$5:$G$92,"Aset Henti Guna",'Daftar Koreksi'!$H$5:$H$92,"&gt;0")</f>
        <v>0</v>
      </c>
      <c r="F301" s="25">
        <f>SUMIFS('Daftar Koreksi'!$H$5:$H$92,'Daftar Koreksi'!$D$5:$D$92,'1900'!A290,'Daftar Koreksi'!$G$5:$G$92,"Aset Henti Guna",'Daftar Koreksi'!$H$5:$H$92,"&lt;0")-SUMIFS('Daftar Koreksi'!$H$5:$H$92,'Daftar Koreksi'!$D$5:$D$92,'1900'!A290,'Daftar Koreksi'!$G$5:$G$92,"Aset Henti Guna",'Daftar Koreksi'!$H$5:$H$92,"&lt;0")-SUMIFS('Daftar Koreksi'!$H$5:$H$92,'Daftar Koreksi'!$D$5:$D$92,'1900'!A290,'Daftar Koreksi'!$G$5:$G$92,"Aset Henti Guna",'Daftar Koreksi'!$H$5:$H$92,"&lt;0")</f>
        <v>0</v>
      </c>
      <c r="G301" s="17">
        <f t="shared" si="13"/>
        <v>2593000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9103984408</v>
      </c>
      <c r="E302" s="19">
        <f>SUM(E293:E301)</f>
        <v>0</v>
      </c>
      <c r="F302" s="19">
        <f>SUM(F293:F301)</f>
        <v>0</v>
      </c>
      <c r="G302" s="19">
        <f t="shared" si="13"/>
        <v>9103984408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-1549347316</v>
      </c>
      <c r="E303" s="25">
        <f>SUMIFS('Daftar Koreksi'!$I$5:$I$92,'Daftar Koreksi'!$D$5:$D$92,'1900'!A290,'Daftar Koreksi'!$G$5:$G$92,"Peralatan dan mesin",'Daftar Koreksi'!$I$5:$I$92,"&gt;0")</f>
        <v>0</v>
      </c>
      <c r="F303" s="25">
        <f>SUMIFS('Daftar Koreksi'!$I$5:$I$92,'Daftar Koreksi'!$D$5:$D$92,'1900'!A290,'Daftar Koreksi'!$G$5:$G$92,"Peralatan dan mesin",'Daftar Koreksi'!$I$5:$I$92,"&lt;0")-SUMIFS('Daftar Koreksi'!$I$5:$I$92,'Daftar Koreksi'!$D$5:$D$92,'1900'!A290,'Daftar Koreksi'!$G$5:$G$92,"Peralatan dan mesin",'Daftar Koreksi'!$I$5:$I$92,"&lt;0")-SUMIFS('Daftar Koreksi'!$I$5:$I$92,'Daftar Koreksi'!$D$5:$D$92,'1900'!A290,'Daftar Koreksi'!$G$5:$G$92,"Peralatan dan mesin",'Daftar Koreksi'!$I$5:$I$92,"&lt;0")</f>
        <v>0</v>
      </c>
      <c r="G303" s="17">
        <f t="shared" si="13"/>
        <v>-1549347316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-1953697903</v>
      </c>
      <c r="E304" s="25">
        <f>SUMIFS('Daftar Koreksi'!$I$5:$I$92,'Daftar Koreksi'!$D$5:$D$92,'1900'!A290,'Daftar Koreksi'!$G$5:$G$92,"Gedung dan Bangunan",'Daftar Koreksi'!$I$5:$I$92,"&gt;0")</f>
        <v>0</v>
      </c>
      <c r="F304" s="25">
        <f>SUMIFS('Daftar Koreksi'!$I$5:$I$92,'Daftar Koreksi'!$D$5:$D$92,'1900'!A290,'Daftar Koreksi'!$G$5:$G$92,"Gedung dan Bangunan",'Daftar Koreksi'!$I$5:$I$92,"&lt;0")-SUMIFS('Daftar Koreksi'!$I$5:$I$92,'Daftar Koreksi'!$D$5:$D$92,'1900'!A290,'Daftar Koreksi'!$G$5:$G$92,"Gedung dan Bangunan",'Daftar Koreksi'!$I$5:$I$92,"&lt;0")-SUMIFS('Daftar Koreksi'!$I$5:$I$92,'Daftar Koreksi'!$D$5:$D$92,'1900'!A290,'Daftar Koreksi'!$G$5:$G$92,"Gedung dan Bangunan",'Daftar Koreksi'!$I$5:$I$92,"&lt;0")</f>
        <v>0</v>
      </c>
      <c r="G304" s="17">
        <f t="shared" si="13"/>
        <v>-1953697903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-21952263</v>
      </c>
      <c r="E305" s="25">
        <f>SUMIFS('Daftar Koreksi'!$I$5:$I$92,'Daftar Koreksi'!$D$5:$D$92,'1900'!A290,'Daftar Koreksi'!$G$5:$G$92,"Jalan Irigasi Jaringan",'Daftar Koreksi'!$I$5:$I$92,"&gt;0")</f>
        <v>0</v>
      </c>
      <c r="F305" s="25">
        <f>SUMIFS('Daftar Koreksi'!$I$5:$I$92,'Daftar Koreksi'!$D$5:$D$92,'1900'!A290,'Daftar Koreksi'!$G$5:$G$92,"Jalan Irigasi Jaringan",'Daftar Koreksi'!$I$5:$I$92,"&lt;0")-SUMIFS('Daftar Koreksi'!$I$5:$I$92,'Daftar Koreksi'!$D$5:$D$92,'1900'!A290,'Daftar Koreksi'!$G$5:$G$92,"Jalan Irigasi Jaringan",'Daftar Koreksi'!$I$5:$I$92,"&lt;0")-SUMIFS('Daftar Koreksi'!$I$5:$I$92,'Daftar Koreksi'!$D$5:$D$92,'1900'!A290,'Daftar Koreksi'!$G$5:$G$92,"Jalan Irigasi Jaringan",'Daftar Koreksi'!$I$5:$I$92,"&lt;0")</f>
        <v>0</v>
      </c>
      <c r="G305" s="17">
        <f t="shared" si="13"/>
        <v>-21952263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Koreksi'!$D$5:$D$92,'1900'!A290,'Daftar Koreksi'!$G$5:$G$92,"Aset Tetap Lainnya",'Daftar Koreksi'!$I$5:$I$92,"&gt;0")</f>
        <v>0</v>
      </c>
      <c r="F306" s="25">
        <f>SUMIFS('Daftar Koreksi'!$I$5:$I$92,'Daftar Koreksi'!$D$5:$D$92,'1900'!A290,'Daftar Koreksi'!$G$5:$G$92,"Aset Tetap Lainnya",'Daftar Koreksi'!$I$5:$I$92,"&lt;0")-SUMIFS('Daftar Koreksi'!$I$5:$I$92,'Daftar Koreksi'!$D$5:$D$92,'1900'!A290,'Daftar Koreksi'!$G$5:$G$92,"Aset Tetap Lainnya",'Daftar Koreksi'!$I$5:$I$92,"&lt;0")-SUMIFS('Daftar Koreksi'!$I$5:$I$92,'Daftar Koreksi'!$D$5:$D$92,'1900'!A290,'Daftar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-2593000</v>
      </c>
      <c r="E307" s="25">
        <f>SUMIFS('Daftar Koreksi'!$I$5:$I$92,'Daftar Koreksi'!$D$5:$D$92,'1900'!A290,'Daftar Koreksi'!$G$5:$G$92,"Aset Henti Guna",'Daftar Koreksi'!$I$5:$I$92,"&gt;0")</f>
        <v>0</v>
      </c>
      <c r="F307" s="25">
        <f>SUMIFS('Daftar Koreksi'!$I$5:$I$92,'Daftar Koreksi'!$D$5:$D$92,'1900'!A290,'Daftar Koreksi'!$G$5:$G$92,"Aset Henti Guna",'Daftar Koreksi'!$I$5:$I$92,"&lt;0")-SUMIFS('Daftar Koreksi'!$I$5:$I$92,'Daftar Koreksi'!$D$5:$D$92,'1900'!A290,'Daftar Koreksi'!$G$5:$G$92,"Aset Henti Guna",'Daftar Koreksi'!$I$5:$I$92,"&lt;0")-SUMIFS('Daftar Koreksi'!$I$5:$I$92,'Daftar Koreksi'!$D$5:$D$92,'1900'!A290,'Daftar Koreksi'!$G$5:$G$92,"Aset Henti Guna",'Daftar Koreksi'!$I$5:$I$92,"&lt;0")</f>
        <v>0</v>
      </c>
      <c r="G307" s="17">
        <f t="shared" si="13"/>
        <v>-2593000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-3527590482</v>
      </c>
      <c r="E308" s="19">
        <f>SUM(E303:E307)</f>
        <v>0</v>
      </c>
      <c r="F308" s="19">
        <f>SUM(F303:F307)</f>
        <v>0</v>
      </c>
      <c r="G308" s="19">
        <f t="shared" si="13"/>
        <v>-3527590482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5576393926</v>
      </c>
      <c r="E309" s="19">
        <f>E308+E302</f>
        <v>0</v>
      </c>
      <c r="F309" s="19">
        <f>F308+F302</f>
        <v>0</v>
      </c>
      <c r="G309" s="19">
        <f t="shared" si="13"/>
        <v>5576393926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005011900099553000KD</v>
      </c>
      <c r="B312" s="11" t="str">
        <f>P15</f>
        <v>PN. Sengkang</v>
      </c>
      <c r="C312" s="12" t="str">
        <f>A312&amp;" "&amp;B312</f>
        <v>005011900099553000KD PN. Sengkang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1960000</v>
      </c>
      <c r="E315" s="25">
        <f>SUMIFS('Daftar Koreksi'!$H$5:$H$92,'Daftar Koreksi'!$D$5:$D$92,'1900'!A312,'Daftar Koreksi'!$G$5:$G$92,"Persediaan",'Daftar Koreksi'!$H$5:$H$92,"&gt;0")</f>
        <v>0</v>
      </c>
      <c r="F315" s="25">
        <f>SUMIFS('Daftar Koreksi'!$H$5:$H$92,'Daftar Koreksi'!$D$5:$D$92,'1900'!A312,'Daftar Koreksi'!$G$5:$G$92,"Persediaan",'Daftar Koreksi'!$H$5:$H$92,"&lt;0")-SUMIFS('Daftar Koreksi'!$H$5:$H$92,'Daftar Koreksi'!$D$5:$D$92,'1900'!A312,'Daftar Koreksi'!$G$5:$G$92,"Persediaan",'Daftar Koreksi'!$H$5:$H$92,"&lt;0")-SUMIFS('Daftar Koreksi'!$H$5:$H$92,'Daftar Koreksi'!$D$5:$D$92,'1900'!A312,'Daftar Koreksi'!$G$5:$G$92,"Persediaan",'Daftar Koreksi'!$H$5:$H$92,"&lt;0")</f>
        <v>0</v>
      </c>
      <c r="G315" s="17">
        <f>D315+E315-F315</f>
        <v>1960000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12140606000</v>
      </c>
      <c r="E316" s="25">
        <f>SUMIFS('Daftar Koreksi'!$H$5:$H$92,'Daftar Koreksi'!$D$5:$D$92,'1900'!A312,'Daftar Koreksi'!$G$5:$G$92,"Tanah",'Daftar Koreksi'!$H$5:$H$92,"&gt;0")</f>
        <v>0</v>
      </c>
      <c r="F316" s="25">
        <f>SUMIFS('Daftar Koreksi'!$H$5:$H$92,'Daftar Koreksi'!$D$5:$D$92,'1900'!A312,'Daftar Koreksi'!$G$5:$G$92,"Tanah",'Daftar Koreksi'!$H$5:$H$92,"&lt;0")-SUMIFS('Daftar Koreksi'!$H$5:$H$92,'Daftar Koreksi'!$D$5:$D$92,'1900'!A312,'Daftar Koreksi'!$G$5:$G$92,"Tanah",'Daftar Koreksi'!$H$5:$H$92,"&lt;0")-SUMIFS('Daftar Koreksi'!$H$5:$H$92,'Daftar Koreksi'!$D$5:$D$92,'1900'!A312,'Daftar Koreksi'!$G$5:$G$92,"Tanah",'Daftar Koreksi'!$H$5:$H$92,"&lt;0")</f>
        <v>0</v>
      </c>
      <c r="G316" s="17">
        <f t="shared" ref="G316:G332" si="14">D316+E316-F316</f>
        <v>12140606000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1706460882</v>
      </c>
      <c r="E317" s="25">
        <f>SUMIFS('Daftar Koreksi'!$H$5:$H$92,'Daftar Koreksi'!$D$5:$D$92,'1900'!A312,'Daftar Koreksi'!$G$5:$G$92,"Peralatan dan mesin",'Daftar Koreksi'!$H$5:$H$92,"&gt;0")</f>
        <v>0</v>
      </c>
      <c r="F317" s="25">
        <f>SUMIFS('Daftar Koreksi'!$H$5:$H$92,'Daftar Koreksi'!$D$5:$D$92,'1900'!A312,'Daftar Koreksi'!$G$5:$G$92,"Peralatan dan mesin",'Daftar Koreksi'!$H$5:$H$92,"&lt;0")-SUMIFS('Daftar Koreksi'!$H$5:$H$92,'Daftar Koreksi'!$D$5:$D$92,'1900'!A312,'Daftar Koreksi'!$G$5:$G$92,"Peralatan dan mesin",'Daftar Koreksi'!$H$5:$H$92,"&lt;0")-SUMIFS('Daftar Koreksi'!$H$5:$H$92,'Daftar Koreksi'!$D$5:$D$92,'1900'!A312,'Daftar Koreksi'!$G$5:$G$92,"Peralatan dan mesin",'Daftar Koreksi'!$H$5:$H$92,"&lt;0")</f>
        <v>0</v>
      </c>
      <c r="G317" s="17">
        <f t="shared" si="14"/>
        <v>1706460882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2994829000</v>
      </c>
      <c r="E318" s="25">
        <f>SUMIFS('Daftar Koreksi'!$H$5:$H$92,'Daftar Koreksi'!$D$5:$D$92,'1900'!A312,'Daftar Koreksi'!$G$5:$G$92,"Gedung dan Bangunan",'Daftar Koreksi'!$H$5:$H$92,"&gt;0")</f>
        <v>0</v>
      </c>
      <c r="F318" s="25">
        <f>SUMIFS('Daftar Koreksi'!$H$5:$H$92,'Daftar Koreksi'!$D$5:$D$92,'1900'!A312,'Daftar Koreksi'!$G$5:$G$92,"Gedung dan Bangunan",'Daftar Koreksi'!$H$5:$H$92,"&lt;0")-SUMIFS('Daftar Koreksi'!$H$5:$H$92,'Daftar Koreksi'!$D$5:$D$92,'1900'!A312,'Daftar Koreksi'!$G$5:$G$92,"Gedung dan Bangunan",'Daftar Koreksi'!$H$5:$H$92,"&lt;0")-SUMIFS('Daftar Koreksi'!$H$5:$H$92,'Daftar Koreksi'!$D$5:$D$92,'1900'!A312,'Daftar Koreksi'!$G$5:$G$92,"Gedung dan Bangunan",'Daftar Koreksi'!$H$5:$H$92,"&lt;0")</f>
        <v>0</v>
      </c>
      <c r="G318" s="17">
        <f t="shared" si="14"/>
        <v>2994829000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15000000</v>
      </c>
      <c r="E319" s="25">
        <f>SUMIFS('Daftar Koreksi'!$H$5:$H$92,'Daftar Koreksi'!$D$5:$D$92,'1900'!A312,'Daftar Koreksi'!$G$5:$G$92,"Jalan Irigasi Jaringan",'Daftar Koreksi'!$H$5:$H$92,"&gt;0")</f>
        <v>0</v>
      </c>
      <c r="F319" s="25">
        <f>SUMIFS('Daftar Koreksi'!$H$5:$H$92,'Daftar Koreksi'!$D$5:$D$92,'1900'!A312,'Daftar Koreksi'!$G$5:$G$92,"Jalan Irigasi Jaringan",'Daftar Koreksi'!$H$5:$H$92,"&lt;0")-SUMIFS('Daftar Koreksi'!$H$5:$H$92,'Daftar Koreksi'!$D$5:$D$92,'1900'!A312,'Daftar Koreksi'!$G$5:$G$92,"Jalan Irigasi Jaringan",'Daftar Koreksi'!$H$5:$H$92,"&lt;0")-SUMIFS('Daftar Koreksi'!$H$5:$H$92,'Daftar Koreksi'!$D$5:$D$92,'1900'!A312,'Daftar Koreksi'!$G$5:$G$92,"Jalan Irigasi Jaringan",'Daftar Koreksi'!$H$5:$H$92,"&lt;0")</f>
        <v>0</v>
      </c>
      <c r="G319" s="17">
        <f t="shared" si="14"/>
        <v>15000000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199262074</v>
      </c>
      <c r="E320" s="25">
        <f>SUMIFS('Daftar Koreksi'!$H$5:$H$92,'Daftar Koreksi'!$D$5:$D$92,'1900'!A312,'Daftar Koreksi'!$G$5:$G$92,"Aset Tetap Lainnya",'Daftar Koreksi'!$H$5:$H$92,"&gt;0")</f>
        <v>0</v>
      </c>
      <c r="F320" s="25">
        <f>SUMIFS('Daftar Koreksi'!$H$5:$H$92,'Daftar Koreksi'!$D$5:$D$92,'1900'!A312,'Daftar Koreksi'!$G$5:$G$92,"Aset Tetap Lainnya",'Daftar Koreksi'!$H$5:$H$92,"&lt;0")-SUMIFS('Daftar Koreksi'!$H$5:$H$92,'Daftar Koreksi'!$D$5:$D$92,'1900'!A312,'Daftar Koreksi'!$G$5:$G$92,"Aset Tetap Lainnya",'Daftar Koreksi'!$H$5:$H$92,"&lt;0")-SUMIFS('Daftar Koreksi'!$H$5:$H$92,'Daftar Koreksi'!$D$5:$D$92,'1900'!A312,'Daftar Koreksi'!$G$5:$G$92,"Aset Tetap Lainnya",'Daftar Koreksi'!$H$5:$H$92,"&lt;0")</f>
        <v>0</v>
      </c>
      <c r="G320" s="17">
        <f t="shared" si="14"/>
        <v>199262074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Koreksi'!$D$5:$D$92,'1900'!A312,'Daftar Koreksi'!$G$5:$G$92,"Kontruksi Dalam Pengerjaan",'Daftar Koreksi'!$H$5:$H$92,"&gt;0")</f>
        <v>0</v>
      </c>
      <c r="F321" s="25">
        <f>SUMIFS('Daftar Koreksi'!$H$5:$H$92,'Daftar Koreksi'!$D$5:$D$92,'1900'!A312,'Daftar Koreksi'!$G$5:$G$92,"Kontruksi Dalam Pengerjaan",'Daftar Koreksi'!$H$5:$H$92,"&lt;0")-SUMIFS('Daftar Koreksi'!$H$5:$H$92,'Daftar Koreksi'!$D$5:$D$92,'1900'!A312,'Daftar Koreksi'!$G$5:$G$92,"Kontruksi Dalam Pengerjaan",'Daftar Koreksi'!$H$5:$H$92,"&lt;0")-SUMIFS('Daftar Koreksi'!$H$5:$H$92,'Daftar Koreksi'!$D$5:$D$92,'1900'!A312,'Daftar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24349000</v>
      </c>
      <c r="E322" s="25">
        <f>SUMIFS('Daftar Koreksi'!$H$5:$H$92,'Daftar Koreksi'!$D$5:$D$92,'1900'!A312,'Daftar Koreksi'!$G$5:$G$92,"Aset Tak Berwujud",'Daftar Koreksi'!$H$5:$H$92,"&gt;0")</f>
        <v>0</v>
      </c>
      <c r="F322" s="25">
        <f>SUMIFS('Daftar Koreksi'!$H$5:$H$92,'Daftar Koreksi'!$D$5:$D$92,'1900'!A312,'Daftar Koreksi'!$G$5:$G$92,"Aset Tak Berwujud",'Daftar Koreksi'!$H$5:$H$92,"&lt;0")-SUMIFS('Daftar Koreksi'!$H$5:$H$92,'Daftar Koreksi'!$D$5:$D$92,'1900'!A312,'Daftar Koreksi'!$G$5:$G$92,"Aset Tak Berwujud",'Daftar Koreksi'!$H$5:$H$92,"&lt;0")-SUMIFS('Daftar Koreksi'!$H$5:$H$92,'Daftar Koreksi'!$D$5:$D$92,'1900'!A312,'Daftar Koreksi'!$G$5:$G$92,"Aset Tak Berwujud",'Daftar Koreksi'!$H$5:$H$92,"&lt;0")</f>
        <v>0</v>
      </c>
      <c r="G322" s="17">
        <f t="shared" si="14"/>
        <v>24349000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303767509</v>
      </c>
      <c r="E323" s="25">
        <f>SUMIFS('Daftar Koreksi'!$H$5:$H$92,'Daftar Koreksi'!$D$5:$D$92,'1900'!A312,'Daftar Koreksi'!$G$5:$G$92,"Aset Henti Guna",'Daftar Koreksi'!$H$5:$H$92,"&gt;0")</f>
        <v>0</v>
      </c>
      <c r="F323" s="25">
        <f>SUMIFS('Daftar Koreksi'!$H$5:$H$92,'Daftar Koreksi'!$D$5:$D$92,'1900'!A312,'Daftar Koreksi'!$G$5:$G$92,"Aset Henti Guna",'Daftar Koreksi'!$H$5:$H$92,"&lt;0")-SUMIFS('Daftar Koreksi'!$H$5:$H$92,'Daftar Koreksi'!$D$5:$D$92,'1900'!A312,'Daftar Koreksi'!$G$5:$G$92,"Aset Henti Guna",'Daftar Koreksi'!$H$5:$H$92,"&lt;0")-SUMIFS('Daftar Koreksi'!$H$5:$H$92,'Daftar Koreksi'!$D$5:$D$92,'1900'!A312,'Daftar Koreksi'!$G$5:$G$92,"Aset Henti Guna",'Daftar Koreksi'!$H$5:$H$92,"&lt;0")</f>
        <v>0</v>
      </c>
      <c r="G323" s="17">
        <f t="shared" si="14"/>
        <v>303767509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17386234465</v>
      </c>
      <c r="E324" s="19">
        <f>SUM(E315:E323)</f>
        <v>0</v>
      </c>
      <c r="F324" s="19">
        <f>SUM(F315:F323)</f>
        <v>0</v>
      </c>
      <c r="G324" s="19">
        <f t="shared" si="14"/>
        <v>17386234465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-1467550836</v>
      </c>
      <c r="E325" s="25">
        <f>SUMIFS('Daftar Koreksi'!$I$5:$I$92,'Daftar Koreksi'!$D$5:$D$92,'1900'!A312,'Daftar Koreksi'!$G$5:$G$92,"Peralatan dan mesin",'Daftar Koreksi'!$I$5:$I$92,"&gt;0")</f>
        <v>0</v>
      </c>
      <c r="F325" s="25">
        <f>SUMIFS('Daftar Koreksi'!$I$5:$I$92,'Daftar Koreksi'!$D$5:$D$92,'1900'!A312,'Daftar Koreksi'!$G$5:$G$92,"Peralatan dan mesin",'Daftar Koreksi'!$I$5:$I$92,"&lt;0")-SUMIFS('Daftar Koreksi'!$I$5:$I$92,'Daftar Koreksi'!$D$5:$D$92,'1900'!A312,'Daftar Koreksi'!$G$5:$G$92,"Peralatan dan mesin",'Daftar Koreksi'!$I$5:$I$92,"&lt;0")-SUMIFS('Daftar Koreksi'!$I$5:$I$92,'Daftar Koreksi'!$D$5:$D$92,'1900'!A312,'Daftar Koreksi'!$G$5:$G$92,"Peralatan dan mesin",'Daftar Koreksi'!$I$5:$I$92,"&lt;0")</f>
        <v>0</v>
      </c>
      <c r="G325" s="17">
        <f t="shared" si="14"/>
        <v>-1467550836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-1687210890</v>
      </c>
      <c r="E326" s="25">
        <f>SUMIFS('Daftar Koreksi'!$I$5:$I$92,'Daftar Koreksi'!$D$5:$D$92,'1900'!A312,'Daftar Koreksi'!$G$5:$G$92,"Gedung dan Bangunan",'Daftar Koreksi'!$I$5:$I$92,"&gt;0")</f>
        <v>0</v>
      </c>
      <c r="F326" s="25">
        <f>SUMIFS('Daftar Koreksi'!$I$5:$I$92,'Daftar Koreksi'!$D$5:$D$92,'1900'!A312,'Daftar Koreksi'!$G$5:$G$92,"Gedung dan Bangunan",'Daftar Koreksi'!$I$5:$I$92,"&lt;0")-SUMIFS('Daftar Koreksi'!$I$5:$I$92,'Daftar Koreksi'!$D$5:$D$92,'1900'!A312,'Daftar Koreksi'!$G$5:$G$92,"Gedung dan Bangunan",'Daftar Koreksi'!$I$5:$I$92,"&lt;0")-SUMIFS('Daftar Koreksi'!$I$5:$I$92,'Daftar Koreksi'!$D$5:$D$92,'1900'!A312,'Daftar Koreksi'!$G$5:$G$92,"Gedung dan Bangunan",'Daftar Koreksi'!$I$5:$I$92,"&lt;0")</f>
        <v>0</v>
      </c>
      <c r="G326" s="17">
        <f t="shared" si="14"/>
        <v>-1687210890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-2250000</v>
      </c>
      <c r="E327" s="25">
        <f>SUMIFS('Daftar Koreksi'!$I$5:$I$92,'Daftar Koreksi'!$D$5:$D$92,'1900'!A312,'Daftar Koreksi'!$G$5:$G$92,"Jalan Irigasi Jaringan",'Daftar Koreksi'!$I$5:$I$92,"&gt;0")</f>
        <v>0</v>
      </c>
      <c r="F327" s="25">
        <f>SUMIFS('Daftar Koreksi'!$I$5:$I$92,'Daftar Koreksi'!$D$5:$D$92,'1900'!A312,'Daftar Koreksi'!$G$5:$G$92,"Jalan Irigasi Jaringan",'Daftar Koreksi'!$I$5:$I$92,"&lt;0")-SUMIFS('Daftar Koreksi'!$I$5:$I$92,'Daftar Koreksi'!$D$5:$D$92,'1900'!A312,'Daftar Koreksi'!$G$5:$G$92,"Jalan Irigasi Jaringan",'Daftar Koreksi'!$I$5:$I$92,"&lt;0")-SUMIFS('Daftar Koreksi'!$I$5:$I$92,'Daftar Koreksi'!$D$5:$D$92,'1900'!A312,'Daftar Koreksi'!$G$5:$G$92,"Jalan Irigasi Jaringan",'Daftar Koreksi'!$I$5:$I$92,"&lt;0")</f>
        <v>0</v>
      </c>
      <c r="G327" s="17">
        <f t="shared" si="14"/>
        <v>-2250000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Koreksi'!$D$5:$D$92,'1900'!A312,'Daftar Koreksi'!$G$5:$G$92,"Aset Tetap Lainnya",'Daftar Koreksi'!$I$5:$I$92,"&gt;0")</f>
        <v>0</v>
      </c>
      <c r="F328" s="25">
        <f>SUMIFS('Daftar Koreksi'!$I$5:$I$92,'Daftar Koreksi'!$D$5:$D$92,'1900'!A312,'Daftar Koreksi'!$G$5:$G$92,"Aset Tetap Lainnya",'Daftar Koreksi'!$I$5:$I$92,"&lt;0")-SUMIFS('Daftar Koreksi'!$I$5:$I$92,'Daftar Koreksi'!$D$5:$D$92,'1900'!A312,'Daftar Koreksi'!$G$5:$G$92,"Aset Tetap Lainnya",'Daftar Koreksi'!$I$5:$I$92,"&lt;0")-SUMIFS('Daftar Koreksi'!$I$5:$I$92,'Daftar Koreksi'!$D$5:$D$92,'1900'!A312,'Daftar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-250723200</v>
      </c>
      <c r="E329" s="25">
        <f>SUMIFS('Daftar Koreksi'!$I$5:$I$92,'Daftar Koreksi'!$D$5:$D$92,'1900'!A312,'Daftar Koreksi'!$G$5:$G$92,"Aset Henti Guna",'Daftar Koreksi'!$I$5:$I$92,"&gt;0")</f>
        <v>0</v>
      </c>
      <c r="F329" s="25">
        <f>SUMIFS('Daftar Koreksi'!$I$5:$I$92,'Daftar Koreksi'!$D$5:$D$92,'1900'!A312,'Daftar Koreksi'!$G$5:$G$92,"Aset Henti Guna",'Daftar Koreksi'!$I$5:$I$92,"&lt;0")-SUMIFS('Daftar Koreksi'!$I$5:$I$92,'Daftar Koreksi'!$D$5:$D$92,'1900'!A312,'Daftar Koreksi'!$G$5:$G$92,"Aset Henti Guna",'Daftar Koreksi'!$I$5:$I$92,"&lt;0")-SUMIFS('Daftar Koreksi'!$I$5:$I$92,'Daftar Koreksi'!$D$5:$D$92,'1900'!A312,'Daftar Koreksi'!$G$5:$G$92,"Aset Henti Guna",'Daftar Koreksi'!$I$5:$I$92,"&lt;0")</f>
        <v>0</v>
      </c>
      <c r="G329" s="17">
        <f t="shared" si="14"/>
        <v>-250723200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-3407734926</v>
      </c>
      <c r="E330" s="19">
        <f>SUM(E325:E329)</f>
        <v>0</v>
      </c>
      <c r="F330" s="19">
        <f>SUM(F325:F329)</f>
        <v>0</v>
      </c>
      <c r="G330" s="19">
        <f t="shared" si="14"/>
        <v>-3407734926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13978499539</v>
      </c>
      <c r="E331" s="19">
        <f>E330+E324</f>
        <v>0</v>
      </c>
      <c r="F331" s="19">
        <f>F330+F324</f>
        <v>0</v>
      </c>
      <c r="G331" s="19">
        <f t="shared" si="14"/>
        <v>13978499539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005011900099560000KD</v>
      </c>
      <c r="B334" s="11" t="str">
        <f>P16</f>
        <v>PN. Bantaeng</v>
      </c>
      <c r="C334" s="12" t="str">
        <f>A334&amp;" "&amp;B334</f>
        <v>005011900099560000KD PN. Bantaeng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56664</v>
      </c>
      <c r="E337" s="25">
        <f>SUMIFS('Daftar Koreksi'!$H$5:$H$92,'Daftar Koreksi'!$D$5:$D$92,'1900'!A334,'Daftar Koreksi'!$G$5:$G$92,"Persediaan",'Daftar Koreksi'!$H$5:$H$92,"&gt;0")</f>
        <v>0</v>
      </c>
      <c r="F337" s="25">
        <f>SUMIFS('Daftar Koreksi'!$H$5:$H$92,'Daftar Koreksi'!$D$5:$D$92,'1900'!A334,'Daftar Koreksi'!$G$5:$G$92,"Persediaan",'Daftar Koreksi'!$H$5:$H$92,"&lt;0")-SUMIFS('Daftar Koreksi'!$H$5:$H$92,'Daftar Koreksi'!$D$5:$D$92,'1900'!A334,'Daftar Koreksi'!$G$5:$G$92,"Persediaan",'Daftar Koreksi'!$H$5:$H$92,"&lt;0")-SUMIFS('Daftar Koreksi'!$H$5:$H$92,'Daftar Koreksi'!$D$5:$D$92,'1900'!A334,'Daftar Koreksi'!$G$5:$G$92,"Persediaan",'Daftar Koreksi'!$H$5:$H$92,"&lt;0")</f>
        <v>0</v>
      </c>
      <c r="G337" s="17">
        <f>D337+E337-F337</f>
        <v>56664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2059942700</v>
      </c>
      <c r="E338" s="25">
        <f>SUMIFS('Daftar Koreksi'!$H$5:$H$92,'Daftar Koreksi'!$D$5:$D$92,'1900'!A334,'Daftar Koreksi'!$G$5:$G$92,"Tanah",'Daftar Koreksi'!$H$5:$H$92,"&gt;0")</f>
        <v>0</v>
      </c>
      <c r="F338" s="25">
        <f>SUMIFS('Daftar Koreksi'!$H$5:$H$92,'Daftar Koreksi'!$D$5:$D$92,'1900'!A334,'Daftar Koreksi'!$G$5:$G$92,"Tanah",'Daftar Koreksi'!$H$5:$H$92,"&lt;0")-SUMIFS('Daftar Koreksi'!$H$5:$H$92,'Daftar Koreksi'!$D$5:$D$92,'1900'!A334,'Daftar Koreksi'!$G$5:$G$92,"Tanah",'Daftar Koreksi'!$H$5:$H$92,"&lt;0")-SUMIFS('Daftar Koreksi'!$H$5:$H$92,'Daftar Koreksi'!$D$5:$D$92,'1900'!A334,'Daftar Koreksi'!$G$5:$G$92,"Tanah",'Daftar Koreksi'!$H$5:$H$92,"&lt;0")</f>
        <v>0</v>
      </c>
      <c r="G338" s="17">
        <f t="shared" ref="G338:G354" si="15">D338+E338-F338</f>
        <v>2059942700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1746007054</v>
      </c>
      <c r="E339" s="25">
        <f>SUMIFS('Daftar Koreksi'!$H$5:$H$92,'Daftar Koreksi'!$D$5:$D$92,'1900'!A334,'Daftar Koreksi'!$G$5:$G$92,"Peralatan dan mesin",'Daftar Koreksi'!$H$5:$H$92,"&gt;0")</f>
        <v>0</v>
      </c>
      <c r="F339" s="25">
        <f>SUMIFS('Daftar Koreksi'!$H$5:$H$92,'Daftar Koreksi'!$D$5:$D$92,'1900'!A334,'Daftar Koreksi'!$G$5:$G$92,"Peralatan dan mesin",'Daftar Koreksi'!$H$5:$H$92,"&lt;0")-SUMIFS('Daftar Koreksi'!$H$5:$H$92,'Daftar Koreksi'!$D$5:$D$92,'1900'!A334,'Daftar Koreksi'!$G$5:$G$92,"Peralatan dan mesin",'Daftar Koreksi'!$H$5:$H$92,"&lt;0")-SUMIFS('Daftar Koreksi'!$H$5:$H$92,'Daftar Koreksi'!$D$5:$D$92,'1900'!A334,'Daftar Koreksi'!$G$5:$G$92,"Peralatan dan mesin",'Daftar Koreksi'!$H$5:$H$92,"&lt;0")</f>
        <v>0</v>
      </c>
      <c r="G339" s="17">
        <f t="shared" si="15"/>
        <v>1746007054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2644017400</v>
      </c>
      <c r="E340" s="25">
        <f>SUMIFS('Daftar Koreksi'!$H$5:$H$92,'Daftar Koreksi'!$D$5:$D$92,'1900'!A334,'Daftar Koreksi'!$G$5:$G$92,"Gedung dan Bangunan",'Daftar Koreksi'!$H$5:$H$92,"&gt;0")</f>
        <v>0</v>
      </c>
      <c r="F340" s="25">
        <f>SUMIFS('Daftar Koreksi'!$H$5:$H$92,'Daftar Koreksi'!$D$5:$D$92,'1900'!A334,'Daftar Koreksi'!$G$5:$G$92,"Gedung dan Bangunan",'Daftar Koreksi'!$H$5:$H$92,"&lt;0")-SUMIFS('Daftar Koreksi'!$H$5:$H$92,'Daftar Koreksi'!$D$5:$D$92,'1900'!A334,'Daftar Koreksi'!$G$5:$G$92,"Gedung dan Bangunan",'Daftar Koreksi'!$H$5:$H$92,"&lt;0")-SUMIFS('Daftar Koreksi'!$H$5:$H$92,'Daftar Koreksi'!$D$5:$D$92,'1900'!A334,'Daftar Koreksi'!$G$5:$G$92,"Gedung dan Bangunan",'Daftar Koreksi'!$H$5:$H$92,"&lt;0")</f>
        <v>0</v>
      </c>
      <c r="G340" s="17">
        <f t="shared" si="15"/>
        <v>2644017400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Koreksi'!$D$5:$D$92,'1900'!A334,'Daftar Koreksi'!$G$5:$G$92,"Jalan Irigasi Jaringan",'Daftar Koreksi'!$H$5:$H$92,"&gt;0")</f>
        <v>0</v>
      </c>
      <c r="F341" s="25">
        <f>SUMIFS('Daftar Koreksi'!$H$5:$H$92,'Daftar Koreksi'!$D$5:$D$92,'1900'!A334,'Daftar Koreksi'!$G$5:$G$92,"Jalan Irigasi Jaringan",'Daftar Koreksi'!$H$5:$H$92,"&lt;0")-SUMIFS('Daftar Koreksi'!$H$5:$H$92,'Daftar Koreksi'!$D$5:$D$92,'1900'!A334,'Daftar Koreksi'!$G$5:$G$92,"Jalan Irigasi Jaringan",'Daftar Koreksi'!$H$5:$H$92,"&lt;0")-SUMIFS('Daftar Koreksi'!$H$5:$H$92,'Daftar Koreksi'!$D$5:$D$92,'1900'!A334,'Daftar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37673440</v>
      </c>
      <c r="E342" s="25">
        <f>SUMIFS('Daftar Koreksi'!$H$5:$H$92,'Daftar Koreksi'!$D$5:$D$92,'1900'!A334,'Daftar Koreksi'!$G$5:$G$92,"Aset Tetap Lainnya",'Daftar Koreksi'!$H$5:$H$92,"&gt;0")</f>
        <v>0</v>
      </c>
      <c r="F342" s="25">
        <f>SUMIFS('Daftar Koreksi'!$H$5:$H$92,'Daftar Koreksi'!$D$5:$D$92,'1900'!A334,'Daftar Koreksi'!$G$5:$G$92,"Aset Tetap Lainnya",'Daftar Koreksi'!$H$5:$H$92,"&lt;0")-SUMIFS('Daftar Koreksi'!$H$5:$H$92,'Daftar Koreksi'!$D$5:$D$92,'1900'!A334,'Daftar Koreksi'!$G$5:$G$92,"Aset Tetap Lainnya",'Daftar Koreksi'!$H$5:$H$92,"&lt;0")-SUMIFS('Daftar Koreksi'!$H$5:$H$92,'Daftar Koreksi'!$D$5:$D$92,'1900'!A334,'Daftar Koreksi'!$G$5:$G$92,"Aset Tetap Lainnya",'Daftar Koreksi'!$H$5:$H$92,"&lt;0")</f>
        <v>0</v>
      </c>
      <c r="G342" s="17">
        <f t="shared" si="15"/>
        <v>37673440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Koreksi'!$D$5:$D$92,'1900'!A334,'Daftar Koreksi'!$G$5:$G$92,"Kontruksi Dalam Pengerjaan",'Daftar Koreksi'!$H$5:$H$92,"&gt;0")</f>
        <v>0</v>
      </c>
      <c r="F343" s="25">
        <f>SUMIFS('Daftar Koreksi'!$H$5:$H$92,'Daftar Koreksi'!$D$5:$D$92,'1900'!A334,'Daftar Koreksi'!$G$5:$G$92,"Kontruksi Dalam Pengerjaan",'Daftar Koreksi'!$H$5:$H$92,"&lt;0")-SUMIFS('Daftar Koreksi'!$H$5:$H$92,'Daftar Koreksi'!$D$5:$D$92,'1900'!A334,'Daftar Koreksi'!$G$5:$G$92,"Kontruksi Dalam Pengerjaan",'Daftar Koreksi'!$H$5:$H$92,"&lt;0")-SUMIFS('Daftar Koreksi'!$H$5:$H$92,'Daftar Koreksi'!$D$5:$D$92,'1900'!A334,'Daftar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24349000</v>
      </c>
      <c r="E344" s="25">
        <f>SUMIFS('Daftar Koreksi'!$H$5:$H$92,'Daftar Koreksi'!$D$5:$D$92,'1900'!A334,'Daftar Koreksi'!$G$5:$G$92,"Aset Tak Berwujud",'Daftar Koreksi'!$H$5:$H$92,"&gt;0")</f>
        <v>0</v>
      </c>
      <c r="F344" s="25">
        <f>SUMIFS('Daftar Koreksi'!$H$5:$H$92,'Daftar Koreksi'!$D$5:$D$92,'1900'!A334,'Daftar Koreksi'!$G$5:$G$92,"Aset Tak Berwujud",'Daftar Koreksi'!$H$5:$H$92,"&lt;0")-SUMIFS('Daftar Koreksi'!$H$5:$H$92,'Daftar Koreksi'!$D$5:$D$92,'1900'!A334,'Daftar Koreksi'!$G$5:$G$92,"Aset Tak Berwujud",'Daftar Koreksi'!$H$5:$H$92,"&lt;0")-SUMIFS('Daftar Koreksi'!$H$5:$H$92,'Daftar Koreksi'!$D$5:$D$92,'1900'!A334,'Daftar Koreksi'!$G$5:$G$92,"Aset Tak Berwujud",'Daftar Koreksi'!$H$5:$H$92,"&lt;0")</f>
        <v>0</v>
      </c>
      <c r="G344" s="17">
        <f t="shared" si="15"/>
        <v>24349000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Koreksi'!$D$5:$D$92,'1900'!A334,'Daftar Koreksi'!$G$5:$G$92,"Aset Henti Guna",'Daftar Koreksi'!$H$5:$H$92,"&gt;0")</f>
        <v>0</v>
      </c>
      <c r="F345" s="25">
        <f>SUMIFS('Daftar Koreksi'!$H$5:$H$92,'Daftar Koreksi'!$D$5:$D$92,'1900'!A334,'Daftar Koreksi'!$G$5:$G$92,"Aset Henti Guna",'Daftar Koreksi'!$H$5:$H$92,"&lt;0")-SUMIFS('Daftar Koreksi'!$H$5:$H$92,'Daftar Koreksi'!$D$5:$D$92,'1900'!A334,'Daftar Koreksi'!$G$5:$G$92,"Aset Henti Guna",'Daftar Koreksi'!$H$5:$H$92,"&lt;0")-SUMIFS('Daftar Koreksi'!$H$5:$H$92,'Daftar Koreksi'!$D$5:$D$92,'1900'!A334,'Daftar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6512046258</v>
      </c>
      <c r="E346" s="19">
        <f>SUM(E337:E345)</f>
        <v>0</v>
      </c>
      <c r="F346" s="19">
        <f>SUM(F337:F345)</f>
        <v>0</v>
      </c>
      <c r="G346" s="19">
        <f t="shared" si="15"/>
        <v>6512046258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-1575454041</v>
      </c>
      <c r="E347" s="25">
        <f>SUMIFS('Daftar Koreksi'!$I$5:$I$92,'Daftar Koreksi'!$D$5:$D$92,'1900'!A334,'Daftar Koreksi'!$G$5:$G$92,"Peralatan dan mesin",'Daftar Koreksi'!$I$5:$I$92,"&gt;0")</f>
        <v>0</v>
      </c>
      <c r="F347" s="25">
        <f>SUMIFS('Daftar Koreksi'!$I$5:$I$92,'Daftar Koreksi'!$D$5:$D$92,'1900'!A334,'Daftar Koreksi'!$G$5:$G$92,"Peralatan dan mesin",'Daftar Koreksi'!$I$5:$I$92,"&lt;0")-SUMIFS('Daftar Koreksi'!$I$5:$I$92,'Daftar Koreksi'!$D$5:$D$92,'1900'!A334,'Daftar Koreksi'!$G$5:$G$92,"Peralatan dan mesin",'Daftar Koreksi'!$I$5:$I$92,"&lt;0")-SUMIFS('Daftar Koreksi'!$I$5:$I$92,'Daftar Koreksi'!$D$5:$D$92,'1900'!A334,'Daftar Koreksi'!$G$5:$G$92,"Peralatan dan mesin",'Daftar Koreksi'!$I$5:$I$92,"&lt;0")</f>
        <v>0</v>
      </c>
      <c r="G347" s="17">
        <f t="shared" si="15"/>
        <v>-1575454041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-1486009720</v>
      </c>
      <c r="E348" s="25">
        <f>SUMIFS('Daftar Koreksi'!$I$5:$I$92,'Daftar Koreksi'!$D$5:$D$92,'1900'!A334,'Daftar Koreksi'!$G$5:$G$92,"Gedung dan Bangunan",'Daftar Koreksi'!$I$5:$I$92,"&gt;0")</f>
        <v>0</v>
      </c>
      <c r="F348" s="25">
        <f>SUMIFS('Daftar Koreksi'!$I$5:$I$92,'Daftar Koreksi'!$D$5:$D$92,'1900'!A334,'Daftar Koreksi'!$G$5:$G$92,"Gedung dan Bangunan",'Daftar Koreksi'!$I$5:$I$92,"&lt;0")-SUMIFS('Daftar Koreksi'!$I$5:$I$92,'Daftar Koreksi'!$D$5:$D$92,'1900'!A334,'Daftar Koreksi'!$G$5:$G$92,"Gedung dan Bangunan",'Daftar Koreksi'!$I$5:$I$92,"&lt;0")-SUMIFS('Daftar Koreksi'!$I$5:$I$92,'Daftar Koreksi'!$D$5:$D$92,'1900'!A334,'Daftar Koreksi'!$G$5:$G$92,"Gedung dan Bangunan",'Daftar Koreksi'!$I$5:$I$92,"&lt;0")</f>
        <v>0</v>
      </c>
      <c r="G348" s="17">
        <f t="shared" si="15"/>
        <v>-1486009720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Koreksi'!$D$5:$D$92,'1900'!A334,'Daftar Koreksi'!$G$5:$G$92,"Jalan Irigasi Jaringan",'Daftar Koreksi'!$I$5:$I$92,"&gt;0")</f>
        <v>0</v>
      </c>
      <c r="F349" s="25">
        <f>SUMIFS('Daftar Koreksi'!$I$5:$I$92,'Daftar Koreksi'!$D$5:$D$92,'1900'!A334,'Daftar Koreksi'!$G$5:$G$92,"Jalan Irigasi Jaringan",'Daftar Koreksi'!$I$5:$I$92,"&lt;0")-SUMIFS('Daftar Koreksi'!$I$5:$I$92,'Daftar Koreksi'!$D$5:$D$92,'1900'!A334,'Daftar Koreksi'!$G$5:$G$92,"Jalan Irigasi Jaringan",'Daftar Koreksi'!$I$5:$I$92,"&lt;0")-SUMIFS('Daftar Koreksi'!$I$5:$I$92,'Daftar Koreksi'!$D$5:$D$92,'1900'!A334,'Daftar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Koreksi'!$D$5:$D$92,'1900'!A334,'Daftar Koreksi'!$G$5:$G$92,"Aset Tetap Lainnya",'Daftar Koreksi'!$I$5:$I$92,"&gt;0")</f>
        <v>0</v>
      </c>
      <c r="F350" s="25">
        <f>SUMIFS('Daftar Koreksi'!$I$5:$I$92,'Daftar Koreksi'!$D$5:$D$92,'1900'!A334,'Daftar Koreksi'!$G$5:$G$92,"Aset Tetap Lainnya",'Daftar Koreksi'!$I$5:$I$92,"&lt;0")-SUMIFS('Daftar Koreksi'!$I$5:$I$92,'Daftar Koreksi'!$D$5:$D$92,'1900'!A334,'Daftar Koreksi'!$G$5:$G$92,"Aset Tetap Lainnya",'Daftar Koreksi'!$I$5:$I$92,"&lt;0")-SUMIFS('Daftar Koreksi'!$I$5:$I$92,'Daftar Koreksi'!$D$5:$D$92,'1900'!A334,'Daftar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Koreksi'!$D$5:$D$92,'1900'!A334,'Daftar Koreksi'!$G$5:$G$92,"Aset Henti Guna",'Daftar Koreksi'!$I$5:$I$92,"&gt;0")</f>
        <v>0</v>
      </c>
      <c r="F351" s="25">
        <f>SUMIFS('Daftar Koreksi'!$I$5:$I$92,'Daftar Koreksi'!$D$5:$D$92,'1900'!A334,'Daftar Koreksi'!$G$5:$G$92,"Aset Henti Guna",'Daftar Koreksi'!$I$5:$I$92,"&lt;0")-SUMIFS('Daftar Koreksi'!$I$5:$I$92,'Daftar Koreksi'!$D$5:$D$92,'1900'!A334,'Daftar Koreksi'!$G$5:$G$92,"Aset Henti Guna",'Daftar Koreksi'!$I$5:$I$92,"&lt;0")-SUMIFS('Daftar Koreksi'!$I$5:$I$92,'Daftar Koreksi'!$D$5:$D$92,'1900'!A334,'Daftar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-3061463761</v>
      </c>
      <c r="E352" s="19">
        <f>SUM(E347:E351)</f>
        <v>0</v>
      </c>
      <c r="F352" s="19">
        <f>SUM(F347:F351)</f>
        <v>0</v>
      </c>
      <c r="G352" s="19">
        <f t="shared" si="15"/>
        <v>-3061463761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3450582497</v>
      </c>
      <c r="E353" s="19">
        <f>E352+E346</f>
        <v>0</v>
      </c>
      <c r="F353" s="19">
        <f>F352+F346</f>
        <v>0</v>
      </c>
      <c r="G353" s="19">
        <f t="shared" si="15"/>
        <v>3450582497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005011900099574000KD</v>
      </c>
      <c r="B356" s="11" t="str">
        <f>P17</f>
        <v>PN. Sinjai</v>
      </c>
      <c r="C356" s="12" t="str">
        <f>A356&amp;" "&amp;B356</f>
        <v>005011900099574000KD PN. Sinjai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729000</v>
      </c>
      <c r="E359" s="25">
        <f>SUMIFS('Daftar Koreksi'!$H$5:$H$92,'Daftar Koreksi'!$D$5:$D$92,'1900'!A356,'Daftar Koreksi'!$G$5:$G$92,"Persediaan",'Daftar Koreksi'!$H$5:$H$92,"&gt;0")</f>
        <v>0</v>
      </c>
      <c r="F359" s="25">
        <f>SUMIFS('Daftar Koreksi'!$H$5:$H$92,'Daftar Koreksi'!$D$5:$D$92,'1900'!A356,'Daftar Koreksi'!$G$5:$G$92,"Persediaan",'Daftar Koreksi'!$H$5:$H$92,"&lt;0")-SUMIFS('Daftar Koreksi'!$H$5:$H$92,'Daftar Koreksi'!$D$5:$D$92,'1900'!A356,'Daftar Koreksi'!$G$5:$G$92,"Persediaan",'Daftar Koreksi'!$H$5:$H$92,"&lt;0")-SUMIFS('Daftar Koreksi'!$H$5:$H$92,'Daftar Koreksi'!$D$5:$D$92,'1900'!A356,'Daftar Koreksi'!$G$5:$G$92,"Persediaan",'Daftar Koreksi'!$H$5:$H$92,"&lt;0")</f>
        <v>0</v>
      </c>
      <c r="G359" s="17">
        <f>D359+E359-F359</f>
        <v>729000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1860120000</v>
      </c>
      <c r="E360" s="25">
        <f>SUMIFS('Daftar Koreksi'!$H$5:$H$92,'Daftar Koreksi'!$D$5:$D$92,'1900'!A356,'Daftar Koreksi'!$G$5:$G$92,"Tanah",'Daftar Koreksi'!$H$5:$H$92,"&gt;0")</f>
        <v>0</v>
      </c>
      <c r="F360" s="25">
        <f>SUMIFS('Daftar Koreksi'!$H$5:$H$92,'Daftar Koreksi'!$D$5:$D$92,'1900'!A356,'Daftar Koreksi'!$G$5:$G$92,"Tanah",'Daftar Koreksi'!$H$5:$H$92,"&lt;0")-SUMIFS('Daftar Koreksi'!$H$5:$H$92,'Daftar Koreksi'!$D$5:$D$92,'1900'!A356,'Daftar Koreksi'!$G$5:$G$92,"Tanah",'Daftar Koreksi'!$H$5:$H$92,"&lt;0")-SUMIFS('Daftar Koreksi'!$H$5:$H$92,'Daftar Koreksi'!$D$5:$D$92,'1900'!A356,'Daftar Koreksi'!$G$5:$G$92,"Tanah",'Daftar Koreksi'!$H$5:$H$92,"&lt;0")</f>
        <v>0</v>
      </c>
      <c r="G360" s="17">
        <f t="shared" ref="G360:G376" si="16">D360+E360-F360</f>
        <v>1860120000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1855881787</v>
      </c>
      <c r="E361" s="25">
        <f>SUMIFS('Daftar Koreksi'!$H$5:$H$92,'Daftar Koreksi'!$D$5:$D$92,'1900'!A356,'Daftar Koreksi'!$G$5:$G$92,"Peralatan dan mesin",'Daftar Koreksi'!$H$5:$H$92,"&gt;0")</f>
        <v>0</v>
      </c>
      <c r="F361" s="25">
        <f>SUMIFS('Daftar Koreksi'!$H$5:$H$92,'Daftar Koreksi'!$D$5:$D$92,'1900'!A356,'Daftar Koreksi'!$G$5:$G$92,"Peralatan dan mesin",'Daftar Koreksi'!$H$5:$H$92,"&lt;0")-SUMIFS('Daftar Koreksi'!$H$5:$H$92,'Daftar Koreksi'!$D$5:$D$92,'1900'!A356,'Daftar Koreksi'!$G$5:$G$92,"Peralatan dan mesin",'Daftar Koreksi'!$H$5:$H$92,"&lt;0")-SUMIFS('Daftar Koreksi'!$H$5:$H$92,'Daftar Koreksi'!$D$5:$D$92,'1900'!A356,'Daftar Koreksi'!$G$5:$G$92,"Peralatan dan mesin",'Daftar Koreksi'!$H$5:$H$92,"&lt;0")</f>
        <v>0</v>
      </c>
      <c r="G361" s="17">
        <f t="shared" si="16"/>
        <v>1855881787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11387891929</v>
      </c>
      <c r="E362" s="25">
        <f>SUMIFS('Daftar Koreksi'!$H$5:$H$92,'Daftar Koreksi'!$D$5:$D$92,'1900'!A356,'Daftar Koreksi'!$G$5:$G$92,"Gedung dan Bangunan",'Daftar Koreksi'!$H$5:$H$92,"&gt;0")</f>
        <v>0</v>
      </c>
      <c r="F362" s="25">
        <f>SUMIFS('Daftar Koreksi'!$H$5:$H$92,'Daftar Koreksi'!$D$5:$D$92,'1900'!A356,'Daftar Koreksi'!$G$5:$G$92,"Gedung dan Bangunan",'Daftar Koreksi'!$H$5:$H$92,"&lt;0")-SUMIFS('Daftar Koreksi'!$H$5:$H$92,'Daftar Koreksi'!$D$5:$D$92,'1900'!A356,'Daftar Koreksi'!$G$5:$G$92,"Gedung dan Bangunan",'Daftar Koreksi'!$H$5:$H$92,"&lt;0")-SUMIFS('Daftar Koreksi'!$H$5:$H$92,'Daftar Koreksi'!$D$5:$D$92,'1900'!A356,'Daftar Koreksi'!$G$5:$G$92,"Gedung dan Bangunan",'Daftar Koreksi'!$H$5:$H$92,"&lt;0")</f>
        <v>0</v>
      </c>
      <c r="G362" s="17">
        <f t="shared" si="16"/>
        <v>11387891929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75475000</v>
      </c>
      <c r="E363" s="25">
        <f>SUMIFS('Daftar Koreksi'!$H$5:$H$92,'Daftar Koreksi'!$D$5:$D$92,'1900'!A356,'Daftar Koreksi'!$G$5:$G$92,"Jalan Irigasi Jaringan",'Daftar Koreksi'!$H$5:$H$92,"&gt;0")</f>
        <v>0</v>
      </c>
      <c r="F363" s="25">
        <f>SUMIFS('Daftar Koreksi'!$H$5:$H$92,'Daftar Koreksi'!$D$5:$D$92,'1900'!A356,'Daftar Koreksi'!$G$5:$G$92,"Jalan Irigasi Jaringan",'Daftar Koreksi'!$H$5:$H$92,"&lt;0")-SUMIFS('Daftar Koreksi'!$H$5:$H$92,'Daftar Koreksi'!$D$5:$D$92,'1900'!A356,'Daftar Koreksi'!$G$5:$G$92,"Jalan Irigasi Jaringan",'Daftar Koreksi'!$H$5:$H$92,"&lt;0")-SUMIFS('Daftar Koreksi'!$H$5:$H$92,'Daftar Koreksi'!$D$5:$D$92,'1900'!A356,'Daftar Koreksi'!$G$5:$G$92,"Jalan Irigasi Jaringan",'Daftar Koreksi'!$H$5:$H$92,"&lt;0")</f>
        <v>0</v>
      </c>
      <c r="G363" s="17">
        <f t="shared" si="16"/>
        <v>75475000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44573440</v>
      </c>
      <c r="E364" s="25">
        <f>SUMIFS('Daftar Koreksi'!$H$5:$H$92,'Daftar Koreksi'!$D$5:$D$92,'1900'!A356,'Daftar Koreksi'!$G$5:$G$92,"Aset Tetap Lainnya",'Daftar Koreksi'!$H$5:$H$92,"&gt;0")</f>
        <v>0</v>
      </c>
      <c r="F364" s="25">
        <f>SUMIFS('Daftar Koreksi'!$H$5:$H$92,'Daftar Koreksi'!$D$5:$D$92,'1900'!A356,'Daftar Koreksi'!$G$5:$G$92,"Aset Tetap Lainnya",'Daftar Koreksi'!$H$5:$H$92,"&lt;0")-SUMIFS('Daftar Koreksi'!$H$5:$H$92,'Daftar Koreksi'!$D$5:$D$92,'1900'!A356,'Daftar Koreksi'!$G$5:$G$92,"Aset Tetap Lainnya",'Daftar Koreksi'!$H$5:$H$92,"&lt;0")-SUMIFS('Daftar Koreksi'!$H$5:$H$92,'Daftar Koreksi'!$D$5:$D$92,'1900'!A356,'Daftar Koreksi'!$G$5:$G$92,"Aset Tetap Lainnya",'Daftar Koreksi'!$H$5:$H$92,"&lt;0")</f>
        <v>0</v>
      </c>
      <c r="G364" s="17">
        <f t="shared" si="16"/>
        <v>44573440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303351603</v>
      </c>
      <c r="E365" s="25">
        <f>SUMIFS('Daftar Koreksi'!$H$5:$H$92,'Daftar Koreksi'!$D$5:$D$92,'1900'!A356,'Daftar Koreksi'!$G$5:$G$92,"Kontruksi Dalam Pengerjaan",'Daftar Koreksi'!$H$5:$H$92,"&gt;0")</f>
        <v>0</v>
      </c>
      <c r="F365" s="25">
        <f>SUMIFS('Daftar Koreksi'!$H$5:$H$92,'Daftar Koreksi'!$D$5:$D$92,'1900'!A356,'Daftar Koreksi'!$G$5:$G$92,"Kontruksi Dalam Pengerjaan",'Daftar Koreksi'!$H$5:$H$92,"&lt;0")-SUMIFS('Daftar Koreksi'!$H$5:$H$92,'Daftar Koreksi'!$D$5:$D$92,'1900'!A356,'Daftar Koreksi'!$G$5:$G$92,"Kontruksi Dalam Pengerjaan",'Daftar Koreksi'!$H$5:$H$92,"&lt;0")-SUMIFS('Daftar Koreksi'!$H$5:$H$92,'Daftar Koreksi'!$D$5:$D$92,'1900'!A356,'Daftar Koreksi'!$G$5:$G$92,"Kontruksi Dalam Pengerjaan",'Daftar Koreksi'!$H$5:$H$92,"&lt;0")</f>
        <v>0</v>
      </c>
      <c r="G365" s="17">
        <f t="shared" si="16"/>
        <v>303351603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41774000</v>
      </c>
      <c r="E366" s="25">
        <f>SUMIFS('Daftar Koreksi'!$H$5:$H$92,'Daftar Koreksi'!$D$5:$D$92,'1900'!A356,'Daftar Koreksi'!$G$5:$G$92,"Aset Tak Berwujud",'Daftar Koreksi'!$H$5:$H$92,"&gt;0")</f>
        <v>0</v>
      </c>
      <c r="F366" s="25">
        <f>SUMIFS('Daftar Koreksi'!$H$5:$H$92,'Daftar Koreksi'!$D$5:$D$92,'1900'!A356,'Daftar Koreksi'!$G$5:$G$92,"Aset Tak Berwujud",'Daftar Koreksi'!$H$5:$H$92,"&lt;0")-SUMIFS('Daftar Koreksi'!$H$5:$H$92,'Daftar Koreksi'!$D$5:$D$92,'1900'!A356,'Daftar Koreksi'!$G$5:$G$92,"Aset Tak Berwujud",'Daftar Koreksi'!$H$5:$H$92,"&lt;0")-SUMIFS('Daftar Koreksi'!$H$5:$H$92,'Daftar Koreksi'!$D$5:$D$92,'1900'!A356,'Daftar Koreksi'!$G$5:$G$92,"Aset Tak Berwujud",'Daftar Koreksi'!$H$5:$H$92,"&lt;0")</f>
        <v>0</v>
      </c>
      <c r="G366" s="17">
        <f t="shared" si="16"/>
        <v>41774000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Koreksi'!$D$5:$D$92,'1900'!A356,'Daftar Koreksi'!$G$5:$G$92,"Aset Henti Guna",'Daftar Koreksi'!$H$5:$H$92,"&gt;0")</f>
        <v>0</v>
      </c>
      <c r="F367" s="25">
        <f>SUMIFS('Daftar Koreksi'!$H$5:$H$92,'Daftar Koreksi'!$D$5:$D$92,'1900'!A356,'Daftar Koreksi'!$G$5:$G$92,"Aset Henti Guna",'Daftar Koreksi'!$H$5:$H$92,"&lt;0")-SUMIFS('Daftar Koreksi'!$H$5:$H$92,'Daftar Koreksi'!$D$5:$D$92,'1900'!A356,'Daftar Koreksi'!$G$5:$G$92,"Aset Henti Guna",'Daftar Koreksi'!$H$5:$H$92,"&lt;0")-SUMIFS('Daftar Koreksi'!$H$5:$H$92,'Daftar Koreksi'!$D$5:$D$92,'1900'!A356,'Daftar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15569796759</v>
      </c>
      <c r="E368" s="19">
        <f>SUM(E359:E367)</f>
        <v>0</v>
      </c>
      <c r="F368" s="19">
        <f>SUM(F359:F367)</f>
        <v>0</v>
      </c>
      <c r="G368" s="19">
        <f t="shared" si="16"/>
        <v>15569796759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-1586649954</v>
      </c>
      <c r="E369" s="25">
        <f>SUMIFS('Daftar Koreksi'!$I$5:$I$92,'Daftar Koreksi'!$D$5:$D$92,'1900'!A356,'Daftar Koreksi'!$G$5:$G$92,"Peralatan dan mesin",'Daftar Koreksi'!$I$5:$I$92,"&gt;0")</f>
        <v>0</v>
      </c>
      <c r="F369" s="25">
        <f>SUMIFS('Daftar Koreksi'!$I$5:$I$92,'Daftar Koreksi'!$D$5:$D$92,'1900'!A356,'Daftar Koreksi'!$G$5:$G$92,"Peralatan dan mesin",'Daftar Koreksi'!$I$5:$I$92,"&lt;0")-SUMIFS('Daftar Koreksi'!$I$5:$I$92,'Daftar Koreksi'!$D$5:$D$92,'1900'!A356,'Daftar Koreksi'!$G$5:$G$92,"Peralatan dan mesin",'Daftar Koreksi'!$I$5:$I$92,"&lt;0")-SUMIFS('Daftar Koreksi'!$I$5:$I$92,'Daftar Koreksi'!$D$5:$D$92,'1900'!A356,'Daftar Koreksi'!$G$5:$G$92,"Peralatan dan mesin",'Daftar Koreksi'!$I$5:$I$92,"&lt;0")</f>
        <v>0</v>
      </c>
      <c r="G369" s="17">
        <f t="shared" si="16"/>
        <v>-1586649954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-1056489653</v>
      </c>
      <c r="E370" s="25">
        <f>SUMIFS('Daftar Koreksi'!$I$5:$I$92,'Daftar Koreksi'!$D$5:$D$92,'1900'!A356,'Daftar Koreksi'!$G$5:$G$92,"Gedung dan Bangunan",'Daftar Koreksi'!$I$5:$I$92,"&gt;0")</f>
        <v>0</v>
      </c>
      <c r="F370" s="25">
        <f>SUMIFS('Daftar Koreksi'!$I$5:$I$92,'Daftar Koreksi'!$D$5:$D$92,'1900'!A356,'Daftar Koreksi'!$G$5:$G$92,"Gedung dan Bangunan",'Daftar Koreksi'!$I$5:$I$92,"&lt;0")-SUMIFS('Daftar Koreksi'!$I$5:$I$92,'Daftar Koreksi'!$D$5:$D$92,'1900'!A356,'Daftar Koreksi'!$G$5:$G$92,"Gedung dan Bangunan",'Daftar Koreksi'!$I$5:$I$92,"&lt;0")-SUMIFS('Daftar Koreksi'!$I$5:$I$92,'Daftar Koreksi'!$D$5:$D$92,'1900'!A356,'Daftar Koreksi'!$G$5:$G$92,"Gedung dan Bangunan",'Daftar Koreksi'!$I$5:$I$92,"&lt;0")</f>
        <v>0</v>
      </c>
      <c r="G370" s="17">
        <f t="shared" si="16"/>
        <v>-1056489653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-56480693</v>
      </c>
      <c r="E371" s="25">
        <f>SUMIFS('Daftar Koreksi'!$I$5:$I$92,'Daftar Koreksi'!$D$5:$D$92,'1900'!A356,'Daftar Koreksi'!$G$5:$G$92,"Jalan Irigasi Jaringan",'Daftar Koreksi'!$I$5:$I$92,"&gt;0")</f>
        <v>0</v>
      </c>
      <c r="F371" s="25">
        <f>SUMIFS('Daftar Koreksi'!$I$5:$I$92,'Daftar Koreksi'!$D$5:$D$92,'1900'!A356,'Daftar Koreksi'!$G$5:$G$92,"Jalan Irigasi Jaringan",'Daftar Koreksi'!$I$5:$I$92,"&lt;0")-SUMIFS('Daftar Koreksi'!$I$5:$I$92,'Daftar Koreksi'!$D$5:$D$92,'1900'!A356,'Daftar Koreksi'!$G$5:$G$92,"Jalan Irigasi Jaringan",'Daftar Koreksi'!$I$5:$I$92,"&lt;0")-SUMIFS('Daftar Koreksi'!$I$5:$I$92,'Daftar Koreksi'!$D$5:$D$92,'1900'!A356,'Daftar Koreksi'!$G$5:$G$92,"Jalan Irigasi Jaringan",'Daftar Koreksi'!$I$5:$I$92,"&lt;0")</f>
        <v>0</v>
      </c>
      <c r="G371" s="17">
        <f t="shared" si="16"/>
        <v>-56480693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Koreksi'!$D$5:$D$92,'1900'!A356,'Daftar Koreksi'!$G$5:$G$92,"Aset Tetap Lainnya",'Daftar Koreksi'!$I$5:$I$92,"&gt;0")</f>
        <v>0</v>
      </c>
      <c r="F372" s="25">
        <f>SUMIFS('Daftar Koreksi'!$I$5:$I$92,'Daftar Koreksi'!$D$5:$D$92,'1900'!A356,'Daftar Koreksi'!$G$5:$G$92,"Aset Tetap Lainnya",'Daftar Koreksi'!$I$5:$I$92,"&lt;0")-SUMIFS('Daftar Koreksi'!$I$5:$I$92,'Daftar Koreksi'!$D$5:$D$92,'1900'!A356,'Daftar Koreksi'!$G$5:$G$92,"Aset Tetap Lainnya",'Daftar Koreksi'!$I$5:$I$92,"&lt;0")-SUMIFS('Daftar Koreksi'!$I$5:$I$92,'Daftar Koreksi'!$D$5:$D$92,'1900'!A356,'Daftar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Koreksi'!$D$5:$D$92,'1900'!A356,'Daftar Koreksi'!$G$5:$G$92,"Aset Henti Guna",'Daftar Koreksi'!$I$5:$I$92,"&gt;0")</f>
        <v>0</v>
      </c>
      <c r="F373" s="25">
        <f>SUMIFS('Daftar Koreksi'!$I$5:$I$92,'Daftar Koreksi'!$D$5:$D$92,'1900'!A356,'Daftar Koreksi'!$G$5:$G$92,"Aset Henti Guna",'Daftar Koreksi'!$I$5:$I$92,"&lt;0")-SUMIFS('Daftar Koreksi'!$I$5:$I$92,'Daftar Koreksi'!$D$5:$D$92,'1900'!A356,'Daftar Koreksi'!$G$5:$G$92,"Aset Henti Guna",'Daftar Koreksi'!$I$5:$I$92,"&lt;0")-SUMIFS('Daftar Koreksi'!$I$5:$I$92,'Daftar Koreksi'!$D$5:$D$92,'1900'!A356,'Daftar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-2699620300</v>
      </c>
      <c r="E374" s="19">
        <f>SUM(E369:E373)</f>
        <v>0</v>
      </c>
      <c r="F374" s="19">
        <f>SUM(F369:F373)</f>
        <v>0</v>
      </c>
      <c r="G374" s="19">
        <f t="shared" si="16"/>
        <v>-2699620300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12870176459</v>
      </c>
      <c r="E375" s="19">
        <f>E374+E368</f>
        <v>0</v>
      </c>
      <c r="F375" s="19">
        <f>F374+F368</f>
        <v>0</v>
      </c>
      <c r="G375" s="19">
        <f t="shared" si="16"/>
        <v>12870176459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005011900099581000KD</v>
      </c>
      <c r="B378" s="11" t="str">
        <f>P18</f>
        <v>PN. Bulukumba</v>
      </c>
      <c r="C378" s="12" t="str">
        <f>A378&amp;" "&amp;B378</f>
        <v>005011900099581000KD PN. Bulukumba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41000</v>
      </c>
      <c r="E381" s="25">
        <f>SUMIFS('Daftar Koreksi'!$H$5:$H$92,'Daftar Koreksi'!$D$5:$D$92,'1900'!A378,'Daftar Koreksi'!$G$5:$G$92,"Persediaan",'Daftar Koreksi'!$H$5:$H$92,"&gt;0")</f>
        <v>0</v>
      </c>
      <c r="F381" s="25">
        <f>SUMIFS('Daftar Koreksi'!$H$5:$H$92,'Daftar Koreksi'!$D$5:$D$92,'1900'!A378,'Daftar Koreksi'!$G$5:$G$92,"Persediaan",'Daftar Koreksi'!$H$5:$H$92,"&lt;0")-SUMIFS('Daftar Koreksi'!$H$5:$H$92,'Daftar Koreksi'!$D$5:$D$92,'1900'!A378,'Daftar Koreksi'!$G$5:$G$92,"Persediaan",'Daftar Koreksi'!$H$5:$H$92,"&lt;0")-SUMIFS('Daftar Koreksi'!$H$5:$H$92,'Daftar Koreksi'!$D$5:$D$92,'1900'!A378,'Daftar Koreksi'!$G$5:$G$92,"Persediaan",'Daftar Koreksi'!$H$5:$H$92,"&lt;0")</f>
        <v>0</v>
      </c>
      <c r="G381" s="17">
        <f>D381+E381-F381</f>
        <v>41000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3998688286</v>
      </c>
      <c r="E382" s="25">
        <f>SUMIFS('Daftar Koreksi'!$H$5:$H$92,'Daftar Koreksi'!$D$5:$D$92,'1900'!A378,'Daftar Koreksi'!$G$5:$G$92,"Tanah",'Daftar Koreksi'!$H$5:$H$92,"&gt;0")</f>
        <v>0</v>
      </c>
      <c r="F382" s="25">
        <f>SUMIFS('Daftar Koreksi'!$H$5:$H$92,'Daftar Koreksi'!$D$5:$D$92,'1900'!A378,'Daftar Koreksi'!$G$5:$G$92,"Tanah",'Daftar Koreksi'!$H$5:$H$92,"&lt;0")-SUMIFS('Daftar Koreksi'!$H$5:$H$92,'Daftar Koreksi'!$D$5:$D$92,'1900'!A378,'Daftar Koreksi'!$G$5:$G$92,"Tanah",'Daftar Koreksi'!$H$5:$H$92,"&lt;0")-SUMIFS('Daftar Koreksi'!$H$5:$H$92,'Daftar Koreksi'!$D$5:$D$92,'1900'!A378,'Daftar Koreksi'!$G$5:$G$92,"Tanah",'Daftar Koreksi'!$H$5:$H$92,"&lt;0")</f>
        <v>0</v>
      </c>
      <c r="G382" s="17">
        <f t="shared" ref="G382:G398" si="17">D382+E382-F382</f>
        <v>3998688286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1831170044</v>
      </c>
      <c r="E383" s="25">
        <f>SUMIFS('Daftar Koreksi'!$H$5:$H$92,'Daftar Koreksi'!$D$5:$D$92,'1900'!A378,'Daftar Koreksi'!$G$5:$G$92,"Peralatan dan mesin",'Daftar Koreksi'!$H$5:$H$92,"&gt;0")</f>
        <v>0</v>
      </c>
      <c r="F383" s="25">
        <f>SUMIFS('Daftar Koreksi'!$H$5:$H$92,'Daftar Koreksi'!$D$5:$D$92,'1900'!A378,'Daftar Koreksi'!$G$5:$G$92,"Peralatan dan mesin",'Daftar Koreksi'!$H$5:$H$92,"&lt;0")-SUMIFS('Daftar Koreksi'!$H$5:$H$92,'Daftar Koreksi'!$D$5:$D$92,'1900'!A378,'Daftar Koreksi'!$G$5:$G$92,"Peralatan dan mesin",'Daftar Koreksi'!$H$5:$H$92,"&lt;0")-SUMIFS('Daftar Koreksi'!$H$5:$H$92,'Daftar Koreksi'!$D$5:$D$92,'1900'!A378,'Daftar Koreksi'!$G$5:$G$92,"Peralatan dan mesin",'Daftar Koreksi'!$H$5:$H$92,"&lt;0")</f>
        <v>0</v>
      </c>
      <c r="G383" s="17">
        <f t="shared" si="17"/>
        <v>1831170044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1063312250</v>
      </c>
      <c r="E384" s="25">
        <f>SUMIFS('Daftar Koreksi'!$H$5:$H$92,'Daftar Koreksi'!$D$5:$D$92,'1900'!A378,'Daftar Koreksi'!$G$5:$G$92,"Gedung dan Bangunan",'Daftar Koreksi'!$H$5:$H$92,"&gt;0")</f>
        <v>0</v>
      </c>
      <c r="F384" s="25">
        <f>SUMIFS('Daftar Koreksi'!$H$5:$H$92,'Daftar Koreksi'!$D$5:$D$92,'1900'!A378,'Daftar Koreksi'!$G$5:$G$92,"Gedung dan Bangunan",'Daftar Koreksi'!$H$5:$H$92,"&lt;0")-SUMIFS('Daftar Koreksi'!$H$5:$H$92,'Daftar Koreksi'!$D$5:$D$92,'1900'!A378,'Daftar Koreksi'!$G$5:$G$92,"Gedung dan Bangunan",'Daftar Koreksi'!$H$5:$H$92,"&lt;0")-SUMIFS('Daftar Koreksi'!$H$5:$H$92,'Daftar Koreksi'!$D$5:$D$92,'1900'!A378,'Daftar Koreksi'!$G$5:$G$92,"Gedung dan Bangunan",'Daftar Koreksi'!$H$5:$H$92,"&lt;0")</f>
        <v>0</v>
      </c>
      <c r="G384" s="17">
        <f t="shared" si="17"/>
        <v>1063312250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79296000</v>
      </c>
      <c r="E385" s="25">
        <f>SUMIFS('Daftar Koreksi'!$H$5:$H$92,'Daftar Koreksi'!$D$5:$D$92,'1900'!A378,'Daftar Koreksi'!$G$5:$G$92,"Jalan Irigasi Jaringan",'Daftar Koreksi'!$H$5:$H$92,"&gt;0")</f>
        <v>0</v>
      </c>
      <c r="F385" s="25">
        <f>SUMIFS('Daftar Koreksi'!$H$5:$H$92,'Daftar Koreksi'!$D$5:$D$92,'1900'!A378,'Daftar Koreksi'!$G$5:$G$92,"Jalan Irigasi Jaringan",'Daftar Koreksi'!$H$5:$H$92,"&lt;0")-SUMIFS('Daftar Koreksi'!$H$5:$H$92,'Daftar Koreksi'!$D$5:$D$92,'1900'!A378,'Daftar Koreksi'!$G$5:$G$92,"Jalan Irigasi Jaringan",'Daftar Koreksi'!$H$5:$H$92,"&lt;0")-SUMIFS('Daftar Koreksi'!$H$5:$H$92,'Daftar Koreksi'!$D$5:$D$92,'1900'!A378,'Daftar Koreksi'!$G$5:$G$92,"Jalan Irigasi Jaringan",'Daftar Koreksi'!$H$5:$H$92,"&lt;0")</f>
        <v>0</v>
      </c>
      <c r="G385" s="17">
        <f t="shared" si="17"/>
        <v>79296000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1943440</v>
      </c>
      <c r="E386" s="25">
        <f>SUMIFS('Daftar Koreksi'!$H$5:$H$92,'Daftar Koreksi'!$D$5:$D$92,'1900'!A378,'Daftar Koreksi'!$G$5:$G$92,"Aset Tetap Lainnya",'Daftar Koreksi'!$H$5:$H$92,"&gt;0")</f>
        <v>0</v>
      </c>
      <c r="F386" s="25">
        <f>SUMIFS('Daftar Koreksi'!$H$5:$H$92,'Daftar Koreksi'!$D$5:$D$92,'1900'!A378,'Daftar Koreksi'!$G$5:$G$92,"Aset Tetap Lainnya",'Daftar Koreksi'!$H$5:$H$92,"&lt;0")-SUMIFS('Daftar Koreksi'!$H$5:$H$92,'Daftar Koreksi'!$D$5:$D$92,'1900'!A378,'Daftar Koreksi'!$G$5:$G$92,"Aset Tetap Lainnya",'Daftar Koreksi'!$H$5:$H$92,"&lt;0")-SUMIFS('Daftar Koreksi'!$H$5:$H$92,'Daftar Koreksi'!$D$5:$D$92,'1900'!A378,'Daftar Koreksi'!$G$5:$G$92,"Aset Tetap Lainnya",'Daftar Koreksi'!$H$5:$H$92,"&lt;0")</f>
        <v>0</v>
      </c>
      <c r="G386" s="17">
        <f t="shared" si="17"/>
        <v>1943440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4797190000</v>
      </c>
      <c r="E387" s="25">
        <f>SUMIFS('Daftar Koreksi'!$H$5:$H$92,'Daftar Koreksi'!$D$5:$D$92,'1900'!A378,'Daftar Koreksi'!$G$5:$G$92,"Kontruksi Dalam Pengerjaan",'Daftar Koreksi'!$H$5:$H$92,"&gt;0")</f>
        <v>0</v>
      </c>
      <c r="F387" s="25">
        <f>SUMIFS('Daftar Koreksi'!$H$5:$H$92,'Daftar Koreksi'!$D$5:$D$92,'1900'!A378,'Daftar Koreksi'!$G$5:$G$92,"Kontruksi Dalam Pengerjaan",'Daftar Koreksi'!$H$5:$H$92,"&lt;0")-SUMIFS('Daftar Koreksi'!$H$5:$H$92,'Daftar Koreksi'!$D$5:$D$92,'1900'!A378,'Daftar Koreksi'!$G$5:$G$92,"Kontruksi Dalam Pengerjaan",'Daftar Koreksi'!$H$5:$H$92,"&lt;0")-SUMIFS('Daftar Koreksi'!$H$5:$H$92,'Daftar Koreksi'!$D$5:$D$92,'1900'!A378,'Daftar Koreksi'!$G$5:$G$92,"Kontruksi Dalam Pengerjaan",'Daftar Koreksi'!$H$5:$H$92,"&lt;0")</f>
        <v>0</v>
      </c>
      <c r="G387" s="17">
        <f t="shared" si="17"/>
        <v>4797190000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24349000</v>
      </c>
      <c r="E388" s="25">
        <f>SUMIFS('Daftar Koreksi'!$H$5:$H$92,'Daftar Koreksi'!$D$5:$D$92,'1900'!A378,'Daftar Koreksi'!$G$5:$G$92,"Aset Tak Berwujud",'Daftar Koreksi'!$H$5:$H$92,"&gt;0")</f>
        <v>0</v>
      </c>
      <c r="F388" s="25">
        <f>SUMIFS('Daftar Koreksi'!$H$5:$H$92,'Daftar Koreksi'!$D$5:$D$92,'1900'!A378,'Daftar Koreksi'!$G$5:$G$92,"Aset Tak Berwujud",'Daftar Koreksi'!$H$5:$H$92,"&lt;0")-SUMIFS('Daftar Koreksi'!$H$5:$H$92,'Daftar Koreksi'!$D$5:$D$92,'1900'!A378,'Daftar Koreksi'!$G$5:$G$92,"Aset Tak Berwujud",'Daftar Koreksi'!$H$5:$H$92,"&lt;0")-SUMIFS('Daftar Koreksi'!$H$5:$H$92,'Daftar Koreksi'!$D$5:$D$92,'1900'!A378,'Daftar Koreksi'!$G$5:$G$92,"Aset Tak Berwujud",'Daftar Koreksi'!$H$5:$H$92,"&lt;0")</f>
        <v>0</v>
      </c>
      <c r="G388" s="17">
        <f t="shared" si="17"/>
        <v>24349000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Koreksi'!$D$5:$D$92,'1900'!A378,'Daftar Koreksi'!$G$5:$G$92,"Aset Henti Guna",'Daftar Koreksi'!$H$5:$H$92,"&gt;0")</f>
        <v>0</v>
      </c>
      <c r="F389" s="25">
        <f>SUMIFS('Daftar Koreksi'!$H$5:$H$92,'Daftar Koreksi'!$D$5:$D$92,'1900'!A378,'Daftar Koreksi'!$G$5:$G$92,"Aset Henti Guna",'Daftar Koreksi'!$H$5:$H$92,"&lt;0")-SUMIFS('Daftar Koreksi'!$H$5:$H$92,'Daftar Koreksi'!$D$5:$D$92,'1900'!A378,'Daftar Koreksi'!$G$5:$G$92,"Aset Henti Guna",'Daftar Koreksi'!$H$5:$H$92,"&lt;0")-SUMIFS('Daftar Koreksi'!$H$5:$H$92,'Daftar Koreksi'!$D$5:$D$92,'1900'!A378,'Daftar Koreksi'!$G$5:$G$92,"Aset Henti Guna",'Daftar Koreksi'!$H$5:$H$92,"&lt;0")</f>
        <v>0</v>
      </c>
      <c r="G389" s="17">
        <f t="shared" si="17"/>
        <v>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11795990020</v>
      </c>
      <c r="E390" s="19">
        <f>SUM(E381:E389)</f>
        <v>0</v>
      </c>
      <c r="F390" s="19">
        <f>SUM(F381:F389)</f>
        <v>0</v>
      </c>
      <c r="G390" s="19">
        <f t="shared" si="17"/>
        <v>11795990020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-1520282870</v>
      </c>
      <c r="E391" s="25">
        <f>SUMIFS('Daftar Koreksi'!$I$5:$I$92,'Daftar Koreksi'!$D$5:$D$92,'1900'!A378,'Daftar Koreksi'!$G$5:$G$92,"Peralatan dan mesin",'Daftar Koreksi'!$I$5:$I$92,"&gt;0")</f>
        <v>0</v>
      </c>
      <c r="F391" s="25">
        <f>SUMIFS('Daftar Koreksi'!$I$5:$I$92,'Daftar Koreksi'!$D$5:$D$92,'1900'!A378,'Daftar Koreksi'!$G$5:$G$92,"Peralatan dan mesin",'Daftar Koreksi'!$I$5:$I$92,"&lt;0")-SUMIFS('Daftar Koreksi'!$I$5:$I$92,'Daftar Koreksi'!$D$5:$D$92,'1900'!A378,'Daftar Koreksi'!$G$5:$G$92,"Peralatan dan mesin",'Daftar Koreksi'!$I$5:$I$92,"&lt;0")-SUMIFS('Daftar Koreksi'!$I$5:$I$92,'Daftar Koreksi'!$D$5:$D$92,'1900'!A378,'Daftar Koreksi'!$G$5:$G$92,"Peralatan dan mesin",'Daftar Koreksi'!$I$5:$I$92,"&lt;0")</f>
        <v>0</v>
      </c>
      <c r="G391" s="17">
        <f t="shared" si="17"/>
        <v>-1520282870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-645364067</v>
      </c>
      <c r="E392" s="25">
        <f>SUMIFS('Daftar Koreksi'!$I$5:$I$92,'Daftar Koreksi'!$D$5:$D$92,'1900'!A378,'Daftar Koreksi'!$G$5:$G$92,"Gedung dan Bangunan",'Daftar Koreksi'!$I$5:$I$92,"&gt;0")</f>
        <v>0</v>
      </c>
      <c r="F392" s="25">
        <f>SUMIFS('Daftar Koreksi'!$I$5:$I$92,'Daftar Koreksi'!$D$5:$D$92,'1900'!A378,'Daftar Koreksi'!$G$5:$G$92,"Gedung dan Bangunan",'Daftar Koreksi'!$I$5:$I$92,"&lt;0")-SUMIFS('Daftar Koreksi'!$I$5:$I$92,'Daftar Koreksi'!$D$5:$D$92,'1900'!A378,'Daftar Koreksi'!$G$5:$G$92,"Gedung dan Bangunan",'Daftar Koreksi'!$I$5:$I$92,"&lt;0")-SUMIFS('Daftar Koreksi'!$I$5:$I$92,'Daftar Koreksi'!$D$5:$D$92,'1900'!A378,'Daftar Koreksi'!$G$5:$G$92,"Gedung dan Bangunan",'Daftar Koreksi'!$I$5:$I$92,"&lt;0")</f>
        <v>0</v>
      </c>
      <c r="G392" s="17">
        <f t="shared" si="17"/>
        <v>-645364067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-12126800</v>
      </c>
      <c r="E393" s="25">
        <f>SUMIFS('Daftar Koreksi'!$I$5:$I$92,'Daftar Koreksi'!$D$5:$D$92,'1900'!A378,'Daftar Koreksi'!$G$5:$G$92,"Jalan Irigasi Jaringan",'Daftar Koreksi'!$I$5:$I$92,"&gt;0")</f>
        <v>0</v>
      </c>
      <c r="F393" s="25">
        <f>SUMIFS('Daftar Koreksi'!$I$5:$I$92,'Daftar Koreksi'!$D$5:$D$92,'1900'!A378,'Daftar Koreksi'!$G$5:$G$92,"Jalan Irigasi Jaringan",'Daftar Koreksi'!$I$5:$I$92,"&lt;0")-SUMIFS('Daftar Koreksi'!$I$5:$I$92,'Daftar Koreksi'!$D$5:$D$92,'1900'!A378,'Daftar Koreksi'!$G$5:$G$92,"Jalan Irigasi Jaringan",'Daftar Koreksi'!$I$5:$I$92,"&lt;0")-SUMIFS('Daftar Koreksi'!$I$5:$I$92,'Daftar Koreksi'!$D$5:$D$92,'1900'!A378,'Daftar Koreksi'!$G$5:$G$92,"Jalan Irigasi Jaringan",'Daftar Koreksi'!$I$5:$I$92,"&lt;0")</f>
        <v>0</v>
      </c>
      <c r="G393" s="17">
        <f t="shared" si="17"/>
        <v>-12126800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Koreksi'!$D$5:$D$92,'1900'!A378,'Daftar Koreksi'!$G$5:$G$92,"Aset Tetap Lainnya",'Daftar Koreksi'!$I$5:$I$92,"&gt;0")</f>
        <v>0</v>
      </c>
      <c r="F394" s="25">
        <f>SUMIFS('Daftar Koreksi'!$I$5:$I$92,'Daftar Koreksi'!$D$5:$D$92,'1900'!A378,'Daftar Koreksi'!$G$5:$G$92,"Aset Tetap Lainnya",'Daftar Koreksi'!$I$5:$I$92,"&lt;0")-SUMIFS('Daftar Koreksi'!$I$5:$I$92,'Daftar Koreksi'!$D$5:$D$92,'1900'!A378,'Daftar Koreksi'!$G$5:$G$92,"Aset Tetap Lainnya",'Daftar Koreksi'!$I$5:$I$92,"&lt;0")-SUMIFS('Daftar Koreksi'!$I$5:$I$92,'Daftar Koreksi'!$D$5:$D$92,'1900'!A378,'Daftar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-2470700</v>
      </c>
      <c r="E395" s="25">
        <f>SUMIFS('Daftar Koreksi'!$I$5:$I$92,'Daftar Koreksi'!$D$5:$D$92,'1900'!A378,'Daftar Koreksi'!$G$5:$G$92,"Aset Henti Guna",'Daftar Koreksi'!$I$5:$I$92,"&gt;0")</f>
        <v>0</v>
      </c>
      <c r="F395" s="25">
        <f>SUMIFS('Daftar Koreksi'!$I$5:$I$92,'Daftar Koreksi'!$D$5:$D$92,'1900'!A378,'Daftar Koreksi'!$G$5:$G$92,"Aset Henti Guna",'Daftar Koreksi'!$I$5:$I$92,"&lt;0")-SUMIFS('Daftar Koreksi'!$I$5:$I$92,'Daftar Koreksi'!$D$5:$D$92,'1900'!A378,'Daftar Koreksi'!$G$5:$G$92,"Aset Henti Guna",'Daftar Koreksi'!$I$5:$I$92,"&lt;0")-SUMIFS('Daftar Koreksi'!$I$5:$I$92,'Daftar Koreksi'!$D$5:$D$92,'1900'!A378,'Daftar Koreksi'!$G$5:$G$92,"Aset Henti Guna",'Daftar Koreksi'!$I$5:$I$92,"&lt;0")</f>
        <v>0</v>
      </c>
      <c r="G395" s="17">
        <f t="shared" si="17"/>
        <v>-2470700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-2180244437</v>
      </c>
      <c r="E396" s="19">
        <f>SUM(E391:E395)</f>
        <v>0</v>
      </c>
      <c r="F396" s="19">
        <f>SUM(F391:F395)</f>
        <v>0</v>
      </c>
      <c r="G396" s="19">
        <f t="shared" si="17"/>
        <v>-2180244437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9615745583</v>
      </c>
      <c r="E397" s="19">
        <f>E396+E390</f>
        <v>0</v>
      </c>
      <c r="F397" s="19">
        <f>F396+F390</f>
        <v>0</v>
      </c>
      <c r="G397" s="19">
        <f t="shared" si="17"/>
        <v>9615745583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005011900099595000KD</v>
      </c>
      <c r="B400" s="11" t="str">
        <f>P19</f>
        <v>PN. Selayar</v>
      </c>
      <c r="C400" s="12" t="str">
        <f>A400&amp;" "&amp;B400</f>
        <v>005011900099595000KD PN. Selayar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100000</v>
      </c>
      <c r="E403" s="25">
        <f>SUMIFS('Daftar Koreksi'!$H$5:$H$92,'Daftar Koreksi'!$D$5:$D$92,'1900'!A400,'Daftar Koreksi'!$G$5:$G$92,"Persediaan",'Daftar Koreksi'!$H$5:$H$92,"&gt;0")</f>
        <v>0</v>
      </c>
      <c r="F403" s="25">
        <f>SUMIFS('Daftar Koreksi'!$H$5:$H$92,'Daftar Koreksi'!$D$5:$D$92,'1900'!A400,'Daftar Koreksi'!$G$5:$G$92,"Persediaan",'Daftar Koreksi'!$H$5:$H$92,"&lt;0")-SUMIFS('Daftar Koreksi'!$H$5:$H$92,'Daftar Koreksi'!$D$5:$D$92,'1900'!A400,'Daftar Koreksi'!$G$5:$G$92,"Persediaan",'Daftar Koreksi'!$H$5:$H$92,"&lt;0")-SUMIFS('Daftar Koreksi'!$H$5:$H$92,'Daftar Koreksi'!$D$5:$D$92,'1900'!A400,'Daftar Koreksi'!$G$5:$G$92,"Persediaan",'Daftar Koreksi'!$H$5:$H$92,"&lt;0")</f>
        <v>0</v>
      </c>
      <c r="G403" s="17">
        <f>D403+E403-F403</f>
        <v>100000</v>
      </c>
      <c r="H403" s="121" t="str">
        <f>IF(ISNA(VLOOKUP(A400,'Mutasi Neraca'!$A$3:$S$914,19,FALSE)),"-",VLOOKUP(A400,'Mutasi Neraca'!$A$3:$S$914,19,FALSE))</f>
        <v>TP. No 4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1818656000</v>
      </c>
      <c r="E404" s="25">
        <f>SUMIFS('Daftar Koreksi'!$H$5:$H$92,'Daftar Koreksi'!$D$5:$D$92,'1900'!A400,'Daftar Koreksi'!$G$5:$G$92,"Tanah",'Daftar Koreksi'!$H$5:$H$92,"&gt;0")</f>
        <v>0</v>
      </c>
      <c r="F404" s="25">
        <f>SUMIFS('Daftar Koreksi'!$H$5:$H$92,'Daftar Koreksi'!$D$5:$D$92,'1900'!A400,'Daftar Koreksi'!$G$5:$G$92,"Tanah",'Daftar Koreksi'!$H$5:$H$92,"&lt;0")-SUMIFS('Daftar Koreksi'!$H$5:$H$92,'Daftar Koreksi'!$D$5:$D$92,'1900'!A400,'Daftar Koreksi'!$G$5:$G$92,"Tanah",'Daftar Koreksi'!$H$5:$H$92,"&lt;0")-SUMIFS('Daftar Koreksi'!$H$5:$H$92,'Daftar Koreksi'!$D$5:$D$92,'1900'!A400,'Daftar Koreksi'!$G$5:$G$92,"Tanah",'Daftar Koreksi'!$H$5:$H$92,"&lt;0")</f>
        <v>0</v>
      </c>
      <c r="G404" s="17">
        <f t="shared" ref="G404:G420" si="18">D404+E404-F404</f>
        <v>1818656000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1743954550</v>
      </c>
      <c r="E405" s="25">
        <f>SUMIFS('Daftar Koreksi'!$H$5:$H$92,'Daftar Koreksi'!$D$5:$D$92,'1900'!A400,'Daftar Koreksi'!$G$5:$G$92,"Peralatan dan mesin",'Daftar Koreksi'!$H$5:$H$92,"&gt;0")</f>
        <v>3895309</v>
      </c>
      <c r="F405" s="25">
        <f>SUMIFS('Daftar Koreksi'!$H$5:$H$92,'Daftar Koreksi'!$D$5:$D$92,'1900'!A400,'Daftar Koreksi'!$G$5:$G$92,"Peralatan dan mesin",'Daftar Koreksi'!$H$5:$H$92,"&lt;0")-SUMIFS('Daftar Koreksi'!$H$5:$H$92,'Daftar Koreksi'!$D$5:$D$92,'1900'!A400,'Daftar Koreksi'!$G$5:$G$92,"Peralatan dan mesin",'Daftar Koreksi'!$H$5:$H$92,"&lt;0")-SUMIFS('Daftar Koreksi'!$H$5:$H$92,'Daftar Koreksi'!$D$5:$D$92,'1900'!A400,'Daftar Koreksi'!$G$5:$G$92,"Peralatan dan mesin",'Daftar Koreksi'!$H$5:$H$92,"&lt;0")</f>
        <v>0</v>
      </c>
      <c r="G405" s="17">
        <f t="shared" si="18"/>
        <v>1747849859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3790020582</v>
      </c>
      <c r="E406" s="25">
        <f>SUMIFS('Daftar Koreksi'!$H$5:$H$92,'Daftar Koreksi'!$D$5:$D$92,'1900'!A400,'Daftar Koreksi'!$G$5:$G$92,"Gedung dan Bangunan",'Daftar Koreksi'!$H$5:$H$92,"&gt;0")</f>
        <v>0</v>
      </c>
      <c r="F406" s="25">
        <f>SUMIFS('Daftar Koreksi'!$H$5:$H$92,'Daftar Koreksi'!$D$5:$D$92,'1900'!A400,'Daftar Koreksi'!$G$5:$G$92,"Gedung dan Bangunan",'Daftar Koreksi'!$H$5:$H$92,"&lt;0")-SUMIFS('Daftar Koreksi'!$H$5:$H$92,'Daftar Koreksi'!$D$5:$D$92,'1900'!A400,'Daftar Koreksi'!$G$5:$G$92,"Gedung dan Bangunan",'Daftar Koreksi'!$H$5:$H$92,"&lt;0")-SUMIFS('Daftar Koreksi'!$H$5:$H$92,'Daftar Koreksi'!$D$5:$D$92,'1900'!A400,'Daftar Koreksi'!$G$5:$G$92,"Gedung dan Bangunan",'Daftar Koreksi'!$H$5:$H$92,"&lt;0")</f>
        <v>0</v>
      </c>
      <c r="G406" s="17">
        <f t="shared" si="18"/>
        <v>3790020582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9900000</v>
      </c>
      <c r="E407" s="25">
        <f>SUMIFS('Daftar Koreksi'!$H$5:$H$92,'Daftar Koreksi'!$D$5:$D$92,'1900'!A400,'Daftar Koreksi'!$G$5:$G$92,"Jalan Irigasi Jaringan",'Daftar Koreksi'!$H$5:$H$92,"&gt;0")</f>
        <v>0</v>
      </c>
      <c r="F407" s="25">
        <f>SUMIFS('Daftar Koreksi'!$H$5:$H$92,'Daftar Koreksi'!$D$5:$D$92,'1900'!A400,'Daftar Koreksi'!$G$5:$G$92,"Jalan Irigasi Jaringan",'Daftar Koreksi'!$H$5:$H$92,"&lt;0")-SUMIFS('Daftar Koreksi'!$H$5:$H$92,'Daftar Koreksi'!$D$5:$D$92,'1900'!A400,'Daftar Koreksi'!$G$5:$G$92,"Jalan Irigasi Jaringan",'Daftar Koreksi'!$H$5:$H$92,"&lt;0")-SUMIFS('Daftar Koreksi'!$H$5:$H$92,'Daftar Koreksi'!$D$5:$D$92,'1900'!A400,'Daftar Koreksi'!$G$5:$G$92,"Jalan Irigasi Jaringan",'Daftar Koreksi'!$H$5:$H$92,"&lt;0")</f>
        <v>0</v>
      </c>
      <c r="G407" s="17">
        <f t="shared" si="18"/>
        <v>9900000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13682340</v>
      </c>
      <c r="E408" s="25">
        <f>SUMIFS('Daftar Koreksi'!$H$5:$H$92,'Daftar Koreksi'!$D$5:$D$92,'1900'!A400,'Daftar Koreksi'!$G$5:$G$92,"Aset Tetap Lainnya",'Daftar Koreksi'!$H$5:$H$92,"&gt;0")</f>
        <v>0</v>
      </c>
      <c r="F408" s="25">
        <f>SUMIFS('Daftar Koreksi'!$H$5:$H$92,'Daftar Koreksi'!$D$5:$D$92,'1900'!A400,'Daftar Koreksi'!$G$5:$G$92,"Aset Tetap Lainnya",'Daftar Koreksi'!$H$5:$H$92,"&lt;0")-SUMIFS('Daftar Koreksi'!$H$5:$H$92,'Daftar Koreksi'!$D$5:$D$92,'1900'!A400,'Daftar Koreksi'!$G$5:$G$92,"Aset Tetap Lainnya",'Daftar Koreksi'!$H$5:$H$92,"&lt;0")-SUMIFS('Daftar Koreksi'!$H$5:$H$92,'Daftar Koreksi'!$D$5:$D$92,'1900'!A400,'Daftar Koreksi'!$G$5:$G$92,"Aset Tetap Lainnya",'Daftar Koreksi'!$H$5:$H$92,"&lt;0")</f>
        <v>0</v>
      </c>
      <c r="G408" s="17">
        <f t="shared" si="18"/>
        <v>13682340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Koreksi'!$D$5:$D$92,'1900'!A400,'Daftar Koreksi'!$G$5:$G$92,"Kontruksi Dalam Pengerjaan",'Daftar Koreksi'!$H$5:$H$92,"&gt;0")</f>
        <v>0</v>
      </c>
      <c r="F409" s="25">
        <f>SUMIFS('Daftar Koreksi'!$H$5:$H$92,'Daftar Koreksi'!$D$5:$D$92,'1900'!A400,'Daftar Koreksi'!$G$5:$G$92,"Kontruksi Dalam Pengerjaan",'Daftar Koreksi'!$H$5:$H$92,"&lt;0")-SUMIFS('Daftar Koreksi'!$H$5:$H$92,'Daftar Koreksi'!$D$5:$D$92,'1900'!A400,'Daftar Koreksi'!$G$5:$G$92,"Kontruksi Dalam Pengerjaan",'Daftar Koreksi'!$H$5:$H$92,"&lt;0")-SUMIFS('Daftar Koreksi'!$H$5:$H$92,'Daftar Koreksi'!$D$5:$D$92,'1900'!A400,'Daftar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24349000</v>
      </c>
      <c r="E410" s="25">
        <f>SUMIFS('Daftar Koreksi'!$H$5:$H$92,'Daftar Koreksi'!$D$5:$D$92,'1900'!A400,'Daftar Koreksi'!$G$5:$G$92,"Aset Tak Berwujud",'Daftar Koreksi'!$H$5:$H$92,"&gt;0")</f>
        <v>0</v>
      </c>
      <c r="F410" s="25">
        <f>SUMIFS('Daftar Koreksi'!$H$5:$H$92,'Daftar Koreksi'!$D$5:$D$92,'1900'!A400,'Daftar Koreksi'!$G$5:$G$92,"Aset Tak Berwujud",'Daftar Koreksi'!$H$5:$H$92,"&lt;0")-SUMIFS('Daftar Koreksi'!$H$5:$H$92,'Daftar Koreksi'!$D$5:$D$92,'1900'!A400,'Daftar Koreksi'!$G$5:$G$92,"Aset Tak Berwujud",'Daftar Koreksi'!$H$5:$H$92,"&lt;0")-SUMIFS('Daftar Koreksi'!$H$5:$H$92,'Daftar Koreksi'!$D$5:$D$92,'1900'!A400,'Daftar Koreksi'!$G$5:$G$92,"Aset Tak Berwujud",'Daftar Koreksi'!$H$5:$H$92,"&lt;0")</f>
        <v>0</v>
      </c>
      <c r="G410" s="17">
        <f t="shared" si="18"/>
        <v>24349000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72594950</v>
      </c>
      <c r="E411" s="25">
        <f>SUMIFS('Daftar Koreksi'!$H$5:$H$92,'Daftar Koreksi'!$D$5:$D$92,'1900'!A400,'Daftar Koreksi'!$G$5:$G$92,"Aset Henti Guna",'Daftar Koreksi'!$H$5:$H$92,"&gt;0")</f>
        <v>0</v>
      </c>
      <c r="F411" s="25">
        <f>SUMIFS('Daftar Koreksi'!$H$5:$H$92,'Daftar Koreksi'!$D$5:$D$92,'1900'!A400,'Daftar Koreksi'!$G$5:$G$92,"Aset Henti Guna",'Daftar Koreksi'!$H$5:$H$92,"&lt;0")-SUMIFS('Daftar Koreksi'!$H$5:$H$92,'Daftar Koreksi'!$D$5:$D$92,'1900'!A400,'Daftar Koreksi'!$G$5:$G$92,"Aset Henti Guna",'Daftar Koreksi'!$H$5:$H$92,"&lt;0")-SUMIFS('Daftar Koreksi'!$H$5:$H$92,'Daftar Koreksi'!$D$5:$D$92,'1900'!A400,'Daftar Koreksi'!$G$5:$G$92,"Aset Henti Guna",'Daftar Koreksi'!$H$5:$H$92,"&lt;0")</f>
        <v>0</v>
      </c>
      <c r="G411" s="17">
        <f t="shared" si="18"/>
        <v>72594950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7473257422</v>
      </c>
      <c r="E412" s="19">
        <f>SUM(E403:E411)</f>
        <v>3895309</v>
      </c>
      <c r="F412" s="19">
        <f>SUM(F403:F411)</f>
        <v>0</v>
      </c>
      <c r="G412" s="19">
        <f t="shared" si="18"/>
        <v>7477152731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-1544082588</v>
      </c>
      <c r="E413" s="25">
        <f>SUMIFS('Daftar Koreksi'!$I$5:$I$92,'Daftar Koreksi'!$D$5:$D$92,'1900'!A400,'Daftar Koreksi'!$G$5:$G$92,"Peralatan dan mesin",'Daftar Koreksi'!$I$5:$I$92,"&gt;0")</f>
        <v>0</v>
      </c>
      <c r="F413" s="25">
        <f>SUMIFS('Daftar Koreksi'!$I$5:$I$92,'Daftar Koreksi'!$D$5:$D$92,'1900'!A400,'Daftar Koreksi'!$G$5:$G$92,"Peralatan dan mesin",'Daftar Koreksi'!$I$5:$I$92,"&lt;0")-SUMIFS('Daftar Koreksi'!$I$5:$I$92,'Daftar Koreksi'!$D$5:$D$92,'1900'!A400,'Daftar Koreksi'!$G$5:$G$92,"Peralatan dan mesin",'Daftar Koreksi'!$I$5:$I$92,"&lt;0")-SUMIFS('Daftar Koreksi'!$I$5:$I$92,'Daftar Koreksi'!$D$5:$D$92,'1900'!A400,'Daftar Koreksi'!$G$5:$G$92,"Peralatan dan mesin",'Daftar Koreksi'!$I$5:$I$92,"&lt;0")</f>
        <v>389531</v>
      </c>
      <c r="G413" s="17">
        <f t="shared" si="18"/>
        <v>-1544472119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-2424572192</v>
      </c>
      <c r="E414" s="25">
        <f>SUMIFS('Daftar Koreksi'!$I$5:$I$92,'Daftar Koreksi'!$D$5:$D$92,'1900'!A400,'Daftar Koreksi'!$G$5:$G$92,"Gedung dan Bangunan",'Daftar Koreksi'!$I$5:$I$92,"&gt;0")</f>
        <v>0</v>
      </c>
      <c r="F414" s="25">
        <f>SUMIFS('Daftar Koreksi'!$I$5:$I$92,'Daftar Koreksi'!$D$5:$D$92,'1900'!A400,'Daftar Koreksi'!$G$5:$G$92,"Gedung dan Bangunan",'Daftar Koreksi'!$I$5:$I$92,"&lt;0")-SUMIFS('Daftar Koreksi'!$I$5:$I$92,'Daftar Koreksi'!$D$5:$D$92,'1900'!A400,'Daftar Koreksi'!$G$5:$G$92,"Gedung dan Bangunan",'Daftar Koreksi'!$I$5:$I$92,"&lt;0")-SUMIFS('Daftar Koreksi'!$I$5:$I$92,'Daftar Koreksi'!$D$5:$D$92,'1900'!A400,'Daftar Koreksi'!$G$5:$G$92,"Gedung dan Bangunan",'Daftar Koreksi'!$I$5:$I$92,"&lt;0")</f>
        <v>0</v>
      </c>
      <c r="G414" s="17">
        <f t="shared" si="18"/>
        <v>-2424572192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-618750</v>
      </c>
      <c r="E415" s="25">
        <f>SUMIFS('Daftar Koreksi'!$I$5:$I$92,'Daftar Koreksi'!$D$5:$D$92,'1900'!A400,'Daftar Koreksi'!$G$5:$G$92,"Jalan Irigasi Jaringan",'Daftar Koreksi'!$I$5:$I$92,"&gt;0")</f>
        <v>0</v>
      </c>
      <c r="F415" s="25">
        <f>SUMIFS('Daftar Koreksi'!$I$5:$I$92,'Daftar Koreksi'!$D$5:$D$92,'1900'!A400,'Daftar Koreksi'!$G$5:$G$92,"Jalan Irigasi Jaringan",'Daftar Koreksi'!$I$5:$I$92,"&lt;0")-SUMIFS('Daftar Koreksi'!$I$5:$I$92,'Daftar Koreksi'!$D$5:$D$92,'1900'!A400,'Daftar Koreksi'!$G$5:$G$92,"Jalan Irigasi Jaringan",'Daftar Koreksi'!$I$5:$I$92,"&lt;0")-SUMIFS('Daftar Koreksi'!$I$5:$I$92,'Daftar Koreksi'!$D$5:$D$92,'1900'!A400,'Daftar Koreksi'!$G$5:$G$92,"Jalan Irigasi Jaringan",'Daftar Koreksi'!$I$5:$I$92,"&lt;0")</f>
        <v>0</v>
      </c>
      <c r="G415" s="17">
        <f t="shared" si="18"/>
        <v>-618750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Koreksi'!$D$5:$D$92,'1900'!A400,'Daftar Koreksi'!$G$5:$G$92,"Aset Tetap Lainnya",'Daftar Koreksi'!$I$5:$I$92,"&gt;0")</f>
        <v>0</v>
      </c>
      <c r="F416" s="25">
        <f>SUMIFS('Daftar Koreksi'!$I$5:$I$92,'Daftar Koreksi'!$D$5:$D$92,'1900'!A400,'Daftar Koreksi'!$G$5:$G$92,"Aset Tetap Lainnya",'Daftar Koreksi'!$I$5:$I$92,"&lt;0")-SUMIFS('Daftar Koreksi'!$I$5:$I$92,'Daftar Koreksi'!$D$5:$D$92,'1900'!A400,'Daftar Koreksi'!$G$5:$G$92,"Aset Tetap Lainnya",'Daftar Koreksi'!$I$5:$I$92,"&lt;0")-SUMIFS('Daftar Koreksi'!$I$5:$I$92,'Daftar Koreksi'!$D$5:$D$92,'1900'!A400,'Daftar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-49635190</v>
      </c>
      <c r="E417" s="25">
        <f>SUMIFS('Daftar Koreksi'!$I$5:$I$92,'Daftar Koreksi'!$D$5:$D$92,'1900'!A400,'Daftar Koreksi'!$G$5:$G$92,"Aset Henti Guna",'Daftar Koreksi'!$I$5:$I$92,"&gt;0")</f>
        <v>0</v>
      </c>
      <c r="F417" s="25">
        <f>SUMIFS('Daftar Koreksi'!$I$5:$I$92,'Daftar Koreksi'!$D$5:$D$92,'1900'!A400,'Daftar Koreksi'!$G$5:$G$92,"Aset Henti Guna",'Daftar Koreksi'!$I$5:$I$92,"&lt;0")-SUMIFS('Daftar Koreksi'!$I$5:$I$92,'Daftar Koreksi'!$D$5:$D$92,'1900'!A400,'Daftar Koreksi'!$G$5:$G$92,"Aset Henti Guna",'Daftar Koreksi'!$I$5:$I$92,"&lt;0")-SUMIFS('Daftar Koreksi'!$I$5:$I$92,'Daftar Koreksi'!$D$5:$D$92,'1900'!A400,'Daftar Koreksi'!$G$5:$G$92,"Aset Henti Guna",'Daftar Koreksi'!$I$5:$I$92,"&lt;0")</f>
        <v>0</v>
      </c>
      <c r="G417" s="17">
        <f t="shared" si="18"/>
        <v>-49635190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-4018908720</v>
      </c>
      <c r="E418" s="19">
        <f>SUM(E413:E417)</f>
        <v>0</v>
      </c>
      <c r="F418" s="19">
        <f>SUM(F413:F417)</f>
        <v>389531</v>
      </c>
      <c r="G418" s="19">
        <f t="shared" si="18"/>
        <v>-4019298251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3454348702</v>
      </c>
      <c r="E419" s="19">
        <f>E418+E412</f>
        <v>3895309</v>
      </c>
      <c r="F419" s="19">
        <f>F418+F412</f>
        <v>389531</v>
      </c>
      <c r="G419" s="19">
        <f t="shared" si="18"/>
        <v>3457854480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005011900099600000KD</v>
      </c>
      <c r="B422" s="11" t="str">
        <f>P20</f>
        <v>PN. Palopo</v>
      </c>
      <c r="C422" s="12" t="str">
        <f>A422&amp;" "&amp;B422</f>
        <v>005011900099600000KD PN. Palopo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2840900</v>
      </c>
      <c r="E425" s="25">
        <f>SUMIFS('Daftar Koreksi'!$H$5:$H$92,'Daftar Koreksi'!$D$5:$D$92,'1900'!A422,'Daftar Koreksi'!$G$5:$G$92,"Persediaan",'Daftar Koreksi'!$H$5:$H$92,"&gt;0")</f>
        <v>0</v>
      </c>
      <c r="F425" s="25">
        <f>SUMIFS('Daftar Koreksi'!$H$5:$H$92,'Daftar Koreksi'!$D$5:$D$92,'1900'!A422,'Daftar Koreksi'!$G$5:$G$92,"Persediaan",'Daftar Koreksi'!$H$5:$H$92,"&lt;0")-SUMIFS('Daftar Koreksi'!$H$5:$H$92,'Daftar Koreksi'!$D$5:$D$92,'1900'!A422,'Daftar Koreksi'!$G$5:$G$92,"Persediaan",'Daftar Koreksi'!$H$5:$H$92,"&lt;0")-SUMIFS('Daftar Koreksi'!$H$5:$H$92,'Daftar Koreksi'!$D$5:$D$92,'1900'!A422,'Daftar Koreksi'!$G$5:$G$92,"Persediaan",'Daftar Koreksi'!$H$5:$H$92,"&lt;0")</f>
        <v>0</v>
      </c>
      <c r="G425" s="17">
        <f>D425+E425-F425</f>
        <v>2840900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5503115004</v>
      </c>
      <c r="E426" s="25">
        <f>SUMIFS('Daftar Koreksi'!$H$5:$H$92,'Daftar Koreksi'!$D$5:$D$92,'1900'!A422,'Daftar Koreksi'!$G$5:$G$92,"Tanah",'Daftar Koreksi'!$H$5:$H$92,"&gt;0")</f>
        <v>0</v>
      </c>
      <c r="F426" s="25">
        <f>SUMIFS('Daftar Koreksi'!$H$5:$H$92,'Daftar Koreksi'!$D$5:$D$92,'1900'!A422,'Daftar Koreksi'!$G$5:$G$92,"Tanah",'Daftar Koreksi'!$H$5:$H$92,"&lt;0")-SUMIFS('Daftar Koreksi'!$H$5:$H$92,'Daftar Koreksi'!$D$5:$D$92,'1900'!A422,'Daftar Koreksi'!$G$5:$G$92,"Tanah",'Daftar Koreksi'!$H$5:$H$92,"&lt;0")-SUMIFS('Daftar Koreksi'!$H$5:$H$92,'Daftar Koreksi'!$D$5:$D$92,'1900'!A422,'Daftar Koreksi'!$G$5:$G$92,"Tanah",'Daftar Koreksi'!$H$5:$H$92,"&lt;0")</f>
        <v>0</v>
      </c>
      <c r="G426" s="17">
        <f t="shared" ref="G426:G442" si="19">D426+E426-F426</f>
        <v>5503115004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2587578520</v>
      </c>
      <c r="E427" s="25">
        <f>SUMIFS('Daftar Koreksi'!$H$5:$H$92,'Daftar Koreksi'!$D$5:$D$92,'1900'!A422,'Daftar Koreksi'!$G$5:$G$92,"Peralatan dan mesin",'Daftar Koreksi'!$H$5:$H$92,"&gt;0")</f>
        <v>0</v>
      </c>
      <c r="F427" s="25">
        <f>SUMIFS('Daftar Koreksi'!$H$5:$H$92,'Daftar Koreksi'!$D$5:$D$92,'1900'!A422,'Daftar Koreksi'!$G$5:$G$92,"Peralatan dan mesin",'Daftar Koreksi'!$H$5:$H$92,"&lt;0")-SUMIFS('Daftar Koreksi'!$H$5:$H$92,'Daftar Koreksi'!$D$5:$D$92,'1900'!A422,'Daftar Koreksi'!$G$5:$G$92,"Peralatan dan mesin",'Daftar Koreksi'!$H$5:$H$92,"&lt;0")-SUMIFS('Daftar Koreksi'!$H$5:$H$92,'Daftar Koreksi'!$D$5:$D$92,'1900'!A422,'Daftar Koreksi'!$G$5:$G$92,"Peralatan dan mesin",'Daftar Koreksi'!$H$5:$H$92,"&lt;0")</f>
        <v>0</v>
      </c>
      <c r="G427" s="17">
        <f t="shared" si="19"/>
        <v>2587578520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4597782796</v>
      </c>
      <c r="E428" s="25">
        <f>SUMIFS('Daftar Koreksi'!$H$5:$H$92,'Daftar Koreksi'!$D$5:$D$92,'1900'!A422,'Daftar Koreksi'!$G$5:$G$92,"Gedung dan Bangunan",'Daftar Koreksi'!$H$5:$H$92,"&gt;0")</f>
        <v>0</v>
      </c>
      <c r="F428" s="25">
        <f>SUMIFS('Daftar Koreksi'!$H$5:$H$92,'Daftar Koreksi'!$D$5:$D$92,'1900'!A422,'Daftar Koreksi'!$G$5:$G$92,"Gedung dan Bangunan",'Daftar Koreksi'!$H$5:$H$92,"&lt;0")-SUMIFS('Daftar Koreksi'!$H$5:$H$92,'Daftar Koreksi'!$D$5:$D$92,'1900'!A422,'Daftar Koreksi'!$G$5:$G$92,"Gedung dan Bangunan",'Daftar Koreksi'!$H$5:$H$92,"&lt;0")-SUMIFS('Daftar Koreksi'!$H$5:$H$92,'Daftar Koreksi'!$D$5:$D$92,'1900'!A422,'Daftar Koreksi'!$G$5:$G$92,"Gedung dan Bangunan",'Daftar Koreksi'!$H$5:$H$92,"&lt;0")</f>
        <v>0</v>
      </c>
      <c r="G428" s="17">
        <f t="shared" si="19"/>
        <v>4597782796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Koreksi'!$D$5:$D$92,'1900'!A422,'Daftar Koreksi'!$G$5:$G$92,"Jalan Irigasi Jaringan",'Daftar Koreksi'!$H$5:$H$92,"&gt;0")</f>
        <v>0</v>
      </c>
      <c r="F429" s="25">
        <f>SUMIFS('Daftar Koreksi'!$H$5:$H$92,'Daftar Koreksi'!$D$5:$D$92,'1900'!A422,'Daftar Koreksi'!$G$5:$G$92,"Jalan Irigasi Jaringan",'Daftar Koreksi'!$H$5:$H$92,"&lt;0")-SUMIFS('Daftar Koreksi'!$H$5:$H$92,'Daftar Koreksi'!$D$5:$D$92,'1900'!A422,'Daftar Koreksi'!$G$5:$G$92,"Jalan Irigasi Jaringan",'Daftar Koreksi'!$H$5:$H$92,"&lt;0")-SUMIFS('Daftar Koreksi'!$H$5:$H$92,'Daftar Koreksi'!$D$5:$D$92,'1900'!A422,'Daftar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14994358</v>
      </c>
      <c r="E430" s="25">
        <f>SUMIFS('Daftar Koreksi'!$H$5:$H$92,'Daftar Koreksi'!$D$5:$D$92,'1900'!A422,'Daftar Koreksi'!$G$5:$G$92,"Aset Tetap Lainnya",'Daftar Koreksi'!$H$5:$H$92,"&gt;0")</f>
        <v>0</v>
      </c>
      <c r="F430" s="25">
        <f>SUMIFS('Daftar Koreksi'!$H$5:$H$92,'Daftar Koreksi'!$D$5:$D$92,'1900'!A422,'Daftar Koreksi'!$G$5:$G$92,"Aset Tetap Lainnya",'Daftar Koreksi'!$H$5:$H$92,"&lt;0")-SUMIFS('Daftar Koreksi'!$H$5:$H$92,'Daftar Koreksi'!$D$5:$D$92,'1900'!A422,'Daftar Koreksi'!$G$5:$G$92,"Aset Tetap Lainnya",'Daftar Koreksi'!$H$5:$H$92,"&lt;0")-SUMIFS('Daftar Koreksi'!$H$5:$H$92,'Daftar Koreksi'!$D$5:$D$92,'1900'!A422,'Daftar Koreksi'!$G$5:$G$92,"Aset Tetap Lainnya",'Daftar Koreksi'!$H$5:$H$92,"&lt;0")</f>
        <v>0</v>
      </c>
      <c r="G430" s="17">
        <f t="shared" si="19"/>
        <v>14994358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Koreksi'!$D$5:$D$92,'1900'!A422,'Daftar Koreksi'!$G$5:$G$92,"Kontruksi Dalam Pengerjaan",'Daftar Koreksi'!$H$5:$H$92,"&gt;0")</f>
        <v>0</v>
      </c>
      <c r="F431" s="25">
        <f>SUMIFS('Daftar Koreksi'!$H$5:$H$92,'Daftar Koreksi'!$D$5:$D$92,'1900'!A422,'Daftar Koreksi'!$G$5:$G$92,"Kontruksi Dalam Pengerjaan",'Daftar Koreksi'!$H$5:$H$92,"&lt;0")-SUMIFS('Daftar Koreksi'!$H$5:$H$92,'Daftar Koreksi'!$D$5:$D$92,'1900'!A422,'Daftar Koreksi'!$G$5:$G$92,"Kontruksi Dalam Pengerjaan",'Daftar Koreksi'!$H$5:$H$92,"&lt;0")-SUMIFS('Daftar Koreksi'!$H$5:$H$92,'Daftar Koreksi'!$D$5:$D$92,'1900'!A422,'Daftar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24349000</v>
      </c>
      <c r="E432" s="25">
        <f>SUMIFS('Daftar Koreksi'!$H$5:$H$92,'Daftar Koreksi'!$D$5:$D$92,'1900'!A422,'Daftar Koreksi'!$G$5:$G$92,"Aset Tak Berwujud",'Daftar Koreksi'!$H$5:$H$92,"&gt;0")</f>
        <v>0</v>
      </c>
      <c r="F432" s="25">
        <f>SUMIFS('Daftar Koreksi'!$H$5:$H$92,'Daftar Koreksi'!$D$5:$D$92,'1900'!A422,'Daftar Koreksi'!$G$5:$G$92,"Aset Tak Berwujud",'Daftar Koreksi'!$H$5:$H$92,"&lt;0")-SUMIFS('Daftar Koreksi'!$H$5:$H$92,'Daftar Koreksi'!$D$5:$D$92,'1900'!A422,'Daftar Koreksi'!$G$5:$G$92,"Aset Tak Berwujud",'Daftar Koreksi'!$H$5:$H$92,"&lt;0")-SUMIFS('Daftar Koreksi'!$H$5:$H$92,'Daftar Koreksi'!$D$5:$D$92,'1900'!A422,'Daftar Koreksi'!$G$5:$G$92,"Aset Tak Berwujud",'Daftar Koreksi'!$H$5:$H$92,"&lt;0")</f>
        <v>0</v>
      </c>
      <c r="G432" s="17">
        <f t="shared" si="19"/>
        <v>24349000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Koreksi'!$D$5:$D$92,'1900'!A422,'Daftar Koreksi'!$G$5:$G$92,"Aset Henti Guna",'Daftar Koreksi'!$H$5:$H$92,"&gt;0")</f>
        <v>0</v>
      </c>
      <c r="F433" s="25">
        <f>SUMIFS('Daftar Koreksi'!$H$5:$H$92,'Daftar Koreksi'!$D$5:$D$92,'1900'!A422,'Daftar Koreksi'!$G$5:$G$92,"Aset Henti Guna",'Daftar Koreksi'!$H$5:$H$92,"&lt;0")-SUMIFS('Daftar Koreksi'!$H$5:$H$92,'Daftar Koreksi'!$D$5:$D$92,'1900'!A422,'Daftar Koreksi'!$G$5:$G$92,"Aset Henti Guna",'Daftar Koreksi'!$H$5:$H$92,"&lt;0")-SUMIFS('Daftar Koreksi'!$H$5:$H$92,'Daftar Koreksi'!$D$5:$D$92,'1900'!A422,'Daftar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12730660578</v>
      </c>
      <c r="E434" s="19">
        <f>SUM(E425:E433)</f>
        <v>0</v>
      </c>
      <c r="F434" s="19">
        <f>SUM(F425:F433)</f>
        <v>0</v>
      </c>
      <c r="G434" s="19">
        <f t="shared" si="19"/>
        <v>12730660578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-2163478130</v>
      </c>
      <c r="E435" s="25">
        <f>SUMIFS('Daftar Koreksi'!$I$5:$I$92,'Daftar Koreksi'!$D$5:$D$92,'1900'!A422,'Daftar Koreksi'!$G$5:$G$92,"Peralatan dan mesin",'Daftar Koreksi'!$I$5:$I$92,"&gt;0")</f>
        <v>0</v>
      </c>
      <c r="F435" s="25">
        <f>SUMIFS('Daftar Koreksi'!$I$5:$I$92,'Daftar Koreksi'!$D$5:$D$92,'1900'!A422,'Daftar Koreksi'!$G$5:$G$92,"Peralatan dan mesin",'Daftar Koreksi'!$I$5:$I$92,"&lt;0")-SUMIFS('Daftar Koreksi'!$I$5:$I$92,'Daftar Koreksi'!$D$5:$D$92,'1900'!A422,'Daftar Koreksi'!$G$5:$G$92,"Peralatan dan mesin",'Daftar Koreksi'!$I$5:$I$92,"&lt;0")-SUMIFS('Daftar Koreksi'!$I$5:$I$92,'Daftar Koreksi'!$D$5:$D$92,'1900'!A422,'Daftar Koreksi'!$G$5:$G$92,"Peralatan dan mesin",'Daftar Koreksi'!$I$5:$I$92,"&lt;0")</f>
        <v>0</v>
      </c>
      <c r="G435" s="17">
        <f t="shared" si="19"/>
        <v>-2163478130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-1008852640</v>
      </c>
      <c r="E436" s="25">
        <f>SUMIFS('Daftar Koreksi'!$I$5:$I$92,'Daftar Koreksi'!$D$5:$D$92,'1900'!A422,'Daftar Koreksi'!$G$5:$G$92,"Gedung dan Bangunan",'Daftar Koreksi'!$I$5:$I$92,"&gt;0")</f>
        <v>0</v>
      </c>
      <c r="F436" s="25">
        <f>SUMIFS('Daftar Koreksi'!$I$5:$I$92,'Daftar Koreksi'!$D$5:$D$92,'1900'!A422,'Daftar Koreksi'!$G$5:$G$92,"Gedung dan Bangunan",'Daftar Koreksi'!$I$5:$I$92,"&lt;0")-SUMIFS('Daftar Koreksi'!$I$5:$I$92,'Daftar Koreksi'!$D$5:$D$92,'1900'!A422,'Daftar Koreksi'!$G$5:$G$92,"Gedung dan Bangunan",'Daftar Koreksi'!$I$5:$I$92,"&lt;0")-SUMIFS('Daftar Koreksi'!$I$5:$I$92,'Daftar Koreksi'!$D$5:$D$92,'1900'!A422,'Daftar Koreksi'!$G$5:$G$92,"Gedung dan Bangunan",'Daftar Koreksi'!$I$5:$I$92,"&lt;0")</f>
        <v>0</v>
      </c>
      <c r="G436" s="17">
        <f t="shared" si="19"/>
        <v>-1008852640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Koreksi'!$D$5:$D$92,'1900'!A422,'Daftar Koreksi'!$G$5:$G$92,"Jalan Irigasi Jaringan",'Daftar Koreksi'!$I$5:$I$92,"&gt;0")</f>
        <v>0</v>
      </c>
      <c r="F437" s="25">
        <f>SUMIFS('Daftar Koreksi'!$I$5:$I$92,'Daftar Koreksi'!$D$5:$D$92,'1900'!A422,'Daftar Koreksi'!$G$5:$G$92,"Jalan Irigasi Jaringan",'Daftar Koreksi'!$I$5:$I$92,"&lt;0")-SUMIFS('Daftar Koreksi'!$I$5:$I$92,'Daftar Koreksi'!$D$5:$D$92,'1900'!A422,'Daftar Koreksi'!$G$5:$G$92,"Jalan Irigasi Jaringan",'Daftar Koreksi'!$I$5:$I$92,"&lt;0")-SUMIFS('Daftar Koreksi'!$I$5:$I$92,'Daftar Koreksi'!$D$5:$D$92,'1900'!A422,'Daftar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Koreksi'!$D$5:$D$92,'1900'!A422,'Daftar Koreksi'!$G$5:$G$92,"Aset Tetap Lainnya",'Daftar Koreksi'!$I$5:$I$92,"&gt;0")</f>
        <v>0</v>
      </c>
      <c r="F438" s="25">
        <f>SUMIFS('Daftar Koreksi'!$I$5:$I$92,'Daftar Koreksi'!$D$5:$D$92,'1900'!A422,'Daftar Koreksi'!$G$5:$G$92,"Aset Tetap Lainnya",'Daftar Koreksi'!$I$5:$I$92,"&lt;0")-SUMIFS('Daftar Koreksi'!$I$5:$I$92,'Daftar Koreksi'!$D$5:$D$92,'1900'!A422,'Daftar Koreksi'!$G$5:$G$92,"Aset Tetap Lainnya",'Daftar Koreksi'!$I$5:$I$92,"&lt;0")-SUMIFS('Daftar Koreksi'!$I$5:$I$92,'Daftar Koreksi'!$D$5:$D$92,'1900'!A422,'Daftar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Koreksi'!$D$5:$D$92,'1900'!A422,'Daftar Koreksi'!$G$5:$G$92,"Aset Henti Guna",'Daftar Koreksi'!$I$5:$I$92,"&gt;0")</f>
        <v>0</v>
      </c>
      <c r="F439" s="25">
        <f>SUMIFS('Daftar Koreksi'!$I$5:$I$92,'Daftar Koreksi'!$D$5:$D$92,'1900'!A422,'Daftar Koreksi'!$G$5:$G$92,"Aset Henti Guna",'Daftar Koreksi'!$I$5:$I$92,"&lt;0")-SUMIFS('Daftar Koreksi'!$I$5:$I$92,'Daftar Koreksi'!$D$5:$D$92,'1900'!A422,'Daftar Koreksi'!$G$5:$G$92,"Aset Henti Guna",'Daftar Koreksi'!$I$5:$I$92,"&lt;0")-SUMIFS('Daftar Koreksi'!$I$5:$I$92,'Daftar Koreksi'!$D$5:$D$92,'1900'!A422,'Daftar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-3172330770</v>
      </c>
      <c r="E440" s="19">
        <f>SUM(E435:E439)</f>
        <v>0</v>
      </c>
      <c r="F440" s="19">
        <f>SUM(F435:F439)</f>
        <v>0</v>
      </c>
      <c r="G440" s="19">
        <f t="shared" si="19"/>
        <v>-3172330770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9558329808</v>
      </c>
      <c r="E441" s="19">
        <f>E440+E434</f>
        <v>0</v>
      </c>
      <c r="F441" s="19">
        <f>F440+F434</f>
        <v>0</v>
      </c>
      <c r="G441" s="19">
        <f t="shared" si="19"/>
        <v>9558329808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005011900099617000KD</v>
      </c>
      <c r="B444" s="11" t="str">
        <f>P21</f>
        <v>PN. Makale</v>
      </c>
      <c r="C444" s="12" t="str">
        <f>A444&amp;" "&amp;B444</f>
        <v>005011900099617000KD PN. Makale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231000</v>
      </c>
      <c r="E447" s="25">
        <f>SUMIFS('Daftar Koreksi'!$H$5:$H$92,'Daftar Koreksi'!$D$5:$D$92,'1900'!A444,'Daftar Koreksi'!$G$5:$G$92,"Persediaan",'Daftar Koreksi'!$H$5:$H$92,"&gt;0")</f>
        <v>0</v>
      </c>
      <c r="F447" s="25">
        <f>SUMIFS('Daftar Koreksi'!$H$5:$H$92,'Daftar Koreksi'!$D$5:$D$92,'1900'!A444,'Daftar Koreksi'!$G$5:$G$92,"Persediaan",'Daftar Koreksi'!$H$5:$H$92,"&lt;0")-SUMIFS('Daftar Koreksi'!$H$5:$H$92,'Daftar Koreksi'!$D$5:$D$92,'1900'!A444,'Daftar Koreksi'!$G$5:$G$92,"Persediaan",'Daftar Koreksi'!$H$5:$H$92,"&lt;0")-SUMIFS('Daftar Koreksi'!$H$5:$H$92,'Daftar Koreksi'!$D$5:$D$92,'1900'!A444,'Daftar Koreksi'!$G$5:$G$92,"Persediaan",'Daftar Koreksi'!$H$5:$H$92,"&lt;0")</f>
        <v>0</v>
      </c>
      <c r="G447" s="17">
        <f>D447+E447-F447</f>
        <v>231000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5376520000</v>
      </c>
      <c r="E448" s="25">
        <f>SUMIFS('Daftar Koreksi'!$H$5:$H$92,'Daftar Koreksi'!$D$5:$D$92,'1900'!A444,'Daftar Koreksi'!$G$5:$G$92,"Tanah",'Daftar Koreksi'!$H$5:$H$92,"&gt;0")</f>
        <v>0</v>
      </c>
      <c r="F448" s="25">
        <f>SUMIFS('Daftar Koreksi'!$H$5:$H$92,'Daftar Koreksi'!$D$5:$D$92,'1900'!A444,'Daftar Koreksi'!$G$5:$G$92,"Tanah",'Daftar Koreksi'!$H$5:$H$92,"&lt;0")-SUMIFS('Daftar Koreksi'!$H$5:$H$92,'Daftar Koreksi'!$D$5:$D$92,'1900'!A444,'Daftar Koreksi'!$G$5:$G$92,"Tanah",'Daftar Koreksi'!$H$5:$H$92,"&lt;0")-SUMIFS('Daftar Koreksi'!$H$5:$H$92,'Daftar Koreksi'!$D$5:$D$92,'1900'!A444,'Daftar Koreksi'!$G$5:$G$92,"Tanah",'Daftar Koreksi'!$H$5:$H$92,"&lt;0")</f>
        <v>0</v>
      </c>
      <c r="G448" s="17">
        <f t="shared" ref="G448:G464" si="20">D448+E448-F448</f>
        <v>5376520000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1460810737</v>
      </c>
      <c r="E449" s="25">
        <f>SUMIFS('Daftar Koreksi'!$H$5:$H$92,'Daftar Koreksi'!$D$5:$D$92,'1900'!A444,'Daftar Koreksi'!$G$5:$G$92,"Peralatan dan mesin",'Daftar Koreksi'!$H$5:$H$92,"&gt;0")</f>
        <v>0</v>
      </c>
      <c r="F449" s="25">
        <f>SUMIFS('Daftar Koreksi'!$H$5:$H$92,'Daftar Koreksi'!$D$5:$D$92,'1900'!A444,'Daftar Koreksi'!$G$5:$G$92,"Peralatan dan mesin",'Daftar Koreksi'!$H$5:$H$92,"&lt;0")-SUMIFS('Daftar Koreksi'!$H$5:$H$92,'Daftar Koreksi'!$D$5:$D$92,'1900'!A444,'Daftar Koreksi'!$G$5:$G$92,"Peralatan dan mesin",'Daftar Koreksi'!$H$5:$H$92,"&lt;0")-SUMIFS('Daftar Koreksi'!$H$5:$H$92,'Daftar Koreksi'!$D$5:$D$92,'1900'!A444,'Daftar Koreksi'!$G$5:$G$92,"Peralatan dan mesin",'Daftar Koreksi'!$H$5:$H$92,"&lt;0")</f>
        <v>0</v>
      </c>
      <c r="G449" s="17">
        <f t="shared" si="20"/>
        <v>1460810737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6672017589</v>
      </c>
      <c r="E450" s="25">
        <f>SUMIFS('Daftar Koreksi'!$H$5:$H$92,'Daftar Koreksi'!$D$5:$D$92,'1900'!A444,'Daftar Koreksi'!$G$5:$G$92,"Gedung dan Bangunan",'Daftar Koreksi'!$H$5:$H$92,"&gt;0")</f>
        <v>0</v>
      </c>
      <c r="F450" s="25">
        <f>SUMIFS('Daftar Koreksi'!$H$5:$H$92,'Daftar Koreksi'!$D$5:$D$92,'1900'!A444,'Daftar Koreksi'!$G$5:$G$92,"Gedung dan Bangunan",'Daftar Koreksi'!$H$5:$H$92,"&lt;0")-SUMIFS('Daftar Koreksi'!$H$5:$H$92,'Daftar Koreksi'!$D$5:$D$92,'1900'!A444,'Daftar Koreksi'!$G$5:$G$92,"Gedung dan Bangunan",'Daftar Koreksi'!$H$5:$H$92,"&lt;0")-SUMIFS('Daftar Koreksi'!$H$5:$H$92,'Daftar Koreksi'!$D$5:$D$92,'1900'!A444,'Daftar Koreksi'!$G$5:$G$92,"Gedung dan Bangunan",'Daftar Koreksi'!$H$5:$H$92,"&lt;0")</f>
        <v>0</v>
      </c>
      <c r="G450" s="17">
        <f t="shared" si="20"/>
        <v>6672017589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Koreksi'!$D$5:$D$92,'1900'!A444,'Daftar Koreksi'!$G$5:$G$92,"Jalan Irigasi Jaringan",'Daftar Koreksi'!$H$5:$H$92,"&gt;0")</f>
        <v>0</v>
      </c>
      <c r="F451" s="25">
        <f>SUMIFS('Daftar Koreksi'!$H$5:$H$92,'Daftar Koreksi'!$D$5:$D$92,'1900'!A444,'Daftar Koreksi'!$G$5:$G$92,"Jalan Irigasi Jaringan",'Daftar Koreksi'!$H$5:$H$92,"&lt;0")-SUMIFS('Daftar Koreksi'!$H$5:$H$92,'Daftar Koreksi'!$D$5:$D$92,'1900'!A444,'Daftar Koreksi'!$G$5:$G$92,"Jalan Irigasi Jaringan",'Daftar Koreksi'!$H$5:$H$92,"&lt;0")-SUMIFS('Daftar Koreksi'!$H$5:$H$92,'Daftar Koreksi'!$D$5:$D$92,'1900'!A444,'Daftar Koreksi'!$G$5:$G$92,"Jalan Irigasi Jaringan",'Daftar Koreksi'!$H$5:$H$92,"&lt;0")</f>
        <v>0</v>
      </c>
      <c r="G451" s="17">
        <f t="shared" si="20"/>
        <v>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1943440</v>
      </c>
      <c r="E452" s="25">
        <f>SUMIFS('Daftar Koreksi'!$H$5:$H$92,'Daftar Koreksi'!$D$5:$D$92,'1900'!A444,'Daftar Koreksi'!$G$5:$G$92,"Aset Tetap Lainnya",'Daftar Koreksi'!$H$5:$H$92,"&gt;0")</f>
        <v>0</v>
      </c>
      <c r="F452" s="25">
        <f>SUMIFS('Daftar Koreksi'!$H$5:$H$92,'Daftar Koreksi'!$D$5:$D$92,'1900'!A444,'Daftar Koreksi'!$G$5:$G$92,"Aset Tetap Lainnya",'Daftar Koreksi'!$H$5:$H$92,"&lt;0")-SUMIFS('Daftar Koreksi'!$H$5:$H$92,'Daftar Koreksi'!$D$5:$D$92,'1900'!A444,'Daftar Koreksi'!$G$5:$G$92,"Aset Tetap Lainnya",'Daftar Koreksi'!$H$5:$H$92,"&lt;0")-SUMIFS('Daftar Koreksi'!$H$5:$H$92,'Daftar Koreksi'!$D$5:$D$92,'1900'!A444,'Daftar Koreksi'!$G$5:$G$92,"Aset Tetap Lainnya",'Daftar Koreksi'!$H$5:$H$92,"&lt;0")</f>
        <v>0</v>
      </c>
      <c r="G452" s="17">
        <f t="shared" si="20"/>
        <v>1943440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Koreksi'!$D$5:$D$92,'1900'!A444,'Daftar Koreksi'!$G$5:$G$92,"Kontruksi Dalam Pengerjaan",'Daftar Koreksi'!$H$5:$H$92,"&gt;0")</f>
        <v>0</v>
      </c>
      <c r="F453" s="25">
        <f>SUMIFS('Daftar Koreksi'!$H$5:$H$92,'Daftar Koreksi'!$D$5:$D$92,'1900'!A444,'Daftar Koreksi'!$G$5:$G$92,"Kontruksi Dalam Pengerjaan",'Daftar Koreksi'!$H$5:$H$92,"&lt;0")-SUMIFS('Daftar Koreksi'!$H$5:$H$92,'Daftar Koreksi'!$D$5:$D$92,'1900'!A444,'Daftar Koreksi'!$G$5:$G$92,"Kontruksi Dalam Pengerjaan",'Daftar Koreksi'!$H$5:$H$92,"&lt;0")-SUMIFS('Daftar Koreksi'!$H$5:$H$92,'Daftar Koreksi'!$D$5:$D$92,'1900'!A444,'Daftar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24349000</v>
      </c>
      <c r="E454" s="25">
        <f>SUMIFS('Daftar Koreksi'!$H$5:$H$92,'Daftar Koreksi'!$D$5:$D$92,'1900'!A444,'Daftar Koreksi'!$G$5:$G$92,"Aset Tak Berwujud",'Daftar Koreksi'!$H$5:$H$92,"&gt;0")</f>
        <v>0</v>
      </c>
      <c r="F454" s="25">
        <f>SUMIFS('Daftar Koreksi'!$H$5:$H$92,'Daftar Koreksi'!$D$5:$D$92,'1900'!A444,'Daftar Koreksi'!$G$5:$G$92,"Aset Tak Berwujud",'Daftar Koreksi'!$H$5:$H$92,"&lt;0")-SUMIFS('Daftar Koreksi'!$H$5:$H$92,'Daftar Koreksi'!$D$5:$D$92,'1900'!A444,'Daftar Koreksi'!$G$5:$G$92,"Aset Tak Berwujud",'Daftar Koreksi'!$H$5:$H$92,"&lt;0")-SUMIFS('Daftar Koreksi'!$H$5:$H$92,'Daftar Koreksi'!$D$5:$D$92,'1900'!A444,'Daftar Koreksi'!$G$5:$G$92,"Aset Tak Berwujud",'Daftar Koreksi'!$H$5:$H$92,"&lt;0")</f>
        <v>0</v>
      </c>
      <c r="G454" s="17">
        <f t="shared" si="20"/>
        <v>24349000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Koreksi'!$D$5:$D$92,'1900'!A444,'Daftar Koreksi'!$G$5:$G$92,"Aset Henti Guna",'Daftar Koreksi'!$H$5:$H$92,"&gt;0")</f>
        <v>0</v>
      </c>
      <c r="F455" s="25">
        <f>SUMIFS('Daftar Koreksi'!$H$5:$H$92,'Daftar Koreksi'!$D$5:$D$92,'1900'!A444,'Daftar Koreksi'!$G$5:$G$92,"Aset Henti Guna",'Daftar Koreksi'!$H$5:$H$92,"&lt;0")-SUMIFS('Daftar Koreksi'!$H$5:$H$92,'Daftar Koreksi'!$D$5:$D$92,'1900'!A444,'Daftar Koreksi'!$G$5:$G$92,"Aset Henti Guna",'Daftar Koreksi'!$H$5:$H$92,"&lt;0")-SUMIFS('Daftar Koreksi'!$H$5:$H$92,'Daftar Koreksi'!$D$5:$D$92,'1900'!A444,'Daftar Koreksi'!$G$5:$G$92,"Aset Henti Guna",'Daftar Koreksi'!$H$5:$H$92,"&lt;0")</f>
        <v>0</v>
      </c>
      <c r="G455" s="17">
        <f t="shared" si="20"/>
        <v>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13535871766</v>
      </c>
      <c r="E456" s="19">
        <f>SUM(E447:E455)</f>
        <v>0</v>
      </c>
      <c r="F456" s="19">
        <f>SUM(F447:F455)</f>
        <v>0</v>
      </c>
      <c r="G456" s="19">
        <f t="shared" si="20"/>
        <v>13535871766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-1078740934</v>
      </c>
      <c r="E457" s="25">
        <f>SUMIFS('Daftar Koreksi'!$I$5:$I$92,'Daftar Koreksi'!$D$5:$D$92,'1900'!A444,'Daftar Koreksi'!$G$5:$G$92,"Peralatan dan mesin",'Daftar Koreksi'!$I$5:$I$92,"&gt;0")</f>
        <v>0</v>
      </c>
      <c r="F457" s="25">
        <f>SUMIFS('Daftar Koreksi'!$I$5:$I$92,'Daftar Koreksi'!$D$5:$D$92,'1900'!A444,'Daftar Koreksi'!$G$5:$G$92,"Peralatan dan mesin",'Daftar Koreksi'!$I$5:$I$92,"&lt;0")-SUMIFS('Daftar Koreksi'!$I$5:$I$92,'Daftar Koreksi'!$D$5:$D$92,'1900'!A444,'Daftar Koreksi'!$G$5:$G$92,"Peralatan dan mesin",'Daftar Koreksi'!$I$5:$I$92,"&lt;0")-SUMIFS('Daftar Koreksi'!$I$5:$I$92,'Daftar Koreksi'!$D$5:$D$92,'1900'!A444,'Daftar Koreksi'!$G$5:$G$92,"Peralatan dan mesin",'Daftar Koreksi'!$I$5:$I$92,"&lt;0")</f>
        <v>0</v>
      </c>
      <c r="G457" s="17">
        <f t="shared" si="20"/>
        <v>-1078740934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-1726374562</v>
      </c>
      <c r="E458" s="25">
        <f>SUMIFS('Daftar Koreksi'!$I$5:$I$92,'Daftar Koreksi'!$D$5:$D$92,'1900'!A444,'Daftar Koreksi'!$G$5:$G$92,"Gedung dan Bangunan",'Daftar Koreksi'!$I$5:$I$92,"&gt;0")</f>
        <v>0</v>
      </c>
      <c r="F458" s="25">
        <f>SUMIFS('Daftar Koreksi'!$I$5:$I$92,'Daftar Koreksi'!$D$5:$D$92,'1900'!A444,'Daftar Koreksi'!$G$5:$G$92,"Gedung dan Bangunan",'Daftar Koreksi'!$I$5:$I$92,"&lt;0")-SUMIFS('Daftar Koreksi'!$I$5:$I$92,'Daftar Koreksi'!$D$5:$D$92,'1900'!A444,'Daftar Koreksi'!$G$5:$G$92,"Gedung dan Bangunan",'Daftar Koreksi'!$I$5:$I$92,"&lt;0")-SUMIFS('Daftar Koreksi'!$I$5:$I$92,'Daftar Koreksi'!$D$5:$D$92,'1900'!A444,'Daftar Koreksi'!$G$5:$G$92,"Gedung dan Bangunan",'Daftar Koreksi'!$I$5:$I$92,"&lt;0")</f>
        <v>0</v>
      </c>
      <c r="G458" s="17">
        <f t="shared" si="20"/>
        <v>-1726374562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Koreksi'!$D$5:$D$92,'1900'!A444,'Daftar Koreksi'!$G$5:$G$92,"Jalan Irigasi Jaringan",'Daftar Koreksi'!$I$5:$I$92,"&gt;0")</f>
        <v>0</v>
      </c>
      <c r="F459" s="25">
        <f>SUMIFS('Daftar Koreksi'!$I$5:$I$92,'Daftar Koreksi'!$D$5:$D$92,'1900'!A444,'Daftar Koreksi'!$G$5:$G$92,"Jalan Irigasi Jaringan",'Daftar Koreksi'!$I$5:$I$92,"&lt;0")-SUMIFS('Daftar Koreksi'!$I$5:$I$92,'Daftar Koreksi'!$D$5:$D$92,'1900'!A444,'Daftar Koreksi'!$G$5:$G$92,"Jalan Irigasi Jaringan",'Daftar Koreksi'!$I$5:$I$92,"&lt;0")-SUMIFS('Daftar Koreksi'!$I$5:$I$92,'Daftar Koreksi'!$D$5:$D$92,'1900'!A444,'Daftar Koreksi'!$G$5:$G$92,"Jalan Irigasi Jaringan",'Daftar Koreksi'!$I$5:$I$92,"&lt;0")</f>
        <v>0</v>
      </c>
      <c r="G459" s="17">
        <f t="shared" si="20"/>
        <v>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Koreksi'!$D$5:$D$92,'1900'!A444,'Daftar Koreksi'!$G$5:$G$92,"Aset Tetap Lainnya",'Daftar Koreksi'!$I$5:$I$92,"&gt;0")</f>
        <v>0</v>
      </c>
      <c r="F460" s="25">
        <f>SUMIFS('Daftar Koreksi'!$I$5:$I$92,'Daftar Koreksi'!$D$5:$D$92,'1900'!A444,'Daftar Koreksi'!$G$5:$G$92,"Aset Tetap Lainnya",'Daftar Koreksi'!$I$5:$I$92,"&lt;0")-SUMIFS('Daftar Koreksi'!$I$5:$I$92,'Daftar Koreksi'!$D$5:$D$92,'1900'!A444,'Daftar Koreksi'!$G$5:$G$92,"Aset Tetap Lainnya",'Daftar Koreksi'!$I$5:$I$92,"&lt;0")-SUMIFS('Daftar Koreksi'!$I$5:$I$92,'Daftar Koreksi'!$D$5:$D$92,'1900'!A444,'Daftar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Koreksi'!$D$5:$D$92,'1900'!A444,'Daftar Koreksi'!$G$5:$G$92,"Aset Henti Guna",'Daftar Koreksi'!$I$5:$I$92,"&gt;0")</f>
        <v>0</v>
      </c>
      <c r="F461" s="25">
        <f>SUMIFS('Daftar Koreksi'!$I$5:$I$92,'Daftar Koreksi'!$D$5:$D$92,'1900'!A444,'Daftar Koreksi'!$G$5:$G$92,"Aset Henti Guna",'Daftar Koreksi'!$I$5:$I$92,"&lt;0")-SUMIFS('Daftar Koreksi'!$I$5:$I$92,'Daftar Koreksi'!$D$5:$D$92,'1900'!A444,'Daftar Koreksi'!$G$5:$G$92,"Aset Henti Guna",'Daftar Koreksi'!$I$5:$I$92,"&lt;0")-SUMIFS('Daftar Koreksi'!$I$5:$I$92,'Daftar Koreksi'!$D$5:$D$92,'1900'!A444,'Daftar Koreksi'!$G$5:$G$92,"Aset Henti Guna",'Daftar Koreksi'!$I$5:$I$92,"&lt;0")</f>
        <v>0</v>
      </c>
      <c r="G461" s="17">
        <f t="shared" si="20"/>
        <v>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-2805115496</v>
      </c>
      <c r="E462" s="19">
        <f>SUM(E457:E461)</f>
        <v>0</v>
      </c>
      <c r="F462" s="19">
        <f>SUM(F457:F461)</f>
        <v>0</v>
      </c>
      <c r="G462" s="19">
        <f t="shared" si="20"/>
        <v>-2805115496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10730756270</v>
      </c>
      <c r="E463" s="19">
        <f>E462+E456</f>
        <v>0</v>
      </c>
      <c r="F463" s="19">
        <f>F462+F456</f>
        <v>0</v>
      </c>
      <c r="G463" s="19">
        <f t="shared" si="20"/>
        <v>10730756270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005011900307424000KD</v>
      </c>
      <c r="B466" s="11" t="str">
        <f>P22</f>
        <v>PTA. Makassar</v>
      </c>
      <c r="C466" s="12" t="str">
        <f>A466&amp;" "&amp;B466</f>
        <v>005011900307424000KD PTA. Makassar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12789920</v>
      </c>
      <c r="E469" s="25">
        <f>SUMIFS('Daftar Koreksi'!$H$5:$H$92,'Daftar Koreksi'!$D$5:$D$92,'1900'!A466,'Daftar Koreksi'!$G$5:$G$92,"Persediaan",'Daftar Koreksi'!$H$5:$H$92,"&gt;0")</f>
        <v>0</v>
      </c>
      <c r="F469" s="25">
        <f>SUMIFS('Daftar Koreksi'!$H$5:$H$92,'Daftar Koreksi'!$D$5:$D$92,'1900'!A466,'Daftar Koreksi'!$G$5:$G$92,"Persediaan",'Daftar Koreksi'!$H$5:$H$92,"&lt;0")-SUMIFS('Daftar Koreksi'!$H$5:$H$92,'Daftar Koreksi'!$D$5:$D$92,'1900'!A466,'Daftar Koreksi'!$G$5:$G$92,"Persediaan",'Daftar Koreksi'!$H$5:$H$92,"&lt;0")-SUMIFS('Daftar Koreksi'!$H$5:$H$92,'Daftar Koreksi'!$D$5:$D$92,'1900'!A466,'Daftar Koreksi'!$G$5:$G$92,"Persediaan",'Daftar Koreksi'!$H$5:$H$92,"&lt;0")</f>
        <v>0</v>
      </c>
      <c r="G469" s="17">
        <f>D469+E469-F469</f>
        <v>12789920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5383873000</v>
      </c>
      <c r="E470" s="25">
        <f>SUMIFS('Daftar Koreksi'!$H$5:$H$92,'Daftar Koreksi'!$D$5:$D$92,'1900'!A466,'Daftar Koreksi'!$G$5:$G$92,"Tanah",'Daftar Koreksi'!$H$5:$H$92,"&gt;0")</f>
        <v>0</v>
      </c>
      <c r="F470" s="25">
        <f>SUMIFS('Daftar Koreksi'!$H$5:$H$92,'Daftar Koreksi'!$D$5:$D$92,'1900'!A466,'Daftar Koreksi'!$G$5:$G$92,"Tanah",'Daftar Koreksi'!$H$5:$H$92,"&lt;0")-SUMIFS('Daftar Koreksi'!$H$5:$H$92,'Daftar Koreksi'!$D$5:$D$92,'1900'!A466,'Daftar Koreksi'!$G$5:$G$92,"Tanah",'Daftar Koreksi'!$H$5:$H$92,"&lt;0")-SUMIFS('Daftar Koreksi'!$H$5:$H$92,'Daftar Koreksi'!$D$5:$D$92,'1900'!A466,'Daftar Koreksi'!$G$5:$G$92,"Tanah",'Daftar Koreksi'!$H$5:$H$92,"&lt;0")</f>
        <v>0</v>
      </c>
      <c r="G470" s="17">
        <f t="shared" ref="G470:G486" si="21">D470+E470-F470</f>
        <v>5383873000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4007341793</v>
      </c>
      <c r="E471" s="25">
        <f>SUMIFS('Daftar Koreksi'!$H$5:$H$92,'Daftar Koreksi'!$D$5:$D$92,'1900'!A466,'Daftar Koreksi'!$G$5:$G$92,"Peralatan dan mesin",'Daftar Koreksi'!$H$5:$H$92,"&gt;0")</f>
        <v>0</v>
      </c>
      <c r="F471" s="25">
        <f>SUMIFS('Daftar Koreksi'!$H$5:$H$92,'Daftar Koreksi'!$D$5:$D$92,'1900'!A466,'Daftar Koreksi'!$G$5:$G$92,"Peralatan dan mesin",'Daftar Koreksi'!$H$5:$H$92,"&lt;0")-SUMIFS('Daftar Koreksi'!$H$5:$H$92,'Daftar Koreksi'!$D$5:$D$92,'1900'!A466,'Daftar Koreksi'!$G$5:$G$92,"Peralatan dan mesin",'Daftar Koreksi'!$H$5:$H$92,"&lt;0")-SUMIFS('Daftar Koreksi'!$H$5:$H$92,'Daftar Koreksi'!$D$5:$D$92,'1900'!A466,'Daftar Koreksi'!$G$5:$G$92,"Peralatan dan mesin",'Daftar Koreksi'!$H$5:$H$92,"&lt;0")</f>
        <v>0</v>
      </c>
      <c r="G471" s="17">
        <f t="shared" si="21"/>
        <v>4007341793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2653383700</v>
      </c>
      <c r="E472" s="25">
        <f>SUMIFS('Daftar Koreksi'!$H$5:$H$92,'Daftar Koreksi'!$D$5:$D$92,'1900'!A466,'Daftar Koreksi'!$G$5:$G$92,"Gedung dan Bangunan",'Daftar Koreksi'!$H$5:$H$92,"&gt;0")</f>
        <v>0</v>
      </c>
      <c r="F472" s="25">
        <f>SUMIFS('Daftar Koreksi'!$H$5:$H$92,'Daftar Koreksi'!$D$5:$D$92,'1900'!A466,'Daftar Koreksi'!$G$5:$G$92,"Gedung dan Bangunan",'Daftar Koreksi'!$H$5:$H$92,"&lt;0")-SUMIFS('Daftar Koreksi'!$H$5:$H$92,'Daftar Koreksi'!$D$5:$D$92,'1900'!A466,'Daftar Koreksi'!$G$5:$G$92,"Gedung dan Bangunan",'Daftar Koreksi'!$H$5:$H$92,"&lt;0")-SUMIFS('Daftar Koreksi'!$H$5:$H$92,'Daftar Koreksi'!$D$5:$D$92,'1900'!A466,'Daftar Koreksi'!$G$5:$G$92,"Gedung dan Bangunan",'Daftar Koreksi'!$H$5:$H$92,"&lt;0")</f>
        <v>0</v>
      </c>
      <c r="G472" s="17">
        <f t="shared" si="21"/>
        <v>2653383700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281011000</v>
      </c>
      <c r="E473" s="25">
        <f>SUMIFS('Daftar Koreksi'!$H$5:$H$92,'Daftar Koreksi'!$D$5:$D$92,'1900'!A466,'Daftar Koreksi'!$G$5:$G$92,"Jalan Irigasi Jaringan",'Daftar Koreksi'!$H$5:$H$92,"&gt;0")</f>
        <v>0</v>
      </c>
      <c r="F473" s="25">
        <f>SUMIFS('Daftar Koreksi'!$H$5:$H$92,'Daftar Koreksi'!$D$5:$D$92,'1900'!A466,'Daftar Koreksi'!$G$5:$G$92,"Jalan Irigasi Jaringan",'Daftar Koreksi'!$H$5:$H$92,"&lt;0")-SUMIFS('Daftar Koreksi'!$H$5:$H$92,'Daftar Koreksi'!$D$5:$D$92,'1900'!A466,'Daftar Koreksi'!$G$5:$G$92,"Jalan Irigasi Jaringan",'Daftar Koreksi'!$H$5:$H$92,"&lt;0")-SUMIFS('Daftar Koreksi'!$H$5:$H$92,'Daftar Koreksi'!$D$5:$D$92,'1900'!A466,'Daftar Koreksi'!$G$5:$G$92,"Jalan Irigasi Jaringan",'Daftar Koreksi'!$H$5:$H$92,"&lt;0")</f>
        <v>0</v>
      </c>
      <c r="G473" s="17">
        <f t="shared" si="21"/>
        <v>281011000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35370026</v>
      </c>
      <c r="E474" s="25">
        <f>SUMIFS('Daftar Koreksi'!$H$5:$H$92,'Daftar Koreksi'!$D$5:$D$92,'1900'!A466,'Daftar Koreksi'!$G$5:$G$92,"Aset Tetap Lainnya",'Daftar Koreksi'!$H$5:$H$92,"&gt;0")</f>
        <v>0</v>
      </c>
      <c r="F474" s="25">
        <f>SUMIFS('Daftar Koreksi'!$H$5:$H$92,'Daftar Koreksi'!$D$5:$D$92,'1900'!A466,'Daftar Koreksi'!$G$5:$G$92,"Aset Tetap Lainnya",'Daftar Koreksi'!$H$5:$H$92,"&lt;0")-SUMIFS('Daftar Koreksi'!$H$5:$H$92,'Daftar Koreksi'!$D$5:$D$92,'1900'!A466,'Daftar Koreksi'!$G$5:$G$92,"Aset Tetap Lainnya",'Daftar Koreksi'!$H$5:$H$92,"&lt;0")-SUMIFS('Daftar Koreksi'!$H$5:$H$92,'Daftar Koreksi'!$D$5:$D$92,'1900'!A466,'Daftar Koreksi'!$G$5:$G$92,"Aset Tetap Lainnya",'Daftar Koreksi'!$H$5:$H$92,"&lt;0")</f>
        <v>0</v>
      </c>
      <c r="G474" s="17">
        <f t="shared" si="21"/>
        <v>35370026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Koreksi'!$D$5:$D$92,'1900'!A466,'Daftar Koreksi'!$G$5:$G$92,"Kontruksi Dalam Pengerjaan",'Daftar Koreksi'!$H$5:$H$92,"&gt;0")</f>
        <v>0</v>
      </c>
      <c r="F475" s="25">
        <f>SUMIFS('Daftar Koreksi'!$H$5:$H$92,'Daftar Koreksi'!$D$5:$D$92,'1900'!A466,'Daftar Koreksi'!$G$5:$G$92,"Kontruksi Dalam Pengerjaan",'Daftar Koreksi'!$H$5:$H$92,"&lt;0")-SUMIFS('Daftar Koreksi'!$H$5:$H$92,'Daftar Koreksi'!$D$5:$D$92,'1900'!A466,'Daftar Koreksi'!$G$5:$G$92,"Kontruksi Dalam Pengerjaan",'Daftar Koreksi'!$H$5:$H$92,"&lt;0")-SUMIFS('Daftar Koreksi'!$H$5:$H$92,'Daftar Koreksi'!$D$5:$D$92,'1900'!A466,'Daftar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51495000</v>
      </c>
      <c r="E476" s="25">
        <f>SUMIFS('Daftar Koreksi'!$H$5:$H$92,'Daftar Koreksi'!$D$5:$D$92,'1900'!A466,'Daftar Koreksi'!$G$5:$G$92,"Aset Tak Berwujud",'Daftar Koreksi'!$H$5:$H$92,"&gt;0")</f>
        <v>0</v>
      </c>
      <c r="F476" s="25">
        <f>SUMIFS('Daftar Koreksi'!$H$5:$H$92,'Daftar Koreksi'!$D$5:$D$92,'1900'!A466,'Daftar Koreksi'!$G$5:$G$92,"Aset Tak Berwujud",'Daftar Koreksi'!$H$5:$H$92,"&lt;0")-SUMIFS('Daftar Koreksi'!$H$5:$H$92,'Daftar Koreksi'!$D$5:$D$92,'1900'!A466,'Daftar Koreksi'!$G$5:$G$92,"Aset Tak Berwujud",'Daftar Koreksi'!$H$5:$H$92,"&lt;0")-SUMIFS('Daftar Koreksi'!$H$5:$H$92,'Daftar Koreksi'!$D$5:$D$92,'1900'!A466,'Daftar Koreksi'!$G$5:$G$92,"Aset Tak Berwujud",'Daftar Koreksi'!$H$5:$H$92,"&lt;0")</f>
        <v>0</v>
      </c>
      <c r="G476" s="17">
        <f t="shared" si="21"/>
        <v>51495000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16240000</v>
      </c>
      <c r="E477" s="25">
        <f>SUMIFS('Daftar Koreksi'!$H$5:$H$92,'Daftar Koreksi'!$D$5:$D$92,'1900'!A466,'Daftar Koreksi'!$G$5:$G$92,"Aset Henti Guna",'Daftar Koreksi'!$H$5:$H$92,"&gt;0")</f>
        <v>0</v>
      </c>
      <c r="F477" s="25">
        <f>SUMIFS('Daftar Koreksi'!$H$5:$H$92,'Daftar Koreksi'!$D$5:$D$92,'1900'!A466,'Daftar Koreksi'!$G$5:$G$92,"Aset Henti Guna",'Daftar Koreksi'!$H$5:$H$92,"&lt;0")-SUMIFS('Daftar Koreksi'!$H$5:$H$92,'Daftar Koreksi'!$D$5:$D$92,'1900'!A466,'Daftar Koreksi'!$G$5:$G$92,"Aset Henti Guna",'Daftar Koreksi'!$H$5:$H$92,"&lt;0")-SUMIFS('Daftar Koreksi'!$H$5:$H$92,'Daftar Koreksi'!$D$5:$D$92,'1900'!A466,'Daftar Koreksi'!$G$5:$G$92,"Aset Henti Guna",'Daftar Koreksi'!$H$5:$H$92,"&lt;0")</f>
        <v>0</v>
      </c>
      <c r="G477" s="17">
        <f t="shared" si="21"/>
        <v>16240000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12441504439</v>
      </c>
      <c r="E478" s="19">
        <f>SUM(E469:E477)</f>
        <v>0</v>
      </c>
      <c r="F478" s="19">
        <f>SUM(F469:F477)</f>
        <v>0</v>
      </c>
      <c r="G478" s="19">
        <f t="shared" si="21"/>
        <v>12441504439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-3465479361</v>
      </c>
      <c r="E479" s="25">
        <f>SUMIFS('Daftar Koreksi'!$I$5:$I$92,'Daftar Koreksi'!$D$5:$D$92,'1900'!A466,'Daftar Koreksi'!$G$5:$G$92,"Peralatan dan mesin",'Daftar Koreksi'!$I$5:$I$92,"&gt;0")</f>
        <v>0</v>
      </c>
      <c r="F479" s="25">
        <f>SUMIFS('Daftar Koreksi'!$I$5:$I$92,'Daftar Koreksi'!$D$5:$D$92,'1900'!A466,'Daftar Koreksi'!$G$5:$G$92,"Peralatan dan mesin",'Daftar Koreksi'!$I$5:$I$92,"&lt;0")-SUMIFS('Daftar Koreksi'!$I$5:$I$92,'Daftar Koreksi'!$D$5:$D$92,'1900'!A466,'Daftar Koreksi'!$G$5:$G$92,"Peralatan dan mesin",'Daftar Koreksi'!$I$5:$I$92,"&lt;0")-SUMIFS('Daftar Koreksi'!$I$5:$I$92,'Daftar Koreksi'!$D$5:$D$92,'1900'!A466,'Daftar Koreksi'!$G$5:$G$92,"Peralatan dan mesin",'Daftar Koreksi'!$I$5:$I$92,"&lt;0")</f>
        <v>0</v>
      </c>
      <c r="G479" s="17">
        <f t="shared" si="21"/>
        <v>-3465479361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-1173872354</v>
      </c>
      <c r="E480" s="25">
        <f>SUMIFS('Daftar Koreksi'!$I$5:$I$92,'Daftar Koreksi'!$D$5:$D$92,'1900'!A466,'Daftar Koreksi'!$G$5:$G$92,"Gedung dan Bangunan",'Daftar Koreksi'!$I$5:$I$92,"&gt;0")</f>
        <v>0</v>
      </c>
      <c r="F480" s="25">
        <f>SUMIFS('Daftar Koreksi'!$I$5:$I$92,'Daftar Koreksi'!$D$5:$D$92,'1900'!A466,'Daftar Koreksi'!$G$5:$G$92,"Gedung dan Bangunan",'Daftar Koreksi'!$I$5:$I$92,"&lt;0")-SUMIFS('Daftar Koreksi'!$I$5:$I$92,'Daftar Koreksi'!$D$5:$D$92,'1900'!A466,'Daftar Koreksi'!$G$5:$G$92,"Gedung dan Bangunan",'Daftar Koreksi'!$I$5:$I$92,"&lt;0")-SUMIFS('Daftar Koreksi'!$I$5:$I$92,'Daftar Koreksi'!$D$5:$D$92,'1900'!A466,'Daftar Koreksi'!$G$5:$G$92,"Gedung dan Bangunan",'Daftar Koreksi'!$I$5:$I$92,"&lt;0")</f>
        <v>0</v>
      </c>
      <c r="G480" s="17">
        <f t="shared" si="21"/>
        <v>-1173872354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-67122213</v>
      </c>
      <c r="E481" s="25">
        <f>SUMIFS('Daftar Koreksi'!$I$5:$I$92,'Daftar Koreksi'!$D$5:$D$92,'1900'!A466,'Daftar Koreksi'!$G$5:$G$92,"Jalan Irigasi Jaringan",'Daftar Koreksi'!$I$5:$I$92,"&gt;0")</f>
        <v>0</v>
      </c>
      <c r="F481" s="25">
        <f>SUMIFS('Daftar Koreksi'!$I$5:$I$92,'Daftar Koreksi'!$D$5:$D$92,'1900'!A466,'Daftar Koreksi'!$G$5:$G$92,"Jalan Irigasi Jaringan",'Daftar Koreksi'!$I$5:$I$92,"&lt;0")-SUMIFS('Daftar Koreksi'!$I$5:$I$92,'Daftar Koreksi'!$D$5:$D$92,'1900'!A466,'Daftar Koreksi'!$G$5:$G$92,"Jalan Irigasi Jaringan",'Daftar Koreksi'!$I$5:$I$92,"&lt;0")-SUMIFS('Daftar Koreksi'!$I$5:$I$92,'Daftar Koreksi'!$D$5:$D$92,'1900'!A466,'Daftar Koreksi'!$G$5:$G$92,"Jalan Irigasi Jaringan",'Daftar Koreksi'!$I$5:$I$92,"&lt;0")</f>
        <v>0</v>
      </c>
      <c r="G481" s="17">
        <f t="shared" si="21"/>
        <v>-67122213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Koreksi'!$D$5:$D$92,'1900'!A466,'Daftar Koreksi'!$G$5:$G$92,"Aset Tetap Lainnya",'Daftar Koreksi'!$I$5:$I$92,"&gt;0")</f>
        <v>0</v>
      </c>
      <c r="F482" s="25">
        <f>SUMIFS('Daftar Koreksi'!$I$5:$I$92,'Daftar Koreksi'!$D$5:$D$92,'1900'!A466,'Daftar Koreksi'!$G$5:$G$92,"Aset Tetap Lainnya",'Daftar Koreksi'!$I$5:$I$92,"&lt;0")-SUMIFS('Daftar Koreksi'!$I$5:$I$92,'Daftar Koreksi'!$D$5:$D$92,'1900'!A466,'Daftar Koreksi'!$G$5:$G$92,"Aset Tetap Lainnya",'Daftar Koreksi'!$I$5:$I$92,"&lt;0")-SUMIFS('Daftar Koreksi'!$I$5:$I$92,'Daftar Koreksi'!$D$5:$D$92,'1900'!A466,'Daftar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-16240000</v>
      </c>
      <c r="E483" s="25">
        <f>SUMIFS('Daftar Koreksi'!$I$5:$I$92,'Daftar Koreksi'!$D$5:$D$92,'1900'!A466,'Daftar Koreksi'!$G$5:$G$92,"Aset Henti Guna",'Daftar Koreksi'!$I$5:$I$92,"&gt;0")</f>
        <v>0</v>
      </c>
      <c r="F483" s="25">
        <f>SUMIFS('Daftar Koreksi'!$I$5:$I$92,'Daftar Koreksi'!$D$5:$D$92,'1900'!A466,'Daftar Koreksi'!$G$5:$G$92,"Aset Henti Guna",'Daftar Koreksi'!$I$5:$I$92,"&lt;0")-SUMIFS('Daftar Koreksi'!$I$5:$I$92,'Daftar Koreksi'!$D$5:$D$92,'1900'!A466,'Daftar Koreksi'!$G$5:$G$92,"Aset Henti Guna",'Daftar Koreksi'!$I$5:$I$92,"&lt;0")-SUMIFS('Daftar Koreksi'!$I$5:$I$92,'Daftar Koreksi'!$D$5:$D$92,'1900'!A466,'Daftar Koreksi'!$G$5:$G$92,"Aset Henti Guna",'Daftar Koreksi'!$I$5:$I$92,"&lt;0")</f>
        <v>0</v>
      </c>
      <c r="G483" s="17">
        <f t="shared" si="21"/>
        <v>-16240000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-4722713928</v>
      </c>
      <c r="E484" s="19">
        <f>SUM(E479:E483)</f>
        <v>0</v>
      </c>
      <c r="F484" s="19">
        <f>SUM(F479:F483)</f>
        <v>0</v>
      </c>
      <c r="G484" s="19">
        <f t="shared" si="21"/>
        <v>-4722713928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7718790511</v>
      </c>
      <c r="E485" s="19">
        <f>E484+E478</f>
        <v>0</v>
      </c>
      <c r="F485" s="19">
        <f>F484+F478</f>
        <v>0</v>
      </c>
      <c r="G485" s="19">
        <f t="shared" si="21"/>
        <v>7718790511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005011900307431000KD</v>
      </c>
      <c r="B488" s="11" t="str">
        <f>P23</f>
        <v>PA. Pangkajene</v>
      </c>
      <c r="C488" s="12" t="str">
        <f>A488&amp;" "&amp;B488</f>
        <v>005011900307431000KD PA. Pangkajene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808250</v>
      </c>
      <c r="E491" s="25">
        <f>SUMIFS('Daftar Koreksi'!$H$5:$H$92,'Daftar Koreksi'!$D$5:$D$92,'1900'!A488,'Daftar Koreksi'!$G$5:$G$92,"Persediaan",'Daftar Koreksi'!$H$5:$H$92,"&gt;0")</f>
        <v>0</v>
      </c>
      <c r="F491" s="25">
        <f>SUMIFS('Daftar Koreksi'!$H$5:$H$92,'Daftar Koreksi'!$D$5:$D$92,'1900'!A488,'Daftar Koreksi'!$G$5:$G$92,"Persediaan",'Daftar Koreksi'!$H$5:$H$92,"&lt;0")-SUMIFS('Daftar Koreksi'!$H$5:$H$92,'Daftar Koreksi'!$D$5:$D$92,'1900'!A488,'Daftar Koreksi'!$G$5:$G$92,"Persediaan",'Daftar Koreksi'!$H$5:$H$92,"&lt;0")-SUMIFS('Daftar Koreksi'!$H$5:$H$92,'Daftar Koreksi'!$D$5:$D$92,'1900'!A488,'Daftar Koreksi'!$G$5:$G$92,"Persediaan",'Daftar Koreksi'!$H$5:$H$92,"&lt;0")</f>
        <v>0</v>
      </c>
      <c r="G491" s="17">
        <f>D491+E491-F491</f>
        <v>808250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989420000</v>
      </c>
      <c r="E492" s="25">
        <f>SUMIFS('Daftar Koreksi'!$H$5:$H$92,'Daftar Koreksi'!$D$5:$D$92,'1900'!A488,'Daftar Koreksi'!$G$5:$G$92,"Tanah",'Daftar Koreksi'!$H$5:$H$92,"&gt;0")</f>
        <v>0</v>
      </c>
      <c r="F492" s="25">
        <f>SUMIFS('Daftar Koreksi'!$H$5:$H$92,'Daftar Koreksi'!$D$5:$D$92,'1900'!A488,'Daftar Koreksi'!$G$5:$G$92,"Tanah",'Daftar Koreksi'!$H$5:$H$92,"&lt;0")-SUMIFS('Daftar Koreksi'!$H$5:$H$92,'Daftar Koreksi'!$D$5:$D$92,'1900'!A488,'Daftar Koreksi'!$G$5:$G$92,"Tanah",'Daftar Koreksi'!$H$5:$H$92,"&lt;0")-SUMIFS('Daftar Koreksi'!$H$5:$H$92,'Daftar Koreksi'!$D$5:$D$92,'1900'!A488,'Daftar Koreksi'!$G$5:$G$92,"Tanah",'Daftar Koreksi'!$H$5:$H$92,"&lt;0")</f>
        <v>0</v>
      </c>
      <c r="G492" s="17">
        <f t="shared" ref="G492:G508" si="22">D492+E492-F492</f>
        <v>989420000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1415906709</v>
      </c>
      <c r="E493" s="25">
        <f>SUMIFS('Daftar Koreksi'!$H$5:$H$92,'Daftar Koreksi'!$D$5:$D$92,'1900'!A488,'Daftar Koreksi'!$G$5:$G$92,"Peralatan dan mesin",'Daftar Koreksi'!$H$5:$H$92,"&gt;0")</f>
        <v>0</v>
      </c>
      <c r="F493" s="25">
        <f>SUMIFS('Daftar Koreksi'!$H$5:$H$92,'Daftar Koreksi'!$D$5:$D$92,'1900'!A488,'Daftar Koreksi'!$G$5:$G$92,"Peralatan dan mesin",'Daftar Koreksi'!$H$5:$H$92,"&lt;0")-SUMIFS('Daftar Koreksi'!$H$5:$H$92,'Daftar Koreksi'!$D$5:$D$92,'1900'!A488,'Daftar Koreksi'!$G$5:$G$92,"Peralatan dan mesin",'Daftar Koreksi'!$H$5:$H$92,"&lt;0")-SUMIFS('Daftar Koreksi'!$H$5:$H$92,'Daftar Koreksi'!$D$5:$D$92,'1900'!A488,'Daftar Koreksi'!$G$5:$G$92,"Peralatan dan mesin",'Daftar Koreksi'!$H$5:$H$92,"&lt;0")</f>
        <v>0</v>
      </c>
      <c r="G493" s="17">
        <f t="shared" si="22"/>
        <v>1415906709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5435445552</v>
      </c>
      <c r="E494" s="25">
        <f>SUMIFS('Daftar Koreksi'!$H$5:$H$92,'Daftar Koreksi'!$D$5:$D$92,'1900'!A488,'Daftar Koreksi'!$G$5:$G$92,"Gedung dan Bangunan",'Daftar Koreksi'!$H$5:$H$92,"&gt;0")</f>
        <v>0</v>
      </c>
      <c r="F494" s="25">
        <f>SUMIFS('Daftar Koreksi'!$H$5:$H$92,'Daftar Koreksi'!$D$5:$D$92,'1900'!A488,'Daftar Koreksi'!$G$5:$G$92,"Gedung dan Bangunan",'Daftar Koreksi'!$H$5:$H$92,"&lt;0")-SUMIFS('Daftar Koreksi'!$H$5:$H$92,'Daftar Koreksi'!$D$5:$D$92,'1900'!A488,'Daftar Koreksi'!$G$5:$G$92,"Gedung dan Bangunan",'Daftar Koreksi'!$H$5:$H$92,"&lt;0")-SUMIFS('Daftar Koreksi'!$H$5:$H$92,'Daftar Koreksi'!$D$5:$D$92,'1900'!A488,'Daftar Koreksi'!$G$5:$G$92,"Gedung dan Bangunan",'Daftar Koreksi'!$H$5:$H$92,"&lt;0")</f>
        <v>0</v>
      </c>
      <c r="G494" s="17">
        <f t="shared" si="22"/>
        <v>5435445552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51465800</v>
      </c>
      <c r="E495" s="25">
        <f>SUMIFS('Daftar Koreksi'!$H$5:$H$92,'Daftar Koreksi'!$D$5:$D$92,'1900'!A488,'Daftar Koreksi'!$G$5:$G$92,"Jalan Irigasi Jaringan",'Daftar Koreksi'!$H$5:$H$92,"&gt;0")</f>
        <v>0</v>
      </c>
      <c r="F495" s="25">
        <f>SUMIFS('Daftar Koreksi'!$H$5:$H$92,'Daftar Koreksi'!$D$5:$D$92,'1900'!A488,'Daftar Koreksi'!$G$5:$G$92,"Jalan Irigasi Jaringan",'Daftar Koreksi'!$H$5:$H$92,"&lt;0")-SUMIFS('Daftar Koreksi'!$H$5:$H$92,'Daftar Koreksi'!$D$5:$D$92,'1900'!A488,'Daftar Koreksi'!$G$5:$G$92,"Jalan Irigasi Jaringan",'Daftar Koreksi'!$H$5:$H$92,"&lt;0")-SUMIFS('Daftar Koreksi'!$H$5:$H$92,'Daftar Koreksi'!$D$5:$D$92,'1900'!A488,'Daftar Koreksi'!$G$5:$G$92,"Jalan Irigasi Jaringan",'Daftar Koreksi'!$H$5:$H$92,"&lt;0")</f>
        <v>0</v>
      </c>
      <c r="G495" s="17">
        <f t="shared" si="22"/>
        <v>51465800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1134000</v>
      </c>
      <c r="E496" s="25">
        <f>SUMIFS('Daftar Koreksi'!$H$5:$H$92,'Daftar Koreksi'!$D$5:$D$92,'1900'!A488,'Daftar Koreksi'!$G$5:$G$92,"Aset Tetap Lainnya",'Daftar Koreksi'!$H$5:$H$92,"&gt;0")</f>
        <v>0</v>
      </c>
      <c r="F496" s="25">
        <f>SUMIFS('Daftar Koreksi'!$H$5:$H$92,'Daftar Koreksi'!$D$5:$D$92,'1900'!A488,'Daftar Koreksi'!$G$5:$G$92,"Aset Tetap Lainnya",'Daftar Koreksi'!$H$5:$H$92,"&lt;0")-SUMIFS('Daftar Koreksi'!$H$5:$H$92,'Daftar Koreksi'!$D$5:$D$92,'1900'!A488,'Daftar Koreksi'!$G$5:$G$92,"Aset Tetap Lainnya",'Daftar Koreksi'!$H$5:$H$92,"&lt;0")-SUMIFS('Daftar Koreksi'!$H$5:$H$92,'Daftar Koreksi'!$D$5:$D$92,'1900'!A488,'Daftar Koreksi'!$G$5:$G$92,"Aset Tetap Lainnya",'Daftar Koreksi'!$H$5:$H$92,"&lt;0")</f>
        <v>0</v>
      </c>
      <c r="G496" s="17">
        <f t="shared" si="22"/>
        <v>1134000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Koreksi'!$D$5:$D$92,'1900'!A488,'Daftar Koreksi'!$G$5:$G$92,"Kontruksi Dalam Pengerjaan",'Daftar Koreksi'!$H$5:$H$92,"&gt;0")</f>
        <v>0</v>
      </c>
      <c r="F497" s="25">
        <f>SUMIFS('Daftar Koreksi'!$H$5:$H$92,'Daftar Koreksi'!$D$5:$D$92,'1900'!A488,'Daftar Koreksi'!$G$5:$G$92,"Kontruksi Dalam Pengerjaan",'Daftar Koreksi'!$H$5:$H$92,"&lt;0")-SUMIFS('Daftar Koreksi'!$H$5:$H$92,'Daftar Koreksi'!$D$5:$D$92,'1900'!A488,'Daftar Koreksi'!$G$5:$G$92,"Kontruksi Dalam Pengerjaan",'Daftar Koreksi'!$H$5:$H$92,"&lt;0")-SUMIFS('Daftar Koreksi'!$H$5:$H$92,'Daftar Koreksi'!$D$5:$D$92,'1900'!A488,'Daftar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7900000</v>
      </c>
      <c r="E498" s="25">
        <f>SUMIFS('Daftar Koreksi'!$H$5:$H$92,'Daftar Koreksi'!$D$5:$D$92,'1900'!A488,'Daftar Koreksi'!$G$5:$G$92,"Aset Tak Berwujud",'Daftar Koreksi'!$H$5:$H$92,"&gt;0")</f>
        <v>0</v>
      </c>
      <c r="F498" s="25">
        <f>SUMIFS('Daftar Koreksi'!$H$5:$H$92,'Daftar Koreksi'!$D$5:$D$92,'1900'!A488,'Daftar Koreksi'!$G$5:$G$92,"Aset Tak Berwujud",'Daftar Koreksi'!$H$5:$H$92,"&lt;0")-SUMIFS('Daftar Koreksi'!$H$5:$H$92,'Daftar Koreksi'!$D$5:$D$92,'1900'!A488,'Daftar Koreksi'!$G$5:$G$92,"Aset Tak Berwujud",'Daftar Koreksi'!$H$5:$H$92,"&lt;0")-SUMIFS('Daftar Koreksi'!$H$5:$H$92,'Daftar Koreksi'!$D$5:$D$92,'1900'!A488,'Daftar Koreksi'!$G$5:$G$92,"Aset Tak Berwujud",'Daftar Koreksi'!$H$5:$H$92,"&lt;0")</f>
        <v>0</v>
      </c>
      <c r="G498" s="17">
        <f t="shared" si="22"/>
        <v>7900000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15350100</v>
      </c>
      <c r="E499" s="25">
        <f>SUMIFS('Daftar Koreksi'!$H$5:$H$92,'Daftar Koreksi'!$D$5:$D$92,'1900'!A488,'Daftar Koreksi'!$G$5:$G$92,"Aset Henti Guna",'Daftar Koreksi'!$H$5:$H$92,"&gt;0")</f>
        <v>0</v>
      </c>
      <c r="F499" s="25">
        <f>SUMIFS('Daftar Koreksi'!$H$5:$H$92,'Daftar Koreksi'!$D$5:$D$92,'1900'!A488,'Daftar Koreksi'!$G$5:$G$92,"Aset Henti Guna",'Daftar Koreksi'!$H$5:$H$92,"&lt;0")-SUMIFS('Daftar Koreksi'!$H$5:$H$92,'Daftar Koreksi'!$D$5:$D$92,'1900'!A488,'Daftar Koreksi'!$G$5:$G$92,"Aset Henti Guna",'Daftar Koreksi'!$H$5:$H$92,"&lt;0")-SUMIFS('Daftar Koreksi'!$H$5:$H$92,'Daftar Koreksi'!$D$5:$D$92,'1900'!A488,'Daftar Koreksi'!$G$5:$G$92,"Aset Henti Guna",'Daftar Koreksi'!$H$5:$H$92,"&lt;0")</f>
        <v>0</v>
      </c>
      <c r="G499" s="17">
        <f t="shared" si="22"/>
        <v>15350100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7917430411</v>
      </c>
      <c r="E500" s="19">
        <f>SUM(E491:E499)</f>
        <v>0</v>
      </c>
      <c r="F500" s="19">
        <f>SUM(F491:F499)</f>
        <v>0</v>
      </c>
      <c r="G500" s="19">
        <f t="shared" si="22"/>
        <v>7917430411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-1088388448</v>
      </c>
      <c r="E501" s="25">
        <f>SUMIFS('Daftar Koreksi'!$I$5:$I$92,'Daftar Koreksi'!$D$5:$D$92,'1900'!A488,'Daftar Koreksi'!$G$5:$G$92,"Peralatan dan mesin",'Daftar Koreksi'!$I$5:$I$92,"&gt;0")</f>
        <v>0</v>
      </c>
      <c r="F501" s="25">
        <f>SUMIFS('Daftar Koreksi'!$I$5:$I$92,'Daftar Koreksi'!$D$5:$D$92,'1900'!A488,'Daftar Koreksi'!$G$5:$G$92,"Peralatan dan mesin",'Daftar Koreksi'!$I$5:$I$92,"&lt;0")-SUMIFS('Daftar Koreksi'!$I$5:$I$92,'Daftar Koreksi'!$D$5:$D$92,'1900'!A488,'Daftar Koreksi'!$G$5:$G$92,"Peralatan dan mesin",'Daftar Koreksi'!$I$5:$I$92,"&lt;0")-SUMIFS('Daftar Koreksi'!$I$5:$I$92,'Daftar Koreksi'!$D$5:$D$92,'1900'!A488,'Daftar Koreksi'!$G$5:$G$92,"Peralatan dan mesin",'Daftar Koreksi'!$I$5:$I$92,"&lt;0")</f>
        <v>0</v>
      </c>
      <c r="G501" s="17">
        <f t="shared" si="22"/>
        <v>-1088388448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-557178910</v>
      </c>
      <c r="E502" s="25">
        <f>SUMIFS('Daftar Koreksi'!$I$5:$I$92,'Daftar Koreksi'!$D$5:$D$92,'1900'!A488,'Daftar Koreksi'!$G$5:$G$92,"Gedung dan Bangunan",'Daftar Koreksi'!$I$5:$I$92,"&gt;0")</f>
        <v>0</v>
      </c>
      <c r="F502" s="25">
        <f>SUMIFS('Daftar Koreksi'!$I$5:$I$92,'Daftar Koreksi'!$D$5:$D$92,'1900'!A488,'Daftar Koreksi'!$G$5:$G$92,"Gedung dan Bangunan",'Daftar Koreksi'!$I$5:$I$92,"&lt;0")-SUMIFS('Daftar Koreksi'!$I$5:$I$92,'Daftar Koreksi'!$D$5:$D$92,'1900'!A488,'Daftar Koreksi'!$G$5:$G$92,"Gedung dan Bangunan",'Daftar Koreksi'!$I$5:$I$92,"&lt;0")-SUMIFS('Daftar Koreksi'!$I$5:$I$92,'Daftar Koreksi'!$D$5:$D$92,'1900'!A488,'Daftar Koreksi'!$G$5:$G$92,"Gedung dan Bangunan",'Daftar Koreksi'!$I$5:$I$92,"&lt;0")</f>
        <v>0</v>
      </c>
      <c r="G502" s="17">
        <f t="shared" si="22"/>
        <v>-557178910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-51465800</v>
      </c>
      <c r="E503" s="25">
        <f>SUMIFS('Daftar Koreksi'!$I$5:$I$92,'Daftar Koreksi'!$D$5:$D$92,'1900'!A488,'Daftar Koreksi'!$G$5:$G$92,"Jalan Irigasi Jaringan",'Daftar Koreksi'!$I$5:$I$92,"&gt;0")</f>
        <v>0</v>
      </c>
      <c r="F503" s="25">
        <f>SUMIFS('Daftar Koreksi'!$I$5:$I$92,'Daftar Koreksi'!$D$5:$D$92,'1900'!A488,'Daftar Koreksi'!$G$5:$G$92,"Jalan Irigasi Jaringan",'Daftar Koreksi'!$I$5:$I$92,"&lt;0")-SUMIFS('Daftar Koreksi'!$I$5:$I$92,'Daftar Koreksi'!$D$5:$D$92,'1900'!A488,'Daftar Koreksi'!$G$5:$G$92,"Jalan Irigasi Jaringan",'Daftar Koreksi'!$I$5:$I$92,"&lt;0")-SUMIFS('Daftar Koreksi'!$I$5:$I$92,'Daftar Koreksi'!$D$5:$D$92,'1900'!A488,'Daftar Koreksi'!$G$5:$G$92,"Jalan Irigasi Jaringan",'Daftar Koreksi'!$I$5:$I$92,"&lt;0")</f>
        <v>0</v>
      </c>
      <c r="G503" s="17">
        <f t="shared" si="22"/>
        <v>-51465800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Koreksi'!$D$5:$D$92,'1900'!A488,'Daftar Koreksi'!$G$5:$G$92,"Aset Tetap Lainnya",'Daftar Koreksi'!$I$5:$I$92,"&gt;0")</f>
        <v>0</v>
      </c>
      <c r="F504" s="25">
        <f>SUMIFS('Daftar Koreksi'!$I$5:$I$92,'Daftar Koreksi'!$D$5:$D$92,'1900'!A488,'Daftar Koreksi'!$G$5:$G$92,"Aset Tetap Lainnya",'Daftar Koreksi'!$I$5:$I$92,"&lt;0")-SUMIFS('Daftar Koreksi'!$I$5:$I$92,'Daftar Koreksi'!$D$5:$D$92,'1900'!A488,'Daftar Koreksi'!$G$5:$G$92,"Aset Tetap Lainnya",'Daftar Koreksi'!$I$5:$I$92,"&lt;0")-SUMIFS('Daftar Koreksi'!$I$5:$I$92,'Daftar Koreksi'!$D$5:$D$92,'1900'!A488,'Daftar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-15350100</v>
      </c>
      <c r="E505" s="25">
        <f>SUMIFS('Daftar Koreksi'!$I$5:$I$92,'Daftar Koreksi'!$D$5:$D$92,'1900'!A488,'Daftar Koreksi'!$G$5:$G$92,"Aset Henti Guna",'Daftar Koreksi'!$I$5:$I$92,"&gt;0")</f>
        <v>0</v>
      </c>
      <c r="F505" s="25">
        <f>SUMIFS('Daftar Koreksi'!$I$5:$I$92,'Daftar Koreksi'!$D$5:$D$92,'1900'!A488,'Daftar Koreksi'!$G$5:$G$92,"Aset Henti Guna",'Daftar Koreksi'!$I$5:$I$92,"&lt;0")-SUMIFS('Daftar Koreksi'!$I$5:$I$92,'Daftar Koreksi'!$D$5:$D$92,'1900'!A488,'Daftar Koreksi'!$G$5:$G$92,"Aset Henti Guna",'Daftar Koreksi'!$I$5:$I$92,"&lt;0")-SUMIFS('Daftar Koreksi'!$I$5:$I$92,'Daftar Koreksi'!$D$5:$D$92,'1900'!A488,'Daftar Koreksi'!$G$5:$G$92,"Aset Henti Guna",'Daftar Koreksi'!$I$5:$I$92,"&lt;0")</f>
        <v>0</v>
      </c>
      <c r="G505" s="17">
        <f t="shared" si="22"/>
        <v>-15350100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-1712383258</v>
      </c>
      <c r="E506" s="19">
        <f>SUM(E501:E505)</f>
        <v>0</v>
      </c>
      <c r="F506" s="19">
        <f>SUM(F501:F505)</f>
        <v>0</v>
      </c>
      <c r="G506" s="19">
        <f t="shared" si="22"/>
        <v>-1712383258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6205047153</v>
      </c>
      <c r="E507" s="19">
        <f>E506+E500</f>
        <v>0</v>
      </c>
      <c r="F507" s="19">
        <f>F506+F500</f>
        <v>0</v>
      </c>
      <c r="G507" s="19">
        <f t="shared" si="22"/>
        <v>6205047153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005011900307445000KD</v>
      </c>
      <c r="B510" s="11" t="str">
        <f>P24</f>
        <v>PA. Maros</v>
      </c>
      <c r="C510" s="12" t="str">
        <f>A510&amp;" "&amp;B510</f>
        <v>005011900307445000KD PA. Maros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22814300</v>
      </c>
      <c r="E513" s="25">
        <f>SUMIFS('Daftar Koreksi'!$H$5:$H$92,'Daftar Koreksi'!$D$5:$D$92,'1900'!A510,'Daftar Koreksi'!$G$5:$G$92,"Persediaan",'Daftar Koreksi'!$H$5:$H$92,"&gt;0")</f>
        <v>0</v>
      </c>
      <c r="F513" s="25">
        <f>SUMIFS('Daftar Koreksi'!$H$5:$H$92,'Daftar Koreksi'!$D$5:$D$92,'1900'!A510,'Daftar Koreksi'!$G$5:$G$92,"Persediaan",'Daftar Koreksi'!$H$5:$H$92,"&lt;0")-SUMIFS('Daftar Koreksi'!$H$5:$H$92,'Daftar Koreksi'!$D$5:$D$92,'1900'!A510,'Daftar Koreksi'!$G$5:$G$92,"Persediaan",'Daftar Koreksi'!$H$5:$H$92,"&lt;0")-SUMIFS('Daftar Koreksi'!$H$5:$H$92,'Daftar Koreksi'!$D$5:$D$92,'1900'!A510,'Daftar Koreksi'!$G$5:$G$92,"Persediaan",'Daftar Koreksi'!$H$5:$H$92,"&lt;0")</f>
        <v>0</v>
      </c>
      <c r="G513" s="17">
        <f>D513+E513-F513</f>
        <v>22814300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612794000</v>
      </c>
      <c r="E514" s="25">
        <f>SUMIFS('Daftar Koreksi'!$H$5:$H$92,'Daftar Koreksi'!$D$5:$D$92,'1900'!A510,'Daftar Koreksi'!$G$5:$G$92,"Tanah",'Daftar Koreksi'!$H$5:$H$92,"&gt;0")</f>
        <v>0</v>
      </c>
      <c r="F514" s="25">
        <f>SUMIFS('Daftar Koreksi'!$H$5:$H$92,'Daftar Koreksi'!$D$5:$D$92,'1900'!A510,'Daftar Koreksi'!$G$5:$G$92,"Tanah",'Daftar Koreksi'!$H$5:$H$92,"&lt;0")-SUMIFS('Daftar Koreksi'!$H$5:$H$92,'Daftar Koreksi'!$D$5:$D$92,'1900'!A510,'Daftar Koreksi'!$G$5:$G$92,"Tanah",'Daftar Koreksi'!$H$5:$H$92,"&lt;0")-SUMIFS('Daftar Koreksi'!$H$5:$H$92,'Daftar Koreksi'!$D$5:$D$92,'1900'!A510,'Daftar Koreksi'!$G$5:$G$92,"Tanah",'Daftar Koreksi'!$H$5:$H$92,"&lt;0")</f>
        <v>0</v>
      </c>
      <c r="G514" s="17">
        <f t="shared" ref="G514:G530" si="23">D514+E514-F514</f>
        <v>612794000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1466857304</v>
      </c>
      <c r="E515" s="25">
        <f>SUMIFS('Daftar Koreksi'!$H$5:$H$92,'Daftar Koreksi'!$D$5:$D$92,'1900'!A510,'Daftar Koreksi'!$G$5:$G$92,"Peralatan dan mesin",'Daftar Koreksi'!$H$5:$H$92,"&gt;0")</f>
        <v>0</v>
      </c>
      <c r="F515" s="25">
        <f>SUMIFS('Daftar Koreksi'!$H$5:$H$92,'Daftar Koreksi'!$D$5:$D$92,'1900'!A510,'Daftar Koreksi'!$G$5:$G$92,"Peralatan dan mesin",'Daftar Koreksi'!$H$5:$H$92,"&lt;0")-SUMIFS('Daftar Koreksi'!$H$5:$H$92,'Daftar Koreksi'!$D$5:$D$92,'1900'!A510,'Daftar Koreksi'!$G$5:$G$92,"Peralatan dan mesin",'Daftar Koreksi'!$H$5:$H$92,"&lt;0")-SUMIFS('Daftar Koreksi'!$H$5:$H$92,'Daftar Koreksi'!$D$5:$D$92,'1900'!A510,'Daftar Koreksi'!$G$5:$G$92,"Peralatan dan mesin",'Daftar Koreksi'!$H$5:$H$92,"&lt;0")</f>
        <v>0</v>
      </c>
      <c r="G515" s="17">
        <f t="shared" si="23"/>
        <v>1466857304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2982908671</v>
      </c>
      <c r="E516" s="25">
        <f>SUMIFS('Daftar Koreksi'!$H$5:$H$92,'Daftar Koreksi'!$D$5:$D$92,'1900'!A510,'Daftar Koreksi'!$G$5:$G$92,"Gedung dan Bangunan",'Daftar Koreksi'!$H$5:$H$92,"&gt;0")</f>
        <v>0</v>
      </c>
      <c r="F516" s="25">
        <f>SUMIFS('Daftar Koreksi'!$H$5:$H$92,'Daftar Koreksi'!$D$5:$D$92,'1900'!A510,'Daftar Koreksi'!$G$5:$G$92,"Gedung dan Bangunan",'Daftar Koreksi'!$H$5:$H$92,"&lt;0")-SUMIFS('Daftar Koreksi'!$H$5:$H$92,'Daftar Koreksi'!$D$5:$D$92,'1900'!A510,'Daftar Koreksi'!$G$5:$G$92,"Gedung dan Bangunan",'Daftar Koreksi'!$H$5:$H$92,"&lt;0")-SUMIFS('Daftar Koreksi'!$H$5:$H$92,'Daftar Koreksi'!$D$5:$D$92,'1900'!A510,'Daftar Koreksi'!$G$5:$G$92,"Gedung dan Bangunan",'Daftar Koreksi'!$H$5:$H$92,"&lt;0")</f>
        <v>0</v>
      </c>
      <c r="G516" s="17">
        <f t="shared" si="23"/>
        <v>2982908671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39668200</v>
      </c>
      <c r="E517" s="25">
        <f>SUMIFS('Daftar Koreksi'!$H$5:$H$92,'Daftar Koreksi'!$D$5:$D$92,'1900'!A510,'Daftar Koreksi'!$G$5:$G$92,"Jalan Irigasi Jaringan",'Daftar Koreksi'!$H$5:$H$92,"&gt;0")</f>
        <v>0</v>
      </c>
      <c r="F517" s="25">
        <f>SUMIFS('Daftar Koreksi'!$H$5:$H$92,'Daftar Koreksi'!$D$5:$D$92,'1900'!A510,'Daftar Koreksi'!$G$5:$G$92,"Jalan Irigasi Jaringan",'Daftar Koreksi'!$H$5:$H$92,"&lt;0")-SUMIFS('Daftar Koreksi'!$H$5:$H$92,'Daftar Koreksi'!$D$5:$D$92,'1900'!A510,'Daftar Koreksi'!$G$5:$G$92,"Jalan Irigasi Jaringan",'Daftar Koreksi'!$H$5:$H$92,"&lt;0")-SUMIFS('Daftar Koreksi'!$H$5:$H$92,'Daftar Koreksi'!$D$5:$D$92,'1900'!A510,'Daftar Koreksi'!$G$5:$G$92,"Jalan Irigasi Jaringan",'Daftar Koreksi'!$H$5:$H$92,"&lt;0")</f>
        <v>0</v>
      </c>
      <c r="G517" s="17">
        <f t="shared" si="23"/>
        <v>39668200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15639370</v>
      </c>
      <c r="E518" s="25">
        <f>SUMIFS('Daftar Koreksi'!$H$5:$H$92,'Daftar Koreksi'!$D$5:$D$92,'1900'!A510,'Daftar Koreksi'!$G$5:$G$92,"Aset Tetap Lainnya",'Daftar Koreksi'!$H$5:$H$92,"&gt;0")</f>
        <v>0</v>
      </c>
      <c r="F518" s="25">
        <f>SUMIFS('Daftar Koreksi'!$H$5:$H$92,'Daftar Koreksi'!$D$5:$D$92,'1900'!A510,'Daftar Koreksi'!$G$5:$G$92,"Aset Tetap Lainnya",'Daftar Koreksi'!$H$5:$H$92,"&lt;0")-SUMIFS('Daftar Koreksi'!$H$5:$H$92,'Daftar Koreksi'!$D$5:$D$92,'1900'!A510,'Daftar Koreksi'!$G$5:$G$92,"Aset Tetap Lainnya",'Daftar Koreksi'!$H$5:$H$92,"&lt;0")-SUMIFS('Daftar Koreksi'!$H$5:$H$92,'Daftar Koreksi'!$D$5:$D$92,'1900'!A510,'Daftar Koreksi'!$G$5:$G$92,"Aset Tetap Lainnya",'Daftar Koreksi'!$H$5:$H$92,"&lt;0")</f>
        <v>0</v>
      </c>
      <c r="G518" s="17">
        <f t="shared" si="23"/>
        <v>15639370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Koreksi'!$D$5:$D$92,'1900'!A510,'Daftar Koreksi'!$G$5:$G$92,"Kontruksi Dalam Pengerjaan",'Daftar Koreksi'!$H$5:$H$92,"&gt;0")</f>
        <v>0</v>
      </c>
      <c r="F519" s="25">
        <f>SUMIFS('Daftar Koreksi'!$H$5:$H$92,'Daftar Koreksi'!$D$5:$D$92,'1900'!A510,'Daftar Koreksi'!$G$5:$G$92,"Kontruksi Dalam Pengerjaan",'Daftar Koreksi'!$H$5:$H$92,"&lt;0")-SUMIFS('Daftar Koreksi'!$H$5:$H$92,'Daftar Koreksi'!$D$5:$D$92,'1900'!A510,'Daftar Koreksi'!$G$5:$G$92,"Kontruksi Dalam Pengerjaan",'Daftar Koreksi'!$H$5:$H$92,"&lt;0")-SUMIFS('Daftar Koreksi'!$H$5:$H$92,'Daftar Koreksi'!$D$5:$D$92,'1900'!A510,'Daftar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26345000</v>
      </c>
      <c r="E520" s="25">
        <f>SUMIFS('Daftar Koreksi'!$H$5:$H$92,'Daftar Koreksi'!$D$5:$D$92,'1900'!A510,'Daftar Koreksi'!$G$5:$G$92,"Aset Tak Berwujud",'Daftar Koreksi'!$H$5:$H$92,"&gt;0")</f>
        <v>0</v>
      </c>
      <c r="F520" s="25">
        <f>SUMIFS('Daftar Koreksi'!$H$5:$H$92,'Daftar Koreksi'!$D$5:$D$92,'1900'!A510,'Daftar Koreksi'!$G$5:$G$92,"Aset Tak Berwujud",'Daftar Koreksi'!$H$5:$H$92,"&lt;0")-SUMIFS('Daftar Koreksi'!$H$5:$H$92,'Daftar Koreksi'!$D$5:$D$92,'1900'!A510,'Daftar Koreksi'!$G$5:$G$92,"Aset Tak Berwujud",'Daftar Koreksi'!$H$5:$H$92,"&lt;0")-SUMIFS('Daftar Koreksi'!$H$5:$H$92,'Daftar Koreksi'!$D$5:$D$92,'1900'!A510,'Daftar Koreksi'!$G$5:$G$92,"Aset Tak Berwujud",'Daftar Koreksi'!$H$5:$H$92,"&lt;0")</f>
        <v>0</v>
      </c>
      <c r="G520" s="17">
        <f t="shared" si="23"/>
        <v>26345000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77113525</v>
      </c>
      <c r="E521" s="25">
        <f>SUMIFS('Daftar Koreksi'!$H$5:$H$92,'Daftar Koreksi'!$D$5:$D$92,'1900'!A510,'Daftar Koreksi'!$G$5:$G$92,"Aset Henti Guna",'Daftar Koreksi'!$H$5:$H$92,"&gt;0")</f>
        <v>0</v>
      </c>
      <c r="F521" s="25">
        <f>SUMIFS('Daftar Koreksi'!$H$5:$H$92,'Daftar Koreksi'!$D$5:$D$92,'1900'!A510,'Daftar Koreksi'!$G$5:$G$92,"Aset Henti Guna",'Daftar Koreksi'!$H$5:$H$92,"&lt;0")-SUMIFS('Daftar Koreksi'!$H$5:$H$92,'Daftar Koreksi'!$D$5:$D$92,'1900'!A510,'Daftar Koreksi'!$G$5:$G$92,"Aset Henti Guna",'Daftar Koreksi'!$H$5:$H$92,"&lt;0")-SUMIFS('Daftar Koreksi'!$H$5:$H$92,'Daftar Koreksi'!$D$5:$D$92,'1900'!A510,'Daftar Koreksi'!$G$5:$G$92,"Aset Henti Guna",'Daftar Koreksi'!$H$5:$H$92,"&lt;0")</f>
        <v>0</v>
      </c>
      <c r="G521" s="17">
        <f t="shared" si="23"/>
        <v>77113525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5244140370</v>
      </c>
      <c r="E522" s="19">
        <f>SUM(E513:E521)</f>
        <v>0</v>
      </c>
      <c r="F522" s="19">
        <f>SUM(F513:F521)</f>
        <v>0</v>
      </c>
      <c r="G522" s="19">
        <f t="shared" si="23"/>
        <v>5244140370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-1263981768</v>
      </c>
      <c r="E523" s="25">
        <f>SUMIFS('Daftar Koreksi'!$I$5:$I$92,'Daftar Koreksi'!$D$5:$D$92,'1900'!A510,'Daftar Koreksi'!$G$5:$G$92,"Peralatan dan mesin",'Daftar Koreksi'!$I$5:$I$92,"&gt;0")</f>
        <v>0</v>
      </c>
      <c r="F523" s="25">
        <f>SUMIFS('Daftar Koreksi'!$I$5:$I$92,'Daftar Koreksi'!$D$5:$D$92,'1900'!A510,'Daftar Koreksi'!$G$5:$G$92,"Peralatan dan mesin",'Daftar Koreksi'!$I$5:$I$92,"&lt;0")-SUMIFS('Daftar Koreksi'!$I$5:$I$92,'Daftar Koreksi'!$D$5:$D$92,'1900'!A510,'Daftar Koreksi'!$G$5:$G$92,"Peralatan dan mesin",'Daftar Koreksi'!$I$5:$I$92,"&lt;0")-SUMIFS('Daftar Koreksi'!$I$5:$I$92,'Daftar Koreksi'!$D$5:$D$92,'1900'!A510,'Daftar Koreksi'!$G$5:$G$92,"Peralatan dan mesin",'Daftar Koreksi'!$I$5:$I$92,"&lt;0")</f>
        <v>0</v>
      </c>
      <c r="G523" s="17">
        <f t="shared" si="23"/>
        <v>-1263981768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-472790784</v>
      </c>
      <c r="E524" s="25">
        <f>SUMIFS('Daftar Koreksi'!$I$5:$I$92,'Daftar Koreksi'!$D$5:$D$92,'1900'!A510,'Daftar Koreksi'!$G$5:$G$92,"Gedung dan Bangunan",'Daftar Koreksi'!$I$5:$I$92,"&gt;0")</f>
        <v>0</v>
      </c>
      <c r="F524" s="25">
        <f>SUMIFS('Daftar Koreksi'!$I$5:$I$92,'Daftar Koreksi'!$D$5:$D$92,'1900'!A510,'Daftar Koreksi'!$G$5:$G$92,"Gedung dan Bangunan",'Daftar Koreksi'!$I$5:$I$92,"&lt;0")-SUMIFS('Daftar Koreksi'!$I$5:$I$92,'Daftar Koreksi'!$D$5:$D$92,'1900'!A510,'Daftar Koreksi'!$G$5:$G$92,"Gedung dan Bangunan",'Daftar Koreksi'!$I$5:$I$92,"&lt;0")-SUMIFS('Daftar Koreksi'!$I$5:$I$92,'Daftar Koreksi'!$D$5:$D$92,'1900'!A510,'Daftar Koreksi'!$G$5:$G$92,"Gedung dan Bangunan",'Daftar Koreksi'!$I$5:$I$92,"&lt;0")</f>
        <v>0</v>
      </c>
      <c r="G524" s="17">
        <f t="shared" si="23"/>
        <v>-472790784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-495853</v>
      </c>
      <c r="E525" s="25">
        <f>SUMIFS('Daftar Koreksi'!$I$5:$I$92,'Daftar Koreksi'!$D$5:$D$92,'1900'!A510,'Daftar Koreksi'!$G$5:$G$92,"Jalan Irigasi Jaringan",'Daftar Koreksi'!$I$5:$I$92,"&gt;0")</f>
        <v>0</v>
      </c>
      <c r="F525" s="25">
        <f>SUMIFS('Daftar Koreksi'!$I$5:$I$92,'Daftar Koreksi'!$D$5:$D$92,'1900'!A510,'Daftar Koreksi'!$G$5:$G$92,"Jalan Irigasi Jaringan",'Daftar Koreksi'!$I$5:$I$92,"&lt;0")-SUMIFS('Daftar Koreksi'!$I$5:$I$92,'Daftar Koreksi'!$D$5:$D$92,'1900'!A510,'Daftar Koreksi'!$G$5:$G$92,"Jalan Irigasi Jaringan",'Daftar Koreksi'!$I$5:$I$92,"&lt;0")-SUMIFS('Daftar Koreksi'!$I$5:$I$92,'Daftar Koreksi'!$D$5:$D$92,'1900'!A510,'Daftar Koreksi'!$G$5:$G$92,"Jalan Irigasi Jaringan",'Daftar Koreksi'!$I$5:$I$92,"&lt;0")</f>
        <v>0</v>
      </c>
      <c r="G525" s="17">
        <f t="shared" si="23"/>
        <v>-495853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Koreksi'!$D$5:$D$92,'1900'!A510,'Daftar Koreksi'!$G$5:$G$92,"Aset Tetap Lainnya",'Daftar Koreksi'!$I$5:$I$92,"&gt;0")</f>
        <v>0</v>
      </c>
      <c r="F526" s="25">
        <f>SUMIFS('Daftar Koreksi'!$I$5:$I$92,'Daftar Koreksi'!$D$5:$D$92,'1900'!A510,'Daftar Koreksi'!$G$5:$G$92,"Aset Tetap Lainnya",'Daftar Koreksi'!$I$5:$I$92,"&lt;0")-SUMIFS('Daftar Koreksi'!$I$5:$I$92,'Daftar Koreksi'!$D$5:$D$92,'1900'!A510,'Daftar Koreksi'!$G$5:$G$92,"Aset Tetap Lainnya",'Daftar Koreksi'!$I$5:$I$92,"&lt;0")-SUMIFS('Daftar Koreksi'!$I$5:$I$92,'Daftar Koreksi'!$D$5:$D$92,'1900'!A510,'Daftar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-77113525</v>
      </c>
      <c r="E527" s="25">
        <f>SUMIFS('Daftar Koreksi'!$I$5:$I$92,'Daftar Koreksi'!$D$5:$D$92,'1900'!A510,'Daftar Koreksi'!$G$5:$G$92,"Aset Henti Guna",'Daftar Koreksi'!$I$5:$I$92,"&gt;0")</f>
        <v>0</v>
      </c>
      <c r="F527" s="25">
        <f>SUMIFS('Daftar Koreksi'!$I$5:$I$92,'Daftar Koreksi'!$D$5:$D$92,'1900'!A510,'Daftar Koreksi'!$G$5:$G$92,"Aset Henti Guna",'Daftar Koreksi'!$I$5:$I$92,"&lt;0")-SUMIFS('Daftar Koreksi'!$I$5:$I$92,'Daftar Koreksi'!$D$5:$D$92,'1900'!A510,'Daftar Koreksi'!$G$5:$G$92,"Aset Henti Guna",'Daftar Koreksi'!$I$5:$I$92,"&lt;0")-SUMIFS('Daftar Koreksi'!$I$5:$I$92,'Daftar Koreksi'!$D$5:$D$92,'1900'!A510,'Daftar Koreksi'!$G$5:$G$92,"Aset Henti Guna",'Daftar Koreksi'!$I$5:$I$92,"&lt;0")</f>
        <v>0</v>
      </c>
      <c r="G527" s="17">
        <f t="shared" si="23"/>
        <v>-77113525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-1814381930</v>
      </c>
      <c r="E528" s="19">
        <f>SUM(E523:E527)</f>
        <v>0</v>
      </c>
      <c r="F528" s="19">
        <f>SUM(F523:F527)</f>
        <v>0</v>
      </c>
      <c r="G528" s="19">
        <f t="shared" si="23"/>
        <v>-1814381930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3429758440</v>
      </c>
      <c r="E529" s="19">
        <f>E528+E522</f>
        <v>0</v>
      </c>
      <c r="F529" s="19">
        <f>F528+F522</f>
        <v>0</v>
      </c>
      <c r="G529" s="19">
        <f t="shared" si="23"/>
        <v>3429758440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005011900307452000KD</v>
      </c>
      <c r="B532" s="11" t="str">
        <f>P25</f>
        <v>PA. Makassar</v>
      </c>
      <c r="C532" s="12" t="str">
        <f>A532&amp;" "&amp;B532</f>
        <v>005011900307452000KD PA. Makassar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2849375</v>
      </c>
      <c r="E535" s="25">
        <f>SUMIFS('Daftar Koreksi'!$H$5:$H$92,'Daftar Koreksi'!$D$5:$D$92,'1900'!A532,'Daftar Koreksi'!$G$5:$G$92,"Persediaan",'Daftar Koreksi'!$H$5:$H$92,"&gt;0")</f>
        <v>0</v>
      </c>
      <c r="F535" s="25">
        <f>SUMIFS('Daftar Koreksi'!$H$5:$H$92,'Daftar Koreksi'!$D$5:$D$92,'1900'!A532,'Daftar Koreksi'!$G$5:$G$92,"Persediaan",'Daftar Koreksi'!$H$5:$H$92,"&lt;0")-SUMIFS('Daftar Koreksi'!$H$5:$H$92,'Daftar Koreksi'!$D$5:$D$92,'1900'!A532,'Daftar Koreksi'!$G$5:$G$92,"Persediaan",'Daftar Koreksi'!$H$5:$H$92,"&lt;0")-SUMIFS('Daftar Koreksi'!$H$5:$H$92,'Daftar Koreksi'!$D$5:$D$92,'1900'!A532,'Daftar Koreksi'!$G$5:$G$92,"Persediaan",'Daftar Koreksi'!$H$5:$H$92,"&lt;0")</f>
        <v>0</v>
      </c>
      <c r="G535" s="17">
        <f>D535+E535-F535</f>
        <v>2849375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5159035000</v>
      </c>
      <c r="E536" s="25">
        <f>SUMIFS('Daftar Koreksi'!$H$5:$H$92,'Daftar Koreksi'!$D$5:$D$92,'1900'!A532,'Daftar Koreksi'!$G$5:$G$92,"Tanah",'Daftar Koreksi'!$H$5:$H$92,"&gt;0")</f>
        <v>0</v>
      </c>
      <c r="F536" s="25">
        <f>SUMIFS('Daftar Koreksi'!$H$5:$H$92,'Daftar Koreksi'!$D$5:$D$92,'1900'!A532,'Daftar Koreksi'!$G$5:$G$92,"Tanah",'Daftar Koreksi'!$H$5:$H$92,"&lt;0")-SUMIFS('Daftar Koreksi'!$H$5:$H$92,'Daftar Koreksi'!$D$5:$D$92,'1900'!A532,'Daftar Koreksi'!$G$5:$G$92,"Tanah",'Daftar Koreksi'!$H$5:$H$92,"&lt;0")-SUMIFS('Daftar Koreksi'!$H$5:$H$92,'Daftar Koreksi'!$D$5:$D$92,'1900'!A532,'Daftar Koreksi'!$G$5:$G$92,"Tanah",'Daftar Koreksi'!$H$5:$H$92,"&lt;0")</f>
        <v>0</v>
      </c>
      <c r="G536" s="17">
        <f t="shared" ref="G536:G552" si="24">D536+E536-F536</f>
        <v>5159035000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2345201605</v>
      </c>
      <c r="E537" s="25">
        <f>SUMIFS('Daftar Koreksi'!$H$5:$H$92,'Daftar Koreksi'!$D$5:$D$92,'1900'!A532,'Daftar Koreksi'!$G$5:$G$92,"Peralatan dan mesin",'Daftar Koreksi'!$H$5:$H$92,"&gt;0")</f>
        <v>0</v>
      </c>
      <c r="F537" s="25">
        <f>SUMIFS('Daftar Koreksi'!$H$5:$H$92,'Daftar Koreksi'!$D$5:$D$92,'1900'!A532,'Daftar Koreksi'!$G$5:$G$92,"Peralatan dan mesin",'Daftar Koreksi'!$H$5:$H$92,"&lt;0")-SUMIFS('Daftar Koreksi'!$H$5:$H$92,'Daftar Koreksi'!$D$5:$D$92,'1900'!A532,'Daftar Koreksi'!$G$5:$G$92,"Peralatan dan mesin",'Daftar Koreksi'!$H$5:$H$92,"&lt;0")-SUMIFS('Daftar Koreksi'!$H$5:$H$92,'Daftar Koreksi'!$D$5:$D$92,'1900'!A532,'Daftar Koreksi'!$G$5:$G$92,"Peralatan dan mesin",'Daftar Koreksi'!$H$5:$H$92,"&lt;0")</f>
        <v>0</v>
      </c>
      <c r="G537" s="17">
        <f t="shared" si="24"/>
        <v>2345201605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7620919017</v>
      </c>
      <c r="E538" s="25">
        <f>SUMIFS('Daftar Koreksi'!$H$5:$H$92,'Daftar Koreksi'!$D$5:$D$92,'1900'!A532,'Daftar Koreksi'!$G$5:$G$92,"Gedung dan Bangunan",'Daftar Koreksi'!$H$5:$H$92,"&gt;0")</f>
        <v>0</v>
      </c>
      <c r="F538" s="25">
        <f>SUMIFS('Daftar Koreksi'!$H$5:$H$92,'Daftar Koreksi'!$D$5:$D$92,'1900'!A532,'Daftar Koreksi'!$G$5:$G$92,"Gedung dan Bangunan",'Daftar Koreksi'!$H$5:$H$92,"&lt;0")-SUMIFS('Daftar Koreksi'!$H$5:$H$92,'Daftar Koreksi'!$D$5:$D$92,'1900'!A532,'Daftar Koreksi'!$G$5:$G$92,"Gedung dan Bangunan",'Daftar Koreksi'!$H$5:$H$92,"&lt;0")-SUMIFS('Daftar Koreksi'!$H$5:$H$92,'Daftar Koreksi'!$D$5:$D$92,'1900'!A532,'Daftar Koreksi'!$G$5:$G$92,"Gedung dan Bangunan",'Daftar Koreksi'!$H$5:$H$92,"&lt;0")</f>
        <v>0</v>
      </c>
      <c r="G538" s="17">
        <f t="shared" si="24"/>
        <v>7620919017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109400000</v>
      </c>
      <c r="E539" s="25">
        <f>SUMIFS('Daftar Koreksi'!$H$5:$H$92,'Daftar Koreksi'!$D$5:$D$92,'1900'!A532,'Daftar Koreksi'!$G$5:$G$92,"Jalan Irigasi Jaringan",'Daftar Koreksi'!$H$5:$H$92,"&gt;0")</f>
        <v>0</v>
      </c>
      <c r="F539" s="25">
        <f>SUMIFS('Daftar Koreksi'!$H$5:$H$92,'Daftar Koreksi'!$D$5:$D$92,'1900'!A532,'Daftar Koreksi'!$G$5:$G$92,"Jalan Irigasi Jaringan",'Daftar Koreksi'!$H$5:$H$92,"&lt;0")-SUMIFS('Daftar Koreksi'!$H$5:$H$92,'Daftar Koreksi'!$D$5:$D$92,'1900'!A532,'Daftar Koreksi'!$G$5:$G$92,"Jalan Irigasi Jaringan",'Daftar Koreksi'!$H$5:$H$92,"&lt;0")-SUMIFS('Daftar Koreksi'!$H$5:$H$92,'Daftar Koreksi'!$D$5:$D$92,'1900'!A532,'Daftar Koreksi'!$G$5:$G$92,"Jalan Irigasi Jaringan",'Daftar Koreksi'!$H$5:$H$92,"&lt;0")</f>
        <v>0</v>
      </c>
      <c r="G539" s="17">
        <f t="shared" si="24"/>
        <v>109400000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82192995</v>
      </c>
      <c r="E540" s="25">
        <f>SUMIFS('Daftar Koreksi'!$H$5:$H$92,'Daftar Koreksi'!$D$5:$D$92,'1900'!A532,'Daftar Koreksi'!$G$5:$G$92,"Aset Tetap Lainnya",'Daftar Koreksi'!$H$5:$H$92,"&gt;0")</f>
        <v>0</v>
      </c>
      <c r="F540" s="25">
        <f>SUMIFS('Daftar Koreksi'!$H$5:$H$92,'Daftar Koreksi'!$D$5:$D$92,'1900'!A532,'Daftar Koreksi'!$G$5:$G$92,"Aset Tetap Lainnya",'Daftar Koreksi'!$H$5:$H$92,"&lt;0")-SUMIFS('Daftar Koreksi'!$H$5:$H$92,'Daftar Koreksi'!$D$5:$D$92,'1900'!A532,'Daftar Koreksi'!$G$5:$G$92,"Aset Tetap Lainnya",'Daftar Koreksi'!$H$5:$H$92,"&lt;0")-SUMIFS('Daftar Koreksi'!$H$5:$H$92,'Daftar Koreksi'!$D$5:$D$92,'1900'!A532,'Daftar Koreksi'!$G$5:$G$92,"Aset Tetap Lainnya",'Daftar Koreksi'!$H$5:$H$92,"&lt;0")</f>
        <v>0</v>
      </c>
      <c r="G540" s="17">
        <f t="shared" si="24"/>
        <v>82192995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Koreksi'!$D$5:$D$92,'1900'!A532,'Daftar Koreksi'!$G$5:$G$92,"Kontruksi Dalam Pengerjaan",'Daftar Koreksi'!$H$5:$H$92,"&gt;0")</f>
        <v>0</v>
      </c>
      <c r="F541" s="25">
        <f>SUMIFS('Daftar Koreksi'!$H$5:$H$92,'Daftar Koreksi'!$D$5:$D$92,'1900'!A532,'Daftar Koreksi'!$G$5:$G$92,"Kontruksi Dalam Pengerjaan",'Daftar Koreksi'!$H$5:$H$92,"&lt;0")-SUMIFS('Daftar Koreksi'!$H$5:$H$92,'Daftar Koreksi'!$D$5:$D$92,'1900'!A532,'Daftar Koreksi'!$G$5:$G$92,"Kontruksi Dalam Pengerjaan",'Daftar Koreksi'!$H$5:$H$92,"&lt;0")-SUMIFS('Daftar Koreksi'!$H$5:$H$92,'Daftar Koreksi'!$D$5:$D$92,'1900'!A532,'Daftar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7260000</v>
      </c>
      <c r="E542" s="25">
        <f>SUMIFS('Daftar Koreksi'!$H$5:$H$92,'Daftar Koreksi'!$D$5:$D$92,'1900'!A532,'Daftar Koreksi'!$G$5:$G$92,"Aset Tak Berwujud",'Daftar Koreksi'!$H$5:$H$92,"&gt;0")</f>
        <v>0</v>
      </c>
      <c r="F542" s="25">
        <f>SUMIFS('Daftar Koreksi'!$H$5:$H$92,'Daftar Koreksi'!$D$5:$D$92,'1900'!A532,'Daftar Koreksi'!$G$5:$G$92,"Aset Tak Berwujud",'Daftar Koreksi'!$H$5:$H$92,"&lt;0")-SUMIFS('Daftar Koreksi'!$H$5:$H$92,'Daftar Koreksi'!$D$5:$D$92,'1900'!A532,'Daftar Koreksi'!$G$5:$G$92,"Aset Tak Berwujud",'Daftar Koreksi'!$H$5:$H$92,"&lt;0")-SUMIFS('Daftar Koreksi'!$H$5:$H$92,'Daftar Koreksi'!$D$5:$D$92,'1900'!A532,'Daftar Koreksi'!$G$5:$G$92,"Aset Tak Berwujud",'Daftar Koreksi'!$H$5:$H$92,"&lt;0")</f>
        <v>0</v>
      </c>
      <c r="G542" s="17">
        <f t="shared" si="24"/>
        <v>7260000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1335604</v>
      </c>
      <c r="E543" s="25">
        <f>SUMIFS('Daftar Koreksi'!$H$5:$H$92,'Daftar Koreksi'!$D$5:$D$92,'1900'!A532,'Daftar Koreksi'!$G$5:$G$92,"Aset Henti Guna",'Daftar Koreksi'!$H$5:$H$92,"&gt;0")</f>
        <v>0</v>
      </c>
      <c r="F543" s="25">
        <f>SUMIFS('Daftar Koreksi'!$H$5:$H$92,'Daftar Koreksi'!$D$5:$D$92,'1900'!A532,'Daftar Koreksi'!$G$5:$G$92,"Aset Henti Guna",'Daftar Koreksi'!$H$5:$H$92,"&lt;0")-SUMIFS('Daftar Koreksi'!$H$5:$H$92,'Daftar Koreksi'!$D$5:$D$92,'1900'!A532,'Daftar Koreksi'!$G$5:$G$92,"Aset Henti Guna",'Daftar Koreksi'!$H$5:$H$92,"&lt;0")-SUMIFS('Daftar Koreksi'!$H$5:$H$92,'Daftar Koreksi'!$D$5:$D$92,'1900'!A532,'Daftar Koreksi'!$G$5:$G$92,"Aset Henti Guna",'Daftar Koreksi'!$H$5:$H$92,"&lt;0")</f>
        <v>0</v>
      </c>
      <c r="G543" s="17">
        <f t="shared" si="24"/>
        <v>1335604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15328193596</v>
      </c>
      <c r="E544" s="19">
        <f>SUM(E535:E543)</f>
        <v>0</v>
      </c>
      <c r="F544" s="19">
        <f>SUM(F535:F543)</f>
        <v>0</v>
      </c>
      <c r="G544" s="19">
        <f t="shared" si="24"/>
        <v>15328193596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-1536088395</v>
      </c>
      <c r="E545" s="25">
        <f>SUMIFS('Daftar Koreksi'!$I$5:$I$92,'Daftar Koreksi'!$D$5:$D$92,'1900'!A532,'Daftar Koreksi'!$G$5:$G$92,"Peralatan dan mesin",'Daftar Koreksi'!$I$5:$I$92,"&gt;0")</f>
        <v>0</v>
      </c>
      <c r="F545" s="25">
        <f>SUMIFS('Daftar Koreksi'!$I$5:$I$92,'Daftar Koreksi'!$D$5:$D$92,'1900'!A532,'Daftar Koreksi'!$G$5:$G$92,"Peralatan dan mesin",'Daftar Koreksi'!$I$5:$I$92,"&lt;0")-SUMIFS('Daftar Koreksi'!$I$5:$I$92,'Daftar Koreksi'!$D$5:$D$92,'1900'!A532,'Daftar Koreksi'!$G$5:$G$92,"Peralatan dan mesin",'Daftar Koreksi'!$I$5:$I$92,"&lt;0")-SUMIFS('Daftar Koreksi'!$I$5:$I$92,'Daftar Koreksi'!$D$5:$D$92,'1900'!A532,'Daftar Koreksi'!$G$5:$G$92,"Peralatan dan mesin",'Daftar Koreksi'!$I$5:$I$92,"&lt;0")</f>
        <v>0</v>
      </c>
      <c r="G545" s="17">
        <f t="shared" si="24"/>
        <v>-1536088395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-224862826</v>
      </c>
      <c r="E546" s="25">
        <f>SUMIFS('Daftar Koreksi'!$I$5:$I$92,'Daftar Koreksi'!$D$5:$D$92,'1900'!A532,'Daftar Koreksi'!$G$5:$G$92,"Gedung dan Bangunan",'Daftar Koreksi'!$I$5:$I$92,"&gt;0")</f>
        <v>0</v>
      </c>
      <c r="F546" s="25">
        <f>SUMIFS('Daftar Koreksi'!$I$5:$I$92,'Daftar Koreksi'!$D$5:$D$92,'1900'!A532,'Daftar Koreksi'!$G$5:$G$92,"Gedung dan Bangunan",'Daftar Koreksi'!$I$5:$I$92,"&lt;0")-SUMIFS('Daftar Koreksi'!$I$5:$I$92,'Daftar Koreksi'!$D$5:$D$92,'1900'!A532,'Daftar Koreksi'!$G$5:$G$92,"Gedung dan Bangunan",'Daftar Koreksi'!$I$5:$I$92,"&lt;0")-SUMIFS('Daftar Koreksi'!$I$5:$I$92,'Daftar Koreksi'!$D$5:$D$92,'1900'!A532,'Daftar Koreksi'!$G$5:$G$92,"Gedung dan Bangunan",'Daftar Koreksi'!$I$5:$I$92,"&lt;0")</f>
        <v>0</v>
      </c>
      <c r="G546" s="17">
        <f t="shared" si="24"/>
        <v>-224862826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-107200000</v>
      </c>
      <c r="E547" s="25">
        <f>SUMIFS('Daftar Koreksi'!$I$5:$I$92,'Daftar Koreksi'!$D$5:$D$92,'1900'!A532,'Daftar Koreksi'!$G$5:$G$92,"Jalan Irigasi Jaringan",'Daftar Koreksi'!$I$5:$I$92,"&gt;0")</f>
        <v>0</v>
      </c>
      <c r="F547" s="25">
        <f>SUMIFS('Daftar Koreksi'!$I$5:$I$92,'Daftar Koreksi'!$D$5:$D$92,'1900'!A532,'Daftar Koreksi'!$G$5:$G$92,"Jalan Irigasi Jaringan",'Daftar Koreksi'!$I$5:$I$92,"&lt;0")-SUMIFS('Daftar Koreksi'!$I$5:$I$92,'Daftar Koreksi'!$D$5:$D$92,'1900'!A532,'Daftar Koreksi'!$G$5:$G$92,"Jalan Irigasi Jaringan",'Daftar Koreksi'!$I$5:$I$92,"&lt;0")-SUMIFS('Daftar Koreksi'!$I$5:$I$92,'Daftar Koreksi'!$D$5:$D$92,'1900'!A532,'Daftar Koreksi'!$G$5:$G$92,"Jalan Irigasi Jaringan",'Daftar Koreksi'!$I$5:$I$92,"&lt;0")</f>
        <v>0</v>
      </c>
      <c r="G547" s="17">
        <f t="shared" si="24"/>
        <v>-107200000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Koreksi'!$D$5:$D$92,'1900'!A532,'Daftar Koreksi'!$G$5:$G$92,"Aset Tetap Lainnya",'Daftar Koreksi'!$I$5:$I$92,"&gt;0")</f>
        <v>0</v>
      </c>
      <c r="F548" s="25">
        <f>SUMIFS('Daftar Koreksi'!$I$5:$I$92,'Daftar Koreksi'!$D$5:$D$92,'1900'!A532,'Daftar Koreksi'!$G$5:$G$92,"Aset Tetap Lainnya",'Daftar Koreksi'!$I$5:$I$92,"&lt;0")-SUMIFS('Daftar Koreksi'!$I$5:$I$92,'Daftar Koreksi'!$D$5:$D$92,'1900'!A532,'Daftar Koreksi'!$G$5:$G$92,"Aset Tetap Lainnya",'Daftar Koreksi'!$I$5:$I$92,"&lt;0")-SUMIFS('Daftar Koreksi'!$I$5:$I$92,'Daftar Koreksi'!$D$5:$D$92,'1900'!A532,'Daftar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-1335604</v>
      </c>
      <c r="E549" s="25">
        <f>SUMIFS('Daftar Koreksi'!$I$5:$I$92,'Daftar Koreksi'!$D$5:$D$92,'1900'!A532,'Daftar Koreksi'!$G$5:$G$92,"Aset Henti Guna",'Daftar Koreksi'!$I$5:$I$92,"&gt;0")</f>
        <v>0</v>
      </c>
      <c r="F549" s="25">
        <f>SUMIFS('Daftar Koreksi'!$I$5:$I$92,'Daftar Koreksi'!$D$5:$D$92,'1900'!A532,'Daftar Koreksi'!$G$5:$G$92,"Aset Henti Guna",'Daftar Koreksi'!$I$5:$I$92,"&lt;0")-SUMIFS('Daftar Koreksi'!$I$5:$I$92,'Daftar Koreksi'!$D$5:$D$92,'1900'!A532,'Daftar Koreksi'!$G$5:$G$92,"Aset Henti Guna",'Daftar Koreksi'!$I$5:$I$92,"&lt;0")-SUMIFS('Daftar Koreksi'!$I$5:$I$92,'Daftar Koreksi'!$D$5:$D$92,'1900'!A532,'Daftar Koreksi'!$G$5:$G$92,"Aset Henti Guna",'Daftar Koreksi'!$I$5:$I$92,"&lt;0")</f>
        <v>0</v>
      </c>
      <c r="G549" s="17">
        <f t="shared" si="24"/>
        <v>-1335604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-1869486825</v>
      </c>
      <c r="E550" s="19">
        <f>SUM(E545:E549)</f>
        <v>0</v>
      </c>
      <c r="F550" s="19">
        <f>SUM(F545:F549)</f>
        <v>0</v>
      </c>
      <c r="G550" s="19">
        <f t="shared" si="24"/>
        <v>-1869486825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13458706771</v>
      </c>
      <c r="E551" s="19">
        <f>E550+E544</f>
        <v>0</v>
      </c>
      <c r="F551" s="19">
        <f>F550+F544</f>
        <v>0</v>
      </c>
      <c r="G551" s="19">
        <f t="shared" si="24"/>
        <v>13458706771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005011900307466000KD</v>
      </c>
      <c r="B554" s="11" t="str">
        <f>P26</f>
        <v>PA. Jeneponto</v>
      </c>
      <c r="C554" s="12" t="str">
        <f>A554&amp;" "&amp;B554</f>
        <v>005011900307466000KD PA. Jeneponto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190500</v>
      </c>
      <c r="E557" s="25">
        <f>SUMIFS('Daftar Koreksi'!$H$5:$H$92,'Daftar Koreksi'!$D$5:$D$92,'1900'!A554,'Daftar Koreksi'!$G$5:$G$92,"Persediaan",'Daftar Koreksi'!$H$5:$H$92,"&gt;0")</f>
        <v>0</v>
      </c>
      <c r="F557" s="25">
        <f>SUMIFS('Daftar Koreksi'!$H$5:$H$92,'Daftar Koreksi'!$D$5:$D$92,'1900'!A554,'Daftar Koreksi'!$G$5:$G$92,"Persediaan",'Daftar Koreksi'!$H$5:$H$92,"&lt;0")-SUMIFS('Daftar Koreksi'!$H$5:$H$92,'Daftar Koreksi'!$D$5:$D$92,'1900'!A554,'Daftar Koreksi'!$G$5:$G$92,"Persediaan",'Daftar Koreksi'!$H$5:$H$92,"&lt;0")-SUMIFS('Daftar Koreksi'!$H$5:$H$92,'Daftar Koreksi'!$D$5:$D$92,'1900'!A554,'Daftar Koreksi'!$G$5:$G$92,"Persediaan",'Daftar Koreksi'!$H$5:$H$92,"&lt;0")</f>
        <v>0</v>
      </c>
      <c r="G557" s="17">
        <f>D557+E557-F557</f>
        <v>190500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1423252500</v>
      </c>
      <c r="E558" s="25">
        <f>SUMIFS('Daftar Koreksi'!$H$5:$H$92,'Daftar Koreksi'!$D$5:$D$92,'1900'!A554,'Daftar Koreksi'!$G$5:$G$92,"Tanah",'Daftar Koreksi'!$H$5:$H$92,"&gt;0")</f>
        <v>0</v>
      </c>
      <c r="F558" s="25">
        <f>SUMIFS('Daftar Koreksi'!$H$5:$H$92,'Daftar Koreksi'!$D$5:$D$92,'1900'!A554,'Daftar Koreksi'!$G$5:$G$92,"Tanah",'Daftar Koreksi'!$H$5:$H$92,"&lt;0")-SUMIFS('Daftar Koreksi'!$H$5:$H$92,'Daftar Koreksi'!$D$5:$D$92,'1900'!A554,'Daftar Koreksi'!$G$5:$G$92,"Tanah",'Daftar Koreksi'!$H$5:$H$92,"&lt;0")-SUMIFS('Daftar Koreksi'!$H$5:$H$92,'Daftar Koreksi'!$D$5:$D$92,'1900'!A554,'Daftar Koreksi'!$G$5:$G$92,"Tanah",'Daftar Koreksi'!$H$5:$H$92,"&lt;0")</f>
        <v>0</v>
      </c>
      <c r="G558" s="17">
        <f t="shared" ref="G558:G574" si="25">D558+E558-F558</f>
        <v>1423252500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1311785139</v>
      </c>
      <c r="E559" s="25">
        <f>SUMIFS('Daftar Koreksi'!$H$5:$H$92,'Daftar Koreksi'!$D$5:$D$92,'1900'!A554,'Daftar Koreksi'!$G$5:$G$92,"Peralatan dan mesin",'Daftar Koreksi'!$H$5:$H$92,"&gt;0")</f>
        <v>0</v>
      </c>
      <c r="F559" s="25">
        <f>SUMIFS('Daftar Koreksi'!$H$5:$H$92,'Daftar Koreksi'!$D$5:$D$92,'1900'!A554,'Daftar Koreksi'!$G$5:$G$92,"Peralatan dan mesin",'Daftar Koreksi'!$H$5:$H$92,"&lt;0")-SUMIFS('Daftar Koreksi'!$H$5:$H$92,'Daftar Koreksi'!$D$5:$D$92,'1900'!A554,'Daftar Koreksi'!$G$5:$G$92,"Peralatan dan mesin",'Daftar Koreksi'!$H$5:$H$92,"&lt;0")-SUMIFS('Daftar Koreksi'!$H$5:$H$92,'Daftar Koreksi'!$D$5:$D$92,'1900'!A554,'Daftar Koreksi'!$G$5:$G$92,"Peralatan dan mesin",'Daftar Koreksi'!$H$5:$H$92,"&lt;0")</f>
        <v>0</v>
      </c>
      <c r="G559" s="17">
        <f t="shared" si="25"/>
        <v>1311785139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4352934679</v>
      </c>
      <c r="E560" s="25">
        <f>SUMIFS('Daftar Koreksi'!$H$5:$H$92,'Daftar Koreksi'!$D$5:$D$92,'1900'!A554,'Daftar Koreksi'!$G$5:$G$92,"Gedung dan Bangunan",'Daftar Koreksi'!$H$5:$H$92,"&gt;0")</f>
        <v>0</v>
      </c>
      <c r="F560" s="25">
        <f>SUMIFS('Daftar Koreksi'!$H$5:$H$92,'Daftar Koreksi'!$D$5:$D$92,'1900'!A554,'Daftar Koreksi'!$G$5:$G$92,"Gedung dan Bangunan",'Daftar Koreksi'!$H$5:$H$92,"&lt;0")-SUMIFS('Daftar Koreksi'!$H$5:$H$92,'Daftar Koreksi'!$D$5:$D$92,'1900'!A554,'Daftar Koreksi'!$G$5:$G$92,"Gedung dan Bangunan",'Daftar Koreksi'!$H$5:$H$92,"&lt;0")-SUMIFS('Daftar Koreksi'!$H$5:$H$92,'Daftar Koreksi'!$D$5:$D$92,'1900'!A554,'Daftar Koreksi'!$G$5:$G$92,"Gedung dan Bangunan",'Daftar Koreksi'!$H$5:$H$92,"&lt;0")</f>
        <v>0</v>
      </c>
      <c r="G560" s="17">
        <f t="shared" si="25"/>
        <v>4352934679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32500000</v>
      </c>
      <c r="E561" s="25">
        <f>SUMIFS('Daftar Koreksi'!$H$5:$H$92,'Daftar Koreksi'!$D$5:$D$92,'1900'!A554,'Daftar Koreksi'!$G$5:$G$92,"Jalan Irigasi Jaringan",'Daftar Koreksi'!$H$5:$H$92,"&gt;0")</f>
        <v>0</v>
      </c>
      <c r="F561" s="25">
        <f>SUMIFS('Daftar Koreksi'!$H$5:$H$92,'Daftar Koreksi'!$D$5:$D$92,'1900'!A554,'Daftar Koreksi'!$G$5:$G$92,"Jalan Irigasi Jaringan",'Daftar Koreksi'!$H$5:$H$92,"&lt;0")-SUMIFS('Daftar Koreksi'!$H$5:$H$92,'Daftar Koreksi'!$D$5:$D$92,'1900'!A554,'Daftar Koreksi'!$G$5:$G$92,"Jalan Irigasi Jaringan",'Daftar Koreksi'!$H$5:$H$92,"&lt;0")-SUMIFS('Daftar Koreksi'!$H$5:$H$92,'Daftar Koreksi'!$D$5:$D$92,'1900'!A554,'Daftar Koreksi'!$G$5:$G$92,"Jalan Irigasi Jaringan",'Daftar Koreksi'!$H$5:$H$92,"&lt;0")</f>
        <v>0</v>
      </c>
      <c r="G561" s="17">
        <f t="shared" si="25"/>
        <v>32500000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2831918</v>
      </c>
      <c r="E562" s="25">
        <f>SUMIFS('Daftar Koreksi'!$H$5:$H$92,'Daftar Koreksi'!$D$5:$D$92,'1900'!A554,'Daftar Koreksi'!$G$5:$G$92,"Aset Tetap Lainnya",'Daftar Koreksi'!$H$5:$H$92,"&gt;0")</f>
        <v>0</v>
      </c>
      <c r="F562" s="25">
        <f>SUMIFS('Daftar Koreksi'!$H$5:$H$92,'Daftar Koreksi'!$D$5:$D$92,'1900'!A554,'Daftar Koreksi'!$G$5:$G$92,"Aset Tetap Lainnya",'Daftar Koreksi'!$H$5:$H$92,"&lt;0")-SUMIFS('Daftar Koreksi'!$H$5:$H$92,'Daftar Koreksi'!$D$5:$D$92,'1900'!A554,'Daftar Koreksi'!$G$5:$G$92,"Aset Tetap Lainnya",'Daftar Koreksi'!$H$5:$H$92,"&lt;0")-SUMIFS('Daftar Koreksi'!$H$5:$H$92,'Daftar Koreksi'!$D$5:$D$92,'1900'!A554,'Daftar Koreksi'!$G$5:$G$92,"Aset Tetap Lainnya",'Daftar Koreksi'!$H$5:$H$92,"&lt;0")</f>
        <v>0</v>
      </c>
      <c r="G562" s="17">
        <f t="shared" si="25"/>
        <v>2831918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Koreksi'!$D$5:$D$92,'1900'!A554,'Daftar Koreksi'!$G$5:$G$92,"Kontruksi Dalam Pengerjaan",'Daftar Koreksi'!$H$5:$H$92,"&gt;0")</f>
        <v>0</v>
      </c>
      <c r="F563" s="25">
        <f>SUMIFS('Daftar Koreksi'!$H$5:$H$92,'Daftar Koreksi'!$D$5:$D$92,'1900'!A554,'Daftar Koreksi'!$G$5:$G$92,"Kontruksi Dalam Pengerjaan",'Daftar Koreksi'!$H$5:$H$92,"&lt;0")-SUMIFS('Daftar Koreksi'!$H$5:$H$92,'Daftar Koreksi'!$D$5:$D$92,'1900'!A554,'Daftar Koreksi'!$G$5:$G$92,"Kontruksi Dalam Pengerjaan",'Daftar Koreksi'!$H$5:$H$92,"&lt;0")-SUMIFS('Daftar Koreksi'!$H$5:$H$92,'Daftar Koreksi'!$D$5:$D$92,'1900'!A554,'Daftar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Koreksi'!$D$5:$D$92,'1900'!A554,'Daftar Koreksi'!$G$5:$G$92,"Aset Tak Berwujud",'Daftar Koreksi'!$H$5:$H$92,"&gt;0")</f>
        <v>0</v>
      </c>
      <c r="F564" s="25">
        <f>SUMIFS('Daftar Koreksi'!$H$5:$H$92,'Daftar Koreksi'!$D$5:$D$92,'1900'!A554,'Daftar Koreksi'!$G$5:$G$92,"Aset Tak Berwujud",'Daftar Koreksi'!$H$5:$H$92,"&lt;0")-SUMIFS('Daftar Koreksi'!$H$5:$H$92,'Daftar Koreksi'!$D$5:$D$92,'1900'!A554,'Daftar Koreksi'!$G$5:$G$92,"Aset Tak Berwujud",'Daftar Koreksi'!$H$5:$H$92,"&lt;0")-SUMIFS('Daftar Koreksi'!$H$5:$H$92,'Daftar Koreksi'!$D$5:$D$92,'1900'!A554,'Daftar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0</v>
      </c>
      <c r="E565" s="25">
        <f>SUMIFS('Daftar Koreksi'!$H$5:$H$92,'Daftar Koreksi'!$D$5:$D$92,'1900'!A554,'Daftar Koreksi'!$G$5:$G$92,"Aset Henti Guna",'Daftar Koreksi'!$H$5:$H$92,"&gt;0")</f>
        <v>0</v>
      </c>
      <c r="F565" s="25">
        <f>SUMIFS('Daftar Koreksi'!$H$5:$H$92,'Daftar Koreksi'!$D$5:$D$92,'1900'!A554,'Daftar Koreksi'!$G$5:$G$92,"Aset Henti Guna",'Daftar Koreksi'!$H$5:$H$92,"&lt;0")-SUMIFS('Daftar Koreksi'!$H$5:$H$92,'Daftar Koreksi'!$D$5:$D$92,'1900'!A554,'Daftar Koreksi'!$G$5:$G$92,"Aset Henti Guna",'Daftar Koreksi'!$H$5:$H$92,"&lt;0")-SUMIFS('Daftar Koreksi'!$H$5:$H$92,'Daftar Koreksi'!$D$5:$D$92,'1900'!A554,'Daftar Koreksi'!$G$5:$G$92,"Aset Henti Guna",'Daftar Koreksi'!$H$5:$H$92,"&lt;0")</f>
        <v>0</v>
      </c>
      <c r="G565" s="17">
        <f t="shared" si="25"/>
        <v>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7123494736</v>
      </c>
      <c r="E566" s="19">
        <f>SUM(E557:E565)</f>
        <v>0</v>
      </c>
      <c r="F566" s="19">
        <f>SUM(F557:F565)</f>
        <v>0</v>
      </c>
      <c r="G566" s="19">
        <f t="shared" si="25"/>
        <v>7123494736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-978997593</v>
      </c>
      <c r="E567" s="25">
        <f>SUMIFS('Daftar Koreksi'!$I$5:$I$92,'Daftar Koreksi'!$D$5:$D$92,'1900'!A554,'Daftar Koreksi'!$G$5:$G$92,"Peralatan dan mesin",'Daftar Koreksi'!$I$5:$I$92,"&gt;0")</f>
        <v>0</v>
      </c>
      <c r="F567" s="25">
        <f>SUMIFS('Daftar Koreksi'!$I$5:$I$92,'Daftar Koreksi'!$D$5:$D$92,'1900'!A554,'Daftar Koreksi'!$G$5:$G$92,"Peralatan dan mesin",'Daftar Koreksi'!$I$5:$I$92,"&lt;0")-SUMIFS('Daftar Koreksi'!$I$5:$I$92,'Daftar Koreksi'!$D$5:$D$92,'1900'!A554,'Daftar Koreksi'!$G$5:$G$92,"Peralatan dan mesin",'Daftar Koreksi'!$I$5:$I$92,"&lt;0")-SUMIFS('Daftar Koreksi'!$I$5:$I$92,'Daftar Koreksi'!$D$5:$D$92,'1900'!A554,'Daftar Koreksi'!$G$5:$G$92,"Peralatan dan mesin",'Daftar Koreksi'!$I$5:$I$92,"&lt;0")</f>
        <v>0</v>
      </c>
      <c r="G567" s="17">
        <f t="shared" si="25"/>
        <v>-978997593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-431477229</v>
      </c>
      <c r="E568" s="25">
        <f>SUMIFS('Daftar Koreksi'!$I$5:$I$92,'Daftar Koreksi'!$D$5:$D$92,'1900'!A554,'Daftar Koreksi'!$G$5:$G$92,"Gedung dan Bangunan",'Daftar Koreksi'!$I$5:$I$92,"&gt;0")</f>
        <v>0</v>
      </c>
      <c r="F568" s="25">
        <f>SUMIFS('Daftar Koreksi'!$I$5:$I$92,'Daftar Koreksi'!$D$5:$D$92,'1900'!A554,'Daftar Koreksi'!$G$5:$G$92,"Gedung dan Bangunan",'Daftar Koreksi'!$I$5:$I$92,"&lt;0")-SUMIFS('Daftar Koreksi'!$I$5:$I$92,'Daftar Koreksi'!$D$5:$D$92,'1900'!A554,'Daftar Koreksi'!$G$5:$G$92,"Gedung dan Bangunan",'Daftar Koreksi'!$I$5:$I$92,"&lt;0")-SUMIFS('Daftar Koreksi'!$I$5:$I$92,'Daftar Koreksi'!$D$5:$D$92,'1900'!A554,'Daftar Koreksi'!$G$5:$G$92,"Gedung dan Bangunan",'Daftar Koreksi'!$I$5:$I$92,"&lt;0")</f>
        <v>0</v>
      </c>
      <c r="G568" s="17">
        <f t="shared" si="25"/>
        <v>-431477229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-1843750</v>
      </c>
      <c r="E569" s="25">
        <f>SUMIFS('Daftar Koreksi'!$I$5:$I$92,'Daftar Koreksi'!$D$5:$D$92,'1900'!A554,'Daftar Koreksi'!$G$5:$G$92,"Jalan Irigasi Jaringan",'Daftar Koreksi'!$I$5:$I$92,"&gt;0")</f>
        <v>0</v>
      </c>
      <c r="F569" s="25">
        <f>SUMIFS('Daftar Koreksi'!$I$5:$I$92,'Daftar Koreksi'!$D$5:$D$92,'1900'!A554,'Daftar Koreksi'!$G$5:$G$92,"Jalan Irigasi Jaringan",'Daftar Koreksi'!$I$5:$I$92,"&lt;0")-SUMIFS('Daftar Koreksi'!$I$5:$I$92,'Daftar Koreksi'!$D$5:$D$92,'1900'!A554,'Daftar Koreksi'!$G$5:$G$92,"Jalan Irigasi Jaringan",'Daftar Koreksi'!$I$5:$I$92,"&lt;0")-SUMIFS('Daftar Koreksi'!$I$5:$I$92,'Daftar Koreksi'!$D$5:$D$92,'1900'!A554,'Daftar Koreksi'!$G$5:$G$92,"Jalan Irigasi Jaringan",'Daftar Koreksi'!$I$5:$I$92,"&lt;0")</f>
        <v>0</v>
      </c>
      <c r="G569" s="17">
        <f t="shared" si="25"/>
        <v>-1843750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Koreksi'!$D$5:$D$92,'1900'!A554,'Daftar Koreksi'!$G$5:$G$92,"Aset Tetap Lainnya",'Daftar Koreksi'!$I$5:$I$92,"&gt;0")</f>
        <v>0</v>
      </c>
      <c r="F570" s="25">
        <f>SUMIFS('Daftar Koreksi'!$I$5:$I$92,'Daftar Koreksi'!$D$5:$D$92,'1900'!A554,'Daftar Koreksi'!$G$5:$G$92,"Aset Tetap Lainnya",'Daftar Koreksi'!$I$5:$I$92,"&lt;0")-SUMIFS('Daftar Koreksi'!$I$5:$I$92,'Daftar Koreksi'!$D$5:$D$92,'1900'!A554,'Daftar Koreksi'!$G$5:$G$92,"Aset Tetap Lainnya",'Daftar Koreksi'!$I$5:$I$92,"&lt;0")-SUMIFS('Daftar Koreksi'!$I$5:$I$92,'Daftar Koreksi'!$D$5:$D$92,'1900'!A554,'Daftar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0</v>
      </c>
      <c r="E571" s="25">
        <f>SUMIFS('Daftar Koreksi'!$I$5:$I$92,'Daftar Koreksi'!$D$5:$D$92,'1900'!A554,'Daftar Koreksi'!$G$5:$G$92,"Aset Henti Guna",'Daftar Koreksi'!$I$5:$I$92,"&gt;0")</f>
        <v>0</v>
      </c>
      <c r="F571" s="25">
        <f>SUMIFS('Daftar Koreksi'!$I$5:$I$92,'Daftar Koreksi'!$D$5:$D$92,'1900'!A554,'Daftar Koreksi'!$G$5:$G$92,"Aset Henti Guna",'Daftar Koreksi'!$I$5:$I$92,"&lt;0")-SUMIFS('Daftar Koreksi'!$I$5:$I$92,'Daftar Koreksi'!$D$5:$D$92,'1900'!A554,'Daftar Koreksi'!$G$5:$G$92,"Aset Henti Guna",'Daftar Koreksi'!$I$5:$I$92,"&lt;0")-SUMIFS('Daftar Koreksi'!$I$5:$I$92,'Daftar Koreksi'!$D$5:$D$92,'1900'!A554,'Daftar Koreksi'!$G$5:$G$92,"Aset Henti Guna",'Daftar Koreksi'!$I$5:$I$92,"&lt;0")</f>
        <v>0</v>
      </c>
      <c r="G571" s="17">
        <f t="shared" si="25"/>
        <v>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-1412318572</v>
      </c>
      <c r="E572" s="19">
        <f>SUM(E567:E571)</f>
        <v>0</v>
      </c>
      <c r="F572" s="19">
        <f>SUM(F567:F571)</f>
        <v>0</v>
      </c>
      <c r="G572" s="19">
        <f t="shared" si="25"/>
        <v>-1412318572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5711176164</v>
      </c>
      <c r="E573" s="19">
        <f>E572+E566</f>
        <v>0</v>
      </c>
      <c r="F573" s="19">
        <f>F572+F566</f>
        <v>0</v>
      </c>
      <c r="G573" s="19">
        <f t="shared" si="25"/>
        <v>5711176164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005011900307470000KD</v>
      </c>
      <c r="B576" s="11" t="str">
        <f>P27</f>
        <v>PA. Takalar</v>
      </c>
      <c r="C576" s="12" t="str">
        <f>A576&amp;" "&amp;B576</f>
        <v>005011900307470000KD PA. Takalar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483672</v>
      </c>
      <c r="E579" s="25">
        <f>SUMIFS('Daftar Koreksi'!$H$5:$H$92,'Daftar Koreksi'!$D$5:$D$92,'1900'!A576,'Daftar Koreksi'!$G$5:$G$92,"Persediaan",'Daftar Koreksi'!$H$5:$H$92,"&gt;0")</f>
        <v>0</v>
      </c>
      <c r="F579" s="25">
        <f>SUMIFS('Daftar Koreksi'!$H$5:$H$92,'Daftar Koreksi'!$D$5:$D$92,'1900'!A576,'Daftar Koreksi'!$G$5:$G$92,"Persediaan",'Daftar Koreksi'!$H$5:$H$92,"&lt;0")-SUMIFS('Daftar Koreksi'!$H$5:$H$92,'Daftar Koreksi'!$D$5:$D$92,'1900'!A576,'Daftar Koreksi'!$G$5:$G$92,"Persediaan",'Daftar Koreksi'!$H$5:$H$92,"&lt;0")-SUMIFS('Daftar Koreksi'!$H$5:$H$92,'Daftar Koreksi'!$D$5:$D$92,'1900'!A576,'Daftar Koreksi'!$G$5:$G$92,"Persediaan",'Daftar Koreksi'!$H$5:$H$92,"&lt;0")</f>
        <v>0</v>
      </c>
      <c r="G579" s="17">
        <f>D579+E579-F579</f>
        <v>483672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1142271000</v>
      </c>
      <c r="E580" s="25">
        <f>SUMIFS('Daftar Koreksi'!$H$5:$H$92,'Daftar Koreksi'!$D$5:$D$92,'1900'!A576,'Daftar Koreksi'!$G$5:$G$92,"Tanah",'Daftar Koreksi'!$H$5:$H$92,"&gt;0")</f>
        <v>0</v>
      </c>
      <c r="F580" s="25">
        <f>SUMIFS('Daftar Koreksi'!$H$5:$H$92,'Daftar Koreksi'!$D$5:$D$92,'1900'!A576,'Daftar Koreksi'!$G$5:$G$92,"Tanah",'Daftar Koreksi'!$H$5:$H$92,"&lt;0")-SUMIFS('Daftar Koreksi'!$H$5:$H$92,'Daftar Koreksi'!$D$5:$D$92,'1900'!A576,'Daftar Koreksi'!$G$5:$G$92,"Tanah",'Daftar Koreksi'!$H$5:$H$92,"&lt;0")-SUMIFS('Daftar Koreksi'!$H$5:$H$92,'Daftar Koreksi'!$D$5:$D$92,'1900'!A576,'Daftar Koreksi'!$G$5:$G$92,"Tanah",'Daftar Koreksi'!$H$5:$H$92,"&lt;0")</f>
        <v>0</v>
      </c>
      <c r="G580" s="17">
        <f t="shared" ref="G580:G596" si="26">D580+E580-F580</f>
        <v>1142271000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1063919183</v>
      </c>
      <c r="E581" s="25">
        <f>SUMIFS('Daftar Koreksi'!$H$5:$H$92,'Daftar Koreksi'!$D$5:$D$92,'1900'!A576,'Daftar Koreksi'!$G$5:$G$92,"Peralatan dan mesin",'Daftar Koreksi'!$H$5:$H$92,"&gt;0")</f>
        <v>0</v>
      </c>
      <c r="F581" s="25">
        <f>SUMIFS('Daftar Koreksi'!$H$5:$H$92,'Daftar Koreksi'!$D$5:$D$92,'1900'!A576,'Daftar Koreksi'!$G$5:$G$92,"Peralatan dan mesin",'Daftar Koreksi'!$H$5:$H$92,"&lt;0")-SUMIFS('Daftar Koreksi'!$H$5:$H$92,'Daftar Koreksi'!$D$5:$D$92,'1900'!A576,'Daftar Koreksi'!$G$5:$G$92,"Peralatan dan mesin",'Daftar Koreksi'!$H$5:$H$92,"&lt;0")-SUMIFS('Daftar Koreksi'!$H$5:$H$92,'Daftar Koreksi'!$D$5:$D$92,'1900'!A576,'Daftar Koreksi'!$G$5:$G$92,"Peralatan dan mesin",'Daftar Koreksi'!$H$5:$H$92,"&lt;0")</f>
        <v>0</v>
      </c>
      <c r="G581" s="17">
        <f t="shared" si="26"/>
        <v>1063919183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3259500600</v>
      </c>
      <c r="E582" s="25">
        <f>SUMIFS('Daftar Koreksi'!$H$5:$H$92,'Daftar Koreksi'!$D$5:$D$92,'1900'!A576,'Daftar Koreksi'!$G$5:$G$92,"Gedung dan Bangunan",'Daftar Koreksi'!$H$5:$H$92,"&gt;0")</f>
        <v>0</v>
      </c>
      <c r="F582" s="25">
        <f>SUMIFS('Daftar Koreksi'!$H$5:$H$92,'Daftar Koreksi'!$D$5:$D$92,'1900'!A576,'Daftar Koreksi'!$G$5:$G$92,"Gedung dan Bangunan",'Daftar Koreksi'!$H$5:$H$92,"&lt;0")-SUMIFS('Daftar Koreksi'!$H$5:$H$92,'Daftar Koreksi'!$D$5:$D$92,'1900'!A576,'Daftar Koreksi'!$G$5:$G$92,"Gedung dan Bangunan",'Daftar Koreksi'!$H$5:$H$92,"&lt;0")-SUMIFS('Daftar Koreksi'!$H$5:$H$92,'Daftar Koreksi'!$D$5:$D$92,'1900'!A576,'Daftar Koreksi'!$G$5:$G$92,"Gedung dan Bangunan",'Daftar Koreksi'!$H$5:$H$92,"&lt;0")</f>
        <v>0</v>
      </c>
      <c r="G582" s="17">
        <f t="shared" si="26"/>
        <v>3259500600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306925013</v>
      </c>
      <c r="E583" s="25">
        <f>SUMIFS('Daftar Koreksi'!$H$5:$H$92,'Daftar Koreksi'!$D$5:$D$92,'1900'!A576,'Daftar Koreksi'!$G$5:$G$92,"Jalan Irigasi Jaringan",'Daftar Koreksi'!$H$5:$H$92,"&gt;0")</f>
        <v>0</v>
      </c>
      <c r="F583" s="25">
        <f>SUMIFS('Daftar Koreksi'!$H$5:$H$92,'Daftar Koreksi'!$D$5:$D$92,'1900'!A576,'Daftar Koreksi'!$G$5:$G$92,"Jalan Irigasi Jaringan",'Daftar Koreksi'!$H$5:$H$92,"&lt;0")-SUMIFS('Daftar Koreksi'!$H$5:$H$92,'Daftar Koreksi'!$D$5:$D$92,'1900'!A576,'Daftar Koreksi'!$G$5:$G$92,"Jalan Irigasi Jaringan",'Daftar Koreksi'!$H$5:$H$92,"&lt;0")-SUMIFS('Daftar Koreksi'!$H$5:$H$92,'Daftar Koreksi'!$D$5:$D$92,'1900'!A576,'Daftar Koreksi'!$G$5:$G$92,"Jalan Irigasi Jaringan",'Daftar Koreksi'!$H$5:$H$92,"&lt;0")</f>
        <v>0</v>
      </c>
      <c r="G583" s="17">
        <f t="shared" si="26"/>
        <v>306925013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6429570</v>
      </c>
      <c r="E584" s="25">
        <f>SUMIFS('Daftar Koreksi'!$H$5:$H$92,'Daftar Koreksi'!$D$5:$D$92,'1900'!A576,'Daftar Koreksi'!$G$5:$G$92,"Aset Tetap Lainnya",'Daftar Koreksi'!$H$5:$H$92,"&gt;0")</f>
        <v>0</v>
      </c>
      <c r="F584" s="25">
        <f>SUMIFS('Daftar Koreksi'!$H$5:$H$92,'Daftar Koreksi'!$D$5:$D$92,'1900'!A576,'Daftar Koreksi'!$G$5:$G$92,"Aset Tetap Lainnya",'Daftar Koreksi'!$H$5:$H$92,"&lt;0")-SUMIFS('Daftar Koreksi'!$H$5:$H$92,'Daftar Koreksi'!$D$5:$D$92,'1900'!A576,'Daftar Koreksi'!$G$5:$G$92,"Aset Tetap Lainnya",'Daftar Koreksi'!$H$5:$H$92,"&lt;0")-SUMIFS('Daftar Koreksi'!$H$5:$H$92,'Daftar Koreksi'!$D$5:$D$92,'1900'!A576,'Daftar Koreksi'!$G$5:$G$92,"Aset Tetap Lainnya",'Daftar Koreksi'!$H$5:$H$92,"&lt;0")</f>
        <v>0</v>
      </c>
      <c r="G584" s="17">
        <f t="shared" si="26"/>
        <v>6429570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99835000</v>
      </c>
      <c r="E585" s="25">
        <f>SUMIFS('Daftar Koreksi'!$H$5:$H$92,'Daftar Koreksi'!$D$5:$D$92,'1900'!A576,'Daftar Koreksi'!$G$5:$G$92,"Kontruksi Dalam Pengerjaan",'Daftar Koreksi'!$H$5:$H$92,"&gt;0")</f>
        <v>0</v>
      </c>
      <c r="F585" s="25">
        <f>SUMIFS('Daftar Koreksi'!$H$5:$H$92,'Daftar Koreksi'!$D$5:$D$92,'1900'!A576,'Daftar Koreksi'!$G$5:$G$92,"Kontruksi Dalam Pengerjaan",'Daftar Koreksi'!$H$5:$H$92,"&lt;0")-SUMIFS('Daftar Koreksi'!$H$5:$H$92,'Daftar Koreksi'!$D$5:$D$92,'1900'!A576,'Daftar Koreksi'!$G$5:$G$92,"Kontruksi Dalam Pengerjaan",'Daftar Koreksi'!$H$5:$H$92,"&lt;0")-SUMIFS('Daftar Koreksi'!$H$5:$H$92,'Daftar Koreksi'!$D$5:$D$92,'1900'!A576,'Daftar Koreksi'!$G$5:$G$92,"Kontruksi Dalam Pengerjaan",'Daftar Koreksi'!$H$5:$H$92,"&lt;0")</f>
        <v>0</v>
      </c>
      <c r="G585" s="17">
        <f t="shared" si="26"/>
        <v>99835000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25270000</v>
      </c>
      <c r="E586" s="25">
        <f>SUMIFS('Daftar Koreksi'!$H$5:$H$92,'Daftar Koreksi'!$D$5:$D$92,'1900'!A576,'Daftar Koreksi'!$G$5:$G$92,"Aset Tak Berwujud",'Daftar Koreksi'!$H$5:$H$92,"&gt;0")</f>
        <v>0</v>
      </c>
      <c r="F586" s="25">
        <f>SUMIFS('Daftar Koreksi'!$H$5:$H$92,'Daftar Koreksi'!$D$5:$D$92,'1900'!A576,'Daftar Koreksi'!$G$5:$G$92,"Aset Tak Berwujud",'Daftar Koreksi'!$H$5:$H$92,"&lt;0")-SUMIFS('Daftar Koreksi'!$H$5:$H$92,'Daftar Koreksi'!$D$5:$D$92,'1900'!A576,'Daftar Koreksi'!$G$5:$G$92,"Aset Tak Berwujud",'Daftar Koreksi'!$H$5:$H$92,"&lt;0")-SUMIFS('Daftar Koreksi'!$H$5:$H$92,'Daftar Koreksi'!$D$5:$D$92,'1900'!A576,'Daftar Koreksi'!$G$5:$G$92,"Aset Tak Berwujud",'Daftar Koreksi'!$H$5:$H$92,"&lt;0")</f>
        <v>0</v>
      </c>
      <c r="G586" s="17">
        <f t="shared" si="26"/>
        <v>25270000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0</v>
      </c>
      <c r="E587" s="25">
        <f>SUMIFS('Daftar Koreksi'!$H$5:$H$92,'Daftar Koreksi'!$D$5:$D$92,'1900'!A576,'Daftar Koreksi'!$G$5:$G$92,"Aset Henti Guna",'Daftar Koreksi'!$H$5:$H$92,"&gt;0")</f>
        <v>0</v>
      </c>
      <c r="F587" s="25">
        <f>SUMIFS('Daftar Koreksi'!$H$5:$H$92,'Daftar Koreksi'!$D$5:$D$92,'1900'!A576,'Daftar Koreksi'!$G$5:$G$92,"Aset Henti Guna",'Daftar Koreksi'!$H$5:$H$92,"&lt;0")-SUMIFS('Daftar Koreksi'!$H$5:$H$92,'Daftar Koreksi'!$D$5:$D$92,'1900'!A576,'Daftar Koreksi'!$G$5:$G$92,"Aset Henti Guna",'Daftar Koreksi'!$H$5:$H$92,"&lt;0")-SUMIFS('Daftar Koreksi'!$H$5:$H$92,'Daftar Koreksi'!$D$5:$D$92,'1900'!A576,'Daftar Koreksi'!$G$5:$G$92,"Aset Henti Guna",'Daftar Koreksi'!$H$5:$H$92,"&lt;0")</f>
        <v>0</v>
      </c>
      <c r="G587" s="17">
        <f t="shared" si="26"/>
        <v>0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5904634038</v>
      </c>
      <c r="E588" s="19">
        <f>SUM(E579:E587)</f>
        <v>0</v>
      </c>
      <c r="F588" s="19">
        <f>SUM(F579:F587)</f>
        <v>0</v>
      </c>
      <c r="G588" s="19">
        <f t="shared" si="26"/>
        <v>5904634038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-923298136</v>
      </c>
      <c r="E589" s="25">
        <f>SUMIFS('Daftar Koreksi'!$I$5:$I$92,'Daftar Koreksi'!$D$5:$D$92,'1900'!A576,'Daftar Koreksi'!$G$5:$G$92,"Peralatan dan mesin",'Daftar Koreksi'!$I$5:$I$92,"&gt;0")</f>
        <v>0</v>
      </c>
      <c r="F589" s="25">
        <f>SUMIFS('Daftar Koreksi'!$I$5:$I$92,'Daftar Koreksi'!$D$5:$D$92,'1900'!A576,'Daftar Koreksi'!$G$5:$G$92,"Peralatan dan mesin",'Daftar Koreksi'!$I$5:$I$92,"&lt;0")-SUMIFS('Daftar Koreksi'!$I$5:$I$92,'Daftar Koreksi'!$D$5:$D$92,'1900'!A576,'Daftar Koreksi'!$G$5:$G$92,"Peralatan dan mesin",'Daftar Koreksi'!$I$5:$I$92,"&lt;0")-SUMIFS('Daftar Koreksi'!$I$5:$I$92,'Daftar Koreksi'!$D$5:$D$92,'1900'!A576,'Daftar Koreksi'!$G$5:$G$92,"Peralatan dan mesin",'Daftar Koreksi'!$I$5:$I$92,"&lt;0")</f>
        <v>0</v>
      </c>
      <c r="G589" s="17">
        <f t="shared" si="26"/>
        <v>-923298136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-399322994</v>
      </c>
      <c r="E590" s="25">
        <f>SUMIFS('Daftar Koreksi'!$I$5:$I$92,'Daftar Koreksi'!$D$5:$D$92,'1900'!A576,'Daftar Koreksi'!$G$5:$G$92,"Gedung dan Bangunan",'Daftar Koreksi'!$I$5:$I$92,"&gt;0")</f>
        <v>0</v>
      </c>
      <c r="F590" s="25">
        <f>SUMIFS('Daftar Koreksi'!$I$5:$I$92,'Daftar Koreksi'!$D$5:$D$92,'1900'!A576,'Daftar Koreksi'!$G$5:$G$92,"Gedung dan Bangunan",'Daftar Koreksi'!$I$5:$I$92,"&lt;0")-SUMIFS('Daftar Koreksi'!$I$5:$I$92,'Daftar Koreksi'!$D$5:$D$92,'1900'!A576,'Daftar Koreksi'!$G$5:$G$92,"Gedung dan Bangunan",'Daftar Koreksi'!$I$5:$I$92,"&lt;0")-SUMIFS('Daftar Koreksi'!$I$5:$I$92,'Daftar Koreksi'!$D$5:$D$92,'1900'!A576,'Daftar Koreksi'!$G$5:$G$92,"Gedung dan Bangunan",'Daftar Koreksi'!$I$5:$I$92,"&lt;0")</f>
        <v>0</v>
      </c>
      <c r="G590" s="17">
        <f t="shared" si="26"/>
        <v>-399322994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-34341890</v>
      </c>
      <c r="E591" s="25">
        <f>SUMIFS('Daftar Koreksi'!$I$5:$I$92,'Daftar Koreksi'!$D$5:$D$92,'1900'!A576,'Daftar Koreksi'!$G$5:$G$92,"Jalan Irigasi Jaringan",'Daftar Koreksi'!$I$5:$I$92,"&gt;0")</f>
        <v>0</v>
      </c>
      <c r="F591" s="25">
        <f>SUMIFS('Daftar Koreksi'!$I$5:$I$92,'Daftar Koreksi'!$D$5:$D$92,'1900'!A576,'Daftar Koreksi'!$G$5:$G$92,"Jalan Irigasi Jaringan",'Daftar Koreksi'!$I$5:$I$92,"&lt;0")-SUMIFS('Daftar Koreksi'!$I$5:$I$92,'Daftar Koreksi'!$D$5:$D$92,'1900'!A576,'Daftar Koreksi'!$G$5:$G$92,"Jalan Irigasi Jaringan",'Daftar Koreksi'!$I$5:$I$92,"&lt;0")-SUMIFS('Daftar Koreksi'!$I$5:$I$92,'Daftar Koreksi'!$D$5:$D$92,'1900'!A576,'Daftar Koreksi'!$G$5:$G$92,"Jalan Irigasi Jaringan",'Daftar Koreksi'!$I$5:$I$92,"&lt;0")</f>
        <v>0</v>
      </c>
      <c r="G591" s="17">
        <f t="shared" si="26"/>
        <v>-34341890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Koreksi'!$D$5:$D$92,'1900'!A576,'Daftar Koreksi'!$G$5:$G$92,"Aset Tetap Lainnya",'Daftar Koreksi'!$I$5:$I$92,"&gt;0")</f>
        <v>0</v>
      </c>
      <c r="F592" s="25">
        <f>SUMIFS('Daftar Koreksi'!$I$5:$I$92,'Daftar Koreksi'!$D$5:$D$92,'1900'!A576,'Daftar Koreksi'!$G$5:$G$92,"Aset Tetap Lainnya",'Daftar Koreksi'!$I$5:$I$92,"&lt;0")-SUMIFS('Daftar Koreksi'!$I$5:$I$92,'Daftar Koreksi'!$D$5:$D$92,'1900'!A576,'Daftar Koreksi'!$G$5:$G$92,"Aset Tetap Lainnya",'Daftar Koreksi'!$I$5:$I$92,"&lt;0")-SUMIFS('Daftar Koreksi'!$I$5:$I$92,'Daftar Koreksi'!$D$5:$D$92,'1900'!A576,'Daftar Koreksi'!$G$5:$G$92,"Aset Tetap Lainnya",'Daftar Koreksi'!$I$5:$I$92,"&lt;0")</f>
        <v>0</v>
      </c>
      <c r="G592" s="17">
        <f t="shared" si="26"/>
        <v>0</v>
      </c>
      <c r="H592" s="122"/>
    </row>
    <row r="593" spans="1:10" ht="21.95" customHeight="1">
      <c r="A593" s="14"/>
      <c r="B593" s="14"/>
      <c r="C593" s="16" t="s">
        <v>2020</v>
      </c>
      <c r="D593" s="17">
        <f>VLOOKUP(A576,'Neraca Unaudited SIMAK'!$A$2:$S$10004,17,FALSE)</f>
        <v>0</v>
      </c>
      <c r="E593" s="25">
        <f>SUMIFS('Daftar Koreksi'!$I$5:$I$92,'Daftar Koreksi'!$D$5:$D$92,'1900'!A576,'Daftar Koreksi'!$G$5:$G$92,"Aset Henti Guna",'Daftar Koreksi'!$I$5:$I$92,"&gt;0")</f>
        <v>0</v>
      </c>
      <c r="F593" s="25">
        <f>SUMIFS('Daftar Koreksi'!$I$5:$I$92,'Daftar Koreksi'!$D$5:$D$92,'1900'!A576,'Daftar Koreksi'!$G$5:$G$92,"Aset Henti Guna",'Daftar Koreksi'!$I$5:$I$92,"&lt;0")-SUMIFS('Daftar Koreksi'!$I$5:$I$92,'Daftar Koreksi'!$D$5:$D$92,'1900'!A576,'Daftar Koreksi'!$G$5:$G$92,"Aset Henti Guna",'Daftar Koreksi'!$I$5:$I$92,"&lt;0")-SUMIFS('Daftar Koreksi'!$I$5:$I$92,'Daftar Koreksi'!$D$5:$D$92,'1900'!A576,'Daftar Koreksi'!$G$5:$G$92,"Aset Henti Guna",'Daftar Koreksi'!$I$5:$I$92,"&lt;0")</f>
        <v>0</v>
      </c>
      <c r="G593" s="17">
        <f t="shared" si="26"/>
        <v>0</v>
      </c>
      <c r="H593" s="122"/>
    </row>
    <row r="594" spans="1:10" ht="21.95" customHeight="1">
      <c r="A594" s="14"/>
      <c r="B594" s="14"/>
      <c r="C594" s="18" t="s">
        <v>2094</v>
      </c>
      <c r="D594" s="19">
        <f>SUM(D589:D593)</f>
        <v>-1356963020</v>
      </c>
      <c r="E594" s="19">
        <f>SUM(E589:E593)</f>
        <v>0</v>
      </c>
      <c r="F594" s="19">
        <f>SUM(F589:F593)</f>
        <v>0</v>
      </c>
      <c r="G594" s="19">
        <f t="shared" si="26"/>
        <v>-1356963020</v>
      </c>
      <c r="H594" s="122"/>
    </row>
    <row r="595" spans="1:10" ht="21.95" customHeight="1">
      <c r="A595" s="14"/>
      <c r="B595" s="14"/>
      <c r="C595" s="18" t="s">
        <v>2095</v>
      </c>
      <c r="D595" s="19">
        <f>VLOOKUP(A576,'Neraca Unaudited SIMAK'!$A$2:$S$10004,18,FALSE)</f>
        <v>4547671018</v>
      </c>
      <c r="E595" s="19">
        <f>E594+E588</f>
        <v>0</v>
      </c>
      <c r="F595" s="19">
        <f>F594+F588</f>
        <v>0</v>
      </c>
      <c r="G595" s="19">
        <f t="shared" si="26"/>
        <v>4547671018</v>
      </c>
      <c r="H595" s="122"/>
    </row>
    <row r="596" spans="1:10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10" ht="19.5" customHeight="1">
      <c r="A598" s="11" t="str">
        <f>O28</f>
        <v>005011900307487000KD</v>
      </c>
      <c r="B598" s="11" t="str">
        <f>P28</f>
        <v>PA. Barru</v>
      </c>
      <c r="C598" s="12" t="str">
        <f>A598&amp;" "&amp;B598</f>
        <v>005011900307487000KD PA. Barru</v>
      </c>
      <c r="D598" s="13"/>
      <c r="E598" s="13"/>
      <c r="F598" s="13"/>
      <c r="G598" s="13"/>
      <c r="H598" s="11"/>
    </row>
    <row r="599" spans="1:10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10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10" ht="21.95" customHeight="1">
      <c r="A601" s="14"/>
      <c r="B601" s="14"/>
      <c r="C601" s="16" t="s">
        <v>1165</v>
      </c>
      <c r="D601" s="17">
        <f>VLOOKUP(A598,'Neraca Unaudited SIMAK'!$A$2:$S$10004,3,FALSE)</f>
        <v>222000</v>
      </c>
      <c r="E601" s="25">
        <f>SUMIFS('Daftar Koreksi'!$H$5:$H$92,'Daftar Koreksi'!$D$5:$D$92,'1900'!A598,'Daftar Koreksi'!$G$5:$G$92,"Persediaan",'Daftar Koreksi'!$H$5:$H$92,"&gt;0")</f>
        <v>0</v>
      </c>
      <c r="F601" s="25">
        <f>SUMIFS('Daftar Koreksi'!$H$5:$H$92,'Daftar Koreksi'!$D$5:$D$92,'1900'!A598,'Daftar Koreksi'!$G$5:$G$92,"Persediaan",'Daftar Koreksi'!$H$5:$H$92,"&lt;0")-SUMIFS('Daftar Koreksi'!$H$5:$H$92,'Daftar Koreksi'!$D$5:$D$92,'1900'!A598,'Daftar Koreksi'!$G$5:$G$92,"Persediaan",'Daftar Koreksi'!$H$5:$H$92,"&lt;0")-SUMIFS('Daftar Koreksi'!$H$5:$H$92,'Daftar Koreksi'!$D$5:$D$92,'1900'!A598,'Daftar Koreksi'!$G$5:$G$92,"Persediaan",'Daftar Koreksi'!$H$5:$H$92,"&lt;0")</f>
        <v>0</v>
      </c>
      <c r="G601" s="17">
        <f>D601+E601-F601</f>
        <v>222000</v>
      </c>
      <c r="H601" s="121" t="str">
        <f>IF(ISNA(VLOOKUP(A598,'Mutasi Neraca'!$A$3:$S$914,19,FALSE)),"-",VLOOKUP(A598,'Mutasi Neraca'!$A$3:$S$914,19,FALSE))</f>
        <v>-</v>
      </c>
      <c r="J601" s="10"/>
    </row>
    <row r="602" spans="1:10" ht="21.95" customHeight="1">
      <c r="A602" s="14"/>
      <c r="B602" s="14"/>
      <c r="C602" s="16" t="s">
        <v>1166</v>
      </c>
      <c r="D602" s="17">
        <f>VLOOKUP(A598,'Neraca Unaudited SIMAK'!$A$2:$S$10004,4,FALSE)</f>
        <v>0</v>
      </c>
      <c r="E602" s="25">
        <f>SUMIFS('Daftar Koreksi'!$H$5:$H$92,'Daftar Koreksi'!$D$5:$D$92,'1900'!A598,'Daftar Koreksi'!$G$5:$G$92,"Tanah",'Daftar Koreksi'!$H$5:$H$92,"&gt;0")</f>
        <v>0</v>
      </c>
      <c r="F602" s="25">
        <f>SUMIFS('Daftar Koreksi'!$H$5:$H$92,'Daftar Koreksi'!$D$5:$D$92,'1900'!A598,'Daftar Koreksi'!$G$5:$G$92,"Tanah",'Daftar Koreksi'!$H$5:$H$92,"&lt;0")-SUMIFS('Daftar Koreksi'!$H$5:$H$92,'Daftar Koreksi'!$D$5:$D$92,'1900'!A598,'Daftar Koreksi'!$G$5:$G$92,"Tanah",'Daftar Koreksi'!$H$5:$H$92,"&lt;0")-SUMIFS('Daftar Koreksi'!$H$5:$H$92,'Daftar Koreksi'!$D$5:$D$92,'1900'!A598,'Daftar Koreksi'!$G$5:$G$92,"Tanah",'Daftar Koreksi'!$H$5:$H$92,"&lt;0")</f>
        <v>0</v>
      </c>
      <c r="G602" s="17">
        <f t="shared" ref="G602:G618" si="27">D602+E602-F602</f>
        <v>0</v>
      </c>
      <c r="H602" s="122"/>
      <c r="J602" s="10"/>
    </row>
    <row r="603" spans="1:10" ht="21.95" customHeight="1">
      <c r="A603" s="14"/>
      <c r="B603" s="14"/>
      <c r="C603" s="16" t="s">
        <v>1167</v>
      </c>
      <c r="D603" s="17">
        <f>VLOOKUP(A598,'Neraca Unaudited SIMAK'!$A$2:$S$10004,5,FALSE)</f>
        <v>1214701214</v>
      </c>
      <c r="E603" s="25">
        <f>SUMIFS('Daftar Koreksi'!$H$5:$H$92,'Daftar Koreksi'!$D$5:$D$92,'1900'!A598,'Daftar Koreksi'!$G$5:$G$92,"Peralatan dan mesin",'Daftar Koreksi'!$H$5:$H$92,"&gt;0")</f>
        <v>0</v>
      </c>
      <c r="F603" s="25">
        <f>SUMIFS('Daftar Koreksi'!$H$5:$H$92,'Daftar Koreksi'!$D$5:$D$92,'1900'!A598,'Daftar Koreksi'!$G$5:$G$92,"Peralatan dan mesin",'Daftar Koreksi'!$H$5:$H$92,"&lt;0")-SUMIFS('Daftar Koreksi'!$H$5:$H$92,'Daftar Koreksi'!$D$5:$D$92,'1900'!A598,'Daftar Koreksi'!$G$5:$G$92,"Peralatan dan mesin",'Daftar Koreksi'!$H$5:$H$92,"&lt;0")-SUMIFS('Daftar Koreksi'!$H$5:$H$92,'Daftar Koreksi'!$D$5:$D$92,'1900'!A598,'Daftar Koreksi'!$G$5:$G$92,"Peralatan dan mesin",'Daftar Koreksi'!$H$5:$H$92,"&lt;0")</f>
        <v>0</v>
      </c>
      <c r="G603" s="17">
        <f t="shared" si="27"/>
        <v>1214701214</v>
      </c>
      <c r="H603" s="122"/>
      <c r="J603" s="10"/>
    </row>
    <row r="604" spans="1:10" ht="21.95" customHeight="1">
      <c r="A604" s="14"/>
      <c r="B604" s="14"/>
      <c r="C604" s="16" t="s">
        <v>1168</v>
      </c>
      <c r="D604" s="17">
        <f>VLOOKUP(A598,'Neraca Unaudited SIMAK'!$A$2:$S$10004,6,FALSE)</f>
        <v>2664931173</v>
      </c>
      <c r="E604" s="25">
        <f>SUMIFS('Daftar Koreksi'!$H$5:$H$92,'Daftar Koreksi'!$D$5:$D$92,'1900'!A598,'Daftar Koreksi'!$G$5:$G$92,"Gedung dan Bangunan",'Daftar Koreksi'!$H$5:$H$92,"&gt;0")</f>
        <v>0</v>
      </c>
      <c r="F604" s="25">
        <f>SUMIFS('Daftar Koreksi'!$H$5:$H$92,'Daftar Koreksi'!$D$5:$D$92,'1900'!A598,'Daftar Koreksi'!$G$5:$G$92,"Gedung dan Bangunan",'Daftar Koreksi'!$H$5:$H$92,"&lt;0")-SUMIFS('Daftar Koreksi'!$H$5:$H$92,'Daftar Koreksi'!$D$5:$D$92,'1900'!A598,'Daftar Koreksi'!$G$5:$G$92,"Gedung dan Bangunan",'Daftar Koreksi'!$H$5:$H$92,"&lt;0")-SUMIFS('Daftar Koreksi'!$H$5:$H$92,'Daftar Koreksi'!$D$5:$D$92,'1900'!A598,'Daftar Koreksi'!$G$5:$G$92,"Gedung dan Bangunan",'Daftar Koreksi'!$H$5:$H$92,"&lt;0")</f>
        <v>0</v>
      </c>
      <c r="G604" s="17">
        <f t="shared" si="27"/>
        <v>2664931173</v>
      </c>
      <c r="H604" s="122"/>
      <c r="J604" s="10"/>
    </row>
    <row r="605" spans="1:10" ht="21.95" customHeight="1">
      <c r="A605" s="14"/>
      <c r="B605" s="14"/>
      <c r="C605" s="16" t="s">
        <v>1169</v>
      </c>
      <c r="D605" s="17">
        <f>VLOOKUP(A598,'Neraca Unaudited SIMAK'!$A$2:$S$10004,7,FALSE)</f>
        <v>12570540</v>
      </c>
      <c r="E605" s="25">
        <f>SUMIFS('Daftar Koreksi'!$H$5:$H$92,'Daftar Koreksi'!$D$5:$D$92,'1900'!A598,'Daftar Koreksi'!$G$5:$G$92,"Jalan Irigasi Jaringan",'Daftar Koreksi'!$H$5:$H$92,"&gt;0")</f>
        <v>0</v>
      </c>
      <c r="F605" s="25">
        <f>SUMIFS('Daftar Koreksi'!$H$5:$H$92,'Daftar Koreksi'!$D$5:$D$92,'1900'!A598,'Daftar Koreksi'!$G$5:$G$92,"Jalan Irigasi Jaringan",'Daftar Koreksi'!$H$5:$H$92,"&lt;0")-SUMIFS('Daftar Koreksi'!$H$5:$H$92,'Daftar Koreksi'!$D$5:$D$92,'1900'!A598,'Daftar Koreksi'!$G$5:$G$92,"Jalan Irigasi Jaringan",'Daftar Koreksi'!$H$5:$H$92,"&lt;0")-SUMIFS('Daftar Koreksi'!$H$5:$H$92,'Daftar Koreksi'!$D$5:$D$92,'1900'!A598,'Daftar Koreksi'!$G$5:$G$92,"Jalan Irigasi Jaringan",'Daftar Koreksi'!$H$5:$H$92,"&lt;0")</f>
        <v>0</v>
      </c>
      <c r="G605" s="17">
        <f t="shared" si="27"/>
        <v>12570540</v>
      </c>
      <c r="H605" s="122"/>
      <c r="J605" s="10"/>
    </row>
    <row r="606" spans="1:10" ht="21.95" customHeight="1">
      <c r="A606" s="14"/>
      <c r="B606" s="14"/>
      <c r="C606" s="16" t="s">
        <v>1170</v>
      </c>
      <c r="D606" s="17">
        <f>VLOOKUP(A598,'Neraca Unaudited SIMAK'!$A$2:$S$10004,8,FALSE)</f>
        <v>46969875</v>
      </c>
      <c r="E606" s="25">
        <f>SUMIFS('Daftar Koreksi'!$H$5:$H$92,'Daftar Koreksi'!$D$5:$D$92,'1900'!A598,'Daftar Koreksi'!$G$5:$G$92,"Aset Tetap Lainnya",'Daftar Koreksi'!$H$5:$H$92,"&gt;0")</f>
        <v>0</v>
      </c>
      <c r="F606" s="25">
        <f>SUMIFS('Daftar Koreksi'!$H$5:$H$92,'Daftar Koreksi'!$D$5:$D$92,'1900'!A598,'Daftar Koreksi'!$G$5:$G$92,"Aset Tetap Lainnya",'Daftar Koreksi'!$H$5:$H$92,"&lt;0")-SUMIFS('Daftar Koreksi'!$H$5:$H$92,'Daftar Koreksi'!$D$5:$D$92,'1900'!A598,'Daftar Koreksi'!$G$5:$G$92,"Aset Tetap Lainnya",'Daftar Koreksi'!$H$5:$H$92,"&lt;0")-SUMIFS('Daftar Koreksi'!$H$5:$H$92,'Daftar Koreksi'!$D$5:$D$92,'1900'!A598,'Daftar Koreksi'!$G$5:$G$92,"Aset Tetap Lainnya",'Daftar Koreksi'!$H$5:$H$92,"&lt;0")</f>
        <v>0</v>
      </c>
      <c r="G606" s="17">
        <f t="shared" si="27"/>
        <v>46969875</v>
      </c>
      <c r="H606" s="122"/>
      <c r="J606" s="10"/>
    </row>
    <row r="607" spans="1:10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Koreksi'!$D$5:$D$92,'1900'!A598,'Daftar Koreksi'!$G$5:$G$92,"Kontruksi Dalam Pengerjaan",'Daftar Koreksi'!$H$5:$H$92,"&gt;0")</f>
        <v>0</v>
      </c>
      <c r="F607" s="25">
        <f>SUMIFS('Daftar Koreksi'!$H$5:$H$92,'Daftar Koreksi'!$D$5:$D$92,'1900'!A598,'Daftar Koreksi'!$G$5:$G$92,"Kontruksi Dalam Pengerjaan",'Daftar Koreksi'!$H$5:$H$92,"&lt;0")-SUMIFS('Daftar Koreksi'!$H$5:$H$92,'Daftar Koreksi'!$D$5:$D$92,'1900'!A598,'Daftar Koreksi'!$G$5:$G$92,"Kontruksi Dalam Pengerjaan",'Daftar Koreksi'!$H$5:$H$92,"&lt;0")-SUMIFS('Daftar Koreksi'!$H$5:$H$92,'Daftar Koreksi'!$D$5:$D$92,'1900'!A598,'Daftar Koreksi'!$G$5:$G$92,"Kontruksi Dalam Pengerjaan",'Daftar Koreksi'!$H$5:$H$92,"&lt;0")</f>
        <v>0</v>
      </c>
      <c r="G607" s="17">
        <f t="shared" si="27"/>
        <v>0</v>
      </c>
      <c r="H607" s="122"/>
      <c r="J607" s="10"/>
    </row>
    <row r="608" spans="1:10" ht="21.95" customHeight="1">
      <c r="A608" s="14"/>
      <c r="B608" s="14"/>
      <c r="C608" s="16" t="s">
        <v>1172</v>
      </c>
      <c r="D608" s="17">
        <f>VLOOKUP(A598,'Neraca Unaudited SIMAK'!$A$2:$S$10004,10,FALSE)</f>
        <v>13000000</v>
      </c>
      <c r="E608" s="25">
        <f>SUMIFS('Daftar Koreksi'!$H$5:$H$92,'Daftar Koreksi'!$D$5:$D$92,'1900'!A598,'Daftar Koreksi'!$G$5:$G$92,"Aset Tak Berwujud",'Daftar Koreksi'!$H$5:$H$92,"&gt;0")</f>
        <v>0</v>
      </c>
      <c r="F608" s="25">
        <f>SUMIFS('Daftar Koreksi'!$H$5:$H$92,'Daftar Koreksi'!$D$5:$D$92,'1900'!A598,'Daftar Koreksi'!$G$5:$G$92,"Aset Tak Berwujud",'Daftar Koreksi'!$H$5:$H$92,"&lt;0")-SUMIFS('Daftar Koreksi'!$H$5:$H$92,'Daftar Koreksi'!$D$5:$D$92,'1900'!A598,'Daftar Koreksi'!$G$5:$G$92,"Aset Tak Berwujud",'Daftar Koreksi'!$H$5:$H$92,"&lt;0")-SUMIFS('Daftar Koreksi'!$H$5:$H$92,'Daftar Koreksi'!$D$5:$D$92,'1900'!A598,'Daftar Koreksi'!$G$5:$G$92,"Aset Tak Berwujud",'Daftar Koreksi'!$H$5:$H$92,"&lt;0")</f>
        <v>0</v>
      </c>
      <c r="G608" s="17">
        <f t="shared" si="27"/>
        <v>13000000</v>
      </c>
      <c r="H608" s="122"/>
      <c r="J608" s="10"/>
    </row>
    <row r="609" spans="1:10" ht="21.95" customHeight="1">
      <c r="A609" s="14"/>
      <c r="B609" s="14"/>
      <c r="C609" s="16" t="s">
        <v>1173</v>
      </c>
      <c r="D609" s="17">
        <f>VLOOKUP(A598,'Neraca Unaudited SIMAK'!$A$2:$S$10004,11,FALSE)</f>
        <v>185810260</v>
      </c>
      <c r="E609" s="25">
        <f>SUMIFS('Daftar Koreksi'!$H$5:$H$92,'Daftar Koreksi'!$D$5:$D$92,'1900'!A598,'Daftar Koreksi'!$G$5:$G$92,"Aset Henti Guna",'Daftar Koreksi'!$H$5:$H$92,"&gt;0")</f>
        <v>0</v>
      </c>
      <c r="F609" s="25">
        <f>SUMIFS('Daftar Koreksi'!$H$5:$H$92,'Daftar Koreksi'!$D$5:$D$92,'1900'!A598,'Daftar Koreksi'!$G$5:$G$92,"Aset Henti Guna",'Daftar Koreksi'!$H$5:$H$92,"&lt;0")-SUMIFS('Daftar Koreksi'!$H$5:$H$92,'Daftar Koreksi'!$D$5:$D$92,'1900'!A598,'Daftar Koreksi'!$G$5:$G$92,"Aset Henti Guna",'Daftar Koreksi'!$H$5:$H$92,"&lt;0")-SUMIFS('Daftar Koreksi'!$H$5:$H$92,'Daftar Koreksi'!$D$5:$D$92,'1900'!A598,'Daftar Koreksi'!$G$5:$G$92,"Aset Henti Guna",'Daftar Koreksi'!$H$5:$H$92,"&lt;0")</f>
        <v>0</v>
      </c>
      <c r="G609" s="17">
        <f t="shared" si="27"/>
        <v>185810260</v>
      </c>
      <c r="H609" s="122"/>
      <c r="J609" s="10"/>
    </row>
    <row r="610" spans="1:10" ht="21.95" customHeight="1">
      <c r="A610" s="14"/>
      <c r="B610" s="14"/>
      <c r="C610" s="18" t="s">
        <v>2093</v>
      </c>
      <c r="D610" s="19">
        <f>VLOOKUP(A598,'Neraca Unaudited SIMAK'!$A$2:$S$10004,12,FALSE)</f>
        <v>4138205062</v>
      </c>
      <c r="E610" s="19">
        <f>SUM(E601:E609)</f>
        <v>0</v>
      </c>
      <c r="F610" s="19">
        <f>SUM(F601:F609)</f>
        <v>0</v>
      </c>
      <c r="G610" s="19">
        <f t="shared" si="27"/>
        <v>4138205062</v>
      </c>
      <c r="H610" s="122"/>
      <c r="J610" s="10"/>
    </row>
    <row r="611" spans="1:10" ht="21.95" customHeight="1">
      <c r="A611" s="14"/>
      <c r="B611" s="14"/>
      <c r="C611" s="16" t="s">
        <v>2087</v>
      </c>
      <c r="D611" s="17">
        <f>VLOOKUP(A598,'Neraca Unaudited SIMAK'!$A$2:$S$10004,13,FALSE)</f>
        <v>-1077834236</v>
      </c>
      <c r="E611" s="25">
        <f>SUMIFS('Daftar Koreksi'!$I$5:$I$92,'Daftar Koreksi'!$D$5:$D$92,'1900'!A598,'Daftar Koreksi'!$G$5:$G$92,"Peralatan dan mesin",'Daftar Koreksi'!$I$5:$I$92,"&gt;0")</f>
        <v>0</v>
      </c>
      <c r="F611" s="25">
        <f>SUMIFS('Daftar Koreksi'!$I$5:$I$92,'Daftar Koreksi'!$D$5:$D$92,'1900'!A598,'Daftar Koreksi'!$G$5:$G$92,"Peralatan dan mesin",'Daftar Koreksi'!$I$5:$I$92,"&lt;0")-SUMIFS('Daftar Koreksi'!$I$5:$I$92,'Daftar Koreksi'!$D$5:$D$92,'1900'!A598,'Daftar Koreksi'!$G$5:$G$92,"Peralatan dan mesin",'Daftar Koreksi'!$I$5:$I$92,"&lt;0")-SUMIFS('Daftar Koreksi'!$I$5:$I$92,'Daftar Koreksi'!$D$5:$D$92,'1900'!A598,'Daftar Koreksi'!$G$5:$G$92,"Peralatan dan mesin",'Daftar Koreksi'!$I$5:$I$92,"&lt;0")</f>
        <v>0</v>
      </c>
      <c r="G611" s="17">
        <f t="shared" si="27"/>
        <v>-1077834236</v>
      </c>
      <c r="H611" s="122"/>
      <c r="J611" s="10"/>
    </row>
    <row r="612" spans="1:10" ht="21.95" customHeight="1">
      <c r="A612" s="14"/>
      <c r="B612" s="14"/>
      <c r="C612" s="16" t="s">
        <v>2088</v>
      </c>
      <c r="D612" s="17">
        <f>VLOOKUP(A598,'Neraca Unaudited SIMAK'!$A$2:$S$10004,14,FALSE)</f>
        <v>-522721963</v>
      </c>
      <c r="E612" s="25">
        <f>SUMIFS('Daftar Koreksi'!$I$5:$I$92,'Daftar Koreksi'!$D$5:$D$92,'1900'!A598,'Daftar Koreksi'!$G$5:$G$92,"Gedung dan Bangunan",'Daftar Koreksi'!$I$5:$I$92,"&gt;0")</f>
        <v>0</v>
      </c>
      <c r="F612" s="25">
        <f>SUMIFS('Daftar Koreksi'!$I$5:$I$92,'Daftar Koreksi'!$D$5:$D$92,'1900'!A598,'Daftar Koreksi'!$G$5:$G$92,"Gedung dan Bangunan",'Daftar Koreksi'!$I$5:$I$92,"&lt;0")-SUMIFS('Daftar Koreksi'!$I$5:$I$92,'Daftar Koreksi'!$D$5:$D$92,'1900'!A598,'Daftar Koreksi'!$G$5:$G$92,"Gedung dan Bangunan",'Daftar Koreksi'!$I$5:$I$92,"&lt;0")-SUMIFS('Daftar Koreksi'!$I$5:$I$92,'Daftar Koreksi'!$D$5:$D$92,'1900'!A598,'Daftar Koreksi'!$G$5:$G$92,"Gedung dan Bangunan",'Daftar Koreksi'!$I$5:$I$92,"&lt;0")</f>
        <v>0</v>
      </c>
      <c r="G612" s="17">
        <f t="shared" si="27"/>
        <v>-522721963</v>
      </c>
      <c r="H612" s="122"/>
      <c r="J612" s="10"/>
    </row>
    <row r="613" spans="1:10" ht="21.95" customHeight="1">
      <c r="A613" s="14"/>
      <c r="B613" s="14"/>
      <c r="C613" s="16" t="s">
        <v>2089</v>
      </c>
      <c r="D613" s="17">
        <f>VLOOKUP(A598,'Neraca Unaudited SIMAK'!$A$2:$S$10004,15,FALSE)</f>
        <v>-2723617</v>
      </c>
      <c r="E613" s="25">
        <f>SUMIFS('Daftar Koreksi'!$I$5:$I$92,'Daftar Koreksi'!$D$5:$D$92,'1900'!A598,'Daftar Koreksi'!$G$5:$G$92,"Jalan Irigasi Jaringan",'Daftar Koreksi'!$I$5:$I$92,"&gt;0")</f>
        <v>0</v>
      </c>
      <c r="F613" s="25">
        <f>SUMIFS('Daftar Koreksi'!$I$5:$I$92,'Daftar Koreksi'!$D$5:$D$92,'1900'!A598,'Daftar Koreksi'!$G$5:$G$92,"Jalan Irigasi Jaringan",'Daftar Koreksi'!$I$5:$I$92,"&lt;0")-SUMIFS('Daftar Koreksi'!$I$5:$I$92,'Daftar Koreksi'!$D$5:$D$92,'1900'!A598,'Daftar Koreksi'!$G$5:$G$92,"Jalan Irigasi Jaringan",'Daftar Koreksi'!$I$5:$I$92,"&lt;0")-SUMIFS('Daftar Koreksi'!$I$5:$I$92,'Daftar Koreksi'!$D$5:$D$92,'1900'!A598,'Daftar Koreksi'!$G$5:$G$92,"Jalan Irigasi Jaringan",'Daftar Koreksi'!$I$5:$I$92,"&lt;0")</f>
        <v>0</v>
      </c>
      <c r="G613" s="17">
        <f t="shared" si="27"/>
        <v>-2723617</v>
      </c>
      <c r="H613" s="122"/>
      <c r="J613" s="10"/>
    </row>
    <row r="614" spans="1:10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Koreksi'!$D$5:$D$92,'1900'!A598,'Daftar Koreksi'!$G$5:$G$92,"Aset Tetap Lainnya",'Daftar Koreksi'!$I$5:$I$92,"&gt;0")</f>
        <v>0</v>
      </c>
      <c r="F614" s="25">
        <f>SUMIFS('Daftar Koreksi'!$I$5:$I$92,'Daftar Koreksi'!$D$5:$D$92,'1900'!A598,'Daftar Koreksi'!$G$5:$G$92,"Aset Tetap Lainnya",'Daftar Koreksi'!$I$5:$I$92,"&lt;0")-SUMIFS('Daftar Koreksi'!$I$5:$I$92,'Daftar Koreksi'!$D$5:$D$92,'1900'!A598,'Daftar Koreksi'!$G$5:$G$92,"Aset Tetap Lainnya",'Daftar Koreksi'!$I$5:$I$92,"&lt;0")-SUMIFS('Daftar Koreksi'!$I$5:$I$92,'Daftar Koreksi'!$D$5:$D$92,'1900'!A598,'Daftar Koreksi'!$G$5:$G$92,"Aset Tetap Lainnya",'Daftar Koreksi'!$I$5:$I$92,"&lt;0")</f>
        <v>0</v>
      </c>
      <c r="G614" s="17">
        <f t="shared" si="27"/>
        <v>0</v>
      </c>
      <c r="H614" s="122"/>
      <c r="J614" s="10"/>
    </row>
    <row r="615" spans="1:10" ht="21.95" customHeight="1">
      <c r="A615" s="14"/>
      <c r="B615" s="14"/>
      <c r="C615" s="16" t="s">
        <v>2020</v>
      </c>
      <c r="D615" s="17">
        <f>VLOOKUP(A598,'Neraca Unaudited SIMAK'!$A$2:$S$10004,17,FALSE)</f>
        <v>-185191510</v>
      </c>
      <c r="E615" s="25">
        <f>SUMIFS('Daftar Koreksi'!$I$5:$I$92,'Daftar Koreksi'!$D$5:$D$92,'1900'!A598,'Daftar Koreksi'!$G$5:$G$92,"Aset Henti Guna",'Daftar Koreksi'!$I$5:$I$92,"&gt;0")</f>
        <v>0</v>
      </c>
      <c r="F615" s="25">
        <f>SUMIFS('Daftar Koreksi'!$I$5:$I$92,'Daftar Koreksi'!$D$5:$D$92,'1900'!A598,'Daftar Koreksi'!$G$5:$G$92,"Aset Henti Guna",'Daftar Koreksi'!$I$5:$I$92,"&lt;0")-SUMIFS('Daftar Koreksi'!$I$5:$I$92,'Daftar Koreksi'!$D$5:$D$92,'1900'!A598,'Daftar Koreksi'!$G$5:$G$92,"Aset Henti Guna",'Daftar Koreksi'!$I$5:$I$92,"&lt;0")-SUMIFS('Daftar Koreksi'!$I$5:$I$92,'Daftar Koreksi'!$D$5:$D$92,'1900'!A598,'Daftar Koreksi'!$G$5:$G$92,"Aset Henti Guna",'Daftar Koreksi'!$I$5:$I$92,"&lt;0")</f>
        <v>0</v>
      </c>
      <c r="G615" s="17">
        <f t="shared" si="27"/>
        <v>-185191510</v>
      </c>
      <c r="H615" s="122"/>
      <c r="J615" s="10"/>
    </row>
    <row r="616" spans="1:10" ht="21.95" customHeight="1">
      <c r="A616" s="14"/>
      <c r="B616" s="14"/>
      <c r="C616" s="18" t="s">
        <v>2094</v>
      </c>
      <c r="D616" s="19">
        <f>SUM(D611:D615)</f>
        <v>-1788471326</v>
      </c>
      <c r="E616" s="19">
        <f>SUM(E611:E615)</f>
        <v>0</v>
      </c>
      <c r="F616" s="19">
        <f>SUM(F611:F615)</f>
        <v>0</v>
      </c>
      <c r="G616" s="19">
        <f t="shared" si="27"/>
        <v>-1788471326</v>
      </c>
      <c r="H616" s="122"/>
      <c r="J616" s="10"/>
    </row>
    <row r="617" spans="1:10" ht="21.95" customHeight="1">
      <c r="A617" s="14"/>
      <c r="B617" s="14"/>
      <c r="C617" s="18" t="s">
        <v>2095</v>
      </c>
      <c r="D617" s="19">
        <f>VLOOKUP(A598,'Neraca Unaudited SIMAK'!$A$2:$S$10004,18,FALSE)</f>
        <v>2349733736</v>
      </c>
      <c r="E617" s="19">
        <f>E616+E610</f>
        <v>0</v>
      </c>
      <c r="F617" s="19">
        <f>F616+F610</f>
        <v>0</v>
      </c>
      <c r="G617" s="19">
        <f t="shared" si="27"/>
        <v>2349733736</v>
      </c>
      <c r="H617" s="122"/>
      <c r="J617" s="10"/>
    </row>
    <row r="618" spans="1:10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  <c r="J618" s="10"/>
    </row>
    <row r="620" spans="1:10" ht="19.5" customHeight="1">
      <c r="A620" s="11" t="str">
        <f>O29</f>
        <v>005011900307491000KD</v>
      </c>
      <c r="B620" s="11" t="str">
        <f>P29</f>
        <v>PA. Sungguminasa</v>
      </c>
      <c r="C620" s="12" t="str">
        <f>A620&amp;" "&amp;B620</f>
        <v>005011900307491000KD PA. Sungguminasa</v>
      </c>
      <c r="D620" s="13"/>
      <c r="E620" s="13"/>
      <c r="F620" s="13"/>
      <c r="G620" s="13"/>
      <c r="H620" s="11"/>
    </row>
    <row r="621" spans="1:10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10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10" ht="21.95" customHeight="1">
      <c r="A623" s="14"/>
      <c r="B623" s="14"/>
      <c r="C623" s="16" t="s">
        <v>1165</v>
      </c>
      <c r="D623" s="17">
        <f>VLOOKUP(A620,'Neraca Unaudited SIMAK'!$A$2:$S$10004,3,FALSE)</f>
        <v>345000</v>
      </c>
      <c r="E623" s="25">
        <f>SUMIFS('Daftar Koreksi'!$H$5:$H$92,'Daftar Koreksi'!$D$5:$D$92,'1900'!A620,'Daftar Koreksi'!$G$5:$G$92,"Persediaan",'Daftar Koreksi'!$H$5:$H$92,"&gt;0")</f>
        <v>0</v>
      </c>
      <c r="F623" s="25">
        <f>SUMIFS('Daftar Koreksi'!$H$5:$H$92,'Daftar Koreksi'!$D$5:$D$92,'1900'!A620,'Daftar Koreksi'!$G$5:$G$92,"Persediaan",'Daftar Koreksi'!$H$5:$H$92,"&lt;0")-SUMIFS('Daftar Koreksi'!$H$5:$H$92,'Daftar Koreksi'!$D$5:$D$92,'1900'!A620,'Daftar Koreksi'!$G$5:$G$92,"Persediaan",'Daftar Koreksi'!$H$5:$H$92,"&lt;0")-SUMIFS('Daftar Koreksi'!$H$5:$H$92,'Daftar Koreksi'!$D$5:$D$92,'1900'!A620,'Daftar Koreksi'!$G$5:$G$92,"Persediaan",'Daftar Koreksi'!$H$5:$H$92,"&lt;0")</f>
        <v>0</v>
      </c>
      <c r="G623" s="17">
        <f>D623+E623-F623</f>
        <v>345000</v>
      </c>
      <c r="H623" s="121" t="str">
        <f>IF(ISNA(VLOOKUP(A620,'Mutasi Neraca'!$A$3:$S$914,19,FALSE)),"-",VLOOKUP(A620,'Mutasi Neraca'!$A$3:$S$914,19,FALSE))</f>
        <v>-</v>
      </c>
    </row>
    <row r="624" spans="1:10" ht="21.95" customHeight="1">
      <c r="A624" s="14"/>
      <c r="B624" s="14"/>
      <c r="C624" s="16" t="s">
        <v>1166</v>
      </c>
      <c r="D624" s="17">
        <f>VLOOKUP(A620,'Neraca Unaudited SIMAK'!$A$2:$S$10004,4,FALSE)</f>
        <v>2430736000</v>
      </c>
      <c r="E624" s="25">
        <f>SUMIFS('Daftar Koreksi'!$H$5:$H$92,'Daftar Koreksi'!$D$5:$D$92,'1900'!A620,'Daftar Koreksi'!$G$5:$G$92,"Tanah",'Daftar Koreksi'!$H$5:$H$92,"&gt;0")</f>
        <v>0</v>
      </c>
      <c r="F624" s="25">
        <f>SUMIFS('Daftar Koreksi'!$H$5:$H$92,'Daftar Koreksi'!$D$5:$D$92,'1900'!A620,'Daftar Koreksi'!$G$5:$G$92,"Tanah",'Daftar Koreksi'!$H$5:$H$92,"&lt;0")-SUMIFS('Daftar Koreksi'!$H$5:$H$92,'Daftar Koreksi'!$D$5:$D$92,'1900'!A620,'Daftar Koreksi'!$G$5:$G$92,"Tanah",'Daftar Koreksi'!$H$5:$H$92,"&lt;0")-SUMIFS('Daftar Koreksi'!$H$5:$H$92,'Daftar Koreksi'!$D$5:$D$92,'1900'!A620,'Daftar Koreksi'!$G$5:$G$92,"Tanah",'Daftar Koreksi'!$H$5:$H$92,"&lt;0")</f>
        <v>0</v>
      </c>
      <c r="G624" s="17">
        <f t="shared" ref="G624:G640" si="28">D624+E624-F624</f>
        <v>2430736000</v>
      </c>
      <c r="H624" s="122"/>
    </row>
    <row r="625" spans="1:10" ht="21.95" customHeight="1">
      <c r="A625" s="14"/>
      <c r="B625" s="14"/>
      <c r="C625" s="16" t="s">
        <v>1167</v>
      </c>
      <c r="D625" s="17">
        <f>VLOOKUP(A620,'Neraca Unaudited SIMAK'!$A$2:$S$10004,5,FALSE)</f>
        <v>1491153705</v>
      </c>
      <c r="E625" s="25">
        <f>SUMIFS('Daftar Koreksi'!$H$5:$H$92,'Daftar Koreksi'!$D$5:$D$92,'1900'!A620,'Daftar Koreksi'!$G$5:$G$92,"Peralatan dan mesin",'Daftar Koreksi'!$H$5:$H$92,"&gt;0")</f>
        <v>0</v>
      </c>
      <c r="F625" s="25">
        <f>SUMIFS('Daftar Koreksi'!$H$5:$H$92,'Daftar Koreksi'!$D$5:$D$92,'1900'!A620,'Daftar Koreksi'!$G$5:$G$92,"Peralatan dan mesin",'Daftar Koreksi'!$H$5:$H$92,"&lt;0")-SUMIFS('Daftar Koreksi'!$H$5:$H$92,'Daftar Koreksi'!$D$5:$D$92,'1900'!A620,'Daftar Koreksi'!$G$5:$G$92,"Peralatan dan mesin",'Daftar Koreksi'!$H$5:$H$92,"&lt;0")-SUMIFS('Daftar Koreksi'!$H$5:$H$92,'Daftar Koreksi'!$D$5:$D$92,'1900'!A620,'Daftar Koreksi'!$G$5:$G$92,"Peralatan dan mesin",'Daftar Koreksi'!$H$5:$H$92,"&lt;0")</f>
        <v>0</v>
      </c>
      <c r="G625" s="17">
        <f t="shared" si="28"/>
        <v>1491153705</v>
      </c>
      <c r="H625" s="122"/>
    </row>
    <row r="626" spans="1:10" ht="21.95" customHeight="1">
      <c r="A626" s="14"/>
      <c r="B626" s="14"/>
      <c r="C626" s="16" t="s">
        <v>1168</v>
      </c>
      <c r="D626" s="17">
        <f>VLOOKUP(A620,'Neraca Unaudited SIMAK'!$A$2:$S$10004,6,FALSE)</f>
        <v>4019618300</v>
      </c>
      <c r="E626" s="25">
        <f>SUMIFS('Daftar Koreksi'!$H$5:$H$92,'Daftar Koreksi'!$D$5:$D$92,'1900'!A620,'Daftar Koreksi'!$G$5:$G$92,"Gedung dan Bangunan",'Daftar Koreksi'!$H$5:$H$92,"&gt;0")</f>
        <v>0</v>
      </c>
      <c r="F626" s="25">
        <f>SUMIFS('Daftar Koreksi'!$H$5:$H$92,'Daftar Koreksi'!$D$5:$D$92,'1900'!A620,'Daftar Koreksi'!$G$5:$G$92,"Gedung dan Bangunan",'Daftar Koreksi'!$H$5:$H$92,"&lt;0")-SUMIFS('Daftar Koreksi'!$H$5:$H$92,'Daftar Koreksi'!$D$5:$D$92,'1900'!A620,'Daftar Koreksi'!$G$5:$G$92,"Gedung dan Bangunan",'Daftar Koreksi'!$H$5:$H$92,"&lt;0")-SUMIFS('Daftar Koreksi'!$H$5:$H$92,'Daftar Koreksi'!$D$5:$D$92,'1900'!A620,'Daftar Koreksi'!$G$5:$G$92,"Gedung dan Bangunan",'Daftar Koreksi'!$H$5:$H$92,"&lt;0")</f>
        <v>0</v>
      </c>
      <c r="G626" s="17">
        <f t="shared" si="28"/>
        <v>4019618300</v>
      </c>
      <c r="H626" s="122"/>
    </row>
    <row r="627" spans="1:10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Koreksi'!$D$5:$D$92,'1900'!A620,'Daftar Koreksi'!$G$5:$G$92,"Jalan Irigasi Jaringan",'Daftar Koreksi'!$H$5:$H$92,"&gt;0")</f>
        <v>0</v>
      </c>
      <c r="F627" s="25">
        <f>SUMIFS('Daftar Koreksi'!$H$5:$H$92,'Daftar Koreksi'!$D$5:$D$92,'1900'!A620,'Daftar Koreksi'!$G$5:$G$92,"Jalan Irigasi Jaringan",'Daftar Koreksi'!$H$5:$H$92,"&lt;0")-SUMIFS('Daftar Koreksi'!$H$5:$H$92,'Daftar Koreksi'!$D$5:$D$92,'1900'!A620,'Daftar Koreksi'!$G$5:$G$92,"Jalan Irigasi Jaringan",'Daftar Koreksi'!$H$5:$H$92,"&lt;0")-SUMIFS('Daftar Koreksi'!$H$5:$H$92,'Daftar Koreksi'!$D$5:$D$92,'1900'!A620,'Daftar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10" ht="21.95" customHeight="1">
      <c r="A628" s="14"/>
      <c r="B628" s="14"/>
      <c r="C628" s="16" t="s">
        <v>1170</v>
      </c>
      <c r="D628" s="17">
        <f>VLOOKUP(A620,'Neraca Unaudited SIMAK'!$A$2:$S$10004,8,FALSE)</f>
        <v>35037900</v>
      </c>
      <c r="E628" s="25">
        <f>SUMIFS('Daftar Koreksi'!$H$5:$H$92,'Daftar Koreksi'!$D$5:$D$92,'1900'!A620,'Daftar Koreksi'!$G$5:$G$92,"Aset Tetap Lainnya",'Daftar Koreksi'!$H$5:$H$92,"&gt;0")</f>
        <v>0</v>
      </c>
      <c r="F628" s="25">
        <f>SUMIFS('Daftar Koreksi'!$H$5:$H$92,'Daftar Koreksi'!$D$5:$D$92,'1900'!A620,'Daftar Koreksi'!$G$5:$G$92,"Aset Tetap Lainnya",'Daftar Koreksi'!$H$5:$H$92,"&lt;0")-SUMIFS('Daftar Koreksi'!$H$5:$H$92,'Daftar Koreksi'!$D$5:$D$92,'1900'!A620,'Daftar Koreksi'!$G$5:$G$92,"Aset Tetap Lainnya",'Daftar Koreksi'!$H$5:$H$92,"&lt;0")-SUMIFS('Daftar Koreksi'!$H$5:$H$92,'Daftar Koreksi'!$D$5:$D$92,'1900'!A620,'Daftar Koreksi'!$G$5:$G$92,"Aset Tetap Lainnya",'Daftar Koreksi'!$H$5:$H$92,"&lt;0")</f>
        <v>0</v>
      </c>
      <c r="G628" s="17">
        <f t="shared" si="28"/>
        <v>35037900</v>
      </c>
      <c r="H628" s="122"/>
    </row>
    <row r="629" spans="1:10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Koreksi'!$D$5:$D$92,'1900'!A620,'Daftar Koreksi'!$G$5:$G$92,"Kontruksi Dalam Pengerjaan",'Daftar Koreksi'!$H$5:$H$92,"&gt;0")</f>
        <v>0</v>
      </c>
      <c r="F629" s="25">
        <f>SUMIFS('Daftar Koreksi'!$H$5:$H$92,'Daftar Koreksi'!$D$5:$D$92,'1900'!A620,'Daftar Koreksi'!$G$5:$G$92,"Kontruksi Dalam Pengerjaan",'Daftar Koreksi'!$H$5:$H$92,"&lt;0")-SUMIFS('Daftar Koreksi'!$H$5:$H$92,'Daftar Koreksi'!$D$5:$D$92,'1900'!A620,'Daftar Koreksi'!$G$5:$G$92,"Kontruksi Dalam Pengerjaan",'Daftar Koreksi'!$H$5:$H$92,"&lt;0")-SUMIFS('Daftar Koreksi'!$H$5:$H$92,'Daftar Koreksi'!$D$5:$D$92,'1900'!A620,'Daftar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10" ht="21.95" customHeight="1">
      <c r="A630" s="14"/>
      <c r="B630" s="14"/>
      <c r="C630" s="16" t="s">
        <v>1172</v>
      </c>
      <c r="D630" s="17">
        <f>VLOOKUP(A620,'Neraca Unaudited SIMAK'!$A$2:$S$10004,10,FALSE)</f>
        <v>6000000</v>
      </c>
      <c r="E630" s="25">
        <f>SUMIFS('Daftar Koreksi'!$H$5:$H$92,'Daftar Koreksi'!$D$5:$D$92,'1900'!A620,'Daftar Koreksi'!$G$5:$G$92,"Aset Tak Berwujud",'Daftar Koreksi'!$H$5:$H$92,"&gt;0")</f>
        <v>0</v>
      </c>
      <c r="F630" s="25">
        <f>SUMIFS('Daftar Koreksi'!$H$5:$H$92,'Daftar Koreksi'!$D$5:$D$92,'1900'!A620,'Daftar Koreksi'!$G$5:$G$92,"Aset Tak Berwujud",'Daftar Koreksi'!$H$5:$H$92,"&lt;0")-SUMIFS('Daftar Koreksi'!$H$5:$H$92,'Daftar Koreksi'!$D$5:$D$92,'1900'!A620,'Daftar Koreksi'!$G$5:$G$92,"Aset Tak Berwujud",'Daftar Koreksi'!$H$5:$H$92,"&lt;0")-SUMIFS('Daftar Koreksi'!$H$5:$H$92,'Daftar Koreksi'!$D$5:$D$92,'1900'!A620,'Daftar Koreksi'!$G$5:$G$92,"Aset Tak Berwujud",'Daftar Koreksi'!$H$5:$H$92,"&lt;0")</f>
        <v>0</v>
      </c>
      <c r="G630" s="17">
        <f t="shared" si="28"/>
        <v>6000000</v>
      </c>
      <c r="H630" s="122"/>
    </row>
    <row r="631" spans="1:10" ht="21.95" customHeight="1">
      <c r="A631" s="14"/>
      <c r="B631" s="14"/>
      <c r="C631" s="16" t="s">
        <v>1173</v>
      </c>
      <c r="D631" s="17">
        <f>VLOOKUP(A620,'Neraca Unaudited SIMAK'!$A$2:$S$10004,11,FALSE)</f>
        <v>365010</v>
      </c>
      <c r="E631" s="25">
        <f>SUMIFS('Daftar Koreksi'!$H$5:$H$92,'Daftar Koreksi'!$D$5:$D$92,'1900'!A620,'Daftar Koreksi'!$G$5:$G$92,"Aset Henti Guna",'Daftar Koreksi'!$H$5:$H$92,"&gt;0")</f>
        <v>0</v>
      </c>
      <c r="F631" s="25">
        <f>SUMIFS('Daftar Koreksi'!$H$5:$H$92,'Daftar Koreksi'!$D$5:$D$92,'1900'!A620,'Daftar Koreksi'!$G$5:$G$92,"Aset Henti Guna",'Daftar Koreksi'!$H$5:$H$92,"&lt;0")-SUMIFS('Daftar Koreksi'!$H$5:$H$92,'Daftar Koreksi'!$D$5:$D$92,'1900'!A620,'Daftar Koreksi'!$G$5:$G$92,"Aset Henti Guna",'Daftar Koreksi'!$H$5:$H$92,"&lt;0")-SUMIFS('Daftar Koreksi'!$H$5:$H$92,'Daftar Koreksi'!$D$5:$D$92,'1900'!A620,'Daftar Koreksi'!$G$5:$G$92,"Aset Henti Guna",'Daftar Koreksi'!$H$5:$H$92,"&lt;0")</f>
        <v>0</v>
      </c>
      <c r="G631" s="17">
        <f t="shared" si="28"/>
        <v>365010</v>
      </c>
      <c r="H631" s="122"/>
    </row>
    <row r="632" spans="1:10" ht="21.95" customHeight="1">
      <c r="A632" s="14"/>
      <c r="B632" s="14"/>
      <c r="C632" s="18" t="s">
        <v>2093</v>
      </c>
      <c r="D632" s="19">
        <f>VLOOKUP(A620,'Neraca Unaudited SIMAK'!$A$2:$S$10004,12,FALSE)</f>
        <v>7983255915</v>
      </c>
      <c r="E632" s="19">
        <f>SUM(E623:E631)</f>
        <v>0</v>
      </c>
      <c r="F632" s="19">
        <f>SUM(F623:F631)</f>
        <v>0</v>
      </c>
      <c r="G632" s="19">
        <f t="shared" si="28"/>
        <v>7983255915</v>
      </c>
      <c r="H632" s="122"/>
    </row>
    <row r="633" spans="1:10" ht="21.95" customHeight="1">
      <c r="A633" s="14"/>
      <c r="B633" s="14"/>
      <c r="C633" s="16" t="s">
        <v>2087</v>
      </c>
      <c r="D633" s="17">
        <f>VLOOKUP(A620,'Neraca Unaudited SIMAK'!$A$2:$S$10004,13,FALSE)</f>
        <v>-1316733177</v>
      </c>
      <c r="E633" s="25">
        <f>SUMIFS('Daftar Koreksi'!$I$5:$I$92,'Daftar Koreksi'!$D$5:$D$92,'1900'!A620,'Daftar Koreksi'!$G$5:$G$92,"Peralatan dan mesin",'Daftar Koreksi'!$I$5:$I$92,"&gt;0")</f>
        <v>0</v>
      </c>
      <c r="F633" s="25">
        <f>SUMIFS('Daftar Koreksi'!$I$5:$I$92,'Daftar Koreksi'!$D$5:$D$92,'1900'!A620,'Daftar Koreksi'!$G$5:$G$92,"Peralatan dan mesin",'Daftar Koreksi'!$I$5:$I$92,"&lt;0")-SUMIFS('Daftar Koreksi'!$I$5:$I$92,'Daftar Koreksi'!$D$5:$D$92,'1900'!A620,'Daftar Koreksi'!$G$5:$G$92,"Peralatan dan mesin",'Daftar Koreksi'!$I$5:$I$92,"&lt;0")-SUMIFS('Daftar Koreksi'!$I$5:$I$92,'Daftar Koreksi'!$D$5:$D$92,'1900'!A620,'Daftar Koreksi'!$G$5:$G$92,"Peralatan dan mesin",'Daftar Koreksi'!$I$5:$I$92,"&lt;0")</f>
        <v>0</v>
      </c>
      <c r="G633" s="17">
        <f t="shared" si="28"/>
        <v>-1316733177</v>
      </c>
      <c r="H633" s="122"/>
      <c r="J633" s="10"/>
    </row>
    <row r="634" spans="1:10" ht="21.95" customHeight="1">
      <c r="A634" s="14"/>
      <c r="B634" s="14"/>
      <c r="C634" s="16" t="s">
        <v>2088</v>
      </c>
      <c r="D634" s="17">
        <f>VLOOKUP(A620,'Neraca Unaudited SIMAK'!$A$2:$S$10004,14,FALSE)</f>
        <v>-583501005</v>
      </c>
      <c r="E634" s="25">
        <f>SUMIFS('Daftar Koreksi'!$I$5:$I$92,'Daftar Koreksi'!$D$5:$D$92,'1900'!A620,'Daftar Koreksi'!$G$5:$G$92,"Gedung dan Bangunan",'Daftar Koreksi'!$I$5:$I$92,"&gt;0")</f>
        <v>0</v>
      </c>
      <c r="F634" s="25">
        <f>SUMIFS('Daftar Koreksi'!$I$5:$I$92,'Daftar Koreksi'!$D$5:$D$92,'1900'!A620,'Daftar Koreksi'!$G$5:$G$92,"Gedung dan Bangunan",'Daftar Koreksi'!$I$5:$I$92,"&lt;0")-SUMIFS('Daftar Koreksi'!$I$5:$I$92,'Daftar Koreksi'!$D$5:$D$92,'1900'!A620,'Daftar Koreksi'!$G$5:$G$92,"Gedung dan Bangunan",'Daftar Koreksi'!$I$5:$I$92,"&lt;0")-SUMIFS('Daftar Koreksi'!$I$5:$I$92,'Daftar Koreksi'!$D$5:$D$92,'1900'!A620,'Daftar Koreksi'!$G$5:$G$92,"Gedung dan Bangunan",'Daftar Koreksi'!$I$5:$I$92,"&lt;0")</f>
        <v>0</v>
      </c>
      <c r="G634" s="17">
        <f t="shared" si="28"/>
        <v>-583501005</v>
      </c>
      <c r="H634" s="122"/>
    </row>
    <row r="635" spans="1:10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Koreksi'!$D$5:$D$92,'1900'!A620,'Daftar Koreksi'!$G$5:$G$92,"Jalan Irigasi Jaringan",'Daftar Koreksi'!$I$5:$I$92,"&gt;0")</f>
        <v>0</v>
      </c>
      <c r="F635" s="25">
        <f>SUMIFS('Daftar Koreksi'!$I$5:$I$92,'Daftar Koreksi'!$D$5:$D$92,'1900'!A620,'Daftar Koreksi'!$G$5:$G$92,"Jalan Irigasi Jaringan",'Daftar Koreksi'!$I$5:$I$92,"&lt;0")-SUMIFS('Daftar Koreksi'!$I$5:$I$92,'Daftar Koreksi'!$D$5:$D$92,'1900'!A620,'Daftar Koreksi'!$G$5:$G$92,"Jalan Irigasi Jaringan",'Daftar Koreksi'!$I$5:$I$92,"&lt;0")-SUMIFS('Daftar Koreksi'!$I$5:$I$92,'Daftar Koreksi'!$D$5:$D$92,'1900'!A620,'Daftar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10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Koreksi'!$D$5:$D$92,'1900'!A620,'Daftar Koreksi'!$G$5:$G$92,"Aset Tetap Lainnya",'Daftar Koreksi'!$I$5:$I$92,"&gt;0")</f>
        <v>0</v>
      </c>
      <c r="F636" s="25">
        <f>SUMIFS('Daftar Koreksi'!$I$5:$I$92,'Daftar Koreksi'!$D$5:$D$92,'1900'!A620,'Daftar Koreksi'!$G$5:$G$92,"Aset Tetap Lainnya",'Daftar Koreksi'!$I$5:$I$92,"&lt;0")-SUMIFS('Daftar Koreksi'!$I$5:$I$92,'Daftar Koreksi'!$D$5:$D$92,'1900'!A620,'Daftar Koreksi'!$G$5:$G$92,"Aset Tetap Lainnya",'Daftar Koreksi'!$I$5:$I$92,"&lt;0")-SUMIFS('Daftar Koreksi'!$I$5:$I$92,'Daftar Koreksi'!$D$5:$D$92,'1900'!A620,'Daftar Koreksi'!$G$5:$G$92,"Aset Tetap Lainnya",'Daftar Koreksi'!$I$5:$I$92,"&lt;0")</f>
        <v>0</v>
      </c>
      <c r="G636" s="17">
        <f t="shared" si="28"/>
        <v>0</v>
      </c>
      <c r="H636" s="122"/>
    </row>
    <row r="637" spans="1:10" ht="21.95" customHeight="1">
      <c r="A637" s="14"/>
      <c r="B637" s="14"/>
      <c r="C637" s="16" t="s">
        <v>2020</v>
      </c>
      <c r="D637" s="17">
        <f>VLOOKUP(A620,'Neraca Unaudited SIMAK'!$A$2:$S$10004,17,FALSE)</f>
        <v>-365010</v>
      </c>
      <c r="E637" s="25">
        <f>SUMIFS('Daftar Koreksi'!$I$5:$I$92,'Daftar Koreksi'!$D$5:$D$92,'1900'!A620,'Daftar Koreksi'!$G$5:$G$92,"Aset Henti Guna",'Daftar Koreksi'!$I$5:$I$92,"&gt;0")</f>
        <v>0</v>
      </c>
      <c r="F637" s="25">
        <f>SUMIFS('Daftar Koreksi'!$I$5:$I$92,'Daftar Koreksi'!$D$5:$D$92,'1900'!A620,'Daftar Koreksi'!$G$5:$G$92,"Aset Henti Guna",'Daftar Koreksi'!$I$5:$I$92,"&lt;0")-SUMIFS('Daftar Koreksi'!$I$5:$I$92,'Daftar Koreksi'!$D$5:$D$92,'1900'!A620,'Daftar Koreksi'!$G$5:$G$92,"Aset Henti Guna",'Daftar Koreksi'!$I$5:$I$92,"&lt;0")-SUMIFS('Daftar Koreksi'!$I$5:$I$92,'Daftar Koreksi'!$D$5:$D$92,'1900'!A620,'Daftar Koreksi'!$G$5:$G$92,"Aset Henti Guna",'Daftar Koreksi'!$I$5:$I$92,"&lt;0")</f>
        <v>0</v>
      </c>
      <c r="G637" s="17">
        <f t="shared" si="28"/>
        <v>-365010</v>
      </c>
      <c r="H637" s="122"/>
    </row>
    <row r="638" spans="1:10" ht="21.95" customHeight="1">
      <c r="A638" s="14"/>
      <c r="B638" s="14"/>
      <c r="C638" s="18" t="s">
        <v>2094</v>
      </c>
      <c r="D638" s="19">
        <f>SUM(D633:D637)</f>
        <v>-1900599192</v>
      </c>
      <c r="E638" s="19">
        <f>SUM(E633:E637)</f>
        <v>0</v>
      </c>
      <c r="F638" s="19">
        <f>SUM(F633:F637)</f>
        <v>0</v>
      </c>
      <c r="G638" s="19">
        <f t="shared" si="28"/>
        <v>-1900599192</v>
      </c>
      <c r="H638" s="122"/>
    </row>
    <row r="639" spans="1:10" ht="21.95" customHeight="1">
      <c r="A639" s="14"/>
      <c r="B639" s="14"/>
      <c r="C639" s="18" t="s">
        <v>2095</v>
      </c>
      <c r="D639" s="19">
        <f>VLOOKUP(A620,'Neraca Unaudited SIMAK'!$A$2:$S$10004,18,FALSE)</f>
        <v>6082656723</v>
      </c>
      <c r="E639" s="19">
        <f>E638+E632</f>
        <v>0</v>
      </c>
      <c r="F639" s="19">
        <f>F638+F632</f>
        <v>0</v>
      </c>
      <c r="G639" s="19">
        <f t="shared" si="28"/>
        <v>6082656723</v>
      </c>
      <c r="H639" s="122"/>
    </row>
    <row r="640" spans="1:10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10" ht="19.5" customHeight="1">
      <c r="A642" s="11" t="str">
        <f>O30</f>
        <v>005011900307509000KD</v>
      </c>
      <c r="B642" s="11" t="str">
        <f>P30</f>
        <v>PA. Watampone</v>
      </c>
      <c r="C642" s="12" t="str">
        <f>A642&amp;" "&amp;B642</f>
        <v>005011900307509000KD PA. Watampone</v>
      </c>
      <c r="D642" s="13"/>
      <c r="E642" s="13"/>
      <c r="F642" s="13"/>
      <c r="G642" s="13"/>
      <c r="H642" s="11"/>
    </row>
    <row r="643" spans="1:10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10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10" ht="21.95" customHeight="1">
      <c r="A645" s="14"/>
      <c r="B645" s="14"/>
      <c r="C645" s="16" t="s">
        <v>1165</v>
      </c>
      <c r="D645" s="17">
        <f>VLOOKUP(A642,'Neraca Unaudited SIMAK'!$A$2:$S$10004,3,FALSE)</f>
        <v>69500</v>
      </c>
      <c r="E645" s="25">
        <f>SUMIFS('Daftar Koreksi'!$H$5:$H$92,'Daftar Koreksi'!$D$5:$D$92,'1900'!A642,'Daftar Koreksi'!$G$5:$G$92,"Persediaan",'Daftar Koreksi'!$H$5:$H$92,"&gt;0")</f>
        <v>0</v>
      </c>
      <c r="F645" s="25">
        <f>SUMIFS('Daftar Koreksi'!$H$5:$H$92,'Daftar Koreksi'!$D$5:$D$92,'1900'!A642,'Daftar Koreksi'!$G$5:$G$92,"Persediaan",'Daftar Koreksi'!$H$5:$H$92,"&lt;0")-SUMIFS('Daftar Koreksi'!$H$5:$H$92,'Daftar Koreksi'!$D$5:$D$92,'1900'!A642,'Daftar Koreksi'!$G$5:$G$92,"Persediaan",'Daftar Koreksi'!$H$5:$H$92,"&lt;0")-SUMIFS('Daftar Koreksi'!$H$5:$H$92,'Daftar Koreksi'!$D$5:$D$92,'1900'!A642,'Daftar Koreksi'!$G$5:$G$92,"Persediaan",'Daftar Koreksi'!$H$5:$H$92,"&lt;0")</f>
        <v>0</v>
      </c>
      <c r="G645" s="17">
        <f>D645+E645-F645</f>
        <v>69500</v>
      </c>
      <c r="H645" s="121" t="str">
        <f>IF(ISNA(VLOOKUP(A642,'Mutasi Neraca'!$A$3:$S$914,19,FALSE)),"-",VLOOKUP(A642,'Mutasi Neraca'!$A$3:$S$914,19,FALSE))</f>
        <v>-</v>
      </c>
      <c r="I645" s="28"/>
      <c r="J645" s="28"/>
    </row>
    <row r="646" spans="1:10" ht="21.95" customHeight="1">
      <c r="A646" s="14"/>
      <c r="B646" s="14"/>
      <c r="C646" s="16" t="s">
        <v>1166</v>
      </c>
      <c r="D646" s="17">
        <f>VLOOKUP(A642,'Neraca Unaudited SIMAK'!$A$2:$S$10004,4,FALSE)</f>
        <v>1582240000</v>
      </c>
      <c r="E646" s="25">
        <f>SUMIFS('Daftar Koreksi'!$H$5:$H$92,'Daftar Koreksi'!$D$5:$D$92,'1900'!A642,'Daftar Koreksi'!$G$5:$G$92,"Tanah",'Daftar Koreksi'!$H$5:$H$92,"&gt;0")</f>
        <v>0</v>
      </c>
      <c r="F646" s="25">
        <f>SUMIFS('Daftar Koreksi'!$H$5:$H$92,'Daftar Koreksi'!$D$5:$D$92,'1900'!A642,'Daftar Koreksi'!$G$5:$G$92,"Tanah",'Daftar Koreksi'!$H$5:$H$92,"&lt;0")-SUMIFS('Daftar Koreksi'!$H$5:$H$92,'Daftar Koreksi'!$D$5:$D$92,'1900'!A642,'Daftar Koreksi'!$G$5:$G$92,"Tanah",'Daftar Koreksi'!$H$5:$H$92,"&lt;0")-SUMIFS('Daftar Koreksi'!$H$5:$H$92,'Daftar Koreksi'!$D$5:$D$92,'1900'!A642,'Daftar Koreksi'!$G$5:$G$92,"Tanah",'Daftar Koreksi'!$H$5:$H$92,"&lt;0")</f>
        <v>0</v>
      </c>
      <c r="G646" s="17">
        <f t="shared" ref="G646:G662" si="29">D646+E646-F646</f>
        <v>1582240000</v>
      </c>
      <c r="H646" s="122"/>
      <c r="I646" s="28"/>
      <c r="J646" s="28"/>
    </row>
    <row r="647" spans="1:10" ht="21.95" customHeight="1">
      <c r="A647" s="14"/>
      <c r="B647" s="14"/>
      <c r="C647" s="16" t="s">
        <v>1167</v>
      </c>
      <c r="D647" s="17">
        <f>VLOOKUP(A642,'Neraca Unaudited SIMAK'!$A$2:$S$10004,5,FALSE)</f>
        <v>1600323065</v>
      </c>
      <c r="E647" s="25">
        <f>SUMIFS('Daftar Koreksi'!$H$5:$H$92,'Daftar Koreksi'!$D$5:$D$92,'1900'!A642,'Daftar Koreksi'!$G$5:$G$92,"Peralatan dan mesin",'Daftar Koreksi'!$H$5:$H$92,"&gt;0")</f>
        <v>0</v>
      </c>
      <c r="F647" s="25">
        <f>SUMIFS('Daftar Koreksi'!$H$5:$H$92,'Daftar Koreksi'!$D$5:$D$92,'1900'!A642,'Daftar Koreksi'!$G$5:$G$92,"Peralatan dan mesin",'Daftar Koreksi'!$H$5:$H$92,"&lt;0")-SUMIFS('Daftar Koreksi'!$H$5:$H$92,'Daftar Koreksi'!$D$5:$D$92,'1900'!A642,'Daftar Koreksi'!$G$5:$G$92,"Peralatan dan mesin",'Daftar Koreksi'!$H$5:$H$92,"&lt;0")-SUMIFS('Daftar Koreksi'!$H$5:$H$92,'Daftar Koreksi'!$D$5:$D$92,'1900'!A642,'Daftar Koreksi'!$G$5:$G$92,"Peralatan dan mesin",'Daftar Koreksi'!$H$5:$H$92,"&lt;0")</f>
        <v>0</v>
      </c>
      <c r="G647" s="17">
        <f t="shared" si="29"/>
        <v>1600323065</v>
      </c>
      <c r="H647" s="122"/>
      <c r="I647" s="28"/>
      <c r="J647" s="28"/>
    </row>
    <row r="648" spans="1:10" ht="21.95" customHeight="1">
      <c r="A648" s="14"/>
      <c r="B648" s="14"/>
      <c r="C648" s="16" t="s">
        <v>1168</v>
      </c>
      <c r="D648" s="17">
        <f>VLOOKUP(A642,'Neraca Unaudited SIMAK'!$A$2:$S$10004,6,FALSE)</f>
        <v>4642914000</v>
      </c>
      <c r="E648" s="25">
        <f>SUMIFS('Daftar Koreksi'!$H$5:$H$92,'Daftar Koreksi'!$D$5:$D$92,'1900'!A642,'Daftar Koreksi'!$G$5:$G$92,"Gedung dan Bangunan",'Daftar Koreksi'!$H$5:$H$92,"&gt;0")</f>
        <v>0</v>
      </c>
      <c r="F648" s="25">
        <f>SUMIFS('Daftar Koreksi'!$H$5:$H$92,'Daftar Koreksi'!$D$5:$D$92,'1900'!A642,'Daftar Koreksi'!$G$5:$G$92,"Gedung dan Bangunan",'Daftar Koreksi'!$H$5:$H$92,"&lt;0")-SUMIFS('Daftar Koreksi'!$H$5:$H$92,'Daftar Koreksi'!$D$5:$D$92,'1900'!A642,'Daftar Koreksi'!$G$5:$G$92,"Gedung dan Bangunan",'Daftar Koreksi'!$H$5:$H$92,"&lt;0")-SUMIFS('Daftar Koreksi'!$H$5:$H$92,'Daftar Koreksi'!$D$5:$D$92,'1900'!A642,'Daftar Koreksi'!$G$5:$G$92,"Gedung dan Bangunan",'Daftar Koreksi'!$H$5:$H$92,"&lt;0")</f>
        <v>0</v>
      </c>
      <c r="G648" s="17">
        <f t="shared" si="29"/>
        <v>4642914000</v>
      </c>
      <c r="H648" s="122"/>
      <c r="I648" s="28"/>
      <c r="J648" s="28"/>
    </row>
    <row r="649" spans="1:10" ht="21.95" customHeight="1">
      <c r="A649" s="14"/>
      <c r="B649" s="14"/>
      <c r="C649" s="16" t="s">
        <v>1169</v>
      </c>
      <c r="D649" s="17">
        <f>VLOOKUP(A642,'Neraca Unaudited SIMAK'!$A$2:$S$10004,7,FALSE)</f>
        <v>0</v>
      </c>
      <c r="E649" s="25">
        <f>SUMIFS('Daftar Koreksi'!$H$5:$H$92,'Daftar Koreksi'!$D$5:$D$92,'1900'!A642,'Daftar Koreksi'!$G$5:$G$92,"Jalan Irigasi Jaringan",'Daftar Koreksi'!$H$5:$H$92,"&gt;0")</f>
        <v>0</v>
      </c>
      <c r="F649" s="25">
        <f>SUMIFS('Daftar Koreksi'!$H$5:$H$92,'Daftar Koreksi'!$D$5:$D$92,'1900'!A642,'Daftar Koreksi'!$G$5:$G$92,"Jalan Irigasi Jaringan",'Daftar Koreksi'!$H$5:$H$92,"&lt;0")-SUMIFS('Daftar Koreksi'!$H$5:$H$92,'Daftar Koreksi'!$D$5:$D$92,'1900'!A642,'Daftar Koreksi'!$G$5:$G$92,"Jalan Irigasi Jaringan",'Daftar Koreksi'!$H$5:$H$92,"&lt;0")-SUMIFS('Daftar Koreksi'!$H$5:$H$92,'Daftar Koreksi'!$D$5:$D$92,'1900'!A642,'Daftar Koreksi'!$G$5:$G$92,"Jalan Irigasi Jaringan",'Daftar Koreksi'!$H$5:$H$92,"&lt;0")</f>
        <v>0</v>
      </c>
      <c r="G649" s="17">
        <f t="shared" si="29"/>
        <v>0</v>
      </c>
      <c r="H649" s="122"/>
      <c r="I649" s="28"/>
      <c r="J649" s="28"/>
    </row>
    <row r="650" spans="1:10" ht="21.95" customHeight="1">
      <c r="A650" s="14"/>
      <c r="B650" s="14"/>
      <c r="C650" s="16" t="s">
        <v>1170</v>
      </c>
      <c r="D650" s="17">
        <f>VLOOKUP(A642,'Neraca Unaudited SIMAK'!$A$2:$S$10004,8,FALSE)</f>
        <v>14427570</v>
      </c>
      <c r="E650" s="25">
        <f>SUMIFS('Daftar Koreksi'!$H$5:$H$92,'Daftar Koreksi'!$D$5:$D$92,'1900'!A642,'Daftar Koreksi'!$G$5:$G$92,"Aset Tetap Lainnya",'Daftar Koreksi'!$H$5:$H$92,"&gt;0")</f>
        <v>0</v>
      </c>
      <c r="F650" s="25">
        <f>SUMIFS('Daftar Koreksi'!$H$5:$H$92,'Daftar Koreksi'!$D$5:$D$92,'1900'!A642,'Daftar Koreksi'!$G$5:$G$92,"Aset Tetap Lainnya",'Daftar Koreksi'!$H$5:$H$92,"&lt;0")-SUMIFS('Daftar Koreksi'!$H$5:$H$92,'Daftar Koreksi'!$D$5:$D$92,'1900'!A642,'Daftar Koreksi'!$G$5:$G$92,"Aset Tetap Lainnya",'Daftar Koreksi'!$H$5:$H$92,"&lt;0")-SUMIFS('Daftar Koreksi'!$H$5:$H$92,'Daftar Koreksi'!$D$5:$D$92,'1900'!A642,'Daftar Koreksi'!$G$5:$G$92,"Aset Tetap Lainnya",'Daftar Koreksi'!$H$5:$H$92,"&lt;0")</f>
        <v>0</v>
      </c>
      <c r="G650" s="17">
        <f t="shared" si="29"/>
        <v>14427570</v>
      </c>
      <c r="H650" s="122"/>
      <c r="I650" s="28"/>
      <c r="J650" s="28"/>
    </row>
    <row r="651" spans="1:10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Koreksi'!$D$5:$D$92,'1900'!A642,'Daftar Koreksi'!$G$5:$G$92,"Kontruksi Dalam Pengerjaan",'Daftar Koreksi'!$H$5:$H$92,"&gt;0")</f>
        <v>0</v>
      </c>
      <c r="F651" s="25">
        <f>SUMIFS('Daftar Koreksi'!$H$5:$H$92,'Daftar Koreksi'!$D$5:$D$92,'1900'!A642,'Daftar Koreksi'!$G$5:$G$92,"Kontruksi Dalam Pengerjaan",'Daftar Koreksi'!$H$5:$H$92,"&lt;0")-SUMIFS('Daftar Koreksi'!$H$5:$H$92,'Daftar Koreksi'!$D$5:$D$92,'1900'!A642,'Daftar Koreksi'!$G$5:$G$92,"Kontruksi Dalam Pengerjaan",'Daftar Koreksi'!$H$5:$H$92,"&lt;0")-SUMIFS('Daftar Koreksi'!$H$5:$H$92,'Daftar Koreksi'!$D$5:$D$92,'1900'!A642,'Daftar Koreksi'!$G$5:$G$92,"Kontruksi Dalam Pengerjaan",'Daftar Koreksi'!$H$5:$H$92,"&lt;0")</f>
        <v>0</v>
      </c>
      <c r="G651" s="17">
        <f t="shared" si="29"/>
        <v>0</v>
      </c>
      <c r="H651" s="122"/>
      <c r="I651" s="28"/>
      <c r="J651" s="28"/>
    </row>
    <row r="652" spans="1:10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Koreksi'!$D$5:$D$92,'1900'!A642,'Daftar Koreksi'!$G$5:$G$92,"Aset Tak Berwujud",'Daftar Koreksi'!$H$5:$H$92,"&gt;0")</f>
        <v>0</v>
      </c>
      <c r="F652" s="25">
        <f>SUMIFS('Daftar Koreksi'!$H$5:$H$92,'Daftar Koreksi'!$D$5:$D$92,'1900'!A642,'Daftar Koreksi'!$G$5:$G$92,"Aset Tak Berwujud",'Daftar Koreksi'!$H$5:$H$92,"&lt;0")-SUMIFS('Daftar Koreksi'!$H$5:$H$92,'Daftar Koreksi'!$D$5:$D$92,'1900'!A642,'Daftar Koreksi'!$G$5:$G$92,"Aset Tak Berwujud",'Daftar Koreksi'!$H$5:$H$92,"&lt;0")-SUMIFS('Daftar Koreksi'!$H$5:$H$92,'Daftar Koreksi'!$D$5:$D$92,'1900'!A642,'Daftar Koreksi'!$G$5:$G$92,"Aset Tak Berwujud",'Daftar Koreksi'!$H$5:$H$92,"&lt;0")</f>
        <v>0</v>
      </c>
      <c r="G652" s="17">
        <f t="shared" si="29"/>
        <v>0</v>
      </c>
      <c r="H652" s="122"/>
      <c r="I652" s="28"/>
      <c r="J652" s="28"/>
    </row>
    <row r="653" spans="1:10" ht="21.95" customHeight="1">
      <c r="A653" s="14"/>
      <c r="B653" s="14"/>
      <c r="C653" s="16" t="s">
        <v>1173</v>
      </c>
      <c r="D653" s="17">
        <f>VLOOKUP(A642,'Neraca Unaudited SIMAK'!$A$2:$S$10004,11,FALSE)</f>
        <v>14500000</v>
      </c>
      <c r="E653" s="25">
        <f>SUMIFS('Daftar Koreksi'!$H$5:$H$92,'Daftar Koreksi'!$D$5:$D$92,'1900'!A642,'Daftar Koreksi'!$G$5:$G$92,"Aset Henti Guna",'Daftar Koreksi'!$H$5:$H$92,"&gt;0")</f>
        <v>0</v>
      </c>
      <c r="F653" s="25">
        <f>SUMIFS('Daftar Koreksi'!$H$5:$H$92,'Daftar Koreksi'!$D$5:$D$92,'1900'!A642,'Daftar Koreksi'!$G$5:$G$92,"Aset Henti Guna",'Daftar Koreksi'!$H$5:$H$92,"&lt;0")-SUMIFS('Daftar Koreksi'!$H$5:$H$92,'Daftar Koreksi'!$D$5:$D$92,'1900'!A642,'Daftar Koreksi'!$G$5:$G$92,"Aset Henti Guna",'Daftar Koreksi'!$H$5:$H$92,"&lt;0")-SUMIFS('Daftar Koreksi'!$H$5:$H$92,'Daftar Koreksi'!$D$5:$D$92,'1900'!A642,'Daftar Koreksi'!$G$5:$G$92,"Aset Henti Guna",'Daftar Koreksi'!$H$5:$H$92,"&lt;0")</f>
        <v>0</v>
      </c>
      <c r="G653" s="17">
        <f t="shared" si="29"/>
        <v>14500000</v>
      </c>
      <c r="H653" s="122"/>
      <c r="I653" s="28"/>
      <c r="J653" s="28"/>
    </row>
    <row r="654" spans="1:10" ht="21.95" customHeight="1">
      <c r="A654" s="14"/>
      <c r="B654" s="14"/>
      <c r="C654" s="18" t="s">
        <v>2093</v>
      </c>
      <c r="D654" s="19">
        <f>VLOOKUP(A642,'Neraca Unaudited SIMAK'!$A$2:$S$10004,12,FALSE)</f>
        <v>7854474135</v>
      </c>
      <c r="E654" s="19">
        <f>SUM(E645:E653)</f>
        <v>0</v>
      </c>
      <c r="F654" s="19">
        <f>SUM(F645:F653)</f>
        <v>0</v>
      </c>
      <c r="G654" s="19">
        <f t="shared" si="29"/>
        <v>7854474135</v>
      </c>
      <c r="H654" s="122"/>
      <c r="I654" s="28"/>
      <c r="J654" s="28"/>
    </row>
    <row r="655" spans="1:10" ht="21.95" customHeight="1">
      <c r="A655" s="14"/>
      <c r="B655" s="14"/>
      <c r="C655" s="16" t="s">
        <v>2087</v>
      </c>
      <c r="D655" s="17">
        <f>VLOOKUP(A642,'Neraca Unaudited SIMAK'!$A$2:$S$10004,13,FALSE)</f>
        <v>-1362044865</v>
      </c>
      <c r="E655" s="25">
        <f>SUMIFS('Daftar Koreksi'!$I$5:$I$92,'Daftar Koreksi'!$D$5:$D$92,'1900'!A642,'Daftar Koreksi'!$G$5:$G$92,"Peralatan dan mesin",'Daftar Koreksi'!$I$5:$I$92,"&gt;0")</f>
        <v>0</v>
      </c>
      <c r="F655" s="25">
        <f>SUMIFS('Daftar Koreksi'!$I$5:$I$92,'Daftar Koreksi'!$D$5:$D$92,'1900'!A642,'Daftar Koreksi'!$G$5:$G$92,"Peralatan dan mesin",'Daftar Koreksi'!$I$5:$I$92,"&lt;0")-SUMIFS('Daftar Koreksi'!$I$5:$I$92,'Daftar Koreksi'!$D$5:$D$92,'1900'!A642,'Daftar Koreksi'!$G$5:$G$92,"Peralatan dan mesin",'Daftar Koreksi'!$I$5:$I$92,"&lt;0")-SUMIFS('Daftar Koreksi'!$I$5:$I$92,'Daftar Koreksi'!$D$5:$D$92,'1900'!A642,'Daftar Koreksi'!$G$5:$G$92,"Peralatan dan mesin",'Daftar Koreksi'!$I$5:$I$92,"&lt;0")</f>
        <v>0</v>
      </c>
      <c r="G655" s="17">
        <f t="shared" si="29"/>
        <v>-1362044865</v>
      </c>
      <c r="H655" s="122"/>
      <c r="I655" s="28"/>
      <c r="J655" s="28"/>
    </row>
    <row r="656" spans="1:10" ht="21.95" customHeight="1">
      <c r="A656" s="14"/>
      <c r="B656" s="14"/>
      <c r="C656" s="16" t="s">
        <v>2088</v>
      </c>
      <c r="D656" s="17">
        <f>VLOOKUP(A642,'Neraca Unaudited SIMAK'!$A$2:$S$10004,14,FALSE)</f>
        <v>-744096220</v>
      </c>
      <c r="E656" s="25">
        <f>SUMIFS('Daftar Koreksi'!$I$5:$I$92,'Daftar Koreksi'!$D$5:$D$92,'1900'!A642,'Daftar Koreksi'!$G$5:$G$92,"Gedung dan Bangunan",'Daftar Koreksi'!$I$5:$I$92,"&gt;0")</f>
        <v>0</v>
      </c>
      <c r="F656" s="25">
        <f>SUMIFS('Daftar Koreksi'!$I$5:$I$92,'Daftar Koreksi'!$D$5:$D$92,'1900'!A642,'Daftar Koreksi'!$G$5:$G$92,"Gedung dan Bangunan",'Daftar Koreksi'!$I$5:$I$92,"&lt;0")-SUMIFS('Daftar Koreksi'!$I$5:$I$92,'Daftar Koreksi'!$D$5:$D$92,'1900'!A642,'Daftar Koreksi'!$G$5:$G$92,"Gedung dan Bangunan",'Daftar Koreksi'!$I$5:$I$92,"&lt;0")-SUMIFS('Daftar Koreksi'!$I$5:$I$92,'Daftar Koreksi'!$D$5:$D$92,'1900'!A642,'Daftar Koreksi'!$G$5:$G$92,"Gedung dan Bangunan",'Daftar Koreksi'!$I$5:$I$92,"&lt;0")</f>
        <v>0</v>
      </c>
      <c r="G656" s="17">
        <f t="shared" si="29"/>
        <v>-744096220</v>
      </c>
      <c r="H656" s="122"/>
      <c r="I656" s="28"/>
      <c r="J656" s="28"/>
    </row>
    <row r="657" spans="1:10" ht="21.95" customHeight="1">
      <c r="A657" s="14"/>
      <c r="B657" s="14"/>
      <c r="C657" s="16" t="s">
        <v>2089</v>
      </c>
      <c r="D657" s="17">
        <f>VLOOKUP(A642,'Neraca Unaudited SIMAK'!$A$2:$S$10004,15,FALSE)</f>
        <v>0</v>
      </c>
      <c r="E657" s="25">
        <f>SUMIFS('Daftar Koreksi'!$I$5:$I$92,'Daftar Koreksi'!$D$5:$D$92,'1900'!A642,'Daftar Koreksi'!$G$5:$G$92,"Jalan Irigasi Jaringan",'Daftar Koreksi'!$I$5:$I$92,"&gt;0")</f>
        <v>0</v>
      </c>
      <c r="F657" s="25">
        <f>SUMIFS('Daftar Koreksi'!$I$5:$I$92,'Daftar Koreksi'!$D$5:$D$92,'1900'!A642,'Daftar Koreksi'!$G$5:$G$92,"Jalan Irigasi Jaringan",'Daftar Koreksi'!$I$5:$I$92,"&lt;0")-SUMIFS('Daftar Koreksi'!$I$5:$I$92,'Daftar Koreksi'!$D$5:$D$92,'1900'!A642,'Daftar Koreksi'!$G$5:$G$92,"Jalan Irigasi Jaringan",'Daftar Koreksi'!$I$5:$I$92,"&lt;0")-SUMIFS('Daftar Koreksi'!$I$5:$I$92,'Daftar Koreksi'!$D$5:$D$92,'1900'!A642,'Daftar Koreksi'!$G$5:$G$92,"Jalan Irigasi Jaringan",'Daftar Koreksi'!$I$5:$I$92,"&lt;0")</f>
        <v>0</v>
      </c>
      <c r="G657" s="17">
        <f t="shared" si="29"/>
        <v>0</v>
      </c>
      <c r="H657" s="122"/>
      <c r="I657" s="28"/>
      <c r="J657" s="28"/>
    </row>
    <row r="658" spans="1:10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Koreksi'!$D$5:$D$92,'1900'!A642,'Daftar Koreksi'!$G$5:$G$92,"Aset Tetap Lainnya",'Daftar Koreksi'!$I$5:$I$92,"&gt;0")</f>
        <v>0</v>
      </c>
      <c r="F658" s="25">
        <f>SUMIFS('Daftar Koreksi'!$I$5:$I$92,'Daftar Koreksi'!$D$5:$D$92,'1900'!A642,'Daftar Koreksi'!$G$5:$G$92,"Aset Tetap Lainnya",'Daftar Koreksi'!$I$5:$I$92,"&lt;0")-SUMIFS('Daftar Koreksi'!$I$5:$I$92,'Daftar Koreksi'!$D$5:$D$92,'1900'!A642,'Daftar Koreksi'!$G$5:$G$92,"Aset Tetap Lainnya",'Daftar Koreksi'!$I$5:$I$92,"&lt;0")-SUMIFS('Daftar Koreksi'!$I$5:$I$92,'Daftar Koreksi'!$D$5:$D$92,'1900'!A642,'Daftar Koreksi'!$G$5:$G$92,"Aset Tetap Lainnya",'Daftar Koreksi'!$I$5:$I$92,"&lt;0")</f>
        <v>0</v>
      </c>
      <c r="G658" s="17">
        <f t="shared" si="29"/>
        <v>0</v>
      </c>
      <c r="H658" s="122"/>
      <c r="I658" s="28"/>
      <c r="J658" s="28"/>
    </row>
    <row r="659" spans="1:10" ht="21.95" customHeight="1">
      <c r="A659" s="14"/>
      <c r="B659" s="14"/>
      <c r="C659" s="16" t="s">
        <v>2020</v>
      </c>
      <c r="D659" s="17">
        <f>VLOOKUP(A642,'Neraca Unaudited SIMAK'!$A$2:$S$10004,17,FALSE)</f>
        <v>-14500000</v>
      </c>
      <c r="E659" s="25">
        <f>SUMIFS('Daftar Koreksi'!$I$5:$I$92,'Daftar Koreksi'!$D$5:$D$92,'1900'!A642,'Daftar Koreksi'!$G$5:$G$92,"Aset Henti Guna",'Daftar Koreksi'!$I$5:$I$92,"&gt;0")</f>
        <v>0</v>
      </c>
      <c r="F659" s="25">
        <f>SUMIFS('Daftar Koreksi'!$I$5:$I$92,'Daftar Koreksi'!$D$5:$D$92,'1900'!A642,'Daftar Koreksi'!$G$5:$G$92,"Aset Henti Guna",'Daftar Koreksi'!$I$5:$I$92,"&lt;0")-SUMIFS('Daftar Koreksi'!$I$5:$I$92,'Daftar Koreksi'!$D$5:$D$92,'1900'!A642,'Daftar Koreksi'!$G$5:$G$92,"Aset Henti Guna",'Daftar Koreksi'!$I$5:$I$92,"&lt;0")-SUMIFS('Daftar Koreksi'!$I$5:$I$92,'Daftar Koreksi'!$D$5:$D$92,'1900'!A642,'Daftar Koreksi'!$G$5:$G$92,"Aset Henti Guna",'Daftar Koreksi'!$I$5:$I$92,"&lt;0")</f>
        <v>0</v>
      </c>
      <c r="G659" s="17">
        <f t="shared" si="29"/>
        <v>-14500000</v>
      </c>
      <c r="H659" s="122"/>
      <c r="I659" s="28"/>
      <c r="J659" s="28"/>
    </row>
    <row r="660" spans="1:10" ht="21.95" customHeight="1">
      <c r="A660" s="14"/>
      <c r="B660" s="14"/>
      <c r="C660" s="18" t="s">
        <v>2094</v>
      </c>
      <c r="D660" s="19">
        <f>SUM(D655:D659)</f>
        <v>-2120641085</v>
      </c>
      <c r="E660" s="19">
        <f>SUM(E655:E659)</f>
        <v>0</v>
      </c>
      <c r="F660" s="19">
        <f>SUM(F655:F659)</f>
        <v>0</v>
      </c>
      <c r="G660" s="19">
        <f t="shared" si="29"/>
        <v>-2120641085</v>
      </c>
      <c r="H660" s="122"/>
      <c r="I660" s="28"/>
      <c r="J660" s="28"/>
    </row>
    <row r="661" spans="1:10" ht="21.95" customHeight="1">
      <c r="A661" s="14"/>
      <c r="B661" s="14"/>
      <c r="C661" s="18" t="s">
        <v>2095</v>
      </c>
      <c r="D661" s="19">
        <f>VLOOKUP(A642,'Neraca Unaudited SIMAK'!$A$2:$S$10004,18,FALSE)</f>
        <v>5733833050</v>
      </c>
      <c r="E661" s="19">
        <f>E660+E654</f>
        <v>0</v>
      </c>
      <c r="F661" s="19">
        <f>F660+F654</f>
        <v>0</v>
      </c>
      <c r="G661" s="19">
        <f t="shared" si="29"/>
        <v>5733833050</v>
      </c>
      <c r="H661" s="122"/>
      <c r="I661" s="28"/>
      <c r="J661" s="28"/>
    </row>
    <row r="662" spans="1:10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  <c r="I662" s="28"/>
      <c r="J662" s="28"/>
    </row>
    <row r="664" spans="1:10" ht="19.5" customHeight="1">
      <c r="A664" s="11" t="str">
        <f>O31</f>
        <v>005011900307513000KD</v>
      </c>
      <c r="B664" s="11" t="str">
        <f>P31</f>
        <v>PA. Sengkang</v>
      </c>
      <c r="C664" s="12" t="str">
        <f>A664&amp;" "&amp;B664</f>
        <v>005011900307513000KD PA. Sengkang</v>
      </c>
      <c r="D664" s="13"/>
      <c r="E664" s="13"/>
      <c r="F664" s="13"/>
      <c r="G664" s="13"/>
      <c r="H664" s="11"/>
    </row>
    <row r="665" spans="1:10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10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10" ht="21.95" customHeight="1">
      <c r="A667" s="14"/>
      <c r="B667" s="14"/>
      <c r="C667" s="16" t="s">
        <v>1165</v>
      </c>
      <c r="D667" s="17">
        <f>VLOOKUP(A664,'Neraca Unaudited SIMAK'!$A$2:$S$10004,3,FALSE)</f>
        <v>780000</v>
      </c>
      <c r="E667" s="25">
        <f>SUMIFS('Daftar Koreksi'!$H$5:$H$92,'Daftar Koreksi'!$D$5:$D$92,'1900'!A664,'Daftar Koreksi'!$G$5:$G$92,"Persediaan",'Daftar Koreksi'!$H$5:$H$92,"&gt;0")</f>
        <v>0</v>
      </c>
      <c r="F667" s="25">
        <f>SUMIFS('Daftar Koreksi'!$H$5:$H$92,'Daftar Koreksi'!$D$5:$D$92,'1900'!A664,'Daftar Koreksi'!$G$5:$G$92,"Persediaan",'Daftar Koreksi'!$H$5:$H$92,"&lt;0")-SUMIFS('Daftar Koreksi'!$H$5:$H$92,'Daftar Koreksi'!$D$5:$D$92,'1900'!A664,'Daftar Koreksi'!$G$5:$G$92,"Persediaan",'Daftar Koreksi'!$H$5:$H$92,"&lt;0")-SUMIFS('Daftar Koreksi'!$H$5:$H$92,'Daftar Koreksi'!$D$5:$D$92,'1900'!A664,'Daftar Koreksi'!$G$5:$G$92,"Persediaan",'Daftar Koreksi'!$H$5:$H$92,"&lt;0")</f>
        <v>0</v>
      </c>
      <c r="G667" s="17">
        <f>D667+E667-F667</f>
        <v>780000</v>
      </c>
      <c r="H667" s="121" t="str">
        <f>IF(ISNA(VLOOKUP(A664,'Mutasi Neraca'!$A$3:$S$914,19,FALSE)),"-",VLOOKUP(A664,'Mutasi Neraca'!$A$3:$S$914,19,FALSE))</f>
        <v>-</v>
      </c>
    </row>
    <row r="668" spans="1:10" ht="21.95" customHeight="1">
      <c r="A668" s="14"/>
      <c r="B668" s="14"/>
      <c r="C668" s="16" t="s">
        <v>1166</v>
      </c>
      <c r="D668" s="17">
        <f>VLOOKUP(A664,'Neraca Unaudited SIMAK'!$A$2:$S$10004,4,FALSE)</f>
        <v>301000000</v>
      </c>
      <c r="E668" s="25">
        <f>SUMIFS('Daftar Koreksi'!$H$5:$H$92,'Daftar Koreksi'!$D$5:$D$92,'1900'!A664,'Daftar Koreksi'!$G$5:$G$92,"Tanah",'Daftar Koreksi'!$H$5:$H$92,"&gt;0")</f>
        <v>0</v>
      </c>
      <c r="F668" s="25">
        <f>SUMIFS('Daftar Koreksi'!$H$5:$H$92,'Daftar Koreksi'!$D$5:$D$92,'1900'!A664,'Daftar Koreksi'!$G$5:$G$92,"Tanah",'Daftar Koreksi'!$H$5:$H$92,"&lt;0")-SUMIFS('Daftar Koreksi'!$H$5:$H$92,'Daftar Koreksi'!$D$5:$D$92,'1900'!A664,'Daftar Koreksi'!$G$5:$G$92,"Tanah",'Daftar Koreksi'!$H$5:$H$92,"&lt;0")-SUMIFS('Daftar Koreksi'!$H$5:$H$92,'Daftar Koreksi'!$D$5:$D$92,'1900'!A664,'Daftar Koreksi'!$G$5:$G$92,"Tanah",'Daftar Koreksi'!$H$5:$H$92,"&lt;0")</f>
        <v>0</v>
      </c>
      <c r="G668" s="17">
        <f t="shared" ref="G668:G684" si="30">D668+E668-F668</f>
        <v>301000000</v>
      </c>
      <c r="H668" s="122"/>
    </row>
    <row r="669" spans="1:10" ht="21.95" customHeight="1">
      <c r="A669" s="14"/>
      <c r="B669" s="14"/>
      <c r="C669" s="16" t="s">
        <v>1167</v>
      </c>
      <c r="D669" s="17">
        <f>VLOOKUP(A664,'Neraca Unaudited SIMAK'!$A$2:$S$10004,5,FALSE)</f>
        <v>1283762601</v>
      </c>
      <c r="E669" s="25">
        <f>SUMIFS('Daftar Koreksi'!$H$5:$H$92,'Daftar Koreksi'!$D$5:$D$92,'1900'!A664,'Daftar Koreksi'!$G$5:$G$92,"Peralatan dan mesin",'Daftar Koreksi'!$H$5:$H$92,"&gt;0")</f>
        <v>0</v>
      </c>
      <c r="F669" s="25">
        <f>SUMIFS('Daftar Koreksi'!$H$5:$H$92,'Daftar Koreksi'!$D$5:$D$92,'1900'!A664,'Daftar Koreksi'!$G$5:$G$92,"Peralatan dan mesin",'Daftar Koreksi'!$H$5:$H$92,"&lt;0")-SUMIFS('Daftar Koreksi'!$H$5:$H$92,'Daftar Koreksi'!$D$5:$D$92,'1900'!A664,'Daftar Koreksi'!$G$5:$G$92,"Peralatan dan mesin",'Daftar Koreksi'!$H$5:$H$92,"&lt;0")-SUMIFS('Daftar Koreksi'!$H$5:$H$92,'Daftar Koreksi'!$D$5:$D$92,'1900'!A664,'Daftar Koreksi'!$G$5:$G$92,"Peralatan dan mesin",'Daftar Koreksi'!$H$5:$H$92,"&lt;0")</f>
        <v>0</v>
      </c>
      <c r="G669" s="17">
        <f t="shared" si="30"/>
        <v>1283762601</v>
      </c>
      <c r="H669" s="122"/>
    </row>
    <row r="670" spans="1:10" ht="21.95" customHeight="1">
      <c r="A670" s="14"/>
      <c r="B670" s="14"/>
      <c r="C670" s="16" t="s">
        <v>1168</v>
      </c>
      <c r="D670" s="17">
        <f>VLOOKUP(A664,'Neraca Unaudited SIMAK'!$A$2:$S$10004,6,FALSE)</f>
        <v>3488592650</v>
      </c>
      <c r="E670" s="25">
        <f>SUMIFS('Daftar Koreksi'!$H$5:$H$92,'Daftar Koreksi'!$D$5:$D$92,'1900'!A664,'Daftar Koreksi'!$G$5:$G$92,"Gedung dan Bangunan",'Daftar Koreksi'!$H$5:$H$92,"&gt;0")</f>
        <v>0</v>
      </c>
      <c r="F670" s="25">
        <f>SUMIFS('Daftar Koreksi'!$H$5:$H$92,'Daftar Koreksi'!$D$5:$D$92,'1900'!A664,'Daftar Koreksi'!$G$5:$G$92,"Gedung dan Bangunan",'Daftar Koreksi'!$H$5:$H$92,"&lt;0")-SUMIFS('Daftar Koreksi'!$H$5:$H$92,'Daftar Koreksi'!$D$5:$D$92,'1900'!A664,'Daftar Koreksi'!$G$5:$G$92,"Gedung dan Bangunan",'Daftar Koreksi'!$H$5:$H$92,"&lt;0")-SUMIFS('Daftar Koreksi'!$H$5:$H$92,'Daftar Koreksi'!$D$5:$D$92,'1900'!A664,'Daftar Koreksi'!$G$5:$G$92,"Gedung dan Bangunan",'Daftar Koreksi'!$H$5:$H$92,"&lt;0")</f>
        <v>0</v>
      </c>
      <c r="G670" s="17">
        <f t="shared" si="30"/>
        <v>3488592650</v>
      </c>
      <c r="H670" s="122"/>
    </row>
    <row r="671" spans="1:10" ht="21.95" customHeight="1">
      <c r="A671" s="14"/>
      <c r="B671" s="14"/>
      <c r="C671" s="16" t="s">
        <v>1169</v>
      </c>
      <c r="D671" s="17">
        <f>VLOOKUP(A664,'Neraca Unaudited SIMAK'!$A$2:$S$10004,7,FALSE)</f>
        <v>34990000</v>
      </c>
      <c r="E671" s="25">
        <f>SUMIFS('Daftar Koreksi'!$H$5:$H$92,'Daftar Koreksi'!$D$5:$D$92,'1900'!A664,'Daftar Koreksi'!$G$5:$G$92,"Jalan Irigasi Jaringan",'Daftar Koreksi'!$H$5:$H$92,"&gt;0")</f>
        <v>0</v>
      </c>
      <c r="F671" s="25">
        <f>SUMIFS('Daftar Koreksi'!$H$5:$H$92,'Daftar Koreksi'!$D$5:$D$92,'1900'!A664,'Daftar Koreksi'!$G$5:$G$92,"Jalan Irigasi Jaringan",'Daftar Koreksi'!$H$5:$H$92,"&lt;0")-SUMIFS('Daftar Koreksi'!$H$5:$H$92,'Daftar Koreksi'!$D$5:$D$92,'1900'!A664,'Daftar Koreksi'!$G$5:$G$92,"Jalan Irigasi Jaringan",'Daftar Koreksi'!$H$5:$H$92,"&lt;0")-SUMIFS('Daftar Koreksi'!$H$5:$H$92,'Daftar Koreksi'!$D$5:$D$92,'1900'!A664,'Daftar Koreksi'!$G$5:$G$92,"Jalan Irigasi Jaringan",'Daftar Koreksi'!$H$5:$H$92,"&lt;0")</f>
        <v>0</v>
      </c>
      <c r="G671" s="17">
        <f t="shared" si="30"/>
        <v>34990000</v>
      </c>
      <c r="H671" s="122"/>
    </row>
    <row r="672" spans="1:10" ht="21.95" customHeight="1">
      <c r="A672" s="14"/>
      <c r="B672" s="14"/>
      <c r="C672" s="16" t="s">
        <v>1170</v>
      </c>
      <c r="D672" s="17">
        <f>VLOOKUP(A664,'Neraca Unaudited SIMAK'!$A$2:$S$10004,8,FALSE)</f>
        <v>0</v>
      </c>
      <c r="E672" s="25">
        <f>SUMIFS('Daftar Koreksi'!$H$5:$H$92,'Daftar Koreksi'!$D$5:$D$92,'1900'!A664,'Daftar Koreksi'!$G$5:$G$92,"Aset Tetap Lainnya",'Daftar Koreksi'!$H$5:$H$92,"&gt;0")</f>
        <v>0</v>
      </c>
      <c r="F672" s="25">
        <f>SUMIFS('Daftar Koreksi'!$H$5:$H$92,'Daftar Koreksi'!$D$5:$D$92,'1900'!A664,'Daftar Koreksi'!$G$5:$G$92,"Aset Tetap Lainnya",'Daftar Koreksi'!$H$5:$H$92,"&lt;0")-SUMIFS('Daftar Koreksi'!$H$5:$H$92,'Daftar Koreksi'!$D$5:$D$92,'1900'!A664,'Daftar Koreksi'!$G$5:$G$92,"Aset Tetap Lainnya",'Daftar Koreksi'!$H$5:$H$92,"&lt;0")-SUMIFS('Daftar Koreksi'!$H$5:$H$92,'Daftar Koreksi'!$D$5:$D$92,'1900'!A664,'Daftar Koreksi'!$G$5:$G$92,"Aset Tetap Lainnya",'Daftar Koreksi'!$H$5:$H$92,"&lt;0")</f>
        <v>0</v>
      </c>
      <c r="G672" s="17">
        <f t="shared" si="30"/>
        <v>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Koreksi'!$D$5:$D$92,'1900'!A664,'Daftar Koreksi'!$G$5:$G$92,"Kontruksi Dalam Pengerjaan",'Daftar Koreksi'!$H$5:$H$92,"&gt;0")</f>
        <v>0</v>
      </c>
      <c r="F673" s="25">
        <f>SUMIFS('Daftar Koreksi'!$H$5:$H$92,'Daftar Koreksi'!$D$5:$D$92,'1900'!A664,'Daftar Koreksi'!$G$5:$G$92,"Kontruksi Dalam Pengerjaan",'Daftar Koreksi'!$H$5:$H$92,"&lt;0")-SUMIFS('Daftar Koreksi'!$H$5:$H$92,'Daftar Koreksi'!$D$5:$D$92,'1900'!A664,'Daftar Koreksi'!$G$5:$G$92,"Kontruksi Dalam Pengerjaan",'Daftar Koreksi'!$H$5:$H$92,"&lt;0")-SUMIFS('Daftar Koreksi'!$H$5:$H$92,'Daftar Koreksi'!$D$5:$D$92,'1900'!A664,'Daftar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0</v>
      </c>
      <c r="E674" s="25">
        <f>SUMIFS('Daftar Koreksi'!$H$5:$H$92,'Daftar Koreksi'!$D$5:$D$92,'1900'!A664,'Daftar Koreksi'!$G$5:$G$92,"Aset Tak Berwujud",'Daftar Koreksi'!$H$5:$H$92,"&gt;0")</f>
        <v>0</v>
      </c>
      <c r="F674" s="25">
        <f>SUMIFS('Daftar Koreksi'!$H$5:$H$92,'Daftar Koreksi'!$D$5:$D$92,'1900'!A664,'Daftar Koreksi'!$G$5:$G$92,"Aset Tak Berwujud",'Daftar Koreksi'!$H$5:$H$92,"&lt;0")-SUMIFS('Daftar Koreksi'!$H$5:$H$92,'Daftar Koreksi'!$D$5:$D$92,'1900'!A664,'Daftar Koreksi'!$G$5:$G$92,"Aset Tak Berwujud",'Daftar Koreksi'!$H$5:$H$92,"&lt;0")-SUMIFS('Daftar Koreksi'!$H$5:$H$92,'Daftar Koreksi'!$D$5:$D$92,'1900'!A664,'Daftar Koreksi'!$G$5:$G$92,"Aset Tak Berwujud",'Daftar Koreksi'!$H$5:$H$92,"&lt;0")</f>
        <v>0</v>
      </c>
      <c r="G674" s="17">
        <f t="shared" si="30"/>
        <v>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184808907</v>
      </c>
      <c r="E675" s="25">
        <f>SUMIFS('Daftar Koreksi'!$H$5:$H$92,'Daftar Koreksi'!$D$5:$D$92,'1900'!A664,'Daftar Koreksi'!$G$5:$G$92,"Aset Henti Guna",'Daftar Koreksi'!$H$5:$H$92,"&gt;0")</f>
        <v>0</v>
      </c>
      <c r="F675" s="25">
        <f>SUMIFS('Daftar Koreksi'!$H$5:$H$92,'Daftar Koreksi'!$D$5:$D$92,'1900'!A664,'Daftar Koreksi'!$G$5:$G$92,"Aset Henti Guna",'Daftar Koreksi'!$H$5:$H$92,"&lt;0")-SUMIFS('Daftar Koreksi'!$H$5:$H$92,'Daftar Koreksi'!$D$5:$D$92,'1900'!A664,'Daftar Koreksi'!$G$5:$G$92,"Aset Henti Guna",'Daftar Koreksi'!$H$5:$H$92,"&lt;0")-SUMIFS('Daftar Koreksi'!$H$5:$H$92,'Daftar Koreksi'!$D$5:$D$92,'1900'!A664,'Daftar Koreksi'!$G$5:$G$92,"Aset Henti Guna",'Daftar Koreksi'!$H$5:$H$92,"&lt;0")</f>
        <v>0</v>
      </c>
      <c r="G675" s="17">
        <f t="shared" si="30"/>
        <v>184808907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5293934158</v>
      </c>
      <c r="E676" s="19">
        <f>SUM(E667:E675)</f>
        <v>0</v>
      </c>
      <c r="F676" s="19">
        <f>SUM(F667:F675)</f>
        <v>0</v>
      </c>
      <c r="G676" s="19">
        <f t="shared" si="30"/>
        <v>5293934158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-1095609392</v>
      </c>
      <c r="E677" s="25">
        <f>SUMIFS('Daftar Koreksi'!$I$5:$I$92,'Daftar Koreksi'!$D$5:$D$92,'1900'!A664,'Daftar Koreksi'!$G$5:$G$92,"Peralatan dan mesin",'Daftar Koreksi'!$I$5:$I$92,"&gt;0")</f>
        <v>0</v>
      </c>
      <c r="F677" s="25">
        <f>SUMIFS('Daftar Koreksi'!$I$5:$I$92,'Daftar Koreksi'!$D$5:$D$92,'1900'!A664,'Daftar Koreksi'!$G$5:$G$92,"Peralatan dan mesin",'Daftar Koreksi'!$I$5:$I$92,"&lt;0")-SUMIFS('Daftar Koreksi'!$I$5:$I$92,'Daftar Koreksi'!$D$5:$D$92,'1900'!A664,'Daftar Koreksi'!$G$5:$G$92,"Peralatan dan mesin",'Daftar Koreksi'!$I$5:$I$92,"&lt;0")-SUMIFS('Daftar Koreksi'!$I$5:$I$92,'Daftar Koreksi'!$D$5:$D$92,'1900'!A664,'Daftar Koreksi'!$G$5:$G$92,"Peralatan dan mesin",'Daftar Koreksi'!$I$5:$I$92,"&lt;0")</f>
        <v>0</v>
      </c>
      <c r="G677" s="17">
        <f t="shared" si="30"/>
        <v>-1095609392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-696154401</v>
      </c>
      <c r="E678" s="25">
        <f>SUMIFS('Daftar Koreksi'!$I$5:$I$92,'Daftar Koreksi'!$D$5:$D$92,'1900'!A664,'Daftar Koreksi'!$G$5:$G$92,"Gedung dan Bangunan",'Daftar Koreksi'!$I$5:$I$92,"&gt;0")</f>
        <v>0</v>
      </c>
      <c r="F678" s="25">
        <f>SUMIFS('Daftar Koreksi'!$I$5:$I$92,'Daftar Koreksi'!$D$5:$D$92,'1900'!A664,'Daftar Koreksi'!$G$5:$G$92,"Gedung dan Bangunan",'Daftar Koreksi'!$I$5:$I$92,"&lt;0")-SUMIFS('Daftar Koreksi'!$I$5:$I$92,'Daftar Koreksi'!$D$5:$D$92,'1900'!A664,'Daftar Koreksi'!$G$5:$G$92,"Gedung dan Bangunan",'Daftar Koreksi'!$I$5:$I$92,"&lt;0")-SUMIFS('Daftar Koreksi'!$I$5:$I$92,'Daftar Koreksi'!$D$5:$D$92,'1900'!A664,'Daftar Koreksi'!$G$5:$G$92,"Gedung dan Bangunan",'Daftar Koreksi'!$I$5:$I$92,"&lt;0")</f>
        <v>0</v>
      </c>
      <c r="G678" s="17">
        <f t="shared" si="30"/>
        <v>-696154401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-5373625</v>
      </c>
      <c r="E679" s="25">
        <f>SUMIFS('Daftar Koreksi'!$I$5:$I$92,'Daftar Koreksi'!$D$5:$D$92,'1900'!A664,'Daftar Koreksi'!$G$5:$G$92,"Jalan Irigasi Jaringan",'Daftar Koreksi'!$I$5:$I$92,"&gt;0")</f>
        <v>0</v>
      </c>
      <c r="F679" s="25">
        <f>SUMIFS('Daftar Koreksi'!$I$5:$I$92,'Daftar Koreksi'!$D$5:$D$92,'1900'!A664,'Daftar Koreksi'!$G$5:$G$92,"Jalan Irigasi Jaringan",'Daftar Koreksi'!$I$5:$I$92,"&lt;0")-SUMIFS('Daftar Koreksi'!$I$5:$I$92,'Daftar Koreksi'!$D$5:$D$92,'1900'!A664,'Daftar Koreksi'!$G$5:$G$92,"Jalan Irigasi Jaringan",'Daftar Koreksi'!$I$5:$I$92,"&lt;0")-SUMIFS('Daftar Koreksi'!$I$5:$I$92,'Daftar Koreksi'!$D$5:$D$92,'1900'!A664,'Daftar Koreksi'!$G$5:$G$92,"Jalan Irigasi Jaringan",'Daftar Koreksi'!$I$5:$I$92,"&lt;0")</f>
        <v>0</v>
      </c>
      <c r="G679" s="17">
        <f t="shared" si="30"/>
        <v>-5373625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Koreksi'!$D$5:$D$92,'1900'!A664,'Daftar Koreksi'!$G$5:$G$92,"Aset Tetap Lainnya",'Daftar Koreksi'!$I$5:$I$92,"&gt;0")</f>
        <v>0</v>
      </c>
      <c r="F680" s="25">
        <f>SUMIFS('Daftar Koreksi'!$I$5:$I$92,'Daftar Koreksi'!$D$5:$D$92,'1900'!A664,'Daftar Koreksi'!$G$5:$G$92,"Aset Tetap Lainnya",'Daftar Koreksi'!$I$5:$I$92,"&lt;0")-SUMIFS('Daftar Koreksi'!$I$5:$I$92,'Daftar Koreksi'!$D$5:$D$92,'1900'!A664,'Daftar Koreksi'!$G$5:$G$92,"Aset Tetap Lainnya",'Daftar Koreksi'!$I$5:$I$92,"&lt;0")-SUMIFS('Daftar Koreksi'!$I$5:$I$92,'Daftar Koreksi'!$D$5:$D$92,'1900'!A664,'Daftar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-184808907</v>
      </c>
      <c r="E681" s="25">
        <f>SUMIFS('Daftar Koreksi'!$I$5:$I$92,'Daftar Koreksi'!$D$5:$D$92,'1900'!A664,'Daftar Koreksi'!$G$5:$G$92,"Aset Henti Guna",'Daftar Koreksi'!$I$5:$I$92,"&gt;0")</f>
        <v>0</v>
      </c>
      <c r="F681" s="25">
        <f>SUMIFS('Daftar Koreksi'!$I$5:$I$92,'Daftar Koreksi'!$D$5:$D$92,'1900'!A664,'Daftar Koreksi'!$G$5:$G$92,"Aset Henti Guna",'Daftar Koreksi'!$I$5:$I$92,"&lt;0")-SUMIFS('Daftar Koreksi'!$I$5:$I$92,'Daftar Koreksi'!$D$5:$D$92,'1900'!A664,'Daftar Koreksi'!$G$5:$G$92,"Aset Henti Guna",'Daftar Koreksi'!$I$5:$I$92,"&lt;0")-SUMIFS('Daftar Koreksi'!$I$5:$I$92,'Daftar Koreksi'!$D$5:$D$92,'1900'!A664,'Daftar Koreksi'!$G$5:$G$92,"Aset Henti Guna",'Daftar Koreksi'!$I$5:$I$92,"&lt;0")</f>
        <v>0</v>
      </c>
      <c r="G681" s="17">
        <f t="shared" si="30"/>
        <v>-184808907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-1981946325</v>
      </c>
      <c r="E682" s="19">
        <f>SUM(E677:E681)</f>
        <v>0</v>
      </c>
      <c r="F682" s="19">
        <f>SUM(F677:F681)</f>
        <v>0</v>
      </c>
      <c r="G682" s="19">
        <f t="shared" si="30"/>
        <v>-1981946325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3311987833</v>
      </c>
      <c r="E683" s="19">
        <f>E682+E676</f>
        <v>0</v>
      </c>
      <c r="F683" s="19">
        <f>F682+F676</f>
        <v>0</v>
      </c>
      <c r="G683" s="19">
        <f t="shared" si="30"/>
        <v>3311987833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005011900307520000KD</v>
      </c>
      <c r="B686" s="11" t="str">
        <f>P32</f>
        <v>PA. Watansoppeng</v>
      </c>
      <c r="C686" s="12" t="str">
        <f>A686&amp;" "&amp;B686</f>
        <v>005011900307520000KD PA. Watansoppeng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461000</v>
      </c>
      <c r="E689" s="25">
        <f>SUMIFS('Daftar Koreksi'!$H$5:$H$92,'Daftar Koreksi'!$D$5:$D$92,'1900'!A686,'Daftar Koreksi'!$G$5:$G$92,"Persediaan",'Daftar Koreksi'!$H$5:$H$92,"&gt;0")</f>
        <v>0</v>
      </c>
      <c r="F689" s="25">
        <f>SUMIFS('Daftar Koreksi'!$H$5:$H$92,'Daftar Koreksi'!$D$5:$D$92,'1900'!A686,'Daftar Koreksi'!$G$5:$G$92,"Persediaan",'Daftar Koreksi'!$H$5:$H$92,"&lt;0")-SUMIFS('Daftar Koreksi'!$H$5:$H$92,'Daftar Koreksi'!$D$5:$D$92,'1900'!A686,'Daftar Koreksi'!$G$5:$G$92,"Persediaan",'Daftar Koreksi'!$H$5:$H$92,"&lt;0")-SUMIFS('Daftar Koreksi'!$H$5:$H$92,'Daftar Koreksi'!$D$5:$D$92,'1900'!A686,'Daftar Koreksi'!$G$5:$G$92,"Persediaan",'Daftar Koreksi'!$H$5:$H$92,"&lt;0")</f>
        <v>0</v>
      </c>
      <c r="G689" s="17">
        <f>D689+E689-F689</f>
        <v>461000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1889500600</v>
      </c>
      <c r="E690" s="25">
        <f>SUMIFS('Daftar Koreksi'!$H$5:$H$92,'Daftar Koreksi'!$D$5:$D$92,'1900'!A686,'Daftar Koreksi'!$G$5:$G$92,"Tanah",'Daftar Koreksi'!$H$5:$H$92,"&gt;0")</f>
        <v>0</v>
      </c>
      <c r="F690" s="25">
        <f>SUMIFS('Daftar Koreksi'!$H$5:$H$92,'Daftar Koreksi'!$D$5:$D$92,'1900'!A686,'Daftar Koreksi'!$G$5:$G$92,"Tanah",'Daftar Koreksi'!$H$5:$H$92,"&lt;0")-SUMIFS('Daftar Koreksi'!$H$5:$H$92,'Daftar Koreksi'!$D$5:$D$92,'1900'!A686,'Daftar Koreksi'!$G$5:$G$92,"Tanah",'Daftar Koreksi'!$H$5:$H$92,"&lt;0")-SUMIFS('Daftar Koreksi'!$H$5:$H$92,'Daftar Koreksi'!$D$5:$D$92,'1900'!A686,'Daftar Koreksi'!$G$5:$G$92,"Tanah",'Daftar Koreksi'!$H$5:$H$92,"&lt;0")</f>
        <v>0</v>
      </c>
      <c r="G690" s="17">
        <f t="shared" ref="G690:G706" si="31">D690+E690-F690</f>
        <v>1889500600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1363015165</v>
      </c>
      <c r="E691" s="25">
        <f>SUMIFS('Daftar Koreksi'!$H$5:$H$92,'Daftar Koreksi'!$D$5:$D$92,'1900'!A686,'Daftar Koreksi'!$G$5:$G$92,"Peralatan dan mesin",'Daftar Koreksi'!$H$5:$H$92,"&gt;0")</f>
        <v>0</v>
      </c>
      <c r="F691" s="25">
        <f>SUMIFS('Daftar Koreksi'!$H$5:$H$92,'Daftar Koreksi'!$D$5:$D$92,'1900'!A686,'Daftar Koreksi'!$G$5:$G$92,"Peralatan dan mesin",'Daftar Koreksi'!$H$5:$H$92,"&lt;0")-SUMIFS('Daftar Koreksi'!$H$5:$H$92,'Daftar Koreksi'!$D$5:$D$92,'1900'!A686,'Daftar Koreksi'!$G$5:$G$92,"Peralatan dan mesin",'Daftar Koreksi'!$H$5:$H$92,"&lt;0")-SUMIFS('Daftar Koreksi'!$H$5:$H$92,'Daftar Koreksi'!$D$5:$D$92,'1900'!A686,'Daftar Koreksi'!$G$5:$G$92,"Peralatan dan mesin",'Daftar Koreksi'!$H$5:$H$92,"&lt;0")</f>
        <v>0</v>
      </c>
      <c r="G691" s="17">
        <f t="shared" si="31"/>
        <v>1363015165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3292239500</v>
      </c>
      <c r="E692" s="25">
        <f>SUMIFS('Daftar Koreksi'!$H$5:$H$92,'Daftar Koreksi'!$D$5:$D$92,'1900'!A686,'Daftar Koreksi'!$G$5:$G$92,"Gedung dan Bangunan",'Daftar Koreksi'!$H$5:$H$92,"&gt;0")</f>
        <v>0</v>
      </c>
      <c r="F692" s="25">
        <f>SUMIFS('Daftar Koreksi'!$H$5:$H$92,'Daftar Koreksi'!$D$5:$D$92,'1900'!A686,'Daftar Koreksi'!$G$5:$G$92,"Gedung dan Bangunan",'Daftar Koreksi'!$H$5:$H$92,"&lt;0")-SUMIFS('Daftar Koreksi'!$H$5:$H$92,'Daftar Koreksi'!$D$5:$D$92,'1900'!A686,'Daftar Koreksi'!$G$5:$G$92,"Gedung dan Bangunan",'Daftar Koreksi'!$H$5:$H$92,"&lt;0")-SUMIFS('Daftar Koreksi'!$H$5:$H$92,'Daftar Koreksi'!$D$5:$D$92,'1900'!A686,'Daftar Koreksi'!$G$5:$G$92,"Gedung dan Bangunan",'Daftar Koreksi'!$H$5:$H$92,"&lt;0")</f>
        <v>0</v>
      </c>
      <c r="G692" s="17">
        <f t="shared" si="31"/>
        <v>3292239500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0</v>
      </c>
      <c r="E693" s="25">
        <f>SUMIFS('Daftar Koreksi'!$H$5:$H$92,'Daftar Koreksi'!$D$5:$D$92,'1900'!A686,'Daftar Koreksi'!$G$5:$G$92,"Jalan Irigasi Jaringan",'Daftar Koreksi'!$H$5:$H$92,"&gt;0")</f>
        <v>0</v>
      </c>
      <c r="F693" s="25">
        <f>SUMIFS('Daftar Koreksi'!$H$5:$H$92,'Daftar Koreksi'!$D$5:$D$92,'1900'!A686,'Daftar Koreksi'!$G$5:$G$92,"Jalan Irigasi Jaringan",'Daftar Koreksi'!$H$5:$H$92,"&lt;0")-SUMIFS('Daftar Koreksi'!$H$5:$H$92,'Daftar Koreksi'!$D$5:$D$92,'1900'!A686,'Daftar Koreksi'!$G$5:$G$92,"Jalan Irigasi Jaringan",'Daftar Koreksi'!$H$5:$H$92,"&lt;0")-SUMIFS('Daftar Koreksi'!$H$5:$H$92,'Daftar Koreksi'!$D$5:$D$92,'1900'!A686,'Daftar Koreksi'!$G$5:$G$92,"Jalan Irigasi Jaringan",'Daftar Koreksi'!$H$5:$H$92,"&lt;0")</f>
        <v>0</v>
      </c>
      <c r="G693" s="17">
        <f t="shared" si="31"/>
        <v>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22940170</v>
      </c>
      <c r="E694" s="25">
        <f>SUMIFS('Daftar Koreksi'!$H$5:$H$92,'Daftar Koreksi'!$D$5:$D$92,'1900'!A686,'Daftar Koreksi'!$G$5:$G$92,"Aset Tetap Lainnya",'Daftar Koreksi'!$H$5:$H$92,"&gt;0")</f>
        <v>0</v>
      </c>
      <c r="F694" s="25">
        <f>SUMIFS('Daftar Koreksi'!$H$5:$H$92,'Daftar Koreksi'!$D$5:$D$92,'1900'!A686,'Daftar Koreksi'!$G$5:$G$92,"Aset Tetap Lainnya",'Daftar Koreksi'!$H$5:$H$92,"&lt;0")-SUMIFS('Daftar Koreksi'!$H$5:$H$92,'Daftar Koreksi'!$D$5:$D$92,'1900'!A686,'Daftar Koreksi'!$G$5:$G$92,"Aset Tetap Lainnya",'Daftar Koreksi'!$H$5:$H$92,"&lt;0")-SUMIFS('Daftar Koreksi'!$H$5:$H$92,'Daftar Koreksi'!$D$5:$D$92,'1900'!A686,'Daftar Koreksi'!$G$5:$G$92,"Aset Tetap Lainnya",'Daftar Koreksi'!$H$5:$H$92,"&lt;0")</f>
        <v>0</v>
      </c>
      <c r="G694" s="17">
        <f t="shared" si="31"/>
        <v>22940170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Koreksi'!$D$5:$D$92,'1900'!A686,'Daftar Koreksi'!$G$5:$G$92,"Kontruksi Dalam Pengerjaan",'Daftar Koreksi'!$H$5:$H$92,"&gt;0")</f>
        <v>0</v>
      </c>
      <c r="F695" s="25">
        <f>SUMIFS('Daftar Koreksi'!$H$5:$H$92,'Daftar Koreksi'!$D$5:$D$92,'1900'!A686,'Daftar Koreksi'!$G$5:$G$92,"Kontruksi Dalam Pengerjaan",'Daftar Koreksi'!$H$5:$H$92,"&lt;0")-SUMIFS('Daftar Koreksi'!$H$5:$H$92,'Daftar Koreksi'!$D$5:$D$92,'1900'!A686,'Daftar Koreksi'!$G$5:$G$92,"Kontruksi Dalam Pengerjaan",'Daftar Koreksi'!$H$5:$H$92,"&lt;0")-SUMIFS('Daftar Koreksi'!$H$5:$H$92,'Daftar Koreksi'!$D$5:$D$92,'1900'!A686,'Daftar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Koreksi'!$D$5:$D$92,'1900'!A686,'Daftar Koreksi'!$G$5:$G$92,"Aset Tak Berwujud",'Daftar Koreksi'!$H$5:$H$92,"&gt;0")</f>
        <v>0</v>
      </c>
      <c r="F696" s="25">
        <f>SUMIFS('Daftar Koreksi'!$H$5:$H$92,'Daftar Koreksi'!$D$5:$D$92,'1900'!A686,'Daftar Koreksi'!$G$5:$G$92,"Aset Tak Berwujud",'Daftar Koreksi'!$H$5:$H$92,"&lt;0")-SUMIFS('Daftar Koreksi'!$H$5:$H$92,'Daftar Koreksi'!$D$5:$D$92,'1900'!A686,'Daftar Koreksi'!$G$5:$G$92,"Aset Tak Berwujud",'Daftar Koreksi'!$H$5:$H$92,"&lt;0")-SUMIFS('Daftar Koreksi'!$H$5:$H$92,'Daftar Koreksi'!$D$5:$D$92,'1900'!A686,'Daftar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210319100</v>
      </c>
      <c r="E697" s="25">
        <f>SUMIFS('Daftar Koreksi'!$H$5:$H$92,'Daftar Koreksi'!$D$5:$D$92,'1900'!A686,'Daftar Koreksi'!$G$5:$G$92,"Aset Henti Guna",'Daftar Koreksi'!$H$5:$H$92,"&gt;0")</f>
        <v>0</v>
      </c>
      <c r="F697" s="25">
        <f>SUMIFS('Daftar Koreksi'!$H$5:$H$92,'Daftar Koreksi'!$D$5:$D$92,'1900'!A686,'Daftar Koreksi'!$G$5:$G$92,"Aset Henti Guna",'Daftar Koreksi'!$H$5:$H$92,"&lt;0")-SUMIFS('Daftar Koreksi'!$H$5:$H$92,'Daftar Koreksi'!$D$5:$D$92,'1900'!A686,'Daftar Koreksi'!$G$5:$G$92,"Aset Henti Guna",'Daftar Koreksi'!$H$5:$H$92,"&lt;0")-SUMIFS('Daftar Koreksi'!$H$5:$H$92,'Daftar Koreksi'!$D$5:$D$92,'1900'!A686,'Daftar Koreksi'!$G$5:$G$92,"Aset Henti Guna",'Daftar Koreksi'!$H$5:$H$92,"&lt;0")</f>
        <v>0</v>
      </c>
      <c r="G697" s="17">
        <f t="shared" si="31"/>
        <v>210319100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6778475535</v>
      </c>
      <c r="E698" s="19">
        <f>SUM(E689:E697)</f>
        <v>0</v>
      </c>
      <c r="F698" s="19">
        <f>SUM(F689:F697)</f>
        <v>0</v>
      </c>
      <c r="G698" s="19">
        <f t="shared" si="31"/>
        <v>6778475535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-1030465315</v>
      </c>
      <c r="E699" s="25">
        <f>SUMIFS('Daftar Koreksi'!$I$5:$I$92,'Daftar Koreksi'!$D$5:$D$92,'1900'!A686,'Daftar Koreksi'!$G$5:$G$92,"Peralatan dan mesin",'Daftar Koreksi'!$I$5:$I$92,"&gt;0")</f>
        <v>0</v>
      </c>
      <c r="F699" s="25">
        <f>SUMIFS('Daftar Koreksi'!$I$5:$I$92,'Daftar Koreksi'!$D$5:$D$92,'1900'!A686,'Daftar Koreksi'!$G$5:$G$92,"Peralatan dan mesin",'Daftar Koreksi'!$I$5:$I$92,"&lt;0")-SUMIFS('Daftar Koreksi'!$I$5:$I$92,'Daftar Koreksi'!$D$5:$D$92,'1900'!A686,'Daftar Koreksi'!$G$5:$G$92,"Peralatan dan mesin",'Daftar Koreksi'!$I$5:$I$92,"&lt;0")-SUMIFS('Daftar Koreksi'!$I$5:$I$92,'Daftar Koreksi'!$D$5:$D$92,'1900'!A686,'Daftar Koreksi'!$G$5:$G$92,"Peralatan dan mesin",'Daftar Koreksi'!$I$5:$I$92,"&lt;0")</f>
        <v>0</v>
      </c>
      <c r="G699" s="17">
        <f t="shared" si="31"/>
        <v>-1030465315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-423666580</v>
      </c>
      <c r="E700" s="25">
        <f>SUMIFS('Daftar Koreksi'!$I$5:$I$92,'Daftar Koreksi'!$D$5:$D$92,'1900'!A686,'Daftar Koreksi'!$G$5:$G$92,"Gedung dan Bangunan",'Daftar Koreksi'!$I$5:$I$92,"&gt;0")</f>
        <v>0</v>
      </c>
      <c r="F700" s="25">
        <f>SUMIFS('Daftar Koreksi'!$I$5:$I$92,'Daftar Koreksi'!$D$5:$D$92,'1900'!A686,'Daftar Koreksi'!$G$5:$G$92,"Gedung dan Bangunan",'Daftar Koreksi'!$I$5:$I$92,"&lt;0")-SUMIFS('Daftar Koreksi'!$I$5:$I$92,'Daftar Koreksi'!$D$5:$D$92,'1900'!A686,'Daftar Koreksi'!$G$5:$G$92,"Gedung dan Bangunan",'Daftar Koreksi'!$I$5:$I$92,"&lt;0")-SUMIFS('Daftar Koreksi'!$I$5:$I$92,'Daftar Koreksi'!$D$5:$D$92,'1900'!A686,'Daftar Koreksi'!$G$5:$G$92,"Gedung dan Bangunan",'Daftar Koreksi'!$I$5:$I$92,"&lt;0")</f>
        <v>0</v>
      </c>
      <c r="G700" s="17">
        <f t="shared" si="31"/>
        <v>-423666580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0</v>
      </c>
      <c r="E701" s="25">
        <f>SUMIFS('Daftar Koreksi'!$I$5:$I$92,'Daftar Koreksi'!$D$5:$D$92,'1900'!A686,'Daftar Koreksi'!$G$5:$G$92,"Jalan Irigasi Jaringan",'Daftar Koreksi'!$I$5:$I$92,"&gt;0")</f>
        <v>0</v>
      </c>
      <c r="F701" s="25">
        <f>SUMIFS('Daftar Koreksi'!$I$5:$I$92,'Daftar Koreksi'!$D$5:$D$92,'1900'!A686,'Daftar Koreksi'!$G$5:$G$92,"Jalan Irigasi Jaringan",'Daftar Koreksi'!$I$5:$I$92,"&lt;0")-SUMIFS('Daftar Koreksi'!$I$5:$I$92,'Daftar Koreksi'!$D$5:$D$92,'1900'!A686,'Daftar Koreksi'!$G$5:$G$92,"Jalan Irigasi Jaringan",'Daftar Koreksi'!$I$5:$I$92,"&lt;0")-SUMIFS('Daftar Koreksi'!$I$5:$I$92,'Daftar Koreksi'!$D$5:$D$92,'1900'!A686,'Daftar Koreksi'!$G$5:$G$92,"Jalan Irigasi Jaringan",'Daftar Koreksi'!$I$5:$I$92,"&lt;0")</f>
        <v>0</v>
      </c>
      <c r="G701" s="17">
        <f t="shared" si="31"/>
        <v>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Koreksi'!$D$5:$D$92,'1900'!A686,'Daftar Koreksi'!$G$5:$G$92,"Aset Tetap Lainnya",'Daftar Koreksi'!$I$5:$I$92,"&gt;0")</f>
        <v>0</v>
      </c>
      <c r="F702" s="25">
        <f>SUMIFS('Daftar Koreksi'!$I$5:$I$92,'Daftar Koreksi'!$D$5:$D$92,'1900'!A686,'Daftar Koreksi'!$G$5:$G$92,"Aset Tetap Lainnya",'Daftar Koreksi'!$I$5:$I$92,"&lt;0")-SUMIFS('Daftar Koreksi'!$I$5:$I$92,'Daftar Koreksi'!$D$5:$D$92,'1900'!A686,'Daftar Koreksi'!$G$5:$G$92,"Aset Tetap Lainnya",'Daftar Koreksi'!$I$5:$I$92,"&lt;0")-SUMIFS('Daftar Koreksi'!$I$5:$I$92,'Daftar Koreksi'!$D$5:$D$92,'1900'!A686,'Daftar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-205824275</v>
      </c>
      <c r="E703" s="25">
        <f>SUMIFS('Daftar Koreksi'!$I$5:$I$92,'Daftar Koreksi'!$D$5:$D$92,'1900'!A686,'Daftar Koreksi'!$G$5:$G$92,"Aset Henti Guna",'Daftar Koreksi'!$I$5:$I$92,"&gt;0")</f>
        <v>0</v>
      </c>
      <c r="F703" s="25">
        <f>SUMIFS('Daftar Koreksi'!$I$5:$I$92,'Daftar Koreksi'!$D$5:$D$92,'1900'!A686,'Daftar Koreksi'!$G$5:$G$92,"Aset Henti Guna",'Daftar Koreksi'!$I$5:$I$92,"&lt;0")-SUMIFS('Daftar Koreksi'!$I$5:$I$92,'Daftar Koreksi'!$D$5:$D$92,'1900'!A686,'Daftar Koreksi'!$G$5:$G$92,"Aset Henti Guna",'Daftar Koreksi'!$I$5:$I$92,"&lt;0")-SUMIFS('Daftar Koreksi'!$I$5:$I$92,'Daftar Koreksi'!$D$5:$D$92,'1900'!A686,'Daftar Koreksi'!$G$5:$G$92,"Aset Henti Guna",'Daftar Koreksi'!$I$5:$I$92,"&lt;0")</f>
        <v>0</v>
      </c>
      <c r="G703" s="17">
        <f t="shared" si="31"/>
        <v>-205824275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-1659956170</v>
      </c>
      <c r="E704" s="19">
        <f>SUM(E699:E703)</f>
        <v>0</v>
      </c>
      <c r="F704" s="19">
        <f>SUM(F699:F703)</f>
        <v>0</v>
      </c>
      <c r="G704" s="19">
        <f t="shared" si="31"/>
        <v>-1659956170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5118519365</v>
      </c>
      <c r="E705" s="19">
        <f>E704+E698</f>
        <v>0</v>
      </c>
      <c r="F705" s="19">
        <f>F704+F698</f>
        <v>0</v>
      </c>
      <c r="G705" s="19">
        <f t="shared" si="31"/>
        <v>5118519365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005011900307534000KD</v>
      </c>
      <c r="B708" s="11" t="str">
        <f>P33</f>
        <v>PA. Bantaeng</v>
      </c>
      <c r="C708" s="12" t="str">
        <f>A708&amp;" "&amp;B708</f>
        <v>005011900307534000KD PA. Bantaeng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95000</v>
      </c>
      <c r="E711" s="25">
        <f>SUMIFS('Daftar Koreksi'!$H$5:$H$92,'Daftar Koreksi'!$D$5:$D$92,'1900'!A708,'Daftar Koreksi'!$G$5:$G$92,"Persediaan",'Daftar Koreksi'!$H$5:$H$92,"&gt;0")</f>
        <v>0</v>
      </c>
      <c r="F711" s="25">
        <f>SUMIFS('Daftar Koreksi'!$H$5:$H$92,'Daftar Koreksi'!$D$5:$D$92,'1900'!A708,'Daftar Koreksi'!$G$5:$G$92,"Persediaan",'Daftar Koreksi'!$H$5:$H$92,"&lt;0")-SUMIFS('Daftar Koreksi'!$H$5:$H$92,'Daftar Koreksi'!$D$5:$D$92,'1900'!A708,'Daftar Koreksi'!$G$5:$G$92,"Persediaan",'Daftar Koreksi'!$H$5:$H$92,"&lt;0")-SUMIFS('Daftar Koreksi'!$H$5:$H$92,'Daftar Koreksi'!$D$5:$D$92,'1900'!A708,'Daftar Koreksi'!$G$5:$G$92,"Persediaan",'Daftar Koreksi'!$H$5:$H$92,"&lt;0")</f>
        <v>0</v>
      </c>
      <c r="G711" s="17">
        <f>D711+E711-F711</f>
        <v>95000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677556000</v>
      </c>
      <c r="E712" s="25">
        <f>SUMIFS('Daftar Koreksi'!$H$5:$H$92,'Daftar Koreksi'!$D$5:$D$92,'1900'!A708,'Daftar Koreksi'!$G$5:$G$92,"Tanah",'Daftar Koreksi'!$H$5:$H$92,"&gt;0")</f>
        <v>0</v>
      </c>
      <c r="F712" s="25">
        <f>SUMIFS('Daftar Koreksi'!$H$5:$H$92,'Daftar Koreksi'!$D$5:$D$92,'1900'!A708,'Daftar Koreksi'!$G$5:$G$92,"Tanah",'Daftar Koreksi'!$H$5:$H$92,"&lt;0")-SUMIFS('Daftar Koreksi'!$H$5:$H$92,'Daftar Koreksi'!$D$5:$D$92,'1900'!A708,'Daftar Koreksi'!$G$5:$G$92,"Tanah",'Daftar Koreksi'!$H$5:$H$92,"&lt;0")-SUMIFS('Daftar Koreksi'!$H$5:$H$92,'Daftar Koreksi'!$D$5:$D$92,'1900'!A708,'Daftar Koreksi'!$G$5:$G$92,"Tanah",'Daftar Koreksi'!$H$5:$H$92,"&lt;0")</f>
        <v>0</v>
      </c>
      <c r="G712" s="17">
        <f t="shared" ref="G712:G728" si="32">D712+E712-F712</f>
        <v>677556000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1137707882</v>
      </c>
      <c r="E713" s="25">
        <f>SUMIFS('Daftar Koreksi'!$H$5:$H$92,'Daftar Koreksi'!$D$5:$D$92,'1900'!A708,'Daftar Koreksi'!$G$5:$G$92,"Peralatan dan mesin",'Daftar Koreksi'!$H$5:$H$92,"&gt;0")</f>
        <v>0</v>
      </c>
      <c r="F713" s="25">
        <f>SUMIFS('Daftar Koreksi'!$H$5:$H$92,'Daftar Koreksi'!$D$5:$D$92,'1900'!A708,'Daftar Koreksi'!$G$5:$G$92,"Peralatan dan mesin",'Daftar Koreksi'!$H$5:$H$92,"&lt;0")-SUMIFS('Daftar Koreksi'!$H$5:$H$92,'Daftar Koreksi'!$D$5:$D$92,'1900'!A708,'Daftar Koreksi'!$G$5:$G$92,"Peralatan dan mesin",'Daftar Koreksi'!$H$5:$H$92,"&lt;0")-SUMIFS('Daftar Koreksi'!$H$5:$H$92,'Daftar Koreksi'!$D$5:$D$92,'1900'!A708,'Daftar Koreksi'!$G$5:$G$92,"Peralatan dan mesin",'Daftar Koreksi'!$H$5:$H$92,"&lt;0")</f>
        <v>0</v>
      </c>
      <c r="G713" s="17">
        <f t="shared" si="32"/>
        <v>1137707882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3566030650</v>
      </c>
      <c r="E714" s="25">
        <f>SUMIFS('Daftar Koreksi'!$H$5:$H$92,'Daftar Koreksi'!$D$5:$D$92,'1900'!A708,'Daftar Koreksi'!$G$5:$G$92,"Gedung dan Bangunan",'Daftar Koreksi'!$H$5:$H$92,"&gt;0")</f>
        <v>0</v>
      </c>
      <c r="F714" s="25">
        <f>SUMIFS('Daftar Koreksi'!$H$5:$H$92,'Daftar Koreksi'!$D$5:$D$92,'1900'!A708,'Daftar Koreksi'!$G$5:$G$92,"Gedung dan Bangunan",'Daftar Koreksi'!$H$5:$H$92,"&lt;0")-SUMIFS('Daftar Koreksi'!$H$5:$H$92,'Daftar Koreksi'!$D$5:$D$92,'1900'!A708,'Daftar Koreksi'!$G$5:$G$92,"Gedung dan Bangunan",'Daftar Koreksi'!$H$5:$H$92,"&lt;0")-SUMIFS('Daftar Koreksi'!$H$5:$H$92,'Daftar Koreksi'!$D$5:$D$92,'1900'!A708,'Daftar Koreksi'!$G$5:$G$92,"Gedung dan Bangunan",'Daftar Koreksi'!$H$5:$H$92,"&lt;0")</f>
        <v>0</v>
      </c>
      <c r="G714" s="17">
        <f t="shared" si="32"/>
        <v>3566030650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69200000</v>
      </c>
      <c r="E715" s="25">
        <f>SUMIFS('Daftar Koreksi'!$H$5:$H$92,'Daftar Koreksi'!$D$5:$D$92,'1900'!A708,'Daftar Koreksi'!$G$5:$G$92,"Jalan Irigasi Jaringan",'Daftar Koreksi'!$H$5:$H$92,"&gt;0")</f>
        <v>0</v>
      </c>
      <c r="F715" s="25">
        <f>SUMIFS('Daftar Koreksi'!$H$5:$H$92,'Daftar Koreksi'!$D$5:$D$92,'1900'!A708,'Daftar Koreksi'!$G$5:$G$92,"Jalan Irigasi Jaringan",'Daftar Koreksi'!$H$5:$H$92,"&lt;0")-SUMIFS('Daftar Koreksi'!$H$5:$H$92,'Daftar Koreksi'!$D$5:$D$92,'1900'!A708,'Daftar Koreksi'!$G$5:$G$92,"Jalan Irigasi Jaringan",'Daftar Koreksi'!$H$5:$H$92,"&lt;0")-SUMIFS('Daftar Koreksi'!$H$5:$H$92,'Daftar Koreksi'!$D$5:$D$92,'1900'!A708,'Daftar Koreksi'!$G$5:$G$92,"Jalan Irigasi Jaringan",'Daftar Koreksi'!$H$5:$H$92,"&lt;0")</f>
        <v>0</v>
      </c>
      <c r="G715" s="17">
        <f t="shared" si="32"/>
        <v>69200000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16629235</v>
      </c>
      <c r="E716" s="25">
        <f>SUMIFS('Daftar Koreksi'!$H$5:$H$92,'Daftar Koreksi'!$D$5:$D$92,'1900'!A708,'Daftar Koreksi'!$G$5:$G$92,"Aset Tetap Lainnya",'Daftar Koreksi'!$H$5:$H$92,"&gt;0")</f>
        <v>0</v>
      </c>
      <c r="F716" s="25">
        <f>SUMIFS('Daftar Koreksi'!$H$5:$H$92,'Daftar Koreksi'!$D$5:$D$92,'1900'!A708,'Daftar Koreksi'!$G$5:$G$92,"Aset Tetap Lainnya",'Daftar Koreksi'!$H$5:$H$92,"&lt;0")-SUMIFS('Daftar Koreksi'!$H$5:$H$92,'Daftar Koreksi'!$D$5:$D$92,'1900'!A708,'Daftar Koreksi'!$G$5:$G$92,"Aset Tetap Lainnya",'Daftar Koreksi'!$H$5:$H$92,"&lt;0")-SUMIFS('Daftar Koreksi'!$H$5:$H$92,'Daftar Koreksi'!$D$5:$D$92,'1900'!A708,'Daftar Koreksi'!$G$5:$G$92,"Aset Tetap Lainnya",'Daftar Koreksi'!$H$5:$H$92,"&lt;0")</f>
        <v>0</v>
      </c>
      <c r="G716" s="17">
        <f t="shared" si="32"/>
        <v>16629235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Koreksi'!$D$5:$D$92,'1900'!A708,'Daftar Koreksi'!$G$5:$G$92,"Kontruksi Dalam Pengerjaan",'Daftar Koreksi'!$H$5:$H$92,"&gt;0")</f>
        <v>0</v>
      </c>
      <c r="F717" s="25">
        <f>SUMIFS('Daftar Koreksi'!$H$5:$H$92,'Daftar Koreksi'!$D$5:$D$92,'1900'!A708,'Daftar Koreksi'!$G$5:$G$92,"Kontruksi Dalam Pengerjaan",'Daftar Koreksi'!$H$5:$H$92,"&lt;0")-SUMIFS('Daftar Koreksi'!$H$5:$H$92,'Daftar Koreksi'!$D$5:$D$92,'1900'!A708,'Daftar Koreksi'!$G$5:$G$92,"Kontruksi Dalam Pengerjaan",'Daftar Koreksi'!$H$5:$H$92,"&lt;0")-SUMIFS('Daftar Koreksi'!$H$5:$H$92,'Daftar Koreksi'!$D$5:$D$92,'1900'!A708,'Daftar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Koreksi'!$D$5:$D$92,'1900'!A708,'Daftar Koreksi'!$G$5:$G$92,"Aset Tak Berwujud",'Daftar Koreksi'!$H$5:$H$92,"&gt;0")</f>
        <v>0</v>
      </c>
      <c r="F718" s="25">
        <f>SUMIFS('Daftar Koreksi'!$H$5:$H$92,'Daftar Koreksi'!$D$5:$D$92,'1900'!A708,'Daftar Koreksi'!$G$5:$G$92,"Aset Tak Berwujud",'Daftar Koreksi'!$H$5:$H$92,"&lt;0")-SUMIFS('Daftar Koreksi'!$H$5:$H$92,'Daftar Koreksi'!$D$5:$D$92,'1900'!A708,'Daftar Koreksi'!$G$5:$G$92,"Aset Tak Berwujud",'Daftar Koreksi'!$H$5:$H$92,"&lt;0")-SUMIFS('Daftar Koreksi'!$H$5:$H$92,'Daftar Koreksi'!$D$5:$D$92,'1900'!A708,'Daftar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0</v>
      </c>
      <c r="E719" s="25">
        <f>SUMIFS('Daftar Koreksi'!$H$5:$H$92,'Daftar Koreksi'!$D$5:$D$92,'1900'!A708,'Daftar Koreksi'!$G$5:$G$92,"Aset Henti Guna",'Daftar Koreksi'!$H$5:$H$92,"&gt;0")</f>
        <v>0</v>
      </c>
      <c r="F719" s="25">
        <f>SUMIFS('Daftar Koreksi'!$H$5:$H$92,'Daftar Koreksi'!$D$5:$D$92,'1900'!A708,'Daftar Koreksi'!$G$5:$G$92,"Aset Henti Guna",'Daftar Koreksi'!$H$5:$H$92,"&lt;0")-SUMIFS('Daftar Koreksi'!$H$5:$H$92,'Daftar Koreksi'!$D$5:$D$92,'1900'!A708,'Daftar Koreksi'!$G$5:$G$92,"Aset Henti Guna",'Daftar Koreksi'!$H$5:$H$92,"&lt;0")-SUMIFS('Daftar Koreksi'!$H$5:$H$92,'Daftar Koreksi'!$D$5:$D$92,'1900'!A708,'Daftar Koreksi'!$G$5:$G$92,"Aset Henti Guna",'Daftar Koreksi'!$H$5:$H$92,"&lt;0")</f>
        <v>0</v>
      </c>
      <c r="G719" s="17">
        <f t="shared" si="32"/>
        <v>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5467218767</v>
      </c>
      <c r="E720" s="19">
        <f>SUM(E711:E719)</f>
        <v>0</v>
      </c>
      <c r="F720" s="19">
        <f>SUM(F711:F719)</f>
        <v>0</v>
      </c>
      <c r="G720" s="19">
        <f t="shared" si="32"/>
        <v>5467218767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-952385253</v>
      </c>
      <c r="E721" s="25">
        <f>SUMIFS('Daftar Koreksi'!$I$5:$I$92,'Daftar Koreksi'!$D$5:$D$92,'1900'!A708,'Daftar Koreksi'!$G$5:$G$92,"Peralatan dan mesin",'Daftar Koreksi'!$I$5:$I$92,"&gt;0")</f>
        <v>0</v>
      </c>
      <c r="F721" s="25">
        <f>SUMIFS('Daftar Koreksi'!$I$5:$I$92,'Daftar Koreksi'!$D$5:$D$92,'1900'!A708,'Daftar Koreksi'!$G$5:$G$92,"Peralatan dan mesin",'Daftar Koreksi'!$I$5:$I$92,"&lt;0")-SUMIFS('Daftar Koreksi'!$I$5:$I$92,'Daftar Koreksi'!$D$5:$D$92,'1900'!A708,'Daftar Koreksi'!$G$5:$G$92,"Peralatan dan mesin",'Daftar Koreksi'!$I$5:$I$92,"&lt;0")-SUMIFS('Daftar Koreksi'!$I$5:$I$92,'Daftar Koreksi'!$D$5:$D$92,'1900'!A708,'Daftar Koreksi'!$G$5:$G$92,"Peralatan dan mesin",'Daftar Koreksi'!$I$5:$I$92,"&lt;0")</f>
        <v>0</v>
      </c>
      <c r="G721" s="17">
        <f t="shared" si="32"/>
        <v>-952385253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-489503025</v>
      </c>
      <c r="E722" s="25">
        <f>SUMIFS('Daftar Koreksi'!$I$5:$I$92,'Daftar Koreksi'!$D$5:$D$92,'1900'!A708,'Daftar Koreksi'!$G$5:$G$92,"Gedung dan Bangunan",'Daftar Koreksi'!$I$5:$I$92,"&gt;0")</f>
        <v>0</v>
      </c>
      <c r="F722" s="25">
        <f>SUMIFS('Daftar Koreksi'!$I$5:$I$92,'Daftar Koreksi'!$D$5:$D$92,'1900'!A708,'Daftar Koreksi'!$G$5:$G$92,"Gedung dan Bangunan",'Daftar Koreksi'!$I$5:$I$92,"&lt;0")-SUMIFS('Daftar Koreksi'!$I$5:$I$92,'Daftar Koreksi'!$D$5:$D$92,'1900'!A708,'Daftar Koreksi'!$G$5:$G$92,"Gedung dan Bangunan",'Daftar Koreksi'!$I$5:$I$92,"&lt;0")-SUMIFS('Daftar Koreksi'!$I$5:$I$92,'Daftar Koreksi'!$D$5:$D$92,'1900'!A708,'Daftar Koreksi'!$G$5:$G$92,"Gedung dan Bangunan",'Daftar Koreksi'!$I$5:$I$92,"&lt;0")</f>
        <v>0</v>
      </c>
      <c r="G722" s="17">
        <f t="shared" si="32"/>
        <v>-489503025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-10380000</v>
      </c>
      <c r="E723" s="25">
        <f>SUMIFS('Daftar Koreksi'!$I$5:$I$92,'Daftar Koreksi'!$D$5:$D$92,'1900'!A708,'Daftar Koreksi'!$G$5:$G$92,"Jalan Irigasi Jaringan",'Daftar Koreksi'!$I$5:$I$92,"&gt;0")</f>
        <v>0</v>
      </c>
      <c r="F723" s="25">
        <f>SUMIFS('Daftar Koreksi'!$I$5:$I$92,'Daftar Koreksi'!$D$5:$D$92,'1900'!A708,'Daftar Koreksi'!$G$5:$G$92,"Jalan Irigasi Jaringan",'Daftar Koreksi'!$I$5:$I$92,"&lt;0")-SUMIFS('Daftar Koreksi'!$I$5:$I$92,'Daftar Koreksi'!$D$5:$D$92,'1900'!A708,'Daftar Koreksi'!$G$5:$G$92,"Jalan Irigasi Jaringan",'Daftar Koreksi'!$I$5:$I$92,"&lt;0")-SUMIFS('Daftar Koreksi'!$I$5:$I$92,'Daftar Koreksi'!$D$5:$D$92,'1900'!A708,'Daftar Koreksi'!$G$5:$G$92,"Jalan Irigasi Jaringan",'Daftar Koreksi'!$I$5:$I$92,"&lt;0")</f>
        <v>0</v>
      </c>
      <c r="G723" s="17">
        <f t="shared" si="32"/>
        <v>-10380000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Koreksi'!$D$5:$D$92,'1900'!A708,'Daftar Koreksi'!$G$5:$G$92,"Aset Tetap Lainnya",'Daftar Koreksi'!$I$5:$I$92,"&gt;0")</f>
        <v>0</v>
      </c>
      <c r="F724" s="25">
        <f>SUMIFS('Daftar Koreksi'!$I$5:$I$92,'Daftar Koreksi'!$D$5:$D$92,'1900'!A708,'Daftar Koreksi'!$G$5:$G$92,"Aset Tetap Lainnya",'Daftar Koreksi'!$I$5:$I$92,"&lt;0")-SUMIFS('Daftar Koreksi'!$I$5:$I$92,'Daftar Koreksi'!$D$5:$D$92,'1900'!A708,'Daftar Koreksi'!$G$5:$G$92,"Aset Tetap Lainnya",'Daftar Koreksi'!$I$5:$I$92,"&lt;0")-SUMIFS('Daftar Koreksi'!$I$5:$I$92,'Daftar Koreksi'!$D$5:$D$92,'1900'!A708,'Daftar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0</v>
      </c>
      <c r="E725" s="25">
        <f>SUMIFS('Daftar Koreksi'!$I$5:$I$92,'Daftar Koreksi'!$D$5:$D$92,'1900'!A708,'Daftar Koreksi'!$G$5:$G$92,"Aset Henti Guna",'Daftar Koreksi'!$I$5:$I$92,"&gt;0")</f>
        <v>0</v>
      </c>
      <c r="F725" s="25">
        <f>SUMIFS('Daftar Koreksi'!$I$5:$I$92,'Daftar Koreksi'!$D$5:$D$92,'1900'!A708,'Daftar Koreksi'!$G$5:$G$92,"Aset Henti Guna",'Daftar Koreksi'!$I$5:$I$92,"&lt;0")-SUMIFS('Daftar Koreksi'!$I$5:$I$92,'Daftar Koreksi'!$D$5:$D$92,'1900'!A708,'Daftar Koreksi'!$G$5:$G$92,"Aset Henti Guna",'Daftar Koreksi'!$I$5:$I$92,"&lt;0")-SUMIFS('Daftar Koreksi'!$I$5:$I$92,'Daftar Koreksi'!$D$5:$D$92,'1900'!A708,'Daftar Koreksi'!$G$5:$G$92,"Aset Henti Guna",'Daftar Koreksi'!$I$5:$I$92,"&lt;0")</f>
        <v>0</v>
      </c>
      <c r="G725" s="17">
        <f t="shared" si="32"/>
        <v>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-1452268278</v>
      </c>
      <c r="E726" s="19">
        <f>SUM(E721:E725)</f>
        <v>0</v>
      </c>
      <c r="F726" s="19">
        <f>SUM(F721:F725)</f>
        <v>0</v>
      </c>
      <c r="G726" s="19">
        <f t="shared" si="32"/>
        <v>-1452268278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4014950489</v>
      </c>
      <c r="E727" s="19">
        <f>E726+E720</f>
        <v>0</v>
      </c>
      <c r="F727" s="19">
        <f>F726+F720</f>
        <v>0</v>
      </c>
      <c r="G727" s="19">
        <f t="shared" si="32"/>
        <v>4014950489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005011900307541000KD</v>
      </c>
      <c r="B730" s="11" t="str">
        <f>P34</f>
        <v>PA. Bulukumba</v>
      </c>
      <c r="C730" s="12" t="str">
        <f>A730&amp;" "&amp;B730</f>
        <v>005011900307541000KD PA. Bulukumba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83000</v>
      </c>
      <c r="E733" s="25">
        <f>SUMIFS('Daftar Koreksi'!$H$5:$H$92,'Daftar Koreksi'!$D$5:$D$92,'1900'!A730,'Daftar Koreksi'!$G$5:$G$92,"Persediaan",'Daftar Koreksi'!$H$5:$H$92,"&gt;0")</f>
        <v>0</v>
      </c>
      <c r="F733" s="25">
        <f>SUMIFS('Daftar Koreksi'!$H$5:$H$92,'Daftar Koreksi'!$D$5:$D$92,'1900'!A730,'Daftar Koreksi'!$G$5:$G$92,"Persediaan",'Daftar Koreksi'!$H$5:$H$92,"&lt;0")-SUMIFS('Daftar Koreksi'!$H$5:$H$92,'Daftar Koreksi'!$D$5:$D$92,'1900'!A730,'Daftar Koreksi'!$G$5:$G$92,"Persediaan",'Daftar Koreksi'!$H$5:$H$92,"&lt;0")-SUMIFS('Daftar Koreksi'!$H$5:$H$92,'Daftar Koreksi'!$D$5:$D$92,'1900'!A730,'Daftar Koreksi'!$G$5:$G$92,"Persediaan",'Daftar Koreksi'!$H$5:$H$92,"&lt;0")</f>
        <v>0</v>
      </c>
      <c r="G733" s="17">
        <f>D733+E733-F733</f>
        <v>83000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1287200000</v>
      </c>
      <c r="E734" s="25">
        <f>SUMIFS('Daftar Koreksi'!$H$5:$H$92,'Daftar Koreksi'!$D$5:$D$92,'1900'!A730,'Daftar Koreksi'!$G$5:$G$92,"Tanah",'Daftar Koreksi'!$H$5:$H$92,"&gt;0")</f>
        <v>0</v>
      </c>
      <c r="F734" s="25">
        <f>SUMIFS('Daftar Koreksi'!$H$5:$H$92,'Daftar Koreksi'!$D$5:$D$92,'1900'!A730,'Daftar Koreksi'!$G$5:$G$92,"Tanah",'Daftar Koreksi'!$H$5:$H$92,"&lt;0")-SUMIFS('Daftar Koreksi'!$H$5:$H$92,'Daftar Koreksi'!$D$5:$D$92,'1900'!A730,'Daftar Koreksi'!$G$5:$G$92,"Tanah",'Daftar Koreksi'!$H$5:$H$92,"&lt;0")-SUMIFS('Daftar Koreksi'!$H$5:$H$92,'Daftar Koreksi'!$D$5:$D$92,'1900'!A730,'Daftar Koreksi'!$G$5:$G$92,"Tanah",'Daftar Koreksi'!$H$5:$H$92,"&lt;0")</f>
        <v>0</v>
      </c>
      <c r="G734" s="17">
        <f t="shared" ref="G734:G750" si="33">D734+E734-F734</f>
        <v>1287200000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1593813554</v>
      </c>
      <c r="E735" s="25">
        <f>SUMIFS('Daftar Koreksi'!$H$5:$H$92,'Daftar Koreksi'!$D$5:$D$92,'1900'!A730,'Daftar Koreksi'!$G$5:$G$92,"Peralatan dan mesin",'Daftar Koreksi'!$H$5:$H$92,"&gt;0")</f>
        <v>0</v>
      </c>
      <c r="F735" s="25">
        <f>SUMIFS('Daftar Koreksi'!$H$5:$H$92,'Daftar Koreksi'!$D$5:$D$92,'1900'!A730,'Daftar Koreksi'!$G$5:$G$92,"Peralatan dan mesin",'Daftar Koreksi'!$H$5:$H$92,"&lt;0")-SUMIFS('Daftar Koreksi'!$H$5:$H$92,'Daftar Koreksi'!$D$5:$D$92,'1900'!A730,'Daftar Koreksi'!$G$5:$G$92,"Peralatan dan mesin",'Daftar Koreksi'!$H$5:$H$92,"&lt;0")-SUMIFS('Daftar Koreksi'!$H$5:$H$92,'Daftar Koreksi'!$D$5:$D$92,'1900'!A730,'Daftar Koreksi'!$G$5:$G$92,"Peralatan dan mesin",'Daftar Koreksi'!$H$5:$H$92,"&lt;0")</f>
        <v>0</v>
      </c>
      <c r="G735" s="17">
        <f t="shared" si="33"/>
        <v>1593813554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4067617900</v>
      </c>
      <c r="E736" s="25">
        <f>SUMIFS('Daftar Koreksi'!$H$5:$H$92,'Daftar Koreksi'!$D$5:$D$92,'1900'!A730,'Daftar Koreksi'!$G$5:$G$92,"Gedung dan Bangunan",'Daftar Koreksi'!$H$5:$H$92,"&gt;0")</f>
        <v>0</v>
      </c>
      <c r="F736" s="25">
        <f>SUMIFS('Daftar Koreksi'!$H$5:$H$92,'Daftar Koreksi'!$D$5:$D$92,'1900'!A730,'Daftar Koreksi'!$G$5:$G$92,"Gedung dan Bangunan",'Daftar Koreksi'!$H$5:$H$92,"&lt;0")-SUMIFS('Daftar Koreksi'!$H$5:$H$92,'Daftar Koreksi'!$D$5:$D$92,'1900'!A730,'Daftar Koreksi'!$G$5:$G$92,"Gedung dan Bangunan",'Daftar Koreksi'!$H$5:$H$92,"&lt;0")-SUMIFS('Daftar Koreksi'!$H$5:$H$92,'Daftar Koreksi'!$D$5:$D$92,'1900'!A730,'Daftar Koreksi'!$G$5:$G$92,"Gedung dan Bangunan",'Daftar Koreksi'!$H$5:$H$92,"&lt;0")</f>
        <v>0</v>
      </c>
      <c r="G736" s="17">
        <f t="shared" si="33"/>
        <v>4067617900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0</v>
      </c>
      <c r="E737" s="25">
        <f>SUMIFS('Daftar Koreksi'!$H$5:$H$92,'Daftar Koreksi'!$D$5:$D$92,'1900'!A730,'Daftar Koreksi'!$G$5:$G$92,"Jalan Irigasi Jaringan",'Daftar Koreksi'!$H$5:$H$92,"&gt;0")</f>
        <v>0</v>
      </c>
      <c r="F737" s="25">
        <f>SUMIFS('Daftar Koreksi'!$H$5:$H$92,'Daftar Koreksi'!$D$5:$D$92,'1900'!A730,'Daftar Koreksi'!$G$5:$G$92,"Jalan Irigasi Jaringan",'Daftar Koreksi'!$H$5:$H$92,"&lt;0")-SUMIFS('Daftar Koreksi'!$H$5:$H$92,'Daftar Koreksi'!$D$5:$D$92,'1900'!A730,'Daftar Koreksi'!$G$5:$G$92,"Jalan Irigasi Jaringan",'Daftar Koreksi'!$H$5:$H$92,"&lt;0")-SUMIFS('Daftar Koreksi'!$H$5:$H$92,'Daftar Koreksi'!$D$5:$D$92,'1900'!A730,'Daftar Koreksi'!$G$5:$G$92,"Jalan Irigasi Jaringan",'Daftar Koreksi'!$H$5:$H$92,"&lt;0")</f>
        <v>0</v>
      </c>
      <c r="G737" s="17">
        <f t="shared" si="33"/>
        <v>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4941048</v>
      </c>
      <c r="E738" s="25">
        <f>SUMIFS('Daftar Koreksi'!$H$5:$H$92,'Daftar Koreksi'!$D$5:$D$92,'1900'!A730,'Daftar Koreksi'!$G$5:$G$92,"Aset Tetap Lainnya",'Daftar Koreksi'!$H$5:$H$92,"&gt;0")</f>
        <v>0</v>
      </c>
      <c r="F738" s="25">
        <f>SUMIFS('Daftar Koreksi'!$H$5:$H$92,'Daftar Koreksi'!$D$5:$D$92,'1900'!A730,'Daftar Koreksi'!$G$5:$G$92,"Aset Tetap Lainnya",'Daftar Koreksi'!$H$5:$H$92,"&lt;0")-SUMIFS('Daftar Koreksi'!$H$5:$H$92,'Daftar Koreksi'!$D$5:$D$92,'1900'!A730,'Daftar Koreksi'!$G$5:$G$92,"Aset Tetap Lainnya",'Daftar Koreksi'!$H$5:$H$92,"&lt;0")-SUMIFS('Daftar Koreksi'!$H$5:$H$92,'Daftar Koreksi'!$D$5:$D$92,'1900'!A730,'Daftar Koreksi'!$G$5:$G$92,"Aset Tetap Lainnya",'Daftar Koreksi'!$H$5:$H$92,"&lt;0")</f>
        <v>0</v>
      </c>
      <c r="G738" s="17">
        <f t="shared" si="33"/>
        <v>4941048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Koreksi'!$D$5:$D$92,'1900'!A730,'Daftar Koreksi'!$G$5:$G$92,"Kontruksi Dalam Pengerjaan",'Daftar Koreksi'!$H$5:$H$92,"&gt;0")</f>
        <v>0</v>
      </c>
      <c r="F739" s="25">
        <f>SUMIFS('Daftar Koreksi'!$H$5:$H$92,'Daftar Koreksi'!$D$5:$D$92,'1900'!A730,'Daftar Koreksi'!$G$5:$G$92,"Kontruksi Dalam Pengerjaan",'Daftar Koreksi'!$H$5:$H$92,"&lt;0")-SUMIFS('Daftar Koreksi'!$H$5:$H$92,'Daftar Koreksi'!$D$5:$D$92,'1900'!A730,'Daftar Koreksi'!$G$5:$G$92,"Kontruksi Dalam Pengerjaan",'Daftar Koreksi'!$H$5:$H$92,"&lt;0")-SUMIFS('Daftar Koreksi'!$H$5:$H$92,'Daftar Koreksi'!$D$5:$D$92,'1900'!A730,'Daftar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0</v>
      </c>
      <c r="E740" s="25">
        <f>SUMIFS('Daftar Koreksi'!$H$5:$H$92,'Daftar Koreksi'!$D$5:$D$92,'1900'!A730,'Daftar Koreksi'!$G$5:$G$92,"Aset Tak Berwujud",'Daftar Koreksi'!$H$5:$H$92,"&gt;0")</f>
        <v>0</v>
      </c>
      <c r="F740" s="25">
        <f>SUMIFS('Daftar Koreksi'!$H$5:$H$92,'Daftar Koreksi'!$D$5:$D$92,'1900'!A730,'Daftar Koreksi'!$G$5:$G$92,"Aset Tak Berwujud",'Daftar Koreksi'!$H$5:$H$92,"&lt;0")-SUMIFS('Daftar Koreksi'!$H$5:$H$92,'Daftar Koreksi'!$D$5:$D$92,'1900'!A730,'Daftar Koreksi'!$G$5:$G$92,"Aset Tak Berwujud",'Daftar Koreksi'!$H$5:$H$92,"&lt;0")-SUMIFS('Daftar Koreksi'!$H$5:$H$92,'Daftar Koreksi'!$D$5:$D$92,'1900'!A730,'Daftar Koreksi'!$G$5:$G$92,"Aset Tak Berwujud",'Daftar Koreksi'!$H$5:$H$92,"&lt;0")</f>
        <v>0</v>
      </c>
      <c r="G740" s="17">
        <f t="shared" si="33"/>
        <v>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0</v>
      </c>
      <c r="E741" s="25">
        <f>SUMIFS('Daftar Koreksi'!$H$5:$H$92,'Daftar Koreksi'!$D$5:$D$92,'1900'!A730,'Daftar Koreksi'!$G$5:$G$92,"Aset Henti Guna",'Daftar Koreksi'!$H$5:$H$92,"&gt;0")</f>
        <v>0</v>
      </c>
      <c r="F741" s="25">
        <f>SUMIFS('Daftar Koreksi'!$H$5:$H$92,'Daftar Koreksi'!$D$5:$D$92,'1900'!A730,'Daftar Koreksi'!$G$5:$G$92,"Aset Henti Guna",'Daftar Koreksi'!$H$5:$H$92,"&lt;0")-SUMIFS('Daftar Koreksi'!$H$5:$H$92,'Daftar Koreksi'!$D$5:$D$92,'1900'!A730,'Daftar Koreksi'!$G$5:$G$92,"Aset Henti Guna",'Daftar Koreksi'!$H$5:$H$92,"&lt;0")-SUMIFS('Daftar Koreksi'!$H$5:$H$92,'Daftar Koreksi'!$D$5:$D$92,'1900'!A730,'Daftar Koreksi'!$G$5:$G$92,"Aset Henti Guna",'Daftar Koreksi'!$H$5:$H$92,"&lt;0")</f>
        <v>0</v>
      </c>
      <c r="G741" s="17">
        <f t="shared" si="33"/>
        <v>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6953655502</v>
      </c>
      <c r="E742" s="19">
        <f>SUM(E733:E741)</f>
        <v>0</v>
      </c>
      <c r="F742" s="19">
        <f>SUM(F733:F741)</f>
        <v>0</v>
      </c>
      <c r="G742" s="19">
        <f t="shared" si="33"/>
        <v>6953655502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-1185917254</v>
      </c>
      <c r="E743" s="25">
        <f>SUMIFS('Daftar Koreksi'!$I$5:$I$92,'Daftar Koreksi'!$D$5:$D$92,'1900'!A730,'Daftar Koreksi'!$G$5:$G$92,"Peralatan dan mesin",'Daftar Koreksi'!$I$5:$I$92,"&gt;0")</f>
        <v>0</v>
      </c>
      <c r="F743" s="25">
        <f>SUMIFS('Daftar Koreksi'!$I$5:$I$92,'Daftar Koreksi'!$D$5:$D$92,'1900'!A730,'Daftar Koreksi'!$G$5:$G$92,"Peralatan dan mesin",'Daftar Koreksi'!$I$5:$I$92,"&lt;0")-SUMIFS('Daftar Koreksi'!$I$5:$I$92,'Daftar Koreksi'!$D$5:$D$92,'1900'!A730,'Daftar Koreksi'!$G$5:$G$92,"Peralatan dan mesin",'Daftar Koreksi'!$I$5:$I$92,"&lt;0")-SUMIFS('Daftar Koreksi'!$I$5:$I$92,'Daftar Koreksi'!$D$5:$D$92,'1900'!A730,'Daftar Koreksi'!$G$5:$G$92,"Peralatan dan mesin",'Daftar Koreksi'!$I$5:$I$92,"&lt;0")</f>
        <v>0</v>
      </c>
      <c r="G743" s="17">
        <f t="shared" si="33"/>
        <v>-1185917254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-904575970</v>
      </c>
      <c r="E744" s="25">
        <f>SUMIFS('Daftar Koreksi'!$I$5:$I$92,'Daftar Koreksi'!$D$5:$D$92,'1900'!A730,'Daftar Koreksi'!$G$5:$G$92,"Gedung dan Bangunan",'Daftar Koreksi'!$I$5:$I$92,"&gt;0")</f>
        <v>0</v>
      </c>
      <c r="F744" s="25">
        <f>SUMIFS('Daftar Koreksi'!$I$5:$I$92,'Daftar Koreksi'!$D$5:$D$92,'1900'!A730,'Daftar Koreksi'!$G$5:$G$92,"Gedung dan Bangunan",'Daftar Koreksi'!$I$5:$I$92,"&lt;0")-SUMIFS('Daftar Koreksi'!$I$5:$I$92,'Daftar Koreksi'!$D$5:$D$92,'1900'!A730,'Daftar Koreksi'!$G$5:$G$92,"Gedung dan Bangunan",'Daftar Koreksi'!$I$5:$I$92,"&lt;0")-SUMIFS('Daftar Koreksi'!$I$5:$I$92,'Daftar Koreksi'!$D$5:$D$92,'1900'!A730,'Daftar Koreksi'!$G$5:$G$92,"Gedung dan Bangunan",'Daftar Koreksi'!$I$5:$I$92,"&lt;0")</f>
        <v>0</v>
      </c>
      <c r="G744" s="17">
        <f t="shared" si="33"/>
        <v>-904575970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0</v>
      </c>
      <c r="E745" s="25">
        <f>SUMIFS('Daftar Koreksi'!$I$5:$I$92,'Daftar Koreksi'!$D$5:$D$92,'1900'!A730,'Daftar Koreksi'!$G$5:$G$92,"Jalan Irigasi Jaringan",'Daftar Koreksi'!$I$5:$I$92,"&gt;0")</f>
        <v>0</v>
      </c>
      <c r="F745" s="25">
        <f>SUMIFS('Daftar Koreksi'!$I$5:$I$92,'Daftar Koreksi'!$D$5:$D$92,'1900'!A730,'Daftar Koreksi'!$G$5:$G$92,"Jalan Irigasi Jaringan",'Daftar Koreksi'!$I$5:$I$92,"&lt;0")-SUMIFS('Daftar Koreksi'!$I$5:$I$92,'Daftar Koreksi'!$D$5:$D$92,'1900'!A730,'Daftar Koreksi'!$G$5:$G$92,"Jalan Irigasi Jaringan",'Daftar Koreksi'!$I$5:$I$92,"&lt;0")-SUMIFS('Daftar Koreksi'!$I$5:$I$92,'Daftar Koreksi'!$D$5:$D$92,'1900'!A730,'Daftar Koreksi'!$G$5:$G$92,"Jalan Irigasi Jaringan",'Daftar Koreksi'!$I$5:$I$92,"&lt;0")</f>
        <v>0</v>
      </c>
      <c r="G745" s="17">
        <f t="shared" si="33"/>
        <v>0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Koreksi'!$D$5:$D$92,'1900'!A730,'Daftar Koreksi'!$G$5:$G$92,"Aset Tetap Lainnya",'Daftar Koreksi'!$I$5:$I$92,"&gt;0")</f>
        <v>0</v>
      </c>
      <c r="F746" s="25">
        <f>SUMIFS('Daftar Koreksi'!$I$5:$I$92,'Daftar Koreksi'!$D$5:$D$92,'1900'!A730,'Daftar Koreksi'!$G$5:$G$92,"Aset Tetap Lainnya",'Daftar Koreksi'!$I$5:$I$92,"&lt;0")-SUMIFS('Daftar Koreksi'!$I$5:$I$92,'Daftar Koreksi'!$D$5:$D$92,'1900'!A730,'Daftar Koreksi'!$G$5:$G$92,"Aset Tetap Lainnya",'Daftar Koreksi'!$I$5:$I$92,"&lt;0")-SUMIFS('Daftar Koreksi'!$I$5:$I$92,'Daftar Koreksi'!$D$5:$D$92,'1900'!A730,'Daftar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0</v>
      </c>
      <c r="E747" s="25">
        <f>SUMIFS('Daftar Koreksi'!$I$5:$I$92,'Daftar Koreksi'!$D$5:$D$92,'1900'!A730,'Daftar Koreksi'!$G$5:$G$92,"Aset Henti Guna",'Daftar Koreksi'!$I$5:$I$92,"&gt;0")</f>
        <v>0</v>
      </c>
      <c r="F747" s="25">
        <f>SUMIFS('Daftar Koreksi'!$I$5:$I$92,'Daftar Koreksi'!$D$5:$D$92,'1900'!A730,'Daftar Koreksi'!$G$5:$G$92,"Aset Henti Guna",'Daftar Koreksi'!$I$5:$I$92,"&lt;0")-SUMIFS('Daftar Koreksi'!$I$5:$I$92,'Daftar Koreksi'!$D$5:$D$92,'1900'!A730,'Daftar Koreksi'!$G$5:$G$92,"Aset Henti Guna",'Daftar Koreksi'!$I$5:$I$92,"&lt;0")-SUMIFS('Daftar Koreksi'!$I$5:$I$92,'Daftar Koreksi'!$D$5:$D$92,'1900'!A730,'Daftar Koreksi'!$G$5:$G$92,"Aset Henti Guna",'Daftar Koreksi'!$I$5:$I$92,"&lt;0")</f>
        <v>0</v>
      </c>
      <c r="G747" s="17">
        <f t="shared" si="33"/>
        <v>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-2090493224</v>
      </c>
      <c r="E748" s="19">
        <f>SUM(E743:E747)</f>
        <v>0</v>
      </c>
      <c r="F748" s="19">
        <f>SUM(F743:F747)</f>
        <v>0</v>
      </c>
      <c r="G748" s="19">
        <f t="shared" si="33"/>
        <v>-2090493224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4863162278</v>
      </c>
      <c r="E749" s="19">
        <f>E748+E742</f>
        <v>0</v>
      </c>
      <c r="F749" s="19">
        <f>F748+F742</f>
        <v>0</v>
      </c>
      <c r="G749" s="19">
        <f t="shared" si="33"/>
        <v>4863162278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005011900307555000KD</v>
      </c>
      <c r="B752" s="11" t="str">
        <f>P35</f>
        <v>PA. Sinjai</v>
      </c>
      <c r="C752" s="12" t="str">
        <f>A752&amp;" "&amp;B752</f>
        <v>005011900307555000KD PA. Sinjai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551000</v>
      </c>
      <c r="E755" s="25">
        <f>SUMIFS('Daftar Koreksi'!$H$5:$H$92,'Daftar Koreksi'!$D$5:$D$92,'1900'!A752,'Daftar Koreksi'!$G$5:$G$92,"Persediaan",'Daftar Koreksi'!$H$5:$H$92,"&gt;0")</f>
        <v>0</v>
      </c>
      <c r="F755" s="25">
        <f>SUMIFS('Daftar Koreksi'!$H$5:$H$92,'Daftar Koreksi'!$D$5:$D$92,'1900'!A752,'Daftar Koreksi'!$G$5:$G$92,"Persediaan",'Daftar Koreksi'!$H$5:$H$92,"&lt;0")-SUMIFS('Daftar Koreksi'!$H$5:$H$92,'Daftar Koreksi'!$D$5:$D$92,'1900'!A752,'Daftar Koreksi'!$G$5:$G$92,"Persediaan",'Daftar Koreksi'!$H$5:$H$92,"&lt;0")-SUMIFS('Daftar Koreksi'!$H$5:$H$92,'Daftar Koreksi'!$D$5:$D$92,'1900'!A752,'Daftar Koreksi'!$G$5:$G$92,"Persediaan",'Daftar Koreksi'!$H$5:$H$92,"&lt;0")</f>
        <v>0</v>
      </c>
      <c r="G755" s="17">
        <f>D755+E755-F755</f>
        <v>551000</v>
      </c>
      <c r="H755" s="121" t="str">
        <f>IF(ISNA(VLOOKUP(A752,'Mutasi Neraca'!$A$3:$S$914,19,FALSE)),"-",VLOOKUP(A752,'Mutasi Neraca'!$A$3:$S$914,19,FALSE))</f>
        <v>-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874748000</v>
      </c>
      <c r="E756" s="25">
        <f>SUMIFS('Daftar Koreksi'!$H$5:$H$92,'Daftar Koreksi'!$D$5:$D$92,'1900'!A752,'Daftar Koreksi'!$G$5:$G$92,"Tanah",'Daftar Koreksi'!$H$5:$H$92,"&gt;0")</f>
        <v>0</v>
      </c>
      <c r="F756" s="25">
        <f>SUMIFS('Daftar Koreksi'!$H$5:$H$92,'Daftar Koreksi'!$D$5:$D$92,'1900'!A752,'Daftar Koreksi'!$G$5:$G$92,"Tanah",'Daftar Koreksi'!$H$5:$H$92,"&lt;0")-SUMIFS('Daftar Koreksi'!$H$5:$H$92,'Daftar Koreksi'!$D$5:$D$92,'1900'!A752,'Daftar Koreksi'!$G$5:$G$92,"Tanah",'Daftar Koreksi'!$H$5:$H$92,"&lt;0")-SUMIFS('Daftar Koreksi'!$H$5:$H$92,'Daftar Koreksi'!$D$5:$D$92,'1900'!A752,'Daftar Koreksi'!$G$5:$G$92,"Tanah",'Daftar Koreksi'!$H$5:$H$92,"&lt;0")</f>
        <v>0</v>
      </c>
      <c r="G756" s="17">
        <f t="shared" ref="G756:G772" si="34">D756+E756-F756</f>
        <v>874748000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1234651082</v>
      </c>
      <c r="E757" s="25">
        <f>SUMIFS('Daftar Koreksi'!$H$5:$H$92,'Daftar Koreksi'!$D$5:$D$92,'1900'!A752,'Daftar Koreksi'!$G$5:$G$92,"Peralatan dan mesin",'Daftar Koreksi'!$H$5:$H$92,"&gt;0")</f>
        <v>0</v>
      </c>
      <c r="F757" s="25">
        <f>SUMIFS('Daftar Koreksi'!$H$5:$H$92,'Daftar Koreksi'!$D$5:$D$92,'1900'!A752,'Daftar Koreksi'!$G$5:$G$92,"Peralatan dan mesin",'Daftar Koreksi'!$H$5:$H$92,"&lt;0")-SUMIFS('Daftar Koreksi'!$H$5:$H$92,'Daftar Koreksi'!$D$5:$D$92,'1900'!A752,'Daftar Koreksi'!$G$5:$G$92,"Peralatan dan mesin",'Daftar Koreksi'!$H$5:$H$92,"&lt;0")-SUMIFS('Daftar Koreksi'!$H$5:$H$92,'Daftar Koreksi'!$D$5:$D$92,'1900'!A752,'Daftar Koreksi'!$G$5:$G$92,"Peralatan dan mesin",'Daftar Koreksi'!$H$5:$H$92,"&lt;0")</f>
        <v>0</v>
      </c>
      <c r="G757" s="17">
        <f t="shared" si="34"/>
        <v>1234651082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3450286525</v>
      </c>
      <c r="E758" s="25">
        <f>SUMIFS('Daftar Koreksi'!$H$5:$H$92,'Daftar Koreksi'!$D$5:$D$92,'1900'!A752,'Daftar Koreksi'!$G$5:$G$92,"Gedung dan Bangunan",'Daftar Koreksi'!$H$5:$H$92,"&gt;0")</f>
        <v>0</v>
      </c>
      <c r="F758" s="25">
        <f>SUMIFS('Daftar Koreksi'!$H$5:$H$92,'Daftar Koreksi'!$D$5:$D$92,'1900'!A752,'Daftar Koreksi'!$G$5:$G$92,"Gedung dan Bangunan",'Daftar Koreksi'!$H$5:$H$92,"&lt;0")-SUMIFS('Daftar Koreksi'!$H$5:$H$92,'Daftar Koreksi'!$D$5:$D$92,'1900'!A752,'Daftar Koreksi'!$G$5:$G$92,"Gedung dan Bangunan",'Daftar Koreksi'!$H$5:$H$92,"&lt;0")-SUMIFS('Daftar Koreksi'!$H$5:$H$92,'Daftar Koreksi'!$D$5:$D$92,'1900'!A752,'Daftar Koreksi'!$G$5:$G$92,"Gedung dan Bangunan",'Daftar Koreksi'!$H$5:$H$92,"&lt;0")</f>
        <v>0</v>
      </c>
      <c r="G758" s="17">
        <f t="shared" si="34"/>
        <v>3450286525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26870000</v>
      </c>
      <c r="E759" s="25">
        <f>SUMIFS('Daftar Koreksi'!$H$5:$H$92,'Daftar Koreksi'!$D$5:$D$92,'1900'!A752,'Daftar Koreksi'!$G$5:$G$92,"Jalan Irigasi Jaringan",'Daftar Koreksi'!$H$5:$H$92,"&gt;0")</f>
        <v>0</v>
      </c>
      <c r="F759" s="25">
        <f>SUMIFS('Daftar Koreksi'!$H$5:$H$92,'Daftar Koreksi'!$D$5:$D$92,'1900'!A752,'Daftar Koreksi'!$G$5:$G$92,"Jalan Irigasi Jaringan",'Daftar Koreksi'!$H$5:$H$92,"&lt;0")-SUMIFS('Daftar Koreksi'!$H$5:$H$92,'Daftar Koreksi'!$D$5:$D$92,'1900'!A752,'Daftar Koreksi'!$G$5:$G$92,"Jalan Irigasi Jaringan",'Daftar Koreksi'!$H$5:$H$92,"&lt;0")-SUMIFS('Daftar Koreksi'!$H$5:$H$92,'Daftar Koreksi'!$D$5:$D$92,'1900'!A752,'Daftar Koreksi'!$G$5:$G$92,"Jalan Irigasi Jaringan",'Daftar Koreksi'!$H$5:$H$92,"&lt;0")</f>
        <v>0</v>
      </c>
      <c r="G759" s="17">
        <f t="shared" si="34"/>
        <v>26870000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0</v>
      </c>
      <c r="E760" s="25">
        <f>SUMIFS('Daftar Koreksi'!$H$5:$H$92,'Daftar Koreksi'!$D$5:$D$92,'1900'!A752,'Daftar Koreksi'!$G$5:$G$92,"Aset Tetap Lainnya",'Daftar Koreksi'!$H$5:$H$92,"&gt;0")</f>
        <v>0</v>
      </c>
      <c r="F760" s="25">
        <f>SUMIFS('Daftar Koreksi'!$H$5:$H$92,'Daftar Koreksi'!$D$5:$D$92,'1900'!A752,'Daftar Koreksi'!$G$5:$G$92,"Aset Tetap Lainnya",'Daftar Koreksi'!$H$5:$H$92,"&lt;0")-SUMIFS('Daftar Koreksi'!$H$5:$H$92,'Daftar Koreksi'!$D$5:$D$92,'1900'!A752,'Daftar Koreksi'!$G$5:$G$92,"Aset Tetap Lainnya",'Daftar Koreksi'!$H$5:$H$92,"&lt;0")-SUMIFS('Daftar Koreksi'!$H$5:$H$92,'Daftar Koreksi'!$D$5:$D$92,'1900'!A752,'Daftar Koreksi'!$G$5:$G$92,"Aset Tetap Lainnya",'Daftar Koreksi'!$H$5:$H$92,"&lt;0")</f>
        <v>0</v>
      </c>
      <c r="G760" s="17">
        <f t="shared" si="34"/>
        <v>0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Koreksi'!$D$5:$D$92,'1900'!A752,'Daftar Koreksi'!$G$5:$G$92,"Kontruksi Dalam Pengerjaan",'Daftar Koreksi'!$H$5:$H$92,"&gt;0")</f>
        <v>0</v>
      </c>
      <c r="F761" s="25">
        <f>SUMIFS('Daftar Koreksi'!$H$5:$H$92,'Daftar Koreksi'!$D$5:$D$92,'1900'!A752,'Daftar Koreksi'!$G$5:$G$92,"Kontruksi Dalam Pengerjaan",'Daftar Koreksi'!$H$5:$H$92,"&lt;0")-SUMIFS('Daftar Koreksi'!$H$5:$H$92,'Daftar Koreksi'!$D$5:$D$92,'1900'!A752,'Daftar Koreksi'!$G$5:$G$92,"Kontruksi Dalam Pengerjaan",'Daftar Koreksi'!$H$5:$H$92,"&lt;0")-SUMIFS('Daftar Koreksi'!$H$5:$H$92,'Daftar Koreksi'!$D$5:$D$92,'1900'!A752,'Daftar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0</v>
      </c>
      <c r="E762" s="25">
        <f>SUMIFS('Daftar Koreksi'!$H$5:$H$92,'Daftar Koreksi'!$D$5:$D$92,'1900'!A752,'Daftar Koreksi'!$G$5:$G$92,"Aset Tak Berwujud",'Daftar Koreksi'!$H$5:$H$92,"&gt;0")</f>
        <v>0</v>
      </c>
      <c r="F762" s="25">
        <f>SUMIFS('Daftar Koreksi'!$H$5:$H$92,'Daftar Koreksi'!$D$5:$D$92,'1900'!A752,'Daftar Koreksi'!$G$5:$G$92,"Aset Tak Berwujud",'Daftar Koreksi'!$H$5:$H$92,"&lt;0")-SUMIFS('Daftar Koreksi'!$H$5:$H$92,'Daftar Koreksi'!$D$5:$D$92,'1900'!A752,'Daftar Koreksi'!$G$5:$G$92,"Aset Tak Berwujud",'Daftar Koreksi'!$H$5:$H$92,"&lt;0")-SUMIFS('Daftar Koreksi'!$H$5:$H$92,'Daftar Koreksi'!$D$5:$D$92,'1900'!A752,'Daftar Koreksi'!$G$5:$G$92,"Aset Tak Berwujud",'Daftar Koreksi'!$H$5:$H$92,"&lt;0")</f>
        <v>0</v>
      </c>
      <c r="G762" s="17">
        <f t="shared" si="34"/>
        <v>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153060352</v>
      </c>
      <c r="E763" s="25">
        <f>SUMIFS('Daftar Koreksi'!$H$5:$H$92,'Daftar Koreksi'!$D$5:$D$92,'1900'!A752,'Daftar Koreksi'!$G$5:$G$92,"Aset Henti Guna",'Daftar Koreksi'!$H$5:$H$92,"&gt;0")</f>
        <v>0</v>
      </c>
      <c r="F763" s="25">
        <f>SUMIFS('Daftar Koreksi'!$H$5:$H$92,'Daftar Koreksi'!$D$5:$D$92,'1900'!A752,'Daftar Koreksi'!$G$5:$G$92,"Aset Henti Guna",'Daftar Koreksi'!$H$5:$H$92,"&lt;0")-SUMIFS('Daftar Koreksi'!$H$5:$H$92,'Daftar Koreksi'!$D$5:$D$92,'1900'!A752,'Daftar Koreksi'!$G$5:$G$92,"Aset Henti Guna",'Daftar Koreksi'!$H$5:$H$92,"&lt;0")-SUMIFS('Daftar Koreksi'!$H$5:$H$92,'Daftar Koreksi'!$D$5:$D$92,'1900'!A752,'Daftar Koreksi'!$G$5:$G$92,"Aset Henti Guna",'Daftar Koreksi'!$H$5:$H$92,"&lt;0")</f>
        <v>0</v>
      </c>
      <c r="G763" s="17">
        <f t="shared" si="34"/>
        <v>153060352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5740166959</v>
      </c>
      <c r="E764" s="19">
        <f>SUM(E755:E763)</f>
        <v>0</v>
      </c>
      <c r="F764" s="19">
        <f>SUM(F755:F763)</f>
        <v>0</v>
      </c>
      <c r="G764" s="19">
        <f t="shared" si="34"/>
        <v>5740166959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-1050615100</v>
      </c>
      <c r="E765" s="25">
        <f>SUMIFS('Daftar Koreksi'!$I$5:$I$92,'Daftar Koreksi'!$D$5:$D$92,'1900'!A752,'Daftar Koreksi'!$G$5:$G$92,"Peralatan dan mesin",'Daftar Koreksi'!$I$5:$I$92,"&gt;0")</f>
        <v>0</v>
      </c>
      <c r="F765" s="25">
        <f>SUMIFS('Daftar Koreksi'!$I$5:$I$92,'Daftar Koreksi'!$D$5:$D$92,'1900'!A752,'Daftar Koreksi'!$G$5:$G$92,"Peralatan dan mesin",'Daftar Koreksi'!$I$5:$I$92,"&lt;0")-SUMIFS('Daftar Koreksi'!$I$5:$I$92,'Daftar Koreksi'!$D$5:$D$92,'1900'!A752,'Daftar Koreksi'!$G$5:$G$92,"Peralatan dan mesin",'Daftar Koreksi'!$I$5:$I$92,"&lt;0")-SUMIFS('Daftar Koreksi'!$I$5:$I$92,'Daftar Koreksi'!$D$5:$D$92,'1900'!A752,'Daftar Koreksi'!$G$5:$G$92,"Peralatan dan mesin",'Daftar Koreksi'!$I$5:$I$92,"&lt;0")</f>
        <v>0</v>
      </c>
      <c r="G765" s="17">
        <f t="shared" si="34"/>
        <v>-1050615100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-404066106</v>
      </c>
      <c r="E766" s="25">
        <f>SUMIFS('Daftar Koreksi'!$I$5:$I$92,'Daftar Koreksi'!$D$5:$D$92,'1900'!A752,'Daftar Koreksi'!$G$5:$G$92,"Gedung dan Bangunan",'Daftar Koreksi'!$I$5:$I$92,"&gt;0")</f>
        <v>0</v>
      </c>
      <c r="F766" s="25">
        <f>SUMIFS('Daftar Koreksi'!$I$5:$I$92,'Daftar Koreksi'!$D$5:$D$92,'1900'!A752,'Daftar Koreksi'!$G$5:$G$92,"Gedung dan Bangunan",'Daftar Koreksi'!$I$5:$I$92,"&lt;0")-SUMIFS('Daftar Koreksi'!$I$5:$I$92,'Daftar Koreksi'!$D$5:$D$92,'1900'!A752,'Daftar Koreksi'!$G$5:$G$92,"Gedung dan Bangunan",'Daftar Koreksi'!$I$5:$I$92,"&lt;0")-SUMIFS('Daftar Koreksi'!$I$5:$I$92,'Daftar Koreksi'!$D$5:$D$92,'1900'!A752,'Daftar Koreksi'!$G$5:$G$92,"Gedung dan Bangunan",'Daftar Koreksi'!$I$5:$I$92,"&lt;0")</f>
        <v>0</v>
      </c>
      <c r="G766" s="17">
        <f t="shared" si="34"/>
        <v>-404066106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-16122000</v>
      </c>
      <c r="E767" s="25">
        <f>SUMIFS('Daftar Koreksi'!$I$5:$I$92,'Daftar Koreksi'!$D$5:$D$92,'1900'!A752,'Daftar Koreksi'!$G$5:$G$92,"Jalan Irigasi Jaringan",'Daftar Koreksi'!$I$5:$I$92,"&gt;0")</f>
        <v>0</v>
      </c>
      <c r="F767" s="25">
        <f>SUMIFS('Daftar Koreksi'!$I$5:$I$92,'Daftar Koreksi'!$D$5:$D$92,'1900'!A752,'Daftar Koreksi'!$G$5:$G$92,"Jalan Irigasi Jaringan",'Daftar Koreksi'!$I$5:$I$92,"&lt;0")-SUMIFS('Daftar Koreksi'!$I$5:$I$92,'Daftar Koreksi'!$D$5:$D$92,'1900'!A752,'Daftar Koreksi'!$G$5:$G$92,"Jalan Irigasi Jaringan",'Daftar Koreksi'!$I$5:$I$92,"&lt;0")-SUMIFS('Daftar Koreksi'!$I$5:$I$92,'Daftar Koreksi'!$D$5:$D$92,'1900'!A752,'Daftar Koreksi'!$G$5:$G$92,"Jalan Irigasi Jaringan",'Daftar Koreksi'!$I$5:$I$92,"&lt;0")</f>
        <v>0</v>
      </c>
      <c r="G767" s="17">
        <f t="shared" si="34"/>
        <v>-16122000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Koreksi'!$D$5:$D$92,'1900'!A752,'Daftar Koreksi'!$G$5:$G$92,"Aset Tetap Lainnya",'Daftar Koreksi'!$I$5:$I$92,"&gt;0")</f>
        <v>0</v>
      </c>
      <c r="F768" s="25">
        <f>SUMIFS('Daftar Koreksi'!$I$5:$I$92,'Daftar Koreksi'!$D$5:$D$92,'1900'!A752,'Daftar Koreksi'!$G$5:$G$92,"Aset Tetap Lainnya",'Daftar Koreksi'!$I$5:$I$92,"&lt;0")-SUMIFS('Daftar Koreksi'!$I$5:$I$92,'Daftar Koreksi'!$D$5:$D$92,'1900'!A752,'Daftar Koreksi'!$G$5:$G$92,"Aset Tetap Lainnya",'Daftar Koreksi'!$I$5:$I$92,"&lt;0")-SUMIFS('Daftar Koreksi'!$I$5:$I$92,'Daftar Koreksi'!$D$5:$D$92,'1900'!A752,'Daftar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-152269328</v>
      </c>
      <c r="E769" s="25">
        <f>SUMIFS('Daftar Koreksi'!$I$5:$I$92,'Daftar Koreksi'!$D$5:$D$92,'1900'!A752,'Daftar Koreksi'!$G$5:$G$92,"Aset Henti Guna",'Daftar Koreksi'!$I$5:$I$92,"&gt;0")</f>
        <v>0</v>
      </c>
      <c r="F769" s="25">
        <f>SUMIFS('Daftar Koreksi'!$I$5:$I$92,'Daftar Koreksi'!$D$5:$D$92,'1900'!A752,'Daftar Koreksi'!$G$5:$G$92,"Aset Henti Guna",'Daftar Koreksi'!$I$5:$I$92,"&lt;0")-SUMIFS('Daftar Koreksi'!$I$5:$I$92,'Daftar Koreksi'!$D$5:$D$92,'1900'!A752,'Daftar Koreksi'!$G$5:$G$92,"Aset Henti Guna",'Daftar Koreksi'!$I$5:$I$92,"&lt;0")-SUMIFS('Daftar Koreksi'!$I$5:$I$92,'Daftar Koreksi'!$D$5:$D$92,'1900'!A752,'Daftar Koreksi'!$G$5:$G$92,"Aset Henti Guna",'Daftar Koreksi'!$I$5:$I$92,"&lt;0")</f>
        <v>0</v>
      </c>
      <c r="G769" s="17">
        <f t="shared" si="34"/>
        <v>-152269328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-1623072534</v>
      </c>
      <c r="E770" s="19">
        <f>SUM(E765:E769)</f>
        <v>0</v>
      </c>
      <c r="F770" s="19">
        <f>SUM(F765:F769)</f>
        <v>0</v>
      </c>
      <c r="G770" s="19">
        <f t="shared" si="34"/>
        <v>-1623072534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4117094425</v>
      </c>
      <c r="E771" s="19">
        <f>E770+E764</f>
        <v>0</v>
      </c>
      <c r="F771" s="19">
        <f>F770+F764</f>
        <v>0</v>
      </c>
      <c r="G771" s="19">
        <f t="shared" si="34"/>
        <v>4117094425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005011900307562000KD</v>
      </c>
      <c r="B774" s="11" t="str">
        <f>P36</f>
        <v>PA. Selayar</v>
      </c>
      <c r="C774" s="12" t="str">
        <f>A774&amp;" "&amp;B774</f>
        <v>005011900307562000KD PA. Selayar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351500</v>
      </c>
      <c r="E777" s="25">
        <f>SUMIFS('Daftar Koreksi'!$H$5:$H$92,'Daftar Koreksi'!$D$5:$D$92,'1900'!A774,'Daftar Koreksi'!$G$5:$G$92,"Persediaan",'Daftar Koreksi'!$H$5:$H$92,"&gt;0")</f>
        <v>0</v>
      </c>
      <c r="F777" s="25">
        <f>SUMIFS('Daftar Koreksi'!$H$5:$H$92,'Daftar Koreksi'!$D$5:$D$92,'1900'!A774,'Daftar Koreksi'!$G$5:$G$92,"Persediaan",'Daftar Koreksi'!$H$5:$H$92,"&lt;0")-SUMIFS('Daftar Koreksi'!$H$5:$H$92,'Daftar Koreksi'!$D$5:$D$92,'1900'!A774,'Daftar Koreksi'!$G$5:$G$92,"Persediaan",'Daftar Koreksi'!$H$5:$H$92,"&lt;0")-SUMIFS('Daftar Koreksi'!$H$5:$H$92,'Daftar Koreksi'!$D$5:$D$92,'1900'!A774,'Daftar Koreksi'!$G$5:$G$92,"Persediaan",'Daftar Koreksi'!$H$5:$H$92,"&lt;0")</f>
        <v>0</v>
      </c>
      <c r="G777" s="17">
        <f>D777+E777-F777</f>
        <v>351500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1296205000</v>
      </c>
      <c r="E778" s="25">
        <f>SUMIFS('Daftar Koreksi'!$H$5:$H$92,'Daftar Koreksi'!$D$5:$D$92,'1900'!A774,'Daftar Koreksi'!$G$5:$G$92,"Tanah",'Daftar Koreksi'!$H$5:$H$92,"&gt;0")</f>
        <v>0</v>
      </c>
      <c r="F778" s="25">
        <f>SUMIFS('Daftar Koreksi'!$H$5:$H$92,'Daftar Koreksi'!$D$5:$D$92,'1900'!A774,'Daftar Koreksi'!$G$5:$G$92,"Tanah",'Daftar Koreksi'!$H$5:$H$92,"&lt;0")-SUMIFS('Daftar Koreksi'!$H$5:$H$92,'Daftar Koreksi'!$D$5:$D$92,'1900'!A774,'Daftar Koreksi'!$G$5:$G$92,"Tanah",'Daftar Koreksi'!$H$5:$H$92,"&lt;0")-SUMIFS('Daftar Koreksi'!$H$5:$H$92,'Daftar Koreksi'!$D$5:$D$92,'1900'!A774,'Daftar Koreksi'!$G$5:$G$92,"Tanah",'Daftar Koreksi'!$H$5:$H$92,"&lt;0")</f>
        <v>0</v>
      </c>
      <c r="G778" s="17">
        <f t="shared" ref="G778:G794" si="35">D778+E778-F778</f>
        <v>1296205000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904669438</v>
      </c>
      <c r="E779" s="25">
        <f>SUMIFS('Daftar Koreksi'!$H$5:$H$92,'Daftar Koreksi'!$D$5:$D$92,'1900'!A774,'Daftar Koreksi'!$G$5:$G$92,"Peralatan dan mesin",'Daftar Koreksi'!$H$5:$H$92,"&gt;0")</f>
        <v>0</v>
      </c>
      <c r="F779" s="25">
        <f>SUMIFS('Daftar Koreksi'!$H$5:$H$92,'Daftar Koreksi'!$D$5:$D$92,'1900'!A774,'Daftar Koreksi'!$G$5:$G$92,"Peralatan dan mesin",'Daftar Koreksi'!$H$5:$H$92,"&lt;0")-SUMIFS('Daftar Koreksi'!$H$5:$H$92,'Daftar Koreksi'!$D$5:$D$92,'1900'!A774,'Daftar Koreksi'!$G$5:$G$92,"Peralatan dan mesin",'Daftar Koreksi'!$H$5:$H$92,"&lt;0")-SUMIFS('Daftar Koreksi'!$H$5:$H$92,'Daftar Koreksi'!$D$5:$D$92,'1900'!A774,'Daftar Koreksi'!$G$5:$G$92,"Peralatan dan mesin",'Daftar Koreksi'!$H$5:$H$92,"&lt;0")</f>
        <v>0</v>
      </c>
      <c r="G779" s="17">
        <f t="shared" si="35"/>
        <v>904669438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4421791168</v>
      </c>
      <c r="E780" s="25">
        <f>SUMIFS('Daftar Koreksi'!$H$5:$H$92,'Daftar Koreksi'!$D$5:$D$92,'1900'!A774,'Daftar Koreksi'!$G$5:$G$92,"Gedung dan Bangunan",'Daftar Koreksi'!$H$5:$H$92,"&gt;0")</f>
        <v>0</v>
      </c>
      <c r="F780" s="25">
        <f>SUMIFS('Daftar Koreksi'!$H$5:$H$92,'Daftar Koreksi'!$D$5:$D$92,'1900'!A774,'Daftar Koreksi'!$G$5:$G$92,"Gedung dan Bangunan",'Daftar Koreksi'!$H$5:$H$92,"&lt;0")-SUMIFS('Daftar Koreksi'!$H$5:$H$92,'Daftar Koreksi'!$D$5:$D$92,'1900'!A774,'Daftar Koreksi'!$G$5:$G$92,"Gedung dan Bangunan",'Daftar Koreksi'!$H$5:$H$92,"&lt;0")-SUMIFS('Daftar Koreksi'!$H$5:$H$92,'Daftar Koreksi'!$D$5:$D$92,'1900'!A774,'Daftar Koreksi'!$G$5:$G$92,"Gedung dan Bangunan",'Daftar Koreksi'!$H$5:$H$92,"&lt;0")</f>
        <v>0</v>
      </c>
      <c r="G780" s="17">
        <f t="shared" si="35"/>
        <v>4421791168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Koreksi'!$D$5:$D$92,'1900'!A774,'Daftar Koreksi'!$G$5:$G$92,"Jalan Irigasi Jaringan",'Daftar Koreksi'!$H$5:$H$92,"&gt;0")</f>
        <v>0</v>
      </c>
      <c r="F781" s="25">
        <f>SUMIFS('Daftar Koreksi'!$H$5:$H$92,'Daftar Koreksi'!$D$5:$D$92,'1900'!A774,'Daftar Koreksi'!$G$5:$G$92,"Jalan Irigasi Jaringan",'Daftar Koreksi'!$H$5:$H$92,"&lt;0")-SUMIFS('Daftar Koreksi'!$H$5:$H$92,'Daftar Koreksi'!$D$5:$D$92,'1900'!A774,'Daftar Koreksi'!$G$5:$G$92,"Jalan Irigasi Jaringan",'Daftar Koreksi'!$H$5:$H$92,"&lt;0")-SUMIFS('Daftar Koreksi'!$H$5:$H$92,'Daftar Koreksi'!$D$5:$D$92,'1900'!A774,'Daftar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14535000</v>
      </c>
      <c r="E782" s="25">
        <f>SUMIFS('Daftar Koreksi'!$H$5:$H$92,'Daftar Koreksi'!$D$5:$D$92,'1900'!A774,'Daftar Koreksi'!$G$5:$G$92,"Aset Tetap Lainnya",'Daftar Koreksi'!$H$5:$H$92,"&gt;0")</f>
        <v>0</v>
      </c>
      <c r="F782" s="25">
        <f>SUMIFS('Daftar Koreksi'!$H$5:$H$92,'Daftar Koreksi'!$D$5:$D$92,'1900'!A774,'Daftar Koreksi'!$G$5:$G$92,"Aset Tetap Lainnya",'Daftar Koreksi'!$H$5:$H$92,"&lt;0")-SUMIFS('Daftar Koreksi'!$H$5:$H$92,'Daftar Koreksi'!$D$5:$D$92,'1900'!A774,'Daftar Koreksi'!$G$5:$G$92,"Aset Tetap Lainnya",'Daftar Koreksi'!$H$5:$H$92,"&lt;0")-SUMIFS('Daftar Koreksi'!$H$5:$H$92,'Daftar Koreksi'!$D$5:$D$92,'1900'!A774,'Daftar Koreksi'!$G$5:$G$92,"Aset Tetap Lainnya",'Daftar Koreksi'!$H$5:$H$92,"&lt;0")</f>
        <v>0</v>
      </c>
      <c r="G782" s="17">
        <f t="shared" si="35"/>
        <v>14535000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Koreksi'!$D$5:$D$92,'1900'!A774,'Daftar Koreksi'!$G$5:$G$92,"Kontruksi Dalam Pengerjaan",'Daftar Koreksi'!$H$5:$H$92,"&gt;0")</f>
        <v>0</v>
      </c>
      <c r="F783" s="25">
        <f>SUMIFS('Daftar Koreksi'!$H$5:$H$92,'Daftar Koreksi'!$D$5:$D$92,'1900'!A774,'Daftar Koreksi'!$G$5:$G$92,"Kontruksi Dalam Pengerjaan",'Daftar Koreksi'!$H$5:$H$92,"&lt;0")-SUMIFS('Daftar Koreksi'!$H$5:$H$92,'Daftar Koreksi'!$D$5:$D$92,'1900'!A774,'Daftar Koreksi'!$G$5:$G$92,"Kontruksi Dalam Pengerjaan",'Daftar Koreksi'!$H$5:$H$92,"&lt;0")-SUMIFS('Daftar Koreksi'!$H$5:$H$92,'Daftar Koreksi'!$D$5:$D$92,'1900'!A774,'Daftar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13000000</v>
      </c>
      <c r="E784" s="25">
        <f>SUMIFS('Daftar Koreksi'!$H$5:$H$92,'Daftar Koreksi'!$D$5:$D$92,'1900'!A774,'Daftar Koreksi'!$G$5:$G$92,"Aset Tak Berwujud",'Daftar Koreksi'!$H$5:$H$92,"&gt;0")</f>
        <v>0</v>
      </c>
      <c r="F784" s="25">
        <f>SUMIFS('Daftar Koreksi'!$H$5:$H$92,'Daftar Koreksi'!$D$5:$D$92,'1900'!A774,'Daftar Koreksi'!$G$5:$G$92,"Aset Tak Berwujud",'Daftar Koreksi'!$H$5:$H$92,"&lt;0")-SUMIFS('Daftar Koreksi'!$H$5:$H$92,'Daftar Koreksi'!$D$5:$D$92,'1900'!A774,'Daftar Koreksi'!$G$5:$G$92,"Aset Tak Berwujud",'Daftar Koreksi'!$H$5:$H$92,"&lt;0")-SUMIFS('Daftar Koreksi'!$H$5:$H$92,'Daftar Koreksi'!$D$5:$D$92,'1900'!A774,'Daftar Koreksi'!$G$5:$G$92,"Aset Tak Berwujud",'Daftar Koreksi'!$H$5:$H$92,"&lt;0")</f>
        <v>0</v>
      </c>
      <c r="G784" s="17">
        <f t="shared" si="35"/>
        <v>13000000</v>
      </c>
      <c r="H784" s="122"/>
    </row>
    <row r="785" spans="1:10" ht="21.95" customHeight="1">
      <c r="A785" s="14"/>
      <c r="B785" s="14"/>
      <c r="C785" s="16" t="s">
        <v>1173</v>
      </c>
      <c r="D785" s="17">
        <f>VLOOKUP(A774,'Neraca Unaudited SIMAK'!$A$2:$S$10004,11,FALSE)</f>
        <v>91796874</v>
      </c>
      <c r="E785" s="25">
        <f>SUMIFS('Daftar Koreksi'!$H$5:$H$92,'Daftar Koreksi'!$D$5:$D$92,'1900'!A774,'Daftar Koreksi'!$G$5:$G$92,"Aset Henti Guna",'Daftar Koreksi'!$H$5:$H$92,"&gt;0")</f>
        <v>0</v>
      </c>
      <c r="F785" s="25">
        <f>SUMIFS('Daftar Koreksi'!$H$5:$H$92,'Daftar Koreksi'!$D$5:$D$92,'1900'!A774,'Daftar Koreksi'!$G$5:$G$92,"Aset Henti Guna",'Daftar Koreksi'!$H$5:$H$92,"&lt;0")-SUMIFS('Daftar Koreksi'!$H$5:$H$92,'Daftar Koreksi'!$D$5:$D$92,'1900'!A774,'Daftar Koreksi'!$G$5:$G$92,"Aset Henti Guna",'Daftar Koreksi'!$H$5:$H$92,"&lt;0")-SUMIFS('Daftar Koreksi'!$H$5:$H$92,'Daftar Koreksi'!$D$5:$D$92,'1900'!A774,'Daftar Koreksi'!$G$5:$G$92,"Aset Henti Guna",'Daftar Koreksi'!$H$5:$H$92,"&lt;0")</f>
        <v>0</v>
      </c>
      <c r="G785" s="17">
        <f t="shared" si="35"/>
        <v>91796874</v>
      </c>
      <c r="H785" s="122"/>
    </row>
    <row r="786" spans="1:10" ht="21.95" customHeight="1">
      <c r="A786" s="14"/>
      <c r="B786" s="14"/>
      <c r="C786" s="18" t="s">
        <v>2093</v>
      </c>
      <c r="D786" s="19">
        <f>VLOOKUP(A774,'Neraca Unaudited SIMAK'!$A$2:$S$10004,12,FALSE)</f>
        <v>6742348980</v>
      </c>
      <c r="E786" s="19">
        <f>SUM(E777:E785)</f>
        <v>0</v>
      </c>
      <c r="F786" s="19">
        <f>SUM(F777:F785)</f>
        <v>0</v>
      </c>
      <c r="G786" s="19">
        <f t="shared" si="35"/>
        <v>6742348980</v>
      </c>
      <c r="H786" s="122"/>
    </row>
    <row r="787" spans="1:10" ht="21.95" customHeight="1">
      <c r="A787" s="14"/>
      <c r="B787" s="14"/>
      <c r="C787" s="16" t="s">
        <v>2087</v>
      </c>
      <c r="D787" s="17">
        <f>VLOOKUP(A774,'Neraca Unaudited SIMAK'!$A$2:$S$10004,13,FALSE)</f>
        <v>-730832786</v>
      </c>
      <c r="E787" s="25">
        <f>SUMIFS('Daftar Koreksi'!$I$5:$I$92,'Daftar Koreksi'!$D$5:$D$92,'1900'!A774,'Daftar Koreksi'!$G$5:$G$92,"Peralatan dan mesin",'Daftar Koreksi'!$I$5:$I$92,"&gt;0")</f>
        <v>0</v>
      </c>
      <c r="F787" s="25">
        <f>SUMIFS('Daftar Koreksi'!$I$5:$I$92,'Daftar Koreksi'!$D$5:$D$92,'1900'!A774,'Daftar Koreksi'!$G$5:$G$92,"Peralatan dan mesin",'Daftar Koreksi'!$I$5:$I$92,"&lt;0")-SUMIFS('Daftar Koreksi'!$I$5:$I$92,'Daftar Koreksi'!$D$5:$D$92,'1900'!A774,'Daftar Koreksi'!$G$5:$G$92,"Peralatan dan mesin",'Daftar Koreksi'!$I$5:$I$92,"&lt;0")-SUMIFS('Daftar Koreksi'!$I$5:$I$92,'Daftar Koreksi'!$D$5:$D$92,'1900'!A774,'Daftar Koreksi'!$G$5:$G$92,"Peralatan dan mesin",'Daftar Koreksi'!$I$5:$I$92,"&lt;0")</f>
        <v>0</v>
      </c>
      <c r="G787" s="17">
        <f t="shared" si="35"/>
        <v>-730832786</v>
      </c>
      <c r="H787" s="122"/>
    </row>
    <row r="788" spans="1:10" ht="21.95" customHeight="1">
      <c r="A788" s="14"/>
      <c r="B788" s="14"/>
      <c r="C788" s="16" t="s">
        <v>2088</v>
      </c>
      <c r="D788" s="17">
        <f>VLOOKUP(A774,'Neraca Unaudited SIMAK'!$A$2:$S$10004,14,FALSE)</f>
        <v>-715804651</v>
      </c>
      <c r="E788" s="25">
        <f>SUMIFS('Daftar Koreksi'!$I$5:$I$92,'Daftar Koreksi'!$D$5:$D$92,'1900'!A774,'Daftar Koreksi'!$G$5:$G$92,"Gedung dan Bangunan",'Daftar Koreksi'!$I$5:$I$92,"&gt;0")</f>
        <v>0</v>
      </c>
      <c r="F788" s="25">
        <f>SUMIFS('Daftar Koreksi'!$I$5:$I$92,'Daftar Koreksi'!$D$5:$D$92,'1900'!A774,'Daftar Koreksi'!$G$5:$G$92,"Gedung dan Bangunan",'Daftar Koreksi'!$I$5:$I$92,"&lt;0")-SUMIFS('Daftar Koreksi'!$I$5:$I$92,'Daftar Koreksi'!$D$5:$D$92,'1900'!A774,'Daftar Koreksi'!$G$5:$G$92,"Gedung dan Bangunan",'Daftar Koreksi'!$I$5:$I$92,"&lt;0")-SUMIFS('Daftar Koreksi'!$I$5:$I$92,'Daftar Koreksi'!$D$5:$D$92,'1900'!A774,'Daftar Koreksi'!$G$5:$G$92,"Gedung dan Bangunan",'Daftar Koreksi'!$I$5:$I$92,"&lt;0")</f>
        <v>0</v>
      </c>
      <c r="G788" s="17">
        <f t="shared" si="35"/>
        <v>-715804651</v>
      </c>
      <c r="H788" s="122"/>
    </row>
    <row r="789" spans="1:10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Koreksi'!$D$5:$D$92,'1900'!A774,'Daftar Koreksi'!$G$5:$G$92,"Jalan Irigasi Jaringan",'Daftar Koreksi'!$I$5:$I$92,"&gt;0")</f>
        <v>0</v>
      </c>
      <c r="F789" s="25">
        <f>SUMIFS('Daftar Koreksi'!$I$5:$I$92,'Daftar Koreksi'!$D$5:$D$92,'1900'!A774,'Daftar Koreksi'!$G$5:$G$92,"Jalan Irigasi Jaringan",'Daftar Koreksi'!$I$5:$I$92,"&lt;0")-SUMIFS('Daftar Koreksi'!$I$5:$I$92,'Daftar Koreksi'!$D$5:$D$92,'1900'!A774,'Daftar Koreksi'!$G$5:$G$92,"Jalan Irigasi Jaringan",'Daftar Koreksi'!$I$5:$I$92,"&lt;0")-SUMIFS('Daftar Koreksi'!$I$5:$I$92,'Daftar Koreksi'!$D$5:$D$92,'1900'!A774,'Daftar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10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Koreksi'!$D$5:$D$92,'1900'!A774,'Daftar Koreksi'!$G$5:$G$92,"Aset Tetap Lainnya",'Daftar Koreksi'!$I$5:$I$92,"&gt;0")</f>
        <v>0</v>
      </c>
      <c r="F790" s="25">
        <f>SUMIFS('Daftar Koreksi'!$I$5:$I$92,'Daftar Koreksi'!$D$5:$D$92,'1900'!A774,'Daftar Koreksi'!$G$5:$G$92,"Aset Tetap Lainnya",'Daftar Koreksi'!$I$5:$I$92,"&lt;0")-SUMIFS('Daftar Koreksi'!$I$5:$I$92,'Daftar Koreksi'!$D$5:$D$92,'1900'!A774,'Daftar Koreksi'!$G$5:$G$92,"Aset Tetap Lainnya",'Daftar Koreksi'!$I$5:$I$92,"&lt;0")-SUMIFS('Daftar Koreksi'!$I$5:$I$92,'Daftar Koreksi'!$D$5:$D$92,'1900'!A774,'Daftar Koreksi'!$G$5:$G$92,"Aset Tetap Lainnya",'Daftar Koreksi'!$I$5:$I$92,"&lt;0")</f>
        <v>0</v>
      </c>
      <c r="G790" s="17">
        <f t="shared" si="35"/>
        <v>0</v>
      </c>
      <c r="H790" s="122"/>
    </row>
    <row r="791" spans="1:10" ht="21.95" customHeight="1">
      <c r="A791" s="14"/>
      <c r="B791" s="14"/>
      <c r="C791" s="16" t="s">
        <v>2020</v>
      </c>
      <c r="D791" s="17">
        <f>VLOOKUP(A774,'Neraca Unaudited SIMAK'!$A$2:$S$10004,17,FALSE)</f>
        <v>-91796874</v>
      </c>
      <c r="E791" s="25">
        <f>SUMIFS('Daftar Koreksi'!$I$5:$I$92,'Daftar Koreksi'!$D$5:$D$92,'1900'!A774,'Daftar Koreksi'!$G$5:$G$92,"Aset Henti Guna",'Daftar Koreksi'!$I$5:$I$92,"&gt;0")</f>
        <v>0</v>
      </c>
      <c r="F791" s="25">
        <f>SUMIFS('Daftar Koreksi'!$I$5:$I$92,'Daftar Koreksi'!$D$5:$D$92,'1900'!A774,'Daftar Koreksi'!$G$5:$G$92,"Aset Henti Guna",'Daftar Koreksi'!$I$5:$I$92,"&lt;0")-SUMIFS('Daftar Koreksi'!$I$5:$I$92,'Daftar Koreksi'!$D$5:$D$92,'1900'!A774,'Daftar Koreksi'!$G$5:$G$92,"Aset Henti Guna",'Daftar Koreksi'!$I$5:$I$92,"&lt;0")-SUMIFS('Daftar Koreksi'!$I$5:$I$92,'Daftar Koreksi'!$D$5:$D$92,'1900'!A774,'Daftar Koreksi'!$G$5:$G$92,"Aset Henti Guna",'Daftar Koreksi'!$I$5:$I$92,"&lt;0")</f>
        <v>0</v>
      </c>
      <c r="G791" s="17">
        <f t="shared" si="35"/>
        <v>-91796874</v>
      </c>
      <c r="H791" s="122"/>
    </row>
    <row r="792" spans="1:10" ht="21.95" customHeight="1">
      <c r="A792" s="14"/>
      <c r="B792" s="14"/>
      <c r="C792" s="18" t="s">
        <v>2094</v>
      </c>
      <c r="D792" s="19">
        <f>SUM(D787:D791)</f>
        <v>-1538434311</v>
      </c>
      <c r="E792" s="19">
        <f>SUM(E787:E791)</f>
        <v>0</v>
      </c>
      <c r="F792" s="19">
        <f>SUM(F787:F791)</f>
        <v>0</v>
      </c>
      <c r="G792" s="19">
        <f t="shared" si="35"/>
        <v>-1538434311</v>
      </c>
      <c r="H792" s="122"/>
    </row>
    <row r="793" spans="1:10" ht="21.95" customHeight="1">
      <c r="A793" s="14"/>
      <c r="B793" s="14"/>
      <c r="C793" s="18" t="s">
        <v>2095</v>
      </c>
      <c r="D793" s="19">
        <f>VLOOKUP(A774,'Neraca Unaudited SIMAK'!$A$2:$S$10004,18,FALSE)</f>
        <v>5203914669</v>
      </c>
      <c r="E793" s="19">
        <f>E792+E786</f>
        <v>0</v>
      </c>
      <c r="F793" s="19">
        <f>F792+F786</f>
        <v>0</v>
      </c>
      <c r="G793" s="19">
        <f t="shared" si="35"/>
        <v>5203914669</v>
      </c>
      <c r="H793" s="122"/>
    </row>
    <row r="794" spans="1:10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10" ht="19.5" customHeight="1">
      <c r="A796" s="11" t="str">
        <f>O37</f>
        <v>005011900307576000KD</v>
      </c>
      <c r="B796" s="11" t="str">
        <f>P37</f>
        <v>PA. Pare-Pare</v>
      </c>
      <c r="C796" s="12" t="str">
        <f>A796&amp;" "&amp;B796</f>
        <v>005011900307576000KD PA. Pare-Pare</v>
      </c>
      <c r="D796" s="13"/>
      <c r="E796" s="13"/>
      <c r="F796" s="13"/>
      <c r="G796" s="13"/>
      <c r="H796" s="11"/>
    </row>
    <row r="797" spans="1:10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10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10" ht="21.95" customHeight="1">
      <c r="A799" s="14"/>
      <c r="B799" s="14"/>
      <c r="C799" s="16" t="s">
        <v>1165</v>
      </c>
      <c r="D799" s="17">
        <f>VLOOKUP(A796,'Neraca Unaudited SIMAK'!$A$2:$S$10004,3,FALSE)</f>
        <v>2786755</v>
      </c>
      <c r="E799" s="25">
        <f>SUMIFS('Daftar Koreksi'!$H$5:$H$92,'Daftar Koreksi'!$D$5:$D$92,'1900'!A796,'Daftar Koreksi'!$G$5:$G$92,"Persediaan",'Daftar Koreksi'!$H$5:$H$92,"&gt;0")</f>
        <v>0</v>
      </c>
      <c r="F799" s="25">
        <f>SUMIFS('Daftar Koreksi'!$H$5:$H$92,'Daftar Koreksi'!$D$5:$D$92,'1900'!A796,'Daftar Koreksi'!$G$5:$G$92,"Persediaan",'Daftar Koreksi'!$H$5:$H$92,"&lt;0")-SUMIFS('Daftar Koreksi'!$H$5:$H$92,'Daftar Koreksi'!$D$5:$D$92,'1900'!A796,'Daftar Koreksi'!$G$5:$G$92,"Persediaan",'Daftar Koreksi'!$H$5:$H$92,"&lt;0")-SUMIFS('Daftar Koreksi'!$H$5:$H$92,'Daftar Koreksi'!$D$5:$D$92,'1900'!A796,'Daftar Koreksi'!$G$5:$G$92,"Persediaan",'Daftar Koreksi'!$H$5:$H$92,"&lt;0")</f>
        <v>0</v>
      </c>
      <c r="G799" s="17">
        <f>D799+E799-F799</f>
        <v>2786755</v>
      </c>
      <c r="H799" s="121" t="str">
        <f>IF(ISNA(VLOOKUP(A796,'Mutasi Neraca'!$A$3:$S$914,19,FALSE)),"-",VLOOKUP(A796,'Mutasi Neraca'!$A$3:$S$914,19,FALSE))</f>
        <v>TP. No 4</v>
      </c>
      <c r="I799" s="28"/>
      <c r="J799" s="28"/>
    </row>
    <row r="800" spans="1:10" ht="21.95" customHeight="1">
      <c r="A800" s="14"/>
      <c r="B800" s="14"/>
      <c r="C800" s="16" t="s">
        <v>1166</v>
      </c>
      <c r="D800" s="17">
        <f>VLOOKUP(A796,'Neraca Unaudited SIMAK'!$A$2:$S$10004,4,FALSE)</f>
        <v>1685884540</v>
      </c>
      <c r="E800" s="25">
        <f>SUMIFS('Daftar Koreksi'!$H$5:$H$92,'Daftar Koreksi'!$D$5:$D$92,'1900'!A796,'Daftar Koreksi'!$G$5:$G$92,"Tanah",'Daftar Koreksi'!$H$5:$H$92,"&gt;0")</f>
        <v>0</v>
      </c>
      <c r="F800" s="25">
        <f>SUMIFS('Daftar Koreksi'!$H$5:$H$92,'Daftar Koreksi'!$D$5:$D$92,'1900'!A796,'Daftar Koreksi'!$G$5:$G$92,"Tanah",'Daftar Koreksi'!$H$5:$H$92,"&lt;0")-SUMIFS('Daftar Koreksi'!$H$5:$H$92,'Daftar Koreksi'!$D$5:$D$92,'1900'!A796,'Daftar Koreksi'!$G$5:$G$92,"Tanah",'Daftar Koreksi'!$H$5:$H$92,"&lt;0")-SUMIFS('Daftar Koreksi'!$H$5:$H$92,'Daftar Koreksi'!$D$5:$D$92,'1900'!A796,'Daftar Koreksi'!$G$5:$G$92,"Tanah",'Daftar Koreksi'!$H$5:$H$92,"&lt;0")</f>
        <v>0</v>
      </c>
      <c r="G800" s="17">
        <f t="shared" ref="G800:G816" si="36">D800+E800-F800</f>
        <v>1685884540</v>
      </c>
      <c r="H800" s="122"/>
      <c r="I800" s="28"/>
      <c r="J800" s="28"/>
    </row>
    <row r="801" spans="1:10" ht="21.95" customHeight="1">
      <c r="A801" s="14"/>
      <c r="B801" s="14"/>
      <c r="C801" s="16" t="s">
        <v>1167</v>
      </c>
      <c r="D801" s="17">
        <f>VLOOKUP(A796,'Neraca Unaudited SIMAK'!$A$2:$S$10004,5,FALSE)</f>
        <v>1244389585</v>
      </c>
      <c r="E801" s="25">
        <f>SUMIFS('Daftar Koreksi'!$H$5:$H$92,'Daftar Koreksi'!$D$5:$D$92,'1900'!A796,'Daftar Koreksi'!$G$5:$G$92,"Peralatan dan mesin",'Daftar Koreksi'!$H$5:$H$92,"&gt;0")</f>
        <v>3895309</v>
      </c>
      <c r="F801" s="25">
        <f>SUMIFS('Daftar Koreksi'!$H$5:$H$92,'Daftar Koreksi'!$D$5:$D$92,'1900'!A796,'Daftar Koreksi'!$G$5:$G$92,"Peralatan dan mesin",'Daftar Koreksi'!$H$5:$H$92,"&lt;0")-SUMIFS('Daftar Koreksi'!$H$5:$H$92,'Daftar Koreksi'!$D$5:$D$92,'1900'!A796,'Daftar Koreksi'!$G$5:$G$92,"Peralatan dan mesin",'Daftar Koreksi'!$H$5:$H$92,"&lt;0")-SUMIFS('Daftar Koreksi'!$H$5:$H$92,'Daftar Koreksi'!$D$5:$D$92,'1900'!A796,'Daftar Koreksi'!$G$5:$G$92,"Peralatan dan mesin",'Daftar Koreksi'!$H$5:$H$92,"&lt;0")</f>
        <v>0</v>
      </c>
      <c r="G801" s="17">
        <f t="shared" si="36"/>
        <v>1248284894</v>
      </c>
      <c r="H801" s="122"/>
      <c r="I801" s="28"/>
      <c r="J801" s="28"/>
    </row>
    <row r="802" spans="1:10" ht="21.95" customHeight="1">
      <c r="A802" s="14"/>
      <c r="B802" s="14"/>
      <c r="C802" s="16" t="s">
        <v>1168</v>
      </c>
      <c r="D802" s="17">
        <f>VLOOKUP(A796,'Neraca Unaudited SIMAK'!$A$2:$S$10004,6,FALSE)</f>
        <v>4254556000</v>
      </c>
      <c r="E802" s="25">
        <f>SUMIFS('Daftar Koreksi'!$H$5:$H$92,'Daftar Koreksi'!$D$5:$D$92,'1900'!A796,'Daftar Koreksi'!$G$5:$G$92,"Gedung dan Bangunan",'Daftar Koreksi'!$H$5:$H$92,"&gt;0")</f>
        <v>0</v>
      </c>
      <c r="F802" s="25">
        <f>SUMIFS('Daftar Koreksi'!$H$5:$H$92,'Daftar Koreksi'!$D$5:$D$92,'1900'!A796,'Daftar Koreksi'!$G$5:$G$92,"Gedung dan Bangunan",'Daftar Koreksi'!$H$5:$H$92,"&lt;0")-SUMIFS('Daftar Koreksi'!$H$5:$H$92,'Daftar Koreksi'!$D$5:$D$92,'1900'!A796,'Daftar Koreksi'!$G$5:$G$92,"Gedung dan Bangunan",'Daftar Koreksi'!$H$5:$H$92,"&lt;0")-SUMIFS('Daftar Koreksi'!$H$5:$H$92,'Daftar Koreksi'!$D$5:$D$92,'1900'!A796,'Daftar Koreksi'!$G$5:$G$92,"Gedung dan Bangunan",'Daftar Koreksi'!$H$5:$H$92,"&lt;0")</f>
        <v>0</v>
      </c>
      <c r="G802" s="17">
        <f t="shared" si="36"/>
        <v>4254556000</v>
      </c>
      <c r="H802" s="122"/>
      <c r="I802" s="28"/>
      <c r="J802" s="28"/>
    </row>
    <row r="803" spans="1:10" ht="21.95" customHeight="1">
      <c r="A803" s="14"/>
      <c r="B803" s="14"/>
      <c r="C803" s="16" t="s">
        <v>1169</v>
      </c>
      <c r="D803" s="17">
        <f>VLOOKUP(A796,'Neraca Unaudited SIMAK'!$A$2:$S$10004,7,FALSE)</f>
        <v>0</v>
      </c>
      <c r="E803" s="25">
        <f>SUMIFS('Daftar Koreksi'!$H$5:$H$92,'Daftar Koreksi'!$D$5:$D$92,'1900'!A796,'Daftar Koreksi'!$G$5:$G$92,"Jalan Irigasi Jaringan",'Daftar Koreksi'!$H$5:$H$92,"&gt;0")</f>
        <v>0</v>
      </c>
      <c r="F803" s="25">
        <f>SUMIFS('Daftar Koreksi'!$H$5:$H$92,'Daftar Koreksi'!$D$5:$D$92,'1900'!A796,'Daftar Koreksi'!$G$5:$G$92,"Jalan Irigasi Jaringan",'Daftar Koreksi'!$H$5:$H$92,"&lt;0")-SUMIFS('Daftar Koreksi'!$H$5:$H$92,'Daftar Koreksi'!$D$5:$D$92,'1900'!A796,'Daftar Koreksi'!$G$5:$G$92,"Jalan Irigasi Jaringan",'Daftar Koreksi'!$H$5:$H$92,"&lt;0")-SUMIFS('Daftar Koreksi'!$H$5:$H$92,'Daftar Koreksi'!$D$5:$D$92,'1900'!A796,'Daftar Koreksi'!$G$5:$G$92,"Jalan Irigasi Jaringan",'Daftar Koreksi'!$H$5:$H$92,"&lt;0")</f>
        <v>0</v>
      </c>
      <c r="G803" s="17">
        <f t="shared" si="36"/>
        <v>0</v>
      </c>
      <c r="H803" s="122"/>
      <c r="I803" s="28"/>
      <c r="J803" s="28"/>
    </row>
    <row r="804" spans="1:10" ht="21.95" customHeight="1">
      <c r="A804" s="14"/>
      <c r="B804" s="14"/>
      <c r="C804" s="16" t="s">
        <v>1170</v>
      </c>
      <c r="D804" s="17">
        <f>VLOOKUP(A796,'Neraca Unaudited SIMAK'!$A$2:$S$10004,8,FALSE)</f>
        <v>438000</v>
      </c>
      <c r="E804" s="25">
        <f>SUMIFS('Daftar Koreksi'!$H$5:$H$92,'Daftar Koreksi'!$D$5:$D$92,'1900'!A796,'Daftar Koreksi'!$G$5:$G$92,"Aset Tetap Lainnya",'Daftar Koreksi'!$H$5:$H$92,"&gt;0")</f>
        <v>0</v>
      </c>
      <c r="F804" s="25">
        <f>SUMIFS('Daftar Koreksi'!$H$5:$H$92,'Daftar Koreksi'!$D$5:$D$92,'1900'!A796,'Daftar Koreksi'!$G$5:$G$92,"Aset Tetap Lainnya",'Daftar Koreksi'!$H$5:$H$92,"&lt;0")-SUMIFS('Daftar Koreksi'!$H$5:$H$92,'Daftar Koreksi'!$D$5:$D$92,'1900'!A796,'Daftar Koreksi'!$G$5:$G$92,"Aset Tetap Lainnya",'Daftar Koreksi'!$H$5:$H$92,"&lt;0")-SUMIFS('Daftar Koreksi'!$H$5:$H$92,'Daftar Koreksi'!$D$5:$D$92,'1900'!A796,'Daftar Koreksi'!$G$5:$G$92,"Aset Tetap Lainnya",'Daftar Koreksi'!$H$5:$H$92,"&lt;0")</f>
        <v>0</v>
      </c>
      <c r="G804" s="17">
        <f t="shared" si="36"/>
        <v>438000</v>
      </c>
      <c r="H804" s="122"/>
      <c r="I804" s="28"/>
      <c r="J804" s="28"/>
    </row>
    <row r="805" spans="1:10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Koreksi'!$D$5:$D$92,'1900'!A796,'Daftar Koreksi'!$G$5:$G$92,"Kontruksi Dalam Pengerjaan",'Daftar Koreksi'!$H$5:$H$92,"&gt;0")</f>
        <v>0</v>
      </c>
      <c r="F805" s="25">
        <f>SUMIFS('Daftar Koreksi'!$H$5:$H$92,'Daftar Koreksi'!$D$5:$D$92,'1900'!A796,'Daftar Koreksi'!$G$5:$G$92,"Kontruksi Dalam Pengerjaan",'Daftar Koreksi'!$H$5:$H$92,"&lt;0")-SUMIFS('Daftar Koreksi'!$H$5:$H$92,'Daftar Koreksi'!$D$5:$D$92,'1900'!A796,'Daftar Koreksi'!$G$5:$G$92,"Kontruksi Dalam Pengerjaan",'Daftar Koreksi'!$H$5:$H$92,"&lt;0")-SUMIFS('Daftar Koreksi'!$H$5:$H$92,'Daftar Koreksi'!$D$5:$D$92,'1900'!A796,'Daftar Koreksi'!$G$5:$G$92,"Kontruksi Dalam Pengerjaan",'Daftar Koreksi'!$H$5:$H$92,"&lt;0")</f>
        <v>0</v>
      </c>
      <c r="G805" s="17">
        <f t="shared" si="36"/>
        <v>0</v>
      </c>
      <c r="H805" s="122"/>
      <c r="I805" s="28"/>
      <c r="J805" s="28"/>
    </row>
    <row r="806" spans="1:10" ht="21.95" customHeight="1">
      <c r="A806" s="14"/>
      <c r="B806" s="14"/>
      <c r="C806" s="16" t="s">
        <v>1172</v>
      </c>
      <c r="D806" s="17">
        <f>VLOOKUP(A796,'Neraca Unaudited SIMAK'!$A$2:$S$10004,10,FALSE)</f>
        <v>0</v>
      </c>
      <c r="E806" s="25">
        <f>SUMIFS('Daftar Koreksi'!$H$5:$H$92,'Daftar Koreksi'!$D$5:$D$92,'1900'!A796,'Daftar Koreksi'!$G$5:$G$92,"Aset Tak Berwujud",'Daftar Koreksi'!$H$5:$H$92,"&gt;0")</f>
        <v>0</v>
      </c>
      <c r="F806" s="25">
        <f>SUMIFS('Daftar Koreksi'!$H$5:$H$92,'Daftar Koreksi'!$D$5:$D$92,'1900'!A796,'Daftar Koreksi'!$G$5:$G$92,"Aset Tak Berwujud",'Daftar Koreksi'!$H$5:$H$92,"&lt;0")-SUMIFS('Daftar Koreksi'!$H$5:$H$92,'Daftar Koreksi'!$D$5:$D$92,'1900'!A796,'Daftar Koreksi'!$G$5:$G$92,"Aset Tak Berwujud",'Daftar Koreksi'!$H$5:$H$92,"&lt;0")-SUMIFS('Daftar Koreksi'!$H$5:$H$92,'Daftar Koreksi'!$D$5:$D$92,'1900'!A796,'Daftar Koreksi'!$G$5:$G$92,"Aset Tak Berwujud",'Daftar Koreksi'!$H$5:$H$92,"&lt;0")</f>
        <v>0</v>
      </c>
      <c r="G806" s="17">
        <f t="shared" si="36"/>
        <v>0</v>
      </c>
      <c r="H806" s="122"/>
      <c r="I806" s="28"/>
      <c r="J806" s="28"/>
    </row>
    <row r="807" spans="1:10" ht="21.95" customHeight="1">
      <c r="A807" s="14"/>
      <c r="B807" s="14"/>
      <c r="C807" s="16" t="s">
        <v>1173</v>
      </c>
      <c r="D807" s="17">
        <f>VLOOKUP(A796,'Neraca Unaudited SIMAK'!$A$2:$S$10004,11,FALSE)</f>
        <v>200000</v>
      </c>
      <c r="E807" s="25">
        <f>SUMIFS('Daftar Koreksi'!$H$5:$H$92,'Daftar Koreksi'!$D$5:$D$92,'1900'!A796,'Daftar Koreksi'!$G$5:$G$92,"Aset Henti Guna",'Daftar Koreksi'!$H$5:$H$92,"&gt;0")</f>
        <v>0</v>
      </c>
      <c r="F807" s="25">
        <f>SUMIFS('Daftar Koreksi'!$H$5:$H$92,'Daftar Koreksi'!$D$5:$D$92,'1900'!A796,'Daftar Koreksi'!$G$5:$G$92,"Aset Henti Guna",'Daftar Koreksi'!$H$5:$H$92,"&lt;0")-SUMIFS('Daftar Koreksi'!$H$5:$H$92,'Daftar Koreksi'!$D$5:$D$92,'1900'!A796,'Daftar Koreksi'!$G$5:$G$92,"Aset Henti Guna",'Daftar Koreksi'!$H$5:$H$92,"&lt;0")-SUMIFS('Daftar Koreksi'!$H$5:$H$92,'Daftar Koreksi'!$D$5:$D$92,'1900'!A796,'Daftar Koreksi'!$G$5:$G$92,"Aset Henti Guna",'Daftar Koreksi'!$H$5:$H$92,"&lt;0")</f>
        <v>0</v>
      </c>
      <c r="G807" s="17">
        <f t="shared" si="36"/>
        <v>200000</v>
      </c>
      <c r="H807" s="122"/>
      <c r="I807" s="28"/>
      <c r="J807" s="28"/>
    </row>
    <row r="808" spans="1:10" ht="21.95" customHeight="1">
      <c r="A808" s="14"/>
      <c r="B808" s="14"/>
      <c r="C808" s="18" t="s">
        <v>2093</v>
      </c>
      <c r="D808" s="19">
        <f>VLOOKUP(A796,'Neraca Unaudited SIMAK'!$A$2:$S$10004,12,FALSE)</f>
        <v>7188254880</v>
      </c>
      <c r="E808" s="19">
        <f>SUM(E799:E807)</f>
        <v>3895309</v>
      </c>
      <c r="F808" s="19">
        <f>SUM(F799:F807)</f>
        <v>0</v>
      </c>
      <c r="G808" s="19">
        <f t="shared" si="36"/>
        <v>7192150189</v>
      </c>
      <c r="H808" s="122"/>
      <c r="I808" s="28"/>
      <c r="J808" s="28"/>
    </row>
    <row r="809" spans="1:10" ht="21.95" customHeight="1">
      <c r="A809" s="14"/>
      <c r="B809" s="14"/>
      <c r="C809" s="16" t="s">
        <v>2087</v>
      </c>
      <c r="D809" s="17">
        <f>VLOOKUP(A796,'Neraca Unaudited SIMAK'!$A$2:$S$10004,13,FALSE)</f>
        <v>-1084173504</v>
      </c>
      <c r="E809" s="25">
        <f>SUMIFS('Daftar Koreksi'!$I$5:$I$92,'Daftar Koreksi'!$D$5:$D$92,'1900'!A796,'Daftar Koreksi'!$G$5:$G$92,"Peralatan dan mesin",'Daftar Koreksi'!$I$5:$I$92,"&gt;0")</f>
        <v>0</v>
      </c>
      <c r="F809" s="25">
        <f>SUMIFS('Daftar Koreksi'!$I$5:$I$92,'Daftar Koreksi'!$D$5:$D$92,'1900'!A796,'Daftar Koreksi'!$G$5:$G$92,"Peralatan dan mesin",'Daftar Koreksi'!$I$5:$I$92,"&lt;0")-SUMIFS('Daftar Koreksi'!$I$5:$I$92,'Daftar Koreksi'!$D$5:$D$92,'1900'!A796,'Daftar Koreksi'!$G$5:$G$92,"Peralatan dan mesin",'Daftar Koreksi'!$I$5:$I$92,"&lt;0")-SUMIFS('Daftar Koreksi'!$I$5:$I$92,'Daftar Koreksi'!$D$5:$D$92,'1900'!A796,'Daftar Koreksi'!$G$5:$G$92,"Peralatan dan mesin",'Daftar Koreksi'!$I$5:$I$92,"&lt;0")</f>
        <v>389531</v>
      </c>
      <c r="G809" s="17">
        <f t="shared" si="36"/>
        <v>-1084563035</v>
      </c>
      <c r="H809" s="122"/>
      <c r="I809" s="28"/>
      <c r="J809" s="28"/>
    </row>
    <row r="810" spans="1:10" ht="21.95" customHeight="1">
      <c r="A810" s="14"/>
      <c r="B810" s="14"/>
      <c r="C810" s="16" t="s">
        <v>2088</v>
      </c>
      <c r="D810" s="17">
        <f>VLOOKUP(A796,'Neraca Unaudited SIMAK'!$A$2:$S$10004,14,FALSE)</f>
        <v>-578528912</v>
      </c>
      <c r="E810" s="25">
        <f>SUMIFS('Daftar Koreksi'!$I$5:$I$92,'Daftar Koreksi'!$D$5:$D$92,'1900'!A796,'Daftar Koreksi'!$G$5:$G$92,"Gedung dan Bangunan",'Daftar Koreksi'!$I$5:$I$92,"&gt;0")</f>
        <v>0</v>
      </c>
      <c r="F810" s="25">
        <f>SUMIFS('Daftar Koreksi'!$I$5:$I$92,'Daftar Koreksi'!$D$5:$D$92,'1900'!A796,'Daftar Koreksi'!$G$5:$G$92,"Gedung dan Bangunan",'Daftar Koreksi'!$I$5:$I$92,"&lt;0")-SUMIFS('Daftar Koreksi'!$I$5:$I$92,'Daftar Koreksi'!$D$5:$D$92,'1900'!A796,'Daftar Koreksi'!$G$5:$G$92,"Gedung dan Bangunan",'Daftar Koreksi'!$I$5:$I$92,"&lt;0")-SUMIFS('Daftar Koreksi'!$I$5:$I$92,'Daftar Koreksi'!$D$5:$D$92,'1900'!A796,'Daftar Koreksi'!$G$5:$G$92,"Gedung dan Bangunan",'Daftar Koreksi'!$I$5:$I$92,"&lt;0")</f>
        <v>0</v>
      </c>
      <c r="G810" s="17">
        <f t="shared" si="36"/>
        <v>-578528912</v>
      </c>
      <c r="H810" s="122"/>
      <c r="I810" s="28"/>
      <c r="J810" s="28"/>
    </row>
    <row r="811" spans="1:10" ht="21.95" customHeight="1">
      <c r="A811" s="14"/>
      <c r="B811" s="14"/>
      <c r="C811" s="16" t="s">
        <v>2089</v>
      </c>
      <c r="D811" s="17">
        <f>VLOOKUP(A796,'Neraca Unaudited SIMAK'!$A$2:$S$10004,15,FALSE)</f>
        <v>0</v>
      </c>
      <c r="E811" s="25">
        <f>SUMIFS('Daftar Koreksi'!$I$5:$I$92,'Daftar Koreksi'!$D$5:$D$92,'1900'!A796,'Daftar Koreksi'!$G$5:$G$92,"Jalan Irigasi Jaringan",'Daftar Koreksi'!$I$5:$I$92,"&gt;0")</f>
        <v>0</v>
      </c>
      <c r="F811" s="25">
        <f>SUMIFS('Daftar Koreksi'!$I$5:$I$92,'Daftar Koreksi'!$D$5:$D$92,'1900'!A796,'Daftar Koreksi'!$G$5:$G$92,"Jalan Irigasi Jaringan",'Daftar Koreksi'!$I$5:$I$92,"&lt;0")-SUMIFS('Daftar Koreksi'!$I$5:$I$92,'Daftar Koreksi'!$D$5:$D$92,'1900'!A796,'Daftar Koreksi'!$G$5:$G$92,"Jalan Irigasi Jaringan",'Daftar Koreksi'!$I$5:$I$92,"&lt;0")-SUMIFS('Daftar Koreksi'!$I$5:$I$92,'Daftar Koreksi'!$D$5:$D$92,'1900'!A796,'Daftar Koreksi'!$G$5:$G$92,"Jalan Irigasi Jaringan",'Daftar Koreksi'!$I$5:$I$92,"&lt;0")</f>
        <v>0</v>
      </c>
      <c r="G811" s="17">
        <f t="shared" si="36"/>
        <v>0</v>
      </c>
      <c r="H811" s="122"/>
      <c r="I811" s="28"/>
      <c r="J811" s="28"/>
    </row>
    <row r="812" spans="1:10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Koreksi'!$D$5:$D$92,'1900'!A796,'Daftar Koreksi'!$G$5:$G$92,"Aset Tetap Lainnya",'Daftar Koreksi'!$I$5:$I$92,"&gt;0")</f>
        <v>0</v>
      </c>
      <c r="F812" s="25">
        <f>SUMIFS('Daftar Koreksi'!$I$5:$I$92,'Daftar Koreksi'!$D$5:$D$92,'1900'!A796,'Daftar Koreksi'!$G$5:$G$92,"Aset Tetap Lainnya",'Daftar Koreksi'!$I$5:$I$92,"&lt;0")-SUMIFS('Daftar Koreksi'!$I$5:$I$92,'Daftar Koreksi'!$D$5:$D$92,'1900'!A796,'Daftar Koreksi'!$G$5:$G$92,"Aset Tetap Lainnya",'Daftar Koreksi'!$I$5:$I$92,"&lt;0")-SUMIFS('Daftar Koreksi'!$I$5:$I$92,'Daftar Koreksi'!$D$5:$D$92,'1900'!A796,'Daftar Koreksi'!$G$5:$G$92,"Aset Tetap Lainnya",'Daftar Koreksi'!$I$5:$I$92,"&lt;0")</f>
        <v>0</v>
      </c>
      <c r="G812" s="17">
        <f t="shared" si="36"/>
        <v>0</v>
      </c>
      <c r="H812" s="122"/>
      <c r="I812" s="28"/>
      <c r="J812" s="28"/>
    </row>
    <row r="813" spans="1:10" ht="21.95" customHeight="1">
      <c r="A813" s="14"/>
      <c r="B813" s="14"/>
      <c r="C813" s="16" t="s">
        <v>2020</v>
      </c>
      <c r="D813" s="17">
        <f>VLOOKUP(A796,'Neraca Unaudited SIMAK'!$A$2:$S$10004,17,FALSE)</f>
        <v>-200000</v>
      </c>
      <c r="E813" s="25">
        <f>SUMIFS('Daftar Koreksi'!$I$5:$I$92,'Daftar Koreksi'!$D$5:$D$92,'1900'!A796,'Daftar Koreksi'!$G$5:$G$92,"Aset Henti Guna",'Daftar Koreksi'!$I$5:$I$92,"&gt;0")</f>
        <v>0</v>
      </c>
      <c r="F813" s="25">
        <f>SUMIFS('Daftar Koreksi'!$I$5:$I$92,'Daftar Koreksi'!$D$5:$D$92,'1900'!A796,'Daftar Koreksi'!$G$5:$G$92,"Aset Henti Guna",'Daftar Koreksi'!$I$5:$I$92,"&lt;0")-SUMIFS('Daftar Koreksi'!$I$5:$I$92,'Daftar Koreksi'!$D$5:$D$92,'1900'!A796,'Daftar Koreksi'!$G$5:$G$92,"Aset Henti Guna",'Daftar Koreksi'!$I$5:$I$92,"&lt;0")-SUMIFS('Daftar Koreksi'!$I$5:$I$92,'Daftar Koreksi'!$D$5:$D$92,'1900'!A796,'Daftar Koreksi'!$G$5:$G$92,"Aset Henti Guna",'Daftar Koreksi'!$I$5:$I$92,"&lt;0")</f>
        <v>0</v>
      </c>
      <c r="G813" s="17">
        <f t="shared" si="36"/>
        <v>-200000</v>
      </c>
      <c r="H813" s="122"/>
      <c r="I813" s="28"/>
      <c r="J813" s="28"/>
    </row>
    <row r="814" spans="1:10" ht="21.95" customHeight="1">
      <c r="A814" s="14"/>
      <c r="B814" s="14"/>
      <c r="C814" s="18" t="s">
        <v>2094</v>
      </c>
      <c r="D814" s="19">
        <f>SUM(D809:D813)</f>
        <v>-1662902416</v>
      </c>
      <c r="E814" s="19">
        <f>SUM(E809:E813)</f>
        <v>0</v>
      </c>
      <c r="F814" s="19">
        <f>SUM(F809:F813)</f>
        <v>389531</v>
      </c>
      <c r="G814" s="19">
        <f t="shared" si="36"/>
        <v>-1663291947</v>
      </c>
      <c r="H814" s="122"/>
      <c r="I814" s="28"/>
      <c r="J814" s="28"/>
    </row>
    <row r="815" spans="1:10" ht="21.95" customHeight="1">
      <c r="A815" s="14"/>
      <c r="B815" s="14"/>
      <c r="C815" s="18" t="s">
        <v>2095</v>
      </c>
      <c r="D815" s="19">
        <f>VLOOKUP(A796,'Neraca Unaudited SIMAK'!$A$2:$S$10004,18,FALSE)</f>
        <v>5525352464</v>
      </c>
      <c r="E815" s="19">
        <f>E814+E808</f>
        <v>3895309</v>
      </c>
      <c r="F815" s="19">
        <f>F814+F808</f>
        <v>389531</v>
      </c>
      <c r="G815" s="19">
        <f t="shared" si="36"/>
        <v>5528858242</v>
      </c>
      <c r="H815" s="122"/>
      <c r="I815" s="28"/>
      <c r="J815" s="28"/>
    </row>
    <row r="816" spans="1:10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  <c r="I816" s="28"/>
      <c r="J816" s="28"/>
    </row>
    <row r="818" spans="1:8" ht="19.5" customHeight="1">
      <c r="A818" s="11" t="str">
        <f>O38</f>
        <v>005011900307580000KD</v>
      </c>
      <c r="B818" s="11" t="str">
        <f>P38</f>
        <v>PA. Pinrang</v>
      </c>
      <c r="C818" s="12" t="str">
        <f>A818&amp;" "&amp;B818</f>
        <v>005011900307580000KD PA. Pinrang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21000</v>
      </c>
      <c r="E821" s="25">
        <f>SUMIFS('Daftar Koreksi'!$H$5:$H$92,'Daftar Koreksi'!$D$5:$D$92,'1900'!A818,'Daftar Koreksi'!$G$5:$G$92,"Persediaan",'Daftar Koreksi'!$H$5:$H$92,"&gt;0")</f>
        <v>0</v>
      </c>
      <c r="F821" s="25">
        <f>SUMIFS('Daftar Koreksi'!$H$5:$H$92,'Daftar Koreksi'!$D$5:$D$92,'1900'!A818,'Daftar Koreksi'!$G$5:$G$92,"Persediaan",'Daftar Koreksi'!$H$5:$H$92,"&lt;0")-SUMIFS('Daftar Koreksi'!$H$5:$H$92,'Daftar Koreksi'!$D$5:$D$92,'1900'!A818,'Daftar Koreksi'!$G$5:$G$92,"Persediaan",'Daftar Koreksi'!$H$5:$H$92,"&lt;0")-SUMIFS('Daftar Koreksi'!$H$5:$H$92,'Daftar Koreksi'!$D$5:$D$92,'1900'!A818,'Daftar Koreksi'!$G$5:$G$92,"Persediaan",'Daftar Koreksi'!$H$5:$H$92,"&lt;0")</f>
        <v>0</v>
      </c>
      <c r="G821" s="17">
        <f>D821+E821-F821</f>
        <v>21000</v>
      </c>
      <c r="H821" s="121" t="str">
        <f>IF(ISNA(VLOOKUP(A818,'Mutasi Neraca'!$A$3:$S$914,19,FALSE)),"-",VLOOKUP(A818,'Mutasi Neraca'!$A$3:$S$914,19,FALSE))</f>
        <v>-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269000000</v>
      </c>
      <c r="E822" s="25">
        <f>SUMIFS('Daftar Koreksi'!$H$5:$H$92,'Daftar Koreksi'!$D$5:$D$92,'1900'!A818,'Daftar Koreksi'!$G$5:$G$92,"Tanah",'Daftar Koreksi'!$H$5:$H$92,"&gt;0")</f>
        <v>0</v>
      </c>
      <c r="F822" s="25">
        <f>SUMIFS('Daftar Koreksi'!$H$5:$H$92,'Daftar Koreksi'!$D$5:$D$92,'1900'!A818,'Daftar Koreksi'!$G$5:$G$92,"Tanah",'Daftar Koreksi'!$H$5:$H$92,"&lt;0")-SUMIFS('Daftar Koreksi'!$H$5:$H$92,'Daftar Koreksi'!$D$5:$D$92,'1900'!A818,'Daftar Koreksi'!$G$5:$G$92,"Tanah",'Daftar Koreksi'!$H$5:$H$92,"&lt;0")-SUMIFS('Daftar Koreksi'!$H$5:$H$92,'Daftar Koreksi'!$D$5:$D$92,'1900'!A818,'Daftar Koreksi'!$G$5:$G$92,"Tanah",'Daftar Koreksi'!$H$5:$H$92,"&lt;0")</f>
        <v>0</v>
      </c>
      <c r="G822" s="17">
        <f t="shared" ref="G822:G838" si="37">D822+E822-F822</f>
        <v>269000000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1439763804</v>
      </c>
      <c r="E823" s="25">
        <f>SUMIFS('Daftar Koreksi'!$H$5:$H$92,'Daftar Koreksi'!$D$5:$D$92,'1900'!A818,'Daftar Koreksi'!$G$5:$G$92,"Peralatan dan mesin",'Daftar Koreksi'!$H$5:$H$92,"&gt;0")</f>
        <v>0</v>
      </c>
      <c r="F823" s="25">
        <f>SUMIFS('Daftar Koreksi'!$H$5:$H$92,'Daftar Koreksi'!$D$5:$D$92,'1900'!A818,'Daftar Koreksi'!$G$5:$G$92,"Peralatan dan mesin",'Daftar Koreksi'!$H$5:$H$92,"&lt;0")-SUMIFS('Daftar Koreksi'!$H$5:$H$92,'Daftar Koreksi'!$D$5:$D$92,'1900'!A818,'Daftar Koreksi'!$G$5:$G$92,"Peralatan dan mesin",'Daftar Koreksi'!$H$5:$H$92,"&lt;0")-SUMIFS('Daftar Koreksi'!$H$5:$H$92,'Daftar Koreksi'!$D$5:$D$92,'1900'!A818,'Daftar Koreksi'!$G$5:$G$92,"Peralatan dan mesin",'Daftar Koreksi'!$H$5:$H$92,"&lt;0")</f>
        <v>0</v>
      </c>
      <c r="G823" s="17">
        <f t="shared" si="37"/>
        <v>1439763804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3589579400</v>
      </c>
      <c r="E824" s="25">
        <f>SUMIFS('Daftar Koreksi'!$H$5:$H$92,'Daftar Koreksi'!$D$5:$D$92,'1900'!A818,'Daftar Koreksi'!$G$5:$G$92,"Gedung dan Bangunan",'Daftar Koreksi'!$H$5:$H$92,"&gt;0")</f>
        <v>0</v>
      </c>
      <c r="F824" s="25">
        <f>SUMIFS('Daftar Koreksi'!$H$5:$H$92,'Daftar Koreksi'!$D$5:$D$92,'1900'!A818,'Daftar Koreksi'!$G$5:$G$92,"Gedung dan Bangunan",'Daftar Koreksi'!$H$5:$H$92,"&lt;0")-SUMIFS('Daftar Koreksi'!$H$5:$H$92,'Daftar Koreksi'!$D$5:$D$92,'1900'!A818,'Daftar Koreksi'!$G$5:$G$92,"Gedung dan Bangunan",'Daftar Koreksi'!$H$5:$H$92,"&lt;0")-SUMIFS('Daftar Koreksi'!$H$5:$H$92,'Daftar Koreksi'!$D$5:$D$92,'1900'!A818,'Daftar Koreksi'!$G$5:$G$92,"Gedung dan Bangunan",'Daftar Koreksi'!$H$5:$H$92,"&lt;0")</f>
        <v>0</v>
      </c>
      <c r="G824" s="17">
        <f t="shared" si="37"/>
        <v>3589579400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9980000</v>
      </c>
      <c r="E825" s="25">
        <f>SUMIFS('Daftar Koreksi'!$H$5:$H$92,'Daftar Koreksi'!$D$5:$D$92,'1900'!A818,'Daftar Koreksi'!$G$5:$G$92,"Jalan Irigasi Jaringan",'Daftar Koreksi'!$H$5:$H$92,"&gt;0")</f>
        <v>0</v>
      </c>
      <c r="F825" s="25">
        <f>SUMIFS('Daftar Koreksi'!$H$5:$H$92,'Daftar Koreksi'!$D$5:$D$92,'1900'!A818,'Daftar Koreksi'!$G$5:$G$92,"Jalan Irigasi Jaringan",'Daftar Koreksi'!$H$5:$H$92,"&lt;0")-SUMIFS('Daftar Koreksi'!$H$5:$H$92,'Daftar Koreksi'!$D$5:$D$92,'1900'!A818,'Daftar Koreksi'!$G$5:$G$92,"Jalan Irigasi Jaringan",'Daftar Koreksi'!$H$5:$H$92,"&lt;0")-SUMIFS('Daftar Koreksi'!$H$5:$H$92,'Daftar Koreksi'!$D$5:$D$92,'1900'!A818,'Daftar Koreksi'!$G$5:$G$92,"Jalan Irigasi Jaringan",'Daftar Koreksi'!$H$5:$H$92,"&lt;0")</f>
        <v>0</v>
      </c>
      <c r="G825" s="17">
        <f t="shared" si="37"/>
        <v>9980000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40026000</v>
      </c>
      <c r="E826" s="25">
        <f>SUMIFS('Daftar Koreksi'!$H$5:$H$92,'Daftar Koreksi'!$D$5:$D$92,'1900'!A818,'Daftar Koreksi'!$G$5:$G$92,"Aset Tetap Lainnya",'Daftar Koreksi'!$H$5:$H$92,"&gt;0")</f>
        <v>0</v>
      </c>
      <c r="F826" s="25">
        <f>SUMIFS('Daftar Koreksi'!$H$5:$H$92,'Daftar Koreksi'!$D$5:$D$92,'1900'!A818,'Daftar Koreksi'!$G$5:$G$92,"Aset Tetap Lainnya",'Daftar Koreksi'!$H$5:$H$92,"&lt;0")-SUMIFS('Daftar Koreksi'!$H$5:$H$92,'Daftar Koreksi'!$D$5:$D$92,'1900'!A818,'Daftar Koreksi'!$G$5:$G$92,"Aset Tetap Lainnya",'Daftar Koreksi'!$H$5:$H$92,"&lt;0")-SUMIFS('Daftar Koreksi'!$H$5:$H$92,'Daftar Koreksi'!$D$5:$D$92,'1900'!A818,'Daftar Koreksi'!$G$5:$G$92,"Aset Tetap Lainnya",'Daftar Koreksi'!$H$5:$H$92,"&lt;0")</f>
        <v>0</v>
      </c>
      <c r="G826" s="17">
        <f t="shared" si="37"/>
        <v>40026000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Koreksi'!$D$5:$D$92,'1900'!A818,'Daftar Koreksi'!$G$5:$G$92,"Kontruksi Dalam Pengerjaan",'Daftar Koreksi'!$H$5:$H$92,"&gt;0")</f>
        <v>0</v>
      </c>
      <c r="F827" s="25">
        <f>SUMIFS('Daftar Koreksi'!$H$5:$H$92,'Daftar Koreksi'!$D$5:$D$92,'1900'!A818,'Daftar Koreksi'!$G$5:$G$92,"Kontruksi Dalam Pengerjaan",'Daftar Koreksi'!$H$5:$H$92,"&lt;0")-SUMIFS('Daftar Koreksi'!$H$5:$H$92,'Daftar Koreksi'!$D$5:$D$92,'1900'!A818,'Daftar Koreksi'!$G$5:$G$92,"Kontruksi Dalam Pengerjaan",'Daftar Koreksi'!$H$5:$H$92,"&lt;0")-SUMIFS('Daftar Koreksi'!$H$5:$H$92,'Daftar Koreksi'!$D$5:$D$92,'1900'!A818,'Daftar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24972500</v>
      </c>
      <c r="E828" s="25">
        <f>SUMIFS('Daftar Koreksi'!$H$5:$H$92,'Daftar Koreksi'!$D$5:$D$92,'1900'!A818,'Daftar Koreksi'!$G$5:$G$92,"Aset Tak Berwujud",'Daftar Koreksi'!$H$5:$H$92,"&gt;0")</f>
        <v>0</v>
      </c>
      <c r="F828" s="25">
        <f>SUMIFS('Daftar Koreksi'!$H$5:$H$92,'Daftar Koreksi'!$D$5:$D$92,'1900'!A818,'Daftar Koreksi'!$G$5:$G$92,"Aset Tak Berwujud",'Daftar Koreksi'!$H$5:$H$92,"&lt;0")-SUMIFS('Daftar Koreksi'!$H$5:$H$92,'Daftar Koreksi'!$D$5:$D$92,'1900'!A818,'Daftar Koreksi'!$G$5:$G$92,"Aset Tak Berwujud",'Daftar Koreksi'!$H$5:$H$92,"&lt;0")-SUMIFS('Daftar Koreksi'!$H$5:$H$92,'Daftar Koreksi'!$D$5:$D$92,'1900'!A818,'Daftar Koreksi'!$G$5:$G$92,"Aset Tak Berwujud",'Daftar Koreksi'!$H$5:$H$92,"&lt;0")</f>
        <v>0</v>
      </c>
      <c r="G828" s="17">
        <f t="shared" si="37"/>
        <v>24972500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0</v>
      </c>
      <c r="E829" s="25">
        <f>SUMIFS('Daftar Koreksi'!$H$5:$H$92,'Daftar Koreksi'!$D$5:$D$92,'1900'!A818,'Daftar Koreksi'!$G$5:$G$92,"Aset Henti Guna",'Daftar Koreksi'!$H$5:$H$92,"&gt;0")</f>
        <v>0</v>
      </c>
      <c r="F829" s="25">
        <f>SUMIFS('Daftar Koreksi'!$H$5:$H$92,'Daftar Koreksi'!$D$5:$D$92,'1900'!A818,'Daftar Koreksi'!$G$5:$G$92,"Aset Henti Guna",'Daftar Koreksi'!$H$5:$H$92,"&lt;0")-SUMIFS('Daftar Koreksi'!$H$5:$H$92,'Daftar Koreksi'!$D$5:$D$92,'1900'!A818,'Daftar Koreksi'!$G$5:$G$92,"Aset Henti Guna",'Daftar Koreksi'!$H$5:$H$92,"&lt;0")-SUMIFS('Daftar Koreksi'!$H$5:$H$92,'Daftar Koreksi'!$D$5:$D$92,'1900'!A818,'Daftar Koreksi'!$G$5:$G$92,"Aset Henti Guna",'Daftar Koreksi'!$H$5:$H$92,"&lt;0")</f>
        <v>0</v>
      </c>
      <c r="G829" s="17">
        <f t="shared" si="37"/>
        <v>0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5373342704</v>
      </c>
      <c r="E830" s="19">
        <f>SUM(E821:E829)</f>
        <v>0</v>
      </c>
      <c r="F830" s="19">
        <f>SUM(F821:F829)</f>
        <v>0</v>
      </c>
      <c r="G830" s="19">
        <f t="shared" si="37"/>
        <v>5373342704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-1196371628</v>
      </c>
      <c r="E831" s="25">
        <f>SUMIFS('Daftar Koreksi'!$I$5:$I$92,'Daftar Koreksi'!$D$5:$D$92,'1900'!A818,'Daftar Koreksi'!$G$5:$G$92,"Peralatan dan mesin",'Daftar Koreksi'!$I$5:$I$92,"&gt;0")</f>
        <v>0</v>
      </c>
      <c r="F831" s="25">
        <f>SUMIFS('Daftar Koreksi'!$I$5:$I$92,'Daftar Koreksi'!$D$5:$D$92,'1900'!A818,'Daftar Koreksi'!$G$5:$G$92,"Peralatan dan mesin",'Daftar Koreksi'!$I$5:$I$92,"&lt;0")-SUMIFS('Daftar Koreksi'!$I$5:$I$92,'Daftar Koreksi'!$D$5:$D$92,'1900'!A818,'Daftar Koreksi'!$G$5:$G$92,"Peralatan dan mesin",'Daftar Koreksi'!$I$5:$I$92,"&lt;0")-SUMIFS('Daftar Koreksi'!$I$5:$I$92,'Daftar Koreksi'!$D$5:$D$92,'1900'!A818,'Daftar Koreksi'!$G$5:$G$92,"Peralatan dan mesin",'Daftar Koreksi'!$I$5:$I$92,"&lt;0")</f>
        <v>0</v>
      </c>
      <c r="G831" s="17">
        <f t="shared" si="37"/>
        <v>-1196371628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-768288198</v>
      </c>
      <c r="E832" s="25">
        <f>SUMIFS('Daftar Koreksi'!$I$5:$I$92,'Daftar Koreksi'!$D$5:$D$92,'1900'!A818,'Daftar Koreksi'!$G$5:$G$92,"Gedung dan Bangunan",'Daftar Koreksi'!$I$5:$I$92,"&gt;0")</f>
        <v>0</v>
      </c>
      <c r="F832" s="25">
        <f>SUMIFS('Daftar Koreksi'!$I$5:$I$92,'Daftar Koreksi'!$D$5:$D$92,'1900'!A818,'Daftar Koreksi'!$G$5:$G$92,"Gedung dan Bangunan",'Daftar Koreksi'!$I$5:$I$92,"&lt;0")-SUMIFS('Daftar Koreksi'!$I$5:$I$92,'Daftar Koreksi'!$D$5:$D$92,'1900'!A818,'Daftar Koreksi'!$G$5:$G$92,"Gedung dan Bangunan",'Daftar Koreksi'!$I$5:$I$92,"&lt;0")-SUMIFS('Daftar Koreksi'!$I$5:$I$92,'Daftar Koreksi'!$D$5:$D$92,'1900'!A818,'Daftar Koreksi'!$G$5:$G$92,"Gedung dan Bangunan",'Daftar Koreksi'!$I$5:$I$92,"&lt;0")</f>
        <v>0</v>
      </c>
      <c r="G832" s="17">
        <f t="shared" si="37"/>
        <v>-768288198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-998000</v>
      </c>
      <c r="E833" s="25">
        <f>SUMIFS('Daftar Koreksi'!$I$5:$I$92,'Daftar Koreksi'!$D$5:$D$92,'1900'!A818,'Daftar Koreksi'!$G$5:$G$92,"Jalan Irigasi Jaringan",'Daftar Koreksi'!$I$5:$I$92,"&gt;0")</f>
        <v>0</v>
      </c>
      <c r="F833" s="25">
        <f>SUMIFS('Daftar Koreksi'!$I$5:$I$92,'Daftar Koreksi'!$D$5:$D$92,'1900'!A818,'Daftar Koreksi'!$G$5:$G$92,"Jalan Irigasi Jaringan",'Daftar Koreksi'!$I$5:$I$92,"&lt;0")-SUMIFS('Daftar Koreksi'!$I$5:$I$92,'Daftar Koreksi'!$D$5:$D$92,'1900'!A818,'Daftar Koreksi'!$G$5:$G$92,"Jalan Irigasi Jaringan",'Daftar Koreksi'!$I$5:$I$92,"&lt;0")-SUMIFS('Daftar Koreksi'!$I$5:$I$92,'Daftar Koreksi'!$D$5:$D$92,'1900'!A818,'Daftar Koreksi'!$G$5:$G$92,"Jalan Irigasi Jaringan",'Daftar Koreksi'!$I$5:$I$92,"&lt;0")</f>
        <v>0</v>
      </c>
      <c r="G833" s="17">
        <f t="shared" si="37"/>
        <v>-998000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Koreksi'!$D$5:$D$92,'1900'!A818,'Daftar Koreksi'!$G$5:$G$92,"Aset Tetap Lainnya",'Daftar Koreksi'!$I$5:$I$92,"&gt;0")</f>
        <v>0</v>
      </c>
      <c r="F834" s="25">
        <f>SUMIFS('Daftar Koreksi'!$I$5:$I$92,'Daftar Koreksi'!$D$5:$D$92,'1900'!A818,'Daftar Koreksi'!$G$5:$G$92,"Aset Tetap Lainnya",'Daftar Koreksi'!$I$5:$I$92,"&lt;0")-SUMIFS('Daftar Koreksi'!$I$5:$I$92,'Daftar Koreksi'!$D$5:$D$92,'1900'!A818,'Daftar Koreksi'!$G$5:$G$92,"Aset Tetap Lainnya",'Daftar Koreksi'!$I$5:$I$92,"&lt;0")-SUMIFS('Daftar Koreksi'!$I$5:$I$92,'Daftar Koreksi'!$D$5:$D$92,'1900'!A818,'Daftar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0</v>
      </c>
      <c r="E835" s="25">
        <f>SUMIFS('Daftar Koreksi'!$I$5:$I$92,'Daftar Koreksi'!$D$5:$D$92,'1900'!A818,'Daftar Koreksi'!$G$5:$G$92,"Aset Henti Guna",'Daftar Koreksi'!$I$5:$I$92,"&gt;0")</f>
        <v>0</v>
      </c>
      <c r="F835" s="25">
        <f>SUMIFS('Daftar Koreksi'!$I$5:$I$92,'Daftar Koreksi'!$D$5:$D$92,'1900'!A818,'Daftar Koreksi'!$G$5:$G$92,"Aset Henti Guna",'Daftar Koreksi'!$I$5:$I$92,"&lt;0")-SUMIFS('Daftar Koreksi'!$I$5:$I$92,'Daftar Koreksi'!$D$5:$D$92,'1900'!A818,'Daftar Koreksi'!$G$5:$G$92,"Aset Henti Guna",'Daftar Koreksi'!$I$5:$I$92,"&lt;0")-SUMIFS('Daftar Koreksi'!$I$5:$I$92,'Daftar Koreksi'!$D$5:$D$92,'1900'!A818,'Daftar Koreksi'!$G$5:$G$92,"Aset Henti Guna",'Daftar Koreksi'!$I$5:$I$92,"&lt;0")</f>
        <v>0</v>
      </c>
      <c r="G835" s="17">
        <f t="shared" si="37"/>
        <v>0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-1965657826</v>
      </c>
      <c r="E836" s="19">
        <f>SUM(E831:E835)</f>
        <v>0</v>
      </c>
      <c r="F836" s="19">
        <f>SUM(F831:F835)</f>
        <v>0</v>
      </c>
      <c r="G836" s="19">
        <f t="shared" si="37"/>
        <v>-1965657826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3407684878</v>
      </c>
      <c r="E837" s="19">
        <f>E836+E830</f>
        <v>0</v>
      </c>
      <c r="F837" s="19">
        <f>F836+F830</f>
        <v>0</v>
      </c>
      <c r="G837" s="19">
        <f t="shared" si="37"/>
        <v>3407684878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005011900307597000KD</v>
      </c>
      <c r="B840" s="11" t="str">
        <f>P39</f>
        <v xml:space="preserve">PA. Enrekang </v>
      </c>
      <c r="C840" s="12" t="str">
        <f>A840&amp;" "&amp;B840</f>
        <v xml:space="preserve">005011900307597000KD PA. Enrekang 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140000</v>
      </c>
      <c r="E843" s="25">
        <f>SUMIFS('Daftar Koreksi'!$H$5:$H$92,'Daftar Koreksi'!$D$5:$D$92,'1900'!A840,'Daftar Koreksi'!$G$5:$G$92,"Persediaan",'Daftar Koreksi'!$H$5:$H$92,"&gt;0")</f>
        <v>0</v>
      </c>
      <c r="F843" s="25">
        <f>SUMIFS('Daftar Koreksi'!$H$5:$H$92,'Daftar Koreksi'!$D$5:$D$92,'1900'!A840,'Daftar Koreksi'!$G$5:$G$92,"Persediaan",'Daftar Koreksi'!$H$5:$H$92,"&lt;0")-SUMIFS('Daftar Koreksi'!$H$5:$H$92,'Daftar Koreksi'!$D$5:$D$92,'1900'!A840,'Daftar Koreksi'!$G$5:$G$92,"Persediaan",'Daftar Koreksi'!$H$5:$H$92,"&lt;0")-SUMIFS('Daftar Koreksi'!$H$5:$H$92,'Daftar Koreksi'!$D$5:$D$92,'1900'!A840,'Daftar Koreksi'!$G$5:$G$92,"Persediaan",'Daftar Koreksi'!$H$5:$H$92,"&lt;0")</f>
        <v>0</v>
      </c>
      <c r="G843" s="17">
        <f>D843+E843-F843</f>
        <v>140000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737600000</v>
      </c>
      <c r="E844" s="25">
        <f>SUMIFS('Daftar Koreksi'!$H$5:$H$92,'Daftar Koreksi'!$D$5:$D$92,'1900'!A840,'Daftar Koreksi'!$G$5:$G$92,"Tanah",'Daftar Koreksi'!$H$5:$H$92,"&gt;0")</f>
        <v>0</v>
      </c>
      <c r="F844" s="25">
        <f>SUMIFS('Daftar Koreksi'!$H$5:$H$92,'Daftar Koreksi'!$D$5:$D$92,'1900'!A840,'Daftar Koreksi'!$G$5:$G$92,"Tanah",'Daftar Koreksi'!$H$5:$H$92,"&lt;0")-SUMIFS('Daftar Koreksi'!$H$5:$H$92,'Daftar Koreksi'!$D$5:$D$92,'1900'!A840,'Daftar Koreksi'!$G$5:$G$92,"Tanah",'Daftar Koreksi'!$H$5:$H$92,"&lt;0")-SUMIFS('Daftar Koreksi'!$H$5:$H$92,'Daftar Koreksi'!$D$5:$D$92,'1900'!A840,'Daftar Koreksi'!$G$5:$G$92,"Tanah",'Daftar Koreksi'!$H$5:$H$92,"&lt;0")</f>
        <v>0</v>
      </c>
      <c r="G844" s="17">
        <f t="shared" ref="G844:G860" si="38">D844+E844-F844</f>
        <v>737600000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1412520115</v>
      </c>
      <c r="E845" s="25">
        <f>SUMIFS('Daftar Koreksi'!$H$5:$H$92,'Daftar Koreksi'!$D$5:$D$92,'1900'!A840,'Daftar Koreksi'!$G$5:$G$92,"Peralatan dan mesin",'Daftar Koreksi'!$H$5:$H$92,"&gt;0")</f>
        <v>0</v>
      </c>
      <c r="F845" s="25">
        <f>SUMIFS('Daftar Koreksi'!$H$5:$H$92,'Daftar Koreksi'!$D$5:$D$92,'1900'!A840,'Daftar Koreksi'!$G$5:$G$92,"Peralatan dan mesin",'Daftar Koreksi'!$H$5:$H$92,"&lt;0")-SUMIFS('Daftar Koreksi'!$H$5:$H$92,'Daftar Koreksi'!$D$5:$D$92,'1900'!A840,'Daftar Koreksi'!$G$5:$G$92,"Peralatan dan mesin",'Daftar Koreksi'!$H$5:$H$92,"&lt;0")-SUMIFS('Daftar Koreksi'!$H$5:$H$92,'Daftar Koreksi'!$D$5:$D$92,'1900'!A840,'Daftar Koreksi'!$G$5:$G$92,"Peralatan dan mesin",'Daftar Koreksi'!$H$5:$H$92,"&lt;0")</f>
        <v>0</v>
      </c>
      <c r="G845" s="17">
        <f t="shared" si="38"/>
        <v>1412520115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2032632520</v>
      </c>
      <c r="E846" s="25">
        <f>SUMIFS('Daftar Koreksi'!$H$5:$H$92,'Daftar Koreksi'!$D$5:$D$92,'1900'!A840,'Daftar Koreksi'!$G$5:$G$92,"Gedung dan Bangunan",'Daftar Koreksi'!$H$5:$H$92,"&gt;0")</f>
        <v>0</v>
      </c>
      <c r="F846" s="25">
        <f>SUMIFS('Daftar Koreksi'!$H$5:$H$92,'Daftar Koreksi'!$D$5:$D$92,'1900'!A840,'Daftar Koreksi'!$G$5:$G$92,"Gedung dan Bangunan",'Daftar Koreksi'!$H$5:$H$92,"&lt;0")-SUMIFS('Daftar Koreksi'!$H$5:$H$92,'Daftar Koreksi'!$D$5:$D$92,'1900'!A840,'Daftar Koreksi'!$G$5:$G$92,"Gedung dan Bangunan",'Daftar Koreksi'!$H$5:$H$92,"&lt;0")-SUMIFS('Daftar Koreksi'!$H$5:$H$92,'Daftar Koreksi'!$D$5:$D$92,'1900'!A840,'Daftar Koreksi'!$G$5:$G$92,"Gedung dan Bangunan",'Daftar Koreksi'!$H$5:$H$92,"&lt;0")</f>
        <v>0</v>
      </c>
      <c r="G846" s="17">
        <f t="shared" si="38"/>
        <v>2032632520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45125350</v>
      </c>
      <c r="E847" s="25">
        <f>SUMIFS('Daftar Koreksi'!$H$5:$H$92,'Daftar Koreksi'!$D$5:$D$92,'1900'!A840,'Daftar Koreksi'!$G$5:$G$92,"Jalan Irigasi Jaringan",'Daftar Koreksi'!$H$5:$H$92,"&gt;0")</f>
        <v>0</v>
      </c>
      <c r="F847" s="25">
        <f>SUMIFS('Daftar Koreksi'!$H$5:$H$92,'Daftar Koreksi'!$D$5:$D$92,'1900'!A840,'Daftar Koreksi'!$G$5:$G$92,"Jalan Irigasi Jaringan",'Daftar Koreksi'!$H$5:$H$92,"&lt;0")-SUMIFS('Daftar Koreksi'!$H$5:$H$92,'Daftar Koreksi'!$D$5:$D$92,'1900'!A840,'Daftar Koreksi'!$G$5:$G$92,"Jalan Irigasi Jaringan",'Daftar Koreksi'!$H$5:$H$92,"&lt;0")-SUMIFS('Daftar Koreksi'!$H$5:$H$92,'Daftar Koreksi'!$D$5:$D$92,'1900'!A840,'Daftar Koreksi'!$G$5:$G$92,"Jalan Irigasi Jaringan",'Daftar Koreksi'!$H$5:$H$92,"&lt;0")</f>
        <v>0</v>
      </c>
      <c r="G847" s="17">
        <f t="shared" si="38"/>
        <v>45125350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2265570</v>
      </c>
      <c r="E848" s="25">
        <f>SUMIFS('Daftar Koreksi'!$H$5:$H$92,'Daftar Koreksi'!$D$5:$D$92,'1900'!A840,'Daftar Koreksi'!$G$5:$G$92,"Aset Tetap Lainnya",'Daftar Koreksi'!$H$5:$H$92,"&gt;0")</f>
        <v>0</v>
      </c>
      <c r="F848" s="25">
        <f>SUMIFS('Daftar Koreksi'!$H$5:$H$92,'Daftar Koreksi'!$D$5:$D$92,'1900'!A840,'Daftar Koreksi'!$G$5:$G$92,"Aset Tetap Lainnya",'Daftar Koreksi'!$H$5:$H$92,"&lt;0")-SUMIFS('Daftar Koreksi'!$H$5:$H$92,'Daftar Koreksi'!$D$5:$D$92,'1900'!A840,'Daftar Koreksi'!$G$5:$G$92,"Aset Tetap Lainnya",'Daftar Koreksi'!$H$5:$H$92,"&lt;0")-SUMIFS('Daftar Koreksi'!$H$5:$H$92,'Daftar Koreksi'!$D$5:$D$92,'1900'!A840,'Daftar Koreksi'!$G$5:$G$92,"Aset Tetap Lainnya",'Daftar Koreksi'!$H$5:$H$92,"&lt;0")</f>
        <v>0</v>
      </c>
      <c r="G848" s="17">
        <f t="shared" si="38"/>
        <v>2265570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Koreksi'!$D$5:$D$92,'1900'!A840,'Daftar Koreksi'!$G$5:$G$92,"Kontruksi Dalam Pengerjaan",'Daftar Koreksi'!$H$5:$H$92,"&gt;0")</f>
        <v>0</v>
      </c>
      <c r="F849" s="25">
        <f>SUMIFS('Daftar Koreksi'!$H$5:$H$92,'Daftar Koreksi'!$D$5:$D$92,'1900'!A840,'Daftar Koreksi'!$G$5:$G$92,"Kontruksi Dalam Pengerjaan",'Daftar Koreksi'!$H$5:$H$92,"&lt;0")-SUMIFS('Daftar Koreksi'!$H$5:$H$92,'Daftar Koreksi'!$D$5:$D$92,'1900'!A840,'Daftar Koreksi'!$G$5:$G$92,"Kontruksi Dalam Pengerjaan",'Daftar Koreksi'!$H$5:$H$92,"&lt;0")-SUMIFS('Daftar Koreksi'!$H$5:$H$92,'Daftar Koreksi'!$D$5:$D$92,'1900'!A840,'Daftar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10450000</v>
      </c>
      <c r="E850" s="25">
        <f>SUMIFS('Daftar Koreksi'!$H$5:$H$92,'Daftar Koreksi'!$D$5:$D$92,'1900'!A840,'Daftar Koreksi'!$G$5:$G$92,"Aset Tak Berwujud",'Daftar Koreksi'!$H$5:$H$92,"&gt;0")</f>
        <v>0</v>
      </c>
      <c r="F850" s="25">
        <f>SUMIFS('Daftar Koreksi'!$H$5:$H$92,'Daftar Koreksi'!$D$5:$D$92,'1900'!A840,'Daftar Koreksi'!$G$5:$G$92,"Aset Tak Berwujud",'Daftar Koreksi'!$H$5:$H$92,"&lt;0")-SUMIFS('Daftar Koreksi'!$H$5:$H$92,'Daftar Koreksi'!$D$5:$D$92,'1900'!A840,'Daftar Koreksi'!$G$5:$G$92,"Aset Tak Berwujud",'Daftar Koreksi'!$H$5:$H$92,"&lt;0")-SUMIFS('Daftar Koreksi'!$H$5:$H$92,'Daftar Koreksi'!$D$5:$D$92,'1900'!A840,'Daftar Koreksi'!$G$5:$G$92,"Aset Tak Berwujud",'Daftar Koreksi'!$H$5:$H$92,"&lt;0")</f>
        <v>0</v>
      </c>
      <c r="G850" s="17">
        <f t="shared" si="38"/>
        <v>10450000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0</v>
      </c>
      <c r="E851" s="25">
        <f>SUMIFS('Daftar Koreksi'!$H$5:$H$92,'Daftar Koreksi'!$D$5:$D$92,'1900'!A840,'Daftar Koreksi'!$G$5:$G$92,"Aset Henti Guna",'Daftar Koreksi'!$H$5:$H$92,"&gt;0")</f>
        <v>0</v>
      </c>
      <c r="F851" s="25">
        <f>SUMIFS('Daftar Koreksi'!$H$5:$H$92,'Daftar Koreksi'!$D$5:$D$92,'1900'!A840,'Daftar Koreksi'!$G$5:$G$92,"Aset Henti Guna",'Daftar Koreksi'!$H$5:$H$92,"&lt;0")-SUMIFS('Daftar Koreksi'!$H$5:$H$92,'Daftar Koreksi'!$D$5:$D$92,'1900'!A840,'Daftar Koreksi'!$G$5:$G$92,"Aset Henti Guna",'Daftar Koreksi'!$H$5:$H$92,"&lt;0")-SUMIFS('Daftar Koreksi'!$H$5:$H$92,'Daftar Koreksi'!$D$5:$D$92,'1900'!A840,'Daftar Koreksi'!$G$5:$G$92,"Aset Henti Guna",'Daftar Koreksi'!$H$5:$H$92,"&lt;0")</f>
        <v>0</v>
      </c>
      <c r="G851" s="17">
        <f t="shared" si="38"/>
        <v>0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4240733555</v>
      </c>
      <c r="E852" s="19">
        <f>SUM(E843:E851)</f>
        <v>0</v>
      </c>
      <c r="F852" s="19">
        <f>SUM(F843:F851)</f>
        <v>0</v>
      </c>
      <c r="G852" s="19">
        <f t="shared" si="38"/>
        <v>4240733555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-1176134383</v>
      </c>
      <c r="E853" s="25">
        <f>SUMIFS('Daftar Koreksi'!$I$5:$I$92,'Daftar Koreksi'!$D$5:$D$92,'1900'!A840,'Daftar Koreksi'!$G$5:$G$92,"Peralatan dan mesin",'Daftar Koreksi'!$I$5:$I$92,"&gt;0")</f>
        <v>0</v>
      </c>
      <c r="F853" s="25">
        <f>SUMIFS('Daftar Koreksi'!$I$5:$I$92,'Daftar Koreksi'!$D$5:$D$92,'1900'!A840,'Daftar Koreksi'!$G$5:$G$92,"Peralatan dan mesin",'Daftar Koreksi'!$I$5:$I$92,"&lt;0")-SUMIFS('Daftar Koreksi'!$I$5:$I$92,'Daftar Koreksi'!$D$5:$D$92,'1900'!A840,'Daftar Koreksi'!$G$5:$G$92,"Peralatan dan mesin",'Daftar Koreksi'!$I$5:$I$92,"&lt;0")-SUMIFS('Daftar Koreksi'!$I$5:$I$92,'Daftar Koreksi'!$D$5:$D$92,'1900'!A840,'Daftar Koreksi'!$G$5:$G$92,"Peralatan dan mesin",'Daftar Koreksi'!$I$5:$I$92,"&lt;0")</f>
        <v>0</v>
      </c>
      <c r="G853" s="17">
        <f t="shared" si="38"/>
        <v>-1176134383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-447179153</v>
      </c>
      <c r="E854" s="25">
        <f>SUMIFS('Daftar Koreksi'!$I$5:$I$92,'Daftar Koreksi'!$D$5:$D$92,'1900'!A840,'Daftar Koreksi'!$G$5:$G$92,"Gedung dan Bangunan",'Daftar Koreksi'!$I$5:$I$92,"&gt;0")</f>
        <v>0</v>
      </c>
      <c r="F854" s="25">
        <f>SUMIFS('Daftar Koreksi'!$I$5:$I$92,'Daftar Koreksi'!$D$5:$D$92,'1900'!A840,'Daftar Koreksi'!$G$5:$G$92,"Gedung dan Bangunan",'Daftar Koreksi'!$I$5:$I$92,"&lt;0")-SUMIFS('Daftar Koreksi'!$I$5:$I$92,'Daftar Koreksi'!$D$5:$D$92,'1900'!A840,'Daftar Koreksi'!$G$5:$G$92,"Gedung dan Bangunan",'Daftar Koreksi'!$I$5:$I$92,"&lt;0")-SUMIFS('Daftar Koreksi'!$I$5:$I$92,'Daftar Koreksi'!$D$5:$D$92,'1900'!A840,'Daftar Koreksi'!$G$5:$G$92,"Gedung dan Bangunan",'Daftar Koreksi'!$I$5:$I$92,"&lt;0")</f>
        <v>0</v>
      </c>
      <c r="G854" s="17">
        <f t="shared" si="38"/>
        <v>-447179153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-4263618</v>
      </c>
      <c r="E855" s="25">
        <f>SUMIFS('Daftar Koreksi'!$I$5:$I$92,'Daftar Koreksi'!$D$5:$D$92,'1900'!A840,'Daftar Koreksi'!$G$5:$G$92,"Jalan Irigasi Jaringan",'Daftar Koreksi'!$I$5:$I$92,"&gt;0")</f>
        <v>0</v>
      </c>
      <c r="F855" s="25">
        <f>SUMIFS('Daftar Koreksi'!$I$5:$I$92,'Daftar Koreksi'!$D$5:$D$92,'1900'!A840,'Daftar Koreksi'!$G$5:$G$92,"Jalan Irigasi Jaringan",'Daftar Koreksi'!$I$5:$I$92,"&lt;0")-SUMIFS('Daftar Koreksi'!$I$5:$I$92,'Daftar Koreksi'!$D$5:$D$92,'1900'!A840,'Daftar Koreksi'!$G$5:$G$92,"Jalan Irigasi Jaringan",'Daftar Koreksi'!$I$5:$I$92,"&lt;0")-SUMIFS('Daftar Koreksi'!$I$5:$I$92,'Daftar Koreksi'!$D$5:$D$92,'1900'!A840,'Daftar Koreksi'!$G$5:$G$92,"Jalan Irigasi Jaringan",'Daftar Koreksi'!$I$5:$I$92,"&lt;0")</f>
        <v>0</v>
      </c>
      <c r="G855" s="17">
        <f t="shared" si="38"/>
        <v>-4263618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Koreksi'!$D$5:$D$92,'1900'!A840,'Daftar Koreksi'!$G$5:$G$92,"Aset Tetap Lainnya",'Daftar Koreksi'!$I$5:$I$92,"&gt;0")</f>
        <v>0</v>
      </c>
      <c r="F856" s="25">
        <f>SUMIFS('Daftar Koreksi'!$I$5:$I$92,'Daftar Koreksi'!$D$5:$D$92,'1900'!A840,'Daftar Koreksi'!$G$5:$G$92,"Aset Tetap Lainnya",'Daftar Koreksi'!$I$5:$I$92,"&lt;0")-SUMIFS('Daftar Koreksi'!$I$5:$I$92,'Daftar Koreksi'!$D$5:$D$92,'1900'!A840,'Daftar Koreksi'!$G$5:$G$92,"Aset Tetap Lainnya",'Daftar Koreksi'!$I$5:$I$92,"&lt;0")-SUMIFS('Daftar Koreksi'!$I$5:$I$92,'Daftar Koreksi'!$D$5:$D$92,'1900'!A840,'Daftar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0</v>
      </c>
      <c r="E857" s="25">
        <f>SUMIFS('Daftar Koreksi'!$I$5:$I$92,'Daftar Koreksi'!$D$5:$D$92,'1900'!A840,'Daftar Koreksi'!$G$5:$G$92,"Aset Henti Guna",'Daftar Koreksi'!$I$5:$I$92,"&gt;0")</f>
        <v>0</v>
      </c>
      <c r="F857" s="25">
        <f>SUMIFS('Daftar Koreksi'!$I$5:$I$92,'Daftar Koreksi'!$D$5:$D$92,'1900'!A840,'Daftar Koreksi'!$G$5:$G$92,"Aset Henti Guna",'Daftar Koreksi'!$I$5:$I$92,"&lt;0")-SUMIFS('Daftar Koreksi'!$I$5:$I$92,'Daftar Koreksi'!$D$5:$D$92,'1900'!A840,'Daftar Koreksi'!$G$5:$G$92,"Aset Henti Guna",'Daftar Koreksi'!$I$5:$I$92,"&lt;0")-SUMIFS('Daftar Koreksi'!$I$5:$I$92,'Daftar Koreksi'!$D$5:$D$92,'1900'!A840,'Daftar Koreksi'!$G$5:$G$92,"Aset Henti Guna",'Daftar Koreksi'!$I$5:$I$92,"&lt;0")</f>
        <v>0</v>
      </c>
      <c r="G857" s="17">
        <f t="shared" si="38"/>
        <v>0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-1627577154</v>
      </c>
      <c r="E858" s="19">
        <f>SUM(E853:E857)</f>
        <v>0</v>
      </c>
      <c r="F858" s="19">
        <f>SUM(F853:F857)</f>
        <v>0</v>
      </c>
      <c r="G858" s="19">
        <f t="shared" si="38"/>
        <v>-1627577154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2613156401</v>
      </c>
      <c r="E859" s="19">
        <f>E858+E852</f>
        <v>0</v>
      </c>
      <c r="F859" s="19">
        <f>F858+F852</f>
        <v>0</v>
      </c>
      <c r="G859" s="19">
        <f t="shared" si="38"/>
        <v>2613156401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005011900307602000KD</v>
      </c>
      <c r="B862" s="11" t="str">
        <f>P40</f>
        <v xml:space="preserve">PA. Sidenreng Rapang </v>
      </c>
      <c r="C862" s="12" t="str">
        <f>A862&amp;" "&amp;B862</f>
        <v xml:space="preserve">005011900307602000KD PA. Sidenreng Rapang 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10" ht="21.95" customHeight="1">
      <c r="A865" s="14"/>
      <c r="B865" s="14"/>
      <c r="C865" s="16" t="s">
        <v>1165</v>
      </c>
      <c r="D865" s="17">
        <f>VLOOKUP(A862,'Neraca Unaudited SIMAK'!$A$2:$S$10004,3,FALSE)</f>
        <v>0</v>
      </c>
      <c r="E865" s="25">
        <f>SUMIFS('Daftar Koreksi'!$H$5:$H$92,'Daftar Koreksi'!$D$5:$D$92,'1900'!A862,'Daftar Koreksi'!$G$5:$G$92,"Persediaan",'Daftar Koreksi'!$H$5:$H$92,"&gt;0")</f>
        <v>0</v>
      </c>
      <c r="F865" s="25">
        <f>SUMIFS('Daftar Koreksi'!$H$5:$H$92,'Daftar Koreksi'!$D$5:$D$92,'1900'!A862,'Daftar Koreksi'!$G$5:$G$92,"Persediaan",'Daftar Koreksi'!$H$5:$H$92,"&lt;0")-SUMIFS('Daftar Koreksi'!$H$5:$H$92,'Daftar Koreksi'!$D$5:$D$92,'1900'!A862,'Daftar Koreksi'!$G$5:$G$92,"Persediaan",'Daftar Koreksi'!$H$5:$H$92,"&lt;0")-SUMIFS('Daftar Koreksi'!$H$5:$H$92,'Daftar Koreksi'!$D$5:$D$92,'1900'!A862,'Daftar Koreksi'!$G$5:$G$92,"Persediaan",'Daftar Koreksi'!$H$5:$H$92,"&lt;0")</f>
        <v>0</v>
      </c>
      <c r="G865" s="17">
        <f>D865+E865-F865</f>
        <v>0</v>
      </c>
      <c r="H865" s="121" t="str">
        <f>IF(ISNA(VLOOKUP(A862,'Mutasi Neraca'!$A$3:$S$914,19,FALSE)),"-",VLOOKUP(A862,'Mutasi Neraca'!$A$3:$S$914,19,FALSE))</f>
        <v>-</v>
      </c>
      <c r="I865" s="28"/>
      <c r="J865" s="28"/>
    </row>
    <row r="866" spans="1:10" ht="21.95" customHeight="1">
      <c r="A866" s="14"/>
      <c r="B866" s="14"/>
      <c r="C866" s="16" t="s">
        <v>1166</v>
      </c>
      <c r="D866" s="17">
        <f>VLOOKUP(A862,'Neraca Unaudited SIMAK'!$A$2:$S$10004,4,FALSE)</f>
        <v>539000000</v>
      </c>
      <c r="E866" s="25">
        <f>SUMIFS('Daftar Koreksi'!$H$5:$H$92,'Daftar Koreksi'!$D$5:$D$92,'1900'!A862,'Daftar Koreksi'!$G$5:$G$92,"Tanah",'Daftar Koreksi'!$H$5:$H$92,"&gt;0")</f>
        <v>0</v>
      </c>
      <c r="F866" s="25">
        <f>SUMIFS('Daftar Koreksi'!$H$5:$H$92,'Daftar Koreksi'!$D$5:$D$92,'1900'!A862,'Daftar Koreksi'!$G$5:$G$92,"Tanah",'Daftar Koreksi'!$H$5:$H$92,"&lt;0")-SUMIFS('Daftar Koreksi'!$H$5:$H$92,'Daftar Koreksi'!$D$5:$D$92,'1900'!A862,'Daftar Koreksi'!$G$5:$G$92,"Tanah",'Daftar Koreksi'!$H$5:$H$92,"&lt;0")-SUMIFS('Daftar Koreksi'!$H$5:$H$92,'Daftar Koreksi'!$D$5:$D$92,'1900'!A862,'Daftar Koreksi'!$G$5:$G$92,"Tanah",'Daftar Koreksi'!$H$5:$H$92,"&lt;0")</f>
        <v>0</v>
      </c>
      <c r="G866" s="17">
        <f t="shared" ref="G866:G882" si="39">D866+E866-F866</f>
        <v>539000000</v>
      </c>
      <c r="H866" s="122"/>
      <c r="I866" s="28"/>
      <c r="J866" s="28"/>
    </row>
    <row r="867" spans="1:10" ht="21.95" customHeight="1">
      <c r="A867" s="14"/>
      <c r="B867" s="14"/>
      <c r="C867" s="16" t="s">
        <v>1167</v>
      </c>
      <c r="D867" s="17">
        <f>VLOOKUP(A862,'Neraca Unaudited SIMAK'!$A$2:$S$10004,5,FALSE)</f>
        <v>1297720071</v>
      </c>
      <c r="E867" s="25">
        <f>SUMIFS('Daftar Koreksi'!$H$5:$H$92,'Daftar Koreksi'!$D$5:$D$92,'1900'!A862,'Daftar Koreksi'!$G$5:$G$92,"Peralatan dan mesin",'Daftar Koreksi'!$H$5:$H$92,"&gt;0")</f>
        <v>0</v>
      </c>
      <c r="F867" s="25">
        <f>SUMIFS('Daftar Koreksi'!$H$5:$H$92,'Daftar Koreksi'!$D$5:$D$92,'1900'!A862,'Daftar Koreksi'!$G$5:$G$92,"Peralatan dan mesin",'Daftar Koreksi'!$H$5:$H$92,"&lt;0")-SUMIFS('Daftar Koreksi'!$H$5:$H$92,'Daftar Koreksi'!$D$5:$D$92,'1900'!A862,'Daftar Koreksi'!$G$5:$G$92,"Peralatan dan mesin",'Daftar Koreksi'!$H$5:$H$92,"&lt;0")-SUMIFS('Daftar Koreksi'!$H$5:$H$92,'Daftar Koreksi'!$D$5:$D$92,'1900'!A862,'Daftar Koreksi'!$G$5:$G$92,"Peralatan dan mesin",'Daftar Koreksi'!$H$5:$H$92,"&lt;0")</f>
        <v>0</v>
      </c>
      <c r="G867" s="17">
        <f t="shared" si="39"/>
        <v>1297720071</v>
      </c>
      <c r="H867" s="122"/>
      <c r="I867" s="28"/>
      <c r="J867" s="28"/>
    </row>
    <row r="868" spans="1:10" ht="21.95" customHeight="1">
      <c r="A868" s="14"/>
      <c r="B868" s="14"/>
      <c r="C868" s="16" t="s">
        <v>1168</v>
      </c>
      <c r="D868" s="17">
        <f>VLOOKUP(A862,'Neraca Unaudited SIMAK'!$A$2:$S$10004,6,FALSE)</f>
        <v>3272795950</v>
      </c>
      <c r="E868" s="25">
        <f>SUMIFS('Daftar Koreksi'!$H$5:$H$92,'Daftar Koreksi'!$D$5:$D$92,'1900'!A862,'Daftar Koreksi'!$G$5:$G$92,"Gedung dan Bangunan",'Daftar Koreksi'!$H$5:$H$92,"&gt;0")</f>
        <v>0</v>
      </c>
      <c r="F868" s="25">
        <f>SUMIFS('Daftar Koreksi'!$H$5:$H$92,'Daftar Koreksi'!$D$5:$D$92,'1900'!A862,'Daftar Koreksi'!$G$5:$G$92,"Gedung dan Bangunan",'Daftar Koreksi'!$H$5:$H$92,"&lt;0")-SUMIFS('Daftar Koreksi'!$H$5:$H$92,'Daftar Koreksi'!$D$5:$D$92,'1900'!A862,'Daftar Koreksi'!$G$5:$G$92,"Gedung dan Bangunan",'Daftar Koreksi'!$H$5:$H$92,"&lt;0")-SUMIFS('Daftar Koreksi'!$H$5:$H$92,'Daftar Koreksi'!$D$5:$D$92,'1900'!A862,'Daftar Koreksi'!$G$5:$G$92,"Gedung dan Bangunan",'Daftar Koreksi'!$H$5:$H$92,"&lt;0")</f>
        <v>0</v>
      </c>
      <c r="G868" s="17">
        <f t="shared" si="39"/>
        <v>3272795950</v>
      </c>
      <c r="H868" s="122"/>
      <c r="I868" s="28"/>
      <c r="J868" s="28"/>
    </row>
    <row r="869" spans="1:10" ht="21.95" customHeight="1">
      <c r="A869" s="14"/>
      <c r="B869" s="14"/>
      <c r="C869" s="16" t="s">
        <v>1169</v>
      </c>
      <c r="D869" s="17">
        <f>VLOOKUP(A862,'Neraca Unaudited SIMAK'!$A$2:$S$10004,7,FALSE)</f>
        <v>31486000</v>
      </c>
      <c r="E869" s="25">
        <f>SUMIFS('Daftar Koreksi'!$H$5:$H$92,'Daftar Koreksi'!$D$5:$D$92,'1900'!A862,'Daftar Koreksi'!$G$5:$G$92,"Jalan Irigasi Jaringan",'Daftar Koreksi'!$H$5:$H$92,"&gt;0")</f>
        <v>0</v>
      </c>
      <c r="F869" s="25">
        <f>SUMIFS('Daftar Koreksi'!$H$5:$H$92,'Daftar Koreksi'!$D$5:$D$92,'1900'!A862,'Daftar Koreksi'!$G$5:$G$92,"Jalan Irigasi Jaringan",'Daftar Koreksi'!$H$5:$H$92,"&lt;0")-SUMIFS('Daftar Koreksi'!$H$5:$H$92,'Daftar Koreksi'!$D$5:$D$92,'1900'!A862,'Daftar Koreksi'!$G$5:$G$92,"Jalan Irigasi Jaringan",'Daftar Koreksi'!$H$5:$H$92,"&lt;0")-SUMIFS('Daftar Koreksi'!$H$5:$H$92,'Daftar Koreksi'!$D$5:$D$92,'1900'!A862,'Daftar Koreksi'!$G$5:$G$92,"Jalan Irigasi Jaringan",'Daftar Koreksi'!$H$5:$H$92,"&lt;0")</f>
        <v>0</v>
      </c>
      <c r="G869" s="17">
        <f t="shared" si="39"/>
        <v>31486000</v>
      </c>
      <c r="H869" s="122"/>
      <c r="I869" s="28"/>
      <c r="J869" s="28"/>
    </row>
    <row r="870" spans="1:10" ht="21.95" customHeight="1">
      <c r="A870" s="14"/>
      <c r="B870" s="14"/>
      <c r="C870" s="16" t="s">
        <v>1170</v>
      </c>
      <c r="D870" s="17">
        <f>VLOOKUP(A862,'Neraca Unaudited SIMAK'!$A$2:$S$10004,8,FALSE)</f>
        <v>4439300</v>
      </c>
      <c r="E870" s="25">
        <f>SUMIFS('Daftar Koreksi'!$H$5:$H$92,'Daftar Koreksi'!$D$5:$D$92,'1900'!A862,'Daftar Koreksi'!$G$5:$G$92,"Aset Tetap Lainnya",'Daftar Koreksi'!$H$5:$H$92,"&gt;0")</f>
        <v>0</v>
      </c>
      <c r="F870" s="25">
        <f>SUMIFS('Daftar Koreksi'!$H$5:$H$92,'Daftar Koreksi'!$D$5:$D$92,'1900'!A862,'Daftar Koreksi'!$G$5:$G$92,"Aset Tetap Lainnya",'Daftar Koreksi'!$H$5:$H$92,"&lt;0")-SUMIFS('Daftar Koreksi'!$H$5:$H$92,'Daftar Koreksi'!$D$5:$D$92,'1900'!A862,'Daftar Koreksi'!$G$5:$G$92,"Aset Tetap Lainnya",'Daftar Koreksi'!$H$5:$H$92,"&lt;0")-SUMIFS('Daftar Koreksi'!$H$5:$H$92,'Daftar Koreksi'!$D$5:$D$92,'1900'!A862,'Daftar Koreksi'!$G$5:$G$92,"Aset Tetap Lainnya",'Daftar Koreksi'!$H$5:$H$92,"&lt;0")</f>
        <v>0</v>
      </c>
      <c r="G870" s="17">
        <f t="shared" si="39"/>
        <v>4439300</v>
      </c>
      <c r="H870" s="122"/>
      <c r="I870" s="28"/>
      <c r="J870" s="28"/>
    </row>
    <row r="871" spans="1:10" ht="21.95" customHeight="1">
      <c r="A871" s="14"/>
      <c r="B871" s="14"/>
      <c r="C871" s="16" t="s">
        <v>1171</v>
      </c>
      <c r="D871" s="17">
        <f>VLOOKUP(A862,'Neraca Unaudited SIMAK'!$A$2:$S$10004,9,FALSE)</f>
        <v>0</v>
      </c>
      <c r="E871" s="25">
        <f>SUMIFS('Daftar Koreksi'!$H$5:$H$92,'Daftar Koreksi'!$D$5:$D$92,'1900'!A862,'Daftar Koreksi'!$G$5:$G$92,"Kontruksi Dalam Pengerjaan",'Daftar Koreksi'!$H$5:$H$92,"&gt;0")</f>
        <v>0</v>
      </c>
      <c r="F871" s="25">
        <f>SUMIFS('Daftar Koreksi'!$H$5:$H$92,'Daftar Koreksi'!$D$5:$D$92,'1900'!A862,'Daftar Koreksi'!$G$5:$G$92,"Kontruksi Dalam Pengerjaan",'Daftar Koreksi'!$H$5:$H$92,"&lt;0")-SUMIFS('Daftar Koreksi'!$H$5:$H$92,'Daftar Koreksi'!$D$5:$D$92,'1900'!A862,'Daftar Koreksi'!$G$5:$G$92,"Kontruksi Dalam Pengerjaan",'Daftar Koreksi'!$H$5:$H$92,"&lt;0")-SUMIFS('Daftar Koreksi'!$H$5:$H$92,'Daftar Koreksi'!$D$5:$D$92,'1900'!A862,'Daftar Koreksi'!$G$5:$G$92,"Kontruksi Dalam Pengerjaan",'Daftar Koreksi'!$H$5:$H$92,"&lt;0")</f>
        <v>0</v>
      </c>
      <c r="G871" s="17">
        <f t="shared" si="39"/>
        <v>0</v>
      </c>
      <c r="H871" s="122"/>
      <c r="I871" s="28"/>
      <c r="J871" s="28"/>
    </row>
    <row r="872" spans="1:10" ht="21.95" customHeight="1">
      <c r="A872" s="14"/>
      <c r="B872" s="14"/>
      <c r="C872" s="16" t="s">
        <v>1172</v>
      </c>
      <c r="D872" s="17">
        <f>VLOOKUP(A862,'Neraca Unaudited SIMAK'!$A$2:$S$10004,10,FALSE)</f>
        <v>0</v>
      </c>
      <c r="E872" s="25">
        <f>SUMIFS('Daftar Koreksi'!$H$5:$H$92,'Daftar Koreksi'!$D$5:$D$92,'1900'!A862,'Daftar Koreksi'!$G$5:$G$92,"Aset Tak Berwujud",'Daftar Koreksi'!$H$5:$H$92,"&gt;0")</f>
        <v>0</v>
      </c>
      <c r="F872" s="25">
        <f>SUMIFS('Daftar Koreksi'!$H$5:$H$92,'Daftar Koreksi'!$D$5:$D$92,'1900'!A862,'Daftar Koreksi'!$G$5:$G$92,"Aset Tak Berwujud",'Daftar Koreksi'!$H$5:$H$92,"&lt;0")-SUMIFS('Daftar Koreksi'!$H$5:$H$92,'Daftar Koreksi'!$D$5:$D$92,'1900'!A862,'Daftar Koreksi'!$G$5:$G$92,"Aset Tak Berwujud",'Daftar Koreksi'!$H$5:$H$92,"&lt;0")-SUMIFS('Daftar Koreksi'!$H$5:$H$92,'Daftar Koreksi'!$D$5:$D$92,'1900'!A862,'Daftar Koreksi'!$G$5:$G$92,"Aset Tak Berwujud",'Daftar Koreksi'!$H$5:$H$92,"&lt;0")</f>
        <v>0</v>
      </c>
      <c r="G872" s="17">
        <f t="shared" si="39"/>
        <v>0</v>
      </c>
      <c r="H872" s="122"/>
      <c r="I872" s="28"/>
      <c r="J872" s="28"/>
    </row>
    <row r="873" spans="1:10" ht="21.95" customHeight="1">
      <c r="A873" s="14"/>
      <c r="B873" s="14"/>
      <c r="C873" s="16" t="s">
        <v>1173</v>
      </c>
      <c r="D873" s="17">
        <f>VLOOKUP(A862,'Neraca Unaudited SIMAK'!$A$2:$S$10004,11,FALSE)</f>
        <v>7500000</v>
      </c>
      <c r="E873" s="25">
        <f>SUMIFS('Daftar Koreksi'!$H$5:$H$92,'Daftar Koreksi'!$D$5:$D$92,'1900'!A862,'Daftar Koreksi'!$G$5:$G$92,"Aset Henti Guna",'Daftar Koreksi'!$H$5:$H$92,"&gt;0")</f>
        <v>0</v>
      </c>
      <c r="F873" s="25">
        <f>SUMIFS('Daftar Koreksi'!$H$5:$H$92,'Daftar Koreksi'!$D$5:$D$92,'1900'!A862,'Daftar Koreksi'!$G$5:$G$92,"Aset Henti Guna",'Daftar Koreksi'!$H$5:$H$92,"&lt;0")-SUMIFS('Daftar Koreksi'!$H$5:$H$92,'Daftar Koreksi'!$D$5:$D$92,'1900'!A862,'Daftar Koreksi'!$G$5:$G$92,"Aset Henti Guna",'Daftar Koreksi'!$H$5:$H$92,"&lt;0")-SUMIFS('Daftar Koreksi'!$H$5:$H$92,'Daftar Koreksi'!$D$5:$D$92,'1900'!A862,'Daftar Koreksi'!$G$5:$G$92,"Aset Henti Guna",'Daftar Koreksi'!$H$5:$H$92,"&lt;0")</f>
        <v>0</v>
      </c>
      <c r="G873" s="17">
        <f t="shared" si="39"/>
        <v>7500000</v>
      </c>
      <c r="H873" s="122"/>
      <c r="I873" s="28"/>
      <c r="J873" s="28"/>
    </row>
    <row r="874" spans="1:10" ht="21.95" customHeight="1">
      <c r="A874" s="14"/>
      <c r="B874" s="14"/>
      <c r="C874" s="18" t="s">
        <v>2093</v>
      </c>
      <c r="D874" s="19">
        <f>VLOOKUP(A862,'Neraca Unaudited SIMAK'!$A$2:$S$10004,12,FALSE)</f>
        <v>5152941321</v>
      </c>
      <c r="E874" s="19">
        <f>SUM(E865:E873)</f>
        <v>0</v>
      </c>
      <c r="F874" s="19">
        <f>SUM(F865:F873)</f>
        <v>0</v>
      </c>
      <c r="G874" s="19">
        <f t="shared" si="39"/>
        <v>5152941321</v>
      </c>
      <c r="H874" s="122"/>
      <c r="I874" s="28"/>
      <c r="J874" s="28"/>
    </row>
    <row r="875" spans="1:10" ht="21.95" customHeight="1">
      <c r="A875" s="14"/>
      <c r="B875" s="14"/>
      <c r="C875" s="16" t="s">
        <v>2087</v>
      </c>
      <c r="D875" s="17">
        <f>VLOOKUP(A862,'Neraca Unaudited SIMAK'!$A$2:$S$10004,13,FALSE)</f>
        <v>-931611018</v>
      </c>
      <c r="E875" s="25">
        <f>SUMIFS('Daftar Koreksi'!$I$5:$I$92,'Daftar Koreksi'!$D$5:$D$92,'1900'!A862,'Daftar Koreksi'!$G$5:$G$92,"Peralatan dan mesin",'Daftar Koreksi'!$I$5:$I$92,"&gt;0")</f>
        <v>0</v>
      </c>
      <c r="F875" s="25">
        <f>SUMIFS('Daftar Koreksi'!$I$5:$I$92,'Daftar Koreksi'!$D$5:$D$92,'1900'!A862,'Daftar Koreksi'!$G$5:$G$92,"Peralatan dan mesin",'Daftar Koreksi'!$I$5:$I$92,"&lt;0")-SUMIFS('Daftar Koreksi'!$I$5:$I$92,'Daftar Koreksi'!$D$5:$D$92,'1900'!A862,'Daftar Koreksi'!$G$5:$G$92,"Peralatan dan mesin",'Daftar Koreksi'!$I$5:$I$92,"&lt;0")-SUMIFS('Daftar Koreksi'!$I$5:$I$92,'Daftar Koreksi'!$D$5:$D$92,'1900'!A862,'Daftar Koreksi'!$G$5:$G$92,"Peralatan dan mesin",'Daftar Koreksi'!$I$5:$I$92,"&lt;0")</f>
        <v>0</v>
      </c>
      <c r="G875" s="17">
        <f t="shared" si="39"/>
        <v>-931611018</v>
      </c>
      <c r="H875" s="122"/>
      <c r="I875" s="28"/>
      <c r="J875" s="28"/>
    </row>
    <row r="876" spans="1:10" ht="21.95" customHeight="1">
      <c r="A876" s="14"/>
      <c r="B876" s="14"/>
      <c r="C876" s="16" t="s">
        <v>2088</v>
      </c>
      <c r="D876" s="17">
        <f>VLOOKUP(A862,'Neraca Unaudited SIMAK'!$A$2:$S$10004,14,FALSE)</f>
        <v>-380636263</v>
      </c>
      <c r="E876" s="25">
        <f>SUMIFS('Daftar Koreksi'!$I$5:$I$92,'Daftar Koreksi'!$D$5:$D$92,'1900'!A862,'Daftar Koreksi'!$G$5:$G$92,"Gedung dan Bangunan",'Daftar Koreksi'!$I$5:$I$92,"&gt;0")</f>
        <v>0</v>
      </c>
      <c r="F876" s="25">
        <f>SUMIFS('Daftar Koreksi'!$I$5:$I$92,'Daftar Koreksi'!$D$5:$D$92,'1900'!A862,'Daftar Koreksi'!$G$5:$G$92,"Gedung dan Bangunan",'Daftar Koreksi'!$I$5:$I$92,"&lt;0")-SUMIFS('Daftar Koreksi'!$I$5:$I$92,'Daftar Koreksi'!$D$5:$D$92,'1900'!A862,'Daftar Koreksi'!$G$5:$G$92,"Gedung dan Bangunan",'Daftar Koreksi'!$I$5:$I$92,"&lt;0")-SUMIFS('Daftar Koreksi'!$I$5:$I$92,'Daftar Koreksi'!$D$5:$D$92,'1900'!A862,'Daftar Koreksi'!$G$5:$G$92,"Gedung dan Bangunan",'Daftar Koreksi'!$I$5:$I$92,"&lt;0")</f>
        <v>0</v>
      </c>
      <c r="G876" s="17">
        <f t="shared" si="39"/>
        <v>-380636263</v>
      </c>
      <c r="H876" s="122"/>
      <c r="I876" s="28"/>
      <c r="J876" s="28"/>
    </row>
    <row r="877" spans="1:10" ht="21.95" customHeight="1">
      <c r="A877" s="14"/>
      <c r="B877" s="14"/>
      <c r="C877" s="16" t="s">
        <v>2089</v>
      </c>
      <c r="D877" s="17">
        <f>VLOOKUP(A862,'Neraca Unaudited SIMAK'!$A$2:$S$10004,15,FALSE)</f>
        <v>-30511000</v>
      </c>
      <c r="E877" s="25">
        <f>SUMIFS('Daftar Koreksi'!$I$5:$I$92,'Daftar Koreksi'!$D$5:$D$92,'1900'!A862,'Daftar Koreksi'!$G$5:$G$92,"Jalan Irigasi Jaringan",'Daftar Koreksi'!$I$5:$I$92,"&gt;0")</f>
        <v>0</v>
      </c>
      <c r="F877" s="25">
        <f>SUMIFS('Daftar Koreksi'!$I$5:$I$92,'Daftar Koreksi'!$D$5:$D$92,'1900'!A862,'Daftar Koreksi'!$G$5:$G$92,"Jalan Irigasi Jaringan",'Daftar Koreksi'!$I$5:$I$92,"&lt;0")-SUMIFS('Daftar Koreksi'!$I$5:$I$92,'Daftar Koreksi'!$D$5:$D$92,'1900'!A862,'Daftar Koreksi'!$G$5:$G$92,"Jalan Irigasi Jaringan",'Daftar Koreksi'!$I$5:$I$92,"&lt;0")-SUMIFS('Daftar Koreksi'!$I$5:$I$92,'Daftar Koreksi'!$D$5:$D$92,'1900'!A862,'Daftar Koreksi'!$G$5:$G$92,"Jalan Irigasi Jaringan",'Daftar Koreksi'!$I$5:$I$92,"&lt;0")</f>
        <v>0</v>
      </c>
      <c r="G877" s="17">
        <f t="shared" si="39"/>
        <v>-30511000</v>
      </c>
      <c r="H877" s="122"/>
      <c r="I877" s="28"/>
      <c r="J877" s="28"/>
    </row>
    <row r="878" spans="1:10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Koreksi'!$D$5:$D$92,'1900'!A862,'Daftar Koreksi'!$G$5:$G$92,"Aset Tetap Lainnya",'Daftar Koreksi'!$I$5:$I$92,"&gt;0")</f>
        <v>0</v>
      </c>
      <c r="F878" s="25">
        <f>SUMIFS('Daftar Koreksi'!$I$5:$I$92,'Daftar Koreksi'!$D$5:$D$92,'1900'!A862,'Daftar Koreksi'!$G$5:$G$92,"Aset Tetap Lainnya",'Daftar Koreksi'!$I$5:$I$92,"&lt;0")-SUMIFS('Daftar Koreksi'!$I$5:$I$92,'Daftar Koreksi'!$D$5:$D$92,'1900'!A862,'Daftar Koreksi'!$G$5:$G$92,"Aset Tetap Lainnya",'Daftar Koreksi'!$I$5:$I$92,"&lt;0")-SUMIFS('Daftar Koreksi'!$I$5:$I$92,'Daftar Koreksi'!$D$5:$D$92,'1900'!A862,'Daftar Koreksi'!$G$5:$G$92,"Aset Tetap Lainnya",'Daftar Koreksi'!$I$5:$I$92,"&lt;0")</f>
        <v>0</v>
      </c>
      <c r="G878" s="17">
        <f t="shared" si="39"/>
        <v>0</v>
      </c>
      <c r="H878" s="122"/>
      <c r="I878" s="28"/>
      <c r="J878" s="28"/>
    </row>
    <row r="879" spans="1:10" ht="21.95" customHeight="1">
      <c r="A879" s="14"/>
      <c r="B879" s="14"/>
      <c r="C879" s="16" t="s">
        <v>2020</v>
      </c>
      <c r="D879" s="17">
        <f>VLOOKUP(A862,'Neraca Unaudited SIMAK'!$A$2:$S$10004,17,FALSE)</f>
        <v>-7500000</v>
      </c>
      <c r="E879" s="25">
        <f>SUMIFS('Daftar Koreksi'!$I$5:$I$92,'Daftar Koreksi'!$D$5:$D$92,'1900'!A862,'Daftar Koreksi'!$G$5:$G$92,"Aset Henti Guna",'Daftar Koreksi'!$I$5:$I$92,"&gt;0")</f>
        <v>0</v>
      </c>
      <c r="F879" s="25">
        <f>SUMIFS('Daftar Koreksi'!$I$5:$I$92,'Daftar Koreksi'!$D$5:$D$92,'1900'!A862,'Daftar Koreksi'!$G$5:$G$92,"Aset Henti Guna",'Daftar Koreksi'!$I$5:$I$92,"&lt;0")-SUMIFS('Daftar Koreksi'!$I$5:$I$92,'Daftar Koreksi'!$D$5:$D$92,'1900'!A862,'Daftar Koreksi'!$G$5:$G$92,"Aset Henti Guna",'Daftar Koreksi'!$I$5:$I$92,"&lt;0")-SUMIFS('Daftar Koreksi'!$I$5:$I$92,'Daftar Koreksi'!$D$5:$D$92,'1900'!A862,'Daftar Koreksi'!$G$5:$G$92,"Aset Henti Guna",'Daftar Koreksi'!$I$5:$I$92,"&lt;0")</f>
        <v>0</v>
      </c>
      <c r="G879" s="17">
        <f t="shared" si="39"/>
        <v>-7500000</v>
      </c>
      <c r="H879" s="122"/>
      <c r="I879" s="28"/>
      <c r="J879" s="28"/>
    </row>
    <row r="880" spans="1:10" ht="21.95" customHeight="1">
      <c r="A880" s="14"/>
      <c r="B880" s="14"/>
      <c r="C880" s="18" t="s">
        <v>2094</v>
      </c>
      <c r="D880" s="19">
        <f>SUM(D875:D879)</f>
        <v>-1350258281</v>
      </c>
      <c r="E880" s="19">
        <f>SUM(E875:E879)</f>
        <v>0</v>
      </c>
      <c r="F880" s="19">
        <f>SUM(F875:F879)</f>
        <v>0</v>
      </c>
      <c r="G880" s="19">
        <f t="shared" si="39"/>
        <v>-1350258281</v>
      </c>
      <c r="H880" s="122"/>
      <c r="I880" s="28"/>
      <c r="J880" s="28"/>
    </row>
    <row r="881" spans="1:10" ht="21.95" customHeight="1">
      <c r="A881" s="14"/>
      <c r="B881" s="14"/>
      <c r="C881" s="18" t="s">
        <v>2095</v>
      </c>
      <c r="D881" s="19">
        <f>VLOOKUP(A862,'Neraca Unaudited SIMAK'!$A$2:$S$10004,18,FALSE)</f>
        <v>3802683040</v>
      </c>
      <c r="E881" s="19">
        <f>E880+E874</f>
        <v>0</v>
      </c>
      <c r="F881" s="19">
        <f>F880+F874</f>
        <v>0</v>
      </c>
      <c r="G881" s="19">
        <f t="shared" si="39"/>
        <v>3802683040</v>
      </c>
      <c r="H881" s="122"/>
      <c r="I881" s="28"/>
      <c r="J881" s="28"/>
    </row>
    <row r="882" spans="1:10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  <c r="I882" s="28"/>
      <c r="J882" s="28"/>
    </row>
    <row r="884" spans="1:10" ht="19.5" customHeight="1">
      <c r="A884" s="11" t="str">
        <f>O41</f>
        <v>005011900307619000KD</v>
      </c>
      <c r="B884" s="11" t="str">
        <f>P41</f>
        <v>PA. Palopo</v>
      </c>
      <c r="C884" s="12" t="str">
        <f>A884&amp;" "&amp;B884</f>
        <v>005011900307619000KD PA. Palopo</v>
      </c>
      <c r="D884" s="13"/>
      <c r="E884" s="13"/>
      <c r="F884" s="13"/>
      <c r="G884" s="13"/>
      <c r="H884" s="11"/>
    </row>
    <row r="885" spans="1:10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10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10" ht="21.95" customHeight="1">
      <c r="A887" s="14"/>
      <c r="B887" s="14"/>
      <c r="C887" s="16" t="s">
        <v>1165</v>
      </c>
      <c r="D887" s="17">
        <f>VLOOKUP(A884,'Neraca Unaudited SIMAK'!$A$2:$S$10004,3,FALSE)</f>
        <v>197800</v>
      </c>
      <c r="E887" s="25">
        <f>SUMIFS('Daftar Koreksi'!$H$5:$H$92,'Daftar Koreksi'!$D$5:$D$92,'1900'!A884,'Daftar Koreksi'!$G$5:$G$92,"Persediaan",'Daftar Koreksi'!$H$5:$H$92,"&gt;0")</f>
        <v>0</v>
      </c>
      <c r="F887" s="25">
        <f>SUMIFS('Daftar Koreksi'!$H$5:$H$92,'Daftar Koreksi'!$D$5:$D$92,'1900'!A884,'Daftar Koreksi'!$G$5:$G$92,"Persediaan",'Daftar Koreksi'!$H$5:$H$92,"&lt;0")-SUMIFS('Daftar Koreksi'!$H$5:$H$92,'Daftar Koreksi'!$D$5:$D$92,'1900'!A884,'Daftar Koreksi'!$G$5:$G$92,"Persediaan",'Daftar Koreksi'!$H$5:$H$92,"&lt;0")-SUMIFS('Daftar Koreksi'!$H$5:$H$92,'Daftar Koreksi'!$D$5:$D$92,'1900'!A884,'Daftar Koreksi'!$G$5:$G$92,"Persediaan",'Daftar Koreksi'!$H$5:$H$92,"&lt;0")</f>
        <v>0</v>
      </c>
      <c r="G887" s="17">
        <f>D887+E887-F887</f>
        <v>197800</v>
      </c>
      <c r="H887" s="121" t="str">
        <f>IF(ISNA(VLOOKUP(A884,'Mutasi Neraca'!$A$3:$S$914,19,FALSE)),"-",VLOOKUP(A884,'Mutasi Neraca'!$A$3:$S$914,19,FALSE))</f>
        <v>-</v>
      </c>
    </row>
    <row r="888" spans="1:10" ht="21.95" customHeight="1">
      <c r="A888" s="14"/>
      <c r="B888" s="14"/>
      <c r="C888" s="16" t="s">
        <v>1166</v>
      </c>
      <c r="D888" s="17">
        <f>VLOOKUP(A884,'Neraca Unaudited SIMAK'!$A$2:$S$10004,4,FALSE)</f>
        <v>2318630529</v>
      </c>
      <c r="E888" s="25">
        <f>SUMIFS('Daftar Koreksi'!$H$5:$H$92,'Daftar Koreksi'!$D$5:$D$92,'1900'!A884,'Daftar Koreksi'!$G$5:$G$92,"Tanah",'Daftar Koreksi'!$H$5:$H$92,"&gt;0")</f>
        <v>0</v>
      </c>
      <c r="F888" s="25">
        <f>SUMIFS('Daftar Koreksi'!$H$5:$H$92,'Daftar Koreksi'!$D$5:$D$92,'1900'!A884,'Daftar Koreksi'!$G$5:$G$92,"Tanah",'Daftar Koreksi'!$H$5:$H$92,"&lt;0")-SUMIFS('Daftar Koreksi'!$H$5:$H$92,'Daftar Koreksi'!$D$5:$D$92,'1900'!A884,'Daftar Koreksi'!$G$5:$G$92,"Tanah",'Daftar Koreksi'!$H$5:$H$92,"&lt;0")-SUMIFS('Daftar Koreksi'!$H$5:$H$92,'Daftar Koreksi'!$D$5:$D$92,'1900'!A884,'Daftar Koreksi'!$G$5:$G$92,"Tanah",'Daftar Koreksi'!$H$5:$H$92,"&lt;0")</f>
        <v>0</v>
      </c>
      <c r="G888" s="17">
        <f t="shared" ref="G888:G904" si="40">D888+E888-F888</f>
        <v>2318630529</v>
      </c>
      <c r="H888" s="122"/>
    </row>
    <row r="889" spans="1:10" ht="21.95" customHeight="1">
      <c r="A889" s="14"/>
      <c r="B889" s="14"/>
      <c r="C889" s="16" t="s">
        <v>1167</v>
      </c>
      <c r="D889" s="17">
        <f>VLOOKUP(A884,'Neraca Unaudited SIMAK'!$A$2:$S$10004,5,FALSE)</f>
        <v>1133980287</v>
      </c>
      <c r="E889" s="25">
        <f>SUMIFS('Daftar Koreksi'!$H$5:$H$92,'Daftar Koreksi'!$D$5:$D$92,'1900'!A884,'Daftar Koreksi'!$G$5:$G$92,"Peralatan dan mesin",'Daftar Koreksi'!$H$5:$H$92,"&gt;0")</f>
        <v>0</v>
      </c>
      <c r="F889" s="25">
        <f>SUMIFS('Daftar Koreksi'!$H$5:$H$92,'Daftar Koreksi'!$D$5:$D$92,'1900'!A884,'Daftar Koreksi'!$G$5:$G$92,"Peralatan dan mesin",'Daftar Koreksi'!$H$5:$H$92,"&lt;0")-SUMIFS('Daftar Koreksi'!$H$5:$H$92,'Daftar Koreksi'!$D$5:$D$92,'1900'!A884,'Daftar Koreksi'!$G$5:$G$92,"Peralatan dan mesin",'Daftar Koreksi'!$H$5:$H$92,"&lt;0")-SUMIFS('Daftar Koreksi'!$H$5:$H$92,'Daftar Koreksi'!$D$5:$D$92,'1900'!A884,'Daftar Koreksi'!$G$5:$G$92,"Peralatan dan mesin",'Daftar Koreksi'!$H$5:$H$92,"&lt;0")</f>
        <v>0</v>
      </c>
      <c r="G889" s="17">
        <f t="shared" si="40"/>
        <v>1133980287</v>
      </c>
      <c r="H889" s="122"/>
    </row>
    <row r="890" spans="1:10" ht="21.95" customHeight="1">
      <c r="A890" s="14"/>
      <c r="B890" s="14"/>
      <c r="C890" s="16" t="s">
        <v>1168</v>
      </c>
      <c r="D890" s="17">
        <f>VLOOKUP(A884,'Neraca Unaudited SIMAK'!$A$2:$S$10004,6,FALSE)</f>
        <v>2848871015</v>
      </c>
      <c r="E890" s="25">
        <f>SUMIFS('Daftar Koreksi'!$H$5:$H$92,'Daftar Koreksi'!$D$5:$D$92,'1900'!A884,'Daftar Koreksi'!$G$5:$G$92,"Gedung dan Bangunan",'Daftar Koreksi'!$H$5:$H$92,"&gt;0")</f>
        <v>0</v>
      </c>
      <c r="F890" s="25">
        <f>SUMIFS('Daftar Koreksi'!$H$5:$H$92,'Daftar Koreksi'!$D$5:$D$92,'1900'!A884,'Daftar Koreksi'!$G$5:$G$92,"Gedung dan Bangunan",'Daftar Koreksi'!$H$5:$H$92,"&lt;0")-SUMIFS('Daftar Koreksi'!$H$5:$H$92,'Daftar Koreksi'!$D$5:$D$92,'1900'!A884,'Daftar Koreksi'!$G$5:$G$92,"Gedung dan Bangunan",'Daftar Koreksi'!$H$5:$H$92,"&lt;0")-SUMIFS('Daftar Koreksi'!$H$5:$H$92,'Daftar Koreksi'!$D$5:$D$92,'1900'!A884,'Daftar Koreksi'!$G$5:$G$92,"Gedung dan Bangunan",'Daftar Koreksi'!$H$5:$H$92,"&lt;0")</f>
        <v>0</v>
      </c>
      <c r="G890" s="17">
        <f t="shared" si="40"/>
        <v>2848871015</v>
      </c>
      <c r="H890" s="122"/>
    </row>
    <row r="891" spans="1:10" ht="21.95" customHeight="1">
      <c r="A891" s="14"/>
      <c r="B891" s="14"/>
      <c r="C891" s="16" t="s">
        <v>1169</v>
      </c>
      <c r="D891" s="17">
        <f>VLOOKUP(A884,'Neraca Unaudited SIMAK'!$A$2:$S$10004,7,FALSE)</f>
        <v>35382000</v>
      </c>
      <c r="E891" s="25">
        <f>SUMIFS('Daftar Koreksi'!$H$5:$H$92,'Daftar Koreksi'!$D$5:$D$92,'1900'!A884,'Daftar Koreksi'!$G$5:$G$92,"Jalan Irigasi Jaringan",'Daftar Koreksi'!$H$5:$H$92,"&gt;0")</f>
        <v>0</v>
      </c>
      <c r="F891" s="25">
        <f>SUMIFS('Daftar Koreksi'!$H$5:$H$92,'Daftar Koreksi'!$D$5:$D$92,'1900'!A884,'Daftar Koreksi'!$G$5:$G$92,"Jalan Irigasi Jaringan",'Daftar Koreksi'!$H$5:$H$92,"&lt;0")-SUMIFS('Daftar Koreksi'!$H$5:$H$92,'Daftar Koreksi'!$D$5:$D$92,'1900'!A884,'Daftar Koreksi'!$G$5:$G$92,"Jalan Irigasi Jaringan",'Daftar Koreksi'!$H$5:$H$92,"&lt;0")-SUMIFS('Daftar Koreksi'!$H$5:$H$92,'Daftar Koreksi'!$D$5:$D$92,'1900'!A884,'Daftar Koreksi'!$G$5:$G$92,"Jalan Irigasi Jaringan",'Daftar Koreksi'!$H$5:$H$92,"&lt;0")</f>
        <v>0</v>
      </c>
      <c r="G891" s="17">
        <f t="shared" si="40"/>
        <v>35382000</v>
      </c>
      <c r="H891" s="122"/>
    </row>
    <row r="892" spans="1:10" ht="21.95" customHeight="1">
      <c r="A892" s="14"/>
      <c r="B892" s="14"/>
      <c r="C892" s="16" t="s">
        <v>1170</v>
      </c>
      <c r="D892" s="17">
        <f>VLOOKUP(A884,'Neraca Unaudited SIMAK'!$A$2:$S$10004,8,FALSE)</f>
        <v>7905767</v>
      </c>
      <c r="E892" s="25">
        <f>SUMIFS('Daftar Koreksi'!$H$5:$H$92,'Daftar Koreksi'!$D$5:$D$92,'1900'!A884,'Daftar Koreksi'!$G$5:$G$92,"Aset Tetap Lainnya",'Daftar Koreksi'!$H$5:$H$92,"&gt;0")</f>
        <v>0</v>
      </c>
      <c r="F892" s="25">
        <f>SUMIFS('Daftar Koreksi'!$H$5:$H$92,'Daftar Koreksi'!$D$5:$D$92,'1900'!A884,'Daftar Koreksi'!$G$5:$G$92,"Aset Tetap Lainnya",'Daftar Koreksi'!$H$5:$H$92,"&lt;0")-SUMIFS('Daftar Koreksi'!$H$5:$H$92,'Daftar Koreksi'!$D$5:$D$92,'1900'!A884,'Daftar Koreksi'!$G$5:$G$92,"Aset Tetap Lainnya",'Daftar Koreksi'!$H$5:$H$92,"&lt;0")-SUMIFS('Daftar Koreksi'!$H$5:$H$92,'Daftar Koreksi'!$D$5:$D$92,'1900'!A884,'Daftar Koreksi'!$G$5:$G$92,"Aset Tetap Lainnya",'Daftar Koreksi'!$H$5:$H$92,"&lt;0")</f>
        <v>0</v>
      </c>
      <c r="G892" s="17">
        <f t="shared" si="40"/>
        <v>7905767</v>
      </c>
      <c r="H892" s="122"/>
    </row>
    <row r="893" spans="1:10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Koreksi'!$D$5:$D$92,'1900'!A884,'Daftar Koreksi'!$G$5:$G$92,"Kontruksi Dalam Pengerjaan",'Daftar Koreksi'!$H$5:$H$92,"&gt;0")</f>
        <v>0</v>
      </c>
      <c r="F893" s="25">
        <f>SUMIFS('Daftar Koreksi'!$H$5:$H$92,'Daftar Koreksi'!$D$5:$D$92,'1900'!A884,'Daftar Koreksi'!$G$5:$G$92,"Kontruksi Dalam Pengerjaan",'Daftar Koreksi'!$H$5:$H$92,"&lt;0")-SUMIFS('Daftar Koreksi'!$H$5:$H$92,'Daftar Koreksi'!$D$5:$D$92,'1900'!A884,'Daftar Koreksi'!$G$5:$G$92,"Kontruksi Dalam Pengerjaan",'Daftar Koreksi'!$H$5:$H$92,"&lt;0")-SUMIFS('Daftar Koreksi'!$H$5:$H$92,'Daftar Koreksi'!$D$5:$D$92,'1900'!A884,'Daftar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10" ht="21.95" customHeight="1">
      <c r="A894" s="14"/>
      <c r="B894" s="14"/>
      <c r="C894" s="16" t="s">
        <v>1172</v>
      </c>
      <c r="D894" s="17">
        <f>VLOOKUP(A884,'Neraca Unaudited SIMAK'!$A$2:$S$10004,10,FALSE)</f>
        <v>6450000</v>
      </c>
      <c r="E894" s="25">
        <f>SUMIFS('Daftar Koreksi'!$H$5:$H$92,'Daftar Koreksi'!$D$5:$D$92,'1900'!A884,'Daftar Koreksi'!$G$5:$G$92,"Aset Tak Berwujud",'Daftar Koreksi'!$H$5:$H$92,"&gt;0")</f>
        <v>0</v>
      </c>
      <c r="F894" s="25">
        <f>SUMIFS('Daftar Koreksi'!$H$5:$H$92,'Daftar Koreksi'!$D$5:$D$92,'1900'!A884,'Daftar Koreksi'!$G$5:$G$92,"Aset Tak Berwujud",'Daftar Koreksi'!$H$5:$H$92,"&lt;0")-SUMIFS('Daftar Koreksi'!$H$5:$H$92,'Daftar Koreksi'!$D$5:$D$92,'1900'!A884,'Daftar Koreksi'!$G$5:$G$92,"Aset Tak Berwujud",'Daftar Koreksi'!$H$5:$H$92,"&lt;0")-SUMIFS('Daftar Koreksi'!$H$5:$H$92,'Daftar Koreksi'!$D$5:$D$92,'1900'!A884,'Daftar Koreksi'!$G$5:$G$92,"Aset Tak Berwujud",'Daftar Koreksi'!$H$5:$H$92,"&lt;0")</f>
        <v>0</v>
      </c>
      <c r="G894" s="17">
        <f t="shared" si="40"/>
        <v>6450000</v>
      </c>
      <c r="H894" s="122"/>
    </row>
    <row r="895" spans="1:10" ht="21.95" customHeight="1">
      <c r="A895" s="14"/>
      <c r="B895" s="14"/>
      <c r="C895" s="16" t="s">
        <v>1173</v>
      </c>
      <c r="D895" s="17">
        <f>VLOOKUP(A884,'Neraca Unaudited SIMAK'!$A$2:$S$10004,11,FALSE)</f>
        <v>684705</v>
      </c>
      <c r="E895" s="25">
        <f>SUMIFS('Daftar Koreksi'!$H$5:$H$92,'Daftar Koreksi'!$D$5:$D$92,'1900'!A884,'Daftar Koreksi'!$G$5:$G$92,"Aset Henti Guna",'Daftar Koreksi'!$H$5:$H$92,"&gt;0")</f>
        <v>0</v>
      </c>
      <c r="F895" s="25">
        <f>SUMIFS('Daftar Koreksi'!$H$5:$H$92,'Daftar Koreksi'!$D$5:$D$92,'1900'!A884,'Daftar Koreksi'!$G$5:$G$92,"Aset Henti Guna",'Daftar Koreksi'!$H$5:$H$92,"&lt;0")-SUMIFS('Daftar Koreksi'!$H$5:$H$92,'Daftar Koreksi'!$D$5:$D$92,'1900'!A884,'Daftar Koreksi'!$G$5:$G$92,"Aset Henti Guna",'Daftar Koreksi'!$H$5:$H$92,"&lt;0")-SUMIFS('Daftar Koreksi'!$H$5:$H$92,'Daftar Koreksi'!$D$5:$D$92,'1900'!A884,'Daftar Koreksi'!$G$5:$G$92,"Aset Henti Guna",'Daftar Koreksi'!$H$5:$H$92,"&lt;0")</f>
        <v>0</v>
      </c>
      <c r="G895" s="17">
        <f t="shared" si="40"/>
        <v>684705</v>
      </c>
      <c r="H895" s="122"/>
    </row>
    <row r="896" spans="1:10" ht="21.95" customHeight="1">
      <c r="A896" s="14"/>
      <c r="B896" s="14"/>
      <c r="C896" s="18" t="s">
        <v>2093</v>
      </c>
      <c r="D896" s="19">
        <f>VLOOKUP(A884,'Neraca Unaudited SIMAK'!$A$2:$S$10004,12,FALSE)</f>
        <v>6352102103</v>
      </c>
      <c r="E896" s="19">
        <f>SUM(E887:E895)</f>
        <v>0</v>
      </c>
      <c r="F896" s="19">
        <f>SUM(F887:F895)</f>
        <v>0</v>
      </c>
      <c r="G896" s="19">
        <f t="shared" si="40"/>
        <v>6352102103</v>
      </c>
      <c r="H896" s="122"/>
    </row>
    <row r="897" spans="1:8" ht="21.95" customHeight="1">
      <c r="A897" s="14"/>
      <c r="B897" s="14"/>
      <c r="C897" s="16" t="s">
        <v>2087</v>
      </c>
      <c r="D897" s="17">
        <f>VLOOKUP(A884,'Neraca Unaudited SIMAK'!$A$2:$S$10004,13,FALSE)</f>
        <v>-898009196</v>
      </c>
      <c r="E897" s="25">
        <f>SUMIFS('Daftar Koreksi'!$I$5:$I$92,'Daftar Koreksi'!$D$5:$D$92,'1900'!A884,'Daftar Koreksi'!$G$5:$G$92,"Peralatan dan mesin",'Daftar Koreksi'!$I$5:$I$92,"&gt;0")</f>
        <v>0</v>
      </c>
      <c r="F897" s="25">
        <f>SUMIFS('Daftar Koreksi'!$I$5:$I$92,'Daftar Koreksi'!$D$5:$D$92,'1900'!A884,'Daftar Koreksi'!$G$5:$G$92,"Peralatan dan mesin",'Daftar Koreksi'!$I$5:$I$92,"&lt;0")-SUMIFS('Daftar Koreksi'!$I$5:$I$92,'Daftar Koreksi'!$D$5:$D$92,'1900'!A884,'Daftar Koreksi'!$G$5:$G$92,"Peralatan dan mesin",'Daftar Koreksi'!$I$5:$I$92,"&lt;0")-SUMIFS('Daftar Koreksi'!$I$5:$I$92,'Daftar Koreksi'!$D$5:$D$92,'1900'!A884,'Daftar Koreksi'!$G$5:$G$92,"Peralatan dan mesin",'Daftar Koreksi'!$I$5:$I$92,"&lt;0")</f>
        <v>0</v>
      </c>
      <c r="G897" s="17">
        <f t="shared" si="40"/>
        <v>-898009196</v>
      </c>
      <c r="H897" s="122"/>
    </row>
    <row r="898" spans="1:8" ht="21.95" customHeight="1">
      <c r="A898" s="14"/>
      <c r="B898" s="14"/>
      <c r="C898" s="16" t="s">
        <v>2088</v>
      </c>
      <c r="D898" s="17">
        <f>VLOOKUP(A884,'Neraca Unaudited SIMAK'!$A$2:$S$10004,14,FALSE)</f>
        <v>-620645236</v>
      </c>
      <c r="E898" s="25">
        <f>SUMIFS('Daftar Koreksi'!$I$5:$I$92,'Daftar Koreksi'!$D$5:$D$92,'1900'!A884,'Daftar Koreksi'!$G$5:$G$92,"Gedung dan Bangunan",'Daftar Koreksi'!$I$5:$I$92,"&gt;0")</f>
        <v>0</v>
      </c>
      <c r="F898" s="25">
        <f>SUMIFS('Daftar Koreksi'!$I$5:$I$92,'Daftar Koreksi'!$D$5:$D$92,'1900'!A884,'Daftar Koreksi'!$G$5:$G$92,"Gedung dan Bangunan",'Daftar Koreksi'!$I$5:$I$92,"&lt;0")-SUMIFS('Daftar Koreksi'!$I$5:$I$92,'Daftar Koreksi'!$D$5:$D$92,'1900'!A884,'Daftar Koreksi'!$G$5:$G$92,"Gedung dan Bangunan",'Daftar Koreksi'!$I$5:$I$92,"&lt;0")-SUMIFS('Daftar Koreksi'!$I$5:$I$92,'Daftar Koreksi'!$D$5:$D$92,'1900'!A884,'Daftar Koreksi'!$G$5:$G$92,"Gedung dan Bangunan",'Daftar Koreksi'!$I$5:$I$92,"&lt;0")</f>
        <v>0</v>
      </c>
      <c r="G898" s="17">
        <f t="shared" si="40"/>
        <v>-620645236</v>
      </c>
      <c r="H898" s="122"/>
    </row>
    <row r="899" spans="1:8" ht="21.95" customHeight="1">
      <c r="A899" s="14"/>
      <c r="B899" s="14"/>
      <c r="C899" s="16" t="s">
        <v>2089</v>
      </c>
      <c r="D899" s="17">
        <f>VLOOKUP(A884,'Neraca Unaudited SIMAK'!$A$2:$S$10004,15,FALSE)</f>
        <v>-4361850</v>
      </c>
      <c r="E899" s="25">
        <f>SUMIFS('Daftar Koreksi'!$I$5:$I$92,'Daftar Koreksi'!$D$5:$D$92,'1900'!A884,'Daftar Koreksi'!$G$5:$G$92,"Jalan Irigasi Jaringan",'Daftar Koreksi'!$I$5:$I$92,"&gt;0")</f>
        <v>0</v>
      </c>
      <c r="F899" s="25">
        <f>SUMIFS('Daftar Koreksi'!$I$5:$I$92,'Daftar Koreksi'!$D$5:$D$92,'1900'!A884,'Daftar Koreksi'!$G$5:$G$92,"Jalan Irigasi Jaringan",'Daftar Koreksi'!$I$5:$I$92,"&lt;0")-SUMIFS('Daftar Koreksi'!$I$5:$I$92,'Daftar Koreksi'!$D$5:$D$92,'1900'!A884,'Daftar Koreksi'!$G$5:$G$92,"Jalan Irigasi Jaringan",'Daftar Koreksi'!$I$5:$I$92,"&lt;0")-SUMIFS('Daftar Koreksi'!$I$5:$I$92,'Daftar Koreksi'!$D$5:$D$92,'1900'!A884,'Daftar Koreksi'!$G$5:$G$92,"Jalan Irigasi Jaringan",'Daftar Koreksi'!$I$5:$I$92,"&lt;0")</f>
        <v>0</v>
      </c>
      <c r="G899" s="17">
        <f t="shared" si="40"/>
        <v>-4361850</v>
      </c>
      <c r="H899" s="122"/>
    </row>
    <row r="900" spans="1:8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Koreksi'!$D$5:$D$92,'1900'!A884,'Daftar Koreksi'!$G$5:$G$92,"Aset Tetap Lainnya",'Daftar Koreksi'!$I$5:$I$92,"&gt;0")</f>
        <v>0</v>
      </c>
      <c r="F900" s="25">
        <f>SUMIFS('Daftar Koreksi'!$I$5:$I$92,'Daftar Koreksi'!$D$5:$D$92,'1900'!A884,'Daftar Koreksi'!$G$5:$G$92,"Aset Tetap Lainnya",'Daftar Koreksi'!$I$5:$I$92,"&lt;0")-SUMIFS('Daftar Koreksi'!$I$5:$I$92,'Daftar Koreksi'!$D$5:$D$92,'1900'!A884,'Daftar Koreksi'!$G$5:$G$92,"Aset Tetap Lainnya",'Daftar Koreksi'!$I$5:$I$92,"&lt;0")-SUMIFS('Daftar Koreksi'!$I$5:$I$92,'Daftar Koreksi'!$D$5:$D$92,'1900'!A884,'Daftar Koreksi'!$G$5:$G$92,"Aset Tetap Lainnya",'Daftar Koreksi'!$I$5:$I$92,"&lt;0")</f>
        <v>0</v>
      </c>
      <c r="G900" s="17">
        <f t="shared" si="40"/>
        <v>0</v>
      </c>
      <c r="H900" s="122"/>
    </row>
    <row r="901" spans="1:8" ht="21.95" customHeight="1">
      <c r="A901" s="14"/>
      <c r="B901" s="14"/>
      <c r="C901" s="16" t="s">
        <v>2020</v>
      </c>
      <c r="D901" s="17">
        <f>VLOOKUP(A884,'Neraca Unaudited SIMAK'!$A$2:$S$10004,17,FALSE)</f>
        <v>-684705</v>
      </c>
      <c r="E901" s="25">
        <f>SUMIFS('Daftar Koreksi'!$I$5:$I$92,'Daftar Koreksi'!$D$5:$D$92,'1900'!A884,'Daftar Koreksi'!$G$5:$G$92,"Aset Henti Guna",'Daftar Koreksi'!$I$5:$I$92,"&gt;0")</f>
        <v>0</v>
      </c>
      <c r="F901" s="25">
        <f>SUMIFS('Daftar Koreksi'!$I$5:$I$92,'Daftar Koreksi'!$D$5:$D$92,'1900'!A884,'Daftar Koreksi'!$G$5:$G$92,"Aset Henti Guna",'Daftar Koreksi'!$I$5:$I$92,"&lt;0")-SUMIFS('Daftar Koreksi'!$I$5:$I$92,'Daftar Koreksi'!$D$5:$D$92,'1900'!A884,'Daftar Koreksi'!$G$5:$G$92,"Aset Henti Guna",'Daftar Koreksi'!$I$5:$I$92,"&lt;0")-SUMIFS('Daftar Koreksi'!$I$5:$I$92,'Daftar Koreksi'!$D$5:$D$92,'1900'!A884,'Daftar Koreksi'!$G$5:$G$92,"Aset Henti Guna",'Daftar Koreksi'!$I$5:$I$92,"&lt;0")</f>
        <v>0</v>
      </c>
      <c r="G901" s="17">
        <f t="shared" si="40"/>
        <v>-684705</v>
      </c>
      <c r="H901" s="122"/>
    </row>
    <row r="902" spans="1:8" ht="21.95" customHeight="1">
      <c r="A902" s="14"/>
      <c r="B902" s="14"/>
      <c r="C902" s="18" t="s">
        <v>2094</v>
      </c>
      <c r="D902" s="19">
        <f>SUM(D897:D901)</f>
        <v>-1523700987</v>
      </c>
      <c r="E902" s="19">
        <f>SUM(E897:E901)</f>
        <v>0</v>
      </c>
      <c r="F902" s="19">
        <f>SUM(F897:F901)</f>
        <v>0</v>
      </c>
      <c r="G902" s="19">
        <f t="shared" si="40"/>
        <v>-1523700987</v>
      </c>
      <c r="H902" s="122"/>
    </row>
    <row r="903" spans="1:8" ht="21.95" customHeight="1">
      <c r="A903" s="14"/>
      <c r="B903" s="14"/>
      <c r="C903" s="18" t="s">
        <v>2095</v>
      </c>
      <c r="D903" s="19">
        <f>VLOOKUP(A884,'Neraca Unaudited SIMAK'!$A$2:$S$10004,18,FALSE)</f>
        <v>4828401116</v>
      </c>
      <c r="E903" s="19">
        <f>E902+E896</f>
        <v>0</v>
      </c>
      <c r="F903" s="19">
        <f>F902+F896</f>
        <v>0</v>
      </c>
      <c r="G903" s="19">
        <f t="shared" si="40"/>
        <v>4828401116</v>
      </c>
      <c r="H903" s="122"/>
    </row>
    <row r="904" spans="1:8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8" ht="19.5" customHeight="1">
      <c r="A906" s="11" t="str">
        <f>O42</f>
        <v>005011900307623000KD</v>
      </c>
      <c r="B906" s="11" t="str">
        <f>P42</f>
        <v>PA. Makale</v>
      </c>
      <c r="C906" s="12" t="str">
        <f>A906&amp;" "&amp;B906</f>
        <v>005011900307623000KD PA. Makale</v>
      </c>
      <c r="D906" s="13"/>
      <c r="E906" s="13"/>
      <c r="F906" s="13"/>
      <c r="G906" s="13"/>
      <c r="H906" s="11"/>
    </row>
    <row r="907" spans="1:8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8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8" ht="21.95" customHeight="1">
      <c r="A909" s="14"/>
      <c r="B909" s="14"/>
      <c r="C909" s="16" t="s">
        <v>1165</v>
      </c>
      <c r="D909" s="17">
        <f>VLOOKUP(A906,'Neraca Unaudited SIMAK'!$A$2:$S$10004,3,FALSE)</f>
        <v>1889500</v>
      </c>
      <c r="E909" s="25">
        <f>SUMIFS('Daftar Koreksi'!$H$5:$H$92,'Daftar Koreksi'!$D$5:$D$92,'1900'!A906,'Daftar Koreksi'!$G$5:$G$92,"Persediaan",'Daftar Koreksi'!$H$5:$H$92,"&gt;0")</f>
        <v>0</v>
      </c>
      <c r="F909" s="25">
        <f>SUMIFS('Daftar Koreksi'!$H$5:$H$92,'Daftar Koreksi'!$D$5:$D$92,'1900'!A906,'Daftar Koreksi'!$G$5:$G$92,"Persediaan",'Daftar Koreksi'!$H$5:$H$92,"&lt;0")-SUMIFS('Daftar Koreksi'!$H$5:$H$92,'Daftar Koreksi'!$D$5:$D$92,'1900'!A906,'Daftar Koreksi'!$G$5:$G$92,"Persediaan",'Daftar Koreksi'!$H$5:$H$92,"&lt;0")-SUMIFS('Daftar Koreksi'!$H$5:$H$92,'Daftar Koreksi'!$D$5:$D$92,'1900'!A906,'Daftar Koreksi'!$G$5:$G$92,"Persediaan",'Daftar Koreksi'!$H$5:$H$92,"&lt;0")</f>
        <v>0</v>
      </c>
      <c r="G909" s="17">
        <f>D909+E909-F909</f>
        <v>1889500</v>
      </c>
      <c r="H909" s="121" t="str">
        <f>IF(ISNA(VLOOKUP(A906,'Mutasi Neraca'!$A$3:$S$914,19,FALSE)),"-",VLOOKUP(A906,'Mutasi Neraca'!$A$3:$S$914,19,FALSE))</f>
        <v>-</v>
      </c>
    </row>
    <row r="910" spans="1:8" ht="21.95" customHeight="1">
      <c r="A910" s="14"/>
      <c r="B910" s="14"/>
      <c r="C910" s="16" t="s">
        <v>1166</v>
      </c>
      <c r="D910" s="17">
        <f>VLOOKUP(A906,'Neraca Unaudited SIMAK'!$A$2:$S$10004,4,FALSE)</f>
        <v>2374846000</v>
      </c>
      <c r="E910" s="25">
        <f>SUMIFS('Daftar Koreksi'!$H$5:$H$92,'Daftar Koreksi'!$D$5:$D$92,'1900'!A906,'Daftar Koreksi'!$G$5:$G$92,"Tanah",'Daftar Koreksi'!$H$5:$H$92,"&gt;0")</f>
        <v>0</v>
      </c>
      <c r="F910" s="25">
        <f>SUMIFS('Daftar Koreksi'!$H$5:$H$92,'Daftar Koreksi'!$D$5:$D$92,'1900'!A906,'Daftar Koreksi'!$G$5:$G$92,"Tanah",'Daftar Koreksi'!$H$5:$H$92,"&lt;0")-SUMIFS('Daftar Koreksi'!$H$5:$H$92,'Daftar Koreksi'!$D$5:$D$92,'1900'!A906,'Daftar Koreksi'!$G$5:$G$92,"Tanah",'Daftar Koreksi'!$H$5:$H$92,"&lt;0")-SUMIFS('Daftar Koreksi'!$H$5:$H$92,'Daftar Koreksi'!$D$5:$D$92,'1900'!A906,'Daftar Koreksi'!$G$5:$G$92,"Tanah",'Daftar Koreksi'!$H$5:$H$92,"&lt;0")</f>
        <v>0</v>
      </c>
      <c r="G910" s="17">
        <f t="shared" ref="G910:G926" si="41">D910+E910-F910</f>
        <v>2374846000</v>
      </c>
      <c r="H910" s="122"/>
    </row>
    <row r="911" spans="1:8" ht="21.95" customHeight="1">
      <c r="A911" s="14"/>
      <c r="B911" s="14"/>
      <c r="C911" s="16" t="s">
        <v>1167</v>
      </c>
      <c r="D911" s="17">
        <f>VLOOKUP(A906,'Neraca Unaudited SIMAK'!$A$2:$S$10004,5,FALSE)</f>
        <v>1115979240</v>
      </c>
      <c r="E911" s="25">
        <f>SUMIFS('Daftar Koreksi'!$H$5:$H$92,'Daftar Koreksi'!$D$5:$D$92,'1900'!A906,'Daftar Koreksi'!$G$5:$G$92,"Peralatan dan mesin",'Daftar Koreksi'!$H$5:$H$92,"&gt;0")</f>
        <v>0</v>
      </c>
      <c r="F911" s="25">
        <f>SUMIFS('Daftar Koreksi'!$H$5:$H$92,'Daftar Koreksi'!$D$5:$D$92,'1900'!A906,'Daftar Koreksi'!$G$5:$G$92,"Peralatan dan mesin",'Daftar Koreksi'!$H$5:$H$92,"&lt;0")-SUMIFS('Daftar Koreksi'!$H$5:$H$92,'Daftar Koreksi'!$D$5:$D$92,'1900'!A906,'Daftar Koreksi'!$G$5:$G$92,"Peralatan dan mesin",'Daftar Koreksi'!$H$5:$H$92,"&lt;0")-SUMIFS('Daftar Koreksi'!$H$5:$H$92,'Daftar Koreksi'!$D$5:$D$92,'1900'!A906,'Daftar Koreksi'!$G$5:$G$92,"Peralatan dan mesin",'Daftar Koreksi'!$H$5:$H$92,"&lt;0")</f>
        <v>0</v>
      </c>
      <c r="G911" s="17">
        <f t="shared" si="41"/>
        <v>1115979240</v>
      </c>
      <c r="H911" s="122"/>
    </row>
    <row r="912" spans="1:8" ht="21.95" customHeight="1">
      <c r="A912" s="14"/>
      <c r="B912" s="14"/>
      <c r="C912" s="16" t="s">
        <v>1168</v>
      </c>
      <c r="D912" s="17">
        <f>VLOOKUP(A906,'Neraca Unaudited SIMAK'!$A$2:$S$10004,6,FALSE)</f>
        <v>2843913100</v>
      </c>
      <c r="E912" s="25">
        <f>SUMIFS('Daftar Koreksi'!$H$5:$H$92,'Daftar Koreksi'!$D$5:$D$92,'1900'!A906,'Daftar Koreksi'!$G$5:$G$92,"Gedung dan Bangunan",'Daftar Koreksi'!$H$5:$H$92,"&gt;0")</f>
        <v>0</v>
      </c>
      <c r="F912" s="25">
        <f>SUMIFS('Daftar Koreksi'!$H$5:$H$92,'Daftar Koreksi'!$D$5:$D$92,'1900'!A906,'Daftar Koreksi'!$G$5:$G$92,"Gedung dan Bangunan",'Daftar Koreksi'!$H$5:$H$92,"&lt;0")-SUMIFS('Daftar Koreksi'!$H$5:$H$92,'Daftar Koreksi'!$D$5:$D$92,'1900'!A906,'Daftar Koreksi'!$G$5:$G$92,"Gedung dan Bangunan",'Daftar Koreksi'!$H$5:$H$92,"&lt;0")-SUMIFS('Daftar Koreksi'!$H$5:$H$92,'Daftar Koreksi'!$D$5:$D$92,'1900'!A906,'Daftar Koreksi'!$G$5:$G$92,"Gedung dan Bangunan",'Daftar Koreksi'!$H$5:$H$92,"&lt;0")</f>
        <v>0</v>
      </c>
      <c r="G912" s="17">
        <f t="shared" si="41"/>
        <v>2843913100</v>
      </c>
      <c r="H912" s="122"/>
    </row>
    <row r="913" spans="1:8" ht="21.95" customHeight="1">
      <c r="A913" s="14"/>
      <c r="B913" s="14"/>
      <c r="C913" s="16" t="s">
        <v>1169</v>
      </c>
      <c r="D913" s="17">
        <f>VLOOKUP(A906,'Neraca Unaudited SIMAK'!$A$2:$S$10004,7,FALSE)</f>
        <v>37900000</v>
      </c>
      <c r="E913" s="25">
        <f>SUMIFS('Daftar Koreksi'!$H$5:$H$92,'Daftar Koreksi'!$D$5:$D$92,'1900'!A906,'Daftar Koreksi'!$G$5:$G$92,"Jalan Irigasi Jaringan",'Daftar Koreksi'!$H$5:$H$92,"&gt;0")</f>
        <v>0</v>
      </c>
      <c r="F913" s="25">
        <f>SUMIFS('Daftar Koreksi'!$H$5:$H$92,'Daftar Koreksi'!$D$5:$D$92,'1900'!A906,'Daftar Koreksi'!$G$5:$G$92,"Jalan Irigasi Jaringan",'Daftar Koreksi'!$H$5:$H$92,"&lt;0")-SUMIFS('Daftar Koreksi'!$H$5:$H$92,'Daftar Koreksi'!$D$5:$D$92,'1900'!A906,'Daftar Koreksi'!$G$5:$G$92,"Jalan Irigasi Jaringan",'Daftar Koreksi'!$H$5:$H$92,"&lt;0")-SUMIFS('Daftar Koreksi'!$H$5:$H$92,'Daftar Koreksi'!$D$5:$D$92,'1900'!A906,'Daftar Koreksi'!$G$5:$G$92,"Jalan Irigasi Jaringan",'Daftar Koreksi'!$H$5:$H$92,"&lt;0")</f>
        <v>0</v>
      </c>
      <c r="G913" s="17">
        <f t="shared" si="41"/>
        <v>37900000</v>
      </c>
      <c r="H913" s="122"/>
    </row>
    <row r="914" spans="1:8" ht="21.95" customHeight="1">
      <c r="A914" s="14"/>
      <c r="B914" s="14"/>
      <c r="C914" s="16" t="s">
        <v>1170</v>
      </c>
      <c r="D914" s="17">
        <f>VLOOKUP(A906,'Neraca Unaudited SIMAK'!$A$2:$S$10004,8,FALSE)</f>
        <v>1564370</v>
      </c>
      <c r="E914" s="25">
        <f>SUMIFS('Daftar Koreksi'!$H$5:$H$92,'Daftar Koreksi'!$D$5:$D$92,'1900'!A906,'Daftar Koreksi'!$G$5:$G$92,"Aset Tetap Lainnya",'Daftar Koreksi'!$H$5:$H$92,"&gt;0")</f>
        <v>0</v>
      </c>
      <c r="F914" s="25">
        <f>SUMIFS('Daftar Koreksi'!$H$5:$H$92,'Daftar Koreksi'!$D$5:$D$92,'1900'!A906,'Daftar Koreksi'!$G$5:$G$92,"Aset Tetap Lainnya",'Daftar Koreksi'!$H$5:$H$92,"&lt;0")-SUMIFS('Daftar Koreksi'!$H$5:$H$92,'Daftar Koreksi'!$D$5:$D$92,'1900'!A906,'Daftar Koreksi'!$G$5:$G$92,"Aset Tetap Lainnya",'Daftar Koreksi'!$H$5:$H$92,"&lt;0")-SUMIFS('Daftar Koreksi'!$H$5:$H$92,'Daftar Koreksi'!$D$5:$D$92,'1900'!A906,'Daftar Koreksi'!$G$5:$G$92,"Aset Tetap Lainnya",'Daftar Koreksi'!$H$5:$H$92,"&lt;0")</f>
        <v>0</v>
      </c>
      <c r="G914" s="17">
        <f t="shared" si="41"/>
        <v>1564370</v>
      </c>
      <c r="H914" s="122"/>
    </row>
    <row r="915" spans="1:8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Koreksi'!$D$5:$D$92,'1900'!A906,'Daftar Koreksi'!$G$5:$G$92,"Kontruksi Dalam Pengerjaan",'Daftar Koreksi'!$H$5:$H$92,"&gt;0")</f>
        <v>0</v>
      </c>
      <c r="F915" s="25">
        <f>SUMIFS('Daftar Koreksi'!$H$5:$H$92,'Daftar Koreksi'!$D$5:$D$92,'1900'!A906,'Daftar Koreksi'!$G$5:$G$92,"Kontruksi Dalam Pengerjaan",'Daftar Koreksi'!$H$5:$H$92,"&lt;0")-SUMIFS('Daftar Koreksi'!$H$5:$H$92,'Daftar Koreksi'!$D$5:$D$92,'1900'!A906,'Daftar Koreksi'!$G$5:$G$92,"Kontruksi Dalam Pengerjaan",'Daftar Koreksi'!$H$5:$H$92,"&lt;0")-SUMIFS('Daftar Koreksi'!$H$5:$H$92,'Daftar Koreksi'!$D$5:$D$92,'1900'!A906,'Daftar Koreksi'!$G$5:$G$92,"Kontruksi Dalam Pengerjaan",'Daftar Koreksi'!$H$5:$H$92,"&lt;0")</f>
        <v>0</v>
      </c>
      <c r="G915" s="17">
        <f t="shared" si="41"/>
        <v>0</v>
      </c>
      <c r="H915" s="122"/>
    </row>
    <row r="916" spans="1:8" ht="21.95" customHeight="1">
      <c r="A916" s="14"/>
      <c r="B916" s="14"/>
      <c r="C916" s="16" t="s">
        <v>1172</v>
      </c>
      <c r="D916" s="17">
        <f>VLOOKUP(A906,'Neraca Unaudited SIMAK'!$A$2:$S$10004,10,FALSE)</f>
        <v>0</v>
      </c>
      <c r="E916" s="25">
        <f>SUMIFS('Daftar Koreksi'!$H$5:$H$92,'Daftar Koreksi'!$D$5:$D$92,'1900'!A906,'Daftar Koreksi'!$G$5:$G$92,"Aset Tak Berwujud",'Daftar Koreksi'!$H$5:$H$92,"&gt;0")</f>
        <v>0</v>
      </c>
      <c r="F916" s="25">
        <f>SUMIFS('Daftar Koreksi'!$H$5:$H$92,'Daftar Koreksi'!$D$5:$D$92,'1900'!A906,'Daftar Koreksi'!$G$5:$G$92,"Aset Tak Berwujud",'Daftar Koreksi'!$H$5:$H$92,"&lt;0")-SUMIFS('Daftar Koreksi'!$H$5:$H$92,'Daftar Koreksi'!$D$5:$D$92,'1900'!A906,'Daftar Koreksi'!$G$5:$G$92,"Aset Tak Berwujud",'Daftar Koreksi'!$H$5:$H$92,"&lt;0")-SUMIFS('Daftar Koreksi'!$H$5:$H$92,'Daftar Koreksi'!$D$5:$D$92,'1900'!A906,'Daftar Koreksi'!$G$5:$G$92,"Aset Tak Berwujud",'Daftar Koreksi'!$H$5:$H$92,"&lt;0")</f>
        <v>0</v>
      </c>
      <c r="G916" s="17">
        <f t="shared" si="41"/>
        <v>0</v>
      </c>
      <c r="H916" s="122"/>
    </row>
    <row r="917" spans="1:8" ht="21.95" customHeight="1">
      <c r="A917" s="14"/>
      <c r="B917" s="14"/>
      <c r="C917" s="16" t="s">
        <v>1173</v>
      </c>
      <c r="D917" s="17">
        <f>VLOOKUP(A906,'Neraca Unaudited SIMAK'!$A$2:$S$10004,11,FALSE)</f>
        <v>0</v>
      </c>
      <c r="E917" s="25">
        <f>SUMIFS('Daftar Koreksi'!$H$5:$H$92,'Daftar Koreksi'!$D$5:$D$92,'1900'!A906,'Daftar Koreksi'!$G$5:$G$92,"Aset Henti Guna",'Daftar Koreksi'!$H$5:$H$92,"&gt;0")</f>
        <v>0</v>
      </c>
      <c r="F917" s="25">
        <f>SUMIFS('Daftar Koreksi'!$H$5:$H$92,'Daftar Koreksi'!$D$5:$D$92,'1900'!A906,'Daftar Koreksi'!$G$5:$G$92,"Aset Henti Guna",'Daftar Koreksi'!$H$5:$H$92,"&lt;0")-SUMIFS('Daftar Koreksi'!$H$5:$H$92,'Daftar Koreksi'!$D$5:$D$92,'1900'!A906,'Daftar Koreksi'!$G$5:$G$92,"Aset Henti Guna",'Daftar Koreksi'!$H$5:$H$92,"&lt;0")-SUMIFS('Daftar Koreksi'!$H$5:$H$92,'Daftar Koreksi'!$D$5:$D$92,'1900'!A906,'Daftar Koreksi'!$G$5:$G$92,"Aset Henti Guna",'Daftar Koreksi'!$H$5:$H$92,"&lt;0")</f>
        <v>0</v>
      </c>
      <c r="G917" s="17">
        <f t="shared" si="41"/>
        <v>0</v>
      </c>
      <c r="H917" s="122"/>
    </row>
    <row r="918" spans="1:8" ht="21.95" customHeight="1">
      <c r="A918" s="14"/>
      <c r="B918" s="14"/>
      <c r="C918" s="18" t="s">
        <v>2093</v>
      </c>
      <c r="D918" s="19">
        <f>VLOOKUP(A906,'Neraca Unaudited SIMAK'!$A$2:$S$10004,12,FALSE)</f>
        <v>6376092210</v>
      </c>
      <c r="E918" s="19">
        <f>SUM(E909:E917)</f>
        <v>0</v>
      </c>
      <c r="F918" s="19">
        <f>SUM(F909:F917)</f>
        <v>0</v>
      </c>
      <c r="G918" s="19">
        <f t="shared" si="41"/>
        <v>6376092210</v>
      </c>
      <c r="H918" s="122"/>
    </row>
    <row r="919" spans="1:8" ht="21.95" customHeight="1">
      <c r="A919" s="14"/>
      <c r="B919" s="14"/>
      <c r="C919" s="16" t="s">
        <v>2087</v>
      </c>
      <c r="D919" s="17">
        <f>VLOOKUP(A906,'Neraca Unaudited SIMAK'!$A$2:$S$10004,13,FALSE)</f>
        <v>-969167250</v>
      </c>
      <c r="E919" s="25">
        <f>SUMIFS('Daftar Koreksi'!$I$5:$I$92,'Daftar Koreksi'!$D$5:$D$92,'1900'!A906,'Daftar Koreksi'!$G$5:$G$92,"Peralatan dan mesin",'Daftar Koreksi'!$I$5:$I$92,"&gt;0")</f>
        <v>0</v>
      </c>
      <c r="F919" s="25">
        <f>SUMIFS('Daftar Koreksi'!$I$5:$I$92,'Daftar Koreksi'!$D$5:$D$92,'1900'!A906,'Daftar Koreksi'!$G$5:$G$92,"Peralatan dan mesin",'Daftar Koreksi'!$I$5:$I$92,"&lt;0")-SUMIFS('Daftar Koreksi'!$I$5:$I$92,'Daftar Koreksi'!$D$5:$D$92,'1900'!A906,'Daftar Koreksi'!$G$5:$G$92,"Peralatan dan mesin",'Daftar Koreksi'!$I$5:$I$92,"&lt;0")-SUMIFS('Daftar Koreksi'!$I$5:$I$92,'Daftar Koreksi'!$D$5:$D$92,'1900'!A906,'Daftar Koreksi'!$G$5:$G$92,"Peralatan dan mesin",'Daftar Koreksi'!$I$5:$I$92,"&lt;0")</f>
        <v>0</v>
      </c>
      <c r="G919" s="17">
        <f t="shared" si="41"/>
        <v>-969167250</v>
      </c>
      <c r="H919" s="122"/>
    </row>
    <row r="920" spans="1:8" ht="21.95" customHeight="1">
      <c r="A920" s="14"/>
      <c r="B920" s="14"/>
      <c r="C920" s="16" t="s">
        <v>2088</v>
      </c>
      <c r="D920" s="17">
        <f>VLOOKUP(A906,'Neraca Unaudited SIMAK'!$A$2:$S$10004,14,FALSE)</f>
        <v>-437982295</v>
      </c>
      <c r="E920" s="25">
        <f>SUMIFS('Daftar Koreksi'!$I$5:$I$92,'Daftar Koreksi'!$D$5:$D$92,'1900'!A906,'Daftar Koreksi'!$G$5:$G$92,"Gedung dan Bangunan",'Daftar Koreksi'!$I$5:$I$92,"&gt;0")</f>
        <v>0</v>
      </c>
      <c r="F920" s="25">
        <f>SUMIFS('Daftar Koreksi'!$I$5:$I$92,'Daftar Koreksi'!$D$5:$D$92,'1900'!A906,'Daftar Koreksi'!$G$5:$G$92,"Gedung dan Bangunan",'Daftar Koreksi'!$I$5:$I$92,"&lt;0")-SUMIFS('Daftar Koreksi'!$I$5:$I$92,'Daftar Koreksi'!$D$5:$D$92,'1900'!A906,'Daftar Koreksi'!$G$5:$G$92,"Gedung dan Bangunan",'Daftar Koreksi'!$I$5:$I$92,"&lt;0")-SUMIFS('Daftar Koreksi'!$I$5:$I$92,'Daftar Koreksi'!$D$5:$D$92,'1900'!A906,'Daftar Koreksi'!$G$5:$G$92,"Gedung dan Bangunan",'Daftar Koreksi'!$I$5:$I$92,"&lt;0")</f>
        <v>0</v>
      </c>
      <c r="G920" s="17">
        <f t="shared" si="41"/>
        <v>-437982295</v>
      </c>
      <c r="H920" s="122"/>
    </row>
    <row r="921" spans="1:8" ht="21.95" customHeight="1">
      <c r="A921" s="14"/>
      <c r="B921" s="14"/>
      <c r="C921" s="16" t="s">
        <v>2089</v>
      </c>
      <c r="D921" s="17">
        <f>VLOOKUP(A906,'Neraca Unaudited SIMAK'!$A$2:$S$10004,15,FALSE)</f>
        <v>-16970000</v>
      </c>
      <c r="E921" s="25">
        <f>SUMIFS('Daftar Koreksi'!$I$5:$I$92,'Daftar Koreksi'!$D$5:$D$92,'1900'!A906,'Daftar Koreksi'!$G$5:$G$92,"Jalan Irigasi Jaringan",'Daftar Koreksi'!$I$5:$I$92,"&gt;0")</f>
        <v>0</v>
      </c>
      <c r="F921" s="25">
        <f>SUMIFS('Daftar Koreksi'!$I$5:$I$92,'Daftar Koreksi'!$D$5:$D$92,'1900'!A906,'Daftar Koreksi'!$G$5:$G$92,"Jalan Irigasi Jaringan",'Daftar Koreksi'!$I$5:$I$92,"&lt;0")-SUMIFS('Daftar Koreksi'!$I$5:$I$92,'Daftar Koreksi'!$D$5:$D$92,'1900'!A906,'Daftar Koreksi'!$G$5:$G$92,"Jalan Irigasi Jaringan",'Daftar Koreksi'!$I$5:$I$92,"&lt;0")-SUMIFS('Daftar Koreksi'!$I$5:$I$92,'Daftar Koreksi'!$D$5:$D$92,'1900'!A906,'Daftar Koreksi'!$G$5:$G$92,"Jalan Irigasi Jaringan",'Daftar Koreksi'!$I$5:$I$92,"&lt;0")</f>
        <v>0</v>
      </c>
      <c r="G921" s="17">
        <f t="shared" si="41"/>
        <v>-16970000</v>
      </c>
      <c r="H921" s="122"/>
    </row>
    <row r="922" spans="1:8" ht="21.95" customHeight="1">
      <c r="A922" s="14"/>
      <c r="B922" s="14"/>
      <c r="C922" s="16" t="s">
        <v>2090</v>
      </c>
      <c r="D922" s="17">
        <f>VLOOKUP(A906,'Neraca Unaudited SIMAK'!$A$2:$S$10004,16,FALSE)</f>
        <v>0</v>
      </c>
      <c r="E922" s="25">
        <f>SUMIFS('Daftar Koreksi'!$I$5:$I$92,'Daftar Koreksi'!$D$5:$D$92,'1900'!A906,'Daftar Koreksi'!$G$5:$G$92,"Aset Tetap Lainnya",'Daftar Koreksi'!$I$5:$I$92,"&gt;0")</f>
        <v>0</v>
      </c>
      <c r="F922" s="25">
        <f>SUMIFS('Daftar Koreksi'!$I$5:$I$92,'Daftar Koreksi'!$D$5:$D$92,'1900'!A906,'Daftar Koreksi'!$G$5:$G$92,"Aset Tetap Lainnya",'Daftar Koreksi'!$I$5:$I$92,"&lt;0")-SUMIFS('Daftar Koreksi'!$I$5:$I$92,'Daftar Koreksi'!$D$5:$D$92,'1900'!A906,'Daftar Koreksi'!$G$5:$G$92,"Aset Tetap Lainnya",'Daftar Koreksi'!$I$5:$I$92,"&lt;0")-SUMIFS('Daftar Koreksi'!$I$5:$I$92,'Daftar Koreksi'!$D$5:$D$92,'1900'!A906,'Daftar Koreksi'!$G$5:$G$92,"Aset Tetap Lainnya",'Daftar Koreksi'!$I$5:$I$92,"&lt;0")</f>
        <v>0</v>
      </c>
      <c r="G922" s="17">
        <f t="shared" si="41"/>
        <v>0</v>
      </c>
      <c r="H922" s="122"/>
    </row>
    <row r="923" spans="1:8" ht="21.95" customHeight="1">
      <c r="A923" s="14"/>
      <c r="B923" s="14"/>
      <c r="C923" s="16" t="s">
        <v>2020</v>
      </c>
      <c r="D923" s="17">
        <f>VLOOKUP(A906,'Neraca Unaudited SIMAK'!$A$2:$S$10004,17,FALSE)</f>
        <v>0</v>
      </c>
      <c r="E923" s="25">
        <f>SUMIFS('Daftar Koreksi'!$I$5:$I$92,'Daftar Koreksi'!$D$5:$D$92,'1900'!A906,'Daftar Koreksi'!$G$5:$G$92,"Aset Henti Guna",'Daftar Koreksi'!$I$5:$I$92,"&gt;0")</f>
        <v>0</v>
      </c>
      <c r="F923" s="25">
        <f>SUMIFS('Daftar Koreksi'!$I$5:$I$92,'Daftar Koreksi'!$D$5:$D$92,'1900'!A906,'Daftar Koreksi'!$G$5:$G$92,"Aset Henti Guna",'Daftar Koreksi'!$I$5:$I$92,"&lt;0")-SUMIFS('Daftar Koreksi'!$I$5:$I$92,'Daftar Koreksi'!$D$5:$D$92,'1900'!A906,'Daftar Koreksi'!$G$5:$G$92,"Aset Henti Guna",'Daftar Koreksi'!$I$5:$I$92,"&lt;0")-SUMIFS('Daftar Koreksi'!$I$5:$I$92,'Daftar Koreksi'!$D$5:$D$92,'1900'!A906,'Daftar Koreksi'!$G$5:$G$92,"Aset Henti Guna",'Daftar Koreksi'!$I$5:$I$92,"&lt;0")</f>
        <v>0</v>
      </c>
      <c r="G923" s="17">
        <f t="shared" si="41"/>
        <v>0</v>
      </c>
      <c r="H923" s="122"/>
    </row>
    <row r="924" spans="1:8" ht="21.95" customHeight="1">
      <c r="A924" s="14"/>
      <c r="B924" s="14"/>
      <c r="C924" s="18" t="s">
        <v>2094</v>
      </c>
      <c r="D924" s="19">
        <f>SUM(D919:D923)</f>
        <v>-1424119545</v>
      </c>
      <c r="E924" s="19">
        <f>SUM(E919:E923)</f>
        <v>0</v>
      </c>
      <c r="F924" s="19">
        <f>SUM(F919:F923)</f>
        <v>0</v>
      </c>
      <c r="G924" s="19">
        <f t="shared" si="41"/>
        <v>-1424119545</v>
      </c>
      <c r="H924" s="122"/>
    </row>
    <row r="925" spans="1:8" ht="21.95" customHeight="1">
      <c r="A925" s="14"/>
      <c r="B925" s="14"/>
      <c r="C925" s="18" t="s">
        <v>2095</v>
      </c>
      <c r="D925" s="19">
        <f>VLOOKUP(A906,'Neraca Unaudited SIMAK'!$A$2:$S$10004,18,FALSE)</f>
        <v>4951972665</v>
      </c>
      <c r="E925" s="19">
        <f>E924+E918</f>
        <v>0</v>
      </c>
      <c r="F925" s="19">
        <f>F924+F918</f>
        <v>0</v>
      </c>
      <c r="G925" s="19">
        <f t="shared" si="41"/>
        <v>4951972665</v>
      </c>
      <c r="H925" s="122"/>
    </row>
    <row r="926" spans="1:8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</row>
    <row r="928" spans="1:8" ht="19.5" customHeight="1">
      <c r="A928" s="11" t="str">
        <f>O43</f>
        <v>005011900526711000KD</v>
      </c>
      <c r="B928" s="11" t="str">
        <f>P43</f>
        <v>PT. TUN. Makassar</v>
      </c>
      <c r="C928" s="12" t="str">
        <f>A928&amp;" "&amp;B928</f>
        <v>005011900526711000KD PT. TUN. Makassar</v>
      </c>
      <c r="D928" s="13"/>
      <c r="E928" s="13"/>
      <c r="F928" s="13"/>
      <c r="G928" s="13"/>
      <c r="H928" s="11"/>
    </row>
    <row r="929" spans="1:8" ht="21.95" customHeight="1">
      <c r="A929" s="14"/>
      <c r="B929" s="14"/>
      <c r="C929" s="124" t="s">
        <v>1982</v>
      </c>
      <c r="D929" s="126" t="s">
        <v>1983</v>
      </c>
      <c r="E929" s="132" t="s">
        <v>1984</v>
      </c>
      <c r="F929" s="132"/>
      <c r="G929" s="126" t="s">
        <v>1987</v>
      </c>
      <c r="H929" s="130" t="s">
        <v>1175</v>
      </c>
    </row>
    <row r="930" spans="1:8" ht="21.95" customHeight="1">
      <c r="A930" s="14"/>
      <c r="B930" s="14"/>
      <c r="C930" s="125"/>
      <c r="D930" s="127"/>
      <c r="E930" s="26" t="s">
        <v>1985</v>
      </c>
      <c r="F930" s="26" t="s">
        <v>1986</v>
      </c>
      <c r="G930" s="127"/>
      <c r="H930" s="131"/>
    </row>
    <row r="931" spans="1:8" ht="21.95" customHeight="1">
      <c r="A931" s="14"/>
      <c r="B931" s="14"/>
      <c r="C931" s="16" t="s">
        <v>1165</v>
      </c>
      <c r="D931" s="17">
        <f>VLOOKUP(A928,'Neraca Unaudited SIMAK'!$A$2:$S$10004,3,FALSE)</f>
        <v>12380850</v>
      </c>
      <c r="E931" s="25">
        <f>SUMIFS('Daftar Koreksi'!$H$5:$H$92,'Daftar Koreksi'!$D$5:$D$92,'1900'!A928,'Daftar Koreksi'!$G$5:$G$92,"Persediaan",'Daftar Koreksi'!$H$5:$H$92,"&gt;0")</f>
        <v>0</v>
      </c>
      <c r="F931" s="25">
        <f>SUMIFS('Daftar Koreksi'!$H$5:$H$92,'Daftar Koreksi'!$D$5:$D$92,'1900'!A928,'Daftar Koreksi'!$G$5:$G$92,"Persediaan",'Daftar Koreksi'!$H$5:$H$92,"&lt;0")-SUMIFS('Daftar Koreksi'!$H$5:$H$92,'Daftar Koreksi'!$D$5:$D$92,'1900'!A928,'Daftar Koreksi'!$G$5:$G$92,"Persediaan",'Daftar Koreksi'!$H$5:$H$92,"&lt;0")-SUMIFS('Daftar Koreksi'!$H$5:$H$92,'Daftar Koreksi'!$D$5:$D$92,'1900'!A928,'Daftar Koreksi'!$G$5:$G$92,"Persediaan",'Daftar Koreksi'!$H$5:$H$92,"&lt;0")</f>
        <v>0</v>
      </c>
      <c r="G931" s="17">
        <f>D931+E931-F931</f>
        <v>12380850</v>
      </c>
      <c r="H931" s="121" t="str">
        <f>IF(ISNA(VLOOKUP(A928,'Mutasi Neraca'!$A$3:$S$914,19,FALSE)),"-",VLOOKUP(A928,'Mutasi Neraca'!$A$3:$S$914,19,FALSE))</f>
        <v>-</v>
      </c>
    </row>
    <row r="932" spans="1:8" ht="21.95" customHeight="1">
      <c r="A932" s="14"/>
      <c r="B932" s="14"/>
      <c r="C932" s="16" t="s">
        <v>1166</v>
      </c>
      <c r="D932" s="17">
        <f>VLOOKUP(A928,'Neraca Unaudited SIMAK'!$A$2:$S$10004,4,FALSE)</f>
        <v>14658402000</v>
      </c>
      <c r="E932" s="25">
        <f>SUMIFS('Daftar Koreksi'!$H$5:$H$92,'Daftar Koreksi'!$D$5:$D$92,'1900'!A928,'Daftar Koreksi'!$G$5:$G$92,"Tanah",'Daftar Koreksi'!$H$5:$H$92,"&gt;0")</f>
        <v>0</v>
      </c>
      <c r="F932" s="25">
        <f>SUMIFS('Daftar Koreksi'!$H$5:$H$92,'Daftar Koreksi'!$D$5:$D$92,'1900'!A928,'Daftar Koreksi'!$G$5:$G$92,"Tanah",'Daftar Koreksi'!$H$5:$H$92,"&lt;0")-SUMIFS('Daftar Koreksi'!$H$5:$H$92,'Daftar Koreksi'!$D$5:$D$92,'1900'!A928,'Daftar Koreksi'!$G$5:$G$92,"Tanah",'Daftar Koreksi'!$H$5:$H$92,"&lt;0")-SUMIFS('Daftar Koreksi'!$H$5:$H$92,'Daftar Koreksi'!$D$5:$D$92,'1900'!A928,'Daftar Koreksi'!$G$5:$G$92,"Tanah",'Daftar Koreksi'!$H$5:$H$92,"&lt;0")</f>
        <v>0</v>
      </c>
      <c r="G932" s="17">
        <f t="shared" ref="G932:G948" si="42">D932+E932-F932</f>
        <v>14658402000</v>
      </c>
      <c r="H932" s="122"/>
    </row>
    <row r="933" spans="1:8" ht="21.95" customHeight="1">
      <c r="A933" s="14"/>
      <c r="B933" s="14"/>
      <c r="C933" s="16" t="s">
        <v>1167</v>
      </c>
      <c r="D933" s="17">
        <f>VLOOKUP(A928,'Neraca Unaudited SIMAK'!$A$2:$S$10004,5,FALSE)</f>
        <v>2920930725</v>
      </c>
      <c r="E933" s="25">
        <f>SUMIFS('Daftar Koreksi'!$H$5:$H$92,'Daftar Koreksi'!$D$5:$D$92,'1900'!A928,'Daftar Koreksi'!$G$5:$G$92,"Peralatan dan mesin",'Daftar Koreksi'!$H$5:$H$92,"&gt;0")</f>
        <v>0</v>
      </c>
      <c r="F933" s="25">
        <f>SUMIFS('Daftar Koreksi'!$H$5:$H$92,'Daftar Koreksi'!$D$5:$D$92,'1900'!A928,'Daftar Koreksi'!$G$5:$G$92,"Peralatan dan mesin",'Daftar Koreksi'!$H$5:$H$92,"&lt;0")-SUMIFS('Daftar Koreksi'!$H$5:$H$92,'Daftar Koreksi'!$D$5:$D$92,'1900'!A928,'Daftar Koreksi'!$G$5:$G$92,"Peralatan dan mesin",'Daftar Koreksi'!$H$5:$H$92,"&lt;0")-SUMIFS('Daftar Koreksi'!$H$5:$H$92,'Daftar Koreksi'!$D$5:$D$92,'1900'!A928,'Daftar Koreksi'!$G$5:$G$92,"Peralatan dan mesin",'Daftar Koreksi'!$H$5:$H$92,"&lt;0")</f>
        <v>0</v>
      </c>
      <c r="G933" s="17">
        <f t="shared" si="42"/>
        <v>2920930725</v>
      </c>
      <c r="H933" s="122"/>
    </row>
    <row r="934" spans="1:8" ht="21.95" customHeight="1">
      <c r="A934" s="14"/>
      <c r="B934" s="14"/>
      <c r="C934" s="16" t="s">
        <v>1168</v>
      </c>
      <c r="D934" s="17">
        <f>VLOOKUP(A928,'Neraca Unaudited SIMAK'!$A$2:$S$10004,6,FALSE)</f>
        <v>5293737000</v>
      </c>
      <c r="E934" s="25">
        <f>SUMIFS('Daftar Koreksi'!$H$5:$H$92,'Daftar Koreksi'!$D$5:$D$92,'1900'!A928,'Daftar Koreksi'!$G$5:$G$92,"Gedung dan Bangunan",'Daftar Koreksi'!$H$5:$H$92,"&gt;0")</f>
        <v>0</v>
      </c>
      <c r="F934" s="25">
        <f>SUMIFS('Daftar Koreksi'!$H$5:$H$92,'Daftar Koreksi'!$D$5:$D$92,'1900'!A928,'Daftar Koreksi'!$G$5:$G$92,"Gedung dan Bangunan",'Daftar Koreksi'!$H$5:$H$92,"&lt;0")-SUMIFS('Daftar Koreksi'!$H$5:$H$92,'Daftar Koreksi'!$D$5:$D$92,'1900'!A928,'Daftar Koreksi'!$G$5:$G$92,"Gedung dan Bangunan",'Daftar Koreksi'!$H$5:$H$92,"&lt;0")-SUMIFS('Daftar Koreksi'!$H$5:$H$92,'Daftar Koreksi'!$D$5:$D$92,'1900'!A928,'Daftar Koreksi'!$G$5:$G$92,"Gedung dan Bangunan",'Daftar Koreksi'!$H$5:$H$92,"&lt;0")</f>
        <v>0</v>
      </c>
      <c r="G934" s="17">
        <f t="shared" si="42"/>
        <v>5293737000</v>
      </c>
      <c r="H934" s="122"/>
    </row>
    <row r="935" spans="1:8" ht="21.95" customHeight="1">
      <c r="A935" s="14"/>
      <c r="B935" s="14"/>
      <c r="C935" s="16" t="s">
        <v>1169</v>
      </c>
      <c r="D935" s="17">
        <f>VLOOKUP(A928,'Neraca Unaudited SIMAK'!$A$2:$S$10004,7,FALSE)</f>
        <v>386420000</v>
      </c>
      <c r="E935" s="25">
        <f>SUMIFS('Daftar Koreksi'!$H$5:$H$92,'Daftar Koreksi'!$D$5:$D$92,'1900'!A928,'Daftar Koreksi'!$G$5:$G$92,"Jalan Irigasi Jaringan",'Daftar Koreksi'!$H$5:$H$92,"&gt;0")</f>
        <v>0</v>
      </c>
      <c r="F935" s="25">
        <f>SUMIFS('Daftar Koreksi'!$H$5:$H$92,'Daftar Koreksi'!$D$5:$D$92,'1900'!A928,'Daftar Koreksi'!$G$5:$G$92,"Jalan Irigasi Jaringan",'Daftar Koreksi'!$H$5:$H$92,"&lt;0")-SUMIFS('Daftar Koreksi'!$H$5:$H$92,'Daftar Koreksi'!$D$5:$D$92,'1900'!A928,'Daftar Koreksi'!$G$5:$G$92,"Jalan Irigasi Jaringan",'Daftar Koreksi'!$H$5:$H$92,"&lt;0")-SUMIFS('Daftar Koreksi'!$H$5:$H$92,'Daftar Koreksi'!$D$5:$D$92,'1900'!A928,'Daftar Koreksi'!$G$5:$G$92,"Jalan Irigasi Jaringan",'Daftar Koreksi'!$H$5:$H$92,"&lt;0")</f>
        <v>0</v>
      </c>
      <c r="G935" s="17">
        <f t="shared" si="42"/>
        <v>386420000</v>
      </c>
      <c r="H935" s="122"/>
    </row>
    <row r="936" spans="1:8" ht="21.95" customHeight="1">
      <c r="A936" s="14"/>
      <c r="B936" s="14"/>
      <c r="C936" s="16" t="s">
        <v>1170</v>
      </c>
      <c r="D936" s="17">
        <f>VLOOKUP(A928,'Neraca Unaudited SIMAK'!$A$2:$S$10004,8,FALSE)</f>
        <v>100830000</v>
      </c>
      <c r="E936" s="25">
        <f>SUMIFS('Daftar Koreksi'!$H$5:$H$92,'Daftar Koreksi'!$D$5:$D$92,'1900'!A928,'Daftar Koreksi'!$G$5:$G$92,"Aset Tetap Lainnya",'Daftar Koreksi'!$H$5:$H$92,"&gt;0")</f>
        <v>0</v>
      </c>
      <c r="F936" s="25">
        <f>SUMIFS('Daftar Koreksi'!$H$5:$H$92,'Daftar Koreksi'!$D$5:$D$92,'1900'!A928,'Daftar Koreksi'!$G$5:$G$92,"Aset Tetap Lainnya",'Daftar Koreksi'!$H$5:$H$92,"&lt;0")-SUMIFS('Daftar Koreksi'!$H$5:$H$92,'Daftar Koreksi'!$D$5:$D$92,'1900'!A928,'Daftar Koreksi'!$G$5:$G$92,"Aset Tetap Lainnya",'Daftar Koreksi'!$H$5:$H$92,"&lt;0")-SUMIFS('Daftar Koreksi'!$H$5:$H$92,'Daftar Koreksi'!$D$5:$D$92,'1900'!A928,'Daftar Koreksi'!$G$5:$G$92,"Aset Tetap Lainnya",'Daftar Koreksi'!$H$5:$H$92,"&lt;0")</f>
        <v>0</v>
      </c>
      <c r="G936" s="17">
        <f t="shared" si="42"/>
        <v>100830000</v>
      </c>
      <c r="H936" s="122"/>
    </row>
    <row r="937" spans="1:8" ht="21.95" customHeight="1">
      <c r="A937" s="14"/>
      <c r="B937" s="14"/>
      <c r="C937" s="16" t="s">
        <v>1171</v>
      </c>
      <c r="D937" s="17">
        <f>VLOOKUP(A928,'Neraca Unaudited SIMAK'!$A$2:$S$10004,9,FALSE)</f>
        <v>0</v>
      </c>
      <c r="E937" s="25">
        <f>SUMIFS('Daftar Koreksi'!$H$5:$H$92,'Daftar Koreksi'!$D$5:$D$92,'1900'!A928,'Daftar Koreksi'!$G$5:$G$92,"Kontruksi Dalam Pengerjaan",'Daftar Koreksi'!$H$5:$H$92,"&gt;0")</f>
        <v>0</v>
      </c>
      <c r="F937" s="25">
        <f>SUMIFS('Daftar Koreksi'!$H$5:$H$92,'Daftar Koreksi'!$D$5:$D$92,'1900'!A928,'Daftar Koreksi'!$G$5:$G$92,"Kontruksi Dalam Pengerjaan",'Daftar Koreksi'!$H$5:$H$92,"&lt;0")-SUMIFS('Daftar Koreksi'!$H$5:$H$92,'Daftar Koreksi'!$D$5:$D$92,'1900'!A928,'Daftar Koreksi'!$G$5:$G$92,"Kontruksi Dalam Pengerjaan",'Daftar Koreksi'!$H$5:$H$92,"&lt;0")-SUMIFS('Daftar Koreksi'!$H$5:$H$92,'Daftar Koreksi'!$D$5:$D$92,'1900'!A928,'Daftar Koreksi'!$G$5:$G$92,"Kontruksi Dalam Pengerjaan",'Daftar Koreksi'!$H$5:$H$92,"&lt;0")</f>
        <v>0</v>
      </c>
      <c r="G937" s="17">
        <f t="shared" si="42"/>
        <v>0</v>
      </c>
      <c r="H937" s="122"/>
    </row>
    <row r="938" spans="1:8" ht="21.95" customHeight="1">
      <c r="A938" s="14"/>
      <c r="B938" s="14"/>
      <c r="C938" s="16" t="s">
        <v>1172</v>
      </c>
      <c r="D938" s="17">
        <f>VLOOKUP(A928,'Neraca Unaudited SIMAK'!$A$2:$S$10004,10,FALSE)</f>
        <v>252500000</v>
      </c>
      <c r="E938" s="25">
        <f>SUMIFS('Daftar Koreksi'!$H$5:$H$92,'Daftar Koreksi'!$D$5:$D$92,'1900'!A928,'Daftar Koreksi'!$G$5:$G$92,"Aset Tak Berwujud",'Daftar Koreksi'!$H$5:$H$92,"&gt;0")</f>
        <v>0</v>
      </c>
      <c r="F938" s="25">
        <f>SUMIFS('Daftar Koreksi'!$H$5:$H$92,'Daftar Koreksi'!$D$5:$D$92,'1900'!A928,'Daftar Koreksi'!$G$5:$G$92,"Aset Tak Berwujud",'Daftar Koreksi'!$H$5:$H$92,"&lt;0")-SUMIFS('Daftar Koreksi'!$H$5:$H$92,'Daftar Koreksi'!$D$5:$D$92,'1900'!A928,'Daftar Koreksi'!$G$5:$G$92,"Aset Tak Berwujud",'Daftar Koreksi'!$H$5:$H$92,"&lt;0")-SUMIFS('Daftar Koreksi'!$H$5:$H$92,'Daftar Koreksi'!$D$5:$D$92,'1900'!A928,'Daftar Koreksi'!$G$5:$G$92,"Aset Tak Berwujud",'Daftar Koreksi'!$H$5:$H$92,"&lt;0")</f>
        <v>0</v>
      </c>
      <c r="G938" s="17">
        <f t="shared" si="42"/>
        <v>252500000</v>
      </c>
      <c r="H938" s="122"/>
    </row>
    <row r="939" spans="1:8" ht="21.95" customHeight="1">
      <c r="A939" s="14"/>
      <c r="B939" s="14"/>
      <c r="C939" s="16" t="s">
        <v>1173</v>
      </c>
      <c r="D939" s="17">
        <f>VLOOKUP(A928,'Neraca Unaudited SIMAK'!$A$2:$S$10004,11,FALSE)</f>
        <v>101366149</v>
      </c>
      <c r="E939" s="25">
        <f>SUMIFS('Daftar Koreksi'!$H$5:$H$92,'Daftar Koreksi'!$D$5:$D$92,'1900'!A928,'Daftar Koreksi'!$G$5:$G$92,"Aset Henti Guna",'Daftar Koreksi'!$H$5:$H$92,"&gt;0")</f>
        <v>0</v>
      </c>
      <c r="F939" s="25">
        <f>SUMIFS('Daftar Koreksi'!$H$5:$H$92,'Daftar Koreksi'!$D$5:$D$92,'1900'!A928,'Daftar Koreksi'!$G$5:$G$92,"Aset Henti Guna",'Daftar Koreksi'!$H$5:$H$92,"&lt;0")-SUMIFS('Daftar Koreksi'!$H$5:$H$92,'Daftar Koreksi'!$D$5:$D$92,'1900'!A928,'Daftar Koreksi'!$G$5:$G$92,"Aset Henti Guna",'Daftar Koreksi'!$H$5:$H$92,"&lt;0")-SUMIFS('Daftar Koreksi'!$H$5:$H$92,'Daftar Koreksi'!$D$5:$D$92,'1900'!A928,'Daftar Koreksi'!$G$5:$G$92,"Aset Henti Guna",'Daftar Koreksi'!$H$5:$H$92,"&lt;0")</f>
        <v>0</v>
      </c>
      <c r="G939" s="17">
        <f t="shared" si="42"/>
        <v>101366149</v>
      </c>
      <c r="H939" s="122"/>
    </row>
    <row r="940" spans="1:8" ht="21.95" customHeight="1">
      <c r="A940" s="14"/>
      <c r="B940" s="14"/>
      <c r="C940" s="18" t="s">
        <v>2093</v>
      </c>
      <c r="D940" s="19">
        <f>VLOOKUP(A928,'Neraca Unaudited SIMAK'!$A$2:$S$10004,12,FALSE)</f>
        <v>23726566724</v>
      </c>
      <c r="E940" s="19">
        <f>SUM(E931:E939)</f>
        <v>0</v>
      </c>
      <c r="F940" s="19">
        <f>SUM(F931:F939)</f>
        <v>0</v>
      </c>
      <c r="G940" s="19">
        <f t="shared" si="42"/>
        <v>23726566724</v>
      </c>
      <c r="H940" s="122"/>
    </row>
    <row r="941" spans="1:8" ht="21.95" customHeight="1">
      <c r="A941" s="14"/>
      <c r="B941" s="14"/>
      <c r="C941" s="16" t="s">
        <v>2087</v>
      </c>
      <c r="D941" s="17">
        <f>VLOOKUP(A928,'Neraca Unaudited SIMAK'!$A$2:$S$10004,13,FALSE)</f>
        <v>-2544794000</v>
      </c>
      <c r="E941" s="25">
        <f>SUMIFS('Daftar Koreksi'!$I$5:$I$92,'Daftar Koreksi'!$D$5:$D$92,'1900'!A928,'Daftar Koreksi'!$G$5:$G$92,"Peralatan dan mesin",'Daftar Koreksi'!$I$5:$I$92,"&gt;0")</f>
        <v>0</v>
      </c>
      <c r="F941" s="25">
        <f>SUMIFS('Daftar Koreksi'!$I$5:$I$92,'Daftar Koreksi'!$D$5:$D$92,'1900'!A928,'Daftar Koreksi'!$G$5:$G$92,"Peralatan dan mesin",'Daftar Koreksi'!$I$5:$I$92,"&lt;0")-SUMIFS('Daftar Koreksi'!$I$5:$I$92,'Daftar Koreksi'!$D$5:$D$92,'1900'!A928,'Daftar Koreksi'!$G$5:$G$92,"Peralatan dan mesin",'Daftar Koreksi'!$I$5:$I$92,"&lt;0")-SUMIFS('Daftar Koreksi'!$I$5:$I$92,'Daftar Koreksi'!$D$5:$D$92,'1900'!A928,'Daftar Koreksi'!$G$5:$G$92,"Peralatan dan mesin",'Daftar Koreksi'!$I$5:$I$92,"&lt;0")</f>
        <v>0</v>
      </c>
      <c r="G941" s="17">
        <f t="shared" si="42"/>
        <v>-2544794000</v>
      </c>
      <c r="H941" s="122"/>
    </row>
    <row r="942" spans="1:8" ht="21.95" customHeight="1">
      <c r="A942" s="14"/>
      <c r="B942" s="14"/>
      <c r="C942" s="16" t="s">
        <v>2088</v>
      </c>
      <c r="D942" s="17">
        <f>VLOOKUP(A928,'Neraca Unaudited SIMAK'!$A$2:$S$10004,14,FALSE)</f>
        <v>-2532638016</v>
      </c>
      <c r="E942" s="25">
        <f>SUMIFS('Daftar Koreksi'!$I$5:$I$92,'Daftar Koreksi'!$D$5:$D$92,'1900'!A928,'Daftar Koreksi'!$G$5:$G$92,"Gedung dan Bangunan",'Daftar Koreksi'!$I$5:$I$92,"&gt;0")</f>
        <v>0</v>
      </c>
      <c r="F942" s="25">
        <f>SUMIFS('Daftar Koreksi'!$I$5:$I$92,'Daftar Koreksi'!$D$5:$D$92,'1900'!A928,'Daftar Koreksi'!$G$5:$G$92,"Gedung dan Bangunan",'Daftar Koreksi'!$I$5:$I$92,"&lt;0")-SUMIFS('Daftar Koreksi'!$I$5:$I$92,'Daftar Koreksi'!$D$5:$D$92,'1900'!A928,'Daftar Koreksi'!$G$5:$G$92,"Gedung dan Bangunan",'Daftar Koreksi'!$I$5:$I$92,"&lt;0")-SUMIFS('Daftar Koreksi'!$I$5:$I$92,'Daftar Koreksi'!$D$5:$D$92,'1900'!A928,'Daftar Koreksi'!$G$5:$G$92,"Gedung dan Bangunan",'Daftar Koreksi'!$I$5:$I$92,"&lt;0")</f>
        <v>0</v>
      </c>
      <c r="G942" s="17">
        <f t="shared" si="42"/>
        <v>-2532638016</v>
      </c>
      <c r="H942" s="122"/>
    </row>
    <row r="943" spans="1:8" ht="21.95" customHeight="1">
      <c r="A943" s="14"/>
      <c r="B943" s="14"/>
      <c r="C943" s="16" t="s">
        <v>2089</v>
      </c>
      <c r="D943" s="17">
        <f>VLOOKUP(A928,'Neraca Unaudited SIMAK'!$A$2:$S$10004,15,FALSE)</f>
        <v>-346920000</v>
      </c>
      <c r="E943" s="25">
        <f>SUMIFS('Daftar Koreksi'!$I$5:$I$92,'Daftar Koreksi'!$D$5:$D$92,'1900'!A928,'Daftar Koreksi'!$G$5:$G$92,"Jalan Irigasi Jaringan",'Daftar Koreksi'!$I$5:$I$92,"&gt;0")</f>
        <v>0</v>
      </c>
      <c r="F943" s="25">
        <f>SUMIFS('Daftar Koreksi'!$I$5:$I$92,'Daftar Koreksi'!$D$5:$D$92,'1900'!A928,'Daftar Koreksi'!$G$5:$G$92,"Jalan Irigasi Jaringan",'Daftar Koreksi'!$I$5:$I$92,"&lt;0")-SUMIFS('Daftar Koreksi'!$I$5:$I$92,'Daftar Koreksi'!$D$5:$D$92,'1900'!A928,'Daftar Koreksi'!$G$5:$G$92,"Jalan Irigasi Jaringan",'Daftar Koreksi'!$I$5:$I$92,"&lt;0")-SUMIFS('Daftar Koreksi'!$I$5:$I$92,'Daftar Koreksi'!$D$5:$D$92,'1900'!A928,'Daftar Koreksi'!$G$5:$G$92,"Jalan Irigasi Jaringan",'Daftar Koreksi'!$I$5:$I$92,"&lt;0")</f>
        <v>0</v>
      </c>
      <c r="G943" s="17">
        <f t="shared" si="42"/>
        <v>-346920000</v>
      </c>
      <c r="H943" s="122"/>
    </row>
    <row r="944" spans="1:8" ht="21.95" customHeight="1">
      <c r="A944" s="14"/>
      <c r="B944" s="14"/>
      <c r="C944" s="16" t="s">
        <v>2090</v>
      </c>
      <c r="D944" s="17">
        <f>VLOOKUP(A928,'Neraca Unaudited SIMAK'!$A$2:$S$10004,16,FALSE)</f>
        <v>0</v>
      </c>
      <c r="E944" s="25">
        <f>SUMIFS('Daftar Koreksi'!$I$5:$I$92,'Daftar Koreksi'!$D$5:$D$92,'1900'!A928,'Daftar Koreksi'!$G$5:$G$92,"Aset Tetap Lainnya",'Daftar Koreksi'!$I$5:$I$92,"&gt;0")</f>
        <v>0</v>
      </c>
      <c r="F944" s="25">
        <f>SUMIFS('Daftar Koreksi'!$I$5:$I$92,'Daftar Koreksi'!$D$5:$D$92,'1900'!A928,'Daftar Koreksi'!$G$5:$G$92,"Aset Tetap Lainnya",'Daftar Koreksi'!$I$5:$I$92,"&lt;0")-SUMIFS('Daftar Koreksi'!$I$5:$I$92,'Daftar Koreksi'!$D$5:$D$92,'1900'!A928,'Daftar Koreksi'!$G$5:$G$92,"Aset Tetap Lainnya",'Daftar Koreksi'!$I$5:$I$92,"&lt;0")-SUMIFS('Daftar Koreksi'!$I$5:$I$92,'Daftar Koreksi'!$D$5:$D$92,'1900'!A928,'Daftar Koreksi'!$G$5:$G$92,"Aset Tetap Lainnya",'Daftar Koreksi'!$I$5:$I$92,"&lt;0")</f>
        <v>0</v>
      </c>
      <c r="G944" s="17">
        <f t="shared" si="42"/>
        <v>0</v>
      </c>
      <c r="H944" s="122"/>
    </row>
    <row r="945" spans="1:8" ht="21.95" customHeight="1">
      <c r="A945" s="14"/>
      <c r="B945" s="14"/>
      <c r="C945" s="16" t="s">
        <v>2020</v>
      </c>
      <c r="D945" s="17">
        <f>VLOOKUP(A928,'Neraca Unaudited SIMAK'!$A$2:$S$10004,17,FALSE)</f>
        <v>-101366149</v>
      </c>
      <c r="E945" s="25">
        <f>SUMIFS('Daftar Koreksi'!$I$5:$I$92,'Daftar Koreksi'!$D$5:$D$92,'1900'!A928,'Daftar Koreksi'!$G$5:$G$92,"Aset Henti Guna",'Daftar Koreksi'!$I$5:$I$92,"&gt;0")</f>
        <v>0</v>
      </c>
      <c r="F945" s="25">
        <f>SUMIFS('Daftar Koreksi'!$I$5:$I$92,'Daftar Koreksi'!$D$5:$D$92,'1900'!A928,'Daftar Koreksi'!$G$5:$G$92,"Aset Henti Guna",'Daftar Koreksi'!$I$5:$I$92,"&lt;0")-SUMIFS('Daftar Koreksi'!$I$5:$I$92,'Daftar Koreksi'!$D$5:$D$92,'1900'!A928,'Daftar Koreksi'!$G$5:$G$92,"Aset Henti Guna",'Daftar Koreksi'!$I$5:$I$92,"&lt;0")-SUMIFS('Daftar Koreksi'!$I$5:$I$92,'Daftar Koreksi'!$D$5:$D$92,'1900'!A928,'Daftar Koreksi'!$G$5:$G$92,"Aset Henti Guna",'Daftar Koreksi'!$I$5:$I$92,"&lt;0")</f>
        <v>0</v>
      </c>
      <c r="G945" s="17">
        <f t="shared" si="42"/>
        <v>-101366149</v>
      </c>
      <c r="H945" s="122"/>
    </row>
    <row r="946" spans="1:8" ht="21.95" customHeight="1">
      <c r="A946" s="14"/>
      <c r="B946" s="14"/>
      <c r="C946" s="18" t="s">
        <v>2094</v>
      </c>
      <c r="D946" s="19">
        <f>SUM(D941:D945)</f>
        <v>-5525718165</v>
      </c>
      <c r="E946" s="19">
        <f>SUM(E941:E945)</f>
        <v>0</v>
      </c>
      <c r="F946" s="19">
        <f>SUM(F941:F945)</f>
        <v>0</v>
      </c>
      <c r="G946" s="19">
        <f t="shared" si="42"/>
        <v>-5525718165</v>
      </c>
      <c r="H946" s="122"/>
    </row>
    <row r="947" spans="1:8" ht="21.95" customHeight="1">
      <c r="A947" s="14"/>
      <c r="B947" s="14"/>
      <c r="C947" s="18" t="s">
        <v>2095</v>
      </c>
      <c r="D947" s="19">
        <f>VLOOKUP(A928,'Neraca Unaudited SIMAK'!$A$2:$S$10004,18,FALSE)</f>
        <v>18200848559</v>
      </c>
      <c r="E947" s="19">
        <f>E946+E940</f>
        <v>0</v>
      </c>
      <c r="F947" s="19">
        <f>F946+F940</f>
        <v>0</v>
      </c>
      <c r="G947" s="19">
        <f t="shared" si="42"/>
        <v>18200848559</v>
      </c>
      <c r="H947" s="122"/>
    </row>
    <row r="948" spans="1:8" ht="21.95" customHeight="1">
      <c r="A948" s="14"/>
      <c r="B948" s="14"/>
      <c r="C948" s="16" t="s">
        <v>2091</v>
      </c>
      <c r="D948" s="17">
        <f>VLOOKUP(A928,'Neraca Unaudited SIMAK'!$A$2:$S$10004,19,FALSE)</f>
        <v>0</v>
      </c>
      <c r="E948" s="25"/>
      <c r="F948" s="25"/>
      <c r="G948" s="17">
        <f t="shared" si="42"/>
        <v>0</v>
      </c>
      <c r="H948" s="123"/>
    </row>
    <row r="950" spans="1:8" ht="19.5" customHeight="1">
      <c r="A950" s="11" t="str">
        <f>O44</f>
        <v>005011900526771000KD</v>
      </c>
      <c r="B950" s="11" t="str">
        <f>P44</f>
        <v>PTUN. Makassar</v>
      </c>
      <c r="C950" s="12" t="str">
        <f>A950&amp;" "&amp;B950</f>
        <v>005011900526771000KD PTUN. Makassar</v>
      </c>
      <c r="D950" s="13"/>
      <c r="E950" s="13"/>
      <c r="F950" s="13"/>
      <c r="G950" s="13"/>
      <c r="H950" s="11"/>
    </row>
    <row r="951" spans="1:8" ht="21.95" customHeight="1">
      <c r="A951" s="14"/>
      <c r="B951" s="14"/>
      <c r="C951" s="124" t="s">
        <v>1982</v>
      </c>
      <c r="D951" s="126" t="s">
        <v>1983</v>
      </c>
      <c r="E951" s="132" t="s">
        <v>1984</v>
      </c>
      <c r="F951" s="132"/>
      <c r="G951" s="126" t="s">
        <v>1987</v>
      </c>
      <c r="H951" s="130" t="s">
        <v>1175</v>
      </c>
    </row>
    <row r="952" spans="1:8" ht="21.95" customHeight="1">
      <c r="A952" s="14"/>
      <c r="B952" s="14"/>
      <c r="C952" s="125"/>
      <c r="D952" s="127"/>
      <c r="E952" s="26" t="s">
        <v>1985</v>
      </c>
      <c r="F952" s="26" t="s">
        <v>1986</v>
      </c>
      <c r="G952" s="127"/>
      <c r="H952" s="131"/>
    </row>
    <row r="953" spans="1:8" ht="21.95" customHeight="1">
      <c r="A953" s="14"/>
      <c r="B953" s="14"/>
      <c r="C953" s="16" t="s">
        <v>1165</v>
      </c>
      <c r="D953" s="17">
        <f>VLOOKUP(A950,'Neraca Unaudited SIMAK'!$A$2:$S$10004,3,FALSE)</f>
        <v>791000</v>
      </c>
      <c r="E953" s="25">
        <f>SUMIFS('Daftar Koreksi'!$H$5:$H$92,'Daftar Koreksi'!$D$5:$D$92,'1900'!A950,'Daftar Koreksi'!$G$5:$G$92,"Persediaan",'Daftar Koreksi'!$H$5:$H$92,"&gt;0")</f>
        <v>0</v>
      </c>
      <c r="F953" s="25">
        <f>SUMIFS('Daftar Koreksi'!$H$5:$H$92,'Daftar Koreksi'!$D$5:$D$92,'1900'!A950,'Daftar Koreksi'!$G$5:$G$92,"Persediaan",'Daftar Koreksi'!$H$5:$H$92,"&lt;0")-SUMIFS('Daftar Koreksi'!$H$5:$H$92,'Daftar Koreksi'!$D$5:$D$92,'1900'!A950,'Daftar Koreksi'!$G$5:$G$92,"Persediaan",'Daftar Koreksi'!$H$5:$H$92,"&lt;0")-SUMIFS('Daftar Koreksi'!$H$5:$H$92,'Daftar Koreksi'!$D$5:$D$92,'1900'!A950,'Daftar Koreksi'!$G$5:$G$92,"Persediaan",'Daftar Koreksi'!$H$5:$H$92,"&lt;0")</f>
        <v>0</v>
      </c>
      <c r="G953" s="17">
        <f>D953+E953-F953</f>
        <v>791000</v>
      </c>
      <c r="H953" s="121" t="str">
        <f>IF(ISNA(VLOOKUP(A950,'Mutasi Neraca'!$A$3:$S$914,19,FALSE)),"-",VLOOKUP(A950,'Mutasi Neraca'!$A$3:$S$914,19,FALSE))</f>
        <v>-</v>
      </c>
    </row>
    <row r="954" spans="1:8" ht="21.95" customHeight="1">
      <c r="A954" s="14"/>
      <c r="B954" s="14"/>
      <c r="C954" s="16" t="s">
        <v>1166</v>
      </c>
      <c r="D954" s="17">
        <f>VLOOKUP(A950,'Neraca Unaudited SIMAK'!$A$2:$S$10004,4,FALSE)</f>
        <v>5580900000</v>
      </c>
      <c r="E954" s="25">
        <f>SUMIFS('Daftar Koreksi'!$H$5:$H$92,'Daftar Koreksi'!$D$5:$D$92,'1900'!A950,'Daftar Koreksi'!$G$5:$G$92,"Tanah",'Daftar Koreksi'!$H$5:$H$92,"&gt;0")</f>
        <v>0</v>
      </c>
      <c r="F954" s="25">
        <f>SUMIFS('Daftar Koreksi'!$H$5:$H$92,'Daftar Koreksi'!$D$5:$D$92,'1900'!A950,'Daftar Koreksi'!$G$5:$G$92,"Tanah",'Daftar Koreksi'!$H$5:$H$92,"&lt;0")-SUMIFS('Daftar Koreksi'!$H$5:$H$92,'Daftar Koreksi'!$D$5:$D$92,'1900'!A950,'Daftar Koreksi'!$G$5:$G$92,"Tanah",'Daftar Koreksi'!$H$5:$H$92,"&lt;0")-SUMIFS('Daftar Koreksi'!$H$5:$H$92,'Daftar Koreksi'!$D$5:$D$92,'1900'!A950,'Daftar Koreksi'!$G$5:$G$92,"Tanah",'Daftar Koreksi'!$H$5:$H$92,"&lt;0")</f>
        <v>0</v>
      </c>
      <c r="G954" s="17">
        <f t="shared" ref="G954:G970" si="43">D954+E954-F954</f>
        <v>5580900000</v>
      </c>
      <c r="H954" s="122"/>
    </row>
    <row r="955" spans="1:8" ht="21.95" customHeight="1">
      <c r="A955" s="14"/>
      <c r="B955" s="14"/>
      <c r="C955" s="16" t="s">
        <v>1167</v>
      </c>
      <c r="D955" s="17">
        <f>VLOOKUP(A950,'Neraca Unaudited SIMAK'!$A$2:$S$10004,5,FALSE)</f>
        <v>1982172749</v>
      </c>
      <c r="E955" s="25">
        <f>SUMIFS('Daftar Koreksi'!$H$5:$H$92,'Daftar Koreksi'!$D$5:$D$92,'1900'!A950,'Daftar Koreksi'!$G$5:$G$92,"Peralatan dan mesin",'Daftar Koreksi'!$H$5:$H$92,"&gt;0")</f>
        <v>0</v>
      </c>
      <c r="F955" s="25">
        <f>SUMIFS('Daftar Koreksi'!$H$5:$H$92,'Daftar Koreksi'!$D$5:$D$92,'1900'!A950,'Daftar Koreksi'!$G$5:$G$92,"Peralatan dan mesin",'Daftar Koreksi'!$H$5:$H$92,"&lt;0")-SUMIFS('Daftar Koreksi'!$H$5:$H$92,'Daftar Koreksi'!$D$5:$D$92,'1900'!A950,'Daftar Koreksi'!$G$5:$G$92,"Peralatan dan mesin",'Daftar Koreksi'!$H$5:$H$92,"&lt;0")-SUMIFS('Daftar Koreksi'!$H$5:$H$92,'Daftar Koreksi'!$D$5:$D$92,'1900'!A950,'Daftar Koreksi'!$G$5:$G$92,"Peralatan dan mesin",'Daftar Koreksi'!$H$5:$H$92,"&lt;0")</f>
        <v>0</v>
      </c>
      <c r="G955" s="17">
        <f t="shared" si="43"/>
        <v>1982172749</v>
      </c>
      <c r="H955" s="122"/>
    </row>
    <row r="956" spans="1:8" ht="21.95" customHeight="1">
      <c r="A956" s="14"/>
      <c r="B956" s="14"/>
      <c r="C956" s="16" t="s">
        <v>1168</v>
      </c>
      <c r="D956" s="17">
        <f>VLOOKUP(A950,'Neraca Unaudited SIMAK'!$A$2:$S$10004,6,FALSE)</f>
        <v>2914836158</v>
      </c>
      <c r="E956" s="25">
        <f>SUMIFS('Daftar Koreksi'!$H$5:$H$92,'Daftar Koreksi'!$D$5:$D$92,'1900'!A950,'Daftar Koreksi'!$G$5:$G$92,"Gedung dan Bangunan",'Daftar Koreksi'!$H$5:$H$92,"&gt;0")</f>
        <v>0</v>
      </c>
      <c r="F956" s="25">
        <f>SUMIFS('Daftar Koreksi'!$H$5:$H$92,'Daftar Koreksi'!$D$5:$D$92,'1900'!A950,'Daftar Koreksi'!$G$5:$G$92,"Gedung dan Bangunan",'Daftar Koreksi'!$H$5:$H$92,"&lt;0")-SUMIFS('Daftar Koreksi'!$H$5:$H$92,'Daftar Koreksi'!$D$5:$D$92,'1900'!A950,'Daftar Koreksi'!$G$5:$G$92,"Gedung dan Bangunan",'Daftar Koreksi'!$H$5:$H$92,"&lt;0")-SUMIFS('Daftar Koreksi'!$H$5:$H$92,'Daftar Koreksi'!$D$5:$D$92,'1900'!A950,'Daftar Koreksi'!$G$5:$G$92,"Gedung dan Bangunan",'Daftar Koreksi'!$H$5:$H$92,"&lt;0")</f>
        <v>0</v>
      </c>
      <c r="G956" s="17">
        <f t="shared" si="43"/>
        <v>2914836158</v>
      </c>
      <c r="H956" s="122"/>
    </row>
    <row r="957" spans="1:8" ht="21.95" customHeight="1">
      <c r="A957" s="14"/>
      <c r="B957" s="14"/>
      <c r="C957" s="16" t="s">
        <v>1169</v>
      </c>
      <c r="D957" s="17">
        <f>VLOOKUP(A950,'Neraca Unaudited SIMAK'!$A$2:$S$10004,7,FALSE)</f>
        <v>513287267</v>
      </c>
      <c r="E957" s="25">
        <f>SUMIFS('Daftar Koreksi'!$H$5:$H$92,'Daftar Koreksi'!$D$5:$D$92,'1900'!A950,'Daftar Koreksi'!$G$5:$G$92,"Jalan Irigasi Jaringan",'Daftar Koreksi'!$H$5:$H$92,"&gt;0")</f>
        <v>0</v>
      </c>
      <c r="F957" s="25">
        <f>SUMIFS('Daftar Koreksi'!$H$5:$H$92,'Daftar Koreksi'!$D$5:$D$92,'1900'!A950,'Daftar Koreksi'!$G$5:$G$92,"Jalan Irigasi Jaringan",'Daftar Koreksi'!$H$5:$H$92,"&lt;0")-SUMIFS('Daftar Koreksi'!$H$5:$H$92,'Daftar Koreksi'!$D$5:$D$92,'1900'!A950,'Daftar Koreksi'!$G$5:$G$92,"Jalan Irigasi Jaringan",'Daftar Koreksi'!$H$5:$H$92,"&lt;0")-SUMIFS('Daftar Koreksi'!$H$5:$H$92,'Daftar Koreksi'!$D$5:$D$92,'1900'!A950,'Daftar Koreksi'!$G$5:$G$92,"Jalan Irigasi Jaringan",'Daftar Koreksi'!$H$5:$H$92,"&lt;0")</f>
        <v>0</v>
      </c>
      <c r="G957" s="17">
        <f t="shared" si="43"/>
        <v>513287267</v>
      </c>
      <c r="H957" s="122"/>
    </row>
    <row r="958" spans="1:8" ht="21.95" customHeight="1">
      <c r="A958" s="14"/>
      <c r="B958" s="14"/>
      <c r="C958" s="16" t="s">
        <v>1170</v>
      </c>
      <c r="D958" s="17">
        <f>VLOOKUP(A950,'Neraca Unaudited SIMAK'!$A$2:$S$10004,8,FALSE)</f>
        <v>24822000</v>
      </c>
      <c r="E958" s="25">
        <f>SUMIFS('Daftar Koreksi'!$H$5:$H$92,'Daftar Koreksi'!$D$5:$D$92,'1900'!A950,'Daftar Koreksi'!$G$5:$G$92,"Aset Tetap Lainnya",'Daftar Koreksi'!$H$5:$H$92,"&gt;0")</f>
        <v>0</v>
      </c>
      <c r="F958" s="25">
        <f>SUMIFS('Daftar Koreksi'!$H$5:$H$92,'Daftar Koreksi'!$D$5:$D$92,'1900'!A950,'Daftar Koreksi'!$G$5:$G$92,"Aset Tetap Lainnya",'Daftar Koreksi'!$H$5:$H$92,"&lt;0")-SUMIFS('Daftar Koreksi'!$H$5:$H$92,'Daftar Koreksi'!$D$5:$D$92,'1900'!A950,'Daftar Koreksi'!$G$5:$G$92,"Aset Tetap Lainnya",'Daftar Koreksi'!$H$5:$H$92,"&lt;0")-SUMIFS('Daftar Koreksi'!$H$5:$H$92,'Daftar Koreksi'!$D$5:$D$92,'1900'!A950,'Daftar Koreksi'!$G$5:$G$92,"Aset Tetap Lainnya",'Daftar Koreksi'!$H$5:$H$92,"&lt;0")</f>
        <v>0</v>
      </c>
      <c r="G958" s="17">
        <f t="shared" si="43"/>
        <v>24822000</v>
      </c>
      <c r="H958" s="122"/>
    </row>
    <row r="959" spans="1:8" ht="21.95" customHeight="1">
      <c r="A959" s="14"/>
      <c r="B959" s="14"/>
      <c r="C959" s="16" t="s">
        <v>1171</v>
      </c>
      <c r="D959" s="17">
        <f>VLOOKUP(A950,'Neraca Unaudited SIMAK'!$A$2:$S$10004,9,FALSE)</f>
        <v>0</v>
      </c>
      <c r="E959" s="25">
        <f>SUMIFS('Daftar Koreksi'!$H$5:$H$92,'Daftar Koreksi'!$D$5:$D$92,'1900'!A950,'Daftar Koreksi'!$G$5:$G$92,"Kontruksi Dalam Pengerjaan",'Daftar Koreksi'!$H$5:$H$92,"&gt;0")</f>
        <v>0</v>
      </c>
      <c r="F959" s="25">
        <f>SUMIFS('Daftar Koreksi'!$H$5:$H$92,'Daftar Koreksi'!$D$5:$D$92,'1900'!A950,'Daftar Koreksi'!$G$5:$G$92,"Kontruksi Dalam Pengerjaan",'Daftar Koreksi'!$H$5:$H$92,"&lt;0")-SUMIFS('Daftar Koreksi'!$H$5:$H$92,'Daftar Koreksi'!$D$5:$D$92,'1900'!A950,'Daftar Koreksi'!$G$5:$G$92,"Kontruksi Dalam Pengerjaan",'Daftar Koreksi'!$H$5:$H$92,"&lt;0")-SUMIFS('Daftar Koreksi'!$H$5:$H$92,'Daftar Koreksi'!$D$5:$D$92,'1900'!A950,'Daftar Koreksi'!$G$5:$G$92,"Kontruksi Dalam Pengerjaan",'Daftar Koreksi'!$H$5:$H$92,"&lt;0")</f>
        <v>0</v>
      </c>
      <c r="G959" s="17">
        <f t="shared" si="43"/>
        <v>0</v>
      </c>
      <c r="H959" s="122"/>
    </row>
    <row r="960" spans="1:8" ht="21.95" customHeight="1">
      <c r="A960" s="14"/>
      <c r="B960" s="14"/>
      <c r="C960" s="16" t="s">
        <v>1172</v>
      </c>
      <c r="D960" s="17">
        <f>VLOOKUP(A950,'Neraca Unaudited SIMAK'!$A$2:$S$10004,10,FALSE)</f>
        <v>134400000</v>
      </c>
      <c r="E960" s="25">
        <f>SUMIFS('Daftar Koreksi'!$H$5:$H$92,'Daftar Koreksi'!$D$5:$D$92,'1900'!A950,'Daftar Koreksi'!$G$5:$G$92,"Aset Tak Berwujud",'Daftar Koreksi'!$H$5:$H$92,"&gt;0")</f>
        <v>0</v>
      </c>
      <c r="F960" s="25">
        <f>SUMIFS('Daftar Koreksi'!$H$5:$H$92,'Daftar Koreksi'!$D$5:$D$92,'1900'!A950,'Daftar Koreksi'!$G$5:$G$92,"Aset Tak Berwujud",'Daftar Koreksi'!$H$5:$H$92,"&lt;0")-SUMIFS('Daftar Koreksi'!$H$5:$H$92,'Daftar Koreksi'!$D$5:$D$92,'1900'!A950,'Daftar Koreksi'!$G$5:$G$92,"Aset Tak Berwujud",'Daftar Koreksi'!$H$5:$H$92,"&lt;0")-SUMIFS('Daftar Koreksi'!$H$5:$H$92,'Daftar Koreksi'!$D$5:$D$92,'1900'!A950,'Daftar Koreksi'!$G$5:$G$92,"Aset Tak Berwujud",'Daftar Koreksi'!$H$5:$H$92,"&lt;0")</f>
        <v>0</v>
      </c>
      <c r="G960" s="17">
        <f t="shared" si="43"/>
        <v>134400000</v>
      </c>
      <c r="H960" s="122"/>
    </row>
    <row r="961" spans="1:10" ht="21.95" customHeight="1">
      <c r="A961" s="14"/>
      <c r="B961" s="14"/>
      <c r="C961" s="16" t="s">
        <v>1173</v>
      </c>
      <c r="D961" s="17">
        <f>VLOOKUP(A950,'Neraca Unaudited SIMAK'!$A$2:$S$10004,11,FALSE)</f>
        <v>131165456</v>
      </c>
      <c r="E961" s="25">
        <f>SUMIFS('Daftar Koreksi'!$H$5:$H$92,'Daftar Koreksi'!$D$5:$D$92,'1900'!A950,'Daftar Koreksi'!$G$5:$G$92,"Aset Henti Guna",'Daftar Koreksi'!$H$5:$H$92,"&gt;0")</f>
        <v>0</v>
      </c>
      <c r="F961" s="25">
        <f>SUMIFS('Daftar Koreksi'!$H$5:$H$92,'Daftar Koreksi'!$D$5:$D$92,'1900'!A950,'Daftar Koreksi'!$G$5:$G$92,"Aset Henti Guna",'Daftar Koreksi'!$H$5:$H$92,"&lt;0")-SUMIFS('Daftar Koreksi'!$H$5:$H$92,'Daftar Koreksi'!$D$5:$D$92,'1900'!A950,'Daftar Koreksi'!$G$5:$G$92,"Aset Henti Guna",'Daftar Koreksi'!$H$5:$H$92,"&lt;0")-SUMIFS('Daftar Koreksi'!$H$5:$H$92,'Daftar Koreksi'!$D$5:$D$92,'1900'!A950,'Daftar Koreksi'!$G$5:$G$92,"Aset Henti Guna",'Daftar Koreksi'!$H$5:$H$92,"&lt;0")</f>
        <v>0</v>
      </c>
      <c r="G961" s="17">
        <f t="shared" si="43"/>
        <v>131165456</v>
      </c>
      <c r="H961" s="122"/>
    </row>
    <row r="962" spans="1:10" ht="21.95" customHeight="1">
      <c r="A962" s="14"/>
      <c r="B962" s="14"/>
      <c r="C962" s="18" t="s">
        <v>2093</v>
      </c>
      <c r="D962" s="19">
        <f>VLOOKUP(A950,'Neraca Unaudited SIMAK'!$A$2:$S$10004,12,FALSE)</f>
        <v>11282374630</v>
      </c>
      <c r="E962" s="19">
        <f>SUM(E953:E961)</f>
        <v>0</v>
      </c>
      <c r="F962" s="19">
        <f>SUM(F953:F961)</f>
        <v>0</v>
      </c>
      <c r="G962" s="19">
        <f t="shared" si="43"/>
        <v>11282374630</v>
      </c>
      <c r="H962" s="122"/>
    </row>
    <row r="963" spans="1:10" ht="21.95" customHeight="1">
      <c r="A963" s="14"/>
      <c r="B963" s="14"/>
      <c r="C963" s="16" t="s">
        <v>2087</v>
      </c>
      <c r="D963" s="17">
        <f>VLOOKUP(A950,'Neraca Unaudited SIMAK'!$A$2:$S$10004,13,FALSE)</f>
        <v>-1719745341</v>
      </c>
      <c r="E963" s="25">
        <f>SUMIFS('Daftar Koreksi'!$I$5:$I$92,'Daftar Koreksi'!$D$5:$D$92,'1900'!A950,'Daftar Koreksi'!$G$5:$G$92,"Peralatan dan mesin",'Daftar Koreksi'!$I$5:$I$92,"&gt;0")</f>
        <v>0</v>
      </c>
      <c r="F963" s="25">
        <f>SUMIFS('Daftar Koreksi'!$I$5:$I$92,'Daftar Koreksi'!$D$5:$D$92,'1900'!A950,'Daftar Koreksi'!$G$5:$G$92,"Peralatan dan mesin",'Daftar Koreksi'!$I$5:$I$92,"&lt;0")-SUMIFS('Daftar Koreksi'!$I$5:$I$92,'Daftar Koreksi'!$D$5:$D$92,'1900'!A950,'Daftar Koreksi'!$G$5:$G$92,"Peralatan dan mesin",'Daftar Koreksi'!$I$5:$I$92,"&lt;0")-SUMIFS('Daftar Koreksi'!$I$5:$I$92,'Daftar Koreksi'!$D$5:$D$92,'1900'!A950,'Daftar Koreksi'!$G$5:$G$92,"Peralatan dan mesin",'Daftar Koreksi'!$I$5:$I$92,"&lt;0")</f>
        <v>0</v>
      </c>
      <c r="G963" s="17">
        <f t="shared" si="43"/>
        <v>-1719745341</v>
      </c>
      <c r="H963" s="122"/>
    </row>
    <row r="964" spans="1:10" ht="21.95" customHeight="1">
      <c r="A964" s="14"/>
      <c r="B964" s="14"/>
      <c r="C964" s="16" t="s">
        <v>2088</v>
      </c>
      <c r="D964" s="17">
        <f>VLOOKUP(A950,'Neraca Unaudited SIMAK'!$A$2:$S$10004,14,FALSE)</f>
        <v>-1183725889</v>
      </c>
      <c r="E964" s="25">
        <f>SUMIFS('Daftar Koreksi'!$I$5:$I$92,'Daftar Koreksi'!$D$5:$D$92,'1900'!A950,'Daftar Koreksi'!$G$5:$G$92,"Gedung dan Bangunan",'Daftar Koreksi'!$I$5:$I$92,"&gt;0")</f>
        <v>0</v>
      </c>
      <c r="F964" s="25">
        <f>SUMIFS('Daftar Koreksi'!$I$5:$I$92,'Daftar Koreksi'!$D$5:$D$92,'1900'!A950,'Daftar Koreksi'!$G$5:$G$92,"Gedung dan Bangunan",'Daftar Koreksi'!$I$5:$I$92,"&lt;0")-SUMIFS('Daftar Koreksi'!$I$5:$I$92,'Daftar Koreksi'!$D$5:$D$92,'1900'!A950,'Daftar Koreksi'!$G$5:$G$92,"Gedung dan Bangunan",'Daftar Koreksi'!$I$5:$I$92,"&lt;0")-SUMIFS('Daftar Koreksi'!$I$5:$I$92,'Daftar Koreksi'!$D$5:$D$92,'1900'!A950,'Daftar Koreksi'!$G$5:$G$92,"Gedung dan Bangunan",'Daftar Koreksi'!$I$5:$I$92,"&lt;0")</f>
        <v>0</v>
      </c>
      <c r="G964" s="17">
        <f t="shared" si="43"/>
        <v>-1183725889</v>
      </c>
      <c r="H964" s="122"/>
    </row>
    <row r="965" spans="1:10" ht="21.95" customHeight="1">
      <c r="A965" s="14"/>
      <c r="B965" s="14"/>
      <c r="C965" s="16" t="s">
        <v>2089</v>
      </c>
      <c r="D965" s="17">
        <f>VLOOKUP(A950,'Neraca Unaudited SIMAK'!$A$2:$S$10004,15,FALSE)</f>
        <v>-248415689</v>
      </c>
      <c r="E965" s="25">
        <f>SUMIFS('Daftar Koreksi'!$I$5:$I$92,'Daftar Koreksi'!$D$5:$D$92,'1900'!A950,'Daftar Koreksi'!$G$5:$G$92,"Jalan Irigasi Jaringan",'Daftar Koreksi'!$I$5:$I$92,"&gt;0")</f>
        <v>0</v>
      </c>
      <c r="F965" s="25">
        <f>SUMIFS('Daftar Koreksi'!$I$5:$I$92,'Daftar Koreksi'!$D$5:$D$92,'1900'!A950,'Daftar Koreksi'!$G$5:$G$92,"Jalan Irigasi Jaringan",'Daftar Koreksi'!$I$5:$I$92,"&lt;0")-SUMIFS('Daftar Koreksi'!$I$5:$I$92,'Daftar Koreksi'!$D$5:$D$92,'1900'!A950,'Daftar Koreksi'!$G$5:$G$92,"Jalan Irigasi Jaringan",'Daftar Koreksi'!$I$5:$I$92,"&lt;0")-SUMIFS('Daftar Koreksi'!$I$5:$I$92,'Daftar Koreksi'!$D$5:$D$92,'1900'!A950,'Daftar Koreksi'!$G$5:$G$92,"Jalan Irigasi Jaringan",'Daftar Koreksi'!$I$5:$I$92,"&lt;0")</f>
        <v>0</v>
      </c>
      <c r="G965" s="17">
        <f t="shared" si="43"/>
        <v>-248415689</v>
      </c>
      <c r="H965" s="122"/>
    </row>
    <row r="966" spans="1:10" ht="21.95" customHeight="1">
      <c r="A966" s="14"/>
      <c r="B966" s="14"/>
      <c r="C966" s="16" t="s">
        <v>2090</v>
      </c>
      <c r="D966" s="17">
        <f>VLOOKUP(A950,'Neraca Unaudited SIMAK'!$A$2:$S$10004,16,FALSE)</f>
        <v>0</v>
      </c>
      <c r="E966" s="25">
        <f>SUMIFS('Daftar Koreksi'!$I$5:$I$92,'Daftar Koreksi'!$D$5:$D$92,'1900'!A950,'Daftar Koreksi'!$G$5:$G$92,"Aset Tetap Lainnya",'Daftar Koreksi'!$I$5:$I$92,"&gt;0")</f>
        <v>0</v>
      </c>
      <c r="F966" s="25">
        <f>SUMIFS('Daftar Koreksi'!$I$5:$I$92,'Daftar Koreksi'!$D$5:$D$92,'1900'!A950,'Daftar Koreksi'!$G$5:$G$92,"Aset Tetap Lainnya",'Daftar Koreksi'!$I$5:$I$92,"&lt;0")-SUMIFS('Daftar Koreksi'!$I$5:$I$92,'Daftar Koreksi'!$D$5:$D$92,'1900'!A950,'Daftar Koreksi'!$G$5:$G$92,"Aset Tetap Lainnya",'Daftar Koreksi'!$I$5:$I$92,"&lt;0")-SUMIFS('Daftar Koreksi'!$I$5:$I$92,'Daftar Koreksi'!$D$5:$D$92,'1900'!A950,'Daftar Koreksi'!$G$5:$G$92,"Aset Tetap Lainnya",'Daftar Koreksi'!$I$5:$I$92,"&lt;0")</f>
        <v>0</v>
      </c>
      <c r="G966" s="17">
        <f t="shared" si="43"/>
        <v>0</v>
      </c>
      <c r="H966" s="122"/>
    </row>
    <row r="967" spans="1:10" ht="21.95" customHeight="1">
      <c r="A967" s="14"/>
      <c r="B967" s="14"/>
      <c r="C967" s="16" t="s">
        <v>2020</v>
      </c>
      <c r="D967" s="17">
        <f>VLOOKUP(A950,'Neraca Unaudited SIMAK'!$A$2:$S$10004,17,FALSE)</f>
        <v>-131165456</v>
      </c>
      <c r="E967" s="25">
        <f>SUMIFS('Daftar Koreksi'!$I$5:$I$92,'Daftar Koreksi'!$D$5:$D$92,'1900'!A950,'Daftar Koreksi'!$G$5:$G$92,"Aset Henti Guna",'Daftar Koreksi'!$I$5:$I$92,"&gt;0")</f>
        <v>0</v>
      </c>
      <c r="F967" s="25">
        <f>SUMIFS('Daftar Koreksi'!$I$5:$I$92,'Daftar Koreksi'!$D$5:$D$92,'1900'!A950,'Daftar Koreksi'!$G$5:$G$92,"Aset Henti Guna",'Daftar Koreksi'!$I$5:$I$92,"&lt;0")-SUMIFS('Daftar Koreksi'!$I$5:$I$92,'Daftar Koreksi'!$D$5:$D$92,'1900'!A950,'Daftar Koreksi'!$G$5:$G$92,"Aset Henti Guna",'Daftar Koreksi'!$I$5:$I$92,"&lt;0")-SUMIFS('Daftar Koreksi'!$I$5:$I$92,'Daftar Koreksi'!$D$5:$D$92,'1900'!A950,'Daftar Koreksi'!$G$5:$G$92,"Aset Henti Guna",'Daftar Koreksi'!$I$5:$I$92,"&lt;0")</f>
        <v>0</v>
      </c>
      <c r="G967" s="17">
        <f t="shared" si="43"/>
        <v>-131165456</v>
      </c>
      <c r="H967" s="122"/>
    </row>
    <row r="968" spans="1:10" ht="21.95" customHeight="1">
      <c r="A968" s="14"/>
      <c r="B968" s="14"/>
      <c r="C968" s="18" t="s">
        <v>2094</v>
      </c>
      <c r="D968" s="19">
        <f>SUM(D963:D967)</f>
        <v>-3283052375</v>
      </c>
      <c r="E968" s="19">
        <f>SUM(E963:E967)</f>
        <v>0</v>
      </c>
      <c r="F968" s="19">
        <f>SUM(F963:F967)</f>
        <v>0</v>
      </c>
      <c r="G968" s="19">
        <f t="shared" si="43"/>
        <v>-3283052375</v>
      </c>
      <c r="H968" s="122"/>
    </row>
    <row r="969" spans="1:10" ht="21.95" customHeight="1">
      <c r="A969" s="14"/>
      <c r="B969" s="14"/>
      <c r="C969" s="18" t="s">
        <v>2095</v>
      </c>
      <c r="D969" s="19">
        <f>VLOOKUP(A950,'Neraca Unaudited SIMAK'!$A$2:$S$10004,18,FALSE)</f>
        <v>7999322255</v>
      </c>
      <c r="E969" s="19">
        <f>E968+E962</f>
        <v>0</v>
      </c>
      <c r="F969" s="19">
        <f>F968+F962</f>
        <v>0</v>
      </c>
      <c r="G969" s="19">
        <f t="shared" si="43"/>
        <v>7999322255</v>
      </c>
      <c r="H969" s="122"/>
    </row>
    <row r="970" spans="1:10" ht="21.95" customHeight="1">
      <c r="A970" s="14"/>
      <c r="B970" s="14"/>
      <c r="C970" s="16" t="s">
        <v>2091</v>
      </c>
      <c r="D970" s="17">
        <f>VLOOKUP(A950,'Neraca Unaudited SIMAK'!$A$2:$S$10004,19,FALSE)</f>
        <v>0</v>
      </c>
      <c r="E970" s="25"/>
      <c r="F970" s="25"/>
      <c r="G970" s="17">
        <f t="shared" si="43"/>
        <v>0</v>
      </c>
      <c r="H970" s="123"/>
    </row>
    <row r="972" spans="1:10" ht="19.5" customHeight="1">
      <c r="A972" s="11" t="str">
        <f>O45</f>
        <v>005011900632050000KD</v>
      </c>
      <c r="B972" s="11" t="str">
        <f>P45</f>
        <v>PA. Masamba</v>
      </c>
      <c r="C972" s="12" t="str">
        <f>A972&amp;" "&amp;B972</f>
        <v>005011900632050000KD PA. Masamba</v>
      </c>
      <c r="D972" s="13"/>
      <c r="E972" s="13"/>
      <c r="F972" s="13"/>
      <c r="G972" s="13"/>
      <c r="H972" s="11"/>
    </row>
    <row r="973" spans="1:10" ht="21.95" customHeight="1">
      <c r="A973" s="14"/>
      <c r="B973" s="14"/>
      <c r="C973" s="124" t="s">
        <v>1982</v>
      </c>
      <c r="D973" s="126" t="s">
        <v>1983</v>
      </c>
      <c r="E973" s="132" t="s">
        <v>1984</v>
      </c>
      <c r="F973" s="132"/>
      <c r="G973" s="126" t="s">
        <v>1987</v>
      </c>
      <c r="H973" s="130" t="s">
        <v>1175</v>
      </c>
    </row>
    <row r="974" spans="1:10" ht="21.95" customHeight="1">
      <c r="A974" s="14"/>
      <c r="B974" s="14"/>
      <c r="C974" s="125"/>
      <c r="D974" s="127"/>
      <c r="E974" s="26" t="s">
        <v>1985</v>
      </c>
      <c r="F974" s="26" t="s">
        <v>1986</v>
      </c>
      <c r="G974" s="127"/>
      <c r="H974" s="131"/>
    </row>
    <row r="975" spans="1:10" ht="21.95" customHeight="1">
      <c r="A975" s="14"/>
      <c r="B975" s="14"/>
      <c r="C975" s="16" t="s">
        <v>1165</v>
      </c>
      <c r="D975" s="17">
        <f>VLOOKUP(A972,'Neraca Unaudited SIMAK'!$A$2:$S$10004,3,FALSE)</f>
        <v>1595000</v>
      </c>
      <c r="E975" s="25">
        <f>SUMIFS('Daftar Koreksi'!$H$5:$H$92,'Daftar Koreksi'!$D$5:$D$92,'1900'!A972,'Daftar Koreksi'!$G$5:$G$92,"Persediaan",'Daftar Koreksi'!$H$5:$H$92,"&gt;0")</f>
        <v>0</v>
      </c>
      <c r="F975" s="25">
        <f>SUMIFS('Daftar Koreksi'!$H$5:$H$92,'Daftar Koreksi'!$D$5:$D$92,'1900'!A972,'Daftar Koreksi'!$G$5:$G$92,"Persediaan",'Daftar Koreksi'!$H$5:$H$92,"&lt;0")-SUMIFS('Daftar Koreksi'!$H$5:$H$92,'Daftar Koreksi'!$D$5:$D$92,'1900'!A972,'Daftar Koreksi'!$G$5:$G$92,"Persediaan",'Daftar Koreksi'!$H$5:$H$92,"&lt;0")-SUMIFS('Daftar Koreksi'!$H$5:$H$92,'Daftar Koreksi'!$D$5:$D$92,'1900'!A972,'Daftar Koreksi'!$G$5:$G$92,"Persediaan",'Daftar Koreksi'!$H$5:$H$92,"&lt;0")</f>
        <v>0</v>
      </c>
      <c r="G975" s="17">
        <f>D975+E975-F975</f>
        <v>1595000</v>
      </c>
      <c r="H975" s="121" t="str">
        <f>IF(ISNA(VLOOKUP(A972,'Mutasi Neraca'!$A$3:$S$914,19,FALSE)),"-",VLOOKUP(A972,'Mutasi Neraca'!$A$3:$S$914,19,FALSE))</f>
        <v>-</v>
      </c>
      <c r="I975" s="28"/>
      <c r="J975" s="28"/>
    </row>
    <row r="976" spans="1:10" ht="21.95" customHeight="1">
      <c r="A976" s="14"/>
      <c r="B976" s="14"/>
      <c r="C976" s="16" t="s">
        <v>1166</v>
      </c>
      <c r="D976" s="17">
        <f>VLOOKUP(A972,'Neraca Unaudited SIMAK'!$A$2:$S$10004,4,FALSE)</f>
        <v>0</v>
      </c>
      <c r="E976" s="25">
        <f>SUMIFS('Daftar Koreksi'!$H$5:$H$92,'Daftar Koreksi'!$D$5:$D$92,'1900'!A972,'Daftar Koreksi'!$G$5:$G$92,"Tanah",'Daftar Koreksi'!$H$5:$H$92,"&gt;0")</f>
        <v>0</v>
      </c>
      <c r="F976" s="25">
        <f>SUMIFS('Daftar Koreksi'!$H$5:$H$92,'Daftar Koreksi'!$D$5:$D$92,'1900'!A972,'Daftar Koreksi'!$G$5:$G$92,"Tanah",'Daftar Koreksi'!$H$5:$H$92,"&lt;0")-SUMIFS('Daftar Koreksi'!$H$5:$H$92,'Daftar Koreksi'!$D$5:$D$92,'1900'!A972,'Daftar Koreksi'!$G$5:$G$92,"Tanah",'Daftar Koreksi'!$H$5:$H$92,"&lt;0")-SUMIFS('Daftar Koreksi'!$H$5:$H$92,'Daftar Koreksi'!$D$5:$D$92,'1900'!A972,'Daftar Koreksi'!$G$5:$G$92,"Tanah",'Daftar Koreksi'!$H$5:$H$92,"&lt;0")</f>
        <v>0</v>
      </c>
      <c r="G976" s="17">
        <f t="shared" ref="G976:G992" si="44">D976+E976-F976</f>
        <v>0</v>
      </c>
      <c r="H976" s="122"/>
      <c r="I976" s="28"/>
      <c r="J976" s="28"/>
    </row>
    <row r="977" spans="1:10" ht="21.95" customHeight="1">
      <c r="A977" s="14"/>
      <c r="B977" s="14"/>
      <c r="C977" s="16" t="s">
        <v>1167</v>
      </c>
      <c r="D977" s="17">
        <f>VLOOKUP(A972,'Neraca Unaudited SIMAK'!$A$2:$S$10004,5,FALSE)</f>
        <v>1041871849</v>
      </c>
      <c r="E977" s="25">
        <f>SUMIFS('Daftar Koreksi'!$H$5:$H$92,'Daftar Koreksi'!$D$5:$D$92,'1900'!A972,'Daftar Koreksi'!$G$5:$G$92,"Peralatan dan mesin",'Daftar Koreksi'!$H$5:$H$92,"&gt;0")</f>
        <v>0</v>
      </c>
      <c r="F977" s="25">
        <f>SUMIFS('Daftar Koreksi'!$H$5:$H$92,'Daftar Koreksi'!$D$5:$D$92,'1900'!A972,'Daftar Koreksi'!$G$5:$G$92,"Peralatan dan mesin",'Daftar Koreksi'!$H$5:$H$92,"&lt;0")-SUMIFS('Daftar Koreksi'!$H$5:$H$92,'Daftar Koreksi'!$D$5:$D$92,'1900'!A972,'Daftar Koreksi'!$G$5:$G$92,"Peralatan dan mesin",'Daftar Koreksi'!$H$5:$H$92,"&lt;0")-SUMIFS('Daftar Koreksi'!$H$5:$H$92,'Daftar Koreksi'!$D$5:$D$92,'1900'!A972,'Daftar Koreksi'!$G$5:$G$92,"Peralatan dan mesin",'Daftar Koreksi'!$H$5:$H$92,"&lt;0")</f>
        <v>0</v>
      </c>
      <c r="G977" s="17">
        <f t="shared" si="44"/>
        <v>1041871849</v>
      </c>
      <c r="H977" s="122"/>
      <c r="I977" s="28"/>
      <c r="J977" s="28"/>
    </row>
    <row r="978" spans="1:10" ht="21.95" customHeight="1">
      <c r="A978" s="14"/>
      <c r="B978" s="14"/>
      <c r="C978" s="16" t="s">
        <v>1168</v>
      </c>
      <c r="D978" s="17">
        <f>VLOOKUP(A972,'Neraca Unaudited SIMAK'!$A$2:$S$10004,6,FALSE)</f>
        <v>2161069000</v>
      </c>
      <c r="E978" s="25">
        <f>SUMIFS('Daftar Koreksi'!$H$5:$H$92,'Daftar Koreksi'!$D$5:$D$92,'1900'!A972,'Daftar Koreksi'!$G$5:$G$92,"Gedung dan Bangunan",'Daftar Koreksi'!$H$5:$H$92,"&gt;0")</f>
        <v>0</v>
      </c>
      <c r="F978" s="25">
        <f>SUMIFS('Daftar Koreksi'!$H$5:$H$92,'Daftar Koreksi'!$D$5:$D$92,'1900'!A972,'Daftar Koreksi'!$G$5:$G$92,"Gedung dan Bangunan",'Daftar Koreksi'!$H$5:$H$92,"&lt;0")-SUMIFS('Daftar Koreksi'!$H$5:$H$92,'Daftar Koreksi'!$D$5:$D$92,'1900'!A972,'Daftar Koreksi'!$G$5:$G$92,"Gedung dan Bangunan",'Daftar Koreksi'!$H$5:$H$92,"&lt;0")-SUMIFS('Daftar Koreksi'!$H$5:$H$92,'Daftar Koreksi'!$D$5:$D$92,'1900'!A972,'Daftar Koreksi'!$G$5:$G$92,"Gedung dan Bangunan",'Daftar Koreksi'!$H$5:$H$92,"&lt;0")</f>
        <v>0</v>
      </c>
      <c r="G978" s="17">
        <f t="shared" si="44"/>
        <v>2161069000</v>
      </c>
      <c r="H978" s="122"/>
      <c r="I978" s="28"/>
      <c r="J978" s="28"/>
    </row>
    <row r="979" spans="1:10" ht="21.95" customHeight="1">
      <c r="A979" s="14"/>
      <c r="B979" s="14"/>
      <c r="C979" s="16" t="s">
        <v>1169</v>
      </c>
      <c r="D979" s="17">
        <f>VLOOKUP(A972,'Neraca Unaudited SIMAK'!$A$2:$S$10004,7,FALSE)</f>
        <v>139066775</v>
      </c>
      <c r="E979" s="25">
        <f>SUMIFS('Daftar Koreksi'!$H$5:$H$92,'Daftar Koreksi'!$D$5:$D$92,'1900'!A972,'Daftar Koreksi'!$G$5:$G$92,"Jalan Irigasi Jaringan",'Daftar Koreksi'!$H$5:$H$92,"&gt;0")</f>
        <v>0</v>
      </c>
      <c r="F979" s="25">
        <f>SUMIFS('Daftar Koreksi'!$H$5:$H$92,'Daftar Koreksi'!$D$5:$D$92,'1900'!A972,'Daftar Koreksi'!$G$5:$G$92,"Jalan Irigasi Jaringan",'Daftar Koreksi'!$H$5:$H$92,"&lt;0")-SUMIFS('Daftar Koreksi'!$H$5:$H$92,'Daftar Koreksi'!$D$5:$D$92,'1900'!A972,'Daftar Koreksi'!$G$5:$G$92,"Jalan Irigasi Jaringan",'Daftar Koreksi'!$H$5:$H$92,"&lt;0")-SUMIFS('Daftar Koreksi'!$H$5:$H$92,'Daftar Koreksi'!$D$5:$D$92,'1900'!A972,'Daftar Koreksi'!$G$5:$G$92,"Jalan Irigasi Jaringan",'Daftar Koreksi'!$H$5:$H$92,"&lt;0")</f>
        <v>0</v>
      </c>
      <c r="G979" s="17">
        <f t="shared" si="44"/>
        <v>139066775</v>
      </c>
      <c r="H979" s="122"/>
      <c r="I979" s="28"/>
      <c r="J979" s="28"/>
    </row>
    <row r="980" spans="1:10" ht="21.95" customHeight="1">
      <c r="A980" s="14"/>
      <c r="B980" s="14"/>
      <c r="C980" s="16" t="s">
        <v>1170</v>
      </c>
      <c r="D980" s="17">
        <f>VLOOKUP(A972,'Neraca Unaudited SIMAK'!$A$2:$S$10004,8,FALSE)</f>
        <v>39863445</v>
      </c>
      <c r="E980" s="25">
        <f>SUMIFS('Daftar Koreksi'!$H$5:$H$92,'Daftar Koreksi'!$D$5:$D$92,'1900'!A972,'Daftar Koreksi'!$G$5:$G$92,"Aset Tetap Lainnya",'Daftar Koreksi'!$H$5:$H$92,"&gt;0")</f>
        <v>0</v>
      </c>
      <c r="F980" s="25">
        <f>SUMIFS('Daftar Koreksi'!$H$5:$H$92,'Daftar Koreksi'!$D$5:$D$92,'1900'!A972,'Daftar Koreksi'!$G$5:$G$92,"Aset Tetap Lainnya",'Daftar Koreksi'!$H$5:$H$92,"&lt;0")-SUMIFS('Daftar Koreksi'!$H$5:$H$92,'Daftar Koreksi'!$D$5:$D$92,'1900'!A972,'Daftar Koreksi'!$G$5:$G$92,"Aset Tetap Lainnya",'Daftar Koreksi'!$H$5:$H$92,"&lt;0")-SUMIFS('Daftar Koreksi'!$H$5:$H$92,'Daftar Koreksi'!$D$5:$D$92,'1900'!A972,'Daftar Koreksi'!$G$5:$G$92,"Aset Tetap Lainnya",'Daftar Koreksi'!$H$5:$H$92,"&lt;0")</f>
        <v>0</v>
      </c>
      <c r="G980" s="17">
        <f t="shared" si="44"/>
        <v>39863445</v>
      </c>
      <c r="H980" s="122"/>
      <c r="I980" s="28"/>
      <c r="J980" s="28"/>
    </row>
    <row r="981" spans="1:10" ht="21.95" customHeight="1">
      <c r="A981" s="14"/>
      <c r="B981" s="14"/>
      <c r="C981" s="16" t="s">
        <v>1171</v>
      </c>
      <c r="D981" s="17">
        <f>VLOOKUP(A972,'Neraca Unaudited SIMAK'!$A$2:$S$10004,9,FALSE)</f>
        <v>0</v>
      </c>
      <c r="E981" s="25">
        <f>SUMIFS('Daftar Koreksi'!$H$5:$H$92,'Daftar Koreksi'!$D$5:$D$92,'1900'!A972,'Daftar Koreksi'!$G$5:$G$92,"Kontruksi Dalam Pengerjaan",'Daftar Koreksi'!$H$5:$H$92,"&gt;0")</f>
        <v>0</v>
      </c>
      <c r="F981" s="25">
        <f>SUMIFS('Daftar Koreksi'!$H$5:$H$92,'Daftar Koreksi'!$D$5:$D$92,'1900'!A972,'Daftar Koreksi'!$G$5:$G$92,"Kontruksi Dalam Pengerjaan",'Daftar Koreksi'!$H$5:$H$92,"&lt;0")-SUMIFS('Daftar Koreksi'!$H$5:$H$92,'Daftar Koreksi'!$D$5:$D$92,'1900'!A972,'Daftar Koreksi'!$G$5:$G$92,"Kontruksi Dalam Pengerjaan",'Daftar Koreksi'!$H$5:$H$92,"&lt;0")-SUMIFS('Daftar Koreksi'!$H$5:$H$92,'Daftar Koreksi'!$D$5:$D$92,'1900'!A972,'Daftar Koreksi'!$G$5:$G$92,"Kontruksi Dalam Pengerjaan",'Daftar Koreksi'!$H$5:$H$92,"&lt;0")</f>
        <v>0</v>
      </c>
      <c r="G981" s="17">
        <f t="shared" si="44"/>
        <v>0</v>
      </c>
      <c r="H981" s="122"/>
      <c r="I981" s="28"/>
      <c r="J981" s="28"/>
    </row>
    <row r="982" spans="1:10" ht="21.95" customHeight="1">
      <c r="A982" s="14"/>
      <c r="B982" s="14"/>
      <c r="C982" s="16" t="s">
        <v>1172</v>
      </c>
      <c r="D982" s="17">
        <f>VLOOKUP(A972,'Neraca Unaudited SIMAK'!$A$2:$S$10004,10,FALSE)</f>
        <v>25087000</v>
      </c>
      <c r="E982" s="25">
        <f>SUMIFS('Daftar Koreksi'!$H$5:$H$92,'Daftar Koreksi'!$D$5:$D$92,'1900'!A972,'Daftar Koreksi'!$G$5:$G$92,"Aset Tak Berwujud",'Daftar Koreksi'!$H$5:$H$92,"&gt;0")</f>
        <v>0</v>
      </c>
      <c r="F982" s="25">
        <f>SUMIFS('Daftar Koreksi'!$H$5:$H$92,'Daftar Koreksi'!$D$5:$D$92,'1900'!A972,'Daftar Koreksi'!$G$5:$G$92,"Aset Tak Berwujud",'Daftar Koreksi'!$H$5:$H$92,"&lt;0")-SUMIFS('Daftar Koreksi'!$H$5:$H$92,'Daftar Koreksi'!$D$5:$D$92,'1900'!A972,'Daftar Koreksi'!$G$5:$G$92,"Aset Tak Berwujud",'Daftar Koreksi'!$H$5:$H$92,"&lt;0")-SUMIFS('Daftar Koreksi'!$H$5:$H$92,'Daftar Koreksi'!$D$5:$D$92,'1900'!A972,'Daftar Koreksi'!$G$5:$G$92,"Aset Tak Berwujud",'Daftar Koreksi'!$H$5:$H$92,"&lt;0")</f>
        <v>0</v>
      </c>
      <c r="G982" s="17">
        <f t="shared" si="44"/>
        <v>25087000</v>
      </c>
      <c r="H982" s="122"/>
      <c r="I982" s="28"/>
      <c r="J982" s="28"/>
    </row>
    <row r="983" spans="1:10" ht="21.95" customHeight="1">
      <c r="A983" s="14"/>
      <c r="B983" s="14"/>
      <c r="C983" s="16" t="s">
        <v>1173</v>
      </c>
      <c r="D983" s="17">
        <f>VLOOKUP(A972,'Neraca Unaudited SIMAK'!$A$2:$S$10004,11,FALSE)</f>
        <v>64568400</v>
      </c>
      <c r="E983" s="25">
        <f>SUMIFS('Daftar Koreksi'!$H$5:$H$92,'Daftar Koreksi'!$D$5:$D$92,'1900'!A972,'Daftar Koreksi'!$G$5:$G$92,"Aset Henti Guna",'Daftar Koreksi'!$H$5:$H$92,"&gt;0")</f>
        <v>0</v>
      </c>
      <c r="F983" s="25">
        <f>SUMIFS('Daftar Koreksi'!$H$5:$H$92,'Daftar Koreksi'!$D$5:$D$92,'1900'!A972,'Daftar Koreksi'!$G$5:$G$92,"Aset Henti Guna",'Daftar Koreksi'!$H$5:$H$92,"&lt;0")-SUMIFS('Daftar Koreksi'!$H$5:$H$92,'Daftar Koreksi'!$D$5:$D$92,'1900'!A972,'Daftar Koreksi'!$G$5:$G$92,"Aset Henti Guna",'Daftar Koreksi'!$H$5:$H$92,"&lt;0")-SUMIFS('Daftar Koreksi'!$H$5:$H$92,'Daftar Koreksi'!$D$5:$D$92,'1900'!A972,'Daftar Koreksi'!$G$5:$G$92,"Aset Henti Guna",'Daftar Koreksi'!$H$5:$H$92,"&lt;0")</f>
        <v>0</v>
      </c>
      <c r="G983" s="17">
        <f t="shared" si="44"/>
        <v>64568400</v>
      </c>
      <c r="H983" s="122"/>
      <c r="I983" s="28"/>
      <c r="J983" s="28"/>
    </row>
    <row r="984" spans="1:10" ht="21.95" customHeight="1">
      <c r="A984" s="14"/>
      <c r="B984" s="14"/>
      <c r="C984" s="18" t="s">
        <v>2093</v>
      </c>
      <c r="D984" s="19">
        <f>VLOOKUP(A972,'Neraca Unaudited SIMAK'!$A$2:$S$10004,12,FALSE)</f>
        <v>3473121469</v>
      </c>
      <c r="E984" s="19">
        <f>SUM(E975:E983)</f>
        <v>0</v>
      </c>
      <c r="F984" s="19">
        <f>SUM(F975:F983)</f>
        <v>0</v>
      </c>
      <c r="G984" s="19">
        <f t="shared" si="44"/>
        <v>3473121469</v>
      </c>
      <c r="H984" s="122"/>
      <c r="I984" s="28"/>
      <c r="J984" s="28"/>
    </row>
    <row r="985" spans="1:10" ht="21.95" customHeight="1">
      <c r="A985" s="14"/>
      <c r="B985" s="14"/>
      <c r="C985" s="16" t="s">
        <v>2087</v>
      </c>
      <c r="D985" s="17">
        <f>VLOOKUP(A972,'Neraca Unaudited SIMAK'!$A$2:$S$10004,13,FALSE)</f>
        <v>-922197197</v>
      </c>
      <c r="E985" s="25">
        <f>SUMIFS('Daftar Koreksi'!$I$5:$I$92,'Daftar Koreksi'!$D$5:$D$92,'1900'!A972,'Daftar Koreksi'!$G$5:$G$92,"Peralatan dan mesin",'Daftar Koreksi'!$I$5:$I$92,"&gt;0")</f>
        <v>0</v>
      </c>
      <c r="F985" s="25">
        <f>SUMIFS('Daftar Koreksi'!$I$5:$I$92,'Daftar Koreksi'!$D$5:$D$92,'1900'!A972,'Daftar Koreksi'!$G$5:$G$92,"Peralatan dan mesin",'Daftar Koreksi'!$I$5:$I$92,"&lt;0")-SUMIFS('Daftar Koreksi'!$I$5:$I$92,'Daftar Koreksi'!$D$5:$D$92,'1900'!A972,'Daftar Koreksi'!$G$5:$G$92,"Peralatan dan mesin",'Daftar Koreksi'!$I$5:$I$92,"&lt;0")-SUMIFS('Daftar Koreksi'!$I$5:$I$92,'Daftar Koreksi'!$D$5:$D$92,'1900'!A972,'Daftar Koreksi'!$G$5:$G$92,"Peralatan dan mesin",'Daftar Koreksi'!$I$5:$I$92,"&lt;0")</f>
        <v>0</v>
      </c>
      <c r="G985" s="17">
        <f t="shared" si="44"/>
        <v>-922197197</v>
      </c>
      <c r="H985" s="122"/>
      <c r="I985" s="28"/>
      <c r="J985" s="28"/>
    </row>
    <row r="986" spans="1:10" ht="21.95" customHeight="1">
      <c r="A986" s="14"/>
      <c r="B986" s="14"/>
      <c r="C986" s="16" t="s">
        <v>2088</v>
      </c>
      <c r="D986" s="17">
        <f>VLOOKUP(A972,'Neraca Unaudited SIMAK'!$A$2:$S$10004,14,FALSE)</f>
        <v>-382408059</v>
      </c>
      <c r="E986" s="25">
        <f>SUMIFS('Daftar Koreksi'!$I$5:$I$92,'Daftar Koreksi'!$D$5:$D$92,'1900'!A972,'Daftar Koreksi'!$G$5:$G$92,"Gedung dan Bangunan",'Daftar Koreksi'!$I$5:$I$92,"&gt;0")</f>
        <v>0</v>
      </c>
      <c r="F986" s="25">
        <f>SUMIFS('Daftar Koreksi'!$I$5:$I$92,'Daftar Koreksi'!$D$5:$D$92,'1900'!A972,'Daftar Koreksi'!$G$5:$G$92,"Gedung dan Bangunan",'Daftar Koreksi'!$I$5:$I$92,"&lt;0")-SUMIFS('Daftar Koreksi'!$I$5:$I$92,'Daftar Koreksi'!$D$5:$D$92,'1900'!A972,'Daftar Koreksi'!$G$5:$G$92,"Gedung dan Bangunan",'Daftar Koreksi'!$I$5:$I$92,"&lt;0")-SUMIFS('Daftar Koreksi'!$I$5:$I$92,'Daftar Koreksi'!$D$5:$D$92,'1900'!A972,'Daftar Koreksi'!$G$5:$G$92,"Gedung dan Bangunan",'Daftar Koreksi'!$I$5:$I$92,"&lt;0")</f>
        <v>0</v>
      </c>
      <c r="G986" s="17">
        <f t="shared" si="44"/>
        <v>-382408059</v>
      </c>
      <c r="H986" s="122"/>
      <c r="I986" s="28"/>
      <c r="J986" s="28"/>
    </row>
    <row r="987" spans="1:10" ht="21.95" customHeight="1">
      <c r="A987" s="14"/>
      <c r="B987" s="14"/>
      <c r="C987" s="16" t="s">
        <v>2089</v>
      </c>
      <c r="D987" s="17">
        <f>VLOOKUP(A972,'Neraca Unaudited SIMAK'!$A$2:$S$10004,15,FALSE)</f>
        <v>-17657321</v>
      </c>
      <c r="E987" s="25">
        <f>SUMIFS('Daftar Koreksi'!$I$5:$I$92,'Daftar Koreksi'!$D$5:$D$92,'1900'!A972,'Daftar Koreksi'!$G$5:$G$92,"Jalan Irigasi Jaringan",'Daftar Koreksi'!$I$5:$I$92,"&gt;0")</f>
        <v>0</v>
      </c>
      <c r="F987" s="25">
        <f>SUMIFS('Daftar Koreksi'!$I$5:$I$92,'Daftar Koreksi'!$D$5:$D$92,'1900'!A972,'Daftar Koreksi'!$G$5:$G$92,"Jalan Irigasi Jaringan",'Daftar Koreksi'!$I$5:$I$92,"&lt;0")-SUMIFS('Daftar Koreksi'!$I$5:$I$92,'Daftar Koreksi'!$D$5:$D$92,'1900'!A972,'Daftar Koreksi'!$G$5:$G$92,"Jalan Irigasi Jaringan",'Daftar Koreksi'!$I$5:$I$92,"&lt;0")-SUMIFS('Daftar Koreksi'!$I$5:$I$92,'Daftar Koreksi'!$D$5:$D$92,'1900'!A972,'Daftar Koreksi'!$G$5:$G$92,"Jalan Irigasi Jaringan",'Daftar Koreksi'!$I$5:$I$92,"&lt;0")</f>
        <v>0</v>
      </c>
      <c r="G987" s="17">
        <f t="shared" si="44"/>
        <v>-17657321</v>
      </c>
      <c r="H987" s="122"/>
      <c r="I987" s="28"/>
      <c r="J987" s="28"/>
    </row>
    <row r="988" spans="1:10" ht="21.95" customHeight="1">
      <c r="A988" s="14"/>
      <c r="B988" s="14"/>
      <c r="C988" s="16" t="s">
        <v>2090</v>
      </c>
      <c r="D988" s="17">
        <f>VLOOKUP(A972,'Neraca Unaudited SIMAK'!$A$2:$S$10004,16,FALSE)</f>
        <v>0</v>
      </c>
      <c r="E988" s="25">
        <f>SUMIFS('Daftar Koreksi'!$I$5:$I$92,'Daftar Koreksi'!$D$5:$D$92,'1900'!A972,'Daftar Koreksi'!$G$5:$G$92,"Aset Tetap Lainnya",'Daftar Koreksi'!$I$5:$I$92,"&gt;0")</f>
        <v>0</v>
      </c>
      <c r="F988" s="25">
        <f>SUMIFS('Daftar Koreksi'!$I$5:$I$92,'Daftar Koreksi'!$D$5:$D$92,'1900'!A972,'Daftar Koreksi'!$G$5:$G$92,"Aset Tetap Lainnya",'Daftar Koreksi'!$I$5:$I$92,"&lt;0")-SUMIFS('Daftar Koreksi'!$I$5:$I$92,'Daftar Koreksi'!$D$5:$D$92,'1900'!A972,'Daftar Koreksi'!$G$5:$G$92,"Aset Tetap Lainnya",'Daftar Koreksi'!$I$5:$I$92,"&lt;0")-SUMIFS('Daftar Koreksi'!$I$5:$I$92,'Daftar Koreksi'!$D$5:$D$92,'1900'!A972,'Daftar Koreksi'!$G$5:$G$92,"Aset Tetap Lainnya",'Daftar Koreksi'!$I$5:$I$92,"&lt;0")</f>
        <v>0</v>
      </c>
      <c r="G988" s="17">
        <f t="shared" si="44"/>
        <v>0</v>
      </c>
      <c r="H988" s="122"/>
      <c r="I988" s="28"/>
      <c r="J988" s="28"/>
    </row>
    <row r="989" spans="1:10" ht="21.95" customHeight="1">
      <c r="A989" s="14"/>
      <c r="B989" s="14"/>
      <c r="C989" s="16" t="s">
        <v>2020</v>
      </c>
      <c r="D989" s="17">
        <f>VLOOKUP(A972,'Neraca Unaudited SIMAK'!$A$2:$S$10004,17,FALSE)</f>
        <v>-62219900</v>
      </c>
      <c r="E989" s="25">
        <f>SUMIFS('Daftar Koreksi'!$I$5:$I$92,'Daftar Koreksi'!$D$5:$D$92,'1900'!A972,'Daftar Koreksi'!$G$5:$G$92,"Aset Henti Guna",'Daftar Koreksi'!$I$5:$I$92,"&gt;0")</f>
        <v>0</v>
      </c>
      <c r="F989" s="25">
        <f>SUMIFS('Daftar Koreksi'!$I$5:$I$92,'Daftar Koreksi'!$D$5:$D$92,'1900'!A972,'Daftar Koreksi'!$G$5:$G$92,"Aset Henti Guna",'Daftar Koreksi'!$I$5:$I$92,"&lt;0")-SUMIFS('Daftar Koreksi'!$I$5:$I$92,'Daftar Koreksi'!$D$5:$D$92,'1900'!A972,'Daftar Koreksi'!$G$5:$G$92,"Aset Henti Guna",'Daftar Koreksi'!$I$5:$I$92,"&lt;0")-SUMIFS('Daftar Koreksi'!$I$5:$I$92,'Daftar Koreksi'!$D$5:$D$92,'1900'!A972,'Daftar Koreksi'!$G$5:$G$92,"Aset Henti Guna",'Daftar Koreksi'!$I$5:$I$92,"&lt;0")</f>
        <v>0</v>
      </c>
      <c r="G989" s="17">
        <f t="shared" si="44"/>
        <v>-62219900</v>
      </c>
      <c r="H989" s="122"/>
      <c r="I989" s="28"/>
      <c r="J989" s="28"/>
    </row>
    <row r="990" spans="1:10" ht="21.95" customHeight="1">
      <c r="A990" s="14"/>
      <c r="B990" s="14"/>
      <c r="C990" s="18" t="s">
        <v>2094</v>
      </c>
      <c r="D990" s="19">
        <f>SUM(D985:D989)</f>
        <v>-1384482477</v>
      </c>
      <c r="E990" s="19">
        <f>SUM(E985:E989)</f>
        <v>0</v>
      </c>
      <c r="F990" s="19">
        <f>SUM(F985:F989)</f>
        <v>0</v>
      </c>
      <c r="G990" s="19">
        <f t="shared" si="44"/>
        <v>-1384482477</v>
      </c>
      <c r="H990" s="122"/>
      <c r="I990" s="28"/>
      <c r="J990" s="28"/>
    </row>
    <row r="991" spans="1:10" ht="21.95" customHeight="1">
      <c r="A991" s="14"/>
      <c r="B991" s="14"/>
      <c r="C991" s="18" t="s">
        <v>2095</v>
      </c>
      <c r="D991" s="19">
        <f>VLOOKUP(A972,'Neraca Unaudited SIMAK'!$A$2:$S$10004,18,FALSE)</f>
        <v>2088638992</v>
      </c>
      <c r="E991" s="19">
        <f>E990+E984</f>
        <v>0</v>
      </c>
      <c r="F991" s="19">
        <f>F990+F984</f>
        <v>0</v>
      </c>
      <c r="G991" s="19">
        <f t="shared" si="44"/>
        <v>2088638992</v>
      </c>
      <c r="H991" s="122"/>
      <c r="I991" s="28"/>
      <c r="J991" s="28"/>
    </row>
    <row r="992" spans="1:10" ht="21.95" customHeight="1">
      <c r="A992" s="14"/>
      <c r="B992" s="14"/>
      <c r="C992" s="16" t="s">
        <v>2091</v>
      </c>
      <c r="D992" s="17">
        <f>VLOOKUP(A972,'Neraca Unaudited SIMAK'!$A$2:$S$10004,19,FALSE)</f>
        <v>0</v>
      </c>
      <c r="E992" s="25"/>
      <c r="F992" s="25"/>
      <c r="G992" s="17">
        <f t="shared" si="44"/>
        <v>0</v>
      </c>
      <c r="H992" s="123"/>
      <c r="I992" s="28"/>
      <c r="J992" s="28"/>
    </row>
    <row r="994" spans="1:8" ht="19.5" customHeight="1">
      <c r="A994" s="11" t="str">
        <f>O46</f>
        <v>005011900663356000KD</v>
      </c>
      <c r="B994" s="11" t="str">
        <f>P46</f>
        <v>Dilmil. III-16 di Makassar</v>
      </c>
      <c r="C994" s="12" t="str">
        <f>A994&amp;" "&amp;B994</f>
        <v>005011900663356000KD Dilmil. III-16 di Makassar</v>
      </c>
      <c r="D994" s="13"/>
      <c r="E994" s="13"/>
      <c r="F994" s="13"/>
      <c r="G994" s="13"/>
      <c r="H994" s="11"/>
    </row>
    <row r="995" spans="1:8" ht="21.95" customHeight="1">
      <c r="A995" s="14"/>
      <c r="B995" s="14"/>
      <c r="C995" s="124" t="s">
        <v>1982</v>
      </c>
      <c r="D995" s="126" t="s">
        <v>1983</v>
      </c>
      <c r="E995" s="132" t="s">
        <v>1984</v>
      </c>
      <c r="F995" s="132"/>
      <c r="G995" s="126" t="s">
        <v>1987</v>
      </c>
      <c r="H995" s="130" t="s">
        <v>1175</v>
      </c>
    </row>
    <row r="996" spans="1:8" ht="21.95" customHeight="1">
      <c r="A996" s="14"/>
      <c r="B996" s="14"/>
      <c r="C996" s="125"/>
      <c r="D996" s="127"/>
      <c r="E996" s="26" t="s">
        <v>1985</v>
      </c>
      <c r="F996" s="26" t="s">
        <v>1986</v>
      </c>
      <c r="G996" s="127"/>
      <c r="H996" s="131"/>
    </row>
    <row r="997" spans="1:8" ht="21.95" customHeight="1">
      <c r="A997" s="14"/>
      <c r="B997" s="14"/>
      <c r="C997" s="16" t="s">
        <v>1165</v>
      </c>
      <c r="D997" s="17">
        <f>VLOOKUP(A994,'Neraca Unaudited SIMAK'!$A$2:$S$10004,3,FALSE)</f>
        <v>329500</v>
      </c>
      <c r="E997" s="25">
        <f>SUMIFS('Daftar Koreksi'!$H$5:$H$92,'Daftar Koreksi'!$D$5:$D$92,'1900'!A994,'Daftar Koreksi'!$G$5:$G$92,"Persediaan",'Daftar Koreksi'!$H$5:$H$92,"&gt;0")</f>
        <v>0</v>
      </c>
      <c r="F997" s="25">
        <f>SUMIFS('Daftar Koreksi'!$H$5:$H$92,'Daftar Koreksi'!$D$5:$D$92,'1900'!A994,'Daftar Koreksi'!$G$5:$G$92,"Persediaan",'Daftar Koreksi'!$H$5:$H$92,"&lt;0")-SUMIFS('Daftar Koreksi'!$H$5:$H$92,'Daftar Koreksi'!$D$5:$D$92,'1900'!A994,'Daftar Koreksi'!$G$5:$G$92,"Persediaan",'Daftar Koreksi'!$H$5:$H$92,"&lt;0")-SUMIFS('Daftar Koreksi'!$H$5:$H$92,'Daftar Koreksi'!$D$5:$D$92,'1900'!A994,'Daftar Koreksi'!$G$5:$G$92,"Persediaan",'Daftar Koreksi'!$H$5:$H$92,"&lt;0")</f>
        <v>0</v>
      </c>
      <c r="G997" s="17">
        <f>D997+E997-F997</f>
        <v>329500</v>
      </c>
      <c r="H997" s="121" t="str">
        <f>IF(ISNA(VLOOKUP(A994,'Mutasi Neraca'!$A$3:$S$914,19,FALSE)),"-",VLOOKUP(A994,'Mutasi Neraca'!$A$3:$S$914,19,FALSE))</f>
        <v>-</v>
      </c>
    </row>
    <row r="998" spans="1:8" ht="21.95" customHeight="1">
      <c r="A998" s="14"/>
      <c r="B998" s="14"/>
      <c r="C998" s="16" t="s">
        <v>1166</v>
      </c>
      <c r="D998" s="17">
        <f>VLOOKUP(A994,'Neraca Unaudited SIMAK'!$A$2:$S$10004,4,FALSE)</f>
        <v>999982500</v>
      </c>
      <c r="E998" s="25">
        <f>SUMIFS('Daftar Koreksi'!$H$5:$H$92,'Daftar Koreksi'!$D$5:$D$92,'1900'!A994,'Daftar Koreksi'!$G$5:$G$92,"Tanah",'Daftar Koreksi'!$H$5:$H$92,"&gt;0")</f>
        <v>0</v>
      </c>
      <c r="F998" s="25">
        <f>SUMIFS('Daftar Koreksi'!$H$5:$H$92,'Daftar Koreksi'!$D$5:$D$92,'1900'!A994,'Daftar Koreksi'!$G$5:$G$92,"Tanah",'Daftar Koreksi'!$H$5:$H$92,"&lt;0")-SUMIFS('Daftar Koreksi'!$H$5:$H$92,'Daftar Koreksi'!$D$5:$D$92,'1900'!A994,'Daftar Koreksi'!$G$5:$G$92,"Tanah",'Daftar Koreksi'!$H$5:$H$92,"&lt;0")-SUMIFS('Daftar Koreksi'!$H$5:$H$92,'Daftar Koreksi'!$D$5:$D$92,'1900'!A994,'Daftar Koreksi'!$G$5:$G$92,"Tanah",'Daftar Koreksi'!$H$5:$H$92,"&lt;0")</f>
        <v>0</v>
      </c>
      <c r="G998" s="17">
        <f t="shared" ref="G998:G1014" si="45">D998+E998-F998</f>
        <v>999982500</v>
      </c>
      <c r="H998" s="122"/>
    </row>
    <row r="999" spans="1:8" ht="21.95" customHeight="1">
      <c r="A999" s="14"/>
      <c r="B999" s="14"/>
      <c r="C999" s="16" t="s">
        <v>1167</v>
      </c>
      <c r="D999" s="17">
        <f>VLOOKUP(A994,'Neraca Unaudited SIMAK'!$A$2:$S$10004,5,FALSE)</f>
        <v>2529588523</v>
      </c>
      <c r="E999" s="25">
        <f>SUMIFS('Daftar Koreksi'!$H$5:$H$92,'Daftar Koreksi'!$D$5:$D$92,'1900'!A994,'Daftar Koreksi'!$G$5:$G$92,"Peralatan dan mesin",'Daftar Koreksi'!$H$5:$H$92,"&gt;0")</f>
        <v>0</v>
      </c>
      <c r="F999" s="25">
        <f>SUMIFS('Daftar Koreksi'!$H$5:$H$92,'Daftar Koreksi'!$D$5:$D$92,'1900'!A994,'Daftar Koreksi'!$G$5:$G$92,"Peralatan dan mesin",'Daftar Koreksi'!$H$5:$H$92,"&lt;0")-SUMIFS('Daftar Koreksi'!$H$5:$H$92,'Daftar Koreksi'!$D$5:$D$92,'1900'!A994,'Daftar Koreksi'!$G$5:$G$92,"Peralatan dan mesin",'Daftar Koreksi'!$H$5:$H$92,"&lt;0")-SUMIFS('Daftar Koreksi'!$H$5:$H$92,'Daftar Koreksi'!$D$5:$D$92,'1900'!A994,'Daftar Koreksi'!$G$5:$G$92,"Peralatan dan mesin",'Daftar Koreksi'!$H$5:$H$92,"&lt;0")</f>
        <v>0</v>
      </c>
      <c r="G999" s="17">
        <f t="shared" si="45"/>
        <v>2529588523</v>
      </c>
      <c r="H999" s="122"/>
    </row>
    <row r="1000" spans="1:8" ht="21.95" customHeight="1">
      <c r="A1000" s="14"/>
      <c r="B1000" s="14"/>
      <c r="C1000" s="16" t="s">
        <v>1168</v>
      </c>
      <c r="D1000" s="17">
        <f>VLOOKUP(A994,'Neraca Unaudited SIMAK'!$A$2:$S$10004,6,FALSE)</f>
        <v>6310780205</v>
      </c>
      <c r="E1000" s="25">
        <f>SUMIFS('Daftar Koreksi'!$H$5:$H$92,'Daftar Koreksi'!$D$5:$D$92,'1900'!A994,'Daftar Koreksi'!$G$5:$G$92,"Gedung dan Bangunan",'Daftar Koreksi'!$H$5:$H$92,"&gt;0")</f>
        <v>0</v>
      </c>
      <c r="F1000" s="25">
        <f>SUMIFS('Daftar Koreksi'!$H$5:$H$92,'Daftar Koreksi'!$D$5:$D$92,'1900'!A994,'Daftar Koreksi'!$G$5:$G$92,"Gedung dan Bangunan",'Daftar Koreksi'!$H$5:$H$92,"&lt;0")-SUMIFS('Daftar Koreksi'!$H$5:$H$92,'Daftar Koreksi'!$D$5:$D$92,'1900'!A994,'Daftar Koreksi'!$G$5:$G$92,"Gedung dan Bangunan",'Daftar Koreksi'!$H$5:$H$92,"&lt;0")-SUMIFS('Daftar Koreksi'!$H$5:$H$92,'Daftar Koreksi'!$D$5:$D$92,'1900'!A994,'Daftar Koreksi'!$G$5:$G$92,"Gedung dan Bangunan",'Daftar Koreksi'!$H$5:$H$92,"&lt;0")</f>
        <v>0</v>
      </c>
      <c r="G1000" s="17">
        <f t="shared" si="45"/>
        <v>6310780205</v>
      </c>
      <c r="H1000" s="122"/>
    </row>
    <row r="1001" spans="1:8" ht="21.95" customHeight="1">
      <c r="A1001" s="14"/>
      <c r="B1001" s="14"/>
      <c r="C1001" s="16" t="s">
        <v>1169</v>
      </c>
      <c r="D1001" s="17">
        <f>VLOOKUP(A994,'Neraca Unaudited SIMAK'!$A$2:$S$10004,7,FALSE)</f>
        <v>290533250</v>
      </c>
      <c r="E1001" s="25">
        <f>SUMIFS('Daftar Koreksi'!$H$5:$H$92,'Daftar Koreksi'!$D$5:$D$92,'1900'!A994,'Daftar Koreksi'!$G$5:$G$92,"Jalan Irigasi Jaringan",'Daftar Koreksi'!$H$5:$H$92,"&gt;0")</f>
        <v>0</v>
      </c>
      <c r="F1001" s="25">
        <f>SUMIFS('Daftar Koreksi'!$H$5:$H$92,'Daftar Koreksi'!$D$5:$D$92,'1900'!A994,'Daftar Koreksi'!$G$5:$G$92,"Jalan Irigasi Jaringan",'Daftar Koreksi'!$H$5:$H$92,"&lt;0")-SUMIFS('Daftar Koreksi'!$H$5:$H$92,'Daftar Koreksi'!$D$5:$D$92,'1900'!A994,'Daftar Koreksi'!$G$5:$G$92,"Jalan Irigasi Jaringan",'Daftar Koreksi'!$H$5:$H$92,"&lt;0")-SUMIFS('Daftar Koreksi'!$H$5:$H$92,'Daftar Koreksi'!$D$5:$D$92,'1900'!A994,'Daftar Koreksi'!$G$5:$G$92,"Jalan Irigasi Jaringan",'Daftar Koreksi'!$H$5:$H$92,"&lt;0")</f>
        <v>0</v>
      </c>
      <c r="G1001" s="17">
        <f t="shared" si="45"/>
        <v>290533250</v>
      </c>
      <c r="H1001" s="122"/>
    </row>
    <row r="1002" spans="1:8" ht="21.95" customHeight="1">
      <c r="A1002" s="14"/>
      <c r="B1002" s="14"/>
      <c r="C1002" s="16" t="s">
        <v>1170</v>
      </c>
      <c r="D1002" s="17">
        <f>VLOOKUP(A994,'Neraca Unaudited SIMAK'!$A$2:$S$10004,8,FALSE)</f>
        <v>0</v>
      </c>
      <c r="E1002" s="25">
        <f>SUMIFS('Daftar Koreksi'!$H$5:$H$92,'Daftar Koreksi'!$D$5:$D$92,'1900'!A994,'Daftar Koreksi'!$G$5:$G$92,"Aset Tetap Lainnya",'Daftar Koreksi'!$H$5:$H$92,"&gt;0")</f>
        <v>0</v>
      </c>
      <c r="F1002" s="25">
        <f>SUMIFS('Daftar Koreksi'!$H$5:$H$92,'Daftar Koreksi'!$D$5:$D$92,'1900'!A994,'Daftar Koreksi'!$G$5:$G$92,"Aset Tetap Lainnya",'Daftar Koreksi'!$H$5:$H$92,"&lt;0")-SUMIFS('Daftar Koreksi'!$H$5:$H$92,'Daftar Koreksi'!$D$5:$D$92,'1900'!A994,'Daftar Koreksi'!$G$5:$G$92,"Aset Tetap Lainnya",'Daftar Koreksi'!$H$5:$H$92,"&lt;0")-SUMIFS('Daftar Koreksi'!$H$5:$H$92,'Daftar Koreksi'!$D$5:$D$92,'1900'!A994,'Daftar Koreksi'!$G$5:$G$92,"Aset Tetap Lainnya",'Daftar Koreksi'!$H$5:$H$92,"&lt;0")</f>
        <v>0</v>
      </c>
      <c r="G1002" s="17">
        <f t="shared" si="45"/>
        <v>0</v>
      </c>
      <c r="H1002" s="122"/>
    </row>
    <row r="1003" spans="1:8" ht="21.95" customHeight="1">
      <c r="A1003" s="14"/>
      <c r="B1003" s="14"/>
      <c r="C1003" s="16" t="s">
        <v>1171</v>
      </c>
      <c r="D1003" s="17">
        <f>VLOOKUP(A994,'Neraca Unaudited SIMAK'!$A$2:$S$10004,9,FALSE)</f>
        <v>0</v>
      </c>
      <c r="E1003" s="25">
        <f>SUMIFS('Daftar Koreksi'!$H$5:$H$92,'Daftar Koreksi'!$D$5:$D$92,'1900'!A994,'Daftar Koreksi'!$G$5:$G$92,"Kontruksi Dalam Pengerjaan",'Daftar Koreksi'!$H$5:$H$92,"&gt;0")</f>
        <v>0</v>
      </c>
      <c r="F1003" s="25">
        <f>SUMIFS('Daftar Koreksi'!$H$5:$H$92,'Daftar Koreksi'!$D$5:$D$92,'1900'!A994,'Daftar Koreksi'!$G$5:$G$92,"Kontruksi Dalam Pengerjaan",'Daftar Koreksi'!$H$5:$H$92,"&lt;0")-SUMIFS('Daftar Koreksi'!$H$5:$H$92,'Daftar Koreksi'!$D$5:$D$92,'1900'!A994,'Daftar Koreksi'!$G$5:$G$92,"Kontruksi Dalam Pengerjaan",'Daftar Koreksi'!$H$5:$H$92,"&lt;0")-SUMIFS('Daftar Koreksi'!$H$5:$H$92,'Daftar Koreksi'!$D$5:$D$92,'1900'!A994,'Daftar Koreksi'!$G$5:$G$92,"Kontruksi Dalam Pengerjaan",'Daftar Koreksi'!$H$5:$H$92,"&lt;0")</f>
        <v>0</v>
      </c>
      <c r="G1003" s="17">
        <f t="shared" si="45"/>
        <v>0</v>
      </c>
      <c r="H1003" s="122"/>
    </row>
    <row r="1004" spans="1:8" ht="21.95" customHeight="1">
      <c r="A1004" s="14"/>
      <c r="B1004" s="14"/>
      <c r="C1004" s="16" t="s">
        <v>1172</v>
      </c>
      <c r="D1004" s="17">
        <f>VLOOKUP(A994,'Neraca Unaudited SIMAK'!$A$2:$S$10004,10,FALSE)</f>
        <v>0</v>
      </c>
      <c r="E1004" s="25">
        <f>SUMIFS('Daftar Koreksi'!$H$5:$H$92,'Daftar Koreksi'!$D$5:$D$92,'1900'!A994,'Daftar Koreksi'!$G$5:$G$92,"Aset Tak Berwujud",'Daftar Koreksi'!$H$5:$H$92,"&gt;0")</f>
        <v>0</v>
      </c>
      <c r="F1004" s="25">
        <f>SUMIFS('Daftar Koreksi'!$H$5:$H$92,'Daftar Koreksi'!$D$5:$D$92,'1900'!A994,'Daftar Koreksi'!$G$5:$G$92,"Aset Tak Berwujud",'Daftar Koreksi'!$H$5:$H$92,"&lt;0")-SUMIFS('Daftar Koreksi'!$H$5:$H$92,'Daftar Koreksi'!$D$5:$D$92,'1900'!A994,'Daftar Koreksi'!$G$5:$G$92,"Aset Tak Berwujud",'Daftar Koreksi'!$H$5:$H$92,"&lt;0")-SUMIFS('Daftar Koreksi'!$H$5:$H$92,'Daftar Koreksi'!$D$5:$D$92,'1900'!A994,'Daftar Koreksi'!$G$5:$G$92,"Aset Tak Berwujud",'Daftar Koreksi'!$H$5:$H$92,"&lt;0")</f>
        <v>0</v>
      </c>
      <c r="G1004" s="17">
        <f t="shared" si="45"/>
        <v>0</v>
      </c>
      <c r="H1004" s="122"/>
    </row>
    <row r="1005" spans="1:8" ht="21.95" customHeight="1">
      <c r="A1005" s="14"/>
      <c r="B1005" s="14"/>
      <c r="C1005" s="16" t="s">
        <v>1173</v>
      </c>
      <c r="D1005" s="17">
        <f>VLOOKUP(A994,'Neraca Unaudited SIMAK'!$A$2:$S$10004,11,FALSE)</f>
        <v>0</v>
      </c>
      <c r="E1005" s="25">
        <f>SUMIFS('Daftar Koreksi'!$H$5:$H$92,'Daftar Koreksi'!$D$5:$D$92,'1900'!A994,'Daftar Koreksi'!$G$5:$G$92,"Aset Henti Guna",'Daftar Koreksi'!$H$5:$H$92,"&gt;0")</f>
        <v>0</v>
      </c>
      <c r="F1005" s="25">
        <f>SUMIFS('Daftar Koreksi'!$H$5:$H$92,'Daftar Koreksi'!$D$5:$D$92,'1900'!A994,'Daftar Koreksi'!$G$5:$G$92,"Aset Henti Guna",'Daftar Koreksi'!$H$5:$H$92,"&lt;0")-SUMIFS('Daftar Koreksi'!$H$5:$H$92,'Daftar Koreksi'!$D$5:$D$92,'1900'!A994,'Daftar Koreksi'!$G$5:$G$92,"Aset Henti Guna",'Daftar Koreksi'!$H$5:$H$92,"&lt;0")-SUMIFS('Daftar Koreksi'!$H$5:$H$92,'Daftar Koreksi'!$D$5:$D$92,'1900'!A994,'Daftar Koreksi'!$G$5:$G$92,"Aset Henti Guna",'Daftar Koreksi'!$H$5:$H$92,"&lt;0")</f>
        <v>0</v>
      </c>
      <c r="G1005" s="17">
        <f t="shared" si="45"/>
        <v>0</v>
      </c>
      <c r="H1005" s="122"/>
    </row>
    <row r="1006" spans="1:8" ht="21.95" customHeight="1">
      <c r="A1006" s="14"/>
      <c r="B1006" s="14"/>
      <c r="C1006" s="18" t="s">
        <v>2093</v>
      </c>
      <c r="D1006" s="19">
        <f>VLOOKUP(A994,'Neraca Unaudited SIMAK'!$A$2:$S$10004,12,FALSE)</f>
        <v>10131213978</v>
      </c>
      <c r="E1006" s="19">
        <f>SUM(E997:E1005)</f>
        <v>0</v>
      </c>
      <c r="F1006" s="19">
        <f>SUM(F997:F1005)</f>
        <v>0</v>
      </c>
      <c r="G1006" s="19">
        <f t="shared" si="45"/>
        <v>10131213978</v>
      </c>
      <c r="H1006" s="122"/>
    </row>
    <row r="1007" spans="1:8" ht="21.95" customHeight="1">
      <c r="A1007" s="14"/>
      <c r="B1007" s="14"/>
      <c r="C1007" s="16" t="s">
        <v>2087</v>
      </c>
      <c r="D1007" s="17">
        <f>VLOOKUP(A994,'Neraca Unaudited SIMAK'!$A$2:$S$10004,13,FALSE)</f>
        <v>-2020804220</v>
      </c>
      <c r="E1007" s="25">
        <f>SUMIFS('Daftar Koreksi'!$I$5:$I$92,'Daftar Koreksi'!$D$5:$D$92,'1900'!A994,'Daftar Koreksi'!$G$5:$G$92,"Peralatan dan mesin",'Daftar Koreksi'!$I$5:$I$92,"&gt;0")</f>
        <v>0</v>
      </c>
      <c r="F1007" s="25">
        <f>SUMIFS('Daftar Koreksi'!$I$5:$I$92,'Daftar Koreksi'!$D$5:$D$92,'1900'!A994,'Daftar Koreksi'!$G$5:$G$92,"Peralatan dan mesin",'Daftar Koreksi'!$I$5:$I$92,"&lt;0")-SUMIFS('Daftar Koreksi'!$I$5:$I$92,'Daftar Koreksi'!$D$5:$D$92,'1900'!A994,'Daftar Koreksi'!$G$5:$G$92,"Peralatan dan mesin",'Daftar Koreksi'!$I$5:$I$92,"&lt;0")-SUMIFS('Daftar Koreksi'!$I$5:$I$92,'Daftar Koreksi'!$D$5:$D$92,'1900'!A994,'Daftar Koreksi'!$G$5:$G$92,"Peralatan dan mesin",'Daftar Koreksi'!$I$5:$I$92,"&lt;0")</f>
        <v>0</v>
      </c>
      <c r="G1007" s="17">
        <f t="shared" si="45"/>
        <v>-2020804220</v>
      </c>
      <c r="H1007" s="122"/>
    </row>
    <row r="1008" spans="1:8" ht="21.95" customHeight="1">
      <c r="A1008" s="14"/>
      <c r="B1008" s="14"/>
      <c r="C1008" s="16" t="s">
        <v>2088</v>
      </c>
      <c r="D1008" s="17">
        <f>VLOOKUP(A994,'Neraca Unaudited SIMAK'!$A$2:$S$10004,14,FALSE)</f>
        <v>-442372016</v>
      </c>
      <c r="E1008" s="25">
        <f>SUMIFS('Daftar Koreksi'!$I$5:$I$92,'Daftar Koreksi'!$D$5:$D$92,'1900'!A994,'Daftar Koreksi'!$G$5:$G$92,"Gedung dan Bangunan",'Daftar Koreksi'!$I$5:$I$92,"&gt;0")</f>
        <v>0</v>
      </c>
      <c r="F1008" s="25">
        <f>SUMIFS('Daftar Koreksi'!$I$5:$I$92,'Daftar Koreksi'!$D$5:$D$92,'1900'!A994,'Daftar Koreksi'!$G$5:$G$92,"Gedung dan Bangunan",'Daftar Koreksi'!$I$5:$I$92,"&lt;0")-SUMIFS('Daftar Koreksi'!$I$5:$I$92,'Daftar Koreksi'!$D$5:$D$92,'1900'!A994,'Daftar Koreksi'!$G$5:$G$92,"Gedung dan Bangunan",'Daftar Koreksi'!$I$5:$I$92,"&lt;0")-SUMIFS('Daftar Koreksi'!$I$5:$I$92,'Daftar Koreksi'!$D$5:$D$92,'1900'!A994,'Daftar Koreksi'!$G$5:$G$92,"Gedung dan Bangunan",'Daftar Koreksi'!$I$5:$I$92,"&lt;0")</f>
        <v>0</v>
      </c>
      <c r="G1008" s="17">
        <f t="shared" si="45"/>
        <v>-442372016</v>
      </c>
      <c r="H1008" s="122"/>
    </row>
    <row r="1009" spans="1:8" ht="21.95" customHeight="1">
      <c r="A1009" s="14"/>
      <c r="B1009" s="14"/>
      <c r="C1009" s="16" t="s">
        <v>2089</v>
      </c>
      <c r="D1009" s="17">
        <f>VLOOKUP(A994,'Neraca Unaudited SIMAK'!$A$2:$S$10004,15,FALSE)</f>
        <v>-99435606</v>
      </c>
      <c r="E1009" s="25">
        <f>SUMIFS('Daftar Koreksi'!$I$5:$I$92,'Daftar Koreksi'!$D$5:$D$92,'1900'!A994,'Daftar Koreksi'!$G$5:$G$92,"Jalan Irigasi Jaringan",'Daftar Koreksi'!$I$5:$I$92,"&gt;0")</f>
        <v>0</v>
      </c>
      <c r="F1009" s="25">
        <f>SUMIFS('Daftar Koreksi'!$I$5:$I$92,'Daftar Koreksi'!$D$5:$D$92,'1900'!A994,'Daftar Koreksi'!$G$5:$G$92,"Jalan Irigasi Jaringan",'Daftar Koreksi'!$I$5:$I$92,"&lt;0")-SUMIFS('Daftar Koreksi'!$I$5:$I$92,'Daftar Koreksi'!$D$5:$D$92,'1900'!A994,'Daftar Koreksi'!$G$5:$G$92,"Jalan Irigasi Jaringan",'Daftar Koreksi'!$I$5:$I$92,"&lt;0")-SUMIFS('Daftar Koreksi'!$I$5:$I$92,'Daftar Koreksi'!$D$5:$D$92,'1900'!A994,'Daftar Koreksi'!$G$5:$G$92,"Jalan Irigasi Jaringan",'Daftar Koreksi'!$I$5:$I$92,"&lt;0")</f>
        <v>0</v>
      </c>
      <c r="G1009" s="17">
        <f t="shared" si="45"/>
        <v>-99435606</v>
      </c>
      <c r="H1009" s="122"/>
    </row>
    <row r="1010" spans="1:8" ht="21.95" customHeight="1">
      <c r="A1010" s="14"/>
      <c r="B1010" s="14"/>
      <c r="C1010" s="16" t="s">
        <v>2090</v>
      </c>
      <c r="D1010" s="17">
        <f>VLOOKUP(A994,'Neraca Unaudited SIMAK'!$A$2:$S$10004,16,FALSE)</f>
        <v>0</v>
      </c>
      <c r="E1010" s="25">
        <f>SUMIFS('Daftar Koreksi'!$I$5:$I$92,'Daftar Koreksi'!$D$5:$D$92,'1900'!A994,'Daftar Koreksi'!$G$5:$G$92,"Aset Tetap Lainnya",'Daftar Koreksi'!$I$5:$I$92,"&gt;0")</f>
        <v>0</v>
      </c>
      <c r="F1010" s="25">
        <f>SUMIFS('Daftar Koreksi'!$I$5:$I$92,'Daftar Koreksi'!$D$5:$D$92,'1900'!A994,'Daftar Koreksi'!$G$5:$G$92,"Aset Tetap Lainnya",'Daftar Koreksi'!$I$5:$I$92,"&lt;0")-SUMIFS('Daftar Koreksi'!$I$5:$I$92,'Daftar Koreksi'!$D$5:$D$92,'1900'!A994,'Daftar Koreksi'!$G$5:$G$92,"Aset Tetap Lainnya",'Daftar Koreksi'!$I$5:$I$92,"&lt;0")-SUMIFS('Daftar Koreksi'!$I$5:$I$92,'Daftar Koreksi'!$D$5:$D$92,'1900'!A994,'Daftar Koreksi'!$G$5:$G$92,"Aset Tetap Lainnya",'Daftar Koreksi'!$I$5:$I$92,"&lt;0")</f>
        <v>0</v>
      </c>
      <c r="G1010" s="17">
        <f t="shared" si="45"/>
        <v>0</v>
      </c>
      <c r="H1010" s="122"/>
    </row>
    <row r="1011" spans="1:8" ht="21.95" customHeight="1">
      <c r="A1011" s="14"/>
      <c r="B1011" s="14"/>
      <c r="C1011" s="16" t="s">
        <v>2020</v>
      </c>
      <c r="D1011" s="17">
        <f>VLOOKUP(A994,'Neraca Unaudited SIMAK'!$A$2:$S$10004,17,FALSE)</f>
        <v>0</v>
      </c>
      <c r="E1011" s="25">
        <f>SUMIFS('Daftar Koreksi'!$I$5:$I$92,'Daftar Koreksi'!$D$5:$D$92,'1900'!A994,'Daftar Koreksi'!$G$5:$G$92,"Aset Henti Guna",'Daftar Koreksi'!$I$5:$I$92,"&gt;0")</f>
        <v>0</v>
      </c>
      <c r="F1011" s="25">
        <f>SUMIFS('Daftar Koreksi'!$I$5:$I$92,'Daftar Koreksi'!$D$5:$D$92,'1900'!A994,'Daftar Koreksi'!$G$5:$G$92,"Aset Henti Guna",'Daftar Koreksi'!$I$5:$I$92,"&lt;0")-SUMIFS('Daftar Koreksi'!$I$5:$I$92,'Daftar Koreksi'!$D$5:$D$92,'1900'!A994,'Daftar Koreksi'!$G$5:$G$92,"Aset Henti Guna",'Daftar Koreksi'!$I$5:$I$92,"&lt;0")-SUMIFS('Daftar Koreksi'!$I$5:$I$92,'Daftar Koreksi'!$D$5:$D$92,'1900'!A994,'Daftar Koreksi'!$G$5:$G$92,"Aset Henti Guna",'Daftar Koreksi'!$I$5:$I$92,"&lt;0")</f>
        <v>0</v>
      </c>
      <c r="G1011" s="17">
        <f t="shared" si="45"/>
        <v>0</v>
      </c>
      <c r="H1011" s="122"/>
    </row>
    <row r="1012" spans="1:8" ht="21.95" customHeight="1">
      <c r="A1012" s="14"/>
      <c r="B1012" s="14"/>
      <c r="C1012" s="18" t="s">
        <v>2094</v>
      </c>
      <c r="D1012" s="19">
        <f>SUM(D1007:D1011)</f>
        <v>-2562611842</v>
      </c>
      <c r="E1012" s="19">
        <f>SUM(E1007:E1011)</f>
        <v>0</v>
      </c>
      <c r="F1012" s="19">
        <f>SUM(F1007:F1011)</f>
        <v>0</v>
      </c>
      <c r="G1012" s="19">
        <f t="shared" si="45"/>
        <v>-2562611842</v>
      </c>
      <c r="H1012" s="122"/>
    </row>
    <row r="1013" spans="1:8" ht="21.95" customHeight="1">
      <c r="A1013" s="14"/>
      <c r="B1013" s="14"/>
      <c r="C1013" s="18" t="s">
        <v>2095</v>
      </c>
      <c r="D1013" s="19">
        <f>VLOOKUP(A994,'Neraca Unaudited SIMAK'!$A$2:$S$10004,18,FALSE)</f>
        <v>7568602136</v>
      </c>
      <c r="E1013" s="19">
        <f>E1012+E1006</f>
        <v>0</v>
      </c>
      <c r="F1013" s="19">
        <f>F1012+F1006</f>
        <v>0</v>
      </c>
      <c r="G1013" s="19">
        <f t="shared" si="45"/>
        <v>7568602136</v>
      </c>
      <c r="H1013" s="122"/>
    </row>
    <row r="1014" spans="1:8" ht="21.95" customHeight="1">
      <c r="A1014" s="14"/>
      <c r="B1014" s="14"/>
      <c r="C1014" s="16" t="s">
        <v>2091</v>
      </c>
      <c r="D1014" s="17">
        <f>VLOOKUP(A994,'Neraca Unaudited SIMAK'!$A$2:$S$10004,19,FALSE)</f>
        <v>0</v>
      </c>
      <c r="E1014" s="25"/>
      <c r="F1014" s="25"/>
      <c r="G1014" s="17">
        <f t="shared" si="45"/>
        <v>0</v>
      </c>
      <c r="H1014" s="123"/>
    </row>
    <row r="1016" spans="1:8" ht="19.5" customHeight="1">
      <c r="A1016" s="11" t="str">
        <f>O47</f>
        <v>005011900672927000KD</v>
      </c>
      <c r="B1016" s="11" t="str">
        <f>P47</f>
        <v>PN. Masamba</v>
      </c>
      <c r="C1016" s="12" t="str">
        <f>A1016&amp;" "&amp;B1016</f>
        <v>005011900672927000KD PN. Masamba</v>
      </c>
      <c r="D1016" s="13"/>
      <c r="E1016" s="13"/>
      <c r="F1016" s="13"/>
      <c r="G1016" s="13"/>
      <c r="H1016" s="11"/>
    </row>
    <row r="1017" spans="1:8" ht="21.95" customHeight="1">
      <c r="A1017" s="14"/>
      <c r="B1017" s="14"/>
      <c r="C1017" s="124" t="s">
        <v>1982</v>
      </c>
      <c r="D1017" s="126" t="s">
        <v>1983</v>
      </c>
      <c r="E1017" s="132" t="s">
        <v>1984</v>
      </c>
      <c r="F1017" s="132"/>
      <c r="G1017" s="126" t="s">
        <v>1987</v>
      </c>
      <c r="H1017" s="130" t="s">
        <v>1175</v>
      </c>
    </row>
    <row r="1018" spans="1:8" ht="21.95" customHeight="1">
      <c r="A1018" s="14"/>
      <c r="B1018" s="14"/>
      <c r="C1018" s="125"/>
      <c r="D1018" s="127"/>
      <c r="E1018" s="26" t="s">
        <v>1985</v>
      </c>
      <c r="F1018" s="26" t="s">
        <v>1986</v>
      </c>
      <c r="G1018" s="127"/>
      <c r="H1018" s="131"/>
    </row>
    <row r="1019" spans="1:8" ht="21.95" customHeight="1">
      <c r="A1019" s="14"/>
      <c r="B1019" s="14"/>
      <c r="C1019" s="16" t="s">
        <v>1165</v>
      </c>
      <c r="D1019" s="17">
        <f>VLOOKUP(A1016,'Neraca Unaudited SIMAK'!$A$2:$S$10004,3,FALSE)</f>
        <v>1445500</v>
      </c>
      <c r="E1019" s="25">
        <f>SUMIFS('Daftar Koreksi'!$H$5:$H$92,'Daftar Koreksi'!$D$5:$D$92,'1900'!A1016,'Daftar Koreksi'!$G$5:$G$92,"Persediaan",'Daftar Koreksi'!$H$5:$H$92,"&gt;0")</f>
        <v>0</v>
      </c>
      <c r="F1019" s="25">
        <f>SUMIFS('Daftar Koreksi'!$H$5:$H$92,'Daftar Koreksi'!$D$5:$D$92,'1900'!A1016,'Daftar Koreksi'!$G$5:$G$92,"Persediaan",'Daftar Koreksi'!$H$5:$H$92,"&lt;0")-SUMIFS('Daftar Koreksi'!$H$5:$H$92,'Daftar Koreksi'!$D$5:$D$92,'1900'!A1016,'Daftar Koreksi'!$G$5:$G$92,"Persediaan",'Daftar Koreksi'!$H$5:$H$92,"&lt;0")-SUMIFS('Daftar Koreksi'!$H$5:$H$92,'Daftar Koreksi'!$D$5:$D$92,'1900'!A1016,'Daftar Koreksi'!$G$5:$G$92,"Persediaan",'Daftar Koreksi'!$H$5:$H$92,"&lt;0")</f>
        <v>0</v>
      </c>
      <c r="G1019" s="17">
        <f>D1019+E1019-F1019</f>
        <v>1445500</v>
      </c>
      <c r="H1019" s="121" t="str">
        <f>IF(ISNA(VLOOKUP(A1016,'Mutasi Neraca'!$A$3:$S$914,19,FALSE)),"-",VLOOKUP(A1016,'Mutasi Neraca'!$A$3:$S$914,19,FALSE))</f>
        <v>-</v>
      </c>
    </row>
    <row r="1020" spans="1:8" ht="21.95" customHeight="1">
      <c r="A1020" s="14"/>
      <c r="B1020" s="14"/>
      <c r="C1020" s="16" t="s">
        <v>1166</v>
      </c>
      <c r="D1020" s="17">
        <f>VLOOKUP(A1016,'Neraca Unaudited SIMAK'!$A$2:$S$10004,4,FALSE)</f>
        <v>2642151416</v>
      </c>
      <c r="E1020" s="25">
        <f>SUMIFS('Daftar Koreksi'!$H$5:$H$92,'Daftar Koreksi'!$D$5:$D$92,'1900'!A1016,'Daftar Koreksi'!$G$5:$G$92,"Tanah",'Daftar Koreksi'!$H$5:$H$92,"&gt;0")</f>
        <v>0</v>
      </c>
      <c r="F1020" s="25">
        <f>SUMIFS('Daftar Koreksi'!$H$5:$H$92,'Daftar Koreksi'!$D$5:$D$92,'1900'!A1016,'Daftar Koreksi'!$G$5:$G$92,"Tanah",'Daftar Koreksi'!$H$5:$H$92,"&lt;0")-SUMIFS('Daftar Koreksi'!$H$5:$H$92,'Daftar Koreksi'!$D$5:$D$92,'1900'!A1016,'Daftar Koreksi'!$G$5:$G$92,"Tanah",'Daftar Koreksi'!$H$5:$H$92,"&lt;0")-SUMIFS('Daftar Koreksi'!$H$5:$H$92,'Daftar Koreksi'!$D$5:$D$92,'1900'!A1016,'Daftar Koreksi'!$G$5:$G$92,"Tanah",'Daftar Koreksi'!$H$5:$H$92,"&lt;0")</f>
        <v>0</v>
      </c>
      <c r="G1020" s="17">
        <f t="shared" ref="G1020:G1036" si="46">D1020+E1020-F1020</f>
        <v>2642151416</v>
      </c>
      <c r="H1020" s="122"/>
    </row>
    <row r="1021" spans="1:8" ht="21.95" customHeight="1">
      <c r="A1021" s="14"/>
      <c r="B1021" s="14"/>
      <c r="C1021" s="16" t="s">
        <v>1167</v>
      </c>
      <c r="D1021" s="17">
        <f>VLOOKUP(A1016,'Neraca Unaudited SIMAK'!$A$2:$S$10004,5,FALSE)</f>
        <v>1252886190</v>
      </c>
      <c r="E1021" s="25">
        <f>SUMIFS('Daftar Koreksi'!$H$5:$H$92,'Daftar Koreksi'!$D$5:$D$92,'1900'!A1016,'Daftar Koreksi'!$G$5:$G$92,"Peralatan dan mesin",'Daftar Koreksi'!$H$5:$H$92,"&gt;0")</f>
        <v>0</v>
      </c>
      <c r="F1021" s="25">
        <f>SUMIFS('Daftar Koreksi'!$H$5:$H$92,'Daftar Koreksi'!$D$5:$D$92,'1900'!A1016,'Daftar Koreksi'!$G$5:$G$92,"Peralatan dan mesin",'Daftar Koreksi'!$H$5:$H$92,"&lt;0")-SUMIFS('Daftar Koreksi'!$H$5:$H$92,'Daftar Koreksi'!$D$5:$D$92,'1900'!A1016,'Daftar Koreksi'!$G$5:$G$92,"Peralatan dan mesin",'Daftar Koreksi'!$H$5:$H$92,"&lt;0")-SUMIFS('Daftar Koreksi'!$H$5:$H$92,'Daftar Koreksi'!$D$5:$D$92,'1900'!A1016,'Daftar Koreksi'!$G$5:$G$92,"Peralatan dan mesin",'Daftar Koreksi'!$H$5:$H$92,"&lt;0")</f>
        <v>0</v>
      </c>
      <c r="G1021" s="17">
        <f t="shared" si="46"/>
        <v>1252886190</v>
      </c>
      <c r="H1021" s="122"/>
    </row>
    <row r="1022" spans="1:8" ht="21.95" customHeight="1">
      <c r="A1022" s="14"/>
      <c r="B1022" s="14"/>
      <c r="C1022" s="16" t="s">
        <v>1168</v>
      </c>
      <c r="D1022" s="17">
        <f>VLOOKUP(A1016,'Neraca Unaudited SIMAK'!$A$2:$S$10004,6,FALSE)</f>
        <v>12227330533</v>
      </c>
      <c r="E1022" s="25">
        <f>SUMIFS('Daftar Koreksi'!$H$5:$H$92,'Daftar Koreksi'!$D$5:$D$92,'1900'!A1016,'Daftar Koreksi'!$G$5:$G$92,"Gedung dan Bangunan",'Daftar Koreksi'!$H$5:$H$92,"&gt;0")</f>
        <v>0</v>
      </c>
      <c r="F1022" s="25">
        <f>SUMIFS('Daftar Koreksi'!$H$5:$H$92,'Daftar Koreksi'!$D$5:$D$92,'1900'!A1016,'Daftar Koreksi'!$G$5:$G$92,"Gedung dan Bangunan",'Daftar Koreksi'!$H$5:$H$92,"&lt;0")-SUMIFS('Daftar Koreksi'!$H$5:$H$92,'Daftar Koreksi'!$D$5:$D$92,'1900'!A1016,'Daftar Koreksi'!$G$5:$G$92,"Gedung dan Bangunan",'Daftar Koreksi'!$H$5:$H$92,"&lt;0")-SUMIFS('Daftar Koreksi'!$H$5:$H$92,'Daftar Koreksi'!$D$5:$D$92,'1900'!A1016,'Daftar Koreksi'!$G$5:$G$92,"Gedung dan Bangunan",'Daftar Koreksi'!$H$5:$H$92,"&lt;0")</f>
        <v>0</v>
      </c>
      <c r="G1022" s="17">
        <f t="shared" si="46"/>
        <v>12227330533</v>
      </c>
      <c r="H1022" s="122"/>
    </row>
    <row r="1023" spans="1:8" ht="21.95" customHeight="1">
      <c r="A1023" s="14"/>
      <c r="B1023" s="14"/>
      <c r="C1023" s="16" t="s">
        <v>1169</v>
      </c>
      <c r="D1023" s="17">
        <f>VLOOKUP(A1016,'Neraca Unaudited SIMAK'!$A$2:$S$10004,7,FALSE)</f>
        <v>0</v>
      </c>
      <c r="E1023" s="25">
        <f>SUMIFS('Daftar Koreksi'!$H$5:$H$92,'Daftar Koreksi'!$D$5:$D$92,'1900'!A1016,'Daftar Koreksi'!$G$5:$G$92,"Jalan Irigasi Jaringan",'Daftar Koreksi'!$H$5:$H$92,"&gt;0")</f>
        <v>0</v>
      </c>
      <c r="F1023" s="25">
        <f>SUMIFS('Daftar Koreksi'!$H$5:$H$92,'Daftar Koreksi'!$D$5:$D$92,'1900'!A1016,'Daftar Koreksi'!$G$5:$G$92,"Jalan Irigasi Jaringan",'Daftar Koreksi'!$H$5:$H$92,"&lt;0")-SUMIFS('Daftar Koreksi'!$H$5:$H$92,'Daftar Koreksi'!$D$5:$D$92,'1900'!A1016,'Daftar Koreksi'!$G$5:$G$92,"Jalan Irigasi Jaringan",'Daftar Koreksi'!$H$5:$H$92,"&lt;0")-SUMIFS('Daftar Koreksi'!$H$5:$H$92,'Daftar Koreksi'!$D$5:$D$92,'1900'!A1016,'Daftar Koreksi'!$G$5:$G$92,"Jalan Irigasi Jaringan",'Daftar Koreksi'!$H$5:$H$92,"&lt;0")</f>
        <v>0</v>
      </c>
      <c r="G1023" s="17">
        <f t="shared" si="46"/>
        <v>0</v>
      </c>
      <c r="H1023" s="122"/>
    </row>
    <row r="1024" spans="1:8" ht="21.95" customHeight="1">
      <c r="A1024" s="14"/>
      <c r="B1024" s="14"/>
      <c r="C1024" s="16" t="s">
        <v>1170</v>
      </c>
      <c r="D1024" s="17">
        <f>VLOOKUP(A1016,'Neraca Unaudited SIMAK'!$A$2:$S$10004,8,FALSE)</f>
        <v>2828680</v>
      </c>
      <c r="E1024" s="25">
        <f>SUMIFS('Daftar Koreksi'!$H$5:$H$92,'Daftar Koreksi'!$D$5:$D$92,'1900'!A1016,'Daftar Koreksi'!$G$5:$G$92,"Aset Tetap Lainnya",'Daftar Koreksi'!$H$5:$H$92,"&gt;0")</f>
        <v>0</v>
      </c>
      <c r="F1024" s="25">
        <f>SUMIFS('Daftar Koreksi'!$H$5:$H$92,'Daftar Koreksi'!$D$5:$D$92,'1900'!A1016,'Daftar Koreksi'!$G$5:$G$92,"Aset Tetap Lainnya",'Daftar Koreksi'!$H$5:$H$92,"&lt;0")-SUMIFS('Daftar Koreksi'!$H$5:$H$92,'Daftar Koreksi'!$D$5:$D$92,'1900'!A1016,'Daftar Koreksi'!$G$5:$G$92,"Aset Tetap Lainnya",'Daftar Koreksi'!$H$5:$H$92,"&lt;0")-SUMIFS('Daftar Koreksi'!$H$5:$H$92,'Daftar Koreksi'!$D$5:$D$92,'1900'!A1016,'Daftar Koreksi'!$G$5:$G$92,"Aset Tetap Lainnya",'Daftar Koreksi'!$H$5:$H$92,"&lt;0")</f>
        <v>0</v>
      </c>
      <c r="G1024" s="17">
        <f t="shared" si="46"/>
        <v>2828680</v>
      </c>
      <c r="H1024" s="122"/>
    </row>
    <row r="1025" spans="1:8" ht="21.95" customHeight="1">
      <c r="A1025" s="14"/>
      <c r="B1025" s="14"/>
      <c r="C1025" s="16" t="s">
        <v>1171</v>
      </c>
      <c r="D1025" s="17">
        <f>VLOOKUP(A1016,'Neraca Unaudited SIMAK'!$A$2:$S$10004,9,FALSE)</f>
        <v>0</v>
      </c>
      <c r="E1025" s="25">
        <f>SUMIFS('Daftar Koreksi'!$H$5:$H$92,'Daftar Koreksi'!$D$5:$D$92,'1900'!A1016,'Daftar Koreksi'!$G$5:$G$92,"Kontruksi Dalam Pengerjaan",'Daftar Koreksi'!$H$5:$H$92,"&gt;0")</f>
        <v>0</v>
      </c>
      <c r="F1025" s="25">
        <f>SUMIFS('Daftar Koreksi'!$H$5:$H$92,'Daftar Koreksi'!$D$5:$D$92,'1900'!A1016,'Daftar Koreksi'!$G$5:$G$92,"Kontruksi Dalam Pengerjaan",'Daftar Koreksi'!$H$5:$H$92,"&lt;0")-SUMIFS('Daftar Koreksi'!$H$5:$H$92,'Daftar Koreksi'!$D$5:$D$92,'1900'!A1016,'Daftar Koreksi'!$G$5:$G$92,"Kontruksi Dalam Pengerjaan",'Daftar Koreksi'!$H$5:$H$92,"&lt;0")-SUMIFS('Daftar Koreksi'!$H$5:$H$92,'Daftar Koreksi'!$D$5:$D$92,'1900'!A1016,'Daftar Koreksi'!$G$5:$G$92,"Kontruksi Dalam Pengerjaan",'Daftar Koreksi'!$H$5:$H$92,"&lt;0")</f>
        <v>0</v>
      </c>
      <c r="G1025" s="17">
        <f t="shared" si="46"/>
        <v>0</v>
      </c>
      <c r="H1025" s="122"/>
    </row>
    <row r="1026" spans="1:8" ht="21.95" customHeight="1">
      <c r="A1026" s="14"/>
      <c r="B1026" s="14"/>
      <c r="C1026" s="16" t="s">
        <v>1172</v>
      </c>
      <c r="D1026" s="17">
        <f>VLOOKUP(A1016,'Neraca Unaudited SIMAK'!$A$2:$S$10004,10,FALSE)</f>
        <v>0</v>
      </c>
      <c r="E1026" s="25">
        <f>SUMIFS('Daftar Koreksi'!$H$5:$H$92,'Daftar Koreksi'!$D$5:$D$92,'1900'!A1016,'Daftar Koreksi'!$G$5:$G$92,"Aset Tak Berwujud",'Daftar Koreksi'!$H$5:$H$92,"&gt;0")</f>
        <v>0</v>
      </c>
      <c r="F1026" s="25">
        <f>SUMIFS('Daftar Koreksi'!$H$5:$H$92,'Daftar Koreksi'!$D$5:$D$92,'1900'!A1016,'Daftar Koreksi'!$G$5:$G$92,"Aset Tak Berwujud",'Daftar Koreksi'!$H$5:$H$92,"&lt;0")-SUMIFS('Daftar Koreksi'!$H$5:$H$92,'Daftar Koreksi'!$D$5:$D$92,'1900'!A1016,'Daftar Koreksi'!$G$5:$G$92,"Aset Tak Berwujud",'Daftar Koreksi'!$H$5:$H$92,"&lt;0")-SUMIFS('Daftar Koreksi'!$H$5:$H$92,'Daftar Koreksi'!$D$5:$D$92,'1900'!A1016,'Daftar Koreksi'!$G$5:$G$92,"Aset Tak Berwujud",'Daftar Koreksi'!$H$5:$H$92,"&lt;0")</f>
        <v>0</v>
      </c>
      <c r="G1026" s="17">
        <f t="shared" si="46"/>
        <v>0</v>
      </c>
      <c r="H1026" s="122"/>
    </row>
    <row r="1027" spans="1:8" ht="21.95" customHeight="1">
      <c r="A1027" s="14"/>
      <c r="B1027" s="14"/>
      <c r="C1027" s="16" t="s">
        <v>1173</v>
      </c>
      <c r="D1027" s="17">
        <f>VLOOKUP(A1016,'Neraca Unaudited SIMAK'!$A$2:$S$10004,11,FALSE)</f>
        <v>0</v>
      </c>
      <c r="E1027" s="25">
        <f>SUMIFS('Daftar Koreksi'!$H$5:$H$92,'Daftar Koreksi'!$D$5:$D$92,'1900'!A1016,'Daftar Koreksi'!$G$5:$G$92,"Aset Henti Guna",'Daftar Koreksi'!$H$5:$H$92,"&gt;0")</f>
        <v>0</v>
      </c>
      <c r="F1027" s="25">
        <f>SUMIFS('Daftar Koreksi'!$H$5:$H$92,'Daftar Koreksi'!$D$5:$D$92,'1900'!A1016,'Daftar Koreksi'!$G$5:$G$92,"Aset Henti Guna",'Daftar Koreksi'!$H$5:$H$92,"&lt;0")-SUMIFS('Daftar Koreksi'!$H$5:$H$92,'Daftar Koreksi'!$D$5:$D$92,'1900'!A1016,'Daftar Koreksi'!$G$5:$G$92,"Aset Henti Guna",'Daftar Koreksi'!$H$5:$H$92,"&lt;0")-SUMIFS('Daftar Koreksi'!$H$5:$H$92,'Daftar Koreksi'!$D$5:$D$92,'1900'!A1016,'Daftar Koreksi'!$G$5:$G$92,"Aset Henti Guna",'Daftar Koreksi'!$H$5:$H$92,"&lt;0")</f>
        <v>0</v>
      </c>
      <c r="G1027" s="17">
        <f t="shared" si="46"/>
        <v>0</v>
      </c>
      <c r="H1027" s="122"/>
    </row>
    <row r="1028" spans="1:8" ht="21.95" customHeight="1">
      <c r="A1028" s="14"/>
      <c r="B1028" s="14"/>
      <c r="C1028" s="18" t="s">
        <v>2093</v>
      </c>
      <c r="D1028" s="19">
        <f>VLOOKUP(A1016,'Neraca Unaudited SIMAK'!$A$2:$S$10004,12,FALSE)</f>
        <v>16126642319</v>
      </c>
      <c r="E1028" s="19">
        <f>SUM(E1019:E1027)</f>
        <v>0</v>
      </c>
      <c r="F1028" s="19">
        <f>SUM(F1019:F1027)</f>
        <v>0</v>
      </c>
      <c r="G1028" s="19">
        <f t="shared" si="46"/>
        <v>16126642319</v>
      </c>
      <c r="H1028" s="122"/>
    </row>
    <row r="1029" spans="1:8" ht="21.95" customHeight="1">
      <c r="A1029" s="14"/>
      <c r="B1029" s="14"/>
      <c r="C1029" s="16" t="s">
        <v>2087</v>
      </c>
      <c r="D1029" s="17">
        <f>VLOOKUP(A1016,'Neraca Unaudited SIMAK'!$A$2:$S$10004,13,FALSE)</f>
        <v>-562355563</v>
      </c>
      <c r="E1029" s="25">
        <f>SUMIFS('Daftar Koreksi'!$I$5:$I$92,'Daftar Koreksi'!$D$5:$D$92,'1900'!A1016,'Daftar Koreksi'!$G$5:$G$92,"Peralatan dan mesin",'Daftar Koreksi'!$I$5:$I$92,"&gt;0")</f>
        <v>0</v>
      </c>
      <c r="F1029" s="25">
        <f>SUMIFS('Daftar Koreksi'!$I$5:$I$92,'Daftar Koreksi'!$D$5:$D$92,'1900'!A1016,'Daftar Koreksi'!$G$5:$G$92,"Peralatan dan mesin",'Daftar Koreksi'!$I$5:$I$92,"&lt;0")-SUMIFS('Daftar Koreksi'!$I$5:$I$92,'Daftar Koreksi'!$D$5:$D$92,'1900'!A1016,'Daftar Koreksi'!$G$5:$G$92,"Peralatan dan mesin",'Daftar Koreksi'!$I$5:$I$92,"&lt;0")-SUMIFS('Daftar Koreksi'!$I$5:$I$92,'Daftar Koreksi'!$D$5:$D$92,'1900'!A1016,'Daftar Koreksi'!$G$5:$G$92,"Peralatan dan mesin",'Daftar Koreksi'!$I$5:$I$92,"&lt;0")</f>
        <v>0</v>
      </c>
      <c r="G1029" s="17">
        <f t="shared" si="46"/>
        <v>-562355563</v>
      </c>
      <c r="H1029" s="122"/>
    </row>
    <row r="1030" spans="1:8" ht="21.95" customHeight="1">
      <c r="A1030" s="14"/>
      <c r="B1030" s="14"/>
      <c r="C1030" s="16" t="s">
        <v>2088</v>
      </c>
      <c r="D1030" s="17">
        <f>VLOOKUP(A1016,'Neraca Unaudited SIMAK'!$A$2:$S$10004,14,FALSE)</f>
        <v>-477502732</v>
      </c>
      <c r="E1030" s="25">
        <f>SUMIFS('Daftar Koreksi'!$I$5:$I$92,'Daftar Koreksi'!$D$5:$D$92,'1900'!A1016,'Daftar Koreksi'!$G$5:$G$92,"Gedung dan Bangunan",'Daftar Koreksi'!$I$5:$I$92,"&gt;0")</f>
        <v>0</v>
      </c>
      <c r="F1030" s="25">
        <f>SUMIFS('Daftar Koreksi'!$I$5:$I$92,'Daftar Koreksi'!$D$5:$D$92,'1900'!A1016,'Daftar Koreksi'!$G$5:$G$92,"Gedung dan Bangunan",'Daftar Koreksi'!$I$5:$I$92,"&lt;0")-SUMIFS('Daftar Koreksi'!$I$5:$I$92,'Daftar Koreksi'!$D$5:$D$92,'1900'!A1016,'Daftar Koreksi'!$G$5:$G$92,"Gedung dan Bangunan",'Daftar Koreksi'!$I$5:$I$92,"&lt;0")-SUMIFS('Daftar Koreksi'!$I$5:$I$92,'Daftar Koreksi'!$D$5:$D$92,'1900'!A1016,'Daftar Koreksi'!$G$5:$G$92,"Gedung dan Bangunan",'Daftar Koreksi'!$I$5:$I$92,"&lt;0")</f>
        <v>0</v>
      </c>
      <c r="G1030" s="17">
        <f t="shared" si="46"/>
        <v>-477502732</v>
      </c>
      <c r="H1030" s="122"/>
    </row>
    <row r="1031" spans="1:8" ht="21.95" customHeight="1">
      <c r="A1031" s="14"/>
      <c r="B1031" s="14"/>
      <c r="C1031" s="16" t="s">
        <v>2089</v>
      </c>
      <c r="D1031" s="17">
        <f>VLOOKUP(A1016,'Neraca Unaudited SIMAK'!$A$2:$S$10004,15,FALSE)</f>
        <v>0</v>
      </c>
      <c r="E1031" s="25">
        <f>SUMIFS('Daftar Koreksi'!$I$5:$I$92,'Daftar Koreksi'!$D$5:$D$92,'1900'!A1016,'Daftar Koreksi'!$G$5:$G$92,"Jalan Irigasi Jaringan",'Daftar Koreksi'!$I$5:$I$92,"&gt;0")</f>
        <v>0</v>
      </c>
      <c r="F1031" s="25">
        <f>SUMIFS('Daftar Koreksi'!$I$5:$I$92,'Daftar Koreksi'!$D$5:$D$92,'1900'!A1016,'Daftar Koreksi'!$G$5:$G$92,"Jalan Irigasi Jaringan",'Daftar Koreksi'!$I$5:$I$92,"&lt;0")-SUMIFS('Daftar Koreksi'!$I$5:$I$92,'Daftar Koreksi'!$D$5:$D$92,'1900'!A1016,'Daftar Koreksi'!$G$5:$G$92,"Jalan Irigasi Jaringan",'Daftar Koreksi'!$I$5:$I$92,"&lt;0")-SUMIFS('Daftar Koreksi'!$I$5:$I$92,'Daftar Koreksi'!$D$5:$D$92,'1900'!A1016,'Daftar Koreksi'!$G$5:$G$92,"Jalan Irigasi Jaringan",'Daftar Koreksi'!$I$5:$I$92,"&lt;0")</f>
        <v>0</v>
      </c>
      <c r="G1031" s="17">
        <f t="shared" si="46"/>
        <v>0</v>
      </c>
      <c r="H1031" s="122"/>
    </row>
    <row r="1032" spans="1:8" ht="21.95" customHeight="1">
      <c r="A1032" s="14"/>
      <c r="B1032" s="14"/>
      <c r="C1032" s="16" t="s">
        <v>2090</v>
      </c>
      <c r="D1032" s="17">
        <f>VLOOKUP(A1016,'Neraca Unaudited SIMAK'!$A$2:$S$10004,16,FALSE)</f>
        <v>0</v>
      </c>
      <c r="E1032" s="25">
        <f>SUMIFS('Daftar Koreksi'!$I$5:$I$92,'Daftar Koreksi'!$D$5:$D$92,'1900'!A1016,'Daftar Koreksi'!$G$5:$G$92,"Aset Tetap Lainnya",'Daftar Koreksi'!$I$5:$I$92,"&gt;0")</f>
        <v>0</v>
      </c>
      <c r="F1032" s="25">
        <f>SUMIFS('Daftar Koreksi'!$I$5:$I$92,'Daftar Koreksi'!$D$5:$D$92,'1900'!A1016,'Daftar Koreksi'!$G$5:$G$92,"Aset Tetap Lainnya",'Daftar Koreksi'!$I$5:$I$92,"&lt;0")-SUMIFS('Daftar Koreksi'!$I$5:$I$92,'Daftar Koreksi'!$D$5:$D$92,'1900'!A1016,'Daftar Koreksi'!$G$5:$G$92,"Aset Tetap Lainnya",'Daftar Koreksi'!$I$5:$I$92,"&lt;0")-SUMIFS('Daftar Koreksi'!$I$5:$I$92,'Daftar Koreksi'!$D$5:$D$92,'1900'!A1016,'Daftar Koreksi'!$G$5:$G$92,"Aset Tetap Lainnya",'Daftar Koreksi'!$I$5:$I$92,"&lt;0")</f>
        <v>0</v>
      </c>
      <c r="G1032" s="17">
        <f t="shared" si="46"/>
        <v>0</v>
      </c>
      <c r="H1032" s="122"/>
    </row>
    <row r="1033" spans="1:8" ht="21.95" customHeight="1">
      <c r="A1033" s="14"/>
      <c r="B1033" s="14"/>
      <c r="C1033" s="16" t="s">
        <v>2020</v>
      </c>
      <c r="D1033" s="17">
        <f>VLOOKUP(A1016,'Neraca Unaudited SIMAK'!$A$2:$S$10004,17,FALSE)</f>
        <v>0</v>
      </c>
      <c r="E1033" s="25">
        <f>SUMIFS('Daftar Koreksi'!$I$5:$I$92,'Daftar Koreksi'!$D$5:$D$92,'1900'!A1016,'Daftar Koreksi'!$G$5:$G$92,"Aset Henti Guna",'Daftar Koreksi'!$I$5:$I$92,"&gt;0")</f>
        <v>0</v>
      </c>
      <c r="F1033" s="25">
        <f>SUMIFS('Daftar Koreksi'!$I$5:$I$92,'Daftar Koreksi'!$D$5:$D$92,'1900'!A1016,'Daftar Koreksi'!$G$5:$G$92,"Aset Henti Guna",'Daftar Koreksi'!$I$5:$I$92,"&lt;0")-SUMIFS('Daftar Koreksi'!$I$5:$I$92,'Daftar Koreksi'!$D$5:$D$92,'1900'!A1016,'Daftar Koreksi'!$G$5:$G$92,"Aset Henti Guna",'Daftar Koreksi'!$I$5:$I$92,"&lt;0")-SUMIFS('Daftar Koreksi'!$I$5:$I$92,'Daftar Koreksi'!$D$5:$D$92,'1900'!A1016,'Daftar Koreksi'!$G$5:$G$92,"Aset Henti Guna",'Daftar Koreksi'!$I$5:$I$92,"&lt;0")</f>
        <v>0</v>
      </c>
      <c r="G1033" s="17">
        <f t="shared" si="46"/>
        <v>0</v>
      </c>
      <c r="H1033" s="122"/>
    </row>
    <row r="1034" spans="1:8" ht="21.95" customHeight="1">
      <c r="A1034" s="14"/>
      <c r="B1034" s="14"/>
      <c r="C1034" s="18" t="s">
        <v>2094</v>
      </c>
      <c r="D1034" s="19">
        <f>SUM(D1029:D1033)</f>
        <v>-1039858295</v>
      </c>
      <c r="E1034" s="19">
        <f>SUM(E1029:E1033)</f>
        <v>0</v>
      </c>
      <c r="F1034" s="19">
        <f>SUM(F1029:F1033)</f>
        <v>0</v>
      </c>
      <c r="G1034" s="19">
        <f t="shared" si="46"/>
        <v>-1039858295</v>
      </c>
      <c r="H1034" s="122"/>
    </row>
    <row r="1035" spans="1:8" ht="21.95" customHeight="1">
      <c r="A1035" s="14"/>
      <c r="B1035" s="14"/>
      <c r="C1035" s="18" t="s">
        <v>2095</v>
      </c>
      <c r="D1035" s="19">
        <f>VLOOKUP(A1016,'Neraca Unaudited SIMAK'!$A$2:$S$10004,18,FALSE)</f>
        <v>15086784024</v>
      </c>
      <c r="E1035" s="19">
        <f>E1034+E1028</f>
        <v>0</v>
      </c>
      <c r="F1035" s="19">
        <f>F1034+F1028</f>
        <v>0</v>
      </c>
      <c r="G1035" s="19">
        <f t="shared" si="46"/>
        <v>15086784024</v>
      </c>
      <c r="H1035" s="122"/>
    </row>
    <row r="1036" spans="1:8" ht="21.95" customHeight="1">
      <c r="A1036" s="14"/>
      <c r="B1036" s="14"/>
      <c r="C1036" s="16" t="s">
        <v>2091</v>
      </c>
      <c r="D1036" s="17">
        <f>VLOOKUP(A1016,'Neraca Unaudited SIMAK'!$A$2:$S$10004,19,FALSE)</f>
        <v>0</v>
      </c>
      <c r="E1036" s="25"/>
      <c r="F1036" s="25"/>
      <c r="G1036" s="17">
        <f t="shared" si="46"/>
        <v>0</v>
      </c>
      <c r="H1036" s="123"/>
    </row>
    <row r="1038" spans="1:8" ht="19.5" customHeight="1">
      <c r="A1038" s="11" t="str">
        <f>O48</f>
        <v>005011900673013000KD</v>
      </c>
      <c r="B1038" s="11" t="str">
        <f>P48</f>
        <v>PN. Malili</v>
      </c>
      <c r="C1038" s="12" t="str">
        <f>A1038&amp;" "&amp;B1038</f>
        <v>005011900673013000KD PN. Malili</v>
      </c>
      <c r="D1038" s="13"/>
      <c r="E1038" s="13"/>
      <c r="F1038" s="13"/>
      <c r="G1038" s="13"/>
      <c r="H1038" s="11"/>
    </row>
    <row r="1039" spans="1:8" ht="21.95" customHeight="1">
      <c r="A1039" s="14"/>
      <c r="B1039" s="14"/>
      <c r="C1039" s="124" t="s">
        <v>1982</v>
      </c>
      <c r="D1039" s="126" t="s">
        <v>1983</v>
      </c>
      <c r="E1039" s="132" t="s">
        <v>1984</v>
      </c>
      <c r="F1039" s="132"/>
      <c r="G1039" s="126" t="s">
        <v>1987</v>
      </c>
      <c r="H1039" s="130" t="s">
        <v>1175</v>
      </c>
    </row>
    <row r="1040" spans="1:8" ht="21.95" customHeight="1">
      <c r="A1040" s="14"/>
      <c r="B1040" s="14"/>
      <c r="C1040" s="125"/>
      <c r="D1040" s="127"/>
      <c r="E1040" s="26" t="s">
        <v>1985</v>
      </c>
      <c r="F1040" s="26" t="s">
        <v>1986</v>
      </c>
      <c r="G1040" s="127"/>
      <c r="H1040" s="131"/>
    </row>
    <row r="1041" spans="1:8" ht="21.95" customHeight="1">
      <c r="A1041" s="14"/>
      <c r="B1041" s="14"/>
      <c r="C1041" s="16" t="s">
        <v>1165</v>
      </c>
      <c r="D1041" s="17">
        <f>VLOOKUP(A1038,'Neraca Unaudited SIMAK'!$A$2:$S$10004,3,FALSE)</f>
        <v>8452939</v>
      </c>
      <c r="E1041" s="25">
        <f>SUMIFS('Daftar Koreksi'!$H$5:$H$92,'Daftar Koreksi'!$D$5:$D$92,'1900'!A1038,'Daftar Koreksi'!$G$5:$G$92,"Persediaan",'Daftar Koreksi'!$H$5:$H$92,"&gt;0")</f>
        <v>0</v>
      </c>
      <c r="F1041" s="25">
        <f>SUMIFS('Daftar Koreksi'!$H$5:$H$92,'Daftar Koreksi'!$D$5:$D$92,'1900'!A1038,'Daftar Koreksi'!$G$5:$G$92,"Persediaan",'Daftar Koreksi'!$H$5:$H$92,"&lt;0")-SUMIFS('Daftar Koreksi'!$H$5:$H$92,'Daftar Koreksi'!$D$5:$D$92,'1900'!A1038,'Daftar Koreksi'!$G$5:$G$92,"Persediaan",'Daftar Koreksi'!$H$5:$H$92,"&lt;0")-SUMIFS('Daftar Koreksi'!$H$5:$H$92,'Daftar Koreksi'!$D$5:$D$92,'1900'!A1038,'Daftar Koreksi'!$G$5:$G$92,"Persediaan",'Daftar Koreksi'!$H$5:$H$92,"&lt;0")</f>
        <v>0</v>
      </c>
      <c r="G1041" s="17">
        <f>D1041+E1041-F1041</f>
        <v>8452939</v>
      </c>
      <c r="H1041" s="121" t="str">
        <f>IF(ISNA(VLOOKUP(A1038,'Mutasi Neraca'!$A$3:$S$914,19,FALSE)),"-",VLOOKUP(A1038,'Mutasi Neraca'!$A$3:$S$914,19,FALSE))</f>
        <v>-</v>
      </c>
    </row>
    <row r="1042" spans="1:8" ht="21.95" customHeight="1">
      <c r="A1042" s="14"/>
      <c r="B1042" s="14"/>
      <c r="C1042" s="16" t="s">
        <v>1166</v>
      </c>
      <c r="D1042" s="17">
        <f>VLOOKUP(A1038,'Neraca Unaudited SIMAK'!$A$2:$S$10004,4,FALSE)</f>
        <v>703478834</v>
      </c>
      <c r="E1042" s="25">
        <f>SUMIFS('Daftar Koreksi'!$H$5:$H$92,'Daftar Koreksi'!$D$5:$D$92,'1900'!A1038,'Daftar Koreksi'!$G$5:$G$92,"Tanah",'Daftar Koreksi'!$H$5:$H$92,"&gt;0")</f>
        <v>0</v>
      </c>
      <c r="F1042" s="25">
        <f>SUMIFS('Daftar Koreksi'!$H$5:$H$92,'Daftar Koreksi'!$D$5:$D$92,'1900'!A1038,'Daftar Koreksi'!$G$5:$G$92,"Tanah",'Daftar Koreksi'!$H$5:$H$92,"&lt;0")-SUMIFS('Daftar Koreksi'!$H$5:$H$92,'Daftar Koreksi'!$D$5:$D$92,'1900'!A1038,'Daftar Koreksi'!$G$5:$G$92,"Tanah",'Daftar Koreksi'!$H$5:$H$92,"&lt;0")-SUMIFS('Daftar Koreksi'!$H$5:$H$92,'Daftar Koreksi'!$D$5:$D$92,'1900'!A1038,'Daftar Koreksi'!$G$5:$G$92,"Tanah",'Daftar Koreksi'!$H$5:$H$92,"&lt;0")</f>
        <v>0</v>
      </c>
      <c r="G1042" s="17">
        <f t="shared" ref="G1042:G1058" si="47">D1042+E1042-F1042</f>
        <v>703478834</v>
      </c>
      <c r="H1042" s="122"/>
    </row>
    <row r="1043" spans="1:8" ht="21.95" customHeight="1">
      <c r="A1043" s="14"/>
      <c r="B1043" s="14"/>
      <c r="C1043" s="16" t="s">
        <v>1167</v>
      </c>
      <c r="D1043" s="17">
        <f>VLOOKUP(A1038,'Neraca Unaudited SIMAK'!$A$2:$S$10004,5,FALSE)</f>
        <v>1172726760</v>
      </c>
      <c r="E1043" s="25">
        <f>SUMIFS('Daftar Koreksi'!$H$5:$H$92,'Daftar Koreksi'!$D$5:$D$92,'1900'!A1038,'Daftar Koreksi'!$G$5:$G$92,"Peralatan dan mesin",'Daftar Koreksi'!$H$5:$H$92,"&gt;0")</f>
        <v>0</v>
      </c>
      <c r="F1043" s="25">
        <f>SUMIFS('Daftar Koreksi'!$H$5:$H$92,'Daftar Koreksi'!$D$5:$D$92,'1900'!A1038,'Daftar Koreksi'!$G$5:$G$92,"Peralatan dan mesin",'Daftar Koreksi'!$H$5:$H$92,"&lt;0")-SUMIFS('Daftar Koreksi'!$H$5:$H$92,'Daftar Koreksi'!$D$5:$D$92,'1900'!A1038,'Daftar Koreksi'!$G$5:$G$92,"Peralatan dan mesin",'Daftar Koreksi'!$H$5:$H$92,"&lt;0")-SUMIFS('Daftar Koreksi'!$H$5:$H$92,'Daftar Koreksi'!$D$5:$D$92,'1900'!A1038,'Daftar Koreksi'!$G$5:$G$92,"Peralatan dan mesin",'Daftar Koreksi'!$H$5:$H$92,"&lt;0")</f>
        <v>0</v>
      </c>
      <c r="G1043" s="17">
        <f t="shared" si="47"/>
        <v>1172726760</v>
      </c>
      <c r="H1043" s="122"/>
    </row>
    <row r="1044" spans="1:8" ht="21.95" customHeight="1">
      <c r="A1044" s="14"/>
      <c r="B1044" s="14"/>
      <c r="C1044" s="16" t="s">
        <v>1168</v>
      </c>
      <c r="D1044" s="17">
        <f>VLOOKUP(A1038,'Neraca Unaudited SIMAK'!$A$2:$S$10004,6,FALSE)</f>
        <v>6677377287</v>
      </c>
      <c r="E1044" s="25">
        <f>SUMIFS('Daftar Koreksi'!$H$5:$H$92,'Daftar Koreksi'!$D$5:$D$92,'1900'!A1038,'Daftar Koreksi'!$G$5:$G$92,"Gedung dan Bangunan",'Daftar Koreksi'!$H$5:$H$92,"&gt;0")</f>
        <v>0</v>
      </c>
      <c r="F1044" s="25">
        <f>SUMIFS('Daftar Koreksi'!$H$5:$H$92,'Daftar Koreksi'!$D$5:$D$92,'1900'!A1038,'Daftar Koreksi'!$G$5:$G$92,"Gedung dan Bangunan",'Daftar Koreksi'!$H$5:$H$92,"&lt;0")-SUMIFS('Daftar Koreksi'!$H$5:$H$92,'Daftar Koreksi'!$D$5:$D$92,'1900'!A1038,'Daftar Koreksi'!$G$5:$G$92,"Gedung dan Bangunan",'Daftar Koreksi'!$H$5:$H$92,"&lt;0")-SUMIFS('Daftar Koreksi'!$H$5:$H$92,'Daftar Koreksi'!$D$5:$D$92,'1900'!A1038,'Daftar Koreksi'!$G$5:$G$92,"Gedung dan Bangunan",'Daftar Koreksi'!$H$5:$H$92,"&lt;0")</f>
        <v>0</v>
      </c>
      <c r="G1044" s="17">
        <f t="shared" si="47"/>
        <v>6677377287</v>
      </c>
      <c r="H1044" s="122"/>
    </row>
    <row r="1045" spans="1:8" ht="21.95" customHeight="1">
      <c r="A1045" s="14"/>
      <c r="B1045" s="14"/>
      <c r="C1045" s="16" t="s">
        <v>1169</v>
      </c>
      <c r="D1045" s="17">
        <f>VLOOKUP(A1038,'Neraca Unaudited SIMAK'!$A$2:$S$10004,7,FALSE)</f>
        <v>91595924</v>
      </c>
      <c r="E1045" s="25">
        <f>SUMIFS('Daftar Koreksi'!$H$5:$H$92,'Daftar Koreksi'!$D$5:$D$92,'1900'!A1038,'Daftar Koreksi'!$G$5:$G$92,"Jalan Irigasi Jaringan",'Daftar Koreksi'!$H$5:$H$92,"&gt;0")</f>
        <v>0</v>
      </c>
      <c r="F1045" s="25">
        <f>SUMIFS('Daftar Koreksi'!$H$5:$H$92,'Daftar Koreksi'!$D$5:$D$92,'1900'!A1038,'Daftar Koreksi'!$G$5:$G$92,"Jalan Irigasi Jaringan",'Daftar Koreksi'!$H$5:$H$92,"&lt;0")-SUMIFS('Daftar Koreksi'!$H$5:$H$92,'Daftar Koreksi'!$D$5:$D$92,'1900'!A1038,'Daftar Koreksi'!$G$5:$G$92,"Jalan Irigasi Jaringan",'Daftar Koreksi'!$H$5:$H$92,"&lt;0")-SUMIFS('Daftar Koreksi'!$H$5:$H$92,'Daftar Koreksi'!$D$5:$D$92,'1900'!A1038,'Daftar Koreksi'!$G$5:$G$92,"Jalan Irigasi Jaringan",'Daftar Koreksi'!$H$5:$H$92,"&lt;0")</f>
        <v>0</v>
      </c>
      <c r="G1045" s="17">
        <f t="shared" si="47"/>
        <v>91595924</v>
      </c>
      <c r="H1045" s="122"/>
    </row>
    <row r="1046" spans="1:8" ht="21.95" customHeight="1">
      <c r="A1046" s="14"/>
      <c r="B1046" s="14"/>
      <c r="C1046" s="16" t="s">
        <v>1170</v>
      </c>
      <c r="D1046" s="17">
        <f>VLOOKUP(A1038,'Neraca Unaudited SIMAK'!$A$2:$S$10004,8,FALSE)</f>
        <v>0</v>
      </c>
      <c r="E1046" s="25">
        <f>SUMIFS('Daftar Koreksi'!$H$5:$H$92,'Daftar Koreksi'!$D$5:$D$92,'1900'!A1038,'Daftar Koreksi'!$G$5:$G$92,"Aset Tetap Lainnya",'Daftar Koreksi'!$H$5:$H$92,"&gt;0")</f>
        <v>0</v>
      </c>
      <c r="F1046" s="25">
        <f>SUMIFS('Daftar Koreksi'!$H$5:$H$92,'Daftar Koreksi'!$D$5:$D$92,'1900'!A1038,'Daftar Koreksi'!$G$5:$G$92,"Aset Tetap Lainnya",'Daftar Koreksi'!$H$5:$H$92,"&lt;0")-SUMIFS('Daftar Koreksi'!$H$5:$H$92,'Daftar Koreksi'!$D$5:$D$92,'1900'!A1038,'Daftar Koreksi'!$G$5:$G$92,"Aset Tetap Lainnya",'Daftar Koreksi'!$H$5:$H$92,"&lt;0")-SUMIFS('Daftar Koreksi'!$H$5:$H$92,'Daftar Koreksi'!$D$5:$D$92,'1900'!A1038,'Daftar Koreksi'!$G$5:$G$92,"Aset Tetap Lainnya",'Daftar Koreksi'!$H$5:$H$92,"&lt;0")</f>
        <v>0</v>
      </c>
      <c r="G1046" s="17">
        <f t="shared" si="47"/>
        <v>0</v>
      </c>
      <c r="H1046" s="122"/>
    </row>
    <row r="1047" spans="1:8" ht="21.95" customHeight="1">
      <c r="A1047" s="14"/>
      <c r="B1047" s="14"/>
      <c r="C1047" s="16" t="s">
        <v>1171</v>
      </c>
      <c r="D1047" s="17">
        <f>VLOOKUP(A1038,'Neraca Unaudited SIMAK'!$A$2:$S$10004,9,FALSE)</f>
        <v>537445000</v>
      </c>
      <c r="E1047" s="25">
        <f>SUMIFS('Daftar Koreksi'!$H$5:$H$92,'Daftar Koreksi'!$D$5:$D$92,'1900'!A1038,'Daftar Koreksi'!$G$5:$G$92,"Kontruksi Dalam Pengerjaan",'Daftar Koreksi'!$H$5:$H$92,"&gt;0")</f>
        <v>0</v>
      </c>
      <c r="F1047" s="25">
        <f>SUMIFS('Daftar Koreksi'!$H$5:$H$92,'Daftar Koreksi'!$D$5:$D$92,'1900'!A1038,'Daftar Koreksi'!$G$5:$G$92,"Kontruksi Dalam Pengerjaan",'Daftar Koreksi'!$H$5:$H$92,"&lt;0")-SUMIFS('Daftar Koreksi'!$H$5:$H$92,'Daftar Koreksi'!$D$5:$D$92,'1900'!A1038,'Daftar Koreksi'!$G$5:$G$92,"Kontruksi Dalam Pengerjaan",'Daftar Koreksi'!$H$5:$H$92,"&lt;0")-SUMIFS('Daftar Koreksi'!$H$5:$H$92,'Daftar Koreksi'!$D$5:$D$92,'1900'!A1038,'Daftar Koreksi'!$G$5:$G$92,"Kontruksi Dalam Pengerjaan",'Daftar Koreksi'!$H$5:$H$92,"&lt;0")</f>
        <v>0</v>
      </c>
      <c r="G1047" s="17">
        <f t="shared" si="47"/>
        <v>537445000</v>
      </c>
      <c r="H1047" s="122"/>
    </row>
    <row r="1048" spans="1:8" ht="21.95" customHeight="1">
      <c r="A1048" s="14"/>
      <c r="B1048" s="14"/>
      <c r="C1048" s="16" t="s">
        <v>1172</v>
      </c>
      <c r="D1048" s="17">
        <f>VLOOKUP(A1038,'Neraca Unaudited SIMAK'!$A$2:$S$10004,10,FALSE)</f>
        <v>0</v>
      </c>
      <c r="E1048" s="25">
        <f>SUMIFS('Daftar Koreksi'!$H$5:$H$92,'Daftar Koreksi'!$D$5:$D$92,'1900'!A1038,'Daftar Koreksi'!$G$5:$G$92,"Aset Tak Berwujud",'Daftar Koreksi'!$H$5:$H$92,"&gt;0")</f>
        <v>0</v>
      </c>
      <c r="F1048" s="25">
        <f>SUMIFS('Daftar Koreksi'!$H$5:$H$92,'Daftar Koreksi'!$D$5:$D$92,'1900'!A1038,'Daftar Koreksi'!$G$5:$G$92,"Aset Tak Berwujud",'Daftar Koreksi'!$H$5:$H$92,"&lt;0")-SUMIFS('Daftar Koreksi'!$H$5:$H$92,'Daftar Koreksi'!$D$5:$D$92,'1900'!A1038,'Daftar Koreksi'!$G$5:$G$92,"Aset Tak Berwujud",'Daftar Koreksi'!$H$5:$H$92,"&lt;0")-SUMIFS('Daftar Koreksi'!$H$5:$H$92,'Daftar Koreksi'!$D$5:$D$92,'1900'!A1038,'Daftar Koreksi'!$G$5:$G$92,"Aset Tak Berwujud",'Daftar Koreksi'!$H$5:$H$92,"&lt;0")</f>
        <v>0</v>
      </c>
      <c r="G1048" s="17">
        <f t="shared" si="47"/>
        <v>0</v>
      </c>
      <c r="H1048" s="122"/>
    </row>
    <row r="1049" spans="1:8" ht="21.95" customHeight="1">
      <c r="A1049" s="14"/>
      <c r="B1049" s="14"/>
      <c r="C1049" s="16" t="s">
        <v>1173</v>
      </c>
      <c r="D1049" s="17">
        <f>VLOOKUP(A1038,'Neraca Unaudited SIMAK'!$A$2:$S$10004,11,FALSE)</f>
        <v>0</v>
      </c>
      <c r="E1049" s="25">
        <f>SUMIFS('Daftar Koreksi'!$H$5:$H$92,'Daftar Koreksi'!$D$5:$D$92,'1900'!A1038,'Daftar Koreksi'!$G$5:$G$92,"Aset Henti Guna",'Daftar Koreksi'!$H$5:$H$92,"&gt;0")</f>
        <v>0</v>
      </c>
      <c r="F1049" s="25">
        <f>SUMIFS('Daftar Koreksi'!$H$5:$H$92,'Daftar Koreksi'!$D$5:$D$92,'1900'!A1038,'Daftar Koreksi'!$G$5:$G$92,"Aset Henti Guna",'Daftar Koreksi'!$H$5:$H$92,"&lt;0")-SUMIFS('Daftar Koreksi'!$H$5:$H$92,'Daftar Koreksi'!$D$5:$D$92,'1900'!A1038,'Daftar Koreksi'!$G$5:$G$92,"Aset Henti Guna",'Daftar Koreksi'!$H$5:$H$92,"&lt;0")-SUMIFS('Daftar Koreksi'!$H$5:$H$92,'Daftar Koreksi'!$D$5:$D$92,'1900'!A1038,'Daftar Koreksi'!$G$5:$G$92,"Aset Henti Guna",'Daftar Koreksi'!$H$5:$H$92,"&lt;0")</f>
        <v>0</v>
      </c>
      <c r="G1049" s="17">
        <f t="shared" si="47"/>
        <v>0</v>
      </c>
      <c r="H1049" s="122"/>
    </row>
    <row r="1050" spans="1:8" ht="21.95" customHeight="1">
      <c r="A1050" s="14"/>
      <c r="B1050" s="14"/>
      <c r="C1050" s="18" t="s">
        <v>2093</v>
      </c>
      <c r="D1050" s="19">
        <f>VLOOKUP(A1038,'Neraca Unaudited SIMAK'!$A$2:$S$10004,12,FALSE)</f>
        <v>9191076744</v>
      </c>
      <c r="E1050" s="19">
        <f>SUM(E1041:E1049)</f>
        <v>0</v>
      </c>
      <c r="F1050" s="19">
        <f>SUM(F1041:F1049)</f>
        <v>0</v>
      </c>
      <c r="G1050" s="19">
        <f t="shared" si="47"/>
        <v>9191076744</v>
      </c>
      <c r="H1050" s="122"/>
    </row>
    <row r="1051" spans="1:8" ht="21.95" customHeight="1">
      <c r="A1051" s="14"/>
      <c r="B1051" s="14"/>
      <c r="C1051" s="16" t="s">
        <v>2087</v>
      </c>
      <c r="D1051" s="17">
        <f>VLOOKUP(A1038,'Neraca Unaudited SIMAK'!$A$2:$S$10004,13,FALSE)</f>
        <v>-703468041</v>
      </c>
      <c r="E1051" s="25">
        <f>SUMIFS('Daftar Koreksi'!$I$5:$I$92,'Daftar Koreksi'!$D$5:$D$92,'1900'!A1038,'Daftar Koreksi'!$G$5:$G$92,"Peralatan dan mesin",'Daftar Koreksi'!$I$5:$I$92,"&gt;0")</f>
        <v>0</v>
      </c>
      <c r="F1051" s="25">
        <f>SUMIFS('Daftar Koreksi'!$I$5:$I$92,'Daftar Koreksi'!$D$5:$D$92,'1900'!A1038,'Daftar Koreksi'!$G$5:$G$92,"Peralatan dan mesin",'Daftar Koreksi'!$I$5:$I$92,"&lt;0")-SUMIFS('Daftar Koreksi'!$I$5:$I$92,'Daftar Koreksi'!$D$5:$D$92,'1900'!A1038,'Daftar Koreksi'!$G$5:$G$92,"Peralatan dan mesin",'Daftar Koreksi'!$I$5:$I$92,"&lt;0")-SUMIFS('Daftar Koreksi'!$I$5:$I$92,'Daftar Koreksi'!$D$5:$D$92,'1900'!A1038,'Daftar Koreksi'!$G$5:$G$92,"Peralatan dan mesin",'Daftar Koreksi'!$I$5:$I$92,"&lt;0")</f>
        <v>0</v>
      </c>
      <c r="G1051" s="17">
        <f t="shared" si="47"/>
        <v>-703468041</v>
      </c>
      <c r="H1051" s="122"/>
    </row>
    <row r="1052" spans="1:8" ht="21.95" customHeight="1">
      <c r="A1052" s="14"/>
      <c r="B1052" s="14"/>
      <c r="C1052" s="16" t="s">
        <v>2088</v>
      </c>
      <c r="D1052" s="17">
        <f>VLOOKUP(A1038,'Neraca Unaudited SIMAK'!$A$2:$S$10004,14,FALSE)</f>
        <v>-657012692</v>
      </c>
      <c r="E1052" s="25">
        <f>SUMIFS('Daftar Koreksi'!$I$5:$I$92,'Daftar Koreksi'!$D$5:$D$92,'1900'!A1038,'Daftar Koreksi'!$G$5:$G$92,"Gedung dan Bangunan",'Daftar Koreksi'!$I$5:$I$92,"&gt;0")</f>
        <v>0</v>
      </c>
      <c r="F1052" s="25">
        <f>SUMIFS('Daftar Koreksi'!$I$5:$I$92,'Daftar Koreksi'!$D$5:$D$92,'1900'!A1038,'Daftar Koreksi'!$G$5:$G$92,"Gedung dan Bangunan",'Daftar Koreksi'!$I$5:$I$92,"&lt;0")-SUMIFS('Daftar Koreksi'!$I$5:$I$92,'Daftar Koreksi'!$D$5:$D$92,'1900'!A1038,'Daftar Koreksi'!$G$5:$G$92,"Gedung dan Bangunan",'Daftar Koreksi'!$I$5:$I$92,"&lt;0")-SUMIFS('Daftar Koreksi'!$I$5:$I$92,'Daftar Koreksi'!$D$5:$D$92,'1900'!A1038,'Daftar Koreksi'!$G$5:$G$92,"Gedung dan Bangunan",'Daftar Koreksi'!$I$5:$I$92,"&lt;0")</f>
        <v>0</v>
      </c>
      <c r="G1052" s="17">
        <f t="shared" si="47"/>
        <v>-657012692</v>
      </c>
      <c r="H1052" s="122"/>
    </row>
    <row r="1053" spans="1:8" ht="21.95" customHeight="1">
      <c r="A1053" s="14"/>
      <c r="B1053" s="14"/>
      <c r="C1053" s="16" t="s">
        <v>2089</v>
      </c>
      <c r="D1053" s="17">
        <f>VLOOKUP(A1038,'Neraca Unaudited SIMAK'!$A$2:$S$10004,15,FALSE)</f>
        <v>-7826536</v>
      </c>
      <c r="E1053" s="25">
        <f>SUMIFS('Daftar Koreksi'!$I$5:$I$92,'Daftar Koreksi'!$D$5:$D$92,'1900'!A1038,'Daftar Koreksi'!$G$5:$G$92,"Jalan Irigasi Jaringan",'Daftar Koreksi'!$I$5:$I$92,"&gt;0")</f>
        <v>0</v>
      </c>
      <c r="F1053" s="25">
        <f>SUMIFS('Daftar Koreksi'!$I$5:$I$92,'Daftar Koreksi'!$D$5:$D$92,'1900'!A1038,'Daftar Koreksi'!$G$5:$G$92,"Jalan Irigasi Jaringan",'Daftar Koreksi'!$I$5:$I$92,"&lt;0")-SUMIFS('Daftar Koreksi'!$I$5:$I$92,'Daftar Koreksi'!$D$5:$D$92,'1900'!A1038,'Daftar Koreksi'!$G$5:$G$92,"Jalan Irigasi Jaringan",'Daftar Koreksi'!$I$5:$I$92,"&lt;0")-SUMIFS('Daftar Koreksi'!$I$5:$I$92,'Daftar Koreksi'!$D$5:$D$92,'1900'!A1038,'Daftar Koreksi'!$G$5:$G$92,"Jalan Irigasi Jaringan",'Daftar Koreksi'!$I$5:$I$92,"&lt;0")</f>
        <v>0</v>
      </c>
      <c r="G1053" s="17">
        <f t="shared" si="47"/>
        <v>-7826536</v>
      </c>
      <c r="H1053" s="122"/>
    </row>
    <row r="1054" spans="1:8" ht="21.95" customHeight="1">
      <c r="A1054" s="14"/>
      <c r="B1054" s="14"/>
      <c r="C1054" s="16" t="s">
        <v>2090</v>
      </c>
      <c r="D1054" s="17">
        <f>VLOOKUP(A1038,'Neraca Unaudited SIMAK'!$A$2:$S$10004,16,FALSE)</f>
        <v>0</v>
      </c>
      <c r="E1054" s="25">
        <f>SUMIFS('Daftar Koreksi'!$I$5:$I$92,'Daftar Koreksi'!$D$5:$D$92,'1900'!A1038,'Daftar Koreksi'!$G$5:$G$92,"Aset Tetap Lainnya",'Daftar Koreksi'!$I$5:$I$92,"&gt;0")</f>
        <v>0</v>
      </c>
      <c r="F1054" s="25">
        <f>SUMIFS('Daftar Koreksi'!$I$5:$I$92,'Daftar Koreksi'!$D$5:$D$92,'1900'!A1038,'Daftar Koreksi'!$G$5:$G$92,"Aset Tetap Lainnya",'Daftar Koreksi'!$I$5:$I$92,"&lt;0")-SUMIFS('Daftar Koreksi'!$I$5:$I$92,'Daftar Koreksi'!$D$5:$D$92,'1900'!A1038,'Daftar Koreksi'!$G$5:$G$92,"Aset Tetap Lainnya",'Daftar Koreksi'!$I$5:$I$92,"&lt;0")-SUMIFS('Daftar Koreksi'!$I$5:$I$92,'Daftar Koreksi'!$D$5:$D$92,'1900'!A1038,'Daftar Koreksi'!$G$5:$G$92,"Aset Tetap Lainnya",'Daftar Koreksi'!$I$5:$I$92,"&lt;0")</f>
        <v>0</v>
      </c>
      <c r="G1054" s="17">
        <f t="shared" si="47"/>
        <v>0</v>
      </c>
      <c r="H1054" s="122"/>
    </row>
    <row r="1055" spans="1:8" ht="21.95" customHeight="1">
      <c r="A1055" s="14"/>
      <c r="B1055" s="14"/>
      <c r="C1055" s="16" t="s">
        <v>2020</v>
      </c>
      <c r="D1055" s="17">
        <f>VLOOKUP(A1038,'Neraca Unaudited SIMAK'!$A$2:$S$10004,17,FALSE)</f>
        <v>0</v>
      </c>
      <c r="E1055" s="25">
        <f>SUMIFS('Daftar Koreksi'!$I$5:$I$92,'Daftar Koreksi'!$D$5:$D$92,'1900'!A1038,'Daftar Koreksi'!$G$5:$G$92,"Aset Henti Guna",'Daftar Koreksi'!$I$5:$I$92,"&gt;0")</f>
        <v>0</v>
      </c>
      <c r="F1055" s="25">
        <f>SUMIFS('Daftar Koreksi'!$I$5:$I$92,'Daftar Koreksi'!$D$5:$D$92,'1900'!A1038,'Daftar Koreksi'!$G$5:$G$92,"Aset Henti Guna",'Daftar Koreksi'!$I$5:$I$92,"&lt;0")-SUMIFS('Daftar Koreksi'!$I$5:$I$92,'Daftar Koreksi'!$D$5:$D$92,'1900'!A1038,'Daftar Koreksi'!$G$5:$G$92,"Aset Henti Guna",'Daftar Koreksi'!$I$5:$I$92,"&lt;0")-SUMIFS('Daftar Koreksi'!$I$5:$I$92,'Daftar Koreksi'!$D$5:$D$92,'1900'!A1038,'Daftar Koreksi'!$G$5:$G$92,"Aset Henti Guna",'Daftar Koreksi'!$I$5:$I$92,"&lt;0")</f>
        <v>0</v>
      </c>
      <c r="G1055" s="17">
        <f t="shared" si="47"/>
        <v>0</v>
      </c>
      <c r="H1055" s="122"/>
    </row>
    <row r="1056" spans="1:8" ht="21.95" customHeight="1">
      <c r="A1056" s="14"/>
      <c r="B1056" s="14"/>
      <c r="C1056" s="18" t="s">
        <v>2094</v>
      </c>
      <c r="D1056" s="19">
        <f>SUM(D1051:D1055)</f>
        <v>-1368307269</v>
      </c>
      <c r="E1056" s="19">
        <f>SUM(E1051:E1055)</f>
        <v>0</v>
      </c>
      <c r="F1056" s="19">
        <f>SUM(F1051:F1055)</f>
        <v>0</v>
      </c>
      <c r="G1056" s="19">
        <f t="shared" si="47"/>
        <v>-1368307269</v>
      </c>
      <c r="H1056" s="122"/>
    </row>
    <row r="1057" spans="1:8" ht="21.95" customHeight="1">
      <c r="A1057" s="14"/>
      <c r="B1057" s="14"/>
      <c r="C1057" s="18" t="s">
        <v>2095</v>
      </c>
      <c r="D1057" s="19">
        <f>VLOOKUP(A1038,'Neraca Unaudited SIMAK'!$A$2:$S$10004,18,FALSE)</f>
        <v>7822769475</v>
      </c>
      <c r="E1057" s="19">
        <f>E1056+E1050</f>
        <v>0</v>
      </c>
      <c r="F1057" s="19">
        <f>F1056+F1050</f>
        <v>0</v>
      </c>
      <c r="G1057" s="19">
        <f t="shared" si="47"/>
        <v>7822769475</v>
      </c>
      <c r="H1057" s="122"/>
    </row>
    <row r="1058" spans="1:8" ht="21.95" customHeight="1">
      <c r="A1058" s="14"/>
      <c r="B1058" s="14"/>
      <c r="C1058" s="16" t="s">
        <v>2091</v>
      </c>
      <c r="D1058" s="17">
        <f>VLOOKUP(A1038,'Neraca Unaudited SIMAK'!$A$2:$S$10004,19,FALSE)</f>
        <v>0</v>
      </c>
      <c r="E1058" s="25"/>
      <c r="F1058" s="25"/>
      <c r="G1058" s="17">
        <f t="shared" si="47"/>
        <v>0</v>
      </c>
      <c r="H1058" s="123"/>
    </row>
  </sheetData>
  <mergeCells count="288">
    <mergeCell ref="H909:H926"/>
    <mergeCell ref="H931:H948"/>
    <mergeCell ref="H953:H970"/>
    <mergeCell ref="H975:H992"/>
    <mergeCell ref="H997:H1014"/>
    <mergeCell ref="H1019:H1036"/>
    <mergeCell ref="H1041:H1058"/>
    <mergeCell ref="H689:H706"/>
    <mergeCell ref="H711:H728"/>
    <mergeCell ref="H733:H750"/>
    <mergeCell ref="H755:H772"/>
    <mergeCell ref="H777:H794"/>
    <mergeCell ref="H799:H816"/>
    <mergeCell ref="H821:H838"/>
    <mergeCell ref="H843:H860"/>
    <mergeCell ref="H865:H882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1017:C1018"/>
    <mergeCell ref="D1017:D1018"/>
    <mergeCell ref="E1017:F1017"/>
    <mergeCell ref="G1017:G1018"/>
    <mergeCell ref="H1017:H1018"/>
    <mergeCell ref="C1039:C1040"/>
    <mergeCell ref="D1039:D1040"/>
    <mergeCell ref="E1039:F1039"/>
    <mergeCell ref="G1039:G1040"/>
    <mergeCell ref="H1039:H1040"/>
    <mergeCell ref="C973:C974"/>
    <mergeCell ref="D973:D974"/>
    <mergeCell ref="E973:F973"/>
    <mergeCell ref="G973:G974"/>
    <mergeCell ref="H973:H974"/>
    <mergeCell ref="C995:C996"/>
    <mergeCell ref="D995:D996"/>
    <mergeCell ref="E995:F995"/>
    <mergeCell ref="G995:G996"/>
    <mergeCell ref="H995:H996"/>
    <mergeCell ref="C929:C930"/>
    <mergeCell ref="D929:D930"/>
    <mergeCell ref="E929:F929"/>
    <mergeCell ref="G929:G930"/>
    <mergeCell ref="H929:H930"/>
    <mergeCell ref="C951:C952"/>
    <mergeCell ref="D951:D952"/>
    <mergeCell ref="E951:F951"/>
    <mergeCell ref="G951:G952"/>
    <mergeCell ref="H951:H952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H887:H904"/>
    <mergeCell ref="C841:C842"/>
    <mergeCell ref="D841:D842"/>
    <mergeCell ref="E841:F841"/>
    <mergeCell ref="G841:G842"/>
    <mergeCell ref="H841:H842"/>
    <mergeCell ref="C863:C864"/>
    <mergeCell ref="D863:D864"/>
    <mergeCell ref="E863:F863"/>
    <mergeCell ref="G863:G864"/>
    <mergeCell ref="H863:H864"/>
    <mergeCell ref="C797:C798"/>
    <mergeCell ref="D797:D798"/>
    <mergeCell ref="E797:F797"/>
    <mergeCell ref="G797:G798"/>
    <mergeCell ref="H797:H798"/>
    <mergeCell ref="C819:C820"/>
    <mergeCell ref="D819:D820"/>
    <mergeCell ref="E819:F819"/>
    <mergeCell ref="G819:G820"/>
    <mergeCell ref="H819:H820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22" manualBreakCount="22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  <brk id="927" max="7" man="1"/>
    <brk id="971" max="7" man="1"/>
    <brk id="1015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P376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3.2851562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631</v>
      </c>
      <c r="P1" s="8" t="s">
        <v>1769</v>
      </c>
    </row>
    <row r="2" spans="1:16" ht="19.5" customHeight="1">
      <c r="C2" s="9" t="s">
        <v>2116</v>
      </c>
      <c r="O2" s="8" t="s">
        <v>632</v>
      </c>
      <c r="P2" s="8" t="s">
        <v>1770</v>
      </c>
    </row>
    <row r="3" spans="1:16" ht="19.5" customHeight="1">
      <c r="O3" s="8" t="s">
        <v>633</v>
      </c>
      <c r="P3" s="8" t="s">
        <v>1771</v>
      </c>
    </row>
    <row r="4" spans="1:16" ht="19.5" customHeight="1">
      <c r="A4" s="11" t="str">
        <f>O1</f>
        <v>005012000099659000KD</v>
      </c>
      <c r="B4" s="11" t="str">
        <f>P1</f>
        <v>PN. Kendari</v>
      </c>
      <c r="C4" s="12" t="str">
        <f>A4&amp;" "&amp;B4</f>
        <v>005012000099659000KD PN. Kendari</v>
      </c>
      <c r="D4" s="13"/>
      <c r="E4" s="13"/>
      <c r="F4" s="13"/>
      <c r="G4" s="13"/>
      <c r="H4" s="11"/>
      <c r="O4" s="8" t="s">
        <v>634</v>
      </c>
      <c r="P4" s="8" t="s">
        <v>1772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635</v>
      </c>
      <c r="P5" s="8" t="s">
        <v>1773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636</v>
      </c>
      <c r="P6" s="8" t="s">
        <v>1774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6970900</v>
      </c>
      <c r="E7" s="25">
        <f>SUMIFS('Daftar Koreksi'!$H$5:$H$92,'Daftar Koreksi'!$D$5:$D$92,'2000'!A4,'Daftar Koreksi'!$G$5:$G$92,"Persediaan",'Daftar Koreksi'!$H$5:$H$92,"&gt;0")</f>
        <v>0</v>
      </c>
      <c r="F7" s="25">
        <f>SUMIFS('Daftar Koreksi'!$H$5:$H$92,'Daftar Koreksi'!$D$5:$D$92,'2000'!A4,'Daftar Koreksi'!$G$5:$G$92,"Persediaan",'Daftar Koreksi'!$H$5:$H$92,"&lt;0")-SUMIFS('Daftar Koreksi'!$H$5:$H$92,'Daftar Koreksi'!$D$5:$D$92,'2000'!A4,'Daftar Koreksi'!$G$5:$G$92,"Persediaan",'Daftar Koreksi'!$H$5:$H$92,"&lt;0")-SUMIFS('Daftar Koreksi'!$H$5:$H$92,'Daftar Koreksi'!$D$5:$D$92,'2000'!A4,'Daftar Koreksi'!$G$5:$G$92,"Persediaan",'Daftar Koreksi'!$H$5:$H$92,"&lt;0")</f>
        <v>0</v>
      </c>
      <c r="G7" s="17">
        <f>D7+E7-F7</f>
        <v>6970900</v>
      </c>
      <c r="H7" s="121" t="str">
        <f>IF(ISNA(VLOOKUP(A4,'Mutasi Neraca'!$A$3:$S$914,19,FALSE)),"-",VLOOKUP(A4,'Mutasi Neraca'!$A$3:$S$914,19,FALSE))</f>
        <v>-</v>
      </c>
      <c r="O7" s="8" t="s">
        <v>637</v>
      </c>
      <c r="P7" s="8" t="s">
        <v>1775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7144860188</v>
      </c>
      <c r="E8" s="25">
        <f>SUMIFS('Daftar Koreksi'!$H$5:$H$92,'Daftar Koreksi'!$D$5:$D$92,'2000'!A4,'Daftar Koreksi'!$G$5:$G$92,"Tanah",'Daftar Koreksi'!$H$5:$H$92,"&gt;0")</f>
        <v>0</v>
      </c>
      <c r="F8" s="25">
        <f>SUMIFS('Daftar Koreksi'!$H$5:$H$92,'Daftar Koreksi'!$D$5:$D$92,'2000'!A4,'Daftar Koreksi'!$G$5:$G$92,"Tanah",'Daftar Koreksi'!$H$5:$H$92,"&lt;0")-SUMIFS('Daftar Koreksi'!$H$5:$H$92,'Daftar Koreksi'!$D$5:$D$92,'2000'!A4,'Daftar Koreksi'!$G$5:$G$92,"Tanah",'Daftar Koreksi'!$H$5:$H$92,"&lt;0")-SUMIFS('Daftar Koreksi'!$H$5:$H$92,'Daftar Koreksi'!$D$5:$D$92,'2000'!A4,'Daftar Koreksi'!$G$5:$G$92,"Tanah",'Daftar Koreksi'!$H$5:$H$92,"&lt;0")</f>
        <v>0</v>
      </c>
      <c r="G8" s="17">
        <f t="shared" ref="G8:G24" si="0">D8+E8-F8</f>
        <v>7144860188</v>
      </c>
      <c r="H8" s="122"/>
      <c r="O8" s="8" t="s">
        <v>638</v>
      </c>
      <c r="P8" s="8" t="s">
        <v>1776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2779240907</v>
      </c>
      <c r="E9" s="25">
        <f>SUMIFS('Daftar Koreksi'!$H$5:$H$92,'Daftar Koreksi'!$D$5:$D$92,'2000'!A4,'Daftar Koreksi'!$G$5:$G$92,"Peralatan dan mesin",'Daftar Koreksi'!$H$5:$H$92,"&gt;0")</f>
        <v>0</v>
      </c>
      <c r="F9" s="25">
        <f>SUMIFS('Daftar Koreksi'!$H$5:$H$92,'Daftar Koreksi'!$D$5:$D$92,'2000'!A4,'Daftar Koreksi'!$G$5:$G$92,"Peralatan dan mesin",'Daftar Koreksi'!$H$5:$H$92,"&lt;0")-SUMIFS('Daftar Koreksi'!$H$5:$H$92,'Daftar Koreksi'!$D$5:$D$92,'2000'!A4,'Daftar Koreksi'!$G$5:$G$92,"Peralatan dan mesin",'Daftar Koreksi'!$H$5:$H$92,"&lt;0")-SUMIFS('Daftar Koreksi'!$H$5:$H$92,'Daftar Koreksi'!$D$5:$D$92,'2000'!A4,'Daftar Koreksi'!$G$5:$G$92,"Peralatan dan mesin",'Daftar Koreksi'!$H$5:$H$92,"&lt;0")</f>
        <v>0</v>
      </c>
      <c r="G9" s="17">
        <f t="shared" si="0"/>
        <v>2779240907</v>
      </c>
      <c r="H9" s="122"/>
      <c r="O9" s="8" t="s">
        <v>639</v>
      </c>
      <c r="P9" s="8" t="s">
        <v>1777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8924343321</v>
      </c>
      <c r="E10" s="25">
        <f>SUMIFS('Daftar Koreksi'!$H$5:$H$92,'Daftar Koreksi'!$D$5:$D$92,'2000'!A4,'Daftar Koreksi'!$G$5:$G$92,"Gedung dan Bangunan",'Daftar Koreksi'!$H$5:$H$92,"&gt;0")</f>
        <v>0</v>
      </c>
      <c r="F10" s="25">
        <f>SUMIFS('Daftar Koreksi'!$H$5:$H$92,'Daftar Koreksi'!$D$5:$D$92,'2000'!A4,'Daftar Koreksi'!$G$5:$G$92,"Gedung dan Bangunan",'Daftar Koreksi'!$H$5:$H$92,"&lt;0")-SUMIFS('Daftar Koreksi'!$H$5:$H$92,'Daftar Koreksi'!$D$5:$D$92,'2000'!A4,'Daftar Koreksi'!$G$5:$G$92,"Gedung dan Bangunan",'Daftar Koreksi'!$H$5:$H$92,"&lt;0")-SUMIFS('Daftar Koreksi'!$H$5:$H$92,'Daftar Koreksi'!$D$5:$D$92,'2000'!A4,'Daftar Koreksi'!$G$5:$G$92,"Gedung dan Bangunan",'Daftar Koreksi'!$H$5:$H$92,"&lt;0")</f>
        <v>0</v>
      </c>
      <c r="G10" s="17">
        <f t="shared" si="0"/>
        <v>8924343321</v>
      </c>
      <c r="H10" s="122"/>
      <c r="O10" s="8" t="s">
        <v>640</v>
      </c>
      <c r="P10" s="8" t="s">
        <v>1778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681106358</v>
      </c>
      <c r="E11" s="25">
        <f>SUMIFS('Daftar Koreksi'!$H$5:$H$92,'Daftar Koreksi'!$D$5:$D$92,'2000'!A4,'Daftar Koreksi'!$G$5:$G$92,"Jalan Irigasi Jaringan",'Daftar Koreksi'!$H$5:$H$92,"&gt;0")</f>
        <v>0</v>
      </c>
      <c r="F11" s="25">
        <f>SUMIFS('Daftar Koreksi'!$H$5:$H$92,'Daftar Koreksi'!$D$5:$D$92,'2000'!A4,'Daftar Koreksi'!$G$5:$G$92,"Jalan Irigasi Jaringan",'Daftar Koreksi'!$H$5:$H$92,"&lt;0")-SUMIFS('Daftar Koreksi'!$H$5:$H$92,'Daftar Koreksi'!$D$5:$D$92,'2000'!A4,'Daftar Koreksi'!$G$5:$G$92,"Jalan Irigasi Jaringan",'Daftar Koreksi'!$H$5:$H$92,"&lt;0")-SUMIFS('Daftar Koreksi'!$H$5:$H$92,'Daftar Koreksi'!$D$5:$D$92,'2000'!A4,'Daftar Koreksi'!$G$5:$G$92,"Jalan Irigasi Jaringan",'Daftar Koreksi'!$H$5:$H$92,"&lt;0")</f>
        <v>0</v>
      </c>
      <c r="G11" s="17">
        <f t="shared" si="0"/>
        <v>681106358</v>
      </c>
      <c r="H11" s="122"/>
      <c r="O11" s="8" t="s">
        <v>641</v>
      </c>
      <c r="P11" s="8" t="s">
        <v>1779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4964210</v>
      </c>
      <c r="E12" s="25">
        <f>SUMIFS('Daftar Koreksi'!$H$5:$H$92,'Daftar Koreksi'!$D$5:$D$92,'2000'!A4,'Daftar Koreksi'!$G$5:$G$92,"Aset Tetap Lainnya",'Daftar Koreksi'!$H$5:$H$92,"&gt;0")</f>
        <v>0</v>
      </c>
      <c r="F12" s="25">
        <f>SUMIFS('Daftar Koreksi'!$H$5:$H$92,'Daftar Koreksi'!$D$5:$D$92,'2000'!A4,'Daftar Koreksi'!$G$5:$G$92,"Aset Tetap Lainnya",'Daftar Koreksi'!$H$5:$H$92,"&lt;0")-SUMIFS('Daftar Koreksi'!$H$5:$H$92,'Daftar Koreksi'!$D$5:$D$92,'2000'!A4,'Daftar Koreksi'!$G$5:$G$92,"Aset Tetap Lainnya",'Daftar Koreksi'!$H$5:$H$92,"&lt;0")-SUMIFS('Daftar Koreksi'!$H$5:$H$92,'Daftar Koreksi'!$D$5:$D$92,'2000'!A4,'Daftar Koreksi'!$G$5:$G$92,"Aset Tetap Lainnya",'Daftar Koreksi'!$H$5:$H$92,"&lt;0")</f>
        <v>0</v>
      </c>
      <c r="G12" s="17">
        <f t="shared" si="0"/>
        <v>4964210</v>
      </c>
      <c r="H12" s="122"/>
      <c r="O12" s="8" t="s">
        <v>642</v>
      </c>
      <c r="P12" s="8" t="s">
        <v>1780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Koreksi'!$D$5:$D$92,'2000'!A4,'Daftar Koreksi'!$G$5:$G$92,"Kontruksi Dalam Pengerjaan",'Daftar Koreksi'!$H$5:$H$92,"&gt;0")</f>
        <v>0</v>
      </c>
      <c r="F13" s="25">
        <f>SUMIFS('Daftar Koreksi'!$H$5:$H$92,'Daftar Koreksi'!$D$5:$D$92,'2000'!A4,'Daftar Koreksi'!$G$5:$G$92,"Kontruksi Dalam Pengerjaan",'Daftar Koreksi'!$H$5:$H$92,"&lt;0")-SUMIFS('Daftar Koreksi'!$H$5:$H$92,'Daftar Koreksi'!$D$5:$D$92,'2000'!A4,'Daftar Koreksi'!$G$5:$G$92,"Kontruksi Dalam Pengerjaan",'Daftar Koreksi'!$H$5:$H$92,"&lt;0")-SUMIFS('Daftar Koreksi'!$H$5:$H$92,'Daftar Koreksi'!$D$5:$D$92,'2000'!A4,'Daftar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643</v>
      </c>
      <c r="P13" s="8" t="s">
        <v>1781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15400000</v>
      </c>
      <c r="E14" s="25">
        <f>SUMIFS('Daftar Koreksi'!$H$5:$H$92,'Daftar Koreksi'!$D$5:$D$92,'2000'!A4,'Daftar Koreksi'!$G$5:$G$92,"Aset Tak Berwujud",'Daftar Koreksi'!$H$5:$H$92,"&gt;0")</f>
        <v>0</v>
      </c>
      <c r="F14" s="25">
        <f>SUMIFS('Daftar Koreksi'!$H$5:$H$92,'Daftar Koreksi'!$D$5:$D$92,'2000'!A4,'Daftar Koreksi'!$G$5:$G$92,"Aset Tak Berwujud",'Daftar Koreksi'!$H$5:$H$92,"&lt;0")-SUMIFS('Daftar Koreksi'!$H$5:$H$92,'Daftar Koreksi'!$D$5:$D$92,'2000'!A4,'Daftar Koreksi'!$G$5:$G$92,"Aset Tak Berwujud",'Daftar Koreksi'!$H$5:$H$92,"&lt;0")-SUMIFS('Daftar Koreksi'!$H$5:$H$92,'Daftar Koreksi'!$D$5:$D$92,'2000'!A4,'Daftar Koreksi'!$G$5:$G$92,"Aset Tak Berwujud",'Daftar Koreksi'!$H$5:$H$92,"&lt;0")</f>
        <v>0</v>
      </c>
      <c r="G14" s="17">
        <f t="shared" si="0"/>
        <v>15400000</v>
      </c>
      <c r="H14" s="122"/>
      <c r="O14" s="8" t="s">
        <v>644</v>
      </c>
      <c r="P14" s="8" t="s">
        <v>1782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203387030</v>
      </c>
      <c r="E15" s="25">
        <f>SUMIFS('Daftar Koreksi'!$H$5:$H$92,'Daftar Koreksi'!$D$5:$D$92,'2000'!A4,'Daftar Koreksi'!$G$5:$G$92,"Aset Henti Guna",'Daftar Koreksi'!$H$5:$H$92,"&gt;0")</f>
        <v>0</v>
      </c>
      <c r="F15" s="25">
        <f>SUMIFS('Daftar Koreksi'!$H$5:$H$92,'Daftar Koreksi'!$D$5:$D$92,'2000'!A4,'Daftar Koreksi'!$G$5:$G$92,"Aset Henti Guna",'Daftar Koreksi'!$H$5:$H$92,"&lt;0")-SUMIFS('Daftar Koreksi'!$H$5:$H$92,'Daftar Koreksi'!$D$5:$D$92,'2000'!A4,'Daftar Koreksi'!$G$5:$G$92,"Aset Henti Guna",'Daftar Koreksi'!$H$5:$H$92,"&lt;0")-SUMIFS('Daftar Koreksi'!$H$5:$H$92,'Daftar Koreksi'!$D$5:$D$92,'2000'!A4,'Daftar Koreksi'!$G$5:$G$92,"Aset Henti Guna",'Daftar Koreksi'!$H$5:$H$92,"&lt;0")</f>
        <v>0</v>
      </c>
      <c r="G15" s="17">
        <f t="shared" si="0"/>
        <v>203387030</v>
      </c>
      <c r="H15" s="122"/>
      <c r="O15" s="8" t="s">
        <v>645</v>
      </c>
      <c r="P15" s="8" t="s">
        <v>1783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19760272914</v>
      </c>
      <c r="E16" s="19">
        <f>SUM(E7:E15)</f>
        <v>0</v>
      </c>
      <c r="F16" s="19">
        <f>SUM(F7:F15)</f>
        <v>0</v>
      </c>
      <c r="G16" s="19">
        <f t="shared" si="0"/>
        <v>19760272914</v>
      </c>
      <c r="H16" s="122"/>
      <c r="O16" s="8" t="s">
        <v>646</v>
      </c>
      <c r="P16" s="8" t="s">
        <v>1784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-2441719604</v>
      </c>
      <c r="E17" s="25">
        <f>SUMIFS('Daftar Koreksi'!$I$5:$I$92,'Daftar Koreksi'!$D$5:$D$92,'2000'!A4,'Daftar Koreksi'!$G$5:$G$92,"Peralatan dan mesin",'Daftar Koreksi'!$I$5:$I$92,"&gt;0")</f>
        <v>0</v>
      </c>
      <c r="F17" s="25">
        <f>SUMIFS('Daftar Koreksi'!$I$5:$I$92,'Daftar Koreksi'!$D$5:$D$92,'2000'!A4,'Daftar Koreksi'!$G$5:$G$92,"Peralatan dan mesin",'Daftar Koreksi'!$I$5:$I$92,"&lt;0")-SUMIFS('Daftar Koreksi'!$I$5:$I$92,'Daftar Koreksi'!$D$5:$D$92,'2000'!A4,'Daftar Koreksi'!$G$5:$G$92,"Peralatan dan mesin",'Daftar Koreksi'!$I$5:$I$92,"&lt;0")-SUMIFS('Daftar Koreksi'!$I$5:$I$92,'Daftar Koreksi'!$D$5:$D$92,'2000'!A4,'Daftar Koreksi'!$G$5:$G$92,"Peralatan dan mesin",'Daftar Koreksi'!$I$5:$I$92,"&lt;0")</f>
        <v>0</v>
      </c>
      <c r="G17" s="17">
        <f t="shared" si="0"/>
        <v>-2441719604</v>
      </c>
      <c r="H17" s="122"/>
      <c r="O17" s="8" t="s">
        <v>647</v>
      </c>
      <c r="P17" s="8" t="s">
        <v>1785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-1010079477</v>
      </c>
      <c r="E18" s="25">
        <f>SUMIFS('Daftar Koreksi'!$I$5:$I$92,'Daftar Koreksi'!$D$5:$D$92,'2000'!A4,'Daftar Koreksi'!$G$5:$G$92,"Gedung dan Bangunan",'Daftar Koreksi'!$I$5:$I$92,"&gt;0")</f>
        <v>0</v>
      </c>
      <c r="F18" s="25">
        <f>SUMIFS('Daftar Koreksi'!$I$5:$I$92,'Daftar Koreksi'!$D$5:$D$92,'2000'!A4,'Daftar Koreksi'!$G$5:$G$92,"Gedung dan Bangunan",'Daftar Koreksi'!$I$5:$I$92,"&lt;0")-SUMIFS('Daftar Koreksi'!$I$5:$I$92,'Daftar Koreksi'!$D$5:$D$92,'2000'!A4,'Daftar Koreksi'!$G$5:$G$92,"Gedung dan Bangunan",'Daftar Koreksi'!$I$5:$I$92,"&lt;0")-SUMIFS('Daftar Koreksi'!$I$5:$I$92,'Daftar Koreksi'!$D$5:$D$92,'2000'!A4,'Daftar Koreksi'!$G$5:$G$92,"Gedung dan Bangunan",'Daftar Koreksi'!$I$5:$I$92,"&lt;0")</f>
        <v>0</v>
      </c>
      <c r="G18" s="17">
        <f t="shared" si="0"/>
        <v>-1010079477</v>
      </c>
      <c r="H18" s="122"/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-173541299</v>
      </c>
      <c r="E19" s="25">
        <f>SUMIFS('Daftar Koreksi'!$I$5:$I$92,'Daftar Koreksi'!$D$5:$D$92,'2000'!A4,'Daftar Koreksi'!$G$5:$G$92,"Jalan Irigasi Jaringan",'Daftar Koreksi'!$I$5:$I$92,"&gt;0")</f>
        <v>0</v>
      </c>
      <c r="F19" s="25">
        <f>SUMIFS('Daftar Koreksi'!$I$5:$I$92,'Daftar Koreksi'!$D$5:$D$92,'2000'!A4,'Daftar Koreksi'!$G$5:$G$92,"Jalan Irigasi Jaringan",'Daftar Koreksi'!$I$5:$I$92,"&lt;0")-SUMIFS('Daftar Koreksi'!$I$5:$I$92,'Daftar Koreksi'!$D$5:$D$92,'2000'!A4,'Daftar Koreksi'!$G$5:$G$92,"Jalan Irigasi Jaringan",'Daftar Koreksi'!$I$5:$I$92,"&lt;0")-SUMIFS('Daftar Koreksi'!$I$5:$I$92,'Daftar Koreksi'!$D$5:$D$92,'2000'!A4,'Daftar Koreksi'!$G$5:$G$92,"Jalan Irigasi Jaringan",'Daftar Koreksi'!$I$5:$I$92,"&lt;0")</f>
        <v>0</v>
      </c>
      <c r="G19" s="17">
        <f t="shared" si="0"/>
        <v>-173541299</v>
      </c>
      <c r="H19" s="122"/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Koreksi'!$D$5:$D$92,'2000'!A4,'Daftar Koreksi'!$G$5:$G$92,"Aset Tetap Lainnya",'Daftar Koreksi'!$I$5:$I$92,"&gt;0")</f>
        <v>0</v>
      </c>
      <c r="F20" s="25">
        <f>SUMIFS('Daftar Koreksi'!$I$5:$I$92,'Daftar Koreksi'!$D$5:$D$92,'2000'!A4,'Daftar Koreksi'!$G$5:$G$92,"Aset Tetap Lainnya",'Daftar Koreksi'!$I$5:$I$92,"&lt;0")-SUMIFS('Daftar Koreksi'!$I$5:$I$92,'Daftar Koreksi'!$D$5:$D$92,'2000'!A4,'Daftar Koreksi'!$G$5:$G$92,"Aset Tetap Lainnya",'Daftar Koreksi'!$I$5:$I$92,"&lt;0")-SUMIFS('Daftar Koreksi'!$I$5:$I$92,'Daftar Koreksi'!$D$5:$D$92,'2000'!A4,'Daftar Koreksi'!$G$5:$G$92,"Aset Tetap Lainnya",'Daftar Koreksi'!$I$5:$I$92,"&lt;0")</f>
        <v>0</v>
      </c>
      <c r="G20" s="17">
        <f t="shared" si="0"/>
        <v>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-187872030</v>
      </c>
      <c r="E21" s="25">
        <f>SUMIFS('Daftar Koreksi'!$I$5:$I$92,'Daftar Koreksi'!$D$5:$D$92,'2000'!A4,'Daftar Koreksi'!$G$5:$G$92,"Aset Henti Guna",'Daftar Koreksi'!$I$5:$I$92,"&gt;0")</f>
        <v>0</v>
      </c>
      <c r="F21" s="25">
        <f>SUMIFS('Daftar Koreksi'!$I$5:$I$92,'Daftar Koreksi'!$D$5:$D$92,'2000'!A4,'Daftar Koreksi'!$G$5:$G$92,"Aset Henti Guna",'Daftar Koreksi'!$I$5:$I$92,"&lt;0")-SUMIFS('Daftar Koreksi'!$I$5:$I$92,'Daftar Koreksi'!$D$5:$D$92,'2000'!A4,'Daftar Koreksi'!$G$5:$G$92,"Aset Henti Guna",'Daftar Koreksi'!$I$5:$I$92,"&lt;0")-SUMIFS('Daftar Koreksi'!$I$5:$I$92,'Daftar Koreksi'!$D$5:$D$92,'2000'!A4,'Daftar Koreksi'!$G$5:$G$92,"Aset Henti Guna",'Daftar Koreksi'!$I$5:$I$92,"&lt;0")</f>
        <v>0</v>
      </c>
      <c r="G21" s="17">
        <f t="shared" si="0"/>
        <v>-187872030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-3813212410</v>
      </c>
      <c r="E22" s="19">
        <f>SUM(E17:E21)</f>
        <v>0</v>
      </c>
      <c r="F22" s="19">
        <f>SUM(F17:F21)</f>
        <v>0</v>
      </c>
      <c r="G22" s="19">
        <f t="shared" si="0"/>
        <v>-3813212410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15947060504</v>
      </c>
      <c r="E23" s="19">
        <f>E22+E16</f>
        <v>0</v>
      </c>
      <c r="F23" s="19">
        <f>F22+F16</f>
        <v>0</v>
      </c>
      <c r="G23" s="19">
        <f t="shared" si="0"/>
        <v>15947060504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005012000099663000KD</v>
      </c>
      <c r="B26" s="11" t="str">
        <f>P2</f>
        <v>PN. Bau-Bau</v>
      </c>
      <c r="C26" s="12" t="str">
        <f>A26&amp;" "&amp;B26</f>
        <v>005012000099663000KD PN. Bau-Bau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1420000</v>
      </c>
      <c r="E29" s="25">
        <f>SUMIFS('Daftar Koreksi'!$H$5:$H$92,'Daftar Koreksi'!$D$5:$D$92,'2000'!A26,'Daftar Koreksi'!$G$5:$G$92,"Persediaan",'Daftar Koreksi'!$H$5:$H$92,"&gt;0")</f>
        <v>0</v>
      </c>
      <c r="F29" s="25">
        <f>SUMIFS('Daftar Koreksi'!$H$5:$H$92,'Daftar Koreksi'!$D$5:$D$92,'2000'!A26,'Daftar Koreksi'!$G$5:$G$92,"Persediaan",'Daftar Koreksi'!$H$5:$H$92,"&lt;0")-SUMIFS('Daftar Koreksi'!$H$5:$H$92,'Daftar Koreksi'!$D$5:$D$92,'2000'!A26,'Daftar Koreksi'!$G$5:$G$92,"Persediaan",'Daftar Koreksi'!$H$5:$H$92,"&lt;0")-SUMIFS('Daftar Koreksi'!$H$5:$H$92,'Daftar Koreksi'!$D$5:$D$92,'2000'!A26,'Daftar Koreksi'!$G$5:$G$92,"Persediaan",'Daftar Koreksi'!$H$5:$H$92,"&lt;0")</f>
        <v>0</v>
      </c>
      <c r="G29" s="17">
        <f>D29+E29-F29</f>
        <v>1420000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7390758000</v>
      </c>
      <c r="E30" s="25">
        <f>SUMIFS('Daftar Koreksi'!$H$5:$H$92,'Daftar Koreksi'!$D$5:$D$92,'2000'!A26,'Daftar Koreksi'!$G$5:$G$92,"Tanah",'Daftar Koreksi'!$H$5:$H$92,"&gt;0")</f>
        <v>0</v>
      </c>
      <c r="F30" s="25">
        <f>SUMIFS('Daftar Koreksi'!$H$5:$H$92,'Daftar Koreksi'!$D$5:$D$92,'2000'!A26,'Daftar Koreksi'!$G$5:$G$92,"Tanah",'Daftar Koreksi'!$H$5:$H$92,"&lt;0")-SUMIFS('Daftar Koreksi'!$H$5:$H$92,'Daftar Koreksi'!$D$5:$D$92,'2000'!A26,'Daftar Koreksi'!$G$5:$G$92,"Tanah",'Daftar Koreksi'!$H$5:$H$92,"&lt;0")-SUMIFS('Daftar Koreksi'!$H$5:$H$92,'Daftar Koreksi'!$D$5:$D$92,'2000'!A26,'Daftar Koreksi'!$G$5:$G$92,"Tanah",'Daftar Koreksi'!$H$5:$H$92,"&lt;0")</f>
        <v>0</v>
      </c>
      <c r="G30" s="17">
        <f t="shared" ref="G30:G46" si="1">D30+E30-F30</f>
        <v>7390758000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2373270605</v>
      </c>
      <c r="E31" s="25">
        <f>SUMIFS('Daftar Koreksi'!$H$5:$H$92,'Daftar Koreksi'!$D$5:$D$92,'2000'!A26,'Daftar Koreksi'!$G$5:$G$92,"Peralatan dan mesin",'Daftar Koreksi'!$H$5:$H$92,"&gt;0")</f>
        <v>0</v>
      </c>
      <c r="F31" s="25">
        <f>SUMIFS('Daftar Koreksi'!$H$5:$H$92,'Daftar Koreksi'!$D$5:$D$92,'2000'!A26,'Daftar Koreksi'!$G$5:$G$92,"Peralatan dan mesin",'Daftar Koreksi'!$H$5:$H$92,"&lt;0")-SUMIFS('Daftar Koreksi'!$H$5:$H$92,'Daftar Koreksi'!$D$5:$D$92,'2000'!A26,'Daftar Koreksi'!$G$5:$G$92,"Peralatan dan mesin",'Daftar Koreksi'!$H$5:$H$92,"&lt;0")-SUMIFS('Daftar Koreksi'!$H$5:$H$92,'Daftar Koreksi'!$D$5:$D$92,'2000'!A26,'Daftar Koreksi'!$G$5:$G$92,"Peralatan dan mesin",'Daftar Koreksi'!$H$5:$H$92,"&lt;0")</f>
        <v>0</v>
      </c>
      <c r="G31" s="17">
        <f t="shared" si="1"/>
        <v>2373270605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7261601500</v>
      </c>
      <c r="E32" s="25">
        <f>SUMIFS('Daftar Koreksi'!$H$5:$H$92,'Daftar Koreksi'!$D$5:$D$92,'2000'!A26,'Daftar Koreksi'!$G$5:$G$92,"Gedung dan Bangunan",'Daftar Koreksi'!$H$5:$H$92,"&gt;0")</f>
        <v>0</v>
      </c>
      <c r="F32" s="25">
        <f>SUMIFS('Daftar Koreksi'!$H$5:$H$92,'Daftar Koreksi'!$D$5:$D$92,'2000'!A26,'Daftar Koreksi'!$G$5:$G$92,"Gedung dan Bangunan",'Daftar Koreksi'!$H$5:$H$92,"&lt;0")-SUMIFS('Daftar Koreksi'!$H$5:$H$92,'Daftar Koreksi'!$D$5:$D$92,'2000'!A26,'Daftar Koreksi'!$G$5:$G$92,"Gedung dan Bangunan",'Daftar Koreksi'!$H$5:$H$92,"&lt;0")-SUMIFS('Daftar Koreksi'!$H$5:$H$92,'Daftar Koreksi'!$D$5:$D$92,'2000'!A26,'Daftar Koreksi'!$G$5:$G$92,"Gedung dan Bangunan",'Daftar Koreksi'!$H$5:$H$92,"&lt;0")</f>
        <v>0</v>
      </c>
      <c r="G32" s="17">
        <f t="shared" si="1"/>
        <v>7261601500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140450000</v>
      </c>
      <c r="E33" s="25">
        <f>SUMIFS('Daftar Koreksi'!$H$5:$H$92,'Daftar Koreksi'!$D$5:$D$92,'2000'!A26,'Daftar Koreksi'!$G$5:$G$92,"Jalan Irigasi Jaringan",'Daftar Koreksi'!$H$5:$H$92,"&gt;0")</f>
        <v>0</v>
      </c>
      <c r="F33" s="25">
        <f>SUMIFS('Daftar Koreksi'!$H$5:$H$92,'Daftar Koreksi'!$D$5:$D$92,'2000'!A26,'Daftar Koreksi'!$G$5:$G$92,"Jalan Irigasi Jaringan",'Daftar Koreksi'!$H$5:$H$92,"&lt;0")-SUMIFS('Daftar Koreksi'!$H$5:$H$92,'Daftar Koreksi'!$D$5:$D$92,'2000'!A26,'Daftar Koreksi'!$G$5:$G$92,"Jalan Irigasi Jaringan",'Daftar Koreksi'!$H$5:$H$92,"&lt;0")-SUMIFS('Daftar Koreksi'!$H$5:$H$92,'Daftar Koreksi'!$D$5:$D$92,'2000'!A26,'Daftar Koreksi'!$G$5:$G$92,"Jalan Irigasi Jaringan",'Daftar Koreksi'!$H$5:$H$92,"&lt;0")</f>
        <v>0</v>
      </c>
      <c r="G33" s="17">
        <f t="shared" si="1"/>
        <v>140450000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19233440</v>
      </c>
      <c r="E34" s="25">
        <f>SUMIFS('Daftar Koreksi'!$H$5:$H$92,'Daftar Koreksi'!$D$5:$D$92,'2000'!A26,'Daftar Koreksi'!$G$5:$G$92,"Aset Tetap Lainnya",'Daftar Koreksi'!$H$5:$H$92,"&gt;0")</f>
        <v>0</v>
      </c>
      <c r="F34" s="25">
        <f>SUMIFS('Daftar Koreksi'!$H$5:$H$92,'Daftar Koreksi'!$D$5:$D$92,'2000'!A26,'Daftar Koreksi'!$G$5:$G$92,"Aset Tetap Lainnya",'Daftar Koreksi'!$H$5:$H$92,"&lt;0")-SUMIFS('Daftar Koreksi'!$H$5:$H$92,'Daftar Koreksi'!$D$5:$D$92,'2000'!A26,'Daftar Koreksi'!$G$5:$G$92,"Aset Tetap Lainnya",'Daftar Koreksi'!$H$5:$H$92,"&lt;0")-SUMIFS('Daftar Koreksi'!$H$5:$H$92,'Daftar Koreksi'!$D$5:$D$92,'2000'!A26,'Daftar Koreksi'!$G$5:$G$92,"Aset Tetap Lainnya",'Daftar Koreksi'!$H$5:$H$92,"&lt;0")</f>
        <v>0</v>
      </c>
      <c r="G34" s="17">
        <f t="shared" si="1"/>
        <v>19233440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Koreksi'!$D$5:$D$92,'2000'!A26,'Daftar Koreksi'!$G$5:$G$92,"Kontruksi Dalam Pengerjaan",'Daftar Koreksi'!$H$5:$H$92,"&gt;0")</f>
        <v>0</v>
      </c>
      <c r="F35" s="25">
        <f>SUMIFS('Daftar Koreksi'!$H$5:$H$92,'Daftar Koreksi'!$D$5:$D$92,'2000'!A26,'Daftar Koreksi'!$G$5:$G$92,"Kontruksi Dalam Pengerjaan",'Daftar Koreksi'!$H$5:$H$92,"&lt;0")-SUMIFS('Daftar Koreksi'!$H$5:$H$92,'Daftar Koreksi'!$D$5:$D$92,'2000'!A26,'Daftar Koreksi'!$G$5:$G$92,"Kontruksi Dalam Pengerjaan",'Daftar Koreksi'!$H$5:$H$92,"&lt;0")-SUMIFS('Daftar Koreksi'!$H$5:$H$92,'Daftar Koreksi'!$D$5:$D$92,'2000'!A26,'Daftar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Koreksi'!$D$5:$D$92,'2000'!A26,'Daftar Koreksi'!$G$5:$G$92,"Aset Tak Berwujud",'Daftar Koreksi'!$H$5:$H$92,"&gt;0")</f>
        <v>0</v>
      </c>
      <c r="F36" s="25">
        <f>SUMIFS('Daftar Koreksi'!$H$5:$H$92,'Daftar Koreksi'!$D$5:$D$92,'2000'!A26,'Daftar Koreksi'!$G$5:$G$92,"Aset Tak Berwujud",'Daftar Koreksi'!$H$5:$H$92,"&lt;0")-SUMIFS('Daftar Koreksi'!$H$5:$H$92,'Daftar Koreksi'!$D$5:$D$92,'2000'!A26,'Daftar Koreksi'!$G$5:$G$92,"Aset Tak Berwujud",'Daftar Koreksi'!$H$5:$H$92,"&lt;0")-SUMIFS('Daftar Koreksi'!$H$5:$H$92,'Daftar Koreksi'!$D$5:$D$92,'2000'!A26,'Daftar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14000000</v>
      </c>
      <c r="E37" s="25">
        <f>SUMIFS('Daftar Koreksi'!$H$5:$H$92,'Daftar Koreksi'!$D$5:$D$92,'2000'!A26,'Daftar Koreksi'!$G$5:$G$92,"Aset Henti Guna",'Daftar Koreksi'!$H$5:$H$92,"&gt;0")</f>
        <v>0</v>
      </c>
      <c r="F37" s="25">
        <f>SUMIFS('Daftar Koreksi'!$H$5:$H$92,'Daftar Koreksi'!$D$5:$D$92,'2000'!A26,'Daftar Koreksi'!$G$5:$G$92,"Aset Henti Guna",'Daftar Koreksi'!$H$5:$H$92,"&lt;0")-SUMIFS('Daftar Koreksi'!$H$5:$H$92,'Daftar Koreksi'!$D$5:$D$92,'2000'!A26,'Daftar Koreksi'!$G$5:$G$92,"Aset Henti Guna",'Daftar Koreksi'!$H$5:$H$92,"&lt;0")-SUMIFS('Daftar Koreksi'!$H$5:$H$92,'Daftar Koreksi'!$D$5:$D$92,'2000'!A26,'Daftar Koreksi'!$G$5:$G$92,"Aset Henti Guna",'Daftar Koreksi'!$H$5:$H$92,"&lt;0")</f>
        <v>0</v>
      </c>
      <c r="G37" s="17">
        <f t="shared" si="1"/>
        <v>14000000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17200733545</v>
      </c>
      <c r="E38" s="19">
        <f>SUM(E29:E37)</f>
        <v>0</v>
      </c>
      <c r="F38" s="19">
        <f>SUM(F29:F37)</f>
        <v>0</v>
      </c>
      <c r="G38" s="19">
        <f t="shared" si="1"/>
        <v>17200733545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-1416594252</v>
      </c>
      <c r="E39" s="25">
        <f>SUMIFS('Daftar Koreksi'!$I$5:$I$92,'Daftar Koreksi'!$D$5:$D$92,'2000'!A26,'Daftar Koreksi'!$G$5:$G$92,"Peralatan dan mesin",'Daftar Koreksi'!$I$5:$I$92,"&gt;0")</f>
        <v>0</v>
      </c>
      <c r="F39" s="25">
        <f>SUMIFS('Daftar Koreksi'!$I$5:$I$92,'Daftar Koreksi'!$D$5:$D$92,'2000'!A26,'Daftar Koreksi'!$G$5:$G$92,"Peralatan dan mesin",'Daftar Koreksi'!$I$5:$I$92,"&lt;0")-SUMIFS('Daftar Koreksi'!$I$5:$I$92,'Daftar Koreksi'!$D$5:$D$92,'2000'!A26,'Daftar Koreksi'!$G$5:$G$92,"Peralatan dan mesin",'Daftar Koreksi'!$I$5:$I$92,"&lt;0")-SUMIFS('Daftar Koreksi'!$I$5:$I$92,'Daftar Koreksi'!$D$5:$D$92,'2000'!A26,'Daftar Koreksi'!$G$5:$G$92,"Peralatan dan mesin",'Daftar Koreksi'!$I$5:$I$92,"&lt;0")</f>
        <v>0</v>
      </c>
      <c r="G39" s="17">
        <f t="shared" si="1"/>
        <v>-1416594252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-1249911987</v>
      </c>
      <c r="E40" s="25">
        <f>SUMIFS('Daftar Koreksi'!$I$5:$I$92,'Daftar Koreksi'!$D$5:$D$92,'2000'!A26,'Daftar Koreksi'!$G$5:$G$92,"Gedung dan Bangunan",'Daftar Koreksi'!$I$5:$I$92,"&gt;0")</f>
        <v>0</v>
      </c>
      <c r="F40" s="25">
        <f>SUMIFS('Daftar Koreksi'!$I$5:$I$92,'Daftar Koreksi'!$D$5:$D$92,'2000'!A26,'Daftar Koreksi'!$G$5:$G$92,"Gedung dan Bangunan",'Daftar Koreksi'!$I$5:$I$92,"&lt;0")-SUMIFS('Daftar Koreksi'!$I$5:$I$92,'Daftar Koreksi'!$D$5:$D$92,'2000'!A26,'Daftar Koreksi'!$G$5:$G$92,"Gedung dan Bangunan",'Daftar Koreksi'!$I$5:$I$92,"&lt;0")-SUMIFS('Daftar Koreksi'!$I$5:$I$92,'Daftar Koreksi'!$D$5:$D$92,'2000'!A26,'Daftar Koreksi'!$G$5:$G$92,"Gedung dan Bangunan",'Daftar Koreksi'!$I$5:$I$92,"&lt;0")</f>
        <v>0</v>
      </c>
      <c r="G40" s="17">
        <f t="shared" si="1"/>
        <v>-1249911987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-24347504</v>
      </c>
      <c r="E41" s="25">
        <f>SUMIFS('Daftar Koreksi'!$I$5:$I$92,'Daftar Koreksi'!$D$5:$D$92,'2000'!A26,'Daftar Koreksi'!$G$5:$G$92,"Jalan Irigasi Jaringan",'Daftar Koreksi'!$I$5:$I$92,"&gt;0")</f>
        <v>0</v>
      </c>
      <c r="F41" s="25">
        <f>SUMIFS('Daftar Koreksi'!$I$5:$I$92,'Daftar Koreksi'!$D$5:$D$92,'2000'!A26,'Daftar Koreksi'!$G$5:$G$92,"Jalan Irigasi Jaringan",'Daftar Koreksi'!$I$5:$I$92,"&lt;0")-SUMIFS('Daftar Koreksi'!$I$5:$I$92,'Daftar Koreksi'!$D$5:$D$92,'2000'!A26,'Daftar Koreksi'!$G$5:$G$92,"Jalan Irigasi Jaringan",'Daftar Koreksi'!$I$5:$I$92,"&lt;0")-SUMIFS('Daftar Koreksi'!$I$5:$I$92,'Daftar Koreksi'!$D$5:$D$92,'2000'!A26,'Daftar Koreksi'!$G$5:$G$92,"Jalan Irigasi Jaringan",'Daftar Koreksi'!$I$5:$I$92,"&lt;0")</f>
        <v>0</v>
      </c>
      <c r="G41" s="17">
        <f t="shared" si="1"/>
        <v>-24347504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Koreksi'!$D$5:$D$92,'2000'!A26,'Daftar Koreksi'!$G$5:$G$92,"Aset Tetap Lainnya",'Daftar Koreksi'!$I$5:$I$92,"&gt;0")</f>
        <v>0</v>
      </c>
      <c r="F42" s="25">
        <f>SUMIFS('Daftar Koreksi'!$I$5:$I$92,'Daftar Koreksi'!$D$5:$D$92,'2000'!A26,'Daftar Koreksi'!$G$5:$G$92,"Aset Tetap Lainnya",'Daftar Koreksi'!$I$5:$I$92,"&lt;0")-SUMIFS('Daftar Koreksi'!$I$5:$I$92,'Daftar Koreksi'!$D$5:$D$92,'2000'!A26,'Daftar Koreksi'!$G$5:$G$92,"Aset Tetap Lainnya",'Daftar Koreksi'!$I$5:$I$92,"&lt;0")-SUMIFS('Daftar Koreksi'!$I$5:$I$92,'Daftar Koreksi'!$D$5:$D$92,'2000'!A26,'Daftar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-14000000</v>
      </c>
      <c r="E43" s="25">
        <f>SUMIFS('Daftar Koreksi'!$I$5:$I$92,'Daftar Koreksi'!$D$5:$D$92,'2000'!A26,'Daftar Koreksi'!$G$5:$G$92,"Aset Henti Guna",'Daftar Koreksi'!$I$5:$I$92,"&gt;0")</f>
        <v>0</v>
      </c>
      <c r="F43" s="25">
        <f>SUMIFS('Daftar Koreksi'!$I$5:$I$92,'Daftar Koreksi'!$D$5:$D$92,'2000'!A26,'Daftar Koreksi'!$G$5:$G$92,"Aset Henti Guna",'Daftar Koreksi'!$I$5:$I$92,"&lt;0")-SUMIFS('Daftar Koreksi'!$I$5:$I$92,'Daftar Koreksi'!$D$5:$D$92,'2000'!A26,'Daftar Koreksi'!$G$5:$G$92,"Aset Henti Guna",'Daftar Koreksi'!$I$5:$I$92,"&lt;0")-SUMIFS('Daftar Koreksi'!$I$5:$I$92,'Daftar Koreksi'!$D$5:$D$92,'2000'!A26,'Daftar Koreksi'!$G$5:$G$92,"Aset Henti Guna",'Daftar Koreksi'!$I$5:$I$92,"&lt;0")</f>
        <v>0</v>
      </c>
      <c r="G43" s="17">
        <f t="shared" si="1"/>
        <v>-14000000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-2704853743</v>
      </c>
      <c r="E44" s="19">
        <f>SUM(E39:E43)</f>
        <v>0</v>
      </c>
      <c r="F44" s="19">
        <f>SUM(F39:F43)</f>
        <v>0</v>
      </c>
      <c r="G44" s="19">
        <f t="shared" si="1"/>
        <v>-2704853743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14495879802</v>
      </c>
      <c r="E45" s="19">
        <f>E44+E38</f>
        <v>0</v>
      </c>
      <c r="F45" s="19">
        <f>F44+F38</f>
        <v>0</v>
      </c>
      <c r="G45" s="19">
        <f t="shared" si="1"/>
        <v>14495879802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005012000099670000KD</v>
      </c>
      <c r="B48" s="11" t="str">
        <f>P3</f>
        <v>PN. Raha</v>
      </c>
      <c r="C48" s="12" t="str">
        <f>A48&amp;" "&amp;B48</f>
        <v>005012000099670000KD PN. Raha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35000</v>
      </c>
      <c r="E51" s="25">
        <f>SUMIFS('Daftar Koreksi'!$H$5:$H$92,'Daftar Koreksi'!$D$5:$D$92,'2000'!A48,'Daftar Koreksi'!$G$5:$G$92,"Persediaan",'Daftar Koreksi'!$H$5:$H$92,"&gt;0")</f>
        <v>0</v>
      </c>
      <c r="F51" s="25">
        <f>SUMIFS('Daftar Koreksi'!$H$5:$H$92,'Daftar Koreksi'!$D$5:$D$92,'2000'!A48,'Daftar Koreksi'!$G$5:$G$92,"Persediaan",'Daftar Koreksi'!$H$5:$H$92,"&lt;0")-SUMIFS('Daftar Koreksi'!$H$5:$H$92,'Daftar Koreksi'!$D$5:$D$92,'2000'!A48,'Daftar Koreksi'!$G$5:$G$92,"Persediaan",'Daftar Koreksi'!$H$5:$H$92,"&lt;0")-SUMIFS('Daftar Koreksi'!$H$5:$H$92,'Daftar Koreksi'!$D$5:$D$92,'2000'!A48,'Daftar Koreksi'!$G$5:$G$92,"Persediaan",'Daftar Koreksi'!$H$5:$H$92,"&lt;0")</f>
        <v>0</v>
      </c>
      <c r="G51" s="17">
        <f>D51+E51-F51</f>
        <v>35000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2264088000</v>
      </c>
      <c r="E52" s="25">
        <f>SUMIFS('Daftar Koreksi'!$H$5:$H$92,'Daftar Koreksi'!$D$5:$D$92,'2000'!A48,'Daftar Koreksi'!$G$5:$G$92,"Tanah",'Daftar Koreksi'!$H$5:$H$92,"&gt;0")</f>
        <v>0</v>
      </c>
      <c r="F52" s="25">
        <f>SUMIFS('Daftar Koreksi'!$H$5:$H$92,'Daftar Koreksi'!$D$5:$D$92,'2000'!A48,'Daftar Koreksi'!$G$5:$G$92,"Tanah",'Daftar Koreksi'!$H$5:$H$92,"&lt;0")-SUMIFS('Daftar Koreksi'!$H$5:$H$92,'Daftar Koreksi'!$D$5:$D$92,'2000'!A48,'Daftar Koreksi'!$G$5:$G$92,"Tanah",'Daftar Koreksi'!$H$5:$H$92,"&lt;0")-SUMIFS('Daftar Koreksi'!$H$5:$H$92,'Daftar Koreksi'!$D$5:$D$92,'2000'!A48,'Daftar Koreksi'!$G$5:$G$92,"Tanah",'Daftar Koreksi'!$H$5:$H$92,"&lt;0")</f>
        <v>0</v>
      </c>
      <c r="G52" s="17">
        <f t="shared" ref="G52:G68" si="2">D52+E52-F52</f>
        <v>2264088000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1457319433</v>
      </c>
      <c r="E53" s="25">
        <f>SUMIFS('Daftar Koreksi'!$H$5:$H$92,'Daftar Koreksi'!$D$5:$D$92,'2000'!A48,'Daftar Koreksi'!$G$5:$G$92,"Peralatan dan mesin",'Daftar Koreksi'!$H$5:$H$92,"&gt;0")</f>
        <v>0</v>
      </c>
      <c r="F53" s="25">
        <f>SUMIFS('Daftar Koreksi'!$H$5:$H$92,'Daftar Koreksi'!$D$5:$D$92,'2000'!A48,'Daftar Koreksi'!$G$5:$G$92,"Peralatan dan mesin",'Daftar Koreksi'!$H$5:$H$92,"&lt;0")-SUMIFS('Daftar Koreksi'!$H$5:$H$92,'Daftar Koreksi'!$D$5:$D$92,'2000'!A48,'Daftar Koreksi'!$G$5:$G$92,"Peralatan dan mesin",'Daftar Koreksi'!$H$5:$H$92,"&lt;0")-SUMIFS('Daftar Koreksi'!$H$5:$H$92,'Daftar Koreksi'!$D$5:$D$92,'2000'!A48,'Daftar Koreksi'!$G$5:$G$92,"Peralatan dan mesin",'Daftar Koreksi'!$H$5:$H$92,"&lt;0")</f>
        <v>0</v>
      </c>
      <c r="G53" s="17">
        <f t="shared" si="2"/>
        <v>1457319433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10516357579</v>
      </c>
      <c r="E54" s="25">
        <f>SUMIFS('Daftar Koreksi'!$H$5:$H$92,'Daftar Koreksi'!$D$5:$D$92,'2000'!A48,'Daftar Koreksi'!$G$5:$G$92,"Gedung dan Bangunan",'Daftar Koreksi'!$H$5:$H$92,"&gt;0")</f>
        <v>0</v>
      </c>
      <c r="F54" s="25">
        <f>SUMIFS('Daftar Koreksi'!$H$5:$H$92,'Daftar Koreksi'!$D$5:$D$92,'2000'!A48,'Daftar Koreksi'!$G$5:$G$92,"Gedung dan Bangunan",'Daftar Koreksi'!$H$5:$H$92,"&lt;0")-SUMIFS('Daftar Koreksi'!$H$5:$H$92,'Daftar Koreksi'!$D$5:$D$92,'2000'!A48,'Daftar Koreksi'!$G$5:$G$92,"Gedung dan Bangunan",'Daftar Koreksi'!$H$5:$H$92,"&lt;0")-SUMIFS('Daftar Koreksi'!$H$5:$H$92,'Daftar Koreksi'!$D$5:$D$92,'2000'!A48,'Daftar Koreksi'!$G$5:$G$92,"Gedung dan Bangunan",'Daftar Koreksi'!$H$5:$H$92,"&lt;0")</f>
        <v>0</v>
      </c>
      <c r="G54" s="17">
        <f t="shared" si="2"/>
        <v>10516357579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154014000</v>
      </c>
      <c r="E55" s="25">
        <f>SUMIFS('Daftar Koreksi'!$H$5:$H$92,'Daftar Koreksi'!$D$5:$D$92,'2000'!A48,'Daftar Koreksi'!$G$5:$G$92,"Jalan Irigasi Jaringan",'Daftar Koreksi'!$H$5:$H$92,"&gt;0")</f>
        <v>0</v>
      </c>
      <c r="F55" s="25">
        <f>SUMIFS('Daftar Koreksi'!$H$5:$H$92,'Daftar Koreksi'!$D$5:$D$92,'2000'!A48,'Daftar Koreksi'!$G$5:$G$92,"Jalan Irigasi Jaringan",'Daftar Koreksi'!$H$5:$H$92,"&lt;0")-SUMIFS('Daftar Koreksi'!$H$5:$H$92,'Daftar Koreksi'!$D$5:$D$92,'2000'!A48,'Daftar Koreksi'!$G$5:$G$92,"Jalan Irigasi Jaringan",'Daftar Koreksi'!$H$5:$H$92,"&lt;0")-SUMIFS('Daftar Koreksi'!$H$5:$H$92,'Daftar Koreksi'!$D$5:$D$92,'2000'!A48,'Daftar Koreksi'!$G$5:$G$92,"Jalan Irigasi Jaringan",'Daftar Koreksi'!$H$5:$H$92,"&lt;0")</f>
        <v>0</v>
      </c>
      <c r="G55" s="17">
        <f t="shared" si="2"/>
        <v>154014000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1943440</v>
      </c>
      <c r="E56" s="25">
        <f>SUMIFS('Daftar Koreksi'!$H$5:$H$92,'Daftar Koreksi'!$D$5:$D$92,'2000'!A48,'Daftar Koreksi'!$G$5:$G$92,"Aset Tetap Lainnya",'Daftar Koreksi'!$H$5:$H$92,"&gt;0")</f>
        <v>0</v>
      </c>
      <c r="F56" s="25">
        <f>SUMIFS('Daftar Koreksi'!$H$5:$H$92,'Daftar Koreksi'!$D$5:$D$92,'2000'!A48,'Daftar Koreksi'!$G$5:$G$92,"Aset Tetap Lainnya",'Daftar Koreksi'!$H$5:$H$92,"&lt;0")-SUMIFS('Daftar Koreksi'!$H$5:$H$92,'Daftar Koreksi'!$D$5:$D$92,'2000'!A48,'Daftar Koreksi'!$G$5:$G$92,"Aset Tetap Lainnya",'Daftar Koreksi'!$H$5:$H$92,"&lt;0")-SUMIFS('Daftar Koreksi'!$H$5:$H$92,'Daftar Koreksi'!$D$5:$D$92,'2000'!A48,'Daftar Koreksi'!$G$5:$G$92,"Aset Tetap Lainnya",'Daftar Koreksi'!$H$5:$H$92,"&lt;0")</f>
        <v>0</v>
      </c>
      <c r="G56" s="17">
        <f t="shared" si="2"/>
        <v>1943440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Koreksi'!$D$5:$D$92,'2000'!A48,'Daftar Koreksi'!$G$5:$G$92,"Kontruksi Dalam Pengerjaan",'Daftar Koreksi'!$H$5:$H$92,"&gt;0")</f>
        <v>0</v>
      </c>
      <c r="F57" s="25">
        <f>SUMIFS('Daftar Koreksi'!$H$5:$H$92,'Daftar Koreksi'!$D$5:$D$92,'2000'!A48,'Daftar Koreksi'!$G$5:$G$92,"Kontruksi Dalam Pengerjaan",'Daftar Koreksi'!$H$5:$H$92,"&lt;0")-SUMIFS('Daftar Koreksi'!$H$5:$H$92,'Daftar Koreksi'!$D$5:$D$92,'2000'!A48,'Daftar Koreksi'!$G$5:$G$92,"Kontruksi Dalam Pengerjaan",'Daftar Koreksi'!$H$5:$H$92,"&lt;0")-SUMIFS('Daftar Koreksi'!$H$5:$H$92,'Daftar Koreksi'!$D$5:$D$92,'2000'!A48,'Daftar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Koreksi'!$D$5:$D$92,'2000'!A48,'Daftar Koreksi'!$G$5:$G$92,"Aset Tak Berwujud",'Daftar Koreksi'!$H$5:$H$92,"&gt;0")</f>
        <v>0</v>
      </c>
      <c r="F58" s="25">
        <f>SUMIFS('Daftar Koreksi'!$H$5:$H$92,'Daftar Koreksi'!$D$5:$D$92,'2000'!A48,'Daftar Koreksi'!$G$5:$G$92,"Aset Tak Berwujud",'Daftar Koreksi'!$H$5:$H$92,"&lt;0")-SUMIFS('Daftar Koreksi'!$H$5:$H$92,'Daftar Koreksi'!$D$5:$D$92,'2000'!A48,'Daftar Koreksi'!$G$5:$G$92,"Aset Tak Berwujud",'Daftar Koreksi'!$H$5:$H$92,"&lt;0")-SUMIFS('Daftar Koreksi'!$H$5:$H$92,'Daftar Koreksi'!$D$5:$D$92,'2000'!A48,'Daftar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50547500</v>
      </c>
      <c r="E59" s="25">
        <f>SUMIFS('Daftar Koreksi'!$H$5:$H$92,'Daftar Koreksi'!$D$5:$D$92,'2000'!A48,'Daftar Koreksi'!$G$5:$G$92,"Aset Henti Guna",'Daftar Koreksi'!$H$5:$H$92,"&gt;0")</f>
        <v>0</v>
      </c>
      <c r="F59" s="25">
        <f>SUMIFS('Daftar Koreksi'!$H$5:$H$92,'Daftar Koreksi'!$D$5:$D$92,'2000'!A48,'Daftar Koreksi'!$G$5:$G$92,"Aset Henti Guna",'Daftar Koreksi'!$H$5:$H$92,"&lt;0")-SUMIFS('Daftar Koreksi'!$H$5:$H$92,'Daftar Koreksi'!$D$5:$D$92,'2000'!A48,'Daftar Koreksi'!$G$5:$G$92,"Aset Henti Guna",'Daftar Koreksi'!$H$5:$H$92,"&lt;0")-SUMIFS('Daftar Koreksi'!$H$5:$H$92,'Daftar Koreksi'!$D$5:$D$92,'2000'!A48,'Daftar Koreksi'!$G$5:$G$92,"Aset Henti Guna",'Daftar Koreksi'!$H$5:$H$92,"&lt;0")</f>
        <v>0</v>
      </c>
      <c r="G59" s="17">
        <f t="shared" si="2"/>
        <v>50547500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14444304952</v>
      </c>
      <c r="E60" s="19">
        <f>SUM(E51:E59)</f>
        <v>0</v>
      </c>
      <c r="F60" s="19">
        <f>SUM(F51:F59)</f>
        <v>0</v>
      </c>
      <c r="G60" s="19">
        <f t="shared" si="2"/>
        <v>14444304952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-1243099120</v>
      </c>
      <c r="E61" s="25">
        <f>SUMIFS('Daftar Koreksi'!$I$5:$I$92,'Daftar Koreksi'!$D$5:$D$92,'2000'!A48,'Daftar Koreksi'!$G$5:$G$92,"Peralatan dan mesin",'Daftar Koreksi'!$I$5:$I$92,"&gt;0")</f>
        <v>0</v>
      </c>
      <c r="F61" s="25">
        <f>SUMIFS('Daftar Koreksi'!$I$5:$I$92,'Daftar Koreksi'!$D$5:$D$92,'2000'!A48,'Daftar Koreksi'!$G$5:$G$92,"Peralatan dan mesin",'Daftar Koreksi'!$I$5:$I$92,"&lt;0")-SUMIFS('Daftar Koreksi'!$I$5:$I$92,'Daftar Koreksi'!$D$5:$D$92,'2000'!A48,'Daftar Koreksi'!$G$5:$G$92,"Peralatan dan mesin",'Daftar Koreksi'!$I$5:$I$92,"&lt;0")-SUMIFS('Daftar Koreksi'!$I$5:$I$92,'Daftar Koreksi'!$D$5:$D$92,'2000'!A48,'Daftar Koreksi'!$G$5:$G$92,"Peralatan dan mesin",'Daftar Koreksi'!$I$5:$I$92,"&lt;0")</f>
        <v>0</v>
      </c>
      <c r="G61" s="17">
        <f t="shared" si="2"/>
        <v>-1243099120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-750574032</v>
      </c>
      <c r="E62" s="25">
        <f>SUMIFS('Daftar Koreksi'!$I$5:$I$92,'Daftar Koreksi'!$D$5:$D$92,'2000'!A48,'Daftar Koreksi'!$G$5:$G$92,"Gedung dan Bangunan",'Daftar Koreksi'!$I$5:$I$92,"&gt;0")</f>
        <v>0</v>
      </c>
      <c r="F62" s="25">
        <f>SUMIFS('Daftar Koreksi'!$I$5:$I$92,'Daftar Koreksi'!$D$5:$D$92,'2000'!A48,'Daftar Koreksi'!$G$5:$G$92,"Gedung dan Bangunan",'Daftar Koreksi'!$I$5:$I$92,"&lt;0")-SUMIFS('Daftar Koreksi'!$I$5:$I$92,'Daftar Koreksi'!$D$5:$D$92,'2000'!A48,'Daftar Koreksi'!$G$5:$G$92,"Gedung dan Bangunan",'Daftar Koreksi'!$I$5:$I$92,"&lt;0")-SUMIFS('Daftar Koreksi'!$I$5:$I$92,'Daftar Koreksi'!$D$5:$D$92,'2000'!A48,'Daftar Koreksi'!$G$5:$G$92,"Gedung dan Bangunan",'Daftar Koreksi'!$I$5:$I$92,"&lt;0")</f>
        <v>0</v>
      </c>
      <c r="G62" s="17">
        <f t="shared" si="2"/>
        <v>-750574032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-28015554</v>
      </c>
      <c r="E63" s="25">
        <f>SUMIFS('Daftar Koreksi'!$I$5:$I$92,'Daftar Koreksi'!$D$5:$D$92,'2000'!A48,'Daftar Koreksi'!$G$5:$G$92,"Jalan Irigasi Jaringan",'Daftar Koreksi'!$I$5:$I$92,"&gt;0")</f>
        <v>0</v>
      </c>
      <c r="F63" s="25">
        <f>SUMIFS('Daftar Koreksi'!$I$5:$I$92,'Daftar Koreksi'!$D$5:$D$92,'2000'!A48,'Daftar Koreksi'!$G$5:$G$92,"Jalan Irigasi Jaringan",'Daftar Koreksi'!$I$5:$I$92,"&lt;0")-SUMIFS('Daftar Koreksi'!$I$5:$I$92,'Daftar Koreksi'!$D$5:$D$92,'2000'!A48,'Daftar Koreksi'!$G$5:$G$92,"Jalan Irigasi Jaringan",'Daftar Koreksi'!$I$5:$I$92,"&lt;0")-SUMIFS('Daftar Koreksi'!$I$5:$I$92,'Daftar Koreksi'!$D$5:$D$92,'2000'!A48,'Daftar Koreksi'!$G$5:$G$92,"Jalan Irigasi Jaringan",'Daftar Koreksi'!$I$5:$I$92,"&lt;0")</f>
        <v>0</v>
      </c>
      <c r="G63" s="17">
        <f t="shared" si="2"/>
        <v>-28015554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Koreksi'!$D$5:$D$92,'2000'!A48,'Daftar Koreksi'!$G$5:$G$92,"Aset Tetap Lainnya",'Daftar Koreksi'!$I$5:$I$92,"&gt;0")</f>
        <v>0</v>
      </c>
      <c r="F64" s="25">
        <f>SUMIFS('Daftar Koreksi'!$I$5:$I$92,'Daftar Koreksi'!$D$5:$D$92,'2000'!A48,'Daftar Koreksi'!$G$5:$G$92,"Aset Tetap Lainnya",'Daftar Koreksi'!$I$5:$I$92,"&lt;0")-SUMIFS('Daftar Koreksi'!$I$5:$I$92,'Daftar Koreksi'!$D$5:$D$92,'2000'!A48,'Daftar Koreksi'!$G$5:$G$92,"Aset Tetap Lainnya",'Daftar Koreksi'!$I$5:$I$92,"&lt;0")-SUMIFS('Daftar Koreksi'!$I$5:$I$92,'Daftar Koreksi'!$D$5:$D$92,'2000'!A48,'Daftar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-50547500</v>
      </c>
      <c r="E65" s="25">
        <f>SUMIFS('Daftar Koreksi'!$I$5:$I$92,'Daftar Koreksi'!$D$5:$D$92,'2000'!A48,'Daftar Koreksi'!$G$5:$G$92,"Aset Henti Guna",'Daftar Koreksi'!$I$5:$I$92,"&gt;0")</f>
        <v>0</v>
      </c>
      <c r="F65" s="25">
        <f>SUMIFS('Daftar Koreksi'!$I$5:$I$92,'Daftar Koreksi'!$D$5:$D$92,'2000'!A48,'Daftar Koreksi'!$G$5:$G$92,"Aset Henti Guna",'Daftar Koreksi'!$I$5:$I$92,"&lt;0")-SUMIFS('Daftar Koreksi'!$I$5:$I$92,'Daftar Koreksi'!$D$5:$D$92,'2000'!A48,'Daftar Koreksi'!$G$5:$G$92,"Aset Henti Guna",'Daftar Koreksi'!$I$5:$I$92,"&lt;0")-SUMIFS('Daftar Koreksi'!$I$5:$I$92,'Daftar Koreksi'!$D$5:$D$92,'2000'!A48,'Daftar Koreksi'!$G$5:$G$92,"Aset Henti Guna",'Daftar Koreksi'!$I$5:$I$92,"&lt;0")</f>
        <v>0</v>
      </c>
      <c r="G65" s="17">
        <f t="shared" si="2"/>
        <v>-50547500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-2072236206</v>
      </c>
      <c r="E66" s="19">
        <f>SUM(E61:E65)</f>
        <v>0</v>
      </c>
      <c r="F66" s="19">
        <f>SUM(F61:F65)</f>
        <v>0</v>
      </c>
      <c r="G66" s="19">
        <f t="shared" si="2"/>
        <v>-2072236206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12372068746</v>
      </c>
      <c r="E67" s="19">
        <f>E66+E60</f>
        <v>0</v>
      </c>
      <c r="F67" s="19">
        <f>F66+F60</f>
        <v>0</v>
      </c>
      <c r="G67" s="19">
        <f t="shared" si="2"/>
        <v>12372068746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005012000099684000KD</v>
      </c>
      <c r="B70" s="11" t="str">
        <f>P4</f>
        <v>PN. Kolaka</v>
      </c>
      <c r="C70" s="12" t="str">
        <f>A70&amp;" "&amp;B70</f>
        <v>005012000099684000KD PN. Kolaka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270000</v>
      </c>
      <c r="E73" s="25">
        <f>SUMIFS('Daftar Koreksi'!$H$5:$H$92,'Daftar Koreksi'!$D$5:$D$92,'2000'!A70,'Daftar Koreksi'!$G$5:$G$92,"Persediaan",'Daftar Koreksi'!$H$5:$H$92,"&gt;0")</f>
        <v>0</v>
      </c>
      <c r="F73" s="25">
        <f>SUMIFS('Daftar Koreksi'!$H$5:$H$92,'Daftar Koreksi'!$D$5:$D$92,'2000'!A70,'Daftar Koreksi'!$G$5:$G$92,"Persediaan",'Daftar Koreksi'!$H$5:$H$92,"&lt;0")-SUMIFS('Daftar Koreksi'!$H$5:$H$92,'Daftar Koreksi'!$D$5:$D$92,'2000'!A70,'Daftar Koreksi'!$G$5:$G$92,"Persediaan",'Daftar Koreksi'!$H$5:$H$92,"&lt;0")-SUMIFS('Daftar Koreksi'!$H$5:$H$92,'Daftar Koreksi'!$D$5:$D$92,'2000'!A70,'Daftar Koreksi'!$G$5:$G$92,"Persediaan",'Daftar Koreksi'!$H$5:$H$92,"&lt;0")</f>
        <v>0</v>
      </c>
      <c r="G73" s="17">
        <f>D73+E73-F73</f>
        <v>270000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1714194000</v>
      </c>
      <c r="E74" s="25">
        <f>SUMIFS('Daftar Koreksi'!$H$5:$H$92,'Daftar Koreksi'!$D$5:$D$92,'2000'!A70,'Daftar Koreksi'!$G$5:$G$92,"Tanah",'Daftar Koreksi'!$H$5:$H$92,"&gt;0")</f>
        <v>0</v>
      </c>
      <c r="F74" s="25">
        <f>SUMIFS('Daftar Koreksi'!$H$5:$H$92,'Daftar Koreksi'!$D$5:$D$92,'2000'!A70,'Daftar Koreksi'!$G$5:$G$92,"Tanah",'Daftar Koreksi'!$H$5:$H$92,"&lt;0")-SUMIFS('Daftar Koreksi'!$H$5:$H$92,'Daftar Koreksi'!$D$5:$D$92,'2000'!A70,'Daftar Koreksi'!$G$5:$G$92,"Tanah",'Daftar Koreksi'!$H$5:$H$92,"&lt;0")-SUMIFS('Daftar Koreksi'!$H$5:$H$92,'Daftar Koreksi'!$D$5:$D$92,'2000'!A70,'Daftar Koreksi'!$G$5:$G$92,"Tanah",'Daftar Koreksi'!$H$5:$H$92,"&lt;0")</f>
        <v>0</v>
      </c>
      <c r="G74" s="17">
        <f t="shared" ref="G74:G90" si="3">D74+E74-F74</f>
        <v>1714194000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2181283857</v>
      </c>
      <c r="E75" s="25">
        <f>SUMIFS('Daftar Koreksi'!$H$5:$H$92,'Daftar Koreksi'!$D$5:$D$92,'2000'!A70,'Daftar Koreksi'!$G$5:$G$92,"Peralatan dan mesin",'Daftar Koreksi'!$H$5:$H$92,"&gt;0")</f>
        <v>0</v>
      </c>
      <c r="F75" s="25">
        <f>SUMIFS('Daftar Koreksi'!$H$5:$H$92,'Daftar Koreksi'!$D$5:$D$92,'2000'!A70,'Daftar Koreksi'!$G$5:$G$92,"Peralatan dan mesin",'Daftar Koreksi'!$H$5:$H$92,"&lt;0")-SUMIFS('Daftar Koreksi'!$H$5:$H$92,'Daftar Koreksi'!$D$5:$D$92,'2000'!A70,'Daftar Koreksi'!$G$5:$G$92,"Peralatan dan mesin",'Daftar Koreksi'!$H$5:$H$92,"&lt;0")-SUMIFS('Daftar Koreksi'!$H$5:$H$92,'Daftar Koreksi'!$D$5:$D$92,'2000'!A70,'Daftar Koreksi'!$G$5:$G$92,"Peralatan dan mesin",'Daftar Koreksi'!$H$5:$H$92,"&lt;0")</f>
        <v>0</v>
      </c>
      <c r="G75" s="17">
        <f t="shared" si="3"/>
        <v>2181283857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10025261000</v>
      </c>
      <c r="E76" s="25">
        <f>SUMIFS('Daftar Koreksi'!$H$5:$H$92,'Daftar Koreksi'!$D$5:$D$92,'2000'!A70,'Daftar Koreksi'!$G$5:$G$92,"Gedung dan Bangunan",'Daftar Koreksi'!$H$5:$H$92,"&gt;0")</f>
        <v>0</v>
      </c>
      <c r="F76" s="25">
        <f>SUMIFS('Daftar Koreksi'!$H$5:$H$92,'Daftar Koreksi'!$D$5:$D$92,'2000'!A70,'Daftar Koreksi'!$G$5:$G$92,"Gedung dan Bangunan",'Daftar Koreksi'!$H$5:$H$92,"&lt;0")-SUMIFS('Daftar Koreksi'!$H$5:$H$92,'Daftar Koreksi'!$D$5:$D$92,'2000'!A70,'Daftar Koreksi'!$G$5:$G$92,"Gedung dan Bangunan",'Daftar Koreksi'!$H$5:$H$92,"&lt;0")-SUMIFS('Daftar Koreksi'!$H$5:$H$92,'Daftar Koreksi'!$D$5:$D$92,'2000'!A70,'Daftar Koreksi'!$G$5:$G$92,"Gedung dan Bangunan",'Daftar Koreksi'!$H$5:$H$92,"&lt;0")</f>
        <v>0</v>
      </c>
      <c r="G76" s="17">
        <f t="shared" si="3"/>
        <v>10025261000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285000000</v>
      </c>
      <c r="E77" s="25">
        <f>SUMIFS('Daftar Koreksi'!$H$5:$H$92,'Daftar Koreksi'!$D$5:$D$92,'2000'!A70,'Daftar Koreksi'!$G$5:$G$92,"Jalan Irigasi Jaringan",'Daftar Koreksi'!$H$5:$H$92,"&gt;0")</f>
        <v>0</v>
      </c>
      <c r="F77" s="25">
        <f>SUMIFS('Daftar Koreksi'!$H$5:$H$92,'Daftar Koreksi'!$D$5:$D$92,'2000'!A70,'Daftar Koreksi'!$G$5:$G$92,"Jalan Irigasi Jaringan",'Daftar Koreksi'!$H$5:$H$92,"&lt;0")-SUMIFS('Daftar Koreksi'!$H$5:$H$92,'Daftar Koreksi'!$D$5:$D$92,'2000'!A70,'Daftar Koreksi'!$G$5:$G$92,"Jalan Irigasi Jaringan",'Daftar Koreksi'!$H$5:$H$92,"&lt;0")-SUMIFS('Daftar Koreksi'!$H$5:$H$92,'Daftar Koreksi'!$D$5:$D$92,'2000'!A70,'Daftar Koreksi'!$G$5:$G$92,"Jalan Irigasi Jaringan",'Daftar Koreksi'!$H$5:$H$92,"&lt;0")</f>
        <v>0</v>
      </c>
      <c r="G77" s="17">
        <f t="shared" si="3"/>
        <v>285000000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6570280</v>
      </c>
      <c r="E78" s="25">
        <f>SUMIFS('Daftar Koreksi'!$H$5:$H$92,'Daftar Koreksi'!$D$5:$D$92,'2000'!A70,'Daftar Koreksi'!$G$5:$G$92,"Aset Tetap Lainnya",'Daftar Koreksi'!$H$5:$H$92,"&gt;0")</f>
        <v>0</v>
      </c>
      <c r="F78" s="25">
        <f>SUMIFS('Daftar Koreksi'!$H$5:$H$92,'Daftar Koreksi'!$D$5:$D$92,'2000'!A70,'Daftar Koreksi'!$G$5:$G$92,"Aset Tetap Lainnya",'Daftar Koreksi'!$H$5:$H$92,"&lt;0")-SUMIFS('Daftar Koreksi'!$H$5:$H$92,'Daftar Koreksi'!$D$5:$D$92,'2000'!A70,'Daftar Koreksi'!$G$5:$G$92,"Aset Tetap Lainnya",'Daftar Koreksi'!$H$5:$H$92,"&lt;0")-SUMIFS('Daftar Koreksi'!$H$5:$H$92,'Daftar Koreksi'!$D$5:$D$92,'2000'!A70,'Daftar Koreksi'!$G$5:$G$92,"Aset Tetap Lainnya",'Daftar Koreksi'!$H$5:$H$92,"&lt;0")</f>
        <v>0</v>
      </c>
      <c r="G78" s="17">
        <f t="shared" si="3"/>
        <v>6570280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Koreksi'!$D$5:$D$92,'2000'!A70,'Daftar Koreksi'!$G$5:$G$92,"Kontruksi Dalam Pengerjaan",'Daftar Koreksi'!$H$5:$H$92,"&gt;0")</f>
        <v>0</v>
      </c>
      <c r="F79" s="25">
        <f>SUMIFS('Daftar Koreksi'!$H$5:$H$92,'Daftar Koreksi'!$D$5:$D$92,'2000'!A70,'Daftar Koreksi'!$G$5:$G$92,"Kontruksi Dalam Pengerjaan",'Daftar Koreksi'!$H$5:$H$92,"&lt;0")-SUMIFS('Daftar Koreksi'!$H$5:$H$92,'Daftar Koreksi'!$D$5:$D$92,'2000'!A70,'Daftar Koreksi'!$G$5:$G$92,"Kontruksi Dalam Pengerjaan",'Daftar Koreksi'!$H$5:$H$92,"&lt;0")-SUMIFS('Daftar Koreksi'!$H$5:$H$92,'Daftar Koreksi'!$D$5:$D$92,'2000'!A70,'Daftar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Koreksi'!$D$5:$D$92,'2000'!A70,'Daftar Koreksi'!$G$5:$G$92,"Aset Tak Berwujud",'Daftar Koreksi'!$H$5:$H$92,"&gt;0")</f>
        <v>0</v>
      </c>
      <c r="F80" s="25">
        <f>SUMIFS('Daftar Koreksi'!$H$5:$H$92,'Daftar Koreksi'!$D$5:$D$92,'2000'!A70,'Daftar Koreksi'!$G$5:$G$92,"Aset Tak Berwujud",'Daftar Koreksi'!$H$5:$H$92,"&lt;0")-SUMIFS('Daftar Koreksi'!$H$5:$H$92,'Daftar Koreksi'!$D$5:$D$92,'2000'!A70,'Daftar Koreksi'!$G$5:$G$92,"Aset Tak Berwujud",'Daftar Koreksi'!$H$5:$H$92,"&lt;0")-SUMIFS('Daftar Koreksi'!$H$5:$H$92,'Daftar Koreksi'!$D$5:$D$92,'2000'!A70,'Daftar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108527000</v>
      </c>
      <c r="E81" s="25">
        <f>SUMIFS('Daftar Koreksi'!$H$5:$H$92,'Daftar Koreksi'!$D$5:$D$92,'2000'!A70,'Daftar Koreksi'!$G$5:$G$92,"Aset Henti Guna",'Daftar Koreksi'!$H$5:$H$92,"&gt;0")</f>
        <v>0</v>
      </c>
      <c r="F81" s="25">
        <f>SUMIFS('Daftar Koreksi'!$H$5:$H$92,'Daftar Koreksi'!$D$5:$D$92,'2000'!A70,'Daftar Koreksi'!$G$5:$G$92,"Aset Henti Guna",'Daftar Koreksi'!$H$5:$H$92,"&lt;0")-SUMIFS('Daftar Koreksi'!$H$5:$H$92,'Daftar Koreksi'!$D$5:$D$92,'2000'!A70,'Daftar Koreksi'!$G$5:$G$92,"Aset Henti Guna",'Daftar Koreksi'!$H$5:$H$92,"&lt;0")-SUMIFS('Daftar Koreksi'!$H$5:$H$92,'Daftar Koreksi'!$D$5:$D$92,'2000'!A70,'Daftar Koreksi'!$G$5:$G$92,"Aset Henti Guna",'Daftar Koreksi'!$H$5:$H$92,"&lt;0")</f>
        <v>0</v>
      </c>
      <c r="G81" s="17">
        <f t="shared" si="3"/>
        <v>108527000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14321106137</v>
      </c>
      <c r="E82" s="19">
        <f>SUM(E73:E81)</f>
        <v>0</v>
      </c>
      <c r="F82" s="19">
        <f>SUM(F73:F81)</f>
        <v>0</v>
      </c>
      <c r="G82" s="19">
        <f t="shared" si="3"/>
        <v>14321106137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-2003171903</v>
      </c>
      <c r="E83" s="25">
        <f>SUMIFS('Daftar Koreksi'!$I$5:$I$92,'Daftar Koreksi'!$D$5:$D$92,'2000'!A70,'Daftar Koreksi'!$G$5:$G$92,"Peralatan dan mesin",'Daftar Koreksi'!$I$5:$I$92,"&gt;0")</f>
        <v>0</v>
      </c>
      <c r="F83" s="25">
        <f>SUMIFS('Daftar Koreksi'!$I$5:$I$92,'Daftar Koreksi'!$D$5:$D$92,'2000'!A70,'Daftar Koreksi'!$G$5:$G$92,"Peralatan dan mesin",'Daftar Koreksi'!$I$5:$I$92,"&lt;0")-SUMIFS('Daftar Koreksi'!$I$5:$I$92,'Daftar Koreksi'!$D$5:$D$92,'2000'!A70,'Daftar Koreksi'!$G$5:$G$92,"Peralatan dan mesin",'Daftar Koreksi'!$I$5:$I$92,"&lt;0")-SUMIFS('Daftar Koreksi'!$I$5:$I$92,'Daftar Koreksi'!$D$5:$D$92,'2000'!A70,'Daftar Koreksi'!$G$5:$G$92,"Peralatan dan mesin",'Daftar Koreksi'!$I$5:$I$92,"&lt;0")</f>
        <v>0</v>
      </c>
      <c r="G83" s="17">
        <f t="shared" si="3"/>
        <v>-2003171903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-1014345919</v>
      </c>
      <c r="E84" s="25">
        <f>SUMIFS('Daftar Koreksi'!$I$5:$I$92,'Daftar Koreksi'!$D$5:$D$92,'2000'!A70,'Daftar Koreksi'!$G$5:$G$92,"Gedung dan Bangunan",'Daftar Koreksi'!$I$5:$I$92,"&gt;0")</f>
        <v>0</v>
      </c>
      <c r="F84" s="25">
        <f>SUMIFS('Daftar Koreksi'!$I$5:$I$92,'Daftar Koreksi'!$D$5:$D$92,'2000'!A70,'Daftar Koreksi'!$G$5:$G$92,"Gedung dan Bangunan",'Daftar Koreksi'!$I$5:$I$92,"&lt;0")-SUMIFS('Daftar Koreksi'!$I$5:$I$92,'Daftar Koreksi'!$D$5:$D$92,'2000'!A70,'Daftar Koreksi'!$G$5:$G$92,"Gedung dan Bangunan",'Daftar Koreksi'!$I$5:$I$92,"&lt;0")-SUMIFS('Daftar Koreksi'!$I$5:$I$92,'Daftar Koreksi'!$D$5:$D$92,'2000'!A70,'Daftar Koreksi'!$G$5:$G$92,"Gedung dan Bangunan",'Daftar Koreksi'!$I$5:$I$92,"&lt;0")</f>
        <v>0</v>
      </c>
      <c r="G84" s="17">
        <f t="shared" si="3"/>
        <v>-1014345919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-89562500</v>
      </c>
      <c r="E85" s="25">
        <f>SUMIFS('Daftar Koreksi'!$I$5:$I$92,'Daftar Koreksi'!$D$5:$D$92,'2000'!A70,'Daftar Koreksi'!$G$5:$G$92,"Jalan Irigasi Jaringan",'Daftar Koreksi'!$I$5:$I$92,"&gt;0")</f>
        <v>0</v>
      </c>
      <c r="F85" s="25">
        <f>SUMIFS('Daftar Koreksi'!$I$5:$I$92,'Daftar Koreksi'!$D$5:$D$92,'2000'!A70,'Daftar Koreksi'!$G$5:$G$92,"Jalan Irigasi Jaringan",'Daftar Koreksi'!$I$5:$I$92,"&lt;0")-SUMIFS('Daftar Koreksi'!$I$5:$I$92,'Daftar Koreksi'!$D$5:$D$92,'2000'!A70,'Daftar Koreksi'!$G$5:$G$92,"Jalan Irigasi Jaringan",'Daftar Koreksi'!$I$5:$I$92,"&lt;0")-SUMIFS('Daftar Koreksi'!$I$5:$I$92,'Daftar Koreksi'!$D$5:$D$92,'2000'!A70,'Daftar Koreksi'!$G$5:$G$92,"Jalan Irigasi Jaringan",'Daftar Koreksi'!$I$5:$I$92,"&lt;0")</f>
        <v>0</v>
      </c>
      <c r="G85" s="17">
        <f t="shared" si="3"/>
        <v>-89562500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Koreksi'!$D$5:$D$92,'2000'!A70,'Daftar Koreksi'!$G$5:$G$92,"Aset Tetap Lainnya",'Daftar Koreksi'!$I$5:$I$92,"&gt;0")</f>
        <v>0</v>
      </c>
      <c r="F86" s="25">
        <f>SUMIFS('Daftar Koreksi'!$I$5:$I$92,'Daftar Koreksi'!$D$5:$D$92,'2000'!A70,'Daftar Koreksi'!$G$5:$G$92,"Aset Tetap Lainnya",'Daftar Koreksi'!$I$5:$I$92,"&lt;0")-SUMIFS('Daftar Koreksi'!$I$5:$I$92,'Daftar Koreksi'!$D$5:$D$92,'2000'!A70,'Daftar Koreksi'!$G$5:$G$92,"Aset Tetap Lainnya",'Daftar Koreksi'!$I$5:$I$92,"&lt;0")-SUMIFS('Daftar Koreksi'!$I$5:$I$92,'Daftar Koreksi'!$D$5:$D$92,'2000'!A70,'Daftar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-108527000</v>
      </c>
      <c r="E87" s="25">
        <f>SUMIFS('Daftar Koreksi'!$I$5:$I$92,'Daftar Koreksi'!$D$5:$D$92,'2000'!A70,'Daftar Koreksi'!$G$5:$G$92,"Aset Henti Guna",'Daftar Koreksi'!$I$5:$I$92,"&gt;0")</f>
        <v>0</v>
      </c>
      <c r="F87" s="25">
        <f>SUMIFS('Daftar Koreksi'!$I$5:$I$92,'Daftar Koreksi'!$D$5:$D$92,'2000'!A70,'Daftar Koreksi'!$G$5:$G$92,"Aset Henti Guna",'Daftar Koreksi'!$I$5:$I$92,"&lt;0")-SUMIFS('Daftar Koreksi'!$I$5:$I$92,'Daftar Koreksi'!$D$5:$D$92,'2000'!A70,'Daftar Koreksi'!$G$5:$G$92,"Aset Henti Guna",'Daftar Koreksi'!$I$5:$I$92,"&lt;0")-SUMIFS('Daftar Koreksi'!$I$5:$I$92,'Daftar Koreksi'!$D$5:$D$92,'2000'!A70,'Daftar Koreksi'!$G$5:$G$92,"Aset Henti Guna",'Daftar Koreksi'!$I$5:$I$92,"&lt;0")</f>
        <v>0</v>
      </c>
      <c r="G87" s="17">
        <f t="shared" si="3"/>
        <v>-108527000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-3215607322</v>
      </c>
      <c r="E88" s="19">
        <f>SUM(E83:E87)</f>
        <v>0</v>
      </c>
      <c r="F88" s="19">
        <f>SUM(F83:F87)</f>
        <v>0</v>
      </c>
      <c r="G88" s="19">
        <f t="shared" si="3"/>
        <v>-3215607322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11105498815</v>
      </c>
      <c r="E89" s="19">
        <f>E88+E82</f>
        <v>0</v>
      </c>
      <c r="F89" s="19">
        <f>F88+F82</f>
        <v>0</v>
      </c>
      <c r="G89" s="19">
        <f t="shared" si="3"/>
        <v>11105498815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005012000307690000KD</v>
      </c>
      <c r="B92" s="11" t="str">
        <f>P5</f>
        <v>PA. Kolaka</v>
      </c>
      <c r="C92" s="12" t="str">
        <f>A92&amp;" "&amp;B92</f>
        <v>005012000307690000KD PA. Kolaka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310000</v>
      </c>
      <c r="E95" s="25">
        <f>SUMIFS('Daftar Koreksi'!$H$5:$H$92,'Daftar Koreksi'!$D$5:$D$92,'2000'!A92,'Daftar Koreksi'!$G$5:$G$92,"Persediaan",'Daftar Koreksi'!$H$5:$H$92,"&gt;0")</f>
        <v>0</v>
      </c>
      <c r="F95" s="25">
        <f>SUMIFS('Daftar Koreksi'!$H$5:$H$92,'Daftar Koreksi'!$D$5:$D$92,'2000'!A92,'Daftar Koreksi'!$G$5:$G$92,"Persediaan",'Daftar Koreksi'!$H$5:$H$92,"&lt;0")-SUMIFS('Daftar Koreksi'!$H$5:$H$92,'Daftar Koreksi'!$D$5:$D$92,'2000'!A92,'Daftar Koreksi'!$G$5:$G$92,"Persediaan",'Daftar Koreksi'!$H$5:$H$92,"&lt;0")-SUMIFS('Daftar Koreksi'!$H$5:$H$92,'Daftar Koreksi'!$D$5:$D$92,'2000'!A92,'Daftar Koreksi'!$G$5:$G$92,"Persediaan",'Daftar Koreksi'!$H$5:$H$92,"&lt;0")</f>
        <v>0</v>
      </c>
      <c r="G95" s="17">
        <f>D95+E95-F95</f>
        <v>310000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1550693000</v>
      </c>
      <c r="E96" s="25">
        <f>SUMIFS('Daftar Koreksi'!$H$5:$H$92,'Daftar Koreksi'!$D$5:$D$92,'2000'!A92,'Daftar Koreksi'!$G$5:$G$92,"Tanah",'Daftar Koreksi'!$H$5:$H$92,"&gt;0")</f>
        <v>0</v>
      </c>
      <c r="F96" s="25">
        <f>SUMIFS('Daftar Koreksi'!$H$5:$H$92,'Daftar Koreksi'!$D$5:$D$92,'2000'!A92,'Daftar Koreksi'!$G$5:$G$92,"Tanah",'Daftar Koreksi'!$H$5:$H$92,"&lt;0")-SUMIFS('Daftar Koreksi'!$H$5:$H$92,'Daftar Koreksi'!$D$5:$D$92,'2000'!A92,'Daftar Koreksi'!$G$5:$G$92,"Tanah",'Daftar Koreksi'!$H$5:$H$92,"&lt;0")-SUMIFS('Daftar Koreksi'!$H$5:$H$92,'Daftar Koreksi'!$D$5:$D$92,'2000'!A92,'Daftar Koreksi'!$G$5:$G$92,"Tanah",'Daftar Koreksi'!$H$5:$H$92,"&lt;0")</f>
        <v>0</v>
      </c>
      <c r="G96" s="17">
        <f t="shared" ref="G96:G112" si="4">D96+E96-F96</f>
        <v>1550693000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1273105101</v>
      </c>
      <c r="E97" s="25">
        <f>SUMIFS('Daftar Koreksi'!$H$5:$H$92,'Daftar Koreksi'!$D$5:$D$92,'2000'!A92,'Daftar Koreksi'!$G$5:$G$92,"Peralatan dan mesin",'Daftar Koreksi'!$H$5:$H$92,"&gt;0")</f>
        <v>0</v>
      </c>
      <c r="F97" s="25">
        <f>SUMIFS('Daftar Koreksi'!$H$5:$H$92,'Daftar Koreksi'!$D$5:$D$92,'2000'!A92,'Daftar Koreksi'!$G$5:$G$92,"Peralatan dan mesin",'Daftar Koreksi'!$H$5:$H$92,"&lt;0")-SUMIFS('Daftar Koreksi'!$H$5:$H$92,'Daftar Koreksi'!$D$5:$D$92,'2000'!A92,'Daftar Koreksi'!$G$5:$G$92,"Peralatan dan mesin",'Daftar Koreksi'!$H$5:$H$92,"&lt;0")-SUMIFS('Daftar Koreksi'!$H$5:$H$92,'Daftar Koreksi'!$D$5:$D$92,'2000'!A92,'Daftar Koreksi'!$G$5:$G$92,"Peralatan dan mesin",'Daftar Koreksi'!$H$5:$H$92,"&lt;0")</f>
        <v>0</v>
      </c>
      <c r="G97" s="17">
        <f t="shared" si="4"/>
        <v>1273105101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8863441000</v>
      </c>
      <c r="E98" s="25">
        <f>SUMIFS('Daftar Koreksi'!$H$5:$H$92,'Daftar Koreksi'!$D$5:$D$92,'2000'!A92,'Daftar Koreksi'!$G$5:$G$92,"Gedung dan Bangunan",'Daftar Koreksi'!$H$5:$H$92,"&gt;0")</f>
        <v>0</v>
      </c>
      <c r="F98" s="25">
        <f>SUMIFS('Daftar Koreksi'!$H$5:$H$92,'Daftar Koreksi'!$D$5:$D$92,'2000'!A92,'Daftar Koreksi'!$G$5:$G$92,"Gedung dan Bangunan",'Daftar Koreksi'!$H$5:$H$92,"&lt;0")-SUMIFS('Daftar Koreksi'!$H$5:$H$92,'Daftar Koreksi'!$D$5:$D$92,'2000'!A92,'Daftar Koreksi'!$G$5:$G$92,"Gedung dan Bangunan",'Daftar Koreksi'!$H$5:$H$92,"&lt;0")-SUMIFS('Daftar Koreksi'!$H$5:$H$92,'Daftar Koreksi'!$D$5:$D$92,'2000'!A92,'Daftar Koreksi'!$G$5:$G$92,"Gedung dan Bangunan",'Daftar Koreksi'!$H$5:$H$92,"&lt;0")</f>
        <v>0</v>
      </c>
      <c r="G98" s="17">
        <f t="shared" si="4"/>
        <v>8863441000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36550000</v>
      </c>
      <c r="E99" s="25">
        <f>SUMIFS('Daftar Koreksi'!$H$5:$H$92,'Daftar Koreksi'!$D$5:$D$92,'2000'!A92,'Daftar Koreksi'!$G$5:$G$92,"Jalan Irigasi Jaringan",'Daftar Koreksi'!$H$5:$H$92,"&gt;0")</f>
        <v>0</v>
      </c>
      <c r="F99" s="25">
        <f>SUMIFS('Daftar Koreksi'!$H$5:$H$92,'Daftar Koreksi'!$D$5:$D$92,'2000'!A92,'Daftar Koreksi'!$G$5:$G$92,"Jalan Irigasi Jaringan",'Daftar Koreksi'!$H$5:$H$92,"&lt;0")-SUMIFS('Daftar Koreksi'!$H$5:$H$92,'Daftar Koreksi'!$D$5:$D$92,'2000'!A92,'Daftar Koreksi'!$G$5:$G$92,"Jalan Irigasi Jaringan",'Daftar Koreksi'!$H$5:$H$92,"&lt;0")-SUMIFS('Daftar Koreksi'!$H$5:$H$92,'Daftar Koreksi'!$D$5:$D$92,'2000'!A92,'Daftar Koreksi'!$G$5:$G$92,"Jalan Irigasi Jaringan",'Daftar Koreksi'!$H$5:$H$92,"&lt;0")</f>
        <v>0</v>
      </c>
      <c r="G99" s="17">
        <f t="shared" si="4"/>
        <v>36550000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26332370</v>
      </c>
      <c r="E100" s="25">
        <f>SUMIFS('Daftar Koreksi'!$H$5:$H$92,'Daftar Koreksi'!$D$5:$D$92,'2000'!A92,'Daftar Koreksi'!$G$5:$G$92,"Aset Tetap Lainnya",'Daftar Koreksi'!$H$5:$H$92,"&gt;0")</f>
        <v>0</v>
      </c>
      <c r="F100" s="25">
        <f>SUMIFS('Daftar Koreksi'!$H$5:$H$92,'Daftar Koreksi'!$D$5:$D$92,'2000'!A92,'Daftar Koreksi'!$G$5:$G$92,"Aset Tetap Lainnya",'Daftar Koreksi'!$H$5:$H$92,"&lt;0")-SUMIFS('Daftar Koreksi'!$H$5:$H$92,'Daftar Koreksi'!$D$5:$D$92,'2000'!A92,'Daftar Koreksi'!$G$5:$G$92,"Aset Tetap Lainnya",'Daftar Koreksi'!$H$5:$H$92,"&lt;0")-SUMIFS('Daftar Koreksi'!$H$5:$H$92,'Daftar Koreksi'!$D$5:$D$92,'2000'!A92,'Daftar Koreksi'!$G$5:$G$92,"Aset Tetap Lainnya",'Daftar Koreksi'!$H$5:$H$92,"&lt;0")</f>
        <v>0</v>
      </c>
      <c r="G100" s="17">
        <f t="shared" si="4"/>
        <v>26332370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Koreksi'!$D$5:$D$92,'2000'!A92,'Daftar Koreksi'!$G$5:$G$92,"Kontruksi Dalam Pengerjaan",'Daftar Koreksi'!$H$5:$H$92,"&gt;0")</f>
        <v>0</v>
      </c>
      <c r="F101" s="25">
        <f>SUMIFS('Daftar Koreksi'!$H$5:$H$92,'Daftar Koreksi'!$D$5:$D$92,'2000'!A92,'Daftar Koreksi'!$G$5:$G$92,"Kontruksi Dalam Pengerjaan",'Daftar Koreksi'!$H$5:$H$92,"&lt;0")-SUMIFS('Daftar Koreksi'!$H$5:$H$92,'Daftar Koreksi'!$D$5:$D$92,'2000'!A92,'Daftar Koreksi'!$G$5:$G$92,"Kontruksi Dalam Pengerjaan",'Daftar Koreksi'!$H$5:$H$92,"&lt;0")-SUMIFS('Daftar Koreksi'!$H$5:$H$92,'Daftar Koreksi'!$D$5:$D$92,'2000'!A92,'Daftar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10000000</v>
      </c>
      <c r="E102" s="25">
        <f>SUMIFS('Daftar Koreksi'!$H$5:$H$92,'Daftar Koreksi'!$D$5:$D$92,'2000'!A92,'Daftar Koreksi'!$G$5:$G$92,"Aset Tak Berwujud",'Daftar Koreksi'!$H$5:$H$92,"&gt;0")</f>
        <v>0</v>
      </c>
      <c r="F102" s="25">
        <f>SUMIFS('Daftar Koreksi'!$H$5:$H$92,'Daftar Koreksi'!$D$5:$D$92,'2000'!A92,'Daftar Koreksi'!$G$5:$G$92,"Aset Tak Berwujud",'Daftar Koreksi'!$H$5:$H$92,"&lt;0")-SUMIFS('Daftar Koreksi'!$H$5:$H$92,'Daftar Koreksi'!$D$5:$D$92,'2000'!A92,'Daftar Koreksi'!$G$5:$G$92,"Aset Tak Berwujud",'Daftar Koreksi'!$H$5:$H$92,"&lt;0")-SUMIFS('Daftar Koreksi'!$H$5:$H$92,'Daftar Koreksi'!$D$5:$D$92,'2000'!A92,'Daftar Koreksi'!$G$5:$G$92,"Aset Tak Berwujud",'Daftar Koreksi'!$H$5:$H$92,"&lt;0")</f>
        <v>0</v>
      </c>
      <c r="G102" s="17">
        <f t="shared" si="4"/>
        <v>10000000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44711000</v>
      </c>
      <c r="E103" s="25">
        <f>SUMIFS('Daftar Koreksi'!$H$5:$H$92,'Daftar Koreksi'!$D$5:$D$92,'2000'!A92,'Daftar Koreksi'!$G$5:$G$92,"Aset Henti Guna",'Daftar Koreksi'!$H$5:$H$92,"&gt;0")</f>
        <v>0</v>
      </c>
      <c r="F103" s="25">
        <f>SUMIFS('Daftar Koreksi'!$H$5:$H$92,'Daftar Koreksi'!$D$5:$D$92,'2000'!A92,'Daftar Koreksi'!$G$5:$G$92,"Aset Henti Guna",'Daftar Koreksi'!$H$5:$H$92,"&lt;0")-SUMIFS('Daftar Koreksi'!$H$5:$H$92,'Daftar Koreksi'!$D$5:$D$92,'2000'!A92,'Daftar Koreksi'!$G$5:$G$92,"Aset Henti Guna",'Daftar Koreksi'!$H$5:$H$92,"&lt;0")-SUMIFS('Daftar Koreksi'!$H$5:$H$92,'Daftar Koreksi'!$D$5:$D$92,'2000'!A92,'Daftar Koreksi'!$G$5:$G$92,"Aset Henti Guna",'Daftar Koreksi'!$H$5:$H$92,"&lt;0")</f>
        <v>0</v>
      </c>
      <c r="G103" s="17">
        <f t="shared" si="4"/>
        <v>44711000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11805142471</v>
      </c>
      <c r="E104" s="19">
        <f>SUM(E95:E103)</f>
        <v>0</v>
      </c>
      <c r="F104" s="19">
        <f>SUM(F95:F103)</f>
        <v>0</v>
      </c>
      <c r="G104" s="19">
        <f t="shared" si="4"/>
        <v>11805142471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-935536010</v>
      </c>
      <c r="E105" s="25">
        <f>SUMIFS('Daftar Koreksi'!$I$5:$I$92,'Daftar Koreksi'!$D$5:$D$92,'2000'!A92,'Daftar Koreksi'!$G$5:$G$92,"Peralatan dan mesin",'Daftar Koreksi'!$I$5:$I$92,"&gt;0")</f>
        <v>0</v>
      </c>
      <c r="F105" s="25">
        <f>SUMIFS('Daftar Koreksi'!$I$5:$I$92,'Daftar Koreksi'!$D$5:$D$92,'2000'!A92,'Daftar Koreksi'!$G$5:$G$92,"Peralatan dan mesin",'Daftar Koreksi'!$I$5:$I$92,"&lt;0")-SUMIFS('Daftar Koreksi'!$I$5:$I$92,'Daftar Koreksi'!$D$5:$D$92,'2000'!A92,'Daftar Koreksi'!$G$5:$G$92,"Peralatan dan mesin",'Daftar Koreksi'!$I$5:$I$92,"&lt;0")-SUMIFS('Daftar Koreksi'!$I$5:$I$92,'Daftar Koreksi'!$D$5:$D$92,'2000'!A92,'Daftar Koreksi'!$G$5:$G$92,"Peralatan dan mesin",'Daftar Koreksi'!$I$5:$I$92,"&lt;0")</f>
        <v>0</v>
      </c>
      <c r="G105" s="17">
        <f t="shared" si="4"/>
        <v>-935536010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-463502668</v>
      </c>
      <c r="E106" s="25">
        <f>SUMIFS('Daftar Koreksi'!$I$5:$I$92,'Daftar Koreksi'!$D$5:$D$92,'2000'!A92,'Daftar Koreksi'!$G$5:$G$92,"Gedung dan Bangunan",'Daftar Koreksi'!$I$5:$I$92,"&gt;0")</f>
        <v>0</v>
      </c>
      <c r="F106" s="25">
        <f>SUMIFS('Daftar Koreksi'!$I$5:$I$92,'Daftar Koreksi'!$D$5:$D$92,'2000'!A92,'Daftar Koreksi'!$G$5:$G$92,"Gedung dan Bangunan",'Daftar Koreksi'!$I$5:$I$92,"&lt;0")-SUMIFS('Daftar Koreksi'!$I$5:$I$92,'Daftar Koreksi'!$D$5:$D$92,'2000'!A92,'Daftar Koreksi'!$G$5:$G$92,"Gedung dan Bangunan",'Daftar Koreksi'!$I$5:$I$92,"&lt;0")-SUMIFS('Daftar Koreksi'!$I$5:$I$92,'Daftar Koreksi'!$D$5:$D$92,'2000'!A92,'Daftar Koreksi'!$G$5:$G$92,"Gedung dan Bangunan",'Daftar Koreksi'!$I$5:$I$92,"&lt;0")</f>
        <v>0</v>
      </c>
      <c r="G106" s="17">
        <f t="shared" si="4"/>
        <v>-463502668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-4581664</v>
      </c>
      <c r="E107" s="25">
        <f>SUMIFS('Daftar Koreksi'!$I$5:$I$92,'Daftar Koreksi'!$D$5:$D$92,'2000'!A92,'Daftar Koreksi'!$G$5:$G$92,"Jalan Irigasi Jaringan",'Daftar Koreksi'!$I$5:$I$92,"&gt;0")</f>
        <v>0</v>
      </c>
      <c r="F107" s="25">
        <f>SUMIFS('Daftar Koreksi'!$I$5:$I$92,'Daftar Koreksi'!$D$5:$D$92,'2000'!A92,'Daftar Koreksi'!$G$5:$G$92,"Jalan Irigasi Jaringan",'Daftar Koreksi'!$I$5:$I$92,"&lt;0")-SUMIFS('Daftar Koreksi'!$I$5:$I$92,'Daftar Koreksi'!$D$5:$D$92,'2000'!A92,'Daftar Koreksi'!$G$5:$G$92,"Jalan Irigasi Jaringan",'Daftar Koreksi'!$I$5:$I$92,"&lt;0")-SUMIFS('Daftar Koreksi'!$I$5:$I$92,'Daftar Koreksi'!$D$5:$D$92,'2000'!A92,'Daftar Koreksi'!$G$5:$G$92,"Jalan Irigasi Jaringan",'Daftar Koreksi'!$I$5:$I$92,"&lt;0")</f>
        <v>0</v>
      </c>
      <c r="G107" s="17">
        <f t="shared" si="4"/>
        <v>-4581664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Koreksi'!$D$5:$D$92,'2000'!A92,'Daftar Koreksi'!$G$5:$G$92,"Aset Tetap Lainnya",'Daftar Koreksi'!$I$5:$I$92,"&gt;0")</f>
        <v>0</v>
      </c>
      <c r="F108" s="25">
        <f>SUMIFS('Daftar Koreksi'!$I$5:$I$92,'Daftar Koreksi'!$D$5:$D$92,'2000'!A92,'Daftar Koreksi'!$G$5:$G$92,"Aset Tetap Lainnya",'Daftar Koreksi'!$I$5:$I$92,"&lt;0")-SUMIFS('Daftar Koreksi'!$I$5:$I$92,'Daftar Koreksi'!$D$5:$D$92,'2000'!A92,'Daftar Koreksi'!$G$5:$G$92,"Aset Tetap Lainnya",'Daftar Koreksi'!$I$5:$I$92,"&lt;0")-SUMIFS('Daftar Koreksi'!$I$5:$I$92,'Daftar Koreksi'!$D$5:$D$92,'2000'!A92,'Daftar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-30600000</v>
      </c>
      <c r="E109" s="25">
        <f>SUMIFS('Daftar Koreksi'!$I$5:$I$92,'Daftar Koreksi'!$D$5:$D$92,'2000'!A92,'Daftar Koreksi'!$G$5:$G$92,"Aset Henti Guna",'Daftar Koreksi'!$I$5:$I$92,"&gt;0")</f>
        <v>0</v>
      </c>
      <c r="F109" s="25">
        <f>SUMIFS('Daftar Koreksi'!$I$5:$I$92,'Daftar Koreksi'!$D$5:$D$92,'2000'!A92,'Daftar Koreksi'!$G$5:$G$92,"Aset Henti Guna",'Daftar Koreksi'!$I$5:$I$92,"&lt;0")-SUMIFS('Daftar Koreksi'!$I$5:$I$92,'Daftar Koreksi'!$D$5:$D$92,'2000'!A92,'Daftar Koreksi'!$G$5:$G$92,"Aset Henti Guna",'Daftar Koreksi'!$I$5:$I$92,"&lt;0")-SUMIFS('Daftar Koreksi'!$I$5:$I$92,'Daftar Koreksi'!$D$5:$D$92,'2000'!A92,'Daftar Koreksi'!$G$5:$G$92,"Aset Henti Guna",'Daftar Koreksi'!$I$5:$I$92,"&lt;0")</f>
        <v>0</v>
      </c>
      <c r="G109" s="17">
        <f t="shared" si="4"/>
        <v>-30600000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-1434220342</v>
      </c>
      <c r="E110" s="19">
        <f>SUM(E105:E109)</f>
        <v>0</v>
      </c>
      <c r="F110" s="19">
        <f>SUM(F105:F109)</f>
        <v>0</v>
      </c>
      <c r="G110" s="19">
        <f t="shared" si="4"/>
        <v>-1434220342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10370922129</v>
      </c>
      <c r="E111" s="19">
        <f>E110+E104</f>
        <v>0</v>
      </c>
      <c r="F111" s="19">
        <f>F110+F104</f>
        <v>0</v>
      </c>
      <c r="G111" s="19">
        <f t="shared" si="4"/>
        <v>10370922129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005012000307708000KD</v>
      </c>
      <c r="B114" s="11" t="str">
        <f>P6</f>
        <v>PA. Raha</v>
      </c>
      <c r="C114" s="12" t="str">
        <f>A114&amp;" "&amp;B114</f>
        <v>005012000307708000KD PA. Raha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131000</v>
      </c>
      <c r="E117" s="25">
        <f>SUMIFS('Daftar Koreksi'!$H$5:$H$92,'Daftar Koreksi'!$D$5:$D$92,'2000'!A114,'Daftar Koreksi'!$G$5:$G$92,"Persediaan",'Daftar Koreksi'!$H$5:$H$92,"&gt;0")</f>
        <v>0</v>
      </c>
      <c r="F117" s="25">
        <f>SUMIFS('Daftar Koreksi'!$H$5:$H$92,'Daftar Koreksi'!$D$5:$D$92,'2000'!A114,'Daftar Koreksi'!$G$5:$G$92,"Persediaan",'Daftar Koreksi'!$H$5:$H$92,"&lt;0")-SUMIFS('Daftar Koreksi'!$H$5:$H$92,'Daftar Koreksi'!$D$5:$D$92,'2000'!A114,'Daftar Koreksi'!$G$5:$G$92,"Persediaan",'Daftar Koreksi'!$H$5:$H$92,"&lt;0")-SUMIFS('Daftar Koreksi'!$H$5:$H$92,'Daftar Koreksi'!$D$5:$D$92,'2000'!A114,'Daftar Koreksi'!$G$5:$G$92,"Persediaan",'Daftar Koreksi'!$H$5:$H$92,"&lt;0")</f>
        <v>0</v>
      </c>
      <c r="G117" s="17">
        <f>D117+E117-F117</f>
        <v>131000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1131452000</v>
      </c>
      <c r="E118" s="25">
        <f>SUMIFS('Daftar Koreksi'!$H$5:$H$92,'Daftar Koreksi'!$D$5:$D$92,'2000'!A114,'Daftar Koreksi'!$G$5:$G$92,"Tanah",'Daftar Koreksi'!$H$5:$H$92,"&gt;0")</f>
        <v>0</v>
      </c>
      <c r="F118" s="25">
        <f>SUMIFS('Daftar Koreksi'!$H$5:$H$92,'Daftar Koreksi'!$D$5:$D$92,'2000'!A114,'Daftar Koreksi'!$G$5:$G$92,"Tanah",'Daftar Koreksi'!$H$5:$H$92,"&lt;0")-SUMIFS('Daftar Koreksi'!$H$5:$H$92,'Daftar Koreksi'!$D$5:$D$92,'2000'!A114,'Daftar Koreksi'!$G$5:$G$92,"Tanah",'Daftar Koreksi'!$H$5:$H$92,"&lt;0")-SUMIFS('Daftar Koreksi'!$H$5:$H$92,'Daftar Koreksi'!$D$5:$D$92,'2000'!A114,'Daftar Koreksi'!$G$5:$G$92,"Tanah",'Daftar Koreksi'!$H$5:$H$92,"&lt;0")</f>
        <v>0</v>
      </c>
      <c r="G118" s="17">
        <f t="shared" ref="G118:G134" si="5">D118+E118-F118</f>
        <v>1131452000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1576182903</v>
      </c>
      <c r="E119" s="25">
        <f>SUMIFS('Daftar Koreksi'!$H$5:$H$92,'Daftar Koreksi'!$D$5:$D$92,'2000'!A114,'Daftar Koreksi'!$G$5:$G$92,"Peralatan dan mesin",'Daftar Koreksi'!$H$5:$H$92,"&gt;0")</f>
        <v>0</v>
      </c>
      <c r="F119" s="25">
        <f>SUMIFS('Daftar Koreksi'!$H$5:$H$92,'Daftar Koreksi'!$D$5:$D$92,'2000'!A114,'Daftar Koreksi'!$G$5:$G$92,"Peralatan dan mesin",'Daftar Koreksi'!$H$5:$H$92,"&lt;0")-SUMIFS('Daftar Koreksi'!$H$5:$H$92,'Daftar Koreksi'!$D$5:$D$92,'2000'!A114,'Daftar Koreksi'!$G$5:$G$92,"Peralatan dan mesin",'Daftar Koreksi'!$H$5:$H$92,"&lt;0")-SUMIFS('Daftar Koreksi'!$H$5:$H$92,'Daftar Koreksi'!$D$5:$D$92,'2000'!A114,'Daftar Koreksi'!$G$5:$G$92,"Peralatan dan mesin",'Daftar Koreksi'!$H$5:$H$92,"&lt;0")</f>
        <v>0</v>
      </c>
      <c r="G119" s="17">
        <f t="shared" si="5"/>
        <v>1576182903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7981367910</v>
      </c>
      <c r="E120" s="25">
        <f>SUMIFS('Daftar Koreksi'!$H$5:$H$92,'Daftar Koreksi'!$D$5:$D$92,'2000'!A114,'Daftar Koreksi'!$G$5:$G$92,"Gedung dan Bangunan",'Daftar Koreksi'!$H$5:$H$92,"&gt;0")</f>
        <v>0</v>
      </c>
      <c r="F120" s="25">
        <f>SUMIFS('Daftar Koreksi'!$H$5:$H$92,'Daftar Koreksi'!$D$5:$D$92,'2000'!A114,'Daftar Koreksi'!$G$5:$G$92,"Gedung dan Bangunan",'Daftar Koreksi'!$H$5:$H$92,"&lt;0")-SUMIFS('Daftar Koreksi'!$H$5:$H$92,'Daftar Koreksi'!$D$5:$D$92,'2000'!A114,'Daftar Koreksi'!$G$5:$G$92,"Gedung dan Bangunan",'Daftar Koreksi'!$H$5:$H$92,"&lt;0")-SUMIFS('Daftar Koreksi'!$H$5:$H$92,'Daftar Koreksi'!$D$5:$D$92,'2000'!A114,'Daftar Koreksi'!$G$5:$G$92,"Gedung dan Bangunan",'Daftar Koreksi'!$H$5:$H$92,"&lt;0")</f>
        <v>0</v>
      </c>
      <c r="G120" s="17">
        <f t="shared" si="5"/>
        <v>7981367910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Koreksi'!$D$5:$D$92,'2000'!A114,'Daftar Koreksi'!$G$5:$G$92,"Jalan Irigasi Jaringan",'Daftar Koreksi'!$H$5:$H$92,"&gt;0")</f>
        <v>0</v>
      </c>
      <c r="F121" s="25">
        <f>SUMIFS('Daftar Koreksi'!$H$5:$H$92,'Daftar Koreksi'!$D$5:$D$92,'2000'!A114,'Daftar Koreksi'!$G$5:$G$92,"Jalan Irigasi Jaringan",'Daftar Koreksi'!$H$5:$H$92,"&lt;0")-SUMIFS('Daftar Koreksi'!$H$5:$H$92,'Daftar Koreksi'!$D$5:$D$92,'2000'!A114,'Daftar Koreksi'!$G$5:$G$92,"Jalan Irigasi Jaringan",'Daftar Koreksi'!$H$5:$H$92,"&lt;0")-SUMIFS('Daftar Koreksi'!$H$5:$H$92,'Daftar Koreksi'!$D$5:$D$92,'2000'!A114,'Daftar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41166928</v>
      </c>
      <c r="E122" s="25">
        <f>SUMIFS('Daftar Koreksi'!$H$5:$H$92,'Daftar Koreksi'!$D$5:$D$92,'2000'!A114,'Daftar Koreksi'!$G$5:$G$92,"Aset Tetap Lainnya",'Daftar Koreksi'!$H$5:$H$92,"&gt;0")</f>
        <v>0</v>
      </c>
      <c r="F122" s="25">
        <f>SUMIFS('Daftar Koreksi'!$H$5:$H$92,'Daftar Koreksi'!$D$5:$D$92,'2000'!A114,'Daftar Koreksi'!$G$5:$G$92,"Aset Tetap Lainnya",'Daftar Koreksi'!$H$5:$H$92,"&lt;0")-SUMIFS('Daftar Koreksi'!$H$5:$H$92,'Daftar Koreksi'!$D$5:$D$92,'2000'!A114,'Daftar Koreksi'!$G$5:$G$92,"Aset Tetap Lainnya",'Daftar Koreksi'!$H$5:$H$92,"&lt;0")-SUMIFS('Daftar Koreksi'!$H$5:$H$92,'Daftar Koreksi'!$D$5:$D$92,'2000'!A114,'Daftar Koreksi'!$G$5:$G$92,"Aset Tetap Lainnya",'Daftar Koreksi'!$H$5:$H$92,"&lt;0")</f>
        <v>0</v>
      </c>
      <c r="G122" s="17">
        <f t="shared" si="5"/>
        <v>41166928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Koreksi'!$D$5:$D$92,'2000'!A114,'Daftar Koreksi'!$G$5:$G$92,"Kontruksi Dalam Pengerjaan",'Daftar Koreksi'!$H$5:$H$92,"&gt;0")</f>
        <v>0</v>
      </c>
      <c r="F123" s="25">
        <f>SUMIFS('Daftar Koreksi'!$H$5:$H$92,'Daftar Koreksi'!$D$5:$D$92,'2000'!A114,'Daftar Koreksi'!$G$5:$G$92,"Kontruksi Dalam Pengerjaan",'Daftar Koreksi'!$H$5:$H$92,"&lt;0")-SUMIFS('Daftar Koreksi'!$H$5:$H$92,'Daftar Koreksi'!$D$5:$D$92,'2000'!A114,'Daftar Koreksi'!$G$5:$G$92,"Kontruksi Dalam Pengerjaan",'Daftar Koreksi'!$H$5:$H$92,"&lt;0")-SUMIFS('Daftar Koreksi'!$H$5:$H$92,'Daftar Koreksi'!$D$5:$D$92,'2000'!A114,'Daftar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13000000</v>
      </c>
      <c r="E124" s="25">
        <f>SUMIFS('Daftar Koreksi'!$H$5:$H$92,'Daftar Koreksi'!$D$5:$D$92,'2000'!A114,'Daftar Koreksi'!$G$5:$G$92,"Aset Tak Berwujud",'Daftar Koreksi'!$H$5:$H$92,"&gt;0")</f>
        <v>0</v>
      </c>
      <c r="F124" s="25">
        <f>SUMIFS('Daftar Koreksi'!$H$5:$H$92,'Daftar Koreksi'!$D$5:$D$92,'2000'!A114,'Daftar Koreksi'!$G$5:$G$92,"Aset Tak Berwujud",'Daftar Koreksi'!$H$5:$H$92,"&lt;0")-SUMIFS('Daftar Koreksi'!$H$5:$H$92,'Daftar Koreksi'!$D$5:$D$92,'2000'!A114,'Daftar Koreksi'!$G$5:$G$92,"Aset Tak Berwujud",'Daftar Koreksi'!$H$5:$H$92,"&lt;0")-SUMIFS('Daftar Koreksi'!$H$5:$H$92,'Daftar Koreksi'!$D$5:$D$92,'2000'!A114,'Daftar Koreksi'!$G$5:$G$92,"Aset Tak Berwujud",'Daftar Koreksi'!$H$5:$H$92,"&lt;0")</f>
        <v>0</v>
      </c>
      <c r="G124" s="17">
        <f t="shared" si="5"/>
        <v>13000000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82722001</v>
      </c>
      <c r="E125" s="25">
        <f>SUMIFS('Daftar Koreksi'!$H$5:$H$92,'Daftar Koreksi'!$D$5:$D$92,'2000'!A114,'Daftar Koreksi'!$G$5:$G$92,"Aset Henti Guna",'Daftar Koreksi'!$H$5:$H$92,"&gt;0")</f>
        <v>0</v>
      </c>
      <c r="F125" s="25">
        <f>SUMIFS('Daftar Koreksi'!$H$5:$H$92,'Daftar Koreksi'!$D$5:$D$92,'2000'!A114,'Daftar Koreksi'!$G$5:$G$92,"Aset Henti Guna",'Daftar Koreksi'!$H$5:$H$92,"&lt;0")-SUMIFS('Daftar Koreksi'!$H$5:$H$92,'Daftar Koreksi'!$D$5:$D$92,'2000'!A114,'Daftar Koreksi'!$G$5:$G$92,"Aset Henti Guna",'Daftar Koreksi'!$H$5:$H$92,"&lt;0")-SUMIFS('Daftar Koreksi'!$H$5:$H$92,'Daftar Koreksi'!$D$5:$D$92,'2000'!A114,'Daftar Koreksi'!$G$5:$G$92,"Aset Henti Guna",'Daftar Koreksi'!$H$5:$H$92,"&lt;0")</f>
        <v>0</v>
      </c>
      <c r="G125" s="17">
        <f t="shared" si="5"/>
        <v>82722001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10826022742</v>
      </c>
      <c r="E126" s="19">
        <f>SUM(E117:E125)</f>
        <v>0</v>
      </c>
      <c r="F126" s="19">
        <f>SUM(F117:F125)</f>
        <v>0</v>
      </c>
      <c r="G126" s="19">
        <f t="shared" si="5"/>
        <v>10826022742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-908217250</v>
      </c>
      <c r="E127" s="25">
        <f>SUMIFS('Daftar Koreksi'!$I$5:$I$92,'Daftar Koreksi'!$D$5:$D$92,'2000'!A114,'Daftar Koreksi'!$G$5:$G$92,"Peralatan dan mesin",'Daftar Koreksi'!$I$5:$I$92,"&gt;0")</f>
        <v>0</v>
      </c>
      <c r="F127" s="25">
        <f>SUMIFS('Daftar Koreksi'!$I$5:$I$92,'Daftar Koreksi'!$D$5:$D$92,'2000'!A114,'Daftar Koreksi'!$G$5:$G$92,"Peralatan dan mesin",'Daftar Koreksi'!$I$5:$I$92,"&lt;0")-SUMIFS('Daftar Koreksi'!$I$5:$I$92,'Daftar Koreksi'!$D$5:$D$92,'2000'!A114,'Daftar Koreksi'!$G$5:$G$92,"Peralatan dan mesin",'Daftar Koreksi'!$I$5:$I$92,"&lt;0")-SUMIFS('Daftar Koreksi'!$I$5:$I$92,'Daftar Koreksi'!$D$5:$D$92,'2000'!A114,'Daftar Koreksi'!$G$5:$G$92,"Peralatan dan mesin",'Daftar Koreksi'!$I$5:$I$92,"&lt;0")</f>
        <v>0</v>
      </c>
      <c r="G127" s="17">
        <f t="shared" si="5"/>
        <v>-908217250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-676380308</v>
      </c>
      <c r="E128" s="25">
        <f>SUMIFS('Daftar Koreksi'!$I$5:$I$92,'Daftar Koreksi'!$D$5:$D$92,'2000'!A114,'Daftar Koreksi'!$G$5:$G$92,"Gedung dan Bangunan",'Daftar Koreksi'!$I$5:$I$92,"&gt;0")</f>
        <v>0</v>
      </c>
      <c r="F128" s="25">
        <f>SUMIFS('Daftar Koreksi'!$I$5:$I$92,'Daftar Koreksi'!$D$5:$D$92,'2000'!A114,'Daftar Koreksi'!$G$5:$G$92,"Gedung dan Bangunan",'Daftar Koreksi'!$I$5:$I$92,"&lt;0")-SUMIFS('Daftar Koreksi'!$I$5:$I$92,'Daftar Koreksi'!$D$5:$D$92,'2000'!A114,'Daftar Koreksi'!$G$5:$G$92,"Gedung dan Bangunan",'Daftar Koreksi'!$I$5:$I$92,"&lt;0")-SUMIFS('Daftar Koreksi'!$I$5:$I$92,'Daftar Koreksi'!$D$5:$D$92,'2000'!A114,'Daftar Koreksi'!$G$5:$G$92,"Gedung dan Bangunan",'Daftar Koreksi'!$I$5:$I$92,"&lt;0")</f>
        <v>0</v>
      </c>
      <c r="G128" s="17">
        <f t="shared" si="5"/>
        <v>-676380308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Koreksi'!$D$5:$D$92,'2000'!A114,'Daftar Koreksi'!$G$5:$G$92,"Jalan Irigasi Jaringan",'Daftar Koreksi'!$I$5:$I$92,"&gt;0")</f>
        <v>0</v>
      </c>
      <c r="F129" s="25">
        <f>SUMIFS('Daftar Koreksi'!$I$5:$I$92,'Daftar Koreksi'!$D$5:$D$92,'2000'!A114,'Daftar Koreksi'!$G$5:$G$92,"Jalan Irigasi Jaringan",'Daftar Koreksi'!$I$5:$I$92,"&lt;0")-SUMIFS('Daftar Koreksi'!$I$5:$I$92,'Daftar Koreksi'!$D$5:$D$92,'2000'!A114,'Daftar Koreksi'!$G$5:$G$92,"Jalan Irigasi Jaringan",'Daftar Koreksi'!$I$5:$I$92,"&lt;0")-SUMIFS('Daftar Koreksi'!$I$5:$I$92,'Daftar Koreksi'!$D$5:$D$92,'2000'!A114,'Daftar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Koreksi'!$D$5:$D$92,'2000'!A114,'Daftar Koreksi'!$G$5:$G$92,"Aset Tetap Lainnya",'Daftar Koreksi'!$I$5:$I$92,"&gt;0")</f>
        <v>0</v>
      </c>
      <c r="F130" s="25">
        <f>SUMIFS('Daftar Koreksi'!$I$5:$I$92,'Daftar Koreksi'!$D$5:$D$92,'2000'!A114,'Daftar Koreksi'!$G$5:$G$92,"Aset Tetap Lainnya",'Daftar Koreksi'!$I$5:$I$92,"&lt;0")-SUMIFS('Daftar Koreksi'!$I$5:$I$92,'Daftar Koreksi'!$D$5:$D$92,'2000'!A114,'Daftar Koreksi'!$G$5:$G$92,"Aset Tetap Lainnya",'Daftar Koreksi'!$I$5:$I$92,"&lt;0")-SUMIFS('Daftar Koreksi'!$I$5:$I$92,'Daftar Koreksi'!$D$5:$D$92,'2000'!A114,'Daftar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-82722001</v>
      </c>
      <c r="E131" s="25">
        <f>SUMIFS('Daftar Koreksi'!$I$5:$I$92,'Daftar Koreksi'!$D$5:$D$92,'2000'!A114,'Daftar Koreksi'!$G$5:$G$92,"Aset Henti Guna",'Daftar Koreksi'!$I$5:$I$92,"&gt;0")</f>
        <v>0</v>
      </c>
      <c r="F131" s="25">
        <f>SUMIFS('Daftar Koreksi'!$I$5:$I$92,'Daftar Koreksi'!$D$5:$D$92,'2000'!A114,'Daftar Koreksi'!$G$5:$G$92,"Aset Henti Guna",'Daftar Koreksi'!$I$5:$I$92,"&lt;0")-SUMIFS('Daftar Koreksi'!$I$5:$I$92,'Daftar Koreksi'!$D$5:$D$92,'2000'!A114,'Daftar Koreksi'!$G$5:$G$92,"Aset Henti Guna",'Daftar Koreksi'!$I$5:$I$92,"&lt;0")-SUMIFS('Daftar Koreksi'!$I$5:$I$92,'Daftar Koreksi'!$D$5:$D$92,'2000'!A114,'Daftar Koreksi'!$G$5:$G$92,"Aset Henti Guna",'Daftar Koreksi'!$I$5:$I$92,"&lt;0")</f>
        <v>0</v>
      </c>
      <c r="G131" s="17">
        <f t="shared" si="5"/>
        <v>-82722001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-1667319559</v>
      </c>
      <c r="E132" s="19">
        <f>SUM(E127:E131)</f>
        <v>0</v>
      </c>
      <c r="F132" s="19">
        <f>SUM(F127:F131)</f>
        <v>0</v>
      </c>
      <c r="G132" s="19">
        <f t="shared" si="5"/>
        <v>-1667319559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9158703183</v>
      </c>
      <c r="E133" s="19">
        <f>E132+E126</f>
        <v>0</v>
      </c>
      <c r="F133" s="19">
        <f>F132+F126</f>
        <v>0</v>
      </c>
      <c r="G133" s="19">
        <f t="shared" si="5"/>
        <v>9158703183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005012000307712000KD</v>
      </c>
      <c r="B136" s="11" t="str">
        <f>P7</f>
        <v>PA. Kendari</v>
      </c>
      <c r="C136" s="12" t="str">
        <f>A136&amp;" "&amp;B136</f>
        <v>005012000307712000KD PA. Kendari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1540130</v>
      </c>
      <c r="E139" s="25">
        <f>SUMIFS('Daftar Koreksi'!$H$5:$H$92,'Daftar Koreksi'!$D$5:$D$92,'2000'!A136,'Daftar Koreksi'!$G$5:$G$92,"Persediaan",'Daftar Koreksi'!$H$5:$H$92,"&gt;0")</f>
        <v>0</v>
      </c>
      <c r="F139" s="25">
        <f>SUMIFS('Daftar Koreksi'!$H$5:$H$92,'Daftar Koreksi'!$D$5:$D$92,'2000'!A136,'Daftar Koreksi'!$G$5:$G$92,"Persediaan",'Daftar Koreksi'!$H$5:$H$92,"&lt;0")-SUMIFS('Daftar Koreksi'!$H$5:$H$92,'Daftar Koreksi'!$D$5:$D$92,'2000'!A136,'Daftar Koreksi'!$G$5:$G$92,"Persediaan",'Daftar Koreksi'!$H$5:$H$92,"&lt;0")-SUMIFS('Daftar Koreksi'!$H$5:$H$92,'Daftar Koreksi'!$D$5:$D$92,'2000'!A136,'Daftar Koreksi'!$G$5:$G$92,"Persediaan",'Daftar Koreksi'!$H$5:$H$92,"&lt;0")</f>
        <v>0</v>
      </c>
      <c r="G139" s="17">
        <f>D139+E139-F139</f>
        <v>1540130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1364850000</v>
      </c>
      <c r="E140" s="25">
        <f>SUMIFS('Daftar Koreksi'!$H$5:$H$92,'Daftar Koreksi'!$D$5:$D$92,'2000'!A136,'Daftar Koreksi'!$G$5:$G$92,"Tanah",'Daftar Koreksi'!$H$5:$H$92,"&gt;0")</f>
        <v>0</v>
      </c>
      <c r="F140" s="25">
        <f>SUMIFS('Daftar Koreksi'!$H$5:$H$92,'Daftar Koreksi'!$D$5:$D$92,'2000'!A136,'Daftar Koreksi'!$G$5:$G$92,"Tanah",'Daftar Koreksi'!$H$5:$H$92,"&lt;0")-SUMIFS('Daftar Koreksi'!$H$5:$H$92,'Daftar Koreksi'!$D$5:$D$92,'2000'!A136,'Daftar Koreksi'!$G$5:$G$92,"Tanah",'Daftar Koreksi'!$H$5:$H$92,"&lt;0")-SUMIFS('Daftar Koreksi'!$H$5:$H$92,'Daftar Koreksi'!$D$5:$D$92,'2000'!A136,'Daftar Koreksi'!$G$5:$G$92,"Tanah",'Daftar Koreksi'!$H$5:$H$92,"&lt;0")</f>
        <v>0</v>
      </c>
      <c r="G140" s="17">
        <f t="shared" ref="G140:G156" si="6">D140+E140-F140</f>
        <v>1364850000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1519491846</v>
      </c>
      <c r="E141" s="25">
        <f>SUMIFS('Daftar Koreksi'!$H$5:$H$92,'Daftar Koreksi'!$D$5:$D$92,'2000'!A136,'Daftar Koreksi'!$G$5:$G$92,"Peralatan dan mesin",'Daftar Koreksi'!$H$5:$H$92,"&gt;0")</f>
        <v>0</v>
      </c>
      <c r="F141" s="25">
        <f>SUMIFS('Daftar Koreksi'!$H$5:$H$92,'Daftar Koreksi'!$D$5:$D$92,'2000'!A136,'Daftar Koreksi'!$G$5:$G$92,"Peralatan dan mesin",'Daftar Koreksi'!$H$5:$H$92,"&lt;0")-SUMIFS('Daftar Koreksi'!$H$5:$H$92,'Daftar Koreksi'!$D$5:$D$92,'2000'!A136,'Daftar Koreksi'!$G$5:$G$92,"Peralatan dan mesin",'Daftar Koreksi'!$H$5:$H$92,"&lt;0")-SUMIFS('Daftar Koreksi'!$H$5:$H$92,'Daftar Koreksi'!$D$5:$D$92,'2000'!A136,'Daftar Koreksi'!$G$5:$G$92,"Peralatan dan mesin",'Daftar Koreksi'!$H$5:$H$92,"&lt;0")</f>
        <v>0</v>
      </c>
      <c r="G141" s="17">
        <f t="shared" si="6"/>
        <v>1519491846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7090406000</v>
      </c>
      <c r="E142" s="25">
        <f>SUMIFS('Daftar Koreksi'!$H$5:$H$92,'Daftar Koreksi'!$D$5:$D$92,'2000'!A136,'Daftar Koreksi'!$G$5:$G$92,"Gedung dan Bangunan",'Daftar Koreksi'!$H$5:$H$92,"&gt;0")</f>
        <v>0</v>
      </c>
      <c r="F142" s="25">
        <f>SUMIFS('Daftar Koreksi'!$H$5:$H$92,'Daftar Koreksi'!$D$5:$D$92,'2000'!A136,'Daftar Koreksi'!$G$5:$G$92,"Gedung dan Bangunan",'Daftar Koreksi'!$H$5:$H$92,"&lt;0")-SUMIFS('Daftar Koreksi'!$H$5:$H$92,'Daftar Koreksi'!$D$5:$D$92,'2000'!A136,'Daftar Koreksi'!$G$5:$G$92,"Gedung dan Bangunan",'Daftar Koreksi'!$H$5:$H$92,"&lt;0")-SUMIFS('Daftar Koreksi'!$H$5:$H$92,'Daftar Koreksi'!$D$5:$D$92,'2000'!A136,'Daftar Koreksi'!$G$5:$G$92,"Gedung dan Bangunan",'Daftar Koreksi'!$H$5:$H$92,"&lt;0")</f>
        <v>0</v>
      </c>
      <c r="G142" s="17">
        <f t="shared" si="6"/>
        <v>7090406000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144896000</v>
      </c>
      <c r="E143" s="25">
        <f>SUMIFS('Daftar Koreksi'!$H$5:$H$92,'Daftar Koreksi'!$D$5:$D$92,'2000'!A136,'Daftar Koreksi'!$G$5:$G$92,"Jalan Irigasi Jaringan",'Daftar Koreksi'!$H$5:$H$92,"&gt;0")</f>
        <v>0</v>
      </c>
      <c r="F143" s="25">
        <f>SUMIFS('Daftar Koreksi'!$H$5:$H$92,'Daftar Koreksi'!$D$5:$D$92,'2000'!A136,'Daftar Koreksi'!$G$5:$G$92,"Jalan Irigasi Jaringan",'Daftar Koreksi'!$H$5:$H$92,"&lt;0")-SUMIFS('Daftar Koreksi'!$H$5:$H$92,'Daftar Koreksi'!$D$5:$D$92,'2000'!A136,'Daftar Koreksi'!$G$5:$G$92,"Jalan Irigasi Jaringan",'Daftar Koreksi'!$H$5:$H$92,"&lt;0")-SUMIFS('Daftar Koreksi'!$H$5:$H$92,'Daftar Koreksi'!$D$5:$D$92,'2000'!A136,'Daftar Koreksi'!$G$5:$G$92,"Jalan Irigasi Jaringan",'Daftar Koreksi'!$H$5:$H$92,"&lt;0")</f>
        <v>0</v>
      </c>
      <c r="G143" s="17">
        <f t="shared" si="6"/>
        <v>144896000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21016084</v>
      </c>
      <c r="E144" s="25">
        <f>SUMIFS('Daftar Koreksi'!$H$5:$H$92,'Daftar Koreksi'!$D$5:$D$92,'2000'!A136,'Daftar Koreksi'!$G$5:$G$92,"Aset Tetap Lainnya",'Daftar Koreksi'!$H$5:$H$92,"&gt;0")</f>
        <v>0</v>
      </c>
      <c r="F144" s="25">
        <f>SUMIFS('Daftar Koreksi'!$H$5:$H$92,'Daftar Koreksi'!$D$5:$D$92,'2000'!A136,'Daftar Koreksi'!$G$5:$G$92,"Aset Tetap Lainnya",'Daftar Koreksi'!$H$5:$H$92,"&lt;0")-SUMIFS('Daftar Koreksi'!$H$5:$H$92,'Daftar Koreksi'!$D$5:$D$92,'2000'!A136,'Daftar Koreksi'!$G$5:$G$92,"Aset Tetap Lainnya",'Daftar Koreksi'!$H$5:$H$92,"&lt;0")-SUMIFS('Daftar Koreksi'!$H$5:$H$92,'Daftar Koreksi'!$D$5:$D$92,'2000'!A136,'Daftar Koreksi'!$G$5:$G$92,"Aset Tetap Lainnya",'Daftar Koreksi'!$H$5:$H$92,"&lt;0")</f>
        <v>0</v>
      </c>
      <c r="G144" s="17">
        <f t="shared" si="6"/>
        <v>21016084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Koreksi'!$D$5:$D$92,'2000'!A136,'Daftar Koreksi'!$G$5:$G$92,"Kontruksi Dalam Pengerjaan",'Daftar Koreksi'!$H$5:$H$92,"&gt;0")</f>
        <v>0</v>
      </c>
      <c r="F145" s="25">
        <f>SUMIFS('Daftar Koreksi'!$H$5:$H$92,'Daftar Koreksi'!$D$5:$D$92,'2000'!A136,'Daftar Koreksi'!$G$5:$G$92,"Kontruksi Dalam Pengerjaan",'Daftar Koreksi'!$H$5:$H$92,"&lt;0")-SUMIFS('Daftar Koreksi'!$H$5:$H$92,'Daftar Koreksi'!$D$5:$D$92,'2000'!A136,'Daftar Koreksi'!$G$5:$G$92,"Kontruksi Dalam Pengerjaan",'Daftar Koreksi'!$H$5:$H$92,"&lt;0")-SUMIFS('Daftar Koreksi'!$H$5:$H$92,'Daftar Koreksi'!$D$5:$D$92,'2000'!A136,'Daftar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Koreksi'!$D$5:$D$92,'2000'!A136,'Daftar Koreksi'!$G$5:$G$92,"Aset Tak Berwujud",'Daftar Koreksi'!$H$5:$H$92,"&gt;0")</f>
        <v>0</v>
      </c>
      <c r="F146" s="25">
        <f>SUMIFS('Daftar Koreksi'!$H$5:$H$92,'Daftar Koreksi'!$D$5:$D$92,'2000'!A136,'Daftar Koreksi'!$G$5:$G$92,"Aset Tak Berwujud",'Daftar Koreksi'!$H$5:$H$92,"&lt;0")-SUMIFS('Daftar Koreksi'!$H$5:$H$92,'Daftar Koreksi'!$D$5:$D$92,'2000'!A136,'Daftar Koreksi'!$G$5:$G$92,"Aset Tak Berwujud",'Daftar Koreksi'!$H$5:$H$92,"&lt;0")-SUMIFS('Daftar Koreksi'!$H$5:$H$92,'Daftar Koreksi'!$D$5:$D$92,'2000'!A136,'Daftar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463416913</v>
      </c>
      <c r="E147" s="25">
        <f>SUMIFS('Daftar Koreksi'!$H$5:$H$92,'Daftar Koreksi'!$D$5:$D$92,'2000'!A136,'Daftar Koreksi'!$G$5:$G$92,"Aset Henti Guna",'Daftar Koreksi'!$H$5:$H$92,"&gt;0")</f>
        <v>0</v>
      </c>
      <c r="F147" s="25">
        <f>SUMIFS('Daftar Koreksi'!$H$5:$H$92,'Daftar Koreksi'!$D$5:$D$92,'2000'!A136,'Daftar Koreksi'!$G$5:$G$92,"Aset Henti Guna",'Daftar Koreksi'!$H$5:$H$92,"&lt;0")-SUMIFS('Daftar Koreksi'!$H$5:$H$92,'Daftar Koreksi'!$D$5:$D$92,'2000'!A136,'Daftar Koreksi'!$G$5:$G$92,"Aset Henti Guna",'Daftar Koreksi'!$H$5:$H$92,"&lt;0")-SUMIFS('Daftar Koreksi'!$H$5:$H$92,'Daftar Koreksi'!$D$5:$D$92,'2000'!A136,'Daftar Koreksi'!$G$5:$G$92,"Aset Henti Guna",'Daftar Koreksi'!$H$5:$H$92,"&lt;0")</f>
        <v>0</v>
      </c>
      <c r="G147" s="17">
        <f t="shared" si="6"/>
        <v>463416913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10605616973</v>
      </c>
      <c r="E148" s="19">
        <f>SUM(E139:E147)</f>
        <v>0</v>
      </c>
      <c r="F148" s="19">
        <f>SUM(F139:F147)</f>
        <v>0</v>
      </c>
      <c r="G148" s="19">
        <f t="shared" si="6"/>
        <v>10605616973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-999126289</v>
      </c>
      <c r="E149" s="25">
        <f>SUMIFS('Daftar Koreksi'!$I$5:$I$92,'Daftar Koreksi'!$D$5:$D$92,'2000'!A136,'Daftar Koreksi'!$G$5:$G$92,"Peralatan dan mesin",'Daftar Koreksi'!$I$5:$I$92,"&gt;0")</f>
        <v>0</v>
      </c>
      <c r="F149" s="25">
        <f>SUMIFS('Daftar Koreksi'!$I$5:$I$92,'Daftar Koreksi'!$D$5:$D$92,'2000'!A136,'Daftar Koreksi'!$G$5:$G$92,"Peralatan dan mesin",'Daftar Koreksi'!$I$5:$I$92,"&lt;0")-SUMIFS('Daftar Koreksi'!$I$5:$I$92,'Daftar Koreksi'!$D$5:$D$92,'2000'!A136,'Daftar Koreksi'!$G$5:$G$92,"Peralatan dan mesin",'Daftar Koreksi'!$I$5:$I$92,"&lt;0")-SUMIFS('Daftar Koreksi'!$I$5:$I$92,'Daftar Koreksi'!$D$5:$D$92,'2000'!A136,'Daftar Koreksi'!$G$5:$G$92,"Peralatan dan mesin",'Daftar Koreksi'!$I$5:$I$92,"&lt;0")</f>
        <v>0</v>
      </c>
      <c r="G149" s="17">
        <f t="shared" si="6"/>
        <v>-999126289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-818632777</v>
      </c>
      <c r="E150" s="25">
        <f>SUMIFS('Daftar Koreksi'!$I$5:$I$92,'Daftar Koreksi'!$D$5:$D$92,'2000'!A136,'Daftar Koreksi'!$G$5:$G$92,"Gedung dan Bangunan",'Daftar Koreksi'!$I$5:$I$92,"&gt;0")</f>
        <v>0</v>
      </c>
      <c r="F150" s="25">
        <f>SUMIFS('Daftar Koreksi'!$I$5:$I$92,'Daftar Koreksi'!$D$5:$D$92,'2000'!A136,'Daftar Koreksi'!$G$5:$G$92,"Gedung dan Bangunan",'Daftar Koreksi'!$I$5:$I$92,"&lt;0")-SUMIFS('Daftar Koreksi'!$I$5:$I$92,'Daftar Koreksi'!$D$5:$D$92,'2000'!A136,'Daftar Koreksi'!$G$5:$G$92,"Gedung dan Bangunan",'Daftar Koreksi'!$I$5:$I$92,"&lt;0")-SUMIFS('Daftar Koreksi'!$I$5:$I$92,'Daftar Koreksi'!$D$5:$D$92,'2000'!A136,'Daftar Koreksi'!$G$5:$G$92,"Gedung dan Bangunan",'Daftar Koreksi'!$I$5:$I$92,"&lt;0")</f>
        <v>0</v>
      </c>
      <c r="G150" s="17">
        <f t="shared" si="6"/>
        <v>-818632777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-65203200</v>
      </c>
      <c r="E151" s="25">
        <f>SUMIFS('Daftar Koreksi'!$I$5:$I$92,'Daftar Koreksi'!$D$5:$D$92,'2000'!A136,'Daftar Koreksi'!$G$5:$G$92,"Jalan Irigasi Jaringan",'Daftar Koreksi'!$I$5:$I$92,"&gt;0")</f>
        <v>0</v>
      </c>
      <c r="F151" s="25">
        <f>SUMIFS('Daftar Koreksi'!$I$5:$I$92,'Daftar Koreksi'!$D$5:$D$92,'2000'!A136,'Daftar Koreksi'!$G$5:$G$92,"Jalan Irigasi Jaringan",'Daftar Koreksi'!$I$5:$I$92,"&lt;0")-SUMIFS('Daftar Koreksi'!$I$5:$I$92,'Daftar Koreksi'!$D$5:$D$92,'2000'!A136,'Daftar Koreksi'!$G$5:$G$92,"Jalan Irigasi Jaringan",'Daftar Koreksi'!$I$5:$I$92,"&lt;0")-SUMIFS('Daftar Koreksi'!$I$5:$I$92,'Daftar Koreksi'!$D$5:$D$92,'2000'!A136,'Daftar Koreksi'!$G$5:$G$92,"Jalan Irigasi Jaringan",'Daftar Koreksi'!$I$5:$I$92,"&lt;0")</f>
        <v>0</v>
      </c>
      <c r="G151" s="17">
        <f t="shared" si="6"/>
        <v>-65203200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Koreksi'!$D$5:$D$92,'2000'!A136,'Daftar Koreksi'!$G$5:$G$92,"Aset Tetap Lainnya",'Daftar Koreksi'!$I$5:$I$92,"&gt;0")</f>
        <v>0</v>
      </c>
      <c r="F152" s="25">
        <f>SUMIFS('Daftar Koreksi'!$I$5:$I$92,'Daftar Koreksi'!$D$5:$D$92,'2000'!A136,'Daftar Koreksi'!$G$5:$G$92,"Aset Tetap Lainnya",'Daftar Koreksi'!$I$5:$I$92,"&lt;0")-SUMIFS('Daftar Koreksi'!$I$5:$I$92,'Daftar Koreksi'!$D$5:$D$92,'2000'!A136,'Daftar Koreksi'!$G$5:$G$92,"Aset Tetap Lainnya",'Daftar Koreksi'!$I$5:$I$92,"&lt;0")-SUMIFS('Daftar Koreksi'!$I$5:$I$92,'Daftar Koreksi'!$D$5:$D$92,'2000'!A136,'Daftar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-218844926</v>
      </c>
      <c r="E153" s="25">
        <f>SUMIFS('Daftar Koreksi'!$I$5:$I$92,'Daftar Koreksi'!$D$5:$D$92,'2000'!A136,'Daftar Koreksi'!$G$5:$G$92,"Aset Henti Guna",'Daftar Koreksi'!$I$5:$I$92,"&gt;0")</f>
        <v>0</v>
      </c>
      <c r="F153" s="25">
        <f>SUMIFS('Daftar Koreksi'!$I$5:$I$92,'Daftar Koreksi'!$D$5:$D$92,'2000'!A136,'Daftar Koreksi'!$G$5:$G$92,"Aset Henti Guna",'Daftar Koreksi'!$I$5:$I$92,"&lt;0")-SUMIFS('Daftar Koreksi'!$I$5:$I$92,'Daftar Koreksi'!$D$5:$D$92,'2000'!A136,'Daftar Koreksi'!$G$5:$G$92,"Aset Henti Guna",'Daftar Koreksi'!$I$5:$I$92,"&lt;0")-SUMIFS('Daftar Koreksi'!$I$5:$I$92,'Daftar Koreksi'!$D$5:$D$92,'2000'!A136,'Daftar Koreksi'!$G$5:$G$92,"Aset Henti Guna",'Daftar Koreksi'!$I$5:$I$92,"&lt;0")</f>
        <v>0</v>
      </c>
      <c r="G153" s="17">
        <f t="shared" si="6"/>
        <v>-218844926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-2101807192</v>
      </c>
      <c r="E154" s="19">
        <f>SUM(E149:E153)</f>
        <v>0</v>
      </c>
      <c r="F154" s="19">
        <f>SUM(F149:F153)</f>
        <v>0</v>
      </c>
      <c r="G154" s="19">
        <f t="shared" si="6"/>
        <v>-2101807192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8503809781</v>
      </c>
      <c r="E155" s="19">
        <f>E154+E148</f>
        <v>0</v>
      </c>
      <c r="F155" s="19">
        <f>F154+F148</f>
        <v>0</v>
      </c>
      <c r="G155" s="19">
        <f t="shared" si="6"/>
        <v>8503809781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005012000307729000KD</v>
      </c>
      <c r="B158" s="11" t="str">
        <f>P8</f>
        <v>PA. Bau-Bau</v>
      </c>
      <c r="C158" s="12" t="str">
        <f>A158&amp;" "&amp;B158</f>
        <v>005012000307729000KD PA. Bau-Bau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766750</v>
      </c>
      <c r="E161" s="25">
        <f>SUMIFS('Daftar Koreksi'!$H$5:$H$92,'Daftar Koreksi'!$D$5:$D$92,'2000'!A158,'Daftar Koreksi'!$G$5:$G$92,"Persediaan",'Daftar Koreksi'!$H$5:$H$92,"&gt;0")</f>
        <v>0</v>
      </c>
      <c r="F161" s="25">
        <f>SUMIFS('Daftar Koreksi'!$H$5:$H$92,'Daftar Koreksi'!$D$5:$D$92,'2000'!A158,'Daftar Koreksi'!$G$5:$G$92,"Persediaan",'Daftar Koreksi'!$H$5:$H$92,"&lt;0")-SUMIFS('Daftar Koreksi'!$H$5:$H$92,'Daftar Koreksi'!$D$5:$D$92,'2000'!A158,'Daftar Koreksi'!$G$5:$G$92,"Persediaan",'Daftar Koreksi'!$H$5:$H$92,"&lt;0")-SUMIFS('Daftar Koreksi'!$H$5:$H$92,'Daftar Koreksi'!$D$5:$D$92,'2000'!A158,'Daftar Koreksi'!$G$5:$G$92,"Persediaan",'Daftar Koreksi'!$H$5:$H$92,"&lt;0")</f>
        <v>0</v>
      </c>
      <c r="G161" s="17">
        <f>D161+E161-F161</f>
        <v>766750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2477445000</v>
      </c>
      <c r="E162" s="25">
        <f>SUMIFS('Daftar Koreksi'!$H$5:$H$92,'Daftar Koreksi'!$D$5:$D$92,'2000'!A158,'Daftar Koreksi'!$G$5:$G$92,"Tanah",'Daftar Koreksi'!$H$5:$H$92,"&gt;0")</f>
        <v>0</v>
      </c>
      <c r="F162" s="25">
        <f>SUMIFS('Daftar Koreksi'!$H$5:$H$92,'Daftar Koreksi'!$D$5:$D$92,'2000'!A158,'Daftar Koreksi'!$G$5:$G$92,"Tanah",'Daftar Koreksi'!$H$5:$H$92,"&lt;0")-SUMIFS('Daftar Koreksi'!$H$5:$H$92,'Daftar Koreksi'!$D$5:$D$92,'2000'!A158,'Daftar Koreksi'!$G$5:$G$92,"Tanah",'Daftar Koreksi'!$H$5:$H$92,"&lt;0")-SUMIFS('Daftar Koreksi'!$H$5:$H$92,'Daftar Koreksi'!$D$5:$D$92,'2000'!A158,'Daftar Koreksi'!$G$5:$G$92,"Tanah",'Daftar Koreksi'!$H$5:$H$92,"&lt;0")</f>
        <v>0</v>
      </c>
      <c r="G162" s="17">
        <f t="shared" ref="G162:G178" si="7">D162+E162-F162</f>
        <v>2477445000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1545434053</v>
      </c>
      <c r="E163" s="25">
        <f>SUMIFS('Daftar Koreksi'!$H$5:$H$92,'Daftar Koreksi'!$D$5:$D$92,'2000'!A158,'Daftar Koreksi'!$G$5:$G$92,"Peralatan dan mesin",'Daftar Koreksi'!$H$5:$H$92,"&gt;0")</f>
        <v>0</v>
      </c>
      <c r="F163" s="25">
        <f>SUMIFS('Daftar Koreksi'!$H$5:$H$92,'Daftar Koreksi'!$D$5:$D$92,'2000'!A158,'Daftar Koreksi'!$G$5:$G$92,"Peralatan dan mesin",'Daftar Koreksi'!$H$5:$H$92,"&lt;0")-SUMIFS('Daftar Koreksi'!$H$5:$H$92,'Daftar Koreksi'!$D$5:$D$92,'2000'!A158,'Daftar Koreksi'!$G$5:$G$92,"Peralatan dan mesin",'Daftar Koreksi'!$H$5:$H$92,"&lt;0")-SUMIFS('Daftar Koreksi'!$H$5:$H$92,'Daftar Koreksi'!$D$5:$D$92,'2000'!A158,'Daftar Koreksi'!$G$5:$G$92,"Peralatan dan mesin",'Daftar Koreksi'!$H$5:$H$92,"&lt;0")</f>
        <v>0</v>
      </c>
      <c r="G163" s="17">
        <f t="shared" si="7"/>
        <v>1545434053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5139968500</v>
      </c>
      <c r="E164" s="25">
        <f>SUMIFS('Daftar Koreksi'!$H$5:$H$92,'Daftar Koreksi'!$D$5:$D$92,'2000'!A158,'Daftar Koreksi'!$G$5:$G$92,"Gedung dan Bangunan",'Daftar Koreksi'!$H$5:$H$92,"&gt;0")</f>
        <v>0</v>
      </c>
      <c r="F164" s="25">
        <f>SUMIFS('Daftar Koreksi'!$H$5:$H$92,'Daftar Koreksi'!$D$5:$D$92,'2000'!A158,'Daftar Koreksi'!$G$5:$G$92,"Gedung dan Bangunan",'Daftar Koreksi'!$H$5:$H$92,"&lt;0")-SUMIFS('Daftar Koreksi'!$H$5:$H$92,'Daftar Koreksi'!$D$5:$D$92,'2000'!A158,'Daftar Koreksi'!$G$5:$G$92,"Gedung dan Bangunan",'Daftar Koreksi'!$H$5:$H$92,"&lt;0")-SUMIFS('Daftar Koreksi'!$H$5:$H$92,'Daftar Koreksi'!$D$5:$D$92,'2000'!A158,'Daftar Koreksi'!$G$5:$G$92,"Gedung dan Bangunan",'Daftar Koreksi'!$H$5:$H$92,"&lt;0")</f>
        <v>0</v>
      </c>
      <c r="G164" s="17">
        <f t="shared" si="7"/>
        <v>5139968500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474231500</v>
      </c>
      <c r="E165" s="25">
        <f>SUMIFS('Daftar Koreksi'!$H$5:$H$92,'Daftar Koreksi'!$D$5:$D$92,'2000'!A158,'Daftar Koreksi'!$G$5:$G$92,"Jalan Irigasi Jaringan",'Daftar Koreksi'!$H$5:$H$92,"&gt;0")</f>
        <v>0</v>
      </c>
      <c r="F165" s="25">
        <f>SUMIFS('Daftar Koreksi'!$H$5:$H$92,'Daftar Koreksi'!$D$5:$D$92,'2000'!A158,'Daftar Koreksi'!$G$5:$G$92,"Jalan Irigasi Jaringan",'Daftar Koreksi'!$H$5:$H$92,"&lt;0")-SUMIFS('Daftar Koreksi'!$H$5:$H$92,'Daftar Koreksi'!$D$5:$D$92,'2000'!A158,'Daftar Koreksi'!$G$5:$G$92,"Jalan Irigasi Jaringan",'Daftar Koreksi'!$H$5:$H$92,"&lt;0")-SUMIFS('Daftar Koreksi'!$H$5:$H$92,'Daftar Koreksi'!$D$5:$D$92,'2000'!A158,'Daftar Koreksi'!$G$5:$G$92,"Jalan Irigasi Jaringan",'Daftar Koreksi'!$H$5:$H$92,"&lt;0")</f>
        <v>0</v>
      </c>
      <c r="G165" s="17">
        <f t="shared" si="7"/>
        <v>474231500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3260500</v>
      </c>
      <c r="E166" s="25">
        <f>SUMIFS('Daftar Koreksi'!$H$5:$H$92,'Daftar Koreksi'!$D$5:$D$92,'2000'!A158,'Daftar Koreksi'!$G$5:$G$92,"Aset Tetap Lainnya",'Daftar Koreksi'!$H$5:$H$92,"&gt;0")</f>
        <v>0</v>
      </c>
      <c r="F166" s="25">
        <f>SUMIFS('Daftar Koreksi'!$H$5:$H$92,'Daftar Koreksi'!$D$5:$D$92,'2000'!A158,'Daftar Koreksi'!$G$5:$G$92,"Aset Tetap Lainnya",'Daftar Koreksi'!$H$5:$H$92,"&lt;0")-SUMIFS('Daftar Koreksi'!$H$5:$H$92,'Daftar Koreksi'!$D$5:$D$92,'2000'!A158,'Daftar Koreksi'!$G$5:$G$92,"Aset Tetap Lainnya",'Daftar Koreksi'!$H$5:$H$92,"&lt;0")-SUMIFS('Daftar Koreksi'!$H$5:$H$92,'Daftar Koreksi'!$D$5:$D$92,'2000'!A158,'Daftar Koreksi'!$G$5:$G$92,"Aset Tetap Lainnya",'Daftar Koreksi'!$H$5:$H$92,"&lt;0")</f>
        <v>0</v>
      </c>
      <c r="G166" s="17">
        <f t="shared" si="7"/>
        <v>3260500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184334000</v>
      </c>
      <c r="E167" s="25">
        <f>SUMIFS('Daftar Koreksi'!$H$5:$H$92,'Daftar Koreksi'!$D$5:$D$92,'2000'!A158,'Daftar Koreksi'!$G$5:$G$92,"Kontruksi Dalam Pengerjaan",'Daftar Koreksi'!$H$5:$H$92,"&gt;0")</f>
        <v>0</v>
      </c>
      <c r="F167" s="25">
        <f>SUMIFS('Daftar Koreksi'!$H$5:$H$92,'Daftar Koreksi'!$D$5:$D$92,'2000'!A158,'Daftar Koreksi'!$G$5:$G$92,"Kontruksi Dalam Pengerjaan",'Daftar Koreksi'!$H$5:$H$92,"&lt;0")-SUMIFS('Daftar Koreksi'!$H$5:$H$92,'Daftar Koreksi'!$D$5:$D$92,'2000'!A158,'Daftar Koreksi'!$G$5:$G$92,"Kontruksi Dalam Pengerjaan",'Daftar Koreksi'!$H$5:$H$92,"&lt;0")-SUMIFS('Daftar Koreksi'!$H$5:$H$92,'Daftar Koreksi'!$D$5:$D$92,'2000'!A158,'Daftar Koreksi'!$G$5:$G$92,"Kontruksi Dalam Pengerjaan",'Daftar Koreksi'!$H$5:$H$92,"&lt;0")</f>
        <v>0</v>
      </c>
      <c r="G167" s="17">
        <f t="shared" si="7"/>
        <v>184334000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16000000</v>
      </c>
      <c r="E168" s="25">
        <f>SUMIFS('Daftar Koreksi'!$H$5:$H$92,'Daftar Koreksi'!$D$5:$D$92,'2000'!A158,'Daftar Koreksi'!$G$5:$G$92,"Aset Tak Berwujud",'Daftar Koreksi'!$H$5:$H$92,"&gt;0")</f>
        <v>0</v>
      </c>
      <c r="F168" s="25">
        <f>SUMIFS('Daftar Koreksi'!$H$5:$H$92,'Daftar Koreksi'!$D$5:$D$92,'2000'!A158,'Daftar Koreksi'!$G$5:$G$92,"Aset Tak Berwujud",'Daftar Koreksi'!$H$5:$H$92,"&lt;0")-SUMIFS('Daftar Koreksi'!$H$5:$H$92,'Daftar Koreksi'!$D$5:$D$92,'2000'!A158,'Daftar Koreksi'!$G$5:$G$92,"Aset Tak Berwujud",'Daftar Koreksi'!$H$5:$H$92,"&lt;0")-SUMIFS('Daftar Koreksi'!$H$5:$H$92,'Daftar Koreksi'!$D$5:$D$92,'2000'!A158,'Daftar Koreksi'!$G$5:$G$92,"Aset Tak Berwujud",'Daftar Koreksi'!$H$5:$H$92,"&lt;0")</f>
        <v>0</v>
      </c>
      <c r="G168" s="17">
        <f t="shared" si="7"/>
        <v>16000000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Koreksi'!$D$5:$D$92,'2000'!A158,'Daftar Koreksi'!$G$5:$G$92,"Aset Henti Guna",'Daftar Koreksi'!$H$5:$H$92,"&gt;0")</f>
        <v>0</v>
      </c>
      <c r="F169" s="25">
        <f>SUMIFS('Daftar Koreksi'!$H$5:$H$92,'Daftar Koreksi'!$D$5:$D$92,'2000'!A158,'Daftar Koreksi'!$G$5:$G$92,"Aset Henti Guna",'Daftar Koreksi'!$H$5:$H$92,"&lt;0")-SUMIFS('Daftar Koreksi'!$H$5:$H$92,'Daftar Koreksi'!$D$5:$D$92,'2000'!A158,'Daftar Koreksi'!$G$5:$G$92,"Aset Henti Guna",'Daftar Koreksi'!$H$5:$H$92,"&lt;0")-SUMIFS('Daftar Koreksi'!$H$5:$H$92,'Daftar Koreksi'!$D$5:$D$92,'2000'!A158,'Daftar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9841440303</v>
      </c>
      <c r="E170" s="19">
        <f>SUM(E161:E169)</f>
        <v>0</v>
      </c>
      <c r="F170" s="19">
        <f>SUM(F161:F169)</f>
        <v>0</v>
      </c>
      <c r="G170" s="19">
        <f t="shared" si="7"/>
        <v>9841440303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-1206061589</v>
      </c>
      <c r="E171" s="25">
        <f>SUMIFS('Daftar Koreksi'!$I$5:$I$92,'Daftar Koreksi'!$D$5:$D$92,'2000'!A158,'Daftar Koreksi'!$G$5:$G$92,"Peralatan dan mesin",'Daftar Koreksi'!$I$5:$I$92,"&gt;0")</f>
        <v>0</v>
      </c>
      <c r="F171" s="25">
        <f>SUMIFS('Daftar Koreksi'!$I$5:$I$92,'Daftar Koreksi'!$D$5:$D$92,'2000'!A158,'Daftar Koreksi'!$G$5:$G$92,"Peralatan dan mesin",'Daftar Koreksi'!$I$5:$I$92,"&lt;0")-SUMIFS('Daftar Koreksi'!$I$5:$I$92,'Daftar Koreksi'!$D$5:$D$92,'2000'!A158,'Daftar Koreksi'!$G$5:$G$92,"Peralatan dan mesin",'Daftar Koreksi'!$I$5:$I$92,"&lt;0")-SUMIFS('Daftar Koreksi'!$I$5:$I$92,'Daftar Koreksi'!$D$5:$D$92,'2000'!A158,'Daftar Koreksi'!$G$5:$G$92,"Peralatan dan mesin",'Daftar Koreksi'!$I$5:$I$92,"&lt;0")</f>
        <v>0</v>
      </c>
      <c r="G171" s="17">
        <f t="shared" si="7"/>
        <v>-1206061589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-707338272</v>
      </c>
      <c r="E172" s="25">
        <f>SUMIFS('Daftar Koreksi'!$I$5:$I$92,'Daftar Koreksi'!$D$5:$D$92,'2000'!A158,'Daftar Koreksi'!$G$5:$G$92,"Gedung dan Bangunan",'Daftar Koreksi'!$I$5:$I$92,"&gt;0")</f>
        <v>0</v>
      </c>
      <c r="F172" s="25">
        <f>SUMIFS('Daftar Koreksi'!$I$5:$I$92,'Daftar Koreksi'!$D$5:$D$92,'2000'!A158,'Daftar Koreksi'!$G$5:$G$92,"Gedung dan Bangunan",'Daftar Koreksi'!$I$5:$I$92,"&lt;0")-SUMIFS('Daftar Koreksi'!$I$5:$I$92,'Daftar Koreksi'!$D$5:$D$92,'2000'!A158,'Daftar Koreksi'!$G$5:$G$92,"Gedung dan Bangunan",'Daftar Koreksi'!$I$5:$I$92,"&lt;0")-SUMIFS('Daftar Koreksi'!$I$5:$I$92,'Daftar Koreksi'!$D$5:$D$92,'2000'!A158,'Daftar Koreksi'!$G$5:$G$92,"Gedung dan Bangunan",'Daftar Koreksi'!$I$5:$I$92,"&lt;0")</f>
        <v>0</v>
      </c>
      <c r="G172" s="17">
        <f t="shared" si="7"/>
        <v>-707338272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-207739822</v>
      </c>
      <c r="E173" s="25">
        <f>SUMIFS('Daftar Koreksi'!$I$5:$I$92,'Daftar Koreksi'!$D$5:$D$92,'2000'!A158,'Daftar Koreksi'!$G$5:$G$92,"Jalan Irigasi Jaringan",'Daftar Koreksi'!$I$5:$I$92,"&gt;0")</f>
        <v>0</v>
      </c>
      <c r="F173" s="25">
        <f>SUMIFS('Daftar Koreksi'!$I$5:$I$92,'Daftar Koreksi'!$D$5:$D$92,'2000'!A158,'Daftar Koreksi'!$G$5:$G$92,"Jalan Irigasi Jaringan",'Daftar Koreksi'!$I$5:$I$92,"&lt;0")-SUMIFS('Daftar Koreksi'!$I$5:$I$92,'Daftar Koreksi'!$D$5:$D$92,'2000'!A158,'Daftar Koreksi'!$G$5:$G$92,"Jalan Irigasi Jaringan",'Daftar Koreksi'!$I$5:$I$92,"&lt;0")-SUMIFS('Daftar Koreksi'!$I$5:$I$92,'Daftar Koreksi'!$D$5:$D$92,'2000'!A158,'Daftar Koreksi'!$G$5:$G$92,"Jalan Irigasi Jaringan",'Daftar Koreksi'!$I$5:$I$92,"&lt;0")</f>
        <v>0</v>
      </c>
      <c r="G173" s="17">
        <f t="shared" si="7"/>
        <v>-207739822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Koreksi'!$D$5:$D$92,'2000'!A158,'Daftar Koreksi'!$G$5:$G$92,"Aset Tetap Lainnya",'Daftar Koreksi'!$I$5:$I$92,"&gt;0")</f>
        <v>0</v>
      </c>
      <c r="F174" s="25">
        <f>SUMIFS('Daftar Koreksi'!$I$5:$I$92,'Daftar Koreksi'!$D$5:$D$92,'2000'!A158,'Daftar Koreksi'!$G$5:$G$92,"Aset Tetap Lainnya",'Daftar Koreksi'!$I$5:$I$92,"&lt;0")-SUMIFS('Daftar Koreksi'!$I$5:$I$92,'Daftar Koreksi'!$D$5:$D$92,'2000'!A158,'Daftar Koreksi'!$G$5:$G$92,"Aset Tetap Lainnya",'Daftar Koreksi'!$I$5:$I$92,"&lt;0")-SUMIFS('Daftar Koreksi'!$I$5:$I$92,'Daftar Koreksi'!$D$5:$D$92,'2000'!A158,'Daftar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Koreksi'!$D$5:$D$92,'2000'!A158,'Daftar Koreksi'!$G$5:$G$92,"Aset Henti Guna",'Daftar Koreksi'!$I$5:$I$92,"&gt;0")</f>
        <v>0</v>
      </c>
      <c r="F175" s="25">
        <f>SUMIFS('Daftar Koreksi'!$I$5:$I$92,'Daftar Koreksi'!$D$5:$D$92,'2000'!A158,'Daftar Koreksi'!$G$5:$G$92,"Aset Henti Guna",'Daftar Koreksi'!$I$5:$I$92,"&lt;0")-SUMIFS('Daftar Koreksi'!$I$5:$I$92,'Daftar Koreksi'!$D$5:$D$92,'2000'!A158,'Daftar Koreksi'!$G$5:$G$92,"Aset Henti Guna",'Daftar Koreksi'!$I$5:$I$92,"&lt;0")-SUMIFS('Daftar Koreksi'!$I$5:$I$92,'Daftar Koreksi'!$D$5:$D$92,'2000'!A158,'Daftar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-2121139683</v>
      </c>
      <c r="E176" s="19">
        <f>SUM(E171:E175)</f>
        <v>0</v>
      </c>
      <c r="F176" s="19">
        <f>SUM(F171:F175)</f>
        <v>0</v>
      </c>
      <c r="G176" s="19">
        <f t="shared" si="7"/>
        <v>-2121139683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7720300620</v>
      </c>
      <c r="E177" s="19">
        <f>E176+E170</f>
        <v>0</v>
      </c>
      <c r="F177" s="19">
        <f>F176+F170</f>
        <v>0</v>
      </c>
      <c r="G177" s="19">
        <f t="shared" si="7"/>
        <v>7720300620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005012000400540000KD</v>
      </c>
      <c r="B180" s="11" t="str">
        <f>P9</f>
        <v>PT. Kendari</v>
      </c>
      <c r="C180" s="12" t="str">
        <f>A180&amp;" "&amp;B180</f>
        <v>005012000400540000KD PT. Kendari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3806811</v>
      </c>
      <c r="E183" s="25">
        <f>SUMIFS('Daftar Koreksi'!$H$5:$H$92,'Daftar Koreksi'!$D$5:$D$92,'2000'!A180,'Daftar Koreksi'!$G$5:$G$92,"Persediaan",'Daftar Koreksi'!$H$5:$H$92,"&gt;0")</f>
        <v>0</v>
      </c>
      <c r="F183" s="25">
        <f>SUMIFS('Daftar Koreksi'!$H$5:$H$92,'Daftar Koreksi'!$D$5:$D$92,'2000'!A180,'Daftar Koreksi'!$G$5:$G$92,"Persediaan",'Daftar Koreksi'!$H$5:$H$92,"&lt;0")-SUMIFS('Daftar Koreksi'!$H$5:$H$92,'Daftar Koreksi'!$D$5:$D$92,'2000'!A180,'Daftar Koreksi'!$G$5:$G$92,"Persediaan",'Daftar Koreksi'!$H$5:$H$92,"&lt;0")-SUMIFS('Daftar Koreksi'!$H$5:$H$92,'Daftar Koreksi'!$D$5:$D$92,'2000'!A180,'Daftar Koreksi'!$G$5:$G$92,"Persediaan",'Daftar Koreksi'!$H$5:$H$92,"&lt;0")</f>
        <v>0</v>
      </c>
      <c r="G183" s="17">
        <f>D183+E183-F183</f>
        <v>3806811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3386868000</v>
      </c>
      <c r="E184" s="25">
        <f>SUMIFS('Daftar Koreksi'!$H$5:$H$92,'Daftar Koreksi'!$D$5:$D$92,'2000'!A180,'Daftar Koreksi'!$G$5:$G$92,"Tanah",'Daftar Koreksi'!$H$5:$H$92,"&gt;0")</f>
        <v>0</v>
      </c>
      <c r="F184" s="25">
        <f>SUMIFS('Daftar Koreksi'!$H$5:$H$92,'Daftar Koreksi'!$D$5:$D$92,'2000'!A180,'Daftar Koreksi'!$G$5:$G$92,"Tanah",'Daftar Koreksi'!$H$5:$H$92,"&lt;0")-SUMIFS('Daftar Koreksi'!$H$5:$H$92,'Daftar Koreksi'!$D$5:$D$92,'2000'!A180,'Daftar Koreksi'!$G$5:$G$92,"Tanah",'Daftar Koreksi'!$H$5:$H$92,"&lt;0")-SUMIFS('Daftar Koreksi'!$H$5:$H$92,'Daftar Koreksi'!$D$5:$D$92,'2000'!A180,'Daftar Koreksi'!$G$5:$G$92,"Tanah",'Daftar Koreksi'!$H$5:$H$92,"&lt;0")</f>
        <v>0</v>
      </c>
      <c r="G184" s="17">
        <f t="shared" ref="G184:G200" si="8">D184+E184-F184</f>
        <v>3386868000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3776574245</v>
      </c>
      <c r="E185" s="25">
        <f>SUMIFS('Daftar Koreksi'!$H$5:$H$92,'Daftar Koreksi'!$D$5:$D$92,'2000'!A180,'Daftar Koreksi'!$G$5:$G$92,"Peralatan dan mesin",'Daftar Koreksi'!$H$5:$H$92,"&gt;0")</f>
        <v>0</v>
      </c>
      <c r="F185" s="25">
        <f>SUMIFS('Daftar Koreksi'!$H$5:$H$92,'Daftar Koreksi'!$D$5:$D$92,'2000'!A180,'Daftar Koreksi'!$G$5:$G$92,"Peralatan dan mesin",'Daftar Koreksi'!$H$5:$H$92,"&lt;0")-SUMIFS('Daftar Koreksi'!$H$5:$H$92,'Daftar Koreksi'!$D$5:$D$92,'2000'!A180,'Daftar Koreksi'!$G$5:$G$92,"Peralatan dan mesin",'Daftar Koreksi'!$H$5:$H$92,"&lt;0")-SUMIFS('Daftar Koreksi'!$H$5:$H$92,'Daftar Koreksi'!$D$5:$D$92,'2000'!A180,'Daftar Koreksi'!$G$5:$G$92,"Peralatan dan mesin",'Daftar Koreksi'!$H$5:$H$92,"&lt;0")</f>
        <v>0</v>
      </c>
      <c r="G185" s="17">
        <f t="shared" si="8"/>
        <v>3776574245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6329221383</v>
      </c>
      <c r="E186" s="25">
        <f>SUMIFS('Daftar Koreksi'!$H$5:$H$92,'Daftar Koreksi'!$D$5:$D$92,'2000'!A180,'Daftar Koreksi'!$G$5:$G$92,"Gedung dan Bangunan",'Daftar Koreksi'!$H$5:$H$92,"&gt;0")</f>
        <v>0</v>
      </c>
      <c r="F186" s="25">
        <f>SUMIFS('Daftar Koreksi'!$H$5:$H$92,'Daftar Koreksi'!$D$5:$D$92,'2000'!A180,'Daftar Koreksi'!$G$5:$G$92,"Gedung dan Bangunan",'Daftar Koreksi'!$H$5:$H$92,"&lt;0")-SUMIFS('Daftar Koreksi'!$H$5:$H$92,'Daftar Koreksi'!$D$5:$D$92,'2000'!A180,'Daftar Koreksi'!$G$5:$G$92,"Gedung dan Bangunan",'Daftar Koreksi'!$H$5:$H$92,"&lt;0")-SUMIFS('Daftar Koreksi'!$H$5:$H$92,'Daftar Koreksi'!$D$5:$D$92,'2000'!A180,'Daftar Koreksi'!$G$5:$G$92,"Gedung dan Bangunan",'Daftar Koreksi'!$H$5:$H$92,"&lt;0")</f>
        <v>0</v>
      </c>
      <c r="G186" s="17">
        <f t="shared" si="8"/>
        <v>6329221383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436566000</v>
      </c>
      <c r="E187" s="25">
        <f>SUMIFS('Daftar Koreksi'!$H$5:$H$92,'Daftar Koreksi'!$D$5:$D$92,'2000'!A180,'Daftar Koreksi'!$G$5:$G$92,"Jalan Irigasi Jaringan",'Daftar Koreksi'!$H$5:$H$92,"&gt;0")</f>
        <v>0</v>
      </c>
      <c r="F187" s="25">
        <f>SUMIFS('Daftar Koreksi'!$H$5:$H$92,'Daftar Koreksi'!$D$5:$D$92,'2000'!A180,'Daftar Koreksi'!$G$5:$G$92,"Jalan Irigasi Jaringan",'Daftar Koreksi'!$H$5:$H$92,"&lt;0")-SUMIFS('Daftar Koreksi'!$H$5:$H$92,'Daftar Koreksi'!$D$5:$D$92,'2000'!A180,'Daftar Koreksi'!$G$5:$G$92,"Jalan Irigasi Jaringan",'Daftar Koreksi'!$H$5:$H$92,"&lt;0")-SUMIFS('Daftar Koreksi'!$H$5:$H$92,'Daftar Koreksi'!$D$5:$D$92,'2000'!A180,'Daftar Koreksi'!$G$5:$G$92,"Jalan Irigasi Jaringan",'Daftar Koreksi'!$H$5:$H$92,"&lt;0")</f>
        <v>0</v>
      </c>
      <c r="G187" s="17">
        <f t="shared" si="8"/>
        <v>436566000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148192901</v>
      </c>
      <c r="E188" s="25">
        <f>SUMIFS('Daftar Koreksi'!$H$5:$H$92,'Daftar Koreksi'!$D$5:$D$92,'2000'!A180,'Daftar Koreksi'!$G$5:$G$92,"Aset Tetap Lainnya",'Daftar Koreksi'!$H$5:$H$92,"&gt;0")</f>
        <v>0</v>
      </c>
      <c r="F188" s="25">
        <f>SUMIFS('Daftar Koreksi'!$H$5:$H$92,'Daftar Koreksi'!$D$5:$D$92,'2000'!A180,'Daftar Koreksi'!$G$5:$G$92,"Aset Tetap Lainnya",'Daftar Koreksi'!$H$5:$H$92,"&lt;0")-SUMIFS('Daftar Koreksi'!$H$5:$H$92,'Daftar Koreksi'!$D$5:$D$92,'2000'!A180,'Daftar Koreksi'!$G$5:$G$92,"Aset Tetap Lainnya",'Daftar Koreksi'!$H$5:$H$92,"&lt;0")-SUMIFS('Daftar Koreksi'!$H$5:$H$92,'Daftar Koreksi'!$D$5:$D$92,'2000'!A180,'Daftar Koreksi'!$G$5:$G$92,"Aset Tetap Lainnya",'Daftar Koreksi'!$H$5:$H$92,"&lt;0")</f>
        <v>0</v>
      </c>
      <c r="G188" s="17">
        <f t="shared" si="8"/>
        <v>148192901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Koreksi'!$D$5:$D$92,'2000'!A180,'Daftar Koreksi'!$G$5:$G$92,"Kontruksi Dalam Pengerjaan",'Daftar Koreksi'!$H$5:$H$92,"&gt;0")</f>
        <v>0</v>
      </c>
      <c r="F189" s="25">
        <f>SUMIFS('Daftar Koreksi'!$H$5:$H$92,'Daftar Koreksi'!$D$5:$D$92,'2000'!A180,'Daftar Koreksi'!$G$5:$G$92,"Kontruksi Dalam Pengerjaan",'Daftar Koreksi'!$H$5:$H$92,"&lt;0")-SUMIFS('Daftar Koreksi'!$H$5:$H$92,'Daftar Koreksi'!$D$5:$D$92,'2000'!A180,'Daftar Koreksi'!$G$5:$G$92,"Kontruksi Dalam Pengerjaan",'Daftar Koreksi'!$H$5:$H$92,"&lt;0")-SUMIFS('Daftar Koreksi'!$H$5:$H$92,'Daftar Koreksi'!$D$5:$D$92,'2000'!A180,'Daftar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Koreksi'!$D$5:$D$92,'2000'!A180,'Daftar Koreksi'!$G$5:$G$92,"Aset Tak Berwujud",'Daftar Koreksi'!$H$5:$H$92,"&gt;0")</f>
        <v>0</v>
      </c>
      <c r="F190" s="25">
        <f>SUMIFS('Daftar Koreksi'!$H$5:$H$92,'Daftar Koreksi'!$D$5:$D$92,'2000'!A180,'Daftar Koreksi'!$G$5:$G$92,"Aset Tak Berwujud",'Daftar Koreksi'!$H$5:$H$92,"&lt;0")-SUMIFS('Daftar Koreksi'!$H$5:$H$92,'Daftar Koreksi'!$D$5:$D$92,'2000'!A180,'Daftar Koreksi'!$G$5:$G$92,"Aset Tak Berwujud",'Daftar Koreksi'!$H$5:$H$92,"&lt;0")-SUMIFS('Daftar Koreksi'!$H$5:$H$92,'Daftar Koreksi'!$D$5:$D$92,'2000'!A180,'Daftar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299744750</v>
      </c>
      <c r="E191" s="25">
        <f>SUMIFS('Daftar Koreksi'!$H$5:$H$92,'Daftar Koreksi'!$D$5:$D$92,'2000'!A180,'Daftar Koreksi'!$G$5:$G$92,"Aset Henti Guna",'Daftar Koreksi'!$H$5:$H$92,"&gt;0")</f>
        <v>0</v>
      </c>
      <c r="F191" s="25">
        <f>SUMIFS('Daftar Koreksi'!$H$5:$H$92,'Daftar Koreksi'!$D$5:$D$92,'2000'!A180,'Daftar Koreksi'!$G$5:$G$92,"Aset Henti Guna",'Daftar Koreksi'!$H$5:$H$92,"&lt;0")-SUMIFS('Daftar Koreksi'!$H$5:$H$92,'Daftar Koreksi'!$D$5:$D$92,'2000'!A180,'Daftar Koreksi'!$G$5:$G$92,"Aset Henti Guna",'Daftar Koreksi'!$H$5:$H$92,"&lt;0")-SUMIFS('Daftar Koreksi'!$H$5:$H$92,'Daftar Koreksi'!$D$5:$D$92,'2000'!A180,'Daftar Koreksi'!$G$5:$G$92,"Aset Henti Guna",'Daftar Koreksi'!$H$5:$H$92,"&lt;0")</f>
        <v>0</v>
      </c>
      <c r="G191" s="17">
        <f t="shared" si="8"/>
        <v>299744750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14380974090</v>
      </c>
      <c r="E192" s="19">
        <f>SUM(E183:E191)</f>
        <v>0</v>
      </c>
      <c r="F192" s="19">
        <f>SUM(F183:F191)</f>
        <v>0</v>
      </c>
      <c r="G192" s="19">
        <f t="shared" si="8"/>
        <v>14380974090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-3440213191</v>
      </c>
      <c r="E193" s="25">
        <f>SUMIFS('Daftar Koreksi'!$I$5:$I$92,'Daftar Koreksi'!$D$5:$D$92,'2000'!A180,'Daftar Koreksi'!$G$5:$G$92,"Peralatan dan mesin",'Daftar Koreksi'!$I$5:$I$92,"&gt;0")</f>
        <v>0</v>
      </c>
      <c r="F193" s="25">
        <f>SUMIFS('Daftar Koreksi'!$I$5:$I$92,'Daftar Koreksi'!$D$5:$D$92,'2000'!A180,'Daftar Koreksi'!$G$5:$G$92,"Peralatan dan mesin",'Daftar Koreksi'!$I$5:$I$92,"&lt;0")-SUMIFS('Daftar Koreksi'!$I$5:$I$92,'Daftar Koreksi'!$D$5:$D$92,'2000'!A180,'Daftar Koreksi'!$G$5:$G$92,"Peralatan dan mesin",'Daftar Koreksi'!$I$5:$I$92,"&lt;0")-SUMIFS('Daftar Koreksi'!$I$5:$I$92,'Daftar Koreksi'!$D$5:$D$92,'2000'!A180,'Daftar Koreksi'!$G$5:$G$92,"Peralatan dan mesin",'Daftar Koreksi'!$I$5:$I$92,"&lt;0")</f>
        <v>0</v>
      </c>
      <c r="G193" s="17">
        <f t="shared" si="8"/>
        <v>-3440213191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-1492794949</v>
      </c>
      <c r="E194" s="25">
        <f>SUMIFS('Daftar Koreksi'!$I$5:$I$92,'Daftar Koreksi'!$D$5:$D$92,'2000'!A180,'Daftar Koreksi'!$G$5:$G$92,"Gedung dan Bangunan",'Daftar Koreksi'!$I$5:$I$92,"&gt;0")</f>
        <v>0</v>
      </c>
      <c r="F194" s="25">
        <f>SUMIFS('Daftar Koreksi'!$I$5:$I$92,'Daftar Koreksi'!$D$5:$D$92,'2000'!A180,'Daftar Koreksi'!$G$5:$G$92,"Gedung dan Bangunan",'Daftar Koreksi'!$I$5:$I$92,"&lt;0")-SUMIFS('Daftar Koreksi'!$I$5:$I$92,'Daftar Koreksi'!$D$5:$D$92,'2000'!A180,'Daftar Koreksi'!$G$5:$G$92,"Gedung dan Bangunan",'Daftar Koreksi'!$I$5:$I$92,"&lt;0")-SUMIFS('Daftar Koreksi'!$I$5:$I$92,'Daftar Koreksi'!$D$5:$D$92,'2000'!A180,'Daftar Koreksi'!$G$5:$G$92,"Gedung dan Bangunan",'Daftar Koreksi'!$I$5:$I$92,"&lt;0")</f>
        <v>0</v>
      </c>
      <c r="G194" s="17">
        <f t="shared" si="8"/>
        <v>-1492794949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-243416390</v>
      </c>
      <c r="E195" s="25">
        <f>SUMIFS('Daftar Koreksi'!$I$5:$I$92,'Daftar Koreksi'!$D$5:$D$92,'2000'!A180,'Daftar Koreksi'!$G$5:$G$92,"Jalan Irigasi Jaringan",'Daftar Koreksi'!$I$5:$I$92,"&gt;0")</f>
        <v>0</v>
      </c>
      <c r="F195" s="25">
        <f>SUMIFS('Daftar Koreksi'!$I$5:$I$92,'Daftar Koreksi'!$D$5:$D$92,'2000'!A180,'Daftar Koreksi'!$G$5:$G$92,"Jalan Irigasi Jaringan",'Daftar Koreksi'!$I$5:$I$92,"&lt;0")-SUMIFS('Daftar Koreksi'!$I$5:$I$92,'Daftar Koreksi'!$D$5:$D$92,'2000'!A180,'Daftar Koreksi'!$G$5:$G$92,"Jalan Irigasi Jaringan",'Daftar Koreksi'!$I$5:$I$92,"&lt;0")-SUMIFS('Daftar Koreksi'!$I$5:$I$92,'Daftar Koreksi'!$D$5:$D$92,'2000'!A180,'Daftar Koreksi'!$G$5:$G$92,"Jalan Irigasi Jaringan",'Daftar Koreksi'!$I$5:$I$92,"&lt;0")</f>
        <v>0</v>
      </c>
      <c r="G195" s="17">
        <f t="shared" si="8"/>
        <v>-243416390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Koreksi'!$D$5:$D$92,'2000'!A180,'Daftar Koreksi'!$G$5:$G$92,"Aset Tetap Lainnya",'Daftar Koreksi'!$I$5:$I$92,"&gt;0")</f>
        <v>0</v>
      </c>
      <c r="F196" s="25">
        <f>SUMIFS('Daftar Koreksi'!$I$5:$I$92,'Daftar Koreksi'!$D$5:$D$92,'2000'!A180,'Daftar Koreksi'!$G$5:$G$92,"Aset Tetap Lainnya",'Daftar Koreksi'!$I$5:$I$92,"&lt;0")-SUMIFS('Daftar Koreksi'!$I$5:$I$92,'Daftar Koreksi'!$D$5:$D$92,'2000'!A180,'Daftar Koreksi'!$G$5:$G$92,"Aset Tetap Lainnya",'Daftar Koreksi'!$I$5:$I$92,"&lt;0")-SUMIFS('Daftar Koreksi'!$I$5:$I$92,'Daftar Koreksi'!$D$5:$D$92,'2000'!A180,'Daftar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-47960000</v>
      </c>
      <c r="E197" s="25">
        <f>SUMIFS('Daftar Koreksi'!$I$5:$I$92,'Daftar Koreksi'!$D$5:$D$92,'2000'!A180,'Daftar Koreksi'!$G$5:$G$92,"Aset Henti Guna",'Daftar Koreksi'!$I$5:$I$92,"&gt;0")</f>
        <v>0</v>
      </c>
      <c r="F197" s="25">
        <f>SUMIFS('Daftar Koreksi'!$I$5:$I$92,'Daftar Koreksi'!$D$5:$D$92,'2000'!A180,'Daftar Koreksi'!$G$5:$G$92,"Aset Henti Guna",'Daftar Koreksi'!$I$5:$I$92,"&lt;0")-SUMIFS('Daftar Koreksi'!$I$5:$I$92,'Daftar Koreksi'!$D$5:$D$92,'2000'!A180,'Daftar Koreksi'!$G$5:$G$92,"Aset Henti Guna",'Daftar Koreksi'!$I$5:$I$92,"&lt;0")-SUMIFS('Daftar Koreksi'!$I$5:$I$92,'Daftar Koreksi'!$D$5:$D$92,'2000'!A180,'Daftar Koreksi'!$G$5:$G$92,"Aset Henti Guna",'Daftar Koreksi'!$I$5:$I$92,"&lt;0")</f>
        <v>0</v>
      </c>
      <c r="G197" s="17">
        <f t="shared" si="8"/>
        <v>-47960000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-5224384530</v>
      </c>
      <c r="E198" s="19">
        <f>SUM(E193:E197)</f>
        <v>0</v>
      </c>
      <c r="F198" s="19">
        <f>SUM(F193:F197)</f>
        <v>0</v>
      </c>
      <c r="G198" s="19">
        <f t="shared" si="8"/>
        <v>-5224384530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9156589560</v>
      </c>
      <c r="E199" s="19">
        <f>E198+E192</f>
        <v>0</v>
      </c>
      <c r="F199" s="19">
        <f>F198+F192</f>
        <v>0</v>
      </c>
      <c r="G199" s="19">
        <f t="shared" si="8"/>
        <v>9156589560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005012000477224000KD</v>
      </c>
      <c r="B202" s="11" t="str">
        <f>P10</f>
        <v>PN. Una Aha</v>
      </c>
      <c r="C202" s="12" t="str">
        <f>A202&amp;" "&amp;B202</f>
        <v>005012000477224000KD PN. Una Aha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1203000</v>
      </c>
      <c r="E205" s="25">
        <f>SUMIFS('Daftar Koreksi'!$H$5:$H$92,'Daftar Koreksi'!$D$5:$D$92,'2000'!A202,'Daftar Koreksi'!$G$5:$G$92,"Persediaan",'Daftar Koreksi'!$H$5:$H$92,"&gt;0")</f>
        <v>0</v>
      </c>
      <c r="F205" s="25">
        <f>SUMIFS('Daftar Koreksi'!$H$5:$H$92,'Daftar Koreksi'!$D$5:$D$92,'2000'!A202,'Daftar Koreksi'!$G$5:$G$92,"Persediaan",'Daftar Koreksi'!$H$5:$H$92,"&lt;0")-SUMIFS('Daftar Koreksi'!$H$5:$H$92,'Daftar Koreksi'!$D$5:$D$92,'2000'!A202,'Daftar Koreksi'!$G$5:$G$92,"Persediaan",'Daftar Koreksi'!$H$5:$H$92,"&lt;0")-SUMIFS('Daftar Koreksi'!$H$5:$H$92,'Daftar Koreksi'!$D$5:$D$92,'2000'!A202,'Daftar Koreksi'!$G$5:$G$92,"Persediaan",'Daftar Koreksi'!$H$5:$H$92,"&lt;0")</f>
        <v>0</v>
      </c>
      <c r="G205" s="17">
        <f>D205+E205-F205</f>
        <v>1203000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806264850</v>
      </c>
      <c r="E206" s="25">
        <f>SUMIFS('Daftar Koreksi'!$H$5:$H$92,'Daftar Koreksi'!$D$5:$D$92,'2000'!A202,'Daftar Koreksi'!$G$5:$G$92,"Tanah",'Daftar Koreksi'!$H$5:$H$92,"&gt;0")</f>
        <v>0</v>
      </c>
      <c r="F206" s="25">
        <f>SUMIFS('Daftar Koreksi'!$H$5:$H$92,'Daftar Koreksi'!$D$5:$D$92,'2000'!A202,'Daftar Koreksi'!$G$5:$G$92,"Tanah",'Daftar Koreksi'!$H$5:$H$92,"&lt;0")-SUMIFS('Daftar Koreksi'!$H$5:$H$92,'Daftar Koreksi'!$D$5:$D$92,'2000'!A202,'Daftar Koreksi'!$G$5:$G$92,"Tanah",'Daftar Koreksi'!$H$5:$H$92,"&lt;0")-SUMIFS('Daftar Koreksi'!$H$5:$H$92,'Daftar Koreksi'!$D$5:$D$92,'2000'!A202,'Daftar Koreksi'!$G$5:$G$92,"Tanah",'Daftar Koreksi'!$H$5:$H$92,"&lt;0")</f>
        <v>0</v>
      </c>
      <c r="G206" s="17">
        <f t="shared" ref="G206:G222" si="9">D206+E206-F206</f>
        <v>806264850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1712153265</v>
      </c>
      <c r="E207" s="25">
        <f>SUMIFS('Daftar Koreksi'!$H$5:$H$92,'Daftar Koreksi'!$D$5:$D$92,'2000'!A202,'Daftar Koreksi'!$G$5:$G$92,"Peralatan dan mesin",'Daftar Koreksi'!$H$5:$H$92,"&gt;0")</f>
        <v>0</v>
      </c>
      <c r="F207" s="25">
        <f>SUMIFS('Daftar Koreksi'!$H$5:$H$92,'Daftar Koreksi'!$D$5:$D$92,'2000'!A202,'Daftar Koreksi'!$G$5:$G$92,"Peralatan dan mesin",'Daftar Koreksi'!$H$5:$H$92,"&lt;0")-SUMIFS('Daftar Koreksi'!$H$5:$H$92,'Daftar Koreksi'!$D$5:$D$92,'2000'!A202,'Daftar Koreksi'!$G$5:$G$92,"Peralatan dan mesin",'Daftar Koreksi'!$H$5:$H$92,"&lt;0")-SUMIFS('Daftar Koreksi'!$H$5:$H$92,'Daftar Koreksi'!$D$5:$D$92,'2000'!A202,'Daftar Koreksi'!$G$5:$G$92,"Peralatan dan mesin",'Daftar Koreksi'!$H$5:$H$92,"&lt;0")</f>
        <v>0</v>
      </c>
      <c r="G207" s="17">
        <f t="shared" si="9"/>
        <v>1712153265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9089681399</v>
      </c>
      <c r="E208" s="25">
        <f>SUMIFS('Daftar Koreksi'!$H$5:$H$92,'Daftar Koreksi'!$D$5:$D$92,'2000'!A202,'Daftar Koreksi'!$G$5:$G$92,"Gedung dan Bangunan",'Daftar Koreksi'!$H$5:$H$92,"&gt;0")</f>
        <v>0</v>
      </c>
      <c r="F208" s="25">
        <f>SUMIFS('Daftar Koreksi'!$H$5:$H$92,'Daftar Koreksi'!$D$5:$D$92,'2000'!A202,'Daftar Koreksi'!$G$5:$G$92,"Gedung dan Bangunan",'Daftar Koreksi'!$H$5:$H$92,"&lt;0")-SUMIFS('Daftar Koreksi'!$H$5:$H$92,'Daftar Koreksi'!$D$5:$D$92,'2000'!A202,'Daftar Koreksi'!$G$5:$G$92,"Gedung dan Bangunan",'Daftar Koreksi'!$H$5:$H$92,"&lt;0")-SUMIFS('Daftar Koreksi'!$H$5:$H$92,'Daftar Koreksi'!$D$5:$D$92,'2000'!A202,'Daftar Koreksi'!$G$5:$G$92,"Gedung dan Bangunan",'Daftar Koreksi'!$H$5:$H$92,"&lt;0")</f>
        <v>0</v>
      </c>
      <c r="G208" s="17">
        <f t="shared" si="9"/>
        <v>9089681399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316026112</v>
      </c>
      <c r="E209" s="25">
        <f>SUMIFS('Daftar Koreksi'!$H$5:$H$92,'Daftar Koreksi'!$D$5:$D$92,'2000'!A202,'Daftar Koreksi'!$G$5:$G$92,"Jalan Irigasi Jaringan",'Daftar Koreksi'!$H$5:$H$92,"&gt;0")</f>
        <v>0</v>
      </c>
      <c r="F209" s="25">
        <f>SUMIFS('Daftar Koreksi'!$H$5:$H$92,'Daftar Koreksi'!$D$5:$D$92,'2000'!A202,'Daftar Koreksi'!$G$5:$G$92,"Jalan Irigasi Jaringan",'Daftar Koreksi'!$H$5:$H$92,"&lt;0")-SUMIFS('Daftar Koreksi'!$H$5:$H$92,'Daftar Koreksi'!$D$5:$D$92,'2000'!A202,'Daftar Koreksi'!$G$5:$G$92,"Jalan Irigasi Jaringan",'Daftar Koreksi'!$H$5:$H$92,"&lt;0")-SUMIFS('Daftar Koreksi'!$H$5:$H$92,'Daftar Koreksi'!$D$5:$D$92,'2000'!A202,'Daftar Koreksi'!$G$5:$G$92,"Jalan Irigasi Jaringan",'Daftar Koreksi'!$H$5:$H$92,"&lt;0")</f>
        <v>0</v>
      </c>
      <c r="G209" s="17">
        <f t="shared" si="9"/>
        <v>316026112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1943440</v>
      </c>
      <c r="E210" s="25">
        <f>SUMIFS('Daftar Koreksi'!$H$5:$H$92,'Daftar Koreksi'!$D$5:$D$92,'2000'!A202,'Daftar Koreksi'!$G$5:$G$92,"Aset Tetap Lainnya",'Daftar Koreksi'!$H$5:$H$92,"&gt;0")</f>
        <v>0</v>
      </c>
      <c r="F210" s="25">
        <f>SUMIFS('Daftar Koreksi'!$H$5:$H$92,'Daftar Koreksi'!$D$5:$D$92,'2000'!A202,'Daftar Koreksi'!$G$5:$G$92,"Aset Tetap Lainnya",'Daftar Koreksi'!$H$5:$H$92,"&lt;0")-SUMIFS('Daftar Koreksi'!$H$5:$H$92,'Daftar Koreksi'!$D$5:$D$92,'2000'!A202,'Daftar Koreksi'!$G$5:$G$92,"Aset Tetap Lainnya",'Daftar Koreksi'!$H$5:$H$92,"&lt;0")-SUMIFS('Daftar Koreksi'!$H$5:$H$92,'Daftar Koreksi'!$D$5:$D$92,'2000'!A202,'Daftar Koreksi'!$G$5:$G$92,"Aset Tetap Lainnya",'Daftar Koreksi'!$H$5:$H$92,"&lt;0")</f>
        <v>0</v>
      </c>
      <c r="G210" s="17">
        <f t="shared" si="9"/>
        <v>1943440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Koreksi'!$D$5:$D$92,'2000'!A202,'Daftar Koreksi'!$G$5:$G$92,"Kontruksi Dalam Pengerjaan",'Daftar Koreksi'!$H$5:$H$92,"&gt;0")</f>
        <v>0</v>
      </c>
      <c r="F211" s="25">
        <f>SUMIFS('Daftar Koreksi'!$H$5:$H$92,'Daftar Koreksi'!$D$5:$D$92,'2000'!A202,'Daftar Koreksi'!$G$5:$G$92,"Kontruksi Dalam Pengerjaan",'Daftar Koreksi'!$H$5:$H$92,"&lt;0")-SUMIFS('Daftar Koreksi'!$H$5:$H$92,'Daftar Koreksi'!$D$5:$D$92,'2000'!A202,'Daftar Koreksi'!$G$5:$G$92,"Kontruksi Dalam Pengerjaan",'Daftar Koreksi'!$H$5:$H$92,"&lt;0")-SUMIFS('Daftar Koreksi'!$H$5:$H$92,'Daftar Koreksi'!$D$5:$D$92,'2000'!A202,'Daftar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Koreksi'!$D$5:$D$92,'2000'!A202,'Daftar Koreksi'!$G$5:$G$92,"Aset Tak Berwujud",'Daftar Koreksi'!$H$5:$H$92,"&gt;0")</f>
        <v>0</v>
      </c>
      <c r="F212" s="25">
        <f>SUMIFS('Daftar Koreksi'!$H$5:$H$92,'Daftar Koreksi'!$D$5:$D$92,'2000'!A202,'Daftar Koreksi'!$G$5:$G$92,"Aset Tak Berwujud",'Daftar Koreksi'!$H$5:$H$92,"&lt;0")-SUMIFS('Daftar Koreksi'!$H$5:$H$92,'Daftar Koreksi'!$D$5:$D$92,'2000'!A202,'Daftar Koreksi'!$G$5:$G$92,"Aset Tak Berwujud",'Daftar Koreksi'!$H$5:$H$92,"&lt;0")-SUMIFS('Daftar Koreksi'!$H$5:$H$92,'Daftar Koreksi'!$D$5:$D$92,'2000'!A202,'Daftar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16310000</v>
      </c>
      <c r="E213" s="25">
        <f>SUMIFS('Daftar Koreksi'!$H$5:$H$92,'Daftar Koreksi'!$D$5:$D$92,'2000'!A202,'Daftar Koreksi'!$G$5:$G$92,"Aset Henti Guna",'Daftar Koreksi'!$H$5:$H$92,"&gt;0")</f>
        <v>0</v>
      </c>
      <c r="F213" s="25">
        <f>SUMIFS('Daftar Koreksi'!$H$5:$H$92,'Daftar Koreksi'!$D$5:$D$92,'2000'!A202,'Daftar Koreksi'!$G$5:$G$92,"Aset Henti Guna",'Daftar Koreksi'!$H$5:$H$92,"&lt;0")-SUMIFS('Daftar Koreksi'!$H$5:$H$92,'Daftar Koreksi'!$D$5:$D$92,'2000'!A202,'Daftar Koreksi'!$G$5:$G$92,"Aset Henti Guna",'Daftar Koreksi'!$H$5:$H$92,"&lt;0")-SUMIFS('Daftar Koreksi'!$H$5:$H$92,'Daftar Koreksi'!$D$5:$D$92,'2000'!A202,'Daftar Koreksi'!$G$5:$G$92,"Aset Henti Guna",'Daftar Koreksi'!$H$5:$H$92,"&lt;0")</f>
        <v>0</v>
      </c>
      <c r="G213" s="17">
        <f t="shared" si="9"/>
        <v>16310000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11943582066</v>
      </c>
      <c r="E214" s="19">
        <f>SUM(E205:E213)</f>
        <v>0</v>
      </c>
      <c r="F214" s="19">
        <f>SUM(F205:F213)</f>
        <v>0</v>
      </c>
      <c r="G214" s="19">
        <f t="shared" si="9"/>
        <v>11943582066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-1640188258</v>
      </c>
      <c r="E215" s="25">
        <f>SUMIFS('Daftar Koreksi'!$I$5:$I$92,'Daftar Koreksi'!$D$5:$D$92,'2000'!A202,'Daftar Koreksi'!$G$5:$G$92,"Peralatan dan mesin",'Daftar Koreksi'!$I$5:$I$92,"&gt;0")</f>
        <v>0</v>
      </c>
      <c r="F215" s="25">
        <f>SUMIFS('Daftar Koreksi'!$I$5:$I$92,'Daftar Koreksi'!$D$5:$D$92,'2000'!A202,'Daftar Koreksi'!$G$5:$G$92,"Peralatan dan mesin",'Daftar Koreksi'!$I$5:$I$92,"&lt;0")-SUMIFS('Daftar Koreksi'!$I$5:$I$92,'Daftar Koreksi'!$D$5:$D$92,'2000'!A202,'Daftar Koreksi'!$G$5:$G$92,"Peralatan dan mesin",'Daftar Koreksi'!$I$5:$I$92,"&lt;0")-SUMIFS('Daftar Koreksi'!$I$5:$I$92,'Daftar Koreksi'!$D$5:$D$92,'2000'!A202,'Daftar Koreksi'!$G$5:$G$92,"Peralatan dan mesin",'Daftar Koreksi'!$I$5:$I$92,"&lt;0")</f>
        <v>0</v>
      </c>
      <c r="G215" s="17">
        <f t="shared" si="9"/>
        <v>-1640188258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-685569605</v>
      </c>
      <c r="E216" s="25">
        <f>SUMIFS('Daftar Koreksi'!$I$5:$I$92,'Daftar Koreksi'!$D$5:$D$92,'2000'!A202,'Daftar Koreksi'!$G$5:$G$92,"Gedung dan Bangunan",'Daftar Koreksi'!$I$5:$I$92,"&gt;0")</f>
        <v>0</v>
      </c>
      <c r="F216" s="25">
        <f>SUMIFS('Daftar Koreksi'!$I$5:$I$92,'Daftar Koreksi'!$D$5:$D$92,'2000'!A202,'Daftar Koreksi'!$G$5:$G$92,"Gedung dan Bangunan",'Daftar Koreksi'!$I$5:$I$92,"&lt;0")-SUMIFS('Daftar Koreksi'!$I$5:$I$92,'Daftar Koreksi'!$D$5:$D$92,'2000'!A202,'Daftar Koreksi'!$G$5:$G$92,"Gedung dan Bangunan",'Daftar Koreksi'!$I$5:$I$92,"&lt;0")-SUMIFS('Daftar Koreksi'!$I$5:$I$92,'Daftar Koreksi'!$D$5:$D$92,'2000'!A202,'Daftar Koreksi'!$G$5:$G$92,"Gedung dan Bangunan",'Daftar Koreksi'!$I$5:$I$92,"&lt;0")</f>
        <v>0</v>
      </c>
      <c r="G216" s="17">
        <f t="shared" si="9"/>
        <v>-685569605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-76817673</v>
      </c>
      <c r="E217" s="25">
        <f>SUMIFS('Daftar Koreksi'!$I$5:$I$92,'Daftar Koreksi'!$D$5:$D$92,'2000'!A202,'Daftar Koreksi'!$G$5:$G$92,"Jalan Irigasi Jaringan",'Daftar Koreksi'!$I$5:$I$92,"&gt;0")</f>
        <v>0</v>
      </c>
      <c r="F217" s="25">
        <f>SUMIFS('Daftar Koreksi'!$I$5:$I$92,'Daftar Koreksi'!$D$5:$D$92,'2000'!A202,'Daftar Koreksi'!$G$5:$G$92,"Jalan Irigasi Jaringan",'Daftar Koreksi'!$I$5:$I$92,"&lt;0")-SUMIFS('Daftar Koreksi'!$I$5:$I$92,'Daftar Koreksi'!$D$5:$D$92,'2000'!A202,'Daftar Koreksi'!$G$5:$G$92,"Jalan Irigasi Jaringan",'Daftar Koreksi'!$I$5:$I$92,"&lt;0")-SUMIFS('Daftar Koreksi'!$I$5:$I$92,'Daftar Koreksi'!$D$5:$D$92,'2000'!A202,'Daftar Koreksi'!$G$5:$G$92,"Jalan Irigasi Jaringan",'Daftar Koreksi'!$I$5:$I$92,"&lt;0")</f>
        <v>0</v>
      </c>
      <c r="G217" s="17">
        <f t="shared" si="9"/>
        <v>-76817673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Koreksi'!$D$5:$D$92,'2000'!A202,'Daftar Koreksi'!$G$5:$G$92,"Aset Tetap Lainnya",'Daftar Koreksi'!$I$5:$I$92,"&gt;0")</f>
        <v>0</v>
      </c>
      <c r="F218" s="25">
        <f>SUMIFS('Daftar Koreksi'!$I$5:$I$92,'Daftar Koreksi'!$D$5:$D$92,'2000'!A202,'Daftar Koreksi'!$G$5:$G$92,"Aset Tetap Lainnya",'Daftar Koreksi'!$I$5:$I$92,"&lt;0")-SUMIFS('Daftar Koreksi'!$I$5:$I$92,'Daftar Koreksi'!$D$5:$D$92,'2000'!A202,'Daftar Koreksi'!$G$5:$G$92,"Aset Tetap Lainnya",'Daftar Koreksi'!$I$5:$I$92,"&lt;0")-SUMIFS('Daftar Koreksi'!$I$5:$I$92,'Daftar Koreksi'!$D$5:$D$92,'2000'!A202,'Daftar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-16310000</v>
      </c>
      <c r="E219" s="25">
        <f>SUMIFS('Daftar Koreksi'!$I$5:$I$92,'Daftar Koreksi'!$D$5:$D$92,'2000'!A202,'Daftar Koreksi'!$G$5:$G$92,"Aset Henti Guna",'Daftar Koreksi'!$I$5:$I$92,"&gt;0")</f>
        <v>0</v>
      </c>
      <c r="F219" s="25">
        <f>SUMIFS('Daftar Koreksi'!$I$5:$I$92,'Daftar Koreksi'!$D$5:$D$92,'2000'!A202,'Daftar Koreksi'!$G$5:$G$92,"Aset Henti Guna",'Daftar Koreksi'!$I$5:$I$92,"&lt;0")-SUMIFS('Daftar Koreksi'!$I$5:$I$92,'Daftar Koreksi'!$D$5:$D$92,'2000'!A202,'Daftar Koreksi'!$G$5:$G$92,"Aset Henti Guna",'Daftar Koreksi'!$I$5:$I$92,"&lt;0")-SUMIFS('Daftar Koreksi'!$I$5:$I$92,'Daftar Koreksi'!$D$5:$D$92,'2000'!A202,'Daftar Koreksi'!$G$5:$G$92,"Aset Henti Guna",'Daftar Koreksi'!$I$5:$I$92,"&lt;0")</f>
        <v>0</v>
      </c>
      <c r="G219" s="17">
        <f t="shared" si="9"/>
        <v>-16310000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-2418885536</v>
      </c>
      <c r="E220" s="19">
        <f>SUM(E215:E219)</f>
        <v>0</v>
      </c>
      <c r="F220" s="19">
        <f>SUM(F215:F219)</f>
        <v>0</v>
      </c>
      <c r="G220" s="19">
        <f t="shared" si="9"/>
        <v>-2418885536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9524696530</v>
      </c>
      <c r="E221" s="19">
        <f>E220+E214</f>
        <v>0</v>
      </c>
      <c r="F221" s="19">
        <f>F220+F214</f>
        <v>0</v>
      </c>
      <c r="G221" s="19">
        <f t="shared" si="9"/>
        <v>9524696530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005012000576253000KD</v>
      </c>
      <c r="B224" s="11" t="str">
        <f>P11</f>
        <v>PTA. Kendari</v>
      </c>
      <c r="C224" s="12" t="str">
        <f>A224&amp;" "&amp;B224</f>
        <v>005012000576253000KD PTA. Kendari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842900</v>
      </c>
      <c r="E227" s="25">
        <f>SUMIFS('Daftar Koreksi'!$H$5:$H$92,'Daftar Koreksi'!$D$5:$D$92,'2000'!A224,'Daftar Koreksi'!$G$5:$G$92,"Persediaan",'Daftar Koreksi'!$H$5:$H$92,"&gt;0")</f>
        <v>0</v>
      </c>
      <c r="F227" s="25">
        <f>SUMIFS('Daftar Koreksi'!$H$5:$H$92,'Daftar Koreksi'!$D$5:$D$92,'2000'!A224,'Daftar Koreksi'!$G$5:$G$92,"Persediaan",'Daftar Koreksi'!$H$5:$H$92,"&lt;0")-SUMIFS('Daftar Koreksi'!$H$5:$H$92,'Daftar Koreksi'!$D$5:$D$92,'2000'!A224,'Daftar Koreksi'!$G$5:$G$92,"Persediaan",'Daftar Koreksi'!$H$5:$H$92,"&lt;0")-SUMIFS('Daftar Koreksi'!$H$5:$H$92,'Daftar Koreksi'!$D$5:$D$92,'2000'!A224,'Daftar Koreksi'!$G$5:$G$92,"Persediaan",'Daftar Koreksi'!$H$5:$H$92,"&lt;0")</f>
        <v>0</v>
      </c>
      <c r="G227" s="17">
        <f>D227+E227-F227</f>
        <v>842900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2439528000</v>
      </c>
      <c r="E228" s="25">
        <f>SUMIFS('Daftar Koreksi'!$H$5:$H$92,'Daftar Koreksi'!$D$5:$D$92,'2000'!A224,'Daftar Koreksi'!$G$5:$G$92,"Tanah",'Daftar Koreksi'!$H$5:$H$92,"&gt;0")</f>
        <v>0</v>
      </c>
      <c r="F228" s="25">
        <f>SUMIFS('Daftar Koreksi'!$H$5:$H$92,'Daftar Koreksi'!$D$5:$D$92,'2000'!A224,'Daftar Koreksi'!$G$5:$G$92,"Tanah",'Daftar Koreksi'!$H$5:$H$92,"&lt;0")-SUMIFS('Daftar Koreksi'!$H$5:$H$92,'Daftar Koreksi'!$D$5:$D$92,'2000'!A224,'Daftar Koreksi'!$G$5:$G$92,"Tanah",'Daftar Koreksi'!$H$5:$H$92,"&lt;0")-SUMIFS('Daftar Koreksi'!$H$5:$H$92,'Daftar Koreksi'!$D$5:$D$92,'2000'!A224,'Daftar Koreksi'!$G$5:$G$92,"Tanah",'Daftar Koreksi'!$H$5:$H$92,"&lt;0")</f>
        <v>0</v>
      </c>
      <c r="G228" s="17">
        <f t="shared" ref="G228:G244" si="10">D228+E228-F228</f>
        <v>2439528000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3115406175</v>
      </c>
      <c r="E229" s="25">
        <f>SUMIFS('Daftar Koreksi'!$H$5:$H$92,'Daftar Koreksi'!$D$5:$D$92,'2000'!A224,'Daftar Koreksi'!$G$5:$G$92,"Peralatan dan mesin",'Daftar Koreksi'!$H$5:$H$92,"&gt;0")</f>
        <v>0</v>
      </c>
      <c r="F229" s="25">
        <f>SUMIFS('Daftar Koreksi'!$H$5:$H$92,'Daftar Koreksi'!$D$5:$D$92,'2000'!A224,'Daftar Koreksi'!$G$5:$G$92,"Peralatan dan mesin",'Daftar Koreksi'!$H$5:$H$92,"&lt;0")-SUMIFS('Daftar Koreksi'!$H$5:$H$92,'Daftar Koreksi'!$D$5:$D$92,'2000'!A224,'Daftar Koreksi'!$G$5:$G$92,"Peralatan dan mesin",'Daftar Koreksi'!$H$5:$H$92,"&lt;0")-SUMIFS('Daftar Koreksi'!$H$5:$H$92,'Daftar Koreksi'!$D$5:$D$92,'2000'!A224,'Daftar Koreksi'!$G$5:$G$92,"Peralatan dan mesin",'Daftar Koreksi'!$H$5:$H$92,"&lt;0")</f>
        <v>0</v>
      </c>
      <c r="G229" s="17">
        <f t="shared" si="10"/>
        <v>3115406175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10206315960</v>
      </c>
      <c r="E230" s="25">
        <f>SUMIFS('Daftar Koreksi'!$H$5:$H$92,'Daftar Koreksi'!$D$5:$D$92,'2000'!A224,'Daftar Koreksi'!$G$5:$G$92,"Gedung dan Bangunan",'Daftar Koreksi'!$H$5:$H$92,"&gt;0")</f>
        <v>0</v>
      </c>
      <c r="F230" s="25">
        <f>SUMIFS('Daftar Koreksi'!$H$5:$H$92,'Daftar Koreksi'!$D$5:$D$92,'2000'!A224,'Daftar Koreksi'!$G$5:$G$92,"Gedung dan Bangunan",'Daftar Koreksi'!$H$5:$H$92,"&lt;0")-SUMIFS('Daftar Koreksi'!$H$5:$H$92,'Daftar Koreksi'!$D$5:$D$92,'2000'!A224,'Daftar Koreksi'!$G$5:$G$92,"Gedung dan Bangunan",'Daftar Koreksi'!$H$5:$H$92,"&lt;0")-SUMIFS('Daftar Koreksi'!$H$5:$H$92,'Daftar Koreksi'!$D$5:$D$92,'2000'!A224,'Daftar Koreksi'!$G$5:$G$92,"Gedung dan Bangunan",'Daftar Koreksi'!$H$5:$H$92,"&lt;0")</f>
        <v>0</v>
      </c>
      <c r="G230" s="17">
        <f t="shared" si="10"/>
        <v>10206315960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315030000</v>
      </c>
      <c r="E231" s="25">
        <f>SUMIFS('Daftar Koreksi'!$H$5:$H$92,'Daftar Koreksi'!$D$5:$D$92,'2000'!A224,'Daftar Koreksi'!$G$5:$G$92,"Jalan Irigasi Jaringan",'Daftar Koreksi'!$H$5:$H$92,"&gt;0")</f>
        <v>0</v>
      </c>
      <c r="F231" s="25">
        <f>SUMIFS('Daftar Koreksi'!$H$5:$H$92,'Daftar Koreksi'!$D$5:$D$92,'2000'!A224,'Daftar Koreksi'!$G$5:$G$92,"Jalan Irigasi Jaringan",'Daftar Koreksi'!$H$5:$H$92,"&lt;0")-SUMIFS('Daftar Koreksi'!$H$5:$H$92,'Daftar Koreksi'!$D$5:$D$92,'2000'!A224,'Daftar Koreksi'!$G$5:$G$92,"Jalan Irigasi Jaringan",'Daftar Koreksi'!$H$5:$H$92,"&lt;0")-SUMIFS('Daftar Koreksi'!$H$5:$H$92,'Daftar Koreksi'!$D$5:$D$92,'2000'!A224,'Daftar Koreksi'!$G$5:$G$92,"Jalan Irigasi Jaringan",'Daftar Koreksi'!$H$5:$H$92,"&lt;0")</f>
        <v>0</v>
      </c>
      <c r="G231" s="17">
        <f t="shared" si="10"/>
        <v>315030000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17533898</v>
      </c>
      <c r="E232" s="25">
        <f>SUMIFS('Daftar Koreksi'!$H$5:$H$92,'Daftar Koreksi'!$D$5:$D$92,'2000'!A224,'Daftar Koreksi'!$G$5:$G$92,"Aset Tetap Lainnya",'Daftar Koreksi'!$H$5:$H$92,"&gt;0")</f>
        <v>0</v>
      </c>
      <c r="F232" s="25">
        <f>SUMIFS('Daftar Koreksi'!$H$5:$H$92,'Daftar Koreksi'!$D$5:$D$92,'2000'!A224,'Daftar Koreksi'!$G$5:$G$92,"Aset Tetap Lainnya",'Daftar Koreksi'!$H$5:$H$92,"&lt;0")-SUMIFS('Daftar Koreksi'!$H$5:$H$92,'Daftar Koreksi'!$D$5:$D$92,'2000'!A224,'Daftar Koreksi'!$G$5:$G$92,"Aset Tetap Lainnya",'Daftar Koreksi'!$H$5:$H$92,"&lt;0")-SUMIFS('Daftar Koreksi'!$H$5:$H$92,'Daftar Koreksi'!$D$5:$D$92,'2000'!A224,'Daftar Koreksi'!$G$5:$G$92,"Aset Tetap Lainnya",'Daftar Koreksi'!$H$5:$H$92,"&lt;0")</f>
        <v>0</v>
      </c>
      <c r="G232" s="17">
        <f t="shared" si="10"/>
        <v>17533898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Koreksi'!$D$5:$D$92,'2000'!A224,'Daftar Koreksi'!$G$5:$G$92,"Kontruksi Dalam Pengerjaan",'Daftar Koreksi'!$H$5:$H$92,"&gt;0")</f>
        <v>0</v>
      </c>
      <c r="F233" s="25">
        <f>SUMIFS('Daftar Koreksi'!$H$5:$H$92,'Daftar Koreksi'!$D$5:$D$92,'2000'!A224,'Daftar Koreksi'!$G$5:$G$92,"Kontruksi Dalam Pengerjaan",'Daftar Koreksi'!$H$5:$H$92,"&lt;0")-SUMIFS('Daftar Koreksi'!$H$5:$H$92,'Daftar Koreksi'!$D$5:$D$92,'2000'!A224,'Daftar Koreksi'!$G$5:$G$92,"Kontruksi Dalam Pengerjaan",'Daftar Koreksi'!$H$5:$H$92,"&lt;0")-SUMIFS('Daftar Koreksi'!$H$5:$H$92,'Daftar Koreksi'!$D$5:$D$92,'2000'!A224,'Daftar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Koreksi'!$D$5:$D$92,'2000'!A224,'Daftar Koreksi'!$G$5:$G$92,"Aset Tak Berwujud",'Daftar Koreksi'!$H$5:$H$92,"&gt;0")</f>
        <v>0</v>
      </c>
      <c r="F234" s="25">
        <f>SUMIFS('Daftar Koreksi'!$H$5:$H$92,'Daftar Koreksi'!$D$5:$D$92,'2000'!A224,'Daftar Koreksi'!$G$5:$G$92,"Aset Tak Berwujud",'Daftar Koreksi'!$H$5:$H$92,"&lt;0")-SUMIFS('Daftar Koreksi'!$H$5:$H$92,'Daftar Koreksi'!$D$5:$D$92,'2000'!A224,'Daftar Koreksi'!$G$5:$G$92,"Aset Tak Berwujud",'Daftar Koreksi'!$H$5:$H$92,"&lt;0")-SUMIFS('Daftar Koreksi'!$H$5:$H$92,'Daftar Koreksi'!$D$5:$D$92,'2000'!A224,'Daftar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0</v>
      </c>
      <c r="E235" s="25">
        <f>SUMIFS('Daftar Koreksi'!$H$5:$H$92,'Daftar Koreksi'!$D$5:$D$92,'2000'!A224,'Daftar Koreksi'!$G$5:$G$92,"Aset Henti Guna",'Daftar Koreksi'!$H$5:$H$92,"&gt;0")</f>
        <v>0</v>
      </c>
      <c r="F235" s="25">
        <f>SUMIFS('Daftar Koreksi'!$H$5:$H$92,'Daftar Koreksi'!$D$5:$D$92,'2000'!A224,'Daftar Koreksi'!$G$5:$G$92,"Aset Henti Guna",'Daftar Koreksi'!$H$5:$H$92,"&lt;0")-SUMIFS('Daftar Koreksi'!$H$5:$H$92,'Daftar Koreksi'!$D$5:$D$92,'2000'!A224,'Daftar Koreksi'!$G$5:$G$92,"Aset Henti Guna",'Daftar Koreksi'!$H$5:$H$92,"&lt;0")-SUMIFS('Daftar Koreksi'!$H$5:$H$92,'Daftar Koreksi'!$D$5:$D$92,'2000'!A224,'Daftar Koreksi'!$G$5:$G$92,"Aset Henti Guna",'Daftar Koreksi'!$H$5:$H$92,"&lt;0")</f>
        <v>0</v>
      </c>
      <c r="G235" s="17">
        <f t="shared" si="10"/>
        <v>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16094656933</v>
      </c>
      <c r="E236" s="19">
        <f>SUM(E227:E235)</f>
        <v>0</v>
      </c>
      <c r="F236" s="19">
        <f>SUM(F227:F235)</f>
        <v>0</v>
      </c>
      <c r="G236" s="19">
        <f t="shared" si="10"/>
        <v>16094656933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-2544602453</v>
      </c>
      <c r="E237" s="25">
        <f>SUMIFS('Daftar Koreksi'!$I$5:$I$92,'Daftar Koreksi'!$D$5:$D$92,'2000'!A224,'Daftar Koreksi'!$G$5:$G$92,"Peralatan dan mesin",'Daftar Koreksi'!$I$5:$I$92,"&gt;0")</f>
        <v>0</v>
      </c>
      <c r="F237" s="25">
        <f>SUMIFS('Daftar Koreksi'!$I$5:$I$92,'Daftar Koreksi'!$D$5:$D$92,'2000'!A224,'Daftar Koreksi'!$G$5:$G$92,"Peralatan dan mesin",'Daftar Koreksi'!$I$5:$I$92,"&lt;0")-SUMIFS('Daftar Koreksi'!$I$5:$I$92,'Daftar Koreksi'!$D$5:$D$92,'2000'!A224,'Daftar Koreksi'!$G$5:$G$92,"Peralatan dan mesin",'Daftar Koreksi'!$I$5:$I$92,"&lt;0")-SUMIFS('Daftar Koreksi'!$I$5:$I$92,'Daftar Koreksi'!$D$5:$D$92,'2000'!A224,'Daftar Koreksi'!$G$5:$G$92,"Peralatan dan mesin",'Daftar Koreksi'!$I$5:$I$92,"&lt;0")</f>
        <v>0</v>
      </c>
      <c r="G237" s="17">
        <f t="shared" si="10"/>
        <v>-2544602453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-1364003000</v>
      </c>
      <c r="E238" s="25">
        <f>SUMIFS('Daftar Koreksi'!$I$5:$I$92,'Daftar Koreksi'!$D$5:$D$92,'2000'!A224,'Daftar Koreksi'!$G$5:$G$92,"Gedung dan Bangunan",'Daftar Koreksi'!$I$5:$I$92,"&gt;0")</f>
        <v>0</v>
      </c>
      <c r="F238" s="25">
        <f>SUMIFS('Daftar Koreksi'!$I$5:$I$92,'Daftar Koreksi'!$D$5:$D$92,'2000'!A224,'Daftar Koreksi'!$G$5:$G$92,"Gedung dan Bangunan",'Daftar Koreksi'!$I$5:$I$92,"&lt;0")-SUMIFS('Daftar Koreksi'!$I$5:$I$92,'Daftar Koreksi'!$D$5:$D$92,'2000'!A224,'Daftar Koreksi'!$G$5:$G$92,"Gedung dan Bangunan",'Daftar Koreksi'!$I$5:$I$92,"&lt;0")-SUMIFS('Daftar Koreksi'!$I$5:$I$92,'Daftar Koreksi'!$D$5:$D$92,'2000'!A224,'Daftar Koreksi'!$G$5:$G$92,"Gedung dan Bangunan",'Daftar Koreksi'!$I$5:$I$92,"&lt;0")</f>
        <v>0</v>
      </c>
      <c r="G238" s="17">
        <f t="shared" si="10"/>
        <v>-1364003000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-29782063</v>
      </c>
      <c r="E239" s="25">
        <f>SUMIFS('Daftar Koreksi'!$I$5:$I$92,'Daftar Koreksi'!$D$5:$D$92,'2000'!A224,'Daftar Koreksi'!$G$5:$G$92,"Jalan Irigasi Jaringan",'Daftar Koreksi'!$I$5:$I$92,"&gt;0")</f>
        <v>0</v>
      </c>
      <c r="F239" s="25">
        <f>SUMIFS('Daftar Koreksi'!$I$5:$I$92,'Daftar Koreksi'!$D$5:$D$92,'2000'!A224,'Daftar Koreksi'!$G$5:$G$92,"Jalan Irigasi Jaringan",'Daftar Koreksi'!$I$5:$I$92,"&lt;0")-SUMIFS('Daftar Koreksi'!$I$5:$I$92,'Daftar Koreksi'!$D$5:$D$92,'2000'!A224,'Daftar Koreksi'!$G$5:$G$92,"Jalan Irigasi Jaringan",'Daftar Koreksi'!$I$5:$I$92,"&lt;0")-SUMIFS('Daftar Koreksi'!$I$5:$I$92,'Daftar Koreksi'!$D$5:$D$92,'2000'!A224,'Daftar Koreksi'!$G$5:$G$92,"Jalan Irigasi Jaringan",'Daftar Koreksi'!$I$5:$I$92,"&lt;0")</f>
        <v>0</v>
      </c>
      <c r="G239" s="17">
        <f t="shared" si="10"/>
        <v>-29782063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Koreksi'!$D$5:$D$92,'2000'!A224,'Daftar Koreksi'!$G$5:$G$92,"Aset Tetap Lainnya",'Daftar Koreksi'!$I$5:$I$92,"&gt;0")</f>
        <v>0</v>
      </c>
      <c r="F240" s="25">
        <f>SUMIFS('Daftar Koreksi'!$I$5:$I$92,'Daftar Koreksi'!$D$5:$D$92,'2000'!A224,'Daftar Koreksi'!$G$5:$G$92,"Aset Tetap Lainnya",'Daftar Koreksi'!$I$5:$I$92,"&lt;0")-SUMIFS('Daftar Koreksi'!$I$5:$I$92,'Daftar Koreksi'!$D$5:$D$92,'2000'!A224,'Daftar Koreksi'!$G$5:$G$92,"Aset Tetap Lainnya",'Daftar Koreksi'!$I$5:$I$92,"&lt;0")-SUMIFS('Daftar Koreksi'!$I$5:$I$92,'Daftar Koreksi'!$D$5:$D$92,'2000'!A224,'Daftar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0</v>
      </c>
      <c r="E241" s="25">
        <f>SUMIFS('Daftar Koreksi'!$I$5:$I$92,'Daftar Koreksi'!$D$5:$D$92,'2000'!A224,'Daftar Koreksi'!$G$5:$G$92,"Aset Henti Guna",'Daftar Koreksi'!$I$5:$I$92,"&gt;0")</f>
        <v>0</v>
      </c>
      <c r="F241" s="25">
        <f>SUMIFS('Daftar Koreksi'!$I$5:$I$92,'Daftar Koreksi'!$D$5:$D$92,'2000'!A224,'Daftar Koreksi'!$G$5:$G$92,"Aset Henti Guna",'Daftar Koreksi'!$I$5:$I$92,"&lt;0")-SUMIFS('Daftar Koreksi'!$I$5:$I$92,'Daftar Koreksi'!$D$5:$D$92,'2000'!A224,'Daftar Koreksi'!$G$5:$G$92,"Aset Henti Guna",'Daftar Koreksi'!$I$5:$I$92,"&lt;0")-SUMIFS('Daftar Koreksi'!$I$5:$I$92,'Daftar Koreksi'!$D$5:$D$92,'2000'!A224,'Daftar Koreksi'!$G$5:$G$92,"Aset Henti Guna",'Daftar Koreksi'!$I$5:$I$92,"&lt;0")</f>
        <v>0</v>
      </c>
      <c r="G241" s="17">
        <f t="shared" si="10"/>
        <v>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-3938387516</v>
      </c>
      <c r="E242" s="19">
        <f>SUM(E237:E241)</f>
        <v>0</v>
      </c>
      <c r="F242" s="19">
        <f>SUM(F237:F241)</f>
        <v>0</v>
      </c>
      <c r="G242" s="19">
        <f t="shared" si="10"/>
        <v>-3938387516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12156269417</v>
      </c>
      <c r="E243" s="19">
        <f>E242+E236</f>
        <v>0</v>
      </c>
      <c r="F243" s="19">
        <f>F242+F236</f>
        <v>0</v>
      </c>
      <c r="G243" s="19">
        <f t="shared" si="10"/>
        <v>12156269417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005012000578864000KD</v>
      </c>
      <c r="B246" s="11" t="str">
        <f>P12</f>
        <v>PTUN. Kendari</v>
      </c>
      <c r="C246" s="12" t="str">
        <f>A246&amp;" "&amp;B246</f>
        <v>005012000578864000KD PTUN. Kendari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14903300</v>
      </c>
      <c r="E249" s="25">
        <f>SUMIFS('Daftar Koreksi'!$H$5:$H$92,'Daftar Koreksi'!$D$5:$D$92,'2000'!A246,'Daftar Koreksi'!$G$5:$G$92,"Persediaan",'Daftar Koreksi'!$H$5:$H$92,"&gt;0")</f>
        <v>0</v>
      </c>
      <c r="F249" s="25">
        <f>SUMIFS('Daftar Koreksi'!$H$5:$H$92,'Daftar Koreksi'!$D$5:$D$92,'2000'!A246,'Daftar Koreksi'!$G$5:$G$92,"Persediaan",'Daftar Koreksi'!$H$5:$H$92,"&lt;0")-SUMIFS('Daftar Koreksi'!$H$5:$H$92,'Daftar Koreksi'!$D$5:$D$92,'2000'!A246,'Daftar Koreksi'!$G$5:$G$92,"Persediaan",'Daftar Koreksi'!$H$5:$H$92,"&lt;0")-SUMIFS('Daftar Koreksi'!$H$5:$H$92,'Daftar Koreksi'!$D$5:$D$92,'2000'!A246,'Daftar Koreksi'!$G$5:$G$92,"Persediaan",'Daftar Koreksi'!$H$5:$H$92,"&lt;0")</f>
        <v>0</v>
      </c>
      <c r="G249" s="17">
        <f>D249+E249-F249</f>
        <v>14903300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952200000</v>
      </c>
      <c r="E250" s="25">
        <f>SUMIFS('Daftar Koreksi'!$H$5:$H$92,'Daftar Koreksi'!$D$5:$D$92,'2000'!A246,'Daftar Koreksi'!$G$5:$G$92,"Tanah",'Daftar Koreksi'!$H$5:$H$92,"&gt;0")</f>
        <v>0</v>
      </c>
      <c r="F250" s="25">
        <f>SUMIFS('Daftar Koreksi'!$H$5:$H$92,'Daftar Koreksi'!$D$5:$D$92,'2000'!A246,'Daftar Koreksi'!$G$5:$G$92,"Tanah",'Daftar Koreksi'!$H$5:$H$92,"&lt;0")-SUMIFS('Daftar Koreksi'!$H$5:$H$92,'Daftar Koreksi'!$D$5:$D$92,'2000'!A246,'Daftar Koreksi'!$G$5:$G$92,"Tanah",'Daftar Koreksi'!$H$5:$H$92,"&lt;0")-SUMIFS('Daftar Koreksi'!$H$5:$H$92,'Daftar Koreksi'!$D$5:$D$92,'2000'!A246,'Daftar Koreksi'!$G$5:$G$92,"Tanah",'Daftar Koreksi'!$H$5:$H$92,"&lt;0")</f>
        <v>0</v>
      </c>
      <c r="G250" s="17">
        <f t="shared" ref="G250:G266" si="11">D250+E250-F250</f>
        <v>952200000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2190601367</v>
      </c>
      <c r="E251" s="25">
        <f>SUMIFS('Daftar Koreksi'!$H$5:$H$92,'Daftar Koreksi'!$D$5:$D$92,'2000'!A246,'Daftar Koreksi'!$G$5:$G$92,"Peralatan dan mesin",'Daftar Koreksi'!$H$5:$H$92,"&gt;0")</f>
        <v>0</v>
      </c>
      <c r="F251" s="25">
        <f>SUMIFS('Daftar Koreksi'!$H$5:$H$92,'Daftar Koreksi'!$D$5:$D$92,'2000'!A246,'Daftar Koreksi'!$G$5:$G$92,"Peralatan dan mesin",'Daftar Koreksi'!$H$5:$H$92,"&lt;0")-SUMIFS('Daftar Koreksi'!$H$5:$H$92,'Daftar Koreksi'!$D$5:$D$92,'2000'!A246,'Daftar Koreksi'!$G$5:$G$92,"Peralatan dan mesin",'Daftar Koreksi'!$H$5:$H$92,"&lt;0")-SUMIFS('Daftar Koreksi'!$H$5:$H$92,'Daftar Koreksi'!$D$5:$D$92,'2000'!A246,'Daftar Koreksi'!$G$5:$G$92,"Peralatan dan mesin",'Daftar Koreksi'!$H$5:$H$92,"&lt;0")</f>
        <v>0</v>
      </c>
      <c r="G251" s="17">
        <f t="shared" si="11"/>
        <v>2190601367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5131278000</v>
      </c>
      <c r="E252" s="25">
        <f>SUMIFS('Daftar Koreksi'!$H$5:$H$92,'Daftar Koreksi'!$D$5:$D$92,'2000'!A246,'Daftar Koreksi'!$G$5:$G$92,"Gedung dan Bangunan",'Daftar Koreksi'!$H$5:$H$92,"&gt;0")</f>
        <v>0</v>
      </c>
      <c r="F252" s="25">
        <f>SUMIFS('Daftar Koreksi'!$H$5:$H$92,'Daftar Koreksi'!$D$5:$D$92,'2000'!A246,'Daftar Koreksi'!$G$5:$G$92,"Gedung dan Bangunan",'Daftar Koreksi'!$H$5:$H$92,"&lt;0")-SUMIFS('Daftar Koreksi'!$H$5:$H$92,'Daftar Koreksi'!$D$5:$D$92,'2000'!A246,'Daftar Koreksi'!$G$5:$G$92,"Gedung dan Bangunan",'Daftar Koreksi'!$H$5:$H$92,"&lt;0")-SUMIFS('Daftar Koreksi'!$H$5:$H$92,'Daftar Koreksi'!$D$5:$D$92,'2000'!A246,'Daftar Koreksi'!$G$5:$G$92,"Gedung dan Bangunan",'Daftar Koreksi'!$H$5:$H$92,"&lt;0")</f>
        <v>0</v>
      </c>
      <c r="G252" s="17">
        <f t="shared" si="11"/>
        <v>5131278000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282955000</v>
      </c>
      <c r="E253" s="25">
        <f>SUMIFS('Daftar Koreksi'!$H$5:$H$92,'Daftar Koreksi'!$D$5:$D$92,'2000'!A246,'Daftar Koreksi'!$G$5:$G$92,"Jalan Irigasi Jaringan",'Daftar Koreksi'!$H$5:$H$92,"&gt;0")</f>
        <v>0</v>
      </c>
      <c r="F253" s="25">
        <f>SUMIFS('Daftar Koreksi'!$H$5:$H$92,'Daftar Koreksi'!$D$5:$D$92,'2000'!A246,'Daftar Koreksi'!$G$5:$G$92,"Jalan Irigasi Jaringan",'Daftar Koreksi'!$H$5:$H$92,"&lt;0")-SUMIFS('Daftar Koreksi'!$H$5:$H$92,'Daftar Koreksi'!$D$5:$D$92,'2000'!A246,'Daftar Koreksi'!$G$5:$G$92,"Jalan Irigasi Jaringan",'Daftar Koreksi'!$H$5:$H$92,"&lt;0")-SUMIFS('Daftar Koreksi'!$H$5:$H$92,'Daftar Koreksi'!$D$5:$D$92,'2000'!A246,'Daftar Koreksi'!$G$5:$G$92,"Jalan Irigasi Jaringan",'Daftar Koreksi'!$H$5:$H$92,"&lt;0")</f>
        <v>0</v>
      </c>
      <c r="G253" s="17">
        <f t="shared" si="11"/>
        <v>282955000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2828676</v>
      </c>
      <c r="E254" s="25">
        <f>SUMIFS('Daftar Koreksi'!$H$5:$H$92,'Daftar Koreksi'!$D$5:$D$92,'2000'!A246,'Daftar Koreksi'!$G$5:$G$92,"Aset Tetap Lainnya",'Daftar Koreksi'!$H$5:$H$92,"&gt;0")</f>
        <v>0</v>
      </c>
      <c r="F254" s="25">
        <f>SUMIFS('Daftar Koreksi'!$H$5:$H$92,'Daftar Koreksi'!$D$5:$D$92,'2000'!A246,'Daftar Koreksi'!$G$5:$G$92,"Aset Tetap Lainnya",'Daftar Koreksi'!$H$5:$H$92,"&lt;0")-SUMIFS('Daftar Koreksi'!$H$5:$H$92,'Daftar Koreksi'!$D$5:$D$92,'2000'!A246,'Daftar Koreksi'!$G$5:$G$92,"Aset Tetap Lainnya",'Daftar Koreksi'!$H$5:$H$92,"&lt;0")-SUMIFS('Daftar Koreksi'!$H$5:$H$92,'Daftar Koreksi'!$D$5:$D$92,'2000'!A246,'Daftar Koreksi'!$G$5:$G$92,"Aset Tetap Lainnya",'Daftar Koreksi'!$H$5:$H$92,"&lt;0")</f>
        <v>0</v>
      </c>
      <c r="G254" s="17">
        <f t="shared" si="11"/>
        <v>2828676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Koreksi'!$D$5:$D$92,'2000'!A246,'Daftar Koreksi'!$G$5:$G$92,"Kontruksi Dalam Pengerjaan",'Daftar Koreksi'!$H$5:$H$92,"&gt;0")</f>
        <v>0</v>
      </c>
      <c r="F255" s="25">
        <f>SUMIFS('Daftar Koreksi'!$H$5:$H$92,'Daftar Koreksi'!$D$5:$D$92,'2000'!A246,'Daftar Koreksi'!$G$5:$G$92,"Kontruksi Dalam Pengerjaan",'Daftar Koreksi'!$H$5:$H$92,"&lt;0")-SUMIFS('Daftar Koreksi'!$H$5:$H$92,'Daftar Koreksi'!$D$5:$D$92,'2000'!A246,'Daftar Koreksi'!$G$5:$G$92,"Kontruksi Dalam Pengerjaan",'Daftar Koreksi'!$H$5:$H$92,"&lt;0")-SUMIFS('Daftar Koreksi'!$H$5:$H$92,'Daftar Koreksi'!$D$5:$D$92,'2000'!A246,'Daftar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Koreksi'!$D$5:$D$92,'2000'!A246,'Daftar Koreksi'!$G$5:$G$92,"Aset Tak Berwujud",'Daftar Koreksi'!$H$5:$H$92,"&gt;0")</f>
        <v>0</v>
      </c>
      <c r="F256" s="25">
        <f>SUMIFS('Daftar Koreksi'!$H$5:$H$92,'Daftar Koreksi'!$D$5:$D$92,'2000'!A246,'Daftar Koreksi'!$G$5:$G$92,"Aset Tak Berwujud",'Daftar Koreksi'!$H$5:$H$92,"&lt;0")-SUMIFS('Daftar Koreksi'!$H$5:$H$92,'Daftar Koreksi'!$D$5:$D$92,'2000'!A246,'Daftar Koreksi'!$G$5:$G$92,"Aset Tak Berwujud",'Daftar Koreksi'!$H$5:$H$92,"&lt;0")-SUMIFS('Daftar Koreksi'!$H$5:$H$92,'Daftar Koreksi'!$D$5:$D$92,'2000'!A246,'Daftar Koreksi'!$G$5:$G$92,"Aset Tak Berwujud",'Daftar Koreksi'!$H$5:$H$92,"&lt;0")</f>
        <v>0</v>
      </c>
      <c r="G256" s="17">
        <f t="shared" si="11"/>
        <v>0</v>
      </c>
      <c r="H256" s="122"/>
    </row>
    <row r="257" spans="1:10" ht="21.95" customHeight="1">
      <c r="A257" s="14"/>
      <c r="B257" s="14"/>
      <c r="C257" s="16" t="s">
        <v>1173</v>
      </c>
      <c r="D257" s="17">
        <f>VLOOKUP(A246,'Neraca Unaudited SIMAK'!$A$2:$S$10004,11,FALSE)</f>
        <v>392539286</v>
      </c>
      <c r="E257" s="25">
        <f>SUMIFS('Daftar Koreksi'!$H$5:$H$92,'Daftar Koreksi'!$D$5:$D$92,'2000'!A246,'Daftar Koreksi'!$G$5:$G$92,"Aset Henti Guna",'Daftar Koreksi'!$H$5:$H$92,"&gt;0")</f>
        <v>0</v>
      </c>
      <c r="F257" s="25">
        <f>SUMIFS('Daftar Koreksi'!$H$5:$H$92,'Daftar Koreksi'!$D$5:$D$92,'2000'!A246,'Daftar Koreksi'!$G$5:$G$92,"Aset Henti Guna",'Daftar Koreksi'!$H$5:$H$92,"&lt;0")-SUMIFS('Daftar Koreksi'!$H$5:$H$92,'Daftar Koreksi'!$D$5:$D$92,'2000'!A246,'Daftar Koreksi'!$G$5:$G$92,"Aset Henti Guna",'Daftar Koreksi'!$H$5:$H$92,"&lt;0")-SUMIFS('Daftar Koreksi'!$H$5:$H$92,'Daftar Koreksi'!$D$5:$D$92,'2000'!A246,'Daftar Koreksi'!$G$5:$G$92,"Aset Henti Guna",'Daftar Koreksi'!$H$5:$H$92,"&lt;0")</f>
        <v>0</v>
      </c>
      <c r="G257" s="17">
        <f t="shared" si="11"/>
        <v>392539286</v>
      </c>
      <c r="H257" s="122"/>
    </row>
    <row r="258" spans="1:10" ht="21.95" customHeight="1">
      <c r="A258" s="14"/>
      <c r="B258" s="14"/>
      <c r="C258" s="18" t="s">
        <v>2093</v>
      </c>
      <c r="D258" s="19">
        <f>VLOOKUP(A246,'Neraca Unaudited SIMAK'!$A$2:$S$10004,12,FALSE)</f>
        <v>8967305629</v>
      </c>
      <c r="E258" s="19">
        <f>SUM(E249:E257)</f>
        <v>0</v>
      </c>
      <c r="F258" s="19">
        <f>SUM(F249:F257)</f>
        <v>0</v>
      </c>
      <c r="G258" s="19">
        <f t="shared" si="11"/>
        <v>8967305629</v>
      </c>
      <c r="H258" s="122"/>
    </row>
    <row r="259" spans="1:10" ht="21.95" customHeight="1">
      <c r="A259" s="14"/>
      <c r="B259" s="14"/>
      <c r="C259" s="16" t="s">
        <v>2087</v>
      </c>
      <c r="D259" s="17">
        <f>VLOOKUP(A246,'Neraca Unaudited SIMAK'!$A$2:$S$10004,13,FALSE)</f>
        <v>-1792748626</v>
      </c>
      <c r="E259" s="25">
        <f>SUMIFS('Daftar Koreksi'!$I$5:$I$92,'Daftar Koreksi'!$D$5:$D$92,'2000'!A246,'Daftar Koreksi'!$G$5:$G$92,"Peralatan dan mesin",'Daftar Koreksi'!$I$5:$I$92,"&gt;0")</f>
        <v>0</v>
      </c>
      <c r="F259" s="25">
        <f>SUMIFS('Daftar Koreksi'!$I$5:$I$92,'Daftar Koreksi'!$D$5:$D$92,'2000'!A246,'Daftar Koreksi'!$G$5:$G$92,"Peralatan dan mesin",'Daftar Koreksi'!$I$5:$I$92,"&lt;0")-SUMIFS('Daftar Koreksi'!$I$5:$I$92,'Daftar Koreksi'!$D$5:$D$92,'2000'!A246,'Daftar Koreksi'!$G$5:$G$92,"Peralatan dan mesin",'Daftar Koreksi'!$I$5:$I$92,"&lt;0")-SUMIFS('Daftar Koreksi'!$I$5:$I$92,'Daftar Koreksi'!$D$5:$D$92,'2000'!A246,'Daftar Koreksi'!$G$5:$G$92,"Peralatan dan mesin",'Daftar Koreksi'!$I$5:$I$92,"&lt;0")</f>
        <v>0</v>
      </c>
      <c r="G259" s="17">
        <f t="shared" si="11"/>
        <v>-1792748626</v>
      </c>
      <c r="H259" s="122"/>
    </row>
    <row r="260" spans="1:10" ht="21.95" customHeight="1">
      <c r="A260" s="14"/>
      <c r="B260" s="14"/>
      <c r="C260" s="16" t="s">
        <v>2088</v>
      </c>
      <c r="D260" s="17">
        <f>VLOOKUP(A246,'Neraca Unaudited SIMAK'!$A$2:$S$10004,14,FALSE)</f>
        <v>-802250112</v>
      </c>
      <c r="E260" s="25">
        <f>SUMIFS('Daftar Koreksi'!$I$5:$I$92,'Daftar Koreksi'!$D$5:$D$92,'2000'!A246,'Daftar Koreksi'!$G$5:$G$92,"Gedung dan Bangunan",'Daftar Koreksi'!$I$5:$I$92,"&gt;0")</f>
        <v>0</v>
      </c>
      <c r="F260" s="25">
        <f>SUMIFS('Daftar Koreksi'!$I$5:$I$92,'Daftar Koreksi'!$D$5:$D$92,'2000'!A246,'Daftar Koreksi'!$G$5:$G$92,"Gedung dan Bangunan",'Daftar Koreksi'!$I$5:$I$92,"&lt;0")-SUMIFS('Daftar Koreksi'!$I$5:$I$92,'Daftar Koreksi'!$D$5:$D$92,'2000'!A246,'Daftar Koreksi'!$G$5:$G$92,"Gedung dan Bangunan",'Daftar Koreksi'!$I$5:$I$92,"&lt;0")-SUMIFS('Daftar Koreksi'!$I$5:$I$92,'Daftar Koreksi'!$D$5:$D$92,'2000'!A246,'Daftar Koreksi'!$G$5:$G$92,"Gedung dan Bangunan",'Daftar Koreksi'!$I$5:$I$92,"&lt;0")</f>
        <v>0</v>
      </c>
      <c r="G260" s="17">
        <f t="shared" si="11"/>
        <v>-802250112</v>
      </c>
      <c r="H260" s="122"/>
    </row>
    <row r="261" spans="1:10" ht="21.95" customHeight="1">
      <c r="A261" s="14"/>
      <c r="B261" s="14"/>
      <c r="C261" s="16" t="s">
        <v>2089</v>
      </c>
      <c r="D261" s="17">
        <f>VLOOKUP(A246,'Neraca Unaudited SIMAK'!$A$2:$S$10004,15,FALSE)</f>
        <v>-76722125</v>
      </c>
      <c r="E261" s="25">
        <f>SUMIFS('Daftar Koreksi'!$I$5:$I$92,'Daftar Koreksi'!$D$5:$D$92,'2000'!A246,'Daftar Koreksi'!$G$5:$G$92,"Jalan Irigasi Jaringan",'Daftar Koreksi'!$I$5:$I$92,"&gt;0")</f>
        <v>0</v>
      </c>
      <c r="F261" s="25">
        <f>SUMIFS('Daftar Koreksi'!$I$5:$I$92,'Daftar Koreksi'!$D$5:$D$92,'2000'!A246,'Daftar Koreksi'!$G$5:$G$92,"Jalan Irigasi Jaringan",'Daftar Koreksi'!$I$5:$I$92,"&lt;0")-SUMIFS('Daftar Koreksi'!$I$5:$I$92,'Daftar Koreksi'!$D$5:$D$92,'2000'!A246,'Daftar Koreksi'!$G$5:$G$92,"Jalan Irigasi Jaringan",'Daftar Koreksi'!$I$5:$I$92,"&lt;0")-SUMIFS('Daftar Koreksi'!$I$5:$I$92,'Daftar Koreksi'!$D$5:$D$92,'2000'!A246,'Daftar Koreksi'!$G$5:$G$92,"Jalan Irigasi Jaringan",'Daftar Koreksi'!$I$5:$I$92,"&lt;0")</f>
        <v>0</v>
      </c>
      <c r="G261" s="17">
        <f t="shared" si="11"/>
        <v>-76722125</v>
      </c>
      <c r="H261" s="122"/>
    </row>
    <row r="262" spans="1:10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Koreksi'!$D$5:$D$92,'2000'!A246,'Daftar Koreksi'!$G$5:$G$92,"Aset Tetap Lainnya",'Daftar Koreksi'!$I$5:$I$92,"&gt;0")</f>
        <v>0</v>
      </c>
      <c r="F262" s="25">
        <f>SUMIFS('Daftar Koreksi'!$I$5:$I$92,'Daftar Koreksi'!$D$5:$D$92,'2000'!A246,'Daftar Koreksi'!$G$5:$G$92,"Aset Tetap Lainnya",'Daftar Koreksi'!$I$5:$I$92,"&lt;0")-SUMIFS('Daftar Koreksi'!$I$5:$I$92,'Daftar Koreksi'!$D$5:$D$92,'2000'!A246,'Daftar Koreksi'!$G$5:$G$92,"Aset Tetap Lainnya",'Daftar Koreksi'!$I$5:$I$92,"&lt;0")-SUMIFS('Daftar Koreksi'!$I$5:$I$92,'Daftar Koreksi'!$D$5:$D$92,'2000'!A246,'Daftar Koreksi'!$G$5:$G$92,"Aset Tetap Lainnya",'Daftar Koreksi'!$I$5:$I$92,"&lt;0")</f>
        <v>0</v>
      </c>
      <c r="G262" s="17">
        <f t="shared" si="11"/>
        <v>0</v>
      </c>
      <c r="H262" s="122"/>
    </row>
    <row r="263" spans="1:10" ht="21.95" customHeight="1">
      <c r="A263" s="14"/>
      <c r="B263" s="14"/>
      <c r="C263" s="16" t="s">
        <v>2020</v>
      </c>
      <c r="D263" s="17">
        <f>VLOOKUP(A246,'Neraca Unaudited SIMAK'!$A$2:$S$10004,17,FALSE)</f>
        <v>-391711786</v>
      </c>
      <c r="E263" s="25">
        <f>SUMIFS('Daftar Koreksi'!$I$5:$I$92,'Daftar Koreksi'!$D$5:$D$92,'2000'!A246,'Daftar Koreksi'!$G$5:$G$92,"Aset Henti Guna",'Daftar Koreksi'!$I$5:$I$92,"&gt;0")</f>
        <v>0</v>
      </c>
      <c r="F263" s="25">
        <f>SUMIFS('Daftar Koreksi'!$I$5:$I$92,'Daftar Koreksi'!$D$5:$D$92,'2000'!A246,'Daftar Koreksi'!$G$5:$G$92,"Aset Henti Guna",'Daftar Koreksi'!$I$5:$I$92,"&lt;0")-SUMIFS('Daftar Koreksi'!$I$5:$I$92,'Daftar Koreksi'!$D$5:$D$92,'2000'!A246,'Daftar Koreksi'!$G$5:$G$92,"Aset Henti Guna",'Daftar Koreksi'!$I$5:$I$92,"&lt;0")-SUMIFS('Daftar Koreksi'!$I$5:$I$92,'Daftar Koreksi'!$D$5:$D$92,'2000'!A246,'Daftar Koreksi'!$G$5:$G$92,"Aset Henti Guna",'Daftar Koreksi'!$I$5:$I$92,"&lt;0")</f>
        <v>0</v>
      </c>
      <c r="G263" s="17">
        <f t="shared" si="11"/>
        <v>-391711786</v>
      </c>
      <c r="H263" s="122"/>
    </row>
    <row r="264" spans="1:10" ht="21.95" customHeight="1">
      <c r="A264" s="14"/>
      <c r="B264" s="14"/>
      <c r="C264" s="18" t="s">
        <v>2094</v>
      </c>
      <c r="D264" s="19">
        <f>SUM(D259:D263)</f>
        <v>-3063432649</v>
      </c>
      <c r="E264" s="19">
        <f>SUM(E259:E263)</f>
        <v>0</v>
      </c>
      <c r="F264" s="19">
        <f>SUM(F259:F263)</f>
        <v>0</v>
      </c>
      <c r="G264" s="19">
        <f t="shared" si="11"/>
        <v>-3063432649</v>
      </c>
      <c r="H264" s="122"/>
    </row>
    <row r="265" spans="1:10" ht="21.95" customHeight="1">
      <c r="A265" s="14"/>
      <c r="B265" s="14"/>
      <c r="C265" s="18" t="s">
        <v>2095</v>
      </c>
      <c r="D265" s="19">
        <f>VLOOKUP(A246,'Neraca Unaudited SIMAK'!$A$2:$S$10004,18,FALSE)</f>
        <v>5903872980</v>
      </c>
      <c r="E265" s="19">
        <f>E264+E258</f>
        <v>0</v>
      </c>
      <c r="F265" s="19">
        <f>F264+F258</f>
        <v>0</v>
      </c>
      <c r="G265" s="19">
        <f t="shared" si="11"/>
        <v>5903872980</v>
      </c>
      <c r="H265" s="122"/>
    </row>
    <row r="266" spans="1:10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10" ht="19.5" customHeight="1">
      <c r="A268" s="11" t="str">
        <f>O13</f>
        <v>005012000604772000KD</v>
      </c>
      <c r="B268" s="11" t="str">
        <f>P13</f>
        <v>PA. Unaaha</v>
      </c>
      <c r="C268" s="12" t="str">
        <f>A268&amp;" "&amp;B268</f>
        <v>005012000604772000KD PA. Unaaha</v>
      </c>
      <c r="D268" s="13"/>
      <c r="E268" s="13"/>
      <c r="F268" s="13"/>
      <c r="G268" s="13"/>
      <c r="H268" s="11"/>
    </row>
    <row r="269" spans="1:10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10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10" ht="21.95" customHeight="1">
      <c r="A271" s="14"/>
      <c r="B271" s="14"/>
      <c r="C271" s="16" t="s">
        <v>1165</v>
      </c>
      <c r="D271" s="17">
        <f>VLOOKUP(A268,'Neraca Unaudited SIMAK'!$A$2:$S$10004,3,FALSE)</f>
        <v>188000</v>
      </c>
      <c r="E271" s="25">
        <f>SUMIFS('Daftar Koreksi'!$H$5:$H$92,'Daftar Koreksi'!$D$5:$D$92,'2000'!A268,'Daftar Koreksi'!$G$5:$G$92,"Persediaan",'Daftar Koreksi'!$H$5:$H$92,"&gt;0")</f>
        <v>0</v>
      </c>
      <c r="F271" s="25">
        <f>SUMIFS('Daftar Koreksi'!$H$5:$H$92,'Daftar Koreksi'!$D$5:$D$92,'2000'!A268,'Daftar Koreksi'!$G$5:$G$92,"Persediaan",'Daftar Koreksi'!$H$5:$H$92,"&lt;0")-SUMIFS('Daftar Koreksi'!$H$5:$H$92,'Daftar Koreksi'!$D$5:$D$92,'2000'!A268,'Daftar Koreksi'!$G$5:$G$92,"Persediaan",'Daftar Koreksi'!$H$5:$H$92,"&lt;0")-SUMIFS('Daftar Koreksi'!$H$5:$H$92,'Daftar Koreksi'!$D$5:$D$92,'2000'!A268,'Daftar Koreksi'!$G$5:$G$92,"Persediaan",'Daftar Koreksi'!$H$5:$H$92,"&lt;0")</f>
        <v>0</v>
      </c>
      <c r="G271" s="17">
        <f>D271+E271-F271</f>
        <v>188000</v>
      </c>
      <c r="H271" s="121" t="str">
        <f>IF(ISNA(VLOOKUP(A268,'Mutasi Neraca'!$A$3:$S$914,19,FALSE)),"-",VLOOKUP(A268,'Mutasi Neraca'!$A$3:$S$914,19,FALSE))</f>
        <v>-</v>
      </c>
      <c r="I271" s="28"/>
      <c r="J271" s="28"/>
    </row>
    <row r="272" spans="1:10" ht="21.95" customHeight="1">
      <c r="A272" s="14"/>
      <c r="B272" s="14"/>
      <c r="C272" s="16" t="s">
        <v>1166</v>
      </c>
      <c r="D272" s="17">
        <f>VLOOKUP(A268,'Neraca Unaudited SIMAK'!$A$2:$S$10004,4,FALSE)</f>
        <v>189250000</v>
      </c>
      <c r="E272" s="25">
        <f>SUMIFS('Daftar Koreksi'!$H$5:$H$92,'Daftar Koreksi'!$D$5:$D$92,'2000'!A268,'Daftar Koreksi'!$G$5:$G$92,"Tanah",'Daftar Koreksi'!$H$5:$H$92,"&gt;0")</f>
        <v>0</v>
      </c>
      <c r="F272" s="25">
        <f>SUMIFS('Daftar Koreksi'!$H$5:$H$92,'Daftar Koreksi'!$D$5:$D$92,'2000'!A268,'Daftar Koreksi'!$G$5:$G$92,"Tanah",'Daftar Koreksi'!$H$5:$H$92,"&lt;0")-SUMIFS('Daftar Koreksi'!$H$5:$H$92,'Daftar Koreksi'!$D$5:$D$92,'2000'!A268,'Daftar Koreksi'!$G$5:$G$92,"Tanah",'Daftar Koreksi'!$H$5:$H$92,"&lt;0")-SUMIFS('Daftar Koreksi'!$H$5:$H$92,'Daftar Koreksi'!$D$5:$D$92,'2000'!A268,'Daftar Koreksi'!$G$5:$G$92,"Tanah",'Daftar Koreksi'!$H$5:$H$92,"&lt;0")</f>
        <v>0</v>
      </c>
      <c r="G272" s="17">
        <f t="shared" ref="G272:G288" si="12">D272+E272-F272</f>
        <v>189250000</v>
      </c>
      <c r="H272" s="122"/>
      <c r="I272" s="28"/>
      <c r="J272" s="28"/>
    </row>
    <row r="273" spans="1:10" ht="21.95" customHeight="1">
      <c r="A273" s="14"/>
      <c r="B273" s="14"/>
      <c r="C273" s="16" t="s">
        <v>1167</v>
      </c>
      <c r="D273" s="17">
        <f>VLOOKUP(A268,'Neraca Unaudited SIMAK'!$A$2:$S$10004,5,FALSE)</f>
        <v>1085977041</v>
      </c>
      <c r="E273" s="25">
        <f>SUMIFS('Daftar Koreksi'!$H$5:$H$92,'Daftar Koreksi'!$D$5:$D$92,'2000'!A268,'Daftar Koreksi'!$G$5:$G$92,"Peralatan dan mesin",'Daftar Koreksi'!$H$5:$H$92,"&gt;0")</f>
        <v>0</v>
      </c>
      <c r="F273" s="25">
        <f>SUMIFS('Daftar Koreksi'!$H$5:$H$92,'Daftar Koreksi'!$D$5:$D$92,'2000'!A268,'Daftar Koreksi'!$G$5:$G$92,"Peralatan dan mesin",'Daftar Koreksi'!$H$5:$H$92,"&lt;0")-SUMIFS('Daftar Koreksi'!$H$5:$H$92,'Daftar Koreksi'!$D$5:$D$92,'2000'!A268,'Daftar Koreksi'!$G$5:$G$92,"Peralatan dan mesin",'Daftar Koreksi'!$H$5:$H$92,"&lt;0")-SUMIFS('Daftar Koreksi'!$H$5:$H$92,'Daftar Koreksi'!$D$5:$D$92,'2000'!A268,'Daftar Koreksi'!$G$5:$G$92,"Peralatan dan mesin",'Daftar Koreksi'!$H$5:$H$92,"&lt;0")</f>
        <v>0</v>
      </c>
      <c r="G273" s="17">
        <f t="shared" si="12"/>
        <v>1085977041</v>
      </c>
      <c r="H273" s="122"/>
      <c r="I273" s="28"/>
      <c r="J273" s="28"/>
    </row>
    <row r="274" spans="1:10" ht="21.95" customHeight="1">
      <c r="A274" s="14"/>
      <c r="B274" s="14"/>
      <c r="C274" s="16" t="s">
        <v>1168</v>
      </c>
      <c r="D274" s="17">
        <f>VLOOKUP(A268,'Neraca Unaudited SIMAK'!$A$2:$S$10004,6,FALSE)</f>
        <v>7116053200</v>
      </c>
      <c r="E274" s="25">
        <f>SUMIFS('Daftar Koreksi'!$H$5:$H$92,'Daftar Koreksi'!$D$5:$D$92,'2000'!A268,'Daftar Koreksi'!$G$5:$G$92,"Gedung dan Bangunan",'Daftar Koreksi'!$H$5:$H$92,"&gt;0")</f>
        <v>0</v>
      </c>
      <c r="F274" s="25">
        <f>SUMIFS('Daftar Koreksi'!$H$5:$H$92,'Daftar Koreksi'!$D$5:$D$92,'2000'!A268,'Daftar Koreksi'!$G$5:$G$92,"Gedung dan Bangunan",'Daftar Koreksi'!$H$5:$H$92,"&lt;0")-SUMIFS('Daftar Koreksi'!$H$5:$H$92,'Daftar Koreksi'!$D$5:$D$92,'2000'!A268,'Daftar Koreksi'!$G$5:$G$92,"Gedung dan Bangunan",'Daftar Koreksi'!$H$5:$H$92,"&lt;0")-SUMIFS('Daftar Koreksi'!$H$5:$H$92,'Daftar Koreksi'!$D$5:$D$92,'2000'!A268,'Daftar Koreksi'!$G$5:$G$92,"Gedung dan Bangunan",'Daftar Koreksi'!$H$5:$H$92,"&lt;0")</f>
        <v>0</v>
      </c>
      <c r="G274" s="17">
        <f t="shared" si="12"/>
        <v>7116053200</v>
      </c>
      <c r="H274" s="122"/>
      <c r="I274" s="28"/>
      <c r="J274" s="28"/>
    </row>
    <row r="275" spans="1:10" ht="21.95" customHeight="1">
      <c r="A275" s="14"/>
      <c r="B275" s="14"/>
      <c r="C275" s="16" t="s">
        <v>1169</v>
      </c>
      <c r="D275" s="17">
        <f>VLOOKUP(A268,'Neraca Unaudited SIMAK'!$A$2:$S$10004,7,FALSE)</f>
        <v>26626000</v>
      </c>
      <c r="E275" s="25">
        <f>SUMIFS('Daftar Koreksi'!$H$5:$H$92,'Daftar Koreksi'!$D$5:$D$92,'2000'!A268,'Daftar Koreksi'!$G$5:$G$92,"Jalan Irigasi Jaringan",'Daftar Koreksi'!$H$5:$H$92,"&gt;0")</f>
        <v>0</v>
      </c>
      <c r="F275" s="25">
        <f>SUMIFS('Daftar Koreksi'!$H$5:$H$92,'Daftar Koreksi'!$D$5:$D$92,'2000'!A268,'Daftar Koreksi'!$G$5:$G$92,"Jalan Irigasi Jaringan",'Daftar Koreksi'!$H$5:$H$92,"&lt;0")-SUMIFS('Daftar Koreksi'!$H$5:$H$92,'Daftar Koreksi'!$D$5:$D$92,'2000'!A268,'Daftar Koreksi'!$G$5:$G$92,"Jalan Irigasi Jaringan",'Daftar Koreksi'!$H$5:$H$92,"&lt;0")-SUMIFS('Daftar Koreksi'!$H$5:$H$92,'Daftar Koreksi'!$D$5:$D$92,'2000'!A268,'Daftar Koreksi'!$G$5:$G$92,"Jalan Irigasi Jaringan",'Daftar Koreksi'!$H$5:$H$92,"&lt;0")</f>
        <v>0</v>
      </c>
      <c r="G275" s="17">
        <f t="shared" si="12"/>
        <v>26626000</v>
      </c>
      <c r="H275" s="122"/>
      <c r="I275" s="28"/>
      <c r="J275" s="28"/>
    </row>
    <row r="276" spans="1:10" ht="21.95" customHeight="1">
      <c r="A276" s="14"/>
      <c r="B276" s="14"/>
      <c r="C276" s="16" t="s">
        <v>1170</v>
      </c>
      <c r="D276" s="17">
        <f>VLOOKUP(A268,'Neraca Unaudited SIMAK'!$A$2:$S$10004,8,FALSE)</f>
        <v>31209298</v>
      </c>
      <c r="E276" s="25">
        <f>SUMIFS('Daftar Koreksi'!$H$5:$H$92,'Daftar Koreksi'!$D$5:$D$92,'2000'!A268,'Daftar Koreksi'!$G$5:$G$92,"Aset Tetap Lainnya",'Daftar Koreksi'!$H$5:$H$92,"&gt;0")</f>
        <v>0</v>
      </c>
      <c r="F276" s="25">
        <f>SUMIFS('Daftar Koreksi'!$H$5:$H$92,'Daftar Koreksi'!$D$5:$D$92,'2000'!A268,'Daftar Koreksi'!$G$5:$G$92,"Aset Tetap Lainnya",'Daftar Koreksi'!$H$5:$H$92,"&lt;0")-SUMIFS('Daftar Koreksi'!$H$5:$H$92,'Daftar Koreksi'!$D$5:$D$92,'2000'!A268,'Daftar Koreksi'!$G$5:$G$92,"Aset Tetap Lainnya",'Daftar Koreksi'!$H$5:$H$92,"&lt;0")-SUMIFS('Daftar Koreksi'!$H$5:$H$92,'Daftar Koreksi'!$D$5:$D$92,'2000'!A268,'Daftar Koreksi'!$G$5:$G$92,"Aset Tetap Lainnya",'Daftar Koreksi'!$H$5:$H$92,"&lt;0")</f>
        <v>0</v>
      </c>
      <c r="G276" s="17">
        <f t="shared" si="12"/>
        <v>31209298</v>
      </c>
      <c r="H276" s="122"/>
      <c r="I276" s="28"/>
      <c r="J276" s="28"/>
    </row>
    <row r="277" spans="1:10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Koreksi'!$D$5:$D$92,'2000'!A268,'Daftar Koreksi'!$G$5:$G$92,"Kontruksi Dalam Pengerjaan",'Daftar Koreksi'!$H$5:$H$92,"&gt;0")</f>
        <v>0</v>
      </c>
      <c r="F277" s="25">
        <f>SUMIFS('Daftar Koreksi'!$H$5:$H$92,'Daftar Koreksi'!$D$5:$D$92,'2000'!A268,'Daftar Koreksi'!$G$5:$G$92,"Kontruksi Dalam Pengerjaan",'Daftar Koreksi'!$H$5:$H$92,"&lt;0")-SUMIFS('Daftar Koreksi'!$H$5:$H$92,'Daftar Koreksi'!$D$5:$D$92,'2000'!A268,'Daftar Koreksi'!$G$5:$G$92,"Kontruksi Dalam Pengerjaan",'Daftar Koreksi'!$H$5:$H$92,"&lt;0")-SUMIFS('Daftar Koreksi'!$H$5:$H$92,'Daftar Koreksi'!$D$5:$D$92,'2000'!A268,'Daftar Koreksi'!$G$5:$G$92,"Kontruksi Dalam Pengerjaan",'Daftar Koreksi'!$H$5:$H$92,"&lt;0")</f>
        <v>0</v>
      </c>
      <c r="G277" s="17">
        <f t="shared" si="12"/>
        <v>0</v>
      </c>
      <c r="H277" s="122"/>
      <c r="I277" s="28"/>
      <c r="J277" s="28"/>
    </row>
    <row r="278" spans="1:10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Koreksi'!$D$5:$D$92,'2000'!A268,'Daftar Koreksi'!$G$5:$G$92,"Aset Tak Berwujud",'Daftar Koreksi'!$H$5:$H$92,"&gt;0")</f>
        <v>0</v>
      </c>
      <c r="F278" s="25">
        <f>SUMIFS('Daftar Koreksi'!$H$5:$H$92,'Daftar Koreksi'!$D$5:$D$92,'2000'!A268,'Daftar Koreksi'!$G$5:$G$92,"Aset Tak Berwujud",'Daftar Koreksi'!$H$5:$H$92,"&lt;0")-SUMIFS('Daftar Koreksi'!$H$5:$H$92,'Daftar Koreksi'!$D$5:$D$92,'2000'!A268,'Daftar Koreksi'!$G$5:$G$92,"Aset Tak Berwujud",'Daftar Koreksi'!$H$5:$H$92,"&lt;0")-SUMIFS('Daftar Koreksi'!$H$5:$H$92,'Daftar Koreksi'!$D$5:$D$92,'2000'!A268,'Daftar Koreksi'!$G$5:$G$92,"Aset Tak Berwujud",'Daftar Koreksi'!$H$5:$H$92,"&lt;0")</f>
        <v>0</v>
      </c>
      <c r="G278" s="17">
        <f t="shared" si="12"/>
        <v>0</v>
      </c>
      <c r="H278" s="122"/>
      <c r="I278" s="28"/>
      <c r="J278" s="28"/>
    </row>
    <row r="279" spans="1:10" ht="21.95" customHeight="1">
      <c r="A279" s="14"/>
      <c r="B279" s="14"/>
      <c r="C279" s="16" t="s">
        <v>1173</v>
      </c>
      <c r="D279" s="17">
        <f>VLOOKUP(A268,'Neraca Unaudited SIMAK'!$A$2:$S$10004,11,FALSE)</f>
        <v>409687286</v>
      </c>
      <c r="E279" s="25">
        <f>SUMIFS('Daftar Koreksi'!$H$5:$H$92,'Daftar Koreksi'!$D$5:$D$92,'2000'!A268,'Daftar Koreksi'!$G$5:$G$92,"Aset Henti Guna",'Daftar Koreksi'!$H$5:$H$92,"&gt;0")</f>
        <v>0</v>
      </c>
      <c r="F279" s="25">
        <f>SUMIFS('Daftar Koreksi'!$H$5:$H$92,'Daftar Koreksi'!$D$5:$D$92,'2000'!A268,'Daftar Koreksi'!$G$5:$G$92,"Aset Henti Guna",'Daftar Koreksi'!$H$5:$H$92,"&lt;0")-SUMIFS('Daftar Koreksi'!$H$5:$H$92,'Daftar Koreksi'!$D$5:$D$92,'2000'!A268,'Daftar Koreksi'!$G$5:$G$92,"Aset Henti Guna",'Daftar Koreksi'!$H$5:$H$92,"&lt;0")-SUMIFS('Daftar Koreksi'!$H$5:$H$92,'Daftar Koreksi'!$D$5:$D$92,'2000'!A268,'Daftar Koreksi'!$G$5:$G$92,"Aset Henti Guna",'Daftar Koreksi'!$H$5:$H$92,"&lt;0")</f>
        <v>0</v>
      </c>
      <c r="G279" s="17">
        <f t="shared" si="12"/>
        <v>409687286</v>
      </c>
      <c r="H279" s="122"/>
      <c r="I279" s="28"/>
      <c r="J279" s="28"/>
    </row>
    <row r="280" spans="1:10" ht="21.95" customHeight="1">
      <c r="A280" s="14"/>
      <c r="B280" s="14"/>
      <c r="C280" s="18" t="s">
        <v>2093</v>
      </c>
      <c r="D280" s="19">
        <f>VLOOKUP(A268,'Neraca Unaudited SIMAK'!$A$2:$S$10004,12,FALSE)</f>
        <v>8858990825</v>
      </c>
      <c r="E280" s="19">
        <f>SUM(E271:E279)</f>
        <v>0</v>
      </c>
      <c r="F280" s="19">
        <f>SUM(F271:F279)</f>
        <v>0</v>
      </c>
      <c r="G280" s="19">
        <f t="shared" si="12"/>
        <v>8858990825</v>
      </c>
      <c r="H280" s="122"/>
      <c r="I280" s="28"/>
      <c r="J280" s="28"/>
    </row>
    <row r="281" spans="1:10" ht="21.95" customHeight="1">
      <c r="A281" s="14"/>
      <c r="B281" s="14"/>
      <c r="C281" s="16" t="s">
        <v>2087</v>
      </c>
      <c r="D281" s="17">
        <f>VLOOKUP(A268,'Neraca Unaudited SIMAK'!$A$2:$S$10004,13,FALSE)</f>
        <v>-741862236</v>
      </c>
      <c r="E281" s="25">
        <f>SUMIFS('Daftar Koreksi'!$I$5:$I$92,'Daftar Koreksi'!$D$5:$D$92,'2000'!A268,'Daftar Koreksi'!$G$5:$G$92,"Peralatan dan mesin",'Daftar Koreksi'!$I$5:$I$92,"&gt;0")</f>
        <v>0</v>
      </c>
      <c r="F281" s="25">
        <f>SUMIFS('Daftar Koreksi'!$I$5:$I$92,'Daftar Koreksi'!$D$5:$D$92,'2000'!A268,'Daftar Koreksi'!$G$5:$G$92,"Peralatan dan mesin",'Daftar Koreksi'!$I$5:$I$92,"&lt;0")-SUMIFS('Daftar Koreksi'!$I$5:$I$92,'Daftar Koreksi'!$D$5:$D$92,'2000'!A268,'Daftar Koreksi'!$G$5:$G$92,"Peralatan dan mesin",'Daftar Koreksi'!$I$5:$I$92,"&lt;0")-SUMIFS('Daftar Koreksi'!$I$5:$I$92,'Daftar Koreksi'!$D$5:$D$92,'2000'!A268,'Daftar Koreksi'!$G$5:$G$92,"Peralatan dan mesin",'Daftar Koreksi'!$I$5:$I$92,"&lt;0")</f>
        <v>0</v>
      </c>
      <c r="G281" s="17">
        <f t="shared" si="12"/>
        <v>-741862236</v>
      </c>
      <c r="H281" s="122"/>
      <c r="I281" s="28"/>
      <c r="J281" s="28"/>
    </row>
    <row r="282" spans="1:10" ht="21.95" customHeight="1">
      <c r="A282" s="14"/>
      <c r="B282" s="14"/>
      <c r="C282" s="16" t="s">
        <v>2088</v>
      </c>
      <c r="D282" s="17">
        <f>VLOOKUP(A268,'Neraca Unaudited SIMAK'!$A$2:$S$10004,14,FALSE)</f>
        <v>-485142782</v>
      </c>
      <c r="E282" s="25">
        <f>SUMIFS('Daftar Koreksi'!$I$5:$I$92,'Daftar Koreksi'!$D$5:$D$92,'2000'!A268,'Daftar Koreksi'!$G$5:$G$92,"Gedung dan Bangunan",'Daftar Koreksi'!$I$5:$I$92,"&gt;0")</f>
        <v>0</v>
      </c>
      <c r="F282" s="25">
        <f>SUMIFS('Daftar Koreksi'!$I$5:$I$92,'Daftar Koreksi'!$D$5:$D$92,'2000'!A268,'Daftar Koreksi'!$G$5:$G$92,"Gedung dan Bangunan",'Daftar Koreksi'!$I$5:$I$92,"&lt;0")-SUMIFS('Daftar Koreksi'!$I$5:$I$92,'Daftar Koreksi'!$D$5:$D$92,'2000'!A268,'Daftar Koreksi'!$G$5:$G$92,"Gedung dan Bangunan",'Daftar Koreksi'!$I$5:$I$92,"&lt;0")-SUMIFS('Daftar Koreksi'!$I$5:$I$92,'Daftar Koreksi'!$D$5:$D$92,'2000'!A268,'Daftar Koreksi'!$G$5:$G$92,"Gedung dan Bangunan",'Daftar Koreksi'!$I$5:$I$92,"&lt;0")</f>
        <v>0</v>
      </c>
      <c r="G282" s="17">
        <f t="shared" si="12"/>
        <v>-485142782</v>
      </c>
      <c r="H282" s="122"/>
      <c r="I282" s="28"/>
      <c r="J282" s="28"/>
    </row>
    <row r="283" spans="1:10" ht="21.95" customHeight="1">
      <c r="A283" s="14"/>
      <c r="B283" s="14"/>
      <c r="C283" s="16" t="s">
        <v>2089</v>
      </c>
      <c r="D283" s="17">
        <f>VLOOKUP(A268,'Neraca Unaudited SIMAK'!$A$2:$S$10004,15,FALSE)</f>
        <v>-4954775</v>
      </c>
      <c r="E283" s="25">
        <f>SUMIFS('Daftar Koreksi'!$I$5:$I$92,'Daftar Koreksi'!$D$5:$D$92,'2000'!A268,'Daftar Koreksi'!$G$5:$G$92,"Jalan Irigasi Jaringan",'Daftar Koreksi'!$I$5:$I$92,"&gt;0")</f>
        <v>0</v>
      </c>
      <c r="F283" s="25">
        <f>SUMIFS('Daftar Koreksi'!$I$5:$I$92,'Daftar Koreksi'!$D$5:$D$92,'2000'!A268,'Daftar Koreksi'!$G$5:$G$92,"Jalan Irigasi Jaringan",'Daftar Koreksi'!$I$5:$I$92,"&lt;0")-SUMIFS('Daftar Koreksi'!$I$5:$I$92,'Daftar Koreksi'!$D$5:$D$92,'2000'!A268,'Daftar Koreksi'!$G$5:$G$92,"Jalan Irigasi Jaringan",'Daftar Koreksi'!$I$5:$I$92,"&lt;0")-SUMIFS('Daftar Koreksi'!$I$5:$I$92,'Daftar Koreksi'!$D$5:$D$92,'2000'!A268,'Daftar Koreksi'!$G$5:$G$92,"Jalan Irigasi Jaringan",'Daftar Koreksi'!$I$5:$I$92,"&lt;0")</f>
        <v>0</v>
      </c>
      <c r="G283" s="17">
        <f t="shared" si="12"/>
        <v>-4954775</v>
      </c>
      <c r="H283" s="122"/>
      <c r="I283" s="28"/>
      <c r="J283" s="28"/>
    </row>
    <row r="284" spans="1:10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Koreksi'!$D$5:$D$92,'2000'!A268,'Daftar Koreksi'!$G$5:$G$92,"Aset Tetap Lainnya",'Daftar Koreksi'!$I$5:$I$92,"&gt;0")</f>
        <v>0</v>
      </c>
      <c r="F284" s="25">
        <f>SUMIFS('Daftar Koreksi'!$I$5:$I$92,'Daftar Koreksi'!$D$5:$D$92,'2000'!A268,'Daftar Koreksi'!$G$5:$G$92,"Aset Tetap Lainnya",'Daftar Koreksi'!$I$5:$I$92,"&lt;0")-SUMIFS('Daftar Koreksi'!$I$5:$I$92,'Daftar Koreksi'!$D$5:$D$92,'2000'!A268,'Daftar Koreksi'!$G$5:$G$92,"Aset Tetap Lainnya",'Daftar Koreksi'!$I$5:$I$92,"&lt;0")-SUMIFS('Daftar Koreksi'!$I$5:$I$92,'Daftar Koreksi'!$D$5:$D$92,'2000'!A268,'Daftar Koreksi'!$G$5:$G$92,"Aset Tetap Lainnya",'Daftar Koreksi'!$I$5:$I$92,"&lt;0")</f>
        <v>0</v>
      </c>
      <c r="G284" s="17">
        <f t="shared" si="12"/>
        <v>0</v>
      </c>
      <c r="H284" s="122"/>
      <c r="I284" s="28"/>
      <c r="J284" s="28"/>
    </row>
    <row r="285" spans="1:10" ht="21.95" customHeight="1">
      <c r="A285" s="14"/>
      <c r="B285" s="14"/>
      <c r="C285" s="16" t="s">
        <v>2020</v>
      </c>
      <c r="D285" s="17">
        <f>VLOOKUP(A268,'Neraca Unaudited SIMAK'!$A$2:$S$10004,17,FALSE)</f>
        <v>-291459124</v>
      </c>
      <c r="E285" s="25">
        <f>SUMIFS('Daftar Koreksi'!$I$5:$I$92,'Daftar Koreksi'!$D$5:$D$92,'2000'!A268,'Daftar Koreksi'!$G$5:$G$92,"Aset Henti Guna",'Daftar Koreksi'!$I$5:$I$92,"&gt;0")</f>
        <v>0</v>
      </c>
      <c r="F285" s="25">
        <f>SUMIFS('Daftar Koreksi'!$I$5:$I$92,'Daftar Koreksi'!$D$5:$D$92,'2000'!A268,'Daftar Koreksi'!$G$5:$G$92,"Aset Henti Guna",'Daftar Koreksi'!$I$5:$I$92,"&lt;0")-SUMIFS('Daftar Koreksi'!$I$5:$I$92,'Daftar Koreksi'!$D$5:$D$92,'2000'!A268,'Daftar Koreksi'!$G$5:$G$92,"Aset Henti Guna",'Daftar Koreksi'!$I$5:$I$92,"&lt;0")-SUMIFS('Daftar Koreksi'!$I$5:$I$92,'Daftar Koreksi'!$D$5:$D$92,'2000'!A268,'Daftar Koreksi'!$G$5:$G$92,"Aset Henti Guna",'Daftar Koreksi'!$I$5:$I$92,"&lt;0")</f>
        <v>0</v>
      </c>
      <c r="G285" s="17">
        <f t="shared" si="12"/>
        <v>-291459124</v>
      </c>
      <c r="H285" s="122"/>
      <c r="I285" s="28"/>
      <c r="J285" s="28"/>
    </row>
    <row r="286" spans="1:10" ht="21.95" customHeight="1">
      <c r="A286" s="14"/>
      <c r="B286" s="14"/>
      <c r="C286" s="18" t="s">
        <v>2094</v>
      </c>
      <c r="D286" s="19">
        <f>SUM(D281:D285)</f>
        <v>-1523418917</v>
      </c>
      <c r="E286" s="19">
        <f>SUM(E281:E285)</f>
        <v>0</v>
      </c>
      <c r="F286" s="19">
        <f>SUM(F281:F285)</f>
        <v>0</v>
      </c>
      <c r="G286" s="19">
        <f t="shared" si="12"/>
        <v>-1523418917</v>
      </c>
      <c r="H286" s="122"/>
      <c r="I286" s="28"/>
      <c r="J286" s="28"/>
    </row>
    <row r="287" spans="1:10" ht="21.95" customHeight="1">
      <c r="A287" s="14"/>
      <c r="B287" s="14"/>
      <c r="C287" s="18" t="s">
        <v>2095</v>
      </c>
      <c r="D287" s="19">
        <f>VLOOKUP(A268,'Neraca Unaudited SIMAK'!$A$2:$S$10004,18,FALSE)</f>
        <v>7335571908</v>
      </c>
      <c r="E287" s="19">
        <f>E286+E280</f>
        <v>0</v>
      </c>
      <c r="F287" s="19">
        <f>F286+F280</f>
        <v>0</v>
      </c>
      <c r="G287" s="19">
        <f t="shared" si="12"/>
        <v>7335571908</v>
      </c>
      <c r="H287" s="122"/>
      <c r="I287" s="28"/>
      <c r="J287" s="28"/>
    </row>
    <row r="288" spans="1:10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  <c r="I288" s="28"/>
      <c r="J288" s="28"/>
    </row>
    <row r="290" spans="1:8" ht="19.5" customHeight="1">
      <c r="A290" s="11" t="str">
        <f>O14</f>
        <v>005012000681439000KD</v>
      </c>
      <c r="B290" s="11" t="str">
        <f>P14</f>
        <v>PN. Andoolo</v>
      </c>
      <c r="C290" s="12" t="str">
        <f>A290&amp;" "&amp;B290</f>
        <v>005012000681439000KD PN. Andoolo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2410988</v>
      </c>
      <c r="E293" s="25">
        <f>SUMIFS('Daftar Koreksi'!$H$5:$H$92,'Daftar Koreksi'!$D$5:$D$92,'2000'!A290,'Daftar Koreksi'!$G$5:$G$92,"Persediaan",'Daftar Koreksi'!$H$5:$H$92,"&gt;0")</f>
        <v>0</v>
      </c>
      <c r="F293" s="25">
        <f>SUMIFS('Daftar Koreksi'!$H$5:$H$92,'Daftar Koreksi'!$D$5:$D$92,'2000'!A290,'Daftar Koreksi'!$G$5:$G$92,"Persediaan",'Daftar Koreksi'!$H$5:$H$92,"&lt;0")-SUMIFS('Daftar Koreksi'!$H$5:$H$92,'Daftar Koreksi'!$D$5:$D$92,'2000'!A290,'Daftar Koreksi'!$G$5:$G$92,"Persediaan",'Daftar Koreksi'!$H$5:$H$92,"&lt;0")-SUMIFS('Daftar Koreksi'!$H$5:$H$92,'Daftar Koreksi'!$D$5:$D$92,'2000'!A290,'Daftar Koreksi'!$G$5:$G$92,"Persediaan",'Daftar Koreksi'!$H$5:$H$92,"&lt;0")</f>
        <v>0</v>
      </c>
      <c r="G293" s="17">
        <f>D293+E293-F293</f>
        <v>2410988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417525000</v>
      </c>
      <c r="E294" s="25">
        <f>SUMIFS('Daftar Koreksi'!$H$5:$H$92,'Daftar Koreksi'!$D$5:$D$92,'2000'!A290,'Daftar Koreksi'!$G$5:$G$92,"Tanah",'Daftar Koreksi'!$H$5:$H$92,"&gt;0")</f>
        <v>0</v>
      </c>
      <c r="F294" s="25">
        <f>SUMIFS('Daftar Koreksi'!$H$5:$H$92,'Daftar Koreksi'!$D$5:$D$92,'2000'!A290,'Daftar Koreksi'!$G$5:$G$92,"Tanah",'Daftar Koreksi'!$H$5:$H$92,"&lt;0")-SUMIFS('Daftar Koreksi'!$H$5:$H$92,'Daftar Koreksi'!$D$5:$D$92,'2000'!A290,'Daftar Koreksi'!$G$5:$G$92,"Tanah",'Daftar Koreksi'!$H$5:$H$92,"&lt;0")-SUMIFS('Daftar Koreksi'!$H$5:$H$92,'Daftar Koreksi'!$D$5:$D$92,'2000'!A290,'Daftar Koreksi'!$G$5:$G$92,"Tanah",'Daftar Koreksi'!$H$5:$H$92,"&lt;0")</f>
        <v>0</v>
      </c>
      <c r="G294" s="17">
        <f t="shared" ref="G294:G310" si="13">D294+E294-F294</f>
        <v>417525000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1637403500</v>
      </c>
      <c r="E295" s="25">
        <f>SUMIFS('Daftar Koreksi'!$H$5:$H$92,'Daftar Koreksi'!$D$5:$D$92,'2000'!A290,'Daftar Koreksi'!$G$5:$G$92,"Peralatan dan mesin",'Daftar Koreksi'!$H$5:$H$92,"&gt;0")</f>
        <v>0</v>
      </c>
      <c r="F295" s="25">
        <f>SUMIFS('Daftar Koreksi'!$H$5:$H$92,'Daftar Koreksi'!$D$5:$D$92,'2000'!A290,'Daftar Koreksi'!$G$5:$G$92,"Peralatan dan mesin",'Daftar Koreksi'!$H$5:$H$92,"&lt;0")-SUMIFS('Daftar Koreksi'!$H$5:$H$92,'Daftar Koreksi'!$D$5:$D$92,'2000'!A290,'Daftar Koreksi'!$G$5:$G$92,"Peralatan dan mesin",'Daftar Koreksi'!$H$5:$H$92,"&lt;0")-SUMIFS('Daftar Koreksi'!$H$5:$H$92,'Daftar Koreksi'!$D$5:$D$92,'2000'!A290,'Daftar Koreksi'!$G$5:$G$92,"Peralatan dan mesin",'Daftar Koreksi'!$H$5:$H$92,"&lt;0")</f>
        <v>0</v>
      </c>
      <c r="G295" s="17">
        <f t="shared" si="13"/>
        <v>1637403500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11269428000</v>
      </c>
      <c r="E296" s="25">
        <f>SUMIFS('Daftar Koreksi'!$H$5:$H$92,'Daftar Koreksi'!$D$5:$D$92,'2000'!A290,'Daftar Koreksi'!$G$5:$G$92,"Gedung dan Bangunan",'Daftar Koreksi'!$H$5:$H$92,"&gt;0")</f>
        <v>0</v>
      </c>
      <c r="F296" s="25">
        <f>SUMIFS('Daftar Koreksi'!$H$5:$H$92,'Daftar Koreksi'!$D$5:$D$92,'2000'!A290,'Daftar Koreksi'!$G$5:$G$92,"Gedung dan Bangunan",'Daftar Koreksi'!$H$5:$H$92,"&lt;0")-SUMIFS('Daftar Koreksi'!$H$5:$H$92,'Daftar Koreksi'!$D$5:$D$92,'2000'!A290,'Daftar Koreksi'!$G$5:$G$92,"Gedung dan Bangunan",'Daftar Koreksi'!$H$5:$H$92,"&lt;0")-SUMIFS('Daftar Koreksi'!$H$5:$H$92,'Daftar Koreksi'!$D$5:$D$92,'2000'!A290,'Daftar Koreksi'!$G$5:$G$92,"Gedung dan Bangunan",'Daftar Koreksi'!$H$5:$H$92,"&lt;0")</f>
        <v>0</v>
      </c>
      <c r="G296" s="17">
        <f t="shared" si="13"/>
        <v>11269428000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215680000</v>
      </c>
      <c r="E297" s="25">
        <f>SUMIFS('Daftar Koreksi'!$H$5:$H$92,'Daftar Koreksi'!$D$5:$D$92,'2000'!A290,'Daftar Koreksi'!$G$5:$G$92,"Jalan Irigasi Jaringan",'Daftar Koreksi'!$H$5:$H$92,"&gt;0")</f>
        <v>0</v>
      </c>
      <c r="F297" s="25">
        <f>SUMIFS('Daftar Koreksi'!$H$5:$H$92,'Daftar Koreksi'!$D$5:$D$92,'2000'!A290,'Daftar Koreksi'!$G$5:$G$92,"Jalan Irigasi Jaringan",'Daftar Koreksi'!$H$5:$H$92,"&lt;0")-SUMIFS('Daftar Koreksi'!$H$5:$H$92,'Daftar Koreksi'!$D$5:$D$92,'2000'!A290,'Daftar Koreksi'!$G$5:$G$92,"Jalan Irigasi Jaringan",'Daftar Koreksi'!$H$5:$H$92,"&lt;0")-SUMIFS('Daftar Koreksi'!$H$5:$H$92,'Daftar Koreksi'!$D$5:$D$92,'2000'!A290,'Daftar Koreksi'!$G$5:$G$92,"Jalan Irigasi Jaringan",'Daftar Koreksi'!$H$5:$H$92,"&lt;0")</f>
        <v>0</v>
      </c>
      <c r="G297" s="17">
        <f t="shared" si="13"/>
        <v>215680000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0</v>
      </c>
      <c r="E298" s="25">
        <f>SUMIFS('Daftar Koreksi'!$H$5:$H$92,'Daftar Koreksi'!$D$5:$D$92,'2000'!A290,'Daftar Koreksi'!$G$5:$G$92,"Aset Tetap Lainnya",'Daftar Koreksi'!$H$5:$H$92,"&gt;0")</f>
        <v>0</v>
      </c>
      <c r="F298" s="25">
        <f>SUMIFS('Daftar Koreksi'!$H$5:$H$92,'Daftar Koreksi'!$D$5:$D$92,'2000'!A290,'Daftar Koreksi'!$G$5:$G$92,"Aset Tetap Lainnya",'Daftar Koreksi'!$H$5:$H$92,"&lt;0")-SUMIFS('Daftar Koreksi'!$H$5:$H$92,'Daftar Koreksi'!$D$5:$D$92,'2000'!A290,'Daftar Koreksi'!$G$5:$G$92,"Aset Tetap Lainnya",'Daftar Koreksi'!$H$5:$H$92,"&lt;0")-SUMIFS('Daftar Koreksi'!$H$5:$H$92,'Daftar Koreksi'!$D$5:$D$92,'2000'!A290,'Daftar Koreksi'!$G$5:$G$92,"Aset Tetap Lainnya",'Daftar Koreksi'!$H$5:$H$92,"&lt;0")</f>
        <v>0</v>
      </c>
      <c r="G298" s="17">
        <f t="shared" si="13"/>
        <v>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Koreksi'!$D$5:$D$92,'2000'!A290,'Daftar Koreksi'!$G$5:$G$92,"Kontruksi Dalam Pengerjaan",'Daftar Koreksi'!$H$5:$H$92,"&gt;0")</f>
        <v>0</v>
      </c>
      <c r="F299" s="25">
        <f>SUMIFS('Daftar Koreksi'!$H$5:$H$92,'Daftar Koreksi'!$D$5:$D$92,'2000'!A290,'Daftar Koreksi'!$G$5:$G$92,"Kontruksi Dalam Pengerjaan",'Daftar Koreksi'!$H$5:$H$92,"&lt;0")-SUMIFS('Daftar Koreksi'!$H$5:$H$92,'Daftar Koreksi'!$D$5:$D$92,'2000'!A290,'Daftar Koreksi'!$G$5:$G$92,"Kontruksi Dalam Pengerjaan",'Daftar Koreksi'!$H$5:$H$92,"&lt;0")-SUMIFS('Daftar Koreksi'!$H$5:$H$92,'Daftar Koreksi'!$D$5:$D$92,'2000'!A290,'Daftar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27390000</v>
      </c>
      <c r="E300" s="25">
        <f>SUMIFS('Daftar Koreksi'!$H$5:$H$92,'Daftar Koreksi'!$D$5:$D$92,'2000'!A290,'Daftar Koreksi'!$G$5:$G$92,"Aset Tak Berwujud",'Daftar Koreksi'!$H$5:$H$92,"&gt;0")</f>
        <v>0</v>
      </c>
      <c r="F300" s="25">
        <f>SUMIFS('Daftar Koreksi'!$H$5:$H$92,'Daftar Koreksi'!$D$5:$D$92,'2000'!A290,'Daftar Koreksi'!$G$5:$G$92,"Aset Tak Berwujud",'Daftar Koreksi'!$H$5:$H$92,"&lt;0")-SUMIFS('Daftar Koreksi'!$H$5:$H$92,'Daftar Koreksi'!$D$5:$D$92,'2000'!A290,'Daftar Koreksi'!$G$5:$G$92,"Aset Tak Berwujud",'Daftar Koreksi'!$H$5:$H$92,"&lt;0")-SUMIFS('Daftar Koreksi'!$H$5:$H$92,'Daftar Koreksi'!$D$5:$D$92,'2000'!A290,'Daftar Koreksi'!$G$5:$G$92,"Aset Tak Berwujud",'Daftar Koreksi'!$H$5:$H$92,"&lt;0")</f>
        <v>0</v>
      </c>
      <c r="G300" s="17">
        <f t="shared" si="13"/>
        <v>27390000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Koreksi'!$D$5:$D$92,'2000'!A290,'Daftar Koreksi'!$G$5:$G$92,"Aset Henti Guna",'Daftar Koreksi'!$H$5:$H$92,"&gt;0")</f>
        <v>0</v>
      </c>
      <c r="F301" s="25">
        <f>SUMIFS('Daftar Koreksi'!$H$5:$H$92,'Daftar Koreksi'!$D$5:$D$92,'2000'!A290,'Daftar Koreksi'!$G$5:$G$92,"Aset Henti Guna",'Daftar Koreksi'!$H$5:$H$92,"&lt;0")-SUMIFS('Daftar Koreksi'!$H$5:$H$92,'Daftar Koreksi'!$D$5:$D$92,'2000'!A290,'Daftar Koreksi'!$G$5:$G$92,"Aset Henti Guna",'Daftar Koreksi'!$H$5:$H$92,"&lt;0")-SUMIFS('Daftar Koreksi'!$H$5:$H$92,'Daftar Koreksi'!$D$5:$D$92,'2000'!A290,'Daftar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13569837488</v>
      </c>
      <c r="E302" s="19">
        <f>SUM(E293:E301)</f>
        <v>0</v>
      </c>
      <c r="F302" s="19">
        <f>SUM(F293:F301)</f>
        <v>0</v>
      </c>
      <c r="G302" s="19">
        <f t="shared" si="13"/>
        <v>13569837488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-632041382</v>
      </c>
      <c r="E303" s="25">
        <f>SUMIFS('Daftar Koreksi'!$I$5:$I$92,'Daftar Koreksi'!$D$5:$D$92,'2000'!A290,'Daftar Koreksi'!$G$5:$G$92,"Peralatan dan mesin",'Daftar Koreksi'!$I$5:$I$92,"&gt;0")</f>
        <v>0</v>
      </c>
      <c r="F303" s="25">
        <f>SUMIFS('Daftar Koreksi'!$I$5:$I$92,'Daftar Koreksi'!$D$5:$D$92,'2000'!A290,'Daftar Koreksi'!$G$5:$G$92,"Peralatan dan mesin",'Daftar Koreksi'!$I$5:$I$92,"&lt;0")-SUMIFS('Daftar Koreksi'!$I$5:$I$92,'Daftar Koreksi'!$D$5:$D$92,'2000'!A290,'Daftar Koreksi'!$G$5:$G$92,"Peralatan dan mesin",'Daftar Koreksi'!$I$5:$I$92,"&lt;0")-SUMIFS('Daftar Koreksi'!$I$5:$I$92,'Daftar Koreksi'!$D$5:$D$92,'2000'!A290,'Daftar Koreksi'!$G$5:$G$92,"Peralatan dan mesin",'Daftar Koreksi'!$I$5:$I$92,"&lt;0")</f>
        <v>0</v>
      </c>
      <c r="G303" s="17">
        <f t="shared" si="13"/>
        <v>-632041382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-493546920</v>
      </c>
      <c r="E304" s="25">
        <f>SUMIFS('Daftar Koreksi'!$I$5:$I$92,'Daftar Koreksi'!$D$5:$D$92,'2000'!A290,'Daftar Koreksi'!$G$5:$G$92,"Gedung dan Bangunan",'Daftar Koreksi'!$I$5:$I$92,"&gt;0")</f>
        <v>0</v>
      </c>
      <c r="F304" s="25">
        <f>SUMIFS('Daftar Koreksi'!$I$5:$I$92,'Daftar Koreksi'!$D$5:$D$92,'2000'!A290,'Daftar Koreksi'!$G$5:$G$92,"Gedung dan Bangunan",'Daftar Koreksi'!$I$5:$I$92,"&lt;0")-SUMIFS('Daftar Koreksi'!$I$5:$I$92,'Daftar Koreksi'!$D$5:$D$92,'2000'!A290,'Daftar Koreksi'!$G$5:$G$92,"Gedung dan Bangunan",'Daftar Koreksi'!$I$5:$I$92,"&lt;0")-SUMIFS('Daftar Koreksi'!$I$5:$I$92,'Daftar Koreksi'!$D$5:$D$92,'2000'!A290,'Daftar Koreksi'!$G$5:$G$92,"Gedung dan Bangunan",'Daftar Koreksi'!$I$5:$I$92,"&lt;0")</f>
        <v>0</v>
      </c>
      <c r="G304" s="17">
        <f t="shared" si="13"/>
        <v>-493546920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-34508800</v>
      </c>
      <c r="E305" s="25">
        <f>SUMIFS('Daftar Koreksi'!$I$5:$I$92,'Daftar Koreksi'!$D$5:$D$92,'2000'!A290,'Daftar Koreksi'!$G$5:$G$92,"Jalan Irigasi Jaringan",'Daftar Koreksi'!$I$5:$I$92,"&gt;0")</f>
        <v>0</v>
      </c>
      <c r="F305" s="25">
        <f>SUMIFS('Daftar Koreksi'!$I$5:$I$92,'Daftar Koreksi'!$D$5:$D$92,'2000'!A290,'Daftar Koreksi'!$G$5:$G$92,"Jalan Irigasi Jaringan",'Daftar Koreksi'!$I$5:$I$92,"&lt;0")-SUMIFS('Daftar Koreksi'!$I$5:$I$92,'Daftar Koreksi'!$D$5:$D$92,'2000'!A290,'Daftar Koreksi'!$G$5:$G$92,"Jalan Irigasi Jaringan",'Daftar Koreksi'!$I$5:$I$92,"&lt;0")-SUMIFS('Daftar Koreksi'!$I$5:$I$92,'Daftar Koreksi'!$D$5:$D$92,'2000'!A290,'Daftar Koreksi'!$G$5:$G$92,"Jalan Irigasi Jaringan",'Daftar Koreksi'!$I$5:$I$92,"&lt;0")</f>
        <v>0</v>
      </c>
      <c r="G305" s="17">
        <f t="shared" si="13"/>
        <v>-34508800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Koreksi'!$D$5:$D$92,'2000'!A290,'Daftar Koreksi'!$G$5:$G$92,"Aset Tetap Lainnya",'Daftar Koreksi'!$I$5:$I$92,"&gt;0")</f>
        <v>0</v>
      </c>
      <c r="F306" s="25">
        <f>SUMIFS('Daftar Koreksi'!$I$5:$I$92,'Daftar Koreksi'!$D$5:$D$92,'2000'!A290,'Daftar Koreksi'!$G$5:$G$92,"Aset Tetap Lainnya",'Daftar Koreksi'!$I$5:$I$92,"&lt;0")-SUMIFS('Daftar Koreksi'!$I$5:$I$92,'Daftar Koreksi'!$D$5:$D$92,'2000'!A290,'Daftar Koreksi'!$G$5:$G$92,"Aset Tetap Lainnya",'Daftar Koreksi'!$I$5:$I$92,"&lt;0")-SUMIFS('Daftar Koreksi'!$I$5:$I$92,'Daftar Koreksi'!$D$5:$D$92,'2000'!A290,'Daftar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Koreksi'!$D$5:$D$92,'2000'!A290,'Daftar Koreksi'!$G$5:$G$92,"Aset Henti Guna",'Daftar Koreksi'!$I$5:$I$92,"&gt;0")</f>
        <v>0</v>
      </c>
      <c r="F307" s="25">
        <f>SUMIFS('Daftar Koreksi'!$I$5:$I$92,'Daftar Koreksi'!$D$5:$D$92,'2000'!A290,'Daftar Koreksi'!$G$5:$G$92,"Aset Henti Guna",'Daftar Koreksi'!$I$5:$I$92,"&lt;0")-SUMIFS('Daftar Koreksi'!$I$5:$I$92,'Daftar Koreksi'!$D$5:$D$92,'2000'!A290,'Daftar Koreksi'!$G$5:$G$92,"Aset Henti Guna",'Daftar Koreksi'!$I$5:$I$92,"&lt;0")-SUMIFS('Daftar Koreksi'!$I$5:$I$92,'Daftar Koreksi'!$D$5:$D$92,'2000'!A290,'Daftar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-1160097102</v>
      </c>
      <c r="E308" s="19">
        <f>SUM(E303:E307)</f>
        <v>0</v>
      </c>
      <c r="F308" s="19">
        <f>SUM(F303:F307)</f>
        <v>0</v>
      </c>
      <c r="G308" s="19">
        <f t="shared" si="13"/>
        <v>-1160097102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12409740386</v>
      </c>
      <c r="E309" s="19">
        <f>E308+E302</f>
        <v>0</v>
      </c>
      <c r="F309" s="19">
        <f>F308+F302</f>
        <v>0</v>
      </c>
      <c r="G309" s="19">
        <f t="shared" si="13"/>
        <v>12409740386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005012000681443000KD</v>
      </c>
      <c r="B312" s="11" t="str">
        <f>P15</f>
        <v>PN. Pasarwajo</v>
      </c>
      <c r="C312" s="12" t="str">
        <f>A312&amp;" "&amp;B312</f>
        <v>005012000681443000KD PN. Pasarwajo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16610500</v>
      </c>
      <c r="E315" s="25">
        <f>SUMIFS('Daftar Koreksi'!$H$5:$H$92,'Daftar Koreksi'!$D$5:$D$92,'2000'!A312,'Daftar Koreksi'!$G$5:$G$92,"Persediaan",'Daftar Koreksi'!$H$5:$H$92,"&gt;0")</f>
        <v>0</v>
      </c>
      <c r="F315" s="25">
        <f>SUMIFS('Daftar Koreksi'!$H$5:$H$92,'Daftar Koreksi'!$D$5:$D$92,'2000'!A312,'Daftar Koreksi'!$G$5:$G$92,"Persediaan",'Daftar Koreksi'!$H$5:$H$92,"&lt;0")-SUMIFS('Daftar Koreksi'!$H$5:$H$92,'Daftar Koreksi'!$D$5:$D$92,'2000'!A312,'Daftar Koreksi'!$G$5:$G$92,"Persediaan",'Daftar Koreksi'!$H$5:$H$92,"&lt;0")-SUMIFS('Daftar Koreksi'!$H$5:$H$92,'Daftar Koreksi'!$D$5:$D$92,'2000'!A312,'Daftar Koreksi'!$G$5:$G$92,"Persediaan",'Daftar Koreksi'!$H$5:$H$92,"&lt;0")</f>
        <v>0</v>
      </c>
      <c r="G315" s="17">
        <f>D315+E315-F315</f>
        <v>16610500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51723000</v>
      </c>
      <c r="E316" s="25">
        <f>SUMIFS('Daftar Koreksi'!$H$5:$H$92,'Daftar Koreksi'!$D$5:$D$92,'2000'!A312,'Daftar Koreksi'!$G$5:$G$92,"Tanah",'Daftar Koreksi'!$H$5:$H$92,"&gt;0")</f>
        <v>0</v>
      </c>
      <c r="F316" s="25">
        <f>SUMIFS('Daftar Koreksi'!$H$5:$H$92,'Daftar Koreksi'!$D$5:$D$92,'2000'!A312,'Daftar Koreksi'!$G$5:$G$92,"Tanah",'Daftar Koreksi'!$H$5:$H$92,"&lt;0")-SUMIFS('Daftar Koreksi'!$H$5:$H$92,'Daftar Koreksi'!$D$5:$D$92,'2000'!A312,'Daftar Koreksi'!$G$5:$G$92,"Tanah",'Daftar Koreksi'!$H$5:$H$92,"&lt;0")-SUMIFS('Daftar Koreksi'!$H$5:$H$92,'Daftar Koreksi'!$D$5:$D$92,'2000'!A312,'Daftar Koreksi'!$G$5:$G$92,"Tanah",'Daftar Koreksi'!$H$5:$H$92,"&lt;0")</f>
        <v>0</v>
      </c>
      <c r="G316" s="17">
        <f t="shared" ref="G316:G332" si="14">D316+E316-F316</f>
        <v>51723000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1938988950</v>
      </c>
      <c r="E317" s="25">
        <f>SUMIFS('Daftar Koreksi'!$H$5:$H$92,'Daftar Koreksi'!$D$5:$D$92,'2000'!A312,'Daftar Koreksi'!$G$5:$G$92,"Peralatan dan mesin",'Daftar Koreksi'!$H$5:$H$92,"&gt;0")</f>
        <v>0</v>
      </c>
      <c r="F317" s="25">
        <f>SUMIFS('Daftar Koreksi'!$H$5:$H$92,'Daftar Koreksi'!$D$5:$D$92,'2000'!A312,'Daftar Koreksi'!$G$5:$G$92,"Peralatan dan mesin",'Daftar Koreksi'!$H$5:$H$92,"&lt;0")-SUMIFS('Daftar Koreksi'!$H$5:$H$92,'Daftar Koreksi'!$D$5:$D$92,'2000'!A312,'Daftar Koreksi'!$G$5:$G$92,"Peralatan dan mesin",'Daftar Koreksi'!$H$5:$H$92,"&lt;0")-SUMIFS('Daftar Koreksi'!$H$5:$H$92,'Daftar Koreksi'!$D$5:$D$92,'2000'!A312,'Daftar Koreksi'!$G$5:$G$92,"Peralatan dan mesin",'Daftar Koreksi'!$H$5:$H$92,"&lt;0")</f>
        <v>0</v>
      </c>
      <c r="G317" s="17">
        <f t="shared" si="14"/>
        <v>1938988950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9875568000</v>
      </c>
      <c r="E318" s="25">
        <f>SUMIFS('Daftar Koreksi'!$H$5:$H$92,'Daftar Koreksi'!$D$5:$D$92,'2000'!A312,'Daftar Koreksi'!$G$5:$G$92,"Gedung dan Bangunan",'Daftar Koreksi'!$H$5:$H$92,"&gt;0")</f>
        <v>0</v>
      </c>
      <c r="F318" s="25">
        <f>SUMIFS('Daftar Koreksi'!$H$5:$H$92,'Daftar Koreksi'!$D$5:$D$92,'2000'!A312,'Daftar Koreksi'!$G$5:$G$92,"Gedung dan Bangunan",'Daftar Koreksi'!$H$5:$H$92,"&lt;0")-SUMIFS('Daftar Koreksi'!$H$5:$H$92,'Daftar Koreksi'!$D$5:$D$92,'2000'!A312,'Daftar Koreksi'!$G$5:$G$92,"Gedung dan Bangunan",'Daftar Koreksi'!$H$5:$H$92,"&lt;0")-SUMIFS('Daftar Koreksi'!$H$5:$H$92,'Daftar Koreksi'!$D$5:$D$92,'2000'!A312,'Daftar Koreksi'!$G$5:$G$92,"Gedung dan Bangunan",'Daftar Koreksi'!$H$5:$H$92,"&lt;0")</f>
        <v>0</v>
      </c>
      <c r="G318" s="17">
        <f t="shared" si="14"/>
        <v>9875568000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156677000</v>
      </c>
      <c r="E319" s="25">
        <f>SUMIFS('Daftar Koreksi'!$H$5:$H$92,'Daftar Koreksi'!$D$5:$D$92,'2000'!A312,'Daftar Koreksi'!$G$5:$G$92,"Jalan Irigasi Jaringan",'Daftar Koreksi'!$H$5:$H$92,"&gt;0")</f>
        <v>0</v>
      </c>
      <c r="F319" s="25">
        <f>SUMIFS('Daftar Koreksi'!$H$5:$H$92,'Daftar Koreksi'!$D$5:$D$92,'2000'!A312,'Daftar Koreksi'!$G$5:$G$92,"Jalan Irigasi Jaringan",'Daftar Koreksi'!$H$5:$H$92,"&lt;0")-SUMIFS('Daftar Koreksi'!$H$5:$H$92,'Daftar Koreksi'!$D$5:$D$92,'2000'!A312,'Daftar Koreksi'!$G$5:$G$92,"Jalan Irigasi Jaringan",'Daftar Koreksi'!$H$5:$H$92,"&lt;0")-SUMIFS('Daftar Koreksi'!$H$5:$H$92,'Daftar Koreksi'!$D$5:$D$92,'2000'!A312,'Daftar Koreksi'!$G$5:$G$92,"Jalan Irigasi Jaringan",'Daftar Koreksi'!$H$5:$H$92,"&lt;0")</f>
        <v>0</v>
      </c>
      <c r="G319" s="17">
        <f t="shared" si="14"/>
        <v>156677000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1788000</v>
      </c>
      <c r="E320" s="25">
        <f>SUMIFS('Daftar Koreksi'!$H$5:$H$92,'Daftar Koreksi'!$D$5:$D$92,'2000'!A312,'Daftar Koreksi'!$G$5:$G$92,"Aset Tetap Lainnya",'Daftar Koreksi'!$H$5:$H$92,"&gt;0")</f>
        <v>0</v>
      </c>
      <c r="F320" s="25">
        <f>SUMIFS('Daftar Koreksi'!$H$5:$H$92,'Daftar Koreksi'!$D$5:$D$92,'2000'!A312,'Daftar Koreksi'!$G$5:$G$92,"Aset Tetap Lainnya",'Daftar Koreksi'!$H$5:$H$92,"&lt;0")-SUMIFS('Daftar Koreksi'!$H$5:$H$92,'Daftar Koreksi'!$D$5:$D$92,'2000'!A312,'Daftar Koreksi'!$G$5:$G$92,"Aset Tetap Lainnya",'Daftar Koreksi'!$H$5:$H$92,"&lt;0")-SUMIFS('Daftar Koreksi'!$H$5:$H$92,'Daftar Koreksi'!$D$5:$D$92,'2000'!A312,'Daftar Koreksi'!$G$5:$G$92,"Aset Tetap Lainnya",'Daftar Koreksi'!$H$5:$H$92,"&lt;0")</f>
        <v>0</v>
      </c>
      <c r="G320" s="17">
        <f t="shared" si="14"/>
        <v>1788000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Koreksi'!$D$5:$D$92,'2000'!A312,'Daftar Koreksi'!$G$5:$G$92,"Kontruksi Dalam Pengerjaan",'Daftar Koreksi'!$H$5:$H$92,"&gt;0")</f>
        <v>0</v>
      </c>
      <c r="F321" s="25">
        <f>SUMIFS('Daftar Koreksi'!$H$5:$H$92,'Daftar Koreksi'!$D$5:$D$92,'2000'!A312,'Daftar Koreksi'!$G$5:$G$92,"Kontruksi Dalam Pengerjaan",'Daftar Koreksi'!$H$5:$H$92,"&lt;0")-SUMIFS('Daftar Koreksi'!$H$5:$H$92,'Daftar Koreksi'!$D$5:$D$92,'2000'!A312,'Daftar Koreksi'!$G$5:$G$92,"Kontruksi Dalam Pengerjaan",'Daftar Koreksi'!$H$5:$H$92,"&lt;0")-SUMIFS('Daftar Koreksi'!$H$5:$H$92,'Daftar Koreksi'!$D$5:$D$92,'2000'!A312,'Daftar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25500000</v>
      </c>
      <c r="E322" s="25">
        <f>SUMIFS('Daftar Koreksi'!$H$5:$H$92,'Daftar Koreksi'!$D$5:$D$92,'2000'!A312,'Daftar Koreksi'!$G$5:$G$92,"Aset Tak Berwujud",'Daftar Koreksi'!$H$5:$H$92,"&gt;0")</f>
        <v>0</v>
      </c>
      <c r="F322" s="25">
        <f>SUMIFS('Daftar Koreksi'!$H$5:$H$92,'Daftar Koreksi'!$D$5:$D$92,'2000'!A312,'Daftar Koreksi'!$G$5:$G$92,"Aset Tak Berwujud",'Daftar Koreksi'!$H$5:$H$92,"&lt;0")-SUMIFS('Daftar Koreksi'!$H$5:$H$92,'Daftar Koreksi'!$D$5:$D$92,'2000'!A312,'Daftar Koreksi'!$G$5:$G$92,"Aset Tak Berwujud",'Daftar Koreksi'!$H$5:$H$92,"&lt;0")-SUMIFS('Daftar Koreksi'!$H$5:$H$92,'Daftar Koreksi'!$D$5:$D$92,'2000'!A312,'Daftar Koreksi'!$G$5:$G$92,"Aset Tak Berwujud",'Daftar Koreksi'!$H$5:$H$92,"&lt;0")</f>
        <v>0</v>
      </c>
      <c r="G322" s="17">
        <f t="shared" si="14"/>
        <v>25500000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Koreksi'!$D$5:$D$92,'2000'!A312,'Daftar Koreksi'!$G$5:$G$92,"Aset Henti Guna",'Daftar Koreksi'!$H$5:$H$92,"&gt;0")</f>
        <v>0</v>
      </c>
      <c r="F323" s="25">
        <f>SUMIFS('Daftar Koreksi'!$H$5:$H$92,'Daftar Koreksi'!$D$5:$D$92,'2000'!A312,'Daftar Koreksi'!$G$5:$G$92,"Aset Henti Guna",'Daftar Koreksi'!$H$5:$H$92,"&lt;0")-SUMIFS('Daftar Koreksi'!$H$5:$H$92,'Daftar Koreksi'!$D$5:$D$92,'2000'!A312,'Daftar Koreksi'!$G$5:$G$92,"Aset Henti Guna",'Daftar Koreksi'!$H$5:$H$92,"&lt;0")-SUMIFS('Daftar Koreksi'!$H$5:$H$92,'Daftar Koreksi'!$D$5:$D$92,'2000'!A312,'Daftar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12066855450</v>
      </c>
      <c r="E324" s="19">
        <f>SUM(E315:E323)</f>
        <v>0</v>
      </c>
      <c r="F324" s="19">
        <f>SUM(F315:F323)</f>
        <v>0</v>
      </c>
      <c r="G324" s="19">
        <f t="shared" si="14"/>
        <v>12066855450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-692002407</v>
      </c>
      <c r="E325" s="25">
        <f>SUMIFS('Daftar Koreksi'!$I$5:$I$92,'Daftar Koreksi'!$D$5:$D$92,'2000'!A312,'Daftar Koreksi'!$G$5:$G$92,"Peralatan dan mesin",'Daftar Koreksi'!$I$5:$I$92,"&gt;0")</f>
        <v>0</v>
      </c>
      <c r="F325" s="25">
        <f>SUMIFS('Daftar Koreksi'!$I$5:$I$92,'Daftar Koreksi'!$D$5:$D$92,'2000'!A312,'Daftar Koreksi'!$G$5:$G$92,"Peralatan dan mesin",'Daftar Koreksi'!$I$5:$I$92,"&lt;0")-SUMIFS('Daftar Koreksi'!$I$5:$I$92,'Daftar Koreksi'!$D$5:$D$92,'2000'!A312,'Daftar Koreksi'!$G$5:$G$92,"Peralatan dan mesin",'Daftar Koreksi'!$I$5:$I$92,"&lt;0")-SUMIFS('Daftar Koreksi'!$I$5:$I$92,'Daftar Koreksi'!$D$5:$D$92,'2000'!A312,'Daftar Koreksi'!$G$5:$G$92,"Peralatan dan mesin",'Daftar Koreksi'!$I$5:$I$92,"&lt;0")</f>
        <v>0</v>
      </c>
      <c r="G325" s="17">
        <f t="shared" si="14"/>
        <v>-692002407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-278644681</v>
      </c>
      <c r="E326" s="25">
        <f>SUMIFS('Daftar Koreksi'!$I$5:$I$92,'Daftar Koreksi'!$D$5:$D$92,'2000'!A312,'Daftar Koreksi'!$G$5:$G$92,"Gedung dan Bangunan",'Daftar Koreksi'!$I$5:$I$92,"&gt;0")</f>
        <v>0</v>
      </c>
      <c r="F326" s="25">
        <f>SUMIFS('Daftar Koreksi'!$I$5:$I$92,'Daftar Koreksi'!$D$5:$D$92,'2000'!A312,'Daftar Koreksi'!$G$5:$G$92,"Gedung dan Bangunan",'Daftar Koreksi'!$I$5:$I$92,"&lt;0")-SUMIFS('Daftar Koreksi'!$I$5:$I$92,'Daftar Koreksi'!$D$5:$D$92,'2000'!A312,'Daftar Koreksi'!$G$5:$G$92,"Gedung dan Bangunan",'Daftar Koreksi'!$I$5:$I$92,"&lt;0")-SUMIFS('Daftar Koreksi'!$I$5:$I$92,'Daftar Koreksi'!$D$5:$D$92,'2000'!A312,'Daftar Koreksi'!$G$5:$G$92,"Gedung dan Bangunan",'Daftar Koreksi'!$I$5:$I$92,"&lt;0")</f>
        <v>0</v>
      </c>
      <c r="G326" s="17">
        <f t="shared" si="14"/>
        <v>-278644681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-5875388</v>
      </c>
      <c r="E327" s="25">
        <f>SUMIFS('Daftar Koreksi'!$I$5:$I$92,'Daftar Koreksi'!$D$5:$D$92,'2000'!A312,'Daftar Koreksi'!$G$5:$G$92,"Jalan Irigasi Jaringan",'Daftar Koreksi'!$I$5:$I$92,"&gt;0")</f>
        <v>0</v>
      </c>
      <c r="F327" s="25">
        <f>SUMIFS('Daftar Koreksi'!$I$5:$I$92,'Daftar Koreksi'!$D$5:$D$92,'2000'!A312,'Daftar Koreksi'!$G$5:$G$92,"Jalan Irigasi Jaringan",'Daftar Koreksi'!$I$5:$I$92,"&lt;0")-SUMIFS('Daftar Koreksi'!$I$5:$I$92,'Daftar Koreksi'!$D$5:$D$92,'2000'!A312,'Daftar Koreksi'!$G$5:$G$92,"Jalan Irigasi Jaringan",'Daftar Koreksi'!$I$5:$I$92,"&lt;0")-SUMIFS('Daftar Koreksi'!$I$5:$I$92,'Daftar Koreksi'!$D$5:$D$92,'2000'!A312,'Daftar Koreksi'!$G$5:$G$92,"Jalan Irigasi Jaringan",'Daftar Koreksi'!$I$5:$I$92,"&lt;0")</f>
        <v>0</v>
      </c>
      <c r="G327" s="17">
        <f t="shared" si="14"/>
        <v>-5875388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Koreksi'!$D$5:$D$92,'2000'!A312,'Daftar Koreksi'!$G$5:$G$92,"Aset Tetap Lainnya",'Daftar Koreksi'!$I$5:$I$92,"&gt;0")</f>
        <v>0</v>
      </c>
      <c r="F328" s="25">
        <f>SUMIFS('Daftar Koreksi'!$I$5:$I$92,'Daftar Koreksi'!$D$5:$D$92,'2000'!A312,'Daftar Koreksi'!$G$5:$G$92,"Aset Tetap Lainnya",'Daftar Koreksi'!$I$5:$I$92,"&lt;0")-SUMIFS('Daftar Koreksi'!$I$5:$I$92,'Daftar Koreksi'!$D$5:$D$92,'2000'!A312,'Daftar Koreksi'!$G$5:$G$92,"Aset Tetap Lainnya",'Daftar Koreksi'!$I$5:$I$92,"&lt;0")-SUMIFS('Daftar Koreksi'!$I$5:$I$92,'Daftar Koreksi'!$D$5:$D$92,'2000'!A312,'Daftar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Koreksi'!$D$5:$D$92,'2000'!A312,'Daftar Koreksi'!$G$5:$G$92,"Aset Henti Guna",'Daftar Koreksi'!$I$5:$I$92,"&gt;0")</f>
        <v>0</v>
      </c>
      <c r="F329" s="25">
        <f>SUMIFS('Daftar Koreksi'!$I$5:$I$92,'Daftar Koreksi'!$D$5:$D$92,'2000'!A312,'Daftar Koreksi'!$G$5:$G$92,"Aset Henti Guna",'Daftar Koreksi'!$I$5:$I$92,"&lt;0")-SUMIFS('Daftar Koreksi'!$I$5:$I$92,'Daftar Koreksi'!$D$5:$D$92,'2000'!A312,'Daftar Koreksi'!$G$5:$G$92,"Aset Henti Guna",'Daftar Koreksi'!$I$5:$I$92,"&lt;0")-SUMIFS('Daftar Koreksi'!$I$5:$I$92,'Daftar Koreksi'!$D$5:$D$92,'2000'!A312,'Daftar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-976522476</v>
      </c>
      <c r="E330" s="19">
        <f>SUM(E325:E329)</f>
        <v>0</v>
      </c>
      <c r="F330" s="19">
        <f>SUM(F325:F329)</f>
        <v>0</v>
      </c>
      <c r="G330" s="19">
        <f t="shared" si="14"/>
        <v>-976522476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11090332974</v>
      </c>
      <c r="E331" s="19">
        <f>E330+E324</f>
        <v>0</v>
      </c>
      <c r="F331" s="19">
        <f>F330+F324</f>
        <v>0</v>
      </c>
      <c r="G331" s="19">
        <f t="shared" si="14"/>
        <v>11090332974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005012000682207000KD</v>
      </c>
      <c r="B334" s="11" t="str">
        <f>P16</f>
        <v>PA. Andoolo</v>
      </c>
      <c r="C334" s="12" t="str">
        <f>A334&amp;" "&amp;B334</f>
        <v>005012000682207000KD PA. Andoolo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590000</v>
      </c>
      <c r="E337" s="25">
        <f>SUMIFS('Daftar Koreksi'!$H$5:$H$92,'Daftar Koreksi'!$D$5:$D$92,'2000'!A334,'Daftar Koreksi'!$G$5:$G$92,"Persediaan",'Daftar Koreksi'!$H$5:$H$92,"&gt;0")</f>
        <v>0</v>
      </c>
      <c r="F337" s="25">
        <f>SUMIFS('Daftar Koreksi'!$H$5:$H$92,'Daftar Koreksi'!$D$5:$D$92,'2000'!A334,'Daftar Koreksi'!$G$5:$G$92,"Persediaan",'Daftar Koreksi'!$H$5:$H$92,"&lt;0")-SUMIFS('Daftar Koreksi'!$H$5:$H$92,'Daftar Koreksi'!$D$5:$D$92,'2000'!A334,'Daftar Koreksi'!$G$5:$G$92,"Persediaan",'Daftar Koreksi'!$H$5:$H$92,"&lt;0")-SUMIFS('Daftar Koreksi'!$H$5:$H$92,'Daftar Koreksi'!$D$5:$D$92,'2000'!A334,'Daftar Koreksi'!$G$5:$G$92,"Persediaan",'Daftar Koreksi'!$H$5:$H$92,"&lt;0")</f>
        <v>0</v>
      </c>
      <c r="G337" s="17">
        <f>D337+E337-F337</f>
        <v>590000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481531000</v>
      </c>
      <c r="E338" s="25">
        <f>SUMIFS('Daftar Koreksi'!$H$5:$H$92,'Daftar Koreksi'!$D$5:$D$92,'2000'!A334,'Daftar Koreksi'!$G$5:$G$92,"Tanah",'Daftar Koreksi'!$H$5:$H$92,"&gt;0")</f>
        <v>0</v>
      </c>
      <c r="F338" s="25">
        <f>SUMIFS('Daftar Koreksi'!$H$5:$H$92,'Daftar Koreksi'!$D$5:$D$92,'2000'!A334,'Daftar Koreksi'!$G$5:$G$92,"Tanah",'Daftar Koreksi'!$H$5:$H$92,"&lt;0")-SUMIFS('Daftar Koreksi'!$H$5:$H$92,'Daftar Koreksi'!$D$5:$D$92,'2000'!A334,'Daftar Koreksi'!$G$5:$G$92,"Tanah",'Daftar Koreksi'!$H$5:$H$92,"&lt;0")-SUMIFS('Daftar Koreksi'!$H$5:$H$92,'Daftar Koreksi'!$D$5:$D$92,'2000'!A334,'Daftar Koreksi'!$G$5:$G$92,"Tanah",'Daftar Koreksi'!$H$5:$H$92,"&lt;0")</f>
        <v>0</v>
      </c>
      <c r="G338" s="17">
        <f t="shared" ref="G338:G354" si="15">D338+E338-F338</f>
        <v>481531000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1069641633</v>
      </c>
      <c r="E339" s="25">
        <f>SUMIFS('Daftar Koreksi'!$H$5:$H$92,'Daftar Koreksi'!$D$5:$D$92,'2000'!A334,'Daftar Koreksi'!$G$5:$G$92,"Peralatan dan mesin",'Daftar Koreksi'!$H$5:$H$92,"&gt;0")</f>
        <v>0</v>
      </c>
      <c r="F339" s="25">
        <f>SUMIFS('Daftar Koreksi'!$H$5:$H$92,'Daftar Koreksi'!$D$5:$D$92,'2000'!A334,'Daftar Koreksi'!$G$5:$G$92,"Peralatan dan mesin",'Daftar Koreksi'!$H$5:$H$92,"&lt;0")-SUMIFS('Daftar Koreksi'!$H$5:$H$92,'Daftar Koreksi'!$D$5:$D$92,'2000'!A334,'Daftar Koreksi'!$G$5:$G$92,"Peralatan dan mesin",'Daftar Koreksi'!$H$5:$H$92,"&lt;0")-SUMIFS('Daftar Koreksi'!$H$5:$H$92,'Daftar Koreksi'!$D$5:$D$92,'2000'!A334,'Daftar Koreksi'!$G$5:$G$92,"Peralatan dan mesin",'Daftar Koreksi'!$H$5:$H$92,"&lt;0")</f>
        <v>0</v>
      </c>
      <c r="G339" s="17">
        <f t="shared" si="15"/>
        <v>1069641633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5550547500</v>
      </c>
      <c r="E340" s="25">
        <f>SUMIFS('Daftar Koreksi'!$H$5:$H$92,'Daftar Koreksi'!$D$5:$D$92,'2000'!A334,'Daftar Koreksi'!$G$5:$G$92,"Gedung dan Bangunan",'Daftar Koreksi'!$H$5:$H$92,"&gt;0")</f>
        <v>0</v>
      </c>
      <c r="F340" s="25">
        <f>SUMIFS('Daftar Koreksi'!$H$5:$H$92,'Daftar Koreksi'!$D$5:$D$92,'2000'!A334,'Daftar Koreksi'!$G$5:$G$92,"Gedung dan Bangunan",'Daftar Koreksi'!$H$5:$H$92,"&lt;0")-SUMIFS('Daftar Koreksi'!$H$5:$H$92,'Daftar Koreksi'!$D$5:$D$92,'2000'!A334,'Daftar Koreksi'!$G$5:$G$92,"Gedung dan Bangunan",'Daftar Koreksi'!$H$5:$H$92,"&lt;0")-SUMIFS('Daftar Koreksi'!$H$5:$H$92,'Daftar Koreksi'!$D$5:$D$92,'2000'!A334,'Daftar Koreksi'!$G$5:$G$92,"Gedung dan Bangunan",'Daftar Koreksi'!$H$5:$H$92,"&lt;0")</f>
        <v>0</v>
      </c>
      <c r="G340" s="17">
        <f t="shared" si="15"/>
        <v>5550547500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Koreksi'!$D$5:$D$92,'2000'!A334,'Daftar Koreksi'!$G$5:$G$92,"Jalan Irigasi Jaringan",'Daftar Koreksi'!$H$5:$H$92,"&gt;0")</f>
        <v>0</v>
      </c>
      <c r="F341" s="25">
        <f>SUMIFS('Daftar Koreksi'!$H$5:$H$92,'Daftar Koreksi'!$D$5:$D$92,'2000'!A334,'Daftar Koreksi'!$G$5:$G$92,"Jalan Irigasi Jaringan",'Daftar Koreksi'!$H$5:$H$92,"&lt;0")-SUMIFS('Daftar Koreksi'!$H$5:$H$92,'Daftar Koreksi'!$D$5:$D$92,'2000'!A334,'Daftar Koreksi'!$G$5:$G$92,"Jalan Irigasi Jaringan",'Daftar Koreksi'!$H$5:$H$92,"&lt;0")-SUMIFS('Daftar Koreksi'!$H$5:$H$92,'Daftar Koreksi'!$D$5:$D$92,'2000'!A334,'Daftar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185450</v>
      </c>
      <c r="E342" s="25">
        <f>SUMIFS('Daftar Koreksi'!$H$5:$H$92,'Daftar Koreksi'!$D$5:$D$92,'2000'!A334,'Daftar Koreksi'!$G$5:$G$92,"Aset Tetap Lainnya",'Daftar Koreksi'!$H$5:$H$92,"&gt;0")</f>
        <v>0</v>
      </c>
      <c r="F342" s="25">
        <f>SUMIFS('Daftar Koreksi'!$H$5:$H$92,'Daftar Koreksi'!$D$5:$D$92,'2000'!A334,'Daftar Koreksi'!$G$5:$G$92,"Aset Tetap Lainnya",'Daftar Koreksi'!$H$5:$H$92,"&lt;0")-SUMIFS('Daftar Koreksi'!$H$5:$H$92,'Daftar Koreksi'!$D$5:$D$92,'2000'!A334,'Daftar Koreksi'!$G$5:$G$92,"Aset Tetap Lainnya",'Daftar Koreksi'!$H$5:$H$92,"&lt;0")-SUMIFS('Daftar Koreksi'!$H$5:$H$92,'Daftar Koreksi'!$D$5:$D$92,'2000'!A334,'Daftar Koreksi'!$G$5:$G$92,"Aset Tetap Lainnya",'Daftar Koreksi'!$H$5:$H$92,"&lt;0")</f>
        <v>0</v>
      </c>
      <c r="G342" s="17">
        <f t="shared" si="15"/>
        <v>185450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Koreksi'!$D$5:$D$92,'2000'!A334,'Daftar Koreksi'!$G$5:$G$92,"Kontruksi Dalam Pengerjaan",'Daftar Koreksi'!$H$5:$H$92,"&gt;0")</f>
        <v>0</v>
      </c>
      <c r="F343" s="25">
        <f>SUMIFS('Daftar Koreksi'!$H$5:$H$92,'Daftar Koreksi'!$D$5:$D$92,'2000'!A334,'Daftar Koreksi'!$G$5:$G$92,"Kontruksi Dalam Pengerjaan",'Daftar Koreksi'!$H$5:$H$92,"&lt;0")-SUMIFS('Daftar Koreksi'!$H$5:$H$92,'Daftar Koreksi'!$D$5:$D$92,'2000'!A334,'Daftar Koreksi'!$G$5:$G$92,"Kontruksi Dalam Pengerjaan",'Daftar Koreksi'!$H$5:$H$92,"&lt;0")-SUMIFS('Daftar Koreksi'!$H$5:$H$92,'Daftar Koreksi'!$D$5:$D$92,'2000'!A334,'Daftar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Koreksi'!$D$5:$D$92,'2000'!A334,'Daftar Koreksi'!$G$5:$G$92,"Aset Tak Berwujud",'Daftar Koreksi'!$H$5:$H$92,"&gt;0")</f>
        <v>0</v>
      </c>
      <c r="F344" s="25">
        <f>SUMIFS('Daftar Koreksi'!$H$5:$H$92,'Daftar Koreksi'!$D$5:$D$92,'2000'!A334,'Daftar Koreksi'!$G$5:$G$92,"Aset Tak Berwujud",'Daftar Koreksi'!$H$5:$H$92,"&lt;0")-SUMIFS('Daftar Koreksi'!$H$5:$H$92,'Daftar Koreksi'!$D$5:$D$92,'2000'!A334,'Daftar Koreksi'!$G$5:$G$92,"Aset Tak Berwujud",'Daftar Koreksi'!$H$5:$H$92,"&lt;0")-SUMIFS('Daftar Koreksi'!$H$5:$H$92,'Daftar Koreksi'!$D$5:$D$92,'2000'!A334,'Daftar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100000</v>
      </c>
      <c r="E345" s="25">
        <f>SUMIFS('Daftar Koreksi'!$H$5:$H$92,'Daftar Koreksi'!$D$5:$D$92,'2000'!A334,'Daftar Koreksi'!$G$5:$G$92,"Aset Henti Guna",'Daftar Koreksi'!$H$5:$H$92,"&gt;0")</f>
        <v>0</v>
      </c>
      <c r="F345" s="25">
        <f>SUMIFS('Daftar Koreksi'!$H$5:$H$92,'Daftar Koreksi'!$D$5:$D$92,'2000'!A334,'Daftar Koreksi'!$G$5:$G$92,"Aset Henti Guna",'Daftar Koreksi'!$H$5:$H$92,"&lt;0")-SUMIFS('Daftar Koreksi'!$H$5:$H$92,'Daftar Koreksi'!$D$5:$D$92,'2000'!A334,'Daftar Koreksi'!$G$5:$G$92,"Aset Henti Guna",'Daftar Koreksi'!$H$5:$H$92,"&lt;0")-SUMIFS('Daftar Koreksi'!$H$5:$H$92,'Daftar Koreksi'!$D$5:$D$92,'2000'!A334,'Daftar Koreksi'!$G$5:$G$92,"Aset Henti Guna",'Daftar Koreksi'!$H$5:$H$92,"&lt;0")</f>
        <v>0</v>
      </c>
      <c r="G345" s="17">
        <f t="shared" si="15"/>
        <v>100000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7102595583</v>
      </c>
      <c r="E346" s="19">
        <f>SUM(E337:E345)</f>
        <v>0</v>
      </c>
      <c r="F346" s="19">
        <f>SUM(F337:F345)</f>
        <v>0</v>
      </c>
      <c r="G346" s="19">
        <f t="shared" si="15"/>
        <v>7102595583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-460752210</v>
      </c>
      <c r="E347" s="25">
        <f>SUMIFS('Daftar Koreksi'!$I$5:$I$92,'Daftar Koreksi'!$D$5:$D$92,'2000'!A334,'Daftar Koreksi'!$G$5:$G$92,"Peralatan dan mesin",'Daftar Koreksi'!$I$5:$I$92,"&gt;0")</f>
        <v>0</v>
      </c>
      <c r="F347" s="25">
        <f>SUMIFS('Daftar Koreksi'!$I$5:$I$92,'Daftar Koreksi'!$D$5:$D$92,'2000'!A334,'Daftar Koreksi'!$G$5:$G$92,"Peralatan dan mesin",'Daftar Koreksi'!$I$5:$I$92,"&lt;0")-SUMIFS('Daftar Koreksi'!$I$5:$I$92,'Daftar Koreksi'!$D$5:$D$92,'2000'!A334,'Daftar Koreksi'!$G$5:$G$92,"Peralatan dan mesin",'Daftar Koreksi'!$I$5:$I$92,"&lt;0")-SUMIFS('Daftar Koreksi'!$I$5:$I$92,'Daftar Koreksi'!$D$5:$D$92,'2000'!A334,'Daftar Koreksi'!$G$5:$G$92,"Peralatan dan mesin",'Daftar Koreksi'!$I$5:$I$92,"&lt;0")</f>
        <v>0</v>
      </c>
      <c r="G347" s="17">
        <f t="shared" si="15"/>
        <v>-460752210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-55505475</v>
      </c>
      <c r="E348" s="25">
        <f>SUMIFS('Daftar Koreksi'!$I$5:$I$92,'Daftar Koreksi'!$D$5:$D$92,'2000'!A334,'Daftar Koreksi'!$G$5:$G$92,"Gedung dan Bangunan",'Daftar Koreksi'!$I$5:$I$92,"&gt;0")</f>
        <v>0</v>
      </c>
      <c r="F348" s="25">
        <f>SUMIFS('Daftar Koreksi'!$I$5:$I$92,'Daftar Koreksi'!$D$5:$D$92,'2000'!A334,'Daftar Koreksi'!$G$5:$G$92,"Gedung dan Bangunan",'Daftar Koreksi'!$I$5:$I$92,"&lt;0")-SUMIFS('Daftar Koreksi'!$I$5:$I$92,'Daftar Koreksi'!$D$5:$D$92,'2000'!A334,'Daftar Koreksi'!$G$5:$G$92,"Gedung dan Bangunan",'Daftar Koreksi'!$I$5:$I$92,"&lt;0")-SUMIFS('Daftar Koreksi'!$I$5:$I$92,'Daftar Koreksi'!$D$5:$D$92,'2000'!A334,'Daftar Koreksi'!$G$5:$G$92,"Gedung dan Bangunan",'Daftar Koreksi'!$I$5:$I$92,"&lt;0")</f>
        <v>0</v>
      </c>
      <c r="G348" s="17">
        <f t="shared" si="15"/>
        <v>-55505475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Koreksi'!$D$5:$D$92,'2000'!A334,'Daftar Koreksi'!$G$5:$G$92,"Jalan Irigasi Jaringan",'Daftar Koreksi'!$I$5:$I$92,"&gt;0")</f>
        <v>0</v>
      </c>
      <c r="F349" s="25">
        <f>SUMIFS('Daftar Koreksi'!$I$5:$I$92,'Daftar Koreksi'!$D$5:$D$92,'2000'!A334,'Daftar Koreksi'!$G$5:$G$92,"Jalan Irigasi Jaringan",'Daftar Koreksi'!$I$5:$I$92,"&lt;0")-SUMIFS('Daftar Koreksi'!$I$5:$I$92,'Daftar Koreksi'!$D$5:$D$92,'2000'!A334,'Daftar Koreksi'!$G$5:$G$92,"Jalan Irigasi Jaringan",'Daftar Koreksi'!$I$5:$I$92,"&lt;0")-SUMIFS('Daftar Koreksi'!$I$5:$I$92,'Daftar Koreksi'!$D$5:$D$92,'2000'!A334,'Daftar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Koreksi'!$D$5:$D$92,'2000'!A334,'Daftar Koreksi'!$G$5:$G$92,"Aset Tetap Lainnya",'Daftar Koreksi'!$I$5:$I$92,"&gt;0")</f>
        <v>0</v>
      </c>
      <c r="F350" s="25">
        <f>SUMIFS('Daftar Koreksi'!$I$5:$I$92,'Daftar Koreksi'!$D$5:$D$92,'2000'!A334,'Daftar Koreksi'!$G$5:$G$92,"Aset Tetap Lainnya",'Daftar Koreksi'!$I$5:$I$92,"&lt;0")-SUMIFS('Daftar Koreksi'!$I$5:$I$92,'Daftar Koreksi'!$D$5:$D$92,'2000'!A334,'Daftar Koreksi'!$G$5:$G$92,"Aset Tetap Lainnya",'Daftar Koreksi'!$I$5:$I$92,"&lt;0")-SUMIFS('Daftar Koreksi'!$I$5:$I$92,'Daftar Koreksi'!$D$5:$D$92,'2000'!A334,'Daftar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-100000</v>
      </c>
      <c r="E351" s="25">
        <f>SUMIFS('Daftar Koreksi'!$I$5:$I$92,'Daftar Koreksi'!$D$5:$D$92,'2000'!A334,'Daftar Koreksi'!$G$5:$G$92,"Aset Henti Guna",'Daftar Koreksi'!$I$5:$I$92,"&gt;0")</f>
        <v>0</v>
      </c>
      <c r="F351" s="25">
        <f>SUMIFS('Daftar Koreksi'!$I$5:$I$92,'Daftar Koreksi'!$D$5:$D$92,'2000'!A334,'Daftar Koreksi'!$G$5:$G$92,"Aset Henti Guna",'Daftar Koreksi'!$I$5:$I$92,"&lt;0")-SUMIFS('Daftar Koreksi'!$I$5:$I$92,'Daftar Koreksi'!$D$5:$D$92,'2000'!A334,'Daftar Koreksi'!$G$5:$G$92,"Aset Henti Guna",'Daftar Koreksi'!$I$5:$I$92,"&lt;0")-SUMIFS('Daftar Koreksi'!$I$5:$I$92,'Daftar Koreksi'!$D$5:$D$92,'2000'!A334,'Daftar Koreksi'!$G$5:$G$92,"Aset Henti Guna",'Daftar Koreksi'!$I$5:$I$92,"&lt;0")</f>
        <v>0</v>
      </c>
      <c r="G351" s="17">
        <f t="shared" si="15"/>
        <v>-100000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-516357685</v>
      </c>
      <c r="E352" s="19">
        <f>SUM(E347:E351)</f>
        <v>0</v>
      </c>
      <c r="F352" s="19">
        <f>SUM(F347:F351)</f>
        <v>0</v>
      </c>
      <c r="G352" s="19">
        <f t="shared" si="15"/>
        <v>-516357685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6586237898</v>
      </c>
      <c r="E353" s="19">
        <f>E352+E346</f>
        <v>0</v>
      </c>
      <c r="F353" s="19">
        <f>F352+F346</f>
        <v>0</v>
      </c>
      <c r="G353" s="19">
        <f t="shared" si="15"/>
        <v>6586237898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005012000682211000KD</v>
      </c>
      <c r="B356" s="11" t="str">
        <f>P17</f>
        <v>PA. Pasarwajo</v>
      </c>
      <c r="C356" s="12" t="str">
        <f>A356&amp;" "&amp;B356</f>
        <v>005012000682211000KD PA. Pasarwajo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4255330</v>
      </c>
      <c r="E359" s="25">
        <f>SUMIFS('Daftar Koreksi'!$H$5:$H$92,'Daftar Koreksi'!$D$5:$D$92,'2000'!A356,'Daftar Koreksi'!$G$5:$G$92,"Persediaan",'Daftar Koreksi'!$H$5:$H$92,"&gt;0")</f>
        <v>0</v>
      </c>
      <c r="F359" s="25">
        <f>SUMIFS('Daftar Koreksi'!$H$5:$H$92,'Daftar Koreksi'!$D$5:$D$92,'2000'!A356,'Daftar Koreksi'!$G$5:$G$92,"Persediaan",'Daftar Koreksi'!$H$5:$H$92,"&lt;0")-SUMIFS('Daftar Koreksi'!$H$5:$H$92,'Daftar Koreksi'!$D$5:$D$92,'2000'!A356,'Daftar Koreksi'!$G$5:$G$92,"Persediaan",'Daftar Koreksi'!$H$5:$H$92,"&lt;0")-SUMIFS('Daftar Koreksi'!$H$5:$H$92,'Daftar Koreksi'!$D$5:$D$92,'2000'!A356,'Daftar Koreksi'!$G$5:$G$92,"Persediaan",'Daftar Koreksi'!$H$5:$H$92,"&lt;0")</f>
        <v>0</v>
      </c>
      <c r="G359" s="17">
        <f>D359+E359-F359</f>
        <v>4255330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218016000</v>
      </c>
      <c r="E360" s="25">
        <f>SUMIFS('Daftar Koreksi'!$H$5:$H$92,'Daftar Koreksi'!$D$5:$D$92,'2000'!A356,'Daftar Koreksi'!$G$5:$G$92,"Tanah",'Daftar Koreksi'!$H$5:$H$92,"&gt;0")</f>
        <v>0</v>
      </c>
      <c r="F360" s="25">
        <f>SUMIFS('Daftar Koreksi'!$H$5:$H$92,'Daftar Koreksi'!$D$5:$D$92,'2000'!A356,'Daftar Koreksi'!$G$5:$G$92,"Tanah",'Daftar Koreksi'!$H$5:$H$92,"&lt;0")-SUMIFS('Daftar Koreksi'!$H$5:$H$92,'Daftar Koreksi'!$D$5:$D$92,'2000'!A356,'Daftar Koreksi'!$G$5:$G$92,"Tanah",'Daftar Koreksi'!$H$5:$H$92,"&lt;0")-SUMIFS('Daftar Koreksi'!$H$5:$H$92,'Daftar Koreksi'!$D$5:$D$92,'2000'!A356,'Daftar Koreksi'!$G$5:$G$92,"Tanah",'Daftar Koreksi'!$H$5:$H$92,"&lt;0")</f>
        <v>0</v>
      </c>
      <c r="G360" s="17">
        <f t="shared" ref="G360:G376" si="16">D360+E360-F360</f>
        <v>218016000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1076100727</v>
      </c>
      <c r="E361" s="25">
        <f>SUMIFS('Daftar Koreksi'!$H$5:$H$92,'Daftar Koreksi'!$D$5:$D$92,'2000'!A356,'Daftar Koreksi'!$G$5:$G$92,"Peralatan dan mesin",'Daftar Koreksi'!$H$5:$H$92,"&gt;0")</f>
        <v>0</v>
      </c>
      <c r="F361" s="25">
        <f>SUMIFS('Daftar Koreksi'!$H$5:$H$92,'Daftar Koreksi'!$D$5:$D$92,'2000'!A356,'Daftar Koreksi'!$G$5:$G$92,"Peralatan dan mesin",'Daftar Koreksi'!$H$5:$H$92,"&lt;0")-SUMIFS('Daftar Koreksi'!$H$5:$H$92,'Daftar Koreksi'!$D$5:$D$92,'2000'!A356,'Daftar Koreksi'!$G$5:$G$92,"Peralatan dan mesin",'Daftar Koreksi'!$H$5:$H$92,"&lt;0")-SUMIFS('Daftar Koreksi'!$H$5:$H$92,'Daftar Koreksi'!$D$5:$D$92,'2000'!A356,'Daftar Koreksi'!$G$5:$G$92,"Peralatan dan mesin",'Daftar Koreksi'!$H$5:$H$92,"&lt;0")</f>
        <v>0</v>
      </c>
      <c r="G361" s="17">
        <f t="shared" si="16"/>
        <v>1076100727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5505278000</v>
      </c>
      <c r="E362" s="25">
        <f>SUMIFS('Daftar Koreksi'!$H$5:$H$92,'Daftar Koreksi'!$D$5:$D$92,'2000'!A356,'Daftar Koreksi'!$G$5:$G$92,"Gedung dan Bangunan",'Daftar Koreksi'!$H$5:$H$92,"&gt;0")</f>
        <v>0</v>
      </c>
      <c r="F362" s="25">
        <f>SUMIFS('Daftar Koreksi'!$H$5:$H$92,'Daftar Koreksi'!$D$5:$D$92,'2000'!A356,'Daftar Koreksi'!$G$5:$G$92,"Gedung dan Bangunan",'Daftar Koreksi'!$H$5:$H$92,"&lt;0")-SUMIFS('Daftar Koreksi'!$H$5:$H$92,'Daftar Koreksi'!$D$5:$D$92,'2000'!A356,'Daftar Koreksi'!$G$5:$G$92,"Gedung dan Bangunan",'Daftar Koreksi'!$H$5:$H$92,"&lt;0")-SUMIFS('Daftar Koreksi'!$H$5:$H$92,'Daftar Koreksi'!$D$5:$D$92,'2000'!A356,'Daftar Koreksi'!$G$5:$G$92,"Gedung dan Bangunan",'Daftar Koreksi'!$H$5:$H$92,"&lt;0")</f>
        <v>0</v>
      </c>
      <c r="G362" s="17">
        <f t="shared" si="16"/>
        <v>5505278000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Koreksi'!$D$5:$D$92,'2000'!A356,'Daftar Koreksi'!$G$5:$G$92,"Jalan Irigasi Jaringan",'Daftar Koreksi'!$H$5:$H$92,"&gt;0")</f>
        <v>0</v>
      </c>
      <c r="F363" s="25">
        <f>SUMIFS('Daftar Koreksi'!$H$5:$H$92,'Daftar Koreksi'!$D$5:$D$92,'2000'!A356,'Daftar Koreksi'!$G$5:$G$92,"Jalan Irigasi Jaringan",'Daftar Koreksi'!$H$5:$H$92,"&lt;0")-SUMIFS('Daftar Koreksi'!$H$5:$H$92,'Daftar Koreksi'!$D$5:$D$92,'2000'!A356,'Daftar Koreksi'!$G$5:$G$92,"Jalan Irigasi Jaringan",'Daftar Koreksi'!$H$5:$H$92,"&lt;0")-SUMIFS('Daftar Koreksi'!$H$5:$H$92,'Daftar Koreksi'!$D$5:$D$92,'2000'!A356,'Daftar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0</v>
      </c>
      <c r="E364" s="25">
        <f>SUMIFS('Daftar Koreksi'!$H$5:$H$92,'Daftar Koreksi'!$D$5:$D$92,'2000'!A356,'Daftar Koreksi'!$G$5:$G$92,"Aset Tetap Lainnya",'Daftar Koreksi'!$H$5:$H$92,"&gt;0")</f>
        <v>0</v>
      </c>
      <c r="F364" s="25">
        <f>SUMIFS('Daftar Koreksi'!$H$5:$H$92,'Daftar Koreksi'!$D$5:$D$92,'2000'!A356,'Daftar Koreksi'!$G$5:$G$92,"Aset Tetap Lainnya",'Daftar Koreksi'!$H$5:$H$92,"&lt;0")-SUMIFS('Daftar Koreksi'!$H$5:$H$92,'Daftar Koreksi'!$D$5:$D$92,'2000'!A356,'Daftar Koreksi'!$G$5:$G$92,"Aset Tetap Lainnya",'Daftar Koreksi'!$H$5:$H$92,"&lt;0")-SUMIFS('Daftar Koreksi'!$H$5:$H$92,'Daftar Koreksi'!$D$5:$D$92,'2000'!A356,'Daftar Koreksi'!$G$5:$G$92,"Aset Tetap Lainnya",'Daftar Koreksi'!$H$5:$H$92,"&lt;0")</f>
        <v>0</v>
      </c>
      <c r="G364" s="17">
        <f t="shared" si="16"/>
        <v>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Koreksi'!$D$5:$D$92,'2000'!A356,'Daftar Koreksi'!$G$5:$G$92,"Kontruksi Dalam Pengerjaan",'Daftar Koreksi'!$H$5:$H$92,"&gt;0")</f>
        <v>0</v>
      </c>
      <c r="F365" s="25">
        <f>SUMIFS('Daftar Koreksi'!$H$5:$H$92,'Daftar Koreksi'!$D$5:$D$92,'2000'!A356,'Daftar Koreksi'!$G$5:$G$92,"Kontruksi Dalam Pengerjaan",'Daftar Koreksi'!$H$5:$H$92,"&lt;0")-SUMIFS('Daftar Koreksi'!$H$5:$H$92,'Daftar Koreksi'!$D$5:$D$92,'2000'!A356,'Daftar Koreksi'!$G$5:$G$92,"Kontruksi Dalam Pengerjaan",'Daftar Koreksi'!$H$5:$H$92,"&lt;0")-SUMIFS('Daftar Koreksi'!$H$5:$H$92,'Daftar Koreksi'!$D$5:$D$92,'2000'!A356,'Daftar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Koreksi'!$D$5:$D$92,'2000'!A356,'Daftar Koreksi'!$G$5:$G$92,"Aset Tak Berwujud",'Daftar Koreksi'!$H$5:$H$92,"&gt;0")</f>
        <v>0</v>
      </c>
      <c r="F366" s="25">
        <f>SUMIFS('Daftar Koreksi'!$H$5:$H$92,'Daftar Koreksi'!$D$5:$D$92,'2000'!A356,'Daftar Koreksi'!$G$5:$G$92,"Aset Tak Berwujud",'Daftar Koreksi'!$H$5:$H$92,"&lt;0")-SUMIFS('Daftar Koreksi'!$H$5:$H$92,'Daftar Koreksi'!$D$5:$D$92,'2000'!A356,'Daftar Koreksi'!$G$5:$G$92,"Aset Tak Berwujud",'Daftar Koreksi'!$H$5:$H$92,"&lt;0")-SUMIFS('Daftar Koreksi'!$H$5:$H$92,'Daftar Koreksi'!$D$5:$D$92,'2000'!A356,'Daftar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Koreksi'!$D$5:$D$92,'2000'!A356,'Daftar Koreksi'!$G$5:$G$92,"Aset Henti Guna",'Daftar Koreksi'!$H$5:$H$92,"&gt;0")</f>
        <v>0</v>
      </c>
      <c r="F367" s="25">
        <f>SUMIFS('Daftar Koreksi'!$H$5:$H$92,'Daftar Koreksi'!$D$5:$D$92,'2000'!A356,'Daftar Koreksi'!$G$5:$G$92,"Aset Henti Guna",'Daftar Koreksi'!$H$5:$H$92,"&lt;0")-SUMIFS('Daftar Koreksi'!$H$5:$H$92,'Daftar Koreksi'!$D$5:$D$92,'2000'!A356,'Daftar Koreksi'!$G$5:$G$92,"Aset Henti Guna",'Daftar Koreksi'!$H$5:$H$92,"&lt;0")-SUMIFS('Daftar Koreksi'!$H$5:$H$92,'Daftar Koreksi'!$D$5:$D$92,'2000'!A356,'Daftar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6803650057</v>
      </c>
      <c r="E368" s="19">
        <f>SUM(E359:E367)</f>
        <v>0</v>
      </c>
      <c r="F368" s="19">
        <f>SUM(F359:F367)</f>
        <v>0</v>
      </c>
      <c r="G368" s="19">
        <f t="shared" si="16"/>
        <v>6803650057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-392634367</v>
      </c>
      <c r="E369" s="25">
        <f>SUMIFS('Daftar Koreksi'!$I$5:$I$92,'Daftar Koreksi'!$D$5:$D$92,'2000'!A356,'Daftar Koreksi'!$G$5:$G$92,"Peralatan dan mesin",'Daftar Koreksi'!$I$5:$I$92,"&gt;0")</f>
        <v>0</v>
      </c>
      <c r="F369" s="25">
        <f>SUMIFS('Daftar Koreksi'!$I$5:$I$92,'Daftar Koreksi'!$D$5:$D$92,'2000'!A356,'Daftar Koreksi'!$G$5:$G$92,"Peralatan dan mesin",'Daftar Koreksi'!$I$5:$I$92,"&lt;0")-SUMIFS('Daftar Koreksi'!$I$5:$I$92,'Daftar Koreksi'!$D$5:$D$92,'2000'!A356,'Daftar Koreksi'!$G$5:$G$92,"Peralatan dan mesin",'Daftar Koreksi'!$I$5:$I$92,"&lt;0")-SUMIFS('Daftar Koreksi'!$I$5:$I$92,'Daftar Koreksi'!$D$5:$D$92,'2000'!A356,'Daftar Koreksi'!$G$5:$G$92,"Peralatan dan mesin",'Daftar Koreksi'!$I$5:$I$92,"&lt;0")</f>
        <v>0</v>
      </c>
      <c r="G369" s="17">
        <f t="shared" si="16"/>
        <v>-392634367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-165158340</v>
      </c>
      <c r="E370" s="25">
        <f>SUMIFS('Daftar Koreksi'!$I$5:$I$92,'Daftar Koreksi'!$D$5:$D$92,'2000'!A356,'Daftar Koreksi'!$G$5:$G$92,"Gedung dan Bangunan",'Daftar Koreksi'!$I$5:$I$92,"&gt;0")</f>
        <v>0</v>
      </c>
      <c r="F370" s="25">
        <f>SUMIFS('Daftar Koreksi'!$I$5:$I$92,'Daftar Koreksi'!$D$5:$D$92,'2000'!A356,'Daftar Koreksi'!$G$5:$G$92,"Gedung dan Bangunan",'Daftar Koreksi'!$I$5:$I$92,"&lt;0")-SUMIFS('Daftar Koreksi'!$I$5:$I$92,'Daftar Koreksi'!$D$5:$D$92,'2000'!A356,'Daftar Koreksi'!$G$5:$G$92,"Gedung dan Bangunan",'Daftar Koreksi'!$I$5:$I$92,"&lt;0")-SUMIFS('Daftar Koreksi'!$I$5:$I$92,'Daftar Koreksi'!$D$5:$D$92,'2000'!A356,'Daftar Koreksi'!$G$5:$G$92,"Gedung dan Bangunan",'Daftar Koreksi'!$I$5:$I$92,"&lt;0")</f>
        <v>0</v>
      </c>
      <c r="G370" s="17">
        <f t="shared" si="16"/>
        <v>-165158340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Koreksi'!$D$5:$D$92,'2000'!A356,'Daftar Koreksi'!$G$5:$G$92,"Jalan Irigasi Jaringan",'Daftar Koreksi'!$I$5:$I$92,"&gt;0")</f>
        <v>0</v>
      </c>
      <c r="F371" s="25">
        <f>SUMIFS('Daftar Koreksi'!$I$5:$I$92,'Daftar Koreksi'!$D$5:$D$92,'2000'!A356,'Daftar Koreksi'!$G$5:$G$92,"Jalan Irigasi Jaringan",'Daftar Koreksi'!$I$5:$I$92,"&lt;0")-SUMIFS('Daftar Koreksi'!$I$5:$I$92,'Daftar Koreksi'!$D$5:$D$92,'2000'!A356,'Daftar Koreksi'!$G$5:$G$92,"Jalan Irigasi Jaringan",'Daftar Koreksi'!$I$5:$I$92,"&lt;0")-SUMIFS('Daftar Koreksi'!$I$5:$I$92,'Daftar Koreksi'!$D$5:$D$92,'2000'!A356,'Daftar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Koreksi'!$D$5:$D$92,'2000'!A356,'Daftar Koreksi'!$G$5:$G$92,"Aset Tetap Lainnya",'Daftar Koreksi'!$I$5:$I$92,"&gt;0")</f>
        <v>0</v>
      </c>
      <c r="F372" s="25">
        <f>SUMIFS('Daftar Koreksi'!$I$5:$I$92,'Daftar Koreksi'!$D$5:$D$92,'2000'!A356,'Daftar Koreksi'!$G$5:$G$92,"Aset Tetap Lainnya",'Daftar Koreksi'!$I$5:$I$92,"&lt;0")-SUMIFS('Daftar Koreksi'!$I$5:$I$92,'Daftar Koreksi'!$D$5:$D$92,'2000'!A356,'Daftar Koreksi'!$G$5:$G$92,"Aset Tetap Lainnya",'Daftar Koreksi'!$I$5:$I$92,"&lt;0")-SUMIFS('Daftar Koreksi'!$I$5:$I$92,'Daftar Koreksi'!$D$5:$D$92,'2000'!A356,'Daftar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Koreksi'!$D$5:$D$92,'2000'!A356,'Daftar Koreksi'!$G$5:$G$92,"Aset Henti Guna",'Daftar Koreksi'!$I$5:$I$92,"&gt;0")</f>
        <v>0</v>
      </c>
      <c r="F373" s="25">
        <f>SUMIFS('Daftar Koreksi'!$I$5:$I$92,'Daftar Koreksi'!$D$5:$D$92,'2000'!A356,'Daftar Koreksi'!$G$5:$G$92,"Aset Henti Guna",'Daftar Koreksi'!$I$5:$I$92,"&lt;0")-SUMIFS('Daftar Koreksi'!$I$5:$I$92,'Daftar Koreksi'!$D$5:$D$92,'2000'!A356,'Daftar Koreksi'!$G$5:$G$92,"Aset Henti Guna",'Daftar Koreksi'!$I$5:$I$92,"&lt;0")-SUMIFS('Daftar Koreksi'!$I$5:$I$92,'Daftar Koreksi'!$D$5:$D$92,'2000'!A356,'Daftar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-557792707</v>
      </c>
      <c r="E374" s="19">
        <f>SUM(E369:E373)</f>
        <v>0</v>
      </c>
      <c r="F374" s="19">
        <f>SUM(F369:F373)</f>
        <v>0</v>
      </c>
      <c r="G374" s="19">
        <f t="shared" si="16"/>
        <v>-557792707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6245857350</v>
      </c>
      <c r="E375" s="19">
        <f>E374+E368</f>
        <v>0</v>
      </c>
      <c r="F375" s="19">
        <f>F374+F368</f>
        <v>0</v>
      </c>
      <c r="G375" s="19">
        <f t="shared" si="16"/>
        <v>6245857350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</sheetData>
  <mergeCells count="102">
    <mergeCell ref="H359:H376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291:H292"/>
    <mergeCell ref="H51:H68"/>
    <mergeCell ref="H73:H90"/>
    <mergeCell ref="H95:H112"/>
    <mergeCell ref="C357:C358"/>
    <mergeCell ref="D357:D358"/>
    <mergeCell ref="E357:F357"/>
    <mergeCell ref="G357:G358"/>
    <mergeCell ref="H357:H358"/>
    <mergeCell ref="C335:C336"/>
    <mergeCell ref="D335:D336"/>
    <mergeCell ref="E335:F335"/>
    <mergeCell ref="G335:G336"/>
    <mergeCell ref="H335:H336"/>
    <mergeCell ref="C313:C314"/>
    <mergeCell ref="D313:D314"/>
    <mergeCell ref="E313:F313"/>
    <mergeCell ref="G313:G314"/>
    <mergeCell ref="H313:H314"/>
    <mergeCell ref="C291:C292"/>
    <mergeCell ref="D291:D292"/>
    <mergeCell ref="E291:F291"/>
    <mergeCell ref="G291:G292"/>
    <mergeCell ref="H337:H354"/>
    <mergeCell ref="C269:C270"/>
    <mergeCell ref="D269:D270"/>
    <mergeCell ref="E269:F269"/>
    <mergeCell ref="G269:G270"/>
    <mergeCell ref="H269:H270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49:C50"/>
    <mergeCell ref="D49:D50"/>
    <mergeCell ref="E49:F49"/>
    <mergeCell ref="G49:G50"/>
    <mergeCell ref="H49:H50"/>
    <mergeCell ref="C27:C28"/>
    <mergeCell ref="D27:D28"/>
    <mergeCell ref="E27:F27"/>
    <mergeCell ref="G27:G28"/>
    <mergeCell ref="H27:H28"/>
    <mergeCell ref="H7:H24"/>
    <mergeCell ref="H29:H46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P24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648</v>
      </c>
      <c r="P1" s="8" t="s">
        <v>1786</v>
      </c>
    </row>
    <row r="2" spans="1:16" ht="19.5" customHeight="1">
      <c r="C2" s="9" t="s">
        <v>2117</v>
      </c>
      <c r="O2" s="8" t="s">
        <v>649</v>
      </c>
      <c r="P2" s="8" t="s">
        <v>1787</v>
      </c>
    </row>
    <row r="3" spans="1:16" ht="19.5" customHeight="1">
      <c r="O3" s="8" t="s">
        <v>650</v>
      </c>
      <c r="P3" s="8" t="s">
        <v>1788</v>
      </c>
    </row>
    <row r="4" spans="1:16" ht="19.5" customHeight="1">
      <c r="A4" s="11" t="str">
        <f>O1</f>
        <v>005012100099691000KD</v>
      </c>
      <c r="B4" s="11" t="str">
        <f>P1</f>
        <v>PT. Ambon</v>
      </c>
      <c r="C4" s="12" t="str">
        <f>A4&amp;" "&amp;B4</f>
        <v>005012100099691000KD PT. Ambon</v>
      </c>
      <c r="D4" s="13"/>
      <c r="E4" s="13"/>
      <c r="F4" s="13"/>
      <c r="G4" s="13"/>
      <c r="H4" s="11"/>
      <c r="O4" s="8" t="s">
        <v>651</v>
      </c>
      <c r="P4" s="8" t="s">
        <v>1789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652</v>
      </c>
      <c r="P5" s="8" t="s">
        <v>1790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653</v>
      </c>
      <c r="P6" s="8" t="s">
        <v>1791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210000</v>
      </c>
      <c r="E7" s="25">
        <f>SUMIFS('Daftar Koreksi'!$H$5:$H$92,'Daftar Koreksi'!$D$5:$D$92,'2100'!A4,'Daftar Koreksi'!$G$5:$G$92,"Persediaan",'Daftar Koreksi'!$H$5:$H$92,"&gt;0")</f>
        <v>0</v>
      </c>
      <c r="F7" s="25">
        <f>SUMIFS('Daftar Koreksi'!$H$5:$H$92,'Daftar Koreksi'!$D$5:$D$92,'2100'!A4,'Daftar Koreksi'!$G$5:$G$92,"Persediaan",'Daftar Koreksi'!$H$5:$H$92,"&lt;0")-SUMIFS('Daftar Koreksi'!$H$5:$H$92,'Daftar Koreksi'!$D$5:$D$92,'2100'!A4,'Daftar Koreksi'!$G$5:$G$92,"Persediaan",'Daftar Koreksi'!$H$5:$H$92,"&lt;0")-SUMIFS('Daftar Koreksi'!$H$5:$H$92,'Daftar Koreksi'!$D$5:$D$92,'2100'!A4,'Daftar Koreksi'!$G$5:$G$92,"Persediaan",'Daftar Koreksi'!$H$5:$H$92,"&lt;0")</f>
        <v>0</v>
      </c>
      <c r="G7" s="17">
        <f>D7+E7-F7</f>
        <v>210000</v>
      </c>
      <c r="H7" s="121" t="str">
        <f>IF(ISNA(VLOOKUP(A4,'Mutasi Neraca'!$A$3:$S$914,19,FALSE)),"-",VLOOKUP(A4,'Mutasi Neraca'!$A$3:$S$914,19,FALSE))</f>
        <v>-</v>
      </c>
      <c r="O7" s="8" t="s">
        <v>654</v>
      </c>
      <c r="P7" s="8" t="s">
        <v>1792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5508984000</v>
      </c>
      <c r="E8" s="25">
        <f>SUMIFS('Daftar Koreksi'!$H$5:$H$92,'Daftar Koreksi'!$D$5:$D$92,'2100'!A4,'Daftar Koreksi'!$G$5:$G$92,"Tanah",'Daftar Koreksi'!$H$5:$H$92,"&gt;0")</f>
        <v>0</v>
      </c>
      <c r="F8" s="25">
        <f>SUMIFS('Daftar Koreksi'!$H$5:$H$92,'Daftar Koreksi'!$D$5:$D$92,'2100'!A4,'Daftar Koreksi'!$G$5:$G$92,"Tanah",'Daftar Koreksi'!$H$5:$H$92,"&lt;0")-SUMIFS('Daftar Koreksi'!$H$5:$H$92,'Daftar Koreksi'!$D$5:$D$92,'2100'!A4,'Daftar Koreksi'!$G$5:$G$92,"Tanah",'Daftar Koreksi'!$H$5:$H$92,"&lt;0")-SUMIFS('Daftar Koreksi'!$H$5:$H$92,'Daftar Koreksi'!$D$5:$D$92,'2100'!A4,'Daftar Koreksi'!$G$5:$G$92,"Tanah",'Daftar Koreksi'!$H$5:$H$92,"&lt;0")</f>
        <v>0</v>
      </c>
      <c r="G8" s="17">
        <f t="shared" ref="G8:G24" si="0">D8+E8-F8</f>
        <v>5508984000</v>
      </c>
      <c r="H8" s="122"/>
      <c r="O8" s="8" t="s">
        <v>655</v>
      </c>
      <c r="P8" s="8" t="s">
        <v>1793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3682700516</v>
      </c>
      <c r="E9" s="25">
        <f>SUMIFS('Daftar Koreksi'!$H$5:$H$92,'Daftar Koreksi'!$D$5:$D$92,'2100'!A4,'Daftar Koreksi'!$G$5:$G$92,"Peralatan dan mesin",'Daftar Koreksi'!$H$5:$H$92,"&gt;0")</f>
        <v>0</v>
      </c>
      <c r="F9" s="25">
        <f>SUMIFS('Daftar Koreksi'!$H$5:$H$92,'Daftar Koreksi'!$D$5:$D$92,'2100'!A4,'Daftar Koreksi'!$G$5:$G$92,"Peralatan dan mesin",'Daftar Koreksi'!$H$5:$H$92,"&lt;0")-SUMIFS('Daftar Koreksi'!$H$5:$H$92,'Daftar Koreksi'!$D$5:$D$92,'2100'!A4,'Daftar Koreksi'!$G$5:$G$92,"Peralatan dan mesin",'Daftar Koreksi'!$H$5:$H$92,"&lt;0")-SUMIFS('Daftar Koreksi'!$H$5:$H$92,'Daftar Koreksi'!$D$5:$D$92,'2100'!A4,'Daftar Koreksi'!$G$5:$G$92,"Peralatan dan mesin",'Daftar Koreksi'!$H$5:$H$92,"&lt;0")</f>
        <v>0</v>
      </c>
      <c r="G9" s="17">
        <f t="shared" si="0"/>
        <v>3682700516</v>
      </c>
      <c r="H9" s="122"/>
      <c r="O9" s="8" t="s">
        <v>656</v>
      </c>
      <c r="P9" s="8" t="s">
        <v>1794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16945934900</v>
      </c>
      <c r="E10" s="25">
        <f>SUMIFS('Daftar Koreksi'!$H$5:$H$92,'Daftar Koreksi'!$D$5:$D$92,'2100'!A4,'Daftar Koreksi'!$G$5:$G$92,"Gedung dan Bangunan",'Daftar Koreksi'!$H$5:$H$92,"&gt;0")</f>
        <v>0</v>
      </c>
      <c r="F10" s="25">
        <f>SUMIFS('Daftar Koreksi'!$H$5:$H$92,'Daftar Koreksi'!$D$5:$D$92,'2100'!A4,'Daftar Koreksi'!$G$5:$G$92,"Gedung dan Bangunan",'Daftar Koreksi'!$H$5:$H$92,"&lt;0")-SUMIFS('Daftar Koreksi'!$H$5:$H$92,'Daftar Koreksi'!$D$5:$D$92,'2100'!A4,'Daftar Koreksi'!$G$5:$G$92,"Gedung dan Bangunan",'Daftar Koreksi'!$H$5:$H$92,"&lt;0")-SUMIFS('Daftar Koreksi'!$H$5:$H$92,'Daftar Koreksi'!$D$5:$D$92,'2100'!A4,'Daftar Koreksi'!$G$5:$G$92,"Gedung dan Bangunan",'Daftar Koreksi'!$H$5:$H$92,"&lt;0")</f>
        <v>0</v>
      </c>
      <c r="G10" s="17">
        <f t="shared" si="0"/>
        <v>16945934900</v>
      </c>
      <c r="H10" s="122"/>
      <c r="O10" s="8" t="s">
        <v>657</v>
      </c>
      <c r="P10" s="8" t="s">
        <v>1795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281355000</v>
      </c>
      <c r="E11" s="25">
        <f>SUMIFS('Daftar Koreksi'!$H$5:$H$92,'Daftar Koreksi'!$D$5:$D$92,'2100'!A4,'Daftar Koreksi'!$G$5:$G$92,"Jalan Irigasi Jaringan",'Daftar Koreksi'!$H$5:$H$92,"&gt;0")</f>
        <v>0</v>
      </c>
      <c r="F11" s="25">
        <f>SUMIFS('Daftar Koreksi'!$H$5:$H$92,'Daftar Koreksi'!$D$5:$D$92,'2100'!A4,'Daftar Koreksi'!$G$5:$G$92,"Jalan Irigasi Jaringan",'Daftar Koreksi'!$H$5:$H$92,"&lt;0")-SUMIFS('Daftar Koreksi'!$H$5:$H$92,'Daftar Koreksi'!$D$5:$D$92,'2100'!A4,'Daftar Koreksi'!$G$5:$G$92,"Jalan Irigasi Jaringan",'Daftar Koreksi'!$H$5:$H$92,"&lt;0")-SUMIFS('Daftar Koreksi'!$H$5:$H$92,'Daftar Koreksi'!$D$5:$D$92,'2100'!A4,'Daftar Koreksi'!$G$5:$G$92,"Jalan Irigasi Jaringan",'Daftar Koreksi'!$H$5:$H$92,"&lt;0")</f>
        <v>0</v>
      </c>
      <c r="G11" s="17">
        <f t="shared" si="0"/>
        <v>281355000</v>
      </c>
      <c r="H11" s="122"/>
      <c r="O11" s="8" t="s">
        <v>658</v>
      </c>
      <c r="P11" s="8" t="s">
        <v>1796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7600796</v>
      </c>
      <c r="E12" s="25">
        <f>SUMIFS('Daftar Koreksi'!$H$5:$H$92,'Daftar Koreksi'!$D$5:$D$92,'2100'!A4,'Daftar Koreksi'!$G$5:$G$92,"Aset Tetap Lainnya",'Daftar Koreksi'!$H$5:$H$92,"&gt;0")</f>
        <v>0</v>
      </c>
      <c r="F12" s="25">
        <f>SUMIFS('Daftar Koreksi'!$H$5:$H$92,'Daftar Koreksi'!$D$5:$D$92,'2100'!A4,'Daftar Koreksi'!$G$5:$G$92,"Aset Tetap Lainnya",'Daftar Koreksi'!$H$5:$H$92,"&lt;0")-SUMIFS('Daftar Koreksi'!$H$5:$H$92,'Daftar Koreksi'!$D$5:$D$92,'2100'!A4,'Daftar Koreksi'!$G$5:$G$92,"Aset Tetap Lainnya",'Daftar Koreksi'!$H$5:$H$92,"&lt;0")-SUMIFS('Daftar Koreksi'!$H$5:$H$92,'Daftar Koreksi'!$D$5:$D$92,'2100'!A4,'Daftar Koreksi'!$G$5:$G$92,"Aset Tetap Lainnya",'Daftar Koreksi'!$H$5:$H$92,"&lt;0")</f>
        <v>0</v>
      </c>
      <c r="G12" s="17">
        <f t="shared" si="0"/>
        <v>7600796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Koreksi'!$D$5:$D$92,'2100'!A4,'Daftar Koreksi'!$G$5:$G$92,"Kontruksi Dalam Pengerjaan",'Daftar Koreksi'!$H$5:$H$92,"&gt;0")</f>
        <v>0</v>
      </c>
      <c r="F13" s="25">
        <f>SUMIFS('Daftar Koreksi'!$H$5:$H$92,'Daftar Koreksi'!$D$5:$D$92,'2100'!A4,'Daftar Koreksi'!$G$5:$G$92,"Kontruksi Dalam Pengerjaan",'Daftar Koreksi'!$H$5:$H$92,"&lt;0")-SUMIFS('Daftar Koreksi'!$H$5:$H$92,'Daftar Koreksi'!$D$5:$D$92,'2100'!A4,'Daftar Koreksi'!$G$5:$G$92,"Kontruksi Dalam Pengerjaan",'Daftar Koreksi'!$H$5:$H$92,"&lt;0")-SUMIFS('Daftar Koreksi'!$H$5:$H$92,'Daftar Koreksi'!$D$5:$D$92,'2100'!A4,'Daftar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Koreksi'!$D$5:$D$92,'2100'!A4,'Daftar Koreksi'!$G$5:$G$92,"Aset Tak Berwujud",'Daftar Koreksi'!$H$5:$H$92,"&gt;0")</f>
        <v>0</v>
      </c>
      <c r="F14" s="25">
        <f>SUMIFS('Daftar Koreksi'!$H$5:$H$92,'Daftar Koreksi'!$D$5:$D$92,'2100'!A4,'Daftar Koreksi'!$G$5:$G$92,"Aset Tak Berwujud",'Daftar Koreksi'!$H$5:$H$92,"&lt;0")-SUMIFS('Daftar Koreksi'!$H$5:$H$92,'Daftar Koreksi'!$D$5:$D$92,'2100'!A4,'Daftar Koreksi'!$G$5:$G$92,"Aset Tak Berwujud",'Daftar Koreksi'!$H$5:$H$92,"&lt;0")-SUMIFS('Daftar Koreksi'!$H$5:$H$92,'Daftar Koreksi'!$D$5:$D$92,'2100'!A4,'Daftar Koreksi'!$G$5:$G$92,"Aset Tak Berwujud",'Daftar Koreksi'!$H$5:$H$92,"&lt;0")</f>
        <v>0</v>
      </c>
      <c r="G14" s="17">
        <f t="shared" si="0"/>
        <v>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9446000</v>
      </c>
      <c r="E15" s="25">
        <f>SUMIFS('Daftar Koreksi'!$H$5:$H$92,'Daftar Koreksi'!$D$5:$D$92,'2100'!A4,'Daftar Koreksi'!$G$5:$G$92,"Aset Henti Guna",'Daftar Koreksi'!$H$5:$H$92,"&gt;0")</f>
        <v>0</v>
      </c>
      <c r="F15" s="25">
        <f>SUMIFS('Daftar Koreksi'!$H$5:$H$92,'Daftar Koreksi'!$D$5:$D$92,'2100'!A4,'Daftar Koreksi'!$G$5:$G$92,"Aset Henti Guna",'Daftar Koreksi'!$H$5:$H$92,"&lt;0")-SUMIFS('Daftar Koreksi'!$H$5:$H$92,'Daftar Koreksi'!$D$5:$D$92,'2100'!A4,'Daftar Koreksi'!$G$5:$G$92,"Aset Henti Guna",'Daftar Koreksi'!$H$5:$H$92,"&lt;0")-SUMIFS('Daftar Koreksi'!$H$5:$H$92,'Daftar Koreksi'!$D$5:$D$92,'2100'!A4,'Daftar Koreksi'!$G$5:$G$92,"Aset Henti Guna",'Daftar Koreksi'!$H$5:$H$92,"&lt;0")</f>
        <v>0</v>
      </c>
      <c r="G15" s="17">
        <f t="shared" si="0"/>
        <v>9446000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26436231212</v>
      </c>
      <c r="E16" s="19">
        <f>SUM(E7:E15)</f>
        <v>0</v>
      </c>
      <c r="F16" s="19">
        <f>SUM(F7:F15)</f>
        <v>0</v>
      </c>
      <c r="G16" s="19">
        <f t="shared" si="0"/>
        <v>26436231212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-3295117399</v>
      </c>
      <c r="E17" s="25">
        <f>SUMIFS('Daftar Koreksi'!$I$5:$I$92,'Daftar Koreksi'!$D$5:$D$92,'2100'!A4,'Daftar Koreksi'!$G$5:$G$92,"Peralatan dan mesin",'Daftar Koreksi'!$I$5:$I$92,"&gt;0")</f>
        <v>0</v>
      </c>
      <c r="F17" s="25">
        <f>SUMIFS('Daftar Koreksi'!$I$5:$I$92,'Daftar Koreksi'!$D$5:$D$92,'2100'!A4,'Daftar Koreksi'!$G$5:$G$92,"Peralatan dan mesin",'Daftar Koreksi'!$I$5:$I$92,"&lt;0")-SUMIFS('Daftar Koreksi'!$I$5:$I$92,'Daftar Koreksi'!$D$5:$D$92,'2100'!A4,'Daftar Koreksi'!$G$5:$G$92,"Peralatan dan mesin",'Daftar Koreksi'!$I$5:$I$92,"&lt;0")-SUMIFS('Daftar Koreksi'!$I$5:$I$92,'Daftar Koreksi'!$D$5:$D$92,'2100'!A4,'Daftar Koreksi'!$G$5:$G$92,"Peralatan dan mesin",'Daftar Koreksi'!$I$5:$I$92,"&lt;0")</f>
        <v>0</v>
      </c>
      <c r="G17" s="17">
        <f t="shared" si="0"/>
        <v>-3295117399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-1377045528</v>
      </c>
      <c r="E18" s="25">
        <f>SUMIFS('Daftar Koreksi'!$I$5:$I$92,'Daftar Koreksi'!$D$5:$D$92,'2100'!A4,'Daftar Koreksi'!$G$5:$G$92,"Gedung dan Bangunan",'Daftar Koreksi'!$I$5:$I$92,"&gt;0")</f>
        <v>0</v>
      </c>
      <c r="F18" s="25">
        <f>SUMIFS('Daftar Koreksi'!$I$5:$I$92,'Daftar Koreksi'!$D$5:$D$92,'2100'!A4,'Daftar Koreksi'!$G$5:$G$92,"Gedung dan Bangunan",'Daftar Koreksi'!$I$5:$I$92,"&lt;0")-SUMIFS('Daftar Koreksi'!$I$5:$I$92,'Daftar Koreksi'!$D$5:$D$92,'2100'!A4,'Daftar Koreksi'!$G$5:$G$92,"Gedung dan Bangunan",'Daftar Koreksi'!$I$5:$I$92,"&lt;0")-SUMIFS('Daftar Koreksi'!$I$5:$I$92,'Daftar Koreksi'!$D$5:$D$92,'2100'!A4,'Daftar Koreksi'!$G$5:$G$92,"Gedung dan Bangunan",'Daftar Koreksi'!$I$5:$I$92,"&lt;0")</f>
        <v>0</v>
      </c>
      <c r="G18" s="17">
        <f t="shared" si="0"/>
        <v>-1377045528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-30706405</v>
      </c>
      <c r="E19" s="25">
        <f>SUMIFS('Daftar Koreksi'!$I$5:$I$92,'Daftar Koreksi'!$D$5:$D$92,'2100'!A4,'Daftar Koreksi'!$G$5:$G$92,"Jalan Irigasi Jaringan",'Daftar Koreksi'!$I$5:$I$92,"&gt;0")</f>
        <v>0</v>
      </c>
      <c r="F19" s="25">
        <f>SUMIFS('Daftar Koreksi'!$I$5:$I$92,'Daftar Koreksi'!$D$5:$D$92,'2100'!A4,'Daftar Koreksi'!$G$5:$G$92,"Jalan Irigasi Jaringan",'Daftar Koreksi'!$I$5:$I$92,"&lt;0")-SUMIFS('Daftar Koreksi'!$I$5:$I$92,'Daftar Koreksi'!$D$5:$D$92,'2100'!A4,'Daftar Koreksi'!$G$5:$G$92,"Jalan Irigasi Jaringan",'Daftar Koreksi'!$I$5:$I$92,"&lt;0")-SUMIFS('Daftar Koreksi'!$I$5:$I$92,'Daftar Koreksi'!$D$5:$D$92,'2100'!A4,'Daftar Koreksi'!$G$5:$G$92,"Jalan Irigasi Jaringan",'Daftar Koreksi'!$I$5:$I$92,"&lt;0")</f>
        <v>0</v>
      </c>
      <c r="G19" s="17">
        <f t="shared" si="0"/>
        <v>-30706405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Koreksi'!$D$5:$D$92,'2100'!A4,'Daftar Koreksi'!$G$5:$G$92,"Aset Tetap Lainnya",'Daftar Koreksi'!$I$5:$I$92,"&gt;0")</f>
        <v>0</v>
      </c>
      <c r="F20" s="25">
        <f>SUMIFS('Daftar Koreksi'!$I$5:$I$92,'Daftar Koreksi'!$D$5:$D$92,'2100'!A4,'Daftar Koreksi'!$G$5:$G$92,"Aset Tetap Lainnya",'Daftar Koreksi'!$I$5:$I$92,"&lt;0")-SUMIFS('Daftar Koreksi'!$I$5:$I$92,'Daftar Koreksi'!$D$5:$D$92,'2100'!A4,'Daftar Koreksi'!$G$5:$G$92,"Aset Tetap Lainnya",'Daftar Koreksi'!$I$5:$I$92,"&lt;0")-SUMIFS('Daftar Koreksi'!$I$5:$I$92,'Daftar Koreksi'!$D$5:$D$92,'2100'!A4,'Daftar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-9446000</v>
      </c>
      <c r="E21" s="25">
        <f>SUMIFS('Daftar Koreksi'!$I$5:$I$92,'Daftar Koreksi'!$D$5:$D$92,'2100'!A4,'Daftar Koreksi'!$G$5:$G$92,"Aset Henti Guna",'Daftar Koreksi'!$I$5:$I$92,"&gt;0")</f>
        <v>0</v>
      </c>
      <c r="F21" s="25">
        <f>SUMIFS('Daftar Koreksi'!$I$5:$I$92,'Daftar Koreksi'!$D$5:$D$92,'2100'!A4,'Daftar Koreksi'!$G$5:$G$92,"Aset Henti Guna",'Daftar Koreksi'!$I$5:$I$92,"&lt;0")-SUMIFS('Daftar Koreksi'!$I$5:$I$92,'Daftar Koreksi'!$D$5:$D$92,'2100'!A4,'Daftar Koreksi'!$G$5:$G$92,"Aset Henti Guna",'Daftar Koreksi'!$I$5:$I$92,"&lt;0")-SUMIFS('Daftar Koreksi'!$I$5:$I$92,'Daftar Koreksi'!$D$5:$D$92,'2100'!A4,'Daftar Koreksi'!$G$5:$G$92,"Aset Henti Guna",'Daftar Koreksi'!$I$5:$I$92,"&lt;0")</f>
        <v>0</v>
      </c>
      <c r="G21" s="17">
        <f t="shared" si="0"/>
        <v>-9446000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-4712315332</v>
      </c>
      <c r="E22" s="19">
        <f>SUM(E17:E21)</f>
        <v>0</v>
      </c>
      <c r="F22" s="19">
        <f>SUM(F17:F21)</f>
        <v>0</v>
      </c>
      <c r="G22" s="19">
        <f t="shared" si="0"/>
        <v>-4712315332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21723915880</v>
      </c>
      <c r="E23" s="19">
        <f>E22+E16</f>
        <v>0</v>
      </c>
      <c r="F23" s="19">
        <f>F22+F16</f>
        <v>0</v>
      </c>
      <c r="G23" s="19">
        <f t="shared" si="0"/>
        <v>21723915880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005012100099706000KD</v>
      </c>
      <c r="B26" s="11" t="str">
        <f>P2</f>
        <v>PN. Ambon</v>
      </c>
      <c r="C26" s="12" t="str">
        <f>A26&amp;" "&amp;B26</f>
        <v>005012100099706000KD PN. Ambon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330500</v>
      </c>
      <c r="E29" s="25">
        <f>SUMIFS('Daftar Koreksi'!$H$5:$H$92,'Daftar Koreksi'!$D$5:$D$92,'2100'!A26,'Daftar Koreksi'!$G$5:$G$92,"Persediaan",'Daftar Koreksi'!$H$5:$H$92,"&gt;0")</f>
        <v>0</v>
      </c>
      <c r="F29" s="25">
        <f>SUMIFS('Daftar Koreksi'!$H$5:$H$92,'Daftar Koreksi'!$D$5:$D$92,'2100'!A26,'Daftar Koreksi'!$G$5:$G$92,"Persediaan",'Daftar Koreksi'!$H$5:$H$92,"&lt;0")-SUMIFS('Daftar Koreksi'!$H$5:$H$92,'Daftar Koreksi'!$D$5:$D$92,'2100'!A26,'Daftar Koreksi'!$G$5:$G$92,"Persediaan",'Daftar Koreksi'!$H$5:$H$92,"&lt;0")-SUMIFS('Daftar Koreksi'!$H$5:$H$92,'Daftar Koreksi'!$D$5:$D$92,'2100'!A26,'Daftar Koreksi'!$G$5:$G$92,"Persediaan",'Daftar Koreksi'!$H$5:$H$92,"&lt;0")</f>
        <v>0</v>
      </c>
      <c r="G29" s="17">
        <f>D29+E29-F29</f>
        <v>330500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12166950000</v>
      </c>
      <c r="E30" s="25">
        <f>SUMIFS('Daftar Koreksi'!$H$5:$H$92,'Daftar Koreksi'!$D$5:$D$92,'2100'!A26,'Daftar Koreksi'!$G$5:$G$92,"Tanah",'Daftar Koreksi'!$H$5:$H$92,"&gt;0")</f>
        <v>0</v>
      </c>
      <c r="F30" s="25">
        <f>SUMIFS('Daftar Koreksi'!$H$5:$H$92,'Daftar Koreksi'!$D$5:$D$92,'2100'!A26,'Daftar Koreksi'!$G$5:$G$92,"Tanah",'Daftar Koreksi'!$H$5:$H$92,"&lt;0")-SUMIFS('Daftar Koreksi'!$H$5:$H$92,'Daftar Koreksi'!$D$5:$D$92,'2100'!A26,'Daftar Koreksi'!$G$5:$G$92,"Tanah",'Daftar Koreksi'!$H$5:$H$92,"&lt;0")-SUMIFS('Daftar Koreksi'!$H$5:$H$92,'Daftar Koreksi'!$D$5:$D$92,'2100'!A26,'Daftar Koreksi'!$G$5:$G$92,"Tanah",'Daftar Koreksi'!$H$5:$H$92,"&lt;0")</f>
        <v>0</v>
      </c>
      <c r="G30" s="17">
        <f t="shared" ref="G30:G46" si="1">D30+E30-F30</f>
        <v>12166950000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3213002259</v>
      </c>
      <c r="E31" s="25">
        <f>SUMIFS('Daftar Koreksi'!$H$5:$H$92,'Daftar Koreksi'!$D$5:$D$92,'2100'!A26,'Daftar Koreksi'!$G$5:$G$92,"Peralatan dan mesin",'Daftar Koreksi'!$H$5:$H$92,"&gt;0")</f>
        <v>0</v>
      </c>
      <c r="F31" s="25">
        <f>SUMIFS('Daftar Koreksi'!$H$5:$H$92,'Daftar Koreksi'!$D$5:$D$92,'2100'!A26,'Daftar Koreksi'!$G$5:$G$92,"Peralatan dan mesin",'Daftar Koreksi'!$H$5:$H$92,"&lt;0")-SUMIFS('Daftar Koreksi'!$H$5:$H$92,'Daftar Koreksi'!$D$5:$D$92,'2100'!A26,'Daftar Koreksi'!$G$5:$G$92,"Peralatan dan mesin",'Daftar Koreksi'!$H$5:$H$92,"&lt;0")-SUMIFS('Daftar Koreksi'!$H$5:$H$92,'Daftar Koreksi'!$D$5:$D$92,'2100'!A26,'Daftar Koreksi'!$G$5:$G$92,"Peralatan dan mesin",'Daftar Koreksi'!$H$5:$H$92,"&lt;0")</f>
        <v>0</v>
      </c>
      <c r="G31" s="17">
        <f t="shared" si="1"/>
        <v>3213002259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20653415249</v>
      </c>
      <c r="E32" s="25">
        <f>SUMIFS('Daftar Koreksi'!$H$5:$H$92,'Daftar Koreksi'!$D$5:$D$92,'2100'!A26,'Daftar Koreksi'!$G$5:$G$92,"Gedung dan Bangunan",'Daftar Koreksi'!$H$5:$H$92,"&gt;0")</f>
        <v>0</v>
      </c>
      <c r="F32" s="25">
        <f>SUMIFS('Daftar Koreksi'!$H$5:$H$92,'Daftar Koreksi'!$D$5:$D$92,'2100'!A26,'Daftar Koreksi'!$G$5:$G$92,"Gedung dan Bangunan",'Daftar Koreksi'!$H$5:$H$92,"&lt;0")-SUMIFS('Daftar Koreksi'!$H$5:$H$92,'Daftar Koreksi'!$D$5:$D$92,'2100'!A26,'Daftar Koreksi'!$G$5:$G$92,"Gedung dan Bangunan",'Daftar Koreksi'!$H$5:$H$92,"&lt;0")-SUMIFS('Daftar Koreksi'!$H$5:$H$92,'Daftar Koreksi'!$D$5:$D$92,'2100'!A26,'Daftar Koreksi'!$G$5:$G$92,"Gedung dan Bangunan",'Daftar Koreksi'!$H$5:$H$92,"&lt;0")</f>
        <v>0</v>
      </c>
      <c r="G32" s="17">
        <f t="shared" si="1"/>
        <v>20653415249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84496000</v>
      </c>
      <c r="E33" s="25">
        <f>SUMIFS('Daftar Koreksi'!$H$5:$H$92,'Daftar Koreksi'!$D$5:$D$92,'2100'!A26,'Daftar Koreksi'!$G$5:$G$92,"Jalan Irigasi Jaringan",'Daftar Koreksi'!$H$5:$H$92,"&gt;0")</f>
        <v>0</v>
      </c>
      <c r="F33" s="25">
        <f>SUMIFS('Daftar Koreksi'!$H$5:$H$92,'Daftar Koreksi'!$D$5:$D$92,'2100'!A26,'Daftar Koreksi'!$G$5:$G$92,"Jalan Irigasi Jaringan",'Daftar Koreksi'!$H$5:$H$92,"&lt;0")-SUMIFS('Daftar Koreksi'!$H$5:$H$92,'Daftar Koreksi'!$D$5:$D$92,'2100'!A26,'Daftar Koreksi'!$G$5:$G$92,"Jalan Irigasi Jaringan",'Daftar Koreksi'!$H$5:$H$92,"&lt;0")-SUMIFS('Daftar Koreksi'!$H$5:$H$92,'Daftar Koreksi'!$D$5:$D$92,'2100'!A26,'Daftar Koreksi'!$G$5:$G$92,"Jalan Irigasi Jaringan",'Daftar Koreksi'!$H$5:$H$92,"&lt;0")</f>
        <v>0</v>
      </c>
      <c r="G33" s="17">
        <f t="shared" si="1"/>
        <v>84496000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1943440</v>
      </c>
      <c r="E34" s="25">
        <f>SUMIFS('Daftar Koreksi'!$H$5:$H$92,'Daftar Koreksi'!$D$5:$D$92,'2100'!A26,'Daftar Koreksi'!$G$5:$G$92,"Aset Tetap Lainnya",'Daftar Koreksi'!$H$5:$H$92,"&gt;0")</f>
        <v>0</v>
      </c>
      <c r="F34" s="25">
        <f>SUMIFS('Daftar Koreksi'!$H$5:$H$92,'Daftar Koreksi'!$D$5:$D$92,'2100'!A26,'Daftar Koreksi'!$G$5:$G$92,"Aset Tetap Lainnya",'Daftar Koreksi'!$H$5:$H$92,"&lt;0")-SUMIFS('Daftar Koreksi'!$H$5:$H$92,'Daftar Koreksi'!$D$5:$D$92,'2100'!A26,'Daftar Koreksi'!$G$5:$G$92,"Aset Tetap Lainnya",'Daftar Koreksi'!$H$5:$H$92,"&lt;0")-SUMIFS('Daftar Koreksi'!$H$5:$H$92,'Daftar Koreksi'!$D$5:$D$92,'2100'!A26,'Daftar Koreksi'!$G$5:$G$92,"Aset Tetap Lainnya",'Daftar Koreksi'!$H$5:$H$92,"&lt;0")</f>
        <v>0</v>
      </c>
      <c r="G34" s="17">
        <f t="shared" si="1"/>
        <v>1943440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Koreksi'!$D$5:$D$92,'2100'!A26,'Daftar Koreksi'!$G$5:$G$92,"Kontruksi Dalam Pengerjaan",'Daftar Koreksi'!$H$5:$H$92,"&gt;0")</f>
        <v>0</v>
      </c>
      <c r="F35" s="25">
        <f>SUMIFS('Daftar Koreksi'!$H$5:$H$92,'Daftar Koreksi'!$D$5:$D$92,'2100'!A26,'Daftar Koreksi'!$G$5:$G$92,"Kontruksi Dalam Pengerjaan",'Daftar Koreksi'!$H$5:$H$92,"&lt;0")-SUMIFS('Daftar Koreksi'!$H$5:$H$92,'Daftar Koreksi'!$D$5:$D$92,'2100'!A26,'Daftar Koreksi'!$G$5:$G$92,"Kontruksi Dalam Pengerjaan",'Daftar Koreksi'!$H$5:$H$92,"&lt;0")-SUMIFS('Daftar Koreksi'!$H$5:$H$92,'Daftar Koreksi'!$D$5:$D$92,'2100'!A26,'Daftar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Koreksi'!$D$5:$D$92,'2100'!A26,'Daftar Koreksi'!$G$5:$G$92,"Aset Tak Berwujud",'Daftar Koreksi'!$H$5:$H$92,"&gt;0")</f>
        <v>0</v>
      </c>
      <c r="F36" s="25">
        <f>SUMIFS('Daftar Koreksi'!$H$5:$H$92,'Daftar Koreksi'!$D$5:$D$92,'2100'!A26,'Daftar Koreksi'!$G$5:$G$92,"Aset Tak Berwujud",'Daftar Koreksi'!$H$5:$H$92,"&lt;0")-SUMIFS('Daftar Koreksi'!$H$5:$H$92,'Daftar Koreksi'!$D$5:$D$92,'2100'!A26,'Daftar Koreksi'!$G$5:$G$92,"Aset Tak Berwujud",'Daftar Koreksi'!$H$5:$H$92,"&lt;0")-SUMIFS('Daftar Koreksi'!$H$5:$H$92,'Daftar Koreksi'!$D$5:$D$92,'2100'!A26,'Daftar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246000000</v>
      </c>
      <c r="E37" s="25">
        <f>SUMIFS('Daftar Koreksi'!$H$5:$H$92,'Daftar Koreksi'!$D$5:$D$92,'2100'!A26,'Daftar Koreksi'!$G$5:$G$92,"Aset Henti Guna",'Daftar Koreksi'!$H$5:$H$92,"&gt;0")</f>
        <v>0</v>
      </c>
      <c r="F37" s="25">
        <f>SUMIFS('Daftar Koreksi'!$H$5:$H$92,'Daftar Koreksi'!$D$5:$D$92,'2100'!A26,'Daftar Koreksi'!$G$5:$G$92,"Aset Henti Guna",'Daftar Koreksi'!$H$5:$H$92,"&lt;0")-SUMIFS('Daftar Koreksi'!$H$5:$H$92,'Daftar Koreksi'!$D$5:$D$92,'2100'!A26,'Daftar Koreksi'!$G$5:$G$92,"Aset Henti Guna",'Daftar Koreksi'!$H$5:$H$92,"&lt;0")-SUMIFS('Daftar Koreksi'!$H$5:$H$92,'Daftar Koreksi'!$D$5:$D$92,'2100'!A26,'Daftar Koreksi'!$G$5:$G$92,"Aset Henti Guna",'Daftar Koreksi'!$H$5:$H$92,"&lt;0")</f>
        <v>0</v>
      </c>
      <c r="G37" s="17">
        <f t="shared" si="1"/>
        <v>246000000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36366137448</v>
      </c>
      <c r="E38" s="19">
        <f>SUM(E29:E37)</f>
        <v>0</v>
      </c>
      <c r="F38" s="19">
        <f>SUM(F29:F37)</f>
        <v>0</v>
      </c>
      <c r="G38" s="19">
        <f t="shared" si="1"/>
        <v>36366137448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-2511223420</v>
      </c>
      <c r="E39" s="25">
        <f>SUMIFS('Daftar Koreksi'!$I$5:$I$92,'Daftar Koreksi'!$D$5:$D$92,'2100'!A26,'Daftar Koreksi'!$G$5:$G$92,"Peralatan dan mesin",'Daftar Koreksi'!$I$5:$I$92,"&gt;0")</f>
        <v>0</v>
      </c>
      <c r="F39" s="25">
        <f>SUMIFS('Daftar Koreksi'!$I$5:$I$92,'Daftar Koreksi'!$D$5:$D$92,'2100'!A26,'Daftar Koreksi'!$G$5:$G$92,"Peralatan dan mesin",'Daftar Koreksi'!$I$5:$I$92,"&lt;0")-SUMIFS('Daftar Koreksi'!$I$5:$I$92,'Daftar Koreksi'!$D$5:$D$92,'2100'!A26,'Daftar Koreksi'!$G$5:$G$92,"Peralatan dan mesin",'Daftar Koreksi'!$I$5:$I$92,"&lt;0")-SUMIFS('Daftar Koreksi'!$I$5:$I$92,'Daftar Koreksi'!$D$5:$D$92,'2100'!A26,'Daftar Koreksi'!$G$5:$G$92,"Peralatan dan mesin",'Daftar Koreksi'!$I$5:$I$92,"&lt;0")</f>
        <v>0</v>
      </c>
      <c r="G39" s="17">
        <f t="shared" si="1"/>
        <v>-2511223420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-1226179923</v>
      </c>
      <c r="E40" s="25">
        <f>SUMIFS('Daftar Koreksi'!$I$5:$I$92,'Daftar Koreksi'!$D$5:$D$92,'2100'!A26,'Daftar Koreksi'!$G$5:$G$92,"Gedung dan Bangunan",'Daftar Koreksi'!$I$5:$I$92,"&gt;0")</f>
        <v>0</v>
      </c>
      <c r="F40" s="25">
        <f>SUMIFS('Daftar Koreksi'!$I$5:$I$92,'Daftar Koreksi'!$D$5:$D$92,'2100'!A26,'Daftar Koreksi'!$G$5:$G$92,"Gedung dan Bangunan",'Daftar Koreksi'!$I$5:$I$92,"&lt;0")-SUMIFS('Daftar Koreksi'!$I$5:$I$92,'Daftar Koreksi'!$D$5:$D$92,'2100'!A26,'Daftar Koreksi'!$G$5:$G$92,"Gedung dan Bangunan",'Daftar Koreksi'!$I$5:$I$92,"&lt;0")-SUMIFS('Daftar Koreksi'!$I$5:$I$92,'Daftar Koreksi'!$D$5:$D$92,'2100'!A26,'Daftar Koreksi'!$G$5:$G$92,"Gedung dan Bangunan",'Daftar Koreksi'!$I$5:$I$92,"&lt;0")</f>
        <v>0</v>
      </c>
      <c r="G40" s="17">
        <f t="shared" si="1"/>
        <v>-1226179923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-5281000</v>
      </c>
      <c r="E41" s="25">
        <f>SUMIFS('Daftar Koreksi'!$I$5:$I$92,'Daftar Koreksi'!$D$5:$D$92,'2100'!A26,'Daftar Koreksi'!$G$5:$G$92,"Jalan Irigasi Jaringan",'Daftar Koreksi'!$I$5:$I$92,"&gt;0")</f>
        <v>0</v>
      </c>
      <c r="F41" s="25">
        <f>SUMIFS('Daftar Koreksi'!$I$5:$I$92,'Daftar Koreksi'!$D$5:$D$92,'2100'!A26,'Daftar Koreksi'!$G$5:$G$92,"Jalan Irigasi Jaringan",'Daftar Koreksi'!$I$5:$I$92,"&lt;0")-SUMIFS('Daftar Koreksi'!$I$5:$I$92,'Daftar Koreksi'!$D$5:$D$92,'2100'!A26,'Daftar Koreksi'!$G$5:$G$92,"Jalan Irigasi Jaringan",'Daftar Koreksi'!$I$5:$I$92,"&lt;0")-SUMIFS('Daftar Koreksi'!$I$5:$I$92,'Daftar Koreksi'!$D$5:$D$92,'2100'!A26,'Daftar Koreksi'!$G$5:$G$92,"Jalan Irigasi Jaringan",'Daftar Koreksi'!$I$5:$I$92,"&lt;0")</f>
        <v>0</v>
      </c>
      <c r="G41" s="17">
        <f t="shared" si="1"/>
        <v>-5281000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Koreksi'!$D$5:$D$92,'2100'!A26,'Daftar Koreksi'!$G$5:$G$92,"Aset Tetap Lainnya",'Daftar Koreksi'!$I$5:$I$92,"&gt;0")</f>
        <v>0</v>
      </c>
      <c r="F42" s="25">
        <f>SUMIFS('Daftar Koreksi'!$I$5:$I$92,'Daftar Koreksi'!$D$5:$D$92,'2100'!A26,'Daftar Koreksi'!$G$5:$G$92,"Aset Tetap Lainnya",'Daftar Koreksi'!$I$5:$I$92,"&lt;0")-SUMIFS('Daftar Koreksi'!$I$5:$I$92,'Daftar Koreksi'!$D$5:$D$92,'2100'!A26,'Daftar Koreksi'!$G$5:$G$92,"Aset Tetap Lainnya",'Daftar Koreksi'!$I$5:$I$92,"&lt;0")-SUMIFS('Daftar Koreksi'!$I$5:$I$92,'Daftar Koreksi'!$D$5:$D$92,'2100'!A26,'Daftar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-69318667</v>
      </c>
      <c r="E43" s="25">
        <f>SUMIFS('Daftar Koreksi'!$I$5:$I$92,'Daftar Koreksi'!$D$5:$D$92,'2100'!A26,'Daftar Koreksi'!$G$5:$G$92,"Aset Henti Guna",'Daftar Koreksi'!$I$5:$I$92,"&gt;0")</f>
        <v>0</v>
      </c>
      <c r="F43" s="25">
        <f>SUMIFS('Daftar Koreksi'!$I$5:$I$92,'Daftar Koreksi'!$D$5:$D$92,'2100'!A26,'Daftar Koreksi'!$G$5:$G$92,"Aset Henti Guna",'Daftar Koreksi'!$I$5:$I$92,"&lt;0")-SUMIFS('Daftar Koreksi'!$I$5:$I$92,'Daftar Koreksi'!$D$5:$D$92,'2100'!A26,'Daftar Koreksi'!$G$5:$G$92,"Aset Henti Guna",'Daftar Koreksi'!$I$5:$I$92,"&lt;0")-SUMIFS('Daftar Koreksi'!$I$5:$I$92,'Daftar Koreksi'!$D$5:$D$92,'2100'!A26,'Daftar Koreksi'!$G$5:$G$92,"Aset Henti Guna",'Daftar Koreksi'!$I$5:$I$92,"&lt;0")</f>
        <v>0</v>
      </c>
      <c r="G43" s="17">
        <f t="shared" si="1"/>
        <v>-69318667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-3812003010</v>
      </c>
      <c r="E44" s="19">
        <f>SUM(E39:E43)</f>
        <v>0</v>
      </c>
      <c r="F44" s="19">
        <f>SUM(F39:F43)</f>
        <v>0</v>
      </c>
      <c r="G44" s="19">
        <f t="shared" si="1"/>
        <v>-3812003010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32554134438</v>
      </c>
      <c r="E45" s="19">
        <f>E44+E38</f>
        <v>0</v>
      </c>
      <c r="F45" s="19">
        <f>F44+F38</f>
        <v>0</v>
      </c>
      <c r="G45" s="19">
        <f t="shared" si="1"/>
        <v>32554134438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005012100099710000KD</v>
      </c>
      <c r="B48" s="11" t="str">
        <f>P3</f>
        <v>PN. Masohi</v>
      </c>
      <c r="C48" s="12" t="str">
        <f>A48&amp;" "&amp;B48</f>
        <v>005012100099710000KD PN. Masohi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252000</v>
      </c>
      <c r="E51" s="25">
        <f>SUMIFS('Daftar Koreksi'!$H$5:$H$92,'Daftar Koreksi'!$D$5:$D$92,'2100'!A48,'Daftar Koreksi'!$G$5:$G$92,"Persediaan",'Daftar Koreksi'!$H$5:$H$92,"&gt;0")</f>
        <v>0</v>
      </c>
      <c r="F51" s="25">
        <f>SUMIFS('Daftar Koreksi'!$H$5:$H$92,'Daftar Koreksi'!$D$5:$D$92,'2100'!A48,'Daftar Koreksi'!$G$5:$G$92,"Persediaan",'Daftar Koreksi'!$H$5:$H$92,"&lt;0")-SUMIFS('Daftar Koreksi'!$H$5:$H$92,'Daftar Koreksi'!$D$5:$D$92,'2100'!A48,'Daftar Koreksi'!$G$5:$G$92,"Persediaan",'Daftar Koreksi'!$H$5:$H$92,"&lt;0")-SUMIFS('Daftar Koreksi'!$H$5:$H$92,'Daftar Koreksi'!$D$5:$D$92,'2100'!A48,'Daftar Koreksi'!$G$5:$G$92,"Persediaan",'Daftar Koreksi'!$H$5:$H$92,"&lt;0")</f>
        <v>0</v>
      </c>
      <c r="G51" s="17">
        <f>D51+E51-F51</f>
        <v>252000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1757421000</v>
      </c>
      <c r="E52" s="25">
        <f>SUMIFS('Daftar Koreksi'!$H$5:$H$92,'Daftar Koreksi'!$D$5:$D$92,'2100'!A48,'Daftar Koreksi'!$G$5:$G$92,"Tanah",'Daftar Koreksi'!$H$5:$H$92,"&gt;0")</f>
        <v>0</v>
      </c>
      <c r="F52" s="25">
        <f>SUMIFS('Daftar Koreksi'!$H$5:$H$92,'Daftar Koreksi'!$D$5:$D$92,'2100'!A48,'Daftar Koreksi'!$G$5:$G$92,"Tanah",'Daftar Koreksi'!$H$5:$H$92,"&lt;0")-SUMIFS('Daftar Koreksi'!$H$5:$H$92,'Daftar Koreksi'!$D$5:$D$92,'2100'!A48,'Daftar Koreksi'!$G$5:$G$92,"Tanah",'Daftar Koreksi'!$H$5:$H$92,"&lt;0")-SUMIFS('Daftar Koreksi'!$H$5:$H$92,'Daftar Koreksi'!$D$5:$D$92,'2100'!A48,'Daftar Koreksi'!$G$5:$G$92,"Tanah",'Daftar Koreksi'!$H$5:$H$92,"&lt;0")</f>
        <v>0</v>
      </c>
      <c r="G52" s="17">
        <f t="shared" ref="G52:G68" si="2">D52+E52-F52</f>
        <v>1757421000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865631000</v>
      </c>
      <c r="E53" s="25">
        <f>SUMIFS('Daftar Koreksi'!$H$5:$H$92,'Daftar Koreksi'!$D$5:$D$92,'2100'!A48,'Daftar Koreksi'!$G$5:$G$92,"Peralatan dan mesin",'Daftar Koreksi'!$H$5:$H$92,"&gt;0")</f>
        <v>0</v>
      </c>
      <c r="F53" s="25">
        <f>SUMIFS('Daftar Koreksi'!$H$5:$H$92,'Daftar Koreksi'!$D$5:$D$92,'2100'!A48,'Daftar Koreksi'!$G$5:$G$92,"Peralatan dan mesin",'Daftar Koreksi'!$H$5:$H$92,"&lt;0")-SUMIFS('Daftar Koreksi'!$H$5:$H$92,'Daftar Koreksi'!$D$5:$D$92,'2100'!A48,'Daftar Koreksi'!$G$5:$G$92,"Peralatan dan mesin",'Daftar Koreksi'!$H$5:$H$92,"&lt;0")-SUMIFS('Daftar Koreksi'!$H$5:$H$92,'Daftar Koreksi'!$D$5:$D$92,'2100'!A48,'Daftar Koreksi'!$G$5:$G$92,"Peralatan dan mesin",'Daftar Koreksi'!$H$5:$H$92,"&lt;0")</f>
        <v>0</v>
      </c>
      <c r="G53" s="17">
        <f t="shared" si="2"/>
        <v>865631000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7056898673</v>
      </c>
      <c r="E54" s="25">
        <f>SUMIFS('Daftar Koreksi'!$H$5:$H$92,'Daftar Koreksi'!$D$5:$D$92,'2100'!A48,'Daftar Koreksi'!$G$5:$G$92,"Gedung dan Bangunan",'Daftar Koreksi'!$H$5:$H$92,"&gt;0")</f>
        <v>0</v>
      </c>
      <c r="F54" s="25">
        <f>SUMIFS('Daftar Koreksi'!$H$5:$H$92,'Daftar Koreksi'!$D$5:$D$92,'2100'!A48,'Daftar Koreksi'!$G$5:$G$92,"Gedung dan Bangunan",'Daftar Koreksi'!$H$5:$H$92,"&lt;0")-SUMIFS('Daftar Koreksi'!$H$5:$H$92,'Daftar Koreksi'!$D$5:$D$92,'2100'!A48,'Daftar Koreksi'!$G$5:$G$92,"Gedung dan Bangunan",'Daftar Koreksi'!$H$5:$H$92,"&lt;0")-SUMIFS('Daftar Koreksi'!$H$5:$H$92,'Daftar Koreksi'!$D$5:$D$92,'2100'!A48,'Daftar Koreksi'!$G$5:$G$92,"Gedung dan Bangunan",'Daftar Koreksi'!$H$5:$H$92,"&lt;0")</f>
        <v>0</v>
      </c>
      <c r="G54" s="17">
        <f t="shared" si="2"/>
        <v>7056898673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25000000</v>
      </c>
      <c r="E55" s="25">
        <f>SUMIFS('Daftar Koreksi'!$H$5:$H$92,'Daftar Koreksi'!$D$5:$D$92,'2100'!A48,'Daftar Koreksi'!$G$5:$G$92,"Jalan Irigasi Jaringan",'Daftar Koreksi'!$H$5:$H$92,"&gt;0")</f>
        <v>0</v>
      </c>
      <c r="F55" s="25">
        <f>SUMIFS('Daftar Koreksi'!$H$5:$H$92,'Daftar Koreksi'!$D$5:$D$92,'2100'!A48,'Daftar Koreksi'!$G$5:$G$92,"Jalan Irigasi Jaringan",'Daftar Koreksi'!$H$5:$H$92,"&lt;0")-SUMIFS('Daftar Koreksi'!$H$5:$H$92,'Daftar Koreksi'!$D$5:$D$92,'2100'!A48,'Daftar Koreksi'!$G$5:$G$92,"Jalan Irigasi Jaringan",'Daftar Koreksi'!$H$5:$H$92,"&lt;0")-SUMIFS('Daftar Koreksi'!$H$5:$H$92,'Daftar Koreksi'!$D$5:$D$92,'2100'!A48,'Daftar Koreksi'!$G$5:$G$92,"Jalan Irigasi Jaringan",'Daftar Koreksi'!$H$5:$H$92,"&lt;0")</f>
        <v>0</v>
      </c>
      <c r="G55" s="17">
        <f t="shared" si="2"/>
        <v>25000000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160588317</v>
      </c>
      <c r="E56" s="25">
        <f>SUMIFS('Daftar Koreksi'!$H$5:$H$92,'Daftar Koreksi'!$D$5:$D$92,'2100'!A48,'Daftar Koreksi'!$G$5:$G$92,"Aset Tetap Lainnya",'Daftar Koreksi'!$H$5:$H$92,"&gt;0")</f>
        <v>0</v>
      </c>
      <c r="F56" s="25">
        <f>SUMIFS('Daftar Koreksi'!$H$5:$H$92,'Daftar Koreksi'!$D$5:$D$92,'2100'!A48,'Daftar Koreksi'!$G$5:$G$92,"Aset Tetap Lainnya",'Daftar Koreksi'!$H$5:$H$92,"&lt;0")-SUMIFS('Daftar Koreksi'!$H$5:$H$92,'Daftar Koreksi'!$D$5:$D$92,'2100'!A48,'Daftar Koreksi'!$G$5:$G$92,"Aset Tetap Lainnya",'Daftar Koreksi'!$H$5:$H$92,"&lt;0")-SUMIFS('Daftar Koreksi'!$H$5:$H$92,'Daftar Koreksi'!$D$5:$D$92,'2100'!A48,'Daftar Koreksi'!$G$5:$G$92,"Aset Tetap Lainnya",'Daftar Koreksi'!$H$5:$H$92,"&lt;0")</f>
        <v>0</v>
      </c>
      <c r="G56" s="17">
        <f t="shared" si="2"/>
        <v>160588317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Koreksi'!$D$5:$D$92,'2100'!A48,'Daftar Koreksi'!$G$5:$G$92,"Kontruksi Dalam Pengerjaan",'Daftar Koreksi'!$H$5:$H$92,"&gt;0")</f>
        <v>0</v>
      </c>
      <c r="F57" s="25">
        <f>SUMIFS('Daftar Koreksi'!$H$5:$H$92,'Daftar Koreksi'!$D$5:$D$92,'2100'!A48,'Daftar Koreksi'!$G$5:$G$92,"Kontruksi Dalam Pengerjaan",'Daftar Koreksi'!$H$5:$H$92,"&lt;0")-SUMIFS('Daftar Koreksi'!$H$5:$H$92,'Daftar Koreksi'!$D$5:$D$92,'2100'!A48,'Daftar Koreksi'!$G$5:$G$92,"Kontruksi Dalam Pengerjaan",'Daftar Koreksi'!$H$5:$H$92,"&lt;0")-SUMIFS('Daftar Koreksi'!$H$5:$H$92,'Daftar Koreksi'!$D$5:$D$92,'2100'!A48,'Daftar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Koreksi'!$D$5:$D$92,'2100'!A48,'Daftar Koreksi'!$G$5:$G$92,"Aset Tak Berwujud",'Daftar Koreksi'!$H$5:$H$92,"&gt;0")</f>
        <v>0</v>
      </c>
      <c r="F58" s="25">
        <f>SUMIFS('Daftar Koreksi'!$H$5:$H$92,'Daftar Koreksi'!$D$5:$D$92,'2100'!A48,'Daftar Koreksi'!$G$5:$G$92,"Aset Tak Berwujud",'Daftar Koreksi'!$H$5:$H$92,"&lt;0")-SUMIFS('Daftar Koreksi'!$H$5:$H$92,'Daftar Koreksi'!$D$5:$D$92,'2100'!A48,'Daftar Koreksi'!$G$5:$G$92,"Aset Tak Berwujud",'Daftar Koreksi'!$H$5:$H$92,"&lt;0")-SUMIFS('Daftar Koreksi'!$H$5:$H$92,'Daftar Koreksi'!$D$5:$D$92,'2100'!A48,'Daftar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9568000</v>
      </c>
      <c r="E59" s="25">
        <f>SUMIFS('Daftar Koreksi'!$H$5:$H$92,'Daftar Koreksi'!$D$5:$D$92,'2100'!A48,'Daftar Koreksi'!$G$5:$G$92,"Aset Henti Guna",'Daftar Koreksi'!$H$5:$H$92,"&gt;0")</f>
        <v>0</v>
      </c>
      <c r="F59" s="25">
        <f>SUMIFS('Daftar Koreksi'!$H$5:$H$92,'Daftar Koreksi'!$D$5:$D$92,'2100'!A48,'Daftar Koreksi'!$G$5:$G$92,"Aset Henti Guna",'Daftar Koreksi'!$H$5:$H$92,"&lt;0")-SUMIFS('Daftar Koreksi'!$H$5:$H$92,'Daftar Koreksi'!$D$5:$D$92,'2100'!A48,'Daftar Koreksi'!$G$5:$G$92,"Aset Henti Guna",'Daftar Koreksi'!$H$5:$H$92,"&lt;0")-SUMIFS('Daftar Koreksi'!$H$5:$H$92,'Daftar Koreksi'!$D$5:$D$92,'2100'!A48,'Daftar Koreksi'!$G$5:$G$92,"Aset Henti Guna",'Daftar Koreksi'!$H$5:$H$92,"&lt;0")</f>
        <v>0</v>
      </c>
      <c r="G59" s="17">
        <f t="shared" si="2"/>
        <v>9568000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9875358990</v>
      </c>
      <c r="E60" s="19">
        <f>SUM(E51:E59)</f>
        <v>0</v>
      </c>
      <c r="F60" s="19">
        <f>SUM(F51:F59)</f>
        <v>0</v>
      </c>
      <c r="G60" s="19">
        <f t="shared" si="2"/>
        <v>9875358990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-517236279</v>
      </c>
      <c r="E61" s="25">
        <f>SUMIFS('Daftar Koreksi'!$I$5:$I$92,'Daftar Koreksi'!$D$5:$D$92,'2100'!A48,'Daftar Koreksi'!$G$5:$G$92,"Peralatan dan mesin",'Daftar Koreksi'!$I$5:$I$92,"&gt;0")</f>
        <v>0</v>
      </c>
      <c r="F61" s="25">
        <f>SUMIFS('Daftar Koreksi'!$I$5:$I$92,'Daftar Koreksi'!$D$5:$D$92,'2100'!A48,'Daftar Koreksi'!$G$5:$G$92,"Peralatan dan mesin",'Daftar Koreksi'!$I$5:$I$92,"&lt;0")-SUMIFS('Daftar Koreksi'!$I$5:$I$92,'Daftar Koreksi'!$D$5:$D$92,'2100'!A48,'Daftar Koreksi'!$G$5:$G$92,"Peralatan dan mesin",'Daftar Koreksi'!$I$5:$I$92,"&lt;0")-SUMIFS('Daftar Koreksi'!$I$5:$I$92,'Daftar Koreksi'!$D$5:$D$92,'2100'!A48,'Daftar Koreksi'!$G$5:$G$92,"Peralatan dan mesin",'Daftar Koreksi'!$I$5:$I$92,"&lt;0")</f>
        <v>0</v>
      </c>
      <c r="G61" s="17">
        <f t="shared" si="2"/>
        <v>-517236279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-5192291080</v>
      </c>
      <c r="E62" s="25">
        <f>SUMIFS('Daftar Koreksi'!$I$5:$I$92,'Daftar Koreksi'!$D$5:$D$92,'2100'!A48,'Daftar Koreksi'!$G$5:$G$92,"Gedung dan Bangunan",'Daftar Koreksi'!$I$5:$I$92,"&gt;0")</f>
        <v>0</v>
      </c>
      <c r="F62" s="25">
        <f>SUMIFS('Daftar Koreksi'!$I$5:$I$92,'Daftar Koreksi'!$D$5:$D$92,'2100'!A48,'Daftar Koreksi'!$G$5:$G$92,"Gedung dan Bangunan",'Daftar Koreksi'!$I$5:$I$92,"&lt;0")-SUMIFS('Daftar Koreksi'!$I$5:$I$92,'Daftar Koreksi'!$D$5:$D$92,'2100'!A48,'Daftar Koreksi'!$G$5:$G$92,"Gedung dan Bangunan",'Daftar Koreksi'!$I$5:$I$92,"&lt;0")-SUMIFS('Daftar Koreksi'!$I$5:$I$92,'Daftar Koreksi'!$D$5:$D$92,'2100'!A48,'Daftar Koreksi'!$G$5:$G$92,"Gedung dan Bangunan",'Daftar Koreksi'!$I$5:$I$92,"&lt;0")</f>
        <v>0</v>
      </c>
      <c r="G62" s="17">
        <f t="shared" si="2"/>
        <v>-5192291080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-3125000</v>
      </c>
      <c r="E63" s="25">
        <f>SUMIFS('Daftar Koreksi'!$I$5:$I$92,'Daftar Koreksi'!$D$5:$D$92,'2100'!A48,'Daftar Koreksi'!$G$5:$G$92,"Jalan Irigasi Jaringan",'Daftar Koreksi'!$I$5:$I$92,"&gt;0")</f>
        <v>0</v>
      </c>
      <c r="F63" s="25">
        <f>SUMIFS('Daftar Koreksi'!$I$5:$I$92,'Daftar Koreksi'!$D$5:$D$92,'2100'!A48,'Daftar Koreksi'!$G$5:$G$92,"Jalan Irigasi Jaringan",'Daftar Koreksi'!$I$5:$I$92,"&lt;0")-SUMIFS('Daftar Koreksi'!$I$5:$I$92,'Daftar Koreksi'!$D$5:$D$92,'2100'!A48,'Daftar Koreksi'!$G$5:$G$92,"Jalan Irigasi Jaringan",'Daftar Koreksi'!$I$5:$I$92,"&lt;0")-SUMIFS('Daftar Koreksi'!$I$5:$I$92,'Daftar Koreksi'!$D$5:$D$92,'2100'!A48,'Daftar Koreksi'!$G$5:$G$92,"Jalan Irigasi Jaringan",'Daftar Koreksi'!$I$5:$I$92,"&lt;0")</f>
        <v>0</v>
      </c>
      <c r="G63" s="17">
        <f t="shared" si="2"/>
        <v>-3125000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Koreksi'!$D$5:$D$92,'2100'!A48,'Daftar Koreksi'!$G$5:$G$92,"Aset Tetap Lainnya",'Daftar Koreksi'!$I$5:$I$92,"&gt;0")</f>
        <v>0</v>
      </c>
      <c r="F64" s="25">
        <f>SUMIFS('Daftar Koreksi'!$I$5:$I$92,'Daftar Koreksi'!$D$5:$D$92,'2100'!A48,'Daftar Koreksi'!$G$5:$G$92,"Aset Tetap Lainnya",'Daftar Koreksi'!$I$5:$I$92,"&lt;0")-SUMIFS('Daftar Koreksi'!$I$5:$I$92,'Daftar Koreksi'!$D$5:$D$92,'2100'!A48,'Daftar Koreksi'!$G$5:$G$92,"Aset Tetap Lainnya",'Daftar Koreksi'!$I$5:$I$92,"&lt;0")-SUMIFS('Daftar Koreksi'!$I$5:$I$92,'Daftar Koreksi'!$D$5:$D$92,'2100'!A48,'Daftar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-9568000</v>
      </c>
      <c r="E65" s="25">
        <f>SUMIFS('Daftar Koreksi'!$I$5:$I$92,'Daftar Koreksi'!$D$5:$D$92,'2100'!A48,'Daftar Koreksi'!$G$5:$G$92,"Aset Henti Guna",'Daftar Koreksi'!$I$5:$I$92,"&gt;0")</f>
        <v>0</v>
      </c>
      <c r="F65" s="25">
        <f>SUMIFS('Daftar Koreksi'!$I$5:$I$92,'Daftar Koreksi'!$D$5:$D$92,'2100'!A48,'Daftar Koreksi'!$G$5:$G$92,"Aset Henti Guna",'Daftar Koreksi'!$I$5:$I$92,"&lt;0")-SUMIFS('Daftar Koreksi'!$I$5:$I$92,'Daftar Koreksi'!$D$5:$D$92,'2100'!A48,'Daftar Koreksi'!$G$5:$G$92,"Aset Henti Guna",'Daftar Koreksi'!$I$5:$I$92,"&lt;0")-SUMIFS('Daftar Koreksi'!$I$5:$I$92,'Daftar Koreksi'!$D$5:$D$92,'2100'!A48,'Daftar Koreksi'!$G$5:$G$92,"Aset Henti Guna",'Daftar Koreksi'!$I$5:$I$92,"&lt;0")</f>
        <v>0</v>
      </c>
      <c r="G65" s="17">
        <f t="shared" si="2"/>
        <v>-9568000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-5722220359</v>
      </c>
      <c r="E66" s="19">
        <f>SUM(E61:E65)</f>
        <v>0</v>
      </c>
      <c r="F66" s="19">
        <f>SUM(F61:F65)</f>
        <v>0</v>
      </c>
      <c r="G66" s="19">
        <f t="shared" si="2"/>
        <v>-5722220359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4153138631</v>
      </c>
      <c r="E67" s="19">
        <f>E66+E60</f>
        <v>0</v>
      </c>
      <c r="F67" s="19">
        <f>F66+F60</f>
        <v>0</v>
      </c>
      <c r="G67" s="19">
        <f t="shared" si="2"/>
        <v>4153138631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005012100099727000KD</v>
      </c>
      <c r="B70" s="11" t="str">
        <f>P4</f>
        <v>PN. Tual</v>
      </c>
      <c r="C70" s="12" t="str">
        <f>A70&amp;" "&amp;B70</f>
        <v>005012100099727000KD PN. Tual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137000</v>
      </c>
      <c r="E73" s="25">
        <f>SUMIFS('Daftar Koreksi'!$H$5:$H$92,'Daftar Koreksi'!$D$5:$D$92,'2100'!A70,'Daftar Koreksi'!$G$5:$G$92,"Persediaan",'Daftar Koreksi'!$H$5:$H$92,"&gt;0")</f>
        <v>0</v>
      </c>
      <c r="F73" s="25">
        <f>SUMIFS('Daftar Koreksi'!$H$5:$H$92,'Daftar Koreksi'!$D$5:$D$92,'2100'!A70,'Daftar Koreksi'!$G$5:$G$92,"Persediaan",'Daftar Koreksi'!$H$5:$H$92,"&lt;0")-SUMIFS('Daftar Koreksi'!$H$5:$H$92,'Daftar Koreksi'!$D$5:$D$92,'2100'!A70,'Daftar Koreksi'!$G$5:$G$92,"Persediaan",'Daftar Koreksi'!$H$5:$H$92,"&lt;0")-SUMIFS('Daftar Koreksi'!$H$5:$H$92,'Daftar Koreksi'!$D$5:$D$92,'2100'!A70,'Daftar Koreksi'!$G$5:$G$92,"Persediaan",'Daftar Koreksi'!$H$5:$H$92,"&lt;0")</f>
        <v>0</v>
      </c>
      <c r="G73" s="17">
        <f>D73+E73-F73</f>
        <v>137000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1054820000</v>
      </c>
      <c r="E74" s="25">
        <f>SUMIFS('Daftar Koreksi'!$H$5:$H$92,'Daftar Koreksi'!$D$5:$D$92,'2100'!A70,'Daftar Koreksi'!$G$5:$G$92,"Tanah",'Daftar Koreksi'!$H$5:$H$92,"&gt;0")</f>
        <v>0</v>
      </c>
      <c r="F74" s="25">
        <f>SUMIFS('Daftar Koreksi'!$H$5:$H$92,'Daftar Koreksi'!$D$5:$D$92,'2100'!A70,'Daftar Koreksi'!$G$5:$G$92,"Tanah",'Daftar Koreksi'!$H$5:$H$92,"&lt;0")-SUMIFS('Daftar Koreksi'!$H$5:$H$92,'Daftar Koreksi'!$D$5:$D$92,'2100'!A70,'Daftar Koreksi'!$G$5:$G$92,"Tanah",'Daftar Koreksi'!$H$5:$H$92,"&lt;0")-SUMIFS('Daftar Koreksi'!$H$5:$H$92,'Daftar Koreksi'!$D$5:$D$92,'2100'!A70,'Daftar Koreksi'!$G$5:$G$92,"Tanah",'Daftar Koreksi'!$H$5:$H$92,"&lt;0")</f>
        <v>0</v>
      </c>
      <c r="G74" s="17">
        <f t="shared" ref="G74:G90" si="3">D74+E74-F74</f>
        <v>1054820000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2245394562</v>
      </c>
      <c r="E75" s="25">
        <f>SUMIFS('Daftar Koreksi'!$H$5:$H$92,'Daftar Koreksi'!$D$5:$D$92,'2100'!A70,'Daftar Koreksi'!$G$5:$G$92,"Peralatan dan mesin",'Daftar Koreksi'!$H$5:$H$92,"&gt;0")</f>
        <v>0</v>
      </c>
      <c r="F75" s="25">
        <f>SUMIFS('Daftar Koreksi'!$H$5:$H$92,'Daftar Koreksi'!$D$5:$D$92,'2100'!A70,'Daftar Koreksi'!$G$5:$G$92,"Peralatan dan mesin",'Daftar Koreksi'!$H$5:$H$92,"&lt;0")-SUMIFS('Daftar Koreksi'!$H$5:$H$92,'Daftar Koreksi'!$D$5:$D$92,'2100'!A70,'Daftar Koreksi'!$G$5:$G$92,"Peralatan dan mesin",'Daftar Koreksi'!$H$5:$H$92,"&lt;0")-SUMIFS('Daftar Koreksi'!$H$5:$H$92,'Daftar Koreksi'!$D$5:$D$92,'2100'!A70,'Daftar Koreksi'!$G$5:$G$92,"Peralatan dan mesin",'Daftar Koreksi'!$H$5:$H$92,"&lt;0")</f>
        <v>0</v>
      </c>
      <c r="G75" s="17">
        <f t="shared" si="3"/>
        <v>2245394562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7812703000</v>
      </c>
      <c r="E76" s="25">
        <f>SUMIFS('Daftar Koreksi'!$H$5:$H$92,'Daftar Koreksi'!$D$5:$D$92,'2100'!A70,'Daftar Koreksi'!$G$5:$G$92,"Gedung dan Bangunan",'Daftar Koreksi'!$H$5:$H$92,"&gt;0")</f>
        <v>0</v>
      </c>
      <c r="F76" s="25">
        <f>SUMIFS('Daftar Koreksi'!$H$5:$H$92,'Daftar Koreksi'!$D$5:$D$92,'2100'!A70,'Daftar Koreksi'!$G$5:$G$92,"Gedung dan Bangunan",'Daftar Koreksi'!$H$5:$H$92,"&lt;0")-SUMIFS('Daftar Koreksi'!$H$5:$H$92,'Daftar Koreksi'!$D$5:$D$92,'2100'!A70,'Daftar Koreksi'!$G$5:$G$92,"Gedung dan Bangunan",'Daftar Koreksi'!$H$5:$H$92,"&lt;0")-SUMIFS('Daftar Koreksi'!$H$5:$H$92,'Daftar Koreksi'!$D$5:$D$92,'2100'!A70,'Daftar Koreksi'!$G$5:$G$92,"Gedung dan Bangunan",'Daftar Koreksi'!$H$5:$H$92,"&lt;0")</f>
        <v>0</v>
      </c>
      <c r="G76" s="17">
        <f t="shared" si="3"/>
        <v>7812703000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124770000</v>
      </c>
      <c r="E77" s="25">
        <f>SUMIFS('Daftar Koreksi'!$H$5:$H$92,'Daftar Koreksi'!$D$5:$D$92,'2100'!A70,'Daftar Koreksi'!$G$5:$G$92,"Jalan Irigasi Jaringan",'Daftar Koreksi'!$H$5:$H$92,"&gt;0")</f>
        <v>0</v>
      </c>
      <c r="F77" s="25">
        <f>SUMIFS('Daftar Koreksi'!$H$5:$H$92,'Daftar Koreksi'!$D$5:$D$92,'2100'!A70,'Daftar Koreksi'!$G$5:$G$92,"Jalan Irigasi Jaringan",'Daftar Koreksi'!$H$5:$H$92,"&lt;0")-SUMIFS('Daftar Koreksi'!$H$5:$H$92,'Daftar Koreksi'!$D$5:$D$92,'2100'!A70,'Daftar Koreksi'!$G$5:$G$92,"Jalan Irigasi Jaringan",'Daftar Koreksi'!$H$5:$H$92,"&lt;0")-SUMIFS('Daftar Koreksi'!$H$5:$H$92,'Daftar Koreksi'!$D$5:$D$92,'2100'!A70,'Daftar Koreksi'!$G$5:$G$92,"Jalan Irigasi Jaringan",'Daftar Koreksi'!$H$5:$H$92,"&lt;0")</f>
        <v>0</v>
      </c>
      <c r="G77" s="17">
        <f t="shared" si="3"/>
        <v>124770000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154548769</v>
      </c>
      <c r="E78" s="25">
        <f>SUMIFS('Daftar Koreksi'!$H$5:$H$92,'Daftar Koreksi'!$D$5:$D$92,'2100'!A70,'Daftar Koreksi'!$G$5:$G$92,"Aset Tetap Lainnya",'Daftar Koreksi'!$H$5:$H$92,"&gt;0")</f>
        <v>0</v>
      </c>
      <c r="F78" s="25">
        <f>SUMIFS('Daftar Koreksi'!$H$5:$H$92,'Daftar Koreksi'!$D$5:$D$92,'2100'!A70,'Daftar Koreksi'!$G$5:$G$92,"Aset Tetap Lainnya",'Daftar Koreksi'!$H$5:$H$92,"&lt;0")-SUMIFS('Daftar Koreksi'!$H$5:$H$92,'Daftar Koreksi'!$D$5:$D$92,'2100'!A70,'Daftar Koreksi'!$G$5:$G$92,"Aset Tetap Lainnya",'Daftar Koreksi'!$H$5:$H$92,"&lt;0")-SUMIFS('Daftar Koreksi'!$H$5:$H$92,'Daftar Koreksi'!$D$5:$D$92,'2100'!A70,'Daftar Koreksi'!$G$5:$G$92,"Aset Tetap Lainnya",'Daftar Koreksi'!$H$5:$H$92,"&lt;0")</f>
        <v>0</v>
      </c>
      <c r="G78" s="17">
        <f t="shared" si="3"/>
        <v>154548769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Koreksi'!$D$5:$D$92,'2100'!A70,'Daftar Koreksi'!$G$5:$G$92,"Kontruksi Dalam Pengerjaan",'Daftar Koreksi'!$H$5:$H$92,"&gt;0")</f>
        <v>0</v>
      </c>
      <c r="F79" s="25">
        <f>SUMIFS('Daftar Koreksi'!$H$5:$H$92,'Daftar Koreksi'!$D$5:$D$92,'2100'!A70,'Daftar Koreksi'!$G$5:$G$92,"Kontruksi Dalam Pengerjaan",'Daftar Koreksi'!$H$5:$H$92,"&lt;0")-SUMIFS('Daftar Koreksi'!$H$5:$H$92,'Daftar Koreksi'!$D$5:$D$92,'2100'!A70,'Daftar Koreksi'!$G$5:$G$92,"Kontruksi Dalam Pengerjaan",'Daftar Koreksi'!$H$5:$H$92,"&lt;0")-SUMIFS('Daftar Koreksi'!$H$5:$H$92,'Daftar Koreksi'!$D$5:$D$92,'2100'!A70,'Daftar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Koreksi'!$D$5:$D$92,'2100'!A70,'Daftar Koreksi'!$G$5:$G$92,"Aset Tak Berwujud",'Daftar Koreksi'!$H$5:$H$92,"&gt;0")</f>
        <v>0</v>
      </c>
      <c r="F80" s="25">
        <f>SUMIFS('Daftar Koreksi'!$H$5:$H$92,'Daftar Koreksi'!$D$5:$D$92,'2100'!A70,'Daftar Koreksi'!$G$5:$G$92,"Aset Tak Berwujud",'Daftar Koreksi'!$H$5:$H$92,"&lt;0")-SUMIFS('Daftar Koreksi'!$H$5:$H$92,'Daftar Koreksi'!$D$5:$D$92,'2100'!A70,'Daftar Koreksi'!$G$5:$G$92,"Aset Tak Berwujud",'Daftar Koreksi'!$H$5:$H$92,"&lt;0")-SUMIFS('Daftar Koreksi'!$H$5:$H$92,'Daftar Koreksi'!$D$5:$D$92,'2100'!A70,'Daftar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240724546</v>
      </c>
      <c r="E81" s="25">
        <f>SUMIFS('Daftar Koreksi'!$H$5:$H$92,'Daftar Koreksi'!$D$5:$D$92,'2100'!A70,'Daftar Koreksi'!$G$5:$G$92,"Aset Henti Guna",'Daftar Koreksi'!$H$5:$H$92,"&gt;0")</f>
        <v>0</v>
      </c>
      <c r="F81" s="25">
        <f>SUMIFS('Daftar Koreksi'!$H$5:$H$92,'Daftar Koreksi'!$D$5:$D$92,'2100'!A70,'Daftar Koreksi'!$G$5:$G$92,"Aset Henti Guna",'Daftar Koreksi'!$H$5:$H$92,"&lt;0")-SUMIFS('Daftar Koreksi'!$H$5:$H$92,'Daftar Koreksi'!$D$5:$D$92,'2100'!A70,'Daftar Koreksi'!$G$5:$G$92,"Aset Henti Guna",'Daftar Koreksi'!$H$5:$H$92,"&lt;0")-SUMIFS('Daftar Koreksi'!$H$5:$H$92,'Daftar Koreksi'!$D$5:$D$92,'2100'!A70,'Daftar Koreksi'!$G$5:$G$92,"Aset Henti Guna",'Daftar Koreksi'!$H$5:$H$92,"&lt;0")</f>
        <v>0</v>
      </c>
      <c r="G81" s="17">
        <f t="shared" si="3"/>
        <v>240724546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11633097877</v>
      </c>
      <c r="E82" s="19">
        <f>SUM(E73:E81)</f>
        <v>0</v>
      </c>
      <c r="F82" s="19">
        <f>SUM(F73:F81)</f>
        <v>0</v>
      </c>
      <c r="G82" s="19">
        <f t="shared" si="3"/>
        <v>11633097877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-1653079890</v>
      </c>
      <c r="E83" s="25">
        <f>SUMIFS('Daftar Koreksi'!$I$5:$I$92,'Daftar Koreksi'!$D$5:$D$92,'2100'!A70,'Daftar Koreksi'!$G$5:$G$92,"Peralatan dan mesin",'Daftar Koreksi'!$I$5:$I$92,"&gt;0")</f>
        <v>0</v>
      </c>
      <c r="F83" s="25">
        <f>SUMIFS('Daftar Koreksi'!$I$5:$I$92,'Daftar Koreksi'!$D$5:$D$92,'2100'!A70,'Daftar Koreksi'!$G$5:$G$92,"Peralatan dan mesin",'Daftar Koreksi'!$I$5:$I$92,"&lt;0")-SUMIFS('Daftar Koreksi'!$I$5:$I$92,'Daftar Koreksi'!$D$5:$D$92,'2100'!A70,'Daftar Koreksi'!$G$5:$G$92,"Peralatan dan mesin",'Daftar Koreksi'!$I$5:$I$92,"&lt;0")-SUMIFS('Daftar Koreksi'!$I$5:$I$92,'Daftar Koreksi'!$D$5:$D$92,'2100'!A70,'Daftar Koreksi'!$G$5:$G$92,"Peralatan dan mesin",'Daftar Koreksi'!$I$5:$I$92,"&lt;0")</f>
        <v>0</v>
      </c>
      <c r="G83" s="17">
        <f t="shared" si="3"/>
        <v>-1653079890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-1449679942</v>
      </c>
      <c r="E84" s="25">
        <f>SUMIFS('Daftar Koreksi'!$I$5:$I$92,'Daftar Koreksi'!$D$5:$D$92,'2100'!A70,'Daftar Koreksi'!$G$5:$G$92,"Gedung dan Bangunan",'Daftar Koreksi'!$I$5:$I$92,"&gt;0")</f>
        <v>0</v>
      </c>
      <c r="F84" s="25">
        <f>SUMIFS('Daftar Koreksi'!$I$5:$I$92,'Daftar Koreksi'!$D$5:$D$92,'2100'!A70,'Daftar Koreksi'!$G$5:$G$92,"Gedung dan Bangunan",'Daftar Koreksi'!$I$5:$I$92,"&lt;0")-SUMIFS('Daftar Koreksi'!$I$5:$I$92,'Daftar Koreksi'!$D$5:$D$92,'2100'!A70,'Daftar Koreksi'!$G$5:$G$92,"Gedung dan Bangunan",'Daftar Koreksi'!$I$5:$I$92,"&lt;0")-SUMIFS('Daftar Koreksi'!$I$5:$I$92,'Daftar Koreksi'!$D$5:$D$92,'2100'!A70,'Daftar Koreksi'!$G$5:$G$92,"Gedung dan Bangunan",'Daftar Koreksi'!$I$5:$I$92,"&lt;0")</f>
        <v>0</v>
      </c>
      <c r="G84" s="17">
        <f t="shared" si="3"/>
        <v>-1449679942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-19961453</v>
      </c>
      <c r="E85" s="25">
        <f>SUMIFS('Daftar Koreksi'!$I$5:$I$92,'Daftar Koreksi'!$D$5:$D$92,'2100'!A70,'Daftar Koreksi'!$G$5:$G$92,"Jalan Irigasi Jaringan",'Daftar Koreksi'!$I$5:$I$92,"&gt;0")</f>
        <v>0</v>
      </c>
      <c r="F85" s="25">
        <f>SUMIFS('Daftar Koreksi'!$I$5:$I$92,'Daftar Koreksi'!$D$5:$D$92,'2100'!A70,'Daftar Koreksi'!$G$5:$G$92,"Jalan Irigasi Jaringan",'Daftar Koreksi'!$I$5:$I$92,"&lt;0")-SUMIFS('Daftar Koreksi'!$I$5:$I$92,'Daftar Koreksi'!$D$5:$D$92,'2100'!A70,'Daftar Koreksi'!$G$5:$G$92,"Jalan Irigasi Jaringan",'Daftar Koreksi'!$I$5:$I$92,"&lt;0")-SUMIFS('Daftar Koreksi'!$I$5:$I$92,'Daftar Koreksi'!$D$5:$D$92,'2100'!A70,'Daftar Koreksi'!$G$5:$G$92,"Jalan Irigasi Jaringan",'Daftar Koreksi'!$I$5:$I$92,"&lt;0")</f>
        <v>0</v>
      </c>
      <c r="G85" s="17">
        <f t="shared" si="3"/>
        <v>-19961453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Koreksi'!$D$5:$D$92,'2100'!A70,'Daftar Koreksi'!$G$5:$G$92,"Aset Tetap Lainnya",'Daftar Koreksi'!$I$5:$I$92,"&gt;0")</f>
        <v>0</v>
      </c>
      <c r="F86" s="25">
        <f>SUMIFS('Daftar Koreksi'!$I$5:$I$92,'Daftar Koreksi'!$D$5:$D$92,'2100'!A70,'Daftar Koreksi'!$G$5:$G$92,"Aset Tetap Lainnya",'Daftar Koreksi'!$I$5:$I$92,"&lt;0")-SUMIFS('Daftar Koreksi'!$I$5:$I$92,'Daftar Koreksi'!$D$5:$D$92,'2100'!A70,'Daftar Koreksi'!$G$5:$G$92,"Aset Tetap Lainnya",'Daftar Koreksi'!$I$5:$I$92,"&lt;0")-SUMIFS('Daftar Koreksi'!$I$5:$I$92,'Daftar Koreksi'!$D$5:$D$92,'2100'!A70,'Daftar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-240704546</v>
      </c>
      <c r="E87" s="25">
        <f>SUMIFS('Daftar Koreksi'!$I$5:$I$92,'Daftar Koreksi'!$D$5:$D$92,'2100'!A70,'Daftar Koreksi'!$G$5:$G$92,"Aset Henti Guna",'Daftar Koreksi'!$I$5:$I$92,"&gt;0")</f>
        <v>0</v>
      </c>
      <c r="F87" s="25">
        <f>SUMIFS('Daftar Koreksi'!$I$5:$I$92,'Daftar Koreksi'!$D$5:$D$92,'2100'!A70,'Daftar Koreksi'!$G$5:$G$92,"Aset Henti Guna",'Daftar Koreksi'!$I$5:$I$92,"&lt;0")-SUMIFS('Daftar Koreksi'!$I$5:$I$92,'Daftar Koreksi'!$D$5:$D$92,'2100'!A70,'Daftar Koreksi'!$G$5:$G$92,"Aset Henti Guna",'Daftar Koreksi'!$I$5:$I$92,"&lt;0")-SUMIFS('Daftar Koreksi'!$I$5:$I$92,'Daftar Koreksi'!$D$5:$D$92,'2100'!A70,'Daftar Koreksi'!$G$5:$G$92,"Aset Henti Guna",'Daftar Koreksi'!$I$5:$I$92,"&lt;0")</f>
        <v>0</v>
      </c>
      <c r="G87" s="17">
        <f t="shared" si="3"/>
        <v>-240704546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-3363425831</v>
      </c>
      <c r="E88" s="19">
        <f>SUM(E83:E87)</f>
        <v>0</v>
      </c>
      <c r="F88" s="19">
        <f>SUM(F83:F87)</f>
        <v>0</v>
      </c>
      <c r="G88" s="19">
        <f t="shared" si="3"/>
        <v>-3363425831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8269672046</v>
      </c>
      <c r="E89" s="19">
        <f>E88+E82</f>
        <v>0</v>
      </c>
      <c r="F89" s="19">
        <f>F88+F82</f>
        <v>0</v>
      </c>
      <c r="G89" s="19">
        <f t="shared" si="3"/>
        <v>8269672046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005012100307754000KD</v>
      </c>
      <c r="B92" s="11" t="str">
        <f>P5</f>
        <v>PA. Ambon</v>
      </c>
      <c r="C92" s="12" t="str">
        <f>A92&amp;" "&amp;B92</f>
        <v>005012100307754000KD PA. Ambon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93000</v>
      </c>
      <c r="E95" s="25">
        <f>SUMIFS('Daftar Koreksi'!$H$5:$H$92,'Daftar Koreksi'!$D$5:$D$92,'2100'!A92,'Daftar Koreksi'!$G$5:$G$92,"Persediaan",'Daftar Koreksi'!$H$5:$H$92,"&gt;0")</f>
        <v>0</v>
      </c>
      <c r="F95" s="25">
        <f>SUMIFS('Daftar Koreksi'!$H$5:$H$92,'Daftar Koreksi'!$D$5:$D$92,'2100'!A92,'Daftar Koreksi'!$G$5:$G$92,"Persediaan",'Daftar Koreksi'!$H$5:$H$92,"&lt;0")-SUMIFS('Daftar Koreksi'!$H$5:$H$92,'Daftar Koreksi'!$D$5:$D$92,'2100'!A92,'Daftar Koreksi'!$G$5:$G$92,"Persediaan",'Daftar Koreksi'!$H$5:$H$92,"&lt;0")-SUMIFS('Daftar Koreksi'!$H$5:$H$92,'Daftar Koreksi'!$D$5:$D$92,'2100'!A92,'Daftar Koreksi'!$G$5:$G$92,"Persediaan",'Daftar Koreksi'!$H$5:$H$92,"&lt;0")</f>
        <v>0</v>
      </c>
      <c r="G95" s="17">
        <f>D95+E95-F95</f>
        <v>93000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1322800000</v>
      </c>
      <c r="E96" s="25">
        <f>SUMIFS('Daftar Koreksi'!$H$5:$H$92,'Daftar Koreksi'!$D$5:$D$92,'2100'!A92,'Daftar Koreksi'!$G$5:$G$92,"Tanah",'Daftar Koreksi'!$H$5:$H$92,"&gt;0")</f>
        <v>0</v>
      </c>
      <c r="F96" s="25">
        <f>SUMIFS('Daftar Koreksi'!$H$5:$H$92,'Daftar Koreksi'!$D$5:$D$92,'2100'!A92,'Daftar Koreksi'!$G$5:$G$92,"Tanah",'Daftar Koreksi'!$H$5:$H$92,"&lt;0")-SUMIFS('Daftar Koreksi'!$H$5:$H$92,'Daftar Koreksi'!$D$5:$D$92,'2100'!A92,'Daftar Koreksi'!$G$5:$G$92,"Tanah",'Daftar Koreksi'!$H$5:$H$92,"&lt;0")-SUMIFS('Daftar Koreksi'!$H$5:$H$92,'Daftar Koreksi'!$D$5:$D$92,'2100'!A92,'Daftar Koreksi'!$G$5:$G$92,"Tanah",'Daftar Koreksi'!$H$5:$H$92,"&lt;0")</f>
        <v>0</v>
      </c>
      <c r="G96" s="17">
        <f t="shared" ref="G96:G112" si="4">D96+E96-F96</f>
        <v>1322800000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2096100140</v>
      </c>
      <c r="E97" s="25">
        <f>SUMIFS('Daftar Koreksi'!$H$5:$H$92,'Daftar Koreksi'!$D$5:$D$92,'2100'!A92,'Daftar Koreksi'!$G$5:$G$92,"Peralatan dan mesin",'Daftar Koreksi'!$H$5:$H$92,"&gt;0")</f>
        <v>0</v>
      </c>
      <c r="F97" s="25">
        <f>SUMIFS('Daftar Koreksi'!$H$5:$H$92,'Daftar Koreksi'!$D$5:$D$92,'2100'!A92,'Daftar Koreksi'!$G$5:$G$92,"Peralatan dan mesin",'Daftar Koreksi'!$H$5:$H$92,"&lt;0")-SUMIFS('Daftar Koreksi'!$H$5:$H$92,'Daftar Koreksi'!$D$5:$D$92,'2100'!A92,'Daftar Koreksi'!$G$5:$G$92,"Peralatan dan mesin",'Daftar Koreksi'!$H$5:$H$92,"&lt;0")-SUMIFS('Daftar Koreksi'!$H$5:$H$92,'Daftar Koreksi'!$D$5:$D$92,'2100'!A92,'Daftar Koreksi'!$G$5:$G$92,"Peralatan dan mesin",'Daftar Koreksi'!$H$5:$H$92,"&lt;0")</f>
        <v>0</v>
      </c>
      <c r="G97" s="17">
        <f t="shared" si="4"/>
        <v>2096100140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2819219425</v>
      </c>
      <c r="E98" s="25">
        <f>SUMIFS('Daftar Koreksi'!$H$5:$H$92,'Daftar Koreksi'!$D$5:$D$92,'2100'!A92,'Daftar Koreksi'!$G$5:$G$92,"Gedung dan Bangunan",'Daftar Koreksi'!$H$5:$H$92,"&gt;0")</f>
        <v>0</v>
      </c>
      <c r="F98" s="25">
        <f>SUMIFS('Daftar Koreksi'!$H$5:$H$92,'Daftar Koreksi'!$D$5:$D$92,'2100'!A92,'Daftar Koreksi'!$G$5:$G$92,"Gedung dan Bangunan",'Daftar Koreksi'!$H$5:$H$92,"&lt;0")-SUMIFS('Daftar Koreksi'!$H$5:$H$92,'Daftar Koreksi'!$D$5:$D$92,'2100'!A92,'Daftar Koreksi'!$G$5:$G$92,"Gedung dan Bangunan",'Daftar Koreksi'!$H$5:$H$92,"&lt;0")-SUMIFS('Daftar Koreksi'!$H$5:$H$92,'Daftar Koreksi'!$D$5:$D$92,'2100'!A92,'Daftar Koreksi'!$G$5:$G$92,"Gedung dan Bangunan",'Daftar Koreksi'!$H$5:$H$92,"&lt;0")</f>
        <v>0</v>
      </c>
      <c r="G98" s="17">
        <f t="shared" si="4"/>
        <v>2819219425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180761900</v>
      </c>
      <c r="E99" s="25">
        <f>SUMIFS('Daftar Koreksi'!$H$5:$H$92,'Daftar Koreksi'!$D$5:$D$92,'2100'!A92,'Daftar Koreksi'!$G$5:$G$92,"Jalan Irigasi Jaringan",'Daftar Koreksi'!$H$5:$H$92,"&gt;0")</f>
        <v>0</v>
      </c>
      <c r="F99" s="25">
        <f>SUMIFS('Daftar Koreksi'!$H$5:$H$92,'Daftar Koreksi'!$D$5:$D$92,'2100'!A92,'Daftar Koreksi'!$G$5:$G$92,"Jalan Irigasi Jaringan",'Daftar Koreksi'!$H$5:$H$92,"&lt;0")-SUMIFS('Daftar Koreksi'!$H$5:$H$92,'Daftar Koreksi'!$D$5:$D$92,'2100'!A92,'Daftar Koreksi'!$G$5:$G$92,"Jalan Irigasi Jaringan",'Daftar Koreksi'!$H$5:$H$92,"&lt;0")-SUMIFS('Daftar Koreksi'!$H$5:$H$92,'Daftar Koreksi'!$D$5:$D$92,'2100'!A92,'Daftar Koreksi'!$G$5:$G$92,"Jalan Irigasi Jaringan",'Daftar Koreksi'!$H$5:$H$92,"&lt;0")</f>
        <v>0</v>
      </c>
      <c r="G99" s="17">
        <f t="shared" si="4"/>
        <v>180761900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4723970</v>
      </c>
      <c r="E100" s="25">
        <f>SUMIFS('Daftar Koreksi'!$H$5:$H$92,'Daftar Koreksi'!$D$5:$D$92,'2100'!A92,'Daftar Koreksi'!$G$5:$G$92,"Aset Tetap Lainnya",'Daftar Koreksi'!$H$5:$H$92,"&gt;0")</f>
        <v>0</v>
      </c>
      <c r="F100" s="25">
        <f>SUMIFS('Daftar Koreksi'!$H$5:$H$92,'Daftar Koreksi'!$D$5:$D$92,'2100'!A92,'Daftar Koreksi'!$G$5:$G$92,"Aset Tetap Lainnya",'Daftar Koreksi'!$H$5:$H$92,"&lt;0")-SUMIFS('Daftar Koreksi'!$H$5:$H$92,'Daftar Koreksi'!$D$5:$D$92,'2100'!A92,'Daftar Koreksi'!$G$5:$G$92,"Aset Tetap Lainnya",'Daftar Koreksi'!$H$5:$H$92,"&lt;0")-SUMIFS('Daftar Koreksi'!$H$5:$H$92,'Daftar Koreksi'!$D$5:$D$92,'2100'!A92,'Daftar Koreksi'!$G$5:$G$92,"Aset Tetap Lainnya",'Daftar Koreksi'!$H$5:$H$92,"&lt;0")</f>
        <v>0</v>
      </c>
      <c r="G100" s="17">
        <f t="shared" si="4"/>
        <v>4723970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Koreksi'!$D$5:$D$92,'2100'!A92,'Daftar Koreksi'!$G$5:$G$92,"Kontruksi Dalam Pengerjaan",'Daftar Koreksi'!$H$5:$H$92,"&gt;0")</f>
        <v>0</v>
      </c>
      <c r="F101" s="25">
        <f>SUMIFS('Daftar Koreksi'!$H$5:$H$92,'Daftar Koreksi'!$D$5:$D$92,'2100'!A92,'Daftar Koreksi'!$G$5:$G$92,"Kontruksi Dalam Pengerjaan",'Daftar Koreksi'!$H$5:$H$92,"&lt;0")-SUMIFS('Daftar Koreksi'!$H$5:$H$92,'Daftar Koreksi'!$D$5:$D$92,'2100'!A92,'Daftar Koreksi'!$G$5:$G$92,"Kontruksi Dalam Pengerjaan",'Daftar Koreksi'!$H$5:$H$92,"&lt;0")-SUMIFS('Daftar Koreksi'!$H$5:$H$92,'Daftar Koreksi'!$D$5:$D$92,'2100'!A92,'Daftar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Koreksi'!$D$5:$D$92,'2100'!A92,'Daftar Koreksi'!$G$5:$G$92,"Aset Tak Berwujud",'Daftar Koreksi'!$H$5:$H$92,"&gt;0")</f>
        <v>0</v>
      </c>
      <c r="F102" s="25">
        <f>SUMIFS('Daftar Koreksi'!$H$5:$H$92,'Daftar Koreksi'!$D$5:$D$92,'2100'!A92,'Daftar Koreksi'!$G$5:$G$92,"Aset Tak Berwujud",'Daftar Koreksi'!$H$5:$H$92,"&lt;0")-SUMIFS('Daftar Koreksi'!$H$5:$H$92,'Daftar Koreksi'!$D$5:$D$92,'2100'!A92,'Daftar Koreksi'!$G$5:$G$92,"Aset Tak Berwujud",'Daftar Koreksi'!$H$5:$H$92,"&lt;0")-SUMIFS('Daftar Koreksi'!$H$5:$H$92,'Daftar Koreksi'!$D$5:$D$92,'2100'!A92,'Daftar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Koreksi'!$D$5:$D$92,'2100'!A92,'Daftar Koreksi'!$G$5:$G$92,"Aset Henti Guna",'Daftar Koreksi'!$H$5:$H$92,"&gt;0")</f>
        <v>0</v>
      </c>
      <c r="F103" s="25">
        <f>SUMIFS('Daftar Koreksi'!$H$5:$H$92,'Daftar Koreksi'!$D$5:$D$92,'2100'!A92,'Daftar Koreksi'!$G$5:$G$92,"Aset Henti Guna",'Daftar Koreksi'!$H$5:$H$92,"&lt;0")-SUMIFS('Daftar Koreksi'!$H$5:$H$92,'Daftar Koreksi'!$D$5:$D$92,'2100'!A92,'Daftar Koreksi'!$G$5:$G$92,"Aset Henti Guna",'Daftar Koreksi'!$H$5:$H$92,"&lt;0")-SUMIFS('Daftar Koreksi'!$H$5:$H$92,'Daftar Koreksi'!$D$5:$D$92,'2100'!A92,'Daftar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6423698435</v>
      </c>
      <c r="E104" s="19">
        <f>SUM(E95:E103)</f>
        <v>0</v>
      </c>
      <c r="F104" s="19">
        <f>SUM(F95:F103)</f>
        <v>0</v>
      </c>
      <c r="G104" s="19">
        <f t="shared" si="4"/>
        <v>6423698435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-1575665834</v>
      </c>
      <c r="E105" s="25">
        <f>SUMIFS('Daftar Koreksi'!$I$5:$I$92,'Daftar Koreksi'!$D$5:$D$92,'2100'!A92,'Daftar Koreksi'!$G$5:$G$92,"Peralatan dan mesin",'Daftar Koreksi'!$I$5:$I$92,"&gt;0")</f>
        <v>0</v>
      </c>
      <c r="F105" s="25">
        <f>SUMIFS('Daftar Koreksi'!$I$5:$I$92,'Daftar Koreksi'!$D$5:$D$92,'2100'!A92,'Daftar Koreksi'!$G$5:$G$92,"Peralatan dan mesin",'Daftar Koreksi'!$I$5:$I$92,"&lt;0")-SUMIFS('Daftar Koreksi'!$I$5:$I$92,'Daftar Koreksi'!$D$5:$D$92,'2100'!A92,'Daftar Koreksi'!$G$5:$G$92,"Peralatan dan mesin",'Daftar Koreksi'!$I$5:$I$92,"&lt;0")-SUMIFS('Daftar Koreksi'!$I$5:$I$92,'Daftar Koreksi'!$D$5:$D$92,'2100'!A92,'Daftar Koreksi'!$G$5:$G$92,"Peralatan dan mesin",'Daftar Koreksi'!$I$5:$I$92,"&lt;0")</f>
        <v>0</v>
      </c>
      <c r="G105" s="17">
        <f t="shared" si="4"/>
        <v>-1575665834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-386954550</v>
      </c>
      <c r="E106" s="25">
        <f>SUMIFS('Daftar Koreksi'!$I$5:$I$92,'Daftar Koreksi'!$D$5:$D$92,'2100'!A92,'Daftar Koreksi'!$G$5:$G$92,"Gedung dan Bangunan",'Daftar Koreksi'!$I$5:$I$92,"&gt;0")</f>
        <v>0</v>
      </c>
      <c r="F106" s="25">
        <f>SUMIFS('Daftar Koreksi'!$I$5:$I$92,'Daftar Koreksi'!$D$5:$D$92,'2100'!A92,'Daftar Koreksi'!$G$5:$G$92,"Gedung dan Bangunan",'Daftar Koreksi'!$I$5:$I$92,"&lt;0")-SUMIFS('Daftar Koreksi'!$I$5:$I$92,'Daftar Koreksi'!$D$5:$D$92,'2100'!A92,'Daftar Koreksi'!$G$5:$G$92,"Gedung dan Bangunan",'Daftar Koreksi'!$I$5:$I$92,"&lt;0")-SUMIFS('Daftar Koreksi'!$I$5:$I$92,'Daftar Koreksi'!$D$5:$D$92,'2100'!A92,'Daftar Koreksi'!$G$5:$G$92,"Gedung dan Bangunan",'Daftar Koreksi'!$I$5:$I$92,"&lt;0")</f>
        <v>0</v>
      </c>
      <c r="G106" s="17">
        <f t="shared" si="4"/>
        <v>-386954550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-135571425</v>
      </c>
      <c r="E107" s="25">
        <f>SUMIFS('Daftar Koreksi'!$I$5:$I$92,'Daftar Koreksi'!$D$5:$D$92,'2100'!A92,'Daftar Koreksi'!$G$5:$G$92,"Jalan Irigasi Jaringan",'Daftar Koreksi'!$I$5:$I$92,"&gt;0")</f>
        <v>0</v>
      </c>
      <c r="F107" s="25">
        <f>SUMIFS('Daftar Koreksi'!$I$5:$I$92,'Daftar Koreksi'!$D$5:$D$92,'2100'!A92,'Daftar Koreksi'!$G$5:$G$92,"Jalan Irigasi Jaringan",'Daftar Koreksi'!$I$5:$I$92,"&lt;0")-SUMIFS('Daftar Koreksi'!$I$5:$I$92,'Daftar Koreksi'!$D$5:$D$92,'2100'!A92,'Daftar Koreksi'!$G$5:$G$92,"Jalan Irigasi Jaringan",'Daftar Koreksi'!$I$5:$I$92,"&lt;0")-SUMIFS('Daftar Koreksi'!$I$5:$I$92,'Daftar Koreksi'!$D$5:$D$92,'2100'!A92,'Daftar Koreksi'!$G$5:$G$92,"Jalan Irigasi Jaringan",'Daftar Koreksi'!$I$5:$I$92,"&lt;0")</f>
        <v>0</v>
      </c>
      <c r="G107" s="17">
        <f t="shared" si="4"/>
        <v>-135571425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Koreksi'!$D$5:$D$92,'2100'!A92,'Daftar Koreksi'!$G$5:$G$92,"Aset Tetap Lainnya",'Daftar Koreksi'!$I$5:$I$92,"&gt;0")</f>
        <v>0</v>
      </c>
      <c r="F108" s="25">
        <f>SUMIFS('Daftar Koreksi'!$I$5:$I$92,'Daftar Koreksi'!$D$5:$D$92,'2100'!A92,'Daftar Koreksi'!$G$5:$G$92,"Aset Tetap Lainnya",'Daftar Koreksi'!$I$5:$I$92,"&lt;0")-SUMIFS('Daftar Koreksi'!$I$5:$I$92,'Daftar Koreksi'!$D$5:$D$92,'2100'!A92,'Daftar Koreksi'!$G$5:$G$92,"Aset Tetap Lainnya",'Daftar Koreksi'!$I$5:$I$92,"&lt;0")-SUMIFS('Daftar Koreksi'!$I$5:$I$92,'Daftar Koreksi'!$D$5:$D$92,'2100'!A92,'Daftar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Koreksi'!$D$5:$D$92,'2100'!A92,'Daftar Koreksi'!$G$5:$G$92,"Aset Henti Guna",'Daftar Koreksi'!$I$5:$I$92,"&gt;0")</f>
        <v>0</v>
      </c>
      <c r="F109" s="25">
        <f>SUMIFS('Daftar Koreksi'!$I$5:$I$92,'Daftar Koreksi'!$D$5:$D$92,'2100'!A92,'Daftar Koreksi'!$G$5:$G$92,"Aset Henti Guna",'Daftar Koreksi'!$I$5:$I$92,"&lt;0")-SUMIFS('Daftar Koreksi'!$I$5:$I$92,'Daftar Koreksi'!$D$5:$D$92,'2100'!A92,'Daftar Koreksi'!$G$5:$G$92,"Aset Henti Guna",'Daftar Koreksi'!$I$5:$I$92,"&lt;0")-SUMIFS('Daftar Koreksi'!$I$5:$I$92,'Daftar Koreksi'!$D$5:$D$92,'2100'!A92,'Daftar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-2098191809</v>
      </c>
      <c r="E110" s="19">
        <f>SUM(E105:E109)</f>
        <v>0</v>
      </c>
      <c r="F110" s="19">
        <f>SUM(F105:F109)</f>
        <v>0</v>
      </c>
      <c r="G110" s="19">
        <f t="shared" si="4"/>
        <v>-2098191809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4325506626</v>
      </c>
      <c r="E111" s="19">
        <f>E110+E104</f>
        <v>0</v>
      </c>
      <c r="F111" s="19">
        <f>F110+F104</f>
        <v>0</v>
      </c>
      <c r="G111" s="19">
        <f t="shared" si="4"/>
        <v>4325506626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005012100307761000KD</v>
      </c>
      <c r="B114" s="11" t="str">
        <f>P6</f>
        <v>PA. Tual</v>
      </c>
      <c r="C114" s="12" t="str">
        <f>A114&amp;" "&amp;B114</f>
        <v>005012100307761000KD PA. Tual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324000</v>
      </c>
      <c r="E117" s="25">
        <f>SUMIFS('Daftar Koreksi'!$H$5:$H$92,'Daftar Koreksi'!$D$5:$D$92,'2100'!A114,'Daftar Koreksi'!$G$5:$G$92,"Persediaan",'Daftar Koreksi'!$H$5:$H$92,"&gt;0")</f>
        <v>0</v>
      </c>
      <c r="F117" s="25">
        <f>SUMIFS('Daftar Koreksi'!$H$5:$H$92,'Daftar Koreksi'!$D$5:$D$92,'2100'!A114,'Daftar Koreksi'!$G$5:$G$92,"Persediaan",'Daftar Koreksi'!$H$5:$H$92,"&lt;0")-SUMIFS('Daftar Koreksi'!$H$5:$H$92,'Daftar Koreksi'!$D$5:$D$92,'2100'!A114,'Daftar Koreksi'!$G$5:$G$92,"Persediaan",'Daftar Koreksi'!$H$5:$H$92,"&lt;0")-SUMIFS('Daftar Koreksi'!$H$5:$H$92,'Daftar Koreksi'!$D$5:$D$92,'2100'!A114,'Daftar Koreksi'!$G$5:$G$92,"Persediaan",'Daftar Koreksi'!$H$5:$H$92,"&lt;0")</f>
        <v>0</v>
      </c>
      <c r="G117" s="17">
        <f>D117+E117-F117</f>
        <v>324000</v>
      </c>
      <c r="H117" s="121" t="str">
        <f>IF(ISNA(VLOOKUP(A114,'Mutasi Neraca'!$A$3:$S$914,19,FALSE)),"-",VLOOKUP(A114,'Mutasi Neraca'!$A$3:$S$914,19,FALSE))</f>
        <v>TP. No 4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1033000000</v>
      </c>
      <c r="E118" s="25">
        <f>SUMIFS('Daftar Koreksi'!$H$5:$H$92,'Daftar Koreksi'!$D$5:$D$92,'2100'!A114,'Daftar Koreksi'!$G$5:$G$92,"Tanah",'Daftar Koreksi'!$H$5:$H$92,"&gt;0")</f>
        <v>0</v>
      </c>
      <c r="F118" s="25">
        <f>SUMIFS('Daftar Koreksi'!$H$5:$H$92,'Daftar Koreksi'!$D$5:$D$92,'2100'!A114,'Daftar Koreksi'!$G$5:$G$92,"Tanah",'Daftar Koreksi'!$H$5:$H$92,"&lt;0")-SUMIFS('Daftar Koreksi'!$H$5:$H$92,'Daftar Koreksi'!$D$5:$D$92,'2100'!A114,'Daftar Koreksi'!$G$5:$G$92,"Tanah",'Daftar Koreksi'!$H$5:$H$92,"&lt;0")-SUMIFS('Daftar Koreksi'!$H$5:$H$92,'Daftar Koreksi'!$D$5:$D$92,'2100'!A114,'Daftar Koreksi'!$G$5:$G$92,"Tanah",'Daftar Koreksi'!$H$5:$H$92,"&lt;0")</f>
        <v>0</v>
      </c>
      <c r="G118" s="17">
        <f t="shared" ref="G118:G134" si="5">D118+E118-F118</f>
        <v>1033000000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1377954983</v>
      </c>
      <c r="E119" s="25">
        <f>SUMIFS('Daftar Koreksi'!$H$5:$H$92,'Daftar Koreksi'!$D$5:$D$92,'2100'!A114,'Daftar Koreksi'!$G$5:$G$92,"Peralatan dan mesin",'Daftar Koreksi'!$H$5:$H$92,"&gt;0")</f>
        <v>3895309</v>
      </c>
      <c r="F119" s="25">
        <f>SUMIFS('Daftar Koreksi'!$H$5:$H$92,'Daftar Koreksi'!$D$5:$D$92,'2100'!A114,'Daftar Koreksi'!$G$5:$G$92,"Peralatan dan mesin",'Daftar Koreksi'!$H$5:$H$92,"&lt;0")-SUMIFS('Daftar Koreksi'!$H$5:$H$92,'Daftar Koreksi'!$D$5:$D$92,'2100'!A114,'Daftar Koreksi'!$G$5:$G$92,"Peralatan dan mesin",'Daftar Koreksi'!$H$5:$H$92,"&lt;0")-SUMIFS('Daftar Koreksi'!$H$5:$H$92,'Daftar Koreksi'!$D$5:$D$92,'2100'!A114,'Daftar Koreksi'!$G$5:$G$92,"Peralatan dan mesin",'Daftar Koreksi'!$H$5:$H$92,"&lt;0")</f>
        <v>0</v>
      </c>
      <c r="G119" s="17">
        <f t="shared" si="5"/>
        <v>1381850292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8810824000</v>
      </c>
      <c r="E120" s="25">
        <f>SUMIFS('Daftar Koreksi'!$H$5:$H$92,'Daftar Koreksi'!$D$5:$D$92,'2100'!A114,'Daftar Koreksi'!$G$5:$G$92,"Gedung dan Bangunan",'Daftar Koreksi'!$H$5:$H$92,"&gt;0")</f>
        <v>0</v>
      </c>
      <c r="F120" s="25">
        <f>SUMIFS('Daftar Koreksi'!$H$5:$H$92,'Daftar Koreksi'!$D$5:$D$92,'2100'!A114,'Daftar Koreksi'!$G$5:$G$92,"Gedung dan Bangunan",'Daftar Koreksi'!$H$5:$H$92,"&lt;0")-SUMIFS('Daftar Koreksi'!$H$5:$H$92,'Daftar Koreksi'!$D$5:$D$92,'2100'!A114,'Daftar Koreksi'!$G$5:$G$92,"Gedung dan Bangunan",'Daftar Koreksi'!$H$5:$H$92,"&lt;0")-SUMIFS('Daftar Koreksi'!$H$5:$H$92,'Daftar Koreksi'!$D$5:$D$92,'2100'!A114,'Daftar Koreksi'!$G$5:$G$92,"Gedung dan Bangunan",'Daftar Koreksi'!$H$5:$H$92,"&lt;0")</f>
        <v>0</v>
      </c>
      <c r="G120" s="17">
        <f t="shared" si="5"/>
        <v>8810824000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Koreksi'!$D$5:$D$92,'2100'!A114,'Daftar Koreksi'!$G$5:$G$92,"Jalan Irigasi Jaringan",'Daftar Koreksi'!$H$5:$H$92,"&gt;0")</f>
        <v>0</v>
      </c>
      <c r="F121" s="25">
        <f>SUMIFS('Daftar Koreksi'!$H$5:$H$92,'Daftar Koreksi'!$D$5:$D$92,'2100'!A114,'Daftar Koreksi'!$G$5:$G$92,"Jalan Irigasi Jaringan",'Daftar Koreksi'!$H$5:$H$92,"&lt;0")-SUMIFS('Daftar Koreksi'!$H$5:$H$92,'Daftar Koreksi'!$D$5:$D$92,'2100'!A114,'Daftar Koreksi'!$G$5:$G$92,"Jalan Irigasi Jaringan",'Daftar Koreksi'!$H$5:$H$92,"&lt;0")-SUMIFS('Daftar Koreksi'!$H$5:$H$92,'Daftar Koreksi'!$D$5:$D$92,'2100'!A114,'Daftar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6523970</v>
      </c>
      <c r="E122" s="25">
        <f>SUMIFS('Daftar Koreksi'!$H$5:$H$92,'Daftar Koreksi'!$D$5:$D$92,'2100'!A114,'Daftar Koreksi'!$G$5:$G$92,"Aset Tetap Lainnya",'Daftar Koreksi'!$H$5:$H$92,"&gt;0")</f>
        <v>0</v>
      </c>
      <c r="F122" s="25">
        <f>SUMIFS('Daftar Koreksi'!$H$5:$H$92,'Daftar Koreksi'!$D$5:$D$92,'2100'!A114,'Daftar Koreksi'!$G$5:$G$92,"Aset Tetap Lainnya",'Daftar Koreksi'!$H$5:$H$92,"&lt;0")-SUMIFS('Daftar Koreksi'!$H$5:$H$92,'Daftar Koreksi'!$D$5:$D$92,'2100'!A114,'Daftar Koreksi'!$G$5:$G$92,"Aset Tetap Lainnya",'Daftar Koreksi'!$H$5:$H$92,"&lt;0")-SUMIFS('Daftar Koreksi'!$H$5:$H$92,'Daftar Koreksi'!$D$5:$D$92,'2100'!A114,'Daftar Koreksi'!$G$5:$G$92,"Aset Tetap Lainnya",'Daftar Koreksi'!$H$5:$H$92,"&lt;0")</f>
        <v>0</v>
      </c>
      <c r="G122" s="17">
        <f t="shared" si="5"/>
        <v>6523970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Koreksi'!$D$5:$D$92,'2100'!A114,'Daftar Koreksi'!$G$5:$G$92,"Kontruksi Dalam Pengerjaan",'Daftar Koreksi'!$H$5:$H$92,"&gt;0")</f>
        <v>0</v>
      </c>
      <c r="F123" s="25">
        <f>SUMIFS('Daftar Koreksi'!$H$5:$H$92,'Daftar Koreksi'!$D$5:$D$92,'2100'!A114,'Daftar Koreksi'!$G$5:$G$92,"Kontruksi Dalam Pengerjaan",'Daftar Koreksi'!$H$5:$H$92,"&lt;0")-SUMIFS('Daftar Koreksi'!$H$5:$H$92,'Daftar Koreksi'!$D$5:$D$92,'2100'!A114,'Daftar Koreksi'!$G$5:$G$92,"Kontruksi Dalam Pengerjaan",'Daftar Koreksi'!$H$5:$H$92,"&lt;0")-SUMIFS('Daftar Koreksi'!$H$5:$H$92,'Daftar Koreksi'!$D$5:$D$92,'2100'!A114,'Daftar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Koreksi'!$D$5:$D$92,'2100'!A114,'Daftar Koreksi'!$G$5:$G$92,"Aset Tak Berwujud",'Daftar Koreksi'!$H$5:$H$92,"&gt;0")</f>
        <v>0</v>
      </c>
      <c r="F124" s="25">
        <f>SUMIFS('Daftar Koreksi'!$H$5:$H$92,'Daftar Koreksi'!$D$5:$D$92,'2100'!A114,'Daftar Koreksi'!$G$5:$G$92,"Aset Tak Berwujud",'Daftar Koreksi'!$H$5:$H$92,"&lt;0")-SUMIFS('Daftar Koreksi'!$H$5:$H$92,'Daftar Koreksi'!$D$5:$D$92,'2100'!A114,'Daftar Koreksi'!$G$5:$G$92,"Aset Tak Berwujud",'Daftar Koreksi'!$H$5:$H$92,"&lt;0")-SUMIFS('Daftar Koreksi'!$H$5:$H$92,'Daftar Koreksi'!$D$5:$D$92,'2100'!A114,'Daftar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715500</v>
      </c>
      <c r="E125" s="25">
        <f>SUMIFS('Daftar Koreksi'!$H$5:$H$92,'Daftar Koreksi'!$D$5:$D$92,'2100'!A114,'Daftar Koreksi'!$G$5:$G$92,"Aset Henti Guna",'Daftar Koreksi'!$H$5:$H$92,"&gt;0")</f>
        <v>0</v>
      </c>
      <c r="F125" s="25">
        <f>SUMIFS('Daftar Koreksi'!$H$5:$H$92,'Daftar Koreksi'!$D$5:$D$92,'2100'!A114,'Daftar Koreksi'!$G$5:$G$92,"Aset Henti Guna",'Daftar Koreksi'!$H$5:$H$92,"&lt;0")-SUMIFS('Daftar Koreksi'!$H$5:$H$92,'Daftar Koreksi'!$D$5:$D$92,'2100'!A114,'Daftar Koreksi'!$G$5:$G$92,"Aset Henti Guna",'Daftar Koreksi'!$H$5:$H$92,"&lt;0")-SUMIFS('Daftar Koreksi'!$H$5:$H$92,'Daftar Koreksi'!$D$5:$D$92,'2100'!A114,'Daftar Koreksi'!$G$5:$G$92,"Aset Henti Guna",'Daftar Koreksi'!$H$5:$H$92,"&lt;0")</f>
        <v>0</v>
      </c>
      <c r="G125" s="17">
        <f t="shared" si="5"/>
        <v>715500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11229342453</v>
      </c>
      <c r="E126" s="19">
        <f>SUM(E117:E125)</f>
        <v>3895309</v>
      </c>
      <c r="F126" s="19">
        <f>SUM(F117:F125)</f>
        <v>0</v>
      </c>
      <c r="G126" s="19">
        <f t="shared" si="5"/>
        <v>11233237762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-1171419344</v>
      </c>
      <c r="E127" s="25">
        <f>SUMIFS('Daftar Koreksi'!$I$5:$I$92,'Daftar Koreksi'!$D$5:$D$92,'2100'!A114,'Daftar Koreksi'!$G$5:$G$92,"Peralatan dan mesin",'Daftar Koreksi'!$I$5:$I$92,"&gt;0")</f>
        <v>0</v>
      </c>
      <c r="F127" s="25">
        <f>SUMIFS('Daftar Koreksi'!$I$5:$I$92,'Daftar Koreksi'!$D$5:$D$92,'2100'!A114,'Daftar Koreksi'!$G$5:$G$92,"Peralatan dan mesin",'Daftar Koreksi'!$I$5:$I$92,"&lt;0")-SUMIFS('Daftar Koreksi'!$I$5:$I$92,'Daftar Koreksi'!$D$5:$D$92,'2100'!A114,'Daftar Koreksi'!$G$5:$G$92,"Peralatan dan mesin",'Daftar Koreksi'!$I$5:$I$92,"&lt;0")-SUMIFS('Daftar Koreksi'!$I$5:$I$92,'Daftar Koreksi'!$D$5:$D$92,'2100'!A114,'Daftar Koreksi'!$G$5:$G$92,"Peralatan dan mesin",'Daftar Koreksi'!$I$5:$I$92,"&lt;0")</f>
        <v>389531</v>
      </c>
      <c r="G127" s="17">
        <f t="shared" si="5"/>
        <v>-1171808875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-699256432</v>
      </c>
      <c r="E128" s="25">
        <f>SUMIFS('Daftar Koreksi'!$I$5:$I$92,'Daftar Koreksi'!$D$5:$D$92,'2100'!A114,'Daftar Koreksi'!$G$5:$G$92,"Gedung dan Bangunan",'Daftar Koreksi'!$I$5:$I$92,"&gt;0")</f>
        <v>0</v>
      </c>
      <c r="F128" s="25">
        <f>SUMIFS('Daftar Koreksi'!$I$5:$I$92,'Daftar Koreksi'!$D$5:$D$92,'2100'!A114,'Daftar Koreksi'!$G$5:$G$92,"Gedung dan Bangunan",'Daftar Koreksi'!$I$5:$I$92,"&lt;0")-SUMIFS('Daftar Koreksi'!$I$5:$I$92,'Daftar Koreksi'!$D$5:$D$92,'2100'!A114,'Daftar Koreksi'!$G$5:$G$92,"Gedung dan Bangunan",'Daftar Koreksi'!$I$5:$I$92,"&lt;0")-SUMIFS('Daftar Koreksi'!$I$5:$I$92,'Daftar Koreksi'!$D$5:$D$92,'2100'!A114,'Daftar Koreksi'!$G$5:$G$92,"Gedung dan Bangunan",'Daftar Koreksi'!$I$5:$I$92,"&lt;0")</f>
        <v>0</v>
      </c>
      <c r="G128" s="17">
        <f t="shared" si="5"/>
        <v>-699256432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Koreksi'!$D$5:$D$92,'2100'!A114,'Daftar Koreksi'!$G$5:$G$92,"Jalan Irigasi Jaringan",'Daftar Koreksi'!$I$5:$I$92,"&gt;0")</f>
        <v>0</v>
      </c>
      <c r="F129" s="25">
        <f>SUMIFS('Daftar Koreksi'!$I$5:$I$92,'Daftar Koreksi'!$D$5:$D$92,'2100'!A114,'Daftar Koreksi'!$G$5:$G$92,"Jalan Irigasi Jaringan",'Daftar Koreksi'!$I$5:$I$92,"&lt;0")-SUMIFS('Daftar Koreksi'!$I$5:$I$92,'Daftar Koreksi'!$D$5:$D$92,'2100'!A114,'Daftar Koreksi'!$G$5:$G$92,"Jalan Irigasi Jaringan",'Daftar Koreksi'!$I$5:$I$92,"&lt;0")-SUMIFS('Daftar Koreksi'!$I$5:$I$92,'Daftar Koreksi'!$D$5:$D$92,'2100'!A114,'Daftar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Koreksi'!$D$5:$D$92,'2100'!A114,'Daftar Koreksi'!$G$5:$G$92,"Aset Tetap Lainnya",'Daftar Koreksi'!$I$5:$I$92,"&gt;0")</f>
        <v>0</v>
      </c>
      <c r="F130" s="25">
        <f>SUMIFS('Daftar Koreksi'!$I$5:$I$92,'Daftar Koreksi'!$D$5:$D$92,'2100'!A114,'Daftar Koreksi'!$G$5:$G$92,"Aset Tetap Lainnya",'Daftar Koreksi'!$I$5:$I$92,"&lt;0")-SUMIFS('Daftar Koreksi'!$I$5:$I$92,'Daftar Koreksi'!$D$5:$D$92,'2100'!A114,'Daftar Koreksi'!$G$5:$G$92,"Aset Tetap Lainnya",'Daftar Koreksi'!$I$5:$I$92,"&lt;0")-SUMIFS('Daftar Koreksi'!$I$5:$I$92,'Daftar Koreksi'!$D$5:$D$92,'2100'!A114,'Daftar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-715500</v>
      </c>
      <c r="E131" s="25">
        <f>SUMIFS('Daftar Koreksi'!$I$5:$I$92,'Daftar Koreksi'!$D$5:$D$92,'2100'!A114,'Daftar Koreksi'!$G$5:$G$92,"Aset Henti Guna",'Daftar Koreksi'!$I$5:$I$92,"&gt;0")</f>
        <v>0</v>
      </c>
      <c r="F131" s="25">
        <f>SUMIFS('Daftar Koreksi'!$I$5:$I$92,'Daftar Koreksi'!$D$5:$D$92,'2100'!A114,'Daftar Koreksi'!$G$5:$G$92,"Aset Henti Guna",'Daftar Koreksi'!$I$5:$I$92,"&lt;0")-SUMIFS('Daftar Koreksi'!$I$5:$I$92,'Daftar Koreksi'!$D$5:$D$92,'2100'!A114,'Daftar Koreksi'!$G$5:$G$92,"Aset Henti Guna",'Daftar Koreksi'!$I$5:$I$92,"&lt;0")-SUMIFS('Daftar Koreksi'!$I$5:$I$92,'Daftar Koreksi'!$D$5:$D$92,'2100'!A114,'Daftar Koreksi'!$G$5:$G$92,"Aset Henti Guna",'Daftar Koreksi'!$I$5:$I$92,"&lt;0")</f>
        <v>0</v>
      </c>
      <c r="G131" s="17">
        <f t="shared" si="5"/>
        <v>-715500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-1871391276</v>
      </c>
      <c r="E132" s="19">
        <f>SUM(E127:E131)</f>
        <v>0</v>
      </c>
      <c r="F132" s="19">
        <f>SUM(F127:F131)</f>
        <v>389531</v>
      </c>
      <c r="G132" s="19">
        <f t="shared" si="5"/>
        <v>-1871780807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9357951177</v>
      </c>
      <c r="E133" s="19">
        <f>E132+E126</f>
        <v>3895309</v>
      </c>
      <c r="F133" s="19">
        <f>F132+F126</f>
        <v>389531</v>
      </c>
      <c r="G133" s="19">
        <f t="shared" si="5"/>
        <v>9361456955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005012100307775000KD</v>
      </c>
      <c r="B136" s="11" t="str">
        <f>P7</f>
        <v>PA. Masohi</v>
      </c>
      <c r="C136" s="12" t="str">
        <f>A136&amp;" "&amp;B136</f>
        <v>005012100307775000KD PA. Masohi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140000</v>
      </c>
      <c r="E139" s="25">
        <f>SUMIFS('Daftar Koreksi'!$H$5:$H$92,'Daftar Koreksi'!$D$5:$D$92,'2100'!A136,'Daftar Koreksi'!$G$5:$G$92,"Persediaan",'Daftar Koreksi'!$H$5:$H$92,"&gt;0")</f>
        <v>0</v>
      </c>
      <c r="F139" s="25">
        <f>SUMIFS('Daftar Koreksi'!$H$5:$H$92,'Daftar Koreksi'!$D$5:$D$92,'2100'!A136,'Daftar Koreksi'!$G$5:$G$92,"Persediaan",'Daftar Koreksi'!$H$5:$H$92,"&lt;0")-SUMIFS('Daftar Koreksi'!$H$5:$H$92,'Daftar Koreksi'!$D$5:$D$92,'2100'!A136,'Daftar Koreksi'!$G$5:$G$92,"Persediaan",'Daftar Koreksi'!$H$5:$H$92,"&lt;0")-SUMIFS('Daftar Koreksi'!$H$5:$H$92,'Daftar Koreksi'!$D$5:$D$92,'2100'!A136,'Daftar Koreksi'!$G$5:$G$92,"Persediaan",'Daftar Koreksi'!$H$5:$H$92,"&lt;0")</f>
        <v>0</v>
      </c>
      <c r="G139" s="17">
        <f>D139+E139-F139</f>
        <v>140000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1029900000</v>
      </c>
      <c r="E140" s="25">
        <f>SUMIFS('Daftar Koreksi'!$H$5:$H$92,'Daftar Koreksi'!$D$5:$D$92,'2100'!A136,'Daftar Koreksi'!$G$5:$G$92,"Tanah",'Daftar Koreksi'!$H$5:$H$92,"&gt;0")</f>
        <v>0</v>
      </c>
      <c r="F140" s="25">
        <f>SUMIFS('Daftar Koreksi'!$H$5:$H$92,'Daftar Koreksi'!$D$5:$D$92,'2100'!A136,'Daftar Koreksi'!$G$5:$G$92,"Tanah",'Daftar Koreksi'!$H$5:$H$92,"&lt;0")-SUMIFS('Daftar Koreksi'!$H$5:$H$92,'Daftar Koreksi'!$D$5:$D$92,'2100'!A136,'Daftar Koreksi'!$G$5:$G$92,"Tanah",'Daftar Koreksi'!$H$5:$H$92,"&lt;0")-SUMIFS('Daftar Koreksi'!$H$5:$H$92,'Daftar Koreksi'!$D$5:$D$92,'2100'!A136,'Daftar Koreksi'!$G$5:$G$92,"Tanah",'Daftar Koreksi'!$H$5:$H$92,"&lt;0")</f>
        <v>0</v>
      </c>
      <c r="G140" s="17">
        <f t="shared" ref="G140:G156" si="6">D140+E140-F140</f>
        <v>1029900000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1277962176</v>
      </c>
      <c r="E141" s="25">
        <f>SUMIFS('Daftar Koreksi'!$H$5:$H$92,'Daftar Koreksi'!$D$5:$D$92,'2100'!A136,'Daftar Koreksi'!$G$5:$G$92,"Peralatan dan mesin",'Daftar Koreksi'!$H$5:$H$92,"&gt;0")</f>
        <v>0</v>
      </c>
      <c r="F141" s="25">
        <f>SUMIFS('Daftar Koreksi'!$H$5:$H$92,'Daftar Koreksi'!$D$5:$D$92,'2100'!A136,'Daftar Koreksi'!$G$5:$G$92,"Peralatan dan mesin",'Daftar Koreksi'!$H$5:$H$92,"&lt;0")-SUMIFS('Daftar Koreksi'!$H$5:$H$92,'Daftar Koreksi'!$D$5:$D$92,'2100'!A136,'Daftar Koreksi'!$G$5:$G$92,"Peralatan dan mesin",'Daftar Koreksi'!$H$5:$H$92,"&lt;0")-SUMIFS('Daftar Koreksi'!$H$5:$H$92,'Daftar Koreksi'!$D$5:$D$92,'2100'!A136,'Daftar Koreksi'!$G$5:$G$92,"Peralatan dan mesin",'Daftar Koreksi'!$H$5:$H$92,"&lt;0")</f>
        <v>0</v>
      </c>
      <c r="G141" s="17">
        <f t="shared" si="6"/>
        <v>1277962176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2175924700</v>
      </c>
      <c r="E142" s="25">
        <f>SUMIFS('Daftar Koreksi'!$H$5:$H$92,'Daftar Koreksi'!$D$5:$D$92,'2100'!A136,'Daftar Koreksi'!$G$5:$G$92,"Gedung dan Bangunan",'Daftar Koreksi'!$H$5:$H$92,"&gt;0")</f>
        <v>0</v>
      </c>
      <c r="F142" s="25">
        <f>SUMIFS('Daftar Koreksi'!$H$5:$H$92,'Daftar Koreksi'!$D$5:$D$92,'2100'!A136,'Daftar Koreksi'!$G$5:$G$92,"Gedung dan Bangunan",'Daftar Koreksi'!$H$5:$H$92,"&lt;0")-SUMIFS('Daftar Koreksi'!$H$5:$H$92,'Daftar Koreksi'!$D$5:$D$92,'2100'!A136,'Daftar Koreksi'!$G$5:$G$92,"Gedung dan Bangunan",'Daftar Koreksi'!$H$5:$H$92,"&lt;0")-SUMIFS('Daftar Koreksi'!$H$5:$H$92,'Daftar Koreksi'!$D$5:$D$92,'2100'!A136,'Daftar Koreksi'!$G$5:$G$92,"Gedung dan Bangunan",'Daftar Koreksi'!$H$5:$H$92,"&lt;0")</f>
        <v>0</v>
      </c>
      <c r="G142" s="17">
        <f t="shared" si="6"/>
        <v>2175924700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19519000</v>
      </c>
      <c r="E143" s="25">
        <f>SUMIFS('Daftar Koreksi'!$H$5:$H$92,'Daftar Koreksi'!$D$5:$D$92,'2100'!A136,'Daftar Koreksi'!$G$5:$G$92,"Jalan Irigasi Jaringan",'Daftar Koreksi'!$H$5:$H$92,"&gt;0")</f>
        <v>0</v>
      </c>
      <c r="F143" s="25">
        <f>SUMIFS('Daftar Koreksi'!$H$5:$H$92,'Daftar Koreksi'!$D$5:$D$92,'2100'!A136,'Daftar Koreksi'!$G$5:$G$92,"Jalan Irigasi Jaringan",'Daftar Koreksi'!$H$5:$H$92,"&lt;0")-SUMIFS('Daftar Koreksi'!$H$5:$H$92,'Daftar Koreksi'!$D$5:$D$92,'2100'!A136,'Daftar Koreksi'!$G$5:$G$92,"Jalan Irigasi Jaringan",'Daftar Koreksi'!$H$5:$H$92,"&lt;0")-SUMIFS('Daftar Koreksi'!$H$5:$H$92,'Daftar Koreksi'!$D$5:$D$92,'2100'!A136,'Daftar Koreksi'!$G$5:$G$92,"Jalan Irigasi Jaringan",'Daftar Koreksi'!$H$5:$H$92,"&lt;0")</f>
        <v>0</v>
      </c>
      <c r="G143" s="17">
        <f t="shared" si="6"/>
        <v>19519000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4769246</v>
      </c>
      <c r="E144" s="25">
        <f>SUMIFS('Daftar Koreksi'!$H$5:$H$92,'Daftar Koreksi'!$D$5:$D$92,'2100'!A136,'Daftar Koreksi'!$G$5:$G$92,"Aset Tetap Lainnya",'Daftar Koreksi'!$H$5:$H$92,"&gt;0")</f>
        <v>0</v>
      </c>
      <c r="F144" s="25">
        <f>SUMIFS('Daftar Koreksi'!$H$5:$H$92,'Daftar Koreksi'!$D$5:$D$92,'2100'!A136,'Daftar Koreksi'!$G$5:$G$92,"Aset Tetap Lainnya",'Daftar Koreksi'!$H$5:$H$92,"&lt;0")-SUMIFS('Daftar Koreksi'!$H$5:$H$92,'Daftar Koreksi'!$D$5:$D$92,'2100'!A136,'Daftar Koreksi'!$G$5:$G$92,"Aset Tetap Lainnya",'Daftar Koreksi'!$H$5:$H$92,"&lt;0")-SUMIFS('Daftar Koreksi'!$H$5:$H$92,'Daftar Koreksi'!$D$5:$D$92,'2100'!A136,'Daftar Koreksi'!$G$5:$G$92,"Aset Tetap Lainnya",'Daftar Koreksi'!$H$5:$H$92,"&lt;0")</f>
        <v>0</v>
      </c>
      <c r="G144" s="17">
        <f t="shared" si="6"/>
        <v>4769246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Koreksi'!$D$5:$D$92,'2100'!A136,'Daftar Koreksi'!$G$5:$G$92,"Kontruksi Dalam Pengerjaan",'Daftar Koreksi'!$H$5:$H$92,"&gt;0")</f>
        <v>0</v>
      </c>
      <c r="F145" s="25">
        <f>SUMIFS('Daftar Koreksi'!$H$5:$H$92,'Daftar Koreksi'!$D$5:$D$92,'2100'!A136,'Daftar Koreksi'!$G$5:$G$92,"Kontruksi Dalam Pengerjaan",'Daftar Koreksi'!$H$5:$H$92,"&lt;0")-SUMIFS('Daftar Koreksi'!$H$5:$H$92,'Daftar Koreksi'!$D$5:$D$92,'2100'!A136,'Daftar Koreksi'!$G$5:$G$92,"Kontruksi Dalam Pengerjaan",'Daftar Koreksi'!$H$5:$H$92,"&lt;0")-SUMIFS('Daftar Koreksi'!$H$5:$H$92,'Daftar Koreksi'!$D$5:$D$92,'2100'!A136,'Daftar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Koreksi'!$D$5:$D$92,'2100'!A136,'Daftar Koreksi'!$G$5:$G$92,"Aset Tak Berwujud",'Daftar Koreksi'!$H$5:$H$92,"&gt;0")</f>
        <v>0</v>
      </c>
      <c r="F146" s="25">
        <f>SUMIFS('Daftar Koreksi'!$H$5:$H$92,'Daftar Koreksi'!$D$5:$D$92,'2100'!A136,'Daftar Koreksi'!$G$5:$G$92,"Aset Tak Berwujud",'Daftar Koreksi'!$H$5:$H$92,"&lt;0")-SUMIFS('Daftar Koreksi'!$H$5:$H$92,'Daftar Koreksi'!$D$5:$D$92,'2100'!A136,'Daftar Koreksi'!$G$5:$G$92,"Aset Tak Berwujud",'Daftar Koreksi'!$H$5:$H$92,"&lt;0")-SUMIFS('Daftar Koreksi'!$H$5:$H$92,'Daftar Koreksi'!$D$5:$D$92,'2100'!A136,'Daftar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53841000</v>
      </c>
      <c r="E147" s="25">
        <f>SUMIFS('Daftar Koreksi'!$H$5:$H$92,'Daftar Koreksi'!$D$5:$D$92,'2100'!A136,'Daftar Koreksi'!$G$5:$G$92,"Aset Henti Guna",'Daftar Koreksi'!$H$5:$H$92,"&gt;0")</f>
        <v>0</v>
      </c>
      <c r="F147" s="25">
        <f>SUMIFS('Daftar Koreksi'!$H$5:$H$92,'Daftar Koreksi'!$D$5:$D$92,'2100'!A136,'Daftar Koreksi'!$G$5:$G$92,"Aset Henti Guna",'Daftar Koreksi'!$H$5:$H$92,"&lt;0")-SUMIFS('Daftar Koreksi'!$H$5:$H$92,'Daftar Koreksi'!$D$5:$D$92,'2100'!A136,'Daftar Koreksi'!$G$5:$G$92,"Aset Henti Guna",'Daftar Koreksi'!$H$5:$H$92,"&lt;0")-SUMIFS('Daftar Koreksi'!$H$5:$H$92,'Daftar Koreksi'!$D$5:$D$92,'2100'!A136,'Daftar Koreksi'!$G$5:$G$92,"Aset Henti Guna",'Daftar Koreksi'!$H$5:$H$92,"&lt;0")</f>
        <v>0</v>
      </c>
      <c r="G147" s="17">
        <f t="shared" si="6"/>
        <v>53841000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4562056122</v>
      </c>
      <c r="E148" s="19">
        <f>SUM(E139:E147)</f>
        <v>0</v>
      </c>
      <c r="F148" s="19">
        <f>SUM(F139:F147)</f>
        <v>0</v>
      </c>
      <c r="G148" s="19">
        <f t="shared" si="6"/>
        <v>4562056122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-1076425648</v>
      </c>
      <c r="E149" s="25">
        <f>SUMIFS('Daftar Koreksi'!$I$5:$I$92,'Daftar Koreksi'!$D$5:$D$92,'2100'!A136,'Daftar Koreksi'!$G$5:$G$92,"Peralatan dan mesin",'Daftar Koreksi'!$I$5:$I$92,"&gt;0")</f>
        <v>0</v>
      </c>
      <c r="F149" s="25">
        <f>SUMIFS('Daftar Koreksi'!$I$5:$I$92,'Daftar Koreksi'!$D$5:$D$92,'2100'!A136,'Daftar Koreksi'!$G$5:$G$92,"Peralatan dan mesin",'Daftar Koreksi'!$I$5:$I$92,"&lt;0")-SUMIFS('Daftar Koreksi'!$I$5:$I$92,'Daftar Koreksi'!$D$5:$D$92,'2100'!A136,'Daftar Koreksi'!$G$5:$G$92,"Peralatan dan mesin",'Daftar Koreksi'!$I$5:$I$92,"&lt;0")-SUMIFS('Daftar Koreksi'!$I$5:$I$92,'Daftar Koreksi'!$D$5:$D$92,'2100'!A136,'Daftar Koreksi'!$G$5:$G$92,"Peralatan dan mesin",'Daftar Koreksi'!$I$5:$I$92,"&lt;0")</f>
        <v>0</v>
      </c>
      <c r="G149" s="17">
        <f t="shared" si="6"/>
        <v>-1076425648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-328447767</v>
      </c>
      <c r="E150" s="25">
        <f>SUMIFS('Daftar Koreksi'!$I$5:$I$92,'Daftar Koreksi'!$D$5:$D$92,'2100'!A136,'Daftar Koreksi'!$G$5:$G$92,"Gedung dan Bangunan",'Daftar Koreksi'!$I$5:$I$92,"&gt;0")</f>
        <v>0</v>
      </c>
      <c r="F150" s="25">
        <f>SUMIFS('Daftar Koreksi'!$I$5:$I$92,'Daftar Koreksi'!$D$5:$D$92,'2100'!A136,'Daftar Koreksi'!$G$5:$G$92,"Gedung dan Bangunan",'Daftar Koreksi'!$I$5:$I$92,"&lt;0")-SUMIFS('Daftar Koreksi'!$I$5:$I$92,'Daftar Koreksi'!$D$5:$D$92,'2100'!A136,'Daftar Koreksi'!$G$5:$G$92,"Gedung dan Bangunan",'Daftar Koreksi'!$I$5:$I$92,"&lt;0")-SUMIFS('Daftar Koreksi'!$I$5:$I$92,'Daftar Koreksi'!$D$5:$D$92,'2100'!A136,'Daftar Koreksi'!$G$5:$G$92,"Gedung dan Bangunan",'Daftar Koreksi'!$I$5:$I$92,"&lt;0")</f>
        <v>0</v>
      </c>
      <c r="G150" s="17">
        <f t="shared" si="6"/>
        <v>-328447767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-2477850</v>
      </c>
      <c r="E151" s="25">
        <f>SUMIFS('Daftar Koreksi'!$I$5:$I$92,'Daftar Koreksi'!$D$5:$D$92,'2100'!A136,'Daftar Koreksi'!$G$5:$G$92,"Jalan Irigasi Jaringan",'Daftar Koreksi'!$I$5:$I$92,"&gt;0")</f>
        <v>0</v>
      </c>
      <c r="F151" s="25">
        <f>SUMIFS('Daftar Koreksi'!$I$5:$I$92,'Daftar Koreksi'!$D$5:$D$92,'2100'!A136,'Daftar Koreksi'!$G$5:$G$92,"Jalan Irigasi Jaringan",'Daftar Koreksi'!$I$5:$I$92,"&lt;0")-SUMIFS('Daftar Koreksi'!$I$5:$I$92,'Daftar Koreksi'!$D$5:$D$92,'2100'!A136,'Daftar Koreksi'!$G$5:$G$92,"Jalan Irigasi Jaringan",'Daftar Koreksi'!$I$5:$I$92,"&lt;0")-SUMIFS('Daftar Koreksi'!$I$5:$I$92,'Daftar Koreksi'!$D$5:$D$92,'2100'!A136,'Daftar Koreksi'!$G$5:$G$92,"Jalan Irigasi Jaringan",'Daftar Koreksi'!$I$5:$I$92,"&lt;0")</f>
        <v>0</v>
      </c>
      <c r="G151" s="17">
        <f t="shared" si="6"/>
        <v>-2477850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Koreksi'!$D$5:$D$92,'2100'!A136,'Daftar Koreksi'!$G$5:$G$92,"Aset Tetap Lainnya",'Daftar Koreksi'!$I$5:$I$92,"&gt;0")</f>
        <v>0</v>
      </c>
      <c r="F152" s="25">
        <f>SUMIFS('Daftar Koreksi'!$I$5:$I$92,'Daftar Koreksi'!$D$5:$D$92,'2100'!A136,'Daftar Koreksi'!$G$5:$G$92,"Aset Tetap Lainnya",'Daftar Koreksi'!$I$5:$I$92,"&lt;0")-SUMIFS('Daftar Koreksi'!$I$5:$I$92,'Daftar Koreksi'!$D$5:$D$92,'2100'!A136,'Daftar Koreksi'!$G$5:$G$92,"Aset Tetap Lainnya",'Daftar Koreksi'!$I$5:$I$92,"&lt;0")-SUMIFS('Daftar Koreksi'!$I$5:$I$92,'Daftar Koreksi'!$D$5:$D$92,'2100'!A136,'Daftar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-27061000</v>
      </c>
      <c r="E153" s="25">
        <f>SUMIFS('Daftar Koreksi'!$I$5:$I$92,'Daftar Koreksi'!$D$5:$D$92,'2100'!A136,'Daftar Koreksi'!$G$5:$G$92,"Aset Henti Guna",'Daftar Koreksi'!$I$5:$I$92,"&gt;0")</f>
        <v>0</v>
      </c>
      <c r="F153" s="25">
        <f>SUMIFS('Daftar Koreksi'!$I$5:$I$92,'Daftar Koreksi'!$D$5:$D$92,'2100'!A136,'Daftar Koreksi'!$G$5:$G$92,"Aset Henti Guna",'Daftar Koreksi'!$I$5:$I$92,"&lt;0")-SUMIFS('Daftar Koreksi'!$I$5:$I$92,'Daftar Koreksi'!$D$5:$D$92,'2100'!A136,'Daftar Koreksi'!$G$5:$G$92,"Aset Henti Guna",'Daftar Koreksi'!$I$5:$I$92,"&lt;0")-SUMIFS('Daftar Koreksi'!$I$5:$I$92,'Daftar Koreksi'!$D$5:$D$92,'2100'!A136,'Daftar Koreksi'!$G$5:$G$92,"Aset Henti Guna",'Daftar Koreksi'!$I$5:$I$92,"&lt;0")</f>
        <v>0</v>
      </c>
      <c r="G153" s="17">
        <f t="shared" si="6"/>
        <v>-27061000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-1434412265</v>
      </c>
      <c r="E154" s="19">
        <f>SUM(E149:E153)</f>
        <v>0</v>
      </c>
      <c r="F154" s="19">
        <f>SUM(F149:F153)</f>
        <v>0</v>
      </c>
      <c r="G154" s="19">
        <f t="shared" si="6"/>
        <v>-1434412265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3127643857</v>
      </c>
      <c r="E155" s="19">
        <f>E154+E148</f>
        <v>0</v>
      </c>
      <c r="F155" s="19">
        <f>F154+F148</f>
        <v>0</v>
      </c>
      <c r="G155" s="19">
        <f t="shared" si="6"/>
        <v>3127643857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005012100402710000KD</v>
      </c>
      <c r="B158" s="11" t="str">
        <f>P8</f>
        <v>PTA. Ambon</v>
      </c>
      <c r="C158" s="12" t="str">
        <f>A158&amp;" "&amp;B158</f>
        <v>005012100402710000KD PTA. Ambon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80000</v>
      </c>
      <c r="E161" s="25">
        <f>SUMIFS('Daftar Koreksi'!$H$5:$H$92,'Daftar Koreksi'!$D$5:$D$92,'2100'!A158,'Daftar Koreksi'!$G$5:$G$92,"Persediaan",'Daftar Koreksi'!$H$5:$H$92,"&gt;0")</f>
        <v>0</v>
      </c>
      <c r="F161" s="25">
        <f>SUMIFS('Daftar Koreksi'!$H$5:$H$92,'Daftar Koreksi'!$D$5:$D$92,'2100'!A158,'Daftar Koreksi'!$G$5:$G$92,"Persediaan",'Daftar Koreksi'!$H$5:$H$92,"&lt;0")-SUMIFS('Daftar Koreksi'!$H$5:$H$92,'Daftar Koreksi'!$D$5:$D$92,'2100'!A158,'Daftar Koreksi'!$G$5:$G$92,"Persediaan",'Daftar Koreksi'!$H$5:$H$92,"&lt;0")-SUMIFS('Daftar Koreksi'!$H$5:$H$92,'Daftar Koreksi'!$D$5:$D$92,'2100'!A158,'Daftar Koreksi'!$G$5:$G$92,"Persediaan",'Daftar Koreksi'!$H$5:$H$92,"&lt;0")</f>
        <v>0</v>
      </c>
      <c r="G161" s="17">
        <f>D161+E161-F161</f>
        <v>80000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3225060000</v>
      </c>
      <c r="E162" s="25">
        <f>SUMIFS('Daftar Koreksi'!$H$5:$H$92,'Daftar Koreksi'!$D$5:$D$92,'2100'!A158,'Daftar Koreksi'!$G$5:$G$92,"Tanah",'Daftar Koreksi'!$H$5:$H$92,"&gt;0")</f>
        <v>0</v>
      </c>
      <c r="F162" s="25">
        <f>SUMIFS('Daftar Koreksi'!$H$5:$H$92,'Daftar Koreksi'!$D$5:$D$92,'2100'!A158,'Daftar Koreksi'!$G$5:$G$92,"Tanah",'Daftar Koreksi'!$H$5:$H$92,"&lt;0")-SUMIFS('Daftar Koreksi'!$H$5:$H$92,'Daftar Koreksi'!$D$5:$D$92,'2100'!A158,'Daftar Koreksi'!$G$5:$G$92,"Tanah",'Daftar Koreksi'!$H$5:$H$92,"&lt;0")-SUMIFS('Daftar Koreksi'!$H$5:$H$92,'Daftar Koreksi'!$D$5:$D$92,'2100'!A158,'Daftar Koreksi'!$G$5:$G$92,"Tanah",'Daftar Koreksi'!$H$5:$H$92,"&lt;0")</f>
        <v>0</v>
      </c>
      <c r="G162" s="17">
        <f t="shared" ref="G162:G178" si="7">D162+E162-F162</f>
        <v>3225060000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3530914666</v>
      </c>
      <c r="E163" s="25">
        <f>SUMIFS('Daftar Koreksi'!$H$5:$H$92,'Daftar Koreksi'!$D$5:$D$92,'2100'!A158,'Daftar Koreksi'!$G$5:$G$92,"Peralatan dan mesin",'Daftar Koreksi'!$H$5:$H$92,"&gt;0")</f>
        <v>0</v>
      </c>
      <c r="F163" s="25">
        <f>SUMIFS('Daftar Koreksi'!$H$5:$H$92,'Daftar Koreksi'!$D$5:$D$92,'2100'!A158,'Daftar Koreksi'!$G$5:$G$92,"Peralatan dan mesin",'Daftar Koreksi'!$H$5:$H$92,"&lt;0")-SUMIFS('Daftar Koreksi'!$H$5:$H$92,'Daftar Koreksi'!$D$5:$D$92,'2100'!A158,'Daftar Koreksi'!$G$5:$G$92,"Peralatan dan mesin",'Daftar Koreksi'!$H$5:$H$92,"&lt;0")-SUMIFS('Daftar Koreksi'!$H$5:$H$92,'Daftar Koreksi'!$D$5:$D$92,'2100'!A158,'Daftar Koreksi'!$G$5:$G$92,"Peralatan dan mesin",'Daftar Koreksi'!$H$5:$H$92,"&lt;0")</f>
        <v>0</v>
      </c>
      <c r="G163" s="17">
        <f t="shared" si="7"/>
        <v>3530914666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13689050508</v>
      </c>
      <c r="E164" s="25">
        <f>SUMIFS('Daftar Koreksi'!$H$5:$H$92,'Daftar Koreksi'!$D$5:$D$92,'2100'!A158,'Daftar Koreksi'!$G$5:$G$92,"Gedung dan Bangunan",'Daftar Koreksi'!$H$5:$H$92,"&gt;0")</f>
        <v>0</v>
      </c>
      <c r="F164" s="25">
        <f>SUMIFS('Daftar Koreksi'!$H$5:$H$92,'Daftar Koreksi'!$D$5:$D$92,'2100'!A158,'Daftar Koreksi'!$G$5:$G$92,"Gedung dan Bangunan",'Daftar Koreksi'!$H$5:$H$92,"&lt;0")-SUMIFS('Daftar Koreksi'!$H$5:$H$92,'Daftar Koreksi'!$D$5:$D$92,'2100'!A158,'Daftar Koreksi'!$G$5:$G$92,"Gedung dan Bangunan",'Daftar Koreksi'!$H$5:$H$92,"&lt;0")-SUMIFS('Daftar Koreksi'!$H$5:$H$92,'Daftar Koreksi'!$D$5:$D$92,'2100'!A158,'Daftar Koreksi'!$G$5:$G$92,"Gedung dan Bangunan",'Daftar Koreksi'!$H$5:$H$92,"&lt;0")</f>
        <v>0</v>
      </c>
      <c r="G164" s="17">
        <f t="shared" si="7"/>
        <v>13689050508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1311362566</v>
      </c>
      <c r="E165" s="25">
        <f>SUMIFS('Daftar Koreksi'!$H$5:$H$92,'Daftar Koreksi'!$D$5:$D$92,'2100'!A158,'Daftar Koreksi'!$G$5:$G$92,"Jalan Irigasi Jaringan",'Daftar Koreksi'!$H$5:$H$92,"&gt;0")</f>
        <v>0</v>
      </c>
      <c r="F165" s="25">
        <f>SUMIFS('Daftar Koreksi'!$H$5:$H$92,'Daftar Koreksi'!$D$5:$D$92,'2100'!A158,'Daftar Koreksi'!$G$5:$G$92,"Jalan Irigasi Jaringan",'Daftar Koreksi'!$H$5:$H$92,"&lt;0")-SUMIFS('Daftar Koreksi'!$H$5:$H$92,'Daftar Koreksi'!$D$5:$D$92,'2100'!A158,'Daftar Koreksi'!$G$5:$G$92,"Jalan Irigasi Jaringan",'Daftar Koreksi'!$H$5:$H$92,"&lt;0")-SUMIFS('Daftar Koreksi'!$H$5:$H$92,'Daftar Koreksi'!$D$5:$D$92,'2100'!A158,'Daftar Koreksi'!$G$5:$G$92,"Jalan Irigasi Jaringan",'Daftar Koreksi'!$H$5:$H$92,"&lt;0")</f>
        <v>0</v>
      </c>
      <c r="G165" s="17">
        <f t="shared" si="7"/>
        <v>1311362566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30914270</v>
      </c>
      <c r="E166" s="25">
        <f>SUMIFS('Daftar Koreksi'!$H$5:$H$92,'Daftar Koreksi'!$D$5:$D$92,'2100'!A158,'Daftar Koreksi'!$G$5:$G$92,"Aset Tetap Lainnya",'Daftar Koreksi'!$H$5:$H$92,"&gt;0")</f>
        <v>0</v>
      </c>
      <c r="F166" s="25">
        <f>SUMIFS('Daftar Koreksi'!$H$5:$H$92,'Daftar Koreksi'!$D$5:$D$92,'2100'!A158,'Daftar Koreksi'!$G$5:$G$92,"Aset Tetap Lainnya",'Daftar Koreksi'!$H$5:$H$92,"&lt;0")-SUMIFS('Daftar Koreksi'!$H$5:$H$92,'Daftar Koreksi'!$D$5:$D$92,'2100'!A158,'Daftar Koreksi'!$G$5:$G$92,"Aset Tetap Lainnya",'Daftar Koreksi'!$H$5:$H$92,"&lt;0")-SUMIFS('Daftar Koreksi'!$H$5:$H$92,'Daftar Koreksi'!$D$5:$D$92,'2100'!A158,'Daftar Koreksi'!$G$5:$G$92,"Aset Tetap Lainnya",'Daftar Koreksi'!$H$5:$H$92,"&lt;0")</f>
        <v>0</v>
      </c>
      <c r="G166" s="17">
        <f t="shared" si="7"/>
        <v>30914270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Koreksi'!$D$5:$D$92,'2100'!A158,'Daftar Koreksi'!$G$5:$G$92,"Kontruksi Dalam Pengerjaan",'Daftar Koreksi'!$H$5:$H$92,"&gt;0")</f>
        <v>0</v>
      </c>
      <c r="F167" s="25">
        <f>SUMIFS('Daftar Koreksi'!$H$5:$H$92,'Daftar Koreksi'!$D$5:$D$92,'2100'!A158,'Daftar Koreksi'!$G$5:$G$92,"Kontruksi Dalam Pengerjaan",'Daftar Koreksi'!$H$5:$H$92,"&lt;0")-SUMIFS('Daftar Koreksi'!$H$5:$H$92,'Daftar Koreksi'!$D$5:$D$92,'2100'!A158,'Daftar Koreksi'!$G$5:$G$92,"Kontruksi Dalam Pengerjaan",'Daftar Koreksi'!$H$5:$H$92,"&lt;0")-SUMIFS('Daftar Koreksi'!$H$5:$H$92,'Daftar Koreksi'!$D$5:$D$92,'2100'!A158,'Daftar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Koreksi'!$D$5:$D$92,'2100'!A158,'Daftar Koreksi'!$G$5:$G$92,"Aset Tak Berwujud",'Daftar Koreksi'!$H$5:$H$92,"&gt;0")</f>
        <v>0</v>
      </c>
      <c r="F168" s="25">
        <f>SUMIFS('Daftar Koreksi'!$H$5:$H$92,'Daftar Koreksi'!$D$5:$D$92,'2100'!A158,'Daftar Koreksi'!$G$5:$G$92,"Aset Tak Berwujud",'Daftar Koreksi'!$H$5:$H$92,"&lt;0")-SUMIFS('Daftar Koreksi'!$H$5:$H$92,'Daftar Koreksi'!$D$5:$D$92,'2100'!A158,'Daftar Koreksi'!$G$5:$G$92,"Aset Tak Berwujud",'Daftar Koreksi'!$H$5:$H$92,"&lt;0")-SUMIFS('Daftar Koreksi'!$H$5:$H$92,'Daftar Koreksi'!$D$5:$D$92,'2100'!A158,'Daftar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Koreksi'!$D$5:$D$92,'2100'!A158,'Daftar Koreksi'!$G$5:$G$92,"Aset Henti Guna",'Daftar Koreksi'!$H$5:$H$92,"&gt;0")</f>
        <v>0</v>
      </c>
      <c r="F169" s="25">
        <f>SUMIFS('Daftar Koreksi'!$H$5:$H$92,'Daftar Koreksi'!$D$5:$D$92,'2100'!A158,'Daftar Koreksi'!$G$5:$G$92,"Aset Henti Guna",'Daftar Koreksi'!$H$5:$H$92,"&lt;0")-SUMIFS('Daftar Koreksi'!$H$5:$H$92,'Daftar Koreksi'!$D$5:$D$92,'2100'!A158,'Daftar Koreksi'!$G$5:$G$92,"Aset Henti Guna",'Daftar Koreksi'!$H$5:$H$92,"&lt;0")-SUMIFS('Daftar Koreksi'!$H$5:$H$92,'Daftar Koreksi'!$D$5:$D$92,'2100'!A158,'Daftar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21787382010</v>
      </c>
      <c r="E170" s="19">
        <f>SUM(E161:E169)</f>
        <v>0</v>
      </c>
      <c r="F170" s="19">
        <f>SUM(F161:F169)</f>
        <v>0</v>
      </c>
      <c r="G170" s="19">
        <f t="shared" si="7"/>
        <v>21787382010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-2156295208</v>
      </c>
      <c r="E171" s="25">
        <f>SUMIFS('Daftar Koreksi'!$I$5:$I$92,'Daftar Koreksi'!$D$5:$D$92,'2100'!A158,'Daftar Koreksi'!$G$5:$G$92,"Peralatan dan mesin",'Daftar Koreksi'!$I$5:$I$92,"&gt;0")</f>
        <v>0</v>
      </c>
      <c r="F171" s="25">
        <f>SUMIFS('Daftar Koreksi'!$I$5:$I$92,'Daftar Koreksi'!$D$5:$D$92,'2100'!A158,'Daftar Koreksi'!$G$5:$G$92,"Peralatan dan mesin",'Daftar Koreksi'!$I$5:$I$92,"&lt;0")-SUMIFS('Daftar Koreksi'!$I$5:$I$92,'Daftar Koreksi'!$D$5:$D$92,'2100'!A158,'Daftar Koreksi'!$G$5:$G$92,"Peralatan dan mesin",'Daftar Koreksi'!$I$5:$I$92,"&lt;0")-SUMIFS('Daftar Koreksi'!$I$5:$I$92,'Daftar Koreksi'!$D$5:$D$92,'2100'!A158,'Daftar Koreksi'!$G$5:$G$92,"Peralatan dan mesin",'Daftar Koreksi'!$I$5:$I$92,"&lt;0")</f>
        <v>0</v>
      </c>
      <c r="G171" s="17">
        <f t="shared" si="7"/>
        <v>-2156295208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-1545179182</v>
      </c>
      <c r="E172" s="25">
        <f>SUMIFS('Daftar Koreksi'!$I$5:$I$92,'Daftar Koreksi'!$D$5:$D$92,'2100'!A158,'Daftar Koreksi'!$G$5:$G$92,"Gedung dan Bangunan",'Daftar Koreksi'!$I$5:$I$92,"&gt;0")</f>
        <v>0</v>
      </c>
      <c r="F172" s="25">
        <f>SUMIFS('Daftar Koreksi'!$I$5:$I$92,'Daftar Koreksi'!$D$5:$D$92,'2100'!A158,'Daftar Koreksi'!$G$5:$G$92,"Gedung dan Bangunan",'Daftar Koreksi'!$I$5:$I$92,"&lt;0")-SUMIFS('Daftar Koreksi'!$I$5:$I$92,'Daftar Koreksi'!$D$5:$D$92,'2100'!A158,'Daftar Koreksi'!$G$5:$G$92,"Gedung dan Bangunan",'Daftar Koreksi'!$I$5:$I$92,"&lt;0")-SUMIFS('Daftar Koreksi'!$I$5:$I$92,'Daftar Koreksi'!$D$5:$D$92,'2100'!A158,'Daftar Koreksi'!$G$5:$G$92,"Gedung dan Bangunan",'Daftar Koreksi'!$I$5:$I$92,"&lt;0")</f>
        <v>0</v>
      </c>
      <c r="G172" s="17">
        <f t="shared" si="7"/>
        <v>-1545179182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-817419367</v>
      </c>
      <c r="E173" s="25">
        <f>SUMIFS('Daftar Koreksi'!$I$5:$I$92,'Daftar Koreksi'!$D$5:$D$92,'2100'!A158,'Daftar Koreksi'!$G$5:$G$92,"Jalan Irigasi Jaringan",'Daftar Koreksi'!$I$5:$I$92,"&gt;0")</f>
        <v>0</v>
      </c>
      <c r="F173" s="25">
        <f>SUMIFS('Daftar Koreksi'!$I$5:$I$92,'Daftar Koreksi'!$D$5:$D$92,'2100'!A158,'Daftar Koreksi'!$G$5:$G$92,"Jalan Irigasi Jaringan",'Daftar Koreksi'!$I$5:$I$92,"&lt;0")-SUMIFS('Daftar Koreksi'!$I$5:$I$92,'Daftar Koreksi'!$D$5:$D$92,'2100'!A158,'Daftar Koreksi'!$G$5:$G$92,"Jalan Irigasi Jaringan",'Daftar Koreksi'!$I$5:$I$92,"&lt;0")-SUMIFS('Daftar Koreksi'!$I$5:$I$92,'Daftar Koreksi'!$D$5:$D$92,'2100'!A158,'Daftar Koreksi'!$G$5:$G$92,"Jalan Irigasi Jaringan",'Daftar Koreksi'!$I$5:$I$92,"&lt;0")</f>
        <v>0</v>
      </c>
      <c r="G173" s="17">
        <f t="shared" si="7"/>
        <v>-817419367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Koreksi'!$D$5:$D$92,'2100'!A158,'Daftar Koreksi'!$G$5:$G$92,"Aset Tetap Lainnya",'Daftar Koreksi'!$I$5:$I$92,"&gt;0")</f>
        <v>0</v>
      </c>
      <c r="F174" s="25">
        <f>SUMIFS('Daftar Koreksi'!$I$5:$I$92,'Daftar Koreksi'!$D$5:$D$92,'2100'!A158,'Daftar Koreksi'!$G$5:$G$92,"Aset Tetap Lainnya",'Daftar Koreksi'!$I$5:$I$92,"&lt;0")-SUMIFS('Daftar Koreksi'!$I$5:$I$92,'Daftar Koreksi'!$D$5:$D$92,'2100'!A158,'Daftar Koreksi'!$G$5:$G$92,"Aset Tetap Lainnya",'Daftar Koreksi'!$I$5:$I$92,"&lt;0")-SUMIFS('Daftar Koreksi'!$I$5:$I$92,'Daftar Koreksi'!$D$5:$D$92,'2100'!A158,'Daftar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Koreksi'!$D$5:$D$92,'2100'!A158,'Daftar Koreksi'!$G$5:$G$92,"Aset Henti Guna",'Daftar Koreksi'!$I$5:$I$92,"&gt;0")</f>
        <v>0</v>
      </c>
      <c r="F175" s="25">
        <f>SUMIFS('Daftar Koreksi'!$I$5:$I$92,'Daftar Koreksi'!$D$5:$D$92,'2100'!A158,'Daftar Koreksi'!$G$5:$G$92,"Aset Henti Guna",'Daftar Koreksi'!$I$5:$I$92,"&lt;0")-SUMIFS('Daftar Koreksi'!$I$5:$I$92,'Daftar Koreksi'!$D$5:$D$92,'2100'!A158,'Daftar Koreksi'!$G$5:$G$92,"Aset Henti Guna",'Daftar Koreksi'!$I$5:$I$92,"&lt;0")-SUMIFS('Daftar Koreksi'!$I$5:$I$92,'Daftar Koreksi'!$D$5:$D$92,'2100'!A158,'Daftar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-4518893757</v>
      </c>
      <c r="E176" s="19">
        <f>SUM(E171:E175)</f>
        <v>0</v>
      </c>
      <c r="F176" s="19">
        <f>SUM(F171:F175)</f>
        <v>0</v>
      </c>
      <c r="G176" s="19">
        <f t="shared" si="7"/>
        <v>-4518893757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17268488253</v>
      </c>
      <c r="E177" s="19">
        <f>E176+E170</f>
        <v>0</v>
      </c>
      <c r="F177" s="19">
        <f>F176+F170</f>
        <v>0</v>
      </c>
      <c r="G177" s="19">
        <f t="shared" si="7"/>
        <v>17268488253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005012100539117000KD</v>
      </c>
      <c r="B180" s="11" t="str">
        <f>P9</f>
        <v>PTUN. Ambon</v>
      </c>
      <c r="C180" s="12" t="str">
        <f>A180&amp;" "&amp;B180</f>
        <v>005012100539117000KD PTUN. Ambon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365000</v>
      </c>
      <c r="E183" s="25">
        <f>SUMIFS('Daftar Koreksi'!$H$5:$H$92,'Daftar Koreksi'!$D$5:$D$92,'2100'!A180,'Daftar Koreksi'!$G$5:$G$92,"Persediaan",'Daftar Koreksi'!$H$5:$H$92,"&gt;0")</f>
        <v>0</v>
      </c>
      <c r="F183" s="25">
        <f>SUMIFS('Daftar Koreksi'!$H$5:$H$92,'Daftar Koreksi'!$D$5:$D$92,'2100'!A180,'Daftar Koreksi'!$G$5:$G$92,"Persediaan",'Daftar Koreksi'!$H$5:$H$92,"&lt;0")-SUMIFS('Daftar Koreksi'!$H$5:$H$92,'Daftar Koreksi'!$D$5:$D$92,'2100'!A180,'Daftar Koreksi'!$G$5:$G$92,"Persediaan",'Daftar Koreksi'!$H$5:$H$92,"&lt;0")-SUMIFS('Daftar Koreksi'!$H$5:$H$92,'Daftar Koreksi'!$D$5:$D$92,'2100'!A180,'Daftar Koreksi'!$G$5:$G$92,"Persediaan",'Daftar Koreksi'!$H$5:$H$92,"&lt;0")</f>
        <v>0</v>
      </c>
      <c r="G183" s="17">
        <f>D183+E183-F183</f>
        <v>365000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1929785000</v>
      </c>
      <c r="E184" s="25">
        <f>SUMIFS('Daftar Koreksi'!$H$5:$H$92,'Daftar Koreksi'!$D$5:$D$92,'2100'!A180,'Daftar Koreksi'!$G$5:$G$92,"Tanah",'Daftar Koreksi'!$H$5:$H$92,"&gt;0")</f>
        <v>0</v>
      </c>
      <c r="F184" s="25">
        <f>SUMIFS('Daftar Koreksi'!$H$5:$H$92,'Daftar Koreksi'!$D$5:$D$92,'2100'!A180,'Daftar Koreksi'!$G$5:$G$92,"Tanah",'Daftar Koreksi'!$H$5:$H$92,"&lt;0")-SUMIFS('Daftar Koreksi'!$H$5:$H$92,'Daftar Koreksi'!$D$5:$D$92,'2100'!A180,'Daftar Koreksi'!$G$5:$G$92,"Tanah",'Daftar Koreksi'!$H$5:$H$92,"&lt;0")-SUMIFS('Daftar Koreksi'!$H$5:$H$92,'Daftar Koreksi'!$D$5:$D$92,'2100'!A180,'Daftar Koreksi'!$G$5:$G$92,"Tanah",'Daftar Koreksi'!$H$5:$H$92,"&lt;0")</f>
        <v>0</v>
      </c>
      <c r="G184" s="17">
        <f t="shared" ref="G184:G200" si="8">D184+E184-F184</f>
        <v>1929785000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2370989704</v>
      </c>
      <c r="E185" s="25">
        <f>SUMIFS('Daftar Koreksi'!$H$5:$H$92,'Daftar Koreksi'!$D$5:$D$92,'2100'!A180,'Daftar Koreksi'!$G$5:$G$92,"Peralatan dan mesin",'Daftar Koreksi'!$H$5:$H$92,"&gt;0")</f>
        <v>0</v>
      </c>
      <c r="F185" s="25">
        <f>SUMIFS('Daftar Koreksi'!$H$5:$H$92,'Daftar Koreksi'!$D$5:$D$92,'2100'!A180,'Daftar Koreksi'!$G$5:$G$92,"Peralatan dan mesin",'Daftar Koreksi'!$H$5:$H$92,"&lt;0")-SUMIFS('Daftar Koreksi'!$H$5:$H$92,'Daftar Koreksi'!$D$5:$D$92,'2100'!A180,'Daftar Koreksi'!$G$5:$G$92,"Peralatan dan mesin",'Daftar Koreksi'!$H$5:$H$92,"&lt;0")-SUMIFS('Daftar Koreksi'!$H$5:$H$92,'Daftar Koreksi'!$D$5:$D$92,'2100'!A180,'Daftar Koreksi'!$G$5:$G$92,"Peralatan dan mesin",'Daftar Koreksi'!$H$5:$H$92,"&lt;0")</f>
        <v>0</v>
      </c>
      <c r="G185" s="17">
        <f t="shared" si="8"/>
        <v>2370989704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11689231043</v>
      </c>
      <c r="E186" s="25">
        <f>SUMIFS('Daftar Koreksi'!$H$5:$H$92,'Daftar Koreksi'!$D$5:$D$92,'2100'!A180,'Daftar Koreksi'!$G$5:$G$92,"Gedung dan Bangunan",'Daftar Koreksi'!$H$5:$H$92,"&gt;0")</f>
        <v>0</v>
      </c>
      <c r="F186" s="25">
        <f>SUMIFS('Daftar Koreksi'!$H$5:$H$92,'Daftar Koreksi'!$D$5:$D$92,'2100'!A180,'Daftar Koreksi'!$G$5:$G$92,"Gedung dan Bangunan",'Daftar Koreksi'!$H$5:$H$92,"&lt;0")-SUMIFS('Daftar Koreksi'!$H$5:$H$92,'Daftar Koreksi'!$D$5:$D$92,'2100'!A180,'Daftar Koreksi'!$G$5:$G$92,"Gedung dan Bangunan",'Daftar Koreksi'!$H$5:$H$92,"&lt;0")-SUMIFS('Daftar Koreksi'!$H$5:$H$92,'Daftar Koreksi'!$D$5:$D$92,'2100'!A180,'Daftar Koreksi'!$G$5:$G$92,"Gedung dan Bangunan",'Daftar Koreksi'!$H$5:$H$92,"&lt;0")</f>
        <v>0</v>
      </c>
      <c r="G186" s="17">
        <f t="shared" si="8"/>
        <v>11689231043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Koreksi'!$D$5:$D$92,'2100'!A180,'Daftar Koreksi'!$G$5:$G$92,"Jalan Irigasi Jaringan",'Daftar Koreksi'!$H$5:$H$92,"&gt;0")</f>
        <v>0</v>
      </c>
      <c r="F187" s="25">
        <f>SUMIFS('Daftar Koreksi'!$H$5:$H$92,'Daftar Koreksi'!$D$5:$D$92,'2100'!A180,'Daftar Koreksi'!$G$5:$G$92,"Jalan Irigasi Jaringan",'Daftar Koreksi'!$H$5:$H$92,"&lt;0")-SUMIFS('Daftar Koreksi'!$H$5:$H$92,'Daftar Koreksi'!$D$5:$D$92,'2100'!A180,'Daftar Koreksi'!$G$5:$G$92,"Jalan Irigasi Jaringan",'Daftar Koreksi'!$H$5:$H$92,"&lt;0")-SUMIFS('Daftar Koreksi'!$H$5:$H$92,'Daftar Koreksi'!$D$5:$D$92,'2100'!A180,'Daftar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0</v>
      </c>
      <c r="E188" s="25">
        <f>SUMIFS('Daftar Koreksi'!$H$5:$H$92,'Daftar Koreksi'!$D$5:$D$92,'2100'!A180,'Daftar Koreksi'!$G$5:$G$92,"Aset Tetap Lainnya",'Daftar Koreksi'!$H$5:$H$92,"&gt;0")</f>
        <v>0</v>
      </c>
      <c r="F188" s="25">
        <f>SUMIFS('Daftar Koreksi'!$H$5:$H$92,'Daftar Koreksi'!$D$5:$D$92,'2100'!A180,'Daftar Koreksi'!$G$5:$G$92,"Aset Tetap Lainnya",'Daftar Koreksi'!$H$5:$H$92,"&lt;0")-SUMIFS('Daftar Koreksi'!$H$5:$H$92,'Daftar Koreksi'!$D$5:$D$92,'2100'!A180,'Daftar Koreksi'!$G$5:$G$92,"Aset Tetap Lainnya",'Daftar Koreksi'!$H$5:$H$92,"&lt;0")-SUMIFS('Daftar Koreksi'!$H$5:$H$92,'Daftar Koreksi'!$D$5:$D$92,'2100'!A180,'Daftar Koreksi'!$G$5:$G$92,"Aset Tetap Lainnya",'Daftar Koreksi'!$H$5:$H$92,"&lt;0")</f>
        <v>0</v>
      </c>
      <c r="G188" s="17">
        <f t="shared" si="8"/>
        <v>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Koreksi'!$D$5:$D$92,'2100'!A180,'Daftar Koreksi'!$G$5:$G$92,"Kontruksi Dalam Pengerjaan",'Daftar Koreksi'!$H$5:$H$92,"&gt;0")</f>
        <v>0</v>
      </c>
      <c r="F189" s="25">
        <f>SUMIFS('Daftar Koreksi'!$H$5:$H$92,'Daftar Koreksi'!$D$5:$D$92,'2100'!A180,'Daftar Koreksi'!$G$5:$G$92,"Kontruksi Dalam Pengerjaan",'Daftar Koreksi'!$H$5:$H$92,"&lt;0")-SUMIFS('Daftar Koreksi'!$H$5:$H$92,'Daftar Koreksi'!$D$5:$D$92,'2100'!A180,'Daftar Koreksi'!$G$5:$G$92,"Kontruksi Dalam Pengerjaan",'Daftar Koreksi'!$H$5:$H$92,"&lt;0")-SUMIFS('Daftar Koreksi'!$H$5:$H$92,'Daftar Koreksi'!$D$5:$D$92,'2100'!A180,'Daftar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68500000</v>
      </c>
      <c r="E190" s="25">
        <f>SUMIFS('Daftar Koreksi'!$H$5:$H$92,'Daftar Koreksi'!$D$5:$D$92,'2100'!A180,'Daftar Koreksi'!$G$5:$G$92,"Aset Tak Berwujud",'Daftar Koreksi'!$H$5:$H$92,"&gt;0")</f>
        <v>0</v>
      </c>
      <c r="F190" s="25">
        <f>SUMIFS('Daftar Koreksi'!$H$5:$H$92,'Daftar Koreksi'!$D$5:$D$92,'2100'!A180,'Daftar Koreksi'!$G$5:$G$92,"Aset Tak Berwujud",'Daftar Koreksi'!$H$5:$H$92,"&lt;0")-SUMIFS('Daftar Koreksi'!$H$5:$H$92,'Daftar Koreksi'!$D$5:$D$92,'2100'!A180,'Daftar Koreksi'!$G$5:$G$92,"Aset Tak Berwujud",'Daftar Koreksi'!$H$5:$H$92,"&lt;0")-SUMIFS('Daftar Koreksi'!$H$5:$H$92,'Daftar Koreksi'!$D$5:$D$92,'2100'!A180,'Daftar Koreksi'!$G$5:$G$92,"Aset Tak Berwujud",'Daftar Koreksi'!$H$5:$H$92,"&lt;0")</f>
        <v>0</v>
      </c>
      <c r="G190" s="17">
        <f t="shared" si="8"/>
        <v>68500000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132203000</v>
      </c>
      <c r="E191" s="25">
        <f>SUMIFS('Daftar Koreksi'!$H$5:$H$92,'Daftar Koreksi'!$D$5:$D$92,'2100'!A180,'Daftar Koreksi'!$G$5:$G$92,"Aset Henti Guna",'Daftar Koreksi'!$H$5:$H$92,"&gt;0")</f>
        <v>0</v>
      </c>
      <c r="F191" s="25">
        <f>SUMIFS('Daftar Koreksi'!$H$5:$H$92,'Daftar Koreksi'!$D$5:$D$92,'2100'!A180,'Daftar Koreksi'!$G$5:$G$92,"Aset Henti Guna",'Daftar Koreksi'!$H$5:$H$92,"&lt;0")-SUMIFS('Daftar Koreksi'!$H$5:$H$92,'Daftar Koreksi'!$D$5:$D$92,'2100'!A180,'Daftar Koreksi'!$G$5:$G$92,"Aset Henti Guna",'Daftar Koreksi'!$H$5:$H$92,"&lt;0")-SUMIFS('Daftar Koreksi'!$H$5:$H$92,'Daftar Koreksi'!$D$5:$D$92,'2100'!A180,'Daftar Koreksi'!$G$5:$G$92,"Aset Henti Guna",'Daftar Koreksi'!$H$5:$H$92,"&lt;0")</f>
        <v>0</v>
      </c>
      <c r="G191" s="17">
        <f t="shared" si="8"/>
        <v>132203000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16191073747</v>
      </c>
      <c r="E192" s="19">
        <f>SUM(E183:E191)</f>
        <v>0</v>
      </c>
      <c r="F192" s="19">
        <f>SUM(F183:F191)</f>
        <v>0</v>
      </c>
      <c r="G192" s="19">
        <f t="shared" si="8"/>
        <v>16191073747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-1671331664</v>
      </c>
      <c r="E193" s="25">
        <f>SUMIFS('Daftar Koreksi'!$I$5:$I$92,'Daftar Koreksi'!$D$5:$D$92,'2100'!A180,'Daftar Koreksi'!$G$5:$G$92,"Peralatan dan mesin",'Daftar Koreksi'!$I$5:$I$92,"&gt;0")</f>
        <v>0</v>
      </c>
      <c r="F193" s="25">
        <f>SUMIFS('Daftar Koreksi'!$I$5:$I$92,'Daftar Koreksi'!$D$5:$D$92,'2100'!A180,'Daftar Koreksi'!$G$5:$G$92,"Peralatan dan mesin",'Daftar Koreksi'!$I$5:$I$92,"&lt;0")-SUMIFS('Daftar Koreksi'!$I$5:$I$92,'Daftar Koreksi'!$D$5:$D$92,'2100'!A180,'Daftar Koreksi'!$G$5:$G$92,"Peralatan dan mesin",'Daftar Koreksi'!$I$5:$I$92,"&lt;0")-SUMIFS('Daftar Koreksi'!$I$5:$I$92,'Daftar Koreksi'!$D$5:$D$92,'2100'!A180,'Daftar Koreksi'!$G$5:$G$92,"Peralatan dan mesin",'Daftar Koreksi'!$I$5:$I$92,"&lt;0")</f>
        <v>0</v>
      </c>
      <c r="G193" s="17">
        <f t="shared" si="8"/>
        <v>-1671331664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-233864090</v>
      </c>
      <c r="E194" s="25">
        <f>SUMIFS('Daftar Koreksi'!$I$5:$I$92,'Daftar Koreksi'!$D$5:$D$92,'2100'!A180,'Daftar Koreksi'!$G$5:$G$92,"Gedung dan Bangunan",'Daftar Koreksi'!$I$5:$I$92,"&gt;0")</f>
        <v>0</v>
      </c>
      <c r="F194" s="25">
        <f>SUMIFS('Daftar Koreksi'!$I$5:$I$92,'Daftar Koreksi'!$D$5:$D$92,'2100'!A180,'Daftar Koreksi'!$G$5:$G$92,"Gedung dan Bangunan",'Daftar Koreksi'!$I$5:$I$92,"&lt;0")-SUMIFS('Daftar Koreksi'!$I$5:$I$92,'Daftar Koreksi'!$D$5:$D$92,'2100'!A180,'Daftar Koreksi'!$G$5:$G$92,"Gedung dan Bangunan",'Daftar Koreksi'!$I$5:$I$92,"&lt;0")-SUMIFS('Daftar Koreksi'!$I$5:$I$92,'Daftar Koreksi'!$D$5:$D$92,'2100'!A180,'Daftar Koreksi'!$G$5:$G$92,"Gedung dan Bangunan",'Daftar Koreksi'!$I$5:$I$92,"&lt;0")</f>
        <v>0</v>
      </c>
      <c r="G194" s="17">
        <f t="shared" si="8"/>
        <v>-233864090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Koreksi'!$D$5:$D$92,'2100'!A180,'Daftar Koreksi'!$G$5:$G$92,"Jalan Irigasi Jaringan",'Daftar Koreksi'!$I$5:$I$92,"&gt;0")</f>
        <v>0</v>
      </c>
      <c r="F195" s="25">
        <f>SUMIFS('Daftar Koreksi'!$I$5:$I$92,'Daftar Koreksi'!$D$5:$D$92,'2100'!A180,'Daftar Koreksi'!$G$5:$G$92,"Jalan Irigasi Jaringan",'Daftar Koreksi'!$I$5:$I$92,"&lt;0")-SUMIFS('Daftar Koreksi'!$I$5:$I$92,'Daftar Koreksi'!$D$5:$D$92,'2100'!A180,'Daftar Koreksi'!$G$5:$G$92,"Jalan Irigasi Jaringan",'Daftar Koreksi'!$I$5:$I$92,"&lt;0")-SUMIFS('Daftar Koreksi'!$I$5:$I$92,'Daftar Koreksi'!$D$5:$D$92,'2100'!A180,'Daftar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Koreksi'!$D$5:$D$92,'2100'!A180,'Daftar Koreksi'!$G$5:$G$92,"Aset Tetap Lainnya",'Daftar Koreksi'!$I$5:$I$92,"&gt;0")</f>
        <v>0</v>
      </c>
      <c r="F196" s="25">
        <f>SUMIFS('Daftar Koreksi'!$I$5:$I$92,'Daftar Koreksi'!$D$5:$D$92,'2100'!A180,'Daftar Koreksi'!$G$5:$G$92,"Aset Tetap Lainnya",'Daftar Koreksi'!$I$5:$I$92,"&lt;0")-SUMIFS('Daftar Koreksi'!$I$5:$I$92,'Daftar Koreksi'!$D$5:$D$92,'2100'!A180,'Daftar Koreksi'!$G$5:$G$92,"Aset Tetap Lainnya",'Daftar Koreksi'!$I$5:$I$92,"&lt;0")-SUMIFS('Daftar Koreksi'!$I$5:$I$92,'Daftar Koreksi'!$D$5:$D$92,'2100'!A180,'Daftar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-19389777</v>
      </c>
      <c r="E197" s="25">
        <f>SUMIFS('Daftar Koreksi'!$I$5:$I$92,'Daftar Koreksi'!$D$5:$D$92,'2100'!A180,'Daftar Koreksi'!$G$5:$G$92,"Aset Henti Guna",'Daftar Koreksi'!$I$5:$I$92,"&gt;0")</f>
        <v>0</v>
      </c>
      <c r="F197" s="25">
        <f>SUMIFS('Daftar Koreksi'!$I$5:$I$92,'Daftar Koreksi'!$D$5:$D$92,'2100'!A180,'Daftar Koreksi'!$G$5:$G$92,"Aset Henti Guna",'Daftar Koreksi'!$I$5:$I$92,"&lt;0")-SUMIFS('Daftar Koreksi'!$I$5:$I$92,'Daftar Koreksi'!$D$5:$D$92,'2100'!A180,'Daftar Koreksi'!$G$5:$G$92,"Aset Henti Guna",'Daftar Koreksi'!$I$5:$I$92,"&lt;0")-SUMIFS('Daftar Koreksi'!$I$5:$I$92,'Daftar Koreksi'!$D$5:$D$92,'2100'!A180,'Daftar Koreksi'!$G$5:$G$92,"Aset Henti Guna",'Daftar Koreksi'!$I$5:$I$92,"&lt;0")</f>
        <v>0</v>
      </c>
      <c r="G197" s="17">
        <f t="shared" si="8"/>
        <v>-19389777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-1924585531</v>
      </c>
      <c r="E198" s="19">
        <f>SUM(E193:E197)</f>
        <v>0</v>
      </c>
      <c r="F198" s="19">
        <f>SUM(F193:F197)</f>
        <v>0</v>
      </c>
      <c r="G198" s="19">
        <f t="shared" si="8"/>
        <v>-1924585531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14266488216</v>
      </c>
      <c r="E199" s="19">
        <f>E198+E192</f>
        <v>0</v>
      </c>
      <c r="F199" s="19">
        <f>F198+F192</f>
        <v>0</v>
      </c>
      <c r="G199" s="19">
        <f t="shared" si="8"/>
        <v>14266488216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005012100663377000KD</v>
      </c>
      <c r="B202" s="11" t="str">
        <f>P10</f>
        <v>DILMIL.  III - 18 di Ambon</v>
      </c>
      <c r="C202" s="12" t="str">
        <f>A202&amp;" "&amp;B202</f>
        <v>005012100663377000KD DILMIL.  III - 18 di Ambon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2090000</v>
      </c>
      <c r="E205" s="25">
        <f>SUMIFS('Daftar Koreksi'!$H$5:$H$92,'Daftar Koreksi'!$D$5:$D$92,'2100'!A202,'Daftar Koreksi'!$G$5:$G$92,"Persediaan",'Daftar Koreksi'!$H$5:$H$92,"&gt;0")</f>
        <v>0</v>
      </c>
      <c r="F205" s="25">
        <f>SUMIFS('Daftar Koreksi'!$H$5:$H$92,'Daftar Koreksi'!$D$5:$D$92,'2100'!A202,'Daftar Koreksi'!$G$5:$G$92,"Persediaan",'Daftar Koreksi'!$H$5:$H$92,"&lt;0")-SUMIFS('Daftar Koreksi'!$H$5:$H$92,'Daftar Koreksi'!$D$5:$D$92,'2100'!A202,'Daftar Koreksi'!$G$5:$G$92,"Persediaan",'Daftar Koreksi'!$H$5:$H$92,"&lt;0")-SUMIFS('Daftar Koreksi'!$H$5:$H$92,'Daftar Koreksi'!$D$5:$D$92,'2100'!A202,'Daftar Koreksi'!$G$5:$G$92,"Persediaan",'Daftar Koreksi'!$H$5:$H$92,"&lt;0")</f>
        <v>0</v>
      </c>
      <c r="G205" s="17">
        <f>D205+E205-F205</f>
        <v>2090000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1174000000</v>
      </c>
      <c r="E206" s="25">
        <f>SUMIFS('Daftar Koreksi'!$H$5:$H$92,'Daftar Koreksi'!$D$5:$D$92,'2100'!A202,'Daftar Koreksi'!$G$5:$G$92,"Tanah",'Daftar Koreksi'!$H$5:$H$92,"&gt;0")</f>
        <v>0</v>
      </c>
      <c r="F206" s="25">
        <f>SUMIFS('Daftar Koreksi'!$H$5:$H$92,'Daftar Koreksi'!$D$5:$D$92,'2100'!A202,'Daftar Koreksi'!$G$5:$G$92,"Tanah",'Daftar Koreksi'!$H$5:$H$92,"&lt;0")-SUMIFS('Daftar Koreksi'!$H$5:$H$92,'Daftar Koreksi'!$D$5:$D$92,'2100'!A202,'Daftar Koreksi'!$G$5:$G$92,"Tanah",'Daftar Koreksi'!$H$5:$H$92,"&lt;0")-SUMIFS('Daftar Koreksi'!$H$5:$H$92,'Daftar Koreksi'!$D$5:$D$92,'2100'!A202,'Daftar Koreksi'!$G$5:$G$92,"Tanah",'Daftar Koreksi'!$H$5:$H$92,"&lt;0")</f>
        <v>0</v>
      </c>
      <c r="G206" s="17">
        <f t="shared" ref="G206:G222" si="9">D206+E206-F206</f>
        <v>1174000000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1545164534</v>
      </c>
      <c r="E207" s="25">
        <f>SUMIFS('Daftar Koreksi'!$H$5:$H$92,'Daftar Koreksi'!$D$5:$D$92,'2100'!A202,'Daftar Koreksi'!$G$5:$G$92,"Peralatan dan mesin",'Daftar Koreksi'!$H$5:$H$92,"&gt;0")</f>
        <v>0</v>
      </c>
      <c r="F207" s="25">
        <f>SUMIFS('Daftar Koreksi'!$H$5:$H$92,'Daftar Koreksi'!$D$5:$D$92,'2100'!A202,'Daftar Koreksi'!$G$5:$G$92,"Peralatan dan mesin",'Daftar Koreksi'!$H$5:$H$92,"&lt;0")-SUMIFS('Daftar Koreksi'!$H$5:$H$92,'Daftar Koreksi'!$D$5:$D$92,'2100'!A202,'Daftar Koreksi'!$G$5:$G$92,"Peralatan dan mesin",'Daftar Koreksi'!$H$5:$H$92,"&lt;0")-SUMIFS('Daftar Koreksi'!$H$5:$H$92,'Daftar Koreksi'!$D$5:$D$92,'2100'!A202,'Daftar Koreksi'!$G$5:$G$92,"Peralatan dan mesin",'Daftar Koreksi'!$H$5:$H$92,"&lt;0")</f>
        <v>0</v>
      </c>
      <c r="G207" s="17">
        <f t="shared" si="9"/>
        <v>1545164534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0</v>
      </c>
      <c r="E208" s="25">
        <f>SUMIFS('Daftar Koreksi'!$H$5:$H$92,'Daftar Koreksi'!$D$5:$D$92,'2100'!A202,'Daftar Koreksi'!$G$5:$G$92,"Gedung dan Bangunan",'Daftar Koreksi'!$H$5:$H$92,"&gt;0")</f>
        <v>0</v>
      </c>
      <c r="F208" s="25">
        <f>SUMIFS('Daftar Koreksi'!$H$5:$H$92,'Daftar Koreksi'!$D$5:$D$92,'2100'!A202,'Daftar Koreksi'!$G$5:$G$92,"Gedung dan Bangunan",'Daftar Koreksi'!$H$5:$H$92,"&lt;0")-SUMIFS('Daftar Koreksi'!$H$5:$H$92,'Daftar Koreksi'!$D$5:$D$92,'2100'!A202,'Daftar Koreksi'!$G$5:$G$92,"Gedung dan Bangunan",'Daftar Koreksi'!$H$5:$H$92,"&lt;0")-SUMIFS('Daftar Koreksi'!$H$5:$H$92,'Daftar Koreksi'!$D$5:$D$92,'2100'!A202,'Daftar Koreksi'!$G$5:$G$92,"Gedung dan Bangunan",'Daftar Koreksi'!$H$5:$H$92,"&lt;0")</f>
        <v>0</v>
      </c>
      <c r="G208" s="17">
        <f t="shared" si="9"/>
        <v>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Koreksi'!$D$5:$D$92,'2100'!A202,'Daftar Koreksi'!$G$5:$G$92,"Jalan Irigasi Jaringan",'Daftar Koreksi'!$H$5:$H$92,"&gt;0")</f>
        <v>0</v>
      </c>
      <c r="F209" s="25">
        <f>SUMIFS('Daftar Koreksi'!$H$5:$H$92,'Daftar Koreksi'!$D$5:$D$92,'2100'!A202,'Daftar Koreksi'!$G$5:$G$92,"Jalan Irigasi Jaringan",'Daftar Koreksi'!$H$5:$H$92,"&lt;0")-SUMIFS('Daftar Koreksi'!$H$5:$H$92,'Daftar Koreksi'!$D$5:$D$92,'2100'!A202,'Daftar Koreksi'!$G$5:$G$92,"Jalan Irigasi Jaringan",'Daftar Koreksi'!$H$5:$H$92,"&lt;0")-SUMIFS('Daftar Koreksi'!$H$5:$H$92,'Daftar Koreksi'!$D$5:$D$92,'2100'!A202,'Daftar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7000000</v>
      </c>
      <c r="E210" s="25">
        <f>SUMIFS('Daftar Koreksi'!$H$5:$H$92,'Daftar Koreksi'!$D$5:$D$92,'2100'!A202,'Daftar Koreksi'!$G$5:$G$92,"Aset Tetap Lainnya",'Daftar Koreksi'!$H$5:$H$92,"&gt;0")</f>
        <v>0</v>
      </c>
      <c r="F210" s="25">
        <f>SUMIFS('Daftar Koreksi'!$H$5:$H$92,'Daftar Koreksi'!$D$5:$D$92,'2100'!A202,'Daftar Koreksi'!$G$5:$G$92,"Aset Tetap Lainnya",'Daftar Koreksi'!$H$5:$H$92,"&lt;0")-SUMIFS('Daftar Koreksi'!$H$5:$H$92,'Daftar Koreksi'!$D$5:$D$92,'2100'!A202,'Daftar Koreksi'!$G$5:$G$92,"Aset Tetap Lainnya",'Daftar Koreksi'!$H$5:$H$92,"&lt;0")-SUMIFS('Daftar Koreksi'!$H$5:$H$92,'Daftar Koreksi'!$D$5:$D$92,'2100'!A202,'Daftar Koreksi'!$G$5:$G$92,"Aset Tetap Lainnya",'Daftar Koreksi'!$H$5:$H$92,"&lt;0")</f>
        <v>0</v>
      </c>
      <c r="G210" s="17">
        <f t="shared" si="9"/>
        <v>7000000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10043570175</v>
      </c>
      <c r="E211" s="25">
        <f>SUMIFS('Daftar Koreksi'!$H$5:$H$92,'Daftar Koreksi'!$D$5:$D$92,'2100'!A202,'Daftar Koreksi'!$G$5:$G$92,"Kontruksi Dalam Pengerjaan",'Daftar Koreksi'!$H$5:$H$92,"&gt;0")</f>
        <v>0</v>
      </c>
      <c r="F211" s="25">
        <f>SUMIFS('Daftar Koreksi'!$H$5:$H$92,'Daftar Koreksi'!$D$5:$D$92,'2100'!A202,'Daftar Koreksi'!$G$5:$G$92,"Kontruksi Dalam Pengerjaan",'Daftar Koreksi'!$H$5:$H$92,"&lt;0")-SUMIFS('Daftar Koreksi'!$H$5:$H$92,'Daftar Koreksi'!$D$5:$D$92,'2100'!A202,'Daftar Koreksi'!$G$5:$G$92,"Kontruksi Dalam Pengerjaan",'Daftar Koreksi'!$H$5:$H$92,"&lt;0")-SUMIFS('Daftar Koreksi'!$H$5:$H$92,'Daftar Koreksi'!$D$5:$D$92,'2100'!A202,'Daftar Koreksi'!$G$5:$G$92,"Kontruksi Dalam Pengerjaan",'Daftar Koreksi'!$H$5:$H$92,"&lt;0")</f>
        <v>0</v>
      </c>
      <c r="G211" s="17">
        <f t="shared" si="9"/>
        <v>10043570175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Koreksi'!$D$5:$D$92,'2100'!A202,'Daftar Koreksi'!$G$5:$G$92,"Aset Tak Berwujud",'Daftar Koreksi'!$H$5:$H$92,"&gt;0")</f>
        <v>0</v>
      </c>
      <c r="F212" s="25">
        <f>SUMIFS('Daftar Koreksi'!$H$5:$H$92,'Daftar Koreksi'!$D$5:$D$92,'2100'!A202,'Daftar Koreksi'!$G$5:$G$92,"Aset Tak Berwujud",'Daftar Koreksi'!$H$5:$H$92,"&lt;0")-SUMIFS('Daftar Koreksi'!$H$5:$H$92,'Daftar Koreksi'!$D$5:$D$92,'2100'!A202,'Daftar Koreksi'!$G$5:$G$92,"Aset Tak Berwujud",'Daftar Koreksi'!$H$5:$H$92,"&lt;0")-SUMIFS('Daftar Koreksi'!$H$5:$H$92,'Daftar Koreksi'!$D$5:$D$92,'2100'!A202,'Daftar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279664000</v>
      </c>
      <c r="E213" s="25">
        <f>SUMIFS('Daftar Koreksi'!$H$5:$H$92,'Daftar Koreksi'!$D$5:$D$92,'2100'!A202,'Daftar Koreksi'!$G$5:$G$92,"Aset Henti Guna",'Daftar Koreksi'!$H$5:$H$92,"&gt;0")</f>
        <v>0</v>
      </c>
      <c r="F213" s="25">
        <f>SUMIFS('Daftar Koreksi'!$H$5:$H$92,'Daftar Koreksi'!$D$5:$D$92,'2100'!A202,'Daftar Koreksi'!$G$5:$G$92,"Aset Henti Guna",'Daftar Koreksi'!$H$5:$H$92,"&lt;0")-SUMIFS('Daftar Koreksi'!$H$5:$H$92,'Daftar Koreksi'!$D$5:$D$92,'2100'!A202,'Daftar Koreksi'!$G$5:$G$92,"Aset Henti Guna",'Daftar Koreksi'!$H$5:$H$92,"&lt;0")-SUMIFS('Daftar Koreksi'!$H$5:$H$92,'Daftar Koreksi'!$D$5:$D$92,'2100'!A202,'Daftar Koreksi'!$G$5:$G$92,"Aset Henti Guna",'Daftar Koreksi'!$H$5:$H$92,"&lt;0")</f>
        <v>0</v>
      </c>
      <c r="G213" s="17">
        <f t="shared" si="9"/>
        <v>279664000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13051488709</v>
      </c>
      <c r="E214" s="19">
        <f>SUM(E205:E213)</f>
        <v>0</v>
      </c>
      <c r="F214" s="19">
        <f>SUM(F205:F213)</f>
        <v>0</v>
      </c>
      <c r="G214" s="19">
        <f t="shared" si="9"/>
        <v>13051488709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-1315471989</v>
      </c>
      <c r="E215" s="25">
        <f>SUMIFS('Daftar Koreksi'!$I$5:$I$92,'Daftar Koreksi'!$D$5:$D$92,'2100'!A202,'Daftar Koreksi'!$G$5:$G$92,"Peralatan dan mesin",'Daftar Koreksi'!$I$5:$I$92,"&gt;0")</f>
        <v>0</v>
      </c>
      <c r="F215" s="25">
        <f>SUMIFS('Daftar Koreksi'!$I$5:$I$92,'Daftar Koreksi'!$D$5:$D$92,'2100'!A202,'Daftar Koreksi'!$G$5:$G$92,"Peralatan dan mesin",'Daftar Koreksi'!$I$5:$I$92,"&lt;0")-SUMIFS('Daftar Koreksi'!$I$5:$I$92,'Daftar Koreksi'!$D$5:$D$92,'2100'!A202,'Daftar Koreksi'!$G$5:$G$92,"Peralatan dan mesin",'Daftar Koreksi'!$I$5:$I$92,"&lt;0")-SUMIFS('Daftar Koreksi'!$I$5:$I$92,'Daftar Koreksi'!$D$5:$D$92,'2100'!A202,'Daftar Koreksi'!$G$5:$G$92,"Peralatan dan mesin",'Daftar Koreksi'!$I$5:$I$92,"&lt;0")</f>
        <v>0</v>
      </c>
      <c r="G215" s="17">
        <f t="shared" si="9"/>
        <v>-1315471989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0</v>
      </c>
      <c r="E216" s="25">
        <f>SUMIFS('Daftar Koreksi'!$I$5:$I$92,'Daftar Koreksi'!$D$5:$D$92,'2100'!A202,'Daftar Koreksi'!$G$5:$G$92,"Gedung dan Bangunan",'Daftar Koreksi'!$I$5:$I$92,"&gt;0")</f>
        <v>0</v>
      </c>
      <c r="F216" s="25">
        <f>SUMIFS('Daftar Koreksi'!$I$5:$I$92,'Daftar Koreksi'!$D$5:$D$92,'2100'!A202,'Daftar Koreksi'!$G$5:$G$92,"Gedung dan Bangunan",'Daftar Koreksi'!$I$5:$I$92,"&lt;0")-SUMIFS('Daftar Koreksi'!$I$5:$I$92,'Daftar Koreksi'!$D$5:$D$92,'2100'!A202,'Daftar Koreksi'!$G$5:$G$92,"Gedung dan Bangunan",'Daftar Koreksi'!$I$5:$I$92,"&lt;0")-SUMIFS('Daftar Koreksi'!$I$5:$I$92,'Daftar Koreksi'!$D$5:$D$92,'2100'!A202,'Daftar Koreksi'!$G$5:$G$92,"Gedung dan Bangunan",'Daftar Koreksi'!$I$5:$I$92,"&lt;0")</f>
        <v>0</v>
      </c>
      <c r="G216" s="17">
        <f t="shared" si="9"/>
        <v>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Koreksi'!$D$5:$D$92,'2100'!A202,'Daftar Koreksi'!$G$5:$G$92,"Jalan Irigasi Jaringan",'Daftar Koreksi'!$I$5:$I$92,"&gt;0")</f>
        <v>0</v>
      </c>
      <c r="F217" s="25">
        <f>SUMIFS('Daftar Koreksi'!$I$5:$I$92,'Daftar Koreksi'!$D$5:$D$92,'2100'!A202,'Daftar Koreksi'!$G$5:$G$92,"Jalan Irigasi Jaringan",'Daftar Koreksi'!$I$5:$I$92,"&lt;0")-SUMIFS('Daftar Koreksi'!$I$5:$I$92,'Daftar Koreksi'!$D$5:$D$92,'2100'!A202,'Daftar Koreksi'!$G$5:$G$92,"Jalan Irigasi Jaringan",'Daftar Koreksi'!$I$5:$I$92,"&lt;0")-SUMIFS('Daftar Koreksi'!$I$5:$I$92,'Daftar Koreksi'!$D$5:$D$92,'2100'!A202,'Daftar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Koreksi'!$D$5:$D$92,'2100'!A202,'Daftar Koreksi'!$G$5:$G$92,"Aset Tetap Lainnya",'Daftar Koreksi'!$I$5:$I$92,"&gt;0")</f>
        <v>0</v>
      </c>
      <c r="F218" s="25">
        <f>SUMIFS('Daftar Koreksi'!$I$5:$I$92,'Daftar Koreksi'!$D$5:$D$92,'2100'!A202,'Daftar Koreksi'!$G$5:$G$92,"Aset Tetap Lainnya",'Daftar Koreksi'!$I$5:$I$92,"&lt;0")-SUMIFS('Daftar Koreksi'!$I$5:$I$92,'Daftar Koreksi'!$D$5:$D$92,'2100'!A202,'Daftar Koreksi'!$G$5:$G$92,"Aset Tetap Lainnya",'Daftar Koreksi'!$I$5:$I$92,"&lt;0")-SUMIFS('Daftar Koreksi'!$I$5:$I$92,'Daftar Koreksi'!$D$5:$D$92,'2100'!A202,'Daftar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-276264200</v>
      </c>
      <c r="E219" s="25">
        <f>SUMIFS('Daftar Koreksi'!$I$5:$I$92,'Daftar Koreksi'!$D$5:$D$92,'2100'!A202,'Daftar Koreksi'!$G$5:$G$92,"Aset Henti Guna",'Daftar Koreksi'!$I$5:$I$92,"&gt;0")</f>
        <v>0</v>
      </c>
      <c r="F219" s="25">
        <f>SUMIFS('Daftar Koreksi'!$I$5:$I$92,'Daftar Koreksi'!$D$5:$D$92,'2100'!A202,'Daftar Koreksi'!$G$5:$G$92,"Aset Henti Guna",'Daftar Koreksi'!$I$5:$I$92,"&lt;0")-SUMIFS('Daftar Koreksi'!$I$5:$I$92,'Daftar Koreksi'!$D$5:$D$92,'2100'!A202,'Daftar Koreksi'!$G$5:$G$92,"Aset Henti Guna",'Daftar Koreksi'!$I$5:$I$92,"&lt;0")-SUMIFS('Daftar Koreksi'!$I$5:$I$92,'Daftar Koreksi'!$D$5:$D$92,'2100'!A202,'Daftar Koreksi'!$G$5:$G$92,"Aset Henti Guna",'Daftar Koreksi'!$I$5:$I$92,"&lt;0")</f>
        <v>0</v>
      </c>
      <c r="G219" s="17">
        <f t="shared" si="9"/>
        <v>-276264200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-1591736189</v>
      </c>
      <c r="E220" s="19">
        <f>SUM(E215:E219)</f>
        <v>0</v>
      </c>
      <c r="F220" s="19">
        <f>SUM(F215:F219)</f>
        <v>0</v>
      </c>
      <c r="G220" s="19">
        <f t="shared" si="9"/>
        <v>-1591736189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11459752520</v>
      </c>
      <c r="E221" s="19">
        <f>E220+E214</f>
        <v>0</v>
      </c>
      <c r="F221" s="19">
        <f>F220+F214</f>
        <v>0</v>
      </c>
      <c r="G221" s="19">
        <f t="shared" si="9"/>
        <v>11459752520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005012100672931000KD</v>
      </c>
      <c r="B224" s="11" t="str">
        <f>P11</f>
        <v>PN. Saumlaki</v>
      </c>
      <c r="C224" s="12" t="str">
        <f>A224&amp;" "&amp;B224</f>
        <v>005012100672931000KD PN. Saumlaki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303000</v>
      </c>
      <c r="E227" s="25">
        <f>SUMIFS('Daftar Koreksi'!$H$5:$H$92,'Daftar Koreksi'!$D$5:$D$92,'2100'!A224,'Daftar Koreksi'!$G$5:$G$92,"Persediaan",'Daftar Koreksi'!$H$5:$H$92,"&gt;0")</f>
        <v>0</v>
      </c>
      <c r="F227" s="25">
        <f>SUMIFS('Daftar Koreksi'!$H$5:$H$92,'Daftar Koreksi'!$D$5:$D$92,'2100'!A224,'Daftar Koreksi'!$G$5:$G$92,"Persediaan",'Daftar Koreksi'!$H$5:$H$92,"&lt;0")-SUMIFS('Daftar Koreksi'!$H$5:$H$92,'Daftar Koreksi'!$D$5:$D$92,'2100'!A224,'Daftar Koreksi'!$G$5:$G$92,"Persediaan",'Daftar Koreksi'!$H$5:$H$92,"&lt;0")-SUMIFS('Daftar Koreksi'!$H$5:$H$92,'Daftar Koreksi'!$D$5:$D$92,'2100'!A224,'Daftar Koreksi'!$G$5:$G$92,"Persediaan",'Daftar Koreksi'!$H$5:$H$92,"&lt;0")</f>
        <v>0</v>
      </c>
      <c r="G227" s="17">
        <f>D227+E227-F227</f>
        <v>303000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1200300000</v>
      </c>
      <c r="E228" s="25">
        <f>SUMIFS('Daftar Koreksi'!$H$5:$H$92,'Daftar Koreksi'!$D$5:$D$92,'2100'!A224,'Daftar Koreksi'!$G$5:$G$92,"Tanah",'Daftar Koreksi'!$H$5:$H$92,"&gt;0")</f>
        <v>0</v>
      </c>
      <c r="F228" s="25">
        <f>SUMIFS('Daftar Koreksi'!$H$5:$H$92,'Daftar Koreksi'!$D$5:$D$92,'2100'!A224,'Daftar Koreksi'!$G$5:$G$92,"Tanah",'Daftar Koreksi'!$H$5:$H$92,"&lt;0")-SUMIFS('Daftar Koreksi'!$H$5:$H$92,'Daftar Koreksi'!$D$5:$D$92,'2100'!A224,'Daftar Koreksi'!$G$5:$G$92,"Tanah",'Daftar Koreksi'!$H$5:$H$92,"&lt;0")-SUMIFS('Daftar Koreksi'!$H$5:$H$92,'Daftar Koreksi'!$D$5:$D$92,'2100'!A224,'Daftar Koreksi'!$G$5:$G$92,"Tanah",'Daftar Koreksi'!$H$5:$H$92,"&lt;0")</f>
        <v>0</v>
      </c>
      <c r="G228" s="17">
        <f t="shared" ref="G228:G244" si="10">D228+E228-F228</f>
        <v>1200300000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2048513796</v>
      </c>
      <c r="E229" s="25">
        <f>SUMIFS('Daftar Koreksi'!$H$5:$H$92,'Daftar Koreksi'!$D$5:$D$92,'2100'!A224,'Daftar Koreksi'!$G$5:$G$92,"Peralatan dan mesin",'Daftar Koreksi'!$H$5:$H$92,"&gt;0")</f>
        <v>0</v>
      </c>
      <c r="F229" s="25">
        <f>SUMIFS('Daftar Koreksi'!$H$5:$H$92,'Daftar Koreksi'!$D$5:$D$92,'2100'!A224,'Daftar Koreksi'!$G$5:$G$92,"Peralatan dan mesin",'Daftar Koreksi'!$H$5:$H$92,"&lt;0")-SUMIFS('Daftar Koreksi'!$H$5:$H$92,'Daftar Koreksi'!$D$5:$D$92,'2100'!A224,'Daftar Koreksi'!$G$5:$G$92,"Peralatan dan mesin",'Daftar Koreksi'!$H$5:$H$92,"&lt;0")-SUMIFS('Daftar Koreksi'!$H$5:$H$92,'Daftar Koreksi'!$D$5:$D$92,'2100'!A224,'Daftar Koreksi'!$G$5:$G$92,"Peralatan dan mesin",'Daftar Koreksi'!$H$5:$H$92,"&lt;0")</f>
        <v>0</v>
      </c>
      <c r="G229" s="17">
        <f t="shared" si="10"/>
        <v>2048513796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5847862000</v>
      </c>
      <c r="E230" s="25">
        <f>SUMIFS('Daftar Koreksi'!$H$5:$H$92,'Daftar Koreksi'!$D$5:$D$92,'2100'!A224,'Daftar Koreksi'!$G$5:$G$92,"Gedung dan Bangunan",'Daftar Koreksi'!$H$5:$H$92,"&gt;0")</f>
        <v>0</v>
      </c>
      <c r="F230" s="25">
        <f>SUMIFS('Daftar Koreksi'!$H$5:$H$92,'Daftar Koreksi'!$D$5:$D$92,'2100'!A224,'Daftar Koreksi'!$G$5:$G$92,"Gedung dan Bangunan",'Daftar Koreksi'!$H$5:$H$92,"&lt;0")-SUMIFS('Daftar Koreksi'!$H$5:$H$92,'Daftar Koreksi'!$D$5:$D$92,'2100'!A224,'Daftar Koreksi'!$G$5:$G$92,"Gedung dan Bangunan",'Daftar Koreksi'!$H$5:$H$92,"&lt;0")-SUMIFS('Daftar Koreksi'!$H$5:$H$92,'Daftar Koreksi'!$D$5:$D$92,'2100'!A224,'Daftar Koreksi'!$G$5:$G$92,"Gedung dan Bangunan",'Daftar Koreksi'!$H$5:$H$92,"&lt;0")</f>
        <v>0</v>
      </c>
      <c r="G230" s="17">
        <f t="shared" si="10"/>
        <v>5847862000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64470000</v>
      </c>
      <c r="E231" s="25">
        <f>SUMIFS('Daftar Koreksi'!$H$5:$H$92,'Daftar Koreksi'!$D$5:$D$92,'2100'!A224,'Daftar Koreksi'!$G$5:$G$92,"Jalan Irigasi Jaringan",'Daftar Koreksi'!$H$5:$H$92,"&gt;0")</f>
        <v>0</v>
      </c>
      <c r="F231" s="25">
        <f>SUMIFS('Daftar Koreksi'!$H$5:$H$92,'Daftar Koreksi'!$D$5:$D$92,'2100'!A224,'Daftar Koreksi'!$G$5:$G$92,"Jalan Irigasi Jaringan",'Daftar Koreksi'!$H$5:$H$92,"&lt;0")-SUMIFS('Daftar Koreksi'!$H$5:$H$92,'Daftar Koreksi'!$D$5:$D$92,'2100'!A224,'Daftar Koreksi'!$G$5:$G$92,"Jalan Irigasi Jaringan",'Daftar Koreksi'!$H$5:$H$92,"&lt;0")-SUMIFS('Daftar Koreksi'!$H$5:$H$92,'Daftar Koreksi'!$D$5:$D$92,'2100'!A224,'Daftar Koreksi'!$G$5:$G$92,"Jalan Irigasi Jaringan",'Daftar Koreksi'!$H$5:$H$92,"&lt;0")</f>
        <v>0</v>
      </c>
      <c r="G231" s="17">
        <f t="shared" si="10"/>
        <v>64470000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2683400</v>
      </c>
      <c r="E232" s="25">
        <f>SUMIFS('Daftar Koreksi'!$H$5:$H$92,'Daftar Koreksi'!$D$5:$D$92,'2100'!A224,'Daftar Koreksi'!$G$5:$G$92,"Aset Tetap Lainnya",'Daftar Koreksi'!$H$5:$H$92,"&gt;0")</f>
        <v>0</v>
      </c>
      <c r="F232" s="25">
        <f>SUMIFS('Daftar Koreksi'!$H$5:$H$92,'Daftar Koreksi'!$D$5:$D$92,'2100'!A224,'Daftar Koreksi'!$G$5:$G$92,"Aset Tetap Lainnya",'Daftar Koreksi'!$H$5:$H$92,"&lt;0")-SUMIFS('Daftar Koreksi'!$H$5:$H$92,'Daftar Koreksi'!$D$5:$D$92,'2100'!A224,'Daftar Koreksi'!$G$5:$G$92,"Aset Tetap Lainnya",'Daftar Koreksi'!$H$5:$H$92,"&lt;0")-SUMIFS('Daftar Koreksi'!$H$5:$H$92,'Daftar Koreksi'!$D$5:$D$92,'2100'!A224,'Daftar Koreksi'!$G$5:$G$92,"Aset Tetap Lainnya",'Daftar Koreksi'!$H$5:$H$92,"&lt;0")</f>
        <v>0</v>
      </c>
      <c r="G232" s="17">
        <f t="shared" si="10"/>
        <v>2683400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Koreksi'!$D$5:$D$92,'2100'!A224,'Daftar Koreksi'!$G$5:$G$92,"Kontruksi Dalam Pengerjaan",'Daftar Koreksi'!$H$5:$H$92,"&gt;0")</f>
        <v>0</v>
      </c>
      <c r="F233" s="25">
        <f>SUMIFS('Daftar Koreksi'!$H$5:$H$92,'Daftar Koreksi'!$D$5:$D$92,'2100'!A224,'Daftar Koreksi'!$G$5:$G$92,"Kontruksi Dalam Pengerjaan",'Daftar Koreksi'!$H$5:$H$92,"&lt;0")-SUMIFS('Daftar Koreksi'!$H$5:$H$92,'Daftar Koreksi'!$D$5:$D$92,'2100'!A224,'Daftar Koreksi'!$G$5:$G$92,"Kontruksi Dalam Pengerjaan",'Daftar Koreksi'!$H$5:$H$92,"&lt;0")-SUMIFS('Daftar Koreksi'!$H$5:$H$92,'Daftar Koreksi'!$D$5:$D$92,'2100'!A224,'Daftar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Koreksi'!$D$5:$D$92,'2100'!A224,'Daftar Koreksi'!$G$5:$G$92,"Aset Tak Berwujud",'Daftar Koreksi'!$H$5:$H$92,"&gt;0")</f>
        <v>0</v>
      </c>
      <c r="F234" s="25">
        <f>SUMIFS('Daftar Koreksi'!$H$5:$H$92,'Daftar Koreksi'!$D$5:$D$92,'2100'!A224,'Daftar Koreksi'!$G$5:$G$92,"Aset Tak Berwujud",'Daftar Koreksi'!$H$5:$H$92,"&lt;0")-SUMIFS('Daftar Koreksi'!$H$5:$H$92,'Daftar Koreksi'!$D$5:$D$92,'2100'!A224,'Daftar Koreksi'!$G$5:$G$92,"Aset Tak Berwujud",'Daftar Koreksi'!$H$5:$H$92,"&lt;0")-SUMIFS('Daftar Koreksi'!$H$5:$H$92,'Daftar Koreksi'!$D$5:$D$92,'2100'!A224,'Daftar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33490000</v>
      </c>
      <c r="E235" s="25">
        <f>SUMIFS('Daftar Koreksi'!$H$5:$H$92,'Daftar Koreksi'!$D$5:$D$92,'2100'!A224,'Daftar Koreksi'!$G$5:$G$92,"Aset Henti Guna",'Daftar Koreksi'!$H$5:$H$92,"&gt;0")</f>
        <v>0</v>
      </c>
      <c r="F235" s="25">
        <f>SUMIFS('Daftar Koreksi'!$H$5:$H$92,'Daftar Koreksi'!$D$5:$D$92,'2100'!A224,'Daftar Koreksi'!$G$5:$G$92,"Aset Henti Guna",'Daftar Koreksi'!$H$5:$H$92,"&lt;0")-SUMIFS('Daftar Koreksi'!$H$5:$H$92,'Daftar Koreksi'!$D$5:$D$92,'2100'!A224,'Daftar Koreksi'!$G$5:$G$92,"Aset Henti Guna",'Daftar Koreksi'!$H$5:$H$92,"&lt;0")-SUMIFS('Daftar Koreksi'!$H$5:$H$92,'Daftar Koreksi'!$D$5:$D$92,'2100'!A224,'Daftar Koreksi'!$G$5:$G$92,"Aset Henti Guna",'Daftar Koreksi'!$H$5:$H$92,"&lt;0")</f>
        <v>0</v>
      </c>
      <c r="G235" s="17">
        <f t="shared" si="10"/>
        <v>33490000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9197622196</v>
      </c>
      <c r="E236" s="19">
        <f>SUM(E227:E235)</f>
        <v>0</v>
      </c>
      <c r="F236" s="19">
        <f>SUM(F227:F235)</f>
        <v>0</v>
      </c>
      <c r="G236" s="19">
        <f t="shared" si="10"/>
        <v>9197622196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-1613135226</v>
      </c>
      <c r="E237" s="25">
        <f>SUMIFS('Daftar Koreksi'!$I$5:$I$92,'Daftar Koreksi'!$D$5:$D$92,'2100'!A224,'Daftar Koreksi'!$G$5:$G$92,"Peralatan dan mesin",'Daftar Koreksi'!$I$5:$I$92,"&gt;0")</f>
        <v>0</v>
      </c>
      <c r="F237" s="25">
        <f>SUMIFS('Daftar Koreksi'!$I$5:$I$92,'Daftar Koreksi'!$D$5:$D$92,'2100'!A224,'Daftar Koreksi'!$G$5:$G$92,"Peralatan dan mesin",'Daftar Koreksi'!$I$5:$I$92,"&lt;0")-SUMIFS('Daftar Koreksi'!$I$5:$I$92,'Daftar Koreksi'!$D$5:$D$92,'2100'!A224,'Daftar Koreksi'!$G$5:$G$92,"Peralatan dan mesin",'Daftar Koreksi'!$I$5:$I$92,"&lt;0")-SUMIFS('Daftar Koreksi'!$I$5:$I$92,'Daftar Koreksi'!$D$5:$D$92,'2100'!A224,'Daftar Koreksi'!$G$5:$G$92,"Peralatan dan mesin",'Daftar Koreksi'!$I$5:$I$92,"&lt;0")</f>
        <v>0</v>
      </c>
      <c r="G237" s="17">
        <f t="shared" si="10"/>
        <v>-1613135226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-829632010</v>
      </c>
      <c r="E238" s="25">
        <f>SUMIFS('Daftar Koreksi'!$I$5:$I$92,'Daftar Koreksi'!$D$5:$D$92,'2100'!A224,'Daftar Koreksi'!$G$5:$G$92,"Gedung dan Bangunan",'Daftar Koreksi'!$I$5:$I$92,"&gt;0")</f>
        <v>0</v>
      </c>
      <c r="F238" s="25">
        <f>SUMIFS('Daftar Koreksi'!$I$5:$I$92,'Daftar Koreksi'!$D$5:$D$92,'2100'!A224,'Daftar Koreksi'!$G$5:$G$92,"Gedung dan Bangunan",'Daftar Koreksi'!$I$5:$I$92,"&lt;0")-SUMIFS('Daftar Koreksi'!$I$5:$I$92,'Daftar Koreksi'!$D$5:$D$92,'2100'!A224,'Daftar Koreksi'!$G$5:$G$92,"Gedung dan Bangunan",'Daftar Koreksi'!$I$5:$I$92,"&lt;0")-SUMIFS('Daftar Koreksi'!$I$5:$I$92,'Daftar Koreksi'!$D$5:$D$92,'2100'!A224,'Daftar Koreksi'!$G$5:$G$92,"Gedung dan Bangunan",'Daftar Koreksi'!$I$5:$I$92,"&lt;0")</f>
        <v>0</v>
      </c>
      <c r="G238" s="17">
        <f t="shared" si="10"/>
        <v>-829632010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-24735004</v>
      </c>
      <c r="E239" s="25">
        <f>SUMIFS('Daftar Koreksi'!$I$5:$I$92,'Daftar Koreksi'!$D$5:$D$92,'2100'!A224,'Daftar Koreksi'!$G$5:$G$92,"Jalan Irigasi Jaringan",'Daftar Koreksi'!$I$5:$I$92,"&gt;0")</f>
        <v>0</v>
      </c>
      <c r="F239" s="25">
        <f>SUMIFS('Daftar Koreksi'!$I$5:$I$92,'Daftar Koreksi'!$D$5:$D$92,'2100'!A224,'Daftar Koreksi'!$G$5:$G$92,"Jalan Irigasi Jaringan",'Daftar Koreksi'!$I$5:$I$92,"&lt;0")-SUMIFS('Daftar Koreksi'!$I$5:$I$92,'Daftar Koreksi'!$D$5:$D$92,'2100'!A224,'Daftar Koreksi'!$G$5:$G$92,"Jalan Irigasi Jaringan",'Daftar Koreksi'!$I$5:$I$92,"&lt;0")-SUMIFS('Daftar Koreksi'!$I$5:$I$92,'Daftar Koreksi'!$D$5:$D$92,'2100'!A224,'Daftar Koreksi'!$G$5:$G$92,"Jalan Irigasi Jaringan",'Daftar Koreksi'!$I$5:$I$92,"&lt;0")</f>
        <v>0</v>
      </c>
      <c r="G239" s="17">
        <f t="shared" si="10"/>
        <v>-24735004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Koreksi'!$D$5:$D$92,'2100'!A224,'Daftar Koreksi'!$G$5:$G$92,"Aset Tetap Lainnya",'Daftar Koreksi'!$I$5:$I$92,"&gt;0")</f>
        <v>0</v>
      </c>
      <c r="F240" s="25">
        <f>SUMIFS('Daftar Koreksi'!$I$5:$I$92,'Daftar Koreksi'!$D$5:$D$92,'2100'!A224,'Daftar Koreksi'!$G$5:$G$92,"Aset Tetap Lainnya",'Daftar Koreksi'!$I$5:$I$92,"&lt;0")-SUMIFS('Daftar Koreksi'!$I$5:$I$92,'Daftar Koreksi'!$D$5:$D$92,'2100'!A224,'Daftar Koreksi'!$G$5:$G$92,"Aset Tetap Lainnya",'Daftar Koreksi'!$I$5:$I$92,"&lt;0")-SUMIFS('Daftar Koreksi'!$I$5:$I$92,'Daftar Koreksi'!$D$5:$D$92,'2100'!A224,'Daftar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-33490000</v>
      </c>
      <c r="E241" s="25">
        <f>SUMIFS('Daftar Koreksi'!$I$5:$I$92,'Daftar Koreksi'!$D$5:$D$92,'2100'!A224,'Daftar Koreksi'!$G$5:$G$92,"Aset Henti Guna",'Daftar Koreksi'!$I$5:$I$92,"&gt;0")</f>
        <v>0</v>
      </c>
      <c r="F241" s="25">
        <f>SUMIFS('Daftar Koreksi'!$I$5:$I$92,'Daftar Koreksi'!$D$5:$D$92,'2100'!A224,'Daftar Koreksi'!$G$5:$G$92,"Aset Henti Guna",'Daftar Koreksi'!$I$5:$I$92,"&lt;0")-SUMIFS('Daftar Koreksi'!$I$5:$I$92,'Daftar Koreksi'!$D$5:$D$92,'2100'!A224,'Daftar Koreksi'!$G$5:$G$92,"Aset Henti Guna",'Daftar Koreksi'!$I$5:$I$92,"&lt;0")-SUMIFS('Daftar Koreksi'!$I$5:$I$92,'Daftar Koreksi'!$D$5:$D$92,'2100'!A224,'Daftar Koreksi'!$G$5:$G$92,"Aset Henti Guna",'Daftar Koreksi'!$I$5:$I$92,"&lt;0")</f>
        <v>0</v>
      </c>
      <c r="G241" s="17">
        <f t="shared" si="10"/>
        <v>-33490000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-2500992240</v>
      </c>
      <c r="E242" s="19">
        <f>SUM(E237:E241)</f>
        <v>0</v>
      </c>
      <c r="F242" s="19">
        <f>SUM(F237:F241)</f>
        <v>0</v>
      </c>
      <c r="G242" s="19">
        <f t="shared" si="10"/>
        <v>-2500992240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6696629956</v>
      </c>
      <c r="E243" s="19">
        <f>E242+E236</f>
        <v>0</v>
      </c>
      <c r="F243" s="19">
        <f>F242+F236</f>
        <v>0</v>
      </c>
      <c r="G243" s="19">
        <f t="shared" si="10"/>
        <v>6696629956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</sheetData>
  <mergeCells count="66">
    <mergeCell ref="H227:H244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225:C226"/>
    <mergeCell ref="D225:D226"/>
    <mergeCell ref="E225:F225"/>
    <mergeCell ref="G225:G226"/>
    <mergeCell ref="H225:H226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442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1" width="14" style="8" bestFit="1" customWidth="1"/>
    <col min="12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659</v>
      </c>
      <c r="P1" s="8" t="s">
        <v>1797</v>
      </c>
    </row>
    <row r="2" spans="1:16" ht="19.5" customHeight="1">
      <c r="C2" s="9" t="s">
        <v>2118</v>
      </c>
      <c r="O2" s="8" t="s">
        <v>660</v>
      </c>
      <c r="P2" s="8" t="s">
        <v>1798</v>
      </c>
    </row>
    <row r="3" spans="1:16" ht="19.5" customHeight="1">
      <c r="O3" s="8" t="s">
        <v>661</v>
      </c>
      <c r="P3" s="8" t="s">
        <v>1799</v>
      </c>
    </row>
    <row r="4" spans="1:16" ht="19.5" customHeight="1">
      <c r="A4" s="11" t="str">
        <f>O1</f>
        <v>005012200099773000KD</v>
      </c>
      <c r="B4" s="11" t="str">
        <f>P1</f>
        <v>PT. Denpasar</v>
      </c>
      <c r="C4" s="12" t="str">
        <f>A4&amp;" "&amp;B4</f>
        <v>005012200099773000KD PT. Denpasar</v>
      </c>
      <c r="D4" s="13"/>
      <c r="E4" s="13"/>
      <c r="F4" s="13"/>
      <c r="G4" s="13"/>
      <c r="H4" s="11"/>
      <c r="O4" s="8" t="s">
        <v>662</v>
      </c>
      <c r="P4" s="8" t="s">
        <v>1800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663</v>
      </c>
      <c r="P5" s="8" t="s">
        <v>1801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664</v>
      </c>
      <c r="P6" s="8" t="s">
        <v>1802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23926750</v>
      </c>
      <c r="E7" s="25">
        <f>SUMIFS('Daftar Koreksi'!$H$5:$H$92,'Daftar Koreksi'!$D$5:$D$92,'2200'!A4,'Daftar Koreksi'!$G$5:$G$92,"Persediaan",'Daftar Koreksi'!$H$5:$H$92,"&gt;0")</f>
        <v>0</v>
      </c>
      <c r="F7" s="25">
        <f>SUMIFS('Daftar Koreksi'!$H$5:$H$92,'Daftar Koreksi'!$D$5:$D$92,'2200'!A4,'Daftar Koreksi'!$G$5:$G$92,"Persediaan",'Daftar Koreksi'!$H$5:$H$92,"&lt;0")-SUMIFS('Daftar Koreksi'!$H$5:$H$92,'Daftar Koreksi'!$D$5:$D$92,'2200'!A4,'Daftar Koreksi'!$G$5:$G$92,"Persediaan",'Daftar Koreksi'!$H$5:$H$92,"&lt;0")-SUMIFS('Daftar Koreksi'!$H$5:$H$92,'Daftar Koreksi'!$D$5:$D$92,'2200'!A4,'Daftar Koreksi'!$G$5:$G$92,"Persediaan",'Daftar Koreksi'!$H$5:$H$92,"&lt;0")</f>
        <v>0</v>
      </c>
      <c r="G7" s="17">
        <f>D7+E7-F7</f>
        <v>23926750</v>
      </c>
      <c r="H7" s="121" t="str">
        <f>IF(ISNA(VLOOKUP(A4,'Mutasi Neraca'!$A$3:$S$914,19,FALSE)),"-",VLOOKUP(A4,'Mutasi Neraca'!$A$3:$S$914,19,FALSE))</f>
        <v>-</v>
      </c>
      <c r="O7" s="8" t="s">
        <v>665</v>
      </c>
      <c r="P7" s="8" t="s">
        <v>1803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29524800000</v>
      </c>
      <c r="E8" s="25">
        <f>SUMIFS('Daftar Koreksi'!$H$5:$H$92,'Daftar Koreksi'!$D$5:$D$92,'2200'!A4,'Daftar Koreksi'!$G$5:$G$92,"Tanah",'Daftar Koreksi'!$H$5:$H$92,"&gt;0")</f>
        <v>0</v>
      </c>
      <c r="F8" s="25">
        <f>SUMIFS('Daftar Koreksi'!$H$5:$H$92,'Daftar Koreksi'!$D$5:$D$92,'2200'!A4,'Daftar Koreksi'!$G$5:$G$92,"Tanah",'Daftar Koreksi'!$H$5:$H$92,"&lt;0")-SUMIFS('Daftar Koreksi'!$H$5:$H$92,'Daftar Koreksi'!$D$5:$D$92,'2200'!A4,'Daftar Koreksi'!$G$5:$G$92,"Tanah",'Daftar Koreksi'!$H$5:$H$92,"&lt;0")-SUMIFS('Daftar Koreksi'!$H$5:$H$92,'Daftar Koreksi'!$D$5:$D$92,'2200'!A4,'Daftar Koreksi'!$G$5:$G$92,"Tanah",'Daftar Koreksi'!$H$5:$H$92,"&lt;0")</f>
        <v>0</v>
      </c>
      <c r="G8" s="17">
        <f t="shared" ref="G8:G24" si="0">D8+E8-F8</f>
        <v>29524800000</v>
      </c>
      <c r="H8" s="122"/>
      <c r="O8" s="8" t="s">
        <v>666</v>
      </c>
      <c r="P8" s="8" t="s">
        <v>1804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5740737714</v>
      </c>
      <c r="E9" s="25">
        <f>SUMIFS('Daftar Koreksi'!$H$5:$H$92,'Daftar Koreksi'!$D$5:$D$92,'2200'!A4,'Daftar Koreksi'!$G$5:$G$92,"Peralatan dan mesin",'Daftar Koreksi'!$H$5:$H$92,"&gt;0")</f>
        <v>0</v>
      </c>
      <c r="F9" s="25">
        <f>SUMIFS('Daftar Koreksi'!$H$5:$H$92,'Daftar Koreksi'!$D$5:$D$92,'2200'!A4,'Daftar Koreksi'!$G$5:$G$92,"Peralatan dan mesin",'Daftar Koreksi'!$H$5:$H$92,"&lt;0")-SUMIFS('Daftar Koreksi'!$H$5:$H$92,'Daftar Koreksi'!$D$5:$D$92,'2200'!A4,'Daftar Koreksi'!$G$5:$G$92,"Peralatan dan mesin",'Daftar Koreksi'!$H$5:$H$92,"&lt;0")-SUMIFS('Daftar Koreksi'!$H$5:$H$92,'Daftar Koreksi'!$D$5:$D$92,'2200'!A4,'Daftar Koreksi'!$G$5:$G$92,"Peralatan dan mesin",'Daftar Koreksi'!$H$5:$H$92,"&lt;0")</f>
        <v>0</v>
      </c>
      <c r="G9" s="17">
        <f t="shared" si="0"/>
        <v>5740737714</v>
      </c>
      <c r="H9" s="122"/>
      <c r="O9" s="8" t="s">
        <v>667</v>
      </c>
      <c r="P9" s="8" t="s">
        <v>1805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14949750861</v>
      </c>
      <c r="E10" s="25">
        <f>SUMIFS('Daftar Koreksi'!$H$5:$H$92,'Daftar Koreksi'!$D$5:$D$92,'2200'!A4,'Daftar Koreksi'!$G$5:$G$92,"Gedung dan Bangunan",'Daftar Koreksi'!$H$5:$H$92,"&gt;0")</f>
        <v>0</v>
      </c>
      <c r="F10" s="25">
        <f>SUMIFS('Daftar Koreksi'!$H$5:$H$92,'Daftar Koreksi'!$D$5:$D$92,'2200'!A4,'Daftar Koreksi'!$G$5:$G$92,"Gedung dan Bangunan",'Daftar Koreksi'!$H$5:$H$92,"&lt;0")-SUMIFS('Daftar Koreksi'!$H$5:$H$92,'Daftar Koreksi'!$D$5:$D$92,'2200'!A4,'Daftar Koreksi'!$G$5:$G$92,"Gedung dan Bangunan",'Daftar Koreksi'!$H$5:$H$92,"&lt;0")-SUMIFS('Daftar Koreksi'!$H$5:$H$92,'Daftar Koreksi'!$D$5:$D$92,'2200'!A4,'Daftar Koreksi'!$G$5:$G$92,"Gedung dan Bangunan",'Daftar Koreksi'!$H$5:$H$92,"&lt;0")</f>
        <v>0</v>
      </c>
      <c r="G10" s="17">
        <f t="shared" si="0"/>
        <v>14949750861</v>
      </c>
      <c r="H10" s="122"/>
      <c r="O10" s="8" t="s">
        <v>668</v>
      </c>
      <c r="P10" s="8" t="s">
        <v>1806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158324345</v>
      </c>
      <c r="E11" s="25">
        <f>SUMIFS('Daftar Koreksi'!$H$5:$H$92,'Daftar Koreksi'!$D$5:$D$92,'2200'!A4,'Daftar Koreksi'!$G$5:$G$92,"Jalan Irigasi Jaringan",'Daftar Koreksi'!$H$5:$H$92,"&gt;0")</f>
        <v>0</v>
      </c>
      <c r="F11" s="25">
        <f>SUMIFS('Daftar Koreksi'!$H$5:$H$92,'Daftar Koreksi'!$D$5:$D$92,'2200'!A4,'Daftar Koreksi'!$G$5:$G$92,"Jalan Irigasi Jaringan",'Daftar Koreksi'!$H$5:$H$92,"&lt;0")-SUMIFS('Daftar Koreksi'!$H$5:$H$92,'Daftar Koreksi'!$D$5:$D$92,'2200'!A4,'Daftar Koreksi'!$G$5:$G$92,"Jalan Irigasi Jaringan",'Daftar Koreksi'!$H$5:$H$92,"&lt;0")-SUMIFS('Daftar Koreksi'!$H$5:$H$92,'Daftar Koreksi'!$D$5:$D$92,'2200'!A4,'Daftar Koreksi'!$G$5:$G$92,"Jalan Irigasi Jaringan",'Daftar Koreksi'!$H$5:$H$92,"&lt;0")</f>
        <v>0</v>
      </c>
      <c r="G11" s="17">
        <f t="shared" si="0"/>
        <v>158324345</v>
      </c>
      <c r="H11" s="122"/>
      <c r="O11" s="8" t="s">
        <v>669</v>
      </c>
      <c r="P11" s="8" t="s">
        <v>1807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16078440</v>
      </c>
      <c r="E12" s="25">
        <f>SUMIFS('Daftar Koreksi'!$H$5:$H$92,'Daftar Koreksi'!$D$5:$D$92,'2200'!A4,'Daftar Koreksi'!$G$5:$G$92,"Aset Tetap Lainnya",'Daftar Koreksi'!$H$5:$H$92,"&gt;0")</f>
        <v>0</v>
      </c>
      <c r="F12" s="25">
        <f>SUMIFS('Daftar Koreksi'!$H$5:$H$92,'Daftar Koreksi'!$D$5:$D$92,'2200'!A4,'Daftar Koreksi'!$G$5:$G$92,"Aset Tetap Lainnya",'Daftar Koreksi'!$H$5:$H$92,"&lt;0")-SUMIFS('Daftar Koreksi'!$H$5:$H$92,'Daftar Koreksi'!$D$5:$D$92,'2200'!A4,'Daftar Koreksi'!$G$5:$G$92,"Aset Tetap Lainnya",'Daftar Koreksi'!$H$5:$H$92,"&lt;0")-SUMIFS('Daftar Koreksi'!$H$5:$H$92,'Daftar Koreksi'!$D$5:$D$92,'2200'!A4,'Daftar Koreksi'!$G$5:$G$92,"Aset Tetap Lainnya",'Daftar Koreksi'!$H$5:$H$92,"&lt;0")</f>
        <v>0</v>
      </c>
      <c r="G12" s="17">
        <f t="shared" si="0"/>
        <v>16078440</v>
      </c>
      <c r="H12" s="122"/>
      <c r="O12" s="8" t="s">
        <v>670</v>
      </c>
      <c r="P12" s="8" t="s">
        <v>1808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Koreksi'!$D$5:$D$92,'2200'!A4,'Daftar Koreksi'!$G$5:$G$92,"Kontruksi Dalam Pengerjaan",'Daftar Koreksi'!$H$5:$H$92,"&gt;0")</f>
        <v>0</v>
      </c>
      <c r="F13" s="25">
        <f>SUMIFS('Daftar Koreksi'!$H$5:$H$92,'Daftar Koreksi'!$D$5:$D$92,'2200'!A4,'Daftar Koreksi'!$G$5:$G$92,"Kontruksi Dalam Pengerjaan",'Daftar Koreksi'!$H$5:$H$92,"&lt;0")-SUMIFS('Daftar Koreksi'!$H$5:$H$92,'Daftar Koreksi'!$D$5:$D$92,'2200'!A4,'Daftar Koreksi'!$G$5:$G$92,"Kontruksi Dalam Pengerjaan",'Daftar Koreksi'!$H$5:$H$92,"&lt;0")-SUMIFS('Daftar Koreksi'!$H$5:$H$92,'Daftar Koreksi'!$D$5:$D$92,'2200'!A4,'Daftar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671</v>
      </c>
      <c r="P13" s="8" t="s">
        <v>1652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Koreksi'!$D$5:$D$92,'2200'!A4,'Daftar Koreksi'!$G$5:$G$92,"Aset Tak Berwujud",'Daftar Koreksi'!$H$5:$H$92,"&gt;0")</f>
        <v>0</v>
      </c>
      <c r="F14" s="25">
        <f>SUMIFS('Daftar Koreksi'!$H$5:$H$92,'Daftar Koreksi'!$D$5:$D$92,'2200'!A4,'Daftar Koreksi'!$G$5:$G$92,"Aset Tak Berwujud",'Daftar Koreksi'!$H$5:$H$92,"&lt;0")-SUMIFS('Daftar Koreksi'!$H$5:$H$92,'Daftar Koreksi'!$D$5:$D$92,'2200'!A4,'Daftar Koreksi'!$G$5:$G$92,"Aset Tak Berwujud",'Daftar Koreksi'!$H$5:$H$92,"&lt;0")-SUMIFS('Daftar Koreksi'!$H$5:$H$92,'Daftar Koreksi'!$D$5:$D$92,'2200'!A4,'Daftar Koreksi'!$G$5:$G$92,"Aset Tak Berwujud",'Daftar Koreksi'!$H$5:$H$92,"&lt;0")</f>
        <v>0</v>
      </c>
      <c r="G14" s="17">
        <f t="shared" si="0"/>
        <v>0</v>
      </c>
      <c r="H14" s="122"/>
      <c r="O14" s="8" t="s">
        <v>672</v>
      </c>
      <c r="P14" s="8" t="s">
        <v>1809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597546004</v>
      </c>
      <c r="E15" s="25">
        <f>SUMIFS('Daftar Koreksi'!$H$5:$H$92,'Daftar Koreksi'!$D$5:$D$92,'2200'!A4,'Daftar Koreksi'!$G$5:$G$92,"Aset Henti Guna",'Daftar Koreksi'!$H$5:$H$92,"&gt;0")</f>
        <v>0</v>
      </c>
      <c r="F15" s="25">
        <f>SUMIFS('Daftar Koreksi'!$H$5:$H$92,'Daftar Koreksi'!$D$5:$D$92,'2200'!A4,'Daftar Koreksi'!$G$5:$G$92,"Aset Henti Guna",'Daftar Koreksi'!$H$5:$H$92,"&lt;0")-SUMIFS('Daftar Koreksi'!$H$5:$H$92,'Daftar Koreksi'!$D$5:$D$92,'2200'!A4,'Daftar Koreksi'!$G$5:$G$92,"Aset Henti Guna",'Daftar Koreksi'!$H$5:$H$92,"&lt;0")-SUMIFS('Daftar Koreksi'!$H$5:$H$92,'Daftar Koreksi'!$D$5:$D$92,'2200'!A4,'Daftar Koreksi'!$G$5:$G$92,"Aset Henti Guna",'Daftar Koreksi'!$H$5:$H$92,"&lt;0")</f>
        <v>0</v>
      </c>
      <c r="G15" s="17">
        <f t="shared" si="0"/>
        <v>597546004</v>
      </c>
      <c r="H15" s="122"/>
      <c r="O15" s="8" t="s">
        <v>673</v>
      </c>
      <c r="P15" s="8" t="s">
        <v>1810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51011164114</v>
      </c>
      <c r="E16" s="19">
        <f>SUM(E7:E15)</f>
        <v>0</v>
      </c>
      <c r="F16" s="19">
        <f>SUM(F7:F15)</f>
        <v>0</v>
      </c>
      <c r="G16" s="19">
        <f t="shared" si="0"/>
        <v>51011164114</v>
      </c>
      <c r="H16" s="122"/>
      <c r="O16" s="8" t="s">
        <v>674</v>
      </c>
      <c r="P16" s="8" t="s">
        <v>1811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-5240090088</v>
      </c>
      <c r="E17" s="25">
        <f>SUMIFS('Daftar Koreksi'!$I$5:$I$92,'Daftar Koreksi'!$D$5:$D$92,'2200'!A4,'Daftar Koreksi'!$G$5:$G$92,"Peralatan dan mesin",'Daftar Koreksi'!$I$5:$I$92,"&gt;0")</f>
        <v>0</v>
      </c>
      <c r="F17" s="25">
        <f>SUMIFS('Daftar Koreksi'!$I$5:$I$92,'Daftar Koreksi'!$D$5:$D$92,'2200'!A4,'Daftar Koreksi'!$G$5:$G$92,"Peralatan dan mesin",'Daftar Koreksi'!$I$5:$I$92,"&lt;0")-SUMIFS('Daftar Koreksi'!$I$5:$I$92,'Daftar Koreksi'!$D$5:$D$92,'2200'!A4,'Daftar Koreksi'!$G$5:$G$92,"Peralatan dan mesin",'Daftar Koreksi'!$I$5:$I$92,"&lt;0")-SUMIFS('Daftar Koreksi'!$I$5:$I$92,'Daftar Koreksi'!$D$5:$D$92,'2200'!A4,'Daftar Koreksi'!$G$5:$G$92,"Peralatan dan mesin",'Daftar Koreksi'!$I$5:$I$92,"&lt;0")</f>
        <v>0</v>
      </c>
      <c r="G17" s="17">
        <f t="shared" si="0"/>
        <v>-5240090088</v>
      </c>
      <c r="H17" s="122"/>
      <c r="O17" s="8" t="s">
        <v>675</v>
      </c>
      <c r="P17" s="8" t="s">
        <v>1812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-2624656189</v>
      </c>
      <c r="E18" s="25">
        <f>SUMIFS('Daftar Koreksi'!$I$5:$I$92,'Daftar Koreksi'!$D$5:$D$92,'2200'!A4,'Daftar Koreksi'!$G$5:$G$92,"Gedung dan Bangunan",'Daftar Koreksi'!$I$5:$I$92,"&gt;0")</f>
        <v>0</v>
      </c>
      <c r="F18" s="25">
        <f>SUMIFS('Daftar Koreksi'!$I$5:$I$92,'Daftar Koreksi'!$D$5:$D$92,'2200'!A4,'Daftar Koreksi'!$G$5:$G$92,"Gedung dan Bangunan",'Daftar Koreksi'!$I$5:$I$92,"&lt;0")-SUMIFS('Daftar Koreksi'!$I$5:$I$92,'Daftar Koreksi'!$D$5:$D$92,'2200'!A4,'Daftar Koreksi'!$G$5:$G$92,"Gedung dan Bangunan",'Daftar Koreksi'!$I$5:$I$92,"&lt;0")-SUMIFS('Daftar Koreksi'!$I$5:$I$92,'Daftar Koreksi'!$D$5:$D$92,'2200'!A4,'Daftar Koreksi'!$G$5:$G$92,"Gedung dan Bangunan",'Daftar Koreksi'!$I$5:$I$92,"&lt;0")</f>
        <v>0</v>
      </c>
      <c r="G18" s="17">
        <f t="shared" si="0"/>
        <v>-2624656189</v>
      </c>
      <c r="H18" s="122"/>
      <c r="O18" s="8" t="s">
        <v>676</v>
      </c>
      <c r="P18" s="8" t="s">
        <v>1813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-20560639</v>
      </c>
      <c r="E19" s="25">
        <f>SUMIFS('Daftar Koreksi'!$I$5:$I$92,'Daftar Koreksi'!$D$5:$D$92,'2200'!A4,'Daftar Koreksi'!$G$5:$G$92,"Jalan Irigasi Jaringan",'Daftar Koreksi'!$I$5:$I$92,"&gt;0")</f>
        <v>0</v>
      </c>
      <c r="F19" s="25">
        <f>SUMIFS('Daftar Koreksi'!$I$5:$I$92,'Daftar Koreksi'!$D$5:$D$92,'2200'!A4,'Daftar Koreksi'!$G$5:$G$92,"Jalan Irigasi Jaringan",'Daftar Koreksi'!$I$5:$I$92,"&lt;0")-SUMIFS('Daftar Koreksi'!$I$5:$I$92,'Daftar Koreksi'!$D$5:$D$92,'2200'!A4,'Daftar Koreksi'!$G$5:$G$92,"Jalan Irigasi Jaringan",'Daftar Koreksi'!$I$5:$I$92,"&lt;0")-SUMIFS('Daftar Koreksi'!$I$5:$I$92,'Daftar Koreksi'!$D$5:$D$92,'2200'!A4,'Daftar Koreksi'!$G$5:$G$92,"Jalan Irigasi Jaringan",'Daftar Koreksi'!$I$5:$I$92,"&lt;0")</f>
        <v>0</v>
      </c>
      <c r="G19" s="17">
        <f t="shared" si="0"/>
        <v>-20560639</v>
      </c>
      <c r="H19" s="122"/>
      <c r="O19" s="8" t="s">
        <v>677</v>
      </c>
      <c r="P19" s="8" t="s">
        <v>1814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Koreksi'!$D$5:$D$92,'2200'!A4,'Daftar Koreksi'!$G$5:$G$92,"Aset Tetap Lainnya",'Daftar Koreksi'!$I$5:$I$92,"&gt;0")</f>
        <v>0</v>
      </c>
      <c r="F20" s="25">
        <f>SUMIFS('Daftar Koreksi'!$I$5:$I$92,'Daftar Koreksi'!$D$5:$D$92,'2200'!A4,'Daftar Koreksi'!$G$5:$G$92,"Aset Tetap Lainnya",'Daftar Koreksi'!$I$5:$I$92,"&lt;0")-SUMIFS('Daftar Koreksi'!$I$5:$I$92,'Daftar Koreksi'!$D$5:$D$92,'2200'!A4,'Daftar Koreksi'!$G$5:$G$92,"Aset Tetap Lainnya",'Daftar Koreksi'!$I$5:$I$92,"&lt;0")-SUMIFS('Daftar Koreksi'!$I$5:$I$92,'Daftar Koreksi'!$D$5:$D$92,'2200'!A4,'Daftar Koreksi'!$G$5:$G$92,"Aset Tetap Lainnya",'Daftar Koreksi'!$I$5:$I$92,"&lt;0")</f>
        <v>0</v>
      </c>
      <c r="G20" s="17">
        <f t="shared" si="0"/>
        <v>0</v>
      </c>
      <c r="H20" s="122"/>
      <c r="O20" s="8" t="s">
        <v>678</v>
      </c>
      <c r="P20" s="8" t="s">
        <v>1815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-286632557</v>
      </c>
      <c r="E21" s="25">
        <f>SUMIFS('Daftar Koreksi'!$I$5:$I$92,'Daftar Koreksi'!$D$5:$D$92,'2200'!A4,'Daftar Koreksi'!$G$5:$G$92,"Aset Henti Guna",'Daftar Koreksi'!$I$5:$I$92,"&gt;0")</f>
        <v>0</v>
      </c>
      <c r="F21" s="25">
        <f>SUMIFS('Daftar Koreksi'!$I$5:$I$92,'Daftar Koreksi'!$D$5:$D$92,'2200'!A4,'Daftar Koreksi'!$G$5:$G$92,"Aset Henti Guna",'Daftar Koreksi'!$I$5:$I$92,"&lt;0")-SUMIFS('Daftar Koreksi'!$I$5:$I$92,'Daftar Koreksi'!$D$5:$D$92,'2200'!A4,'Daftar Koreksi'!$G$5:$G$92,"Aset Henti Guna",'Daftar Koreksi'!$I$5:$I$92,"&lt;0")-SUMIFS('Daftar Koreksi'!$I$5:$I$92,'Daftar Koreksi'!$D$5:$D$92,'2200'!A4,'Daftar Koreksi'!$G$5:$G$92,"Aset Henti Guna",'Daftar Koreksi'!$I$5:$I$92,"&lt;0")</f>
        <v>0</v>
      </c>
      <c r="G21" s="17">
        <f t="shared" si="0"/>
        <v>-286632557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-8171939473</v>
      </c>
      <c r="E22" s="19">
        <f>SUM(E17:E21)</f>
        <v>0</v>
      </c>
      <c r="F22" s="19">
        <f>SUM(F17:F21)</f>
        <v>0</v>
      </c>
      <c r="G22" s="19">
        <f t="shared" si="0"/>
        <v>-8171939473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42839224641</v>
      </c>
      <c r="E23" s="19">
        <f>E22+E16</f>
        <v>0</v>
      </c>
      <c r="F23" s="19">
        <f>F22+F16</f>
        <v>0</v>
      </c>
      <c r="G23" s="19">
        <f t="shared" si="0"/>
        <v>42839224641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005012200099780000KD</v>
      </c>
      <c r="B26" s="11" t="str">
        <f>P2</f>
        <v>PN. Denpasar</v>
      </c>
      <c r="C26" s="12" t="str">
        <f>A26&amp;" "&amp;B26</f>
        <v>005012200099780000KD PN. Denpasar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16479400</v>
      </c>
      <c r="E29" s="25">
        <f>SUMIFS('Daftar Koreksi'!$H$5:$H$92,'Daftar Koreksi'!$D$5:$D$92,'2200'!A26,'Daftar Koreksi'!$G$5:$G$92,"Persediaan",'Daftar Koreksi'!$H$5:$H$92,"&gt;0")</f>
        <v>0</v>
      </c>
      <c r="F29" s="25">
        <f>SUMIFS('Daftar Koreksi'!$H$5:$H$92,'Daftar Koreksi'!$D$5:$D$92,'2200'!A26,'Daftar Koreksi'!$G$5:$G$92,"Persediaan",'Daftar Koreksi'!$H$5:$H$92,"&lt;0")-SUMIFS('Daftar Koreksi'!$H$5:$H$92,'Daftar Koreksi'!$D$5:$D$92,'2200'!A26,'Daftar Koreksi'!$G$5:$G$92,"Persediaan",'Daftar Koreksi'!$H$5:$H$92,"&lt;0")-SUMIFS('Daftar Koreksi'!$H$5:$H$92,'Daftar Koreksi'!$D$5:$D$92,'2200'!A26,'Daftar Koreksi'!$G$5:$G$92,"Persediaan",'Daftar Koreksi'!$H$5:$H$92,"&lt;0")</f>
        <v>0</v>
      </c>
      <c r="G29" s="17">
        <f>D29+E29-F29</f>
        <v>16479400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28007635000</v>
      </c>
      <c r="E30" s="25">
        <f>SUMIFS('Daftar Koreksi'!$H$5:$H$92,'Daftar Koreksi'!$D$5:$D$92,'2200'!A26,'Daftar Koreksi'!$G$5:$G$92,"Tanah",'Daftar Koreksi'!$H$5:$H$92,"&gt;0")</f>
        <v>0</v>
      </c>
      <c r="F30" s="25">
        <f>SUMIFS('Daftar Koreksi'!$H$5:$H$92,'Daftar Koreksi'!$D$5:$D$92,'2200'!A26,'Daftar Koreksi'!$G$5:$G$92,"Tanah",'Daftar Koreksi'!$H$5:$H$92,"&lt;0")-SUMIFS('Daftar Koreksi'!$H$5:$H$92,'Daftar Koreksi'!$D$5:$D$92,'2200'!A26,'Daftar Koreksi'!$G$5:$G$92,"Tanah",'Daftar Koreksi'!$H$5:$H$92,"&lt;0")-SUMIFS('Daftar Koreksi'!$H$5:$H$92,'Daftar Koreksi'!$D$5:$D$92,'2200'!A26,'Daftar Koreksi'!$G$5:$G$92,"Tanah",'Daftar Koreksi'!$H$5:$H$92,"&lt;0")</f>
        <v>0</v>
      </c>
      <c r="G30" s="17">
        <f t="shared" ref="G30:G46" si="1">D30+E30-F30</f>
        <v>28007635000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3984982335</v>
      </c>
      <c r="E31" s="25">
        <f>SUMIFS('Daftar Koreksi'!$H$5:$H$92,'Daftar Koreksi'!$D$5:$D$92,'2200'!A26,'Daftar Koreksi'!$G$5:$G$92,"Peralatan dan mesin",'Daftar Koreksi'!$H$5:$H$92,"&gt;0")</f>
        <v>0</v>
      </c>
      <c r="F31" s="25">
        <f>SUMIFS('Daftar Koreksi'!$H$5:$H$92,'Daftar Koreksi'!$D$5:$D$92,'2200'!A26,'Daftar Koreksi'!$G$5:$G$92,"Peralatan dan mesin",'Daftar Koreksi'!$H$5:$H$92,"&lt;0")-SUMIFS('Daftar Koreksi'!$H$5:$H$92,'Daftar Koreksi'!$D$5:$D$92,'2200'!A26,'Daftar Koreksi'!$G$5:$G$92,"Peralatan dan mesin",'Daftar Koreksi'!$H$5:$H$92,"&lt;0")-SUMIFS('Daftar Koreksi'!$H$5:$H$92,'Daftar Koreksi'!$D$5:$D$92,'2200'!A26,'Daftar Koreksi'!$G$5:$G$92,"Peralatan dan mesin",'Daftar Koreksi'!$H$5:$H$92,"&lt;0")</f>
        <v>0</v>
      </c>
      <c r="G31" s="17">
        <f t="shared" si="1"/>
        <v>3984982335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12111898650</v>
      </c>
      <c r="E32" s="25">
        <f>SUMIFS('Daftar Koreksi'!$H$5:$H$92,'Daftar Koreksi'!$D$5:$D$92,'2200'!A26,'Daftar Koreksi'!$G$5:$G$92,"Gedung dan Bangunan",'Daftar Koreksi'!$H$5:$H$92,"&gt;0")</f>
        <v>0</v>
      </c>
      <c r="F32" s="25">
        <f>SUMIFS('Daftar Koreksi'!$H$5:$H$92,'Daftar Koreksi'!$D$5:$D$92,'2200'!A26,'Daftar Koreksi'!$G$5:$G$92,"Gedung dan Bangunan",'Daftar Koreksi'!$H$5:$H$92,"&lt;0")-SUMIFS('Daftar Koreksi'!$H$5:$H$92,'Daftar Koreksi'!$D$5:$D$92,'2200'!A26,'Daftar Koreksi'!$G$5:$G$92,"Gedung dan Bangunan",'Daftar Koreksi'!$H$5:$H$92,"&lt;0")-SUMIFS('Daftar Koreksi'!$H$5:$H$92,'Daftar Koreksi'!$D$5:$D$92,'2200'!A26,'Daftar Koreksi'!$G$5:$G$92,"Gedung dan Bangunan",'Daftar Koreksi'!$H$5:$H$92,"&lt;0")</f>
        <v>0</v>
      </c>
      <c r="G32" s="17">
        <f t="shared" si="1"/>
        <v>12111898650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358917000</v>
      </c>
      <c r="E33" s="25">
        <f>SUMIFS('Daftar Koreksi'!$H$5:$H$92,'Daftar Koreksi'!$D$5:$D$92,'2200'!A26,'Daftar Koreksi'!$G$5:$G$92,"Jalan Irigasi Jaringan",'Daftar Koreksi'!$H$5:$H$92,"&gt;0")</f>
        <v>0</v>
      </c>
      <c r="F33" s="25">
        <f>SUMIFS('Daftar Koreksi'!$H$5:$H$92,'Daftar Koreksi'!$D$5:$D$92,'2200'!A26,'Daftar Koreksi'!$G$5:$G$92,"Jalan Irigasi Jaringan",'Daftar Koreksi'!$H$5:$H$92,"&lt;0")-SUMIFS('Daftar Koreksi'!$H$5:$H$92,'Daftar Koreksi'!$D$5:$D$92,'2200'!A26,'Daftar Koreksi'!$G$5:$G$92,"Jalan Irigasi Jaringan",'Daftar Koreksi'!$H$5:$H$92,"&lt;0")-SUMIFS('Daftar Koreksi'!$H$5:$H$92,'Daftar Koreksi'!$D$5:$D$92,'2200'!A26,'Daftar Koreksi'!$G$5:$G$92,"Jalan Irigasi Jaringan",'Daftar Koreksi'!$H$5:$H$92,"&lt;0")</f>
        <v>0</v>
      </c>
      <c r="G33" s="17">
        <f t="shared" si="1"/>
        <v>358917000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2788000</v>
      </c>
      <c r="E34" s="25">
        <f>SUMIFS('Daftar Koreksi'!$H$5:$H$92,'Daftar Koreksi'!$D$5:$D$92,'2200'!A26,'Daftar Koreksi'!$G$5:$G$92,"Aset Tetap Lainnya",'Daftar Koreksi'!$H$5:$H$92,"&gt;0")</f>
        <v>0</v>
      </c>
      <c r="F34" s="25">
        <f>SUMIFS('Daftar Koreksi'!$H$5:$H$92,'Daftar Koreksi'!$D$5:$D$92,'2200'!A26,'Daftar Koreksi'!$G$5:$G$92,"Aset Tetap Lainnya",'Daftar Koreksi'!$H$5:$H$92,"&lt;0")-SUMIFS('Daftar Koreksi'!$H$5:$H$92,'Daftar Koreksi'!$D$5:$D$92,'2200'!A26,'Daftar Koreksi'!$G$5:$G$92,"Aset Tetap Lainnya",'Daftar Koreksi'!$H$5:$H$92,"&lt;0")-SUMIFS('Daftar Koreksi'!$H$5:$H$92,'Daftar Koreksi'!$D$5:$D$92,'2200'!A26,'Daftar Koreksi'!$G$5:$G$92,"Aset Tetap Lainnya",'Daftar Koreksi'!$H$5:$H$92,"&lt;0")</f>
        <v>0</v>
      </c>
      <c r="G34" s="17">
        <f t="shared" si="1"/>
        <v>2788000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Koreksi'!$D$5:$D$92,'2200'!A26,'Daftar Koreksi'!$G$5:$G$92,"Kontruksi Dalam Pengerjaan",'Daftar Koreksi'!$H$5:$H$92,"&gt;0")</f>
        <v>0</v>
      </c>
      <c r="F35" s="25">
        <f>SUMIFS('Daftar Koreksi'!$H$5:$H$92,'Daftar Koreksi'!$D$5:$D$92,'2200'!A26,'Daftar Koreksi'!$G$5:$G$92,"Kontruksi Dalam Pengerjaan",'Daftar Koreksi'!$H$5:$H$92,"&lt;0")-SUMIFS('Daftar Koreksi'!$H$5:$H$92,'Daftar Koreksi'!$D$5:$D$92,'2200'!A26,'Daftar Koreksi'!$G$5:$G$92,"Kontruksi Dalam Pengerjaan",'Daftar Koreksi'!$H$5:$H$92,"&lt;0")-SUMIFS('Daftar Koreksi'!$H$5:$H$92,'Daftar Koreksi'!$D$5:$D$92,'2200'!A26,'Daftar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Koreksi'!$D$5:$D$92,'2200'!A26,'Daftar Koreksi'!$G$5:$G$92,"Aset Tak Berwujud",'Daftar Koreksi'!$H$5:$H$92,"&gt;0")</f>
        <v>0</v>
      </c>
      <c r="F36" s="25">
        <f>SUMIFS('Daftar Koreksi'!$H$5:$H$92,'Daftar Koreksi'!$D$5:$D$92,'2200'!A26,'Daftar Koreksi'!$G$5:$G$92,"Aset Tak Berwujud",'Daftar Koreksi'!$H$5:$H$92,"&lt;0")-SUMIFS('Daftar Koreksi'!$H$5:$H$92,'Daftar Koreksi'!$D$5:$D$92,'2200'!A26,'Daftar Koreksi'!$G$5:$G$92,"Aset Tak Berwujud",'Daftar Koreksi'!$H$5:$H$92,"&lt;0")-SUMIFS('Daftar Koreksi'!$H$5:$H$92,'Daftar Koreksi'!$D$5:$D$92,'2200'!A26,'Daftar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12412000</v>
      </c>
      <c r="E37" s="25">
        <f>SUMIFS('Daftar Koreksi'!$H$5:$H$92,'Daftar Koreksi'!$D$5:$D$92,'2200'!A26,'Daftar Koreksi'!$G$5:$G$92,"Aset Henti Guna",'Daftar Koreksi'!$H$5:$H$92,"&gt;0")</f>
        <v>0</v>
      </c>
      <c r="F37" s="25">
        <f>SUMIFS('Daftar Koreksi'!$H$5:$H$92,'Daftar Koreksi'!$D$5:$D$92,'2200'!A26,'Daftar Koreksi'!$G$5:$G$92,"Aset Henti Guna",'Daftar Koreksi'!$H$5:$H$92,"&lt;0")-SUMIFS('Daftar Koreksi'!$H$5:$H$92,'Daftar Koreksi'!$D$5:$D$92,'2200'!A26,'Daftar Koreksi'!$G$5:$G$92,"Aset Henti Guna",'Daftar Koreksi'!$H$5:$H$92,"&lt;0")-SUMIFS('Daftar Koreksi'!$H$5:$H$92,'Daftar Koreksi'!$D$5:$D$92,'2200'!A26,'Daftar Koreksi'!$G$5:$G$92,"Aset Henti Guna",'Daftar Koreksi'!$H$5:$H$92,"&lt;0")</f>
        <v>0</v>
      </c>
      <c r="G37" s="17">
        <f t="shared" si="1"/>
        <v>12412000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44495112385</v>
      </c>
      <c r="E38" s="19">
        <f>SUM(E29:E37)</f>
        <v>0</v>
      </c>
      <c r="F38" s="19">
        <f>SUM(F29:F37)</f>
        <v>0</v>
      </c>
      <c r="G38" s="19">
        <f t="shared" si="1"/>
        <v>44495112385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-3166386315</v>
      </c>
      <c r="E39" s="25">
        <f>SUMIFS('Daftar Koreksi'!$I$5:$I$92,'Daftar Koreksi'!$D$5:$D$92,'2200'!A26,'Daftar Koreksi'!$G$5:$G$92,"Peralatan dan mesin",'Daftar Koreksi'!$I$5:$I$92,"&gt;0")</f>
        <v>0</v>
      </c>
      <c r="F39" s="25">
        <f>SUMIFS('Daftar Koreksi'!$I$5:$I$92,'Daftar Koreksi'!$D$5:$D$92,'2200'!A26,'Daftar Koreksi'!$G$5:$G$92,"Peralatan dan mesin",'Daftar Koreksi'!$I$5:$I$92,"&lt;0")-SUMIFS('Daftar Koreksi'!$I$5:$I$92,'Daftar Koreksi'!$D$5:$D$92,'2200'!A26,'Daftar Koreksi'!$G$5:$G$92,"Peralatan dan mesin",'Daftar Koreksi'!$I$5:$I$92,"&lt;0")-SUMIFS('Daftar Koreksi'!$I$5:$I$92,'Daftar Koreksi'!$D$5:$D$92,'2200'!A26,'Daftar Koreksi'!$G$5:$G$92,"Peralatan dan mesin",'Daftar Koreksi'!$I$5:$I$92,"&lt;0")</f>
        <v>0</v>
      </c>
      <c r="G39" s="17">
        <f t="shared" si="1"/>
        <v>-3166386315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-1707444537</v>
      </c>
      <c r="E40" s="25">
        <f>SUMIFS('Daftar Koreksi'!$I$5:$I$92,'Daftar Koreksi'!$D$5:$D$92,'2200'!A26,'Daftar Koreksi'!$G$5:$G$92,"Gedung dan Bangunan",'Daftar Koreksi'!$I$5:$I$92,"&gt;0")</f>
        <v>0</v>
      </c>
      <c r="F40" s="25">
        <f>SUMIFS('Daftar Koreksi'!$I$5:$I$92,'Daftar Koreksi'!$D$5:$D$92,'2200'!A26,'Daftar Koreksi'!$G$5:$G$92,"Gedung dan Bangunan",'Daftar Koreksi'!$I$5:$I$92,"&lt;0")-SUMIFS('Daftar Koreksi'!$I$5:$I$92,'Daftar Koreksi'!$D$5:$D$92,'2200'!A26,'Daftar Koreksi'!$G$5:$G$92,"Gedung dan Bangunan",'Daftar Koreksi'!$I$5:$I$92,"&lt;0")-SUMIFS('Daftar Koreksi'!$I$5:$I$92,'Daftar Koreksi'!$D$5:$D$92,'2200'!A26,'Daftar Koreksi'!$G$5:$G$92,"Gedung dan Bangunan",'Daftar Koreksi'!$I$5:$I$92,"&lt;0")</f>
        <v>0</v>
      </c>
      <c r="G40" s="17">
        <f t="shared" si="1"/>
        <v>-1707444537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-31405238</v>
      </c>
      <c r="E41" s="25">
        <f>SUMIFS('Daftar Koreksi'!$I$5:$I$92,'Daftar Koreksi'!$D$5:$D$92,'2200'!A26,'Daftar Koreksi'!$G$5:$G$92,"Jalan Irigasi Jaringan",'Daftar Koreksi'!$I$5:$I$92,"&gt;0")</f>
        <v>0</v>
      </c>
      <c r="F41" s="25">
        <f>SUMIFS('Daftar Koreksi'!$I$5:$I$92,'Daftar Koreksi'!$D$5:$D$92,'2200'!A26,'Daftar Koreksi'!$G$5:$G$92,"Jalan Irigasi Jaringan",'Daftar Koreksi'!$I$5:$I$92,"&lt;0")-SUMIFS('Daftar Koreksi'!$I$5:$I$92,'Daftar Koreksi'!$D$5:$D$92,'2200'!A26,'Daftar Koreksi'!$G$5:$G$92,"Jalan Irigasi Jaringan",'Daftar Koreksi'!$I$5:$I$92,"&lt;0")-SUMIFS('Daftar Koreksi'!$I$5:$I$92,'Daftar Koreksi'!$D$5:$D$92,'2200'!A26,'Daftar Koreksi'!$G$5:$G$92,"Jalan Irigasi Jaringan",'Daftar Koreksi'!$I$5:$I$92,"&lt;0")</f>
        <v>0</v>
      </c>
      <c r="G41" s="17">
        <f t="shared" si="1"/>
        <v>-31405238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Koreksi'!$D$5:$D$92,'2200'!A26,'Daftar Koreksi'!$G$5:$G$92,"Aset Tetap Lainnya",'Daftar Koreksi'!$I$5:$I$92,"&gt;0")</f>
        <v>0</v>
      </c>
      <c r="F42" s="25">
        <f>SUMIFS('Daftar Koreksi'!$I$5:$I$92,'Daftar Koreksi'!$D$5:$D$92,'2200'!A26,'Daftar Koreksi'!$G$5:$G$92,"Aset Tetap Lainnya",'Daftar Koreksi'!$I$5:$I$92,"&lt;0")-SUMIFS('Daftar Koreksi'!$I$5:$I$92,'Daftar Koreksi'!$D$5:$D$92,'2200'!A26,'Daftar Koreksi'!$G$5:$G$92,"Aset Tetap Lainnya",'Daftar Koreksi'!$I$5:$I$92,"&lt;0")-SUMIFS('Daftar Koreksi'!$I$5:$I$92,'Daftar Koreksi'!$D$5:$D$92,'2200'!A26,'Daftar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-12412000</v>
      </c>
      <c r="E43" s="25">
        <f>SUMIFS('Daftar Koreksi'!$I$5:$I$92,'Daftar Koreksi'!$D$5:$D$92,'2200'!A26,'Daftar Koreksi'!$G$5:$G$92,"Aset Henti Guna",'Daftar Koreksi'!$I$5:$I$92,"&gt;0")</f>
        <v>0</v>
      </c>
      <c r="F43" s="25">
        <f>SUMIFS('Daftar Koreksi'!$I$5:$I$92,'Daftar Koreksi'!$D$5:$D$92,'2200'!A26,'Daftar Koreksi'!$G$5:$G$92,"Aset Henti Guna",'Daftar Koreksi'!$I$5:$I$92,"&lt;0")-SUMIFS('Daftar Koreksi'!$I$5:$I$92,'Daftar Koreksi'!$D$5:$D$92,'2200'!A26,'Daftar Koreksi'!$G$5:$G$92,"Aset Henti Guna",'Daftar Koreksi'!$I$5:$I$92,"&lt;0")-SUMIFS('Daftar Koreksi'!$I$5:$I$92,'Daftar Koreksi'!$D$5:$D$92,'2200'!A26,'Daftar Koreksi'!$G$5:$G$92,"Aset Henti Guna",'Daftar Koreksi'!$I$5:$I$92,"&lt;0")</f>
        <v>0</v>
      </c>
      <c r="G43" s="17">
        <f t="shared" si="1"/>
        <v>-12412000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-4917648090</v>
      </c>
      <c r="E44" s="19">
        <f>SUM(E39:E43)</f>
        <v>0</v>
      </c>
      <c r="F44" s="19">
        <f>SUM(F39:F43)</f>
        <v>0</v>
      </c>
      <c r="G44" s="19">
        <f t="shared" si="1"/>
        <v>-4917648090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39577464295</v>
      </c>
      <c r="E45" s="19">
        <f>E44+E38</f>
        <v>0</v>
      </c>
      <c r="F45" s="19">
        <f>F44+F38</f>
        <v>0</v>
      </c>
      <c r="G45" s="19">
        <f t="shared" si="1"/>
        <v>39577464295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005012200099794000KD</v>
      </c>
      <c r="B48" s="11" t="str">
        <f>P3</f>
        <v>PN. Singaraja</v>
      </c>
      <c r="C48" s="12" t="str">
        <f>A48&amp;" "&amp;B48</f>
        <v>005012200099794000KD PN. Singaraja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3914100</v>
      </c>
      <c r="E51" s="25">
        <f>SUMIFS('Daftar Koreksi'!$H$5:$H$92,'Daftar Koreksi'!$D$5:$D$92,'2200'!A48,'Daftar Koreksi'!$G$5:$G$92,"Persediaan",'Daftar Koreksi'!$H$5:$H$92,"&gt;0")</f>
        <v>0</v>
      </c>
      <c r="F51" s="25">
        <f>SUMIFS('Daftar Koreksi'!$H$5:$H$92,'Daftar Koreksi'!$D$5:$D$92,'2200'!A48,'Daftar Koreksi'!$G$5:$G$92,"Persediaan",'Daftar Koreksi'!$H$5:$H$92,"&lt;0")-SUMIFS('Daftar Koreksi'!$H$5:$H$92,'Daftar Koreksi'!$D$5:$D$92,'2200'!A48,'Daftar Koreksi'!$G$5:$G$92,"Persediaan",'Daftar Koreksi'!$H$5:$H$92,"&lt;0")-SUMIFS('Daftar Koreksi'!$H$5:$H$92,'Daftar Koreksi'!$D$5:$D$92,'2200'!A48,'Daftar Koreksi'!$G$5:$G$92,"Persediaan",'Daftar Koreksi'!$H$5:$H$92,"&lt;0")</f>
        <v>0</v>
      </c>
      <c r="G51" s="17">
        <f>D51+E51-F51</f>
        <v>3914100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9199257000</v>
      </c>
      <c r="E52" s="25">
        <f>SUMIFS('Daftar Koreksi'!$H$5:$H$92,'Daftar Koreksi'!$D$5:$D$92,'2200'!A48,'Daftar Koreksi'!$G$5:$G$92,"Tanah",'Daftar Koreksi'!$H$5:$H$92,"&gt;0")</f>
        <v>0</v>
      </c>
      <c r="F52" s="25">
        <f>SUMIFS('Daftar Koreksi'!$H$5:$H$92,'Daftar Koreksi'!$D$5:$D$92,'2200'!A48,'Daftar Koreksi'!$G$5:$G$92,"Tanah",'Daftar Koreksi'!$H$5:$H$92,"&lt;0")-SUMIFS('Daftar Koreksi'!$H$5:$H$92,'Daftar Koreksi'!$D$5:$D$92,'2200'!A48,'Daftar Koreksi'!$G$5:$G$92,"Tanah",'Daftar Koreksi'!$H$5:$H$92,"&lt;0")-SUMIFS('Daftar Koreksi'!$H$5:$H$92,'Daftar Koreksi'!$D$5:$D$92,'2200'!A48,'Daftar Koreksi'!$G$5:$G$92,"Tanah",'Daftar Koreksi'!$H$5:$H$92,"&lt;0")</f>
        <v>0</v>
      </c>
      <c r="G52" s="17">
        <f t="shared" ref="G52:G68" si="2">D52+E52-F52</f>
        <v>9199257000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2260322148</v>
      </c>
      <c r="E53" s="25">
        <f>SUMIFS('Daftar Koreksi'!$H$5:$H$92,'Daftar Koreksi'!$D$5:$D$92,'2200'!A48,'Daftar Koreksi'!$G$5:$G$92,"Peralatan dan mesin",'Daftar Koreksi'!$H$5:$H$92,"&gt;0")</f>
        <v>0</v>
      </c>
      <c r="F53" s="25">
        <f>SUMIFS('Daftar Koreksi'!$H$5:$H$92,'Daftar Koreksi'!$D$5:$D$92,'2200'!A48,'Daftar Koreksi'!$G$5:$G$92,"Peralatan dan mesin",'Daftar Koreksi'!$H$5:$H$92,"&lt;0")-SUMIFS('Daftar Koreksi'!$H$5:$H$92,'Daftar Koreksi'!$D$5:$D$92,'2200'!A48,'Daftar Koreksi'!$G$5:$G$92,"Peralatan dan mesin",'Daftar Koreksi'!$H$5:$H$92,"&lt;0")-SUMIFS('Daftar Koreksi'!$H$5:$H$92,'Daftar Koreksi'!$D$5:$D$92,'2200'!A48,'Daftar Koreksi'!$G$5:$G$92,"Peralatan dan mesin",'Daftar Koreksi'!$H$5:$H$92,"&lt;0")</f>
        <v>0</v>
      </c>
      <c r="G53" s="17">
        <f t="shared" si="2"/>
        <v>2260322148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14971075950</v>
      </c>
      <c r="E54" s="25">
        <f>SUMIFS('Daftar Koreksi'!$H$5:$H$92,'Daftar Koreksi'!$D$5:$D$92,'2200'!A48,'Daftar Koreksi'!$G$5:$G$92,"Gedung dan Bangunan",'Daftar Koreksi'!$H$5:$H$92,"&gt;0")</f>
        <v>0</v>
      </c>
      <c r="F54" s="25">
        <f>SUMIFS('Daftar Koreksi'!$H$5:$H$92,'Daftar Koreksi'!$D$5:$D$92,'2200'!A48,'Daftar Koreksi'!$G$5:$G$92,"Gedung dan Bangunan",'Daftar Koreksi'!$H$5:$H$92,"&lt;0")-SUMIFS('Daftar Koreksi'!$H$5:$H$92,'Daftar Koreksi'!$D$5:$D$92,'2200'!A48,'Daftar Koreksi'!$G$5:$G$92,"Gedung dan Bangunan",'Daftar Koreksi'!$H$5:$H$92,"&lt;0")-SUMIFS('Daftar Koreksi'!$H$5:$H$92,'Daftar Koreksi'!$D$5:$D$92,'2200'!A48,'Daftar Koreksi'!$G$5:$G$92,"Gedung dan Bangunan",'Daftar Koreksi'!$H$5:$H$92,"&lt;0")</f>
        <v>0</v>
      </c>
      <c r="G54" s="17">
        <f t="shared" si="2"/>
        <v>14971075950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13560000</v>
      </c>
      <c r="E55" s="25">
        <f>SUMIFS('Daftar Koreksi'!$H$5:$H$92,'Daftar Koreksi'!$D$5:$D$92,'2200'!A48,'Daftar Koreksi'!$G$5:$G$92,"Jalan Irigasi Jaringan",'Daftar Koreksi'!$H$5:$H$92,"&gt;0")</f>
        <v>0</v>
      </c>
      <c r="F55" s="25">
        <f>SUMIFS('Daftar Koreksi'!$H$5:$H$92,'Daftar Koreksi'!$D$5:$D$92,'2200'!A48,'Daftar Koreksi'!$G$5:$G$92,"Jalan Irigasi Jaringan",'Daftar Koreksi'!$H$5:$H$92,"&lt;0")-SUMIFS('Daftar Koreksi'!$H$5:$H$92,'Daftar Koreksi'!$D$5:$D$92,'2200'!A48,'Daftar Koreksi'!$G$5:$G$92,"Jalan Irigasi Jaringan",'Daftar Koreksi'!$H$5:$H$92,"&lt;0")-SUMIFS('Daftar Koreksi'!$H$5:$H$92,'Daftar Koreksi'!$D$5:$D$92,'2200'!A48,'Daftar Koreksi'!$G$5:$G$92,"Jalan Irigasi Jaringan",'Daftar Koreksi'!$H$5:$H$92,"&lt;0")</f>
        <v>0</v>
      </c>
      <c r="G55" s="17">
        <f t="shared" si="2"/>
        <v>13560000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22144440</v>
      </c>
      <c r="E56" s="25">
        <f>SUMIFS('Daftar Koreksi'!$H$5:$H$92,'Daftar Koreksi'!$D$5:$D$92,'2200'!A48,'Daftar Koreksi'!$G$5:$G$92,"Aset Tetap Lainnya",'Daftar Koreksi'!$H$5:$H$92,"&gt;0")</f>
        <v>0</v>
      </c>
      <c r="F56" s="25">
        <f>SUMIFS('Daftar Koreksi'!$H$5:$H$92,'Daftar Koreksi'!$D$5:$D$92,'2200'!A48,'Daftar Koreksi'!$G$5:$G$92,"Aset Tetap Lainnya",'Daftar Koreksi'!$H$5:$H$92,"&lt;0")-SUMIFS('Daftar Koreksi'!$H$5:$H$92,'Daftar Koreksi'!$D$5:$D$92,'2200'!A48,'Daftar Koreksi'!$G$5:$G$92,"Aset Tetap Lainnya",'Daftar Koreksi'!$H$5:$H$92,"&lt;0")-SUMIFS('Daftar Koreksi'!$H$5:$H$92,'Daftar Koreksi'!$D$5:$D$92,'2200'!A48,'Daftar Koreksi'!$G$5:$G$92,"Aset Tetap Lainnya",'Daftar Koreksi'!$H$5:$H$92,"&lt;0")</f>
        <v>0</v>
      </c>
      <c r="G56" s="17">
        <f t="shared" si="2"/>
        <v>22144440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Koreksi'!$D$5:$D$92,'2200'!A48,'Daftar Koreksi'!$G$5:$G$92,"Kontruksi Dalam Pengerjaan",'Daftar Koreksi'!$H$5:$H$92,"&gt;0")</f>
        <v>0</v>
      </c>
      <c r="F57" s="25">
        <f>SUMIFS('Daftar Koreksi'!$H$5:$H$92,'Daftar Koreksi'!$D$5:$D$92,'2200'!A48,'Daftar Koreksi'!$G$5:$G$92,"Kontruksi Dalam Pengerjaan",'Daftar Koreksi'!$H$5:$H$92,"&lt;0")-SUMIFS('Daftar Koreksi'!$H$5:$H$92,'Daftar Koreksi'!$D$5:$D$92,'2200'!A48,'Daftar Koreksi'!$G$5:$G$92,"Kontruksi Dalam Pengerjaan",'Daftar Koreksi'!$H$5:$H$92,"&lt;0")-SUMIFS('Daftar Koreksi'!$H$5:$H$92,'Daftar Koreksi'!$D$5:$D$92,'2200'!A48,'Daftar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Koreksi'!$D$5:$D$92,'2200'!A48,'Daftar Koreksi'!$G$5:$G$92,"Aset Tak Berwujud",'Daftar Koreksi'!$H$5:$H$92,"&gt;0")</f>
        <v>0</v>
      </c>
      <c r="F58" s="25">
        <f>SUMIFS('Daftar Koreksi'!$H$5:$H$92,'Daftar Koreksi'!$D$5:$D$92,'2200'!A48,'Daftar Koreksi'!$G$5:$G$92,"Aset Tak Berwujud",'Daftar Koreksi'!$H$5:$H$92,"&lt;0")-SUMIFS('Daftar Koreksi'!$H$5:$H$92,'Daftar Koreksi'!$D$5:$D$92,'2200'!A48,'Daftar Koreksi'!$G$5:$G$92,"Aset Tak Berwujud",'Daftar Koreksi'!$H$5:$H$92,"&lt;0")-SUMIFS('Daftar Koreksi'!$H$5:$H$92,'Daftar Koreksi'!$D$5:$D$92,'2200'!A48,'Daftar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127160500</v>
      </c>
      <c r="E59" s="25">
        <f>SUMIFS('Daftar Koreksi'!$H$5:$H$92,'Daftar Koreksi'!$D$5:$D$92,'2200'!A48,'Daftar Koreksi'!$G$5:$G$92,"Aset Henti Guna",'Daftar Koreksi'!$H$5:$H$92,"&gt;0")</f>
        <v>0</v>
      </c>
      <c r="F59" s="25">
        <f>SUMIFS('Daftar Koreksi'!$H$5:$H$92,'Daftar Koreksi'!$D$5:$D$92,'2200'!A48,'Daftar Koreksi'!$G$5:$G$92,"Aset Henti Guna",'Daftar Koreksi'!$H$5:$H$92,"&lt;0")-SUMIFS('Daftar Koreksi'!$H$5:$H$92,'Daftar Koreksi'!$D$5:$D$92,'2200'!A48,'Daftar Koreksi'!$G$5:$G$92,"Aset Henti Guna",'Daftar Koreksi'!$H$5:$H$92,"&lt;0")-SUMIFS('Daftar Koreksi'!$H$5:$H$92,'Daftar Koreksi'!$D$5:$D$92,'2200'!A48,'Daftar Koreksi'!$G$5:$G$92,"Aset Henti Guna",'Daftar Koreksi'!$H$5:$H$92,"&lt;0")</f>
        <v>0</v>
      </c>
      <c r="G59" s="17">
        <f t="shared" si="2"/>
        <v>127160500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26597434138</v>
      </c>
      <c r="E60" s="19">
        <f>SUM(E51:E59)</f>
        <v>0</v>
      </c>
      <c r="F60" s="19">
        <f>SUM(F51:F59)</f>
        <v>0</v>
      </c>
      <c r="G60" s="19">
        <f t="shared" si="2"/>
        <v>26597434138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-1973716116</v>
      </c>
      <c r="E61" s="25">
        <f>SUMIFS('Daftar Koreksi'!$I$5:$I$92,'Daftar Koreksi'!$D$5:$D$92,'2200'!A48,'Daftar Koreksi'!$G$5:$G$92,"Peralatan dan mesin",'Daftar Koreksi'!$I$5:$I$92,"&gt;0")</f>
        <v>0</v>
      </c>
      <c r="F61" s="25">
        <f>SUMIFS('Daftar Koreksi'!$I$5:$I$92,'Daftar Koreksi'!$D$5:$D$92,'2200'!A48,'Daftar Koreksi'!$G$5:$G$92,"Peralatan dan mesin",'Daftar Koreksi'!$I$5:$I$92,"&lt;0")-SUMIFS('Daftar Koreksi'!$I$5:$I$92,'Daftar Koreksi'!$D$5:$D$92,'2200'!A48,'Daftar Koreksi'!$G$5:$G$92,"Peralatan dan mesin",'Daftar Koreksi'!$I$5:$I$92,"&lt;0")-SUMIFS('Daftar Koreksi'!$I$5:$I$92,'Daftar Koreksi'!$D$5:$D$92,'2200'!A48,'Daftar Koreksi'!$G$5:$G$92,"Peralatan dan mesin",'Daftar Koreksi'!$I$5:$I$92,"&lt;0")</f>
        <v>0</v>
      </c>
      <c r="G61" s="17">
        <f t="shared" si="2"/>
        <v>-1973716116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-1060132268</v>
      </c>
      <c r="E62" s="25">
        <f>SUMIFS('Daftar Koreksi'!$I$5:$I$92,'Daftar Koreksi'!$D$5:$D$92,'2200'!A48,'Daftar Koreksi'!$G$5:$G$92,"Gedung dan Bangunan",'Daftar Koreksi'!$I$5:$I$92,"&gt;0")</f>
        <v>0</v>
      </c>
      <c r="F62" s="25">
        <f>SUMIFS('Daftar Koreksi'!$I$5:$I$92,'Daftar Koreksi'!$D$5:$D$92,'2200'!A48,'Daftar Koreksi'!$G$5:$G$92,"Gedung dan Bangunan",'Daftar Koreksi'!$I$5:$I$92,"&lt;0")-SUMIFS('Daftar Koreksi'!$I$5:$I$92,'Daftar Koreksi'!$D$5:$D$92,'2200'!A48,'Daftar Koreksi'!$G$5:$G$92,"Gedung dan Bangunan",'Daftar Koreksi'!$I$5:$I$92,"&lt;0")-SUMIFS('Daftar Koreksi'!$I$5:$I$92,'Daftar Koreksi'!$D$5:$D$92,'2200'!A48,'Daftar Koreksi'!$G$5:$G$92,"Gedung dan Bangunan",'Daftar Koreksi'!$I$5:$I$92,"&lt;0")</f>
        <v>0</v>
      </c>
      <c r="G62" s="17">
        <f t="shared" si="2"/>
        <v>-1060132268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-847500</v>
      </c>
      <c r="E63" s="25">
        <f>SUMIFS('Daftar Koreksi'!$I$5:$I$92,'Daftar Koreksi'!$D$5:$D$92,'2200'!A48,'Daftar Koreksi'!$G$5:$G$92,"Jalan Irigasi Jaringan",'Daftar Koreksi'!$I$5:$I$92,"&gt;0")</f>
        <v>0</v>
      </c>
      <c r="F63" s="25">
        <f>SUMIFS('Daftar Koreksi'!$I$5:$I$92,'Daftar Koreksi'!$D$5:$D$92,'2200'!A48,'Daftar Koreksi'!$G$5:$G$92,"Jalan Irigasi Jaringan",'Daftar Koreksi'!$I$5:$I$92,"&lt;0")-SUMIFS('Daftar Koreksi'!$I$5:$I$92,'Daftar Koreksi'!$D$5:$D$92,'2200'!A48,'Daftar Koreksi'!$G$5:$G$92,"Jalan Irigasi Jaringan",'Daftar Koreksi'!$I$5:$I$92,"&lt;0")-SUMIFS('Daftar Koreksi'!$I$5:$I$92,'Daftar Koreksi'!$D$5:$D$92,'2200'!A48,'Daftar Koreksi'!$G$5:$G$92,"Jalan Irigasi Jaringan",'Daftar Koreksi'!$I$5:$I$92,"&lt;0")</f>
        <v>0</v>
      </c>
      <c r="G63" s="17">
        <f t="shared" si="2"/>
        <v>-847500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-5700000</v>
      </c>
      <c r="E64" s="25">
        <f>SUMIFS('Daftar Koreksi'!$I$5:$I$92,'Daftar Koreksi'!$D$5:$D$92,'2200'!A48,'Daftar Koreksi'!$G$5:$G$92,"Aset Tetap Lainnya",'Daftar Koreksi'!$I$5:$I$92,"&gt;0")</f>
        <v>0</v>
      </c>
      <c r="F64" s="25">
        <f>SUMIFS('Daftar Koreksi'!$I$5:$I$92,'Daftar Koreksi'!$D$5:$D$92,'2200'!A48,'Daftar Koreksi'!$G$5:$G$92,"Aset Tetap Lainnya",'Daftar Koreksi'!$I$5:$I$92,"&lt;0")-SUMIFS('Daftar Koreksi'!$I$5:$I$92,'Daftar Koreksi'!$D$5:$D$92,'2200'!A48,'Daftar Koreksi'!$G$5:$G$92,"Aset Tetap Lainnya",'Daftar Koreksi'!$I$5:$I$92,"&lt;0")-SUMIFS('Daftar Koreksi'!$I$5:$I$92,'Daftar Koreksi'!$D$5:$D$92,'2200'!A48,'Daftar Koreksi'!$G$5:$G$92,"Aset Tetap Lainnya",'Daftar Koreksi'!$I$5:$I$92,"&lt;0")</f>
        <v>0</v>
      </c>
      <c r="G64" s="17">
        <f t="shared" si="2"/>
        <v>-5700000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-127060500</v>
      </c>
      <c r="E65" s="25">
        <f>SUMIFS('Daftar Koreksi'!$I$5:$I$92,'Daftar Koreksi'!$D$5:$D$92,'2200'!A48,'Daftar Koreksi'!$G$5:$G$92,"Aset Henti Guna",'Daftar Koreksi'!$I$5:$I$92,"&gt;0")</f>
        <v>0</v>
      </c>
      <c r="F65" s="25">
        <f>SUMIFS('Daftar Koreksi'!$I$5:$I$92,'Daftar Koreksi'!$D$5:$D$92,'2200'!A48,'Daftar Koreksi'!$G$5:$G$92,"Aset Henti Guna",'Daftar Koreksi'!$I$5:$I$92,"&lt;0")-SUMIFS('Daftar Koreksi'!$I$5:$I$92,'Daftar Koreksi'!$D$5:$D$92,'2200'!A48,'Daftar Koreksi'!$G$5:$G$92,"Aset Henti Guna",'Daftar Koreksi'!$I$5:$I$92,"&lt;0")-SUMIFS('Daftar Koreksi'!$I$5:$I$92,'Daftar Koreksi'!$D$5:$D$92,'2200'!A48,'Daftar Koreksi'!$G$5:$G$92,"Aset Henti Guna",'Daftar Koreksi'!$I$5:$I$92,"&lt;0")</f>
        <v>0</v>
      </c>
      <c r="G65" s="17">
        <f t="shared" si="2"/>
        <v>-127060500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-3167456384</v>
      </c>
      <c r="E66" s="19">
        <f>SUM(E61:E65)</f>
        <v>0</v>
      </c>
      <c r="F66" s="19">
        <f>SUM(F61:F65)</f>
        <v>0</v>
      </c>
      <c r="G66" s="19">
        <f t="shared" si="2"/>
        <v>-3167456384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23429977754</v>
      </c>
      <c r="E67" s="19">
        <f>E66+E60</f>
        <v>0</v>
      </c>
      <c r="F67" s="19">
        <f>F66+F60</f>
        <v>0</v>
      </c>
      <c r="G67" s="19">
        <f t="shared" si="2"/>
        <v>23429977754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005012200099802000KD</v>
      </c>
      <c r="B70" s="11" t="str">
        <f>P4</f>
        <v>PN. Negara</v>
      </c>
      <c r="C70" s="12" t="str">
        <f>A70&amp;" "&amp;B70</f>
        <v>005012200099802000KD PN. Negara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12177200</v>
      </c>
      <c r="E73" s="25">
        <f>SUMIFS('Daftar Koreksi'!$H$5:$H$92,'Daftar Koreksi'!$D$5:$D$92,'2200'!A70,'Daftar Koreksi'!$G$5:$G$92,"Persediaan",'Daftar Koreksi'!$H$5:$H$92,"&gt;0")</f>
        <v>0</v>
      </c>
      <c r="F73" s="25">
        <f>SUMIFS('Daftar Koreksi'!$H$5:$H$92,'Daftar Koreksi'!$D$5:$D$92,'2200'!A70,'Daftar Koreksi'!$G$5:$G$92,"Persediaan",'Daftar Koreksi'!$H$5:$H$92,"&lt;0")-SUMIFS('Daftar Koreksi'!$H$5:$H$92,'Daftar Koreksi'!$D$5:$D$92,'2200'!A70,'Daftar Koreksi'!$G$5:$G$92,"Persediaan",'Daftar Koreksi'!$H$5:$H$92,"&lt;0")-SUMIFS('Daftar Koreksi'!$H$5:$H$92,'Daftar Koreksi'!$D$5:$D$92,'2200'!A70,'Daftar Koreksi'!$G$5:$G$92,"Persediaan",'Daftar Koreksi'!$H$5:$H$92,"&lt;0")</f>
        <v>0</v>
      </c>
      <c r="G73" s="17">
        <f>D73+E73-F73</f>
        <v>12177200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1875075000</v>
      </c>
      <c r="E74" s="25">
        <f>SUMIFS('Daftar Koreksi'!$H$5:$H$92,'Daftar Koreksi'!$D$5:$D$92,'2200'!A70,'Daftar Koreksi'!$G$5:$G$92,"Tanah",'Daftar Koreksi'!$H$5:$H$92,"&gt;0")</f>
        <v>0</v>
      </c>
      <c r="F74" s="25">
        <f>SUMIFS('Daftar Koreksi'!$H$5:$H$92,'Daftar Koreksi'!$D$5:$D$92,'2200'!A70,'Daftar Koreksi'!$G$5:$G$92,"Tanah",'Daftar Koreksi'!$H$5:$H$92,"&lt;0")-SUMIFS('Daftar Koreksi'!$H$5:$H$92,'Daftar Koreksi'!$D$5:$D$92,'2200'!A70,'Daftar Koreksi'!$G$5:$G$92,"Tanah",'Daftar Koreksi'!$H$5:$H$92,"&lt;0")-SUMIFS('Daftar Koreksi'!$H$5:$H$92,'Daftar Koreksi'!$D$5:$D$92,'2200'!A70,'Daftar Koreksi'!$G$5:$G$92,"Tanah",'Daftar Koreksi'!$H$5:$H$92,"&lt;0")</f>
        <v>0</v>
      </c>
      <c r="G74" s="17">
        <f t="shared" ref="G74:G90" si="3">D74+E74-F74</f>
        <v>1875075000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1616500748</v>
      </c>
      <c r="E75" s="25">
        <f>SUMIFS('Daftar Koreksi'!$H$5:$H$92,'Daftar Koreksi'!$D$5:$D$92,'2200'!A70,'Daftar Koreksi'!$G$5:$G$92,"Peralatan dan mesin",'Daftar Koreksi'!$H$5:$H$92,"&gt;0")</f>
        <v>0</v>
      </c>
      <c r="F75" s="25">
        <f>SUMIFS('Daftar Koreksi'!$H$5:$H$92,'Daftar Koreksi'!$D$5:$D$92,'2200'!A70,'Daftar Koreksi'!$G$5:$G$92,"Peralatan dan mesin",'Daftar Koreksi'!$H$5:$H$92,"&lt;0")-SUMIFS('Daftar Koreksi'!$H$5:$H$92,'Daftar Koreksi'!$D$5:$D$92,'2200'!A70,'Daftar Koreksi'!$G$5:$G$92,"Peralatan dan mesin",'Daftar Koreksi'!$H$5:$H$92,"&lt;0")-SUMIFS('Daftar Koreksi'!$H$5:$H$92,'Daftar Koreksi'!$D$5:$D$92,'2200'!A70,'Daftar Koreksi'!$G$5:$G$92,"Peralatan dan mesin",'Daftar Koreksi'!$H$5:$H$92,"&lt;0")</f>
        <v>0</v>
      </c>
      <c r="G75" s="17">
        <f t="shared" si="3"/>
        <v>1616500748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2253254180</v>
      </c>
      <c r="E76" s="25">
        <f>SUMIFS('Daftar Koreksi'!$H$5:$H$92,'Daftar Koreksi'!$D$5:$D$92,'2200'!A70,'Daftar Koreksi'!$G$5:$G$92,"Gedung dan Bangunan",'Daftar Koreksi'!$H$5:$H$92,"&gt;0")</f>
        <v>0</v>
      </c>
      <c r="F76" s="25">
        <f>SUMIFS('Daftar Koreksi'!$H$5:$H$92,'Daftar Koreksi'!$D$5:$D$92,'2200'!A70,'Daftar Koreksi'!$G$5:$G$92,"Gedung dan Bangunan",'Daftar Koreksi'!$H$5:$H$92,"&lt;0")-SUMIFS('Daftar Koreksi'!$H$5:$H$92,'Daftar Koreksi'!$D$5:$D$92,'2200'!A70,'Daftar Koreksi'!$G$5:$G$92,"Gedung dan Bangunan",'Daftar Koreksi'!$H$5:$H$92,"&lt;0")-SUMIFS('Daftar Koreksi'!$H$5:$H$92,'Daftar Koreksi'!$D$5:$D$92,'2200'!A70,'Daftar Koreksi'!$G$5:$G$92,"Gedung dan Bangunan",'Daftar Koreksi'!$H$5:$H$92,"&lt;0")</f>
        <v>0</v>
      </c>
      <c r="G76" s="17">
        <f t="shared" si="3"/>
        <v>2253254180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45491200</v>
      </c>
      <c r="E77" s="25">
        <f>SUMIFS('Daftar Koreksi'!$H$5:$H$92,'Daftar Koreksi'!$D$5:$D$92,'2200'!A70,'Daftar Koreksi'!$G$5:$G$92,"Jalan Irigasi Jaringan",'Daftar Koreksi'!$H$5:$H$92,"&gt;0")</f>
        <v>0</v>
      </c>
      <c r="F77" s="25">
        <f>SUMIFS('Daftar Koreksi'!$H$5:$H$92,'Daftar Koreksi'!$D$5:$D$92,'2200'!A70,'Daftar Koreksi'!$G$5:$G$92,"Jalan Irigasi Jaringan",'Daftar Koreksi'!$H$5:$H$92,"&lt;0")-SUMIFS('Daftar Koreksi'!$H$5:$H$92,'Daftar Koreksi'!$D$5:$D$92,'2200'!A70,'Daftar Koreksi'!$G$5:$G$92,"Jalan Irigasi Jaringan",'Daftar Koreksi'!$H$5:$H$92,"&lt;0")-SUMIFS('Daftar Koreksi'!$H$5:$H$92,'Daftar Koreksi'!$D$5:$D$92,'2200'!A70,'Daftar Koreksi'!$G$5:$G$92,"Jalan Irigasi Jaringan",'Daftar Koreksi'!$H$5:$H$92,"&lt;0")</f>
        <v>0</v>
      </c>
      <c r="G77" s="17">
        <f t="shared" si="3"/>
        <v>45491200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Koreksi'!$D$5:$D$92,'2200'!A70,'Daftar Koreksi'!$G$5:$G$92,"Aset Tetap Lainnya",'Daftar Koreksi'!$H$5:$H$92,"&gt;0")</f>
        <v>0</v>
      </c>
      <c r="F78" s="25">
        <f>SUMIFS('Daftar Koreksi'!$H$5:$H$92,'Daftar Koreksi'!$D$5:$D$92,'2200'!A70,'Daftar Koreksi'!$G$5:$G$92,"Aset Tetap Lainnya",'Daftar Koreksi'!$H$5:$H$92,"&lt;0")-SUMIFS('Daftar Koreksi'!$H$5:$H$92,'Daftar Koreksi'!$D$5:$D$92,'2200'!A70,'Daftar Koreksi'!$G$5:$G$92,"Aset Tetap Lainnya",'Daftar Koreksi'!$H$5:$H$92,"&lt;0")-SUMIFS('Daftar Koreksi'!$H$5:$H$92,'Daftar Koreksi'!$D$5:$D$92,'2200'!A70,'Daftar Koreksi'!$G$5:$G$92,"Aset Tetap Lainnya",'Daftar Koreksi'!$H$5:$H$92,"&lt;0")</f>
        <v>0</v>
      </c>
      <c r="G78" s="17">
        <f t="shared" si="3"/>
        <v>1943440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Koreksi'!$D$5:$D$92,'2200'!A70,'Daftar Koreksi'!$G$5:$G$92,"Kontruksi Dalam Pengerjaan",'Daftar Koreksi'!$H$5:$H$92,"&gt;0")</f>
        <v>0</v>
      </c>
      <c r="F79" s="25">
        <f>SUMIFS('Daftar Koreksi'!$H$5:$H$92,'Daftar Koreksi'!$D$5:$D$92,'2200'!A70,'Daftar Koreksi'!$G$5:$G$92,"Kontruksi Dalam Pengerjaan",'Daftar Koreksi'!$H$5:$H$92,"&lt;0")-SUMIFS('Daftar Koreksi'!$H$5:$H$92,'Daftar Koreksi'!$D$5:$D$92,'2200'!A70,'Daftar Koreksi'!$G$5:$G$92,"Kontruksi Dalam Pengerjaan",'Daftar Koreksi'!$H$5:$H$92,"&lt;0")-SUMIFS('Daftar Koreksi'!$H$5:$H$92,'Daftar Koreksi'!$D$5:$D$92,'2200'!A70,'Daftar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Koreksi'!$D$5:$D$92,'2200'!A70,'Daftar Koreksi'!$G$5:$G$92,"Aset Tak Berwujud",'Daftar Koreksi'!$H$5:$H$92,"&gt;0")</f>
        <v>0</v>
      </c>
      <c r="F80" s="25">
        <f>SUMIFS('Daftar Koreksi'!$H$5:$H$92,'Daftar Koreksi'!$D$5:$D$92,'2200'!A70,'Daftar Koreksi'!$G$5:$G$92,"Aset Tak Berwujud",'Daftar Koreksi'!$H$5:$H$92,"&lt;0")-SUMIFS('Daftar Koreksi'!$H$5:$H$92,'Daftar Koreksi'!$D$5:$D$92,'2200'!A70,'Daftar Koreksi'!$G$5:$G$92,"Aset Tak Berwujud",'Daftar Koreksi'!$H$5:$H$92,"&lt;0")-SUMIFS('Daftar Koreksi'!$H$5:$H$92,'Daftar Koreksi'!$D$5:$D$92,'2200'!A70,'Daftar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55301500</v>
      </c>
      <c r="E81" s="25">
        <f>SUMIFS('Daftar Koreksi'!$H$5:$H$92,'Daftar Koreksi'!$D$5:$D$92,'2200'!A70,'Daftar Koreksi'!$G$5:$G$92,"Aset Henti Guna",'Daftar Koreksi'!$H$5:$H$92,"&gt;0")</f>
        <v>0</v>
      </c>
      <c r="F81" s="25">
        <f>SUMIFS('Daftar Koreksi'!$H$5:$H$92,'Daftar Koreksi'!$D$5:$D$92,'2200'!A70,'Daftar Koreksi'!$G$5:$G$92,"Aset Henti Guna",'Daftar Koreksi'!$H$5:$H$92,"&lt;0")-SUMIFS('Daftar Koreksi'!$H$5:$H$92,'Daftar Koreksi'!$D$5:$D$92,'2200'!A70,'Daftar Koreksi'!$G$5:$G$92,"Aset Henti Guna",'Daftar Koreksi'!$H$5:$H$92,"&lt;0")-SUMIFS('Daftar Koreksi'!$H$5:$H$92,'Daftar Koreksi'!$D$5:$D$92,'2200'!A70,'Daftar Koreksi'!$G$5:$G$92,"Aset Henti Guna",'Daftar Koreksi'!$H$5:$H$92,"&lt;0")</f>
        <v>0</v>
      </c>
      <c r="G81" s="17">
        <f t="shared" si="3"/>
        <v>55301500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5859743268</v>
      </c>
      <c r="E82" s="19">
        <f>SUM(E73:E81)</f>
        <v>0</v>
      </c>
      <c r="F82" s="19">
        <f>SUM(F73:F81)</f>
        <v>0</v>
      </c>
      <c r="G82" s="19">
        <f t="shared" si="3"/>
        <v>5859743268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-1480202094</v>
      </c>
      <c r="E83" s="25">
        <f>SUMIFS('Daftar Koreksi'!$I$5:$I$92,'Daftar Koreksi'!$D$5:$D$92,'2200'!A70,'Daftar Koreksi'!$G$5:$G$92,"Peralatan dan mesin",'Daftar Koreksi'!$I$5:$I$92,"&gt;0")</f>
        <v>0</v>
      </c>
      <c r="F83" s="25">
        <f>SUMIFS('Daftar Koreksi'!$I$5:$I$92,'Daftar Koreksi'!$D$5:$D$92,'2200'!A70,'Daftar Koreksi'!$G$5:$G$92,"Peralatan dan mesin",'Daftar Koreksi'!$I$5:$I$92,"&lt;0")-SUMIFS('Daftar Koreksi'!$I$5:$I$92,'Daftar Koreksi'!$D$5:$D$92,'2200'!A70,'Daftar Koreksi'!$G$5:$G$92,"Peralatan dan mesin",'Daftar Koreksi'!$I$5:$I$92,"&lt;0")-SUMIFS('Daftar Koreksi'!$I$5:$I$92,'Daftar Koreksi'!$D$5:$D$92,'2200'!A70,'Daftar Koreksi'!$G$5:$G$92,"Peralatan dan mesin",'Daftar Koreksi'!$I$5:$I$92,"&lt;0")</f>
        <v>0</v>
      </c>
      <c r="G83" s="17">
        <f t="shared" si="3"/>
        <v>-1480202094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-287349648</v>
      </c>
      <c r="E84" s="25">
        <f>SUMIFS('Daftar Koreksi'!$I$5:$I$92,'Daftar Koreksi'!$D$5:$D$92,'2200'!A70,'Daftar Koreksi'!$G$5:$G$92,"Gedung dan Bangunan",'Daftar Koreksi'!$I$5:$I$92,"&gt;0")</f>
        <v>0</v>
      </c>
      <c r="F84" s="25">
        <f>SUMIFS('Daftar Koreksi'!$I$5:$I$92,'Daftar Koreksi'!$D$5:$D$92,'2200'!A70,'Daftar Koreksi'!$G$5:$G$92,"Gedung dan Bangunan",'Daftar Koreksi'!$I$5:$I$92,"&lt;0")-SUMIFS('Daftar Koreksi'!$I$5:$I$92,'Daftar Koreksi'!$D$5:$D$92,'2200'!A70,'Daftar Koreksi'!$G$5:$G$92,"Gedung dan Bangunan",'Daftar Koreksi'!$I$5:$I$92,"&lt;0")-SUMIFS('Daftar Koreksi'!$I$5:$I$92,'Daftar Koreksi'!$D$5:$D$92,'2200'!A70,'Daftar Koreksi'!$G$5:$G$92,"Gedung dan Bangunan",'Daftar Koreksi'!$I$5:$I$92,"&lt;0")</f>
        <v>0</v>
      </c>
      <c r="G84" s="17">
        <f t="shared" si="3"/>
        <v>-287349648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-6521523</v>
      </c>
      <c r="E85" s="25">
        <f>SUMIFS('Daftar Koreksi'!$I$5:$I$92,'Daftar Koreksi'!$D$5:$D$92,'2200'!A70,'Daftar Koreksi'!$G$5:$G$92,"Jalan Irigasi Jaringan",'Daftar Koreksi'!$I$5:$I$92,"&gt;0")</f>
        <v>0</v>
      </c>
      <c r="F85" s="25">
        <f>SUMIFS('Daftar Koreksi'!$I$5:$I$92,'Daftar Koreksi'!$D$5:$D$92,'2200'!A70,'Daftar Koreksi'!$G$5:$G$92,"Jalan Irigasi Jaringan",'Daftar Koreksi'!$I$5:$I$92,"&lt;0")-SUMIFS('Daftar Koreksi'!$I$5:$I$92,'Daftar Koreksi'!$D$5:$D$92,'2200'!A70,'Daftar Koreksi'!$G$5:$G$92,"Jalan Irigasi Jaringan",'Daftar Koreksi'!$I$5:$I$92,"&lt;0")-SUMIFS('Daftar Koreksi'!$I$5:$I$92,'Daftar Koreksi'!$D$5:$D$92,'2200'!A70,'Daftar Koreksi'!$G$5:$G$92,"Jalan Irigasi Jaringan",'Daftar Koreksi'!$I$5:$I$92,"&lt;0")</f>
        <v>0</v>
      </c>
      <c r="G85" s="17">
        <f t="shared" si="3"/>
        <v>-6521523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Koreksi'!$D$5:$D$92,'2200'!A70,'Daftar Koreksi'!$G$5:$G$92,"Aset Tetap Lainnya",'Daftar Koreksi'!$I$5:$I$92,"&gt;0")</f>
        <v>0</v>
      </c>
      <c r="F86" s="25">
        <f>SUMIFS('Daftar Koreksi'!$I$5:$I$92,'Daftar Koreksi'!$D$5:$D$92,'2200'!A70,'Daftar Koreksi'!$G$5:$G$92,"Aset Tetap Lainnya",'Daftar Koreksi'!$I$5:$I$92,"&lt;0")-SUMIFS('Daftar Koreksi'!$I$5:$I$92,'Daftar Koreksi'!$D$5:$D$92,'2200'!A70,'Daftar Koreksi'!$G$5:$G$92,"Aset Tetap Lainnya",'Daftar Koreksi'!$I$5:$I$92,"&lt;0")-SUMIFS('Daftar Koreksi'!$I$5:$I$92,'Daftar Koreksi'!$D$5:$D$92,'2200'!A70,'Daftar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-55301500</v>
      </c>
      <c r="E87" s="25">
        <f>SUMIFS('Daftar Koreksi'!$I$5:$I$92,'Daftar Koreksi'!$D$5:$D$92,'2200'!A70,'Daftar Koreksi'!$G$5:$G$92,"Aset Henti Guna",'Daftar Koreksi'!$I$5:$I$92,"&gt;0")</f>
        <v>0</v>
      </c>
      <c r="F87" s="25">
        <f>SUMIFS('Daftar Koreksi'!$I$5:$I$92,'Daftar Koreksi'!$D$5:$D$92,'2200'!A70,'Daftar Koreksi'!$G$5:$G$92,"Aset Henti Guna",'Daftar Koreksi'!$I$5:$I$92,"&lt;0")-SUMIFS('Daftar Koreksi'!$I$5:$I$92,'Daftar Koreksi'!$D$5:$D$92,'2200'!A70,'Daftar Koreksi'!$G$5:$G$92,"Aset Henti Guna",'Daftar Koreksi'!$I$5:$I$92,"&lt;0")-SUMIFS('Daftar Koreksi'!$I$5:$I$92,'Daftar Koreksi'!$D$5:$D$92,'2200'!A70,'Daftar Koreksi'!$G$5:$G$92,"Aset Henti Guna",'Daftar Koreksi'!$I$5:$I$92,"&lt;0")</f>
        <v>0</v>
      </c>
      <c r="G87" s="17">
        <f t="shared" si="3"/>
        <v>-55301500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-1829374765</v>
      </c>
      <c r="E88" s="19">
        <f>SUM(E83:E87)</f>
        <v>0</v>
      </c>
      <c r="F88" s="19">
        <f>SUM(F83:F87)</f>
        <v>0</v>
      </c>
      <c r="G88" s="19">
        <f t="shared" si="3"/>
        <v>-1829374765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4030368503</v>
      </c>
      <c r="E89" s="19">
        <f>E88+E82</f>
        <v>0</v>
      </c>
      <c r="F89" s="19">
        <f>F88+F82</f>
        <v>0</v>
      </c>
      <c r="G89" s="19">
        <f t="shared" si="3"/>
        <v>4030368503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005012200099816000KD</v>
      </c>
      <c r="B92" s="11" t="str">
        <f>P5</f>
        <v>PN. Klungkung</v>
      </c>
      <c r="C92" s="12" t="str">
        <f>A92&amp;" "&amp;B92</f>
        <v>005012200099816000KD PN. Klungkung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4704250</v>
      </c>
      <c r="E95" s="25">
        <f>SUMIFS('Daftar Koreksi'!$H$5:$H$92,'Daftar Koreksi'!$D$5:$D$92,'2200'!A92,'Daftar Koreksi'!$G$5:$G$92,"Persediaan",'Daftar Koreksi'!$H$5:$H$92,"&gt;0")</f>
        <v>0</v>
      </c>
      <c r="F95" s="25">
        <f>SUMIFS('Daftar Koreksi'!$H$5:$H$92,'Daftar Koreksi'!$D$5:$D$92,'2200'!A92,'Daftar Koreksi'!$G$5:$G$92,"Persediaan",'Daftar Koreksi'!$H$5:$H$92,"&lt;0")-SUMIFS('Daftar Koreksi'!$H$5:$H$92,'Daftar Koreksi'!$D$5:$D$92,'2200'!A92,'Daftar Koreksi'!$G$5:$G$92,"Persediaan",'Daftar Koreksi'!$H$5:$H$92,"&lt;0")-SUMIFS('Daftar Koreksi'!$H$5:$H$92,'Daftar Koreksi'!$D$5:$D$92,'2200'!A92,'Daftar Koreksi'!$G$5:$G$92,"Persediaan",'Daftar Koreksi'!$H$5:$H$92,"&lt;0")</f>
        <v>0</v>
      </c>
      <c r="G95" s="17">
        <f>D95+E95-F95</f>
        <v>4704250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2726104000</v>
      </c>
      <c r="E96" s="25">
        <f>SUMIFS('Daftar Koreksi'!$H$5:$H$92,'Daftar Koreksi'!$D$5:$D$92,'2200'!A92,'Daftar Koreksi'!$G$5:$G$92,"Tanah",'Daftar Koreksi'!$H$5:$H$92,"&gt;0")</f>
        <v>0</v>
      </c>
      <c r="F96" s="25">
        <f>SUMIFS('Daftar Koreksi'!$H$5:$H$92,'Daftar Koreksi'!$D$5:$D$92,'2200'!A92,'Daftar Koreksi'!$G$5:$G$92,"Tanah",'Daftar Koreksi'!$H$5:$H$92,"&lt;0")-SUMIFS('Daftar Koreksi'!$H$5:$H$92,'Daftar Koreksi'!$D$5:$D$92,'2200'!A92,'Daftar Koreksi'!$G$5:$G$92,"Tanah",'Daftar Koreksi'!$H$5:$H$92,"&lt;0")-SUMIFS('Daftar Koreksi'!$H$5:$H$92,'Daftar Koreksi'!$D$5:$D$92,'2200'!A92,'Daftar Koreksi'!$G$5:$G$92,"Tanah",'Daftar Koreksi'!$H$5:$H$92,"&lt;0")</f>
        <v>0</v>
      </c>
      <c r="G96" s="17">
        <f t="shared" ref="G96:G112" si="4">D96+E96-F96</f>
        <v>2726104000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1626960138</v>
      </c>
      <c r="E97" s="25">
        <f>SUMIFS('Daftar Koreksi'!$H$5:$H$92,'Daftar Koreksi'!$D$5:$D$92,'2200'!A92,'Daftar Koreksi'!$G$5:$G$92,"Peralatan dan mesin",'Daftar Koreksi'!$H$5:$H$92,"&gt;0")</f>
        <v>0</v>
      </c>
      <c r="F97" s="25">
        <f>SUMIFS('Daftar Koreksi'!$H$5:$H$92,'Daftar Koreksi'!$D$5:$D$92,'2200'!A92,'Daftar Koreksi'!$G$5:$G$92,"Peralatan dan mesin",'Daftar Koreksi'!$H$5:$H$92,"&lt;0")-SUMIFS('Daftar Koreksi'!$H$5:$H$92,'Daftar Koreksi'!$D$5:$D$92,'2200'!A92,'Daftar Koreksi'!$G$5:$G$92,"Peralatan dan mesin",'Daftar Koreksi'!$H$5:$H$92,"&lt;0")-SUMIFS('Daftar Koreksi'!$H$5:$H$92,'Daftar Koreksi'!$D$5:$D$92,'2200'!A92,'Daftar Koreksi'!$G$5:$G$92,"Peralatan dan mesin",'Daftar Koreksi'!$H$5:$H$92,"&lt;0")</f>
        <v>0</v>
      </c>
      <c r="G97" s="17">
        <f t="shared" si="4"/>
        <v>1626960138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3069323000</v>
      </c>
      <c r="E98" s="25">
        <f>SUMIFS('Daftar Koreksi'!$H$5:$H$92,'Daftar Koreksi'!$D$5:$D$92,'2200'!A92,'Daftar Koreksi'!$G$5:$G$92,"Gedung dan Bangunan",'Daftar Koreksi'!$H$5:$H$92,"&gt;0")</f>
        <v>0</v>
      </c>
      <c r="F98" s="25">
        <f>SUMIFS('Daftar Koreksi'!$H$5:$H$92,'Daftar Koreksi'!$D$5:$D$92,'2200'!A92,'Daftar Koreksi'!$G$5:$G$92,"Gedung dan Bangunan",'Daftar Koreksi'!$H$5:$H$92,"&lt;0")-SUMIFS('Daftar Koreksi'!$H$5:$H$92,'Daftar Koreksi'!$D$5:$D$92,'2200'!A92,'Daftar Koreksi'!$G$5:$G$92,"Gedung dan Bangunan",'Daftar Koreksi'!$H$5:$H$92,"&lt;0")-SUMIFS('Daftar Koreksi'!$H$5:$H$92,'Daftar Koreksi'!$D$5:$D$92,'2200'!A92,'Daftar Koreksi'!$G$5:$G$92,"Gedung dan Bangunan",'Daftar Koreksi'!$H$5:$H$92,"&lt;0")</f>
        <v>0</v>
      </c>
      <c r="G98" s="17">
        <f t="shared" si="4"/>
        <v>3069323000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105895000</v>
      </c>
      <c r="E99" s="25">
        <f>SUMIFS('Daftar Koreksi'!$H$5:$H$92,'Daftar Koreksi'!$D$5:$D$92,'2200'!A92,'Daftar Koreksi'!$G$5:$G$92,"Jalan Irigasi Jaringan",'Daftar Koreksi'!$H$5:$H$92,"&gt;0")</f>
        <v>0</v>
      </c>
      <c r="F99" s="25">
        <f>SUMIFS('Daftar Koreksi'!$H$5:$H$92,'Daftar Koreksi'!$D$5:$D$92,'2200'!A92,'Daftar Koreksi'!$G$5:$G$92,"Jalan Irigasi Jaringan",'Daftar Koreksi'!$H$5:$H$92,"&lt;0")-SUMIFS('Daftar Koreksi'!$H$5:$H$92,'Daftar Koreksi'!$D$5:$D$92,'2200'!A92,'Daftar Koreksi'!$G$5:$G$92,"Jalan Irigasi Jaringan",'Daftar Koreksi'!$H$5:$H$92,"&lt;0")-SUMIFS('Daftar Koreksi'!$H$5:$H$92,'Daftar Koreksi'!$D$5:$D$92,'2200'!A92,'Daftar Koreksi'!$G$5:$G$92,"Jalan Irigasi Jaringan",'Daftar Koreksi'!$H$5:$H$92,"&lt;0")</f>
        <v>0</v>
      </c>
      <c r="G99" s="17">
        <f t="shared" si="4"/>
        <v>105895000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41102240</v>
      </c>
      <c r="E100" s="25">
        <f>SUMIFS('Daftar Koreksi'!$H$5:$H$92,'Daftar Koreksi'!$D$5:$D$92,'2200'!A92,'Daftar Koreksi'!$G$5:$G$92,"Aset Tetap Lainnya",'Daftar Koreksi'!$H$5:$H$92,"&gt;0")</f>
        <v>0</v>
      </c>
      <c r="F100" s="25">
        <f>SUMIFS('Daftar Koreksi'!$H$5:$H$92,'Daftar Koreksi'!$D$5:$D$92,'2200'!A92,'Daftar Koreksi'!$G$5:$G$92,"Aset Tetap Lainnya",'Daftar Koreksi'!$H$5:$H$92,"&lt;0")-SUMIFS('Daftar Koreksi'!$H$5:$H$92,'Daftar Koreksi'!$D$5:$D$92,'2200'!A92,'Daftar Koreksi'!$G$5:$G$92,"Aset Tetap Lainnya",'Daftar Koreksi'!$H$5:$H$92,"&lt;0")-SUMIFS('Daftar Koreksi'!$H$5:$H$92,'Daftar Koreksi'!$D$5:$D$92,'2200'!A92,'Daftar Koreksi'!$G$5:$G$92,"Aset Tetap Lainnya",'Daftar Koreksi'!$H$5:$H$92,"&lt;0")</f>
        <v>0</v>
      </c>
      <c r="G100" s="17">
        <f t="shared" si="4"/>
        <v>41102240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Koreksi'!$D$5:$D$92,'2200'!A92,'Daftar Koreksi'!$G$5:$G$92,"Kontruksi Dalam Pengerjaan",'Daftar Koreksi'!$H$5:$H$92,"&gt;0")</f>
        <v>0</v>
      </c>
      <c r="F101" s="25">
        <f>SUMIFS('Daftar Koreksi'!$H$5:$H$92,'Daftar Koreksi'!$D$5:$D$92,'2200'!A92,'Daftar Koreksi'!$G$5:$G$92,"Kontruksi Dalam Pengerjaan",'Daftar Koreksi'!$H$5:$H$92,"&lt;0")-SUMIFS('Daftar Koreksi'!$H$5:$H$92,'Daftar Koreksi'!$D$5:$D$92,'2200'!A92,'Daftar Koreksi'!$G$5:$G$92,"Kontruksi Dalam Pengerjaan",'Daftar Koreksi'!$H$5:$H$92,"&lt;0")-SUMIFS('Daftar Koreksi'!$H$5:$H$92,'Daftar Koreksi'!$D$5:$D$92,'2200'!A92,'Daftar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Koreksi'!$D$5:$D$92,'2200'!A92,'Daftar Koreksi'!$G$5:$G$92,"Aset Tak Berwujud",'Daftar Koreksi'!$H$5:$H$92,"&gt;0")</f>
        <v>0</v>
      </c>
      <c r="F102" s="25">
        <f>SUMIFS('Daftar Koreksi'!$H$5:$H$92,'Daftar Koreksi'!$D$5:$D$92,'2200'!A92,'Daftar Koreksi'!$G$5:$G$92,"Aset Tak Berwujud",'Daftar Koreksi'!$H$5:$H$92,"&lt;0")-SUMIFS('Daftar Koreksi'!$H$5:$H$92,'Daftar Koreksi'!$D$5:$D$92,'2200'!A92,'Daftar Koreksi'!$G$5:$G$92,"Aset Tak Berwujud",'Daftar Koreksi'!$H$5:$H$92,"&lt;0")-SUMIFS('Daftar Koreksi'!$H$5:$H$92,'Daftar Koreksi'!$D$5:$D$92,'2200'!A92,'Daftar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43209073</v>
      </c>
      <c r="E103" s="25">
        <f>SUMIFS('Daftar Koreksi'!$H$5:$H$92,'Daftar Koreksi'!$D$5:$D$92,'2200'!A92,'Daftar Koreksi'!$G$5:$G$92,"Aset Henti Guna",'Daftar Koreksi'!$H$5:$H$92,"&gt;0")</f>
        <v>0</v>
      </c>
      <c r="F103" s="25">
        <f>SUMIFS('Daftar Koreksi'!$H$5:$H$92,'Daftar Koreksi'!$D$5:$D$92,'2200'!A92,'Daftar Koreksi'!$G$5:$G$92,"Aset Henti Guna",'Daftar Koreksi'!$H$5:$H$92,"&lt;0")-SUMIFS('Daftar Koreksi'!$H$5:$H$92,'Daftar Koreksi'!$D$5:$D$92,'2200'!A92,'Daftar Koreksi'!$G$5:$G$92,"Aset Henti Guna",'Daftar Koreksi'!$H$5:$H$92,"&lt;0")-SUMIFS('Daftar Koreksi'!$H$5:$H$92,'Daftar Koreksi'!$D$5:$D$92,'2200'!A92,'Daftar Koreksi'!$G$5:$G$92,"Aset Henti Guna",'Daftar Koreksi'!$H$5:$H$92,"&lt;0")</f>
        <v>0</v>
      </c>
      <c r="G103" s="17">
        <f t="shared" si="4"/>
        <v>43209073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7617297701</v>
      </c>
      <c r="E104" s="19">
        <f>SUM(E95:E103)</f>
        <v>0</v>
      </c>
      <c r="F104" s="19">
        <f>SUM(F95:F103)</f>
        <v>0</v>
      </c>
      <c r="G104" s="19">
        <f t="shared" si="4"/>
        <v>7617297701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-1556953640</v>
      </c>
      <c r="E105" s="25">
        <f>SUMIFS('Daftar Koreksi'!$I$5:$I$92,'Daftar Koreksi'!$D$5:$D$92,'2200'!A92,'Daftar Koreksi'!$G$5:$G$92,"Peralatan dan mesin",'Daftar Koreksi'!$I$5:$I$92,"&gt;0")</f>
        <v>0</v>
      </c>
      <c r="F105" s="25">
        <f>SUMIFS('Daftar Koreksi'!$I$5:$I$92,'Daftar Koreksi'!$D$5:$D$92,'2200'!A92,'Daftar Koreksi'!$G$5:$G$92,"Peralatan dan mesin",'Daftar Koreksi'!$I$5:$I$92,"&lt;0")-SUMIFS('Daftar Koreksi'!$I$5:$I$92,'Daftar Koreksi'!$D$5:$D$92,'2200'!A92,'Daftar Koreksi'!$G$5:$G$92,"Peralatan dan mesin",'Daftar Koreksi'!$I$5:$I$92,"&lt;0")-SUMIFS('Daftar Koreksi'!$I$5:$I$92,'Daftar Koreksi'!$D$5:$D$92,'2200'!A92,'Daftar Koreksi'!$G$5:$G$92,"Peralatan dan mesin",'Daftar Koreksi'!$I$5:$I$92,"&lt;0")</f>
        <v>0</v>
      </c>
      <c r="G105" s="17">
        <f t="shared" si="4"/>
        <v>-1556953640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-1024074203</v>
      </c>
      <c r="E106" s="25">
        <f>SUMIFS('Daftar Koreksi'!$I$5:$I$92,'Daftar Koreksi'!$D$5:$D$92,'2200'!A92,'Daftar Koreksi'!$G$5:$G$92,"Gedung dan Bangunan",'Daftar Koreksi'!$I$5:$I$92,"&gt;0")</f>
        <v>0</v>
      </c>
      <c r="F106" s="25">
        <f>SUMIFS('Daftar Koreksi'!$I$5:$I$92,'Daftar Koreksi'!$D$5:$D$92,'2200'!A92,'Daftar Koreksi'!$G$5:$G$92,"Gedung dan Bangunan",'Daftar Koreksi'!$I$5:$I$92,"&lt;0")-SUMIFS('Daftar Koreksi'!$I$5:$I$92,'Daftar Koreksi'!$D$5:$D$92,'2200'!A92,'Daftar Koreksi'!$G$5:$G$92,"Gedung dan Bangunan",'Daftar Koreksi'!$I$5:$I$92,"&lt;0")-SUMIFS('Daftar Koreksi'!$I$5:$I$92,'Daftar Koreksi'!$D$5:$D$92,'2200'!A92,'Daftar Koreksi'!$G$5:$G$92,"Gedung dan Bangunan",'Daftar Koreksi'!$I$5:$I$92,"&lt;0")</f>
        <v>0</v>
      </c>
      <c r="G106" s="17">
        <f t="shared" si="4"/>
        <v>-1024074203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-9876038</v>
      </c>
      <c r="E107" s="25">
        <f>SUMIFS('Daftar Koreksi'!$I$5:$I$92,'Daftar Koreksi'!$D$5:$D$92,'2200'!A92,'Daftar Koreksi'!$G$5:$G$92,"Jalan Irigasi Jaringan",'Daftar Koreksi'!$I$5:$I$92,"&gt;0")</f>
        <v>0</v>
      </c>
      <c r="F107" s="25">
        <f>SUMIFS('Daftar Koreksi'!$I$5:$I$92,'Daftar Koreksi'!$D$5:$D$92,'2200'!A92,'Daftar Koreksi'!$G$5:$G$92,"Jalan Irigasi Jaringan",'Daftar Koreksi'!$I$5:$I$92,"&lt;0")-SUMIFS('Daftar Koreksi'!$I$5:$I$92,'Daftar Koreksi'!$D$5:$D$92,'2200'!A92,'Daftar Koreksi'!$G$5:$G$92,"Jalan Irigasi Jaringan",'Daftar Koreksi'!$I$5:$I$92,"&lt;0")-SUMIFS('Daftar Koreksi'!$I$5:$I$92,'Daftar Koreksi'!$D$5:$D$92,'2200'!A92,'Daftar Koreksi'!$G$5:$G$92,"Jalan Irigasi Jaringan",'Daftar Koreksi'!$I$5:$I$92,"&lt;0")</f>
        <v>0</v>
      </c>
      <c r="G107" s="17">
        <f t="shared" si="4"/>
        <v>-9876038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Koreksi'!$D$5:$D$92,'2200'!A92,'Daftar Koreksi'!$G$5:$G$92,"Aset Tetap Lainnya",'Daftar Koreksi'!$I$5:$I$92,"&gt;0")</f>
        <v>0</v>
      </c>
      <c r="F108" s="25">
        <f>SUMIFS('Daftar Koreksi'!$I$5:$I$92,'Daftar Koreksi'!$D$5:$D$92,'2200'!A92,'Daftar Koreksi'!$G$5:$G$92,"Aset Tetap Lainnya",'Daftar Koreksi'!$I$5:$I$92,"&lt;0")-SUMIFS('Daftar Koreksi'!$I$5:$I$92,'Daftar Koreksi'!$D$5:$D$92,'2200'!A92,'Daftar Koreksi'!$G$5:$G$92,"Aset Tetap Lainnya",'Daftar Koreksi'!$I$5:$I$92,"&lt;0")-SUMIFS('Daftar Koreksi'!$I$5:$I$92,'Daftar Koreksi'!$D$5:$D$92,'2200'!A92,'Daftar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-43209073</v>
      </c>
      <c r="E109" s="25">
        <f>SUMIFS('Daftar Koreksi'!$I$5:$I$92,'Daftar Koreksi'!$D$5:$D$92,'2200'!A92,'Daftar Koreksi'!$G$5:$G$92,"Aset Henti Guna",'Daftar Koreksi'!$I$5:$I$92,"&gt;0")</f>
        <v>0</v>
      </c>
      <c r="F109" s="25">
        <f>SUMIFS('Daftar Koreksi'!$I$5:$I$92,'Daftar Koreksi'!$D$5:$D$92,'2200'!A92,'Daftar Koreksi'!$G$5:$G$92,"Aset Henti Guna",'Daftar Koreksi'!$I$5:$I$92,"&lt;0")-SUMIFS('Daftar Koreksi'!$I$5:$I$92,'Daftar Koreksi'!$D$5:$D$92,'2200'!A92,'Daftar Koreksi'!$G$5:$G$92,"Aset Henti Guna",'Daftar Koreksi'!$I$5:$I$92,"&lt;0")-SUMIFS('Daftar Koreksi'!$I$5:$I$92,'Daftar Koreksi'!$D$5:$D$92,'2200'!A92,'Daftar Koreksi'!$G$5:$G$92,"Aset Henti Guna",'Daftar Koreksi'!$I$5:$I$92,"&lt;0")</f>
        <v>0</v>
      </c>
      <c r="G109" s="17">
        <f t="shared" si="4"/>
        <v>-43209073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-2634112954</v>
      </c>
      <c r="E110" s="19">
        <f>SUM(E105:E109)</f>
        <v>0</v>
      </c>
      <c r="F110" s="19">
        <f>SUM(F105:F109)</f>
        <v>0</v>
      </c>
      <c r="G110" s="19">
        <f t="shared" si="4"/>
        <v>-2634112954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4983184747</v>
      </c>
      <c r="E111" s="19">
        <f>E110+E104</f>
        <v>0</v>
      </c>
      <c r="F111" s="19">
        <f>F110+F104</f>
        <v>0</v>
      </c>
      <c r="G111" s="19">
        <f t="shared" si="4"/>
        <v>4983184747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005012200099820000KD</v>
      </c>
      <c r="B114" s="11" t="str">
        <f>P6</f>
        <v>PN. Tabanan</v>
      </c>
      <c r="C114" s="12" t="str">
        <f>A114&amp;" "&amp;B114</f>
        <v>005012200099820000KD PN. Tabanan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0</v>
      </c>
      <c r="E117" s="25">
        <f>SUMIFS('Daftar Koreksi'!$H$5:$H$92,'Daftar Koreksi'!$D$5:$D$92,'2200'!A114,'Daftar Koreksi'!$G$5:$G$92,"Persediaan",'Daftar Koreksi'!$H$5:$H$92,"&gt;0")</f>
        <v>0</v>
      </c>
      <c r="F117" s="25">
        <f>SUMIFS('Daftar Koreksi'!$H$5:$H$92,'Daftar Koreksi'!$D$5:$D$92,'2200'!A114,'Daftar Koreksi'!$G$5:$G$92,"Persediaan",'Daftar Koreksi'!$H$5:$H$92,"&lt;0")-SUMIFS('Daftar Koreksi'!$H$5:$H$92,'Daftar Koreksi'!$D$5:$D$92,'2200'!A114,'Daftar Koreksi'!$G$5:$G$92,"Persediaan",'Daftar Koreksi'!$H$5:$H$92,"&lt;0")-SUMIFS('Daftar Koreksi'!$H$5:$H$92,'Daftar Koreksi'!$D$5:$D$92,'2200'!A114,'Daftar Koreksi'!$G$5:$G$92,"Persediaan",'Daftar Koreksi'!$H$5:$H$92,"&lt;0")</f>
        <v>0</v>
      </c>
      <c r="G117" s="17">
        <f>D117+E117-F117</f>
        <v>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2812525000</v>
      </c>
      <c r="E118" s="25">
        <f>SUMIFS('Daftar Koreksi'!$H$5:$H$92,'Daftar Koreksi'!$D$5:$D$92,'2200'!A114,'Daftar Koreksi'!$G$5:$G$92,"Tanah",'Daftar Koreksi'!$H$5:$H$92,"&gt;0")</f>
        <v>0</v>
      </c>
      <c r="F118" s="25">
        <f>SUMIFS('Daftar Koreksi'!$H$5:$H$92,'Daftar Koreksi'!$D$5:$D$92,'2200'!A114,'Daftar Koreksi'!$G$5:$G$92,"Tanah",'Daftar Koreksi'!$H$5:$H$92,"&lt;0")-SUMIFS('Daftar Koreksi'!$H$5:$H$92,'Daftar Koreksi'!$D$5:$D$92,'2200'!A114,'Daftar Koreksi'!$G$5:$G$92,"Tanah",'Daftar Koreksi'!$H$5:$H$92,"&lt;0")-SUMIFS('Daftar Koreksi'!$H$5:$H$92,'Daftar Koreksi'!$D$5:$D$92,'2200'!A114,'Daftar Koreksi'!$G$5:$G$92,"Tanah",'Daftar Koreksi'!$H$5:$H$92,"&lt;0")</f>
        <v>0</v>
      </c>
      <c r="G118" s="17">
        <f t="shared" ref="G118:G134" si="5">D118+E118-F118</f>
        <v>2812525000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1981238947</v>
      </c>
      <c r="E119" s="25">
        <f>SUMIFS('Daftar Koreksi'!$H$5:$H$92,'Daftar Koreksi'!$D$5:$D$92,'2200'!A114,'Daftar Koreksi'!$G$5:$G$92,"Peralatan dan mesin",'Daftar Koreksi'!$H$5:$H$92,"&gt;0")</f>
        <v>0</v>
      </c>
      <c r="F119" s="25">
        <f>SUMIFS('Daftar Koreksi'!$H$5:$H$92,'Daftar Koreksi'!$D$5:$D$92,'2200'!A114,'Daftar Koreksi'!$G$5:$G$92,"Peralatan dan mesin",'Daftar Koreksi'!$H$5:$H$92,"&lt;0")-SUMIFS('Daftar Koreksi'!$H$5:$H$92,'Daftar Koreksi'!$D$5:$D$92,'2200'!A114,'Daftar Koreksi'!$G$5:$G$92,"Peralatan dan mesin",'Daftar Koreksi'!$H$5:$H$92,"&lt;0")-SUMIFS('Daftar Koreksi'!$H$5:$H$92,'Daftar Koreksi'!$D$5:$D$92,'2200'!A114,'Daftar Koreksi'!$G$5:$G$92,"Peralatan dan mesin",'Daftar Koreksi'!$H$5:$H$92,"&lt;0")</f>
        <v>0</v>
      </c>
      <c r="G119" s="17">
        <f t="shared" si="5"/>
        <v>1981238947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3333914549</v>
      </c>
      <c r="E120" s="25">
        <f>SUMIFS('Daftar Koreksi'!$H$5:$H$92,'Daftar Koreksi'!$D$5:$D$92,'2200'!A114,'Daftar Koreksi'!$G$5:$G$92,"Gedung dan Bangunan",'Daftar Koreksi'!$H$5:$H$92,"&gt;0")</f>
        <v>0</v>
      </c>
      <c r="F120" s="25">
        <f>SUMIFS('Daftar Koreksi'!$H$5:$H$92,'Daftar Koreksi'!$D$5:$D$92,'2200'!A114,'Daftar Koreksi'!$G$5:$G$92,"Gedung dan Bangunan",'Daftar Koreksi'!$H$5:$H$92,"&lt;0")-SUMIFS('Daftar Koreksi'!$H$5:$H$92,'Daftar Koreksi'!$D$5:$D$92,'2200'!A114,'Daftar Koreksi'!$G$5:$G$92,"Gedung dan Bangunan",'Daftar Koreksi'!$H$5:$H$92,"&lt;0")-SUMIFS('Daftar Koreksi'!$H$5:$H$92,'Daftar Koreksi'!$D$5:$D$92,'2200'!A114,'Daftar Koreksi'!$G$5:$G$92,"Gedung dan Bangunan",'Daftar Koreksi'!$H$5:$H$92,"&lt;0")</f>
        <v>0</v>
      </c>
      <c r="G120" s="17">
        <f t="shared" si="5"/>
        <v>3333914549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Koreksi'!$D$5:$D$92,'2200'!A114,'Daftar Koreksi'!$G$5:$G$92,"Jalan Irigasi Jaringan",'Daftar Koreksi'!$H$5:$H$92,"&gt;0")</f>
        <v>0</v>
      </c>
      <c r="F121" s="25">
        <f>SUMIFS('Daftar Koreksi'!$H$5:$H$92,'Daftar Koreksi'!$D$5:$D$92,'2200'!A114,'Daftar Koreksi'!$G$5:$G$92,"Jalan Irigasi Jaringan",'Daftar Koreksi'!$H$5:$H$92,"&lt;0")-SUMIFS('Daftar Koreksi'!$H$5:$H$92,'Daftar Koreksi'!$D$5:$D$92,'2200'!A114,'Daftar Koreksi'!$G$5:$G$92,"Jalan Irigasi Jaringan",'Daftar Koreksi'!$H$5:$H$92,"&lt;0")-SUMIFS('Daftar Koreksi'!$H$5:$H$92,'Daftar Koreksi'!$D$5:$D$92,'2200'!A114,'Daftar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64311218</v>
      </c>
      <c r="E122" s="25">
        <f>SUMIFS('Daftar Koreksi'!$H$5:$H$92,'Daftar Koreksi'!$D$5:$D$92,'2200'!A114,'Daftar Koreksi'!$G$5:$G$92,"Aset Tetap Lainnya",'Daftar Koreksi'!$H$5:$H$92,"&gt;0")</f>
        <v>0</v>
      </c>
      <c r="F122" s="25">
        <f>SUMIFS('Daftar Koreksi'!$H$5:$H$92,'Daftar Koreksi'!$D$5:$D$92,'2200'!A114,'Daftar Koreksi'!$G$5:$G$92,"Aset Tetap Lainnya",'Daftar Koreksi'!$H$5:$H$92,"&lt;0")-SUMIFS('Daftar Koreksi'!$H$5:$H$92,'Daftar Koreksi'!$D$5:$D$92,'2200'!A114,'Daftar Koreksi'!$G$5:$G$92,"Aset Tetap Lainnya",'Daftar Koreksi'!$H$5:$H$92,"&lt;0")-SUMIFS('Daftar Koreksi'!$H$5:$H$92,'Daftar Koreksi'!$D$5:$D$92,'2200'!A114,'Daftar Koreksi'!$G$5:$G$92,"Aset Tetap Lainnya",'Daftar Koreksi'!$H$5:$H$92,"&lt;0")</f>
        <v>0</v>
      </c>
      <c r="G122" s="17">
        <f t="shared" si="5"/>
        <v>64311218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Koreksi'!$D$5:$D$92,'2200'!A114,'Daftar Koreksi'!$G$5:$G$92,"Kontruksi Dalam Pengerjaan",'Daftar Koreksi'!$H$5:$H$92,"&gt;0")</f>
        <v>0</v>
      </c>
      <c r="F123" s="25">
        <f>SUMIFS('Daftar Koreksi'!$H$5:$H$92,'Daftar Koreksi'!$D$5:$D$92,'2200'!A114,'Daftar Koreksi'!$G$5:$G$92,"Kontruksi Dalam Pengerjaan",'Daftar Koreksi'!$H$5:$H$92,"&lt;0")-SUMIFS('Daftar Koreksi'!$H$5:$H$92,'Daftar Koreksi'!$D$5:$D$92,'2200'!A114,'Daftar Koreksi'!$G$5:$G$92,"Kontruksi Dalam Pengerjaan",'Daftar Koreksi'!$H$5:$H$92,"&lt;0")-SUMIFS('Daftar Koreksi'!$H$5:$H$92,'Daftar Koreksi'!$D$5:$D$92,'2200'!A114,'Daftar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Koreksi'!$D$5:$D$92,'2200'!A114,'Daftar Koreksi'!$G$5:$G$92,"Aset Tak Berwujud",'Daftar Koreksi'!$H$5:$H$92,"&gt;0")</f>
        <v>0</v>
      </c>
      <c r="F124" s="25">
        <f>SUMIFS('Daftar Koreksi'!$H$5:$H$92,'Daftar Koreksi'!$D$5:$D$92,'2200'!A114,'Daftar Koreksi'!$G$5:$G$92,"Aset Tak Berwujud",'Daftar Koreksi'!$H$5:$H$92,"&lt;0")-SUMIFS('Daftar Koreksi'!$H$5:$H$92,'Daftar Koreksi'!$D$5:$D$92,'2200'!A114,'Daftar Koreksi'!$G$5:$G$92,"Aset Tak Berwujud",'Daftar Koreksi'!$H$5:$H$92,"&lt;0")-SUMIFS('Daftar Koreksi'!$H$5:$H$92,'Daftar Koreksi'!$D$5:$D$92,'2200'!A114,'Daftar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18775000</v>
      </c>
      <c r="E125" s="25">
        <f>SUMIFS('Daftar Koreksi'!$H$5:$H$92,'Daftar Koreksi'!$D$5:$D$92,'2200'!A114,'Daftar Koreksi'!$G$5:$G$92,"Aset Henti Guna",'Daftar Koreksi'!$H$5:$H$92,"&gt;0")</f>
        <v>0</v>
      </c>
      <c r="F125" s="25">
        <f>SUMIFS('Daftar Koreksi'!$H$5:$H$92,'Daftar Koreksi'!$D$5:$D$92,'2200'!A114,'Daftar Koreksi'!$G$5:$G$92,"Aset Henti Guna",'Daftar Koreksi'!$H$5:$H$92,"&lt;0")-SUMIFS('Daftar Koreksi'!$H$5:$H$92,'Daftar Koreksi'!$D$5:$D$92,'2200'!A114,'Daftar Koreksi'!$G$5:$G$92,"Aset Henti Guna",'Daftar Koreksi'!$H$5:$H$92,"&lt;0")-SUMIFS('Daftar Koreksi'!$H$5:$H$92,'Daftar Koreksi'!$D$5:$D$92,'2200'!A114,'Daftar Koreksi'!$G$5:$G$92,"Aset Henti Guna",'Daftar Koreksi'!$H$5:$H$92,"&lt;0")</f>
        <v>0</v>
      </c>
      <c r="G125" s="17">
        <f t="shared" si="5"/>
        <v>18775000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8210764714</v>
      </c>
      <c r="E126" s="19">
        <f>SUM(E117:E125)</f>
        <v>0</v>
      </c>
      <c r="F126" s="19">
        <f>SUM(F117:F125)</f>
        <v>0</v>
      </c>
      <c r="G126" s="19">
        <f t="shared" si="5"/>
        <v>8210764714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-1437442220</v>
      </c>
      <c r="E127" s="25">
        <f>SUMIFS('Daftar Koreksi'!$I$5:$I$92,'Daftar Koreksi'!$D$5:$D$92,'2200'!A114,'Daftar Koreksi'!$G$5:$G$92,"Peralatan dan mesin",'Daftar Koreksi'!$I$5:$I$92,"&gt;0")</f>
        <v>0</v>
      </c>
      <c r="F127" s="25">
        <f>SUMIFS('Daftar Koreksi'!$I$5:$I$92,'Daftar Koreksi'!$D$5:$D$92,'2200'!A114,'Daftar Koreksi'!$G$5:$G$92,"Peralatan dan mesin",'Daftar Koreksi'!$I$5:$I$92,"&lt;0")-SUMIFS('Daftar Koreksi'!$I$5:$I$92,'Daftar Koreksi'!$D$5:$D$92,'2200'!A114,'Daftar Koreksi'!$G$5:$G$92,"Peralatan dan mesin",'Daftar Koreksi'!$I$5:$I$92,"&lt;0")-SUMIFS('Daftar Koreksi'!$I$5:$I$92,'Daftar Koreksi'!$D$5:$D$92,'2200'!A114,'Daftar Koreksi'!$G$5:$G$92,"Peralatan dan mesin",'Daftar Koreksi'!$I$5:$I$92,"&lt;0")</f>
        <v>0</v>
      </c>
      <c r="G127" s="17">
        <f t="shared" si="5"/>
        <v>-1437442220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-860295465</v>
      </c>
      <c r="E128" s="25">
        <f>SUMIFS('Daftar Koreksi'!$I$5:$I$92,'Daftar Koreksi'!$D$5:$D$92,'2200'!A114,'Daftar Koreksi'!$G$5:$G$92,"Gedung dan Bangunan",'Daftar Koreksi'!$I$5:$I$92,"&gt;0")</f>
        <v>0</v>
      </c>
      <c r="F128" s="25">
        <f>SUMIFS('Daftar Koreksi'!$I$5:$I$92,'Daftar Koreksi'!$D$5:$D$92,'2200'!A114,'Daftar Koreksi'!$G$5:$G$92,"Gedung dan Bangunan",'Daftar Koreksi'!$I$5:$I$92,"&lt;0")-SUMIFS('Daftar Koreksi'!$I$5:$I$92,'Daftar Koreksi'!$D$5:$D$92,'2200'!A114,'Daftar Koreksi'!$G$5:$G$92,"Gedung dan Bangunan",'Daftar Koreksi'!$I$5:$I$92,"&lt;0")-SUMIFS('Daftar Koreksi'!$I$5:$I$92,'Daftar Koreksi'!$D$5:$D$92,'2200'!A114,'Daftar Koreksi'!$G$5:$G$92,"Gedung dan Bangunan",'Daftar Koreksi'!$I$5:$I$92,"&lt;0")</f>
        <v>0</v>
      </c>
      <c r="G128" s="17">
        <f t="shared" si="5"/>
        <v>-860295465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Koreksi'!$D$5:$D$92,'2200'!A114,'Daftar Koreksi'!$G$5:$G$92,"Jalan Irigasi Jaringan",'Daftar Koreksi'!$I$5:$I$92,"&gt;0")</f>
        <v>0</v>
      </c>
      <c r="F129" s="25">
        <f>SUMIFS('Daftar Koreksi'!$I$5:$I$92,'Daftar Koreksi'!$D$5:$D$92,'2200'!A114,'Daftar Koreksi'!$G$5:$G$92,"Jalan Irigasi Jaringan",'Daftar Koreksi'!$I$5:$I$92,"&lt;0")-SUMIFS('Daftar Koreksi'!$I$5:$I$92,'Daftar Koreksi'!$D$5:$D$92,'2200'!A114,'Daftar Koreksi'!$G$5:$G$92,"Jalan Irigasi Jaringan",'Daftar Koreksi'!$I$5:$I$92,"&lt;0")-SUMIFS('Daftar Koreksi'!$I$5:$I$92,'Daftar Koreksi'!$D$5:$D$92,'2200'!A114,'Daftar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Koreksi'!$D$5:$D$92,'2200'!A114,'Daftar Koreksi'!$G$5:$G$92,"Aset Tetap Lainnya",'Daftar Koreksi'!$I$5:$I$92,"&gt;0")</f>
        <v>0</v>
      </c>
      <c r="F130" s="25">
        <f>SUMIFS('Daftar Koreksi'!$I$5:$I$92,'Daftar Koreksi'!$D$5:$D$92,'2200'!A114,'Daftar Koreksi'!$G$5:$G$92,"Aset Tetap Lainnya",'Daftar Koreksi'!$I$5:$I$92,"&lt;0")-SUMIFS('Daftar Koreksi'!$I$5:$I$92,'Daftar Koreksi'!$D$5:$D$92,'2200'!A114,'Daftar Koreksi'!$G$5:$G$92,"Aset Tetap Lainnya",'Daftar Koreksi'!$I$5:$I$92,"&lt;0")-SUMIFS('Daftar Koreksi'!$I$5:$I$92,'Daftar Koreksi'!$D$5:$D$92,'2200'!A114,'Daftar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-18775000</v>
      </c>
      <c r="E131" s="25">
        <f>SUMIFS('Daftar Koreksi'!$I$5:$I$92,'Daftar Koreksi'!$D$5:$D$92,'2200'!A114,'Daftar Koreksi'!$G$5:$G$92,"Aset Henti Guna",'Daftar Koreksi'!$I$5:$I$92,"&gt;0")</f>
        <v>0</v>
      </c>
      <c r="F131" s="25">
        <f>SUMIFS('Daftar Koreksi'!$I$5:$I$92,'Daftar Koreksi'!$D$5:$D$92,'2200'!A114,'Daftar Koreksi'!$G$5:$G$92,"Aset Henti Guna",'Daftar Koreksi'!$I$5:$I$92,"&lt;0")-SUMIFS('Daftar Koreksi'!$I$5:$I$92,'Daftar Koreksi'!$D$5:$D$92,'2200'!A114,'Daftar Koreksi'!$G$5:$G$92,"Aset Henti Guna",'Daftar Koreksi'!$I$5:$I$92,"&lt;0")-SUMIFS('Daftar Koreksi'!$I$5:$I$92,'Daftar Koreksi'!$D$5:$D$92,'2200'!A114,'Daftar Koreksi'!$G$5:$G$92,"Aset Henti Guna",'Daftar Koreksi'!$I$5:$I$92,"&lt;0")</f>
        <v>0</v>
      </c>
      <c r="G131" s="17">
        <f t="shared" si="5"/>
        <v>-18775000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-2316512685</v>
      </c>
      <c r="E132" s="19">
        <f>SUM(E127:E131)</f>
        <v>0</v>
      </c>
      <c r="F132" s="19">
        <f>SUM(F127:F131)</f>
        <v>0</v>
      </c>
      <c r="G132" s="19">
        <f t="shared" si="5"/>
        <v>-2316512685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5894252029</v>
      </c>
      <c r="E133" s="19">
        <f>E132+E126</f>
        <v>0</v>
      </c>
      <c r="F133" s="19">
        <f>F132+F126</f>
        <v>0</v>
      </c>
      <c r="G133" s="19">
        <f t="shared" si="5"/>
        <v>5894252029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005012200099837000KD</v>
      </c>
      <c r="B136" s="11" t="str">
        <f>P7</f>
        <v>PN. Karangasem</v>
      </c>
      <c r="C136" s="12" t="str">
        <f>A136&amp;" "&amp;B136</f>
        <v>005012200099837000KD PN. Karangasem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913060</v>
      </c>
      <c r="E139" s="25">
        <f>SUMIFS('Daftar Koreksi'!$H$5:$H$92,'Daftar Koreksi'!$D$5:$D$92,'2200'!A136,'Daftar Koreksi'!$G$5:$G$92,"Persediaan",'Daftar Koreksi'!$H$5:$H$92,"&gt;0")</f>
        <v>0</v>
      </c>
      <c r="F139" s="25">
        <f>SUMIFS('Daftar Koreksi'!$H$5:$H$92,'Daftar Koreksi'!$D$5:$D$92,'2200'!A136,'Daftar Koreksi'!$G$5:$G$92,"Persediaan",'Daftar Koreksi'!$H$5:$H$92,"&lt;0")-SUMIFS('Daftar Koreksi'!$H$5:$H$92,'Daftar Koreksi'!$D$5:$D$92,'2200'!A136,'Daftar Koreksi'!$G$5:$G$92,"Persediaan",'Daftar Koreksi'!$H$5:$H$92,"&lt;0")-SUMIFS('Daftar Koreksi'!$H$5:$H$92,'Daftar Koreksi'!$D$5:$D$92,'2200'!A136,'Daftar Koreksi'!$G$5:$G$92,"Persediaan",'Daftar Koreksi'!$H$5:$H$92,"&lt;0")</f>
        <v>0</v>
      </c>
      <c r="G139" s="17">
        <f>D139+E139-F139</f>
        <v>913060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1689320000</v>
      </c>
      <c r="E140" s="25">
        <f>SUMIFS('Daftar Koreksi'!$H$5:$H$92,'Daftar Koreksi'!$D$5:$D$92,'2200'!A136,'Daftar Koreksi'!$G$5:$G$92,"Tanah",'Daftar Koreksi'!$H$5:$H$92,"&gt;0")</f>
        <v>0</v>
      </c>
      <c r="F140" s="25">
        <f>SUMIFS('Daftar Koreksi'!$H$5:$H$92,'Daftar Koreksi'!$D$5:$D$92,'2200'!A136,'Daftar Koreksi'!$G$5:$G$92,"Tanah",'Daftar Koreksi'!$H$5:$H$92,"&lt;0")-SUMIFS('Daftar Koreksi'!$H$5:$H$92,'Daftar Koreksi'!$D$5:$D$92,'2200'!A136,'Daftar Koreksi'!$G$5:$G$92,"Tanah",'Daftar Koreksi'!$H$5:$H$92,"&lt;0")-SUMIFS('Daftar Koreksi'!$H$5:$H$92,'Daftar Koreksi'!$D$5:$D$92,'2200'!A136,'Daftar Koreksi'!$G$5:$G$92,"Tanah",'Daftar Koreksi'!$H$5:$H$92,"&lt;0")</f>
        <v>0</v>
      </c>
      <c r="G140" s="17">
        <f t="shared" ref="G140:G156" si="6">D140+E140-F140</f>
        <v>1689320000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1639936050</v>
      </c>
      <c r="E141" s="25">
        <f>SUMIFS('Daftar Koreksi'!$H$5:$H$92,'Daftar Koreksi'!$D$5:$D$92,'2200'!A136,'Daftar Koreksi'!$G$5:$G$92,"Peralatan dan mesin",'Daftar Koreksi'!$H$5:$H$92,"&gt;0")</f>
        <v>0</v>
      </c>
      <c r="F141" s="25">
        <f>SUMIFS('Daftar Koreksi'!$H$5:$H$92,'Daftar Koreksi'!$D$5:$D$92,'2200'!A136,'Daftar Koreksi'!$G$5:$G$92,"Peralatan dan mesin",'Daftar Koreksi'!$H$5:$H$92,"&lt;0")-SUMIFS('Daftar Koreksi'!$H$5:$H$92,'Daftar Koreksi'!$D$5:$D$92,'2200'!A136,'Daftar Koreksi'!$G$5:$G$92,"Peralatan dan mesin",'Daftar Koreksi'!$H$5:$H$92,"&lt;0")-SUMIFS('Daftar Koreksi'!$H$5:$H$92,'Daftar Koreksi'!$D$5:$D$92,'2200'!A136,'Daftar Koreksi'!$G$5:$G$92,"Peralatan dan mesin",'Daftar Koreksi'!$H$5:$H$92,"&lt;0")</f>
        <v>0</v>
      </c>
      <c r="G141" s="17">
        <f t="shared" si="6"/>
        <v>1639936050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2472749000</v>
      </c>
      <c r="E142" s="25">
        <f>SUMIFS('Daftar Koreksi'!$H$5:$H$92,'Daftar Koreksi'!$D$5:$D$92,'2200'!A136,'Daftar Koreksi'!$G$5:$G$92,"Gedung dan Bangunan",'Daftar Koreksi'!$H$5:$H$92,"&gt;0")</f>
        <v>0</v>
      </c>
      <c r="F142" s="25">
        <f>SUMIFS('Daftar Koreksi'!$H$5:$H$92,'Daftar Koreksi'!$D$5:$D$92,'2200'!A136,'Daftar Koreksi'!$G$5:$G$92,"Gedung dan Bangunan",'Daftar Koreksi'!$H$5:$H$92,"&lt;0")-SUMIFS('Daftar Koreksi'!$H$5:$H$92,'Daftar Koreksi'!$D$5:$D$92,'2200'!A136,'Daftar Koreksi'!$G$5:$G$92,"Gedung dan Bangunan",'Daftar Koreksi'!$H$5:$H$92,"&lt;0")-SUMIFS('Daftar Koreksi'!$H$5:$H$92,'Daftar Koreksi'!$D$5:$D$92,'2200'!A136,'Daftar Koreksi'!$G$5:$G$92,"Gedung dan Bangunan",'Daftar Koreksi'!$H$5:$H$92,"&lt;0")</f>
        <v>0</v>
      </c>
      <c r="G142" s="17">
        <f t="shared" si="6"/>
        <v>2472749000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72402000</v>
      </c>
      <c r="E143" s="25">
        <f>SUMIFS('Daftar Koreksi'!$H$5:$H$92,'Daftar Koreksi'!$D$5:$D$92,'2200'!A136,'Daftar Koreksi'!$G$5:$G$92,"Jalan Irigasi Jaringan",'Daftar Koreksi'!$H$5:$H$92,"&gt;0")</f>
        <v>0</v>
      </c>
      <c r="F143" s="25">
        <f>SUMIFS('Daftar Koreksi'!$H$5:$H$92,'Daftar Koreksi'!$D$5:$D$92,'2200'!A136,'Daftar Koreksi'!$G$5:$G$92,"Jalan Irigasi Jaringan",'Daftar Koreksi'!$H$5:$H$92,"&lt;0")-SUMIFS('Daftar Koreksi'!$H$5:$H$92,'Daftar Koreksi'!$D$5:$D$92,'2200'!A136,'Daftar Koreksi'!$G$5:$G$92,"Jalan Irigasi Jaringan",'Daftar Koreksi'!$H$5:$H$92,"&lt;0")-SUMIFS('Daftar Koreksi'!$H$5:$H$92,'Daftar Koreksi'!$D$5:$D$92,'2200'!A136,'Daftar Koreksi'!$G$5:$G$92,"Jalan Irigasi Jaringan",'Daftar Koreksi'!$H$5:$H$92,"&lt;0")</f>
        <v>0</v>
      </c>
      <c r="G143" s="17">
        <f t="shared" si="6"/>
        <v>72402000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12213218</v>
      </c>
      <c r="E144" s="25">
        <f>SUMIFS('Daftar Koreksi'!$H$5:$H$92,'Daftar Koreksi'!$D$5:$D$92,'2200'!A136,'Daftar Koreksi'!$G$5:$G$92,"Aset Tetap Lainnya",'Daftar Koreksi'!$H$5:$H$92,"&gt;0")</f>
        <v>0</v>
      </c>
      <c r="F144" s="25">
        <f>SUMIFS('Daftar Koreksi'!$H$5:$H$92,'Daftar Koreksi'!$D$5:$D$92,'2200'!A136,'Daftar Koreksi'!$G$5:$G$92,"Aset Tetap Lainnya",'Daftar Koreksi'!$H$5:$H$92,"&lt;0")-SUMIFS('Daftar Koreksi'!$H$5:$H$92,'Daftar Koreksi'!$D$5:$D$92,'2200'!A136,'Daftar Koreksi'!$G$5:$G$92,"Aset Tetap Lainnya",'Daftar Koreksi'!$H$5:$H$92,"&lt;0")-SUMIFS('Daftar Koreksi'!$H$5:$H$92,'Daftar Koreksi'!$D$5:$D$92,'2200'!A136,'Daftar Koreksi'!$G$5:$G$92,"Aset Tetap Lainnya",'Daftar Koreksi'!$H$5:$H$92,"&lt;0")</f>
        <v>0</v>
      </c>
      <c r="G144" s="17">
        <f t="shared" si="6"/>
        <v>12213218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Koreksi'!$D$5:$D$92,'2200'!A136,'Daftar Koreksi'!$G$5:$G$92,"Kontruksi Dalam Pengerjaan",'Daftar Koreksi'!$H$5:$H$92,"&gt;0")</f>
        <v>0</v>
      </c>
      <c r="F145" s="25">
        <f>SUMIFS('Daftar Koreksi'!$H$5:$H$92,'Daftar Koreksi'!$D$5:$D$92,'2200'!A136,'Daftar Koreksi'!$G$5:$G$92,"Kontruksi Dalam Pengerjaan",'Daftar Koreksi'!$H$5:$H$92,"&lt;0")-SUMIFS('Daftar Koreksi'!$H$5:$H$92,'Daftar Koreksi'!$D$5:$D$92,'2200'!A136,'Daftar Koreksi'!$G$5:$G$92,"Kontruksi Dalam Pengerjaan",'Daftar Koreksi'!$H$5:$H$92,"&lt;0")-SUMIFS('Daftar Koreksi'!$H$5:$H$92,'Daftar Koreksi'!$D$5:$D$92,'2200'!A136,'Daftar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Koreksi'!$D$5:$D$92,'2200'!A136,'Daftar Koreksi'!$G$5:$G$92,"Aset Tak Berwujud",'Daftar Koreksi'!$H$5:$H$92,"&gt;0")</f>
        <v>0</v>
      </c>
      <c r="F146" s="25">
        <f>SUMIFS('Daftar Koreksi'!$H$5:$H$92,'Daftar Koreksi'!$D$5:$D$92,'2200'!A136,'Daftar Koreksi'!$G$5:$G$92,"Aset Tak Berwujud",'Daftar Koreksi'!$H$5:$H$92,"&lt;0")-SUMIFS('Daftar Koreksi'!$H$5:$H$92,'Daftar Koreksi'!$D$5:$D$92,'2200'!A136,'Daftar Koreksi'!$G$5:$G$92,"Aset Tak Berwujud",'Daftar Koreksi'!$H$5:$H$92,"&lt;0")-SUMIFS('Daftar Koreksi'!$H$5:$H$92,'Daftar Koreksi'!$D$5:$D$92,'2200'!A136,'Daftar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3752600</v>
      </c>
      <c r="E147" s="25">
        <f>SUMIFS('Daftar Koreksi'!$H$5:$H$92,'Daftar Koreksi'!$D$5:$D$92,'2200'!A136,'Daftar Koreksi'!$G$5:$G$92,"Aset Henti Guna",'Daftar Koreksi'!$H$5:$H$92,"&gt;0")</f>
        <v>0</v>
      </c>
      <c r="F147" s="25">
        <f>SUMIFS('Daftar Koreksi'!$H$5:$H$92,'Daftar Koreksi'!$D$5:$D$92,'2200'!A136,'Daftar Koreksi'!$G$5:$G$92,"Aset Henti Guna",'Daftar Koreksi'!$H$5:$H$92,"&lt;0")-SUMIFS('Daftar Koreksi'!$H$5:$H$92,'Daftar Koreksi'!$D$5:$D$92,'2200'!A136,'Daftar Koreksi'!$G$5:$G$92,"Aset Henti Guna",'Daftar Koreksi'!$H$5:$H$92,"&lt;0")-SUMIFS('Daftar Koreksi'!$H$5:$H$92,'Daftar Koreksi'!$D$5:$D$92,'2200'!A136,'Daftar Koreksi'!$G$5:$G$92,"Aset Henti Guna",'Daftar Koreksi'!$H$5:$H$92,"&lt;0")</f>
        <v>0</v>
      </c>
      <c r="G147" s="17">
        <f t="shared" si="6"/>
        <v>3752600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5891285928</v>
      </c>
      <c r="E148" s="19">
        <f>SUM(E139:E147)</f>
        <v>0</v>
      </c>
      <c r="F148" s="19">
        <f>SUM(F139:F147)</f>
        <v>0</v>
      </c>
      <c r="G148" s="19">
        <f t="shared" si="6"/>
        <v>5891285928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-1440071066</v>
      </c>
      <c r="E149" s="25">
        <f>SUMIFS('Daftar Koreksi'!$I$5:$I$92,'Daftar Koreksi'!$D$5:$D$92,'2200'!A136,'Daftar Koreksi'!$G$5:$G$92,"Peralatan dan mesin",'Daftar Koreksi'!$I$5:$I$92,"&gt;0")</f>
        <v>0</v>
      </c>
      <c r="F149" s="25">
        <f>SUMIFS('Daftar Koreksi'!$I$5:$I$92,'Daftar Koreksi'!$D$5:$D$92,'2200'!A136,'Daftar Koreksi'!$G$5:$G$92,"Peralatan dan mesin",'Daftar Koreksi'!$I$5:$I$92,"&lt;0")-SUMIFS('Daftar Koreksi'!$I$5:$I$92,'Daftar Koreksi'!$D$5:$D$92,'2200'!A136,'Daftar Koreksi'!$G$5:$G$92,"Peralatan dan mesin",'Daftar Koreksi'!$I$5:$I$92,"&lt;0")-SUMIFS('Daftar Koreksi'!$I$5:$I$92,'Daftar Koreksi'!$D$5:$D$92,'2200'!A136,'Daftar Koreksi'!$G$5:$G$92,"Peralatan dan mesin",'Daftar Koreksi'!$I$5:$I$92,"&lt;0")</f>
        <v>0</v>
      </c>
      <c r="G149" s="17">
        <f t="shared" si="6"/>
        <v>-1440071066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-671887107</v>
      </c>
      <c r="E150" s="25">
        <f>SUMIFS('Daftar Koreksi'!$I$5:$I$92,'Daftar Koreksi'!$D$5:$D$92,'2200'!A136,'Daftar Koreksi'!$G$5:$G$92,"Gedung dan Bangunan",'Daftar Koreksi'!$I$5:$I$92,"&gt;0")</f>
        <v>0</v>
      </c>
      <c r="F150" s="25">
        <f>SUMIFS('Daftar Koreksi'!$I$5:$I$92,'Daftar Koreksi'!$D$5:$D$92,'2200'!A136,'Daftar Koreksi'!$G$5:$G$92,"Gedung dan Bangunan",'Daftar Koreksi'!$I$5:$I$92,"&lt;0")-SUMIFS('Daftar Koreksi'!$I$5:$I$92,'Daftar Koreksi'!$D$5:$D$92,'2200'!A136,'Daftar Koreksi'!$G$5:$G$92,"Gedung dan Bangunan",'Daftar Koreksi'!$I$5:$I$92,"&lt;0")-SUMIFS('Daftar Koreksi'!$I$5:$I$92,'Daftar Koreksi'!$D$5:$D$92,'2200'!A136,'Daftar Koreksi'!$G$5:$G$92,"Gedung dan Bangunan",'Daftar Koreksi'!$I$5:$I$92,"&lt;0")</f>
        <v>0</v>
      </c>
      <c r="G150" s="17">
        <f t="shared" si="6"/>
        <v>-671887107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-7205275</v>
      </c>
      <c r="E151" s="25">
        <f>SUMIFS('Daftar Koreksi'!$I$5:$I$92,'Daftar Koreksi'!$D$5:$D$92,'2200'!A136,'Daftar Koreksi'!$G$5:$G$92,"Jalan Irigasi Jaringan",'Daftar Koreksi'!$I$5:$I$92,"&gt;0")</f>
        <v>0</v>
      </c>
      <c r="F151" s="25">
        <f>SUMIFS('Daftar Koreksi'!$I$5:$I$92,'Daftar Koreksi'!$D$5:$D$92,'2200'!A136,'Daftar Koreksi'!$G$5:$G$92,"Jalan Irigasi Jaringan",'Daftar Koreksi'!$I$5:$I$92,"&lt;0")-SUMIFS('Daftar Koreksi'!$I$5:$I$92,'Daftar Koreksi'!$D$5:$D$92,'2200'!A136,'Daftar Koreksi'!$G$5:$G$92,"Jalan Irigasi Jaringan",'Daftar Koreksi'!$I$5:$I$92,"&lt;0")-SUMIFS('Daftar Koreksi'!$I$5:$I$92,'Daftar Koreksi'!$D$5:$D$92,'2200'!A136,'Daftar Koreksi'!$G$5:$G$92,"Jalan Irigasi Jaringan",'Daftar Koreksi'!$I$5:$I$92,"&lt;0")</f>
        <v>0</v>
      </c>
      <c r="G151" s="17">
        <f t="shared" si="6"/>
        <v>-7205275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Koreksi'!$D$5:$D$92,'2200'!A136,'Daftar Koreksi'!$G$5:$G$92,"Aset Tetap Lainnya",'Daftar Koreksi'!$I$5:$I$92,"&gt;0")</f>
        <v>0</v>
      </c>
      <c r="F152" s="25">
        <f>SUMIFS('Daftar Koreksi'!$I$5:$I$92,'Daftar Koreksi'!$D$5:$D$92,'2200'!A136,'Daftar Koreksi'!$G$5:$G$92,"Aset Tetap Lainnya",'Daftar Koreksi'!$I$5:$I$92,"&lt;0")-SUMIFS('Daftar Koreksi'!$I$5:$I$92,'Daftar Koreksi'!$D$5:$D$92,'2200'!A136,'Daftar Koreksi'!$G$5:$G$92,"Aset Tetap Lainnya",'Daftar Koreksi'!$I$5:$I$92,"&lt;0")-SUMIFS('Daftar Koreksi'!$I$5:$I$92,'Daftar Koreksi'!$D$5:$D$92,'2200'!A136,'Daftar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-3752600</v>
      </c>
      <c r="E153" s="25">
        <f>SUMIFS('Daftar Koreksi'!$I$5:$I$92,'Daftar Koreksi'!$D$5:$D$92,'2200'!A136,'Daftar Koreksi'!$G$5:$G$92,"Aset Henti Guna",'Daftar Koreksi'!$I$5:$I$92,"&gt;0")</f>
        <v>0</v>
      </c>
      <c r="F153" s="25">
        <f>SUMIFS('Daftar Koreksi'!$I$5:$I$92,'Daftar Koreksi'!$D$5:$D$92,'2200'!A136,'Daftar Koreksi'!$G$5:$G$92,"Aset Henti Guna",'Daftar Koreksi'!$I$5:$I$92,"&lt;0")-SUMIFS('Daftar Koreksi'!$I$5:$I$92,'Daftar Koreksi'!$D$5:$D$92,'2200'!A136,'Daftar Koreksi'!$G$5:$G$92,"Aset Henti Guna",'Daftar Koreksi'!$I$5:$I$92,"&lt;0")-SUMIFS('Daftar Koreksi'!$I$5:$I$92,'Daftar Koreksi'!$D$5:$D$92,'2200'!A136,'Daftar Koreksi'!$G$5:$G$92,"Aset Henti Guna",'Daftar Koreksi'!$I$5:$I$92,"&lt;0")</f>
        <v>0</v>
      </c>
      <c r="G153" s="17">
        <f t="shared" si="6"/>
        <v>-3752600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-2122916048</v>
      </c>
      <c r="E154" s="19">
        <f>SUM(E149:E153)</f>
        <v>0</v>
      </c>
      <c r="F154" s="19">
        <f>SUM(F149:F153)</f>
        <v>0</v>
      </c>
      <c r="G154" s="19">
        <f t="shared" si="6"/>
        <v>-2122916048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3768369880</v>
      </c>
      <c r="E155" s="19">
        <f>E154+E148</f>
        <v>0</v>
      </c>
      <c r="F155" s="19">
        <f>F154+F148</f>
        <v>0</v>
      </c>
      <c r="G155" s="19">
        <f t="shared" si="6"/>
        <v>3768369880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005012200099841000KD</v>
      </c>
      <c r="B158" s="11" t="str">
        <f>P8</f>
        <v>PN. Gianyar</v>
      </c>
      <c r="C158" s="12" t="str">
        <f>A158&amp;" "&amp;B158</f>
        <v>005012200099841000KD PN. Gianyar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1038500</v>
      </c>
      <c r="E161" s="25">
        <f>SUMIFS('Daftar Koreksi'!$H$5:$H$92,'Daftar Koreksi'!$D$5:$D$92,'2200'!A158,'Daftar Koreksi'!$G$5:$G$92,"Persediaan",'Daftar Koreksi'!$H$5:$H$92,"&gt;0")</f>
        <v>0</v>
      </c>
      <c r="F161" s="25">
        <f>SUMIFS('Daftar Koreksi'!$H$5:$H$92,'Daftar Koreksi'!$D$5:$D$92,'2200'!A158,'Daftar Koreksi'!$G$5:$G$92,"Persediaan",'Daftar Koreksi'!$H$5:$H$92,"&lt;0")-SUMIFS('Daftar Koreksi'!$H$5:$H$92,'Daftar Koreksi'!$D$5:$D$92,'2200'!A158,'Daftar Koreksi'!$G$5:$G$92,"Persediaan",'Daftar Koreksi'!$H$5:$H$92,"&lt;0")-SUMIFS('Daftar Koreksi'!$H$5:$H$92,'Daftar Koreksi'!$D$5:$D$92,'2200'!A158,'Daftar Koreksi'!$G$5:$G$92,"Persediaan",'Daftar Koreksi'!$H$5:$H$92,"&lt;0")</f>
        <v>0</v>
      </c>
      <c r="G161" s="17">
        <f>D161+E161-F161</f>
        <v>1038500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4239550000</v>
      </c>
      <c r="E162" s="25">
        <f>SUMIFS('Daftar Koreksi'!$H$5:$H$92,'Daftar Koreksi'!$D$5:$D$92,'2200'!A158,'Daftar Koreksi'!$G$5:$G$92,"Tanah",'Daftar Koreksi'!$H$5:$H$92,"&gt;0")</f>
        <v>0</v>
      </c>
      <c r="F162" s="25">
        <f>SUMIFS('Daftar Koreksi'!$H$5:$H$92,'Daftar Koreksi'!$D$5:$D$92,'2200'!A158,'Daftar Koreksi'!$G$5:$G$92,"Tanah",'Daftar Koreksi'!$H$5:$H$92,"&lt;0")-SUMIFS('Daftar Koreksi'!$H$5:$H$92,'Daftar Koreksi'!$D$5:$D$92,'2200'!A158,'Daftar Koreksi'!$G$5:$G$92,"Tanah",'Daftar Koreksi'!$H$5:$H$92,"&lt;0")-SUMIFS('Daftar Koreksi'!$H$5:$H$92,'Daftar Koreksi'!$D$5:$D$92,'2200'!A158,'Daftar Koreksi'!$G$5:$G$92,"Tanah",'Daftar Koreksi'!$H$5:$H$92,"&lt;0")</f>
        <v>0</v>
      </c>
      <c r="G162" s="17">
        <f t="shared" ref="G162:G178" si="7">D162+E162-F162</f>
        <v>4239550000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1762530428</v>
      </c>
      <c r="E163" s="25">
        <f>SUMIFS('Daftar Koreksi'!$H$5:$H$92,'Daftar Koreksi'!$D$5:$D$92,'2200'!A158,'Daftar Koreksi'!$G$5:$G$92,"Peralatan dan mesin",'Daftar Koreksi'!$H$5:$H$92,"&gt;0")</f>
        <v>0</v>
      </c>
      <c r="F163" s="25">
        <f>SUMIFS('Daftar Koreksi'!$H$5:$H$92,'Daftar Koreksi'!$D$5:$D$92,'2200'!A158,'Daftar Koreksi'!$G$5:$G$92,"Peralatan dan mesin",'Daftar Koreksi'!$H$5:$H$92,"&lt;0")-SUMIFS('Daftar Koreksi'!$H$5:$H$92,'Daftar Koreksi'!$D$5:$D$92,'2200'!A158,'Daftar Koreksi'!$G$5:$G$92,"Peralatan dan mesin",'Daftar Koreksi'!$H$5:$H$92,"&lt;0")-SUMIFS('Daftar Koreksi'!$H$5:$H$92,'Daftar Koreksi'!$D$5:$D$92,'2200'!A158,'Daftar Koreksi'!$G$5:$G$92,"Peralatan dan mesin",'Daftar Koreksi'!$H$5:$H$92,"&lt;0")</f>
        <v>0</v>
      </c>
      <c r="G163" s="17">
        <f t="shared" si="7"/>
        <v>1762530428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1745298750</v>
      </c>
      <c r="E164" s="25">
        <f>SUMIFS('Daftar Koreksi'!$H$5:$H$92,'Daftar Koreksi'!$D$5:$D$92,'2200'!A158,'Daftar Koreksi'!$G$5:$G$92,"Gedung dan Bangunan",'Daftar Koreksi'!$H$5:$H$92,"&gt;0")</f>
        <v>0</v>
      </c>
      <c r="F164" s="25">
        <f>SUMIFS('Daftar Koreksi'!$H$5:$H$92,'Daftar Koreksi'!$D$5:$D$92,'2200'!A158,'Daftar Koreksi'!$G$5:$G$92,"Gedung dan Bangunan",'Daftar Koreksi'!$H$5:$H$92,"&lt;0")-SUMIFS('Daftar Koreksi'!$H$5:$H$92,'Daftar Koreksi'!$D$5:$D$92,'2200'!A158,'Daftar Koreksi'!$G$5:$G$92,"Gedung dan Bangunan",'Daftar Koreksi'!$H$5:$H$92,"&lt;0")-SUMIFS('Daftar Koreksi'!$H$5:$H$92,'Daftar Koreksi'!$D$5:$D$92,'2200'!A158,'Daftar Koreksi'!$G$5:$G$92,"Gedung dan Bangunan",'Daftar Koreksi'!$H$5:$H$92,"&lt;0")</f>
        <v>0</v>
      </c>
      <c r="G164" s="17">
        <f t="shared" si="7"/>
        <v>1745298750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109700000</v>
      </c>
      <c r="E165" s="25">
        <f>SUMIFS('Daftar Koreksi'!$H$5:$H$92,'Daftar Koreksi'!$D$5:$D$92,'2200'!A158,'Daftar Koreksi'!$G$5:$G$92,"Jalan Irigasi Jaringan",'Daftar Koreksi'!$H$5:$H$92,"&gt;0")</f>
        <v>0</v>
      </c>
      <c r="F165" s="25">
        <f>SUMIFS('Daftar Koreksi'!$H$5:$H$92,'Daftar Koreksi'!$D$5:$D$92,'2200'!A158,'Daftar Koreksi'!$G$5:$G$92,"Jalan Irigasi Jaringan",'Daftar Koreksi'!$H$5:$H$92,"&lt;0")-SUMIFS('Daftar Koreksi'!$H$5:$H$92,'Daftar Koreksi'!$D$5:$D$92,'2200'!A158,'Daftar Koreksi'!$G$5:$G$92,"Jalan Irigasi Jaringan",'Daftar Koreksi'!$H$5:$H$92,"&lt;0")-SUMIFS('Daftar Koreksi'!$H$5:$H$92,'Daftar Koreksi'!$D$5:$D$92,'2200'!A158,'Daftar Koreksi'!$G$5:$G$92,"Jalan Irigasi Jaringan",'Daftar Koreksi'!$H$5:$H$92,"&lt;0")</f>
        <v>0</v>
      </c>
      <c r="G165" s="17">
        <f t="shared" si="7"/>
        <v>109700000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45709179</v>
      </c>
      <c r="E166" s="25">
        <f>SUMIFS('Daftar Koreksi'!$H$5:$H$92,'Daftar Koreksi'!$D$5:$D$92,'2200'!A158,'Daftar Koreksi'!$G$5:$G$92,"Aset Tetap Lainnya",'Daftar Koreksi'!$H$5:$H$92,"&gt;0")</f>
        <v>0</v>
      </c>
      <c r="F166" s="25">
        <f>SUMIFS('Daftar Koreksi'!$H$5:$H$92,'Daftar Koreksi'!$D$5:$D$92,'2200'!A158,'Daftar Koreksi'!$G$5:$G$92,"Aset Tetap Lainnya",'Daftar Koreksi'!$H$5:$H$92,"&lt;0")-SUMIFS('Daftar Koreksi'!$H$5:$H$92,'Daftar Koreksi'!$D$5:$D$92,'2200'!A158,'Daftar Koreksi'!$G$5:$G$92,"Aset Tetap Lainnya",'Daftar Koreksi'!$H$5:$H$92,"&lt;0")-SUMIFS('Daftar Koreksi'!$H$5:$H$92,'Daftar Koreksi'!$D$5:$D$92,'2200'!A158,'Daftar Koreksi'!$G$5:$G$92,"Aset Tetap Lainnya",'Daftar Koreksi'!$H$5:$H$92,"&lt;0")</f>
        <v>0</v>
      </c>
      <c r="G166" s="17">
        <f t="shared" si="7"/>
        <v>45709179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Koreksi'!$D$5:$D$92,'2200'!A158,'Daftar Koreksi'!$G$5:$G$92,"Kontruksi Dalam Pengerjaan",'Daftar Koreksi'!$H$5:$H$92,"&gt;0")</f>
        <v>0</v>
      </c>
      <c r="F167" s="25">
        <f>SUMIFS('Daftar Koreksi'!$H$5:$H$92,'Daftar Koreksi'!$D$5:$D$92,'2200'!A158,'Daftar Koreksi'!$G$5:$G$92,"Kontruksi Dalam Pengerjaan",'Daftar Koreksi'!$H$5:$H$92,"&lt;0")-SUMIFS('Daftar Koreksi'!$H$5:$H$92,'Daftar Koreksi'!$D$5:$D$92,'2200'!A158,'Daftar Koreksi'!$G$5:$G$92,"Kontruksi Dalam Pengerjaan",'Daftar Koreksi'!$H$5:$H$92,"&lt;0")-SUMIFS('Daftar Koreksi'!$H$5:$H$92,'Daftar Koreksi'!$D$5:$D$92,'2200'!A158,'Daftar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Koreksi'!$D$5:$D$92,'2200'!A158,'Daftar Koreksi'!$G$5:$G$92,"Aset Tak Berwujud",'Daftar Koreksi'!$H$5:$H$92,"&gt;0")</f>
        <v>0</v>
      </c>
      <c r="F168" s="25">
        <f>SUMIFS('Daftar Koreksi'!$H$5:$H$92,'Daftar Koreksi'!$D$5:$D$92,'2200'!A158,'Daftar Koreksi'!$G$5:$G$92,"Aset Tak Berwujud",'Daftar Koreksi'!$H$5:$H$92,"&lt;0")-SUMIFS('Daftar Koreksi'!$H$5:$H$92,'Daftar Koreksi'!$D$5:$D$92,'2200'!A158,'Daftar Koreksi'!$G$5:$G$92,"Aset Tak Berwujud",'Daftar Koreksi'!$H$5:$H$92,"&lt;0")-SUMIFS('Daftar Koreksi'!$H$5:$H$92,'Daftar Koreksi'!$D$5:$D$92,'2200'!A158,'Daftar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Koreksi'!$D$5:$D$92,'2200'!A158,'Daftar Koreksi'!$G$5:$G$92,"Aset Henti Guna",'Daftar Koreksi'!$H$5:$H$92,"&gt;0")</f>
        <v>0</v>
      </c>
      <c r="F169" s="25">
        <f>SUMIFS('Daftar Koreksi'!$H$5:$H$92,'Daftar Koreksi'!$D$5:$D$92,'2200'!A158,'Daftar Koreksi'!$G$5:$G$92,"Aset Henti Guna",'Daftar Koreksi'!$H$5:$H$92,"&lt;0")-SUMIFS('Daftar Koreksi'!$H$5:$H$92,'Daftar Koreksi'!$D$5:$D$92,'2200'!A158,'Daftar Koreksi'!$G$5:$G$92,"Aset Henti Guna",'Daftar Koreksi'!$H$5:$H$92,"&lt;0")-SUMIFS('Daftar Koreksi'!$H$5:$H$92,'Daftar Koreksi'!$D$5:$D$92,'2200'!A158,'Daftar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7903826857</v>
      </c>
      <c r="E170" s="19">
        <f>SUM(E161:E169)</f>
        <v>0</v>
      </c>
      <c r="F170" s="19">
        <f>SUM(F161:F169)</f>
        <v>0</v>
      </c>
      <c r="G170" s="19">
        <f t="shared" si="7"/>
        <v>7903826857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-1601832869</v>
      </c>
      <c r="E171" s="25">
        <f>SUMIFS('Daftar Koreksi'!$I$5:$I$92,'Daftar Koreksi'!$D$5:$D$92,'2200'!A158,'Daftar Koreksi'!$G$5:$G$92,"Peralatan dan mesin",'Daftar Koreksi'!$I$5:$I$92,"&gt;0")</f>
        <v>0</v>
      </c>
      <c r="F171" s="25">
        <f>SUMIFS('Daftar Koreksi'!$I$5:$I$92,'Daftar Koreksi'!$D$5:$D$92,'2200'!A158,'Daftar Koreksi'!$G$5:$G$92,"Peralatan dan mesin",'Daftar Koreksi'!$I$5:$I$92,"&lt;0")-SUMIFS('Daftar Koreksi'!$I$5:$I$92,'Daftar Koreksi'!$D$5:$D$92,'2200'!A158,'Daftar Koreksi'!$G$5:$G$92,"Peralatan dan mesin",'Daftar Koreksi'!$I$5:$I$92,"&lt;0")-SUMIFS('Daftar Koreksi'!$I$5:$I$92,'Daftar Koreksi'!$D$5:$D$92,'2200'!A158,'Daftar Koreksi'!$G$5:$G$92,"Peralatan dan mesin",'Daftar Koreksi'!$I$5:$I$92,"&lt;0")</f>
        <v>0</v>
      </c>
      <c r="G171" s="17">
        <f t="shared" si="7"/>
        <v>-1601832869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-1189641403</v>
      </c>
      <c r="E172" s="25">
        <f>SUMIFS('Daftar Koreksi'!$I$5:$I$92,'Daftar Koreksi'!$D$5:$D$92,'2200'!A158,'Daftar Koreksi'!$G$5:$G$92,"Gedung dan Bangunan",'Daftar Koreksi'!$I$5:$I$92,"&gt;0")</f>
        <v>0</v>
      </c>
      <c r="F172" s="25">
        <f>SUMIFS('Daftar Koreksi'!$I$5:$I$92,'Daftar Koreksi'!$D$5:$D$92,'2200'!A158,'Daftar Koreksi'!$G$5:$G$92,"Gedung dan Bangunan",'Daftar Koreksi'!$I$5:$I$92,"&lt;0")-SUMIFS('Daftar Koreksi'!$I$5:$I$92,'Daftar Koreksi'!$D$5:$D$92,'2200'!A158,'Daftar Koreksi'!$G$5:$G$92,"Gedung dan Bangunan",'Daftar Koreksi'!$I$5:$I$92,"&lt;0")-SUMIFS('Daftar Koreksi'!$I$5:$I$92,'Daftar Koreksi'!$D$5:$D$92,'2200'!A158,'Daftar Koreksi'!$G$5:$G$92,"Gedung dan Bangunan",'Daftar Koreksi'!$I$5:$I$92,"&lt;0")</f>
        <v>0</v>
      </c>
      <c r="G172" s="17">
        <f t="shared" si="7"/>
        <v>-1189641403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-13026250</v>
      </c>
      <c r="E173" s="25">
        <f>SUMIFS('Daftar Koreksi'!$I$5:$I$92,'Daftar Koreksi'!$D$5:$D$92,'2200'!A158,'Daftar Koreksi'!$G$5:$G$92,"Jalan Irigasi Jaringan",'Daftar Koreksi'!$I$5:$I$92,"&gt;0")</f>
        <v>0</v>
      </c>
      <c r="F173" s="25">
        <f>SUMIFS('Daftar Koreksi'!$I$5:$I$92,'Daftar Koreksi'!$D$5:$D$92,'2200'!A158,'Daftar Koreksi'!$G$5:$G$92,"Jalan Irigasi Jaringan",'Daftar Koreksi'!$I$5:$I$92,"&lt;0")-SUMIFS('Daftar Koreksi'!$I$5:$I$92,'Daftar Koreksi'!$D$5:$D$92,'2200'!A158,'Daftar Koreksi'!$G$5:$G$92,"Jalan Irigasi Jaringan",'Daftar Koreksi'!$I$5:$I$92,"&lt;0")-SUMIFS('Daftar Koreksi'!$I$5:$I$92,'Daftar Koreksi'!$D$5:$D$92,'2200'!A158,'Daftar Koreksi'!$G$5:$G$92,"Jalan Irigasi Jaringan",'Daftar Koreksi'!$I$5:$I$92,"&lt;0")</f>
        <v>0</v>
      </c>
      <c r="G173" s="17">
        <f t="shared" si="7"/>
        <v>-13026250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Koreksi'!$D$5:$D$92,'2200'!A158,'Daftar Koreksi'!$G$5:$G$92,"Aset Tetap Lainnya",'Daftar Koreksi'!$I$5:$I$92,"&gt;0")</f>
        <v>0</v>
      </c>
      <c r="F174" s="25">
        <f>SUMIFS('Daftar Koreksi'!$I$5:$I$92,'Daftar Koreksi'!$D$5:$D$92,'2200'!A158,'Daftar Koreksi'!$G$5:$G$92,"Aset Tetap Lainnya",'Daftar Koreksi'!$I$5:$I$92,"&lt;0")-SUMIFS('Daftar Koreksi'!$I$5:$I$92,'Daftar Koreksi'!$D$5:$D$92,'2200'!A158,'Daftar Koreksi'!$G$5:$G$92,"Aset Tetap Lainnya",'Daftar Koreksi'!$I$5:$I$92,"&lt;0")-SUMIFS('Daftar Koreksi'!$I$5:$I$92,'Daftar Koreksi'!$D$5:$D$92,'2200'!A158,'Daftar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Koreksi'!$D$5:$D$92,'2200'!A158,'Daftar Koreksi'!$G$5:$G$92,"Aset Henti Guna",'Daftar Koreksi'!$I$5:$I$92,"&gt;0")</f>
        <v>0</v>
      </c>
      <c r="F175" s="25">
        <f>SUMIFS('Daftar Koreksi'!$I$5:$I$92,'Daftar Koreksi'!$D$5:$D$92,'2200'!A158,'Daftar Koreksi'!$G$5:$G$92,"Aset Henti Guna",'Daftar Koreksi'!$I$5:$I$92,"&lt;0")-SUMIFS('Daftar Koreksi'!$I$5:$I$92,'Daftar Koreksi'!$D$5:$D$92,'2200'!A158,'Daftar Koreksi'!$G$5:$G$92,"Aset Henti Guna",'Daftar Koreksi'!$I$5:$I$92,"&lt;0")-SUMIFS('Daftar Koreksi'!$I$5:$I$92,'Daftar Koreksi'!$D$5:$D$92,'2200'!A158,'Daftar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-2804500522</v>
      </c>
      <c r="E176" s="19">
        <f>SUM(E171:E175)</f>
        <v>0</v>
      </c>
      <c r="F176" s="19">
        <f>SUM(F171:F175)</f>
        <v>0</v>
      </c>
      <c r="G176" s="19">
        <f t="shared" si="7"/>
        <v>-2804500522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5099326335</v>
      </c>
      <c r="E177" s="19">
        <f>E176+E170</f>
        <v>0</v>
      </c>
      <c r="F177" s="19">
        <f>F176+F170</f>
        <v>0</v>
      </c>
      <c r="G177" s="19">
        <f t="shared" si="7"/>
        <v>5099326335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005012200099858000KD</v>
      </c>
      <c r="B180" s="11" t="str">
        <f>P9</f>
        <v>PN. Bangli</v>
      </c>
      <c r="C180" s="12" t="str">
        <f>A180&amp;" "&amp;B180</f>
        <v>005012200099858000KD PN. Bangli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162000</v>
      </c>
      <c r="E183" s="25">
        <f>SUMIFS('Daftar Koreksi'!$H$5:$H$92,'Daftar Koreksi'!$D$5:$D$92,'2200'!A180,'Daftar Koreksi'!$G$5:$G$92,"Persediaan",'Daftar Koreksi'!$H$5:$H$92,"&gt;0")</f>
        <v>0</v>
      </c>
      <c r="F183" s="25">
        <f>SUMIFS('Daftar Koreksi'!$H$5:$H$92,'Daftar Koreksi'!$D$5:$D$92,'2200'!A180,'Daftar Koreksi'!$G$5:$G$92,"Persediaan",'Daftar Koreksi'!$H$5:$H$92,"&lt;0")-SUMIFS('Daftar Koreksi'!$H$5:$H$92,'Daftar Koreksi'!$D$5:$D$92,'2200'!A180,'Daftar Koreksi'!$G$5:$G$92,"Persediaan",'Daftar Koreksi'!$H$5:$H$92,"&lt;0")-SUMIFS('Daftar Koreksi'!$H$5:$H$92,'Daftar Koreksi'!$D$5:$D$92,'2200'!A180,'Daftar Koreksi'!$G$5:$G$92,"Persediaan",'Daftar Koreksi'!$H$5:$H$92,"&lt;0")</f>
        <v>0</v>
      </c>
      <c r="G183" s="17">
        <f>D183+E183-F183</f>
        <v>162000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4683580000</v>
      </c>
      <c r="E184" s="25">
        <f>SUMIFS('Daftar Koreksi'!$H$5:$H$92,'Daftar Koreksi'!$D$5:$D$92,'2200'!A180,'Daftar Koreksi'!$G$5:$G$92,"Tanah",'Daftar Koreksi'!$H$5:$H$92,"&gt;0")</f>
        <v>0</v>
      </c>
      <c r="F184" s="25">
        <f>SUMIFS('Daftar Koreksi'!$H$5:$H$92,'Daftar Koreksi'!$D$5:$D$92,'2200'!A180,'Daftar Koreksi'!$G$5:$G$92,"Tanah",'Daftar Koreksi'!$H$5:$H$92,"&lt;0")-SUMIFS('Daftar Koreksi'!$H$5:$H$92,'Daftar Koreksi'!$D$5:$D$92,'2200'!A180,'Daftar Koreksi'!$G$5:$G$92,"Tanah",'Daftar Koreksi'!$H$5:$H$92,"&lt;0")-SUMIFS('Daftar Koreksi'!$H$5:$H$92,'Daftar Koreksi'!$D$5:$D$92,'2200'!A180,'Daftar Koreksi'!$G$5:$G$92,"Tanah",'Daftar Koreksi'!$H$5:$H$92,"&lt;0")</f>
        <v>0</v>
      </c>
      <c r="G184" s="17">
        <f t="shared" ref="G184:G200" si="8">D184+E184-F184</f>
        <v>4683580000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3053309637</v>
      </c>
      <c r="E185" s="25">
        <f>SUMIFS('Daftar Koreksi'!$H$5:$H$92,'Daftar Koreksi'!$D$5:$D$92,'2200'!A180,'Daftar Koreksi'!$G$5:$G$92,"Peralatan dan mesin",'Daftar Koreksi'!$H$5:$H$92,"&gt;0")</f>
        <v>0</v>
      </c>
      <c r="F185" s="25">
        <f>SUMIFS('Daftar Koreksi'!$H$5:$H$92,'Daftar Koreksi'!$D$5:$D$92,'2200'!A180,'Daftar Koreksi'!$G$5:$G$92,"Peralatan dan mesin",'Daftar Koreksi'!$H$5:$H$92,"&lt;0")-SUMIFS('Daftar Koreksi'!$H$5:$H$92,'Daftar Koreksi'!$D$5:$D$92,'2200'!A180,'Daftar Koreksi'!$G$5:$G$92,"Peralatan dan mesin",'Daftar Koreksi'!$H$5:$H$92,"&lt;0")-SUMIFS('Daftar Koreksi'!$H$5:$H$92,'Daftar Koreksi'!$D$5:$D$92,'2200'!A180,'Daftar Koreksi'!$G$5:$G$92,"Peralatan dan mesin",'Daftar Koreksi'!$H$5:$H$92,"&lt;0")</f>
        <v>0</v>
      </c>
      <c r="G185" s="17">
        <f t="shared" si="8"/>
        <v>3053309637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9049530400</v>
      </c>
      <c r="E186" s="25">
        <f>SUMIFS('Daftar Koreksi'!$H$5:$H$92,'Daftar Koreksi'!$D$5:$D$92,'2200'!A180,'Daftar Koreksi'!$G$5:$G$92,"Gedung dan Bangunan",'Daftar Koreksi'!$H$5:$H$92,"&gt;0")</f>
        <v>0</v>
      </c>
      <c r="F186" s="25">
        <f>SUMIFS('Daftar Koreksi'!$H$5:$H$92,'Daftar Koreksi'!$D$5:$D$92,'2200'!A180,'Daftar Koreksi'!$G$5:$G$92,"Gedung dan Bangunan",'Daftar Koreksi'!$H$5:$H$92,"&lt;0")-SUMIFS('Daftar Koreksi'!$H$5:$H$92,'Daftar Koreksi'!$D$5:$D$92,'2200'!A180,'Daftar Koreksi'!$G$5:$G$92,"Gedung dan Bangunan",'Daftar Koreksi'!$H$5:$H$92,"&lt;0")-SUMIFS('Daftar Koreksi'!$H$5:$H$92,'Daftar Koreksi'!$D$5:$D$92,'2200'!A180,'Daftar Koreksi'!$G$5:$G$92,"Gedung dan Bangunan",'Daftar Koreksi'!$H$5:$H$92,"&lt;0")</f>
        <v>0</v>
      </c>
      <c r="G186" s="17">
        <f t="shared" si="8"/>
        <v>9049530400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119021000</v>
      </c>
      <c r="E187" s="25">
        <f>SUMIFS('Daftar Koreksi'!$H$5:$H$92,'Daftar Koreksi'!$D$5:$D$92,'2200'!A180,'Daftar Koreksi'!$G$5:$G$92,"Jalan Irigasi Jaringan",'Daftar Koreksi'!$H$5:$H$92,"&gt;0")</f>
        <v>0</v>
      </c>
      <c r="F187" s="25">
        <f>SUMIFS('Daftar Koreksi'!$H$5:$H$92,'Daftar Koreksi'!$D$5:$D$92,'2200'!A180,'Daftar Koreksi'!$G$5:$G$92,"Jalan Irigasi Jaringan",'Daftar Koreksi'!$H$5:$H$92,"&lt;0")-SUMIFS('Daftar Koreksi'!$H$5:$H$92,'Daftar Koreksi'!$D$5:$D$92,'2200'!A180,'Daftar Koreksi'!$G$5:$G$92,"Jalan Irigasi Jaringan",'Daftar Koreksi'!$H$5:$H$92,"&lt;0")-SUMIFS('Daftar Koreksi'!$H$5:$H$92,'Daftar Koreksi'!$D$5:$D$92,'2200'!A180,'Daftar Koreksi'!$G$5:$G$92,"Jalan Irigasi Jaringan",'Daftar Koreksi'!$H$5:$H$92,"&lt;0")</f>
        <v>0</v>
      </c>
      <c r="G187" s="17">
        <f t="shared" si="8"/>
        <v>119021000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106679081</v>
      </c>
      <c r="E188" s="25">
        <f>SUMIFS('Daftar Koreksi'!$H$5:$H$92,'Daftar Koreksi'!$D$5:$D$92,'2200'!A180,'Daftar Koreksi'!$G$5:$G$92,"Aset Tetap Lainnya",'Daftar Koreksi'!$H$5:$H$92,"&gt;0")</f>
        <v>0</v>
      </c>
      <c r="F188" s="25">
        <f>SUMIFS('Daftar Koreksi'!$H$5:$H$92,'Daftar Koreksi'!$D$5:$D$92,'2200'!A180,'Daftar Koreksi'!$G$5:$G$92,"Aset Tetap Lainnya",'Daftar Koreksi'!$H$5:$H$92,"&lt;0")-SUMIFS('Daftar Koreksi'!$H$5:$H$92,'Daftar Koreksi'!$D$5:$D$92,'2200'!A180,'Daftar Koreksi'!$G$5:$G$92,"Aset Tetap Lainnya",'Daftar Koreksi'!$H$5:$H$92,"&lt;0")-SUMIFS('Daftar Koreksi'!$H$5:$H$92,'Daftar Koreksi'!$D$5:$D$92,'2200'!A180,'Daftar Koreksi'!$G$5:$G$92,"Aset Tetap Lainnya",'Daftar Koreksi'!$H$5:$H$92,"&lt;0")</f>
        <v>0</v>
      </c>
      <c r="G188" s="17">
        <f t="shared" si="8"/>
        <v>106679081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Koreksi'!$D$5:$D$92,'2200'!A180,'Daftar Koreksi'!$G$5:$G$92,"Kontruksi Dalam Pengerjaan",'Daftar Koreksi'!$H$5:$H$92,"&gt;0")</f>
        <v>0</v>
      </c>
      <c r="F189" s="25">
        <f>SUMIFS('Daftar Koreksi'!$H$5:$H$92,'Daftar Koreksi'!$D$5:$D$92,'2200'!A180,'Daftar Koreksi'!$G$5:$G$92,"Kontruksi Dalam Pengerjaan",'Daftar Koreksi'!$H$5:$H$92,"&lt;0")-SUMIFS('Daftar Koreksi'!$H$5:$H$92,'Daftar Koreksi'!$D$5:$D$92,'2200'!A180,'Daftar Koreksi'!$G$5:$G$92,"Kontruksi Dalam Pengerjaan",'Daftar Koreksi'!$H$5:$H$92,"&lt;0")-SUMIFS('Daftar Koreksi'!$H$5:$H$92,'Daftar Koreksi'!$D$5:$D$92,'2200'!A180,'Daftar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Koreksi'!$D$5:$D$92,'2200'!A180,'Daftar Koreksi'!$G$5:$G$92,"Aset Tak Berwujud",'Daftar Koreksi'!$H$5:$H$92,"&gt;0")</f>
        <v>0</v>
      </c>
      <c r="F190" s="25">
        <f>SUMIFS('Daftar Koreksi'!$H$5:$H$92,'Daftar Koreksi'!$D$5:$D$92,'2200'!A180,'Daftar Koreksi'!$G$5:$G$92,"Aset Tak Berwujud",'Daftar Koreksi'!$H$5:$H$92,"&lt;0")-SUMIFS('Daftar Koreksi'!$H$5:$H$92,'Daftar Koreksi'!$D$5:$D$92,'2200'!A180,'Daftar Koreksi'!$G$5:$G$92,"Aset Tak Berwujud",'Daftar Koreksi'!$H$5:$H$92,"&lt;0")-SUMIFS('Daftar Koreksi'!$H$5:$H$92,'Daftar Koreksi'!$D$5:$D$92,'2200'!A180,'Daftar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243782400</v>
      </c>
      <c r="E191" s="25">
        <f>SUMIFS('Daftar Koreksi'!$H$5:$H$92,'Daftar Koreksi'!$D$5:$D$92,'2200'!A180,'Daftar Koreksi'!$G$5:$G$92,"Aset Henti Guna",'Daftar Koreksi'!$H$5:$H$92,"&gt;0")</f>
        <v>0</v>
      </c>
      <c r="F191" s="25">
        <f>SUMIFS('Daftar Koreksi'!$H$5:$H$92,'Daftar Koreksi'!$D$5:$D$92,'2200'!A180,'Daftar Koreksi'!$G$5:$G$92,"Aset Henti Guna",'Daftar Koreksi'!$H$5:$H$92,"&lt;0")-SUMIFS('Daftar Koreksi'!$H$5:$H$92,'Daftar Koreksi'!$D$5:$D$92,'2200'!A180,'Daftar Koreksi'!$G$5:$G$92,"Aset Henti Guna",'Daftar Koreksi'!$H$5:$H$92,"&lt;0")-SUMIFS('Daftar Koreksi'!$H$5:$H$92,'Daftar Koreksi'!$D$5:$D$92,'2200'!A180,'Daftar Koreksi'!$G$5:$G$92,"Aset Henti Guna",'Daftar Koreksi'!$H$5:$H$92,"&lt;0")</f>
        <v>0</v>
      </c>
      <c r="G191" s="17">
        <f t="shared" si="8"/>
        <v>243782400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17256064518</v>
      </c>
      <c r="E192" s="19">
        <f>SUM(E183:E191)</f>
        <v>0</v>
      </c>
      <c r="F192" s="19">
        <f>SUM(F183:F191)</f>
        <v>0</v>
      </c>
      <c r="G192" s="19">
        <f t="shared" si="8"/>
        <v>17256064518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-1953828802</v>
      </c>
      <c r="E193" s="25">
        <f>SUMIFS('Daftar Koreksi'!$I$5:$I$92,'Daftar Koreksi'!$D$5:$D$92,'2200'!A180,'Daftar Koreksi'!$G$5:$G$92,"Peralatan dan mesin",'Daftar Koreksi'!$I$5:$I$92,"&gt;0")</f>
        <v>0</v>
      </c>
      <c r="F193" s="25">
        <f>SUMIFS('Daftar Koreksi'!$I$5:$I$92,'Daftar Koreksi'!$D$5:$D$92,'2200'!A180,'Daftar Koreksi'!$G$5:$G$92,"Peralatan dan mesin",'Daftar Koreksi'!$I$5:$I$92,"&lt;0")-SUMIFS('Daftar Koreksi'!$I$5:$I$92,'Daftar Koreksi'!$D$5:$D$92,'2200'!A180,'Daftar Koreksi'!$G$5:$G$92,"Peralatan dan mesin",'Daftar Koreksi'!$I$5:$I$92,"&lt;0")-SUMIFS('Daftar Koreksi'!$I$5:$I$92,'Daftar Koreksi'!$D$5:$D$92,'2200'!A180,'Daftar Koreksi'!$G$5:$G$92,"Peralatan dan mesin",'Daftar Koreksi'!$I$5:$I$92,"&lt;0")</f>
        <v>0</v>
      </c>
      <c r="G193" s="17">
        <f t="shared" si="8"/>
        <v>-1953828802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-1145548573</v>
      </c>
      <c r="E194" s="25">
        <f>SUMIFS('Daftar Koreksi'!$I$5:$I$92,'Daftar Koreksi'!$D$5:$D$92,'2200'!A180,'Daftar Koreksi'!$G$5:$G$92,"Gedung dan Bangunan",'Daftar Koreksi'!$I$5:$I$92,"&gt;0")</f>
        <v>0</v>
      </c>
      <c r="F194" s="25">
        <f>SUMIFS('Daftar Koreksi'!$I$5:$I$92,'Daftar Koreksi'!$D$5:$D$92,'2200'!A180,'Daftar Koreksi'!$G$5:$G$92,"Gedung dan Bangunan",'Daftar Koreksi'!$I$5:$I$92,"&lt;0")-SUMIFS('Daftar Koreksi'!$I$5:$I$92,'Daftar Koreksi'!$D$5:$D$92,'2200'!A180,'Daftar Koreksi'!$G$5:$G$92,"Gedung dan Bangunan",'Daftar Koreksi'!$I$5:$I$92,"&lt;0")-SUMIFS('Daftar Koreksi'!$I$5:$I$92,'Daftar Koreksi'!$D$5:$D$92,'2200'!A180,'Daftar Koreksi'!$G$5:$G$92,"Gedung dan Bangunan",'Daftar Koreksi'!$I$5:$I$92,"&lt;0")</f>
        <v>0</v>
      </c>
      <c r="G194" s="17">
        <f t="shared" si="8"/>
        <v>-1145548573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-6667775</v>
      </c>
      <c r="E195" s="25">
        <f>SUMIFS('Daftar Koreksi'!$I$5:$I$92,'Daftar Koreksi'!$D$5:$D$92,'2200'!A180,'Daftar Koreksi'!$G$5:$G$92,"Jalan Irigasi Jaringan",'Daftar Koreksi'!$I$5:$I$92,"&gt;0")</f>
        <v>0</v>
      </c>
      <c r="F195" s="25">
        <f>SUMIFS('Daftar Koreksi'!$I$5:$I$92,'Daftar Koreksi'!$D$5:$D$92,'2200'!A180,'Daftar Koreksi'!$G$5:$G$92,"Jalan Irigasi Jaringan",'Daftar Koreksi'!$I$5:$I$92,"&lt;0")-SUMIFS('Daftar Koreksi'!$I$5:$I$92,'Daftar Koreksi'!$D$5:$D$92,'2200'!A180,'Daftar Koreksi'!$G$5:$G$92,"Jalan Irigasi Jaringan",'Daftar Koreksi'!$I$5:$I$92,"&lt;0")-SUMIFS('Daftar Koreksi'!$I$5:$I$92,'Daftar Koreksi'!$D$5:$D$92,'2200'!A180,'Daftar Koreksi'!$G$5:$G$92,"Jalan Irigasi Jaringan",'Daftar Koreksi'!$I$5:$I$92,"&lt;0")</f>
        <v>0</v>
      </c>
      <c r="G195" s="17">
        <f t="shared" si="8"/>
        <v>-6667775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Koreksi'!$D$5:$D$92,'2200'!A180,'Daftar Koreksi'!$G$5:$G$92,"Aset Tetap Lainnya",'Daftar Koreksi'!$I$5:$I$92,"&gt;0")</f>
        <v>0</v>
      </c>
      <c r="F196" s="25">
        <f>SUMIFS('Daftar Koreksi'!$I$5:$I$92,'Daftar Koreksi'!$D$5:$D$92,'2200'!A180,'Daftar Koreksi'!$G$5:$G$92,"Aset Tetap Lainnya",'Daftar Koreksi'!$I$5:$I$92,"&lt;0")-SUMIFS('Daftar Koreksi'!$I$5:$I$92,'Daftar Koreksi'!$D$5:$D$92,'2200'!A180,'Daftar Koreksi'!$G$5:$G$92,"Aset Tetap Lainnya",'Daftar Koreksi'!$I$5:$I$92,"&lt;0")-SUMIFS('Daftar Koreksi'!$I$5:$I$92,'Daftar Koreksi'!$D$5:$D$92,'2200'!A180,'Daftar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-243782400</v>
      </c>
      <c r="E197" s="25">
        <f>SUMIFS('Daftar Koreksi'!$I$5:$I$92,'Daftar Koreksi'!$D$5:$D$92,'2200'!A180,'Daftar Koreksi'!$G$5:$G$92,"Aset Henti Guna",'Daftar Koreksi'!$I$5:$I$92,"&gt;0")</f>
        <v>0</v>
      </c>
      <c r="F197" s="25">
        <f>SUMIFS('Daftar Koreksi'!$I$5:$I$92,'Daftar Koreksi'!$D$5:$D$92,'2200'!A180,'Daftar Koreksi'!$G$5:$G$92,"Aset Henti Guna",'Daftar Koreksi'!$I$5:$I$92,"&lt;0")-SUMIFS('Daftar Koreksi'!$I$5:$I$92,'Daftar Koreksi'!$D$5:$D$92,'2200'!A180,'Daftar Koreksi'!$G$5:$G$92,"Aset Henti Guna",'Daftar Koreksi'!$I$5:$I$92,"&lt;0")-SUMIFS('Daftar Koreksi'!$I$5:$I$92,'Daftar Koreksi'!$D$5:$D$92,'2200'!A180,'Daftar Koreksi'!$G$5:$G$92,"Aset Henti Guna",'Daftar Koreksi'!$I$5:$I$92,"&lt;0")</f>
        <v>0</v>
      </c>
      <c r="G197" s="17">
        <f t="shared" si="8"/>
        <v>-243782400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-3349827550</v>
      </c>
      <c r="E198" s="19">
        <f>SUM(E193:E197)</f>
        <v>0</v>
      </c>
      <c r="F198" s="19">
        <f>SUM(F193:F197)</f>
        <v>0</v>
      </c>
      <c r="G198" s="19">
        <f t="shared" si="8"/>
        <v>-3349827550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13906236968</v>
      </c>
      <c r="E199" s="19">
        <f>E198+E192</f>
        <v>0</v>
      </c>
      <c r="F199" s="19">
        <f>F198+F192</f>
        <v>0</v>
      </c>
      <c r="G199" s="19">
        <f t="shared" si="8"/>
        <v>13906236968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005012200307822000KD</v>
      </c>
      <c r="B202" s="11" t="str">
        <f>P10</f>
        <v>PA. Denpasar</v>
      </c>
      <c r="C202" s="12" t="str">
        <f>A202&amp;" "&amp;B202</f>
        <v>005012200307822000KD PA. Denpasar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5098800</v>
      </c>
      <c r="E205" s="25">
        <f>SUMIFS('Daftar Koreksi'!$H$5:$H$92,'Daftar Koreksi'!$D$5:$D$92,'2200'!A202,'Daftar Koreksi'!$G$5:$G$92,"Persediaan",'Daftar Koreksi'!$H$5:$H$92,"&gt;0")</f>
        <v>0</v>
      </c>
      <c r="F205" s="25">
        <f>SUMIFS('Daftar Koreksi'!$H$5:$H$92,'Daftar Koreksi'!$D$5:$D$92,'2200'!A202,'Daftar Koreksi'!$G$5:$G$92,"Persediaan",'Daftar Koreksi'!$H$5:$H$92,"&lt;0")-SUMIFS('Daftar Koreksi'!$H$5:$H$92,'Daftar Koreksi'!$D$5:$D$92,'2200'!A202,'Daftar Koreksi'!$G$5:$G$92,"Persediaan",'Daftar Koreksi'!$H$5:$H$92,"&lt;0")-SUMIFS('Daftar Koreksi'!$H$5:$H$92,'Daftar Koreksi'!$D$5:$D$92,'2200'!A202,'Daftar Koreksi'!$G$5:$G$92,"Persediaan",'Daftar Koreksi'!$H$5:$H$92,"&lt;0")</f>
        <v>0</v>
      </c>
      <c r="G205" s="17">
        <f>D205+E205-F205</f>
        <v>5098800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1915542000</v>
      </c>
      <c r="E206" s="25">
        <f>SUMIFS('Daftar Koreksi'!$H$5:$H$92,'Daftar Koreksi'!$D$5:$D$92,'2200'!A202,'Daftar Koreksi'!$G$5:$G$92,"Tanah",'Daftar Koreksi'!$H$5:$H$92,"&gt;0")</f>
        <v>0</v>
      </c>
      <c r="F206" s="25">
        <f>SUMIFS('Daftar Koreksi'!$H$5:$H$92,'Daftar Koreksi'!$D$5:$D$92,'2200'!A202,'Daftar Koreksi'!$G$5:$G$92,"Tanah",'Daftar Koreksi'!$H$5:$H$92,"&lt;0")-SUMIFS('Daftar Koreksi'!$H$5:$H$92,'Daftar Koreksi'!$D$5:$D$92,'2200'!A202,'Daftar Koreksi'!$G$5:$G$92,"Tanah",'Daftar Koreksi'!$H$5:$H$92,"&lt;0")-SUMIFS('Daftar Koreksi'!$H$5:$H$92,'Daftar Koreksi'!$D$5:$D$92,'2200'!A202,'Daftar Koreksi'!$G$5:$G$92,"Tanah",'Daftar Koreksi'!$H$5:$H$92,"&lt;0")</f>
        <v>0</v>
      </c>
      <c r="G206" s="17">
        <f t="shared" ref="G206:G222" si="9">D206+E206-F206</f>
        <v>1915542000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2034402136</v>
      </c>
      <c r="E207" s="25">
        <f>SUMIFS('Daftar Koreksi'!$H$5:$H$92,'Daftar Koreksi'!$D$5:$D$92,'2200'!A202,'Daftar Koreksi'!$G$5:$G$92,"Peralatan dan mesin",'Daftar Koreksi'!$H$5:$H$92,"&gt;0")</f>
        <v>0</v>
      </c>
      <c r="F207" s="25">
        <f>SUMIFS('Daftar Koreksi'!$H$5:$H$92,'Daftar Koreksi'!$D$5:$D$92,'2200'!A202,'Daftar Koreksi'!$G$5:$G$92,"Peralatan dan mesin",'Daftar Koreksi'!$H$5:$H$92,"&lt;0")-SUMIFS('Daftar Koreksi'!$H$5:$H$92,'Daftar Koreksi'!$D$5:$D$92,'2200'!A202,'Daftar Koreksi'!$G$5:$G$92,"Peralatan dan mesin",'Daftar Koreksi'!$H$5:$H$92,"&lt;0")-SUMIFS('Daftar Koreksi'!$H$5:$H$92,'Daftar Koreksi'!$D$5:$D$92,'2200'!A202,'Daftar Koreksi'!$G$5:$G$92,"Peralatan dan mesin",'Daftar Koreksi'!$H$5:$H$92,"&lt;0")</f>
        <v>0</v>
      </c>
      <c r="G207" s="17">
        <f t="shared" si="9"/>
        <v>2034402136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2120462000</v>
      </c>
      <c r="E208" s="25">
        <f>SUMIFS('Daftar Koreksi'!$H$5:$H$92,'Daftar Koreksi'!$D$5:$D$92,'2200'!A202,'Daftar Koreksi'!$G$5:$G$92,"Gedung dan Bangunan",'Daftar Koreksi'!$H$5:$H$92,"&gt;0")</f>
        <v>0</v>
      </c>
      <c r="F208" s="25">
        <f>SUMIFS('Daftar Koreksi'!$H$5:$H$92,'Daftar Koreksi'!$D$5:$D$92,'2200'!A202,'Daftar Koreksi'!$G$5:$G$92,"Gedung dan Bangunan",'Daftar Koreksi'!$H$5:$H$92,"&lt;0")-SUMIFS('Daftar Koreksi'!$H$5:$H$92,'Daftar Koreksi'!$D$5:$D$92,'2200'!A202,'Daftar Koreksi'!$G$5:$G$92,"Gedung dan Bangunan",'Daftar Koreksi'!$H$5:$H$92,"&lt;0")-SUMIFS('Daftar Koreksi'!$H$5:$H$92,'Daftar Koreksi'!$D$5:$D$92,'2200'!A202,'Daftar Koreksi'!$G$5:$G$92,"Gedung dan Bangunan",'Daftar Koreksi'!$H$5:$H$92,"&lt;0")</f>
        <v>0</v>
      </c>
      <c r="G208" s="17">
        <f t="shared" si="9"/>
        <v>2120462000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11280000</v>
      </c>
      <c r="E209" s="25">
        <f>SUMIFS('Daftar Koreksi'!$H$5:$H$92,'Daftar Koreksi'!$D$5:$D$92,'2200'!A202,'Daftar Koreksi'!$G$5:$G$92,"Jalan Irigasi Jaringan",'Daftar Koreksi'!$H$5:$H$92,"&gt;0")</f>
        <v>0</v>
      </c>
      <c r="F209" s="25">
        <f>SUMIFS('Daftar Koreksi'!$H$5:$H$92,'Daftar Koreksi'!$D$5:$D$92,'2200'!A202,'Daftar Koreksi'!$G$5:$G$92,"Jalan Irigasi Jaringan",'Daftar Koreksi'!$H$5:$H$92,"&lt;0")-SUMIFS('Daftar Koreksi'!$H$5:$H$92,'Daftar Koreksi'!$D$5:$D$92,'2200'!A202,'Daftar Koreksi'!$G$5:$G$92,"Jalan Irigasi Jaringan",'Daftar Koreksi'!$H$5:$H$92,"&lt;0")-SUMIFS('Daftar Koreksi'!$H$5:$H$92,'Daftar Koreksi'!$D$5:$D$92,'2200'!A202,'Daftar Koreksi'!$G$5:$G$92,"Jalan Irigasi Jaringan",'Daftar Koreksi'!$H$5:$H$92,"&lt;0")</f>
        <v>0</v>
      </c>
      <c r="G209" s="17">
        <f t="shared" si="9"/>
        <v>11280000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11345120</v>
      </c>
      <c r="E210" s="25">
        <f>SUMIFS('Daftar Koreksi'!$H$5:$H$92,'Daftar Koreksi'!$D$5:$D$92,'2200'!A202,'Daftar Koreksi'!$G$5:$G$92,"Aset Tetap Lainnya",'Daftar Koreksi'!$H$5:$H$92,"&gt;0")</f>
        <v>0</v>
      </c>
      <c r="F210" s="25">
        <f>SUMIFS('Daftar Koreksi'!$H$5:$H$92,'Daftar Koreksi'!$D$5:$D$92,'2200'!A202,'Daftar Koreksi'!$G$5:$G$92,"Aset Tetap Lainnya",'Daftar Koreksi'!$H$5:$H$92,"&lt;0")-SUMIFS('Daftar Koreksi'!$H$5:$H$92,'Daftar Koreksi'!$D$5:$D$92,'2200'!A202,'Daftar Koreksi'!$G$5:$G$92,"Aset Tetap Lainnya",'Daftar Koreksi'!$H$5:$H$92,"&lt;0")-SUMIFS('Daftar Koreksi'!$H$5:$H$92,'Daftar Koreksi'!$D$5:$D$92,'2200'!A202,'Daftar Koreksi'!$G$5:$G$92,"Aset Tetap Lainnya",'Daftar Koreksi'!$H$5:$H$92,"&lt;0")</f>
        <v>0</v>
      </c>
      <c r="G210" s="17">
        <f t="shared" si="9"/>
        <v>11345120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Koreksi'!$D$5:$D$92,'2200'!A202,'Daftar Koreksi'!$G$5:$G$92,"Kontruksi Dalam Pengerjaan",'Daftar Koreksi'!$H$5:$H$92,"&gt;0")</f>
        <v>0</v>
      </c>
      <c r="F211" s="25">
        <f>SUMIFS('Daftar Koreksi'!$H$5:$H$92,'Daftar Koreksi'!$D$5:$D$92,'2200'!A202,'Daftar Koreksi'!$G$5:$G$92,"Kontruksi Dalam Pengerjaan",'Daftar Koreksi'!$H$5:$H$92,"&lt;0")-SUMIFS('Daftar Koreksi'!$H$5:$H$92,'Daftar Koreksi'!$D$5:$D$92,'2200'!A202,'Daftar Koreksi'!$G$5:$G$92,"Kontruksi Dalam Pengerjaan",'Daftar Koreksi'!$H$5:$H$92,"&lt;0")-SUMIFS('Daftar Koreksi'!$H$5:$H$92,'Daftar Koreksi'!$D$5:$D$92,'2200'!A202,'Daftar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7000000</v>
      </c>
      <c r="E212" s="25">
        <f>SUMIFS('Daftar Koreksi'!$H$5:$H$92,'Daftar Koreksi'!$D$5:$D$92,'2200'!A202,'Daftar Koreksi'!$G$5:$G$92,"Aset Tak Berwujud",'Daftar Koreksi'!$H$5:$H$92,"&gt;0")</f>
        <v>0</v>
      </c>
      <c r="F212" s="25">
        <f>SUMIFS('Daftar Koreksi'!$H$5:$H$92,'Daftar Koreksi'!$D$5:$D$92,'2200'!A202,'Daftar Koreksi'!$G$5:$G$92,"Aset Tak Berwujud",'Daftar Koreksi'!$H$5:$H$92,"&lt;0")-SUMIFS('Daftar Koreksi'!$H$5:$H$92,'Daftar Koreksi'!$D$5:$D$92,'2200'!A202,'Daftar Koreksi'!$G$5:$G$92,"Aset Tak Berwujud",'Daftar Koreksi'!$H$5:$H$92,"&lt;0")-SUMIFS('Daftar Koreksi'!$H$5:$H$92,'Daftar Koreksi'!$D$5:$D$92,'2200'!A202,'Daftar Koreksi'!$G$5:$G$92,"Aset Tak Berwujud",'Daftar Koreksi'!$H$5:$H$92,"&lt;0")</f>
        <v>0</v>
      </c>
      <c r="G212" s="17">
        <f t="shared" si="9"/>
        <v>7000000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203358125</v>
      </c>
      <c r="E213" s="25">
        <f>SUMIFS('Daftar Koreksi'!$H$5:$H$92,'Daftar Koreksi'!$D$5:$D$92,'2200'!A202,'Daftar Koreksi'!$G$5:$G$92,"Aset Henti Guna",'Daftar Koreksi'!$H$5:$H$92,"&gt;0")</f>
        <v>0</v>
      </c>
      <c r="F213" s="25">
        <f>SUMIFS('Daftar Koreksi'!$H$5:$H$92,'Daftar Koreksi'!$D$5:$D$92,'2200'!A202,'Daftar Koreksi'!$G$5:$G$92,"Aset Henti Guna",'Daftar Koreksi'!$H$5:$H$92,"&lt;0")-SUMIFS('Daftar Koreksi'!$H$5:$H$92,'Daftar Koreksi'!$D$5:$D$92,'2200'!A202,'Daftar Koreksi'!$G$5:$G$92,"Aset Henti Guna",'Daftar Koreksi'!$H$5:$H$92,"&lt;0")-SUMIFS('Daftar Koreksi'!$H$5:$H$92,'Daftar Koreksi'!$D$5:$D$92,'2200'!A202,'Daftar Koreksi'!$G$5:$G$92,"Aset Henti Guna",'Daftar Koreksi'!$H$5:$H$92,"&lt;0")</f>
        <v>0</v>
      </c>
      <c r="G213" s="17">
        <f t="shared" si="9"/>
        <v>203358125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6308488181</v>
      </c>
      <c r="E214" s="19">
        <f>SUM(E205:E213)</f>
        <v>0</v>
      </c>
      <c r="F214" s="19">
        <f>SUM(F205:F213)</f>
        <v>0</v>
      </c>
      <c r="G214" s="19">
        <f t="shared" si="9"/>
        <v>6308488181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-1498520995</v>
      </c>
      <c r="E215" s="25">
        <f>SUMIFS('Daftar Koreksi'!$I$5:$I$92,'Daftar Koreksi'!$D$5:$D$92,'2200'!A202,'Daftar Koreksi'!$G$5:$G$92,"Peralatan dan mesin",'Daftar Koreksi'!$I$5:$I$92,"&gt;0")</f>
        <v>0</v>
      </c>
      <c r="F215" s="25">
        <f>SUMIFS('Daftar Koreksi'!$I$5:$I$92,'Daftar Koreksi'!$D$5:$D$92,'2200'!A202,'Daftar Koreksi'!$G$5:$G$92,"Peralatan dan mesin",'Daftar Koreksi'!$I$5:$I$92,"&lt;0")-SUMIFS('Daftar Koreksi'!$I$5:$I$92,'Daftar Koreksi'!$D$5:$D$92,'2200'!A202,'Daftar Koreksi'!$G$5:$G$92,"Peralatan dan mesin",'Daftar Koreksi'!$I$5:$I$92,"&lt;0")-SUMIFS('Daftar Koreksi'!$I$5:$I$92,'Daftar Koreksi'!$D$5:$D$92,'2200'!A202,'Daftar Koreksi'!$G$5:$G$92,"Peralatan dan mesin",'Daftar Koreksi'!$I$5:$I$92,"&lt;0")</f>
        <v>0</v>
      </c>
      <c r="G215" s="17">
        <f t="shared" si="9"/>
        <v>-1498520995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-837613720</v>
      </c>
      <c r="E216" s="25">
        <f>SUMIFS('Daftar Koreksi'!$I$5:$I$92,'Daftar Koreksi'!$D$5:$D$92,'2200'!A202,'Daftar Koreksi'!$G$5:$G$92,"Gedung dan Bangunan",'Daftar Koreksi'!$I$5:$I$92,"&gt;0")</f>
        <v>0</v>
      </c>
      <c r="F216" s="25">
        <f>SUMIFS('Daftar Koreksi'!$I$5:$I$92,'Daftar Koreksi'!$D$5:$D$92,'2200'!A202,'Daftar Koreksi'!$G$5:$G$92,"Gedung dan Bangunan",'Daftar Koreksi'!$I$5:$I$92,"&lt;0")-SUMIFS('Daftar Koreksi'!$I$5:$I$92,'Daftar Koreksi'!$D$5:$D$92,'2200'!A202,'Daftar Koreksi'!$G$5:$G$92,"Gedung dan Bangunan",'Daftar Koreksi'!$I$5:$I$92,"&lt;0")-SUMIFS('Daftar Koreksi'!$I$5:$I$92,'Daftar Koreksi'!$D$5:$D$92,'2200'!A202,'Daftar Koreksi'!$G$5:$G$92,"Gedung dan Bangunan",'Daftar Koreksi'!$I$5:$I$92,"&lt;0")</f>
        <v>0</v>
      </c>
      <c r="G216" s="17">
        <f t="shared" si="9"/>
        <v>-837613720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-1551000</v>
      </c>
      <c r="E217" s="25">
        <f>SUMIFS('Daftar Koreksi'!$I$5:$I$92,'Daftar Koreksi'!$D$5:$D$92,'2200'!A202,'Daftar Koreksi'!$G$5:$G$92,"Jalan Irigasi Jaringan",'Daftar Koreksi'!$I$5:$I$92,"&gt;0")</f>
        <v>0</v>
      </c>
      <c r="F217" s="25">
        <f>SUMIFS('Daftar Koreksi'!$I$5:$I$92,'Daftar Koreksi'!$D$5:$D$92,'2200'!A202,'Daftar Koreksi'!$G$5:$G$92,"Jalan Irigasi Jaringan",'Daftar Koreksi'!$I$5:$I$92,"&lt;0")-SUMIFS('Daftar Koreksi'!$I$5:$I$92,'Daftar Koreksi'!$D$5:$D$92,'2200'!A202,'Daftar Koreksi'!$G$5:$G$92,"Jalan Irigasi Jaringan",'Daftar Koreksi'!$I$5:$I$92,"&lt;0")-SUMIFS('Daftar Koreksi'!$I$5:$I$92,'Daftar Koreksi'!$D$5:$D$92,'2200'!A202,'Daftar Koreksi'!$G$5:$G$92,"Jalan Irigasi Jaringan",'Daftar Koreksi'!$I$5:$I$92,"&lt;0")</f>
        <v>0</v>
      </c>
      <c r="G217" s="17">
        <f t="shared" si="9"/>
        <v>-1551000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Koreksi'!$D$5:$D$92,'2200'!A202,'Daftar Koreksi'!$G$5:$G$92,"Aset Tetap Lainnya",'Daftar Koreksi'!$I$5:$I$92,"&gt;0")</f>
        <v>0</v>
      </c>
      <c r="F218" s="25">
        <f>SUMIFS('Daftar Koreksi'!$I$5:$I$92,'Daftar Koreksi'!$D$5:$D$92,'2200'!A202,'Daftar Koreksi'!$G$5:$G$92,"Aset Tetap Lainnya",'Daftar Koreksi'!$I$5:$I$92,"&lt;0")-SUMIFS('Daftar Koreksi'!$I$5:$I$92,'Daftar Koreksi'!$D$5:$D$92,'2200'!A202,'Daftar Koreksi'!$G$5:$G$92,"Aset Tetap Lainnya",'Daftar Koreksi'!$I$5:$I$92,"&lt;0")-SUMIFS('Daftar Koreksi'!$I$5:$I$92,'Daftar Koreksi'!$D$5:$D$92,'2200'!A202,'Daftar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-199825100</v>
      </c>
      <c r="E219" s="25">
        <f>SUMIFS('Daftar Koreksi'!$I$5:$I$92,'Daftar Koreksi'!$D$5:$D$92,'2200'!A202,'Daftar Koreksi'!$G$5:$G$92,"Aset Henti Guna",'Daftar Koreksi'!$I$5:$I$92,"&gt;0")</f>
        <v>0</v>
      </c>
      <c r="F219" s="25">
        <f>SUMIFS('Daftar Koreksi'!$I$5:$I$92,'Daftar Koreksi'!$D$5:$D$92,'2200'!A202,'Daftar Koreksi'!$G$5:$G$92,"Aset Henti Guna",'Daftar Koreksi'!$I$5:$I$92,"&lt;0")-SUMIFS('Daftar Koreksi'!$I$5:$I$92,'Daftar Koreksi'!$D$5:$D$92,'2200'!A202,'Daftar Koreksi'!$G$5:$G$92,"Aset Henti Guna",'Daftar Koreksi'!$I$5:$I$92,"&lt;0")-SUMIFS('Daftar Koreksi'!$I$5:$I$92,'Daftar Koreksi'!$D$5:$D$92,'2200'!A202,'Daftar Koreksi'!$G$5:$G$92,"Aset Henti Guna",'Daftar Koreksi'!$I$5:$I$92,"&lt;0")</f>
        <v>0</v>
      </c>
      <c r="G219" s="17">
        <f t="shared" si="9"/>
        <v>-199825100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-2537510815</v>
      </c>
      <c r="E220" s="19">
        <f>SUM(E215:E219)</f>
        <v>0</v>
      </c>
      <c r="F220" s="19">
        <f>SUM(F215:F219)</f>
        <v>0</v>
      </c>
      <c r="G220" s="19">
        <f t="shared" si="9"/>
        <v>-2537510815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3770977366</v>
      </c>
      <c r="E221" s="19">
        <f>E220+E214</f>
        <v>0</v>
      </c>
      <c r="F221" s="19">
        <f>F220+F214</f>
        <v>0</v>
      </c>
      <c r="G221" s="19">
        <f t="shared" si="9"/>
        <v>3770977366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005012200307839000KD</v>
      </c>
      <c r="B224" s="11" t="str">
        <f>P11</f>
        <v>PA. Singaraja</v>
      </c>
      <c r="C224" s="12" t="str">
        <f>A224&amp;" "&amp;B224</f>
        <v>005012200307839000KD PA. Singaraja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2717250</v>
      </c>
      <c r="E227" s="25">
        <f>SUMIFS('Daftar Koreksi'!$H$5:$H$92,'Daftar Koreksi'!$D$5:$D$92,'2200'!A224,'Daftar Koreksi'!$G$5:$G$92,"Persediaan",'Daftar Koreksi'!$H$5:$H$92,"&gt;0")</f>
        <v>0</v>
      </c>
      <c r="F227" s="25">
        <f>SUMIFS('Daftar Koreksi'!$H$5:$H$92,'Daftar Koreksi'!$D$5:$D$92,'2200'!A224,'Daftar Koreksi'!$G$5:$G$92,"Persediaan",'Daftar Koreksi'!$H$5:$H$92,"&lt;0")-SUMIFS('Daftar Koreksi'!$H$5:$H$92,'Daftar Koreksi'!$D$5:$D$92,'2200'!A224,'Daftar Koreksi'!$G$5:$G$92,"Persediaan",'Daftar Koreksi'!$H$5:$H$92,"&lt;0")-SUMIFS('Daftar Koreksi'!$H$5:$H$92,'Daftar Koreksi'!$D$5:$D$92,'2200'!A224,'Daftar Koreksi'!$G$5:$G$92,"Persediaan",'Daftar Koreksi'!$H$5:$H$92,"&lt;0")</f>
        <v>0</v>
      </c>
      <c r="G227" s="17">
        <f>D227+E227-F227</f>
        <v>2717250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1977600000</v>
      </c>
      <c r="E228" s="25">
        <f>SUMIFS('Daftar Koreksi'!$H$5:$H$92,'Daftar Koreksi'!$D$5:$D$92,'2200'!A224,'Daftar Koreksi'!$G$5:$G$92,"Tanah",'Daftar Koreksi'!$H$5:$H$92,"&gt;0")</f>
        <v>0</v>
      </c>
      <c r="F228" s="25">
        <f>SUMIFS('Daftar Koreksi'!$H$5:$H$92,'Daftar Koreksi'!$D$5:$D$92,'2200'!A224,'Daftar Koreksi'!$G$5:$G$92,"Tanah",'Daftar Koreksi'!$H$5:$H$92,"&lt;0")-SUMIFS('Daftar Koreksi'!$H$5:$H$92,'Daftar Koreksi'!$D$5:$D$92,'2200'!A224,'Daftar Koreksi'!$G$5:$G$92,"Tanah",'Daftar Koreksi'!$H$5:$H$92,"&lt;0")-SUMIFS('Daftar Koreksi'!$H$5:$H$92,'Daftar Koreksi'!$D$5:$D$92,'2200'!A224,'Daftar Koreksi'!$G$5:$G$92,"Tanah",'Daftar Koreksi'!$H$5:$H$92,"&lt;0")</f>
        <v>0</v>
      </c>
      <c r="G228" s="17">
        <f t="shared" ref="G228:G244" si="10">D228+E228-F228</f>
        <v>1977600000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943623996</v>
      </c>
      <c r="E229" s="25">
        <f>SUMIFS('Daftar Koreksi'!$H$5:$H$92,'Daftar Koreksi'!$D$5:$D$92,'2200'!A224,'Daftar Koreksi'!$G$5:$G$92,"Peralatan dan mesin",'Daftar Koreksi'!$H$5:$H$92,"&gt;0")</f>
        <v>0</v>
      </c>
      <c r="F229" s="25">
        <f>SUMIFS('Daftar Koreksi'!$H$5:$H$92,'Daftar Koreksi'!$D$5:$D$92,'2200'!A224,'Daftar Koreksi'!$G$5:$G$92,"Peralatan dan mesin",'Daftar Koreksi'!$H$5:$H$92,"&lt;0")-SUMIFS('Daftar Koreksi'!$H$5:$H$92,'Daftar Koreksi'!$D$5:$D$92,'2200'!A224,'Daftar Koreksi'!$G$5:$G$92,"Peralatan dan mesin",'Daftar Koreksi'!$H$5:$H$92,"&lt;0")-SUMIFS('Daftar Koreksi'!$H$5:$H$92,'Daftar Koreksi'!$D$5:$D$92,'2200'!A224,'Daftar Koreksi'!$G$5:$G$92,"Peralatan dan mesin",'Daftar Koreksi'!$H$5:$H$92,"&lt;0")</f>
        <v>0</v>
      </c>
      <c r="G229" s="17">
        <f t="shared" si="10"/>
        <v>943623996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2990597000</v>
      </c>
      <c r="E230" s="25">
        <f>SUMIFS('Daftar Koreksi'!$H$5:$H$92,'Daftar Koreksi'!$D$5:$D$92,'2200'!A224,'Daftar Koreksi'!$G$5:$G$92,"Gedung dan Bangunan",'Daftar Koreksi'!$H$5:$H$92,"&gt;0")</f>
        <v>0</v>
      </c>
      <c r="F230" s="25">
        <f>SUMIFS('Daftar Koreksi'!$H$5:$H$92,'Daftar Koreksi'!$D$5:$D$92,'2200'!A224,'Daftar Koreksi'!$G$5:$G$92,"Gedung dan Bangunan",'Daftar Koreksi'!$H$5:$H$92,"&lt;0")-SUMIFS('Daftar Koreksi'!$H$5:$H$92,'Daftar Koreksi'!$D$5:$D$92,'2200'!A224,'Daftar Koreksi'!$G$5:$G$92,"Gedung dan Bangunan",'Daftar Koreksi'!$H$5:$H$92,"&lt;0")-SUMIFS('Daftar Koreksi'!$H$5:$H$92,'Daftar Koreksi'!$D$5:$D$92,'2200'!A224,'Daftar Koreksi'!$G$5:$G$92,"Gedung dan Bangunan",'Daftar Koreksi'!$H$5:$H$92,"&lt;0")</f>
        <v>0</v>
      </c>
      <c r="G230" s="17">
        <f t="shared" si="10"/>
        <v>2990597000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134178000</v>
      </c>
      <c r="E231" s="25">
        <f>SUMIFS('Daftar Koreksi'!$H$5:$H$92,'Daftar Koreksi'!$D$5:$D$92,'2200'!A224,'Daftar Koreksi'!$G$5:$G$92,"Jalan Irigasi Jaringan",'Daftar Koreksi'!$H$5:$H$92,"&gt;0")</f>
        <v>0</v>
      </c>
      <c r="F231" s="25">
        <f>SUMIFS('Daftar Koreksi'!$H$5:$H$92,'Daftar Koreksi'!$D$5:$D$92,'2200'!A224,'Daftar Koreksi'!$G$5:$G$92,"Jalan Irigasi Jaringan",'Daftar Koreksi'!$H$5:$H$92,"&lt;0")-SUMIFS('Daftar Koreksi'!$H$5:$H$92,'Daftar Koreksi'!$D$5:$D$92,'2200'!A224,'Daftar Koreksi'!$G$5:$G$92,"Jalan Irigasi Jaringan",'Daftar Koreksi'!$H$5:$H$92,"&lt;0")-SUMIFS('Daftar Koreksi'!$H$5:$H$92,'Daftar Koreksi'!$D$5:$D$92,'2200'!A224,'Daftar Koreksi'!$G$5:$G$92,"Jalan Irigasi Jaringan",'Daftar Koreksi'!$H$5:$H$92,"&lt;0")</f>
        <v>0</v>
      </c>
      <c r="G231" s="17">
        <f t="shared" si="10"/>
        <v>134178000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10901320</v>
      </c>
      <c r="E232" s="25">
        <f>SUMIFS('Daftar Koreksi'!$H$5:$H$92,'Daftar Koreksi'!$D$5:$D$92,'2200'!A224,'Daftar Koreksi'!$G$5:$G$92,"Aset Tetap Lainnya",'Daftar Koreksi'!$H$5:$H$92,"&gt;0")</f>
        <v>0</v>
      </c>
      <c r="F232" s="25">
        <f>SUMIFS('Daftar Koreksi'!$H$5:$H$92,'Daftar Koreksi'!$D$5:$D$92,'2200'!A224,'Daftar Koreksi'!$G$5:$G$92,"Aset Tetap Lainnya",'Daftar Koreksi'!$H$5:$H$92,"&lt;0")-SUMIFS('Daftar Koreksi'!$H$5:$H$92,'Daftar Koreksi'!$D$5:$D$92,'2200'!A224,'Daftar Koreksi'!$G$5:$G$92,"Aset Tetap Lainnya",'Daftar Koreksi'!$H$5:$H$92,"&lt;0")-SUMIFS('Daftar Koreksi'!$H$5:$H$92,'Daftar Koreksi'!$D$5:$D$92,'2200'!A224,'Daftar Koreksi'!$G$5:$G$92,"Aset Tetap Lainnya",'Daftar Koreksi'!$H$5:$H$92,"&lt;0")</f>
        <v>0</v>
      </c>
      <c r="G232" s="17">
        <f t="shared" si="10"/>
        <v>10901320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Koreksi'!$D$5:$D$92,'2200'!A224,'Daftar Koreksi'!$G$5:$G$92,"Kontruksi Dalam Pengerjaan",'Daftar Koreksi'!$H$5:$H$92,"&gt;0")</f>
        <v>0</v>
      </c>
      <c r="F233" s="25">
        <f>SUMIFS('Daftar Koreksi'!$H$5:$H$92,'Daftar Koreksi'!$D$5:$D$92,'2200'!A224,'Daftar Koreksi'!$G$5:$G$92,"Kontruksi Dalam Pengerjaan",'Daftar Koreksi'!$H$5:$H$92,"&lt;0")-SUMIFS('Daftar Koreksi'!$H$5:$H$92,'Daftar Koreksi'!$D$5:$D$92,'2200'!A224,'Daftar Koreksi'!$G$5:$G$92,"Kontruksi Dalam Pengerjaan",'Daftar Koreksi'!$H$5:$H$92,"&lt;0")-SUMIFS('Daftar Koreksi'!$H$5:$H$92,'Daftar Koreksi'!$D$5:$D$92,'2200'!A224,'Daftar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Koreksi'!$D$5:$D$92,'2200'!A224,'Daftar Koreksi'!$G$5:$G$92,"Aset Tak Berwujud",'Daftar Koreksi'!$H$5:$H$92,"&gt;0")</f>
        <v>0</v>
      </c>
      <c r="F234" s="25">
        <f>SUMIFS('Daftar Koreksi'!$H$5:$H$92,'Daftar Koreksi'!$D$5:$D$92,'2200'!A224,'Daftar Koreksi'!$G$5:$G$92,"Aset Tak Berwujud",'Daftar Koreksi'!$H$5:$H$92,"&lt;0")-SUMIFS('Daftar Koreksi'!$H$5:$H$92,'Daftar Koreksi'!$D$5:$D$92,'2200'!A224,'Daftar Koreksi'!$G$5:$G$92,"Aset Tak Berwujud",'Daftar Koreksi'!$H$5:$H$92,"&lt;0")-SUMIFS('Daftar Koreksi'!$H$5:$H$92,'Daftar Koreksi'!$D$5:$D$92,'2200'!A224,'Daftar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91838577</v>
      </c>
      <c r="E235" s="25">
        <f>SUMIFS('Daftar Koreksi'!$H$5:$H$92,'Daftar Koreksi'!$D$5:$D$92,'2200'!A224,'Daftar Koreksi'!$G$5:$G$92,"Aset Henti Guna",'Daftar Koreksi'!$H$5:$H$92,"&gt;0")</f>
        <v>0</v>
      </c>
      <c r="F235" s="25">
        <f>SUMIFS('Daftar Koreksi'!$H$5:$H$92,'Daftar Koreksi'!$D$5:$D$92,'2200'!A224,'Daftar Koreksi'!$G$5:$G$92,"Aset Henti Guna",'Daftar Koreksi'!$H$5:$H$92,"&lt;0")-SUMIFS('Daftar Koreksi'!$H$5:$H$92,'Daftar Koreksi'!$D$5:$D$92,'2200'!A224,'Daftar Koreksi'!$G$5:$G$92,"Aset Henti Guna",'Daftar Koreksi'!$H$5:$H$92,"&lt;0")-SUMIFS('Daftar Koreksi'!$H$5:$H$92,'Daftar Koreksi'!$D$5:$D$92,'2200'!A224,'Daftar Koreksi'!$G$5:$G$92,"Aset Henti Guna",'Daftar Koreksi'!$H$5:$H$92,"&lt;0")</f>
        <v>0</v>
      </c>
      <c r="G235" s="17">
        <f t="shared" si="10"/>
        <v>91838577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6151456143</v>
      </c>
      <c r="E236" s="19">
        <f>SUM(E227:E235)</f>
        <v>0</v>
      </c>
      <c r="F236" s="19">
        <f>SUM(F227:F235)</f>
        <v>0</v>
      </c>
      <c r="G236" s="19">
        <f t="shared" si="10"/>
        <v>6151456143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-849119256</v>
      </c>
      <c r="E237" s="25">
        <f>SUMIFS('Daftar Koreksi'!$I$5:$I$92,'Daftar Koreksi'!$D$5:$D$92,'2200'!A224,'Daftar Koreksi'!$G$5:$G$92,"Peralatan dan mesin",'Daftar Koreksi'!$I$5:$I$92,"&gt;0")</f>
        <v>0</v>
      </c>
      <c r="F237" s="25">
        <f>SUMIFS('Daftar Koreksi'!$I$5:$I$92,'Daftar Koreksi'!$D$5:$D$92,'2200'!A224,'Daftar Koreksi'!$G$5:$G$92,"Peralatan dan mesin",'Daftar Koreksi'!$I$5:$I$92,"&lt;0")-SUMIFS('Daftar Koreksi'!$I$5:$I$92,'Daftar Koreksi'!$D$5:$D$92,'2200'!A224,'Daftar Koreksi'!$G$5:$G$92,"Peralatan dan mesin",'Daftar Koreksi'!$I$5:$I$92,"&lt;0")-SUMIFS('Daftar Koreksi'!$I$5:$I$92,'Daftar Koreksi'!$D$5:$D$92,'2200'!A224,'Daftar Koreksi'!$G$5:$G$92,"Peralatan dan mesin",'Daftar Koreksi'!$I$5:$I$92,"&lt;0")</f>
        <v>0</v>
      </c>
      <c r="G237" s="17">
        <f t="shared" si="10"/>
        <v>-849119256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-338934873</v>
      </c>
      <c r="E238" s="25">
        <f>SUMIFS('Daftar Koreksi'!$I$5:$I$92,'Daftar Koreksi'!$D$5:$D$92,'2200'!A224,'Daftar Koreksi'!$G$5:$G$92,"Gedung dan Bangunan",'Daftar Koreksi'!$I$5:$I$92,"&gt;0")</f>
        <v>0</v>
      </c>
      <c r="F238" s="25">
        <f>SUMIFS('Daftar Koreksi'!$I$5:$I$92,'Daftar Koreksi'!$D$5:$D$92,'2200'!A224,'Daftar Koreksi'!$G$5:$G$92,"Gedung dan Bangunan",'Daftar Koreksi'!$I$5:$I$92,"&lt;0")-SUMIFS('Daftar Koreksi'!$I$5:$I$92,'Daftar Koreksi'!$D$5:$D$92,'2200'!A224,'Daftar Koreksi'!$G$5:$G$92,"Gedung dan Bangunan",'Daftar Koreksi'!$I$5:$I$92,"&lt;0")-SUMIFS('Daftar Koreksi'!$I$5:$I$92,'Daftar Koreksi'!$D$5:$D$92,'2200'!A224,'Daftar Koreksi'!$G$5:$G$92,"Gedung dan Bangunan",'Daftar Koreksi'!$I$5:$I$92,"&lt;0")</f>
        <v>0</v>
      </c>
      <c r="G238" s="17">
        <f t="shared" si="10"/>
        <v>-338934873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-39953425</v>
      </c>
      <c r="E239" s="25">
        <f>SUMIFS('Daftar Koreksi'!$I$5:$I$92,'Daftar Koreksi'!$D$5:$D$92,'2200'!A224,'Daftar Koreksi'!$G$5:$G$92,"Jalan Irigasi Jaringan",'Daftar Koreksi'!$I$5:$I$92,"&gt;0")</f>
        <v>0</v>
      </c>
      <c r="F239" s="25">
        <f>SUMIFS('Daftar Koreksi'!$I$5:$I$92,'Daftar Koreksi'!$D$5:$D$92,'2200'!A224,'Daftar Koreksi'!$G$5:$G$92,"Jalan Irigasi Jaringan",'Daftar Koreksi'!$I$5:$I$92,"&lt;0")-SUMIFS('Daftar Koreksi'!$I$5:$I$92,'Daftar Koreksi'!$D$5:$D$92,'2200'!A224,'Daftar Koreksi'!$G$5:$G$92,"Jalan Irigasi Jaringan",'Daftar Koreksi'!$I$5:$I$92,"&lt;0")-SUMIFS('Daftar Koreksi'!$I$5:$I$92,'Daftar Koreksi'!$D$5:$D$92,'2200'!A224,'Daftar Koreksi'!$G$5:$G$92,"Jalan Irigasi Jaringan",'Daftar Koreksi'!$I$5:$I$92,"&lt;0")</f>
        <v>0</v>
      </c>
      <c r="G239" s="17">
        <f t="shared" si="10"/>
        <v>-39953425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Koreksi'!$D$5:$D$92,'2200'!A224,'Daftar Koreksi'!$G$5:$G$92,"Aset Tetap Lainnya",'Daftar Koreksi'!$I$5:$I$92,"&gt;0")</f>
        <v>0</v>
      </c>
      <c r="F240" s="25">
        <f>SUMIFS('Daftar Koreksi'!$I$5:$I$92,'Daftar Koreksi'!$D$5:$D$92,'2200'!A224,'Daftar Koreksi'!$G$5:$G$92,"Aset Tetap Lainnya",'Daftar Koreksi'!$I$5:$I$92,"&lt;0")-SUMIFS('Daftar Koreksi'!$I$5:$I$92,'Daftar Koreksi'!$D$5:$D$92,'2200'!A224,'Daftar Koreksi'!$G$5:$G$92,"Aset Tetap Lainnya",'Daftar Koreksi'!$I$5:$I$92,"&lt;0")-SUMIFS('Daftar Koreksi'!$I$5:$I$92,'Daftar Koreksi'!$D$5:$D$92,'2200'!A224,'Daftar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-91523577</v>
      </c>
      <c r="E241" s="25">
        <f>SUMIFS('Daftar Koreksi'!$I$5:$I$92,'Daftar Koreksi'!$D$5:$D$92,'2200'!A224,'Daftar Koreksi'!$G$5:$G$92,"Aset Henti Guna",'Daftar Koreksi'!$I$5:$I$92,"&gt;0")</f>
        <v>0</v>
      </c>
      <c r="F241" s="25">
        <f>SUMIFS('Daftar Koreksi'!$I$5:$I$92,'Daftar Koreksi'!$D$5:$D$92,'2200'!A224,'Daftar Koreksi'!$G$5:$G$92,"Aset Henti Guna",'Daftar Koreksi'!$I$5:$I$92,"&lt;0")-SUMIFS('Daftar Koreksi'!$I$5:$I$92,'Daftar Koreksi'!$D$5:$D$92,'2200'!A224,'Daftar Koreksi'!$G$5:$G$92,"Aset Henti Guna",'Daftar Koreksi'!$I$5:$I$92,"&lt;0")-SUMIFS('Daftar Koreksi'!$I$5:$I$92,'Daftar Koreksi'!$D$5:$D$92,'2200'!A224,'Daftar Koreksi'!$G$5:$G$92,"Aset Henti Guna",'Daftar Koreksi'!$I$5:$I$92,"&lt;0")</f>
        <v>0</v>
      </c>
      <c r="G241" s="17">
        <f t="shared" si="10"/>
        <v>-91523577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-1319531131</v>
      </c>
      <c r="E242" s="19">
        <f>SUM(E237:E241)</f>
        <v>0</v>
      </c>
      <c r="F242" s="19">
        <f>SUM(F237:F241)</f>
        <v>0</v>
      </c>
      <c r="G242" s="19">
        <f t="shared" si="10"/>
        <v>-1319531131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4831925012</v>
      </c>
      <c r="E243" s="19">
        <f>E242+E236</f>
        <v>0</v>
      </c>
      <c r="F243" s="19">
        <f>F242+F236</f>
        <v>0</v>
      </c>
      <c r="G243" s="19">
        <f t="shared" si="10"/>
        <v>4831925012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005012200402726000KD</v>
      </c>
      <c r="B246" s="11" t="str">
        <f>P12</f>
        <v>PA. Bangli</v>
      </c>
      <c r="C246" s="12" t="str">
        <f>A246&amp;" "&amp;B246</f>
        <v>005012200402726000KD PA. Bangli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1277550</v>
      </c>
      <c r="E249" s="25">
        <f>SUMIFS('Daftar Koreksi'!$H$5:$H$92,'Daftar Koreksi'!$D$5:$D$92,'2200'!A246,'Daftar Koreksi'!$G$5:$G$92,"Persediaan",'Daftar Koreksi'!$H$5:$H$92,"&gt;0")</f>
        <v>0</v>
      </c>
      <c r="F249" s="25">
        <f>SUMIFS('Daftar Koreksi'!$H$5:$H$92,'Daftar Koreksi'!$D$5:$D$92,'2200'!A246,'Daftar Koreksi'!$G$5:$G$92,"Persediaan",'Daftar Koreksi'!$H$5:$H$92,"&lt;0")-SUMIFS('Daftar Koreksi'!$H$5:$H$92,'Daftar Koreksi'!$D$5:$D$92,'2200'!A246,'Daftar Koreksi'!$G$5:$G$92,"Persediaan",'Daftar Koreksi'!$H$5:$H$92,"&lt;0")-SUMIFS('Daftar Koreksi'!$H$5:$H$92,'Daftar Koreksi'!$D$5:$D$92,'2200'!A246,'Daftar Koreksi'!$G$5:$G$92,"Persediaan",'Daftar Koreksi'!$H$5:$H$92,"&lt;0")</f>
        <v>0</v>
      </c>
      <c r="G249" s="17">
        <f>D249+E249-F249</f>
        <v>1277550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578750000</v>
      </c>
      <c r="E250" s="25">
        <f>SUMIFS('Daftar Koreksi'!$H$5:$H$92,'Daftar Koreksi'!$D$5:$D$92,'2200'!A246,'Daftar Koreksi'!$G$5:$G$92,"Tanah",'Daftar Koreksi'!$H$5:$H$92,"&gt;0")</f>
        <v>0</v>
      </c>
      <c r="F250" s="25">
        <f>SUMIFS('Daftar Koreksi'!$H$5:$H$92,'Daftar Koreksi'!$D$5:$D$92,'2200'!A246,'Daftar Koreksi'!$G$5:$G$92,"Tanah",'Daftar Koreksi'!$H$5:$H$92,"&lt;0")-SUMIFS('Daftar Koreksi'!$H$5:$H$92,'Daftar Koreksi'!$D$5:$D$92,'2200'!A246,'Daftar Koreksi'!$G$5:$G$92,"Tanah",'Daftar Koreksi'!$H$5:$H$92,"&lt;0")-SUMIFS('Daftar Koreksi'!$H$5:$H$92,'Daftar Koreksi'!$D$5:$D$92,'2200'!A246,'Daftar Koreksi'!$G$5:$G$92,"Tanah",'Daftar Koreksi'!$H$5:$H$92,"&lt;0")</f>
        <v>0</v>
      </c>
      <c r="G250" s="17">
        <f t="shared" ref="G250:G266" si="11">D250+E250-F250</f>
        <v>578750000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1414932682</v>
      </c>
      <c r="E251" s="25">
        <f>SUMIFS('Daftar Koreksi'!$H$5:$H$92,'Daftar Koreksi'!$D$5:$D$92,'2200'!A246,'Daftar Koreksi'!$G$5:$G$92,"Peralatan dan mesin",'Daftar Koreksi'!$H$5:$H$92,"&gt;0")</f>
        <v>0</v>
      </c>
      <c r="F251" s="25">
        <f>SUMIFS('Daftar Koreksi'!$H$5:$H$92,'Daftar Koreksi'!$D$5:$D$92,'2200'!A246,'Daftar Koreksi'!$G$5:$G$92,"Peralatan dan mesin",'Daftar Koreksi'!$H$5:$H$92,"&lt;0")-SUMIFS('Daftar Koreksi'!$H$5:$H$92,'Daftar Koreksi'!$D$5:$D$92,'2200'!A246,'Daftar Koreksi'!$G$5:$G$92,"Peralatan dan mesin",'Daftar Koreksi'!$H$5:$H$92,"&lt;0")-SUMIFS('Daftar Koreksi'!$H$5:$H$92,'Daftar Koreksi'!$D$5:$D$92,'2200'!A246,'Daftar Koreksi'!$G$5:$G$92,"Peralatan dan mesin",'Daftar Koreksi'!$H$5:$H$92,"&lt;0")</f>
        <v>0</v>
      </c>
      <c r="G251" s="17">
        <f t="shared" si="11"/>
        <v>1414932682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2070222000</v>
      </c>
      <c r="E252" s="25">
        <f>SUMIFS('Daftar Koreksi'!$H$5:$H$92,'Daftar Koreksi'!$D$5:$D$92,'2200'!A246,'Daftar Koreksi'!$G$5:$G$92,"Gedung dan Bangunan",'Daftar Koreksi'!$H$5:$H$92,"&gt;0")</f>
        <v>0</v>
      </c>
      <c r="F252" s="25">
        <f>SUMIFS('Daftar Koreksi'!$H$5:$H$92,'Daftar Koreksi'!$D$5:$D$92,'2200'!A246,'Daftar Koreksi'!$G$5:$G$92,"Gedung dan Bangunan",'Daftar Koreksi'!$H$5:$H$92,"&lt;0")-SUMIFS('Daftar Koreksi'!$H$5:$H$92,'Daftar Koreksi'!$D$5:$D$92,'2200'!A246,'Daftar Koreksi'!$G$5:$G$92,"Gedung dan Bangunan",'Daftar Koreksi'!$H$5:$H$92,"&lt;0")-SUMIFS('Daftar Koreksi'!$H$5:$H$92,'Daftar Koreksi'!$D$5:$D$92,'2200'!A246,'Daftar Koreksi'!$G$5:$G$92,"Gedung dan Bangunan",'Daftar Koreksi'!$H$5:$H$92,"&lt;0")</f>
        <v>0</v>
      </c>
      <c r="G252" s="17">
        <f t="shared" si="11"/>
        <v>2070222000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10000000</v>
      </c>
      <c r="E253" s="25">
        <f>SUMIFS('Daftar Koreksi'!$H$5:$H$92,'Daftar Koreksi'!$D$5:$D$92,'2200'!A246,'Daftar Koreksi'!$G$5:$G$92,"Jalan Irigasi Jaringan",'Daftar Koreksi'!$H$5:$H$92,"&gt;0")</f>
        <v>0</v>
      </c>
      <c r="F253" s="25">
        <f>SUMIFS('Daftar Koreksi'!$H$5:$H$92,'Daftar Koreksi'!$D$5:$D$92,'2200'!A246,'Daftar Koreksi'!$G$5:$G$92,"Jalan Irigasi Jaringan",'Daftar Koreksi'!$H$5:$H$92,"&lt;0")-SUMIFS('Daftar Koreksi'!$H$5:$H$92,'Daftar Koreksi'!$D$5:$D$92,'2200'!A246,'Daftar Koreksi'!$G$5:$G$92,"Jalan Irigasi Jaringan",'Daftar Koreksi'!$H$5:$H$92,"&lt;0")-SUMIFS('Daftar Koreksi'!$H$5:$H$92,'Daftar Koreksi'!$D$5:$D$92,'2200'!A246,'Daftar Koreksi'!$G$5:$G$92,"Jalan Irigasi Jaringan",'Daftar Koreksi'!$H$5:$H$92,"&lt;0")</f>
        <v>0</v>
      </c>
      <c r="G253" s="17">
        <f t="shared" si="11"/>
        <v>10000000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19451700</v>
      </c>
      <c r="E254" s="25">
        <f>SUMIFS('Daftar Koreksi'!$H$5:$H$92,'Daftar Koreksi'!$D$5:$D$92,'2200'!A246,'Daftar Koreksi'!$G$5:$G$92,"Aset Tetap Lainnya",'Daftar Koreksi'!$H$5:$H$92,"&gt;0")</f>
        <v>0</v>
      </c>
      <c r="F254" s="25">
        <f>SUMIFS('Daftar Koreksi'!$H$5:$H$92,'Daftar Koreksi'!$D$5:$D$92,'2200'!A246,'Daftar Koreksi'!$G$5:$G$92,"Aset Tetap Lainnya",'Daftar Koreksi'!$H$5:$H$92,"&lt;0")-SUMIFS('Daftar Koreksi'!$H$5:$H$92,'Daftar Koreksi'!$D$5:$D$92,'2200'!A246,'Daftar Koreksi'!$G$5:$G$92,"Aset Tetap Lainnya",'Daftar Koreksi'!$H$5:$H$92,"&lt;0")-SUMIFS('Daftar Koreksi'!$H$5:$H$92,'Daftar Koreksi'!$D$5:$D$92,'2200'!A246,'Daftar Koreksi'!$G$5:$G$92,"Aset Tetap Lainnya",'Daftar Koreksi'!$H$5:$H$92,"&lt;0")</f>
        <v>0</v>
      </c>
      <c r="G254" s="17">
        <f t="shared" si="11"/>
        <v>19451700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Koreksi'!$D$5:$D$92,'2200'!A246,'Daftar Koreksi'!$G$5:$G$92,"Kontruksi Dalam Pengerjaan",'Daftar Koreksi'!$H$5:$H$92,"&gt;0")</f>
        <v>0</v>
      </c>
      <c r="F255" s="25">
        <f>SUMIFS('Daftar Koreksi'!$H$5:$H$92,'Daftar Koreksi'!$D$5:$D$92,'2200'!A246,'Daftar Koreksi'!$G$5:$G$92,"Kontruksi Dalam Pengerjaan",'Daftar Koreksi'!$H$5:$H$92,"&lt;0")-SUMIFS('Daftar Koreksi'!$H$5:$H$92,'Daftar Koreksi'!$D$5:$D$92,'2200'!A246,'Daftar Koreksi'!$G$5:$G$92,"Kontruksi Dalam Pengerjaan",'Daftar Koreksi'!$H$5:$H$92,"&lt;0")-SUMIFS('Daftar Koreksi'!$H$5:$H$92,'Daftar Koreksi'!$D$5:$D$92,'2200'!A246,'Daftar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13000000</v>
      </c>
      <c r="E256" s="25">
        <f>SUMIFS('Daftar Koreksi'!$H$5:$H$92,'Daftar Koreksi'!$D$5:$D$92,'2200'!A246,'Daftar Koreksi'!$G$5:$G$92,"Aset Tak Berwujud",'Daftar Koreksi'!$H$5:$H$92,"&gt;0")</f>
        <v>0</v>
      </c>
      <c r="F256" s="25">
        <f>SUMIFS('Daftar Koreksi'!$H$5:$H$92,'Daftar Koreksi'!$D$5:$D$92,'2200'!A246,'Daftar Koreksi'!$G$5:$G$92,"Aset Tak Berwujud",'Daftar Koreksi'!$H$5:$H$92,"&lt;0")-SUMIFS('Daftar Koreksi'!$H$5:$H$92,'Daftar Koreksi'!$D$5:$D$92,'2200'!A246,'Daftar Koreksi'!$G$5:$G$92,"Aset Tak Berwujud",'Daftar Koreksi'!$H$5:$H$92,"&lt;0")-SUMIFS('Daftar Koreksi'!$H$5:$H$92,'Daftar Koreksi'!$D$5:$D$92,'2200'!A246,'Daftar Koreksi'!$G$5:$G$92,"Aset Tak Berwujud",'Daftar Koreksi'!$H$5:$H$92,"&lt;0")</f>
        <v>0</v>
      </c>
      <c r="G256" s="17">
        <f t="shared" si="11"/>
        <v>13000000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32134000</v>
      </c>
      <c r="E257" s="25">
        <f>SUMIFS('Daftar Koreksi'!$H$5:$H$92,'Daftar Koreksi'!$D$5:$D$92,'2200'!A246,'Daftar Koreksi'!$G$5:$G$92,"Aset Henti Guna",'Daftar Koreksi'!$H$5:$H$92,"&gt;0")</f>
        <v>0</v>
      </c>
      <c r="F257" s="25">
        <f>SUMIFS('Daftar Koreksi'!$H$5:$H$92,'Daftar Koreksi'!$D$5:$D$92,'2200'!A246,'Daftar Koreksi'!$G$5:$G$92,"Aset Henti Guna",'Daftar Koreksi'!$H$5:$H$92,"&lt;0")-SUMIFS('Daftar Koreksi'!$H$5:$H$92,'Daftar Koreksi'!$D$5:$D$92,'2200'!A246,'Daftar Koreksi'!$G$5:$G$92,"Aset Henti Guna",'Daftar Koreksi'!$H$5:$H$92,"&lt;0")-SUMIFS('Daftar Koreksi'!$H$5:$H$92,'Daftar Koreksi'!$D$5:$D$92,'2200'!A246,'Daftar Koreksi'!$G$5:$G$92,"Aset Henti Guna",'Daftar Koreksi'!$H$5:$H$92,"&lt;0")</f>
        <v>0</v>
      </c>
      <c r="G257" s="17">
        <f t="shared" si="11"/>
        <v>32134000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4139767932</v>
      </c>
      <c r="E258" s="19">
        <f>SUM(E249:E257)</f>
        <v>0</v>
      </c>
      <c r="F258" s="19">
        <f>SUM(F249:F257)</f>
        <v>0</v>
      </c>
      <c r="G258" s="19">
        <f t="shared" si="11"/>
        <v>4139767932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-1212897562</v>
      </c>
      <c r="E259" s="25">
        <f>SUMIFS('Daftar Koreksi'!$I$5:$I$92,'Daftar Koreksi'!$D$5:$D$92,'2200'!A246,'Daftar Koreksi'!$G$5:$G$92,"Peralatan dan mesin",'Daftar Koreksi'!$I$5:$I$92,"&gt;0")</f>
        <v>0</v>
      </c>
      <c r="F259" s="25">
        <f>SUMIFS('Daftar Koreksi'!$I$5:$I$92,'Daftar Koreksi'!$D$5:$D$92,'2200'!A246,'Daftar Koreksi'!$G$5:$G$92,"Peralatan dan mesin",'Daftar Koreksi'!$I$5:$I$92,"&lt;0")-SUMIFS('Daftar Koreksi'!$I$5:$I$92,'Daftar Koreksi'!$D$5:$D$92,'2200'!A246,'Daftar Koreksi'!$G$5:$G$92,"Peralatan dan mesin",'Daftar Koreksi'!$I$5:$I$92,"&lt;0")-SUMIFS('Daftar Koreksi'!$I$5:$I$92,'Daftar Koreksi'!$D$5:$D$92,'2200'!A246,'Daftar Koreksi'!$G$5:$G$92,"Peralatan dan mesin",'Daftar Koreksi'!$I$5:$I$92,"&lt;0")</f>
        <v>0</v>
      </c>
      <c r="G259" s="17">
        <f t="shared" si="11"/>
        <v>-1212897562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-338782892</v>
      </c>
      <c r="E260" s="25">
        <f>SUMIFS('Daftar Koreksi'!$I$5:$I$92,'Daftar Koreksi'!$D$5:$D$92,'2200'!A246,'Daftar Koreksi'!$G$5:$G$92,"Gedung dan Bangunan",'Daftar Koreksi'!$I$5:$I$92,"&gt;0")</f>
        <v>0</v>
      </c>
      <c r="F260" s="25">
        <f>SUMIFS('Daftar Koreksi'!$I$5:$I$92,'Daftar Koreksi'!$D$5:$D$92,'2200'!A246,'Daftar Koreksi'!$G$5:$G$92,"Gedung dan Bangunan",'Daftar Koreksi'!$I$5:$I$92,"&lt;0")-SUMIFS('Daftar Koreksi'!$I$5:$I$92,'Daftar Koreksi'!$D$5:$D$92,'2200'!A246,'Daftar Koreksi'!$G$5:$G$92,"Gedung dan Bangunan",'Daftar Koreksi'!$I$5:$I$92,"&lt;0")-SUMIFS('Daftar Koreksi'!$I$5:$I$92,'Daftar Koreksi'!$D$5:$D$92,'2200'!A246,'Daftar Koreksi'!$G$5:$G$92,"Gedung dan Bangunan",'Daftar Koreksi'!$I$5:$I$92,"&lt;0")</f>
        <v>0</v>
      </c>
      <c r="G260" s="17">
        <f t="shared" si="11"/>
        <v>-338782892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-875000</v>
      </c>
      <c r="E261" s="25">
        <f>SUMIFS('Daftar Koreksi'!$I$5:$I$92,'Daftar Koreksi'!$D$5:$D$92,'2200'!A246,'Daftar Koreksi'!$G$5:$G$92,"Jalan Irigasi Jaringan",'Daftar Koreksi'!$I$5:$I$92,"&gt;0")</f>
        <v>0</v>
      </c>
      <c r="F261" s="25">
        <f>SUMIFS('Daftar Koreksi'!$I$5:$I$92,'Daftar Koreksi'!$D$5:$D$92,'2200'!A246,'Daftar Koreksi'!$G$5:$G$92,"Jalan Irigasi Jaringan",'Daftar Koreksi'!$I$5:$I$92,"&lt;0")-SUMIFS('Daftar Koreksi'!$I$5:$I$92,'Daftar Koreksi'!$D$5:$D$92,'2200'!A246,'Daftar Koreksi'!$G$5:$G$92,"Jalan Irigasi Jaringan",'Daftar Koreksi'!$I$5:$I$92,"&lt;0")-SUMIFS('Daftar Koreksi'!$I$5:$I$92,'Daftar Koreksi'!$D$5:$D$92,'2200'!A246,'Daftar Koreksi'!$G$5:$G$92,"Jalan Irigasi Jaringan",'Daftar Koreksi'!$I$5:$I$92,"&lt;0")</f>
        <v>0</v>
      </c>
      <c r="G261" s="17">
        <f t="shared" si="11"/>
        <v>-875000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Koreksi'!$D$5:$D$92,'2200'!A246,'Daftar Koreksi'!$G$5:$G$92,"Aset Tetap Lainnya",'Daftar Koreksi'!$I$5:$I$92,"&gt;0")</f>
        <v>0</v>
      </c>
      <c r="F262" s="25">
        <f>SUMIFS('Daftar Koreksi'!$I$5:$I$92,'Daftar Koreksi'!$D$5:$D$92,'2200'!A246,'Daftar Koreksi'!$G$5:$G$92,"Aset Tetap Lainnya",'Daftar Koreksi'!$I$5:$I$92,"&lt;0")-SUMIFS('Daftar Koreksi'!$I$5:$I$92,'Daftar Koreksi'!$D$5:$D$92,'2200'!A246,'Daftar Koreksi'!$G$5:$G$92,"Aset Tetap Lainnya",'Daftar Koreksi'!$I$5:$I$92,"&lt;0")-SUMIFS('Daftar Koreksi'!$I$5:$I$92,'Daftar Koreksi'!$D$5:$D$92,'2200'!A246,'Daftar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-32134000</v>
      </c>
      <c r="E263" s="25">
        <f>SUMIFS('Daftar Koreksi'!$I$5:$I$92,'Daftar Koreksi'!$D$5:$D$92,'2200'!A246,'Daftar Koreksi'!$G$5:$G$92,"Aset Henti Guna",'Daftar Koreksi'!$I$5:$I$92,"&gt;0")</f>
        <v>0</v>
      </c>
      <c r="F263" s="25">
        <f>SUMIFS('Daftar Koreksi'!$I$5:$I$92,'Daftar Koreksi'!$D$5:$D$92,'2200'!A246,'Daftar Koreksi'!$G$5:$G$92,"Aset Henti Guna",'Daftar Koreksi'!$I$5:$I$92,"&lt;0")-SUMIFS('Daftar Koreksi'!$I$5:$I$92,'Daftar Koreksi'!$D$5:$D$92,'2200'!A246,'Daftar Koreksi'!$G$5:$G$92,"Aset Henti Guna",'Daftar Koreksi'!$I$5:$I$92,"&lt;0")-SUMIFS('Daftar Koreksi'!$I$5:$I$92,'Daftar Koreksi'!$D$5:$D$92,'2200'!A246,'Daftar Koreksi'!$G$5:$G$92,"Aset Henti Guna",'Daftar Koreksi'!$I$5:$I$92,"&lt;0")</f>
        <v>0</v>
      </c>
      <c r="G263" s="17">
        <f t="shared" si="11"/>
        <v>-32134000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-1584689454</v>
      </c>
      <c r="E264" s="19">
        <f>SUM(E259:E263)</f>
        <v>0</v>
      </c>
      <c r="F264" s="19">
        <f>SUM(F259:F263)</f>
        <v>0</v>
      </c>
      <c r="G264" s="19">
        <f t="shared" si="11"/>
        <v>-1584689454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2555078478</v>
      </c>
      <c r="E265" s="19">
        <f>E264+E258</f>
        <v>0</v>
      </c>
      <c r="F265" s="19">
        <f>F264+F258</f>
        <v>0</v>
      </c>
      <c r="G265" s="19">
        <f t="shared" si="11"/>
        <v>2555078478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005012200402732000KD</v>
      </c>
      <c r="B268" s="11" t="str">
        <f>P13</f>
        <v>PA. Negara</v>
      </c>
      <c r="C268" s="12" t="str">
        <f>A268&amp;" "&amp;B268</f>
        <v>005012200402732000KD PA. Negara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572100</v>
      </c>
      <c r="E271" s="25">
        <f>SUMIFS('Daftar Koreksi'!$H$5:$H$92,'Daftar Koreksi'!$D$5:$D$92,'2200'!A268,'Daftar Koreksi'!$G$5:$G$92,"Persediaan",'Daftar Koreksi'!$H$5:$H$92,"&gt;0")</f>
        <v>0</v>
      </c>
      <c r="F271" s="25">
        <f>SUMIFS('Daftar Koreksi'!$H$5:$H$92,'Daftar Koreksi'!$D$5:$D$92,'2200'!A268,'Daftar Koreksi'!$G$5:$G$92,"Persediaan",'Daftar Koreksi'!$H$5:$H$92,"&lt;0")-SUMIFS('Daftar Koreksi'!$H$5:$H$92,'Daftar Koreksi'!$D$5:$D$92,'2200'!A268,'Daftar Koreksi'!$G$5:$G$92,"Persediaan",'Daftar Koreksi'!$H$5:$H$92,"&lt;0")-SUMIFS('Daftar Koreksi'!$H$5:$H$92,'Daftar Koreksi'!$D$5:$D$92,'2200'!A268,'Daftar Koreksi'!$G$5:$G$92,"Persediaan",'Daftar Koreksi'!$H$5:$H$92,"&lt;0")</f>
        <v>0</v>
      </c>
      <c r="G271" s="17">
        <f>D271+E271-F271</f>
        <v>572100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1701250000</v>
      </c>
      <c r="E272" s="25">
        <f>SUMIFS('Daftar Koreksi'!$H$5:$H$92,'Daftar Koreksi'!$D$5:$D$92,'2200'!A268,'Daftar Koreksi'!$G$5:$G$92,"Tanah",'Daftar Koreksi'!$H$5:$H$92,"&gt;0")</f>
        <v>0</v>
      </c>
      <c r="F272" s="25">
        <f>SUMIFS('Daftar Koreksi'!$H$5:$H$92,'Daftar Koreksi'!$D$5:$D$92,'2200'!A268,'Daftar Koreksi'!$G$5:$G$92,"Tanah",'Daftar Koreksi'!$H$5:$H$92,"&lt;0")-SUMIFS('Daftar Koreksi'!$H$5:$H$92,'Daftar Koreksi'!$D$5:$D$92,'2200'!A268,'Daftar Koreksi'!$G$5:$G$92,"Tanah",'Daftar Koreksi'!$H$5:$H$92,"&lt;0")-SUMIFS('Daftar Koreksi'!$H$5:$H$92,'Daftar Koreksi'!$D$5:$D$92,'2200'!A268,'Daftar Koreksi'!$G$5:$G$92,"Tanah",'Daftar Koreksi'!$H$5:$H$92,"&lt;0")</f>
        <v>0</v>
      </c>
      <c r="G272" s="17">
        <f t="shared" ref="G272:G288" si="12">D272+E272-F272</f>
        <v>1701250000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1768311573</v>
      </c>
      <c r="E273" s="25">
        <f>SUMIFS('Daftar Koreksi'!$H$5:$H$92,'Daftar Koreksi'!$D$5:$D$92,'2200'!A268,'Daftar Koreksi'!$G$5:$G$92,"Peralatan dan mesin",'Daftar Koreksi'!$H$5:$H$92,"&gt;0")</f>
        <v>0</v>
      </c>
      <c r="F273" s="25">
        <f>SUMIFS('Daftar Koreksi'!$H$5:$H$92,'Daftar Koreksi'!$D$5:$D$92,'2200'!A268,'Daftar Koreksi'!$G$5:$G$92,"Peralatan dan mesin",'Daftar Koreksi'!$H$5:$H$92,"&lt;0")-SUMIFS('Daftar Koreksi'!$H$5:$H$92,'Daftar Koreksi'!$D$5:$D$92,'2200'!A268,'Daftar Koreksi'!$G$5:$G$92,"Peralatan dan mesin",'Daftar Koreksi'!$H$5:$H$92,"&lt;0")-SUMIFS('Daftar Koreksi'!$H$5:$H$92,'Daftar Koreksi'!$D$5:$D$92,'2200'!A268,'Daftar Koreksi'!$G$5:$G$92,"Peralatan dan mesin",'Daftar Koreksi'!$H$5:$H$92,"&lt;0")</f>
        <v>0</v>
      </c>
      <c r="G273" s="17">
        <f t="shared" si="12"/>
        <v>1768311573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5768216450</v>
      </c>
      <c r="E274" s="25">
        <f>SUMIFS('Daftar Koreksi'!$H$5:$H$92,'Daftar Koreksi'!$D$5:$D$92,'2200'!A268,'Daftar Koreksi'!$G$5:$G$92,"Gedung dan Bangunan",'Daftar Koreksi'!$H$5:$H$92,"&gt;0")</f>
        <v>0</v>
      </c>
      <c r="F274" s="25">
        <f>SUMIFS('Daftar Koreksi'!$H$5:$H$92,'Daftar Koreksi'!$D$5:$D$92,'2200'!A268,'Daftar Koreksi'!$G$5:$G$92,"Gedung dan Bangunan",'Daftar Koreksi'!$H$5:$H$92,"&lt;0")-SUMIFS('Daftar Koreksi'!$H$5:$H$92,'Daftar Koreksi'!$D$5:$D$92,'2200'!A268,'Daftar Koreksi'!$G$5:$G$92,"Gedung dan Bangunan",'Daftar Koreksi'!$H$5:$H$92,"&lt;0")-SUMIFS('Daftar Koreksi'!$H$5:$H$92,'Daftar Koreksi'!$D$5:$D$92,'2200'!A268,'Daftar Koreksi'!$G$5:$G$92,"Gedung dan Bangunan",'Daftar Koreksi'!$H$5:$H$92,"&lt;0")</f>
        <v>0</v>
      </c>
      <c r="G274" s="17">
        <f t="shared" si="12"/>
        <v>5768216450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Koreksi'!$D$5:$D$92,'2200'!A268,'Daftar Koreksi'!$G$5:$G$92,"Jalan Irigasi Jaringan",'Daftar Koreksi'!$H$5:$H$92,"&gt;0")</f>
        <v>0</v>
      </c>
      <c r="F275" s="25">
        <f>SUMIFS('Daftar Koreksi'!$H$5:$H$92,'Daftar Koreksi'!$D$5:$D$92,'2200'!A268,'Daftar Koreksi'!$G$5:$G$92,"Jalan Irigasi Jaringan",'Daftar Koreksi'!$H$5:$H$92,"&lt;0")-SUMIFS('Daftar Koreksi'!$H$5:$H$92,'Daftar Koreksi'!$D$5:$D$92,'2200'!A268,'Daftar Koreksi'!$G$5:$G$92,"Jalan Irigasi Jaringan",'Daftar Koreksi'!$H$5:$H$92,"&lt;0")-SUMIFS('Daftar Koreksi'!$H$5:$H$92,'Daftar Koreksi'!$D$5:$D$92,'2200'!A268,'Daftar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1379920</v>
      </c>
      <c r="E276" s="25">
        <f>SUMIFS('Daftar Koreksi'!$H$5:$H$92,'Daftar Koreksi'!$D$5:$D$92,'2200'!A268,'Daftar Koreksi'!$G$5:$G$92,"Aset Tetap Lainnya",'Daftar Koreksi'!$H$5:$H$92,"&gt;0")</f>
        <v>0</v>
      </c>
      <c r="F276" s="25">
        <f>SUMIFS('Daftar Koreksi'!$H$5:$H$92,'Daftar Koreksi'!$D$5:$D$92,'2200'!A268,'Daftar Koreksi'!$G$5:$G$92,"Aset Tetap Lainnya",'Daftar Koreksi'!$H$5:$H$92,"&lt;0")-SUMIFS('Daftar Koreksi'!$H$5:$H$92,'Daftar Koreksi'!$D$5:$D$92,'2200'!A268,'Daftar Koreksi'!$G$5:$G$92,"Aset Tetap Lainnya",'Daftar Koreksi'!$H$5:$H$92,"&lt;0")-SUMIFS('Daftar Koreksi'!$H$5:$H$92,'Daftar Koreksi'!$D$5:$D$92,'2200'!A268,'Daftar Koreksi'!$G$5:$G$92,"Aset Tetap Lainnya",'Daftar Koreksi'!$H$5:$H$92,"&lt;0")</f>
        <v>0</v>
      </c>
      <c r="G276" s="17">
        <f t="shared" si="12"/>
        <v>1379920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Koreksi'!$D$5:$D$92,'2200'!A268,'Daftar Koreksi'!$G$5:$G$92,"Kontruksi Dalam Pengerjaan",'Daftar Koreksi'!$H$5:$H$92,"&gt;0")</f>
        <v>0</v>
      </c>
      <c r="F277" s="25">
        <f>SUMIFS('Daftar Koreksi'!$H$5:$H$92,'Daftar Koreksi'!$D$5:$D$92,'2200'!A268,'Daftar Koreksi'!$G$5:$G$92,"Kontruksi Dalam Pengerjaan",'Daftar Koreksi'!$H$5:$H$92,"&lt;0")-SUMIFS('Daftar Koreksi'!$H$5:$H$92,'Daftar Koreksi'!$D$5:$D$92,'2200'!A268,'Daftar Koreksi'!$G$5:$G$92,"Kontruksi Dalam Pengerjaan",'Daftar Koreksi'!$H$5:$H$92,"&lt;0")-SUMIFS('Daftar Koreksi'!$H$5:$H$92,'Daftar Koreksi'!$D$5:$D$92,'2200'!A268,'Daftar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Koreksi'!$D$5:$D$92,'2200'!A268,'Daftar Koreksi'!$G$5:$G$92,"Aset Tak Berwujud",'Daftar Koreksi'!$H$5:$H$92,"&gt;0")</f>
        <v>0</v>
      </c>
      <c r="F278" s="25">
        <f>SUMIFS('Daftar Koreksi'!$H$5:$H$92,'Daftar Koreksi'!$D$5:$D$92,'2200'!A268,'Daftar Koreksi'!$G$5:$G$92,"Aset Tak Berwujud",'Daftar Koreksi'!$H$5:$H$92,"&lt;0")-SUMIFS('Daftar Koreksi'!$H$5:$H$92,'Daftar Koreksi'!$D$5:$D$92,'2200'!A268,'Daftar Koreksi'!$G$5:$G$92,"Aset Tak Berwujud",'Daftar Koreksi'!$H$5:$H$92,"&lt;0")-SUMIFS('Daftar Koreksi'!$H$5:$H$92,'Daftar Koreksi'!$D$5:$D$92,'2200'!A268,'Daftar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79000</v>
      </c>
      <c r="E279" s="25">
        <f>SUMIFS('Daftar Koreksi'!$H$5:$H$92,'Daftar Koreksi'!$D$5:$D$92,'2200'!A268,'Daftar Koreksi'!$G$5:$G$92,"Aset Henti Guna",'Daftar Koreksi'!$H$5:$H$92,"&gt;0")</f>
        <v>0</v>
      </c>
      <c r="F279" s="25">
        <f>SUMIFS('Daftar Koreksi'!$H$5:$H$92,'Daftar Koreksi'!$D$5:$D$92,'2200'!A268,'Daftar Koreksi'!$G$5:$G$92,"Aset Henti Guna",'Daftar Koreksi'!$H$5:$H$92,"&lt;0")-SUMIFS('Daftar Koreksi'!$H$5:$H$92,'Daftar Koreksi'!$D$5:$D$92,'2200'!A268,'Daftar Koreksi'!$G$5:$G$92,"Aset Henti Guna",'Daftar Koreksi'!$H$5:$H$92,"&lt;0")-SUMIFS('Daftar Koreksi'!$H$5:$H$92,'Daftar Koreksi'!$D$5:$D$92,'2200'!A268,'Daftar Koreksi'!$G$5:$G$92,"Aset Henti Guna",'Daftar Koreksi'!$H$5:$H$92,"&lt;0")</f>
        <v>0</v>
      </c>
      <c r="G279" s="17">
        <f t="shared" si="12"/>
        <v>79000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9239809043</v>
      </c>
      <c r="E280" s="19">
        <f>SUM(E271:E279)</f>
        <v>0</v>
      </c>
      <c r="F280" s="19">
        <f>SUM(F271:F279)</f>
        <v>0</v>
      </c>
      <c r="G280" s="19">
        <f t="shared" si="12"/>
        <v>9239809043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-1174542777</v>
      </c>
      <c r="E281" s="25">
        <f>SUMIFS('Daftar Koreksi'!$I$5:$I$92,'Daftar Koreksi'!$D$5:$D$92,'2200'!A268,'Daftar Koreksi'!$G$5:$G$92,"Peralatan dan mesin",'Daftar Koreksi'!$I$5:$I$92,"&gt;0")</f>
        <v>0</v>
      </c>
      <c r="F281" s="25">
        <f>SUMIFS('Daftar Koreksi'!$I$5:$I$92,'Daftar Koreksi'!$D$5:$D$92,'2200'!A268,'Daftar Koreksi'!$G$5:$G$92,"Peralatan dan mesin",'Daftar Koreksi'!$I$5:$I$92,"&lt;0")-SUMIFS('Daftar Koreksi'!$I$5:$I$92,'Daftar Koreksi'!$D$5:$D$92,'2200'!A268,'Daftar Koreksi'!$G$5:$G$92,"Peralatan dan mesin",'Daftar Koreksi'!$I$5:$I$92,"&lt;0")-SUMIFS('Daftar Koreksi'!$I$5:$I$92,'Daftar Koreksi'!$D$5:$D$92,'2200'!A268,'Daftar Koreksi'!$G$5:$G$92,"Peralatan dan mesin",'Daftar Koreksi'!$I$5:$I$92,"&lt;0")</f>
        <v>0</v>
      </c>
      <c r="G281" s="17">
        <f t="shared" si="12"/>
        <v>-1174542777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-403540697</v>
      </c>
      <c r="E282" s="25">
        <f>SUMIFS('Daftar Koreksi'!$I$5:$I$92,'Daftar Koreksi'!$D$5:$D$92,'2200'!A268,'Daftar Koreksi'!$G$5:$G$92,"Gedung dan Bangunan",'Daftar Koreksi'!$I$5:$I$92,"&gt;0")</f>
        <v>0</v>
      </c>
      <c r="F282" s="25">
        <f>SUMIFS('Daftar Koreksi'!$I$5:$I$92,'Daftar Koreksi'!$D$5:$D$92,'2200'!A268,'Daftar Koreksi'!$G$5:$G$92,"Gedung dan Bangunan",'Daftar Koreksi'!$I$5:$I$92,"&lt;0")-SUMIFS('Daftar Koreksi'!$I$5:$I$92,'Daftar Koreksi'!$D$5:$D$92,'2200'!A268,'Daftar Koreksi'!$G$5:$G$92,"Gedung dan Bangunan",'Daftar Koreksi'!$I$5:$I$92,"&lt;0")-SUMIFS('Daftar Koreksi'!$I$5:$I$92,'Daftar Koreksi'!$D$5:$D$92,'2200'!A268,'Daftar Koreksi'!$G$5:$G$92,"Gedung dan Bangunan",'Daftar Koreksi'!$I$5:$I$92,"&lt;0")</f>
        <v>0</v>
      </c>
      <c r="G282" s="17">
        <f t="shared" si="12"/>
        <v>-403540697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Koreksi'!$D$5:$D$92,'2200'!A268,'Daftar Koreksi'!$G$5:$G$92,"Jalan Irigasi Jaringan",'Daftar Koreksi'!$I$5:$I$92,"&gt;0")</f>
        <v>0</v>
      </c>
      <c r="F283" s="25">
        <f>SUMIFS('Daftar Koreksi'!$I$5:$I$92,'Daftar Koreksi'!$D$5:$D$92,'2200'!A268,'Daftar Koreksi'!$G$5:$G$92,"Jalan Irigasi Jaringan",'Daftar Koreksi'!$I$5:$I$92,"&lt;0")-SUMIFS('Daftar Koreksi'!$I$5:$I$92,'Daftar Koreksi'!$D$5:$D$92,'2200'!A268,'Daftar Koreksi'!$G$5:$G$92,"Jalan Irigasi Jaringan",'Daftar Koreksi'!$I$5:$I$92,"&lt;0")-SUMIFS('Daftar Koreksi'!$I$5:$I$92,'Daftar Koreksi'!$D$5:$D$92,'2200'!A268,'Daftar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Koreksi'!$D$5:$D$92,'2200'!A268,'Daftar Koreksi'!$G$5:$G$92,"Aset Tetap Lainnya",'Daftar Koreksi'!$I$5:$I$92,"&gt;0")</f>
        <v>0</v>
      </c>
      <c r="F284" s="25">
        <f>SUMIFS('Daftar Koreksi'!$I$5:$I$92,'Daftar Koreksi'!$D$5:$D$92,'2200'!A268,'Daftar Koreksi'!$G$5:$G$92,"Aset Tetap Lainnya",'Daftar Koreksi'!$I$5:$I$92,"&lt;0")-SUMIFS('Daftar Koreksi'!$I$5:$I$92,'Daftar Koreksi'!$D$5:$D$92,'2200'!A268,'Daftar Koreksi'!$G$5:$G$92,"Aset Tetap Lainnya",'Daftar Koreksi'!$I$5:$I$92,"&lt;0")-SUMIFS('Daftar Koreksi'!$I$5:$I$92,'Daftar Koreksi'!$D$5:$D$92,'2200'!A268,'Daftar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-79000</v>
      </c>
      <c r="E285" s="25">
        <f>SUMIFS('Daftar Koreksi'!$I$5:$I$92,'Daftar Koreksi'!$D$5:$D$92,'2200'!A268,'Daftar Koreksi'!$G$5:$G$92,"Aset Henti Guna",'Daftar Koreksi'!$I$5:$I$92,"&gt;0")</f>
        <v>0</v>
      </c>
      <c r="F285" s="25">
        <f>SUMIFS('Daftar Koreksi'!$I$5:$I$92,'Daftar Koreksi'!$D$5:$D$92,'2200'!A268,'Daftar Koreksi'!$G$5:$G$92,"Aset Henti Guna",'Daftar Koreksi'!$I$5:$I$92,"&lt;0")-SUMIFS('Daftar Koreksi'!$I$5:$I$92,'Daftar Koreksi'!$D$5:$D$92,'2200'!A268,'Daftar Koreksi'!$G$5:$G$92,"Aset Henti Guna",'Daftar Koreksi'!$I$5:$I$92,"&lt;0")-SUMIFS('Daftar Koreksi'!$I$5:$I$92,'Daftar Koreksi'!$D$5:$D$92,'2200'!A268,'Daftar Koreksi'!$G$5:$G$92,"Aset Henti Guna",'Daftar Koreksi'!$I$5:$I$92,"&lt;0")</f>
        <v>0</v>
      </c>
      <c r="G285" s="17">
        <f t="shared" si="12"/>
        <v>-79000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-1578162474</v>
      </c>
      <c r="E286" s="19">
        <f>SUM(E281:E285)</f>
        <v>0</v>
      </c>
      <c r="F286" s="19">
        <f>SUM(F281:F285)</f>
        <v>0</v>
      </c>
      <c r="G286" s="19">
        <f t="shared" si="12"/>
        <v>-1578162474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7661646569</v>
      </c>
      <c r="E287" s="19">
        <f>E286+E280</f>
        <v>0</v>
      </c>
      <c r="F287" s="19">
        <f>F286+F280</f>
        <v>0</v>
      </c>
      <c r="G287" s="19">
        <f t="shared" si="12"/>
        <v>7661646569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005012200402741000KD</v>
      </c>
      <c r="B290" s="11" t="str">
        <f>P14</f>
        <v>PA. Karangasem</v>
      </c>
      <c r="C290" s="12" t="str">
        <f>A290&amp;" "&amp;B290</f>
        <v>005012200402741000KD PA. Karangasem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1840500</v>
      </c>
      <c r="E293" s="25">
        <f>SUMIFS('Daftar Koreksi'!$H$5:$H$92,'Daftar Koreksi'!$D$5:$D$92,'2200'!A290,'Daftar Koreksi'!$G$5:$G$92,"Persediaan",'Daftar Koreksi'!$H$5:$H$92,"&gt;0")</f>
        <v>0</v>
      </c>
      <c r="F293" s="25">
        <f>SUMIFS('Daftar Koreksi'!$H$5:$H$92,'Daftar Koreksi'!$D$5:$D$92,'2200'!A290,'Daftar Koreksi'!$G$5:$G$92,"Persediaan",'Daftar Koreksi'!$H$5:$H$92,"&lt;0")-SUMIFS('Daftar Koreksi'!$H$5:$H$92,'Daftar Koreksi'!$D$5:$D$92,'2200'!A290,'Daftar Koreksi'!$G$5:$G$92,"Persediaan",'Daftar Koreksi'!$H$5:$H$92,"&lt;0")-SUMIFS('Daftar Koreksi'!$H$5:$H$92,'Daftar Koreksi'!$D$5:$D$92,'2200'!A290,'Daftar Koreksi'!$G$5:$G$92,"Persediaan",'Daftar Koreksi'!$H$5:$H$92,"&lt;0")</f>
        <v>0</v>
      </c>
      <c r="G293" s="17">
        <f>D293+E293-F293</f>
        <v>1840500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3010200000</v>
      </c>
      <c r="E294" s="25">
        <f>SUMIFS('Daftar Koreksi'!$H$5:$H$92,'Daftar Koreksi'!$D$5:$D$92,'2200'!A290,'Daftar Koreksi'!$G$5:$G$92,"Tanah",'Daftar Koreksi'!$H$5:$H$92,"&gt;0")</f>
        <v>0</v>
      </c>
      <c r="F294" s="25">
        <f>SUMIFS('Daftar Koreksi'!$H$5:$H$92,'Daftar Koreksi'!$D$5:$D$92,'2200'!A290,'Daftar Koreksi'!$G$5:$G$92,"Tanah",'Daftar Koreksi'!$H$5:$H$92,"&lt;0")-SUMIFS('Daftar Koreksi'!$H$5:$H$92,'Daftar Koreksi'!$D$5:$D$92,'2200'!A290,'Daftar Koreksi'!$G$5:$G$92,"Tanah",'Daftar Koreksi'!$H$5:$H$92,"&lt;0")-SUMIFS('Daftar Koreksi'!$H$5:$H$92,'Daftar Koreksi'!$D$5:$D$92,'2200'!A290,'Daftar Koreksi'!$G$5:$G$92,"Tanah",'Daftar Koreksi'!$H$5:$H$92,"&lt;0")</f>
        <v>0</v>
      </c>
      <c r="G294" s="17">
        <f t="shared" ref="G294:G310" si="13">D294+E294-F294</f>
        <v>3010200000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1415533523</v>
      </c>
      <c r="E295" s="25">
        <f>SUMIFS('Daftar Koreksi'!$H$5:$H$92,'Daftar Koreksi'!$D$5:$D$92,'2200'!A290,'Daftar Koreksi'!$G$5:$G$92,"Peralatan dan mesin",'Daftar Koreksi'!$H$5:$H$92,"&gt;0")</f>
        <v>0</v>
      </c>
      <c r="F295" s="25">
        <f>SUMIFS('Daftar Koreksi'!$H$5:$H$92,'Daftar Koreksi'!$D$5:$D$92,'2200'!A290,'Daftar Koreksi'!$G$5:$G$92,"Peralatan dan mesin",'Daftar Koreksi'!$H$5:$H$92,"&lt;0")-SUMIFS('Daftar Koreksi'!$H$5:$H$92,'Daftar Koreksi'!$D$5:$D$92,'2200'!A290,'Daftar Koreksi'!$G$5:$G$92,"Peralatan dan mesin",'Daftar Koreksi'!$H$5:$H$92,"&lt;0")-SUMIFS('Daftar Koreksi'!$H$5:$H$92,'Daftar Koreksi'!$D$5:$D$92,'2200'!A290,'Daftar Koreksi'!$G$5:$G$92,"Peralatan dan mesin",'Daftar Koreksi'!$H$5:$H$92,"&lt;0")</f>
        <v>0</v>
      </c>
      <c r="G295" s="17">
        <f t="shared" si="13"/>
        <v>1415533523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6095273000</v>
      </c>
      <c r="E296" s="25">
        <f>SUMIFS('Daftar Koreksi'!$H$5:$H$92,'Daftar Koreksi'!$D$5:$D$92,'2200'!A290,'Daftar Koreksi'!$G$5:$G$92,"Gedung dan Bangunan",'Daftar Koreksi'!$H$5:$H$92,"&gt;0")</f>
        <v>0</v>
      </c>
      <c r="F296" s="25">
        <f>SUMIFS('Daftar Koreksi'!$H$5:$H$92,'Daftar Koreksi'!$D$5:$D$92,'2200'!A290,'Daftar Koreksi'!$G$5:$G$92,"Gedung dan Bangunan",'Daftar Koreksi'!$H$5:$H$92,"&lt;0")-SUMIFS('Daftar Koreksi'!$H$5:$H$92,'Daftar Koreksi'!$D$5:$D$92,'2200'!A290,'Daftar Koreksi'!$G$5:$G$92,"Gedung dan Bangunan",'Daftar Koreksi'!$H$5:$H$92,"&lt;0")-SUMIFS('Daftar Koreksi'!$H$5:$H$92,'Daftar Koreksi'!$D$5:$D$92,'2200'!A290,'Daftar Koreksi'!$G$5:$G$92,"Gedung dan Bangunan",'Daftar Koreksi'!$H$5:$H$92,"&lt;0")</f>
        <v>0</v>
      </c>
      <c r="G296" s="17">
        <f t="shared" si="13"/>
        <v>6095273000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Koreksi'!$D$5:$D$92,'2200'!A290,'Daftar Koreksi'!$G$5:$G$92,"Jalan Irigasi Jaringan",'Daftar Koreksi'!$H$5:$H$92,"&gt;0")</f>
        <v>0</v>
      </c>
      <c r="F297" s="25">
        <f>SUMIFS('Daftar Koreksi'!$H$5:$H$92,'Daftar Koreksi'!$D$5:$D$92,'2200'!A290,'Daftar Koreksi'!$G$5:$G$92,"Jalan Irigasi Jaringan",'Daftar Koreksi'!$H$5:$H$92,"&lt;0")-SUMIFS('Daftar Koreksi'!$H$5:$H$92,'Daftar Koreksi'!$D$5:$D$92,'2200'!A290,'Daftar Koreksi'!$G$5:$G$92,"Jalan Irigasi Jaringan",'Daftar Koreksi'!$H$5:$H$92,"&lt;0")-SUMIFS('Daftar Koreksi'!$H$5:$H$92,'Daftar Koreksi'!$D$5:$D$92,'2200'!A290,'Daftar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1880620</v>
      </c>
      <c r="E298" s="25">
        <f>SUMIFS('Daftar Koreksi'!$H$5:$H$92,'Daftar Koreksi'!$D$5:$D$92,'2200'!A290,'Daftar Koreksi'!$G$5:$G$92,"Aset Tetap Lainnya",'Daftar Koreksi'!$H$5:$H$92,"&gt;0")</f>
        <v>0</v>
      </c>
      <c r="F298" s="25">
        <f>SUMIFS('Daftar Koreksi'!$H$5:$H$92,'Daftar Koreksi'!$D$5:$D$92,'2200'!A290,'Daftar Koreksi'!$G$5:$G$92,"Aset Tetap Lainnya",'Daftar Koreksi'!$H$5:$H$92,"&lt;0")-SUMIFS('Daftar Koreksi'!$H$5:$H$92,'Daftar Koreksi'!$D$5:$D$92,'2200'!A290,'Daftar Koreksi'!$G$5:$G$92,"Aset Tetap Lainnya",'Daftar Koreksi'!$H$5:$H$92,"&lt;0")-SUMIFS('Daftar Koreksi'!$H$5:$H$92,'Daftar Koreksi'!$D$5:$D$92,'2200'!A290,'Daftar Koreksi'!$G$5:$G$92,"Aset Tetap Lainnya",'Daftar Koreksi'!$H$5:$H$92,"&lt;0")</f>
        <v>0</v>
      </c>
      <c r="G298" s="17">
        <f t="shared" si="13"/>
        <v>1880620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Koreksi'!$D$5:$D$92,'2200'!A290,'Daftar Koreksi'!$G$5:$G$92,"Kontruksi Dalam Pengerjaan",'Daftar Koreksi'!$H$5:$H$92,"&gt;0")</f>
        <v>0</v>
      </c>
      <c r="F299" s="25">
        <f>SUMIFS('Daftar Koreksi'!$H$5:$H$92,'Daftar Koreksi'!$D$5:$D$92,'2200'!A290,'Daftar Koreksi'!$G$5:$G$92,"Kontruksi Dalam Pengerjaan",'Daftar Koreksi'!$H$5:$H$92,"&lt;0")-SUMIFS('Daftar Koreksi'!$H$5:$H$92,'Daftar Koreksi'!$D$5:$D$92,'2200'!A290,'Daftar Koreksi'!$G$5:$G$92,"Kontruksi Dalam Pengerjaan",'Daftar Koreksi'!$H$5:$H$92,"&lt;0")-SUMIFS('Daftar Koreksi'!$H$5:$H$92,'Daftar Koreksi'!$D$5:$D$92,'2200'!A290,'Daftar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27205000</v>
      </c>
      <c r="E300" s="25">
        <f>SUMIFS('Daftar Koreksi'!$H$5:$H$92,'Daftar Koreksi'!$D$5:$D$92,'2200'!A290,'Daftar Koreksi'!$G$5:$G$92,"Aset Tak Berwujud",'Daftar Koreksi'!$H$5:$H$92,"&gt;0")</f>
        <v>0</v>
      </c>
      <c r="F300" s="25">
        <f>SUMIFS('Daftar Koreksi'!$H$5:$H$92,'Daftar Koreksi'!$D$5:$D$92,'2200'!A290,'Daftar Koreksi'!$G$5:$G$92,"Aset Tak Berwujud",'Daftar Koreksi'!$H$5:$H$92,"&lt;0")-SUMIFS('Daftar Koreksi'!$H$5:$H$92,'Daftar Koreksi'!$D$5:$D$92,'2200'!A290,'Daftar Koreksi'!$G$5:$G$92,"Aset Tak Berwujud",'Daftar Koreksi'!$H$5:$H$92,"&lt;0")-SUMIFS('Daftar Koreksi'!$H$5:$H$92,'Daftar Koreksi'!$D$5:$D$92,'2200'!A290,'Daftar Koreksi'!$G$5:$G$92,"Aset Tak Berwujud",'Daftar Koreksi'!$H$5:$H$92,"&lt;0")</f>
        <v>0</v>
      </c>
      <c r="G300" s="17">
        <f t="shared" si="13"/>
        <v>27205000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Koreksi'!$D$5:$D$92,'2200'!A290,'Daftar Koreksi'!$G$5:$G$92,"Aset Henti Guna",'Daftar Koreksi'!$H$5:$H$92,"&gt;0")</f>
        <v>0</v>
      </c>
      <c r="F301" s="25">
        <f>SUMIFS('Daftar Koreksi'!$H$5:$H$92,'Daftar Koreksi'!$D$5:$D$92,'2200'!A290,'Daftar Koreksi'!$G$5:$G$92,"Aset Henti Guna",'Daftar Koreksi'!$H$5:$H$92,"&lt;0")-SUMIFS('Daftar Koreksi'!$H$5:$H$92,'Daftar Koreksi'!$D$5:$D$92,'2200'!A290,'Daftar Koreksi'!$G$5:$G$92,"Aset Henti Guna",'Daftar Koreksi'!$H$5:$H$92,"&lt;0")-SUMIFS('Daftar Koreksi'!$H$5:$H$92,'Daftar Koreksi'!$D$5:$D$92,'2200'!A290,'Daftar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10551932643</v>
      </c>
      <c r="E302" s="19">
        <f>SUM(E293:E301)</f>
        <v>0</v>
      </c>
      <c r="F302" s="19">
        <f>SUM(F293:F301)</f>
        <v>0</v>
      </c>
      <c r="G302" s="19">
        <f t="shared" si="13"/>
        <v>10551932643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-1223638522</v>
      </c>
      <c r="E303" s="25">
        <f>SUMIFS('Daftar Koreksi'!$I$5:$I$92,'Daftar Koreksi'!$D$5:$D$92,'2200'!A290,'Daftar Koreksi'!$G$5:$G$92,"Peralatan dan mesin",'Daftar Koreksi'!$I$5:$I$92,"&gt;0")</f>
        <v>0</v>
      </c>
      <c r="F303" s="25">
        <f>SUMIFS('Daftar Koreksi'!$I$5:$I$92,'Daftar Koreksi'!$D$5:$D$92,'2200'!A290,'Daftar Koreksi'!$G$5:$G$92,"Peralatan dan mesin",'Daftar Koreksi'!$I$5:$I$92,"&lt;0")-SUMIFS('Daftar Koreksi'!$I$5:$I$92,'Daftar Koreksi'!$D$5:$D$92,'2200'!A290,'Daftar Koreksi'!$G$5:$G$92,"Peralatan dan mesin",'Daftar Koreksi'!$I$5:$I$92,"&lt;0")-SUMIFS('Daftar Koreksi'!$I$5:$I$92,'Daftar Koreksi'!$D$5:$D$92,'2200'!A290,'Daftar Koreksi'!$G$5:$G$92,"Peralatan dan mesin",'Daftar Koreksi'!$I$5:$I$92,"&lt;0")</f>
        <v>0</v>
      </c>
      <c r="G303" s="17">
        <f t="shared" si="13"/>
        <v>-1223638522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-536839150</v>
      </c>
      <c r="E304" s="25">
        <f>SUMIFS('Daftar Koreksi'!$I$5:$I$92,'Daftar Koreksi'!$D$5:$D$92,'2200'!A290,'Daftar Koreksi'!$G$5:$G$92,"Gedung dan Bangunan",'Daftar Koreksi'!$I$5:$I$92,"&gt;0")</f>
        <v>0</v>
      </c>
      <c r="F304" s="25">
        <f>SUMIFS('Daftar Koreksi'!$I$5:$I$92,'Daftar Koreksi'!$D$5:$D$92,'2200'!A290,'Daftar Koreksi'!$G$5:$G$92,"Gedung dan Bangunan",'Daftar Koreksi'!$I$5:$I$92,"&lt;0")-SUMIFS('Daftar Koreksi'!$I$5:$I$92,'Daftar Koreksi'!$D$5:$D$92,'2200'!A290,'Daftar Koreksi'!$G$5:$G$92,"Gedung dan Bangunan",'Daftar Koreksi'!$I$5:$I$92,"&lt;0")-SUMIFS('Daftar Koreksi'!$I$5:$I$92,'Daftar Koreksi'!$D$5:$D$92,'2200'!A290,'Daftar Koreksi'!$G$5:$G$92,"Gedung dan Bangunan",'Daftar Koreksi'!$I$5:$I$92,"&lt;0")</f>
        <v>0</v>
      </c>
      <c r="G304" s="17">
        <f t="shared" si="13"/>
        <v>-536839150</v>
      </c>
      <c r="H304" s="122"/>
    </row>
    <row r="305" spans="1:10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Koreksi'!$D$5:$D$92,'2200'!A290,'Daftar Koreksi'!$G$5:$G$92,"Jalan Irigasi Jaringan",'Daftar Koreksi'!$I$5:$I$92,"&gt;0")</f>
        <v>0</v>
      </c>
      <c r="F305" s="25">
        <f>SUMIFS('Daftar Koreksi'!$I$5:$I$92,'Daftar Koreksi'!$D$5:$D$92,'2200'!A290,'Daftar Koreksi'!$G$5:$G$92,"Jalan Irigasi Jaringan",'Daftar Koreksi'!$I$5:$I$92,"&lt;0")-SUMIFS('Daftar Koreksi'!$I$5:$I$92,'Daftar Koreksi'!$D$5:$D$92,'2200'!A290,'Daftar Koreksi'!$G$5:$G$92,"Jalan Irigasi Jaringan",'Daftar Koreksi'!$I$5:$I$92,"&lt;0")-SUMIFS('Daftar Koreksi'!$I$5:$I$92,'Daftar Koreksi'!$D$5:$D$92,'2200'!A290,'Daftar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10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Koreksi'!$D$5:$D$92,'2200'!A290,'Daftar Koreksi'!$G$5:$G$92,"Aset Tetap Lainnya",'Daftar Koreksi'!$I$5:$I$92,"&gt;0")</f>
        <v>0</v>
      </c>
      <c r="F306" s="25">
        <f>SUMIFS('Daftar Koreksi'!$I$5:$I$92,'Daftar Koreksi'!$D$5:$D$92,'2200'!A290,'Daftar Koreksi'!$G$5:$G$92,"Aset Tetap Lainnya",'Daftar Koreksi'!$I$5:$I$92,"&lt;0")-SUMIFS('Daftar Koreksi'!$I$5:$I$92,'Daftar Koreksi'!$D$5:$D$92,'2200'!A290,'Daftar Koreksi'!$G$5:$G$92,"Aset Tetap Lainnya",'Daftar Koreksi'!$I$5:$I$92,"&lt;0")-SUMIFS('Daftar Koreksi'!$I$5:$I$92,'Daftar Koreksi'!$D$5:$D$92,'2200'!A290,'Daftar Koreksi'!$G$5:$G$92,"Aset Tetap Lainnya",'Daftar Koreksi'!$I$5:$I$92,"&lt;0")</f>
        <v>0</v>
      </c>
      <c r="G306" s="17">
        <f t="shared" si="13"/>
        <v>0</v>
      </c>
      <c r="H306" s="122"/>
    </row>
    <row r="307" spans="1:10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Koreksi'!$D$5:$D$92,'2200'!A290,'Daftar Koreksi'!$G$5:$G$92,"Aset Henti Guna",'Daftar Koreksi'!$I$5:$I$92,"&gt;0")</f>
        <v>0</v>
      </c>
      <c r="F307" s="25">
        <f>SUMIFS('Daftar Koreksi'!$I$5:$I$92,'Daftar Koreksi'!$D$5:$D$92,'2200'!A290,'Daftar Koreksi'!$G$5:$G$92,"Aset Henti Guna",'Daftar Koreksi'!$I$5:$I$92,"&lt;0")-SUMIFS('Daftar Koreksi'!$I$5:$I$92,'Daftar Koreksi'!$D$5:$D$92,'2200'!A290,'Daftar Koreksi'!$G$5:$G$92,"Aset Henti Guna",'Daftar Koreksi'!$I$5:$I$92,"&lt;0")-SUMIFS('Daftar Koreksi'!$I$5:$I$92,'Daftar Koreksi'!$D$5:$D$92,'2200'!A290,'Daftar Koreksi'!$G$5:$G$92,"Aset Henti Guna",'Daftar Koreksi'!$I$5:$I$92,"&lt;0")</f>
        <v>0</v>
      </c>
      <c r="G307" s="17">
        <f t="shared" si="13"/>
        <v>0</v>
      </c>
      <c r="H307" s="122"/>
    </row>
    <row r="308" spans="1:10" ht="21.95" customHeight="1">
      <c r="A308" s="14"/>
      <c r="B308" s="14"/>
      <c r="C308" s="18" t="s">
        <v>2094</v>
      </c>
      <c r="D308" s="19">
        <f>SUM(D303:D307)</f>
        <v>-1760477672</v>
      </c>
      <c r="E308" s="19">
        <f>SUM(E303:E307)</f>
        <v>0</v>
      </c>
      <c r="F308" s="19">
        <f>SUM(F303:F307)</f>
        <v>0</v>
      </c>
      <c r="G308" s="19">
        <f t="shared" si="13"/>
        <v>-1760477672</v>
      </c>
      <c r="H308" s="122"/>
    </row>
    <row r="309" spans="1:10" ht="21.95" customHeight="1">
      <c r="A309" s="14"/>
      <c r="B309" s="14"/>
      <c r="C309" s="18" t="s">
        <v>2095</v>
      </c>
      <c r="D309" s="19">
        <f>VLOOKUP(A290,'Neraca Unaudited SIMAK'!$A$2:$S$10004,18,FALSE)</f>
        <v>8791454971</v>
      </c>
      <c r="E309" s="19">
        <f>E308+E302</f>
        <v>0</v>
      </c>
      <c r="F309" s="19">
        <f>F308+F302</f>
        <v>0</v>
      </c>
      <c r="G309" s="19">
        <f t="shared" si="13"/>
        <v>8791454971</v>
      </c>
      <c r="H309" s="122"/>
    </row>
    <row r="310" spans="1:10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10" ht="19.5" customHeight="1">
      <c r="A312" s="11" t="str">
        <f>O15</f>
        <v>005012200402757000KD</v>
      </c>
      <c r="B312" s="11" t="str">
        <f>P15</f>
        <v>PA. Tabanan</v>
      </c>
      <c r="C312" s="12" t="str">
        <f>A312&amp;" "&amp;B312</f>
        <v>005012200402757000KD PA. Tabanan</v>
      </c>
      <c r="D312" s="13"/>
      <c r="E312" s="13"/>
      <c r="F312" s="13"/>
      <c r="G312" s="13"/>
      <c r="H312" s="11"/>
    </row>
    <row r="313" spans="1:10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10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10" ht="21.95" customHeight="1">
      <c r="A315" s="14"/>
      <c r="B315" s="14"/>
      <c r="C315" s="16" t="s">
        <v>1165</v>
      </c>
      <c r="D315" s="17">
        <f>VLOOKUP(A312,'Neraca Unaudited SIMAK'!$A$2:$S$10004,3,FALSE)</f>
        <v>6417000</v>
      </c>
      <c r="E315" s="25">
        <f>SUMIFS('Daftar Koreksi'!$H$5:$H$92,'Daftar Koreksi'!$D$5:$D$92,'2200'!A312,'Daftar Koreksi'!$G$5:$G$92,"Persediaan",'Daftar Koreksi'!$H$5:$H$92,"&gt;0")</f>
        <v>0</v>
      </c>
      <c r="F315" s="25">
        <f>SUMIFS('Daftar Koreksi'!$H$5:$H$92,'Daftar Koreksi'!$D$5:$D$92,'2200'!A312,'Daftar Koreksi'!$G$5:$G$92,"Persediaan",'Daftar Koreksi'!$H$5:$H$92,"&lt;0")-SUMIFS('Daftar Koreksi'!$H$5:$H$92,'Daftar Koreksi'!$D$5:$D$92,'2200'!A312,'Daftar Koreksi'!$G$5:$G$92,"Persediaan",'Daftar Koreksi'!$H$5:$H$92,"&lt;0")-SUMIFS('Daftar Koreksi'!$H$5:$H$92,'Daftar Koreksi'!$D$5:$D$92,'2200'!A312,'Daftar Koreksi'!$G$5:$G$92,"Persediaan",'Daftar Koreksi'!$H$5:$H$92,"&lt;0")</f>
        <v>0</v>
      </c>
      <c r="G315" s="17">
        <f>D315+E315-F315</f>
        <v>6417000</v>
      </c>
      <c r="H315" s="121" t="str">
        <f>IF(ISNA(VLOOKUP(A312,'Mutasi Neraca'!$A$3:$S$914,19,FALSE)),"-",VLOOKUP(A312,'Mutasi Neraca'!$A$3:$S$914,19,FALSE))</f>
        <v>-</v>
      </c>
      <c r="I315" s="28"/>
      <c r="J315" s="28"/>
    </row>
    <row r="316" spans="1:10" ht="21.95" customHeight="1">
      <c r="A316" s="14"/>
      <c r="B316" s="14"/>
      <c r="C316" s="16" t="s">
        <v>1166</v>
      </c>
      <c r="D316" s="17">
        <f>VLOOKUP(A312,'Neraca Unaudited SIMAK'!$A$2:$S$10004,4,FALSE)</f>
        <v>4561430000</v>
      </c>
      <c r="E316" s="25">
        <f>SUMIFS('Daftar Koreksi'!$H$5:$H$92,'Daftar Koreksi'!$D$5:$D$92,'2200'!A312,'Daftar Koreksi'!$G$5:$G$92,"Tanah",'Daftar Koreksi'!$H$5:$H$92,"&gt;0")</f>
        <v>0</v>
      </c>
      <c r="F316" s="25">
        <f>SUMIFS('Daftar Koreksi'!$H$5:$H$92,'Daftar Koreksi'!$D$5:$D$92,'2200'!A312,'Daftar Koreksi'!$G$5:$G$92,"Tanah",'Daftar Koreksi'!$H$5:$H$92,"&lt;0")-SUMIFS('Daftar Koreksi'!$H$5:$H$92,'Daftar Koreksi'!$D$5:$D$92,'2200'!A312,'Daftar Koreksi'!$G$5:$G$92,"Tanah",'Daftar Koreksi'!$H$5:$H$92,"&lt;0")-SUMIFS('Daftar Koreksi'!$H$5:$H$92,'Daftar Koreksi'!$D$5:$D$92,'2200'!A312,'Daftar Koreksi'!$G$5:$G$92,"Tanah",'Daftar Koreksi'!$H$5:$H$92,"&lt;0")</f>
        <v>0</v>
      </c>
      <c r="G316" s="17">
        <f t="shared" ref="G316:G332" si="14">D316+E316-F316</f>
        <v>4561430000</v>
      </c>
      <c r="H316" s="122"/>
      <c r="I316" s="28"/>
      <c r="J316" s="28"/>
    </row>
    <row r="317" spans="1:10" ht="21.95" customHeight="1">
      <c r="A317" s="14"/>
      <c r="B317" s="14"/>
      <c r="C317" s="16" t="s">
        <v>1167</v>
      </c>
      <c r="D317" s="17">
        <f>VLOOKUP(A312,'Neraca Unaudited SIMAK'!$A$2:$S$10004,5,FALSE)</f>
        <v>1504212323</v>
      </c>
      <c r="E317" s="25">
        <f>SUMIFS('Daftar Koreksi'!$H$5:$H$92,'Daftar Koreksi'!$D$5:$D$92,'2200'!A312,'Daftar Koreksi'!$G$5:$G$92,"Peralatan dan mesin",'Daftar Koreksi'!$H$5:$H$92,"&gt;0")</f>
        <v>0</v>
      </c>
      <c r="F317" s="25">
        <f>SUMIFS('Daftar Koreksi'!$H$5:$H$92,'Daftar Koreksi'!$D$5:$D$92,'2200'!A312,'Daftar Koreksi'!$G$5:$G$92,"Peralatan dan mesin",'Daftar Koreksi'!$H$5:$H$92,"&lt;0")-SUMIFS('Daftar Koreksi'!$H$5:$H$92,'Daftar Koreksi'!$D$5:$D$92,'2200'!A312,'Daftar Koreksi'!$G$5:$G$92,"Peralatan dan mesin",'Daftar Koreksi'!$H$5:$H$92,"&lt;0")-SUMIFS('Daftar Koreksi'!$H$5:$H$92,'Daftar Koreksi'!$D$5:$D$92,'2200'!A312,'Daftar Koreksi'!$G$5:$G$92,"Peralatan dan mesin",'Daftar Koreksi'!$H$5:$H$92,"&lt;0")</f>
        <v>0</v>
      </c>
      <c r="G317" s="17">
        <f t="shared" si="14"/>
        <v>1504212323</v>
      </c>
      <c r="H317" s="122"/>
      <c r="I317" s="28"/>
      <c r="J317" s="28"/>
    </row>
    <row r="318" spans="1:10" ht="21.95" customHeight="1">
      <c r="A318" s="14"/>
      <c r="B318" s="14"/>
      <c r="C318" s="16" t="s">
        <v>1168</v>
      </c>
      <c r="D318" s="17">
        <f>VLOOKUP(A312,'Neraca Unaudited SIMAK'!$A$2:$S$10004,6,FALSE)</f>
        <v>5831186600</v>
      </c>
      <c r="E318" s="25">
        <f>SUMIFS('Daftar Koreksi'!$H$5:$H$92,'Daftar Koreksi'!$D$5:$D$92,'2200'!A312,'Daftar Koreksi'!$G$5:$G$92,"Gedung dan Bangunan",'Daftar Koreksi'!$H$5:$H$92,"&gt;0")</f>
        <v>0</v>
      </c>
      <c r="F318" s="25">
        <f>SUMIFS('Daftar Koreksi'!$H$5:$H$92,'Daftar Koreksi'!$D$5:$D$92,'2200'!A312,'Daftar Koreksi'!$G$5:$G$92,"Gedung dan Bangunan",'Daftar Koreksi'!$H$5:$H$92,"&lt;0")-SUMIFS('Daftar Koreksi'!$H$5:$H$92,'Daftar Koreksi'!$D$5:$D$92,'2200'!A312,'Daftar Koreksi'!$G$5:$G$92,"Gedung dan Bangunan",'Daftar Koreksi'!$H$5:$H$92,"&lt;0")-SUMIFS('Daftar Koreksi'!$H$5:$H$92,'Daftar Koreksi'!$D$5:$D$92,'2200'!A312,'Daftar Koreksi'!$G$5:$G$92,"Gedung dan Bangunan",'Daftar Koreksi'!$H$5:$H$92,"&lt;0")</f>
        <v>0</v>
      </c>
      <c r="G318" s="17">
        <f t="shared" si="14"/>
        <v>5831186600</v>
      </c>
      <c r="H318" s="122"/>
      <c r="I318" s="28"/>
      <c r="J318" s="28"/>
    </row>
    <row r="319" spans="1:10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Koreksi'!$D$5:$D$92,'2200'!A312,'Daftar Koreksi'!$G$5:$G$92,"Jalan Irigasi Jaringan",'Daftar Koreksi'!$H$5:$H$92,"&gt;0")</f>
        <v>0</v>
      </c>
      <c r="F319" s="25">
        <f>SUMIFS('Daftar Koreksi'!$H$5:$H$92,'Daftar Koreksi'!$D$5:$D$92,'2200'!A312,'Daftar Koreksi'!$G$5:$G$92,"Jalan Irigasi Jaringan",'Daftar Koreksi'!$H$5:$H$92,"&lt;0")-SUMIFS('Daftar Koreksi'!$H$5:$H$92,'Daftar Koreksi'!$D$5:$D$92,'2200'!A312,'Daftar Koreksi'!$G$5:$G$92,"Jalan Irigasi Jaringan",'Daftar Koreksi'!$H$5:$H$92,"&lt;0")-SUMIFS('Daftar Koreksi'!$H$5:$H$92,'Daftar Koreksi'!$D$5:$D$92,'2200'!A312,'Daftar Koreksi'!$G$5:$G$92,"Jalan Irigasi Jaringan",'Daftar Koreksi'!$H$5:$H$92,"&lt;0")</f>
        <v>0</v>
      </c>
      <c r="G319" s="17">
        <f t="shared" si="14"/>
        <v>0</v>
      </c>
      <c r="H319" s="122"/>
      <c r="I319" s="28"/>
      <c r="J319" s="28"/>
    </row>
    <row r="320" spans="1:10" ht="21.95" customHeight="1">
      <c r="A320" s="14"/>
      <c r="B320" s="14"/>
      <c r="C320" s="16" t="s">
        <v>1170</v>
      </c>
      <c r="D320" s="17">
        <f>VLOOKUP(A312,'Neraca Unaudited SIMAK'!$A$2:$S$10004,8,FALSE)</f>
        <v>2487027</v>
      </c>
      <c r="E320" s="25">
        <f>SUMIFS('Daftar Koreksi'!$H$5:$H$92,'Daftar Koreksi'!$D$5:$D$92,'2200'!A312,'Daftar Koreksi'!$G$5:$G$92,"Aset Tetap Lainnya",'Daftar Koreksi'!$H$5:$H$92,"&gt;0")</f>
        <v>0</v>
      </c>
      <c r="F320" s="25">
        <f>SUMIFS('Daftar Koreksi'!$H$5:$H$92,'Daftar Koreksi'!$D$5:$D$92,'2200'!A312,'Daftar Koreksi'!$G$5:$G$92,"Aset Tetap Lainnya",'Daftar Koreksi'!$H$5:$H$92,"&lt;0")-SUMIFS('Daftar Koreksi'!$H$5:$H$92,'Daftar Koreksi'!$D$5:$D$92,'2200'!A312,'Daftar Koreksi'!$G$5:$G$92,"Aset Tetap Lainnya",'Daftar Koreksi'!$H$5:$H$92,"&lt;0")-SUMIFS('Daftar Koreksi'!$H$5:$H$92,'Daftar Koreksi'!$D$5:$D$92,'2200'!A312,'Daftar Koreksi'!$G$5:$G$92,"Aset Tetap Lainnya",'Daftar Koreksi'!$H$5:$H$92,"&lt;0")</f>
        <v>0</v>
      </c>
      <c r="G320" s="17">
        <f t="shared" si="14"/>
        <v>2487027</v>
      </c>
      <c r="H320" s="122"/>
      <c r="I320" s="28"/>
      <c r="J320" s="28"/>
    </row>
    <row r="321" spans="1:10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Koreksi'!$D$5:$D$92,'2200'!A312,'Daftar Koreksi'!$G$5:$G$92,"Kontruksi Dalam Pengerjaan",'Daftar Koreksi'!$H$5:$H$92,"&gt;0")</f>
        <v>0</v>
      </c>
      <c r="F321" s="25">
        <f>SUMIFS('Daftar Koreksi'!$H$5:$H$92,'Daftar Koreksi'!$D$5:$D$92,'2200'!A312,'Daftar Koreksi'!$G$5:$G$92,"Kontruksi Dalam Pengerjaan",'Daftar Koreksi'!$H$5:$H$92,"&lt;0")-SUMIFS('Daftar Koreksi'!$H$5:$H$92,'Daftar Koreksi'!$D$5:$D$92,'2200'!A312,'Daftar Koreksi'!$G$5:$G$92,"Kontruksi Dalam Pengerjaan",'Daftar Koreksi'!$H$5:$H$92,"&lt;0")-SUMIFS('Daftar Koreksi'!$H$5:$H$92,'Daftar Koreksi'!$D$5:$D$92,'2200'!A312,'Daftar Koreksi'!$G$5:$G$92,"Kontruksi Dalam Pengerjaan",'Daftar Koreksi'!$H$5:$H$92,"&lt;0")</f>
        <v>0</v>
      </c>
      <c r="G321" s="17">
        <f t="shared" si="14"/>
        <v>0</v>
      </c>
      <c r="H321" s="122"/>
      <c r="I321" s="28"/>
      <c r="J321" s="28"/>
    </row>
    <row r="322" spans="1:10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Koreksi'!$D$5:$D$92,'2200'!A312,'Daftar Koreksi'!$G$5:$G$92,"Aset Tak Berwujud",'Daftar Koreksi'!$H$5:$H$92,"&gt;0")</f>
        <v>0</v>
      </c>
      <c r="F322" s="25">
        <f>SUMIFS('Daftar Koreksi'!$H$5:$H$92,'Daftar Koreksi'!$D$5:$D$92,'2200'!A312,'Daftar Koreksi'!$G$5:$G$92,"Aset Tak Berwujud",'Daftar Koreksi'!$H$5:$H$92,"&lt;0")-SUMIFS('Daftar Koreksi'!$H$5:$H$92,'Daftar Koreksi'!$D$5:$D$92,'2200'!A312,'Daftar Koreksi'!$G$5:$G$92,"Aset Tak Berwujud",'Daftar Koreksi'!$H$5:$H$92,"&lt;0")-SUMIFS('Daftar Koreksi'!$H$5:$H$92,'Daftar Koreksi'!$D$5:$D$92,'2200'!A312,'Daftar Koreksi'!$G$5:$G$92,"Aset Tak Berwujud",'Daftar Koreksi'!$H$5:$H$92,"&lt;0")</f>
        <v>0</v>
      </c>
      <c r="G322" s="17">
        <f t="shared" si="14"/>
        <v>0</v>
      </c>
      <c r="H322" s="122"/>
      <c r="I322" s="28"/>
      <c r="J322" s="28"/>
    </row>
    <row r="323" spans="1:10" ht="21.95" customHeight="1">
      <c r="A323" s="14"/>
      <c r="B323" s="14"/>
      <c r="C323" s="16" t="s">
        <v>1173</v>
      </c>
      <c r="D323" s="17">
        <f>VLOOKUP(A312,'Neraca Unaudited SIMAK'!$A$2:$S$10004,11,FALSE)</f>
        <v>730000</v>
      </c>
      <c r="E323" s="25">
        <f>SUMIFS('Daftar Koreksi'!$H$5:$H$92,'Daftar Koreksi'!$D$5:$D$92,'2200'!A312,'Daftar Koreksi'!$G$5:$G$92,"Aset Henti Guna",'Daftar Koreksi'!$H$5:$H$92,"&gt;0")</f>
        <v>0</v>
      </c>
      <c r="F323" s="25">
        <f>SUMIFS('Daftar Koreksi'!$H$5:$H$92,'Daftar Koreksi'!$D$5:$D$92,'2200'!A312,'Daftar Koreksi'!$G$5:$G$92,"Aset Henti Guna",'Daftar Koreksi'!$H$5:$H$92,"&lt;0")-SUMIFS('Daftar Koreksi'!$H$5:$H$92,'Daftar Koreksi'!$D$5:$D$92,'2200'!A312,'Daftar Koreksi'!$G$5:$G$92,"Aset Henti Guna",'Daftar Koreksi'!$H$5:$H$92,"&lt;0")-SUMIFS('Daftar Koreksi'!$H$5:$H$92,'Daftar Koreksi'!$D$5:$D$92,'2200'!A312,'Daftar Koreksi'!$G$5:$G$92,"Aset Henti Guna",'Daftar Koreksi'!$H$5:$H$92,"&lt;0")</f>
        <v>0</v>
      </c>
      <c r="G323" s="17">
        <f t="shared" si="14"/>
        <v>730000</v>
      </c>
      <c r="H323" s="122"/>
      <c r="I323" s="28"/>
      <c r="J323" s="28"/>
    </row>
    <row r="324" spans="1:10" ht="21.95" customHeight="1">
      <c r="A324" s="14"/>
      <c r="B324" s="14"/>
      <c r="C324" s="18" t="s">
        <v>2093</v>
      </c>
      <c r="D324" s="19">
        <f>VLOOKUP(A312,'Neraca Unaudited SIMAK'!$A$2:$S$10004,12,FALSE)</f>
        <v>11906462950</v>
      </c>
      <c r="E324" s="19">
        <f>SUM(E315:E323)</f>
        <v>0</v>
      </c>
      <c r="F324" s="19">
        <f>SUM(F315:F323)</f>
        <v>0</v>
      </c>
      <c r="G324" s="19">
        <f t="shared" si="14"/>
        <v>11906462950</v>
      </c>
      <c r="H324" s="122"/>
      <c r="I324" s="28"/>
      <c r="J324" s="28"/>
    </row>
    <row r="325" spans="1:10" ht="21.95" customHeight="1">
      <c r="A325" s="14"/>
      <c r="B325" s="14"/>
      <c r="C325" s="16" t="s">
        <v>2087</v>
      </c>
      <c r="D325" s="17">
        <f>VLOOKUP(A312,'Neraca Unaudited SIMAK'!$A$2:$S$10004,13,FALSE)</f>
        <v>-1268405645</v>
      </c>
      <c r="E325" s="25">
        <f>SUMIFS('Daftar Koreksi'!$I$5:$I$92,'Daftar Koreksi'!$D$5:$D$92,'2200'!A312,'Daftar Koreksi'!$G$5:$G$92,"Peralatan dan mesin",'Daftar Koreksi'!$I$5:$I$92,"&gt;0")</f>
        <v>0</v>
      </c>
      <c r="F325" s="25">
        <f>SUMIFS('Daftar Koreksi'!$I$5:$I$92,'Daftar Koreksi'!$D$5:$D$92,'2200'!A312,'Daftar Koreksi'!$G$5:$G$92,"Peralatan dan mesin",'Daftar Koreksi'!$I$5:$I$92,"&lt;0")-SUMIFS('Daftar Koreksi'!$I$5:$I$92,'Daftar Koreksi'!$D$5:$D$92,'2200'!A312,'Daftar Koreksi'!$G$5:$G$92,"Peralatan dan mesin",'Daftar Koreksi'!$I$5:$I$92,"&lt;0")-SUMIFS('Daftar Koreksi'!$I$5:$I$92,'Daftar Koreksi'!$D$5:$D$92,'2200'!A312,'Daftar Koreksi'!$G$5:$G$92,"Peralatan dan mesin",'Daftar Koreksi'!$I$5:$I$92,"&lt;0")</f>
        <v>0</v>
      </c>
      <c r="G325" s="17">
        <f t="shared" si="14"/>
        <v>-1268405645</v>
      </c>
      <c r="H325" s="122"/>
      <c r="I325" s="28"/>
      <c r="J325" s="28"/>
    </row>
    <row r="326" spans="1:10" ht="21.95" customHeight="1">
      <c r="A326" s="14"/>
      <c r="B326" s="14"/>
      <c r="C326" s="16" t="s">
        <v>2088</v>
      </c>
      <c r="D326" s="17">
        <f>VLOOKUP(A312,'Neraca Unaudited SIMAK'!$A$2:$S$10004,14,FALSE)</f>
        <v>-576941951</v>
      </c>
      <c r="E326" s="25">
        <f>SUMIFS('Daftar Koreksi'!$I$5:$I$92,'Daftar Koreksi'!$D$5:$D$92,'2200'!A312,'Daftar Koreksi'!$G$5:$G$92,"Gedung dan Bangunan",'Daftar Koreksi'!$I$5:$I$92,"&gt;0")</f>
        <v>0</v>
      </c>
      <c r="F326" s="25">
        <f>SUMIFS('Daftar Koreksi'!$I$5:$I$92,'Daftar Koreksi'!$D$5:$D$92,'2200'!A312,'Daftar Koreksi'!$G$5:$G$92,"Gedung dan Bangunan",'Daftar Koreksi'!$I$5:$I$92,"&lt;0")-SUMIFS('Daftar Koreksi'!$I$5:$I$92,'Daftar Koreksi'!$D$5:$D$92,'2200'!A312,'Daftar Koreksi'!$G$5:$G$92,"Gedung dan Bangunan",'Daftar Koreksi'!$I$5:$I$92,"&lt;0")-SUMIFS('Daftar Koreksi'!$I$5:$I$92,'Daftar Koreksi'!$D$5:$D$92,'2200'!A312,'Daftar Koreksi'!$G$5:$G$92,"Gedung dan Bangunan",'Daftar Koreksi'!$I$5:$I$92,"&lt;0")</f>
        <v>0</v>
      </c>
      <c r="G326" s="17">
        <f t="shared" si="14"/>
        <v>-576941951</v>
      </c>
      <c r="H326" s="122"/>
      <c r="I326" s="28"/>
      <c r="J326" s="28"/>
    </row>
    <row r="327" spans="1:10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Koreksi'!$D$5:$D$92,'2200'!A312,'Daftar Koreksi'!$G$5:$G$92,"Jalan Irigasi Jaringan",'Daftar Koreksi'!$I$5:$I$92,"&gt;0")</f>
        <v>0</v>
      </c>
      <c r="F327" s="25">
        <f>SUMIFS('Daftar Koreksi'!$I$5:$I$92,'Daftar Koreksi'!$D$5:$D$92,'2200'!A312,'Daftar Koreksi'!$G$5:$G$92,"Jalan Irigasi Jaringan",'Daftar Koreksi'!$I$5:$I$92,"&lt;0")-SUMIFS('Daftar Koreksi'!$I$5:$I$92,'Daftar Koreksi'!$D$5:$D$92,'2200'!A312,'Daftar Koreksi'!$G$5:$G$92,"Jalan Irigasi Jaringan",'Daftar Koreksi'!$I$5:$I$92,"&lt;0")-SUMIFS('Daftar Koreksi'!$I$5:$I$92,'Daftar Koreksi'!$D$5:$D$92,'2200'!A312,'Daftar Koreksi'!$G$5:$G$92,"Jalan Irigasi Jaringan",'Daftar Koreksi'!$I$5:$I$92,"&lt;0")</f>
        <v>0</v>
      </c>
      <c r="G327" s="17">
        <f t="shared" si="14"/>
        <v>0</v>
      </c>
      <c r="H327" s="122"/>
      <c r="I327" s="28"/>
      <c r="J327" s="28"/>
    </row>
    <row r="328" spans="1:10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Koreksi'!$D$5:$D$92,'2200'!A312,'Daftar Koreksi'!$G$5:$G$92,"Aset Tetap Lainnya",'Daftar Koreksi'!$I$5:$I$92,"&gt;0")</f>
        <v>0</v>
      </c>
      <c r="F328" s="25">
        <f>SUMIFS('Daftar Koreksi'!$I$5:$I$92,'Daftar Koreksi'!$D$5:$D$92,'2200'!A312,'Daftar Koreksi'!$G$5:$G$92,"Aset Tetap Lainnya",'Daftar Koreksi'!$I$5:$I$92,"&lt;0")-SUMIFS('Daftar Koreksi'!$I$5:$I$92,'Daftar Koreksi'!$D$5:$D$92,'2200'!A312,'Daftar Koreksi'!$G$5:$G$92,"Aset Tetap Lainnya",'Daftar Koreksi'!$I$5:$I$92,"&lt;0")-SUMIFS('Daftar Koreksi'!$I$5:$I$92,'Daftar Koreksi'!$D$5:$D$92,'2200'!A312,'Daftar Koreksi'!$G$5:$G$92,"Aset Tetap Lainnya",'Daftar Koreksi'!$I$5:$I$92,"&lt;0")</f>
        <v>0</v>
      </c>
      <c r="G328" s="17">
        <f t="shared" si="14"/>
        <v>0</v>
      </c>
      <c r="H328" s="122"/>
      <c r="I328" s="28"/>
      <c r="J328" s="28"/>
    </row>
    <row r="329" spans="1:10" ht="21.95" customHeight="1">
      <c r="A329" s="14"/>
      <c r="B329" s="14"/>
      <c r="C329" s="16" t="s">
        <v>2020</v>
      </c>
      <c r="D329" s="17">
        <f>VLOOKUP(A312,'Neraca Unaudited SIMAK'!$A$2:$S$10004,17,FALSE)</f>
        <v>-730000</v>
      </c>
      <c r="E329" s="25">
        <f>SUMIFS('Daftar Koreksi'!$I$5:$I$92,'Daftar Koreksi'!$D$5:$D$92,'2200'!A312,'Daftar Koreksi'!$G$5:$G$92,"Aset Henti Guna",'Daftar Koreksi'!$I$5:$I$92,"&gt;0")</f>
        <v>0</v>
      </c>
      <c r="F329" s="25">
        <f>SUMIFS('Daftar Koreksi'!$I$5:$I$92,'Daftar Koreksi'!$D$5:$D$92,'2200'!A312,'Daftar Koreksi'!$G$5:$G$92,"Aset Henti Guna",'Daftar Koreksi'!$I$5:$I$92,"&lt;0")-SUMIFS('Daftar Koreksi'!$I$5:$I$92,'Daftar Koreksi'!$D$5:$D$92,'2200'!A312,'Daftar Koreksi'!$G$5:$G$92,"Aset Henti Guna",'Daftar Koreksi'!$I$5:$I$92,"&lt;0")-SUMIFS('Daftar Koreksi'!$I$5:$I$92,'Daftar Koreksi'!$D$5:$D$92,'2200'!A312,'Daftar Koreksi'!$G$5:$G$92,"Aset Henti Guna",'Daftar Koreksi'!$I$5:$I$92,"&lt;0")</f>
        <v>0</v>
      </c>
      <c r="G329" s="17">
        <f t="shared" si="14"/>
        <v>-730000</v>
      </c>
      <c r="H329" s="122"/>
      <c r="I329" s="28"/>
      <c r="J329" s="28"/>
    </row>
    <row r="330" spans="1:10" ht="21.95" customHeight="1">
      <c r="A330" s="14"/>
      <c r="B330" s="14"/>
      <c r="C330" s="18" t="s">
        <v>2094</v>
      </c>
      <c r="D330" s="19">
        <f>SUM(D325:D329)</f>
        <v>-1846077596</v>
      </c>
      <c r="E330" s="19">
        <f>SUM(E325:E329)</f>
        <v>0</v>
      </c>
      <c r="F330" s="19">
        <f>SUM(F325:F329)</f>
        <v>0</v>
      </c>
      <c r="G330" s="19">
        <f t="shared" si="14"/>
        <v>-1846077596</v>
      </c>
      <c r="H330" s="122"/>
      <c r="I330" s="28"/>
      <c r="J330" s="28"/>
    </row>
    <row r="331" spans="1:10" ht="21.95" customHeight="1">
      <c r="A331" s="14"/>
      <c r="B331" s="14"/>
      <c r="C331" s="18" t="s">
        <v>2095</v>
      </c>
      <c r="D331" s="19">
        <f>VLOOKUP(A312,'Neraca Unaudited SIMAK'!$A$2:$S$10004,18,FALSE)</f>
        <v>10060385354</v>
      </c>
      <c r="E331" s="19">
        <f>E330+E324</f>
        <v>0</v>
      </c>
      <c r="F331" s="19">
        <f>F330+F324</f>
        <v>0</v>
      </c>
      <c r="G331" s="19">
        <f t="shared" si="14"/>
        <v>10060385354</v>
      </c>
      <c r="H331" s="122"/>
      <c r="I331" s="28"/>
      <c r="J331" s="28"/>
    </row>
    <row r="332" spans="1:10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  <c r="I332" s="28"/>
      <c r="J332" s="28"/>
    </row>
    <row r="334" spans="1:10" ht="19.5" customHeight="1">
      <c r="A334" s="11" t="str">
        <f>O16</f>
        <v>005012200402763000KD</v>
      </c>
      <c r="B334" s="11" t="str">
        <f>P16</f>
        <v>PA. Klungkung</v>
      </c>
      <c r="C334" s="12" t="str">
        <f>A334&amp;" "&amp;B334</f>
        <v>005012200402763000KD PA. Klungkung</v>
      </c>
      <c r="D334" s="13"/>
      <c r="E334" s="13"/>
      <c r="F334" s="13"/>
      <c r="G334" s="13"/>
      <c r="H334" s="11"/>
    </row>
    <row r="335" spans="1:10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10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1754300</v>
      </c>
      <c r="E337" s="25">
        <f>SUMIFS('Daftar Koreksi'!$H$5:$H$92,'Daftar Koreksi'!$D$5:$D$92,'2200'!A334,'Daftar Koreksi'!$G$5:$G$92,"Persediaan",'Daftar Koreksi'!$H$5:$H$92,"&gt;0")</f>
        <v>0</v>
      </c>
      <c r="F337" s="25">
        <f>SUMIFS('Daftar Koreksi'!$H$5:$H$92,'Daftar Koreksi'!$D$5:$D$92,'2200'!A334,'Daftar Koreksi'!$G$5:$G$92,"Persediaan",'Daftar Koreksi'!$H$5:$H$92,"&lt;0")-SUMIFS('Daftar Koreksi'!$H$5:$H$92,'Daftar Koreksi'!$D$5:$D$92,'2200'!A334,'Daftar Koreksi'!$G$5:$G$92,"Persediaan",'Daftar Koreksi'!$H$5:$H$92,"&lt;0")-SUMIFS('Daftar Koreksi'!$H$5:$H$92,'Daftar Koreksi'!$D$5:$D$92,'2200'!A334,'Daftar Koreksi'!$G$5:$G$92,"Persediaan",'Daftar Koreksi'!$H$5:$H$92,"&lt;0")</f>
        <v>0</v>
      </c>
      <c r="G337" s="17">
        <f>D337+E337-F337</f>
        <v>1754300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4200970000</v>
      </c>
      <c r="E338" s="25">
        <f>SUMIFS('Daftar Koreksi'!$H$5:$H$92,'Daftar Koreksi'!$D$5:$D$92,'2200'!A334,'Daftar Koreksi'!$G$5:$G$92,"Tanah",'Daftar Koreksi'!$H$5:$H$92,"&gt;0")</f>
        <v>0</v>
      </c>
      <c r="F338" s="25">
        <f>SUMIFS('Daftar Koreksi'!$H$5:$H$92,'Daftar Koreksi'!$D$5:$D$92,'2200'!A334,'Daftar Koreksi'!$G$5:$G$92,"Tanah",'Daftar Koreksi'!$H$5:$H$92,"&lt;0")-SUMIFS('Daftar Koreksi'!$H$5:$H$92,'Daftar Koreksi'!$D$5:$D$92,'2200'!A334,'Daftar Koreksi'!$G$5:$G$92,"Tanah",'Daftar Koreksi'!$H$5:$H$92,"&lt;0")-SUMIFS('Daftar Koreksi'!$H$5:$H$92,'Daftar Koreksi'!$D$5:$D$92,'2200'!A334,'Daftar Koreksi'!$G$5:$G$92,"Tanah",'Daftar Koreksi'!$H$5:$H$92,"&lt;0")</f>
        <v>0</v>
      </c>
      <c r="G338" s="17">
        <f t="shared" ref="G338:G354" si="15">D338+E338-F338</f>
        <v>4200970000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1071729650</v>
      </c>
      <c r="E339" s="25">
        <f>SUMIFS('Daftar Koreksi'!$H$5:$H$92,'Daftar Koreksi'!$D$5:$D$92,'2200'!A334,'Daftar Koreksi'!$G$5:$G$92,"Peralatan dan mesin",'Daftar Koreksi'!$H$5:$H$92,"&gt;0")</f>
        <v>0</v>
      </c>
      <c r="F339" s="25">
        <f>SUMIFS('Daftar Koreksi'!$H$5:$H$92,'Daftar Koreksi'!$D$5:$D$92,'2200'!A334,'Daftar Koreksi'!$G$5:$G$92,"Peralatan dan mesin",'Daftar Koreksi'!$H$5:$H$92,"&lt;0")-SUMIFS('Daftar Koreksi'!$H$5:$H$92,'Daftar Koreksi'!$D$5:$D$92,'2200'!A334,'Daftar Koreksi'!$G$5:$G$92,"Peralatan dan mesin",'Daftar Koreksi'!$H$5:$H$92,"&lt;0")-SUMIFS('Daftar Koreksi'!$H$5:$H$92,'Daftar Koreksi'!$D$5:$D$92,'2200'!A334,'Daftar Koreksi'!$G$5:$G$92,"Peralatan dan mesin",'Daftar Koreksi'!$H$5:$H$92,"&lt;0")</f>
        <v>0</v>
      </c>
      <c r="G339" s="17">
        <f t="shared" si="15"/>
        <v>1071729650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7715112000</v>
      </c>
      <c r="E340" s="25">
        <f>SUMIFS('Daftar Koreksi'!$H$5:$H$92,'Daftar Koreksi'!$D$5:$D$92,'2200'!A334,'Daftar Koreksi'!$G$5:$G$92,"Gedung dan Bangunan",'Daftar Koreksi'!$H$5:$H$92,"&gt;0")</f>
        <v>0</v>
      </c>
      <c r="F340" s="25">
        <f>SUMIFS('Daftar Koreksi'!$H$5:$H$92,'Daftar Koreksi'!$D$5:$D$92,'2200'!A334,'Daftar Koreksi'!$G$5:$G$92,"Gedung dan Bangunan",'Daftar Koreksi'!$H$5:$H$92,"&lt;0")-SUMIFS('Daftar Koreksi'!$H$5:$H$92,'Daftar Koreksi'!$D$5:$D$92,'2200'!A334,'Daftar Koreksi'!$G$5:$G$92,"Gedung dan Bangunan",'Daftar Koreksi'!$H$5:$H$92,"&lt;0")-SUMIFS('Daftar Koreksi'!$H$5:$H$92,'Daftar Koreksi'!$D$5:$D$92,'2200'!A334,'Daftar Koreksi'!$G$5:$G$92,"Gedung dan Bangunan",'Daftar Koreksi'!$H$5:$H$92,"&lt;0")</f>
        <v>0</v>
      </c>
      <c r="G340" s="17">
        <f t="shared" si="15"/>
        <v>7715112000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27400000</v>
      </c>
      <c r="E341" s="25">
        <f>SUMIFS('Daftar Koreksi'!$H$5:$H$92,'Daftar Koreksi'!$D$5:$D$92,'2200'!A334,'Daftar Koreksi'!$G$5:$G$92,"Jalan Irigasi Jaringan",'Daftar Koreksi'!$H$5:$H$92,"&gt;0")</f>
        <v>0</v>
      </c>
      <c r="F341" s="25">
        <f>SUMIFS('Daftar Koreksi'!$H$5:$H$92,'Daftar Koreksi'!$D$5:$D$92,'2200'!A334,'Daftar Koreksi'!$G$5:$G$92,"Jalan Irigasi Jaringan",'Daftar Koreksi'!$H$5:$H$92,"&lt;0")-SUMIFS('Daftar Koreksi'!$H$5:$H$92,'Daftar Koreksi'!$D$5:$D$92,'2200'!A334,'Daftar Koreksi'!$G$5:$G$92,"Jalan Irigasi Jaringan",'Daftar Koreksi'!$H$5:$H$92,"&lt;0")-SUMIFS('Daftar Koreksi'!$H$5:$H$92,'Daftar Koreksi'!$D$5:$D$92,'2200'!A334,'Daftar Koreksi'!$G$5:$G$92,"Jalan Irigasi Jaringan",'Daftar Koreksi'!$H$5:$H$92,"&lt;0")</f>
        <v>0</v>
      </c>
      <c r="G341" s="17">
        <f t="shared" si="15"/>
        <v>27400000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796350920</v>
      </c>
      <c r="E342" s="25">
        <f>SUMIFS('Daftar Koreksi'!$H$5:$H$92,'Daftar Koreksi'!$D$5:$D$92,'2200'!A334,'Daftar Koreksi'!$G$5:$G$92,"Aset Tetap Lainnya",'Daftar Koreksi'!$H$5:$H$92,"&gt;0")</f>
        <v>0</v>
      </c>
      <c r="F342" s="25">
        <f>SUMIFS('Daftar Koreksi'!$H$5:$H$92,'Daftar Koreksi'!$D$5:$D$92,'2200'!A334,'Daftar Koreksi'!$G$5:$G$92,"Aset Tetap Lainnya",'Daftar Koreksi'!$H$5:$H$92,"&lt;0")-SUMIFS('Daftar Koreksi'!$H$5:$H$92,'Daftar Koreksi'!$D$5:$D$92,'2200'!A334,'Daftar Koreksi'!$G$5:$G$92,"Aset Tetap Lainnya",'Daftar Koreksi'!$H$5:$H$92,"&lt;0")-SUMIFS('Daftar Koreksi'!$H$5:$H$92,'Daftar Koreksi'!$D$5:$D$92,'2200'!A334,'Daftar Koreksi'!$G$5:$G$92,"Aset Tetap Lainnya",'Daftar Koreksi'!$H$5:$H$92,"&lt;0")</f>
        <v>0</v>
      </c>
      <c r="G342" s="17">
        <f t="shared" si="15"/>
        <v>796350920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Koreksi'!$D$5:$D$92,'2200'!A334,'Daftar Koreksi'!$G$5:$G$92,"Kontruksi Dalam Pengerjaan",'Daftar Koreksi'!$H$5:$H$92,"&gt;0")</f>
        <v>0</v>
      </c>
      <c r="F343" s="25">
        <f>SUMIFS('Daftar Koreksi'!$H$5:$H$92,'Daftar Koreksi'!$D$5:$D$92,'2200'!A334,'Daftar Koreksi'!$G$5:$G$92,"Kontruksi Dalam Pengerjaan",'Daftar Koreksi'!$H$5:$H$92,"&lt;0")-SUMIFS('Daftar Koreksi'!$H$5:$H$92,'Daftar Koreksi'!$D$5:$D$92,'2200'!A334,'Daftar Koreksi'!$G$5:$G$92,"Kontruksi Dalam Pengerjaan",'Daftar Koreksi'!$H$5:$H$92,"&lt;0")-SUMIFS('Daftar Koreksi'!$H$5:$H$92,'Daftar Koreksi'!$D$5:$D$92,'2200'!A334,'Daftar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13000000</v>
      </c>
      <c r="E344" s="25">
        <f>SUMIFS('Daftar Koreksi'!$H$5:$H$92,'Daftar Koreksi'!$D$5:$D$92,'2200'!A334,'Daftar Koreksi'!$G$5:$G$92,"Aset Tak Berwujud",'Daftar Koreksi'!$H$5:$H$92,"&gt;0")</f>
        <v>0</v>
      </c>
      <c r="F344" s="25">
        <f>SUMIFS('Daftar Koreksi'!$H$5:$H$92,'Daftar Koreksi'!$D$5:$D$92,'2200'!A334,'Daftar Koreksi'!$G$5:$G$92,"Aset Tak Berwujud",'Daftar Koreksi'!$H$5:$H$92,"&lt;0")-SUMIFS('Daftar Koreksi'!$H$5:$H$92,'Daftar Koreksi'!$D$5:$D$92,'2200'!A334,'Daftar Koreksi'!$G$5:$G$92,"Aset Tak Berwujud",'Daftar Koreksi'!$H$5:$H$92,"&lt;0")-SUMIFS('Daftar Koreksi'!$H$5:$H$92,'Daftar Koreksi'!$D$5:$D$92,'2200'!A334,'Daftar Koreksi'!$G$5:$G$92,"Aset Tak Berwujud",'Daftar Koreksi'!$H$5:$H$92,"&lt;0")</f>
        <v>0</v>
      </c>
      <c r="G344" s="17">
        <f t="shared" si="15"/>
        <v>13000000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630000</v>
      </c>
      <c r="E345" s="25">
        <f>SUMIFS('Daftar Koreksi'!$H$5:$H$92,'Daftar Koreksi'!$D$5:$D$92,'2200'!A334,'Daftar Koreksi'!$G$5:$G$92,"Aset Henti Guna",'Daftar Koreksi'!$H$5:$H$92,"&gt;0")</f>
        <v>0</v>
      </c>
      <c r="F345" s="25">
        <f>SUMIFS('Daftar Koreksi'!$H$5:$H$92,'Daftar Koreksi'!$D$5:$D$92,'2200'!A334,'Daftar Koreksi'!$G$5:$G$92,"Aset Henti Guna",'Daftar Koreksi'!$H$5:$H$92,"&lt;0")-SUMIFS('Daftar Koreksi'!$H$5:$H$92,'Daftar Koreksi'!$D$5:$D$92,'2200'!A334,'Daftar Koreksi'!$G$5:$G$92,"Aset Henti Guna",'Daftar Koreksi'!$H$5:$H$92,"&lt;0")-SUMIFS('Daftar Koreksi'!$H$5:$H$92,'Daftar Koreksi'!$D$5:$D$92,'2200'!A334,'Daftar Koreksi'!$G$5:$G$92,"Aset Henti Guna",'Daftar Koreksi'!$H$5:$H$92,"&lt;0")</f>
        <v>0</v>
      </c>
      <c r="G345" s="17">
        <f t="shared" si="15"/>
        <v>630000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13826946870</v>
      </c>
      <c r="E346" s="19">
        <f>SUM(E337:E345)</f>
        <v>0</v>
      </c>
      <c r="F346" s="19">
        <f>SUM(F337:F345)</f>
        <v>0</v>
      </c>
      <c r="G346" s="19">
        <f t="shared" si="15"/>
        <v>13826946870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-937756418</v>
      </c>
      <c r="E347" s="25">
        <f>SUMIFS('Daftar Koreksi'!$I$5:$I$92,'Daftar Koreksi'!$D$5:$D$92,'2200'!A334,'Daftar Koreksi'!$G$5:$G$92,"Peralatan dan mesin",'Daftar Koreksi'!$I$5:$I$92,"&gt;0")</f>
        <v>0</v>
      </c>
      <c r="F347" s="25">
        <f>SUMIFS('Daftar Koreksi'!$I$5:$I$92,'Daftar Koreksi'!$D$5:$D$92,'2200'!A334,'Daftar Koreksi'!$G$5:$G$92,"Peralatan dan mesin",'Daftar Koreksi'!$I$5:$I$92,"&lt;0")-SUMIFS('Daftar Koreksi'!$I$5:$I$92,'Daftar Koreksi'!$D$5:$D$92,'2200'!A334,'Daftar Koreksi'!$G$5:$G$92,"Peralatan dan mesin",'Daftar Koreksi'!$I$5:$I$92,"&lt;0")-SUMIFS('Daftar Koreksi'!$I$5:$I$92,'Daftar Koreksi'!$D$5:$D$92,'2200'!A334,'Daftar Koreksi'!$G$5:$G$92,"Peralatan dan mesin",'Daftar Koreksi'!$I$5:$I$92,"&lt;0")</f>
        <v>0</v>
      </c>
      <c r="G347" s="17">
        <f t="shared" si="15"/>
        <v>-937756418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-193228905</v>
      </c>
      <c r="E348" s="25">
        <f>SUMIFS('Daftar Koreksi'!$I$5:$I$92,'Daftar Koreksi'!$D$5:$D$92,'2200'!A334,'Daftar Koreksi'!$G$5:$G$92,"Gedung dan Bangunan",'Daftar Koreksi'!$I$5:$I$92,"&gt;0")</f>
        <v>0</v>
      </c>
      <c r="F348" s="25">
        <f>SUMIFS('Daftar Koreksi'!$I$5:$I$92,'Daftar Koreksi'!$D$5:$D$92,'2200'!A334,'Daftar Koreksi'!$G$5:$G$92,"Gedung dan Bangunan",'Daftar Koreksi'!$I$5:$I$92,"&lt;0")-SUMIFS('Daftar Koreksi'!$I$5:$I$92,'Daftar Koreksi'!$D$5:$D$92,'2200'!A334,'Daftar Koreksi'!$G$5:$G$92,"Gedung dan Bangunan",'Daftar Koreksi'!$I$5:$I$92,"&lt;0")-SUMIFS('Daftar Koreksi'!$I$5:$I$92,'Daftar Koreksi'!$D$5:$D$92,'2200'!A334,'Daftar Koreksi'!$G$5:$G$92,"Gedung dan Bangunan",'Daftar Koreksi'!$I$5:$I$92,"&lt;0")</f>
        <v>0</v>
      </c>
      <c r="G348" s="17">
        <f t="shared" si="15"/>
        <v>-193228905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-2740000</v>
      </c>
      <c r="E349" s="25">
        <f>SUMIFS('Daftar Koreksi'!$I$5:$I$92,'Daftar Koreksi'!$D$5:$D$92,'2200'!A334,'Daftar Koreksi'!$G$5:$G$92,"Jalan Irigasi Jaringan",'Daftar Koreksi'!$I$5:$I$92,"&gt;0")</f>
        <v>0</v>
      </c>
      <c r="F349" s="25">
        <f>SUMIFS('Daftar Koreksi'!$I$5:$I$92,'Daftar Koreksi'!$D$5:$D$92,'2200'!A334,'Daftar Koreksi'!$G$5:$G$92,"Jalan Irigasi Jaringan",'Daftar Koreksi'!$I$5:$I$92,"&lt;0")-SUMIFS('Daftar Koreksi'!$I$5:$I$92,'Daftar Koreksi'!$D$5:$D$92,'2200'!A334,'Daftar Koreksi'!$G$5:$G$92,"Jalan Irigasi Jaringan",'Daftar Koreksi'!$I$5:$I$92,"&lt;0")-SUMIFS('Daftar Koreksi'!$I$5:$I$92,'Daftar Koreksi'!$D$5:$D$92,'2200'!A334,'Daftar Koreksi'!$G$5:$G$92,"Jalan Irigasi Jaringan",'Daftar Koreksi'!$I$5:$I$92,"&lt;0")</f>
        <v>0</v>
      </c>
      <c r="G349" s="17">
        <f t="shared" si="15"/>
        <v>-2740000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Koreksi'!$D$5:$D$92,'2200'!A334,'Daftar Koreksi'!$G$5:$G$92,"Aset Tetap Lainnya",'Daftar Koreksi'!$I$5:$I$92,"&gt;0")</f>
        <v>0</v>
      </c>
      <c r="F350" s="25">
        <f>SUMIFS('Daftar Koreksi'!$I$5:$I$92,'Daftar Koreksi'!$D$5:$D$92,'2200'!A334,'Daftar Koreksi'!$G$5:$G$92,"Aset Tetap Lainnya",'Daftar Koreksi'!$I$5:$I$92,"&lt;0")-SUMIFS('Daftar Koreksi'!$I$5:$I$92,'Daftar Koreksi'!$D$5:$D$92,'2200'!A334,'Daftar Koreksi'!$G$5:$G$92,"Aset Tetap Lainnya",'Daftar Koreksi'!$I$5:$I$92,"&lt;0")-SUMIFS('Daftar Koreksi'!$I$5:$I$92,'Daftar Koreksi'!$D$5:$D$92,'2200'!A334,'Daftar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-630000</v>
      </c>
      <c r="E351" s="25">
        <f>SUMIFS('Daftar Koreksi'!$I$5:$I$92,'Daftar Koreksi'!$D$5:$D$92,'2200'!A334,'Daftar Koreksi'!$G$5:$G$92,"Aset Henti Guna",'Daftar Koreksi'!$I$5:$I$92,"&gt;0")</f>
        <v>0</v>
      </c>
      <c r="F351" s="25">
        <f>SUMIFS('Daftar Koreksi'!$I$5:$I$92,'Daftar Koreksi'!$D$5:$D$92,'2200'!A334,'Daftar Koreksi'!$G$5:$G$92,"Aset Henti Guna",'Daftar Koreksi'!$I$5:$I$92,"&lt;0")-SUMIFS('Daftar Koreksi'!$I$5:$I$92,'Daftar Koreksi'!$D$5:$D$92,'2200'!A334,'Daftar Koreksi'!$G$5:$G$92,"Aset Henti Guna",'Daftar Koreksi'!$I$5:$I$92,"&lt;0")-SUMIFS('Daftar Koreksi'!$I$5:$I$92,'Daftar Koreksi'!$D$5:$D$92,'2200'!A334,'Daftar Koreksi'!$G$5:$G$92,"Aset Henti Guna",'Daftar Koreksi'!$I$5:$I$92,"&lt;0")</f>
        <v>0</v>
      </c>
      <c r="G351" s="17">
        <f t="shared" si="15"/>
        <v>-630000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-1134355323</v>
      </c>
      <c r="E352" s="19">
        <f>SUM(E347:E351)</f>
        <v>0</v>
      </c>
      <c r="F352" s="19">
        <f>SUM(F347:F351)</f>
        <v>0</v>
      </c>
      <c r="G352" s="19">
        <f t="shared" si="15"/>
        <v>-1134355323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12692591547</v>
      </c>
      <c r="E353" s="19">
        <f>E352+E346</f>
        <v>0</v>
      </c>
      <c r="F353" s="19">
        <f>F352+F346</f>
        <v>0</v>
      </c>
      <c r="G353" s="19">
        <f t="shared" si="15"/>
        <v>12692591547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005012200402772000KD</v>
      </c>
      <c r="B356" s="11" t="str">
        <f>P17</f>
        <v>PA. Gianyar</v>
      </c>
      <c r="C356" s="12" t="str">
        <f>A356&amp;" "&amp;B356</f>
        <v>005012200402772000KD PA. Gianyar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1401900</v>
      </c>
      <c r="E359" s="25">
        <f>SUMIFS('Daftar Koreksi'!$H$5:$H$92,'Daftar Koreksi'!$D$5:$D$92,'2200'!A356,'Daftar Koreksi'!$G$5:$G$92,"Persediaan",'Daftar Koreksi'!$H$5:$H$92,"&gt;0")</f>
        <v>0</v>
      </c>
      <c r="F359" s="25">
        <f>SUMIFS('Daftar Koreksi'!$H$5:$H$92,'Daftar Koreksi'!$D$5:$D$92,'2200'!A356,'Daftar Koreksi'!$G$5:$G$92,"Persediaan",'Daftar Koreksi'!$H$5:$H$92,"&lt;0")-SUMIFS('Daftar Koreksi'!$H$5:$H$92,'Daftar Koreksi'!$D$5:$D$92,'2200'!A356,'Daftar Koreksi'!$G$5:$G$92,"Persediaan",'Daftar Koreksi'!$H$5:$H$92,"&lt;0")-SUMIFS('Daftar Koreksi'!$H$5:$H$92,'Daftar Koreksi'!$D$5:$D$92,'2200'!A356,'Daftar Koreksi'!$G$5:$G$92,"Persediaan",'Daftar Koreksi'!$H$5:$H$92,"&lt;0")</f>
        <v>0</v>
      </c>
      <c r="G359" s="17">
        <f>D359+E359-F359</f>
        <v>1401900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3351000000</v>
      </c>
      <c r="E360" s="25">
        <f>SUMIFS('Daftar Koreksi'!$H$5:$H$92,'Daftar Koreksi'!$D$5:$D$92,'2200'!A356,'Daftar Koreksi'!$G$5:$G$92,"Tanah",'Daftar Koreksi'!$H$5:$H$92,"&gt;0")</f>
        <v>0</v>
      </c>
      <c r="F360" s="25">
        <f>SUMIFS('Daftar Koreksi'!$H$5:$H$92,'Daftar Koreksi'!$D$5:$D$92,'2200'!A356,'Daftar Koreksi'!$G$5:$G$92,"Tanah",'Daftar Koreksi'!$H$5:$H$92,"&lt;0")-SUMIFS('Daftar Koreksi'!$H$5:$H$92,'Daftar Koreksi'!$D$5:$D$92,'2200'!A356,'Daftar Koreksi'!$G$5:$G$92,"Tanah",'Daftar Koreksi'!$H$5:$H$92,"&lt;0")-SUMIFS('Daftar Koreksi'!$H$5:$H$92,'Daftar Koreksi'!$D$5:$D$92,'2200'!A356,'Daftar Koreksi'!$G$5:$G$92,"Tanah",'Daftar Koreksi'!$H$5:$H$92,"&lt;0")</f>
        <v>0</v>
      </c>
      <c r="G360" s="17">
        <f t="shared" ref="G360:G376" si="16">D360+E360-F360</f>
        <v>3351000000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1207440748</v>
      </c>
      <c r="E361" s="25">
        <f>SUMIFS('Daftar Koreksi'!$H$5:$H$92,'Daftar Koreksi'!$D$5:$D$92,'2200'!A356,'Daftar Koreksi'!$G$5:$G$92,"Peralatan dan mesin",'Daftar Koreksi'!$H$5:$H$92,"&gt;0")</f>
        <v>0</v>
      </c>
      <c r="F361" s="25">
        <f>SUMIFS('Daftar Koreksi'!$H$5:$H$92,'Daftar Koreksi'!$D$5:$D$92,'2200'!A356,'Daftar Koreksi'!$G$5:$G$92,"Peralatan dan mesin",'Daftar Koreksi'!$H$5:$H$92,"&lt;0")-SUMIFS('Daftar Koreksi'!$H$5:$H$92,'Daftar Koreksi'!$D$5:$D$92,'2200'!A356,'Daftar Koreksi'!$G$5:$G$92,"Peralatan dan mesin",'Daftar Koreksi'!$H$5:$H$92,"&lt;0")-SUMIFS('Daftar Koreksi'!$H$5:$H$92,'Daftar Koreksi'!$D$5:$D$92,'2200'!A356,'Daftar Koreksi'!$G$5:$G$92,"Peralatan dan mesin",'Daftar Koreksi'!$H$5:$H$92,"&lt;0")</f>
        <v>0</v>
      </c>
      <c r="G361" s="17">
        <f t="shared" si="16"/>
        <v>1207440748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568397000</v>
      </c>
      <c r="E362" s="25">
        <f>SUMIFS('Daftar Koreksi'!$H$5:$H$92,'Daftar Koreksi'!$D$5:$D$92,'2200'!A356,'Daftar Koreksi'!$G$5:$G$92,"Gedung dan Bangunan",'Daftar Koreksi'!$H$5:$H$92,"&gt;0")</f>
        <v>0</v>
      </c>
      <c r="F362" s="25">
        <f>SUMIFS('Daftar Koreksi'!$H$5:$H$92,'Daftar Koreksi'!$D$5:$D$92,'2200'!A356,'Daftar Koreksi'!$G$5:$G$92,"Gedung dan Bangunan",'Daftar Koreksi'!$H$5:$H$92,"&lt;0")-SUMIFS('Daftar Koreksi'!$H$5:$H$92,'Daftar Koreksi'!$D$5:$D$92,'2200'!A356,'Daftar Koreksi'!$G$5:$G$92,"Gedung dan Bangunan",'Daftar Koreksi'!$H$5:$H$92,"&lt;0")-SUMIFS('Daftar Koreksi'!$H$5:$H$92,'Daftar Koreksi'!$D$5:$D$92,'2200'!A356,'Daftar Koreksi'!$G$5:$G$92,"Gedung dan Bangunan",'Daftar Koreksi'!$H$5:$H$92,"&lt;0")</f>
        <v>0</v>
      </c>
      <c r="G362" s="17">
        <f t="shared" si="16"/>
        <v>568397000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98950000</v>
      </c>
      <c r="E363" s="25">
        <f>SUMIFS('Daftar Koreksi'!$H$5:$H$92,'Daftar Koreksi'!$D$5:$D$92,'2200'!A356,'Daftar Koreksi'!$G$5:$G$92,"Jalan Irigasi Jaringan",'Daftar Koreksi'!$H$5:$H$92,"&gt;0")</f>
        <v>0</v>
      </c>
      <c r="F363" s="25">
        <f>SUMIFS('Daftar Koreksi'!$H$5:$H$92,'Daftar Koreksi'!$D$5:$D$92,'2200'!A356,'Daftar Koreksi'!$G$5:$G$92,"Jalan Irigasi Jaringan",'Daftar Koreksi'!$H$5:$H$92,"&lt;0")-SUMIFS('Daftar Koreksi'!$H$5:$H$92,'Daftar Koreksi'!$D$5:$D$92,'2200'!A356,'Daftar Koreksi'!$G$5:$G$92,"Jalan Irigasi Jaringan",'Daftar Koreksi'!$H$5:$H$92,"&lt;0")-SUMIFS('Daftar Koreksi'!$H$5:$H$92,'Daftar Koreksi'!$D$5:$D$92,'2200'!A356,'Daftar Koreksi'!$G$5:$G$92,"Jalan Irigasi Jaringan",'Daftar Koreksi'!$H$5:$H$92,"&lt;0")</f>
        <v>0</v>
      </c>
      <c r="G363" s="17">
        <f t="shared" si="16"/>
        <v>98950000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801891000</v>
      </c>
      <c r="E364" s="25">
        <f>SUMIFS('Daftar Koreksi'!$H$5:$H$92,'Daftar Koreksi'!$D$5:$D$92,'2200'!A356,'Daftar Koreksi'!$G$5:$G$92,"Aset Tetap Lainnya",'Daftar Koreksi'!$H$5:$H$92,"&gt;0")</f>
        <v>0</v>
      </c>
      <c r="F364" s="25">
        <f>SUMIFS('Daftar Koreksi'!$H$5:$H$92,'Daftar Koreksi'!$D$5:$D$92,'2200'!A356,'Daftar Koreksi'!$G$5:$G$92,"Aset Tetap Lainnya",'Daftar Koreksi'!$H$5:$H$92,"&lt;0")-SUMIFS('Daftar Koreksi'!$H$5:$H$92,'Daftar Koreksi'!$D$5:$D$92,'2200'!A356,'Daftar Koreksi'!$G$5:$G$92,"Aset Tetap Lainnya",'Daftar Koreksi'!$H$5:$H$92,"&lt;0")-SUMIFS('Daftar Koreksi'!$H$5:$H$92,'Daftar Koreksi'!$D$5:$D$92,'2200'!A356,'Daftar Koreksi'!$G$5:$G$92,"Aset Tetap Lainnya",'Daftar Koreksi'!$H$5:$H$92,"&lt;0")</f>
        <v>0</v>
      </c>
      <c r="G364" s="17">
        <f t="shared" si="16"/>
        <v>801891000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8333812500</v>
      </c>
      <c r="E365" s="25">
        <f>SUMIFS('Daftar Koreksi'!$H$5:$H$92,'Daftar Koreksi'!$D$5:$D$92,'2200'!A356,'Daftar Koreksi'!$G$5:$G$92,"Kontruksi Dalam Pengerjaan",'Daftar Koreksi'!$H$5:$H$92,"&gt;0")</f>
        <v>0</v>
      </c>
      <c r="F365" s="25">
        <f>SUMIFS('Daftar Koreksi'!$H$5:$H$92,'Daftar Koreksi'!$D$5:$D$92,'2200'!A356,'Daftar Koreksi'!$G$5:$G$92,"Kontruksi Dalam Pengerjaan",'Daftar Koreksi'!$H$5:$H$92,"&lt;0")-SUMIFS('Daftar Koreksi'!$H$5:$H$92,'Daftar Koreksi'!$D$5:$D$92,'2200'!A356,'Daftar Koreksi'!$G$5:$G$92,"Kontruksi Dalam Pengerjaan",'Daftar Koreksi'!$H$5:$H$92,"&lt;0")-SUMIFS('Daftar Koreksi'!$H$5:$H$92,'Daftar Koreksi'!$D$5:$D$92,'2200'!A356,'Daftar Koreksi'!$G$5:$G$92,"Kontruksi Dalam Pengerjaan",'Daftar Koreksi'!$H$5:$H$92,"&lt;0")</f>
        <v>0</v>
      </c>
      <c r="G365" s="17">
        <f t="shared" si="16"/>
        <v>8333812500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Koreksi'!$D$5:$D$92,'2200'!A356,'Daftar Koreksi'!$G$5:$G$92,"Aset Tak Berwujud",'Daftar Koreksi'!$H$5:$H$92,"&gt;0")</f>
        <v>0</v>
      </c>
      <c r="F366" s="25">
        <f>SUMIFS('Daftar Koreksi'!$H$5:$H$92,'Daftar Koreksi'!$D$5:$D$92,'2200'!A356,'Daftar Koreksi'!$G$5:$G$92,"Aset Tak Berwujud",'Daftar Koreksi'!$H$5:$H$92,"&lt;0")-SUMIFS('Daftar Koreksi'!$H$5:$H$92,'Daftar Koreksi'!$D$5:$D$92,'2200'!A356,'Daftar Koreksi'!$G$5:$G$92,"Aset Tak Berwujud",'Daftar Koreksi'!$H$5:$H$92,"&lt;0")-SUMIFS('Daftar Koreksi'!$H$5:$H$92,'Daftar Koreksi'!$D$5:$D$92,'2200'!A356,'Daftar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Koreksi'!$D$5:$D$92,'2200'!A356,'Daftar Koreksi'!$G$5:$G$92,"Aset Henti Guna",'Daftar Koreksi'!$H$5:$H$92,"&gt;0")</f>
        <v>0</v>
      </c>
      <c r="F367" s="25">
        <f>SUMIFS('Daftar Koreksi'!$H$5:$H$92,'Daftar Koreksi'!$D$5:$D$92,'2200'!A356,'Daftar Koreksi'!$G$5:$G$92,"Aset Henti Guna",'Daftar Koreksi'!$H$5:$H$92,"&lt;0")-SUMIFS('Daftar Koreksi'!$H$5:$H$92,'Daftar Koreksi'!$D$5:$D$92,'2200'!A356,'Daftar Koreksi'!$G$5:$G$92,"Aset Henti Guna",'Daftar Koreksi'!$H$5:$H$92,"&lt;0")-SUMIFS('Daftar Koreksi'!$H$5:$H$92,'Daftar Koreksi'!$D$5:$D$92,'2200'!A356,'Daftar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14362893148</v>
      </c>
      <c r="E368" s="19">
        <f>SUM(E359:E367)</f>
        <v>0</v>
      </c>
      <c r="F368" s="19">
        <f>SUM(F359:F367)</f>
        <v>0</v>
      </c>
      <c r="G368" s="19">
        <f t="shared" si="16"/>
        <v>14362893148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-952457734</v>
      </c>
      <c r="E369" s="25">
        <f>SUMIFS('Daftar Koreksi'!$I$5:$I$92,'Daftar Koreksi'!$D$5:$D$92,'2200'!A356,'Daftar Koreksi'!$G$5:$G$92,"Peralatan dan mesin",'Daftar Koreksi'!$I$5:$I$92,"&gt;0")</f>
        <v>0</v>
      </c>
      <c r="F369" s="25">
        <f>SUMIFS('Daftar Koreksi'!$I$5:$I$92,'Daftar Koreksi'!$D$5:$D$92,'2200'!A356,'Daftar Koreksi'!$G$5:$G$92,"Peralatan dan mesin",'Daftar Koreksi'!$I$5:$I$92,"&lt;0")-SUMIFS('Daftar Koreksi'!$I$5:$I$92,'Daftar Koreksi'!$D$5:$D$92,'2200'!A356,'Daftar Koreksi'!$G$5:$G$92,"Peralatan dan mesin",'Daftar Koreksi'!$I$5:$I$92,"&lt;0")-SUMIFS('Daftar Koreksi'!$I$5:$I$92,'Daftar Koreksi'!$D$5:$D$92,'2200'!A356,'Daftar Koreksi'!$G$5:$G$92,"Peralatan dan mesin",'Daftar Koreksi'!$I$5:$I$92,"&lt;0")</f>
        <v>0</v>
      </c>
      <c r="G369" s="17">
        <f t="shared" si="16"/>
        <v>-952457734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-108840200</v>
      </c>
      <c r="E370" s="25">
        <f>SUMIFS('Daftar Koreksi'!$I$5:$I$92,'Daftar Koreksi'!$D$5:$D$92,'2200'!A356,'Daftar Koreksi'!$G$5:$G$92,"Gedung dan Bangunan",'Daftar Koreksi'!$I$5:$I$92,"&gt;0")</f>
        <v>0</v>
      </c>
      <c r="F370" s="25">
        <f>SUMIFS('Daftar Koreksi'!$I$5:$I$92,'Daftar Koreksi'!$D$5:$D$92,'2200'!A356,'Daftar Koreksi'!$G$5:$G$92,"Gedung dan Bangunan",'Daftar Koreksi'!$I$5:$I$92,"&lt;0")-SUMIFS('Daftar Koreksi'!$I$5:$I$92,'Daftar Koreksi'!$D$5:$D$92,'2200'!A356,'Daftar Koreksi'!$G$5:$G$92,"Gedung dan Bangunan",'Daftar Koreksi'!$I$5:$I$92,"&lt;0")-SUMIFS('Daftar Koreksi'!$I$5:$I$92,'Daftar Koreksi'!$D$5:$D$92,'2200'!A356,'Daftar Koreksi'!$G$5:$G$92,"Gedung dan Bangunan",'Daftar Koreksi'!$I$5:$I$92,"&lt;0")</f>
        <v>0</v>
      </c>
      <c r="G370" s="17">
        <f t="shared" si="16"/>
        <v>-108840200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-32382500</v>
      </c>
      <c r="E371" s="25">
        <f>SUMIFS('Daftar Koreksi'!$I$5:$I$92,'Daftar Koreksi'!$D$5:$D$92,'2200'!A356,'Daftar Koreksi'!$G$5:$G$92,"Jalan Irigasi Jaringan",'Daftar Koreksi'!$I$5:$I$92,"&gt;0")</f>
        <v>0</v>
      </c>
      <c r="F371" s="25">
        <f>SUMIFS('Daftar Koreksi'!$I$5:$I$92,'Daftar Koreksi'!$D$5:$D$92,'2200'!A356,'Daftar Koreksi'!$G$5:$G$92,"Jalan Irigasi Jaringan",'Daftar Koreksi'!$I$5:$I$92,"&lt;0")-SUMIFS('Daftar Koreksi'!$I$5:$I$92,'Daftar Koreksi'!$D$5:$D$92,'2200'!A356,'Daftar Koreksi'!$G$5:$G$92,"Jalan Irigasi Jaringan",'Daftar Koreksi'!$I$5:$I$92,"&lt;0")-SUMIFS('Daftar Koreksi'!$I$5:$I$92,'Daftar Koreksi'!$D$5:$D$92,'2200'!A356,'Daftar Koreksi'!$G$5:$G$92,"Jalan Irigasi Jaringan",'Daftar Koreksi'!$I$5:$I$92,"&lt;0")</f>
        <v>0</v>
      </c>
      <c r="G371" s="17">
        <f t="shared" si="16"/>
        <v>-32382500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Koreksi'!$D$5:$D$92,'2200'!A356,'Daftar Koreksi'!$G$5:$G$92,"Aset Tetap Lainnya",'Daftar Koreksi'!$I$5:$I$92,"&gt;0")</f>
        <v>0</v>
      </c>
      <c r="F372" s="25">
        <f>SUMIFS('Daftar Koreksi'!$I$5:$I$92,'Daftar Koreksi'!$D$5:$D$92,'2200'!A356,'Daftar Koreksi'!$G$5:$G$92,"Aset Tetap Lainnya",'Daftar Koreksi'!$I$5:$I$92,"&lt;0")-SUMIFS('Daftar Koreksi'!$I$5:$I$92,'Daftar Koreksi'!$D$5:$D$92,'2200'!A356,'Daftar Koreksi'!$G$5:$G$92,"Aset Tetap Lainnya",'Daftar Koreksi'!$I$5:$I$92,"&lt;0")-SUMIFS('Daftar Koreksi'!$I$5:$I$92,'Daftar Koreksi'!$D$5:$D$92,'2200'!A356,'Daftar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Koreksi'!$D$5:$D$92,'2200'!A356,'Daftar Koreksi'!$G$5:$G$92,"Aset Henti Guna",'Daftar Koreksi'!$I$5:$I$92,"&gt;0")</f>
        <v>0</v>
      </c>
      <c r="F373" s="25">
        <f>SUMIFS('Daftar Koreksi'!$I$5:$I$92,'Daftar Koreksi'!$D$5:$D$92,'2200'!A356,'Daftar Koreksi'!$G$5:$G$92,"Aset Henti Guna",'Daftar Koreksi'!$I$5:$I$92,"&lt;0")-SUMIFS('Daftar Koreksi'!$I$5:$I$92,'Daftar Koreksi'!$D$5:$D$92,'2200'!A356,'Daftar Koreksi'!$G$5:$G$92,"Aset Henti Guna",'Daftar Koreksi'!$I$5:$I$92,"&lt;0")-SUMIFS('Daftar Koreksi'!$I$5:$I$92,'Daftar Koreksi'!$D$5:$D$92,'2200'!A356,'Daftar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-1093680434</v>
      </c>
      <c r="E374" s="19">
        <f>SUM(E369:E373)</f>
        <v>0</v>
      </c>
      <c r="F374" s="19">
        <f>SUM(F369:F373)</f>
        <v>0</v>
      </c>
      <c r="G374" s="19">
        <f t="shared" si="16"/>
        <v>-1093680434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13269212714</v>
      </c>
      <c r="E375" s="19">
        <f>E374+E368</f>
        <v>0</v>
      </c>
      <c r="F375" s="19">
        <f>F374+F368</f>
        <v>0</v>
      </c>
      <c r="G375" s="19">
        <f t="shared" si="16"/>
        <v>13269212714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005012200559861000KD</v>
      </c>
      <c r="B378" s="11" t="str">
        <f>P18</f>
        <v>PTUN. Denpasar</v>
      </c>
      <c r="C378" s="12" t="str">
        <f>A378&amp;" "&amp;B378</f>
        <v>005012200559861000KD PTUN. Denpasar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1702000</v>
      </c>
      <c r="E381" s="25">
        <f>SUMIFS('Daftar Koreksi'!$H$5:$H$92,'Daftar Koreksi'!$D$5:$D$92,'2200'!A378,'Daftar Koreksi'!$G$5:$G$92,"Persediaan",'Daftar Koreksi'!$H$5:$H$92,"&gt;0")</f>
        <v>0</v>
      </c>
      <c r="F381" s="25">
        <f>SUMIFS('Daftar Koreksi'!$H$5:$H$92,'Daftar Koreksi'!$D$5:$D$92,'2200'!A378,'Daftar Koreksi'!$G$5:$G$92,"Persediaan",'Daftar Koreksi'!$H$5:$H$92,"&lt;0")-SUMIFS('Daftar Koreksi'!$H$5:$H$92,'Daftar Koreksi'!$D$5:$D$92,'2200'!A378,'Daftar Koreksi'!$G$5:$G$92,"Persediaan",'Daftar Koreksi'!$H$5:$H$92,"&lt;0")-SUMIFS('Daftar Koreksi'!$H$5:$H$92,'Daftar Koreksi'!$D$5:$D$92,'2200'!A378,'Daftar Koreksi'!$G$5:$G$92,"Persediaan",'Daftar Koreksi'!$H$5:$H$92,"&lt;0")</f>
        <v>0</v>
      </c>
      <c r="G381" s="17">
        <f>D381+E381-F381</f>
        <v>1702000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16061982000</v>
      </c>
      <c r="E382" s="25">
        <f>SUMIFS('Daftar Koreksi'!$H$5:$H$92,'Daftar Koreksi'!$D$5:$D$92,'2200'!A378,'Daftar Koreksi'!$G$5:$G$92,"Tanah",'Daftar Koreksi'!$H$5:$H$92,"&gt;0")</f>
        <v>0</v>
      </c>
      <c r="F382" s="25">
        <f>SUMIFS('Daftar Koreksi'!$H$5:$H$92,'Daftar Koreksi'!$D$5:$D$92,'2200'!A378,'Daftar Koreksi'!$G$5:$G$92,"Tanah",'Daftar Koreksi'!$H$5:$H$92,"&lt;0")-SUMIFS('Daftar Koreksi'!$H$5:$H$92,'Daftar Koreksi'!$D$5:$D$92,'2200'!A378,'Daftar Koreksi'!$G$5:$G$92,"Tanah",'Daftar Koreksi'!$H$5:$H$92,"&lt;0")-SUMIFS('Daftar Koreksi'!$H$5:$H$92,'Daftar Koreksi'!$D$5:$D$92,'2200'!A378,'Daftar Koreksi'!$G$5:$G$92,"Tanah",'Daftar Koreksi'!$H$5:$H$92,"&lt;0")</f>
        <v>0</v>
      </c>
      <c r="G382" s="17">
        <f t="shared" ref="G382:G398" si="17">D382+E382-F382</f>
        <v>16061982000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2053750770</v>
      </c>
      <c r="E383" s="25">
        <f>SUMIFS('Daftar Koreksi'!$H$5:$H$92,'Daftar Koreksi'!$D$5:$D$92,'2200'!A378,'Daftar Koreksi'!$G$5:$G$92,"Peralatan dan mesin",'Daftar Koreksi'!$H$5:$H$92,"&gt;0")</f>
        <v>0</v>
      </c>
      <c r="F383" s="25">
        <f>SUMIFS('Daftar Koreksi'!$H$5:$H$92,'Daftar Koreksi'!$D$5:$D$92,'2200'!A378,'Daftar Koreksi'!$G$5:$G$92,"Peralatan dan mesin",'Daftar Koreksi'!$H$5:$H$92,"&lt;0")-SUMIFS('Daftar Koreksi'!$H$5:$H$92,'Daftar Koreksi'!$D$5:$D$92,'2200'!A378,'Daftar Koreksi'!$G$5:$G$92,"Peralatan dan mesin",'Daftar Koreksi'!$H$5:$H$92,"&lt;0")-SUMIFS('Daftar Koreksi'!$H$5:$H$92,'Daftar Koreksi'!$D$5:$D$92,'2200'!A378,'Daftar Koreksi'!$G$5:$G$92,"Peralatan dan mesin",'Daftar Koreksi'!$H$5:$H$92,"&lt;0")</f>
        <v>0</v>
      </c>
      <c r="G383" s="17">
        <f t="shared" si="17"/>
        <v>2053750770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10949098370</v>
      </c>
      <c r="E384" s="25">
        <f>SUMIFS('Daftar Koreksi'!$H$5:$H$92,'Daftar Koreksi'!$D$5:$D$92,'2200'!A378,'Daftar Koreksi'!$G$5:$G$92,"Gedung dan Bangunan",'Daftar Koreksi'!$H$5:$H$92,"&gt;0")</f>
        <v>0</v>
      </c>
      <c r="F384" s="25">
        <f>SUMIFS('Daftar Koreksi'!$H$5:$H$92,'Daftar Koreksi'!$D$5:$D$92,'2200'!A378,'Daftar Koreksi'!$G$5:$G$92,"Gedung dan Bangunan",'Daftar Koreksi'!$H$5:$H$92,"&lt;0")-SUMIFS('Daftar Koreksi'!$H$5:$H$92,'Daftar Koreksi'!$D$5:$D$92,'2200'!A378,'Daftar Koreksi'!$G$5:$G$92,"Gedung dan Bangunan",'Daftar Koreksi'!$H$5:$H$92,"&lt;0")-SUMIFS('Daftar Koreksi'!$H$5:$H$92,'Daftar Koreksi'!$D$5:$D$92,'2200'!A378,'Daftar Koreksi'!$G$5:$G$92,"Gedung dan Bangunan",'Daftar Koreksi'!$H$5:$H$92,"&lt;0")</f>
        <v>0</v>
      </c>
      <c r="G384" s="17">
        <f t="shared" si="17"/>
        <v>10949098370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Koreksi'!$D$5:$D$92,'2200'!A378,'Daftar Koreksi'!$G$5:$G$92,"Jalan Irigasi Jaringan",'Daftar Koreksi'!$H$5:$H$92,"&gt;0")</f>
        <v>0</v>
      </c>
      <c r="F385" s="25">
        <f>SUMIFS('Daftar Koreksi'!$H$5:$H$92,'Daftar Koreksi'!$D$5:$D$92,'2200'!A378,'Daftar Koreksi'!$G$5:$G$92,"Jalan Irigasi Jaringan",'Daftar Koreksi'!$H$5:$H$92,"&lt;0")-SUMIFS('Daftar Koreksi'!$H$5:$H$92,'Daftar Koreksi'!$D$5:$D$92,'2200'!A378,'Daftar Koreksi'!$G$5:$G$92,"Jalan Irigasi Jaringan",'Daftar Koreksi'!$H$5:$H$92,"&lt;0")-SUMIFS('Daftar Koreksi'!$H$5:$H$92,'Daftar Koreksi'!$D$5:$D$92,'2200'!A378,'Daftar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0</v>
      </c>
      <c r="E386" s="25">
        <f>SUMIFS('Daftar Koreksi'!$H$5:$H$92,'Daftar Koreksi'!$D$5:$D$92,'2200'!A378,'Daftar Koreksi'!$G$5:$G$92,"Aset Tetap Lainnya",'Daftar Koreksi'!$H$5:$H$92,"&gt;0")</f>
        <v>0</v>
      </c>
      <c r="F386" s="25">
        <f>SUMIFS('Daftar Koreksi'!$H$5:$H$92,'Daftar Koreksi'!$D$5:$D$92,'2200'!A378,'Daftar Koreksi'!$G$5:$G$92,"Aset Tetap Lainnya",'Daftar Koreksi'!$H$5:$H$92,"&lt;0")-SUMIFS('Daftar Koreksi'!$H$5:$H$92,'Daftar Koreksi'!$D$5:$D$92,'2200'!A378,'Daftar Koreksi'!$G$5:$G$92,"Aset Tetap Lainnya",'Daftar Koreksi'!$H$5:$H$92,"&lt;0")-SUMIFS('Daftar Koreksi'!$H$5:$H$92,'Daftar Koreksi'!$D$5:$D$92,'2200'!A378,'Daftar Koreksi'!$G$5:$G$92,"Aset Tetap Lainnya",'Daftar Koreksi'!$H$5:$H$92,"&lt;0")</f>
        <v>0</v>
      </c>
      <c r="G386" s="17">
        <f t="shared" si="17"/>
        <v>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Koreksi'!$D$5:$D$92,'2200'!A378,'Daftar Koreksi'!$G$5:$G$92,"Kontruksi Dalam Pengerjaan",'Daftar Koreksi'!$H$5:$H$92,"&gt;0")</f>
        <v>0</v>
      </c>
      <c r="F387" s="25">
        <f>SUMIFS('Daftar Koreksi'!$H$5:$H$92,'Daftar Koreksi'!$D$5:$D$92,'2200'!A378,'Daftar Koreksi'!$G$5:$G$92,"Kontruksi Dalam Pengerjaan",'Daftar Koreksi'!$H$5:$H$92,"&lt;0")-SUMIFS('Daftar Koreksi'!$H$5:$H$92,'Daftar Koreksi'!$D$5:$D$92,'2200'!A378,'Daftar Koreksi'!$G$5:$G$92,"Kontruksi Dalam Pengerjaan",'Daftar Koreksi'!$H$5:$H$92,"&lt;0")-SUMIFS('Daftar Koreksi'!$H$5:$H$92,'Daftar Koreksi'!$D$5:$D$92,'2200'!A378,'Daftar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91240000</v>
      </c>
      <c r="E388" s="25">
        <f>SUMIFS('Daftar Koreksi'!$H$5:$H$92,'Daftar Koreksi'!$D$5:$D$92,'2200'!A378,'Daftar Koreksi'!$G$5:$G$92,"Aset Tak Berwujud",'Daftar Koreksi'!$H$5:$H$92,"&gt;0")</f>
        <v>0</v>
      </c>
      <c r="F388" s="25">
        <f>SUMIFS('Daftar Koreksi'!$H$5:$H$92,'Daftar Koreksi'!$D$5:$D$92,'2200'!A378,'Daftar Koreksi'!$G$5:$G$92,"Aset Tak Berwujud",'Daftar Koreksi'!$H$5:$H$92,"&lt;0")-SUMIFS('Daftar Koreksi'!$H$5:$H$92,'Daftar Koreksi'!$D$5:$D$92,'2200'!A378,'Daftar Koreksi'!$G$5:$G$92,"Aset Tak Berwujud",'Daftar Koreksi'!$H$5:$H$92,"&lt;0")-SUMIFS('Daftar Koreksi'!$H$5:$H$92,'Daftar Koreksi'!$D$5:$D$92,'2200'!A378,'Daftar Koreksi'!$G$5:$G$92,"Aset Tak Berwujud",'Daftar Koreksi'!$H$5:$H$92,"&lt;0")</f>
        <v>0</v>
      </c>
      <c r="G388" s="17">
        <f t="shared" si="17"/>
        <v>91240000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5299000</v>
      </c>
      <c r="E389" s="25">
        <f>SUMIFS('Daftar Koreksi'!$H$5:$H$92,'Daftar Koreksi'!$D$5:$D$92,'2200'!A378,'Daftar Koreksi'!$G$5:$G$92,"Aset Henti Guna",'Daftar Koreksi'!$H$5:$H$92,"&gt;0")</f>
        <v>0</v>
      </c>
      <c r="F389" s="25">
        <f>SUMIFS('Daftar Koreksi'!$H$5:$H$92,'Daftar Koreksi'!$D$5:$D$92,'2200'!A378,'Daftar Koreksi'!$G$5:$G$92,"Aset Henti Guna",'Daftar Koreksi'!$H$5:$H$92,"&lt;0")-SUMIFS('Daftar Koreksi'!$H$5:$H$92,'Daftar Koreksi'!$D$5:$D$92,'2200'!A378,'Daftar Koreksi'!$G$5:$G$92,"Aset Henti Guna",'Daftar Koreksi'!$H$5:$H$92,"&lt;0")-SUMIFS('Daftar Koreksi'!$H$5:$H$92,'Daftar Koreksi'!$D$5:$D$92,'2200'!A378,'Daftar Koreksi'!$G$5:$G$92,"Aset Henti Guna",'Daftar Koreksi'!$H$5:$H$92,"&lt;0")</f>
        <v>0</v>
      </c>
      <c r="G389" s="17">
        <f t="shared" si="17"/>
        <v>5299000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29163072140</v>
      </c>
      <c r="E390" s="19">
        <f>SUM(E381:E389)</f>
        <v>0</v>
      </c>
      <c r="F390" s="19">
        <f>SUM(F381:F389)</f>
        <v>0</v>
      </c>
      <c r="G390" s="19">
        <f t="shared" si="17"/>
        <v>29163072140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-1827714554</v>
      </c>
      <c r="E391" s="25">
        <f>SUMIFS('Daftar Koreksi'!$I$5:$I$92,'Daftar Koreksi'!$D$5:$D$92,'2200'!A378,'Daftar Koreksi'!$G$5:$G$92,"Peralatan dan mesin",'Daftar Koreksi'!$I$5:$I$92,"&gt;0")</f>
        <v>0</v>
      </c>
      <c r="F391" s="25">
        <f>SUMIFS('Daftar Koreksi'!$I$5:$I$92,'Daftar Koreksi'!$D$5:$D$92,'2200'!A378,'Daftar Koreksi'!$G$5:$G$92,"Peralatan dan mesin",'Daftar Koreksi'!$I$5:$I$92,"&lt;0")-SUMIFS('Daftar Koreksi'!$I$5:$I$92,'Daftar Koreksi'!$D$5:$D$92,'2200'!A378,'Daftar Koreksi'!$G$5:$G$92,"Peralatan dan mesin",'Daftar Koreksi'!$I$5:$I$92,"&lt;0")-SUMIFS('Daftar Koreksi'!$I$5:$I$92,'Daftar Koreksi'!$D$5:$D$92,'2200'!A378,'Daftar Koreksi'!$G$5:$G$92,"Peralatan dan mesin",'Daftar Koreksi'!$I$5:$I$92,"&lt;0")</f>
        <v>0</v>
      </c>
      <c r="G391" s="17">
        <f t="shared" si="17"/>
        <v>-1827714554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-2196610865</v>
      </c>
      <c r="E392" s="25">
        <f>SUMIFS('Daftar Koreksi'!$I$5:$I$92,'Daftar Koreksi'!$D$5:$D$92,'2200'!A378,'Daftar Koreksi'!$G$5:$G$92,"Gedung dan Bangunan",'Daftar Koreksi'!$I$5:$I$92,"&gt;0")</f>
        <v>0</v>
      </c>
      <c r="F392" s="25">
        <f>SUMIFS('Daftar Koreksi'!$I$5:$I$92,'Daftar Koreksi'!$D$5:$D$92,'2200'!A378,'Daftar Koreksi'!$G$5:$G$92,"Gedung dan Bangunan",'Daftar Koreksi'!$I$5:$I$92,"&lt;0")-SUMIFS('Daftar Koreksi'!$I$5:$I$92,'Daftar Koreksi'!$D$5:$D$92,'2200'!A378,'Daftar Koreksi'!$G$5:$G$92,"Gedung dan Bangunan",'Daftar Koreksi'!$I$5:$I$92,"&lt;0")-SUMIFS('Daftar Koreksi'!$I$5:$I$92,'Daftar Koreksi'!$D$5:$D$92,'2200'!A378,'Daftar Koreksi'!$G$5:$G$92,"Gedung dan Bangunan",'Daftar Koreksi'!$I$5:$I$92,"&lt;0")</f>
        <v>0</v>
      </c>
      <c r="G392" s="17">
        <f t="shared" si="17"/>
        <v>-2196610865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Koreksi'!$D$5:$D$92,'2200'!A378,'Daftar Koreksi'!$G$5:$G$92,"Jalan Irigasi Jaringan",'Daftar Koreksi'!$I$5:$I$92,"&gt;0")</f>
        <v>0</v>
      </c>
      <c r="F393" s="25">
        <f>SUMIFS('Daftar Koreksi'!$I$5:$I$92,'Daftar Koreksi'!$D$5:$D$92,'2200'!A378,'Daftar Koreksi'!$G$5:$G$92,"Jalan Irigasi Jaringan",'Daftar Koreksi'!$I$5:$I$92,"&lt;0")-SUMIFS('Daftar Koreksi'!$I$5:$I$92,'Daftar Koreksi'!$D$5:$D$92,'2200'!A378,'Daftar Koreksi'!$G$5:$G$92,"Jalan Irigasi Jaringan",'Daftar Koreksi'!$I$5:$I$92,"&lt;0")-SUMIFS('Daftar Koreksi'!$I$5:$I$92,'Daftar Koreksi'!$D$5:$D$92,'2200'!A378,'Daftar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Koreksi'!$D$5:$D$92,'2200'!A378,'Daftar Koreksi'!$G$5:$G$92,"Aset Tetap Lainnya",'Daftar Koreksi'!$I$5:$I$92,"&gt;0")</f>
        <v>0</v>
      </c>
      <c r="F394" s="25">
        <f>SUMIFS('Daftar Koreksi'!$I$5:$I$92,'Daftar Koreksi'!$D$5:$D$92,'2200'!A378,'Daftar Koreksi'!$G$5:$G$92,"Aset Tetap Lainnya",'Daftar Koreksi'!$I$5:$I$92,"&lt;0")-SUMIFS('Daftar Koreksi'!$I$5:$I$92,'Daftar Koreksi'!$D$5:$D$92,'2200'!A378,'Daftar Koreksi'!$G$5:$G$92,"Aset Tetap Lainnya",'Daftar Koreksi'!$I$5:$I$92,"&lt;0")-SUMIFS('Daftar Koreksi'!$I$5:$I$92,'Daftar Koreksi'!$D$5:$D$92,'2200'!A378,'Daftar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-5299000</v>
      </c>
      <c r="E395" s="25">
        <f>SUMIFS('Daftar Koreksi'!$I$5:$I$92,'Daftar Koreksi'!$D$5:$D$92,'2200'!A378,'Daftar Koreksi'!$G$5:$G$92,"Aset Henti Guna",'Daftar Koreksi'!$I$5:$I$92,"&gt;0")</f>
        <v>0</v>
      </c>
      <c r="F395" s="25">
        <f>SUMIFS('Daftar Koreksi'!$I$5:$I$92,'Daftar Koreksi'!$D$5:$D$92,'2200'!A378,'Daftar Koreksi'!$G$5:$G$92,"Aset Henti Guna",'Daftar Koreksi'!$I$5:$I$92,"&lt;0")-SUMIFS('Daftar Koreksi'!$I$5:$I$92,'Daftar Koreksi'!$D$5:$D$92,'2200'!A378,'Daftar Koreksi'!$G$5:$G$92,"Aset Henti Guna",'Daftar Koreksi'!$I$5:$I$92,"&lt;0")-SUMIFS('Daftar Koreksi'!$I$5:$I$92,'Daftar Koreksi'!$D$5:$D$92,'2200'!A378,'Daftar Koreksi'!$G$5:$G$92,"Aset Henti Guna",'Daftar Koreksi'!$I$5:$I$92,"&lt;0")</f>
        <v>0</v>
      </c>
      <c r="G395" s="17">
        <f t="shared" si="17"/>
        <v>-5299000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-4029624419</v>
      </c>
      <c r="E396" s="19">
        <f>SUM(E391:E395)</f>
        <v>0</v>
      </c>
      <c r="F396" s="19">
        <f>SUM(F391:F395)</f>
        <v>0</v>
      </c>
      <c r="G396" s="19">
        <f t="shared" si="17"/>
        <v>-4029624419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25133447721</v>
      </c>
      <c r="E397" s="19">
        <f>E396+E390</f>
        <v>0</v>
      </c>
      <c r="F397" s="19">
        <f>F396+F390</f>
        <v>0</v>
      </c>
      <c r="G397" s="19">
        <f t="shared" si="17"/>
        <v>25133447721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005012200614731000KD</v>
      </c>
      <c r="B400" s="11" t="str">
        <f>P19</f>
        <v>PA. Badung</v>
      </c>
      <c r="C400" s="12" t="str">
        <f>A400&amp;" "&amp;B400</f>
        <v>005012200614731000KD PA. Badung</v>
      </c>
      <c r="D400" s="13"/>
      <c r="E400" s="13"/>
      <c r="F400" s="13"/>
      <c r="G400" s="13"/>
      <c r="H400" s="11"/>
    </row>
    <row r="401" spans="1:10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10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10" ht="21.95" customHeight="1">
      <c r="A403" s="14"/>
      <c r="B403" s="14"/>
      <c r="C403" s="16" t="s">
        <v>1165</v>
      </c>
      <c r="D403" s="17">
        <f>VLOOKUP(A400,'Neraca Unaudited SIMAK'!$A$2:$S$10004,3,FALSE)</f>
        <v>2951000</v>
      </c>
      <c r="E403" s="25">
        <f>SUMIFS('Daftar Koreksi'!$H$5:$H$92,'Daftar Koreksi'!$D$5:$D$92,'2200'!A400,'Daftar Koreksi'!$G$5:$G$92,"Persediaan",'Daftar Koreksi'!$H$5:$H$92,"&gt;0")</f>
        <v>0</v>
      </c>
      <c r="F403" s="25">
        <f>SUMIFS('Daftar Koreksi'!$H$5:$H$92,'Daftar Koreksi'!$D$5:$D$92,'2200'!A400,'Daftar Koreksi'!$G$5:$G$92,"Persediaan",'Daftar Koreksi'!$H$5:$H$92,"&lt;0")-SUMIFS('Daftar Koreksi'!$H$5:$H$92,'Daftar Koreksi'!$D$5:$D$92,'2200'!A400,'Daftar Koreksi'!$G$5:$G$92,"Persediaan",'Daftar Koreksi'!$H$5:$H$92,"&lt;0")-SUMIFS('Daftar Koreksi'!$H$5:$H$92,'Daftar Koreksi'!$D$5:$D$92,'2200'!A400,'Daftar Koreksi'!$G$5:$G$92,"Persediaan",'Daftar Koreksi'!$H$5:$H$92,"&lt;0")</f>
        <v>0</v>
      </c>
      <c r="G403" s="17">
        <f>D403+E403-F403</f>
        <v>2951000</v>
      </c>
      <c r="H403" s="121" t="str">
        <f>IF(ISNA(VLOOKUP(A400,'Mutasi Neraca'!$A$3:$S$914,19,FALSE)),"-",VLOOKUP(A400,'Mutasi Neraca'!$A$3:$S$914,19,FALSE))</f>
        <v>-</v>
      </c>
      <c r="I403" s="28"/>
      <c r="J403" s="28"/>
    </row>
    <row r="404" spans="1:10" ht="21.95" customHeight="1">
      <c r="A404" s="14"/>
      <c r="B404" s="14"/>
      <c r="C404" s="16" t="s">
        <v>1166</v>
      </c>
      <c r="D404" s="17">
        <f>VLOOKUP(A400,'Neraca Unaudited SIMAK'!$A$2:$S$10004,4,FALSE)</f>
        <v>8026400000</v>
      </c>
      <c r="E404" s="25">
        <f>SUMIFS('Daftar Koreksi'!$H$5:$H$92,'Daftar Koreksi'!$D$5:$D$92,'2200'!A400,'Daftar Koreksi'!$G$5:$G$92,"Tanah",'Daftar Koreksi'!$H$5:$H$92,"&gt;0")</f>
        <v>0</v>
      </c>
      <c r="F404" s="25">
        <f>SUMIFS('Daftar Koreksi'!$H$5:$H$92,'Daftar Koreksi'!$D$5:$D$92,'2200'!A400,'Daftar Koreksi'!$G$5:$G$92,"Tanah",'Daftar Koreksi'!$H$5:$H$92,"&lt;0")-SUMIFS('Daftar Koreksi'!$H$5:$H$92,'Daftar Koreksi'!$D$5:$D$92,'2200'!A400,'Daftar Koreksi'!$G$5:$G$92,"Tanah",'Daftar Koreksi'!$H$5:$H$92,"&lt;0")-SUMIFS('Daftar Koreksi'!$H$5:$H$92,'Daftar Koreksi'!$D$5:$D$92,'2200'!A400,'Daftar Koreksi'!$G$5:$G$92,"Tanah",'Daftar Koreksi'!$H$5:$H$92,"&lt;0")</f>
        <v>0</v>
      </c>
      <c r="G404" s="17">
        <f t="shared" ref="G404:G420" si="18">D404+E404-F404</f>
        <v>8026400000</v>
      </c>
      <c r="H404" s="122"/>
      <c r="I404" s="28"/>
      <c r="J404" s="28"/>
    </row>
    <row r="405" spans="1:10" ht="21.95" customHeight="1">
      <c r="A405" s="14"/>
      <c r="B405" s="14"/>
      <c r="C405" s="16" t="s">
        <v>1167</v>
      </c>
      <c r="D405" s="17">
        <f>VLOOKUP(A400,'Neraca Unaudited SIMAK'!$A$2:$S$10004,5,FALSE)</f>
        <v>1914722598</v>
      </c>
      <c r="E405" s="25">
        <f>SUMIFS('Daftar Koreksi'!$H$5:$H$92,'Daftar Koreksi'!$D$5:$D$92,'2200'!A400,'Daftar Koreksi'!$G$5:$G$92,"Peralatan dan mesin",'Daftar Koreksi'!$H$5:$H$92,"&gt;0")</f>
        <v>0</v>
      </c>
      <c r="F405" s="25">
        <f>SUMIFS('Daftar Koreksi'!$H$5:$H$92,'Daftar Koreksi'!$D$5:$D$92,'2200'!A400,'Daftar Koreksi'!$G$5:$G$92,"Peralatan dan mesin",'Daftar Koreksi'!$H$5:$H$92,"&lt;0")-SUMIFS('Daftar Koreksi'!$H$5:$H$92,'Daftar Koreksi'!$D$5:$D$92,'2200'!A400,'Daftar Koreksi'!$G$5:$G$92,"Peralatan dan mesin",'Daftar Koreksi'!$H$5:$H$92,"&lt;0")-SUMIFS('Daftar Koreksi'!$H$5:$H$92,'Daftar Koreksi'!$D$5:$D$92,'2200'!A400,'Daftar Koreksi'!$G$5:$G$92,"Peralatan dan mesin",'Daftar Koreksi'!$H$5:$H$92,"&lt;0")</f>
        <v>0</v>
      </c>
      <c r="G405" s="17">
        <f t="shared" si="18"/>
        <v>1914722598</v>
      </c>
      <c r="H405" s="122"/>
      <c r="I405" s="28"/>
      <c r="J405" s="28"/>
    </row>
    <row r="406" spans="1:10" ht="21.95" customHeight="1">
      <c r="A406" s="14"/>
      <c r="B406" s="14"/>
      <c r="C406" s="16" t="s">
        <v>1168</v>
      </c>
      <c r="D406" s="17">
        <f>VLOOKUP(A400,'Neraca Unaudited SIMAK'!$A$2:$S$10004,6,FALSE)</f>
        <v>7490775100</v>
      </c>
      <c r="E406" s="25">
        <f>SUMIFS('Daftar Koreksi'!$H$5:$H$92,'Daftar Koreksi'!$D$5:$D$92,'2200'!A400,'Daftar Koreksi'!$G$5:$G$92,"Gedung dan Bangunan",'Daftar Koreksi'!$H$5:$H$92,"&gt;0")</f>
        <v>0</v>
      </c>
      <c r="F406" s="25">
        <f>SUMIFS('Daftar Koreksi'!$H$5:$H$92,'Daftar Koreksi'!$D$5:$D$92,'2200'!A400,'Daftar Koreksi'!$G$5:$G$92,"Gedung dan Bangunan",'Daftar Koreksi'!$H$5:$H$92,"&lt;0")-SUMIFS('Daftar Koreksi'!$H$5:$H$92,'Daftar Koreksi'!$D$5:$D$92,'2200'!A400,'Daftar Koreksi'!$G$5:$G$92,"Gedung dan Bangunan",'Daftar Koreksi'!$H$5:$H$92,"&lt;0")-SUMIFS('Daftar Koreksi'!$H$5:$H$92,'Daftar Koreksi'!$D$5:$D$92,'2200'!A400,'Daftar Koreksi'!$G$5:$G$92,"Gedung dan Bangunan",'Daftar Koreksi'!$H$5:$H$92,"&lt;0")</f>
        <v>0</v>
      </c>
      <c r="G406" s="17">
        <f t="shared" si="18"/>
        <v>7490775100</v>
      </c>
      <c r="H406" s="122"/>
      <c r="I406" s="28"/>
      <c r="J406" s="28"/>
    </row>
    <row r="407" spans="1:10" ht="21.95" customHeight="1">
      <c r="A407" s="14"/>
      <c r="B407" s="14"/>
      <c r="C407" s="16" t="s">
        <v>1169</v>
      </c>
      <c r="D407" s="17">
        <f>VLOOKUP(A400,'Neraca Unaudited SIMAK'!$A$2:$S$10004,7,FALSE)</f>
        <v>5091700</v>
      </c>
      <c r="E407" s="25">
        <f>SUMIFS('Daftar Koreksi'!$H$5:$H$92,'Daftar Koreksi'!$D$5:$D$92,'2200'!A400,'Daftar Koreksi'!$G$5:$G$92,"Jalan Irigasi Jaringan",'Daftar Koreksi'!$H$5:$H$92,"&gt;0")</f>
        <v>0</v>
      </c>
      <c r="F407" s="25">
        <f>SUMIFS('Daftar Koreksi'!$H$5:$H$92,'Daftar Koreksi'!$D$5:$D$92,'2200'!A400,'Daftar Koreksi'!$G$5:$G$92,"Jalan Irigasi Jaringan",'Daftar Koreksi'!$H$5:$H$92,"&lt;0")-SUMIFS('Daftar Koreksi'!$H$5:$H$92,'Daftar Koreksi'!$D$5:$D$92,'2200'!A400,'Daftar Koreksi'!$G$5:$G$92,"Jalan Irigasi Jaringan",'Daftar Koreksi'!$H$5:$H$92,"&lt;0")-SUMIFS('Daftar Koreksi'!$H$5:$H$92,'Daftar Koreksi'!$D$5:$D$92,'2200'!A400,'Daftar Koreksi'!$G$5:$G$92,"Jalan Irigasi Jaringan",'Daftar Koreksi'!$H$5:$H$92,"&lt;0")</f>
        <v>0</v>
      </c>
      <c r="G407" s="17">
        <f t="shared" si="18"/>
        <v>5091700</v>
      </c>
      <c r="H407" s="122"/>
      <c r="I407" s="28"/>
      <c r="J407" s="28"/>
    </row>
    <row r="408" spans="1:10" ht="21.95" customHeight="1">
      <c r="A408" s="14"/>
      <c r="B408" s="14"/>
      <c r="C408" s="16" t="s">
        <v>1170</v>
      </c>
      <c r="D408" s="17">
        <f>VLOOKUP(A400,'Neraca Unaudited SIMAK'!$A$2:$S$10004,8,FALSE)</f>
        <v>22766620</v>
      </c>
      <c r="E408" s="25">
        <f>SUMIFS('Daftar Koreksi'!$H$5:$H$92,'Daftar Koreksi'!$D$5:$D$92,'2200'!A400,'Daftar Koreksi'!$G$5:$G$92,"Aset Tetap Lainnya",'Daftar Koreksi'!$H$5:$H$92,"&gt;0")</f>
        <v>0</v>
      </c>
      <c r="F408" s="25">
        <f>SUMIFS('Daftar Koreksi'!$H$5:$H$92,'Daftar Koreksi'!$D$5:$D$92,'2200'!A400,'Daftar Koreksi'!$G$5:$G$92,"Aset Tetap Lainnya",'Daftar Koreksi'!$H$5:$H$92,"&lt;0")-SUMIFS('Daftar Koreksi'!$H$5:$H$92,'Daftar Koreksi'!$D$5:$D$92,'2200'!A400,'Daftar Koreksi'!$G$5:$G$92,"Aset Tetap Lainnya",'Daftar Koreksi'!$H$5:$H$92,"&lt;0")-SUMIFS('Daftar Koreksi'!$H$5:$H$92,'Daftar Koreksi'!$D$5:$D$92,'2200'!A400,'Daftar Koreksi'!$G$5:$G$92,"Aset Tetap Lainnya",'Daftar Koreksi'!$H$5:$H$92,"&lt;0")</f>
        <v>0</v>
      </c>
      <c r="G408" s="17">
        <f t="shared" si="18"/>
        <v>22766620</v>
      </c>
      <c r="H408" s="122"/>
      <c r="I408" s="28"/>
      <c r="J408" s="28"/>
    </row>
    <row r="409" spans="1:10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Koreksi'!$D$5:$D$92,'2200'!A400,'Daftar Koreksi'!$G$5:$G$92,"Kontruksi Dalam Pengerjaan",'Daftar Koreksi'!$H$5:$H$92,"&gt;0")</f>
        <v>0</v>
      </c>
      <c r="F409" s="25">
        <f>SUMIFS('Daftar Koreksi'!$H$5:$H$92,'Daftar Koreksi'!$D$5:$D$92,'2200'!A400,'Daftar Koreksi'!$G$5:$G$92,"Kontruksi Dalam Pengerjaan",'Daftar Koreksi'!$H$5:$H$92,"&lt;0")-SUMIFS('Daftar Koreksi'!$H$5:$H$92,'Daftar Koreksi'!$D$5:$D$92,'2200'!A400,'Daftar Koreksi'!$G$5:$G$92,"Kontruksi Dalam Pengerjaan",'Daftar Koreksi'!$H$5:$H$92,"&lt;0")-SUMIFS('Daftar Koreksi'!$H$5:$H$92,'Daftar Koreksi'!$D$5:$D$92,'2200'!A400,'Daftar Koreksi'!$G$5:$G$92,"Kontruksi Dalam Pengerjaan",'Daftar Koreksi'!$H$5:$H$92,"&lt;0")</f>
        <v>0</v>
      </c>
      <c r="G409" s="17">
        <f t="shared" si="18"/>
        <v>0</v>
      </c>
      <c r="H409" s="122"/>
      <c r="I409" s="28"/>
      <c r="J409" s="28"/>
    </row>
    <row r="410" spans="1:10" ht="21.95" customHeight="1">
      <c r="A410" s="14"/>
      <c r="B410" s="14"/>
      <c r="C410" s="16" t="s">
        <v>1172</v>
      </c>
      <c r="D410" s="17">
        <f>VLOOKUP(A400,'Neraca Unaudited SIMAK'!$A$2:$S$10004,10,FALSE)</f>
        <v>32960000</v>
      </c>
      <c r="E410" s="25">
        <f>SUMIFS('Daftar Koreksi'!$H$5:$H$92,'Daftar Koreksi'!$D$5:$D$92,'2200'!A400,'Daftar Koreksi'!$G$5:$G$92,"Aset Tak Berwujud",'Daftar Koreksi'!$H$5:$H$92,"&gt;0")</f>
        <v>0</v>
      </c>
      <c r="F410" s="25">
        <f>SUMIFS('Daftar Koreksi'!$H$5:$H$92,'Daftar Koreksi'!$D$5:$D$92,'2200'!A400,'Daftar Koreksi'!$G$5:$G$92,"Aset Tak Berwujud",'Daftar Koreksi'!$H$5:$H$92,"&lt;0")-SUMIFS('Daftar Koreksi'!$H$5:$H$92,'Daftar Koreksi'!$D$5:$D$92,'2200'!A400,'Daftar Koreksi'!$G$5:$G$92,"Aset Tak Berwujud",'Daftar Koreksi'!$H$5:$H$92,"&lt;0")-SUMIFS('Daftar Koreksi'!$H$5:$H$92,'Daftar Koreksi'!$D$5:$D$92,'2200'!A400,'Daftar Koreksi'!$G$5:$G$92,"Aset Tak Berwujud",'Daftar Koreksi'!$H$5:$H$92,"&lt;0")</f>
        <v>0</v>
      </c>
      <c r="G410" s="17">
        <f t="shared" si="18"/>
        <v>32960000</v>
      </c>
      <c r="H410" s="122"/>
      <c r="I410" s="28"/>
      <c r="J410" s="28"/>
    </row>
    <row r="411" spans="1:10" ht="21.95" customHeight="1">
      <c r="A411" s="14"/>
      <c r="B411" s="14"/>
      <c r="C411" s="16" t="s">
        <v>1173</v>
      </c>
      <c r="D411" s="17">
        <f>VLOOKUP(A400,'Neraca Unaudited SIMAK'!$A$2:$S$10004,11,FALSE)</f>
        <v>112169000</v>
      </c>
      <c r="E411" s="25">
        <f>SUMIFS('Daftar Koreksi'!$H$5:$H$92,'Daftar Koreksi'!$D$5:$D$92,'2200'!A400,'Daftar Koreksi'!$G$5:$G$92,"Aset Henti Guna",'Daftar Koreksi'!$H$5:$H$92,"&gt;0")</f>
        <v>0</v>
      </c>
      <c r="F411" s="25">
        <f>SUMIFS('Daftar Koreksi'!$H$5:$H$92,'Daftar Koreksi'!$D$5:$D$92,'2200'!A400,'Daftar Koreksi'!$G$5:$G$92,"Aset Henti Guna",'Daftar Koreksi'!$H$5:$H$92,"&lt;0")-SUMIFS('Daftar Koreksi'!$H$5:$H$92,'Daftar Koreksi'!$D$5:$D$92,'2200'!A400,'Daftar Koreksi'!$G$5:$G$92,"Aset Henti Guna",'Daftar Koreksi'!$H$5:$H$92,"&lt;0")-SUMIFS('Daftar Koreksi'!$H$5:$H$92,'Daftar Koreksi'!$D$5:$D$92,'2200'!A400,'Daftar Koreksi'!$G$5:$G$92,"Aset Henti Guna",'Daftar Koreksi'!$H$5:$H$92,"&lt;0")</f>
        <v>0</v>
      </c>
      <c r="G411" s="17">
        <f t="shared" si="18"/>
        <v>112169000</v>
      </c>
      <c r="H411" s="122"/>
      <c r="I411" s="28"/>
      <c r="J411" s="28"/>
    </row>
    <row r="412" spans="1:10" ht="21.95" customHeight="1">
      <c r="A412" s="14"/>
      <c r="B412" s="14"/>
      <c r="C412" s="18" t="s">
        <v>2093</v>
      </c>
      <c r="D412" s="19">
        <f>VLOOKUP(A400,'Neraca Unaudited SIMAK'!$A$2:$S$10004,12,FALSE)</f>
        <v>17607836018</v>
      </c>
      <c r="E412" s="19">
        <f>SUM(E403:E411)</f>
        <v>0</v>
      </c>
      <c r="F412" s="19">
        <f>SUM(F403:F411)</f>
        <v>0</v>
      </c>
      <c r="G412" s="19">
        <f t="shared" si="18"/>
        <v>17607836018</v>
      </c>
      <c r="H412" s="122"/>
      <c r="I412" s="28"/>
      <c r="J412" s="28"/>
    </row>
    <row r="413" spans="1:10" ht="21.95" customHeight="1">
      <c r="A413" s="14"/>
      <c r="B413" s="14"/>
      <c r="C413" s="16" t="s">
        <v>2087</v>
      </c>
      <c r="D413" s="17">
        <f>VLOOKUP(A400,'Neraca Unaudited SIMAK'!$A$2:$S$10004,13,FALSE)</f>
        <v>-1160975426</v>
      </c>
      <c r="E413" s="25">
        <f>SUMIFS('Daftar Koreksi'!$I$5:$I$92,'Daftar Koreksi'!$D$5:$D$92,'2200'!A400,'Daftar Koreksi'!$G$5:$G$92,"Peralatan dan mesin",'Daftar Koreksi'!$I$5:$I$92,"&gt;0")</f>
        <v>0</v>
      </c>
      <c r="F413" s="25">
        <f>SUMIFS('Daftar Koreksi'!$I$5:$I$92,'Daftar Koreksi'!$D$5:$D$92,'2200'!A400,'Daftar Koreksi'!$G$5:$G$92,"Peralatan dan mesin",'Daftar Koreksi'!$I$5:$I$92,"&lt;0")-SUMIFS('Daftar Koreksi'!$I$5:$I$92,'Daftar Koreksi'!$D$5:$D$92,'2200'!A400,'Daftar Koreksi'!$G$5:$G$92,"Peralatan dan mesin",'Daftar Koreksi'!$I$5:$I$92,"&lt;0")-SUMIFS('Daftar Koreksi'!$I$5:$I$92,'Daftar Koreksi'!$D$5:$D$92,'2200'!A400,'Daftar Koreksi'!$G$5:$G$92,"Peralatan dan mesin",'Daftar Koreksi'!$I$5:$I$92,"&lt;0")</f>
        <v>0</v>
      </c>
      <c r="G413" s="17">
        <f t="shared" si="18"/>
        <v>-1160975426</v>
      </c>
      <c r="H413" s="122"/>
      <c r="I413" s="28"/>
      <c r="J413" s="28"/>
    </row>
    <row r="414" spans="1:10" ht="21.95" customHeight="1">
      <c r="A414" s="14"/>
      <c r="B414" s="14"/>
      <c r="C414" s="16" t="s">
        <v>2088</v>
      </c>
      <c r="D414" s="17">
        <f>VLOOKUP(A400,'Neraca Unaudited SIMAK'!$A$2:$S$10004,14,FALSE)</f>
        <v>-281084043</v>
      </c>
      <c r="E414" s="25">
        <f>SUMIFS('Daftar Koreksi'!$I$5:$I$92,'Daftar Koreksi'!$D$5:$D$92,'2200'!A400,'Daftar Koreksi'!$G$5:$G$92,"Gedung dan Bangunan",'Daftar Koreksi'!$I$5:$I$92,"&gt;0")</f>
        <v>0</v>
      </c>
      <c r="F414" s="25">
        <f>SUMIFS('Daftar Koreksi'!$I$5:$I$92,'Daftar Koreksi'!$D$5:$D$92,'2200'!A400,'Daftar Koreksi'!$G$5:$G$92,"Gedung dan Bangunan",'Daftar Koreksi'!$I$5:$I$92,"&lt;0")-SUMIFS('Daftar Koreksi'!$I$5:$I$92,'Daftar Koreksi'!$D$5:$D$92,'2200'!A400,'Daftar Koreksi'!$G$5:$G$92,"Gedung dan Bangunan",'Daftar Koreksi'!$I$5:$I$92,"&lt;0")-SUMIFS('Daftar Koreksi'!$I$5:$I$92,'Daftar Koreksi'!$D$5:$D$92,'2200'!A400,'Daftar Koreksi'!$G$5:$G$92,"Gedung dan Bangunan",'Daftar Koreksi'!$I$5:$I$92,"&lt;0")</f>
        <v>0</v>
      </c>
      <c r="G414" s="17">
        <f t="shared" si="18"/>
        <v>-281084043</v>
      </c>
      <c r="H414" s="122"/>
      <c r="I414" s="28"/>
      <c r="J414" s="28"/>
    </row>
    <row r="415" spans="1:10" ht="21.95" customHeight="1">
      <c r="A415" s="14"/>
      <c r="B415" s="14"/>
      <c r="C415" s="16" t="s">
        <v>2089</v>
      </c>
      <c r="D415" s="17">
        <f>VLOOKUP(A400,'Neraca Unaudited SIMAK'!$A$2:$S$10004,15,FALSE)</f>
        <v>-127293</v>
      </c>
      <c r="E415" s="25">
        <f>SUMIFS('Daftar Koreksi'!$I$5:$I$92,'Daftar Koreksi'!$D$5:$D$92,'2200'!A400,'Daftar Koreksi'!$G$5:$G$92,"Jalan Irigasi Jaringan",'Daftar Koreksi'!$I$5:$I$92,"&gt;0")</f>
        <v>0</v>
      </c>
      <c r="F415" s="25">
        <f>SUMIFS('Daftar Koreksi'!$I$5:$I$92,'Daftar Koreksi'!$D$5:$D$92,'2200'!A400,'Daftar Koreksi'!$G$5:$G$92,"Jalan Irigasi Jaringan",'Daftar Koreksi'!$I$5:$I$92,"&lt;0")-SUMIFS('Daftar Koreksi'!$I$5:$I$92,'Daftar Koreksi'!$D$5:$D$92,'2200'!A400,'Daftar Koreksi'!$G$5:$G$92,"Jalan Irigasi Jaringan",'Daftar Koreksi'!$I$5:$I$92,"&lt;0")-SUMIFS('Daftar Koreksi'!$I$5:$I$92,'Daftar Koreksi'!$D$5:$D$92,'2200'!A400,'Daftar Koreksi'!$G$5:$G$92,"Jalan Irigasi Jaringan",'Daftar Koreksi'!$I$5:$I$92,"&lt;0")</f>
        <v>0</v>
      </c>
      <c r="G415" s="17">
        <f t="shared" si="18"/>
        <v>-127293</v>
      </c>
      <c r="H415" s="122"/>
      <c r="I415" s="28"/>
      <c r="J415" s="28"/>
    </row>
    <row r="416" spans="1:10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Koreksi'!$D$5:$D$92,'2200'!A400,'Daftar Koreksi'!$G$5:$G$92,"Aset Tetap Lainnya",'Daftar Koreksi'!$I$5:$I$92,"&gt;0")</f>
        <v>0</v>
      </c>
      <c r="F416" s="25">
        <f>SUMIFS('Daftar Koreksi'!$I$5:$I$92,'Daftar Koreksi'!$D$5:$D$92,'2200'!A400,'Daftar Koreksi'!$G$5:$G$92,"Aset Tetap Lainnya",'Daftar Koreksi'!$I$5:$I$92,"&lt;0")-SUMIFS('Daftar Koreksi'!$I$5:$I$92,'Daftar Koreksi'!$D$5:$D$92,'2200'!A400,'Daftar Koreksi'!$G$5:$G$92,"Aset Tetap Lainnya",'Daftar Koreksi'!$I$5:$I$92,"&lt;0")-SUMIFS('Daftar Koreksi'!$I$5:$I$92,'Daftar Koreksi'!$D$5:$D$92,'2200'!A400,'Daftar Koreksi'!$G$5:$G$92,"Aset Tetap Lainnya",'Daftar Koreksi'!$I$5:$I$92,"&lt;0")</f>
        <v>0</v>
      </c>
      <c r="G416" s="17">
        <f t="shared" si="18"/>
        <v>0</v>
      </c>
      <c r="H416" s="122"/>
      <c r="I416" s="28"/>
      <c r="J416" s="28"/>
    </row>
    <row r="417" spans="1:11" ht="21.95" customHeight="1">
      <c r="A417" s="14"/>
      <c r="B417" s="14"/>
      <c r="C417" s="16" t="s">
        <v>2020</v>
      </c>
      <c r="D417" s="17">
        <f>VLOOKUP(A400,'Neraca Unaudited SIMAK'!$A$2:$S$10004,17,FALSE)</f>
        <v>-108023775</v>
      </c>
      <c r="E417" s="25">
        <f>SUMIFS('Daftar Koreksi'!$I$5:$I$92,'Daftar Koreksi'!$D$5:$D$92,'2200'!A400,'Daftar Koreksi'!$G$5:$G$92,"Aset Henti Guna",'Daftar Koreksi'!$I$5:$I$92,"&gt;0")</f>
        <v>0</v>
      </c>
      <c r="F417" s="25">
        <f>SUMIFS('Daftar Koreksi'!$I$5:$I$92,'Daftar Koreksi'!$D$5:$D$92,'2200'!A400,'Daftar Koreksi'!$G$5:$G$92,"Aset Henti Guna",'Daftar Koreksi'!$I$5:$I$92,"&lt;0")-SUMIFS('Daftar Koreksi'!$I$5:$I$92,'Daftar Koreksi'!$D$5:$D$92,'2200'!A400,'Daftar Koreksi'!$G$5:$G$92,"Aset Henti Guna",'Daftar Koreksi'!$I$5:$I$92,"&lt;0")-SUMIFS('Daftar Koreksi'!$I$5:$I$92,'Daftar Koreksi'!$D$5:$D$92,'2200'!A400,'Daftar Koreksi'!$G$5:$G$92,"Aset Henti Guna",'Daftar Koreksi'!$I$5:$I$92,"&lt;0")</f>
        <v>0</v>
      </c>
      <c r="G417" s="17">
        <f t="shared" si="18"/>
        <v>-108023775</v>
      </c>
      <c r="H417" s="122"/>
      <c r="I417" s="28"/>
      <c r="J417" s="28"/>
      <c r="K417" s="29"/>
    </row>
    <row r="418" spans="1:11" ht="21.95" customHeight="1">
      <c r="A418" s="14"/>
      <c r="B418" s="14"/>
      <c r="C418" s="18" t="s">
        <v>2094</v>
      </c>
      <c r="D418" s="19">
        <f>SUM(D413:D417)</f>
        <v>-1550210537</v>
      </c>
      <c r="E418" s="19">
        <f>SUM(E413:E417)</f>
        <v>0</v>
      </c>
      <c r="F418" s="19">
        <f>SUM(F413:F417)</f>
        <v>0</v>
      </c>
      <c r="G418" s="19">
        <f t="shared" si="18"/>
        <v>-1550210537</v>
      </c>
      <c r="H418" s="122"/>
      <c r="I418" s="28"/>
      <c r="J418" s="28"/>
    </row>
    <row r="419" spans="1:11" ht="21.95" customHeight="1">
      <c r="A419" s="14"/>
      <c r="B419" s="14"/>
      <c r="C419" s="18" t="s">
        <v>2095</v>
      </c>
      <c r="D419" s="19">
        <f>VLOOKUP(A400,'Neraca Unaudited SIMAK'!$A$2:$S$10004,18,FALSE)</f>
        <v>16057625481</v>
      </c>
      <c r="E419" s="19">
        <f>E418+E412</f>
        <v>0</v>
      </c>
      <c r="F419" s="19">
        <f>F418+F412</f>
        <v>0</v>
      </c>
      <c r="G419" s="19">
        <f t="shared" si="18"/>
        <v>16057625481</v>
      </c>
      <c r="H419" s="122"/>
      <c r="I419" s="28"/>
      <c r="J419" s="28"/>
    </row>
    <row r="420" spans="1:11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  <c r="I420" s="28"/>
      <c r="J420" s="28"/>
    </row>
    <row r="422" spans="1:11" ht="19.5" customHeight="1">
      <c r="A422" s="11" t="str">
        <f>O20</f>
        <v>005012200663335000KD</v>
      </c>
      <c r="B422" s="11" t="str">
        <f>P20</f>
        <v>DILMIL.  III - 14 di Denpasar</v>
      </c>
      <c r="C422" s="12" t="str">
        <f>A422&amp;" "&amp;B422</f>
        <v>005012200663335000KD DILMIL.  III - 14 di Denpasar</v>
      </c>
      <c r="D422" s="13"/>
      <c r="E422" s="13"/>
      <c r="F422" s="13"/>
      <c r="G422" s="13"/>
      <c r="H422" s="11"/>
    </row>
    <row r="423" spans="1:11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11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11" ht="21.95" customHeight="1">
      <c r="A425" s="14"/>
      <c r="B425" s="14"/>
      <c r="C425" s="16" t="s">
        <v>1165</v>
      </c>
      <c r="D425" s="17">
        <f>VLOOKUP(A422,'Neraca Unaudited SIMAK'!$A$2:$S$10004,3,FALSE)</f>
        <v>205900</v>
      </c>
      <c r="E425" s="25">
        <f>SUMIFS('Daftar Koreksi'!$H$5:$H$92,'Daftar Koreksi'!$D$5:$D$92,'2200'!A422,'Daftar Koreksi'!$G$5:$G$92,"Persediaan",'Daftar Koreksi'!$H$5:$H$92,"&gt;0")</f>
        <v>0</v>
      </c>
      <c r="F425" s="25">
        <f>SUMIFS('Daftar Koreksi'!$H$5:$H$92,'Daftar Koreksi'!$D$5:$D$92,'2200'!A422,'Daftar Koreksi'!$G$5:$G$92,"Persediaan",'Daftar Koreksi'!$H$5:$H$92,"&lt;0")-SUMIFS('Daftar Koreksi'!$H$5:$H$92,'Daftar Koreksi'!$D$5:$D$92,'2200'!A422,'Daftar Koreksi'!$G$5:$G$92,"Persediaan",'Daftar Koreksi'!$H$5:$H$92,"&lt;0")-SUMIFS('Daftar Koreksi'!$H$5:$H$92,'Daftar Koreksi'!$D$5:$D$92,'2200'!A422,'Daftar Koreksi'!$G$5:$G$92,"Persediaan",'Daftar Koreksi'!$H$5:$H$92,"&lt;0")</f>
        <v>0</v>
      </c>
      <c r="G425" s="17">
        <f>D425+E425-F425</f>
        <v>205900</v>
      </c>
      <c r="H425" s="121" t="str">
        <f>IF(ISNA(VLOOKUP(A422,'Mutasi Neraca'!$A$3:$S$914,19,FALSE)),"-",VLOOKUP(A422,'Mutasi Neraca'!$A$3:$S$914,19,FALSE))</f>
        <v>-</v>
      </c>
    </row>
    <row r="426" spans="1:11" ht="21.95" customHeight="1">
      <c r="A426" s="14"/>
      <c r="B426" s="14"/>
      <c r="C426" s="16" t="s">
        <v>1166</v>
      </c>
      <c r="D426" s="17">
        <f>VLOOKUP(A422,'Neraca Unaudited SIMAK'!$A$2:$S$10004,4,FALSE)</f>
        <v>0</v>
      </c>
      <c r="E426" s="25">
        <f>SUMIFS('Daftar Koreksi'!$H$5:$H$92,'Daftar Koreksi'!$D$5:$D$92,'2200'!A422,'Daftar Koreksi'!$G$5:$G$92,"Tanah",'Daftar Koreksi'!$H$5:$H$92,"&gt;0")</f>
        <v>0</v>
      </c>
      <c r="F426" s="25">
        <f>SUMIFS('Daftar Koreksi'!$H$5:$H$92,'Daftar Koreksi'!$D$5:$D$92,'2200'!A422,'Daftar Koreksi'!$G$5:$G$92,"Tanah",'Daftar Koreksi'!$H$5:$H$92,"&lt;0")-SUMIFS('Daftar Koreksi'!$H$5:$H$92,'Daftar Koreksi'!$D$5:$D$92,'2200'!A422,'Daftar Koreksi'!$G$5:$G$92,"Tanah",'Daftar Koreksi'!$H$5:$H$92,"&lt;0")-SUMIFS('Daftar Koreksi'!$H$5:$H$92,'Daftar Koreksi'!$D$5:$D$92,'2200'!A422,'Daftar Koreksi'!$G$5:$G$92,"Tanah",'Daftar Koreksi'!$H$5:$H$92,"&lt;0")</f>
        <v>0</v>
      </c>
      <c r="G426" s="17">
        <f t="shared" ref="G426:G442" si="19">D426+E426-F426</f>
        <v>0</v>
      </c>
      <c r="H426" s="122"/>
    </row>
    <row r="427" spans="1:11" ht="21.95" customHeight="1">
      <c r="A427" s="14"/>
      <c r="B427" s="14"/>
      <c r="C427" s="16" t="s">
        <v>1167</v>
      </c>
      <c r="D427" s="17">
        <f>VLOOKUP(A422,'Neraca Unaudited SIMAK'!$A$2:$S$10004,5,FALSE)</f>
        <v>1553892674</v>
      </c>
      <c r="E427" s="25">
        <f>SUMIFS('Daftar Koreksi'!$H$5:$H$92,'Daftar Koreksi'!$D$5:$D$92,'2200'!A422,'Daftar Koreksi'!$G$5:$G$92,"Peralatan dan mesin",'Daftar Koreksi'!$H$5:$H$92,"&gt;0")</f>
        <v>0</v>
      </c>
      <c r="F427" s="25">
        <f>SUMIFS('Daftar Koreksi'!$H$5:$H$92,'Daftar Koreksi'!$D$5:$D$92,'2200'!A422,'Daftar Koreksi'!$G$5:$G$92,"Peralatan dan mesin",'Daftar Koreksi'!$H$5:$H$92,"&lt;0")-SUMIFS('Daftar Koreksi'!$H$5:$H$92,'Daftar Koreksi'!$D$5:$D$92,'2200'!A422,'Daftar Koreksi'!$G$5:$G$92,"Peralatan dan mesin",'Daftar Koreksi'!$H$5:$H$92,"&lt;0")-SUMIFS('Daftar Koreksi'!$H$5:$H$92,'Daftar Koreksi'!$D$5:$D$92,'2200'!A422,'Daftar Koreksi'!$G$5:$G$92,"Peralatan dan mesin",'Daftar Koreksi'!$H$5:$H$92,"&lt;0")</f>
        <v>0</v>
      </c>
      <c r="G427" s="17">
        <f t="shared" si="19"/>
        <v>1553892674</v>
      </c>
      <c r="H427" s="122"/>
    </row>
    <row r="428" spans="1:11" ht="21.95" customHeight="1">
      <c r="A428" s="14"/>
      <c r="B428" s="14"/>
      <c r="C428" s="16" t="s">
        <v>1168</v>
      </c>
      <c r="D428" s="17">
        <f>VLOOKUP(A422,'Neraca Unaudited SIMAK'!$A$2:$S$10004,6,FALSE)</f>
        <v>0</v>
      </c>
      <c r="E428" s="25">
        <f>SUMIFS('Daftar Koreksi'!$H$5:$H$92,'Daftar Koreksi'!$D$5:$D$92,'2200'!A422,'Daftar Koreksi'!$G$5:$G$92,"Gedung dan Bangunan",'Daftar Koreksi'!$H$5:$H$92,"&gt;0")</f>
        <v>0</v>
      </c>
      <c r="F428" s="25">
        <f>SUMIFS('Daftar Koreksi'!$H$5:$H$92,'Daftar Koreksi'!$D$5:$D$92,'2200'!A422,'Daftar Koreksi'!$G$5:$G$92,"Gedung dan Bangunan",'Daftar Koreksi'!$H$5:$H$92,"&lt;0")-SUMIFS('Daftar Koreksi'!$H$5:$H$92,'Daftar Koreksi'!$D$5:$D$92,'2200'!A422,'Daftar Koreksi'!$G$5:$G$92,"Gedung dan Bangunan",'Daftar Koreksi'!$H$5:$H$92,"&lt;0")-SUMIFS('Daftar Koreksi'!$H$5:$H$92,'Daftar Koreksi'!$D$5:$D$92,'2200'!A422,'Daftar Koreksi'!$G$5:$G$92,"Gedung dan Bangunan",'Daftar Koreksi'!$H$5:$H$92,"&lt;0")</f>
        <v>0</v>
      </c>
      <c r="G428" s="17">
        <f t="shared" si="19"/>
        <v>0</v>
      </c>
      <c r="H428" s="122"/>
    </row>
    <row r="429" spans="1:11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Koreksi'!$D$5:$D$92,'2200'!A422,'Daftar Koreksi'!$G$5:$G$92,"Jalan Irigasi Jaringan",'Daftar Koreksi'!$H$5:$H$92,"&gt;0")</f>
        <v>0</v>
      </c>
      <c r="F429" s="25">
        <f>SUMIFS('Daftar Koreksi'!$H$5:$H$92,'Daftar Koreksi'!$D$5:$D$92,'2200'!A422,'Daftar Koreksi'!$G$5:$G$92,"Jalan Irigasi Jaringan",'Daftar Koreksi'!$H$5:$H$92,"&lt;0")-SUMIFS('Daftar Koreksi'!$H$5:$H$92,'Daftar Koreksi'!$D$5:$D$92,'2200'!A422,'Daftar Koreksi'!$G$5:$G$92,"Jalan Irigasi Jaringan",'Daftar Koreksi'!$H$5:$H$92,"&lt;0")-SUMIFS('Daftar Koreksi'!$H$5:$H$92,'Daftar Koreksi'!$D$5:$D$92,'2200'!A422,'Daftar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11" ht="21.95" customHeight="1">
      <c r="A430" s="14"/>
      <c r="B430" s="14"/>
      <c r="C430" s="16" t="s">
        <v>1170</v>
      </c>
      <c r="D430" s="17">
        <f>VLOOKUP(A422,'Neraca Unaudited SIMAK'!$A$2:$S$10004,8,FALSE)</f>
        <v>32350000</v>
      </c>
      <c r="E430" s="25">
        <f>SUMIFS('Daftar Koreksi'!$H$5:$H$92,'Daftar Koreksi'!$D$5:$D$92,'2200'!A422,'Daftar Koreksi'!$G$5:$G$92,"Aset Tetap Lainnya",'Daftar Koreksi'!$H$5:$H$92,"&gt;0")</f>
        <v>0</v>
      </c>
      <c r="F430" s="25">
        <f>SUMIFS('Daftar Koreksi'!$H$5:$H$92,'Daftar Koreksi'!$D$5:$D$92,'2200'!A422,'Daftar Koreksi'!$G$5:$G$92,"Aset Tetap Lainnya",'Daftar Koreksi'!$H$5:$H$92,"&lt;0")-SUMIFS('Daftar Koreksi'!$H$5:$H$92,'Daftar Koreksi'!$D$5:$D$92,'2200'!A422,'Daftar Koreksi'!$G$5:$G$92,"Aset Tetap Lainnya",'Daftar Koreksi'!$H$5:$H$92,"&lt;0")-SUMIFS('Daftar Koreksi'!$H$5:$H$92,'Daftar Koreksi'!$D$5:$D$92,'2200'!A422,'Daftar Koreksi'!$G$5:$G$92,"Aset Tetap Lainnya",'Daftar Koreksi'!$H$5:$H$92,"&lt;0")</f>
        <v>0</v>
      </c>
      <c r="G430" s="17">
        <f t="shared" si="19"/>
        <v>32350000</v>
      </c>
      <c r="H430" s="122"/>
    </row>
    <row r="431" spans="1:11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Koreksi'!$D$5:$D$92,'2200'!A422,'Daftar Koreksi'!$G$5:$G$92,"Kontruksi Dalam Pengerjaan",'Daftar Koreksi'!$H$5:$H$92,"&gt;0")</f>
        <v>0</v>
      </c>
      <c r="F431" s="25">
        <f>SUMIFS('Daftar Koreksi'!$H$5:$H$92,'Daftar Koreksi'!$D$5:$D$92,'2200'!A422,'Daftar Koreksi'!$G$5:$G$92,"Kontruksi Dalam Pengerjaan",'Daftar Koreksi'!$H$5:$H$92,"&lt;0")-SUMIFS('Daftar Koreksi'!$H$5:$H$92,'Daftar Koreksi'!$D$5:$D$92,'2200'!A422,'Daftar Koreksi'!$G$5:$G$92,"Kontruksi Dalam Pengerjaan",'Daftar Koreksi'!$H$5:$H$92,"&lt;0")-SUMIFS('Daftar Koreksi'!$H$5:$H$92,'Daftar Koreksi'!$D$5:$D$92,'2200'!A422,'Daftar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11" ht="21.95" customHeight="1">
      <c r="A432" s="14"/>
      <c r="B432" s="14"/>
      <c r="C432" s="16" t="s">
        <v>1172</v>
      </c>
      <c r="D432" s="17">
        <f>VLOOKUP(A422,'Neraca Unaudited SIMAK'!$A$2:$S$10004,10,FALSE)</f>
        <v>74250000</v>
      </c>
      <c r="E432" s="25">
        <f>SUMIFS('Daftar Koreksi'!$H$5:$H$92,'Daftar Koreksi'!$D$5:$D$92,'2200'!A422,'Daftar Koreksi'!$G$5:$G$92,"Aset Tak Berwujud",'Daftar Koreksi'!$H$5:$H$92,"&gt;0")</f>
        <v>0</v>
      </c>
      <c r="F432" s="25">
        <f>SUMIFS('Daftar Koreksi'!$H$5:$H$92,'Daftar Koreksi'!$D$5:$D$92,'2200'!A422,'Daftar Koreksi'!$G$5:$G$92,"Aset Tak Berwujud",'Daftar Koreksi'!$H$5:$H$92,"&lt;0")-SUMIFS('Daftar Koreksi'!$H$5:$H$92,'Daftar Koreksi'!$D$5:$D$92,'2200'!A422,'Daftar Koreksi'!$G$5:$G$92,"Aset Tak Berwujud",'Daftar Koreksi'!$H$5:$H$92,"&lt;0")-SUMIFS('Daftar Koreksi'!$H$5:$H$92,'Daftar Koreksi'!$D$5:$D$92,'2200'!A422,'Daftar Koreksi'!$G$5:$G$92,"Aset Tak Berwujud",'Daftar Koreksi'!$H$5:$H$92,"&lt;0")</f>
        <v>0</v>
      </c>
      <c r="G432" s="17">
        <f t="shared" si="19"/>
        <v>74250000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30146484</v>
      </c>
      <c r="E433" s="25">
        <f>SUMIFS('Daftar Koreksi'!$H$5:$H$92,'Daftar Koreksi'!$D$5:$D$92,'2200'!A422,'Daftar Koreksi'!$G$5:$G$92,"Aset Henti Guna",'Daftar Koreksi'!$H$5:$H$92,"&gt;0")</f>
        <v>0</v>
      </c>
      <c r="F433" s="25">
        <f>SUMIFS('Daftar Koreksi'!$H$5:$H$92,'Daftar Koreksi'!$D$5:$D$92,'2200'!A422,'Daftar Koreksi'!$G$5:$G$92,"Aset Henti Guna",'Daftar Koreksi'!$H$5:$H$92,"&lt;0")-SUMIFS('Daftar Koreksi'!$H$5:$H$92,'Daftar Koreksi'!$D$5:$D$92,'2200'!A422,'Daftar Koreksi'!$G$5:$G$92,"Aset Henti Guna",'Daftar Koreksi'!$H$5:$H$92,"&lt;0")-SUMIFS('Daftar Koreksi'!$H$5:$H$92,'Daftar Koreksi'!$D$5:$D$92,'2200'!A422,'Daftar Koreksi'!$G$5:$G$92,"Aset Henti Guna",'Daftar Koreksi'!$H$5:$H$92,"&lt;0")</f>
        <v>0</v>
      </c>
      <c r="G433" s="17">
        <f t="shared" si="19"/>
        <v>30146484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1690845058</v>
      </c>
      <c r="E434" s="19">
        <f>SUM(E425:E433)</f>
        <v>0</v>
      </c>
      <c r="F434" s="19">
        <f>SUM(F425:F433)</f>
        <v>0</v>
      </c>
      <c r="G434" s="19">
        <f t="shared" si="19"/>
        <v>1690845058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-1381235234</v>
      </c>
      <c r="E435" s="25">
        <f>SUMIFS('Daftar Koreksi'!$I$5:$I$92,'Daftar Koreksi'!$D$5:$D$92,'2200'!A422,'Daftar Koreksi'!$G$5:$G$92,"Peralatan dan mesin",'Daftar Koreksi'!$I$5:$I$92,"&gt;0")</f>
        <v>0</v>
      </c>
      <c r="F435" s="25">
        <f>SUMIFS('Daftar Koreksi'!$I$5:$I$92,'Daftar Koreksi'!$D$5:$D$92,'2200'!A422,'Daftar Koreksi'!$G$5:$G$92,"Peralatan dan mesin",'Daftar Koreksi'!$I$5:$I$92,"&lt;0")-SUMIFS('Daftar Koreksi'!$I$5:$I$92,'Daftar Koreksi'!$D$5:$D$92,'2200'!A422,'Daftar Koreksi'!$G$5:$G$92,"Peralatan dan mesin",'Daftar Koreksi'!$I$5:$I$92,"&lt;0")-SUMIFS('Daftar Koreksi'!$I$5:$I$92,'Daftar Koreksi'!$D$5:$D$92,'2200'!A422,'Daftar Koreksi'!$G$5:$G$92,"Peralatan dan mesin",'Daftar Koreksi'!$I$5:$I$92,"&lt;0")</f>
        <v>0</v>
      </c>
      <c r="G435" s="17">
        <f t="shared" si="19"/>
        <v>-1381235234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0</v>
      </c>
      <c r="E436" s="25">
        <f>SUMIFS('Daftar Koreksi'!$I$5:$I$92,'Daftar Koreksi'!$D$5:$D$92,'2200'!A422,'Daftar Koreksi'!$G$5:$G$92,"Gedung dan Bangunan",'Daftar Koreksi'!$I$5:$I$92,"&gt;0")</f>
        <v>0</v>
      </c>
      <c r="F436" s="25">
        <f>SUMIFS('Daftar Koreksi'!$I$5:$I$92,'Daftar Koreksi'!$D$5:$D$92,'2200'!A422,'Daftar Koreksi'!$G$5:$G$92,"Gedung dan Bangunan",'Daftar Koreksi'!$I$5:$I$92,"&lt;0")-SUMIFS('Daftar Koreksi'!$I$5:$I$92,'Daftar Koreksi'!$D$5:$D$92,'2200'!A422,'Daftar Koreksi'!$G$5:$G$92,"Gedung dan Bangunan",'Daftar Koreksi'!$I$5:$I$92,"&lt;0")-SUMIFS('Daftar Koreksi'!$I$5:$I$92,'Daftar Koreksi'!$D$5:$D$92,'2200'!A422,'Daftar Koreksi'!$G$5:$G$92,"Gedung dan Bangunan",'Daftar Koreksi'!$I$5:$I$92,"&lt;0")</f>
        <v>0</v>
      </c>
      <c r="G436" s="17">
        <f t="shared" si="19"/>
        <v>0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Koreksi'!$D$5:$D$92,'2200'!A422,'Daftar Koreksi'!$G$5:$G$92,"Jalan Irigasi Jaringan",'Daftar Koreksi'!$I$5:$I$92,"&gt;0")</f>
        <v>0</v>
      </c>
      <c r="F437" s="25">
        <f>SUMIFS('Daftar Koreksi'!$I$5:$I$92,'Daftar Koreksi'!$D$5:$D$92,'2200'!A422,'Daftar Koreksi'!$G$5:$G$92,"Jalan Irigasi Jaringan",'Daftar Koreksi'!$I$5:$I$92,"&lt;0")-SUMIFS('Daftar Koreksi'!$I$5:$I$92,'Daftar Koreksi'!$D$5:$D$92,'2200'!A422,'Daftar Koreksi'!$G$5:$G$92,"Jalan Irigasi Jaringan",'Daftar Koreksi'!$I$5:$I$92,"&lt;0")-SUMIFS('Daftar Koreksi'!$I$5:$I$92,'Daftar Koreksi'!$D$5:$D$92,'2200'!A422,'Daftar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Koreksi'!$D$5:$D$92,'2200'!A422,'Daftar Koreksi'!$G$5:$G$92,"Aset Tetap Lainnya",'Daftar Koreksi'!$I$5:$I$92,"&gt;0")</f>
        <v>0</v>
      </c>
      <c r="F438" s="25">
        <f>SUMIFS('Daftar Koreksi'!$I$5:$I$92,'Daftar Koreksi'!$D$5:$D$92,'2200'!A422,'Daftar Koreksi'!$G$5:$G$92,"Aset Tetap Lainnya",'Daftar Koreksi'!$I$5:$I$92,"&lt;0")-SUMIFS('Daftar Koreksi'!$I$5:$I$92,'Daftar Koreksi'!$D$5:$D$92,'2200'!A422,'Daftar Koreksi'!$G$5:$G$92,"Aset Tetap Lainnya",'Daftar Koreksi'!$I$5:$I$92,"&lt;0")-SUMIFS('Daftar Koreksi'!$I$5:$I$92,'Daftar Koreksi'!$D$5:$D$92,'2200'!A422,'Daftar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-30146484</v>
      </c>
      <c r="E439" s="25">
        <f>SUMIFS('Daftar Koreksi'!$I$5:$I$92,'Daftar Koreksi'!$D$5:$D$92,'2200'!A422,'Daftar Koreksi'!$G$5:$G$92,"Aset Henti Guna",'Daftar Koreksi'!$I$5:$I$92,"&gt;0")</f>
        <v>0</v>
      </c>
      <c r="F439" s="25">
        <f>SUMIFS('Daftar Koreksi'!$I$5:$I$92,'Daftar Koreksi'!$D$5:$D$92,'2200'!A422,'Daftar Koreksi'!$G$5:$G$92,"Aset Henti Guna",'Daftar Koreksi'!$I$5:$I$92,"&lt;0")-SUMIFS('Daftar Koreksi'!$I$5:$I$92,'Daftar Koreksi'!$D$5:$D$92,'2200'!A422,'Daftar Koreksi'!$G$5:$G$92,"Aset Henti Guna",'Daftar Koreksi'!$I$5:$I$92,"&lt;0")-SUMIFS('Daftar Koreksi'!$I$5:$I$92,'Daftar Koreksi'!$D$5:$D$92,'2200'!A422,'Daftar Koreksi'!$G$5:$G$92,"Aset Henti Guna",'Daftar Koreksi'!$I$5:$I$92,"&lt;0")</f>
        <v>0</v>
      </c>
      <c r="G439" s="17">
        <f t="shared" si="19"/>
        <v>-30146484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-1411381718</v>
      </c>
      <c r="E440" s="19">
        <f>SUM(E435:E439)</f>
        <v>0</v>
      </c>
      <c r="F440" s="19">
        <f>SUM(F435:F439)</f>
        <v>0</v>
      </c>
      <c r="G440" s="19">
        <f t="shared" si="19"/>
        <v>-1411381718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279463340</v>
      </c>
      <c r="E441" s="19">
        <f>E440+E434</f>
        <v>0</v>
      </c>
      <c r="F441" s="19">
        <f>F440+F434</f>
        <v>0</v>
      </c>
      <c r="G441" s="19">
        <f t="shared" si="19"/>
        <v>279463340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</sheetData>
  <mergeCells count="120">
    <mergeCell ref="H337:H354"/>
    <mergeCell ref="H359:H376"/>
    <mergeCell ref="H381:H398"/>
    <mergeCell ref="H403:H420"/>
    <mergeCell ref="H425:H442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91:C292"/>
    <mergeCell ref="D291:D292"/>
    <mergeCell ref="E291:F291"/>
    <mergeCell ref="G291:G292"/>
    <mergeCell ref="H291:H292"/>
    <mergeCell ref="C269:C270"/>
    <mergeCell ref="D269:D270"/>
    <mergeCell ref="E269:F269"/>
    <mergeCell ref="G269:G270"/>
    <mergeCell ref="H269:H270"/>
    <mergeCell ref="C335:C336"/>
    <mergeCell ref="D335:D336"/>
    <mergeCell ref="E335:F335"/>
    <mergeCell ref="G335:G336"/>
    <mergeCell ref="H335:H336"/>
    <mergeCell ref="C313:C314"/>
    <mergeCell ref="D313:D314"/>
    <mergeCell ref="E313:F313"/>
    <mergeCell ref="G313:G314"/>
    <mergeCell ref="H313:H314"/>
    <mergeCell ref="C379:C380"/>
    <mergeCell ref="D379:D380"/>
    <mergeCell ref="E379:F379"/>
    <mergeCell ref="G379:G380"/>
    <mergeCell ref="H379:H380"/>
    <mergeCell ref="C357:C358"/>
    <mergeCell ref="D357:D358"/>
    <mergeCell ref="E357:F357"/>
    <mergeCell ref="G357:G358"/>
    <mergeCell ref="H357:H358"/>
    <mergeCell ref="C423:C424"/>
    <mergeCell ref="D423:D424"/>
    <mergeCell ref="E423:F423"/>
    <mergeCell ref="G423:G424"/>
    <mergeCell ref="H423:H424"/>
    <mergeCell ref="C401:C402"/>
    <mergeCell ref="D401:D402"/>
    <mergeCell ref="E401:F401"/>
    <mergeCell ref="G401:G402"/>
    <mergeCell ref="H401:H402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P376"/>
  <sheetViews>
    <sheetView tabSelected="1" view="pageBreakPreview" topLeftCell="C176" zoomScale="90" zoomScaleSheetLayoutView="90" workbookViewId="0">
      <selection activeCell="C193" sqref="C193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4.85546875" style="8" bestFit="1" customWidth="1"/>
    <col min="10" max="10" width="12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679</v>
      </c>
      <c r="P1" s="8" t="s">
        <v>1816</v>
      </c>
    </row>
    <row r="2" spans="1:16" ht="19.5" customHeight="1">
      <c r="C2" s="9" t="s">
        <v>2119</v>
      </c>
      <c r="O2" s="8" t="s">
        <v>680</v>
      </c>
      <c r="P2" s="8" t="s">
        <v>1817</v>
      </c>
    </row>
    <row r="3" spans="1:16" ht="19.5" customHeight="1">
      <c r="O3" s="8" t="s">
        <v>681</v>
      </c>
      <c r="P3" s="8" t="s">
        <v>1818</v>
      </c>
    </row>
    <row r="4" spans="1:16" ht="19.5" customHeight="1">
      <c r="A4" s="11" t="str">
        <f>O1</f>
        <v>005012300099862000KD</v>
      </c>
      <c r="B4" s="11" t="str">
        <f>P1</f>
        <v>PN. Mataram</v>
      </c>
      <c r="C4" s="12" t="str">
        <f>A4&amp;" "&amp;B4</f>
        <v>005012300099862000KD PN. Mataram</v>
      </c>
      <c r="D4" s="13"/>
      <c r="E4" s="13"/>
      <c r="F4" s="13"/>
      <c r="G4" s="13"/>
      <c r="H4" s="11"/>
      <c r="O4" s="8" t="s">
        <v>682</v>
      </c>
      <c r="P4" s="8" t="s">
        <v>1819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683</v>
      </c>
      <c r="P5" s="8" t="s">
        <v>1820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684</v>
      </c>
      <c r="P6" s="8" t="s">
        <v>1821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4383950</v>
      </c>
      <c r="E7" s="25">
        <f>SUMIFS('Daftar Koreksi'!$H$5:$H$92,'Daftar Koreksi'!$D$5:$D$92,'2300'!A4,'Daftar Koreksi'!$G$5:$G$92,"Persediaan",'Daftar Koreksi'!$H$5:$H$92,"&gt;0")</f>
        <v>0</v>
      </c>
      <c r="F7" s="25">
        <f>SUMIFS('Daftar Koreksi'!$H$5:$H$92,'Daftar Koreksi'!$D$5:$D$92,'2300'!A4,'Daftar Koreksi'!$G$5:$G$92,"Persediaan",'Daftar Koreksi'!$H$5:$H$92,"&lt;0")-SUMIFS('Daftar Koreksi'!$H$5:$H$92,'Daftar Koreksi'!$D$5:$D$92,'2300'!A4,'Daftar Koreksi'!$G$5:$G$92,"Persediaan",'Daftar Koreksi'!$H$5:$H$92,"&lt;0")-SUMIFS('Daftar Koreksi'!$H$5:$H$92,'Daftar Koreksi'!$D$5:$D$92,'2300'!A4,'Daftar Koreksi'!$G$5:$G$92,"Persediaan",'Daftar Koreksi'!$H$5:$H$92,"&lt;0")</f>
        <v>0</v>
      </c>
      <c r="G7" s="17">
        <f>D7+E7-F7</f>
        <v>4383950</v>
      </c>
      <c r="H7" s="121" t="str">
        <f>IF(ISNA(VLOOKUP(A4,'Mutasi Neraca'!$A$3:$S$914,19,FALSE)),"-",VLOOKUP(A4,'Mutasi Neraca'!$A$3:$S$914,19,FALSE))</f>
        <v>-</v>
      </c>
      <c r="O7" s="8" t="s">
        <v>685</v>
      </c>
      <c r="P7" s="8" t="s">
        <v>1822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13540063000</v>
      </c>
      <c r="E8" s="25">
        <f>SUMIFS('Daftar Koreksi'!$H$5:$H$92,'Daftar Koreksi'!$D$5:$D$92,'2300'!A4,'Daftar Koreksi'!$G$5:$G$92,"Tanah",'Daftar Koreksi'!$H$5:$H$92,"&gt;0")</f>
        <v>0</v>
      </c>
      <c r="F8" s="25">
        <f>SUMIFS('Daftar Koreksi'!$H$5:$H$92,'Daftar Koreksi'!$D$5:$D$92,'2300'!A4,'Daftar Koreksi'!$G$5:$G$92,"Tanah",'Daftar Koreksi'!$H$5:$H$92,"&lt;0")-SUMIFS('Daftar Koreksi'!$H$5:$H$92,'Daftar Koreksi'!$D$5:$D$92,'2300'!A4,'Daftar Koreksi'!$G$5:$G$92,"Tanah",'Daftar Koreksi'!$H$5:$H$92,"&lt;0")-SUMIFS('Daftar Koreksi'!$H$5:$H$92,'Daftar Koreksi'!$D$5:$D$92,'2300'!A4,'Daftar Koreksi'!$G$5:$G$92,"Tanah",'Daftar Koreksi'!$H$5:$H$92,"&lt;0")</f>
        <v>0</v>
      </c>
      <c r="G8" s="17">
        <f t="shared" ref="G8:G24" si="0">D8+E8-F8</f>
        <v>13540063000</v>
      </c>
      <c r="H8" s="122"/>
      <c r="O8" s="8" t="s">
        <v>686</v>
      </c>
      <c r="P8" s="8" t="s">
        <v>1823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3571835609</v>
      </c>
      <c r="E9" s="25">
        <f>SUMIFS('Daftar Koreksi'!$H$5:$H$92,'Daftar Koreksi'!$D$5:$D$92,'2300'!A4,'Daftar Koreksi'!$G$5:$G$92,"Peralatan dan mesin",'Daftar Koreksi'!$H$5:$H$92,"&gt;0")</f>
        <v>0</v>
      </c>
      <c r="F9" s="25">
        <f>SUMIFS('Daftar Koreksi'!$H$5:$H$92,'Daftar Koreksi'!$D$5:$D$92,'2300'!A4,'Daftar Koreksi'!$G$5:$G$92,"Peralatan dan mesin",'Daftar Koreksi'!$H$5:$H$92,"&lt;0")-SUMIFS('Daftar Koreksi'!$H$5:$H$92,'Daftar Koreksi'!$D$5:$D$92,'2300'!A4,'Daftar Koreksi'!$G$5:$G$92,"Peralatan dan mesin",'Daftar Koreksi'!$H$5:$H$92,"&lt;0")-SUMIFS('Daftar Koreksi'!$H$5:$H$92,'Daftar Koreksi'!$D$5:$D$92,'2300'!A4,'Daftar Koreksi'!$G$5:$G$92,"Peralatan dan mesin",'Daftar Koreksi'!$H$5:$H$92,"&lt;0")</f>
        <v>0</v>
      </c>
      <c r="G9" s="17">
        <f t="shared" si="0"/>
        <v>3571835609</v>
      </c>
      <c r="H9" s="122"/>
      <c r="O9" s="8" t="s">
        <v>687</v>
      </c>
      <c r="P9" s="8" t="s">
        <v>1824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15657414700</v>
      </c>
      <c r="E10" s="25">
        <f>SUMIFS('Daftar Koreksi'!$H$5:$H$92,'Daftar Koreksi'!$D$5:$D$92,'2300'!A4,'Daftar Koreksi'!$G$5:$G$92,"Gedung dan Bangunan",'Daftar Koreksi'!$H$5:$H$92,"&gt;0")</f>
        <v>0</v>
      </c>
      <c r="F10" s="25">
        <f>SUMIFS('Daftar Koreksi'!$H$5:$H$92,'Daftar Koreksi'!$D$5:$D$92,'2300'!A4,'Daftar Koreksi'!$G$5:$G$92,"Gedung dan Bangunan",'Daftar Koreksi'!$H$5:$H$92,"&lt;0")-SUMIFS('Daftar Koreksi'!$H$5:$H$92,'Daftar Koreksi'!$D$5:$D$92,'2300'!A4,'Daftar Koreksi'!$G$5:$G$92,"Gedung dan Bangunan",'Daftar Koreksi'!$H$5:$H$92,"&lt;0")-SUMIFS('Daftar Koreksi'!$H$5:$H$92,'Daftar Koreksi'!$D$5:$D$92,'2300'!A4,'Daftar Koreksi'!$G$5:$G$92,"Gedung dan Bangunan",'Daftar Koreksi'!$H$5:$H$92,"&lt;0")</f>
        <v>0</v>
      </c>
      <c r="G10" s="17">
        <f t="shared" si="0"/>
        <v>15657414700</v>
      </c>
      <c r="H10" s="122"/>
      <c r="O10" s="8" t="s">
        <v>688</v>
      </c>
      <c r="P10" s="8" t="s">
        <v>1825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Koreksi'!$D$5:$D$92,'2300'!A4,'Daftar Koreksi'!$G$5:$G$92,"Jalan Irigasi Jaringan",'Daftar Koreksi'!$H$5:$H$92,"&gt;0")</f>
        <v>0</v>
      </c>
      <c r="F11" s="25">
        <f>SUMIFS('Daftar Koreksi'!$H$5:$H$92,'Daftar Koreksi'!$D$5:$D$92,'2300'!A4,'Daftar Koreksi'!$G$5:$G$92,"Jalan Irigasi Jaringan",'Daftar Koreksi'!$H$5:$H$92,"&lt;0")-SUMIFS('Daftar Koreksi'!$H$5:$H$92,'Daftar Koreksi'!$D$5:$D$92,'2300'!A4,'Daftar Koreksi'!$G$5:$G$92,"Jalan Irigasi Jaringan",'Daftar Koreksi'!$H$5:$H$92,"&lt;0")-SUMIFS('Daftar Koreksi'!$H$5:$H$92,'Daftar Koreksi'!$D$5:$D$92,'2300'!A4,'Daftar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689</v>
      </c>
      <c r="P11" s="8" t="s">
        <v>1826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1943440</v>
      </c>
      <c r="E12" s="25">
        <f>SUMIFS('Daftar Koreksi'!$H$5:$H$92,'Daftar Koreksi'!$D$5:$D$92,'2300'!A4,'Daftar Koreksi'!$G$5:$G$92,"Aset Tetap Lainnya",'Daftar Koreksi'!$H$5:$H$92,"&gt;0")</f>
        <v>0</v>
      </c>
      <c r="F12" s="25">
        <f>SUMIFS('Daftar Koreksi'!$H$5:$H$92,'Daftar Koreksi'!$D$5:$D$92,'2300'!A4,'Daftar Koreksi'!$G$5:$G$92,"Aset Tetap Lainnya",'Daftar Koreksi'!$H$5:$H$92,"&lt;0")-SUMIFS('Daftar Koreksi'!$H$5:$H$92,'Daftar Koreksi'!$D$5:$D$92,'2300'!A4,'Daftar Koreksi'!$G$5:$G$92,"Aset Tetap Lainnya",'Daftar Koreksi'!$H$5:$H$92,"&lt;0")-SUMIFS('Daftar Koreksi'!$H$5:$H$92,'Daftar Koreksi'!$D$5:$D$92,'2300'!A4,'Daftar Koreksi'!$G$5:$G$92,"Aset Tetap Lainnya",'Daftar Koreksi'!$H$5:$H$92,"&lt;0")</f>
        <v>0</v>
      </c>
      <c r="G12" s="17">
        <f t="shared" si="0"/>
        <v>1943440</v>
      </c>
      <c r="H12" s="122"/>
      <c r="O12" s="8" t="s">
        <v>690</v>
      </c>
      <c r="P12" s="8" t="s">
        <v>1827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Koreksi'!$D$5:$D$92,'2300'!A4,'Daftar Koreksi'!$G$5:$G$92,"Kontruksi Dalam Pengerjaan",'Daftar Koreksi'!$H$5:$H$92,"&gt;0")</f>
        <v>0</v>
      </c>
      <c r="F13" s="25">
        <f>SUMIFS('Daftar Koreksi'!$H$5:$H$92,'Daftar Koreksi'!$D$5:$D$92,'2300'!A4,'Daftar Koreksi'!$G$5:$G$92,"Kontruksi Dalam Pengerjaan",'Daftar Koreksi'!$H$5:$H$92,"&lt;0")-SUMIFS('Daftar Koreksi'!$H$5:$H$92,'Daftar Koreksi'!$D$5:$D$92,'2300'!A4,'Daftar Koreksi'!$G$5:$G$92,"Kontruksi Dalam Pengerjaan",'Daftar Koreksi'!$H$5:$H$92,"&lt;0")-SUMIFS('Daftar Koreksi'!$H$5:$H$92,'Daftar Koreksi'!$D$5:$D$92,'2300'!A4,'Daftar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691</v>
      </c>
      <c r="P13" s="8" t="s">
        <v>1828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Koreksi'!$D$5:$D$92,'2300'!A4,'Daftar Koreksi'!$G$5:$G$92,"Aset Tak Berwujud",'Daftar Koreksi'!$H$5:$H$92,"&gt;0")</f>
        <v>0</v>
      </c>
      <c r="F14" s="25">
        <f>SUMIFS('Daftar Koreksi'!$H$5:$H$92,'Daftar Koreksi'!$D$5:$D$92,'2300'!A4,'Daftar Koreksi'!$G$5:$G$92,"Aset Tak Berwujud",'Daftar Koreksi'!$H$5:$H$92,"&lt;0")-SUMIFS('Daftar Koreksi'!$H$5:$H$92,'Daftar Koreksi'!$D$5:$D$92,'2300'!A4,'Daftar Koreksi'!$G$5:$G$92,"Aset Tak Berwujud",'Daftar Koreksi'!$H$5:$H$92,"&lt;0")-SUMIFS('Daftar Koreksi'!$H$5:$H$92,'Daftar Koreksi'!$D$5:$D$92,'2300'!A4,'Daftar Koreksi'!$G$5:$G$92,"Aset Tak Berwujud",'Daftar Koreksi'!$H$5:$H$92,"&lt;0")</f>
        <v>0</v>
      </c>
      <c r="G14" s="17">
        <f t="shared" si="0"/>
        <v>0</v>
      </c>
      <c r="H14" s="122"/>
      <c r="O14" s="8" t="s">
        <v>692</v>
      </c>
      <c r="P14" s="8" t="s">
        <v>1829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12610800</v>
      </c>
      <c r="E15" s="25">
        <f>SUMIFS('Daftar Koreksi'!$H$5:$H$92,'Daftar Koreksi'!$D$5:$D$92,'2300'!A4,'Daftar Koreksi'!$G$5:$G$92,"Aset Henti Guna",'Daftar Koreksi'!$H$5:$H$92,"&gt;0")</f>
        <v>0</v>
      </c>
      <c r="F15" s="25">
        <f>SUMIFS('Daftar Koreksi'!$H$5:$H$92,'Daftar Koreksi'!$D$5:$D$92,'2300'!A4,'Daftar Koreksi'!$G$5:$G$92,"Aset Henti Guna",'Daftar Koreksi'!$H$5:$H$92,"&lt;0")-SUMIFS('Daftar Koreksi'!$H$5:$H$92,'Daftar Koreksi'!$D$5:$D$92,'2300'!A4,'Daftar Koreksi'!$G$5:$G$92,"Aset Henti Guna",'Daftar Koreksi'!$H$5:$H$92,"&lt;0")-SUMIFS('Daftar Koreksi'!$H$5:$H$92,'Daftar Koreksi'!$D$5:$D$92,'2300'!A4,'Daftar Koreksi'!$G$5:$G$92,"Aset Henti Guna",'Daftar Koreksi'!$H$5:$H$92,"&lt;0")</f>
        <v>0</v>
      </c>
      <c r="G15" s="17">
        <f t="shared" si="0"/>
        <v>12610800</v>
      </c>
      <c r="H15" s="122"/>
      <c r="O15" s="8" t="s">
        <v>693</v>
      </c>
      <c r="P15" s="8" t="s">
        <v>1830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32788251499</v>
      </c>
      <c r="E16" s="19">
        <f>SUM(E7:E15)</f>
        <v>0</v>
      </c>
      <c r="F16" s="19">
        <f>SUM(F7:F15)</f>
        <v>0</v>
      </c>
      <c r="G16" s="19">
        <f t="shared" si="0"/>
        <v>32788251499</v>
      </c>
      <c r="H16" s="122"/>
      <c r="O16" s="8" t="s">
        <v>694</v>
      </c>
      <c r="P16" s="8" t="s">
        <v>1831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-2655482306</v>
      </c>
      <c r="E17" s="25">
        <f>SUMIFS('Daftar Koreksi'!$I$5:$I$92,'Daftar Koreksi'!$D$5:$D$92,'2300'!A4,'Daftar Koreksi'!$G$5:$G$92,"Peralatan dan mesin",'Daftar Koreksi'!$I$5:$I$92,"&gt;0")</f>
        <v>0</v>
      </c>
      <c r="F17" s="25">
        <f>SUMIFS('Daftar Koreksi'!$I$5:$I$92,'Daftar Koreksi'!$D$5:$D$92,'2300'!A4,'Daftar Koreksi'!$G$5:$G$92,"Peralatan dan mesin",'Daftar Koreksi'!$I$5:$I$92,"&lt;0")-SUMIFS('Daftar Koreksi'!$I$5:$I$92,'Daftar Koreksi'!$D$5:$D$92,'2300'!A4,'Daftar Koreksi'!$G$5:$G$92,"Peralatan dan mesin",'Daftar Koreksi'!$I$5:$I$92,"&lt;0")-SUMIFS('Daftar Koreksi'!$I$5:$I$92,'Daftar Koreksi'!$D$5:$D$92,'2300'!A4,'Daftar Koreksi'!$G$5:$G$92,"Peralatan dan mesin",'Daftar Koreksi'!$I$5:$I$92,"&lt;0")</f>
        <v>0</v>
      </c>
      <c r="G17" s="17">
        <f t="shared" si="0"/>
        <v>-2655482306</v>
      </c>
      <c r="H17" s="122"/>
      <c r="O17" s="8" t="s">
        <v>695</v>
      </c>
      <c r="P17" s="8" t="s">
        <v>1832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-1546599731</v>
      </c>
      <c r="E18" s="25">
        <f>SUMIFS('Daftar Koreksi'!$I$5:$I$92,'Daftar Koreksi'!$D$5:$D$92,'2300'!A4,'Daftar Koreksi'!$G$5:$G$92,"Gedung dan Bangunan",'Daftar Koreksi'!$I$5:$I$92,"&gt;0")</f>
        <v>0</v>
      </c>
      <c r="F18" s="25">
        <f>SUMIFS('Daftar Koreksi'!$I$5:$I$92,'Daftar Koreksi'!$D$5:$D$92,'2300'!A4,'Daftar Koreksi'!$G$5:$G$92,"Gedung dan Bangunan",'Daftar Koreksi'!$I$5:$I$92,"&lt;0")-SUMIFS('Daftar Koreksi'!$I$5:$I$92,'Daftar Koreksi'!$D$5:$D$92,'2300'!A4,'Daftar Koreksi'!$G$5:$G$92,"Gedung dan Bangunan",'Daftar Koreksi'!$I$5:$I$92,"&lt;0")-SUMIFS('Daftar Koreksi'!$I$5:$I$92,'Daftar Koreksi'!$D$5:$D$92,'2300'!A4,'Daftar Koreksi'!$G$5:$G$92,"Gedung dan Bangunan",'Daftar Koreksi'!$I$5:$I$92,"&lt;0")</f>
        <v>0</v>
      </c>
      <c r="G18" s="17">
        <f t="shared" si="0"/>
        <v>-1546599731</v>
      </c>
      <c r="H18" s="122"/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Koreksi'!$D$5:$D$92,'2300'!A4,'Daftar Koreksi'!$G$5:$G$92,"Jalan Irigasi Jaringan",'Daftar Koreksi'!$I$5:$I$92,"&gt;0")</f>
        <v>0</v>
      </c>
      <c r="F19" s="25">
        <f>SUMIFS('Daftar Koreksi'!$I$5:$I$92,'Daftar Koreksi'!$D$5:$D$92,'2300'!A4,'Daftar Koreksi'!$G$5:$G$92,"Jalan Irigasi Jaringan",'Daftar Koreksi'!$I$5:$I$92,"&lt;0")-SUMIFS('Daftar Koreksi'!$I$5:$I$92,'Daftar Koreksi'!$D$5:$D$92,'2300'!A4,'Daftar Koreksi'!$G$5:$G$92,"Jalan Irigasi Jaringan",'Daftar Koreksi'!$I$5:$I$92,"&lt;0")-SUMIFS('Daftar Koreksi'!$I$5:$I$92,'Daftar Koreksi'!$D$5:$D$92,'2300'!A4,'Daftar Koreksi'!$G$5:$G$92,"Jalan Irigasi Jaringan",'Daftar Koreksi'!$I$5:$I$92,"&lt;0")</f>
        <v>0</v>
      </c>
      <c r="G19" s="17">
        <f t="shared" si="0"/>
        <v>0</v>
      </c>
      <c r="H19" s="122"/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Koreksi'!$D$5:$D$92,'2300'!A4,'Daftar Koreksi'!$G$5:$G$92,"Aset Tetap Lainnya",'Daftar Koreksi'!$I$5:$I$92,"&gt;0")</f>
        <v>0</v>
      </c>
      <c r="F20" s="25">
        <f>SUMIFS('Daftar Koreksi'!$I$5:$I$92,'Daftar Koreksi'!$D$5:$D$92,'2300'!A4,'Daftar Koreksi'!$G$5:$G$92,"Aset Tetap Lainnya",'Daftar Koreksi'!$I$5:$I$92,"&lt;0")-SUMIFS('Daftar Koreksi'!$I$5:$I$92,'Daftar Koreksi'!$D$5:$D$92,'2300'!A4,'Daftar Koreksi'!$G$5:$G$92,"Aset Tetap Lainnya",'Daftar Koreksi'!$I$5:$I$92,"&lt;0")-SUMIFS('Daftar Koreksi'!$I$5:$I$92,'Daftar Koreksi'!$D$5:$D$92,'2300'!A4,'Daftar Koreksi'!$G$5:$G$92,"Aset Tetap Lainnya",'Daftar Koreksi'!$I$5:$I$92,"&lt;0")</f>
        <v>0</v>
      </c>
      <c r="G20" s="17">
        <f t="shared" si="0"/>
        <v>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-12610800</v>
      </c>
      <c r="E21" s="25">
        <f>SUMIFS('Daftar Koreksi'!$I$5:$I$92,'Daftar Koreksi'!$D$5:$D$92,'2300'!A4,'Daftar Koreksi'!$G$5:$G$92,"Aset Henti Guna",'Daftar Koreksi'!$I$5:$I$92,"&gt;0")</f>
        <v>0</v>
      </c>
      <c r="F21" s="25">
        <f>SUMIFS('Daftar Koreksi'!$I$5:$I$92,'Daftar Koreksi'!$D$5:$D$92,'2300'!A4,'Daftar Koreksi'!$G$5:$G$92,"Aset Henti Guna",'Daftar Koreksi'!$I$5:$I$92,"&lt;0")-SUMIFS('Daftar Koreksi'!$I$5:$I$92,'Daftar Koreksi'!$D$5:$D$92,'2300'!A4,'Daftar Koreksi'!$G$5:$G$92,"Aset Henti Guna",'Daftar Koreksi'!$I$5:$I$92,"&lt;0")-SUMIFS('Daftar Koreksi'!$I$5:$I$92,'Daftar Koreksi'!$D$5:$D$92,'2300'!A4,'Daftar Koreksi'!$G$5:$G$92,"Aset Henti Guna",'Daftar Koreksi'!$I$5:$I$92,"&lt;0")</f>
        <v>0</v>
      </c>
      <c r="G21" s="17">
        <f t="shared" si="0"/>
        <v>-12610800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-4214692837</v>
      </c>
      <c r="E22" s="19">
        <f>SUM(E17:E21)</f>
        <v>0</v>
      </c>
      <c r="F22" s="19">
        <f>SUM(F17:F21)</f>
        <v>0</v>
      </c>
      <c r="G22" s="19">
        <f t="shared" si="0"/>
        <v>-4214692837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28573558662</v>
      </c>
      <c r="E23" s="19">
        <f>E22+E16</f>
        <v>0</v>
      </c>
      <c r="F23" s="19">
        <f>F22+F16</f>
        <v>0</v>
      </c>
      <c r="G23" s="19">
        <f t="shared" si="0"/>
        <v>28573558662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005012300099879000KD</v>
      </c>
      <c r="B26" s="11" t="str">
        <f>P2</f>
        <v>PN. Raba/Bima</v>
      </c>
      <c r="C26" s="12" t="str">
        <f>A26&amp;" "&amp;B26</f>
        <v>005012300099879000KD PN. Raba/Bima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572000</v>
      </c>
      <c r="E29" s="25">
        <f>SUMIFS('Daftar Koreksi'!$H$5:$H$92,'Daftar Koreksi'!$D$5:$D$92,'2300'!A26,'Daftar Koreksi'!$G$5:$G$92,"Persediaan",'Daftar Koreksi'!$H$5:$H$92,"&gt;0")</f>
        <v>0</v>
      </c>
      <c r="F29" s="25">
        <f>SUMIFS('Daftar Koreksi'!$H$5:$H$92,'Daftar Koreksi'!$D$5:$D$92,'2300'!A26,'Daftar Koreksi'!$G$5:$G$92,"Persediaan",'Daftar Koreksi'!$H$5:$H$92,"&lt;0")-SUMIFS('Daftar Koreksi'!$H$5:$H$92,'Daftar Koreksi'!$D$5:$D$92,'2300'!A26,'Daftar Koreksi'!$G$5:$G$92,"Persediaan",'Daftar Koreksi'!$H$5:$H$92,"&lt;0")-SUMIFS('Daftar Koreksi'!$H$5:$H$92,'Daftar Koreksi'!$D$5:$D$92,'2300'!A26,'Daftar Koreksi'!$G$5:$G$92,"Persediaan",'Daftar Koreksi'!$H$5:$H$92,"&lt;0")</f>
        <v>0</v>
      </c>
      <c r="G29" s="17">
        <f>D29+E29-F29</f>
        <v>572000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1611770000</v>
      </c>
      <c r="E30" s="25">
        <f>SUMIFS('Daftar Koreksi'!$H$5:$H$92,'Daftar Koreksi'!$D$5:$D$92,'2300'!A26,'Daftar Koreksi'!$G$5:$G$92,"Tanah",'Daftar Koreksi'!$H$5:$H$92,"&gt;0")</f>
        <v>0</v>
      </c>
      <c r="F30" s="25">
        <f>SUMIFS('Daftar Koreksi'!$H$5:$H$92,'Daftar Koreksi'!$D$5:$D$92,'2300'!A26,'Daftar Koreksi'!$G$5:$G$92,"Tanah",'Daftar Koreksi'!$H$5:$H$92,"&lt;0")-SUMIFS('Daftar Koreksi'!$H$5:$H$92,'Daftar Koreksi'!$D$5:$D$92,'2300'!A26,'Daftar Koreksi'!$G$5:$G$92,"Tanah",'Daftar Koreksi'!$H$5:$H$92,"&lt;0")-SUMIFS('Daftar Koreksi'!$H$5:$H$92,'Daftar Koreksi'!$D$5:$D$92,'2300'!A26,'Daftar Koreksi'!$G$5:$G$92,"Tanah",'Daftar Koreksi'!$H$5:$H$92,"&lt;0")</f>
        <v>0</v>
      </c>
      <c r="G30" s="17">
        <f t="shared" ref="G30:G46" si="1">D30+E30-F30</f>
        <v>1611770000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2339472015</v>
      </c>
      <c r="E31" s="25">
        <f>SUMIFS('Daftar Koreksi'!$H$5:$H$92,'Daftar Koreksi'!$D$5:$D$92,'2300'!A26,'Daftar Koreksi'!$G$5:$G$92,"Peralatan dan mesin",'Daftar Koreksi'!$H$5:$H$92,"&gt;0")</f>
        <v>0</v>
      </c>
      <c r="F31" s="25">
        <f>SUMIFS('Daftar Koreksi'!$H$5:$H$92,'Daftar Koreksi'!$D$5:$D$92,'2300'!A26,'Daftar Koreksi'!$G$5:$G$92,"Peralatan dan mesin",'Daftar Koreksi'!$H$5:$H$92,"&lt;0")-SUMIFS('Daftar Koreksi'!$H$5:$H$92,'Daftar Koreksi'!$D$5:$D$92,'2300'!A26,'Daftar Koreksi'!$G$5:$G$92,"Peralatan dan mesin",'Daftar Koreksi'!$H$5:$H$92,"&lt;0")-SUMIFS('Daftar Koreksi'!$H$5:$H$92,'Daftar Koreksi'!$D$5:$D$92,'2300'!A26,'Daftar Koreksi'!$G$5:$G$92,"Peralatan dan mesin",'Daftar Koreksi'!$H$5:$H$92,"&lt;0")</f>
        <v>0</v>
      </c>
      <c r="G31" s="17">
        <f t="shared" si="1"/>
        <v>2339472015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8330386819</v>
      </c>
      <c r="E32" s="25">
        <f>SUMIFS('Daftar Koreksi'!$H$5:$H$92,'Daftar Koreksi'!$D$5:$D$92,'2300'!A26,'Daftar Koreksi'!$G$5:$G$92,"Gedung dan Bangunan",'Daftar Koreksi'!$H$5:$H$92,"&gt;0")</f>
        <v>0</v>
      </c>
      <c r="F32" s="25">
        <f>SUMIFS('Daftar Koreksi'!$H$5:$H$92,'Daftar Koreksi'!$D$5:$D$92,'2300'!A26,'Daftar Koreksi'!$G$5:$G$92,"Gedung dan Bangunan",'Daftar Koreksi'!$H$5:$H$92,"&lt;0")-SUMIFS('Daftar Koreksi'!$H$5:$H$92,'Daftar Koreksi'!$D$5:$D$92,'2300'!A26,'Daftar Koreksi'!$G$5:$G$92,"Gedung dan Bangunan",'Daftar Koreksi'!$H$5:$H$92,"&lt;0")-SUMIFS('Daftar Koreksi'!$H$5:$H$92,'Daftar Koreksi'!$D$5:$D$92,'2300'!A26,'Daftar Koreksi'!$G$5:$G$92,"Gedung dan Bangunan",'Daftar Koreksi'!$H$5:$H$92,"&lt;0")</f>
        <v>0</v>
      </c>
      <c r="G32" s="17">
        <f t="shared" si="1"/>
        <v>8330386819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96301000</v>
      </c>
      <c r="E33" s="25">
        <f>SUMIFS('Daftar Koreksi'!$H$5:$H$92,'Daftar Koreksi'!$D$5:$D$92,'2300'!A26,'Daftar Koreksi'!$G$5:$G$92,"Jalan Irigasi Jaringan",'Daftar Koreksi'!$H$5:$H$92,"&gt;0")</f>
        <v>0</v>
      </c>
      <c r="F33" s="25">
        <f>SUMIFS('Daftar Koreksi'!$H$5:$H$92,'Daftar Koreksi'!$D$5:$D$92,'2300'!A26,'Daftar Koreksi'!$G$5:$G$92,"Jalan Irigasi Jaringan",'Daftar Koreksi'!$H$5:$H$92,"&lt;0")-SUMIFS('Daftar Koreksi'!$H$5:$H$92,'Daftar Koreksi'!$D$5:$D$92,'2300'!A26,'Daftar Koreksi'!$G$5:$G$92,"Jalan Irigasi Jaringan",'Daftar Koreksi'!$H$5:$H$92,"&lt;0")-SUMIFS('Daftar Koreksi'!$H$5:$H$92,'Daftar Koreksi'!$D$5:$D$92,'2300'!A26,'Daftar Koreksi'!$G$5:$G$92,"Jalan Irigasi Jaringan",'Daftar Koreksi'!$H$5:$H$92,"&lt;0")</f>
        <v>0</v>
      </c>
      <c r="G33" s="17">
        <f t="shared" si="1"/>
        <v>96301000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75283854</v>
      </c>
      <c r="E34" s="25">
        <f>SUMIFS('Daftar Koreksi'!$H$5:$H$92,'Daftar Koreksi'!$D$5:$D$92,'2300'!A26,'Daftar Koreksi'!$G$5:$G$92,"Aset Tetap Lainnya",'Daftar Koreksi'!$H$5:$H$92,"&gt;0")</f>
        <v>0</v>
      </c>
      <c r="F34" s="25">
        <f>SUMIFS('Daftar Koreksi'!$H$5:$H$92,'Daftar Koreksi'!$D$5:$D$92,'2300'!A26,'Daftar Koreksi'!$G$5:$G$92,"Aset Tetap Lainnya",'Daftar Koreksi'!$H$5:$H$92,"&lt;0")-SUMIFS('Daftar Koreksi'!$H$5:$H$92,'Daftar Koreksi'!$D$5:$D$92,'2300'!A26,'Daftar Koreksi'!$G$5:$G$92,"Aset Tetap Lainnya",'Daftar Koreksi'!$H$5:$H$92,"&lt;0")-SUMIFS('Daftar Koreksi'!$H$5:$H$92,'Daftar Koreksi'!$D$5:$D$92,'2300'!A26,'Daftar Koreksi'!$G$5:$G$92,"Aset Tetap Lainnya",'Daftar Koreksi'!$H$5:$H$92,"&lt;0")</f>
        <v>0</v>
      </c>
      <c r="G34" s="17">
        <f t="shared" si="1"/>
        <v>75283854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Koreksi'!$D$5:$D$92,'2300'!A26,'Daftar Koreksi'!$G$5:$G$92,"Kontruksi Dalam Pengerjaan",'Daftar Koreksi'!$H$5:$H$92,"&gt;0")</f>
        <v>0</v>
      </c>
      <c r="F35" s="25">
        <f>SUMIFS('Daftar Koreksi'!$H$5:$H$92,'Daftar Koreksi'!$D$5:$D$92,'2300'!A26,'Daftar Koreksi'!$G$5:$G$92,"Kontruksi Dalam Pengerjaan",'Daftar Koreksi'!$H$5:$H$92,"&lt;0")-SUMIFS('Daftar Koreksi'!$H$5:$H$92,'Daftar Koreksi'!$D$5:$D$92,'2300'!A26,'Daftar Koreksi'!$G$5:$G$92,"Kontruksi Dalam Pengerjaan",'Daftar Koreksi'!$H$5:$H$92,"&lt;0")-SUMIFS('Daftar Koreksi'!$H$5:$H$92,'Daftar Koreksi'!$D$5:$D$92,'2300'!A26,'Daftar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Koreksi'!$D$5:$D$92,'2300'!A26,'Daftar Koreksi'!$G$5:$G$92,"Aset Tak Berwujud",'Daftar Koreksi'!$H$5:$H$92,"&gt;0")</f>
        <v>0</v>
      </c>
      <c r="F36" s="25">
        <f>SUMIFS('Daftar Koreksi'!$H$5:$H$92,'Daftar Koreksi'!$D$5:$D$92,'2300'!A26,'Daftar Koreksi'!$G$5:$G$92,"Aset Tak Berwujud",'Daftar Koreksi'!$H$5:$H$92,"&lt;0")-SUMIFS('Daftar Koreksi'!$H$5:$H$92,'Daftar Koreksi'!$D$5:$D$92,'2300'!A26,'Daftar Koreksi'!$G$5:$G$92,"Aset Tak Berwujud",'Daftar Koreksi'!$H$5:$H$92,"&lt;0")-SUMIFS('Daftar Koreksi'!$H$5:$H$92,'Daftar Koreksi'!$D$5:$D$92,'2300'!A26,'Daftar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297190732</v>
      </c>
      <c r="E37" s="25">
        <f>SUMIFS('Daftar Koreksi'!$H$5:$H$92,'Daftar Koreksi'!$D$5:$D$92,'2300'!A26,'Daftar Koreksi'!$G$5:$G$92,"Aset Henti Guna",'Daftar Koreksi'!$H$5:$H$92,"&gt;0")</f>
        <v>0</v>
      </c>
      <c r="F37" s="25">
        <f>SUMIFS('Daftar Koreksi'!$H$5:$H$92,'Daftar Koreksi'!$D$5:$D$92,'2300'!A26,'Daftar Koreksi'!$G$5:$G$92,"Aset Henti Guna",'Daftar Koreksi'!$H$5:$H$92,"&lt;0")-SUMIFS('Daftar Koreksi'!$H$5:$H$92,'Daftar Koreksi'!$D$5:$D$92,'2300'!A26,'Daftar Koreksi'!$G$5:$G$92,"Aset Henti Guna",'Daftar Koreksi'!$H$5:$H$92,"&lt;0")-SUMIFS('Daftar Koreksi'!$H$5:$H$92,'Daftar Koreksi'!$D$5:$D$92,'2300'!A26,'Daftar Koreksi'!$G$5:$G$92,"Aset Henti Guna",'Daftar Koreksi'!$H$5:$H$92,"&lt;0")</f>
        <v>0</v>
      </c>
      <c r="G37" s="17">
        <f t="shared" si="1"/>
        <v>297190732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12750976420</v>
      </c>
      <c r="E38" s="19">
        <f>SUM(E29:E37)</f>
        <v>0</v>
      </c>
      <c r="F38" s="19">
        <f>SUM(F29:F37)</f>
        <v>0</v>
      </c>
      <c r="G38" s="19">
        <f t="shared" si="1"/>
        <v>12750976420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-1457654758</v>
      </c>
      <c r="E39" s="25">
        <f>SUMIFS('Daftar Koreksi'!$I$5:$I$92,'Daftar Koreksi'!$D$5:$D$92,'2300'!A26,'Daftar Koreksi'!$G$5:$G$92,"Peralatan dan mesin",'Daftar Koreksi'!$I$5:$I$92,"&gt;0")</f>
        <v>0</v>
      </c>
      <c r="F39" s="25">
        <f>SUMIFS('Daftar Koreksi'!$I$5:$I$92,'Daftar Koreksi'!$D$5:$D$92,'2300'!A26,'Daftar Koreksi'!$G$5:$G$92,"Peralatan dan mesin",'Daftar Koreksi'!$I$5:$I$92,"&lt;0")-SUMIFS('Daftar Koreksi'!$I$5:$I$92,'Daftar Koreksi'!$D$5:$D$92,'2300'!A26,'Daftar Koreksi'!$G$5:$G$92,"Peralatan dan mesin",'Daftar Koreksi'!$I$5:$I$92,"&lt;0")-SUMIFS('Daftar Koreksi'!$I$5:$I$92,'Daftar Koreksi'!$D$5:$D$92,'2300'!A26,'Daftar Koreksi'!$G$5:$G$92,"Peralatan dan mesin",'Daftar Koreksi'!$I$5:$I$92,"&lt;0")</f>
        <v>0</v>
      </c>
      <c r="G39" s="17">
        <f t="shared" si="1"/>
        <v>-1457654758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-672039385</v>
      </c>
      <c r="E40" s="25">
        <f>SUMIFS('Daftar Koreksi'!$I$5:$I$92,'Daftar Koreksi'!$D$5:$D$92,'2300'!A26,'Daftar Koreksi'!$G$5:$G$92,"Gedung dan Bangunan",'Daftar Koreksi'!$I$5:$I$92,"&gt;0")</f>
        <v>0</v>
      </c>
      <c r="F40" s="25">
        <f>SUMIFS('Daftar Koreksi'!$I$5:$I$92,'Daftar Koreksi'!$D$5:$D$92,'2300'!A26,'Daftar Koreksi'!$G$5:$G$92,"Gedung dan Bangunan",'Daftar Koreksi'!$I$5:$I$92,"&lt;0")-SUMIFS('Daftar Koreksi'!$I$5:$I$92,'Daftar Koreksi'!$D$5:$D$92,'2300'!A26,'Daftar Koreksi'!$G$5:$G$92,"Gedung dan Bangunan",'Daftar Koreksi'!$I$5:$I$92,"&lt;0")-SUMIFS('Daftar Koreksi'!$I$5:$I$92,'Daftar Koreksi'!$D$5:$D$92,'2300'!A26,'Daftar Koreksi'!$G$5:$G$92,"Gedung dan Bangunan",'Daftar Koreksi'!$I$5:$I$92,"&lt;0")</f>
        <v>0</v>
      </c>
      <c r="G40" s="17">
        <f t="shared" si="1"/>
        <v>-672039385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-2192600</v>
      </c>
      <c r="E41" s="25">
        <f>SUMIFS('Daftar Koreksi'!$I$5:$I$92,'Daftar Koreksi'!$D$5:$D$92,'2300'!A26,'Daftar Koreksi'!$G$5:$G$92,"Jalan Irigasi Jaringan",'Daftar Koreksi'!$I$5:$I$92,"&gt;0")</f>
        <v>0</v>
      </c>
      <c r="F41" s="25">
        <f>SUMIFS('Daftar Koreksi'!$I$5:$I$92,'Daftar Koreksi'!$D$5:$D$92,'2300'!A26,'Daftar Koreksi'!$G$5:$G$92,"Jalan Irigasi Jaringan",'Daftar Koreksi'!$I$5:$I$92,"&lt;0")-SUMIFS('Daftar Koreksi'!$I$5:$I$92,'Daftar Koreksi'!$D$5:$D$92,'2300'!A26,'Daftar Koreksi'!$G$5:$G$92,"Jalan Irigasi Jaringan",'Daftar Koreksi'!$I$5:$I$92,"&lt;0")-SUMIFS('Daftar Koreksi'!$I$5:$I$92,'Daftar Koreksi'!$D$5:$D$92,'2300'!A26,'Daftar Koreksi'!$G$5:$G$92,"Jalan Irigasi Jaringan",'Daftar Koreksi'!$I$5:$I$92,"&lt;0")</f>
        <v>0</v>
      </c>
      <c r="G41" s="17">
        <f t="shared" si="1"/>
        <v>-2192600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Koreksi'!$D$5:$D$92,'2300'!A26,'Daftar Koreksi'!$G$5:$G$92,"Aset Tetap Lainnya",'Daftar Koreksi'!$I$5:$I$92,"&gt;0")</f>
        <v>0</v>
      </c>
      <c r="F42" s="25">
        <f>SUMIFS('Daftar Koreksi'!$I$5:$I$92,'Daftar Koreksi'!$D$5:$D$92,'2300'!A26,'Daftar Koreksi'!$G$5:$G$92,"Aset Tetap Lainnya",'Daftar Koreksi'!$I$5:$I$92,"&lt;0")-SUMIFS('Daftar Koreksi'!$I$5:$I$92,'Daftar Koreksi'!$D$5:$D$92,'2300'!A26,'Daftar Koreksi'!$G$5:$G$92,"Aset Tetap Lainnya",'Daftar Koreksi'!$I$5:$I$92,"&lt;0")-SUMIFS('Daftar Koreksi'!$I$5:$I$92,'Daftar Koreksi'!$D$5:$D$92,'2300'!A26,'Daftar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-297190732</v>
      </c>
      <c r="E43" s="25">
        <f>SUMIFS('Daftar Koreksi'!$I$5:$I$92,'Daftar Koreksi'!$D$5:$D$92,'2300'!A26,'Daftar Koreksi'!$G$5:$G$92,"Aset Henti Guna",'Daftar Koreksi'!$I$5:$I$92,"&gt;0")</f>
        <v>0</v>
      </c>
      <c r="F43" s="25">
        <f>SUMIFS('Daftar Koreksi'!$I$5:$I$92,'Daftar Koreksi'!$D$5:$D$92,'2300'!A26,'Daftar Koreksi'!$G$5:$G$92,"Aset Henti Guna",'Daftar Koreksi'!$I$5:$I$92,"&lt;0")-SUMIFS('Daftar Koreksi'!$I$5:$I$92,'Daftar Koreksi'!$D$5:$D$92,'2300'!A26,'Daftar Koreksi'!$G$5:$G$92,"Aset Henti Guna",'Daftar Koreksi'!$I$5:$I$92,"&lt;0")-SUMIFS('Daftar Koreksi'!$I$5:$I$92,'Daftar Koreksi'!$D$5:$D$92,'2300'!A26,'Daftar Koreksi'!$G$5:$G$92,"Aset Henti Guna",'Daftar Koreksi'!$I$5:$I$92,"&lt;0")</f>
        <v>0</v>
      </c>
      <c r="G43" s="17">
        <f t="shared" si="1"/>
        <v>-297190732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-2429077475</v>
      </c>
      <c r="E44" s="19">
        <f>SUM(E39:E43)</f>
        <v>0</v>
      </c>
      <c r="F44" s="19">
        <f>SUM(F39:F43)</f>
        <v>0</v>
      </c>
      <c r="G44" s="19">
        <f t="shared" si="1"/>
        <v>-2429077475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10321898945</v>
      </c>
      <c r="E45" s="19">
        <f>E44+E38</f>
        <v>0</v>
      </c>
      <c r="F45" s="19">
        <f>F44+F38</f>
        <v>0</v>
      </c>
      <c r="G45" s="19">
        <f t="shared" si="1"/>
        <v>10321898945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005012300099883000KD</v>
      </c>
      <c r="B48" s="11" t="str">
        <f>P3</f>
        <v>PN. Sumbawa Besar</v>
      </c>
      <c r="C48" s="12" t="str">
        <f>A48&amp;" "&amp;B48</f>
        <v>005012300099883000KD PN. Sumbawa Besar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6018500</v>
      </c>
      <c r="E51" s="25">
        <f>SUMIFS('Daftar Koreksi'!$H$5:$H$92,'Daftar Koreksi'!$D$5:$D$92,'2300'!A48,'Daftar Koreksi'!$G$5:$G$92,"Persediaan",'Daftar Koreksi'!$H$5:$H$92,"&gt;0")</f>
        <v>0</v>
      </c>
      <c r="F51" s="25">
        <f>SUMIFS('Daftar Koreksi'!$H$5:$H$92,'Daftar Koreksi'!$D$5:$D$92,'2300'!A48,'Daftar Koreksi'!$G$5:$G$92,"Persediaan",'Daftar Koreksi'!$H$5:$H$92,"&lt;0")-SUMIFS('Daftar Koreksi'!$H$5:$H$92,'Daftar Koreksi'!$D$5:$D$92,'2300'!A48,'Daftar Koreksi'!$G$5:$G$92,"Persediaan",'Daftar Koreksi'!$H$5:$H$92,"&lt;0")-SUMIFS('Daftar Koreksi'!$H$5:$H$92,'Daftar Koreksi'!$D$5:$D$92,'2300'!A48,'Daftar Koreksi'!$G$5:$G$92,"Persediaan",'Daftar Koreksi'!$H$5:$H$92,"&lt;0")</f>
        <v>0</v>
      </c>
      <c r="G51" s="17">
        <f>D51+E51-F51</f>
        <v>6018500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5629832000</v>
      </c>
      <c r="E52" s="25">
        <f>SUMIFS('Daftar Koreksi'!$H$5:$H$92,'Daftar Koreksi'!$D$5:$D$92,'2300'!A48,'Daftar Koreksi'!$G$5:$G$92,"Tanah",'Daftar Koreksi'!$H$5:$H$92,"&gt;0")</f>
        <v>0</v>
      </c>
      <c r="F52" s="25">
        <f>SUMIFS('Daftar Koreksi'!$H$5:$H$92,'Daftar Koreksi'!$D$5:$D$92,'2300'!A48,'Daftar Koreksi'!$G$5:$G$92,"Tanah",'Daftar Koreksi'!$H$5:$H$92,"&lt;0")-SUMIFS('Daftar Koreksi'!$H$5:$H$92,'Daftar Koreksi'!$D$5:$D$92,'2300'!A48,'Daftar Koreksi'!$G$5:$G$92,"Tanah",'Daftar Koreksi'!$H$5:$H$92,"&lt;0")-SUMIFS('Daftar Koreksi'!$H$5:$H$92,'Daftar Koreksi'!$D$5:$D$92,'2300'!A48,'Daftar Koreksi'!$G$5:$G$92,"Tanah",'Daftar Koreksi'!$H$5:$H$92,"&lt;0")</f>
        <v>0</v>
      </c>
      <c r="G52" s="17">
        <f t="shared" ref="G52:G68" si="2">D52+E52-F52</f>
        <v>5629832000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2127353718</v>
      </c>
      <c r="E53" s="25">
        <f>SUMIFS('Daftar Koreksi'!$H$5:$H$92,'Daftar Koreksi'!$D$5:$D$92,'2300'!A48,'Daftar Koreksi'!$G$5:$G$92,"Peralatan dan mesin",'Daftar Koreksi'!$H$5:$H$92,"&gt;0")</f>
        <v>0</v>
      </c>
      <c r="F53" s="25">
        <f>SUMIFS('Daftar Koreksi'!$H$5:$H$92,'Daftar Koreksi'!$D$5:$D$92,'2300'!A48,'Daftar Koreksi'!$G$5:$G$92,"Peralatan dan mesin",'Daftar Koreksi'!$H$5:$H$92,"&lt;0")-SUMIFS('Daftar Koreksi'!$H$5:$H$92,'Daftar Koreksi'!$D$5:$D$92,'2300'!A48,'Daftar Koreksi'!$G$5:$G$92,"Peralatan dan mesin",'Daftar Koreksi'!$H$5:$H$92,"&lt;0")-SUMIFS('Daftar Koreksi'!$H$5:$H$92,'Daftar Koreksi'!$D$5:$D$92,'2300'!A48,'Daftar Koreksi'!$G$5:$G$92,"Peralatan dan mesin",'Daftar Koreksi'!$H$5:$H$92,"&lt;0")</f>
        <v>0</v>
      </c>
      <c r="G53" s="17">
        <f t="shared" si="2"/>
        <v>2127353718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10716311650</v>
      </c>
      <c r="E54" s="25">
        <f>SUMIFS('Daftar Koreksi'!$H$5:$H$92,'Daftar Koreksi'!$D$5:$D$92,'2300'!A48,'Daftar Koreksi'!$G$5:$G$92,"Gedung dan Bangunan",'Daftar Koreksi'!$H$5:$H$92,"&gt;0")</f>
        <v>0</v>
      </c>
      <c r="F54" s="25">
        <f>SUMIFS('Daftar Koreksi'!$H$5:$H$92,'Daftar Koreksi'!$D$5:$D$92,'2300'!A48,'Daftar Koreksi'!$G$5:$G$92,"Gedung dan Bangunan",'Daftar Koreksi'!$H$5:$H$92,"&lt;0")-SUMIFS('Daftar Koreksi'!$H$5:$H$92,'Daftar Koreksi'!$D$5:$D$92,'2300'!A48,'Daftar Koreksi'!$G$5:$G$92,"Gedung dan Bangunan",'Daftar Koreksi'!$H$5:$H$92,"&lt;0")-SUMIFS('Daftar Koreksi'!$H$5:$H$92,'Daftar Koreksi'!$D$5:$D$92,'2300'!A48,'Daftar Koreksi'!$G$5:$G$92,"Gedung dan Bangunan",'Daftar Koreksi'!$H$5:$H$92,"&lt;0")</f>
        <v>0</v>
      </c>
      <c r="G54" s="17">
        <f t="shared" si="2"/>
        <v>10716311650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Koreksi'!$D$5:$D$92,'2300'!A48,'Daftar Koreksi'!$G$5:$G$92,"Jalan Irigasi Jaringan",'Daftar Koreksi'!$H$5:$H$92,"&gt;0")</f>
        <v>0</v>
      </c>
      <c r="F55" s="25">
        <f>SUMIFS('Daftar Koreksi'!$H$5:$H$92,'Daftar Koreksi'!$D$5:$D$92,'2300'!A48,'Daftar Koreksi'!$G$5:$G$92,"Jalan Irigasi Jaringan",'Daftar Koreksi'!$H$5:$H$92,"&lt;0")-SUMIFS('Daftar Koreksi'!$H$5:$H$92,'Daftar Koreksi'!$D$5:$D$92,'2300'!A48,'Daftar Koreksi'!$G$5:$G$92,"Jalan Irigasi Jaringan",'Daftar Koreksi'!$H$5:$H$92,"&lt;0")-SUMIFS('Daftar Koreksi'!$H$5:$H$92,'Daftar Koreksi'!$D$5:$D$92,'2300'!A48,'Daftar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9954692</v>
      </c>
      <c r="E56" s="25">
        <f>SUMIFS('Daftar Koreksi'!$H$5:$H$92,'Daftar Koreksi'!$D$5:$D$92,'2300'!A48,'Daftar Koreksi'!$G$5:$G$92,"Aset Tetap Lainnya",'Daftar Koreksi'!$H$5:$H$92,"&gt;0")</f>
        <v>0</v>
      </c>
      <c r="F56" s="25">
        <f>SUMIFS('Daftar Koreksi'!$H$5:$H$92,'Daftar Koreksi'!$D$5:$D$92,'2300'!A48,'Daftar Koreksi'!$G$5:$G$92,"Aset Tetap Lainnya",'Daftar Koreksi'!$H$5:$H$92,"&lt;0")-SUMIFS('Daftar Koreksi'!$H$5:$H$92,'Daftar Koreksi'!$D$5:$D$92,'2300'!A48,'Daftar Koreksi'!$G$5:$G$92,"Aset Tetap Lainnya",'Daftar Koreksi'!$H$5:$H$92,"&lt;0")-SUMIFS('Daftar Koreksi'!$H$5:$H$92,'Daftar Koreksi'!$D$5:$D$92,'2300'!A48,'Daftar Koreksi'!$G$5:$G$92,"Aset Tetap Lainnya",'Daftar Koreksi'!$H$5:$H$92,"&lt;0")</f>
        <v>0</v>
      </c>
      <c r="G56" s="17">
        <f t="shared" si="2"/>
        <v>9954692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Koreksi'!$D$5:$D$92,'2300'!A48,'Daftar Koreksi'!$G$5:$G$92,"Kontruksi Dalam Pengerjaan",'Daftar Koreksi'!$H$5:$H$92,"&gt;0")</f>
        <v>0</v>
      </c>
      <c r="F57" s="25">
        <f>SUMIFS('Daftar Koreksi'!$H$5:$H$92,'Daftar Koreksi'!$D$5:$D$92,'2300'!A48,'Daftar Koreksi'!$G$5:$G$92,"Kontruksi Dalam Pengerjaan",'Daftar Koreksi'!$H$5:$H$92,"&lt;0")-SUMIFS('Daftar Koreksi'!$H$5:$H$92,'Daftar Koreksi'!$D$5:$D$92,'2300'!A48,'Daftar Koreksi'!$G$5:$G$92,"Kontruksi Dalam Pengerjaan",'Daftar Koreksi'!$H$5:$H$92,"&lt;0")-SUMIFS('Daftar Koreksi'!$H$5:$H$92,'Daftar Koreksi'!$D$5:$D$92,'2300'!A48,'Daftar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Koreksi'!$D$5:$D$92,'2300'!A48,'Daftar Koreksi'!$G$5:$G$92,"Aset Tak Berwujud",'Daftar Koreksi'!$H$5:$H$92,"&gt;0")</f>
        <v>0</v>
      </c>
      <c r="F58" s="25">
        <f>SUMIFS('Daftar Koreksi'!$H$5:$H$92,'Daftar Koreksi'!$D$5:$D$92,'2300'!A48,'Daftar Koreksi'!$G$5:$G$92,"Aset Tak Berwujud",'Daftar Koreksi'!$H$5:$H$92,"&lt;0")-SUMIFS('Daftar Koreksi'!$H$5:$H$92,'Daftar Koreksi'!$D$5:$D$92,'2300'!A48,'Daftar Koreksi'!$G$5:$G$92,"Aset Tak Berwujud",'Daftar Koreksi'!$H$5:$H$92,"&lt;0")-SUMIFS('Daftar Koreksi'!$H$5:$H$92,'Daftar Koreksi'!$D$5:$D$92,'2300'!A48,'Daftar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121669750</v>
      </c>
      <c r="E59" s="25">
        <f>SUMIFS('Daftar Koreksi'!$H$5:$H$92,'Daftar Koreksi'!$D$5:$D$92,'2300'!A48,'Daftar Koreksi'!$G$5:$G$92,"Aset Henti Guna",'Daftar Koreksi'!$H$5:$H$92,"&gt;0")</f>
        <v>0</v>
      </c>
      <c r="F59" s="25">
        <f>SUMIFS('Daftar Koreksi'!$H$5:$H$92,'Daftar Koreksi'!$D$5:$D$92,'2300'!A48,'Daftar Koreksi'!$G$5:$G$92,"Aset Henti Guna",'Daftar Koreksi'!$H$5:$H$92,"&lt;0")-SUMIFS('Daftar Koreksi'!$H$5:$H$92,'Daftar Koreksi'!$D$5:$D$92,'2300'!A48,'Daftar Koreksi'!$G$5:$G$92,"Aset Henti Guna",'Daftar Koreksi'!$H$5:$H$92,"&lt;0")-SUMIFS('Daftar Koreksi'!$H$5:$H$92,'Daftar Koreksi'!$D$5:$D$92,'2300'!A48,'Daftar Koreksi'!$G$5:$G$92,"Aset Henti Guna",'Daftar Koreksi'!$H$5:$H$92,"&lt;0")</f>
        <v>0</v>
      </c>
      <c r="G59" s="17">
        <f t="shared" si="2"/>
        <v>121669750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18611140310</v>
      </c>
      <c r="E60" s="19">
        <f>SUM(E51:E59)</f>
        <v>0</v>
      </c>
      <c r="F60" s="19">
        <f>SUM(F51:F59)</f>
        <v>0</v>
      </c>
      <c r="G60" s="19">
        <f t="shared" si="2"/>
        <v>18611140310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-1405088667</v>
      </c>
      <c r="E61" s="25">
        <f>SUMIFS('Daftar Koreksi'!$I$5:$I$92,'Daftar Koreksi'!$D$5:$D$92,'2300'!A48,'Daftar Koreksi'!$G$5:$G$92,"Peralatan dan mesin",'Daftar Koreksi'!$I$5:$I$92,"&gt;0")</f>
        <v>0</v>
      </c>
      <c r="F61" s="25">
        <f>SUMIFS('Daftar Koreksi'!$I$5:$I$92,'Daftar Koreksi'!$D$5:$D$92,'2300'!A48,'Daftar Koreksi'!$G$5:$G$92,"Peralatan dan mesin",'Daftar Koreksi'!$I$5:$I$92,"&lt;0")-SUMIFS('Daftar Koreksi'!$I$5:$I$92,'Daftar Koreksi'!$D$5:$D$92,'2300'!A48,'Daftar Koreksi'!$G$5:$G$92,"Peralatan dan mesin",'Daftar Koreksi'!$I$5:$I$92,"&lt;0")-SUMIFS('Daftar Koreksi'!$I$5:$I$92,'Daftar Koreksi'!$D$5:$D$92,'2300'!A48,'Daftar Koreksi'!$G$5:$G$92,"Peralatan dan mesin",'Daftar Koreksi'!$I$5:$I$92,"&lt;0")</f>
        <v>0</v>
      </c>
      <c r="G61" s="17">
        <f t="shared" si="2"/>
        <v>-1405088667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-1594240223</v>
      </c>
      <c r="E62" s="25">
        <f>SUMIFS('Daftar Koreksi'!$I$5:$I$92,'Daftar Koreksi'!$D$5:$D$92,'2300'!A48,'Daftar Koreksi'!$G$5:$G$92,"Gedung dan Bangunan",'Daftar Koreksi'!$I$5:$I$92,"&gt;0")</f>
        <v>0</v>
      </c>
      <c r="F62" s="25">
        <f>SUMIFS('Daftar Koreksi'!$I$5:$I$92,'Daftar Koreksi'!$D$5:$D$92,'2300'!A48,'Daftar Koreksi'!$G$5:$G$92,"Gedung dan Bangunan",'Daftar Koreksi'!$I$5:$I$92,"&lt;0")-SUMIFS('Daftar Koreksi'!$I$5:$I$92,'Daftar Koreksi'!$D$5:$D$92,'2300'!A48,'Daftar Koreksi'!$G$5:$G$92,"Gedung dan Bangunan",'Daftar Koreksi'!$I$5:$I$92,"&lt;0")-SUMIFS('Daftar Koreksi'!$I$5:$I$92,'Daftar Koreksi'!$D$5:$D$92,'2300'!A48,'Daftar Koreksi'!$G$5:$G$92,"Gedung dan Bangunan",'Daftar Koreksi'!$I$5:$I$92,"&lt;0")</f>
        <v>0</v>
      </c>
      <c r="G62" s="17">
        <f t="shared" si="2"/>
        <v>-1594240223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Koreksi'!$D$5:$D$92,'2300'!A48,'Daftar Koreksi'!$G$5:$G$92,"Jalan Irigasi Jaringan",'Daftar Koreksi'!$I$5:$I$92,"&gt;0")</f>
        <v>0</v>
      </c>
      <c r="F63" s="25">
        <f>SUMIFS('Daftar Koreksi'!$I$5:$I$92,'Daftar Koreksi'!$D$5:$D$92,'2300'!A48,'Daftar Koreksi'!$G$5:$G$92,"Jalan Irigasi Jaringan",'Daftar Koreksi'!$I$5:$I$92,"&lt;0")-SUMIFS('Daftar Koreksi'!$I$5:$I$92,'Daftar Koreksi'!$D$5:$D$92,'2300'!A48,'Daftar Koreksi'!$G$5:$G$92,"Jalan Irigasi Jaringan",'Daftar Koreksi'!$I$5:$I$92,"&lt;0")-SUMIFS('Daftar Koreksi'!$I$5:$I$92,'Daftar Koreksi'!$D$5:$D$92,'2300'!A48,'Daftar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Koreksi'!$D$5:$D$92,'2300'!A48,'Daftar Koreksi'!$G$5:$G$92,"Aset Tetap Lainnya",'Daftar Koreksi'!$I$5:$I$92,"&gt;0")</f>
        <v>0</v>
      </c>
      <c r="F64" s="25">
        <f>SUMIFS('Daftar Koreksi'!$I$5:$I$92,'Daftar Koreksi'!$D$5:$D$92,'2300'!A48,'Daftar Koreksi'!$G$5:$G$92,"Aset Tetap Lainnya",'Daftar Koreksi'!$I$5:$I$92,"&lt;0")-SUMIFS('Daftar Koreksi'!$I$5:$I$92,'Daftar Koreksi'!$D$5:$D$92,'2300'!A48,'Daftar Koreksi'!$G$5:$G$92,"Aset Tetap Lainnya",'Daftar Koreksi'!$I$5:$I$92,"&lt;0")-SUMIFS('Daftar Koreksi'!$I$5:$I$92,'Daftar Koreksi'!$D$5:$D$92,'2300'!A48,'Daftar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-121669750</v>
      </c>
      <c r="E65" s="25">
        <f>SUMIFS('Daftar Koreksi'!$I$5:$I$92,'Daftar Koreksi'!$D$5:$D$92,'2300'!A48,'Daftar Koreksi'!$G$5:$G$92,"Aset Henti Guna",'Daftar Koreksi'!$I$5:$I$92,"&gt;0")</f>
        <v>0</v>
      </c>
      <c r="F65" s="25">
        <f>SUMIFS('Daftar Koreksi'!$I$5:$I$92,'Daftar Koreksi'!$D$5:$D$92,'2300'!A48,'Daftar Koreksi'!$G$5:$G$92,"Aset Henti Guna",'Daftar Koreksi'!$I$5:$I$92,"&lt;0")-SUMIFS('Daftar Koreksi'!$I$5:$I$92,'Daftar Koreksi'!$D$5:$D$92,'2300'!A48,'Daftar Koreksi'!$G$5:$G$92,"Aset Henti Guna",'Daftar Koreksi'!$I$5:$I$92,"&lt;0")-SUMIFS('Daftar Koreksi'!$I$5:$I$92,'Daftar Koreksi'!$D$5:$D$92,'2300'!A48,'Daftar Koreksi'!$G$5:$G$92,"Aset Henti Guna",'Daftar Koreksi'!$I$5:$I$92,"&lt;0")</f>
        <v>0</v>
      </c>
      <c r="G65" s="17">
        <f t="shared" si="2"/>
        <v>-121669750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-3120998640</v>
      </c>
      <c r="E66" s="19">
        <f>SUM(E61:E65)</f>
        <v>0</v>
      </c>
      <c r="F66" s="19">
        <f>SUM(F61:F65)</f>
        <v>0</v>
      </c>
      <c r="G66" s="19">
        <f t="shared" si="2"/>
        <v>-3120998640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15490141670</v>
      </c>
      <c r="E67" s="19">
        <f>E66+E60</f>
        <v>0</v>
      </c>
      <c r="F67" s="19">
        <f>F66+F60</f>
        <v>0</v>
      </c>
      <c r="G67" s="19">
        <f t="shared" si="2"/>
        <v>15490141670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005012300099890000KD</v>
      </c>
      <c r="B70" s="11" t="str">
        <f>P4</f>
        <v>PN. Selong</v>
      </c>
      <c r="C70" s="12" t="str">
        <f>A70&amp;" "&amp;B70</f>
        <v>005012300099890000KD PN. Selong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3796500</v>
      </c>
      <c r="E73" s="25">
        <f>SUMIFS('Daftar Koreksi'!$H$5:$H$92,'Daftar Koreksi'!$D$5:$D$92,'2300'!A70,'Daftar Koreksi'!$G$5:$G$92,"Persediaan",'Daftar Koreksi'!$H$5:$H$92,"&gt;0")</f>
        <v>0</v>
      </c>
      <c r="F73" s="25">
        <f>SUMIFS('Daftar Koreksi'!$H$5:$H$92,'Daftar Koreksi'!$D$5:$D$92,'2300'!A70,'Daftar Koreksi'!$G$5:$G$92,"Persediaan",'Daftar Koreksi'!$H$5:$H$92,"&lt;0")-SUMIFS('Daftar Koreksi'!$H$5:$H$92,'Daftar Koreksi'!$D$5:$D$92,'2300'!A70,'Daftar Koreksi'!$G$5:$G$92,"Persediaan",'Daftar Koreksi'!$H$5:$H$92,"&lt;0")-SUMIFS('Daftar Koreksi'!$H$5:$H$92,'Daftar Koreksi'!$D$5:$D$92,'2300'!A70,'Daftar Koreksi'!$G$5:$G$92,"Persediaan",'Daftar Koreksi'!$H$5:$H$92,"&lt;0")</f>
        <v>0</v>
      </c>
      <c r="G73" s="17">
        <f>D73+E73-F73</f>
        <v>3796500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4395180000</v>
      </c>
      <c r="E74" s="25">
        <f>SUMIFS('Daftar Koreksi'!$H$5:$H$92,'Daftar Koreksi'!$D$5:$D$92,'2300'!A70,'Daftar Koreksi'!$G$5:$G$92,"Tanah",'Daftar Koreksi'!$H$5:$H$92,"&gt;0")</f>
        <v>0</v>
      </c>
      <c r="F74" s="25">
        <f>SUMIFS('Daftar Koreksi'!$H$5:$H$92,'Daftar Koreksi'!$D$5:$D$92,'2300'!A70,'Daftar Koreksi'!$G$5:$G$92,"Tanah",'Daftar Koreksi'!$H$5:$H$92,"&lt;0")-SUMIFS('Daftar Koreksi'!$H$5:$H$92,'Daftar Koreksi'!$D$5:$D$92,'2300'!A70,'Daftar Koreksi'!$G$5:$G$92,"Tanah",'Daftar Koreksi'!$H$5:$H$92,"&lt;0")-SUMIFS('Daftar Koreksi'!$H$5:$H$92,'Daftar Koreksi'!$D$5:$D$92,'2300'!A70,'Daftar Koreksi'!$G$5:$G$92,"Tanah",'Daftar Koreksi'!$H$5:$H$92,"&lt;0")</f>
        <v>0</v>
      </c>
      <c r="G74" s="17">
        <f t="shared" ref="G74:G90" si="3">D74+E74-F74</f>
        <v>4395180000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3077655817</v>
      </c>
      <c r="E75" s="25">
        <f>SUMIFS('Daftar Koreksi'!$H$5:$H$92,'Daftar Koreksi'!$D$5:$D$92,'2300'!A70,'Daftar Koreksi'!$G$5:$G$92,"Peralatan dan mesin",'Daftar Koreksi'!$H$5:$H$92,"&gt;0")</f>
        <v>0</v>
      </c>
      <c r="F75" s="25">
        <f>SUMIFS('Daftar Koreksi'!$H$5:$H$92,'Daftar Koreksi'!$D$5:$D$92,'2300'!A70,'Daftar Koreksi'!$G$5:$G$92,"Peralatan dan mesin",'Daftar Koreksi'!$H$5:$H$92,"&lt;0")-SUMIFS('Daftar Koreksi'!$H$5:$H$92,'Daftar Koreksi'!$D$5:$D$92,'2300'!A70,'Daftar Koreksi'!$G$5:$G$92,"Peralatan dan mesin",'Daftar Koreksi'!$H$5:$H$92,"&lt;0")-SUMIFS('Daftar Koreksi'!$H$5:$H$92,'Daftar Koreksi'!$D$5:$D$92,'2300'!A70,'Daftar Koreksi'!$G$5:$G$92,"Peralatan dan mesin",'Daftar Koreksi'!$H$5:$H$92,"&lt;0")</f>
        <v>0</v>
      </c>
      <c r="G75" s="17">
        <f t="shared" si="3"/>
        <v>3077655817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5621268653</v>
      </c>
      <c r="E76" s="25">
        <f>SUMIFS('Daftar Koreksi'!$H$5:$H$92,'Daftar Koreksi'!$D$5:$D$92,'2300'!A70,'Daftar Koreksi'!$G$5:$G$92,"Gedung dan Bangunan",'Daftar Koreksi'!$H$5:$H$92,"&gt;0")</f>
        <v>0</v>
      </c>
      <c r="F76" s="25">
        <f>SUMIFS('Daftar Koreksi'!$H$5:$H$92,'Daftar Koreksi'!$D$5:$D$92,'2300'!A70,'Daftar Koreksi'!$G$5:$G$92,"Gedung dan Bangunan",'Daftar Koreksi'!$H$5:$H$92,"&lt;0")-SUMIFS('Daftar Koreksi'!$H$5:$H$92,'Daftar Koreksi'!$D$5:$D$92,'2300'!A70,'Daftar Koreksi'!$G$5:$G$92,"Gedung dan Bangunan",'Daftar Koreksi'!$H$5:$H$92,"&lt;0")-SUMIFS('Daftar Koreksi'!$H$5:$H$92,'Daftar Koreksi'!$D$5:$D$92,'2300'!A70,'Daftar Koreksi'!$G$5:$G$92,"Gedung dan Bangunan",'Daftar Koreksi'!$H$5:$H$92,"&lt;0")</f>
        <v>0</v>
      </c>
      <c r="G76" s="17">
        <f t="shared" si="3"/>
        <v>5621268653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14955000</v>
      </c>
      <c r="E77" s="25">
        <f>SUMIFS('Daftar Koreksi'!$H$5:$H$92,'Daftar Koreksi'!$D$5:$D$92,'2300'!A70,'Daftar Koreksi'!$G$5:$G$92,"Jalan Irigasi Jaringan",'Daftar Koreksi'!$H$5:$H$92,"&gt;0")</f>
        <v>0</v>
      </c>
      <c r="F77" s="25">
        <f>SUMIFS('Daftar Koreksi'!$H$5:$H$92,'Daftar Koreksi'!$D$5:$D$92,'2300'!A70,'Daftar Koreksi'!$G$5:$G$92,"Jalan Irigasi Jaringan",'Daftar Koreksi'!$H$5:$H$92,"&lt;0")-SUMIFS('Daftar Koreksi'!$H$5:$H$92,'Daftar Koreksi'!$D$5:$D$92,'2300'!A70,'Daftar Koreksi'!$G$5:$G$92,"Jalan Irigasi Jaringan",'Daftar Koreksi'!$H$5:$H$92,"&lt;0")-SUMIFS('Daftar Koreksi'!$H$5:$H$92,'Daftar Koreksi'!$D$5:$D$92,'2300'!A70,'Daftar Koreksi'!$G$5:$G$92,"Jalan Irigasi Jaringan",'Daftar Koreksi'!$H$5:$H$92,"&lt;0")</f>
        <v>0</v>
      </c>
      <c r="G77" s="17">
        <f t="shared" si="3"/>
        <v>14955000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2608840</v>
      </c>
      <c r="E78" s="25">
        <f>SUMIFS('Daftar Koreksi'!$H$5:$H$92,'Daftar Koreksi'!$D$5:$D$92,'2300'!A70,'Daftar Koreksi'!$G$5:$G$92,"Aset Tetap Lainnya",'Daftar Koreksi'!$H$5:$H$92,"&gt;0")</f>
        <v>0</v>
      </c>
      <c r="F78" s="25">
        <f>SUMIFS('Daftar Koreksi'!$H$5:$H$92,'Daftar Koreksi'!$D$5:$D$92,'2300'!A70,'Daftar Koreksi'!$G$5:$G$92,"Aset Tetap Lainnya",'Daftar Koreksi'!$H$5:$H$92,"&lt;0")-SUMIFS('Daftar Koreksi'!$H$5:$H$92,'Daftar Koreksi'!$D$5:$D$92,'2300'!A70,'Daftar Koreksi'!$G$5:$G$92,"Aset Tetap Lainnya",'Daftar Koreksi'!$H$5:$H$92,"&lt;0")-SUMIFS('Daftar Koreksi'!$H$5:$H$92,'Daftar Koreksi'!$D$5:$D$92,'2300'!A70,'Daftar Koreksi'!$G$5:$G$92,"Aset Tetap Lainnya",'Daftar Koreksi'!$H$5:$H$92,"&lt;0")</f>
        <v>0</v>
      </c>
      <c r="G78" s="17">
        <f t="shared" si="3"/>
        <v>2608840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Koreksi'!$D$5:$D$92,'2300'!A70,'Daftar Koreksi'!$G$5:$G$92,"Kontruksi Dalam Pengerjaan",'Daftar Koreksi'!$H$5:$H$92,"&gt;0")</f>
        <v>0</v>
      </c>
      <c r="F79" s="25">
        <f>SUMIFS('Daftar Koreksi'!$H$5:$H$92,'Daftar Koreksi'!$D$5:$D$92,'2300'!A70,'Daftar Koreksi'!$G$5:$G$92,"Kontruksi Dalam Pengerjaan",'Daftar Koreksi'!$H$5:$H$92,"&lt;0")-SUMIFS('Daftar Koreksi'!$H$5:$H$92,'Daftar Koreksi'!$D$5:$D$92,'2300'!A70,'Daftar Koreksi'!$G$5:$G$92,"Kontruksi Dalam Pengerjaan",'Daftar Koreksi'!$H$5:$H$92,"&lt;0")-SUMIFS('Daftar Koreksi'!$H$5:$H$92,'Daftar Koreksi'!$D$5:$D$92,'2300'!A70,'Daftar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Koreksi'!$D$5:$D$92,'2300'!A70,'Daftar Koreksi'!$G$5:$G$92,"Aset Tak Berwujud",'Daftar Koreksi'!$H$5:$H$92,"&gt;0")</f>
        <v>0</v>
      </c>
      <c r="F80" s="25">
        <f>SUMIFS('Daftar Koreksi'!$H$5:$H$92,'Daftar Koreksi'!$D$5:$D$92,'2300'!A70,'Daftar Koreksi'!$G$5:$G$92,"Aset Tak Berwujud",'Daftar Koreksi'!$H$5:$H$92,"&lt;0")-SUMIFS('Daftar Koreksi'!$H$5:$H$92,'Daftar Koreksi'!$D$5:$D$92,'2300'!A70,'Daftar Koreksi'!$G$5:$G$92,"Aset Tak Berwujud",'Daftar Koreksi'!$H$5:$H$92,"&lt;0")-SUMIFS('Daftar Koreksi'!$H$5:$H$92,'Daftar Koreksi'!$D$5:$D$92,'2300'!A70,'Daftar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14075900</v>
      </c>
      <c r="E81" s="25">
        <f>SUMIFS('Daftar Koreksi'!$H$5:$H$92,'Daftar Koreksi'!$D$5:$D$92,'2300'!A70,'Daftar Koreksi'!$G$5:$G$92,"Aset Henti Guna",'Daftar Koreksi'!$H$5:$H$92,"&gt;0")</f>
        <v>0</v>
      </c>
      <c r="F81" s="25">
        <f>SUMIFS('Daftar Koreksi'!$H$5:$H$92,'Daftar Koreksi'!$D$5:$D$92,'2300'!A70,'Daftar Koreksi'!$G$5:$G$92,"Aset Henti Guna",'Daftar Koreksi'!$H$5:$H$92,"&lt;0")-SUMIFS('Daftar Koreksi'!$H$5:$H$92,'Daftar Koreksi'!$D$5:$D$92,'2300'!A70,'Daftar Koreksi'!$G$5:$G$92,"Aset Henti Guna",'Daftar Koreksi'!$H$5:$H$92,"&lt;0")-SUMIFS('Daftar Koreksi'!$H$5:$H$92,'Daftar Koreksi'!$D$5:$D$92,'2300'!A70,'Daftar Koreksi'!$G$5:$G$92,"Aset Henti Guna",'Daftar Koreksi'!$H$5:$H$92,"&lt;0")</f>
        <v>0</v>
      </c>
      <c r="G81" s="17">
        <f t="shared" si="3"/>
        <v>14075900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13129540710</v>
      </c>
      <c r="E82" s="19">
        <f>SUM(E73:E81)</f>
        <v>0</v>
      </c>
      <c r="F82" s="19">
        <f>SUM(F73:F81)</f>
        <v>0</v>
      </c>
      <c r="G82" s="19">
        <f t="shared" si="3"/>
        <v>13129540710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-2675485810</v>
      </c>
      <c r="E83" s="25">
        <f>SUMIFS('Daftar Koreksi'!$I$5:$I$92,'Daftar Koreksi'!$D$5:$D$92,'2300'!A70,'Daftar Koreksi'!$G$5:$G$92,"Peralatan dan mesin",'Daftar Koreksi'!$I$5:$I$92,"&gt;0")</f>
        <v>0</v>
      </c>
      <c r="F83" s="25">
        <f>SUMIFS('Daftar Koreksi'!$I$5:$I$92,'Daftar Koreksi'!$D$5:$D$92,'2300'!A70,'Daftar Koreksi'!$G$5:$G$92,"Peralatan dan mesin",'Daftar Koreksi'!$I$5:$I$92,"&lt;0")-SUMIFS('Daftar Koreksi'!$I$5:$I$92,'Daftar Koreksi'!$D$5:$D$92,'2300'!A70,'Daftar Koreksi'!$G$5:$G$92,"Peralatan dan mesin",'Daftar Koreksi'!$I$5:$I$92,"&lt;0")-SUMIFS('Daftar Koreksi'!$I$5:$I$92,'Daftar Koreksi'!$D$5:$D$92,'2300'!A70,'Daftar Koreksi'!$G$5:$G$92,"Peralatan dan mesin",'Daftar Koreksi'!$I$5:$I$92,"&lt;0")</f>
        <v>0</v>
      </c>
      <c r="G83" s="17">
        <f t="shared" si="3"/>
        <v>-2675485810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-1826954561</v>
      </c>
      <c r="E84" s="25">
        <f>SUMIFS('Daftar Koreksi'!$I$5:$I$92,'Daftar Koreksi'!$D$5:$D$92,'2300'!A70,'Daftar Koreksi'!$G$5:$G$92,"Gedung dan Bangunan",'Daftar Koreksi'!$I$5:$I$92,"&gt;0")</f>
        <v>0</v>
      </c>
      <c r="F84" s="25">
        <f>SUMIFS('Daftar Koreksi'!$I$5:$I$92,'Daftar Koreksi'!$D$5:$D$92,'2300'!A70,'Daftar Koreksi'!$G$5:$G$92,"Gedung dan Bangunan",'Daftar Koreksi'!$I$5:$I$92,"&lt;0")-SUMIFS('Daftar Koreksi'!$I$5:$I$92,'Daftar Koreksi'!$D$5:$D$92,'2300'!A70,'Daftar Koreksi'!$G$5:$G$92,"Gedung dan Bangunan",'Daftar Koreksi'!$I$5:$I$92,"&lt;0")-SUMIFS('Daftar Koreksi'!$I$5:$I$92,'Daftar Koreksi'!$D$5:$D$92,'2300'!A70,'Daftar Koreksi'!$G$5:$G$92,"Gedung dan Bangunan",'Daftar Koreksi'!$I$5:$I$92,"&lt;0")</f>
        <v>0</v>
      </c>
      <c r="G84" s="17">
        <f t="shared" si="3"/>
        <v>-1826954561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-1121625</v>
      </c>
      <c r="E85" s="25">
        <f>SUMIFS('Daftar Koreksi'!$I$5:$I$92,'Daftar Koreksi'!$D$5:$D$92,'2300'!A70,'Daftar Koreksi'!$G$5:$G$92,"Jalan Irigasi Jaringan",'Daftar Koreksi'!$I$5:$I$92,"&gt;0")</f>
        <v>0</v>
      </c>
      <c r="F85" s="25">
        <f>SUMIFS('Daftar Koreksi'!$I$5:$I$92,'Daftar Koreksi'!$D$5:$D$92,'2300'!A70,'Daftar Koreksi'!$G$5:$G$92,"Jalan Irigasi Jaringan",'Daftar Koreksi'!$I$5:$I$92,"&lt;0")-SUMIFS('Daftar Koreksi'!$I$5:$I$92,'Daftar Koreksi'!$D$5:$D$92,'2300'!A70,'Daftar Koreksi'!$G$5:$G$92,"Jalan Irigasi Jaringan",'Daftar Koreksi'!$I$5:$I$92,"&lt;0")-SUMIFS('Daftar Koreksi'!$I$5:$I$92,'Daftar Koreksi'!$D$5:$D$92,'2300'!A70,'Daftar Koreksi'!$G$5:$G$92,"Jalan Irigasi Jaringan",'Daftar Koreksi'!$I$5:$I$92,"&lt;0")</f>
        <v>0</v>
      </c>
      <c r="G85" s="17">
        <f t="shared" si="3"/>
        <v>-1121625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Koreksi'!$D$5:$D$92,'2300'!A70,'Daftar Koreksi'!$G$5:$G$92,"Aset Tetap Lainnya",'Daftar Koreksi'!$I$5:$I$92,"&gt;0")</f>
        <v>0</v>
      </c>
      <c r="F86" s="25">
        <f>SUMIFS('Daftar Koreksi'!$I$5:$I$92,'Daftar Koreksi'!$D$5:$D$92,'2300'!A70,'Daftar Koreksi'!$G$5:$G$92,"Aset Tetap Lainnya",'Daftar Koreksi'!$I$5:$I$92,"&lt;0")-SUMIFS('Daftar Koreksi'!$I$5:$I$92,'Daftar Koreksi'!$D$5:$D$92,'2300'!A70,'Daftar Koreksi'!$G$5:$G$92,"Aset Tetap Lainnya",'Daftar Koreksi'!$I$5:$I$92,"&lt;0")-SUMIFS('Daftar Koreksi'!$I$5:$I$92,'Daftar Koreksi'!$D$5:$D$92,'2300'!A70,'Daftar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-14075900</v>
      </c>
      <c r="E87" s="25">
        <f>SUMIFS('Daftar Koreksi'!$I$5:$I$92,'Daftar Koreksi'!$D$5:$D$92,'2300'!A70,'Daftar Koreksi'!$G$5:$G$92,"Aset Henti Guna",'Daftar Koreksi'!$I$5:$I$92,"&gt;0")</f>
        <v>0</v>
      </c>
      <c r="F87" s="25">
        <f>SUMIFS('Daftar Koreksi'!$I$5:$I$92,'Daftar Koreksi'!$D$5:$D$92,'2300'!A70,'Daftar Koreksi'!$G$5:$G$92,"Aset Henti Guna",'Daftar Koreksi'!$I$5:$I$92,"&lt;0")-SUMIFS('Daftar Koreksi'!$I$5:$I$92,'Daftar Koreksi'!$D$5:$D$92,'2300'!A70,'Daftar Koreksi'!$G$5:$G$92,"Aset Henti Guna",'Daftar Koreksi'!$I$5:$I$92,"&lt;0")-SUMIFS('Daftar Koreksi'!$I$5:$I$92,'Daftar Koreksi'!$D$5:$D$92,'2300'!A70,'Daftar Koreksi'!$G$5:$G$92,"Aset Henti Guna",'Daftar Koreksi'!$I$5:$I$92,"&lt;0")</f>
        <v>0</v>
      </c>
      <c r="G87" s="17">
        <f t="shared" si="3"/>
        <v>-14075900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-4517637896</v>
      </c>
      <c r="E88" s="19">
        <f>SUM(E83:E87)</f>
        <v>0</v>
      </c>
      <c r="F88" s="19">
        <f>SUM(F83:F87)</f>
        <v>0</v>
      </c>
      <c r="G88" s="19">
        <f t="shared" si="3"/>
        <v>-4517637896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8611902814</v>
      </c>
      <c r="E89" s="19">
        <f>E88+E82</f>
        <v>0</v>
      </c>
      <c r="F89" s="19">
        <f>F88+F82</f>
        <v>0</v>
      </c>
      <c r="G89" s="19">
        <f t="shared" si="3"/>
        <v>8611902814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005012300099905000KD</v>
      </c>
      <c r="B92" s="11" t="str">
        <f>P5</f>
        <v>PN. Dompu</v>
      </c>
      <c r="C92" s="12" t="str">
        <f>A92&amp;" "&amp;B92</f>
        <v>005012300099905000KD PN. Dompu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4188070</v>
      </c>
      <c r="E95" s="25">
        <f>SUMIFS('Daftar Koreksi'!$H$5:$H$92,'Daftar Koreksi'!$D$5:$D$92,'2300'!A92,'Daftar Koreksi'!$G$5:$G$92,"Persediaan",'Daftar Koreksi'!$H$5:$H$92,"&gt;0")</f>
        <v>0</v>
      </c>
      <c r="F95" s="25">
        <f>SUMIFS('Daftar Koreksi'!$H$5:$H$92,'Daftar Koreksi'!$D$5:$D$92,'2300'!A92,'Daftar Koreksi'!$G$5:$G$92,"Persediaan",'Daftar Koreksi'!$H$5:$H$92,"&lt;0")-SUMIFS('Daftar Koreksi'!$H$5:$H$92,'Daftar Koreksi'!$D$5:$D$92,'2300'!A92,'Daftar Koreksi'!$G$5:$G$92,"Persediaan",'Daftar Koreksi'!$H$5:$H$92,"&lt;0")-SUMIFS('Daftar Koreksi'!$H$5:$H$92,'Daftar Koreksi'!$D$5:$D$92,'2300'!A92,'Daftar Koreksi'!$G$5:$G$92,"Persediaan",'Daftar Koreksi'!$H$5:$H$92,"&lt;0")</f>
        <v>0</v>
      </c>
      <c r="G95" s="17">
        <f>D95+E95-F95</f>
        <v>4188070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3412228000</v>
      </c>
      <c r="E96" s="25">
        <f>SUMIFS('Daftar Koreksi'!$H$5:$H$92,'Daftar Koreksi'!$D$5:$D$92,'2300'!A92,'Daftar Koreksi'!$G$5:$G$92,"Tanah",'Daftar Koreksi'!$H$5:$H$92,"&gt;0")</f>
        <v>0</v>
      </c>
      <c r="F96" s="25">
        <f>SUMIFS('Daftar Koreksi'!$H$5:$H$92,'Daftar Koreksi'!$D$5:$D$92,'2300'!A92,'Daftar Koreksi'!$G$5:$G$92,"Tanah",'Daftar Koreksi'!$H$5:$H$92,"&lt;0")-SUMIFS('Daftar Koreksi'!$H$5:$H$92,'Daftar Koreksi'!$D$5:$D$92,'2300'!A92,'Daftar Koreksi'!$G$5:$G$92,"Tanah",'Daftar Koreksi'!$H$5:$H$92,"&lt;0")-SUMIFS('Daftar Koreksi'!$H$5:$H$92,'Daftar Koreksi'!$D$5:$D$92,'2300'!A92,'Daftar Koreksi'!$G$5:$G$92,"Tanah",'Daftar Koreksi'!$H$5:$H$92,"&lt;0")</f>
        <v>0</v>
      </c>
      <c r="G96" s="17">
        <f t="shared" ref="G96:G112" si="4">D96+E96-F96</f>
        <v>3412228000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1999320206</v>
      </c>
      <c r="E97" s="25">
        <f>SUMIFS('Daftar Koreksi'!$H$5:$H$92,'Daftar Koreksi'!$D$5:$D$92,'2300'!A92,'Daftar Koreksi'!$G$5:$G$92,"Peralatan dan mesin",'Daftar Koreksi'!$H$5:$H$92,"&gt;0")</f>
        <v>0</v>
      </c>
      <c r="F97" s="25">
        <f>SUMIFS('Daftar Koreksi'!$H$5:$H$92,'Daftar Koreksi'!$D$5:$D$92,'2300'!A92,'Daftar Koreksi'!$G$5:$G$92,"Peralatan dan mesin",'Daftar Koreksi'!$H$5:$H$92,"&lt;0")-SUMIFS('Daftar Koreksi'!$H$5:$H$92,'Daftar Koreksi'!$D$5:$D$92,'2300'!A92,'Daftar Koreksi'!$G$5:$G$92,"Peralatan dan mesin",'Daftar Koreksi'!$H$5:$H$92,"&lt;0")-SUMIFS('Daftar Koreksi'!$H$5:$H$92,'Daftar Koreksi'!$D$5:$D$92,'2300'!A92,'Daftar Koreksi'!$G$5:$G$92,"Peralatan dan mesin",'Daftar Koreksi'!$H$5:$H$92,"&lt;0")</f>
        <v>0</v>
      </c>
      <c r="G97" s="17">
        <f t="shared" si="4"/>
        <v>1999320206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7646924955</v>
      </c>
      <c r="E98" s="25">
        <f>SUMIFS('Daftar Koreksi'!$H$5:$H$92,'Daftar Koreksi'!$D$5:$D$92,'2300'!A92,'Daftar Koreksi'!$G$5:$G$92,"Gedung dan Bangunan",'Daftar Koreksi'!$H$5:$H$92,"&gt;0")</f>
        <v>0</v>
      </c>
      <c r="F98" s="25">
        <f>SUMIFS('Daftar Koreksi'!$H$5:$H$92,'Daftar Koreksi'!$D$5:$D$92,'2300'!A92,'Daftar Koreksi'!$G$5:$G$92,"Gedung dan Bangunan",'Daftar Koreksi'!$H$5:$H$92,"&lt;0")-SUMIFS('Daftar Koreksi'!$H$5:$H$92,'Daftar Koreksi'!$D$5:$D$92,'2300'!A92,'Daftar Koreksi'!$G$5:$G$92,"Gedung dan Bangunan",'Daftar Koreksi'!$H$5:$H$92,"&lt;0")-SUMIFS('Daftar Koreksi'!$H$5:$H$92,'Daftar Koreksi'!$D$5:$D$92,'2300'!A92,'Daftar Koreksi'!$G$5:$G$92,"Gedung dan Bangunan",'Daftar Koreksi'!$H$5:$H$92,"&lt;0")</f>
        <v>0</v>
      </c>
      <c r="G98" s="17">
        <f t="shared" si="4"/>
        <v>7646924955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Koreksi'!$D$5:$D$92,'2300'!A92,'Daftar Koreksi'!$G$5:$G$92,"Jalan Irigasi Jaringan",'Daftar Koreksi'!$H$5:$H$92,"&gt;0")</f>
        <v>0</v>
      </c>
      <c r="F99" s="25">
        <f>SUMIFS('Daftar Koreksi'!$H$5:$H$92,'Daftar Koreksi'!$D$5:$D$92,'2300'!A92,'Daftar Koreksi'!$G$5:$G$92,"Jalan Irigasi Jaringan",'Daftar Koreksi'!$H$5:$H$92,"&lt;0")-SUMIFS('Daftar Koreksi'!$H$5:$H$92,'Daftar Koreksi'!$D$5:$D$92,'2300'!A92,'Daftar Koreksi'!$G$5:$G$92,"Jalan Irigasi Jaringan",'Daftar Koreksi'!$H$5:$H$92,"&lt;0")-SUMIFS('Daftar Koreksi'!$H$5:$H$92,'Daftar Koreksi'!$D$5:$D$92,'2300'!A92,'Daftar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47666880</v>
      </c>
      <c r="E100" s="25">
        <f>SUMIFS('Daftar Koreksi'!$H$5:$H$92,'Daftar Koreksi'!$D$5:$D$92,'2300'!A92,'Daftar Koreksi'!$G$5:$G$92,"Aset Tetap Lainnya",'Daftar Koreksi'!$H$5:$H$92,"&gt;0")</f>
        <v>0</v>
      </c>
      <c r="F100" s="25">
        <f>SUMIFS('Daftar Koreksi'!$H$5:$H$92,'Daftar Koreksi'!$D$5:$D$92,'2300'!A92,'Daftar Koreksi'!$G$5:$G$92,"Aset Tetap Lainnya",'Daftar Koreksi'!$H$5:$H$92,"&lt;0")-SUMIFS('Daftar Koreksi'!$H$5:$H$92,'Daftar Koreksi'!$D$5:$D$92,'2300'!A92,'Daftar Koreksi'!$G$5:$G$92,"Aset Tetap Lainnya",'Daftar Koreksi'!$H$5:$H$92,"&lt;0")-SUMIFS('Daftar Koreksi'!$H$5:$H$92,'Daftar Koreksi'!$D$5:$D$92,'2300'!A92,'Daftar Koreksi'!$G$5:$G$92,"Aset Tetap Lainnya",'Daftar Koreksi'!$H$5:$H$92,"&lt;0")</f>
        <v>0</v>
      </c>
      <c r="G100" s="17">
        <f t="shared" si="4"/>
        <v>47666880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Koreksi'!$D$5:$D$92,'2300'!A92,'Daftar Koreksi'!$G$5:$G$92,"Kontruksi Dalam Pengerjaan",'Daftar Koreksi'!$H$5:$H$92,"&gt;0")</f>
        <v>0</v>
      </c>
      <c r="F101" s="25">
        <f>SUMIFS('Daftar Koreksi'!$H$5:$H$92,'Daftar Koreksi'!$D$5:$D$92,'2300'!A92,'Daftar Koreksi'!$G$5:$G$92,"Kontruksi Dalam Pengerjaan",'Daftar Koreksi'!$H$5:$H$92,"&lt;0")-SUMIFS('Daftar Koreksi'!$H$5:$H$92,'Daftar Koreksi'!$D$5:$D$92,'2300'!A92,'Daftar Koreksi'!$G$5:$G$92,"Kontruksi Dalam Pengerjaan",'Daftar Koreksi'!$H$5:$H$92,"&lt;0")-SUMIFS('Daftar Koreksi'!$H$5:$H$92,'Daftar Koreksi'!$D$5:$D$92,'2300'!A92,'Daftar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Koreksi'!$D$5:$D$92,'2300'!A92,'Daftar Koreksi'!$G$5:$G$92,"Aset Tak Berwujud",'Daftar Koreksi'!$H$5:$H$92,"&gt;0")</f>
        <v>0</v>
      </c>
      <c r="F102" s="25">
        <f>SUMIFS('Daftar Koreksi'!$H$5:$H$92,'Daftar Koreksi'!$D$5:$D$92,'2300'!A92,'Daftar Koreksi'!$G$5:$G$92,"Aset Tak Berwujud",'Daftar Koreksi'!$H$5:$H$92,"&lt;0")-SUMIFS('Daftar Koreksi'!$H$5:$H$92,'Daftar Koreksi'!$D$5:$D$92,'2300'!A92,'Daftar Koreksi'!$G$5:$G$92,"Aset Tak Berwujud",'Daftar Koreksi'!$H$5:$H$92,"&lt;0")-SUMIFS('Daftar Koreksi'!$H$5:$H$92,'Daftar Koreksi'!$D$5:$D$92,'2300'!A92,'Daftar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72403000</v>
      </c>
      <c r="E103" s="25">
        <f>SUMIFS('Daftar Koreksi'!$H$5:$H$92,'Daftar Koreksi'!$D$5:$D$92,'2300'!A92,'Daftar Koreksi'!$G$5:$G$92,"Aset Henti Guna",'Daftar Koreksi'!$H$5:$H$92,"&gt;0")</f>
        <v>0</v>
      </c>
      <c r="F103" s="25">
        <f>SUMIFS('Daftar Koreksi'!$H$5:$H$92,'Daftar Koreksi'!$D$5:$D$92,'2300'!A92,'Daftar Koreksi'!$G$5:$G$92,"Aset Henti Guna",'Daftar Koreksi'!$H$5:$H$92,"&lt;0")-SUMIFS('Daftar Koreksi'!$H$5:$H$92,'Daftar Koreksi'!$D$5:$D$92,'2300'!A92,'Daftar Koreksi'!$G$5:$G$92,"Aset Henti Guna",'Daftar Koreksi'!$H$5:$H$92,"&lt;0")-SUMIFS('Daftar Koreksi'!$H$5:$H$92,'Daftar Koreksi'!$D$5:$D$92,'2300'!A92,'Daftar Koreksi'!$G$5:$G$92,"Aset Henti Guna",'Daftar Koreksi'!$H$5:$H$92,"&lt;0")</f>
        <v>0</v>
      </c>
      <c r="G103" s="17">
        <f t="shared" si="4"/>
        <v>72403000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13182731111</v>
      </c>
      <c r="E104" s="19">
        <f>SUM(E95:E103)</f>
        <v>0</v>
      </c>
      <c r="F104" s="19">
        <f>SUM(F95:F103)</f>
        <v>0</v>
      </c>
      <c r="G104" s="19">
        <f t="shared" si="4"/>
        <v>13182731111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-1528268296</v>
      </c>
      <c r="E105" s="25">
        <f>SUMIFS('Daftar Koreksi'!$I$5:$I$92,'Daftar Koreksi'!$D$5:$D$92,'2300'!A92,'Daftar Koreksi'!$G$5:$G$92,"Peralatan dan mesin",'Daftar Koreksi'!$I$5:$I$92,"&gt;0")</f>
        <v>0</v>
      </c>
      <c r="F105" s="25">
        <f>SUMIFS('Daftar Koreksi'!$I$5:$I$92,'Daftar Koreksi'!$D$5:$D$92,'2300'!A92,'Daftar Koreksi'!$G$5:$G$92,"Peralatan dan mesin",'Daftar Koreksi'!$I$5:$I$92,"&lt;0")-SUMIFS('Daftar Koreksi'!$I$5:$I$92,'Daftar Koreksi'!$D$5:$D$92,'2300'!A92,'Daftar Koreksi'!$G$5:$G$92,"Peralatan dan mesin",'Daftar Koreksi'!$I$5:$I$92,"&lt;0")-SUMIFS('Daftar Koreksi'!$I$5:$I$92,'Daftar Koreksi'!$D$5:$D$92,'2300'!A92,'Daftar Koreksi'!$G$5:$G$92,"Peralatan dan mesin",'Daftar Koreksi'!$I$5:$I$92,"&lt;0")</f>
        <v>0</v>
      </c>
      <c r="G105" s="17">
        <f t="shared" si="4"/>
        <v>-1528268296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-2037279569</v>
      </c>
      <c r="E106" s="25">
        <f>SUMIFS('Daftar Koreksi'!$I$5:$I$92,'Daftar Koreksi'!$D$5:$D$92,'2300'!A92,'Daftar Koreksi'!$G$5:$G$92,"Gedung dan Bangunan",'Daftar Koreksi'!$I$5:$I$92,"&gt;0")</f>
        <v>0</v>
      </c>
      <c r="F106" s="25">
        <f>SUMIFS('Daftar Koreksi'!$I$5:$I$92,'Daftar Koreksi'!$D$5:$D$92,'2300'!A92,'Daftar Koreksi'!$G$5:$G$92,"Gedung dan Bangunan",'Daftar Koreksi'!$I$5:$I$92,"&lt;0")-SUMIFS('Daftar Koreksi'!$I$5:$I$92,'Daftar Koreksi'!$D$5:$D$92,'2300'!A92,'Daftar Koreksi'!$G$5:$G$92,"Gedung dan Bangunan",'Daftar Koreksi'!$I$5:$I$92,"&lt;0")-SUMIFS('Daftar Koreksi'!$I$5:$I$92,'Daftar Koreksi'!$D$5:$D$92,'2300'!A92,'Daftar Koreksi'!$G$5:$G$92,"Gedung dan Bangunan",'Daftar Koreksi'!$I$5:$I$92,"&lt;0")</f>
        <v>0</v>
      </c>
      <c r="G106" s="17">
        <f t="shared" si="4"/>
        <v>-2037279569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Koreksi'!$D$5:$D$92,'2300'!A92,'Daftar Koreksi'!$G$5:$G$92,"Jalan Irigasi Jaringan",'Daftar Koreksi'!$I$5:$I$92,"&gt;0")</f>
        <v>0</v>
      </c>
      <c r="F107" s="25">
        <f>SUMIFS('Daftar Koreksi'!$I$5:$I$92,'Daftar Koreksi'!$D$5:$D$92,'2300'!A92,'Daftar Koreksi'!$G$5:$G$92,"Jalan Irigasi Jaringan",'Daftar Koreksi'!$I$5:$I$92,"&lt;0")-SUMIFS('Daftar Koreksi'!$I$5:$I$92,'Daftar Koreksi'!$D$5:$D$92,'2300'!A92,'Daftar Koreksi'!$G$5:$G$92,"Jalan Irigasi Jaringan",'Daftar Koreksi'!$I$5:$I$92,"&lt;0")-SUMIFS('Daftar Koreksi'!$I$5:$I$92,'Daftar Koreksi'!$D$5:$D$92,'2300'!A92,'Daftar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Koreksi'!$D$5:$D$92,'2300'!A92,'Daftar Koreksi'!$G$5:$G$92,"Aset Tetap Lainnya",'Daftar Koreksi'!$I$5:$I$92,"&gt;0")</f>
        <v>0</v>
      </c>
      <c r="F108" s="25">
        <f>SUMIFS('Daftar Koreksi'!$I$5:$I$92,'Daftar Koreksi'!$D$5:$D$92,'2300'!A92,'Daftar Koreksi'!$G$5:$G$92,"Aset Tetap Lainnya",'Daftar Koreksi'!$I$5:$I$92,"&lt;0")-SUMIFS('Daftar Koreksi'!$I$5:$I$92,'Daftar Koreksi'!$D$5:$D$92,'2300'!A92,'Daftar Koreksi'!$G$5:$G$92,"Aset Tetap Lainnya",'Daftar Koreksi'!$I$5:$I$92,"&lt;0")-SUMIFS('Daftar Koreksi'!$I$5:$I$92,'Daftar Koreksi'!$D$5:$D$92,'2300'!A92,'Daftar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-72403000</v>
      </c>
      <c r="E109" s="25">
        <f>SUMIFS('Daftar Koreksi'!$I$5:$I$92,'Daftar Koreksi'!$D$5:$D$92,'2300'!A92,'Daftar Koreksi'!$G$5:$G$92,"Aset Henti Guna",'Daftar Koreksi'!$I$5:$I$92,"&gt;0")</f>
        <v>0</v>
      </c>
      <c r="F109" s="25">
        <f>SUMIFS('Daftar Koreksi'!$I$5:$I$92,'Daftar Koreksi'!$D$5:$D$92,'2300'!A92,'Daftar Koreksi'!$G$5:$G$92,"Aset Henti Guna",'Daftar Koreksi'!$I$5:$I$92,"&lt;0")-SUMIFS('Daftar Koreksi'!$I$5:$I$92,'Daftar Koreksi'!$D$5:$D$92,'2300'!A92,'Daftar Koreksi'!$G$5:$G$92,"Aset Henti Guna",'Daftar Koreksi'!$I$5:$I$92,"&lt;0")-SUMIFS('Daftar Koreksi'!$I$5:$I$92,'Daftar Koreksi'!$D$5:$D$92,'2300'!A92,'Daftar Koreksi'!$G$5:$G$92,"Aset Henti Guna",'Daftar Koreksi'!$I$5:$I$92,"&lt;0")</f>
        <v>0</v>
      </c>
      <c r="G109" s="17">
        <f t="shared" si="4"/>
        <v>-72403000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-3637950865</v>
      </c>
      <c r="E110" s="19">
        <f>SUM(E105:E109)</f>
        <v>0</v>
      </c>
      <c r="F110" s="19">
        <f>SUM(F105:F109)</f>
        <v>0</v>
      </c>
      <c r="G110" s="19">
        <f t="shared" si="4"/>
        <v>-3637950865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9544780246</v>
      </c>
      <c r="E111" s="19">
        <f>E110+E104</f>
        <v>0</v>
      </c>
      <c r="F111" s="19">
        <f>F110+F104</f>
        <v>0</v>
      </c>
      <c r="G111" s="19">
        <f t="shared" si="4"/>
        <v>9544780246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005012300099912000KD</v>
      </c>
      <c r="B114" s="11" t="str">
        <f>P6</f>
        <v>PN. Praya</v>
      </c>
      <c r="C114" s="12" t="str">
        <f>A114&amp;" "&amp;B114</f>
        <v>005012300099912000KD PN. Praya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4508778</v>
      </c>
      <c r="E117" s="25">
        <f>SUMIFS('Daftar Koreksi'!$H$5:$H$92,'Daftar Koreksi'!$D$5:$D$92,'2300'!A114,'Daftar Koreksi'!$G$5:$G$92,"Persediaan",'Daftar Koreksi'!$H$5:$H$92,"&gt;0")</f>
        <v>0</v>
      </c>
      <c r="F117" s="25">
        <f>SUMIFS('Daftar Koreksi'!$H$5:$H$92,'Daftar Koreksi'!$D$5:$D$92,'2300'!A114,'Daftar Koreksi'!$G$5:$G$92,"Persediaan",'Daftar Koreksi'!$H$5:$H$92,"&lt;0")-SUMIFS('Daftar Koreksi'!$H$5:$H$92,'Daftar Koreksi'!$D$5:$D$92,'2300'!A114,'Daftar Koreksi'!$G$5:$G$92,"Persediaan",'Daftar Koreksi'!$H$5:$H$92,"&lt;0")-SUMIFS('Daftar Koreksi'!$H$5:$H$92,'Daftar Koreksi'!$D$5:$D$92,'2300'!A114,'Daftar Koreksi'!$G$5:$G$92,"Persediaan",'Daftar Koreksi'!$H$5:$H$92,"&lt;0")</f>
        <v>0</v>
      </c>
      <c r="G117" s="17">
        <f>D117+E117-F117</f>
        <v>4508778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4987141000</v>
      </c>
      <c r="E118" s="25">
        <f>SUMIFS('Daftar Koreksi'!$H$5:$H$92,'Daftar Koreksi'!$D$5:$D$92,'2300'!A114,'Daftar Koreksi'!$G$5:$G$92,"Tanah",'Daftar Koreksi'!$H$5:$H$92,"&gt;0")</f>
        <v>0</v>
      </c>
      <c r="F118" s="25">
        <f>SUMIFS('Daftar Koreksi'!$H$5:$H$92,'Daftar Koreksi'!$D$5:$D$92,'2300'!A114,'Daftar Koreksi'!$G$5:$G$92,"Tanah",'Daftar Koreksi'!$H$5:$H$92,"&lt;0")-SUMIFS('Daftar Koreksi'!$H$5:$H$92,'Daftar Koreksi'!$D$5:$D$92,'2300'!A114,'Daftar Koreksi'!$G$5:$G$92,"Tanah",'Daftar Koreksi'!$H$5:$H$92,"&lt;0")-SUMIFS('Daftar Koreksi'!$H$5:$H$92,'Daftar Koreksi'!$D$5:$D$92,'2300'!A114,'Daftar Koreksi'!$G$5:$G$92,"Tanah",'Daftar Koreksi'!$H$5:$H$92,"&lt;0")</f>
        <v>0</v>
      </c>
      <c r="G118" s="17">
        <f t="shared" ref="G118:G134" si="5">D118+E118-F118</f>
        <v>4987141000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2559901734</v>
      </c>
      <c r="E119" s="25">
        <f>SUMIFS('Daftar Koreksi'!$H$5:$H$92,'Daftar Koreksi'!$D$5:$D$92,'2300'!A114,'Daftar Koreksi'!$G$5:$G$92,"Peralatan dan mesin",'Daftar Koreksi'!$H$5:$H$92,"&gt;0")</f>
        <v>0</v>
      </c>
      <c r="F119" s="25">
        <f>SUMIFS('Daftar Koreksi'!$H$5:$H$92,'Daftar Koreksi'!$D$5:$D$92,'2300'!A114,'Daftar Koreksi'!$G$5:$G$92,"Peralatan dan mesin",'Daftar Koreksi'!$H$5:$H$92,"&lt;0")-SUMIFS('Daftar Koreksi'!$H$5:$H$92,'Daftar Koreksi'!$D$5:$D$92,'2300'!A114,'Daftar Koreksi'!$G$5:$G$92,"Peralatan dan mesin",'Daftar Koreksi'!$H$5:$H$92,"&lt;0")-SUMIFS('Daftar Koreksi'!$H$5:$H$92,'Daftar Koreksi'!$D$5:$D$92,'2300'!A114,'Daftar Koreksi'!$G$5:$G$92,"Peralatan dan mesin",'Daftar Koreksi'!$H$5:$H$92,"&lt;0")</f>
        <v>0</v>
      </c>
      <c r="G119" s="17">
        <f t="shared" si="5"/>
        <v>2559901734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11820354100</v>
      </c>
      <c r="E120" s="25">
        <f>SUMIFS('Daftar Koreksi'!$H$5:$H$92,'Daftar Koreksi'!$D$5:$D$92,'2300'!A114,'Daftar Koreksi'!$G$5:$G$92,"Gedung dan Bangunan",'Daftar Koreksi'!$H$5:$H$92,"&gt;0")</f>
        <v>0</v>
      </c>
      <c r="F120" s="25">
        <f>SUMIFS('Daftar Koreksi'!$H$5:$H$92,'Daftar Koreksi'!$D$5:$D$92,'2300'!A114,'Daftar Koreksi'!$G$5:$G$92,"Gedung dan Bangunan",'Daftar Koreksi'!$H$5:$H$92,"&lt;0")-SUMIFS('Daftar Koreksi'!$H$5:$H$92,'Daftar Koreksi'!$D$5:$D$92,'2300'!A114,'Daftar Koreksi'!$G$5:$G$92,"Gedung dan Bangunan",'Daftar Koreksi'!$H$5:$H$92,"&lt;0")-SUMIFS('Daftar Koreksi'!$H$5:$H$92,'Daftar Koreksi'!$D$5:$D$92,'2300'!A114,'Daftar Koreksi'!$G$5:$G$92,"Gedung dan Bangunan",'Daftar Koreksi'!$H$5:$H$92,"&lt;0")</f>
        <v>0</v>
      </c>
      <c r="G120" s="17">
        <f t="shared" si="5"/>
        <v>11820354100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245199500</v>
      </c>
      <c r="E121" s="25">
        <f>SUMIFS('Daftar Koreksi'!$H$5:$H$92,'Daftar Koreksi'!$D$5:$D$92,'2300'!A114,'Daftar Koreksi'!$G$5:$G$92,"Jalan Irigasi Jaringan",'Daftar Koreksi'!$H$5:$H$92,"&gt;0")</f>
        <v>0</v>
      </c>
      <c r="F121" s="25">
        <f>SUMIFS('Daftar Koreksi'!$H$5:$H$92,'Daftar Koreksi'!$D$5:$D$92,'2300'!A114,'Daftar Koreksi'!$G$5:$G$92,"Jalan Irigasi Jaringan",'Daftar Koreksi'!$H$5:$H$92,"&lt;0")-SUMIFS('Daftar Koreksi'!$H$5:$H$92,'Daftar Koreksi'!$D$5:$D$92,'2300'!A114,'Daftar Koreksi'!$G$5:$G$92,"Jalan Irigasi Jaringan",'Daftar Koreksi'!$H$5:$H$92,"&lt;0")-SUMIFS('Daftar Koreksi'!$H$5:$H$92,'Daftar Koreksi'!$D$5:$D$92,'2300'!A114,'Daftar Koreksi'!$G$5:$G$92,"Jalan Irigasi Jaringan",'Daftar Koreksi'!$H$5:$H$92,"&lt;0")</f>
        <v>0</v>
      </c>
      <c r="G121" s="17">
        <f t="shared" si="5"/>
        <v>245199500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11281840</v>
      </c>
      <c r="E122" s="25">
        <f>SUMIFS('Daftar Koreksi'!$H$5:$H$92,'Daftar Koreksi'!$D$5:$D$92,'2300'!A114,'Daftar Koreksi'!$G$5:$G$92,"Aset Tetap Lainnya",'Daftar Koreksi'!$H$5:$H$92,"&gt;0")</f>
        <v>0</v>
      </c>
      <c r="F122" s="25">
        <f>SUMIFS('Daftar Koreksi'!$H$5:$H$92,'Daftar Koreksi'!$D$5:$D$92,'2300'!A114,'Daftar Koreksi'!$G$5:$G$92,"Aset Tetap Lainnya",'Daftar Koreksi'!$H$5:$H$92,"&lt;0")-SUMIFS('Daftar Koreksi'!$H$5:$H$92,'Daftar Koreksi'!$D$5:$D$92,'2300'!A114,'Daftar Koreksi'!$G$5:$G$92,"Aset Tetap Lainnya",'Daftar Koreksi'!$H$5:$H$92,"&lt;0")-SUMIFS('Daftar Koreksi'!$H$5:$H$92,'Daftar Koreksi'!$D$5:$D$92,'2300'!A114,'Daftar Koreksi'!$G$5:$G$92,"Aset Tetap Lainnya",'Daftar Koreksi'!$H$5:$H$92,"&lt;0")</f>
        <v>0</v>
      </c>
      <c r="G122" s="17">
        <f t="shared" si="5"/>
        <v>11281840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Koreksi'!$D$5:$D$92,'2300'!A114,'Daftar Koreksi'!$G$5:$G$92,"Kontruksi Dalam Pengerjaan",'Daftar Koreksi'!$H$5:$H$92,"&gt;0")</f>
        <v>0</v>
      </c>
      <c r="F123" s="25">
        <f>SUMIFS('Daftar Koreksi'!$H$5:$H$92,'Daftar Koreksi'!$D$5:$D$92,'2300'!A114,'Daftar Koreksi'!$G$5:$G$92,"Kontruksi Dalam Pengerjaan",'Daftar Koreksi'!$H$5:$H$92,"&lt;0")-SUMIFS('Daftar Koreksi'!$H$5:$H$92,'Daftar Koreksi'!$D$5:$D$92,'2300'!A114,'Daftar Koreksi'!$G$5:$G$92,"Kontruksi Dalam Pengerjaan",'Daftar Koreksi'!$H$5:$H$92,"&lt;0")-SUMIFS('Daftar Koreksi'!$H$5:$H$92,'Daftar Koreksi'!$D$5:$D$92,'2300'!A114,'Daftar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14080000</v>
      </c>
      <c r="E124" s="25">
        <f>SUMIFS('Daftar Koreksi'!$H$5:$H$92,'Daftar Koreksi'!$D$5:$D$92,'2300'!A114,'Daftar Koreksi'!$G$5:$G$92,"Aset Tak Berwujud",'Daftar Koreksi'!$H$5:$H$92,"&gt;0")</f>
        <v>0</v>
      </c>
      <c r="F124" s="25">
        <f>SUMIFS('Daftar Koreksi'!$H$5:$H$92,'Daftar Koreksi'!$D$5:$D$92,'2300'!A114,'Daftar Koreksi'!$G$5:$G$92,"Aset Tak Berwujud",'Daftar Koreksi'!$H$5:$H$92,"&lt;0")-SUMIFS('Daftar Koreksi'!$H$5:$H$92,'Daftar Koreksi'!$D$5:$D$92,'2300'!A114,'Daftar Koreksi'!$G$5:$G$92,"Aset Tak Berwujud",'Daftar Koreksi'!$H$5:$H$92,"&lt;0")-SUMIFS('Daftar Koreksi'!$H$5:$H$92,'Daftar Koreksi'!$D$5:$D$92,'2300'!A114,'Daftar Koreksi'!$G$5:$G$92,"Aset Tak Berwujud",'Daftar Koreksi'!$H$5:$H$92,"&lt;0")</f>
        <v>0</v>
      </c>
      <c r="G124" s="17">
        <f t="shared" si="5"/>
        <v>14080000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301566000</v>
      </c>
      <c r="E125" s="25">
        <f>SUMIFS('Daftar Koreksi'!$H$5:$H$92,'Daftar Koreksi'!$D$5:$D$92,'2300'!A114,'Daftar Koreksi'!$G$5:$G$92,"Aset Henti Guna",'Daftar Koreksi'!$H$5:$H$92,"&gt;0")</f>
        <v>0</v>
      </c>
      <c r="F125" s="25">
        <f>SUMIFS('Daftar Koreksi'!$H$5:$H$92,'Daftar Koreksi'!$D$5:$D$92,'2300'!A114,'Daftar Koreksi'!$G$5:$G$92,"Aset Henti Guna",'Daftar Koreksi'!$H$5:$H$92,"&lt;0")-SUMIFS('Daftar Koreksi'!$H$5:$H$92,'Daftar Koreksi'!$D$5:$D$92,'2300'!A114,'Daftar Koreksi'!$G$5:$G$92,"Aset Henti Guna",'Daftar Koreksi'!$H$5:$H$92,"&lt;0")-SUMIFS('Daftar Koreksi'!$H$5:$H$92,'Daftar Koreksi'!$D$5:$D$92,'2300'!A114,'Daftar Koreksi'!$G$5:$G$92,"Aset Henti Guna",'Daftar Koreksi'!$H$5:$H$92,"&lt;0")</f>
        <v>0</v>
      </c>
      <c r="G125" s="17">
        <f t="shared" si="5"/>
        <v>301566000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19944032952</v>
      </c>
      <c r="E126" s="19">
        <f>SUM(E117:E125)</f>
        <v>0</v>
      </c>
      <c r="F126" s="19">
        <f>SUM(F117:F125)</f>
        <v>0</v>
      </c>
      <c r="G126" s="19">
        <f t="shared" si="5"/>
        <v>19944032952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-1756535623</v>
      </c>
      <c r="E127" s="25">
        <f>SUMIFS('Daftar Koreksi'!$I$5:$I$92,'Daftar Koreksi'!$D$5:$D$92,'2300'!A114,'Daftar Koreksi'!$G$5:$G$92,"Peralatan dan mesin",'Daftar Koreksi'!$I$5:$I$92,"&gt;0")</f>
        <v>0</v>
      </c>
      <c r="F127" s="25">
        <f>SUMIFS('Daftar Koreksi'!$I$5:$I$92,'Daftar Koreksi'!$D$5:$D$92,'2300'!A114,'Daftar Koreksi'!$G$5:$G$92,"Peralatan dan mesin",'Daftar Koreksi'!$I$5:$I$92,"&lt;0")-SUMIFS('Daftar Koreksi'!$I$5:$I$92,'Daftar Koreksi'!$D$5:$D$92,'2300'!A114,'Daftar Koreksi'!$G$5:$G$92,"Peralatan dan mesin",'Daftar Koreksi'!$I$5:$I$92,"&lt;0")-SUMIFS('Daftar Koreksi'!$I$5:$I$92,'Daftar Koreksi'!$D$5:$D$92,'2300'!A114,'Daftar Koreksi'!$G$5:$G$92,"Peralatan dan mesin",'Daftar Koreksi'!$I$5:$I$92,"&lt;0")</f>
        <v>0</v>
      </c>
      <c r="G127" s="17">
        <f t="shared" si="5"/>
        <v>-1756535623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-1137601395</v>
      </c>
      <c r="E128" s="25">
        <f>SUMIFS('Daftar Koreksi'!$I$5:$I$92,'Daftar Koreksi'!$D$5:$D$92,'2300'!A114,'Daftar Koreksi'!$G$5:$G$92,"Gedung dan Bangunan",'Daftar Koreksi'!$I$5:$I$92,"&gt;0")</f>
        <v>0</v>
      </c>
      <c r="F128" s="25">
        <f>SUMIFS('Daftar Koreksi'!$I$5:$I$92,'Daftar Koreksi'!$D$5:$D$92,'2300'!A114,'Daftar Koreksi'!$G$5:$G$92,"Gedung dan Bangunan",'Daftar Koreksi'!$I$5:$I$92,"&lt;0")-SUMIFS('Daftar Koreksi'!$I$5:$I$92,'Daftar Koreksi'!$D$5:$D$92,'2300'!A114,'Daftar Koreksi'!$G$5:$G$92,"Gedung dan Bangunan",'Daftar Koreksi'!$I$5:$I$92,"&lt;0")-SUMIFS('Daftar Koreksi'!$I$5:$I$92,'Daftar Koreksi'!$D$5:$D$92,'2300'!A114,'Daftar Koreksi'!$G$5:$G$92,"Gedung dan Bangunan",'Daftar Koreksi'!$I$5:$I$92,"&lt;0")</f>
        <v>0</v>
      </c>
      <c r="G128" s="17">
        <f t="shared" si="5"/>
        <v>-1137601395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-5386177</v>
      </c>
      <c r="E129" s="25">
        <f>SUMIFS('Daftar Koreksi'!$I$5:$I$92,'Daftar Koreksi'!$D$5:$D$92,'2300'!A114,'Daftar Koreksi'!$G$5:$G$92,"Jalan Irigasi Jaringan",'Daftar Koreksi'!$I$5:$I$92,"&gt;0")</f>
        <v>0</v>
      </c>
      <c r="F129" s="25">
        <f>SUMIFS('Daftar Koreksi'!$I$5:$I$92,'Daftar Koreksi'!$D$5:$D$92,'2300'!A114,'Daftar Koreksi'!$G$5:$G$92,"Jalan Irigasi Jaringan",'Daftar Koreksi'!$I$5:$I$92,"&lt;0")-SUMIFS('Daftar Koreksi'!$I$5:$I$92,'Daftar Koreksi'!$D$5:$D$92,'2300'!A114,'Daftar Koreksi'!$G$5:$G$92,"Jalan Irigasi Jaringan",'Daftar Koreksi'!$I$5:$I$92,"&lt;0")-SUMIFS('Daftar Koreksi'!$I$5:$I$92,'Daftar Koreksi'!$D$5:$D$92,'2300'!A114,'Daftar Koreksi'!$G$5:$G$92,"Jalan Irigasi Jaringan",'Daftar Koreksi'!$I$5:$I$92,"&lt;0")</f>
        <v>0</v>
      </c>
      <c r="G129" s="17">
        <f t="shared" si="5"/>
        <v>-5386177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Koreksi'!$D$5:$D$92,'2300'!A114,'Daftar Koreksi'!$G$5:$G$92,"Aset Tetap Lainnya",'Daftar Koreksi'!$I$5:$I$92,"&gt;0")</f>
        <v>0</v>
      </c>
      <c r="F130" s="25">
        <f>SUMIFS('Daftar Koreksi'!$I$5:$I$92,'Daftar Koreksi'!$D$5:$D$92,'2300'!A114,'Daftar Koreksi'!$G$5:$G$92,"Aset Tetap Lainnya",'Daftar Koreksi'!$I$5:$I$92,"&lt;0")-SUMIFS('Daftar Koreksi'!$I$5:$I$92,'Daftar Koreksi'!$D$5:$D$92,'2300'!A114,'Daftar Koreksi'!$G$5:$G$92,"Aset Tetap Lainnya",'Daftar Koreksi'!$I$5:$I$92,"&lt;0")-SUMIFS('Daftar Koreksi'!$I$5:$I$92,'Daftar Koreksi'!$D$5:$D$92,'2300'!A114,'Daftar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-301566000</v>
      </c>
      <c r="E131" s="25">
        <f>SUMIFS('Daftar Koreksi'!$I$5:$I$92,'Daftar Koreksi'!$D$5:$D$92,'2300'!A114,'Daftar Koreksi'!$G$5:$G$92,"Aset Henti Guna",'Daftar Koreksi'!$I$5:$I$92,"&gt;0")</f>
        <v>0</v>
      </c>
      <c r="F131" s="25">
        <f>SUMIFS('Daftar Koreksi'!$I$5:$I$92,'Daftar Koreksi'!$D$5:$D$92,'2300'!A114,'Daftar Koreksi'!$G$5:$G$92,"Aset Henti Guna",'Daftar Koreksi'!$I$5:$I$92,"&lt;0")-SUMIFS('Daftar Koreksi'!$I$5:$I$92,'Daftar Koreksi'!$D$5:$D$92,'2300'!A114,'Daftar Koreksi'!$G$5:$G$92,"Aset Henti Guna",'Daftar Koreksi'!$I$5:$I$92,"&lt;0")-SUMIFS('Daftar Koreksi'!$I$5:$I$92,'Daftar Koreksi'!$D$5:$D$92,'2300'!A114,'Daftar Koreksi'!$G$5:$G$92,"Aset Henti Guna",'Daftar Koreksi'!$I$5:$I$92,"&lt;0")</f>
        <v>0</v>
      </c>
      <c r="G131" s="17">
        <f t="shared" si="5"/>
        <v>-301566000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-3201089195</v>
      </c>
      <c r="E132" s="19">
        <f>SUM(E127:E131)</f>
        <v>0</v>
      </c>
      <c r="F132" s="19">
        <f>SUM(F127:F131)</f>
        <v>0</v>
      </c>
      <c r="G132" s="19">
        <f t="shared" si="5"/>
        <v>-3201089195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16742943757</v>
      </c>
      <c r="E133" s="19">
        <f>E132+E126</f>
        <v>0</v>
      </c>
      <c r="F133" s="19">
        <f>F132+F126</f>
        <v>0</v>
      </c>
      <c r="G133" s="19">
        <f t="shared" si="5"/>
        <v>16742943757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005012300307885000KD</v>
      </c>
      <c r="B136" s="11" t="str">
        <f>P7</f>
        <v>PA. Mataram</v>
      </c>
      <c r="C136" s="12" t="str">
        <f>A136&amp;" "&amp;B136</f>
        <v>005012300307885000KD PA. Mataram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5946750</v>
      </c>
      <c r="E139" s="25">
        <f>SUMIFS('Daftar Koreksi'!$H$5:$H$92,'Daftar Koreksi'!$D$5:$D$92,'2300'!A136,'Daftar Koreksi'!$G$5:$G$92,"Persediaan",'Daftar Koreksi'!$H$5:$H$92,"&gt;0")</f>
        <v>0</v>
      </c>
      <c r="F139" s="25">
        <f>SUMIFS('Daftar Koreksi'!$H$5:$H$92,'Daftar Koreksi'!$D$5:$D$92,'2300'!A136,'Daftar Koreksi'!$G$5:$G$92,"Persediaan",'Daftar Koreksi'!$H$5:$H$92,"&lt;0")-SUMIFS('Daftar Koreksi'!$H$5:$H$92,'Daftar Koreksi'!$D$5:$D$92,'2300'!A136,'Daftar Koreksi'!$G$5:$G$92,"Persediaan",'Daftar Koreksi'!$H$5:$H$92,"&lt;0")-SUMIFS('Daftar Koreksi'!$H$5:$H$92,'Daftar Koreksi'!$D$5:$D$92,'2300'!A136,'Daftar Koreksi'!$G$5:$G$92,"Persediaan",'Daftar Koreksi'!$H$5:$H$92,"&lt;0")</f>
        <v>0</v>
      </c>
      <c r="G139" s="17">
        <f>D139+E139-F139</f>
        <v>5946750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1250000000</v>
      </c>
      <c r="E140" s="25">
        <f>SUMIFS('Daftar Koreksi'!$H$5:$H$92,'Daftar Koreksi'!$D$5:$D$92,'2300'!A136,'Daftar Koreksi'!$G$5:$G$92,"Tanah",'Daftar Koreksi'!$H$5:$H$92,"&gt;0")</f>
        <v>0</v>
      </c>
      <c r="F140" s="25">
        <f>SUMIFS('Daftar Koreksi'!$H$5:$H$92,'Daftar Koreksi'!$D$5:$D$92,'2300'!A136,'Daftar Koreksi'!$G$5:$G$92,"Tanah",'Daftar Koreksi'!$H$5:$H$92,"&lt;0")-SUMIFS('Daftar Koreksi'!$H$5:$H$92,'Daftar Koreksi'!$D$5:$D$92,'2300'!A136,'Daftar Koreksi'!$G$5:$G$92,"Tanah",'Daftar Koreksi'!$H$5:$H$92,"&lt;0")-SUMIFS('Daftar Koreksi'!$H$5:$H$92,'Daftar Koreksi'!$D$5:$D$92,'2300'!A136,'Daftar Koreksi'!$G$5:$G$92,"Tanah",'Daftar Koreksi'!$H$5:$H$92,"&lt;0")</f>
        <v>0</v>
      </c>
      <c r="G140" s="17">
        <f t="shared" ref="G140:G156" si="6">D140+E140-F140</f>
        <v>1250000000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2561553185</v>
      </c>
      <c r="E141" s="25">
        <f>SUMIFS('Daftar Koreksi'!$H$5:$H$92,'Daftar Koreksi'!$D$5:$D$92,'2300'!A136,'Daftar Koreksi'!$G$5:$G$92,"Peralatan dan mesin",'Daftar Koreksi'!$H$5:$H$92,"&gt;0")</f>
        <v>0</v>
      </c>
      <c r="F141" s="25">
        <f>SUMIFS('Daftar Koreksi'!$H$5:$H$92,'Daftar Koreksi'!$D$5:$D$92,'2300'!A136,'Daftar Koreksi'!$G$5:$G$92,"Peralatan dan mesin",'Daftar Koreksi'!$H$5:$H$92,"&lt;0")-SUMIFS('Daftar Koreksi'!$H$5:$H$92,'Daftar Koreksi'!$D$5:$D$92,'2300'!A136,'Daftar Koreksi'!$G$5:$G$92,"Peralatan dan mesin",'Daftar Koreksi'!$H$5:$H$92,"&lt;0")-SUMIFS('Daftar Koreksi'!$H$5:$H$92,'Daftar Koreksi'!$D$5:$D$92,'2300'!A136,'Daftar Koreksi'!$G$5:$G$92,"Peralatan dan mesin",'Daftar Koreksi'!$H$5:$H$92,"&lt;0")</f>
        <v>0</v>
      </c>
      <c r="G141" s="17">
        <f t="shared" si="6"/>
        <v>2561553185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7142900000</v>
      </c>
      <c r="E142" s="25">
        <f>SUMIFS('Daftar Koreksi'!$H$5:$H$92,'Daftar Koreksi'!$D$5:$D$92,'2300'!A136,'Daftar Koreksi'!$G$5:$G$92,"Gedung dan Bangunan",'Daftar Koreksi'!$H$5:$H$92,"&gt;0")</f>
        <v>0</v>
      </c>
      <c r="F142" s="25">
        <f>SUMIFS('Daftar Koreksi'!$H$5:$H$92,'Daftar Koreksi'!$D$5:$D$92,'2300'!A136,'Daftar Koreksi'!$G$5:$G$92,"Gedung dan Bangunan",'Daftar Koreksi'!$H$5:$H$92,"&lt;0")-SUMIFS('Daftar Koreksi'!$H$5:$H$92,'Daftar Koreksi'!$D$5:$D$92,'2300'!A136,'Daftar Koreksi'!$G$5:$G$92,"Gedung dan Bangunan",'Daftar Koreksi'!$H$5:$H$92,"&lt;0")-SUMIFS('Daftar Koreksi'!$H$5:$H$92,'Daftar Koreksi'!$D$5:$D$92,'2300'!A136,'Daftar Koreksi'!$G$5:$G$92,"Gedung dan Bangunan",'Daftar Koreksi'!$H$5:$H$92,"&lt;0")</f>
        <v>0</v>
      </c>
      <c r="G142" s="17">
        <f t="shared" si="6"/>
        <v>7142900000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74995000</v>
      </c>
      <c r="E143" s="25">
        <f>SUMIFS('Daftar Koreksi'!$H$5:$H$92,'Daftar Koreksi'!$D$5:$D$92,'2300'!A136,'Daftar Koreksi'!$G$5:$G$92,"Jalan Irigasi Jaringan",'Daftar Koreksi'!$H$5:$H$92,"&gt;0")</f>
        <v>0</v>
      </c>
      <c r="F143" s="25">
        <f>SUMIFS('Daftar Koreksi'!$H$5:$H$92,'Daftar Koreksi'!$D$5:$D$92,'2300'!A136,'Daftar Koreksi'!$G$5:$G$92,"Jalan Irigasi Jaringan",'Daftar Koreksi'!$H$5:$H$92,"&lt;0")-SUMIFS('Daftar Koreksi'!$H$5:$H$92,'Daftar Koreksi'!$D$5:$D$92,'2300'!A136,'Daftar Koreksi'!$G$5:$G$92,"Jalan Irigasi Jaringan",'Daftar Koreksi'!$H$5:$H$92,"&lt;0")-SUMIFS('Daftar Koreksi'!$H$5:$H$92,'Daftar Koreksi'!$D$5:$D$92,'2300'!A136,'Daftar Koreksi'!$G$5:$G$92,"Jalan Irigasi Jaringan",'Daftar Koreksi'!$H$5:$H$92,"&lt;0")</f>
        <v>0</v>
      </c>
      <c r="G143" s="17">
        <f t="shared" si="6"/>
        <v>74995000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12580420</v>
      </c>
      <c r="E144" s="25">
        <f>SUMIFS('Daftar Koreksi'!$H$5:$H$92,'Daftar Koreksi'!$D$5:$D$92,'2300'!A136,'Daftar Koreksi'!$G$5:$G$92,"Aset Tetap Lainnya",'Daftar Koreksi'!$H$5:$H$92,"&gt;0")</f>
        <v>0</v>
      </c>
      <c r="F144" s="25">
        <f>SUMIFS('Daftar Koreksi'!$H$5:$H$92,'Daftar Koreksi'!$D$5:$D$92,'2300'!A136,'Daftar Koreksi'!$G$5:$G$92,"Aset Tetap Lainnya",'Daftar Koreksi'!$H$5:$H$92,"&lt;0")-SUMIFS('Daftar Koreksi'!$H$5:$H$92,'Daftar Koreksi'!$D$5:$D$92,'2300'!A136,'Daftar Koreksi'!$G$5:$G$92,"Aset Tetap Lainnya",'Daftar Koreksi'!$H$5:$H$92,"&lt;0")-SUMIFS('Daftar Koreksi'!$H$5:$H$92,'Daftar Koreksi'!$D$5:$D$92,'2300'!A136,'Daftar Koreksi'!$G$5:$G$92,"Aset Tetap Lainnya",'Daftar Koreksi'!$H$5:$H$92,"&lt;0")</f>
        <v>0</v>
      </c>
      <c r="G144" s="17">
        <f t="shared" si="6"/>
        <v>12580420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Koreksi'!$D$5:$D$92,'2300'!A136,'Daftar Koreksi'!$G$5:$G$92,"Kontruksi Dalam Pengerjaan",'Daftar Koreksi'!$H$5:$H$92,"&gt;0")</f>
        <v>0</v>
      </c>
      <c r="F145" s="25">
        <f>SUMIFS('Daftar Koreksi'!$H$5:$H$92,'Daftar Koreksi'!$D$5:$D$92,'2300'!A136,'Daftar Koreksi'!$G$5:$G$92,"Kontruksi Dalam Pengerjaan",'Daftar Koreksi'!$H$5:$H$92,"&lt;0")-SUMIFS('Daftar Koreksi'!$H$5:$H$92,'Daftar Koreksi'!$D$5:$D$92,'2300'!A136,'Daftar Koreksi'!$G$5:$G$92,"Kontruksi Dalam Pengerjaan",'Daftar Koreksi'!$H$5:$H$92,"&lt;0")-SUMIFS('Daftar Koreksi'!$H$5:$H$92,'Daftar Koreksi'!$D$5:$D$92,'2300'!A136,'Daftar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Koreksi'!$D$5:$D$92,'2300'!A136,'Daftar Koreksi'!$G$5:$G$92,"Aset Tak Berwujud",'Daftar Koreksi'!$H$5:$H$92,"&gt;0")</f>
        <v>0</v>
      </c>
      <c r="F146" s="25">
        <f>SUMIFS('Daftar Koreksi'!$H$5:$H$92,'Daftar Koreksi'!$D$5:$D$92,'2300'!A136,'Daftar Koreksi'!$G$5:$G$92,"Aset Tak Berwujud",'Daftar Koreksi'!$H$5:$H$92,"&lt;0")-SUMIFS('Daftar Koreksi'!$H$5:$H$92,'Daftar Koreksi'!$D$5:$D$92,'2300'!A136,'Daftar Koreksi'!$G$5:$G$92,"Aset Tak Berwujud",'Daftar Koreksi'!$H$5:$H$92,"&lt;0")-SUMIFS('Daftar Koreksi'!$H$5:$H$92,'Daftar Koreksi'!$D$5:$D$92,'2300'!A136,'Daftar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3150000</v>
      </c>
      <c r="E147" s="25">
        <f>SUMIFS('Daftar Koreksi'!$H$5:$H$92,'Daftar Koreksi'!$D$5:$D$92,'2300'!A136,'Daftar Koreksi'!$G$5:$G$92,"Aset Henti Guna",'Daftar Koreksi'!$H$5:$H$92,"&gt;0")</f>
        <v>0</v>
      </c>
      <c r="F147" s="25">
        <f>SUMIFS('Daftar Koreksi'!$H$5:$H$92,'Daftar Koreksi'!$D$5:$D$92,'2300'!A136,'Daftar Koreksi'!$G$5:$G$92,"Aset Henti Guna",'Daftar Koreksi'!$H$5:$H$92,"&lt;0")-SUMIFS('Daftar Koreksi'!$H$5:$H$92,'Daftar Koreksi'!$D$5:$D$92,'2300'!A136,'Daftar Koreksi'!$G$5:$G$92,"Aset Henti Guna",'Daftar Koreksi'!$H$5:$H$92,"&lt;0")-SUMIFS('Daftar Koreksi'!$H$5:$H$92,'Daftar Koreksi'!$D$5:$D$92,'2300'!A136,'Daftar Koreksi'!$G$5:$G$92,"Aset Henti Guna",'Daftar Koreksi'!$H$5:$H$92,"&lt;0")</f>
        <v>0</v>
      </c>
      <c r="G147" s="17">
        <f t="shared" si="6"/>
        <v>3150000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11051125355</v>
      </c>
      <c r="E148" s="19">
        <f>SUM(E139:E147)</f>
        <v>0</v>
      </c>
      <c r="F148" s="19">
        <f>SUM(F139:F147)</f>
        <v>0</v>
      </c>
      <c r="G148" s="19">
        <f t="shared" si="6"/>
        <v>11051125355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-2306153950</v>
      </c>
      <c r="E149" s="25">
        <f>SUMIFS('Daftar Koreksi'!$I$5:$I$92,'Daftar Koreksi'!$D$5:$D$92,'2300'!A136,'Daftar Koreksi'!$G$5:$G$92,"Peralatan dan mesin",'Daftar Koreksi'!$I$5:$I$92,"&gt;0")</f>
        <v>0</v>
      </c>
      <c r="F149" s="25">
        <f>SUMIFS('Daftar Koreksi'!$I$5:$I$92,'Daftar Koreksi'!$D$5:$D$92,'2300'!A136,'Daftar Koreksi'!$G$5:$G$92,"Peralatan dan mesin",'Daftar Koreksi'!$I$5:$I$92,"&lt;0")-SUMIFS('Daftar Koreksi'!$I$5:$I$92,'Daftar Koreksi'!$D$5:$D$92,'2300'!A136,'Daftar Koreksi'!$G$5:$G$92,"Peralatan dan mesin",'Daftar Koreksi'!$I$5:$I$92,"&lt;0")-SUMIFS('Daftar Koreksi'!$I$5:$I$92,'Daftar Koreksi'!$D$5:$D$92,'2300'!A136,'Daftar Koreksi'!$G$5:$G$92,"Peralatan dan mesin",'Daftar Koreksi'!$I$5:$I$92,"&lt;0")</f>
        <v>0</v>
      </c>
      <c r="G149" s="17">
        <f t="shared" si="6"/>
        <v>-2306153950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-1142058245</v>
      </c>
      <c r="E150" s="25">
        <f>SUMIFS('Daftar Koreksi'!$I$5:$I$92,'Daftar Koreksi'!$D$5:$D$92,'2300'!A136,'Daftar Koreksi'!$G$5:$G$92,"Gedung dan Bangunan",'Daftar Koreksi'!$I$5:$I$92,"&gt;0")</f>
        <v>0</v>
      </c>
      <c r="F150" s="25">
        <f>SUMIFS('Daftar Koreksi'!$I$5:$I$92,'Daftar Koreksi'!$D$5:$D$92,'2300'!A136,'Daftar Koreksi'!$G$5:$G$92,"Gedung dan Bangunan",'Daftar Koreksi'!$I$5:$I$92,"&lt;0")-SUMIFS('Daftar Koreksi'!$I$5:$I$92,'Daftar Koreksi'!$D$5:$D$92,'2300'!A136,'Daftar Koreksi'!$G$5:$G$92,"Gedung dan Bangunan",'Daftar Koreksi'!$I$5:$I$92,"&lt;0")-SUMIFS('Daftar Koreksi'!$I$5:$I$92,'Daftar Koreksi'!$D$5:$D$92,'2300'!A136,'Daftar Koreksi'!$G$5:$G$92,"Gedung dan Bangunan",'Daftar Koreksi'!$I$5:$I$92,"&lt;0")</f>
        <v>0</v>
      </c>
      <c r="G150" s="17">
        <f t="shared" si="6"/>
        <v>-1142058245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-10311750</v>
      </c>
      <c r="E151" s="25">
        <f>SUMIFS('Daftar Koreksi'!$I$5:$I$92,'Daftar Koreksi'!$D$5:$D$92,'2300'!A136,'Daftar Koreksi'!$G$5:$G$92,"Jalan Irigasi Jaringan",'Daftar Koreksi'!$I$5:$I$92,"&gt;0")</f>
        <v>0</v>
      </c>
      <c r="F151" s="25">
        <f>SUMIFS('Daftar Koreksi'!$I$5:$I$92,'Daftar Koreksi'!$D$5:$D$92,'2300'!A136,'Daftar Koreksi'!$G$5:$G$92,"Jalan Irigasi Jaringan",'Daftar Koreksi'!$I$5:$I$92,"&lt;0")-SUMIFS('Daftar Koreksi'!$I$5:$I$92,'Daftar Koreksi'!$D$5:$D$92,'2300'!A136,'Daftar Koreksi'!$G$5:$G$92,"Jalan Irigasi Jaringan",'Daftar Koreksi'!$I$5:$I$92,"&lt;0")-SUMIFS('Daftar Koreksi'!$I$5:$I$92,'Daftar Koreksi'!$D$5:$D$92,'2300'!A136,'Daftar Koreksi'!$G$5:$G$92,"Jalan Irigasi Jaringan",'Daftar Koreksi'!$I$5:$I$92,"&lt;0")</f>
        <v>0</v>
      </c>
      <c r="G151" s="17">
        <f t="shared" si="6"/>
        <v>-10311750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Koreksi'!$D$5:$D$92,'2300'!A136,'Daftar Koreksi'!$G$5:$G$92,"Aset Tetap Lainnya",'Daftar Koreksi'!$I$5:$I$92,"&gt;0")</f>
        <v>0</v>
      </c>
      <c r="F152" s="25">
        <f>SUMIFS('Daftar Koreksi'!$I$5:$I$92,'Daftar Koreksi'!$D$5:$D$92,'2300'!A136,'Daftar Koreksi'!$G$5:$G$92,"Aset Tetap Lainnya",'Daftar Koreksi'!$I$5:$I$92,"&lt;0")-SUMIFS('Daftar Koreksi'!$I$5:$I$92,'Daftar Koreksi'!$D$5:$D$92,'2300'!A136,'Daftar Koreksi'!$G$5:$G$92,"Aset Tetap Lainnya",'Daftar Koreksi'!$I$5:$I$92,"&lt;0")-SUMIFS('Daftar Koreksi'!$I$5:$I$92,'Daftar Koreksi'!$D$5:$D$92,'2300'!A136,'Daftar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-3150000</v>
      </c>
      <c r="E153" s="25">
        <f>SUMIFS('Daftar Koreksi'!$I$5:$I$92,'Daftar Koreksi'!$D$5:$D$92,'2300'!A136,'Daftar Koreksi'!$G$5:$G$92,"Aset Henti Guna",'Daftar Koreksi'!$I$5:$I$92,"&gt;0")</f>
        <v>0</v>
      </c>
      <c r="F153" s="25">
        <f>SUMIFS('Daftar Koreksi'!$I$5:$I$92,'Daftar Koreksi'!$D$5:$D$92,'2300'!A136,'Daftar Koreksi'!$G$5:$G$92,"Aset Henti Guna",'Daftar Koreksi'!$I$5:$I$92,"&lt;0")-SUMIFS('Daftar Koreksi'!$I$5:$I$92,'Daftar Koreksi'!$D$5:$D$92,'2300'!A136,'Daftar Koreksi'!$G$5:$G$92,"Aset Henti Guna",'Daftar Koreksi'!$I$5:$I$92,"&lt;0")-SUMIFS('Daftar Koreksi'!$I$5:$I$92,'Daftar Koreksi'!$D$5:$D$92,'2300'!A136,'Daftar Koreksi'!$G$5:$G$92,"Aset Henti Guna",'Daftar Koreksi'!$I$5:$I$92,"&lt;0")</f>
        <v>0</v>
      </c>
      <c r="G153" s="17">
        <f t="shared" si="6"/>
        <v>-3150000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-3461673945</v>
      </c>
      <c r="E154" s="19">
        <f>SUM(E149:E153)</f>
        <v>0</v>
      </c>
      <c r="F154" s="19">
        <f>SUM(F149:F153)</f>
        <v>0</v>
      </c>
      <c r="G154" s="19">
        <f t="shared" si="6"/>
        <v>-3461673945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7589451410</v>
      </c>
      <c r="E155" s="19">
        <f>E154+E148</f>
        <v>0</v>
      </c>
      <c r="F155" s="19">
        <f>F154+F148</f>
        <v>0</v>
      </c>
      <c r="G155" s="19">
        <f t="shared" si="6"/>
        <v>7589451410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005012300307892000KD</v>
      </c>
      <c r="B158" s="11" t="str">
        <f>P8</f>
        <v>PA. Sumbawa</v>
      </c>
      <c r="C158" s="12" t="str">
        <f>A158&amp;" "&amp;B158</f>
        <v>005012300307892000KD PA. Sumbawa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8026750</v>
      </c>
      <c r="E161" s="25">
        <f>SUMIFS('Daftar Koreksi'!$H$5:$H$92,'Daftar Koreksi'!$D$5:$D$92,'2300'!A158,'Daftar Koreksi'!$G$5:$G$92,"Persediaan",'Daftar Koreksi'!$H$5:$H$92,"&gt;0")</f>
        <v>0</v>
      </c>
      <c r="F161" s="25">
        <f>SUMIFS('Daftar Koreksi'!$H$5:$H$92,'Daftar Koreksi'!$D$5:$D$92,'2300'!A158,'Daftar Koreksi'!$G$5:$G$92,"Persediaan",'Daftar Koreksi'!$H$5:$H$92,"&lt;0")-SUMIFS('Daftar Koreksi'!$H$5:$H$92,'Daftar Koreksi'!$D$5:$D$92,'2300'!A158,'Daftar Koreksi'!$G$5:$G$92,"Persediaan",'Daftar Koreksi'!$H$5:$H$92,"&lt;0")-SUMIFS('Daftar Koreksi'!$H$5:$H$92,'Daftar Koreksi'!$D$5:$D$92,'2300'!A158,'Daftar Koreksi'!$G$5:$G$92,"Persediaan",'Daftar Koreksi'!$H$5:$H$92,"&lt;0")</f>
        <v>0</v>
      </c>
      <c r="G161" s="17">
        <f>D161+E161-F161</f>
        <v>8026750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1680662000</v>
      </c>
      <c r="E162" s="25">
        <f>SUMIFS('Daftar Koreksi'!$H$5:$H$92,'Daftar Koreksi'!$D$5:$D$92,'2300'!A158,'Daftar Koreksi'!$G$5:$G$92,"Tanah",'Daftar Koreksi'!$H$5:$H$92,"&gt;0")</f>
        <v>0</v>
      </c>
      <c r="F162" s="25">
        <f>SUMIFS('Daftar Koreksi'!$H$5:$H$92,'Daftar Koreksi'!$D$5:$D$92,'2300'!A158,'Daftar Koreksi'!$G$5:$G$92,"Tanah",'Daftar Koreksi'!$H$5:$H$92,"&lt;0")-SUMIFS('Daftar Koreksi'!$H$5:$H$92,'Daftar Koreksi'!$D$5:$D$92,'2300'!A158,'Daftar Koreksi'!$G$5:$G$92,"Tanah",'Daftar Koreksi'!$H$5:$H$92,"&lt;0")-SUMIFS('Daftar Koreksi'!$H$5:$H$92,'Daftar Koreksi'!$D$5:$D$92,'2300'!A158,'Daftar Koreksi'!$G$5:$G$92,"Tanah",'Daftar Koreksi'!$H$5:$H$92,"&lt;0")</f>
        <v>0</v>
      </c>
      <c r="G162" s="17">
        <f t="shared" ref="G162:G178" si="7">D162+E162-F162</f>
        <v>1680662000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1182903720</v>
      </c>
      <c r="E163" s="25">
        <f>SUMIFS('Daftar Koreksi'!$H$5:$H$92,'Daftar Koreksi'!$D$5:$D$92,'2300'!A158,'Daftar Koreksi'!$G$5:$G$92,"Peralatan dan mesin",'Daftar Koreksi'!$H$5:$H$92,"&gt;0")</f>
        <v>0</v>
      </c>
      <c r="F163" s="25">
        <f>SUMIFS('Daftar Koreksi'!$H$5:$H$92,'Daftar Koreksi'!$D$5:$D$92,'2300'!A158,'Daftar Koreksi'!$G$5:$G$92,"Peralatan dan mesin",'Daftar Koreksi'!$H$5:$H$92,"&lt;0")-SUMIFS('Daftar Koreksi'!$H$5:$H$92,'Daftar Koreksi'!$D$5:$D$92,'2300'!A158,'Daftar Koreksi'!$G$5:$G$92,"Peralatan dan mesin",'Daftar Koreksi'!$H$5:$H$92,"&lt;0")-SUMIFS('Daftar Koreksi'!$H$5:$H$92,'Daftar Koreksi'!$D$5:$D$92,'2300'!A158,'Daftar Koreksi'!$G$5:$G$92,"Peralatan dan mesin",'Daftar Koreksi'!$H$5:$H$92,"&lt;0")</f>
        <v>0</v>
      </c>
      <c r="G163" s="17">
        <f t="shared" si="7"/>
        <v>1182903720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4156879000</v>
      </c>
      <c r="E164" s="25">
        <f>SUMIFS('Daftar Koreksi'!$H$5:$H$92,'Daftar Koreksi'!$D$5:$D$92,'2300'!A158,'Daftar Koreksi'!$G$5:$G$92,"Gedung dan Bangunan",'Daftar Koreksi'!$H$5:$H$92,"&gt;0")</f>
        <v>0</v>
      </c>
      <c r="F164" s="25">
        <f>SUMIFS('Daftar Koreksi'!$H$5:$H$92,'Daftar Koreksi'!$D$5:$D$92,'2300'!A158,'Daftar Koreksi'!$G$5:$G$92,"Gedung dan Bangunan",'Daftar Koreksi'!$H$5:$H$92,"&lt;0")-SUMIFS('Daftar Koreksi'!$H$5:$H$92,'Daftar Koreksi'!$D$5:$D$92,'2300'!A158,'Daftar Koreksi'!$G$5:$G$92,"Gedung dan Bangunan",'Daftar Koreksi'!$H$5:$H$92,"&lt;0")-SUMIFS('Daftar Koreksi'!$H$5:$H$92,'Daftar Koreksi'!$D$5:$D$92,'2300'!A158,'Daftar Koreksi'!$G$5:$G$92,"Gedung dan Bangunan",'Daftar Koreksi'!$H$5:$H$92,"&lt;0")</f>
        <v>0</v>
      </c>
      <c r="G164" s="17">
        <f t="shared" si="7"/>
        <v>4156879000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Koreksi'!$D$5:$D$92,'2300'!A158,'Daftar Koreksi'!$G$5:$G$92,"Jalan Irigasi Jaringan",'Daftar Koreksi'!$H$5:$H$92,"&gt;0")</f>
        <v>0</v>
      </c>
      <c r="F165" s="25">
        <f>SUMIFS('Daftar Koreksi'!$H$5:$H$92,'Daftar Koreksi'!$D$5:$D$92,'2300'!A158,'Daftar Koreksi'!$G$5:$G$92,"Jalan Irigasi Jaringan",'Daftar Koreksi'!$H$5:$H$92,"&lt;0")-SUMIFS('Daftar Koreksi'!$H$5:$H$92,'Daftar Koreksi'!$D$5:$D$92,'2300'!A158,'Daftar Koreksi'!$G$5:$G$92,"Jalan Irigasi Jaringan",'Daftar Koreksi'!$H$5:$H$92,"&lt;0")-SUMIFS('Daftar Koreksi'!$H$5:$H$92,'Daftar Koreksi'!$D$5:$D$92,'2300'!A158,'Daftar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4436600</v>
      </c>
      <c r="E166" s="25">
        <f>SUMIFS('Daftar Koreksi'!$H$5:$H$92,'Daftar Koreksi'!$D$5:$D$92,'2300'!A158,'Daftar Koreksi'!$G$5:$G$92,"Aset Tetap Lainnya",'Daftar Koreksi'!$H$5:$H$92,"&gt;0")</f>
        <v>0</v>
      </c>
      <c r="F166" s="25">
        <f>SUMIFS('Daftar Koreksi'!$H$5:$H$92,'Daftar Koreksi'!$D$5:$D$92,'2300'!A158,'Daftar Koreksi'!$G$5:$G$92,"Aset Tetap Lainnya",'Daftar Koreksi'!$H$5:$H$92,"&lt;0")-SUMIFS('Daftar Koreksi'!$H$5:$H$92,'Daftar Koreksi'!$D$5:$D$92,'2300'!A158,'Daftar Koreksi'!$G$5:$G$92,"Aset Tetap Lainnya",'Daftar Koreksi'!$H$5:$H$92,"&lt;0")-SUMIFS('Daftar Koreksi'!$H$5:$H$92,'Daftar Koreksi'!$D$5:$D$92,'2300'!A158,'Daftar Koreksi'!$G$5:$G$92,"Aset Tetap Lainnya",'Daftar Koreksi'!$H$5:$H$92,"&lt;0")</f>
        <v>0</v>
      </c>
      <c r="G166" s="17">
        <f t="shared" si="7"/>
        <v>4436600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3175109500</v>
      </c>
      <c r="E167" s="25">
        <f>SUMIFS('Daftar Koreksi'!$H$5:$H$92,'Daftar Koreksi'!$D$5:$D$92,'2300'!A158,'Daftar Koreksi'!$G$5:$G$92,"Kontruksi Dalam Pengerjaan",'Daftar Koreksi'!$H$5:$H$92,"&gt;0")</f>
        <v>0</v>
      </c>
      <c r="F167" s="25">
        <f>SUMIFS('Daftar Koreksi'!$H$5:$H$92,'Daftar Koreksi'!$D$5:$D$92,'2300'!A158,'Daftar Koreksi'!$G$5:$G$92,"Kontruksi Dalam Pengerjaan",'Daftar Koreksi'!$H$5:$H$92,"&lt;0")-SUMIFS('Daftar Koreksi'!$H$5:$H$92,'Daftar Koreksi'!$D$5:$D$92,'2300'!A158,'Daftar Koreksi'!$G$5:$G$92,"Kontruksi Dalam Pengerjaan",'Daftar Koreksi'!$H$5:$H$92,"&lt;0")-SUMIFS('Daftar Koreksi'!$H$5:$H$92,'Daftar Koreksi'!$D$5:$D$92,'2300'!A158,'Daftar Koreksi'!$G$5:$G$92,"Kontruksi Dalam Pengerjaan",'Daftar Koreksi'!$H$5:$H$92,"&lt;0")</f>
        <v>0</v>
      </c>
      <c r="G167" s="17">
        <f t="shared" si="7"/>
        <v>3175109500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Koreksi'!$D$5:$D$92,'2300'!A158,'Daftar Koreksi'!$G$5:$G$92,"Aset Tak Berwujud",'Daftar Koreksi'!$H$5:$H$92,"&gt;0")</f>
        <v>0</v>
      </c>
      <c r="F168" s="25">
        <f>SUMIFS('Daftar Koreksi'!$H$5:$H$92,'Daftar Koreksi'!$D$5:$D$92,'2300'!A158,'Daftar Koreksi'!$G$5:$G$92,"Aset Tak Berwujud",'Daftar Koreksi'!$H$5:$H$92,"&lt;0")-SUMIFS('Daftar Koreksi'!$H$5:$H$92,'Daftar Koreksi'!$D$5:$D$92,'2300'!A158,'Daftar Koreksi'!$G$5:$G$92,"Aset Tak Berwujud",'Daftar Koreksi'!$H$5:$H$92,"&lt;0")-SUMIFS('Daftar Koreksi'!$H$5:$H$92,'Daftar Koreksi'!$D$5:$D$92,'2300'!A158,'Daftar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165494200</v>
      </c>
      <c r="E169" s="25">
        <f>SUMIFS('Daftar Koreksi'!$H$5:$H$92,'Daftar Koreksi'!$D$5:$D$92,'2300'!A158,'Daftar Koreksi'!$G$5:$G$92,"Aset Henti Guna",'Daftar Koreksi'!$H$5:$H$92,"&gt;0")</f>
        <v>0</v>
      </c>
      <c r="F169" s="25">
        <f>SUMIFS('Daftar Koreksi'!$H$5:$H$92,'Daftar Koreksi'!$D$5:$D$92,'2300'!A158,'Daftar Koreksi'!$G$5:$G$92,"Aset Henti Guna",'Daftar Koreksi'!$H$5:$H$92,"&lt;0")-SUMIFS('Daftar Koreksi'!$H$5:$H$92,'Daftar Koreksi'!$D$5:$D$92,'2300'!A158,'Daftar Koreksi'!$G$5:$G$92,"Aset Henti Guna",'Daftar Koreksi'!$H$5:$H$92,"&lt;0")-SUMIFS('Daftar Koreksi'!$H$5:$H$92,'Daftar Koreksi'!$D$5:$D$92,'2300'!A158,'Daftar Koreksi'!$G$5:$G$92,"Aset Henti Guna",'Daftar Koreksi'!$H$5:$H$92,"&lt;0")</f>
        <v>0</v>
      </c>
      <c r="G169" s="17">
        <f t="shared" si="7"/>
        <v>165494200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10373511770</v>
      </c>
      <c r="E170" s="19">
        <f>SUM(E161:E169)</f>
        <v>0</v>
      </c>
      <c r="F170" s="19">
        <f>SUM(F161:F169)</f>
        <v>0</v>
      </c>
      <c r="G170" s="19">
        <f t="shared" si="7"/>
        <v>10373511770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-960603600</v>
      </c>
      <c r="E171" s="25">
        <f>SUMIFS('Daftar Koreksi'!$I$5:$I$92,'Daftar Koreksi'!$D$5:$D$92,'2300'!A158,'Daftar Koreksi'!$G$5:$G$92,"Peralatan dan mesin",'Daftar Koreksi'!$I$5:$I$92,"&gt;0")</f>
        <v>0</v>
      </c>
      <c r="F171" s="25">
        <f>SUMIFS('Daftar Koreksi'!$I$5:$I$92,'Daftar Koreksi'!$D$5:$D$92,'2300'!A158,'Daftar Koreksi'!$G$5:$G$92,"Peralatan dan mesin",'Daftar Koreksi'!$I$5:$I$92,"&lt;0")-SUMIFS('Daftar Koreksi'!$I$5:$I$92,'Daftar Koreksi'!$D$5:$D$92,'2300'!A158,'Daftar Koreksi'!$G$5:$G$92,"Peralatan dan mesin",'Daftar Koreksi'!$I$5:$I$92,"&lt;0")-SUMIFS('Daftar Koreksi'!$I$5:$I$92,'Daftar Koreksi'!$D$5:$D$92,'2300'!A158,'Daftar Koreksi'!$G$5:$G$92,"Peralatan dan mesin",'Daftar Koreksi'!$I$5:$I$92,"&lt;0")</f>
        <v>0</v>
      </c>
      <c r="G171" s="17">
        <f t="shared" si="7"/>
        <v>-960603600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-803180230</v>
      </c>
      <c r="E172" s="25">
        <f>SUMIFS('Daftar Koreksi'!$I$5:$I$92,'Daftar Koreksi'!$D$5:$D$92,'2300'!A158,'Daftar Koreksi'!$G$5:$G$92,"Gedung dan Bangunan",'Daftar Koreksi'!$I$5:$I$92,"&gt;0")</f>
        <v>0</v>
      </c>
      <c r="F172" s="25">
        <f>SUMIFS('Daftar Koreksi'!$I$5:$I$92,'Daftar Koreksi'!$D$5:$D$92,'2300'!A158,'Daftar Koreksi'!$G$5:$G$92,"Gedung dan Bangunan",'Daftar Koreksi'!$I$5:$I$92,"&lt;0")-SUMIFS('Daftar Koreksi'!$I$5:$I$92,'Daftar Koreksi'!$D$5:$D$92,'2300'!A158,'Daftar Koreksi'!$G$5:$G$92,"Gedung dan Bangunan",'Daftar Koreksi'!$I$5:$I$92,"&lt;0")-SUMIFS('Daftar Koreksi'!$I$5:$I$92,'Daftar Koreksi'!$D$5:$D$92,'2300'!A158,'Daftar Koreksi'!$G$5:$G$92,"Gedung dan Bangunan",'Daftar Koreksi'!$I$5:$I$92,"&lt;0")</f>
        <v>0</v>
      </c>
      <c r="G172" s="17">
        <f t="shared" si="7"/>
        <v>-803180230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Koreksi'!$D$5:$D$92,'2300'!A158,'Daftar Koreksi'!$G$5:$G$92,"Jalan Irigasi Jaringan",'Daftar Koreksi'!$I$5:$I$92,"&gt;0")</f>
        <v>0</v>
      </c>
      <c r="F173" s="25">
        <f>SUMIFS('Daftar Koreksi'!$I$5:$I$92,'Daftar Koreksi'!$D$5:$D$92,'2300'!A158,'Daftar Koreksi'!$G$5:$G$92,"Jalan Irigasi Jaringan",'Daftar Koreksi'!$I$5:$I$92,"&lt;0")-SUMIFS('Daftar Koreksi'!$I$5:$I$92,'Daftar Koreksi'!$D$5:$D$92,'2300'!A158,'Daftar Koreksi'!$G$5:$G$92,"Jalan Irigasi Jaringan",'Daftar Koreksi'!$I$5:$I$92,"&lt;0")-SUMIFS('Daftar Koreksi'!$I$5:$I$92,'Daftar Koreksi'!$D$5:$D$92,'2300'!A158,'Daftar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Koreksi'!$D$5:$D$92,'2300'!A158,'Daftar Koreksi'!$G$5:$G$92,"Aset Tetap Lainnya",'Daftar Koreksi'!$I$5:$I$92,"&gt;0")</f>
        <v>0</v>
      </c>
      <c r="F174" s="25">
        <f>SUMIFS('Daftar Koreksi'!$I$5:$I$92,'Daftar Koreksi'!$D$5:$D$92,'2300'!A158,'Daftar Koreksi'!$G$5:$G$92,"Aset Tetap Lainnya",'Daftar Koreksi'!$I$5:$I$92,"&lt;0")-SUMIFS('Daftar Koreksi'!$I$5:$I$92,'Daftar Koreksi'!$D$5:$D$92,'2300'!A158,'Daftar Koreksi'!$G$5:$G$92,"Aset Tetap Lainnya",'Daftar Koreksi'!$I$5:$I$92,"&lt;0")-SUMIFS('Daftar Koreksi'!$I$5:$I$92,'Daftar Koreksi'!$D$5:$D$92,'2300'!A158,'Daftar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-140881200</v>
      </c>
      <c r="E175" s="25">
        <f>SUMIFS('Daftar Koreksi'!$I$5:$I$92,'Daftar Koreksi'!$D$5:$D$92,'2300'!A158,'Daftar Koreksi'!$G$5:$G$92,"Aset Henti Guna",'Daftar Koreksi'!$I$5:$I$92,"&gt;0")</f>
        <v>0</v>
      </c>
      <c r="F175" s="25">
        <f>SUMIFS('Daftar Koreksi'!$I$5:$I$92,'Daftar Koreksi'!$D$5:$D$92,'2300'!A158,'Daftar Koreksi'!$G$5:$G$92,"Aset Henti Guna",'Daftar Koreksi'!$I$5:$I$92,"&lt;0")-SUMIFS('Daftar Koreksi'!$I$5:$I$92,'Daftar Koreksi'!$D$5:$D$92,'2300'!A158,'Daftar Koreksi'!$G$5:$G$92,"Aset Henti Guna",'Daftar Koreksi'!$I$5:$I$92,"&lt;0")-SUMIFS('Daftar Koreksi'!$I$5:$I$92,'Daftar Koreksi'!$D$5:$D$92,'2300'!A158,'Daftar Koreksi'!$G$5:$G$92,"Aset Henti Guna",'Daftar Koreksi'!$I$5:$I$92,"&lt;0")</f>
        <v>0</v>
      </c>
      <c r="G175" s="17">
        <f t="shared" si="7"/>
        <v>-140881200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-1904665030</v>
      </c>
      <c r="E176" s="19">
        <f>SUM(E171:E175)</f>
        <v>0</v>
      </c>
      <c r="F176" s="19">
        <f>SUM(F171:F175)</f>
        <v>0</v>
      </c>
      <c r="G176" s="19">
        <f t="shared" si="7"/>
        <v>-1904665030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8468846740</v>
      </c>
      <c r="E177" s="19">
        <f>E176+E170</f>
        <v>0</v>
      </c>
      <c r="F177" s="19">
        <f>F176+F170</f>
        <v>0</v>
      </c>
      <c r="G177" s="19">
        <f t="shared" si="7"/>
        <v>8468846740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005012300307907000KD</v>
      </c>
      <c r="B180" s="11" t="str">
        <f>P9</f>
        <v>PA. Praya</v>
      </c>
      <c r="C180" s="12" t="str">
        <f>A180&amp;" "&amp;B180</f>
        <v>005012300307907000KD PA. Praya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14119000</v>
      </c>
      <c r="E183" s="25">
        <f>SUMIFS('Daftar Koreksi'!$H$5:$H$92,'Daftar Koreksi'!$D$5:$D$92,'2300'!A180,'Daftar Koreksi'!$G$5:$G$92,"Persediaan",'Daftar Koreksi'!$H$5:$H$92,"&gt;0")</f>
        <v>0</v>
      </c>
      <c r="F183" s="25">
        <f>SUMIFS('Daftar Koreksi'!$H$5:$H$92,'Daftar Koreksi'!$D$5:$D$92,'2300'!A180,'Daftar Koreksi'!$G$5:$G$92,"Persediaan",'Daftar Koreksi'!$H$5:$H$92,"&lt;0")-SUMIFS('Daftar Koreksi'!$H$5:$H$92,'Daftar Koreksi'!$D$5:$D$92,'2300'!A180,'Daftar Koreksi'!$G$5:$G$92,"Persediaan",'Daftar Koreksi'!$H$5:$H$92,"&lt;0")-SUMIFS('Daftar Koreksi'!$H$5:$H$92,'Daftar Koreksi'!$D$5:$D$92,'2300'!A180,'Daftar Koreksi'!$G$5:$G$92,"Persediaan",'Daftar Koreksi'!$H$5:$H$92,"&lt;0")</f>
        <v>0</v>
      </c>
      <c r="G183" s="17">
        <f>D183+E183-F183</f>
        <v>14119000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783625000</v>
      </c>
      <c r="E184" s="25">
        <f>SUMIFS('Daftar Koreksi'!$H$5:$H$92,'Daftar Koreksi'!$D$5:$D$92,'2300'!A180,'Daftar Koreksi'!$G$5:$G$92,"Tanah",'Daftar Koreksi'!$H$5:$H$92,"&gt;0")</f>
        <v>0</v>
      </c>
      <c r="F184" s="25">
        <f>SUMIFS('Daftar Koreksi'!$H$5:$H$92,'Daftar Koreksi'!$D$5:$D$92,'2300'!A180,'Daftar Koreksi'!$G$5:$G$92,"Tanah",'Daftar Koreksi'!$H$5:$H$92,"&lt;0")-SUMIFS('Daftar Koreksi'!$H$5:$H$92,'Daftar Koreksi'!$D$5:$D$92,'2300'!A180,'Daftar Koreksi'!$G$5:$G$92,"Tanah",'Daftar Koreksi'!$H$5:$H$92,"&lt;0")-SUMIFS('Daftar Koreksi'!$H$5:$H$92,'Daftar Koreksi'!$D$5:$D$92,'2300'!A180,'Daftar Koreksi'!$G$5:$G$92,"Tanah",'Daftar Koreksi'!$H$5:$H$92,"&lt;0")</f>
        <v>0</v>
      </c>
      <c r="G184" s="17">
        <f t="shared" ref="G184:G200" si="8">D184+E184-F184</f>
        <v>783625000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2337004034</v>
      </c>
      <c r="E185" s="25">
        <f>SUMIFS('Daftar Koreksi'!$H$5:$H$92,'Daftar Koreksi'!$D$5:$D$92,'2300'!A180,'Daftar Koreksi'!$G$5:$G$92,"Peralatan dan mesin",'Daftar Koreksi'!$H$5:$H$92,"&gt;0")</f>
        <v>0</v>
      </c>
      <c r="F185" s="25">
        <f>SUMIFS('Daftar Koreksi'!$H$5:$H$92,'Daftar Koreksi'!$D$5:$D$92,'2300'!A180,'Daftar Koreksi'!$G$5:$G$92,"Peralatan dan mesin",'Daftar Koreksi'!$H$5:$H$92,"&lt;0")-SUMIFS('Daftar Koreksi'!$H$5:$H$92,'Daftar Koreksi'!$D$5:$D$92,'2300'!A180,'Daftar Koreksi'!$G$5:$G$92,"Peralatan dan mesin",'Daftar Koreksi'!$H$5:$H$92,"&lt;0")-SUMIFS('Daftar Koreksi'!$H$5:$H$92,'Daftar Koreksi'!$D$5:$D$92,'2300'!A180,'Daftar Koreksi'!$G$5:$G$92,"Peralatan dan mesin",'Daftar Koreksi'!$H$5:$H$92,"&lt;0")</f>
        <v>0</v>
      </c>
      <c r="G185" s="17">
        <f t="shared" si="8"/>
        <v>2337004034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3345785000</v>
      </c>
      <c r="E186" s="25">
        <f>SUMIFS('Daftar Koreksi'!$H$5:$H$92,'Daftar Koreksi'!$D$5:$D$92,'2300'!A180,'Daftar Koreksi'!$G$5:$G$92,"Gedung dan Bangunan",'Daftar Koreksi'!$H$5:$H$92,"&gt;0")</f>
        <v>0</v>
      </c>
      <c r="F186" s="25">
        <f>SUMIFS('Daftar Koreksi'!$H$5:$H$92,'Daftar Koreksi'!$D$5:$D$92,'2300'!A180,'Daftar Koreksi'!$G$5:$G$92,"Gedung dan Bangunan",'Daftar Koreksi'!$H$5:$H$92,"&lt;0")-SUMIFS('Daftar Koreksi'!$H$5:$H$92,'Daftar Koreksi'!$D$5:$D$92,'2300'!A180,'Daftar Koreksi'!$G$5:$G$92,"Gedung dan Bangunan",'Daftar Koreksi'!$H$5:$H$92,"&lt;0")-SUMIFS('Daftar Koreksi'!$H$5:$H$92,'Daftar Koreksi'!$D$5:$D$92,'2300'!A180,'Daftar Koreksi'!$G$5:$G$92,"Gedung dan Bangunan",'Daftar Koreksi'!$H$5:$H$92,"&lt;0")</f>
        <v>0</v>
      </c>
      <c r="G186" s="17">
        <f t="shared" si="8"/>
        <v>3345785000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81452800</v>
      </c>
      <c r="E187" s="25">
        <f>SUMIFS('Daftar Koreksi'!$H$5:$H$92,'Daftar Koreksi'!$D$5:$D$92,'2300'!A180,'Daftar Koreksi'!$G$5:$G$92,"Jalan Irigasi Jaringan",'Daftar Koreksi'!$H$5:$H$92,"&gt;0")</f>
        <v>0</v>
      </c>
      <c r="F187" s="25">
        <f>SUMIFS('Daftar Koreksi'!$H$5:$H$92,'Daftar Koreksi'!$D$5:$D$92,'2300'!A180,'Daftar Koreksi'!$G$5:$G$92,"Jalan Irigasi Jaringan",'Daftar Koreksi'!$H$5:$H$92,"&lt;0")-SUMIFS('Daftar Koreksi'!$H$5:$H$92,'Daftar Koreksi'!$D$5:$D$92,'2300'!A180,'Daftar Koreksi'!$G$5:$G$92,"Jalan Irigasi Jaringan",'Daftar Koreksi'!$H$5:$H$92,"&lt;0")-SUMIFS('Daftar Koreksi'!$H$5:$H$92,'Daftar Koreksi'!$D$5:$D$92,'2300'!A180,'Daftar Koreksi'!$G$5:$G$92,"Jalan Irigasi Jaringan",'Daftar Koreksi'!$H$5:$H$92,"&lt;0")</f>
        <v>0</v>
      </c>
      <c r="G187" s="17">
        <f t="shared" si="8"/>
        <v>81452800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38141596</v>
      </c>
      <c r="E188" s="25">
        <f>SUMIFS('Daftar Koreksi'!$H$5:$H$92,'Daftar Koreksi'!$D$5:$D$92,'2300'!A180,'Daftar Koreksi'!$G$5:$G$92,"Aset Tetap Lainnya",'Daftar Koreksi'!$H$5:$H$92,"&gt;0")</f>
        <v>0</v>
      </c>
      <c r="F188" s="25">
        <f>SUMIFS('Daftar Koreksi'!$H$5:$H$92,'Daftar Koreksi'!$D$5:$D$92,'2300'!A180,'Daftar Koreksi'!$G$5:$G$92,"Aset Tetap Lainnya",'Daftar Koreksi'!$H$5:$H$92,"&lt;0")-SUMIFS('Daftar Koreksi'!$H$5:$H$92,'Daftar Koreksi'!$D$5:$D$92,'2300'!A180,'Daftar Koreksi'!$G$5:$G$92,"Aset Tetap Lainnya",'Daftar Koreksi'!$H$5:$H$92,"&lt;0")-SUMIFS('Daftar Koreksi'!$H$5:$H$92,'Daftar Koreksi'!$D$5:$D$92,'2300'!A180,'Daftar Koreksi'!$G$5:$G$92,"Aset Tetap Lainnya",'Daftar Koreksi'!$H$5:$H$92,"&lt;0")</f>
        <v>0</v>
      </c>
      <c r="G188" s="17">
        <f t="shared" si="8"/>
        <v>38141596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Koreksi'!$D$5:$D$92,'2300'!A180,'Daftar Koreksi'!$G$5:$G$92,"Kontruksi Dalam Pengerjaan",'Daftar Koreksi'!$H$5:$H$92,"&gt;0")</f>
        <v>0</v>
      </c>
      <c r="F189" s="25">
        <f>SUMIFS('Daftar Koreksi'!$H$5:$H$92,'Daftar Koreksi'!$D$5:$D$92,'2300'!A180,'Daftar Koreksi'!$G$5:$G$92,"Kontruksi Dalam Pengerjaan",'Daftar Koreksi'!$H$5:$H$92,"&lt;0")-SUMIFS('Daftar Koreksi'!$H$5:$H$92,'Daftar Koreksi'!$D$5:$D$92,'2300'!A180,'Daftar Koreksi'!$G$5:$G$92,"Kontruksi Dalam Pengerjaan",'Daftar Koreksi'!$H$5:$H$92,"&lt;0")-SUMIFS('Daftar Koreksi'!$H$5:$H$92,'Daftar Koreksi'!$D$5:$D$92,'2300'!A180,'Daftar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18815000</v>
      </c>
      <c r="E190" s="25">
        <f>SUMIFS('Daftar Koreksi'!$H$5:$H$92,'Daftar Koreksi'!$D$5:$D$92,'2300'!A180,'Daftar Koreksi'!$G$5:$G$92,"Aset Tak Berwujud",'Daftar Koreksi'!$H$5:$H$92,"&gt;0")</f>
        <v>0</v>
      </c>
      <c r="F190" s="25">
        <f>SUMIFS('Daftar Koreksi'!$H$5:$H$92,'Daftar Koreksi'!$D$5:$D$92,'2300'!A180,'Daftar Koreksi'!$G$5:$G$92,"Aset Tak Berwujud",'Daftar Koreksi'!$H$5:$H$92,"&lt;0")-SUMIFS('Daftar Koreksi'!$H$5:$H$92,'Daftar Koreksi'!$D$5:$D$92,'2300'!A180,'Daftar Koreksi'!$G$5:$G$92,"Aset Tak Berwujud",'Daftar Koreksi'!$H$5:$H$92,"&lt;0")-SUMIFS('Daftar Koreksi'!$H$5:$H$92,'Daftar Koreksi'!$D$5:$D$92,'2300'!A180,'Daftar Koreksi'!$G$5:$G$92,"Aset Tak Berwujud",'Daftar Koreksi'!$H$5:$H$92,"&lt;0")</f>
        <v>0</v>
      </c>
      <c r="G190" s="17">
        <f t="shared" si="8"/>
        <v>18815000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15100000</v>
      </c>
      <c r="E191" s="25">
        <f>SUMIFS('Daftar Koreksi'!$H$5:$H$92,'Daftar Koreksi'!$D$5:$D$92,'2300'!A180,'Daftar Koreksi'!$G$5:$G$92,"Aset Henti Guna",'Daftar Koreksi'!$H$5:$H$92,"&gt;0")</f>
        <v>0</v>
      </c>
      <c r="F191" s="25">
        <f>SUMIFS('Daftar Koreksi'!$H$5:$H$92,'Daftar Koreksi'!$D$5:$D$92,'2300'!A180,'Daftar Koreksi'!$G$5:$G$92,"Aset Henti Guna",'Daftar Koreksi'!$H$5:$H$92,"&lt;0")-SUMIFS('Daftar Koreksi'!$H$5:$H$92,'Daftar Koreksi'!$D$5:$D$92,'2300'!A180,'Daftar Koreksi'!$G$5:$G$92,"Aset Henti Guna",'Daftar Koreksi'!$H$5:$H$92,"&lt;0")-SUMIFS('Daftar Koreksi'!$H$5:$H$92,'Daftar Koreksi'!$D$5:$D$92,'2300'!A180,'Daftar Koreksi'!$G$5:$G$92,"Aset Henti Guna",'Daftar Koreksi'!$H$5:$H$92,"&lt;0")</f>
        <v>0</v>
      </c>
      <c r="G191" s="17">
        <f t="shared" si="8"/>
        <v>15100000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6634042430</v>
      </c>
      <c r="E192" s="19">
        <f>SUM(E183:E191)</f>
        <v>0</v>
      </c>
      <c r="F192" s="19">
        <f>SUM(F183:F191)</f>
        <v>0</v>
      </c>
      <c r="G192" s="19">
        <f t="shared" si="8"/>
        <v>6634042430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-1686436476</v>
      </c>
      <c r="E193" s="25">
        <f>SUMIFS('Daftar Koreksi'!$I$5:$I$92,'Daftar Koreksi'!$D$5:$D$92,'2300'!A180,'Daftar Koreksi'!$G$5:$G$92,"Peralatan dan mesin",'Daftar Koreksi'!$I$5:$I$92,"&gt;0")</f>
        <v>0</v>
      </c>
      <c r="F193" s="25">
        <f>SUMIFS('Daftar Koreksi'!$I$5:$I$92,'Daftar Koreksi'!$D$5:$D$92,'2300'!A180,'Daftar Koreksi'!$G$5:$G$92,"Peralatan dan mesin",'Daftar Koreksi'!$I$5:$I$92,"&lt;0")-SUMIFS('Daftar Koreksi'!$I$5:$I$92,'Daftar Koreksi'!$D$5:$D$92,'2300'!A180,'Daftar Koreksi'!$G$5:$G$92,"Peralatan dan mesin",'Daftar Koreksi'!$I$5:$I$92,"&lt;0")-SUMIFS('Daftar Koreksi'!$I$5:$I$92,'Daftar Koreksi'!$D$5:$D$92,'2300'!A180,'Daftar Koreksi'!$G$5:$G$92,"Peralatan dan mesin",'Daftar Koreksi'!$I$5:$I$92,"&lt;0")</f>
        <v>0</v>
      </c>
      <c r="G193" s="17">
        <f t="shared" si="8"/>
        <v>-1686436476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-530330700</v>
      </c>
      <c r="E194" s="25">
        <f>SUMIFS('Daftar Koreksi'!$I$5:$I$92,'Daftar Koreksi'!$D$5:$D$92,'2300'!A180,'Daftar Koreksi'!$G$5:$G$92,"Gedung dan Bangunan",'Daftar Koreksi'!$I$5:$I$92,"&gt;0")</f>
        <v>0</v>
      </c>
      <c r="F194" s="25">
        <f>SUMIFS('Daftar Koreksi'!$I$5:$I$92,'Daftar Koreksi'!$D$5:$D$92,'2300'!A180,'Daftar Koreksi'!$G$5:$G$92,"Gedung dan Bangunan",'Daftar Koreksi'!$I$5:$I$92,"&lt;0")-SUMIFS('Daftar Koreksi'!$I$5:$I$92,'Daftar Koreksi'!$D$5:$D$92,'2300'!A180,'Daftar Koreksi'!$G$5:$G$92,"Gedung dan Bangunan",'Daftar Koreksi'!$I$5:$I$92,"&lt;0")-SUMIFS('Daftar Koreksi'!$I$5:$I$92,'Daftar Koreksi'!$D$5:$D$92,'2300'!A180,'Daftar Koreksi'!$G$5:$G$92,"Gedung dan Bangunan",'Daftar Koreksi'!$I$5:$I$92,"&lt;0")</f>
        <v>0</v>
      </c>
      <c r="G194" s="17">
        <f t="shared" si="8"/>
        <v>-530330700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-14287710</v>
      </c>
      <c r="E195" s="25">
        <f>SUMIFS('Daftar Koreksi'!$I$5:$I$92,'Daftar Koreksi'!$D$5:$D$92,'2300'!A180,'Daftar Koreksi'!$G$5:$G$92,"Jalan Irigasi Jaringan",'Daftar Koreksi'!$I$5:$I$92,"&gt;0")</f>
        <v>0</v>
      </c>
      <c r="F195" s="25">
        <f>SUMIFS('Daftar Koreksi'!$I$5:$I$92,'Daftar Koreksi'!$D$5:$D$92,'2300'!A180,'Daftar Koreksi'!$G$5:$G$92,"Jalan Irigasi Jaringan",'Daftar Koreksi'!$I$5:$I$92,"&lt;0")-SUMIFS('Daftar Koreksi'!$I$5:$I$92,'Daftar Koreksi'!$D$5:$D$92,'2300'!A180,'Daftar Koreksi'!$G$5:$G$92,"Jalan Irigasi Jaringan",'Daftar Koreksi'!$I$5:$I$92,"&lt;0")-SUMIFS('Daftar Koreksi'!$I$5:$I$92,'Daftar Koreksi'!$D$5:$D$92,'2300'!A180,'Daftar Koreksi'!$G$5:$G$92,"Jalan Irigasi Jaringan",'Daftar Koreksi'!$I$5:$I$92,"&lt;0")</f>
        <v>0</v>
      </c>
      <c r="G195" s="17">
        <f t="shared" si="8"/>
        <v>-14287710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Koreksi'!$D$5:$D$92,'2300'!A180,'Daftar Koreksi'!$G$5:$G$92,"Aset Tetap Lainnya",'Daftar Koreksi'!$I$5:$I$92,"&gt;0")</f>
        <v>0</v>
      </c>
      <c r="F196" s="25">
        <f>SUMIFS('Daftar Koreksi'!$I$5:$I$92,'Daftar Koreksi'!$D$5:$D$92,'2300'!A180,'Daftar Koreksi'!$G$5:$G$92,"Aset Tetap Lainnya",'Daftar Koreksi'!$I$5:$I$92,"&lt;0")-SUMIFS('Daftar Koreksi'!$I$5:$I$92,'Daftar Koreksi'!$D$5:$D$92,'2300'!A180,'Daftar Koreksi'!$G$5:$G$92,"Aset Tetap Lainnya",'Daftar Koreksi'!$I$5:$I$92,"&lt;0")-SUMIFS('Daftar Koreksi'!$I$5:$I$92,'Daftar Koreksi'!$D$5:$D$92,'2300'!A180,'Daftar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-15100000</v>
      </c>
      <c r="E197" s="25">
        <f>SUMIFS('Daftar Koreksi'!$I$5:$I$92,'Daftar Koreksi'!$D$5:$D$92,'2300'!A180,'Daftar Koreksi'!$G$5:$G$92,"Aset Henti Guna",'Daftar Koreksi'!$I$5:$I$92,"&gt;0")</f>
        <v>0</v>
      </c>
      <c r="F197" s="25">
        <f>SUMIFS('Daftar Koreksi'!$I$5:$I$92,'Daftar Koreksi'!$D$5:$D$92,'2300'!A180,'Daftar Koreksi'!$G$5:$G$92,"Aset Henti Guna",'Daftar Koreksi'!$I$5:$I$92,"&lt;0")-SUMIFS('Daftar Koreksi'!$I$5:$I$92,'Daftar Koreksi'!$D$5:$D$92,'2300'!A180,'Daftar Koreksi'!$G$5:$G$92,"Aset Henti Guna",'Daftar Koreksi'!$I$5:$I$92,"&lt;0")-SUMIFS('Daftar Koreksi'!$I$5:$I$92,'Daftar Koreksi'!$D$5:$D$92,'2300'!A180,'Daftar Koreksi'!$G$5:$G$92,"Aset Henti Guna",'Daftar Koreksi'!$I$5:$I$92,"&lt;0")</f>
        <v>0</v>
      </c>
      <c r="G197" s="17">
        <f t="shared" si="8"/>
        <v>-15100000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-2246154886</v>
      </c>
      <c r="E198" s="19">
        <f>SUM(E193:E197)</f>
        <v>0</v>
      </c>
      <c r="F198" s="19">
        <f>SUM(F193:F197)</f>
        <v>0</v>
      </c>
      <c r="G198" s="19">
        <f t="shared" si="8"/>
        <v>-2246154886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4387887544</v>
      </c>
      <c r="E199" s="19">
        <f>E198+E192</f>
        <v>0</v>
      </c>
      <c r="F199" s="19">
        <f>F198+F192</f>
        <v>0</v>
      </c>
      <c r="G199" s="19">
        <f t="shared" si="8"/>
        <v>4387887544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005012300307911000KD</v>
      </c>
      <c r="B202" s="11" t="str">
        <f>P10</f>
        <v>PA. Selong</v>
      </c>
      <c r="C202" s="12" t="str">
        <f>A202&amp;" "&amp;B202</f>
        <v>005012300307911000KD PA. Selong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3518800</v>
      </c>
      <c r="E205" s="25">
        <f>SUMIFS('Daftar Koreksi'!$H$5:$H$92,'Daftar Koreksi'!$D$5:$D$92,'2300'!A202,'Daftar Koreksi'!$G$5:$G$92,"Persediaan",'Daftar Koreksi'!$H$5:$H$92,"&gt;0")</f>
        <v>0</v>
      </c>
      <c r="F205" s="25">
        <f>SUMIFS('Daftar Koreksi'!$H$5:$H$92,'Daftar Koreksi'!$D$5:$D$92,'2300'!A202,'Daftar Koreksi'!$G$5:$G$92,"Persediaan",'Daftar Koreksi'!$H$5:$H$92,"&lt;0")-SUMIFS('Daftar Koreksi'!$H$5:$H$92,'Daftar Koreksi'!$D$5:$D$92,'2300'!A202,'Daftar Koreksi'!$G$5:$G$92,"Persediaan",'Daftar Koreksi'!$H$5:$H$92,"&lt;0")-SUMIFS('Daftar Koreksi'!$H$5:$H$92,'Daftar Koreksi'!$D$5:$D$92,'2300'!A202,'Daftar Koreksi'!$G$5:$G$92,"Persediaan",'Daftar Koreksi'!$H$5:$H$92,"&lt;0")</f>
        <v>0</v>
      </c>
      <c r="G205" s="17">
        <f>D205+E205-F205</f>
        <v>3518800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1764811102</v>
      </c>
      <c r="E206" s="25">
        <f>SUMIFS('Daftar Koreksi'!$H$5:$H$92,'Daftar Koreksi'!$D$5:$D$92,'2300'!A202,'Daftar Koreksi'!$G$5:$G$92,"Tanah",'Daftar Koreksi'!$H$5:$H$92,"&gt;0")</f>
        <v>0</v>
      </c>
      <c r="F206" s="25">
        <f>SUMIFS('Daftar Koreksi'!$H$5:$H$92,'Daftar Koreksi'!$D$5:$D$92,'2300'!A202,'Daftar Koreksi'!$G$5:$G$92,"Tanah",'Daftar Koreksi'!$H$5:$H$92,"&lt;0")-SUMIFS('Daftar Koreksi'!$H$5:$H$92,'Daftar Koreksi'!$D$5:$D$92,'2300'!A202,'Daftar Koreksi'!$G$5:$G$92,"Tanah",'Daftar Koreksi'!$H$5:$H$92,"&lt;0")-SUMIFS('Daftar Koreksi'!$H$5:$H$92,'Daftar Koreksi'!$D$5:$D$92,'2300'!A202,'Daftar Koreksi'!$G$5:$G$92,"Tanah",'Daftar Koreksi'!$H$5:$H$92,"&lt;0")</f>
        <v>0</v>
      </c>
      <c r="G206" s="17">
        <f t="shared" ref="G206:G222" si="9">D206+E206-F206</f>
        <v>1764811102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2477093611</v>
      </c>
      <c r="E207" s="25">
        <f>SUMIFS('Daftar Koreksi'!$H$5:$H$92,'Daftar Koreksi'!$D$5:$D$92,'2300'!A202,'Daftar Koreksi'!$G$5:$G$92,"Peralatan dan mesin",'Daftar Koreksi'!$H$5:$H$92,"&gt;0")</f>
        <v>0</v>
      </c>
      <c r="F207" s="25">
        <f>SUMIFS('Daftar Koreksi'!$H$5:$H$92,'Daftar Koreksi'!$D$5:$D$92,'2300'!A202,'Daftar Koreksi'!$G$5:$G$92,"Peralatan dan mesin",'Daftar Koreksi'!$H$5:$H$92,"&lt;0")-SUMIFS('Daftar Koreksi'!$H$5:$H$92,'Daftar Koreksi'!$D$5:$D$92,'2300'!A202,'Daftar Koreksi'!$G$5:$G$92,"Peralatan dan mesin",'Daftar Koreksi'!$H$5:$H$92,"&lt;0")-SUMIFS('Daftar Koreksi'!$H$5:$H$92,'Daftar Koreksi'!$D$5:$D$92,'2300'!A202,'Daftar Koreksi'!$G$5:$G$92,"Peralatan dan mesin",'Daftar Koreksi'!$H$5:$H$92,"&lt;0")</f>
        <v>0</v>
      </c>
      <c r="G207" s="17">
        <f t="shared" si="9"/>
        <v>2477093611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7799897800</v>
      </c>
      <c r="E208" s="25">
        <f>SUMIFS('Daftar Koreksi'!$H$5:$H$92,'Daftar Koreksi'!$D$5:$D$92,'2300'!A202,'Daftar Koreksi'!$G$5:$G$92,"Gedung dan Bangunan",'Daftar Koreksi'!$H$5:$H$92,"&gt;0")</f>
        <v>0</v>
      </c>
      <c r="F208" s="25">
        <f>SUMIFS('Daftar Koreksi'!$H$5:$H$92,'Daftar Koreksi'!$D$5:$D$92,'2300'!A202,'Daftar Koreksi'!$G$5:$G$92,"Gedung dan Bangunan",'Daftar Koreksi'!$H$5:$H$92,"&lt;0")-SUMIFS('Daftar Koreksi'!$H$5:$H$92,'Daftar Koreksi'!$D$5:$D$92,'2300'!A202,'Daftar Koreksi'!$G$5:$G$92,"Gedung dan Bangunan",'Daftar Koreksi'!$H$5:$H$92,"&lt;0")-SUMIFS('Daftar Koreksi'!$H$5:$H$92,'Daftar Koreksi'!$D$5:$D$92,'2300'!A202,'Daftar Koreksi'!$G$5:$G$92,"Gedung dan Bangunan",'Daftar Koreksi'!$H$5:$H$92,"&lt;0")</f>
        <v>0</v>
      </c>
      <c r="G208" s="17">
        <f t="shared" si="9"/>
        <v>7799897800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26500000</v>
      </c>
      <c r="E209" s="25">
        <f>SUMIFS('Daftar Koreksi'!$H$5:$H$92,'Daftar Koreksi'!$D$5:$D$92,'2300'!A202,'Daftar Koreksi'!$G$5:$G$92,"Jalan Irigasi Jaringan",'Daftar Koreksi'!$H$5:$H$92,"&gt;0")</f>
        <v>0</v>
      </c>
      <c r="F209" s="25">
        <f>SUMIFS('Daftar Koreksi'!$H$5:$H$92,'Daftar Koreksi'!$D$5:$D$92,'2300'!A202,'Daftar Koreksi'!$G$5:$G$92,"Jalan Irigasi Jaringan",'Daftar Koreksi'!$H$5:$H$92,"&lt;0")-SUMIFS('Daftar Koreksi'!$H$5:$H$92,'Daftar Koreksi'!$D$5:$D$92,'2300'!A202,'Daftar Koreksi'!$G$5:$G$92,"Jalan Irigasi Jaringan",'Daftar Koreksi'!$H$5:$H$92,"&lt;0")-SUMIFS('Daftar Koreksi'!$H$5:$H$92,'Daftar Koreksi'!$D$5:$D$92,'2300'!A202,'Daftar Koreksi'!$G$5:$G$92,"Jalan Irigasi Jaringan",'Daftar Koreksi'!$H$5:$H$92,"&lt;0")</f>
        <v>0</v>
      </c>
      <c r="G209" s="17">
        <f t="shared" si="9"/>
        <v>26500000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48365200</v>
      </c>
      <c r="E210" s="25">
        <f>SUMIFS('Daftar Koreksi'!$H$5:$H$92,'Daftar Koreksi'!$D$5:$D$92,'2300'!A202,'Daftar Koreksi'!$G$5:$G$92,"Aset Tetap Lainnya",'Daftar Koreksi'!$H$5:$H$92,"&gt;0")</f>
        <v>0</v>
      </c>
      <c r="F210" s="25">
        <f>SUMIFS('Daftar Koreksi'!$H$5:$H$92,'Daftar Koreksi'!$D$5:$D$92,'2300'!A202,'Daftar Koreksi'!$G$5:$G$92,"Aset Tetap Lainnya",'Daftar Koreksi'!$H$5:$H$92,"&lt;0")-SUMIFS('Daftar Koreksi'!$H$5:$H$92,'Daftar Koreksi'!$D$5:$D$92,'2300'!A202,'Daftar Koreksi'!$G$5:$G$92,"Aset Tetap Lainnya",'Daftar Koreksi'!$H$5:$H$92,"&lt;0")-SUMIFS('Daftar Koreksi'!$H$5:$H$92,'Daftar Koreksi'!$D$5:$D$92,'2300'!A202,'Daftar Koreksi'!$G$5:$G$92,"Aset Tetap Lainnya",'Daftar Koreksi'!$H$5:$H$92,"&lt;0")</f>
        <v>0</v>
      </c>
      <c r="G210" s="17">
        <f t="shared" si="9"/>
        <v>48365200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Koreksi'!$D$5:$D$92,'2300'!A202,'Daftar Koreksi'!$G$5:$G$92,"Kontruksi Dalam Pengerjaan",'Daftar Koreksi'!$H$5:$H$92,"&gt;0")</f>
        <v>0</v>
      </c>
      <c r="F211" s="25">
        <f>SUMIFS('Daftar Koreksi'!$H$5:$H$92,'Daftar Koreksi'!$D$5:$D$92,'2300'!A202,'Daftar Koreksi'!$G$5:$G$92,"Kontruksi Dalam Pengerjaan",'Daftar Koreksi'!$H$5:$H$92,"&lt;0")-SUMIFS('Daftar Koreksi'!$H$5:$H$92,'Daftar Koreksi'!$D$5:$D$92,'2300'!A202,'Daftar Koreksi'!$G$5:$G$92,"Kontruksi Dalam Pengerjaan",'Daftar Koreksi'!$H$5:$H$92,"&lt;0")-SUMIFS('Daftar Koreksi'!$H$5:$H$92,'Daftar Koreksi'!$D$5:$D$92,'2300'!A202,'Daftar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15000000</v>
      </c>
      <c r="E212" s="25">
        <f>SUMIFS('Daftar Koreksi'!$H$5:$H$92,'Daftar Koreksi'!$D$5:$D$92,'2300'!A202,'Daftar Koreksi'!$G$5:$G$92,"Aset Tak Berwujud",'Daftar Koreksi'!$H$5:$H$92,"&gt;0")</f>
        <v>0</v>
      </c>
      <c r="F212" s="25">
        <f>SUMIFS('Daftar Koreksi'!$H$5:$H$92,'Daftar Koreksi'!$D$5:$D$92,'2300'!A202,'Daftar Koreksi'!$G$5:$G$92,"Aset Tak Berwujud",'Daftar Koreksi'!$H$5:$H$92,"&lt;0")-SUMIFS('Daftar Koreksi'!$H$5:$H$92,'Daftar Koreksi'!$D$5:$D$92,'2300'!A202,'Daftar Koreksi'!$G$5:$G$92,"Aset Tak Berwujud",'Daftar Koreksi'!$H$5:$H$92,"&lt;0")-SUMIFS('Daftar Koreksi'!$H$5:$H$92,'Daftar Koreksi'!$D$5:$D$92,'2300'!A202,'Daftar Koreksi'!$G$5:$G$92,"Aset Tak Berwujud",'Daftar Koreksi'!$H$5:$H$92,"&lt;0")</f>
        <v>0</v>
      </c>
      <c r="G212" s="17">
        <f t="shared" si="9"/>
        <v>15000000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Koreksi'!$D$5:$D$92,'2300'!A202,'Daftar Koreksi'!$G$5:$G$92,"Aset Henti Guna",'Daftar Koreksi'!$H$5:$H$92,"&gt;0")</f>
        <v>0</v>
      </c>
      <c r="F213" s="25">
        <f>SUMIFS('Daftar Koreksi'!$H$5:$H$92,'Daftar Koreksi'!$D$5:$D$92,'2300'!A202,'Daftar Koreksi'!$G$5:$G$92,"Aset Henti Guna",'Daftar Koreksi'!$H$5:$H$92,"&lt;0")-SUMIFS('Daftar Koreksi'!$H$5:$H$92,'Daftar Koreksi'!$D$5:$D$92,'2300'!A202,'Daftar Koreksi'!$G$5:$G$92,"Aset Henti Guna",'Daftar Koreksi'!$H$5:$H$92,"&lt;0")-SUMIFS('Daftar Koreksi'!$H$5:$H$92,'Daftar Koreksi'!$D$5:$D$92,'2300'!A202,'Daftar Koreksi'!$G$5:$G$92,"Aset Henti Guna",'Daftar Koreksi'!$H$5:$H$92,"&lt;0")</f>
        <v>0</v>
      </c>
      <c r="G213" s="17">
        <f t="shared" si="9"/>
        <v>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12135186513</v>
      </c>
      <c r="E214" s="19">
        <f>SUM(E205:E213)</f>
        <v>0</v>
      </c>
      <c r="F214" s="19">
        <f>SUM(F205:F213)</f>
        <v>0</v>
      </c>
      <c r="G214" s="19">
        <f t="shared" si="9"/>
        <v>12135186513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-1818791139</v>
      </c>
      <c r="E215" s="25">
        <f>SUMIFS('Daftar Koreksi'!$I$5:$I$92,'Daftar Koreksi'!$D$5:$D$92,'2300'!A202,'Daftar Koreksi'!$G$5:$G$92,"Peralatan dan mesin",'Daftar Koreksi'!$I$5:$I$92,"&gt;0")</f>
        <v>0</v>
      </c>
      <c r="F215" s="25">
        <f>SUMIFS('Daftar Koreksi'!$I$5:$I$92,'Daftar Koreksi'!$D$5:$D$92,'2300'!A202,'Daftar Koreksi'!$G$5:$G$92,"Peralatan dan mesin",'Daftar Koreksi'!$I$5:$I$92,"&lt;0")-SUMIFS('Daftar Koreksi'!$I$5:$I$92,'Daftar Koreksi'!$D$5:$D$92,'2300'!A202,'Daftar Koreksi'!$G$5:$G$92,"Peralatan dan mesin",'Daftar Koreksi'!$I$5:$I$92,"&lt;0")-SUMIFS('Daftar Koreksi'!$I$5:$I$92,'Daftar Koreksi'!$D$5:$D$92,'2300'!A202,'Daftar Koreksi'!$G$5:$G$92,"Peralatan dan mesin",'Daftar Koreksi'!$I$5:$I$92,"&lt;0")</f>
        <v>0</v>
      </c>
      <c r="G215" s="17">
        <f t="shared" si="9"/>
        <v>-1818791139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-745071589</v>
      </c>
      <c r="E216" s="25">
        <f>SUMIFS('Daftar Koreksi'!$I$5:$I$92,'Daftar Koreksi'!$D$5:$D$92,'2300'!A202,'Daftar Koreksi'!$G$5:$G$92,"Gedung dan Bangunan",'Daftar Koreksi'!$I$5:$I$92,"&gt;0")</f>
        <v>0</v>
      </c>
      <c r="F216" s="25">
        <f>SUMIFS('Daftar Koreksi'!$I$5:$I$92,'Daftar Koreksi'!$D$5:$D$92,'2300'!A202,'Daftar Koreksi'!$G$5:$G$92,"Gedung dan Bangunan",'Daftar Koreksi'!$I$5:$I$92,"&lt;0")-SUMIFS('Daftar Koreksi'!$I$5:$I$92,'Daftar Koreksi'!$D$5:$D$92,'2300'!A202,'Daftar Koreksi'!$G$5:$G$92,"Gedung dan Bangunan",'Daftar Koreksi'!$I$5:$I$92,"&lt;0")-SUMIFS('Daftar Koreksi'!$I$5:$I$92,'Daftar Koreksi'!$D$5:$D$92,'2300'!A202,'Daftar Koreksi'!$G$5:$G$92,"Gedung dan Bangunan",'Daftar Koreksi'!$I$5:$I$92,"&lt;0")</f>
        <v>0</v>
      </c>
      <c r="G216" s="17">
        <f t="shared" si="9"/>
        <v>-745071589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-4637500</v>
      </c>
      <c r="E217" s="25">
        <f>SUMIFS('Daftar Koreksi'!$I$5:$I$92,'Daftar Koreksi'!$D$5:$D$92,'2300'!A202,'Daftar Koreksi'!$G$5:$G$92,"Jalan Irigasi Jaringan",'Daftar Koreksi'!$I$5:$I$92,"&gt;0")</f>
        <v>0</v>
      </c>
      <c r="F217" s="25">
        <f>SUMIFS('Daftar Koreksi'!$I$5:$I$92,'Daftar Koreksi'!$D$5:$D$92,'2300'!A202,'Daftar Koreksi'!$G$5:$G$92,"Jalan Irigasi Jaringan",'Daftar Koreksi'!$I$5:$I$92,"&lt;0")-SUMIFS('Daftar Koreksi'!$I$5:$I$92,'Daftar Koreksi'!$D$5:$D$92,'2300'!A202,'Daftar Koreksi'!$G$5:$G$92,"Jalan Irigasi Jaringan",'Daftar Koreksi'!$I$5:$I$92,"&lt;0")-SUMIFS('Daftar Koreksi'!$I$5:$I$92,'Daftar Koreksi'!$D$5:$D$92,'2300'!A202,'Daftar Koreksi'!$G$5:$G$92,"Jalan Irigasi Jaringan",'Daftar Koreksi'!$I$5:$I$92,"&lt;0")</f>
        <v>0</v>
      </c>
      <c r="G217" s="17">
        <f t="shared" si="9"/>
        <v>-4637500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Koreksi'!$D$5:$D$92,'2300'!A202,'Daftar Koreksi'!$G$5:$G$92,"Aset Tetap Lainnya",'Daftar Koreksi'!$I$5:$I$92,"&gt;0")</f>
        <v>0</v>
      </c>
      <c r="F218" s="25">
        <f>SUMIFS('Daftar Koreksi'!$I$5:$I$92,'Daftar Koreksi'!$D$5:$D$92,'2300'!A202,'Daftar Koreksi'!$G$5:$G$92,"Aset Tetap Lainnya",'Daftar Koreksi'!$I$5:$I$92,"&lt;0")-SUMIFS('Daftar Koreksi'!$I$5:$I$92,'Daftar Koreksi'!$D$5:$D$92,'2300'!A202,'Daftar Koreksi'!$G$5:$G$92,"Aset Tetap Lainnya",'Daftar Koreksi'!$I$5:$I$92,"&lt;0")-SUMIFS('Daftar Koreksi'!$I$5:$I$92,'Daftar Koreksi'!$D$5:$D$92,'2300'!A202,'Daftar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Koreksi'!$D$5:$D$92,'2300'!A202,'Daftar Koreksi'!$G$5:$G$92,"Aset Henti Guna",'Daftar Koreksi'!$I$5:$I$92,"&gt;0")</f>
        <v>0</v>
      </c>
      <c r="F219" s="25">
        <f>SUMIFS('Daftar Koreksi'!$I$5:$I$92,'Daftar Koreksi'!$D$5:$D$92,'2300'!A202,'Daftar Koreksi'!$G$5:$G$92,"Aset Henti Guna",'Daftar Koreksi'!$I$5:$I$92,"&lt;0")-SUMIFS('Daftar Koreksi'!$I$5:$I$92,'Daftar Koreksi'!$D$5:$D$92,'2300'!A202,'Daftar Koreksi'!$G$5:$G$92,"Aset Henti Guna",'Daftar Koreksi'!$I$5:$I$92,"&lt;0")-SUMIFS('Daftar Koreksi'!$I$5:$I$92,'Daftar Koreksi'!$D$5:$D$92,'2300'!A202,'Daftar Koreksi'!$G$5:$G$92,"Aset Henti Guna",'Daftar Koreksi'!$I$5:$I$92,"&lt;0")</f>
        <v>0</v>
      </c>
      <c r="G219" s="17">
        <f t="shared" si="9"/>
        <v>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-2568500228</v>
      </c>
      <c r="E220" s="19">
        <f>SUM(E215:E219)</f>
        <v>0</v>
      </c>
      <c r="F220" s="19">
        <f>SUM(F215:F219)</f>
        <v>0</v>
      </c>
      <c r="G220" s="19">
        <f t="shared" si="9"/>
        <v>-2568500228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9566686285</v>
      </c>
      <c r="E221" s="19">
        <f>E220+E214</f>
        <v>0</v>
      </c>
      <c r="F221" s="19">
        <f>F220+F214</f>
        <v>0</v>
      </c>
      <c r="G221" s="19">
        <f t="shared" si="9"/>
        <v>9566686285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005012300307928000KD</v>
      </c>
      <c r="B224" s="11" t="str">
        <f>P11</f>
        <v>PA. Bima</v>
      </c>
      <c r="C224" s="12" t="str">
        <f>A224&amp;" "&amp;B224</f>
        <v>005012300307928000KD PA. Bima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275000</v>
      </c>
      <c r="E227" s="25">
        <f>SUMIFS('Daftar Koreksi'!$H$5:$H$92,'Daftar Koreksi'!$D$5:$D$92,'2300'!A224,'Daftar Koreksi'!$G$5:$G$92,"Persediaan",'Daftar Koreksi'!$H$5:$H$92,"&gt;0")</f>
        <v>0</v>
      </c>
      <c r="F227" s="25">
        <f>SUMIFS('Daftar Koreksi'!$H$5:$H$92,'Daftar Koreksi'!$D$5:$D$92,'2300'!A224,'Daftar Koreksi'!$G$5:$G$92,"Persediaan",'Daftar Koreksi'!$H$5:$H$92,"&lt;0")-SUMIFS('Daftar Koreksi'!$H$5:$H$92,'Daftar Koreksi'!$D$5:$D$92,'2300'!A224,'Daftar Koreksi'!$G$5:$G$92,"Persediaan",'Daftar Koreksi'!$H$5:$H$92,"&lt;0")-SUMIFS('Daftar Koreksi'!$H$5:$H$92,'Daftar Koreksi'!$D$5:$D$92,'2300'!A224,'Daftar Koreksi'!$G$5:$G$92,"Persediaan",'Daftar Koreksi'!$H$5:$H$92,"&lt;0")</f>
        <v>0</v>
      </c>
      <c r="G227" s="17">
        <f>D227+E227-F227</f>
        <v>275000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582760000</v>
      </c>
      <c r="E228" s="25">
        <f>SUMIFS('Daftar Koreksi'!$H$5:$H$92,'Daftar Koreksi'!$D$5:$D$92,'2300'!A224,'Daftar Koreksi'!$G$5:$G$92,"Tanah",'Daftar Koreksi'!$H$5:$H$92,"&gt;0")</f>
        <v>0</v>
      </c>
      <c r="F228" s="25">
        <f>SUMIFS('Daftar Koreksi'!$H$5:$H$92,'Daftar Koreksi'!$D$5:$D$92,'2300'!A224,'Daftar Koreksi'!$G$5:$G$92,"Tanah",'Daftar Koreksi'!$H$5:$H$92,"&lt;0")-SUMIFS('Daftar Koreksi'!$H$5:$H$92,'Daftar Koreksi'!$D$5:$D$92,'2300'!A224,'Daftar Koreksi'!$G$5:$G$92,"Tanah",'Daftar Koreksi'!$H$5:$H$92,"&lt;0")-SUMIFS('Daftar Koreksi'!$H$5:$H$92,'Daftar Koreksi'!$D$5:$D$92,'2300'!A224,'Daftar Koreksi'!$G$5:$G$92,"Tanah",'Daftar Koreksi'!$H$5:$H$92,"&lt;0")</f>
        <v>0</v>
      </c>
      <c r="G228" s="17">
        <f t="shared" ref="G228:G244" si="10">D228+E228-F228</f>
        <v>582760000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1963992942</v>
      </c>
      <c r="E229" s="25">
        <f>SUMIFS('Daftar Koreksi'!$H$5:$H$92,'Daftar Koreksi'!$D$5:$D$92,'2300'!A224,'Daftar Koreksi'!$G$5:$G$92,"Peralatan dan mesin",'Daftar Koreksi'!$H$5:$H$92,"&gt;0")</f>
        <v>0</v>
      </c>
      <c r="F229" s="25">
        <f>SUMIFS('Daftar Koreksi'!$H$5:$H$92,'Daftar Koreksi'!$D$5:$D$92,'2300'!A224,'Daftar Koreksi'!$G$5:$G$92,"Peralatan dan mesin",'Daftar Koreksi'!$H$5:$H$92,"&lt;0")-SUMIFS('Daftar Koreksi'!$H$5:$H$92,'Daftar Koreksi'!$D$5:$D$92,'2300'!A224,'Daftar Koreksi'!$G$5:$G$92,"Peralatan dan mesin",'Daftar Koreksi'!$H$5:$H$92,"&lt;0")-SUMIFS('Daftar Koreksi'!$H$5:$H$92,'Daftar Koreksi'!$D$5:$D$92,'2300'!A224,'Daftar Koreksi'!$G$5:$G$92,"Peralatan dan mesin",'Daftar Koreksi'!$H$5:$H$92,"&lt;0")</f>
        <v>0</v>
      </c>
      <c r="G229" s="17">
        <f t="shared" si="10"/>
        <v>1963992942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4342408040</v>
      </c>
      <c r="E230" s="25">
        <f>SUMIFS('Daftar Koreksi'!$H$5:$H$92,'Daftar Koreksi'!$D$5:$D$92,'2300'!A224,'Daftar Koreksi'!$G$5:$G$92,"Gedung dan Bangunan",'Daftar Koreksi'!$H$5:$H$92,"&gt;0")</f>
        <v>0</v>
      </c>
      <c r="F230" s="25">
        <f>SUMIFS('Daftar Koreksi'!$H$5:$H$92,'Daftar Koreksi'!$D$5:$D$92,'2300'!A224,'Daftar Koreksi'!$G$5:$G$92,"Gedung dan Bangunan",'Daftar Koreksi'!$H$5:$H$92,"&lt;0")-SUMIFS('Daftar Koreksi'!$H$5:$H$92,'Daftar Koreksi'!$D$5:$D$92,'2300'!A224,'Daftar Koreksi'!$G$5:$G$92,"Gedung dan Bangunan",'Daftar Koreksi'!$H$5:$H$92,"&lt;0")-SUMIFS('Daftar Koreksi'!$H$5:$H$92,'Daftar Koreksi'!$D$5:$D$92,'2300'!A224,'Daftar Koreksi'!$G$5:$G$92,"Gedung dan Bangunan",'Daftar Koreksi'!$H$5:$H$92,"&lt;0")</f>
        <v>0</v>
      </c>
      <c r="G230" s="17">
        <f t="shared" si="10"/>
        <v>4342408040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46904200</v>
      </c>
      <c r="E231" s="25">
        <f>SUMIFS('Daftar Koreksi'!$H$5:$H$92,'Daftar Koreksi'!$D$5:$D$92,'2300'!A224,'Daftar Koreksi'!$G$5:$G$92,"Jalan Irigasi Jaringan",'Daftar Koreksi'!$H$5:$H$92,"&gt;0")</f>
        <v>0</v>
      </c>
      <c r="F231" s="25">
        <f>SUMIFS('Daftar Koreksi'!$H$5:$H$92,'Daftar Koreksi'!$D$5:$D$92,'2300'!A224,'Daftar Koreksi'!$G$5:$G$92,"Jalan Irigasi Jaringan",'Daftar Koreksi'!$H$5:$H$92,"&lt;0")-SUMIFS('Daftar Koreksi'!$H$5:$H$92,'Daftar Koreksi'!$D$5:$D$92,'2300'!A224,'Daftar Koreksi'!$G$5:$G$92,"Jalan Irigasi Jaringan",'Daftar Koreksi'!$H$5:$H$92,"&lt;0")-SUMIFS('Daftar Koreksi'!$H$5:$H$92,'Daftar Koreksi'!$D$5:$D$92,'2300'!A224,'Daftar Koreksi'!$G$5:$G$92,"Jalan Irigasi Jaringan",'Daftar Koreksi'!$H$5:$H$92,"&lt;0")</f>
        <v>0</v>
      </c>
      <c r="G231" s="17">
        <f t="shared" si="10"/>
        <v>46904200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4489720</v>
      </c>
      <c r="E232" s="25">
        <f>SUMIFS('Daftar Koreksi'!$H$5:$H$92,'Daftar Koreksi'!$D$5:$D$92,'2300'!A224,'Daftar Koreksi'!$G$5:$G$92,"Aset Tetap Lainnya",'Daftar Koreksi'!$H$5:$H$92,"&gt;0")</f>
        <v>0</v>
      </c>
      <c r="F232" s="25">
        <f>SUMIFS('Daftar Koreksi'!$H$5:$H$92,'Daftar Koreksi'!$D$5:$D$92,'2300'!A224,'Daftar Koreksi'!$G$5:$G$92,"Aset Tetap Lainnya",'Daftar Koreksi'!$H$5:$H$92,"&lt;0")-SUMIFS('Daftar Koreksi'!$H$5:$H$92,'Daftar Koreksi'!$D$5:$D$92,'2300'!A224,'Daftar Koreksi'!$G$5:$G$92,"Aset Tetap Lainnya",'Daftar Koreksi'!$H$5:$H$92,"&lt;0")-SUMIFS('Daftar Koreksi'!$H$5:$H$92,'Daftar Koreksi'!$D$5:$D$92,'2300'!A224,'Daftar Koreksi'!$G$5:$G$92,"Aset Tetap Lainnya",'Daftar Koreksi'!$H$5:$H$92,"&lt;0")</f>
        <v>0</v>
      </c>
      <c r="G232" s="17">
        <f t="shared" si="10"/>
        <v>4489720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Koreksi'!$D$5:$D$92,'2300'!A224,'Daftar Koreksi'!$G$5:$G$92,"Kontruksi Dalam Pengerjaan",'Daftar Koreksi'!$H$5:$H$92,"&gt;0")</f>
        <v>0</v>
      </c>
      <c r="F233" s="25">
        <f>SUMIFS('Daftar Koreksi'!$H$5:$H$92,'Daftar Koreksi'!$D$5:$D$92,'2300'!A224,'Daftar Koreksi'!$G$5:$G$92,"Kontruksi Dalam Pengerjaan",'Daftar Koreksi'!$H$5:$H$92,"&lt;0")-SUMIFS('Daftar Koreksi'!$H$5:$H$92,'Daftar Koreksi'!$D$5:$D$92,'2300'!A224,'Daftar Koreksi'!$G$5:$G$92,"Kontruksi Dalam Pengerjaan",'Daftar Koreksi'!$H$5:$H$92,"&lt;0")-SUMIFS('Daftar Koreksi'!$H$5:$H$92,'Daftar Koreksi'!$D$5:$D$92,'2300'!A224,'Daftar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12100000</v>
      </c>
      <c r="E234" s="25">
        <f>SUMIFS('Daftar Koreksi'!$H$5:$H$92,'Daftar Koreksi'!$D$5:$D$92,'2300'!A224,'Daftar Koreksi'!$G$5:$G$92,"Aset Tak Berwujud",'Daftar Koreksi'!$H$5:$H$92,"&gt;0")</f>
        <v>0</v>
      </c>
      <c r="F234" s="25">
        <f>SUMIFS('Daftar Koreksi'!$H$5:$H$92,'Daftar Koreksi'!$D$5:$D$92,'2300'!A224,'Daftar Koreksi'!$G$5:$G$92,"Aset Tak Berwujud",'Daftar Koreksi'!$H$5:$H$92,"&lt;0")-SUMIFS('Daftar Koreksi'!$H$5:$H$92,'Daftar Koreksi'!$D$5:$D$92,'2300'!A224,'Daftar Koreksi'!$G$5:$G$92,"Aset Tak Berwujud",'Daftar Koreksi'!$H$5:$H$92,"&lt;0")-SUMIFS('Daftar Koreksi'!$H$5:$H$92,'Daftar Koreksi'!$D$5:$D$92,'2300'!A224,'Daftar Koreksi'!$G$5:$G$92,"Aset Tak Berwujud",'Daftar Koreksi'!$H$5:$H$92,"&lt;0")</f>
        <v>0</v>
      </c>
      <c r="G234" s="17">
        <f t="shared" si="10"/>
        <v>12100000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0</v>
      </c>
      <c r="E235" s="25">
        <f>SUMIFS('Daftar Koreksi'!$H$5:$H$92,'Daftar Koreksi'!$D$5:$D$92,'2300'!A224,'Daftar Koreksi'!$G$5:$G$92,"Aset Henti Guna",'Daftar Koreksi'!$H$5:$H$92,"&gt;0")</f>
        <v>0</v>
      </c>
      <c r="F235" s="25">
        <f>SUMIFS('Daftar Koreksi'!$H$5:$H$92,'Daftar Koreksi'!$D$5:$D$92,'2300'!A224,'Daftar Koreksi'!$G$5:$G$92,"Aset Henti Guna",'Daftar Koreksi'!$H$5:$H$92,"&lt;0")-SUMIFS('Daftar Koreksi'!$H$5:$H$92,'Daftar Koreksi'!$D$5:$D$92,'2300'!A224,'Daftar Koreksi'!$G$5:$G$92,"Aset Henti Guna",'Daftar Koreksi'!$H$5:$H$92,"&lt;0")-SUMIFS('Daftar Koreksi'!$H$5:$H$92,'Daftar Koreksi'!$D$5:$D$92,'2300'!A224,'Daftar Koreksi'!$G$5:$G$92,"Aset Henti Guna",'Daftar Koreksi'!$H$5:$H$92,"&lt;0")</f>
        <v>0</v>
      </c>
      <c r="G235" s="17">
        <f t="shared" si="10"/>
        <v>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6952929902</v>
      </c>
      <c r="E236" s="19">
        <f>SUM(E227:E235)</f>
        <v>0</v>
      </c>
      <c r="F236" s="19">
        <f>SUM(F227:F235)</f>
        <v>0</v>
      </c>
      <c r="G236" s="19">
        <f t="shared" si="10"/>
        <v>6952929902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-1510151749</v>
      </c>
      <c r="E237" s="25">
        <f>SUMIFS('Daftar Koreksi'!$I$5:$I$92,'Daftar Koreksi'!$D$5:$D$92,'2300'!A224,'Daftar Koreksi'!$G$5:$G$92,"Peralatan dan mesin",'Daftar Koreksi'!$I$5:$I$92,"&gt;0")</f>
        <v>0</v>
      </c>
      <c r="F237" s="25">
        <f>SUMIFS('Daftar Koreksi'!$I$5:$I$92,'Daftar Koreksi'!$D$5:$D$92,'2300'!A224,'Daftar Koreksi'!$G$5:$G$92,"Peralatan dan mesin",'Daftar Koreksi'!$I$5:$I$92,"&lt;0")-SUMIFS('Daftar Koreksi'!$I$5:$I$92,'Daftar Koreksi'!$D$5:$D$92,'2300'!A224,'Daftar Koreksi'!$G$5:$G$92,"Peralatan dan mesin",'Daftar Koreksi'!$I$5:$I$92,"&lt;0")-SUMIFS('Daftar Koreksi'!$I$5:$I$92,'Daftar Koreksi'!$D$5:$D$92,'2300'!A224,'Daftar Koreksi'!$G$5:$G$92,"Peralatan dan mesin",'Daftar Koreksi'!$I$5:$I$92,"&lt;0")</f>
        <v>0</v>
      </c>
      <c r="G237" s="17">
        <f t="shared" si="10"/>
        <v>-1510151749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-507524228</v>
      </c>
      <c r="E238" s="25">
        <f>SUMIFS('Daftar Koreksi'!$I$5:$I$92,'Daftar Koreksi'!$D$5:$D$92,'2300'!A224,'Daftar Koreksi'!$G$5:$G$92,"Gedung dan Bangunan",'Daftar Koreksi'!$I$5:$I$92,"&gt;0")</f>
        <v>0</v>
      </c>
      <c r="F238" s="25">
        <f>SUMIFS('Daftar Koreksi'!$I$5:$I$92,'Daftar Koreksi'!$D$5:$D$92,'2300'!A224,'Daftar Koreksi'!$G$5:$G$92,"Gedung dan Bangunan",'Daftar Koreksi'!$I$5:$I$92,"&lt;0")-SUMIFS('Daftar Koreksi'!$I$5:$I$92,'Daftar Koreksi'!$D$5:$D$92,'2300'!A224,'Daftar Koreksi'!$G$5:$G$92,"Gedung dan Bangunan",'Daftar Koreksi'!$I$5:$I$92,"&lt;0")-SUMIFS('Daftar Koreksi'!$I$5:$I$92,'Daftar Koreksi'!$D$5:$D$92,'2300'!A224,'Daftar Koreksi'!$G$5:$G$92,"Gedung dan Bangunan",'Daftar Koreksi'!$I$5:$I$92,"&lt;0")</f>
        <v>0</v>
      </c>
      <c r="G238" s="17">
        <f t="shared" si="10"/>
        <v>-507524228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-12441470</v>
      </c>
      <c r="E239" s="25">
        <f>SUMIFS('Daftar Koreksi'!$I$5:$I$92,'Daftar Koreksi'!$D$5:$D$92,'2300'!A224,'Daftar Koreksi'!$G$5:$G$92,"Jalan Irigasi Jaringan",'Daftar Koreksi'!$I$5:$I$92,"&gt;0")</f>
        <v>0</v>
      </c>
      <c r="F239" s="25">
        <f>SUMIFS('Daftar Koreksi'!$I$5:$I$92,'Daftar Koreksi'!$D$5:$D$92,'2300'!A224,'Daftar Koreksi'!$G$5:$G$92,"Jalan Irigasi Jaringan",'Daftar Koreksi'!$I$5:$I$92,"&lt;0")-SUMIFS('Daftar Koreksi'!$I$5:$I$92,'Daftar Koreksi'!$D$5:$D$92,'2300'!A224,'Daftar Koreksi'!$G$5:$G$92,"Jalan Irigasi Jaringan",'Daftar Koreksi'!$I$5:$I$92,"&lt;0")-SUMIFS('Daftar Koreksi'!$I$5:$I$92,'Daftar Koreksi'!$D$5:$D$92,'2300'!A224,'Daftar Koreksi'!$G$5:$G$92,"Jalan Irigasi Jaringan",'Daftar Koreksi'!$I$5:$I$92,"&lt;0")</f>
        <v>0</v>
      </c>
      <c r="G239" s="17">
        <f t="shared" si="10"/>
        <v>-12441470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Koreksi'!$D$5:$D$92,'2300'!A224,'Daftar Koreksi'!$G$5:$G$92,"Aset Tetap Lainnya",'Daftar Koreksi'!$I$5:$I$92,"&gt;0")</f>
        <v>0</v>
      </c>
      <c r="F240" s="25">
        <f>SUMIFS('Daftar Koreksi'!$I$5:$I$92,'Daftar Koreksi'!$D$5:$D$92,'2300'!A224,'Daftar Koreksi'!$G$5:$G$92,"Aset Tetap Lainnya",'Daftar Koreksi'!$I$5:$I$92,"&lt;0")-SUMIFS('Daftar Koreksi'!$I$5:$I$92,'Daftar Koreksi'!$D$5:$D$92,'2300'!A224,'Daftar Koreksi'!$G$5:$G$92,"Aset Tetap Lainnya",'Daftar Koreksi'!$I$5:$I$92,"&lt;0")-SUMIFS('Daftar Koreksi'!$I$5:$I$92,'Daftar Koreksi'!$D$5:$D$92,'2300'!A224,'Daftar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0</v>
      </c>
      <c r="E241" s="25">
        <f>SUMIFS('Daftar Koreksi'!$I$5:$I$92,'Daftar Koreksi'!$D$5:$D$92,'2300'!A224,'Daftar Koreksi'!$G$5:$G$92,"Aset Henti Guna",'Daftar Koreksi'!$I$5:$I$92,"&gt;0")</f>
        <v>0</v>
      </c>
      <c r="F241" s="25">
        <f>SUMIFS('Daftar Koreksi'!$I$5:$I$92,'Daftar Koreksi'!$D$5:$D$92,'2300'!A224,'Daftar Koreksi'!$G$5:$G$92,"Aset Henti Guna",'Daftar Koreksi'!$I$5:$I$92,"&lt;0")-SUMIFS('Daftar Koreksi'!$I$5:$I$92,'Daftar Koreksi'!$D$5:$D$92,'2300'!A224,'Daftar Koreksi'!$G$5:$G$92,"Aset Henti Guna",'Daftar Koreksi'!$I$5:$I$92,"&lt;0")-SUMIFS('Daftar Koreksi'!$I$5:$I$92,'Daftar Koreksi'!$D$5:$D$92,'2300'!A224,'Daftar Koreksi'!$G$5:$G$92,"Aset Henti Guna",'Daftar Koreksi'!$I$5:$I$92,"&lt;0")</f>
        <v>0</v>
      </c>
      <c r="G241" s="17">
        <f t="shared" si="10"/>
        <v>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-2030117447</v>
      </c>
      <c r="E242" s="19">
        <f>SUM(E237:E241)</f>
        <v>0</v>
      </c>
      <c r="F242" s="19">
        <f>SUM(F237:F241)</f>
        <v>0</v>
      </c>
      <c r="G242" s="19">
        <f t="shared" si="10"/>
        <v>-2030117447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4922812455</v>
      </c>
      <c r="E243" s="19">
        <f>E242+E236</f>
        <v>0</v>
      </c>
      <c r="F243" s="19">
        <f>F242+F236</f>
        <v>0</v>
      </c>
      <c r="G243" s="19">
        <f t="shared" si="10"/>
        <v>4922812455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005012300307932000KD</v>
      </c>
      <c r="B246" s="11" t="str">
        <f>P12</f>
        <v>PA. Dompu</v>
      </c>
      <c r="C246" s="12" t="str">
        <f>A246&amp;" "&amp;B246</f>
        <v>005012300307932000KD PA. Dompu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3315390</v>
      </c>
      <c r="E249" s="25">
        <f>SUMIFS('Daftar Koreksi'!$H$5:$H$92,'Daftar Koreksi'!$D$5:$D$92,'2300'!A246,'Daftar Koreksi'!$G$5:$G$92,"Persediaan",'Daftar Koreksi'!$H$5:$H$92,"&gt;0")</f>
        <v>0</v>
      </c>
      <c r="F249" s="25">
        <f>SUMIFS('Daftar Koreksi'!$H$5:$H$92,'Daftar Koreksi'!$D$5:$D$92,'2300'!A246,'Daftar Koreksi'!$G$5:$G$92,"Persediaan",'Daftar Koreksi'!$H$5:$H$92,"&lt;0")-SUMIFS('Daftar Koreksi'!$H$5:$H$92,'Daftar Koreksi'!$D$5:$D$92,'2300'!A246,'Daftar Koreksi'!$G$5:$G$92,"Persediaan",'Daftar Koreksi'!$H$5:$H$92,"&lt;0")-SUMIFS('Daftar Koreksi'!$H$5:$H$92,'Daftar Koreksi'!$D$5:$D$92,'2300'!A246,'Daftar Koreksi'!$G$5:$G$92,"Persediaan",'Daftar Koreksi'!$H$5:$H$92,"&lt;0")</f>
        <v>0</v>
      </c>
      <c r="G249" s="17">
        <f>D249+E249-F249</f>
        <v>3315390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551000000</v>
      </c>
      <c r="E250" s="25">
        <f>SUMIFS('Daftar Koreksi'!$H$5:$H$92,'Daftar Koreksi'!$D$5:$D$92,'2300'!A246,'Daftar Koreksi'!$G$5:$G$92,"Tanah",'Daftar Koreksi'!$H$5:$H$92,"&gt;0")</f>
        <v>0</v>
      </c>
      <c r="F250" s="25">
        <f>SUMIFS('Daftar Koreksi'!$H$5:$H$92,'Daftar Koreksi'!$D$5:$D$92,'2300'!A246,'Daftar Koreksi'!$G$5:$G$92,"Tanah",'Daftar Koreksi'!$H$5:$H$92,"&lt;0")-SUMIFS('Daftar Koreksi'!$H$5:$H$92,'Daftar Koreksi'!$D$5:$D$92,'2300'!A246,'Daftar Koreksi'!$G$5:$G$92,"Tanah",'Daftar Koreksi'!$H$5:$H$92,"&lt;0")-SUMIFS('Daftar Koreksi'!$H$5:$H$92,'Daftar Koreksi'!$D$5:$D$92,'2300'!A246,'Daftar Koreksi'!$G$5:$G$92,"Tanah",'Daftar Koreksi'!$H$5:$H$92,"&lt;0")</f>
        <v>0</v>
      </c>
      <c r="G250" s="17">
        <f t="shared" ref="G250:G266" si="11">D250+E250-F250</f>
        <v>551000000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1441923778</v>
      </c>
      <c r="E251" s="25">
        <f>SUMIFS('Daftar Koreksi'!$H$5:$H$92,'Daftar Koreksi'!$D$5:$D$92,'2300'!A246,'Daftar Koreksi'!$G$5:$G$92,"Peralatan dan mesin",'Daftar Koreksi'!$H$5:$H$92,"&gt;0")</f>
        <v>0</v>
      </c>
      <c r="F251" s="25">
        <f>SUMIFS('Daftar Koreksi'!$H$5:$H$92,'Daftar Koreksi'!$D$5:$D$92,'2300'!A246,'Daftar Koreksi'!$G$5:$G$92,"Peralatan dan mesin",'Daftar Koreksi'!$H$5:$H$92,"&lt;0")-SUMIFS('Daftar Koreksi'!$H$5:$H$92,'Daftar Koreksi'!$D$5:$D$92,'2300'!A246,'Daftar Koreksi'!$G$5:$G$92,"Peralatan dan mesin",'Daftar Koreksi'!$H$5:$H$92,"&lt;0")-SUMIFS('Daftar Koreksi'!$H$5:$H$92,'Daftar Koreksi'!$D$5:$D$92,'2300'!A246,'Daftar Koreksi'!$G$5:$G$92,"Peralatan dan mesin",'Daftar Koreksi'!$H$5:$H$92,"&lt;0")</f>
        <v>0</v>
      </c>
      <c r="G251" s="17">
        <f t="shared" si="11"/>
        <v>1441923778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2507679090</v>
      </c>
      <c r="E252" s="25">
        <f>SUMIFS('Daftar Koreksi'!$H$5:$H$92,'Daftar Koreksi'!$D$5:$D$92,'2300'!A246,'Daftar Koreksi'!$G$5:$G$92,"Gedung dan Bangunan",'Daftar Koreksi'!$H$5:$H$92,"&gt;0")</f>
        <v>0</v>
      </c>
      <c r="F252" s="25">
        <f>SUMIFS('Daftar Koreksi'!$H$5:$H$92,'Daftar Koreksi'!$D$5:$D$92,'2300'!A246,'Daftar Koreksi'!$G$5:$G$92,"Gedung dan Bangunan",'Daftar Koreksi'!$H$5:$H$92,"&lt;0")-SUMIFS('Daftar Koreksi'!$H$5:$H$92,'Daftar Koreksi'!$D$5:$D$92,'2300'!A246,'Daftar Koreksi'!$G$5:$G$92,"Gedung dan Bangunan",'Daftar Koreksi'!$H$5:$H$92,"&lt;0")-SUMIFS('Daftar Koreksi'!$H$5:$H$92,'Daftar Koreksi'!$D$5:$D$92,'2300'!A246,'Daftar Koreksi'!$G$5:$G$92,"Gedung dan Bangunan",'Daftar Koreksi'!$H$5:$H$92,"&lt;0")</f>
        <v>0</v>
      </c>
      <c r="G252" s="17">
        <f t="shared" si="11"/>
        <v>2507679090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Koreksi'!$D$5:$D$92,'2300'!A246,'Daftar Koreksi'!$G$5:$G$92,"Jalan Irigasi Jaringan",'Daftar Koreksi'!$H$5:$H$92,"&gt;0")</f>
        <v>0</v>
      </c>
      <c r="F253" s="25">
        <f>SUMIFS('Daftar Koreksi'!$H$5:$H$92,'Daftar Koreksi'!$D$5:$D$92,'2300'!A246,'Daftar Koreksi'!$G$5:$G$92,"Jalan Irigasi Jaringan",'Daftar Koreksi'!$H$5:$H$92,"&lt;0")-SUMIFS('Daftar Koreksi'!$H$5:$H$92,'Daftar Koreksi'!$D$5:$D$92,'2300'!A246,'Daftar Koreksi'!$G$5:$G$92,"Jalan Irigasi Jaringan",'Daftar Koreksi'!$H$5:$H$92,"&lt;0")-SUMIFS('Daftar Koreksi'!$H$5:$H$92,'Daftar Koreksi'!$D$5:$D$92,'2300'!A246,'Daftar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1851688</v>
      </c>
      <c r="E254" s="25">
        <f>SUMIFS('Daftar Koreksi'!$H$5:$H$92,'Daftar Koreksi'!$D$5:$D$92,'2300'!A246,'Daftar Koreksi'!$G$5:$G$92,"Aset Tetap Lainnya",'Daftar Koreksi'!$H$5:$H$92,"&gt;0")</f>
        <v>0</v>
      </c>
      <c r="F254" s="25">
        <f>SUMIFS('Daftar Koreksi'!$H$5:$H$92,'Daftar Koreksi'!$D$5:$D$92,'2300'!A246,'Daftar Koreksi'!$G$5:$G$92,"Aset Tetap Lainnya",'Daftar Koreksi'!$H$5:$H$92,"&lt;0")-SUMIFS('Daftar Koreksi'!$H$5:$H$92,'Daftar Koreksi'!$D$5:$D$92,'2300'!A246,'Daftar Koreksi'!$G$5:$G$92,"Aset Tetap Lainnya",'Daftar Koreksi'!$H$5:$H$92,"&lt;0")-SUMIFS('Daftar Koreksi'!$H$5:$H$92,'Daftar Koreksi'!$D$5:$D$92,'2300'!A246,'Daftar Koreksi'!$G$5:$G$92,"Aset Tetap Lainnya",'Daftar Koreksi'!$H$5:$H$92,"&lt;0")</f>
        <v>0</v>
      </c>
      <c r="G254" s="17">
        <f t="shared" si="11"/>
        <v>1851688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Koreksi'!$D$5:$D$92,'2300'!A246,'Daftar Koreksi'!$G$5:$G$92,"Kontruksi Dalam Pengerjaan",'Daftar Koreksi'!$H$5:$H$92,"&gt;0")</f>
        <v>0</v>
      </c>
      <c r="F255" s="25">
        <f>SUMIFS('Daftar Koreksi'!$H$5:$H$92,'Daftar Koreksi'!$D$5:$D$92,'2300'!A246,'Daftar Koreksi'!$G$5:$G$92,"Kontruksi Dalam Pengerjaan",'Daftar Koreksi'!$H$5:$H$92,"&lt;0")-SUMIFS('Daftar Koreksi'!$H$5:$H$92,'Daftar Koreksi'!$D$5:$D$92,'2300'!A246,'Daftar Koreksi'!$G$5:$G$92,"Kontruksi Dalam Pengerjaan",'Daftar Koreksi'!$H$5:$H$92,"&lt;0")-SUMIFS('Daftar Koreksi'!$H$5:$H$92,'Daftar Koreksi'!$D$5:$D$92,'2300'!A246,'Daftar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Koreksi'!$D$5:$D$92,'2300'!A246,'Daftar Koreksi'!$G$5:$G$92,"Aset Tak Berwujud",'Daftar Koreksi'!$H$5:$H$92,"&gt;0")</f>
        <v>0</v>
      </c>
      <c r="F256" s="25">
        <f>SUMIFS('Daftar Koreksi'!$H$5:$H$92,'Daftar Koreksi'!$D$5:$D$92,'2300'!A246,'Daftar Koreksi'!$G$5:$G$92,"Aset Tak Berwujud",'Daftar Koreksi'!$H$5:$H$92,"&lt;0")-SUMIFS('Daftar Koreksi'!$H$5:$H$92,'Daftar Koreksi'!$D$5:$D$92,'2300'!A246,'Daftar Koreksi'!$G$5:$G$92,"Aset Tak Berwujud",'Daftar Koreksi'!$H$5:$H$92,"&lt;0")-SUMIFS('Daftar Koreksi'!$H$5:$H$92,'Daftar Koreksi'!$D$5:$D$92,'2300'!A246,'Daftar Koreksi'!$G$5:$G$92,"Aset Tak Berwujud",'Daftar Koreksi'!$H$5:$H$92,"&lt;0")</f>
        <v>0</v>
      </c>
      <c r="G256" s="17">
        <f t="shared" si="11"/>
        <v>0</v>
      </c>
      <c r="H256" s="122"/>
    </row>
    <row r="257" spans="1:10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Koreksi'!$D$5:$D$92,'2300'!A246,'Daftar Koreksi'!$G$5:$G$92,"Aset Henti Guna",'Daftar Koreksi'!$H$5:$H$92,"&gt;0")</f>
        <v>0</v>
      </c>
      <c r="F257" s="25">
        <f>SUMIFS('Daftar Koreksi'!$H$5:$H$92,'Daftar Koreksi'!$D$5:$D$92,'2300'!A246,'Daftar Koreksi'!$G$5:$G$92,"Aset Henti Guna",'Daftar Koreksi'!$H$5:$H$92,"&lt;0")-SUMIFS('Daftar Koreksi'!$H$5:$H$92,'Daftar Koreksi'!$D$5:$D$92,'2300'!A246,'Daftar Koreksi'!$G$5:$G$92,"Aset Henti Guna",'Daftar Koreksi'!$H$5:$H$92,"&lt;0")-SUMIFS('Daftar Koreksi'!$H$5:$H$92,'Daftar Koreksi'!$D$5:$D$92,'2300'!A246,'Daftar Koreksi'!$G$5:$G$92,"Aset Henti Guna",'Daftar Koreksi'!$H$5:$H$92,"&lt;0")</f>
        <v>0</v>
      </c>
      <c r="G257" s="17">
        <f t="shared" si="11"/>
        <v>0</v>
      </c>
      <c r="H257" s="122"/>
    </row>
    <row r="258" spans="1:10" ht="21.95" customHeight="1">
      <c r="A258" s="14"/>
      <c r="B258" s="14"/>
      <c r="C258" s="18" t="s">
        <v>2093</v>
      </c>
      <c r="D258" s="19">
        <f>VLOOKUP(A246,'Neraca Unaudited SIMAK'!$A$2:$S$10004,12,FALSE)</f>
        <v>4505769946</v>
      </c>
      <c r="E258" s="19">
        <f>SUM(E249:E257)</f>
        <v>0</v>
      </c>
      <c r="F258" s="19">
        <f>SUM(F249:F257)</f>
        <v>0</v>
      </c>
      <c r="G258" s="19">
        <f t="shared" si="11"/>
        <v>4505769946</v>
      </c>
      <c r="H258" s="122"/>
    </row>
    <row r="259" spans="1:10" ht="21.95" customHeight="1">
      <c r="A259" s="14"/>
      <c r="B259" s="14"/>
      <c r="C259" s="16" t="s">
        <v>2087</v>
      </c>
      <c r="D259" s="17">
        <f>VLOOKUP(A246,'Neraca Unaudited SIMAK'!$A$2:$S$10004,13,FALSE)</f>
        <v>-1095501565</v>
      </c>
      <c r="E259" s="25">
        <f>SUMIFS('Daftar Koreksi'!$I$5:$I$92,'Daftar Koreksi'!$D$5:$D$92,'2300'!A246,'Daftar Koreksi'!$G$5:$G$92,"Peralatan dan mesin",'Daftar Koreksi'!$I$5:$I$92,"&gt;0")</f>
        <v>0</v>
      </c>
      <c r="F259" s="25">
        <f>SUMIFS('Daftar Koreksi'!$I$5:$I$92,'Daftar Koreksi'!$D$5:$D$92,'2300'!A246,'Daftar Koreksi'!$G$5:$G$92,"Peralatan dan mesin",'Daftar Koreksi'!$I$5:$I$92,"&lt;0")-SUMIFS('Daftar Koreksi'!$I$5:$I$92,'Daftar Koreksi'!$D$5:$D$92,'2300'!A246,'Daftar Koreksi'!$G$5:$G$92,"Peralatan dan mesin",'Daftar Koreksi'!$I$5:$I$92,"&lt;0")-SUMIFS('Daftar Koreksi'!$I$5:$I$92,'Daftar Koreksi'!$D$5:$D$92,'2300'!A246,'Daftar Koreksi'!$G$5:$G$92,"Peralatan dan mesin",'Daftar Koreksi'!$I$5:$I$92,"&lt;0")</f>
        <v>0</v>
      </c>
      <c r="G259" s="17">
        <f t="shared" si="11"/>
        <v>-1095501565</v>
      </c>
      <c r="H259" s="122"/>
    </row>
    <row r="260" spans="1:10" ht="21.95" customHeight="1">
      <c r="A260" s="14"/>
      <c r="B260" s="14"/>
      <c r="C260" s="16" t="s">
        <v>2088</v>
      </c>
      <c r="D260" s="17">
        <f>VLOOKUP(A246,'Neraca Unaudited SIMAK'!$A$2:$S$10004,14,FALSE)</f>
        <v>-424365447</v>
      </c>
      <c r="E260" s="25">
        <f>SUMIFS('Daftar Koreksi'!$I$5:$I$92,'Daftar Koreksi'!$D$5:$D$92,'2300'!A246,'Daftar Koreksi'!$G$5:$G$92,"Gedung dan Bangunan",'Daftar Koreksi'!$I$5:$I$92,"&gt;0")</f>
        <v>0</v>
      </c>
      <c r="F260" s="25">
        <f>SUMIFS('Daftar Koreksi'!$I$5:$I$92,'Daftar Koreksi'!$D$5:$D$92,'2300'!A246,'Daftar Koreksi'!$G$5:$G$92,"Gedung dan Bangunan",'Daftar Koreksi'!$I$5:$I$92,"&lt;0")-SUMIFS('Daftar Koreksi'!$I$5:$I$92,'Daftar Koreksi'!$D$5:$D$92,'2300'!A246,'Daftar Koreksi'!$G$5:$G$92,"Gedung dan Bangunan",'Daftar Koreksi'!$I$5:$I$92,"&lt;0")-SUMIFS('Daftar Koreksi'!$I$5:$I$92,'Daftar Koreksi'!$D$5:$D$92,'2300'!A246,'Daftar Koreksi'!$G$5:$G$92,"Gedung dan Bangunan",'Daftar Koreksi'!$I$5:$I$92,"&lt;0")</f>
        <v>0</v>
      </c>
      <c r="G260" s="17">
        <f t="shared" si="11"/>
        <v>-424365447</v>
      </c>
      <c r="H260" s="122"/>
    </row>
    <row r="261" spans="1:10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Koreksi'!$D$5:$D$92,'2300'!A246,'Daftar Koreksi'!$G$5:$G$92,"Jalan Irigasi Jaringan",'Daftar Koreksi'!$I$5:$I$92,"&gt;0")</f>
        <v>0</v>
      </c>
      <c r="F261" s="25">
        <f>SUMIFS('Daftar Koreksi'!$I$5:$I$92,'Daftar Koreksi'!$D$5:$D$92,'2300'!A246,'Daftar Koreksi'!$G$5:$G$92,"Jalan Irigasi Jaringan",'Daftar Koreksi'!$I$5:$I$92,"&lt;0")-SUMIFS('Daftar Koreksi'!$I$5:$I$92,'Daftar Koreksi'!$D$5:$D$92,'2300'!A246,'Daftar Koreksi'!$G$5:$G$92,"Jalan Irigasi Jaringan",'Daftar Koreksi'!$I$5:$I$92,"&lt;0")-SUMIFS('Daftar Koreksi'!$I$5:$I$92,'Daftar Koreksi'!$D$5:$D$92,'2300'!A246,'Daftar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10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Koreksi'!$D$5:$D$92,'2300'!A246,'Daftar Koreksi'!$G$5:$G$92,"Aset Tetap Lainnya",'Daftar Koreksi'!$I$5:$I$92,"&gt;0")</f>
        <v>0</v>
      </c>
      <c r="F262" s="25">
        <f>SUMIFS('Daftar Koreksi'!$I$5:$I$92,'Daftar Koreksi'!$D$5:$D$92,'2300'!A246,'Daftar Koreksi'!$G$5:$G$92,"Aset Tetap Lainnya",'Daftar Koreksi'!$I$5:$I$92,"&lt;0")-SUMIFS('Daftar Koreksi'!$I$5:$I$92,'Daftar Koreksi'!$D$5:$D$92,'2300'!A246,'Daftar Koreksi'!$G$5:$G$92,"Aset Tetap Lainnya",'Daftar Koreksi'!$I$5:$I$92,"&lt;0")-SUMIFS('Daftar Koreksi'!$I$5:$I$92,'Daftar Koreksi'!$D$5:$D$92,'2300'!A246,'Daftar Koreksi'!$G$5:$G$92,"Aset Tetap Lainnya",'Daftar Koreksi'!$I$5:$I$92,"&lt;0")</f>
        <v>0</v>
      </c>
      <c r="G262" s="17">
        <f t="shared" si="11"/>
        <v>0</v>
      </c>
      <c r="H262" s="122"/>
    </row>
    <row r="263" spans="1:10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Koreksi'!$D$5:$D$92,'2300'!A246,'Daftar Koreksi'!$G$5:$G$92,"Aset Henti Guna",'Daftar Koreksi'!$I$5:$I$92,"&gt;0")</f>
        <v>0</v>
      </c>
      <c r="F263" s="25">
        <f>SUMIFS('Daftar Koreksi'!$I$5:$I$92,'Daftar Koreksi'!$D$5:$D$92,'2300'!A246,'Daftar Koreksi'!$G$5:$G$92,"Aset Henti Guna",'Daftar Koreksi'!$I$5:$I$92,"&lt;0")-SUMIFS('Daftar Koreksi'!$I$5:$I$92,'Daftar Koreksi'!$D$5:$D$92,'2300'!A246,'Daftar Koreksi'!$G$5:$G$92,"Aset Henti Guna",'Daftar Koreksi'!$I$5:$I$92,"&lt;0")-SUMIFS('Daftar Koreksi'!$I$5:$I$92,'Daftar Koreksi'!$D$5:$D$92,'2300'!A246,'Daftar Koreksi'!$G$5:$G$92,"Aset Henti Guna",'Daftar Koreksi'!$I$5:$I$92,"&lt;0")</f>
        <v>0</v>
      </c>
      <c r="G263" s="17">
        <f t="shared" si="11"/>
        <v>0</v>
      </c>
      <c r="H263" s="122"/>
    </row>
    <row r="264" spans="1:10" ht="21.95" customHeight="1">
      <c r="A264" s="14"/>
      <c r="B264" s="14"/>
      <c r="C264" s="18" t="s">
        <v>2094</v>
      </c>
      <c r="D264" s="19">
        <f>SUM(D259:D263)</f>
        <v>-1519867012</v>
      </c>
      <c r="E264" s="19">
        <f>SUM(E259:E263)</f>
        <v>0</v>
      </c>
      <c r="F264" s="19">
        <f>SUM(F259:F263)</f>
        <v>0</v>
      </c>
      <c r="G264" s="19">
        <f t="shared" si="11"/>
        <v>-1519867012</v>
      </c>
      <c r="H264" s="122"/>
    </row>
    <row r="265" spans="1:10" ht="21.95" customHeight="1">
      <c r="A265" s="14"/>
      <c r="B265" s="14"/>
      <c r="C265" s="18" t="s">
        <v>2095</v>
      </c>
      <c r="D265" s="19">
        <f>VLOOKUP(A246,'Neraca Unaudited SIMAK'!$A$2:$S$10004,18,FALSE)</f>
        <v>2985902934</v>
      </c>
      <c r="E265" s="19">
        <f>E264+E258</f>
        <v>0</v>
      </c>
      <c r="F265" s="19">
        <f>F264+F258</f>
        <v>0</v>
      </c>
      <c r="G265" s="19">
        <f t="shared" si="11"/>
        <v>2985902934</v>
      </c>
      <c r="H265" s="122"/>
    </row>
    <row r="266" spans="1:10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10" ht="19.5" customHeight="1">
      <c r="A268" s="11" t="str">
        <f>O13</f>
        <v>005012300400559000KD</v>
      </c>
      <c r="B268" s="11" t="str">
        <f>P13</f>
        <v>PT. Mataram</v>
      </c>
      <c r="C268" s="12" t="str">
        <f>A268&amp;" "&amp;B268</f>
        <v>005012300400559000KD PT. Mataram</v>
      </c>
      <c r="D268" s="13"/>
      <c r="E268" s="13"/>
      <c r="F268" s="13"/>
      <c r="G268" s="13"/>
      <c r="H268" s="11"/>
    </row>
    <row r="269" spans="1:10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10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10" ht="21.95" customHeight="1">
      <c r="A271" s="14"/>
      <c r="B271" s="14"/>
      <c r="C271" s="16" t="s">
        <v>1165</v>
      </c>
      <c r="D271" s="17">
        <f>VLOOKUP(A268,'Neraca Unaudited SIMAK'!$A$2:$S$10004,3,FALSE)</f>
        <v>39537932</v>
      </c>
      <c r="E271" s="25">
        <f>SUMIFS('Daftar Koreksi'!$H$5:$H$92,'Daftar Koreksi'!$D$5:$D$92,'2300'!A268,'Daftar Koreksi'!$G$5:$G$92,"Persediaan",'Daftar Koreksi'!$H$5:$H$92,"&gt;0")</f>
        <v>0</v>
      </c>
      <c r="F271" s="25">
        <f>SUMIFS('Daftar Koreksi'!$H$5:$H$92,'Daftar Koreksi'!$D$5:$D$92,'2300'!A268,'Daftar Koreksi'!$G$5:$G$92,"Persediaan",'Daftar Koreksi'!$H$5:$H$92,"&lt;0")-SUMIFS('Daftar Koreksi'!$H$5:$H$92,'Daftar Koreksi'!$D$5:$D$92,'2300'!A268,'Daftar Koreksi'!$G$5:$G$92,"Persediaan",'Daftar Koreksi'!$H$5:$H$92,"&lt;0")-SUMIFS('Daftar Koreksi'!$H$5:$H$92,'Daftar Koreksi'!$D$5:$D$92,'2300'!A268,'Daftar Koreksi'!$G$5:$G$92,"Persediaan",'Daftar Koreksi'!$H$5:$H$92,"&lt;0")</f>
        <v>0</v>
      </c>
      <c r="G271" s="17">
        <f>D271+E271-F271</f>
        <v>39537932</v>
      </c>
      <c r="H271" s="121" t="str">
        <f>IF(ISNA(VLOOKUP(A268,'Mutasi Neraca'!$A$3:$S$914,19,FALSE)),"-",VLOOKUP(A268,'Mutasi Neraca'!$A$3:$S$914,19,FALSE))</f>
        <v>-</v>
      </c>
      <c r="I271" s="37"/>
      <c r="J271" s="37"/>
    </row>
    <row r="272" spans="1:10" ht="21.95" customHeight="1">
      <c r="A272" s="14"/>
      <c r="B272" s="14"/>
      <c r="C272" s="16" t="s">
        <v>1166</v>
      </c>
      <c r="D272" s="17">
        <f>VLOOKUP(A268,'Neraca Unaudited SIMAK'!$A$2:$S$10004,4,FALSE)</f>
        <v>11253020000</v>
      </c>
      <c r="E272" s="25">
        <f>SUMIFS('Daftar Koreksi'!$H$5:$H$92,'Daftar Koreksi'!$D$5:$D$92,'2300'!A268,'Daftar Koreksi'!$G$5:$G$92,"Tanah",'Daftar Koreksi'!$H$5:$H$92,"&gt;0")</f>
        <v>0</v>
      </c>
      <c r="F272" s="25">
        <f>SUMIFS('Daftar Koreksi'!$H$5:$H$92,'Daftar Koreksi'!$D$5:$D$92,'2300'!A268,'Daftar Koreksi'!$G$5:$G$92,"Tanah",'Daftar Koreksi'!$H$5:$H$92,"&lt;0")-SUMIFS('Daftar Koreksi'!$H$5:$H$92,'Daftar Koreksi'!$D$5:$D$92,'2300'!A268,'Daftar Koreksi'!$G$5:$G$92,"Tanah",'Daftar Koreksi'!$H$5:$H$92,"&lt;0")-SUMIFS('Daftar Koreksi'!$H$5:$H$92,'Daftar Koreksi'!$D$5:$D$92,'2300'!A268,'Daftar Koreksi'!$G$5:$G$92,"Tanah",'Daftar Koreksi'!$H$5:$H$92,"&lt;0")</f>
        <v>0</v>
      </c>
      <c r="G272" s="17">
        <f t="shared" ref="G272:G288" si="12">D272+E272-F272</f>
        <v>11253020000</v>
      </c>
      <c r="H272" s="122"/>
      <c r="I272" s="37"/>
      <c r="J272" s="37"/>
    </row>
    <row r="273" spans="1:10" ht="21.95" customHeight="1">
      <c r="A273" s="14"/>
      <c r="B273" s="14"/>
      <c r="C273" s="16" t="s">
        <v>1167</v>
      </c>
      <c r="D273" s="17">
        <f>VLOOKUP(A268,'Neraca Unaudited SIMAK'!$A$2:$S$10004,5,FALSE)</f>
        <v>3963752836</v>
      </c>
      <c r="E273" s="25">
        <f>SUMIFS('Daftar Koreksi'!$H$5:$H$92,'Daftar Koreksi'!$D$5:$D$92,'2300'!A268,'Daftar Koreksi'!$G$5:$G$92,"Peralatan dan mesin",'Daftar Koreksi'!$H$5:$H$92,"&gt;0")</f>
        <v>0</v>
      </c>
      <c r="F273" s="25">
        <f>SUMIFS('Daftar Koreksi'!$H$5:$H$92,'Daftar Koreksi'!$D$5:$D$92,'2300'!A268,'Daftar Koreksi'!$G$5:$G$92,"Peralatan dan mesin",'Daftar Koreksi'!$H$5:$H$92,"&lt;0")-SUMIFS('Daftar Koreksi'!$H$5:$H$92,'Daftar Koreksi'!$D$5:$D$92,'2300'!A268,'Daftar Koreksi'!$G$5:$G$92,"Peralatan dan mesin",'Daftar Koreksi'!$H$5:$H$92,"&lt;0")-SUMIFS('Daftar Koreksi'!$H$5:$H$92,'Daftar Koreksi'!$D$5:$D$92,'2300'!A268,'Daftar Koreksi'!$G$5:$G$92,"Peralatan dan mesin",'Daftar Koreksi'!$H$5:$H$92,"&lt;0")</f>
        <v>0</v>
      </c>
      <c r="G273" s="17">
        <f t="shared" si="12"/>
        <v>3963752836</v>
      </c>
      <c r="H273" s="122"/>
      <c r="I273" s="37"/>
      <c r="J273" s="37"/>
    </row>
    <row r="274" spans="1:10" ht="21.95" customHeight="1">
      <c r="A274" s="14"/>
      <c r="B274" s="14"/>
      <c r="C274" s="16" t="s">
        <v>1168</v>
      </c>
      <c r="D274" s="17">
        <f>VLOOKUP(A268,'Neraca Unaudited SIMAK'!$A$2:$S$10004,6,FALSE)</f>
        <v>8857244161</v>
      </c>
      <c r="E274" s="25">
        <f>SUMIFS('Daftar Koreksi'!$H$5:$H$92,'Daftar Koreksi'!$D$5:$D$92,'2300'!A268,'Daftar Koreksi'!$G$5:$G$92,"Gedung dan Bangunan",'Daftar Koreksi'!$H$5:$H$92,"&gt;0")</f>
        <v>0</v>
      </c>
      <c r="F274" s="25">
        <f>SUMIFS('Daftar Koreksi'!$H$5:$H$92,'Daftar Koreksi'!$D$5:$D$92,'2300'!A268,'Daftar Koreksi'!$G$5:$G$92,"Gedung dan Bangunan",'Daftar Koreksi'!$H$5:$H$92,"&lt;0")-SUMIFS('Daftar Koreksi'!$H$5:$H$92,'Daftar Koreksi'!$D$5:$D$92,'2300'!A268,'Daftar Koreksi'!$G$5:$G$92,"Gedung dan Bangunan",'Daftar Koreksi'!$H$5:$H$92,"&lt;0")-SUMIFS('Daftar Koreksi'!$H$5:$H$92,'Daftar Koreksi'!$D$5:$D$92,'2300'!A268,'Daftar Koreksi'!$G$5:$G$92,"Gedung dan Bangunan",'Daftar Koreksi'!$H$5:$H$92,"&lt;0")</f>
        <v>0</v>
      </c>
      <c r="G274" s="17">
        <f t="shared" si="12"/>
        <v>8857244161</v>
      </c>
      <c r="H274" s="122"/>
      <c r="I274" s="37"/>
      <c r="J274" s="37"/>
    </row>
    <row r="275" spans="1:10" ht="21.95" customHeight="1">
      <c r="A275" s="14"/>
      <c r="B275" s="14"/>
      <c r="C275" s="16" t="s">
        <v>1169</v>
      </c>
      <c r="D275" s="17">
        <f>VLOOKUP(A268,'Neraca Unaudited SIMAK'!$A$2:$S$10004,7,FALSE)</f>
        <v>29903500</v>
      </c>
      <c r="E275" s="25">
        <f>SUMIFS('Daftar Koreksi'!$H$5:$H$92,'Daftar Koreksi'!$D$5:$D$92,'2300'!A268,'Daftar Koreksi'!$G$5:$G$92,"Jalan Irigasi Jaringan",'Daftar Koreksi'!$H$5:$H$92,"&gt;0")</f>
        <v>0</v>
      </c>
      <c r="F275" s="25">
        <f>SUMIFS('Daftar Koreksi'!$H$5:$H$92,'Daftar Koreksi'!$D$5:$D$92,'2300'!A268,'Daftar Koreksi'!$G$5:$G$92,"Jalan Irigasi Jaringan",'Daftar Koreksi'!$H$5:$H$92,"&lt;0")-SUMIFS('Daftar Koreksi'!$H$5:$H$92,'Daftar Koreksi'!$D$5:$D$92,'2300'!A268,'Daftar Koreksi'!$G$5:$G$92,"Jalan Irigasi Jaringan",'Daftar Koreksi'!$H$5:$H$92,"&lt;0")-SUMIFS('Daftar Koreksi'!$H$5:$H$92,'Daftar Koreksi'!$D$5:$D$92,'2300'!A268,'Daftar Koreksi'!$G$5:$G$92,"Jalan Irigasi Jaringan",'Daftar Koreksi'!$H$5:$H$92,"&lt;0")</f>
        <v>0</v>
      </c>
      <c r="G275" s="17">
        <f t="shared" si="12"/>
        <v>29903500</v>
      </c>
      <c r="H275" s="122"/>
      <c r="I275" s="37"/>
      <c r="J275" s="37"/>
    </row>
    <row r="276" spans="1:10" ht="21.95" customHeight="1">
      <c r="A276" s="14"/>
      <c r="B276" s="14"/>
      <c r="C276" s="16" t="s">
        <v>1170</v>
      </c>
      <c r="D276" s="17">
        <f>VLOOKUP(A268,'Neraca Unaudited SIMAK'!$A$2:$S$10004,8,FALSE)</f>
        <v>9624118</v>
      </c>
      <c r="E276" s="25">
        <f>SUMIFS('Daftar Koreksi'!$H$5:$H$92,'Daftar Koreksi'!$D$5:$D$92,'2300'!A268,'Daftar Koreksi'!$G$5:$G$92,"Aset Tetap Lainnya",'Daftar Koreksi'!$H$5:$H$92,"&gt;0")</f>
        <v>0</v>
      </c>
      <c r="F276" s="25">
        <f>SUMIFS('Daftar Koreksi'!$H$5:$H$92,'Daftar Koreksi'!$D$5:$D$92,'2300'!A268,'Daftar Koreksi'!$G$5:$G$92,"Aset Tetap Lainnya",'Daftar Koreksi'!$H$5:$H$92,"&lt;0")-SUMIFS('Daftar Koreksi'!$H$5:$H$92,'Daftar Koreksi'!$D$5:$D$92,'2300'!A268,'Daftar Koreksi'!$G$5:$G$92,"Aset Tetap Lainnya",'Daftar Koreksi'!$H$5:$H$92,"&lt;0")-SUMIFS('Daftar Koreksi'!$H$5:$H$92,'Daftar Koreksi'!$D$5:$D$92,'2300'!A268,'Daftar Koreksi'!$G$5:$G$92,"Aset Tetap Lainnya",'Daftar Koreksi'!$H$5:$H$92,"&lt;0")</f>
        <v>0</v>
      </c>
      <c r="G276" s="17">
        <f t="shared" si="12"/>
        <v>9624118</v>
      </c>
      <c r="H276" s="122"/>
      <c r="I276" s="37"/>
      <c r="J276" s="37"/>
    </row>
    <row r="277" spans="1:10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Koreksi'!$D$5:$D$92,'2300'!A268,'Daftar Koreksi'!$G$5:$G$92,"Kontruksi Dalam Pengerjaan",'Daftar Koreksi'!$H$5:$H$92,"&gt;0")</f>
        <v>0</v>
      </c>
      <c r="F277" s="25">
        <f>SUMIFS('Daftar Koreksi'!$H$5:$H$92,'Daftar Koreksi'!$D$5:$D$92,'2300'!A268,'Daftar Koreksi'!$G$5:$G$92,"Kontruksi Dalam Pengerjaan",'Daftar Koreksi'!$H$5:$H$92,"&lt;0")-SUMIFS('Daftar Koreksi'!$H$5:$H$92,'Daftar Koreksi'!$D$5:$D$92,'2300'!A268,'Daftar Koreksi'!$G$5:$G$92,"Kontruksi Dalam Pengerjaan",'Daftar Koreksi'!$H$5:$H$92,"&lt;0")-SUMIFS('Daftar Koreksi'!$H$5:$H$92,'Daftar Koreksi'!$D$5:$D$92,'2300'!A268,'Daftar Koreksi'!$G$5:$G$92,"Kontruksi Dalam Pengerjaan",'Daftar Koreksi'!$H$5:$H$92,"&lt;0")</f>
        <v>0</v>
      </c>
      <c r="G277" s="17">
        <f t="shared" si="12"/>
        <v>0</v>
      </c>
      <c r="H277" s="122"/>
      <c r="I277" s="37"/>
      <c r="J277" s="37"/>
    </row>
    <row r="278" spans="1:10" ht="21.95" customHeight="1">
      <c r="A278" s="14"/>
      <c r="B278" s="14"/>
      <c r="C278" s="16" t="s">
        <v>1172</v>
      </c>
      <c r="D278" s="17">
        <f>VLOOKUP(A268,'Neraca Unaudited SIMAK'!$A$2:$S$10004,10,FALSE)</f>
        <v>291920000</v>
      </c>
      <c r="E278" s="25">
        <f>SUMIFS('Daftar Koreksi'!$H$5:$H$92,'Daftar Koreksi'!$D$5:$D$92,'2300'!A268,'Daftar Koreksi'!$G$5:$G$92,"Aset Tak Berwujud",'Daftar Koreksi'!$H$5:$H$92,"&gt;0")</f>
        <v>0</v>
      </c>
      <c r="F278" s="25">
        <f>SUMIFS('Daftar Koreksi'!$H$5:$H$92,'Daftar Koreksi'!$D$5:$D$92,'2300'!A268,'Daftar Koreksi'!$G$5:$G$92,"Aset Tak Berwujud",'Daftar Koreksi'!$H$5:$H$92,"&lt;0")-SUMIFS('Daftar Koreksi'!$H$5:$H$92,'Daftar Koreksi'!$D$5:$D$92,'2300'!A268,'Daftar Koreksi'!$G$5:$G$92,"Aset Tak Berwujud",'Daftar Koreksi'!$H$5:$H$92,"&lt;0")-SUMIFS('Daftar Koreksi'!$H$5:$H$92,'Daftar Koreksi'!$D$5:$D$92,'2300'!A268,'Daftar Koreksi'!$G$5:$G$92,"Aset Tak Berwujud",'Daftar Koreksi'!$H$5:$H$92,"&lt;0")</f>
        <v>0</v>
      </c>
      <c r="G278" s="17">
        <f t="shared" si="12"/>
        <v>291920000</v>
      </c>
      <c r="H278" s="122"/>
      <c r="I278" s="37"/>
      <c r="J278" s="37"/>
    </row>
    <row r="279" spans="1:10" ht="21.95" customHeight="1">
      <c r="A279" s="14"/>
      <c r="B279" s="14"/>
      <c r="C279" s="16" t="s">
        <v>1173</v>
      </c>
      <c r="D279" s="17">
        <f>VLOOKUP(A268,'Neraca Unaudited SIMAK'!$A$2:$S$10004,11,FALSE)</f>
        <v>17695000</v>
      </c>
      <c r="E279" s="25">
        <f>SUMIFS('Daftar Koreksi'!$H$5:$H$92,'Daftar Koreksi'!$D$5:$D$92,'2300'!A268,'Daftar Koreksi'!$G$5:$G$92,"Aset Henti Guna",'Daftar Koreksi'!$H$5:$H$92,"&gt;0")</f>
        <v>0</v>
      </c>
      <c r="F279" s="25">
        <f>SUMIFS('Daftar Koreksi'!$H$5:$H$92,'Daftar Koreksi'!$D$5:$D$92,'2300'!A268,'Daftar Koreksi'!$G$5:$G$92,"Aset Henti Guna",'Daftar Koreksi'!$H$5:$H$92,"&lt;0")-SUMIFS('Daftar Koreksi'!$H$5:$H$92,'Daftar Koreksi'!$D$5:$D$92,'2300'!A268,'Daftar Koreksi'!$G$5:$G$92,"Aset Henti Guna",'Daftar Koreksi'!$H$5:$H$92,"&lt;0")-SUMIFS('Daftar Koreksi'!$H$5:$H$92,'Daftar Koreksi'!$D$5:$D$92,'2300'!A268,'Daftar Koreksi'!$G$5:$G$92,"Aset Henti Guna",'Daftar Koreksi'!$H$5:$H$92,"&lt;0")</f>
        <v>0</v>
      </c>
      <c r="G279" s="17">
        <f t="shared" si="12"/>
        <v>17695000</v>
      </c>
      <c r="H279" s="122"/>
      <c r="I279" s="37"/>
      <c r="J279" s="37"/>
    </row>
    <row r="280" spans="1:10" ht="21.95" customHeight="1">
      <c r="A280" s="14"/>
      <c r="B280" s="14"/>
      <c r="C280" s="18" t="s">
        <v>2093</v>
      </c>
      <c r="D280" s="19">
        <f>VLOOKUP(A268,'Neraca Unaudited SIMAK'!$A$2:$S$10004,12,FALSE)</f>
        <v>24462697547</v>
      </c>
      <c r="E280" s="19">
        <f>SUM(E271:E279)</f>
        <v>0</v>
      </c>
      <c r="F280" s="19">
        <f>SUM(F271:F279)</f>
        <v>0</v>
      </c>
      <c r="G280" s="19">
        <f t="shared" si="12"/>
        <v>24462697547</v>
      </c>
      <c r="H280" s="122"/>
      <c r="I280" s="37"/>
      <c r="J280" s="37"/>
    </row>
    <row r="281" spans="1:10" ht="21.95" customHeight="1">
      <c r="A281" s="14"/>
      <c r="B281" s="14"/>
      <c r="C281" s="16" t="s">
        <v>2087</v>
      </c>
      <c r="D281" s="17">
        <f>VLOOKUP(A268,'Neraca Unaudited SIMAK'!$A$2:$S$10004,13,FALSE)</f>
        <v>-3292682723</v>
      </c>
      <c r="E281" s="25">
        <f>SUMIFS('Daftar Koreksi'!$I$5:$I$92,'Daftar Koreksi'!$D$5:$D$92,'2300'!A268,'Daftar Koreksi'!$G$5:$G$92,"Peralatan dan mesin",'Daftar Koreksi'!$I$5:$I$92,"&gt;0")</f>
        <v>0</v>
      </c>
      <c r="F281" s="25">
        <f>SUMIFS('Daftar Koreksi'!$I$5:$I$92,'Daftar Koreksi'!$D$5:$D$92,'2300'!A268,'Daftar Koreksi'!$G$5:$G$92,"Peralatan dan mesin",'Daftar Koreksi'!$I$5:$I$92,"&lt;0")-SUMIFS('Daftar Koreksi'!$I$5:$I$92,'Daftar Koreksi'!$D$5:$D$92,'2300'!A268,'Daftar Koreksi'!$G$5:$G$92,"Peralatan dan mesin",'Daftar Koreksi'!$I$5:$I$92,"&lt;0")-SUMIFS('Daftar Koreksi'!$I$5:$I$92,'Daftar Koreksi'!$D$5:$D$92,'2300'!A268,'Daftar Koreksi'!$G$5:$G$92,"Peralatan dan mesin",'Daftar Koreksi'!$I$5:$I$92,"&lt;0")</f>
        <v>0</v>
      </c>
      <c r="G281" s="17">
        <f t="shared" si="12"/>
        <v>-3292682723</v>
      </c>
      <c r="H281" s="122"/>
      <c r="I281" s="37"/>
      <c r="J281" s="37"/>
    </row>
    <row r="282" spans="1:10" ht="21.95" customHeight="1">
      <c r="A282" s="14"/>
      <c r="B282" s="14"/>
      <c r="C282" s="16" t="s">
        <v>2088</v>
      </c>
      <c r="D282" s="17">
        <f>VLOOKUP(A268,'Neraca Unaudited SIMAK'!$A$2:$S$10004,14,FALSE)</f>
        <v>-1610026998</v>
      </c>
      <c r="E282" s="25">
        <f>SUMIFS('Daftar Koreksi'!$I$5:$I$92,'Daftar Koreksi'!$D$5:$D$92,'2300'!A268,'Daftar Koreksi'!$G$5:$G$92,"Gedung dan Bangunan",'Daftar Koreksi'!$I$5:$I$92,"&gt;0")</f>
        <v>0</v>
      </c>
      <c r="F282" s="25">
        <f>SUMIFS('Daftar Koreksi'!$I$5:$I$92,'Daftar Koreksi'!$D$5:$D$92,'2300'!A268,'Daftar Koreksi'!$G$5:$G$92,"Gedung dan Bangunan",'Daftar Koreksi'!$I$5:$I$92,"&lt;0")-SUMIFS('Daftar Koreksi'!$I$5:$I$92,'Daftar Koreksi'!$D$5:$D$92,'2300'!A268,'Daftar Koreksi'!$G$5:$G$92,"Gedung dan Bangunan",'Daftar Koreksi'!$I$5:$I$92,"&lt;0")-SUMIFS('Daftar Koreksi'!$I$5:$I$92,'Daftar Koreksi'!$D$5:$D$92,'2300'!A268,'Daftar Koreksi'!$G$5:$G$92,"Gedung dan Bangunan",'Daftar Koreksi'!$I$5:$I$92,"&lt;0")</f>
        <v>0</v>
      </c>
      <c r="G282" s="17">
        <f t="shared" si="12"/>
        <v>-1610026998</v>
      </c>
      <c r="H282" s="122"/>
      <c r="I282" s="37"/>
      <c r="J282" s="37"/>
    </row>
    <row r="283" spans="1:10" ht="21.95" customHeight="1">
      <c r="A283" s="14"/>
      <c r="B283" s="14"/>
      <c r="C283" s="16" t="s">
        <v>2089</v>
      </c>
      <c r="D283" s="17">
        <f>VLOOKUP(A268,'Neraca Unaudited SIMAK'!$A$2:$S$10004,15,FALSE)</f>
        <v>-747588</v>
      </c>
      <c r="E283" s="25">
        <f>SUMIFS('Daftar Koreksi'!$I$5:$I$92,'Daftar Koreksi'!$D$5:$D$92,'2300'!A268,'Daftar Koreksi'!$G$5:$G$92,"Jalan Irigasi Jaringan",'Daftar Koreksi'!$I$5:$I$92,"&gt;0")</f>
        <v>0</v>
      </c>
      <c r="F283" s="25">
        <f>SUMIFS('Daftar Koreksi'!$I$5:$I$92,'Daftar Koreksi'!$D$5:$D$92,'2300'!A268,'Daftar Koreksi'!$G$5:$G$92,"Jalan Irigasi Jaringan",'Daftar Koreksi'!$I$5:$I$92,"&lt;0")-SUMIFS('Daftar Koreksi'!$I$5:$I$92,'Daftar Koreksi'!$D$5:$D$92,'2300'!A268,'Daftar Koreksi'!$G$5:$G$92,"Jalan Irigasi Jaringan",'Daftar Koreksi'!$I$5:$I$92,"&lt;0")-SUMIFS('Daftar Koreksi'!$I$5:$I$92,'Daftar Koreksi'!$D$5:$D$92,'2300'!A268,'Daftar Koreksi'!$G$5:$G$92,"Jalan Irigasi Jaringan",'Daftar Koreksi'!$I$5:$I$92,"&lt;0")</f>
        <v>0</v>
      </c>
      <c r="G283" s="17">
        <f t="shared" si="12"/>
        <v>-747588</v>
      </c>
      <c r="H283" s="122"/>
      <c r="I283" s="37"/>
      <c r="J283" s="37"/>
    </row>
    <row r="284" spans="1:10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Koreksi'!$D$5:$D$92,'2300'!A268,'Daftar Koreksi'!$G$5:$G$92,"Aset Tetap Lainnya",'Daftar Koreksi'!$I$5:$I$92,"&gt;0")</f>
        <v>0</v>
      </c>
      <c r="F284" s="25">
        <f>SUMIFS('Daftar Koreksi'!$I$5:$I$92,'Daftar Koreksi'!$D$5:$D$92,'2300'!A268,'Daftar Koreksi'!$G$5:$G$92,"Aset Tetap Lainnya",'Daftar Koreksi'!$I$5:$I$92,"&lt;0")-SUMIFS('Daftar Koreksi'!$I$5:$I$92,'Daftar Koreksi'!$D$5:$D$92,'2300'!A268,'Daftar Koreksi'!$G$5:$G$92,"Aset Tetap Lainnya",'Daftar Koreksi'!$I$5:$I$92,"&lt;0")-SUMIFS('Daftar Koreksi'!$I$5:$I$92,'Daftar Koreksi'!$D$5:$D$92,'2300'!A268,'Daftar Koreksi'!$G$5:$G$92,"Aset Tetap Lainnya",'Daftar Koreksi'!$I$5:$I$92,"&lt;0")</f>
        <v>0</v>
      </c>
      <c r="G284" s="17">
        <f t="shared" si="12"/>
        <v>0</v>
      </c>
      <c r="H284" s="122"/>
      <c r="I284" s="37"/>
      <c r="J284" s="37"/>
    </row>
    <row r="285" spans="1:10" ht="21.95" customHeight="1">
      <c r="A285" s="14"/>
      <c r="B285" s="14"/>
      <c r="C285" s="16" t="s">
        <v>2020</v>
      </c>
      <c r="D285" s="17">
        <f>VLOOKUP(A268,'Neraca Unaudited SIMAK'!$A$2:$S$10004,17,FALSE)</f>
        <v>-17695000</v>
      </c>
      <c r="E285" s="25">
        <f>SUMIFS('Daftar Koreksi'!$I$5:$I$92,'Daftar Koreksi'!$D$5:$D$92,'2300'!A268,'Daftar Koreksi'!$G$5:$G$92,"Aset Henti Guna",'Daftar Koreksi'!$I$5:$I$92,"&gt;0")</f>
        <v>0</v>
      </c>
      <c r="F285" s="25">
        <f>SUMIFS('Daftar Koreksi'!$I$5:$I$92,'Daftar Koreksi'!$D$5:$D$92,'2300'!A268,'Daftar Koreksi'!$G$5:$G$92,"Aset Henti Guna",'Daftar Koreksi'!$I$5:$I$92,"&lt;0")-SUMIFS('Daftar Koreksi'!$I$5:$I$92,'Daftar Koreksi'!$D$5:$D$92,'2300'!A268,'Daftar Koreksi'!$G$5:$G$92,"Aset Henti Guna",'Daftar Koreksi'!$I$5:$I$92,"&lt;0")-SUMIFS('Daftar Koreksi'!$I$5:$I$92,'Daftar Koreksi'!$D$5:$D$92,'2300'!A268,'Daftar Koreksi'!$G$5:$G$92,"Aset Henti Guna",'Daftar Koreksi'!$I$5:$I$92,"&lt;0")</f>
        <v>0</v>
      </c>
      <c r="G285" s="17">
        <f t="shared" si="12"/>
        <v>-17695000</v>
      </c>
      <c r="H285" s="122"/>
      <c r="I285" s="37"/>
      <c r="J285" s="37"/>
    </row>
    <row r="286" spans="1:10" ht="21.95" customHeight="1">
      <c r="A286" s="14"/>
      <c r="B286" s="14"/>
      <c r="C286" s="18" t="s">
        <v>2094</v>
      </c>
      <c r="D286" s="19">
        <f>SUM(D281:D285)</f>
        <v>-4921152309</v>
      </c>
      <c r="E286" s="19">
        <f>SUM(E281:E285)</f>
        <v>0</v>
      </c>
      <c r="F286" s="19">
        <f>SUM(F281:F285)</f>
        <v>0</v>
      </c>
      <c r="G286" s="19">
        <f t="shared" si="12"/>
        <v>-4921152309</v>
      </c>
      <c r="H286" s="122"/>
      <c r="I286" s="37"/>
      <c r="J286" s="37"/>
    </row>
    <row r="287" spans="1:10" ht="21.95" customHeight="1">
      <c r="A287" s="14"/>
      <c r="B287" s="14"/>
      <c r="C287" s="18" t="s">
        <v>2095</v>
      </c>
      <c r="D287" s="19">
        <f>VLOOKUP(A268,'Neraca Unaudited SIMAK'!$A$2:$S$10004,18,FALSE)</f>
        <v>19541545238</v>
      </c>
      <c r="E287" s="19">
        <f>E286+E280</f>
        <v>0</v>
      </c>
      <c r="F287" s="19">
        <f>F286+F280</f>
        <v>0</v>
      </c>
      <c r="G287" s="19">
        <f t="shared" si="12"/>
        <v>19541545238</v>
      </c>
      <c r="H287" s="122"/>
      <c r="I287" s="37"/>
      <c r="J287" s="37"/>
    </row>
    <row r="288" spans="1:10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  <c r="I288" s="37"/>
      <c r="J288" s="37"/>
    </row>
    <row r="290" spans="1:8" ht="19.5" customHeight="1">
      <c r="A290" s="11" t="str">
        <f>O14</f>
        <v>005012300402788000KD</v>
      </c>
      <c r="B290" s="11" t="str">
        <f>P14</f>
        <v>PTA. Mataram</v>
      </c>
      <c r="C290" s="12" t="str">
        <f>A290&amp;" "&amp;B290</f>
        <v>005012300402788000KD PTA. Mataram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27587125</v>
      </c>
      <c r="E293" s="25">
        <f>SUMIFS('Daftar Koreksi'!$H$5:$H$92,'Daftar Koreksi'!$D$5:$D$92,'2300'!A290,'Daftar Koreksi'!$G$5:$G$92,"Persediaan",'Daftar Koreksi'!$H$5:$H$92,"&gt;0")</f>
        <v>0</v>
      </c>
      <c r="F293" s="25">
        <f>SUMIFS('Daftar Koreksi'!$H$5:$H$92,'Daftar Koreksi'!$D$5:$D$92,'2300'!A290,'Daftar Koreksi'!$G$5:$G$92,"Persediaan",'Daftar Koreksi'!$H$5:$H$92,"&lt;0")-SUMIFS('Daftar Koreksi'!$H$5:$H$92,'Daftar Koreksi'!$D$5:$D$92,'2300'!A290,'Daftar Koreksi'!$G$5:$G$92,"Persediaan",'Daftar Koreksi'!$H$5:$H$92,"&lt;0")-SUMIFS('Daftar Koreksi'!$H$5:$H$92,'Daftar Koreksi'!$D$5:$D$92,'2300'!A290,'Daftar Koreksi'!$G$5:$G$92,"Persediaan",'Daftar Koreksi'!$H$5:$H$92,"&lt;0")</f>
        <v>0</v>
      </c>
      <c r="G293" s="17">
        <f>D293+E293-F293</f>
        <v>27587125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6153014000</v>
      </c>
      <c r="E294" s="25">
        <f>SUMIFS('Daftar Koreksi'!$H$5:$H$92,'Daftar Koreksi'!$D$5:$D$92,'2300'!A290,'Daftar Koreksi'!$G$5:$G$92,"Tanah",'Daftar Koreksi'!$H$5:$H$92,"&gt;0")</f>
        <v>0</v>
      </c>
      <c r="F294" s="25">
        <f>SUMIFS('Daftar Koreksi'!$H$5:$H$92,'Daftar Koreksi'!$D$5:$D$92,'2300'!A290,'Daftar Koreksi'!$G$5:$G$92,"Tanah",'Daftar Koreksi'!$H$5:$H$92,"&lt;0")-SUMIFS('Daftar Koreksi'!$H$5:$H$92,'Daftar Koreksi'!$D$5:$D$92,'2300'!A290,'Daftar Koreksi'!$G$5:$G$92,"Tanah",'Daftar Koreksi'!$H$5:$H$92,"&lt;0")-SUMIFS('Daftar Koreksi'!$H$5:$H$92,'Daftar Koreksi'!$D$5:$D$92,'2300'!A290,'Daftar Koreksi'!$G$5:$G$92,"Tanah",'Daftar Koreksi'!$H$5:$H$92,"&lt;0")</f>
        <v>0</v>
      </c>
      <c r="G294" s="17">
        <f t="shared" ref="G294:G310" si="13">D294+E294-F294</f>
        <v>6153014000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4393875303</v>
      </c>
      <c r="E295" s="25">
        <f>SUMIFS('Daftar Koreksi'!$H$5:$H$92,'Daftar Koreksi'!$D$5:$D$92,'2300'!A290,'Daftar Koreksi'!$G$5:$G$92,"Peralatan dan mesin",'Daftar Koreksi'!$H$5:$H$92,"&gt;0")</f>
        <v>0</v>
      </c>
      <c r="F295" s="25">
        <f>SUMIFS('Daftar Koreksi'!$H$5:$H$92,'Daftar Koreksi'!$D$5:$D$92,'2300'!A290,'Daftar Koreksi'!$G$5:$G$92,"Peralatan dan mesin",'Daftar Koreksi'!$H$5:$H$92,"&lt;0")-SUMIFS('Daftar Koreksi'!$H$5:$H$92,'Daftar Koreksi'!$D$5:$D$92,'2300'!A290,'Daftar Koreksi'!$G$5:$G$92,"Peralatan dan mesin",'Daftar Koreksi'!$H$5:$H$92,"&lt;0")-SUMIFS('Daftar Koreksi'!$H$5:$H$92,'Daftar Koreksi'!$D$5:$D$92,'2300'!A290,'Daftar Koreksi'!$G$5:$G$92,"Peralatan dan mesin",'Daftar Koreksi'!$H$5:$H$92,"&lt;0")</f>
        <v>0</v>
      </c>
      <c r="G295" s="17">
        <f t="shared" si="13"/>
        <v>4393875303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7357234273</v>
      </c>
      <c r="E296" s="25">
        <f>SUMIFS('Daftar Koreksi'!$H$5:$H$92,'Daftar Koreksi'!$D$5:$D$92,'2300'!A290,'Daftar Koreksi'!$G$5:$G$92,"Gedung dan Bangunan",'Daftar Koreksi'!$H$5:$H$92,"&gt;0")</f>
        <v>0</v>
      </c>
      <c r="F296" s="25">
        <f>SUMIFS('Daftar Koreksi'!$H$5:$H$92,'Daftar Koreksi'!$D$5:$D$92,'2300'!A290,'Daftar Koreksi'!$G$5:$G$92,"Gedung dan Bangunan",'Daftar Koreksi'!$H$5:$H$92,"&lt;0")-SUMIFS('Daftar Koreksi'!$H$5:$H$92,'Daftar Koreksi'!$D$5:$D$92,'2300'!A290,'Daftar Koreksi'!$G$5:$G$92,"Gedung dan Bangunan",'Daftar Koreksi'!$H$5:$H$92,"&lt;0")-SUMIFS('Daftar Koreksi'!$H$5:$H$92,'Daftar Koreksi'!$D$5:$D$92,'2300'!A290,'Daftar Koreksi'!$G$5:$G$92,"Gedung dan Bangunan",'Daftar Koreksi'!$H$5:$H$92,"&lt;0")</f>
        <v>0</v>
      </c>
      <c r="G296" s="17">
        <f t="shared" si="13"/>
        <v>7357234273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Koreksi'!$D$5:$D$92,'2300'!A290,'Daftar Koreksi'!$G$5:$G$92,"Jalan Irigasi Jaringan",'Daftar Koreksi'!$H$5:$H$92,"&gt;0")</f>
        <v>0</v>
      </c>
      <c r="F297" s="25">
        <f>SUMIFS('Daftar Koreksi'!$H$5:$H$92,'Daftar Koreksi'!$D$5:$D$92,'2300'!A290,'Daftar Koreksi'!$G$5:$G$92,"Jalan Irigasi Jaringan",'Daftar Koreksi'!$H$5:$H$92,"&lt;0")-SUMIFS('Daftar Koreksi'!$H$5:$H$92,'Daftar Koreksi'!$D$5:$D$92,'2300'!A290,'Daftar Koreksi'!$G$5:$G$92,"Jalan Irigasi Jaringan",'Daftar Koreksi'!$H$5:$H$92,"&lt;0")-SUMIFS('Daftar Koreksi'!$H$5:$H$92,'Daftar Koreksi'!$D$5:$D$92,'2300'!A290,'Daftar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127028585</v>
      </c>
      <c r="E298" s="25">
        <f>SUMIFS('Daftar Koreksi'!$H$5:$H$92,'Daftar Koreksi'!$D$5:$D$92,'2300'!A290,'Daftar Koreksi'!$G$5:$G$92,"Aset Tetap Lainnya",'Daftar Koreksi'!$H$5:$H$92,"&gt;0")</f>
        <v>0</v>
      </c>
      <c r="F298" s="25">
        <f>SUMIFS('Daftar Koreksi'!$H$5:$H$92,'Daftar Koreksi'!$D$5:$D$92,'2300'!A290,'Daftar Koreksi'!$G$5:$G$92,"Aset Tetap Lainnya",'Daftar Koreksi'!$H$5:$H$92,"&lt;0")-SUMIFS('Daftar Koreksi'!$H$5:$H$92,'Daftar Koreksi'!$D$5:$D$92,'2300'!A290,'Daftar Koreksi'!$G$5:$G$92,"Aset Tetap Lainnya",'Daftar Koreksi'!$H$5:$H$92,"&lt;0")-SUMIFS('Daftar Koreksi'!$H$5:$H$92,'Daftar Koreksi'!$D$5:$D$92,'2300'!A290,'Daftar Koreksi'!$G$5:$G$92,"Aset Tetap Lainnya",'Daftar Koreksi'!$H$5:$H$92,"&lt;0")</f>
        <v>0</v>
      </c>
      <c r="G298" s="17">
        <f t="shared" si="13"/>
        <v>127028585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Koreksi'!$D$5:$D$92,'2300'!A290,'Daftar Koreksi'!$G$5:$G$92,"Kontruksi Dalam Pengerjaan",'Daftar Koreksi'!$H$5:$H$92,"&gt;0")</f>
        <v>0</v>
      </c>
      <c r="F299" s="25">
        <f>SUMIFS('Daftar Koreksi'!$H$5:$H$92,'Daftar Koreksi'!$D$5:$D$92,'2300'!A290,'Daftar Koreksi'!$G$5:$G$92,"Kontruksi Dalam Pengerjaan",'Daftar Koreksi'!$H$5:$H$92,"&lt;0")-SUMIFS('Daftar Koreksi'!$H$5:$H$92,'Daftar Koreksi'!$D$5:$D$92,'2300'!A290,'Daftar Koreksi'!$G$5:$G$92,"Kontruksi Dalam Pengerjaan",'Daftar Koreksi'!$H$5:$H$92,"&lt;0")-SUMIFS('Daftar Koreksi'!$H$5:$H$92,'Daftar Koreksi'!$D$5:$D$92,'2300'!A290,'Daftar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121003000</v>
      </c>
      <c r="E300" s="25">
        <f>SUMIFS('Daftar Koreksi'!$H$5:$H$92,'Daftar Koreksi'!$D$5:$D$92,'2300'!A290,'Daftar Koreksi'!$G$5:$G$92,"Aset Tak Berwujud",'Daftar Koreksi'!$H$5:$H$92,"&gt;0")</f>
        <v>0</v>
      </c>
      <c r="F300" s="25">
        <f>SUMIFS('Daftar Koreksi'!$H$5:$H$92,'Daftar Koreksi'!$D$5:$D$92,'2300'!A290,'Daftar Koreksi'!$G$5:$G$92,"Aset Tak Berwujud",'Daftar Koreksi'!$H$5:$H$92,"&lt;0")-SUMIFS('Daftar Koreksi'!$H$5:$H$92,'Daftar Koreksi'!$D$5:$D$92,'2300'!A290,'Daftar Koreksi'!$G$5:$G$92,"Aset Tak Berwujud",'Daftar Koreksi'!$H$5:$H$92,"&lt;0")-SUMIFS('Daftar Koreksi'!$H$5:$H$92,'Daftar Koreksi'!$D$5:$D$92,'2300'!A290,'Daftar Koreksi'!$G$5:$G$92,"Aset Tak Berwujud",'Daftar Koreksi'!$H$5:$H$92,"&lt;0")</f>
        <v>0</v>
      </c>
      <c r="G300" s="17">
        <f t="shared" si="13"/>
        <v>121003000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30870000</v>
      </c>
      <c r="E301" s="25">
        <f>SUMIFS('Daftar Koreksi'!$H$5:$H$92,'Daftar Koreksi'!$D$5:$D$92,'2300'!A290,'Daftar Koreksi'!$G$5:$G$92,"Aset Henti Guna",'Daftar Koreksi'!$H$5:$H$92,"&gt;0")</f>
        <v>0</v>
      </c>
      <c r="F301" s="25">
        <f>SUMIFS('Daftar Koreksi'!$H$5:$H$92,'Daftar Koreksi'!$D$5:$D$92,'2300'!A290,'Daftar Koreksi'!$G$5:$G$92,"Aset Henti Guna",'Daftar Koreksi'!$H$5:$H$92,"&lt;0")-SUMIFS('Daftar Koreksi'!$H$5:$H$92,'Daftar Koreksi'!$D$5:$D$92,'2300'!A290,'Daftar Koreksi'!$G$5:$G$92,"Aset Henti Guna",'Daftar Koreksi'!$H$5:$H$92,"&lt;0")-SUMIFS('Daftar Koreksi'!$H$5:$H$92,'Daftar Koreksi'!$D$5:$D$92,'2300'!A290,'Daftar Koreksi'!$G$5:$G$92,"Aset Henti Guna",'Daftar Koreksi'!$H$5:$H$92,"&lt;0")</f>
        <v>0</v>
      </c>
      <c r="G301" s="17">
        <f t="shared" si="13"/>
        <v>30870000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18210612286</v>
      </c>
      <c r="E302" s="19">
        <f>SUM(E293:E301)</f>
        <v>0</v>
      </c>
      <c r="F302" s="19">
        <f>SUM(F293:F301)</f>
        <v>0</v>
      </c>
      <c r="G302" s="19">
        <f t="shared" si="13"/>
        <v>18210612286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-3660544630</v>
      </c>
      <c r="E303" s="25">
        <f>SUMIFS('Daftar Koreksi'!$I$5:$I$92,'Daftar Koreksi'!$D$5:$D$92,'2300'!A290,'Daftar Koreksi'!$G$5:$G$92,"Peralatan dan mesin",'Daftar Koreksi'!$I$5:$I$92,"&gt;0")</f>
        <v>0</v>
      </c>
      <c r="F303" s="25">
        <f>SUMIFS('Daftar Koreksi'!$I$5:$I$92,'Daftar Koreksi'!$D$5:$D$92,'2300'!A290,'Daftar Koreksi'!$G$5:$G$92,"Peralatan dan mesin",'Daftar Koreksi'!$I$5:$I$92,"&lt;0")-SUMIFS('Daftar Koreksi'!$I$5:$I$92,'Daftar Koreksi'!$D$5:$D$92,'2300'!A290,'Daftar Koreksi'!$G$5:$G$92,"Peralatan dan mesin",'Daftar Koreksi'!$I$5:$I$92,"&lt;0")-SUMIFS('Daftar Koreksi'!$I$5:$I$92,'Daftar Koreksi'!$D$5:$D$92,'2300'!A290,'Daftar Koreksi'!$G$5:$G$92,"Peralatan dan mesin",'Daftar Koreksi'!$I$5:$I$92,"&lt;0")</f>
        <v>0</v>
      </c>
      <c r="G303" s="17">
        <f t="shared" si="13"/>
        <v>-3660544630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-1399164230</v>
      </c>
      <c r="E304" s="25">
        <f>SUMIFS('Daftar Koreksi'!$I$5:$I$92,'Daftar Koreksi'!$D$5:$D$92,'2300'!A290,'Daftar Koreksi'!$G$5:$G$92,"Gedung dan Bangunan",'Daftar Koreksi'!$I$5:$I$92,"&gt;0")</f>
        <v>0</v>
      </c>
      <c r="F304" s="25">
        <f>SUMIFS('Daftar Koreksi'!$I$5:$I$92,'Daftar Koreksi'!$D$5:$D$92,'2300'!A290,'Daftar Koreksi'!$G$5:$G$92,"Gedung dan Bangunan",'Daftar Koreksi'!$I$5:$I$92,"&lt;0")-SUMIFS('Daftar Koreksi'!$I$5:$I$92,'Daftar Koreksi'!$D$5:$D$92,'2300'!A290,'Daftar Koreksi'!$G$5:$G$92,"Gedung dan Bangunan",'Daftar Koreksi'!$I$5:$I$92,"&lt;0")-SUMIFS('Daftar Koreksi'!$I$5:$I$92,'Daftar Koreksi'!$D$5:$D$92,'2300'!A290,'Daftar Koreksi'!$G$5:$G$92,"Gedung dan Bangunan",'Daftar Koreksi'!$I$5:$I$92,"&lt;0")</f>
        <v>0</v>
      </c>
      <c r="G304" s="17">
        <f t="shared" si="13"/>
        <v>-1399164230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Koreksi'!$D$5:$D$92,'2300'!A290,'Daftar Koreksi'!$G$5:$G$92,"Jalan Irigasi Jaringan",'Daftar Koreksi'!$I$5:$I$92,"&gt;0")</f>
        <v>0</v>
      </c>
      <c r="F305" s="25">
        <f>SUMIFS('Daftar Koreksi'!$I$5:$I$92,'Daftar Koreksi'!$D$5:$D$92,'2300'!A290,'Daftar Koreksi'!$G$5:$G$92,"Jalan Irigasi Jaringan",'Daftar Koreksi'!$I$5:$I$92,"&lt;0")-SUMIFS('Daftar Koreksi'!$I$5:$I$92,'Daftar Koreksi'!$D$5:$D$92,'2300'!A290,'Daftar Koreksi'!$G$5:$G$92,"Jalan Irigasi Jaringan",'Daftar Koreksi'!$I$5:$I$92,"&lt;0")-SUMIFS('Daftar Koreksi'!$I$5:$I$92,'Daftar Koreksi'!$D$5:$D$92,'2300'!A290,'Daftar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Koreksi'!$D$5:$D$92,'2300'!A290,'Daftar Koreksi'!$G$5:$G$92,"Aset Tetap Lainnya",'Daftar Koreksi'!$I$5:$I$92,"&gt;0")</f>
        <v>0</v>
      </c>
      <c r="F306" s="25">
        <f>SUMIFS('Daftar Koreksi'!$I$5:$I$92,'Daftar Koreksi'!$D$5:$D$92,'2300'!A290,'Daftar Koreksi'!$G$5:$G$92,"Aset Tetap Lainnya",'Daftar Koreksi'!$I$5:$I$92,"&lt;0")-SUMIFS('Daftar Koreksi'!$I$5:$I$92,'Daftar Koreksi'!$D$5:$D$92,'2300'!A290,'Daftar Koreksi'!$G$5:$G$92,"Aset Tetap Lainnya",'Daftar Koreksi'!$I$5:$I$92,"&lt;0")-SUMIFS('Daftar Koreksi'!$I$5:$I$92,'Daftar Koreksi'!$D$5:$D$92,'2300'!A290,'Daftar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-6620000</v>
      </c>
      <c r="E307" s="25">
        <f>SUMIFS('Daftar Koreksi'!$I$5:$I$92,'Daftar Koreksi'!$D$5:$D$92,'2300'!A290,'Daftar Koreksi'!$G$5:$G$92,"Aset Henti Guna",'Daftar Koreksi'!$I$5:$I$92,"&gt;0")</f>
        <v>0</v>
      </c>
      <c r="F307" s="25">
        <f>SUMIFS('Daftar Koreksi'!$I$5:$I$92,'Daftar Koreksi'!$D$5:$D$92,'2300'!A290,'Daftar Koreksi'!$G$5:$G$92,"Aset Henti Guna",'Daftar Koreksi'!$I$5:$I$92,"&lt;0")-SUMIFS('Daftar Koreksi'!$I$5:$I$92,'Daftar Koreksi'!$D$5:$D$92,'2300'!A290,'Daftar Koreksi'!$G$5:$G$92,"Aset Henti Guna",'Daftar Koreksi'!$I$5:$I$92,"&lt;0")-SUMIFS('Daftar Koreksi'!$I$5:$I$92,'Daftar Koreksi'!$D$5:$D$92,'2300'!A290,'Daftar Koreksi'!$G$5:$G$92,"Aset Henti Guna",'Daftar Koreksi'!$I$5:$I$92,"&lt;0")</f>
        <v>0</v>
      </c>
      <c r="G307" s="17">
        <f t="shared" si="13"/>
        <v>-6620000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-5066328860</v>
      </c>
      <c r="E308" s="19">
        <f>SUM(E303:E307)</f>
        <v>0</v>
      </c>
      <c r="F308" s="19">
        <f>SUM(F303:F307)</f>
        <v>0</v>
      </c>
      <c r="G308" s="19">
        <f t="shared" si="13"/>
        <v>-5066328860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13144283426</v>
      </c>
      <c r="E309" s="19">
        <f>E308+E302</f>
        <v>0</v>
      </c>
      <c r="F309" s="19">
        <f>F308+F302</f>
        <v>0</v>
      </c>
      <c r="G309" s="19">
        <f t="shared" si="13"/>
        <v>13144283426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005012300578871000KD</v>
      </c>
      <c r="B312" s="11" t="str">
        <f>P15</f>
        <v>PTUN. Mataram</v>
      </c>
      <c r="C312" s="12" t="str">
        <f>A312&amp;" "&amp;B312</f>
        <v>005012300578871000KD PTUN. Mataram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2258745</v>
      </c>
      <c r="E315" s="25">
        <f>SUMIFS('Daftar Koreksi'!$H$5:$H$92,'Daftar Koreksi'!$D$5:$D$92,'2300'!A312,'Daftar Koreksi'!$G$5:$G$92,"Persediaan",'Daftar Koreksi'!$H$5:$H$92,"&gt;0")</f>
        <v>0</v>
      </c>
      <c r="F315" s="25">
        <f>SUMIFS('Daftar Koreksi'!$H$5:$H$92,'Daftar Koreksi'!$D$5:$D$92,'2300'!A312,'Daftar Koreksi'!$G$5:$G$92,"Persediaan",'Daftar Koreksi'!$H$5:$H$92,"&lt;0")-SUMIFS('Daftar Koreksi'!$H$5:$H$92,'Daftar Koreksi'!$D$5:$D$92,'2300'!A312,'Daftar Koreksi'!$G$5:$G$92,"Persediaan",'Daftar Koreksi'!$H$5:$H$92,"&lt;0")-SUMIFS('Daftar Koreksi'!$H$5:$H$92,'Daftar Koreksi'!$D$5:$D$92,'2300'!A312,'Daftar Koreksi'!$G$5:$G$92,"Persediaan",'Daftar Koreksi'!$H$5:$H$92,"&lt;0")</f>
        <v>0</v>
      </c>
      <c r="G315" s="17">
        <f>D315+E315-F315</f>
        <v>2258745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1671600000</v>
      </c>
      <c r="E316" s="25">
        <f>SUMIFS('Daftar Koreksi'!$H$5:$H$92,'Daftar Koreksi'!$D$5:$D$92,'2300'!A312,'Daftar Koreksi'!$G$5:$G$92,"Tanah",'Daftar Koreksi'!$H$5:$H$92,"&gt;0")</f>
        <v>0</v>
      </c>
      <c r="F316" s="25">
        <f>SUMIFS('Daftar Koreksi'!$H$5:$H$92,'Daftar Koreksi'!$D$5:$D$92,'2300'!A312,'Daftar Koreksi'!$G$5:$G$92,"Tanah",'Daftar Koreksi'!$H$5:$H$92,"&lt;0")-SUMIFS('Daftar Koreksi'!$H$5:$H$92,'Daftar Koreksi'!$D$5:$D$92,'2300'!A312,'Daftar Koreksi'!$G$5:$G$92,"Tanah",'Daftar Koreksi'!$H$5:$H$92,"&lt;0")-SUMIFS('Daftar Koreksi'!$H$5:$H$92,'Daftar Koreksi'!$D$5:$D$92,'2300'!A312,'Daftar Koreksi'!$G$5:$G$92,"Tanah",'Daftar Koreksi'!$H$5:$H$92,"&lt;0")</f>
        <v>0</v>
      </c>
      <c r="G316" s="17">
        <f t="shared" ref="G316:G332" si="14">D316+E316-F316</f>
        <v>1671600000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1543583720</v>
      </c>
      <c r="E317" s="25">
        <f>SUMIFS('Daftar Koreksi'!$H$5:$H$92,'Daftar Koreksi'!$D$5:$D$92,'2300'!A312,'Daftar Koreksi'!$G$5:$G$92,"Peralatan dan mesin",'Daftar Koreksi'!$H$5:$H$92,"&gt;0")</f>
        <v>0</v>
      </c>
      <c r="F317" s="25">
        <f>SUMIFS('Daftar Koreksi'!$H$5:$H$92,'Daftar Koreksi'!$D$5:$D$92,'2300'!A312,'Daftar Koreksi'!$G$5:$G$92,"Peralatan dan mesin",'Daftar Koreksi'!$H$5:$H$92,"&lt;0")-SUMIFS('Daftar Koreksi'!$H$5:$H$92,'Daftar Koreksi'!$D$5:$D$92,'2300'!A312,'Daftar Koreksi'!$G$5:$G$92,"Peralatan dan mesin",'Daftar Koreksi'!$H$5:$H$92,"&lt;0")-SUMIFS('Daftar Koreksi'!$H$5:$H$92,'Daftar Koreksi'!$D$5:$D$92,'2300'!A312,'Daftar Koreksi'!$G$5:$G$92,"Peralatan dan mesin",'Daftar Koreksi'!$H$5:$H$92,"&lt;0")</f>
        <v>0</v>
      </c>
      <c r="G317" s="17">
        <f t="shared" si="14"/>
        <v>1543583720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5951646835</v>
      </c>
      <c r="E318" s="25">
        <f>SUMIFS('Daftar Koreksi'!$H$5:$H$92,'Daftar Koreksi'!$D$5:$D$92,'2300'!A312,'Daftar Koreksi'!$G$5:$G$92,"Gedung dan Bangunan",'Daftar Koreksi'!$H$5:$H$92,"&gt;0")</f>
        <v>0</v>
      </c>
      <c r="F318" s="25">
        <f>SUMIFS('Daftar Koreksi'!$H$5:$H$92,'Daftar Koreksi'!$D$5:$D$92,'2300'!A312,'Daftar Koreksi'!$G$5:$G$92,"Gedung dan Bangunan",'Daftar Koreksi'!$H$5:$H$92,"&lt;0")-SUMIFS('Daftar Koreksi'!$H$5:$H$92,'Daftar Koreksi'!$D$5:$D$92,'2300'!A312,'Daftar Koreksi'!$G$5:$G$92,"Gedung dan Bangunan",'Daftar Koreksi'!$H$5:$H$92,"&lt;0")-SUMIFS('Daftar Koreksi'!$H$5:$H$92,'Daftar Koreksi'!$D$5:$D$92,'2300'!A312,'Daftar Koreksi'!$G$5:$G$92,"Gedung dan Bangunan",'Daftar Koreksi'!$H$5:$H$92,"&lt;0")</f>
        <v>0</v>
      </c>
      <c r="G318" s="17">
        <f t="shared" si="14"/>
        <v>5951646835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4400000</v>
      </c>
      <c r="E319" s="25">
        <f>SUMIFS('Daftar Koreksi'!$H$5:$H$92,'Daftar Koreksi'!$D$5:$D$92,'2300'!A312,'Daftar Koreksi'!$G$5:$G$92,"Jalan Irigasi Jaringan",'Daftar Koreksi'!$H$5:$H$92,"&gt;0")</f>
        <v>0</v>
      </c>
      <c r="F319" s="25">
        <f>SUMIFS('Daftar Koreksi'!$H$5:$H$92,'Daftar Koreksi'!$D$5:$D$92,'2300'!A312,'Daftar Koreksi'!$G$5:$G$92,"Jalan Irigasi Jaringan",'Daftar Koreksi'!$H$5:$H$92,"&lt;0")-SUMIFS('Daftar Koreksi'!$H$5:$H$92,'Daftar Koreksi'!$D$5:$D$92,'2300'!A312,'Daftar Koreksi'!$G$5:$G$92,"Jalan Irigasi Jaringan",'Daftar Koreksi'!$H$5:$H$92,"&lt;0")-SUMIFS('Daftar Koreksi'!$H$5:$H$92,'Daftar Koreksi'!$D$5:$D$92,'2300'!A312,'Daftar Koreksi'!$G$5:$G$92,"Jalan Irigasi Jaringan",'Daftar Koreksi'!$H$5:$H$92,"&lt;0")</f>
        <v>0</v>
      </c>
      <c r="G319" s="17">
        <f t="shared" si="14"/>
        <v>4400000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12140400</v>
      </c>
      <c r="E320" s="25">
        <f>SUMIFS('Daftar Koreksi'!$H$5:$H$92,'Daftar Koreksi'!$D$5:$D$92,'2300'!A312,'Daftar Koreksi'!$G$5:$G$92,"Aset Tetap Lainnya",'Daftar Koreksi'!$H$5:$H$92,"&gt;0")</f>
        <v>0</v>
      </c>
      <c r="F320" s="25">
        <f>SUMIFS('Daftar Koreksi'!$H$5:$H$92,'Daftar Koreksi'!$D$5:$D$92,'2300'!A312,'Daftar Koreksi'!$G$5:$G$92,"Aset Tetap Lainnya",'Daftar Koreksi'!$H$5:$H$92,"&lt;0")-SUMIFS('Daftar Koreksi'!$H$5:$H$92,'Daftar Koreksi'!$D$5:$D$92,'2300'!A312,'Daftar Koreksi'!$G$5:$G$92,"Aset Tetap Lainnya",'Daftar Koreksi'!$H$5:$H$92,"&lt;0")-SUMIFS('Daftar Koreksi'!$H$5:$H$92,'Daftar Koreksi'!$D$5:$D$92,'2300'!A312,'Daftar Koreksi'!$G$5:$G$92,"Aset Tetap Lainnya",'Daftar Koreksi'!$H$5:$H$92,"&lt;0")</f>
        <v>0</v>
      </c>
      <c r="G320" s="17">
        <f t="shared" si="14"/>
        <v>12140400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Koreksi'!$D$5:$D$92,'2300'!A312,'Daftar Koreksi'!$G$5:$G$92,"Kontruksi Dalam Pengerjaan",'Daftar Koreksi'!$H$5:$H$92,"&gt;0")</f>
        <v>0</v>
      </c>
      <c r="F321" s="25">
        <f>SUMIFS('Daftar Koreksi'!$H$5:$H$92,'Daftar Koreksi'!$D$5:$D$92,'2300'!A312,'Daftar Koreksi'!$G$5:$G$92,"Kontruksi Dalam Pengerjaan",'Daftar Koreksi'!$H$5:$H$92,"&lt;0")-SUMIFS('Daftar Koreksi'!$H$5:$H$92,'Daftar Koreksi'!$D$5:$D$92,'2300'!A312,'Daftar Koreksi'!$G$5:$G$92,"Kontruksi Dalam Pengerjaan",'Daftar Koreksi'!$H$5:$H$92,"&lt;0")-SUMIFS('Daftar Koreksi'!$H$5:$H$92,'Daftar Koreksi'!$D$5:$D$92,'2300'!A312,'Daftar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134807530</v>
      </c>
      <c r="E322" s="25">
        <f>SUMIFS('Daftar Koreksi'!$H$5:$H$92,'Daftar Koreksi'!$D$5:$D$92,'2300'!A312,'Daftar Koreksi'!$G$5:$G$92,"Aset Tak Berwujud",'Daftar Koreksi'!$H$5:$H$92,"&gt;0")</f>
        <v>0</v>
      </c>
      <c r="F322" s="25">
        <f>SUMIFS('Daftar Koreksi'!$H$5:$H$92,'Daftar Koreksi'!$D$5:$D$92,'2300'!A312,'Daftar Koreksi'!$G$5:$G$92,"Aset Tak Berwujud",'Daftar Koreksi'!$H$5:$H$92,"&lt;0")-SUMIFS('Daftar Koreksi'!$H$5:$H$92,'Daftar Koreksi'!$D$5:$D$92,'2300'!A312,'Daftar Koreksi'!$G$5:$G$92,"Aset Tak Berwujud",'Daftar Koreksi'!$H$5:$H$92,"&lt;0")-SUMIFS('Daftar Koreksi'!$H$5:$H$92,'Daftar Koreksi'!$D$5:$D$92,'2300'!A312,'Daftar Koreksi'!$G$5:$G$92,"Aset Tak Berwujud",'Daftar Koreksi'!$H$5:$H$92,"&lt;0")</f>
        <v>0</v>
      </c>
      <c r="G322" s="17">
        <f t="shared" si="14"/>
        <v>134807530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160280000</v>
      </c>
      <c r="E323" s="25">
        <f>SUMIFS('Daftar Koreksi'!$H$5:$H$92,'Daftar Koreksi'!$D$5:$D$92,'2300'!A312,'Daftar Koreksi'!$G$5:$G$92,"Aset Henti Guna",'Daftar Koreksi'!$H$5:$H$92,"&gt;0")</f>
        <v>0</v>
      </c>
      <c r="F323" s="25">
        <f>SUMIFS('Daftar Koreksi'!$H$5:$H$92,'Daftar Koreksi'!$D$5:$D$92,'2300'!A312,'Daftar Koreksi'!$G$5:$G$92,"Aset Henti Guna",'Daftar Koreksi'!$H$5:$H$92,"&lt;0")-SUMIFS('Daftar Koreksi'!$H$5:$H$92,'Daftar Koreksi'!$D$5:$D$92,'2300'!A312,'Daftar Koreksi'!$G$5:$G$92,"Aset Henti Guna",'Daftar Koreksi'!$H$5:$H$92,"&lt;0")-SUMIFS('Daftar Koreksi'!$H$5:$H$92,'Daftar Koreksi'!$D$5:$D$92,'2300'!A312,'Daftar Koreksi'!$G$5:$G$92,"Aset Henti Guna",'Daftar Koreksi'!$H$5:$H$92,"&lt;0")</f>
        <v>0</v>
      </c>
      <c r="G323" s="17">
        <f t="shared" si="14"/>
        <v>160280000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9480717230</v>
      </c>
      <c r="E324" s="19">
        <f>SUM(E315:E323)</f>
        <v>0</v>
      </c>
      <c r="F324" s="19">
        <f>SUM(F315:F323)</f>
        <v>0</v>
      </c>
      <c r="G324" s="19">
        <f t="shared" si="14"/>
        <v>9480717230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-1286914503</v>
      </c>
      <c r="E325" s="25">
        <f>SUMIFS('Daftar Koreksi'!$I$5:$I$92,'Daftar Koreksi'!$D$5:$D$92,'2300'!A312,'Daftar Koreksi'!$G$5:$G$92,"Peralatan dan mesin",'Daftar Koreksi'!$I$5:$I$92,"&gt;0")</f>
        <v>0</v>
      </c>
      <c r="F325" s="25">
        <f>SUMIFS('Daftar Koreksi'!$I$5:$I$92,'Daftar Koreksi'!$D$5:$D$92,'2300'!A312,'Daftar Koreksi'!$G$5:$G$92,"Peralatan dan mesin",'Daftar Koreksi'!$I$5:$I$92,"&lt;0")-SUMIFS('Daftar Koreksi'!$I$5:$I$92,'Daftar Koreksi'!$D$5:$D$92,'2300'!A312,'Daftar Koreksi'!$G$5:$G$92,"Peralatan dan mesin",'Daftar Koreksi'!$I$5:$I$92,"&lt;0")-SUMIFS('Daftar Koreksi'!$I$5:$I$92,'Daftar Koreksi'!$D$5:$D$92,'2300'!A312,'Daftar Koreksi'!$G$5:$G$92,"Peralatan dan mesin",'Daftar Koreksi'!$I$5:$I$92,"&lt;0")</f>
        <v>0</v>
      </c>
      <c r="G325" s="17">
        <f t="shared" si="14"/>
        <v>-1286914503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-868291215</v>
      </c>
      <c r="E326" s="25">
        <f>SUMIFS('Daftar Koreksi'!$I$5:$I$92,'Daftar Koreksi'!$D$5:$D$92,'2300'!A312,'Daftar Koreksi'!$G$5:$G$92,"Gedung dan Bangunan",'Daftar Koreksi'!$I$5:$I$92,"&gt;0")</f>
        <v>0</v>
      </c>
      <c r="F326" s="25">
        <f>SUMIFS('Daftar Koreksi'!$I$5:$I$92,'Daftar Koreksi'!$D$5:$D$92,'2300'!A312,'Daftar Koreksi'!$G$5:$G$92,"Gedung dan Bangunan",'Daftar Koreksi'!$I$5:$I$92,"&lt;0")-SUMIFS('Daftar Koreksi'!$I$5:$I$92,'Daftar Koreksi'!$D$5:$D$92,'2300'!A312,'Daftar Koreksi'!$G$5:$G$92,"Gedung dan Bangunan",'Daftar Koreksi'!$I$5:$I$92,"&lt;0")-SUMIFS('Daftar Koreksi'!$I$5:$I$92,'Daftar Koreksi'!$D$5:$D$92,'2300'!A312,'Daftar Koreksi'!$G$5:$G$92,"Gedung dan Bangunan",'Daftar Koreksi'!$I$5:$I$92,"&lt;0")</f>
        <v>0</v>
      </c>
      <c r="G326" s="17">
        <f t="shared" si="14"/>
        <v>-868291215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-2200000</v>
      </c>
      <c r="E327" s="25">
        <f>SUMIFS('Daftar Koreksi'!$I$5:$I$92,'Daftar Koreksi'!$D$5:$D$92,'2300'!A312,'Daftar Koreksi'!$G$5:$G$92,"Jalan Irigasi Jaringan",'Daftar Koreksi'!$I$5:$I$92,"&gt;0")</f>
        <v>0</v>
      </c>
      <c r="F327" s="25">
        <f>SUMIFS('Daftar Koreksi'!$I$5:$I$92,'Daftar Koreksi'!$D$5:$D$92,'2300'!A312,'Daftar Koreksi'!$G$5:$G$92,"Jalan Irigasi Jaringan",'Daftar Koreksi'!$I$5:$I$92,"&lt;0")-SUMIFS('Daftar Koreksi'!$I$5:$I$92,'Daftar Koreksi'!$D$5:$D$92,'2300'!A312,'Daftar Koreksi'!$G$5:$G$92,"Jalan Irigasi Jaringan",'Daftar Koreksi'!$I$5:$I$92,"&lt;0")-SUMIFS('Daftar Koreksi'!$I$5:$I$92,'Daftar Koreksi'!$D$5:$D$92,'2300'!A312,'Daftar Koreksi'!$G$5:$G$92,"Jalan Irigasi Jaringan",'Daftar Koreksi'!$I$5:$I$92,"&lt;0")</f>
        <v>0</v>
      </c>
      <c r="G327" s="17">
        <f t="shared" si="14"/>
        <v>-2200000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Koreksi'!$D$5:$D$92,'2300'!A312,'Daftar Koreksi'!$G$5:$G$92,"Aset Tetap Lainnya",'Daftar Koreksi'!$I$5:$I$92,"&gt;0")</f>
        <v>0</v>
      </c>
      <c r="F328" s="25">
        <f>SUMIFS('Daftar Koreksi'!$I$5:$I$92,'Daftar Koreksi'!$D$5:$D$92,'2300'!A312,'Daftar Koreksi'!$G$5:$G$92,"Aset Tetap Lainnya",'Daftar Koreksi'!$I$5:$I$92,"&lt;0")-SUMIFS('Daftar Koreksi'!$I$5:$I$92,'Daftar Koreksi'!$D$5:$D$92,'2300'!A312,'Daftar Koreksi'!$G$5:$G$92,"Aset Tetap Lainnya",'Daftar Koreksi'!$I$5:$I$92,"&lt;0")-SUMIFS('Daftar Koreksi'!$I$5:$I$92,'Daftar Koreksi'!$D$5:$D$92,'2300'!A312,'Daftar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-159895000</v>
      </c>
      <c r="E329" s="25">
        <f>SUMIFS('Daftar Koreksi'!$I$5:$I$92,'Daftar Koreksi'!$D$5:$D$92,'2300'!A312,'Daftar Koreksi'!$G$5:$G$92,"Aset Henti Guna",'Daftar Koreksi'!$I$5:$I$92,"&gt;0")</f>
        <v>0</v>
      </c>
      <c r="F329" s="25">
        <f>SUMIFS('Daftar Koreksi'!$I$5:$I$92,'Daftar Koreksi'!$D$5:$D$92,'2300'!A312,'Daftar Koreksi'!$G$5:$G$92,"Aset Henti Guna",'Daftar Koreksi'!$I$5:$I$92,"&lt;0")-SUMIFS('Daftar Koreksi'!$I$5:$I$92,'Daftar Koreksi'!$D$5:$D$92,'2300'!A312,'Daftar Koreksi'!$G$5:$G$92,"Aset Henti Guna",'Daftar Koreksi'!$I$5:$I$92,"&lt;0")-SUMIFS('Daftar Koreksi'!$I$5:$I$92,'Daftar Koreksi'!$D$5:$D$92,'2300'!A312,'Daftar Koreksi'!$G$5:$G$92,"Aset Henti Guna",'Daftar Koreksi'!$I$5:$I$92,"&lt;0")</f>
        <v>0</v>
      </c>
      <c r="G329" s="17">
        <f t="shared" si="14"/>
        <v>-159895000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-2317300718</v>
      </c>
      <c r="E330" s="19">
        <f>SUM(E325:E329)</f>
        <v>0</v>
      </c>
      <c r="F330" s="19">
        <f>SUM(F325:F329)</f>
        <v>0</v>
      </c>
      <c r="G330" s="19">
        <f t="shared" si="14"/>
        <v>-2317300718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7163416512</v>
      </c>
      <c r="E331" s="19">
        <f>E330+E324</f>
        <v>0</v>
      </c>
      <c r="F331" s="19">
        <f>F330+F324</f>
        <v>0</v>
      </c>
      <c r="G331" s="19">
        <f t="shared" si="14"/>
        <v>7163416512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005012300614727000KD</v>
      </c>
      <c r="B334" s="11" t="str">
        <f>P16</f>
        <v>PA. Giri Menang</v>
      </c>
      <c r="C334" s="12" t="str">
        <f>A334&amp;" "&amp;B334</f>
        <v>005012300614727000KD PA. Giri Menang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991555</v>
      </c>
      <c r="E337" s="25">
        <f>SUMIFS('Daftar Koreksi'!$H$5:$H$92,'Daftar Koreksi'!$D$5:$D$92,'2300'!A334,'Daftar Koreksi'!$G$5:$G$92,"Persediaan",'Daftar Koreksi'!$H$5:$H$92,"&gt;0")</f>
        <v>0</v>
      </c>
      <c r="F337" s="25">
        <f>SUMIFS('Daftar Koreksi'!$H$5:$H$92,'Daftar Koreksi'!$D$5:$D$92,'2300'!A334,'Daftar Koreksi'!$G$5:$G$92,"Persediaan",'Daftar Koreksi'!$H$5:$H$92,"&lt;0")-SUMIFS('Daftar Koreksi'!$H$5:$H$92,'Daftar Koreksi'!$D$5:$D$92,'2300'!A334,'Daftar Koreksi'!$G$5:$G$92,"Persediaan",'Daftar Koreksi'!$H$5:$H$92,"&lt;0")-SUMIFS('Daftar Koreksi'!$H$5:$H$92,'Daftar Koreksi'!$D$5:$D$92,'2300'!A334,'Daftar Koreksi'!$G$5:$G$92,"Persediaan",'Daftar Koreksi'!$H$5:$H$92,"&lt;0")</f>
        <v>0</v>
      </c>
      <c r="G337" s="17">
        <f>D337+E337-F337</f>
        <v>991555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1167777000</v>
      </c>
      <c r="E338" s="25">
        <f>SUMIFS('Daftar Koreksi'!$H$5:$H$92,'Daftar Koreksi'!$D$5:$D$92,'2300'!A334,'Daftar Koreksi'!$G$5:$G$92,"Tanah",'Daftar Koreksi'!$H$5:$H$92,"&gt;0")</f>
        <v>0</v>
      </c>
      <c r="F338" s="25">
        <f>SUMIFS('Daftar Koreksi'!$H$5:$H$92,'Daftar Koreksi'!$D$5:$D$92,'2300'!A334,'Daftar Koreksi'!$G$5:$G$92,"Tanah",'Daftar Koreksi'!$H$5:$H$92,"&lt;0")-SUMIFS('Daftar Koreksi'!$H$5:$H$92,'Daftar Koreksi'!$D$5:$D$92,'2300'!A334,'Daftar Koreksi'!$G$5:$G$92,"Tanah",'Daftar Koreksi'!$H$5:$H$92,"&lt;0")-SUMIFS('Daftar Koreksi'!$H$5:$H$92,'Daftar Koreksi'!$D$5:$D$92,'2300'!A334,'Daftar Koreksi'!$G$5:$G$92,"Tanah",'Daftar Koreksi'!$H$5:$H$92,"&lt;0")</f>
        <v>0</v>
      </c>
      <c r="G338" s="17">
        <f t="shared" ref="G338:G354" si="15">D338+E338-F338</f>
        <v>1167777000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1196091586</v>
      </c>
      <c r="E339" s="25">
        <f>SUMIFS('Daftar Koreksi'!$H$5:$H$92,'Daftar Koreksi'!$D$5:$D$92,'2300'!A334,'Daftar Koreksi'!$G$5:$G$92,"Peralatan dan mesin",'Daftar Koreksi'!$H$5:$H$92,"&gt;0")</f>
        <v>0</v>
      </c>
      <c r="F339" s="25">
        <f>SUMIFS('Daftar Koreksi'!$H$5:$H$92,'Daftar Koreksi'!$D$5:$D$92,'2300'!A334,'Daftar Koreksi'!$G$5:$G$92,"Peralatan dan mesin",'Daftar Koreksi'!$H$5:$H$92,"&lt;0")-SUMIFS('Daftar Koreksi'!$H$5:$H$92,'Daftar Koreksi'!$D$5:$D$92,'2300'!A334,'Daftar Koreksi'!$G$5:$G$92,"Peralatan dan mesin",'Daftar Koreksi'!$H$5:$H$92,"&lt;0")-SUMIFS('Daftar Koreksi'!$H$5:$H$92,'Daftar Koreksi'!$D$5:$D$92,'2300'!A334,'Daftar Koreksi'!$G$5:$G$92,"Peralatan dan mesin",'Daftar Koreksi'!$H$5:$H$92,"&lt;0")</f>
        <v>0</v>
      </c>
      <c r="G339" s="17">
        <f t="shared" si="15"/>
        <v>1196091586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5288519425</v>
      </c>
      <c r="E340" s="25">
        <f>SUMIFS('Daftar Koreksi'!$H$5:$H$92,'Daftar Koreksi'!$D$5:$D$92,'2300'!A334,'Daftar Koreksi'!$G$5:$G$92,"Gedung dan Bangunan",'Daftar Koreksi'!$H$5:$H$92,"&gt;0")</f>
        <v>0</v>
      </c>
      <c r="F340" s="25">
        <f>SUMIFS('Daftar Koreksi'!$H$5:$H$92,'Daftar Koreksi'!$D$5:$D$92,'2300'!A334,'Daftar Koreksi'!$G$5:$G$92,"Gedung dan Bangunan",'Daftar Koreksi'!$H$5:$H$92,"&lt;0")-SUMIFS('Daftar Koreksi'!$H$5:$H$92,'Daftar Koreksi'!$D$5:$D$92,'2300'!A334,'Daftar Koreksi'!$G$5:$G$92,"Gedung dan Bangunan",'Daftar Koreksi'!$H$5:$H$92,"&lt;0")-SUMIFS('Daftar Koreksi'!$H$5:$H$92,'Daftar Koreksi'!$D$5:$D$92,'2300'!A334,'Daftar Koreksi'!$G$5:$G$92,"Gedung dan Bangunan",'Daftar Koreksi'!$H$5:$H$92,"&lt;0")</f>
        <v>0</v>
      </c>
      <c r="G340" s="17">
        <f t="shared" si="15"/>
        <v>5288519425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Koreksi'!$D$5:$D$92,'2300'!A334,'Daftar Koreksi'!$G$5:$G$92,"Jalan Irigasi Jaringan",'Daftar Koreksi'!$H$5:$H$92,"&gt;0")</f>
        <v>0</v>
      </c>
      <c r="F341" s="25">
        <f>SUMIFS('Daftar Koreksi'!$H$5:$H$92,'Daftar Koreksi'!$D$5:$D$92,'2300'!A334,'Daftar Koreksi'!$G$5:$G$92,"Jalan Irigasi Jaringan",'Daftar Koreksi'!$H$5:$H$92,"&lt;0")-SUMIFS('Daftar Koreksi'!$H$5:$H$92,'Daftar Koreksi'!$D$5:$D$92,'2300'!A334,'Daftar Koreksi'!$G$5:$G$92,"Jalan Irigasi Jaringan",'Daftar Koreksi'!$H$5:$H$92,"&lt;0")-SUMIFS('Daftar Koreksi'!$H$5:$H$92,'Daftar Koreksi'!$D$5:$D$92,'2300'!A334,'Daftar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3176000</v>
      </c>
      <c r="E342" s="25">
        <f>SUMIFS('Daftar Koreksi'!$H$5:$H$92,'Daftar Koreksi'!$D$5:$D$92,'2300'!A334,'Daftar Koreksi'!$G$5:$G$92,"Aset Tetap Lainnya",'Daftar Koreksi'!$H$5:$H$92,"&gt;0")</f>
        <v>0</v>
      </c>
      <c r="F342" s="25">
        <f>SUMIFS('Daftar Koreksi'!$H$5:$H$92,'Daftar Koreksi'!$D$5:$D$92,'2300'!A334,'Daftar Koreksi'!$G$5:$G$92,"Aset Tetap Lainnya",'Daftar Koreksi'!$H$5:$H$92,"&lt;0")-SUMIFS('Daftar Koreksi'!$H$5:$H$92,'Daftar Koreksi'!$D$5:$D$92,'2300'!A334,'Daftar Koreksi'!$G$5:$G$92,"Aset Tetap Lainnya",'Daftar Koreksi'!$H$5:$H$92,"&lt;0")-SUMIFS('Daftar Koreksi'!$H$5:$H$92,'Daftar Koreksi'!$D$5:$D$92,'2300'!A334,'Daftar Koreksi'!$G$5:$G$92,"Aset Tetap Lainnya",'Daftar Koreksi'!$H$5:$H$92,"&lt;0")</f>
        <v>0</v>
      </c>
      <c r="G342" s="17">
        <f t="shared" si="15"/>
        <v>3176000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Koreksi'!$D$5:$D$92,'2300'!A334,'Daftar Koreksi'!$G$5:$G$92,"Kontruksi Dalam Pengerjaan",'Daftar Koreksi'!$H$5:$H$92,"&gt;0")</f>
        <v>0</v>
      </c>
      <c r="F343" s="25">
        <f>SUMIFS('Daftar Koreksi'!$H$5:$H$92,'Daftar Koreksi'!$D$5:$D$92,'2300'!A334,'Daftar Koreksi'!$G$5:$G$92,"Kontruksi Dalam Pengerjaan",'Daftar Koreksi'!$H$5:$H$92,"&lt;0")-SUMIFS('Daftar Koreksi'!$H$5:$H$92,'Daftar Koreksi'!$D$5:$D$92,'2300'!A334,'Daftar Koreksi'!$G$5:$G$92,"Kontruksi Dalam Pengerjaan",'Daftar Koreksi'!$H$5:$H$92,"&lt;0")-SUMIFS('Daftar Koreksi'!$H$5:$H$92,'Daftar Koreksi'!$D$5:$D$92,'2300'!A334,'Daftar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Koreksi'!$D$5:$D$92,'2300'!A334,'Daftar Koreksi'!$G$5:$G$92,"Aset Tak Berwujud",'Daftar Koreksi'!$H$5:$H$92,"&gt;0")</f>
        <v>0</v>
      </c>
      <c r="F344" s="25">
        <f>SUMIFS('Daftar Koreksi'!$H$5:$H$92,'Daftar Koreksi'!$D$5:$D$92,'2300'!A334,'Daftar Koreksi'!$G$5:$G$92,"Aset Tak Berwujud",'Daftar Koreksi'!$H$5:$H$92,"&lt;0")-SUMIFS('Daftar Koreksi'!$H$5:$H$92,'Daftar Koreksi'!$D$5:$D$92,'2300'!A334,'Daftar Koreksi'!$G$5:$G$92,"Aset Tak Berwujud",'Daftar Koreksi'!$H$5:$H$92,"&lt;0")-SUMIFS('Daftar Koreksi'!$H$5:$H$92,'Daftar Koreksi'!$D$5:$D$92,'2300'!A334,'Daftar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Koreksi'!$D$5:$D$92,'2300'!A334,'Daftar Koreksi'!$G$5:$G$92,"Aset Henti Guna",'Daftar Koreksi'!$H$5:$H$92,"&gt;0")</f>
        <v>0</v>
      </c>
      <c r="F345" s="25">
        <f>SUMIFS('Daftar Koreksi'!$H$5:$H$92,'Daftar Koreksi'!$D$5:$D$92,'2300'!A334,'Daftar Koreksi'!$G$5:$G$92,"Aset Henti Guna",'Daftar Koreksi'!$H$5:$H$92,"&lt;0")-SUMIFS('Daftar Koreksi'!$H$5:$H$92,'Daftar Koreksi'!$D$5:$D$92,'2300'!A334,'Daftar Koreksi'!$G$5:$G$92,"Aset Henti Guna",'Daftar Koreksi'!$H$5:$H$92,"&lt;0")-SUMIFS('Daftar Koreksi'!$H$5:$H$92,'Daftar Koreksi'!$D$5:$D$92,'2300'!A334,'Daftar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7656555566</v>
      </c>
      <c r="E346" s="19">
        <f>SUM(E337:E345)</f>
        <v>0</v>
      </c>
      <c r="F346" s="19">
        <f>SUM(F337:F345)</f>
        <v>0</v>
      </c>
      <c r="G346" s="19">
        <f t="shared" si="15"/>
        <v>7656555566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-1071724895</v>
      </c>
      <c r="E347" s="25">
        <f>SUMIFS('Daftar Koreksi'!$I$5:$I$92,'Daftar Koreksi'!$D$5:$D$92,'2300'!A334,'Daftar Koreksi'!$G$5:$G$92,"Peralatan dan mesin",'Daftar Koreksi'!$I$5:$I$92,"&gt;0")</f>
        <v>0</v>
      </c>
      <c r="F347" s="25">
        <f>SUMIFS('Daftar Koreksi'!$I$5:$I$92,'Daftar Koreksi'!$D$5:$D$92,'2300'!A334,'Daftar Koreksi'!$G$5:$G$92,"Peralatan dan mesin",'Daftar Koreksi'!$I$5:$I$92,"&lt;0")-SUMIFS('Daftar Koreksi'!$I$5:$I$92,'Daftar Koreksi'!$D$5:$D$92,'2300'!A334,'Daftar Koreksi'!$G$5:$G$92,"Peralatan dan mesin",'Daftar Koreksi'!$I$5:$I$92,"&lt;0")-SUMIFS('Daftar Koreksi'!$I$5:$I$92,'Daftar Koreksi'!$D$5:$D$92,'2300'!A334,'Daftar Koreksi'!$G$5:$G$92,"Peralatan dan mesin",'Daftar Koreksi'!$I$5:$I$92,"&lt;0")</f>
        <v>0</v>
      </c>
      <c r="G347" s="17">
        <f t="shared" si="15"/>
        <v>-1071724895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-429289667</v>
      </c>
      <c r="E348" s="25">
        <f>SUMIFS('Daftar Koreksi'!$I$5:$I$92,'Daftar Koreksi'!$D$5:$D$92,'2300'!A334,'Daftar Koreksi'!$G$5:$G$92,"Gedung dan Bangunan",'Daftar Koreksi'!$I$5:$I$92,"&gt;0")</f>
        <v>0</v>
      </c>
      <c r="F348" s="25">
        <f>SUMIFS('Daftar Koreksi'!$I$5:$I$92,'Daftar Koreksi'!$D$5:$D$92,'2300'!A334,'Daftar Koreksi'!$G$5:$G$92,"Gedung dan Bangunan",'Daftar Koreksi'!$I$5:$I$92,"&lt;0")-SUMIFS('Daftar Koreksi'!$I$5:$I$92,'Daftar Koreksi'!$D$5:$D$92,'2300'!A334,'Daftar Koreksi'!$G$5:$G$92,"Gedung dan Bangunan",'Daftar Koreksi'!$I$5:$I$92,"&lt;0")-SUMIFS('Daftar Koreksi'!$I$5:$I$92,'Daftar Koreksi'!$D$5:$D$92,'2300'!A334,'Daftar Koreksi'!$G$5:$G$92,"Gedung dan Bangunan",'Daftar Koreksi'!$I$5:$I$92,"&lt;0")</f>
        <v>0</v>
      </c>
      <c r="G348" s="17">
        <f t="shared" si="15"/>
        <v>-429289667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Koreksi'!$D$5:$D$92,'2300'!A334,'Daftar Koreksi'!$G$5:$G$92,"Jalan Irigasi Jaringan",'Daftar Koreksi'!$I$5:$I$92,"&gt;0")</f>
        <v>0</v>
      </c>
      <c r="F349" s="25">
        <f>SUMIFS('Daftar Koreksi'!$I$5:$I$92,'Daftar Koreksi'!$D$5:$D$92,'2300'!A334,'Daftar Koreksi'!$G$5:$G$92,"Jalan Irigasi Jaringan",'Daftar Koreksi'!$I$5:$I$92,"&lt;0")-SUMIFS('Daftar Koreksi'!$I$5:$I$92,'Daftar Koreksi'!$D$5:$D$92,'2300'!A334,'Daftar Koreksi'!$G$5:$G$92,"Jalan Irigasi Jaringan",'Daftar Koreksi'!$I$5:$I$92,"&lt;0")-SUMIFS('Daftar Koreksi'!$I$5:$I$92,'Daftar Koreksi'!$D$5:$D$92,'2300'!A334,'Daftar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Koreksi'!$D$5:$D$92,'2300'!A334,'Daftar Koreksi'!$G$5:$G$92,"Aset Tetap Lainnya",'Daftar Koreksi'!$I$5:$I$92,"&gt;0")</f>
        <v>0</v>
      </c>
      <c r="F350" s="25">
        <f>SUMIFS('Daftar Koreksi'!$I$5:$I$92,'Daftar Koreksi'!$D$5:$D$92,'2300'!A334,'Daftar Koreksi'!$G$5:$G$92,"Aset Tetap Lainnya",'Daftar Koreksi'!$I$5:$I$92,"&lt;0")-SUMIFS('Daftar Koreksi'!$I$5:$I$92,'Daftar Koreksi'!$D$5:$D$92,'2300'!A334,'Daftar Koreksi'!$G$5:$G$92,"Aset Tetap Lainnya",'Daftar Koreksi'!$I$5:$I$92,"&lt;0")-SUMIFS('Daftar Koreksi'!$I$5:$I$92,'Daftar Koreksi'!$D$5:$D$92,'2300'!A334,'Daftar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Koreksi'!$D$5:$D$92,'2300'!A334,'Daftar Koreksi'!$G$5:$G$92,"Aset Henti Guna",'Daftar Koreksi'!$I$5:$I$92,"&gt;0")</f>
        <v>0</v>
      </c>
      <c r="F351" s="25">
        <f>SUMIFS('Daftar Koreksi'!$I$5:$I$92,'Daftar Koreksi'!$D$5:$D$92,'2300'!A334,'Daftar Koreksi'!$G$5:$G$92,"Aset Henti Guna",'Daftar Koreksi'!$I$5:$I$92,"&lt;0")-SUMIFS('Daftar Koreksi'!$I$5:$I$92,'Daftar Koreksi'!$D$5:$D$92,'2300'!A334,'Daftar Koreksi'!$G$5:$G$92,"Aset Henti Guna",'Daftar Koreksi'!$I$5:$I$92,"&lt;0")-SUMIFS('Daftar Koreksi'!$I$5:$I$92,'Daftar Koreksi'!$D$5:$D$92,'2300'!A334,'Daftar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-1501014562</v>
      </c>
      <c r="E352" s="19">
        <f>SUM(E347:E351)</f>
        <v>0</v>
      </c>
      <c r="F352" s="19">
        <f>SUM(F347:F351)</f>
        <v>0</v>
      </c>
      <c r="G352" s="19">
        <f t="shared" si="15"/>
        <v>-1501014562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6155541004</v>
      </c>
      <c r="E353" s="19">
        <f>E352+E346</f>
        <v>0</v>
      </c>
      <c r="F353" s="19">
        <f>F352+F346</f>
        <v>0</v>
      </c>
      <c r="G353" s="19">
        <f t="shared" si="15"/>
        <v>6155541004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005012300682274000KD</v>
      </c>
      <c r="B356" s="11" t="str">
        <f>P17</f>
        <v>PA. Taliwang</v>
      </c>
      <c r="C356" s="12" t="str">
        <f>A356&amp;" "&amp;B356</f>
        <v>005012300682274000KD PA. Taliwang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328600</v>
      </c>
      <c r="E359" s="25">
        <f>SUMIFS('Daftar Koreksi'!$H$5:$H$92,'Daftar Koreksi'!$D$5:$D$92,'2300'!A356,'Daftar Koreksi'!$G$5:$G$92,"Persediaan",'Daftar Koreksi'!$H$5:$H$92,"&gt;0")</f>
        <v>0</v>
      </c>
      <c r="F359" s="25">
        <f>SUMIFS('Daftar Koreksi'!$H$5:$H$92,'Daftar Koreksi'!$D$5:$D$92,'2300'!A356,'Daftar Koreksi'!$G$5:$G$92,"Persediaan",'Daftar Koreksi'!$H$5:$H$92,"&lt;0")-SUMIFS('Daftar Koreksi'!$H$5:$H$92,'Daftar Koreksi'!$D$5:$D$92,'2300'!A356,'Daftar Koreksi'!$G$5:$G$92,"Persediaan",'Daftar Koreksi'!$H$5:$H$92,"&lt;0")-SUMIFS('Daftar Koreksi'!$H$5:$H$92,'Daftar Koreksi'!$D$5:$D$92,'2300'!A356,'Daftar Koreksi'!$G$5:$G$92,"Persediaan",'Daftar Koreksi'!$H$5:$H$92,"&lt;0")</f>
        <v>0</v>
      </c>
      <c r="G359" s="17">
        <f>D359+E359-F359</f>
        <v>328600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1512952000</v>
      </c>
      <c r="E360" s="25">
        <f>SUMIFS('Daftar Koreksi'!$H$5:$H$92,'Daftar Koreksi'!$D$5:$D$92,'2300'!A356,'Daftar Koreksi'!$G$5:$G$92,"Tanah",'Daftar Koreksi'!$H$5:$H$92,"&gt;0")</f>
        <v>0</v>
      </c>
      <c r="F360" s="25">
        <f>SUMIFS('Daftar Koreksi'!$H$5:$H$92,'Daftar Koreksi'!$D$5:$D$92,'2300'!A356,'Daftar Koreksi'!$G$5:$G$92,"Tanah",'Daftar Koreksi'!$H$5:$H$92,"&lt;0")-SUMIFS('Daftar Koreksi'!$H$5:$H$92,'Daftar Koreksi'!$D$5:$D$92,'2300'!A356,'Daftar Koreksi'!$G$5:$G$92,"Tanah",'Daftar Koreksi'!$H$5:$H$92,"&lt;0")-SUMIFS('Daftar Koreksi'!$H$5:$H$92,'Daftar Koreksi'!$D$5:$D$92,'2300'!A356,'Daftar Koreksi'!$G$5:$G$92,"Tanah",'Daftar Koreksi'!$H$5:$H$92,"&lt;0")</f>
        <v>0</v>
      </c>
      <c r="G360" s="17">
        <f t="shared" ref="G360:G376" si="16">D360+E360-F360</f>
        <v>1512952000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1429838000</v>
      </c>
      <c r="E361" s="25">
        <f>SUMIFS('Daftar Koreksi'!$H$5:$H$92,'Daftar Koreksi'!$D$5:$D$92,'2300'!A356,'Daftar Koreksi'!$G$5:$G$92,"Peralatan dan mesin",'Daftar Koreksi'!$H$5:$H$92,"&gt;0")</f>
        <v>0</v>
      </c>
      <c r="F361" s="25">
        <f>SUMIFS('Daftar Koreksi'!$H$5:$H$92,'Daftar Koreksi'!$D$5:$D$92,'2300'!A356,'Daftar Koreksi'!$G$5:$G$92,"Peralatan dan mesin",'Daftar Koreksi'!$H$5:$H$92,"&lt;0")-SUMIFS('Daftar Koreksi'!$H$5:$H$92,'Daftar Koreksi'!$D$5:$D$92,'2300'!A356,'Daftar Koreksi'!$G$5:$G$92,"Peralatan dan mesin",'Daftar Koreksi'!$H$5:$H$92,"&lt;0")-SUMIFS('Daftar Koreksi'!$H$5:$H$92,'Daftar Koreksi'!$D$5:$D$92,'2300'!A356,'Daftar Koreksi'!$G$5:$G$92,"Peralatan dan mesin",'Daftar Koreksi'!$H$5:$H$92,"&lt;0")</f>
        <v>0</v>
      </c>
      <c r="G361" s="17">
        <f t="shared" si="16"/>
        <v>1429838000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0</v>
      </c>
      <c r="E362" s="25">
        <f>SUMIFS('Daftar Koreksi'!$H$5:$H$92,'Daftar Koreksi'!$D$5:$D$92,'2300'!A356,'Daftar Koreksi'!$G$5:$G$92,"Gedung dan Bangunan",'Daftar Koreksi'!$H$5:$H$92,"&gt;0")</f>
        <v>0</v>
      </c>
      <c r="F362" s="25">
        <f>SUMIFS('Daftar Koreksi'!$H$5:$H$92,'Daftar Koreksi'!$D$5:$D$92,'2300'!A356,'Daftar Koreksi'!$G$5:$G$92,"Gedung dan Bangunan",'Daftar Koreksi'!$H$5:$H$92,"&lt;0")-SUMIFS('Daftar Koreksi'!$H$5:$H$92,'Daftar Koreksi'!$D$5:$D$92,'2300'!A356,'Daftar Koreksi'!$G$5:$G$92,"Gedung dan Bangunan",'Daftar Koreksi'!$H$5:$H$92,"&lt;0")-SUMIFS('Daftar Koreksi'!$H$5:$H$92,'Daftar Koreksi'!$D$5:$D$92,'2300'!A356,'Daftar Koreksi'!$G$5:$G$92,"Gedung dan Bangunan",'Daftar Koreksi'!$H$5:$H$92,"&lt;0")</f>
        <v>0</v>
      </c>
      <c r="G362" s="17">
        <f t="shared" si="16"/>
        <v>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Koreksi'!$D$5:$D$92,'2300'!A356,'Daftar Koreksi'!$G$5:$G$92,"Jalan Irigasi Jaringan",'Daftar Koreksi'!$H$5:$H$92,"&gt;0")</f>
        <v>0</v>
      </c>
      <c r="F363" s="25">
        <f>SUMIFS('Daftar Koreksi'!$H$5:$H$92,'Daftar Koreksi'!$D$5:$D$92,'2300'!A356,'Daftar Koreksi'!$G$5:$G$92,"Jalan Irigasi Jaringan",'Daftar Koreksi'!$H$5:$H$92,"&lt;0")-SUMIFS('Daftar Koreksi'!$H$5:$H$92,'Daftar Koreksi'!$D$5:$D$92,'2300'!A356,'Daftar Koreksi'!$G$5:$G$92,"Jalan Irigasi Jaringan",'Daftar Koreksi'!$H$5:$H$92,"&lt;0")-SUMIFS('Daftar Koreksi'!$H$5:$H$92,'Daftar Koreksi'!$D$5:$D$92,'2300'!A356,'Daftar Koreksi'!$G$5:$G$92,"Jalan Irigasi Jaringan",'Daftar Koreksi'!$H$5:$H$92,"&lt;0")</f>
        <v>0</v>
      </c>
      <c r="G363" s="17">
        <f t="shared" si="16"/>
        <v>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408000</v>
      </c>
      <c r="E364" s="25">
        <f>SUMIFS('Daftar Koreksi'!$H$5:$H$92,'Daftar Koreksi'!$D$5:$D$92,'2300'!A356,'Daftar Koreksi'!$G$5:$G$92,"Aset Tetap Lainnya",'Daftar Koreksi'!$H$5:$H$92,"&gt;0")</f>
        <v>0</v>
      </c>
      <c r="F364" s="25">
        <f>SUMIFS('Daftar Koreksi'!$H$5:$H$92,'Daftar Koreksi'!$D$5:$D$92,'2300'!A356,'Daftar Koreksi'!$G$5:$G$92,"Aset Tetap Lainnya",'Daftar Koreksi'!$H$5:$H$92,"&lt;0")-SUMIFS('Daftar Koreksi'!$H$5:$H$92,'Daftar Koreksi'!$D$5:$D$92,'2300'!A356,'Daftar Koreksi'!$G$5:$G$92,"Aset Tetap Lainnya",'Daftar Koreksi'!$H$5:$H$92,"&lt;0")-SUMIFS('Daftar Koreksi'!$H$5:$H$92,'Daftar Koreksi'!$D$5:$D$92,'2300'!A356,'Daftar Koreksi'!$G$5:$G$92,"Aset Tetap Lainnya",'Daftar Koreksi'!$H$5:$H$92,"&lt;0")</f>
        <v>0</v>
      </c>
      <c r="G364" s="17">
        <f t="shared" si="16"/>
        <v>408000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7882542200</v>
      </c>
      <c r="E365" s="25">
        <f>SUMIFS('Daftar Koreksi'!$H$5:$H$92,'Daftar Koreksi'!$D$5:$D$92,'2300'!A356,'Daftar Koreksi'!$G$5:$G$92,"Kontruksi Dalam Pengerjaan",'Daftar Koreksi'!$H$5:$H$92,"&gt;0")</f>
        <v>0</v>
      </c>
      <c r="F365" s="25">
        <f>SUMIFS('Daftar Koreksi'!$H$5:$H$92,'Daftar Koreksi'!$D$5:$D$92,'2300'!A356,'Daftar Koreksi'!$G$5:$G$92,"Kontruksi Dalam Pengerjaan",'Daftar Koreksi'!$H$5:$H$92,"&lt;0")-SUMIFS('Daftar Koreksi'!$H$5:$H$92,'Daftar Koreksi'!$D$5:$D$92,'2300'!A356,'Daftar Koreksi'!$G$5:$G$92,"Kontruksi Dalam Pengerjaan",'Daftar Koreksi'!$H$5:$H$92,"&lt;0")-SUMIFS('Daftar Koreksi'!$H$5:$H$92,'Daftar Koreksi'!$D$5:$D$92,'2300'!A356,'Daftar Koreksi'!$G$5:$G$92,"Kontruksi Dalam Pengerjaan",'Daftar Koreksi'!$H$5:$H$92,"&lt;0")</f>
        <v>0</v>
      </c>
      <c r="G365" s="17">
        <f t="shared" si="16"/>
        <v>7882542200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Koreksi'!$D$5:$D$92,'2300'!A356,'Daftar Koreksi'!$G$5:$G$92,"Aset Tak Berwujud",'Daftar Koreksi'!$H$5:$H$92,"&gt;0")</f>
        <v>0</v>
      </c>
      <c r="F366" s="25">
        <f>SUMIFS('Daftar Koreksi'!$H$5:$H$92,'Daftar Koreksi'!$D$5:$D$92,'2300'!A356,'Daftar Koreksi'!$G$5:$G$92,"Aset Tak Berwujud",'Daftar Koreksi'!$H$5:$H$92,"&lt;0")-SUMIFS('Daftar Koreksi'!$H$5:$H$92,'Daftar Koreksi'!$D$5:$D$92,'2300'!A356,'Daftar Koreksi'!$G$5:$G$92,"Aset Tak Berwujud",'Daftar Koreksi'!$H$5:$H$92,"&lt;0")-SUMIFS('Daftar Koreksi'!$H$5:$H$92,'Daftar Koreksi'!$D$5:$D$92,'2300'!A356,'Daftar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7920000</v>
      </c>
      <c r="E367" s="25">
        <f>SUMIFS('Daftar Koreksi'!$H$5:$H$92,'Daftar Koreksi'!$D$5:$D$92,'2300'!A356,'Daftar Koreksi'!$G$5:$G$92,"Aset Henti Guna",'Daftar Koreksi'!$H$5:$H$92,"&gt;0")</f>
        <v>0</v>
      </c>
      <c r="F367" s="25">
        <f>SUMIFS('Daftar Koreksi'!$H$5:$H$92,'Daftar Koreksi'!$D$5:$D$92,'2300'!A356,'Daftar Koreksi'!$G$5:$G$92,"Aset Henti Guna",'Daftar Koreksi'!$H$5:$H$92,"&lt;0")-SUMIFS('Daftar Koreksi'!$H$5:$H$92,'Daftar Koreksi'!$D$5:$D$92,'2300'!A356,'Daftar Koreksi'!$G$5:$G$92,"Aset Henti Guna",'Daftar Koreksi'!$H$5:$H$92,"&lt;0")-SUMIFS('Daftar Koreksi'!$H$5:$H$92,'Daftar Koreksi'!$D$5:$D$92,'2300'!A356,'Daftar Koreksi'!$G$5:$G$92,"Aset Henti Guna",'Daftar Koreksi'!$H$5:$H$92,"&lt;0")</f>
        <v>0</v>
      </c>
      <c r="G367" s="17">
        <f t="shared" si="16"/>
        <v>7920000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10833988800</v>
      </c>
      <c r="E368" s="19">
        <f>SUM(E359:E367)</f>
        <v>0</v>
      </c>
      <c r="F368" s="19">
        <f>SUM(F359:F367)</f>
        <v>0</v>
      </c>
      <c r="G368" s="19">
        <f t="shared" si="16"/>
        <v>10833988800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-479181113</v>
      </c>
      <c r="E369" s="25">
        <f>SUMIFS('Daftar Koreksi'!$I$5:$I$92,'Daftar Koreksi'!$D$5:$D$92,'2300'!A356,'Daftar Koreksi'!$G$5:$G$92,"Peralatan dan mesin",'Daftar Koreksi'!$I$5:$I$92,"&gt;0")</f>
        <v>0</v>
      </c>
      <c r="F369" s="25">
        <f>SUMIFS('Daftar Koreksi'!$I$5:$I$92,'Daftar Koreksi'!$D$5:$D$92,'2300'!A356,'Daftar Koreksi'!$G$5:$G$92,"Peralatan dan mesin",'Daftar Koreksi'!$I$5:$I$92,"&lt;0")-SUMIFS('Daftar Koreksi'!$I$5:$I$92,'Daftar Koreksi'!$D$5:$D$92,'2300'!A356,'Daftar Koreksi'!$G$5:$G$92,"Peralatan dan mesin",'Daftar Koreksi'!$I$5:$I$92,"&lt;0")-SUMIFS('Daftar Koreksi'!$I$5:$I$92,'Daftar Koreksi'!$D$5:$D$92,'2300'!A356,'Daftar Koreksi'!$G$5:$G$92,"Peralatan dan mesin",'Daftar Koreksi'!$I$5:$I$92,"&lt;0")</f>
        <v>0</v>
      </c>
      <c r="G369" s="17">
        <f t="shared" si="16"/>
        <v>-479181113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0</v>
      </c>
      <c r="E370" s="25">
        <f>SUMIFS('Daftar Koreksi'!$I$5:$I$92,'Daftar Koreksi'!$D$5:$D$92,'2300'!A356,'Daftar Koreksi'!$G$5:$G$92,"Gedung dan Bangunan",'Daftar Koreksi'!$I$5:$I$92,"&gt;0")</f>
        <v>0</v>
      </c>
      <c r="F370" s="25">
        <f>SUMIFS('Daftar Koreksi'!$I$5:$I$92,'Daftar Koreksi'!$D$5:$D$92,'2300'!A356,'Daftar Koreksi'!$G$5:$G$92,"Gedung dan Bangunan",'Daftar Koreksi'!$I$5:$I$92,"&lt;0")-SUMIFS('Daftar Koreksi'!$I$5:$I$92,'Daftar Koreksi'!$D$5:$D$92,'2300'!A356,'Daftar Koreksi'!$G$5:$G$92,"Gedung dan Bangunan",'Daftar Koreksi'!$I$5:$I$92,"&lt;0")-SUMIFS('Daftar Koreksi'!$I$5:$I$92,'Daftar Koreksi'!$D$5:$D$92,'2300'!A356,'Daftar Koreksi'!$G$5:$G$92,"Gedung dan Bangunan",'Daftar Koreksi'!$I$5:$I$92,"&lt;0")</f>
        <v>0</v>
      </c>
      <c r="G370" s="17">
        <f t="shared" si="16"/>
        <v>0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Koreksi'!$D$5:$D$92,'2300'!A356,'Daftar Koreksi'!$G$5:$G$92,"Jalan Irigasi Jaringan",'Daftar Koreksi'!$I$5:$I$92,"&gt;0")</f>
        <v>0</v>
      </c>
      <c r="F371" s="25">
        <f>SUMIFS('Daftar Koreksi'!$I$5:$I$92,'Daftar Koreksi'!$D$5:$D$92,'2300'!A356,'Daftar Koreksi'!$G$5:$G$92,"Jalan Irigasi Jaringan",'Daftar Koreksi'!$I$5:$I$92,"&lt;0")-SUMIFS('Daftar Koreksi'!$I$5:$I$92,'Daftar Koreksi'!$D$5:$D$92,'2300'!A356,'Daftar Koreksi'!$G$5:$G$92,"Jalan Irigasi Jaringan",'Daftar Koreksi'!$I$5:$I$92,"&lt;0")-SUMIFS('Daftar Koreksi'!$I$5:$I$92,'Daftar Koreksi'!$D$5:$D$92,'2300'!A356,'Daftar Koreksi'!$G$5:$G$92,"Jalan Irigasi Jaringan",'Daftar Koreksi'!$I$5:$I$92,"&lt;0")</f>
        <v>0</v>
      </c>
      <c r="G371" s="17">
        <f t="shared" si="16"/>
        <v>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Koreksi'!$D$5:$D$92,'2300'!A356,'Daftar Koreksi'!$G$5:$G$92,"Aset Tetap Lainnya",'Daftar Koreksi'!$I$5:$I$92,"&gt;0")</f>
        <v>0</v>
      </c>
      <c r="F372" s="25">
        <f>SUMIFS('Daftar Koreksi'!$I$5:$I$92,'Daftar Koreksi'!$D$5:$D$92,'2300'!A356,'Daftar Koreksi'!$G$5:$G$92,"Aset Tetap Lainnya",'Daftar Koreksi'!$I$5:$I$92,"&lt;0")-SUMIFS('Daftar Koreksi'!$I$5:$I$92,'Daftar Koreksi'!$D$5:$D$92,'2300'!A356,'Daftar Koreksi'!$G$5:$G$92,"Aset Tetap Lainnya",'Daftar Koreksi'!$I$5:$I$92,"&lt;0")-SUMIFS('Daftar Koreksi'!$I$5:$I$92,'Daftar Koreksi'!$D$5:$D$92,'2300'!A356,'Daftar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-7920000</v>
      </c>
      <c r="E373" s="25">
        <f>SUMIFS('Daftar Koreksi'!$I$5:$I$92,'Daftar Koreksi'!$D$5:$D$92,'2300'!A356,'Daftar Koreksi'!$G$5:$G$92,"Aset Henti Guna",'Daftar Koreksi'!$I$5:$I$92,"&gt;0")</f>
        <v>0</v>
      </c>
      <c r="F373" s="25">
        <f>SUMIFS('Daftar Koreksi'!$I$5:$I$92,'Daftar Koreksi'!$D$5:$D$92,'2300'!A356,'Daftar Koreksi'!$G$5:$G$92,"Aset Henti Guna",'Daftar Koreksi'!$I$5:$I$92,"&lt;0")-SUMIFS('Daftar Koreksi'!$I$5:$I$92,'Daftar Koreksi'!$D$5:$D$92,'2300'!A356,'Daftar Koreksi'!$G$5:$G$92,"Aset Henti Guna",'Daftar Koreksi'!$I$5:$I$92,"&lt;0")-SUMIFS('Daftar Koreksi'!$I$5:$I$92,'Daftar Koreksi'!$D$5:$D$92,'2300'!A356,'Daftar Koreksi'!$G$5:$G$92,"Aset Henti Guna",'Daftar Koreksi'!$I$5:$I$92,"&lt;0")</f>
        <v>0</v>
      </c>
      <c r="G373" s="17">
        <f t="shared" si="16"/>
        <v>-7920000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-487101113</v>
      </c>
      <c r="E374" s="19">
        <f>SUM(E369:E373)</f>
        <v>0</v>
      </c>
      <c r="F374" s="19">
        <f>SUM(F369:F373)</f>
        <v>0</v>
      </c>
      <c r="G374" s="19">
        <f t="shared" si="16"/>
        <v>-487101113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10346887687</v>
      </c>
      <c r="E375" s="19">
        <f>E374+E368</f>
        <v>0</v>
      </c>
      <c r="F375" s="19">
        <f>F374+F368</f>
        <v>0</v>
      </c>
      <c r="G375" s="19">
        <f t="shared" si="16"/>
        <v>10346887687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</sheetData>
  <mergeCells count="102">
    <mergeCell ref="H95:H112"/>
    <mergeCell ref="C27:C28"/>
    <mergeCell ref="D27:D28"/>
    <mergeCell ref="E27:F27"/>
    <mergeCell ref="G27:G28"/>
    <mergeCell ref="H27:H28"/>
    <mergeCell ref="H337:H354"/>
    <mergeCell ref="H359:H376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C93:C94"/>
    <mergeCell ref="D93:D94"/>
    <mergeCell ref="E93:F93"/>
    <mergeCell ref="G93:G94"/>
    <mergeCell ref="H93:H94"/>
    <mergeCell ref="H73:H90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H7:H24"/>
    <mergeCell ref="H29:H46"/>
    <mergeCell ref="H51:H68"/>
    <mergeCell ref="C137:C138"/>
    <mergeCell ref="D137:D138"/>
    <mergeCell ref="E137:F137"/>
    <mergeCell ref="G137:G138"/>
    <mergeCell ref="H137:H138"/>
    <mergeCell ref="C115:C116"/>
    <mergeCell ref="D115:D116"/>
    <mergeCell ref="E115:F115"/>
    <mergeCell ref="G115:G116"/>
    <mergeCell ref="H115:H116"/>
    <mergeCell ref="C181:C182"/>
    <mergeCell ref="D181:D182"/>
    <mergeCell ref="E181:F181"/>
    <mergeCell ref="G181:G182"/>
    <mergeCell ref="H181:H182"/>
    <mergeCell ref="C159:C160"/>
    <mergeCell ref="D159:D160"/>
    <mergeCell ref="E159:F159"/>
    <mergeCell ref="G159:G160"/>
    <mergeCell ref="H159:H160"/>
    <mergeCell ref="C225:C226"/>
    <mergeCell ref="D225:D226"/>
    <mergeCell ref="E225:F225"/>
    <mergeCell ref="G225:G226"/>
    <mergeCell ref="H225:H226"/>
    <mergeCell ref="C203:C204"/>
    <mergeCell ref="D203:D204"/>
    <mergeCell ref="E203:F203"/>
    <mergeCell ref="G203:G204"/>
    <mergeCell ref="H203:H204"/>
    <mergeCell ref="C269:C270"/>
    <mergeCell ref="D269:D270"/>
    <mergeCell ref="E269:F269"/>
    <mergeCell ref="G269:G270"/>
    <mergeCell ref="H269:H270"/>
    <mergeCell ref="C247:C248"/>
    <mergeCell ref="D247:D248"/>
    <mergeCell ref="E247:F247"/>
    <mergeCell ref="G247:G248"/>
    <mergeCell ref="H247:H248"/>
    <mergeCell ref="C313:C314"/>
    <mergeCell ref="D313:D314"/>
    <mergeCell ref="E313:F313"/>
    <mergeCell ref="G313:G314"/>
    <mergeCell ref="H313:H314"/>
    <mergeCell ref="C291:C292"/>
    <mergeCell ref="D291:D292"/>
    <mergeCell ref="E291:F291"/>
    <mergeCell ref="G291:G292"/>
    <mergeCell ref="H291:H292"/>
    <mergeCell ref="C357:C358"/>
    <mergeCell ref="D357:D358"/>
    <mergeCell ref="E357:F357"/>
    <mergeCell ref="G357:G358"/>
    <mergeCell ref="H357:H358"/>
    <mergeCell ref="C335:C336"/>
    <mergeCell ref="D335:D336"/>
    <mergeCell ref="E335:F335"/>
    <mergeCell ref="G335:G336"/>
    <mergeCell ref="H335:H336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K1274"/>
  <sheetViews>
    <sheetView workbookViewId="0">
      <pane ySplit="1" topLeftCell="A460" activePane="bottomLeft" state="frozen"/>
      <selection pane="bottomLeft" activeCell="A470" sqref="A470"/>
    </sheetView>
  </sheetViews>
  <sheetFormatPr defaultRowHeight="15"/>
  <cols>
    <col min="1" max="1" width="22" style="41" bestFit="1" customWidth="1"/>
    <col min="2" max="2" width="22" style="41" customWidth="1"/>
    <col min="3" max="3" width="34.85546875" style="41" bestFit="1" customWidth="1"/>
    <col min="4" max="12" width="17.7109375" style="41" customWidth="1"/>
    <col min="13" max="13" width="19" style="41" bestFit="1" customWidth="1"/>
    <col min="14" max="14" width="30.5703125" style="41" bestFit="1" customWidth="1"/>
    <col min="15" max="15" width="32" style="41" bestFit="1" customWidth="1"/>
    <col min="16" max="18" width="17.7109375" style="41" customWidth="1"/>
    <col min="19" max="19" width="19" style="41" bestFit="1" customWidth="1"/>
    <col min="20" max="21" width="9.140625" style="41"/>
    <col min="22" max="22" width="14.28515625" style="41" bestFit="1" customWidth="1"/>
    <col min="23" max="25" width="18" style="41" bestFit="1" customWidth="1"/>
    <col min="26" max="26" width="16.28515625" style="41" bestFit="1" customWidth="1"/>
    <col min="27" max="27" width="15.28515625" style="41" bestFit="1" customWidth="1"/>
    <col min="28" max="28" width="16.28515625" style="41" bestFit="1" customWidth="1"/>
    <col min="29" max="30" width="15.28515625" style="41" bestFit="1" customWidth="1"/>
    <col min="31" max="31" width="19" style="41" bestFit="1" customWidth="1"/>
    <col min="32" max="32" width="30.5703125" style="41" bestFit="1" customWidth="1"/>
    <col min="33" max="33" width="32" style="41" bestFit="1" customWidth="1"/>
    <col min="34" max="34" width="30.140625" style="41" bestFit="1" customWidth="1"/>
    <col min="35" max="35" width="28.42578125" style="41" bestFit="1" customWidth="1"/>
    <col min="36" max="36" width="24.28515625" style="41" bestFit="1" customWidth="1"/>
    <col min="37" max="37" width="18" style="41" bestFit="1" customWidth="1"/>
    <col min="38" max="16384" width="9.140625" style="41"/>
  </cols>
  <sheetData>
    <row r="1" spans="1:37" s="44" customFormat="1" ht="25.5" customHeight="1">
      <c r="A1" s="44" t="s">
        <v>1157</v>
      </c>
      <c r="C1" s="44" t="s">
        <v>1989</v>
      </c>
      <c r="D1" s="46" t="s">
        <v>0</v>
      </c>
      <c r="E1" s="46" t="s">
        <v>1</v>
      </c>
      <c r="F1" s="46" t="s">
        <v>2</v>
      </c>
      <c r="G1" s="46" t="s">
        <v>3</v>
      </c>
      <c r="H1" s="46" t="s">
        <v>4</v>
      </c>
      <c r="I1" s="46" t="s">
        <v>5</v>
      </c>
      <c r="J1" s="46" t="s">
        <v>6</v>
      </c>
      <c r="K1" s="46" t="s">
        <v>7</v>
      </c>
      <c r="L1" s="46" t="s">
        <v>8</v>
      </c>
      <c r="M1" s="46" t="s">
        <v>9</v>
      </c>
      <c r="N1" s="45" t="s">
        <v>2016</v>
      </c>
      <c r="O1" s="45" t="s">
        <v>2017</v>
      </c>
      <c r="P1" s="45" t="s">
        <v>2018</v>
      </c>
      <c r="Q1" s="45" t="s">
        <v>2019</v>
      </c>
      <c r="R1" s="45" t="s">
        <v>2020</v>
      </c>
      <c r="S1" s="45" t="s">
        <v>2021</v>
      </c>
      <c r="V1" s="46" t="s">
        <v>0</v>
      </c>
      <c r="W1" s="46" t="s">
        <v>1</v>
      </c>
      <c r="X1" s="46" t="s">
        <v>2</v>
      </c>
      <c r="Y1" s="46" t="s">
        <v>3</v>
      </c>
      <c r="Z1" s="46" t="s">
        <v>4</v>
      </c>
      <c r="AA1" s="46" t="s">
        <v>5</v>
      </c>
      <c r="AB1" s="46" t="s">
        <v>6</v>
      </c>
      <c r="AC1" s="46" t="s">
        <v>7</v>
      </c>
      <c r="AD1" s="46" t="s">
        <v>8</v>
      </c>
      <c r="AE1" s="46" t="s">
        <v>9</v>
      </c>
      <c r="AF1" s="45" t="s">
        <v>2016</v>
      </c>
      <c r="AG1" s="45" t="s">
        <v>2017</v>
      </c>
      <c r="AH1" s="45" t="s">
        <v>2018</v>
      </c>
      <c r="AI1" s="45" t="s">
        <v>2019</v>
      </c>
      <c r="AJ1" s="45" t="s">
        <v>2020</v>
      </c>
      <c r="AK1" s="45" t="s">
        <v>2021</v>
      </c>
    </row>
    <row r="2" spans="1:37">
      <c r="A2" s="41" t="s">
        <v>10</v>
      </c>
      <c r="B2" s="41" t="str">
        <f>LEFT(A2,9)</f>
        <v>005010100</v>
      </c>
      <c r="D2" s="42">
        <f>VLOOKUP($A2,'Neraca Unaudited SIMAK'!$A$2:$R$1272,3,FALSE)+IF(ISNA(VLOOKUP($A2,'Mutasi Neraca'!$A$3:$S$910,3,FALSE)),0,VLOOKUP($A2,'Mutasi Neraca'!$A$3:$S$910,3,FALSE))</f>
        <v>13556410</v>
      </c>
      <c r="E2" s="42">
        <f>VLOOKUP($A2,'Neraca Unaudited SIMAK'!$A$2:$R$1272,4,FALSE)+IF(ISNA(VLOOKUP($A2,'Mutasi Neraca'!$A$3:$S$910,4,FALSE)),0,VLOOKUP($A2,'Mutasi Neraca'!$A$3:$S$910,4,FALSE))</f>
        <v>20587375000</v>
      </c>
      <c r="F2" s="42">
        <f>VLOOKUP($A2,'Neraca Unaudited SIMAK'!$A$2:$R$1272,5,FALSE)+IF(ISNA(VLOOKUP($A2,'Mutasi Neraca'!$A$3:$S$910,5,FALSE)),0,VLOOKUP($A2,'Mutasi Neraca'!$A$3:$S$910,5,FALSE))</f>
        <v>8317915888</v>
      </c>
      <c r="G2" s="42">
        <f>VLOOKUP($A2,'Neraca Unaudited SIMAK'!$A$2:$R$1272,6,FALSE)+IF(ISNA(VLOOKUP($A2,'Mutasi Neraca'!$A$3:$S$910,6,FALSE)),0,VLOOKUP($A2,'Mutasi Neraca'!$A$3:$S$910,6,FALSE))</f>
        <v>27256151250</v>
      </c>
      <c r="H2" s="42">
        <f>VLOOKUP($A2,'Neraca Unaudited SIMAK'!$A$2:$R$1272,7,FALSE)+IF(ISNA(VLOOKUP($A2,'Mutasi Neraca'!$A$3:$S$910,7,FALSE)),0,VLOOKUP($A2,'Mutasi Neraca'!$A$3:$S$910,7,FALSE))</f>
        <v>0</v>
      </c>
      <c r="I2" s="42">
        <f>VLOOKUP($A2,'Neraca Unaudited SIMAK'!$A$2:$R$1272,8,FALSE)+IF(ISNA(VLOOKUP($A2,'Mutasi Neraca'!$A$3:$S$910,8,FALSE)),0,VLOOKUP($A2,'Mutasi Neraca'!$A$3:$S$910,8,FALSE))</f>
        <v>30175394</v>
      </c>
      <c r="J2" s="42">
        <f>VLOOKUP($A2,'Neraca Unaudited SIMAK'!$A$2:$R$1272,9,FALSE)+IF(ISNA(VLOOKUP($A2,'Mutasi Neraca'!$A$3:$S$910,9,FALSE)),0,VLOOKUP($A2,'Mutasi Neraca'!$A$3:$S$910,9,FALSE))</f>
        <v>0</v>
      </c>
      <c r="K2" s="42">
        <f>VLOOKUP($A2,'Neraca Unaudited SIMAK'!$A$2:$R$1272,10,FALSE)+IF(ISNA(VLOOKUP($A2,'Mutasi Neraca'!$A$3:$S$910,10,FALSE)),0,VLOOKUP($A2,'Mutasi Neraca'!$A$3:$S$910,10,FALSE))</f>
        <v>6633000</v>
      </c>
      <c r="L2" s="42">
        <f>VLOOKUP($A2,'Neraca Unaudited SIMAK'!$A$2:$R$1272,11,FALSE)+IF(ISNA(VLOOKUP($A2,'Mutasi Neraca'!$A$3:$S$910,11,FALSE)),0,VLOOKUP($A2,'Mutasi Neraca'!$A$3:$S$910,11,FALSE))</f>
        <v>208365956</v>
      </c>
      <c r="M2" s="42">
        <f>VLOOKUP($A2,'Neraca Unaudited SIMAK'!$A$2:$R$1272,12,FALSE)+IF(ISNA(VLOOKUP($A2,'Mutasi Neraca'!$A$3:$S$910,12,FALSE)),0,VLOOKUP($A2,'Mutasi Neraca'!$A$3:$S$910,12,FALSE))</f>
        <v>56420172898</v>
      </c>
      <c r="N2" s="42">
        <f>VLOOKUP($A2,'Neraca Unaudited SIMAK'!$A$2:$R$1272,13,FALSE)+IF(ISNA(VLOOKUP($A2,'Mutasi Neraca'!$A$3:$S$910,13,FALSE)),0,VLOOKUP($A2,'Mutasi Neraca'!$A$3:$S$910,13,FALSE))</f>
        <v>-7173185634</v>
      </c>
      <c r="O2" s="42">
        <f>VLOOKUP($A2,'Neraca Unaudited SIMAK'!$A$2:$R$1272,14,FALSE)+IF(ISNA(VLOOKUP($A2,'Mutasi Neraca'!$A$3:$S$910,14,FALSE)),0,VLOOKUP($A2,'Mutasi Neraca'!$A$3:$S$910,14,FALSE))</f>
        <v>-3976330198</v>
      </c>
      <c r="P2" s="42">
        <f>VLOOKUP($A2,'Neraca Unaudited SIMAK'!$A$2:$R$1272,15,FALSE)+IF(ISNA(VLOOKUP($A2,'Mutasi Neraca'!$A$3:$S$910,15,FALSE)),0,VLOOKUP($A2,'Mutasi Neraca'!$A$3:$S$910,15,FALSE))</f>
        <v>0</v>
      </c>
      <c r="Q2" s="42">
        <f>VLOOKUP($A2,'Neraca Unaudited SIMAK'!$A$2:$R$1272,16,FALSE)+IF(ISNA(VLOOKUP($A2,'Mutasi Neraca'!$A$3:$S$910,16,FALSE)),0,VLOOKUP($A2,'Mutasi Neraca'!$A$3:$S$910,16,FALSE))</f>
        <v>0</v>
      </c>
      <c r="R2" s="42">
        <f>VLOOKUP($A2,'Neraca Unaudited SIMAK'!$A$2:$R$1272,17,FALSE)+IF(ISNA(VLOOKUP($A2,'Mutasi Neraca'!$A$3:$S$910,17,FALSE)),0,VLOOKUP($A2,'Mutasi Neraca'!$A$3:$S$910,17,FALSE))</f>
        <v>-206999545</v>
      </c>
      <c r="S2" s="42">
        <f>SUM(M2:R2)</f>
        <v>45063657521</v>
      </c>
      <c r="U2" s="52" t="s">
        <v>2152</v>
      </c>
      <c r="V2" s="51">
        <f t="shared" ref="V2:AK2" si="0">SUMIFS(D$2:D$1270,$B$2:$B$1270,"005010100")</f>
        <v>204112630</v>
      </c>
      <c r="W2" s="51">
        <f t="shared" si="0"/>
        <v>438412669300</v>
      </c>
      <c r="X2" s="51">
        <f t="shared" si="0"/>
        <v>116633321948</v>
      </c>
      <c r="Y2" s="51">
        <f t="shared" si="0"/>
        <v>458698335032</v>
      </c>
      <c r="Z2" s="51">
        <f t="shared" si="0"/>
        <v>1243309840</v>
      </c>
      <c r="AA2" s="51">
        <f t="shared" si="0"/>
        <v>3291823536</v>
      </c>
      <c r="AB2" s="51">
        <f t="shared" si="0"/>
        <v>2710958695</v>
      </c>
      <c r="AC2" s="51">
        <f t="shared" si="0"/>
        <v>896548268</v>
      </c>
      <c r="AD2" s="51">
        <f t="shared" si="0"/>
        <v>1801234947</v>
      </c>
      <c r="AE2" s="51">
        <f t="shared" si="0"/>
        <v>1023892314196</v>
      </c>
      <c r="AF2" s="51">
        <f t="shared" si="0"/>
        <v>-68471041422</v>
      </c>
      <c r="AG2" s="51">
        <f t="shared" si="0"/>
        <v>-30574213596</v>
      </c>
      <c r="AH2" s="51">
        <f t="shared" si="0"/>
        <v>-255438317</v>
      </c>
      <c r="AI2" s="51">
        <f t="shared" si="0"/>
        <v>-80000</v>
      </c>
      <c r="AJ2" s="51">
        <f t="shared" si="0"/>
        <v>-1798755336</v>
      </c>
      <c r="AK2" s="51">
        <f t="shared" si="0"/>
        <v>922792785525</v>
      </c>
    </row>
    <row r="3" spans="1:37">
      <c r="A3" s="41" t="s">
        <v>11</v>
      </c>
      <c r="B3" s="41" t="str">
        <f t="shared" ref="B3:B66" si="1">LEFT(A3,9)</f>
        <v>005010100</v>
      </c>
      <c r="D3" s="42">
        <f>VLOOKUP($A3,'Neraca Unaudited SIMAK'!$A$2:$R$1272,3,FALSE)+IF(ISNA(VLOOKUP($A3,'Mutasi Neraca'!$A$3:$S$910,3,FALSE)),0,VLOOKUP($A3,'Mutasi Neraca'!$A$3:$S$910,3,FALSE))</f>
        <v>45072294</v>
      </c>
      <c r="E3" s="42">
        <f>VLOOKUP($A3,'Neraca Unaudited SIMAK'!$A$2:$R$1272,4,FALSE)+IF(ISNA(VLOOKUP($A3,'Mutasi Neraca'!$A$3:$S$910,4,FALSE)),0,VLOOKUP($A3,'Mutasi Neraca'!$A$3:$S$910,4,FALSE))</f>
        <v>111202873400</v>
      </c>
      <c r="F3" s="42">
        <f>VLOOKUP($A3,'Neraca Unaudited SIMAK'!$A$2:$R$1272,5,FALSE)+IF(ISNA(VLOOKUP($A3,'Mutasi Neraca'!$A$3:$S$910,5,FALSE)),0,VLOOKUP($A3,'Mutasi Neraca'!$A$3:$S$910,5,FALSE))</f>
        <v>45743733270</v>
      </c>
      <c r="G3" s="42">
        <f>VLOOKUP($A3,'Neraca Unaudited SIMAK'!$A$2:$R$1272,6,FALSE)+IF(ISNA(VLOOKUP($A3,'Mutasi Neraca'!$A$3:$S$910,6,FALSE)),0,VLOOKUP($A3,'Mutasi Neraca'!$A$3:$S$910,6,FALSE))</f>
        <v>183347175175</v>
      </c>
      <c r="H3" s="42">
        <f>VLOOKUP($A3,'Neraca Unaudited SIMAK'!$A$2:$R$1272,7,FALSE)+IF(ISNA(VLOOKUP($A3,'Mutasi Neraca'!$A$3:$S$910,7,FALSE)),0,VLOOKUP($A3,'Mutasi Neraca'!$A$3:$S$910,7,FALSE))</f>
        <v>1359999</v>
      </c>
      <c r="I3" s="42">
        <f>VLOOKUP($A3,'Neraca Unaudited SIMAK'!$A$2:$R$1272,8,FALSE)+IF(ISNA(VLOOKUP($A3,'Mutasi Neraca'!$A$3:$S$910,8,FALSE)),0,VLOOKUP($A3,'Mutasi Neraca'!$A$3:$S$910,8,FALSE))</f>
        <v>164137972</v>
      </c>
      <c r="J3" s="42">
        <f>VLOOKUP($A3,'Neraca Unaudited SIMAK'!$A$2:$R$1272,9,FALSE)+IF(ISNA(VLOOKUP($A3,'Mutasi Neraca'!$A$3:$S$910,9,FALSE)),0,VLOOKUP($A3,'Mutasi Neraca'!$A$3:$S$910,9,FALSE))</f>
        <v>0</v>
      </c>
      <c r="K3" s="42">
        <f>VLOOKUP($A3,'Neraca Unaudited SIMAK'!$A$2:$R$1272,10,FALSE)+IF(ISNA(VLOOKUP($A3,'Mutasi Neraca'!$A$3:$S$910,10,FALSE)),0,VLOOKUP($A3,'Mutasi Neraca'!$A$3:$S$910,10,FALSE))</f>
        <v>0</v>
      </c>
      <c r="L3" s="42">
        <f>VLOOKUP($A3,'Neraca Unaudited SIMAK'!$A$2:$R$1272,11,FALSE)+IF(ISNA(VLOOKUP($A3,'Mutasi Neraca'!$A$3:$S$910,11,FALSE)),0,VLOOKUP($A3,'Mutasi Neraca'!$A$3:$S$910,11,FALSE))</f>
        <v>0</v>
      </c>
      <c r="M3" s="42">
        <f>VLOOKUP($A3,'Neraca Unaudited SIMAK'!$A$2:$R$1272,12,FALSE)+IF(ISNA(VLOOKUP($A3,'Mutasi Neraca'!$A$3:$S$910,12,FALSE)),0,VLOOKUP($A3,'Mutasi Neraca'!$A$3:$S$910,12,FALSE))</f>
        <v>340504352110</v>
      </c>
      <c r="N3" s="42">
        <f>VLOOKUP($A3,'Neraca Unaudited SIMAK'!$A$2:$R$1272,13,FALSE)+IF(ISNA(VLOOKUP($A3,'Mutasi Neraca'!$A$3:$S$910,13,FALSE)),0,VLOOKUP($A3,'Mutasi Neraca'!$A$3:$S$910,13,FALSE))</f>
        <v>-8589302275</v>
      </c>
      <c r="O3" s="42">
        <f>VLOOKUP($A3,'Neraca Unaudited SIMAK'!$A$2:$R$1272,14,FALSE)+IF(ISNA(VLOOKUP($A3,'Mutasi Neraca'!$A$3:$S$910,14,FALSE)),0,VLOOKUP($A3,'Mutasi Neraca'!$A$3:$S$910,14,FALSE))</f>
        <v>-2711559710</v>
      </c>
      <c r="P3" s="42">
        <f>VLOOKUP($A3,'Neraca Unaudited SIMAK'!$A$2:$R$1272,15,FALSE)+IF(ISNA(VLOOKUP($A3,'Mutasi Neraca'!$A$3:$S$910,15,FALSE)),0,VLOOKUP($A3,'Mutasi Neraca'!$A$3:$S$910,15,FALSE))</f>
        <v>-383592</v>
      </c>
      <c r="Q3" s="42">
        <f>VLOOKUP($A3,'Neraca Unaudited SIMAK'!$A$2:$R$1272,16,FALSE)+IF(ISNA(VLOOKUP($A3,'Mutasi Neraca'!$A$3:$S$910,16,FALSE)),0,VLOOKUP($A3,'Mutasi Neraca'!$A$3:$S$910,16,FALSE))</f>
        <v>0</v>
      </c>
      <c r="R3" s="42">
        <f>VLOOKUP($A3,'Neraca Unaudited SIMAK'!$A$2:$R$1272,17,FALSE)+IF(ISNA(VLOOKUP($A3,'Mutasi Neraca'!$A$3:$S$910,17,FALSE)),0,VLOOKUP($A3,'Mutasi Neraca'!$A$3:$S$910,17,FALSE))</f>
        <v>0</v>
      </c>
      <c r="S3" s="42">
        <f t="shared" ref="S3:S66" si="2">SUM(M3:R3)</f>
        <v>329203106533</v>
      </c>
      <c r="U3" s="52" t="s">
        <v>2153</v>
      </c>
      <c r="V3" s="51">
        <f t="shared" ref="V3:AK3" si="3">SUMIFS(D$2:D$1270,$B$2:$B$1270,"005010200")</f>
        <v>238412510</v>
      </c>
      <c r="W3" s="51">
        <f t="shared" si="3"/>
        <v>343583887138</v>
      </c>
      <c r="X3" s="51">
        <f t="shared" si="3"/>
        <v>117090905313</v>
      </c>
      <c r="Y3" s="51">
        <f t="shared" si="3"/>
        <v>316641693869</v>
      </c>
      <c r="Z3" s="51">
        <f t="shared" si="3"/>
        <v>5193410471</v>
      </c>
      <c r="AA3" s="51">
        <f t="shared" si="3"/>
        <v>1390198320</v>
      </c>
      <c r="AB3" s="51">
        <f t="shared" si="3"/>
        <v>18277075900</v>
      </c>
      <c r="AC3" s="51">
        <f t="shared" si="3"/>
        <v>2093585230</v>
      </c>
      <c r="AD3" s="51">
        <f t="shared" si="3"/>
        <v>3773751100</v>
      </c>
      <c r="AE3" s="51">
        <f t="shared" si="3"/>
        <v>808282919851</v>
      </c>
      <c r="AF3" s="51">
        <f t="shared" si="3"/>
        <v>-91602115700</v>
      </c>
      <c r="AG3" s="51">
        <f t="shared" si="3"/>
        <v>-59906426254</v>
      </c>
      <c r="AH3" s="51">
        <f t="shared" si="3"/>
        <v>-1321396726</v>
      </c>
      <c r="AI3" s="51">
        <f t="shared" si="3"/>
        <v>-20287000</v>
      </c>
      <c r="AJ3" s="51">
        <f t="shared" si="3"/>
        <v>-3538566488</v>
      </c>
      <c r="AK3" s="51">
        <f t="shared" si="3"/>
        <v>651894127683</v>
      </c>
    </row>
    <row r="4" spans="1:37">
      <c r="A4" s="41" t="s">
        <v>12</v>
      </c>
      <c r="B4" s="41" t="str">
        <f t="shared" si="1"/>
        <v>005010100</v>
      </c>
      <c r="D4" s="42">
        <f>VLOOKUP($A4,'Neraca Unaudited SIMAK'!$A$2:$R$1272,3,FALSE)+IF(ISNA(VLOOKUP($A4,'Mutasi Neraca'!$A$3:$S$910,3,FALSE)),0,VLOOKUP($A4,'Mutasi Neraca'!$A$3:$S$910,3,FALSE))</f>
        <v>0</v>
      </c>
      <c r="E4" s="42">
        <f>VLOOKUP($A4,'Neraca Unaudited SIMAK'!$A$2:$R$1272,4,FALSE)+IF(ISNA(VLOOKUP($A4,'Mutasi Neraca'!$A$3:$S$910,4,FALSE)),0,VLOOKUP($A4,'Mutasi Neraca'!$A$3:$S$910,4,FALSE))</f>
        <v>108509595000</v>
      </c>
      <c r="F4" s="42">
        <f>VLOOKUP($A4,'Neraca Unaudited SIMAK'!$A$2:$R$1272,5,FALSE)+IF(ISNA(VLOOKUP($A4,'Mutasi Neraca'!$A$3:$S$910,5,FALSE)),0,VLOOKUP($A4,'Mutasi Neraca'!$A$3:$S$910,5,FALSE))</f>
        <v>5313703107</v>
      </c>
      <c r="G4" s="42">
        <f>VLOOKUP($A4,'Neraca Unaudited SIMAK'!$A$2:$R$1272,6,FALSE)+IF(ISNA(VLOOKUP($A4,'Mutasi Neraca'!$A$3:$S$910,6,FALSE)),0,VLOOKUP($A4,'Mutasi Neraca'!$A$3:$S$910,6,FALSE))</f>
        <v>45780716501</v>
      </c>
      <c r="H4" s="42">
        <f>VLOOKUP($A4,'Neraca Unaudited SIMAK'!$A$2:$R$1272,7,FALSE)+IF(ISNA(VLOOKUP($A4,'Mutasi Neraca'!$A$3:$S$910,7,FALSE)),0,VLOOKUP($A4,'Mutasi Neraca'!$A$3:$S$910,7,FALSE))</f>
        <v>0</v>
      </c>
      <c r="I4" s="42">
        <f>VLOOKUP($A4,'Neraca Unaudited SIMAK'!$A$2:$R$1272,8,FALSE)+IF(ISNA(VLOOKUP($A4,'Mutasi Neraca'!$A$3:$S$910,8,FALSE)),0,VLOOKUP($A4,'Mutasi Neraca'!$A$3:$S$910,8,FALSE))</f>
        <v>9457062</v>
      </c>
      <c r="J4" s="42">
        <f>VLOOKUP($A4,'Neraca Unaudited SIMAK'!$A$2:$R$1272,9,FALSE)+IF(ISNA(VLOOKUP($A4,'Mutasi Neraca'!$A$3:$S$910,9,FALSE)),0,VLOOKUP($A4,'Mutasi Neraca'!$A$3:$S$910,9,FALSE))</f>
        <v>0</v>
      </c>
      <c r="K4" s="42">
        <f>VLOOKUP($A4,'Neraca Unaudited SIMAK'!$A$2:$R$1272,10,FALSE)+IF(ISNA(VLOOKUP($A4,'Mutasi Neraca'!$A$3:$S$910,10,FALSE)),0,VLOOKUP($A4,'Mutasi Neraca'!$A$3:$S$910,10,FALSE))</f>
        <v>84070548</v>
      </c>
      <c r="L4" s="42">
        <f>VLOOKUP($A4,'Neraca Unaudited SIMAK'!$A$2:$R$1272,11,FALSE)+IF(ISNA(VLOOKUP($A4,'Mutasi Neraca'!$A$3:$S$910,11,FALSE)),0,VLOOKUP($A4,'Mutasi Neraca'!$A$3:$S$910,11,FALSE))</f>
        <v>308394075</v>
      </c>
      <c r="M4" s="42">
        <f>VLOOKUP($A4,'Neraca Unaudited SIMAK'!$A$2:$R$1272,12,FALSE)+IF(ISNA(VLOOKUP($A4,'Mutasi Neraca'!$A$3:$S$910,12,FALSE)),0,VLOOKUP($A4,'Mutasi Neraca'!$A$3:$S$910,12,FALSE))</f>
        <v>160005936293</v>
      </c>
      <c r="N4" s="42">
        <f>VLOOKUP($A4,'Neraca Unaudited SIMAK'!$A$2:$R$1272,13,FALSE)+IF(ISNA(VLOOKUP($A4,'Mutasi Neraca'!$A$3:$S$910,13,FALSE)),0,VLOOKUP($A4,'Mutasi Neraca'!$A$3:$S$910,13,FALSE))</f>
        <v>-4220776626</v>
      </c>
      <c r="O4" s="42">
        <f>VLOOKUP($A4,'Neraca Unaudited SIMAK'!$A$2:$R$1272,14,FALSE)+IF(ISNA(VLOOKUP($A4,'Mutasi Neraca'!$A$3:$S$910,14,FALSE)),0,VLOOKUP($A4,'Mutasi Neraca'!$A$3:$S$910,14,FALSE))</f>
        <v>-4197548610</v>
      </c>
      <c r="P4" s="42">
        <f>VLOOKUP($A4,'Neraca Unaudited SIMAK'!$A$2:$R$1272,15,FALSE)+IF(ISNA(VLOOKUP($A4,'Mutasi Neraca'!$A$3:$S$910,15,FALSE)),0,VLOOKUP($A4,'Mutasi Neraca'!$A$3:$S$910,15,FALSE))</f>
        <v>0</v>
      </c>
      <c r="Q4" s="42">
        <f>VLOOKUP($A4,'Neraca Unaudited SIMAK'!$A$2:$R$1272,16,FALSE)+IF(ISNA(VLOOKUP($A4,'Mutasi Neraca'!$A$3:$S$910,16,FALSE)),0,VLOOKUP($A4,'Mutasi Neraca'!$A$3:$S$910,16,FALSE))</f>
        <v>0</v>
      </c>
      <c r="R4" s="42">
        <f>VLOOKUP($A4,'Neraca Unaudited SIMAK'!$A$2:$R$1272,17,FALSE)+IF(ISNA(VLOOKUP($A4,'Mutasi Neraca'!$A$3:$S$910,17,FALSE)),0,VLOOKUP($A4,'Mutasi Neraca'!$A$3:$S$910,17,FALSE))</f>
        <v>-308394075</v>
      </c>
      <c r="S4" s="42">
        <f t="shared" si="2"/>
        <v>151279216982</v>
      </c>
      <c r="U4" s="52" t="s">
        <v>2154</v>
      </c>
      <c r="V4" s="51">
        <f t="shared" ref="V4:AK4" si="4">SUMIFS(D$2:D$1270,$B$2:$B$1270,"005010300")</f>
        <v>291766836</v>
      </c>
      <c r="W4" s="51">
        <f t="shared" si="4"/>
        <v>453703766676</v>
      </c>
      <c r="X4" s="51">
        <f t="shared" si="4"/>
        <v>125281525411</v>
      </c>
      <c r="Y4" s="51">
        <f t="shared" si="4"/>
        <v>320700989232</v>
      </c>
      <c r="Z4" s="51">
        <f t="shared" si="4"/>
        <v>3736917188</v>
      </c>
      <c r="AA4" s="51">
        <f t="shared" si="4"/>
        <v>3275374405</v>
      </c>
      <c r="AB4" s="51">
        <f t="shared" si="4"/>
        <v>0</v>
      </c>
      <c r="AC4" s="51">
        <f t="shared" si="4"/>
        <v>698442500</v>
      </c>
      <c r="AD4" s="51">
        <f t="shared" si="4"/>
        <v>3205121265</v>
      </c>
      <c r="AE4" s="51">
        <f t="shared" si="4"/>
        <v>910893903513</v>
      </c>
      <c r="AF4" s="51">
        <f t="shared" si="4"/>
        <v>-103667488904</v>
      </c>
      <c r="AG4" s="51">
        <f t="shared" si="4"/>
        <v>-68799875024</v>
      </c>
      <c r="AH4" s="51">
        <f t="shared" si="4"/>
        <v>-1638302942</v>
      </c>
      <c r="AI4" s="51">
        <f t="shared" si="4"/>
        <v>-10900000</v>
      </c>
      <c r="AJ4" s="51">
        <f t="shared" si="4"/>
        <v>-2779248926</v>
      </c>
      <c r="AK4" s="51">
        <f t="shared" si="4"/>
        <v>733998087717</v>
      </c>
    </row>
    <row r="5" spans="1:37">
      <c r="A5" s="41" t="s">
        <v>13</v>
      </c>
      <c r="B5" s="41" t="str">
        <f t="shared" si="1"/>
        <v>005010100</v>
      </c>
      <c r="D5" s="42">
        <f>VLOOKUP($A5,'Neraca Unaudited SIMAK'!$A$2:$R$1272,3,FALSE)+IF(ISNA(VLOOKUP($A5,'Mutasi Neraca'!$A$3:$S$910,3,FALSE)),0,VLOOKUP($A5,'Mutasi Neraca'!$A$3:$S$910,3,FALSE))</f>
        <v>8726000</v>
      </c>
      <c r="E5" s="42">
        <f>VLOOKUP($A5,'Neraca Unaudited SIMAK'!$A$2:$R$1272,4,FALSE)+IF(ISNA(VLOOKUP($A5,'Mutasi Neraca'!$A$3:$S$910,4,FALSE)),0,VLOOKUP($A5,'Mutasi Neraca'!$A$3:$S$910,4,FALSE))</f>
        <v>27934170000</v>
      </c>
      <c r="F5" s="42">
        <f>VLOOKUP($A5,'Neraca Unaudited SIMAK'!$A$2:$R$1272,5,FALSE)+IF(ISNA(VLOOKUP($A5,'Mutasi Neraca'!$A$3:$S$910,5,FALSE)),0,VLOOKUP($A5,'Mutasi Neraca'!$A$3:$S$910,5,FALSE))</f>
        <v>5007655334</v>
      </c>
      <c r="G5" s="42">
        <f>VLOOKUP($A5,'Neraca Unaudited SIMAK'!$A$2:$R$1272,6,FALSE)+IF(ISNA(VLOOKUP($A5,'Mutasi Neraca'!$A$3:$S$910,6,FALSE)),0,VLOOKUP($A5,'Mutasi Neraca'!$A$3:$S$910,6,FALSE))</f>
        <v>59194289822</v>
      </c>
      <c r="H5" s="42">
        <f>VLOOKUP($A5,'Neraca Unaudited SIMAK'!$A$2:$R$1272,7,FALSE)+IF(ISNA(VLOOKUP($A5,'Mutasi Neraca'!$A$3:$S$910,7,FALSE)),0,VLOOKUP($A5,'Mutasi Neraca'!$A$3:$S$910,7,FALSE))</f>
        <v>0</v>
      </c>
      <c r="I5" s="42">
        <f>VLOOKUP($A5,'Neraca Unaudited SIMAK'!$A$2:$R$1272,8,FALSE)+IF(ISNA(VLOOKUP($A5,'Mutasi Neraca'!$A$3:$S$910,8,FALSE)),0,VLOOKUP($A5,'Mutasi Neraca'!$A$3:$S$910,8,FALSE))</f>
        <v>75237662</v>
      </c>
      <c r="J5" s="42">
        <f>VLOOKUP($A5,'Neraca Unaudited SIMAK'!$A$2:$R$1272,9,FALSE)+IF(ISNA(VLOOKUP($A5,'Mutasi Neraca'!$A$3:$S$910,9,FALSE)),0,VLOOKUP($A5,'Mutasi Neraca'!$A$3:$S$910,9,FALSE))</f>
        <v>0</v>
      </c>
      <c r="K5" s="42">
        <f>VLOOKUP($A5,'Neraca Unaudited SIMAK'!$A$2:$R$1272,10,FALSE)+IF(ISNA(VLOOKUP($A5,'Mutasi Neraca'!$A$3:$S$910,10,FALSE)),0,VLOOKUP($A5,'Mutasi Neraca'!$A$3:$S$910,10,FALSE))</f>
        <v>9900000</v>
      </c>
      <c r="L5" s="42">
        <f>VLOOKUP($A5,'Neraca Unaudited SIMAK'!$A$2:$R$1272,11,FALSE)+IF(ISNA(VLOOKUP($A5,'Mutasi Neraca'!$A$3:$S$910,11,FALSE)),0,VLOOKUP($A5,'Mutasi Neraca'!$A$3:$S$910,11,FALSE))</f>
        <v>0</v>
      </c>
      <c r="M5" s="42">
        <f>VLOOKUP($A5,'Neraca Unaudited SIMAK'!$A$2:$R$1272,12,FALSE)+IF(ISNA(VLOOKUP($A5,'Mutasi Neraca'!$A$3:$S$910,12,FALSE)),0,VLOOKUP($A5,'Mutasi Neraca'!$A$3:$S$910,12,FALSE))</f>
        <v>92229978818</v>
      </c>
      <c r="N5" s="42">
        <f>VLOOKUP($A5,'Neraca Unaudited SIMAK'!$A$2:$R$1272,13,FALSE)+IF(ISNA(VLOOKUP($A5,'Mutasi Neraca'!$A$3:$S$910,13,FALSE)),0,VLOOKUP($A5,'Mutasi Neraca'!$A$3:$S$910,13,FALSE))</f>
        <v>-4794987348</v>
      </c>
      <c r="O5" s="42">
        <f>VLOOKUP($A5,'Neraca Unaudited SIMAK'!$A$2:$R$1272,14,FALSE)+IF(ISNA(VLOOKUP($A5,'Mutasi Neraca'!$A$3:$S$910,14,FALSE)),0,VLOOKUP($A5,'Mutasi Neraca'!$A$3:$S$910,14,FALSE))</f>
        <v>-3435310465</v>
      </c>
      <c r="P5" s="42">
        <f>VLOOKUP($A5,'Neraca Unaudited SIMAK'!$A$2:$R$1272,15,FALSE)+IF(ISNA(VLOOKUP($A5,'Mutasi Neraca'!$A$3:$S$910,15,FALSE)),0,VLOOKUP($A5,'Mutasi Neraca'!$A$3:$S$910,15,FALSE))</f>
        <v>0</v>
      </c>
      <c r="Q5" s="42">
        <f>VLOOKUP($A5,'Neraca Unaudited SIMAK'!$A$2:$R$1272,16,FALSE)+IF(ISNA(VLOOKUP($A5,'Mutasi Neraca'!$A$3:$S$910,16,FALSE)),0,VLOOKUP($A5,'Mutasi Neraca'!$A$3:$S$910,16,FALSE))</f>
        <v>0</v>
      </c>
      <c r="R5" s="42">
        <f>VLOOKUP($A5,'Neraca Unaudited SIMAK'!$A$2:$R$1272,17,FALSE)+IF(ISNA(VLOOKUP($A5,'Mutasi Neraca'!$A$3:$S$910,17,FALSE)),0,VLOOKUP($A5,'Mutasi Neraca'!$A$3:$S$910,17,FALSE))</f>
        <v>0</v>
      </c>
      <c r="S5" s="42">
        <f t="shared" si="2"/>
        <v>83999681005</v>
      </c>
      <c r="U5" s="52" t="s">
        <v>2155</v>
      </c>
      <c r="V5" s="51">
        <f t="shared" ref="V5:AK5" si="5">SUMIFS(D$2:D$1270,$B$2:$B$1270,"005010400")</f>
        <v>99974405</v>
      </c>
      <c r="W5" s="51">
        <f t="shared" si="5"/>
        <v>94758098160</v>
      </c>
      <c r="X5" s="51">
        <f t="shared" si="5"/>
        <v>36651791884</v>
      </c>
      <c r="Y5" s="51">
        <f t="shared" si="5"/>
        <v>102577759709</v>
      </c>
      <c r="Z5" s="51">
        <f t="shared" si="5"/>
        <v>1219890764</v>
      </c>
      <c r="AA5" s="51">
        <f t="shared" si="5"/>
        <v>569412630</v>
      </c>
      <c r="AB5" s="51">
        <f t="shared" si="5"/>
        <v>8832141153</v>
      </c>
      <c r="AC5" s="51">
        <f t="shared" si="5"/>
        <v>746032805</v>
      </c>
      <c r="AD5" s="51">
        <f t="shared" si="5"/>
        <v>728719498</v>
      </c>
      <c r="AE5" s="51">
        <f t="shared" si="5"/>
        <v>246183821008</v>
      </c>
      <c r="AF5" s="51">
        <f t="shared" si="5"/>
        <v>-30292339806</v>
      </c>
      <c r="AG5" s="51">
        <f t="shared" si="5"/>
        <v>-32441820519</v>
      </c>
      <c r="AH5" s="51">
        <f t="shared" si="5"/>
        <v>-183160669</v>
      </c>
      <c r="AI5" s="51">
        <f t="shared" si="5"/>
        <v>-13825000</v>
      </c>
      <c r="AJ5" s="51">
        <f t="shared" si="5"/>
        <v>-727209498</v>
      </c>
      <c r="AK5" s="51">
        <f t="shared" si="5"/>
        <v>182525465516</v>
      </c>
    </row>
    <row r="6" spans="1:37">
      <c r="A6" s="41" t="s">
        <v>14</v>
      </c>
      <c r="B6" s="41" t="str">
        <f t="shared" si="1"/>
        <v>005010100</v>
      </c>
      <c r="D6" s="42">
        <f>VLOOKUP($A6,'Neraca Unaudited SIMAK'!$A$2:$R$1272,3,FALSE)+IF(ISNA(VLOOKUP($A6,'Mutasi Neraca'!$A$3:$S$910,3,FALSE)),0,VLOOKUP($A6,'Mutasi Neraca'!$A$3:$S$910,3,FALSE))</f>
        <v>28325476</v>
      </c>
      <c r="E6" s="42">
        <f>VLOOKUP($A6,'Neraca Unaudited SIMAK'!$A$2:$R$1272,4,FALSE)+IF(ISNA(VLOOKUP($A6,'Mutasi Neraca'!$A$3:$S$910,4,FALSE)),0,VLOOKUP($A6,'Mutasi Neraca'!$A$3:$S$910,4,FALSE))</f>
        <v>17767720000</v>
      </c>
      <c r="F6" s="42">
        <f>VLOOKUP($A6,'Neraca Unaudited SIMAK'!$A$2:$R$1272,5,FALSE)+IF(ISNA(VLOOKUP($A6,'Mutasi Neraca'!$A$3:$S$910,5,FALSE)),0,VLOOKUP($A6,'Mutasi Neraca'!$A$3:$S$910,5,FALSE))</f>
        <v>3538660859</v>
      </c>
      <c r="G6" s="42">
        <f>VLOOKUP($A6,'Neraca Unaudited SIMAK'!$A$2:$R$1272,6,FALSE)+IF(ISNA(VLOOKUP($A6,'Mutasi Neraca'!$A$3:$S$910,6,FALSE)),0,VLOOKUP($A6,'Mutasi Neraca'!$A$3:$S$910,6,FALSE))</f>
        <v>4666522000</v>
      </c>
      <c r="H6" s="42">
        <f>VLOOKUP($A6,'Neraca Unaudited SIMAK'!$A$2:$R$1272,7,FALSE)+IF(ISNA(VLOOKUP($A6,'Mutasi Neraca'!$A$3:$S$910,7,FALSE)),0,VLOOKUP($A6,'Mutasi Neraca'!$A$3:$S$910,7,FALSE))</f>
        <v>146109091</v>
      </c>
      <c r="I6" s="42">
        <f>VLOOKUP($A6,'Neraca Unaudited SIMAK'!$A$2:$R$1272,8,FALSE)+IF(ISNA(VLOOKUP($A6,'Mutasi Neraca'!$A$3:$S$910,8,FALSE)),0,VLOOKUP($A6,'Mutasi Neraca'!$A$3:$S$910,8,FALSE))</f>
        <v>9732062</v>
      </c>
      <c r="J6" s="42">
        <f>VLOOKUP($A6,'Neraca Unaudited SIMAK'!$A$2:$R$1272,9,FALSE)+IF(ISNA(VLOOKUP($A6,'Mutasi Neraca'!$A$3:$S$910,9,FALSE)),0,VLOOKUP($A6,'Mutasi Neraca'!$A$3:$S$910,9,FALSE))</f>
        <v>0</v>
      </c>
      <c r="K6" s="42">
        <f>VLOOKUP($A6,'Neraca Unaudited SIMAK'!$A$2:$R$1272,10,FALSE)+IF(ISNA(VLOOKUP($A6,'Mutasi Neraca'!$A$3:$S$910,10,FALSE)),0,VLOOKUP($A6,'Mutasi Neraca'!$A$3:$S$910,10,FALSE))</f>
        <v>0</v>
      </c>
      <c r="L6" s="42">
        <f>VLOOKUP($A6,'Neraca Unaudited SIMAK'!$A$2:$R$1272,11,FALSE)+IF(ISNA(VLOOKUP($A6,'Mutasi Neraca'!$A$3:$S$910,11,FALSE)),0,VLOOKUP($A6,'Mutasi Neraca'!$A$3:$S$910,11,FALSE))</f>
        <v>38155000</v>
      </c>
      <c r="M6" s="42">
        <f>VLOOKUP($A6,'Neraca Unaudited SIMAK'!$A$2:$R$1272,12,FALSE)+IF(ISNA(VLOOKUP($A6,'Mutasi Neraca'!$A$3:$S$910,12,FALSE)),0,VLOOKUP($A6,'Mutasi Neraca'!$A$3:$S$910,12,FALSE))</f>
        <v>26195224488</v>
      </c>
      <c r="N6" s="42">
        <f>VLOOKUP($A6,'Neraca Unaudited SIMAK'!$A$2:$R$1272,13,FALSE)+IF(ISNA(VLOOKUP($A6,'Mutasi Neraca'!$A$3:$S$910,13,FALSE)),0,VLOOKUP($A6,'Mutasi Neraca'!$A$3:$S$910,13,FALSE))</f>
        <v>-3208846998</v>
      </c>
      <c r="O6" s="42">
        <f>VLOOKUP($A6,'Neraca Unaudited SIMAK'!$A$2:$R$1272,14,FALSE)+IF(ISNA(VLOOKUP($A6,'Mutasi Neraca'!$A$3:$S$910,14,FALSE)),0,VLOOKUP($A6,'Mutasi Neraca'!$A$3:$S$910,14,FALSE))</f>
        <v>-1208123560</v>
      </c>
      <c r="P6" s="42">
        <f>VLOOKUP($A6,'Neraca Unaudited SIMAK'!$A$2:$R$1272,15,FALSE)+IF(ISNA(VLOOKUP($A6,'Mutasi Neraca'!$A$3:$S$910,15,FALSE)),0,VLOOKUP($A6,'Mutasi Neraca'!$A$3:$S$910,15,FALSE))</f>
        <v>-23742732</v>
      </c>
      <c r="Q6" s="42">
        <f>VLOOKUP($A6,'Neraca Unaudited SIMAK'!$A$2:$R$1272,16,FALSE)+IF(ISNA(VLOOKUP($A6,'Mutasi Neraca'!$A$3:$S$910,16,FALSE)),0,VLOOKUP($A6,'Mutasi Neraca'!$A$3:$S$910,16,FALSE))</f>
        <v>0</v>
      </c>
      <c r="R6" s="42">
        <f>VLOOKUP($A6,'Neraca Unaudited SIMAK'!$A$2:$R$1272,17,FALSE)+IF(ISNA(VLOOKUP($A6,'Mutasi Neraca'!$A$3:$S$910,17,FALSE)),0,VLOOKUP($A6,'Mutasi Neraca'!$A$3:$S$910,17,FALSE))</f>
        <v>-38155000</v>
      </c>
      <c r="S6" s="42">
        <f t="shared" si="2"/>
        <v>21716356198</v>
      </c>
      <c r="U6" s="52" t="s">
        <v>2156</v>
      </c>
      <c r="V6" s="51">
        <f t="shared" ref="V6:AK6" si="6">SUMIFS(D$2:D$1270,$B$2:$B$1270,"005010500")</f>
        <v>193764709</v>
      </c>
      <c r="W6" s="51">
        <f t="shared" si="6"/>
        <v>435325803328</v>
      </c>
      <c r="X6" s="51">
        <f t="shared" si="6"/>
        <v>166926017575</v>
      </c>
      <c r="Y6" s="51">
        <f t="shared" si="6"/>
        <v>446948712057</v>
      </c>
      <c r="Z6" s="51">
        <f t="shared" si="6"/>
        <v>4154177256</v>
      </c>
      <c r="AA6" s="51">
        <f t="shared" si="6"/>
        <v>1914479188</v>
      </c>
      <c r="AB6" s="51">
        <f t="shared" si="6"/>
        <v>10702321850</v>
      </c>
      <c r="AC6" s="51">
        <f t="shared" si="6"/>
        <v>687492000</v>
      </c>
      <c r="AD6" s="51">
        <f t="shared" si="6"/>
        <v>6317062180</v>
      </c>
      <c r="AE6" s="51">
        <f t="shared" si="6"/>
        <v>1073169830143</v>
      </c>
      <c r="AF6" s="51">
        <f t="shared" si="6"/>
        <v>-135155718463</v>
      </c>
      <c r="AG6" s="51">
        <f t="shared" si="6"/>
        <v>-108964137730</v>
      </c>
      <c r="AH6" s="51">
        <f t="shared" si="6"/>
        <v>-1586325655</v>
      </c>
      <c r="AI6" s="51">
        <f t="shared" si="6"/>
        <v>-4183400</v>
      </c>
      <c r="AJ6" s="51">
        <f t="shared" si="6"/>
        <v>-6188010004</v>
      </c>
      <c r="AK6" s="51">
        <f t="shared" si="6"/>
        <v>821271454891</v>
      </c>
    </row>
    <row r="7" spans="1:37">
      <c r="A7" s="41" t="s">
        <v>15</v>
      </c>
      <c r="B7" s="41" t="str">
        <f t="shared" si="1"/>
        <v>005010100</v>
      </c>
      <c r="D7" s="42">
        <f>VLOOKUP($A7,'Neraca Unaudited SIMAK'!$A$2:$R$1272,3,FALSE)+IF(ISNA(VLOOKUP($A7,'Mutasi Neraca'!$A$3:$S$910,3,FALSE)),0,VLOOKUP($A7,'Mutasi Neraca'!$A$3:$S$910,3,FALSE))</f>
        <v>39406455</v>
      </c>
      <c r="E7" s="42">
        <f>VLOOKUP($A7,'Neraca Unaudited SIMAK'!$A$2:$R$1272,4,FALSE)+IF(ISNA(VLOOKUP($A7,'Mutasi Neraca'!$A$3:$S$910,4,FALSE)),0,VLOOKUP($A7,'Mutasi Neraca'!$A$3:$S$910,4,FALSE))</f>
        <v>24642750000</v>
      </c>
      <c r="F7" s="42">
        <f>VLOOKUP($A7,'Neraca Unaudited SIMAK'!$A$2:$R$1272,5,FALSE)+IF(ISNA(VLOOKUP($A7,'Mutasi Neraca'!$A$3:$S$910,5,FALSE)),0,VLOOKUP($A7,'Mutasi Neraca'!$A$3:$S$910,5,FALSE))</f>
        <v>3351229156</v>
      </c>
      <c r="G7" s="42">
        <f>VLOOKUP($A7,'Neraca Unaudited SIMAK'!$A$2:$R$1272,6,FALSE)+IF(ISNA(VLOOKUP($A7,'Mutasi Neraca'!$A$3:$S$910,6,FALSE)),0,VLOOKUP($A7,'Mutasi Neraca'!$A$3:$S$910,6,FALSE))</f>
        <v>4955843535</v>
      </c>
      <c r="H7" s="42">
        <f>VLOOKUP($A7,'Neraca Unaudited SIMAK'!$A$2:$R$1272,7,FALSE)+IF(ISNA(VLOOKUP($A7,'Mutasi Neraca'!$A$3:$S$910,7,FALSE)),0,VLOOKUP($A7,'Mutasi Neraca'!$A$3:$S$910,7,FALSE))</f>
        <v>0</v>
      </c>
      <c r="I7" s="42">
        <f>VLOOKUP($A7,'Neraca Unaudited SIMAK'!$A$2:$R$1272,8,FALSE)+IF(ISNA(VLOOKUP($A7,'Mutasi Neraca'!$A$3:$S$910,8,FALSE)),0,VLOOKUP($A7,'Mutasi Neraca'!$A$3:$S$910,8,FALSE))</f>
        <v>21125962</v>
      </c>
      <c r="J7" s="42">
        <f>VLOOKUP($A7,'Neraca Unaudited SIMAK'!$A$2:$R$1272,9,FALSE)+IF(ISNA(VLOOKUP($A7,'Mutasi Neraca'!$A$3:$S$910,9,FALSE)),0,VLOOKUP($A7,'Mutasi Neraca'!$A$3:$S$910,9,FALSE))</f>
        <v>0</v>
      </c>
      <c r="K7" s="42">
        <f>VLOOKUP($A7,'Neraca Unaudited SIMAK'!$A$2:$R$1272,10,FALSE)+IF(ISNA(VLOOKUP($A7,'Mutasi Neraca'!$A$3:$S$910,10,FALSE)),0,VLOOKUP($A7,'Mutasi Neraca'!$A$3:$S$910,10,FALSE))</f>
        <v>0</v>
      </c>
      <c r="L7" s="42">
        <f>VLOOKUP($A7,'Neraca Unaudited SIMAK'!$A$2:$R$1272,11,FALSE)+IF(ISNA(VLOOKUP($A7,'Mutasi Neraca'!$A$3:$S$910,11,FALSE)),0,VLOOKUP($A7,'Mutasi Neraca'!$A$3:$S$910,11,FALSE))</f>
        <v>25565000</v>
      </c>
      <c r="M7" s="42">
        <f>VLOOKUP($A7,'Neraca Unaudited SIMAK'!$A$2:$R$1272,12,FALSE)+IF(ISNA(VLOOKUP($A7,'Mutasi Neraca'!$A$3:$S$910,12,FALSE)),0,VLOOKUP($A7,'Mutasi Neraca'!$A$3:$S$910,12,FALSE))</f>
        <v>33035920108</v>
      </c>
      <c r="N7" s="42">
        <f>VLOOKUP($A7,'Neraca Unaudited SIMAK'!$A$2:$R$1272,13,FALSE)+IF(ISNA(VLOOKUP($A7,'Mutasi Neraca'!$A$3:$S$910,13,FALSE)),0,VLOOKUP($A7,'Mutasi Neraca'!$A$3:$S$910,13,FALSE))</f>
        <v>-3165185966</v>
      </c>
      <c r="O7" s="42">
        <f>VLOOKUP($A7,'Neraca Unaudited SIMAK'!$A$2:$R$1272,14,FALSE)+IF(ISNA(VLOOKUP($A7,'Mutasi Neraca'!$A$3:$S$910,14,FALSE)),0,VLOOKUP($A7,'Mutasi Neraca'!$A$3:$S$910,14,FALSE))</f>
        <v>-3047459529</v>
      </c>
      <c r="P7" s="42">
        <f>VLOOKUP($A7,'Neraca Unaudited SIMAK'!$A$2:$R$1272,15,FALSE)+IF(ISNA(VLOOKUP($A7,'Mutasi Neraca'!$A$3:$S$910,15,FALSE)),0,VLOOKUP($A7,'Mutasi Neraca'!$A$3:$S$910,15,FALSE))</f>
        <v>0</v>
      </c>
      <c r="Q7" s="42">
        <f>VLOOKUP($A7,'Neraca Unaudited SIMAK'!$A$2:$R$1272,16,FALSE)+IF(ISNA(VLOOKUP($A7,'Mutasi Neraca'!$A$3:$S$910,16,FALSE)),0,VLOOKUP($A7,'Mutasi Neraca'!$A$3:$S$910,16,FALSE))</f>
        <v>0</v>
      </c>
      <c r="R7" s="42">
        <f>VLOOKUP($A7,'Neraca Unaudited SIMAK'!$A$2:$R$1272,17,FALSE)+IF(ISNA(VLOOKUP($A7,'Mutasi Neraca'!$A$3:$S$910,17,FALSE)),0,VLOOKUP($A7,'Mutasi Neraca'!$A$3:$S$910,17,FALSE))</f>
        <v>-25565000</v>
      </c>
      <c r="S7" s="42">
        <f t="shared" si="2"/>
        <v>26797709613</v>
      </c>
      <c r="U7" s="52" t="s">
        <v>2157</v>
      </c>
      <c r="V7" s="51">
        <f t="shared" ref="V7:AK7" si="7">SUMIFS(D$2:D$1270,$B$2:$B$1270,"005010600")</f>
        <v>32367290</v>
      </c>
      <c r="W7" s="51">
        <f t="shared" si="7"/>
        <v>103936323130</v>
      </c>
      <c r="X7" s="51">
        <f t="shared" si="7"/>
        <v>74556302932</v>
      </c>
      <c r="Y7" s="51">
        <f t="shared" si="7"/>
        <v>385460477749</v>
      </c>
      <c r="Z7" s="51">
        <f t="shared" si="7"/>
        <v>612921000</v>
      </c>
      <c r="AA7" s="51">
        <f t="shared" si="7"/>
        <v>273583714</v>
      </c>
      <c r="AB7" s="51">
        <f t="shared" si="7"/>
        <v>18499257000</v>
      </c>
      <c r="AC7" s="51">
        <f t="shared" si="7"/>
        <v>334881154</v>
      </c>
      <c r="AD7" s="51">
        <f t="shared" si="7"/>
        <v>14980682270</v>
      </c>
      <c r="AE7" s="51">
        <f t="shared" si="7"/>
        <v>598686796239</v>
      </c>
      <c r="AF7" s="51">
        <f t="shared" si="7"/>
        <v>-59588588577</v>
      </c>
      <c r="AG7" s="51">
        <f t="shared" si="7"/>
        <v>-104936814861</v>
      </c>
      <c r="AH7" s="51">
        <f t="shared" si="7"/>
        <v>-236568369</v>
      </c>
      <c r="AI7" s="51">
        <f t="shared" si="7"/>
        <v>0</v>
      </c>
      <c r="AJ7" s="51">
        <f t="shared" si="7"/>
        <v>-9483585077</v>
      </c>
      <c r="AK7" s="51">
        <f t="shared" si="7"/>
        <v>424441239355</v>
      </c>
    </row>
    <row r="8" spans="1:37">
      <c r="A8" s="41" t="s">
        <v>16</v>
      </c>
      <c r="B8" s="41" t="str">
        <f t="shared" si="1"/>
        <v>005010100</v>
      </c>
      <c r="D8" s="42">
        <f>VLOOKUP($A8,'Neraca Unaudited SIMAK'!$A$2:$R$1272,3,FALSE)+IF(ISNA(VLOOKUP($A8,'Mutasi Neraca'!$A$3:$S$910,3,FALSE)),0,VLOOKUP($A8,'Mutasi Neraca'!$A$3:$S$910,3,FALSE))</f>
        <v>8634200</v>
      </c>
      <c r="E8" s="42">
        <f>VLOOKUP($A8,'Neraca Unaudited SIMAK'!$A$2:$R$1272,4,FALSE)+IF(ISNA(VLOOKUP($A8,'Mutasi Neraca'!$A$3:$S$910,4,FALSE)),0,VLOOKUP($A8,'Mutasi Neraca'!$A$3:$S$910,4,FALSE))</f>
        <v>25821465000</v>
      </c>
      <c r="F8" s="42">
        <f>VLOOKUP($A8,'Neraca Unaudited SIMAK'!$A$2:$R$1272,5,FALSE)+IF(ISNA(VLOOKUP($A8,'Mutasi Neraca'!$A$3:$S$910,5,FALSE)),0,VLOOKUP($A8,'Mutasi Neraca'!$A$3:$S$910,5,FALSE))</f>
        <v>5115803720</v>
      </c>
      <c r="G8" s="42">
        <f>VLOOKUP($A8,'Neraca Unaudited SIMAK'!$A$2:$R$1272,6,FALSE)+IF(ISNA(VLOOKUP($A8,'Mutasi Neraca'!$A$3:$S$910,6,FALSE)),0,VLOOKUP($A8,'Mutasi Neraca'!$A$3:$S$910,6,FALSE))</f>
        <v>18598932806</v>
      </c>
      <c r="H8" s="42">
        <f>VLOOKUP($A8,'Neraca Unaudited SIMAK'!$A$2:$R$1272,7,FALSE)+IF(ISNA(VLOOKUP($A8,'Mutasi Neraca'!$A$3:$S$910,7,FALSE)),0,VLOOKUP($A8,'Mutasi Neraca'!$A$3:$S$910,7,FALSE))</f>
        <v>0</v>
      </c>
      <c r="I8" s="42">
        <f>VLOOKUP($A8,'Neraca Unaudited SIMAK'!$A$2:$R$1272,8,FALSE)+IF(ISNA(VLOOKUP($A8,'Mutasi Neraca'!$A$3:$S$910,8,FALSE)),0,VLOOKUP($A8,'Mutasi Neraca'!$A$3:$S$910,8,FALSE))</f>
        <v>2609284000</v>
      </c>
      <c r="J8" s="42">
        <f>VLOOKUP($A8,'Neraca Unaudited SIMAK'!$A$2:$R$1272,9,FALSE)+IF(ISNA(VLOOKUP($A8,'Mutasi Neraca'!$A$3:$S$910,9,FALSE)),0,VLOOKUP($A8,'Mutasi Neraca'!$A$3:$S$910,9,FALSE))</f>
        <v>0</v>
      </c>
      <c r="K8" s="42">
        <f>VLOOKUP($A8,'Neraca Unaudited SIMAK'!$A$2:$R$1272,10,FALSE)+IF(ISNA(VLOOKUP($A8,'Mutasi Neraca'!$A$3:$S$910,10,FALSE)),0,VLOOKUP($A8,'Mutasi Neraca'!$A$3:$S$910,10,FALSE))</f>
        <v>44975000</v>
      </c>
      <c r="L8" s="42">
        <f>VLOOKUP($A8,'Neraca Unaudited SIMAK'!$A$2:$R$1272,11,FALSE)+IF(ISNA(VLOOKUP($A8,'Mutasi Neraca'!$A$3:$S$910,11,FALSE)),0,VLOOKUP($A8,'Mutasi Neraca'!$A$3:$S$910,11,FALSE))</f>
        <v>0</v>
      </c>
      <c r="M8" s="42">
        <f>VLOOKUP($A8,'Neraca Unaudited SIMAK'!$A$2:$R$1272,12,FALSE)+IF(ISNA(VLOOKUP($A8,'Mutasi Neraca'!$A$3:$S$910,12,FALSE)),0,VLOOKUP($A8,'Mutasi Neraca'!$A$3:$S$910,12,FALSE))</f>
        <v>52199094726</v>
      </c>
      <c r="N8" s="42">
        <f>VLOOKUP($A8,'Neraca Unaudited SIMAK'!$A$2:$R$1272,13,FALSE)+IF(ISNA(VLOOKUP($A8,'Mutasi Neraca'!$A$3:$S$910,13,FALSE)),0,VLOOKUP($A8,'Mutasi Neraca'!$A$3:$S$910,13,FALSE))</f>
        <v>-3878525820</v>
      </c>
      <c r="O8" s="42">
        <f>VLOOKUP($A8,'Neraca Unaudited SIMAK'!$A$2:$R$1272,14,FALSE)+IF(ISNA(VLOOKUP($A8,'Mutasi Neraca'!$A$3:$S$910,14,FALSE)),0,VLOOKUP($A8,'Mutasi Neraca'!$A$3:$S$910,14,FALSE))</f>
        <v>-1115955058</v>
      </c>
      <c r="P8" s="42">
        <f>VLOOKUP($A8,'Neraca Unaudited SIMAK'!$A$2:$R$1272,15,FALSE)+IF(ISNA(VLOOKUP($A8,'Mutasi Neraca'!$A$3:$S$910,15,FALSE)),0,VLOOKUP($A8,'Mutasi Neraca'!$A$3:$S$910,15,FALSE))</f>
        <v>0</v>
      </c>
      <c r="Q8" s="42">
        <f>VLOOKUP($A8,'Neraca Unaudited SIMAK'!$A$2:$R$1272,16,FALSE)+IF(ISNA(VLOOKUP($A8,'Mutasi Neraca'!$A$3:$S$910,16,FALSE)),0,VLOOKUP($A8,'Mutasi Neraca'!$A$3:$S$910,16,FALSE))</f>
        <v>0</v>
      </c>
      <c r="R8" s="42">
        <f>VLOOKUP($A8,'Neraca Unaudited SIMAK'!$A$2:$R$1272,17,FALSE)+IF(ISNA(VLOOKUP($A8,'Mutasi Neraca'!$A$3:$S$910,17,FALSE)),0,VLOOKUP($A8,'Mutasi Neraca'!$A$3:$S$910,17,FALSE))</f>
        <v>0</v>
      </c>
      <c r="S8" s="42">
        <f t="shared" si="2"/>
        <v>47204613848</v>
      </c>
      <c r="U8" s="52" t="s">
        <v>2158</v>
      </c>
      <c r="V8" s="51">
        <f t="shared" ref="V8:AK8" si="8">SUMIFS(D$2:D$1270,$B$2:$B$1270,"005010700")</f>
        <v>58126492</v>
      </c>
      <c r="W8" s="51">
        <f t="shared" si="8"/>
        <v>278023652382</v>
      </c>
      <c r="X8" s="51">
        <f t="shared" si="8"/>
        <v>72950102688</v>
      </c>
      <c r="Y8" s="51">
        <f t="shared" si="8"/>
        <v>250391917356</v>
      </c>
      <c r="Z8" s="51">
        <f t="shared" si="8"/>
        <v>4209808689</v>
      </c>
      <c r="AA8" s="51">
        <f t="shared" si="8"/>
        <v>1071261304</v>
      </c>
      <c r="AB8" s="51">
        <f t="shared" si="8"/>
        <v>11002307000</v>
      </c>
      <c r="AC8" s="51">
        <f t="shared" si="8"/>
        <v>748426875</v>
      </c>
      <c r="AD8" s="51">
        <f t="shared" si="8"/>
        <v>2344649973</v>
      </c>
      <c r="AE8" s="51">
        <f t="shared" si="8"/>
        <v>620800252759</v>
      </c>
      <c r="AF8" s="51">
        <f t="shared" si="8"/>
        <v>-59651767434</v>
      </c>
      <c r="AG8" s="51">
        <f t="shared" si="8"/>
        <v>-56242282728</v>
      </c>
      <c r="AH8" s="51">
        <f t="shared" si="8"/>
        <v>-1522514416</v>
      </c>
      <c r="AI8" s="51">
        <f t="shared" si="8"/>
        <v>0</v>
      </c>
      <c r="AJ8" s="51">
        <f t="shared" si="8"/>
        <v>-2168180818</v>
      </c>
      <c r="AK8" s="51">
        <f t="shared" si="8"/>
        <v>501215507363</v>
      </c>
    </row>
    <row r="9" spans="1:37">
      <c r="A9" s="41" t="s">
        <v>17</v>
      </c>
      <c r="B9" s="41" t="str">
        <f t="shared" si="1"/>
        <v>005010100</v>
      </c>
      <c r="D9" s="42">
        <f>VLOOKUP($A9,'Neraca Unaudited SIMAK'!$A$2:$R$1272,3,FALSE)+IF(ISNA(VLOOKUP($A9,'Mutasi Neraca'!$A$3:$S$910,3,FALSE)),0,VLOOKUP($A9,'Mutasi Neraca'!$A$3:$S$910,3,FALSE))</f>
        <v>486500</v>
      </c>
      <c r="E9" s="42">
        <f>VLOOKUP($A9,'Neraca Unaudited SIMAK'!$A$2:$R$1272,4,FALSE)+IF(ISNA(VLOOKUP($A9,'Mutasi Neraca'!$A$3:$S$910,4,FALSE)),0,VLOOKUP($A9,'Mutasi Neraca'!$A$3:$S$910,4,FALSE))</f>
        <v>5650000000</v>
      </c>
      <c r="F9" s="42">
        <f>VLOOKUP($A9,'Neraca Unaudited SIMAK'!$A$2:$R$1272,5,FALSE)+IF(ISNA(VLOOKUP($A9,'Mutasi Neraca'!$A$3:$S$910,5,FALSE)),0,VLOOKUP($A9,'Mutasi Neraca'!$A$3:$S$910,5,FALSE))</f>
        <v>3671880861</v>
      </c>
      <c r="G9" s="42">
        <f>VLOOKUP($A9,'Neraca Unaudited SIMAK'!$A$2:$R$1272,6,FALSE)+IF(ISNA(VLOOKUP($A9,'Mutasi Neraca'!$A$3:$S$910,6,FALSE)),0,VLOOKUP($A9,'Mutasi Neraca'!$A$3:$S$910,6,FALSE))</f>
        <v>9049508100</v>
      </c>
      <c r="H9" s="42">
        <f>VLOOKUP($A9,'Neraca Unaudited SIMAK'!$A$2:$R$1272,7,FALSE)+IF(ISNA(VLOOKUP($A9,'Mutasi Neraca'!$A$3:$S$910,7,FALSE)),0,VLOOKUP($A9,'Mutasi Neraca'!$A$3:$S$910,7,FALSE))</f>
        <v>9000000</v>
      </c>
      <c r="I9" s="42">
        <f>VLOOKUP($A9,'Neraca Unaudited SIMAK'!$A$2:$R$1272,8,FALSE)+IF(ISNA(VLOOKUP($A9,'Mutasi Neraca'!$A$3:$S$910,8,FALSE)),0,VLOOKUP($A9,'Mutasi Neraca'!$A$3:$S$910,8,FALSE))</f>
        <v>166282678</v>
      </c>
      <c r="J9" s="42">
        <f>VLOOKUP($A9,'Neraca Unaudited SIMAK'!$A$2:$R$1272,9,FALSE)+IF(ISNA(VLOOKUP($A9,'Mutasi Neraca'!$A$3:$S$910,9,FALSE)),0,VLOOKUP($A9,'Mutasi Neraca'!$A$3:$S$910,9,FALSE))</f>
        <v>0</v>
      </c>
      <c r="K9" s="42">
        <f>VLOOKUP($A9,'Neraca Unaudited SIMAK'!$A$2:$R$1272,10,FALSE)+IF(ISNA(VLOOKUP($A9,'Mutasi Neraca'!$A$3:$S$910,10,FALSE)),0,VLOOKUP($A9,'Mutasi Neraca'!$A$3:$S$910,10,FALSE))</f>
        <v>0</v>
      </c>
      <c r="L9" s="42">
        <f>VLOOKUP($A9,'Neraca Unaudited SIMAK'!$A$2:$R$1272,11,FALSE)+IF(ISNA(VLOOKUP($A9,'Mutasi Neraca'!$A$3:$S$910,11,FALSE)),0,VLOOKUP($A9,'Mutasi Neraca'!$A$3:$S$910,11,FALSE))</f>
        <v>122280678</v>
      </c>
      <c r="M9" s="42">
        <f>VLOOKUP($A9,'Neraca Unaudited SIMAK'!$A$2:$R$1272,12,FALSE)+IF(ISNA(VLOOKUP($A9,'Mutasi Neraca'!$A$3:$S$910,12,FALSE)),0,VLOOKUP($A9,'Mutasi Neraca'!$A$3:$S$910,12,FALSE))</f>
        <v>18669438817</v>
      </c>
      <c r="N9" s="42">
        <f>VLOOKUP($A9,'Neraca Unaudited SIMAK'!$A$2:$R$1272,13,FALSE)+IF(ISNA(VLOOKUP($A9,'Mutasi Neraca'!$A$3:$S$910,13,FALSE)),0,VLOOKUP($A9,'Mutasi Neraca'!$A$3:$S$910,13,FALSE))</f>
        <v>-3288860247</v>
      </c>
      <c r="O9" s="42">
        <f>VLOOKUP($A9,'Neraca Unaudited SIMAK'!$A$2:$R$1272,14,FALSE)+IF(ISNA(VLOOKUP($A9,'Mutasi Neraca'!$A$3:$S$910,14,FALSE)),0,VLOOKUP($A9,'Mutasi Neraca'!$A$3:$S$910,14,FALSE))</f>
        <v>-1507591695</v>
      </c>
      <c r="P9" s="42">
        <f>VLOOKUP($A9,'Neraca Unaudited SIMAK'!$A$2:$R$1272,15,FALSE)+IF(ISNA(VLOOKUP($A9,'Mutasi Neraca'!$A$3:$S$910,15,FALSE)),0,VLOOKUP($A9,'Mutasi Neraca'!$A$3:$S$910,15,FALSE))</f>
        <v>-2025000</v>
      </c>
      <c r="Q9" s="42">
        <f>VLOOKUP($A9,'Neraca Unaudited SIMAK'!$A$2:$R$1272,16,FALSE)+IF(ISNA(VLOOKUP($A9,'Mutasi Neraca'!$A$3:$S$910,16,FALSE)),0,VLOOKUP($A9,'Mutasi Neraca'!$A$3:$S$910,16,FALSE))</f>
        <v>0</v>
      </c>
      <c r="R9" s="42">
        <f>VLOOKUP($A9,'Neraca Unaudited SIMAK'!$A$2:$R$1272,17,FALSE)+IF(ISNA(VLOOKUP($A9,'Mutasi Neraca'!$A$3:$S$910,17,FALSE)),0,VLOOKUP($A9,'Mutasi Neraca'!$A$3:$S$910,17,FALSE))</f>
        <v>-122280678</v>
      </c>
      <c r="S9" s="42">
        <f t="shared" si="2"/>
        <v>13748681197</v>
      </c>
      <c r="U9" s="52" t="s">
        <v>2159</v>
      </c>
      <c r="V9" s="51">
        <f t="shared" ref="V9:AK9" si="9">SUMIFS(D$2:D$1270,$B$2:$B$1270,"005010800")</f>
        <v>150981388</v>
      </c>
      <c r="W9" s="51">
        <f t="shared" si="9"/>
        <v>84660295551</v>
      </c>
      <c r="X9" s="51">
        <f t="shared" si="9"/>
        <v>67928366046</v>
      </c>
      <c r="Y9" s="51">
        <f t="shared" si="9"/>
        <v>191208177466</v>
      </c>
      <c r="Z9" s="51">
        <f t="shared" si="9"/>
        <v>1308153520</v>
      </c>
      <c r="AA9" s="51">
        <f t="shared" si="9"/>
        <v>1251701243</v>
      </c>
      <c r="AB9" s="51">
        <f t="shared" si="9"/>
        <v>39205942048</v>
      </c>
      <c r="AC9" s="51">
        <f t="shared" si="9"/>
        <v>437346935</v>
      </c>
      <c r="AD9" s="51">
        <f t="shared" si="9"/>
        <v>3734265481</v>
      </c>
      <c r="AE9" s="51">
        <f t="shared" si="9"/>
        <v>389885229678</v>
      </c>
      <c r="AF9" s="51">
        <f t="shared" si="9"/>
        <v>-54593748452</v>
      </c>
      <c r="AG9" s="51">
        <f t="shared" si="9"/>
        <v>-42714859456</v>
      </c>
      <c r="AH9" s="51">
        <f t="shared" si="9"/>
        <v>-321740467</v>
      </c>
      <c r="AI9" s="51">
        <f t="shared" si="9"/>
        <v>0</v>
      </c>
      <c r="AJ9" s="51">
        <f t="shared" si="9"/>
        <v>-3085570243</v>
      </c>
      <c r="AK9" s="51">
        <f t="shared" si="9"/>
        <v>289169311060</v>
      </c>
    </row>
    <row r="10" spans="1:37">
      <c r="A10" s="41" t="s">
        <v>18</v>
      </c>
      <c r="B10" s="41" t="str">
        <f t="shared" si="1"/>
        <v>005010100</v>
      </c>
      <c r="D10" s="42">
        <f>VLOOKUP($A10,'Neraca Unaudited SIMAK'!$A$2:$R$1272,3,FALSE)+IF(ISNA(VLOOKUP($A10,'Mutasi Neraca'!$A$3:$S$910,3,FALSE)),0,VLOOKUP($A10,'Mutasi Neraca'!$A$3:$S$910,3,FALSE))</f>
        <v>5283947</v>
      </c>
      <c r="E10" s="42">
        <f>VLOOKUP($A10,'Neraca Unaudited SIMAK'!$A$2:$R$1272,4,FALSE)+IF(ISNA(VLOOKUP($A10,'Mutasi Neraca'!$A$3:$S$910,4,FALSE)),0,VLOOKUP($A10,'Mutasi Neraca'!$A$3:$S$910,4,FALSE))</f>
        <v>26966675000</v>
      </c>
      <c r="F10" s="42">
        <f>VLOOKUP($A10,'Neraca Unaudited SIMAK'!$A$2:$R$1272,5,FALSE)+IF(ISNA(VLOOKUP($A10,'Mutasi Neraca'!$A$3:$S$910,5,FALSE)),0,VLOOKUP($A10,'Mutasi Neraca'!$A$3:$S$910,5,FALSE))</f>
        <v>4597758111</v>
      </c>
      <c r="G10" s="42">
        <f>VLOOKUP($A10,'Neraca Unaudited SIMAK'!$A$2:$R$1272,6,FALSE)+IF(ISNA(VLOOKUP($A10,'Mutasi Neraca'!$A$3:$S$910,6,FALSE)),0,VLOOKUP($A10,'Mutasi Neraca'!$A$3:$S$910,6,FALSE))</f>
        <v>19710366500</v>
      </c>
      <c r="H10" s="42">
        <f>VLOOKUP($A10,'Neraca Unaudited SIMAK'!$A$2:$R$1272,7,FALSE)+IF(ISNA(VLOOKUP($A10,'Mutasi Neraca'!$A$3:$S$910,7,FALSE)),0,VLOOKUP($A10,'Mutasi Neraca'!$A$3:$S$910,7,FALSE))</f>
        <v>109373500</v>
      </c>
      <c r="I10" s="42">
        <f>VLOOKUP($A10,'Neraca Unaudited SIMAK'!$A$2:$R$1272,8,FALSE)+IF(ISNA(VLOOKUP($A10,'Mutasi Neraca'!$A$3:$S$910,8,FALSE)),0,VLOOKUP($A10,'Mutasi Neraca'!$A$3:$S$910,8,FALSE))</f>
        <v>39732000</v>
      </c>
      <c r="J10" s="42">
        <f>VLOOKUP($A10,'Neraca Unaudited SIMAK'!$A$2:$R$1272,9,FALSE)+IF(ISNA(VLOOKUP($A10,'Mutasi Neraca'!$A$3:$S$910,9,FALSE)),0,VLOOKUP($A10,'Mutasi Neraca'!$A$3:$S$910,9,FALSE))</f>
        <v>0</v>
      </c>
      <c r="K10" s="42">
        <f>VLOOKUP($A10,'Neraca Unaudited SIMAK'!$A$2:$R$1272,10,FALSE)+IF(ISNA(VLOOKUP($A10,'Mutasi Neraca'!$A$3:$S$910,10,FALSE)),0,VLOOKUP($A10,'Mutasi Neraca'!$A$3:$S$910,10,FALSE))</f>
        <v>45903950</v>
      </c>
      <c r="L10" s="42">
        <f>VLOOKUP($A10,'Neraca Unaudited SIMAK'!$A$2:$R$1272,11,FALSE)+IF(ISNA(VLOOKUP($A10,'Mutasi Neraca'!$A$3:$S$910,11,FALSE)),0,VLOOKUP($A10,'Mutasi Neraca'!$A$3:$S$910,11,FALSE))</f>
        <v>178733500</v>
      </c>
      <c r="M10" s="42">
        <f>VLOOKUP($A10,'Neraca Unaudited SIMAK'!$A$2:$R$1272,12,FALSE)+IF(ISNA(VLOOKUP($A10,'Mutasi Neraca'!$A$3:$S$910,12,FALSE)),0,VLOOKUP($A10,'Mutasi Neraca'!$A$3:$S$910,12,FALSE))</f>
        <v>51653826508</v>
      </c>
      <c r="N10" s="42">
        <f>VLOOKUP($A10,'Neraca Unaudited SIMAK'!$A$2:$R$1272,13,FALSE)+IF(ISNA(VLOOKUP($A10,'Mutasi Neraca'!$A$3:$S$910,13,FALSE)),0,VLOOKUP($A10,'Mutasi Neraca'!$A$3:$S$910,13,FALSE))</f>
        <v>-2355308030</v>
      </c>
      <c r="O10" s="42">
        <f>VLOOKUP($A10,'Neraca Unaudited SIMAK'!$A$2:$R$1272,14,FALSE)+IF(ISNA(VLOOKUP($A10,'Mutasi Neraca'!$A$3:$S$910,14,FALSE)),0,VLOOKUP($A10,'Mutasi Neraca'!$A$3:$S$910,14,FALSE))</f>
        <v>-390511920</v>
      </c>
      <c r="P10" s="42">
        <f>VLOOKUP($A10,'Neraca Unaudited SIMAK'!$A$2:$R$1272,15,FALSE)+IF(ISNA(VLOOKUP($A10,'Mutasi Neraca'!$A$3:$S$910,15,FALSE)),0,VLOOKUP($A10,'Mutasi Neraca'!$A$3:$S$910,15,FALSE))</f>
        <v>-75976200</v>
      </c>
      <c r="Q10" s="42">
        <f>VLOOKUP($A10,'Neraca Unaudited SIMAK'!$A$2:$R$1272,16,FALSE)+IF(ISNA(VLOOKUP($A10,'Mutasi Neraca'!$A$3:$S$910,16,FALSE)),0,VLOOKUP($A10,'Mutasi Neraca'!$A$3:$S$910,16,FALSE))</f>
        <v>0</v>
      </c>
      <c r="R10" s="42">
        <f>VLOOKUP($A10,'Neraca Unaudited SIMAK'!$A$2:$R$1272,17,FALSE)+IF(ISNA(VLOOKUP($A10,'Mutasi Neraca'!$A$3:$S$910,17,FALSE)),0,VLOOKUP($A10,'Mutasi Neraca'!$A$3:$S$910,17,FALSE))</f>
        <v>-177843600</v>
      </c>
      <c r="S10" s="42">
        <f t="shared" si="2"/>
        <v>48654186758</v>
      </c>
      <c r="U10" s="52" t="s">
        <v>2160</v>
      </c>
      <c r="V10" s="51">
        <f t="shared" ref="V10:AK10" si="10">SUMIFS(D$2:D$1270,$B$2:$B$1270,"005010900")</f>
        <v>99932139</v>
      </c>
      <c r="W10" s="51">
        <f t="shared" si="10"/>
        <v>102786405100</v>
      </c>
      <c r="X10" s="51">
        <f t="shared" si="10"/>
        <v>41957062228</v>
      </c>
      <c r="Y10" s="51">
        <f t="shared" si="10"/>
        <v>110254264009</v>
      </c>
      <c r="Z10" s="51">
        <f t="shared" si="10"/>
        <v>746772000</v>
      </c>
      <c r="AA10" s="51">
        <f t="shared" si="10"/>
        <v>380545845</v>
      </c>
      <c r="AB10" s="51">
        <f t="shared" si="10"/>
        <v>17989027700</v>
      </c>
      <c r="AC10" s="51">
        <f t="shared" si="10"/>
        <v>338679507</v>
      </c>
      <c r="AD10" s="51">
        <f t="shared" si="10"/>
        <v>879945955</v>
      </c>
      <c r="AE10" s="51">
        <f t="shared" si="10"/>
        <v>275432634483</v>
      </c>
      <c r="AF10" s="51">
        <f t="shared" si="10"/>
        <v>-34423682948</v>
      </c>
      <c r="AG10" s="51">
        <f t="shared" si="10"/>
        <v>-26858365404</v>
      </c>
      <c r="AH10" s="51">
        <f t="shared" si="10"/>
        <v>-227440353</v>
      </c>
      <c r="AI10" s="51">
        <f t="shared" si="10"/>
        <v>-34800000</v>
      </c>
      <c r="AJ10" s="51">
        <f t="shared" si="10"/>
        <v>-698407717</v>
      </c>
      <c r="AK10" s="51">
        <f t="shared" si="10"/>
        <v>213189938061</v>
      </c>
    </row>
    <row r="11" spans="1:37">
      <c r="A11" s="41" t="s">
        <v>19</v>
      </c>
      <c r="B11" s="41" t="str">
        <f t="shared" si="1"/>
        <v>005010100</v>
      </c>
      <c r="D11" s="42">
        <f>VLOOKUP($A11,'Neraca Unaudited SIMAK'!$A$2:$R$1272,3,FALSE)+IF(ISNA(VLOOKUP($A11,'Mutasi Neraca'!$A$3:$S$910,3,FALSE)),0,VLOOKUP($A11,'Mutasi Neraca'!$A$3:$S$910,3,FALSE))</f>
        <v>472000</v>
      </c>
      <c r="E11" s="42">
        <f>VLOOKUP($A11,'Neraca Unaudited SIMAK'!$A$2:$R$1272,4,FALSE)+IF(ISNA(VLOOKUP($A11,'Mutasi Neraca'!$A$3:$S$910,4,FALSE)),0,VLOOKUP($A11,'Mutasi Neraca'!$A$3:$S$910,4,FALSE))</f>
        <v>3463990000</v>
      </c>
      <c r="F11" s="42">
        <f>VLOOKUP($A11,'Neraca Unaudited SIMAK'!$A$2:$R$1272,5,FALSE)+IF(ISNA(VLOOKUP($A11,'Mutasi Neraca'!$A$3:$S$910,5,FALSE)),0,VLOOKUP($A11,'Mutasi Neraca'!$A$3:$S$910,5,FALSE))</f>
        <v>2726705143</v>
      </c>
      <c r="G11" s="42">
        <f>VLOOKUP($A11,'Neraca Unaudited SIMAK'!$A$2:$R$1272,6,FALSE)+IF(ISNA(VLOOKUP($A11,'Mutasi Neraca'!$A$3:$S$910,6,FALSE)),0,VLOOKUP($A11,'Mutasi Neraca'!$A$3:$S$910,6,FALSE))</f>
        <v>41998000</v>
      </c>
      <c r="H11" s="42">
        <f>VLOOKUP($A11,'Neraca Unaudited SIMAK'!$A$2:$R$1272,7,FALSE)+IF(ISNA(VLOOKUP($A11,'Mutasi Neraca'!$A$3:$S$910,7,FALSE)),0,VLOOKUP($A11,'Mutasi Neraca'!$A$3:$S$910,7,FALSE))</f>
        <v>46864000</v>
      </c>
      <c r="I11" s="42">
        <f>VLOOKUP($A11,'Neraca Unaudited SIMAK'!$A$2:$R$1272,8,FALSE)+IF(ISNA(VLOOKUP($A11,'Mutasi Neraca'!$A$3:$S$910,8,FALSE)),0,VLOOKUP($A11,'Mutasi Neraca'!$A$3:$S$910,8,FALSE))</f>
        <v>95437130</v>
      </c>
      <c r="J11" s="42">
        <f>VLOOKUP($A11,'Neraca Unaudited SIMAK'!$A$2:$R$1272,9,FALSE)+IF(ISNA(VLOOKUP($A11,'Mutasi Neraca'!$A$3:$S$910,9,FALSE)),0,VLOOKUP($A11,'Mutasi Neraca'!$A$3:$S$910,9,FALSE))</f>
        <v>2710958695</v>
      </c>
      <c r="K11" s="42">
        <f>VLOOKUP($A11,'Neraca Unaudited SIMAK'!$A$2:$R$1272,10,FALSE)+IF(ISNA(VLOOKUP($A11,'Mutasi Neraca'!$A$3:$S$910,10,FALSE)),0,VLOOKUP($A11,'Mutasi Neraca'!$A$3:$S$910,10,FALSE))</f>
        <v>42767500</v>
      </c>
      <c r="L11" s="42">
        <f>VLOOKUP($A11,'Neraca Unaudited SIMAK'!$A$2:$R$1272,11,FALSE)+IF(ISNA(VLOOKUP($A11,'Mutasi Neraca'!$A$3:$S$910,11,FALSE)),0,VLOOKUP($A11,'Mutasi Neraca'!$A$3:$S$910,11,FALSE))</f>
        <v>900000</v>
      </c>
      <c r="M11" s="42">
        <f>VLOOKUP($A11,'Neraca Unaudited SIMAK'!$A$2:$R$1272,12,FALSE)+IF(ISNA(VLOOKUP($A11,'Mutasi Neraca'!$A$3:$S$910,12,FALSE)),0,VLOOKUP($A11,'Mutasi Neraca'!$A$3:$S$910,12,FALSE))</f>
        <v>9130092468</v>
      </c>
      <c r="N11" s="42">
        <f>VLOOKUP($A11,'Neraca Unaudited SIMAK'!$A$2:$R$1272,13,FALSE)+IF(ISNA(VLOOKUP($A11,'Mutasi Neraca'!$A$3:$S$910,13,FALSE)),0,VLOOKUP($A11,'Mutasi Neraca'!$A$3:$S$910,13,FALSE))</f>
        <v>-2497390397</v>
      </c>
      <c r="O11" s="42">
        <f>VLOOKUP($A11,'Neraca Unaudited SIMAK'!$A$2:$R$1272,14,FALSE)+IF(ISNA(VLOOKUP($A11,'Mutasi Neraca'!$A$3:$S$910,14,FALSE)),0,VLOOKUP($A11,'Mutasi Neraca'!$A$3:$S$910,14,FALSE))</f>
        <v>-3359840</v>
      </c>
      <c r="P11" s="42">
        <f>VLOOKUP($A11,'Neraca Unaudited SIMAK'!$A$2:$R$1272,15,FALSE)+IF(ISNA(VLOOKUP($A11,'Mutasi Neraca'!$A$3:$S$910,15,FALSE)),0,VLOOKUP($A11,'Mutasi Neraca'!$A$3:$S$910,15,FALSE))</f>
        <v>-13976200</v>
      </c>
      <c r="Q11" s="42">
        <f>VLOOKUP($A11,'Neraca Unaudited SIMAK'!$A$2:$R$1272,16,FALSE)+IF(ISNA(VLOOKUP($A11,'Mutasi Neraca'!$A$3:$S$910,16,FALSE)),0,VLOOKUP($A11,'Mutasi Neraca'!$A$3:$S$910,16,FALSE))</f>
        <v>0</v>
      </c>
      <c r="R11" s="42">
        <f>VLOOKUP($A11,'Neraca Unaudited SIMAK'!$A$2:$R$1272,17,FALSE)+IF(ISNA(VLOOKUP($A11,'Mutasi Neraca'!$A$3:$S$910,17,FALSE)),0,VLOOKUP($A11,'Mutasi Neraca'!$A$3:$S$910,17,FALSE))</f>
        <v>-900000</v>
      </c>
      <c r="S11" s="42">
        <f t="shared" si="2"/>
        <v>6614466031</v>
      </c>
      <c r="U11" s="52" t="s">
        <v>2161</v>
      </c>
      <c r="V11" s="51">
        <f t="shared" ref="V11:AK11" si="11">SUMIFS(D$2:D$1270,$B$2:$B$1270,"005011000")</f>
        <v>113193736</v>
      </c>
      <c r="W11" s="51">
        <f t="shared" si="11"/>
        <v>30002829452</v>
      </c>
      <c r="X11" s="51">
        <f t="shared" si="11"/>
        <v>38775554547</v>
      </c>
      <c r="Y11" s="51">
        <f t="shared" si="11"/>
        <v>118091411869</v>
      </c>
      <c r="Z11" s="51">
        <f t="shared" si="11"/>
        <v>2537596210</v>
      </c>
      <c r="AA11" s="51">
        <f t="shared" si="11"/>
        <v>948227679</v>
      </c>
      <c r="AB11" s="51">
        <f t="shared" si="11"/>
        <v>0</v>
      </c>
      <c r="AC11" s="51">
        <f t="shared" si="11"/>
        <v>492860000</v>
      </c>
      <c r="AD11" s="51">
        <f t="shared" si="11"/>
        <v>1742429210</v>
      </c>
      <c r="AE11" s="51">
        <f t="shared" si="11"/>
        <v>192704102703</v>
      </c>
      <c r="AF11" s="51">
        <f t="shared" si="11"/>
        <v>-32644085819</v>
      </c>
      <c r="AG11" s="51">
        <f t="shared" si="11"/>
        <v>-21579179171</v>
      </c>
      <c r="AH11" s="51">
        <f t="shared" si="11"/>
        <v>-1168968278</v>
      </c>
      <c r="AI11" s="51">
        <f t="shared" si="11"/>
        <v>0</v>
      </c>
      <c r="AJ11" s="51">
        <f t="shared" si="11"/>
        <v>-1682862232</v>
      </c>
      <c r="AK11" s="51">
        <f t="shared" si="11"/>
        <v>135629007203</v>
      </c>
    </row>
    <row r="12" spans="1:37">
      <c r="A12" s="41" t="s">
        <v>20</v>
      </c>
      <c r="B12" s="41" t="str">
        <f t="shared" si="1"/>
        <v>005010100</v>
      </c>
      <c r="D12" s="42">
        <f>VLOOKUP($A12,'Neraca Unaudited SIMAK'!$A$2:$R$1272,3,FALSE)+IF(ISNA(VLOOKUP($A12,'Mutasi Neraca'!$A$3:$S$910,3,FALSE)),0,VLOOKUP($A12,'Mutasi Neraca'!$A$3:$S$910,3,FALSE))</f>
        <v>34000</v>
      </c>
      <c r="E12" s="42">
        <f>VLOOKUP($A12,'Neraca Unaudited SIMAK'!$A$2:$R$1272,4,FALSE)+IF(ISNA(VLOOKUP($A12,'Mutasi Neraca'!$A$3:$S$910,4,FALSE)),0,VLOOKUP($A12,'Mutasi Neraca'!$A$3:$S$910,4,FALSE))</f>
        <v>22361412000</v>
      </c>
      <c r="F12" s="42">
        <f>VLOOKUP($A12,'Neraca Unaudited SIMAK'!$A$2:$R$1272,5,FALSE)+IF(ISNA(VLOOKUP($A12,'Mutasi Neraca'!$A$3:$S$910,5,FALSE)),0,VLOOKUP($A12,'Mutasi Neraca'!$A$3:$S$910,5,FALSE))</f>
        <v>4858289160</v>
      </c>
      <c r="G12" s="42">
        <f>VLOOKUP($A12,'Neraca Unaudited SIMAK'!$A$2:$R$1272,6,FALSE)+IF(ISNA(VLOOKUP($A12,'Mutasi Neraca'!$A$3:$S$910,6,FALSE)),0,VLOOKUP($A12,'Mutasi Neraca'!$A$3:$S$910,6,FALSE))</f>
        <v>19195275013</v>
      </c>
      <c r="H12" s="42">
        <f>VLOOKUP($A12,'Neraca Unaudited SIMAK'!$A$2:$R$1272,7,FALSE)+IF(ISNA(VLOOKUP($A12,'Mutasi Neraca'!$A$3:$S$910,7,FALSE)),0,VLOOKUP($A12,'Mutasi Neraca'!$A$3:$S$910,7,FALSE))</f>
        <v>24450000</v>
      </c>
      <c r="I12" s="42">
        <f>VLOOKUP($A12,'Neraca Unaudited SIMAK'!$A$2:$R$1272,8,FALSE)+IF(ISNA(VLOOKUP($A12,'Mutasi Neraca'!$A$3:$S$910,8,FALSE)),0,VLOOKUP($A12,'Mutasi Neraca'!$A$3:$S$910,8,FALSE))</f>
        <v>27424592</v>
      </c>
      <c r="J12" s="42">
        <f>VLOOKUP($A12,'Neraca Unaudited SIMAK'!$A$2:$R$1272,9,FALSE)+IF(ISNA(VLOOKUP($A12,'Mutasi Neraca'!$A$3:$S$910,9,FALSE)),0,VLOOKUP($A12,'Mutasi Neraca'!$A$3:$S$910,9,FALSE))</f>
        <v>0</v>
      </c>
      <c r="K12" s="42">
        <f>VLOOKUP($A12,'Neraca Unaudited SIMAK'!$A$2:$R$1272,10,FALSE)+IF(ISNA(VLOOKUP($A12,'Mutasi Neraca'!$A$3:$S$910,10,FALSE)),0,VLOOKUP($A12,'Mutasi Neraca'!$A$3:$S$910,10,FALSE))</f>
        <v>0</v>
      </c>
      <c r="L12" s="42">
        <f>VLOOKUP($A12,'Neraca Unaudited SIMAK'!$A$2:$R$1272,11,FALSE)+IF(ISNA(VLOOKUP($A12,'Mutasi Neraca'!$A$3:$S$910,11,FALSE)),0,VLOOKUP($A12,'Mutasi Neraca'!$A$3:$S$910,11,FALSE))</f>
        <v>145847997</v>
      </c>
      <c r="M12" s="42">
        <f>VLOOKUP($A12,'Neraca Unaudited SIMAK'!$A$2:$R$1272,12,FALSE)+IF(ISNA(VLOOKUP($A12,'Mutasi Neraca'!$A$3:$S$910,12,FALSE)),0,VLOOKUP($A12,'Mutasi Neraca'!$A$3:$S$910,12,FALSE))</f>
        <v>46612732762</v>
      </c>
      <c r="N12" s="42">
        <f>VLOOKUP($A12,'Neraca Unaudited SIMAK'!$A$2:$R$1272,13,FALSE)+IF(ISNA(VLOOKUP($A12,'Mutasi Neraca'!$A$3:$S$910,13,FALSE)),0,VLOOKUP($A12,'Mutasi Neraca'!$A$3:$S$910,13,FALSE))</f>
        <v>-4285741926</v>
      </c>
      <c r="O12" s="42">
        <f>VLOOKUP($A12,'Neraca Unaudited SIMAK'!$A$2:$R$1272,14,FALSE)+IF(ISNA(VLOOKUP($A12,'Mutasi Neraca'!$A$3:$S$910,14,FALSE)),0,VLOOKUP($A12,'Mutasi Neraca'!$A$3:$S$910,14,FALSE))</f>
        <v>-3731783239</v>
      </c>
      <c r="P12" s="42">
        <f>VLOOKUP($A12,'Neraca Unaudited SIMAK'!$A$2:$R$1272,15,FALSE)+IF(ISNA(VLOOKUP($A12,'Mutasi Neraca'!$A$3:$S$910,15,FALSE)),0,VLOOKUP($A12,'Mutasi Neraca'!$A$3:$S$910,15,FALSE))</f>
        <v>-5887500</v>
      </c>
      <c r="Q12" s="42">
        <f>VLOOKUP($A12,'Neraca Unaudited SIMAK'!$A$2:$R$1272,16,FALSE)+IF(ISNA(VLOOKUP($A12,'Mutasi Neraca'!$A$3:$S$910,16,FALSE)),0,VLOOKUP($A12,'Mutasi Neraca'!$A$3:$S$910,16,FALSE))</f>
        <v>0</v>
      </c>
      <c r="R12" s="42">
        <f>VLOOKUP($A12,'Neraca Unaudited SIMAK'!$A$2:$R$1272,17,FALSE)+IF(ISNA(VLOOKUP($A12,'Mutasi Neraca'!$A$3:$S$910,17,FALSE)),0,VLOOKUP($A12,'Mutasi Neraca'!$A$3:$S$910,17,FALSE))</f>
        <v>-145847997</v>
      </c>
      <c r="S12" s="42">
        <f t="shared" si="2"/>
        <v>38443472100</v>
      </c>
      <c r="U12" s="52" t="s">
        <v>2162</v>
      </c>
      <c r="V12" s="51">
        <f t="shared" ref="V12:AK12" si="12">SUMIFS(D$2:D$1270,$B$2:$B$1270,"005011100")</f>
        <v>132044135</v>
      </c>
      <c r="W12" s="51">
        <f t="shared" si="12"/>
        <v>69521799373</v>
      </c>
      <c r="X12" s="51">
        <f t="shared" si="12"/>
        <v>36609657933</v>
      </c>
      <c r="Y12" s="51">
        <f t="shared" si="12"/>
        <v>92329254923</v>
      </c>
      <c r="Z12" s="51">
        <f t="shared" si="12"/>
        <v>866217954</v>
      </c>
      <c r="AA12" s="51">
        <f t="shared" si="12"/>
        <v>600262999</v>
      </c>
      <c r="AB12" s="51">
        <f t="shared" si="12"/>
        <v>19695433250</v>
      </c>
      <c r="AC12" s="51">
        <f t="shared" si="12"/>
        <v>421868127</v>
      </c>
      <c r="AD12" s="51">
        <f t="shared" si="12"/>
        <v>271056363</v>
      </c>
      <c r="AE12" s="51">
        <f t="shared" si="12"/>
        <v>220447595057</v>
      </c>
      <c r="AF12" s="51">
        <f t="shared" si="12"/>
        <v>-30615904400</v>
      </c>
      <c r="AG12" s="51">
        <f t="shared" si="12"/>
        <v>-27795884841</v>
      </c>
      <c r="AH12" s="51">
        <f t="shared" si="12"/>
        <v>-206619653</v>
      </c>
      <c r="AI12" s="51">
        <f t="shared" si="12"/>
        <v>0</v>
      </c>
      <c r="AJ12" s="51">
        <f t="shared" si="12"/>
        <v>-257312363</v>
      </c>
      <c r="AK12" s="51">
        <f t="shared" si="12"/>
        <v>161571873800</v>
      </c>
    </row>
    <row r="13" spans="1:37">
      <c r="A13" s="41" t="s">
        <v>21</v>
      </c>
      <c r="B13" s="41" t="str">
        <f t="shared" si="1"/>
        <v>005010100</v>
      </c>
      <c r="D13" s="42">
        <f>VLOOKUP($A13,'Neraca Unaudited SIMAK'!$A$2:$R$1272,3,FALSE)+IF(ISNA(VLOOKUP($A13,'Mutasi Neraca'!$A$3:$S$910,3,FALSE)),0,VLOOKUP($A13,'Mutasi Neraca'!$A$3:$S$910,3,FALSE))</f>
        <v>13290365</v>
      </c>
      <c r="E13" s="42">
        <f>VLOOKUP($A13,'Neraca Unaudited SIMAK'!$A$2:$R$1272,4,FALSE)+IF(ISNA(VLOOKUP($A13,'Mutasi Neraca'!$A$3:$S$910,4,FALSE)),0,VLOOKUP($A13,'Mutasi Neraca'!$A$3:$S$910,4,FALSE))</f>
        <v>3017079900</v>
      </c>
      <c r="F13" s="42">
        <f>VLOOKUP($A13,'Neraca Unaudited SIMAK'!$A$2:$R$1272,5,FALSE)+IF(ISNA(VLOOKUP($A13,'Mutasi Neraca'!$A$3:$S$910,5,FALSE)),0,VLOOKUP($A13,'Mutasi Neraca'!$A$3:$S$910,5,FALSE))</f>
        <v>3884258915</v>
      </c>
      <c r="G13" s="42">
        <f>VLOOKUP($A13,'Neraca Unaudited SIMAK'!$A$2:$R$1272,6,FALSE)+IF(ISNA(VLOOKUP($A13,'Mutasi Neraca'!$A$3:$S$910,6,FALSE)),0,VLOOKUP($A13,'Mutasi Neraca'!$A$3:$S$910,6,FALSE))</f>
        <v>3098700400</v>
      </c>
      <c r="H13" s="42">
        <f>VLOOKUP($A13,'Neraca Unaudited SIMAK'!$A$2:$R$1272,7,FALSE)+IF(ISNA(VLOOKUP($A13,'Mutasi Neraca'!$A$3:$S$910,7,FALSE)),0,VLOOKUP($A13,'Mutasi Neraca'!$A$3:$S$910,7,FALSE))</f>
        <v>49563000</v>
      </c>
      <c r="I13" s="42">
        <f>VLOOKUP($A13,'Neraca Unaudited SIMAK'!$A$2:$R$1272,8,FALSE)+IF(ISNA(VLOOKUP($A13,'Mutasi Neraca'!$A$3:$S$910,8,FALSE)),0,VLOOKUP($A13,'Mutasi Neraca'!$A$3:$S$910,8,FALSE))</f>
        <v>16408646</v>
      </c>
      <c r="J13" s="42">
        <f>VLOOKUP($A13,'Neraca Unaudited SIMAK'!$A$2:$R$1272,9,FALSE)+IF(ISNA(VLOOKUP($A13,'Mutasi Neraca'!$A$3:$S$910,9,FALSE)),0,VLOOKUP($A13,'Mutasi Neraca'!$A$3:$S$910,9,FALSE))</f>
        <v>0</v>
      </c>
      <c r="K13" s="42">
        <f>VLOOKUP($A13,'Neraca Unaudited SIMAK'!$A$2:$R$1272,10,FALSE)+IF(ISNA(VLOOKUP($A13,'Mutasi Neraca'!$A$3:$S$910,10,FALSE)),0,VLOOKUP($A13,'Mutasi Neraca'!$A$3:$S$910,10,FALSE))</f>
        <v>34075000</v>
      </c>
      <c r="L13" s="42">
        <f>VLOOKUP($A13,'Neraca Unaudited SIMAK'!$A$2:$R$1272,11,FALSE)+IF(ISNA(VLOOKUP($A13,'Mutasi Neraca'!$A$3:$S$910,11,FALSE)),0,VLOOKUP($A13,'Mutasi Neraca'!$A$3:$S$910,11,FALSE))</f>
        <v>179926000</v>
      </c>
      <c r="M13" s="42">
        <f>VLOOKUP($A13,'Neraca Unaudited SIMAK'!$A$2:$R$1272,12,FALSE)+IF(ISNA(VLOOKUP($A13,'Mutasi Neraca'!$A$3:$S$910,12,FALSE)),0,VLOOKUP($A13,'Mutasi Neraca'!$A$3:$S$910,12,FALSE))</f>
        <v>10293302226</v>
      </c>
      <c r="N13" s="42">
        <f>VLOOKUP($A13,'Neraca Unaudited SIMAK'!$A$2:$R$1272,13,FALSE)+IF(ISNA(VLOOKUP($A13,'Mutasi Neraca'!$A$3:$S$910,13,FALSE)),0,VLOOKUP($A13,'Mutasi Neraca'!$A$3:$S$910,13,FALSE))</f>
        <v>-3567947012</v>
      </c>
      <c r="O13" s="42">
        <f>VLOOKUP($A13,'Neraca Unaudited SIMAK'!$A$2:$R$1272,14,FALSE)+IF(ISNA(VLOOKUP($A13,'Mutasi Neraca'!$A$3:$S$910,14,FALSE)),0,VLOOKUP($A13,'Mutasi Neraca'!$A$3:$S$910,14,FALSE))</f>
        <v>-483105612</v>
      </c>
      <c r="P13" s="42">
        <f>VLOOKUP($A13,'Neraca Unaudited SIMAK'!$A$2:$R$1272,15,FALSE)+IF(ISNA(VLOOKUP($A13,'Mutasi Neraca'!$A$3:$S$910,15,FALSE)),0,VLOOKUP($A13,'Mutasi Neraca'!$A$3:$S$910,15,FALSE))</f>
        <v>-7434450</v>
      </c>
      <c r="Q13" s="42">
        <f>VLOOKUP($A13,'Neraca Unaudited SIMAK'!$A$2:$R$1272,16,FALSE)+IF(ISNA(VLOOKUP($A13,'Mutasi Neraca'!$A$3:$S$910,16,FALSE)),0,VLOOKUP($A13,'Mutasi Neraca'!$A$3:$S$910,16,FALSE))</f>
        <v>0</v>
      </c>
      <c r="R13" s="42">
        <f>VLOOKUP($A13,'Neraca Unaudited SIMAK'!$A$2:$R$1272,17,FALSE)+IF(ISNA(VLOOKUP($A13,'Mutasi Neraca'!$A$3:$S$910,17,FALSE)),0,VLOOKUP($A13,'Mutasi Neraca'!$A$3:$S$910,17,FALSE))</f>
        <v>-179926000</v>
      </c>
      <c r="S13" s="42">
        <f t="shared" si="2"/>
        <v>6054889152</v>
      </c>
      <c r="U13" s="52" t="s">
        <v>2163</v>
      </c>
      <c r="V13" s="51">
        <f t="shared" ref="V13:AK13" si="13">SUMIFS(D$2:D$1270,$B$2:$B$1270,"005011200")</f>
        <v>105964975</v>
      </c>
      <c r="W13" s="51">
        <f t="shared" si="13"/>
        <v>41500487467</v>
      </c>
      <c r="X13" s="51">
        <f t="shared" si="13"/>
        <v>40853529124</v>
      </c>
      <c r="Y13" s="51">
        <f t="shared" si="13"/>
        <v>125326820007</v>
      </c>
      <c r="Z13" s="51">
        <f t="shared" si="13"/>
        <v>6329744784</v>
      </c>
      <c r="AA13" s="51">
        <f t="shared" si="13"/>
        <v>293311729</v>
      </c>
      <c r="AB13" s="51">
        <f t="shared" si="13"/>
        <v>2753678000</v>
      </c>
      <c r="AC13" s="51">
        <f t="shared" si="13"/>
        <v>365100000</v>
      </c>
      <c r="AD13" s="51">
        <f t="shared" si="13"/>
        <v>2847549250</v>
      </c>
      <c r="AE13" s="51">
        <f t="shared" si="13"/>
        <v>220376185336</v>
      </c>
      <c r="AF13" s="51">
        <f t="shared" si="13"/>
        <v>-35785141671</v>
      </c>
      <c r="AG13" s="51">
        <f t="shared" si="13"/>
        <v>-35809805352</v>
      </c>
      <c r="AH13" s="51">
        <f t="shared" si="13"/>
        <v>-2800219329</v>
      </c>
      <c r="AI13" s="51">
        <f t="shared" si="13"/>
        <v>-83832250</v>
      </c>
      <c r="AJ13" s="51">
        <f t="shared" si="13"/>
        <v>-2666575286</v>
      </c>
      <c r="AK13" s="51">
        <f t="shared" si="13"/>
        <v>143230611448</v>
      </c>
    </row>
    <row r="14" spans="1:37">
      <c r="A14" s="41" t="s">
        <v>22</v>
      </c>
      <c r="B14" s="41" t="str">
        <f t="shared" si="1"/>
        <v>005010100</v>
      </c>
      <c r="D14" s="42">
        <f>VLOOKUP($A14,'Neraca Unaudited SIMAK'!$A$2:$R$1272,3,FALSE)+IF(ISNA(VLOOKUP($A14,'Mutasi Neraca'!$A$3:$S$910,3,FALSE)),0,VLOOKUP($A14,'Mutasi Neraca'!$A$3:$S$910,3,FALSE))</f>
        <v>15237408</v>
      </c>
      <c r="E14" s="42">
        <f>VLOOKUP($A14,'Neraca Unaudited SIMAK'!$A$2:$R$1272,4,FALSE)+IF(ISNA(VLOOKUP($A14,'Mutasi Neraca'!$A$3:$S$910,4,FALSE)),0,VLOOKUP($A14,'Mutasi Neraca'!$A$3:$S$910,4,FALSE))</f>
        <v>15547908000</v>
      </c>
      <c r="F14" s="42">
        <f>VLOOKUP($A14,'Neraca Unaudited SIMAK'!$A$2:$R$1272,5,FALSE)+IF(ISNA(VLOOKUP($A14,'Mutasi Neraca'!$A$3:$S$910,5,FALSE)),0,VLOOKUP($A14,'Mutasi Neraca'!$A$3:$S$910,5,FALSE))</f>
        <v>4008514129</v>
      </c>
      <c r="G14" s="42">
        <f>VLOOKUP($A14,'Neraca Unaudited SIMAK'!$A$2:$R$1272,6,FALSE)+IF(ISNA(VLOOKUP($A14,'Mutasi Neraca'!$A$3:$S$910,6,FALSE)),0,VLOOKUP($A14,'Mutasi Neraca'!$A$3:$S$910,6,FALSE))</f>
        <v>32084843600</v>
      </c>
      <c r="H14" s="42">
        <f>VLOOKUP($A14,'Neraca Unaudited SIMAK'!$A$2:$R$1272,7,FALSE)+IF(ISNA(VLOOKUP($A14,'Mutasi Neraca'!$A$3:$S$910,7,FALSE)),0,VLOOKUP($A14,'Mutasi Neraca'!$A$3:$S$910,7,FALSE))</f>
        <v>369835000</v>
      </c>
      <c r="I14" s="42">
        <f>VLOOKUP($A14,'Neraca Unaudited SIMAK'!$A$2:$R$1272,8,FALSE)+IF(ISNA(VLOOKUP($A14,'Mutasi Neraca'!$A$3:$S$910,8,FALSE)),0,VLOOKUP($A14,'Mutasi Neraca'!$A$3:$S$910,8,FALSE))</f>
        <v>12506576</v>
      </c>
      <c r="J14" s="42">
        <f>VLOOKUP($A14,'Neraca Unaudited SIMAK'!$A$2:$R$1272,9,FALSE)+IF(ISNA(VLOOKUP($A14,'Mutasi Neraca'!$A$3:$S$910,9,FALSE)),0,VLOOKUP($A14,'Mutasi Neraca'!$A$3:$S$910,9,FALSE))</f>
        <v>0</v>
      </c>
      <c r="K14" s="42">
        <f>VLOOKUP($A14,'Neraca Unaudited SIMAK'!$A$2:$R$1272,10,FALSE)+IF(ISNA(VLOOKUP($A14,'Mutasi Neraca'!$A$3:$S$910,10,FALSE)),0,VLOOKUP($A14,'Mutasi Neraca'!$A$3:$S$910,10,FALSE))</f>
        <v>14850000</v>
      </c>
      <c r="L14" s="42">
        <f>VLOOKUP($A14,'Neraca Unaudited SIMAK'!$A$2:$R$1272,11,FALSE)+IF(ISNA(VLOOKUP($A14,'Mutasi Neraca'!$A$3:$S$910,11,FALSE)),0,VLOOKUP($A14,'Mutasi Neraca'!$A$3:$S$910,11,FALSE))</f>
        <v>100556700</v>
      </c>
      <c r="M14" s="42">
        <f>VLOOKUP($A14,'Neraca Unaudited SIMAK'!$A$2:$R$1272,12,FALSE)+IF(ISNA(VLOOKUP($A14,'Mutasi Neraca'!$A$3:$S$910,12,FALSE)),0,VLOOKUP($A14,'Mutasi Neraca'!$A$3:$S$910,12,FALSE))</f>
        <v>52154251413</v>
      </c>
      <c r="N14" s="42">
        <f>VLOOKUP($A14,'Neraca Unaudited SIMAK'!$A$2:$R$1272,13,FALSE)+IF(ISNA(VLOOKUP($A14,'Mutasi Neraca'!$A$3:$S$910,13,FALSE)),0,VLOOKUP($A14,'Mutasi Neraca'!$A$3:$S$910,13,FALSE))</f>
        <v>-2963499104</v>
      </c>
      <c r="O14" s="42">
        <f>VLOOKUP($A14,'Neraca Unaudited SIMAK'!$A$2:$R$1272,14,FALSE)+IF(ISNA(VLOOKUP($A14,'Mutasi Neraca'!$A$3:$S$910,14,FALSE)),0,VLOOKUP($A14,'Mutasi Neraca'!$A$3:$S$910,14,FALSE))</f>
        <v>-995556056</v>
      </c>
      <c r="P14" s="42">
        <f>VLOOKUP($A14,'Neraca Unaudited SIMAK'!$A$2:$R$1272,15,FALSE)+IF(ISNA(VLOOKUP($A14,'Mutasi Neraca'!$A$3:$S$910,15,FALSE)),0,VLOOKUP($A14,'Mutasi Neraca'!$A$3:$S$910,15,FALSE))</f>
        <v>-58667161</v>
      </c>
      <c r="Q14" s="42">
        <f>VLOOKUP($A14,'Neraca Unaudited SIMAK'!$A$2:$R$1272,16,FALSE)+IF(ISNA(VLOOKUP($A14,'Mutasi Neraca'!$A$3:$S$910,16,FALSE)),0,VLOOKUP($A14,'Mutasi Neraca'!$A$3:$S$910,16,FALSE))</f>
        <v>0</v>
      </c>
      <c r="R14" s="42">
        <f>VLOOKUP($A14,'Neraca Unaudited SIMAK'!$A$2:$R$1272,17,FALSE)+IF(ISNA(VLOOKUP($A14,'Mutasi Neraca'!$A$3:$S$910,17,FALSE)),0,VLOOKUP($A14,'Mutasi Neraca'!$A$3:$S$910,17,FALSE))</f>
        <v>-100556700</v>
      </c>
      <c r="S14" s="42">
        <f t="shared" si="2"/>
        <v>48035972392</v>
      </c>
      <c r="U14" s="52" t="s">
        <v>2164</v>
      </c>
      <c r="V14" s="51">
        <f t="shared" ref="V14:AK14" si="14">SUMIFS(D$2:D$1270,$B$2:$B$1270,"005011300")</f>
        <v>85646675</v>
      </c>
      <c r="W14" s="51">
        <f t="shared" si="14"/>
        <v>86966344735</v>
      </c>
      <c r="X14" s="51">
        <f t="shared" si="14"/>
        <v>38890243459</v>
      </c>
      <c r="Y14" s="51">
        <f t="shared" si="14"/>
        <v>202978272883</v>
      </c>
      <c r="Z14" s="51">
        <f t="shared" si="14"/>
        <v>3097481996</v>
      </c>
      <c r="AA14" s="51">
        <f t="shared" si="14"/>
        <v>1900002869</v>
      </c>
      <c r="AB14" s="51">
        <f t="shared" si="14"/>
        <v>2637084050</v>
      </c>
      <c r="AC14" s="51">
        <f t="shared" si="14"/>
        <v>138950000</v>
      </c>
      <c r="AD14" s="51">
        <f t="shared" si="14"/>
        <v>1561373859</v>
      </c>
      <c r="AE14" s="51">
        <f t="shared" si="14"/>
        <v>338255400526</v>
      </c>
      <c r="AF14" s="51">
        <f t="shared" si="14"/>
        <v>-33885787835</v>
      </c>
      <c r="AG14" s="51">
        <f t="shared" si="14"/>
        <v>-24326910510</v>
      </c>
      <c r="AH14" s="51">
        <f t="shared" si="14"/>
        <v>-1544406166</v>
      </c>
      <c r="AI14" s="51">
        <f t="shared" si="14"/>
        <v>0</v>
      </c>
      <c r="AJ14" s="51">
        <f t="shared" si="14"/>
        <v>-1280021383</v>
      </c>
      <c r="AK14" s="51">
        <f t="shared" si="14"/>
        <v>277218274632</v>
      </c>
    </row>
    <row r="15" spans="1:37">
      <c r="A15" s="41" t="s">
        <v>23</v>
      </c>
      <c r="B15" s="41" t="str">
        <f t="shared" si="1"/>
        <v>005010100</v>
      </c>
      <c r="D15" s="42">
        <f>VLOOKUP($A15,'Neraca Unaudited SIMAK'!$A$2:$R$1272,3,FALSE)+IF(ISNA(VLOOKUP($A15,'Mutasi Neraca'!$A$3:$S$910,3,FALSE)),0,VLOOKUP($A15,'Mutasi Neraca'!$A$3:$S$910,3,FALSE))</f>
        <v>12615975</v>
      </c>
      <c r="E15" s="42">
        <f>VLOOKUP($A15,'Neraca Unaudited SIMAK'!$A$2:$R$1272,4,FALSE)+IF(ISNA(VLOOKUP($A15,'Mutasi Neraca'!$A$3:$S$910,4,FALSE)),0,VLOOKUP($A15,'Mutasi Neraca'!$A$3:$S$910,4,FALSE))</f>
        <v>10149656000</v>
      </c>
      <c r="F15" s="42">
        <f>VLOOKUP($A15,'Neraca Unaudited SIMAK'!$A$2:$R$1272,5,FALSE)+IF(ISNA(VLOOKUP($A15,'Mutasi Neraca'!$A$3:$S$910,5,FALSE)),0,VLOOKUP($A15,'Mutasi Neraca'!$A$3:$S$910,5,FALSE))</f>
        <v>3074124990</v>
      </c>
      <c r="G15" s="42">
        <f>VLOOKUP($A15,'Neraca Unaudited SIMAK'!$A$2:$R$1272,6,FALSE)+IF(ISNA(VLOOKUP($A15,'Mutasi Neraca'!$A$3:$S$910,6,FALSE)),0,VLOOKUP($A15,'Mutasi Neraca'!$A$3:$S$910,6,FALSE))</f>
        <v>5910777430</v>
      </c>
      <c r="H15" s="42">
        <f>VLOOKUP($A15,'Neraca Unaudited SIMAK'!$A$2:$R$1272,7,FALSE)+IF(ISNA(VLOOKUP($A15,'Mutasi Neraca'!$A$3:$S$910,7,FALSE)),0,VLOOKUP($A15,'Mutasi Neraca'!$A$3:$S$910,7,FALSE))</f>
        <v>13200000</v>
      </c>
      <c r="I15" s="42">
        <f>VLOOKUP($A15,'Neraca Unaudited SIMAK'!$A$2:$R$1272,8,FALSE)+IF(ISNA(VLOOKUP($A15,'Mutasi Neraca'!$A$3:$S$910,8,FALSE)),0,VLOOKUP($A15,'Mutasi Neraca'!$A$3:$S$910,8,FALSE))</f>
        <v>2763400</v>
      </c>
      <c r="J15" s="42">
        <f>VLOOKUP($A15,'Neraca Unaudited SIMAK'!$A$2:$R$1272,9,FALSE)+IF(ISNA(VLOOKUP($A15,'Mutasi Neraca'!$A$3:$S$910,9,FALSE)),0,VLOOKUP($A15,'Mutasi Neraca'!$A$3:$S$910,9,FALSE))</f>
        <v>0</v>
      </c>
      <c r="K15" s="42">
        <f>VLOOKUP($A15,'Neraca Unaudited SIMAK'!$A$2:$R$1272,10,FALSE)+IF(ISNA(VLOOKUP($A15,'Mutasi Neraca'!$A$3:$S$910,10,FALSE)),0,VLOOKUP($A15,'Mutasi Neraca'!$A$3:$S$910,10,FALSE))</f>
        <v>119420000</v>
      </c>
      <c r="L15" s="42">
        <f>VLOOKUP($A15,'Neraca Unaudited SIMAK'!$A$2:$R$1272,11,FALSE)+IF(ISNA(VLOOKUP($A15,'Mutasi Neraca'!$A$3:$S$910,11,FALSE)),0,VLOOKUP($A15,'Mutasi Neraca'!$A$3:$S$910,11,FALSE))</f>
        <v>34000</v>
      </c>
      <c r="M15" s="42">
        <f>VLOOKUP($A15,'Neraca Unaudited SIMAK'!$A$2:$R$1272,12,FALSE)+IF(ISNA(VLOOKUP($A15,'Mutasi Neraca'!$A$3:$S$910,12,FALSE)),0,VLOOKUP($A15,'Mutasi Neraca'!$A$3:$S$910,12,FALSE))</f>
        <v>19282591795</v>
      </c>
      <c r="N15" s="42">
        <f>VLOOKUP($A15,'Neraca Unaudited SIMAK'!$A$2:$R$1272,13,FALSE)+IF(ISNA(VLOOKUP($A15,'Mutasi Neraca'!$A$3:$S$910,13,FALSE)),0,VLOOKUP($A15,'Mutasi Neraca'!$A$3:$S$910,13,FALSE))</f>
        <v>-2339147134</v>
      </c>
      <c r="O15" s="42">
        <f>VLOOKUP($A15,'Neraca Unaudited SIMAK'!$A$2:$R$1272,14,FALSE)+IF(ISNA(VLOOKUP($A15,'Mutasi Neraca'!$A$3:$S$910,14,FALSE)),0,VLOOKUP($A15,'Mutasi Neraca'!$A$3:$S$910,14,FALSE))</f>
        <v>-678886447</v>
      </c>
      <c r="P15" s="42">
        <f>VLOOKUP($A15,'Neraca Unaudited SIMAK'!$A$2:$R$1272,15,FALSE)+IF(ISNA(VLOOKUP($A15,'Mutasi Neraca'!$A$3:$S$910,15,FALSE)),0,VLOOKUP($A15,'Mutasi Neraca'!$A$3:$S$910,15,FALSE))</f>
        <v>-1539888</v>
      </c>
      <c r="Q15" s="42">
        <f>VLOOKUP($A15,'Neraca Unaudited SIMAK'!$A$2:$R$1272,16,FALSE)+IF(ISNA(VLOOKUP($A15,'Mutasi Neraca'!$A$3:$S$910,16,FALSE)),0,VLOOKUP($A15,'Mutasi Neraca'!$A$3:$S$910,16,FALSE))</f>
        <v>-80000</v>
      </c>
      <c r="R15" s="42">
        <f>VLOOKUP($A15,'Neraca Unaudited SIMAK'!$A$2:$R$1272,17,FALSE)+IF(ISNA(VLOOKUP($A15,'Mutasi Neraca'!$A$3:$S$910,17,FALSE)),0,VLOOKUP($A15,'Mutasi Neraca'!$A$3:$S$910,17,FALSE))</f>
        <v>-34000</v>
      </c>
      <c r="S15" s="42">
        <f t="shared" si="2"/>
        <v>16262904326</v>
      </c>
      <c r="U15" s="52" t="s">
        <v>2165</v>
      </c>
      <c r="V15" s="51">
        <f t="shared" ref="V15:AK15" si="15">SUMIFS(D$2:D$1270,$B$2:$B$1270,"005011400")</f>
        <v>62142801</v>
      </c>
      <c r="W15" s="51">
        <f t="shared" si="15"/>
        <v>44198817269</v>
      </c>
      <c r="X15" s="51">
        <f t="shared" si="15"/>
        <v>27680561902</v>
      </c>
      <c r="Y15" s="51">
        <f t="shared" si="15"/>
        <v>94595395947</v>
      </c>
      <c r="Z15" s="51">
        <f t="shared" si="15"/>
        <v>3424499084</v>
      </c>
      <c r="AA15" s="51">
        <f t="shared" si="15"/>
        <v>250275399</v>
      </c>
      <c r="AB15" s="51">
        <f t="shared" si="15"/>
        <v>21064347015</v>
      </c>
      <c r="AC15" s="51">
        <f t="shared" si="15"/>
        <v>203968254</v>
      </c>
      <c r="AD15" s="51">
        <f t="shared" si="15"/>
        <v>1569891484</v>
      </c>
      <c r="AE15" s="51">
        <f t="shared" si="15"/>
        <v>193049899155</v>
      </c>
      <c r="AF15" s="51">
        <f t="shared" si="15"/>
        <v>-21027081334</v>
      </c>
      <c r="AG15" s="51">
        <f t="shared" si="15"/>
        <v>-13781119392</v>
      </c>
      <c r="AH15" s="51">
        <f t="shared" si="15"/>
        <v>-1402082750</v>
      </c>
      <c r="AI15" s="51">
        <f t="shared" si="15"/>
        <v>-7000000</v>
      </c>
      <c r="AJ15" s="51">
        <f t="shared" si="15"/>
        <v>-1156317514</v>
      </c>
      <c r="AK15" s="51">
        <f t="shared" si="15"/>
        <v>155676298165</v>
      </c>
    </row>
    <row r="16" spans="1:37">
      <c r="A16" s="41" t="s">
        <v>24</v>
      </c>
      <c r="B16" s="41" t="str">
        <f t="shared" si="1"/>
        <v>005010100</v>
      </c>
      <c r="D16" s="42">
        <f>VLOOKUP($A16,'Neraca Unaudited SIMAK'!$A$2:$R$1272,3,FALSE)+IF(ISNA(VLOOKUP($A16,'Mutasi Neraca'!$A$3:$S$910,3,FALSE)),0,VLOOKUP($A16,'Mutasi Neraca'!$A$3:$S$910,3,FALSE))</f>
        <v>4430100</v>
      </c>
      <c r="E16" s="42">
        <f>VLOOKUP($A16,'Neraca Unaudited SIMAK'!$A$2:$R$1272,4,FALSE)+IF(ISNA(VLOOKUP($A16,'Mutasi Neraca'!$A$3:$S$910,4,FALSE)),0,VLOOKUP($A16,'Mutasi Neraca'!$A$3:$S$910,4,FALSE))</f>
        <v>5550000000</v>
      </c>
      <c r="F16" s="42">
        <f>VLOOKUP($A16,'Neraca Unaudited SIMAK'!$A$2:$R$1272,5,FALSE)+IF(ISNA(VLOOKUP($A16,'Mutasi Neraca'!$A$3:$S$910,5,FALSE)),0,VLOOKUP($A16,'Mutasi Neraca'!$A$3:$S$910,5,FALSE))</f>
        <v>5778759556</v>
      </c>
      <c r="G16" s="42">
        <f>VLOOKUP($A16,'Neraca Unaudited SIMAK'!$A$2:$R$1272,6,FALSE)+IF(ISNA(VLOOKUP($A16,'Mutasi Neraca'!$A$3:$S$910,6,FALSE)),0,VLOOKUP($A16,'Mutasi Neraca'!$A$3:$S$910,6,FALSE))</f>
        <v>9296582677</v>
      </c>
      <c r="H16" s="42">
        <f>VLOOKUP($A16,'Neraca Unaudited SIMAK'!$A$2:$R$1272,7,FALSE)+IF(ISNA(VLOOKUP($A16,'Mutasi Neraca'!$A$3:$S$910,7,FALSE)),0,VLOOKUP($A16,'Mutasi Neraca'!$A$3:$S$910,7,FALSE))</f>
        <v>0</v>
      </c>
      <c r="I16" s="42">
        <f>VLOOKUP($A16,'Neraca Unaudited SIMAK'!$A$2:$R$1272,8,FALSE)+IF(ISNA(VLOOKUP($A16,'Mutasi Neraca'!$A$3:$S$910,8,FALSE)),0,VLOOKUP($A16,'Mutasi Neraca'!$A$3:$S$910,8,FALSE))</f>
        <v>6750000</v>
      </c>
      <c r="J16" s="42">
        <f>VLOOKUP($A16,'Neraca Unaudited SIMAK'!$A$2:$R$1272,9,FALSE)+IF(ISNA(VLOOKUP($A16,'Mutasi Neraca'!$A$3:$S$910,9,FALSE)),0,VLOOKUP($A16,'Mutasi Neraca'!$A$3:$S$910,9,FALSE))</f>
        <v>0</v>
      </c>
      <c r="K16" s="42">
        <f>VLOOKUP($A16,'Neraca Unaudited SIMAK'!$A$2:$R$1272,10,FALSE)+IF(ISNA(VLOOKUP($A16,'Mutasi Neraca'!$A$3:$S$910,10,FALSE)),0,VLOOKUP($A16,'Mutasi Neraca'!$A$3:$S$910,10,FALSE))</f>
        <v>129950000</v>
      </c>
      <c r="L16" s="42">
        <f>VLOOKUP($A16,'Neraca Unaudited SIMAK'!$A$2:$R$1272,11,FALSE)+IF(ISNA(VLOOKUP($A16,'Mutasi Neraca'!$A$3:$S$910,11,FALSE)),0,VLOOKUP($A16,'Mutasi Neraca'!$A$3:$S$910,11,FALSE))</f>
        <v>337552000</v>
      </c>
      <c r="M16" s="42">
        <f>VLOOKUP($A16,'Neraca Unaudited SIMAK'!$A$2:$R$1272,12,FALSE)+IF(ISNA(VLOOKUP($A16,'Mutasi Neraca'!$A$3:$S$910,12,FALSE)),0,VLOOKUP($A16,'Mutasi Neraca'!$A$3:$S$910,12,FALSE))</f>
        <v>21104024333</v>
      </c>
      <c r="N16" s="42">
        <f>VLOOKUP($A16,'Neraca Unaudited SIMAK'!$A$2:$R$1272,13,FALSE)+IF(ISNA(VLOOKUP($A16,'Mutasi Neraca'!$A$3:$S$910,13,FALSE)),0,VLOOKUP($A16,'Mutasi Neraca'!$A$3:$S$910,13,FALSE))</f>
        <v>-5385474059</v>
      </c>
      <c r="O16" s="42">
        <f>VLOOKUP($A16,'Neraca Unaudited SIMAK'!$A$2:$R$1272,14,FALSE)+IF(ISNA(VLOOKUP($A16,'Mutasi Neraca'!$A$3:$S$910,14,FALSE)),0,VLOOKUP($A16,'Mutasi Neraca'!$A$3:$S$910,14,FALSE))</f>
        <v>-1022624096</v>
      </c>
      <c r="P16" s="42">
        <f>VLOOKUP($A16,'Neraca Unaudited SIMAK'!$A$2:$R$1272,15,FALSE)+IF(ISNA(VLOOKUP($A16,'Mutasi Neraca'!$A$3:$S$910,15,FALSE)),0,VLOOKUP($A16,'Mutasi Neraca'!$A$3:$S$910,15,FALSE))</f>
        <v>0</v>
      </c>
      <c r="Q16" s="42">
        <f>VLOOKUP($A16,'Neraca Unaudited SIMAK'!$A$2:$R$1272,16,FALSE)+IF(ISNA(VLOOKUP($A16,'Mutasi Neraca'!$A$3:$S$910,16,FALSE)),0,VLOOKUP($A16,'Mutasi Neraca'!$A$3:$S$910,16,FALSE))</f>
        <v>0</v>
      </c>
      <c r="R16" s="42">
        <f>VLOOKUP($A16,'Neraca Unaudited SIMAK'!$A$2:$R$1272,17,FALSE)+IF(ISNA(VLOOKUP($A16,'Mutasi Neraca'!$A$3:$S$910,17,FALSE)),0,VLOOKUP($A16,'Mutasi Neraca'!$A$3:$S$910,17,FALSE))</f>
        <v>-337552000</v>
      </c>
      <c r="S16" s="42">
        <f t="shared" si="2"/>
        <v>14358374178</v>
      </c>
      <c r="U16" s="52" t="s">
        <v>2166</v>
      </c>
      <c r="V16" s="51">
        <f t="shared" ref="V16:AK16" si="16">SUMIFS(D$2:D$1270,$B$2:$B$1270,"005011500")</f>
        <v>26700294</v>
      </c>
      <c r="W16" s="51">
        <f t="shared" si="16"/>
        <v>92139241138</v>
      </c>
      <c r="X16" s="51">
        <f t="shared" si="16"/>
        <v>50383763645</v>
      </c>
      <c r="Y16" s="51">
        <f t="shared" si="16"/>
        <v>169851433793</v>
      </c>
      <c r="Z16" s="51">
        <f t="shared" si="16"/>
        <v>1113270161</v>
      </c>
      <c r="AA16" s="51">
        <f t="shared" si="16"/>
        <v>2258014860</v>
      </c>
      <c r="AB16" s="51">
        <f t="shared" si="16"/>
        <v>29205711450</v>
      </c>
      <c r="AC16" s="51">
        <f t="shared" si="16"/>
        <v>928195257</v>
      </c>
      <c r="AD16" s="51">
        <f t="shared" si="16"/>
        <v>1998725665</v>
      </c>
      <c r="AE16" s="51">
        <f t="shared" si="16"/>
        <v>347905056263</v>
      </c>
      <c r="AF16" s="51">
        <f t="shared" si="16"/>
        <v>-40768086879</v>
      </c>
      <c r="AG16" s="51">
        <f t="shared" si="16"/>
        <v>-30270083819</v>
      </c>
      <c r="AH16" s="51">
        <f t="shared" si="16"/>
        <v>-462094613</v>
      </c>
      <c r="AI16" s="51">
        <f t="shared" si="16"/>
        <v>0</v>
      </c>
      <c r="AJ16" s="51">
        <f t="shared" si="16"/>
        <v>-1929822298</v>
      </c>
      <c r="AK16" s="51">
        <f t="shared" si="16"/>
        <v>274474968654</v>
      </c>
    </row>
    <row r="17" spans="1:37">
      <c r="A17" s="41" t="s">
        <v>25</v>
      </c>
      <c r="B17" s="41" t="str">
        <f t="shared" si="1"/>
        <v>005010100</v>
      </c>
      <c r="D17" s="42">
        <f>VLOOKUP($A17,'Neraca Unaudited SIMAK'!$A$2:$R$1272,3,FALSE)+IF(ISNA(VLOOKUP($A17,'Mutasi Neraca'!$A$3:$S$910,3,FALSE)),0,VLOOKUP($A17,'Mutasi Neraca'!$A$3:$S$910,3,FALSE))</f>
        <v>8541500</v>
      </c>
      <c r="E17" s="42">
        <f>VLOOKUP($A17,'Neraca Unaudited SIMAK'!$A$2:$R$1272,4,FALSE)+IF(ISNA(VLOOKUP($A17,'Mutasi Neraca'!$A$3:$S$910,4,FALSE)),0,VLOOKUP($A17,'Mutasi Neraca'!$A$3:$S$910,4,FALSE))</f>
        <v>5250000000</v>
      </c>
      <c r="F17" s="42">
        <f>VLOOKUP($A17,'Neraca Unaudited SIMAK'!$A$2:$R$1272,5,FALSE)+IF(ISNA(VLOOKUP($A17,'Mutasi Neraca'!$A$3:$S$910,5,FALSE)),0,VLOOKUP($A17,'Mutasi Neraca'!$A$3:$S$910,5,FALSE))</f>
        <v>3752568112</v>
      </c>
      <c r="G17" s="42">
        <f>VLOOKUP($A17,'Neraca Unaudited SIMAK'!$A$2:$R$1272,6,FALSE)+IF(ISNA(VLOOKUP($A17,'Mutasi Neraca'!$A$3:$S$910,6,FALSE)),0,VLOOKUP($A17,'Mutasi Neraca'!$A$3:$S$910,6,FALSE))</f>
        <v>7498207523</v>
      </c>
      <c r="H17" s="42">
        <f>VLOOKUP($A17,'Neraca Unaudited SIMAK'!$A$2:$R$1272,7,FALSE)+IF(ISNA(VLOOKUP($A17,'Mutasi Neraca'!$A$3:$S$910,7,FALSE)),0,VLOOKUP($A17,'Mutasi Neraca'!$A$3:$S$910,7,FALSE))</f>
        <v>473555250</v>
      </c>
      <c r="I17" s="42">
        <f>VLOOKUP($A17,'Neraca Unaudited SIMAK'!$A$2:$R$1272,8,FALSE)+IF(ISNA(VLOOKUP($A17,'Mutasi Neraca'!$A$3:$S$910,8,FALSE)),0,VLOOKUP($A17,'Mutasi Neraca'!$A$3:$S$910,8,FALSE))</f>
        <v>2685000</v>
      </c>
      <c r="J17" s="42">
        <f>VLOOKUP($A17,'Neraca Unaudited SIMAK'!$A$2:$R$1272,9,FALSE)+IF(ISNA(VLOOKUP($A17,'Mutasi Neraca'!$A$3:$S$910,9,FALSE)),0,VLOOKUP($A17,'Mutasi Neraca'!$A$3:$S$910,9,FALSE))</f>
        <v>0</v>
      </c>
      <c r="K17" s="42">
        <f>VLOOKUP($A17,'Neraca Unaudited SIMAK'!$A$2:$R$1272,10,FALSE)+IF(ISNA(VLOOKUP($A17,'Mutasi Neraca'!$A$3:$S$910,10,FALSE)),0,VLOOKUP($A17,'Mutasi Neraca'!$A$3:$S$910,10,FALSE))</f>
        <v>252084520</v>
      </c>
      <c r="L17" s="42">
        <f>VLOOKUP($A17,'Neraca Unaudited SIMAK'!$A$2:$R$1272,11,FALSE)+IF(ISNA(VLOOKUP($A17,'Mutasi Neraca'!$A$3:$S$910,11,FALSE)),0,VLOOKUP($A17,'Mutasi Neraca'!$A$3:$S$910,11,FALSE))</f>
        <v>50495111</v>
      </c>
      <c r="M17" s="42">
        <f>VLOOKUP($A17,'Neraca Unaudited SIMAK'!$A$2:$R$1272,12,FALSE)+IF(ISNA(VLOOKUP($A17,'Mutasi Neraca'!$A$3:$S$910,12,FALSE)),0,VLOOKUP($A17,'Mutasi Neraca'!$A$3:$S$910,12,FALSE))</f>
        <v>17288137016</v>
      </c>
      <c r="N17" s="42">
        <f>VLOOKUP($A17,'Neraca Unaudited SIMAK'!$A$2:$R$1272,13,FALSE)+IF(ISNA(VLOOKUP($A17,'Mutasi Neraca'!$A$3:$S$910,13,FALSE)),0,VLOOKUP($A17,'Mutasi Neraca'!$A$3:$S$910,13,FALSE))</f>
        <v>-3603069460</v>
      </c>
      <c r="O17" s="42">
        <f>VLOOKUP($A17,'Neraca Unaudited SIMAK'!$A$2:$R$1272,14,FALSE)+IF(ISNA(VLOOKUP($A17,'Mutasi Neraca'!$A$3:$S$910,14,FALSE)),0,VLOOKUP($A17,'Mutasi Neraca'!$A$3:$S$910,14,FALSE))</f>
        <v>-899784900</v>
      </c>
      <c r="P17" s="42">
        <f>VLOOKUP($A17,'Neraca Unaudited SIMAK'!$A$2:$R$1272,15,FALSE)+IF(ISNA(VLOOKUP($A17,'Mutasi Neraca'!$A$3:$S$910,15,FALSE)),0,VLOOKUP($A17,'Mutasi Neraca'!$A$3:$S$910,15,FALSE))</f>
        <v>-65805594</v>
      </c>
      <c r="Q17" s="42">
        <f>VLOOKUP($A17,'Neraca Unaudited SIMAK'!$A$2:$R$1272,16,FALSE)+IF(ISNA(VLOOKUP($A17,'Mutasi Neraca'!$A$3:$S$910,16,FALSE)),0,VLOOKUP($A17,'Mutasi Neraca'!$A$3:$S$910,16,FALSE))</f>
        <v>0</v>
      </c>
      <c r="R17" s="42">
        <f>VLOOKUP($A17,'Neraca Unaudited SIMAK'!$A$2:$R$1272,17,FALSE)+IF(ISNA(VLOOKUP($A17,'Mutasi Neraca'!$A$3:$S$910,17,FALSE)),0,VLOOKUP($A17,'Mutasi Neraca'!$A$3:$S$910,17,FALSE))</f>
        <v>-50495111</v>
      </c>
      <c r="S17" s="42">
        <f t="shared" si="2"/>
        <v>12668981951</v>
      </c>
      <c r="U17" s="52" t="s">
        <v>2167</v>
      </c>
      <c r="V17" s="51">
        <f t="shared" ref="V17:AK17" si="17">SUMIFS(D$2:D$1270,$B$2:$B$1270,"005011600")</f>
        <v>53866209</v>
      </c>
      <c r="W17" s="51">
        <f t="shared" si="17"/>
        <v>207456742331</v>
      </c>
      <c r="X17" s="51">
        <f t="shared" si="17"/>
        <v>44182991974</v>
      </c>
      <c r="Y17" s="51">
        <f t="shared" si="17"/>
        <v>225500744975</v>
      </c>
      <c r="Z17" s="51">
        <f t="shared" si="17"/>
        <v>3415572754</v>
      </c>
      <c r="AA17" s="51">
        <f t="shared" si="17"/>
        <v>477646404</v>
      </c>
      <c r="AB17" s="51">
        <f t="shared" si="17"/>
        <v>5313933543</v>
      </c>
      <c r="AC17" s="51">
        <f t="shared" si="17"/>
        <v>403676310</v>
      </c>
      <c r="AD17" s="51">
        <f t="shared" si="17"/>
        <v>937915393</v>
      </c>
      <c r="AE17" s="51">
        <f t="shared" si="17"/>
        <v>487743089893</v>
      </c>
      <c r="AF17" s="51">
        <f t="shared" si="17"/>
        <v>-35609525510</v>
      </c>
      <c r="AG17" s="51">
        <f t="shared" si="17"/>
        <v>-36391103745</v>
      </c>
      <c r="AH17" s="51">
        <f t="shared" si="17"/>
        <v>-1662150613</v>
      </c>
      <c r="AI17" s="51">
        <f t="shared" si="17"/>
        <v>-6000000</v>
      </c>
      <c r="AJ17" s="51">
        <f t="shared" si="17"/>
        <v>-937677393</v>
      </c>
      <c r="AK17" s="51">
        <f t="shared" si="17"/>
        <v>413136632632</v>
      </c>
    </row>
    <row r="18" spans="1:37">
      <c r="A18" s="41" t="s">
        <v>26</v>
      </c>
      <c r="B18" s="41" t="str">
        <f t="shared" si="1"/>
        <v>005010100</v>
      </c>
      <c r="D18" s="42">
        <f>VLOOKUP($A18,'Neraca Unaudited SIMAK'!$A$2:$R$1272,3,FALSE)+IF(ISNA(VLOOKUP($A18,'Mutasi Neraca'!$A$3:$S$910,3,FALSE)),0,VLOOKUP($A18,'Mutasi Neraca'!$A$3:$S$910,3,FALSE))</f>
        <v>0</v>
      </c>
      <c r="E18" s="42">
        <f>VLOOKUP($A18,'Neraca Unaudited SIMAK'!$A$2:$R$1272,4,FALSE)+IF(ISNA(VLOOKUP($A18,'Mutasi Neraca'!$A$3:$S$910,4,FALSE)),0,VLOOKUP($A18,'Mutasi Neraca'!$A$3:$S$910,4,FALSE))</f>
        <v>3990000000</v>
      </c>
      <c r="F18" s="42">
        <f>VLOOKUP($A18,'Neraca Unaudited SIMAK'!$A$2:$R$1272,5,FALSE)+IF(ISNA(VLOOKUP($A18,'Mutasi Neraca'!$A$3:$S$910,5,FALSE)),0,VLOOKUP($A18,'Mutasi Neraca'!$A$3:$S$910,5,FALSE))</f>
        <v>3891761637</v>
      </c>
      <c r="G18" s="42">
        <f>VLOOKUP($A18,'Neraca Unaudited SIMAK'!$A$2:$R$1272,6,FALSE)+IF(ISNA(VLOOKUP($A18,'Mutasi Neraca'!$A$3:$S$910,6,FALSE)),0,VLOOKUP($A18,'Mutasi Neraca'!$A$3:$S$910,6,FALSE))</f>
        <v>9012444700</v>
      </c>
      <c r="H18" s="42">
        <f>VLOOKUP($A18,'Neraca Unaudited SIMAK'!$A$2:$R$1272,7,FALSE)+IF(ISNA(VLOOKUP($A18,'Mutasi Neraca'!$A$3:$S$910,7,FALSE)),0,VLOOKUP($A18,'Mutasi Neraca'!$A$3:$S$910,7,FALSE))</f>
        <v>0</v>
      </c>
      <c r="I18" s="42">
        <f>VLOOKUP($A18,'Neraca Unaudited SIMAK'!$A$2:$R$1272,8,FALSE)+IF(ISNA(VLOOKUP($A18,'Mutasi Neraca'!$A$3:$S$910,8,FALSE)),0,VLOOKUP($A18,'Mutasi Neraca'!$A$3:$S$910,8,FALSE))</f>
        <v>2683400</v>
      </c>
      <c r="J18" s="42">
        <f>VLOOKUP($A18,'Neraca Unaudited SIMAK'!$A$2:$R$1272,9,FALSE)+IF(ISNA(VLOOKUP($A18,'Mutasi Neraca'!$A$3:$S$910,9,FALSE)),0,VLOOKUP($A18,'Mutasi Neraca'!$A$3:$S$910,9,FALSE))</f>
        <v>0</v>
      </c>
      <c r="K18" s="42">
        <f>VLOOKUP($A18,'Neraca Unaudited SIMAK'!$A$2:$R$1272,10,FALSE)+IF(ISNA(VLOOKUP($A18,'Mutasi Neraca'!$A$3:$S$910,10,FALSE)),0,VLOOKUP($A18,'Mutasi Neraca'!$A$3:$S$910,10,FALSE))</f>
        <v>111918750</v>
      </c>
      <c r="L18" s="42">
        <f>VLOOKUP($A18,'Neraca Unaudited SIMAK'!$A$2:$R$1272,11,FALSE)+IF(ISNA(VLOOKUP($A18,'Mutasi Neraca'!$A$3:$S$910,11,FALSE)),0,VLOOKUP($A18,'Mutasi Neraca'!$A$3:$S$910,11,FALSE))</f>
        <v>104428930</v>
      </c>
      <c r="M18" s="42">
        <f>VLOOKUP($A18,'Neraca Unaudited SIMAK'!$A$2:$R$1272,12,FALSE)+IF(ISNA(VLOOKUP($A18,'Mutasi Neraca'!$A$3:$S$910,12,FALSE)),0,VLOOKUP($A18,'Mutasi Neraca'!$A$3:$S$910,12,FALSE))</f>
        <v>17113237417</v>
      </c>
      <c r="N18" s="42">
        <f>VLOOKUP($A18,'Neraca Unaudited SIMAK'!$A$2:$R$1272,13,FALSE)+IF(ISNA(VLOOKUP($A18,'Mutasi Neraca'!$A$3:$S$910,13,FALSE)),0,VLOOKUP($A18,'Mutasi Neraca'!$A$3:$S$910,13,FALSE))</f>
        <v>-3153793386</v>
      </c>
      <c r="O18" s="42">
        <f>VLOOKUP($A18,'Neraca Unaudited SIMAK'!$A$2:$R$1272,14,FALSE)+IF(ISNA(VLOOKUP($A18,'Mutasi Neraca'!$A$3:$S$910,14,FALSE)),0,VLOOKUP($A18,'Mutasi Neraca'!$A$3:$S$910,14,FALSE))</f>
        <v>-1168722661</v>
      </c>
      <c r="P18" s="42">
        <f>VLOOKUP($A18,'Neraca Unaudited SIMAK'!$A$2:$R$1272,15,FALSE)+IF(ISNA(VLOOKUP($A18,'Mutasi Neraca'!$A$3:$S$910,15,FALSE)),0,VLOOKUP($A18,'Mutasi Neraca'!$A$3:$S$910,15,FALSE))</f>
        <v>0</v>
      </c>
      <c r="Q18" s="42">
        <f>VLOOKUP($A18,'Neraca Unaudited SIMAK'!$A$2:$R$1272,16,FALSE)+IF(ISNA(VLOOKUP($A18,'Mutasi Neraca'!$A$3:$S$910,16,FALSE)),0,VLOOKUP($A18,'Mutasi Neraca'!$A$3:$S$910,16,FALSE))</f>
        <v>0</v>
      </c>
      <c r="R18" s="42">
        <f>VLOOKUP($A18,'Neraca Unaudited SIMAK'!$A$2:$R$1272,17,FALSE)+IF(ISNA(VLOOKUP($A18,'Mutasi Neraca'!$A$3:$S$910,17,FALSE)),0,VLOOKUP($A18,'Mutasi Neraca'!$A$3:$S$910,17,FALSE))</f>
        <v>-104205630</v>
      </c>
      <c r="S18" s="42">
        <f t="shared" si="2"/>
        <v>12686515740</v>
      </c>
      <c r="U18" s="52" t="s">
        <v>2168</v>
      </c>
      <c r="V18" s="51">
        <f t="shared" ref="V18:AK18" si="18">SUMIFS(D$2:D$1270,$B$2:$B$1270,"005011700")</f>
        <v>100207848</v>
      </c>
      <c r="W18" s="51">
        <f t="shared" si="18"/>
        <v>73944772360</v>
      </c>
      <c r="X18" s="51">
        <f t="shared" si="18"/>
        <v>35458349435</v>
      </c>
      <c r="Y18" s="51">
        <f t="shared" si="18"/>
        <v>79518863386</v>
      </c>
      <c r="Z18" s="51">
        <f t="shared" si="18"/>
        <v>1869706475</v>
      </c>
      <c r="AA18" s="51">
        <f t="shared" si="18"/>
        <v>1007391750</v>
      </c>
      <c r="AB18" s="51">
        <f t="shared" si="18"/>
        <v>0</v>
      </c>
      <c r="AC18" s="51">
        <f t="shared" si="18"/>
        <v>394168000</v>
      </c>
      <c r="AD18" s="51">
        <f t="shared" si="18"/>
        <v>625369605</v>
      </c>
      <c r="AE18" s="51">
        <f t="shared" si="18"/>
        <v>192918828859</v>
      </c>
      <c r="AF18" s="51">
        <f t="shared" si="18"/>
        <v>-28497514120</v>
      </c>
      <c r="AG18" s="51">
        <f t="shared" si="18"/>
        <v>-22648566308</v>
      </c>
      <c r="AH18" s="51">
        <f t="shared" si="18"/>
        <v>-769103214</v>
      </c>
      <c r="AI18" s="51">
        <f t="shared" si="18"/>
        <v>-48017000</v>
      </c>
      <c r="AJ18" s="51">
        <f t="shared" si="18"/>
        <v>-614279962</v>
      </c>
      <c r="AK18" s="51">
        <f t="shared" si="18"/>
        <v>140341348255</v>
      </c>
    </row>
    <row r="19" spans="1:37">
      <c r="A19" s="43" t="s">
        <v>1158</v>
      </c>
      <c r="B19" s="41" t="str">
        <f t="shared" si="1"/>
        <v>005010199</v>
      </c>
      <c r="D19" s="42">
        <f>VLOOKUP($A19,'Neraca Unaudited SIMAK'!$A$2:$R$1272,3,FALSE)+IF(ISNA(VLOOKUP($A19,'Mutasi Neraca'!$A$3:$S$910,3,FALSE)),0,VLOOKUP($A19,'Mutasi Neraca'!$A$3:$S$910,3,FALSE))</f>
        <v>3228100018</v>
      </c>
      <c r="E19" s="42">
        <f>VLOOKUP($A19,'Neraca Unaudited SIMAK'!$A$2:$R$1272,4,FALSE)+IF(ISNA(VLOOKUP($A19,'Mutasi Neraca'!$A$3:$S$910,4,FALSE)),0,VLOOKUP($A19,'Mutasi Neraca'!$A$3:$S$910,4,FALSE))</f>
        <v>415009745500</v>
      </c>
      <c r="F19" s="42">
        <f>VLOOKUP($A19,'Neraca Unaudited SIMAK'!$A$2:$R$1272,5,FALSE)+IF(ISNA(VLOOKUP($A19,'Mutasi Neraca'!$A$3:$S$910,5,FALSE)),0,VLOOKUP($A19,'Mutasi Neraca'!$A$3:$S$910,5,FALSE))</f>
        <v>337355441041</v>
      </c>
      <c r="G19" s="42">
        <f>VLOOKUP($A19,'Neraca Unaudited SIMAK'!$A$2:$R$1272,6,FALSE)+IF(ISNA(VLOOKUP($A19,'Mutasi Neraca'!$A$3:$S$910,6,FALSE)),0,VLOOKUP($A19,'Mutasi Neraca'!$A$3:$S$910,6,FALSE))</f>
        <v>676535657226</v>
      </c>
      <c r="H19" s="42">
        <f>VLOOKUP($A19,'Neraca Unaudited SIMAK'!$A$2:$R$1272,7,FALSE)+IF(ISNA(VLOOKUP($A19,'Mutasi Neraca'!$A$3:$S$910,7,FALSE)),0,VLOOKUP($A19,'Mutasi Neraca'!$A$3:$S$910,7,FALSE))</f>
        <v>99563631113</v>
      </c>
      <c r="I19" s="42">
        <f>VLOOKUP($A19,'Neraca Unaudited SIMAK'!$A$2:$R$1272,8,FALSE)+IF(ISNA(VLOOKUP($A19,'Mutasi Neraca'!$A$3:$S$910,8,FALSE)),0,VLOOKUP($A19,'Mutasi Neraca'!$A$3:$S$910,8,FALSE))</f>
        <v>29077972703</v>
      </c>
      <c r="J19" s="42">
        <f>VLOOKUP($A19,'Neraca Unaudited SIMAK'!$A$2:$R$1272,9,FALSE)+IF(ISNA(VLOOKUP($A19,'Mutasi Neraca'!$A$3:$S$910,9,FALSE)),0,VLOOKUP($A19,'Mutasi Neraca'!$A$3:$S$910,9,FALSE))</f>
        <v>0</v>
      </c>
      <c r="K19" s="42">
        <f>VLOOKUP($A19,'Neraca Unaudited SIMAK'!$A$2:$R$1272,10,FALSE)+IF(ISNA(VLOOKUP($A19,'Mutasi Neraca'!$A$3:$S$910,10,FALSE)),0,VLOOKUP($A19,'Mutasi Neraca'!$A$3:$S$910,10,FALSE))</f>
        <v>8973886792</v>
      </c>
      <c r="L19" s="42">
        <f>VLOOKUP($A19,'Neraca Unaudited SIMAK'!$A$2:$R$1272,11,FALSE)+IF(ISNA(VLOOKUP($A19,'Mutasi Neraca'!$A$3:$S$910,11,FALSE)),0,VLOOKUP($A19,'Mutasi Neraca'!$A$3:$S$910,11,FALSE))</f>
        <v>5756080814</v>
      </c>
      <c r="M19" s="42">
        <f>VLOOKUP($A19,'Neraca Unaudited SIMAK'!$A$2:$R$1272,12,FALSE)+IF(ISNA(VLOOKUP($A19,'Mutasi Neraca'!$A$3:$S$910,12,FALSE)),0,VLOOKUP($A19,'Mutasi Neraca'!$A$3:$S$910,12,FALSE))</f>
        <v>1575500515207</v>
      </c>
      <c r="N19" s="42">
        <f>VLOOKUP($A19,'Neraca Unaudited SIMAK'!$A$2:$R$1272,13,FALSE)+IF(ISNA(VLOOKUP($A19,'Mutasi Neraca'!$A$3:$S$910,13,FALSE)),0,VLOOKUP($A19,'Mutasi Neraca'!$A$3:$S$910,13,FALSE))</f>
        <v>-294317801848</v>
      </c>
      <c r="O19" s="42">
        <f>VLOOKUP($A19,'Neraca Unaudited SIMAK'!$A$2:$R$1272,14,FALSE)+IF(ISNA(VLOOKUP($A19,'Mutasi Neraca'!$A$3:$S$910,14,FALSE)),0,VLOOKUP($A19,'Mutasi Neraca'!$A$3:$S$910,14,FALSE))</f>
        <v>-117660412175</v>
      </c>
      <c r="P19" s="42">
        <f>VLOOKUP($A19,'Neraca Unaudited SIMAK'!$A$2:$R$1272,15,FALSE)+IF(ISNA(VLOOKUP($A19,'Mutasi Neraca'!$A$3:$S$910,15,FALSE)),0,VLOOKUP($A19,'Mutasi Neraca'!$A$3:$S$910,15,FALSE))</f>
        <v>-36105142869</v>
      </c>
      <c r="Q19" s="42">
        <f>VLOOKUP($A19,'Neraca Unaudited SIMAK'!$A$2:$R$1272,16,FALSE)+IF(ISNA(VLOOKUP($A19,'Mutasi Neraca'!$A$3:$S$910,16,FALSE)),0,VLOOKUP($A19,'Mutasi Neraca'!$A$3:$S$910,16,FALSE))</f>
        <v>-99264000</v>
      </c>
      <c r="R19" s="42">
        <f>VLOOKUP($A19,'Neraca Unaudited SIMAK'!$A$2:$R$1272,17,FALSE)+IF(ISNA(VLOOKUP($A19,'Mutasi Neraca'!$A$3:$S$910,17,FALSE)),0,VLOOKUP($A19,'Mutasi Neraca'!$A$3:$S$910,17,FALSE))</f>
        <v>-4453808346</v>
      </c>
      <c r="S19" s="42">
        <f t="shared" si="2"/>
        <v>1122864085969</v>
      </c>
      <c r="U19" s="52" t="s">
        <v>2169</v>
      </c>
      <c r="V19" s="51">
        <f t="shared" ref="V19:AK19" si="19">SUMIFS(D$2:D$1270,$B$2:$B$1270,"005011800")</f>
        <v>6488615</v>
      </c>
      <c r="W19" s="51">
        <f t="shared" si="19"/>
        <v>47294156666</v>
      </c>
      <c r="X19" s="51">
        <f t="shared" si="19"/>
        <v>30068381749</v>
      </c>
      <c r="Y19" s="51">
        <f t="shared" si="19"/>
        <v>127487654274</v>
      </c>
      <c r="Z19" s="51">
        <f t="shared" si="19"/>
        <v>1108112200</v>
      </c>
      <c r="AA19" s="51">
        <f t="shared" si="19"/>
        <v>212746570</v>
      </c>
      <c r="AB19" s="51">
        <f t="shared" si="19"/>
        <v>0</v>
      </c>
      <c r="AC19" s="51">
        <f t="shared" si="19"/>
        <v>265955000</v>
      </c>
      <c r="AD19" s="51">
        <f t="shared" si="19"/>
        <v>2017976764</v>
      </c>
      <c r="AE19" s="51">
        <f t="shared" si="19"/>
        <v>208461471838</v>
      </c>
      <c r="AF19" s="51">
        <f t="shared" si="19"/>
        <v>-23980522352</v>
      </c>
      <c r="AG19" s="51">
        <f t="shared" si="19"/>
        <v>-17953334523</v>
      </c>
      <c r="AH19" s="51">
        <f t="shared" si="19"/>
        <v>-191749715</v>
      </c>
      <c r="AI19" s="51">
        <f t="shared" si="19"/>
        <v>-42064000</v>
      </c>
      <c r="AJ19" s="51">
        <f t="shared" si="19"/>
        <v>-1955255649</v>
      </c>
      <c r="AK19" s="51">
        <f t="shared" si="19"/>
        <v>164338545599</v>
      </c>
    </row>
    <row r="20" spans="1:37">
      <c r="A20" s="41" t="s">
        <v>27</v>
      </c>
      <c r="B20" s="41" t="str">
        <f t="shared" si="1"/>
        <v>005010200</v>
      </c>
      <c r="D20" s="42">
        <f>VLOOKUP($A20,'Neraca Unaudited SIMAK'!$A$2:$R$1272,3,FALSE)+IF(ISNA(VLOOKUP($A20,'Mutasi Neraca'!$A$3:$S$910,3,FALSE)),0,VLOOKUP($A20,'Mutasi Neraca'!$A$3:$S$910,3,FALSE))</f>
        <v>28439055</v>
      </c>
      <c r="E20" s="42">
        <f>VLOOKUP($A20,'Neraca Unaudited SIMAK'!$A$2:$R$1272,4,FALSE)+IF(ISNA(VLOOKUP($A20,'Mutasi Neraca'!$A$3:$S$910,4,FALSE)),0,VLOOKUP($A20,'Mutasi Neraca'!$A$3:$S$910,4,FALSE))</f>
        <v>33360400001</v>
      </c>
      <c r="F20" s="42">
        <f>VLOOKUP($A20,'Neraca Unaudited SIMAK'!$A$2:$R$1272,5,FALSE)+IF(ISNA(VLOOKUP($A20,'Mutasi Neraca'!$A$3:$S$910,5,FALSE)),0,VLOOKUP($A20,'Mutasi Neraca'!$A$3:$S$910,5,FALSE))</f>
        <v>7779069488</v>
      </c>
      <c r="G20" s="42">
        <f>VLOOKUP($A20,'Neraca Unaudited SIMAK'!$A$2:$R$1272,6,FALSE)+IF(ISNA(VLOOKUP($A20,'Mutasi Neraca'!$A$3:$S$910,6,FALSE)),0,VLOOKUP($A20,'Mutasi Neraca'!$A$3:$S$910,6,FALSE))</f>
        <v>32469555007</v>
      </c>
      <c r="H20" s="42">
        <f>VLOOKUP($A20,'Neraca Unaudited SIMAK'!$A$2:$R$1272,7,FALSE)+IF(ISNA(VLOOKUP($A20,'Mutasi Neraca'!$A$3:$S$910,7,FALSE)),0,VLOOKUP($A20,'Mutasi Neraca'!$A$3:$S$910,7,FALSE))</f>
        <v>0</v>
      </c>
      <c r="I20" s="42">
        <f>VLOOKUP($A20,'Neraca Unaudited SIMAK'!$A$2:$R$1272,8,FALSE)+IF(ISNA(VLOOKUP($A20,'Mutasi Neraca'!$A$3:$S$910,8,FALSE)),0,VLOOKUP($A20,'Mutasi Neraca'!$A$3:$S$910,8,FALSE))</f>
        <v>21148062</v>
      </c>
      <c r="J20" s="42">
        <f>VLOOKUP($A20,'Neraca Unaudited SIMAK'!$A$2:$R$1272,9,FALSE)+IF(ISNA(VLOOKUP($A20,'Mutasi Neraca'!$A$3:$S$910,9,FALSE)),0,VLOOKUP($A20,'Mutasi Neraca'!$A$3:$S$910,9,FALSE))</f>
        <v>1458153000</v>
      </c>
      <c r="K20" s="42">
        <f>VLOOKUP($A20,'Neraca Unaudited SIMAK'!$A$2:$R$1272,10,FALSE)+IF(ISNA(VLOOKUP($A20,'Mutasi Neraca'!$A$3:$S$910,10,FALSE)),0,VLOOKUP($A20,'Mutasi Neraca'!$A$3:$S$910,10,FALSE))</f>
        <v>103290000</v>
      </c>
      <c r="L20" s="42">
        <f>VLOOKUP($A20,'Neraca Unaudited SIMAK'!$A$2:$R$1272,11,FALSE)+IF(ISNA(VLOOKUP($A20,'Mutasi Neraca'!$A$3:$S$910,11,FALSE)),0,VLOOKUP($A20,'Mutasi Neraca'!$A$3:$S$910,11,FALSE))</f>
        <v>0</v>
      </c>
      <c r="M20" s="42">
        <f>VLOOKUP($A20,'Neraca Unaudited SIMAK'!$A$2:$R$1272,12,FALSE)+IF(ISNA(VLOOKUP($A20,'Mutasi Neraca'!$A$3:$S$910,12,FALSE)),0,VLOOKUP($A20,'Mutasi Neraca'!$A$3:$S$910,12,FALSE))</f>
        <v>75220054613</v>
      </c>
      <c r="N20" s="42">
        <f>VLOOKUP($A20,'Neraca Unaudited SIMAK'!$A$2:$R$1272,13,FALSE)+IF(ISNA(VLOOKUP($A20,'Mutasi Neraca'!$A$3:$S$910,13,FALSE)),0,VLOOKUP($A20,'Mutasi Neraca'!$A$3:$S$910,13,FALSE))</f>
        <v>-4286391971</v>
      </c>
      <c r="O20" s="42">
        <f>VLOOKUP($A20,'Neraca Unaudited SIMAK'!$A$2:$R$1272,14,FALSE)+IF(ISNA(VLOOKUP($A20,'Mutasi Neraca'!$A$3:$S$910,14,FALSE)),0,VLOOKUP($A20,'Mutasi Neraca'!$A$3:$S$910,14,FALSE))</f>
        <v>-3080310153</v>
      </c>
      <c r="P20" s="42">
        <f>VLOOKUP($A20,'Neraca Unaudited SIMAK'!$A$2:$R$1272,15,FALSE)+IF(ISNA(VLOOKUP($A20,'Mutasi Neraca'!$A$3:$S$910,15,FALSE)),0,VLOOKUP($A20,'Mutasi Neraca'!$A$3:$S$910,15,FALSE))</f>
        <v>0</v>
      </c>
      <c r="Q20" s="42">
        <f>VLOOKUP($A20,'Neraca Unaudited SIMAK'!$A$2:$R$1272,16,FALSE)+IF(ISNA(VLOOKUP($A20,'Mutasi Neraca'!$A$3:$S$910,16,FALSE)),0,VLOOKUP($A20,'Mutasi Neraca'!$A$3:$S$910,16,FALSE))</f>
        <v>0</v>
      </c>
      <c r="R20" s="42">
        <f>VLOOKUP($A20,'Neraca Unaudited SIMAK'!$A$2:$R$1272,17,FALSE)+IF(ISNA(VLOOKUP($A20,'Mutasi Neraca'!$A$3:$S$910,17,FALSE)),0,VLOOKUP($A20,'Mutasi Neraca'!$A$3:$S$910,17,FALSE))</f>
        <v>0</v>
      </c>
      <c r="S20" s="42">
        <f t="shared" si="2"/>
        <v>67853352489</v>
      </c>
      <c r="U20" s="52" t="s">
        <v>2170</v>
      </c>
      <c r="V20" s="51">
        <f t="shared" ref="V20:AK20" si="20">SUMIFS(D$2:D$1270,$B$2:$B$1270,"005011900")</f>
        <v>157304642</v>
      </c>
      <c r="W20" s="51">
        <f t="shared" si="20"/>
        <v>227403624361</v>
      </c>
      <c r="X20" s="51">
        <f t="shared" si="20"/>
        <v>86963206191</v>
      </c>
      <c r="Y20" s="51">
        <f t="shared" si="20"/>
        <v>231483581112</v>
      </c>
      <c r="Z20" s="51">
        <f t="shared" si="20"/>
        <v>4185709195</v>
      </c>
      <c r="AA20" s="51">
        <f t="shared" si="20"/>
        <v>1589419588</v>
      </c>
      <c r="AB20" s="51">
        <f t="shared" si="20"/>
        <v>34873754757</v>
      </c>
      <c r="AC20" s="51">
        <f t="shared" si="20"/>
        <v>1212121500</v>
      </c>
      <c r="AD20" s="51">
        <f t="shared" si="20"/>
        <v>3357926225</v>
      </c>
      <c r="AE20" s="51">
        <f t="shared" si="20"/>
        <v>591226647571</v>
      </c>
      <c r="AF20" s="51">
        <f t="shared" si="20"/>
        <v>-71313312696</v>
      </c>
      <c r="AG20" s="51">
        <f t="shared" si="20"/>
        <v>-67100516709</v>
      </c>
      <c r="AH20" s="51">
        <f t="shared" si="20"/>
        <v>-1748289876</v>
      </c>
      <c r="AI20" s="51">
        <f t="shared" si="20"/>
        <v>-26200000</v>
      </c>
      <c r="AJ20" s="51">
        <f t="shared" si="20"/>
        <v>-3204578394</v>
      </c>
      <c r="AK20" s="51">
        <f t="shared" si="20"/>
        <v>447833749896</v>
      </c>
    </row>
    <row r="21" spans="1:37">
      <c r="A21" s="41" t="s">
        <v>28</v>
      </c>
      <c r="B21" s="41" t="str">
        <f t="shared" si="1"/>
        <v>005010200</v>
      </c>
      <c r="D21" s="42">
        <f>VLOOKUP($A21,'Neraca Unaudited SIMAK'!$A$2:$R$1272,3,FALSE)+IF(ISNA(VLOOKUP($A21,'Mutasi Neraca'!$A$3:$S$910,3,FALSE)),0,VLOOKUP($A21,'Mutasi Neraca'!$A$3:$S$910,3,FALSE))</f>
        <v>6744850</v>
      </c>
      <c r="E21" s="42">
        <f>VLOOKUP($A21,'Neraca Unaudited SIMAK'!$A$2:$R$1272,4,FALSE)+IF(ISNA(VLOOKUP($A21,'Mutasi Neraca'!$A$3:$S$910,4,FALSE)),0,VLOOKUP($A21,'Mutasi Neraca'!$A$3:$S$910,4,FALSE))</f>
        <v>85610600000</v>
      </c>
      <c r="F21" s="42">
        <f>VLOOKUP($A21,'Neraca Unaudited SIMAK'!$A$2:$R$1272,5,FALSE)+IF(ISNA(VLOOKUP($A21,'Mutasi Neraca'!$A$3:$S$910,5,FALSE)),0,VLOOKUP($A21,'Mutasi Neraca'!$A$3:$S$910,5,FALSE))</f>
        <v>5879555834</v>
      </c>
      <c r="G21" s="42">
        <f>VLOOKUP($A21,'Neraca Unaudited SIMAK'!$A$2:$R$1272,6,FALSE)+IF(ISNA(VLOOKUP($A21,'Mutasi Neraca'!$A$3:$S$910,6,FALSE)),0,VLOOKUP($A21,'Mutasi Neraca'!$A$3:$S$910,6,FALSE))</f>
        <v>5741922000</v>
      </c>
      <c r="H21" s="42">
        <f>VLOOKUP($A21,'Neraca Unaudited SIMAK'!$A$2:$R$1272,7,FALSE)+IF(ISNA(VLOOKUP($A21,'Mutasi Neraca'!$A$3:$S$910,7,FALSE)),0,VLOOKUP($A21,'Mutasi Neraca'!$A$3:$S$910,7,FALSE))</f>
        <v>67108000</v>
      </c>
      <c r="I21" s="42">
        <f>VLOOKUP($A21,'Neraca Unaudited SIMAK'!$A$2:$R$1272,8,FALSE)+IF(ISNA(VLOOKUP($A21,'Mutasi Neraca'!$A$3:$S$910,8,FALSE)),0,VLOOKUP($A21,'Mutasi Neraca'!$A$3:$S$910,8,FALSE))</f>
        <v>11591962</v>
      </c>
      <c r="J21" s="42">
        <f>VLOOKUP($A21,'Neraca Unaudited SIMAK'!$A$2:$R$1272,9,FALSE)+IF(ISNA(VLOOKUP($A21,'Mutasi Neraca'!$A$3:$S$910,9,FALSE)),0,VLOOKUP($A21,'Mutasi Neraca'!$A$3:$S$910,9,FALSE))</f>
        <v>0</v>
      </c>
      <c r="K21" s="42">
        <f>VLOOKUP($A21,'Neraca Unaudited SIMAK'!$A$2:$R$1272,10,FALSE)+IF(ISNA(VLOOKUP($A21,'Mutasi Neraca'!$A$3:$S$910,10,FALSE)),0,VLOOKUP($A21,'Mutasi Neraca'!$A$3:$S$910,10,FALSE))</f>
        <v>26979880</v>
      </c>
      <c r="L21" s="42">
        <f>VLOOKUP($A21,'Neraca Unaudited SIMAK'!$A$2:$R$1272,11,FALSE)+IF(ISNA(VLOOKUP($A21,'Mutasi Neraca'!$A$3:$S$910,11,FALSE)),0,VLOOKUP($A21,'Mutasi Neraca'!$A$3:$S$910,11,FALSE))</f>
        <v>495024844</v>
      </c>
      <c r="M21" s="42">
        <f>VLOOKUP($A21,'Neraca Unaudited SIMAK'!$A$2:$R$1272,12,FALSE)+IF(ISNA(VLOOKUP($A21,'Mutasi Neraca'!$A$3:$S$910,12,FALSE)),0,VLOOKUP($A21,'Mutasi Neraca'!$A$3:$S$910,12,FALSE))</f>
        <v>97839527370</v>
      </c>
      <c r="N21" s="42">
        <f>VLOOKUP($A21,'Neraca Unaudited SIMAK'!$A$2:$R$1272,13,FALSE)+IF(ISNA(VLOOKUP($A21,'Mutasi Neraca'!$A$3:$S$910,13,FALSE)),0,VLOOKUP($A21,'Mutasi Neraca'!$A$3:$S$910,13,FALSE))</f>
        <v>-4700468357</v>
      </c>
      <c r="O21" s="42">
        <f>VLOOKUP($A21,'Neraca Unaudited SIMAK'!$A$2:$R$1272,14,FALSE)+IF(ISNA(VLOOKUP($A21,'Mutasi Neraca'!$A$3:$S$910,14,FALSE)),0,VLOOKUP($A21,'Mutasi Neraca'!$A$3:$S$910,14,FALSE))</f>
        <v>-2696328436</v>
      </c>
      <c r="P21" s="42">
        <f>VLOOKUP($A21,'Neraca Unaudited SIMAK'!$A$2:$R$1272,15,FALSE)+IF(ISNA(VLOOKUP($A21,'Mutasi Neraca'!$A$3:$S$910,15,FALSE)),0,VLOOKUP($A21,'Mutasi Neraca'!$A$3:$S$910,15,FALSE))</f>
        <v>-8168400</v>
      </c>
      <c r="Q21" s="42">
        <f>VLOOKUP($A21,'Neraca Unaudited SIMAK'!$A$2:$R$1272,16,FALSE)+IF(ISNA(VLOOKUP($A21,'Mutasi Neraca'!$A$3:$S$910,16,FALSE)),0,VLOOKUP($A21,'Mutasi Neraca'!$A$3:$S$910,16,FALSE))</f>
        <v>0</v>
      </c>
      <c r="R21" s="42">
        <f>VLOOKUP($A21,'Neraca Unaudited SIMAK'!$A$2:$R$1272,17,FALSE)+IF(ISNA(VLOOKUP($A21,'Mutasi Neraca'!$A$3:$S$910,17,FALSE)),0,VLOOKUP($A21,'Mutasi Neraca'!$A$3:$S$910,17,FALSE))</f>
        <v>-493624844</v>
      </c>
      <c r="S21" s="42">
        <f t="shared" si="2"/>
        <v>89940937333</v>
      </c>
      <c r="U21" s="52" t="s">
        <v>2171</v>
      </c>
      <c r="V21" s="51">
        <f t="shared" ref="V21:AK21" si="21">SUMIFS(D$2:D$1270,$B$2:$B$1270,"005012000")</f>
        <v>56254609</v>
      </c>
      <c r="W21" s="51">
        <f t="shared" si="21"/>
        <v>33981246038</v>
      </c>
      <c r="X21" s="51">
        <f t="shared" si="21"/>
        <v>32308175608</v>
      </c>
      <c r="Y21" s="51">
        <f t="shared" si="21"/>
        <v>135876118252</v>
      </c>
      <c r="Z21" s="51">
        <f t="shared" si="21"/>
        <v>3665807970</v>
      </c>
      <c r="AA21" s="51">
        <f t="shared" si="21"/>
        <v>328168915</v>
      </c>
      <c r="AB21" s="51">
        <f t="shared" si="21"/>
        <v>184334000</v>
      </c>
      <c r="AC21" s="51">
        <f t="shared" si="21"/>
        <v>107290000</v>
      </c>
      <c r="AD21" s="51">
        <f t="shared" si="21"/>
        <v>2085692766</v>
      </c>
      <c r="AE21" s="51">
        <f t="shared" si="21"/>
        <v>208593088158</v>
      </c>
      <c r="AF21" s="51">
        <f t="shared" si="21"/>
        <v>-23490571147</v>
      </c>
      <c r="AG21" s="51">
        <f t="shared" si="21"/>
        <v>-12513381304</v>
      </c>
      <c r="AH21" s="51">
        <f t="shared" si="21"/>
        <v>-1065068757</v>
      </c>
      <c r="AI21" s="51">
        <f t="shared" si="21"/>
        <v>0</v>
      </c>
      <c r="AJ21" s="51">
        <f t="shared" si="21"/>
        <v>-1440654367</v>
      </c>
      <c r="AK21" s="51">
        <f t="shared" si="21"/>
        <v>170083412583</v>
      </c>
    </row>
    <row r="22" spans="1:37">
      <c r="A22" s="41" t="s">
        <v>29</v>
      </c>
      <c r="B22" s="41" t="str">
        <f t="shared" si="1"/>
        <v>005010200</v>
      </c>
      <c r="D22" s="42">
        <f>VLOOKUP($A22,'Neraca Unaudited SIMAK'!$A$2:$R$1272,3,FALSE)+IF(ISNA(VLOOKUP($A22,'Mutasi Neraca'!$A$3:$S$910,3,FALSE)),0,VLOOKUP($A22,'Mutasi Neraca'!$A$3:$S$910,3,FALSE))</f>
        <v>524100</v>
      </c>
      <c r="E22" s="42">
        <f>VLOOKUP($A22,'Neraca Unaudited SIMAK'!$A$2:$R$1272,4,FALSE)+IF(ISNA(VLOOKUP($A22,'Mutasi Neraca'!$A$3:$S$910,4,FALSE)),0,VLOOKUP($A22,'Mutasi Neraca'!$A$3:$S$910,4,FALSE))</f>
        <v>4866747500</v>
      </c>
      <c r="F22" s="42">
        <f>VLOOKUP($A22,'Neraca Unaudited SIMAK'!$A$2:$R$1272,5,FALSE)+IF(ISNA(VLOOKUP($A22,'Mutasi Neraca'!$A$3:$S$910,5,FALSE)),0,VLOOKUP($A22,'Mutasi Neraca'!$A$3:$S$910,5,FALSE))</f>
        <v>1577986083</v>
      </c>
      <c r="G22" s="42">
        <f>VLOOKUP($A22,'Neraca Unaudited SIMAK'!$A$2:$R$1272,6,FALSE)+IF(ISNA(VLOOKUP($A22,'Mutasi Neraca'!$A$3:$S$910,6,FALSE)),0,VLOOKUP($A22,'Mutasi Neraca'!$A$3:$S$910,6,FALSE))</f>
        <v>2794279813</v>
      </c>
      <c r="H22" s="42">
        <f>VLOOKUP($A22,'Neraca Unaudited SIMAK'!$A$2:$R$1272,7,FALSE)+IF(ISNA(VLOOKUP($A22,'Mutasi Neraca'!$A$3:$S$910,7,FALSE)),0,VLOOKUP($A22,'Mutasi Neraca'!$A$3:$S$910,7,FALSE))</f>
        <v>359574550</v>
      </c>
      <c r="I22" s="42">
        <f>VLOOKUP($A22,'Neraca Unaudited SIMAK'!$A$2:$R$1272,8,FALSE)+IF(ISNA(VLOOKUP($A22,'Mutasi Neraca'!$A$3:$S$910,8,FALSE)),0,VLOOKUP($A22,'Mutasi Neraca'!$A$3:$S$910,8,FALSE))</f>
        <v>53594476</v>
      </c>
      <c r="J22" s="42">
        <f>VLOOKUP($A22,'Neraca Unaudited SIMAK'!$A$2:$R$1272,9,FALSE)+IF(ISNA(VLOOKUP($A22,'Mutasi Neraca'!$A$3:$S$910,9,FALSE)),0,VLOOKUP($A22,'Mutasi Neraca'!$A$3:$S$910,9,FALSE))</f>
        <v>0</v>
      </c>
      <c r="K22" s="42">
        <f>VLOOKUP($A22,'Neraca Unaudited SIMAK'!$A$2:$R$1272,10,FALSE)+IF(ISNA(VLOOKUP($A22,'Mutasi Neraca'!$A$3:$S$910,10,FALSE)),0,VLOOKUP($A22,'Mutasi Neraca'!$A$3:$S$910,10,FALSE))</f>
        <v>0</v>
      </c>
      <c r="L22" s="42">
        <f>VLOOKUP($A22,'Neraca Unaudited SIMAK'!$A$2:$R$1272,11,FALSE)+IF(ISNA(VLOOKUP($A22,'Mutasi Neraca'!$A$3:$S$910,11,FALSE)),0,VLOOKUP($A22,'Mutasi Neraca'!$A$3:$S$910,11,FALSE))</f>
        <v>138299289</v>
      </c>
      <c r="M22" s="42">
        <f>VLOOKUP($A22,'Neraca Unaudited SIMAK'!$A$2:$R$1272,12,FALSE)+IF(ISNA(VLOOKUP($A22,'Mutasi Neraca'!$A$3:$S$910,12,FALSE)),0,VLOOKUP($A22,'Mutasi Neraca'!$A$3:$S$910,12,FALSE))</f>
        <v>9791005811</v>
      </c>
      <c r="N22" s="42">
        <f>VLOOKUP($A22,'Neraca Unaudited SIMAK'!$A$2:$R$1272,13,FALSE)+IF(ISNA(VLOOKUP($A22,'Mutasi Neraca'!$A$3:$S$910,13,FALSE)),0,VLOOKUP($A22,'Mutasi Neraca'!$A$3:$S$910,13,FALSE))</f>
        <v>-1417138935</v>
      </c>
      <c r="O22" s="42">
        <f>VLOOKUP($A22,'Neraca Unaudited SIMAK'!$A$2:$R$1272,14,FALSE)+IF(ISNA(VLOOKUP($A22,'Mutasi Neraca'!$A$3:$S$910,14,FALSE)),0,VLOOKUP($A22,'Mutasi Neraca'!$A$3:$S$910,14,FALSE))</f>
        <v>-1060354335</v>
      </c>
      <c r="P22" s="42">
        <f>VLOOKUP($A22,'Neraca Unaudited SIMAK'!$A$2:$R$1272,15,FALSE)+IF(ISNA(VLOOKUP($A22,'Mutasi Neraca'!$A$3:$S$910,15,FALSE)),0,VLOOKUP($A22,'Mutasi Neraca'!$A$3:$S$910,15,FALSE))</f>
        <v>-102258403</v>
      </c>
      <c r="Q22" s="42">
        <f>VLOOKUP($A22,'Neraca Unaudited SIMAK'!$A$2:$R$1272,16,FALSE)+IF(ISNA(VLOOKUP($A22,'Mutasi Neraca'!$A$3:$S$910,16,FALSE)),0,VLOOKUP($A22,'Mutasi Neraca'!$A$3:$S$910,16,FALSE))</f>
        <v>0</v>
      </c>
      <c r="R22" s="42">
        <f>VLOOKUP($A22,'Neraca Unaudited SIMAK'!$A$2:$R$1272,17,FALSE)+IF(ISNA(VLOOKUP($A22,'Mutasi Neraca'!$A$3:$S$910,17,FALSE)),0,VLOOKUP($A22,'Mutasi Neraca'!$A$3:$S$910,17,FALSE))</f>
        <v>-137929289</v>
      </c>
      <c r="S22" s="42">
        <f t="shared" si="2"/>
        <v>7073324849</v>
      </c>
      <c r="U22" s="52" t="s">
        <v>2172</v>
      </c>
      <c r="V22" s="51">
        <f t="shared" ref="V22:AK22" si="22">SUMIFS(D$2:D$1270,$B$2:$B$1270,"005012100")</f>
        <v>4324500</v>
      </c>
      <c r="W22" s="51">
        <f t="shared" si="22"/>
        <v>31403020000</v>
      </c>
      <c r="X22" s="51">
        <f t="shared" si="22"/>
        <v>24258223645</v>
      </c>
      <c r="Y22" s="51">
        <f t="shared" si="22"/>
        <v>97501063498</v>
      </c>
      <c r="Z22" s="51">
        <f t="shared" si="22"/>
        <v>2091734466</v>
      </c>
      <c r="AA22" s="51">
        <f t="shared" si="22"/>
        <v>381296178</v>
      </c>
      <c r="AB22" s="51">
        <f t="shared" si="22"/>
        <v>10043570175</v>
      </c>
      <c r="AC22" s="51">
        <f t="shared" si="22"/>
        <v>68500000</v>
      </c>
      <c r="AD22" s="51">
        <f t="shared" si="22"/>
        <v>1005652046</v>
      </c>
      <c r="AE22" s="51">
        <f t="shared" si="22"/>
        <v>166757384508</v>
      </c>
      <c r="AF22" s="51">
        <f t="shared" si="22"/>
        <v>-18556791432</v>
      </c>
      <c r="AG22" s="51">
        <f t="shared" si="22"/>
        <v>-13268530504</v>
      </c>
      <c r="AH22" s="51">
        <f t="shared" si="22"/>
        <v>-1039277504</v>
      </c>
      <c r="AI22" s="51">
        <f t="shared" si="22"/>
        <v>0</v>
      </c>
      <c r="AJ22" s="51">
        <f t="shared" si="22"/>
        <v>-685957690</v>
      </c>
      <c r="AK22" s="51">
        <f t="shared" si="22"/>
        <v>133206827378</v>
      </c>
    </row>
    <row r="23" spans="1:37">
      <c r="A23" s="41" t="s">
        <v>30</v>
      </c>
      <c r="B23" s="41" t="str">
        <f t="shared" si="1"/>
        <v>005010200</v>
      </c>
      <c r="D23" s="42">
        <f>VLOOKUP($A23,'Neraca Unaudited SIMAK'!$A$2:$R$1272,3,FALSE)+IF(ISNA(VLOOKUP($A23,'Mutasi Neraca'!$A$3:$S$910,3,FALSE)),0,VLOOKUP($A23,'Mutasi Neraca'!$A$3:$S$910,3,FALSE))</f>
        <v>547500</v>
      </c>
      <c r="E23" s="42">
        <f>VLOOKUP($A23,'Neraca Unaudited SIMAK'!$A$2:$R$1272,4,FALSE)+IF(ISNA(VLOOKUP($A23,'Mutasi Neraca'!$A$3:$S$910,4,FALSE)),0,VLOOKUP($A23,'Mutasi Neraca'!$A$3:$S$910,4,FALSE))</f>
        <v>6602702000</v>
      </c>
      <c r="F23" s="42">
        <f>VLOOKUP($A23,'Neraca Unaudited SIMAK'!$A$2:$R$1272,5,FALSE)+IF(ISNA(VLOOKUP($A23,'Mutasi Neraca'!$A$3:$S$910,5,FALSE)),0,VLOOKUP($A23,'Mutasi Neraca'!$A$3:$S$910,5,FALSE))</f>
        <v>2022055721</v>
      </c>
      <c r="G23" s="42">
        <f>VLOOKUP($A23,'Neraca Unaudited SIMAK'!$A$2:$R$1272,6,FALSE)+IF(ISNA(VLOOKUP($A23,'Mutasi Neraca'!$A$3:$S$910,6,FALSE)),0,VLOOKUP($A23,'Mutasi Neraca'!$A$3:$S$910,6,FALSE))</f>
        <v>3249261480</v>
      </c>
      <c r="H23" s="42">
        <f>VLOOKUP($A23,'Neraca Unaudited SIMAK'!$A$2:$R$1272,7,FALSE)+IF(ISNA(VLOOKUP($A23,'Mutasi Neraca'!$A$3:$S$910,7,FALSE)),0,VLOOKUP($A23,'Mutasi Neraca'!$A$3:$S$910,7,FALSE))</f>
        <v>32865000</v>
      </c>
      <c r="I23" s="42">
        <f>VLOOKUP($A23,'Neraca Unaudited SIMAK'!$A$2:$R$1272,8,FALSE)+IF(ISNA(VLOOKUP($A23,'Mutasi Neraca'!$A$3:$S$910,8,FALSE)),0,VLOOKUP($A23,'Mutasi Neraca'!$A$3:$S$910,8,FALSE))</f>
        <v>6355062</v>
      </c>
      <c r="J23" s="42">
        <f>VLOOKUP($A23,'Neraca Unaudited SIMAK'!$A$2:$R$1272,9,FALSE)+IF(ISNA(VLOOKUP($A23,'Mutasi Neraca'!$A$3:$S$910,9,FALSE)),0,VLOOKUP($A23,'Mutasi Neraca'!$A$3:$S$910,9,FALSE))</f>
        <v>0</v>
      </c>
      <c r="K23" s="42">
        <f>VLOOKUP($A23,'Neraca Unaudited SIMAK'!$A$2:$R$1272,10,FALSE)+IF(ISNA(VLOOKUP($A23,'Mutasi Neraca'!$A$3:$S$910,10,FALSE)),0,VLOOKUP($A23,'Mutasi Neraca'!$A$3:$S$910,10,FALSE))</f>
        <v>0</v>
      </c>
      <c r="L23" s="42">
        <f>VLOOKUP($A23,'Neraca Unaudited SIMAK'!$A$2:$R$1272,11,FALSE)+IF(ISNA(VLOOKUP($A23,'Mutasi Neraca'!$A$3:$S$910,11,FALSE)),0,VLOOKUP($A23,'Mutasi Neraca'!$A$3:$S$910,11,FALSE))</f>
        <v>2528660</v>
      </c>
      <c r="M23" s="42">
        <f>VLOOKUP($A23,'Neraca Unaudited SIMAK'!$A$2:$R$1272,12,FALSE)+IF(ISNA(VLOOKUP($A23,'Mutasi Neraca'!$A$3:$S$910,12,FALSE)),0,VLOOKUP($A23,'Mutasi Neraca'!$A$3:$S$910,12,FALSE))</f>
        <v>11916315423</v>
      </c>
      <c r="N23" s="42">
        <f>VLOOKUP($A23,'Neraca Unaudited SIMAK'!$A$2:$R$1272,13,FALSE)+IF(ISNA(VLOOKUP($A23,'Mutasi Neraca'!$A$3:$S$910,13,FALSE)),0,VLOOKUP($A23,'Mutasi Neraca'!$A$3:$S$910,13,FALSE))</f>
        <v>-1741897709</v>
      </c>
      <c r="O23" s="42">
        <f>VLOOKUP($A23,'Neraca Unaudited SIMAK'!$A$2:$R$1272,14,FALSE)+IF(ISNA(VLOOKUP($A23,'Mutasi Neraca'!$A$3:$S$910,14,FALSE)),0,VLOOKUP($A23,'Mutasi Neraca'!$A$3:$S$910,14,FALSE))</f>
        <v>-2196240628</v>
      </c>
      <c r="P23" s="42">
        <f>VLOOKUP($A23,'Neraca Unaudited SIMAK'!$A$2:$R$1272,15,FALSE)+IF(ISNA(VLOOKUP($A23,'Mutasi Neraca'!$A$3:$S$910,15,FALSE)),0,VLOOKUP($A23,'Mutasi Neraca'!$A$3:$S$910,15,FALSE))</f>
        <v>-5751375</v>
      </c>
      <c r="Q23" s="42">
        <f>VLOOKUP($A23,'Neraca Unaudited SIMAK'!$A$2:$R$1272,16,FALSE)+IF(ISNA(VLOOKUP($A23,'Mutasi Neraca'!$A$3:$S$910,16,FALSE)),0,VLOOKUP($A23,'Mutasi Neraca'!$A$3:$S$910,16,FALSE))</f>
        <v>0</v>
      </c>
      <c r="R23" s="42">
        <f>VLOOKUP($A23,'Neraca Unaudited SIMAK'!$A$2:$R$1272,17,FALSE)+IF(ISNA(VLOOKUP($A23,'Mutasi Neraca'!$A$3:$S$910,17,FALSE)),0,VLOOKUP($A23,'Mutasi Neraca'!$A$3:$S$910,17,FALSE))</f>
        <v>-2528660</v>
      </c>
      <c r="S23" s="42">
        <f t="shared" si="2"/>
        <v>7969897051</v>
      </c>
      <c r="U23" s="52" t="s">
        <v>2173</v>
      </c>
      <c r="V23" s="51">
        <f t="shared" ref="V23:AK23" si="23">SUMIFS(D$2:D$1270,$B$2:$B$1270,"005012200")</f>
        <v>89253560</v>
      </c>
      <c r="W23" s="51">
        <f t="shared" si="23"/>
        <v>130142970000</v>
      </c>
      <c r="X23" s="51">
        <f t="shared" si="23"/>
        <v>40549070818</v>
      </c>
      <c r="Y23" s="51">
        <f t="shared" si="23"/>
        <v>115556134860</v>
      </c>
      <c r="Z23" s="51">
        <f t="shared" si="23"/>
        <v>1270210245</v>
      </c>
      <c r="AA23" s="51">
        <f t="shared" si="23"/>
        <v>2013773503</v>
      </c>
      <c r="AB23" s="51">
        <f t="shared" si="23"/>
        <v>8333812500</v>
      </c>
      <c r="AC23" s="51">
        <f t="shared" si="23"/>
        <v>258655000</v>
      </c>
      <c r="AD23" s="51">
        <f t="shared" si="23"/>
        <v>1578323263</v>
      </c>
      <c r="AE23" s="51">
        <f t="shared" si="23"/>
        <v>299792203749</v>
      </c>
      <c r="AF23" s="51">
        <f t="shared" si="23"/>
        <v>-33337787333</v>
      </c>
      <c r="AG23" s="51">
        <f t="shared" si="23"/>
        <v>-16383446689</v>
      </c>
      <c r="AH23" s="51">
        <f t="shared" si="23"/>
        <v>-173739456</v>
      </c>
      <c r="AI23" s="51">
        <f t="shared" si="23"/>
        <v>-5700000</v>
      </c>
      <c r="AJ23" s="51">
        <f t="shared" si="23"/>
        <v>-1259316566</v>
      </c>
      <c r="AK23" s="51">
        <f t="shared" si="23"/>
        <v>248632213705</v>
      </c>
    </row>
    <row r="24" spans="1:37">
      <c r="A24" s="41" t="s">
        <v>31</v>
      </c>
      <c r="B24" s="41" t="str">
        <f t="shared" si="1"/>
        <v>005010200</v>
      </c>
      <c r="D24" s="42">
        <f>VLOOKUP($A24,'Neraca Unaudited SIMAK'!$A$2:$R$1272,3,FALSE)+IF(ISNA(VLOOKUP($A24,'Mutasi Neraca'!$A$3:$S$910,3,FALSE)),0,VLOOKUP($A24,'Mutasi Neraca'!$A$3:$S$910,3,FALSE))</f>
        <v>781450</v>
      </c>
      <c r="E24" s="42">
        <f>VLOOKUP($A24,'Neraca Unaudited SIMAK'!$A$2:$R$1272,4,FALSE)+IF(ISNA(VLOOKUP($A24,'Mutasi Neraca'!$A$3:$S$910,4,FALSE)),0,VLOOKUP($A24,'Mutasi Neraca'!$A$3:$S$910,4,FALSE))</f>
        <v>3939203750</v>
      </c>
      <c r="F24" s="42">
        <f>VLOOKUP($A24,'Neraca Unaudited SIMAK'!$A$2:$R$1272,5,FALSE)+IF(ISNA(VLOOKUP($A24,'Mutasi Neraca'!$A$3:$S$910,5,FALSE)),0,VLOOKUP($A24,'Mutasi Neraca'!$A$3:$S$910,5,FALSE))</f>
        <v>1692806378</v>
      </c>
      <c r="G24" s="42">
        <f>VLOOKUP($A24,'Neraca Unaudited SIMAK'!$A$2:$R$1272,6,FALSE)+IF(ISNA(VLOOKUP($A24,'Mutasi Neraca'!$A$3:$S$910,6,FALSE)),0,VLOOKUP($A24,'Mutasi Neraca'!$A$3:$S$910,6,FALSE))</f>
        <v>3754430750</v>
      </c>
      <c r="H24" s="42">
        <f>VLOOKUP($A24,'Neraca Unaudited SIMAK'!$A$2:$R$1272,7,FALSE)+IF(ISNA(VLOOKUP($A24,'Mutasi Neraca'!$A$3:$S$910,7,FALSE)),0,VLOOKUP($A24,'Mutasi Neraca'!$A$3:$S$910,7,FALSE))</f>
        <v>0</v>
      </c>
      <c r="I24" s="42">
        <f>VLOOKUP($A24,'Neraca Unaudited SIMAK'!$A$2:$R$1272,8,FALSE)+IF(ISNA(VLOOKUP($A24,'Mutasi Neraca'!$A$3:$S$910,8,FALSE)),0,VLOOKUP($A24,'Mutasi Neraca'!$A$3:$S$910,8,FALSE))</f>
        <v>11651423</v>
      </c>
      <c r="J24" s="42">
        <f>VLOOKUP($A24,'Neraca Unaudited SIMAK'!$A$2:$R$1272,9,FALSE)+IF(ISNA(VLOOKUP($A24,'Mutasi Neraca'!$A$3:$S$910,9,FALSE)),0,VLOOKUP($A24,'Mutasi Neraca'!$A$3:$S$910,9,FALSE))</f>
        <v>0</v>
      </c>
      <c r="K24" s="42">
        <f>VLOOKUP($A24,'Neraca Unaudited SIMAK'!$A$2:$R$1272,10,FALSE)+IF(ISNA(VLOOKUP($A24,'Mutasi Neraca'!$A$3:$S$910,10,FALSE)),0,VLOOKUP($A24,'Mutasi Neraca'!$A$3:$S$910,10,FALSE))</f>
        <v>12750000</v>
      </c>
      <c r="L24" s="42">
        <f>VLOOKUP($A24,'Neraca Unaudited SIMAK'!$A$2:$R$1272,11,FALSE)+IF(ISNA(VLOOKUP($A24,'Mutasi Neraca'!$A$3:$S$910,11,FALSE)),0,VLOOKUP($A24,'Mutasi Neraca'!$A$3:$S$910,11,FALSE))</f>
        <v>137334402</v>
      </c>
      <c r="M24" s="42">
        <f>VLOOKUP($A24,'Neraca Unaudited SIMAK'!$A$2:$R$1272,12,FALSE)+IF(ISNA(VLOOKUP($A24,'Mutasi Neraca'!$A$3:$S$910,12,FALSE)),0,VLOOKUP($A24,'Mutasi Neraca'!$A$3:$S$910,12,FALSE))</f>
        <v>9548958153</v>
      </c>
      <c r="N24" s="42">
        <f>VLOOKUP($A24,'Neraca Unaudited SIMAK'!$A$2:$R$1272,13,FALSE)+IF(ISNA(VLOOKUP($A24,'Mutasi Neraca'!$A$3:$S$910,13,FALSE)),0,VLOOKUP($A24,'Mutasi Neraca'!$A$3:$S$910,13,FALSE))</f>
        <v>-1522221530</v>
      </c>
      <c r="O24" s="42">
        <f>VLOOKUP($A24,'Neraca Unaudited SIMAK'!$A$2:$R$1272,14,FALSE)+IF(ISNA(VLOOKUP($A24,'Mutasi Neraca'!$A$3:$S$910,14,FALSE)),0,VLOOKUP($A24,'Mutasi Neraca'!$A$3:$S$910,14,FALSE))</f>
        <v>-815389640</v>
      </c>
      <c r="P24" s="42">
        <f>VLOOKUP($A24,'Neraca Unaudited SIMAK'!$A$2:$R$1272,15,FALSE)+IF(ISNA(VLOOKUP($A24,'Mutasi Neraca'!$A$3:$S$910,15,FALSE)),0,VLOOKUP($A24,'Mutasi Neraca'!$A$3:$S$910,15,FALSE))</f>
        <v>0</v>
      </c>
      <c r="Q24" s="42">
        <f>VLOOKUP($A24,'Neraca Unaudited SIMAK'!$A$2:$R$1272,16,FALSE)+IF(ISNA(VLOOKUP($A24,'Mutasi Neraca'!$A$3:$S$910,16,FALSE)),0,VLOOKUP($A24,'Mutasi Neraca'!$A$3:$S$910,16,FALSE))</f>
        <v>0</v>
      </c>
      <c r="R24" s="42">
        <f>VLOOKUP($A24,'Neraca Unaudited SIMAK'!$A$2:$R$1272,17,FALSE)+IF(ISNA(VLOOKUP($A24,'Mutasi Neraca'!$A$3:$S$910,17,FALSE)),0,VLOOKUP($A24,'Mutasi Neraca'!$A$3:$S$910,17,FALSE))</f>
        <v>-138054402</v>
      </c>
      <c r="S24" s="42">
        <f t="shared" si="2"/>
        <v>7073292581</v>
      </c>
      <c r="U24" s="52" t="s">
        <v>2174</v>
      </c>
      <c r="V24" s="51">
        <f t="shared" ref="V24:AK24" si="24">SUMIFS(D$2:D$1270,$B$2:$B$1270,"005012300")</f>
        <v>129373445</v>
      </c>
      <c r="W24" s="51">
        <f t="shared" si="24"/>
        <v>61947435102</v>
      </c>
      <c r="X24" s="51">
        <f t="shared" si="24"/>
        <v>40167151814</v>
      </c>
      <c r="Y24" s="51">
        <f t="shared" si="24"/>
        <v>116542854501</v>
      </c>
      <c r="Z24" s="51">
        <f t="shared" si="24"/>
        <v>620611000</v>
      </c>
      <c r="AA24" s="51">
        <f t="shared" si="24"/>
        <v>410981873</v>
      </c>
      <c r="AB24" s="51">
        <f t="shared" si="24"/>
        <v>11057651700</v>
      </c>
      <c r="AC24" s="51">
        <f t="shared" si="24"/>
        <v>607725530</v>
      </c>
      <c r="AD24" s="51">
        <f t="shared" si="24"/>
        <v>1220025382</v>
      </c>
      <c r="AE24" s="51">
        <f t="shared" si="24"/>
        <v>232703810347</v>
      </c>
      <c r="AF24" s="51">
        <f t="shared" si="24"/>
        <v>-30647201803</v>
      </c>
      <c r="AG24" s="51">
        <f t="shared" si="24"/>
        <v>-17274017413</v>
      </c>
      <c r="AH24" s="51">
        <f t="shared" si="24"/>
        <v>-53326420</v>
      </c>
      <c r="AI24" s="51">
        <f t="shared" si="24"/>
        <v>0</v>
      </c>
      <c r="AJ24" s="51">
        <f t="shared" si="24"/>
        <v>-1170777382</v>
      </c>
      <c r="AK24" s="51">
        <f t="shared" si="24"/>
        <v>183558487329</v>
      </c>
    </row>
    <row r="25" spans="1:37">
      <c r="A25" s="41" t="s">
        <v>32</v>
      </c>
      <c r="B25" s="41" t="str">
        <f t="shared" si="1"/>
        <v>005010200</v>
      </c>
      <c r="D25" s="42">
        <f>VLOOKUP($A25,'Neraca Unaudited SIMAK'!$A$2:$R$1272,3,FALSE)+IF(ISNA(VLOOKUP($A25,'Mutasi Neraca'!$A$3:$S$910,3,FALSE)),0,VLOOKUP($A25,'Mutasi Neraca'!$A$3:$S$910,3,FALSE))</f>
        <v>5463300</v>
      </c>
      <c r="E25" s="42">
        <f>VLOOKUP($A25,'Neraca Unaudited SIMAK'!$A$2:$R$1272,4,FALSE)+IF(ISNA(VLOOKUP($A25,'Mutasi Neraca'!$A$3:$S$910,4,FALSE)),0,VLOOKUP($A25,'Mutasi Neraca'!$A$3:$S$910,4,FALSE))</f>
        <v>2926276000</v>
      </c>
      <c r="F25" s="42">
        <f>VLOOKUP($A25,'Neraca Unaudited SIMAK'!$A$2:$R$1272,5,FALSE)+IF(ISNA(VLOOKUP($A25,'Mutasi Neraca'!$A$3:$S$910,5,FALSE)),0,VLOOKUP($A25,'Mutasi Neraca'!$A$3:$S$910,5,FALSE))</f>
        <v>1487438892</v>
      </c>
      <c r="G25" s="42">
        <f>VLOOKUP($A25,'Neraca Unaudited SIMAK'!$A$2:$R$1272,6,FALSE)+IF(ISNA(VLOOKUP($A25,'Mutasi Neraca'!$A$3:$S$910,6,FALSE)),0,VLOOKUP($A25,'Mutasi Neraca'!$A$3:$S$910,6,FALSE))</f>
        <v>9215543612</v>
      </c>
      <c r="H25" s="42">
        <f>VLOOKUP($A25,'Neraca Unaudited SIMAK'!$A$2:$R$1272,7,FALSE)+IF(ISNA(VLOOKUP($A25,'Mutasi Neraca'!$A$3:$S$910,7,FALSE)),0,VLOOKUP($A25,'Mutasi Neraca'!$A$3:$S$910,7,FALSE))</f>
        <v>67088750</v>
      </c>
      <c r="I25" s="42">
        <f>VLOOKUP($A25,'Neraca Unaudited SIMAK'!$A$2:$R$1272,8,FALSE)+IF(ISNA(VLOOKUP($A25,'Mutasi Neraca'!$A$3:$S$910,8,FALSE)),0,VLOOKUP($A25,'Mutasi Neraca'!$A$3:$S$910,8,FALSE))</f>
        <v>9038462</v>
      </c>
      <c r="J25" s="42">
        <f>VLOOKUP($A25,'Neraca Unaudited SIMAK'!$A$2:$R$1272,9,FALSE)+IF(ISNA(VLOOKUP($A25,'Mutasi Neraca'!$A$3:$S$910,9,FALSE)),0,VLOOKUP($A25,'Mutasi Neraca'!$A$3:$S$910,9,FALSE))</f>
        <v>0</v>
      </c>
      <c r="K25" s="42">
        <f>VLOOKUP($A25,'Neraca Unaudited SIMAK'!$A$2:$R$1272,10,FALSE)+IF(ISNA(VLOOKUP($A25,'Mutasi Neraca'!$A$3:$S$910,10,FALSE)),0,VLOOKUP($A25,'Mutasi Neraca'!$A$3:$S$910,10,FALSE))</f>
        <v>17547100</v>
      </c>
      <c r="L25" s="42">
        <f>VLOOKUP($A25,'Neraca Unaudited SIMAK'!$A$2:$R$1272,11,FALSE)+IF(ISNA(VLOOKUP($A25,'Mutasi Neraca'!$A$3:$S$910,11,FALSE)),0,VLOOKUP($A25,'Mutasi Neraca'!$A$3:$S$910,11,FALSE))</f>
        <v>7051000</v>
      </c>
      <c r="M25" s="42">
        <f>VLOOKUP($A25,'Neraca Unaudited SIMAK'!$A$2:$R$1272,12,FALSE)+IF(ISNA(VLOOKUP($A25,'Mutasi Neraca'!$A$3:$S$910,12,FALSE)),0,VLOOKUP($A25,'Mutasi Neraca'!$A$3:$S$910,12,FALSE))</f>
        <v>13735447116</v>
      </c>
      <c r="N25" s="42">
        <f>VLOOKUP($A25,'Neraca Unaudited SIMAK'!$A$2:$R$1272,13,FALSE)+IF(ISNA(VLOOKUP($A25,'Mutasi Neraca'!$A$3:$S$910,13,FALSE)),0,VLOOKUP($A25,'Mutasi Neraca'!$A$3:$S$910,13,FALSE))</f>
        <v>-1437143501</v>
      </c>
      <c r="O25" s="42">
        <f>VLOOKUP($A25,'Neraca Unaudited SIMAK'!$A$2:$R$1272,14,FALSE)+IF(ISNA(VLOOKUP($A25,'Mutasi Neraca'!$A$3:$S$910,14,FALSE)),0,VLOOKUP($A25,'Mutasi Neraca'!$A$3:$S$910,14,FALSE))</f>
        <v>-3499662276</v>
      </c>
      <c r="P25" s="42">
        <f>VLOOKUP($A25,'Neraca Unaudited SIMAK'!$A$2:$R$1272,15,FALSE)+IF(ISNA(VLOOKUP($A25,'Mutasi Neraca'!$A$3:$S$910,15,FALSE)),0,VLOOKUP($A25,'Mutasi Neraca'!$A$3:$S$910,15,FALSE))</f>
        <v>-42510641</v>
      </c>
      <c r="Q25" s="42">
        <f>VLOOKUP($A25,'Neraca Unaudited SIMAK'!$A$2:$R$1272,16,FALSE)+IF(ISNA(VLOOKUP($A25,'Mutasi Neraca'!$A$3:$S$910,16,FALSE)),0,VLOOKUP($A25,'Mutasi Neraca'!$A$3:$S$910,16,FALSE))</f>
        <v>0</v>
      </c>
      <c r="R25" s="42">
        <f>VLOOKUP($A25,'Neraca Unaudited SIMAK'!$A$2:$R$1272,17,FALSE)+IF(ISNA(VLOOKUP($A25,'Mutasi Neraca'!$A$3:$S$910,17,FALSE)),0,VLOOKUP($A25,'Mutasi Neraca'!$A$3:$S$910,17,FALSE))</f>
        <v>-7051000</v>
      </c>
      <c r="S25" s="42">
        <f t="shared" si="2"/>
        <v>8749079698</v>
      </c>
      <c r="U25" s="52" t="s">
        <v>2175</v>
      </c>
      <c r="V25" s="51">
        <f t="shared" ref="V25:AK25" si="25">SUMIFS(D$2:D$1270,$B$2:$B$1270,"005012400")</f>
        <v>99531135</v>
      </c>
      <c r="W25" s="51">
        <f t="shared" si="25"/>
        <v>107607107193</v>
      </c>
      <c r="X25" s="51">
        <f t="shared" si="25"/>
        <v>59270670872</v>
      </c>
      <c r="Y25" s="51">
        <f t="shared" si="25"/>
        <v>212922224924</v>
      </c>
      <c r="Z25" s="51">
        <f t="shared" si="25"/>
        <v>2106863356</v>
      </c>
      <c r="AA25" s="51">
        <f t="shared" si="25"/>
        <v>1071537903</v>
      </c>
      <c r="AB25" s="51">
        <f t="shared" si="25"/>
        <v>8074511492</v>
      </c>
      <c r="AC25" s="51">
        <f t="shared" si="25"/>
        <v>108587000</v>
      </c>
      <c r="AD25" s="51">
        <f t="shared" si="25"/>
        <v>2118537650</v>
      </c>
      <c r="AE25" s="51">
        <f t="shared" si="25"/>
        <v>393379571525</v>
      </c>
      <c r="AF25" s="51">
        <f t="shared" si="25"/>
        <v>-48037471489</v>
      </c>
      <c r="AG25" s="51">
        <f t="shared" si="25"/>
        <v>-26310877136</v>
      </c>
      <c r="AH25" s="51">
        <f t="shared" si="25"/>
        <v>-783994307</v>
      </c>
      <c r="AI25" s="51">
        <f t="shared" si="25"/>
        <v>-59588955</v>
      </c>
      <c r="AJ25" s="51">
        <f t="shared" si="25"/>
        <v>-1827707281</v>
      </c>
      <c r="AK25" s="51">
        <f t="shared" si="25"/>
        <v>316359932357</v>
      </c>
    </row>
    <row r="26" spans="1:37">
      <c r="A26" s="41" t="s">
        <v>33</v>
      </c>
      <c r="B26" s="41" t="str">
        <f t="shared" si="1"/>
        <v>005010200</v>
      </c>
      <c r="D26" s="42">
        <f>VLOOKUP($A26,'Neraca Unaudited SIMAK'!$A$2:$R$1272,3,FALSE)+IF(ISNA(VLOOKUP($A26,'Mutasi Neraca'!$A$3:$S$910,3,FALSE)),0,VLOOKUP($A26,'Mutasi Neraca'!$A$3:$S$910,3,FALSE))</f>
        <v>9441545</v>
      </c>
      <c r="E26" s="42">
        <f>VLOOKUP($A26,'Neraca Unaudited SIMAK'!$A$2:$R$1272,4,FALSE)+IF(ISNA(VLOOKUP($A26,'Mutasi Neraca'!$A$3:$S$910,4,FALSE)),0,VLOOKUP($A26,'Mutasi Neraca'!$A$3:$S$910,4,FALSE))</f>
        <v>5011805000</v>
      </c>
      <c r="F26" s="42">
        <f>VLOOKUP($A26,'Neraca Unaudited SIMAK'!$A$2:$R$1272,5,FALSE)+IF(ISNA(VLOOKUP($A26,'Mutasi Neraca'!$A$3:$S$910,5,FALSE)),0,VLOOKUP($A26,'Mutasi Neraca'!$A$3:$S$910,5,FALSE))</f>
        <v>1670578643</v>
      </c>
      <c r="G26" s="42">
        <f>VLOOKUP($A26,'Neraca Unaudited SIMAK'!$A$2:$R$1272,6,FALSE)+IF(ISNA(VLOOKUP($A26,'Mutasi Neraca'!$A$3:$S$910,6,FALSE)),0,VLOOKUP($A26,'Mutasi Neraca'!$A$3:$S$910,6,FALSE))</f>
        <v>6216657990</v>
      </c>
      <c r="H26" s="42">
        <f>VLOOKUP($A26,'Neraca Unaudited SIMAK'!$A$2:$R$1272,7,FALSE)+IF(ISNA(VLOOKUP($A26,'Mutasi Neraca'!$A$3:$S$910,7,FALSE)),0,VLOOKUP($A26,'Mutasi Neraca'!$A$3:$S$910,7,FALSE))</f>
        <v>0</v>
      </c>
      <c r="I26" s="42">
        <f>VLOOKUP($A26,'Neraca Unaudited SIMAK'!$A$2:$R$1272,8,FALSE)+IF(ISNA(VLOOKUP($A26,'Mutasi Neraca'!$A$3:$S$910,8,FALSE)),0,VLOOKUP($A26,'Mutasi Neraca'!$A$3:$S$910,8,FALSE))</f>
        <v>4411622</v>
      </c>
      <c r="J26" s="42">
        <f>VLOOKUP($A26,'Neraca Unaudited SIMAK'!$A$2:$R$1272,9,FALSE)+IF(ISNA(VLOOKUP($A26,'Mutasi Neraca'!$A$3:$S$910,9,FALSE)),0,VLOOKUP($A26,'Mutasi Neraca'!$A$3:$S$910,9,FALSE))</f>
        <v>0</v>
      </c>
      <c r="K26" s="42">
        <f>VLOOKUP($A26,'Neraca Unaudited SIMAK'!$A$2:$R$1272,10,FALSE)+IF(ISNA(VLOOKUP($A26,'Mutasi Neraca'!$A$3:$S$910,10,FALSE)),0,VLOOKUP($A26,'Mutasi Neraca'!$A$3:$S$910,10,FALSE))</f>
        <v>0</v>
      </c>
      <c r="L26" s="42">
        <f>VLOOKUP($A26,'Neraca Unaudited SIMAK'!$A$2:$R$1272,11,FALSE)+IF(ISNA(VLOOKUP($A26,'Mutasi Neraca'!$A$3:$S$910,11,FALSE)),0,VLOOKUP($A26,'Mutasi Neraca'!$A$3:$S$910,11,FALSE))</f>
        <v>91138440</v>
      </c>
      <c r="M26" s="42">
        <f>VLOOKUP($A26,'Neraca Unaudited SIMAK'!$A$2:$R$1272,12,FALSE)+IF(ISNA(VLOOKUP($A26,'Mutasi Neraca'!$A$3:$S$910,12,FALSE)),0,VLOOKUP($A26,'Mutasi Neraca'!$A$3:$S$910,12,FALSE))</f>
        <v>13004033240</v>
      </c>
      <c r="N26" s="42">
        <f>VLOOKUP($A26,'Neraca Unaudited SIMAK'!$A$2:$R$1272,13,FALSE)+IF(ISNA(VLOOKUP($A26,'Mutasi Neraca'!$A$3:$S$910,13,FALSE)),0,VLOOKUP($A26,'Mutasi Neraca'!$A$3:$S$910,13,FALSE))</f>
        <v>-1523692554</v>
      </c>
      <c r="O26" s="42">
        <f>VLOOKUP($A26,'Neraca Unaudited SIMAK'!$A$2:$R$1272,14,FALSE)+IF(ISNA(VLOOKUP($A26,'Mutasi Neraca'!$A$3:$S$910,14,FALSE)),0,VLOOKUP($A26,'Mutasi Neraca'!$A$3:$S$910,14,FALSE))</f>
        <v>-2172593124</v>
      </c>
      <c r="P26" s="42">
        <f>VLOOKUP($A26,'Neraca Unaudited SIMAK'!$A$2:$R$1272,15,FALSE)+IF(ISNA(VLOOKUP($A26,'Mutasi Neraca'!$A$3:$S$910,15,FALSE)),0,VLOOKUP($A26,'Mutasi Neraca'!$A$3:$S$910,15,FALSE))</f>
        <v>0</v>
      </c>
      <c r="Q26" s="42">
        <f>VLOOKUP($A26,'Neraca Unaudited SIMAK'!$A$2:$R$1272,16,FALSE)+IF(ISNA(VLOOKUP($A26,'Mutasi Neraca'!$A$3:$S$910,16,FALSE)),0,VLOOKUP($A26,'Mutasi Neraca'!$A$3:$S$910,16,FALSE))</f>
        <v>0</v>
      </c>
      <c r="R26" s="42">
        <f>VLOOKUP($A26,'Neraca Unaudited SIMAK'!$A$2:$R$1272,17,FALSE)+IF(ISNA(VLOOKUP($A26,'Mutasi Neraca'!$A$3:$S$910,17,FALSE)),0,VLOOKUP($A26,'Mutasi Neraca'!$A$3:$S$910,17,FALSE))</f>
        <v>-87320000</v>
      </c>
      <c r="S26" s="42">
        <f t="shared" si="2"/>
        <v>9220427562</v>
      </c>
      <c r="U26" s="52" t="s">
        <v>2176</v>
      </c>
      <c r="V26" s="51">
        <f t="shared" ref="V26:AK26" si="26">SUMIFS(D$2:D$1270,$B$2:$B$1270,"005012500")</f>
        <v>101788668</v>
      </c>
      <c r="W26" s="51">
        <f t="shared" si="26"/>
        <v>38460695000</v>
      </c>
      <c r="X26" s="51">
        <f t="shared" si="26"/>
        <v>41781198952</v>
      </c>
      <c r="Y26" s="51">
        <f t="shared" si="26"/>
        <v>218115632921</v>
      </c>
      <c r="Z26" s="51">
        <f t="shared" si="26"/>
        <v>456855935</v>
      </c>
      <c r="AA26" s="51">
        <f t="shared" si="26"/>
        <v>131723567</v>
      </c>
      <c r="AB26" s="51">
        <f t="shared" si="26"/>
        <v>60503830424</v>
      </c>
      <c r="AC26" s="51">
        <f t="shared" si="26"/>
        <v>325811000</v>
      </c>
      <c r="AD26" s="51">
        <f t="shared" si="26"/>
        <v>2926425515</v>
      </c>
      <c r="AE26" s="51">
        <f t="shared" si="26"/>
        <v>362803961982</v>
      </c>
      <c r="AF26" s="51">
        <f t="shared" si="26"/>
        <v>-31804109556</v>
      </c>
      <c r="AG26" s="51">
        <f t="shared" si="26"/>
        <v>-40069139327</v>
      </c>
      <c r="AH26" s="51">
        <f t="shared" si="26"/>
        <v>-139417851</v>
      </c>
      <c r="AI26" s="51">
        <f t="shared" si="26"/>
        <v>0</v>
      </c>
      <c r="AJ26" s="51">
        <f t="shared" si="26"/>
        <v>-2683210809</v>
      </c>
      <c r="AK26" s="51">
        <f t="shared" si="26"/>
        <v>288108084439</v>
      </c>
    </row>
    <row r="27" spans="1:37">
      <c r="A27" s="41" t="s">
        <v>34</v>
      </c>
      <c r="B27" s="41" t="str">
        <f t="shared" si="1"/>
        <v>005010200</v>
      </c>
      <c r="D27" s="42">
        <f>VLOOKUP($A27,'Neraca Unaudited SIMAK'!$A$2:$R$1272,3,FALSE)+IF(ISNA(VLOOKUP($A27,'Mutasi Neraca'!$A$3:$S$910,3,FALSE)),0,VLOOKUP($A27,'Mutasi Neraca'!$A$3:$S$910,3,FALSE))</f>
        <v>5196200</v>
      </c>
      <c r="E27" s="42">
        <f>VLOOKUP($A27,'Neraca Unaudited SIMAK'!$A$2:$R$1272,4,FALSE)+IF(ISNA(VLOOKUP($A27,'Mutasi Neraca'!$A$3:$S$910,4,FALSE)),0,VLOOKUP($A27,'Mutasi Neraca'!$A$3:$S$910,4,FALSE))</f>
        <v>7619250000</v>
      </c>
      <c r="F27" s="42">
        <f>VLOOKUP($A27,'Neraca Unaudited SIMAK'!$A$2:$R$1272,5,FALSE)+IF(ISNA(VLOOKUP($A27,'Mutasi Neraca'!$A$3:$S$910,5,FALSE)),0,VLOOKUP($A27,'Mutasi Neraca'!$A$3:$S$910,5,FALSE))</f>
        <v>2703396756</v>
      </c>
      <c r="G27" s="42">
        <f>VLOOKUP($A27,'Neraca Unaudited SIMAK'!$A$2:$R$1272,6,FALSE)+IF(ISNA(VLOOKUP($A27,'Mutasi Neraca'!$A$3:$S$910,6,FALSE)),0,VLOOKUP($A27,'Mutasi Neraca'!$A$3:$S$910,6,FALSE))</f>
        <v>5938940713</v>
      </c>
      <c r="H27" s="42">
        <f>VLOOKUP($A27,'Neraca Unaudited SIMAK'!$A$2:$R$1272,7,FALSE)+IF(ISNA(VLOOKUP($A27,'Mutasi Neraca'!$A$3:$S$910,7,FALSE)),0,VLOOKUP($A27,'Mutasi Neraca'!$A$3:$S$910,7,FALSE))</f>
        <v>106002500</v>
      </c>
      <c r="I27" s="42">
        <f>VLOOKUP($A27,'Neraca Unaudited SIMAK'!$A$2:$R$1272,8,FALSE)+IF(ISNA(VLOOKUP($A27,'Mutasi Neraca'!$A$3:$S$910,8,FALSE)),0,VLOOKUP($A27,'Mutasi Neraca'!$A$3:$S$910,8,FALSE))</f>
        <v>261715208</v>
      </c>
      <c r="J27" s="42">
        <f>VLOOKUP($A27,'Neraca Unaudited SIMAK'!$A$2:$R$1272,9,FALSE)+IF(ISNA(VLOOKUP($A27,'Mutasi Neraca'!$A$3:$S$910,9,FALSE)),0,VLOOKUP($A27,'Mutasi Neraca'!$A$3:$S$910,9,FALSE))</f>
        <v>0</v>
      </c>
      <c r="K27" s="42">
        <f>VLOOKUP($A27,'Neraca Unaudited SIMAK'!$A$2:$R$1272,10,FALSE)+IF(ISNA(VLOOKUP($A27,'Mutasi Neraca'!$A$3:$S$910,10,FALSE)),0,VLOOKUP($A27,'Mutasi Neraca'!$A$3:$S$910,10,FALSE))</f>
        <v>900000</v>
      </c>
      <c r="L27" s="42">
        <f>VLOOKUP($A27,'Neraca Unaudited SIMAK'!$A$2:$R$1272,11,FALSE)+IF(ISNA(VLOOKUP($A27,'Mutasi Neraca'!$A$3:$S$910,11,FALSE)),0,VLOOKUP($A27,'Mutasi Neraca'!$A$3:$S$910,11,FALSE))</f>
        <v>227199257</v>
      </c>
      <c r="M27" s="42">
        <f>VLOOKUP($A27,'Neraca Unaudited SIMAK'!$A$2:$R$1272,12,FALSE)+IF(ISNA(VLOOKUP($A27,'Mutasi Neraca'!$A$3:$S$910,12,FALSE)),0,VLOOKUP($A27,'Mutasi Neraca'!$A$3:$S$910,12,FALSE))</f>
        <v>16862600634</v>
      </c>
      <c r="N27" s="42">
        <f>VLOOKUP($A27,'Neraca Unaudited SIMAK'!$A$2:$R$1272,13,FALSE)+IF(ISNA(VLOOKUP($A27,'Mutasi Neraca'!$A$3:$S$910,13,FALSE)),0,VLOOKUP($A27,'Mutasi Neraca'!$A$3:$S$910,13,FALSE))</f>
        <v>-2322073040</v>
      </c>
      <c r="O27" s="42">
        <f>VLOOKUP($A27,'Neraca Unaudited SIMAK'!$A$2:$R$1272,14,FALSE)+IF(ISNA(VLOOKUP($A27,'Mutasi Neraca'!$A$3:$S$910,14,FALSE)),0,VLOOKUP($A27,'Mutasi Neraca'!$A$3:$S$910,14,FALSE))</f>
        <v>-1325888223</v>
      </c>
      <c r="P27" s="42">
        <f>VLOOKUP($A27,'Neraca Unaudited SIMAK'!$A$2:$R$1272,15,FALSE)+IF(ISNA(VLOOKUP($A27,'Mutasi Neraca'!$A$3:$S$910,15,FALSE)),0,VLOOKUP($A27,'Mutasi Neraca'!$A$3:$S$910,15,FALSE))</f>
        <v>-6791363</v>
      </c>
      <c r="Q27" s="42">
        <f>VLOOKUP($A27,'Neraca Unaudited SIMAK'!$A$2:$R$1272,16,FALSE)+IF(ISNA(VLOOKUP($A27,'Mutasi Neraca'!$A$3:$S$910,16,FALSE)),0,VLOOKUP($A27,'Mutasi Neraca'!$A$3:$S$910,16,FALSE))</f>
        <v>0</v>
      </c>
      <c r="R27" s="42">
        <f>VLOOKUP($A27,'Neraca Unaudited SIMAK'!$A$2:$R$1272,17,FALSE)+IF(ISNA(VLOOKUP($A27,'Mutasi Neraca'!$A$3:$S$910,17,FALSE)),0,VLOOKUP($A27,'Mutasi Neraca'!$A$3:$S$910,17,FALSE))</f>
        <v>-78739659</v>
      </c>
      <c r="S27" s="42">
        <f t="shared" si="2"/>
        <v>13129108349</v>
      </c>
      <c r="U27" s="52" t="s">
        <v>2177</v>
      </c>
      <c r="V27" s="51">
        <f t="shared" ref="V27:AK27" si="27">SUMIFS(D$2:D$1270,$B$2:$B$1270,"005012600")</f>
        <v>60811754</v>
      </c>
      <c r="W27" s="51">
        <f t="shared" si="27"/>
        <v>29673743547</v>
      </c>
      <c r="X27" s="51">
        <f t="shared" si="27"/>
        <v>31646039794</v>
      </c>
      <c r="Y27" s="51">
        <f t="shared" si="27"/>
        <v>100802621369</v>
      </c>
      <c r="Z27" s="51">
        <f t="shared" si="27"/>
        <v>1380498600</v>
      </c>
      <c r="AA27" s="51">
        <f t="shared" si="27"/>
        <v>336611466</v>
      </c>
      <c r="AB27" s="51">
        <f t="shared" si="27"/>
        <v>0</v>
      </c>
      <c r="AC27" s="51">
        <f t="shared" si="27"/>
        <v>122560000</v>
      </c>
      <c r="AD27" s="51">
        <f t="shared" si="27"/>
        <v>1827397270</v>
      </c>
      <c r="AE27" s="51">
        <f t="shared" si="27"/>
        <v>165850283800</v>
      </c>
      <c r="AF27" s="51">
        <f t="shared" si="27"/>
        <v>-24860016386</v>
      </c>
      <c r="AG27" s="51">
        <f t="shared" si="27"/>
        <v>-22423461130</v>
      </c>
      <c r="AH27" s="51">
        <f t="shared" si="27"/>
        <v>-87391920</v>
      </c>
      <c r="AI27" s="51">
        <f t="shared" si="27"/>
        <v>-25000000</v>
      </c>
      <c r="AJ27" s="51">
        <f t="shared" si="27"/>
        <v>-1669543045</v>
      </c>
      <c r="AK27" s="51">
        <f t="shared" si="27"/>
        <v>116784871319</v>
      </c>
    </row>
    <row r="28" spans="1:37">
      <c r="A28" s="41" t="s">
        <v>35</v>
      </c>
      <c r="B28" s="41" t="str">
        <f t="shared" si="1"/>
        <v>005010200</v>
      </c>
      <c r="D28" s="42">
        <f>VLOOKUP($A28,'Neraca Unaudited SIMAK'!$A$2:$R$1272,3,FALSE)+IF(ISNA(VLOOKUP($A28,'Mutasi Neraca'!$A$3:$S$910,3,FALSE)),0,VLOOKUP($A28,'Mutasi Neraca'!$A$3:$S$910,3,FALSE))</f>
        <v>4759300</v>
      </c>
      <c r="E28" s="42">
        <f>VLOOKUP($A28,'Neraca Unaudited SIMAK'!$A$2:$R$1272,4,FALSE)+IF(ISNA(VLOOKUP($A28,'Mutasi Neraca'!$A$3:$S$910,4,FALSE)),0,VLOOKUP($A28,'Mutasi Neraca'!$A$3:$S$910,4,FALSE))</f>
        <v>18569517600</v>
      </c>
      <c r="F28" s="42">
        <f>VLOOKUP($A28,'Neraca Unaudited SIMAK'!$A$2:$R$1272,5,FALSE)+IF(ISNA(VLOOKUP($A28,'Mutasi Neraca'!$A$3:$S$910,5,FALSE)),0,VLOOKUP($A28,'Mutasi Neraca'!$A$3:$S$910,5,FALSE))</f>
        <v>1815951386</v>
      </c>
      <c r="G28" s="42">
        <f>VLOOKUP($A28,'Neraca Unaudited SIMAK'!$A$2:$R$1272,6,FALSE)+IF(ISNA(VLOOKUP($A28,'Mutasi Neraca'!$A$3:$S$910,6,FALSE)),0,VLOOKUP($A28,'Mutasi Neraca'!$A$3:$S$910,6,FALSE))</f>
        <v>3962099000</v>
      </c>
      <c r="H28" s="42">
        <f>VLOOKUP($A28,'Neraca Unaudited SIMAK'!$A$2:$R$1272,7,FALSE)+IF(ISNA(VLOOKUP($A28,'Mutasi Neraca'!$A$3:$S$910,7,FALSE)),0,VLOOKUP($A28,'Mutasi Neraca'!$A$3:$S$910,7,FALSE))</f>
        <v>68821500</v>
      </c>
      <c r="I28" s="42">
        <f>VLOOKUP($A28,'Neraca Unaudited SIMAK'!$A$2:$R$1272,8,FALSE)+IF(ISNA(VLOOKUP($A28,'Mutasi Neraca'!$A$3:$S$910,8,FALSE)),0,VLOOKUP($A28,'Mutasi Neraca'!$A$3:$S$910,8,FALSE))</f>
        <v>62577082</v>
      </c>
      <c r="J28" s="42">
        <f>VLOOKUP($A28,'Neraca Unaudited SIMAK'!$A$2:$R$1272,9,FALSE)+IF(ISNA(VLOOKUP($A28,'Mutasi Neraca'!$A$3:$S$910,9,FALSE)),0,VLOOKUP($A28,'Mutasi Neraca'!$A$3:$S$910,9,FALSE))</f>
        <v>0</v>
      </c>
      <c r="K28" s="42">
        <f>VLOOKUP($A28,'Neraca Unaudited SIMAK'!$A$2:$R$1272,10,FALSE)+IF(ISNA(VLOOKUP($A28,'Mutasi Neraca'!$A$3:$S$910,10,FALSE)),0,VLOOKUP($A28,'Mutasi Neraca'!$A$3:$S$910,10,FALSE))</f>
        <v>0</v>
      </c>
      <c r="L28" s="42">
        <f>VLOOKUP($A28,'Neraca Unaudited SIMAK'!$A$2:$R$1272,11,FALSE)+IF(ISNA(VLOOKUP($A28,'Mutasi Neraca'!$A$3:$S$910,11,FALSE)),0,VLOOKUP($A28,'Mutasi Neraca'!$A$3:$S$910,11,FALSE))</f>
        <v>136612900</v>
      </c>
      <c r="M28" s="42">
        <f>VLOOKUP($A28,'Neraca Unaudited SIMAK'!$A$2:$R$1272,12,FALSE)+IF(ISNA(VLOOKUP($A28,'Mutasi Neraca'!$A$3:$S$910,12,FALSE)),0,VLOOKUP($A28,'Mutasi Neraca'!$A$3:$S$910,12,FALSE))</f>
        <v>24620338768</v>
      </c>
      <c r="N28" s="42">
        <f>VLOOKUP($A28,'Neraca Unaudited SIMAK'!$A$2:$R$1272,13,FALSE)+IF(ISNA(VLOOKUP($A28,'Mutasi Neraca'!$A$3:$S$910,13,FALSE)),0,VLOOKUP($A28,'Mutasi Neraca'!$A$3:$S$910,13,FALSE))</f>
        <v>-1725538309</v>
      </c>
      <c r="O28" s="42">
        <f>VLOOKUP($A28,'Neraca Unaudited SIMAK'!$A$2:$R$1272,14,FALSE)+IF(ISNA(VLOOKUP($A28,'Mutasi Neraca'!$A$3:$S$910,14,FALSE)),0,VLOOKUP($A28,'Mutasi Neraca'!$A$3:$S$910,14,FALSE))</f>
        <v>-2158517180</v>
      </c>
      <c r="P28" s="42">
        <f>VLOOKUP($A28,'Neraca Unaudited SIMAK'!$A$2:$R$1272,15,FALSE)+IF(ISNA(VLOOKUP($A28,'Mutasi Neraca'!$A$3:$S$910,15,FALSE)),0,VLOOKUP($A28,'Mutasi Neraca'!$A$3:$S$910,15,FALSE))</f>
        <v>-871158</v>
      </c>
      <c r="Q28" s="42">
        <f>VLOOKUP($A28,'Neraca Unaudited SIMAK'!$A$2:$R$1272,16,FALSE)+IF(ISNA(VLOOKUP($A28,'Mutasi Neraca'!$A$3:$S$910,16,FALSE)),0,VLOOKUP($A28,'Mutasi Neraca'!$A$3:$S$910,16,FALSE))</f>
        <v>0</v>
      </c>
      <c r="R28" s="42">
        <f>VLOOKUP($A28,'Neraca Unaudited SIMAK'!$A$2:$R$1272,17,FALSE)+IF(ISNA(VLOOKUP($A28,'Mutasi Neraca'!$A$3:$S$910,17,FALSE)),0,VLOOKUP($A28,'Mutasi Neraca'!$A$3:$S$910,17,FALSE))</f>
        <v>-115704960</v>
      </c>
      <c r="S28" s="42">
        <f t="shared" si="2"/>
        <v>20619707161</v>
      </c>
      <c r="U28" s="52" t="s">
        <v>2178</v>
      </c>
      <c r="V28" s="51">
        <f t="shared" ref="V28:AK28" si="28">SUMIFS(D$2:D$1270,$B$2:$B$1270,"005012800")</f>
        <v>9404848</v>
      </c>
      <c r="W28" s="51">
        <f t="shared" si="28"/>
        <v>15994569250</v>
      </c>
      <c r="X28" s="51">
        <f t="shared" si="28"/>
        <v>23508620764</v>
      </c>
      <c r="Y28" s="51">
        <f t="shared" si="28"/>
        <v>49641814243</v>
      </c>
      <c r="Z28" s="51">
        <f t="shared" si="28"/>
        <v>1904322812</v>
      </c>
      <c r="AA28" s="51">
        <f t="shared" si="28"/>
        <v>121324600</v>
      </c>
      <c r="AB28" s="51">
        <f t="shared" si="28"/>
        <v>87633650235</v>
      </c>
      <c r="AC28" s="51">
        <f t="shared" si="28"/>
        <v>38035000</v>
      </c>
      <c r="AD28" s="51">
        <f t="shared" si="28"/>
        <v>2613965310</v>
      </c>
      <c r="AE28" s="51">
        <f t="shared" si="28"/>
        <v>181465707062</v>
      </c>
      <c r="AF28" s="51">
        <f t="shared" si="28"/>
        <v>-18489072588</v>
      </c>
      <c r="AG28" s="51">
        <f t="shared" si="28"/>
        <v>-6372578827</v>
      </c>
      <c r="AH28" s="51">
        <f t="shared" si="28"/>
        <v>-710361776</v>
      </c>
      <c r="AI28" s="51">
        <f t="shared" si="28"/>
        <v>-20490000</v>
      </c>
      <c r="AJ28" s="51">
        <f t="shared" si="28"/>
        <v>-1018582419</v>
      </c>
      <c r="AK28" s="51">
        <f t="shared" si="28"/>
        <v>154854621452</v>
      </c>
    </row>
    <row r="29" spans="1:37">
      <c r="A29" s="41" t="s">
        <v>36</v>
      </c>
      <c r="B29" s="41" t="str">
        <f t="shared" si="1"/>
        <v>005010200</v>
      </c>
      <c r="D29" s="42">
        <f>VLOOKUP($A29,'Neraca Unaudited SIMAK'!$A$2:$R$1272,3,FALSE)+IF(ISNA(VLOOKUP($A29,'Mutasi Neraca'!$A$3:$S$910,3,FALSE)),0,VLOOKUP($A29,'Mutasi Neraca'!$A$3:$S$910,3,FALSE))</f>
        <v>1824050</v>
      </c>
      <c r="E29" s="42">
        <f>VLOOKUP($A29,'Neraca Unaudited SIMAK'!$A$2:$R$1272,4,FALSE)+IF(ISNA(VLOOKUP($A29,'Mutasi Neraca'!$A$3:$S$910,4,FALSE)),0,VLOOKUP($A29,'Mutasi Neraca'!$A$3:$S$910,4,FALSE))</f>
        <v>2114920200</v>
      </c>
      <c r="F29" s="42">
        <f>VLOOKUP($A29,'Neraca Unaudited SIMAK'!$A$2:$R$1272,5,FALSE)+IF(ISNA(VLOOKUP($A29,'Mutasi Neraca'!$A$3:$S$910,5,FALSE)),0,VLOOKUP($A29,'Mutasi Neraca'!$A$3:$S$910,5,FALSE))</f>
        <v>1880766765</v>
      </c>
      <c r="G29" s="42">
        <f>VLOOKUP($A29,'Neraca Unaudited SIMAK'!$A$2:$R$1272,6,FALSE)+IF(ISNA(VLOOKUP($A29,'Mutasi Neraca'!$A$3:$S$910,6,FALSE)),0,VLOOKUP($A29,'Mutasi Neraca'!$A$3:$S$910,6,FALSE))</f>
        <v>3727772000</v>
      </c>
      <c r="H29" s="42">
        <f>VLOOKUP($A29,'Neraca Unaudited SIMAK'!$A$2:$R$1272,7,FALSE)+IF(ISNA(VLOOKUP($A29,'Mutasi Neraca'!$A$3:$S$910,7,FALSE)),0,VLOOKUP($A29,'Mutasi Neraca'!$A$3:$S$910,7,FALSE))</f>
        <v>219144000</v>
      </c>
      <c r="I29" s="42">
        <f>VLOOKUP($A29,'Neraca Unaudited SIMAK'!$A$2:$R$1272,8,FALSE)+IF(ISNA(VLOOKUP($A29,'Mutasi Neraca'!$A$3:$S$910,8,FALSE)),0,VLOOKUP($A29,'Mutasi Neraca'!$A$3:$S$910,8,FALSE))</f>
        <v>13283253</v>
      </c>
      <c r="J29" s="42">
        <f>VLOOKUP($A29,'Neraca Unaudited SIMAK'!$A$2:$R$1272,9,FALSE)+IF(ISNA(VLOOKUP($A29,'Mutasi Neraca'!$A$3:$S$910,9,FALSE)),0,VLOOKUP($A29,'Mutasi Neraca'!$A$3:$S$910,9,FALSE))</f>
        <v>0</v>
      </c>
      <c r="K29" s="42">
        <f>VLOOKUP($A29,'Neraca Unaudited SIMAK'!$A$2:$R$1272,10,FALSE)+IF(ISNA(VLOOKUP($A29,'Mutasi Neraca'!$A$3:$S$910,10,FALSE)),0,VLOOKUP($A29,'Mutasi Neraca'!$A$3:$S$910,10,FALSE))</f>
        <v>8800000</v>
      </c>
      <c r="L29" s="42">
        <f>VLOOKUP($A29,'Neraca Unaudited SIMAK'!$A$2:$R$1272,11,FALSE)+IF(ISNA(VLOOKUP($A29,'Mutasi Neraca'!$A$3:$S$910,11,FALSE)),0,VLOOKUP($A29,'Mutasi Neraca'!$A$3:$S$910,11,FALSE))</f>
        <v>144034000</v>
      </c>
      <c r="M29" s="42">
        <f>VLOOKUP($A29,'Neraca Unaudited SIMAK'!$A$2:$R$1272,12,FALSE)+IF(ISNA(VLOOKUP($A29,'Mutasi Neraca'!$A$3:$S$910,12,FALSE)),0,VLOOKUP($A29,'Mutasi Neraca'!$A$3:$S$910,12,FALSE))</f>
        <v>8110544268</v>
      </c>
      <c r="N29" s="42">
        <f>VLOOKUP($A29,'Neraca Unaudited SIMAK'!$A$2:$R$1272,13,FALSE)+IF(ISNA(VLOOKUP($A29,'Mutasi Neraca'!$A$3:$S$910,13,FALSE)),0,VLOOKUP($A29,'Mutasi Neraca'!$A$3:$S$910,13,FALSE))</f>
        <v>-1681534623</v>
      </c>
      <c r="O29" s="42">
        <f>VLOOKUP($A29,'Neraca Unaudited SIMAK'!$A$2:$R$1272,14,FALSE)+IF(ISNA(VLOOKUP($A29,'Mutasi Neraca'!$A$3:$S$910,14,FALSE)),0,VLOOKUP($A29,'Mutasi Neraca'!$A$3:$S$910,14,FALSE))</f>
        <v>-1014069470</v>
      </c>
      <c r="P29" s="42">
        <f>VLOOKUP($A29,'Neraca Unaudited SIMAK'!$A$2:$R$1272,15,FALSE)+IF(ISNA(VLOOKUP($A29,'Mutasi Neraca'!$A$3:$S$910,15,FALSE)),0,VLOOKUP($A29,'Mutasi Neraca'!$A$3:$S$910,15,FALSE))</f>
        <v>-71700400</v>
      </c>
      <c r="Q29" s="42">
        <f>VLOOKUP($A29,'Neraca Unaudited SIMAK'!$A$2:$R$1272,16,FALSE)+IF(ISNA(VLOOKUP($A29,'Mutasi Neraca'!$A$3:$S$910,16,FALSE)),0,VLOOKUP($A29,'Mutasi Neraca'!$A$3:$S$910,16,FALSE))</f>
        <v>0</v>
      </c>
      <c r="R29" s="42">
        <f>VLOOKUP($A29,'Neraca Unaudited SIMAK'!$A$2:$R$1272,17,FALSE)+IF(ISNA(VLOOKUP($A29,'Mutasi Neraca'!$A$3:$S$910,17,FALSE)),0,VLOOKUP($A29,'Mutasi Neraca'!$A$3:$S$910,17,FALSE))</f>
        <v>-144034000</v>
      </c>
      <c r="S29" s="42">
        <f t="shared" si="2"/>
        <v>5199205775</v>
      </c>
      <c r="U29" s="52" t="s">
        <v>2179</v>
      </c>
      <c r="V29" s="51">
        <f t="shared" ref="V29:AK29" si="29">SUMIFS(D$2:D$1270,$B$2:$B$1270,"005012900")</f>
        <v>47744267</v>
      </c>
      <c r="W29" s="51">
        <f t="shared" si="29"/>
        <v>49592506700</v>
      </c>
      <c r="X29" s="51">
        <f t="shared" si="29"/>
        <v>29023280634</v>
      </c>
      <c r="Y29" s="51">
        <f t="shared" si="29"/>
        <v>108687099102</v>
      </c>
      <c r="Z29" s="51">
        <f t="shared" si="29"/>
        <v>1584257752</v>
      </c>
      <c r="AA29" s="51">
        <f t="shared" si="29"/>
        <v>180123029</v>
      </c>
      <c r="AB29" s="51">
        <f t="shared" si="29"/>
        <v>57240976825</v>
      </c>
      <c r="AC29" s="51">
        <f t="shared" si="29"/>
        <v>186904550</v>
      </c>
      <c r="AD29" s="51">
        <f t="shared" si="29"/>
        <v>1162104777</v>
      </c>
      <c r="AE29" s="51">
        <f t="shared" si="29"/>
        <v>247704997636</v>
      </c>
      <c r="AF29" s="51">
        <f t="shared" si="29"/>
        <v>-24522246868</v>
      </c>
      <c r="AG29" s="51">
        <f t="shared" si="29"/>
        <v>-18765609630</v>
      </c>
      <c r="AH29" s="51">
        <f t="shared" si="29"/>
        <v>-598653612</v>
      </c>
      <c r="AI29" s="51">
        <f t="shared" si="29"/>
        <v>0</v>
      </c>
      <c r="AJ29" s="51">
        <f t="shared" si="29"/>
        <v>-1154945317</v>
      </c>
      <c r="AK29" s="51">
        <f t="shared" si="29"/>
        <v>202663542209</v>
      </c>
    </row>
    <row r="30" spans="1:37">
      <c r="A30" s="41" t="s">
        <v>37</v>
      </c>
      <c r="B30" s="41" t="str">
        <f t="shared" si="1"/>
        <v>005010200</v>
      </c>
      <c r="D30" s="42">
        <f>VLOOKUP($A30,'Neraca Unaudited SIMAK'!$A$2:$R$1272,3,FALSE)+IF(ISNA(VLOOKUP($A30,'Mutasi Neraca'!$A$3:$S$910,3,FALSE)),0,VLOOKUP($A30,'Mutasi Neraca'!$A$3:$S$910,3,FALSE))</f>
        <v>10000</v>
      </c>
      <c r="E30" s="42">
        <f>VLOOKUP($A30,'Neraca Unaudited SIMAK'!$A$2:$R$1272,4,FALSE)+IF(ISNA(VLOOKUP($A30,'Mutasi Neraca'!$A$3:$S$910,4,FALSE)),0,VLOOKUP($A30,'Mutasi Neraca'!$A$3:$S$910,4,FALSE))</f>
        <v>21002903000</v>
      </c>
      <c r="F30" s="42">
        <f>VLOOKUP($A30,'Neraca Unaudited SIMAK'!$A$2:$R$1272,5,FALSE)+IF(ISNA(VLOOKUP($A30,'Mutasi Neraca'!$A$3:$S$910,5,FALSE)),0,VLOOKUP($A30,'Mutasi Neraca'!$A$3:$S$910,5,FALSE))</f>
        <v>1783180923</v>
      </c>
      <c r="G30" s="42">
        <f>VLOOKUP($A30,'Neraca Unaudited SIMAK'!$A$2:$R$1272,6,FALSE)+IF(ISNA(VLOOKUP($A30,'Mutasi Neraca'!$A$3:$S$910,6,FALSE)),0,VLOOKUP($A30,'Mutasi Neraca'!$A$3:$S$910,6,FALSE))</f>
        <v>7204508200</v>
      </c>
      <c r="H30" s="42">
        <f>VLOOKUP($A30,'Neraca Unaudited SIMAK'!$A$2:$R$1272,7,FALSE)+IF(ISNA(VLOOKUP($A30,'Mutasi Neraca'!$A$3:$S$910,7,FALSE)),0,VLOOKUP($A30,'Mutasi Neraca'!$A$3:$S$910,7,FALSE))</f>
        <v>29697000</v>
      </c>
      <c r="I30" s="42">
        <f>VLOOKUP($A30,'Neraca Unaudited SIMAK'!$A$2:$R$1272,8,FALSE)+IF(ISNA(VLOOKUP($A30,'Mutasi Neraca'!$A$3:$S$910,8,FALSE)),0,VLOOKUP($A30,'Mutasi Neraca'!$A$3:$S$910,8,FALSE))</f>
        <v>6355062</v>
      </c>
      <c r="J30" s="42">
        <f>VLOOKUP($A30,'Neraca Unaudited SIMAK'!$A$2:$R$1272,9,FALSE)+IF(ISNA(VLOOKUP($A30,'Mutasi Neraca'!$A$3:$S$910,9,FALSE)),0,VLOOKUP($A30,'Mutasi Neraca'!$A$3:$S$910,9,FALSE))</f>
        <v>0</v>
      </c>
      <c r="K30" s="42">
        <f>VLOOKUP($A30,'Neraca Unaudited SIMAK'!$A$2:$R$1272,10,FALSE)+IF(ISNA(VLOOKUP($A30,'Mutasi Neraca'!$A$3:$S$910,10,FALSE)),0,VLOOKUP($A30,'Mutasi Neraca'!$A$3:$S$910,10,FALSE))</f>
        <v>12210000</v>
      </c>
      <c r="L30" s="42">
        <f>VLOOKUP($A30,'Neraca Unaudited SIMAK'!$A$2:$R$1272,11,FALSE)+IF(ISNA(VLOOKUP($A30,'Mutasi Neraca'!$A$3:$S$910,11,FALSE)),0,VLOOKUP($A30,'Mutasi Neraca'!$A$3:$S$910,11,FALSE))</f>
        <v>155151000</v>
      </c>
      <c r="M30" s="42">
        <f>VLOOKUP($A30,'Neraca Unaudited SIMAK'!$A$2:$R$1272,12,FALSE)+IF(ISNA(VLOOKUP($A30,'Mutasi Neraca'!$A$3:$S$910,12,FALSE)),0,VLOOKUP($A30,'Mutasi Neraca'!$A$3:$S$910,12,FALSE))</f>
        <v>30194015185</v>
      </c>
      <c r="N30" s="42">
        <f>VLOOKUP($A30,'Neraca Unaudited SIMAK'!$A$2:$R$1272,13,FALSE)+IF(ISNA(VLOOKUP($A30,'Mutasi Neraca'!$A$3:$S$910,13,FALSE)),0,VLOOKUP($A30,'Mutasi Neraca'!$A$3:$S$910,13,FALSE))</f>
        <v>-1507083442</v>
      </c>
      <c r="O30" s="42">
        <f>VLOOKUP($A30,'Neraca Unaudited SIMAK'!$A$2:$R$1272,14,FALSE)+IF(ISNA(VLOOKUP($A30,'Mutasi Neraca'!$A$3:$S$910,14,FALSE)),0,VLOOKUP($A30,'Mutasi Neraca'!$A$3:$S$910,14,FALSE))</f>
        <v>-1644325286</v>
      </c>
      <c r="P30" s="42">
        <f>VLOOKUP($A30,'Neraca Unaudited SIMAK'!$A$2:$R$1272,15,FALSE)+IF(ISNA(VLOOKUP($A30,'Mutasi Neraca'!$A$3:$S$910,15,FALSE)),0,VLOOKUP($A30,'Mutasi Neraca'!$A$3:$S$910,15,FALSE))</f>
        <v>-29697000</v>
      </c>
      <c r="Q30" s="42">
        <f>VLOOKUP($A30,'Neraca Unaudited SIMAK'!$A$2:$R$1272,16,FALSE)+IF(ISNA(VLOOKUP($A30,'Mutasi Neraca'!$A$3:$S$910,16,FALSE)),0,VLOOKUP($A30,'Mutasi Neraca'!$A$3:$S$910,16,FALSE))</f>
        <v>0</v>
      </c>
      <c r="R30" s="42">
        <f>VLOOKUP($A30,'Neraca Unaudited SIMAK'!$A$2:$R$1272,17,FALSE)+IF(ISNA(VLOOKUP($A30,'Mutasi Neraca'!$A$3:$S$910,17,FALSE)),0,VLOOKUP($A30,'Mutasi Neraca'!$A$3:$S$910,17,FALSE))</f>
        <v>-155151000</v>
      </c>
      <c r="S30" s="42">
        <f t="shared" si="2"/>
        <v>26857758457</v>
      </c>
      <c r="U30" s="52" t="s">
        <v>2180</v>
      </c>
      <c r="V30" s="51">
        <f t="shared" ref="V30:AK30" si="30">SUMIFS(D$2:D$1270,$B$2:$B$1270,"005013000")</f>
        <v>85936013</v>
      </c>
      <c r="W30" s="51">
        <f t="shared" si="30"/>
        <v>28409118700</v>
      </c>
      <c r="X30" s="51">
        <f t="shared" si="30"/>
        <v>18503767328</v>
      </c>
      <c r="Y30" s="51">
        <f t="shared" si="30"/>
        <v>66791013069</v>
      </c>
      <c r="Z30" s="51">
        <f t="shared" si="30"/>
        <v>571526100</v>
      </c>
      <c r="AA30" s="51">
        <f t="shared" si="30"/>
        <v>128016322</v>
      </c>
      <c r="AB30" s="51">
        <f t="shared" si="30"/>
        <v>0</v>
      </c>
      <c r="AC30" s="51">
        <f t="shared" si="30"/>
        <v>28828000</v>
      </c>
      <c r="AD30" s="51">
        <f t="shared" si="30"/>
        <v>1236807763</v>
      </c>
      <c r="AE30" s="51">
        <f t="shared" si="30"/>
        <v>115755013295</v>
      </c>
      <c r="AF30" s="51">
        <f t="shared" si="30"/>
        <v>-14851491330</v>
      </c>
      <c r="AG30" s="51">
        <f t="shared" si="30"/>
        <v>-10410905851</v>
      </c>
      <c r="AH30" s="51">
        <f t="shared" si="30"/>
        <v>-181524173</v>
      </c>
      <c r="AI30" s="51">
        <f t="shared" si="30"/>
        <v>0</v>
      </c>
      <c r="AJ30" s="51">
        <f t="shared" si="30"/>
        <v>-1151357644</v>
      </c>
      <c r="AK30" s="51">
        <f t="shared" si="30"/>
        <v>89159734297</v>
      </c>
    </row>
    <row r="31" spans="1:37">
      <c r="A31" s="41" t="s">
        <v>38</v>
      </c>
      <c r="B31" s="41" t="str">
        <f t="shared" si="1"/>
        <v>005010200</v>
      </c>
      <c r="D31" s="42">
        <f>VLOOKUP($A31,'Neraca Unaudited SIMAK'!$A$2:$R$1272,3,FALSE)+IF(ISNA(VLOOKUP($A31,'Mutasi Neraca'!$A$3:$S$910,3,FALSE)),0,VLOOKUP($A31,'Mutasi Neraca'!$A$3:$S$910,3,FALSE))</f>
        <v>3282400</v>
      </c>
      <c r="E31" s="42">
        <f>VLOOKUP($A31,'Neraca Unaudited SIMAK'!$A$2:$R$1272,4,FALSE)+IF(ISNA(VLOOKUP($A31,'Mutasi Neraca'!$A$3:$S$910,4,FALSE)),0,VLOOKUP($A31,'Mutasi Neraca'!$A$3:$S$910,4,FALSE))</f>
        <v>7134086950</v>
      </c>
      <c r="F31" s="42">
        <f>VLOOKUP($A31,'Neraca Unaudited SIMAK'!$A$2:$R$1272,5,FALSE)+IF(ISNA(VLOOKUP($A31,'Mutasi Neraca'!$A$3:$S$910,5,FALSE)),0,VLOOKUP($A31,'Mutasi Neraca'!$A$3:$S$910,5,FALSE))</f>
        <v>1462863548</v>
      </c>
      <c r="G31" s="42">
        <f>VLOOKUP($A31,'Neraca Unaudited SIMAK'!$A$2:$R$1272,6,FALSE)+IF(ISNA(VLOOKUP($A31,'Mutasi Neraca'!$A$3:$S$910,6,FALSE)),0,VLOOKUP($A31,'Mutasi Neraca'!$A$3:$S$910,6,FALSE))</f>
        <v>5526600800</v>
      </c>
      <c r="H31" s="42">
        <f>VLOOKUP($A31,'Neraca Unaudited SIMAK'!$A$2:$R$1272,7,FALSE)+IF(ISNA(VLOOKUP($A31,'Mutasi Neraca'!$A$3:$S$910,7,FALSE)),0,VLOOKUP($A31,'Mutasi Neraca'!$A$3:$S$910,7,FALSE))</f>
        <v>0</v>
      </c>
      <c r="I31" s="42">
        <f>VLOOKUP($A31,'Neraca Unaudited SIMAK'!$A$2:$R$1272,8,FALSE)+IF(ISNA(VLOOKUP($A31,'Mutasi Neraca'!$A$3:$S$910,8,FALSE)),0,VLOOKUP($A31,'Mutasi Neraca'!$A$3:$S$910,8,FALSE))</f>
        <v>36459082</v>
      </c>
      <c r="J31" s="42">
        <f>VLOOKUP($A31,'Neraca Unaudited SIMAK'!$A$2:$R$1272,9,FALSE)+IF(ISNA(VLOOKUP($A31,'Mutasi Neraca'!$A$3:$S$910,9,FALSE)),0,VLOOKUP($A31,'Mutasi Neraca'!$A$3:$S$910,9,FALSE))</f>
        <v>0</v>
      </c>
      <c r="K31" s="42">
        <f>VLOOKUP($A31,'Neraca Unaudited SIMAK'!$A$2:$R$1272,10,FALSE)+IF(ISNA(VLOOKUP($A31,'Mutasi Neraca'!$A$3:$S$910,10,FALSE)),0,VLOOKUP($A31,'Mutasi Neraca'!$A$3:$S$910,10,FALSE))</f>
        <v>0</v>
      </c>
      <c r="L31" s="42">
        <f>VLOOKUP($A31,'Neraca Unaudited SIMAK'!$A$2:$R$1272,11,FALSE)+IF(ISNA(VLOOKUP($A31,'Mutasi Neraca'!$A$3:$S$910,11,FALSE)),0,VLOOKUP($A31,'Mutasi Neraca'!$A$3:$S$910,11,FALSE))</f>
        <v>93105400</v>
      </c>
      <c r="M31" s="42">
        <f>VLOOKUP($A31,'Neraca Unaudited SIMAK'!$A$2:$R$1272,12,FALSE)+IF(ISNA(VLOOKUP($A31,'Mutasi Neraca'!$A$3:$S$910,12,FALSE)),0,VLOOKUP($A31,'Mutasi Neraca'!$A$3:$S$910,12,FALSE))</f>
        <v>14256398180</v>
      </c>
      <c r="N31" s="42">
        <f>VLOOKUP($A31,'Neraca Unaudited SIMAK'!$A$2:$R$1272,13,FALSE)+IF(ISNA(VLOOKUP($A31,'Mutasi Neraca'!$A$3:$S$910,13,FALSE)),0,VLOOKUP($A31,'Mutasi Neraca'!$A$3:$S$910,13,FALSE))</f>
        <v>-1299041723</v>
      </c>
      <c r="O31" s="42">
        <f>VLOOKUP($A31,'Neraca Unaudited SIMAK'!$A$2:$R$1272,14,FALSE)+IF(ISNA(VLOOKUP($A31,'Mutasi Neraca'!$A$3:$S$910,14,FALSE)),0,VLOOKUP($A31,'Mutasi Neraca'!$A$3:$S$910,14,FALSE))</f>
        <v>-3281129458</v>
      </c>
      <c r="P31" s="42">
        <f>VLOOKUP($A31,'Neraca Unaudited SIMAK'!$A$2:$R$1272,15,FALSE)+IF(ISNA(VLOOKUP($A31,'Mutasi Neraca'!$A$3:$S$910,15,FALSE)),0,VLOOKUP($A31,'Mutasi Neraca'!$A$3:$S$910,15,FALSE))</f>
        <v>0</v>
      </c>
      <c r="Q31" s="42">
        <f>VLOOKUP($A31,'Neraca Unaudited SIMAK'!$A$2:$R$1272,16,FALSE)+IF(ISNA(VLOOKUP($A31,'Mutasi Neraca'!$A$3:$S$910,16,FALSE)),0,VLOOKUP($A31,'Mutasi Neraca'!$A$3:$S$910,16,FALSE))</f>
        <v>0</v>
      </c>
      <c r="R31" s="42">
        <f>VLOOKUP($A31,'Neraca Unaudited SIMAK'!$A$2:$R$1272,17,FALSE)+IF(ISNA(VLOOKUP($A31,'Mutasi Neraca'!$A$3:$S$910,17,FALSE)),0,VLOOKUP($A31,'Mutasi Neraca'!$A$3:$S$910,17,FALSE))</f>
        <v>-89205400</v>
      </c>
      <c r="S31" s="42">
        <f t="shared" si="2"/>
        <v>9587021599</v>
      </c>
      <c r="U31" s="52" t="s">
        <v>2181</v>
      </c>
      <c r="V31" s="51">
        <f t="shared" ref="V31:AK31" si="31">SUMIFS(D$2:D$1270,$B$2:$B$1270,"005013100")</f>
        <v>26603105</v>
      </c>
      <c r="W31" s="51">
        <f t="shared" si="31"/>
        <v>19666684262</v>
      </c>
      <c r="X31" s="51">
        <f t="shared" si="31"/>
        <v>21351865387</v>
      </c>
      <c r="Y31" s="51">
        <f t="shared" si="31"/>
        <v>96025614241</v>
      </c>
      <c r="Z31" s="51">
        <f t="shared" si="31"/>
        <v>2119668357</v>
      </c>
      <c r="AA31" s="51">
        <f t="shared" si="31"/>
        <v>197689920</v>
      </c>
      <c r="AB31" s="51">
        <f t="shared" si="31"/>
        <v>0</v>
      </c>
      <c r="AC31" s="51">
        <f t="shared" si="31"/>
        <v>66640000</v>
      </c>
      <c r="AD31" s="51">
        <f t="shared" si="31"/>
        <v>5679334231</v>
      </c>
      <c r="AE31" s="51">
        <f t="shared" si="31"/>
        <v>145134099503</v>
      </c>
      <c r="AF31" s="51">
        <f t="shared" si="31"/>
        <v>-17641128717</v>
      </c>
      <c r="AG31" s="51">
        <f t="shared" si="31"/>
        <v>-15735673326</v>
      </c>
      <c r="AH31" s="51">
        <f t="shared" si="31"/>
        <v>-714081578</v>
      </c>
      <c r="AI31" s="51">
        <f t="shared" si="31"/>
        <v>-28312000</v>
      </c>
      <c r="AJ31" s="51">
        <f t="shared" si="31"/>
        <v>-614818926</v>
      </c>
      <c r="AK31" s="51">
        <f t="shared" si="31"/>
        <v>110400084956</v>
      </c>
    </row>
    <row r="32" spans="1:37">
      <c r="A32" s="41" t="s">
        <v>39</v>
      </c>
      <c r="B32" s="41" t="str">
        <f t="shared" si="1"/>
        <v>005010200</v>
      </c>
      <c r="D32" s="42">
        <f>VLOOKUP($A32,'Neraca Unaudited SIMAK'!$A$2:$R$1272,3,FALSE)+IF(ISNA(VLOOKUP($A32,'Mutasi Neraca'!$A$3:$S$910,3,FALSE)),0,VLOOKUP($A32,'Mutasi Neraca'!$A$3:$S$910,3,FALSE))</f>
        <v>1013500</v>
      </c>
      <c r="E32" s="42">
        <f>VLOOKUP($A32,'Neraca Unaudited SIMAK'!$A$2:$R$1272,4,FALSE)+IF(ISNA(VLOOKUP($A32,'Mutasi Neraca'!$A$3:$S$910,4,FALSE)),0,VLOOKUP($A32,'Mutasi Neraca'!$A$3:$S$910,4,FALSE))</f>
        <v>13954970633</v>
      </c>
      <c r="F32" s="42">
        <f>VLOOKUP($A32,'Neraca Unaudited SIMAK'!$A$2:$R$1272,5,FALSE)+IF(ISNA(VLOOKUP($A32,'Mutasi Neraca'!$A$3:$S$910,5,FALSE)),0,VLOOKUP($A32,'Mutasi Neraca'!$A$3:$S$910,5,FALSE))</f>
        <v>1693816942</v>
      </c>
      <c r="G32" s="42">
        <f>VLOOKUP($A32,'Neraca Unaudited SIMAK'!$A$2:$R$1272,6,FALSE)+IF(ISNA(VLOOKUP($A32,'Mutasi Neraca'!$A$3:$S$910,6,FALSE)),0,VLOOKUP($A32,'Mutasi Neraca'!$A$3:$S$910,6,FALSE))</f>
        <v>3402324722</v>
      </c>
      <c r="H32" s="42">
        <f>VLOOKUP($A32,'Neraca Unaudited SIMAK'!$A$2:$R$1272,7,FALSE)+IF(ISNA(VLOOKUP($A32,'Mutasi Neraca'!$A$3:$S$910,7,FALSE)),0,VLOOKUP($A32,'Mutasi Neraca'!$A$3:$S$910,7,FALSE))</f>
        <v>58616000</v>
      </c>
      <c r="I32" s="42">
        <f>VLOOKUP($A32,'Neraca Unaudited SIMAK'!$A$2:$R$1272,8,FALSE)+IF(ISNA(VLOOKUP($A32,'Mutasi Neraca'!$A$3:$S$910,8,FALSE)),0,VLOOKUP($A32,'Mutasi Neraca'!$A$3:$S$910,8,FALSE))</f>
        <v>9457062</v>
      </c>
      <c r="J32" s="42">
        <f>VLOOKUP($A32,'Neraca Unaudited SIMAK'!$A$2:$R$1272,9,FALSE)+IF(ISNA(VLOOKUP($A32,'Mutasi Neraca'!$A$3:$S$910,9,FALSE)),0,VLOOKUP($A32,'Mutasi Neraca'!$A$3:$S$910,9,FALSE))</f>
        <v>0</v>
      </c>
      <c r="K32" s="42">
        <f>VLOOKUP($A32,'Neraca Unaudited SIMAK'!$A$2:$R$1272,10,FALSE)+IF(ISNA(VLOOKUP($A32,'Mutasi Neraca'!$A$3:$S$910,10,FALSE)),0,VLOOKUP($A32,'Mutasi Neraca'!$A$3:$S$910,10,FALSE))</f>
        <v>0</v>
      </c>
      <c r="L32" s="42">
        <f>VLOOKUP($A32,'Neraca Unaudited SIMAK'!$A$2:$R$1272,11,FALSE)+IF(ISNA(VLOOKUP($A32,'Mutasi Neraca'!$A$3:$S$910,11,FALSE)),0,VLOOKUP($A32,'Mutasi Neraca'!$A$3:$S$910,11,FALSE))</f>
        <v>53000</v>
      </c>
      <c r="M32" s="42">
        <f>VLOOKUP($A32,'Neraca Unaudited SIMAK'!$A$2:$R$1272,12,FALSE)+IF(ISNA(VLOOKUP($A32,'Mutasi Neraca'!$A$3:$S$910,12,FALSE)),0,VLOOKUP($A32,'Mutasi Neraca'!$A$3:$S$910,12,FALSE))</f>
        <v>19120251859</v>
      </c>
      <c r="N32" s="42">
        <f>VLOOKUP($A32,'Neraca Unaudited SIMAK'!$A$2:$R$1272,13,FALSE)+IF(ISNA(VLOOKUP($A32,'Mutasi Neraca'!$A$3:$S$910,13,FALSE)),0,VLOOKUP($A32,'Mutasi Neraca'!$A$3:$S$910,13,FALSE))</f>
        <v>-1492968597</v>
      </c>
      <c r="O32" s="42">
        <f>VLOOKUP($A32,'Neraca Unaudited SIMAK'!$A$2:$R$1272,14,FALSE)+IF(ISNA(VLOOKUP($A32,'Mutasi Neraca'!$A$3:$S$910,14,FALSE)),0,VLOOKUP($A32,'Mutasi Neraca'!$A$3:$S$910,14,FALSE))</f>
        <v>-1693994349</v>
      </c>
      <c r="P32" s="42">
        <f>VLOOKUP($A32,'Neraca Unaudited SIMAK'!$A$2:$R$1272,15,FALSE)+IF(ISNA(VLOOKUP($A32,'Mutasi Neraca'!$A$3:$S$910,15,FALSE)),0,VLOOKUP($A32,'Mutasi Neraca'!$A$3:$S$910,15,FALSE))</f>
        <v>-51289000</v>
      </c>
      <c r="Q32" s="42">
        <f>VLOOKUP($A32,'Neraca Unaudited SIMAK'!$A$2:$R$1272,16,FALSE)+IF(ISNA(VLOOKUP($A32,'Mutasi Neraca'!$A$3:$S$910,16,FALSE)),0,VLOOKUP($A32,'Mutasi Neraca'!$A$3:$S$910,16,FALSE))</f>
        <v>0</v>
      </c>
      <c r="R32" s="42">
        <f>VLOOKUP($A32,'Neraca Unaudited SIMAK'!$A$2:$R$1272,17,FALSE)+IF(ISNA(VLOOKUP($A32,'Mutasi Neraca'!$A$3:$S$910,17,FALSE)),0,VLOOKUP($A32,'Mutasi Neraca'!$A$3:$S$910,17,FALSE))</f>
        <v>-53000</v>
      </c>
      <c r="S32" s="42">
        <f t="shared" si="2"/>
        <v>15881946913</v>
      </c>
      <c r="U32" s="52" t="s">
        <v>2182</v>
      </c>
      <c r="V32" s="51">
        <f t="shared" ref="V32:AK32" si="32">SUMIFS(D$2:D$1270,$B$2:$B$1270,"005013200")</f>
        <v>2679900</v>
      </c>
      <c r="W32" s="51">
        <f t="shared" si="32"/>
        <v>25830226600</v>
      </c>
      <c r="X32" s="51">
        <f t="shared" si="32"/>
        <v>16915426819</v>
      </c>
      <c r="Y32" s="51">
        <f t="shared" si="32"/>
        <v>66270041857</v>
      </c>
      <c r="Z32" s="51">
        <f t="shared" si="32"/>
        <v>676175074</v>
      </c>
      <c r="AA32" s="51">
        <f t="shared" si="32"/>
        <v>72464059</v>
      </c>
      <c r="AB32" s="51">
        <f t="shared" si="32"/>
        <v>15171286450</v>
      </c>
      <c r="AC32" s="51">
        <f t="shared" si="32"/>
        <v>52802544</v>
      </c>
      <c r="AD32" s="51">
        <f t="shared" si="32"/>
        <v>490626108</v>
      </c>
      <c r="AE32" s="51">
        <f t="shared" si="32"/>
        <v>125481729411</v>
      </c>
      <c r="AF32" s="51">
        <f t="shared" si="32"/>
        <v>-12871993165</v>
      </c>
      <c r="AG32" s="51">
        <f t="shared" si="32"/>
        <v>-7866627241</v>
      </c>
      <c r="AH32" s="51">
        <f t="shared" si="32"/>
        <v>-85295510</v>
      </c>
      <c r="AI32" s="51">
        <f t="shared" si="32"/>
        <v>0</v>
      </c>
      <c r="AJ32" s="51">
        <f t="shared" si="32"/>
        <v>-490626108</v>
      </c>
      <c r="AK32" s="51">
        <f t="shared" si="32"/>
        <v>104167187387</v>
      </c>
    </row>
    <row r="33" spans="1:37">
      <c r="A33" s="41" t="s">
        <v>40</v>
      </c>
      <c r="B33" s="41" t="str">
        <f t="shared" si="1"/>
        <v>005010200</v>
      </c>
      <c r="D33" s="42">
        <f>VLOOKUP($A33,'Neraca Unaudited SIMAK'!$A$2:$R$1272,3,FALSE)+IF(ISNA(VLOOKUP($A33,'Mutasi Neraca'!$A$3:$S$910,3,FALSE)),0,VLOOKUP($A33,'Mutasi Neraca'!$A$3:$S$910,3,FALSE))</f>
        <v>6410085</v>
      </c>
      <c r="E33" s="42">
        <f>VLOOKUP($A33,'Neraca Unaudited SIMAK'!$A$2:$R$1272,4,FALSE)+IF(ISNA(VLOOKUP($A33,'Mutasi Neraca'!$A$3:$S$910,4,FALSE)),0,VLOOKUP($A33,'Mutasi Neraca'!$A$3:$S$910,4,FALSE))</f>
        <v>8688400000</v>
      </c>
      <c r="F33" s="42">
        <f>VLOOKUP($A33,'Neraca Unaudited SIMAK'!$A$2:$R$1272,5,FALSE)+IF(ISNA(VLOOKUP($A33,'Mutasi Neraca'!$A$3:$S$910,5,FALSE)),0,VLOOKUP($A33,'Mutasi Neraca'!$A$3:$S$910,5,FALSE))</f>
        <v>2713996033</v>
      </c>
      <c r="G33" s="42">
        <f>VLOOKUP($A33,'Neraca Unaudited SIMAK'!$A$2:$R$1272,6,FALSE)+IF(ISNA(VLOOKUP($A33,'Mutasi Neraca'!$A$3:$S$910,6,FALSE)),0,VLOOKUP($A33,'Mutasi Neraca'!$A$3:$S$910,6,FALSE))</f>
        <v>3869868956</v>
      </c>
      <c r="H33" s="42">
        <f>VLOOKUP($A33,'Neraca Unaudited SIMAK'!$A$2:$R$1272,7,FALSE)+IF(ISNA(VLOOKUP($A33,'Mutasi Neraca'!$A$3:$S$910,7,FALSE)),0,VLOOKUP($A33,'Mutasi Neraca'!$A$3:$S$910,7,FALSE))</f>
        <v>93607183</v>
      </c>
      <c r="I33" s="42">
        <f>VLOOKUP($A33,'Neraca Unaudited SIMAK'!$A$2:$R$1272,8,FALSE)+IF(ISNA(VLOOKUP($A33,'Mutasi Neraca'!$A$3:$S$910,8,FALSE)),0,VLOOKUP($A33,'Mutasi Neraca'!$A$3:$S$910,8,FALSE))</f>
        <v>33328682</v>
      </c>
      <c r="J33" s="42">
        <f>VLOOKUP($A33,'Neraca Unaudited SIMAK'!$A$2:$R$1272,9,FALSE)+IF(ISNA(VLOOKUP($A33,'Mutasi Neraca'!$A$3:$S$910,9,FALSE)),0,VLOOKUP($A33,'Mutasi Neraca'!$A$3:$S$910,9,FALSE))</f>
        <v>0</v>
      </c>
      <c r="K33" s="42">
        <f>VLOOKUP($A33,'Neraca Unaudited SIMAK'!$A$2:$R$1272,10,FALSE)+IF(ISNA(VLOOKUP($A33,'Mutasi Neraca'!$A$3:$S$910,10,FALSE)),0,VLOOKUP($A33,'Mutasi Neraca'!$A$3:$S$910,10,FALSE))</f>
        <v>9000000</v>
      </c>
      <c r="L33" s="42">
        <f>VLOOKUP($A33,'Neraca Unaudited SIMAK'!$A$2:$R$1272,11,FALSE)+IF(ISNA(VLOOKUP($A33,'Mutasi Neraca'!$A$3:$S$910,11,FALSE)),0,VLOOKUP($A33,'Mutasi Neraca'!$A$3:$S$910,11,FALSE))</f>
        <v>1847000</v>
      </c>
      <c r="M33" s="42">
        <f>VLOOKUP($A33,'Neraca Unaudited SIMAK'!$A$2:$R$1272,12,FALSE)+IF(ISNA(VLOOKUP($A33,'Mutasi Neraca'!$A$3:$S$910,12,FALSE)),0,VLOOKUP($A33,'Mutasi Neraca'!$A$3:$S$910,12,FALSE))</f>
        <v>15416457939</v>
      </c>
      <c r="N33" s="42">
        <f>VLOOKUP($A33,'Neraca Unaudited SIMAK'!$A$2:$R$1272,13,FALSE)+IF(ISNA(VLOOKUP($A33,'Mutasi Neraca'!$A$3:$S$910,13,FALSE)),0,VLOOKUP($A33,'Mutasi Neraca'!$A$3:$S$910,13,FALSE))</f>
        <v>-2134887315</v>
      </c>
      <c r="O33" s="42">
        <f>VLOOKUP($A33,'Neraca Unaudited SIMAK'!$A$2:$R$1272,14,FALSE)+IF(ISNA(VLOOKUP($A33,'Mutasi Neraca'!$A$3:$S$910,14,FALSE)),0,VLOOKUP($A33,'Mutasi Neraca'!$A$3:$S$910,14,FALSE))</f>
        <v>-1238565458</v>
      </c>
      <c r="P33" s="42">
        <f>VLOOKUP($A33,'Neraca Unaudited SIMAK'!$A$2:$R$1272,15,FALSE)+IF(ISNA(VLOOKUP($A33,'Mutasi Neraca'!$A$3:$S$910,15,FALSE)),0,VLOOKUP($A33,'Mutasi Neraca'!$A$3:$S$910,15,FALSE))</f>
        <v>-36261239</v>
      </c>
      <c r="Q33" s="42">
        <f>VLOOKUP($A33,'Neraca Unaudited SIMAK'!$A$2:$R$1272,16,FALSE)+IF(ISNA(VLOOKUP($A33,'Mutasi Neraca'!$A$3:$S$910,16,FALSE)),0,VLOOKUP($A33,'Mutasi Neraca'!$A$3:$S$910,16,FALSE))</f>
        <v>-12287000</v>
      </c>
      <c r="R33" s="42">
        <f>VLOOKUP($A33,'Neraca Unaudited SIMAK'!$A$2:$R$1272,17,FALSE)+IF(ISNA(VLOOKUP($A33,'Mutasi Neraca'!$A$3:$S$910,17,FALSE)),0,VLOOKUP($A33,'Mutasi Neraca'!$A$3:$S$910,17,FALSE))</f>
        <v>-1847000</v>
      </c>
      <c r="S33" s="42">
        <f t="shared" si="2"/>
        <v>11992609927</v>
      </c>
      <c r="U33" s="52" t="s">
        <v>2183</v>
      </c>
      <c r="V33" s="51">
        <f t="shared" ref="V33:AK33" si="33">SUMIFS(D$2:D$1270,$B$2:$B$1270,"005013300")</f>
        <v>14957250</v>
      </c>
      <c r="W33" s="51">
        <f t="shared" si="33"/>
        <v>26449930000</v>
      </c>
      <c r="X33" s="51">
        <f t="shared" si="33"/>
        <v>11420447417</v>
      </c>
      <c r="Y33" s="51">
        <f t="shared" si="33"/>
        <v>49187081673</v>
      </c>
      <c r="Z33" s="51">
        <f t="shared" si="33"/>
        <v>945077365</v>
      </c>
      <c r="AA33" s="51">
        <f t="shared" si="33"/>
        <v>170672320</v>
      </c>
      <c r="AB33" s="51">
        <f t="shared" si="33"/>
        <v>9054860955</v>
      </c>
      <c r="AC33" s="51">
        <f t="shared" si="33"/>
        <v>82815000</v>
      </c>
      <c r="AD33" s="51">
        <f t="shared" si="33"/>
        <v>412150465</v>
      </c>
      <c r="AE33" s="51">
        <f t="shared" si="33"/>
        <v>97737992445</v>
      </c>
      <c r="AF33" s="117">
        <f t="shared" si="33"/>
        <v>-8454804524</v>
      </c>
      <c r="AG33" s="51">
        <f t="shared" si="33"/>
        <v>-6762746275</v>
      </c>
      <c r="AH33" s="51">
        <f t="shared" si="33"/>
        <v>-730605911</v>
      </c>
      <c r="AI33" s="51">
        <f t="shared" si="33"/>
        <v>0</v>
      </c>
      <c r="AJ33" s="51">
        <f t="shared" si="33"/>
        <v>-412150465</v>
      </c>
      <c r="AK33" s="51">
        <f t="shared" si="33"/>
        <v>81377685270</v>
      </c>
    </row>
    <row r="34" spans="1:37">
      <c r="A34" s="41" t="s">
        <v>41</v>
      </c>
      <c r="B34" s="41" t="str">
        <f t="shared" si="1"/>
        <v>005010200</v>
      </c>
      <c r="D34" s="42">
        <f>VLOOKUP($A34,'Neraca Unaudited SIMAK'!$A$2:$R$1272,3,FALSE)+IF(ISNA(VLOOKUP($A34,'Mutasi Neraca'!$A$3:$S$910,3,FALSE)),0,VLOOKUP($A34,'Mutasi Neraca'!$A$3:$S$910,3,FALSE))</f>
        <v>303000</v>
      </c>
      <c r="E34" s="42">
        <f>VLOOKUP($A34,'Neraca Unaudited SIMAK'!$A$2:$R$1272,4,FALSE)+IF(ISNA(VLOOKUP($A34,'Mutasi Neraca'!$A$3:$S$910,4,FALSE)),0,VLOOKUP($A34,'Mutasi Neraca'!$A$3:$S$910,4,FALSE))</f>
        <v>5138320000</v>
      </c>
      <c r="F34" s="42">
        <f>VLOOKUP($A34,'Neraca Unaudited SIMAK'!$A$2:$R$1272,5,FALSE)+IF(ISNA(VLOOKUP($A34,'Mutasi Neraca'!$A$3:$S$910,5,FALSE)),0,VLOOKUP($A34,'Mutasi Neraca'!$A$3:$S$910,5,FALSE))</f>
        <v>1627909439</v>
      </c>
      <c r="G34" s="42">
        <f>VLOOKUP($A34,'Neraca Unaudited SIMAK'!$A$2:$R$1272,6,FALSE)+IF(ISNA(VLOOKUP($A34,'Mutasi Neraca'!$A$3:$S$910,6,FALSE)),0,VLOOKUP($A34,'Mutasi Neraca'!$A$3:$S$910,6,FALSE))</f>
        <v>3397377000</v>
      </c>
      <c r="H34" s="42">
        <f>VLOOKUP($A34,'Neraca Unaudited SIMAK'!$A$2:$R$1272,7,FALSE)+IF(ISNA(VLOOKUP($A34,'Mutasi Neraca'!$A$3:$S$910,7,FALSE)),0,VLOOKUP($A34,'Mutasi Neraca'!$A$3:$S$910,7,FALSE))</f>
        <v>56899840</v>
      </c>
      <c r="I34" s="42">
        <f>VLOOKUP($A34,'Neraca Unaudited SIMAK'!$A$2:$R$1272,8,FALSE)+IF(ISNA(VLOOKUP($A34,'Mutasi Neraca'!$A$3:$S$910,8,FALSE)),0,VLOOKUP($A34,'Mutasi Neraca'!$A$3:$S$910,8,FALSE))</f>
        <v>6355062</v>
      </c>
      <c r="J34" s="42">
        <f>VLOOKUP($A34,'Neraca Unaudited SIMAK'!$A$2:$R$1272,9,FALSE)+IF(ISNA(VLOOKUP($A34,'Mutasi Neraca'!$A$3:$S$910,9,FALSE)),0,VLOOKUP($A34,'Mutasi Neraca'!$A$3:$S$910,9,FALSE))</f>
        <v>0</v>
      </c>
      <c r="K34" s="42">
        <f>VLOOKUP($A34,'Neraca Unaudited SIMAK'!$A$2:$R$1272,10,FALSE)+IF(ISNA(VLOOKUP($A34,'Mutasi Neraca'!$A$3:$S$910,10,FALSE)),0,VLOOKUP($A34,'Mutasi Neraca'!$A$3:$S$910,10,FALSE))</f>
        <v>0</v>
      </c>
      <c r="L34" s="42">
        <f>VLOOKUP($A34,'Neraca Unaudited SIMAK'!$A$2:$R$1272,11,FALSE)+IF(ISNA(VLOOKUP($A34,'Mutasi Neraca'!$A$3:$S$910,11,FALSE)),0,VLOOKUP($A34,'Mutasi Neraca'!$A$3:$S$910,11,FALSE))</f>
        <v>463000</v>
      </c>
      <c r="M34" s="42">
        <f>VLOOKUP($A34,'Neraca Unaudited SIMAK'!$A$2:$R$1272,12,FALSE)+IF(ISNA(VLOOKUP($A34,'Mutasi Neraca'!$A$3:$S$910,12,FALSE)),0,VLOOKUP($A34,'Mutasi Neraca'!$A$3:$S$910,12,FALSE))</f>
        <v>10227627341</v>
      </c>
      <c r="N34" s="42">
        <f>VLOOKUP($A34,'Neraca Unaudited SIMAK'!$A$2:$R$1272,13,FALSE)+IF(ISNA(VLOOKUP($A34,'Mutasi Neraca'!$A$3:$S$910,13,FALSE)),0,VLOOKUP($A34,'Mutasi Neraca'!$A$3:$S$910,13,FALSE))</f>
        <v>-1483247944</v>
      </c>
      <c r="O34" s="42">
        <f>VLOOKUP($A34,'Neraca Unaudited SIMAK'!$A$2:$R$1272,14,FALSE)+IF(ISNA(VLOOKUP($A34,'Mutasi Neraca'!$A$3:$S$910,14,FALSE)),0,VLOOKUP($A34,'Mutasi Neraca'!$A$3:$S$910,14,FALSE))</f>
        <v>-1902574393</v>
      </c>
      <c r="P34" s="42">
        <f>VLOOKUP($A34,'Neraca Unaudited SIMAK'!$A$2:$R$1272,15,FALSE)+IF(ISNA(VLOOKUP($A34,'Mutasi Neraca'!$A$3:$S$910,15,FALSE)),0,VLOOKUP($A34,'Mutasi Neraca'!$A$3:$S$910,15,FALSE))</f>
        <v>-54554848</v>
      </c>
      <c r="Q34" s="42">
        <f>VLOOKUP($A34,'Neraca Unaudited SIMAK'!$A$2:$R$1272,16,FALSE)+IF(ISNA(VLOOKUP($A34,'Mutasi Neraca'!$A$3:$S$910,16,FALSE)),0,VLOOKUP($A34,'Mutasi Neraca'!$A$3:$S$910,16,FALSE))</f>
        <v>0</v>
      </c>
      <c r="R34" s="42">
        <f>VLOOKUP($A34,'Neraca Unaudited SIMAK'!$A$2:$R$1272,17,FALSE)+IF(ISNA(VLOOKUP($A34,'Mutasi Neraca'!$A$3:$S$910,17,FALSE)),0,VLOOKUP($A34,'Mutasi Neraca'!$A$3:$S$910,17,FALSE))</f>
        <v>-463000</v>
      </c>
      <c r="S34" s="42">
        <f t="shared" si="2"/>
        <v>6786787156</v>
      </c>
      <c r="U34" s="52" t="s">
        <v>2184</v>
      </c>
      <c r="V34" s="51">
        <f t="shared" ref="V34:AK34" si="34">SUMIFS(D$2:D$1270,$B$2:$B$1270,"005013400")</f>
        <v>10482400</v>
      </c>
      <c r="W34" s="51">
        <f t="shared" si="34"/>
        <v>12875267743</v>
      </c>
      <c r="X34" s="51">
        <f t="shared" si="34"/>
        <v>10294419858</v>
      </c>
      <c r="Y34" s="51">
        <f t="shared" si="34"/>
        <v>53674670903</v>
      </c>
      <c r="Z34" s="51">
        <f t="shared" si="34"/>
        <v>185452000</v>
      </c>
      <c r="AA34" s="51">
        <f t="shared" si="34"/>
        <v>84450330</v>
      </c>
      <c r="AB34" s="51">
        <f t="shared" si="34"/>
        <v>0</v>
      </c>
      <c r="AC34" s="51">
        <f t="shared" si="34"/>
        <v>105967000</v>
      </c>
      <c r="AD34" s="51">
        <f t="shared" si="34"/>
        <v>842555145</v>
      </c>
      <c r="AE34" s="51">
        <f t="shared" si="34"/>
        <v>78073265379</v>
      </c>
      <c r="AF34" s="51">
        <f t="shared" si="34"/>
        <v>-7403504283</v>
      </c>
      <c r="AG34" s="51">
        <f t="shared" si="34"/>
        <v>-8197040767</v>
      </c>
      <c r="AH34" s="51">
        <f t="shared" si="34"/>
        <v>-38421122</v>
      </c>
      <c r="AI34" s="51">
        <f t="shared" si="34"/>
        <v>0</v>
      </c>
      <c r="AJ34" s="51">
        <f t="shared" si="34"/>
        <v>-845107645</v>
      </c>
      <c r="AK34" s="51">
        <f t="shared" si="34"/>
        <v>61589191562</v>
      </c>
    </row>
    <row r="35" spans="1:37">
      <c r="A35" s="41" t="s">
        <v>42</v>
      </c>
      <c r="B35" s="41" t="str">
        <f t="shared" si="1"/>
        <v>005010200</v>
      </c>
      <c r="D35" s="42">
        <f>VLOOKUP($A35,'Neraca Unaudited SIMAK'!$A$2:$R$1272,3,FALSE)+IF(ISNA(VLOOKUP($A35,'Mutasi Neraca'!$A$3:$S$910,3,FALSE)),0,VLOOKUP($A35,'Mutasi Neraca'!$A$3:$S$910,3,FALSE))</f>
        <v>1564800</v>
      </c>
      <c r="E35" s="42">
        <f>VLOOKUP($A35,'Neraca Unaudited SIMAK'!$A$2:$R$1272,4,FALSE)+IF(ISNA(VLOOKUP($A35,'Mutasi Neraca'!$A$3:$S$910,4,FALSE)),0,VLOOKUP($A35,'Mutasi Neraca'!$A$3:$S$910,4,FALSE))</f>
        <v>2550000000</v>
      </c>
      <c r="F35" s="42">
        <f>VLOOKUP($A35,'Neraca Unaudited SIMAK'!$A$2:$R$1272,5,FALSE)+IF(ISNA(VLOOKUP($A35,'Mutasi Neraca'!$A$3:$S$910,5,FALSE)),0,VLOOKUP($A35,'Mutasi Neraca'!$A$3:$S$910,5,FALSE))</f>
        <v>1806585665</v>
      </c>
      <c r="G35" s="42">
        <f>VLOOKUP($A35,'Neraca Unaudited SIMAK'!$A$2:$R$1272,6,FALSE)+IF(ISNA(VLOOKUP($A35,'Mutasi Neraca'!$A$3:$S$910,6,FALSE)),0,VLOOKUP($A35,'Mutasi Neraca'!$A$3:$S$910,6,FALSE))</f>
        <v>3180806600</v>
      </c>
      <c r="H35" s="42">
        <f>VLOOKUP($A35,'Neraca Unaudited SIMAK'!$A$2:$R$1272,7,FALSE)+IF(ISNA(VLOOKUP($A35,'Mutasi Neraca'!$A$3:$S$910,7,FALSE)),0,VLOOKUP($A35,'Mutasi Neraca'!$A$3:$S$910,7,FALSE))</f>
        <v>90971000</v>
      </c>
      <c r="I35" s="42">
        <f>VLOOKUP($A35,'Neraca Unaudited SIMAK'!$A$2:$R$1272,8,FALSE)+IF(ISNA(VLOOKUP($A35,'Mutasi Neraca'!$A$3:$S$910,8,FALSE)),0,VLOOKUP($A35,'Mutasi Neraca'!$A$3:$S$910,8,FALSE))</f>
        <v>10953738</v>
      </c>
      <c r="J35" s="42">
        <f>VLOOKUP($A35,'Neraca Unaudited SIMAK'!$A$2:$R$1272,9,FALSE)+IF(ISNA(VLOOKUP($A35,'Mutasi Neraca'!$A$3:$S$910,9,FALSE)),0,VLOOKUP($A35,'Mutasi Neraca'!$A$3:$S$910,9,FALSE))</f>
        <v>0</v>
      </c>
      <c r="K35" s="42">
        <f>VLOOKUP($A35,'Neraca Unaudited SIMAK'!$A$2:$R$1272,10,FALSE)+IF(ISNA(VLOOKUP($A35,'Mutasi Neraca'!$A$3:$S$910,10,FALSE)),0,VLOOKUP($A35,'Mutasi Neraca'!$A$3:$S$910,10,FALSE))</f>
        <v>8800000</v>
      </c>
      <c r="L35" s="42">
        <f>VLOOKUP($A35,'Neraca Unaudited SIMAK'!$A$2:$R$1272,11,FALSE)+IF(ISNA(VLOOKUP($A35,'Mutasi Neraca'!$A$3:$S$910,11,FALSE)),0,VLOOKUP($A35,'Mutasi Neraca'!$A$3:$S$910,11,FALSE))</f>
        <v>56961000</v>
      </c>
      <c r="M35" s="42">
        <f>VLOOKUP($A35,'Neraca Unaudited SIMAK'!$A$2:$R$1272,12,FALSE)+IF(ISNA(VLOOKUP($A35,'Mutasi Neraca'!$A$3:$S$910,12,FALSE)),0,VLOOKUP($A35,'Mutasi Neraca'!$A$3:$S$910,12,FALSE))</f>
        <v>7706642803</v>
      </c>
      <c r="N35" s="42">
        <f>VLOOKUP($A35,'Neraca Unaudited SIMAK'!$A$2:$R$1272,13,FALSE)+IF(ISNA(VLOOKUP($A35,'Mutasi Neraca'!$A$3:$S$910,13,FALSE)),0,VLOOKUP($A35,'Mutasi Neraca'!$A$3:$S$910,13,FALSE))</f>
        <v>-1585523268</v>
      </c>
      <c r="O35" s="42">
        <f>VLOOKUP($A35,'Neraca Unaudited SIMAK'!$A$2:$R$1272,14,FALSE)+IF(ISNA(VLOOKUP($A35,'Mutasi Neraca'!$A$3:$S$910,14,FALSE)),0,VLOOKUP($A35,'Mutasi Neraca'!$A$3:$S$910,14,FALSE))</f>
        <v>-1613406529</v>
      </c>
      <c r="P35" s="42">
        <f>VLOOKUP($A35,'Neraca Unaudited SIMAK'!$A$2:$R$1272,15,FALSE)+IF(ISNA(VLOOKUP($A35,'Mutasi Neraca'!$A$3:$S$910,15,FALSE)),0,VLOOKUP($A35,'Mutasi Neraca'!$A$3:$S$910,15,FALSE))</f>
        <v>-30917225</v>
      </c>
      <c r="Q35" s="42">
        <f>VLOOKUP($A35,'Neraca Unaudited SIMAK'!$A$2:$R$1272,16,FALSE)+IF(ISNA(VLOOKUP($A35,'Mutasi Neraca'!$A$3:$S$910,16,FALSE)),0,VLOOKUP($A35,'Mutasi Neraca'!$A$3:$S$910,16,FALSE))</f>
        <v>0</v>
      </c>
      <c r="R35" s="42">
        <f>VLOOKUP($A35,'Neraca Unaudited SIMAK'!$A$2:$R$1272,17,FALSE)+IF(ISNA(VLOOKUP($A35,'Mutasi Neraca'!$A$3:$S$910,17,FALSE)),0,VLOOKUP($A35,'Mutasi Neraca'!$A$3:$S$910,17,FALSE))</f>
        <v>-56961000</v>
      </c>
      <c r="S35" s="42">
        <f t="shared" si="2"/>
        <v>4419834781</v>
      </c>
      <c r="U35" s="108" t="s">
        <v>1174</v>
      </c>
      <c r="V35" s="51">
        <f>SUM(V2:V34)</f>
        <v>2952143783</v>
      </c>
      <c r="W35" s="51">
        <f t="shared" ref="W35:AK35" si="35">SUM(W2:W34)</f>
        <v>3867654236052</v>
      </c>
      <c r="X35" s="51">
        <f t="shared" si="35"/>
        <v>1650839995694</v>
      </c>
      <c r="Y35" s="51">
        <f t="shared" si="35"/>
        <v>5537639745061</v>
      </c>
      <c r="Z35" s="51">
        <f t="shared" si="35"/>
        <v>69952332573</v>
      </c>
      <c r="AA35" s="51">
        <f t="shared" si="35"/>
        <v>28584514017</v>
      </c>
      <c r="AB35" s="51">
        <f t="shared" si="35"/>
        <v>510061458167</v>
      </c>
      <c r="AC35" s="51">
        <f t="shared" si="35"/>
        <v>13969418346</v>
      </c>
      <c r="AD35" s="51">
        <f t="shared" si="35"/>
        <v>79895244178</v>
      </c>
      <c r="AE35" s="51">
        <f t="shared" si="35"/>
        <v>11761549087871</v>
      </c>
      <c r="AF35" s="51">
        <f t="shared" si="35"/>
        <v>-1306541644943</v>
      </c>
      <c r="AG35" s="51">
        <f t="shared" si="35"/>
        <v>-1051449335362</v>
      </c>
      <c r="AH35" s="51">
        <f t="shared" si="35"/>
        <v>-25649732018</v>
      </c>
      <c r="AI35" s="51">
        <f t="shared" si="35"/>
        <v>-436279605</v>
      </c>
      <c r="AJ35" s="51">
        <f t="shared" si="35"/>
        <v>-62576992245</v>
      </c>
      <c r="AK35" s="51">
        <f t="shared" si="35"/>
        <v>9314895103698</v>
      </c>
    </row>
    <row r="36" spans="1:37">
      <c r="A36" s="41" t="s">
        <v>43</v>
      </c>
      <c r="B36" s="41" t="str">
        <f t="shared" si="1"/>
        <v>005010200</v>
      </c>
      <c r="D36" s="42">
        <f>VLOOKUP($A36,'Neraca Unaudited SIMAK'!$A$2:$R$1272,3,FALSE)+IF(ISNA(VLOOKUP($A36,'Mutasi Neraca'!$A$3:$S$910,3,FALSE)),0,VLOOKUP($A36,'Mutasi Neraca'!$A$3:$S$910,3,FALSE))</f>
        <v>3751000</v>
      </c>
      <c r="E36" s="42">
        <f>VLOOKUP($A36,'Neraca Unaudited SIMAK'!$A$2:$R$1272,4,FALSE)+IF(ISNA(VLOOKUP($A36,'Mutasi Neraca'!$A$3:$S$910,4,FALSE)),0,VLOOKUP($A36,'Mutasi Neraca'!$A$3:$S$910,4,FALSE))</f>
        <v>1998720000</v>
      </c>
      <c r="F36" s="42">
        <f>VLOOKUP($A36,'Neraca Unaudited SIMAK'!$A$2:$R$1272,5,FALSE)+IF(ISNA(VLOOKUP($A36,'Mutasi Neraca'!$A$3:$S$910,5,FALSE)),0,VLOOKUP($A36,'Mutasi Neraca'!$A$3:$S$910,5,FALSE))</f>
        <v>2702361631</v>
      </c>
      <c r="G36" s="42">
        <f>VLOOKUP($A36,'Neraca Unaudited SIMAK'!$A$2:$R$1272,6,FALSE)+IF(ISNA(VLOOKUP($A36,'Mutasi Neraca'!$A$3:$S$910,6,FALSE)),0,VLOOKUP($A36,'Mutasi Neraca'!$A$3:$S$910,6,FALSE))</f>
        <v>2371121415</v>
      </c>
      <c r="H36" s="42">
        <f>VLOOKUP($A36,'Neraca Unaudited SIMAK'!$A$2:$R$1272,7,FALSE)+IF(ISNA(VLOOKUP($A36,'Mutasi Neraca'!$A$3:$S$910,7,FALSE)),0,VLOOKUP($A36,'Mutasi Neraca'!$A$3:$S$910,7,FALSE))</f>
        <v>69560000</v>
      </c>
      <c r="I36" s="42">
        <f>VLOOKUP($A36,'Neraca Unaudited SIMAK'!$A$2:$R$1272,8,FALSE)+IF(ISNA(VLOOKUP($A36,'Mutasi Neraca'!$A$3:$S$910,8,FALSE)),0,VLOOKUP($A36,'Mutasi Neraca'!$A$3:$S$910,8,FALSE))</f>
        <v>315268062</v>
      </c>
      <c r="J36" s="42">
        <f>VLOOKUP($A36,'Neraca Unaudited SIMAK'!$A$2:$R$1272,9,FALSE)+IF(ISNA(VLOOKUP($A36,'Mutasi Neraca'!$A$3:$S$910,9,FALSE)),0,VLOOKUP($A36,'Mutasi Neraca'!$A$3:$S$910,9,FALSE))</f>
        <v>0</v>
      </c>
      <c r="K36" s="42">
        <f>VLOOKUP($A36,'Neraca Unaudited SIMAK'!$A$2:$R$1272,10,FALSE)+IF(ISNA(VLOOKUP($A36,'Mutasi Neraca'!$A$3:$S$910,10,FALSE)),0,VLOOKUP($A36,'Mutasi Neraca'!$A$3:$S$910,10,FALSE))</f>
        <v>8900000</v>
      </c>
      <c r="L36" s="42">
        <f>VLOOKUP($A36,'Neraca Unaudited SIMAK'!$A$2:$R$1272,11,FALSE)+IF(ISNA(VLOOKUP($A36,'Mutasi Neraca'!$A$3:$S$910,11,FALSE)),0,VLOOKUP($A36,'Mutasi Neraca'!$A$3:$S$910,11,FALSE))</f>
        <v>4261000</v>
      </c>
      <c r="M36" s="42">
        <f>VLOOKUP($A36,'Neraca Unaudited SIMAK'!$A$2:$R$1272,12,FALSE)+IF(ISNA(VLOOKUP($A36,'Mutasi Neraca'!$A$3:$S$910,12,FALSE)),0,VLOOKUP($A36,'Mutasi Neraca'!$A$3:$S$910,12,FALSE))</f>
        <v>7473943108</v>
      </c>
      <c r="N36" s="42">
        <f>VLOOKUP($A36,'Neraca Unaudited SIMAK'!$A$2:$R$1272,13,FALSE)+IF(ISNA(VLOOKUP($A36,'Mutasi Neraca'!$A$3:$S$910,13,FALSE)),0,VLOOKUP($A36,'Mutasi Neraca'!$A$3:$S$910,13,FALSE))</f>
        <v>-2223741222</v>
      </c>
      <c r="O36" s="42">
        <f>VLOOKUP($A36,'Neraca Unaudited SIMAK'!$A$2:$R$1272,14,FALSE)+IF(ISNA(VLOOKUP($A36,'Mutasi Neraca'!$A$3:$S$910,14,FALSE)),0,VLOOKUP($A36,'Mutasi Neraca'!$A$3:$S$910,14,FALSE))</f>
        <v>-698365143</v>
      </c>
      <c r="P36" s="42">
        <f>VLOOKUP($A36,'Neraca Unaudited SIMAK'!$A$2:$R$1272,15,FALSE)+IF(ISNA(VLOOKUP($A36,'Mutasi Neraca'!$A$3:$S$910,15,FALSE)),0,VLOOKUP($A36,'Mutasi Neraca'!$A$3:$S$910,15,FALSE))</f>
        <v>-7635343</v>
      </c>
      <c r="Q36" s="42">
        <f>VLOOKUP($A36,'Neraca Unaudited SIMAK'!$A$2:$R$1272,16,FALSE)+IF(ISNA(VLOOKUP($A36,'Mutasi Neraca'!$A$3:$S$910,16,FALSE)),0,VLOOKUP($A36,'Mutasi Neraca'!$A$3:$S$910,16,FALSE))</f>
        <v>0</v>
      </c>
      <c r="R36" s="42">
        <f>VLOOKUP($A36,'Neraca Unaudited SIMAK'!$A$2:$R$1272,17,FALSE)+IF(ISNA(VLOOKUP($A36,'Mutasi Neraca'!$A$3:$S$910,17,FALSE)),0,VLOOKUP($A36,'Mutasi Neraca'!$A$3:$S$910,17,FALSE))</f>
        <v>-6793000</v>
      </c>
      <c r="S36" s="42">
        <f t="shared" si="2"/>
        <v>4537408400</v>
      </c>
      <c r="U36" s="108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</row>
    <row r="37" spans="1:37">
      <c r="A37" s="41" t="s">
        <v>44</v>
      </c>
      <c r="B37" s="41" t="str">
        <f t="shared" si="1"/>
        <v>005010200</v>
      </c>
      <c r="D37" s="42">
        <f>VLOOKUP($A37,'Neraca Unaudited SIMAK'!$A$2:$R$1272,3,FALSE)+IF(ISNA(VLOOKUP($A37,'Mutasi Neraca'!$A$3:$S$910,3,FALSE)),0,VLOOKUP($A37,'Mutasi Neraca'!$A$3:$S$910,3,FALSE))</f>
        <v>30349887</v>
      </c>
      <c r="E37" s="42">
        <f>VLOOKUP($A37,'Neraca Unaudited SIMAK'!$A$2:$R$1272,4,FALSE)+IF(ISNA(VLOOKUP($A37,'Mutasi Neraca'!$A$3:$S$910,4,FALSE)),0,VLOOKUP($A37,'Mutasi Neraca'!$A$3:$S$910,4,FALSE))</f>
        <v>8356500000</v>
      </c>
      <c r="F37" s="42">
        <f>VLOOKUP($A37,'Neraca Unaudited SIMAK'!$A$2:$R$1272,5,FALSE)+IF(ISNA(VLOOKUP($A37,'Mutasi Neraca'!$A$3:$S$910,5,FALSE)),0,VLOOKUP($A37,'Mutasi Neraca'!$A$3:$S$910,5,FALSE))</f>
        <v>6685634737</v>
      </c>
      <c r="G37" s="42">
        <f>VLOOKUP($A37,'Neraca Unaudited SIMAK'!$A$2:$R$1272,6,FALSE)+IF(ISNA(VLOOKUP($A37,'Mutasi Neraca'!$A$3:$S$910,6,FALSE)),0,VLOOKUP($A37,'Mutasi Neraca'!$A$3:$S$910,6,FALSE))</f>
        <v>10355503194</v>
      </c>
      <c r="H37" s="42">
        <f>VLOOKUP($A37,'Neraca Unaudited SIMAK'!$A$2:$R$1272,7,FALSE)+IF(ISNA(VLOOKUP($A37,'Mutasi Neraca'!$A$3:$S$910,7,FALSE)),0,VLOOKUP($A37,'Mutasi Neraca'!$A$3:$S$910,7,FALSE))</f>
        <v>0</v>
      </c>
      <c r="I37" s="42">
        <f>VLOOKUP($A37,'Neraca Unaudited SIMAK'!$A$2:$R$1272,8,FALSE)+IF(ISNA(VLOOKUP($A37,'Mutasi Neraca'!$A$3:$S$910,8,FALSE)),0,VLOOKUP($A37,'Mutasi Neraca'!$A$3:$S$910,8,FALSE))</f>
        <v>80849740</v>
      </c>
      <c r="J37" s="42">
        <f>VLOOKUP($A37,'Neraca Unaudited SIMAK'!$A$2:$R$1272,9,FALSE)+IF(ISNA(VLOOKUP($A37,'Mutasi Neraca'!$A$3:$S$910,9,FALSE)),0,VLOOKUP($A37,'Mutasi Neraca'!$A$3:$S$910,9,FALSE))</f>
        <v>0</v>
      </c>
      <c r="K37" s="42">
        <f>VLOOKUP($A37,'Neraca Unaudited SIMAK'!$A$2:$R$1272,10,FALSE)+IF(ISNA(VLOOKUP($A37,'Mutasi Neraca'!$A$3:$S$910,10,FALSE)),0,VLOOKUP($A37,'Mutasi Neraca'!$A$3:$S$910,10,FALSE))</f>
        <v>19932000</v>
      </c>
      <c r="L37" s="42">
        <f>VLOOKUP($A37,'Neraca Unaudited SIMAK'!$A$2:$R$1272,11,FALSE)+IF(ISNA(VLOOKUP($A37,'Mutasi Neraca'!$A$3:$S$910,11,FALSE)),0,VLOOKUP($A37,'Mutasi Neraca'!$A$3:$S$910,11,FALSE))</f>
        <v>212664000</v>
      </c>
      <c r="M37" s="42">
        <f>VLOOKUP($A37,'Neraca Unaudited SIMAK'!$A$2:$R$1272,12,FALSE)+IF(ISNA(VLOOKUP($A37,'Mutasi Neraca'!$A$3:$S$910,12,FALSE)),0,VLOOKUP($A37,'Mutasi Neraca'!$A$3:$S$910,12,FALSE))</f>
        <v>25741433558</v>
      </c>
      <c r="N37" s="42">
        <f>VLOOKUP($A37,'Neraca Unaudited SIMAK'!$A$2:$R$1272,13,FALSE)+IF(ISNA(VLOOKUP($A37,'Mutasi Neraca'!$A$3:$S$910,13,FALSE)),0,VLOOKUP($A37,'Mutasi Neraca'!$A$3:$S$910,13,FALSE))</f>
        <v>-6159904797</v>
      </c>
      <c r="O37" s="42">
        <f>VLOOKUP($A37,'Neraca Unaudited SIMAK'!$A$2:$R$1272,14,FALSE)+IF(ISNA(VLOOKUP($A37,'Mutasi Neraca'!$A$3:$S$910,14,FALSE)),0,VLOOKUP($A37,'Mutasi Neraca'!$A$3:$S$910,14,FALSE))</f>
        <v>-1902953789</v>
      </c>
      <c r="P37" s="42">
        <f>VLOOKUP($A37,'Neraca Unaudited SIMAK'!$A$2:$R$1272,15,FALSE)+IF(ISNA(VLOOKUP($A37,'Mutasi Neraca'!$A$3:$S$910,15,FALSE)),0,VLOOKUP($A37,'Mutasi Neraca'!$A$3:$S$910,15,FALSE))</f>
        <v>0</v>
      </c>
      <c r="Q37" s="42">
        <f>VLOOKUP($A37,'Neraca Unaudited SIMAK'!$A$2:$R$1272,16,FALSE)+IF(ISNA(VLOOKUP($A37,'Mutasi Neraca'!$A$3:$S$910,16,FALSE)),0,VLOOKUP($A37,'Mutasi Neraca'!$A$3:$S$910,16,FALSE))</f>
        <v>0</v>
      </c>
      <c r="R37" s="42">
        <f>VLOOKUP($A37,'Neraca Unaudited SIMAK'!$A$2:$R$1272,17,FALSE)+IF(ISNA(VLOOKUP($A37,'Mutasi Neraca'!$A$3:$S$910,17,FALSE)),0,VLOOKUP($A37,'Mutasi Neraca'!$A$3:$S$910,17,FALSE))</f>
        <v>-210725221</v>
      </c>
      <c r="S37" s="42">
        <f t="shared" si="2"/>
        <v>17467849751</v>
      </c>
      <c r="U37" s="109" t="s">
        <v>2284</v>
      </c>
      <c r="V37" s="51">
        <f t="shared" ref="V37:AK37" si="36">SUMIFS(D$2:D$1270,$B$2:$B$1270,"005010199")</f>
        <v>3228100018</v>
      </c>
      <c r="W37" s="51">
        <f t="shared" si="36"/>
        <v>415009745500</v>
      </c>
      <c r="X37" s="51">
        <f t="shared" si="36"/>
        <v>337355441041</v>
      </c>
      <c r="Y37" s="51">
        <f t="shared" si="36"/>
        <v>676535657226</v>
      </c>
      <c r="Z37" s="51">
        <f t="shared" si="36"/>
        <v>99563631113</v>
      </c>
      <c r="AA37" s="51">
        <f t="shared" si="36"/>
        <v>29077972703</v>
      </c>
      <c r="AB37" s="51">
        <f t="shared" si="36"/>
        <v>0</v>
      </c>
      <c r="AC37" s="51">
        <f t="shared" si="36"/>
        <v>8973886792</v>
      </c>
      <c r="AD37" s="51">
        <f t="shared" si="36"/>
        <v>5756080814</v>
      </c>
      <c r="AE37" s="51">
        <f t="shared" si="36"/>
        <v>1575500515207</v>
      </c>
      <c r="AF37" s="51">
        <f t="shared" si="36"/>
        <v>-294317801848</v>
      </c>
      <c r="AG37" s="51">
        <f t="shared" si="36"/>
        <v>-117660412175</v>
      </c>
      <c r="AH37" s="51">
        <f t="shared" si="36"/>
        <v>-36105142869</v>
      </c>
      <c r="AI37" s="51">
        <f t="shared" si="36"/>
        <v>-99264000</v>
      </c>
      <c r="AJ37" s="51">
        <f t="shared" si="36"/>
        <v>-4453808346</v>
      </c>
      <c r="AK37" s="51">
        <f t="shared" si="36"/>
        <v>1122864085969</v>
      </c>
    </row>
    <row r="38" spans="1:37">
      <c r="A38" s="41" t="s">
        <v>45</v>
      </c>
      <c r="B38" s="41" t="str">
        <f t="shared" si="1"/>
        <v>005010200</v>
      </c>
      <c r="D38" s="42">
        <f>VLOOKUP($A38,'Neraca Unaudited SIMAK'!$A$2:$R$1272,3,FALSE)+IF(ISNA(VLOOKUP($A38,'Mutasi Neraca'!$A$3:$S$910,3,FALSE)),0,VLOOKUP($A38,'Mutasi Neraca'!$A$3:$S$910,3,FALSE))</f>
        <v>601850</v>
      </c>
      <c r="E38" s="42">
        <f>VLOOKUP($A38,'Neraca Unaudited SIMAK'!$A$2:$R$1272,4,FALSE)+IF(ISNA(VLOOKUP($A38,'Mutasi Neraca'!$A$3:$S$910,4,FALSE)),0,VLOOKUP($A38,'Mutasi Neraca'!$A$3:$S$910,4,FALSE))</f>
        <v>6732745000</v>
      </c>
      <c r="F38" s="42">
        <f>VLOOKUP($A38,'Neraca Unaudited SIMAK'!$A$2:$R$1272,5,FALSE)+IF(ISNA(VLOOKUP($A38,'Mutasi Neraca'!$A$3:$S$910,5,FALSE)),0,VLOOKUP($A38,'Mutasi Neraca'!$A$3:$S$910,5,FALSE))</f>
        <v>4532755976</v>
      </c>
      <c r="G38" s="42">
        <f>VLOOKUP($A38,'Neraca Unaudited SIMAK'!$A$2:$R$1272,6,FALSE)+IF(ISNA(VLOOKUP($A38,'Mutasi Neraca'!$A$3:$S$910,6,FALSE)),0,VLOOKUP($A38,'Mutasi Neraca'!$A$3:$S$910,6,FALSE))</f>
        <v>10108498555</v>
      </c>
      <c r="H38" s="42">
        <f>VLOOKUP($A38,'Neraca Unaudited SIMAK'!$A$2:$R$1272,7,FALSE)+IF(ISNA(VLOOKUP($A38,'Mutasi Neraca'!$A$3:$S$910,7,FALSE)),0,VLOOKUP($A38,'Mutasi Neraca'!$A$3:$S$910,7,FALSE))</f>
        <v>2206268049</v>
      </c>
      <c r="I38" s="42">
        <f>VLOOKUP($A38,'Neraca Unaudited SIMAK'!$A$2:$R$1272,8,FALSE)+IF(ISNA(VLOOKUP($A38,'Mutasi Neraca'!$A$3:$S$910,8,FALSE)),0,VLOOKUP($A38,'Mutasi Neraca'!$A$3:$S$910,8,FALSE))</f>
        <v>52563729</v>
      </c>
      <c r="J38" s="42">
        <f>VLOOKUP($A38,'Neraca Unaudited SIMAK'!$A$2:$R$1272,9,FALSE)+IF(ISNA(VLOOKUP($A38,'Mutasi Neraca'!$A$3:$S$910,9,FALSE)),0,VLOOKUP($A38,'Mutasi Neraca'!$A$3:$S$910,9,FALSE))</f>
        <v>0</v>
      </c>
      <c r="K38" s="42">
        <f>VLOOKUP($A38,'Neraca Unaudited SIMAK'!$A$2:$R$1272,10,FALSE)+IF(ISNA(VLOOKUP($A38,'Mutasi Neraca'!$A$3:$S$910,10,FALSE)),0,VLOOKUP($A38,'Mutasi Neraca'!$A$3:$S$910,10,FALSE))</f>
        <v>74145000</v>
      </c>
      <c r="L38" s="42">
        <f>VLOOKUP($A38,'Neraca Unaudited SIMAK'!$A$2:$R$1272,11,FALSE)+IF(ISNA(VLOOKUP($A38,'Mutasi Neraca'!$A$3:$S$910,11,FALSE)),0,VLOOKUP($A38,'Mutasi Neraca'!$A$3:$S$910,11,FALSE))</f>
        <v>30635000</v>
      </c>
      <c r="M38" s="42">
        <f>VLOOKUP($A38,'Neraca Unaudited SIMAK'!$A$2:$R$1272,12,FALSE)+IF(ISNA(VLOOKUP($A38,'Mutasi Neraca'!$A$3:$S$910,12,FALSE)),0,VLOOKUP($A38,'Mutasi Neraca'!$A$3:$S$910,12,FALSE))</f>
        <v>23738213159</v>
      </c>
      <c r="N38" s="42">
        <f>VLOOKUP($A38,'Neraca Unaudited SIMAK'!$A$2:$R$1272,13,FALSE)+IF(ISNA(VLOOKUP($A38,'Mutasi Neraca'!$A$3:$S$910,13,FALSE)),0,VLOOKUP($A38,'Mutasi Neraca'!$A$3:$S$910,13,FALSE))</f>
        <v>-3087836498</v>
      </c>
      <c r="O38" s="42">
        <f>VLOOKUP($A38,'Neraca Unaudited SIMAK'!$A$2:$R$1272,14,FALSE)+IF(ISNA(VLOOKUP($A38,'Mutasi Neraca'!$A$3:$S$910,14,FALSE)),0,VLOOKUP($A38,'Mutasi Neraca'!$A$3:$S$910,14,FALSE))</f>
        <v>-1905634660</v>
      </c>
      <c r="P38" s="42">
        <f>VLOOKUP($A38,'Neraca Unaudited SIMAK'!$A$2:$R$1272,15,FALSE)+IF(ISNA(VLOOKUP($A38,'Mutasi Neraca'!$A$3:$S$910,15,FALSE)),0,VLOOKUP($A38,'Mutasi Neraca'!$A$3:$S$910,15,FALSE))</f>
        <v>-140254544</v>
      </c>
      <c r="Q38" s="42">
        <f>VLOOKUP($A38,'Neraca Unaudited SIMAK'!$A$2:$R$1272,16,FALSE)+IF(ISNA(VLOOKUP($A38,'Mutasi Neraca'!$A$3:$S$910,16,FALSE)),0,VLOOKUP($A38,'Mutasi Neraca'!$A$3:$S$910,16,FALSE))</f>
        <v>0</v>
      </c>
      <c r="R38" s="42">
        <f>VLOOKUP($A38,'Neraca Unaudited SIMAK'!$A$2:$R$1272,17,FALSE)+IF(ISNA(VLOOKUP($A38,'Mutasi Neraca'!$A$3:$S$910,17,FALSE)),0,VLOOKUP($A38,'Mutasi Neraca'!$A$3:$S$910,17,FALSE))</f>
        <v>-30635000</v>
      </c>
      <c r="S38" s="42">
        <f t="shared" si="2"/>
        <v>18573852457</v>
      </c>
      <c r="U38" s="109" t="s">
        <v>2285</v>
      </c>
      <c r="V38" s="51">
        <f t="shared" ref="V38:AK38" si="37">SUMIFS(D$2:D$1270,$B$2:$B$1270,"005020199")</f>
        <v>1768600240</v>
      </c>
      <c r="W38" s="51">
        <f t="shared" si="37"/>
        <v>0</v>
      </c>
      <c r="X38" s="51">
        <f t="shared" si="37"/>
        <v>17185031836</v>
      </c>
      <c r="Y38" s="51">
        <f t="shared" si="37"/>
        <v>18775680</v>
      </c>
      <c r="Z38" s="51">
        <f t="shared" si="37"/>
        <v>0</v>
      </c>
      <c r="AA38" s="51">
        <f t="shared" si="37"/>
        <v>0</v>
      </c>
      <c r="AB38" s="51">
        <f t="shared" si="37"/>
        <v>0</v>
      </c>
      <c r="AC38" s="51">
        <f t="shared" si="37"/>
        <v>0</v>
      </c>
      <c r="AD38" s="51">
        <f t="shared" si="37"/>
        <v>0</v>
      </c>
      <c r="AE38" s="51">
        <f t="shared" si="37"/>
        <v>18972407756</v>
      </c>
      <c r="AF38" s="51">
        <f t="shared" si="37"/>
        <v>-15129699605</v>
      </c>
      <c r="AG38" s="51">
        <f t="shared" si="37"/>
        <v>-2440840</v>
      </c>
      <c r="AH38" s="51">
        <f t="shared" si="37"/>
        <v>0</v>
      </c>
      <c r="AI38" s="51">
        <f t="shared" si="37"/>
        <v>0</v>
      </c>
      <c r="AJ38" s="51">
        <f t="shared" si="37"/>
        <v>0</v>
      </c>
      <c r="AK38" s="51">
        <f t="shared" si="37"/>
        <v>3840267311</v>
      </c>
    </row>
    <row r="39" spans="1:37">
      <c r="A39" s="41" t="s">
        <v>46</v>
      </c>
      <c r="B39" s="41" t="str">
        <f t="shared" si="1"/>
        <v>005010200</v>
      </c>
      <c r="D39" s="42">
        <f>VLOOKUP($A39,'Neraca Unaudited SIMAK'!$A$2:$R$1272,3,FALSE)+IF(ISNA(VLOOKUP($A39,'Mutasi Neraca'!$A$3:$S$910,3,FALSE)),0,VLOOKUP($A39,'Mutasi Neraca'!$A$3:$S$910,3,FALSE))</f>
        <v>8933961</v>
      </c>
      <c r="E39" s="42">
        <f>VLOOKUP($A39,'Neraca Unaudited SIMAK'!$A$2:$R$1272,4,FALSE)+IF(ISNA(VLOOKUP($A39,'Mutasi Neraca'!$A$3:$S$910,4,FALSE)),0,VLOOKUP($A39,'Mutasi Neraca'!$A$3:$S$910,4,FALSE))</f>
        <v>2007000000</v>
      </c>
      <c r="F39" s="42">
        <f>VLOOKUP($A39,'Neraca Unaudited SIMAK'!$A$2:$R$1272,5,FALSE)+IF(ISNA(VLOOKUP($A39,'Mutasi Neraca'!$A$3:$S$910,5,FALSE)),0,VLOOKUP($A39,'Mutasi Neraca'!$A$3:$S$910,5,FALSE))</f>
        <v>1521638742</v>
      </c>
      <c r="G39" s="42">
        <f>VLOOKUP($A39,'Neraca Unaudited SIMAK'!$A$2:$R$1272,6,FALSE)+IF(ISNA(VLOOKUP($A39,'Mutasi Neraca'!$A$3:$S$910,6,FALSE)),0,VLOOKUP($A39,'Mutasi Neraca'!$A$3:$S$910,6,FALSE))</f>
        <v>4548688350</v>
      </c>
      <c r="H39" s="42">
        <f>VLOOKUP($A39,'Neraca Unaudited SIMAK'!$A$2:$R$1272,7,FALSE)+IF(ISNA(VLOOKUP($A39,'Mutasi Neraca'!$A$3:$S$910,7,FALSE)),0,VLOOKUP($A39,'Mutasi Neraca'!$A$3:$S$910,7,FALSE))</f>
        <v>279479600</v>
      </c>
      <c r="I39" s="42">
        <f>VLOOKUP($A39,'Neraca Unaudited SIMAK'!$A$2:$R$1272,8,FALSE)+IF(ISNA(VLOOKUP($A39,'Mutasi Neraca'!$A$3:$S$910,8,FALSE)),0,VLOOKUP($A39,'Mutasi Neraca'!$A$3:$S$910,8,FALSE))</f>
        <v>22049862</v>
      </c>
      <c r="J39" s="42">
        <f>VLOOKUP($A39,'Neraca Unaudited SIMAK'!$A$2:$R$1272,9,FALSE)+IF(ISNA(VLOOKUP($A39,'Mutasi Neraca'!$A$3:$S$910,9,FALSE)),0,VLOOKUP($A39,'Mutasi Neraca'!$A$3:$S$910,9,FALSE))</f>
        <v>0</v>
      </c>
      <c r="K39" s="42">
        <f>VLOOKUP($A39,'Neraca Unaudited SIMAK'!$A$2:$R$1272,10,FALSE)+IF(ISNA(VLOOKUP($A39,'Mutasi Neraca'!$A$3:$S$910,10,FALSE)),0,VLOOKUP($A39,'Mutasi Neraca'!$A$3:$S$910,10,FALSE))</f>
        <v>9126250</v>
      </c>
      <c r="L39" s="42">
        <f>VLOOKUP($A39,'Neraca Unaudited SIMAK'!$A$2:$R$1272,11,FALSE)+IF(ISNA(VLOOKUP($A39,'Mutasi Neraca'!$A$3:$S$910,11,FALSE)),0,VLOOKUP($A39,'Mutasi Neraca'!$A$3:$S$910,11,FALSE))</f>
        <v>135991750</v>
      </c>
      <c r="M39" s="42">
        <f>VLOOKUP($A39,'Neraca Unaudited SIMAK'!$A$2:$R$1272,12,FALSE)+IF(ISNA(VLOOKUP($A39,'Mutasi Neraca'!$A$3:$S$910,12,FALSE)),0,VLOOKUP($A39,'Mutasi Neraca'!$A$3:$S$910,12,FALSE))</f>
        <v>8532908515</v>
      </c>
      <c r="N39" s="42">
        <f>VLOOKUP($A39,'Neraca Unaudited SIMAK'!$A$2:$R$1272,13,FALSE)+IF(ISNA(VLOOKUP($A39,'Mutasi Neraca'!$A$3:$S$910,13,FALSE)),0,VLOOKUP($A39,'Mutasi Neraca'!$A$3:$S$910,13,FALSE))</f>
        <v>-1441904461</v>
      </c>
      <c r="O39" s="42">
        <f>VLOOKUP($A39,'Neraca Unaudited SIMAK'!$A$2:$R$1272,14,FALSE)+IF(ISNA(VLOOKUP($A39,'Mutasi Neraca'!$A$3:$S$910,14,FALSE)),0,VLOOKUP($A39,'Mutasi Neraca'!$A$3:$S$910,14,FALSE))</f>
        <v>-1962962892</v>
      </c>
      <c r="P39" s="42">
        <f>VLOOKUP($A39,'Neraca Unaudited SIMAK'!$A$2:$R$1272,15,FALSE)+IF(ISNA(VLOOKUP($A39,'Mutasi Neraca'!$A$3:$S$910,15,FALSE)),0,VLOOKUP($A39,'Mutasi Neraca'!$A$3:$S$910,15,FALSE))</f>
        <v>-195635720</v>
      </c>
      <c r="Q39" s="42">
        <f>VLOOKUP($A39,'Neraca Unaudited SIMAK'!$A$2:$R$1272,16,FALSE)+IF(ISNA(VLOOKUP($A39,'Mutasi Neraca'!$A$3:$S$910,16,FALSE)),0,VLOOKUP($A39,'Mutasi Neraca'!$A$3:$S$910,16,FALSE))</f>
        <v>0</v>
      </c>
      <c r="R39" s="42">
        <f>VLOOKUP($A39,'Neraca Unaudited SIMAK'!$A$2:$R$1272,17,FALSE)+IF(ISNA(VLOOKUP($A39,'Mutasi Neraca'!$A$3:$S$910,17,FALSE)),0,VLOOKUP($A39,'Mutasi Neraca'!$A$3:$S$910,17,FALSE))</f>
        <v>-114247750</v>
      </c>
      <c r="S39" s="42">
        <f t="shared" si="2"/>
        <v>4818157692</v>
      </c>
      <c r="U39" s="109" t="s">
        <v>2286</v>
      </c>
      <c r="V39" s="51">
        <f t="shared" ref="V39:AK39" si="38">SUMIFS(D$2:D$1270,$B$2:$B$1270,"005030199")</f>
        <v>767538072</v>
      </c>
      <c r="W39" s="51">
        <f t="shared" si="38"/>
        <v>302589935000</v>
      </c>
      <c r="X39" s="51">
        <f t="shared" si="38"/>
        <v>21831257576</v>
      </c>
      <c r="Y39" s="51">
        <f t="shared" si="38"/>
        <v>17602045391</v>
      </c>
      <c r="Z39" s="51">
        <f t="shared" si="38"/>
        <v>454644146</v>
      </c>
      <c r="AA39" s="51">
        <f t="shared" si="38"/>
        <v>128459011</v>
      </c>
      <c r="AB39" s="51">
        <f t="shared" si="38"/>
        <v>0</v>
      </c>
      <c r="AC39" s="51">
        <f t="shared" si="38"/>
        <v>2075467994</v>
      </c>
      <c r="AD39" s="51">
        <f t="shared" si="38"/>
        <v>113624276</v>
      </c>
      <c r="AE39" s="51">
        <f t="shared" si="38"/>
        <v>345562971466</v>
      </c>
      <c r="AF39" s="51">
        <f t="shared" si="38"/>
        <v>-15406495275</v>
      </c>
      <c r="AG39" s="51">
        <f t="shared" si="38"/>
        <v>-3875084441</v>
      </c>
      <c r="AH39" s="51">
        <f t="shared" si="38"/>
        <v>-234826495</v>
      </c>
      <c r="AI39" s="51">
        <f t="shared" si="38"/>
        <v>0</v>
      </c>
      <c r="AJ39" s="51">
        <f t="shared" si="38"/>
        <v>-113624276</v>
      </c>
      <c r="AK39" s="51">
        <f t="shared" si="38"/>
        <v>325932940979</v>
      </c>
    </row>
    <row r="40" spans="1:37">
      <c r="A40" s="41" t="s">
        <v>47</v>
      </c>
      <c r="B40" s="41" t="str">
        <f t="shared" si="1"/>
        <v>005010200</v>
      </c>
      <c r="D40" s="42">
        <f>VLOOKUP($A40,'Neraca Unaudited SIMAK'!$A$2:$R$1272,3,FALSE)+IF(ISNA(VLOOKUP($A40,'Mutasi Neraca'!$A$3:$S$910,3,FALSE)),0,VLOOKUP($A40,'Mutasi Neraca'!$A$3:$S$910,3,FALSE))</f>
        <v>2497500</v>
      </c>
      <c r="E40" s="42">
        <f>VLOOKUP($A40,'Neraca Unaudited SIMAK'!$A$2:$R$1272,4,FALSE)+IF(ISNA(VLOOKUP($A40,'Mutasi Neraca'!$A$3:$S$910,4,FALSE)),0,VLOOKUP($A40,'Mutasi Neraca'!$A$3:$S$910,4,FALSE))</f>
        <v>4864550000</v>
      </c>
      <c r="F40" s="42">
        <f>VLOOKUP($A40,'Neraca Unaudited SIMAK'!$A$2:$R$1272,5,FALSE)+IF(ISNA(VLOOKUP($A40,'Mutasi Neraca'!$A$3:$S$910,5,FALSE)),0,VLOOKUP($A40,'Mutasi Neraca'!$A$3:$S$910,5,FALSE))</f>
        <v>3607243299</v>
      </c>
      <c r="G40" s="42">
        <f>VLOOKUP($A40,'Neraca Unaudited SIMAK'!$A$2:$R$1272,6,FALSE)+IF(ISNA(VLOOKUP($A40,'Mutasi Neraca'!$A$3:$S$910,6,FALSE)),0,VLOOKUP($A40,'Mutasi Neraca'!$A$3:$S$910,6,FALSE))</f>
        <v>5264610826</v>
      </c>
      <c r="H40" s="42">
        <f>VLOOKUP($A40,'Neraca Unaudited SIMAK'!$A$2:$R$1272,7,FALSE)+IF(ISNA(VLOOKUP($A40,'Mutasi Neraca'!$A$3:$S$910,7,FALSE)),0,VLOOKUP($A40,'Mutasi Neraca'!$A$3:$S$910,7,FALSE))</f>
        <v>25000000</v>
      </c>
      <c r="I40" s="42">
        <f>VLOOKUP($A40,'Neraca Unaudited SIMAK'!$A$2:$R$1272,8,FALSE)+IF(ISNA(VLOOKUP($A40,'Mutasi Neraca'!$A$3:$S$910,8,FALSE)),0,VLOOKUP($A40,'Mutasi Neraca'!$A$3:$S$910,8,FALSE))</f>
        <v>28073562</v>
      </c>
      <c r="J40" s="42">
        <f>VLOOKUP($A40,'Neraca Unaudited SIMAK'!$A$2:$R$1272,9,FALSE)+IF(ISNA(VLOOKUP($A40,'Mutasi Neraca'!$A$3:$S$910,9,FALSE)),0,VLOOKUP($A40,'Mutasi Neraca'!$A$3:$S$910,9,FALSE))</f>
        <v>0</v>
      </c>
      <c r="K40" s="42">
        <f>VLOOKUP($A40,'Neraca Unaudited SIMAK'!$A$2:$R$1272,10,FALSE)+IF(ISNA(VLOOKUP($A40,'Mutasi Neraca'!$A$3:$S$910,10,FALSE)),0,VLOOKUP($A40,'Mutasi Neraca'!$A$3:$S$910,10,FALSE))</f>
        <v>6500000</v>
      </c>
      <c r="L40" s="42">
        <f>VLOOKUP($A40,'Neraca Unaudited SIMAK'!$A$2:$R$1272,11,FALSE)+IF(ISNA(VLOOKUP($A40,'Mutasi Neraca'!$A$3:$S$910,11,FALSE)),0,VLOOKUP($A40,'Mutasi Neraca'!$A$3:$S$910,11,FALSE))</f>
        <v>29400000</v>
      </c>
      <c r="M40" s="42">
        <f>VLOOKUP($A40,'Neraca Unaudited SIMAK'!$A$2:$R$1272,12,FALSE)+IF(ISNA(VLOOKUP($A40,'Mutasi Neraca'!$A$3:$S$910,12,FALSE)),0,VLOOKUP($A40,'Mutasi Neraca'!$A$3:$S$910,12,FALSE))</f>
        <v>13827875187</v>
      </c>
      <c r="N40" s="42">
        <f>VLOOKUP($A40,'Neraca Unaudited SIMAK'!$A$2:$R$1272,13,FALSE)+IF(ISNA(VLOOKUP($A40,'Mutasi Neraca'!$A$3:$S$910,13,FALSE)),0,VLOOKUP($A40,'Mutasi Neraca'!$A$3:$S$910,13,FALSE))</f>
        <v>-3365212552</v>
      </c>
      <c r="O40" s="42">
        <f>VLOOKUP($A40,'Neraca Unaudited SIMAK'!$A$2:$R$1272,14,FALSE)+IF(ISNA(VLOOKUP($A40,'Mutasi Neraca'!$A$3:$S$910,14,FALSE)),0,VLOOKUP($A40,'Mutasi Neraca'!$A$3:$S$910,14,FALSE))</f>
        <v>-1141516688</v>
      </c>
      <c r="P40" s="42">
        <f>VLOOKUP($A40,'Neraca Unaudited SIMAK'!$A$2:$R$1272,15,FALSE)+IF(ISNA(VLOOKUP($A40,'Mutasi Neraca'!$A$3:$S$910,15,FALSE)),0,VLOOKUP($A40,'Mutasi Neraca'!$A$3:$S$910,15,FALSE))</f>
        <v>-4375000</v>
      </c>
      <c r="Q40" s="42">
        <f>VLOOKUP($A40,'Neraca Unaudited SIMAK'!$A$2:$R$1272,16,FALSE)+IF(ISNA(VLOOKUP($A40,'Mutasi Neraca'!$A$3:$S$910,16,FALSE)),0,VLOOKUP($A40,'Mutasi Neraca'!$A$3:$S$910,16,FALSE))</f>
        <v>0</v>
      </c>
      <c r="R40" s="42">
        <f>VLOOKUP($A40,'Neraca Unaudited SIMAK'!$A$2:$R$1272,17,FALSE)+IF(ISNA(VLOOKUP($A40,'Mutasi Neraca'!$A$3:$S$910,17,FALSE)),0,VLOOKUP($A40,'Mutasi Neraca'!$A$3:$S$910,17,FALSE))</f>
        <v>-29400000</v>
      </c>
      <c r="S40" s="42">
        <f t="shared" si="2"/>
        <v>9287370947</v>
      </c>
      <c r="U40" s="109" t="s">
        <v>2287</v>
      </c>
      <c r="V40" s="51">
        <f t="shared" ref="V40:AK40" si="39">SUMIFS(D$2:D$1270,$B$2:$B$1270,"005040199")</f>
        <v>425901204</v>
      </c>
      <c r="W40" s="51">
        <f t="shared" si="39"/>
        <v>0</v>
      </c>
      <c r="X40" s="51">
        <f t="shared" si="39"/>
        <v>25119527124</v>
      </c>
      <c r="Y40" s="51">
        <f t="shared" si="39"/>
        <v>0</v>
      </c>
      <c r="Z40" s="51">
        <f t="shared" si="39"/>
        <v>0</v>
      </c>
      <c r="AA40" s="51">
        <f t="shared" si="39"/>
        <v>480364250</v>
      </c>
      <c r="AB40" s="51">
        <f t="shared" si="39"/>
        <v>0</v>
      </c>
      <c r="AC40" s="51">
        <f t="shared" si="39"/>
        <v>976591725</v>
      </c>
      <c r="AD40" s="51">
        <f t="shared" si="39"/>
        <v>116460000</v>
      </c>
      <c r="AE40" s="51">
        <f t="shared" si="39"/>
        <v>27118844303</v>
      </c>
      <c r="AF40" s="51">
        <f t="shared" si="39"/>
        <v>-17008554091</v>
      </c>
      <c r="AG40" s="51">
        <f t="shared" si="39"/>
        <v>0</v>
      </c>
      <c r="AH40" s="51">
        <f t="shared" si="39"/>
        <v>0</v>
      </c>
      <c r="AI40" s="51">
        <f t="shared" si="39"/>
        <v>0</v>
      </c>
      <c r="AJ40" s="51">
        <f t="shared" si="39"/>
        <v>-116460000</v>
      </c>
      <c r="AK40" s="51">
        <f t="shared" si="39"/>
        <v>9993830212</v>
      </c>
    </row>
    <row r="41" spans="1:37">
      <c r="A41" s="41" t="s">
        <v>48</v>
      </c>
      <c r="B41" s="41" t="str">
        <f t="shared" si="1"/>
        <v>005010200</v>
      </c>
      <c r="D41" s="42">
        <f>VLOOKUP($A41,'Neraca Unaudited SIMAK'!$A$2:$R$1272,3,FALSE)+IF(ISNA(VLOOKUP($A41,'Mutasi Neraca'!$A$3:$S$910,3,FALSE)),0,VLOOKUP($A41,'Mutasi Neraca'!$A$3:$S$910,3,FALSE))</f>
        <v>0</v>
      </c>
      <c r="E41" s="42">
        <f>VLOOKUP($A41,'Neraca Unaudited SIMAK'!$A$2:$R$1272,4,FALSE)+IF(ISNA(VLOOKUP($A41,'Mutasi Neraca'!$A$3:$S$910,4,FALSE)),0,VLOOKUP($A41,'Mutasi Neraca'!$A$3:$S$910,4,FALSE))</f>
        <v>3231800000</v>
      </c>
      <c r="F41" s="42">
        <f>VLOOKUP($A41,'Neraca Unaudited SIMAK'!$A$2:$R$1272,5,FALSE)+IF(ISNA(VLOOKUP($A41,'Mutasi Neraca'!$A$3:$S$910,5,FALSE)),0,VLOOKUP($A41,'Mutasi Neraca'!$A$3:$S$910,5,FALSE))</f>
        <v>2991452231</v>
      </c>
      <c r="G41" s="42">
        <f>VLOOKUP($A41,'Neraca Unaudited SIMAK'!$A$2:$R$1272,6,FALSE)+IF(ISNA(VLOOKUP($A41,'Mutasi Neraca'!$A$3:$S$910,6,FALSE)),0,VLOOKUP($A41,'Mutasi Neraca'!$A$3:$S$910,6,FALSE))</f>
        <v>7730613923</v>
      </c>
      <c r="H41" s="42">
        <f>VLOOKUP($A41,'Neraca Unaudited SIMAK'!$A$2:$R$1272,7,FALSE)+IF(ISNA(VLOOKUP($A41,'Mutasi Neraca'!$A$3:$S$910,7,FALSE)),0,VLOOKUP($A41,'Mutasi Neraca'!$A$3:$S$910,7,FALSE))</f>
        <v>0</v>
      </c>
      <c r="I41" s="42">
        <f>VLOOKUP($A41,'Neraca Unaudited SIMAK'!$A$2:$R$1272,8,FALSE)+IF(ISNA(VLOOKUP($A41,'Mutasi Neraca'!$A$3:$S$910,8,FALSE)),0,VLOOKUP($A41,'Mutasi Neraca'!$A$3:$S$910,8,FALSE))</f>
        <v>15858000</v>
      </c>
      <c r="J41" s="42">
        <f>VLOOKUP($A41,'Neraca Unaudited SIMAK'!$A$2:$R$1272,9,FALSE)+IF(ISNA(VLOOKUP($A41,'Mutasi Neraca'!$A$3:$S$910,9,FALSE)),0,VLOOKUP($A41,'Mutasi Neraca'!$A$3:$S$910,9,FALSE))</f>
        <v>0</v>
      </c>
      <c r="K41" s="42">
        <f>VLOOKUP($A41,'Neraca Unaudited SIMAK'!$A$2:$R$1272,10,FALSE)+IF(ISNA(VLOOKUP($A41,'Mutasi Neraca'!$A$3:$S$910,10,FALSE)),0,VLOOKUP($A41,'Mutasi Neraca'!$A$3:$S$910,10,FALSE))</f>
        <v>39600000</v>
      </c>
      <c r="L41" s="42">
        <f>VLOOKUP($A41,'Neraca Unaudited SIMAK'!$A$2:$R$1272,11,FALSE)+IF(ISNA(VLOOKUP($A41,'Mutasi Neraca'!$A$3:$S$910,11,FALSE)),0,VLOOKUP($A41,'Mutasi Neraca'!$A$3:$S$910,11,FALSE))</f>
        <v>0</v>
      </c>
      <c r="M41" s="42">
        <f>VLOOKUP($A41,'Neraca Unaudited SIMAK'!$A$2:$R$1272,12,FALSE)+IF(ISNA(VLOOKUP($A41,'Mutasi Neraca'!$A$3:$S$910,12,FALSE)),0,VLOOKUP($A41,'Mutasi Neraca'!$A$3:$S$910,12,FALSE))</f>
        <v>14009324154</v>
      </c>
      <c r="N41" s="42">
        <f>VLOOKUP($A41,'Neraca Unaudited SIMAK'!$A$2:$R$1272,13,FALSE)+IF(ISNA(VLOOKUP($A41,'Mutasi Neraca'!$A$3:$S$910,13,FALSE)),0,VLOOKUP($A41,'Mutasi Neraca'!$A$3:$S$910,13,FALSE))</f>
        <v>-2647660525</v>
      </c>
      <c r="O41" s="42">
        <f>VLOOKUP($A41,'Neraca Unaudited SIMAK'!$A$2:$R$1272,14,FALSE)+IF(ISNA(VLOOKUP($A41,'Mutasi Neraca'!$A$3:$S$910,14,FALSE)),0,VLOOKUP($A41,'Mutasi Neraca'!$A$3:$S$910,14,FALSE))</f>
        <v>-1300964286</v>
      </c>
      <c r="P41" s="42">
        <f>VLOOKUP($A41,'Neraca Unaudited SIMAK'!$A$2:$R$1272,15,FALSE)+IF(ISNA(VLOOKUP($A41,'Mutasi Neraca'!$A$3:$S$910,15,FALSE)),0,VLOOKUP($A41,'Mutasi Neraca'!$A$3:$S$910,15,FALSE))</f>
        <v>0</v>
      </c>
      <c r="Q41" s="42">
        <f>VLOOKUP($A41,'Neraca Unaudited SIMAK'!$A$2:$R$1272,16,FALSE)+IF(ISNA(VLOOKUP($A41,'Mutasi Neraca'!$A$3:$S$910,16,FALSE)),0,VLOOKUP($A41,'Mutasi Neraca'!$A$3:$S$910,16,FALSE))</f>
        <v>0</v>
      </c>
      <c r="R41" s="42">
        <f>VLOOKUP($A41,'Neraca Unaudited SIMAK'!$A$2:$R$1272,17,FALSE)+IF(ISNA(VLOOKUP($A41,'Mutasi Neraca'!$A$3:$S$910,17,FALSE)),0,VLOOKUP($A41,'Mutasi Neraca'!$A$3:$S$910,17,FALSE))</f>
        <v>0</v>
      </c>
      <c r="S41" s="42">
        <f t="shared" si="2"/>
        <v>10060699343</v>
      </c>
      <c r="U41" s="109" t="s">
        <v>2288</v>
      </c>
      <c r="V41" s="51">
        <f t="shared" ref="V41:AK41" si="40">SUMIFS(D$2:D$1270,$B$2:$B$1270,"005050199")</f>
        <v>14892848</v>
      </c>
      <c r="W41" s="51">
        <f t="shared" si="40"/>
        <v>24381940000</v>
      </c>
      <c r="X41" s="51">
        <f t="shared" si="40"/>
        <v>12001840776</v>
      </c>
      <c r="Y41" s="51">
        <f t="shared" si="40"/>
        <v>0</v>
      </c>
      <c r="Z41" s="51">
        <f t="shared" si="40"/>
        <v>0</v>
      </c>
      <c r="AA41" s="51">
        <f t="shared" si="40"/>
        <v>0</v>
      </c>
      <c r="AB41" s="51">
        <f t="shared" si="40"/>
        <v>0</v>
      </c>
      <c r="AC41" s="51">
        <f t="shared" si="40"/>
        <v>1383280130</v>
      </c>
      <c r="AD41" s="51">
        <f t="shared" si="40"/>
        <v>0</v>
      </c>
      <c r="AE41" s="51">
        <f t="shared" si="40"/>
        <v>37781953754</v>
      </c>
      <c r="AF41" s="51">
        <f t="shared" si="40"/>
        <v>-8600879582</v>
      </c>
      <c r="AG41" s="51">
        <f t="shared" si="40"/>
        <v>0</v>
      </c>
      <c r="AH41" s="51">
        <f t="shared" si="40"/>
        <v>0</v>
      </c>
      <c r="AI41" s="51">
        <f t="shared" si="40"/>
        <v>0</v>
      </c>
      <c r="AJ41" s="51">
        <f t="shared" si="40"/>
        <v>0</v>
      </c>
      <c r="AK41" s="51">
        <f t="shared" si="40"/>
        <v>29181074172</v>
      </c>
    </row>
    <row r="42" spans="1:37">
      <c r="A42" s="41" t="s">
        <v>49</v>
      </c>
      <c r="B42" s="41" t="str">
        <f t="shared" si="1"/>
        <v>005010200</v>
      </c>
      <c r="D42" s="42">
        <f>VLOOKUP($A42,'Neraca Unaudited SIMAK'!$A$2:$R$1272,3,FALSE)+IF(ISNA(VLOOKUP($A42,'Mutasi Neraca'!$A$3:$S$910,3,FALSE)),0,VLOOKUP($A42,'Mutasi Neraca'!$A$3:$S$910,3,FALSE))</f>
        <v>0</v>
      </c>
      <c r="E42" s="42">
        <f>VLOOKUP($A42,'Neraca Unaudited SIMAK'!$A$2:$R$1272,4,FALSE)+IF(ISNA(VLOOKUP($A42,'Mutasi Neraca'!$A$3:$S$910,4,FALSE)),0,VLOOKUP($A42,'Mutasi Neraca'!$A$3:$S$910,4,FALSE))</f>
        <v>2696305000</v>
      </c>
      <c r="F42" s="42">
        <f>VLOOKUP($A42,'Neraca Unaudited SIMAK'!$A$2:$R$1272,5,FALSE)+IF(ISNA(VLOOKUP($A42,'Mutasi Neraca'!$A$3:$S$910,5,FALSE)),0,VLOOKUP($A42,'Mutasi Neraca'!$A$3:$S$910,5,FALSE))</f>
        <v>1389008042</v>
      </c>
      <c r="G42" s="42">
        <f>VLOOKUP($A42,'Neraca Unaudited SIMAK'!$A$2:$R$1272,6,FALSE)+IF(ISNA(VLOOKUP($A42,'Mutasi Neraca'!$A$3:$S$910,6,FALSE)),0,VLOOKUP($A42,'Mutasi Neraca'!$A$3:$S$910,6,FALSE))</f>
        <v>1174707500</v>
      </c>
      <c r="H42" s="42">
        <f>VLOOKUP($A42,'Neraca Unaudited SIMAK'!$A$2:$R$1272,7,FALSE)+IF(ISNA(VLOOKUP($A42,'Mutasi Neraca'!$A$3:$S$910,7,FALSE)),0,VLOOKUP($A42,'Mutasi Neraca'!$A$3:$S$910,7,FALSE))</f>
        <v>1100000</v>
      </c>
      <c r="I42" s="42">
        <f>VLOOKUP($A42,'Neraca Unaudited SIMAK'!$A$2:$R$1272,8,FALSE)+IF(ISNA(VLOOKUP($A42,'Mutasi Neraca'!$A$3:$S$910,8,FALSE)),0,VLOOKUP($A42,'Mutasi Neraca'!$A$3:$S$910,8,FALSE))</f>
        <v>8975928</v>
      </c>
      <c r="J42" s="42">
        <f>VLOOKUP($A42,'Neraca Unaudited SIMAK'!$A$2:$R$1272,9,FALSE)+IF(ISNA(VLOOKUP($A42,'Mutasi Neraca'!$A$3:$S$910,9,FALSE)),0,VLOOKUP($A42,'Mutasi Neraca'!$A$3:$S$910,9,FALSE))</f>
        <v>0</v>
      </c>
      <c r="K42" s="42">
        <f>VLOOKUP($A42,'Neraca Unaudited SIMAK'!$A$2:$R$1272,10,FALSE)+IF(ISNA(VLOOKUP($A42,'Mutasi Neraca'!$A$3:$S$910,10,FALSE)),0,VLOOKUP($A42,'Mutasi Neraca'!$A$3:$S$910,10,FALSE))</f>
        <v>67905000</v>
      </c>
      <c r="L42" s="42">
        <f>VLOOKUP($A42,'Neraca Unaudited SIMAK'!$A$2:$R$1272,11,FALSE)+IF(ISNA(VLOOKUP($A42,'Mutasi Neraca'!$A$3:$S$910,11,FALSE)),0,VLOOKUP($A42,'Mutasi Neraca'!$A$3:$S$910,11,FALSE))</f>
        <v>27275000</v>
      </c>
      <c r="M42" s="42">
        <f>VLOOKUP($A42,'Neraca Unaudited SIMAK'!$A$2:$R$1272,12,FALSE)+IF(ISNA(VLOOKUP($A42,'Mutasi Neraca'!$A$3:$S$910,12,FALSE)),0,VLOOKUP($A42,'Mutasi Neraca'!$A$3:$S$910,12,FALSE))</f>
        <v>5365276470</v>
      </c>
      <c r="N42" s="42">
        <f>VLOOKUP($A42,'Neraca Unaudited SIMAK'!$A$2:$R$1272,13,FALSE)+IF(ISNA(VLOOKUP($A42,'Mutasi Neraca'!$A$3:$S$910,13,FALSE)),0,VLOOKUP($A42,'Mutasi Neraca'!$A$3:$S$910,13,FALSE))</f>
        <v>-1252042855</v>
      </c>
      <c r="O42" s="42">
        <f>VLOOKUP($A42,'Neraca Unaudited SIMAK'!$A$2:$R$1272,14,FALSE)+IF(ISNA(VLOOKUP($A42,'Mutasi Neraca'!$A$3:$S$910,14,FALSE)),0,VLOOKUP($A42,'Mutasi Neraca'!$A$3:$S$910,14,FALSE))</f>
        <v>-322270684</v>
      </c>
      <c r="P42" s="42">
        <f>VLOOKUP($A42,'Neraca Unaudited SIMAK'!$A$2:$R$1272,15,FALSE)+IF(ISNA(VLOOKUP($A42,'Mutasi Neraca'!$A$3:$S$910,15,FALSE)),0,VLOOKUP($A42,'Mutasi Neraca'!$A$3:$S$910,15,FALSE))</f>
        <v>-880000</v>
      </c>
      <c r="Q42" s="42">
        <f>VLOOKUP($A42,'Neraca Unaudited SIMAK'!$A$2:$R$1272,16,FALSE)+IF(ISNA(VLOOKUP($A42,'Mutasi Neraca'!$A$3:$S$910,16,FALSE)),0,VLOOKUP($A42,'Mutasi Neraca'!$A$3:$S$910,16,FALSE))</f>
        <v>0</v>
      </c>
      <c r="R42" s="42">
        <f>VLOOKUP($A42,'Neraca Unaudited SIMAK'!$A$2:$R$1272,17,FALSE)+IF(ISNA(VLOOKUP($A42,'Mutasi Neraca'!$A$3:$S$910,17,FALSE)),0,VLOOKUP($A42,'Mutasi Neraca'!$A$3:$S$910,17,FALSE))</f>
        <v>-27275000</v>
      </c>
      <c r="S42" s="42">
        <f t="shared" si="2"/>
        <v>3762807931</v>
      </c>
      <c r="U42" s="109" t="s">
        <v>2289</v>
      </c>
      <c r="V42" s="51">
        <f t="shared" ref="V42:AK42" si="41">SUMIFS(D$2:D$1270,$B$2:$B$1270,"005060199")</f>
        <v>70859014</v>
      </c>
      <c r="W42" s="51">
        <f t="shared" si="41"/>
        <v>15198558000</v>
      </c>
      <c r="X42" s="51">
        <f t="shared" si="41"/>
        <v>80552204704</v>
      </c>
      <c r="Y42" s="51">
        <f t="shared" si="41"/>
        <v>118367878880</v>
      </c>
      <c r="Z42" s="51">
        <f t="shared" si="41"/>
        <v>44016220236</v>
      </c>
      <c r="AA42" s="51">
        <f t="shared" si="41"/>
        <v>1777076600</v>
      </c>
      <c r="AB42" s="51">
        <f t="shared" si="41"/>
        <v>0</v>
      </c>
      <c r="AC42" s="51">
        <f t="shared" si="41"/>
        <v>358616471</v>
      </c>
      <c r="AD42" s="51">
        <f t="shared" si="41"/>
        <v>0</v>
      </c>
      <c r="AE42" s="51">
        <f t="shared" si="41"/>
        <v>260341413905</v>
      </c>
      <c r="AF42" s="51">
        <f t="shared" si="41"/>
        <v>-62930181040</v>
      </c>
      <c r="AG42" s="51">
        <f t="shared" si="41"/>
        <v>-9479345689</v>
      </c>
      <c r="AH42" s="51">
        <f t="shared" si="41"/>
        <v>-10414327233</v>
      </c>
      <c r="AI42" s="51">
        <f t="shared" si="41"/>
        <v>0</v>
      </c>
      <c r="AJ42" s="51">
        <f t="shared" si="41"/>
        <v>0</v>
      </c>
      <c r="AK42" s="51">
        <f t="shared" si="41"/>
        <v>177517559943</v>
      </c>
    </row>
    <row r="43" spans="1:37">
      <c r="A43" s="41" t="s">
        <v>50</v>
      </c>
      <c r="B43" s="41" t="str">
        <f t="shared" si="1"/>
        <v>005010200</v>
      </c>
      <c r="D43" s="42">
        <f>VLOOKUP($A43,'Neraca Unaudited SIMAK'!$A$2:$R$1272,3,FALSE)+IF(ISNA(VLOOKUP($A43,'Mutasi Neraca'!$A$3:$S$910,3,FALSE)),0,VLOOKUP($A43,'Mutasi Neraca'!$A$3:$S$910,3,FALSE))</f>
        <v>1678550</v>
      </c>
      <c r="E43" s="42">
        <f>VLOOKUP($A43,'Neraca Unaudited SIMAK'!$A$2:$R$1272,4,FALSE)+IF(ISNA(VLOOKUP($A43,'Mutasi Neraca'!$A$3:$S$910,4,FALSE)),0,VLOOKUP($A43,'Mutasi Neraca'!$A$3:$S$910,4,FALSE))</f>
        <v>3116911200</v>
      </c>
      <c r="F43" s="42">
        <f>VLOOKUP($A43,'Neraca Unaudited SIMAK'!$A$2:$R$1272,5,FALSE)+IF(ISNA(VLOOKUP($A43,'Mutasi Neraca'!$A$3:$S$910,5,FALSE)),0,VLOOKUP($A43,'Mutasi Neraca'!$A$3:$S$910,5,FALSE))</f>
        <v>3128947169</v>
      </c>
      <c r="G43" s="42">
        <f>VLOOKUP($A43,'Neraca Unaudited SIMAK'!$A$2:$R$1272,6,FALSE)+IF(ISNA(VLOOKUP($A43,'Mutasi Neraca'!$A$3:$S$910,6,FALSE)),0,VLOOKUP($A43,'Mutasi Neraca'!$A$3:$S$910,6,FALSE))</f>
        <v>10964997925</v>
      </c>
      <c r="H43" s="42">
        <f>VLOOKUP($A43,'Neraca Unaudited SIMAK'!$A$2:$R$1272,7,FALSE)+IF(ISNA(VLOOKUP($A43,'Mutasi Neraca'!$A$3:$S$910,7,FALSE)),0,VLOOKUP($A43,'Mutasi Neraca'!$A$3:$S$910,7,FALSE))</f>
        <v>0</v>
      </c>
      <c r="I43" s="42">
        <f>VLOOKUP($A43,'Neraca Unaudited SIMAK'!$A$2:$R$1272,8,FALSE)+IF(ISNA(VLOOKUP($A43,'Mutasi Neraca'!$A$3:$S$910,8,FALSE)),0,VLOOKUP($A43,'Mutasi Neraca'!$A$3:$S$910,8,FALSE))</f>
        <v>0</v>
      </c>
      <c r="J43" s="42">
        <f>VLOOKUP($A43,'Neraca Unaudited SIMAK'!$A$2:$R$1272,9,FALSE)+IF(ISNA(VLOOKUP($A43,'Mutasi Neraca'!$A$3:$S$910,9,FALSE)),0,VLOOKUP($A43,'Mutasi Neraca'!$A$3:$S$910,9,FALSE))</f>
        <v>0</v>
      </c>
      <c r="K43" s="42">
        <f>VLOOKUP($A43,'Neraca Unaudited SIMAK'!$A$2:$R$1272,10,FALSE)+IF(ISNA(VLOOKUP($A43,'Mutasi Neraca'!$A$3:$S$910,10,FALSE)),0,VLOOKUP($A43,'Mutasi Neraca'!$A$3:$S$910,10,FALSE))</f>
        <v>69300000</v>
      </c>
      <c r="L43" s="42">
        <f>VLOOKUP($A43,'Neraca Unaudited SIMAK'!$A$2:$R$1272,11,FALSE)+IF(ISNA(VLOOKUP($A43,'Mutasi Neraca'!$A$3:$S$910,11,FALSE)),0,VLOOKUP($A43,'Mutasi Neraca'!$A$3:$S$910,11,FALSE))</f>
        <v>129280300</v>
      </c>
      <c r="M43" s="42">
        <f>VLOOKUP($A43,'Neraca Unaudited SIMAK'!$A$2:$R$1272,12,FALSE)+IF(ISNA(VLOOKUP($A43,'Mutasi Neraca'!$A$3:$S$910,12,FALSE)),0,VLOOKUP($A43,'Mutasi Neraca'!$A$3:$S$910,12,FALSE))</f>
        <v>17411115144</v>
      </c>
      <c r="N43" s="42">
        <f>VLOOKUP($A43,'Neraca Unaudited SIMAK'!$A$2:$R$1272,13,FALSE)+IF(ISNA(VLOOKUP($A43,'Mutasi Neraca'!$A$3:$S$910,13,FALSE)),0,VLOOKUP($A43,'Mutasi Neraca'!$A$3:$S$910,13,FALSE))</f>
        <v>-1834087211</v>
      </c>
      <c r="O43" s="42">
        <f>VLOOKUP($A43,'Neraca Unaudited SIMAK'!$A$2:$R$1272,14,FALSE)+IF(ISNA(VLOOKUP($A43,'Mutasi Neraca'!$A$3:$S$910,14,FALSE)),0,VLOOKUP($A43,'Mutasi Neraca'!$A$3:$S$910,14,FALSE))</f>
        <v>-271453980</v>
      </c>
      <c r="P43" s="42">
        <f>VLOOKUP($A43,'Neraca Unaudited SIMAK'!$A$2:$R$1272,15,FALSE)+IF(ISNA(VLOOKUP($A43,'Mutasi Neraca'!$A$3:$S$910,15,FALSE)),0,VLOOKUP($A43,'Mutasi Neraca'!$A$3:$S$910,15,FALSE))</f>
        <v>0</v>
      </c>
      <c r="Q43" s="42">
        <f>VLOOKUP($A43,'Neraca Unaudited SIMAK'!$A$2:$R$1272,16,FALSE)+IF(ISNA(VLOOKUP($A43,'Mutasi Neraca'!$A$3:$S$910,16,FALSE)),0,VLOOKUP($A43,'Mutasi Neraca'!$A$3:$S$910,16,FALSE))</f>
        <v>0</v>
      </c>
      <c r="R43" s="42">
        <f>VLOOKUP($A43,'Neraca Unaudited SIMAK'!$A$2:$R$1272,17,FALSE)+IF(ISNA(VLOOKUP($A43,'Mutasi Neraca'!$A$3:$S$910,17,FALSE)),0,VLOOKUP($A43,'Mutasi Neraca'!$A$3:$S$910,17,FALSE))</f>
        <v>-129280300</v>
      </c>
      <c r="S43" s="42">
        <f t="shared" si="2"/>
        <v>15176293653</v>
      </c>
      <c r="U43" s="109" t="s">
        <v>2290</v>
      </c>
      <c r="V43" s="51">
        <f t="shared" ref="V43:AK43" si="42">SUMIFS(D$2:D$1270,$B$2:$B$1270,"005070199")</f>
        <v>326548278</v>
      </c>
      <c r="W43" s="51">
        <f t="shared" si="42"/>
        <v>0</v>
      </c>
      <c r="X43" s="51">
        <f t="shared" si="42"/>
        <v>12866232081</v>
      </c>
      <c r="Y43" s="51">
        <f t="shared" si="42"/>
        <v>0</v>
      </c>
      <c r="Z43" s="51">
        <f t="shared" si="42"/>
        <v>0</v>
      </c>
      <c r="AA43" s="51">
        <f t="shared" si="42"/>
        <v>485972140</v>
      </c>
      <c r="AB43" s="51">
        <f t="shared" si="42"/>
        <v>0</v>
      </c>
      <c r="AC43" s="51">
        <f t="shared" si="42"/>
        <v>1352133171</v>
      </c>
      <c r="AD43" s="51">
        <f t="shared" si="42"/>
        <v>0</v>
      </c>
      <c r="AE43" s="51">
        <f t="shared" si="42"/>
        <v>15030885670</v>
      </c>
      <c r="AF43" s="51">
        <f t="shared" si="42"/>
        <v>-11421501530</v>
      </c>
      <c r="AG43" s="51">
        <f t="shared" si="42"/>
        <v>0</v>
      </c>
      <c r="AH43" s="51">
        <f t="shared" si="42"/>
        <v>0</v>
      </c>
      <c r="AI43" s="51">
        <f t="shared" si="42"/>
        <v>0</v>
      </c>
      <c r="AJ43" s="51">
        <f t="shared" si="42"/>
        <v>0</v>
      </c>
      <c r="AK43" s="51">
        <f t="shared" si="42"/>
        <v>3609384140</v>
      </c>
    </row>
    <row r="44" spans="1:37">
      <c r="A44" s="41" t="s">
        <v>51</v>
      </c>
      <c r="B44" s="41" t="str">
        <f t="shared" si="1"/>
        <v>005010200</v>
      </c>
      <c r="D44" s="42">
        <f>VLOOKUP($A44,'Neraca Unaudited SIMAK'!$A$2:$R$1272,3,FALSE)+IF(ISNA(VLOOKUP($A44,'Mutasi Neraca'!$A$3:$S$910,3,FALSE)),0,VLOOKUP($A44,'Mutasi Neraca'!$A$3:$S$910,3,FALSE))</f>
        <v>13568156</v>
      </c>
      <c r="E44" s="42">
        <f>VLOOKUP($A44,'Neraca Unaudited SIMAK'!$A$2:$R$1272,4,FALSE)+IF(ISNA(VLOOKUP($A44,'Mutasi Neraca'!$A$3:$S$910,4,FALSE)),0,VLOOKUP($A44,'Mutasi Neraca'!$A$3:$S$910,4,FALSE))</f>
        <v>675834000</v>
      </c>
      <c r="F44" s="42">
        <f>VLOOKUP($A44,'Neraca Unaudited SIMAK'!$A$2:$R$1272,5,FALSE)+IF(ISNA(VLOOKUP($A44,'Mutasi Neraca'!$A$3:$S$910,5,FALSE)),0,VLOOKUP($A44,'Mutasi Neraca'!$A$3:$S$910,5,FALSE))</f>
        <v>2066231021</v>
      </c>
      <c r="G44" s="42">
        <f>VLOOKUP($A44,'Neraca Unaudited SIMAK'!$A$2:$R$1272,6,FALSE)+IF(ISNA(VLOOKUP($A44,'Mutasi Neraca'!$A$3:$S$910,6,FALSE)),0,VLOOKUP($A44,'Mutasi Neraca'!$A$3:$S$910,6,FALSE))</f>
        <v>6873834410</v>
      </c>
      <c r="H44" s="42">
        <f>VLOOKUP($A44,'Neraca Unaudited SIMAK'!$A$2:$R$1272,7,FALSE)+IF(ISNA(VLOOKUP($A44,'Mutasi Neraca'!$A$3:$S$910,7,FALSE)),0,VLOOKUP($A44,'Mutasi Neraca'!$A$3:$S$910,7,FALSE))</f>
        <v>6400000</v>
      </c>
      <c r="I44" s="42">
        <f>VLOOKUP($A44,'Neraca Unaudited SIMAK'!$A$2:$R$1272,8,FALSE)+IF(ISNA(VLOOKUP($A44,'Mutasi Neraca'!$A$3:$S$910,8,FALSE)),0,VLOOKUP($A44,'Mutasi Neraca'!$A$3:$S$910,8,FALSE))</f>
        <v>9876830</v>
      </c>
      <c r="J44" s="42">
        <f>VLOOKUP($A44,'Neraca Unaudited SIMAK'!$A$2:$R$1272,9,FALSE)+IF(ISNA(VLOOKUP($A44,'Mutasi Neraca'!$A$3:$S$910,9,FALSE)),0,VLOOKUP($A44,'Mutasi Neraca'!$A$3:$S$910,9,FALSE))</f>
        <v>0</v>
      </c>
      <c r="K44" s="42">
        <f>VLOOKUP($A44,'Neraca Unaudited SIMAK'!$A$2:$R$1272,10,FALSE)+IF(ISNA(VLOOKUP($A44,'Mutasi Neraca'!$A$3:$S$910,10,FALSE)),0,VLOOKUP($A44,'Mutasi Neraca'!$A$3:$S$910,10,FALSE))</f>
        <v>70800000</v>
      </c>
      <c r="L44" s="42">
        <f>VLOOKUP($A44,'Neraca Unaudited SIMAK'!$A$2:$R$1272,11,FALSE)+IF(ISNA(VLOOKUP($A44,'Mutasi Neraca'!$A$3:$S$910,11,FALSE)),0,VLOOKUP($A44,'Mutasi Neraca'!$A$3:$S$910,11,FALSE))</f>
        <v>97017750</v>
      </c>
      <c r="M44" s="42">
        <f>VLOOKUP($A44,'Neraca Unaudited SIMAK'!$A$2:$R$1272,12,FALSE)+IF(ISNA(VLOOKUP($A44,'Mutasi Neraca'!$A$3:$S$910,12,FALSE)),0,VLOOKUP($A44,'Mutasi Neraca'!$A$3:$S$910,12,FALSE))</f>
        <v>9813562167</v>
      </c>
      <c r="N44" s="42">
        <f>VLOOKUP($A44,'Neraca Unaudited SIMAK'!$A$2:$R$1272,13,FALSE)+IF(ISNA(VLOOKUP($A44,'Mutasi Neraca'!$A$3:$S$910,13,FALSE)),0,VLOOKUP($A44,'Mutasi Neraca'!$A$3:$S$910,13,FALSE))</f>
        <v>-1831401868</v>
      </c>
      <c r="O44" s="42">
        <f>VLOOKUP($A44,'Neraca Unaudited SIMAK'!$A$2:$R$1272,14,FALSE)+IF(ISNA(VLOOKUP($A44,'Mutasi Neraca'!$A$3:$S$910,14,FALSE)),0,VLOOKUP($A44,'Mutasi Neraca'!$A$3:$S$910,14,FALSE))</f>
        <v>-1658467301</v>
      </c>
      <c r="P44" s="42">
        <f>VLOOKUP($A44,'Neraca Unaudited SIMAK'!$A$2:$R$1272,15,FALSE)+IF(ISNA(VLOOKUP($A44,'Mutasi Neraca'!$A$3:$S$910,15,FALSE)),0,VLOOKUP($A44,'Mutasi Neraca'!$A$3:$S$910,15,FALSE))</f>
        <v>-2488331</v>
      </c>
      <c r="Q44" s="42">
        <f>VLOOKUP($A44,'Neraca Unaudited SIMAK'!$A$2:$R$1272,16,FALSE)+IF(ISNA(VLOOKUP($A44,'Mutasi Neraca'!$A$3:$S$910,16,FALSE)),0,VLOOKUP($A44,'Mutasi Neraca'!$A$3:$S$910,16,FALSE))</f>
        <v>0</v>
      </c>
      <c r="R44" s="42">
        <f>VLOOKUP($A44,'Neraca Unaudited SIMAK'!$A$2:$R$1272,17,FALSE)+IF(ISNA(VLOOKUP($A44,'Mutasi Neraca'!$A$3:$S$910,17,FALSE)),0,VLOOKUP($A44,'Mutasi Neraca'!$A$3:$S$910,17,FALSE))</f>
        <v>-95967375</v>
      </c>
      <c r="S44" s="42">
        <f t="shared" si="2"/>
        <v>6225237292</v>
      </c>
      <c r="U44" s="108" t="s">
        <v>2291</v>
      </c>
      <c r="V44" s="42">
        <f t="shared" ref="V44:AK44" si="43">V35+V43</f>
        <v>3278692061</v>
      </c>
      <c r="W44" s="42">
        <f t="shared" si="43"/>
        <v>3867654236052</v>
      </c>
      <c r="X44" s="42">
        <f t="shared" si="43"/>
        <v>1663706227775</v>
      </c>
      <c r="Y44" s="42">
        <f t="shared" si="43"/>
        <v>5537639745061</v>
      </c>
      <c r="Z44" s="42">
        <f t="shared" si="43"/>
        <v>69952332573</v>
      </c>
      <c r="AA44" s="42">
        <f t="shared" si="43"/>
        <v>29070486157</v>
      </c>
      <c r="AB44" s="42">
        <f t="shared" si="43"/>
        <v>510061458167</v>
      </c>
      <c r="AC44" s="42">
        <f t="shared" si="43"/>
        <v>15321551517</v>
      </c>
      <c r="AD44" s="42">
        <f t="shared" si="43"/>
        <v>79895244178</v>
      </c>
      <c r="AE44" s="42">
        <f t="shared" si="43"/>
        <v>11776579973541</v>
      </c>
      <c r="AF44" s="42">
        <f t="shared" si="43"/>
        <v>-1317963146473</v>
      </c>
      <c r="AG44" s="42">
        <f t="shared" si="43"/>
        <v>-1051449335362</v>
      </c>
      <c r="AH44" s="42">
        <f t="shared" si="43"/>
        <v>-25649732018</v>
      </c>
      <c r="AI44" s="42">
        <f t="shared" si="43"/>
        <v>-436279605</v>
      </c>
      <c r="AJ44" s="42">
        <f t="shared" si="43"/>
        <v>-62576992245</v>
      </c>
      <c r="AK44" s="42">
        <f t="shared" si="43"/>
        <v>9318504487838</v>
      </c>
    </row>
    <row r="45" spans="1:37">
      <c r="A45" s="41" t="s">
        <v>52</v>
      </c>
      <c r="B45" s="41" t="str">
        <f t="shared" si="1"/>
        <v>005010200</v>
      </c>
      <c r="D45" s="42">
        <f>VLOOKUP($A45,'Neraca Unaudited SIMAK'!$A$2:$R$1272,3,FALSE)+IF(ISNA(VLOOKUP($A45,'Mutasi Neraca'!$A$3:$S$910,3,FALSE)),0,VLOOKUP($A45,'Mutasi Neraca'!$A$3:$S$910,3,FALSE))</f>
        <v>151000</v>
      </c>
      <c r="E45" s="42">
        <f>VLOOKUP($A45,'Neraca Unaudited SIMAK'!$A$2:$R$1272,4,FALSE)+IF(ISNA(VLOOKUP($A45,'Mutasi Neraca'!$A$3:$S$910,4,FALSE)),0,VLOOKUP($A45,'Mutasi Neraca'!$A$3:$S$910,4,FALSE))</f>
        <v>978862000</v>
      </c>
      <c r="F45" s="42">
        <f>VLOOKUP($A45,'Neraca Unaudited SIMAK'!$A$2:$R$1272,5,FALSE)+IF(ISNA(VLOOKUP($A45,'Mutasi Neraca'!$A$3:$S$910,5,FALSE)),0,VLOOKUP($A45,'Mutasi Neraca'!$A$3:$S$910,5,FALSE))</f>
        <v>2746455884</v>
      </c>
      <c r="G45" s="42">
        <f>VLOOKUP($A45,'Neraca Unaudited SIMAK'!$A$2:$R$1272,6,FALSE)+IF(ISNA(VLOOKUP($A45,'Mutasi Neraca'!$A$3:$S$910,6,FALSE)),0,VLOOKUP($A45,'Mutasi Neraca'!$A$3:$S$910,6,FALSE))</f>
        <v>8315442770</v>
      </c>
      <c r="H45" s="42">
        <f>VLOOKUP($A45,'Neraca Unaudited SIMAK'!$A$2:$R$1272,7,FALSE)+IF(ISNA(VLOOKUP($A45,'Mutasi Neraca'!$A$3:$S$910,7,FALSE)),0,VLOOKUP($A45,'Mutasi Neraca'!$A$3:$S$910,7,FALSE))</f>
        <v>0</v>
      </c>
      <c r="I45" s="42">
        <f>VLOOKUP($A45,'Neraca Unaudited SIMAK'!$A$2:$R$1272,8,FALSE)+IF(ISNA(VLOOKUP($A45,'Mutasi Neraca'!$A$3:$S$910,8,FALSE)),0,VLOOKUP($A45,'Mutasi Neraca'!$A$3:$S$910,8,FALSE))</f>
        <v>59508351</v>
      </c>
      <c r="J45" s="42">
        <f>VLOOKUP($A45,'Neraca Unaudited SIMAK'!$A$2:$R$1272,9,FALSE)+IF(ISNA(VLOOKUP($A45,'Mutasi Neraca'!$A$3:$S$910,9,FALSE)),0,VLOOKUP($A45,'Mutasi Neraca'!$A$3:$S$910,9,FALSE))</f>
        <v>0</v>
      </c>
      <c r="K45" s="42">
        <f>VLOOKUP($A45,'Neraca Unaudited SIMAK'!$A$2:$R$1272,10,FALSE)+IF(ISNA(VLOOKUP($A45,'Mutasi Neraca'!$A$3:$S$910,10,FALSE)),0,VLOOKUP($A45,'Mutasi Neraca'!$A$3:$S$910,10,FALSE))</f>
        <v>7000000</v>
      </c>
      <c r="L45" s="42">
        <f>VLOOKUP($A45,'Neraca Unaudited SIMAK'!$A$2:$R$1272,11,FALSE)+IF(ISNA(VLOOKUP($A45,'Mutasi Neraca'!$A$3:$S$910,11,FALSE)),0,VLOOKUP($A45,'Mutasi Neraca'!$A$3:$S$910,11,FALSE))</f>
        <v>36418250</v>
      </c>
      <c r="M45" s="42">
        <f>VLOOKUP($A45,'Neraca Unaudited SIMAK'!$A$2:$R$1272,12,FALSE)+IF(ISNA(VLOOKUP($A45,'Mutasi Neraca'!$A$3:$S$910,12,FALSE)),0,VLOOKUP($A45,'Mutasi Neraca'!$A$3:$S$910,12,FALSE))</f>
        <v>12143838255</v>
      </c>
      <c r="N45" s="42">
        <f>VLOOKUP($A45,'Neraca Unaudited SIMAK'!$A$2:$R$1272,13,FALSE)+IF(ISNA(VLOOKUP($A45,'Mutasi Neraca'!$A$3:$S$910,13,FALSE)),0,VLOOKUP($A45,'Mutasi Neraca'!$A$3:$S$910,13,FALSE))</f>
        <v>-2369916258</v>
      </c>
      <c r="O45" s="42">
        <f>VLOOKUP($A45,'Neraca Unaudited SIMAK'!$A$2:$R$1272,14,FALSE)+IF(ISNA(VLOOKUP($A45,'Mutasi Neraca'!$A$3:$S$910,14,FALSE)),0,VLOOKUP($A45,'Mutasi Neraca'!$A$3:$S$910,14,FALSE))</f>
        <v>-1106442091</v>
      </c>
      <c r="P45" s="42">
        <f>VLOOKUP($A45,'Neraca Unaudited SIMAK'!$A$2:$R$1272,15,FALSE)+IF(ISNA(VLOOKUP($A45,'Mutasi Neraca'!$A$3:$S$910,15,FALSE)),0,VLOOKUP($A45,'Mutasi Neraca'!$A$3:$S$910,15,FALSE))</f>
        <v>0</v>
      </c>
      <c r="Q45" s="42">
        <f>VLOOKUP($A45,'Neraca Unaudited SIMAK'!$A$2:$R$1272,16,FALSE)+IF(ISNA(VLOOKUP($A45,'Mutasi Neraca'!$A$3:$S$910,16,FALSE)),0,VLOOKUP($A45,'Mutasi Neraca'!$A$3:$S$910,16,FALSE))</f>
        <v>0</v>
      </c>
      <c r="R45" s="42">
        <f>VLOOKUP($A45,'Neraca Unaudited SIMAK'!$A$2:$R$1272,17,FALSE)+IF(ISNA(VLOOKUP($A45,'Mutasi Neraca'!$A$3:$S$910,17,FALSE)),0,VLOOKUP($A45,'Mutasi Neraca'!$A$3:$S$910,17,FALSE))</f>
        <v>-36418250</v>
      </c>
      <c r="S45" s="42">
        <f t="shared" si="2"/>
        <v>8631061656</v>
      </c>
    </row>
    <row r="46" spans="1:37">
      <c r="A46" s="41" t="s">
        <v>53</v>
      </c>
      <c r="B46" s="41" t="str">
        <f t="shared" si="1"/>
        <v>005010200</v>
      </c>
      <c r="D46" s="42">
        <f>VLOOKUP($A46,'Neraca Unaudited SIMAK'!$A$2:$R$1272,3,FALSE)+IF(ISNA(VLOOKUP($A46,'Mutasi Neraca'!$A$3:$S$910,3,FALSE)),0,VLOOKUP($A46,'Mutasi Neraca'!$A$3:$S$910,3,FALSE))</f>
        <v>7744900</v>
      </c>
      <c r="E46" s="42">
        <f>VLOOKUP($A46,'Neraca Unaudited SIMAK'!$A$2:$R$1272,4,FALSE)+IF(ISNA(VLOOKUP($A46,'Mutasi Neraca'!$A$3:$S$910,4,FALSE)),0,VLOOKUP($A46,'Mutasi Neraca'!$A$3:$S$910,4,FALSE))</f>
        <v>2582010000</v>
      </c>
      <c r="F46" s="42">
        <f>VLOOKUP($A46,'Neraca Unaudited SIMAK'!$A$2:$R$1272,5,FALSE)+IF(ISNA(VLOOKUP($A46,'Mutasi Neraca'!$A$3:$S$910,5,FALSE)),0,VLOOKUP($A46,'Mutasi Neraca'!$A$3:$S$910,5,FALSE))</f>
        <v>2201160573</v>
      </c>
      <c r="G46" s="42">
        <f>VLOOKUP($A46,'Neraca Unaudited SIMAK'!$A$2:$R$1272,6,FALSE)+IF(ISNA(VLOOKUP($A46,'Mutasi Neraca'!$A$3:$S$910,6,FALSE)),0,VLOOKUP($A46,'Mutasi Neraca'!$A$3:$S$910,6,FALSE))</f>
        <v>9592303988</v>
      </c>
      <c r="H46" s="42">
        <f>VLOOKUP($A46,'Neraca Unaudited SIMAK'!$A$2:$R$1272,7,FALSE)+IF(ISNA(VLOOKUP($A46,'Mutasi Neraca'!$A$3:$S$910,7,FALSE)),0,VLOOKUP($A46,'Mutasi Neraca'!$A$3:$S$910,7,FALSE))</f>
        <v>0</v>
      </c>
      <c r="I46" s="42">
        <f>VLOOKUP($A46,'Neraca Unaudited SIMAK'!$A$2:$R$1272,8,FALSE)+IF(ISNA(VLOOKUP($A46,'Mutasi Neraca'!$A$3:$S$910,8,FALSE)),0,VLOOKUP($A46,'Mutasi Neraca'!$A$3:$S$910,8,FALSE))</f>
        <v>408000</v>
      </c>
      <c r="J46" s="42">
        <f>VLOOKUP($A46,'Neraca Unaudited SIMAK'!$A$2:$R$1272,9,FALSE)+IF(ISNA(VLOOKUP($A46,'Mutasi Neraca'!$A$3:$S$910,9,FALSE)),0,VLOOKUP($A46,'Mutasi Neraca'!$A$3:$S$910,9,FALSE))</f>
        <v>0</v>
      </c>
      <c r="K46" s="42">
        <f>VLOOKUP($A46,'Neraca Unaudited SIMAK'!$A$2:$R$1272,10,FALSE)+IF(ISNA(VLOOKUP($A46,'Mutasi Neraca'!$A$3:$S$910,10,FALSE)),0,VLOOKUP($A46,'Mutasi Neraca'!$A$3:$S$910,10,FALSE))</f>
        <v>50400000</v>
      </c>
      <c r="L46" s="42">
        <f>VLOOKUP($A46,'Neraca Unaudited SIMAK'!$A$2:$R$1272,11,FALSE)+IF(ISNA(VLOOKUP($A46,'Mutasi Neraca'!$A$3:$S$910,11,FALSE)),0,VLOOKUP($A46,'Mutasi Neraca'!$A$3:$S$910,11,FALSE))</f>
        <v>14762532</v>
      </c>
      <c r="M46" s="42">
        <f>VLOOKUP($A46,'Neraca Unaudited SIMAK'!$A$2:$R$1272,12,FALSE)+IF(ISNA(VLOOKUP($A46,'Mutasi Neraca'!$A$3:$S$910,12,FALSE)),0,VLOOKUP($A46,'Mutasi Neraca'!$A$3:$S$910,12,FALSE))</f>
        <v>14448789993</v>
      </c>
      <c r="N46" s="42">
        <f>VLOOKUP($A46,'Neraca Unaudited SIMAK'!$A$2:$R$1272,13,FALSE)+IF(ISNA(VLOOKUP($A46,'Mutasi Neraca'!$A$3:$S$910,13,FALSE)),0,VLOOKUP($A46,'Mutasi Neraca'!$A$3:$S$910,13,FALSE))</f>
        <v>-1076165921</v>
      </c>
      <c r="O46" s="42">
        <f>VLOOKUP($A46,'Neraca Unaudited SIMAK'!$A$2:$R$1272,14,FALSE)+IF(ISNA(VLOOKUP($A46,'Mutasi Neraca'!$A$3:$S$910,14,FALSE)),0,VLOOKUP($A46,'Mutasi Neraca'!$A$3:$S$910,14,FALSE))</f>
        <v>-236093006</v>
      </c>
      <c r="P46" s="42">
        <f>VLOOKUP($A46,'Neraca Unaudited SIMAK'!$A$2:$R$1272,15,FALSE)+IF(ISNA(VLOOKUP($A46,'Mutasi Neraca'!$A$3:$S$910,15,FALSE)),0,VLOOKUP($A46,'Mutasi Neraca'!$A$3:$S$910,15,FALSE))</f>
        <v>0</v>
      </c>
      <c r="Q46" s="42">
        <f>VLOOKUP($A46,'Neraca Unaudited SIMAK'!$A$2:$R$1272,16,FALSE)+IF(ISNA(VLOOKUP($A46,'Mutasi Neraca'!$A$3:$S$910,16,FALSE)),0,VLOOKUP($A46,'Mutasi Neraca'!$A$3:$S$910,16,FALSE))</f>
        <v>0</v>
      </c>
      <c r="R46" s="42">
        <f>VLOOKUP($A46,'Neraca Unaudited SIMAK'!$A$2:$R$1272,17,FALSE)+IF(ISNA(VLOOKUP($A46,'Mutasi Neraca'!$A$3:$S$910,17,FALSE)),0,VLOOKUP($A46,'Mutasi Neraca'!$A$3:$S$910,17,FALSE))</f>
        <v>-14762532</v>
      </c>
      <c r="S46" s="42">
        <f t="shared" si="2"/>
        <v>13121768534</v>
      </c>
    </row>
    <row r="47" spans="1:37">
      <c r="A47" s="41" t="s">
        <v>54</v>
      </c>
      <c r="B47" s="41" t="str">
        <f t="shared" si="1"/>
        <v>005010200</v>
      </c>
      <c r="D47" s="42">
        <f>VLOOKUP($A47,'Neraca Unaudited SIMAK'!$A$2:$R$1272,3,FALSE)+IF(ISNA(VLOOKUP($A47,'Mutasi Neraca'!$A$3:$S$910,3,FALSE)),0,VLOOKUP($A47,'Mutasi Neraca'!$A$3:$S$910,3,FALSE))</f>
        <v>1040000</v>
      </c>
      <c r="E47" s="42">
        <f>VLOOKUP($A47,'Neraca Unaudited SIMAK'!$A$2:$R$1272,4,FALSE)+IF(ISNA(VLOOKUP($A47,'Mutasi Neraca'!$A$3:$S$910,4,FALSE)),0,VLOOKUP($A47,'Mutasi Neraca'!$A$3:$S$910,4,FALSE))</f>
        <v>4436828000</v>
      </c>
      <c r="F47" s="42">
        <f>VLOOKUP($A47,'Neraca Unaudited SIMAK'!$A$2:$R$1272,5,FALSE)+IF(ISNA(VLOOKUP($A47,'Mutasi Neraca'!$A$3:$S$910,5,FALSE)),0,VLOOKUP($A47,'Mutasi Neraca'!$A$3:$S$910,5,FALSE))</f>
        <v>2265138771</v>
      </c>
      <c r="G47" s="42">
        <f>VLOOKUP($A47,'Neraca Unaudited SIMAK'!$A$2:$R$1272,6,FALSE)+IF(ISNA(VLOOKUP($A47,'Mutasi Neraca'!$A$3:$S$910,6,FALSE)),0,VLOOKUP($A47,'Mutasi Neraca'!$A$3:$S$910,6,FALSE))</f>
        <v>7372375975</v>
      </c>
      <c r="H47" s="42">
        <f>VLOOKUP($A47,'Neraca Unaudited SIMAK'!$A$2:$R$1272,7,FALSE)+IF(ISNA(VLOOKUP($A47,'Mutasi Neraca'!$A$3:$S$910,7,FALSE)),0,VLOOKUP($A47,'Mutasi Neraca'!$A$3:$S$910,7,FALSE))</f>
        <v>0</v>
      </c>
      <c r="I47" s="42">
        <f>VLOOKUP($A47,'Neraca Unaudited SIMAK'!$A$2:$R$1272,8,FALSE)+IF(ISNA(VLOOKUP($A47,'Mutasi Neraca'!$A$3:$S$910,8,FALSE)),0,VLOOKUP($A47,'Mutasi Neraca'!$A$3:$S$910,8,FALSE))</f>
        <v>408000</v>
      </c>
      <c r="J47" s="42">
        <f>VLOOKUP($A47,'Neraca Unaudited SIMAK'!$A$2:$R$1272,9,FALSE)+IF(ISNA(VLOOKUP($A47,'Mutasi Neraca'!$A$3:$S$910,9,FALSE)),0,VLOOKUP($A47,'Mutasi Neraca'!$A$3:$S$910,9,FALSE))</f>
        <v>0</v>
      </c>
      <c r="K47" s="42">
        <f>VLOOKUP($A47,'Neraca Unaudited SIMAK'!$A$2:$R$1272,10,FALSE)+IF(ISNA(VLOOKUP($A47,'Mutasi Neraca'!$A$3:$S$910,10,FALSE)),0,VLOOKUP($A47,'Mutasi Neraca'!$A$3:$S$910,10,FALSE))</f>
        <v>67000000</v>
      </c>
      <c r="L47" s="42">
        <f>VLOOKUP($A47,'Neraca Unaudited SIMAK'!$A$2:$R$1272,11,FALSE)+IF(ISNA(VLOOKUP($A47,'Mutasi Neraca'!$A$3:$S$910,11,FALSE)),0,VLOOKUP($A47,'Mutasi Neraca'!$A$3:$S$910,11,FALSE))</f>
        <v>305490166</v>
      </c>
      <c r="M47" s="42">
        <f>VLOOKUP($A47,'Neraca Unaudited SIMAK'!$A$2:$R$1272,12,FALSE)+IF(ISNA(VLOOKUP($A47,'Mutasi Neraca'!$A$3:$S$910,12,FALSE)),0,VLOOKUP($A47,'Mutasi Neraca'!$A$3:$S$910,12,FALSE))</f>
        <v>14448280912</v>
      </c>
      <c r="N47" s="42">
        <f>VLOOKUP($A47,'Neraca Unaudited SIMAK'!$A$2:$R$1272,13,FALSE)+IF(ISNA(VLOOKUP($A47,'Mutasi Neraca'!$A$3:$S$910,13,FALSE)),0,VLOOKUP($A47,'Mutasi Neraca'!$A$3:$S$910,13,FALSE))</f>
        <v>-1824404386</v>
      </c>
      <c r="O47" s="42">
        <f>VLOOKUP($A47,'Neraca Unaudited SIMAK'!$A$2:$R$1272,14,FALSE)+IF(ISNA(VLOOKUP($A47,'Mutasi Neraca'!$A$3:$S$910,14,FALSE)),0,VLOOKUP($A47,'Mutasi Neraca'!$A$3:$S$910,14,FALSE))</f>
        <v>-963150450</v>
      </c>
      <c r="P47" s="42">
        <f>VLOOKUP($A47,'Neraca Unaudited SIMAK'!$A$2:$R$1272,15,FALSE)+IF(ISNA(VLOOKUP($A47,'Mutasi Neraca'!$A$3:$S$910,15,FALSE)),0,VLOOKUP($A47,'Mutasi Neraca'!$A$3:$S$910,15,FALSE))</f>
        <v>0</v>
      </c>
      <c r="Q47" s="42">
        <f>VLOOKUP($A47,'Neraca Unaudited SIMAK'!$A$2:$R$1272,16,FALSE)+IF(ISNA(VLOOKUP($A47,'Mutasi Neraca'!$A$3:$S$910,16,FALSE)),0,VLOOKUP($A47,'Mutasi Neraca'!$A$3:$S$910,16,FALSE))</f>
        <v>0</v>
      </c>
      <c r="R47" s="42">
        <f>VLOOKUP($A47,'Neraca Unaudited SIMAK'!$A$2:$R$1272,17,FALSE)+IF(ISNA(VLOOKUP($A47,'Mutasi Neraca'!$A$3:$S$910,17,FALSE)),0,VLOOKUP($A47,'Mutasi Neraca'!$A$3:$S$910,17,FALSE))</f>
        <v>-291123186</v>
      </c>
      <c r="S47" s="42">
        <f t="shared" si="2"/>
        <v>11369602890</v>
      </c>
    </row>
    <row r="48" spans="1:37">
      <c r="A48" s="41" t="s">
        <v>55</v>
      </c>
      <c r="B48" s="41" t="str">
        <f t="shared" si="1"/>
        <v>005010200</v>
      </c>
      <c r="D48" s="42">
        <f>VLOOKUP($A48,'Neraca Unaudited SIMAK'!$A$2:$R$1272,3,FALSE)+IF(ISNA(VLOOKUP($A48,'Mutasi Neraca'!$A$3:$S$910,3,FALSE)),0,VLOOKUP($A48,'Mutasi Neraca'!$A$3:$S$910,3,FALSE))</f>
        <v>3864450</v>
      </c>
      <c r="E48" s="42">
        <f>VLOOKUP($A48,'Neraca Unaudited SIMAK'!$A$2:$R$1272,4,FALSE)+IF(ISNA(VLOOKUP($A48,'Mutasi Neraca'!$A$3:$S$910,4,FALSE)),0,VLOOKUP($A48,'Mutasi Neraca'!$A$3:$S$910,4,FALSE))</f>
        <v>5379236434</v>
      </c>
      <c r="F48" s="42">
        <f>VLOOKUP($A48,'Neraca Unaudited SIMAK'!$A$2:$R$1272,5,FALSE)+IF(ISNA(VLOOKUP($A48,'Mutasi Neraca'!$A$3:$S$910,5,FALSE)),0,VLOOKUP($A48,'Mutasi Neraca'!$A$3:$S$910,5,FALSE))</f>
        <v>1060860135</v>
      </c>
      <c r="G48" s="42">
        <f>VLOOKUP($A48,'Neraca Unaudited SIMAK'!$A$2:$R$1272,6,FALSE)+IF(ISNA(VLOOKUP($A48,'Mutasi Neraca'!$A$3:$S$910,6,FALSE)),0,VLOOKUP($A48,'Mutasi Neraca'!$A$3:$S$910,6,FALSE))</f>
        <v>735372900</v>
      </c>
      <c r="H48" s="42">
        <f>VLOOKUP($A48,'Neraca Unaudited SIMAK'!$A$2:$R$1272,7,FALSE)+IF(ISNA(VLOOKUP($A48,'Mutasi Neraca'!$A$3:$S$910,7,FALSE)),0,VLOOKUP($A48,'Mutasi Neraca'!$A$3:$S$910,7,FALSE))</f>
        <v>0</v>
      </c>
      <c r="I48" s="42">
        <f>VLOOKUP($A48,'Neraca Unaudited SIMAK'!$A$2:$R$1272,8,FALSE)+IF(ISNA(VLOOKUP($A48,'Mutasi Neraca'!$A$3:$S$910,8,FALSE)),0,VLOOKUP($A48,'Mutasi Neraca'!$A$3:$S$910,8,FALSE))</f>
        <v>408000</v>
      </c>
      <c r="J48" s="42">
        <f>VLOOKUP($A48,'Neraca Unaudited SIMAK'!$A$2:$R$1272,9,FALSE)+IF(ISNA(VLOOKUP($A48,'Mutasi Neraca'!$A$3:$S$910,9,FALSE)),0,VLOOKUP($A48,'Mutasi Neraca'!$A$3:$S$910,9,FALSE))</f>
        <v>0</v>
      </c>
      <c r="K48" s="42">
        <f>VLOOKUP($A48,'Neraca Unaudited SIMAK'!$A$2:$R$1272,10,FALSE)+IF(ISNA(VLOOKUP($A48,'Mutasi Neraca'!$A$3:$S$910,10,FALSE)),0,VLOOKUP($A48,'Mutasi Neraca'!$A$3:$S$910,10,FALSE))</f>
        <v>72955000</v>
      </c>
      <c r="L48" s="42">
        <f>VLOOKUP($A48,'Neraca Unaudited SIMAK'!$A$2:$R$1272,11,FALSE)+IF(ISNA(VLOOKUP($A48,'Mutasi Neraca'!$A$3:$S$910,11,FALSE)),0,VLOOKUP($A48,'Mutasi Neraca'!$A$3:$S$910,11,FALSE))</f>
        <v>88296875</v>
      </c>
      <c r="M48" s="42">
        <f>VLOOKUP($A48,'Neraca Unaudited SIMAK'!$A$2:$R$1272,12,FALSE)+IF(ISNA(VLOOKUP($A48,'Mutasi Neraca'!$A$3:$S$910,12,FALSE)),0,VLOOKUP($A48,'Mutasi Neraca'!$A$3:$S$910,12,FALSE))</f>
        <v>7340993794</v>
      </c>
      <c r="N48" s="42">
        <f>VLOOKUP($A48,'Neraca Unaudited SIMAK'!$A$2:$R$1272,13,FALSE)+IF(ISNA(VLOOKUP($A48,'Mutasi Neraca'!$A$3:$S$910,13,FALSE)),0,VLOOKUP($A48,'Mutasi Neraca'!$A$3:$S$910,13,FALSE))</f>
        <v>-822731313</v>
      </c>
      <c r="O48" s="42">
        <f>VLOOKUP($A48,'Neraca Unaudited SIMAK'!$A$2:$R$1272,14,FALSE)+IF(ISNA(VLOOKUP($A48,'Mutasi Neraca'!$A$3:$S$910,14,FALSE)),0,VLOOKUP($A48,'Mutasi Neraca'!$A$3:$S$910,14,FALSE))</f>
        <v>-282516560</v>
      </c>
      <c r="P48" s="42">
        <f>VLOOKUP($A48,'Neraca Unaudited SIMAK'!$A$2:$R$1272,15,FALSE)+IF(ISNA(VLOOKUP($A48,'Mutasi Neraca'!$A$3:$S$910,15,FALSE)),0,VLOOKUP($A48,'Mutasi Neraca'!$A$3:$S$910,15,FALSE))</f>
        <v>0</v>
      </c>
      <c r="Q48" s="42">
        <f>VLOOKUP($A48,'Neraca Unaudited SIMAK'!$A$2:$R$1272,16,FALSE)+IF(ISNA(VLOOKUP($A48,'Mutasi Neraca'!$A$3:$S$910,16,FALSE)),0,VLOOKUP($A48,'Mutasi Neraca'!$A$3:$S$910,16,FALSE))</f>
        <v>0</v>
      </c>
      <c r="R48" s="42">
        <f>VLOOKUP($A48,'Neraca Unaudited SIMAK'!$A$2:$R$1272,17,FALSE)+IF(ISNA(VLOOKUP($A48,'Mutasi Neraca'!$A$3:$S$910,17,FALSE)),0,VLOOKUP($A48,'Mutasi Neraca'!$A$3:$S$910,17,FALSE))</f>
        <v>-88296875</v>
      </c>
      <c r="S48" s="42">
        <f t="shared" si="2"/>
        <v>6147449046</v>
      </c>
    </row>
    <row r="49" spans="1:19">
      <c r="A49" s="41" t="s">
        <v>56</v>
      </c>
      <c r="B49" s="41" t="str">
        <f t="shared" si="1"/>
        <v>005010200</v>
      </c>
      <c r="D49" s="42">
        <f>VLOOKUP($A49,'Neraca Unaudited SIMAK'!$A$2:$R$1272,3,FALSE)+IF(ISNA(VLOOKUP($A49,'Mutasi Neraca'!$A$3:$S$910,3,FALSE)),0,VLOOKUP($A49,'Mutasi Neraca'!$A$3:$S$910,3,FALSE))</f>
        <v>0</v>
      </c>
      <c r="E49" s="42">
        <f>VLOOKUP($A49,'Neraca Unaudited SIMAK'!$A$2:$R$1272,4,FALSE)+IF(ISNA(VLOOKUP($A49,'Mutasi Neraca'!$A$3:$S$910,4,FALSE)),0,VLOOKUP($A49,'Mutasi Neraca'!$A$3:$S$910,4,FALSE))</f>
        <v>4061296300</v>
      </c>
      <c r="F49" s="42">
        <f>VLOOKUP($A49,'Neraca Unaudited SIMAK'!$A$2:$R$1272,5,FALSE)+IF(ISNA(VLOOKUP($A49,'Mutasi Neraca'!$A$3:$S$910,5,FALSE)),0,VLOOKUP($A49,'Mutasi Neraca'!$A$3:$S$910,5,FALSE))</f>
        <v>1707486992</v>
      </c>
      <c r="G49" s="42">
        <f>VLOOKUP($A49,'Neraca Unaudited SIMAK'!$A$2:$R$1272,6,FALSE)+IF(ISNA(VLOOKUP($A49,'Mutasi Neraca'!$A$3:$S$910,6,FALSE)),0,VLOOKUP($A49,'Mutasi Neraca'!$A$3:$S$910,6,FALSE))</f>
        <v>7074577950</v>
      </c>
      <c r="H49" s="42">
        <f>VLOOKUP($A49,'Neraca Unaudited SIMAK'!$A$2:$R$1272,7,FALSE)+IF(ISNA(VLOOKUP($A49,'Mutasi Neraca'!$A$3:$S$910,7,FALSE)),0,VLOOKUP($A49,'Mutasi Neraca'!$A$3:$S$910,7,FALSE))</f>
        <v>0</v>
      </c>
      <c r="I49" s="42">
        <f>VLOOKUP($A49,'Neraca Unaudited SIMAK'!$A$2:$R$1272,8,FALSE)+IF(ISNA(VLOOKUP($A49,'Mutasi Neraca'!$A$3:$S$910,8,FALSE)),0,VLOOKUP($A49,'Mutasi Neraca'!$A$3:$S$910,8,FALSE))</f>
        <v>408000</v>
      </c>
      <c r="J49" s="42">
        <f>VLOOKUP($A49,'Neraca Unaudited SIMAK'!$A$2:$R$1272,9,FALSE)+IF(ISNA(VLOOKUP($A49,'Mutasi Neraca'!$A$3:$S$910,9,FALSE)),0,VLOOKUP($A49,'Mutasi Neraca'!$A$3:$S$910,9,FALSE))</f>
        <v>0</v>
      </c>
      <c r="K49" s="42">
        <f>VLOOKUP($A49,'Neraca Unaudited SIMAK'!$A$2:$R$1272,10,FALSE)+IF(ISNA(VLOOKUP($A49,'Mutasi Neraca'!$A$3:$S$910,10,FALSE)),0,VLOOKUP($A49,'Mutasi Neraca'!$A$3:$S$910,10,FALSE))</f>
        <v>76500000</v>
      </c>
      <c r="L49" s="42">
        <f>VLOOKUP($A49,'Neraca Unaudited SIMAK'!$A$2:$R$1272,11,FALSE)+IF(ISNA(VLOOKUP($A49,'Mutasi Neraca'!$A$3:$S$910,11,FALSE)),0,VLOOKUP($A49,'Mutasi Neraca'!$A$3:$S$910,11,FALSE))</f>
        <v>0</v>
      </c>
      <c r="M49" s="42">
        <f>VLOOKUP($A49,'Neraca Unaudited SIMAK'!$A$2:$R$1272,12,FALSE)+IF(ISNA(VLOOKUP($A49,'Mutasi Neraca'!$A$3:$S$910,12,FALSE)),0,VLOOKUP($A49,'Mutasi Neraca'!$A$3:$S$910,12,FALSE))</f>
        <v>12920269242</v>
      </c>
      <c r="N49" s="42">
        <f>VLOOKUP($A49,'Neraca Unaudited SIMAK'!$A$2:$R$1272,13,FALSE)+IF(ISNA(VLOOKUP($A49,'Mutasi Neraca'!$A$3:$S$910,13,FALSE)),0,VLOOKUP($A49,'Mutasi Neraca'!$A$3:$S$910,13,FALSE))</f>
        <v>-1567292709</v>
      </c>
      <c r="O49" s="42">
        <f>VLOOKUP($A49,'Neraca Unaudited SIMAK'!$A$2:$R$1272,14,FALSE)+IF(ISNA(VLOOKUP($A49,'Mutasi Neraca'!$A$3:$S$910,14,FALSE)),0,VLOOKUP($A49,'Mutasi Neraca'!$A$3:$S$910,14,FALSE))</f>
        <v>-960520900</v>
      </c>
      <c r="P49" s="42">
        <f>VLOOKUP($A49,'Neraca Unaudited SIMAK'!$A$2:$R$1272,15,FALSE)+IF(ISNA(VLOOKUP($A49,'Mutasi Neraca'!$A$3:$S$910,15,FALSE)),0,VLOOKUP($A49,'Mutasi Neraca'!$A$3:$S$910,15,FALSE))</f>
        <v>0</v>
      </c>
      <c r="Q49" s="42">
        <f>VLOOKUP($A49,'Neraca Unaudited SIMAK'!$A$2:$R$1272,16,FALSE)+IF(ISNA(VLOOKUP($A49,'Mutasi Neraca'!$A$3:$S$910,16,FALSE)),0,VLOOKUP($A49,'Mutasi Neraca'!$A$3:$S$910,16,FALSE))</f>
        <v>0</v>
      </c>
      <c r="R49" s="42">
        <f>VLOOKUP($A49,'Neraca Unaudited SIMAK'!$A$2:$R$1272,17,FALSE)+IF(ISNA(VLOOKUP($A49,'Mutasi Neraca'!$A$3:$S$910,17,FALSE)),0,VLOOKUP($A49,'Mutasi Neraca'!$A$3:$S$910,17,FALSE))</f>
        <v>0</v>
      </c>
      <c r="S49" s="42">
        <f t="shared" si="2"/>
        <v>10392455633</v>
      </c>
    </row>
    <row r="50" spans="1:19">
      <c r="A50" s="41" t="s">
        <v>57</v>
      </c>
      <c r="B50" s="41" t="str">
        <f t="shared" si="1"/>
        <v>005010200</v>
      </c>
      <c r="D50" s="42">
        <f>VLOOKUP($A50,'Neraca Unaudited SIMAK'!$A$2:$R$1272,3,FALSE)+IF(ISNA(VLOOKUP($A50,'Mutasi Neraca'!$A$3:$S$910,3,FALSE)),0,VLOOKUP($A50,'Mutasi Neraca'!$A$3:$S$910,3,FALSE))</f>
        <v>1971249</v>
      </c>
      <c r="E50" s="42">
        <f>VLOOKUP($A50,'Neraca Unaudited SIMAK'!$A$2:$R$1272,4,FALSE)+IF(ISNA(VLOOKUP($A50,'Mutasi Neraca'!$A$3:$S$910,4,FALSE)),0,VLOOKUP($A50,'Mutasi Neraca'!$A$3:$S$910,4,FALSE))</f>
        <v>6595052000</v>
      </c>
      <c r="F50" s="42">
        <f>VLOOKUP($A50,'Neraca Unaudited SIMAK'!$A$2:$R$1272,5,FALSE)+IF(ISNA(VLOOKUP($A50,'Mutasi Neraca'!$A$3:$S$910,5,FALSE)),0,VLOOKUP($A50,'Mutasi Neraca'!$A$3:$S$910,5,FALSE))</f>
        <v>2220993285</v>
      </c>
      <c r="G50" s="42">
        <f>VLOOKUP($A50,'Neraca Unaudited SIMAK'!$A$2:$R$1272,6,FALSE)+IF(ISNA(VLOOKUP($A50,'Mutasi Neraca'!$A$3:$S$910,6,FALSE)),0,VLOOKUP($A50,'Mutasi Neraca'!$A$3:$S$910,6,FALSE))</f>
        <v>9491474556</v>
      </c>
      <c r="H50" s="42">
        <f>VLOOKUP($A50,'Neraca Unaudited SIMAK'!$A$2:$R$1272,7,FALSE)+IF(ISNA(VLOOKUP($A50,'Mutasi Neraca'!$A$3:$S$910,7,FALSE)),0,VLOOKUP($A50,'Mutasi Neraca'!$A$3:$S$910,7,FALSE))</f>
        <v>0</v>
      </c>
      <c r="I50" s="42">
        <f>VLOOKUP($A50,'Neraca Unaudited SIMAK'!$A$2:$R$1272,8,FALSE)+IF(ISNA(VLOOKUP($A50,'Mutasi Neraca'!$A$3:$S$910,8,FALSE)),0,VLOOKUP($A50,'Mutasi Neraca'!$A$3:$S$910,8,FALSE))</f>
        <v>9369000</v>
      </c>
      <c r="J50" s="42">
        <f>VLOOKUP($A50,'Neraca Unaudited SIMAK'!$A$2:$R$1272,9,FALSE)+IF(ISNA(VLOOKUP($A50,'Mutasi Neraca'!$A$3:$S$910,9,FALSE)),0,VLOOKUP($A50,'Mutasi Neraca'!$A$3:$S$910,9,FALSE))</f>
        <v>0</v>
      </c>
      <c r="K50" s="42">
        <f>VLOOKUP($A50,'Neraca Unaudited SIMAK'!$A$2:$R$1272,10,FALSE)+IF(ISNA(VLOOKUP($A50,'Mutasi Neraca'!$A$3:$S$910,10,FALSE)),0,VLOOKUP($A50,'Mutasi Neraca'!$A$3:$S$910,10,FALSE))</f>
        <v>48350000</v>
      </c>
      <c r="L50" s="42">
        <f>VLOOKUP($A50,'Neraca Unaudited SIMAK'!$A$2:$R$1272,11,FALSE)+IF(ISNA(VLOOKUP($A50,'Mutasi Neraca'!$A$3:$S$910,11,FALSE)),0,VLOOKUP($A50,'Mutasi Neraca'!$A$3:$S$910,11,FALSE))</f>
        <v>14993000</v>
      </c>
      <c r="M50" s="42">
        <f>VLOOKUP($A50,'Neraca Unaudited SIMAK'!$A$2:$R$1272,12,FALSE)+IF(ISNA(VLOOKUP($A50,'Mutasi Neraca'!$A$3:$S$910,12,FALSE)),0,VLOOKUP($A50,'Mutasi Neraca'!$A$3:$S$910,12,FALSE))</f>
        <v>18382203090</v>
      </c>
      <c r="N50" s="42">
        <f>VLOOKUP($A50,'Neraca Unaudited SIMAK'!$A$2:$R$1272,13,FALSE)+IF(ISNA(VLOOKUP($A50,'Mutasi Neraca'!$A$3:$S$910,13,FALSE)),0,VLOOKUP($A50,'Mutasi Neraca'!$A$3:$S$910,13,FALSE))</f>
        <v>-1043965650</v>
      </c>
      <c r="O50" s="42">
        <f>VLOOKUP($A50,'Neraca Unaudited SIMAK'!$A$2:$R$1272,14,FALSE)+IF(ISNA(VLOOKUP($A50,'Mutasi Neraca'!$A$3:$S$910,14,FALSE)),0,VLOOKUP($A50,'Mutasi Neraca'!$A$3:$S$910,14,FALSE))</f>
        <v>-138409279</v>
      </c>
      <c r="P50" s="42">
        <f>VLOOKUP($A50,'Neraca Unaudited SIMAK'!$A$2:$R$1272,15,FALSE)+IF(ISNA(VLOOKUP($A50,'Mutasi Neraca'!$A$3:$S$910,15,FALSE)),0,VLOOKUP($A50,'Mutasi Neraca'!$A$3:$S$910,15,FALSE))</f>
        <v>0</v>
      </c>
      <c r="Q50" s="42">
        <f>VLOOKUP($A50,'Neraca Unaudited SIMAK'!$A$2:$R$1272,16,FALSE)+IF(ISNA(VLOOKUP($A50,'Mutasi Neraca'!$A$3:$S$910,16,FALSE)),0,VLOOKUP($A50,'Mutasi Neraca'!$A$3:$S$910,16,FALSE))</f>
        <v>0</v>
      </c>
      <c r="R50" s="42">
        <f>VLOOKUP($A50,'Neraca Unaudited SIMAK'!$A$2:$R$1272,17,FALSE)+IF(ISNA(VLOOKUP($A50,'Mutasi Neraca'!$A$3:$S$910,17,FALSE)),0,VLOOKUP($A50,'Mutasi Neraca'!$A$3:$S$910,17,FALSE))</f>
        <v>-14993000</v>
      </c>
      <c r="S50" s="42">
        <f t="shared" si="2"/>
        <v>17184835161</v>
      </c>
    </row>
    <row r="51" spans="1:19">
      <c r="A51" s="41" t="s">
        <v>58</v>
      </c>
      <c r="B51" s="41" t="str">
        <f t="shared" si="1"/>
        <v>005010200</v>
      </c>
      <c r="D51" s="42">
        <f>VLOOKUP($A51,'Neraca Unaudited SIMAK'!$A$2:$R$1272,3,FALSE)+IF(ISNA(VLOOKUP($A51,'Mutasi Neraca'!$A$3:$S$910,3,FALSE)),0,VLOOKUP($A51,'Mutasi Neraca'!$A$3:$S$910,3,FALSE))</f>
        <v>4632693</v>
      </c>
      <c r="E51" s="42">
        <f>VLOOKUP($A51,'Neraca Unaudited SIMAK'!$A$2:$R$1272,4,FALSE)+IF(ISNA(VLOOKUP($A51,'Mutasi Neraca'!$A$3:$S$910,4,FALSE)),0,VLOOKUP($A51,'Mutasi Neraca'!$A$3:$S$910,4,FALSE))</f>
        <v>2278040000</v>
      </c>
      <c r="F51" s="42">
        <f>VLOOKUP($A51,'Neraca Unaudited SIMAK'!$A$2:$R$1272,5,FALSE)+IF(ISNA(VLOOKUP($A51,'Mutasi Neraca'!$A$3:$S$910,5,FALSE)),0,VLOOKUP($A51,'Mutasi Neraca'!$A$3:$S$910,5,FALSE))</f>
        <v>2917467946</v>
      </c>
      <c r="G51" s="42">
        <f>VLOOKUP($A51,'Neraca Unaudited SIMAK'!$A$2:$R$1272,6,FALSE)+IF(ISNA(VLOOKUP($A51,'Mutasi Neraca'!$A$3:$S$910,6,FALSE)),0,VLOOKUP($A51,'Mutasi Neraca'!$A$3:$S$910,6,FALSE))</f>
        <v>9974739580</v>
      </c>
      <c r="H51" s="42">
        <f>VLOOKUP($A51,'Neraca Unaudited SIMAK'!$A$2:$R$1272,7,FALSE)+IF(ISNA(VLOOKUP($A51,'Mutasi Neraca'!$A$3:$S$910,7,FALSE)),0,VLOOKUP($A51,'Mutasi Neraca'!$A$3:$S$910,7,FALSE))</f>
        <v>0</v>
      </c>
      <c r="I51" s="42">
        <f>VLOOKUP($A51,'Neraca Unaudited SIMAK'!$A$2:$R$1272,8,FALSE)+IF(ISNA(VLOOKUP($A51,'Mutasi Neraca'!$A$3:$S$910,8,FALSE)),0,VLOOKUP($A51,'Mutasi Neraca'!$A$3:$S$910,8,FALSE))</f>
        <v>7716000</v>
      </c>
      <c r="J51" s="42">
        <f>VLOOKUP($A51,'Neraca Unaudited SIMAK'!$A$2:$R$1272,9,FALSE)+IF(ISNA(VLOOKUP($A51,'Mutasi Neraca'!$A$3:$S$910,9,FALSE)),0,VLOOKUP($A51,'Mutasi Neraca'!$A$3:$S$910,9,FALSE))</f>
        <v>0</v>
      </c>
      <c r="K51" s="42">
        <f>VLOOKUP($A51,'Neraca Unaudited SIMAK'!$A$2:$R$1272,10,FALSE)+IF(ISNA(VLOOKUP($A51,'Mutasi Neraca'!$A$3:$S$910,10,FALSE)),0,VLOOKUP($A51,'Mutasi Neraca'!$A$3:$S$910,10,FALSE))</f>
        <v>0</v>
      </c>
      <c r="L51" s="42">
        <f>VLOOKUP($A51,'Neraca Unaudited SIMAK'!$A$2:$R$1272,11,FALSE)+IF(ISNA(VLOOKUP($A51,'Mutasi Neraca'!$A$3:$S$910,11,FALSE)),0,VLOOKUP($A51,'Mutasi Neraca'!$A$3:$S$910,11,FALSE))</f>
        <v>2813000</v>
      </c>
      <c r="M51" s="42">
        <f>VLOOKUP($A51,'Neraca Unaudited SIMAK'!$A$2:$R$1272,12,FALSE)+IF(ISNA(VLOOKUP($A51,'Mutasi Neraca'!$A$3:$S$910,12,FALSE)),0,VLOOKUP($A51,'Mutasi Neraca'!$A$3:$S$910,12,FALSE))</f>
        <v>15185409219</v>
      </c>
      <c r="N51" s="42">
        <f>VLOOKUP($A51,'Neraca Unaudited SIMAK'!$A$2:$R$1272,13,FALSE)+IF(ISNA(VLOOKUP($A51,'Mutasi Neraca'!$A$3:$S$910,13,FALSE)),0,VLOOKUP($A51,'Mutasi Neraca'!$A$3:$S$910,13,FALSE))</f>
        <v>-1573819335</v>
      </c>
      <c r="O51" s="42">
        <f>VLOOKUP($A51,'Neraca Unaudited SIMAK'!$A$2:$R$1272,14,FALSE)+IF(ISNA(VLOOKUP($A51,'Mutasi Neraca'!$A$3:$S$910,14,FALSE)),0,VLOOKUP($A51,'Mutasi Neraca'!$A$3:$S$910,14,FALSE))</f>
        <v>-669856719</v>
      </c>
      <c r="P51" s="42">
        <f>VLOOKUP($A51,'Neraca Unaudited SIMAK'!$A$2:$R$1272,15,FALSE)+IF(ISNA(VLOOKUP($A51,'Mutasi Neraca'!$A$3:$S$910,15,FALSE)),0,VLOOKUP($A51,'Mutasi Neraca'!$A$3:$S$910,15,FALSE))</f>
        <v>0</v>
      </c>
      <c r="Q51" s="42">
        <f>VLOOKUP($A51,'Neraca Unaudited SIMAK'!$A$2:$R$1272,16,FALSE)+IF(ISNA(VLOOKUP($A51,'Mutasi Neraca'!$A$3:$S$910,16,FALSE)),0,VLOOKUP($A51,'Mutasi Neraca'!$A$3:$S$910,16,FALSE))</f>
        <v>0</v>
      </c>
      <c r="R51" s="42">
        <f>VLOOKUP($A51,'Neraca Unaudited SIMAK'!$A$2:$R$1272,17,FALSE)+IF(ISNA(VLOOKUP($A51,'Mutasi Neraca'!$A$3:$S$910,17,FALSE)),0,VLOOKUP($A51,'Mutasi Neraca'!$A$3:$S$910,17,FALSE))</f>
        <v>-2813000</v>
      </c>
      <c r="S51" s="42">
        <f t="shared" si="2"/>
        <v>12938920165</v>
      </c>
    </row>
    <row r="52" spans="1:19">
      <c r="A52" s="41" t="s">
        <v>59</v>
      </c>
      <c r="B52" s="41" t="str">
        <f t="shared" si="1"/>
        <v>005010200</v>
      </c>
      <c r="D52" s="42">
        <f>VLOOKUP($A52,'Neraca Unaudited SIMAK'!$A$2:$R$1272,3,FALSE)+IF(ISNA(VLOOKUP($A52,'Mutasi Neraca'!$A$3:$S$910,3,FALSE)),0,VLOOKUP($A52,'Mutasi Neraca'!$A$3:$S$910,3,FALSE))</f>
        <v>691000</v>
      </c>
      <c r="E52" s="42">
        <f>VLOOKUP($A52,'Neraca Unaudited SIMAK'!$A$2:$R$1272,4,FALSE)+IF(ISNA(VLOOKUP($A52,'Mutasi Neraca'!$A$3:$S$910,4,FALSE)),0,VLOOKUP($A52,'Mutasi Neraca'!$A$3:$S$910,4,FALSE))</f>
        <v>2783170000</v>
      </c>
      <c r="F52" s="42">
        <f>VLOOKUP($A52,'Neraca Unaudited SIMAK'!$A$2:$R$1272,5,FALSE)+IF(ISNA(VLOOKUP($A52,'Mutasi Neraca'!$A$3:$S$910,5,FALSE)),0,VLOOKUP($A52,'Mutasi Neraca'!$A$3:$S$910,5,FALSE))</f>
        <v>1207539493</v>
      </c>
      <c r="G52" s="42">
        <f>VLOOKUP($A52,'Neraca Unaudited SIMAK'!$A$2:$R$1272,6,FALSE)+IF(ISNA(VLOOKUP($A52,'Mutasi Neraca'!$A$3:$S$910,6,FALSE)),0,VLOOKUP($A52,'Mutasi Neraca'!$A$3:$S$910,6,FALSE))</f>
        <v>1446756300</v>
      </c>
      <c r="H52" s="42">
        <f>VLOOKUP($A52,'Neraca Unaudited SIMAK'!$A$2:$R$1272,7,FALSE)+IF(ISNA(VLOOKUP($A52,'Mutasi Neraca'!$A$3:$S$910,7,FALSE)),0,VLOOKUP($A52,'Mutasi Neraca'!$A$3:$S$910,7,FALSE))</f>
        <v>15000000</v>
      </c>
      <c r="I52" s="42">
        <f>VLOOKUP($A52,'Neraca Unaudited SIMAK'!$A$2:$R$1272,8,FALSE)+IF(ISNA(VLOOKUP($A52,'Mutasi Neraca'!$A$3:$S$910,8,FALSE)),0,VLOOKUP($A52,'Mutasi Neraca'!$A$3:$S$910,8,FALSE))</f>
        <v>71014000</v>
      </c>
      <c r="J52" s="42">
        <f>VLOOKUP($A52,'Neraca Unaudited SIMAK'!$A$2:$R$1272,9,FALSE)+IF(ISNA(VLOOKUP($A52,'Mutasi Neraca'!$A$3:$S$910,9,FALSE)),0,VLOOKUP($A52,'Mutasi Neraca'!$A$3:$S$910,9,FALSE))</f>
        <v>5437049900</v>
      </c>
      <c r="K52" s="42">
        <f>VLOOKUP($A52,'Neraca Unaudited SIMAK'!$A$2:$R$1272,10,FALSE)+IF(ISNA(VLOOKUP($A52,'Mutasi Neraca'!$A$3:$S$910,10,FALSE)),0,VLOOKUP($A52,'Mutasi Neraca'!$A$3:$S$910,10,FALSE))</f>
        <v>46800000</v>
      </c>
      <c r="L52" s="42">
        <f>VLOOKUP($A52,'Neraca Unaudited SIMAK'!$A$2:$R$1272,11,FALSE)+IF(ISNA(VLOOKUP($A52,'Mutasi Neraca'!$A$3:$S$910,11,FALSE)),0,VLOOKUP($A52,'Mutasi Neraca'!$A$3:$S$910,11,FALSE))</f>
        <v>218754100</v>
      </c>
      <c r="M52" s="42">
        <f>VLOOKUP($A52,'Neraca Unaudited SIMAK'!$A$2:$R$1272,12,FALSE)+IF(ISNA(VLOOKUP($A52,'Mutasi Neraca'!$A$3:$S$910,12,FALSE)),0,VLOOKUP($A52,'Mutasi Neraca'!$A$3:$S$910,12,FALSE))</f>
        <v>11226774793</v>
      </c>
      <c r="N52" s="42">
        <f>VLOOKUP($A52,'Neraca Unaudited SIMAK'!$A$2:$R$1272,13,FALSE)+IF(ISNA(VLOOKUP($A52,'Mutasi Neraca'!$A$3:$S$910,13,FALSE)),0,VLOOKUP($A52,'Mutasi Neraca'!$A$3:$S$910,13,FALSE))</f>
        <v>-971341112</v>
      </c>
      <c r="O52" s="42">
        <f>VLOOKUP($A52,'Neraca Unaudited SIMAK'!$A$2:$R$1272,14,FALSE)+IF(ISNA(VLOOKUP($A52,'Mutasi Neraca'!$A$3:$S$910,14,FALSE)),0,VLOOKUP($A52,'Mutasi Neraca'!$A$3:$S$910,14,FALSE))</f>
        <v>-180844537</v>
      </c>
      <c r="P52" s="42">
        <f>VLOOKUP($A52,'Neraca Unaudited SIMAK'!$A$2:$R$1272,15,FALSE)+IF(ISNA(VLOOKUP($A52,'Mutasi Neraca'!$A$3:$S$910,15,FALSE)),0,VLOOKUP($A52,'Mutasi Neraca'!$A$3:$S$910,15,FALSE))</f>
        <v>-1500000</v>
      </c>
      <c r="Q52" s="42">
        <f>VLOOKUP($A52,'Neraca Unaudited SIMAK'!$A$2:$R$1272,16,FALSE)+IF(ISNA(VLOOKUP($A52,'Mutasi Neraca'!$A$3:$S$910,16,FALSE)),0,VLOOKUP($A52,'Mutasi Neraca'!$A$3:$S$910,16,FALSE))</f>
        <v>0</v>
      </c>
      <c r="R52" s="42">
        <f>VLOOKUP($A52,'Neraca Unaudited SIMAK'!$A$2:$R$1272,17,FALSE)+IF(ISNA(VLOOKUP($A52,'Mutasi Neraca'!$A$3:$S$910,17,FALSE)),0,VLOOKUP($A52,'Mutasi Neraca'!$A$3:$S$910,17,FALSE))</f>
        <v>-216980100</v>
      </c>
      <c r="S52" s="42">
        <f t="shared" si="2"/>
        <v>9856109044</v>
      </c>
    </row>
    <row r="53" spans="1:19">
      <c r="A53" s="41" t="s">
        <v>60</v>
      </c>
      <c r="B53" s="41" t="str">
        <f t="shared" si="1"/>
        <v>005010200</v>
      </c>
      <c r="D53" s="42">
        <f>VLOOKUP($A53,'Neraca Unaudited SIMAK'!$A$2:$R$1272,3,FALSE)+IF(ISNA(VLOOKUP($A53,'Mutasi Neraca'!$A$3:$S$910,3,FALSE)),0,VLOOKUP($A53,'Mutasi Neraca'!$A$3:$S$910,3,FALSE))</f>
        <v>2281000</v>
      </c>
      <c r="E53" s="42">
        <f>VLOOKUP($A53,'Neraca Unaudited SIMAK'!$A$2:$R$1272,4,FALSE)+IF(ISNA(VLOOKUP($A53,'Mutasi Neraca'!$A$3:$S$910,4,FALSE)),0,VLOOKUP($A53,'Mutasi Neraca'!$A$3:$S$910,4,FALSE))</f>
        <v>2743200000</v>
      </c>
      <c r="F53" s="42">
        <f>VLOOKUP($A53,'Neraca Unaudited SIMAK'!$A$2:$R$1272,5,FALSE)+IF(ISNA(VLOOKUP($A53,'Mutasi Neraca'!$A$3:$S$910,5,FALSE)),0,VLOOKUP($A53,'Mutasi Neraca'!$A$3:$S$910,5,FALSE))</f>
        <v>1165419235</v>
      </c>
      <c r="G53" s="42">
        <f>VLOOKUP($A53,'Neraca Unaudited SIMAK'!$A$2:$R$1272,6,FALSE)+IF(ISNA(VLOOKUP($A53,'Mutasi Neraca'!$A$3:$S$910,6,FALSE)),0,VLOOKUP($A53,'Mutasi Neraca'!$A$3:$S$910,6,FALSE))</f>
        <v>1104525487</v>
      </c>
      <c r="H53" s="42">
        <f>VLOOKUP($A53,'Neraca Unaudited SIMAK'!$A$2:$R$1272,7,FALSE)+IF(ISNA(VLOOKUP($A53,'Mutasi Neraca'!$A$3:$S$910,7,FALSE)),0,VLOOKUP($A53,'Mutasi Neraca'!$A$3:$S$910,7,FALSE))</f>
        <v>10995000</v>
      </c>
      <c r="I53" s="42">
        <f>VLOOKUP($A53,'Neraca Unaudited SIMAK'!$A$2:$R$1272,8,FALSE)+IF(ISNA(VLOOKUP($A53,'Mutasi Neraca'!$A$3:$S$910,8,FALSE)),0,VLOOKUP($A53,'Mutasi Neraca'!$A$3:$S$910,8,FALSE))</f>
        <v>4591400</v>
      </c>
      <c r="J53" s="42">
        <f>VLOOKUP($A53,'Neraca Unaudited SIMAK'!$A$2:$R$1272,9,FALSE)+IF(ISNA(VLOOKUP($A53,'Mutasi Neraca'!$A$3:$S$910,9,FALSE)),0,VLOOKUP($A53,'Mutasi Neraca'!$A$3:$S$910,9,FALSE))</f>
        <v>0</v>
      </c>
      <c r="K53" s="42">
        <f>VLOOKUP($A53,'Neraca Unaudited SIMAK'!$A$2:$R$1272,10,FALSE)+IF(ISNA(VLOOKUP($A53,'Mutasi Neraca'!$A$3:$S$910,10,FALSE)),0,VLOOKUP($A53,'Mutasi Neraca'!$A$3:$S$910,10,FALSE))</f>
        <v>46972000</v>
      </c>
      <c r="L53" s="42">
        <f>VLOOKUP($A53,'Neraca Unaudited SIMAK'!$A$2:$R$1272,11,FALSE)+IF(ISNA(VLOOKUP($A53,'Mutasi Neraca'!$A$3:$S$910,11,FALSE)),0,VLOOKUP($A53,'Mutasi Neraca'!$A$3:$S$910,11,FALSE))</f>
        <v>0</v>
      </c>
      <c r="M53" s="42">
        <f>VLOOKUP($A53,'Neraca Unaudited SIMAK'!$A$2:$R$1272,12,FALSE)+IF(ISNA(VLOOKUP($A53,'Mutasi Neraca'!$A$3:$S$910,12,FALSE)),0,VLOOKUP($A53,'Mutasi Neraca'!$A$3:$S$910,12,FALSE))</f>
        <v>5077984122</v>
      </c>
      <c r="N53" s="42">
        <f>VLOOKUP($A53,'Neraca Unaudited SIMAK'!$A$2:$R$1272,13,FALSE)+IF(ISNA(VLOOKUP($A53,'Mutasi Neraca'!$A$3:$S$910,13,FALSE)),0,VLOOKUP($A53,'Mutasi Neraca'!$A$3:$S$910,13,FALSE))</f>
        <v>-902759718</v>
      </c>
      <c r="O53" s="42">
        <f>VLOOKUP($A53,'Neraca Unaudited SIMAK'!$A$2:$R$1272,14,FALSE)+IF(ISNA(VLOOKUP($A53,'Mutasi Neraca'!$A$3:$S$910,14,FALSE)),0,VLOOKUP($A53,'Mutasi Neraca'!$A$3:$S$910,14,FALSE))</f>
        <v>-355237902</v>
      </c>
      <c r="P53" s="42">
        <f>VLOOKUP($A53,'Neraca Unaudited SIMAK'!$A$2:$R$1272,15,FALSE)+IF(ISNA(VLOOKUP($A53,'Mutasi Neraca'!$A$3:$S$910,15,FALSE)),0,VLOOKUP($A53,'Mutasi Neraca'!$A$3:$S$910,15,FALSE))</f>
        <v>-1786688</v>
      </c>
      <c r="Q53" s="42">
        <f>VLOOKUP($A53,'Neraca Unaudited SIMAK'!$A$2:$R$1272,16,FALSE)+IF(ISNA(VLOOKUP($A53,'Mutasi Neraca'!$A$3:$S$910,16,FALSE)),0,VLOOKUP($A53,'Mutasi Neraca'!$A$3:$S$910,16,FALSE))</f>
        <v>0</v>
      </c>
      <c r="R53" s="42">
        <f>VLOOKUP($A53,'Neraca Unaudited SIMAK'!$A$2:$R$1272,17,FALSE)+IF(ISNA(VLOOKUP($A53,'Mutasi Neraca'!$A$3:$S$910,17,FALSE)),0,VLOOKUP($A53,'Mutasi Neraca'!$A$3:$S$910,17,FALSE))</f>
        <v>0</v>
      </c>
      <c r="S53" s="42">
        <f t="shared" si="2"/>
        <v>3818199814</v>
      </c>
    </row>
    <row r="54" spans="1:19">
      <c r="A54" s="41" t="s">
        <v>61</v>
      </c>
      <c r="B54" s="41" t="str">
        <f t="shared" si="1"/>
        <v>005010200</v>
      </c>
      <c r="D54" s="42">
        <f>VLOOKUP($A54,'Neraca Unaudited SIMAK'!$A$2:$R$1272,3,FALSE)+IF(ISNA(VLOOKUP($A54,'Mutasi Neraca'!$A$3:$S$910,3,FALSE)),0,VLOOKUP($A54,'Mutasi Neraca'!$A$3:$S$910,3,FALSE))</f>
        <v>5856600</v>
      </c>
      <c r="E54" s="42">
        <f>VLOOKUP($A54,'Neraca Unaudited SIMAK'!$A$2:$R$1272,4,FALSE)+IF(ISNA(VLOOKUP($A54,'Mutasi Neraca'!$A$3:$S$910,4,FALSE)),0,VLOOKUP($A54,'Mutasi Neraca'!$A$3:$S$910,4,FALSE))</f>
        <v>7051300000</v>
      </c>
      <c r="F54" s="42">
        <f>VLOOKUP($A54,'Neraca Unaudited SIMAK'!$A$2:$R$1272,5,FALSE)+IF(ISNA(VLOOKUP($A54,'Mutasi Neraca'!$A$3:$S$910,5,FALSE)),0,VLOOKUP($A54,'Mutasi Neraca'!$A$3:$S$910,5,FALSE))</f>
        <v>2006009543</v>
      </c>
      <c r="G54" s="42">
        <f>VLOOKUP($A54,'Neraca Unaudited SIMAK'!$A$2:$R$1272,6,FALSE)+IF(ISNA(VLOOKUP($A54,'Mutasi Neraca'!$A$3:$S$910,6,FALSE)),0,VLOOKUP($A54,'Mutasi Neraca'!$A$3:$S$910,6,FALSE))</f>
        <v>7702793800</v>
      </c>
      <c r="H54" s="42">
        <f>VLOOKUP($A54,'Neraca Unaudited SIMAK'!$A$2:$R$1272,7,FALSE)+IF(ISNA(VLOOKUP($A54,'Mutasi Neraca'!$A$3:$S$910,7,FALSE)),0,VLOOKUP($A54,'Mutasi Neraca'!$A$3:$S$910,7,FALSE))</f>
        <v>8698200</v>
      </c>
      <c r="I54" s="42">
        <f>VLOOKUP($A54,'Neraca Unaudited SIMAK'!$A$2:$R$1272,8,FALSE)+IF(ISNA(VLOOKUP($A54,'Mutasi Neraca'!$A$3:$S$910,8,FALSE)),0,VLOOKUP($A54,'Mutasi Neraca'!$A$3:$S$910,8,FALSE))</f>
        <v>468000</v>
      </c>
      <c r="J54" s="42">
        <f>VLOOKUP($A54,'Neraca Unaudited SIMAK'!$A$2:$R$1272,9,FALSE)+IF(ISNA(VLOOKUP($A54,'Mutasi Neraca'!$A$3:$S$910,9,FALSE)),0,VLOOKUP($A54,'Mutasi Neraca'!$A$3:$S$910,9,FALSE))</f>
        <v>0</v>
      </c>
      <c r="K54" s="42">
        <f>VLOOKUP($A54,'Neraca Unaudited SIMAK'!$A$2:$R$1272,10,FALSE)+IF(ISNA(VLOOKUP($A54,'Mutasi Neraca'!$A$3:$S$910,10,FALSE)),0,VLOOKUP($A54,'Mutasi Neraca'!$A$3:$S$910,10,FALSE))</f>
        <v>19690000</v>
      </c>
      <c r="L54" s="42">
        <f>VLOOKUP($A54,'Neraca Unaudited SIMAK'!$A$2:$R$1272,11,FALSE)+IF(ISNA(VLOOKUP($A54,'Mutasi Neraca'!$A$3:$S$910,11,FALSE)),0,VLOOKUP($A54,'Mutasi Neraca'!$A$3:$S$910,11,FALSE))</f>
        <v>34248000</v>
      </c>
      <c r="M54" s="42">
        <f>VLOOKUP($A54,'Neraca Unaudited SIMAK'!$A$2:$R$1272,12,FALSE)+IF(ISNA(VLOOKUP($A54,'Mutasi Neraca'!$A$3:$S$910,12,FALSE)),0,VLOOKUP($A54,'Mutasi Neraca'!$A$3:$S$910,12,FALSE))</f>
        <v>16829064143</v>
      </c>
      <c r="N54" s="42">
        <f>VLOOKUP($A54,'Neraca Unaudited SIMAK'!$A$2:$R$1272,13,FALSE)+IF(ISNA(VLOOKUP($A54,'Mutasi Neraca'!$A$3:$S$910,13,FALSE)),0,VLOOKUP($A54,'Mutasi Neraca'!$A$3:$S$910,13,FALSE))</f>
        <v>-1492516487</v>
      </c>
      <c r="O54" s="42">
        <f>VLOOKUP($A54,'Neraca Unaudited SIMAK'!$A$2:$R$1272,14,FALSE)+IF(ISNA(VLOOKUP($A54,'Mutasi Neraca'!$A$3:$S$910,14,FALSE)),0,VLOOKUP($A54,'Mutasi Neraca'!$A$3:$S$910,14,FALSE))</f>
        <v>-458755288</v>
      </c>
      <c r="P54" s="42">
        <f>VLOOKUP($A54,'Neraca Unaudited SIMAK'!$A$2:$R$1272,15,FALSE)+IF(ISNA(VLOOKUP($A54,'Mutasi Neraca'!$A$3:$S$910,15,FALSE)),0,VLOOKUP($A54,'Mutasi Neraca'!$A$3:$S$910,15,FALSE))</f>
        <v>-1304730</v>
      </c>
      <c r="Q54" s="42">
        <f>VLOOKUP($A54,'Neraca Unaudited SIMAK'!$A$2:$R$1272,16,FALSE)+IF(ISNA(VLOOKUP($A54,'Mutasi Neraca'!$A$3:$S$910,16,FALSE)),0,VLOOKUP($A54,'Mutasi Neraca'!$A$3:$S$910,16,FALSE))</f>
        <v>0</v>
      </c>
      <c r="R54" s="42">
        <f>VLOOKUP($A54,'Neraca Unaudited SIMAK'!$A$2:$R$1272,17,FALSE)+IF(ISNA(VLOOKUP($A54,'Mutasi Neraca'!$A$3:$S$910,17,FALSE)),0,VLOOKUP($A54,'Mutasi Neraca'!$A$3:$S$910,17,FALSE))</f>
        <v>-34248000</v>
      </c>
      <c r="S54" s="42">
        <f t="shared" si="2"/>
        <v>14842239638</v>
      </c>
    </row>
    <row r="55" spans="1:19">
      <c r="A55" s="41" t="s">
        <v>62</v>
      </c>
      <c r="B55" s="41" t="str">
        <f t="shared" si="1"/>
        <v>005010200</v>
      </c>
      <c r="D55" s="42">
        <f>VLOOKUP($A55,'Neraca Unaudited SIMAK'!$A$2:$R$1272,3,FALSE)+IF(ISNA(VLOOKUP($A55,'Mutasi Neraca'!$A$3:$S$910,3,FALSE)),0,VLOOKUP($A55,'Mutasi Neraca'!$A$3:$S$910,3,FALSE))</f>
        <v>14416637</v>
      </c>
      <c r="E55" s="42">
        <f>VLOOKUP($A55,'Neraca Unaudited SIMAK'!$A$2:$R$1272,4,FALSE)+IF(ISNA(VLOOKUP($A55,'Mutasi Neraca'!$A$3:$S$910,4,FALSE)),0,VLOOKUP($A55,'Mutasi Neraca'!$A$3:$S$910,4,FALSE))</f>
        <v>266400000</v>
      </c>
      <c r="F55" s="42">
        <f>VLOOKUP($A55,'Neraca Unaudited SIMAK'!$A$2:$R$1272,5,FALSE)+IF(ISNA(VLOOKUP($A55,'Mutasi Neraca'!$A$3:$S$910,5,FALSE)),0,VLOOKUP($A55,'Mutasi Neraca'!$A$3:$S$910,5,FALSE))</f>
        <v>2208529985</v>
      </c>
      <c r="G55" s="42">
        <f>VLOOKUP($A55,'Neraca Unaudited SIMAK'!$A$2:$R$1272,6,FALSE)+IF(ISNA(VLOOKUP($A55,'Mutasi Neraca'!$A$3:$S$910,6,FALSE)),0,VLOOKUP($A55,'Mutasi Neraca'!$A$3:$S$910,6,FALSE))</f>
        <v>6580049307</v>
      </c>
      <c r="H55" s="42">
        <f>VLOOKUP($A55,'Neraca Unaudited SIMAK'!$A$2:$R$1272,7,FALSE)+IF(ISNA(VLOOKUP($A55,'Mutasi Neraca'!$A$3:$S$910,7,FALSE)),0,VLOOKUP($A55,'Mutasi Neraca'!$A$3:$S$910,7,FALSE))</f>
        <v>0</v>
      </c>
      <c r="I55" s="42">
        <f>VLOOKUP($A55,'Neraca Unaudited SIMAK'!$A$2:$R$1272,8,FALSE)+IF(ISNA(VLOOKUP($A55,'Mutasi Neraca'!$A$3:$S$910,8,FALSE)),0,VLOOKUP($A55,'Mutasi Neraca'!$A$3:$S$910,8,FALSE))</f>
        <v>0</v>
      </c>
      <c r="J55" s="42">
        <f>VLOOKUP($A55,'Neraca Unaudited SIMAK'!$A$2:$R$1272,9,FALSE)+IF(ISNA(VLOOKUP($A55,'Mutasi Neraca'!$A$3:$S$910,9,FALSE)),0,VLOOKUP($A55,'Mutasi Neraca'!$A$3:$S$910,9,FALSE))</f>
        <v>0</v>
      </c>
      <c r="K55" s="42">
        <f>VLOOKUP($A55,'Neraca Unaudited SIMAK'!$A$2:$R$1272,10,FALSE)+IF(ISNA(VLOOKUP($A55,'Mutasi Neraca'!$A$3:$S$910,10,FALSE)),0,VLOOKUP($A55,'Mutasi Neraca'!$A$3:$S$910,10,FALSE))</f>
        <v>49280000</v>
      </c>
      <c r="L55" s="42">
        <f>VLOOKUP($A55,'Neraca Unaudited SIMAK'!$A$2:$R$1272,11,FALSE)+IF(ISNA(VLOOKUP($A55,'Mutasi Neraca'!$A$3:$S$910,11,FALSE)),0,VLOOKUP($A55,'Mutasi Neraca'!$A$3:$S$910,11,FALSE))</f>
        <v>179863869</v>
      </c>
      <c r="M55" s="42">
        <f>VLOOKUP($A55,'Neraca Unaudited SIMAK'!$A$2:$R$1272,12,FALSE)+IF(ISNA(VLOOKUP($A55,'Mutasi Neraca'!$A$3:$S$910,12,FALSE)),0,VLOOKUP($A55,'Mutasi Neraca'!$A$3:$S$910,12,FALSE))</f>
        <v>9298539798</v>
      </c>
      <c r="N55" s="42">
        <f>VLOOKUP($A55,'Neraca Unaudited SIMAK'!$A$2:$R$1272,13,FALSE)+IF(ISNA(VLOOKUP($A55,'Mutasi Neraca'!$A$3:$S$910,13,FALSE)),0,VLOOKUP($A55,'Mutasi Neraca'!$A$3:$S$910,13,FALSE))</f>
        <v>-2123948989</v>
      </c>
      <c r="O55" s="42">
        <f>VLOOKUP($A55,'Neraca Unaudited SIMAK'!$A$2:$R$1272,14,FALSE)+IF(ISNA(VLOOKUP($A55,'Mutasi Neraca'!$A$3:$S$910,14,FALSE)),0,VLOOKUP($A55,'Mutasi Neraca'!$A$3:$S$910,14,FALSE))</f>
        <v>-1052807889</v>
      </c>
      <c r="P55" s="42">
        <f>VLOOKUP($A55,'Neraca Unaudited SIMAK'!$A$2:$R$1272,15,FALSE)+IF(ISNA(VLOOKUP($A55,'Mutasi Neraca'!$A$3:$S$910,15,FALSE)),0,VLOOKUP($A55,'Mutasi Neraca'!$A$3:$S$910,15,FALSE))</f>
        <v>0</v>
      </c>
      <c r="Q55" s="42">
        <f>VLOOKUP($A55,'Neraca Unaudited SIMAK'!$A$2:$R$1272,16,FALSE)+IF(ISNA(VLOOKUP($A55,'Mutasi Neraca'!$A$3:$S$910,16,FALSE)),0,VLOOKUP($A55,'Mutasi Neraca'!$A$3:$S$910,16,FALSE))</f>
        <v>0</v>
      </c>
      <c r="R55" s="42">
        <f>VLOOKUP($A55,'Neraca Unaudited SIMAK'!$A$2:$R$1272,17,FALSE)+IF(ISNA(VLOOKUP($A55,'Mutasi Neraca'!$A$3:$S$910,17,FALSE)),0,VLOOKUP($A55,'Mutasi Neraca'!$A$3:$S$910,17,FALSE))</f>
        <v>-179455869</v>
      </c>
      <c r="S55" s="42">
        <f t="shared" si="2"/>
        <v>5942327051</v>
      </c>
    </row>
    <row r="56" spans="1:19">
      <c r="A56" s="41" t="s">
        <v>63</v>
      </c>
      <c r="B56" s="41" t="str">
        <f t="shared" si="1"/>
        <v>005010200</v>
      </c>
      <c r="D56" s="42">
        <f>VLOOKUP($A56,'Neraca Unaudited SIMAK'!$A$2:$R$1272,3,FALSE)+IF(ISNA(VLOOKUP($A56,'Mutasi Neraca'!$A$3:$S$910,3,FALSE)),0,VLOOKUP($A56,'Mutasi Neraca'!$A$3:$S$910,3,FALSE))</f>
        <v>1498200</v>
      </c>
      <c r="E56" s="42">
        <f>VLOOKUP($A56,'Neraca Unaudited SIMAK'!$A$2:$R$1272,4,FALSE)+IF(ISNA(VLOOKUP($A56,'Mutasi Neraca'!$A$3:$S$910,4,FALSE)),0,VLOOKUP($A56,'Mutasi Neraca'!$A$3:$S$910,4,FALSE))</f>
        <v>1392450000</v>
      </c>
      <c r="F56" s="42">
        <f>VLOOKUP($A56,'Neraca Unaudited SIMAK'!$A$2:$R$1272,5,FALSE)+IF(ISNA(VLOOKUP($A56,'Mutasi Neraca'!$A$3:$S$910,5,FALSE)),0,VLOOKUP($A56,'Mutasi Neraca'!$A$3:$S$910,5,FALSE))</f>
        <v>2139696857</v>
      </c>
      <c r="G56" s="42">
        <f>VLOOKUP($A56,'Neraca Unaudited SIMAK'!$A$2:$R$1272,6,FALSE)+IF(ISNA(VLOOKUP($A56,'Mutasi Neraca'!$A$3:$S$910,6,FALSE)),0,VLOOKUP($A56,'Mutasi Neraca'!$A$3:$S$910,6,FALSE))</f>
        <v>10058860517</v>
      </c>
      <c r="H56" s="42">
        <f>VLOOKUP($A56,'Neraca Unaudited SIMAK'!$A$2:$R$1272,7,FALSE)+IF(ISNA(VLOOKUP($A56,'Mutasi Neraca'!$A$3:$S$910,7,FALSE)),0,VLOOKUP($A56,'Mutasi Neraca'!$A$3:$S$910,7,FALSE))</f>
        <v>39600000</v>
      </c>
      <c r="I56" s="42">
        <f>VLOOKUP($A56,'Neraca Unaudited SIMAK'!$A$2:$R$1272,8,FALSE)+IF(ISNA(VLOOKUP($A56,'Mutasi Neraca'!$A$3:$S$910,8,FALSE)),0,VLOOKUP($A56,'Mutasi Neraca'!$A$3:$S$910,8,FALSE))</f>
        <v>14223498</v>
      </c>
      <c r="J56" s="42">
        <f>VLOOKUP($A56,'Neraca Unaudited SIMAK'!$A$2:$R$1272,9,FALSE)+IF(ISNA(VLOOKUP($A56,'Mutasi Neraca'!$A$3:$S$910,9,FALSE)),0,VLOOKUP($A56,'Mutasi Neraca'!$A$3:$S$910,9,FALSE))</f>
        <v>0</v>
      </c>
      <c r="K56" s="42">
        <f>VLOOKUP($A56,'Neraca Unaudited SIMAK'!$A$2:$R$1272,10,FALSE)+IF(ISNA(VLOOKUP($A56,'Mutasi Neraca'!$A$3:$S$910,10,FALSE)),0,VLOOKUP($A56,'Mutasi Neraca'!$A$3:$S$910,10,FALSE))</f>
        <v>69500000</v>
      </c>
      <c r="L56" s="42">
        <f>VLOOKUP($A56,'Neraca Unaudited SIMAK'!$A$2:$R$1272,11,FALSE)+IF(ISNA(VLOOKUP($A56,'Mutasi Neraca'!$A$3:$S$910,11,FALSE)),0,VLOOKUP($A56,'Mutasi Neraca'!$A$3:$S$910,11,FALSE))</f>
        <v>3336500</v>
      </c>
      <c r="M56" s="42">
        <f>VLOOKUP($A56,'Neraca Unaudited SIMAK'!$A$2:$R$1272,12,FALSE)+IF(ISNA(VLOOKUP($A56,'Mutasi Neraca'!$A$3:$S$910,12,FALSE)),0,VLOOKUP($A56,'Mutasi Neraca'!$A$3:$S$910,12,FALSE))</f>
        <v>13719165572</v>
      </c>
      <c r="N56" s="42">
        <f>VLOOKUP($A56,'Neraca Unaudited SIMAK'!$A$2:$R$1272,13,FALSE)+IF(ISNA(VLOOKUP($A56,'Mutasi Neraca'!$A$3:$S$910,13,FALSE)),0,VLOOKUP($A56,'Mutasi Neraca'!$A$3:$S$910,13,FALSE))</f>
        <v>-839575990</v>
      </c>
      <c r="O56" s="42">
        <f>VLOOKUP($A56,'Neraca Unaudited SIMAK'!$A$2:$R$1272,14,FALSE)+IF(ISNA(VLOOKUP($A56,'Mutasi Neraca'!$A$3:$S$910,14,FALSE)),0,VLOOKUP($A56,'Mutasi Neraca'!$A$3:$S$910,14,FALSE))</f>
        <v>-257434233</v>
      </c>
      <c r="P56" s="42">
        <f>VLOOKUP($A56,'Neraca Unaudited SIMAK'!$A$2:$R$1272,15,FALSE)+IF(ISNA(VLOOKUP($A56,'Mutasi Neraca'!$A$3:$S$910,15,FALSE)),0,VLOOKUP($A56,'Mutasi Neraca'!$A$3:$S$910,15,FALSE))</f>
        <v>-495000</v>
      </c>
      <c r="Q56" s="42">
        <f>VLOOKUP($A56,'Neraca Unaudited SIMAK'!$A$2:$R$1272,16,FALSE)+IF(ISNA(VLOOKUP($A56,'Mutasi Neraca'!$A$3:$S$910,16,FALSE)),0,VLOOKUP($A56,'Mutasi Neraca'!$A$3:$S$910,16,FALSE))</f>
        <v>0</v>
      </c>
      <c r="R56" s="42">
        <f>VLOOKUP($A56,'Neraca Unaudited SIMAK'!$A$2:$R$1272,17,FALSE)+IF(ISNA(VLOOKUP($A56,'Mutasi Neraca'!$A$3:$S$910,17,FALSE)),0,VLOOKUP($A56,'Mutasi Neraca'!$A$3:$S$910,17,FALSE))</f>
        <v>-3336500</v>
      </c>
      <c r="S56" s="42">
        <f t="shared" si="2"/>
        <v>12618323849</v>
      </c>
    </row>
    <row r="57" spans="1:19">
      <c r="A57" s="41" t="s">
        <v>64</v>
      </c>
      <c r="B57" s="41" t="str">
        <f t="shared" si="1"/>
        <v>005010200</v>
      </c>
      <c r="D57" s="42">
        <f>VLOOKUP($A57,'Neraca Unaudited SIMAK'!$A$2:$R$1272,3,FALSE)+IF(ISNA(VLOOKUP($A57,'Mutasi Neraca'!$A$3:$S$910,3,FALSE)),0,VLOOKUP($A57,'Mutasi Neraca'!$A$3:$S$910,3,FALSE))</f>
        <v>1046270</v>
      </c>
      <c r="E57" s="42">
        <f>VLOOKUP($A57,'Neraca Unaudited SIMAK'!$A$2:$R$1272,4,FALSE)+IF(ISNA(VLOOKUP($A57,'Mutasi Neraca'!$A$3:$S$910,4,FALSE)),0,VLOOKUP($A57,'Mutasi Neraca'!$A$3:$S$910,4,FALSE))</f>
        <v>1738858000</v>
      </c>
      <c r="F57" s="42">
        <f>VLOOKUP($A57,'Neraca Unaudited SIMAK'!$A$2:$R$1272,5,FALSE)+IF(ISNA(VLOOKUP($A57,'Mutasi Neraca'!$A$3:$S$910,5,FALSE)),0,VLOOKUP($A57,'Mutasi Neraca'!$A$3:$S$910,5,FALSE))</f>
        <v>2028721868</v>
      </c>
      <c r="G57" s="42">
        <f>VLOOKUP($A57,'Neraca Unaudited SIMAK'!$A$2:$R$1272,6,FALSE)+IF(ISNA(VLOOKUP($A57,'Mutasi Neraca'!$A$3:$S$910,6,FALSE)),0,VLOOKUP($A57,'Mutasi Neraca'!$A$3:$S$910,6,FALSE))</f>
        <v>9367678260</v>
      </c>
      <c r="H57" s="42">
        <f>VLOOKUP($A57,'Neraca Unaudited SIMAK'!$A$2:$R$1272,7,FALSE)+IF(ISNA(VLOOKUP($A57,'Mutasi Neraca'!$A$3:$S$910,7,FALSE)),0,VLOOKUP($A57,'Mutasi Neraca'!$A$3:$S$910,7,FALSE))</f>
        <v>0</v>
      </c>
      <c r="I57" s="42">
        <f>VLOOKUP($A57,'Neraca Unaudited SIMAK'!$A$2:$R$1272,8,FALSE)+IF(ISNA(VLOOKUP($A57,'Mutasi Neraca'!$A$3:$S$910,8,FALSE)),0,VLOOKUP($A57,'Mutasi Neraca'!$A$3:$S$910,8,FALSE))</f>
        <v>7880000</v>
      </c>
      <c r="J57" s="42">
        <f>VLOOKUP($A57,'Neraca Unaudited SIMAK'!$A$2:$R$1272,9,FALSE)+IF(ISNA(VLOOKUP($A57,'Mutasi Neraca'!$A$3:$S$910,9,FALSE)),0,VLOOKUP($A57,'Mutasi Neraca'!$A$3:$S$910,9,FALSE))</f>
        <v>0</v>
      </c>
      <c r="K57" s="42">
        <f>VLOOKUP($A57,'Neraca Unaudited SIMAK'!$A$2:$R$1272,10,FALSE)+IF(ISNA(VLOOKUP($A57,'Mutasi Neraca'!$A$3:$S$910,10,FALSE)),0,VLOOKUP($A57,'Mutasi Neraca'!$A$3:$S$910,10,FALSE))</f>
        <v>46580000</v>
      </c>
      <c r="L57" s="42">
        <f>VLOOKUP($A57,'Neraca Unaudited SIMAK'!$A$2:$R$1272,11,FALSE)+IF(ISNA(VLOOKUP($A57,'Mutasi Neraca'!$A$3:$S$910,11,FALSE)),0,VLOOKUP($A57,'Mutasi Neraca'!$A$3:$S$910,11,FALSE))</f>
        <v>15207000</v>
      </c>
      <c r="M57" s="42">
        <f>VLOOKUP($A57,'Neraca Unaudited SIMAK'!$A$2:$R$1272,12,FALSE)+IF(ISNA(VLOOKUP($A57,'Mutasi Neraca'!$A$3:$S$910,12,FALSE)),0,VLOOKUP($A57,'Mutasi Neraca'!$A$3:$S$910,12,FALSE))</f>
        <v>13205971398</v>
      </c>
      <c r="N57" s="42">
        <f>VLOOKUP($A57,'Neraca Unaudited SIMAK'!$A$2:$R$1272,13,FALSE)+IF(ISNA(VLOOKUP($A57,'Mutasi Neraca'!$A$3:$S$910,13,FALSE)),0,VLOOKUP($A57,'Mutasi Neraca'!$A$3:$S$910,13,FALSE))</f>
        <v>-1201319291</v>
      </c>
      <c r="O57" s="42">
        <f>VLOOKUP($A57,'Neraca Unaudited SIMAK'!$A$2:$R$1272,14,FALSE)+IF(ISNA(VLOOKUP($A57,'Mutasi Neraca'!$A$3:$S$910,14,FALSE)),0,VLOOKUP($A57,'Mutasi Neraca'!$A$3:$S$910,14,FALSE))</f>
        <v>-93676783</v>
      </c>
      <c r="P57" s="42">
        <f>VLOOKUP($A57,'Neraca Unaudited SIMAK'!$A$2:$R$1272,15,FALSE)+IF(ISNA(VLOOKUP($A57,'Mutasi Neraca'!$A$3:$S$910,15,FALSE)),0,VLOOKUP($A57,'Mutasi Neraca'!$A$3:$S$910,15,FALSE))</f>
        <v>0</v>
      </c>
      <c r="Q57" s="42">
        <f>VLOOKUP($A57,'Neraca Unaudited SIMAK'!$A$2:$R$1272,16,FALSE)+IF(ISNA(VLOOKUP($A57,'Mutasi Neraca'!$A$3:$S$910,16,FALSE)),0,VLOOKUP($A57,'Mutasi Neraca'!$A$3:$S$910,16,FALSE))</f>
        <v>0</v>
      </c>
      <c r="R57" s="42">
        <f>VLOOKUP($A57,'Neraca Unaudited SIMAK'!$A$2:$R$1272,17,FALSE)+IF(ISNA(VLOOKUP($A57,'Mutasi Neraca'!$A$3:$S$910,17,FALSE)),0,VLOOKUP($A57,'Mutasi Neraca'!$A$3:$S$910,17,FALSE))</f>
        <v>-15207000</v>
      </c>
      <c r="S57" s="42">
        <f t="shared" si="2"/>
        <v>11895768324</v>
      </c>
    </row>
    <row r="58" spans="1:19">
      <c r="A58" s="41" t="s">
        <v>65</v>
      </c>
      <c r="B58" s="41" t="str">
        <f t="shared" si="1"/>
        <v>005010200</v>
      </c>
      <c r="D58" s="42">
        <f>VLOOKUP($A58,'Neraca Unaudited SIMAK'!$A$2:$R$1272,3,FALSE)+IF(ISNA(VLOOKUP($A58,'Mutasi Neraca'!$A$3:$S$910,3,FALSE)),0,VLOOKUP($A58,'Mutasi Neraca'!$A$3:$S$910,3,FALSE))</f>
        <v>4677000</v>
      </c>
      <c r="E58" s="42">
        <f>VLOOKUP($A58,'Neraca Unaudited SIMAK'!$A$2:$R$1272,4,FALSE)+IF(ISNA(VLOOKUP($A58,'Mutasi Neraca'!$A$3:$S$910,4,FALSE)),0,VLOOKUP($A58,'Mutasi Neraca'!$A$3:$S$910,4,FALSE))</f>
        <v>990000000</v>
      </c>
      <c r="F58" s="42">
        <f>VLOOKUP($A58,'Neraca Unaudited SIMAK'!$A$2:$R$1272,5,FALSE)+IF(ISNA(VLOOKUP($A58,'Mutasi Neraca'!$A$3:$S$910,5,FALSE)),0,VLOOKUP($A58,'Mutasi Neraca'!$A$3:$S$910,5,FALSE))</f>
        <v>2843693826</v>
      </c>
      <c r="G58" s="42">
        <f>VLOOKUP($A58,'Neraca Unaudited SIMAK'!$A$2:$R$1272,6,FALSE)+IF(ISNA(VLOOKUP($A58,'Mutasi Neraca'!$A$3:$S$910,6,FALSE)),0,VLOOKUP($A58,'Mutasi Neraca'!$A$3:$S$910,6,FALSE))</f>
        <v>7166893676</v>
      </c>
      <c r="H58" s="42">
        <f>VLOOKUP($A58,'Neraca Unaudited SIMAK'!$A$2:$R$1272,7,FALSE)+IF(ISNA(VLOOKUP($A58,'Mutasi Neraca'!$A$3:$S$910,7,FALSE)),0,VLOOKUP($A58,'Mutasi Neraca'!$A$3:$S$910,7,FALSE))</f>
        <v>630168999</v>
      </c>
      <c r="I58" s="42">
        <f>VLOOKUP($A58,'Neraca Unaudited SIMAK'!$A$2:$R$1272,8,FALSE)+IF(ISNA(VLOOKUP($A58,'Mutasi Neraca'!$A$3:$S$910,8,FALSE)),0,VLOOKUP($A58,'Mutasi Neraca'!$A$3:$S$910,8,FALSE))</f>
        <v>408000</v>
      </c>
      <c r="J58" s="42">
        <f>VLOOKUP($A58,'Neraca Unaudited SIMAK'!$A$2:$R$1272,9,FALSE)+IF(ISNA(VLOOKUP($A58,'Mutasi Neraca'!$A$3:$S$910,9,FALSE)),0,VLOOKUP($A58,'Mutasi Neraca'!$A$3:$S$910,9,FALSE))</f>
        <v>0</v>
      </c>
      <c r="K58" s="42">
        <f>VLOOKUP($A58,'Neraca Unaudited SIMAK'!$A$2:$R$1272,10,FALSE)+IF(ISNA(VLOOKUP($A58,'Mutasi Neraca'!$A$3:$S$910,10,FALSE)),0,VLOOKUP($A58,'Mutasi Neraca'!$A$3:$S$910,10,FALSE))</f>
        <v>39555000</v>
      </c>
      <c r="L58" s="42">
        <f>VLOOKUP($A58,'Neraca Unaudited SIMAK'!$A$2:$R$1272,11,FALSE)+IF(ISNA(VLOOKUP($A58,'Mutasi Neraca'!$A$3:$S$910,11,FALSE)),0,VLOOKUP($A58,'Mutasi Neraca'!$A$3:$S$910,11,FALSE))</f>
        <v>17827000</v>
      </c>
      <c r="M58" s="42">
        <f>VLOOKUP($A58,'Neraca Unaudited SIMAK'!$A$2:$R$1272,12,FALSE)+IF(ISNA(VLOOKUP($A58,'Mutasi Neraca'!$A$3:$S$910,12,FALSE)),0,VLOOKUP($A58,'Mutasi Neraca'!$A$3:$S$910,12,FALSE))</f>
        <v>11693223501</v>
      </c>
      <c r="N58" s="42">
        <f>VLOOKUP($A58,'Neraca Unaudited SIMAK'!$A$2:$R$1272,13,FALSE)+IF(ISNA(VLOOKUP($A58,'Mutasi Neraca'!$A$3:$S$910,13,FALSE)),0,VLOOKUP($A58,'Mutasi Neraca'!$A$3:$S$910,13,FALSE))</f>
        <v>-2257611247</v>
      </c>
      <c r="O58" s="42">
        <f>VLOOKUP($A58,'Neraca Unaudited SIMAK'!$A$2:$R$1272,14,FALSE)+IF(ISNA(VLOOKUP($A58,'Mutasi Neraca'!$A$3:$S$910,14,FALSE)),0,VLOOKUP($A58,'Mutasi Neraca'!$A$3:$S$910,14,FALSE))</f>
        <v>-490098182</v>
      </c>
      <c r="P58" s="42">
        <f>VLOOKUP($A58,'Neraca Unaudited SIMAK'!$A$2:$R$1272,15,FALSE)+IF(ISNA(VLOOKUP($A58,'Mutasi Neraca'!$A$3:$S$910,15,FALSE)),0,VLOOKUP($A58,'Mutasi Neraca'!$A$3:$S$910,15,FALSE))</f>
        <v>-63855435</v>
      </c>
      <c r="Q58" s="42">
        <f>VLOOKUP($A58,'Neraca Unaudited SIMAK'!$A$2:$R$1272,16,FALSE)+IF(ISNA(VLOOKUP($A58,'Mutasi Neraca'!$A$3:$S$910,16,FALSE)),0,VLOOKUP($A58,'Mutasi Neraca'!$A$3:$S$910,16,FALSE))</f>
        <v>0</v>
      </c>
      <c r="R58" s="42">
        <f>VLOOKUP($A58,'Neraca Unaudited SIMAK'!$A$2:$R$1272,17,FALSE)+IF(ISNA(VLOOKUP($A58,'Mutasi Neraca'!$A$3:$S$910,17,FALSE)),0,VLOOKUP($A58,'Mutasi Neraca'!$A$3:$S$910,17,FALSE))</f>
        <v>-17827000</v>
      </c>
      <c r="S58" s="42">
        <f t="shared" si="2"/>
        <v>8863831637</v>
      </c>
    </row>
    <row r="59" spans="1:19">
      <c r="A59" s="41" t="s">
        <v>66</v>
      </c>
      <c r="B59" s="41" t="str">
        <f t="shared" si="1"/>
        <v>005010200</v>
      </c>
      <c r="D59" s="42">
        <f>VLOOKUP($A59,'Neraca Unaudited SIMAK'!$A$2:$R$1272,3,FALSE)+IF(ISNA(VLOOKUP($A59,'Mutasi Neraca'!$A$3:$S$910,3,FALSE)),0,VLOOKUP($A59,'Mutasi Neraca'!$A$3:$S$910,3,FALSE))</f>
        <v>10774000</v>
      </c>
      <c r="E59" s="42">
        <f>VLOOKUP($A59,'Neraca Unaudited SIMAK'!$A$2:$R$1272,4,FALSE)+IF(ISNA(VLOOKUP($A59,'Mutasi Neraca'!$A$3:$S$910,4,FALSE)),0,VLOOKUP($A59,'Mutasi Neraca'!$A$3:$S$910,4,FALSE))</f>
        <v>1113521570</v>
      </c>
      <c r="F59" s="42">
        <f>VLOOKUP($A59,'Neraca Unaudited SIMAK'!$A$2:$R$1272,5,FALSE)+IF(ISNA(VLOOKUP($A59,'Mutasi Neraca'!$A$3:$S$910,5,FALSE)),0,VLOOKUP($A59,'Mutasi Neraca'!$A$3:$S$910,5,FALSE))</f>
        <v>1807294996</v>
      </c>
      <c r="G59" s="42">
        <f>VLOOKUP($A59,'Neraca Unaudited SIMAK'!$A$2:$R$1272,6,FALSE)+IF(ISNA(VLOOKUP($A59,'Mutasi Neraca'!$A$3:$S$910,6,FALSE)),0,VLOOKUP($A59,'Mutasi Neraca'!$A$3:$S$910,6,FALSE))</f>
        <v>8928988944</v>
      </c>
      <c r="H59" s="42">
        <f>VLOOKUP($A59,'Neraca Unaudited SIMAK'!$A$2:$R$1272,7,FALSE)+IF(ISNA(VLOOKUP($A59,'Mutasi Neraca'!$A$3:$S$910,7,FALSE)),0,VLOOKUP($A59,'Mutasi Neraca'!$A$3:$S$910,7,FALSE))</f>
        <v>0</v>
      </c>
      <c r="I59" s="42">
        <f>VLOOKUP($A59,'Neraca Unaudited SIMAK'!$A$2:$R$1272,8,FALSE)+IF(ISNA(VLOOKUP($A59,'Mutasi Neraca'!$A$3:$S$910,8,FALSE)),0,VLOOKUP($A59,'Mutasi Neraca'!$A$3:$S$910,8,FALSE))</f>
        <v>5710166</v>
      </c>
      <c r="J59" s="42">
        <f>VLOOKUP($A59,'Neraca Unaudited SIMAK'!$A$2:$R$1272,9,FALSE)+IF(ISNA(VLOOKUP($A59,'Mutasi Neraca'!$A$3:$S$910,9,FALSE)),0,VLOOKUP($A59,'Mutasi Neraca'!$A$3:$S$910,9,FALSE))</f>
        <v>0</v>
      </c>
      <c r="K59" s="42">
        <f>VLOOKUP($A59,'Neraca Unaudited SIMAK'!$A$2:$R$1272,10,FALSE)+IF(ISNA(VLOOKUP($A59,'Mutasi Neraca'!$A$3:$S$910,10,FALSE)),0,VLOOKUP($A59,'Mutasi Neraca'!$A$3:$S$910,10,FALSE))</f>
        <v>77900000</v>
      </c>
      <c r="L59" s="42">
        <f>VLOOKUP($A59,'Neraca Unaudited SIMAK'!$A$2:$R$1272,11,FALSE)+IF(ISNA(VLOOKUP($A59,'Mutasi Neraca'!$A$3:$S$910,11,FALSE)),0,VLOOKUP($A59,'Mutasi Neraca'!$A$3:$S$910,11,FALSE))</f>
        <v>64706000</v>
      </c>
      <c r="M59" s="42">
        <f>VLOOKUP($A59,'Neraca Unaudited SIMAK'!$A$2:$R$1272,12,FALSE)+IF(ISNA(VLOOKUP($A59,'Mutasi Neraca'!$A$3:$S$910,12,FALSE)),0,VLOOKUP($A59,'Mutasi Neraca'!$A$3:$S$910,12,FALSE))</f>
        <v>12008895676</v>
      </c>
      <c r="N59" s="42">
        <f>VLOOKUP($A59,'Neraca Unaudited SIMAK'!$A$2:$R$1272,13,FALSE)+IF(ISNA(VLOOKUP($A59,'Mutasi Neraca'!$A$3:$S$910,13,FALSE)),0,VLOOKUP($A59,'Mutasi Neraca'!$A$3:$S$910,13,FALSE))</f>
        <v>-1469356274</v>
      </c>
      <c r="O59" s="42">
        <f>VLOOKUP($A59,'Neraca Unaudited SIMAK'!$A$2:$R$1272,14,FALSE)+IF(ISNA(VLOOKUP($A59,'Mutasi Neraca'!$A$3:$S$910,14,FALSE)),0,VLOOKUP($A59,'Mutasi Neraca'!$A$3:$S$910,14,FALSE))</f>
        <v>-669533113</v>
      </c>
      <c r="P59" s="42">
        <f>VLOOKUP($A59,'Neraca Unaudited SIMAK'!$A$2:$R$1272,15,FALSE)+IF(ISNA(VLOOKUP($A59,'Mutasi Neraca'!$A$3:$S$910,15,FALSE)),0,VLOOKUP($A59,'Mutasi Neraca'!$A$3:$S$910,15,FALSE))</f>
        <v>0</v>
      </c>
      <c r="Q59" s="42">
        <f>VLOOKUP($A59,'Neraca Unaudited SIMAK'!$A$2:$R$1272,16,FALSE)+IF(ISNA(VLOOKUP($A59,'Mutasi Neraca'!$A$3:$S$910,16,FALSE)),0,VLOOKUP($A59,'Mutasi Neraca'!$A$3:$S$910,16,FALSE))</f>
        <v>0</v>
      </c>
      <c r="R59" s="42">
        <f>VLOOKUP($A59,'Neraca Unaudited SIMAK'!$A$2:$R$1272,17,FALSE)+IF(ISNA(VLOOKUP($A59,'Mutasi Neraca'!$A$3:$S$910,17,FALSE)),0,VLOOKUP($A59,'Mutasi Neraca'!$A$3:$S$910,17,FALSE))</f>
        <v>-65746000</v>
      </c>
      <c r="S59" s="42">
        <f t="shared" si="2"/>
        <v>9804260289</v>
      </c>
    </row>
    <row r="60" spans="1:19">
      <c r="A60" s="41" t="s">
        <v>67</v>
      </c>
      <c r="B60" s="41" t="str">
        <f t="shared" si="1"/>
        <v>005010200</v>
      </c>
      <c r="D60" s="42">
        <f>VLOOKUP($A60,'Neraca Unaudited SIMAK'!$A$2:$R$1272,3,FALSE)+IF(ISNA(VLOOKUP($A60,'Mutasi Neraca'!$A$3:$S$910,3,FALSE)),0,VLOOKUP($A60,'Mutasi Neraca'!$A$3:$S$910,3,FALSE))</f>
        <v>17380700</v>
      </c>
      <c r="E60" s="42">
        <f>VLOOKUP($A60,'Neraca Unaudited SIMAK'!$A$2:$R$1272,4,FALSE)+IF(ISNA(VLOOKUP($A60,'Mutasi Neraca'!$A$3:$S$910,4,FALSE)),0,VLOOKUP($A60,'Mutasi Neraca'!$A$3:$S$910,4,FALSE))</f>
        <v>1200000000</v>
      </c>
      <c r="F60" s="42">
        <f>VLOOKUP($A60,'Neraca Unaudited SIMAK'!$A$2:$R$1272,5,FALSE)+IF(ISNA(VLOOKUP($A60,'Mutasi Neraca'!$A$3:$S$910,5,FALSE)),0,VLOOKUP($A60,'Mutasi Neraca'!$A$3:$S$910,5,FALSE))</f>
        <v>1811345631</v>
      </c>
      <c r="G60" s="42">
        <f>VLOOKUP($A60,'Neraca Unaudited SIMAK'!$A$2:$R$1272,6,FALSE)+IF(ISNA(VLOOKUP($A60,'Mutasi Neraca'!$A$3:$S$910,6,FALSE)),0,VLOOKUP($A60,'Mutasi Neraca'!$A$3:$S$910,6,FALSE))</f>
        <v>6129640825</v>
      </c>
      <c r="H60" s="42">
        <f>VLOOKUP($A60,'Neraca Unaudited SIMAK'!$A$2:$R$1272,7,FALSE)+IF(ISNA(VLOOKUP($A60,'Mutasi Neraca'!$A$3:$S$910,7,FALSE)),0,VLOOKUP($A60,'Mutasi Neraca'!$A$3:$S$910,7,FALSE))</f>
        <v>3162500</v>
      </c>
      <c r="I60" s="42">
        <f>VLOOKUP($A60,'Neraca Unaudited SIMAK'!$A$2:$R$1272,8,FALSE)+IF(ISNA(VLOOKUP($A60,'Mutasi Neraca'!$A$3:$S$910,8,FALSE)),0,VLOOKUP($A60,'Mutasi Neraca'!$A$3:$S$910,8,FALSE))</f>
        <v>9457062</v>
      </c>
      <c r="J60" s="42">
        <f>VLOOKUP($A60,'Neraca Unaudited SIMAK'!$A$2:$R$1272,9,FALSE)+IF(ISNA(VLOOKUP($A60,'Mutasi Neraca'!$A$3:$S$910,9,FALSE)),0,VLOOKUP($A60,'Mutasi Neraca'!$A$3:$S$910,9,FALSE))</f>
        <v>0</v>
      </c>
      <c r="K60" s="42">
        <f>VLOOKUP($A60,'Neraca Unaudited SIMAK'!$A$2:$R$1272,10,FALSE)+IF(ISNA(VLOOKUP($A60,'Mutasi Neraca'!$A$3:$S$910,10,FALSE)),0,VLOOKUP($A60,'Mutasi Neraca'!$A$3:$S$910,10,FALSE))</f>
        <v>90947000</v>
      </c>
      <c r="L60" s="42">
        <f>VLOOKUP($A60,'Neraca Unaudited SIMAK'!$A$2:$R$1272,11,FALSE)+IF(ISNA(VLOOKUP($A60,'Mutasi Neraca'!$A$3:$S$910,11,FALSE)),0,VLOOKUP($A60,'Mutasi Neraca'!$A$3:$S$910,11,FALSE))</f>
        <v>148117280</v>
      </c>
      <c r="M60" s="42">
        <f>VLOOKUP($A60,'Neraca Unaudited SIMAK'!$A$2:$R$1272,12,FALSE)+IF(ISNA(VLOOKUP($A60,'Mutasi Neraca'!$A$3:$S$910,12,FALSE)),0,VLOOKUP($A60,'Mutasi Neraca'!$A$3:$S$910,12,FALSE))</f>
        <v>9410050998</v>
      </c>
      <c r="N60" s="42">
        <f>VLOOKUP($A60,'Neraca Unaudited SIMAK'!$A$2:$R$1272,13,FALSE)+IF(ISNA(VLOOKUP($A60,'Mutasi Neraca'!$A$3:$S$910,13,FALSE)),0,VLOOKUP($A60,'Mutasi Neraca'!$A$3:$S$910,13,FALSE))</f>
        <v>-1511786795</v>
      </c>
      <c r="O60" s="42">
        <f>VLOOKUP($A60,'Neraca Unaudited SIMAK'!$A$2:$R$1272,14,FALSE)+IF(ISNA(VLOOKUP($A60,'Mutasi Neraca'!$A$3:$S$910,14,FALSE)),0,VLOOKUP($A60,'Mutasi Neraca'!$A$3:$S$910,14,FALSE))</f>
        <v>-1226581165</v>
      </c>
      <c r="P60" s="42">
        <f>VLOOKUP($A60,'Neraca Unaudited SIMAK'!$A$2:$R$1272,15,FALSE)+IF(ISNA(VLOOKUP($A60,'Mutasi Neraca'!$A$3:$S$910,15,FALSE)),0,VLOOKUP($A60,'Mutasi Neraca'!$A$3:$S$910,15,FALSE))</f>
        <v>-1897500</v>
      </c>
      <c r="Q60" s="42">
        <f>VLOOKUP($A60,'Neraca Unaudited SIMAK'!$A$2:$R$1272,16,FALSE)+IF(ISNA(VLOOKUP($A60,'Mutasi Neraca'!$A$3:$S$910,16,FALSE)),0,VLOOKUP($A60,'Mutasi Neraca'!$A$3:$S$910,16,FALSE))</f>
        <v>0</v>
      </c>
      <c r="R60" s="42">
        <f>VLOOKUP($A60,'Neraca Unaudited SIMAK'!$A$2:$R$1272,17,FALSE)+IF(ISNA(VLOOKUP($A60,'Mutasi Neraca'!$A$3:$S$910,17,FALSE)),0,VLOOKUP($A60,'Mutasi Neraca'!$A$3:$S$910,17,FALSE))</f>
        <v>-135510380</v>
      </c>
      <c r="S60" s="42">
        <f t="shared" si="2"/>
        <v>6534275158</v>
      </c>
    </row>
    <row r="61" spans="1:19">
      <c r="A61" s="41" t="s">
        <v>68</v>
      </c>
      <c r="B61" s="41" t="str">
        <f t="shared" si="1"/>
        <v>005010200</v>
      </c>
      <c r="D61" s="42">
        <f>VLOOKUP($A61,'Neraca Unaudited SIMAK'!$A$2:$R$1272,3,FALSE)+IF(ISNA(VLOOKUP($A61,'Mutasi Neraca'!$A$3:$S$910,3,FALSE)),0,VLOOKUP($A61,'Mutasi Neraca'!$A$3:$S$910,3,FALSE))</f>
        <v>1365600</v>
      </c>
      <c r="E61" s="42">
        <f>VLOOKUP($A61,'Neraca Unaudited SIMAK'!$A$2:$R$1272,4,FALSE)+IF(ISNA(VLOOKUP($A61,'Mutasi Neraca'!$A$3:$S$910,4,FALSE)),0,VLOOKUP($A61,'Mutasi Neraca'!$A$3:$S$910,4,FALSE))</f>
        <v>16965000000</v>
      </c>
      <c r="F61" s="42">
        <f>VLOOKUP($A61,'Neraca Unaudited SIMAK'!$A$2:$R$1272,5,FALSE)+IF(ISNA(VLOOKUP($A61,'Mutasi Neraca'!$A$3:$S$910,5,FALSE)),0,VLOOKUP($A61,'Mutasi Neraca'!$A$3:$S$910,5,FALSE))</f>
        <v>2453483731</v>
      </c>
      <c r="G61" s="42">
        <f>VLOOKUP($A61,'Neraca Unaudited SIMAK'!$A$2:$R$1272,6,FALSE)+IF(ISNA(VLOOKUP($A61,'Mutasi Neraca'!$A$3:$S$910,6,FALSE)),0,VLOOKUP($A61,'Mutasi Neraca'!$A$3:$S$910,6,FALSE))</f>
        <v>10417060355</v>
      </c>
      <c r="H61" s="42">
        <f>VLOOKUP($A61,'Neraca Unaudited SIMAK'!$A$2:$R$1272,7,FALSE)+IF(ISNA(VLOOKUP($A61,'Mutasi Neraca'!$A$3:$S$910,7,FALSE)),0,VLOOKUP($A61,'Mutasi Neraca'!$A$3:$S$910,7,FALSE))</f>
        <v>0</v>
      </c>
      <c r="I61" s="42">
        <f>VLOOKUP($A61,'Neraca Unaudited SIMAK'!$A$2:$R$1272,8,FALSE)+IF(ISNA(VLOOKUP($A61,'Mutasi Neraca'!$A$3:$S$910,8,FALSE)),0,VLOOKUP($A61,'Mutasi Neraca'!$A$3:$S$910,8,FALSE))</f>
        <v>18283400</v>
      </c>
      <c r="J61" s="42">
        <f>VLOOKUP($A61,'Neraca Unaudited SIMAK'!$A$2:$R$1272,9,FALSE)+IF(ISNA(VLOOKUP($A61,'Mutasi Neraca'!$A$3:$S$910,9,FALSE)),0,VLOOKUP($A61,'Mutasi Neraca'!$A$3:$S$910,9,FALSE))</f>
        <v>0</v>
      </c>
      <c r="K61" s="42">
        <f>VLOOKUP($A61,'Neraca Unaudited SIMAK'!$A$2:$R$1272,10,FALSE)+IF(ISNA(VLOOKUP($A61,'Mutasi Neraca'!$A$3:$S$910,10,FALSE)),0,VLOOKUP($A61,'Mutasi Neraca'!$A$3:$S$910,10,FALSE))</f>
        <v>112180000</v>
      </c>
      <c r="L61" s="42">
        <f>VLOOKUP($A61,'Neraca Unaudited SIMAK'!$A$2:$R$1272,11,FALSE)+IF(ISNA(VLOOKUP($A61,'Mutasi Neraca'!$A$3:$S$910,11,FALSE)),0,VLOOKUP($A61,'Mutasi Neraca'!$A$3:$S$910,11,FALSE))</f>
        <v>0</v>
      </c>
      <c r="M61" s="42">
        <f>VLOOKUP($A61,'Neraca Unaudited SIMAK'!$A$2:$R$1272,12,FALSE)+IF(ISNA(VLOOKUP($A61,'Mutasi Neraca'!$A$3:$S$910,12,FALSE)),0,VLOOKUP($A61,'Mutasi Neraca'!$A$3:$S$910,12,FALSE))</f>
        <v>29967373086</v>
      </c>
      <c r="N61" s="42">
        <f>VLOOKUP($A61,'Neraca Unaudited SIMAK'!$A$2:$R$1272,13,FALSE)+IF(ISNA(VLOOKUP($A61,'Mutasi Neraca'!$A$3:$S$910,13,FALSE)),0,VLOOKUP($A61,'Mutasi Neraca'!$A$3:$S$910,13,FALSE))</f>
        <v>-2065683483</v>
      </c>
      <c r="O61" s="42">
        <f>VLOOKUP($A61,'Neraca Unaudited SIMAK'!$A$2:$R$1272,14,FALSE)+IF(ISNA(VLOOKUP($A61,'Mutasi Neraca'!$A$3:$S$910,14,FALSE)),0,VLOOKUP($A61,'Mutasi Neraca'!$A$3:$S$910,14,FALSE))</f>
        <v>-4240536395</v>
      </c>
      <c r="P61" s="42">
        <f>VLOOKUP($A61,'Neraca Unaudited SIMAK'!$A$2:$R$1272,15,FALSE)+IF(ISNA(VLOOKUP($A61,'Mutasi Neraca'!$A$3:$S$910,15,FALSE)),0,VLOOKUP($A61,'Mutasi Neraca'!$A$3:$S$910,15,FALSE))</f>
        <v>0</v>
      </c>
      <c r="Q61" s="42">
        <f>VLOOKUP($A61,'Neraca Unaudited SIMAK'!$A$2:$R$1272,16,FALSE)+IF(ISNA(VLOOKUP($A61,'Mutasi Neraca'!$A$3:$S$910,16,FALSE)),0,VLOOKUP($A61,'Mutasi Neraca'!$A$3:$S$910,16,FALSE))</f>
        <v>-8000000</v>
      </c>
      <c r="R61" s="42">
        <f>VLOOKUP($A61,'Neraca Unaudited SIMAK'!$A$2:$R$1272,17,FALSE)+IF(ISNA(VLOOKUP($A61,'Mutasi Neraca'!$A$3:$S$910,17,FALSE)),0,VLOOKUP($A61,'Mutasi Neraca'!$A$3:$S$910,17,FALSE))</f>
        <v>0</v>
      </c>
      <c r="S61" s="42">
        <f t="shared" si="2"/>
        <v>23653153208</v>
      </c>
    </row>
    <row r="62" spans="1:19">
      <c r="A62" s="41" t="s">
        <v>69</v>
      </c>
      <c r="B62" s="41" t="str">
        <f t="shared" si="1"/>
        <v>005010200</v>
      </c>
      <c r="D62" s="42">
        <f>VLOOKUP($A62,'Neraca Unaudited SIMAK'!$A$2:$R$1272,3,FALSE)+IF(ISNA(VLOOKUP($A62,'Mutasi Neraca'!$A$3:$S$910,3,FALSE)),0,VLOOKUP($A62,'Mutasi Neraca'!$A$3:$S$910,3,FALSE))</f>
        <v>327000</v>
      </c>
      <c r="E62" s="42">
        <f>VLOOKUP($A62,'Neraca Unaudited SIMAK'!$A$2:$R$1272,4,FALSE)+IF(ISNA(VLOOKUP($A62,'Mutasi Neraca'!$A$3:$S$910,4,FALSE)),0,VLOOKUP($A62,'Mutasi Neraca'!$A$3:$S$910,4,FALSE))</f>
        <v>0</v>
      </c>
      <c r="F62" s="42">
        <f>VLOOKUP($A62,'Neraca Unaudited SIMAK'!$A$2:$R$1272,5,FALSE)+IF(ISNA(VLOOKUP($A62,'Mutasi Neraca'!$A$3:$S$910,5,FALSE)),0,VLOOKUP($A62,'Mutasi Neraca'!$A$3:$S$910,5,FALSE))</f>
        <v>2514257860</v>
      </c>
      <c r="G62" s="42">
        <f>VLOOKUP($A62,'Neraca Unaudited SIMAK'!$A$2:$R$1272,6,FALSE)+IF(ISNA(VLOOKUP($A62,'Mutasi Neraca'!$A$3:$S$910,6,FALSE)),0,VLOOKUP($A62,'Mutasi Neraca'!$A$3:$S$910,6,FALSE))</f>
        <v>6761234131</v>
      </c>
      <c r="H62" s="42">
        <f>VLOOKUP($A62,'Neraca Unaudited SIMAK'!$A$2:$R$1272,7,FALSE)+IF(ISNA(VLOOKUP($A62,'Mutasi Neraca'!$A$3:$S$910,7,FALSE)),0,VLOOKUP($A62,'Mutasi Neraca'!$A$3:$S$910,7,FALSE))</f>
        <v>64888000</v>
      </c>
      <c r="I62" s="42">
        <f>VLOOKUP($A62,'Neraca Unaudited SIMAK'!$A$2:$R$1272,8,FALSE)+IF(ISNA(VLOOKUP($A62,'Mutasi Neraca'!$A$3:$S$910,8,FALSE)),0,VLOOKUP($A62,'Mutasi Neraca'!$A$3:$S$910,8,FALSE))</f>
        <v>4288000</v>
      </c>
      <c r="J62" s="42">
        <f>VLOOKUP($A62,'Neraca Unaudited SIMAK'!$A$2:$R$1272,9,FALSE)+IF(ISNA(VLOOKUP($A62,'Mutasi Neraca'!$A$3:$S$910,9,FALSE)),0,VLOOKUP($A62,'Mutasi Neraca'!$A$3:$S$910,9,FALSE))</f>
        <v>0</v>
      </c>
      <c r="K62" s="42">
        <f>VLOOKUP($A62,'Neraca Unaudited SIMAK'!$A$2:$R$1272,10,FALSE)+IF(ISNA(VLOOKUP($A62,'Mutasi Neraca'!$A$3:$S$910,10,FALSE)),0,VLOOKUP($A62,'Mutasi Neraca'!$A$3:$S$910,10,FALSE))</f>
        <v>39750000</v>
      </c>
      <c r="L62" s="42">
        <f>VLOOKUP($A62,'Neraca Unaudited SIMAK'!$A$2:$R$1272,11,FALSE)+IF(ISNA(VLOOKUP($A62,'Mutasi Neraca'!$A$3:$S$910,11,FALSE)),0,VLOOKUP($A62,'Mutasi Neraca'!$A$3:$S$910,11,FALSE))</f>
        <v>107912237</v>
      </c>
      <c r="M62" s="42">
        <f>VLOOKUP($A62,'Neraca Unaudited SIMAK'!$A$2:$R$1272,12,FALSE)+IF(ISNA(VLOOKUP($A62,'Mutasi Neraca'!$A$3:$S$910,12,FALSE)),0,VLOOKUP($A62,'Mutasi Neraca'!$A$3:$S$910,12,FALSE))</f>
        <v>9492657228</v>
      </c>
      <c r="N62" s="42">
        <f>VLOOKUP($A62,'Neraca Unaudited SIMAK'!$A$2:$R$1272,13,FALSE)+IF(ISNA(VLOOKUP($A62,'Mutasi Neraca'!$A$3:$S$910,13,FALSE)),0,VLOOKUP($A62,'Mutasi Neraca'!$A$3:$S$910,13,FALSE))</f>
        <v>-1693865178</v>
      </c>
      <c r="O62" s="42">
        <f>VLOOKUP($A62,'Neraca Unaudited SIMAK'!$A$2:$R$1272,14,FALSE)+IF(ISNA(VLOOKUP($A62,'Mutasi Neraca'!$A$3:$S$910,14,FALSE)),0,VLOOKUP($A62,'Mutasi Neraca'!$A$3:$S$910,14,FALSE))</f>
        <v>-324276341</v>
      </c>
      <c r="P62" s="42">
        <f>VLOOKUP($A62,'Neraca Unaudited SIMAK'!$A$2:$R$1272,15,FALSE)+IF(ISNA(VLOOKUP($A62,'Mutasi Neraca'!$A$3:$S$910,15,FALSE)),0,VLOOKUP($A62,'Mutasi Neraca'!$A$3:$S$910,15,FALSE))</f>
        <v>-64888000</v>
      </c>
      <c r="Q62" s="42">
        <f>VLOOKUP($A62,'Neraca Unaudited SIMAK'!$A$2:$R$1272,16,FALSE)+IF(ISNA(VLOOKUP($A62,'Mutasi Neraca'!$A$3:$S$910,16,FALSE)),0,VLOOKUP($A62,'Mutasi Neraca'!$A$3:$S$910,16,FALSE))</f>
        <v>0</v>
      </c>
      <c r="R62" s="42">
        <f>VLOOKUP($A62,'Neraca Unaudited SIMAK'!$A$2:$R$1272,17,FALSE)+IF(ISNA(VLOOKUP($A62,'Mutasi Neraca'!$A$3:$S$910,17,FALSE)),0,VLOOKUP($A62,'Mutasi Neraca'!$A$3:$S$910,17,FALSE))</f>
        <v>-107912237</v>
      </c>
      <c r="S62" s="42">
        <f t="shared" si="2"/>
        <v>7301715472</v>
      </c>
    </row>
    <row r="63" spans="1:19">
      <c r="A63" s="41" t="s">
        <v>70</v>
      </c>
      <c r="B63" s="41" t="str">
        <f t="shared" si="1"/>
        <v>005010200</v>
      </c>
      <c r="D63" s="42">
        <f>VLOOKUP($A63,'Neraca Unaudited SIMAK'!$A$2:$R$1272,3,FALSE)+IF(ISNA(VLOOKUP($A63,'Mutasi Neraca'!$A$3:$S$910,3,FALSE)),0,VLOOKUP($A63,'Mutasi Neraca'!$A$3:$S$910,3,FALSE))</f>
        <v>6012870</v>
      </c>
      <c r="E63" s="42">
        <f>VLOOKUP($A63,'Neraca Unaudited SIMAK'!$A$2:$R$1272,4,FALSE)+IF(ISNA(VLOOKUP($A63,'Mutasi Neraca'!$A$3:$S$910,4,FALSE)),0,VLOOKUP($A63,'Mutasi Neraca'!$A$3:$S$910,4,FALSE))</f>
        <v>9523572000</v>
      </c>
      <c r="F63" s="42">
        <f>VLOOKUP($A63,'Neraca Unaudited SIMAK'!$A$2:$R$1272,5,FALSE)+IF(ISNA(VLOOKUP($A63,'Mutasi Neraca'!$A$3:$S$910,5,FALSE)),0,VLOOKUP($A63,'Mutasi Neraca'!$A$3:$S$910,5,FALSE))</f>
        <v>2823207347</v>
      </c>
      <c r="G63" s="42">
        <f>VLOOKUP($A63,'Neraca Unaudited SIMAK'!$A$2:$R$1272,6,FALSE)+IF(ISNA(VLOOKUP($A63,'Mutasi Neraca'!$A$3:$S$910,6,FALSE)),0,VLOOKUP($A63,'Mutasi Neraca'!$A$3:$S$910,6,FALSE))</f>
        <v>7198572000</v>
      </c>
      <c r="H63" s="42">
        <f>VLOOKUP($A63,'Neraca Unaudited SIMAK'!$A$2:$R$1272,7,FALSE)+IF(ISNA(VLOOKUP($A63,'Mutasi Neraca'!$A$3:$S$910,7,FALSE)),0,VLOOKUP($A63,'Mutasi Neraca'!$A$3:$S$910,7,FALSE))</f>
        <v>582694800</v>
      </c>
      <c r="I63" s="42">
        <f>VLOOKUP($A63,'Neraca Unaudited SIMAK'!$A$2:$R$1272,8,FALSE)+IF(ISNA(VLOOKUP($A63,'Mutasi Neraca'!$A$3:$S$910,8,FALSE)),0,VLOOKUP($A63,'Mutasi Neraca'!$A$3:$S$910,8,FALSE))</f>
        <v>17254962</v>
      </c>
      <c r="J63" s="42">
        <f>VLOOKUP($A63,'Neraca Unaudited SIMAK'!$A$2:$R$1272,9,FALSE)+IF(ISNA(VLOOKUP($A63,'Mutasi Neraca'!$A$3:$S$910,9,FALSE)),0,VLOOKUP($A63,'Mutasi Neraca'!$A$3:$S$910,9,FALSE))</f>
        <v>0</v>
      </c>
      <c r="K63" s="42">
        <f>VLOOKUP($A63,'Neraca Unaudited SIMAK'!$A$2:$R$1272,10,FALSE)+IF(ISNA(VLOOKUP($A63,'Mutasi Neraca'!$A$3:$S$910,10,FALSE)),0,VLOOKUP($A63,'Mutasi Neraca'!$A$3:$S$910,10,FALSE))</f>
        <v>84470000</v>
      </c>
      <c r="L63" s="42">
        <f>VLOOKUP($A63,'Neraca Unaudited SIMAK'!$A$2:$R$1272,11,FALSE)+IF(ISNA(VLOOKUP($A63,'Mutasi Neraca'!$A$3:$S$910,11,FALSE)),0,VLOOKUP($A63,'Mutasi Neraca'!$A$3:$S$910,11,FALSE))</f>
        <v>110791777</v>
      </c>
      <c r="M63" s="42">
        <f>VLOOKUP($A63,'Neraca Unaudited SIMAK'!$A$2:$R$1272,12,FALSE)+IF(ISNA(VLOOKUP($A63,'Mutasi Neraca'!$A$3:$S$910,12,FALSE)),0,VLOOKUP($A63,'Mutasi Neraca'!$A$3:$S$910,12,FALSE))</f>
        <v>20346575756</v>
      </c>
      <c r="N63" s="42">
        <f>VLOOKUP($A63,'Neraca Unaudited SIMAK'!$A$2:$R$1272,13,FALSE)+IF(ISNA(VLOOKUP($A63,'Mutasi Neraca'!$A$3:$S$910,13,FALSE)),0,VLOOKUP($A63,'Mutasi Neraca'!$A$3:$S$910,13,FALSE))</f>
        <v>-2248807980</v>
      </c>
      <c r="O63" s="42">
        <f>VLOOKUP($A63,'Neraca Unaudited SIMAK'!$A$2:$R$1272,14,FALSE)+IF(ISNA(VLOOKUP($A63,'Mutasi Neraca'!$A$3:$S$910,14,FALSE)),0,VLOOKUP($A63,'Mutasi Neraca'!$A$3:$S$910,14,FALSE))</f>
        <v>-1500313935</v>
      </c>
      <c r="P63" s="42">
        <f>VLOOKUP($A63,'Neraca Unaudited SIMAK'!$A$2:$R$1272,15,FALSE)+IF(ISNA(VLOOKUP($A63,'Mutasi Neraca'!$A$3:$S$910,15,FALSE)),0,VLOOKUP($A63,'Mutasi Neraca'!$A$3:$S$910,15,FALSE))</f>
        <v>-393629383</v>
      </c>
      <c r="Q63" s="42">
        <f>VLOOKUP($A63,'Neraca Unaudited SIMAK'!$A$2:$R$1272,16,FALSE)+IF(ISNA(VLOOKUP($A63,'Mutasi Neraca'!$A$3:$S$910,16,FALSE)),0,VLOOKUP($A63,'Mutasi Neraca'!$A$3:$S$910,16,FALSE))</f>
        <v>0</v>
      </c>
      <c r="R63" s="42">
        <f>VLOOKUP($A63,'Neraca Unaudited SIMAK'!$A$2:$R$1272,17,FALSE)+IF(ISNA(VLOOKUP($A63,'Mutasi Neraca'!$A$3:$S$910,17,FALSE)),0,VLOOKUP($A63,'Mutasi Neraca'!$A$3:$S$910,17,FALSE))</f>
        <v>-110756777</v>
      </c>
      <c r="S63" s="42">
        <f t="shared" si="2"/>
        <v>16093067681</v>
      </c>
    </row>
    <row r="64" spans="1:19">
      <c r="A64" s="41" t="s">
        <v>71</v>
      </c>
      <c r="B64" s="41" t="str">
        <f t="shared" si="1"/>
        <v>005010200</v>
      </c>
      <c r="D64" s="42">
        <f>VLOOKUP($A64,'Neraca Unaudited SIMAK'!$A$2:$R$1272,3,FALSE)+IF(ISNA(VLOOKUP($A64,'Mutasi Neraca'!$A$3:$S$910,3,FALSE)),0,VLOOKUP($A64,'Mutasi Neraca'!$A$3:$S$910,3,FALSE))</f>
        <v>1577500</v>
      </c>
      <c r="E64" s="42">
        <f>VLOOKUP($A64,'Neraca Unaudited SIMAK'!$A$2:$R$1272,4,FALSE)+IF(ISNA(VLOOKUP($A64,'Mutasi Neraca'!$A$3:$S$910,4,FALSE)),0,VLOOKUP($A64,'Mutasi Neraca'!$A$3:$S$910,4,FALSE))</f>
        <v>0</v>
      </c>
      <c r="F64" s="42">
        <f>VLOOKUP($A64,'Neraca Unaudited SIMAK'!$A$2:$R$1272,5,FALSE)+IF(ISNA(VLOOKUP($A64,'Mutasi Neraca'!$A$3:$S$910,5,FALSE)),0,VLOOKUP($A64,'Mutasi Neraca'!$A$3:$S$910,5,FALSE))</f>
        <v>2205196019</v>
      </c>
      <c r="G64" s="42">
        <f>VLOOKUP($A64,'Neraca Unaudited SIMAK'!$A$2:$R$1272,6,FALSE)+IF(ISNA(VLOOKUP($A64,'Mutasi Neraca'!$A$3:$S$910,6,FALSE)),0,VLOOKUP($A64,'Mutasi Neraca'!$A$3:$S$910,6,FALSE))</f>
        <v>3342550000</v>
      </c>
      <c r="H64" s="42">
        <f>VLOOKUP($A64,'Neraca Unaudited SIMAK'!$A$2:$R$1272,7,FALSE)+IF(ISNA(VLOOKUP($A64,'Mutasi Neraca'!$A$3:$S$910,7,FALSE)),0,VLOOKUP($A64,'Mutasi Neraca'!$A$3:$S$910,7,FALSE))</f>
        <v>0</v>
      </c>
      <c r="I64" s="42">
        <f>VLOOKUP($A64,'Neraca Unaudited SIMAK'!$A$2:$R$1272,8,FALSE)+IF(ISNA(VLOOKUP($A64,'Mutasi Neraca'!$A$3:$S$910,8,FALSE)),0,VLOOKUP($A64,'Mutasi Neraca'!$A$3:$S$910,8,FALSE))</f>
        <v>408000</v>
      </c>
      <c r="J64" s="42">
        <f>VLOOKUP($A64,'Neraca Unaudited SIMAK'!$A$2:$R$1272,9,FALSE)+IF(ISNA(VLOOKUP($A64,'Mutasi Neraca'!$A$3:$S$910,9,FALSE)),0,VLOOKUP($A64,'Mutasi Neraca'!$A$3:$S$910,9,FALSE))</f>
        <v>0</v>
      </c>
      <c r="K64" s="42">
        <f>VLOOKUP($A64,'Neraca Unaudited SIMAK'!$A$2:$R$1272,10,FALSE)+IF(ISNA(VLOOKUP($A64,'Mutasi Neraca'!$A$3:$S$910,10,FALSE)),0,VLOOKUP($A64,'Mutasi Neraca'!$A$3:$S$910,10,FALSE))</f>
        <v>39600000</v>
      </c>
      <c r="L64" s="42">
        <f>VLOOKUP($A64,'Neraca Unaudited SIMAK'!$A$2:$R$1272,11,FALSE)+IF(ISNA(VLOOKUP($A64,'Mutasi Neraca'!$A$3:$S$910,11,FALSE)),0,VLOOKUP($A64,'Mutasi Neraca'!$A$3:$S$910,11,FALSE))</f>
        <v>30396022</v>
      </c>
      <c r="M64" s="42">
        <f>VLOOKUP($A64,'Neraca Unaudited SIMAK'!$A$2:$R$1272,12,FALSE)+IF(ISNA(VLOOKUP($A64,'Mutasi Neraca'!$A$3:$S$910,12,FALSE)),0,VLOOKUP($A64,'Mutasi Neraca'!$A$3:$S$910,12,FALSE))</f>
        <v>5619727541</v>
      </c>
      <c r="N64" s="42">
        <f>VLOOKUP($A64,'Neraca Unaudited SIMAK'!$A$2:$R$1272,13,FALSE)+IF(ISNA(VLOOKUP($A64,'Mutasi Neraca'!$A$3:$S$910,13,FALSE)),0,VLOOKUP($A64,'Mutasi Neraca'!$A$3:$S$910,13,FALSE))</f>
        <v>-1844588374</v>
      </c>
      <c r="O64" s="42">
        <f>VLOOKUP($A64,'Neraca Unaudited SIMAK'!$A$2:$R$1272,14,FALSE)+IF(ISNA(VLOOKUP($A64,'Mutasi Neraca'!$A$3:$S$910,14,FALSE)),0,VLOOKUP($A64,'Mutasi Neraca'!$A$3:$S$910,14,FALSE))</f>
        <v>-540732420</v>
      </c>
      <c r="P64" s="42">
        <f>VLOOKUP($A64,'Neraca Unaudited SIMAK'!$A$2:$R$1272,15,FALSE)+IF(ISNA(VLOOKUP($A64,'Mutasi Neraca'!$A$3:$S$910,15,FALSE)),0,VLOOKUP($A64,'Mutasi Neraca'!$A$3:$S$910,15,FALSE))</f>
        <v>0</v>
      </c>
      <c r="Q64" s="42">
        <f>VLOOKUP($A64,'Neraca Unaudited SIMAK'!$A$2:$R$1272,16,FALSE)+IF(ISNA(VLOOKUP($A64,'Mutasi Neraca'!$A$3:$S$910,16,FALSE)),0,VLOOKUP($A64,'Mutasi Neraca'!$A$3:$S$910,16,FALSE))</f>
        <v>0</v>
      </c>
      <c r="R64" s="42">
        <f>VLOOKUP($A64,'Neraca Unaudited SIMAK'!$A$2:$R$1272,17,FALSE)+IF(ISNA(VLOOKUP($A64,'Mutasi Neraca'!$A$3:$S$910,17,FALSE)),0,VLOOKUP($A64,'Mutasi Neraca'!$A$3:$S$910,17,FALSE))</f>
        <v>-24036022</v>
      </c>
      <c r="S64" s="42">
        <f t="shared" si="2"/>
        <v>3210370725</v>
      </c>
    </row>
    <row r="65" spans="1:19">
      <c r="A65" s="41" t="s">
        <v>72</v>
      </c>
      <c r="B65" s="41" t="str">
        <f t="shared" si="1"/>
        <v>005010200</v>
      </c>
      <c r="D65" s="42">
        <f>VLOOKUP($A65,'Neraca Unaudited SIMAK'!$A$2:$R$1272,3,FALSE)+IF(ISNA(VLOOKUP($A65,'Mutasi Neraca'!$A$3:$S$910,3,FALSE)),0,VLOOKUP($A65,'Mutasi Neraca'!$A$3:$S$910,3,FALSE))</f>
        <v>1291515</v>
      </c>
      <c r="E65" s="42">
        <f>VLOOKUP($A65,'Neraca Unaudited SIMAK'!$A$2:$R$1272,4,FALSE)+IF(ISNA(VLOOKUP($A65,'Mutasi Neraca'!$A$3:$S$910,4,FALSE)),0,VLOOKUP($A65,'Mutasi Neraca'!$A$3:$S$910,4,FALSE))</f>
        <v>993820000</v>
      </c>
      <c r="F65" s="42">
        <f>VLOOKUP($A65,'Neraca Unaudited SIMAK'!$A$2:$R$1272,5,FALSE)+IF(ISNA(VLOOKUP($A65,'Mutasi Neraca'!$A$3:$S$910,5,FALSE)),0,VLOOKUP($A65,'Mutasi Neraca'!$A$3:$S$910,5,FALSE))</f>
        <v>1944993928</v>
      </c>
      <c r="G65" s="42">
        <f>VLOOKUP($A65,'Neraca Unaudited SIMAK'!$A$2:$R$1272,6,FALSE)+IF(ISNA(VLOOKUP($A65,'Mutasi Neraca'!$A$3:$S$910,6,FALSE)),0,VLOOKUP($A65,'Mutasi Neraca'!$A$3:$S$910,6,FALSE))</f>
        <v>4762728807</v>
      </c>
      <c r="H65" s="42">
        <f>VLOOKUP($A65,'Neraca Unaudited SIMAK'!$A$2:$R$1272,7,FALSE)+IF(ISNA(VLOOKUP($A65,'Mutasi Neraca'!$A$3:$S$910,7,FALSE)),0,VLOOKUP($A65,'Mutasi Neraca'!$A$3:$S$910,7,FALSE))</f>
        <v>0</v>
      </c>
      <c r="I65" s="42">
        <f>VLOOKUP($A65,'Neraca Unaudited SIMAK'!$A$2:$R$1272,8,FALSE)+IF(ISNA(VLOOKUP($A65,'Mutasi Neraca'!$A$3:$S$910,8,FALSE)),0,VLOOKUP($A65,'Mutasi Neraca'!$A$3:$S$910,8,FALSE))</f>
        <v>9142300</v>
      </c>
      <c r="J65" s="42">
        <f>VLOOKUP($A65,'Neraca Unaudited SIMAK'!$A$2:$R$1272,9,FALSE)+IF(ISNA(VLOOKUP($A65,'Mutasi Neraca'!$A$3:$S$910,9,FALSE)),0,VLOOKUP($A65,'Mutasi Neraca'!$A$3:$S$910,9,FALSE))</f>
        <v>0</v>
      </c>
      <c r="K65" s="42">
        <f>VLOOKUP($A65,'Neraca Unaudited SIMAK'!$A$2:$R$1272,10,FALSE)+IF(ISNA(VLOOKUP($A65,'Mutasi Neraca'!$A$3:$S$910,10,FALSE)),0,VLOOKUP($A65,'Mutasi Neraca'!$A$3:$S$910,10,FALSE))</f>
        <v>49700000</v>
      </c>
      <c r="L65" s="42">
        <f>VLOOKUP($A65,'Neraca Unaudited SIMAK'!$A$2:$R$1272,11,FALSE)+IF(ISNA(VLOOKUP($A65,'Mutasi Neraca'!$A$3:$S$910,11,FALSE)),0,VLOOKUP($A65,'Mutasi Neraca'!$A$3:$S$910,11,FALSE))</f>
        <v>0</v>
      </c>
      <c r="M65" s="42">
        <f>VLOOKUP($A65,'Neraca Unaudited SIMAK'!$A$2:$R$1272,12,FALSE)+IF(ISNA(VLOOKUP($A65,'Mutasi Neraca'!$A$3:$S$910,12,FALSE)),0,VLOOKUP($A65,'Mutasi Neraca'!$A$3:$S$910,12,FALSE))</f>
        <v>7761676550</v>
      </c>
      <c r="N65" s="42">
        <f>VLOOKUP($A65,'Neraca Unaudited SIMAK'!$A$2:$R$1272,13,FALSE)+IF(ISNA(VLOOKUP($A65,'Mutasi Neraca'!$A$3:$S$910,13,FALSE)),0,VLOOKUP($A65,'Mutasi Neraca'!$A$3:$S$910,13,FALSE))</f>
        <v>-1640802391</v>
      </c>
      <c r="O65" s="42">
        <f>VLOOKUP($A65,'Neraca Unaudited SIMAK'!$A$2:$R$1272,14,FALSE)+IF(ISNA(VLOOKUP($A65,'Mutasi Neraca'!$A$3:$S$910,14,FALSE)),0,VLOOKUP($A65,'Mutasi Neraca'!$A$3:$S$910,14,FALSE))</f>
        <v>-699420485</v>
      </c>
      <c r="P65" s="42">
        <f>VLOOKUP($A65,'Neraca Unaudited SIMAK'!$A$2:$R$1272,15,FALSE)+IF(ISNA(VLOOKUP($A65,'Mutasi Neraca'!$A$3:$S$910,15,FALSE)),0,VLOOKUP($A65,'Mutasi Neraca'!$A$3:$S$910,15,FALSE))</f>
        <v>0</v>
      </c>
      <c r="Q65" s="42">
        <f>VLOOKUP($A65,'Neraca Unaudited SIMAK'!$A$2:$R$1272,16,FALSE)+IF(ISNA(VLOOKUP($A65,'Mutasi Neraca'!$A$3:$S$910,16,FALSE)),0,VLOOKUP($A65,'Mutasi Neraca'!$A$3:$S$910,16,FALSE))</f>
        <v>0</v>
      </c>
      <c r="R65" s="42">
        <f>VLOOKUP($A65,'Neraca Unaudited SIMAK'!$A$2:$R$1272,17,FALSE)+IF(ISNA(VLOOKUP($A65,'Mutasi Neraca'!$A$3:$S$910,17,FALSE)),0,VLOOKUP($A65,'Mutasi Neraca'!$A$3:$S$910,17,FALSE))</f>
        <v>0</v>
      </c>
      <c r="S65" s="42">
        <f t="shared" si="2"/>
        <v>5421453674</v>
      </c>
    </row>
    <row r="66" spans="1:19">
      <c r="A66" s="41" t="s">
        <v>73</v>
      </c>
      <c r="B66" s="41" t="str">
        <f t="shared" si="1"/>
        <v>005010200</v>
      </c>
      <c r="D66" s="42">
        <f>VLOOKUP($A66,'Neraca Unaudited SIMAK'!$A$2:$R$1272,3,FALSE)+IF(ISNA(VLOOKUP($A66,'Mutasi Neraca'!$A$3:$S$910,3,FALSE)),0,VLOOKUP($A66,'Mutasi Neraca'!$A$3:$S$910,3,FALSE))</f>
        <v>410000</v>
      </c>
      <c r="E66" s="42">
        <f>VLOOKUP($A66,'Neraca Unaudited SIMAK'!$A$2:$R$1272,4,FALSE)+IF(ISNA(VLOOKUP($A66,'Mutasi Neraca'!$A$3:$S$910,4,FALSE)),0,VLOOKUP($A66,'Mutasi Neraca'!$A$3:$S$910,4,FALSE))</f>
        <v>3200000000</v>
      </c>
      <c r="F66" s="42">
        <f>VLOOKUP($A66,'Neraca Unaudited SIMAK'!$A$2:$R$1272,5,FALSE)+IF(ISNA(VLOOKUP($A66,'Mutasi Neraca'!$A$3:$S$910,5,FALSE)),0,VLOOKUP($A66,'Mutasi Neraca'!$A$3:$S$910,5,FALSE))</f>
        <v>2849359956</v>
      </c>
      <c r="G66" s="42">
        <f>VLOOKUP($A66,'Neraca Unaudited SIMAK'!$A$2:$R$1272,6,FALSE)+IF(ISNA(VLOOKUP($A66,'Mutasi Neraca'!$A$3:$S$910,6,FALSE)),0,VLOOKUP($A66,'Mutasi Neraca'!$A$3:$S$910,6,FALSE))</f>
        <v>10072549000</v>
      </c>
      <c r="H66" s="42">
        <f>VLOOKUP($A66,'Neraca Unaudited SIMAK'!$A$2:$R$1272,7,FALSE)+IF(ISNA(VLOOKUP($A66,'Mutasi Neraca'!$A$3:$S$910,7,FALSE)),0,VLOOKUP($A66,'Mutasi Neraca'!$A$3:$S$910,7,FALSE))</f>
        <v>0</v>
      </c>
      <c r="I66" s="42">
        <f>VLOOKUP($A66,'Neraca Unaudited SIMAK'!$A$2:$R$1272,8,FALSE)+IF(ISNA(VLOOKUP($A66,'Mutasi Neraca'!$A$3:$S$910,8,FALSE)),0,VLOOKUP($A66,'Mutasi Neraca'!$A$3:$S$910,8,FALSE))</f>
        <v>3000000</v>
      </c>
      <c r="J66" s="42">
        <f>VLOOKUP($A66,'Neraca Unaudited SIMAK'!$A$2:$R$1272,9,FALSE)+IF(ISNA(VLOOKUP($A66,'Mutasi Neraca'!$A$3:$S$910,9,FALSE)),0,VLOOKUP($A66,'Mutasi Neraca'!$A$3:$S$910,9,FALSE))</f>
        <v>0</v>
      </c>
      <c r="K66" s="42">
        <f>VLOOKUP($A66,'Neraca Unaudited SIMAK'!$A$2:$R$1272,10,FALSE)+IF(ISNA(VLOOKUP($A66,'Mutasi Neraca'!$A$3:$S$910,10,FALSE)),0,VLOOKUP($A66,'Mutasi Neraca'!$A$3:$S$910,10,FALSE))</f>
        <v>372776000</v>
      </c>
      <c r="L66" s="42">
        <f>VLOOKUP($A66,'Neraca Unaudited SIMAK'!$A$2:$R$1272,11,FALSE)+IF(ISNA(VLOOKUP($A66,'Mutasi Neraca'!$A$3:$S$910,11,FALSE)),0,VLOOKUP($A66,'Mutasi Neraca'!$A$3:$S$910,11,FALSE))</f>
        <v>0</v>
      </c>
      <c r="M66" s="42">
        <f>VLOOKUP($A66,'Neraca Unaudited SIMAK'!$A$2:$R$1272,12,FALSE)+IF(ISNA(VLOOKUP($A66,'Mutasi Neraca'!$A$3:$S$910,12,FALSE)),0,VLOOKUP($A66,'Mutasi Neraca'!$A$3:$S$910,12,FALSE))</f>
        <v>16498094956</v>
      </c>
      <c r="N66" s="42">
        <f>VLOOKUP($A66,'Neraca Unaudited SIMAK'!$A$2:$R$1272,13,FALSE)+IF(ISNA(VLOOKUP($A66,'Mutasi Neraca'!$A$3:$S$910,13,FALSE)),0,VLOOKUP($A66,'Mutasi Neraca'!$A$3:$S$910,13,FALSE))</f>
        <v>-2092912287</v>
      </c>
      <c r="O66" s="42">
        <f>VLOOKUP($A66,'Neraca Unaudited SIMAK'!$A$2:$R$1272,14,FALSE)+IF(ISNA(VLOOKUP($A66,'Mutasi Neraca'!$A$3:$S$910,14,FALSE)),0,VLOOKUP($A66,'Mutasi Neraca'!$A$3:$S$910,14,FALSE))</f>
        <v>-901250220</v>
      </c>
      <c r="P66" s="42">
        <f>VLOOKUP($A66,'Neraca Unaudited SIMAK'!$A$2:$R$1272,15,FALSE)+IF(ISNA(VLOOKUP($A66,'Mutasi Neraca'!$A$3:$S$910,15,FALSE)),0,VLOOKUP($A66,'Mutasi Neraca'!$A$3:$S$910,15,FALSE))</f>
        <v>0</v>
      </c>
      <c r="Q66" s="42">
        <f>VLOOKUP($A66,'Neraca Unaudited SIMAK'!$A$2:$R$1272,16,FALSE)+IF(ISNA(VLOOKUP($A66,'Mutasi Neraca'!$A$3:$S$910,16,FALSE)),0,VLOOKUP($A66,'Mutasi Neraca'!$A$3:$S$910,16,FALSE))</f>
        <v>0</v>
      </c>
      <c r="R66" s="42">
        <f>VLOOKUP($A66,'Neraca Unaudited SIMAK'!$A$2:$R$1272,17,FALSE)+IF(ISNA(VLOOKUP($A66,'Mutasi Neraca'!$A$3:$S$910,17,FALSE)),0,VLOOKUP($A66,'Mutasi Neraca'!$A$3:$S$910,17,FALSE))</f>
        <v>0</v>
      </c>
      <c r="S66" s="42">
        <f t="shared" si="2"/>
        <v>13503932449</v>
      </c>
    </row>
    <row r="67" spans="1:19">
      <c r="A67" s="43" t="s">
        <v>74</v>
      </c>
      <c r="B67" s="41" t="str">
        <f t="shared" ref="B67:B130" si="44">LEFT(A67,9)</f>
        <v>005010200</v>
      </c>
      <c r="D67" s="42">
        <f>VLOOKUP($A67,'Neraca Unaudited SIMAK'!$A$2:$R$1272,3,FALSE)+IF(ISNA(VLOOKUP($A67,'Mutasi Neraca'!$A$3:$S$910,3,FALSE)),0,VLOOKUP($A67,'Mutasi Neraca'!$A$3:$S$910,3,FALSE))</f>
        <v>1525000</v>
      </c>
      <c r="E67" s="42">
        <f>VLOOKUP($A67,'Neraca Unaudited SIMAK'!$A$2:$R$1272,4,FALSE)+IF(ISNA(VLOOKUP($A67,'Mutasi Neraca'!$A$3:$S$910,4,FALSE)),0,VLOOKUP($A67,'Mutasi Neraca'!$A$3:$S$910,4,FALSE))</f>
        <v>1951500000</v>
      </c>
      <c r="F67" s="42">
        <f>VLOOKUP($A67,'Neraca Unaudited SIMAK'!$A$2:$R$1272,5,FALSE)+IF(ISNA(VLOOKUP($A67,'Mutasi Neraca'!$A$3:$S$910,5,FALSE)),0,VLOOKUP($A67,'Mutasi Neraca'!$A$3:$S$910,5,FALSE))</f>
        <v>975087300</v>
      </c>
      <c r="G67" s="42">
        <f>VLOOKUP($A67,'Neraca Unaudited SIMAK'!$A$2:$R$1272,6,FALSE)+IF(ISNA(VLOOKUP($A67,'Mutasi Neraca'!$A$3:$S$910,6,FALSE)),0,VLOOKUP($A67,'Mutasi Neraca'!$A$3:$S$910,6,FALSE))</f>
        <v>0</v>
      </c>
      <c r="H67" s="42">
        <f>VLOOKUP($A67,'Neraca Unaudited SIMAK'!$A$2:$R$1272,7,FALSE)+IF(ISNA(VLOOKUP($A67,'Mutasi Neraca'!$A$3:$S$910,7,FALSE)),0,VLOOKUP($A67,'Mutasi Neraca'!$A$3:$S$910,7,FALSE))</f>
        <v>0</v>
      </c>
      <c r="I67" s="42">
        <f>VLOOKUP($A67,'Neraca Unaudited SIMAK'!$A$2:$R$1272,8,FALSE)+IF(ISNA(VLOOKUP($A67,'Mutasi Neraca'!$A$3:$S$910,8,FALSE)),0,VLOOKUP($A67,'Mutasi Neraca'!$A$3:$S$910,8,FALSE))</f>
        <v>54053168</v>
      </c>
      <c r="J67" s="42">
        <f>VLOOKUP($A67,'Neraca Unaudited SIMAK'!$A$2:$R$1272,9,FALSE)+IF(ISNA(VLOOKUP($A67,'Mutasi Neraca'!$A$3:$S$910,9,FALSE)),0,VLOOKUP($A67,'Mutasi Neraca'!$A$3:$S$910,9,FALSE))</f>
        <v>6481880000</v>
      </c>
      <c r="K67" s="42">
        <f>VLOOKUP($A67,'Neraca Unaudited SIMAK'!$A$2:$R$1272,10,FALSE)+IF(ISNA(VLOOKUP($A67,'Mutasi Neraca'!$A$3:$S$910,10,FALSE)),0,VLOOKUP($A67,'Mutasi Neraca'!$A$3:$S$910,10,FALSE))</f>
        <v>0</v>
      </c>
      <c r="L67" s="42">
        <f>VLOOKUP($A67,'Neraca Unaudited SIMAK'!$A$2:$R$1272,11,FALSE)+IF(ISNA(VLOOKUP($A67,'Mutasi Neraca'!$A$3:$S$910,11,FALSE)),0,VLOOKUP($A67,'Mutasi Neraca'!$A$3:$S$910,11,FALSE))</f>
        <v>12498000</v>
      </c>
      <c r="M67" s="42">
        <f>VLOOKUP($A67,'Neraca Unaudited SIMAK'!$A$2:$R$1272,12,FALSE)+IF(ISNA(VLOOKUP($A67,'Mutasi Neraca'!$A$3:$S$910,12,FALSE)),0,VLOOKUP($A67,'Mutasi Neraca'!$A$3:$S$910,12,FALSE))</f>
        <v>9476543468</v>
      </c>
      <c r="N67" s="42">
        <f>VLOOKUP($A67,'Neraca Unaudited SIMAK'!$A$2:$R$1272,13,FALSE)+IF(ISNA(VLOOKUP($A67,'Mutasi Neraca'!$A$3:$S$910,13,FALSE)),0,VLOOKUP($A67,'Mutasi Neraca'!$A$3:$S$910,13,FALSE))</f>
        <v>-707803370</v>
      </c>
      <c r="O67" s="42">
        <f>VLOOKUP($A67,'Neraca Unaudited SIMAK'!$A$2:$R$1272,14,FALSE)+IF(ISNA(VLOOKUP($A67,'Mutasi Neraca'!$A$3:$S$910,14,FALSE)),0,VLOOKUP($A67,'Mutasi Neraca'!$A$3:$S$910,14,FALSE))</f>
        <v>0</v>
      </c>
      <c r="P67" s="42">
        <f>VLOOKUP($A67,'Neraca Unaudited SIMAK'!$A$2:$R$1272,15,FALSE)+IF(ISNA(VLOOKUP($A67,'Mutasi Neraca'!$A$3:$S$910,15,FALSE)),0,VLOOKUP($A67,'Mutasi Neraca'!$A$3:$S$910,15,FALSE))</f>
        <v>0</v>
      </c>
      <c r="Q67" s="42">
        <f>VLOOKUP($A67,'Neraca Unaudited SIMAK'!$A$2:$R$1272,16,FALSE)+IF(ISNA(VLOOKUP($A67,'Mutasi Neraca'!$A$3:$S$910,16,FALSE)),0,VLOOKUP($A67,'Mutasi Neraca'!$A$3:$S$910,16,FALSE))</f>
        <v>0</v>
      </c>
      <c r="R67" s="42">
        <f>VLOOKUP($A67,'Neraca Unaudited SIMAK'!$A$2:$R$1272,17,FALSE)+IF(ISNA(VLOOKUP($A67,'Mutasi Neraca'!$A$3:$S$910,17,FALSE)),0,VLOOKUP($A67,'Mutasi Neraca'!$A$3:$S$910,17,FALSE))</f>
        <v>-12498000</v>
      </c>
      <c r="S67" s="42">
        <f t="shared" ref="S67:S130" si="45">SUM(M67:R67)</f>
        <v>8756242098</v>
      </c>
    </row>
    <row r="68" spans="1:19">
      <c r="A68" s="43" t="s">
        <v>75</v>
      </c>
      <c r="B68" s="41" t="str">
        <f t="shared" si="44"/>
        <v>005010200</v>
      </c>
      <c r="D68" s="42">
        <f>VLOOKUP($A68,'Neraca Unaudited SIMAK'!$A$2:$R$1272,3,FALSE)+IF(ISNA(VLOOKUP($A68,'Mutasi Neraca'!$A$3:$S$910,3,FALSE)),0,VLOOKUP($A68,'Mutasi Neraca'!$A$3:$S$910,3,FALSE))</f>
        <v>10191287</v>
      </c>
      <c r="E68" s="42">
        <f>VLOOKUP($A68,'Neraca Unaudited SIMAK'!$A$2:$R$1272,4,FALSE)+IF(ISNA(VLOOKUP($A68,'Mutasi Neraca'!$A$3:$S$910,4,FALSE)),0,VLOOKUP($A68,'Mutasi Neraca'!$A$3:$S$910,4,FALSE))</f>
        <v>2589303000</v>
      </c>
      <c r="F68" s="42">
        <f>VLOOKUP($A68,'Neraca Unaudited SIMAK'!$A$2:$R$1272,5,FALSE)+IF(ISNA(VLOOKUP($A68,'Mutasi Neraca'!$A$3:$S$910,5,FALSE)),0,VLOOKUP($A68,'Mutasi Neraca'!$A$3:$S$910,5,FALSE))</f>
        <v>764272808</v>
      </c>
      <c r="G68" s="42">
        <f>VLOOKUP($A68,'Neraca Unaudited SIMAK'!$A$2:$R$1272,6,FALSE)+IF(ISNA(VLOOKUP($A68,'Mutasi Neraca'!$A$3:$S$910,6,FALSE)),0,VLOOKUP($A68,'Mutasi Neraca'!$A$3:$S$910,6,FALSE))</f>
        <v>0</v>
      </c>
      <c r="H68" s="42">
        <f>VLOOKUP($A68,'Neraca Unaudited SIMAK'!$A$2:$R$1272,7,FALSE)+IF(ISNA(VLOOKUP($A68,'Mutasi Neraca'!$A$3:$S$910,7,FALSE)),0,VLOOKUP($A68,'Mutasi Neraca'!$A$3:$S$910,7,FALSE))</f>
        <v>0</v>
      </c>
      <c r="I68" s="42">
        <f>VLOOKUP($A68,'Neraca Unaudited SIMAK'!$A$2:$R$1272,8,FALSE)+IF(ISNA(VLOOKUP($A68,'Mutasi Neraca'!$A$3:$S$910,8,FALSE)),0,VLOOKUP($A68,'Mutasi Neraca'!$A$3:$S$910,8,FALSE))</f>
        <v>0</v>
      </c>
      <c r="J68" s="42">
        <f>VLOOKUP($A68,'Neraca Unaudited SIMAK'!$A$2:$R$1272,9,FALSE)+IF(ISNA(VLOOKUP($A68,'Mutasi Neraca'!$A$3:$S$910,9,FALSE)),0,VLOOKUP($A68,'Mutasi Neraca'!$A$3:$S$910,9,FALSE))</f>
        <v>4899993000</v>
      </c>
      <c r="K68" s="42">
        <f>VLOOKUP($A68,'Neraca Unaudited SIMAK'!$A$2:$R$1272,10,FALSE)+IF(ISNA(VLOOKUP($A68,'Mutasi Neraca'!$A$3:$S$910,10,FALSE)),0,VLOOKUP($A68,'Mutasi Neraca'!$A$3:$S$910,10,FALSE))</f>
        <v>19195000</v>
      </c>
      <c r="L68" s="42">
        <f>VLOOKUP($A68,'Neraca Unaudited SIMAK'!$A$2:$R$1272,11,FALSE)+IF(ISNA(VLOOKUP($A68,'Mutasi Neraca'!$A$3:$S$910,11,FALSE)),0,VLOOKUP($A68,'Mutasi Neraca'!$A$3:$S$910,11,FALSE))</f>
        <v>13991500</v>
      </c>
      <c r="M68" s="42">
        <f>VLOOKUP($A68,'Neraca Unaudited SIMAK'!$A$2:$R$1272,12,FALSE)+IF(ISNA(VLOOKUP($A68,'Mutasi Neraca'!$A$3:$S$910,12,FALSE)),0,VLOOKUP($A68,'Mutasi Neraca'!$A$3:$S$910,12,FALSE))</f>
        <v>8296946595</v>
      </c>
      <c r="N68" s="42">
        <f>VLOOKUP($A68,'Neraca Unaudited SIMAK'!$A$2:$R$1272,13,FALSE)+IF(ISNA(VLOOKUP($A68,'Mutasi Neraca'!$A$3:$S$910,13,FALSE)),0,VLOOKUP($A68,'Mutasi Neraca'!$A$3:$S$910,13,FALSE))</f>
        <v>-554496355</v>
      </c>
      <c r="O68" s="42">
        <f>VLOOKUP($A68,'Neraca Unaudited SIMAK'!$A$2:$R$1272,14,FALSE)+IF(ISNA(VLOOKUP($A68,'Mutasi Neraca'!$A$3:$S$910,14,FALSE)),0,VLOOKUP($A68,'Mutasi Neraca'!$A$3:$S$910,14,FALSE))</f>
        <v>0</v>
      </c>
      <c r="P68" s="42">
        <f>VLOOKUP($A68,'Neraca Unaudited SIMAK'!$A$2:$R$1272,15,FALSE)+IF(ISNA(VLOOKUP($A68,'Mutasi Neraca'!$A$3:$S$910,15,FALSE)),0,VLOOKUP($A68,'Mutasi Neraca'!$A$3:$S$910,15,FALSE))</f>
        <v>0</v>
      </c>
      <c r="Q68" s="42">
        <f>VLOOKUP($A68,'Neraca Unaudited SIMAK'!$A$2:$R$1272,16,FALSE)+IF(ISNA(VLOOKUP($A68,'Mutasi Neraca'!$A$3:$S$910,16,FALSE)),0,VLOOKUP($A68,'Mutasi Neraca'!$A$3:$S$910,16,FALSE))</f>
        <v>0</v>
      </c>
      <c r="R68" s="42">
        <f>VLOOKUP($A68,'Neraca Unaudited SIMAK'!$A$2:$R$1272,17,FALSE)+IF(ISNA(VLOOKUP($A68,'Mutasi Neraca'!$A$3:$S$910,17,FALSE)),0,VLOOKUP($A68,'Mutasi Neraca'!$A$3:$S$910,17,FALSE))</f>
        <v>-13654900</v>
      </c>
      <c r="S68" s="42">
        <f t="shared" si="45"/>
        <v>7728795340</v>
      </c>
    </row>
    <row r="69" spans="1:19">
      <c r="A69" s="41" t="s">
        <v>76</v>
      </c>
      <c r="B69" s="41" t="str">
        <f t="shared" si="44"/>
        <v>005010300</v>
      </c>
      <c r="D69" s="42">
        <f>VLOOKUP($A69,'Neraca Unaudited SIMAK'!$A$2:$R$1272,3,FALSE)+IF(ISNA(VLOOKUP($A69,'Mutasi Neraca'!$A$3:$S$910,3,FALSE)),0,VLOOKUP($A69,'Mutasi Neraca'!$A$3:$S$910,3,FALSE))</f>
        <v>15022650</v>
      </c>
      <c r="E69" s="42">
        <f>VLOOKUP($A69,'Neraca Unaudited SIMAK'!$A$2:$R$1272,4,FALSE)+IF(ISNA(VLOOKUP($A69,'Mutasi Neraca'!$A$3:$S$910,4,FALSE)),0,VLOOKUP($A69,'Mutasi Neraca'!$A$3:$S$910,4,FALSE))</f>
        <v>34145201000</v>
      </c>
      <c r="F69" s="42">
        <f>VLOOKUP($A69,'Neraca Unaudited SIMAK'!$A$2:$R$1272,5,FALSE)+IF(ISNA(VLOOKUP($A69,'Mutasi Neraca'!$A$3:$S$910,5,FALSE)),0,VLOOKUP($A69,'Mutasi Neraca'!$A$3:$S$910,5,FALSE))</f>
        <v>5654794845</v>
      </c>
      <c r="G69" s="42">
        <f>VLOOKUP($A69,'Neraca Unaudited SIMAK'!$A$2:$R$1272,6,FALSE)+IF(ISNA(VLOOKUP($A69,'Mutasi Neraca'!$A$3:$S$910,6,FALSE)),0,VLOOKUP($A69,'Mutasi Neraca'!$A$3:$S$910,6,FALSE))</f>
        <v>12136629145</v>
      </c>
      <c r="H69" s="42">
        <f>VLOOKUP($A69,'Neraca Unaudited SIMAK'!$A$2:$R$1272,7,FALSE)+IF(ISNA(VLOOKUP($A69,'Mutasi Neraca'!$A$3:$S$910,7,FALSE)),0,VLOOKUP($A69,'Mutasi Neraca'!$A$3:$S$910,7,FALSE))</f>
        <v>391215600</v>
      </c>
      <c r="I69" s="42">
        <f>VLOOKUP($A69,'Neraca Unaudited SIMAK'!$A$2:$R$1272,8,FALSE)+IF(ISNA(VLOOKUP($A69,'Mutasi Neraca'!$A$3:$S$910,8,FALSE)),0,VLOOKUP($A69,'Mutasi Neraca'!$A$3:$S$910,8,FALSE))</f>
        <v>82766742</v>
      </c>
      <c r="J69" s="42">
        <f>VLOOKUP($A69,'Neraca Unaudited SIMAK'!$A$2:$R$1272,9,FALSE)+IF(ISNA(VLOOKUP($A69,'Mutasi Neraca'!$A$3:$S$910,9,FALSE)),0,VLOOKUP($A69,'Mutasi Neraca'!$A$3:$S$910,9,FALSE))</f>
        <v>0</v>
      </c>
      <c r="K69" s="42">
        <f>VLOOKUP($A69,'Neraca Unaudited SIMAK'!$A$2:$R$1272,10,FALSE)+IF(ISNA(VLOOKUP($A69,'Mutasi Neraca'!$A$3:$S$910,10,FALSE)),0,VLOOKUP($A69,'Mutasi Neraca'!$A$3:$S$910,10,FALSE))</f>
        <v>131300000</v>
      </c>
      <c r="L69" s="42">
        <f>VLOOKUP($A69,'Neraca Unaudited SIMAK'!$A$2:$R$1272,11,FALSE)+IF(ISNA(VLOOKUP($A69,'Mutasi Neraca'!$A$3:$S$910,11,FALSE)),0,VLOOKUP($A69,'Mutasi Neraca'!$A$3:$S$910,11,FALSE))</f>
        <v>2600000</v>
      </c>
      <c r="M69" s="42">
        <f>VLOOKUP($A69,'Neraca Unaudited SIMAK'!$A$2:$R$1272,12,FALSE)+IF(ISNA(VLOOKUP($A69,'Mutasi Neraca'!$A$3:$S$910,12,FALSE)),0,VLOOKUP($A69,'Mutasi Neraca'!$A$3:$S$910,12,FALSE))</f>
        <v>52559529982</v>
      </c>
      <c r="N69" s="42">
        <f>VLOOKUP($A69,'Neraca Unaudited SIMAK'!$A$2:$R$1272,13,FALSE)+IF(ISNA(VLOOKUP($A69,'Mutasi Neraca'!$A$3:$S$910,13,FALSE)),0,VLOOKUP($A69,'Mutasi Neraca'!$A$3:$S$910,13,FALSE))</f>
        <v>-4516925114</v>
      </c>
      <c r="O69" s="42">
        <f>VLOOKUP($A69,'Neraca Unaudited SIMAK'!$A$2:$R$1272,14,FALSE)+IF(ISNA(VLOOKUP($A69,'Mutasi Neraca'!$A$3:$S$910,14,FALSE)),0,VLOOKUP($A69,'Mutasi Neraca'!$A$3:$S$910,14,FALSE))</f>
        <v>-3619147710</v>
      </c>
      <c r="P69" s="42">
        <f>VLOOKUP($A69,'Neraca Unaudited SIMAK'!$A$2:$R$1272,15,FALSE)+IF(ISNA(VLOOKUP($A69,'Mutasi Neraca'!$A$3:$S$910,15,FALSE)),0,VLOOKUP($A69,'Mutasi Neraca'!$A$3:$S$910,15,FALSE))</f>
        <v>-261192590</v>
      </c>
      <c r="Q69" s="42">
        <f>VLOOKUP($A69,'Neraca Unaudited SIMAK'!$A$2:$R$1272,16,FALSE)+IF(ISNA(VLOOKUP($A69,'Mutasi Neraca'!$A$3:$S$910,16,FALSE)),0,VLOOKUP($A69,'Mutasi Neraca'!$A$3:$S$910,16,FALSE))</f>
        <v>0</v>
      </c>
      <c r="R69" s="42">
        <f>VLOOKUP($A69,'Neraca Unaudited SIMAK'!$A$2:$R$1272,17,FALSE)+IF(ISNA(VLOOKUP($A69,'Mutasi Neraca'!$A$3:$S$910,17,FALSE)),0,VLOOKUP($A69,'Mutasi Neraca'!$A$3:$S$910,17,FALSE))</f>
        <v>-2600000</v>
      </c>
      <c r="S69" s="42">
        <f t="shared" si="45"/>
        <v>44159664568</v>
      </c>
    </row>
    <row r="70" spans="1:19">
      <c r="A70" s="41" t="s">
        <v>77</v>
      </c>
      <c r="B70" s="41" t="str">
        <f t="shared" si="44"/>
        <v>005010300</v>
      </c>
      <c r="D70" s="42">
        <f>VLOOKUP($A70,'Neraca Unaudited SIMAK'!$A$2:$R$1272,3,FALSE)+IF(ISNA(VLOOKUP($A70,'Mutasi Neraca'!$A$3:$S$910,3,FALSE)),0,VLOOKUP($A70,'Mutasi Neraca'!$A$3:$S$910,3,FALSE))</f>
        <v>1657500</v>
      </c>
      <c r="E70" s="42">
        <f>VLOOKUP($A70,'Neraca Unaudited SIMAK'!$A$2:$R$1272,4,FALSE)+IF(ISNA(VLOOKUP($A70,'Mutasi Neraca'!$A$3:$S$910,4,FALSE)),0,VLOOKUP($A70,'Mutasi Neraca'!$A$3:$S$910,4,FALSE))</f>
        <v>25666300000</v>
      </c>
      <c r="F70" s="42">
        <f>VLOOKUP($A70,'Neraca Unaudited SIMAK'!$A$2:$R$1272,5,FALSE)+IF(ISNA(VLOOKUP($A70,'Mutasi Neraca'!$A$3:$S$910,5,FALSE)),0,VLOOKUP($A70,'Mutasi Neraca'!$A$3:$S$910,5,FALSE))</f>
        <v>6769744170</v>
      </c>
      <c r="G70" s="42">
        <f>VLOOKUP($A70,'Neraca Unaudited SIMAK'!$A$2:$R$1272,6,FALSE)+IF(ISNA(VLOOKUP($A70,'Mutasi Neraca'!$A$3:$S$910,6,FALSE)),0,VLOOKUP($A70,'Mutasi Neraca'!$A$3:$S$910,6,FALSE))</f>
        <v>10846588660</v>
      </c>
      <c r="H70" s="42">
        <f>VLOOKUP($A70,'Neraca Unaudited SIMAK'!$A$2:$R$1272,7,FALSE)+IF(ISNA(VLOOKUP($A70,'Mutasi Neraca'!$A$3:$S$910,7,FALSE)),0,VLOOKUP($A70,'Mutasi Neraca'!$A$3:$S$910,7,FALSE))</f>
        <v>0</v>
      </c>
      <c r="I70" s="42">
        <f>VLOOKUP($A70,'Neraca Unaudited SIMAK'!$A$2:$R$1272,8,FALSE)+IF(ISNA(VLOOKUP($A70,'Mutasi Neraca'!$A$3:$S$910,8,FALSE)),0,VLOOKUP($A70,'Mutasi Neraca'!$A$3:$S$910,8,FALSE))</f>
        <v>9183742</v>
      </c>
      <c r="J70" s="42">
        <f>VLOOKUP($A70,'Neraca Unaudited SIMAK'!$A$2:$R$1272,9,FALSE)+IF(ISNA(VLOOKUP($A70,'Mutasi Neraca'!$A$3:$S$910,9,FALSE)),0,VLOOKUP($A70,'Mutasi Neraca'!$A$3:$S$910,9,FALSE))</f>
        <v>0</v>
      </c>
      <c r="K70" s="42">
        <f>VLOOKUP($A70,'Neraca Unaudited SIMAK'!$A$2:$R$1272,10,FALSE)+IF(ISNA(VLOOKUP($A70,'Mutasi Neraca'!$A$3:$S$910,10,FALSE)),0,VLOOKUP($A70,'Mutasi Neraca'!$A$3:$S$910,10,FALSE))</f>
        <v>0</v>
      </c>
      <c r="L70" s="42">
        <f>VLOOKUP($A70,'Neraca Unaudited SIMAK'!$A$2:$R$1272,11,FALSE)+IF(ISNA(VLOOKUP($A70,'Mutasi Neraca'!$A$3:$S$910,11,FALSE)),0,VLOOKUP($A70,'Mutasi Neraca'!$A$3:$S$910,11,FALSE))</f>
        <v>12448400</v>
      </c>
      <c r="M70" s="42">
        <f>VLOOKUP($A70,'Neraca Unaudited SIMAK'!$A$2:$R$1272,12,FALSE)+IF(ISNA(VLOOKUP($A70,'Mutasi Neraca'!$A$3:$S$910,12,FALSE)),0,VLOOKUP($A70,'Mutasi Neraca'!$A$3:$S$910,12,FALSE))</f>
        <v>43305922472</v>
      </c>
      <c r="N70" s="42">
        <f>VLOOKUP($A70,'Neraca Unaudited SIMAK'!$A$2:$R$1272,13,FALSE)+IF(ISNA(VLOOKUP($A70,'Mutasi Neraca'!$A$3:$S$910,13,FALSE)),0,VLOOKUP($A70,'Mutasi Neraca'!$A$3:$S$910,13,FALSE))</f>
        <v>-6153481280</v>
      </c>
      <c r="O70" s="42">
        <f>VLOOKUP($A70,'Neraca Unaudited SIMAK'!$A$2:$R$1272,14,FALSE)+IF(ISNA(VLOOKUP($A70,'Mutasi Neraca'!$A$3:$S$910,14,FALSE)),0,VLOOKUP($A70,'Mutasi Neraca'!$A$3:$S$910,14,FALSE))</f>
        <v>-2040402416</v>
      </c>
      <c r="P70" s="42">
        <f>VLOOKUP($A70,'Neraca Unaudited SIMAK'!$A$2:$R$1272,15,FALSE)+IF(ISNA(VLOOKUP($A70,'Mutasi Neraca'!$A$3:$S$910,15,FALSE)),0,VLOOKUP($A70,'Mutasi Neraca'!$A$3:$S$910,15,FALSE))</f>
        <v>0</v>
      </c>
      <c r="Q70" s="42">
        <f>VLOOKUP($A70,'Neraca Unaudited SIMAK'!$A$2:$R$1272,16,FALSE)+IF(ISNA(VLOOKUP($A70,'Mutasi Neraca'!$A$3:$S$910,16,FALSE)),0,VLOOKUP($A70,'Mutasi Neraca'!$A$3:$S$910,16,FALSE))</f>
        <v>0</v>
      </c>
      <c r="R70" s="42">
        <f>VLOOKUP($A70,'Neraca Unaudited SIMAK'!$A$2:$R$1272,17,FALSE)+IF(ISNA(VLOOKUP($A70,'Mutasi Neraca'!$A$3:$S$910,17,FALSE)),0,VLOOKUP($A70,'Mutasi Neraca'!$A$3:$S$910,17,FALSE))</f>
        <v>-12448400</v>
      </c>
      <c r="S70" s="42">
        <f t="shared" si="45"/>
        <v>35099590376</v>
      </c>
    </row>
    <row r="71" spans="1:19">
      <c r="A71" s="41" t="s">
        <v>78</v>
      </c>
      <c r="B71" s="41" t="str">
        <f t="shared" si="44"/>
        <v>005010300</v>
      </c>
      <c r="D71" s="42">
        <f>VLOOKUP($A71,'Neraca Unaudited SIMAK'!$A$2:$R$1272,3,FALSE)+IF(ISNA(VLOOKUP($A71,'Mutasi Neraca'!$A$3:$S$910,3,FALSE)),0,VLOOKUP($A71,'Mutasi Neraca'!$A$3:$S$910,3,FALSE))</f>
        <v>5916250</v>
      </c>
      <c r="E71" s="42">
        <f>VLOOKUP($A71,'Neraca Unaudited SIMAK'!$A$2:$R$1272,4,FALSE)+IF(ISNA(VLOOKUP($A71,'Mutasi Neraca'!$A$3:$S$910,4,FALSE)),0,VLOOKUP($A71,'Mutasi Neraca'!$A$3:$S$910,4,FALSE))</f>
        <v>15415990000</v>
      </c>
      <c r="F71" s="42">
        <f>VLOOKUP($A71,'Neraca Unaudited SIMAK'!$A$2:$R$1272,5,FALSE)+IF(ISNA(VLOOKUP($A71,'Mutasi Neraca'!$A$3:$S$910,5,FALSE)),0,VLOOKUP($A71,'Mutasi Neraca'!$A$3:$S$910,5,FALSE))</f>
        <v>2316789523</v>
      </c>
      <c r="G71" s="42">
        <f>VLOOKUP($A71,'Neraca Unaudited SIMAK'!$A$2:$R$1272,6,FALSE)+IF(ISNA(VLOOKUP($A71,'Mutasi Neraca'!$A$3:$S$910,6,FALSE)),0,VLOOKUP($A71,'Mutasi Neraca'!$A$3:$S$910,6,FALSE))</f>
        <v>7273879459</v>
      </c>
      <c r="H71" s="42">
        <f>VLOOKUP($A71,'Neraca Unaudited SIMAK'!$A$2:$R$1272,7,FALSE)+IF(ISNA(VLOOKUP($A71,'Mutasi Neraca'!$A$3:$S$910,7,FALSE)),0,VLOOKUP($A71,'Mutasi Neraca'!$A$3:$S$910,7,FALSE))</f>
        <v>96460000</v>
      </c>
      <c r="I71" s="42">
        <f>VLOOKUP($A71,'Neraca Unaudited SIMAK'!$A$2:$R$1272,8,FALSE)+IF(ISNA(VLOOKUP($A71,'Mutasi Neraca'!$A$3:$S$910,8,FALSE)),0,VLOOKUP($A71,'Mutasi Neraca'!$A$3:$S$910,8,FALSE))</f>
        <v>114709781</v>
      </c>
      <c r="J71" s="42">
        <f>VLOOKUP($A71,'Neraca Unaudited SIMAK'!$A$2:$R$1272,9,FALSE)+IF(ISNA(VLOOKUP($A71,'Mutasi Neraca'!$A$3:$S$910,9,FALSE)),0,VLOOKUP($A71,'Mutasi Neraca'!$A$3:$S$910,9,FALSE))</f>
        <v>0</v>
      </c>
      <c r="K71" s="42">
        <f>VLOOKUP($A71,'Neraca Unaudited SIMAK'!$A$2:$R$1272,10,FALSE)+IF(ISNA(VLOOKUP($A71,'Mutasi Neraca'!$A$3:$S$910,10,FALSE)),0,VLOOKUP($A71,'Mutasi Neraca'!$A$3:$S$910,10,FALSE))</f>
        <v>49225000</v>
      </c>
      <c r="L71" s="42">
        <f>VLOOKUP($A71,'Neraca Unaudited SIMAK'!$A$2:$R$1272,11,FALSE)+IF(ISNA(VLOOKUP($A71,'Mutasi Neraca'!$A$3:$S$910,11,FALSE)),0,VLOOKUP($A71,'Mutasi Neraca'!$A$3:$S$910,11,FALSE))</f>
        <v>173053821</v>
      </c>
      <c r="M71" s="42">
        <f>VLOOKUP($A71,'Neraca Unaudited SIMAK'!$A$2:$R$1272,12,FALSE)+IF(ISNA(VLOOKUP($A71,'Mutasi Neraca'!$A$3:$S$910,12,FALSE)),0,VLOOKUP($A71,'Mutasi Neraca'!$A$3:$S$910,12,FALSE))</f>
        <v>25446023834</v>
      </c>
      <c r="N71" s="42">
        <f>VLOOKUP($A71,'Neraca Unaudited SIMAK'!$A$2:$R$1272,13,FALSE)+IF(ISNA(VLOOKUP($A71,'Mutasi Neraca'!$A$3:$S$910,13,FALSE)),0,VLOOKUP($A71,'Mutasi Neraca'!$A$3:$S$910,13,FALSE))</f>
        <v>-2089887123</v>
      </c>
      <c r="O71" s="42">
        <f>VLOOKUP($A71,'Neraca Unaudited SIMAK'!$A$2:$R$1272,14,FALSE)+IF(ISNA(VLOOKUP($A71,'Mutasi Neraca'!$A$3:$S$910,14,FALSE)),0,VLOOKUP($A71,'Mutasi Neraca'!$A$3:$S$910,14,FALSE))</f>
        <v>-6443558174</v>
      </c>
      <c r="P71" s="42">
        <f>VLOOKUP($A71,'Neraca Unaudited SIMAK'!$A$2:$R$1272,15,FALSE)+IF(ISNA(VLOOKUP($A71,'Mutasi Neraca'!$A$3:$S$910,15,FALSE)),0,VLOOKUP($A71,'Mutasi Neraca'!$A$3:$S$910,15,FALSE))</f>
        <v>-96460000</v>
      </c>
      <c r="Q71" s="42">
        <f>VLOOKUP($A71,'Neraca Unaudited SIMAK'!$A$2:$R$1272,16,FALSE)+IF(ISNA(VLOOKUP($A71,'Mutasi Neraca'!$A$3:$S$910,16,FALSE)),0,VLOOKUP($A71,'Mutasi Neraca'!$A$3:$S$910,16,FALSE))</f>
        <v>0</v>
      </c>
      <c r="R71" s="42">
        <f>VLOOKUP($A71,'Neraca Unaudited SIMAK'!$A$2:$R$1272,17,FALSE)+IF(ISNA(VLOOKUP($A71,'Mutasi Neraca'!$A$3:$S$910,17,FALSE)),0,VLOOKUP($A71,'Mutasi Neraca'!$A$3:$S$910,17,FALSE))</f>
        <v>-143222447</v>
      </c>
      <c r="S71" s="42">
        <f t="shared" si="45"/>
        <v>16672896090</v>
      </c>
    </row>
    <row r="72" spans="1:19">
      <c r="A72" s="41" t="s">
        <v>79</v>
      </c>
      <c r="B72" s="41" t="str">
        <f t="shared" si="44"/>
        <v>005010300</v>
      </c>
      <c r="D72" s="42">
        <f>VLOOKUP($A72,'Neraca Unaudited SIMAK'!$A$2:$R$1272,3,FALSE)+IF(ISNA(VLOOKUP($A72,'Mutasi Neraca'!$A$3:$S$910,3,FALSE)),0,VLOOKUP($A72,'Mutasi Neraca'!$A$3:$S$910,3,FALSE))</f>
        <v>4820800</v>
      </c>
      <c r="E72" s="42">
        <f>VLOOKUP($A72,'Neraca Unaudited SIMAK'!$A$2:$R$1272,4,FALSE)+IF(ISNA(VLOOKUP($A72,'Mutasi Neraca'!$A$3:$S$910,4,FALSE)),0,VLOOKUP($A72,'Mutasi Neraca'!$A$3:$S$910,4,FALSE))</f>
        <v>13155200000</v>
      </c>
      <c r="F72" s="42">
        <f>VLOOKUP($A72,'Neraca Unaudited SIMAK'!$A$2:$R$1272,5,FALSE)+IF(ISNA(VLOOKUP($A72,'Mutasi Neraca'!$A$3:$S$910,5,FALSE)),0,VLOOKUP($A72,'Mutasi Neraca'!$A$3:$S$910,5,FALSE))</f>
        <v>1874011378</v>
      </c>
      <c r="G72" s="42">
        <f>VLOOKUP($A72,'Neraca Unaudited SIMAK'!$A$2:$R$1272,6,FALSE)+IF(ISNA(VLOOKUP($A72,'Mutasi Neraca'!$A$3:$S$910,6,FALSE)),0,VLOOKUP($A72,'Mutasi Neraca'!$A$3:$S$910,6,FALSE))</f>
        <v>4166579170</v>
      </c>
      <c r="H72" s="42">
        <f>VLOOKUP($A72,'Neraca Unaudited SIMAK'!$A$2:$R$1272,7,FALSE)+IF(ISNA(VLOOKUP($A72,'Mutasi Neraca'!$A$3:$S$910,7,FALSE)),0,VLOOKUP($A72,'Mutasi Neraca'!$A$3:$S$910,7,FALSE))</f>
        <v>71277000</v>
      </c>
      <c r="I72" s="42">
        <f>VLOOKUP($A72,'Neraca Unaudited SIMAK'!$A$2:$R$1272,8,FALSE)+IF(ISNA(VLOOKUP($A72,'Mutasi Neraca'!$A$3:$S$910,8,FALSE)),0,VLOOKUP($A72,'Mutasi Neraca'!$A$3:$S$910,8,FALSE))</f>
        <v>57172940</v>
      </c>
      <c r="J72" s="42">
        <f>VLOOKUP($A72,'Neraca Unaudited SIMAK'!$A$2:$R$1272,9,FALSE)+IF(ISNA(VLOOKUP($A72,'Mutasi Neraca'!$A$3:$S$910,9,FALSE)),0,VLOOKUP($A72,'Mutasi Neraca'!$A$3:$S$910,9,FALSE))</f>
        <v>0</v>
      </c>
      <c r="K72" s="42">
        <f>VLOOKUP($A72,'Neraca Unaudited SIMAK'!$A$2:$R$1272,10,FALSE)+IF(ISNA(VLOOKUP($A72,'Mutasi Neraca'!$A$3:$S$910,10,FALSE)),0,VLOOKUP($A72,'Mutasi Neraca'!$A$3:$S$910,10,FALSE))</f>
        <v>0</v>
      </c>
      <c r="L72" s="42">
        <f>VLOOKUP($A72,'Neraca Unaudited SIMAK'!$A$2:$R$1272,11,FALSE)+IF(ISNA(VLOOKUP($A72,'Mutasi Neraca'!$A$3:$S$910,11,FALSE)),0,VLOOKUP($A72,'Mutasi Neraca'!$A$3:$S$910,11,FALSE))</f>
        <v>77473150</v>
      </c>
      <c r="M72" s="42">
        <f>VLOOKUP($A72,'Neraca Unaudited SIMAK'!$A$2:$R$1272,12,FALSE)+IF(ISNA(VLOOKUP($A72,'Mutasi Neraca'!$A$3:$S$910,12,FALSE)),0,VLOOKUP($A72,'Mutasi Neraca'!$A$3:$S$910,12,FALSE))</f>
        <v>19406534438</v>
      </c>
      <c r="N72" s="42">
        <f>VLOOKUP($A72,'Neraca Unaudited SIMAK'!$A$2:$R$1272,13,FALSE)+IF(ISNA(VLOOKUP($A72,'Mutasi Neraca'!$A$3:$S$910,13,FALSE)),0,VLOOKUP($A72,'Mutasi Neraca'!$A$3:$S$910,13,FALSE))</f>
        <v>-1699445880</v>
      </c>
      <c r="O72" s="42">
        <f>VLOOKUP($A72,'Neraca Unaudited SIMAK'!$A$2:$R$1272,14,FALSE)+IF(ISNA(VLOOKUP($A72,'Mutasi Neraca'!$A$3:$S$910,14,FALSE)),0,VLOOKUP($A72,'Mutasi Neraca'!$A$3:$S$910,14,FALSE))</f>
        <v>-857440445</v>
      </c>
      <c r="P72" s="42">
        <f>VLOOKUP($A72,'Neraca Unaudited SIMAK'!$A$2:$R$1272,15,FALSE)+IF(ISNA(VLOOKUP($A72,'Mutasi Neraca'!$A$3:$S$910,15,FALSE)),0,VLOOKUP($A72,'Mutasi Neraca'!$A$3:$S$910,15,FALSE))</f>
        <v>-67119000</v>
      </c>
      <c r="Q72" s="42">
        <f>VLOOKUP($A72,'Neraca Unaudited SIMAK'!$A$2:$R$1272,16,FALSE)+IF(ISNA(VLOOKUP($A72,'Mutasi Neraca'!$A$3:$S$910,16,FALSE)),0,VLOOKUP($A72,'Mutasi Neraca'!$A$3:$S$910,16,FALSE))</f>
        <v>0</v>
      </c>
      <c r="R72" s="42">
        <f>VLOOKUP($A72,'Neraca Unaudited SIMAK'!$A$2:$R$1272,17,FALSE)+IF(ISNA(VLOOKUP($A72,'Mutasi Neraca'!$A$3:$S$910,17,FALSE)),0,VLOOKUP($A72,'Mutasi Neraca'!$A$3:$S$910,17,FALSE))</f>
        <v>-43725062</v>
      </c>
      <c r="S72" s="42">
        <f t="shared" si="45"/>
        <v>16738804051</v>
      </c>
    </row>
    <row r="73" spans="1:19">
      <c r="A73" s="41" t="s">
        <v>80</v>
      </c>
      <c r="B73" s="41" t="str">
        <f t="shared" si="44"/>
        <v>005010300</v>
      </c>
      <c r="D73" s="42">
        <f>VLOOKUP($A73,'Neraca Unaudited SIMAK'!$A$2:$R$1272,3,FALSE)+IF(ISNA(VLOOKUP($A73,'Mutasi Neraca'!$A$3:$S$910,3,FALSE)),0,VLOOKUP($A73,'Mutasi Neraca'!$A$3:$S$910,3,FALSE))</f>
        <v>2379225</v>
      </c>
      <c r="E73" s="42">
        <f>VLOOKUP($A73,'Neraca Unaudited SIMAK'!$A$2:$R$1272,4,FALSE)+IF(ISNA(VLOOKUP($A73,'Mutasi Neraca'!$A$3:$S$910,4,FALSE)),0,VLOOKUP($A73,'Mutasi Neraca'!$A$3:$S$910,4,FALSE))</f>
        <v>6020950000</v>
      </c>
      <c r="F73" s="42">
        <f>VLOOKUP($A73,'Neraca Unaudited SIMAK'!$A$2:$R$1272,5,FALSE)+IF(ISNA(VLOOKUP($A73,'Mutasi Neraca'!$A$3:$S$910,5,FALSE)),0,VLOOKUP($A73,'Mutasi Neraca'!$A$3:$S$910,5,FALSE))</f>
        <v>1913714992</v>
      </c>
      <c r="G73" s="42">
        <f>VLOOKUP($A73,'Neraca Unaudited SIMAK'!$A$2:$R$1272,6,FALSE)+IF(ISNA(VLOOKUP($A73,'Mutasi Neraca'!$A$3:$S$910,6,FALSE)),0,VLOOKUP($A73,'Mutasi Neraca'!$A$3:$S$910,6,FALSE))</f>
        <v>6098470923</v>
      </c>
      <c r="H73" s="42">
        <f>VLOOKUP($A73,'Neraca Unaudited SIMAK'!$A$2:$R$1272,7,FALSE)+IF(ISNA(VLOOKUP($A73,'Mutasi Neraca'!$A$3:$S$910,7,FALSE)),0,VLOOKUP($A73,'Mutasi Neraca'!$A$3:$S$910,7,FALSE))</f>
        <v>0</v>
      </c>
      <c r="I73" s="42">
        <f>VLOOKUP($A73,'Neraca Unaudited SIMAK'!$A$2:$R$1272,8,FALSE)+IF(ISNA(VLOOKUP($A73,'Mutasi Neraca'!$A$3:$S$910,8,FALSE)),0,VLOOKUP($A73,'Mutasi Neraca'!$A$3:$S$910,8,FALSE))</f>
        <v>43943712</v>
      </c>
      <c r="J73" s="42">
        <f>VLOOKUP($A73,'Neraca Unaudited SIMAK'!$A$2:$R$1272,9,FALSE)+IF(ISNA(VLOOKUP($A73,'Mutasi Neraca'!$A$3:$S$910,9,FALSE)),0,VLOOKUP($A73,'Mutasi Neraca'!$A$3:$S$910,9,FALSE))</f>
        <v>0</v>
      </c>
      <c r="K73" s="42">
        <f>VLOOKUP($A73,'Neraca Unaudited SIMAK'!$A$2:$R$1272,10,FALSE)+IF(ISNA(VLOOKUP($A73,'Mutasi Neraca'!$A$3:$S$910,10,FALSE)),0,VLOOKUP($A73,'Mutasi Neraca'!$A$3:$S$910,10,FALSE))</f>
        <v>0</v>
      </c>
      <c r="L73" s="42">
        <f>VLOOKUP($A73,'Neraca Unaudited SIMAK'!$A$2:$R$1272,11,FALSE)+IF(ISNA(VLOOKUP($A73,'Mutasi Neraca'!$A$3:$S$910,11,FALSE)),0,VLOOKUP($A73,'Mutasi Neraca'!$A$3:$S$910,11,FALSE))</f>
        <v>0</v>
      </c>
      <c r="M73" s="42">
        <f>VLOOKUP($A73,'Neraca Unaudited SIMAK'!$A$2:$R$1272,12,FALSE)+IF(ISNA(VLOOKUP($A73,'Mutasi Neraca'!$A$3:$S$910,12,FALSE)),0,VLOOKUP($A73,'Mutasi Neraca'!$A$3:$S$910,12,FALSE))</f>
        <v>14079458852</v>
      </c>
      <c r="N73" s="42">
        <f>VLOOKUP($A73,'Neraca Unaudited SIMAK'!$A$2:$R$1272,13,FALSE)+IF(ISNA(VLOOKUP($A73,'Mutasi Neraca'!$A$3:$S$910,13,FALSE)),0,VLOOKUP($A73,'Mutasi Neraca'!$A$3:$S$910,13,FALSE))</f>
        <v>-1793358235</v>
      </c>
      <c r="O73" s="42">
        <f>VLOOKUP($A73,'Neraca Unaudited SIMAK'!$A$2:$R$1272,14,FALSE)+IF(ISNA(VLOOKUP($A73,'Mutasi Neraca'!$A$3:$S$910,14,FALSE)),0,VLOOKUP($A73,'Mutasi Neraca'!$A$3:$S$910,14,FALSE))</f>
        <v>-1304405341</v>
      </c>
      <c r="P73" s="42">
        <f>VLOOKUP($A73,'Neraca Unaudited SIMAK'!$A$2:$R$1272,15,FALSE)+IF(ISNA(VLOOKUP($A73,'Mutasi Neraca'!$A$3:$S$910,15,FALSE)),0,VLOOKUP($A73,'Mutasi Neraca'!$A$3:$S$910,15,FALSE))</f>
        <v>0</v>
      </c>
      <c r="Q73" s="42">
        <f>VLOOKUP($A73,'Neraca Unaudited SIMAK'!$A$2:$R$1272,16,FALSE)+IF(ISNA(VLOOKUP($A73,'Mutasi Neraca'!$A$3:$S$910,16,FALSE)),0,VLOOKUP($A73,'Mutasi Neraca'!$A$3:$S$910,16,FALSE))</f>
        <v>0</v>
      </c>
      <c r="R73" s="42">
        <f>VLOOKUP($A73,'Neraca Unaudited SIMAK'!$A$2:$R$1272,17,FALSE)+IF(ISNA(VLOOKUP($A73,'Mutasi Neraca'!$A$3:$S$910,17,FALSE)),0,VLOOKUP($A73,'Mutasi Neraca'!$A$3:$S$910,17,FALSE))</f>
        <v>0</v>
      </c>
      <c r="S73" s="42">
        <f t="shared" si="45"/>
        <v>10981695276</v>
      </c>
    </row>
    <row r="74" spans="1:19">
      <c r="A74" s="41" t="s">
        <v>81</v>
      </c>
      <c r="B74" s="41" t="str">
        <f t="shared" si="44"/>
        <v>005010300</v>
      </c>
      <c r="D74" s="42">
        <f>VLOOKUP($A74,'Neraca Unaudited SIMAK'!$A$2:$R$1272,3,FALSE)+IF(ISNA(VLOOKUP($A74,'Mutasi Neraca'!$A$3:$S$910,3,FALSE)),0,VLOOKUP($A74,'Mutasi Neraca'!$A$3:$S$910,3,FALSE))</f>
        <v>291500</v>
      </c>
      <c r="E74" s="42">
        <f>VLOOKUP($A74,'Neraca Unaudited SIMAK'!$A$2:$R$1272,4,FALSE)+IF(ISNA(VLOOKUP($A74,'Mutasi Neraca'!$A$3:$S$910,4,FALSE)),0,VLOOKUP($A74,'Mutasi Neraca'!$A$3:$S$910,4,FALSE))</f>
        <v>9676042000</v>
      </c>
      <c r="F74" s="42">
        <f>VLOOKUP($A74,'Neraca Unaudited SIMAK'!$A$2:$R$1272,5,FALSE)+IF(ISNA(VLOOKUP($A74,'Mutasi Neraca'!$A$3:$S$910,5,FALSE)),0,VLOOKUP($A74,'Mutasi Neraca'!$A$3:$S$910,5,FALSE))</f>
        <v>1704237536</v>
      </c>
      <c r="G74" s="42">
        <f>VLOOKUP($A74,'Neraca Unaudited SIMAK'!$A$2:$R$1272,6,FALSE)+IF(ISNA(VLOOKUP($A74,'Mutasi Neraca'!$A$3:$S$910,6,FALSE)),0,VLOOKUP($A74,'Mutasi Neraca'!$A$3:$S$910,6,FALSE))</f>
        <v>5322216399</v>
      </c>
      <c r="H74" s="42">
        <f>VLOOKUP($A74,'Neraca Unaudited SIMAK'!$A$2:$R$1272,7,FALSE)+IF(ISNA(VLOOKUP($A74,'Mutasi Neraca'!$A$3:$S$910,7,FALSE)),0,VLOOKUP($A74,'Mutasi Neraca'!$A$3:$S$910,7,FALSE))</f>
        <v>205939900</v>
      </c>
      <c r="I74" s="42">
        <f>VLOOKUP($A74,'Neraca Unaudited SIMAK'!$A$2:$R$1272,8,FALSE)+IF(ISNA(VLOOKUP($A74,'Mutasi Neraca'!$A$3:$S$910,8,FALSE)),0,VLOOKUP($A74,'Mutasi Neraca'!$A$3:$S$910,8,FALSE))</f>
        <v>169791742</v>
      </c>
      <c r="J74" s="42">
        <f>VLOOKUP($A74,'Neraca Unaudited SIMAK'!$A$2:$R$1272,9,FALSE)+IF(ISNA(VLOOKUP($A74,'Mutasi Neraca'!$A$3:$S$910,9,FALSE)),0,VLOOKUP($A74,'Mutasi Neraca'!$A$3:$S$910,9,FALSE))</f>
        <v>0</v>
      </c>
      <c r="K74" s="42">
        <f>VLOOKUP($A74,'Neraca Unaudited SIMAK'!$A$2:$R$1272,10,FALSE)+IF(ISNA(VLOOKUP($A74,'Mutasi Neraca'!$A$3:$S$910,10,FALSE)),0,VLOOKUP($A74,'Mutasi Neraca'!$A$3:$S$910,10,FALSE))</f>
        <v>0</v>
      </c>
      <c r="L74" s="42">
        <f>VLOOKUP($A74,'Neraca Unaudited SIMAK'!$A$2:$R$1272,11,FALSE)+IF(ISNA(VLOOKUP($A74,'Mutasi Neraca'!$A$3:$S$910,11,FALSE)),0,VLOOKUP($A74,'Mutasi Neraca'!$A$3:$S$910,11,FALSE))</f>
        <v>49709514</v>
      </c>
      <c r="M74" s="42">
        <f>VLOOKUP($A74,'Neraca Unaudited SIMAK'!$A$2:$R$1272,12,FALSE)+IF(ISNA(VLOOKUP($A74,'Mutasi Neraca'!$A$3:$S$910,12,FALSE)),0,VLOOKUP($A74,'Mutasi Neraca'!$A$3:$S$910,12,FALSE))</f>
        <v>17128228591</v>
      </c>
      <c r="N74" s="42">
        <f>VLOOKUP($A74,'Neraca Unaudited SIMAK'!$A$2:$R$1272,13,FALSE)+IF(ISNA(VLOOKUP($A74,'Mutasi Neraca'!$A$3:$S$910,13,FALSE)),0,VLOOKUP($A74,'Mutasi Neraca'!$A$3:$S$910,13,FALSE))</f>
        <v>-1352327799</v>
      </c>
      <c r="O74" s="42">
        <f>VLOOKUP($A74,'Neraca Unaudited SIMAK'!$A$2:$R$1272,14,FALSE)+IF(ISNA(VLOOKUP($A74,'Mutasi Neraca'!$A$3:$S$910,14,FALSE)),0,VLOOKUP($A74,'Mutasi Neraca'!$A$3:$S$910,14,FALSE))</f>
        <v>-574408231</v>
      </c>
      <c r="P74" s="42">
        <f>VLOOKUP($A74,'Neraca Unaudited SIMAK'!$A$2:$R$1272,15,FALSE)+IF(ISNA(VLOOKUP($A74,'Mutasi Neraca'!$A$3:$S$910,15,FALSE)),0,VLOOKUP($A74,'Mutasi Neraca'!$A$3:$S$910,15,FALSE))</f>
        <v>-46578899</v>
      </c>
      <c r="Q74" s="42">
        <f>VLOOKUP($A74,'Neraca Unaudited SIMAK'!$A$2:$R$1272,16,FALSE)+IF(ISNA(VLOOKUP($A74,'Mutasi Neraca'!$A$3:$S$910,16,FALSE)),0,VLOOKUP($A74,'Mutasi Neraca'!$A$3:$S$910,16,FALSE))</f>
        <v>0</v>
      </c>
      <c r="R74" s="42">
        <f>VLOOKUP($A74,'Neraca Unaudited SIMAK'!$A$2:$R$1272,17,FALSE)+IF(ISNA(VLOOKUP($A74,'Mutasi Neraca'!$A$3:$S$910,17,FALSE)),0,VLOOKUP($A74,'Mutasi Neraca'!$A$3:$S$910,17,FALSE))</f>
        <v>-48422953</v>
      </c>
      <c r="S74" s="42">
        <f t="shared" si="45"/>
        <v>15106490709</v>
      </c>
    </row>
    <row r="75" spans="1:19">
      <c r="A75" s="41" t="s">
        <v>82</v>
      </c>
      <c r="B75" s="41" t="str">
        <f t="shared" si="44"/>
        <v>005010300</v>
      </c>
      <c r="D75" s="42">
        <f>VLOOKUP($A75,'Neraca Unaudited SIMAK'!$A$2:$R$1272,3,FALSE)+IF(ISNA(VLOOKUP($A75,'Mutasi Neraca'!$A$3:$S$910,3,FALSE)),0,VLOOKUP($A75,'Mutasi Neraca'!$A$3:$S$910,3,FALSE))</f>
        <v>4127025</v>
      </c>
      <c r="E75" s="42">
        <f>VLOOKUP($A75,'Neraca Unaudited SIMAK'!$A$2:$R$1272,4,FALSE)+IF(ISNA(VLOOKUP($A75,'Mutasi Neraca'!$A$3:$S$910,4,FALSE)),0,VLOOKUP($A75,'Mutasi Neraca'!$A$3:$S$910,4,FALSE))</f>
        <v>6805650000</v>
      </c>
      <c r="F75" s="42">
        <f>VLOOKUP($A75,'Neraca Unaudited SIMAK'!$A$2:$R$1272,5,FALSE)+IF(ISNA(VLOOKUP($A75,'Mutasi Neraca'!$A$3:$S$910,5,FALSE)),0,VLOOKUP($A75,'Mutasi Neraca'!$A$3:$S$910,5,FALSE))</f>
        <v>2045103527</v>
      </c>
      <c r="G75" s="42">
        <f>VLOOKUP($A75,'Neraca Unaudited SIMAK'!$A$2:$R$1272,6,FALSE)+IF(ISNA(VLOOKUP($A75,'Mutasi Neraca'!$A$3:$S$910,6,FALSE)),0,VLOOKUP($A75,'Mutasi Neraca'!$A$3:$S$910,6,FALSE))</f>
        <v>5018430000</v>
      </c>
      <c r="H75" s="42">
        <f>VLOOKUP($A75,'Neraca Unaudited SIMAK'!$A$2:$R$1272,7,FALSE)+IF(ISNA(VLOOKUP($A75,'Mutasi Neraca'!$A$3:$S$910,7,FALSE)),0,VLOOKUP($A75,'Mutasi Neraca'!$A$3:$S$910,7,FALSE))</f>
        <v>86020000</v>
      </c>
      <c r="I75" s="42">
        <f>VLOOKUP($A75,'Neraca Unaudited SIMAK'!$A$2:$R$1272,8,FALSE)+IF(ISNA(VLOOKUP($A75,'Mutasi Neraca'!$A$3:$S$910,8,FALSE)),0,VLOOKUP($A75,'Mutasi Neraca'!$A$3:$S$910,8,FALSE))</f>
        <v>41470961</v>
      </c>
      <c r="J75" s="42">
        <f>VLOOKUP($A75,'Neraca Unaudited SIMAK'!$A$2:$R$1272,9,FALSE)+IF(ISNA(VLOOKUP($A75,'Mutasi Neraca'!$A$3:$S$910,9,FALSE)),0,VLOOKUP($A75,'Mutasi Neraca'!$A$3:$S$910,9,FALSE))</f>
        <v>0</v>
      </c>
      <c r="K75" s="42">
        <f>VLOOKUP($A75,'Neraca Unaudited SIMAK'!$A$2:$R$1272,10,FALSE)+IF(ISNA(VLOOKUP($A75,'Mutasi Neraca'!$A$3:$S$910,10,FALSE)),0,VLOOKUP($A75,'Mutasi Neraca'!$A$3:$S$910,10,FALSE))</f>
        <v>0</v>
      </c>
      <c r="L75" s="42">
        <f>VLOOKUP($A75,'Neraca Unaudited SIMAK'!$A$2:$R$1272,11,FALSE)+IF(ISNA(VLOOKUP($A75,'Mutasi Neraca'!$A$3:$S$910,11,FALSE)),0,VLOOKUP($A75,'Mutasi Neraca'!$A$3:$S$910,11,FALSE))</f>
        <v>0</v>
      </c>
      <c r="M75" s="42">
        <f>VLOOKUP($A75,'Neraca Unaudited SIMAK'!$A$2:$R$1272,12,FALSE)+IF(ISNA(VLOOKUP($A75,'Mutasi Neraca'!$A$3:$S$910,12,FALSE)),0,VLOOKUP($A75,'Mutasi Neraca'!$A$3:$S$910,12,FALSE))</f>
        <v>14000801513</v>
      </c>
      <c r="N75" s="42">
        <f>VLOOKUP($A75,'Neraca Unaudited SIMAK'!$A$2:$R$1272,13,FALSE)+IF(ISNA(VLOOKUP($A75,'Mutasi Neraca'!$A$3:$S$910,13,FALSE)),0,VLOOKUP($A75,'Mutasi Neraca'!$A$3:$S$910,13,FALSE))</f>
        <v>-1707644977</v>
      </c>
      <c r="O75" s="42">
        <f>VLOOKUP($A75,'Neraca Unaudited SIMAK'!$A$2:$R$1272,14,FALSE)+IF(ISNA(VLOOKUP($A75,'Mutasi Neraca'!$A$3:$S$910,14,FALSE)),0,VLOOKUP($A75,'Mutasi Neraca'!$A$3:$S$910,14,FALSE))</f>
        <v>-1121511003</v>
      </c>
      <c r="P75" s="42">
        <f>VLOOKUP($A75,'Neraca Unaudited SIMAK'!$A$2:$R$1272,15,FALSE)+IF(ISNA(VLOOKUP($A75,'Mutasi Neraca'!$A$3:$S$910,15,FALSE)),0,VLOOKUP($A75,'Mutasi Neraca'!$A$3:$S$910,15,FALSE))</f>
        <v>-84770000</v>
      </c>
      <c r="Q75" s="42">
        <f>VLOOKUP($A75,'Neraca Unaudited SIMAK'!$A$2:$R$1272,16,FALSE)+IF(ISNA(VLOOKUP($A75,'Mutasi Neraca'!$A$3:$S$910,16,FALSE)),0,VLOOKUP($A75,'Mutasi Neraca'!$A$3:$S$910,16,FALSE))</f>
        <v>0</v>
      </c>
      <c r="R75" s="42">
        <f>VLOOKUP($A75,'Neraca Unaudited SIMAK'!$A$2:$R$1272,17,FALSE)+IF(ISNA(VLOOKUP($A75,'Mutasi Neraca'!$A$3:$S$910,17,FALSE)),0,VLOOKUP($A75,'Mutasi Neraca'!$A$3:$S$910,17,FALSE))</f>
        <v>0</v>
      </c>
      <c r="S75" s="42">
        <f t="shared" si="45"/>
        <v>11086875533</v>
      </c>
    </row>
    <row r="76" spans="1:19">
      <c r="A76" s="41" t="s">
        <v>83</v>
      </c>
      <c r="B76" s="41" t="str">
        <f t="shared" si="44"/>
        <v>005010300</v>
      </c>
      <c r="D76" s="42">
        <f>VLOOKUP($A76,'Neraca Unaudited SIMAK'!$A$2:$R$1272,3,FALSE)+IF(ISNA(VLOOKUP($A76,'Mutasi Neraca'!$A$3:$S$910,3,FALSE)),0,VLOOKUP($A76,'Mutasi Neraca'!$A$3:$S$910,3,FALSE))</f>
        <v>1084050</v>
      </c>
      <c r="E76" s="42">
        <f>VLOOKUP($A76,'Neraca Unaudited SIMAK'!$A$2:$R$1272,4,FALSE)+IF(ISNA(VLOOKUP($A76,'Mutasi Neraca'!$A$3:$S$910,4,FALSE)),0,VLOOKUP($A76,'Mutasi Neraca'!$A$3:$S$910,4,FALSE))</f>
        <v>7733546000</v>
      </c>
      <c r="F76" s="42">
        <f>VLOOKUP($A76,'Neraca Unaudited SIMAK'!$A$2:$R$1272,5,FALSE)+IF(ISNA(VLOOKUP($A76,'Mutasi Neraca'!$A$3:$S$910,5,FALSE)),0,VLOOKUP($A76,'Mutasi Neraca'!$A$3:$S$910,5,FALSE))</f>
        <v>1073832513</v>
      </c>
      <c r="G76" s="42">
        <f>VLOOKUP($A76,'Neraca Unaudited SIMAK'!$A$2:$R$1272,6,FALSE)+IF(ISNA(VLOOKUP($A76,'Mutasi Neraca'!$A$3:$S$910,6,FALSE)),0,VLOOKUP($A76,'Mutasi Neraca'!$A$3:$S$910,6,FALSE))</f>
        <v>2211739000</v>
      </c>
      <c r="H76" s="42">
        <f>VLOOKUP($A76,'Neraca Unaudited SIMAK'!$A$2:$R$1272,7,FALSE)+IF(ISNA(VLOOKUP($A76,'Mutasi Neraca'!$A$3:$S$910,7,FALSE)),0,VLOOKUP($A76,'Mutasi Neraca'!$A$3:$S$910,7,FALSE))</f>
        <v>58164000</v>
      </c>
      <c r="I76" s="42">
        <f>VLOOKUP($A76,'Neraca Unaudited SIMAK'!$A$2:$R$1272,8,FALSE)+IF(ISNA(VLOOKUP($A76,'Mutasi Neraca'!$A$3:$S$910,8,FALSE)),0,VLOOKUP($A76,'Mutasi Neraca'!$A$3:$S$910,8,FALSE))</f>
        <v>31382142</v>
      </c>
      <c r="J76" s="42">
        <f>VLOOKUP($A76,'Neraca Unaudited SIMAK'!$A$2:$R$1272,9,FALSE)+IF(ISNA(VLOOKUP($A76,'Mutasi Neraca'!$A$3:$S$910,9,FALSE)),0,VLOOKUP($A76,'Mutasi Neraca'!$A$3:$S$910,9,FALSE))</f>
        <v>0</v>
      </c>
      <c r="K76" s="42">
        <f>VLOOKUP($A76,'Neraca Unaudited SIMAK'!$A$2:$R$1272,10,FALSE)+IF(ISNA(VLOOKUP($A76,'Mutasi Neraca'!$A$3:$S$910,10,FALSE)),0,VLOOKUP($A76,'Mutasi Neraca'!$A$3:$S$910,10,FALSE))</f>
        <v>0</v>
      </c>
      <c r="L76" s="42">
        <f>VLOOKUP($A76,'Neraca Unaudited SIMAK'!$A$2:$R$1272,11,FALSE)+IF(ISNA(VLOOKUP($A76,'Mutasi Neraca'!$A$3:$S$910,11,FALSE)),0,VLOOKUP($A76,'Mutasi Neraca'!$A$3:$S$910,11,FALSE))</f>
        <v>90132000</v>
      </c>
      <c r="M76" s="42">
        <f>VLOOKUP($A76,'Neraca Unaudited SIMAK'!$A$2:$R$1272,12,FALSE)+IF(ISNA(VLOOKUP($A76,'Mutasi Neraca'!$A$3:$S$910,12,FALSE)),0,VLOOKUP($A76,'Mutasi Neraca'!$A$3:$S$910,12,FALSE))</f>
        <v>11199879705</v>
      </c>
      <c r="N76" s="42">
        <f>VLOOKUP($A76,'Neraca Unaudited SIMAK'!$A$2:$R$1272,13,FALSE)+IF(ISNA(VLOOKUP($A76,'Mutasi Neraca'!$A$3:$S$910,13,FALSE)),0,VLOOKUP($A76,'Mutasi Neraca'!$A$3:$S$910,13,FALSE))</f>
        <v>-929140819</v>
      </c>
      <c r="O76" s="42">
        <f>VLOOKUP($A76,'Neraca Unaudited SIMAK'!$A$2:$R$1272,14,FALSE)+IF(ISNA(VLOOKUP($A76,'Mutasi Neraca'!$A$3:$S$910,14,FALSE)),0,VLOOKUP($A76,'Mutasi Neraca'!$A$3:$S$910,14,FALSE))</f>
        <v>-449989016</v>
      </c>
      <c r="P76" s="42">
        <f>VLOOKUP($A76,'Neraca Unaudited SIMAK'!$A$2:$R$1272,15,FALSE)+IF(ISNA(VLOOKUP($A76,'Mutasi Neraca'!$A$3:$S$910,15,FALSE)),0,VLOOKUP($A76,'Mutasi Neraca'!$A$3:$S$910,15,FALSE))</f>
        <v>-58164000</v>
      </c>
      <c r="Q76" s="42">
        <f>VLOOKUP($A76,'Neraca Unaudited SIMAK'!$A$2:$R$1272,16,FALSE)+IF(ISNA(VLOOKUP($A76,'Mutasi Neraca'!$A$3:$S$910,16,FALSE)),0,VLOOKUP($A76,'Mutasi Neraca'!$A$3:$S$910,16,FALSE))</f>
        <v>0</v>
      </c>
      <c r="R76" s="42">
        <f>VLOOKUP($A76,'Neraca Unaudited SIMAK'!$A$2:$R$1272,17,FALSE)+IF(ISNA(VLOOKUP($A76,'Mutasi Neraca'!$A$3:$S$910,17,FALSE)),0,VLOOKUP($A76,'Mutasi Neraca'!$A$3:$S$910,17,FALSE))</f>
        <v>-50889754</v>
      </c>
      <c r="S76" s="42">
        <f t="shared" si="45"/>
        <v>9711696116</v>
      </c>
    </row>
    <row r="77" spans="1:19">
      <c r="A77" s="41" t="s">
        <v>84</v>
      </c>
      <c r="B77" s="41" t="str">
        <f t="shared" si="44"/>
        <v>005010300</v>
      </c>
      <c r="D77" s="42">
        <f>VLOOKUP($A77,'Neraca Unaudited SIMAK'!$A$2:$R$1272,3,FALSE)+IF(ISNA(VLOOKUP($A77,'Mutasi Neraca'!$A$3:$S$910,3,FALSE)),0,VLOOKUP($A77,'Mutasi Neraca'!$A$3:$S$910,3,FALSE))</f>
        <v>2000000</v>
      </c>
      <c r="E77" s="42">
        <f>VLOOKUP($A77,'Neraca Unaudited SIMAK'!$A$2:$R$1272,4,FALSE)+IF(ISNA(VLOOKUP($A77,'Mutasi Neraca'!$A$3:$S$910,4,FALSE)),0,VLOOKUP($A77,'Mutasi Neraca'!$A$3:$S$910,4,FALSE))</f>
        <v>4275300000</v>
      </c>
      <c r="F77" s="42">
        <f>VLOOKUP($A77,'Neraca Unaudited SIMAK'!$A$2:$R$1272,5,FALSE)+IF(ISNA(VLOOKUP($A77,'Mutasi Neraca'!$A$3:$S$910,5,FALSE)),0,VLOOKUP($A77,'Mutasi Neraca'!$A$3:$S$910,5,FALSE))</f>
        <v>1797661251</v>
      </c>
      <c r="G77" s="42">
        <f>VLOOKUP($A77,'Neraca Unaudited SIMAK'!$A$2:$R$1272,6,FALSE)+IF(ISNA(VLOOKUP($A77,'Mutasi Neraca'!$A$3:$S$910,6,FALSE)),0,VLOOKUP($A77,'Mutasi Neraca'!$A$3:$S$910,6,FALSE))</f>
        <v>5480482300</v>
      </c>
      <c r="H77" s="42">
        <f>VLOOKUP($A77,'Neraca Unaudited SIMAK'!$A$2:$R$1272,7,FALSE)+IF(ISNA(VLOOKUP($A77,'Mutasi Neraca'!$A$3:$S$910,7,FALSE)),0,VLOOKUP($A77,'Mutasi Neraca'!$A$3:$S$910,7,FALSE))</f>
        <v>0</v>
      </c>
      <c r="I77" s="42">
        <f>VLOOKUP($A77,'Neraca Unaudited SIMAK'!$A$2:$R$1272,8,FALSE)+IF(ISNA(VLOOKUP($A77,'Mutasi Neraca'!$A$3:$S$910,8,FALSE)),0,VLOOKUP($A77,'Mutasi Neraca'!$A$3:$S$910,8,FALSE))</f>
        <v>9183742</v>
      </c>
      <c r="J77" s="42">
        <f>VLOOKUP($A77,'Neraca Unaudited SIMAK'!$A$2:$R$1272,9,FALSE)+IF(ISNA(VLOOKUP($A77,'Mutasi Neraca'!$A$3:$S$910,9,FALSE)),0,VLOOKUP($A77,'Mutasi Neraca'!$A$3:$S$910,9,FALSE))</f>
        <v>0</v>
      </c>
      <c r="K77" s="42">
        <f>VLOOKUP($A77,'Neraca Unaudited SIMAK'!$A$2:$R$1272,10,FALSE)+IF(ISNA(VLOOKUP($A77,'Mutasi Neraca'!$A$3:$S$910,10,FALSE)),0,VLOOKUP($A77,'Mutasi Neraca'!$A$3:$S$910,10,FALSE))</f>
        <v>0</v>
      </c>
      <c r="L77" s="42">
        <f>VLOOKUP($A77,'Neraca Unaudited SIMAK'!$A$2:$R$1272,11,FALSE)+IF(ISNA(VLOOKUP($A77,'Mutasi Neraca'!$A$3:$S$910,11,FALSE)),0,VLOOKUP($A77,'Mutasi Neraca'!$A$3:$S$910,11,FALSE))</f>
        <v>0</v>
      </c>
      <c r="M77" s="42">
        <f>VLOOKUP($A77,'Neraca Unaudited SIMAK'!$A$2:$R$1272,12,FALSE)+IF(ISNA(VLOOKUP($A77,'Mutasi Neraca'!$A$3:$S$910,12,FALSE)),0,VLOOKUP($A77,'Mutasi Neraca'!$A$3:$S$910,12,FALSE))</f>
        <v>11564627293</v>
      </c>
      <c r="N77" s="42">
        <f>VLOOKUP($A77,'Neraca Unaudited SIMAK'!$A$2:$R$1272,13,FALSE)+IF(ISNA(VLOOKUP($A77,'Mutasi Neraca'!$A$3:$S$910,13,FALSE)),0,VLOOKUP($A77,'Mutasi Neraca'!$A$3:$S$910,13,FALSE))</f>
        <v>-1562157369</v>
      </c>
      <c r="O77" s="42">
        <f>VLOOKUP($A77,'Neraca Unaudited SIMAK'!$A$2:$R$1272,14,FALSE)+IF(ISNA(VLOOKUP($A77,'Mutasi Neraca'!$A$3:$S$910,14,FALSE)),0,VLOOKUP($A77,'Mutasi Neraca'!$A$3:$S$910,14,FALSE))</f>
        <v>-4976185454</v>
      </c>
      <c r="P77" s="42">
        <f>VLOOKUP($A77,'Neraca Unaudited SIMAK'!$A$2:$R$1272,15,FALSE)+IF(ISNA(VLOOKUP($A77,'Mutasi Neraca'!$A$3:$S$910,15,FALSE)),0,VLOOKUP($A77,'Mutasi Neraca'!$A$3:$S$910,15,FALSE))</f>
        <v>0</v>
      </c>
      <c r="Q77" s="42">
        <f>VLOOKUP($A77,'Neraca Unaudited SIMAK'!$A$2:$R$1272,16,FALSE)+IF(ISNA(VLOOKUP($A77,'Mutasi Neraca'!$A$3:$S$910,16,FALSE)),0,VLOOKUP($A77,'Mutasi Neraca'!$A$3:$S$910,16,FALSE))</f>
        <v>0</v>
      </c>
      <c r="R77" s="42">
        <f>VLOOKUP($A77,'Neraca Unaudited SIMAK'!$A$2:$R$1272,17,FALSE)+IF(ISNA(VLOOKUP($A77,'Mutasi Neraca'!$A$3:$S$910,17,FALSE)),0,VLOOKUP($A77,'Mutasi Neraca'!$A$3:$S$910,17,FALSE))</f>
        <v>0</v>
      </c>
      <c r="S77" s="42">
        <f t="shared" si="45"/>
        <v>5026284470</v>
      </c>
    </row>
    <row r="78" spans="1:19">
      <c r="A78" s="41" t="s">
        <v>85</v>
      </c>
      <c r="B78" s="41" t="str">
        <f t="shared" si="44"/>
        <v>005010300</v>
      </c>
      <c r="D78" s="42">
        <f>VLOOKUP($A78,'Neraca Unaudited SIMAK'!$A$2:$R$1272,3,FALSE)+IF(ISNA(VLOOKUP($A78,'Mutasi Neraca'!$A$3:$S$910,3,FALSE)),0,VLOOKUP($A78,'Mutasi Neraca'!$A$3:$S$910,3,FALSE))</f>
        <v>260600</v>
      </c>
      <c r="E78" s="42">
        <f>VLOOKUP($A78,'Neraca Unaudited SIMAK'!$A$2:$R$1272,4,FALSE)+IF(ISNA(VLOOKUP($A78,'Mutasi Neraca'!$A$3:$S$910,4,FALSE)),0,VLOOKUP($A78,'Mutasi Neraca'!$A$3:$S$910,4,FALSE))</f>
        <v>7547562400</v>
      </c>
      <c r="F78" s="42">
        <f>VLOOKUP($A78,'Neraca Unaudited SIMAK'!$A$2:$R$1272,5,FALSE)+IF(ISNA(VLOOKUP($A78,'Mutasi Neraca'!$A$3:$S$910,5,FALSE)),0,VLOOKUP($A78,'Mutasi Neraca'!$A$3:$S$910,5,FALSE))</f>
        <v>1795411904</v>
      </c>
      <c r="G78" s="42">
        <f>VLOOKUP($A78,'Neraca Unaudited SIMAK'!$A$2:$R$1272,6,FALSE)+IF(ISNA(VLOOKUP($A78,'Mutasi Neraca'!$A$3:$S$910,6,FALSE)),0,VLOOKUP($A78,'Mutasi Neraca'!$A$3:$S$910,6,FALSE))</f>
        <v>7187914440</v>
      </c>
      <c r="H78" s="42">
        <f>VLOOKUP($A78,'Neraca Unaudited SIMAK'!$A$2:$R$1272,7,FALSE)+IF(ISNA(VLOOKUP($A78,'Mutasi Neraca'!$A$3:$S$910,7,FALSE)),0,VLOOKUP($A78,'Mutasi Neraca'!$A$3:$S$910,7,FALSE))</f>
        <v>173080563</v>
      </c>
      <c r="I78" s="42">
        <f>VLOOKUP($A78,'Neraca Unaudited SIMAK'!$A$2:$R$1272,8,FALSE)+IF(ISNA(VLOOKUP($A78,'Mutasi Neraca'!$A$3:$S$910,8,FALSE)),0,VLOOKUP($A78,'Mutasi Neraca'!$A$3:$S$910,8,FALSE))</f>
        <v>13799879</v>
      </c>
      <c r="J78" s="42">
        <f>VLOOKUP($A78,'Neraca Unaudited SIMAK'!$A$2:$R$1272,9,FALSE)+IF(ISNA(VLOOKUP($A78,'Mutasi Neraca'!$A$3:$S$910,9,FALSE)),0,VLOOKUP($A78,'Mutasi Neraca'!$A$3:$S$910,9,FALSE))</f>
        <v>0</v>
      </c>
      <c r="K78" s="42">
        <f>VLOOKUP($A78,'Neraca Unaudited SIMAK'!$A$2:$R$1272,10,FALSE)+IF(ISNA(VLOOKUP($A78,'Mutasi Neraca'!$A$3:$S$910,10,FALSE)),0,VLOOKUP($A78,'Mutasi Neraca'!$A$3:$S$910,10,FALSE))</f>
        <v>0</v>
      </c>
      <c r="L78" s="42">
        <f>VLOOKUP($A78,'Neraca Unaudited SIMAK'!$A$2:$R$1272,11,FALSE)+IF(ISNA(VLOOKUP($A78,'Mutasi Neraca'!$A$3:$S$910,11,FALSE)),0,VLOOKUP($A78,'Mutasi Neraca'!$A$3:$S$910,11,FALSE))</f>
        <v>2332475</v>
      </c>
      <c r="M78" s="42">
        <f>VLOOKUP($A78,'Neraca Unaudited SIMAK'!$A$2:$R$1272,12,FALSE)+IF(ISNA(VLOOKUP($A78,'Mutasi Neraca'!$A$3:$S$910,12,FALSE)),0,VLOOKUP($A78,'Mutasi Neraca'!$A$3:$S$910,12,FALSE))</f>
        <v>16720362261</v>
      </c>
      <c r="N78" s="42">
        <f>VLOOKUP($A78,'Neraca Unaudited SIMAK'!$A$2:$R$1272,13,FALSE)+IF(ISNA(VLOOKUP($A78,'Mutasi Neraca'!$A$3:$S$910,13,FALSE)),0,VLOOKUP($A78,'Mutasi Neraca'!$A$3:$S$910,13,FALSE))</f>
        <v>-1371607691</v>
      </c>
      <c r="O78" s="42">
        <f>VLOOKUP($A78,'Neraca Unaudited SIMAK'!$A$2:$R$1272,14,FALSE)+IF(ISNA(VLOOKUP($A78,'Mutasi Neraca'!$A$3:$S$910,14,FALSE)),0,VLOOKUP($A78,'Mutasi Neraca'!$A$3:$S$910,14,FALSE))</f>
        <v>-1143924004</v>
      </c>
      <c r="P78" s="42">
        <f>VLOOKUP($A78,'Neraca Unaudited SIMAK'!$A$2:$R$1272,15,FALSE)+IF(ISNA(VLOOKUP($A78,'Mutasi Neraca'!$A$3:$S$910,15,FALSE)),0,VLOOKUP($A78,'Mutasi Neraca'!$A$3:$S$910,15,FALSE))</f>
        <v>-141630563</v>
      </c>
      <c r="Q78" s="42">
        <f>VLOOKUP($A78,'Neraca Unaudited SIMAK'!$A$2:$R$1272,16,FALSE)+IF(ISNA(VLOOKUP($A78,'Mutasi Neraca'!$A$3:$S$910,16,FALSE)),0,VLOOKUP($A78,'Mutasi Neraca'!$A$3:$S$910,16,FALSE))</f>
        <v>0</v>
      </c>
      <c r="R78" s="42">
        <f>VLOOKUP($A78,'Neraca Unaudited SIMAK'!$A$2:$R$1272,17,FALSE)+IF(ISNA(VLOOKUP($A78,'Mutasi Neraca'!$A$3:$S$910,17,FALSE)),0,VLOOKUP($A78,'Mutasi Neraca'!$A$3:$S$910,17,FALSE))</f>
        <v>-2332475</v>
      </c>
      <c r="S78" s="42">
        <f t="shared" si="45"/>
        <v>14060867528</v>
      </c>
    </row>
    <row r="79" spans="1:19">
      <c r="A79" s="41" t="s">
        <v>86</v>
      </c>
      <c r="B79" s="41" t="str">
        <f t="shared" si="44"/>
        <v>005010300</v>
      </c>
      <c r="D79" s="42">
        <f>VLOOKUP($A79,'Neraca Unaudited SIMAK'!$A$2:$R$1272,3,FALSE)+IF(ISNA(VLOOKUP($A79,'Mutasi Neraca'!$A$3:$S$910,3,FALSE)),0,VLOOKUP($A79,'Mutasi Neraca'!$A$3:$S$910,3,FALSE))</f>
        <v>234000</v>
      </c>
      <c r="E79" s="42">
        <f>VLOOKUP($A79,'Neraca Unaudited SIMAK'!$A$2:$R$1272,4,FALSE)+IF(ISNA(VLOOKUP($A79,'Mutasi Neraca'!$A$3:$S$910,4,FALSE)),0,VLOOKUP($A79,'Mutasi Neraca'!$A$3:$S$910,4,FALSE))</f>
        <v>7142900000</v>
      </c>
      <c r="F79" s="42">
        <f>VLOOKUP($A79,'Neraca Unaudited SIMAK'!$A$2:$R$1272,5,FALSE)+IF(ISNA(VLOOKUP($A79,'Mutasi Neraca'!$A$3:$S$910,5,FALSE)),0,VLOOKUP($A79,'Mutasi Neraca'!$A$3:$S$910,5,FALSE))</f>
        <v>2099929214</v>
      </c>
      <c r="G79" s="42">
        <f>VLOOKUP($A79,'Neraca Unaudited SIMAK'!$A$2:$R$1272,6,FALSE)+IF(ISNA(VLOOKUP($A79,'Mutasi Neraca'!$A$3:$S$910,6,FALSE)),0,VLOOKUP($A79,'Mutasi Neraca'!$A$3:$S$910,6,FALSE))</f>
        <v>3596011850</v>
      </c>
      <c r="H79" s="42">
        <f>VLOOKUP($A79,'Neraca Unaudited SIMAK'!$A$2:$R$1272,7,FALSE)+IF(ISNA(VLOOKUP($A79,'Mutasi Neraca'!$A$3:$S$910,7,FALSE)),0,VLOOKUP($A79,'Mutasi Neraca'!$A$3:$S$910,7,FALSE))</f>
        <v>52110000</v>
      </c>
      <c r="I79" s="42">
        <f>VLOOKUP($A79,'Neraca Unaudited SIMAK'!$A$2:$R$1272,8,FALSE)+IF(ISNA(VLOOKUP($A79,'Mutasi Neraca'!$A$3:$S$910,8,FALSE)),0,VLOOKUP($A79,'Mutasi Neraca'!$A$3:$S$910,8,FALSE))</f>
        <v>99233740</v>
      </c>
      <c r="J79" s="42">
        <f>VLOOKUP($A79,'Neraca Unaudited SIMAK'!$A$2:$R$1272,9,FALSE)+IF(ISNA(VLOOKUP($A79,'Mutasi Neraca'!$A$3:$S$910,9,FALSE)),0,VLOOKUP($A79,'Mutasi Neraca'!$A$3:$S$910,9,FALSE))</f>
        <v>0</v>
      </c>
      <c r="K79" s="42">
        <f>VLOOKUP($A79,'Neraca Unaudited SIMAK'!$A$2:$R$1272,10,FALSE)+IF(ISNA(VLOOKUP($A79,'Mutasi Neraca'!$A$3:$S$910,10,FALSE)),0,VLOOKUP($A79,'Mutasi Neraca'!$A$3:$S$910,10,FALSE))</f>
        <v>0</v>
      </c>
      <c r="L79" s="42">
        <f>VLOOKUP($A79,'Neraca Unaudited SIMAK'!$A$2:$R$1272,11,FALSE)+IF(ISNA(VLOOKUP($A79,'Mutasi Neraca'!$A$3:$S$910,11,FALSE)),0,VLOOKUP($A79,'Mutasi Neraca'!$A$3:$S$910,11,FALSE))</f>
        <v>6470000</v>
      </c>
      <c r="M79" s="42">
        <f>VLOOKUP($A79,'Neraca Unaudited SIMAK'!$A$2:$R$1272,12,FALSE)+IF(ISNA(VLOOKUP($A79,'Mutasi Neraca'!$A$3:$S$910,12,FALSE)),0,VLOOKUP($A79,'Mutasi Neraca'!$A$3:$S$910,12,FALSE))</f>
        <v>12996888804</v>
      </c>
      <c r="N79" s="42">
        <f>VLOOKUP($A79,'Neraca Unaudited SIMAK'!$A$2:$R$1272,13,FALSE)+IF(ISNA(VLOOKUP($A79,'Mutasi Neraca'!$A$3:$S$910,13,FALSE)),0,VLOOKUP($A79,'Mutasi Neraca'!$A$3:$S$910,13,FALSE))</f>
        <v>-1644216329</v>
      </c>
      <c r="O79" s="42">
        <f>VLOOKUP($A79,'Neraca Unaudited SIMAK'!$A$2:$R$1272,14,FALSE)+IF(ISNA(VLOOKUP($A79,'Mutasi Neraca'!$A$3:$S$910,14,FALSE)),0,VLOOKUP($A79,'Mutasi Neraca'!$A$3:$S$910,14,FALSE))</f>
        <v>-1166336484</v>
      </c>
      <c r="P79" s="42">
        <f>VLOOKUP($A79,'Neraca Unaudited SIMAK'!$A$2:$R$1272,15,FALSE)+IF(ISNA(VLOOKUP($A79,'Mutasi Neraca'!$A$3:$S$910,15,FALSE)),0,VLOOKUP($A79,'Mutasi Neraca'!$A$3:$S$910,15,FALSE))</f>
        <v>-18238500</v>
      </c>
      <c r="Q79" s="42">
        <f>VLOOKUP($A79,'Neraca Unaudited SIMAK'!$A$2:$R$1272,16,FALSE)+IF(ISNA(VLOOKUP($A79,'Mutasi Neraca'!$A$3:$S$910,16,FALSE)),0,VLOOKUP($A79,'Mutasi Neraca'!$A$3:$S$910,16,FALSE))</f>
        <v>0</v>
      </c>
      <c r="R79" s="42">
        <f>VLOOKUP($A79,'Neraca Unaudited SIMAK'!$A$2:$R$1272,17,FALSE)+IF(ISNA(VLOOKUP($A79,'Mutasi Neraca'!$A$3:$S$910,17,FALSE)),0,VLOOKUP($A79,'Mutasi Neraca'!$A$3:$S$910,17,FALSE))</f>
        <v>-6470000</v>
      </c>
      <c r="S79" s="42">
        <f t="shared" si="45"/>
        <v>10161627491</v>
      </c>
    </row>
    <row r="80" spans="1:19">
      <c r="A80" s="41" t="s">
        <v>87</v>
      </c>
      <c r="B80" s="41" t="str">
        <f t="shared" si="44"/>
        <v>005010300</v>
      </c>
      <c r="D80" s="42">
        <f>VLOOKUP($A80,'Neraca Unaudited SIMAK'!$A$2:$R$1272,3,FALSE)+IF(ISNA(VLOOKUP($A80,'Mutasi Neraca'!$A$3:$S$910,3,FALSE)),0,VLOOKUP($A80,'Mutasi Neraca'!$A$3:$S$910,3,FALSE))</f>
        <v>78000</v>
      </c>
      <c r="E80" s="42">
        <f>VLOOKUP($A80,'Neraca Unaudited SIMAK'!$A$2:$R$1272,4,FALSE)+IF(ISNA(VLOOKUP($A80,'Mutasi Neraca'!$A$3:$S$910,4,FALSE)),0,VLOOKUP($A80,'Mutasi Neraca'!$A$3:$S$910,4,FALSE))</f>
        <v>5482315000</v>
      </c>
      <c r="F80" s="42">
        <f>VLOOKUP($A80,'Neraca Unaudited SIMAK'!$A$2:$R$1272,5,FALSE)+IF(ISNA(VLOOKUP($A80,'Mutasi Neraca'!$A$3:$S$910,5,FALSE)),0,VLOOKUP($A80,'Mutasi Neraca'!$A$3:$S$910,5,FALSE))</f>
        <v>1909238998</v>
      </c>
      <c r="G80" s="42">
        <f>VLOOKUP($A80,'Neraca Unaudited SIMAK'!$A$2:$R$1272,6,FALSE)+IF(ISNA(VLOOKUP($A80,'Mutasi Neraca'!$A$3:$S$910,6,FALSE)),0,VLOOKUP($A80,'Mutasi Neraca'!$A$3:$S$910,6,FALSE))</f>
        <v>3116960850</v>
      </c>
      <c r="H80" s="42">
        <f>VLOOKUP($A80,'Neraca Unaudited SIMAK'!$A$2:$R$1272,7,FALSE)+IF(ISNA(VLOOKUP($A80,'Mutasi Neraca'!$A$3:$S$910,7,FALSE)),0,VLOOKUP($A80,'Mutasi Neraca'!$A$3:$S$910,7,FALSE))</f>
        <v>10500000</v>
      </c>
      <c r="I80" s="42">
        <f>VLOOKUP($A80,'Neraca Unaudited SIMAK'!$A$2:$R$1272,8,FALSE)+IF(ISNA(VLOOKUP($A80,'Mutasi Neraca'!$A$3:$S$910,8,FALSE)),0,VLOOKUP($A80,'Mutasi Neraca'!$A$3:$S$910,8,FALSE))</f>
        <v>26511662</v>
      </c>
      <c r="J80" s="42">
        <f>VLOOKUP($A80,'Neraca Unaudited SIMAK'!$A$2:$R$1272,9,FALSE)+IF(ISNA(VLOOKUP($A80,'Mutasi Neraca'!$A$3:$S$910,9,FALSE)),0,VLOOKUP($A80,'Mutasi Neraca'!$A$3:$S$910,9,FALSE))</f>
        <v>0</v>
      </c>
      <c r="K80" s="42">
        <f>VLOOKUP($A80,'Neraca Unaudited SIMAK'!$A$2:$R$1272,10,FALSE)+IF(ISNA(VLOOKUP($A80,'Mutasi Neraca'!$A$3:$S$910,10,FALSE)),0,VLOOKUP($A80,'Mutasi Neraca'!$A$3:$S$910,10,FALSE))</f>
        <v>34900000</v>
      </c>
      <c r="L80" s="42">
        <f>VLOOKUP($A80,'Neraca Unaudited SIMAK'!$A$2:$R$1272,11,FALSE)+IF(ISNA(VLOOKUP($A80,'Mutasi Neraca'!$A$3:$S$910,11,FALSE)),0,VLOOKUP($A80,'Mutasi Neraca'!$A$3:$S$910,11,FALSE))</f>
        <v>4996000</v>
      </c>
      <c r="M80" s="42">
        <f>VLOOKUP($A80,'Neraca Unaudited SIMAK'!$A$2:$R$1272,12,FALSE)+IF(ISNA(VLOOKUP($A80,'Mutasi Neraca'!$A$3:$S$910,12,FALSE)),0,VLOOKUP($A80,'Mutasi Neraca'!$A$3:$S$910,12,FALSE))</f>
        <v>10585500510</v>
      </c>
      <c r="N80" s="42">
        <f>VLOOKUP($A80,'Neraca Unaudited SIMAK'!$A$2:$R$1272,13,FALSE)+IF(ISNA(VLOOKUP($A80,'Mutasi Neraca'!$A$3:$S$910,13,FALSE)),0,VLOOKUP($A80,'Mutasi Neraca'!$A$3:$S$910,13,FALSE))</f>
        <v>-1669067261</v>
      </c>
      <c r="O80" s="42">
        <f>VLOOKUP($A80,'Neraca Unaudited SIMAK'!$A$2:$R$1272,14,FALSE)+IF(ISNA(VLOOKUP($A80,'Mutasi Neraca'!$A$3:$S$910,14,FALSE)),0,VLOOKUP($A80,'Mutasi Neraca'!$A$3:$S$910,14,FALSE))</f>
        <v>-630041163</v>
      </c>
      <c r="P80" s="42">
        <f>VLOOKUP($A80,'Neraca Unaudited SIMAK'!$A$2:$R$1272,15,FALSE)+IF(ISNA(VLOOKUP($A80,'Mutasi Neraca'!$A$3:$S$910,15,FALSE)),0,VLOOKUP($A80,'Mutasi Neraca'!$A$3:$S$910,15,FALSE))</f>
        <v>-1050000</v>
      </c>
      <c r="Q80" s="42">
        <f>VLOOKUP($A80,'Neraca Unaudited SIMAK'!$A$2:$R$1272,16,FALSE)+IF(ISNA(VLOOKUP($A80,'Mutasi Neraca'!$A$3:$S$910,16,FALSE)),0,VLOOKUP($A80,'Mutasi Neraca'!$A$3:$S$910,16,FALSE))</f>
        <v>0</v>
      </c>
      <c r="R80" s="42">
        <f>VLOOKUP($A80,'Neraca Unaudited SIMAK'!$A$2:$R$1272,17,FALSE)+IF(ISNA(VLOOKUP($A80,'Mutasi Neraca'!$A$3:$S$910,17,FALSE)),0,VLOOKUP($A80,'Mutasi Neraca'!$A$3:$S$910,17,FALSE))</f>
        <v>-4996000</v>
      </c>
      <c r="S80" s="42">
        <f t="shared" si="45"/>
        <v>8280346086</v>
      </c>
    </row>
    <row r="81" spans="1:19">
      <c r="A81" s="41" t="s">
        <v>88</v>
      </c>
      <c r="B81" s="41" t="str">
        <f t="shared" si="44"/>
        <v>005010300</v>
      </c>
      <c r="D81" s="42">
        <f>VLOOKUP($A81,'Neraca Unaudited SIMAK'!$A$2:$R$1272,3,FALSE)+IF(ISNA(VLOOKUP($A81,'Mutasi Neraca'!$A$3:$S$910,3,FALSE)),0,VLOOKUP($A81,'Mutasi Neraca'!$A$3:$S$910,3,FALSE))</f>
        <v>2983350</v>
      </c>
      <c r="E81" s="42">
        <f>VLOOKUP($A81,'Neraca Unaudited SIMAK'!$A$2:$R$1272,4,FALSE)+IF(ISNA(VLOOKUP($A81,'Mutasi Neraca'!$A$3:$S$910,4,FALSE)),0,VLOOKUP($A81,'Mutasi Neraca'!$A$3:$S$910,4,FALSE))</f>
        <v>3771580000</v>
      </c>
      <c r="F81" s="42">
        <f>VLOOKUP($A81,'Neraca Unaudited SIMAK'!$A$2:$R$1272,5,FALSE)+IF(ISNA(VLOOKUP($A81,'Mutasi Neraca'!$A$3:$S$910,5,FALSE)),0,VLOOKUP($A81,'Mutasi Neraca'!$A$3:$S$910,5,FALSE))</f>
        <v>1764901039</v>
      </c>
      <c r="G81" s="42">
        <f>VLOOKUP($A81,'Neraca Unaudited SIMAK'!$A$2:$R$1272,6,FALSE)+IF(ISNA(VLOOKUP($A81,'Mutasi Neraca'!$A$3:$S$910,6,FALSE)),0,VLOOKUP($A81,'Mutasi Neraca'!$A$3:$S$910,6,FALSE))</f>
        <v>1593849000</v>
      </c>
      <c r="H81" s="42">
        <f>VLOOKUP($A81,'Neraca Unaudited SIMAK'!$A$2:$R$1272,7,FALSE)+IF(ISNA(VLOOKUP($A81,'Mutasi Neraca'!$A$3:$S$910,7,FALSE)),0,VLOOKUP($A81,'Mutasi Neraca'!$A$3:$S$910,7,FALSE))</f>
        <v>0</v>
      </c>
      <c r="I81" s="42">
        <f>VLOOKUP($A81,'Neraca Unaudited SIMAK'!$A$2:$R$1272,8,FALSE)+IF(ISNA(VLOOKUP($A81,'Mutasi Neraca'!$A$3:$S$910,8,FALSE)),0,VLOOKUP($A81,'Mutasi Neraca'!$A$3:$S$910,8,FALSE))</f>
        <v>184361062</v>
      </c>
      <c r="J81" s="42">
        <f>VLOOKUP($A81,'Neraca Unaudited SIMAK'!$A$2:$R$1272,9,FALSE)+IF(ISNA(VLOOKUP($A81,'Mutasi Neraca'!$A$3:$S$910,9,FALSE)),0,VLOOKUP($A81,'Mutasi Neraca'!$A$3:$S$910,9,FALSE))</f>
        <v>0</v>
      </c>
      <c r="K81" s="42">
        <f>VLOOKUP($A81,'Neraca Unaudited SIMAK'!$A$2:$R$1272,10,FALSE)+IF(ISNA(VLOOKUP($A81,'Mutasi Neraca'!$A$3:$S$910,10,FALSE)),0,VLOOKUP($A81,'Mutasi Neraca'!$A$3:$S$910,10,FALSE))</f>
        <v>0</v>
      </c>
      <c r="L81" s="42">
        <f>VLOOKUP($A81,'Neraca Unaudited SIMAK'!$A$2:$R$1272,11,FALSE)+IF(ISNA(VLOOKUP($A81,'Mutasi Neraca'!$A$3:$S$910,11,FALSE)),0,VLOOKUP($A81,'Mutasi Neraca'!$A$3:$S$910,11,FALSE))</f>
        <v>0</v>
      </c>
      <c r="M81" s="42">
        <f>VLOOKUP($A81,'Neraca Unaudited SIMAK'!$A$2:$R$1272,12,FALSE)+IF(ISNA(VLOOKUP($A81,'Mutasi Neraca'!$A$3:$S$910,12,FALSE)),0,VLOOKUP($A81,'Mutasi Neraca'!$A$3:$S$910,12,FALSE))</f>
        <v>7317674451</v>
      </c>
      <c r="N81" s="42">
        <f>VLOOKUP($A81,'Neraca Unaudited SIMAK'!$A$2:$R$1272,13,FALSE)+IF(ISNA(VLOOKUP($A81,'Mutasi Neraca'!$A$3:$S$910,13,FALSE)),0,VLOOKUP($A81,'Mutasi Neraca'!$A$3:$S$910,13,FALSE))</f>
        <v>-1426123762</v>
      </c>
      <c r="O81" s="42">
        <f>VLOOKUP($A81,'Neraca Unaudited SIMAK'!$A$2:$R$1272,14,FALSE)+IF(ISNA(VLOOKUP($A81,'Mutasi Neraca'!$A$3:$S$910,14,FALSE)),0,VLOOKUP($A81,'Mutasi Neraca'!$A$3:$S$910,14,FALSE))</f>
        <v>-363348636</v>
      </c>
      <c r="P81" s="42">
        <f>VLOOKUP($A81,'Neraca Unaudited SIMAK'!$A$2:$R$1272,15,FALSE)+IF(ISNA(VLOOKUP($A81,'Mutasi Neraca'!$A$3:$S$910,15,FALSE)),0,VLOOKUP($A81,'Mutasi Neraca'!$A$3:$S$910,15,FALSE))</f>
        <v>0</v>
      </c>
      <c r="Q81" s="42">
        <f>VLOOKUP($A81,'Neraca Unaudited SIMAK'!$A$2:$R$1272,16,FALSE)+IF(ISNA(VLOOKUP($A81,'Mutasi Neraca'!$A$3:$S$910,16,FALSE)),0,VLOOKUP($A81,'Mutasi Neraca'!$A$3:$S$910,16,FALSE))</f>
        <v>0</v>
      </c>
      <c r="R81" s="42">
        <f>VLOOKUP($A81,'Neraca Unaudited SIMAK'!$A$2:$R$1272,17,FALSE)+IF(ISNA(VLOOKUP($A81,'Mutasi Neraca'!$A$3:$S$910,17,FALSE)),0,VLOOKUP($A81,'Mutasi Neraca'!$A$3:$S$910,17,FALSE))</f>
        <v>0</v>
      </c>
      <c r="S81" s="42">
        <f t="shared" si="45"/>
        <v>5528202053</v>
      </c>
    </row>
    <row r="82" spans="1:19">
      <c r="A82" s="41" t="s">
        <v>89</v>
      </c>
      <c r="B82" s="41" t="str">
        <f t="shared" si="44"/>
        <v>005010300</v>
      </c>
      <c r="D82" s="42">
        <f>VLOOKUP($A82,'Neraca Unaudited SIMAK'!$A$2:$R$1272,3,FALSE)+IF(ISNA(VLOOKUP($A82,'Mutasi Neraca'!$A$3:$S$910,3,FALSE)),0,VLOOKUP($A82,'Mutasi Neraca'!$A$3:$S$910,3,FALSE))</f>
        <v>0</v>
      </c>
      <c r="E82" s="42">
        <f>VLOOKUP($A82,'Neraca Unaudited SIMAK'!$A$2:$R$1272,4,FALSE)+IF(ISNA(VLOOKUP($A82,'Mutasi Neraca'!$A$3:$S$910,4,FALSE)),0,VLOOKUP($A82,'Mutasi Neraca'!$A$3:$S$910,4,FALSE))</f>
        <v>4585000000</v>
      </c>
      <c r="F82" s="42">
        <f>VLOOKUP($A82,'Neraca Unaudited SIMAK'!$A$2:$R$1272,5,FALSE)+IF(ISNA(VLOOKUP($A82,'Mutasi Neraca'!$A$3:$S$910,5,FALSE)),0,VLOOKUP($A82,'Mutasi Neraca'!$A$3:$S$910,5,FALSE))</f>
        <v>1782817202</v>
      </c>
      <c r="G82" s="42">
        <f>VLOOKUP($A82,'Neraca Unaudited SIMAK'!$A$2:$R$1272,6,FALSE)+IF(ISNA(VLOOKUP($A82,'Mutasi Neraca'!$A$3:$S$910,6,FALSE)),0,VLOOKUP($A82,'Mutasi Neraca'!$A$3:$S$910,6,FALSE))</f>
        <v>4652525053</v>
      </c>
      <c r="H82" s="42">
        <f>VLOOKUP($A82,'Neraca Unaudited SIMAK'!$A$2:$R$1272,7,FALSE)+IF(ISNA(VLOOKUP($A82,'Mutasi Neraca'!$A$3:$S$910,7,FALSE)),0,VLOOKUP($A82,'Mutasi Neraca'!$A$3:$S$910,7,FALSE))</f>
        <v>0</v>
      </c>
      <c r="I82" s="42">
        <f>VLOOKUP($A82,'Neraca Unaudited SIMAK'!$A$2:$R$1272,8,FALSE)+IF(ISNA(VLOOKUP($A82,'Mutasi Neraca'!$A$3:$S$910,8,FALSE)),0,VLOOKUP($A82,'Mutasi Neraca'!$A$3:$S$910,8,FALSE))</f>
        <v>220180782</v>
      </c>
      <c r="J82" s="42">
        <f>VLOOKUP($A82,'Neraca Unaudited SIMAK'!$A$2:$R$1272,9,FALSE)+IF(ISNA(VLOOKUP($A82,'Mutasi Neraca'!$A$3:$S$910,9,FALSE)),0,VLOOKUP($A82,'Mutasi Neraca'!$A$3:$S$910,9,FALSE))</f>
        <v>0</v>
      </c>
      <c r="K82" s="42">
        <f>VLOOKUP($A82,'Neraca Unaudited SIMAK'!$A$2:$R$1272,10,FALSE)+IF(ISNA(VLOOKUP($A82,'Mutasi Neraca'!$A$3:$S$910,10,FALSE)),0,VLOOKUP($A82,'Mutasi Neraca'!$A$3:$S$910,10,FALSE))</f>
        <v>0</v>
      </c>
      <c r="L82" s="42">
        <f>VLOOKUP($A82,'Neraca Unaudited SIMAK'!$A$2:$R$1272,11,FALSE)+IF(ISNA(VLOOKUP($A82,'Mutasi Neraca'!$A$3:$S$910,11,FALSE)),0,VLOOKUP($A82,'Mutasi Neraca'!$A$3:$S$910,11,FALSE))</f>
        <v>3997912</v>
      </c>
      <c r="M82" s="42">
        <f>VLOOKUP($A82,'Neraca Unaudited SIMAK'!$A$2:$R$1272,12,FALSE)+IF(ISNA(VLOOKUP($A82,'Mutasi Neraca'!$A$3:$S$910,12,FALSE)),0,VLOOKUP($A82,'Mutasi Neraca'!$A$3:$S$910,12,FALSE))</f>
        <v>11244520949</v>
      </c>
      <c r="N82" s="42">
        <f>VLOOKUP($A82,'Neraca Unaudited SIMAK'!$A$2:$R$1272,13,FALSE)+IF(ISNA(VLOOKUP($A82,'Mutasi Neraca'!$A$3:$S$910,13,FALSE)),0,VLOOKUP($A82,'Mutasi Neraca'!$A$3:$S$910,13,FALSE))</f>
        <v>-1582143381</v>
      </c>
      <c r="O82" s="42">
        <f>VLOOKUP($A82,'Neraca Unaudited SIMAK'!$A$2:$R$1272,14,FALSE)+IF(ISNA(VLOOKUP($A82,'Mutasi Neraca'!$A$3:$S$910,14,FALSE)),0,VLOOKUP($A82,'Mutasi Neraca'!$A$3:$S$910,14,FALSE))</f>
        <v>-753771348</v>
      </c>
      <c r="P82" s="42">
        <f>VLOOKUP($A82,'Neraca Unaudited SIMAK'!$A$2:$R$1272,15,FALSE)+IF(ISNA(VLOOKUP($A82,'Mutasi Neraca'!$A$3:$S$910,15,FALSE)),0,VLOOKUP($A82,'Mutasi Neraca'!$A$3:$S$910,15,FALSE))</f>
        <v>0</v>
      </c>
      <c r="Q82" s="42">
        <f>VLOOKUP($A82,'Neraca Unaudited SIMAK'!$A$2:$R$1272,16,FALSE)+IF(ISNA(VLOOKUP($A82,'Mutasi Neraca'!$A$3:$S$910,16,FALSE)),0,VLOOKUP($A82,'Mutasi Neraca'!$A$3:$S$910,16,FALSE))</f>
        <v>0</v>
      </c>
      <c r="R82" s="42">
        <f>VLOOKUP($A82,'Neraca Unaudited SIMAK'!$A$2:$R$1272,17,FALSE)+IF(ISNA(VLOOKUP($A82,'Mutasi Neraca'!$A$3:$S$910,17,FALSE)),0,VLOOKUP($A82,'Mutasi Neraca'!$A$3:$S$910,17,FALSE))</f>
        <v>-3997912</v>
      </c>
      <c r="S82" s="42">
        <f t="shared" si="45"/>
        <v>8904608308</v>
      </c>
    </row>
    <row r="83" spans="1:19">
      <c r="A83" s="41" t="s">
        <v>90</v>
      </c>
      <c r="B83" s="41" t="str">
        <f t="shared" si="44"/>
        <v>005010300</v>
      </c>
      <c r="D83" s="42">
        <f>VLOOKUP($A83,'Neraca Unaudited SIMAK'!$A$2:$R$1272,3,FALSE)+IF(ISNA(VLOOKUP($A83,'Mutasi Neraca'!$A$3:$S$910,3,FALSE)),0,VLOOKUP($A83,'Mutasi Neraca'!$A$3:$S$910,3,FALSE))</f>
        <v>512500</v>
      </c>
      <c r="E83" s="42">
        <f>VLOOKUP($A83,'Neraca Unaudited SIMAK'!$A$2:$R$1272,4,FALSE)+IF(ISNA(VLOOKUP($A83,'Mutasi Neraca'!$A$3:$S$910,4,FALSE)),0,VLOOKUP($A83,'Mutasi Neraca'!$A$3:$S$910,4,FALSE))</f>
        <v>3534600000</v>
      </c>
      <c r="F83" s="42">
        <f>VLOOKUP($A83,'Neraca Unaudited SIMAK'!$A$2:$R$1272,5,FALSE)+IF(ISNA(VLOOKUP($A83,'Mutasi Neraca'!$A$3:$S$910,5,FALSE)),0,VLOOKUP($A83,'Mutasi Neraca'!$A$3:$S$910,5,FALSE))</f>
        <v>1305993248</v>
      </c>
      <c r="G83" s="42">
        <f>VLOOKUP($A83,'Neraca Unaudited SIMAK'!$A$2:$R$1272,6,FALSE)+IF(ISNA(VLOOKUP($A83,'Mutasi Neraca'!$A$3:$S$910,6,FALSE)),0,VLOOKUP($A83,'Mutasi Neraca'!$A$3:$S$910,6,FALSE))</f>
        <v>3557488682</v>
      </c>
      <c r="H83" s="42">
        <f>VLOOKUP($A83,'Neraca Unaudited SIMAK'!$A$2:$R$1272,7,FALSE)+IF(ISNA(VLOOKUP($A83,'Mutasi Neraca'!$A$3:$S$910,7,FALSE)),0,VLOOKUP($A83,'Mutasi Neraca'!$A$3:$S$910,7,FALSE))</f>
        <v>90569000</v>
      </c>
      <c r="I83" s="42">
        <f>VLOOKUP($A83,'Neraca Unaudited SIMAK'!$A$2:$R$1272,8,FALSE)+IF(ISNA(VLOOKUP($A83,'Mutasi Neraca'!$A$3:$S$910,8,FALSE)),0,VLOOKUP($A83,'Mutasi Neraca'!$A$3:$S$910,8,FALSE))</f>
        <v>59507663</v>
      </c>
      <c r="J83" s="42">
        <f>VLOOKUP($A83,'Neraca Unaudited SIMAK'!$A$2:$R$1272,9,FALSE)+IF(ISNA(VLOOKUP($A83,'Mutasi Neraca'!$A$3:$S$910,9,FALSE)),0,VLOOKUP($A83,'Mutasi Neraca'!$A$3:$S$910,9,FALSE))</f>
        <v>0</v>
      </c>
      <c r="K83" s="42">
        <f>VLOOKUP($A83,'Neraca Unaudited SIMAK'!$A$2:$R$1272,10,FALSE)+IF(ISNA(VLOOKUP($A83,'Mutasi Neraca'!$A$3:$S$910,10,FALSE)),0,VLOOKUP($A83,'Mutasi Neraca'!$A$3:$S$910,10,FALSE))</f>
        <v>0</v>
      </c>
      <c r="L83" s="42">
        <f>VLOOKUP($A83,'Neraca Unaudited SIMAK'!$A$2:$R$1272,11,FALSE)+IF(ISNA(VLOOKUP($A83,'Mutasi Neraca'!$A$3:$S$910,11,FALSE)),0,VLOOKUP($A83,'Mutasi Neraca'!$A$3:$S$910,11,FALSE))</f>
        <v>27746083</v>
      </c>
      <c r="M83" s="42">
        <f>VLOOKUP($A83,'Neraca Unaudited SIMAK'!$A$2:$R$1272,12,FALSE)+IF(ISNA(VLOOKUP($A83,'Mutasi Neraca'!$A$3:$S$910,12,FALSE)),0,VLOOKUP($A83,'Mutasi Neraca'!$A$3:$S$910,12,FALSE))</f>
        <v>8576417176</v>
      </c>
      <c r="N83" s="42">
        <f>VLOOKUP($A83,'Neraca Unaudited SIMAK'!$A$2:$R$1272,13,FALSE)+IF(ISNA(VLOOKUP($A83,'Mutasi Neraca'!$A$3:$S$910,13,FALSE)),0,VLOOKUP($A83,'Mutasi Neraca'!$A$3:$S$910,13,FALSE))</f>
        <v>-1159983668</v>
      </c>
      <c r="O83" s="42">
        <f>VLOOKUP($A83,'Neraca Unaudited SIMAK'!$A$2:$R$1272,14,FALSE)+IF(ISNA(VLOOKUP($A83,'Mutasi Neraca'!$A$3:$S$910,14,FALSE)),0,VLOOKUP($A83,'Mutasi Neraca'!$A$3:$S$910,14,FALSE))</f>
        <v>-846345572</v>
      </c>
      <c r="P83" s="42">
        <f>VLOOKUP($A83,'Neraca Unaudited SIMAK'!$A$2:$R$1272,15,FALSE)+IF(ISNA(VLOOKUP($A83,'Mutasi Neraca'!$A$3:$S$910,15,FALSE)),0,VLOOKUP($A83,'Mutasi Neraca'!$A$3:$S$910,15,FALSE))</f>
        <v>-47030583</v>
      </c>
      <c r="Q83" s="42">
        <f>VLOOKUP($A83,'Neraca Unaudited SIMAK'!$A$2:$R$1272,16,FALSE)+IF(ISNA(VLOOKUP($A83,'Mutasi Neraca'!$A$3:$S$910,16,FALSE)),0,VLOOKUP($A83,'Mutasi Neraca'!$A$3:$S$910,16,FALSE))</f>
        <v>0</v>
      </c>
      <c r="R83" s="42">
        <f>VLOOKUP($A83,'Neraca Unaudited SIMAK'!$A$2:$R$1272,17,FALSE)+IF(ISNA(VLOOKUP($A83,'Mutasi Neraca'!$A$3:$S$910,17,FALSE)),0,VLOOKUP($A83,'Mutasi Neraca'!$A$3:$S$910,17,FALSE))</f>
        <v>-27746083</v>
      </c>
      <c r="S83" s="42">
        <f t="shared" si="45"/>
        <v>6495311270</v>
      </c>
    </row>
    <row r="84" spans="1:19">
      <c r="A84" s="41" t="s">
        <v>91</v>
      </c>
      <c r="B84" s="41" t="str">
        <f t="shared" si="44"/>
        <v>005010300</v>
      </c>
      <c r="D84" s="42">
        <f>VLOOKUP($A84,'Neraca Unaudited SIMAK'!$A$2:$R$1272,3,FALSE)+IF(ISNA(VLOOKUP($A84,'Mutasi Neraca'!$A$3:$S$910,3,FALSE)),0,VLOOKUP($A84,'Mutasi Neraca'!$A$3:$S$910,3,FALSE))</f>
        <v>5234540</v>
      </c>
      <c r="E84" s="42">
        <f>VLOOKUP($A84,'Neraca Unaudited SIMAK'!$A$2:$R$1272,4,FALSE)+IF(ISNA(VLOOKUP($A84,'Mutasi Neraca'!$A$3:$S$910,4,FALSE)),0,VLOOKUP($A84,'Mutasi Neraca'!$A$3:$S$910,4,FALSE))</f>
        <v>4860560000</v>
      </c>
      <c r="F84" s="42">
        <f>VLOOKUP($A84,'Neraca Unaudited SIMAK'!$A$2:$R$1272,5,FALSE)+IF(ISNA(VLOOKUP($A84,'Mutasi Neraca'!$A$3:$S$910,5,FALSE)),0,VLOOKUP($A84,'Mutasi Neraca'!$A$3:$S$910,5,FALSE))</f>
        <v>1794488044</v>
      </c>
      <c r="G84" s="42">
        <f>VLOOKUP($A84,'Neraca Unaudited SIMAK'!$A$2:$R$1272,6,FALSE)+IF(ISNA(VLOOKUP($A84,'Mutasi Neraca'!$A$3:$S$910,6,FALSE)),0,VLOOKUP($A84,'Mutasi Neraca'!$A$3:$S$910,6,FALSE))</f>
        <v>5739796067</v>
      </c>
      <c r="H84" s="42">
        <f>VLOOKUP($A84,'Neraca Unaudited SIMAK'!$A$2:$R$1272,7,FALSE)+IF(ISNA(VLOOKUP($A84,'Mutasi Neraca'!$A$3:$S$910,7,FALSE)),0,VLOOKUP($A84,'Mutasi Neraca'!$A$3:$S$910,7,FALSE))</f>
        <v>34622200</v>
      </c>
      <c r="I84" s="42">
        <f>VLOOKUP($A84,'Neraca Unaudited SIMAK'!$A$2:$R$1272,8,FALSE)+IF(ISNA(VLOOKUP($A84,'Mutasi Neraca'!$A$3:$S$910,8,FALSE)),0,VLOOKUP($A84,'Mutasi Neraca'!$A$3:$S$910,8,FALSE))</f>
        <v>11114962</v>
      </c>
      <c r="J84" s="42">
        <f>VLOOKUP($A84,'Neraca Unaudited SIMAK'!$A$2:$R$1272,9,FALSE)+IF(ISNA(VLOOKUP($A84,'Mutasi Neraca'!$A$3:$S$910,9,FALSE)),0,VLOOKUP($A84,'Mutasi Neraca'!$A$3:$S$910,9,FALSE))</f>
        <v>0</v>
      </c>
      <c r="K84" s="42">
        <f>VLOOKUP($A84,'Neraca Unaudited SIMAK'!$A$2:$R$1272,10,FALSE)+IF(ISNA(VLOOKUP($A84,'Mutasi Neraca'!$A$3:$S$910,10,FALSE)),0,VLOOKUP($A84,'Mutasi Neraca'!$A$3:$S$910,10,FALSE))</f>
        <v>0</v>
      </c>
      <c r="L84" s="42">
        <f>VLOOKUP($A84,'Neraca Unaudited SIMAK'!$A$2:$R$1272,11,FALSE)+IF(ISNA(VLOOKUP($A84,'Mutasi Neraca'!$A$3:$S$910,11,FALSE)),0,VLOOKUP($A84,'Mutasi Neraca'!$A$3:$S$910,11,FALSE))</f>
        <v>118219410</v>
      </c>
      <c r="M84" s="42">
        <f>VLOOKUP($A84,'Neraca Unaudited SIMAK'!$A$2:$R$1272,12,FALSE)+IF(ISNA(VLOOKUP($A84,'Mutasi Neraca'!$A$3:$S$910,12,FALSE)),0,VLOOKUP($A84,'Mutasi Neraca'!$A$3:$S$910,12,FALSE))</f>
        <v>12564035223</v>
      </c>
      <c r="N84" s="42">
        <f>VLOOKUP($A84,'Neraca Unaudited SIMAK'!$A$2:$R$1272,13,FALSE)+IF(ISNA(VLOOKUP($A84,'Mutasi Neraca'!$A$3:$S$910,13,FALSE)),0,VLOOKUP($A84,'Mutasi Neraca'!$A$3:$S$910,13,FALSE))</f>
        <v>-1249936362</v>
      </c>
      <c r="O84" s="42">
        <f>VLOOKUP($A84,'Neraca Unaudited SIMAK'!$A$2:$R$1272,14,FALSE)+IF(ISNA(VLOOKUP($A84,'Mutasi Neraca'!$A$3:$S$910,14,FALSE)),0,VLOOKUP($A84,'Mutasi Neraca'!$A$3:$S$910,14,FALSE))</f>
        <v>-1553934187</v>
      </c>
      <c r="P84" s="42">
        <f>VLOOKUP($A84,'Neraca Unaudited SIMAK'!$A$2:$R$1272,15,FALSE)+IF(ISNA(VLOOKUP($A84,'Mutasi Neraca'!$A$3:$S$910,15,FALSE)),0,VLOOKUP($A84,'Mutasi Neraca'!$A$3:$S$910,15,FALSE))</f>
        <v>-4327775</v>
      </c>
      <c r="Q84" s="42">
        <f>VLOOKUP($A84,'Neraca Unaudited SIMAK'!$A$2:$R$1272,16,FALSE)+IF(ISNA(VLOOKUP($A84,'Mutasi Neraca'!$A$3:$S$910,16,FALSE)),0,VLOOKUP($A84,'Mutasi Neraca'!$A$3:$S$910,16,FALSE))</f>
        <v>-2000000</v>
      </c>
      <c r="R84" s="42">
        <f>VLOOKUP($A84,'Neraca Unaudited SIMAK'!$A$2:$R$1272,17,FALSE)+IF(ISNA(VLOOKUP($A84,'Mutasi Neraca'!$A$3:$S$910,17,FALSE)),0,VLOOKUP($A84,'Mutasi Neraca'!$A$3:$S$910,17,FALSE))</f>
        <v>-118049410</v>
      </c>
      <c r="S84" s="42">
        <f t="shared" si="45"/>
        <v>9635787489</v>
      </c>
    </row>
    <row r="85" spans="1:19">
      <c r="A85" s="41" t="s">
        <v>92</v>
      </c>
      <c r="B85" s="41" t="str">
        <f t="shared" si="44"/>
        <v>005010300</v>
      </c>
      <c r="D85" s="42">
        <f>VLOOKUP($A85,'Neraca Unaudited SIMAK'!$A$2:$R$1272,3,FALSE)+IF(ISNA(VLOOKUP($A85,'Mutasi Neraca'!$A$3:$S$910,3,FALSE)),0,VLOOKUP($A85,'Mutasi Neraca'!$A$3:$S$910,3,FALSE))</f>
        <v>1395816</v>
      </c>
      <c r="E85" s="42">
        <f>VLOOKUP($A85,'Neraca Unaudited SIMAK'!$A$2:$R$1272,4,FALSE)+IF(ISNA(VLOOKUP($A85,'Mutasi Neraca'!$A$3:$S$910,4,FALSE)),0,VLOOKUP($A85,'Mutasi Neraca'!$A$3:$S$910,4,FALSE))</f>
        <v>6318988000</v>
      </c>
      <c r="F85" s="42">
        <f>VLOOKUP($A85,'Neraca Unaudited SIMAK'!$A$2:$R$1272,5,FALSE)+IF(ISNA(VLOOKUP($A85,'Mutasi Neraca'!$A$3:$S$910,5,FALSE)),0,VLOOKUP($A85,'Mutasi Neraca'!$A$3:$S$910,5,FALSE))</f>
        <v>1566051086</v>
      </c>
      <c r="G85" s="42">
        <f>VLOOKUP($A85,'Neraca Unaudited SIMAK'!$A$2:$R$1272,6,FALSE)+IF(ISNA(VLOOKUP($A85,'Mutasi Neraca'!$A$3:$S$910,6,FALSE)),0,VLOOKUP($A85,'Mutasi Neraca'!$A$3:$S$910,6,FALSE))</f>
        <v>2235914750</v>
      </c>
      <c r="H85" s="42">
        <f>VLOOKUP($A85,'Neraca Unaudited SIMAK'!$A$2:$R$1272,7,FALSE)+IF(ISNA(VLOOKUP($A85,'Mutasi Neraca'!$A$3:$S$910,7,FALSE)),0,VLOOKUP($A85,'Mutasi Neraca'!$A$3:$S$910,7,FALSE))</f>
        <v>98559900</v>
      </c>
      <c r="I85" s="42">
        <f>VLOOKUP($A85,'Neraca Unaudited SIMAK'!$A$2:$R$1272,8,FALSE)+IF(ISNA(VLOOKUP($A85,'Mutasi Neraca'!$A$3:$S$910,8,FALSE)),0,VLOOKUP($A85,'Mutasi Neraca'!$A$3:$S$910,8,FALSE))</f>
        <v>67564062</v>
      </c>
      <c r="J85" s="42">
        <f>VLOOKUP($A85,'Neraca Unaudited SIMAK'!$A$2:$R$1272,9,FALSE)+IF(ISNA(VLOOKUP($A85,'Mutasi Neraca'!$A$3:$S$910,9,FALSE)),0,VLOOKUP($A85,'Mutasi Neraca'!$A$3:$S$910,9,FALSE))</f>
        <v>0</v>
      </c>
      <c r="K85" s="42">
        <f>VLOOKUP($A85,'Neraca Unaudited SIMAK'!$A$2:$R$1272,10,FALSE)+IF(ISNA(VLOOKUP($A85,'Mutasi Neraca'!$A$3:$S$910,10,FALSE)),0,VLOOKUP($A85,'Mutasi Neraca'!$A$3:$S$910,10,FALSE))</f>
        <v>0</v>
      </c>
      <c r="L85" s="42">
        <f>VLOOKUP($A85,'Neraca Unaudited SIMAK'!$A$2:$R$1272,11,FALSE)+IF(ISNA(VLOOKUP($A85,'Mutasi Neraca'!$A$3:$S$910,11,FALSE)),0,VLOOKUP($A85,'Mutasi Neraca'!$A$3:$S$910,11,FALSE))</f>
        <v>0</v>
      </c>
      <c r="M85" s="42">
        <f>VLOOKUP($A85,'Neraca Unaudited SIMAK'!$A$2:$R$1272,12,FALSE)+IF(ISNA(VLOOKUP($A85,'Mutasi Neraca'!$A$3:$S$910,12,FALSE)),0,VLOOKUP($A85,'Mutasi Neraca'!$A$3:$S$910,12,FALSE))</f>
        <v>10288473614</v>
      </c>
      <c r="N85" s="42">
        <f>VLOOKUP($A85,'Neraca Unaudited SIMAK'!$A$2:$R$1272,13,FALSE)+IF(ISNA(VLOOKUP($A85,'Mutasi Neraca'!$A$3:$S$910,13,FALSE)),0,VLOOKUP($A85,'Mutasi Neraca'!$A$3:$S$910,13,FALSE))</f>
        <v>-1337737387</v>
      </c>
      <c r="O85" s="42">
        <f>VLOOKUP($A85,'Neraca Unaudited SIMAK'!$A$2:$R$1272,14,FALSE)+IF(ISNA(VLOOKUP($A85,'Mutasi Neraca'!$A$3:$S$910,14,FALSE)),0,VLOOKUP($A85,'Mutasi Neraca'!$A$3:$S$910,14,FALSE))</f>
        <v>-599209486</v>
      </c>
      <c r="P85" s="42">
        <f>VLOOKUP($A85,'Neraca Unaudited SIMAK'!$A$2:$R$1272,15,FALSE)+IF(ISNA(VLOOKUP($A85,'Mutasi Neraca'!$A$3:$S$910,15,FALSE)),0,VLOOKUP($A85,'Mutasi Neraca'!$A$3:$S$910,15,FALSE))</f>
        <v>-98559900</v>
      </c>
      <c r="Q85" s="42">
        <f>VLOOKUP($A85,'Neraca Unaudited SIMAK'!$A$2:$R$1272,16,FALSE)+IF(ISNA(VLOOKUP($A85,'Mutasi Neraca'!$A$3:$S$910,16,FALSE)),0,VLOOKUP($A85,'Mutasi Neraca'!$A$3:$S$910,16,FALSE))</f>
        <v>0</v>
      </c>
      <c r="R85" s="42">
        <f>VLOOKUP($A85,'Neraca Unaudited SIMAK'!$A$2:$R$1272,17,FALSE)+IF(ISNA(VLOOKUP($A85,'Mutasi Neraca'!$A$3:$S$910,17,FALSE)),0,VLOOKUP($A85,'Mutasi Neraca'!$A$3:$S$910,17,FALSE))</f>
        <v>0</v>
      </c>
      <c r="S85" s="42">
        <f t="shared" si="45"/>
        <v>8252966841</v>
      </c>
    </row>
    <row r="86" spans="1:19">
      <c r="A86" s="41" t="s">
        <v>93</v>
      </c>
      <c r="B86" s="41" t="str">
        <f t="shared" si="44"/>
        <v>005010300</v>
      </c>
      <c r="D86" s="42">
        <f>VLOOKUP($A86,'Neraca Unaudited SIMAK'!$A$2:$R$1272,3,FALSE)+IF(ISNA(VLOOKUP($A86,'Mutasi Neraca'!$A$3:$S$910,3,FALSE)),0,VLOOKUP($A86,'Mutasi Neraca'!$A$3:$S$910,3,FALSE))</f>
        <v>2317000</v>
      </c>
      <c r="E86" s="42">
        <f>VLOOKUP($A86,'Neraca Unaudited SIMAK'!$A$2:$R$1272,4,FALSE)+IF(ISNA(VLOOKUP($A86,'Mutasi Neraca'!$A$3:$S$910,4,FALSE)),0,VLOOKUP($A86,'Mutasi Neraca'!$A$3:$S$910,4,FALSE))</f>
        <v>5276224000</v>
      </c>
      <c r="F86" s="42">
        <f>VLOOKUP($A86,'Neraca Unaudited SIMAK'!$A$2:$R$1272,5,FALSE)+IF(ISNA(VLOOKUP($A86,'Mutasi Neraca'!$A$3:$S$910,5,FALSE)),0,VLOOKUP($A86,'Mutasi Neraca'!$A$3:$S$910,5,FALSE))</f>
        <v>1876575619</v>
      </c>
      <c r="G86" s="42">
        <f>VLOOKUP($A86,'Neraca Unaudited SIMAK'!$A$2:$R$1272,6,FALSE)+IF(ISNA(VLOOKUP($A86,'Mutasi Neraca'!$A$3:$S$910,6,FALSE)),0,VLOOKUP($A86,'Mutasi Neraca'!$A$3:$S$910,6,FALSE))</f>
        <v>4309096307</v>
      </c>
      <c r="H86" s="42">
        <f>VLOOKUP($A86,'Neraca Unaudited SIMAK'!$A$2:$R$1272,7,FALSE)+IF(ISNA(VLOOKUP($A86,'Mutasi Neraca'!$A$3:$S$910,7,FALSE)),0,VLOOKUP($A86,'Mutasi Neraca'!$A$3:$S$910,7,FALSE))</f>
        <v>0</v>
      </c>
      <c r="I86" s="42">
        <f>VLOOKUP($A86,'Neraca Unaudited SIMAK'!$A$2:$R$1272,8,FALSE)+IF(ISNA(VLOOKUP($A86,'Mutasi Neraca'!$A$3:$S$910,8,FALSE)),0,VLOOKUP($A86,'Mutasi Neraca'!$A$3:$S$910,8,FALSE))</f>
        <v>199833742</v>
      </c>
      <c r="J86" s="42">
        <f>VLOOKUP($A86,'Neraca Unaudited SIMAK'!$A$2:$R$1272,9,FALSE)+IF(ISNA(VLOOKUP($A86,'Mutasi Neraca'!$A$3:$S$910,9,FALSE)),0,VLOOKUP($A86,'Mutasi Neraca'!$A$3:$S$910,9,FALSE))</f>
        <v>0</v>
      </c>
      <c r="K86" s="42">
        <f>VLOOKUP($A86,'Neraca Unaudited SIMAK'!$A$2:$R$1272,10,FALSE)+IF(ISNA(VLOOKUP($A86,'Mutasi Neraca'!$A$3:$S$910,10,FALSE)),0,VLOOKUP($A86,'Mutasi Neraca'!$A$3:$S$910,10,FALSE))</f>
        <v>74660000</v>
      </c>
      <c r="L86" s="42">
        <f>VLOOKUP($A86,'Neraca Unaudited SIMAK'!$A$2:$R$1272,11,FALSE)+IF(ISNA(VLOOKUP($A86,'Mutasi Neraca'!$A$3:$S$910,11,FALSE)),0,VLOOKUP($A86,'Mutasi Neraca'!$A$3:$S$910,11,FALSE))</f>
        <v>461697326</v>
      </c>
      <c r="M86" s="42">
        <f>VLOOKUP($A86,'Neraca Unaudited SIMAK'!$A$2:$R$1272,12,FALSE)+IF(ISNA(VLOOKUP($A86,'Mutasi Neraca'!$A$3:$S$910,12,FALSE)),0,VLOOKUP($A86,'Mutasi Neraca'!$A$3:$S$910,12,FALSE))</f>
        <v>12200403994</v>
      </c>
      <c r="N86" s="42">
        <f>VLOOKUP($A86,'Neraca Unaudited SIMAK'!$A$2:$R$1272,13,FALSE)+IF(ISNA(VLOOKUP($A86,'Mutasi Neraca'!$A$3:$S$910,13,FALSE)),0,VLOOKUP($A86,'Mutasi Neraca'!$A$3:$S$910,13,FALSE))</f>
        <v>-1454153760</v>
      </c>
      <c r="O86" s="42">
        <f>VLOOKUP($A86,'Neraca Unaudited SIMAK'!$A$2:$R$1272,14,FALSE)+IF(ISNA(VLOOKUP($A86,'Mutasi Neraca'!$A$3:$S$910,14,FALSE)),0,VLOOKUP($A86,'Mutasi Neraca'!$A$3:$S$910,14,FALSE))</f>
        <v>-928601850</v>
      </c>
      <c r="P86" s="42">
        <f>VLOOKUP($A86,'Neraca Unaudited SIMAK'!$A$2:$R$1272,15,FALSE)+IF(ISNA(VLOOKUP($A86,'Mutasi Neraca'!$A$3:$S$910,15,FALSE)),0,VLOOKUP($A86,'Mutasi Neraca'!$A$3:$S$910,15,FALSE))</f>
        <v>0</v>
      </c>
      <c r="Q86" s="42">
        <f>VLOOKUP($A86,'Neraca Unaudited SIMAK'!$A$2:$R$1272,16,FALSE)+IF(ISNA(VLOOKUP($A86,'Mutasi Neraca'!$A$3:$S$910,16,FALSE)),0,VLOOKUP($A86,'Mutasi Neraca'!$A$3:$S$910,16,FALSE))</f>
        <v>0</v>
      </c>
      <c r="R86" s="42">
        <f>VLOOKUP($A86,'Neraca Unaudited SIMAK'!$A$2:$R$1272,17,FALSE)+IF(ISNA(VLOOKUP($A86,'Mutasi Neraca'!$A$3:$S$910,17,FALSE)),0,VLOOKUP($A86,'Mutasi Neraca'!$A$3:$S$910,17,FALSE))</f>
        <v>-456787327</v>
      </c>
      <c r="S86" s="42">
        <f t="shared" si="45"/>
        <v>9360861057</v>
      </c>
    </row>
    <row r="87" spans="1:19">
      <c r="A87" s="41" t="s">
        <v>94</v>
      </c>
      <c r="B87" s="41" t="str">
        <f t="shared" si="44"/>
        <v>005010300</v>
      </c>
      <c r="D87" s="42">
        <f>VLOOKUP($A87,'Neraca Unaudited SIMAK'!$A$2:$R$1272,3,FALSE)+IF(ISNA(VLOOKUP($A87,'Mutasi Neraca'!$A$3:$S$910,3,FALSE)),0,VLOOKUP($A87,'Mutasi Neraca'!$A$3:$S$910,3,FALSE))</f>
        <v>554000</v>
      </c>
      <c r="E87" s="42">
        <f>VLOOKUP($A87,'Neraca Unaudited SIMAK'!$A$2:$R$1272,4,FALSE)+IF(ISNA(VLOOKUP($A87,'Mutasi Neraca'!$A$3:$S$910,4,FALSE)),0,VLOOKUP($A87,'Mutasi Neraca'!$A$3:$S$910,4,FALSE))</f>
        <v>18266000000</v>
      </c>
      <c r="F87" s="42">
        <f>VLOOKUP($A87,'Neraca Unaudited SIMAK'!$A$2:$R$1272,5,FALSE)+IF(ISNA(VLOOKUP($A87,'Mutasi Neraca'!$A$3:$S$910,5,FALSE)),0,VLOOKUP($A87,'Mutasi Neraca'!$A$3:$S$910,5,FALSE))</f>
        <v>1701156658</v>
      </c>
      <c r="G87" s="42">
        <f>VLOOKUP($A87,'Neraca Unaudited SIMAK'!$A$2:$R$1272,6,FALSE)+IF(ISNA(VLOOKUP($A87,'Mutasi Neraca'!$A$3:$S$910,6,FALSE)),0,VLOOKUP($A87,'Mutasi Neraca'!$A$3:$S$910,6,FALSE))</f>
        <v>5521781700</v>
      </c>
      <c r="H87" s="42">
        <f>VLOOKUP($A87,'Neraca Unaudited SIMAK'!$A$2:$R$1272,7,FALSE)+IF(ISNA(VLOOKUP($A87,'Mutasi Neraca'!$A$3:$S$910,7,FALSE)),0,VLOOKUP($A87,'Mutasi Neraca'!$A$3:$S$910,7,FALSE))</f>
        <v>0</v>
      </c>
      <c r="I87" s="42">
        <f>VLOOKUP($A87,'Neraca Unaudited SIMAK'!$A$2:$R$1272,8,FALSE)+IF(ISNA(VLOOKUP($A87,'Mutasi Neraca'!$A$3:$S$910,8,FALSE)),0,VLOOKUP($A87,'Mutasi Neraca'!$A$3:$S$910,8,FALSE))</f>
        <v>9183742</v>
      </c>
      <c r="J87" s="42">
        <f>VLOOKUP($A87,'Neraca Unaudited SIMAK'!$A$2:$R$1272,9,FALSE)+IF(ISNA(VLOOKUP($A87,'Mutasi Neraca'!$A$3:$S$910,9,FALSE)),0,VLOOKUP($A87,'Mutasi Neraca'!$A$3:$S$910,9,FALSE))</f>
        <v>0</v>
      </c>
      <c r="K87" s="42">
        <f>VLOOKUP($A87,'Neraca Unaudited SIMAK'!$A$2:$R$1272,10,FALSE)+IF(ISNA(VLOOKUP($A87,'Mutasi Neraca'!$A$3:$S$910,10,FALSE)),0,VLOOKUP($A87,'Mutasi Neraca'!$A$3:$S$910,10,FALSE))</f>
        <v>0</v>
      </c>
      <c r="L87" s="42">
        <f>VLOOKUP($A87,'Neraca Unaudited SIMAK'!$A$2:$R$1272,11,FALSE)+IF(ISNA(VLOOKUP($A87,'Mutasi Neraca'!$A$3:$S$910,11,FALSE)),0,VLOOKUP($A87,'Mutasi Neraca'!$A$3:$S$910,11,FALSE))</f>
        <v>28954000</v>
      </c>
      <c r="M87" s="42">
        <f>VLOOKUP($A87,'Neraca Unaudited SIMAK'!$A$2:$R$1272,12,FALSE)+IF(ISNA(VLOOKUP($A87,'Mutasi Neraca'!$A$3:$S$910,12,FALSE)),0,VLOOKUP($A87,'Mutasi Neraca'!$A$3:$S$910,12,FALSE))</f>
        <v>25527630100</v>
      </c>
      <c r="N87" s="42">
        <f>VLOOKUP($A87,'Neraca Unaudited SIMAK'!$A$2:$R$1272,13,FALSE)+IF(ISNA(VLOOKUP($A87,'Mutasi Neraca'!$A$3:$S$910,13,FALSE)),0,VLOOKUP($A87,'Mutasi Neraca'!$A$3:$S$910,13,FALSE))</f>
        <v>-1429131700</v>
      </c>
      <c r="O87" s="42">
        <f>VLOOKUP($A87,'Neraca Unaudited SIMAK'!$A$2:$R$1272,14,FALSE)+IF(ISNA(VLOOKUP($A87,'Mutasi Neraca'!$A$3:$S$910,14,FALSE)),0,VLOOKUP($A87,'Mutasi Neraca'!$A$3:$S$910,14,FALSE))</f>
        <v>-4211791969</v>
      </c>
      <c r="P87" s="42">
        <f>VLOOKUP($A87,'Neraca Unaudited SIMAK'!$A$2:$R$1272,15,FALSE)+IF(ISNA(VLOOKUP($A87,'Mutasi Neraca'!$A$3:$S$910,15,FALSE)),0,VLOOKUP($A87,'Mutasi Neraca'!$A$3:$S$910,15,FALSE))</f>
        <v>0</v>
      </c>
      <c r="Q87" s="42">
        <f>VLOOKUP($A87,'Neraca Unaudited SIMAK'!$A$2:$R$1272,16,FALSE)+IF(ISNA(VLOOKUP($A87,'Mutasi Neraca'!$A$3:$S$910,16,FALSE)),0,VLOOKUP($A87,'Mutasi Neraca'!$A$3:$S$910,16,FALSE))</f>
        <v>0</v>
      </c>
      <c r="R87" s="42">
        <f>VLOOKUP($A87,'Neraca Unaudited SIMAK'!$A$2:$R$1272,17,FALSE)+IF(ISNA(VLOOKUP($A87,'Mutasi Neraca'!$A$3:$S$910,17,FALSE)),0,VLOOKUP($A87,'Mutasi Neraca'!$A$3:$S$910,17,FALSE))</f>
        <v>-28954000</v>
      </c>
      <c r="S87" s="42">
        <f t="shared" si="45"/>
        <v>19857752431</v>
      </c>
    </row>
    <row r="88" spans="1:19">
      <c r="A88" s="41" t="s">
        <v>95</v>
      </c>
      <c r="B88" s="41" t="str">
        <f t="shared" si="44"/>
        <v>005010300</v>
      </c>
      <c r="D88" s="42">
        <f>VLOOKUP($A88,'Neraca Unaudited SIMAK'!$A$2:$R$1272,3,FALSE)+IF(ISNA(VLOOKUP($A88,'Mutasi Neraca'!$A$3:$S$910,3,FALSE)),0,VLOOKUP($A88,'Mutasi Neraca'!$A$3:$S$910,3,FALSE))</f>
        <v>1016750</v>
      </c>
      <c r="E88" s="42">
        <f>VLOOKUP($A88,'Neraca Unaudited SIMAK'!$A$2:$R$1272,4,FALSE)+IF(ISNA(VLOOKUP($A88,'Mutasi Neraca'!$A$3:$S$910,4,FALSE)),0,VLOOKUP($A88,'Mutasi Neraca'!$A$3:$S$910,4,FALSE))</f>
        <v>2717414000</v>
      </c>
      <c r="F88" s="42">
        <f>VLOOKUP($A88,'Neraca Unaudited SIMAK'!$A$2:$R$1272,5,FALSE)+IF(ISNA(VLOOKUP($A88,'Mutasi Neraca'!$A$3:$S$910,5,FALSE)),0,VLOOKUP($A88,'Mutasi Neraca'!$A$3:$S$910,5,FALSE))</f>
        <v>1650660365</v>
      </c>
      <c r="G88" s="42">
        <f>VLOOKUP($A88,'Neraca Unaudited SIMAK'!$A$2:$R$1272,6,FALSE)+IF(ISNA(VLOOKUP($A88,'Mutasi Neraca'!$A$3:$S$910,6,FALSE)),0,VLOOKUP($A88,'Mutasi Neraca'!$A$3:$S$910,6,FALSE))</f>
        <v>5861989750</v>
      </c>
      <c r="H88" s="42">
        <f>VLOOKUP($A88,'Neraca Unaudited SIMAK'!$A$2:$R$1272,7,FALSE)+IF(ISNA(VLOOKUP($A88,'Mutasi Neraca'!$A$3:$S$910,7,FALSE)),0,VLOOKUP($A88,'Mutasi Neraca'!$A$3:$S$910,7,FALSE))</f>
        <v>0</v>
      </c>
      <c r="I88" s="42">
        <f>VLOOKUP($A88,'Neraca Unaudited SIMAK'!$A$2:$R$1272,8,FALSE)+IF(ISNA(VLOOKUP($A88,'Mutasi Neraca'!$A$3:$S$910,8,FALSE)),0,VLOOKUP($A88,'Mutasi Neraca'!$A$3:$S$910,8,FALSE))</f>
        <v>277123742</v>
      </c>
      <c r="J88" s="42">
        <f>VLOOKUP($A88,'Neraca Unaudited SIMAK'!$A$2:$R$1272,9,FALSE)+IF(ISNA(VLOOKUP($A88,'Mutasi Neraca'!$A$3:$S$910,9,FALSE)),0,VLOOKUP($A88,'Mutasi Neraca'!$A$3:$S$910,9,FALSE))</f>
        <v>0</v>
      </c>
      <c r="K88" s="42">
        <f>VLOOKUP($A88,'Neraca Unaudited SIMAK'!$A$2:$R$1272,10,FALSE)+IF(ISNA(VLOOKUP($A88,'Mutasi Neraca'!$A$3:$S$910,10,FALSE)),0,VLOOKUP($A88,'Mutasi Neraca'!$A$3:$S$910,10,FALSE))</f>
        <v>0</v>
      </c>
      <c r="L88" s="42">
        <f>VLOOKUP($A88,'Neraca Unaudited SIMAK'!$A$2:$R$1272,11,FALSE)+IF(ISNA(VLOOKUP($A88,'Mutasi Neraca'!$A$3:$S$910,11,FALSE)),0,VLOOKUP($A88,'Mutasi Neraca'!$A$3:$S$910,11,FALSE))</f>
        <v>0</v>
      </c>
      <c r="M88" s="42">
        <f>VLOOKUP($A88,'Neraca Unaudited SIMAK'!$A$2:$R$1272,12,FALSE)+IF(ISNA(VLOOKUP($A88,'Mutasi Neraca'!$A$3:$S$910,12,FALSE)),0,VLOOKUP($A88,'Mutasi Neraca'!$A$3:$S$910,12,FALSE))</f>
        <v>10508204607</v>
      </c>
      <c r="N88" s="42">
        <f>VLOOKUP($A88,'Neraca Unaudited SIMAK'!$A$2:$R$1272,13,FALSE)+IF(ISNA(VLOOKUP($A88,'Mutasi Neraca'!$A$3:$S$910,13,FALSE)),0,VLOOKUP($A88,'Mutasi Neraca'!$A$3:$S$910,13,FALSE))</f>
        <v>-1515156206</v>
      </c>
      <c r="O88" s="42">
        <f>VLOOKUP($A88,'Neraca Unaudited SIMAK'!$A$2:$R$1272,14,FALSE)+IF(ISNA(VLOOKUP($A88,'Mutasi Neraca'!$A$3:$S$910,14,FALSE)),0,VLOOKUP($A88,'Mutasi Neraca'!$A$3:$S$910,14,FALSE))</f>
        <v>-712922601</v>
      </c>
      <c r="P88" s="42">
        <f>VLOOKUP($A88,'Neraca Unaudited SIMAK'!$A$2:$R$1272,15,FALSE)+IF(ISNA(VLOOKUP($A88,'Mutasi Neraca'!$A$3:$S$910,15,FALSE)),0,VLOOKUP($A88,'Mutasi Neraca'!$A$3:$S$910,15,FALSE))</f>
        <v>0</v>
      </c>
      <c r="Q88" s="42">
        <f>VLOOKUP($A88,'Neraca Unaudited SIMAK'!$A$2:$R$1272,16,FALSE)+IF(ISNA(VLOOKUP($A88,'Mutasi Neraca'!$A$3:$S$910,16,FALSE)),0,VLOOKUP($A88,'Mutasi Neraca'!$A$3:$S$910,16,FALSE))</f>
        <v>0</v>
      </c>
      <c r="R88" s="42">
        <f>VLOOKUP($A88,'Neraca Unaudited SIMAK'!$A$2:$R$1272,17,FALSE)+IF(ISNA(VLOOKUP($A88,'Mutasi Neraca'!$A$3:$S$910,17,FALSE)),0,VLOOKUP($A88,'Mutasi Neraca'!$A$3:$S$910,17,FALSE))</f>
        <v>0</v>
      </c>
      <c r="S88" s="42">
        <f t="shared" si="45"/>
        <v>8280125800</v>
      </c>
    </row>
    <row r="89" spans="1:19">
      <c r="A89" s="41" t="s">
        <v>96</v>
      </c>
      <c r="B89" s="41" t="str">
        <f t="shared" si="44"/>
        <v>005010300</v>
      </c>
      <c r="D89" s="42">
        <f>VLOOKUP($A89,'Neraca Unaudited SIMAK'!$A$2:$R$1272,3,FALSE)+IF(ISNA(VLOOKUP($A89,'Mutasi Neraca'!$A$3:$S$910,3,FALSE)),0,VLOOKUP($A89,'Mutasi Neraca'!$A$3:$S$910,3,FALSE))</f>
        <v>3768580</v>
      </c>
      <c r="E89" s="42">
        <f>VLOOKUP($A89,'Neraca Unaudited SIMAK'!$A$2:$R$1272,4,FALSE)+IF(ISNA(VLOOKUP($A89,'Mutasi Neraca'!$A$3:$S$910,4,FALSE)),0,VLOOKUP($A89,'Mutasi Neraca'!$A$3:$S$910,4,FALSE))</f>
        <v>2898600000</v>
      </c>
      <c r="F89" s="42">
        <f>VLOOKUP($A89,'Neraca Unaudited SIMAK'!$A$2:$R$1272,5,FALSE)+IF(ISNA(VLOOKUP($A89,'Mutasi Neraca'!$A$3:$S$910,5,FALSE)),0,VLOOKUP($A89,'Mutasi Neraca'!$A$3:$S$910,5,FALSE))</f>
        <v>1664332929</v>
      </c>
      <c r="G89" s="42">
        <f>VLOOKUP($A89,'Neraca Unaudited SIMAK'!$A$2:$R$1272,6,FALSE)+IF(ISNA(VLOOKUP($A89,'Mutasi Neraca'!$A$3:$S$910,6,FALSE)),0,VLOOKUP($A89,'Mutasi Neraca'!$A$3:$S$910,6,FALSE))</f>
        <v>3705792000</v>
      </c>
      <c r="H89" s="42">
        <f>VLOOKUP($A89,'Neraca Unaudited SIMAK'!$A$2:$R$1272,7,FALSE)+IF(ISNA(VLOOKUP($A89,'Mutasi Neraca'!$A$3:$S$910,7,FALSE)),0,VLOOKUP($A89,'Mutasi Neraca'!$A$3:$S$910,7,FALSE))</f>
        <v>122590000</v>
      </c>
      <c r="I89" s="42">
        <f>VLOOKUP($A89,'Neraca Unaudited SIMAK'!$A$2:$R$1272,8,FALSE)+IF(ISNA(VLOOKUP($A89,'Mutasi Neraca'!$A$3:$S$910,8,FALSE)),0,VLOOKUP($A89,'Mutasi Neraca'!$A$3:$S$910,8,FALSE))</f>
        <v>45955340</v>
      </c>
      <c r="J89" s="42">
        <f>VLOOKUP($A89,'Neraca Unaudited SIMAK'!$A$2:$R$1272,9,FALSE)+IF(ISNA(VLOOKUP($A89,'Mutasi Neraca'!$A$3:$S$910,9,FALSE)),0,VLOOKUP($A89,'Mutasi Neraca'!$A$3:$S$910,9,FALSE))</f>
        <v>0</v>
      </c>
      <c r="K89" s="42">
        <f>VLOOKUP($A89,'Neraca Unaudited SIMAK'!$A$2:$R$1272,10,FALSE)+IF(ISNA(VLOOKUP($A89,'Mutasi Neraca'!$A$3:$S$910,10,FALSE)),0,VLOOKUP($A89,'Mutasi Neraca'!$A$3:$S$910,10,FALSE))</f>
        <v>0</v>
      </c>
      <c r="L89" s="42">
        <f>VLOOKUP($A89,'Neraca Unaudited SIMAK'!$A$2:$R$1272,11,FALSE)+IF(ISNA(VLOOKUP($A89,'Mutasi Neraca'!$A$3:$S$910,11,FALSE)),0,VLOOKUP($A89,'Mutasi Neraca'!$A$3:$S$910,11,FALSE))</f>
        <v>20800258</v>
      </c>
      <c r="M89" s="42">
        <f>VLOOKUP($A89,'Neraca Unaudited SIMAK'!$A$2:$R$1272,12,FALSE)+IF(ISNA(VLOOKUP($A89,'Mutasi Neraca'!$A$3:$S$910,12,FALSE)),0,VLOOKUP($A89,'Mutasi Neraca'!$A$3:$S$910,12,FALSE))</f>
        <v>8461839107</v>
      </c>
      <c r="N89" s="42">
        <f>VLOOKUP($A89,'Neraca Unaudited SIMAK'!$A$2:$R$1272,13,FALSE)+IF(ISNA(VLOOKUP($A89,'Mutasi Neraca'!$A$3:$S$910,13,FALSE)),0,VLOOKUP($A89,'Mutasi Neraca'!$A$3:$S$910,13,FALSE))</f>
        <v>-1257732829</v>
      </c>
      <c r="O89" s="42">
        <f>VLOOKUP($A89,'Neraca Unaudited SIMAK'!$A$2:$R$1272,14,FALSE)+IF(ISNA(VLOOKUP($A89,'Mutasi Neraca'!$A$3:$S$910,14,FALSE)),0,VLOOKUP($A89,'Mutasi Neraca'!$A$3:$S$910,14,FALSE))</f>
        <v>-853331267</v>
      </c>
      <c r="P89" s="42">
        <f>VLOOKUP($A89,'Neraca Unaudited SIMAK'!$A$2:$R$1272,15,FALSE)+IF(ISNA(VLOOKUP($A89,'Mutasi Neraca'!$A$3:$S$910,15,FALSE)),0,VLOOKUP($A89,'Mutasi Neraca'!$A$3:$S$910,15,FALSE))</f>
        <v>-77655668</v>
      </c>
      <c r="Q89" s="42">
        <f>VLOOKUP($A89,'Neraca Unaudited SIMAK'!$A$2:$R$1272,16,FALSE)+IF(ISNA(VLOOKUP($A89,'Mutasi Neraca'!$A$3:$S$910,16,FALSE)),0,VLOOKUP($A89,'Mutasi Neraca'!$A$3:$S$910,16,FALSE))</f>
        <v>0</v>
      </c>
      <c r="R89" s="42">
        <f>VLOOKUP($A89,'Neraca Unaudited SIMAK'!$A$2:$R$1272,17,FALSE)+IF(ISNA(VLOOKUP($A89,'Mutasi Neraca'!$A$3:$S$910,17,FALSE)),0,VLOOKUP($A89,'Mutasi Neraca'!$A$3:$S$910,17,FALSE))</f>
        <v>-20800258</v>
      </c>
      <c r="S89" s="42">
        <f t="shared" si="45"/>
        <v>6252319085</v>
      </c>
    </row>
    <row r="90" spans="1:19">
      <c r="A90" s="41" t="s">
        <v>97</v>
      </c>
      <c r="B90" s="41" t="str">
        <f t="shared" si="44"/>
        <v>005010300</v>
      </c>
      <c r="D90" s="42">
        <f>VLOOKUP($A90,'Neraca Unaudited SIMAK'!$A$2:$R$1272,3,FALSE)+IF(ISNA(VLOOKUP($A90,'Mutasi Neraca'!$A$3:$S$910,3,FALSE)),0,VLOOKUP($A90,'Mutasi Neraca'!$A$3:$S$910,3,FALSE))</f>
        <v>977550</v>
      </c>
      <c r="E90" s="42">
        <f>VLOOKUP($A90,'Neraca Unaudited SIMAK'!$A$2:$R$1272,4,FALSE)+IF(ISNA(VLOOKUP($A90,'Mutasi Neraca'!$A$3:$S$910,4,FALSE)),0,VLOOKUP($A90,'Mutasi Neraca'!$A$3:$S$910,4,FALSE))</f>
        <v>5863415000</v>
      </c>
      <c r="F90" s="42">
        <f>VLOOKUP($A90,'Neraca Unaudited SIMAK'!$A$2:$R$1272,5,FALSE)+IF(ISNA(VLOOKUP($A90,'Mutasi Neraca'!$A$3:$S$910,5,FALSE)),0,VLOOKUP($A90,'Mutasi Neraca'!$A$3:$S$910,5,FALSE))</f>
        <v>1848425959</v>
      </c>
      <c r="G90" s="42">
        <f>VLOOKUP($A90,'Neraca Unaudited SIMAK'!$A$2:$R$1272,6,FALSE)+IF(ISNA(VLOOKUP($A90,'Mutasi Neraca'!$A$3:$S$910,6,FALSE)),0,VLOOKUP($A90,'Mutasi Neraca'!$A$3:$S$910,6,FALSE))</f>
        <v>3787051850</v>
      </c>
      <c r="H90" s="42">
        <f>VLOOKUP($A90,'Neraca Unaudited SIMAK'!$A$2:$R$1272,7,FALSE)+IF(ISNA(VLOOKUP($A90,'Mutasi Neraca'!$A$3:$S$910,7,FALSE)),0,VLOOKUP($A90,'Mutasi Neraca'!$A$3:$S$910,7,FALSE))</f>
        <v>0</v>
      </c>
      <c r="I90" s="42">
        <f>VLOOKUP($A90,'Neraca Unaudited SIMAK'!$A$2:$R$1272,8,FALSE)+IF(ISNA(VLOOKUP($A90,'Mutasi Neraca'!$A$3:$S$910,8,FALSE)),0,VLOOKUP($A90,'Mutasi Neraca'!$A$3:$S$910,8,FALSE))</f>
        <v>9434740</v>
      </c>
      <c r="J90" s="42">
        <f>VLOOKUP($A90,'Neraca Unaudited SIMAK'!$A$2:$R$1272,9,FALSE)+IF(ISNA(VLOOKUP($A90,'Mutasi Neraca'!$A$3:$S$910,9,FALSE)),0,VLOOKUP($A90,'Mutasi Neraca'!$A$3:$S$910,9,FALSE))</f>
        <v>0</v>
      </c>
      <c r="K90" s="42">
        <f>VLOOKUP($A90,'Neraca Unaudited SIMAK'!$A$2:$R$1272,10,FALSE)+IF(ISNA(VLOOKUP($A90,'Mutasi Neraca'!$A$3:$S$910,10,FALSE)),0,VLOOKUP($A90,'Mutasi Neraca'!$A$3:$S$910,10,FALSE))</f>
        <v>0</v>
      </c>
      <c r="L90" s="42">
        <f>VLOOKUP($A90,'Neraca Unaudited SIMAK'!$A$2:$R$1272,11,FALSE)+IF(ISNA(VLOOKUP($A90,'Mutasi Neraca'!$A$3:$S$910,11,FALSE)),0,VLOOKUP($A90,'Mutasi Neraca'!$A$3:$S$910,11,FALSE))</f>
        <v>76977783</v>
      </c>
      <c r="M90" s="42">
        <f>VLOOKUP($A90,'Neraca Unaudited SIMAK'!$A$2:$R$1272,12,FALSE)+IF(ISNA(VLOOKUP($A90,'Mutasi Neraca'!$A$3:$S$910,12,FALSE)),0,VLOOKUP($A90,'Mutasi Neraca'!$A$3:$S$910,12,FALSE))</f>
        <v>11586282882</v>
      </c>
      <c r="N90" s="42">
        <f>VLOOKUP($A90,'Neraca Unaudited SIMAK'!$A$2:$R$1272,13,FALSE)+IF(ISNA(VLOOKUP($A90,'Mutasi Neraca'!$A$3:$S$910,13,FALSE)),0,VLOOKUP($A90,'Mutasi Neraca'!$A$3:$S$910,13,FALSE))</f>
        <v>-1423789949</v>
      </c>
      <c r="O90" s="42">
        <f>VLOOKUP($A90,'Neraca Unaudited SIMAK'!$A$2:$R$1272,14,FALSE)+IF(ISNA(VLOOKUP($A90,'Mutasi Neraca'!$A$3:$S$910,14,FALSE)),0,VLOOKUP($A90,'Mutasi Neraca'!$A$3:$S$910,14,FALSE))</f>
        <v>-661152809</v>
      </c>
      <c r="P90" s="42">
        <f>VLOOKUP($A90,'Neraca Unaudited SIMAK'!$A$2:$R$1272,15,FALSE)+IF(ISNA(VLOOKUP($A90,'Mutasi Neraca'!$A$3:$S$910,15,FALSE)),0,VLOOKUP($A90,'Mutasi Neraca'!$A$3:$S$910,15,FALSE))</f>
        <v>0</v>
      </c>
      <c r="Q90" s="42">
        <f>VLOOKUP($A90,'Neraca Unaudited SIMAK'!$A$2:$R$1272,16,FALSE)+IF(ISNA(VLOOKUP($A90,'Mutasi Neraca'!$A$3:$S$910,16,FALSE)),0,VLOOKUP($A90,'Mutasi Neraca'!$A$3:$S$910,16,FALSE))</f>
        <v>0</v>
      </c>
      <c r="R90" s="42">
        <f>VLOOKUP($A90,'Neraca Unaudited SIMAK'!$A$2:$R$1272,17,FALSE)+IF(ISNA(VLOOKUP($A90,'Mutasi Neraca'!$A$3:$S$910,17,FALSE)),0,VLOOKUP($A90,'Mutasi Neraca'!$A$3:$S$910,17,FALSE))</f>
        <v>-75170283</v>
      </c>
      <c r="S90" s="42">
        <f t="shared" si="45"/>
        <v>9426169841</v>
      </c>
    </row>
    <row r="91" spans="1:19">
      <c r="A91" s="41" t="s">
        <v>98</v>
      </c>
      <c r="B91" s="41" t="str">
        <f t="shared" si="44"/>
        <v>005010300</v>
      </c>
      <c r="D91" s="42">
        <f>VLOOKUP($A91,'Neraca Unaudited SIMAK'!$A$2:$R$1272,3,FALSE)+IF(ISNA(VLOOKUP($A91,'Mutasi Neraca'!$A$3:$S$910,3,FALSE)),0,VLOOKUP($A91,'Mutasi Neraca'!$A$3:$S$910,3,FALSE))</f>
        <v>1440200</v>
      </c>
      <c r="E91" s="42">
        <f>VLOOKUP($A91,'Neraca Unaudited SIMAK'!$A$2:$R$1272,4,FALSE)+IF(ISNA(VLOOKUP($A91,'Mutasi Neraca'!$A$3:$S$910,4,FALSE)),0,VLOOKUP($A91,'Mutasi Neraca'!$A$3:$S$910,4,FALSE))</f>
        <v>53154936000</v>
      </c>
      <c r="F91" s="42">
        <f>VLOOKUP($A91,'Neraca Unaudited SIMAK'!$A$2:$R$1272,5,FALSE)+IF(ISNA(VLOOKUP($A91,'Mutasi Neraca'!$A$3:$S$910,5,FALSE)),0,VLOOKUP($A91,'Mutasi Neraca'!$A$3:$S$910,5,FALSE))</f>
        <v>2533577382</v>
      </c>
      <c r="G91" s="42">
        <f>VLOOKUP($A91,'Neraca Unaudited SIMAK'!$A$2:$R$1272,6,FALSE)+IF(ISNA(VLOOKUP($A91,'Mutasi Neraca'!$A$3:$S$910,6,FALSE)),0,VLOOKUP($A91,'Mutasi Neraca'!$A$3:$S$910,6,FALSE))</f>
        <v>5394334400</v>
      </c>
      <c r="H91" s="42">
        <f>VLOOKUP($A91,'Neraca Unaudited SIMAK'!$A$2:$R$1272,7,FALSE)+IF(ISNA(VLOOKUP($A91,'Mutasi Neraca'!$A$3:$S$910,7,FALSE)),0,VLOOKUP($A91,'Mutasi Neraca'!$A$3:$S$910,7,FALSE))</f>
        <v>227903250</v>
      </c>
      <c r="I91" s="42">
        <f>VLOOKUP($A91,'Neraca Unaudited SIMAK'!$A$2:$R$1272,8,FALSE)+IF(ISNA(VLOOKUP($A91,'Mutasi Neraca'!$A$3:$S$910,8,FALSE)),0,VLOOKUP($A91,'Mutasi Neraca'!$A$3:$S$910,8,FALSE))</f>
        <v>9343742</v>
      </c>
      <c r="J91" s="42">
        <f>VLOOKUP($A91,'Neraca Unaudited SIMAK'!$A$2:$R$1272,9,FALSE)+IF(ISNA(VLOOKUP($A91,'Mutasi Neraca'!$A$3:$S$910,9,FALSE)),0,VLOOKUP($A91,'Mutasi Neraca'!$A$3:$S$910,9,FALSE))</f>
        <v>0</v>
      </c>
      <c r="K91" s="42">
        <f>VLOOKUP($A91,'Neraca Unaudited SIMAK'!$A$2:$R$1272,10,FALSE)+IF(ISNA(VLOOKUP($A91,'Mutasi Neraca'!$A$3:$S$910,10,FALSE)),0,VLOOKUP($A91,'Mutasi Neraca'!$A$3:$S$910,10,FALSE))</f>
        <v>0</v>
      </c>
      <c r="L91" s="42">
        <f>VLOOKUP($A91,'Neraca Unaudited SIMAK'!$A$2:$R$1272,11,FALSE)+IF(ISNA(VLOOKUP($A91,'Mutasi Neraca'!$A$3:$S$910,11,FALSE)),0,VLOOKUP($A91,'Mutasi Neraca'!$A$3:$S$910,11,FALSE))</f>
        <v>132265000</v>
      </c>
      <c r="M91" s="42">
        <f>VLOOKUP($A91,'Neraca Unaudited SIMAK'!$A$2:$R$1272,12,FALSE)+IF(ISNA(VLOOKUP($A91,'Mutasi Neraca'!$A$3:$S$910,12,FALSE)),0,VLOOKUP($A91,'Mutasi Neraca'!$A$3:$S$910,12,FALSE))</f>
        <v>61453799974</v>
      </c>
      <c r="N91" s="42">
        <f>VLOOKUP($A91,'Neraca Unaudited SIMAK'!$A$2:$R$1272,13,FALSE)+IF(ISNA(VLOOKUP($A91,'Mutasi Neraca'!$A$3:$S$910,13,FALSE)),0,VLOOKUP($A91,'Mutasi Neraca'!$A$3:$S$910,13,FALSE))</f>
        <v>-2257823342</v>
      </c>
      <c r="O91" s="42">
        <f>VLOOKUP($A91,'Neraca Unaudited SIMAK'!$A$2:$R$1272,14,FALSE)+IF(ISNA(VLOOKUP($A91,'Mutasi Neraca'!$A$3:$S$910,14,FALSE)),0,VLOOKUP($A91,'Mutasi Neraca'!$A$3:$S$910,14,FALSE))</f>
        <v>-898247239</v>
      </c>
      <c r="P91" s="42">
        <f>VLOOKUP($A91,'Neraca Unaudited SIMAK'!$A$2:$R$1272,15,FALSE)+IF(ISNA(VLOOKUP($A91,'Mutasi Neraca'!$A$3:$S$910,15,FALSE)),0,VLOOKUP($A91,'Mutasi Neraca'!$A$3:$S$910,15,FALSE))</f>
        <v>-64009479</v>
      </c>
      <c r="Q91" s="42">
        <f>VLOOKUP($A91,'Neraca Unaudited SIMAK'!$A$2:$R$1272,16,FALSE)+IF(ISNA(VLOOKUP($A91,'Mutasi Neraca'!$A$3:$S$910,16,FALSE)),0,VLOOKUP($A91,'Mutasi Neraca'!$A$3:$S$910,16,FALSE))</f>
        <v>0</v>
      </c>
      <c r="R91" s="42">
        <f>VLOOKUP($A91,'Neraca Unaudited SIMAK'!$A$2:$R$1272,17,FALSE)+IF(ISNA(VLOOKUP($A91,'Mutasi Neraca'!$A$3:$S$910,17,FALSE)),0,VLOOKUP($A91,'Mutasi Neraca'!$A$3:$S$910,17,FALSE))</f>
        <v>-35318022</v>
      </c>
      <c r="S91" s="42">
        <f t="shared" si="45"/>
        <v>58198401892</v>
      </c>
    </row>
    <row r="92" spans="1:19">
      <c r="A92" s="41" t="s">
        <v>99</v>
      </c>
      <c r="B92" s="41" t="str">
        <f t="shared" si="44"/>
        <v>005010300</v>
      </c>
      <c r="D92" s="42">
        <f>VLOOKUP($A92,'Neraca Unaudited SIMAK'!$A$2:$R$1272,3,FALSE)+IF(ISNA(VLOOKUP($A92,'Mutasi Neraca'!$A$3:$S$910,3,FALSE)),0,VLOOKUP($A92,'Mutasi Neraca'!$A$3:$S$910,3,FALSE))</f>
        <v>2393000</v>
      </c>
      <c r="E92" s="42">
        <f>VLOOKUP($A92,'Neraca Unaudited SIMAK'!$A$2:$R$1272,4,FALSE)+IF(ISNA(VLOOKUP($A92,'Mutasi Neraca'!$A$3:$S$910,4,FALSE)),0,VLOOKUP($A92,'Mutasi Neraca'!$A$3:$S$910,4,FALSE))</f>
        <v>10640810000</v>
      </c>
      <c r="F92" s="42">
        <f>VLOOKUP($A92,'Neraca Unaudited SIMAK'!$A$2:$R$1272,5,FALSE)+IF(ISNA(VLOOKUP($A92,'Mutasi Neraca'!$A$3:$S$910,5,FALSE)),0,VLOOKUP($A92,'Mutasi Neraca'!$A$3:$S$910,5,FALSE))</f>
        <v>1770060848</v>
      </c>
      <c r="G92" s="42">
        <f>VLOOKUP($A92,'Neraca Unaudited SIMAK'!$A$2:$R$1272,6,FALSE)+IF(ISNA(VLOOKUP($A92,'Mutasi Neraca'!$A$3:$S$910,6,FALSE)),0,VLOOKUP($A92,'Mutasi Neraca'!$A$3:$S$910,6,FALSE))</f>
        <v>6810647000</v>
      </c>
      <c r="H92" s="42">
        <f>VLOOKUP($A92,'Neraca Unaudited SIMAK'!$A$2:$R$1272,7,FALSE)+IF(ISNA(VLOOKUP($A92,'Mutasi Neraca'!$A$3:$S$910,7,FALSE)),0,VLOOKUP($A92,'Mutasi Neraca'!$A$3:$S$910,7,FALSE))</f>
        <v>0</v>
      </c>
      <c r="I92" s="42">
        <f>VLOOKUP($A92,'Neraca Unaudited SIMAK'!$A$2:$R$1272,8,FALSE)+IF(ISNA(VLOOKUP($A92,'Mutasi Neraca'!$A$3:$S$910,8,FALSE)),0,VLOOKUP($A92,'Mutasi Neraca'!$A$3:$S$910,8,FALSE))</f>
        <v>10287362</v>
      </c>
      <c r="J92" s="42">
        <f>VLOOKUP($A92,'Neraca Unaudited SIMAK'!$A$2:$R$1272,9,FALSE)+IF(ISNA(VLOOKUP($A92,'Mutasi Neraca'!$A$3:$S$910,9,FALSE)),0,VLOOKUP($A92,'Mutasi Neraca'!$A$3:$S$910,9,FALSE))</f>
        <v>0</v>
      </c>
      <c r="K92" s="42">
        <f>VLOOKUP($A92,'Neraca Unaudited SIMAK'!$A$2:$R$1272,10,FALSE)+IF(ISNA(VLOOKUP($A92,'Mutasi Neraca'!$A$3:$S$910,10,FALSE)),0,VLOOKUP($A92,'Mutasi Neraca'!$A$3:$S$910,10,FALSE))</f>
        <v>4000000</v>
      </c>
      <c r="L92" s="42">
        <f>VLOOKUP($A92,'Neraca Unaudited SIMAK'!$A$2:$R$1272,11,FALSE)+IF(ISNA(VLOOKUP($A92,'Mutasi Neraca'!$A$3:$S$910,11,FALSE)),0,VLOOKUP($A92,'Mutasi Neraca'!$A$3:$S$910,11,FALSE))</f>
        <v>41266000</v>
      </c>
      <c r="M92" s="42">
        <f>VLOOKUP($A92,'Neraca Unaudited SIMAK'!$A$2:$R$1272,12,FALSE)+IF(ISNA(VLOOKUP($A92,'Mutasi Neraca'!$A$3:$S$910,12,FALSE)),0,VLOOKUP($A92,'Mutasi Neraca'!$A$3:$S$910,12,FALSE))</f>
        <v>19279464210</v>
      </c>
      <c r="N92" s="42">
        <f>VLOOKUP($A92,'Neraca Unaudited SIMAK'!$A$2:$R$1272,13,FALSE)+IF(ISNA(VLOOKUP($A92,'Mutasi Neraca'!$A$3:$S$910,13,FALSE)),0,VLOOKUP($A92,'Mutasi Neraca'!$A$3:$S$910,13,FALSE))</f>
        <v>-1571504285</v>
      </c>
      <c r="O92" s="42">
        <f>VLOOKUP($A92,'Neraca Unaudited SIMAK'!$A$2:$R$1272,14,FALSE)+IF(ISNA(VLOOKUP($A92,'Mutasi Neraca'!$A$3:$S$910,14,FALSE)),0,VLOOKUP($A92,'Mutasi Neraca'!$A$3:$S$910,14,FALSE))</f>
        <v>-1510855304</v>
      </c>
      <c r="P92" s="42">
        <f>VLOOKUP($A92,'Neraca Unaudited SIMAK'!$A$2:$R$1272,15,FALSE)+IF(ISNA(VLOOKUP($A92,'Mutasi Neraca'!$A$3:$S$910,15,FALSE)),0,VLOOKUP($A92,'Mutasi Neraca'!$A$3:$S$910,15,FALSE))</f>
        <v>0</v>
      </c>
      <c r="Q92" s="42">
        <f>VLOOKUP($A92,'Neraca Unaudited SIMAK'!$A$2:$R$1272,16,FALSE)+IF(ISNA(VLOOKUP($A92,'Mutasi Neraca'!$A$3:$S$910,16,FALSE)),0,VLOOKUP($A92,'Mutasi Neraca'!$A$3:$S$910,16,FALSE))</f>
        <v>0</v>
      </c>
      <c r="R92" s="42">
        <f>VLOOKUP($A92,'Neraca Unaudited SIMAK'!$A$2:$R$1272,17,FALSE)+IF(ISNA(VLOOKUP($A92,'Mutasi Neraca'!$A$3:$S$910,17,FALSE)),0,VLOOKUP($A92,'Mutasi Neraca'!$A$3:$S$910,17,FALSE))</f>
        <v>-40968500</v>
      </c>
      <c r="S92" s="42">
        <f t="shared" si="45"/>
        <v>16156136121</v>
      </c>
    </row>
    <row r="93" spans="1:19">
      <c r="A93" s="41" t="s">
        <v>100</v>
      </c>
      <c r="B93" s="41" t="str">
        <f t="shared" si="44"/>
        <v>005010300</v>
      </c>
      <c r="D93" s="42">
        <f>VLOOKUP($A93,'Neraca Unaudited SIMAK'!$A$2:$R$1272,3,FALSE)+IF(ISNA(VLOOKUP($A93,'Mutasi Neraca'!$A$3:$S$910,3,FALSE)),0,VLOOKUP($A93,'Mutasi Neraca'!$A$3:$S$910,3,FALSE))</f>
        <v>3093530</v>
      </c>
      <c r="E93" s="42">
        <f>VLOOKUP($A93,'Neraca Unaudited SIMAK'!$A$2:$R$1272,4,FALSE)+IF(ISNA(VLOOKUP($A93,'Mutasi Neraca'!$A$3:$S$910,4,FALSE)),0,VLOOKUP($A93,'Mutasi Neraca'!$A$3:$S$910,4,FALSE))</f>
        <v>6648813000</v>
      </c>
      <c r="F93" s="42">
        <f>VLOOKUP($A93,'Neraca Unaudited SIMAK'!$A$2:$R$1272,5,FALSE)+IF(ISNA(VLOOKUP($A93,'Mutasi Neraca'!$A$3:$S$910,5,FALSE)),0,VLOOKUP($A93,'Mutasi Neraca'!$A$3:$S$910,5,FALSE))</f>
        <v>1657740231</v>
      </c>
      <c r="G93" s="42">
        <f>VLOOKUP($A93,'Neraca Unaudited SIMAK'!$A$2:$R$1272,6,FALSE)+IF(ISNA(VLOOKUP($A93,'Mutasi Neraca'!$A$3:$S$910,6,FALSE)),0,VLOOKUP($A93,'Mutasi Neraca'!$A$3:$S$910,6,FALSE))</f>
        <v>5441549131</v>
      </c>
      <c r="H93" s="42">
        <f>VLOOKUP($A93,'Neraca Unaudited SIMAK'!$A$2:$R$1272,7,FALSE)+IF(ISNA(VLOOKUP($A93,'Mutasi Neraca'!$A$3:$S$910,7,FALSE)),0,VLOOKUP($A93,'Mutasi Neraca'!$A$3:$S$910,7,FALSE))</f>
        <v>59850000</v>
      </c>
      <c r="I93" s="42">
        <f>VLOOKUP($A93,'Neraca Unaudited SIMAK'!$A$2:$R$1272,8,FALSE)+IF(ISNA(VLOOKUP($A93,'Mutasi Neraca'!$A$3:$S$910,8,FALSE)),0,VLOOKUP($A93,'Mutasi Neraca'!$A$3:$S$910,8,FALSE))</f>
        <v>203713740</v>
      </c>
      <c r="J93" s="42">
        <f>VLOOKUP($A93,'Neraca Unaudited SIMAK'!$A$2:$R$1272,9,FALSE)+IF(ISNA(VLOOKUP($A93,'Mutasi Neraca'!$A$3:$S$910,9,FALSE)),0,VLOOKUP($A93,'Mutasi Neraca'!$A$3:$S$910,9,FALSE))</f>
        <v>0</v>
      </c>
      <c r="K93" s="42">
        <f>VLOOKUP($A93,'Neraca Unaudited SIMAK'!$A$2:$R$1272,10,FALSE)+IF(ISNA(VLOOKUP($A93,'Mutasi Neraca'!$A$3:$S$910,10,FALSE)),0,VLOOKUP($A93,'Mutasi Neraca'!$A$3:$S$910,10,FALSE))</f>
        <v>0</v>
      </c>
      <c r="L93" s="42">
        <f>VLOOKUP($A93,'Neraca Unaudited SIMAK'!$A$2:$R$1272,11,FALSE)+IF(ISNA(VLOOKUP($A93,'Mutasi Neraca'!$A$3:$S$910,11,FALSE)),0,VLOOKUP($A93,'Mutasi Neraca'!$A$3:$S$910,11,FALSE))</f>
        <v>0</v>
      </c>
      <c r="M93" s="42">
        <f>VLOOKUP($A93,'Neraca Unaudited SIMAK'!$A$2:$R$1272,12,FALSE)+IF(ISNA(VLOOKUP($A93,'Mutasi Neraca'!$A$3:$S$910,12,FALSE)),0,VLOOKUP($A93,'Mutasi Neraca'!$A$3:$S$910,12,FALSE))</f>
        <v>14014759632</v>
      </c>
      <c r="N93" s="42">
        <f>VLOOKUP($A93,'Neraca Unaudited SIMAK'!$A$2:$R$1272,13,FALSE)+IF(ISNA(VLOOKUP($A93,'Mutasi Neraca'!$A$3:$S$910,13,FALSE)),0,VLOOKUP($A93,'Mutasi Neraca'!$A$3:$S$910,13,FALSE))</f>
        <v>-1257706988</v>
      </c>
      <c r="O93" s="42">
        <f>VLOOKUP($A93,'Neraca Unaudited SIMAK'!$A$2:$R$1272,14,FALSE)+IF(ISNA(VLOOKUP($A93,'Mutasi Neraca'!$A$3:$S$910,14,FALSE)),0,VLOOKUP($A93,'Mutasi Neraca'!$A$3:$S$910,14,FALSE))</f>
        <v>-1307189719</v>
      </c>
      <c r="P93" s="42">
        <f>VLOOKUP($A93,'Neraca Unaudited SIMAK'!$A$2:$R$1272,15,FALSE)+IF(ISNA(VLOOKUP($A93,'Mutasi Neraca'!$A$3:$S$910,15,FALSE)),0,VLOOKUP($A93,'Mutasi Neraca'!$A$3:$S$910,15,FALSE))</f>
        <v>-748125</v>
      </c>
      <c r="Q93" s="42">
        <f>VLOOKUP($A93,'Neraca Unaudited SIMAK'!$A$2:$R$1272,16,FALSE)+IF(ISNA(VLOOKUP($A93,'Mutasi Neraca'!$A$3:$S$910,16,FALSE)),0,VLOOKUP($A93,'Mutasi Neraca'!$A$3:$S$910,16,FALSE))</f>
        <v>0</v>
      </c>
      <c r="R93" s="42">
        <f>VLOOKUP($A93,'Neraca Unaudited SIMAK'!$A$2:$R$1272,17,FALSE)+IF(ISNA(VLOOKUP($A93,'Mutasi Neraca'!$A$3:$S$910,17,FALSE)),0,VLOOKUP($A93,'Mutasi Neraca'!$A$3:$S$910,17,FALSE))</f>
        <v>0</v>
      </c>
      <c r="S93" s="42">
        <f t="shared" si="45"/>
        <v>11449114800</v>
      </c>
    </row>
    <row r="94" spans="1:19">
      <c r="A94" s="41" t="s">
        <v>101</v>
      </c>
      <c r="B94" s="41" t="str">
        <f t="shared" si="44"/>
        <v>005010300</v>
      </c>
      <c r="D94" s="42">
        <f>VLOOKUP($A94,'Neraca Unaudited SIMAK'!$A$2:$R$1272,3,FALSE)+IF(ISNA(VLOOKUP($A94,'Mutasi Neraca'!$A$3:$S$910,3,FALSE)),0,VLOOKUP($A94,'Mutasi Neraca'!$A$3:$S$910,3,FALSE))</f>
        <v>825000</v>
      </c>
      <c r="E94" s="42">
        <f>VLOOKUP($A94,'Neraca Unaudited SIMAK'!$A$2:$R$1272,4,FALSE)+IF(ISNA(VLOOKUP($A94,'Mutasi Neraca'!$A$3:$S$910,4,FALSE)),0,VLOOKUP($A94,'Mutasi Neraca'!$A$3:$S$910,4,FALSE))</f>
        <v>14089232500</v>
      </c>
      <c r="F94" s="42">
        <f>VLOOKUP($A94,'Neraca Unaudited SIMAK'!$A$2:$R$1272,5,FALSE)+IF(ISNA(VLOOKUP($A94,'Mutasi Neraca'!$A$3:$S$910,5,FALSE)),0,VLOOKUP($A94,'Mutasi Neraca'!$A$3:$S$910,5,FALSE))</f>
        <v>1345484731</v>
      </c>
      <c r="G94" s="42">
        <f>VLOOKUP($A94,'Neraca Unaudited SIMAK'!$A$2:$R$1272,6,FALSE)+IF(ISNA(VLOOKUP($A94,'Mutasi Neraca'!$A$3:$S$910,6,FALSE)),0,VLOOKUP($A94,'Mutasi Neraca'!$A$3:$S$910,6,FALSE))</f>
        <v>3376771832</v>
      </c>
      <c r="H94" s="42">
        <f>VLOOKUP($A94,'Neraca Unaudited SIMAK'!$A$2:$R$1272,7,FALSE)+IF(ISNA(VLOOKUP($A94,'Mutasi Neraca'!$A$3:$S$910,7,FALSE)),0,VLOOKUP($A94,'Mutasi Neraca'!$A$3:$S$910,7,FALSE))</f>
        <v>19633000</v>
      </c>
      <c r="I94" s="42">
        <f>VLOOKUP($A94,'Neraca Unaudited SIMAK'!$A$2:$R$1272,8,FALSE)+IF(ISNA(VLOOKUP($A94,'Mutasi Neraca'!$A$3:$S$910,8,FALSE)),0,VLOOKUP($A94,'Mutasi Neraca'!$A$3:$S$910,8,FALSE))</f>
        <v>9183742</v>
      </c>
      <c r="J94" s="42">
        <f>VLOOKUP($A94,'Neraca Unaudited SIMAK'!$A$2:$R$1272,9,FALSE)+IF(ISNA(VLOOKUP($A94,'Mutasi Neraca'!$A$3:$S$910,9,FALSE)),0,VLOOKUP($A94,'Mutasi Neraca'!$A$3:$S$910,9,FALSE))</f>
        <v>0</v>
      </c>
      <c r="K94" s="42">
        <f>VLOOKUP($A94,'Neraca Unaudited SIMAK'!$A$2:$R$1272,10,FALSE)+IF(ISNA(VLOOKUP($A94,'Mutasi Neraca'!$A$3:$S$910,10,FALSE)),0,VLOOKUP($A94,'Mutasi Neraca'!$A$3:$S$910,10,FALSE))</f>
        <v>0</v>
      </c>
      <c r="L94" s="42">
        <f>VLOOKUP($A94,'Neraca Unaudited SIMAK'!$A$2:$R$1272,11,FALSE)+IF(ISNA(VLOOKUP($A94,'Mutasi Neraca'!$A$3:$S$910,11,FALSE)),0,VLOOKUP($A94,'Mutasi Neraca'!$A$3:$S$910,11,FALSE))</f>
        <v>70900</v>
      </c>
      <c r="M94" s="42">
        <f>VLOOKUP($A94,'Neraca Unaudited SIMAK'!$A$2:$R$1272,12,FALSE)+IF(ISNA(VLOOKUP($A94,'Mutasi Neraca'!$A$3:$S$910,12,FALSE)),0,VLOOKUP($A94,'Mutasi Neraca'!$A$3:$S$910,12,FALSE))</f>
        <v>18841201705</v>
      </c>
      <c r="N94" s="42">
        <f>VLOOKUP($A94,'Neraca Unaudited SIMAK'!$A$2:$R$1272,13,FALSE)+IF(ISNA(VLOOKUP($A94,'Mutasi Neraca'!$A$3:$S$910,13,FALSE)),0,VLOOKUP($A94,'Mutasi Neraca'!$A$3:$S$910,13,FALSE))</f>
        <v>-1191981906</v>
      </c>
      <c r="O94" s="42">
        <f>VLOOKUP($A94,'Neraca Unaudited SIMAK'!$A$2:$R$1272,14,FALSE)+IF(ISNA(VLOOKUP($A94,'Mutasi Neraca'!$A$3:$S$910,14,FALSE)),0,VLOOKUP($A94,'Mutasi Neraca'!$A$3:$S$910,14,FALSE))</f>
        <v>-1606065977</v>
      </c>
      <c r="P94" s="42">
        <f>VLOOKUP($A94,'Neraca Unaudited SIMAK'!$A$2:$R$1272,15,FALSE)+IF(ISNA(VLOOKUP($A94,'Mutasi Neraca'!$A$3:$S$910,15,FALSE)),0,VLOOKUP($A94,'Mutasi Neraca'!$A$3:$S$910,15,FALSE))</f>
        <v>-2454125</v>
      </c>
      <c r="Q94" s="42">
        <f>VLOOKUP($A94,'Neraca Unaudited SIMAK'!$A$2:$R$1272,16,FALSE)+IF(ISNA(VLOOKUP($A94,'Mutasi Neraca'!$A$3:$S$910,16,FALSE)),0,VLOOKUP($A94,'Mutasi Neraca'!$A$3:$S$910,16,FALSE))</f>
        <v>0</v>
      </c>
      <c r="R94" s="42">
        <f>VLOOKUP($A94,'Neraca Unaudited SIMAK'!$A$2:$R$1272,17,FALSE)+IF(ISNA(VLOOKUP($A94,'Mutasi Neraca'!$A$3:$S$910,17,FALSE)),0,VLOOKUP($A94,'Mutasi Neraca'!$A$3:$S$910,17,FALSE))</f>
        <v>-70900</v>
      </c>
      <c r="S94" s="42">
        <f t="shared" si="45"/>
        <v>16040628797</v>
      </c>
    </row>
    <row r="95" spans="1:19">
      <c r="A95" s="41" t="s">
        <v>102</v>
      </c>
      <c r="B95" s="41" t="str">
        <f t="shared" si="44"/>
        <v>005010300</v>
      </c>
      <c r="D95" s="42">
        <f>VLOOKUP($A95,'Neraca Unaudited SIMAK'!$A$2:$R$1272,3,FALSE)+IF(ISNA(VLOOKUP($A95,'Mutasi Neraca'!$A$3:$S$910,3,FALSE)),0,VLOOKUP($A95,'Mutasi Neraca'!$A$3:$S$910,3,FALSE))</f>
        <v>19043400</v>
      </c>
      <c r="E95" s="42">
        <f>VLOOKUP($A95,'Neraca Unaudited SIMAK'!$A$2:$R$1272,4,FALSE)+IF(ISNA(VLOOKUP($A95,'Mutasi Neraca'!$A$3:$S$910,4,FALSE)),0,VLOOKUP($A95,'Mutasi Neraca'!$A$3:$S$910,4,FALSE))</f>
        <v>8724012000</v>
      </c>
      <c r="F95" s="42">
        <f>VLOOKUP($A95,'Neraca Unaudited SIMAK'!$A$2:$R$1272,5,FALSE)+IF(ISNA(VLOOKUP($A95,'Mutasi Neraca'!$A$3:$S$910,5,FALSE)),0,VLOOKUP($A95,'Mutasi Neraca'!$A$3:$S$910,5,FALSE))</f>
        <v>1777639288</v>
      </c>
      <c r="G95" s="42">
        <f>VLOOKUP($A95,'Neraca Unaudited SIMAK'!$A$2:$R$1272,6,FALSE)+IF(ISNA(VLOOKUP($A95,'Mutasi Neraca'!$A$3:$S$910,6,FALSE)),0,VLOOKUP($A95,'Mutasi Neraca'!$A$3:$S$910,6,FALSE))</f>
        <v>3577506078</v>
      </c>
      <c r="H95" s="42">
        <f>VLOOKUP($A95,'Neraca Unaudited SIMAK'!$A$2:$R$1272,7,FALSE)+IF(ISNA(VLOOKUP($A95,'Mutasi Neraca'!$A$3:$S$910,7,FALSE)),0,VLOOKUP($A95,'Mutasi Neraca'!$A$3:$S$910,7,FALSE))</f>
        <v>79450000</v>
      </c>
      <c r="I95" s="42">
        <f>VLOOKUP($A95,'Neraca Unaudited SIMAK'!$A$2:$R$1272,8,FALSE)+IF(ISNA(VLOOKUP($A95,'Mutasi Neraca'!$A$3:$S$910,8,FALSE)),0,VLOOKUP($A95,'Mutasi Neraca'!$A$3:$S$910,8,FALSE))</f>
        <v>10672062</v>
      </c>
      <c r="J95" s="42">
        <f>VLOOKUP($A95,'Neraca Unaudited SIMAK'!$A$2:$R$1272,9,FALSE)+IF(ISNA(VLOOKUP($A95,'Mutasi Neraca'!$A$3:$S$910,9,FALSE)),0,VLOOKUP($A95,'Mutasi Neraca'!$A$3:$S$910,9,FALSE))</f>
        <v>0</v>
      </c>
      <c r="K95" s="42">
        <f>VLOOKUP($A95,'Neraca Unaudited SIMAK'!$A$2:$R$1272,10,FALSE)+IF(ISNA(VLOOKUP($A95,'Mutasi Neraca'!$A$3:$S$910,10,FALSE)),0,VLOOKUP($A95,'Mutasi Neraca'!$A$3:$S$910,10,FALSE))</f>
        <v>0</v>
      </c>
      <c r="L95" s="42">
        <f>VLOOKUP($A95,'Neraca Unaudited SIMAK'!$A$2:$R$1272,11,FALSE)+IF(ISNA(VLOOKUP($A95,'Mutasi Neraca'!$A$3:$S$910,11,FALSE)),0,VLOOKUP($A95,'Mutasi Neraca'!$A$3:$S$910,11,FALSE))</f>
        <v>448000</v>
      </c>
      <c r="M95" s="42">
        <f>VLOOKUP($A95,'Neraca Unaudited SIMAK'!$A$2:$R$1272,12,FALSE)+IF(ISNA(VLOOKUP($A95,'Mutasi Neraca'!$A$3:$S$910,12,FALSE)),0,VLOOKUP($A95,'Mutasi Neraca'!$A$3:$S$910,12,FALSE))</f>
        <v>14188770828</v>
      </c>
      <c r="N95" s="42">
        <f>VLOOKUP($A95,'Neraca Unaudited SIMAK'!$A$2:$R$1272,13,FALSE)+IF(ISNA(VLOOKUP($A95,'Mutasi Neraca'!$A$3:$S$910,13,FALSE)),0,VLOOKUP($A95,'Mutasi Neraca'!$A$3:$S$910,13,FALSE))</f>
        <v>-1533147925</v>
      </c>
      <c r="O95" s="42">
        <f>VLOOKUP($A95,'Neraca Unaudited SIMAK'!$A$2:$R$1272,14,FALSE)+IF(ISNA(VLOOKUP($A95,'Mutasi Neraca'!$A$3:$S$910,14,FALSE)),0,VLOOKUP($A95,'Mutasi Neraca'!$A$3:$S$910,14,FALSE))</f>
        <v>-1215869281</v>
      </c>
      <c r="P95" s="42">
        <f>VLOOKUP($A95,'Neraca Unaudited SIMAK'!$A$2:$R$1272,15,FALSE)+IF(ISNA(VLOOKUP($A95,'Mutasi Neraca'!$A$3:$S$910,15,FALSE)),0,VLOOKUP($A95,'Mutasi Neraca'!$A$3:$S$910,15,FALSE))</f>
        <v>-8265000</v>
      </c>
      <c r="Q95" s="42">
        <f>VLOOKUP($A95,'Neraca Unaudited SIMAK'!$A$2:$R$1272,16,FALSE)+IF(ISNA(VLOOKUP($A95,'Mutasi Neraca'!$A$3:$S$910,16,FALSE)),0,VLOOKUP($A95,'Mutasi Neraca'!$A$3:$S$910,16,FALSE))</f>
        <v>0</v>
      </c>
      <c r="R95" s="42">
        <f>VLOOKUP($A95,'Neraca Unaudited SIMAK'!$A$2:$R$1272,17,FALSE)+IF(ISNA(VLOOKUP($A95,'Mutasi Neraca'!$A$3:$S$910,17,FALSE)),0,VLOOKUP($A95,'Mutasi Neraca'!$A$3:$S$910,17,FALSE))</f>
        <v>-448000</v>
      </c>
      <c r="S95" s="42">
        <f t="shared" si="45"/>
        <v>11431040622</v>
      </c>
    </row>
    <row r="96" spans="1:19">
      <c r="A96" s="41" t="s">
        <v>103</v>
      </c>
      <c r="B96" s="41" t="str">
        <f t="shared" si="44"/>
        <v>005010300</v>
      </c>
      <c r="D96" s="42">
        <f>VLOOKUP($A96,'Neraca Unaudited SIMAK'!$A$2:$R$1272,3,FALSE)+IF(ISNA(VLOOKUP($A96,'Mutasi Neraca'!$A$3:$S$910,3,FALSE)),0,VLOOKUP($A96,'Mutasi Neraca'!$A$3:$S$910,3,FALSE))</f>
        <v>1470250</v>
      </c>
      <c r="E96" s="42">
        <f>VLOOKUP($A96,'Neraca Unaudited SIMAK'!$A$2:$R$1272,4,FALSE)+IF(ISNA(VLOOKUP($A96,'Mutasi Neraca'!$A$3:$S$910,4,FALSE)),0,VLOOKUP($A96,'Mutasi Neraca'!$A$3:$S$910,4,FALSE))</f>
        <v>2887755000</v>
      </c>
      <c r="F96" s="42">
        <f>VLOOKUP($A96,'Neraca Unaudited SIMAK'!$A$2:$R$1272,5,FALSE)+IF(ISNA(VLOOKUP($A96,'Mutasi Neraca'!$A$3:$S$910,5,FALSE)),0,VLOOKUP($A96,'Mutasi Neraca'!$A$3:$S$910,5,FALSE))</f>
        <v>1509293381</v>
      </c>
      <c r="G96" s="42">
        <f>VLOOKUP($A96,'Neraca Unaudited SIMAK'!$A$2:$R$1272,6,FALSE)+IF(ISNA(VLOOKUP($A96,'Mutasi Neraca'!$A$3:$S$910,6,FALSE)),0,VLOOKUP($A96,'Mutasi Neraca'!$A$3:$S$910,6,FALSE))</f>
        <v>2761949055</v>
      </c>
      <c r="H96" s="42">
        <f>VLOOKUP($A96,'Neraca Unaudited SIMAK'!$A$2:$R$1272,7,FALSE)+IF(ISNA(VLOOKUP($A96,'Mutasi Neraca'!$A$3:$S$910,7,FALSE)),0,VLOOKUP($A96,'Mutasi Neraca'!$A$3:$S$910,7,FALSE))</f>
        <v>23000000</v>
      </c>
      <c r="I96" s="42">
        <f>VLOOKUP($A96,'Neraca Unaudited SIMAK'!$A$2:$R$1272,8,FALSE)+IF(ISNA(VLOOKUP($A96,'Mutasi Neraca'!$A$3:$S$910,8,FALSE)),0,VLOOKUP($A96,'Mutasi Neraca'!$A$3:$S$910,8,FALSE))</f>
        <v>39686862</v>
      </c>
      <c r="J96" s="42">
        <f>VLOOKUP($A96,'Neraca Unaudited SIMAK'!$A$2:$R$1272,9,FALSE)+IF(ISNA(VLOOKUP($A96,'Mutasi Neraca'!$A$3:$S$910,9,FALSE)),0,VLOOKUP($A96,'Mutasi Neraca'!$A$3:$S$910,9,FALSE))</f>
        <v>0</v>
      </c>
      <c r="K96" s="42">
        <f>VLOOKUP($A96,'Neraca Unaudited SIMAK'!$A$2:$R$1272,10,FALSE)+IF(ISNA(VLOOKUP($A96,'Mutasi Neraca'!$A$3:$S$910,10,FALSE)),0,VLOOKUP($A96,'Mutasi Neraca'!$A$3:$S$910,10,FALSE))</f>
        <v>0</v>
      </c>
      <c r="L96" s="42">
        <f>VLOOKUP($A96,'Neraca Unaudited SIMAK'!$A$2:$R$1272,11,FALSE)+IF(ISNA(VLOOKUP($A96,'Mutasi Neraca'!$A$3:$S$910,11,FALSE)),0,VLOOKUP($A96,'Mutasi Neraca'!$A$3:$S$910,11,FALSE))</f>
        <v>3453600</v>
      </c>
      <c r="M96" s="42">
        <f>VLOOKUP($A96,'Neraca Unaudited SIMAK'!$A$2:$R$1272,12,FALSE)+IF(ISNA(VLOOKUP($A96,'Mutasi Neraca'!$A$3:$S$910,12,FALSE)),0,VLOOKUP($A96,'Mutasi Neraca'!$A$3:$S$910,12,FALSE))</f>
        <v>7226608148</v>
      </c>
      <c r="N96" s="42">
        <f>VLOOKUP($A96,'Neraca Unaudited SIMAK'!$A$2:$R$1272,13,FALSE)+IF(ISNA(VLOOKUP($A96,'Mutasi Neraca'!$A$3:$S$910,13,FALSE)),0,VLOOKUP($A96,'Mutasi Neraca'!$A$3:$S$910,13,FALSE))</f>
        <v>-1417603723</v>
      </c>
      <c r="O96" s="42">
        <f>VLOOKUP($A96,'Neraca Unaudited SIMAK'!$A$2:$R$1272,14,FALSE)+IF(ISNA(VLOOKUP($A96,'Mutasi Neraca'!$A$3:$S$910,14,FALSE)),0,VLOOKUP($A96,'Mutasi Neraca'!$A$3:$S$910,14,FALSE))</f>
        <v>-434335705</v>
      </c>
      <c r="P96" s="42">
        <f>VLOOKUP($A96,'Neraca Unaudited SIMAK'!$A$2:$R$1272,15,FALSE)+IF(ISNA(VLOOKUP($A96,'Mutasi Neraca'!$A$3:$S$910,15,FALSE)),0,VLOOKUP($A96,'Mutasi Neraca'!$A$3:$S$910,15,FALSE))</f>
        <v>-4025000</v>
      </c>
      <c r="Q96" s="42">
        <f>VLOOKUP($A96,'Neraca Unaudited SIMAK'!$A$2:$R$1272,16,FALSE)+IF(ISNA(VLOOKUP($A96,'Mutasi Neraca'!$A$3:$S$910,16,FALSE)),0,VLOOKUP($A96,'Mutasi Neraca'!$A$3:$S$910,16,FALSE))</f>
        <v>0</v>
      </c>
      <c r="R96" s="42">
        <f>VLOOKUP($A96,'Neraca Unaudited SIMAK'!$A$2:$R$1272,17,FALSE)+IF(ISNA(VLOOKUP($A96,'Mutasi Neraca'!$A$3:$S$910,17,FALSE)),0,VLOOKUP($A96,'Mutasi Neraca'!$A$3:$S$910,17,FALSE))</f>
        <v>-3453600</v>
      </c>
      <c r="S96" s="42">
        <f t="shared" si="45"/>
        <v>5367190120</v>
      </c>
    </row>
    <row r="97" spans="1:19">
      <c r="A97" s="41" t="s">
        <v>104</v>
      </c>
      <c r="B97" s="41" t="str">
        <f t="shared" si="44"/>
        <v>005010300</v>
      </c>
      <c r="D97" s="42">
        <f>VLOOKUP($A97,'Neraca Unaudited SIMAK'!$A$2:$R$1272,3,FALSE)+IF(ISNA(VLOOKUP($A97,'Mutasi Neraca'!$A$3:$S$910,3,FALSE)),0,VLOOKUP($A97,'Mutasi Neraca'!$A$3:$S$910,3,FALSE))</f>
        <v>3350</v>
      </c>
      <c r="E97" s="42">
        <f>VLOOKUP($A97,'Neraca Unaudited SIMAK'!$A$2:$R$1272,4,FALSE)+IF(ISNA(VLOOKUP($A97,'Mutasi Neraca'!$A$3:$S$910,4,FALSE)),0,VLOOKUP($A97,'Mutasi Neraca'!$A$3:$S$910,4,FALSE))</f>
        <v>7970104000</v>
      </c>
      <c r="F97" s="42">
        <f>VLOOKUP($A97,'Neraca Unaudited SIMAK'!$A$2:$R$1272,5,FALSE)+IF(ISNA(VLOOKUP($A97,'Mutasi Neraca'!$A$3:$S$910,5,FALSE)),0,VLOOKUP($A97,'Mutasi Neraca'!$A$3:$S$910,5,FALSE))</f>
        <v>1863424381</v>
      </c>
      <c r="G97" s="42">
        <f>VLOOKUP($A97,'Neraca Unaudited SIMAK'!$A$2:$R$1272,6,FALSE)+IF(ISNA(VLOOKUP($A97,'Mutasi Neraca'!$A$3:$S$910,6,FALSE)),0,VLOOKUP($A97,'Mutasi Neraca'!$A$3:$S$910,6,FALSE))</f>
        <v>5323193400</v>
      </c>
      <c r="H97" s="42">
        <f>VLOOKUP($A97,'Neraca Unaudited SIMAK'!$A$2:$R$1272,7,FALSE)+IF(ISNA(VLOOKUP($A97,'Mutasi Neraca'!$A$3:$S$910,7,FALSE)),0,VLOOKUP($A97,'Mutasi Neraca'!$A$3:$S$910,7,FALSE))</f>
        <v>132196500</v>
      </c>
      <c r="I97" s="42">
        <f>VLOOKUP($A97,'Neraca Unaudited SIMAK'!$A$2:$R$1272,8,FALSE)+IF(ISNA(VLOOKUP($A97,'Mutasi Neraca'!$A$3:$S$910,8,FALSE)),0,VLOOKUP($A97,'Mutasi Neraca'!$A$3:$S$910,8,FALSE))</f>
        <v>9183740</v>
      </c>
      <c r="J97" s="42">
        <f>VLOOKUP($A97,'Neraca Unaudited SIMAK'!$A$2:$R$1272,9,FALSE)+IF(ISNA(VLOOKUP($A97,'Mutasi Neraca'!$A$3:$S$910,9,FALSE)),0,VLOOKUP($A97,'Mutasi Neraca'!$A$3:$S$910,9,FALSE))</f>
        <v>0</v>
      </c>
      <c r="K97" s="42">
        <f>VLOOKUP($A97,'Neraca Unaudited SIMAK'!$A$2:$R$1272,10,FALSE)+IF(ISNA(VLOOKUP($A97,'Mutasi Neraca'!$A$3:$S$910,10,FALSE)),0,VLOOKUP($A97,'Mutasi Neraca'!$A$3:$S$910,10,FALSE))</f>
        <v>24200000</v>
      </c>
      <c r="L97" s="42">
        <f>VLOOKUP($A97,'Neraca Unaudited SIMAK'!$A$2:$R$1272,11,FALSE)+IF(ISNA(VLOOKUP($A97,'Mutasi Neraca'!$A$3:$S$910,11,FALSE)),0,VLOOKUP($A97,'Mutasi Neraca'!$A$3:$S$910,11,FALSE))</f>
        <v>0</v>
      </c>
      <c r="M97" s="42">
        <f>VLOOKUP($A97,'Neraca Unaudited SIMAK'!$A$2:$R$1272,12,FALSE)+IF(ISNA(VLOOKUP($A97,'Mutasi Neraca'!$A$3:$S$910,12,FALSE)),0,VLOOKUP($A97,'Mutasi Neraca'!$A$3:$S$910,12,FALSE))</f>
        <v>15322305371</v>
      </c>
      <c r="N97" s="42">
        <f>VLOOKUP($A97,'Neraca Unaudited SIMAK'!$A$2:$R$1272,13,FALSE)+IF(ISNA(VLOOKUP($A97,'Mutasi Neraca'!$A$3:$S$910,13,FALSE)),0,VLOOKUP($A97,'Mutasi Neraca'!$A$3:$S$910,13,FALSE))</f>
        <v>-1485550943</v>
      </c>
      <c r="O97" s="42">
        <f>VLOOKUP($A97,'Neraca Unaudited SIMAK'!$A$2:$R$1272,14,FALSE)+IF(ISNA(VLOOKUP($A97,'Mutasi Neraca'!$A$3:$S$910,14,FALSE)),0,VLOOKUP($A97,'Mutasi Neraca'!$A$3:$S$910,14,FALSE))</f>
        <v>-674184559</v>
      </c>
      <c r="P97" s="42">
        <f>VLOOKUP($A97,'Neraca Unaudited SIMAK'!$A$2:$R$1272,15,FALSE)+IF(ISNA(VLOOKUP($A97,'Mutasi Neraca'!$A$3:$S$910,15,FALSE)),0,VLOOKUP($A97,'Mutasi Neraca'!$A$3:$S$910,15,FALSE))</f>
        <v>-19700628</v>
      </c>
      <c r="Q97" s="42">
        <f>VLOOKUP($A97,'Neraca Unaudited SIMAK'!$A$2:$R$1272,16,FALSE)+IF(ISNA(VLOOKUP($A97,'Mutasi Neraca'!$A$3:$S$910,16,FALSE)),0,VLOOKUP($A97,'Mutasi Neraca'!$A$3:$S$910,16,FALSE))</f>
        <v>0</v>
      </c>
      <c r="R97" s="42">
        <f>VLOOKUP($A97,'Neraca Unaudited SIMAK'!$A$2:$R$1272,17,FALSE)+IF(ISNA(VLOOKUP($A97,'Mutasi Neraca'!$A$3:$S$910,17,FALSE)),0,VLOOKUP($A97,'Mutasi Neraca'!$A$3:$S$910,17,FALSE))</f>
        <v>0</v>
      </c>
      <c r="S97" s="42">
        <f t="shared" si="45"/>
        <v>13142869241</v>
      </c>
    </row>
    <row r="98" spans="1:19">
      <c r="A98" s="41" t="s">
        <v>105</v>
      </c>
      <c r="B98" s="41" t="str">
        <f t="shared" si="44"/>
        <v>005010300</v>
      </c>
      <c r="D98" s="42">
        <f>VLOOKUP($A98,'Neraca Unaudited SIMAK'!$A$2:$R$1272,3,FALSE)+IF(ISNA(VLOOKUP($A98,'Mutasi Neraca'!$A$3:$S$910,3,FALSE)),0,VLOOKUP($A98,'Mutasi Neraca'!$A$3:$S$910,3,FALSE))</f>
        <v>351700</v>
      </c>
      <c r="E98" s="42">
        <f>VLOOKUP($A98,'Neraca Unaudited SIMAK'!$A$2:$R$1272,4,FALSE)+IF(ISNA(VLOOKUP($A98,'Mutasi Neraca'!$A$3:$S$910,4,FALSE)),0,VLOOKUP($A98,'Mutasi Neraca'!$A$3:$S$910,4,FALSE))</f>
        <v>5233831000</v>
      </c>
      <c r="F98" s="42">
        <f>VLOOKUP($A98,'Neraca Unaudited SIMAK'!$A$2:$R$1272,5,FALSE)+IF(ISNA(VLOOKUP($A98,'Mutasi Neraca'!$A$3:$S$910,5,FALSE)),0,VLOOKUP($A98,'Mutasi Neraca'!$A$3:$S$910,5,FALSE))</f>
        <v>2120240698</v>
      </c>
      <c r="G98" s="42">
        <f>VLOOKUP($A98,'Neraca Unaudited SIMAK'!$A$2:$R$1272,6,FALSE)+IF(ISNA(VLOOKUP($A98,'Mutasi Neraca'!$A$3:$S$910,6,FALSE)),0,VLOOKUP($A98,'Mutasi Neraca'!$A$3:$S$910,6,FALSE))</f>
        <v>6525391733</v>
      </c>
      <c r="H98" s="42">
        <f>VLOOKUP($A98,'Neraca Unaudited SIMAK'!$A$2:$R$1272,7,FALSE)+IF(ISNA(VLOOKUP($A98,'Mutasi Neraca'!$A$3:$S$910,7,FALSE)),0,VLOOKUP($A98,'Mutasi Neraca'!$A$3:$S$910,7,FALSE))</f>
        <v>0</v>
      </c>
      <c r="I98" s="42">
        <f>VLOOKUP($A98,'Neraca Unaudited SIMAK'!$A$2:$R$1272,8,FALSE)+IF(ISNA(VLOOKUP($A98,'Mutasi Neraca'!$A$3:$S$910,8,FALSE)),0,VLOOKUP($A98,'Mutasi Neraca'!$A$3:$S$910,8,FALSE))</f>
        <v>18538742</v>
      </c>
      <c r="J98" s="42">
        <f>VLOOKUP($A98,'Neraca Unaudited SIMAK'!$A$2:$R$1272,9,FALSE)+IF(ISNA(VLOOKUP($A98,'Mutasi Neraca'!$A$3:$S$910,9,FALSE)),0,VLOOKUP($A98,'Mutasi Neraca'!$A$3:$S$910,9,FALSE))</f>
        <v>0</v>
      </c>
      <c r="K98" s="42">
        <f>VLOOKUP($A98,'Neraca Unaudited SIMAK'!$A$2:$R$1272,10,FALSE)+IF(ISNA(VLOOKUP($A98,'Mutasi Neraca'!$A$3:$S$910,10,FALSE)),0,VLOOKUP($A98,'Mutasi Neraca'!$A$3:$S$910,10,FALSE))</f>
        <v>0</v>
      </c>
      <c r="L98" s="42">
        <f>VLOOKUP($A98,'Neraca Unaudited SIMAK'!$A$2:$R$1272,11,FALSE)+IF(ISNA(VLOOKUP($A98,'Mutasi Neraca'!$A$3:$S$910,11,FALSE)),0,VLOOKUP($A98,'Mutasi Neraca'!$A$3:$S$910,11,FALSE))</f>
        <v>95484667</v>
      </c>
      <c r="M98" s="42">
        <f>VLOOKUP($A98,'Neraca Unaudited SIMAK'!$A$2:$R$1272,12,FALSE)+IF(ISNA(VLOOKUP($A98,'Mutasi Neraca'!$A$3:$S$910,12,FALSE)),0,VLOOKUP($A98,'Mutasi Neraca'!$A$3:$S$910,12,FALSE))</f>
        <v>13993838540</v>
      </c>
      <c r="N98" s="42">
        <f>VLOOKUP($A98,'Neraca Unaudited SIMAK'!$A$2:$R$1272,13,FALSE)+IF(ISNA(VLOOKUP($A98,'Mutasi Neraca'!$A$3:$S$910,13,FALSE)),0,VLOOKUP($A98,'Mutasi Neraca'!$A$3:$S$910,13,FALSE))</f>
        <v>-1733201710</v>
      </c>
      <c r="O98" s="42">
        <f>VLOOKUP($A98,'Neraca Unaudited SIMAK'!$A$2:$R$1272,14,FALSE)+IF(ISNA(VLOOKUP($A98,'Mutasi Neraca'!$A$3:$S$910,14,FALSE)),0,VLOOKUP($A98,'Mutasi Neraca'!$A$3:$S$910,14,FALSE))</f>
        <v>-1782172124</v>
      </c>
      <c r="P98" s="42">
        <f>VLOOKUP($A98,'Neraca Unaudited SIMAK'!$A$2:$R$1272,15,FALSE)+IF(ISNA(VLOOKUP($A98,'Mutasi Neraca'!$A$3:$S$910,15,FALSE)),0,VLOOKUP($A98,'Mutasi Neraca'!$A$3:$S$910,15,FALSE))</f>
        <v>0</v>
      </c>
      <c r="Q98" s="42">
        <f>VLOOKUP($A98,'Neraca Unaudited SIMAK'!$A$2:$R$1272,16,FALSE)+IF(ISNA(VLOOKUP($A98,'Mutasi Neraca'!$A$3:$S$910,16,FALSE)),0,VLOOKUP($A98,'Mutasi Neraca'!$A$3:$S$910,16,FALSE))</f>
        <v>0</v>
      </c>
      <c r="R98" s="42">
        <f>VLOOKUP($A98,'Neraca Unaudited SIMAK'!$A$2:$R$1272,17,FALSE)+IF(ISNA(VLOOKUP($A98,'Mutasi Neraca'!$A$3:$S$910,17,FALSE)),0,VLOOKUP($A98,'Mutasi Neraca'!$A$3:$S$910,17,FALSE))</f>
        <v>-25439468</v>
      </c>
      <c r="S98" s="42">
        <f t="shared" si="45"/>
        <v>10453025238</v>
      </c>
    </row>
    <row r="99" spans="1:19">
      <c r="A99" s="41" t="s">
        <v>106</v>
      </c>
      <c r="B99" s="41" t="str">
        <f t="shared" si="44"/>
        <v>005010300</v>
      </c>
      <c r="D99" s="42">
        <f>VLOOKUP($A99,'Neraca Unaudited SIMAK'!$A$2:$R$1272,3,FALSE)+IF(ISNA(VLOOKUP($A99,'Mutasi Neraca'!$A$3:$S$910,3,FALSE)),0,VLOOKUP($A99,'Mutasi Neraca'!$A$3:$S$910,3,FALSE))</f>
        <v>2129250</v>
      </c>
      <c r="E99" s="42">
        <f>VLOOKUP($A99,'Neraca Unaudited SIMAK'!$A$2:$R$1272,4,FALSE)+IF(ISNA(VLOOKUP($A99,'Mutasi Neraca'!$A$3:$S$910,4,FALSE)),0,VLOOKUP($A99,'Mutasi Neraca'!$A$3:$S$910,4,FALSE))</f>
        <v>5405930300</v>
      </c>
      <c r="F99" s="42">
        <f>VLOOKUP($A99,'Neraca Unaudited SIMAK'!$A$2:$R$1272,5,FALSE)+IF(ISNA(VLOOKUP($A99,'Mutasi Neraca'!$A$3:$S$910,5,FALSE)),0,VLOOKUP($A99,'Mutasi Neraca'!$A$3:$S$910,5,FALSE))</f>
        <v>1879370475</v>
      </c>
      <c r="G99" s="42">
        <f>VLOOKUP($A99,'Neraca Unaudited SIMAK'!$A$2:$R$1272,6,FALSE)+IF(ISNA(VLOOKUP($A99,'Mutasi Neraca'!$A$3:$S$910,6,FALSE)),0,VLOOKUP($A99,'Mutasi Neraca'!$A$3:$S$910,6,FALSE))</f>
        <v>5568986487</v>
      </c>
      <c r="H99" s="42">
        <f>VLOOKUP($A99,'Neraca Unaudited SIMAK'!$A$2:$R$1272,7,FALSE)+IF(ISNA(VLOOKUP($A99,'Mutasi Neraca'!$A$3:$S$910,7,FALSE)),0,VLOOKUP($A99,'Mutasi Neraca'!$A$3:$S$910,7,FALSE))</f>
        <v>68920000</v>
      </c>
      <c r="I99" s="42">
        <f>VLOOKUP($A99,'Neraca Unaudited SIMAK'!$A$2:$R$1272,8,FALSE)+IF(ISNA(VLOOKUP($A99,'Mutasi Neraca'!$A$3:$S$910,8,FALSE)),0,VLOOKUP($A99,'Mutasi Neraca'!$A$3:$S$910,8,FALSE))</f>
        <v>383264132</v>
      </c>
      <c r="J99" s="42">
        <f>VLOOKUP($A99,'Neraca Unaudited SIMAK'!$A$2:$R$1272,9,FALSE)+IF(ISNA(VLOOKUP($A99,'Mutasi Neraca'!$A$3:$S$910,9,FALSE)),0,VLOOKUP($A99,'Mutasi Neraca'!$A$3:$S$910,9,FALSE))</f>
        <v>0</v>
      </c>
      <c r="K99" s="42">
        <f>VLOOKUP($A99,'Neraca Unaudited SIMAK'!$A$2:$R$1272,10,FALSE)+IF(ISNA(VLOOKUP($A99,'Mutasi Neraca'!$A$3:$S$910,10,FALSE)),0,VLOOKUP($A99,'Mutasi Neraca'!$A$3:$S$910,10,FALSE))</f>
        <v>142085000</v>
      </c>
      <c r="L99" s="42">
        <f>VLOOKUP($A99,'Neraca Unaudited SIMAK'!$A$2:$R$1272,11,FALSE)+IF(ISNA(VLOOKUP($A99,'Mutasi Neraca'!$A$3:$S$910,11,FALSE)),0,VLOOKUP($A99,'Mutasi Neraca'!$A$3:$S$910,11,FALSE))</f>
        <v>210234549</v>
      </c>
      <c r="M99" s="42">
        <f>VLOOKUP($A99,'Neraca Unaudited SIMAK'!$A$2:$R$1272,12,FALSE)+IF(ISNA(VLOOKUP($A99,'Mutasi Neraca'!$A$3:$S$910,12,FALSE)),0,VLOOKUP($A99,'Mutasi Neraca'!$A$3:$S$910,12,FALSE))</f>
        <v>13660920193</v>
      </c>
      <c r="N99" s="42">
        <f>VLOOKUP($A99,'Neraca Unaudited SIMAK'!$A$2:$R$1272,13,FALSE)+IF(ISNA(VLOOKUP($A99,'Mutasi Neraca'!$A$3:$S$910,13,FALSE)),0,VLOOKUP($A99,'Mutasi Neraca'!$A$3:$S$910,13,FALSE))</f>
        <v>-1560312185</v>
      </c>
      <c r="O99" s="42">
        <f>VLOOKUP($A99,'Neraca Unaudited SIMAK'!$A$2:$R$1272,14,FALSE)+IF(ISNA(VLOOKUP($A99,'Mutasi Neraca'!$A$3:$S$910,14,FALSE)),0,VLOOKUP($A99,'Mutasi Neraca'!$A$3:$S$910,14,FALSE))</f>
        <v>-1742771631</v>
      </c>
      <c r="P99" s="42">
        <f>VLOOKUP($A99,'Neraca Unaudited SIMAK'!$A$2:$R$1272,15,FALSE)+IF(ISNA(VLOOKUP($A99,'Mutasi Neraca'!$A$3:$S$910,15,FALSE)),0,VLOOKUP($A99,'Mutasi Neraca'!$A$3:$S$910,15,FALSE))</f>
        <v>-6721750</v>
      </c>
      <c r="Q99" s="42">
        <f>VLOOKUP($A99,'Neraca Unaudited SIMAK'!$A$2:$R$1272,16,FALSE)+IF(ISNA(VLOOKUP($A99,'Mutasi Neraca'!$A$3:$S$910,16,FALSE)),0,VLOOKUP($A99,'Mutasi Neraca'!$A$3:$S$910,16,FALSE))</f>
        <v>0</v>
      </c>
      <c r="R99" s="42">
        <f>VLOOKUP($A99,'Neraca Unaudited SIMAK'!$A$2:$R$1272,17,FALSE)+IF(ISNA(VLOOKUP($A99,'Mutasi Neraca'!$A$3:$S$910,17,FALSE)),0,VLOOKUP($A99,'Mutasi Neraca'!$A$3:$S$910,17,FALSE))</f>
        <v>-210234549</v>
      </c>
      <c r="S99" s="42">
        <f t="shared" si="45"/>
        <v>10140880078</v>
      </c>
    </row>
    <row r="100" spans="1:19">
      <c r="A100" s="41" t="s">
        <v>107</v>
      </c>
      <c r="B100" s="41" t="str">
        <f t="shared" si="44"/>
        <v>005010300</v>
      </c>
      <c r="D100" s="42">
        <f>VLOOKUP($A100,'Neraca Unaudited SIMAK'!$A$2:$R$1272,3,FALSE)+IF(ISNA(VLOOKUP($A100,'Mutasi Neraca'!$A$3:$S$910,3,FALSE)),0,VLOOKUP($A100,'Mutasi Neraca'!$A$3:$S$910,3,FALSE))</f>
        <v>3659195</v>
      </c>
      <c r="E100" s="42">
        <f>VLOOKUP($A100,'Neraca Unaudited SIMAK'!$A$2:$R$1272,4,FALSE)+IF(ISNA(VLOOKUP($A100,'Mutasi Neraca'!$A$3:$S$910,4,FALSE)),0,VLOOKUP($A100,'Mutasi Neraca'!$A$3:$S$910,4,FALSE))</f>
        <v>2664560000</v>
      </c>
      <c r="F100" s="42">
        <f>VLOOKUP($A100,'Neraca Unaudited SIMAK'!$A$2:$R$1272,5,FALSE)+IF(ISNA(VLOOKUP($A100,'Mutasi Neraca'!$A$3:$S$910,5,FALSE)),0,VLOOKUP($A100,'Mutasi Neraca'!$A$3:$S$910,5,FALSE))</f>
        <v>1686494312</v>
      </c>
      <c r="G100" s="42">
        <f>VLOOKUP($A100,'Neraca Unaudited SIMAK'!$A$2:$R$1272,6,FALSE)+IF(ISNA(VLOOKUP($A100,'Mutasi Neraca'!$A$3:$S$910,6,FALSE)),0,VLOOKUP($A100,'Mutasi Neraca'!$A$3:$S$910,6,FALSE))</f>
        <v>3703645000</v>
      </c>
      <c r="H100" s="42">
        <f>VLOOKUP($A100,'Neraca Unaudited SIMAK'!$A$2:$R$1272,7,FALSE)+IF(ISNA(VLOOKUP($A100,'Mutasi Neraca'!$A$3:$S$910,7,FALSE)),0,VLOOKUP($A100,'Mutasi Neraca'!$A$3:$S$910,7,FALSE))</f>
        <v>56950000</v>
      </c>
      <c r="I100" s="42">
        <f>VLOOKUP($A100,'Neraca Unaudited SIMAK'!$A$2:$R$1272,8,FALSE)+IF(ISNA(VLOOKUP($A100,'Mutasi Neraca'!$A$3:$S$910,8,FALSE)),0,VLOOKUP($A100,'Mutasi Neraca'!$A$3:$S$910,8,FALSE))</f>
        <v>9593742</v>
      </c>
      <c r="J100" s="42">
        <f>VLOOKUP($A100,'Neraca Unaudited SIMAK'!$A$2:$R$1272,9,FALSE)+IF(ISNA(VLOOKUP($A100,'Mutasi Neraca'!$A$3:$S$910,9,FALSE)),0,VLOOKUP($A100,'Mutasi Neraca'!$A$3:$S$910,9,FALSE))</f>
        <v>0</v>
      </c>
      <c r="K100" s="42">
        <f>VLOOKUP($A100,'Neraca Unaudited SIMAK'!$A$2:$R$1272,10,FALSE)+IF(ISNA(VLOOKUP($A100,'Mutasi Neraca'!$A$3:$S$910,10,FALSE)),0,VLOOKUP($A100,'Mutasi Neraca'!$A$3:$S$910,10,FALSE))</f>
        <v>0</v>
      </c>
      <c r="L100" s="42">
        <f>VLOOKUP($A100,'Neraca Unaudited SIMAK'!$A$2:$R$1272,11,FALSE)+IF(ISNA(VLOOKUP($A100,'Mutasi Neraca'!$A$3:$S$910,11,FALSE)),0,VLOOKUP($A100,'Mutasi Neraca'!$A$3:$S$910,11,FALSE))</f>
        <v>113710886</v>
      </c>
      <c r="M100" s="42">
        <f>VLOOKUP($A100,'Neraca Unaudited SIMAK'!$A$2:$R$1272,12,FALSE)+IF(ISNA(VLOOKUP($A100,'Mutasi Neraca'!$A$3:$S$910,12,FALSE)),0,VLOOKUP($A100,'Mutasi Neraca'!$A$3:$S$910,12,FALSE))</f>
        <v>8238613135</v>
      </c>
      <c r="N100" s="42">
        <f>VLOOKUP($A100,'Neraca Unaudited SIMAK'!$A$2:$R$1272,13,FALSE)+IF(ISNA(VLOOKUP($A100,'Mutasi Neraca'!$A$3:$S$910,13,FALSE)),0,VLOOKUP($A100,'Mutasi Neraca'!$A$3:$S$910,13,FALSE))</f>
        <v>-1419349498</v>
      </c>
      <c r="O100" s="42">
        <f>VLOOKUP($A100,'Neraca Unaudited SIMAK'!$A$2:$R$1272,14,FALSE)+IF(ISNA(VLOOKUP($A100,'Mutasi Neraca'!$A$3:$S$910,14,FALSE)),0,VLOOKUP($A100,'Mutasi Neraca'!$A$3:$S$910,14,FALSE))</f>
        <v>-1586999378</v>
      </c>
      <c r="P100" s="42">
        <f>VLOOKUP($A100,'Neraca Unaudited SIMAK'!$A$2:$R$1272,15,FALSE)+IF(ISNA(VLOOKUP($A100,'Mutasi Neraca'!$A$3:$S$910,15,FALSE)),0,VLOOKUP($A100,'Mutasi Neraca'!$A$3:$S$910,15,FALSE))</f>
        <v>-9834169</v>
      </c>
      <c r="Q100" s="42">
        <f>VLOOKUP($A100,'Neraca Unaudited SIMAK'!$A$2:$R$1272,16,FALSE)+IF(ISNA(VLOOKUP($A100,'Mutasi Neraca'!$A$3:$S$910,16,FALSE)),0,VLOOKUP($A100,'Mutasi Neraca'!$A$3:$S$910,16,FALSE))</f>
        <v>0</v>
      </c>
      <c r="R100" s="42">
        <f>VLOOKUP($A100,'Neraca Unaudited SIMAK'!$A$2:$R$1272,17,FALSE)+IF(ISNA(VLOOKUP($A100,'Mutasi Neraca'!$A$3:$S$910,17,FALSE)),0,VLOOKUP($A100,'Mutasi Neraca'!$A$3:$S$910,17,FALSE))</f>
        <v>-110849966</v>
      </c>
      <c r="S100" s="42">
        <f t="shared" si="45"/>
        <v>5111580124</v>
      </c>
    </row>
    <row r="101" spans="1:19">
      <c r="A101" s="41" t="s">
        <v>108</v>
      </c>
      <c r="B101" s="41" t="str">
        <f t="shared" si="44"/>
        <v>005010300</v>
      </c>
      <c r="D101" s="42">
        <f>VLOOKUP($A101,'Neraca Unaudited SIMAK'!$A$2:$R$1272,3,FALSE)+IF(ISNA(VLOOKUP($A101,'Mutasi Neraca'!$A$3:$S$910,3,FALSE)),0,VLOOKUP($A101,'Mutasi Neraca'!$A$3:$S$910,3,FALSE))</f>
        <v>360500</v>
      </c>
      <c r="E101" s="42">
        <f>VLOOKUP($A101,'Neraca Unaudited SIMAK'!$A$2:$R$1272,4,FALSE)+IF(ISNA(VLOOKUP($A101,'Mutasi Neraca'!$A$3:$S$910,4,FALSE)),0,VLOOKUP($A101,'Mutasi Neraca'!$A$3:$S$910,4,FALSE))</f>
        <v>1771563000</v>
      </c>
      <c r="F101" s="42">
        <f>VLOOKUP($A101,'Neraca Unaudited SIMAK'!$A$2:$R$1272,5,FALSE)+IF(ISNA(VLOOKUP($A101,'Mutasi Neraca'!$A$3:$S$910,5,FALSE)),0,VLOOKUP($A101,'Mutasi Neraca'!$A$3:$S$910,5,FALSE))</f>
        <v>1662444217</v>
      </c>
      <c r="G101" s="42">
        <f>VLOOKUP($A101,'Neraca Unaudited SIMAK'!$A$2:$R$1272,6,FALSE)+IF(ISNA(VLOOKUP($A101,'Mutasi Neraca'!$A$3:$S$910,6,FALSE)),0,VLOOKUP($A101,'Mutasi Neraca'!$A$3:$S$910,6,FALSE))</f>
        <v>3482269000</v>
      </c>
      <c r="H101" s="42">
        <f>VLOOKUP($A101,'Neraca Unaudited SIMAK'!$A$2:$R$1272,7,FALSE)+IF(ISNA(VLOOKUP($A101,'Mutasi Neraca'!$A$3:$S$910,7,FALSE)),0,VLOOKUP($A101,'Mutasi Neraca'!$A$3:$S$910,7,FALSE))</f>
        <v>216630000</v>
      </c>
      <c r="I101" s="42">
        <f>VLOOKUP($A101,'Neraca Unaudited SIMAK'!$A$2:$R$1272,8,FALSE)+IF(ISNA(VLOOKUP($A101,'Mutasi Neraca'!$A$3:$S$910,8,FALSE)),0,VLOOKUP($A101,'Mutasi Neraca'!$A$3:$S$910,8,FALSE))</f>
        <v>48678742</v>
      </c>
      <c r="J101" s="42">
        <f>VLOOKUP($A101,'Neraca Unaudited SIMAK'!$A$2:$R$1272,9,FALSE)+IF(ISNA(VLOOKUP($A101,'Mutasi Neraca'!$A$3:$S$910,9,FALSE)),0,VLOOKUP($A101,'Mutasi Neraca'!$A$3:$S$910,9,FALSE))</f>
        <v>0</v>
      </c>
      <c r="K101" s="42">
        <f>VLOOKUP($A101,'Neraca Unaudited SIMAK'!$A$2:$R$1272,10,FALSE)+IF(ISNA(VLOOKUP($A101,'Mutasi Neraca'!$A$3:$S$910,10,FALSE)),0,VLOOKUP($A101,'Mutasi Neraca'!$A$3:$S$910,10,FALSE))</f>
        <v>0</v>
      </c>
      <c r="L101" s="42">
        <f>VLOOKUP($A101,'Neraca Unaudited SIMAK'!$A$2:$R$1272,11,FALSE)+IF(ISNA(VLOOKUP($A101,'Mutasi Neraca'!$A$3:$S$910,11,FALSE)),0,VLOOKUP($A101,'Mutasi Neraca'!$A$3:$S$910,11,FALSE))</f>
        <v>102699500</v>
      </c>
      <c r="M101" s="42">
        <f>VLOOKUP($A101,'Neraca Unaudited SIMAK'!$A$2:$R$1272,12,FALSE)+IF(ISNA(VLOOKUP($A101,'Mutasi Neraca'!$A$3:$S$910,12,FALSE)),0,VLOOKUP($A101,'Mutasi Neraca'!$A$3:$S$910,12,FALSE))</f>
        <v>7284644959</v>
      </c>
      <c r="N101" s="42">
        <f>VLOOKUP($A101,'Neraca Unaudited SIMAK'!$A$2:$R$1272,13,FALSE)+IF(ISNA(VLOOKUP($A101,'Mutasi Neraca'!$A$3:$S$910,13,FALSE)),0,VLOOKUP($A101,'Mutasi Neraca'!$A$3:$S$910,13,FALSE))</f>
        <v>-1347797762</v>
      </c>
      <c r="O101" s="42">
        <f>VLOOKUP($A101,'Neraca Unaudited SIMAK'!$A$2:$R$1272,14,FALSE)+IF(ISNA(VLOOKUP($A101,'Mutasi Neraca'!$A$3:$S$910,14,FALSE)),0,VLOOKUP($A101,'Mutasi Neraca'!$A$3:$S$910,14,FALSE))</f>
        <v>-1501994510</v>
      </c>
      <c r="P101" s="42">
        <f>VLOOKUP($A101,'Neraca Unaudited SIMAK'!$A$2:$R$1272,15,FALSE)+IF(ISNA(VLOOKUP($A101,'Mutasi Neraca'!$A$3:$S$910,15,FALSE)),0,VLOOKUP($A101,'Mutasi Neraca'!$A$3:$S$910,15,FALSE))</f>
        <v>-126147200</v>
      </c>
      <c r="Q101" s="42">
        <f>VLOOKUP($A101,'Neraca Unaudited SIMAK'!$A$2:$R$1272,16,FALSE)+IF(ISNA(VLOOKUP($A101,'Mutasi Neraca'!$A$3:$S$910,16,FALSE)),0,VLOOKUP($A101,'Mutasi Neraca'!$A$3:$S$910,16,FALSE))</f>
        <v>0</v>
      </c>
      <c r="R101" s="42">
        <f>VLOOKUP($A101,'Neraca Unaudited SIMAK'!$A$2:$R$1272,17,FALSE)+IF(ISNA(VLOOKUP($A101,'Mutasi Neraca'!$A$3:$S$910,17,FALSE)),0,VLOOKUP($A101,'Mutasi Neraca'!$A$3:$S$910,17,FALSE))</f>
        <v>-100199500</v>
      </c>
      <c r="S101" s="42">
        <f t="shared" si="45"/>
        <v>4208505987</v>
      </c>
    </row>
    <row r="102" spans="1:19">
      <c r="A102" s="41" t="s">
        <v>109</v>
      </c>
      <c r="B102" s="41" t="str">
        <f t="shared" si="44"/>
        <v>005010300</v>
      </c>
      <c r="D102" s="42">
        <f>VLOOKUP($A102,'Neraca Unaudited SIMAK'!$A$2:$R$1272,3,FALSE)+IF(ISNA(VLOOKUP($A102,'Mutasi Neraca'!$A$3:$S$910,3,FALSE)),0,VLOOKUP($A102,'Mutasi Neraca'!$A$3:$S$910,3,FALSE))</f>
        <v>553910</v>
      </c>
      <c r="E102" s="42">
        <f>VLOOKUP($A102,'Neraca Unaudited SIMAK'!$A$2:$R$1272,4,FALSE)+IF(ISNA(VLOOKUP($A102,'Mutasi Neraca'!$A$3:$S$910,4,FALSE)),0,VLOOKUP($A102,'Mutasi Neraca'!$A$3:$S$910,4,FALSE))</f>
        <v>5693857000</v>
      </c>
      <c r="F102" s="42">
        <f>VLOOKUP($A102,'Neraca Unaudited SIMAK'!$A$2:$R$1272,5,FALSE)+IF(ISNA(VLOOKUP($A102,'Mutasi Neraca'!$A$3:$S$910,5,FALSE)),0,VLOOKUP($A102,'Mutasi Neraca'!$A$3:$S$910,5,FALSE))</f>
        <v>1862939267</v>
      </c>
      <c r="G102" s="42">
        <f>VLOOKUP($A102,'Neraca Unaudited SIMAK'!$A$2:$R$1272,6,FALSE)+IF(ISNA(VLOOKUP($A102,'Mutasi Neraca'!$A$3:$S$910,6,FALSE)),0,VLOOKUP($A102,'Mutasi Neraca'!$A$3:$S$910,6,FALSE))</f>
        <v>4656103700</v>
      </c>
      <c r="H102" s="42">
        <f>VLOOKUP($A102,'Neraca Unaudited SIMAK'!$A$2:$R$1272,7,FALSE)+IF(ISNA(VLOOKUP($A102,'Mutasi Neraca'!$A$3:$S$910,7,FALSE)),0,VLOOKUP($A102,'Mutasi Neraca'!$A$3:$S$910,7,FALSE))</f>
        <v>56465855</v>
      </c>
      <c r="I102" s="42">
        <f>VLOOKUP($A102,'Neraca Unaudited SIMAK'!$A$2:$R$1272,8,FALSE)+IF(ISNA(VLOOKUP($A102,'Mutasi Neraca'!$A$3:$S$910,8,FALSE)),0,VLOOKUP($A102,'Mutasi Neraca'!$A$3:$S$910,8,FALSE))</f>
        <v>9183742</v>
      </c>
      <c r="J102" s="42">
        <f>VLOOKUP($A102,'Neraca Unaudited SIMAK'!$A$2:$R$1272,9,FALSE)+IF(ISNA(VLOOKUP($A102,'Mutasi Neraca'!$A$3:$S$910,9,FALSE)),0,VLOOKUP($A102,'Mutasi Neraca'!$A$3:$S$910,9,FALSE))</f>
        <v>0</v>
      </c>
      <c r="K102" s="42">
        <f>VLOOKUP($A102,'Neraca Unaudited SIMAK'!$A$2:$R$1272,10,FALSE)+IF(ISNA(VLOOKUP($A102,'Mutasi Neraca'!$A$3:$S$910,10,FALSE)),0,VLOOKUP($A102,'Mutasi Neraca'!$A$3:$S$910,10,FALSE))</f>
        <v>0</v>
      </c>
      <c r="L102" s="42">
        <f>VLOOKUP($A102,'Neraca Unaudited SIMAK'!$A$2:$R$1272,11,FALSE)+IF(ISNA(VLOOKUP($A102,'Mutasi Neraca'!$A$3:$S$910,11,FALSE)),0,VLOOKUP($A102,'Mutasi Neraca'!$A$3:$S$910,11,FALSE))</f>
        <v>61685200</v>
      </c>
      <c r="M102" s="42">
        <f>VLOOKUP($A102,'Neraca Unaudited SIMAK'!$A$2:$R$1272,12,FALSE)+IF(ISNA(VLOOKUP($A102,'Mutasi Neraca'!$A$3:$S$910,12,FALSE)),0,VLOOKUP($A102,'Mutasi Neraca'!$A$3:$S$910,12,FALSE))</f>
        <v>12340788674</v>
      </c>
      <c r="N102" s="42">
        <f>VLOOKUP($A102,'Neraca Unaudited SIMAK'!$A$2:$R$1272,13,FALSE)+IF(ISNA(VLOOKUP($A102,'Mutasi Neraca'!$A$3:$S$910,13,FALSE)),0,VLOOKUP($A102,'Mutasi Neraca'!$A$3:$S$910,13,FALSE))</f>
        <v>-1419412637</v>
      </c>
      <c r="O102" s="42">
        <f>VLOOKUP($A102,'Neraca Unaudited SIMAK'!$A$2:$R$1272,14,FALSE)+IF(ISNA(VLOOKUP($A102,'Mutasi Neraca'!$A$3:$S$910,14,FALSE)),0,VLOOKUP($A102,'Mutasi Neraca'!$A$3:$S$910,14,FALSE))</f>
        <v>-984268437</v>
      </c>
      <c r="P102" s="42">
        <f>VLOOKUP($A102,'Neraca Unaudited SIMAK'!$A$2:$R$1272,15,FALSE)+IF(ISNA(VLOOKUP($A102,'Mutasi Neraca'!$A$3:$S$910,15,FALSE)),0,VLOOKUP($A102,'Mutasi Neraca'!$A$3:$S$910,15,FALSE))</f>
        <v>-10587345</v>
      </c>
      <c r="Q102" s="42">
        <f>VLOOKUP($A102,'Neraca Unaudited SIMAK'!$A$2:$R$1272,16,FALSE)+IF(ISNA(VLOOKUP($A102,'Mutasi Neraca'!$A$3:$S$910,16,FALSE)),0,VLOOKUP($A102,'Mutasi Neraca'!$A$3:$S$910,16,FALSE))</f>
        <v>0</v>
      </c>
      <c r="R102" s="42">
        <f>VLOOKUP($A102,'Neraca Unaudited SIMAK'!$A$2:$R$1272,17,FALSE)+IF(ISNA(VLOOKUP($A102,'Mutasi Neraca'!$A$3:$S$910,17,FALSE)),0,VLOOKUP($A102,'Mutasi Neraca'!$A$3:$S$910,17,FALSE))</f>
        <v>-61685200</v>
      </c>
      <c r="S102" s="42">
        <f t="shared" si="45"/>
        <v>9864835055</v>
      </c>
    </row>
    <row r="103" spans="1:19">
      <c r="A103" s="41" t="s">
        <v>110</v>
      </c>
      <c r="B103" s="41" t="str">
        <f t="shared" si="44"/>
        <v>005010300</v>
      </c>
      <c r="D103" s="42">
        <f>VLOOKUP($A103,'Neraca Unaudited SIMAK'!$A$2:$R$1272,3,FALSE)+IF(ISNA(VLOOKUP($A103,'Mutasi Neraca'!$A$3:$S$910,3,FALSE)),0,VLOOKUP($A103,'Mutasi Neraca'!$A$3:$S$910,3,FALSE))</f>
        <v>8357180</v>
      </c>
      <c r="E103" s="42">
        <f>VLOOKUP($A103,'Neraca Unaudited SIMAK'!$A$2:$R$1272,4,FALSE)+IF(ISNA(VLOOKUP($A103,'Mutasi Neraca'!$A$3:$S$910,4,FALSE)),0,VLOOKUP($A103,'Mutasi Neraca'!$A$3:$S$910,4,FALSE))</f>
        <v>2404960000</v>
      </c>
      <c r="F103" s="42">
        <f>VLOOKUP($A103,'Neraca Unaudited SIMAK'!$A$2:$R$1272,5,FALSE)+IF(ISNA(VLOOKUP($A103,'Mutasi Neraca'!$A$3:$S$910,5,FALSE)),0,VLOOKUP($A103,'Mutasi Neraca'!$A$3:$S$910,5,FALSE))</f>
        <v>1775401829</v>
      </c>
      <c r="G103" s="42">
        <f>VLOOKUP($A103,'Neraca Unaudited SIMAK'!$A$2:$R$1272,6,FALSE)+IF(ISNA(VLOOKUP($A103,'Mutasi Neraca'!$A$3:$S$910,6,FALSE)),0,VLOOKUP($A103,'Mutasi Neraca'!$A$3:$S$910,6,FALSE))</f>
        <v>1781618200</v>
      </c>
      <c r="H103" s="42">
        <f>VLOOKUP($A103,'Neraca Unaudited SIMAK'!$A$2:$R$1272,7,FALSE)+IF(ISNA(VLOOKUP($A103,'Mutasi Neraca'!$A$3:$S$910,7,FALSE)),0,VLOOKUP($A103,'Mutasi Neraca'!$A$3:$S$910,7,FALSE))</f>
        <v>0</v>
      </c>
      <c r="I103" s="42">
        <f>VLOOKUP($A103,'Neraca Unaudited SIMAK'!$A$2:$R$1272,8,FALSE)+IF(ISNA(VLOOKUP($A103,'Mutasi Neraca'!$A$3:$S$910,8,FALSE)),0,VLOOKUP($A103,'Mutasi Neraca'!$A$3:$S$910,8,FALSE))</f>
        <v>9183742</v>
      </c>
      <c r="J103" s="42">
        <f>VLOOKUP($A103,'Neraca Unaudited SIMAK'!$A$2:$R$1272,9,FALSE)+IF(ISNA(VLOOKUP($A103,'Mutasi Neraca'!$A$3:$S$910,9,FALSE)),0,VLOOKUP($A103,'Mutasi Neraca'!$A$3:$S$910,9,FALSE))</f>
        <v>0</v>
      </c>
      <c r="K103" s="42">
        <f>VLOOKUP($A103,'Neraca Unaudited SIMAK'!$A$2:$R$1272,10,FALSE)+IF(ISNA(VLOOKUP($A103,'Mutasi Neraca'!$A$3:$S$910,10,FALSE)),0,VLOOKUP($A103,'Mutasi Neraca'!$A$3:$S$910,10,FALSE))</f>
        <v>0</v>
      </c>
      <c r="L103" s="42">
        <f>VLOOKUP($A103,'Neraca Unaudited SIMAK'!$A$2:$R$1272,11,FALSE)+IF(ISNA(VLOOKUP($A103,'Mutasi Neraca'!$A$3:$S$910,11,FALSE)),0,VLOOKUP($A103,'Mutasi Neraca'!$A$3:$S$910,11,FALSE))</f>
        <v>0</v>
      </c>
      <c r="M103" s="42">
        <f>VLOOKUP($A103,'Neraca Unaudited SIMAK'!$A$2:$R$1272,12,FALSE)+IF(ISNA(VLOOKUP($A103,'Mutasi Neraca'!$A$3:$S$910,12,FALSE)),0,VLOOKUP($A103,'Mutasi Neraca'!$A$3:$S$910,12,FALSE))</f>
        <v>5979520951</v>
      </c>
      <c r="N103" s="42">
        <f>VLOOKUP($A103,'Neraca Unaudited SIMAK'!$A$2:$R$1272,13,FALSE)+IF(ISNA(VLOOKUP($A103,'Mutasi Neraca'!$A$3:$S$910,13,FALSE)),0,VLOOKUP($A103,'Mutasi Neraca'!$A$3:$S$910,13,FALSE))</f>
        <v>-1592138251</v>
      </c>
      <c r="O103" s="42">
        <f>VLOOKUP($A103,'Neraca Unaudited SIMAK'!$A$2:$R$1272,14,FALSE)+IF(ISNA(VLOOKUP($A103,'Mutasi Neraca'!$A$3:$S$910,14,FALSE)),0,VLOOKUP($A103,'Mutasi Neraca'!$A$3:$S$910,14,FALSE))</f>
        <v>-340945390</v>
      </c>
      <c r="P103" s="42">
        <f>VLOOKUP($A103,'Neraca Unaudited SIMAK'!$A$2:$R$1272,15,FALSE)+IF(ISNA(VLOOKUP($A103,'Mutasi Neraca'!$A$3:$S$910,15,FALSE)),0,VLOOKUP($A103,'Mutasi Neraca'!$A$3:$S$910,15,FALSE))</f>
        <v>0</v>
      </c>
      <c r="Q103" s="42">
        <f>VLOOKUP($A103,'Neraca Unaudited SIMAK'!$A$2:$R$1272,16,FALSE)+IF(ISNA(VLOOKUP($A103,'Mutasi Neraca'!$A$3:$S$910,16,FALSE)),0,VLOOKUP($A103,'Mutasi Neraca'!$A$3:$S$910,16,FALSE))</f>
        <v>0</v>
      </c>
      <c r="R103" s="42">
        <f>VLOOKUP($A103,'Neraca Unaudited SIMAK'!$A$2:$R$1272,17,FALSE)+IF(ISNA(VLOOKUP($A103,'Mutasi Neraca'!$A$3:$S$910,17,FALSE)),0,VLOOKUP($A103,'Mutasi Neraca'!$A$3:$S$910,17,FALSE))</f>
        <v>0</v>
      </c>
      <c r="S103" s="42">
        <f t="shared" si="45"/>
        <v>4046437310</v>
      </c>
    </row>
    <row r="104" spans="1:19">
      <c r="A104" s="41" t="s">
        <v>111</v>
      </c>
      <c r="B104" s="41" t="str">
        <f t="shared" si="44"/>
        <v>005010300</v>
      </c>
      <c r="D104" s="42">
        <f>VLOOKUP($A104,'Neraca Unaudited SIMAK'!$A$2:$R$1272,3,FALSE)+IF(ISNA(VLOOKUP($A104,'Mutasi Neraca'!$A$3:$S$910,3,FALSE)),0,VLOOKUP($A104,'Mutasi Neraca'!$A$3:$S$910,3,FALSE))</f>
        <v>3654400</v>
      </c>
      <c r="E104" s="42">
        <f>VLOOKUP($A104,'Neraca Unaudited SIMAK'!$A$2:$R$1272,4,FALSE)+IF(ISNA(VLOOKUP($A104,'Mutasi Neraca'!$A$3:$S$910,4,FALSE)),0,VLOOKUP($A104,'Mutasi Neraca'!$A$3:$S$910,4,FALSE))</f>
        <v>6879994880</v>
      </c>
      <c r="F104" s="42">
        <f>VLOOKUP($A104,'Neraca Unaudited SIMAK'!$A$2:$R$1272,5,FALSE)+IF(ISNA(VLOOKUP($A104,'Mutasi Neraca'!$A$3:$S$910,5,FALSE)),0,VLOOKUP($A104,'Mutasi Neraca'!$A$3:$S$910,5,FALSE))</f>
        <v>1785537455</v>
      </c>
      <c r="G104" s="42">
        <f>VLOOKUP($A104,'Neraca Unaudited SIMAK'!$A$2:$R$1272,6,FALSE)+IF(ISNA(VLOOKUP($A104,'Mutasi Neraca'!$A$3:$S$910,6,FALSE)),0,VLOOKUP($A104,'Mutasi Neraca'!$A$3:$S$910,6,FALSE))</f>
        <v>2211527999</v>
      </c>
      <c r="H104" s="42">
        <f>VLOOKUP($A104,'Neraca Unaudited SIMAK'!$A$2:$R$1272,7,FALSE)+IF(ISNA(VLOOKUP($A104,'Mutasi Neraca'!$A$3:$S$910,7,FALSE)),0,VLOOKUP($A104,'Mutasi Neraca'!$A$3:$S$910,7,FALSE))</f>
        <v>37872000</v>
      </c>
      <c r="I104" s="42">
        <f>VLOOKUP($A104,'Neraca Unaudited SIMAK'!$A$2:$R$1272,8,FALSE)+IF(ISNA(VLOOKUP($A104,'Mutasi Neraca'!$A$3:$S$910,8,FALSE)),0,VLOOKUP($A104,'Mutasi Neraca'!$A$3:$S$910,8,FALSE))</f>
        <v>99113742</v>
      </c>
      <c r="J104" s="42">
        <f>VLOOKUP($A104,'Neraca Unaudited SIMAK'!$A$2:$R$1272,9,FALSE)+IF(ISNA(VLOOKUP($A104,'Mutasi Neraca'!$A$3:$S$910,9,FALSE)),0,VLOOKUP($A104,'Mutasi Neraca'!$A$3:$S$910,9,FALSE))</f>
        <v>0</v>
      </c>
      <c r="K104" s="42">
        <f>VLOOKUP($A104,'Neraca Unaudited SIMAK'!$A$2:$R$1272,10,FALSE)+IF(ISNA(VLOOKUP($A104,'Mutasi Neraca'!$A$3:$S$910,10,FALSE)),0,VLOOKUP($A104,'Mutasi Neraca'!$A$3:$S$910,10,FALSE))</f>
        <v>9075000</v>
      </c>
      <c r="L104" s="42">
        <f>VLOOKUP($A104,'Neraca Unaudited SIMAK'!$A$2:$R$1272,11,FALSE)+IF(ISNA(VLOOKUP($A104,'Mutasi Neraca'!$A$3:$S$910,11,FALSE)),0,VLOOKUP($A104,'Mutasi Neraca'!$A$3:$S$910,11,FALSE))</f>
        <v>78027500</v>
      </c>
      <c r="M104" s="42">
        <f>VLOOKUP($A104,'Neraca Unaudited SIMAK'!$A$2:$R$1272,12,FALSE)+IF(ISNA(VLOOKUP($A104,'Mutasi Neraca'!$A$3:$S$910,12,FALSE)),0,VLOOKUP($A104,'Mutasi Neraca'!$A$3:$S$910,12,FALSE))</f>
        <v>11104802976</v>
      </c>
      <c r="N104" s="42">
        <f>VLOOKUP($A104,'Neraca Unaudited SIMAK'!$A$2:$R$1272,13,FALSE)+IF(ISNA(VLOOKUP($A104,'Mutasi Neraca'!$A$3:$S$910,13,FALSE)),0,VLOOKUP($A104,'Mutasi Neraca'!$A$3:$S$910,13,FALSE))</f>
        <v>-1655337718</v>
      </c>
      <c r="O104" s="42">
        <f>VLOOKUP($A104,'Neraca Unaudited SIMAK'!$A$2:$R$1272,14,FALSE)+IF(ISNA(VLOOKUP($A104,'Mutasi Neraca'!$A$3:$S$910,14,FALSE)),0,VLOOKUP($A104,'Mutasi Neraca'!$A$3:$S$910,14,FALSE))</f>
        <v>-443471231</v>
      </c>
      <c r="P104" s="42">
        <f>VLOOKUP($A104,'Neraca Unaudited SIMAK'!$A$2:$R$1272,15,FALSE)+IF(ISNA(VLOOKUP($A104,'Mutasi Neraca'!$A$3:$S$910,15,FALSE)),0,VLOOKUP($A104,'Mutasi Neraca'!$A$3:$S$910,15,FALSE))</f>
        <v>-5409679</v>
      </c>
      <c r="Q104" s="42">
        <f>VLOOKUP($A104,'Neraca Unaudited SIMAK'!$A$2:$R$1272,16,FALSE)+IF(ISNA(VLOOKUP($A104,'Mutasi Neraca'!$A$3:$S$910,16,FALSE)),0,VLOOKUP($A104,'Mutasi Neraca'!$A$3:$S$910,16,FALSE))</f>
        <v>0</v>
      </c>
      <c r="R104" s="42">
        <f>VLOOKUP($A104,'Neraca Unaudited SIMAK'!$A$2:$R$1272,17,FALSE)+IF(ISNA(VLOOKUP($A104,'Mutasi Neraca'!$A$3:$S$910,17,FALSE)),0,VLOOKUP($A104,'Mutasi Neraca'!$A$3:$S$910,17,FALSE))</f>
        <v>-78027500</v>
      </c>
      <c r="S104" s="42">
        <f t="shared" si="45"/>
        <v>8922556848</v>
      </c>
    </row>
    <row r="105" spans="1:19">
      <c r="A105" s="41" t="s">
        <v>112</v>
      </c>
      <c r="B105" s="41" t="str">
        <f t="shared" si="44"/>
        <v>005010300</v>
      </c>
      <c r="D105" s="42">
        <f>VLOOKUP($A105,'Neraca Unaudited SIMAK'!$A$2:$R$1272,3,FALSE)+IF(ISNA(VLOOKUP($A105,'Mutasi Neraca'!$A$3:$S$910,3,FALSE)),0,VLOOKUP($A105,'Mutasi Neraca'!$A$3:$S$910,3,FALSE))</f>
        <v>1654500</v>
      </c>
      <c r="E105" s="42">
        <f>VLOOKUP($A105,'Neraca Unaudited SIMAK'!$A$2:$R$1272,4,FALSE)+IF(ISNA(VLOOKUP($A105,'Mutasi Neraca'!$A$3:$S$910,4,FALSE)),0,VLOOKUP($A105,'Mutasi Neraca'!$A$3:$S$910,4,FALSE))</f>
        <v>3607200000</v>
      </c>
      <c r="F105" s="42">
        <f>VLOOKUP($A105,'Neraca Unaudited SIMAK'!$A$2:$R$1272,5,FALSE)+IF(ISNA(VLOOKUP($A105,'Mutasi Neraca'!$A$3:$S$910,5,FALSE)),0,VLOOKUP($A105,'Mutasi Neraca'!$A$3:$S$910,5,FALSE))</f>
        <v>957170873</v>
      </c>
      <c r="G105" s="42">
        <f>VLOOKUP($A105,'Neraca Unaudited SIMAK'!$A$2:$R$1272,6,FALSE)+IF(ISNA(VLOOKUP($A105,'Mutasi Neraca'!$A$3:$S$910,6,FALSE)),0,VLOOKUP($A105,'Mutasi Neraca'!$A$3:$S$910,6,FALSE))</f>
        <v>4269234760</v>
      </c>
      <c r="H105" s="42">
        <f>VLOOKUP($A105,'Neraca Unaudited SIMAK'!$A$2:$R$1272,7,FALSE)+IF(ISNA(VLOOKUP($A105,'Mutasi Neraca'!$A$3:$S$910,7,FALSE)),0,VLOOKUP($A105,'Mutasi Neraca'!$A$3:$S$910,7,FALSE))</f>
        <v>0</v>
      </c>
      <c r="I105" s="42">
        <f>VLOOKUP($A105,'Neraca Unaudited SIMAK'!$A$2:$R$1272,8,FALSE)+IF(ISNA(VLOOKUP($A105,'Mutasi Neraca'!$A$3:$S$910,8,FALSE)),0,VLOOKUP($A105,'Mutasi Neraca'!$A$3:$S$910,8,FALSE))</f>
        <v>82634900</v>
      </c>
      <c r="J105" s="42">
        <f>VLOOKUP($A105,'Neraca Unaudited SIMAK'!$A$2:$R$1272,9,FALSE)+IF(ISNA(VLOOKUP($A105,'Mutasi Neraca'!$A$3:$S$910,9,FALSE)),0,VLOOKUP($A105,'Mutasi Neraca'!$A$3:$S$910,9,FALSE))</f>
        <v>0</v>
      </c>
      <c r="K105" s="42">
        <f>VLOOKUP($A105,'Neraca Unaudited SIMAK'!$A$2:$R$1272,10,FALSE)+IF(ISNA(VLOOKUP($A105,'Mutasi Neraca'!$A$3:$S$910,10,FALSE)),0,VLOOKUP($A105,'Mutasi Neraca'!$A$3:$S$910,10,FALSE))</f>
        <v>0</v>
      </c>
      <c r="L105" s="42">
        <f>VLOOKUP($A105,'Neraca Unaudited SIMAK'!$A$2:$R$1272,11,FALSE)+IF(ISNA(VLOOKUP($A105,'Mutasi Neraca'!$A$3:$S$910,11,FALSE)),0,VLOOKUP($A105,'Mutasi Neraca'!$A$3:$S$910,11,FALSE))</f>
        <v>37517840</v>
      </c>
      <c r="M105" s="42">
        <f>VLOOKUP($A105,'Neraca Unaudited SIMAK'!$A$2:$R$1272,12,FALSE)+IF(ISNA(VLOOKUP($A105,'Mutasi Neraca'!$A$3:$S$910,12,FALSE)),0,VLOOKUP($A105,'Mutasi Neraca'!$A$3:$S$910,12,FALSE))</f>
        <v>8955412873</v>
      </c>
      <c r="N105" s="42">
        <f>VLOOKUP($A105,'Neraca Unaudited SIMAK'!$A$2:$R$1272,13,FALSE)+IF(ISNA(VLOOKUP($A105,'Mutasi Neraca'!$A$3:$S$910,13,FALSE)),0,VLOOKUP($A105,'Mutasi Neraca'!$A$3:$S$910,13,FALSE))</f>
        <v>-767235518</v>
      </c>
      <c r="O105" s="42">
        <f>VLOOKUP($A105,'Neraca Unaudited SIMAK'!$A$2:$R$1272,14,FALSE)+IF(ISNA(VLOOKUP($A105,'Mutasi Neraca'!$A$3:$S$910,14,FALSE)),0,VLOOKUP($A105,'Mutasi Neraca'!$A$3:$S$910,14,FALSE))</f>
        <v>-578818275</v>
      </c>
      <c r="P105" s="42">
        <f>VLOOKUP($A105,'Neraca Unaudited SIMAK'!$A$2:$R$1272,15,FALSE)+IF(ISNA(VLOOKUP($A105,'Mutasi Neraca'!$A$3:$S$910,15,FALSE)),0,VLOOKUP($A105,'Mutasi Neraca'!$A$3:$S$910,15,FALSE))</f>
        <v>0</v>
      </c>
      <c r="Q105" s="42">
        <f>VLOOKUP($A105,'Neraca Unaudited SIMAK'!$A$2:$R$1272,16,FALSE)+IF(ISNA(VLOOKUP($A105,'Mutasi Neraca'!$A$3:$S$910,16,FALSE)),0,VLOOKUP($A105,'Mutasi Neraca'!$A$3:$S$910,16,FALSE))</f>
        <v>0</v>
      </c>
      <c r="R105" s="42">
        <f>VLOOKUP($A105,'Neraca Unaudited SIMAK'!$A$2:$R$1272,17,FALSE)+IF(ISNA(VLOOKUP($A105,'Mutasi Neraca'!$A$3:$S$910,17,FALSE)),0,VLOOKUP($A105,'Mutasi Neraca'!$A$3:$S$910,17,FALSE))</f>
        <v>-37517840</v>
      </c>
      <c r="S105" s="42">
        <f t="shared" si="45"/>
        <v>7571841240</v>
      </c>
    </row>
    <row r="106" spans="1:19">
      <c r="A106" s="41" t="s">
        <v>113</v>
      </c>
      <c r="B106" s="41" t="str">
        <f t="shared" si="44"/>
        <v>005010300</v>
      </c>
      <c r="D106" s="42">
        <f>VLOOKUP($A106,'Neraca Unaudited SIMAK'!$A$2:$R$1272,3,FALSE)+IF(ISNA(VLOOKUP($A106,'Mutasi Neraca'!$A$3:$S$910,3,FALSE)),0,VLOOKUP($A106,'Mutasi Neraca'!$A$3:$S$910,3,FALSE))</f>
        <v>376425</v>
      </c>
      <c r="E106" s="42">
        <f>VLOOKUP($A106,'Neraca Unaudited SIMAK'!$A$2:$R$1272,4,FALSE)+IF(ISNA(VLOOKUP($A106,'Mutasi Neraca'!$A$3:$S$910,4,FALSE)),0,VLOOKUP($A106,'Mutasi Neraca'!$A$3:$S$910,4,FALSE))</f>
        <v>1464240000</v>
      </c>
      <c r="F106" s="42">
        <f>VLOOKUP($A106,'Neraca Unaudited SIMAK'!$A$2:$R$1272,5,FALSE)+IF(ISNA(VLOOKUP($A106,'Mutasi Neraca'!$A$3:$S$910,5,FALSE)),0,VLOOKUP($A106,'Mutasi Neraca'!$A$3:$S$910,5,FALSE))</f>
        <v>1277490628</v>
      </c>
      <c r="G106" s="42">
        <f>VLOOKUP($A106,'Neraca Unaudited SIMAK'!$A$2:$R$1272,6,FALSE)+IF(ISNA(VLOOKUP($A106,'Mutasi Neraca'!$A$3:$S$910,6,FALSE)),0,VLOOKUP($A106,'Mutasi Neraca'!$A$3:$S$910,6,FALSE))</f>
        <v>4210875750</v>
      </c>
      <c r="H106" s="42">
        <f>VLOOKUP($A106,'Neraca Unaudited SIMAK'!$A$2:$R$1272,7,FALSE)+IF(ISNA(VLOOKUP($A106,'Mutasi Neraca'!$A$3:$S$910,7,FALSE)),0,VLOOKUP($A106,'Mutasi Neraca'!$A$3:$S$910,7,FALSE))</f>
        <v>13536000</v>
      </c>
      <c r="I106" s="42">
        <f>VLOOKUP($A106,'Neraca Unaudited SIMAK'!$A$2:$R$1272,8,FALSE)+IF(ISNA(VLOOKUP($A106,'Mutasi Neraca'!$A$3:$S$910,8,FALSE)),0,VLOOKUP($A106,'Mutasi Neraca'!$A$3:$S$910,8,FALSE))</f>
        <v>3236678</v>
      </c>
      <c r="J106" s="42">
        <f>VLOOKUP($A106,'Neraca Unaudited SIMAK'!$A$2:$R$1272,9,FALSE)+IF(ISNA(VLOOKUP($A106,'Mutasi Neraca'!$A$3:$S$910,9,FALSE)),0,VLOOKUP($A106,'Mutasi Neraca'!$A$3:$S$910,9,FALSE))</f>
        <v>0</v>
      </c>
      <c r="K106" s="42">
        <f>VLOOKUP($A106,'Neraca Unaudited SIMAK'!$A$2:$R$1272,10,FALSE)+IF(ISNA(VLOOKUP($A106,'Mutasi Neraca'!$A$3:$S$910,10,FALSE)),0,VLOOKUP($A106,'Mutasi Neraca'!$A$3:$S$910,10,FALSE))</f>
        <v>0</v>
      </c>
      <c r="L106" s="42">
        <f>VLOOKUP($A106,'Neraca Unaudited SIMAK'!$A$2:$R$1272,11,FALSE)+IF(ISNA(VLOOKUP($A106,'Mutasi Neraca'!$A$3:$S$910,11,FALSE)),0,VLOOKUP($A106,'Mutasi Neraca'!$A$3:$S$910,11,FALSE))</f>
        <v>-270000</v>
      </c>
      <c r="M106" s="42">
        <f>VLOOKUP($A106,'Neraca Unaudited SIMAK'!$A$2:$R$1272,12,FALSE)+IF(ISNA(VLOOKUP($A106,'Mutasi Neraca'!$A$3:$S$910,12,FALSE)),0,VLOOKUP($A106,'Mutasi Neraca'!$A$3:$S$910,12,FALSE))</f>
        <v>6969485481</v>
      </c>
      <c r="N106" s="42">
        <f>VLOOKUP($A106,'Neraca Unaudited SIMAK'!$A$2:$R$1272,13,FALSE)+IF(ISNA(VLOOKUP($A106,'Mutasi Neraca'!$A$3:$S$910,13,FALSE)),0,VLOOKUP($A106,'Mutasi Neraca'!$A$3:$S$910,13,FALSE))</f>
        <v>-1115549496</v>
      </c>
      <c r="O106" s="42">
        <f>VLOOKUP($A106,'Neraca Unaudited SIMAK'!$A$2:$R$1272,14,FALSE)+IF(ISNA(VLOOKUP($A106,'Mutasi Neraca'!$A$3:$S$910,14,FALSE)),0,VLOOKUP($A106,'Mutasi Neraca'!$A$3:$S$910,14,FALSE))</f>
        <v>-826101674</v>
      </c>
      <c r="P106" s="42">
        <f>VLOOKUP($A106,'Neraca Unaudited SIMAK'!$A$2:$R$1272,15,FALSE)+IF(ISNA(VLOOKUP($A106,'Mutasi Neraca'!$A$3:$S$910,15,FALSE)),0,VLOOKUP($A106,'Mutasi Neraca'!$A$3:$S$910,15,FALSE))</f>
        <v>-13536000</v>
      </c>
      <c r="Q106" s="42">
        <f>VLOOKUP($A106,'Neraca Unaudited SIMAK'!$A$2:$R$1272,16,FALSE)+IF(ISNA(VLOOKUP($A106,'Mutasi Neraca'!$A$3:$S$910,16,FALSE)),0,VLOOKUP($A106,'Mutasi Neraca'!$A$3:$S$910,16,FALSE))</f>
        <v>0</v>
      </c>
      <c r="R106" s="42">
        <f>VLOOKUP($A106,'Neraca Unaudited SIMAK'!$A$2:$R$1272,17,FALSE)+IF(ISNA(VLOOKUP($A106,'Mutasi Neraca'!$A$3:$S$910,17,FALSE)),0,VLOOKUP($A106,'Mutasi Neraca'!$A$3:$S$910,17,FALSE))</f>
        <v>270000</v>
      </c>
      <c r="S106" s="42">
        <f t="shared" si="45"/>
        <v>5014568311</v>
      </c>
    </row>
    <row r="107" spans="1:19">
      <c r="A107" s="41" t="s">
        <v>114</v>
      </c>
      <c r="B107" s="41" t="str">
        <f t="shared" si="44"/>
        <v>005010300</v>
      </c>
      <c r="D107" s="42">
        <f>VLOOKUP($A107,'Neraca Unaudited SIMAK'!$A$2:$R$1272,3,FALSE)+IF(ISNA(VLOOKUP($A107,'Mutasi Neraca'!$A$3:$S$910,3,FALSE)),0,VLOOKUP($A107,'Mutasi Neraca'!$A$3:$S$910,3,FALSE))</f>
        <v>976000</v>
      </c>
      <c r="E107" s="42">
        <f>VLOOKUP($A107,'Neraca Unaudited SIMAK'!$A$2:$R$1272,4,FALSE)+IF(ISNA(VLOOKUP($A107,'Mutasi Neraca'!$A$3:$S$910,4,FALSE)),0,VLOOKUP($A107,'Mutasi Neraca'!$A$3:$S$910,4,FALSE))</f>
        <v>4295777000</v>
      </c>
      <c r="F107" s="42">
        <f>VLOOKUP($A107,'Neraca Unaudited SIMAK'!$A$2:$R$1272,5,FALSE)+IF(ISNA(VLOOKUP($A107,'Mutasi Neraca'!$A$3:$S$910,5,FALSE)),0,VLOOKUP($A107,'Mutasi Neraca'!$A$3:$S$910,5,FALSE))</f>
        <v>1639877792</v>
      </c>
      <c r="G107" s="42">
        <f>VLOOKUP($A107,'Neraca Unaudited SIMAK'!$A$2:$R$1272,6,FALSE)+IF(ISNA(VLOOKUP($A107,'Mutasi Neraca'!$A$3:$S$910,6,FALSE)),0,VLOOKUP($A107,'Mutasi Neraca'!$A$3:$S$910,6,FALSE))</f>
        <v>6453126250</v>
      </c>
      <c r="H107" s="42">
        <f>VLOOKUP($A107,'Neraca Unaudited SIMAK'!$A$2:$R$1272,7,FALSE)+IF(ISNA(VLOOKUP($A107,'Mutasi Neraca'!$A$3:$S$910,7,FALSE)),0,VLOOKUP($A107,'Mutasi Neraca'!$A$3:$S$910,7,FALSE))</f>
        <v>0</v>
      </c>
      <c r="I107" s="42">
        <f>VLOOKUP($A107,'Neraca Unaudited SIMAK'!$A$2:$R$1272,8,FALSE)+IF(ISNA(VLOOKUP($A107,'Mutasi Neraca'!$A$3:$S$910,8,FALSE)),0,VLOOKUP($A107,'Mutasi Neraca'!$A$3:$S$910,8,FALSE))</f>
        <v>4369580</v>
      </c>
      <c r="J107" s="42">
        <f>VLOOKUP($A107,'Neraca Unaudited SIMAK'!$A$2:$R$1272,9,FALSE)+IF(ISNA(VLOOKUP($A107,'Mutasi Neraca'!$A$3:$S$910,9,FALSE)),0,VLOOKUP($A107,'Mutasi Neraca'!$A$3:$S$910,9,FALSE))</f>
        <v>0</v>
      </c>
      <c r="K107" s="42">
        <f>VLOOKUP($A107,'Neraca Unaudited SIMAK'!$A$2:$R$1272,10,FALSE)+IF(ISNA(VLOOKUP($A107,'Mutasi Neraca'!$A$3:$S$910,10,FALSE)),0,VLOOKUP($A107,'Mutasi Neraca'!$A$3:$S$910,10,FALSE))</f>
        <v>0</v>
      </c>
      <c r="L107" s="42">
        <f>VLOOKUP($A107,'Neraca Unaudited SIMAK'!$A$2:$R$1272,11,FALSE)+IF(ISNA(VLOOKUP($A107,'Mutasi Neraca'!$A$3:$S$910,11,FALSE)),0,VLOOKUP($A107,'Mutasi Neraca'!$A$3:$S$910,11,FALSE))</f>
        <v>14451000</v>
      </c>
      <c r="M107" s="42">
        <f>VLOOKUP($A107,'Neraca Unaudited SIMAK'!$A$2:$R$1272,12,FALSE)+IF(ISNA(VLOOKUP($A107,'Mutasi Neraca'!$A$3:$S$910,12,FALSE)),0,VLOOKUP($A107,'Mutasi Neraca'!$A$3:$S$910,12,FALSE))</f>
        <v>12408577622</v>
      </c>
      <c r="N107" s="42">
        <f>VLOOKUP($A107,'Neraca Unaudited SIMAK'!$A$2:$R$1272,13,FALSE)+IF(ISNA(VLOOKUP($A107,'Mutasi Neraca'!$A$3:$S$910,13,FALSE)),0,VLOOKUP($A107,'Mutasi Neraca'!$A$3:$S$910,13,FALSE))</f>
        <v>-1600131351</v>
      </c>
      <c r="O107" s="42">
        <f>VLOOKUP($A107,'Neraca Unaudited SIMAK'!$A$2:$R$1272,14,FALSE)+IF(ISNA(VLOOKUP($A107,'Mutasi Neraca'!$A$3:$S$910,14,FALSE)),0,VLOOKUP($A107,'Mutasi Neraca'!$A$3:$S$910,14,FALSE))</f>
        <v>-982294304</v>
      </c>
      <c r="P107" s="42">
        <f>VLOOKUP($A107,'Neraca Unaudited SIMAK'!$A$2:$R$1272,15,FALSE)+IF(ISNA(VLOOKUP($A107,'Mutasi Neraca'!$A$3:$S$910,15,FALSE)),0,VLOOKUP($A107,'Mutasi Neraca'!$A$3:$S$910,15,FALSE))</f>
        <v>0</v>
      </c>
      <c r="Q107" s="42">
        <f>VLOOKUP($A107,'Neraca Unaudited SIMAK'!$A$2:$R$1272,16,FALSE)+IF(ISNA(VLOOKUP($A107,'Mutasi Neraca'!$A$3:$S$910,16,FALSE)),0,VLOOKUP($A107,'Mutasi Neraca'!$A$3:$S$910,16,FALSE))</f>
        <v>0</v>
      </c>
      <c r="R107" s="42">
        <f>VLOOKUP($A107,'Neraca Unaudited SIMAK'!$A$2:$R$1272,17,FALSE)+IF(ISNA(VLOOKUP($A107,'Mutasi Neraca'!$A$3:$S$910,17,FALSE)),0,VLOOKUP($A107,'Mutasi Neraca'!$A$3:$S$910,17,FALSE))</f>
        <v>-14451000</v>
      </c>
      <c r="S107" s="42">
        <f t="shared" si="45"/>
        <v>9811700967</v>
      </c>
    </row>
    <row r="108" spans="1:19">
      <c r="A108" s="41" t="s">
        <v>115</v>
      </c>
      <c r="B108" s="41" t="str">
        <f t="shared" si="44"/>
        <v>005010300</v>
      </c>
      <c r="D108" s="42">
        <f>VLOOKUP($A108,'Neraca Unaudited SIMAK'!$A$2:$R$1272,3,FALSE)+IF(ISNA(VLOOKUP($A108,'Mutasi Neraca'!$A$3:$S$910,3,FALSE)),0,VLOOKUP($A108,'Mutasi Neraca'!$A$3:$S$910,3,FALSE))</f>
        <v>192500</v>
      </c>
      <c r="E108" s="42">
        <f>VLOOKUP($A108,'Neraca Unaudited SIMAK'!$A$2:$R$1272,4,FALSE)+IF(ISNA(VLOOKUP($A108,'Mutasi Neraca'!$A$3:$S$910,4,FALSE)),0,VLOOKUP($A108,'Mutasi Neraca'!$A$3:$S$910,4,FALSE))</f>
        <v>5829572000</v>
      </c>
      <c r="F108" s="42">
        <f>VLOOKUP($A108,'Neraca Unaudited SIMAK'!$A$2:$R$1272,5,FALSE)+IF(ISNA(VLOOKUP($A108,'Mutasi Neraca'!$A$3:$S$910,5,FALSE)),0,VLOOKUP($A108,'Mutasi Neraca'!$A$3:$S$910,5,FALSE))</f>
        <v>1031417581</v>
      </c>
      <c r="G108" s="42">
        <f>VLOOKUP($A108,'Neraca Unaudited SIMAK'!$A$2:$R$1272,6,FALSE)+IF(ISNA(VLOOKUP($A108,'Mutasi Neraca'!$A$3:$S$910,6,FALSE)),0,VLOOKUP($A108,'Mutasi Neraca'!$A$3:$S$910,6,FALSE))</f>
        <v>5631318800</v>
      </c>
      <c r="H108" s="42">
        <f>VLOOKUP($A108,'Neraca Unaudited SIMAK'!$A$2:$R$1272,7,FALSE)+IF(ISNA(VLOOKUP($A108,'Mutasi Neraca'!$A$3:$S$910,7,FALSE)),0,VLOOKUP($A108,'Mutasi Neraca'!$A$3:$S$910,7,FALSE))</f>
        <v>0</v>
      </c>
      <c r="I108" s="42">
        <f>VLOOKUP($A108,'Neraca Unaudited SIMAK'!$A$2:$R$1272,8,FALSE)+IF(ISNA(VLOOKUP($A108,'Mutasi Neraca'!$A$3:$S$910,8,FALSE)),0,VLOOKUP($A108,'Mutasi Neraca'!$A$3:$S$910,8,FALSE))</f>
        <v>89135578</v>
      </c>
      <c r="J108" s="42">
        <f>VLOOKUP($A108,'Neraca Unaudited SIMAK'!$A$2:$R$1272,9,FALSE)+IF(ISNA(VLOOKUP($A108,'Mutasi Neraca'!$A$3:$S$910,9,FALSE)),0,VLOOKUP($A108,'Mutasi Neraca'!$A$3:$S$910,9,FALSE))</f>
        <v>0</v>
      </c>
      <c r="K108" s="42">
        <f>VLOOKUP($A108,'Neraca Unaudited SIMAK'!$A$2:$R$1272,10,FALSE)+IF(ISNA(VLOOKUP($A108,'Mutasi Neraca'!$A$3:$S$910,10,FALSE)),0,VLOOKUP($A108,'Mutasi Neraca'!$A$3:$S$910,10,FALSE))</f>
        <v>0</v>
      </c>
      <c r="L108" s="42">
        <f>VLOOKUP($A108,'Neraca Unaudited SIMAK'!$A$2:$R$1272,11,FALSE)+IF(ISNA(VLOOKUP($A108,'Mutasi Neraca'!$A$3:$S$910,11,FALSE)),0,VLOOKUP($A108,'Mutasi Neraca'!$A$3:$S$910,11,FALSE))</f>
        <v>0</v>
      </c>
      <c r="M108" s="42">
        <f>VLOOKUP($A108,'Neraca Unaudited SIMAK'!$A$2:$R$1272,12,FALSE)+IF(ISNA(VLOOKUP($A108,'Mutasi Neraca'!$A$3:$S$910,12,FALSE)),0,VLOOKUP($A108,'Mutasi Neraca'!$A$3:$S$910,12,FALSE))</f>
        <v>12581636459</v>
      </c>
      <c r="N108" s="42">
        <f>VLOOKUP($A108,'Neraca Unaudited SIMAK'!$A$2:$R$1272,13,FALSE)+IF(ISNA(VLOOKUP($A108,'Mutasi Neraca'!$A$3:$S$910,13,FALSE)),0,VLOOKUP($A108,'Mutasi Neraca'!$A$3:$S$910,13,FALSE))</f>
        <v>-907740741</v>
      </c>
      <c r="O108" s="42">
        <f>VLOOKUP($A108,'Neraca Unaudited SIMAK'!$A$2:$R$1272,14,FALSE)+IF(ISNA(VLOOKUP($A108,'Mutasi Neraca'!$A$3:$S$910,14,FALSE)),0,VLOOKUP($A108,'Mutasi Neraca'!$A$3:$S$910,14,FALSE))</f>
        <v>-531369582</v>
      </c>
      <c r="P108" s="42">
        <f>VLOOKUP($A108,'Neraca Unaudited SIMAK'!$A$2:$R$1272,15,FALSE)+IF(ISNA(VLOOKUP($A108,'Mutasi Neraca'!$A$3:$S$910,15,FALSE)),0,VLOOKUP($A108,'Mutasi Neraca'!$A$3:$S$910,15,FALSE))</f>
        <v>0</v>
      </c>
      <c r="Q108" s="42">
        <f>VLOOKUP($A108,'Neraca Unaudited SIMAK'!$A$2:$R$1272,16,FALSE)+IF(ISNA(VLOOKUP($A108,'Mutasi Neraca'!$A$3:$S$910,16,FALSE)),0,VLOOKUP($A108,'Mutasi Neraca'!$A$3:$S$910,16,FALSE))</f>
        <v>0</v>
      </c>
      <c r="R108" s="42">
        <f>VLOOKUP($A108,'Neraca Unaudited SIMAK'!$A$2:$R$1272,17,FALSE)+IF(ISNA(VLOOKUP($A108,'Mutasi Neraca'!$A$3:$S$910,17,FALSE)),0,VLOOKUP($A108,'Mutasi Neraca'!$A$3:$S$910,17,FALSE))</f>
        <v>0</v>
      </c>
      <c r="S108" s="42">
        <f t="shared" si="45"/>
        <v>11142526136</v>
      </c>
    </row>
    <row r="109" spans="1:19">
      <c r="A109" s="41" t="s">
        <v>116</v>
      </c>
      <c r="B109" s="41" t="str">
        <f t="shared" si="44"/>
        <v>005010300</v>
      </c>
      <c r="D109" s="42">
        <f>VLOOKUP($A109,'Neraca Unaudited SIMAK'!$A$2:$R$1272,3,FALSE)+IF(ISNA(VLOOKUP($A109,'Mutasi Neraca'!$A$3:$S$910,3,FALSE)),0,VLOOKUP($A109,'Mutasi Neraca'!$A$3:$S$910,3,FALSE))</f>
        <v>6215000</v>
      </c>
      <c r="E109" s="42">
        <f>VLOOKUP($A109,'Neraca Unaudited SIMAK'!$A$2:$R$1272,4,FALSE)+IF(ISNA(VLOOKUP($A109,'Mutasi Neraca'!$A$3:$S$910,4,FALSE)),0,VLOOKUP($A109,'Mutasi Neraca'!$A$3:$S$910,4,FALSE))</f>
        <v>3927319096</v>
      </c>
      <c r="F109" s="42">
        <f>VLOOKUP($A109,'Neraca Unaudited SIMAK'!$A$2:$R$1272,5,FALSE)+IF(ISNA(VLOOKUP($A109,'Mutasi Neraca'!$A$3:$S$910,5,FALSE)),0,VLOOKUP($A109,'Mutasi Neraca'!$A$3:$S$910,5,FALSE))</f>
        <v>1200352236</v>
      </c>
      <c r="G109" s="42">
        <f>VLOOKUP($A109,'Neraca Unaudited SIMAK'!$A$2:$R$1272,6,FALSE)+IF(ISNA(VLOOKUP($A109,'Mutasi Neraca'!$A$3:$S$910,6,FALSE)),0,VLOOKUP($A109,'Mutasi Neraca'!$A$3:$S$910,6,FALSE))</f>
        <v>5321115440</v>
      </c>
      <c r="H109" s="42">
        <f>VLOOKUP($A109,'Neraca Unaudited SIMAK'!$A$2:$R$1272,7,FALSE)+IF(ISNA(VLOOKUP($A109,'Mutasi Neraca'!$A$3:$S$910,7,FALSE)),0,VLOOKUP($A109,'Mutasi Neraca'!$A$3:$S$910,7,FALSE))</f>
        <v>0</v>
      </c>
      <c r="I109" s="42">
        <f>VLOOKUP($A109,'Neraca Unaudited SIMAK'!$A$2:$R$1272,8,FALSE)+IF(ISNA(VLOOKUP($A109,'Mutasi Neraca'!$A$3:$S$910,8,FALSE)),0,VLOOKUP($A109,'Mutasi Neraca'!$A$3:$S$910,8,FALSE))</f>
        <v>74823735</v>
      </c>
      <c r="J109" s="42">
        <f>VLOOKUP($A109,'Neraca Unaudited SIMAK'!$A$2:$R$1272,9,FALSE)+IF(ISNA(VLOOKUP($A109,'Mutasi Neraca'!$A$3:$S$910,9,FALSE)),0,VLOOKUP($A109,'Mutasi Neraca'!$A$3:$S$910,9,FALSE))</f>
        <v>0</v>
      </c>
      <c r="K109" s="42">
        <f>VLOOKUP($A109,'Neraca Unaudited SIMAK'!$A$2:$R$1272,10,FALSE)+IF(ISNA(VLOOKUP($A109,'Mutasi Neraca'!$A$3:$S$910,10,FALSE)),0,VLOOKUP($A109,'Mutasi Neraca'!$A$3:$S$910,10,FALSE))</f>
        <v>0</v>
      </c>
      <c r="L109" s="42">
        <f>VLOOKUP($A109,'Neraca Unaudited SIMAK'!$A$2:$R$1272,11,FALSE)+IF(ISNA(VLOOKUP($A109,'Mutasi Neraca'!$A$3:$S$910,11,FALSE)),0,VLOOKUP($A109,'Mutasi Neraca'!$A$3:$S$910,11,FALSE))</f>
        <v>0</v>
      </c>
      <c r="M109" s="42">
        <f>VLOOKUP($A109,'Neraca Unaudited SIMAK'!$A$2:$R$1272,12,FALSE)+IF(ISNA(VLOOKUP($A109,'Mutasi Neraca'!$A$3:$S$910,12,FALSE)),0,VLOOKUP($A109,'Mutasi Neraca'!$A$3:$S$910,12,FALSE))</f>
        <v>10529825507</v>
      </c>
      <c r="N109" s="42">
        <f>VLOOKUP($A109,'Neraca Unaudited SIMAK'!$A$2:$R$1272,13,FALSE)+IF(ISNA(VLOOKUP($A109,'Mutasi Neraca'!$A$3:$S$910,13,FALSE)),0,VLOOKUP($A109,'Mutasi Neraca'!$A$3:$S$910,13,FALSE))</f>
        <v>-828607158</v>
      </c>
      <c r="O109" s="42">
        <f>VLOOKUP($A109,'Neraca Unaudited SIMAK'!$A$2:$R$1272,14,FALSE)+IF(ISNA(VLOOKUP($A109,'Mutasi Neraca'!$A$3:$S$910,14,FALSE)),0,VLOOKUP($A109,'Mutasi Neraca'!$A$3:$S$910,14,FALSE))</f>
        <v>-405311133</v>
      </c>
      <c r="P109" s="42">
        <f>VLOOKUP($A109,'Neraca Unaudited SIMAK'!$A$2:$R$1272,15,FALSE)+IF(ISNA(VLOOKUP($A109,'Mutasi Neraca'!$A$3:$S$910,15,FALSE)),0,VLOOKUP($A109,'Mutasi Neraca'!$A$3:$S$910,15,FALSE))</f>
        <v>0</v>
      </c>
      <c r="Q109" s="42">
        <f>VLOOKUP($A109,'Neraca Unaudited SIMAK'!$A$2:$R$1272,16,FALSE)+IF(ISNA(VLOOKUP($A109,'Mutasi Neraca'!$A$3:$S$910,16,FALSE)),0,VLOOKUP($A109,'Mutasi Neraca'!$A$3:$S$910,16,FALSE))</f>
        <v>0</v>
      </c>
      <c r="R109" s="42">
        <f>VLOOKUP($A109,'Neraca Unaudited SIMAK'!$A$2:$R$1272,17,FALSE)+IF(ISNA(VLOOKUP($A109,'Mutasi Neraca'!$A$3:$S$910,17,FALSE)),0,VLOOKUP($A109,'Mutasi Neraca'!$A$3:$S$910,17,FALSE))</f>
        <v>0</v>
      </c>
      <c r="S109" s="42">
        <f t="shared" si="45"/>
        <v>9295907216</v>
      </c>
    </row>
    <row r="110" spans="1:19">
      <c r="A110" s="41" t="s">
        <v>117</v>
      </c>
      <c r="B110" s="41" t="str">
        <f t="shared" si="44"/>
        <v>005010300</v>
      </c>
      <c r="D110" s="42">
        <f>VLOOKUP($A110,'Neraca Unaudited SIMAK'!$A$2:$R$1272,3,FALSE)+IF(ISNA(VLOOKUP($A110,'Mutasi Neraca'!$A$3:$S$910,3,FALSE)),0,VLOOKUP($A110,'Mutasi Neraca'!$A$3:$S$910,3,FALSE))</f>
        <v>2894200</v>
      </c>
      <c r="E110" s="42">
        <f>VLOOKUP($A110,'Neraca Unaudited SIMAK'!$A$2:$R$1272,4,FALSE)+IF(ISNA(VLOOKUP($A110,'Mutasi Neraca'!$A$3:$S$910,4,FALSE)),0,VLOOKUP($A110,'Mutasi Neraca'!$A$3:$S$910,4,FALSE))</f>
        <v>5930620000</v>
      </c>
      <c r="F110" s="42">
        <f>VLOOKUP($A110,'Neraca Unaudited SIMAK'!$A$2:$R$1272,5,FALSE)+IF(ISNA(VLOOKUP($A110,'Mutasi Neraca'!$A$3:$S$910,5,FALSE)),0,VLOOKUP($A110,'Mutasi Neraca'!$A$3:$S$910,5,FALSE))</f>
        <v>1567002207</v>
      </c>
      <c r="G110" s="42">
        <f>VLOOKUP($A110,'Neraca Unaudited SIMAK'!$A$2:$R$1272,6,FALSE)+IF(ISNA(VLOOKUP($A110,'Mutasi Neraca'!$A$3:$S$910,6,FALSE)),0,VLOOKUP($A110,'Mutasi Neraca'!$A$3:$S$910,6,FALSE))</f>
        <v>6688736000</v>
      </c>
      <c r="H110" s="42">
        <f>VLOOKUP($A110,'Neraca Unaudited SIMAK'!$A$2:$R$1272,7,FALSE)+IF(ISNA(VLOOKUP($A110,'Mutasi Neraca'!$A$3:$S$910,7,FALSE)),0,VLOOKUP($A110,'Mutasi Neraca'!$A$3:$S$910,7,FALSE))</f>
        <v>49900000</v>
      </c>
      <c r="I110" s="42">
        <f>VLOOKUP($A110,'Neraca Unaudited SIMAK'!$A$2:$R$1272,8,FALSE)+IF(ISNA(VLOOKUP($A110,'Mutasi Neraca'!$A$3:$S$910,8,FALSE)),0,VLOOKUP($A110,'Mutasi Neraca'!$A$3:$S$910,8,FALSE))</f>
        <v>3746580</v>
      </c>
      <c r="J110" s="42">
        <f>VLOOKUP($A110,'Neraca Unaudited SIMAK'!$A$2:$R$1272,9,FALSE)+IF(ISNA(VLOOKUP($A110,'Mutasi Neraca'!$A$3:$S$910,9,FALSE)),0,VLOOKUP($A110,'Mutasi Neraca'!$A$3:$S$910,9,FALSE))</f>
        <v>0</v>
      </c>
      <c r="K110" s="42">
        <f>VLOOKUP($A110,'Neraca Unaudited SIMAK'!$A$2:$R$1272,10,FALSE)+IF(ISNA(VLOOKUP($A110,'Mutasi Neraca'!$A$3:$S$910,10,FALSE)),0,VLOOKUP($A110,'Mutasi Neraca'!$A$3:$S$910,10,FALSE))</f>
        <v>0</v>
      </c>
      <c r="L110" s="42">
        <f>VLOOKUP($A110,'Neraca Unaudited SIMAK'!$A$2:$R$1272,11,FALSE)+IF(ISNA(VLOOKUP($A110,'Mutasi Neraca'!$A$3:$S$910,11,FALSE)),0,VLOOKUP($A110,'Mutasi Neraca'!$A$3:$S$910,11,FALSE))</f>
        <v>74615171</v>
      </c>
      <c r="M110" s="42">
        <f>VLOOKUP($A110,'Neraca Unaudited SIMAK'!$A$2:$R$1272,12,FALSE)+IF(ISNA(VLOOKUP($A110,'Mutasi Neraca'!$A$3:$S$910,12,FALSE)),0,VLOOKUP($A110,'Mutasi Neraca'!$A$3:$S$910,12,FALSE))</f>
        <v>14317514158</v>
      </c>
      <c r="N110" s="42">
        <f>VLOOKUP($A110,'Neraca Unaudited SIMAK'!$A$2:$R$1272,13,FALSE)+IF(ISNA(VLOOKUP($A110,'Mutasi Neraca'!$A$3:$S$910,13,FALSE)),0,VLOOKUP($A110,'Mutasi Neraca'!$A$3:$S$910,13,FALSE))</f>
        <v>-941482052</v>
      </c>
      <c r="O110" s="42">
        <f>VLOOKUP($A110,'Neraca Unaudited SIMAK'!$A$2:$R$1272,14,FALSE)+IF(ISNA(VLOOKUP($A110,'Mutasi Neraca'!$A$3:$S$910,14,FALSE)),0,VLOOKUP($A110,'Mutasi Neraca'!$A$3:$S$910,14,FALSE))</f>
        <v>-292171765</v>
      </c>
      <c r="P110" s="42">
        <f>VLOOKUP($A110,'Neraca Unaudited SIMAK'!$A$2:$R$1272,15,FALSE)+IF(ISNA(VLOOKUP($A110,'Mutasi Neraca'!$A$3:$S$910,15,FALSE)),0,VLOOKUP($A110,'Mutasi Neraca'!$A$3:$S$910,15,FALSE))</f>
        <v>-9980000</v>
      </c>
      <c r="Q110" s="42">
        <f>VLOOKUP($A110,'Neraca Unaudited SIMAK'!$A$2:$R$1272,16,FALSE)+IF(ISNA(VLOOKUP($A110,'Mutasi Neraca'!$A$3:$S$910,16,FALSE)),0,VLOOKUP($A110,'Mutasi Neraca'!$A$3:$S$910,16,FALSE))</f>
        <v>0</v>
      </c>
      <c r="R110" s="42">
        <f>VLOOKUP($A110,'Neraca Unaudited SIMAK'!$A$2:$R$1272,17,FALSE)+IF(ISNA(VLOOKUP($A110,'Mutasi Neraca'!$A$3:$S$910,17,FALSE)),0,VLOOKUP($A110,'Mutasi Neraca'!$A$3:$S$910,17,FALSE))</f>
        <v>-74615004</v>
      </c>
      <c r="S110" s="42">
        <f t="shared" si="45"/>
        <v>12999265337</v>
      </c>
    </row>
    <row r="111" spans="1:19">
      <c r="A111" s="41" t="s">
        <v>118</v>
      </c>
      <c r="B111" s="41" t="str">
        <f t="shared" si="44"/>
        <v>005010300</v>
      </c>
      <c r="D111" s="42">
        <f>VLOOKUP($A111,'Neraca Unaudited SIMAK'!$A$2:$R$1272,3,FALSE)+IF(ISNA(VLOOKUP($A111,'Mutasi Neraca'!$A$3:$S$910,3,FALSE)),0,VLOOKUP($A111,'Mutasi Neraca'!$A$3:$S$910,3,FALSE))</f>
        <v>2397225</v>
      </c>
      <c r="E111" s="42">
        <f>VLOOKUP($A111,'Neraca Unaudited SIMAK'!$A$2:$R$1272,4,FALSE)+IF(ISNA(VLOOKUP($A111,'Mutasi Neraca'!$A$3:$S$910,4,FALSE)),0,VLOOKUP($A111,'Mutasi Neraca'!$A$3:$S$910,4,FALSE))</f>
        <v>5727500000</v>
      </c>
      <c r="F111" s="42">
        <f>VLOOKUP($A111,'Neraca Unaudited SIMAK'!$A$2:$R$1272,5,FALSE)+IF(ISNA(VLOOKUP($A111,'Mutasi Neraca'!$A$3:$S$910,5,FALSE)),0,VLOOKUP($A111,'Mutasi Neraca'!$A$3:$S$910,5,FALSE))</f>
        <v>1554916588</v>
      </c>
      <c r="G111" s="42">
        <f>VLOOKUP($A111,'Neraca Unaudited SIMAK'!$A$2:$R$1272,6,FALSE)+IF(ISNA(VLOOKUP($A111,'Mutasi Neraca'!$A$3:$S$910,6,FALSE)),0,VLOOKUP($A111,'Mutasi Neraca'!$A$3:$S$910,6,FALSE))</f>
        <v>6278251000</v>
      </c>
      <c r="H111" s="42">
        <f>VLOOKUP($A111,'Neraca Unaudited SIMAK'!$A$2:$R$1272,7,FALSE)+IF(ISNA(VLOOKUP($A111,'Mutasi Neraca'!$A$3:$S$910,7,FALSE)),0,VLOOKUP($A111,'Mutasi Neraca'!$A$3:$S$910,7,FALSE))</f>
        <v>66200000</v>
      </c>
      <c r="I111" s="42">
        <f>VLOOKUP($A111,'Neraca Unaudited SIMAK'!$A$2:$R$1272,8,FALSE)+IF(ISNA(VLOOKUP($A111,'Mutasi Neraca'!$A$3:$S$910,8,FALSE)),0,VLOOKUP($A111,'Mutasi Neraca'!$A$3:$S$910,8,FALSE))</f>
        <v>3236676</v>
      </c>
      <c r="J111" s="42">
        <f>VLOOKUP($A111,'Neraca Unaudited SIMAK'!$A$2:$R$1272,9,FALSE)+IF(ISNA(VLOOKUP($A111,'Mutasi Neraca'!$A$3:$S$910,9,FALSE)),0,VLOOKUP($A111,'Mutasi Neraca'!$A$3:$S$910,9,FALSE))</f>
        <v>0</v>
      </c>
      <c r="K111" s="42">
        <f>VLOOKUP($A111,'Neraca Unaudited SIMAK'!$A$2:$R$1272,10,FALSE)+IF(ISNA(VLOOKUP($A111,'Mutasi Neraca'!$A$3:$S$910,10,FALSE)),0,VLOOKUP($A111,'Mutasi Neraca'!$A$3:$S$910,10,FALSE))</f>
        <v>0</v>
      </c>
      <c r="L111" s="42">
        <f>VLOOKUP($A111,'Neraca Unaudited SIMAK'!$A$2:$R$1272,11,FALSE)+IF(ISNA(VLOOKUP($A111,'Mutasi Neraca'!$A$3:$S$910,11,FALSE)),0,VLOOKUP($A111,'Mutasi Neraca'!$A$3:$S$910,11,FALSE))</f>
        <v>13563000</v>
      </c>
      <c r="M111" s="42">
        <f>VLOOKUP($A111,'Neraca Unaudited SIMAK'!$A$2:$R$1272,12,FALSE)+IF(ISNA(VLOOKUP($A111,'Mutasi Neraca'!$A$3:$S$910,12,FALSE)),0,VLOOKUP($A111,'Mutasi Neraca'!$A$3:$S$910,12,FALSE))</f>
        <v>13646064489</v>
      </c>
      <c r="N111" s="42">
        <f>VLOOKUP($A111,'Neraca Unaudited SIMAK'!$A$2:$R$1272,13,FALSE)+IF(ISNA(VLOOKUP($A111,'Mutasi Neraca'!$A$3:$S$910,13,FALSE)),0,VLOOKUP($A111,'Mutasi Neraca'!$A$3:$S$910,13,FALSE))</f>
        <v>-1279899916</v>
      </c>
      <c r="O111" s="42">
        <f>VLOOKUP($A111,'Neraca Unaudited SIMAK'!$A$2:$R$1272,14,FALSE)+IF(ISNA(VLOOKUP($A111,'Mutasi Neraca'!$A$3:$S$910,14,FALSE)),0,VLOOKUP($A111,'Mutasi Neraca'!$A$3:$S$910,14,FALSE))</f>
        <v>-955305620</v>
      </c>
      <c r="P111" s="42">
        <f>VLOOKUP($A111,'Neraca Unaudited SIMAK'!$A$2:$R$1272,15,FALSE)+IF(ISNA(VLOOKUP($A111,'Mutasi Neraca'!$A$3:$S$910,15,FALSE)),0,VLOOKUP($A111,'Mutasi Neraca'!$A$3:$S$910,15,FALSE))</f>
        <v>-8615000</v>
      </c>
      <c r="Q111" s="42">
        <f>VLOOKUP($A111,'Neraca Unaudited SIMAK'!$A$2:$R$1272,16,FALSE)+IF(ISNA(VLOOKUP($A111,'Mutasi Neraca'!$A$3:$S$910,16,FALSE)),0,VLOOKUP($A111,'Mutasi Neraca'!$A$3:$S$910,16,FALSE))</f>
        <v>0</v>
      </c>
      <c r="R111" s="42">
        <f>VLOOKUP($A111,'Neraca Unaudited SIMAK'!$A$2:$R$1272,17,FALSE)+IF(ISNA(VLOOKUP($A111,'Mutasi Neraca'!$A$3:$S$910,17,FALSE)),0,VLOOKUP($A111,'Mutasi Neraca'!$A$3:$S$910,17,FALSE))</f>
        <v>-13563000</v>
      </c>
      <c r="S111" s="42">
        <f t="shared" si="45"/>
        <v>11388680953</v>
      </c>
    </row>
    <row r="112" spans="1:19">
      <c r="A112" s="41" t="s">
        <v>119</v>
      </c>
      <c r="B112" s="41" t="str">
        <f t="shared" si="44"/>
        <v>005010300</v>
      </c>
      <c r="D112" s="42">
        <f>VLOOKUP($A112,'Neraca Unaudited SIMAK'!$A$2:$R$1272,3,FALSE)+IF(ISNA(VLOOKUP($A112,'Mutasi Neraca'!$A$3:$S$910,3,FALSE)),0,VLOOKUP($A112,'Mutasi Neraca'!$A$3:$S$910,3,FALSE))</f>
        <v>2158000</v>
      </c>
      <c r="E112" s="42">
        <f>VLOOKUP($A112,'Neraca Unaudited SIMAK'!$A$2:$R$1272,4,FALSE)+IF(ISNA(VLOOKUP($A112,'Mutasi Neraca'!$A$3:$S$910,4,FALSE)),0,VLOOKUP($A112,'Mutasi Neraca'!$A$3:$S$910,4,FALSE))</f>
        <v>4448640000</v>
      </c>
      <c r="F112" s="42">
        <f>VLOOKUP($A112,'Neraca Unaudited SIMAK'!$A$2:$R$1272,5,FALSE)+IF(ISNA(VLOOKUP($A112,'Mutasi Neraca'!$A$3:$S$910,5,FALSE)),0,VLOOKUP($A112,'Mutasi Neraca'!$A$3:$S$910,5,FALSE))</f>
        <v>862496076</v>
      </c>
      <c r="G112" s="42">
        <f>VLOOKUP($A112,'Neraca Unaudited SIMAK'!$A$2:$R$1272,6,FALSE)+IF(ISNA(VLOOKUP($A112,'Mutasi Neraca'!$A$3:$S$910,6,FALSE)),0,VLOOKUP($A112,'Mutasi Neraca'!$A$3:$S$910,6,FALSE))</f>
        <v>4258632080</v>
      </c>
      <c r="H112" s="42">
        <f>VLOOKUP($A112,'Neraca Unaudited SIMAK'!$A$2:$R$1272,7,FALSE)+IF(ISNA(VLOOKUP($A112,'Mutasi Neraca'!$A$3:$S$910,7,FALSE)),0,VLOOKUP($A112,'Mutasi Neraca'!$A$3:$S$910,7,FALSE))</f>
        <v>0</v>
      </c>
      <c r="I112" s="42">
        <f>VLOOKUP($A112,'Neraca Unaudited SIMAK'!$A$2:$R$1272,8,FALSE)+IF(ISNA(VLOOKUP($A112,'Mutasi Neraca'!$A$3:$S$910,8,FALSE)),0,VLOOKUP($A112,'Mutasi Neraca'!$A$3:$S$910,8,FALSE))</f>
        <v>33832580</v>
      </c>
      <c r="J112" s="42">
        <f>VLOOKUP($A112,'Neraca Unaudited SIMAK'!$A$2:$R$1272,9,FALSE)+IF(ISNA(VLOOKUP($A112,'Mutasi Neraca'!$A$3:$S$910,9,FALSE)),0,VLOOKUP($A112,'Mutasi Neraca'!$A$3:$S$910,9,FALSE))</f>
        <v>0</v>
      </c>
      <c r="K112" s="42">
        <f>VLOOKUP($A112,'Neraca Unaudited SIMAK'!$A$2:$R$1272,10,FALSE)+IF(ISNA(VLOOKUP($A112,'Mutasi Neraca'!$A$3:$S$910,10,FALSE)),0,VLOOKUP($A112,'Mutasi Neraca'!$A$3:$S$910,10,FALSE))</f>
        <v>0</v>
      </c>
      <c r="L112" s="42">
        <f>VLOOKUP($A112,'Neraca Unaudited SIMAK'!$A$2:$R$1272,11,FALSE)+IF(ISNA(VLOOKUP($A112,'Mutasi Neraca'!$A$3:$S$910,11,FALSE)),0,VLOOKUP($A112,'Mutasi Neraca'!$A$3:$S$910,11,FALSE))</f>
        <v>52428591</v>
      </c>
      <c r="M112" s="42">
        <f>VLOOKUP($A112,'Neraca Unaudited SIMAK'!$A$2:$R$1272,12,FALSE)+IF(ISNA(VLOOKUP($A112,'Mutasi Neraca'!$A$3:$S$910,12,FALSE)),0,VLOOKUP($A112,'Mutasi Neraca'!$A$3:$S$910,12,FALSE))</f>
        <v>9658187327</v>
      </c>
      <c r="N112" s="42">
        <f>VLOOKUP($A112,'Neraca Unaudited SIMAK'!$A$2:$R$1272,13,FALSE)+IF(ISNA(VLOOKUP($A112,'Mutasi Neraca'!$A$3:$S$910,13,FALSE)),0,VLOOKUP($A112,'Mutasi Neraca'!$A$3:$S$910,13,FALSE))</f>
        <v>-746282946</v>
      </c>
      <c r="O112" s="42">
        <f>VLOOKUP($A112,'Neraca Unaudited SIMAK'!$A$2:$R$1272,14,FALSE)+IF(ISNA(VLOOKUP($A112,'Mutasi Neraca'!$A$3:$S$910,14,FALSE)),0,VLOOKUP($A112,'Mutasi Neraca'!$A$3:$S$910,14,FALSE))</f>
        <v>-374806526</v>
      </c>
      <c r="P112" s="42">
        <f>VLOOKUP($A112,'Neraca Unaudited SIMAK'!$A$2:$R$1272,15,FALSE)+IF(ISNA(VLOOKUP($A112,'Mutasi Neraca'!$A$3:$S$910,15,FALSE)),0,VLOOKUP($A112,'Mutasi Neraca'!$A$3:$S$910,15,FALSE))</f>
        <v>0</v>
      </c>
      <c r="Q112" s="42">
        <f>VLOOKUP($A112,'Neraca Unaudited SIMAK'!$A$2:$R$1272,16,FALSE)+IF(ISNA(VLOOKUP($A112,'Mutasi Neraca'!$A$3:$S$910,16,FALSE)),0,VLOOKUP($A112,'Mutasi Neraca'!$A$3:$S$910,16,FALSE))</f>
        <v>0</v>
      </c>
      <c r="R112" s="42">
        <f>VLOOKUP($A112,'Neraca Unaudited SIMAK'!$A$2:$R$1272,17,FALSE)+IF(ISNA(VLOOKUP($A112,'Mutasi Neraca'!$A$3:$S$910,17,FALSE)),0,VLOOKUP($A112,'Mutasi Neraca'!$A$3:$S$910,17,FALSE))</f>
        <v>-51229591</v>
      </c>
      <c r="S112" s="42">
        <f t="shared" si="45"/>
        <v>8485868264</v>
      </c>
    </row>
    <row r="113" spans="1:19">
      <c r="A113" s="41" t="s">
        <v>120</v>
      </c>
      <c r="B113" s="41" t="str">
        <f t="shared" si="44"/>
        <v>005010300</v>
      </c>
      <c r="D113" s="42">
        <f>VLOOKUP($A113,'Neraca Unaudited SIMAK'!$A$2:$R$1272,3,FALSE)+IF(ISNA(VLOOKUP($A113,'Mutasi Neraca'!$A$3:$S$910,3,FALSE)),0,VLOOKUP($A113,'Mutasi Neraca'!$A$3:$S$910,3,FALSE))</f>
        <v>5269545</v>
      </c>
      <c r="E113" s="42">
        <f>VLOOKUP($A113,'Neraca Unaudited SIMAK'!$A$2:$R$1272,4,FALSE)+IF(ISNA(VLOOKUP($A113,'Mutasi Neraca'!$A$3:$S$910,4,FALSE)),0,VLOOKUP($A113,'Mutasi Neraca'!$A$3:$S$910,4,FALSE))</f>
        <v>4537060800</v>
      </c>
      <c r="F113" s="42">
        <f>VLOOKUP($A113,'Neraca Unaudited SIMAK'!$A$2:$R$1272,5,FALSE)+IF(ISNA(VLOOKUP($A113,'Mutasi Neraca'!$A$3:$S$910,5,FALSE)),0,VLOOKUP($A113,'Mutasi Neraca'!$A$3:$S$910,5,FALSE))</f>
        <v>1300343706</v>
      </c>
      <c r="G113" s="42">
        <f>VLOOKUP($A113,'Neraca Unaudited SIMAK'!$A$2:$R$1272,6,FALSE)+IF(ISNA(VLOOKUP($A113,'Mutasi Neraca'!$A$3:$S$910,6,FALSE)),0,VLOOKUP($A113,'Mutasi Neraca'!$A$3:$S$910,6,FALSE))</f>
        <v>5660490600</v>
      </c>
      <c r="H113" s="42">
        <f>VLOOKUP($A113,'Neraca Unaudited SIMAK'!$A$2:$R$1272,7,FALSE)+IF(ISNA(VLOOKUP($A113,'Mutasi Neraca'!$A$3:$S$910,7,FALSE)),0,VLOOKUP($A113,'Mutasi Neraca'!$A$3:$S$910,7,FALSE))</f>
        <v>65974300</v>
      </c>
      <c r="I113" s="42">
        <f>VLOOKUP($A113,'Neraca Unaudited SIMAK'!$A$2:$R$1272,8,FALSE)+IF(ISNA(VLOOKUP($A113,'Mutasi Neraca'!$A$3:$S$910,8,FALSE)),0,VLOOKUP($A113,'Mutasi Neraca'!$A$3:$S$910,8,FALSE))</f>
        <v>42448551</v>
      </c>
      <c r="J113" s="42">
        <f>VLOOKUP($A113,'Neraca Unaudited SIMAK'!$A$2:$R$1272,9,FALSE)+IF(ISNA(VLOOKUP($A113,'Mutasi Neraca'!$A$3:$S$910,9,FALSE)),0,VLOOKUP($A113,'Mutasi Neraca'!$A$3:$S$910,9,FALSE))</f>
        <v>0</v>
      </c>
      <c r="K113" s="42">
        <f>VLOOKUP($A113,'Neraca Unaudited SIMAK'!$A$2:$R$1272,10,FALSE)+IF(ISNA(VLOOKUP($A113,'Mutasi Neraca'!$A$3:$S$910,10,FALSE)),0,VLOOKUP($A113,'Mutasi Neraca'!$A$3:$S$910,10,FALSE))</f>
        <v>2500000</v>
      </c>
      <c r="L113" s="42">
        <f>VLOOKUP($A113,'Neraca Unaudited SIMAK'!$A$2:$R$1272,11,FALSE)+IF(ISNA(VLOOKUP($A113,'Mutasi Neraca'!$A$3:$S$910,11,FALSE)),0,VLOOKUP($A113,'Mutasi Neraca'!$A$3:$S$910,11,FALSE))</f>
        <v>0</v>
      </c>
      <c r="M113" s="42">
        <f>VLOOKUP($A113,'Neraca Unaudited SIMAK'!$A$2:$R$1272,12,FALSE)+IF(ISNA(VLOOKUP($A113,'Mutasi Neraca'!$A$3:$S$910,12,FALSE)),0,VLOOKUP($A113,'Mutasi Neraca'!$A$3:$S$910,12,FALSE))</f>
        <v>11614087502</v>
      </c>
      <c r="N113" s="42">
        <f>VLOOKUP($A113,'Neraca Unaudited SIMAK'!$A$2:$R$1272,13,FALSE)+IF(ISNA(VLOOKUP($A113,'Mutasi Neraca'!$A$3:$S$910,13,FALSE)),0,VLOOKUP($A113,'Mutasi Neraca'!$A$3:$S$910,13,FALSE))</f>
        <v>-1040816545</v>
      </c>
      <c r="O113" s="42">
        <f>VLOOKUP($A113,'Neraca Unaudited SIMAK'!$A$2:$R$1272,14,FALSE)+IF(ISNA(VLOOKUP($A113,'Mutasi Neraca'!$A$3:$S$910,14,FALSE)),0,VLOOKUP($A113,'Mutasi Neraca'!$A$3:$S$910,14,FALSE))</f>
        <v>-801952069</v>
      </c>
      <c r="P113" s="42">
        <f>VLOOKUP($A113,'Neraca Unaudited SIMAK'!$A$2:$R$1272,15,FALSE)+IF(ISNA(VLOOKUP($A113,'Mutasi Neraca'!$A$3:$S$910,15,FALSE)),0,VLOOKUP($A113,'Mutasi Neraca'!$A$3:$S$910,15,FALSE))</f>
        <v>-28534800</v>
      </c>
      <c r="Q113" s="42">
        <f>VLOOKUP($A113,'Neraca Unaudited SIMAK'!$A$2:$R$1272,16,FALSE)+IF(ISNA(VLOOKUP($A113,'Mutasi Neraca'!$A$3:$S$910,16,FALSE)),0,VLOOKUP($A113,'Mutasi Neraca'!$A$3:$S$910,16,FALSE))</f>
        <v>0</v>
      </c>
      <c r="R113" s="42">
        <f>VLOOKUP($A113,'Neraca Unaudited SIMAK'!$A$2:$R$1272,17,FALSE)+IF(ISNA(VLOOKUP($A113,'Mutasi Neraca'!$A$3:$S$910,17,FALSE)),0,VLOOKUP($A113,'Mutasi Neraca'!$A$3:$S$910,17,FALSE))</f>
        <v>0</v>
      </c>
      <c r="S113" s="42">
        <f t="shared" si="45"/>
        <v>9742784088</v>
      </c>
    </row>
    <row r="114" spans="1:19">
      <c r="A114" s="41" t="s">
        <v>121</v>
      </c>
      <c r="B114" s="41" t="str">
        <f t="shared" si="44"/>
        <v>005010300</v>
      </c>
      <c r="D114" s="42">
        <f>VLOOKUP($A114,'Neraca Unaudited SIMAK'!$A$2:$R$1272,3,FALSE)+IF(ISNA(VLOOKUP($A114,'Mutasi Neraca'!$A$3:$S$910,3,FALSE)),0,VLOOKUP($A114,'Mutasi Neraca'!$A$3:$S$910,3,FALSE))</f>
        <v>1496280</v>
      </c>
      <c r="E114" s="42">
        <f>VLOOKUP($A114,'Neraca Unaudited SIMAK'!$A$2:$R$1272,4,FALSE)+IF(ISNA(VLOOKUP($A114,'Mutasi Neraca'!$A$3:$S$910,4,FALSE)),0,VLOOKUP($A114,'Mutasi Neraca'!$A$3:$S$910,4,FALSE))</f>
        <v>704000000</v>
      </c>
      <c r="F114" s="42">
        <f>VLOOKUP($A114,'Neraca Unaudited SIMAK'!$A$2:$R$1272,5,FALSE)+IF(ISNA(VLOOKUP($A114,'Mutasi Neraca'!$A$3:$S$910,5,FALSE)),0,VLOOKUP($A114,'Mutasi Neraca'!$A$3:$S$910,5,FALSE))</f>
        <v>1212946796</v>
      </c>
      <c r="G114" s="42">
        <f>VLOOKUP($A114,'Neraca Unaudited SIMAK'!$A$2:$R$1272,6,FALSE)+IF(ISNA(VLOOKUP($A114,'Mutasi Neraca'!$A$3:$S$910,6,FALSE)),0,VLOOKUP($A114,'Mutasi Neraca'!$A$3:$S$910,6,FALSE))</f>
        <v>1068041100</v>
      </c>
      <c r="H114" s="42">
        <f>VLOOKUP($A114,'Neraca Unaudited SIMAK'!$A$2:$R$1272,7,FALSE)+IF(ISNA(VLOOKUP($A114,'Mutasi Neraca'!$A$3:$S$910,7,FALSE)),0,VLOOKUP($A114,'Mutasi Neraca'!$A$3:$S$910,7,FALSE))</f>
        <v>26888000</v>
      </c>
      <c r="I114" s="42">
        <f>VLOOKUP($A114,'Neraca Unaudited SIMAK'!$A$2:$R$1272,8,FALSE)+IF(ISNA(VLOOKUP($A114,'Mutasi Neraca'!$A$3:$S$910,8,FALSE)),0,VLOOKUP($A114,'Mutasi Neraca'!$A$3:$S$910,8,FALSE))</f>
        <v>3746580</v>
      </c>
      <c r="J114" s="42">
        <f>VLOOKUP($A114,'Neraca Unaudited SIMAK'!$A$2:$R$1272,9,FALSE)+IF(ISNA(VLOOKUP($A114,'Mutasi Neraca'!$A$3:$S$910,9,FALSE)),0,VLOOKUP($A114,'Mutasi Neraca'!$A$3:$S$910,9,FALSE))</f>
        <v>0</v>
      </c>
      <c r="K114" s="42">
        <f>VLOOKUP($A114,'Neraca Unaudited SIMAK'!$A$2:$R$1272,10,FALSE)+IF(ISNA(VLOOKUP($A114,'Mutasi Neraca'!$A$3:$S$910,10,FALSE)),0,VLOOKUP($A114,'Mutasi Neraca'!$A$3:$S$910,10,FALSE))</f>
        <v>0</v>
      </c>
      <c r="L114" s="42">
        <f>VLOOKUP($A114,'Neraca Unaudited SIMAK'!$A$2:$R$1272,11,FALSE)+IF(ISNA(VLOOKUP($A114,'Mutasi Neraca'!$A$3:$S$910,11,FALSE)),0,VLOOKUP($A114,'Mutasi Neraca'!$A$3:$S$910,11,FALSE))</f>
        <v>0</v>
      </c>
      <c r="M114" s="42">
        <f>VLOOKUP($A114,'Neraca Unaudited SIMAK'!$A$2:$R$1272,12,FALSE)+IF(ISNA(VLOOKUP($A114,'Mutasi Neraca'!$A$3:$S$910,12,FALSE)),0,VLOOKUP($A114,'Mutasi Neraca'!$A$3:$S$910,12,FALSE))</f>
        <v>3017118756</v>
      </c>
      <c r="N114" s="42">
        <f>VLOOKUP($A114,'Neraca Unaudited SIMAK'!$A$2:$R$1272,13,FALSE)+IF(ISNA(VLOOKUP($A114,'Mutasi Neraca'!$A$3:$S$910,13,FALSE)),0,VLOOKUP($A114,'Mutasi Neraca'!$A$3:$S$910,13,FALSE))</f>
        <v>-1041629654</v>
      </c>
      <c r="O114" s="42">
        <f>VLOOKUP($A114,'Neraca Unaudited SIMAK'!$A$2:$R$1272,14,FALSE)+IF(ISNA(VLOOKUP($A114,'Mutasi Neraca'!$A$3:$S$910,14,FALSE)),0,VLOOKUP($A114,'Mutasi Neraca'!$A$3:$S$910,14,FALSE))</f>
        <v>-229496517</v>
      </c>
      <c r="P114" s="42">
        <f>VLOOKUP($A114,'Neraca Unaudited SIMAK'!$A$2:$R$1272,15,FALSE)+IF(ISNA(VLOOKUP($A114,'Mutasi Neraca'!$A$3:$S$910,15,FALSE)),0,VLOOKUP($A114,'Mutasi Neraca'!$A$3:$S$910,15,FALSE))</f>
        <v>-4181000</v>
      </c>
      <c r="Q114" s="42">
        <f>VLOOKUP($A114,'Neraca Unaudited SIMAK'!$A$2:$R$1272,16,FALSE)+IF(ISNA(VLOOKUP($A114,'Mutasi Neraca'!$A$3:$S$910,16,FALSE)),0,VLOOKUP($A114,'Mutasi Neraca'!$A$3:$S$910,16,FALSE))</f>
        <v>0</v>
      </c>
      <c r="R114" s="42">
        <f>VLOOKUP($A114,'Neraca Unaudited SIMAK'!$A$2:$R$1272,17,FALSE)+IF(ISNA(VLOOKUP($A114,'Mutasi Neraca'!$A$3:$S$910,17,FALSE)),0,VLOOKUP($A114,'Mutasi Neraca'!$A$3:$S$910,17,FALSE))</f>
        <v>0</v>
      </c>
      <c r="S114" s="42">
        <f t="shared" si="45"/>
        <v>1741811585</v>
      </c>
    </row>
    <row r="115" spans="1:19">
      <c r="A115" s="41" t="s">
        <v>122</v>
      </c>
      <c r="B115" s="41" t="str">
        <f t="shared" si="44"/>
        <v>005010300</v>
      </c>
      <c r="D115" s="42">
        <f>VLOOKUP($A115,'Neraca Unaudited SIMAK'!$A$2:$R$1272,3,FALSE)+IF(ISNA(VLOOKUP($A115,'Mutasi Neraca'!$A$3:$S$910,3,FALSE)),0,VLOOKUP($A115,'Mutasi Neraca'!$A$3:$S$910,3,FALSE))</f>
        <v>1664963</v>
      </c>
      <c r="E115" s="42">
        <f>VLOOKUP($A115,'Neraca Unaudited SIMAK'!$A$2:$R$1272,4,FALSE)+IF(ISNA(VLOOKUP($A115,'Mutasi Neraca'!$A$3:$S$910,4,FALSE)),0,VLOOKUP($A115,'Mutasi Neraca'!$A$3:$S$910,4,FALSE))</f>
        <v>3787060000</v>
      </c>
      <c r="F115" s="42">
        <f>VLOOKUP($A115,'Neraca Unaudited SIMAK'!$A$2:$R$1272,5,FALSE)+IF(ISNA(VLOOKUP($A115,'Mutasi Neraca'!$A$3:$S$910,5,FALSE)),0,VLOOKUP($A115,'Mutasi Neraca'!$A$3:$S$910,5,FALSE))</f>
        <v>1561298707</v>
      </c>
      <c r="G115" s="42">
        <f>VLOOKUP($A115,'Neraca Unaudited SIMAK'!$A$2:$R$1272,6,FALSE)+IF(ISNA(VLOOKUP($A115,'Mutasi Neraca'!$A$3:$S$910,6,FALSE)),0,VLOOKUP($A115,'Mutasi Neraca'!$A$3:$S$910,6,FALSE))</f>
        <v>3157609953</v>
      </c>
      <c r="H115" s="42">
        <f>VLOOKUP($A115,'Neraca Unaudited SIMAK'!$A$2:$R$1272,7,FALSE)+IF(ISNA(VLOOKUP($A115,'Mutasi Neraca'!$A$3:$S$910,7,FALSE)),0,VLOOKUP($A115,'Mutasi Neraca'!$A$3:$S$910,7,FALSE))</f>
        <v>114480000</v>
      </c>
      <c r="I115" s="42">
        <f>VLOOKUP($A115,'Neraca Unaudited SIMAK'!$A$2:$R$1272,8,FALSE)+IF(ISNA(VLOOKUP($A115,'Mutasi Neraca'!$A$3:$S$910,8,FALSE)),0,VLOOKUP($A115,'Mutasi Neraca'!$A$3:$S$910,8,FALSE))</f>
        <v>14146578</v>
      </c>
      <c r="J115" s="42">
        <f>VLOOKUP($A115,'Neraca Unaudited SIMAK'!$A$2:$R$1272,9,FALSE)+IF(ISNA(VLOOKUP($A115,'Mutasi Neraca'!$A$3:$S$910,9,FALSE)),0,VLOOKUP($A115,'Mutasi Neraca'!$A$3:$S$910,9,FALSE))</f>
        <v>0</v>
      </c>
      <c r="K115" s="42">
        <f>VLOOKUP($A115,'Neraca Unaudited SIMAK'!$A$2:$R$1272,10,FALSE)+IF(ISNA(VLOOKUP($A115,'Mutasi Neraca'!$A$3:$S$910,10,FALSE)),0,VLOOKUP($A115,'Mutasi Neraca'!$A$3:$S$910,10,FALSE))</f>
        <v>0</v>
      </c>
      <c r="L115" s="42">
        <f>VLOOKUP($A115,'Neraca Unaudited SIMAK'!$A$2:$R$1272,11,FALSE)+IF(ISNA(VLOOKUP($A115,'Mutasi Neraca'!$A$3:$S$910,11,FALSE)),0,VLOOKUP($A115,'Mutasi Neraca'!$A$3:$S$910,11,FALSE))</f>
        <v>0</v>
      </c>
      <c r="M115" s="42">
        <f>VLOOKUP($A115,'Neraca Unaudited SIMAK'!$A$2:$R$1272,12,FALSE)+IF(ISNA(VLOOKUP($A115,'Mutasi Neraca'!$A$3:$S$910,12,FALSE)),0,VLOOKUP($A115,'Mutasi Neraca'!$A$3:$S$910,12,FALSE))</f>
        <v>8636260201</v>
      </c>
      <c r="N115" s="42">
        <f>VLOOKUP($A115,'Neraca Unaudited SIMAK'!$A$2:$R$1272,13,FALSE)+IF(ISNA(VLOOKUP($A115,'Mutasi Neraca'!$A$3:$S$910,13,FALSE)),0,VLOOKUP($A115,'Mutasi Neraca'!$A$3:$S$910,13,FALSE))</f>
        <v>-1281197931</v>
      </c>
      <c r="O115" s="42">
        <f>VLOOKUP($A115,'Neraca Unaudited SIMAK'!$A$2:$R$1272,14,FALSE)+IF(ISNA(VLOOKUP($A115,'Mutasi Neraca'!$A$3:$S$910,14,FALSE)),0,VLOOKUP($A115,'Mutasi Neraca'!$A$3:$S$910,14,FALSE))</f>
        <v>-236960567</v>
      </c>
      <c r="P115" s="42">
        <f>VLOOKUP($A115,'Neraca Unaudited SIMAK'!$A$2:$R$1272,15,FALSE)+IF(ISNA(VLOOKUP($A115,'Mutasi Neraca'!$A$3:$S$910,15,FALSE)),0,VLOOKUP($A115,'Mutasi Neraca'!$A$3:$S$910,15,FALSE))</f>
        <v>-18087695</v>
      </c>
      <c r="Q115" s="42">
        <f>VLOOKUP($A115,'Neraca Unaudited SIMAK'!$A$2:$R$1272,16,FALSE)+IF(ISNA(VLOOKUP($A115,'Mutasi Neraca'!$A$3:$S$910,16,FALSE)),0,VLOOKUP($A115,'Mutasi Neraca'!$A$3:$S$910,16,FALSE))</f>
        <v>0</v>
      </c>
      <c r="R115" s="42">
        <f>VLOOKUP($A115,'Neraca Unaudited SIMAK'!$A$2:$R$1272,17,FALSE)+IF(ISNA(VLOOKUP($A115,'Mutasi Neraca'!$A$3:$S$910,17,FALSE)),0,VLOOKUP($A115,'Mutasi Neraca'!$A$3:$S$910,17,FALSE))</f>
        <v>0</v>
      </c>
      <c r="S115" s="42">
        <f t="shared" si="45"/>
        <v>7100014008</v>
      </c>
    </row>
    <row r="116" spans="1:19">
      <c r="A116" s="41" t="s">
        <v>123</v>
      </c>
      <c r="B116" s="41" t="str">
        <f t="shared" si="44"/>
        <v>005010300</v>
      </c>
      <c r="D116" s="42">
        <f>VLOOKUP($A116,'Neraca Unaudited SIMAK'!$A$2:$R$1272,3,FALSE)+IF(ISNA(VLOOKUP($A116,'Mutasi Neraca'!$A$3:$S$910,3,FALSE)),0,VLOOKUP($A116,'Mutasi Neraca'!$A$3:$S$910,3,FALSE))</f>
        <v>4317000</v>
      </c>
      <c r="E116" s="42">
        <f>VLOOKUP($A116,'Neraca Unaudited SIMAK'!$A$2:$R$1272,4,FALSE)+IF(ISNA(VLOOKUP($A116,'Mutasi Neraca'!$A$3:$S$910,4,FALSE)),0,VLOOKUP($A116,'Mutasi Neraca'!$A$3:$S$910,4,FALSE))</f>
        <v>4071455000</v>
      </c>
      <c r="F116" s="42">
        <f>VLOOKUP($A116,'Neraca Unaudited SIMAK'!$A$2:$R$1272,5,FALSE)+IF(ISNA(VLOOKUP($A116,'Mutasi Neraca'!$A$3:$S$910,5,FALSE)),0,VLOOKUP($A116,'Mutasi Neraca'!$A$3:$S$910,5,FALSE))</f>
        <v>1037414534</v>
      </c>
      <c r="G116" s="42">
        <f>VLOOKUP($A116,'Neraca Unaudited SIMAK'!$A$2:$R$1272,6,FALSE)+IF(ISNA(VLOOKUP($A116,'Mutasi Neraca'!$A$3:$S$910,6,FALSE)),0,VLOOKUP($A116,'Mutasi Neraca'!$A$3:$S$910,6,FALSE))</f>
        <v>4778451200</v>
      </c>
      <c r="H116" s="42">
        <f>VLOOKUP($A116,'Neraca Unaudited SIMAK'!$A$2:$R$1272,7,FALSE)+IF(ISNA(VLOOKUP($A116,'Mutasi Neraca'!$A$3:$S$910,7,FALSE)),0,VLOOKUP($A116,'Mutasi Neraca'!$A$3:$S$910,7,FALSE))</f>
        <v>10504000</v>
      </c>
      <c r="I116" s="42">
        <f>VLOOKUP($A116,'Neraca Unaudited SIMAK'!$A$2:$R$1272,8,FALSE)+IF(ISNA(VLOOKUP($A116,'Mutasi Neraca'!$A$3:$S$910,8,FALSE)),0,VLOOKUP($A116,'Mutasi Neraca'!$A$3:$S$910,8,FALSE))</f>
        <v>5434578</v>
      </c>
      <c r="J116" s="42">
        <f>VLOOKUP($A116,'Neraca Unaudited SIMAK'!$A$2:$R$1272,9,FALSE)+IF(ISNA(VLOOKUP($A116,'Mutasi Neraca'!$A$3:$S$910,9,FALSE)),0,VLOOKUP($A116,'Mutasi Neraca'!$A$3:$S$910,9,FALSE))</f>
        <v>0</v>
      </c>
      <c r="K116" s="42">
        <f>VLOOKUP($A116,'Neraca Unaudited SIMAK'!$A$2:$R$1272,10,FALSE)+IF(ISNA(VLOOKUP($A116,'Mutasi Neraca'!$A$3:$S$910,10,FALSE)),0,VLOOKUP($A116,'Mutasi Neraca'!$A$3:$S$910,10,FALSE))</f>
        <v>0</v>
      </c>
      <c r="L116" s="42">
        <f>VLOOKUP($A116,'Neraca Unaudited SIMAK'!$A$2:$R$1272,11,FALSE)+IF(ISNA(VLOOKUP($A116,'Mutasi Neraca'!$A$3:$S$910,11,FALSE)),0,VLOOKUP($A116,'Mutasi Neraca'!$A$3:$S$910,11,FALSE))</f>
        <v>5528800</v>
      </c>
      <c r="M116" s="42">
        <f>VLOOKUP($A116,'Neraca Unaudited SIMAK'!$A$2:$R$1272,12,FALSE)+IF(ISNA(VLOOKUP($A116,'Mutasi Neraca'!$A$3:$S$910,12,FALSE)),0,VLOOKUP($A116,'Mutasi Neraca'!$A$3:$S$910,12,FALSE))</f>
        <v>9913105112</v>
      </c>
      <c r="N116" s="42">
        <f>VLOOKUP($A116,'Neraca Unaudited SIMAK'!$A$2:$R$1272,13,FALSE)+IF(ISNA(VLOOKUP($A116,'Mutasi Neraca'!$A$3:$S$910,13,FALSE)),0,VLOOKUP($A116,'Mutasi Neraca'!$A$3:$S$910,13,FALSE))</f>
        <v>-897884107</v>
      </c>
      <c r="O116" s="42">
        <f>VLOOKUP($A116,'Neraca Unaudited SIMAK'!$A$2:$R$1272,14,FALSE)+IF(ISNA(VLOOKUP($A116,'Mutasi Neraca'!$A$3:$S$910,14,FALSE)),0,VLOOKUP($A116,'Mutasi Neraca'!$A$3:$S$910,14,FALSE))</f>
        <v>-579162012</v>
      </c>
      <c r="P116" s="42">
        <f>VLOOKUP($A116,'Neraca Unaudited SIMAK'!$A$2:$R$1272,15,FALSE)+IF(ISNA(VLOOKUP($A116,'Mutasi Neraca'!$A$3:$S$910,15,FALSE)),0,VLOOKUP($A116,'Mutasi Neraca'!$A$3:$S$910,15,FALSE))</f>
        <v>-2645067</v>
      </c>
      <c r="Q116" s="42">
        <f>VLOOKUP($A116,'Neraca Unaudited SIMAK'!$A$2:$R$1272,16,FALSE)+IF(ISNA(VLOOKUP($A116,'Mutasi Neraca'!$A$3:$S$910,16,FALSE)),0,VLOOKUP($A116,'Mutasi Neraca'!$A$3:$S$910,16,FALSE))</f>
        <v>0</v>
      </c>
      <c r="R116" s="42">
        <f>VLOOKUP($A116,'Neraca Unaudited SIMAK'!$A$2:$R$1272,17,FALSE)+IF(ISNA(VLOOKUP($A116,'Mutasi Neraca'!$A$3:$S$910,17,FALSE)),0,VLOOKUP($A116,'Mutasi Neraca'!$A$3:$S$910,17,FALSE))</f>
        <v>-5528800</v>
      </c>
      <c r="S116" s="42">
        <f t="shared" si="45"/>
        <v>8427885126</v>
      </c>
    </row>
    <row r="117" spans="1:19">
      <c r="A117" s="41" t="s">
        <v>124</v>
      </c>
      <c r="B117" s="41" t="str">
        <f t="shared" si="44"/>
        <v>005010300</v>
      </c>
      <c r="D117" s="42">
        <f>VLOOKUP($A117,'Neraca Unaudited SIMAK'!$A$2:$R$1272,3,FALSE)+IF(ISNA(VLOOKUP($A117,'Mutasi Neraca'!$A$3:$S$910,3,FALSE)),0,VLOOKUP($A117,'Mutasi Neraca'!$A$3:$S$910,3,FALSE))</f>
        <v>1962972</v>
      </c>
      <c r="E117" s="42">
        <f>VLOOKUP($A117,'Neraca Unaudited SIMAK'!$A$2:$R$1272,4,FALSE)+IF(ISNA(VLOOKUP($A117,'Mutasi Neraca'!$A$3:$S$910,4,FALSE)),0,VLOOKUP($A117,'Mutasi Neraca'!$A$3:$S$910,4,FALSE))</f>
        <v>4592500000</v>
      </c>
      <c r="F117" s="42">
        <f>VLOOKUP($A117,'Neraca Unaudited SIMAK'!$A$2:$R$1272,5,FALSE)+IF(ISNA(VLOOKUP($A117,'Mutasi Neraca'!$A$3:$S$910,5,FALSE)),0,VLOOKUP($A117,'Mutasi Neraca'!$A$3:$S$910,5,FALSE))</f>
        <v>1067332207</v>
      </c>
      <c r="G117" s="42">
        <f>VLOOKUP($A117,'Neraca Unaudited SIMAK'!$A$2:$R$1272,6,FALSE)+IF(ISNA(VLOOKUP($A117,'Mutasi Neraca'!$A$3:$S$910,6,FALSE)),0,VLOOKUP($A117,'Mutasi Neraca'!$A$3:$S$910,6,FALSE))</f>
        <v>5368927800</v>
      </c>
      <c r="H117" s="42">
        <f>VLOOKUP($A117,'Neraca Unaudited SIMAK'!$A$2:$R$1272,7,FALSE)+IF(ISNA(VLOOKUP($A117,'Mutasi Neraca'!$A$3:$S$910,7,FALSE)),0,VLOOKUP($A117,'Mutasi Neraca'!$A$3:$S$910,7,FALSE))</f>
        <v>80000000</v>
      </c>
      <c r="I117" s="42">
        <f>VLOOKUP($A117,'Neraca Unaudited SIMAK'!$A$2:$R$1272,8,FALSE)+IF(ISNA(VLOOKUP($A117,'Mutasi Neraca'!$A$3:$S$910,8,FALSE)),0,VLOOKUP($A117,'Mutasi Neraca'!$A$3:$S$910,8,FALSE))</f>
        <v>3236678</v>
      </c>
      <c r="J117" s="42">
        <f>VLOOKUP($A117,'Neraca Unaudited SIMAK'!$A$2:$R$1272,9,FALSE)+IF(ISNA(VLOOKUP($A117,'Mutasi Neraca'!$A$3:$S$910,9,FALSE)),0,VLOOKUP($A117,'Mutasi Neraca'!$A$3:$S$910,9,FALSE))</f>
        <v>0</v>
      </c>
      <c r="K117" s="42">
        <f>VLOOKUP($A117,'Neraca Unaudited SIMAK'!$A$2:$R$1272,10,FALSE)+IF(ISNA(VLOOKUP($A117,'Mutasi Neraca'!$A$3:$S$910,10,FALSE)),0,VLOOKUP($A117,'Mutasi Neraca'!$A$3:$S$910,10,FALSE))</f>
        <v>7000000</v>
      </c>
      <c r="L117" s="42">
        <f>VLOOKUP($A117,'Neraca Unaudited SIMAK'!$A$2:$R$1272,11,FALSE)+IF(ISNA(VLOOKUP($A117,'Mutasi Neraca'!$A$3:$S$910,11,FALSE)),0,VLOOKUP($A117,'Mutasi Neraca'!$A$3:$S$910,11,FALSE))</f>
        <v>13898377</v>
      </c>
      <c r="M117" s="42">
        <f>VLOOKUP($A117,'Neraca Unaudited SIMAK'!$A$2:$R$1272,12,FALSE)+IF(ISNA(VLOOKUP($A117,'Mutasi Neraca'!$A$3:$S$910,12,FALSE)),0,VLOOKUP($A117,'Mutasi Neraca'!$A$3:$S$910,12,FALSE))</f>
        <v>11134858034</v>
      </c>
      <c r="N117" s="42">
        <f>VLOOKUP($A117,'Neraca Unaudited SIMAK'!$A$2:$R$1272,13,FALSE)+IF(ISNA(VLOOKUP($A117,'Mutasi Neraca'!$A$3:$S$910,13,FALSE)),0,VLOOKUP($A117,'Mutasi Neraca'!$A$3:$S$910,13,FALSE))</f>
        <v>-620720000</v>
      </c>
      <c r="O117" s="42">
        <f>VLOOKUP($A117,'Neraca Unaudited SIMAK'!$A$2:$R$1272,14,FALSE)+IF(ISNA(VLOOKUP($A117,'Mutasi Neraca'!$A$3:$S$910,14,FALSE)),0,VLOOKUP($A117,'Mutasi Neraca'!$A$3:$S$910,14,FALSE))</f>
        <v>-207450718</v>
      </c>
      <c r="P117" s="42">
        <f>VLOOKUP($A117,'Neraca Unaudited SIMAK'!$A$2:$R$1272,15,FALSE)+IF(ISNA(VLOOKUP($A117,'Mutasi Neraca'!$A$3:$S$910,15,FALSE)),0,VLOOKUP($A117,'Mutasi Neraca'!$A$3:$S$910,15,FALSE))</f>
        <v>-80000000</v>
      </c>
      <c r="Q117" s="42">
        <f>VLOOKUP($A117,'Neraca Unaudited SIMAK'!$A$2:$R$1272,16,FALSE)+IF(ISNA(VLOOKUP($A117,'Mutasi Neraca'!$A$3:$S$910,16,FALSE)),0,VLOOKUP($A117,'Mutasi Neraca'!$A$3:$S$910,16,FALSE))</f>
        <v>0</v>
      </c>
      <c r="R117" s="42">
        <f>VLOOKUP($A117,'Neraca Unaudited SIMAK'!$A$2:$R$1272,17,FALSE)+IF(ISNA(VLOOKUP($A117,'Mutasi Neraca'!$A$3:$S$910,17,FALSE)),0,VLOOKUP($A117,'Mutasi Neraca'!$A$3:$S$910,17,FALSE))</f>
        <v>-13898377</v>
      </c>
      <c r="S117" s="42">
        <f t="shared" si="45"/>
        <v>10212788939</v>
      </c>
    </row>
    <row r="118" spans="1:19">
      <c r="A118" s="41" t="s">
        <v>125</v>
      </c>
      <c r="B118" s="41" t="str">
        <f t="shared" si="44"/>
        <v>005010300</v>
      </c>
      <c r="D118" s="42">
        <f>VLOOKUP($A118,'Neraca Unaudited SIMAK'!$A$2:$R$1272,3,FALSE)+IF(ISNA(VLOOKUP($A118,'Mutasi Neraca'!$A$3:$S$910,3,FALSE)),0,VLOOKUP($A118,'Mutasi Neraca'!$A$3:$S$910,3,FALSE))</f>
        <v>651040</v>
      </c>
      <c r="E118" s="42">
        <f>VLOOKUP($A118,'Neraca Unaudited SIMAK'!$A$2:$R$1272,4,FALSE)+IF(ISNA(VLOOKUP($A118,'Mutasi Neraca'!$A$3:$S$910,4,FALSE)),0,VLOOKUP($A118,'Mutasi Neraca'!$A$3:$S$910,4,FALSE))</f>
        <v>2078600000</v>
      </c>
      <c r="F118" s="42">
        <f>VLOOKUP($A118,'Neraca Unaudited SIMAK'!$A$2:$R$1272,5,FALSE)+IF(ISNA(VLOOKUP($A118,'Mutasi Neraca'!$A$3:$S$910,5,FALSE)),0,VLOOKUP($A118,'Mutasi Neraca'!$A$3:$S$910,5,FALSE))</f>
        <v>1161424150</v>
      </c>
      <c r="G118" s="42">
        <f>VLOOKUP($A118,'Neraca Unaudited SIMAK'!$A$2:$R$1272,6,FALSE)+IF(ISNA(VLOOKUP($A118,'Mutasi Neraca'!$A$3:$S$910,6,FALSE)),0,VLOOKUP($A118,'Mutasi Neraca'!$A$3:$S$910,6,FALSE))</f>
        <v>2806669200</v>
      </c>
      <c r="H118" s="42">
        <f>VLOOKUP($A118,'Neraca Unaudited SIMAK'!$A$2:$R$1272,7,FALSE)+IF(ISNA(VLOOKUP($A118,'Mutasi Neraca'!$A$3:$S$910,7,FALSE)),0,VLOOKUP($A118,'Mutasi Neraca'!$A$3:$S$910,7,FALSE))</f>
        <v>0</v>
      </c>
      <c r="I118" s="42">
        <f>VLOOKUP($A118,'Neraca Unaudited SIMAK'!$A$2:$R$1272,8,FALSE)+IF(ISNA(VLOOKUP($A118,'Mutasi Neraca'!$A$3:$S$910,8,FALSE)),0,VLOOKUP($A118,'Mutasi Neraca'!$A$3:$S$910,8,FALSE))</f>
        <v>3604180</v>
      </c>
      <c r="J118" s="42">
        <f>VLOOKUP($A118,'Neraca Unaudited SIMAK'!$A$2:$R$1272,9,FALSE)+IF(ISNA(VLOOKUP($A118,'Mutasi Neraca'!$A$3:$S$910,9,FALSE)),0,VLOOKUP($A118,'Mutasi Neraca'!$A$3:$S$910,9,FALSE))</f>
        <v>0</v>
      </c>
      <c r="K118" s="42">
        <f>VLOOKUP($A118,'Neraca Unaudited SIMAK'!$A$2:$R$1272,10,FALSE)+IF(ISNA(VLOOKUP($A118,'Mutasi Neraca'!$A$3:$S$910,10,FALSE)),0,VLOOKUP($A118,'Mutasi Neraca'!$A$3:$S$910,10,FALSE))</f>
        <v>42300000</v>
      </c>
      <c r="L118" s="42">
        <f>VLOOKUP($A118,'Neraca Unaudited SIMAK'!$A$2:$R$1272,11,FALSE)+IF(ISNA(VLOOKUP($A118,'Mutasi Neraca'!$A$3:$S$910,11,FALSE)),0,VLOOKUP($A118,'Mutasi Neraca'!$A$3:$S$910,11,FALSE))</f>
        <v>14275000</v>
      </c>
      <c r="M118" s="42">
        <f>VLOOKUP($A118,'Neraca Unaudited SIMAK'!$A$2:$R$1272,12,FALSE)+IF(ISNA(VLOOKUP($A118,'Mutasi Neraca'!$A$3:$S$910,12,FALSE)),0,VLOOKUP($A118,'Mutasi Neraca'!$A$3:$S$910,12,FALSE))</f>
        <v>6107523570</v>
      </c>
      <c r="N118" s="42">
        <f>VLOOKUP($A118,'Neraca Unaudited SIMAK'!$A$2:$R$1272,13,FALSE)+IF(ISNA(VLOOKUP($A118,'Mutasi Neraca'!$A$3:$S$910,13,FALSE)),0,VLOOKUP($A118,'Mutasi Neraca'!$A$3:$S$910,13,FALSE))</f>
        <v>-864344106</v>
      </c>
      <c r="O118" s="42">
        <f>VLOOKUP($A118,'Neraca Unaudited SIMAK'!$A$2:$R$1272,14,FALSE)+IF(ISNA(VLOOKUP($A118,'Mutasi Neraca'!$A$3:$S$910,14,FALSE)),0,VLOOKUP($A118,'Mutasi Neraca'!$A$3:$S$910,14,FALSE))</f>
        <v>-344518511</v>
      </c>
      <c r="P118" s="42">
        <f>VLOOKUP($A118,'Neraca Unaudited SIMAK'!$A$2:$R$1272,15,FALSE)+IF(ISNA(VLOOKUP($A118,'Mutasi Neraca'!$A$3:$S$910,15,FALSE)),0,VLOOKUP($A118,'Mutasi Neraca'!$A$3:$S$910,15,FALSE))</f>
        <v>0</v>
      </c>
      <c r="Q118" s="42">
        <f>VLOOKUP($A118,'Neraca Unaudited SIMAK'!$A$2:$R$1272,16,FALSE)+IF(ISNA(VLOOKUP($A118,'Mutasi Neraca'!$A$3:$S$910,16,FALSE)),0,VLOOKUP($A118,'Mutasi Neraca'!$A$3:$S$910,16,FALSE))</f>
        <v>0</v>
      </c>
      <c r="R118" s="42">
        <f>VLOOKUP($A118,'Neraca Unaudited SIMAK'!$A$2:$R$1272,17,FALSE)+IF(ISNA(VLOOKUP($A118,'Mutasi Neraca'!$A$3:$S$910,17,FALSE)),0,VLOOKUP($A118,'Mutasi Neraca'!$A$3:$S$910,17,FALSE))</f>
        <v>-14275000</v>
      </c>
      <c r="S118" s="42">
        <f t="shared" si="45"/>
        <v>4884385953</v>
      </c>
    </row>
    <row r="119" spans="1:19">
      <c r="A119" s="41" t="s">
        <v>126</v>
      </c>
      <c r="B119" s="41" t="str">
        <f t="shared" si="44"/>
        <v>005010300</v>
      </c>
      <c r="D119" s="42">
        <f>VLOOKUP($A119,'Neraca Unaudited SIMAK'!$A$2:$R$1272,3,FALSE)+IF(ISNA(VLOOKUP($A119,'Mutasi Neraca'!$A$3:$S$910,3,FALSE)),0,VLOOKUP($A119,'Mutasi Neraca'!$A$3:$S$910,3,FALSE))</f>
        <v>8051050</v>
      </c>
      <c r="E119" s="42">
        <f>VLOOKUP($A119,'Neraca Unaudited SIMAK'!$A$2:$R$1272,4,FALSE)+IF(ISNA(VLOOKUP($A119,'Mutasi Neraca'!$A$3:$S$910,4,FALSE)),0,VLOOKUP($A119,'Mutasi Neraca'!$A$3:$S$910,4,FALSE))</f>
        <v>3177914000</v>
      </c>
      <c r="F119" s="42">
        <f>VLOOKUP($A119,'Neraca Unaudited SIMAK'!$A$2:$R$1272,5,FALSE)+IF(ISNA(VLOOKUP($A119,'Mutasi Neraca'!$A$3:$S$910,5,FALSE)),0,VLOOKUP($A119,'Mutasi Neraca'!$A$3:$S$910,5,FALSE))</f>
        <v>914299703</v>
      </c>
      <c r="G119" s="42">
        <f>VLOOKUP($A119,'Neraca Unaudited SIMAK'!$A$2:$R$1272,6,FALSE)+IF(ISNA(VLOOKUP($A119,'Mutasi Neraca'!$A$3:$S$910,6,FALSE)),0,VLOOKUP($A119,'Mutasi Neraca'!$A$3:$S$910,6,FALSE))</f>
        <v>4339365500</v>
      </c>
      <c r="H119" s="42">
        <f>VLOOKUP($A119,'Neraca Unaudited SIMAK'!$A$2:$R$1272,7,FALSE)+IF(ISNA(VLOOKUP($A119,'Mutasi Neraca'!$A$3:$S$910,7,FALSE)),0,VLOOKUP($A119,'Mutasi Neraca'!$A$3:$S$910,7,FALSE))</f>
        <v>60689000</v>
      </c>
      <c r="I119" s="42">
        <f>VLOOKUP($A119,'Neraca Unaudited SIMAK'!$A$2:$R$1272,8,FALSE)+IF(ISNA(VLOOKUP($A119,'Mutasi Neraca'!$A$3:$S$910,8,FALSE)),0,VLOOKUP($A119,'Mutasi Neraca'!$A$3:$S$910,8,FALSE))</f>
        <v>7651213</v>
      </c>
      <c r="J119" s="42">
        <f>VLOOKUP($A119,'Neraca Unaudited SIMAK'!$A$2:$R$1272,9,FALSE)+IF(ISNA(VLOOKUP($A119,'Mutasi Neraca'!$A$3:$S$910,9,FALSE)),0,VLOOKUP($A119,'Mutasi Neraca'!$A$3:$S$910,9,FALSE))</f>
        <v>0</v>
      </c>
      <c r="K119" s="42">
        <f>VLOOKUP($A119,'Neraca Unaudited SIMAK'!$A$2:$R$1272,10,FALSE)+IF(ISNA(VLOOKUP($A119,'Mutasi Neraca'!$A$3:$S$910,10,FALSE)),0,VLOOKUP($A119,'Mutasi Neraca'!$A$3:$S$910,10,FALSE))</f>
        <v>0</v>
      </c>
      <c r="L119" s="42">
        <f>VLOOKUP($A119,'Neraca Unaudited SIMAK'!$A$2:$R$1272,11,FALSE)+IF(ISNA(VLOOKUP($A119,'Mutasi Neraca'!$A$3:$S$910,11,FALSE)),0,VLOOKUP($A119,'Mutasi Neraca'!$A$3:$S$910,11,FALSE))</f>
        <v>96991726</v>
      </c>
      <c r="M119" s="42">
        <f>VLOOKUP($A119,'Neraca Unaudited SIMAK'!$A$2:$R$1272,12,FALSE)+IF(ISNA(VLOOKUP($A119,'Mutasi Neraca'!$A$3:$S$910,12,FALSE)),0,VLOOKUP($A119,'Mutasi Neraca'!$A$3:$S$910,12,FALSE))</f>
        <v>8604962192</v>
      </c>
      <c r="N119" s="42">
        <f>VLOOKUP($A119,'Neraca Unaudited SIMAK'!$A$2:$R$1272,13,FALSE)+IF(ISNA(VLOOKUP($A119,'Mutasi Neraca'!$A$3:$S$910,13,FALSE)),0,VLOOKUP($A119,'Mutasi Neraca'!$A$3:$S$910,13,FALSE))</f>
        <v>-748989620</v>
      </c>
      <c r="O119" s="42">
        <f>VLOOKUP($A119,'Neraca Unaudited SIMAK'!$A$2:$R$1272,14,FALSE)+IF(ISNA(VLOOKUP($A119,'Mutasi Neraca'!$A$3:$S$910,14,FALSE)),0,VLOOKUP($A119,'Mutasi Neraca'!$A$3:$S$910,14,FALSE))</f>
        <v>-408797767</v>
      </c>
      <c r="P119" s="42">
        <f>VLOOKUP($A119,'Neraca Unaudited SIMAK'!$A$2:$R$1272,15,FALSE)+IF(ISNA(VLOOKUP($A119,'Mutasi Neraca'!$A$3:$S$910,15,FALSE)),0,VLOOKUP($A119,'Mutasi Neraca'!$A$3:$S$910,15,FALSE))</f>
        <v>-35339069</v>
      </c>
      <c r="Q119" s="42">
        <f>VLOOKUP($A119,'Neraca Unaudited SIMAK'!$A$2:$R$1272,16,FALSE)+IF(ISNA(VLOOKUP($A119,'Mutasi Neraca'!$A$3:$S$910,16,FALSE)),0,VLOOKUP($A119,'Mutasi Neraca'!$A$3:$S$910,16,FALSE))</f>
        <v>0</v>
      </c>
      <c r="R119" s="42">
        <f>VLOOKUP($A119,'Neraca Unaudited SIMAK'!$A$2:$R$1272,17,FALSE)+IF(ISNA(VLOOKUP($A119,'Mutasi Neraca'!$A$3:$S$910,17,FALSE)),0,VLOOKUP($A119,'Mutasi Neraca'!$A$3:$S$910,17,FALSE))</f>
        <v>-95466729</v>
      </c>
      <c r="S119" s="42">
        <f t="shared" si="45"/>
        <v>7316369007</v>
      </c>
    </row>
    <row r="120" spans="1:19">
      <c r="A120" s="41" t="s">
        <v>127</v>
      </c>
      <c r="B120" s="41" t="str">
        <f t="shared" si="44"/>
        <v>005010300</v>
      </c>
      <c r="D120" s="42">
        <f>VLOOKUP($A120,'Neraca Unaudited SIMAK'!$A$2:$R$1272,3,FALSE)+IF(ISNA(VLOOKUP($A120,'Mutasi Neraca'!$A$3:$S$910,3,FALSE)),0,VLOOKUP($A120,'Mutasi Neraca'!$A$3:$S$910,3,FALSE))</f>
        <v>2500500</v>
      </c>
      <c r="E120" s="42">
        <f>VLOOKUP($A120,'Neraca Unaudited SIMAK'!$A$2:$R$1272,4,FALSE)+IF(ISNA(VLOOKUP($A120,'Mutasi Neraca'!$A$3:$S$910,4,FALSE)),0,VLOOKUP($A120,'Mutasi Neraca'!$A$3:$S$910,4,FALSE))</f>
        <v>2122025000</v>
      </c>
      <c r="F120" s="42">
        <f>VLOOKUP($A120,'Neraca Unaudited SIMAK'!$A$2:$R$1272,5,FALSE)+IF(ISNA(VLOOKUP($A120,'Mutasi Neraca'!$A$3:$S$910,5,FALSE)),0,VLOOKUP($A120,'Mutasi Neraca'!$A$3:$S$910,5,FALSE))</f>
        <v>1232360398</v>
      </c>
      <c r="G120" s="42">
        <f>VLOOKUP($A120,'Neraca Unaudited SIMAK'!$A$2:$R$1272,6,FALSE)+IF(ISNA(VLOOKUP($A120,'Mutasi Neraca'!$A$3:$S$910,6,FALSE)),0,VLOOKUP($A120,'Mutasi Neraca'!$A$3:$S$910,6,FALSE))</f>
        <v>5094831000</v>
      </c>
      <c r="H120" s="42">
        <f>VLOOKUP($A120,'Neraca Unaudited SIMAK'!$A$2:$R$1272,7,FALSE)+IF(ISNA(VLOOKUP($A120,'Mutasi Neraca'!$A$3:$S$910,7,FALSE)),0,VLOOKUP($A120,'Mutasi Neraca'!$A$3:$S$910,7,FALSE))</f>
        <v>19244500</v>
      </c>
      <c r="I120" s="42">
        <f>VLOOKUP($A120,'Neraca Unaudited SIMAK'!$A$2:$R$1272,8,FALSE)+IF(ISNA(VLOOKUP($A120,'Mutasi Neraca'!$A$3:$S$910,8,FALSE)),0,VLOOKUP($A120,'Mutasi Neraca'!$A$3:$S$910,8,FALSE))</f>
        <v>18379980</v>
      </c>
      <c r="J120" s="42">
        <f>VLOOKUP($A120,'Neraca Unaudited SIMAK'!$A$2:$R$1272,9,FALSE)+IF(ISNA(VLOOKUP($A120,'Mutasi Neraca'!$A$3:$S$910,9,FALSE)),0,VLOOKUP($A120,'Mutasi Neraca'!$A$3:$S$910,9,FALSE))</f>
        <v>0</v>
      </c>
      <c r="K120" s="42">
        <f>VLOOKUP($A120,'Neraca Unaudited SIMAK'!$A$2:$R$1272,10,FALSE)+IF(ISNA(VLOOKUP($A120,'Mutasi Neraca'!$A$3:$S$910,10,FALSE)),0,VLOOKUP($A120,'Mutasi Neraca'!$A$3:$S$910,10,FALSE))</f>
        <v>0</v>
      </c>
      <c r="L120" s="42">
        <f>VLOOKUP($A120,'Neraca Unaudited SIMAK'!$A$2:$R$1272,11,FALSE)+IF(ISNA(VLOOKUP($A120,'Mutasi Neraca'!$A$3:$S$910,11,FALSE)),0,VLOOKUP($A120,'Mutasi Neraca'!$A$3:$S$910,11,FALSE))</f>
        <v>18730800</v>
      </c>
      <c r="M120" s="42">
        <f>VLOOKUP($A120,'Neraca Unaudited SIMAK'!$A$2:$R$1272,12,FALSE)+IF(ISNA(VLOOKUP($A120,'Mutasi Neraca'!$A$3:$S$910,12,FALSE)),0,VLOOKUP($A120,'Mutasi Neraca'!$A$3:$S$910,12,FALSE))</f>
        <v>8508072178</v>
      </c>
      <c r="N120" s="42">
        <f>VLOOKUP($A120,'Neraca Unaudited SIMAK'!$A$2:$R$1272,13,FALSE)+IF(ISNA(VLOOKUP($A120,'Mutasi Neraca'!$A$3:$S$910,13,FALSE)),0,VLOOKUP($A120,'Mutasi Neraca'!$A$3:$S$910,13,FALSE))</f>
        <v>-1038192436</v>
      </c>
      <c r="O120" s="42">
        <f>VLOOKUP($A120,'Neraca Unaudited SIMAK'!$A$2:$R$1272,14,FALSE)+IF(ISNA(VLOOKUP($A120,'Mutasi Neraca'!$A$3:$S$910,14,FALSE)),0,VLOOKUP($A120,'Mutasi Neraca'!$A$3:$S$910,14,FALSE))</f>
        <v>-809103081</v>
      </c>
      <c r="P120" s="42">
        <f>VLOOKUP($A120,'Neraca Unaudited SIMAK'!$A$2:$R$1272,15,FALSE)+IF(ISNA(VLOOKUP($A120,'Mutasi Neraca'!$A$3:$S$910,15,FALSE)),0,VLOOKUP($A120,'Mutasi Neraca'!$A$3:$S$910,15,FALSE))</f>
        <v>-3127228</v>
      </c>
      <c r="Q120" s="42">
        <f>VLOOKUP($A120,'Neraca Unaudited SIMAK'!$A$2:$R$1272,16,FALSE)+IF(ISNA(VLOOKUP($A120,'Mutasi Neraca'!$A$3:$S$910,16,FALSE)),0,VLOOKUP($A120,'Mutasi Neraca'!$A$3:$S$910,16,FALSE))</f>
        <v>0</v>
      </c>
      <c r="R120" s="42">
        <f>VLOOKUP($A120,'Neraca Unaudited SIMAK'!$A$2:$R$1272,17,FALSE)+IF(ISNA(VLOOKUP($A120,'Mutasi Neraca'!$A$3:$S$910,17,FALSE)),0,VLOOKUP($A120,'Mutasi Neraca'!$A$3:$S$910,17,FALSE))</f>
        <v>-16417050</v>
      </c>
      <c r="S120" s="42">
        <f t="shared" si="45"/>
        <v>6641232383</v>
      </c>
    </row>
    <row r="121" spans="1:19">
      <c r="A121" s="41" t="s">
        <v>128</v>
      </c>
      <c r="B121" s="41" t="str">
        <f t="shared" si="44"/>
        <v>005010300</v>
      </c>
      <c r="D121" s="42">
        <f>VLOOKUP($A121,'Neraca Unaudited SIMAK'!$A$2:$R$1272,3,FALSE)+IF(ISNA(VLOOKUP($A121,'Mutasi Neraca'!$A$3:$S$910,3,FALSE)),0,VLOOKUP($A121,'Mutasi Neraca'!$A$3:$S$910,3,FALSE))</f>
        <v>10558290</v>
      </c>
      <c r="E121" s="42">
        <f>VLOOKUP($A121,'Neraca Unaudited SIMAK'!$A$2:$R$1272,4,FALSE)+IF(ISNA(VLOOKUP($A121,'Mutasi Neraca'!$A$3:$S$910,4,FALSE)),0,VLOOKUP($A121,'Mutasi Neraca'!$A$3:$S$910,4,FALSE))</f>
        <v>1414200000</v>
      </c>
      <c r="F121" s="42">
        <f>VLOOKUP($A121,'Neraca Unaudited SIMAK'!$A$2:$R$1272,5,FALSE)+IF(ISNA(VLOOKUP($A121,'Mutasi Neraca'!$A$3:$S$910,5,FALSE)),0,VLOOKUP($A121,'Mutasi Neraca'!$A$3:$S$910,5,FALSE))</f>
        <v>1033494169</v>
      </c>
      <c r="G121" s="42">
        <f>VLOOKUP($A121,'Neraca Unaudited SIMAK'!$A$2:$R$1272,6,FALSE)+IF(ISNA(VLOOKUP($A121,'Mutasi Neraca'!$A$3:$S$910,6,FALSE)),0,VLOOKUP($A121,'Mutasi Neraca'!$A$3:$S$910,6,FALSE))</f>
        <v>2047685000</v>
      </c>
      <c r="H121" s="42">
        <f>VLOOKUP($A121,'Neraca Unaudited SIMAK'!$A$2:$R$1272,7,FALSE)+IF(ISNA(VLOOKUP($A121,'Mutasi Neraca'!$A$3:$S$910,7,FALSE)),0,VLOOKUP($A121,'Mutasi Neraca'!$A$3:$S$910,7,FALSE))</f>
        <v>34300000</v>
      </c>
      <c r="I121" s="42">
        <f>VLOOKUP($A121,'Neraca Unaudited SIMAK'!$A$2:$R$1272,8,FALSE)+IF(ISNA(VLOOKUP($A121,'Mutasi Neraca'!$A$3:$S$910,8,FALSE)),0,VLOOKUP($A121,'Mutasi Neraca'!$A$3:$S$910,8,FALSE))</f>
        <v>3746578</v>
      </c>
      <c r="J121" s="42">
        <f>VLOOKUP($A121,'Neraca Unaudited SIMAK'!$A$2:$R$1272,9,FALSE)+IF(ISNA(VLOOKUP($A121,'Mutasi Neraca'!$A$3:$S$910,9,FALSE)),0,VLOOKUP($A121,'Mutasi Neraca'!$A$3:$S$910,9,FALSE))</f>
        <v>0</v>
      </c>
      <c r="K121" s="42">
        <f>VLOOKUP($A121,'Neraca Unaudited SIMAK'!$A$2:$R$1272,10,FALSE)+IF(ISNA(VLOOKUP($A121,'Mutasi Neraca'!$A$3:$S$910,10,FALSE)),0,VLOOKUP($A121,'Mutasi Neraca'!$A$3:$S$910,10,FALSE))</f>
        <v>7000000</v>
      </c>
      <c r="L121" s="42">
        <f>VLOOKUP($A121,'Neraca Unaudited SIMAK'!$A$2:$R$1272,11,FALSE)+IF(ISNA(VLOOKUP($A121,'Mutasi Neraca'!$A$3:$S$910,11,FALSE)),0,VLOOKUP($A121,'Mutasi Neraca'!$A$3:$S$910,11,FALSE))</f>
        <v>0</v>
      </c>
      <c r="M121" s="42">
        <f>VLOOKUP($A121,'Neraca Unaudited SIMAK'!$A$2:$R$1272,12,FALSE)+IF(ISNA(VLOOKUP($A121,'Mutasi Neraca'!$A$3:$S$910,12,FALSE)),0,VLOOKUP($A121,'Mutasi Neraca'!$A$3:$S$910,12,FALSE))</f>
        <v>4550984037</v>
      </c>
      <c r="N121" s="42">
        <f>VLOOKUP($A121,'Neraca Unaudited SIMAK'!$A$2:$R$1272,13,FALSE)+IF(ISNA(VLOOKUP($A121,'Mutasi Neraca'!$A$3:$S$910,13,FALSE)),0,VLOOKUP($A121,'Mutasi Neraca'!$A$3:$S$910,13,FALSE))</f>
        <v>-987828137</v>
      </c>
      <c r="O121" s="42">
        <f>VLOOKUP($A121,'Neraca Unaudited SIMAK'!$A$2:$R$1272,14,FALSE)+IF(ISNA(VLOOKUP($A121,'Mutasi Neraca'!$A$3:$S$910,14,FALSE)),0,VLOOKUP($A121,'Mutasi Neraca'!$A$3:$S$910,14,FALSE))</f>
        <v>-421429084</v>
      </c>
      <c r="P121" s="42">
        <f>VLOOKUP($A121,'Neraca Unaudited SIMAK'!$A$2:$R$1272,15,FALSE)+IF(ISNA(VLOOKUP($A121,'Mutasi Neraca'!$A$3:$S$910,15,FALSE)),0,VLOOKUP($A121,'Mutasi Neraca'!$A$3:$S$910,15,FALSE))</f>
        <v>-5573750</v>
      </c>
      <c r="Q121" s="42">
        <f>VLOOKUP($A121,'Neraca Unaudited SIMAK'!$A$2:$R$1272,16,FALSE)+IF(ISNA(VLOOKUP($A121,'Mutasi Neraca'!$A$3:$S$910,16,FALSE)),0,VLOOKUP($A121,'Mutasi Neraca'!$A$3:$S$910,16,FALSE))</f>
        <v>0</v>
      </c>
      <c r="R121" s="42">
        <f>VLOOKUP($A121,'Neraca Unaudited SIMAK'!$A$2:$R$1272,17,FALSE)+IF(ISNA(VLOOKUP($A121,'Mutasi Neraca'!$A$3:$S$910,17,FALSE)),0,VLOOKUP($A121,'Mutasi Neraca'!$A$3:$S$910,17,FALSE))</f>
        <v>0</v>
      </c>
      <c r="S121" s="42">
        <f t="shared" si="45"/>
        <v>3136153066</v>
      </c>
    </row>
    <row r="122" spans="1:19">
      <c r="A122" s="41" t="s">
        <v>129</v>
      </c>
      <c r="B122" s="41" t="str">
        <f t="shared" si="44"/>
        <v>005010300</v>
      </c>
      <c r="D122" s="42">
        <f>VLOOKUP($A122,'Neraca Unaudited SIMAK'!$A$2:$R$1272,3,FALSE)+IF(ISNA(VLOOKUP($A122,'Mutasi Neraca'!$A$3:$S$910,3,FALSE)),0,VLOOKUP($A122,'Mutasi Neraca'!$A$3:$S$910,3,FALSE))</f>
        <v>3218600</v>
      </c>
      <c r="E122" s="42">
        <f>VLOOKUP($A122,'Neraca Unaudited SIMAK'!$A$2:$R$1272,4,FALSE)+IF(ISNA(VLOOKUP($A122,'Mutasi Neraca'!$A$3:$S$910,4,FALSE)),0,VLOOKUP($A122,'Mutasi Neraca'!$A$3:$S$910,4,FALSE))</f>
        <v>974112000</v>
      </c>
      <c r="F122" s="42">
        <f>VLOOKUP($A122,'Neraca Unaudited SIMAK'!$A$2:$R$1272,5,FALSE)+IF(ISNA(VLOOKUP($A122,'Mutasi Neraca'!$A$3:$S$910,5,FALSE)),0,VLOOKUP($A122,'Mutasi Neraca'!$A$3:$S$910,5,FALSE))</f>
        <v>1318577042</v>
      </c>
      <c r="G122" s="42">
        <f>VLOOKUP($A122,'Neraca Unaudited SIMAK'!$A$2:$R$1272,6,FALSE)+IF(ISNA(VLOOKUP($A122,'Mutasi Neraca'!$A$3:$S$910,6,FALSE)),0,VLOOKUP($A122,'Mutasi Neraca'!$A$3:$S$910,6,FALSE))</f>
        <v>1474042000</v>
      </c>
      <c r="H122" s="42">
        <f>VLOOKUP($A122,'Neraca Unaudited SIMAK'!$A$2:$R$1272,7,FALSE)+IF(ISNA(VLOOKUP($A122,'Mutasi Neraca'!$A$3:$S$910,7,FALSE)),0,VLOOKUP($A122,'Mutasi Neraca'!$A$3:$S$910,7,FALSE))</f>
        <v>0</v>
      </c>
      <c r="I122" s="42">
        <f>VLOOKUP($A122,'Neraca Unaudited SIMAK'!$A$2:$R$1272,8,FALSE)+IF(ISNA(VLOOKUP($A122,'Mutasi Neraca'!$A$3:$S$910,8,FALSE)),0,VLOOKUP($A122,'Mutasi Neraca'!$A$3:$S$910,8,FALSE))</f>
        <v>4096580</v>
      </c>
      <c r="J122" s="42">
        <f>VLOOKUP($A122,'Neraca Unaudited SIMAK'!$A$2:$R$1272,9,FALSE)+IF(ISNA(VLOOKUP($A122,'Mutasi Neraca'!$A$3:$S$910,9,FALSE)),0,VLOOKUP($A122,'Mutasi Neraca'!$A$3:$S$910,9,FALSE))</f>
        <v>0</v>
      </c>
      <c r="K122" s="42">
        <f>VLOOKUP($A122,'Neraca Unaudited SIMAK'!$A$2:$R$1272,10,FALSE)+IF(ISNA(VLOOKUP($A122,'Mutasi Neraca'!$A$3:$S$910,10,FALSE)),0,VLOOKUP($A122,'Mutasi Neraca'!$A$3:$S$910,10,FALSE))</f>
        <v>2500000</v>
      </c>
      <c r="L122" s="42">
        <f>VLOOKUP($A122,'Neraca Unaudited SIMAK'!$A$2:$R$1272,11,FALSE)+IF(ISNA(VLOOKUP($A122,'Mutasi Neraca'!$A$3:$S$910,11,FALSE)),0,VLOOKUP($A122,'Mutasi Neraca'!$A$3:$S$910,11,FALSE))</f>
        <v>747000</v>
      </c>
      <c r="M122" s="42">
        <f>VLOOKUP($A122,'Neraca Unaudited SIMAK'!$A$2:$R$1272,12,FALSE)+IF(ISNA(VLOOKUP($A122,'Mutasi Neraca'!$A$3:$S$910,12,FALSE)),0,VLOOKUP($A122,'Mutasi Neraca'!$A$3:$S$910,12,FALSE))</f>
        <v>3777293222</v>
      </c>
      <c r="N122" s="42">
        <f>VLOOKUP($A122,'Neraca Unaudited SIMAK'!$A$2:$R$1272,13,FALSE)+IF(ISNA(VLOOKUP($A122,'Mutasi Neraca'!$A$3:$S$910,13,FALSE)),0,VLOOKUP($A122,'Mutasi Neraca'!$A$3:$S$910,13,FALSE))</f>
        <v>-1044073642</v>
      </c>
      <c r="O122" s="42">
        <f>VLOOKUP($A122,'Neraca Unaudited SIMAK'!$A$2:$R$1272,14,FALSE)+IF(ISNA(VLOOKUP($A122,'Mutasi Neraca'!$A$3:$S$910,14,FALSE)),0,VLOOKUP($A122,'Mutasi Neraca'!$A$3:$S$910,14,FALSE))</f>
        <v>-196767482</v>
      </c>
      <c r="P122" s="42">
        <f>VLOOKUP($A122,'Neraca Unaudited SIMAK'!$A$2:$R$1272,15,FALSE)+IF(ISNA(VLOOKUP($A122,'Mutasi Neraca'!$A$3:$S$910,15,FALSE)),0,VLOOKUP($A122,'Mutasi Neraca'!$A$3:$S$910,15,FALSE))</f>
        <v>0</v>
      </c>
      <c r="Q122" s="42">
        <f>VLOOKUP($A122,'Neraca Unaudited SIMAK'!$A$2:$R$1272,16,FALSE)+IF(ISNA(VLOOKUP($A122,'Mutasi Neraca'!$A$3:$S$910,16,FALSE)),0,VLOOKUP($A122,'Mutasi Neraca'!$A$3:$S$910,16,FALSE))</f>
        <v>0</v>
      </c>
      <c r="R122" s="42">
        <f>VLOOKUP($A122,'Neraca Unaudited SIMAK'!$A$2:$R$1272,17,FALSE)+IF(ISNA(VLOOKUP($A122,'Mutasi Neraca'!$A$3:$S$910,17,FALSE)),0,VLOOKUP($A122,'Mutasi Neraca'!$A$3:$S$910,17,FALSE))</f>
        <v>-747000</v>
      </c>
      <c r="S122" s="42">
        <f t="shared" si="45"/>
        <v>2535705098</v>
      </c>
    </row>
    <row r="123" spans="1:19">
      <c r="A123" s="41" t="s">
        <v>130</v>
      </c>
      <c r="B123" s="41" t="str">
        <f t="shared" si="44"/>
        <v>005010300</v>
      </c>
      <c r="D123" s="42">
        <f>VLOOKUP($A123,'Neraca Unaudited SIMAK'!$A$2:$R$1272,3,FALSE)+IF(ISNA(VLOOKUP($A123,'Mutasi Neraca'!$A$3:$S$910,3,FALSE)),0,VLOOKUP($A123,'Mutasi Neraca'!$A$3:$S$910,3,FALSE))</f>
        <v>4606650</v>
      </c>
      <c r="E123" s="42">
        <f>VLOOKUP($A123,'Neraca Unaudited SIMAK'!$A$2:$R$1272,4,FALSE)+IF(ISNA(VLOOKUP($A123,'Mutasi Neraca'!$A$3:$S$910,4,FALSE)),0,VLOOKUP($A123,'Mutasi Neraca'!$A$3:$S$910,4,FALSE))</f>
        <v>1803217500</v>
      </c>
      <c r="F123" s="42">
        <f>VLOOKUP($A123,'Neraca Unaudited SIMAK'!$A$2:$R$1272,5,FALSE)+IF(ISNA(VLOOKUP($A123,'Mutasi Neraca'!$A$3:$S$910,5,FALSE)),0,VLOOKUP($A123,'Mutasi Neraca'!$A$3:$S$910,5,FALSE))</f>
        <v>823949045</v>
      </c>
      <c r="G123" s="42">
        <f>VLOOKUP($A123,'Neraca Unaudited SIMAK'!$A$2:$R$1272,6,FALSE)+IF(ISNA(VLOOKUP($A123,'Mutasi Neraca'!$A$3:$S$910,6,FALSE)),0,VLOOKUP($A123,'Mutasi Neraca'!$A$3:$S$910,6,FALSE))</f>
        <v>1875208000</v>
      </c>
      <c r="H123" s="42">
        <f>VLOOKUP($A123,'Neraca Unaudited SIMAK'!$A$2:$R$1272,7,FALSE)+IF(ISNA(VLOOKUP($A123,'Mutasi Neraca'!$A$3:$S$910,7,FALSE)),0,VLOOKUP($A123,'Mutasi Neraca'!$A$3:$S$910,7,FALSE))</f>
        <v>49821900</v>
      </c>
      <c r="I123" s="42">
        <f>VLOOKUP($A123,'Neraca Unaudited SIMAK'!$A$2:$R$1272,8,FALSE)+IF(ISNA(VLOOKUP($A123,'Mutasi Neraca'!$A$3:$S$910,8,FALSE)),0,VLOOKUP($A123,'Mutasi Neraca'!$A$3:$S$910,8,FALSE))</f>
        <v>67392000</v>
      </c>
      <c r="J123" s="42">
        <f>VLOOKUP($A123,'Neraca Unaudited SIMAK'!$A$2:$R$1272,9,FALSE)+IF(ISNA(VLOOKUP($A123,'Mutasi Neraca'!$A$3:$S$910,9,FALSE)),0,VLOOKUP($A123,'Mutasi Neraca'!$A$3:$S$910,9,FALSE))</f>
        <v>0</v>
      </c>
      <c r="K123" s="42">
        <f>VLOOKUP($A123,'Neraca Unaudited SIMAK'!$A$2:$R$1272,10,FALSE)+IF(ISNA(VLOOKUP($A123,'Mutasi Neraca'!$A$3:$S$910,10,FALSE)),0,VLOOKUP($A123,'Mutasi Neraca'!$A$3:$S$910,10,FALSE))</f>
        <v>2500000</v>
      </c>
      <c r="L123" s="42">
        <f>VLOOKUP($A123,'Neraca Unaudited SIMAK'!$A$2:$R$1272,11,FALSE)+IF(ISNA(VLOOKUP($A123,'Mutasi Neraca'!$A$3:$S$910,11,FALSE)),0,VLOOKUP($A123,'Mutasi Neraca'!$A$3:$S$910,11,FALSE))</f>
        <v>77623542</v>
      </c>
      <c r="M123" s="42">
        <f>VLOOKUP($A123,'Neraca Unaudited SIMAK'!$A$2:$R$1272,12,FALSE)+IF(ISNA(VLOOKUP($A123,'Mutasi Neraca'!$A$3:$S$910,12,FALSE)),0,VLOOKUP($A123,'Mutasi Neraca'!$A$3:$S$910,12,FALSE))</f>
        <v>4704318637</v>
      </c>
      <c r="N123" s="42">
        <f>VLOOKUP($A123,'Neraca Unaudited SIMAK'!$A$2:$R$1272,13,FALSE)+IF(ISNA(VLOOKUP($A123,'Mutasi Neraca'!$A$3:$S$910,13,FALSE)),0,VLOOKUP($A123,'Mutasi Neraca'!$A$3:$S$910,13,FALSE))</f>
        <v>-635245392</v>
      </c>
      <c r="O123" s="42">
        <f>VLOOKUP($A123,'Neraca Unaudited SIMAK'!$A$2:$R$1272,14,FALSE)+IF(ISNA(VLOOKUP($A123,'Mutasi Neraca'!$A$3:$S$910,14,FALSE)),0,VLOOKUP($A123,'Mutasi Neraca'!$A$3:$S$910,14,FALSE))</f>
        <v>-200540946</v>
      </c>
      <c r="P123" s="42">
        <f>VLOOKUP($A123,'Neraca Unaudited SIMAK'!$A$2:$R$1272,15,FALSE)+IF(ISNA(VLOOKUP($A123,'Mutasi Neraca'!$A$3:$S$910,15,FALSE)),0,VLOOKUP($A123,'Mutasi Neraca'!$A$3:$S$910,15,FALSE))</f>
        <v>-5221644</v>
      </c>
      <c r="Q123" s="42">
        <f>VLOOKUP($A123,'Neraca Unaudited SIMAK'!$A$2:$R$1272,16,FALSE)+IF(ISNA(VLOOKUP($A123,'Mutasi Neraca'!$A$3:$S$910,16,FALSE)),0,VLOOKUP($A123,'Mutasi Neraca'!$A$3:$S$910,16,FALSE))</f>
        <v>0</v>
      </c>
      <c r="R123" s="42">
        <f>VLOOKUP($A123,'Neraca Unaudited SIMAK'!$A$2:$R$1272,17,FALSE)+IF(ISNA(VLOOKUP($A123,'Mutasi Neraca'!$A$3:$S$910,17,FALSE)),0,VLOOKUP($A123,'Mutasi Neraca'!$A$3:$S$910,17,FALSE))</f>
        <v>-76934753</v>
      </c>
      <c r="S123" s="42">
        <f t="shared" si="45"/>
        <v>3786375902</v>
      </c>
    </row>
    <row r="124" spans="1:19">
      <c r="A124" s="41" t="s">
        <v>131</v>
      </c>
      <c r="B124" s="41" t="str">
        <f t="shared" si="44"/>
        <v>005010300</v>
      </c>
      <c r="D124" s="42">
        <f>VLOOKUP($A124,'Neraca Unaudited SIMAK'!$A$2:$R$1272,3,FALSE)+IF(ISNA(VLOOKUP($A124,'Mutasi Neraca'!$A$3:$S$910,3,FALSE)),0,VLOOKUP($A124,'Mutasi Neraca'!$A$3:$S$910,3,FALSE))</f>
        <v>1050800</v>
      </c>
      <c r="E124" s="42">
        <f>VLOOKUP($A124,'Neraca Unaudited SIMAK'!$A$2:$R$1272,4,FALSE)+IF(ISNA(VLOOKUP($A124,'Mutasi Neraca'!$A$3:$S$910,4,FALSE)),0,VLOOKUP($A124,'Mutasi Neraca'!$A$3:$S$910,4,FALSE))</f>
        <v>966908000</v>
      </c>
      <c r="F124" s="42">
        <f>VLOOKUP($A124,'Neraca Unaudited SIMAK'!$A$2:$R$1272,5,FALSE)+IF(ISNA(VLOOKUP($A124,'Mutasi Neraca'!$A$3:$S$910,5,FALSE)),0,VLOOKUP($A124,'Mutasi Neraca'!$A$3:$S$910,5,FALSE))</f>
        <v>1329246732</v>
      </c>
      <c r="G124" s="42">
        <f>VLOOKUP($A124,'Neraca Unaudited SIMAK'!$A$2:$R$1272,6,FALSE)+IF(ISNA(VLOOKUP($A124,'Mutasi Neraca'!$A$3:$S$910,6,FALSE)),0,VLOOKUP($A124,'Mutasi Neraca'!$A$3:$S$910,6,FALSE))</f>
        <v>3557025760</v>
      </c>
      <c r="H124" s="42">
        <f>VLOOKUP($A124,'Neraca Unaudited SIMAK'!$A$2:$R$1272,7,FALSE)+IF(ISNA(VLOOKUP($A124,'Mutasi Neraca'!$A$3:$S$910,7,FALSE)),0,VLOOKUP($A124,'Mutasi Neraca'!$A$3:$S$910,7,FALSE))</f>
        <v>0</v>
      </c>
      <c r="I124" s="42">
        <f>VLOOKUP($A124,'Neraca Unaudited SIMAK'!$A$2:$R$1272,8,FALSE)+IF(ISNA(VLOOKUP($A124,'Mutasi Neraca'!$A$3:$S$910,8,FALSE)),0,VLOOKUP($A124,'Mutasi Neraca'!$A$3:$S$910,8,FALSE))</f>
        <v>3236680</v>
      </c>
      <c r="J124" s="42">
        <f>VLOOKUP($A124,'Neraca Unaudited SIMAK'!$A$2:$R$1272,9,FALSE)+IF(ISNA(VLOOKUP($A124,'Mutasi Neraca'!$A$3:$S$910,9,FALSE)),0,VLOOKUP($A124,'Mutasi Neraca'!$A$3:$S$910,9,FALSE))</f>
        <v>0</v>
      </c>
      <c r="K124" s="42">
        <f>VLOOKUP($A124,'Neraca Unaudited SIMAK'!$A$2:$R$1272,10,FALSE)+IF(ISNA(VLOOKUP($A124,'Mutasi Neraca'!$A$3:$S$910,10,FALSE)),0,VLOOKUP($A124,'Mutasi Neraca'!$A$3:$S$910,10,FALSE))</f>
        <v>2497000</v>
      </c>
      <c r="L124" s="42">
        <f>VLOOKUP($A124,'Neraca Unaudited SIMAK'!$A$2:$R$1272,11,FALSE)+IF(ISNA(VLOOKUP($A124,'Mutasi Neraca'!$A$3:$S$910,11,FALSE)),0,VLOOKUP($A124,'Mutasi Neraca'!$A$3:$S$910,11,FALSE))</f>
        <v>44100766</v>
      </c>
      <c r="M124" s="42">
        <f>VLOOKUP($A124,'Neraca Unaudited SIMAK'!$A$2:$R$1272,12,FALSE)+IF(ISNA(VLOOKUP($A124,'Mutasi Neraca'!$A$3:$S$910,12,FALSE)),0,VLOOKUP($A124,'Mutasi Neraca'!$A$3:$S$910,12,FALSE))</f>
        <v>5904065738</v>
      </c>
      <c r="N124" s="42">
        <f>VLOOKUP($A124,'Neraca Unaudited SIMAK'!$A$2:$R$1272,13,FALSE)+IF(ISNA(VLOOKUP($A124,'Mutasi Neraca'!$A$3:$S$910,13,FALSE)),0,VLOOKUP($A124,'Mutasi Neraca'!$A$3:$S$910,13,FALSE))</f>
        <v>-1014388884</v>
      </c>
      <c r="O124" s="42">
        <f>VLOOKUP($A124,'Neraca Unaudited SIMAK'!$A$2:$R$1272,14,FALSE)+IF(ISNA(VLOOKUP($A124,'Mutasi Neraca'!$A$3:$S$910,14,FALSE)),0,VLOOKUP($A124,'Mutasi Neraca'!$A$3:$S$910,14,FALSE))</f>
        <v>-420733652</v>
      </c>
      <c r="P124" s="42">
        <f>VLOOKUP($A124,'Neraca Unaudited SIMAK'!$A$2:$R$1272,15,FALSE)+IF(ISNA(VLOOKUP($A124,'Mutasi Neraca'!$A$3:$S$910,15,FALSE)),0,VLOOKUP($A124,'Mutasi Neraca'!$A$3:$S$910,15,FALSE))</f>
        <v>0</v>
      </c>
      <c r="Q124" s="42">
        <f>VLOOKUP($A124,'Neraca Unaudited SIMAK'!$A$2:$R$1272,16,FALSE)+IF(ISNA(VLOOKUP($A124,'Mutasi Neraca'!$A$3:$S$910,16,FALSE)),0,VLOOKUP($A124,'Mutasi Neraca'!$A$3:$S$910,16,FALSE))</f>
        <v>0</v>
      </c>
      <c r="R124" s="42">
        <f>VLOOKUP($A124,'Neraca Unaudited SIMAK'!$A$2:$R$1272,17,FALSE)+IF(ISNA(VLOOKUP($A124,'Mutasi Neraca'!$A$3:$S$910,17,FALSE)),0,VLOOKUP($A124,'Mutasi Neraca'!$A$3:$S$910,17,FALSE))</f>
        <v>-44003080</v>
      </c>
      <c r="S124" s="42">
        <f t="shared" si="45"/>
        <v>4424940122</v>
      </c>
    </row>
    <row r="125" spans="1:19">
      <c r="A125" s="41" t="s">
        <v>132</v>
      </c>
      <c r="B125" s="41" t="str">
        <f t="shared" si="44"/>
        <v>005010300</v>
      </c>
      <c r="D125" s="42">
        <f>VLOOKUP($A125,'Neraca Unaudited SIMAK'!$A$2:$R$1272,3,FALSE)+IF(ISNA(VLOOKUP($A125,'Mutasi Neraca'!$A$3:$S$910,3,FALSE)),0,VLOOKUP($A125,'Mutasi Neraca'!$A$3:$S$910,3,FALSE))</f>
        <v>10000</v>
      </c>
      <c r="E125" s="42">
        <f>VLOOKUP($A125,'Neraca Unaudited SIMAK'!$A$2:$R$1272,4,FALSE)+IF(ISNA(VLOOKUP($A125,'Mutasi Neraca'!$A$3:$S$910,4,FALSE)),0,VLOOKUP($A125,'Mutasi Neraca'!$A$3:$S$910,4,FALSE))</f>
        <v>5908552000</v>
      </c>
      <c r="F125" s="42">
        <f>VLOOKUP($A125,'Neraca Unaudited SIMAK'!$A$2:$R$1272,5,FALSE)+IF(ISNA(VLOOKUP($A125,'Mutasi Neraca'!$A$3:$S$910,5,FALSE)),0,VLOOKUP($A125,'Mutasi Neraca'!$A$3:$S$910,5,FALSE))</f>
        <v>1256953474</v>
      </c>
      <c r="G125" s="42">
        <f>VLOOKUP($A125,'Neraca Unaudited SIMAK'!$A$2:$R$1272,6,FALSE)+IF(ISNA(VLOOKUP($A125,'Mutasi Neraca'!$A$3:$S$910,6,FALSE)),0,VLOOKUP($A125,'Mutasi Neraca'!$A$3:$S$910,6,FALSE))</f>
        <v>5245856000</v>
      </c>
      <c r="H125" s="42">
        <f>VLOOKUP($A125,'Neraca Unaudited SIMAK'!$A$2:$R$1272,7,FALSE)+IF(ISNA(VLOOKUP($A125,'Mutasi Neraca'!$A$3:$S$910,7,FALSE)),0,VLOOKUP($A125,'Mutasi Neraca'!$A$3:$S$910,7,FALSE))</f>
        <v>39880000</v>
      </c>
      <c r="I125" s="42">
        <f>VLOOKUP($A125,'Neraca Unaudited SIMAK'!$A$2:$R$1272,8,FALSE)+IF(ISNA(VLOOKUP($A125,'Mutasi Neraca'!$A$3:$S$910,8,FALSE)),0,VLOOKUP($A125,'Mutasi Neraca'!$A$3:$S$910,8,FALSE))</f>
        <v>10844976</v>
      </c>
      <c r="J125" s="42">
        <f>VLOOKUP($A125,'Neraca Unaudited SIMAK'!$A$2:$R$1272,9,FALSE)+IF(ISNA(VLOOKUP($A125,'Mutasi Neraca'!$A$3:$S$910,9,FALSE)),0,VLOOKUP($A125,'Mutasi Neraca'!$A$3:$S$910,9,FALSE))</f>
        <v>0</v>
      </c>
      <c r="K125" s="42">
        <f>VLOOKUP($A125,'Neraca Unaudited SIMAK'!$A$2:$R$1272,10,FALSE)+IF(ISNA(VLOOKUP($A125,'Mutasi Neraca'!$A$3:$S$910,10,FALSE)),0,VLOOKUP($A125,'Mutasi Neraca'!$A$3:$S$910,10,FALSE))</f>
        <v>42080500</v>
      </c>
      <c r="L125" s="42">
        <f>VLOOKUP($A125,'Neraca Unaudited SIMAK'!$A$2:$R$1272,11,FALSE)+IF(ISNA(VLOOKUP($A125,'Mutasi Neraca'!$A$3:$S$910,11,FALSE)),0,VLOOKUP($A125,'Mutasi Neraca'!$A$3:$S$910,11,FALSE))</f>
        <v>147896363</v>
      </c>
      <c r="M125" s="42">
        <f>VLOOKUP($A125,'Neraca Unaudited SIMAK'!$A$2:$R$1272,12,FALSE)+IF(ISNA(VLOOKUP($A125,'Mutasi Neraca'!$A$3:$S$910,12,FALSE)),0,VLOOKUP($A125,'Mutasi Neraca'!$A$3:$S$910,12,FALSE))</f>
        <v>12652073313</v>
      </c>
      <c r="N125" s="42">
        <f>VLOOKUP($A125,'Neraca Unaudited SIMAK'!$A$2:$R$1272,13,FALSE)+IF(ISNA(VLOOKUP($A125,'Mutasi Neraca'!$A$3:$S$910,13,FALSE)),0,VLOOKUP($A125,'Mutasi Neraca'!$A$3:$S$910,13,FALSE))</f>
        <v>-785924492</v>
      </c>
      <c r="O125" s="42">
        <f>VLOOKUP($A125,'Neraca Unaudited SIMAK'!$A$2:$R$1272,14,FALSE)+IF(ISNA(VLOOKUP($A125,'Mutasi Neraca'!$A$3:$S$910,14,FALSE)),0,VLOOKUP($A125,'Mutasi Neraca'!$A$3:$S$910,14,FALSE))</f>
        <v>-621719071</v>
      </c>
      <c r="P125" s="42">
        <f>VLOOKUP($A125,'Neraca Unaudited SIMAK'!$A$2:$R$1272,15,FALSE)+IF(ISNA(VLOOKUP($A125,'Mutasi Neraca'!$A$3:$S$910,15,FALSE)),0,VLOOKUP($A125,'Mutasi Neraca'!$A$3:$S$910,15,FALSE))</f>
        <v>-2991000</v>
      </c>
      <c r="Q125" s="42">
        <f>VLOOKUP($A125,'Neraca Unaudited SIMAK'!$A$2:$R$1272,16,FALSE)+IF(ISNA(VLOOKUP($A125,'Mutasi Neraca'!$A$3:$S$910,16,FALSE)),0,VLOOKUP($A125,'Mutasi Neraca'!$A$3:$S$910,16,FALSE))</f>
        <v>0</v>
      </c>
      <c r="R125" s="42">
        <f>VLOOKUP($A125,'Neraca Unaudited SIMAK'!$A$2:$R$1272,17,FALSE)+IF(ISNA(VLOOKUP($A125,'Mutasi Neraca'!$A$3:$S$910,17,FALSE)),0,VLOOKUP($A125,'Mutasi Neraca'!$A$3:$S$910,17,FALSE))</f>
        <v>-147896363</v>
      </c>
      <c r="S125" s="42">
        <f t="shared" si="45"/>
        <v>11093542387</v>
      </c>
    </row>
    <row r="126" spans="1:19">
      <c r="A126" s="41" t="s">
        <v>133</v>
      </c>
      <c r="B126" s="41" t="str">
        <f t="shared" si="44"/>
        <v>005010300</v>
      </c>
      <c r="D126" s="42">
        <f>VLOOKUP($A126,'Neraca Unaudited SIMAK'!$A$2:$R$1272,3,FALSE)+IF(ISNA(VLOOKUP($A126,'Mutasi Neraca'!$A$3:$S$910,3,FALSE)),0,VLOOKUP($A126,'Mutasi Neraca'!$A$3:$S$910,3,FALSE))</f>
        <v>16000</v>
      </c>
      <c r="E126" s="42">
        <f>VLOOKUP($A126,'Neraca Unaudited SIMAK'!$A$2:$R$1272,4,FALSE)+IF(ISNA(VLOOKUP($A126,'Mutasi Neraca'!$A$3:$S$910,4,FALSE)),0,VLOOKUP($A126,'Mutasi Neraca'!$A$3:$S$910,4,FALSE))</f>
        <v>250000000</v>
      </c>
      <c r="F126" s="42">
        <f>VLOOKUP($A126,'Neraca Unaudited SIMAK'!$A$2:$R$1272,5,FALSE)+IF(ISNA(VLOOKUP($A126,'Mutasi Neraca'!$A$3:$S$910,5,FALSE)),0,VLOOKUP($A126,'Mutasi Neraca'!$A$3:$S$910,5,FALSE))</f>
        <v>1774634348</v>
      </c>
      <c r="G126" s="42">
        <f>VLOOKUP($A126,'Neraca Unaudited SIMAK'!$A$2:$R$1272,6,FALSE)+IF(ISNA(VLOOKUP($A126,'Mutasi Neraca'!$A$3:$S$910,6,FALSE)),0,VLOOKUP($A126,'Mutasi Neraca'!$A$3:$S$910,6,FALSE))</f>
        <v>1131146603</v>
      </c>
      <c r="H126" s="42">
        <f>VLOOKUP($A126,'Neraca Unaudited SIMAK'!$A$2:$R$1272,7,FALSE)+IF(ISNA(VLOOKUP($A126,'Mutasi Neraca'!$A$3:$S$910,7,FALSE)),0,VLOOKUP($A126,'Mutasi Neraca'!$A$3:$S$910,7,FALSE))</f>
        <v>19800000</v>
      </c>
      <c r="I126" s="42">
        <f>VLOOKUP($A126,'Neraca Unaudited SIMAK'!$A$2:$R$1272,8,FALSE)+IF(ISNA(VLOOKUP($A126,'Mutasi Neraca'!$A$3:$S$910,8,FALSE)),0,VLOOKUP($A126,'Mutasi Neraca'!$A$3:$S$910,8,FALSE))</f>
        <v>408000</v>
      </c>
      <c r="J126" s="42">
        <f>VLOOKUP($A126,'Neraca Unaudited SIMAK'!$A$2:$R$1272,9,FALSE)+IF(ISNA(VLOOKUP($A126,'Mutasi Neraca'!$A$3:$S$910,9,FALSE)),0,VLOOKUP($A126,'Mutasi Neraca'!$A$3:$S$910,9,FALSE))</f>
        <v>0</v>
      </c>
      <c r="K126" s="42">
        <f>VLOOKUP($A126,'Neraca Unaudited SIMAK'!$A$2:$R$1272,10,FALSE)+IF(ISNA(VLOOKUP($A126,'Mutasi Neraca'!$A$3:$S$910,10,FALSE)),0,VLOOKUP($A126,'Mutasi Neraca'!$A$3:$S$910,10,FALSE))</f>
        <v>2500000</v>
      </c>
      <c r="L126" s="42">
        <f>VLOOKUP($A126,'Neraca Unaudited SIMAK'!$A$2:$R$1272,11,FALSE)+IF(ISNA(VLOOKUP($A126,'Mutasi Neraca'!$A$3:$S$910,11,FALSE)),0,VLOOKUP($A126,'Mutasi Neraca'!$A$3:$S$910,11,FALSE))</f>
        <v>0</v>
      </c>
      <c r="M126" s="42">
        <f>VLOOKUP($A126,'Neraca Unaudited SIMAK'!$A$2:$R$1272,12,FALSE)+IF(ISNA(VLOOKUP($A126,'Mutasi Neraca'!$A$3:$S$910,12,FALSE)),0,VLOOKUP($A126,'Mutasi Neraca'!$A$3:$S$910,12,FALSE))</f>
        <v>3178504951</v>
      </c>
      <c r="N126" s="42">
        <f>VLOOKUP($A126,'Neraca Unaudited SIMAK'!$A$2:$R$1272,13,FALSE)+IF(ISNA(VLOOKUP($A126,'Mutasi Neraca'!$A$3:$S$910,13,FALSE)),0,VLOOKUP($A126,'Mutasi Neraca'!$A$3:$S$910,13,FALSE))</f>
        <v>-1273192161</v>
      </c>
      <c r="O126" s="42">
        <f>VLOOKUP($A126,'Neraca Unaudited SIMAK'!$A$2:$R$1272,14,FALSE)+IF(ISNA(VLOOKUP($A126,'Mutasi Neraca'!$A$3:$S$910,14,FALSE)),0,VLOOKUP($A126,'Mutasi Neraca'!$A$3:$S$910,14,FALSE))</f>
        <v>-230971842</v>
      </c>
      <c r="P126" s="42">
        <f>VLOOKUP($A126,'Neraca Unaudited SIMAK'!$A$2:$R$1272,15,FALSE)+IF(ISNA(VLOOKUP($A126,'Mutasi Neraca'!$A$3:$S$910,15,FALSE)),0,VLOOKUP($A126,'Mutasi Neraca'!$A$3:$S$910,15,FALSE))</f>
        <v>-3300000</v>
      </c>
      <c r="Q126" s="42">
        <f>VLOOKUP($A126,'Neraca Unaudited SIMAK'!$A$2:$R$1272,16,FALSE)+IF(ISNA(VLOOKUP($A126,'Mutasi Neraca'!$A$3:$S$910,16,FALSE)),0,VLOOKUP($A126,'Mutasi Neraca'!$A$3:$S$910,16,FALSE))</f>
        <v>0</v>
      </c>
      <c r="R126" s="42">
        <f>VLOOKUP($A126,'Neraca Unaudited SIMAK'!$A$2:$R$1272,17,FALSE)+IF(ISNA(VLOOKUP($A126,'Mutasi Neraca'!$A$3:$S$910,17,FALSE)),0,VLOOKUP($A126,'Mutasi Neraca'!$A$3:$S$910,17,FALSE))</f>
        <v>0</v>
      </c>
      <c r="S126" s="42">
        <f t="shared" si="45"/>
        <v>1671040948</v>
      </c>
    </row>
    <row r="127" spans="1:19">
      <c r="A127" s="41" t="s">
        <v>134</v>
      </c>
      <c r="B127" s="41" t="str">
        <f t="shared" si="44"/>
        <v>005010300</v>
      </c>
      <c r="D127" s="42">
        <f>VLOOKUP($A127,'Neraca Unaudited SIMAK'!$A$2:$R$1272,3,FALSE)+IF(ISNA(VLOOKUP($A127,'Mutasi Neraca'!$A$3:$S$910,3,FALSE)),0,VLOOKUP($A127,'Mutasi Neraca'!$A$3:$S$910,3,FALSE))</f>
        <v>11831300</v>
      </c>
      <c r="E127" s="42">
        <f>VLOOKUP($A127,'Neraca Unaudited SIMAK'!$A$2:$R$1272,4,FALSE)+IF(ISNA(VLOOKUP($A127,'Mutasi Neraca'!$A$3:$S$910,4,FALSE)),0,VLOOKUP($A127,'Mutasi Neraca'!$A$3:$S$910,4,FALSE))</f>
        <v>4301093500</v>
      </c>
      <c r="F127" s="42">
        <f>VLOOKUP($A127,'Neraca Unaudited SIMAK'!$A$2:$R$1272,5,FALSE)+IF(ISNA(VLOOKUP($A127,'Mutasi Neraca'!$A$3:$S$910,5,FALSE)),0,VLOOKUP($A127,'Mutasi Neraca'!$A$3:$S$910,5,FALSE))</f>
        <v>1240943118</v>
      </c>
      <c r="G127" s="42">
        <f>VLOOKUP($A127,'Neraca Unaudited SIMAK'!$A$2:$R$1272,6,FALSE)+IF(ISNA(VLOOKUP($A127,'Mutasi Neraca'!$A$3:$S$910,6,FALSE)),0,VLOOKUP($A127,'Mutasi Neraca'!$A$3:$S$910,6,FALSE))</f>
        <v>5829397850</v>
      </c>
      <c r="H127" s="42">
        <f>VLOOKUP($A127,'Neraca Unaudited SIMAK'!$A$2:$R$1272,7,FALSE)+IF(ISNA(VLOOKUP($A127,'Mutasi Neraca'!$A$3:$S$910,7,FALSE)),0,VLOOKUP($A127,'Mutasi Neraca'!$A$3:$S$910,7,FALSE))</f>
        <v>0</v>
      </c>
      <c r="I127" s="42">
        <f>VLOOKUP($A127,'Neraca Unaudited SIMAK'!$A$2:$R$1272,8,FALSE)+IF(ISNA(VLOOKUP($A127,'Mutasi Neraca'!$A$3:$S$910,8,FALSE)),0,VLOOKUP($A127,'Mutasi Neraca'!$A$3:$S$910,8,FALSE))</f>
        <v>3236694</v>
      </c>
      <c r="J127" s="42">
        <f>VLOOKUP($A127,'Neraca Unaudited SIMAK'!$A$2:$R$1272,9,FALSE)+IF(ISNA(VLOOKUP($A127,'Mutasi Neraca'!$A$3:$S$910,9,FALSE)),0,VLOOKUP($A127,'Mutasi Neraca'!$A$3:$S$910,9,FALSE))</f>
        <v>0</v>
      </c>
      <c r="K127" s="42">
        <f>VLOOKUP($A127,'Neraca Unaudited SIMAK'!$A$2:$R$1272,10,FALSE)+IF(ISNA(VLOOKUP($A127,'Mutasi Neraca'!$A$3:$S$910,10,FALSE)),0,VLOOKUP($A127,'Mutasi Neraca'!$A$3:$S$910,10,FALSE))</f>
        <v>0</v>
      </c>
      <c r="L127" s="42">
        <f>VLOOKUP($A127,'Neraca Unaudited SIMAK'!$A$2:$R$1272,11,FALSE)+IF(ISNA(VLOOKUP($A127,'Mutasi Neraca'!$A$3:$S$910,11,FALSE)),0,VLOOKUP($A127,'Mutasi Neraca'!$A$3:$S$910,11,FALSE))</f>
        <v>0</v>
      </c>
      <c r="M127" s="42">
        <f>VLOOKUP($A127,'Neraca Unaudited SIMAK'!$A$2:$R$1272,12,FALSE)+IF(ISNA(VLOOKUP($A127,'Mutasi Neraca'!$A$3:$S$910,12,FALSE)),0,VLOOKUP($A127,'Mutasi Neraca'!$A$3:$S$910,12,FALSE))</f>
        <v>11386502462</v>
      </c>
      <c r="N127" s="42">
        <f>VLOOKUP($A127,'Neraca Unaudited SIMAK'!$A$2:$R$1272,13,FALSE)+IF(ISNA(VLOOKUP($A127,'Mutasi Neraca'!$A$3:$S$910,13,FALSE)),0,VLOOKUP($A127,'Mutasi Neraca'!$A$3:$S$910,13,FALSE))</f>
        <v>-946271060</v>
      </c>
      <c r="O127" s="42">
        <f>VLOOKUP($A127,'Neraca Unaudited SIMAK'!$A$2:$R$1272,14,FALSE)+IF(ISNA(VLOOKUP($A127,'Mutasi Neraca'!$A$3:$S$910,14,FALSE)),0,VLOOKUP($A127,'Mutasi Neraca'!$A$3:$S$910,14,FALSE))</f>
        <v>-369769547</v>
      </c>
      <c r="P127" s="42">
        <f>VLOOKUP($A127,'Neraca Unaudited SIMAK'!$A$2:$R$1272,15,FALSE)+IF(ISNA(VLOOKUP($A127,'Mutasi Neraca'!$A$3:$S$910,15,FALSE)),0,VLOOKUP($A127,'Mutasi Neraca'!$A$3:$S$910,15,FALSE))</f>
        <v>0</v>
      </c>
      <c r="Q127" s="42">
        <f>VLOOKUP($A127,'Neraca Unaudited SIMAK'!$A$2:$R$1272,16,FALSE)+IF(ISNA(VLOOKUP($A127,'Mutasi Neraca'!$A$3:$S$910,16,FALSE)),0,VLOOKUP($A127,'Mutasi Neraca'!$A$3:$S$910,16,FALSE))</f>
        <v>0</v>
      </c>
      <c r="R127" s="42">
        <f>VLOOKUP($A127,'Neraca Unaudited SIMAK'!$A$2:$R$1272,17,FALSE)+IF(ISNA(VLOOKUP($A127,'Mutasi Neraca'!$A$3:$S$910,17,FALSE)),0,VLOOKUP($A127,'Mutasi Neraca'!$A$3:$S$910,17,FALSE))</f>
        <v>0</v>
      </c>
      <c r="S127" s="42">
        <f t="shared" si="45"/>
        <v>10070461855</v>
      </c>
    </row>
    <row r="128" spans="1:19">
      <c r="A128" s="41" t="s">
        <v>135</v>
      </c>
      <c r="B128" s="41" t="str">
        <f t="shared" si="44"/>
        <v>005010300</v>
      </c>
      <c r="D128" s="42">
        <f>VLOOKUP($A128,'Neraca Unaudited SIMAK'!$A$2:$R$1272,3,FALSE)+IF(ISNA(VLOOKUP($A128,'Mutasi Neraca'!$A$3:$S$910,3,FALSE)),0,VLOOKUP($A128,'Mutasi Neraca'!$A$3:$S$910,3,FALSE))</f>
        <v>9206550</v>
      </c>
      <c r="E128" s="42">
        <f>VLOOKUP($A128,'Neraca Unaudited SIMAK'!$A$2:$R$1272,4,FALSE)+IF(ISNA(VLOOKUP($A128,'Mutasi Neraca'!$A$3:$S$910,4,FALSE)),0,VLOOKUP($A128,'Mutasi Neraca'!$A$3:$S$910,4,FALSE))</f>
        <v>4318535000</v>
      </c>
      <c r="F128" s="42">
        <f>VLOOKUP($A128,'Neraca Unaudited SIMAK'!$A$2:$R$1272,5,FALSE)+IF(ISNA(VLOOKUP($A128,'Mutasi Neraca'!$A$3:$S$910,5,FALSE)),0,VLOOKUP($A128,'Mutasi Neraca'!$A$3:$S$910,5,FALSE))</f>
        <v>1262874946</v>
      </c>
      <c r="G128" s="42">
        <f>VLOOKUP($A128,'Neraca Unaudited SIMAK'!$A$2:$R$1272,6,FALSE)+IF(ISNA(VLOOKUP($A128,'Mutasi Neraca'!$A$3:$S$910,6,FALSE)),0,VLOOKUP($A128,'Mutasi Neraca'!$A$3:$S$910,6,FALSE))</f>
        <v>5774443200</v>
      </c>
      <c r="H128" s="42">
        <f>VLOOKUP($A128,'Neraca Unaudited SIMAK'!$A$2:$R$1272,7,FALSE)+IF(ISNA(VLOOKUP($A128,'Mutasi Neraca'!$A$3:$S$910,7,FALSE)),0,VLOOKUP($A128,'Mutasi Neraca'!$A$3:$S$910,7,FALSE))</f>
        <v>39943000</v>
      </c>
      <c r="I128" s="42">
        <f>VLOOKUP($A128,'Neraca Unaudited SIMAK'!$A$2:$R$1272,8,FALSE)+IF(ISNA(VLOOKUP($A128,'Mutasi Neraca'!$A$3:$S$910,8,FALSE)),0,VLOOKUP($A128,'Mutasi Neraca'!$A$3:$S$910,8,FALSE))</f>
        <v>3674680</v>
      </c>
      <c r="J128" s="42">
        <f>VLOOKUP($A128,'Neraca Unaudited SIMAK'!$A$2:$R$1272,9,FALSE)+IF(ISNA(VLOOKUP($A128,'Mutasi Neraca'!$A$3:$S$910,9,FALSE)),0,VLOOKUP($A128,'Mutasi Neraca'!$A$3:$S$910,9,FALSE))</f>
        <v>0</v>
      </c>
      <c r="K128" s="42">
        <f>VLOOKUP($A128,'Neraca Unaudited SIMAK'!$A$2:$R$1272,10,FALSE)+IF(ISNA(VLOOKUP($A128,'Mutasi Neraca'!$A$3:$S$910,10,FALSE)),0,VLOOKUP($A128,'Mutasi Neraca'!$A$3:$S$910,10,FALSE))</f>
        <v>0</v>
      </c>
      <c r="L128" s="42">
        <f>VLOOKUP($A128,'Neraca Unaudited SIMAK'!$A$2:$R$1272,11,FALSE)+IF(ISNA(VLOOKUP($A128,'Mutasi Neraca'!$A$3:$S$910,11,FALSE)),0,VLOOKUP($A128,'Mutasi Neraca'!$A$3:$S$910,11,FALSE))</f>
        <v>59587800</v>
      </c>
      <c r="M128" s="42">
        <f>VLOOKUP($A128,'Neraca Unaudited SIMAK'!$A$2:$R$1272,12,FALSE)+IF(ISNA(VLOOKUP($A128,'Mutasi Neraca'!$A$3:$S$910,12,FALSE)),0,VLOOKUP($A128,'Mutasi Neraca'!$A$3:$S$910,12,FALSE))</f>
        <v>11468265176</v>
      </c>
      <c r="N128" s="42">
        <f>VLOOKUP($A128,'Neraca Unaudited SIMAK'!$A$2:$R$1272,13,FALSE)+IF(ISNA(VLOOKUP($A128,'Mutasi Neraca'!$A$3:$S$910,13,FALSE)),0,VLOOKUP($A128,'Mutasi Neraca'!$A$3:$S$910,13,FALSE))</f>
        <v>-796081184</v>
      </c>
      <c r="O128" s="42">
        <f>VLOOKUP($A128,'Neraca Unaudited SIMAK'!$A$2:$R$1272,14,FALSE)+IF(ISNA(VLOOKUP($A128,'Mutasi Neraca'!$A$3:$S$910,14,FALSE)),0,VLOOKUP($A128,'Mutasi Neraca'!$A$3:$S$910,14,FALSE))</f>
        <v>-384315035</v>
      </c>
      <c r="P128" s="42">
        <f>VLOOKUP($A128,'Neraca Unaudited SIMAK'!$A$2:$R$1272,15,FALSE)+IF(ISNA(VLOOKUP($A128,'Mutasi Neraca'!$A$3:$S$910,15,FALSE)),0,VLOOKUP($A128,'Mutasi Neraca'!$A$3:$S$910,15,FALSE))</f>
        <v>-2496438</v>
      </c>
      <c r="Q128" s="42">
        <f>VLOOKUP($A128,'Neraca Unaudited SIMAK'!$A$2:$R$1272,16,FALSE)+IF(ISNA(VLOOKUP($A128,'Mutasi Neraca'!$A$3:$S$910,16,FALSE)),0,VLOOKUP($A128,'Mutasi Neraca'!$A$3:$S$910,16,FALSE))</f>
        <v>0</v>
      </c>
      <c r="R128" s="42">
        <f>VLOOKUP($A128,'Neraca Unaudited SIMAK'!$A$2:$R$1272,17,FALSE)+IF(ISNA(VLOOKUP($A128,'Mutasi Neraca'!$A$3:$S$910,17,FALSE)),0,VLOOKUP($A128,'Mutasi Neraca'!$A$3:$S$910,17,FALSE))</f>
        <v>-59587800</v>
      </c>
      <c r="S128" s="42">
        <f t="shared" si="45"/>
        <v>10225784719</v>
      </c>
    </row>
    <row r="129" spans="1:19">
      <c r="A129" s="41" t="s">
        <v>136</v>
      </c>
      <c r="B129" s="41" t="str">
        <f t="shared" si="44"/>
        <v>005010300</v>
      </c>
      <c r="D129" s="42">
        <f>VLOOKUP($A129,'Neraca Unaudited SIMAK'!$A$2:$R$1272,3,FALSE)+IF(ISNA(VLOOKUP($A129,'Mutasi Neraca'!$A$3:$S$910,3,FALSE)),0,VLOOKUP($A129,'Mutasi Neraca'!$A$3:$S$910,3,FALSE))</f>
        <v>2333950</v>
      </c>
      <c r="E129" s="42">
        <f>VLOOKUP($A129,'Neraca Unaudited SIMAK'!$A$2:$R$1272,4,FALSE)+IF(ISNA(VLOOKUP($A129,'Mutasi Neraca'!$A$3:$S$910,4,FALSE)),0,VLOOKUP($A129,'Mutasi Neraca'!$A$3:$S$910,4,FALSE))</f>
        <v>3111568000</v>
      </c>
      <c r="F129" s="42">
        <f>VLOOKUP($A129,'Neraca Unaudited SIMAK'!$A$2:$R$1272,5,FALSE)+IF(ISNA(VLOOKUP($A129,'Mutasi Neraca'!$A$3:$S$910,5,FALSE)),0,VLOOKUP($A129,'Mutasi Neraca'!$A$3:$S$910,5,FALSE))</f>
        <v>929503629</v>
      </c>
      <c r="G129" s="42">
        <f>VLOOKUP($A129,'Neraca Unaudited SIMAK'!$A$2:$R$1272,6,FALSE)+IF(ISNA(VLOOKUP($A129,'Mutasi Neraca'!$A$3:$S$910,6,FALSE)),0,VLOOKUP($A129,'Mutasi Neraca'!$A$3:$S$910,6,FALSE))</f>
        <v>4801402052</v>
      </c>
      <c r="H129" s="42">
        <f>VLOOKUP($A129,'Neraca Unaudited SIMAK'!$A$2:$R$1272,7,FALSE)+IF(ISNA(VLOOKUP($A129,'Mutasi Neraca'!$A$3:$S$910,7,FALSE)),0,VLOOKUP($A129,'Mutasi Neraca'!$A$3:$S$910,7,FALSE))</f>
        <v>0</v>
      </c>
      <c r="I129" s="42">
        <f>VLOOKUP($A129,'Neraca Unaudited SIMAK'!$A$2:$R$1272,8,FALSE)+IF(ISNA(VLOOKUP($A129,'Mutasi Neraca'!$A$3:$S$910,8,FALSE)),0,VLOOKUP($A129,'Mutasi Neraca'!$A$3:$S$910,8,FALSE))</f>
        <v>11087228</v>
      </c>
      <c r="J129" s="42">
        <f>VLOOKUP($A129,'Neraca Unaudited SIMAK'!$A$2:$R$1272,9,FALSE)+IF(ISNA(VLOOKUP($A129,'Mutasi Neraca'!$A$3:$S$910,9,FALSE)),0,VLOOKUP($A129,'Mutasi Neraca'!$A$3:$S$910,9,FALSE))</f>
        <v>0</v>
      </c>
      <c r="K129" s="42">
        <f>VLOOKUP($A129,'Neraca Unaudited SIMAK'!$A$2:$R$1272,10,FALSE)+IF(ISNA(VLOOKUP($A129,'Mutasi Neraca'!$A$3:$S$910,10,FALSE)),0,VLOOKUP($A129,'Mutasi Neraca'!$A$3:$S$910,10,FALSE))</f>
        <v>2500000</v>
      </c>
      <c r="L129" s="42">
        <f>VLOOKUP($A129,'Neraca Unaudited SIMAK'!$A$2:$R$1272,11,FALSE)+IF(ISNA(VLOOKUP($A129,'Mutasi Neraca'!$A$3:$S$910,11,FALSE)),0,VLOOKUP($A129,'Mutasi Neraca'!$A$3:$S$910,11,FALSE))</f>
        <v>6000</v>
      </c>
      <c r="M129" s="42">
        <f>VLOOKUP($A129,'Neraca Unaudited SIMAK'!$A$2:$R$1272,12,FALSE)+IF(ISNA(VLOOKUP($A129,'Mutasi Neraca'!$A$3:$S$910,12,FALSE)),0,VLOOKUP($A129,'Mutasi Neraca'!$A$3:$S$910,12,FALSE))</f>
        <v>8858400859</v>
      </c>
      <c r="N129" s="42">
        <f>VLOOKUP($A129,'Neraca Unaudited SIMAK'!$A$2:$R$1272,13,FALSE)+IF(ISNA(VLOOKUP($A129,'Mutasi Neraca'!$A$3:$S$910,13,FALSE)),0,VLOOKUP($A129,'Mutasi Neraca'!$A$3:$S$910,13,FALSE))</f>
        <v>-667710122</v>
      </c>
      <c r="O129" s="42">
        <f>VLOOKUP($A129,'Neraca Unaudited SIMAK'!$A$2:$R$1272,14,FALSE)+IF(ISNA(VLOOKUP($A129,'Mutasi Neraca'!$A$3:$S$910,14,FALSE)),0,VLOOKUP($A129,'Mutasi Neraca'!$A$3:$S$910,14,FALSE))</f>
        <v>-400976924</v>
      </c>
      <c r="P129" s="42">
        <f>VLOOKUP($A129,'Neraca Unaudited SIMAK'!$A$2:$R$1272,15,FALSE)+IF(ISNA(VLOOKUP($A129,'Mutasi Neraca'!$A$3:$S$910,15,FALSE)),0,VLOOKUP($A129,'Mutasi Neraca'!$A$3:$S$910,15,FALSE))</f>
        <v>0</v>
      </c>
      <c r="Q129" s="42">
        <f>VLOOKUP($A129,'Neraca Unaudited SIMAK'!$A$2:$R$1272,16,FALSE)+IF(ISNA(VLOOKUP($A129,'Mutasi Neraca'!$A$3:$S$910,16,FALSE)),0,VLOOKUP($A129,'Mutasi Neraca'!$A$3:$S$910,16,FALSE))</f>
        <v>0</v>
      </c>
      <c r="R129" s="42">
        <f>VLOOKUP($A129,'Neraca Unaudited SIMAK'!$A$2:$R$1272,17,FALSE)+IF(ISNA(VLOOKUP($A129,'Mutasi Neraca'!$A$3:$S$910,17,FALSE)),0,VLOOKUP($A129,'Mutasi Neraca'!$A$3:$S$910,17,FALSE))</f>
        <v>-6000</v>
      </c>
      <c r="S129" s="42">
        <f t="shared" si="45"/>
        <v>7789707813</v>
      </c>
    </row>
    <row r="130" spans="1:19">
      <c r="A130" s="41" t="s">
        <v>137</v>
      </c>
      <c r="B130" s="41" t="str">
        <f t="shared" si="44"/>
        <v>005010300</v>
      </c>
      <c r="D130" s="42">
        <f>VLOOKUP($A130,'Neraca Unaudited SIMAK'!$A$2:$R$1272,3,FALSE)+IF(ISNA(VLOOKUP($A130,'Mutasi Neraca'!$A$3:$S$910,3,FALSE)),0,VLOOKUP($A130,'Mutasi Neraca'!$A$3:$S$910,3,FALSE))</f>
        <v>13423500</v>
      </c>
      <c r="E130" s="42">
        <f>VLOOKUP($A130,'Neraca Unaudited SIMAK'!$A$2:$R$1272,4,FALSE)+IF(ISNA(VLOOKUP($A130,'Mutasi Neraca'!$A$3:$S$910,4,FALSE)),0,VLOOKUP($A130,'Mutasi Neraca'!$A$3:$S$910,4,FALSE))</f>
        <v>1272000000</v>
      </c>
      <c r="F130" s="42">
        <f>VLOOKUP($A130,'Neraca Unaudited SIMAK'!$A$2:$R$1272,5,FALSE)+IF(ISNA(VLOOKUP($A130,'Mutasi Neraca'!$A$3:$S$910,5,FALSE)),0,VLOOKUP($A130,'Mutasi Neraca'!$A$3:$S$910,5,FALSE))</f>
        <v>1450980624</v>
      </c>
      <c r="G130" s="42">
        <f>VLOOKUP($A130,'Neraca Unaudited SIMAK'!$A$2:$R$1272,6,FALSE)+IF(ISNA(VLOOKUP($A130,'Mutasi Neraca'!$A$3:$S$910,6,FALSE)),0,VLOOKUP($A130,'Mutasi Neraca'!$A$3:$S$910,6,FALSE))</f>
        <v>1702444500</v>
      </c>
      <c r="H130" s="42">
        <f>VLOOKUP($A130,'Neraca Unaudited SIMAK'!$A$2:$R$1272,7,FALSE)+IF(ISNA(VLOOKUP($A130,'Mutasi Neraca'!$A$3:$S$910,7,FALSE)),0,VLOOKUP($A130,'Mutasi Neraca'!$A$3:$S$910,7,FALSE))</f>
        <v>0</v>
      </c>
      <c r="I130" s="42">
        <f>VLOOKUP($A130,'Neraca Unaudited SIMAK'!$A$2:$R$1272,8,FALSE)+IF(ISNA(VLOOKUP($A130,'Mutasi Neraca'!$A$3:$S$910,8,FALSE)),0,VLOOKUP($A130,'Mutasi Neraca'!$A$3:$S$910,8,FALSE))</f>
        <v>4184300</v>
      </c>
      <c r="J130" s="42">
        <f>VLOOKUP($A130,'Neraca Unaudited SIMAK'!$A$2:$R$1272,9,FALSE)+IF(ISNA(VLOOKUP($A130,'Mutasi Neraca'!$A$3:$S$910,9,FALSE)),0,VLOOKUP($A130,'Mutasi Neraca'!$A$3:$S$910,9,FALSE))</f>
        <v>0</v>
      </c>
      <c r="K130" s="42">
        <f>VLOOKUP($A130,'Neraca Unaudited SIMAK'!$A$2:$R$1272,10,FALSE)+IF(ISNA(VLOOKUP($A130,'Mutasi Neraca'!$A$3:$S$910,10,FALSE)),0,VLOOKUP($A130,'Mutasi Neraca'!$A$3:$S$910,10,FALSE))</f>
        <v>0</v>
      </c>
      <c r="L130" s="42">
        <f>VLOOKUP($A130,'Neraca Unaudited SIMAK'!$A$2:$R$1272,11,FALSE)+IF(ISNA(VLOOKUP($A130,'Mutasi Neraca'!$A$3:$S$910,11,FALSE)),0,VLOOKUP($A130,'Mutasi Neraca'!$A$3:$S$910,11,FALSE))</f>
        <v>0</v>
      </c>
      <c r="M130" s="42">
        <f>VLOOKUP($A130,'Neraca Unaudited SIMAK'!$A$2:$R$1272,12,FALSE)+IF(ISNA(VLOOKUP($A130,'Mutasi Neraca'!$A$3:$S$910,12,FALSE)),0,VLOOKUP($A130,'Mutasi Neraca'!$A$3:$S$910,12,FALSE))</f>
        <v>4443032924</v>
      </c>
      <c r="N130" s="42">
        <f>VLOOKUP($A130,'Neraca Unaudited SIMAK'!$A$2:$R$1272,13,FALSE)+IF(ISNA(VLOOKUP($A130,'Mutasi Neraca'!$A$3:$S$910,13,FALSE)),0,VLOOKUP($A130,'Mutasi Neraca'!$A$3:$S$910,13,FALSE))</f>
        <v>-1077090763</v>
      </c>
      <c r="O130" s="42">
        <f>VLOOKUP($A130,'Neraca Unaudited SIMAK'!$A$2:$R$1272,14,FALSE)+IF(ISNA(VLOOKUP($A130,'Mutasi Neraca'!$A$3:$S$910,14,FALSE)),0,VLOOKUP($A130,'Mutasi Neraca'!$A$3:$S$910,14,FALSE))</f>
        <v>-251907082</v>
      </c>
      <c r="P130" s="42">
        <f>VLOOKUP($A130,'Neraca Unaudited SIMAK'!$A$2:$R$1272,15,FALSE)+IF(ISNA(VLOOKUP($A130,'Mutasi Neraca'!$A$3:$S$910,15,FALSE)),0,VLOOKUP($A130,'Mutasi Neraca'!$A$3:$S$910,15,FALSE))</f>
        <v>0</v>
      </c>
      <c r="Q130" s="42">
        <f>VLOOKUP($A130,'Neraca Unaudited SIMAK'!$A$2:$R$1272,16,FALSE)+IF(ISNA(VLOOKUP($A130,'Mutasi Neraca'!$A$3:$S$910,16,FALSE)),0,VLOOKUP($A130,'Mutasi Neraca'!$A$3:$S$910,16,FALSE))</f>
        <v>0</v>
      </c>
      <c r="R130" s="42">
        <f>VLOOKUP($A130,'Neraca Unaudited SIMAK'!$A$2:$R$1272,17,FALSE)+IF(ISNA(VLOOKUP($A130,'Mutasi Neraca'!$A$3:$S$910,17,FALSE)),0,VLOOKUP($A130,'Mutasi Neraca'!$A$3:$S$910,17,FALSE))</f>
        <v>0</v>
      </c>
      <c r="S130" s="42">
        <f t="shared" si="45"/>
        <v>3114035079</v>
      </c>
    </row>
    <row r="131" spans="1:19">
      <c r="A131" s="41" t="s">
        <v>138</v>
      </c>
      <c r="B131" s="41" t="str">
        <f t="shared" ref="B131:B194" si="46">LEFT(A131,9)</f>
        <v>005010300</v>
      </c>
      <c r="D131" s="42">
        <f>VLOOKUP($A131,'Neraca Unaudited SIMAK'!$A$2:$R$1272,3,FALSE)+IF(ISNA(VLOOKUP($A131,'Mutasi Neraca'!$A$3:$S$910,3,FALSE)),0,VLOOKUP($A131,'Mutasi Neraca'!$A$3:$S$910,3,FALSE))</f>
        <v>5140348</v>
      </c>
      <c r="E131" s="42">
        <f>VLOOKUP($A131,'Neraca Unaudited SIMAK'!$A$2:$R$1272,4,FALSE)+IF(ISNA(VLOOKUP($A131,'Mutasi Neraca'!$A$3:$S$910,4,FALSE)),0,VLOOKUP($A131,'Mutasi Neraca'!$A$3:$S$910,4,FALSE))</f>
        <v>1235268000</v>
      </c>
      <c r="F131" s="42">
        <f>VLOOKUP($A131,'Neraca Unaudited SIMAK'!$A$2:$R$1272,5,FALSE)+IF(ISNA(VLOOKUP($A131,'Mutasi Neraca'!$A$3:$S$910,5,FALSE)),0,VLOOKUP($A131,'Mutasi Neraca'!$A$3:$S$910,5,FALSE))</f>
        <v>1012331874</v>
      </c>
      <c r="G131" s="42">
        <f>VLOOKUP($A131,'Neraca Unaudited SIMAK'!$A$2:$R$1272,6,FALSE)+IF(ISNA(VLOOKUP($A131,'Mutasi Neraca'!$A$3:$S$910,6,FALSE)),0,VLOOKUP($A131,'Mutasi Neraca'!$A$3:$S$910,6,FALSE))</f>
        <v>1837398000</v>
      </c>
      <c r="H131" s="42">
        <f>VLOOKUP($A131,'Neraca Unaudited SIMAK'!$A$2:$R$1272,7,FALSE)+IF(ISNA(VLOOKUP($A131,'Mutasi Neraca'!$A$3:$S$910,7,FALSE)),0,VLOOKUP($A131,'Mutasi Neraca'!$A$3:$S$910,7,FALSE))</f>
        <v>33656920</v>
      </c>
      <c r="I131" s="42">
        <f>VLOOKUP($A131,'Neraca Unaudited SIMAK'!$A$2:$R$1272,8,FALSE)+IF(ISNA(VLOOKUP($A131,'Mutasi Neraca'!$A$3:$S$910,8,FALSE)),0,VLOOKUP($A131,'Mutasi Neraca'!$A$3:$S$910,8,FALSE))</f>
        <v>12421300</v>
      </c>
      <c r="J131" s="42">
        <f>VLOOKUP($A131,'Neraca Unaudited SIMAK'!$A$2:$R$1272,9,FALSE)+IF(ISNA(VLOOKUP($A131,'Mutasi Neraca'!$A$3:$S$910,9,FALSE)),0,VLOOKUP($A131,'Mutasi Neraca'!$A$3:$S$910,9,FALSE))</f>
        <v>0</v>
      </c>
      <c r="K131" s="42">
        <f>VLOOKUP($A131,'Neraca Unaudited SIMAK'!$A$2:$R$1272,10,FALSE)+IF(ISNA(VLOOKUP($A131,'Mutasi Neraca'!$A$3:$S$910,10,FALSE)),0,VLOOKUP($A131,'Mutasi Neraca'!$A$3:$S$910,10,FALSE))</f>
        <v>0</v>
      </c>
      <c r="L131" s="42">
        <f>VLOOKUP($A131,'Neraca Unaudited SIMAK'!$A$2:$R$1272,11,FALSE)+IF(ISNA(VLOOKUP($A131,'Mutasi Neraca'!$A$3:$S$910,11,FALSE)),0,VLOOKUP($A131,'Mutasi Neraca'!$A$3:$S$910,11,FALSE))</f>
        <v>36958000</v>
      </c>
      <c r="M131" s="42">
        <f>VLOOKUP($A131,'Neraca Unaudited SIMAK'!$A$2:$R$1272,12,FALSE)+IF(ISNA(VLOOKUP($A131,'Mutasi Neraca'!$A$3:$S$910,12,FALSE)),0,VLOOKUP($A131,'Mutasi Neraca'!$A$3:$S$910,12,FALSE))</f>
        <v>4173174442</v>
      </c>
      <c r="N131" s="42">
        <f>VLOOKUP($A131,'Neraca Unaudited SIMAK'!$A$2:$R$1272,13,FALSE)+IF(ISNA(VLOOKUP($A131,'Mutasi Neraca'!$A$3:$S$910,13,FALSE)),0,VLOOKUP($A131,'Mutasi Neraca'!$A$3:$S$910,13,FALSE))</f>
        <v>-826966012</v>
      </c>
      <c r="O131" s="42">
        <f>VLOOKUP($A131,'Neraca Unaudited SIMAK'!$A$2:$R$1272,14,FALSE)+IF(ISNA(VLOOKUP($A131,'Mutasi Neraca'!$A$3:$S$910,14,FALSE)),0,VLOOKUP($A131,'Mutasi Neraca'!$A$3:$S$910,14,FALSE))</f>
        <v>-309254849</v>
      </c>
      <c r="P131" s="42">
        <f>VLOOKUP($A131,'Neraca Unaudited SIMAK'!$A$2:$R$1272,15,FALSE)+IF(ISNA(VLOOKUP($A131,'Mutasi Neraca'!$A$3:$S$910,15,FALSE)),0,VLOOKUP($A131,'Mutasi Neraca'!$A$3:$S$910,15,FALSE))</f>
        <v>-5889962</v>
      </c>
      <c r="Q131" s="42">
        <f>VLOOKUP($A131,'Neraca Unaudited SIMAK'!$A$2:$R$1272,16,FALSE)+IF(ISNA(VLOOKUP($A131,'Mutasi Neraca'!$A$3:$S$910,16,FALSE)),0,VLOOKUP($A131,'Mutasi Neraca'!$A$3:$S$910,16,FALSE))</f>
        <v>0</v>
      </c>
      <c r="R131" s="42">
        <f>VLOOKUP($A131,'Neraca Unaudited SIMAK'!$A$2:$R$1272,17,FALSE)+IF(ISNA(VLOOKUP($A131,'Mutasi Neraca'!$A$3:$S$910,17,FALSE)),0,VLOOKUP($A131,'Mutasi Neraca'!$A$3:$S$910,17,FALSE))</f>
        <v>-36052000</v>
      </c>
      <c r="S131" s="42">
        <f t="shared" ref="S131:S194" si="47">SUM(M131:R131)</f>
        <v>2995011619</v>
      </c>
    </row>
    <row r="132" spans="1:19">
      <c r="A132" s="41" t="s">
        <v>139</v>
      </c>
      <c r="B132" s="41" t="str">
        <f t="shared" si="46"/>
        <v>005010300</v>
      </c>
      <c r="D132" s="42">
        <f>VLOOKUP($A132,'Neraca Unaudited SIMAK'!$A$2:$R$1272,3,FALSE)+IF(ISNA(VLOOKUP($A132,'Mutasi Neraca'!$A$3:$S$910,3,FALSE)),0,VLOOKUP($A132,'Mutasi Neraca'!$A$3:$S$910,3,FALSE))</f>
        <v>9914000</v>
      </c>
      <c r="E132" s="42">
        <f>VLOOKUP($A132,'Neraca Unaudited SIMAK'!$A$2:$R$1272,4,FALSE)+IF(ISNA(VLOOKUP($A132,'Mutasi Neraca'!$A$3:$S$910,4,FALSE)),0,VLOOKUP($A132,'Mutasi Neraca'!$A$3:$S$910,4,FALSE))</f>
        <v>3718698000</v>
      </c>
      <c r="F132" s="42">
        <f>VLOOKUP($A132,'Neraca Unaudited SIMAK'!$A$2:$R$1272,5,FALSE)+IF(ISNA(VLOOKUP($A132,'Mutasi Neraca'!$A$3:$S$910,5,FALSE)),0,VLOOKUP($A132,'Mutasi Neraca'!$A$3:$S$910,5,FALSE))</f>
        <v>1015792963</v>
      </c>
      <c r="G132" s="42">
        <f>VLOOKUP($A132,'Neraca Unaudited SIMAK'!$A$2:$R$1272,6,FALSE)+IF(ISNA(VLOOKUP($A132,'Mutasi Neraca'!$A$3:$S$910,6,FALSE)),0,VLOOKUP($A132,'Mutasi Neraca'!$A$3:$S$910,6,FALSE))</f>
        <v>1814794000</v>
      </c>
      <c r="H132" s="42">
        <f>VLOOKUP($A132,'Neraca Unaudited SIMAK'!$A$2:$R$1272,7,FALSE)+IF(ISNA(VLOOKUP($A132,'Mutasi Neraca'!$A$3:$S$910,7,FALSE)),0,VLOOKUP($A132,'Mutasi Neraca'!$A$3:$S$910,7,FALSE))</f>
        <v>52700000</v>
      </c>
      <c r="I132" s="42">
        <f>VLOOKUP($A132,'Neraca Unaudited SIMAK'!$A$2:$R$1272,8,FALSE)+IF(ISNA(VLOOKUP($A132,'Mutasi Neraca'!$A$3:$S$910,8,FALSE)),0,VLOOKUP($A132,'Mutasi Neraca'!$A$3:$S$910,8,FALSE))</f>
        <v>4184578</v>
      </c>
      <c r="J132" s="42">
        <f>VLOOKUP($A132,'Neraca Unaudited SIMAK'!$A$2:$R$1272,9,FALSE)+IF(ISNA(VLOOKUP($A132,'Mutasi Neraca'!$A$3:$S$910,9,FALSE)),0,VLOOKUP($A132,'Mutasi Neraca'!$A$3:$S$910,9,FALSE))</f>
        <v>0</v>
      </c>
      <c r="K132" s="42">
        <f>VLOOKUP($A132,'Neraca Unaudited SIMAK'!$A$2:$R$1272,10,FALSE)+IF(ISNA(VLOOKUP($A132,'Mutasi Neraca'!$A$3:$S$910,10,FALSE)),0,VLOOKUP($A132,'Mutasi Neraca'!$A$3:$S$910,10,FALSE))</f>
        <v>0</v>
      </c>
      <c r="L132" s="42">
        <f>VLOOKUP($A132,'Neraca Unaudited SIMAK'!$A$2:$R$1272,11,FALSE)+IF(ISNA(VLOOKUP($A132,'Mutasi Neraca'!$A$3:$S$910,11,FALSE)),0,VLOOKUP($A132,'Mutasi Neraca'!$A$3:$S$910,11,FALSE))</f>
        <v>36380365</v>
      </c>
      <c r="M132" s="42">
        <f>VLOOKUP($A132,'Neraca Unaudited SIMAK'!$A$2:$R$1272,12,FALSE)+IF(ISNA(VLOOKUP($A132,'Mutasi Neraca'!$A$3:$S$910,12,FALSE)),0,VLOOKUP($A132,'Mutasi Neraca'!$A$3:$S$910,12,FALSE))</f>
        <v>6652463906</v>
      </c>
      <c r="N132" s="42">
        <f>VLOOKUP($A132,'Neraca Unaudited SIMAK'!$A$2:$R$1272,13,FALSE)+IF(ISNA(VLOOKUP($A132,'Mutasi Neraca'!$A$3:$S$910,13,FALSE)),0,VLOOKUP($A132,'Mutasi Neraca'!$A$3:$S$910,13,FALSE))</f>
        <v>-785927620</v>
      </c>
      <c r="O132" s="42">
        <f>VLOOKUP($A132,'Neraca Unaudited SIMAK'!$A$2:$R$1272,14,FALSE)+IF(ISNA(VLOOKUP($A132,'Mutasi Neraca'!$A$3:$S$910,14,FALSE)),0,VLOOKUP($A132,'Mutasi Neraca'!$A$3:$S$910,14,FALSE))</f>
        <v>-238580652</v>
      </c>
      <c r="P132" s="42">
        <f>VLOOKUP($A132,'Neraca Unaudited SIMAK'!$A$2:$R$1272,15,FALSE)+IF(ISNA(VLOOKUP($A132,'Mutasi Neraca'!$A$3:$S$910,15,FALSE)),0,VLOOKUP($A132,'Mutasi Neraca'!$A$3:$S$910,15,FALSE))</f>
        <v>-9722500</v>
      </c>
      <c r="Q132" s="42">
        <f>VLOOKUP($A132,'Neraca Unaudited SIMAK'!$A$2:$R$1272,16,FALSE)+IF(ISNA(VLOOKUP($A132,'Mutasi Neraca'!$A$3:$S$910,16,FALSE)),0,VLOOKUP($A132,'Mutasi Neraca'!$A$3:$S$910,16,FALSE))</f>
        <v>0</v>
      </c>
      <c r="R132" s="42">
        <f>VLOOKUP($A132,'Neraca Unaudited SIMAK'!$A$2:$R$1272,17,FALSE)+IF(ISNA(VLOOKUP($A132,'Mutasi Neraca'!$A$3:$S$910,17,FALSE)),0,VLOOKUP($A132,'Mutasi Neraca'!$A$3:$S$910,17,FALSE))</f>
        <v>-36380365</v>
      </c>
      <c r="S132" s="42">
        <f t="shared" si="47"/>
        <v>5581852769</v>
      </c>
    </row>
    <row r="133" spans="1:19">
      <c r="A133" s="41" t="s">
        <v>140</v>
      </c>
      <c r="B133" s="41" t="str">
        <f t="shared" si="46"/>
        <v>005010300</v>
      </c>
      <c r="D133" s="42">
        <f>VLOOKUP($A133,'Neraca Unaudited SIMAK'!$A$2:$R$1272,3,FALSE)+IF(ISNA(VLOOKUP($A133,'Mutasi Neraca'!$A$3:$S$910,3,FALSE)),0,VLOOKUP($A133,'Mutasi Neraca'!$A$3:$S$910,3,FALSE))</f>
        <v>24432050</v>
      </c>
      <c r="E133" s="42">
        <f>VLOOKUP($A133,'Neraca Unaudited SIMAK'!$A$2:$R$1272,4,FALSE)+IF(ISNA(VLOOKUP($A133,'Mutasi Neraca'!$A$3:$S$910,4,FALSE)),0,VLOOKUP($A133,'Mutasi Neraca'!$A$3:$S$910,4,FALSE))</f>
        <v>3779008000</v>
      </c>
      <c r="F133" s="42">
        <f>VLOOKUP($A133,'Neraca Unaudited SIMAK'!$A$2:$R$1272,5,FALSE)+IF(ISNA(VLOOKUP($A133,'Mutasi Neraca'!$A$3:$S$910,5,FALSE)),0,VLOOKUP($A133,'Mutasi Neraca'!$A$3:$S$910,5,FALSE))</f>
        <v>1372743441</v>
      </c>
      <c r="G133" s="42">
        <f>VLOOKUP($A133,'Neraca Unaudited SIMAK'!$A$2:$R$1272,6,FALSE)+IF(ISNA(VLOOKUP($A133,'Mutasi Neraca'!$A$3:$S$910,6,FALSE)),0,VLOOKUP($A133,'Mutasi Neraca'!$A$3:$S$910,6,FALSE))</f>
        <v>2002845300</v>
      </c>
      <c r="H133" s="42">
        <f>VLOOKUP($A133,'Neraca Unaudited SIMAK'!$A$2:$R$1272,7,FALSE)+IF(ISNA(VLOOKUP($A133,'Mutasi Neraca'!$A$3:$S$910,7,FALSE)),0,VLOOKUP($A133,'Mutasi Neraca'!$A$3:$S$910,7,FALSE))</f>
        <v>34890000</v>
      </c>
      <c r="I133" s="42">
        <f>VLOOKUP($A133,'Neraca Unaudited SIMAK'!$A$2:$R$1272,8,FALSE)+IF(ISNA(VLOOKUP($A133,'Mutasi Neraca'!$A$3:$S$910,8,FALSE)),0,VLOOKUP($A133,'Mutasi Neraca'!$A$3:$S$910,8,FALSE))</f>
        <v>37416678</v>
      </c>
      <c r="J133" s="42">
        <f>VLOOKUP($A133,'Neraca Unaudited SIMAK'!$A$2:$R$1272,9,FALSE)+IF(ISNA(VLOOKUP($A133,'Mutasi Neraca'!$A$3:$S$910,9,FALSE)),0,VLOOKUP($A133,'Mutasi Neraca'!$A$3:$S$910,9,FALSE))</f>
        <v>0</v>
      </c>
      <c r="K133" s="42">
        <f>VLOOKUP($A133,'Neraca Unaudited SIMAK'!$A$2:$R$1272,10,FALSE)+IF(ISNA(VLOOKUP($A133,'Mutasi Neraca'!$A$3:$S$910,10,FALSE)),0,VLOOKUP($A133,'Mutasi Neraca'!$A$3:$S$910,10,FALSE))</f>
        <v>2500000</v>
      </c>
      <c r="L133" s="42">
        <f>VLOOKUP($A133,'Neraca Unaudited SIMAK'!$A$2:$R$1272,11,FALSE)+IF(ISNA(VLOOKUP($A133,'Mutasi Neraca'!$A$3:$S$910,11,FALSE)),0,VLOOKUP($A133,'Mutasi Neraca'!$A$3:$S$910,11,FALSE))</f>
        <v>2814000</v>
      </c>
      <c r="M133" s="42">
        <f>VLOOKUP($A133,'Neraca Unaudited SIMAK'!$A$2:$R$1272,12,FALSE)+IF(ISNA(VLOOKUP($A133,'Mutasi Neraca'!$A$3:$S$910,12,FALSE)),0,VLOOKUP($A133,'Mutasi Neraca'!$A$3:$S$910,12,FALSE))</f>
        <v>7256649469</v>
      </c>
      <c r="N133" s="42">
        <f>VLOOKUP($A133,'Neraca Unaudited SIMAK'!$A$2:$R$1272,13,FALSE)+IF(ISNA(VLOOKUP($A133,'Mutasi Neraca'!$A$3:$S$910,13,FALSE)),0,VLOOKUP($A133,'Mutasi Neraca'!$A$3:$S$910,13,FALSE))</f>
        <v>-1110992565</v>
      </c>
      <c r="O133" s="42">
        <f>VLOOKUP($A133,'Neraca Unaudited SIMAK'!$A$2:$R$1272,14,FALSE)+IF(ISNA(VLOOKUP($A133,'Mutasi Neraca'!$A$3:$S$910,14,FALSE)),0,VLOOKUP($A133,'Mutasi Neraca'!$A$3:$S$910,14,FALSE))</f>
        <v>-269961547</v>
      </c>
      <c r="P133" s="42">
        <f>VLOOKUP($A133,'Neraca Unaudited SIMAK'!$A$2:$R$1272,15,FALSE)+IF(ISNA(VLOOKUP($A133,'Mutasi Neraca'!$A$3:$S$910,15,FALSE)),0,VLOOKUP($A133,'Mutasi Neraca'!$A$3:$S$910,15,FALSE))</f>
        <v>-6105750</v>
      </c>
      <c r="Q133" s="42">
        <f>VLOOKUP($A133,'Neraca Unaudited SIMAK'!$A$2:$R$1272,16,FALSE)+IF(ISNA(VLOOKUP($A133,'Mutasi Neraca'!$A$3:$S$910,16,FALSE)),0,VLOOKUP($A133,'Mutasi Neraca'!$A$3:$S$910,16,FALSE))</f>
        <v>0</v>
      </c>
      <c r="R133" s="42">
        <f>VLOOKUP($A133,'Neraca Unaudited SIMAK'!$A$2:$R$1272,17,FALSE)+IF(ISNA(VLOOKUP($A133,'Mutasi Neraca'!$A$3:$S$910,17,FALSE)),0,VLOOKUP($A133,'Mutasi Neraca'!$A$3:$S$910,17,FALSE))</f>
        <v>-2814000</v>
      </c>
      <c r="S133" s="42">
        <f t="shared" si="47"/>
        <v>5866775607</v>
      </c>
    </row>
    <row r="134" spans="1:19">
      <c r="A134" s="41" t="s">
        <v>141</v>
      </c>
      <c r="B134" s="41" t="str">
        <f t="shared" si="46"/>
        <v>005010300</v>
      </c>
      <c r="D134" s="42">
        <f>VLOOKUP($A134,'Neraca Unaudited SIMAK'!$A$2:$R$1272,3,FALSE)+IF(ISNA(VLOOKUP($A134,'Mutasi Neraca'!$A$3:$S$910,3,FALSE)),0,VLOOKUP($A134,'Mutasi Neraca'!$A$3:$S$910,3,FALSE))</f>
        <v>1746500</v>
      </c>
      <c r="E134" s="42">
        <f>VLOOKUP($A134,'Neraca Unaudited SIMAK'!$A$2:$R$1272,4,FALSE)+IF(ISNA(VLOOKUP($A134,'Mutasi Neraca'!$A$3:$S$910,4,FALSE)),0,VLOOKUP($A134,'Mutasi Neraca'!$A$3:$S$910,4,FALSE))</f>
        <v>960000000</v>
      </c>
      <c r="F134" s="42">
        <f>VLOOKUP($A134,'Neraca Unaudited SIMAK'!$A$2:$R$1272,5,FALSE)+IF(ISNA(VLOOKUP($A134,'Mutasi Neraca'!$A$3:$S$910,5,FALSE)),0,VLOOKUP($A134,'Mutasi Neraca'!$A$3:$S$910,5,FALSE))</f>
        <v>1119336782</v>
      </c>
      <c r="G134" s="42">
        <f>VLOOKUP($A134,'Neraca Unaudited SIMAK'!$A$2:$R$1272,6,FALSE)+IF(ISNA(VLOOKUP($A134,'Mutasi Neraca'!$A$3:$S$910,6,FALSE)),0,VLOOKUP($A134,'Mutasi Neraca'!$A$3:$S$910,6,FALSE))</f>
        <v>3549119000</v>
      </c>
      <c r="H134" s="42">
        <f>VLOOKUP($A134,'Neraca Unaudited SIMAK'!$A$2:$R$1272,7,FALSE)+IF(ISNA(VLOOKUP($A134,'Mutasi Neraca'!$A$3:$S$910,7,FALSE)),0,VLOOKUP($A134,'Mutasi Neraca'!$A$3:$S$910,7,FALSE))</f>
        <v>30000000</v>
      </c>
      <c r="I134" s="42">
        <f>VLOOKUP($A134,'Neraca Unaudited SIMAK'!$A$2:$R$1272,8,FALSE)+IF(ISNA(VLOOKUP($A134,'Mutasi Neraca'!$A$3:$S$910,8,FALSE)),0,VLOOKUP($A134,'Mutasi Neraca'!$A$3:$S$910,8,FALSE))</f>
        <v>6736680</v>
      </c>
      <c r="J134" s="42">
        <f>VLOOKUP($A134,'Neraca Unaudited SIMAK'!$A$2:$R$1272,9,FALSE)+IF(ISNA(VLOOKUP($A134,'Mutasi Neraca'!$A$3:$S$910,9,FALSE)),0,VLOOKUP($A134,'Mutasi Neraca'!$A$3:$S$910,9,FALSE))</f>
        <v>0</v>
      </c>
      <c r="K134" s="42">
        <f>VLOOKUP($A134,'Neraca Unaudited SIMAK'!$A$2:$R$1272,10,FALSE)+IF(ISNA(VLOOKUP($A134,'Mutasi Neraca'!$A$3:$S$910,10,FALSE)),0,VLOOKUP($A134,'Mutasi Neraca'!$A$3:$S$910,10,FALSE))</f>
        <v>0</v>
      </c>
      <c r="L134" s="42">
        <f>VLOOKUP($A134,'Neraca Unaudited SIMAK'!$A$2:$R$1272,11,FALSE)+IF(ISNA(VLOOKUP($A134,'Mutasi Neraca'!$A$3:$S$910,11,FALSE)),0,VLOOKUP($A134,'Mutasi Neraca'!$A$3:$S$910,11,FALSE))</f>
        <v>264157500</v>
      </c>
      <c r="M134" s="42">
        <f>VLOOKUP($A134,'Neraca Unaudited SIMAK'!$A$2:$R$1272,12,FALSE)+IF(ISNA(VLOOKUP($A134,'Mutasi Neraca'!$A$3:$S$910,12,FALSE)),0,VLOOKUP($A134,'Mutasi Neraca'!$A$3:$S$910,12,FALSE))</f>
        <v>5931096462</v>
      </c>
      <c r="N134" s="42">
        <f>VLOOKUP($A134,'Neraca Unaudited SIMAK'!$A$2:$R$1272,13,FALSE)+IF(ISNA(VLOOKUP($A134,'Mutasi Neraca'!$A$3:$S$910,13,FALSE)),0,VLOOKUP($A134,'Mutasi Neraca'!$A$3:$S$910,13,FALSE))</f>
        <v>-945233770</v>
      </c>
      <c r="O134" s="42">
        <f>VLOOKUP($A134,'Neraca Unaudited SIMAK'!$A$2:$R$1272,14,FALSE)+IF(ISNA(VLOOKUP($A134,'Mutasi Neraca'!$A$3:$S$910,14,FALSE)),0,VLOOKUP($A134,'Mutasi Neraca'!$A$3:$S$910,14,FALSE))</f>
        <v>-549272000</v>
      </c>
      <c r="P134" s="42">
        <f>VLOOKUP($A134,'Neraca Unaudited SIMAK'!$A$2:$R$1272,15,FALSE)+IF(ISNA(VLOOKUP($A134,'Mutasi Neraca'!$A$3:$S$910,15,FALSE)),0,VLOOKUP($A134,'Mutasi Neraca'!$A$3:$S$910,15,FALSE))</f>
        <v>-4875000</v>
      </c>
      <c r="Q134" s="42">
        <f>VLOOKUP($A134,'Neraca Unaudited SIMAK'!$A$2:$R$1272,16,FALSE)+IF(ISNA(VLOOKUP($A134,'Mutasi Neraca'!$A$3:$S$910,16,FALSE)),0,VLOOKUP($A134,'Mutasi Neraca'!$A$3:$S$910,16,FALSE))</f>
        <v>-3500000</v>
      </c>
      <c r="R134" s="42">
        <f>VLOOKUP($A134,'Neraca Unaudited SIMAK'!$A$2:$R$1272,17,FALSE)+IF(ISNA(VLOOKUP($A134,'Mutasi Neraca'!$A$3:$S$910,17,FALSE)),0,VLOOKUP($A134,'Mutasi Neraca'!$A$3:$S$910,17,FALSE))</f>
        <v>-128806915</v>
      </c>
      <c r="S134" s="42">
        <f t="shared" si="47"/>
        <v>4299408777</v>
      </c>
    </row>
    <row r="135" spans="1:19">
      <c r="A135" s="41" t="s">
        <v>142</v>
      </c>
      <c r="B135" s="41" t="str">
        <f t="shared" si="46"/>
        <v>005010300</v>
      </c>
      <c r="D135" s="42">
        <f>VLOOKUP($A135,'Neraca Unaudited SIMAK'!$A$2:$R$1272,3,FALSE)+IF(ISNA(VLOOKUP($A135,'Mutasi Neraca'!$A$3:$S$910,3,FALSE)),0,VLOOKUP($A135,'Mutasi Neraca'!$A$3:$S$910,3,FALSE))</f>
        <v>6580100</v>
      </c>
      <c r="E135" s="42">
        <f>VLOOKUP($A135,'Neraca Unaudited SIMAK'!$A$2:$R$1272,4,FALSE)+IF(ISNA(VLOOKUP($A135,'Mutasi Neraca'!$A$3:$S$910,4,FALSE)),0,VLOOKUP($A135,'Mutasi Neraca'!$A$3:$S$910,4,FALSE))</f>
        <v>2784555200</v>
      </c>
      <c r="F135" s="42">
        <f>VLOOKUP($A135,'Neraca Unaudited SIMAK'!$A$2:$R$1272,5,FALSE)+IF(ISNA(VLOOKUP($A135,'Mutasi Neraca'!$A$3:$S$910,5,FALSE)),0,VLOOKUP($A135,'Mutasi Neraca'!$A$3:$S$910,5,FALSE))</f>
        <v>1078592198</v>
      </c>
      <c r="G135" s="42">
        <f>VLOOKUP($A135,'Neraca Unaudited SIMAK'!$A$2:$R$1272,6,FALSE)+IF(ISNA(VLOOKUP($A135,'Mutasi Neraca'!$A$3:$S$910,6,FALSE)),0,VLOOKUP($A135,'Mutasi Neraca'!$A$3:$S$910,6,FALSE))</f>
        <v>3736996200</v>
      </c>
      <c r="H135" s="42">
        <f>VLOOKUP($A135,'Neraca Unaudited SIMAK'!$A$2:$R$1272,7,FALSE)+IF(ISNA(VLOOKUP($A135,'Mutasi Neraca'!$A$3:$S$910,7,FALSE)),0,VLOOKUP($A135,'Mutasi Neraca'!$A$3:$S$910,7,FALSE))</f>
        <v>0</v>
      </c>
      <c r="I135" s="42">
        <f>VLOOKUP($A135,'Neraca Unaudited SIMAK'!$A$2:$R$1272,8,FALSE)+IF(ISNA(VLOOKUP($A135,'Mutasi Neraca'!$A$3:$S$910,8,FALSE)),0,VLOOKUP($A135,'Mutasi Neraca'!$A$3:$S$910,8,FALSE))</f>
        <v>3746580</v>
      </c>
      <c r="J135" s="42">
        <f>VLOOKUP($A135,'Neraca Unaudited SIMAK'!$A$2:$R$1272,9,FALSE)+IF(ISNA(VLOOKUP($A135,'Mutasi Neraca'!$A$3:$S$910,9,FALSE)),0,VLOOKUP($A135,'Mutasi Neraca'!$A$3:$S$910,9,FALSE))</f>
        <v>0</v>
      </c>
      <c r="K135" s="42">
        <f>VLOOKUP($A135,'Neraca Unaudited SIMAK'!$A$2:$R$1272,10,FALSE)+IF(ISNA(VLOOKUP($A135,'Mutasi Neraca'!$A$3:$S$910,10,FALSE)),0,VLOOKUP($A135,'Mutasi Neraca'!$A$3:$S$910,10,FALSE))</f>
        <v>0</v>
      </c>
      <c r="L135" s="42">
        <f>VLOOKUP($A135,'Neraca Unaudited SIMAK'!$A$2:$R$1272,11,FALSE)+IF(ISNA(VLOOKUP($A135,'Mutasi Neraca'!$A$3:$S$910,11,FALSE)),0,VLOOKUP($A135,'Mutasi Neraca'!$A$3:$S$910,11,FALSE))</f>
        <v>4152700</v>
      </c>
      <c r="M135" s="42">
        <f>VLOOKUP($A135,'Neraca Unaudited SIMAK'!$A$2:$R$1272,12,FALSE)+IF(ISNA(VLOOKUP($A135,'Mutasi Neraca'!$A$3:$S$910,12,FALSE)),0,VLOOKUP($A135,'Mutasi Neraca'!$A$3:$S$910,12,FALSE))</f>
        <v>7614622978</v>
      </c>
      <c r="N135" s="42">
        <f>VLOOKUP($A135,'Neraca Unaudited SIMAK'!$A$2:$R$1272,13,FALSE)+IF(ISNA(VLOOKUP($A135,'Mutasi Neraca'!$A$3:$S$910,13,FALSE)),0,VLOOKUP($A135,'Mutasi Neraca'!$A$3:$S$910,13,FALSE))</f>
        <v>-807252108</v>
      </c>
      <c r="O135" s="42">
        <f>VLOOKUP($A135,'Neraca Unaudited SIMAK'!$A$2:$R$1272,14,FALSE)+IF(ISNA(VLOOKUP($A135,'Mutasi Neraca'!$A$3:$S$910,14,FALSE)),0,VLOOKUP($A135,'Mutasi Neraca'!$A$3:$S$910,14,FALSE))</f>
        <v>-312600037</v>
      </c>
      <c r="P135" s="42">
        <f>VLOOKUP($A135,'Neraca Unaudited SIMAK'!$A$2:$R$1272,15,FALSE)+IF(ISNA(VLOOKUP($A135,'Mutasi Neraca'!$A$3:$S$910,15,FALSE)),0,VLOOKUP($A135,'Mutasi Neraca'!$A$3:$S$910,15,FALSE))</f>
        <v>0</v>
      </c>
      <c r="Q135" s="42">
        <f>VLOOKUP($A135,'Neraca Unaudited SIMAK'!$A$2:$R$1272,16,FALSE)+IF(ISNA(VLOOKUP($A135,'Mutasi Neraca'!$A$3:$S$910,16,FALSE)),0,VLOOKUP($A135,'Mutasi Neraca'!$A$3:$S$910,16,FALSE))</f>
        <v>0</v>
      </c>
      <c r="R135" s="42">
        <f>VLOOKUP($A135,'Neraca Unaudited SIMAK'!$A$2:$R$1272,17,FALSE)+IF(ISNA(VLOOKUP($A135,'Mutasi Neraca'!$A$3:$S$910,17,FALSE)),0,VLOOKUP($A135,'Mutasi Neraca'!$A$3:$S$910,17,FALSE))</f>
        <v>-4152700</v>
      </c>
      <c r="S135" s="42">
        <f t="shared" si="47"/>
        <v>6490618133</v>
      </c>
    </row>
    <row r="136" spans="1:19">
      <c r="A136" s="41" t="s">
        <v>143</v>
      </c>
      <c r="B136" s="41" t="str">
        <f t="shared" si="46"/>
        <v>005010300</v>
      </c>
      <c r="D136" s="42">
        <f>VLOOKUP($A136,'Neraca Unaudited SIMAK'!$A$2:$R$1272,3,FALSE)+IF(ISNA(VLOOKUP($A136,'Mutasi Neraca'!$A$3:$S$910,3,FALSE)),0,VLOOKUP($A136,'Mutasi Neraca'!$A$3:$S$910,3,FALSE))</f>
        <v>9388684</v>
      </c>
      <c r="E136" s="42">
        <f>VLOOKUP($A136,'Neraca Unaudited SIMAK'!$A$2:$R$1272,4,FALSE)+IF(ISNA(VLOOKUP($A136,'Mutasi Neraca'!$A$3:$S$910,4,FALSE)),0,VLOOKUP($A136,'Mutasi Neraca'!$A$3:$S$910,4,FALSE))</f>
        <v>2751740000</v>
      </c>
      <c r="F136" s="42">
        <f>VLOOKUP($A136,'Neraca Unaudited SIMAK'!$A$2:$R$1272,5,FALSE)+IF(ISNA(VLOOKUP($A136,'Mutasi Neraca'!$A$3:$S$910,5,FALSE)),0,VLOOKUP($A136,'Mutasi Neraca'!$A$3:$S$910,5,FALSE))</f>
        <v>1043185984</v>
      </c>
      <c r="G136" s="42">
        <f>VLOOKUP($A136,'Neraca Unaudited SIMAK'!$A$2:$R$1272,6,FALSE)+IF(ISNA(VLOOKUP($A136,'Mutasi Neraca'!$A$3:$S$910,6,FALSE)),0,VLOOKUP($A136,'Mutasi Neraca'!$A$3:$S$910,6,FALSE))</f>
        <v>2758316100</v>
      </c>
      <c r="H136" s="42">
        <f>VLOOKUP($A136,'Neraca Unaudited SIMAK'!$A$2:$R$1272,7,FALSE)+IF(ISNA(VLOOKUP($A136,'Mutasi Neraca'!$A$3:$S$910,7,FALSE)),0,VLOOKUP($A136,'Mutasi Neraca'!$A$3:$S$910,7,FALSE))</f>
        <v>130519400</v>
      </c>
      <c r="I136" s="42">
        <f>VLOOKUP($A136,'Neraca Unaudited SIMAK'!$A$2:$R$1272,8,FALSE)+IF(ISNA(VLOOKUP($A136,'Mutasi Neraca'!$A$3:$S$910,8,FALSE)),0,VLOOKUP($A136,'Mutasi Neraca'!$A$3:$S$910,8,FALSE))</f>
        <v>11320080</v>
      </c>
      <c r="J136" s="42">
        <f>VLOOKUP($A136,'Neraca Unaudited SIMAK'!$A$2:$R$1272,9,FALSE)+IF(ISNA(VLOOKUP($A136,'Mutasi Neraca'!$A$3:$S$910,9,FALSE)),0,VLOOKUP($A136,'Mutasi Neraca'!$A$3:$S$910,9,FALSE))</f>
        <v>0</v>
      </c>
      <c r="K136" s="42">
        <f>VLOOKUP($A136,'Neraca Unaudited SIMAK'!$A$2:$R$1272,10,FALSE)+IF(ISNA(VLOOKUP($A136,'Mutasi Neraca'!$A$3:$S$910,10,FALSE)),0,VLOOKUP($A136,'Mutasi Neraca'!$A$3:$S$910,10,FALSE))</f>
        <v>0</v>
      </c>
      <c r="L136" s="42">
        <f>VLOOKUP($A136,'Neraca Unaudited SIMAK'!$A$2:$R$1272,11,FALSE)+IF(ISNA(VLOOKUP($A136,'Mutasi Neraca'!$A$3:$S$910,11,FALSE)),0,VLOOKUP($A136,'Mutasi Neraca'!$A$3:$S$910,11,FALSE))</f>
        <v>0</v>
      </c>
      <c r="M136" s="42">
        <f>VLOOKUP($A136,'Neraca Unaudited SIMAK'!$A$2:$R$1272,12,FALSE)+IF(ISNA(VLOOKUP($A136,'Mutasi Neraca'!$A$3:$S$910,12,FALSE)),0,VLOOKUP($A136,'Mutasi Neraca'!$A$3:$S$910,12,FALSE))</f>
        <v>6704470248</v>
      </c>
      <c r="N136" s="42">
        <f>VLOOKUP($A136,'Neraca Unaudited SIMAK'!$A$2:$R$1272,13,FALSE)+IF(ISNA(VLOOKUP($A136,'Mutasi Neraca'!$A$3:$S$910,13,FALSE)),0,VLOOKUP($A136,'Mutasi Neraca'!$A$3:$S$910,13,FALSE))</f>
        <v>-800327913</v>
      </c>
      <c r="O136" s="42">
        <f>VLOOKUP($A136,'Neraca Unaudited SIMAK'!$A$2:$R$1272,14,FALSE)+IF(ISNA(VLOOKUP($A136,'Mutasi Neraca'!$A$3:$S$910,14,FALSE)),0,VLOOKUP($A136,'Mutasi Neraca'!$A$3:$S$910,14,FALSE))</f>
        <v>-358775016</v>
      </c>
      <c r="P136" s="42">
        <f>VLOOKUP($A136,'Neraca Unaudited SIMAK'!$A$2:$R$1272,15,FALSE)+IF(ISNA(VLOOKUP($A136,'Mutasi Neraca'!$A$3:$S$910,15,FALSE)),0,VLOOKUP($A136,'Mutasi Neraca'!$A$3:$S$910,15,FALSE))</f>
        <v>-17381495</v>
      </c>
      <c r="Q136" s="42">
        <f>VLOOKUP($A136,'Neraca Unaudited SIMAK'!$A$2:$R$1272,16,FALSE)+IF(ISNA(VLOOKUP($A136,'Mutasi Neraca'!$A$3:$S$910,16,FALSE)),0,VLOOKUP($A136,'Mutasi Neraca'!$A$3:$S$910,16,FALSE))</f>
        <v>-5400000</v>
      </c>
      <c r="R136" s="42">
        <f>VLOOKUP($A136,'Neraca Unaudited SIMAK'!$A$2:$R$1272,17,FALSE)+IF(ISNA(VLOOKUP($A136,'Mutasi Neraca'!$A$3:$S$910,17,FALSE)),0,VLOOKUP($A136,'Mutasi Neraca'!$A$3:$S$910,17,FALSE))</f>
        <v>0</v>
      </c>
      <c r="S136" s="42">
        <f t="shared" si="47"/>
        <v>5522585824</v>
      </c>
    </row>
    <row r="137" spans="1:19">
      <c r="A137" s="41" t="s">
        <v>144</v>
      </c>
      <c r="B137" s="41" t="str">
        <f t="shared" si="46"/>
        <v>005010300</v>
      </c>
      <c r="D137" s="42">
        <f>VLOOKUP($A137,'Neraca Unaudited SIMAK'!$A$2:$R$1272,3,FALSE)+IF(ISNA(VLOOKUP($A137,'Mutasi Neraca'!$A$3:$S$910,3,FALSE)),0,VLOOKUP($A137,'Mutasi Neraca'!$A$3:$S$910,3,FALSE))</f>
        <v>1352500</v>
      </c>
      <c r="E137" s="42">
        <f>VLOOKUP($A137,'Neraca Unaudited SIMAK'!$A$2:$R$1272,4,FALSE)+IF(ISNA(VLOOKUP($A137,'Mutasi Neraca'!$A$3:$S$910,4,FALSE)),0,VLOOKUP($A137,'Mutasi Neraca'!$A$3:$S$910,4,FALSE))</f>
        <v>2370150000</v>
      </c>
      <c r="F137" s="42">
        <f>VLOOKUP($A137,'Neraca Unaudited SIMAK'!$A$2:$R$1272,5,FALSE)+IF(ISNA(VLOOKUP($A137,'Mutasi Neraca'!$A$3:$S$910,5,FALSE)),0,VLOOKUP($A137,'Mutasi Neraca'!$A$3:$S$910,5,FALSE))</f>
        <v>1092361433</v>
      </c>
      <c r="G137" s="42">
        <f>VLOOKUP($A137,'Neraca Unaudited SIMAK'!$A$2:$R$1272,6,FALSE)+IF(ISNA(VLOOKUP($A137,'Mutasi Neraca'!$A$3:$S$910,6,FALSE)),0,VLOOKUP($A137,'Mutasi Neraca'!$A$3:$S$910,6,FALSE))</f>
        <v>2538884500</v>
      </c>
      <c r="H137" s="42">
        <f>VLOOKUP($A137,'Neraca Unaudited SIMAK'!$A$2:$R$1272,7,FALSE)+IF(ISNA(VLOOKUP($A137,'Mutasi Neraca'!$A$3:$S$910,7,FALSE)),0,VLOOKUP($A137,'Mutasi Neraca'!$A$3:$S$910,7,FALSE))</f>
        <v>130130000</v>
      </c>
      <c r="I137" s="42">
        <f>VLOOKUP($A137,'Neraca Unaudited SIMAK'!$A$2:$R$1272,8,FALSE)+IF(ISNA(VLOOKUP($A137,'Mutasi Neraca'!$A$3:$S$910,8,FALSE)),0,VLOOKUP($A137,'Mutasi Neraca'!$A$3:$S$910,8,FALSE))</f>
        <v>3286680</v>
      </c>
      <c r="J137" s="42">
        <f>VLOOKUP($A137,'Neraca Unaudited SIMAK'!$A$2:$R$1272,9,FALSE)+IF(ISNA(VLOOKUP($A137,'Mutasi Neraca'!$A$3:$S$910,9,FALSE)),0,VLOOKUP($A137,'Mutasi Neraca'!$A$3:$S$910,9,FALSE))</f>
        <v>0</v>
      </c>
      <c r="K137" s="42">
        <f>VLOOKUP($A137,'Neraca Unaudited SIMAK'!$A$2:$R$1272,10,FALSE)+IF(ISNA(VLOOKUP($A137,'Mutasi Neraca'!$A$3:$S$910,10,FALSE)),0,VLOOKUP($A137,'Mutasi Neraca'!$A$3:$S$910,10,FALSE))</f>
        <v>9500000</v>
      </c>
      <c r="L137" s="42">
        <f>VLOOKUP($A137,'Neraca Unaudited SIMAK'!$A$2:$R$1272,11,FALSE)+IF(ISNA(VLOOKUP($A137,'Mutasi Neraca'!$A$3:$S$910,11,FALSE)),0,VLOOKUP($A137,'Mutasi Neraca'!$A$3:$S$910,11,FALSE))</f>
        <v>0</v>
      </c>
      <c r="M137" s="42">
        <f>VLOOKUP($A137,'Neraca Unaudited SIMAK'!$A$2:$R$1272,12,FALSE)+IF(ISNA(VLOOKUP($A137,'Mutasi Neraca'!$A$3:$S$910,12,FALSE)),0,VLOOKUP($A137,'Mutasi Neraca'!$A$3:$S$910,12,FALSE))</f>
        <v>6145665113</v>
      </c>
      <c r="N137" s="42">
        <f>VLOOKUP($A137,'Neraca Unaudited SIMAK'!$A$2:$R$1272,13,FALSE)+IF(ISNA(VLOOKUP($A137,'Mutasi Neraca'!$A$3:$S$910,13,FALSE)),0,VLOOKUP($A137,'Mutasi Neraca'!$A$3:$S$910,13,FALSE))</f>
        <v>-1044909254</v>
      </c>
      <c r="O137" s="42">
        <f>VLOOKUP($A137,'Neraca Unaudited SIMAK'!$A$2:$R$1272,14,FALSE)+IF(ISNA(VLOOKUP($A137,'Mutasi Neraca'!$A$3:$S$910,14,FALSE)),0,VLOOKUP($A137,'Mutasi Neraca'!$A$3:$S$910,14,FALSE))</f>
        <v>-328383584</v>
      </c>
      <c r="P137" s="42">
        <f>VLOOKUP($A137,'Neraca Unaudited SIMAK'!$A$2:$R$1272,15,FALSE)+IF(ISNA(VLOOKUP($A137,'Mutasi Neraca'!$A$3:$S$910,15,FALSE)),0,VLOOKUP($A137,'Mutasi Neraca'!$A$3:$S$910,15,FALSE))</f>
        <v>-15675500</v>
      </c>
      <c r="Q137" s="42">
        <f>VLOOKUP($A137,'Neraca Unaudited SIMAK'!$A$2:$R$1272,16,FALSE)+IF(ISNA(VLOOKUP($A137,'Mutasi Neraca'!$A$3:$S$910,16,FALSE)),0,VLOOKUP($A137,'Mutasi Neraca'!$A$3:$S$910,16,FALSE))</f>
        <v>0</v>
      </c>
      <c r="R137" s="42">
        <f>VLOOKUP($A137,'Neraca Unaudited SIMAK'!$A$2:$R$1272,17,FALSE)+IF(ISNA(VLOOKUP($A137,'Mutasi Neraca'!$A$3:$S$910,17,FALSE)),0,VLOOKUP($A137,'Mutasi Neraca'!$A$3:$S$910,17,FALSE))</f>
        <v>0</v>
      </c>
      <c r="S137" s="42">
        <f t="shared" si="47"/>
        <v>4756696775</v>
      </c>
    </row>
    <row r="138" spans="1:19">
      <c r="A138" s="53" t="s">
        <v>145</v>
      </c>
      <c r="B138" s="41" t="str">
        <f t="shared" si="46"/>
        <v>005010300</v>
      </c>
      <c r="D138" s="42">
        <f>VLOOKUP($A138,'Neraca Unaudited SIMAK'!$A$2:$R$1272,3,FALSE)+IF(ISNA(VLOOKUP($A138,'Mutasi Neraca'!$A$3:$S$910,3,FALSE)),0,VLOOKUP($A138,'Mutasi Neraca'!$A$3:$S$910,3,FALSE))</f>
        <v>12583973</v>
      </c>
      <c r="E138" s="42">
        <f>VLOOKUP($A138,'Neraca Unaudited SIMAK'!$A$2:$R$1272,4,FALSE)+IF(ISNA(VLOOKUP($A138,'Mutasi Neraca'!$A$3:$S$910,4,FALSE)),0,VLOOKUP($A138,'Mutasi Neraca'!$A$3:$S$910,4,FALSE))</f>
        <v>2061202500</v>
      </c>
      <c r="F138" s="42">
        <f>VLOOKUP($A138,'Neraca Unaudited SIMAK'!$A$2:$R$1272,5,FALSE)+IF(ISNA(VLOOKUP($A138,'Mutasi Neraca'!$A$3:$S$910,5,FALSE)),0,VLOOKUP($A138,'Mutasi Neraca'!$A$3:$S$910,5,FALSE))</f>
        <v>3966913018</v>
      </c>
      <c r="G138" s="42">
        <f>VLOOKUP($A138,'Neraca Unaudited SIMAK'!$A$2:$R$1272,6,FALSE)+IF(ISNA(VLOOKUP($A138,'Mutasi Neraca'!$A$3:$S$910,6,FALSE)),0,VLOOKUP($A138,'Mutasi Neraca'!$A$3:$S$910,6,FALSE))</f>
        <v>1754821414</v>
      </c>
      <c r="H138" s="42">
        <f>VLOOKUP($A138,'Neraca Unaudited SIMAK'!$A$2:$R$1272,7,FALSE)+IF(ISNA(VLOOKUP($A138,'Mutasi Neraca'!$A$3:$S$910,7,FALSE)),0,VLOOKUP($A138,'Mutasi Neraca'!$A$3:$S$910,7,FALSE))</f>
        <v>47166400</v>
      </c>
      <c r="I138" s="42">
        <f>VLOOKUP($A138,'Neraca Unaudited SIMAK'!$A$2:$R$1272,8,FALSE)+IF(ISNA(VLOOKUP($A138,'Mutasi Neraca'!$A$3:$S$910,8,FALSE)),0,VLOOKUP($A138,'Mutasi Neraca'!$A$3:$S$910,8,FALSE))</f>
        <v>16209820</v>
      </c>
      <c r="J138" s="42">
        <f>VLOOKUP($A138,'Neraca Unaudited SIMAK'!$A$2:$R$1272,9,FALSE)+IF(ISNA(VLOOKUP($A138,'Mutasi Neraca'!$A$3:$S$910,9,FALSE)),0,VLOOKUP($A138,'Mutasi Neraca'!$A$3:$S$910,9,FALSE))</f>
        <v>0</v>
      </c>
      <c r="K138" s="42">
        <f>VLOOKUP($A138,'Neraca Unaudited SIMAK'!$A$2:$R$1272,10,FALSE)+IF(ISNA(VLOOKUP($A138,'Mutasi Neraca'!$A$3:$S$910,10,FALSE)),0,VLOOKUP($A138,'Mutasi Neraca'!$A$3:$S$910,10,FALSE))</f>
        <v>0</v>
      </c>
      <c r="L138" s="42">
        <f>VLOOKUP($A138,'Neraca Unaudited SIMAK'!$A$2:$R$1272,11,FALSE)+IF(ISNA(VLOOKUP($A138,'Mutasi Neraca'!$A$3:$S$910,11,FALSE)),0,VLOOKUP($A138,'Mutasi Neraca'!$A$3:$S$910,11,FALSE))</f>
        <v>0</v>
      </c>
      <c r="M138" s="42">
        <f>VLOOKUP($A138,'Neraca Unaudited SIMAK'!$A$2:$R$1272,12,FALSE)+IF(ISNA(VLOOKUP($A138,'Mutasi Neraca'!$A$3:$S$910,12,FALSE)),0,VLOOKUP($A138,'Mutasi Neraca'!$A$3:$S$910,12,FALSE))</f>
        <v>7858897125</v>
      </c>
      <c r="N138" s="42">
        <f>VLOOKUP($A138,'Neraca Unaudited SIMAK'!$A$2:$R$1272,13,FALSE)+IF(ISNA(VLOOKUP($A138,'Mutasi Neraca'!$A$3:$S$910,13,FALSE)),0,VLOOKUP($A138,'Mutasi Neraca'!$A$3:$S$910,13,FALSE))</f>
        <v>-3618928342</v>
      </c>
      <c r="O138" s="42">
        <f>VLOOKUP($A138,'Neraca Unaudited SIMAK'!$A$2:$R$1272,14,FALSE)+IF(ISNA(VLOOKUP($A138,'Mutasi Neraca'!$A$3:$S$910,14,FALSE)),0,VLOOKUP($A138,'Mutasi Neraca'!$A$3:$S$910,14,FALSE))</f>
        <v>-281425755</v>
      </c>
      <c r="P138" s="42">
        <f>VLOOKUP($A138,'Neraca Unaudited SIMAK'!$A$2:$R$1272,15,FALSE)+IF(ISNA(VLOOKUP($A138,'Mutasi Neraca'!$A$3:$S$910,15,FALSE)),0,VLOOKUP($A138,'Mutasi Neraca'!$A$3:$S$910,15,FALSE))</f>
        <v>-40091440</v>
      </c>
      <c r="Q138" s="42">
        <f>VLOOKUP($A138,'Neraca Unaudited SIMAK'!$A$2:$R$1272,16,FALSE)+IF(ISNA(VLOOKUP($A138,'Mutasi Neraca'!$A$3:$S$910,16,FALSE)),0,VLOOKUP($A138,'Mutasi Neraca'!$A$3:$S$910,16,FALSE))</f>
        <v>0</v>
      </c>
      <c r="R138" s="42">
        <f>VLOOKUP($A138,'Neraca Unaudited SIMAK'!$A$2:$R$1272,17,FALSE)+IF(ISNA(VLOOKUP($A138,'Mutasi Neraca'!$A$3:$S$910,17,FALSE)),0,VLOOKUP($A138,'Mutasi Neraca'!$A$3:$S$910,17,FALSE))</f>
        <v>0</v>
      </c>
      <c r="S138" s="42">
        <f t="shared" si="47"/>
        <v>3918451588</v>
      </c>
    </row>
    <row r="139" spans="1:19">
      <c r="A139" s="41" t="s">
        <v>146</v>
      </c>
      <c r="B139" s="41" t="str">
        <f t="shared" si="46"/>
        <v>005010300</v>
      </c>
      <c r="D139" s="42">
        <f>VLOOKUP($A139,'Neraca Unaudited SIMAK'!$A$2:$R$1272,3,FALSE)+IF(ISNA(VLOOKUP($A139,'Mutasi Neraca'!$A$3:$S$910,3,FALSE)),0,VLOOKUP($A139,'Mutasi Neraca'!$A$3:$S$910,3,FALSE))</f>
        <v>9493100</v>
      </c>
      <c r="E139" s="42">
        <f>VLOOKUP($A139,'Neraca Unaudited SIMAK'!$A$2:$R$1272,4,FALSE)+IF(ISNA(VLOOKUP($A139,'Mutasi Neraca'!$A$3:$S$910,4,FALSE)),0,VLOOKUP($A139,'Mutasi Neraca'!$A$3:$S$910,4,FALSE))</f>
        <v>555000000</v>
      </c>
      <c r="F139" s="42">
        <f>VLOOKUP($A139,'Neraca Unaudited SIMAK'!$A$2:$R$1272,5,FALSE)+IF(ISNA(VLOOKUP($A139,'Mutasi Neraca'!$A$3:$S$910,5,FALSE)),0,VLOOKUP($A139,'Mutasi Neraca'!$A$3:$S$910,5,FALSE))</f>
        <v>1474093161</v>
      </c>
      <c r="G139" s="42">
        <f>VLOOKUP($A139,'Neraca Unaudited SIMAK'!$A$2:$R$1272,6,FALSE)+IF(ISNA(VLOOKUP($A139,'Mutasi Neraca'!$A$3:$S$910,6,FALSE)),0,VLOOKUP($A139,'Mutasi Neraca'!$A$3:$S$910,6,FALSE))</f>
        <v>4723082000</v>
      </c>
      <c r="H139" s="42">
        <f>VLOOKUP($A139,'Neraca Unaudited SIMAK'!$A$2:$R$1272,7,FALSE)+IF(ISNA(VLOOKUP($A139,'Mutasi Neraca'!$A$3:$S$910,7,FALSE)),0,VLOOKUP($A139,'Mutasi Neraca'!$A$3:$S$910,7,FALSE))</f>
        <v>0</v>
      </c>
      <c r="I139" s="42">
        <f>VLOOKUP($A139,'Neraca Unaudited SIMAK'!$A$2:$R$1272,8,FALSE)+IF(ISNA(VLOOKUP($A139,'Mutasi Neraca'!$A$3:$S$910,8,FALSE)),0,VLOOKUP($A139,'Mutasi Neraca'!$A$3:$S$910,8,FALSE))</f>
        <v>3746576</v>
      </c>
      <c r="J139" s="42">
        <f>VLOOKUP($A139,'Neraca Unaudited SIMAK'!$A$2:$R$1272,9,FALSE)+IF(ISNA(VLOOKUP($A139,'Mutasi Neraca'!$A$3:$S$910,9,FALSE)),0,VLOOKUP($A139,'Mutasi Neraca'!$A$3:$S$910,9,FALSE))</f>
        <v>0</v>
      </c>
      <c r="K139" s="42">
        <f>VLOOKUP($A139,'Neraca Unaudited SIMAK'!$A$2:$R$1272,10,FALSE)+IF(ISNA(VLOOKUP($A139,'Mutasi Neraca'!$A$3:$S$910,10,FALSE)),0,VLOOKUP($A139,'Mutasi Neraca'!$A$3:$S$910,10,FALSE))</f>
        <v>2500000</v>
      </c>
      <c r="L139" s="42">
        <f>VLOOKUP($A139,'Neraca Unaudited SIMAK'!$A$2:$R$1272,11,FALSE)+IF(ISNA(VLOOKUP($A139,'Mutasi Neraca'!$A$3:$S$910,11,FALSE)),0,VLOOKUP($A139,'Mutasi Neraca'!$A$3:$S$910,11,FALSE))</f>
        <v>53598940</v>
      </c>
      <c r="M139" s="42">
        <f>VLOOKUP($A139,'Neraca Unaudited SIMAK'!$A$2:$R$1272,12,FALSE)+IF(ISNA(VLOOKUP($A139,'Mutasi Neraca'!$A$3:$S$910,12,FALSE)),0,VLOOKUP($A139,'Mutasi Neraca'!$A$3:$S$910,12,FALSE))</f>
        <v>6821513777</v>
      </c>
      <c r="N139" s="42">
        <f>VLOOKUP($A139,'Neraca Unaudited SIMAK'!$A$2:$R$1272,13,FALSE)+IF(ISNA(VLOOKUP($A139,'Mutasi Neraca'!$A$3:$S$910,13,FALSE)),0,VLOOKUP($A139,'Mutasi Neraca'!$A$3:$S$910,13,FALSE))</f>
        <v>-1152556945</v>
      </c>
      <c r="O139" s="42">
        <f>VLOOKUP($A139,'Neraca Unaudited SIMAK'!$A$2:$R$1272,14,FALSE)+IF(ISNA(VLOOKUP($A139,'Mutasi Neraca'!$A$3:$S$910,14,FALSE)),0,VLOOKUP($A139,'Mutasi Neraca'!$A$3:$S$910,14,FALSE))</f>
        <v>-831897500</v>
      </c>
      <c r="P139" s="42">
        <f>VLOOKUP($A139,'Neraca Unaudited SIMAK'!$A$2:$R$1272,15,FALSE)+IF(ISNA(VLOOKUP($A139,'Mutasi Neraca'!$A$3:$S$910,15,FALSE)),0,VLOOKUP($A139,'Mutasi Neraca'!$A$3:$S$910,15,FALSE))</f>
        <v>0</v>
      </c>
      <c r="Q139" s="42">
        <f>VLOOKUP($A139,'Neraca Unaudited SIMAK'!$A$2:$R$1272,16,FALSE)+IF(ISNA(VLOOKUP($A139,'Mutasi Neraca'!$A$3:$S$910,16,FALSE)),0,VLOOKUP($A139,'Mutasi Neraca'!$A$3:$S$910,16,FALSE))</f>
        <v>0</v>
      </c>
      <c r="R139" s="42">
        <f>VLOOKUP($A139,'Neraca Unaudited SIMAK'!$A$2:$R$1272,17,FALSE)+IF(ISNA(VLOOKUP($A139,'Mutasi Neraca'!$A$3:$S$910,17,FALSE)),0,VLOOKUP($A139,'Mutasi Neraca'!$A$3:$S$910,17,FALSE))</f>
        <v>-53453940</v>
      </c>
      <c r="S139" s="42">
        <f t="shared" si="47"/>
        <v>4783605392</v>
      </c>
    </row>
    <row r="140" spans="1:19">
      <c r="A140" s="41" t="s">
        <v>147</v>
      </c>
      <c r="B140" s="41" t="str">
        <f t="shared" si="46"/>
        <v>005010300</v>
      </c>
      <c r="D140" s="42">
        <f>VLOOKUP($A140,'Neraca Unaudited SIMAK'!$A$2:$R$1272,3,FALSE)+IF(ISNA(VLOOKUP($A140,'Mutasi Neraca'!$A$3:$S$910,3,FALSE)),0,VLOOKUP($A140,'Mutasi Neraca'!$A$3:$S$910,3,FALSE))</f>
        <v>5162590</v>
      </c>
      <c r="E140" s="42">
        <f>VLOOKUP($A140,'Neraca Unaudited SIMAK'!$A$2:$R$1272,4,FALSE)+IF(ISNA(VLOOKUP($A140,'Mutasi Neraca'!$A$3:$S$910,4,FALSE)),0,VLOOKUP($A140,'Mutasi Neraca'!$A$3:$S$910,4,FALSE))</f>
        <v>833000000</v>
      </c>
      <c r="F140" s="42">
        <f>VLOOKUP($A140,'Neraca Unaudited SIMAK'!$A$2:$R$1272,5,FALSE)+IF(ISNA(VLOOKUP($A140,'Mutasi Neraca'!$A$3:$S$910,5,FALSE)),0,VLOOKUP($A140,'Mutasi Neraca'!$A$3:$S$910,5,FALSE))</f>
        <v>1500713700</v>
      </c>
      <c r="G140" s="42">
        <f>VLOOKUP($A140,'Neraca Unaudited SIMAK'!$A$2:$R$1272,6,FALSE)+IF(ISNA(VLOOKUP($A140,'Mutasi Neraca'!$A$3:$S$910,6,FALSE)),0,VLOOKUP($A140,'Mutasi Neraca'!$A$3:$S$910,6,FALSE))</f>
        <v>4381108000</v>
      </c>
      <c r="H140" s="42">
        <f>VLOOKUP($A140,'Neraca Unaudited SIMAK'!$A$2:$R$1272,7,FALSE)+IF(ISNA(VLOOKUP($A140,'Mutasi Neraca'!$A$3:$S$910,7,FALSE)),0,VLOOKUP($A140,'Mutasi Neraca'!$A$3:$S$910,7,FALSE))</f>
        <v>24650000</v>
      </c>
      <c r="I140" s="42">
        <f>VLOOKUP($A140,'Neraca Unaudited SIMAK'!$A$2:$R$1272,8,FALSE)+IF(ISNA(VLOOKUP($A140,'Mutasi Neraca'!$A$3:$S$910,8,FALSE)),0,VLOOKUP($A140,'Mutasi Neraca'!$A$3:$S$910,8,FALSE))</f>
        <v>4184580</v>
      </c>
      <c r="J140" s="42">
        <f>VLOOKUP($A140,'Neraca Unaudited SIMAK'!$A$2:$R$1272,9,FALSE)+IF(ISNA(VLOOKUP($A140,'Mutasi Neraca'!$A$3:$S$910,9,FALSE)),0,VLOOKUP($A140,'Mutasi Neraca'!$A$3:$S$910,9,FALSE))</f>
        <v>0</v>
      </c>
      <c r="K140" s="42">
        <f>VLOOKUP($A140,'Neraca Unaudited SIMAK'!$A$2:$R$1272,10,FALSE)+IF(ISNA(VLOOKUP($A140,'Mutasi Neraca'!$A$3:$S$910,10,FALSE)),0,VLOOKUP($A140,'Mutasi Neraca'!$A$3:$S$910,10,FALSE))</f>
        <v>0</v>
      </c>
      <c r="L140" s="42">
        <f>VLOOKUP($A140,'Neraca Unaudited SIMAK'!$A$2:$R$1272,11,FALSE)+IF(ISNA(VLOOKUP($A140,'Mutasi Neraca'!$A$3:$S$910,11,FALSE)),0,VLOOKUP($A140,'Mutasi Neraca'!$A$3:$S$910,11,FALSE))</f>
        <v>0</v>
      </c>
      <c r="M140" s="42">
        <f>VLOOKUP($A140,'Neraca Unaudited SIMAK'!$A$2:$R$1272,12,FALSE)+IF(ISNA(VLOOKUP($A140,'Mutasi Neraca'!$A$3:$S$910,12,FALSE)),0,VLOOKUP($A140,'Mutasi Neraca'!$A$3:$S$910,12,FALSE))</f>
        <v>6748818870</v>
      </c>
      <c r="N140" s="42">
        <f>VLOOKUP($A140,'Neraca Unaudited SIMAK'!$A$2:$R$1272,13,FALSE)+IF(ISNA(VLOOKUP($A140,'Mutasi Neraca'!$A$3:$S$910,13,FALSE)),0,VLOOKUP($A140,'Mutasi Neraca'!$A$3:$S$910,13,FALSE))</f>
        <v>-1347515703</v>
      </c>
      <c r="O140" s="42">
        <f>VLOOKUP($A140,'Neraca Unaudited SIMAK'!$A$2:$R$1272,14,FALSE)+IF(ISNA(VLOOKUP($A140,'Mutasi Neraca'!$A$3:$S$910,14,FALSE)),0,VLOOKUP($A140,'Mutasi Neraca'!$A$3:$S$910,14,FALSE))</f>
        <v>-765664287</v>
      </c>
      <c r="P140" s="42">
        <f>VLOOKUP($A140,'Neraca Unaudited SIMAK'!$A$2:$R$1272,15,FALSE)+IF(ISNA(VLOOKUP($A140,'Mutasi Neraca'!$A$3:$S$910,15,FALSE)),0,VLOOKUP($A140,'Mutasi Neraca'!$A$3:$S$910,15,FALSE))</f>
        <v>-2465000</v>
      </c>
      <c r="Q140" s="42">
        <f>VLOOKUP($A140,'Neraca Unaudited SIMAK'!$A$2:$R$1272,16,FALSE)+IF(ISNA(VLOOKUP($A140,'Mutasi Neraca'!$A$3:$S$910,16,FALSE)),0,VLOOKUP($A140,'Mutasi Neraca'!$A$3:$S$910,16,FALSE))</f>
        <v>0</v>
      </c>
      <c r="R140" s="42">
        <f>VLOOKUP($A140,'Neraca Unaudited SIMAK'!$A$2:$R$1272,17,FALSE)+IF(ISNA(VLOOKUP($A140,'Mutasi Neraca'!$A$3:$S$910,17,FALSE)),0,VLOOKUP($A140,'Mutasi Neraca'!$A$3:$S$910,17,FALSE))</f>
        <v>0</v>
      </c>
      <c r="S140" s="42">
        <f t="shared" si="47"/>
        <v>4633173880</v>
      </c>
    </row>
    <row r="141" spans="1:19">
      <c r="A141" s="41" t="s">
        <v>148</v>
      </c>
      <c r="B141" s="41" t="str">
        <f t="shared" si="46"/>
        <v>005010300</v>
      </c>
      <c r="D141" s="42">
        <f>VLOOKUP($A141,'Neraca Unaudited SIMAK'!$A$2:$R$1272,3,FALSE)+IF(ISNA(VLOOKUP($A141,'Mutasi Neraca'!$A$3:$S$910,3,FALSE)),0,VLOOKUP($A141,'Mutasi Neraca'!$A$3:$S$910,3,FALSE))</f>
        <v>619300</v>
      </c>
      <c r="E141" s="42">
        <f>VLOOKUP($A141,'Neraca Unaudited SIMAK'!$A$2:$R$1272,4,FALSE)+IF(ISNA(VLOOKUP($A141,'Mutasi Neraca'!$A$3:$S$910,4,FALSE)),0,VLOOKUP($A141,'Mutasi Neraca'!$A$3:$S$910,4,FALSE))</f>
        <v>10017600000</v>
      </c>
      <c r="F141" s="42">
        <f>VLOOKUP($A141,'Neraca Unaudited SIMAK'!$A$2:$R$1272,5,FALSE)+IF(ISNA(VLOOKUP($A141,'Mutasi Neraca'!$A$3:$S$910,5,FALSE)),0,VLOOKUP($A141,'Mutasi Neraca'!$A$3:$S$910,5,FALSE))</f>
        <v>2641322855</v>
      </c>
      <c r="G141" s="42">
        <f>VLOOKUP($A141,'Neraca Unaudited SIMAK'!$A$2:$R$1272,6,FALSE)+IF(ISNA(VLOOKUP($A141,'Mutasi Neraca'!$A$3:$S$910,6,FALSE)),0,VLOOKUP($A141,'Mutasi Neraca'!$A$3:$S$910,6,FALSE))</f>
        <v>7295288500</v>
      </c>
      <c r="H141" s="42">
        <f>VLOOKUP($A141,'Neraca Unaudited SIMAK'!$A$2:$R$1272,7,FALSE)+IF(ISNA(VLOOKUP($A141,'Mutasi Neraca'!$A$3:$S$910,7,FALSE)),0,VLOOKUP($A141,'Mutasi Neraca'!$A$3:$S$910,7,FALSE))</f>
        <v>0</v>
      </c>
      <c r="I141" s="42">
        <f>VLOOKUP($A141,'Neraca Unaudited SIMAK'!$A$2:$R$1272,8,FALSE)+IF(ISNA(VLOOKUP($A141,'Mutasi Neraca'!$A$3:$S$910,8,FALSE)),0,VLOOKUP($A141,'Mutasi Neraca'!$A$3:$S$910,8,FALSE))</f>
        <v>2828678</v>
      </c>
      <c r="J141" s="42">
        <f>VLOOKUP($A141,'Neraca Unaudited SIMAK'!$A$2:$R$1272,9,FALSE)+IF(ISNA(VLOOKUP($A141,'Mutasi Neraca'!$A$3:$S$910,9,FALSE)),0,VLOOKUP($A141,'Mutasi Neraca'!$A$3:$S$910,9,FALSE))</f>
        <v>0</v>
      </c>
      <c r="K141" s="42">
        <f>VLOOKUP($A141,'Neraca Unaudited SIMAK'!$A$2:$R$1272,10,FALSE)+IF(ISNA(VLOOKUP($A141,'Mutasi Neraca'!$A$3:$S$910,10,FALSE)),0,VLOOKUP($A141,'Mutasi Neraca'!$A$3:$S$910,10,FALSE))</f>
        <v>1900000</v>
      </c>
      <c r="L141" s="42">
        <f>VLOOKUP($A141,'Neraca Unaudited SIMAK'!$A$2:$R$1272,11,FALSE)+IF(ISNA(VLOOKUP($A141,'Mutasi Neraca'!$A$3:$S$910,11,FALSE)),0,VLOOKUP($A141,'Mutasi Neraca'!$A$3:$S$910,11,FALSE))</f>
        <v>9761000</v>
      </c>
      <c r="M141" s="42">
        <f>VLOOKUP($A141,'Neraca Unaudited SIMAK'!$A$2:$R$1272,12,FALSE)+IF(ISNA(VLOOKUP($A141,'Mutasi Neraca'!$A$3:$S$910,12,FALSE)),0,VLOOKUP($A141,'Mutasi Neraca'!$A$3:$S$910,12,FALSE))</f>
        <v>19969320333</v>
      </c>
      <c r="N141" s="42">
        <f>VLOOKUP($A141,'Neraca Unaudited SIMAK'!$A$2:$R$1272,13,FALSE)+IF(ISNA(VLOOKUP($A141,'Mutasi Neraca'!$A$3:$S$910,13,FALSE)),0,VLOOKUP($A141,'Mutasi Neraca'!$A$3:$S$910,13,FALSE))</f>
        <v>-2210005821</v>
      </c>
      <c r="O141" s="42">
        <f>VLOOKUP($A141,'Neraca Unaudited SIMAK'!$A$2:$R$1272,14,FALSE)+IF(ISNA(VLOOKUP($A141,'Mutasi Neraca'!$A$3:$S$910,14,FALSE)),0,VLOOKUP($A141,'Mutasi Neraca'!$A$3:$S$910,14,FALSE))</f>
        <v>-467501184</v>
      </c>
      <c r="P141" s="42">
        <f>VLOOKUP($A141,'Neraca Unaudited SIMAK'!$A$2:$R$1272,15,FALSE)+IF(ISNA(VLOOKUP($A141,'Mutasi Neraca'!$A$3:$S$910,15,FALSE)),0,VLOOKUP($A141,'Mutasi Neraca'!$A$3:$S$910,15,FALSE))</f>
        <v>0</v>
      </c>
      <c r="Q141" s="42">
        <f>VLOOKUP($A141,'Neraca Unaudited SIMAK'!$A$2:$R$1272,16,FALSE)+IF(ISNA(VLOOKUP($A141,'Mutasi Neraca'!$A$3:$S$910,16,FALSE)),0,VLOOKUP($A141,'Mutasi Neraca'!$A$3:$S$910,16,FALSE))</f>
        <v>0</v>
      </c>
      <c r="R141" s="42">
        <f>VLOOKUP($A141,'Neraca Unaudited SIMAK'!$A$2:$R$1272,17,FALSE)+IF(ISNA(VLOOKUP($A141,'Mutasi Neraca'!$A$3:$S$910,17,FALSE)),0,VLOOKUP($A141,'Mutasi Neraca'!$A$3:$S$910,17,FALSE))</f>
        <v>-9761000</v>
      </c>
      <c r="S141" s="42">
        <f t="shared" si="47"/>
        <v>17282052328</v>
      </c>
    </row>
    <row r="142" spans="1:19">
      <c r="A142" s="41" t="s">
        <v>149</v>
      </c>
      <c r="B142" s="41" t="str">
        <f t="shared" si="46"/>
        <v>005010300</v>
      </c>
      <c r="D142" s="42">
        <f>VLOOKUP($A142,'Neraca Unaudited SIMAK'!$A$2:$R$1272,3,FALSE)+IF(ISNA(VLOOKUP($A142,'Mutasi Neraca'!$A$3:$S$910,3,FALSE)),0,VLOOKUP($A142,'Mutasi Neraca'!$A$3:$S$910,3,FALSE))</f>
        <v>1664300</v>
      </c>
      <c r="E142" s="42">
        <f>VLOOKUP($A142,'Neraca Unaudited SIMAK'!$A$2:$R$1272,4,FALSE)+IF(ISNA(VLOOKUP($A142,'Mutasi Neraca'!$A$3:$S$910,4,FALSE)),0,VLOOKUP($A142,'Mutasi Neraca'!$A$3:$S$910,4,FALSE))</f>
        <v>0</v>
      </c>
      <c r="F142" s="42">
        <f>VLOOKUP($A142,'Neraca Unaudited SIMAK'!$A$2:$R$1272,5,FALSE)+IF(ISNA(VLOOKUP($A142,'Mutasi Neraca'!$A$3:$S$910,5,FALSE)),0,VLOOKUP($A142,'Mutasi Neraca'!$A$3:$S$910,5,FALSE))</f>
        <v>1115878448</v>
      </c>
      <c r="G142" s="42">
        <f>VLOOKUP($A142,'Neraca Unaudited SIMAK'!$A$2:$R$1272,6,FALSE)+IF(ISNA(VLOOKUP($A142,'Mutasi Neraca'!$A$3:$S$910,6,FALSE)),0,VLOOKUP($A142,'Mutasi Neraca'!$A$3:$S$910,6,FALSE))</f>
        <v>1447328450</v>
      </c>
      <c r="H142" s="42">
        <f>VLOOKUP($A142,'Neraca Unaudited SIMAK'!$A$2:$R$1272,7,FALSE)+IF(ISNA(VLOOKUP($A142,'Mutasi Neraca'!$A$3:$S$910,7,FALSE)),0,VLOOKUP($A142,'Mutasi Neraca'!$A$3:$S$910,7,FALSE))</f>
        <v>92065000</v>
      </c>
      <c r="I142" s="42">
        <f>VLOOKUP($A142,'Neraca Unaudited SIMAK'!$A$2:$R$1272,8,FALSE)+IF(ISNA(VLOOKUP($A142,'Mutasi Neraca'!$A$3:$S$910,8,FALSE)),0,VLOOKUP($A142,'Mutasi Neraca'!$A$3:$S$910,8,FALSE))</f>
        <v>7852680</v>
      </c>
      <c r="J142" s="42">
        <f>VLOOKUP($A142,'Neraca Unaudited SIMAK'!$A$2:$R$1272,9,FALSE)+IF(ISNA(VLOOKUP($A142,'Mutasi Neraca'!$A$3:$S$910,9,FALSE)),0,VLOOKUP($A142,'Mutasi Neraca'!$A$3:$S$910,9,FALSE))</f>
        <v>0</v>
      </c>
      <c r="K142" s="42">
        <f>VLOOKUP($A142,'Neraca Unaudited SIMAK'!$A$2:$R$1272,10,FALSE)+IF(ISNA(VLOOKUP($A142,'Mutasi Neraca'!$A$3:$S$910,10,FALSE)),0,VLOOKUP($A142,'Mutasi Neraca'!$A$3:$S$910,10,FALSE))</f>
        <v>0</v>
      </c>
      <c r="L142" s="42">
        <f>VLOOKUP($A142,'Neraca Unaudited SIMAK'!$A$2:$R$1272,11,FALSE)+IF(ISNA(VLOOKUP($A142,'Mutasi Neraca'!$A$3:$S$910,11,FALSE)),0,VLOOKUP($A142,'Mutasi Neraca'!$A$3:$S$910,11,FALSE))</f>
        <v>0</v>
      </c>
      <c r="M142" s="42">
        <f>VLOOKUP($A142,'Neraca Unaudited SIMAK'!$A$2:$R$1272,12,FALSE)+IF(ISNA(VLOOKUP($A142,'Mutasi Neraca'!$A$3:$S$910,12,FALSE)),0,VLOOKUP($A142,'Mutasi Neraca'!$A$3:$S$910,12,FALSE))</f>
        <v>2664788878</v>
      </c>
      <c r="N142" s="42">
        <f>VLOOKUP($A142,'Neraca Unaudited SIMAK'!$A$2:$R$1272,13,FALSE)+IF(ISNA(VLOOKUP($A142,'Mutasi Neraca'!$A$3:$S$910,13,FALSE)),0,VLOOKUP($A142,'Mutasi Neraca'!$A$3:$S$910,13,FALSE))</f>
        <v>-759683103</v>
      </c>
      <c r="O142" s="42">
        <f>VLOOKUP($A142,'Neraca Unaudited SIMAK'!$A$2:$R$1272,14,FALSE)+IF(ISNA(VLOOKUP($A142,'Mutasi Neraca'!$A$3:$S$910,14,FALSE)),0,VLOOKUP($A142,'Mutasi Neraca'!$A$3:$S$910,14,FALSE))</f>
        <v>-182678176</v>
      </c>
      <c r="P142" s="42">
        <f>VLOOKUP($A142,'Neraca Unaudited SIMAK'!$A$2:$R$1272,15,FALSE)+IF(ISNA(VLOOKUP($A142,'Mutasi Neraca'!$A$3:$S$910,15,FALSE)),0,VLOOKUP($A142,'Mutasi Neraca'!$A$3:$S$910,15,FALSE))</f>
        <v>-51787626</v>
      </c>
      <c r="Q142" s="42">
        <f>VLOOKUP($A142,'Neraca Unaudited SIMAK'!$A$2:$R$1272,16,FALSE)+IF(ISNA(VLOOKUP($A142,'Mutasi Neraca'!$A$3:$S$910,16,FALSE)),0,VLOOKUP($A142,'Mutasi Neraca'!$A$3:$S$910,16,FALSE))</f>
        <v>0</v>
      </c>
      <c r="R142" s="42">
        <f>VLOOKUP($A142,'Neraca Unaudited SIMAK'!$A$2:$R$1272,17,FALSE)+IF(ISNA(VLOOKUP($A142,'Mutasi Neraca'!$A$3:$S$910,17,FALSE)),0,VLOOKUP($A142,'Mutasi Neraca'!$A$3:$S$910,17,FALSE))</f>
        <v>0</v>
      </c>
      <c r="S142" s="42">
        <f t="shared" si="47"/>
        <v>1670639973</v>
      </c>
    </row>
    <row r="143" spans="1:19">
      <c r="A143" s="41" t="s">
        <v>150</v>
      </c>
      <c r="B143" s="41" t="str">
        <f t="shared" si="46"/>
        <v>005010300</v>
      </c>
      <c r="D143" s="42">
        <f>VLOOKUP($A143,'Neraca Unaudited SIMAK'!$A$2:$R$1272,3,FALSE)+IF(ISNA(VLOOKUP($A143,'Mutasi Neraca'!$A$3:$S$910,3,FALSE)),0,VLOOKUP($A143,'Mutasi Neraca'!$A$3:$S$910,3,FALSE))</f>
        <v>690000</v>
      </c>
      <c r="E143" s="42">
        <f>VLOOKUP($A143,'Neraca Unaudited SIMAK'!$A$2:$R$1272,4,FALSE)+IF(ISNA(VLOOKUP($A143,'Mutasi Neraca'!$A$3:$S$910,4,FALSE)),0,VLOOKUP($A143,'Mutasi Neraca'!$A$3:$S$910,4,FALSE))</f>
        <v>2686180000</v>
      </c>
      <c r="F143" s="42">
        <f>VLOOKUP($A143,'Neraca Unaudited SIMAK'!$A$2:$R$1272,5,FALSE)+IF(ISNA(VLOOKUP($A143,'Mutasi Neraca'!$A$3:$S$910,5,FALSE)),0,VLOOKUP($A143,'Mutasi Neraca'!$A$3:$S$910,5,FALSE))</f>
        <v>1709437750</v>
      </c>
      <c r="G143" s="42">
        <f>VLOOKUP($A143,'Neraca Unaudited SIMAK'!$A$2:$R$1272,6,FALSE)+IF(ISNA(VLOOKUP($A143,'Mutasi Neraca'!$A$3:$S$910,6,FALSE)),0,VLOOKUP($A143,'Mutasi Neraca'!$A$3:$S$910,6,FALSE))</f>
        <v>0</v>
      </c>
      <c r="H143" s="42">
        <f>VLOOKUP($A143,'Neraca Unaudited SIMAK'!$A$2:$R$1272,7,FALSE)+IF(ISNA(VLOOKUP($A143,'Mutasi Neraca'!$A$3:$S$910,7,FALSE)),0,VLOOKUP($A143,'Mutasi Neraca'!$A$3:$S$910,7,FALSE))</f>
        <v>0</v>
      </c>
      <c r="I143" s="42">
        <f>VLOOKUP($A143,'Neraca Unaudited SIMAK'!$A$2:$R$1272,8,FALSE)+IF(ISNA(VLOOKUP($A143,'Mutasi Neraca'!$A$3:$S$910,8,FALSE)),0,VLOOKUP($A143,'Mutasi Neraca'!$A$3:$S$910,8,FALSE))</f>
        <v>2828678</v>
      </c>
      <c r="J143" s="42">
        <f>VLOOKUP($A143,'Neraca Unaudited SIMAK'!$A$2:$R$1272,9,FALSE)+IF(ISNA(VLOOKUP($A143,'Mutasi Neraca'!$A$3:$S$910,9,FALSE)),0,VLOOKUP($A143,'Mutasi Neraca'!$A$3:$S$910,9,FALSE))</f>
        <v>0</v>
      </c>
      <c r="K143" s="42">
        <f>VLOOKUP($A143,'Neraca Unaudited SIMAK'!$A$2:$R$1272,10,FALSE)+IF(ISNA(VLOOKUP($A143,'Mutasi Neraca'!$A$3:$S$910,10,FALSE)),0,VLOOKUP($A143,'Mutasi Neraca'!$A$3:$S$910,10,FALSE))</f>
        <v>99220000</v>
      </c>
      <c r="L143" s="42">
        <f>VLOOKUP($A143,'Neraca Unaudited SIMAK'!$A$2:$R$1272,11,FALSE)+IF(ISNA(VLOOKUP($A143,'Mutasi Neraca'!$A$3:$S$910,11,FALSE)),0,VLOOKUP($A143,'Mutasi Neraca'!$A$3:$S$910,11,FALSE))</f>
        <v>128653050</v>
      </c>
      <c r="M143" s="42">
        <f>VLOOKUP($A143,'Neraca Unaudited SIMAK'!$A$2:$R$1272,12,FALSE)+IF(ISNA(VLOOKUP($A143,'Mutasi Neraca'!$A$3:$S$910,12,FALSE)),0,VLOOKUP($A143,'Mutasi Neraca'!$A$3:$S$910,12,FALSE))</f>
        <v>4627009478</v>
      </c>
      <c r="N143" s="42">
        <f>VLOOKUP($A143,'Neraca Unaudited SIMAK'!$A$2:$R$1272,13,FALSE)+IF(ISNA(VLOOKUP($A143,'Mutasi Neraca'!$A$3:$S$910,13,FALSE)),0,VLOOKUP($A143,'Mutasi Neraca'!$A$3:$S$910,13,FALSE))</f>
        <v>-1540662580</v>
      </c>
      <c r="O143" s="42">
        <f>VLOOKUP($A143,'Neraca Unaudited SIMAK'!$A$2:$R$1272,14,FALSE)+IF(ISNA(VLOOKUP($A143,'Mutasi Neraca'!$A$3:$S$910,14,FALSE)),0,VLOOKUP($A143,'Mutasi Neraca'!$A$3:$S$910,14,FALSE))</f>
        <v>0</v>
      </c>
      <c r="P143" s="42">
        <f>VLOOKUP($A143,'Neraca Unaudited SIMAK'!$A$2:$R$1272,15,FALSE)+IF(ISNA(VLOOKUP($A143,'Mutasi Neraca'!$A$3:$S$910,15,FALSE)),0,VLOOKUP($A143,'Mutasi Neraca'!$A$3:$S$910,15,FALSE))</f>
        <v>0</v>
      </c>
      <c r="Q143" s="42">
        <f>VLOOKUP($A143,'Neraca Unaudited SIMAK'!$A$2:$R$1272,16,FALSE)+IF(ISNA(VLOOKUP($A143,'Mutasi Neraca'!$A$3:$S$910,16,FALSE)),0,VLOOKUP($A143,'Mutasi Neraca'!$A$3:$S$910,16,FALSE))</f>
        <v>0</v>
      </c>
      <c r="R143" s="42">
        <f>VLOOKUP($A143,'Neraca Unaudited SIMAK'!$A$2:$R$1272,17,FALSE)+IF(ISNA(VLOOKUP($A143,'Mutasi Neraca'!$A$3:$S$910,17,FALSE)),0,VLOOKUP($A143,'Mutasi Neraca'!$A$3:$S$910,17,FALSE))</f>
        <v>-128653050</v>
      </c>
      <c r="S143" s="42">
        <f t="shared" si="47"/>
        <v>2957693848</v>
      </c>
    </row>
    <row r="144" spans="1:19">
      <c r="A144" s="41" t="s">
        <v>151</v>
      </c>
      <c r="B144" s="41" t="str">
        <f t="shared" si="46"/>
        <v>005010400</v>
      </c>
      <c r="D144" s="42">
        <f>VLOOKUP($A144,'Neraca Unaudited SIMAK'!$A$2:$R$1272,3,FALSE)+IF(ISNA(VLOOKUP($A144,'Mutasi Neraca'!$A$3:$S$910,3,FALSE)),0,VLOOKUP($A144,'Mutasi Neraca'!$A$3:$S$910,3,FALSE))</f>
        <v>20073550</v>
      </c>
      <c r="E144" s="42">
        <f>VLOOKUP($A144,'Neraca Unaudited SIMAK'!$A$2:$R$1272,4,FALSE)+IF(ISNA(VLOOKUP($A144,'Mutasi Neraca'!$A$3:$S$910,4,FALSE)),0,VLOOKUP($A144,'Mutasi Neraca'!$A$3:$S$910,4,FALSE))</f>
        <v>26622419160</v>
      </c>
      <c r="F144" s="42">
        <f>VLOOKUP($A144,'Neraca Unaudited SIMAK'!$A$2:$R$1272,5,FALSE)+IF(ISNA(VLOOKUP($A144,'Mutasi Neraca'!$A$3:$S$910,5,FALSE)),0,VLOOKUP($A144,'Mutasi Neraca'!$A$3:$S$910,5,FALSE))</f>
        <v>4318542407</v>
      </c>
      <c r="G144" s="42">
        <f>VLOOKUP($A144,'Neraca Unaudited SIMAK'!$A$2:$R$1272,6,FALSE)+IF(ISNA(VLOOKUP($A144,'Mutasi Neraca'!$A$3:$S$910,6,FALSE)),0,VLOOKUP($A144,'Mutasi Neraca'!$A$3:$S$910,6,FALSE))</f>
        <v>12221212450</v>
      </c>
      <c r="H144" s="42">
        <f>VLOOKUP($A144,'Neraca Unaudited SIMAK'!$A$2:$R$1272,7,FALSE)+IF(ISNA(VLOOKUP($A144,'Mutasi Neraca'!$A$3:$S$910,7,FALSE)),0,VLOOKUP($A144,'Mutasi Neraca'!$A$3:$S$910,7,FALSE))</f>
        <v>320372000</v>
      </c>
      <c r="I144" s="42">
        <f>VLOOKUP($A144,'Neraca Unaudited SIMAK'!$A$2:$R$1272,8,FALSE)+IF(ISNA(VLOOKUP($A144,'Mutasi Neraca'!$A$3:$S$910,8,FALSE)),0,VLOOKUP($A144,'Mutasi Neraca'!$A$3:$S$910,8,FALSE))</f>
        <v>106697140</v>
      </c>
      <c r="J144" s="42">
        <f>VLOOKUP($A144,'Neraca Unaudited SIMAK'!$A$2:$R$1272,9,FALSE)+IF(ISNA(VLOOKUP($A144,'Mutasi Neraca'!$A$3:$S$910,9,FALSE)),0,VLOOKUP($A144,'Mutasi Neraca'!$A$3:$S$910,9,FALSE))</f>
        <v>0</v>
      </c>
      <c r="K144" s="42">
        <f>VLOOKUP($A144,'Neraca Unaudited SIMAK'!$A$2:$R$1272,10,FALSE)+IF(ISNA(VLOOKUP($A144,'Mutasi Neraca'!$A$3:$S$910,10,FALSE)),0,VLOOKUP($A144,'Mutasi Neraca'!$A$3:$S$910,10,FALSE))</f>
        <v>135273105</v>
      </c>
      <c r="L144" s="42">
        <f>VLOOKUP($A144,'Neraca Unaudited SIMAK'!$A$2:$R$1272,11,FALSE)+IF(ISNA(VLOOKUP($A144,'Mutasi Neraca'!$A$3:$S$910,11,FALSE)),0,VLOOKUP($A144,'Mutasi Neraca'!$A$3:$S$910,11,FALSE))</f>
        <v>73276000</v>
      </c>
      <c r="M144" s="42">
        <f>VLOOKUP($A144,'Neraca Unaudited SIMAK'!$A$2:$R$1272,12,FALSE)+IF(ISNA(VLOOKUP($A144,'Mutasi Neraca'!$A$3:$S$910,12,FALSE)),0,VLOOKUP($A144,'Mutasi Neraca'!$A$3:$S$910,12,FALSE))</f>
        <v>43817865812</v>
      </c>
      <c r="N144" s="42">
        <f>VLOOKUP($A144,'Neraca Unaudited SIMAK'!$A$2:$R$1272,13,FALSE)+IF(ISNA(VLOOKUP($A144,'Mutasi Neraca'!$A$3:$S$910,13,FALSE)),0,VLOOKUP($A144,'Mutasi Neraca'!$A$3:$S$910,13,FALSE))</f>
        <v>-3688068601</v>
      </c>
      <c r="O144" s="42">
        <f>VLOOKUP($A144,'Neraca Unaudited SIMAK'!$A$2:$R$1272,14,FALSE)+IF(ISNA(VLOOKUP($A144,'Mutasi Neraca'!$A$3:$S$910,14,FALSE)),0,VLOOKUP($A144,'Mutasi Neraca'!$A$3:$S$910,14,FALSE))</f>
        <v>-7045199449</v>
      </c>
      <c r="P144" s="42">
        <f>VLOOKUP($A144,'Neraca Unaudited SIMAK'!$A$2:$R$1272,15,FALSE)+IF(ISNA(VLOOKUP($A144,'Mutasi Neraca'!$A$3:$S$910,15,FALSE)),0,VLOOKUP($A144,'Mutasi Neraca'!$A$3:$S$910,15,FALSE))</f>
        <v>-31800990</v>
      </c>
      <c r="Q144" s="42">
        <f>VLOOKUP($A144,'Neraca Unaudited SIMAK'!$A$2:$R$1272,16,FALSE)+IF(ISNA(VLOOKUP($A144,'Mutasi Neraca'!$A$3:$S$910,16,FALSE)),0,VLOOKUP($A144,'Mutasi Neraca'!$A$3:$S$910,16,FALSE))</f>
        <v>0</v>
      </c>
      <c r="R144" s="42">
        <f>VLOOKUP($A144,'Neraca Unaudited SIMAK'!$A$2:$R$1272,17,FALSE)+IF(ISNA(VLOOKUP($A144,'Mutasi Neraca'!$A$3:$S$910,17,FALSE)),0,VLOOKUP($A144,'Mutasi Neraca'!$A$3:$S$910,17,FALSE))</f>
        <v>-73276000</v>
      </c>
      <c r="S144" s="42">
        <f t="shared" si="47"/>
        <v>32979520772</v>
      </c>
    </row>
    <row r="145" spans="1:19">
      <c r="A145" s="41" t="s">
        <v>152</v>
      </c>
      <c r="B145" s="41" t="str">
        <f t="shared" si="46"/>
        <v>005010400</v>
      </c>
      <c r="D145" s="42">
        <f>VLOOKUP($A145,'Neraca Unaudited SIMAK'!$A$2:$R$1272,3,FALSE)+IF(ISNA(VLOOKUP($A145,'Mutasi Neraca'!$A$3:$S$910,3,FALSE)),0,VLOOKUP($A145,'Mutasi Neraca'!$A$3:$S$910,3,FALSE))</f>
        <v>3282450</v>
      </c>
      <c r="E145" s="42">
        <f>VLOOKUP($A145,'Neraca Unaudited SIMAK'!$A$2:$R$1272,4,FALSE)+IF(ISNA(VLOOKUP($A145,'Mutasi Neraca'!$A$3:$S$910,4,FALSE)),0,VLOOKUP($A145,'Mutasi Neraca'!$A$3:$S$910,4,FALSE))</f>
        <v>4767911000</v>
      </c>
      <c r="F145" s="42">
        <f>VLOOKUP($A145,'Neraca Unaudited SIMAK'!$A$2:$R$1272,5,FALSE)+IF(ISNA(VLOOKUP($A145,'Mutasi Neraca'!$A$3:$S$910,5,FALSE)),0,VLOOKUP($A145,'Mutasi Neraca'!$A$3:$S$910,5,FALSE))</f>
        <v>1993352331</v>
      </c>
      <c r="G145" s="42">
        <f>VLOOKUP($A145,'Neraca Unaudited SIMAK'!$A$2:$R$1272,6,FALSE)+IF(ISNA(VLOOKUP($A145,'Mutasi Neraca'!$A$3:$S$910,6,FALSE)),0,VLOOKUP($A145,'Mutasi Neraca'!$A$3:$S$910,6,FALSE))</f>
        <v>3797968241</v>
      </c>
      <c r="H145" s="42">
        <f>VLOOKUP($A145,'Neraca Unaudited SIMAK'!$A$2:$R$1272,7,FALSE)+IF(ISNA(VLOOKUP($A145,'Mutasi Neraca'!$A$3:$S$910,7,FALSE)),0,VLOOKUP($A145,'Mutasi Neraca'!$A$3:$S$910,7,FALSE))</f>
        <v>78769000</v>
      </c>
      <c r="I145" s="42">
        <f>VLOOKUP($A145,'Neraca Unaudited SIMAK'!$A$2:$R$1272,8,FALSE)+IF(ISNA(VLOOKUP($A145,'Mutasi Neraca'!$A$3:$S$910,8,FALSE)),0,VLOOKUP($A145,'Mutasi Neraca'!$A$3:$S$910,8,FALSE))</f>
        <v>31043740</v>
      </c>
      <c r="J145" s="42">
        <f>VLOOKUP($A145,'Neraca Unaudited SIMAK'!$A$2:$R$1272,9,FALSE)+IF(ISNA(VLOOKUP($A145,'Mutasi Neraca'!$A$3:$S$910,9,FALSE)),0,VLOOKUP($A145,'Mutasi Neraca'!$A$3:$S$910,9,FALSE))</f>
        <v>8832141153</v>
      </c>
      <c r="K145" s="42">
        <f>VLOOKUP($A145,'Neraca Unaudited SIMAK'!$A$2:$R$1272,10,FALSE)+IF(ISNA(VLOOKUP($A145,'Mutasi Neraca'!$A$3:$S$910,10,FALSE)),0,VLOOKUP($A145,'Mutasi Neraca'!$A$3:$S$910,10,FALSE))</f>
        <v>0</v>
      </c>
      <c r="L145" s="42">
        <f>VLOOKUP($A145,'Neraca Unaudited SIMAK'!$A$2:$R$1272,11,FALSE)+IF(ISNA(VLOOKUP($A145,'Mutasi Neraca'!$A$3:$S$910,11,FALSE)),0,VLOOKUP($A145,'Mutasi Neraca'!$A$3:$S$910,11,FALSE))</f>
        <v>103768500</v>
      </c>
      <c r="M145" s="42">
        <f>VLOOKUP($A145,'Neraca Unaudited SIMAK'!$A$2:$R$1272,12,FALSE)+IF(ISNA(VLOOKUP($A145,'Mutasi Neraca'!$A$3:$S$910,12,FALSE)),0,VLOOKUP($A145,'Mutasi Neraca'!$A$3:$S$910,12,FALSE))</f>
        <v>19608236415</v>
      </c>
      <c r="N145" s="42">
        <f>VLOOKUP($A145,'Neraca Unaudited SIMAK'!$A$2:$R$1272,13,FALSE)+IF(ISNA(VLOOKUP($A145,'Mutasi Neraca'!$A$3:$S$910,13,FALSE)),0,VLOOKUP($A145,'Mutasi Neraca'!$A$3:$S$910,13,FALSE))</f>
        <v>-1464026451</v>
      </c>
      <c r="O145" s="42">
        <f>VLOOKUP($A145,'Neraca Unaudited SIMAK'!$A$2:$R$1272,14,FALSE)+IF(ISNA(VLOOKUP($A145,'Mutasi Neraca'!$A$3:$S$910,14,FALSE)),0,VLOOKUP($A145,'Mutasi Neraca'!$A$3:$S$910,14,FALSE))</f>
        <v>-2788935808</v>
      </c>
      <c r="P145" s="42">
        <f>VLOOKUP($A145,'Neraca Unaudited SIMAK'!$A$2:$R$1272,15,FALSE)+IF(ISNA(VLOOKUP($A145,'Mutasi Neraca'!$A$3:$S$910,15,FALSE)),0,VLOOKUP($A145,'Mutasi Neraca'!$A$3:$S$910,15,FALSE))</f>
        <v>-11815350</v>
      </c>
      <c r="Q145" s="42">
        <f>VLOOKUP($A145,'Neraca Unaudited SIMAK'!$A$2:$R$1272,16,FALSE)+IF(ISNA(VLOOKUP($A145,'Mutasi Neraca'!$A$3:$S$910,16,FALSE)),0,VLOOKUP($A145,'Mutasi Neraca'!$A$3:$S$910,16,FALSE))</f>
        <v>0</v>
      </c>
      <c r="R145" s="42">
        <f>VLOOKUP($A145,'Neraca Unaudited SIMAK'!$A$2:$R$1272,17,FALSE)+IF(ISNA(VLOOKUP($A145,'Mutasi Neraca'!$A$3:$S$910,17,FALSE)),0,VLOOKUP($A145,'Mutasi Neraca'!$A$3:$S$910,17,FALSE))</f>
        <v>-103768500</v>
      </c>
      <c r="S145" s="42">
        <f t="shared" si="47"/>
        <v>15239690306</v>
      </c>
    </row>
    <row r="146" spans="1:19">
      <c r="A146" s="41" t="s">
        <v>153</v>
      </c>
      <c r="B146" s="41" t="str">
        <f t="shared" si="46"/>
        <v>005010400</v>
      </c>
      <c r="D146" s="42">
        <f>VLOOKUP($A146,'Neraca Unaudited SIMAK'!$A$2:$R$1272,3,FALSE)+IF(ISNA(VLOOKUP($A146,'Mutasi Neraca'!$A$3:$S$910,3,FALSE)),0,VLOOKUP($A146,'Mutasi Neraca'!$A$3:$S$910,3,FALSE))</f>
        <v>5938400</v>
      </c>
      <c r="E146" s="42">
        <f>VLOOKUP($A146,'Neraca Unaudited SIMAK'!$A$2:$R$1272,4,FALSE)+IF(ISNA(VLOOKUP($A146,'Mutasi Neraca'!$A$3:$S$910,4,FALSE)),0,VLOOKUP($A146,'Mutasi Neraca'!$A$3:$S$910,4,FALSE))</f>
        <v>4139640000</v>
      </c>
      <c r="F146" s="42">
        <f>VLOOKUP($A146,'Neraca Unaudited SIMAK'!$A$2:$R$1272,5,FALSE)+IF(ISNA(VLOOKUP($A146,'Mutasi Neraca'!$A$3:$S$910,5,FALSE)),0,VLOOKUP($A146,'Mutasi Neraca'!$A$3:$S$910,5,FALSE))</f>
        <v>1958232042</v>
      </c>
      <c r="G146" s="42">
        <f>VLOOKUP($A146,'Neraca Unaudited SIMAK'!$A$2:$R$1272,6,FALSE)+IF(ISNA(VLOOKUP($A146,'Mutasi Neraca'!$A$3:$S$910,6,FALSE)),0,VLOOKUP($A146,'Mutasi Neraca'!$A$3:$S$910,6,FALSE))</f>
        <v>5187010000</v>
      </c>
      <c r="H146" s="42">
        <f>VLOOKUP($A146,'Neraca Unaudited SIMAK'!$A$2:$R$1272,7,FALSE)+IF(ISNA(VLOOKUP($A146,'Mutasi Neraca'!$A$3:$S$910,7,FALSE)),0,VLOOKUP($A146,'Mutasi Neraca'!$A$3:$S$910,7,FALSE))</f>
        <v>357754000</v>
      </c>
      <c r="I146" s="42">
        <f>VLOOKUP($A146,'Neraca Unaudited SIMAK'!$A$2:$R$1272,8,FALSE)+IF(ISNA(VLOOKUP($A146,'Mutasi Neraca'!$A$3:$S$910,8,FALSE)),0,VLOOKUP($A146,'Mutasi Neraca'!$A$3:$S$910,8,FALSE))</f>
        <v>34503890</v>
      </c>
      <c r="J146" s="42">
        <f>VLOOKUP($A146,'Neraca Unaudited SIMAK'!$A$2:$R$1272,9,FALSE)+IF(ISNA(VLOOKUP($A146,'Mutasi Neraca'!$A$3:$S$910,9,FALSE)),0,VLOOKUP($A146,'Mutasi Neraca'!$A$3:$S$910,9,FALSE))</f>
        <v>0</v>
      </c>
      <c r="K146" s="42">
        <f>VLOOKUP($A146,'Neraca Unaudited SIMAK'!$A$2:$R$1272,10,FALSE)+IF(ISNA(VLOOKUP($A146,'Mutasi Neraca'!$A$3:$S$910,10,FALSE)),0,VLOOKUP($A146,'Mutasi Neraca'!$A$3:$S$910,10,FALSE))</f>
        <v>111237500</v>
      </c>
      <c r="L146" s="42">
        <f>VLOOKUP($A146,'Neraca Unaudited SIMAK'!$A$2:$R$1272,11,FALSE)+IF(ISNA(VLOOKUP($A146,'Mutasi Neraca'!$A$3:$S$910,11,FALSE)),0,VLOOKUP($A146,'Mutasi Neraca'!$A$3:$S$910,11,FALSE))</f>
        <v>0</v>
      </c>
      <c r="M146" s="42">
        <f>VLOOKUP($A146,'Neraca Unaudited SIMAK'!$A$2:$R$1272,12,FALSE)+IF(ISNA(VLOOKUP($A146,'Mutasi Neraca'!$A$3:$S$910,12,FALSE)),0,VLOOKUP($A146,'Mutasi Neraca'!$A$3:$S$910,12,FALSE))</f>
        <v>11794315832</v>
      </c>
      <c r="N146" s="42">
        <f>VLOOKUP($A146,'Neraca Unaudited SIMAK'!$A$2:$R$1272,13,FALSE)+IF(ISNA(VLOOKUP($A146,'Mutasi Neraca'!$A$3:$S$910,13,FALSE)),0,VLOOKUP($A146,'Mutasi Neraca'!$A$3:$S$910,13,FALSE))</f>
        <v>-1647791779</v>
      </c>
      <c r="O146" s="42">
        <f>VLOOKUP($A146,'Neraca Unaudited SIMAK'!$A$2:$R$1272,14,FALSE)+IF(ISNA(VLOOKUP($A146,'Mutasi Neraca'!$A$3:$S$910,14,FALSE)),0,VLOOKUP($A146,'Mutasi Neraca'!$A$3:$S$910,14,FALSE))</f>
        <v>-3359278000</v>
      </c>
      <c r="P146" s="42">
        <f>VLOOKUP($A146,'Neraca Unaudited SIMAK'!$A$2:$R$1272,15,FALSE)+IF(ISNA(VLOOKUP($A146,'Mutasi Neraca'!$A$3:$S$910,15,FALSE)),0,VLOOKUP($A146,'Mutasi Neraca'!$A$3:$S$910,15,FALSE))</f>
        <v>-49191175</v>
      </c>
      <c r="Q146" s="42">
        <f>VLOOKUP($A146,'Neraca Unaudited SIMAK'!$A$2:$R$1272,16,FALSE)+IF(ISNA(VLOOKUP($A146,'Mutasi Neraca'!$A$3:$S$910,16,FALSE)),0,VLOOKUP($A146,'Mutasi Neraca'!$A$3:$S$910,16,FALSE))</f>
        <v>0</v>
      </c>
      <c r="R146" s="42">
        <f>VLOOKUP($A146,'Neraca Unaudited SIMAK'!$A$2:$R$1272,17,FALSE)+IF(ISNA(VLOOKUP($A146,'Mutasi Neraca'!$A$3:$S$910,17,FALSE)),0,VLOOKUP($A146,'Mutasi Neraca'!$A$3:$S$910,17,FALSE))</f>
        <v>0</v>
      </c>
      <c r="S146" s="42">
        <f t="shared" si="47"/>
        <v>6738054878</v>
      </c>
    </row>
    <row r="147" spans="1:19">
      <c r="A147" s="41" t="s">
        <v>154</v>
      </c>
      <c r="B147" s="41" t="str">
        <f t="shared" si="46"/>
        <v>005010400</v>
      </c>
      <c r="D147" s="42">
        <f>VLOOKUP($A147,'Neraca Unaudited SIMAK'!$A$2:$R$1272,3,FALSE)+IF(ISNA(VLOOKUP($A147,'Mutasi Neraca'!$A$3:$S$910,3,FALSE)),0,VLOOKUP($A147,'Mutasi Neraca'!$A$3:$S$910,3,FALSE))</f>
        <v>6205369</v>
      </c>
      <c r="E147" s="42">
        <f>VLOOKUP($A147,'Neraca Unaudited SIMAK'!$A$2:$R$1272,4,FALSE)+IF(ISNA(VLOOKUP($A147,'Mutasi Neraca'!$A$3:$S$910,4,FALSE)),0,VLOOKUP($A147,'Mutasi Neraca'!$A$3:$S$910,4,FALSE))</f>
        <v>6777198000</v>
      </c>
      <c r="F147" s="42">
        <f>VLOOKUP($A147,'Neraca Unaudited SIMAK'!$A$2:$R$1272,5,FALSE)+IF(ISNA(VLOOKUP($A147,'Mutasi Neraca'!$A$3:$S$910,5,FALSE)),0,VLOOKUP($A147,'Mutasi Neraca'!$A$3:$S$910,5,FALSE))</f>
        <v>2737303881</v>
      </c>
      <c r="G147" s="42">
        <f>VLOOKUP($A147,'Neraca Unaudited SIMAK'!$A$2:$R$1272,6,FALSE)+IF(ISNA(VLOOKUP($A147,'Mutasi Neraca'!$A$3:$S$910,6,FALSE)),0,VLOOKUP($A147,'Mutasi Neraca'!$A$3:$S$910,6,FALSE))</f>
        <v>11163512048</v>
      </c>
      <c r="H147" s="42">
        <f>VLOOKUP($A147,'Neraca Unaudited SIMAK'!$A$2:$R$1272,7,FALSE)+IF(ISNA(VLOOKUP($A147,'Mutasi Neraca'!$A$3:$S$910,7,FALSE)),0,VLOOKUP($A147,'Mutasi Neraca'!$A$3:$S$910,7,FALSE))</f>
        <v>0</v>
      </c>
      <c r="I147" s="42">
        <f>VLOOKUP($A147,'Neraca Unaudited SIMAK'!$A$2:$R$1272,8,FALSE)+IF(ISNA(VLOOKUP($A147,'Mutasi Neraca'!$A$3:$S$910,8,FALSE)),0,VLOOKUP($A147,'Mutasi Neraca'!$A$3:$S$910,8,FALSE))</f>
        <v>9038462</v>
      </c>
      <c r="J147" s="42">
        <f>VLOOKUP($A147,'Neraca Unaudited SIMAK'!$A$2:$R$1272,9,FALSE)+IF(ISNA(VLOOKUP($A147,'Mutasi Neraca'!$A$3:$S$910,9,FALSE)),0,VLOOKUP($A147,'Mutasi Neraca'!$A$3:$S$910,9,FALSE))</f>
        <v>0</v>
      </c>
      <c r="K147" s="42">
        <f>VLOOKUP($A147,'Neraca Unaudited SIMAK'!$A$2:$R$1272,10,FALSE)+IF(ISNA(VLOOKUP($A147,'Mutasi Neraca'!$A$3:$S$910,10,FALSE)),0,VLOOKUP($A147,'Mutasi Neraca'!$A$3:$S$910,10,FALSE))</f>
        <v>90450000</v>
      </c>
      <c r="L147" s="42">
        <f>VLOOKUP($A147,'Neraca Unaudited SIMAK'!$A$2:$R$1272,11,FALSE)+IF(ISNA(VLOOKUP($A147,'Mutasi Neraca'!$A$3:$S$910,11,FALSE)),0,VLOOKUP($A147,'Mutasi Neraca'!$A$3:$S$910,11,FALSE))</f>
        <v>96000</v>
      </c>
      <c r="M147" s="42">
        <f>VLOOKUP($A147,'Neraca Unaudited SIMAK'!$A$2:$R$1272,12,FALSE)+IF(ISNA(VLOOKUP($A147,'Mutasi Neraca'!$A$3:$S$910,12,FALSE)),0,VLOOKUP($A147,'Mutasi Neraca'!$A$3:$S$910,12,FALSE))</f>
        <v>20783803760</v>
      </c>
      <c r="N147" s="42">
        <f>VLOOKUP($A147,'Neraca Unaudited SIMAK'!$A$2:$R$1272,13,FALSE)+IF(ISNA(VLOOKUP($A147,'Mutasi Neraca'!$A$3:$S$910,13,FALSE)),0,VLOOKUP($A147,'Mutasi Neraca'!$A$3:$S$910,13,FALSE))</f>
        <v>-2106349937</v>
      </c>
      <c r="O147" s="42">
        <f>VLOOKUP($A147,'Neraca Unaudited SIMAK'!$A$2:$R$1272,14,FALSE)+IF(ISNA(VLOOKUP($A147,'Mutasi Neraca'!$A$3:$S$910,14,FALSE)),0,VLOOKUP($A147,'Mutasi Neraca'!$A$3:$S$910,14,FALSE))</f>
        <v>-3170945423</v>
      </c>
      <c r="P147" s="42">
        <f>VLOOKUP($A147,'Neraca Unaudited SIMAK'!$A$2:$R$1272,15,FALSE)+IF(ISNA(VLOOKUP($A147,'Mutasi Neraca'!$A$3:$S$910,15,FALSE)),0,VLOOKUP($A147,'Mutasi Neraca'!$A$3:$S$910,15,FALSE))</f>
        <v>0</v>
      </c>
      <c r="Q147" s="42">
        <f>VLOOKUP($A147,'Neraca Unaudited SIMAK'!$A$2:$R$1272,16,FALSE)+IF(ISNA(VLOOKUP($A147,'Mutasi Neraca'!$A$3:$S$910,16,FALSE)),0,VLOOKUP($A147,'Mutasi Neraca'!$A$3:$S$910,16,FALSE))</f>
        <v>0</v>
      </c>
      <c r="R147" s="42">
        <f>VLOOKUP($A147,'Neraca Unaudited SIMAK'!$A$2:$R$1272,17,FALSE)+IF(ISNA(VLOOKUP($A147,'Mutasi Neraca'!$A$3:$S$910,17,FALSE)),0,VLOOKUP($A147,'Mutasi Neraca'!$A$3:$S$910,17,FALSE))</f>
        <v>-96000</v>
      </c>
      <c r="S147" s="42">
        <f t="shared" si="47"/>
        <v>15506412400</v>
      </c>
    </row>
    <row r="148" spans="1:19">
      <c r="A148" s="41" t="s">
        <v>155</v>
      </c>
      <c r="B148" s="41" t="str">
        <f t="shared" si="46"/>
        <v>005010400</v>
      </c>
      <c r="D148" s="42">
        <f>VLOOKUP($A148,'Neraca Unaudited SIMAK'!$A$2:$R$1272,3,FALSE)+IF(ISNA(VLOOKUP($A148,'Mutasi Neraca'!$A$3:$S$910,3,FALSE)),0,VLOOKUP($A148,'Mutasi Neraca'!$A$3:$S$910,3,FALSE))</f>
        <v>6151600</v>
      </c>
      <c r="E148" s="42">
        <f>VLOOKUP($A148,'Neraca Unaudited SIMAK'!$A$2:$R$1272,4,FALSE)+IF(ISNA(VLOOKUP($A148,'Mutasi Neraca'!$A$3:$S$910,4,FALSE)),0,VLOOKUP($A148,'Mutasi Neraca'!$A$3:$S$910,4,FALSE))</f>
        <v>4089224000</v>
      </c>
      <c r="F148" s="42">
        <f>VLOOKUP($A148,'Neraca Unaudited SIMAK'!$A$2:$R$1272,5,FALSE)+IF(ISNA(VLOOKUP($A148,'Mutasi Neraca'!$A$3:$S$910,5,FALSE)),0,VLOOKUP($A148,'Mutasi Neraca'!$A$3:$S$910,5,FALSE))</f>
        <v>2018975209</v>
      </c>
      <c r="G148" s="42">
        <f>VLOOKUP($A148,'Neraca Unaudited SIMAK'!$A$2:$R$1272,6,FALSE)+IF(ISNA(VLOOKUP($A148,'Mutasi Neraca'!$A$3:$S$910,6,FALSE)),0,VLOOKUP($A148,'Mutasi Neraca'!$A$3:$S$910,6,FALSE))</f>
        <v>5065365550</v>
      </c>
      <c r="H148" s="42">
        <f>VLOOKUP($A148,'Neraca Unaudited SIMAK'!$A$2:$R$1272,7,FALSE)+IF(ISNA(VLOOKUP($A148,'Mutasi Neraca'!$A$3:$S$910,7,FALSE)),0,VLOOKUP($A148,'Mutasi Neraca'!$A$3:$S$910,7,FALSE))</f>
        <v>29150000</v>
      </c>
      <c r="I148" s="42">
        <f>VLOOKUP($A148,'Neraca Unaudited SIMAK'!$A$2:$R$1272,8,FALSE)+IF(ISNA(VLOOKUP($A148,'Mutasi Neraca'!$A$3:$S$910,8,FALSE)),0,VLOOKUP($A148,'Mutasi Neraca'!$A$3:$S$910,8,FALSE))</f>
        <v>48152062</v>
      </c>
      <c r="J148" s="42">
        <f>VLOOKUP($A148,'Neraca Unaudited SIMAK'!$A$2:$R$1272,9,FALSE)+IF(ISNA(VLOOKUP($A148,'Mutasi Neraca'!$A$3:$S$910,9,FALSE)),0,VLOOKUP($A148,'Mutasi Neraca'!$A$3:$S$910,9,FALSE))</f>
        <v>0</v>
      </c>
      <c r="K148" s="42">
        <f>VLOOKUP($A148,'Neraca Unaudited SIMAK'!$A$2:$R$1272,10,FALSE)+IF(ISNA(VLOOKUP($A148,'Mutasi Neraca'!$A$3:$S$910,10,FALSE)),0,VLOOKUP($A148,'Mutasi Neraca'!$A$3:$S$910,10,FALSE))</f>
        <v>74570000</v>
      </c>
      <c r="L148" s="42">
        <f>VLOOKUP($A148,'Neraca Unaudited SIMAK'!$A$2:$R$1272,11,FALSE)+IF(ISNA(VLOOKUP($A148,'Mutasi Neraca'!$A$3:$S$910,11,FALSE)),0,VLOOKUP($A148,'Mutasi Neraca'!$A$3:$S$910,11,FALSE))</f>
        <v>58921000</v>
      </c>
      <c r="M148" s="42">
        <f>VLOOKUP($A148,'Neraca Unaudited SIMAK'!$A$2:$R$1272,12,FALSE)+IF(ISNA(VLOOKUP($A148,'Mutasi Neraca'!$A$3:$S$910,12,FALSE)),0,VLOOKUP($A148,'Mutasi Neraca'!$A$3:$S$910,12,FALSE))</f>
        <v>11390509421</v>
      </c>
      <c r="N148" s="42">
        <f>VLOOKUP($A148,'Neraca Unaudited SIMAK'!$A$2:$R$1272,13,FALSE)+IF(ISNA(VLOOKUP($A148,'Mutasi Neraca'!$A$3:$S$910,13,FALSE)),0,VLOOKUP($A148,'Mutasi Neraca'!$A$3:$S$910,13,FALSE))</f>
        <v>-1858299014</v>
      </c>
      <c r="O148" s="42">
        <f>VLOOKUP($A148,'Neraca Unaudited SIMAK'!$A$2:$R$1272,14,FALSE)+IF(ISNA(VLOOKUP($A148,'Mutasi Neraca'!$A$3:$S$910,14,FALSE)),0,VLOOKUP($A148,'Mutasi Neraca'!$A$3:$S$910,14,FALSE))</f>
        <v>-3319274028</v>
      </c>
      <c r="P148" s="42">
        <f>VLOOKUP($A148,'Neraca Unaudited SIMAK'!$A$2:$R$1272,15,FALSE)+IF(ISNA(VLOOKUP($A148,'Mutasi Neraca'!$A$3:$S$910,15,FALSE)),0,VLOOKUP($A148,'Mutasi Neraca'!$A$3:$S$910,15,FALSE))</f>
        <v>-18947500</v>
      </c>
      <c r="Q148" s="42">
        <f>VLOOKUP($A148,'Neraca Unaudited SIMAK'!$A$2:$R$1272,16,FALSE)+IF(ISNA(VLOOKUP($A148,'Mutasi Neraca'!$A$3:$S$910,16,FALSE)),0,VLOOKUP($A148,'Mutasi Neraca'!$A$3:$S$910,16,FALSE))</f>
        <v>0</v>
      </c>
      <c r="R148" s="42">
        <f>VLOOKUP($A148,'Neraca Unaudited SIMAK'!$A$2:$R$1272,17,FALSE)+IF(ISNA(VLOOKUP($A148,'Mutasi Neraca'!$A$3:$S$910,17,FALSE)),0,VLOOKUP($A148,'Mutasi Neraca'!$A$3:$S$910,17,FALSE))</f>
        <v>-58921000</v>
      </c>
      <c r="S148" s="42">
        <f t="shared" si="47"/>
        <v>6135067879</v>
      </c>
    </row>
    <row r="149" spans="1:19">
      <c r="A149" s="41" t="s">
        <v>156</v>
      </c>
      <c r="B149" s="41" t="str">
        <f t="shared" si="46"/>
        <v>005010400</v>
      </c>
      <c r="D149" s="42">
        <f>VLOOKUP($A149,'Neraca Unaudited SIMAK'!$A$2:$R$1272,3,FALSE)+IF(ISNA(VLOOKUP($A149,'Mutasi Neraca'!$A$3:$S$910,3,FALSE)),0,VLOOKUP($A149,'Mutasi Neraca'!$A$3:$S$910,3,FALSE))</f>
        <v>10324706</v>
      </c>
      <c r="E149" s="42">
        <f>VLOOKUP($A149,'Neraca Unaudited SIMAK'!$A$2:$R$1272,4,FALSE)+IF(ISNA(VLOOKUP($A149,'Mutasi Neraca'!$A$3:$S$910,4,FALSE)),0,VLOOKUP($A149,'Mutasi Neraca'!$A$3:$S$910,4,FALSE))</f>
        <v>8796858000</v>
      </c>
      <c r="F149" s="42">
        <f>VLOOKUP($A149,'Neraca Unaudited SIMAK'!$A$2:$R$1272,5,FALSE)+IF(ISNA(VLOOKUP($A149,'Mutasi Neraca'!$A$3:$S$910,5,FALSE)),0,VLOOKUP($A149,'Mutasi Neraca'!$A$3:$S$910,5,FALSE))</f>
        <v>5442917941</v>
      </c>
      <c r="G149" s="42">
        <f>VLOOKUP($A149,'Neraca Unaudited SIMAK'!$A$2:$R$1272,6,FALSE)+IF(ISNA(VLOOKUP($A149,'Mutasi Neraca'!$A$3:$S$910,6,FALSE)),0,VLOOKUP($A149,'Mutasi Neraca'!$A$3:$S$910,6,FALSE))</f>
        <v>15451541112</v>
      </c>
      <c r="H149" s="42">
        <f>VLOOKUP($A149,'Neraca Unaudited SIMAK'!$A$2:$R$1272,7,FALSE)+IF(ISNA(VLOOKUP($A149,'Mutasi Neraca'!$A$3:$S$910,7,FALSE)),0,VLOOKUP($A149,'Mutasi Neraca'!$A$3:$S$910,7,FALSE))</f>
        <v>155789484</v>
      </c>
      <c r="I149" s="42">
        <f>VLOOKUP($A149,'Neraca Unaudited SIMAK'!$A$2:$R$1272,8,FALSE)+IF(ISNA(VLOOKUP($A149,'Mutasi Neraca'!$A$3:$S$910,8,FALSE)),0,VLOOKUP($A149,'Mutasi Neraca'!$A$3:$S$910,8,FALSE))</f>
        <v>161830482</v>
      </c>
      <c r="J149" s="42">
        <f>VLOOKUP($A149,'Neraca Unaudited SIMAK'!$A$2:$R$1272,9,FALSE)+IF(ISNA(VLOOKUP($A149,'Mutasi Neraca'!$A$3:$S$910,9,FALSE)),0,VLOOKUP($A149,'Mutasi Neraca'!$A$3:$S$910,9,FALSE))</f>
        <v>0</v>
      </c>
      <c r="K149" s="42">
        <f>VLOOKUP($A149,'Neraca Unaudited SIMAK'!$A$2:$R$1272,10,FALSE)+IF(ISNA(VLOOKUP($A149,'Mutasi Neraca'!$A$3:$S$910,10,FALSE)),0,VLOOKUP($A149,'Mutasi Neraca'!$A$3:$S$910,10,FALSE))</f>
        <v>76347200</v>
      </c>
      <c r="L149" s="42">
        <f>VLOOKUP($A149,'Neraca Unaudited SIMAK'!$A$2:$R$1272,11,FALSE)+IF(ISNA(VLOOKUP($A149,'Mutasi Neraca'!$A$3:$S$910,11,FALSE)),0,VLOOKUP($A149,'Mutasi Neraca'!$A$3:$S$910,11,FALSE))</f>
        <v>0</v>
      </c>
      <c r="M149" s="42">
        <f>VLOOKUP($A149,'Neraca Unaudited SIMAK'!$A$2:$R$1272,12,FALSE)+IF(ISNA(VLOOKUP($A149,'Mutasi Neraca'!$A$3:$S$910,12,FALSE)),0,VLOOKUP($A149,'Mutasi Neraca'!$A$3:$S$910,12,FALSE))</f>
        <v>30095608925</v>
      </c>
      <c r="N149" s="42">
        <f>VLOOKUP($A149,'Neraca Unaudited SIMAK'!$A$2:$R$1272,13,FALSE)+IF(ISNA(VLOOKUP($A149,'Mutasi Neraca'!$A$3:$S$910,13,FALSE)),0,VLOOKUP($A149,'Mutasi Neraca'!$A$3:$S$910,13,FALSE))</f>
        <v>-4740362063</v>
      </c>
      <c r="O149" s="42">
        <f>VLOOKUP($A149,'Neraca Unaudited SIMAK'!$A$2:$R$1272,14,FALSE)+IF(ISNA(VLOOKUP($A149,'Mutasi Neraca'!$A$3:$S$910,14,FALSE)),0,VLOOKUP($A149,'Mutasi Neraca'!$A$3:$S$910,14,FALSE))</f>
        <v>-3670466295</v>
      </c>
      <c r="P149" s="42">
        <f>VLOOKUP($A149,'Neraca Unaudited SIMAK'!$A$2:$R$1272,15,FALSE)+IF(ISNA(VLOOKUP($A149,'Mutasi Neraca'!$A$3:$S$910,15,FALSE)),0,VLOOKUP($A149,'Mutasi Neraca'!$A$3:$S$910,15,FALSE))</f>
        <v>-25597044</v>
      </c>
      <c r="Q149" s="42">
        <f>VLOOKUP($A149,'Neraca Unaudited SIMAK'!$A$2:$R$1272,16,FALSE)+IF(ISNA(VLOOKUP($A149,'Mutasi Neraca'!$A$3:$S$910,16,FALSE)),0,VLOOKUP($A149,'Mutasi Neraca'!$A$3:$S$910,16,FALSE))</f>
        <v>0</v>
      </c>
      <c r="R149" s="42">
        <f>VLOOKUP($A149,'Neraca Unaudited SIMAK'!$A$2:$R$1272,17,FALSE)+IF(ISNA(VLOOKUP($A149,'Mutasi Neraca'!$A$3:$S$910,17,FALSE)),0,VLOOKUP($A149,'Mutasi Neraca'!$A$3:$S$910,17,FALSE))</f>
        <v>0</v>
      </c>
      <c r="S149" s="42">
        <f t="shared" si="47"/>
        <v>21659183523</v>
      </c>
    </row>
    <row r="150" spans="1:19">
      <c r="A150" s="41" t="s">
        <v>157</v>
      </c>
      <c r="B150" s="41" t="str">
        <f t="shared" si="46"/>
        <v>005010400</v>
      </c>
      <c r="D150" s="42">
        <f>VLOOKUP($A150,'Neraca Unaudited SIMAK'!$A$2:$R$1272,3,FALSE)+IF(ISNA(VLOOKUP($A150,'Mutasi Neraca'!$A$3:$S$910,3,FALSE)),0,VLOOKUP($A150,'Mutasi Neraca'!$A$3:$S$910,3,FALSE))</f>
        <v>3779270</v>
      </c>
      <c r="E150" s="42">
        <f>VLOOKUP($A150,'Neraca Unaudited SIMAK'!$A$2:$R$1272,4,FALSE)+IF(ISNA(VLOOKUP($A150,'Mutasi Neraca'!$A$3:$S$910,4,FALSE)),0,VLOOKUP($A150,'Mutasi Neraca'!$A$3:$S$910,4,FALSE))</f>
        <v>9454700000</v>
      </c>
      <c r="F150" s="42">
        <f>VLOOKUP($A150,'Neraca Unaudited SIMAK'!$A$2:$R$1272,5,FALSE)+IF(ISNA(VLOOKUP($A150,'Mutasi Neraca'!$A$3:$S$910,5,FALSE)),0,VLOOKUP($A150,'Mutasi Neraca'!$A$3:$S$910,5,FALSE))</f>
        <v>1971812011</v>
      </c>
      <c r="G150" s="42">
        <f>VLOOKUP($A150,'Neraca Unaudited SIMAK'!$A$2:$R$1272,6,FALSE)+IF(ISNA(VLOOKUP($A150,'Mutasi Neraca'!$A$3:$S$910,6,FALSE)),0,VLOOKUP($A150,'Mutasi Neraca'!$A$3:$S$910,6,FALSE))</f>
        <v>4929803639</v>
      </c>
      <c r="H150" s="42">
        <f>VLOOKUP($A150,'Neraca Unaudited SIMAK'!$A$2:$R$1272,7,FALSE)+IF(ISNA(VLOOKUP($A150,'Mutasi Neraca'!$A$3:$S$910,7,FALSE)),0,VLOOKUP($A150,'Mutasi Neraca'!$A$3:$S$910,7,FALSE))</f>
        <v>211014280</v>
      </c>
      <c r="I150" s="42">
        <f>VLOOKUP($A150,'Neraca Unaudited SIMAK'!$A$2:$R$1272,8,FALSE)+IF(ISNA(VLOOKUP($A150,'Mutasi Neraca'!$A$3:$S$910,8,FALSE)),0,VLOOKUP($A150,'Mutasi Neraca'!$A$3:$S$910,8,FALSE))</f>
        <v>26575170</v>
      </c>
      <c r="J150" s="42">
        <f>VLOOKUP($A150,'Neraca Unaudited SIMAK'!$A$2:$R$1272,9,FALSE)+IF(ISNA(VLOOKUP($A150,'Mutasi Neraca'!$A$3:$S$910,9,FALSE)),0,VLOOKUP($A150,'Mutasi Neraca'!$A$3:$S$910,9,FALSE))</f>
        <v>0</v>
      </c>
      <c r="K150" s="42">
        <f>VLOOKUP($A150,'Neraca Unaudited SIMAK'!$A$2:$R$1272,10,FALSE)+IF(ISNA(VLOOKUP($A150,'Mutasi Neraca'!$A$3:$S$910,10,FALSE)),0,VLOOKUP($A150,'Mutasi Neraca'!$A$3:$S$910,10,FALSE))</f>
        <v>38080000</v>
      </c>
      <c r="L150" s="42">
        <f>VLOOKUP($A150,'Neraca Unaudited SIMAK'!$A$2:$R$1272,11,FALSE)+IF(ISNA(VLOOKUP($A150,'Mutasi Neraca'!$A$3:$S$910,11,FALSE)),0,VLOOKUP($A150,'Mutasi Neraca'!$A$3:$S$910,11,FALSE))</f>
        <v>98000</v>
      </c>
      <c r="M150" s="42">
        <f>VLOOKUP($A150,'Neraca Unaudited SIMAK'!$A$2:$R$1272,12,FALSE)+IF(ISNA(VLOOKUP($A150,'Mutasi Neraca'!$A$3:$S$910,12,FALSE)),0,VLOOKUP($A150,'Mutasi Neraca'!$A$3:$S$910,12,FALSE))</f>
        <v>16635862370</v>
      </c>
      <c r="N150" s="42">
        <f>VLOOKUP($A150,'Neraca Unaudited SIMAK'!$A$2:$R$1272,13,FALSE)+IF(ISNA(VLOOKUP($A150,'Mutasi Neraca'!$A$3:$S$910,13,FALSE)),0,VLOOKUP($A150,'Mutasi Neraca'!$A$3:$S$910,13,FALSE))</f>
        <v>-1758517200</v>
      </c>
      <c r="O150" s="42">
        <f>VLOOKUP($A150,'Neraca Unaudited SIMAK'!$A$2:$R$1272,14,FALSE)+IF(ISNA(VLOOKUP($A150,'Mutasi Neraca'!$A$3:$S$910,14,FALSE)),0,VLOOKUP($A150,'Mutasi Neraca'!$A$3:$S$910,14,FALSE))</f>
        <v>-788871784</v>
      </c>
      <c r="P150" s="42">
        <f>VLOOKUP($A150,'Neraca Unaudited SIMAK'!$A$2:$R$1272,15,FALSE)+IF(ISNA(VLOOKUP($A150,'Mutasi Neraca'!$A$3:$S$910,15,FALSE)),0,VLOOKUP($A150,'Mutasi Neraca'!$A$3:$S$910,15,FALSE))</f>
        <v>-30859210</v>
      </c>
      <c r="Q150" s="42">
        <f>VLOOKUP($A150,'Neraca Unaudited SIMAK'!$A$2:$R$1272,16,FALSE)+IF(ISNA(VLOOKUP($A150,'Mutasi Neraca'!$A$3:$S$910,16,FALSE)),0,VLOOKUP($A150,'Mutasi Neraca'!$A$3:$S$910,16,FALSE))</f>
        <v>0</v>
      </c>
      <c r="R150" s="42">
        <f>VLOOKUP($A150,'Neraca Unaudited SIMAK'!$A$2:$R$1272,17,FALSE)+IF(ISNA(VLOOKUP($A150,'Mutasi Neraca'!$A$3:$S$910,17,FALSE)),0,VLOOKUP($A150,'Mutasi Neraca'!$A$3:$S$910,17,FALSE))</f>
        <v>-98000</v>
      </c>
      <c r="S150" s="42">
        <f t="shared" si="47"/>
        <v>14057516176</v>
      </c>
    </row>
    <row r="151" spans="1:19">
      <c r="A151" s="41" t="s">
        <v>158</v>
      </c>
      <c r="B151" s="41" t="str">
        <f t="shared" si="46"/>
        <v>005010400</v>
      </c>
      <c r="D151" s="42">
        <f>VLOOKUP($A151,'Neraca Unaudited SIMAK'!$A$2:$R$1272,3,FALSE)+IF(ISNA(VLOOKUP($A151,'Mutasi Neraca'!$A$3:$S$910,3,FALSE)),0,VLOOKUP($A151,'Mutasi Neraca'!$A$3:$S$910,3,FALSE))</f>
        <v>2388605</v>
      </c>
      <c r="E151" s="42">
        <f>VLOOKUP($A151,'Neraca Unaudited SIMAK'!$A$2:$R$1272,4,FALSE)+IF(ISNA(VLOOKUP($A151,'Mutasi Neraca'!$A$3:$S$910,4,FALSE)),0,VLOOKUP($A151,'Mutasi Neraca'!$A$3:$S$910,4,FALSE))</f>
        <v>1209235000</v>
      </c>
      <c r="F151" s="42">
        <f>VLOOKUP($A151,'Neraca Unaudited SIMAK'!$A$2:$R$1272,5,FALSE)+IF(ISNA(VLOOKUP($A151,'Mutasi Neraca'!$A$3:$S$910,5,FALSE)),0,VLOOKUP($A151,'Mutasi Neraca'!$A$3:$S$910,5,FALSE))</f>
        <v>1662325750</v>
      </c>
      <c r="G151" s="42">
        <f>VLOOKUP($A151,'Neraca Unaudited SIMAK'!$A$2:$R$1272,6,FALSE)+IF(ISNA(VLOOKUP($A151,'Mutasi Neraca'!$A$3:$S$910,6,FALSE)),0,VLOOKUP($A151,'Mutasi Neraca'!$A$3:$S$910,6,FALSE))</f>
        <v>3175467000</v>
      </c>
      <c r="H151" s="42">
        <f>VLOOKUP($A151,'Neraca Unaudited SIMAK'!$A$2:$R$1272,7,FALSE)+IF(ISNA(VLOOKUP($A151,'Mutasi Neraca'!$A$3:$S$910,7,FALSE)),0,VLOOKUP($A151,'Mutasi Neraca'!$A$3:$S$910,7,FALSE))</f>
        <v>0</v>
      </c>
      <c r="I151" s="42">
        <f>VLOOKUP($A151,'Neraca Unaudited SIMAK'!$A$2:$R$1272,8,FALSE)+IF(ISNA(VLOOKUP($A151,'Mutasi Neraca'!$A$3:$S$910,8,FALSE)),0,VLOOKUP($A151,'Mutasi Neraca'!$A$3:$S$910,8,FALSE))</f>
        <v>18163948</v>
      </c>
      <c r="J151" s="42">
        <f>VLOOKUP($A151,'Neraca Unaudited SIMAK'!$A$2:$R$1272,9,FALSE)+IF(ISNA(VLOOKUP($A151,'Mutasi Neraca'!$A$3:$S$910,9,FALSE)),0,VLOOKUP($A151,'Mutasi Neraca'!$A$3:$S$910,9,FALSE))</f>
        <v>0</v>
      </c>
      <c r="K151" s="42">
        <f>VLOOKUP($A151,'Neraca Unaudited SIMAK'!$A$2:$R$1272,10,FALSE)+IF(ISNA(VLOOKUP($A151,'Mutasi Neraca'!$A$3:$S$910,10,FALSE)),0,VLOOKUP($A151,'Mutasi Neraca'!$A$3:$S$910,10,FALSE))</f>
        <v>0</v>
      </c>
      <c r="L151" s="42">
        <f>VLOOKUP($A151,'Neraca Unaudited SIMAK'!$A$2:$R$1272,11,FALSE)+IF(ISNA(VLOOKUP($A151,'Mutasi Neraca'!$A$3:$S$910,11,FALSE)),0,VLOOKUP($A151,'Mutasi Neraca'!$A$3:$S$910,11,FALSE))</f>
        <v>36264000</v>
      </c>
      <c r="M151" s="42">
        <f>VLOOKUP($A151,'Neraca Unaudited SIMAK'!$A$2:$R$1272,12,FALSE)+IF(ISNA(VLOOKUP($A151,'Mutasi Neraca'!$A$3:$S$910,12,FALSE)),0,VLOOKUP($A151,'Mutasi Neraca'!$A$3:$S$910,12,FALSE))</f>
        <v>6103844303</v>
      </c>
      <c r="N151" s="42">
        <f>VLOOKUP($A151,'Neraca Unaudited SIMAK'!$A$2:$R$1272,13,FALSE)+IF(ISNA(VLOOKUP($A151,'Mutasi Neraca'!$A$3:$S$910,13,FALSE)),0,VLOOKUP($A151,'Mutasi Neraca'!$A$3:$S$910,13,FALSE))</f>
        <v>-1391023696</v>
      </c>
      <c r="O151" s="42">
        <f>VLOOKUP($A151,'Neraca Unaudited SIMAK'!$A$2:$R$1272,14,FALSE)+IF(ISNA(VLOOKUP($A151,'Mutasi Neraca'!$A$3:$S$910,14,FALSE)),0,VLOOKUP($A151,'Mutasi Neraca'!$A$3:$S$910,14,FALSE))</f>
        <v>-797452680</v>
      </c>
      <c r="P151" s="42">
        <f>VLOOKUP($A151,'Neraca Unaudited SIMAK'!$A$2:$R$1272,15,FALSE)+IF(ISNA(VLOOKUP($A151,'Mutasi Neraca'!$A$3:$S$910,15,FALSE)),0,VLOOKUP($A151,'Mutasi Neraca'!$A$3:$S$910,15,FALSE))</f>
        <v>0</v>
      </c>
      <c r="Q151" s="42">
        <f>VLOOKUP($A151,'Neraca Unaudited SIMAK'!$A$2:$R$1272,16,FALSE)+IF(ISNA(VLOOKUP($A151,'Mutasi Neraca'!$A$3:$S$910,16,FALSE)),0,VLOOKUP($A151,'Mutasi Neraca'!$A$3:$S$910,16,FALSE))</f>
        <v>0</v>
      </c>
      <c r="R151" s="42">
        <f>VLOOKUP($A151,'Neraca Unaudited SIMAK'!$A$2:$R$1272,17,FALSE)+IF(ISNA(VLOOKUP($A151,'Mutasi Neraca'!$A$3:$S$910,17,FALSE)),0,VLOOKUP($A151,'Mutasi Neraca'!$A$3:$S$910,17,FALSE))</f>
        <v>-36049000</v>
      </c>
      <c r="S151" s="42">
        <f t="shared" si="47"/>
        <v>3879318927</v>
      </c>
    </row>
    <row r="152" spans="1:19">
      <c r="A152" s="41" t="s">
        <v>159</v>
      </c>
      <c r="B152" s="41" t="str">
        <f t="shared" si="46"/>
        <v>005010400</v>
      </c>
      <c r="D152" s="42">
        <f>VLOOKUP($A152,'Neraca Unaudited SIMAK'!$A$2:$R$1272,3,FALSE)+IF(ISNA(VLOOKUP($A152,'Mutasi Neraca'!$A$3:$S$910,3,FALSE)),0,VLOOKUP($A152,'Mutasi Neraca'!$A$3:$S$910,3,FALSE))</f>
        <v>6488900</v>
      </c>
      <c r="E152" s="42">
        <f>VLOOKUP($A152,'Neraca Unaudited SIMAK'!$A$2:$R$1272,4,FALSE)+IF(ISNA(VLOOKUP($A152,'Mutasi Neraca'!$A$3:$S$910,4,FALSE)),0,VLOOKUP($A152,'Mutasi Neraca'!$A$3:$S$910,4,FALSE))</f>
        <v>1824860000</v>
      </c>
      <c r="F152" s="42">
        <f>VLOOKUP($A152,'Neraca Unaudited SIMAK'!$A$2:$R$1272,5,FALSE)+IF(ISNA(VLOOKUP($A152,'Mutasi Neraca'!$A$3:$S$910,5,FALSE)),0,VLOOKUP($A152,'Mutasi Neraca'!$A$3:$S$910,5,FALSE))</f>
        <v>1823468186</v>
      </c>
      <c r="G152" s="42">
        <f>VLOOKUP($A152,'Neraca Unaudited SIMAK'!$A$2:$R$1272,6,FALSE)+IF(ISNA(VLOOKUP($A152,'Mutasi Neraca'!$A$3:$S$910,6,FALSE)),0,VLOOKUP($A152,'Mutasi Neraca'!$A$3:$S$910,6,FALSE))</f>
        <v>5635972525</v>
      </c>
      <c r="H152" s="42">
        <f>VLOOKUP($A152,'Neraca Unaudited SIMAK'!$A$2:$R$1272,7,FALSE)+IF(ISNA(VLOOKUP($A152,'Mutasi Neraca'!$A$3:$S$910,7,FALSE)),0,VLOOKUP($A152,'Mutasi Neraca'!$A$3:$S$910,7,FALSE))</f>
        <v>0</v>
      </c>
      <c r="I152" s="42">
        <f>VLOOKUP($A152,'Neraca Unaudited SIMAK'!$A$2:$R$1272,8,FALSE)+IF(ISNA(VLOOKUP($A152,'Mutasi Neraca'!$A$3:$S$910,8,FALSE)),0,VLOOKUP($A152,'Mutasi Neraca'!$A$3:$S$910,8,FALSE))</f>
        <v>5463670</v>
      </c>
      <c r="J152" s="42">
        <f>VLOOKUP($A152,'Neraca Unaudited SIMAK'!$A$2:$R$1272,9,FALSE)+IF(ISNA(VLOOKUP($A152,'Mutasi Neraca'!$A$3:$S$910,9,FALSE)),0,VLOOKUP($A152,'Mutasi Neraca'!$A$3:$S$910,9,FALSE))</f>
        <v>0</v>
      </c>
      <c r="K152" s="42">
        <f>VLOOKUP($A152,'Neraca Unaudited SIMAK'!$A$2:$R$1272,10,FALSE)+IF(ISNA(VLOOKUP($A152,'Mutasi Neraca'!$A$3:$S$910,10,FALSE)),0,VLOOKUP($A152,'Mutasi Neraca'!$A$3:$S$910,10,FALSE))</f>
        <v>0</v>
      </c>
      <c r="L152" s="42">
        <f>VLOOKUP($A152,'Neraca Unaudited SIMAK'!$A$2:$R$1272,11,FALSE)+IF(ISNA(VLOOKUP($A152,'Mutasi Neraca'!$A$3:$S$910,11,FALSE)),0,VLOOKUP($A152,'Mutasi Neraca'!$A$3:$S$910,11,FALSE))</f>
        <v>79513500</v>
      </c>
      <c r="M152" s="42">
        <f>VLOOKUP($A152,'Neraca Unaudited SIMAK'!$A$2:$R$1272,12,FALSE)+IF(ISNA(VLOOKUP($A152,'Mutasi Neraca'!$A$3:$S$910,12,FALSE)),0,VLOOKUP($A152,'Mutasi Neraca'!$A$3:$S$910,12,FALSE))</f>
        <v>9375766781</v>
      </c>
      <c r="N152" s="42">
        <f>VLOOKUP($A152,'Neraca Unaudited SIMAK'!$A$2:$R$1272,13,FALSE)+IF(ISNA(VLOOKUP($A152,'Mutasi Neraca'!$A$3:$S$910,13,FALSE)),0,VLOOKUP($A152,'Mutasi Neraca'!$A$3:$S$910,13,FALSE))</f>
        <v>-1307124068</v>
      </c>
      <c r="O152" s="42">
        <f>VLOOKUP($A152,'Neraca Unaudited SIMAK'!$A$2:$R$1272,14,FALSE)+IF(ISNA(VLOOKUP($A152,'Mutasi Neraca'!$A$3:$S$910,14,FALSE)),0,VLOOKUP($A152,'Mutasi Neraca'!$A$3:$S$910,14,FALSE))</f>
        <v>-798766243</v>
      </c>
      <c r="P152" s="42">
        <f>VLOOKUP($A152,'Neraca Unaudited SIMAK'!$A$2:$R$1272,15,FALSE)+IF(ISNA(VLOOKUP($A152,'Mutasi Neraca'!$A$3:$S$910,15,FALSE)),0,VLOOKUP($A152,'Mutasi Neraca'!$A$3:$S$910,15,FALSE))</f>
        <v>0</v>
      </c>
      <c r="Q152" s="42">
        <f>VLOOKUP($A152,'Neraca Unaudited SIMAK'!$A$2:$R$1272,16,FALSE)+IF(ISNA(VLOOKUP($A152,'Mutasi Neraca'!$A$3:$S$910,16,FALSE)),0,VLOOKUP($A152,'Mutasi Neraca'!$A$3:$S$910,16,FALSE))</f>
        <v>0</v>
      </c>
      <c r="R152" s="42">
        <f>VLOOKUP($A152,'Neraca Unaudited SIMAK'!$A$2:$R$1272,17,FALSE)+IF(ISNA(VLOOKUP($A152,'Mutasi Neraca'!$A$3:$S$910,17,FALSE)),0,VLOOKUP($A152,'Mutasi Neraca'!$A$3:$S$910,17,FALSE))</f>
        <v>-78218500</v>
      </c>
      <c r="S152" s="42">
        <f t="shared" si="47"/>
        <v>7191657970</v>
      </c>
    </row>
    <row r="153" spans="1:19">
      <c r="A153" s="41" t="s">
        <v>160</v>
      </c>
      <c r="B153" s="41" t="str">
        <f t="shared" si="46"/>
        <v>005010400</v>
      </c>
      <c r="D153" s="42">
        <f>VLOOKUP($A153,'Neraca Unaudited SIMAK'!$A$2:$R$1272,3,FALSE)+IF(ISNA(VLOOKUP($A153,'Mutasi Neraca'!$A$3:$S$910,3,FALSE)),0,VLOOKUP($A153,'Mutasi Neraca'!$A$3:$S$910,3,FALSE))</f>
        <v>3202075</v>
      </c>
      <c r="E153" s="42">
        <f>VLOOKUP($A153,'Neraca Unaudited SIMAK'!$A$2:$R$1272,4,FALSE)+IF(ISNA(VLOOKUP($A153,'Mutasi Neraca'!$A$3:$S$910,4,FALSE)),0,VLOOKUP($A153,'Mutasi Neraca'!$A$3:$S$910,4,FALSE))</f>
        <v>2184780000</v>
      </c>
      <c r="F153" s="42">
        <f>VLOOKUP($A153,'Neraca Unaudited SIMAK'!$A$2:$R$1272,5,FALSE)+IF(ISNA(VLOOKUP($A153,'Mutasi Neraca'!$A$3:$S$910,5,FALSE)),0,VLOOKUP($A153,'Mutasi Neraca'!$A$3:$S$910,5,FALSE))</f>
        <v>1578448625</v>
      </c>
      <c r="G153" s="42">
        <f>VLOOKUP($A153,'Neraca Unaudited SIMAK'!$A$2:$R$1272,6,FALSE)+IF(ISNA(VLOOKUP($A153,'Mutasi Neraca'!$A$3:$S$910,6,FALSE)),0,VLOOKUP($A153,'Mutasi Neraca'!$A$3:$S$910,6,FALSE))</f>
        <v>5563847545</v>
      </c>
      <c r="H153" s="42">
        <f>VLOOKUP($A153,'Neraca Unaudited SIMAK'!$A$2:$R$1272,7,FALSE)+IF(ISNA(VLOOKUP($A153,'Mutasi Neraca'!$A$3:$S$910,7,FALSE)),0,VLOOKUP($A153,'Mutasi Neraca'!$A$3:$S$910,7,FALSE))</f>
        <v>0</v>
      </c>
      <c r="I153" s="42">
        <f>VLOOKUP($A153,'Neraca Unaudited SIMAK'!$A$2:$R$1272,8,FALSE)+IF(ISNA(VLOOKUP($A153,'Mutasi Neraca'!$A$3:$S$910,8,FALSE)),0,VLOOKUP($A153,'Mutasi Neraca'!$A$3:$S$910,8,FALSE))</f>
        <v>5901670</v>
      </c>
      <c r="J153" s="42">
        <f>VLOOKUP($A153,'Neraca Unaudited SIMAK'!$A$2:$R$1272,9,FALSE)+IF(ISNA(VLOOKUP($A153,'Mutasi Neraca'!$A$3:$S$910,9,FALSE)),0,VLOOKUP($A153,'Mutasi Neraca'!$A$3:$S$910,9,FALSE))</f>
        <v>0</v>
      </c>
      <c r="K153" s="42">
        <f>VLOOKUP($A153,'Neraca Unaudited SIMAK'!$A$2:$R$1272,10,FALSE)+IF(ISNA(VLOOKUP($A153,'Mutasi Neraca'!$A$3:$S$910,10,FALSE)),0,VLOOKUP($A153,'Mutasi Neraca'!$A$3:$S$910,10,FALSE))</f>
        <v>0</v>
      </c>
      <c r="L153" s="42">
        <f>VLOOKUP($A153,'Neraca Unaudited SIMAK'!$A$2:$R$1272,11,FALSE)+IF(ISNA(VLOOKUP($A153,'Mutasi Neraca'!$A$3:$S$910,11,FALSE)),0,VLOOKUP($A153,'Mutasi Neraca'!$A$3:$S$910,11,FALSE))</f>
        <v>1757000</v>
      </c>
      <c r="M153" s="42">
        <f>VLOOKUP($A153,'Neraca Unaudited SIMAK'!$A$2:$R$1272,12,FALSE)+IF(ISNA(VLOOKUP($A153,'Mutasi Neraca'!$A$3:$S$910,12,FALSE)),0,VLOOKUP($A153,'Mutasi Neraca'!$A$3:$S$910,12,FALSE))</f>
        <v>9337936915</v>
      </c>
      <c r="N153" s="42">
        <f>VLOOKUP($A153,'Neraca Unaudited SIMAK'!$A$2:$R$1272,13,FALSE)+IF(ISNA(VLOOKUP($A153,'Mutasi Neraca'!$A$3:$S$910,13,FALSE)),0,VLOOKUP($A153,'Mutasi Neraca'!$A$3:$S$910,13,FALSE))</f>
        <v>-1235111472</v>
      </c>
      <c r="O153" s="42">
        <f>VLOOKUP($A153,'Neraca Unaudited SIMAK'!$A$2:$R$1272,14,FALSE)+IF(ISNA(VLOOKUP($A153,'Mutasi Neraca'!$A$3:$S$910,14,FALSE)),0,VLOOKUP($A153,'Mutasi Neraca'!$A$3:$S$910,14,FALSE))</f>
        <v>-1836475783</v>
      </c>
      <c r="P153" s="42">
        <f>VLOOKUP($A153,'Neraca Unaudited SIMAK'!$A$2:$R$1272,15,FALSE)+IF(ISNA(VLOOKUP($A153,'Mutasi Neraca'!$A$3:$S$910,15,FALSE)),0,VLOOKUP($A153,'Mutasi Neraca'!$A$3:$S$910,15,FALSE))</f>
        <v>0</v>
      </c>
      <c r="Q153" s="42">
        <f>VLOOKUP($A153,'Neraca Unaudited SIMAK'!$A$2:$R$1272,16,FALSE)+IF(ISNA(VLOOKUP($A153,'Mutasi Neraca'!$A$3:$S$910,16,FALSE)),0,VLOOKUP($A153,'Mutasi Neraca'!$A$3:$S$910,16,FALSE))</f>
        <v>0</v>
      </c>
      <c r="R153" s="42">
        <f>VLOOKUP($A153,'Neraca Unaudited SIMAK'!$A$2:$R$1272,17,FALSE)+IF(ISNA(VLOOKUP($A153,'Mutasi Neraca'!$A$3:$S$910,17,FALSE)),0,VLOOKUP($A153,'Mutasi Neraca'!$A$3:$S$910,17,FALSE))</f>
        <v>-1757000</v>
      </c>
      <c r="S153" s="42">
        <f t="shared" si="47"/>
        <v>6264592660</v>
      </c>
    </row>
    <row r="154" spans="1:19">
      <c r="A154" s="41" t="s">
        <v>161</v>
      </c>
      <c r="B154" s="41" t="str">
        <f t="shared" si="46"/>
        <v>005010400</v>
      </c>
      <c r="D154" s="42">
        <f>VLOOKUP($A154,'Neraca Unaudited SIMAK'!$A$2:$R$1272,3,FALSE)+IF(ISNA(VLOOKUP($A154,'Mutasi Neraca'!$A$3:$S$910,3,FALSE)),0,VLOOKUP($A154,'Mutasi Neraca'!$A$3:$S$910,3,FALSE))</f>
        <v>10110975</v>
      </c>
      <c r="E154" s="42">
        <f>VLOOKUP($A154,'Neraca Unaudited SIMAK'!$A$2:$R$1272,4,FALSE)+IF(ISNA(VLOOKUP($A154,'Mutasi Neraca'!$A$3:$S$910,4,FALSE)),0,VLOOKUP($A154,'Mutasi Neraca'!$A$3:$S$910,4,FALSE))</f>
        <v>2829940000</v>
      </c>
      <c r="F154" s="42">
        <f>VLOOKUP($A154,'Neraca Unaudited SIMAK'!$A$2:$R$1272,5,FALSE)+IF(ISNA(VLOOKUP($A154,'Mutasi Neraca'!$A$3:$S$910,5,FALSE)),0,VLOOKUP($A154,'Mutasi Neraca'!$A$3:$S$910,5,FALSE))</f>
        <v>1892816529</v>
      </c>
      <c r="G154" s="42">
        <f>VLOOKUP($A154,'Neraca Unaudited SIMAK'!$A$2:$R$1272,6,FALSE)+IF(ISNA(VLOOKUP($A154,'Mutasi Neraca'!$A$3:$S$910,6,FALSE)),0,VLOOKUP($A154,'Mutasi Neraca'!$A$3:$S$910,6,FALSE))</f>
        <v>5748736625</v>
      </c>
      <c r="H154" s="42">
        <f>VLOOKUP($A154,'Neraca Unaudited SIMAK'!$A$2:$R$1272,7,FALSE)+IF(ISNA(VLOOKUP($A154,'Mutasi Neraca'!$A$3:$S$910,7,FALSE)),0,VLOOKUP($A154,'Mutasi Neraca'!$A$3:$S$910,7,FALSE))</f>
        <v>0</v>
      </c>
      <c r="I154" s="42">
        <f>VLOOKUP($A154,'Neraca Unaudited SIMAK'!$A$2:$R$1272,8,FALSE)+IF(ISNA(VLOOKUP($A154,'Mutasi Neraca'!$A$3:$S$910,8,FALSE)),0,VLOOKUP($A154,'Mutasi Neraca'!$A$3:$S$910,8,FALSE))</f>
        <v>19688948</v>
      </c>
      <c r="J154" s="42">
        <f>VLOOKUP($A154,'Neraca Unaudited SIMAK'!$A$2:$R$1272,9,FALSE)+IF(ISNA(VLOOKUP($A154,'Mutasi Neraca'!$A$3:$S$910,9,FALSE)),0,VLOOKUP($A154,'Mutasi Neraca'!$A$3:$S$910,9,FALSE))</f>
        <v>0</v>
      </c>
      <c r="K154" s="42">
        <f>VLOOKUP($A154,'Neraca Unaudited SIMAK'!$A$2:$R$1272,10,FALSE)+IF(ISNA(VLOOKUP($A154,'Mutasi Neraca'!$A$3:$S$910,10,FALSE)),0,VLOOKUP($A154,'Mutasi Neraca'!$A$3:$S$910,10,FALSE))</f>
        <v>0</v>
      </c>
      <c r="L154" s="42">
        <f>VLOOKUP($A154,'Neraca Unaudited SIMAK'!$A$2:$R$1272,11,FALSE)+IF(ISNA(VLOOKUP($A154,'Mutasi Neraca'!$A$3:$S$910,11,FALSE)),0,VLOOKUP($A154,'Mutasi Neraca'!$A$3:$S$910,11,FALSE))</f>
        <v>38722000</v>
      </c>
      <c r="M154" s="42">
        <f>VLOOKUP($A154,'Neraca Unaudited SIMAK'!$A$2:$R$1272,12,FALSE)+IF(ISNA(VLOOKUP($A154,'Mutasi Neraca'!$A$3:$S$910,12,FALSE)),0,VLOOKUP($A154,'Mutasi Neraca'!$A$3:$S$910,12,FALSE))</f>
        <v>10540015077</v>
      </c>
      <c r="N154" s="42">
        <f>VLOOKUP($A154,'Neraca Unaudited SIMAK'!$A$2:$R$1272,13,FALSE)+IF(ISNA(VLOOKUP($A154,'Mutasi Neraca'!$A$3:$S$910,13,FALSE)),0,VLOOKUP($A154,'Mutasi Neraca'!$A$3:$S$910,13,FALSE))</f>
        <v>-1534037166</v>
      </c>
      <c r="O154" s="42">
        <f>VLOOKUP($A154,'Neraca Unaudited SIMAK'!$A$2:$R$1272,14,FALSE)+IF(ISNA(VLOOKUP($A154,'Mutasi Neraca'!$A$3:$S$910,14,FALSE)),0,VLOOKUP($A154,'Mutasi Neraca'!$A$3:$S$910,14,FALSE))</f>
        <v>-625717729</v>
      </c>
      <c r="P154" s="42">
        <f>VLOOKUP($A154,'Neraca Unaudited SIMAK'!$A$2:$R$1272,15,FALSE)+IF(ISNA(VLOOKUP($A154,'Mutasi Neraca'!$A$3:$S$910,15,FALSE)),0,VLOOKUP($A154,'Mutasi Neraca'!$A$3:$S$910,15,FALSE))</f>
        <v>0</v>
      </c>
      <c r="Q154" s="42">
        <f>VLOOKUP($A154,'Neraca Unaudited SIMAK'!$A$2:$R$1272,16,FALSE)+IF(ISNA(VLOOKUP($A154,'Mutasi Neraca'!$A$3:$S$910,16,FALSE)),0,VLOOKUP($A154,'Mutasi Neraca'!$A$3:$S$910,16,FALSE))</f>
        <v>0</v>
      </c>
      <c r="R154" s="42">
        <f>VLOOKUP($A154,'Neraca Unaudited SIMAK'!$A$2:$R$1272,17,FALSE)+IF(ISNA(VLOOKUP($A154,'Mutasi Neraca'!$A$3:$S$910,17,FALSE)),0,VLOOKUP($A154,'Mutasi Neraca'!$A$3:$S$910,17,FALSE))</f>
        <v>-38722000</v>
      </c>
      <c r="S154" s="42">
        <f t="shared" si="47"/>
        <v>8341538182</v>
      </c>
    </row>
    <row r="155" spans="1:19">
      <c r="A155" s="41" t="s">
        <v>162</v>
      </c>
      <c r="B155" s="41" t="str">
        <f t="shared" si="46"/>
        <v>005010400</v>
      </c>
      <c r="D155" s="42">
        <f>VLOOKUP($A155,'Neraca Unaudited SIMAK'!$A$2:$R$1272,3,FALSE)+IF(ISNA(VLOOKUP($A155,'Mutasi Neraca'!$A$3:$S$910,3,FALSE)),0,VLOOKUP($A155,'Mutasi Neraca'!$A$3:$S$910,3,FALSE))</f>
        <v>15268195</v>
      </c>
      <c r="E155" s="42">
        <f>VLOOKUP($A155,'Neraca Unaudited SIMAK'!$A$2:$R$1272,4,FALSE)+IF(ISNA(VLOOKUP($A155,'Mutasi Neraca'!$A$3:$S$910,4,FALSE)),0,VLOOKUP($A155,'Mutasi Neraca'!$A$3:$S$910,4,FALSE))</f>
        <v>7137800000</v>
      </c>
      <c r="F155" s="42">
        <f>VLOOKUP($A155,'Neraca Unaudited SIMAK'!$A$2:$R$1272,5,FALSE)+IF(ISNA(VLOOKUP($A155,'Mutasi Neraca'!$A$3:$S$910,5,FALSE)),0,VLOOKUP($A155,'Mutasi Neraca'!$A$3:$S$910,5,FALSE))</f>
        <v>4076528022</v>
      </c>
      <c r="G155" s="42">
        <f>VLOOKUP($A155,'Neraca Unaudited SIMAK'!$A$2:$R$1272,6,FALSE)+IF(ISNA(VLOOKUP($A155,'Mutasi Neraca'!$A$3:$S$910,6,FALSE)),0,VLOOKUP($A155,'Mutasi Neraca'!$A$3:$S$910,6,FALSE))</f>
        <v>8122942300</v>
      </c>
      <c r="H155" s="42">
        <f>VLOOKUP($A155,'Neraca Unaudited SIMAK'!$A$2:$R$1272,7,FALSE)+IF(ISNA(VLOOKUP($A155,'Mutasi Neraca'!$A$3:$S$910,7,FALSE)),0,VLOOKUP($A155,'Mutasi Neraca'!$A$3:$S$910,7,FALSE))</f>
        <v>57332000</v>
      </c>
      <c r="I155" s="42">
        <f>VLOOKUP($A155,'Neraca Unaudited SIMAK'!$A$2:$R$1272,8,FALSE)+IF(ISNA(VLOOKUP($A155,'Mutasi Neraca'!$A$3:$S$910,8,FALSE)),0,VLOOKUP($A155,'Mutasi Neraca'!$A$3:$S$910,8,FALSE))</f>
        <v>85654070</v>
      </c>
      <c r="J155" s="42">
        <f>VLOOKUP($A155,'Neraca Unaudited SIMAK'!$A$2:$R$1272,9,FALSE)+IF(ISNA(VLOOKUP($A155,'Mutasi Neraca'!$A$3:$S$910,9,FALSE)),0,VLOOKUP($A155,'Mutasi Neraca'!$A$3:$S$910,9,FALSE))</f>
        <v>0</v>
      </c>
      <c r="K155" s="42">
        <f>VLOOKUP($A155,'Neraca Unaudited SIMAK'!$A$2:$R$1272,10,FALSE)+IF(ISNA(VLOOKUP($A155,'Mutasi Neraca'!$A$3:$S$910,10,FALSE)),0,VLOOKUP($A155,'Mutasi Neraca'!$A$3:$S$910,10,FALSE))</f>
        <v>39625000</v>
      </c>
      <c r="L155" s="42">
        <f>VLOOKUP($A155,'Neraca Unaudited SIMAK'!$A$2:$R$1272,11,FALSE)+IF(ISNA(VLOOKUP($A155,'Mutasi Neraca'!$A$3:$S$910,11,FALSE)),0,VLOOKUP($A155,'Mutasi Neraca'!$A$3:$S$910,11,FALSE))</f>
        <v>0</v>
      </c>
      <c r="M155" s="42">
        <f>VLOOKUP($A155,'Neraca Unaudited SIMAK'!$A$2:$R$1272,12,FALSE)+IF(ISNA(VLOOKUP($A155,'Mutasi Neraca'!$A$3:$S$910,12,FALSE)),0,VLOOKUP($A155,'Mutasi Neraca'!$A$3:$S$910,12,FALSE))</f>
        <v>19535149587</v>
      </c>
      <c r="N155" s="42">
        <f>VLOOKUP($A155,'Neraca Unaudited SIMAK'!$A$2:$R$1272,13,FALSE)+IF(ISNA(VLOOKUP($A155,'Mutasi Neraca'!$A$3:$S$910,13,FALSE)),0,VLOOKUP($A155,'Mutasi Neraca'!$A$3:$S$910,13,FALSE))</f>
        <v>-3315160734</v>
      </c>
      <c r="O155" s="42">
        <f>VLOOKUP($A155,'Neraca Unaudited SIMAK'!$A$2:$R$1272,14,FALSE)+IF(ISNA(VLOOKUP($A155,'Mutasi Neraca'!$A$3:$S$910,14,FALSE)),0,VLOOKUP($A155,'Mutasi Neraca'!$A$3:$S$910,14,FALSE))</f>
        <v>-2023615197</v>
      </c>
      <c r="P155" s="42">
        <f>VLOOKUP($A155,'Neraca Unaudited SIMAK'!$A$2:$R$1272,15,FALSE)+IF(ISNA(VLOOKUP($A155,'Mutasi Neraca'!$A$3:$S$910,15,FALSE)),0,VLOOKUP($A155,'Mutasi Neraca'!$A$3:$S$910,15,FALSE))</f>
        <v>-5239400</v>
      </c>
      <c r="Q155" s="42">
        <f>VLOOKUP($A155,'Neraca Unaudited SIMAK'!$A$2:$R$1272,16,FALSE)+IF(ISNA(VLOOKUP($A155,'Mutasi Neraca'!$A$3:$S$910,16,FALSE)),0,VLOOKUP($A155,'Mutasi Neraca'!$A$3:$S$910,16,FALSE))</f>
        <v>-13825000</v>
      </c>
      <c r="R155" s="42">
        <f>VLOOKUP($A155,'Neraca Unaudited SIMAK'!$A$2:$R$1272,17,FALSE)+IF(ISNA(VLOOKUP($A155,'Mutasi Neraca'!$A$3:$S$910,17,FALSE)),0,VLOOKUP($A155,'Mutasi Neraca'!$A$3:$S$910,17,FALSE))</f>
        <v>0</v>
      </c>
      <c r="S155" s="42">
        <f t="shared" si="47"/>
        <v>14177309256</v>
      </c>
    </row>
    <row r="156" spans="1:19">
      <c r="A156" s="41" t="s">
        <v>163</v>
      </c>
      <c r="B156" s="41" t="str">
        <f t="shared" si="46"/>
        <v>005010400</v>
      </c>
      <c r="D156" s="42">
        <f>VLOOKUP($A156,'Neraca Unaudited SIMAK'!$A$2:$R$1272,3,FALSE)+IF(ISNA(VLOOKUP($A156,'Mutasi Neraca'!$A$3:$S$910,3,FALSE)),0,VLOOKUP($A156,'Mutasi Neraca'!$A$3:$S$910,3,FALSE))</f>
        <v>6176685</v>
      </c>
      <c r="E156" s="42">
        <f>VLOOKUP($A156,'Neraca Unaudited SIMAK'!$A$2:$R$1272,4,FALSE)+IF(ISNA(VLOOKUP($A156,'Mutasi Neraca'!$A$3:$S$910,4,FALSE)),0,VLOOKUP($A156,'Mutasi Neraca'!$A$3:$S$910,4,FALSE))</f>
        <v>9493202000</v>
      </c>
      <c r="F156" s="42">
        <f>VLOOKUP($A156,'Neraca Unaudited SIMAK'!$A$2:$R$1272,5,FALSE)+IF(ISNA(VLOOKUP($A156,'Mutasi Neraca'!$A$3:$S$910,5,FALSE)),0,VLOOKUP($A156,'Mutasi Neraca'!$A$3:$S$910,5,FALSE))</f>
        <v>2588592520</v>
      </c>
      <c r="G156" s="42">
        <f>VLOOKUP($A156,'Neraca Unaudited SIMAK'!$A$2:$R$1272,6,FALSE)+IF(ISNA(VLOOKUP($A156,'Mutasi Neraca'!$A$3:$S$910,6,FALSE)),0,VLOOKUP($A156,'Mutasi Neraca'!$A$3:$S$910,6,FALSE))</f>
        <v>10508748317</v>
      </c>
      <c r="H156" s="42">
        <f>VLOOKUP($A156,'Neraca Unaudited SIMAK'!$A$2:$R$1272,7,FALSE)+IF(ISNA(VLOOKUP($A156,'Mutasi Neraca'!$A$3:$S$910,7,FALSE)),0,VLOOKUP($A156,'Mutasi Neraca'!$A$3:$S$910,7,FALSE))</f>
        <v>9710000</v>
      </c>
      <c r="I156" s="42">
        <f>VLOOKUP($A156,'Neraca Unaudited SIMAK'!$A$2:$R$1272,8,FALSE)+IF(ISNA(VLOOKUP($A156,'Mutasi Neraca'!$A$3:$S$910,8,FALSE)),0,VLOOKUP($A156,'Mutasi Neraca'!$A$3:$S$910,8,FALSE))</f>
        <v>14843978</v>
      </c>
      <c r="J156" s="42">
        <f>VLOOKUP($A156,'Neraca Unaudited SIMAK'!$A$2:$R$1272,9,FALSE)+IF(ISNA(VLOOKUP($A156,'Mutasi Neraca'!$A$3:$S$910,9,FALSE)),0,VLOOKUP($A156,'Mutasi Neraca'!$A$3:$S$910,9,FALSE))</f>
        <v>0</v>
      </c>
      <c r="K156" s="42">
        <f>VLOOKUP($A156,'Neraca Unaudited SIMAK'!$A$2:$R$1272,10,FALSE)+IF(ISNA(VLOOKUP($A156,'Mutasi Neraca'!$A$3:$S$910,10,FALSE)),0,VLOOKUP($A156,'Mutasi Neraca'!$A$3:$S$910,10,FALSE))</f>
        <v>98500000</v>
      </c>
      <c r="L156" s="42">
        <f>VLOOKUP($A156,'Neraca Unaudited SIMAK'!$A$2:$R$1272,11,FALSE)+IF(ISNA(VLOOKUP($A156,'Mutasi Neraca'!$A$3:$S$910,11,FALSE)),0,VLOOKUP($A156,'Mutasi Neraca'!$A$3:$S$910,11,FALSE))</f>
        <v>277428498</v>
      </c>
      <c r="M156" s="42">
        <f>VLOOKUP($A156,'Neraca Unaudited SIMAK'!$A$2:$R$1272,12,FALSE)+IF(ISNA(VLOOKUP($A156,'Mutasi Neraca'!$A$3:$S$910,12,FALSE)),0,VLOOKUP($A156,'Mutasi Neraca'!$A$3:$S$910,12,FALSE))</f>
        <v>22997201998</v>
      </c>
      <c r="N156" s="42">
        <f>VLOOKUP($A156,'Neraca Unaudited SIMAK'!$A$2:$R$1272,13,FALSE)+IF(ISNA(VLOOKUP($A156,'Mutasi Neraca'!$A$3:$S$910,13,FALSE)),0,VLOOKUP($A156,'Mutasi Neraca'!$A$3:$S$910,13,FALSE))</f>
        <v>-1902824937</v>
      </c>
      <c r="O156" s="42">
        <f>VLOOKUP($A156,'Neraca Unaudited SIMAK'!$A$2:$R$1272,14,FALSE)+IF(ISNA(VLOOKUP($A156,'Mutasi Neraca'!$A$3:$S$910,14,FALSE)),0,VLOOKUP($A156,'Mutasi Neraca'!$A$3:$S$910,14,FALSE))</f>
        <v>-1262518596</v>
      </c>
      <c r="P156" s="42">
        <f>VLOOKUP($A156,'Neraca Unaudited SIMAK'!$A$2:$R$1272,15,FALSE)+IF(ISNA(VLOOKUP($A156,'Mutasi Neraca'!$A$3:$S$910,15,FALSE)),0,VLOOKUP($A156,'Mutasi Neraca'!$A$3:$S$910,15,FALSE))</f>
        <v>-9710000</v>
      </c>
      <c r="Q156" s="42">
        <f>VLOOKUP($A156,'Neraca Unaudited SIMAK'!$A$2:$R$1272,16,FALSE)+IF(ISNA(VLOOKUP($A156,'Mutasi Neraca'!$A$3:$S$910,16,FALSE)),0,VLOOKUP($A156,'Mutasi Neraca'!$A$3:$S$910,16,FALSE))</f>
        <v>0</v>
      </c>
      <c r="R156" s="42">
        <f>VLOOKUP($A156,'Neraca Unaudited SIMAK'!$A$2:$R$1272,17,FALSE)+IF(ISNA(VLOOKUP($A156,'Mutasi Neraca'!$A$3:$S$910,17,FALSE)),0,VLOOKUP($A156,'Mutasi Neraca'!$A$3:$S$910,17,FALSE))</f>
        <v>-277428498</v>
      </c>
      <c r="S156" s="42">
        <f t="shared" si="47"/>
        <v>19544719967</v>
      </c>
    </row>
    <row r="157" spans="1:19">
      <c r="A157" s="41" t="s">
        <v>164</v>
      </c>
      <c r="B157" s="41" t="str">
        <f t="shared" si="46"/>
        <v>005010400</v>
      </c>
      <c r="D157" s="42">
        <f>VLOOKUP($A157,'Neraca Unaudited SIMAK'!$A$2:$R$1272,3,FALSE)+IF(ISNA(VLOOKUP($A157,'Mutasi Neraca'!$A$3:$S$910,3,FALSE)),0,VLOOKUP($A157,'Mutasi Neraca'!$A$3:$S$910,3,FALSE))</f>
        <v>583625</v>
      </c>
      <c r="E157" s="42">
        <f>VLOOKUP($A157,'Neraca Unaudited SIMAK'!$A$2:$R$1272,4,FALSE)+IF(ISNA(VLOOKUP($A157,'Mutasi Neraca'!$A$3:$S$910,4,FALSE)),0,VLOOKUP($A157,'Mutasi Neraca'!$A$3:$S$910,4,FALSE))</f>
        <v>5430331000</v>
      </c>
      <c r="F157" s="42">
        <f>VLOOKUP($A157,'Neraca Unaudited SIMAK'!$A$2:$R$1272,5,FALSE)+IF(ISNA(VLOOKUP($A157,'Mutasi Neraca'!$A$3:$S$910,5,FALSE)),0,VLOOKUP($A157,'Mutasi Neraca'!$A$3:$S$910,5,FALSE))</f>
        <v>2588476430</v>
      </c>
      <c r="G157" s="42">
        <f>VLOOKUP($A157,'Neraca Unaudited SIMAK'!$A$2:$R$1272,6,FALSE)+IF(ISNA(VLOOKUP($A157,'Mutasi Neraca'!$A$3:$S$910,6,FALSE)),0,VLOOKUP($A157,'Mutasi Neraca'!$A$3:$S$910,6,FALSE))</f>
        <v>6005632357</v>
      </c>
      <c r="H157" s="42">
        <f>VLOOKUP($A157,'Neraca Unaudited SIMAK'!$A$2:$R$1272,7,FALSE)+IF(ISNA(VLOOKUP($A157,'Mutasi Neraca'!$A$3:$S$910,7,FALSE)),0,VLOOKUP($A157,'Mutasi Neraca'!$A$3:$S$910,7,FALSE))</f>
        <v>0</v>
      </c>
      <c r="I157" s="42">
        <f>VLOOKUP($A157,'Neraca Unaudited SIMAK'!$A$2:$R$1272,8,FALSE)+IF(ISNA(VLOOKUP($A157,'Mutasi Neraca'!$A$3:$S$910,8,FALSE)),0,VLOOKUP($A157,'Mutasi Neraca'!$A$3:$S$910,8,FALSE))</f>
        <v>1855400</v>
      </c>
      <c r="J157" s="42">
        <f>VLOOKUP($A157,'Neraca Unaudited SIMAK'!$A$2:$R$1272,9,FALSE)+IF(ISNA(VLOOKUP($A157,'Mutasi Neraca'!$A$3:$S$910,9,FALSE)),0,VLOOKUP($A157,'Mutasi Neraca'!$A$3:$S$910,9,FALSE))</f>
        <v>0</v>
      </c>
      <c r="K157" s="42">
        <f>VLOOKUP($A157,'Neraca Unaudited SIMAK'!$A$2:$R$1272,10,FALSE)+IF(ISNA(VLOOKUP($A157,'Mutasi Neraca'!$A$3:$S$910,10,FALSE)),0,VLOOKUP($A157,'Mutasi Neraca'!$A$3:$S$910,10,FALSE))</f>
        <v>81950000</v>
      </c>
      <c r="L157" s="42">
        <f>VLOOKUP($A157,'Neraca Unaudited SIMAK'!$A$2:$R$1272,11,FALSE)+IF(ISNA(VLOOKUP($A157,'Mutasi Neraca'!$A$3:$S$910,11,FALSE)),0,VLOOKUP($A157,'Mutasi Neraca'!$A$3:$S$910,11,FALSE))</f>
        <v>58875000</v>
      </c>
      <c r="M157" s="42">
        <f>VLOOKUP($A157,'Neraca Unaudited SIMAK'!$A$2:$R$1272,12,FALSE)+IF(ISNA(VLOOKUP($A157,'Mutasi Neraca'!$A$3:$S$910,12,FALSE)),0,VLOOKUP($A157,'Mutasi Neraca'!$A$3:$S$910,12,FALSE))</f>
        <v>14167703812</v>
      </c>
      <c r="N157" s="42">
        <f>VLOOKUP($A157,'Neraca Unaudited SIMAK'!$A$2:$R$1272,13,FALSE)+IF(ISNA(VLOOKUP($A157,'Mutasi Neraca'!$A$3:$S$910,13,FALSE)),0,VLOOKUP($A157,'Mutasi Neraca'!$A$3:$S$910,13,FALSE))</f>
        <v>-2343642688</v>
      </c>
      <c r="O157" s="42">
        <f>VLOOKUP($A157,'Neraca Unaudited SIMAK'!$A$2:$R$1272,14,FALSE)+IF(ISNA(VLOOKUP($A157,'Mutasi Neraca'!$A$3:$S$910,14,FALSE)),0,VLOOKUP($A157,'Mutasi Neraca'!$A$3:$S$910,14,FALSE))</f>
        <v>-954303504</v>
      </c>
      <c r="P157" s="42">
        <f>VLOOKUP($A157,'Neraca Unaudited SIMAK'!$A$2:$R$1272,15,FALSE)+IF(ISNA(VLOOKUP($A157,'Mutasi Neraca'!$A$3:$S$910,15,FALSE)),0,VLOOKUP($A157,'Mutasi Neraca'!$A$3:$S$910,15,FALSE))</f>
        <v>0</v>
      </c>
      <c r="Q157" s="42">
        <f>VLOOKUP($A157,'Neraca Unaudited SIMAK'!$A$2:$R$1272,16,FALSE)+IF(ISNA(VLOOKUP($A157,'Mutasi Neraca'!$A$3:$S$910,16,FALSE)),0,VLOOKUP($A157,'Mutasi Neraca'!$A$3:$S$910,16,FALSE))</f>
        <v>0</v>
      </c>
      <c r="R157" s="42">
        <f>VLOOKUP($A157,'Neraca Unaudited SIMAK'!$A$2:$R$1272,17,FALSE)+IF(ISNA(VLOOKUP($A157,'Mutasi Neraca'!$A$3:$S$910,17,FALSE)),0,VLOOKUP($A157,'Mutasi Neraca'!$A$3:$S$910,17,FALSE))</f>
        <v>-58875000</v>
      </c>
      <c r="S157" s="42">
        <f t="shared" si="47"/>
        <v>10810882620</v>
      </c>
    </row>
    <row r="158" spans="1:19">
      <c r="A158" s="41" t="s">
        <v>165</v>
      </c>
      <c r="B158" s="41" t="str">
        <f t="shared" si="46"/>
        <v>005010500</v>
      </c>
      <c r="D158" s="42">
        <f>VLOOKUP($A158,'Neraca Unaudited SIMAK'!$A$2:$R$1272,3,FALSE)+IF(ISNA(VLOOKUP($A158,'Mutasi Neraca'!$A$3:$S$910,3,FALSE)),0,VLOOKUP($A158,'Mutasi Neraca'!$A$3:$S$910,3,FALSE))</f>
        <v>22931694</v>
      </c>
      <c r="E158" s="42">
        <f>VLOOKUP($A158,'Neraca Unaudited SIMAK'!$A$2:$R$1272,4,FALSE)+IF(ISNA(VLOOKUP($A158,'Mutasi Neraca'!$A$3:$S$910,4,FALSE)),0,VLOOKUP($A158,'Mutasi Neraca'!$A$3:$S$910,4,FALSE))</f>
        <v>29702968562</v>
      </c>
      <c r="F158" s="42">
        <f>VLOOKUP($A158,'Neraca Unaudited SIMAK'!$A$2:$R$1272,5,FALSE)+IF(ISNA(VLOOKUP($A158,'Mutasi Neraca'!$A$3:$S$910,5,FALSE)),0,VLOOKUP($A158,'Mutasi Neraca'!$A$3:$S$910,5,FALSE))</f>
        <v>7300121107</v>
      </c>
      <c r="G158" s="42">
        <f>VLOOKUP($A158,'Neraca Unaudited SIMAK'!$A$2:$R$1272,6,FALSE)+IF(ISNA(VLOOKUP($A158,'Mutasi Neraca'!$A$3:$S$910,6,FALSE)),0,VLOOKUP($A158,'Mutasi Neraca'!$A$3:$S$910,6,FALSE))</f>
        <v>12925403289</v>
      </c>
      <c r="H158" s="42">
        <f>VLOOKUP($A158,'Neraca Unaudited SIMAK'!$A$2:$R$1272,7,FALSE)+IF(ISNA(VLOOKUP($A158,'Mutasi Neraca'!$A$3:$S$910,7,FALSE)),0,VLOOKUP($A158,'Mutasi Neraca'!$A$3:$S$910,7,FALSE))</f>
        <v>0</v>
      </c>
      <c r="I158" s="42">
        <f>VLOOKUP($A158,'Neraca Unaudited SIMAK'!$A$2:$R$1272,8,FALSE)+IF(ISNA(VLOOKUP($A158,'Mutasi Neraca'!$A$3:$S$910,8,FALSE)),0,VLOOKUP($A158,'Mutasi Neraca'!$A$3:$S$910,8,FALSE))</f>
        <v>73221862</v>
      </c>
      <c r="J158" s="42">
        <f>VLOOKUP($A158,'Neraca Unaudited SIMAK'!$A$2:$R$1272,9,FALSE)+IF(ISNA(VLOOKUP($A158,'Mutasi Neraca'!$A$3:$S$910,9,FALSE)),0,VLOOKUP($A158,'Mutasi Neraca'!$A$3:$S$910,9,FALSE))</f>
        <v>0</v>
      </c>
      <c r="K158" s="42">
        <f>VLOOKUP($A158,'Neraca Unaudited SIMAK'!$A$2:$R$1272,10,FALSE)+IF(ISNA(VLOOKUP($A158,'Mutasi Neraca'!$A$3:$S$910,10,FALSE)),0,VLOOKUP($A158,'Mutasi Neraca'!$A$3:$S$910,10,FALSE))</f>
        <v>0</v>
      </c>
      <c r="L158" s="42">
        <f>VLOOKUP($A158,'Neraca Unaudited SIMAK'!$A$2:$R$1272,11,FALSE)+IF(ISNA(VLOOKUP($A158,'Mutasi Neraca'!$A$3:$S$910,11,FALSE)),0,VLOOKUP($A158,'Mutasi Neraca'!$A$3:$S$910,11,FALSE))</f>
        <v>0</v>
      </c>
      <c r="M158" s="42">
        <f>VLOOKUP($A158,'Neraca Unaudited SIMAK'!$A$2:$R$1272,12,FALSE)+IF(ISNA(VLOOKUP($A158,'Mutasi Neraca'!$A$3:$S$910,12,FALSE)),0,VLOOKUP($A158,'Mutasi Neraca'!$A$3:$S$910,12,FALSE))</f>
        <v>50024646514</v>
      </c>
      <c r="N158" s="42">
        <f>VLOOKUP($A158,'Neraca Unaudited SIMAK'!$A$2:$R$1272,13,FALSE)+IF(ISNA(VLOOKUP($A158,'Mutasi Neraca'!$A$3:$S$910,13,FALSE)),0,VLOOKUP($A158,'Mutasi Neraca'!$A$3:$S$910,13,FALSE))</f>
        <v>-6581579573</v>
      </c>
      <c r="O158" s="42">
        <f>VLOOKUP($A158,'Neraca Unaudited SIMAK'!$A$2:$R$1272,14,FALSE)+IF(ISNA(VLOOKUP($A158,'Mutasi Neraca'!$A$3:$S$910,14,FALSE)),0,VLOOKUP($A158,'Mutasi Neraca'!$A$3:$S$910,14,FALSE))</f>
        <v>-3629103768</v>
      </c>
      <c r="P158" s="42">
        <f>VLOOKUP($A158,'Neraca Unaudited SIMAK'!$A$2:$R$1272,15,FALSE)+IF(ISNA(VLOOKUP($A158,'Mutasi Neraca'!$A$3:$S$910,15,FALSE)),0,VLOOKUP($A158,'Mutasi Neraca'!$A$3:$S$910,15,FALSE))</f>
        <v>0</v>
      </c>
      <c r="Q158" s="42">
        <f>VLOOKUP($A158,'Neraca Unaudited SIMAK'!$A$2:$R$1272,16,FALSE)+IF(ISNA(VLOOKUP($A158,'Mutasi Neraca'!$A$3:$S$910,16,FALSE)),0,VLOOKUP($A158,'Mutasi Neraca'!$A$3:$S$910,16,FALSE))</f>
        <v>-1500000</v>
      </c>
      <c r="R158" s="42">
        <f>VLOOKUP($A158,'Neraca Unaudited SIMAK'!$A$2:$R$1272,17,FALSE)+IF(ISNA(VLOOKUP($A158,'Mutasi Neraca'!$A$3:$S$910,17,FALSE)),0,VLOOKUP($A158,'Mutasi Neraca'!$A$3:$S$910,17,FALSE))</f>
        <v>0</v>
      </c>
      <c r="S158" s="42">
        <f t="shared" si="47"/>
        <v>39812463173</v>
      </c>
    </row>
    <row r="159" spans="1:19">
      <c r="A159" s="41" t="s">
        <v>166</v>
      </c>
      <c r="B159" s="41" t="str">
        <f t="shared" si="46"/>
        <v>005010500</v>
      </c>
      <c r="D159" s="42">
        <f>VLOOKUP($A159,'Neraca Unaudited SIMAK'!$A$2:$R$1272,3,FALSE)+IF(ISNA(VLOOKUP($A159,'Mutasi Neraca'!$A$3:$S$910,3,FALSE)),0,VLOOKUP($A159,'Mutasi Neraca'!$A$3:$S$910,3,FALSE))</f>
        <v>3206500</v>
      </c>
      <c r="E159" s="42">
        <f>VLOOKUP($A159,'Neraca Unaudited SIMAK'!$A$2:$R$1272,4,FALSE)+IF(ISNA(VLOOKUP($A159,'Mutasi Neraca'!$A$3:$S$910,4,FALSE)),0,VLOOKUP($A159,'Mutasi Neraca'!$A$3:$S$910,4,FALSE))</f>
        <v>42248138890</v>
      </c>
      <c r="F159" s="42">
        <f>VLOOKUP($A159,'Neraca Unaudited SIMAK'!$A$2:$R$1272,5,FALSE)+IF(ISNA(VLOOKUP($A159,'Mutasi Neraca'!$A$3:$S$910,5,FALSE)),0,VLOOKUP($A159,'Mutasi Neraca'!$A$3:$S$910,5,FALSE))</f>
        <v>6510871936</v>
      </c>
      <c r="G159" s="42">
        <f>VLOOKUP($A159,'Neraca Unaudited SIMAK'!$A$2:$R$1272,6,FALSE)+IF(ISNA(VLOOKUP($A159,'Mutasi Neraca'!$A$3:$S$910,6,FALSE)),0,VLOOKUP($A159,'Mutasi Neraca'!$A$3:$S$910,6,FALSE))</f>
        <v>48142880959</v>
      </c>
      <c r="H159" s="42">
        <f>VLOOKUP($A159,'Neraca Unaudited SIMAK'!$A$2:$R$1272,7,FALSE)+IF(ISNA(VLOOKUP($A159,'Mutasi Neraca'!$A$3:$S$910,7,FALSE)),0,VLOOKUP($A159,'Mutasi Neraca'!$A$3:$S$910,7,FALSE))</f>
        <v>103025375</v>
      </c>
      <c r="I159" s="42">
        <f>VLOOKUP($A159,'Neraca Unaudited SIMAK'!$A$2:$R$1272,8,FALSE)+IF(ISNA(VLOOKUP($A159,'Mutasi Neraca'!$A$3:$S$910,8,FALSE)),0,VLOOKUP($A159,'Mutasi Neraca'!$A$3:$S$910,8,FALSE))</f>
        <v>20998612</v>
      </c>
      <c r="J159" s="42">
        <f>VLOOKUP($A159,'Neraca Unaudited SIMAK'!$A$2:$R$1272,9,FALSE)+IF(ISNA(VLOOKUP($A159,'Mutasi Neraca'!$A$3:$S$910,9,FALSE)),0,VLOOKUP($A159,'Mutasi Neraca'!$A$3:$S$910,9,FALSE))</f>
        <v>882010600</v>
      </c>
      <c r="K159" s="42">
        <f>VLOOKUP($A159,'Neraca Unaudited SIMAK'!$A$2:$R$1272,10,FALSE)+IF(ISNA(VLOOKUP($A159,'Mutasi Neraca'!$A$3:$S$910,10,FALSE)),0,VLOOKUP($A159,'Mutasi Neraca'!$A$3:$S$910,10,FALSE))</f>
        <v>0</v>
      </c>
      <c r="L159" s="42">
        <f>VLOOKUP($A159,'Neraca Unaudited SIMAK'!$A$2:$R$1272,11,FALSE)+IF(ISNA(VLOOKUP($A159,'Mutasi Neraca'!$A$3:$S$910,11,FALSE)),0,VLOOKUP($A159,'Mutasi Neraca'!$A$3:$S$910,11,FALSE))</f>
        <v>223689067</v>
      </c>
      <c r="M159" s="42">
        <f>VLOOKUP($A159,'Neraca Unaudited SIMAK'!$A$2:$R$1272,12,FALSE)+IF(ISNA(VLOOKUP($A159,'Mutasi Neraca'!$A$3:$S$910,12,FALSE)),0,VLOOKUP($A159,'Mutasi Neraca'!$A$3:$S$910,12,FALSE))</f>
        <v>98134821939</v>
      </c>
      <c r="N159" s="42">
        <f>VLOOKUP($A159,'Neraca Unaudited SIMAK'!$A$2:$R$1272,13,FALSE)+IF(ISNA(VLOOKUP($A159,'Mutasi Neraca'!$A$3:$S$910,13,FALSE)),0,VLOOKUP($A159,'Mutasi Neraca'!$A$3:$S$910,13,FALSE))</f>
        <v>-6019918539</v>
      </c>
      <c r="O159" s="42">
        <f>VLOOKUP($A159,'Neraca Unaudited SIMAK'!$A$2:$R$1272,14,FALSE)+IF(ISNA(VLOOKUP($A159,'Mutasi Neraca'!$A$3:$S$910,14,FALSE)),0,VLOOKUP($A159,'Mutasi Neraca'!$A$3:$S$910,14,FALSE))</f>
        <v>-4820059347</v>
      </c>
      <c r="P159" s="42">
        <f>VLOOKUP($A159,'Neraca Unaudited SIMAK'!$A$2:$R$1272,15,FALSE)+IF(ISNA(VLOOKUP($A159,'Mutasi Neraca'!$A$3:$S$910,15,FALSE)),0,VLOOKUP($A159,'Mutasi Neraca'!$A$3:$S$910,15,FALSE))</f>
        <v>-98620113</v>
      </c>
      <c r="Q159" s="42">
        <f>VLOOKUP($A159,'Neraca Unaudited SIMAK'!$A$2:$R$1272,16,FALSE)+IF(ISNA(VLOOKUP($A159,'Mutasi Neraca'!$A$3:$S$910,16,FALSE)),0,VLOOKUP($A159,'Mutasi Neraca'!$A$3:$S$910,16,FALSE))</f>
        <v>0</v>
      </c>
      <c r="R159" s="42">
        <f>VLOOKUP($A159,'Neraca Unaudited SIMAK'!$A$2:$R$1272,17,FALSE)+IF(ISNA(VLOOKUP($A159,'Mutasi Neraca'!$A$3:$S$910,17,FALSE)),0,VLOOKUP($A159,'Mutasi Neraca'!$A$3:$S$910,17,FALSE))</f>
        <v>-221639067</v>
      </c>
      <c r="S159" s="42">
        <f t="shared" si="47"/>
        <v>86974584873</v>
      </c>
    </row>
    <row r="160" spans="1:19">
      <c r="A160" s="41" t="s">
        <v>167</v>
      </c>
      <c r="B160" s="41" t="str">
        <f t="shared" si="46"/>
        <v>005010500</v>
      </c>
      <c r="D160" s="42">
        <f>VLOOKUP($A160,'Neraca Unaudited SIMAK'!$A$2:$R$1272,3,FALSE)+IF(ISNA(VLOOKUP($A160,'Mutasi Neraca'!$A$3:$S$910,3,FALSE)),0,VLOOKUP($A160,'Mutasi Neraca'!$A$3:$S$910,3,FALSE))</f>
        <v>631000</v>
      </c>
      <c r="E160" s="42">
        <f>VLOOKUP($A160,'Neraca Unaudited SIMAK'!$A$2:$R$1272,4,FALSE)+IF(ISNA(VLOOKUP($A160,'Mutasi Neraca'!$A$3:$S$910,4,FALSE)),0,VLOOKUP($A160,'Mutasi Neraca'!$A$3:$S$910,4,FALSE))</f>
        <v>6811411000</v>
      </c>
      <c r="F160" s="42">
        <f>VLOOKUP($A160,'Neraca Unaudited SIMAK'!$A$2:$R$1272,5,FALSE)+IF(ISNA(VLOOKUP($A160,'Mutasi Neraca'!$A$3:$S$910,5,FALSE)),0,VLOOKUP($A160,'Mutasi Neraca'!$A$3:$S$910,5,FALSE))</f>
        <v>2680922320</v>
      </c>
      <c r="G160" s="42">
        <f>VLOOKUP($A160,'Neraca Unaudited SIMAK'!$A$2:$R$1272,6,FALSE)+IF(ISNA(VLOOKUP($A160,'Mutasi Neraca'!$A$3:$S$910,6,FALSE)),0,VLOOKUP($A160,'Mutasi Neraca'!$A$3:$S$910,6,FALSE))</f>
        <v>6849854378</v>
      </c>
      <c r="H160" s="42">
        <f>VLOOKUP($A160,'Neraca Unaudited SIMAK'!$A$2:$R$1272,7,FALSE)+IF(ISNA(VLOOKUP($A160,'Mutasi Neraca'!$A$3:$S$910,7,FALSE)),0,VLOOKUP($A160,'Mutasi Neraca'!$A$3:$S$910,7,FALSE))</f>
        <v>0</v>
      </c>
      <c r="I160" s="42">
        <f>VLOOKUP($A160,'Neraca Unaudited SIMAK'!$A$2:$R$1272,8,FALSE)+IF(ISNA(VLOOKUP($A160,'Mutasi Neraca'!$A$3:$S$910,8,FALSE)),0,VLOOKUP($A160,'Mutasi Neraca'!$A$3:$S$910,8,FALSE))</f>
        <v>9183739</v>
      </c>
      <c r="J160" s="42">
        <f>VLOOKUP($A160,'Neraca Unaudited SIMAK'!$A$2:$R$1272,9,FALSE)+IF(ISNA(VLOOKUP($A160,'Mutasi Neraca'!$A$3:$S$910,9,FALSE)),0,VLOOKUP($A160,'Mutasi Neraca'!$A$3:$S$910,9,FALSE))</f>
        <v>0</v>
      </c>
      <c r="K160" s="42">
        <f>VLOOKUP($A160,'Neraca Unaudited SIMAK'!$A$2:$R$1272,10,FALSE)+IF(ISNA(VLOOKUP($A160,'Mutasi Neraca'!$A$3:$S$910,10,FALSE)),0,VLOOKUP($A160,'Mutasi Neraca'!$A$3:$S$910,10,FALSE))</f>
        <v>0</v>
      </c>
      <c r="L160" s="42">
        <f>VLOOKUP($A160,'Neraca Unaudited SIMAK'!$A$2:$R$1272,11,FALSE)+IF(ISNA(VLOOKUP($A160,'Mutasi Neraca'!$A$3:$S$910,11,FALSE)),0,VLOOKUP($A160,'Mutasi Neraca'!$A$3:$S$910,11,FALSE))</f>
        <v>44589000</v>
      </c>
      <c r="M160" s="42">
        <f>VLOOKUP($A160,'Neraca Unaudited SIMAK'!$A$2:$R$1272,12,FALSE)+IF(ISNA(VLOOKUP($A160,'Mutasi Neraca'!$A$3:$S$910,12,FALSE)),0,VLOOKUP($A160,'Mutasi Neraca'!$A$3:$S$910,12,FALSE))</f>
        <v>16396591437</v>
      </c>
      <c r="N160" s="42">
        <f>VLOOKUP($A160,'Neraca Unaudited SIMAK'!$A$2:$R$1272,13,FALSE)+IF(ISNA(VLOOKUP($A160,'Mutasi Neraca'!$A$3:$S$910,13,FALSE)),0,VLOOKUP($A160,'Mutasi Neraca'!$A$3:$S$910,13,FALSE))</f>
        <v>-2537533078</v>
      </c>
      <c r="O160" s="42">
        <f>VLOOKUP($A160,'Neraca Unaudited SIMAK'!$A$2:$R$1272,14,FALSE)+IF(ISNA(VLOOKUP($A160,'Mutasi Neraca'!$A$3:$S$910,14,FALSE)),0,VLOOKUP($A160,'Mutasi Neraca'!$A$3:$S$910,14,FALSE))</f>
        <v>-2373673368</v>
      </c>
      <c r="P160" s="42">
        <f>VLOOKUP($A160,'Neraca Unaudited SIMAK'!$A$2:$R$1272,15,FALSE)+IF(ISNA(VLOOKUP($A160,'Mutasi Neraca'!$A$3:$S$910,15,FALSE)),0,VLOOKUP($A160,'Mutasi Neraca'!$A$3:$S$910,15,FALSE))</f>
        <v>0</v>
      </c>
      <c r="Q160" s="42">
        <f>VLOOKUP($A160,'Neraca Unaudited SIMAK'!$A$2:$R$1272,16,FALSE)+IF(ISNA(VLOOKUP($A160,'Mutasi Neraca'!$A$3:$S$910,16,FALSE)),0,VLOOKUP($A160,'Mutasi Neraca'!$A$3:$S$910,16,FALSE))</f>
        <v>0</v>
      </c>
      <c r="R160" s="42">
        <f>VLOOKUP($A160,'Neraca Unaudited SIMAK'!$A$2:$R$1272,17,FALSE)+IF(ISNA(VLOOKUP($A160,'Mutasi Neraca'!$A$3:$S$910,17,FALSE)),0,VLOOKUP($A160,'Mutasi Neraca'!$A$3:$S$910,17,FALSE))</f>
        <v>-44589000</v>
      </c>
      <c r="S160" s="42">
        <f t="shared" si="47"/>
        <v>11440795991</v>
      </c>
    </row>
    <row r="161" spans="1:19">
      <c r="A161" s="41" t="s">
        <v>168</v>
      </c>
      <c r="B161" s="41" t="str">
        <f t="shared" si="46"/>
        <v>005010500</v>
      </c>
      <c r="D161" s="42">
        <f>VLOOKUP($A161,'Neraca Unaudited SIMAK'!$A$2:$R$1272,3,FALSE)+IF(ISNA(VLOOKUP($A161,'Mutasi Neraca'!$A$3:$S$910,3,FALSE)),0,VLOOKUP($A161,'Mutasi Neraca'!$A$3:$S$910,3,FALSE))</f>
        <v>10000</v>
      </c>
      <c r="E161" s="42">
        <f>VLOOKUP($A161,'Neraca Unaudited SIMAK'!$A$2:$R$1272,4,FALSE)+IF(ISNA(VLOOKUP($A161,'Mutasi Neraca'!$A$3:$S$910,4,FALSE)),0,VLOOKUP($A161,'Mutasi Neraca'!$A$3:$S$910,4,FALSE))</f>
        <v>6591250000</v>
      </c>
      <c r="F161" s="42">
        <f>VLOOKUP($A161,'Neraca Unaudited SIMAK'!$A$2:$R$1272,5,FALSE)+IF(ISNA(VLOOKUP($A161,'Mutasi Neraca'!$A$3:$S$910,5,FALSE)),0,VLOOKUP($A161,'Mutasi Neraca'!$A$3:$S$910,5,FALSE))</f>
        <v>1170381924</v>
      </c>
      <c r="G161" s="42">
        <f>VLOOKUP($A161,'Neraca Unaudited SIMAK'!$A$2:$R$1272,6,FALSE)+IF(ISNA(VLOOKUP($A161,'Mutasi Neraca'!$A$3:$S$910,6,FALSE)),0,VLOOKUP($A161,'Mutasi Neraca'!$A$3:$S$910,6,FALSE))</f>
        <v>2915795500</v>
      </c>
      <c r="H161" s="42">
        <f>VLOOKUP($A161,'Neraca Unaudited SIMAK'!$A$2:$R$1272,7,FALSE)+IF(ISNA(VLOOKUP($A161,'Mutasi Neraca'!$A$3:$S$910,7,FALSE)),0,VLOOKUP($A161,'Mutasi Neraca'!$A$3:$S$910,7,FALSE))</f>
        <v>0</v>
      </c>
      <c r="I161" s="42">
        <f>VLOOKUP($A161,'Neraca Unaudited SIMAK'!$A$2:$R$1272,8,FALSE)+IF(ISNA(VLOOKUP($A161,'Mutasi Neraca'!$A$3:$S$910,8,FALSE)),0,VLOOKUP($A161,'Mutasi Neraca'!$A$3:$S$910,8,FALSE))</f>
        <v>11406260</v>
      </c>
      <c r="J161" s="42">
        <f>VLOOKUP($A161,'Neraca Unaudited SIMAK'!$A$2:$R$1272,9,FALSE)+IF(ISNA(VLOOKUP($A161,'Mutasi Neraca'!$A$3:$S$910,9,FALSE)),0,VLOOKUP($A161,'Mutasi Neraca'!$A$3:$S$910,9,FALSE))</f>
        <v>0</v>
      </c>
      <c r="K161" s="42">
        <f>VLOOKUP($A161,'Neraca Unaudited SIMAK'!$A$2:$R$1272,10,FALSE)+IF(ISNA(VLOOKUP($A161,'Mutasi Neraca'!$A$3:$S$910,10,FALSE)),0,VLOOKUP($A161,'Mutasi Neraca'!$A$3:$S$910,10,FALSE))</f>
        <v>0</v>
      </c>
      <c r="L161" s="42">
        <f>VLOOKUP($A161,'Neraca Unaudited SIMAK'!$A$2:$R$1272,11,FALSE)+IF(ISNA(VLOOKUP($A161,'Mutasi Neraca'!$A$3:$S$910,11,FALSE)),0,VLOOKUP($A161,'Mutasi Neraca'!$A$3:$S$910,11,FALSE))</f>
        <v>0</v>
      </c>
      <c r="M161" s="42">
        <f>VLOOKUP($A161,'Neraca Unaudited SIMAK'!$A$2:$R$1272,12,FALSE)+IF(ISNA(VLOOKUP($A161,'Mutasi Neraca'!$A$3:$S$910,12,FALSE)),0,VLOOKUP($A161,'Mutasi Neraca'!$A$3:$S$910,12,FALSE))</f>
        <v>10688843684</v>
      </c>
      <c r="N161" s="42">
        <f>VLOOKUP($A161,'Neraca Unaudited SIMAK'!$A$2:$R$1272,13,FALSE)+IF(ISNA(VLOOKUP($A161,'Mutasi Neraca'!$A$3:$S$910,13,FALSE)),0,VLOOKUP($A161,'Mutasi Neraca'!$A$3:$S$910,13,FALSE))</f>
        <v>-1055923538</v>
      </c>
      <c r="O161" s="42">
        <f>VLOOKUP($A161,'Neraca Unaudited SIMAK'!$A$2:$R$1272,14,FALSE)+IF(ISNA(VLOOKUP($A161,'Mutasi Neraca'!$A$3:$S$910,14,FALSE)),0,VLOOKUP($A161,'Mutasi Neraca'!$A$3:$S$910,14,FALSE))</f>
        <v>-830677227</v>
      </c>
      <c r="P161" s="42">
        <f>VLOOKUP($A161,'Neraca Unaudited SIMAK'!$A$2:$R$1272,15,FALSE)+IF(ISNA(VLOOKUP($A161,'Mutasi Neraca'!$A$3:$S$910,15,FALSE)),0,VLOOKUP($A161,'Mutasi Neraca'!$A$3:$S$910,15,FALSE))</f>
        <v>0</v>
      </c>
      <c r="Q161" s="42">
        <f>VLOOKUP($A161,'Neraca Unaudited SIMAK'!$A$2:$R$1272,16,FALSE)+IF(ISNA(VLOOKUP($A161,'Mutasi Neraca'!$A$3:$S$910,16,FALSE)),0,VLOOKUP($A161,'Mutasi Neraca'!$A$3:$S$910,16,FALSE))</f>
        <v>0</v>
      </c>
      <c r="R161" s="42">
        <f>VLOOKUP($A161,'Neraca Unaudited SIMAK'!$A$2:$R$1272,17,FALSE)+IF(ISNA(VLOOKUP($A161,'Mutasi Neraca'!$A$3:$S$910,17,FALSE)),0,VLOOKUP($A161,'Mutasi Neraca'!$A$3:$S$910,17,FALSE))</f>
        <v>0</v>
      </c>
      <c r="S161" s="42">
        <f t="shared" si="47"/>
        <v>8802242919</v>
      </c>
    </row>
    <row r="162" spans="1:19">
      <c r="A162" s="41" t="s">
        <v>169</v>
      </c>
      <c r="B162" s="41" t="str">
        <f t="shared" si="46"/>
        <v>005010500</v>
      </c>
      <c r="D162" s="42">
        <f>VLOOKUP($A162,'Neraca Unaudited SIMAK'!$A$2:$R$1272,3,FALSE)+IF(ISNA(VLOOKUP($A162,'Mutasi Neraca'!$A$3:$S$910,3,FALSE)),0,VLOOKUP($A162,'Mutasi Neraca'!$A$3:$S$910,3,FALSE))</f>
        <v>889755</v>
      </c>
      <c r="E162" s="42">
        <f>VLOOKUP($A162,'Neraca Unaudited SIMAK'!$A$2:$R$1272,4,FALSE)+IF(ISNA(VLOOKUP($A162,'Mutasi Neraca'!$A$3:$S$910,4,FALSE)),0,VLOOKUP($A162,'Mutasi Neraca'!$A$3:$S$910,4,FALSE))</f>
        <v>3877297220</v>
      </c>
      <c r="F162" s="42">
        <f>VLOOKUP($A162,'Neraca Unaudited SIMAK'!$A$2:$R$1272,5,FALSE)+IF(ISNA(VLOOKUP($A162,'Mutasi Neraca'!$A$3:$S$910,5,FALSE)),0,VLOOKUP($A162,'Mutasi Neraca'!$A$3:$S$910,5,FALSE))</f>
        <v>1506570238</v>
      </c>
      <c r="G162" s="42">
        <f>VLOOKUP($A162,'Neraca Unaudited SIMAK'!$A$2:$R$1272,6,FALSE)+IF(ISNA(VLOOKUP($A162,'Mutasi Neraca'!$A$3:$S$910,6,FALSE)),0,VLOOKUP($A162,'Mutasi Neraca'!$A$3:$S$910,6,FALSE))</f>
        <v>4659274700</v>
      </c>
      <c r="H162" s="42">
        <f>VLOOKUP($A162,'Neraca Unaudited SIMAK'!$A$2:$R$1272,7,FALSE)+IF(ISNA(VLOOKUP($A162,'Mutasi Neraca'!$A$3:$S$910,7,FALSE)),0,VLOOKUP($A162,'Mutasi Neraca'!$A$3:$S$910,7,FALSE))</f>
        <v>64476000</v>
      </c>
      <c r="I162" s="42">
        <f>VLOOKUP($A162,'Neraca Unaudited SIMAK'!$A$2:$R$1272,8,FALSE)+IF(ISNA(VLOOKUP($A162,'Mutasi Neraca'!$A$3:$S$910,8,FALSE)),0,VLOOKUP($A162,'Mutasi Neraca'!$A$3:$S$910,8,FALSE))</f>
        <v>241539261</v>
      </c>
      <c r="J162" s="42">
        <f>VLOOKUP($A162,'Neraca Unaudited SIMAK'!$A$2:$R$1272,9,FALSE)+IF(ISNA(VLOOKUP($A162,'Mutasi Neraca'!$A$3:$S$910,9,FALSE)),0,VLOOKUP($A162,'Mutasi Neraca'!$A$3:$S$910,9,FALSE))</f>
        <v>0</v>
      </c>
      <c r="K162" s="42">
        <f>VLOOKUP($A162,'Neraca Unaudited SIMAK'!$A$2:$R$1272,10,FALSE)+IF(ISNA(VLOOKUP($A162,'Mutasi Neraca'!$A$3:$S$910,10,FALSE)),0,VLOOKUP($A162,'Mutasi Neraca'!$A$3:$S$910,10,FALSE))</f>
        <v>0</v>
      </c>
      <c r="L162" s="42">
        <f>VLOOKUP($A162,'Neraca Unaudited SIMAK'!$A$2:$R$1272,11,FALSE)+IF(ISNA(VLOOKUP($A162,'Mutasi Neraca'!$A$3:$S$910,11,FALSE)),0,VLOOKUP($A162,'Mutasi Neraca'!$A$3:$S$910,11,FALSE))</f>
        <v>120458500</v>
      </c>
      <c r="M162" s="42">
        <f>VLOOKUP($A162,'Neraca Unaudited SIMAK'!$A$2:$R$1272,12,FALSE)+IF(ISNA(VLOOKUP($A162,'Mutasi Neraca'!$A$3:$S$910,12,FALSE)),0,VLOOKUP($A162,'Mutasi Neraca'!$A$3:$S$910,12,FALSE))</f>
        <v>10470505674</v>
      </c>
      <c r="N162" s="42">
        <f>VLOOKUP($A162,'Neraca Unaudited SIMAK'!$A$2:$R$1272,13,FALSE)+IF(ISNA(VLOOKUP($A162,'Mutasi Neraca'!$A$3:$S$910,13,FALSE)),0,VLOOKUP($A162,'Mutasi Neraca'!$A$3:$S$910,13,FALSE))</f>
        <v>-1373028379</v>
      </c>
      <c r="O162" s="42">
        <f>VLOOKUP($A162,'Neraca Unaudited SIMAK'!$A$2:$R$1272,14,FALSE)+IF(ISNA(VLOOKUP($A162,'Mutasi Neraca'!$A$3:$S$910,14,FALSE)),0,VLOOKUP($A162,'Mutasi Neraca'!$A$3:$S$910,14,FALSE))</f>
        <v>-2939704327</v>
      </c>
      <c r="P162" s="42">
        <f>VLOOKUP($A162,'Neraca Unaudited SIMAK'!$A$2:$R$1272,15,FALSE)+IF(ISNA(VLOOKUP($A162,'Mutasi Neraca'!$A$3:$S$910,15,FALSE)),0,VLOOKUP($A162,'Mutasi Neraca'!$A$3:$S$910,15,FALSE))</f>
        <v>-8186400</v>
      </c>
      <c r="Q162" s="42">
        <f>VLOOKUP($A162,'Neraca Unaudited SIMAK'!$A$2:$R$1272,16,FALSE)+IF(ISNA(VLOOKUP($A162,'Mutasi Neraca'!$A$3:$S$910,16,FALSE)),0,VLOOKUP($A162,'Mutasi Neraca'!$A$3:$S$910,16,FALSE))</f>
        <v>0</v>
      </c>
      <c r="R162" s="42">
        <f>VLOOKUP($A162,'Neraca Unaudited SIMAK'!$A$2:$R$1272,17,FALSE)+IF(ISNA(VLOOKUP($A162,'Mutasi Neraca'!$A$3:$S$910,17,FALSE)),0,VLOOKUP($A162,'Mutasi Neraca'!$A$3:$S$910,17,FALSE))</f>
        <v>-120458500</v>
      </c>
      <c r="S162" s="42">
        <f t="shared" si="47"/>
        <v>6029128068</v>
      </c>
    </row>
    <row r="163" spans="1:19">
      <c r="A163" s="41" t="s">
        <v>170</v>
      </c>
      <c r="B163" s="41" t="str">
        <f t="shared" si="46"/>
        <v>005010500</v>
      </c>
      <c r="D163" s="42">
        <f>VLOOKUP($A163,'Neraca Unaudited SIMAK'!$A$2:$R$1272,3,FALSE)+IF(ISNA(VLOOKUP($A163,'Mutasi Neraca'!$A$3:$S$910,3,FALSE)),0,VLOOKUP($A163,'Mutasi Neraca'!$A$3:$S$910,3,FALSE))</f>
        <v>48000</v>
      </c>
      <c r="E163" s="42">
        <f>VLOOKUP($A163,'Neraca Unaudited SIMAK'!$A$2:$R$1272,4,FALSE)+IF(ISNA(VLOOKUP($A163,'Mutasi Neraca'!$A$3:$S$910,4,FALSE)),0,VLOOKUP($A163,'Mutasi Neraca'!$A$3:$S$910,4,FALSE))</f>
        <v>9485952750</v>
      </c>
      <c r="F163" s="42">
        <f>VLOOKUP($A163,'Neraca Unaudited SIMAK'!$A$2:$R$1272,5,FALSE)+IF(ISNA(VLOOKUP($A163,'Mutasi Neraca'!$A$3:$S$910,5,FALSE)),0,VLOOKUP($A163,'Mutasi Neraca'!$A$3:$S$910,5,FALSE))</f>
        <v>2811748537</v>
      </c>
      <c r="G163" s="42">
        <f>VLOOKUP($A163,'Neraca Unaudited SIMAK'!$A$2:$R$1272,6,FALSE)+IF(ISNA(VLOOKUP($A163,'Mutasi Neraca'!$A$3:$S$910,6,FALSE)),0,VLOOKUP($A163,'Mutasi Neraca'!$A$3:$S$910,6,FALSE))</f>
        <v>13388590300</v>
      </c>
      <c r="H163" s="42">
        <f>VLOOKUP($A163,'Neraca Unaudited SIMAK'!$A$2:$R$1272,7,FALSE)+IF(ISNA(VLOOKUP($A163,'Mutasi Neraca'!$A$3:$S$910,7,FALSE)),0,VLOOKUP($A163,'Mutasi Neraca'!$A$3:$S$910,7,FALSE))</f>
        <v>63722200</v>
      </c>
      <c r="I163" s="42">
        <f>VLOOKUP($A163,'Neraca Unaudited SIMAK'!$A$2:$R$1272,8,FALSE)+IF(ISNA(VLOOKUP($A163,'Mutasi Neraca'!$A$3:$S$910,8,FALSE)),0,VLOOKUP($A163,'Mutasi Neraca'!$A$3:$S$910,8,FALSE))</f>
        <v>138480062</v>
      </c>
      <c r="J163" s="42">
        <f>VLOOKUP($A163,'Neraca Unaudited SIMAK'!$A$2:$R$1272,9,FALSE)+IF(ISNA(VLOOKUP($A163,'Mutasi Neraca'!$A$3:$S$910,9,FALSE)),0,VLOOKUP($A163,'Mutasi Neraca'!$A$3:$S$910,9,FALSE))</f>
        <v>0</v>
      </c>
      <c r="K163" s="42">
        <f>VLOOKUP($A163,'Neraca Unaudited SIMAK'!$A$2:$R$1272,10,FALSE)+IF(ISNA(VLOOKUP($A163,'Mutasi Neraca'!$A$3:$S$910,10,FALSE)),0,VLOOKUP($A163,'Mutasi Neraca'!$A$3:$S$910,10,FALSE))</f>
        <v>0</v>
      </c>
      <c r="L163" s="42">
        <f>VLOOKUP($A163,'Neraca Unaudited SIMAK'!$A$2:$R$1272,11,FALSE)+IF(ISNA(VLOOKUP($A163,'Mutasi Neraca'!$A$3:$S$910,11,FALSE)),0,VLOOKUP($A163,'Mutasi Neraca'!$A$3:$S$910,11,FALSE))</f>
        <v>68000</v>
      </c>
      <c r="M163" s="42">
        <f>VLOOKUP($A163,'Neraca Unaudited SIMAK'!$A$2:$R$1272,12,FALSE)+IF(ISNA(VLOOKUP($A163,'Mutasi Neraca'!$A$3:$S$910,12,FALSE)),0,VLOOKUP($A163,'Mutasi Neraca'!$A$3:$S$910,12,FALSE))</f>
        <v>25888609849</v>
      </c>
      <c r="N163" s="42">
        <f>VLOOKUP($A163,'Neraca Unaudited SIMAK'!$A$2:$R$1272,13,FALSE)+IF(ISNA(VLOOKUP($A163,'Mutasi Neraca'!$A$3:$S$910,13,FALSE)),0,VLOOKUP($A163,'Mutasi Neraca'!$A$3:$S$910,13,FALSE))</f>
        <v>-2045383127</v>
      </c>
      <c r="O163" s="42">
        <f>VLOOKUP($A163,'Neraca Unaudited SIMAK'!$A$2:$R$1272,14,FALSE)+IF(ISNA(VLOOKUP($A163,'Mutasi Neraca'!$A$3:$S$910,14,FALSE)),0,VLOOKUP($A163,'Mutasi Neraca'!$A$3:$S$910,14,FALSE))</f>
        <v>-1000469554</v>
      </c>
      <c r="P163" s="42">
        <f>VLOOKUP($A163,'Neraca Unaudited SIMAK'!$A$2:$R$1272,15,FALSE)+IF(ISNA(VLOOKUP($A163,'Mutasi Neraca'!$A$3:$S$910,15,FALSE)),0,VLOOKUP($A163,'Mutasi Neraca'!$A$3:$S$910,15,FALSE))</f>
        <v>-17473538</v>
      </c>
      <c r="Q163" s="42">
        <f>VLOOKUP($A163,'Neraca Unaudited SIMAK'!$A$2:$R$1272,16,FALSE)+IF(ISNA(VLOOKUP($A163,'Mutasi Neraca'!$A$3:$S$910,16,FALSE)),0,VLOOKUP($A163,'Mutasi Neraca'!$A$3:$S$910,16,FALSE))</f>
        <v>0</v>
      </c>
      <c r="R163" s="42">
        <f>VLOOKUP($A163,'Neraca Unaudited SIMAK'!$A$2:$R$1272,17,FALSE)+IF(ISNA(VLOOKUP($A163,'Mutasi Neraca'!$A$3:$S$910,17,FALSE)),0,VLOOKUP($A163,'Mutasi Neraca'!$A$3:$S$910,17,FALSE))</f>
        <v>-68000</v>
      </c>
      <c r="S163" s="42">
        <f t="shared" si="47"/>
        <v>22825215630</v>
      </c>
    </row>
    <row r="164" spans="1:19">
      <c r="A164" s="41" t="s">
        <v>171</v>
      </c>
      <c r="B164" s="41" t="str">
        <f t="shared" si="46"/>
        <v>005010500</v>
      </c>
      <c r="D164" s="42">
        <f>VLOOKUP($A164,'Neraca Unaudited SIMAK'!$A$2:$R$1272,3,FALSE)+IF(ISNA(VLOOKUP($A164,'Mutasi Neraca'!$A$3:$S$910,3,FALSE)),0,VLOOKUP($A164,'Mutasi Neraca'!$A$3:$S$910,3,FALSE))</f>
        <v>28500</v>
      </c>
      <c r="E164" s="42">
        <f>VLOOKUP($A164,'Neraca Unaudited SIMAK'!$A$2:$R$1272,4,FALSE)+IF(ISNA(VLOOKUP($A164,'Mutasi Neraca'!$A$3:$S$910,4,FALSE)),0,VLOOKUP($A164,'Mutasi Neraca'!$A$3:$S$910,4,FALSE))</f>
        <v>27053801000</v>
      </c>
      <c r="F164" s="42">
        <f>VLOOKUP($A164,'Neraca Unaudited SIMAK'!$A$2:$R$1272,5,FALSE)+IF(ISNA(VLOOKUP($A164,'Mutasi Neraca'!$A$3:$S$910,5,FALSE)),0,VLOOKUP($A164,'Mutasi Neraca'!$A$3:$S$910,5,FALSE))</f>
        <v>2727965047</v>
      </c>
      <c r="G164" s="42">
        <f>VLOOKUP($A164,'Neraca Unaudited SIMAK'!$A$2:$R$1272,6,FALSE)+IF(ISNA(VLOOKUP($A164,'Mutasi Neraca'!$A$3:$S$910,6,FALSE)),0,VLOOKUP($A164,'Mutasi Neraca'!$A$3:$S$910,6,FALSE))</f>
        <v>3321212300</v>
      </c>
      <c r="H164" s="42">
        <f>VLOOKUP($A164,'Neraca Unaudited SIMAK'!$A$2:$R$1272,7,FALSE)+IF(ISNA(VLOOKUP($A164,'Mutasi Neraca'!$A$3:$S$910,7,FALSE)),0,VLOOKUP($A164,'Mutasi Neraca'!$A$3:$S$910,7,FALSE))</f>
        <v>0</v>
      </c>
      <c r="I164" s="42">
        <f>VLOOKUP($A164,'Neraca Unaudited SIMAK'!$A$2:$R$1272,8,FALSE)+IF(ISNA(VLOOKUP($A164,'Mutasi Neraca'!$A$3:$S$910,8,FALSE)),0,VLOOKUP($A164,'Mutasi Neraca'!$A$3:$S$910,8,FALSE))</f>
        <v>419429740</v>
      </c>
      <c r="J164" s="42">
        <f>VLOOKUP($A164,'Neraca Unaudited SIMAK'!$A$2:$R$1272,9,FALSE)+IF(ISNA(VLOOKUP($A164,'Mutasi Neraca'!$A$3:$S$910,9,FALSE)),0,VLOOKUP($A164,'Mutasi Neraca'!$A$3:$S$910,9,FALSE))</f>
        <v>0</v>
      </c>
      <c r="K164" s="42">
        <f>VLOOKUP($A164,'Neraca Unaudited SIMAK'!$A$2:$R$1272,10,FALSE)+IF(ISNA(VLOOKUP($A164,'Mutasi Neraca'!$A$3:$S$910,10,FALSE)),0,VLOOKUP($A164,'Mutasi Neraca'!$A$3:$S$910,10,FALSE))</f>
        <v>87500000</v>
      </c>
      <c r="L164" s="42">
        <f>VLOOKUP($A164,'Neraca Unaudited SIMAK'!$A$2:$R$1272,11,FALSE)+IF(ISNA(VLOOKUP($A164,'Mutasi Neraca'!$A$3:$S$910,11,FALSE)),0,VLOOKUP($A164,'Mutasi Neraca'!$A$3:$S$910,11,FALSE))</f>
        <v>2040000</v>
      </c>
      <c r="M164" s="42">
        <f>VLOOKUP($A164,'Neraca Unaudited SIMAK'!$A$2:$R$1272,12,FALSE)+IF(ISNA(VLOOKUP($A164,'Mutasi Neraca'!$A$3:$S$910,12,FALSE)),0,VLOOKUP($A164,'Mutasi Neraca'!$A$3:$S$910,12,FALSE))</f>
        <v>33611976587</v>
      </c>
      <c r="N164" s="42">
        <f>VLOOKUP($A164,'Neraca Unaudited SIMAK'!$A$2:$R$1272,13,FALSE)+IF(ISNA(VLOOKUP($A164,'Mutasi Neraca'!$A$3:$S$910,13,FALSE)),0,VLOOKUP($A164,'Mutasi Neraca'!$A$3:$S$910,13,FALSE))</f>
        <v>-2574831853</v>
      </c>
      <c r="O164" s="42">
        <f>VLOOKUP($A164,'Neraca Unaudited SIMAK'!$A$2:$R$1272,14,FALSE)+IF(ISNA(VLOOKUP($A164,'Mutasi Neraca'!$A$3:$S$910,14,FALSE)),0,VLOOKUP($A164,'Mutasi Neraca'!$A$3:$S$910,14,FALSE))</f>
        <v>-2072853958</v>
      </c>
      <c r="P164" s="42">
        <f>VLOOKUP($A164,'Neraca Unaudited SIMAK'!$A$2:$R$1272,15,FALSE)+IF(ISNA(VLOOKUP($A164,'Mutasi Neraca'!$A$3:$S$910,15,FALSE)),0,VLOOKUP($A164,'Mutasi Neraca'!$A$3:$S$910,15,FALSE))</f>
        <v>0</v>
      </c>
      <c r="Q164" s="42">
        <f>VLOOKUP($A164,'Neraca Unaudited SIMAK'!$A$2:$R$1272,16,FALSE)+IF(ISNA(VLOOKUP($A164,'Mutasi Neraca'!$A$3:$S$910,16,FALSE)),0,VLOOKUP($A164,'Mutasi Neraca'!$A$3:$S$910,16,FALSE))</f>
        <v>0</v>
      </c>
      <c r="R164" s="42">
        <f>VLOOKUP($A164,'Neraca Unaudited SIMAK'!$A$2:$R$1272,17,FALSE)+IF(ISNA(VLOOKUP($A164,'Mutasi Neraca'!$A$3:$S$910,17,FALSE)),0,VLOOKUP($A164,'Mutasi Neraca'!$A$3:$S$910,17,FALSE))</f>
        <v>-2040000</v>
      </c>
      <c r="S164" s="42">
        <f t="shared" si="47"/>
        <v>28962250776</v>
      </c>
    </row>
    <row r="165" spans="1:19">
      <c r="A165" s="41" t="s">
        <v>172</v>
      </c>
      <c r="B165" s="41" t="str">
        <f t="shared" si="46"/>
        <v>005010500</v>
      </c>
      <c r="D165" s="42">
        <f>VLOOKUP($A165,'Neraca Unaudited SIMAK'!$A$2:$R$1272,3,FALSE)+IF(ISNA(VLOOKUP($A165,'Mutasi Neraca'!$A$3:$S$910,3,FALSE)),0,VLOOKUP($A165,'Mutasi Neraca'!$A$3:$S$910,3,FALSE))</f>
        <v>0</v>
      </c>
      <c r="E165" s="42">
        <f>VLOOKUP($A165,'Neraca Unaudited SIMAK'!$A$2:$R$1272,4,FALSE)+IF(ISNA(VLOOKUP($A165,'Mutasi Neraca'!$A$3:$S$910,4,FALSE)),0,VLOOKUP($A165,'Mutasi Neraca'!$A$3:$S$910,4,FALSE))</f>
        <v>4601950000</v>
      </c>
      <c r="F165" s="42">
        <f>VLOOKUP($A165,'Neraca Unaudited SIMAK'!$A$2:$R$1272,5,FALSE)+IF(ISNA(VLOOKUP($A165,'Mutasi Neraca'!$A$3:$S$910,5,FALSE)),0,VLOOKUP($A165,'Mutasi Neraca'!$A$3:$S$910,5,FALSE))</f>
        <v>1701413954</v>
      </c>
      <c r="G165" s="42">
        <f>VLOOKUP($A165,'Neraca Unaudited SIMAK'!$A$2:$R$1272,6,FALSE)+IF(ISNA(VLOOKUP($A165,'Mutasi Neraca'!$A$3:$S$910,6,FALSE)),0,VLOOKUP($A165,'Mutasi Neraca'!$A$3:$S$910,6,FALSE))</f>
        <v>3229007000</v>
      </c>
      <c r="H165" s="42">
        <f>VLOOKUP($A165,'Neraca Unaudited SIMAK'!$A$2:$R$1272,7,FALSE)+IF(ISNA(VLOOKUP($A165,'Mutasi Neraca'!$A$3:$S$910,7,FALSE)),0,VLOOKUP($A165,'Mutasi Neraca'!$A$3:$S$910,7,FALSE))</f>
        <v>0</v>
      </c>
      <c r="I165" s="42">
        <f>VLOOKUP($A165,'Neraca Unaudited SIMAK'!$A$2:$R$1272,8,FALSE)+IF(ISNA(VLOOKUP($A165,'Mutasi Neraca'!$A$3:$S$910,8,FALSE)),0,VLOOKUP($A165,'Mutasi Neraca'!$A$3:$S$910,8,FALSE))</f>
        <v>6355062</v>
      </c>
      <c r="J165" s="42">
        <f>VLOOKUP($A165,'Neraca Unaudited SIMAK'!$A$2:$R$1272,9,FALSE)+IF(ISNA(VLOOKUP($A165,'Mutasi Neraca'!$A$3:$S$910,9,FALSE)),0,VLOOKUP($A165,'Mutasi Neraca'!$A$3:$S$910,9,FALSE))</f>
        <v>0</v>
      </c>
      <c r="K165" s="42">
        <f>VLOOKUP($A165,'Neraca Unaudited SIMAK'!$A$2:$R$1272,10,FALSE)+IF(ISNA(VLOOKUP($A165,'Mutasi Neraca'!$A$3:$S$910,10,FALSE)),0,VLOOKUP($A165,'Mutasi Neraca'!$A$3:$S$910,10,FALSE))</f>
        <v>0</v>
      </c>
      <c r="L165" s="42">
        <f>VLOOKUP($A165,'Neraca Unaudited SIMAK'!$A$2:$R$1272,11,FALSE)+IF(ISNA(VLOOKUP($A165,'Mutasi Neraca'!$A$3:$S$910,11,FALSE)),0,VLOOKUP($A165,'Mutasi Neraca'!$A$3:$S$910,11,FALSE))</f>
        <v>0</v>
      </c>
      <c r="M165" s="42">
        <f>VLOOKUP($A165,'Neraca Unaudited SIMAK'!$A$2:$R$1272,12,FALSE)+IF(ISNA(VLOOKUP($A165,'Mutasi Neraca'!$A$3:$S$910,12,FALSE)),0,VLOOKUP($A165,'Mutasi Neraca'!$A$3:$S$910,12,FALSE))</f>
        <v>9538726016</v>
      </c>
      <c r="N165" s="42">
        <f>VLOOKUP($A165,'Neraca Unaudited SIMAK'!$A$2:$R$1272,13,FALSE)+IF(ISNA(VLOOKUP($A165,'Mutasi Neraca'!$A$3:$S$910,13,FALSE)),0,VLOOKUP($A165,'Mutasi Neraca'!$A$3:$S$910,13,FALSE))</f>
        <v>-1583654478</v>
      </c>
      <c r="O165" s="42">
        <f>VLOOKUP($A165,'Neraca Unaudited SIMAK'!$A$2:$R$1272,14,FALSE)+IF(ISNA(VLOOKUP($A165,'Mutasi Neraca'!$A$3:$S$910,14,FALSE)),0,VLOOKUP($A165,'Mutasi Neraca'!$A$3:$S$910,14,FALSE))</f>
        <v>-2495052800</v>
      </c>
      <c r="P165" s="42">
        <f>VLOOKUP($A165,'Neraca Unaudited SIMAK'!$A$2:$R$1272,15,FALSE)+IF(ISNA(VLOOKUP($A165,'Mutasi Neraca'!$A$3:$S$910,15,FALSE)),0,VLOOKUP($A165,'Mutasi Neraca'!$A$3:$S$910,15,FALSE))</f>
        <v>0</v>
      </c>
      <c r="Q165" s="42">
        <f>VLOOKUP($A165,'Neraca Unaudited SIMAK'!$A$2:$R$1272,16,FALSE)+IF(ISNA(VLOOKUP($A165,'Mutasi Neraca'!$A$3:$S$910,16,FALSE)),0,VLOOKUP($A165,'Mutasi Neraca'!$A$3:$S$910,16,FALSE))</f>
        <v>0</v>
      </c>
      <c r="R165" s="42">
        <f>VLOOKUP($A165,'Neraca Unaudited SIMAK'!$A$2:$R$1272,17,FALSE)+IF(ISNA(VLOOKUP($A165,'Mutasi Neraca'!$A$3:$S$910,17,FALSE)),0,VLOOKUP($A165,'Mutasi Neraca'!$A$3:$S$910,17,FALSE))</f>
        <v>0</v>
      </c>
      <c r="S165" s="42">
        <f t="shared" si="47"/>
        <v>5460018738</v>
      </c>
    </row>
    <row r="166" spans="1:19">
      <c r="A166" s="41" t="s">
        <v>173</v>
      </c>
      <c r="B166" s="41" t="str">
        <f t="shared" si="46"/>
        <v>005010500</v>
      </c>
      <c r="D166" s="42">
        <f>VLOOKUP($A166,'Neraca Unaudited SIMAK'!$A$2:$R$1272,3,FALSE)+IF(ISNA(VLOOKUP($A166,'Mutasi Neraca'!$A$3:$S$910,3,FALSE)),0,VLOOKUP($A166,'Mutasi Neraca'!$A$3:$S$910,3,FALSE))</f>
        <v>20196</v>
      </c>
      <c r="E166" s="42">
        <f>VLOOKUP($A166,'Neraca Unaudited SIMAK'!$A$2:$R$1272,4,FALSE)+IF(ISNA(VLOOKUP($A166,'Mutasi Neraca'!$A$3:$S$910,4,FALSE)),0,VLOOKUP($A166,'Mutasi Neraca'!$A$3:$S$910,4,FALSE))</f>
        <v>4603654000</v>
      </c>
      <c r="F166" s="42">
        <f>VLOOKUP($A166,'Neraca Unaudited SIMAK'!$A$2:$R$1272,5,FALSE)+IF(ISNA(VLOOKUP($A166,'Mutasi Neraca'!$A$3:$S$910,5,FALSE)),0,VLOOKUP($A166,'Mutasi Neraca'!$A$3:$S$910,5,FALSE))</f>
        <v>2410229589</v>
      </c>
      <c r="G166" s="42">
        <f>VLOOKUP($A166,'Neraca Unaudited SIMAK'!$A$2:$R$1272,6,FALSE)+IF(ISNA(VLOOKUP($A166,'Mutasi Neraca'!$A$3:$S$910,6,FALSE)),0,VLOOKUP($A166,'Mutasi Neraca'!$A$3:$S$910,6,FALSE))</f>
        <v>7767626000</v>
      </c>
      <c r="H166" s="42">
        <f>VLOOKUP($A166,'Neraca Unaudited SIMAK'!$A$2:$R$1272,7,FALSE)+IF(ISNA(VLOOKUP($A166,'Mutasi Neraca'!$A$3:$S$910,7,FALSE)),0,VLOOKUP($A166,'Mutasi Neraca'!$A$3:$S$910,7,FALSE))</f>
        <v>142890000</v>
      </c>
      <c r="I166" s="42">
        <f>VLOOKUP($A166,'Neraca Unaudited SIMAK'!$A$2:$R$1272,8,FALSE)+IF(ISNA(VLOOKUP($A166,'Mutasi Neraca'!$A$3:$S$910,8,FALSE)),0,VLOOKUP($A166,'Mutasi Neraca'!$A$3:$S$910,8,FALSE))</f>
        <v>9616782</v>
      </c>
      <c r="J166" s="42">
        <f>VLOOKUP($A166,'Neraca Unaudited SIMAK'!$A$2:$R$1272,9,FALSE)+IF(ISNA(VLOOKUP($A166,'Mutasi Neraca'!$A$3:$S$910,9,FALSE)),0,VLOOKUP($A166,'Mutasi Neraca'!$A$3:$S$910,9,FALSE))</f>
        <v>0</v>
      </c>
      <c r="K166" s="42">
        <f>VLOOKUP($A166,'Neraca Unaudited SIMAK'!$A$2:$R$1272,10,FALSE)+IF(ISNA(VLOOKUP($A166,'Mutasi Neraca'!$A$3:$S$910,10,FALSE)),0,VLOOKUP($A166,'Mutasi Neraca'!$A$3:$S$910,10,FALSE))</f>
        <v>21564000</v>
      </c>
      <c r="L166" s="42">
        <f>VLOOKUP($A166,'Neraca Unaudited SIMAK'!$A$2:$R$1272,11,FALSE)+IF(ISNA(VLOOKUP($A166,'Mutasi Neraca'!$A$3:$S$910,11,FALSE)),0,VLOOKUP($A166,'Mutasi Neraca'!$A$3:$S$910,11,FALSE))</f>
        <v>166765175</v>
      </c>
      <c r="M166" s="42">
        <f>VLOOKUP($A166,'Neraca Unaudited SIMAK'!$A$2:$R$1272,12,FALSE)+IF(ISNA(VLOOKUP($A166,'Mutasi Neraca'!$A$3:$S$910,12,FALSE)),0,VLOOKUP($A166,'Mutasi Neraca'!$A$3:$S$910,12,FALSE))</f>
        <v>15122365742</v>
      </c>
      <c r="N166" s="42">
        <f>VLOOKUP($A166,'Neraca Unaudited SIMAK'!$A$2:$R$1272,13,FALSE)+IF(ISNA(VLOOKUP($A166,'Mutasi Neraca'!$A$3:$S$910,13,FALSE)),0,VLOOKUP($A166,'Mutasi Neraca'!$A$3:$S$910,13,FALSE))</f>
        <v>-2219540663</v>
      </c>
      <c r="O166" s="42">
        <f>VLOOKUP($A166,'Neraca Unaudited SIMAK'!$A$2:$R$1272,14,FALSE)+IF(ISNA(VLOOKUP($A166,'Mutasi Neraca'!$A$3:$S$910,14,FALSE)),0,VLOOKUP($A166,'Mutasi Neraca'!$A$3:$S$910,14,FALSE))</f>
        <v>-3725667469</v>
      </c>
      <c r="P166" s="42">
        <f>VLOOKUP($A166,'Neraca Unaudited SIMAK'!$A$2:$R$1272,15,FALSE)+IF(ISNA(VLOOKUP($A166,'Mutasi Neraca'!$A$3:$S$910,15,FALSE)),0,VLOOKUP($A166,'Mutasi Neraca'!$A$3:$S$910,15,FALSE))</f>
        <v>-66103125</v>
      </c>
      <c r="Q166" s="42">
        <f>VLOOKUP($A166,'Neraca Unaudited SIMAK'!$A$2:$R$1272,16,FALSE)+IF(ISNA(VLOOKUP($A166,'Mutasi Neraca'!$A$3:$S$910,16,FALSE)),0,VLOOKUP($A166,'Mutasi Neraca'!$A$3:$S$910,16,FALSE))</f>
        <v>0</v>
      </c>
      <c r="R166" s="42">
        <f>VLOOKUP($A166,'Neraca Unaudited SIMAK'!$A$2:$R$1272,17,FALSE)+IF(ISNA(VLOOKUP($A166,'Mutasi Neraca'!$A$3:$S$910,17,FALSE)),0,VLOOKUP($A166,'Mutasi Neraca'!$A$3:$S$910,17,FALSE))</f>
        <v>-166765175</v>
      </c>
      <c r="S166" s="42">
        <f t="shared" si="47"/>
        <v>8944289310</v>
      </c>
    </row>
    <row r="167" spans="1:19">
      <c r="A167" s="41" t="s">
        <v>174</v>
      </c>
      <c r="B167" s="41" t="str">
        <f t="shared" si="46"/>
        <v>005010500</v>
      </c>
      <c r="D167" s="42">
        <f>VLOOKUP($A167,'Neraca Unaudited SIMAK'!$A$2:$R$1272,3,FALSE)+IF(ISNA(VLOOKUP($A167,'Mutasi Neraca'!$A$3:$S$910,3,FALSE)),0,VLOOKUP($A167,'Mutasi Neraca'!$A$3:$S$910,3,FALSE))</f>
        <v>1242500</v>
      </c>
      <c r="E167" s="42">
        <f>VLOOKUP($A167,'Neraca Unaudited SIMAK'!$A$2:$R$1272,4,FALSE)+IF(ISNA(VLOOKUP($A167,'Mutasi Neraca'!$A$3:$S$910,4,FALSE)),0,VLOOKUP($A167,'Mutasi Neraca'!$A$3:$S$910,4,FALSE))</f>
        <v>4417687208</v>
      </c>
      <c r="F167" s="42">
        <f>VLOOKUP($A167,'Neraca Unaudited SIMAK'!$A$2:$R$1272,5,FALSE)+IF(ISNA(VLOOKUP($A167,'Mutasi Neraca'!$A$3:$S$910,5,FALSE)),0,VLOOKUP($A167,'Mutasi Neraca'!$A$3:$S$910,5,FALSE))</f>
        <v>2064516573</v>
      </c>
      <c r="G167" s="42">
        <f>VLOOKUP($A167,'Neraca Unaudited SIMAK'!$A$2:$R$1272,6,FALSE)+IF(ISNA(VLOOKUP($A167,'Mutasi Neraca'!$A$3:$S$910,6,FALSE)),0,VLOOKUP($A167,'Mutasi Neraca'!$A$3:$S$910,6,FALSE))</f>
        <v>5034921094</v>
      </c>
      <c r="H167" s="42">
        <f>VLOOKUP($A167,'Neraca Unaudited SIMAK'!$A$2:$R$1272,7,FALSE)+IF(ISNA(VLOOKUP($A167,'Mutasi Neraca'!$A$3:$S$910,7,FALSE)),0,VLOOKUP($A167,'Mutasi Neraca'!$A$3:$S$910,7,FALSE))</f>
        <v>48991300</v>
      </c>
      <c r="I167" s="42">
        <f>VLOOKUP($A167,'Neraca Unaudited SIMAK'!$A$2:$R$1272,8,FALSE)+IF(ISNA(VLOOKUP($A167,'Mutasi Neraca'!$A$3:$S$910,8,FALSE)),0,VLOOKUP($A167,'Mutasi Neraca'!$A$3:$S$910,8,FALSE))</f>
        <v>13679062</v>
      </c>
      <c r="J167" s="42">
        <f>VLOOKUP($A167,'Neraca Unaudited SIMAK'!$A$2:$R$1272,9,FALSE)+IF(ISNA(VLOOKUP($A167,'Mutasi Neraca'!$A$3:$S$910,9,FALSE)),0,VLOOKUP($A167,'Mutasi Neraca'!$A$3:$S$910,9,FALSE))</f>
        <v>0</v>
      </c>
      <c r="K167" s="42">
        <f>VLOOKUP($A167,'Neraca Unaudited SIMAK'!$A$2:$R$1272,10,FALSE)+IF(ISNA(VLOOKUP($A167,'Mutasi Neraca'!$A$3:$S$910,10,FALSE)),0,VLOOKUP($A167,'Mutasi Neraca'!$A$3:$S$910,10,FALSE))</f>
        <v>0</v>
      </c>
      <c r="L167" s="42">
        <f>VLOOKUP($A167,'Neraca Unaudited SIMAK'!$A$2:$R$1272,11,FALSE)+IF(ISNA(VLOOKUP($A167,'Mutasi Neraca'!$A$3:$S$910,11,FALSE)),0,VLOOKUP($A167,'Mutasi Neraca'!$A$3:$S$910,11,FALSE))</f>
        <v>0</v>
      </c>
      <c r="M167" s="42">
        <f>VLOOKUP($A167,'Neraca Unaudited SIMAK'!$A$2:$R$1272,12,FALSE)+IF(ISNA(VLOOKUP($A167,'Mutasi Neraca'!$A$3:$S$910,12,FALSE)),0,VLOOKUP($A167,'Mutasi Neraca'!$A$3:$S$910,12,FALSE))</f>
        <v>11581037737</v>
      </c>
      <c r="N167" s="42">
        <f>VLOOKUP($A167,'Neraca Unaudited SIMAK'!$A$2:$R$1272,13,FALSE)+IF(ISNA(VLOOKUP($A167,'Mutasi Neraca'!$A$3:$S$910,13,FALSE)),0,VLOOKUP($A167,'Mutasi Neraca'!$A$3:$S$910,13,FALSE))</f>
        <v>-1867853341</v>
      </c>
      <c r="O167" s="42">
        <f>VLOOKUP($A167,'Neraca Unaudited SIMAK'!$A$2:$R$1272,14,FALSE)+IF(ISNA(VLOOKUP($A167,'Mutasi Neraca'!$A$3:$S$910,14,FALSE)),0,VLOOKUP($A167,'Mutasi Neraca'!$A$3:$S$910,14,FALSE))</f>
        <v>-991531106</v>
      </c>
      <c r="P167" s="42">
        <f>VLOOKUP($A167,'Neraca Unaudited SIMAK'!$A$2:$R$1272,15,FALSE)+IF(ISNA(VLOOKUP($A167,'Mutasi Neraca'!$A$3:$S$910,15,FALSE)),0,VLOOKUP($A167,'Mutasi Neraca'!$A$3:$S$910,15,FALSE))</f>
        <v>-4807010</v>
      </c>
      <c r="Q167" s="42">
        <f>VLOOKUP($A167,'Neraca Unaudited SIMAK'!$A$2:$R$1272,16,FALSE)+IF(ISNA(VLOOKUP($A167,'Mutasi Neraca'!$A$3:$S$910,16,FALSE)),0,VLOOKUP($A167,'Mutasi Neraca'!$A$3:$S$910,16,FALSE))</f>
        <v>0</v>
      </c>
      <c r="R167" s="42">
        <f>VLOOKUP($A167,'Neraca Unaudited SIMAK'!$A$2:$R$1272,17,FALSE)+IF(ISNA(VLOOKUP($A167,'Mutasi Neraca'!$A$3:$S$910,17,FALSE)),0,VLOOKUP($A167,'Mutasi Neraca'!$A$3:$S$910,17,FALSE))</f>
        <v>0</v>
      </c>
      <c r="S167" s="42">
        <f t="shared" si="47"/>
        <v>8716846280</v>
      </c>
    </row>
    <row r="168" spans="1:19">
      <c r="A168" s="41" t="s">
        <v>175</v>
      </c>
      <c r="B168" s="41" t="str">
        <f t="shared" si="46"/>
        <v>005010500</v>
      </c>
      <c r="D168" s="42">
        <f>VLOOKUP($A168,'Neraca Unaudited SIMAK'!$A$2:$R$1272,3,FALSE)+IF(ISNA(VLOOKUP($A168,'Mutasi Neraca'!$A$3:$S$910,3,FALSE)),0,VLOOKUP($A168,'Mutasi Neraca'!$A$3:$S$910,3,FALSE))</f>
        <v>610900</v>
      </c>
      <c r="E168" s="42">
        <f>VLOOKUP($A168,'Neraca Unaudited SIMAK'!$A$2:$R$1272,4,FALSE)+IF(ISNA(VLOOKUP($A168,'Mutasi Neraca'!$A$3:$S$910,4,FALSE)),0,VLOOKUP($A168,'Mutasi Neraca'!$A$3:$S$910,4,FALSE))</f>
        <v>16506820000</v>
      </c>
      <c r="F168" s="42">
        <f>VLOOKUP($A168,'Neraca Unaudited SIMAK'!$A$2:$R$1272,5,FALSE)+IF(ISNA(VLOOKUP($A168,'Mutasi Neraca'!$A$3:$S$910,5,FALSE)),0,VLOOKUP($A168,'Mutasi Neraca'!$A$3:$S$910,5,FALSE))</f>
        <v>1702310448</v>
      </c>
      <c r="G168" s="42">
        <f>VLOOKUP($A168,'Neraca Unaudited SIMAK'!$A$2:$R$1272,6,FALSE)+IF(ISNA(VLOOKUP($A168,'Mutasi Neraca'!$A$3:$S$910,6,FALSE)),0,VLOOKUP($A168,'Mutasi Neraca'!$A$3:$S$910,6,FALSE))</f>
        <v>4741512100</v>
      </c>
      <c r="H168" s="42">
        <f>VLOOKUP($A168,'Neraca Unaudited SIMAK'!$A$2:$R$1272,7,FALSE)+IF(ISNA(VLOOKUP($A168,'Mutasi Neraca'!$A$3:$S$910,7,FALSE)),0,VLOOKUP($A168,'Mutasi Neraca'!$A$3:$S$910,7,FALSE))</f>
        <v>481487500</v>
      </c>
      <c r="I168" s="42">
        <f>VLOOKUP($A168,'Neraca Unaudited SIMAK'!$A$2:$R$1272,8,FALSE)+IF(ISNA(VLOOKUP($A168,'Mutasi Neraca'!$A$3:$S$910,8,FALSE)),0,VLOOKUP($A168,'Mutasi Neraca'!$A$3:$S$910,8,FALSE))</f>
        <v>6405062</v>
      </c>
      <c r="J168" s="42">
        <f>VLOOKUP($A168,'Neraca Unaudited SIMAK'!$A$2:$R$1272,9,FALSE)+IF(ISNA(VLOOKUP($A168,'Mutasi Neraca'!$A$3:$S$910,9,FALSE)),0,VLOOKUP($A168,'Mutasi Neraca'!$A$3:$S$910,9,FALSE))</f>
        <v>7022291250</v>
      </c>
      <c r="K168" s="42">
        <f>VLOOKUP($A168,'Neraca Unaudited SIMAK'!$A$2:$R$1272,10,FALSE)+IF(ISNA(VLOOKUP($A168,'Mutasi Neraca'!$A$3:$S$910,10,FALSE)),0,VLOOKUP($A168,'Mutasi Neraca'!$A$3:$S$910,10,FALSE))</f>
        <v>92940000</v>
      </c>
      <c r="L168" s="42">
        <f>VLOOKUP($A168,'Neraca Unaudited SIMAK'!$A$2:$R$1272,11,FALSE)+IF(ISNA(VLOOKUP($A168,'Mutasi Neraca'!$A$3:$S$910,11,FALSE)),0,VLOOKUP($A168,'Mutasi Neraca'!$A$3:$S$910,11,FALSE))</f>
        <v>2708400</v>
      </c>
      <c r="M168" s="42">
        <f>VLOOKUP($A168,'Neraca Unaudited SIMAK'!$A$2:$R$1272,12,FALSE)+IF(ISNA(VLOOKUP($A168,'Mutasi Neraca'!$A$3:$S$910,12,FALSE)),0,VLOOKUP($A168,'Mutasi Neraca'!$A$3:$S$910,12,FALSE))</f>
        <v>30557085660</v>
      </c>
      <c r="N168" s="42">
        <f>VLOOKUP($A168,'Neraca Unaudited SIMAK'!$A$2:$R$1272,13,FALSE)+IF(ISNA(VLOOKUP($A168,'Mutasi Neraca'!$A$3:$S$910,13,FALSE)),0,VLOOKUP($A168,'Mutasi Neraca'!$A$3:$S$910,13,FALSE))</f>
        <v>-1489628727</v>
      </c>
      <c r="O168" s="42">
        <f>VLOOKUP($A168,'Neraca Unaudited SIMAK'!$A$2:$R$1272,14,FALSE)+IF(ISNA(VLOOKUP($A168,'Mutasi Neraca'!$A$3:$S$910,14,FALSE)),0,VLOOKUP($A168,'Mutasi Neraca'!$A$3:$S$910,14,FALSE))</f>
        <v>-1162219941</v>
      </c>
      <c r="P168" s="42">
        <f>VLOOKUP($A168,'Neraca Unaudited SIMAK'!$A$2:$R$1272,15,FALSE)+IF(ISNA(VLOOKUP($A168,'Mutasi Neraca'!$A$3:$S$910,15,FALSE)),0,VLOOKUP($A168,'Mutasi Neraca'!$A$3:$S$910,15,FALSE))</f>
        <v>-73504785</v>
      </c>
      <c r="Q168" s="42">
        <f>VLOOKUP($A168,'Neraca Unaudited SIMAK'!$A$2:$R$1272,16,FALSE)+IF(ISNA(VLOOKUP($A168,'Mutasi Neraca'!$A$3:$S$910,16,FALSE)),0,VLOOKUP($A168,'Mutasi Neraca'!$A$3:$S$910,16,FALSE))</f>
        <v>0</v>
      </c>
      <c r="R168" s="42">
        <f>VLOOKUP($A168,'Neraca Unaudited SIMAK'!$A$2:$R$1272,17,FALSE)+IF(ISNA(VLOOKUP($A168,'Mutasi Neraca'!$A$3:$S$910,17,FALSE)),0,VLOOKUP($A168,'Mutasi Neraca'!$A$3:$S$910,17,FALSE))</f>
        <v>-2595900</v>
      </c>
      <c r="S168" s="42">
        <f t="shared" si="47"/>
        <v>27829136307</v>
      </c>
    </row>
    <row r="169" spans="1:19">
      <c r="A169" s="41" t="s">
        <v>176</v>
      </c>
      <c r="B169" s="41" t="str">
        <f t="shared" si="46"/>
        <v>005010500</v>
      </c>
      <c r="D169" s="42">
        <f>VLOOKUP($A169,'Neraca Unaudited SIMAK'!$A$2:$R$1272,3,FALSE)+IF(ISNA(VLOOKUP($A169,'Mutasi Neraca'!$A$3:$S$910,3,FALSE)),0,VLOOKUP($A169,'Mutasi Neraca'!$A$3:$S$910,3,FALSE))</f>
        <v>0</v>
      </c>
      <c r="E169" s="42">
        <f>VLOOKUP($A169,'Neraca Unaudited SIMAK'!$A$2:$R$1272,4,FALSE)+IF(ISNA(VLOOKUP($A169,'Mutasi Neraca'!$A$3:$S$910,4,FALSE)),0,VLOOKUP($A169,'Mutasi Neraca'!$A$3:$S$910,4,FALSE))</f>
        <v>7419654000</v>
      </c>
      <c r="F169" s="42">
        <f>VLOOKUP($A169,'Neraca Unaudited SIMAK'!$A$2:$R$1272,5,FALSE)+IF(ISNA(VLOOKUP($A169,'Mutasi Neraca'!$A$3:$S$910,5,FALSE)),0,VLOOKUP($A169,'Mutasi Neraca'!$A$3:$S$910,5,FALSE))</f>
        <v>1347408254</v>
      </c>
      <c r="G169" s="42">
        <f>VLOOKUP($A169,'Neraca Unaudited SIMAK'!$A$2:$R$1272,6,FALSE)+IF(ISNA(VLOOKUP($A169,'Mutasi Neraca'!$A$3:$S$910,6,FALSE)),0,VLOOKUP($A169,'Mutasi Neraca'!$A$3:$S$910,6,FALSE))</f>
        <v>4050679450</v>
      </c>
      <c r="H169" s="42">
        <f>VLOOKUP($A169,'Neraca Unaudited SIMAK'!$A$2:$R$1272,7,FALSE)+IF(ISNA(VLOOKUP($A169,'Mutasi Neraca'!$A$3:$S$910,7,FALSE)),0,VLOOKUP($A169,'Mutasi Neraca'!$A$3:$S$910,7,FALSE))</f>
        <v>0</v>
      </c>
      <c r="I169" s="42">
        <f>VLOOKUP($A169,'Neraca Unaudited SIMAK'!$A$2:$R$1272,8,FALSE)+IF(ISNA(VLOOKUP($A169,'Mutasi Neraca'!$A$3:$S$910,8,FALSE)),0,VLOOKUP($A169,'Mutasi Neraca'!$A$3:$S$910,8,FALSE))</f>
        <v>205180062</v>
      </c>
      <c r="J169" s="42">
        <f>VLOOKUP($A169,'Neraca Unaudited SIMAK'!$A$2:$R$1272,9,FALSE)+IF(ISNA(VLOOKUP($A169,'Mutasi Neraca'!$A$3:$S$910,9,FALSE)),0,VLOOKUP($A169,'Mutasi Neraca'!$A$3:$S$910,9,FALSE))</f>
        <v>0</v>
      </c>
      <c r="K169" s="42">
        <f>VLOOKUP($A169,'Neraca Unaudited SIMAK'!$A$2:$R$1272,10,FALSE)+IF(ISNA(VLOOKUP($A169,'Mutasi Neraca'!$A$3:$S$910,10,FALSE)),0,VLOOKUP($A169,'Mutasi Neraca'!$A$3:$S$910,10,FALSE))</f>
        <v>60280000</v>
      </c>
      <c r="L169" s="42">
        <f>VLOOKUP($A169,'Neraca Unaudited SIMAK'!$A$2:$R$1272,11,FALSE)+IF(ISNA(VLOOKUP($A169,'Mutasi Neraca'!$A$3:$S$910,11,FALSE)),0,VLOOKUP($A169,'Mutasi Neraca'!$A$3:$S$910,11,FALSE))</f>
        <v>25250000</v>
      </c>
      <c r="M169" s="42">
        <f>VLOOKUP($A169,'Neraca Unaudited SIMAK'!$A$2:$R$1272,12,FALSE)+IF(ISNA(VLOOKUP($A169,'Mutasi Neraca'!$A$3:$S$910,12,FALSE)),0,VLOOKUP($A169,'Mutasi Neraca'!$A$3:$S$910,12,FALSE))</f>
        <v>13108451766</v>
      </c>
      <c r="N169" s="42">
        <f>VLOOKUP($A169,'Neraca Unaudited SIMAK'!$A$2:$R$1272,13,FALSE)+IF(ISNA(VLOOKUP($A169,'Mutasi Neraca'!$A$3:$S$910,13,FALSE)),0,VLOOKUP($A169,'Mutasi Neraca'!$A$3:$S$910,13,FALSE))</f>
        <v>-1152399779</v>
      </c>
      <c r="O169" s="42">
        <f>VLOOKUP($A169,'Neraca Unaudited SIMAK'!$A$2:$R$1272,14,FALSE)+IF(ISNA(VLOOKUP($A169,'Mutasi Neraca'!$A$3:$S$910,14,FALSE)),0,VLOOKUP($A169,'Mutasi Neraca'!$A$3:$S$910,14,FALSE))</f>
        <v>-2369335859</v>
      </c>
      <c r="P169" s="42">
        <f>VLOOKUP($A169,'Neraca Unaudited SIMAK'!$A$2:$R$1272,15,FALSE)+IF(ISNA(VLOOKUP($A169,'Mutasi Neraca'!$A$3:$S$910,15,FALSE)),0,VLOOKUP($A169,'Mutasi Neraca'!$A$3:$S$910,15,FALSE))</f>
        <v>0</v>
      </c>
      <c r="Q169" s="42">
        <f>VLOOKUP($A169,'Neraca Unaudited SIMAK'!$A$2:$R$1272,16,FALSE)+IF(ISNA(VLOOKUP($A169,'Mutasi Neraca'!$A$3:$S$910,16,FALSE)),0,VLOOKUP($A169,'Mutasi Neraca'!$A$3:$S$910,16,FALSE))</f>
        <v>0</v>
      </c>
      <c r="R169" s="42">
        <f>VLOOKUP($A169,'Neraca Unaudited SIMAK'!$A$2:$R$1272,17,FALSE)+IF(ISNA(VLOOKUP($A169,'Mutasi Neraca'!$A$3:$S$910,17,FALSE)),0,VLOOKUP($A169,'Mutasi Neraca'!$A$3:$S$910,17,FALSE))</f>
        <v>-25250000</v>
      </c>
      <c r="S169" s="42">
        <f t="shared" si="47"/>
        <v>9561466128</v>
      </c>
    </row>
    <row r="170" spans="1:19">
      <c r="A170" s="41" t="s">
        <v>177</v>
      </c>
      <c r="B170" s="41" t="str">
        <f t="shared" si="46"/>
        <v>005010500</v>
      </c>
      <c r="D170" s="42">
        <f>VLOOKUP($A170,'Neraca Unaudited SIMAK'!$A$2:$R$1272,3,FALSE)+IF(ISNA(VLOOKUP($A170,'Mutasi Neraca'!$A$3:$S$910,3,FALSE)),0,VLOOKUP($A170,'Mutasi Neraca'!$A$3:$S$910,3,FALSE))</f>
        <v>0</v>
      </c>
      <c r="E170" s="42">
        <f>VLOOKUP($A170,'Neraca Unaudited SIMAK'!$A$2:$R$1272,4,FALSE)+IF(ISNA(VLOOKUP($A170,'Mutasi Neraca'!$A$3:$S$910,4,FALSE)),0,VLOOKUP($A170,'Mutasi Neraca'!$A$3:$S$910,4,FALSE))</f>
        <v>2860125000</v>
      </c>
      <c r="F170" s="42">
        <f>VLOOKUP($A170,'Neraca Unaudited SIMAK'!$A$2:$R$1272,5,FALSE)+IF(ISNA(VLOOKUP($A170,'Mutasi Neraca'!$A$3:$S$910,5,FALSE)),0,VLOOKUP($A170,'Mutasi Neraca'!$A$3:$S$910,5,FALSE))</f>
        <v>1459886654</v>
      </c>
      <c r="G170" s="42">
        <f>VLOOKUP($A170,'Neraca Unaudited SIMAK'!$A$2:$R$1272,6,FALSE)+IF(ISNA(VLOOKUP($A170,'Mutasi Neraca'!$A$3:$S$910,6,FALSE)),0,VLOOKUP($A170,'Mutasi Neraca'!$A$3:$S$910,6,FALSE))</f>
        <v>2225391000</v>
      </c>
      <c r="H170" s="42">
        <f>VLOOKUP($A170,'Neraca Unaudited SIMAK'!$A$2:$R$1272,7,FALSE)+IF(ISNA(VLOOKUP($A170,'Mutasi Neraca'!$A$3:$S$910,7,FALSE)),0,VLOOKUP($A170,'Mutasi Neraca'!$A$3:$S$910,7,FALSE))</f>
        <v>124680000</v>
      </c>
      <c r="I170" s="42">
        <f>VLOOKUP($A170,'Neraca Unaudited SIMAK'!$A$2:$R$1272,8,FALSE)+IF(ISNA(VLOOKUP($A170,'Mutasi Neraca'!$A$3:$S$910,8,FALSE)),0,VLOOKUP($A170,'Mutasi Neraca'!$A$3:$S$910,8,FALSE))</f>
        <v>6355062</v>
      </c>
      <c r="J170" s="42">
        <f>VLOOKUP($A170,'Neraca Unaudited SIMAK'!$A$2:$R$1272,9,FALSE)+IF(ISNA(VLOOKUP($A170,'Mutasi Neraca'!$A$3:$S$910,9,FALSE)),0,VLOOKUP($A170,'Mutasi Neraca'!$A$3:$S$910,9,FALSE))</f>
        <v>0</v>
      </c>
      <c r="K170" s="42">
        <f>VLOOKUP($A170,'Neraca Unaudited SIMAK'!$A$2:$R$1272,10,FALSE)+IF(ISNA(VLOOKUP($A170,'Mutasi Neraca'!$A$3:$S$910,10,FALSE)),0,VLOOKUP($A170,'Mutasi Neraca'!$A$3:$S$910,10,FALSE))</f>
        <v>0</v>
      </c>
      <c r="L170" s="42">
        <f>VLOOKUP($A170,'Neraca Unaudited SIMAK'!$A$2:$R$1272,11,FALSE)+IF(ISNA(VLOOKUP($A170,'Mutasi Neraca'!$A$3:$S$910,11,FALSE)),0,VLOOKUP($A170,'Mutasi Neraca'!$A$3:$S$910,11,FALSE))</f>
        <v>0</v>
      </c>
      <c r="M170" s="42">
        <f>VLOOKUP($A170,'Neraca Unaudited SIMAK'!$A$2:$R$1272,12,FALSE)+IF(ISNA(VLOOKUP($A170,'Mutasi Neraca'!$A$3:$S$910,12,FALSE)),0,VLOOKUP($A170,'Mutasi Neraca'!$A$3:$S$910,12,FALSE))</f>
        <v>6676437716</v>
      </c>
      <c r="N170" s="42">
        <f>VLOOKUP($A170,'Neraca Unaudited SIMAK'!$A$2:$R$1272,13,FALSE)+IF(ISNA(VLOOKUP($A170,'Mutasi Neraca'!$A$3:$S$910,13,FALSE)),0,VLOOKUP($A170,'Mutasi Neraca'!$A$3:$S$910,13,FALSE))</f>
        <v>-1218784424</v>
      </c>
      <c r="O170" s="42">
        <f>VLOOKUP($A170,'Neraca Unaudited SIMAK'!$A$2:$R$1272,14,FALSE)+IF(ISNA(VLOOKUP($A170,'Mutasi Neraca'!$A$3:$S$910,14,FALSE)),0,VLOOKUP($A170,'Mutasi Neraca'!$A$3:$S$910,14,FALSE))</f>
        <v>-372823240</v>
      </c>
      <c r="P170" s="42">
        <f>VLOOKUP($A170,'Neraca Unaudited SIMAK'!$A$2:$R$1272,15,FALSE)+IF(ISNA(VLOOKUP($A170,'Mutasi Neraca'!$A$3:$S$910,15,FALSE)),0,VLOOKUP($A170,'Mutasi Neraca'!$A$3:$S$910,15,FALSE))</f>
        <v>-17143500</v>
      </c>
      <c r="Q170" s="42">
        <f>VLOOKUP($A170,'Neraca Unaudited SIMAK'!$A$2:$R$1272,16,FALSE)+IF(ISNA(VLOOKUP($A170,'Mutasi Neraca'!$A$3:$S$910,16,FALSE)),0,VLOOKUP($A170,'Mutasi Neraca'!$A$3:$S$910,16,FALSE))</f>
        <v>0</v>
      </c>
      <c r="R170" s="42">
        <f>VLOOKUP($A170,'Neraca Unaudited SIMAK'!$A$2:$R$1272,17,FALSE)+IF(ISNA(VLOOKUP($A170,'Mutasi Neraca'!$A$3:$S$910,17,FALSE)),0,VLOOKUP($A170,'Mutasi Neraca'!$A$3:$S$910,17,FALSE))</f>
        <v>0</v>
      </c>
      <c r="S170" s="42">
        <f t="shared" si="47"/>
        <v>5067686552</v>
      </c>
    </row>
    <row r="171" spans="1:19">
      <c r="A171" s="41" t="s">
        <v>178</v>
      </c>
      <c r="B171" s="41" t="str">
        <f t="shared" si="46"/>
        <v>005010500</v>
      </c>
      <c r="D171" s="42">
        <f>VLOOKUP($A171,'Neraca Unaudited SIMAK'!$A$2:$R$1272,3,FALSE)+IF(ISNA(VLOOKUP($A171,'Mutasi Neraca'!$A$3:$S$910,3,FALSE)),0,VLOOKUP($A171,'Mutasi Neraca'!$A$3:$S$910,3,FALSE))</f>
        <v>90000</v>
      </c>
      <c r="E171" s="42">
        <f>VLOOKUP($A171,'Neraca Unaudited SIMAK'!$A$2:$R$1272,4,FALSE)+IF(ISNA(VLOOKUP($A171,'Mutasi Neraca'!$A$3:$S$910,4,FALSE)),0,VLOOKUP($A171,'Mutasi Neraca'!$A$3:$S$910,4,FALSE))</f>
        <v>15917657000</v>
      </c>
      <c r="F171" s="42">
        <f>VLOOKUP($A171,'Neraca Unaudited SIMAK'!$A$2:$R$1272,5,FALSE)+IF(ISNA(VLOOKUP($A171,'Mutasi Neraca'!$A$3:$S$910,5,FALSE)),0,VLOOKUP($A171,'Mutasi Neraca'!$A$3:$S$910,5,FALSE))</f>
        <v>2105424942</v>
      </c>
      <c r="G171" s="42">
        <f>VLOOKUP($A171,'Neraca Unaudited SIMAK'!$A$2:$R$1272,6,FALSE)+IF(ISNA(VLOOKUP($A171,'Mutasi Neraca'!$A$3:$S$910,6,FALSE)),0,VLOOKUP($A171,'Mutasi Neraca'!$A$3:$S$910,6,FALSE))</f>
        <v>5930222575</v>
      </c>
      <c r="H171" s="42">
        <f>VLOOKUP($A171,'Neraca Unaudited SIMAK'!$A$2:$R$1272,7,FALSE)+IF(ISNA(VLOOKUP($A171,'Mutasi Neraca'!$A$3:$S$910,7,FALSE)),0,VLOOKUP($A171,'Mutasi Neraca'!$A$3:$S$910,7,FALSE))</f>
        <v>109804750</v>
      </c>
      <c r="I171" s="42">
        <f>VLOOKUP($A171,'Neraca Unaudited SIMAK'!$A$2:$R$1272,8,FALSE)+IF(ISNA(VLOOKUP($A171,'Mutasi Neraca'!$A$3:$S$910,8,FALSE)),0,VLOOKUP($A171,'Mutasi Neraca'!$A$3:$S$910,8,FALSE))</f>
        <v>9183740</v>
      </c>
      <c r="J171" s="42">
        <f>VLOOKUP($A171,'Neraca Unaudited SIMAK'!$A$2:$R$1272,9,FALSE)+IF(ISNA(VLOOKUP($A171,'Mutasi Neraca'!$A$3:$S$910,9,FALSE)),0,VLOOKUP($A171,'Mutasi Neraca'!$A$3:$S$910,9,FALSE))</f>
        <v>0</v>
      </c>
      <c r="K171" s="42">
        <f>VLOOKUP($A171,'Neraca Unaudited SIMAK'!$A$2:$R$1272,10,FALSE)+IF(ISNA(VLOOKUP($A171,'Mutasi Neraca'!$A$3:$S$910,10,FALSE)),0,VLOOKUP($A171,'Mutasi Neraca'!$A$3:$S$910,10,FALSE))</f>
        <v>0</v>
      </c>
      <c r="L171" s="42">
        <f>VLOOKUP($A171,'Neraca Unaudited SIMAK'!$A$2:$R$1272,11,FALSE)+IF(ISNA(VLOOKUP($A171,'Mutasi Neraca'!$A$3:$S$910,11,FALSE)),0,VLOOKUP($A171,'Mutasi Neraca'!$A$3:$S$910,11,FALSE))</f>
        <v>147774800</v>
      </c>
      <c r="M171" s="42">
        <f>VLOOKUP($A171,'Neraca Unaudited SIMAK'!$A$2:$R$1272,12,FALSE)+IF(ISNA(VLOOKUP($A171,'Mutasi Neraca'!$A$3:$S$910,12,FALSE)),0,VLOOKUP($A171,'Mutasi Neraca'!$A$3:$S$910,12,FALSE))</f>
        <v>24220157807</v>
      </c>
      <c r="N171" s="42">
        <f>VLOOKUP($A171,'Neraca Unaudited SIMAK'!$A$2:$R$1272,13,FALSE)+IF(ISNA(VLOOKUP($A171,'Mutasi Neraca'!$A$3:$S$910,13,FALSE)),0,VLOOKUP($A171,'Mutasi Neraca'!$A$3:$S$910,13,FALSE))</f>
        <v>-1907802627</v>
      </c>
      <c r="O171" s="42">
        <f>VLOOKUP($A171,'Neraca Unaudited SIMAK'!$A$2:$R$1272,14,FALSE)+IF(ISNA(VLOOKUP($A171,'Mutasi Neraca'!$A$3:$S$910,14,FALSE)),0,VLOOKUP($A171,'Mutasi Neraca'!$A$3:$S$910,14,FALSE))</f>
        <v>-3650008399</v>
      </c>
      <c r="P171" s="42">
        <f>VLOOKUP($A171,'Neraca Unaudited SIMAK'!$A$2:$R$1272,15,FALSE)+IF(ISNA(VLOOKUP($A171,'Mutasi Neraca'!$A$3:$S$910,15,FALSE)),0,VLOOKUP($A171,'Mutasi Neraca'!$A$3:$S$910,15,FALSE))</f>
        <v>-97805950</v>
      </c>
      <c r="Q171" s="42">
        <f>VLOOKUP($A171,'Neraca Unaudited SIMAK'!$A$2:$R$1272,16,FALSE)+IF(ISNA(VLOOKUP($A171,'Mutasi Neraca'!$A$3:$S$910,16,FALSE)),0,VLOOKUP($A171,'Mutasi Neraca'!$A$3:$S$910,16,FALSE))</f>
        <v>0</v>
      </c>
      <c r="R171" s="42">
        <f>VLOOKUP($A171,'Neraca Unaudited SIMAK'!$A$2:$R$1272,17,FALSE)+IF(ISNA(VLOOKUP($A171,'Mutasi Neraca'!$A$3:$S$910,17,FALSE)),0,VLOOKUP($A171,'Mutasi Neraca'!$A$3:$S$910,17,FALSE))</f>
        <v>-147774800</v>
      </c>
      <c r="S171" s="42">
        <f t="shared" si="47"/>
        <v>18416766031</v>
      </c>
    </row>
    <row r="172" spans="1:19">
      <c r="A172" s="41" t="s">
        <v>179</v>
      </c>
      <c r="B172" s="41" t="str">
        <f t="shared" si="46"/>
        <v>005010500</v>
      </c>
      <c r="D172" s="42">
        <f>VLOOKUP($A172,'Neraca Unaudited SIMAK'!$A$2:$R$1272,3,FALSE)+IF(ISNA(VLOOKUP($A172,'Mutasi Neraca'!$A$3:$S$910,3,FALSE)),0,VLOOKUP($A172,'Mutasi Neraca'!$A$3:$S$910,3,FALSE))</f>
        <v>4854200</v>
      </c>
      <c r="E172" s="42">
        <f>VLOOKUP($A172,'Neraca Unaudited SIMAK'!$A$2:$R$1272,4,FALSE)+IF(ISNA(VLOOKUP($A172,'Mutasi Neraca'!$A$3:$S$910,4,FALSE)),0,VLOOKUP($A172,'Mutasi Neraca'!$A$3:$S$910,4,FALSE))</f>
        <v>4896009308</v>
      </c>
      <c r="F172" s="42">
        <f>VLOOKUP($A172,'Neraca Unaudited SIMAK'!$A$2:$R$1272,5,FALSE)+IF(ISNA(VLOOKUP($A172,'Mutasi Neraca'!$A$3:$S$910,5,FALSE)),0,VLOOKUP($A172,'Mutasi Neraca'!$A$3:$S$910,5,FALSE))</f>
        <v>1594418419</v>
      </c>
      <c r="G172" s="42">
        <f>VLOOKUP($A172,'Neraca Unaudited SIMAK'!$A$2:$R$1272,6,FALSE)+IF(ISNA(VLOOKUP($A172,'Mutasi Neraca'!$A$3:$S$910,6,FALSE)),0,VLOOKUP($A172,'Mutasi Neraca'!$A$3:$S$910,6,FALSE))</f>
        <v>2944727142</v>
      </c>
      <c r="H172" s="42">
        <f>VLOOKUP($A172,'Neraca Unaudited SIMAK'!$A$2:$R$1272,7,FALSE)+IF(ISNA(VLOOKUP($A172,'Mutasi Neraca'!$A$3:$S$910,7,FALSE)),0,VLOOKUP($A172,'Mutasi Neraca'!$A$3:$S$910,7,FALSE))</f>
        <v>0</v>
      </c>
      <c r="I172" s="42">
        <f>VLOOKUP($A172,'Neraca Unaudited SIMAK'!$A$2:$R$1272,8,FALSE)+IF(ISNA(VLOOKUP($A172,'Mutasi Neraca'!$A$3:$S$910,8,FALSE)),0,VLOOKUP($A172,'Mutasi Neraca'!$A$3:$S$910,8,FALSE))</f>
        <v>6355062</v>
      </c>
      <c r="J172" s="42">
        <f>VLOOKUP($A172,'Neraca Unaudited SIMAK'!$A$2:$R$1272,9,FALSE)+IF(ISNA(VLOOKUP($A172,'Mutasi Neraca'!$A$3:$S$910,9,FALSE)),0,VLOOKUP($A172,'Mutasi Neraca'!$A$3:$S$910,9,FALSE))</f>
        <v>0</v>
      </c>
      <c r="K172" s="42">
        <f>VLOOKUP($A172,'Neraca Unaudited SIMAK'!$A$2:$R$1272,10,FALSE)+IF(ISNA(VLOOKUP($A172,'Mutasi Neraca'!$A$3:$S$910,10,FALSE)),0,VLOOKUP($A172,'Mutasi Neraca'!$A$3:$S$910,10,FALSE))</f>
        <v>0</v>
      </c>
      <c r="L172" s="42">
        <f>VLOOKUP($A172,'Neraca Unaudited SIMAK'!$A$2:$R$1272,11,FALSE)+IF(ISNA(VLOOKUP($A172,'Mutasi Neraca'!$A$3:$S$910,11,FALSE)),0,VLOOKUP($A172,'Mutasi Neraca'!$A$3:$S$910,11,FALSE))</f>
        <v>26978000</v>
      </c>
      <c r="M172" s="42">
        <f>VLOOKUP($A172,'Neraca Unaudited SIMAK'!$A$2:$R$1272,12,FALSE)+IF(ISNA(VLOOKUP($A172,'Mutasi Neraca'!$A$3:$S$910,12,FALSE)),0,VLOOKUP($A172,'Mutasi Neraca'!$A$3:$S$910,12,FALSE))</f>
        <v>9473342131</v>
      </c>
      <c r="N172" s="42">
        <f>VLOOKUP($A172,'Neraca Unaudited SIMAK'!$A$2:$R$1272,13,FALSE)+IF(ISNA(VLOOKUP($A172,'Mutasi Neraca'!$A$3:$S$910,13,FALSE)),0,VLOOKUP($A172,'Mutasi Neraca'!$A$3:$S$910,13,FALSE))</f>
        <v>-1471502068</v>
      </c>
      <c r="O172" s="42">
        <f>VLOOKUP($A172,'Neraca Unaudited SIMAK'!$A$2:$R$1272,14,FALSE)+IF(ISNA(VLOOKUP($A172,'Mutasi Neraca'!$A$3:$S$910,14,FALSE)),0,VLOOKUP($A172,'Mutasi Neraca'!$A$3:$S$910,14,FALSE))</f>
        <v>-975435119</v>
      </c>
      <c r="P172" s="42">
        <f>VLOOKUP($A172,'Neraca Unaudited SIMAK'!$A$2:$R$1272,15,FALSE)+IF(ISNA(VLOOKUP($A172,'Mutasi Neraca'!$A$3:$S$910,15,FALSE)),0,VLOOKUP($A172,'Mutasi Neraca'!$A$3:$S$910,15,FALSE))</f>
        <v>0</v>
      </c>
      <c r="Q172" s="42">
        <f>VLOOKUP($A172,'Neraca Unaudited SIMAK'!$A$2:$R$1272,16,FALSE)+IF(ISNA(VLOOKUP($A172,'Mutasi Neraca'!$A$3:$S$910,16,FALSE)),0,VLOOKUP($A172,'Mutasi Neraca'!$A$3:$S$910,16,FALSE))</f>
        <v>0</v>
      </c>
      <c r="R172" s="42">
        <f>VLOOKUP($A172,'Neraca Unaudited SIMAK'!$A$2:$R$1272,17,FALSE)+IF(ISNA(VLOOKUP($A172,'Mutasi Neraca'!$A$3:$S$910,17,FALSE)),0,VLOOKUP($A172,'Mutasi Neraca'!$A$3:$S$910,17,FALSE))</f>
        <v>-26978000</v>
      </c>
      <c r="S172" s="42">
        <f t="shared" si="47"/>
        <v>6999426944</v>
      </c>
    </row>
    <row r="173" spans="1:19">
      <c r="A173" s="41" t="s">
        <v>180</v>
      </c>
      <c r="B173" s="41" t="str">
        <f t="shared" si="46"/>
        <v>005010500</v>
      </c>
      <c r="D173" s="42">
        <f>VLOOKUP($A173,'Neraca Unaudited SIMAK'!$A$2:$R$1272,3,FALSE)+IF(ISNA(VLOOKUP($A173,'Mutasi Neraca'!$A$3:$S$910,3,FALSE)),0,VLOOKUP($A173,'Mutasi Neraca'!$A$3:$S$910,3,FALSE))</f>
        <v>0</v>
      </c>
      <c r="E173" s="42">
        <f>VLOOKUP($A173,'Neraca Unaudited SIMAK'!$A$2:$R$1272,4,FALSE)+IF(ISNA(VLOOKUP($A173,'Mutasi Neraca'!$A$3:$S$910,4,FALSE)),0,VLOOKUP($A173,'Mutasi Neraca'!$A$3:$S$910,4,FALSE))</f>
        <v>7167000000</v>
      </c>
      <c r="F173" s="42">
        <f>VLOOKUP($A173,'Neraca Unaudited SIMAK'!$A$2:$R$1272,5,FALSE)+IF(ISNA(VLOOKUP($A173,'Mutasi Neraca'!$A$3:$S$910,5,FALSE)),0,VLOOKUP($A173,'Mutasi Neraca'!$A$3:$S$910,5,FALSE))</f>
        <v>1898090401</v>
      </c>
      <c r="G173" s="42">
        <f>VLOOKUP($A173,'Neraca Unaudited SIMAK'!$A$2:$R$1272,6,FALSE)+IF(ISNA(VLOOKUP($A173,'Mutasi Neraca'!$A$3:$S$910,6,FALSE)),0,VLOOKUP($A173,'Mutasi Neraca'!$A$3:$S$910,6,FALSE))</f>
        <v>2479346294</v>
      </c>
      <c r="H173" s="42">
        <f>VLOOKUP($A173,'Neraca Unaudited SIMAK'!$A$2:$R$1272,7,FALSE)+IF(ISNA(VLOOKUP($A173,'Mutasi Neraca'!$A$3:$S$910,7,FALSE)),0,VLOOKUP($A173,'Mutasi Neraca'!$A$3:$S$910,7,FALSE))</f>
        <v>24914450</v>
      </c>
      <c r="I173" s="42">
        <f>VLOOKUP($A173,'Neraca Unaudited SIMAK'!$A$2:$R$1272,8,FALSE)+IF(ISNA(VLOOKUP($A173,'Mutasi Neraca'!$A$3:$S$910,8,FALSE)),0,VLOOKUP($A173,'Mutasi Neraca'!$A$3:$S$910,8,FALSE))</f>
        <v>9038420</v>
      </c>
      <c r="J173" s="42">
        <f>VLOOKUP($A173,'Neraca Unaudited SIMAK'!$A$2:$R$1272,9,FALSE)+IF(ISNA(VLOOKUP($A173,'Mutasi Neraca'!$A$3:$S$910,9,FALSE)),0,VLOOKUP($A173,'Mutasi Neraca'!$A$3:$S$910,9,FALSE))</f>
        <v>0</v>
      </c>
      <c r="K173" s="42">
        <f>VLOOKUP($A173,'Neraca Unaudited SIMAK'!$A$2:$R$1272,10,FALSE)+IF(ISNA(VLOOKUP($A173,'Mutasi Neraca'!$A$3:$S$910,10,FALSE)),0,VLOOKUP($A173,'Mutasi Neraca'!$A$3:$S$910,10,FALSE))</f>
        <v>0</v>
      </c>
      <c r="L173" s="42">
        <f>VLOOKUP($A173,'Neraca Unaudited SIMAK'!$A$2:$R$1272,11,FALSE)+IF(ISNA(VLOOKUP($A173,'Mutasi Neraca'!$A$3:$S$910,11,FALSE)),0,VLOOKUP($A173,'Mutasi Neraca'!$A$3:$S$910,11,FALSE))</f>
        <v>197000</v>
      </c>
      <c r="M173" s="42">
        <f>VLOOKUP($A173,'Neraca Unaudited SIMAK'!$A$2:$R$1272,12,FALSE)+IF(ISNA(VLOOKUP($A173,'Mutasi Neraca'!$A$3:$S$910,12,FALSE)),0,VLOOKUP($A173,'Mutasi Neraca'!$A$3:$S$910,12,FALSE))</f>
        <v>11578586565</v>
      </c>
      <c r="N173" s="42">
        <f>VLOOKUP($A173,'Neraca Unaudited SIMAK'!$A$2:$R$1272,13,FALSE)+IF(ISNA(VLOOKUP($A173,'Mutasi Neraca'!$A$3:$S$910,13,FALSE)),0,VLOOKUP($A173,'Mutasi Neraca'!$A$3:$S$910,13,FALSE))</f>
        <v>-1736254873</v>
      </c>
      <c r="O173" s="42">
        <f>VLOOKUP($A173,'Neraca Unaudited SIMAK'!$A$2:$R$1272,14,FALSE)+IF(ISNA(VLOOKUP($A173,'Mutasi Neraca'!$A$3:$S$910,14,FALSE)),0,VLOOKUP($A173,'Mutasi Neraca'!$A$3:$S$910,14,FALSE))</f>
        <v>-1729182552</v>
      </c>
      <c r="P173" s="42">
        <f>VLOOKUP($A173,'Neraca Unaudited SIMAK'!$A$2:$R$1272,15,FALSE)+IF(ISNA(VLOOKUP($A173,'Mutasi Neraca'!$A$3:$S$910,15,FALSE)),0,VLOOKUP($A173,'Mutasi Neraca'!$A$3:$S$910,15,FALSE))</f>
        <v>-622862</v>
      </c>
      <c r="Q173" s="42">
        <f>VLOOKUP($A173,'Neraca Unaudited SIMAK'!$A$2:$R$1272,16,FALSE)+IF(ISNA(VLOOKUP($A173,'Mutasi Neraca'!$A$3:$S$910,16,FALSE)),0,VLOOKUP($A173,'Mutasi Neraca'!$A$3:$S$910,16,FALSE))</f>
        <v>0</v>
      </c>
      <c r="R173" s="42">
        <f>VLOOKUP($A173,'Neraca Unaudited SIMAK'!$A$2:$R$1272,17,FALSE)+IF(ISNA(VLOOKUP($A173,'Mutasi Neraca'!$A$3:$S$910,17,FALSE)),0,VLOOKUP($A173,'Mutasi Neraca'!$A$3:$S$910,17,FALSE))</f>
        <v>-197000</v>
      </c>
      <c r="S173" s="42">
        <f t="shared" si="47"/>
        <v>8112329278</v>
      </c>
    </row>
    <row r="174" spans="1:19">
      <c r="A174" s="41" t="s">
        <v>181</v>
      </c>
      <c r="B174" s="41" t="str">
        <f t="shared" si="46"/>
        <v>005010500</v>
      </c>
      <c r="D174" s="42">
        <f>VLOOKUP($A174,'Neraca Unaudited SIMAK'!$A$2:$R$1272,3,FALSE)+IF(ISNA(VLOOKUP($A174,'Mutasi Neraca'!$A$3:$S$910,3,FALSE)),0,VLOOKUP($A174,'Mutasi Neraca'!$A$3:$S$910,3,FALSE))</f>
        <v>18500</v>
      </c>
      <c r="E174" s="42">
        <f>VLOOKUP($A174,'Neraca Unaudited SIMAK'!$A$2:$R$1272,4,FALSE)+IF(ISNA(VLOOKUP($A174,'Mutasi Neraca'!$A$3:$S$910,4,FALSE)),0,VLOOKUP($A174,'Mutasi Neraca'!$A$3:$S$910,4,FALSE))</f>
        <v>1927510000</v>
      </c>
      <c r="F174" s="42">
        <f>VLOOKUP($A174,'Neraca Unaudited SIMAK'!$A$2:$R$1272,5,FALSE)+IF(ISNA(VLOOKUP($A174,'Mutasi Neraca'!$A$3:$S$910,5,FALSE)),0,VLOOKUP($A174,'Mutasi Neraca'!$A$3:$S$910,5,FALSE))</f>
        <v>1731822008</v>
      </c>
      <c r="G174" s="42">
        <f>VLOOKUP($A174,'Neraca Unaudited SIMAK'!$A$2:$R$1272,6,FALSE)+IF(ISNA(VLOOKUP($A174,'Mutasi Neraca'!$A$3:$S$910,6,FALSE)),0,VLOOKUP($A174,'Mutasi Neraca'!$A$3:$S$910,6,FALSE))</f>
        <v>12689168150</v>
      </c>
      <c r="H174" s="42">
        <f>VLOOKUP($A174,'Neraca Unaudited SIMAK'!$A$2:$R$1272,7,FALSE)+IF(ISNA(VLOOKUP($A174,'Mutasi Neraca'!$A$3:$S$910,7,FALSE)),0,VLOOKUP($A174,'Mutasi Neraca'!$A$3:$S$910,7,FALSE))</f>
        <v>49665000</v>
      </c>
      <c r="I174" s="42">
        <f>VLOOKUP($A174,'Neraca Unaudited SIMAK'!$A$2:$R$1272,8,FALSE)+IF(ISNA(VLOOKUP($A174,'Mutasi Neraca'!$A$3:$S$910,8,FALSE)),0,VLOOKUP($A174,'Mutasi Neraca'!$A$3:$S$910,8,FALSE))</f>
        <v>9183740</v>
      </c>
      <c r="J174" s="42">
        <f>VLOOKUP($A174,'Neraca Unaudited SIMAK'!$A$2:$R$1272,9,FALSE)+IF(ISNA(VLOOKUP($A174,'Mutasi Neraca'!$A$3:$S$910,9,FALSE)),0,VLOOKUP($A174,'Mutasi Neraca'!$A$3:$S$910,9,FALSE))</f>
        <v>0</v>
      </c>
      <c r="K174" s="42">
        <f>VLOOKUP($A174,'Neraca Unaudited SIMAK'!$A$2:$R$1272,10,FALSE)+IF(ISNA(VLOOKUP($A174,'Mutasi Neraca'!$A$3:$S$910,10,FALSE)),0,VLOOKUP($A174,'Mutasi Neraca'!$A$3:$S$910,10,FALSE))</f>
        <v>0</v>
      </c>
      <c r="L174" s="42">
        <f>VLOOKUP($A174,'Neraca Unaudited SIMAK'!$A$2:$R$1272,11,FALSE)+IF(ISNA(VLOOKUP($A174,'Mutasi Neraca'!$A$3:$S$910,11,FALSE)),0,VLOOKUP($A174,'Mutasi Neraca'!$A$3:$S$910,11,FALSE))</f>
        <v>244690409</v>
      </c>
      <c r="M174" s="42">
        <f>VLOOKUP($A174,'Neraca Unaudited SIMAK'!$A$2:$R$1272,12,FALSE)+IF(ISNA(VLOOKUP($A174,'Mutasi Neraca'!$A$3:$S$910,12,FALSE)),0,VLOOKUP($A174,'Mutasi Neraca'!$A$3:$S$910,12,FALSE))</f>
        <v>16652057807</v>
      </c>
      <c r="N174" s="42">
        <f>VLOOKUP($A174,'Neraca Unaudited SIMAK'!$A$2:$R$1272,13,FALSE)+IF(ISNA(VLOOKUP($A174,'Mutasi Neraca'!$A$3:$S$910,13,FALSE)),0,VLOOKUP($A174,'Mutasi Neraca'!$A$3:$S$910,13,FALSE))</f>
        <v>-1146276413</v>
      </c>
      <c r="O174" s="42">
        <f>VLOOKUP($A174,'Neraca Unaudited SIMAK'!$A$2:$R$1272,14,FALSE)+IF(ISNA(VLOOKUP($A174,'Mutasi Neraca'!$A$3:$S$910,14,FALSE)),0,VLOOKUP($A174,'Mutasi Neraca'!$A$3:$S$910,14,FALSE))</f>
        <v>-660670056</v>
      </c>
      <c r="P174" s="42">
        <f>VLOOKUP($A174,'Neraca Unaudited SIMAK'!$A$2:$R$1272,15,FALSE)+IF(ISNA(VLOOKUP($A174,'Mutasi Neraca'!$A$3:$S$910,15,FALSE)),0,VLOOKUP($A174,'Mutasi Neraca'!$A$3:$S$910,15,FALSE))</f>
        <v>-34765500</v>
      </c>
      <c r="Q174" s="42">
        <f>VLOOKUP($A174,'Neraca Unaudited SIMAK'!$A$2:$R$1272,16,FALSE)+IF(ISNA(VLOOKUP($A174,'Mutasi Neraca'!$A$3:$S$910,16,FALSE)),0,VLOOKUP($A174,'Mutasi Neraca'!$A$3:$S$910,16,FALSE))</f>
        <v>0</v>
      </c>
      <c r="R174" s="42">
        <f>VLOOKUP($A174,'Neraca Unaudited SIMAK'!$A$2:$R$1272,17,FALSE)+IF(ISNA(VLOOKUP($A174,'Mutasi Neraca'!$A$3:$S$910,17,FALSE)),0,VLOOKUP($A174,'Mutasi Neraca'!$A$3:$S$910,17,FALSE))</f>
        <v>-239965903</v>
      </c>
      <c r="S174" s="42">
        <f t="shared" si="47"/>
        <v>14570379935</v>
      </c>
    </row>
    <row r="175" spans="1:19">
      <c r="A175" s="41" t="s">
        <v>182</v>
      </c>
      <c r="B175" s="41" t="str">
        <f t="shared" si="46"/>
        <v>005010500</v>
      </c>
      <c r="D175" s="42">
        <f>VLOOKUP($A175,'Neraca Unaudited SIMAK'!$A$2:$R$1272,3,FALSE)+IF(ISNA(VLOOKUP($A175,'Mutasi Neraca'!$A$3:$S$910,3,FALSE)),0,VLOOKUP($A175,'Mutasi Neraca'!$A$3:$S$910,3,FALSE))</f>
        <v>8822550</v>
      </c>
      <c r="E175" s="42">
        <f>VLOOKUP($A175,'Neraca Unaudited SIMAK'!$A$2:$R$1272,4,FALSE)+IF(ISNA(VLOOKUP($A175,'Mutasi Neraca'!$A$3:$S$910,4,FALSE)),0,VLOOKUP($A175,'Mutasi Neraca'!$A$3:$S$910,4,FALSE))</f>
        <v>12335000080</v>
      </c>
      <c r="F175" s="42">
        <f>VLOOKUP($A175,'Neraca Unaudited SIMAK'!$A$2:$R$1272,5,FALSE)+IF(ISNA(VLOOKUP($A175,'Mutasi Neraca'!$A$3:$S$910,5,FALSE)),0,VLOOKUP($A175,'Mutasi Neraca'!$A$3:$S$910,5,FALSE))</f>
        <v>2114947589</v>
      </c>
      <c r="G175" s="42">
        <f>VLOOKUP($A175,'Neraca Unaudited SIMAK'!$A$2:$R$1272,6,FALSE)+IF(ISNA(VLOOKUP($A175,'Mutasi Neraca'!$A$3:$S$910,6,FALSE)),0,VLOOKUP($A175,'Mutasi Neraca'!$A$3:$S$910,6,FALSE))</f>
        <v>2736124000</v>
      </c>
      <c r="H175" s="42">
        <f>VLOOKUP($A175,'Neraca Unaudited SIMAK'!$A$2:$R$1272,7,FALSE)+IF(ISNA(VLOOKUP($A175,'Mutasi Neraca'!$A$3:$S$910,7,FALSE)),0,VLOOKUP($A175,'Mutasi Neraca'!$A$3:$S$910,7,FALSE))</f>
        <v>0</v>
      </c>
      <c r="I175" s="42">
        <f>VLOOKUP($A175,'Neraca Unaudited SIMAK'!$A$2:$R$1272,8,FALSE)+IF(ISNA(VLOOKUP($A175,'Mutasi Neraca'!$A$3:$S$910,8,FALSE)),0,VLOOKUP($A175,'Mutasi Neraca'!$A$3:$S$910,8,FALSE))</f>
        <v>9198740</v>
      </c>
      <c r="J175" s="42">
        <f>VLOOKUP($A175,'Neraca Unaudited SIMAK'!$A$2:$R$1272,9,FALSE)+IF(ISNA(VLOOKUP($A175,'Mutasi Neraca'!$A$3:$S$910,9,FALSE)),0,VLOOKUP($A175,'Mutasi Neraca'!$A$3:$S$910,9,FALSE))</f>
        <v>0</v>
      </c>
      <c r="K175" s="42">
        <f>VLOOKUP($A175,'Neraca Unaudited SIMAK'!$A$2:$R$1272,10,FALSE)+IF(ISNA(VLOOKUP($A175,'Mutasi Neraca'!$A$3:$S$910,10,FALSE)),0,VLOOKUP($A175,'Mutasi Neraca'!$A$3:$S$910,10,FALSE))</f>
        <v>13000000</v>
      </c>
      <c r="L175" s="42">
        <f>VLOOKUP($A175,'Neraca Unaudited SIMAK'!$A$2:$R$1272,11,FALSE)+IF(ISNA(VLOOKUP($A175,'Mutasi Neraca'!$A$3:$S$910,11,FALSE)),0,VLOOKUP($A175,'Mutasi Neraca'!$A$3:$S$910,11,FALSE))</f>
        <v>460000</v>
      </c>
      <c r="M175" s="42">
        <f>VLOOKUP($A175,'Neraca Unaudited SIMAK'!$A$2:$R$1272,12,FALSE)+IF(ISNA(VLOOKUP($A175,'Mutasi Neraca'!$A$3:$S$910,12,FALSE)),0,VLOOKUP($A175,'Mutasi Neraca'!$A$3:$S$910,12,FALSE))</f>
        <v>17217552959</v>
      </c>
      <c r="N175" s="42">
        <f>VLOOKUP($A175,'Neraca Unaudited SIMAK'!$A$2:$R$1272,13,FALSE)+IF(ISNA(VLOOKUP($A175,'Mutasi Neraca'!$A$3:$S$910,13,FALSE)),0,VLOOKUP($A175,'Mutasi Neraca'!$A$3:$S$910,13,FALSE))</f>
        <v>-1901328664</v>
      </c>
      <c r="O175" s="42">
        <f>VLOOKUP($A175,'Neraca Unaudited SIMAK'!$A$2:$R$1272,14,FALSE)+IF(ISNA(VLOOKUP($A175,'Mutasi Neraca'!$A$3:$S$910,14,FALSE)),0,VLOOKUP($A175,'Mutasi Neraca'!$A$3:$S$910,14,FALSE))</f>
        <v>-1697340760</v>
      </c>
      <c r="P175" s="42">
        <f>VLOOKUP($A175,'Neraca Unaudited SIMAK'!$A$2:$R$1272,15,FALSE)+IF(ISNA(VLOOKUP($A175,'Mutasi Neraca'!$A$3:$S$910,15,FALSE)),0,VLOOKUP($A175,'Mutasi Neraca'!$A$3:$S$910,15,FALSE))</f>
        <v>0</v>
      </c>
      <c r="Q175" s="42">
        <f>VLOOKUP($A175,'Neraca Unaudited SIMAK'!$A$2:$R$1272,16,FALSE)+IF(ISNA(VLOOKUP($A175,'Mutasi Neraca'!$A$3:$S$910,16,FALSE)),0,VLOOKUP($A175,'Mutasi Neraca'!$A$3:$S$910,16,FALSE))</f>
        <v>0</v>
      </c>
      <c r="R175" s="42">
        <f>VLOOKUP($A175,'Neraca Unaudited SIMAK'!$A$2:$R$1272,17,FALSE)+IF(ISNA(VLOOKUP($A175,'Mutasi Neraca'!$A$3:$S$910,17,FALSE)),0,VLOOKUP($A175,'Mutasi Neraca'!$A$3:$S$910,17,FALSE))</f>
        <v>-460000</v>
      </c>
      <c r="S175" s="42">
        <f t="shared" si="47"/>
        <v>13618423535</v>
      </c>
    </row>
    <row r="176" spans="1:19">
      <c r="A176" s="41" t="s">
        <v>183</v>
      </c>
      <c r="B176" s="41" t="str">
        <f t="shared" si="46"/>
        <v>005010500</v>
      </c>
      <c r="D176" s="42">
        <f>VLOOKUP($A176,'Neraca Unaudited SIMAK'!$A$2:$R$1272,3,FALSE)+IF(ISNA(VLOOKUP($A176,'Mutasi Neraca'!$A$3:$S$910,3,FALSE)),0,VLOOKUP($A176,'Mutasi Neraca'!$A$3:$S$910,3,FALSE))</f>
        <v>88000</v>
      </c>
      <c r="E176" s="42">
        <f>VLOOKUP($A176,'Neraca Unaudited SIMAK'!$A$2:$R$1272,4,FALSE)+IF(ISNA(VLOOKUP($A176,'Mutasi Neraca'!$A$3:$S$910,4,FALSE)),0,VLOOKUP($A176,'Mutasi Neraca'!$A$3:$S$910,4,FALSE))</f>
        <v>14990000000</v>
      </c>
      <c r="F176" s="42">
        <f>VLOOKUP($A176,'Neraca Unaudited SIMAK'!$A$2:$R$1272,5,FALSE)+IF(ISNA(VLOOKUP($A176,'Mutasi Neraca'!$A$3:$S$910,5,FALSE)),0,VLOOKUP($A176,'Mutasi Neraca'!$A$3:$S$910,5,FALSE))</f>
        <v>2326311514</v>
      </c>
      <c r="G176" s="42">
        <f>VLOOKUP($A176,'Neraca Unaudited SIMAK'!$A$2:$R$1272,6,FALSE)+IF(ISNA(VLOOKUP($A176,'Mutasi Neraca'!$A$3:$S$910,6,FALSE)),0,VLOOKUP($A176,'Mutasi Neraca'!$A$3:$S$910,6,FALSE))</f>
        <v>4042093552</v>
      </c>
      <c r="H176" s="42">
        <f>VLOOKUP($A176,'Neraca Unaudited SIMAK'!$A$2:$R$1272,7,FALSE)+IF(ISNA(VLOOKUP($A176,'Mutasi Neraca'!$A$3:$S$910,7,FALSE)),0,VLOOKUP($A176,'Mutasi Neraca'!$A$3:$S$910,7,FALSE))</f>
        <v>147870000</v>
      </c>
      <c r="I176" s="42">
        <f>VLOOKUP($A176,'Neraca Unaudited SIMAK'!$A$2:$R$1272,8,FALSE)+IF(ISNA(VLOOKUP($A176,'Mutasi Neraca'!$A$3:$S$910,8,FALSE)),0,VLOOKUP($A176,'Mutasi Neraca'!$A$3:$S$910,8,FALSE))</f>
        <v>9048462</v>
      </c>
      <c r="J176" s="42">
        <f>VLOOKUP($A176,'Neraca Unaudited SIMAK'!$A$2:$R$1272,9,FALSE)+IF(ISNA(VLOOKUP($A176,'Mutasi Neraca'!$A$3:$S$910,9,FALSE)),0,VLOOKUP($A176,'Mutasi Neraca'!$A$3:$S$910,9,FALSE))</f>
        <v>0</v>
      </c>
      <c r="K176" s="42">
        <f>VLOOKUP($A176,'Neraca Unaudited SIMAK'!$A$2:$R$1272,10,FALSE)+IF(ISNA(VLOOKUP($A176,'Mutasi Neraca'!$A$3:$S$910,10,FALSE)),0,VLOOKUP($A176,'Mutasi Neraca'!$A$3:$S$910,10,FALSE))</f>
        <v>0</v>
      </c>
      <c r="L176" s="42">
        <f>VLOOKUP($A176,'Neraca Unaudited SIMAK'!$A$2:$R$1272,11,FALSE)+IF(ISNA(VLOOKUP($A176,'Mutasi Neraca'!$A$3:$S$910,11,FALSE)),0,VLOOKUP($A176,'Mutasi Neraca'!$A$3:$S$910,11,FALSE))</f>
        <v>101000</v>
      </c>
      <c r="M176" s="42">
        <f>VLOOKUP($A176,'Neraca Unaudited SIMAK'!$A$2:$R$1272,12,FALSE)+IF(ISNA(VLOOKUP($A176,'Mutasi Neraca'!$A$3:$S$910,12,FALSE)),0,VLOOKUP($A176,'Mutasi Neraca'!$A$3:$S$910,12,FALSE))</f>
        <v>21515512528</v>
      </c>
      <c r="N176" s="42">
        <f>VLOOKUP($A176,'Neraca Unaudited SIMAK'!$A$2:$R$1272,13,FALSE)+IF(ISNA(VLOOKUP($A176,'Mutasi Neraca'!$A$3:$S$910,13,FALSE)),0,VLOOKUP($A176,'Mutasi Neraca'!$A$3:$S$910,13,FALSE))</f>
        <v>-2080751792</v>
      </c>
      <c r="O176" s="42">
        <f>VLOOKUP($A176,'Neraca Unaudited SIMAK'!$A$2:$R$1272,14,FALSE)+IF(ISNA(VLOOKUP($A176,'Mutasi Neraca'!$A$3:$S$910,14,FALSE)),0,VLOOKUP($A176,'Mutasi Neraca'!$A$3:$S$910,14,FALSE))</f>
        <v>-2729330291</v>
      </c>
      <c r="P176" s="42">
        <f>VLOOKUP($A176,'Neraca Unaudited SIMAK'!$A$2:$R$1272,15,FALSE)+IF(ISNA(VLOOKUP($A176,'Mutasi Neraca'!$A$3:$S$910,15,FALSE)),0,VLOOKUP($A176,'Mutasi Neraca'!$A$3:$S$910,15,FALSE))</f>
        <v>-1848375</v>
      </c>
      <c r="Q176" s="42">
        <f>VLOOKUP($A176,'Neraca Unaudited SIMAK'!$A$2:$R$1272,16,FALSE)+IF(ISNA(VLOOKUP($A176,'Mutasi Neraca'!$A$3:$S$910,16,FALSE)),0,VLOOKUP($A176,'Mutasi Neraca'!$A$3:$S$910,16,FALSE))</f>
        <v>0</v>
      </c>
      <c r="R176" s="42">
        <f>VLOOKUP($A176,'Neraca Unaudited SIMAK'!$A$2:$R$1272,17,FALSE)+IF(ISNA(VLOOKUP($A176,'Mutasi Neraca'!$A$3:$S$910,17,FALSE)),0,VLOOKUP($A176,'Mutasi Neraca'!$A$3:$S$910,17,FALSE))</f>
        <v>-101000</v>
      </c>
      <c r="S176" s="42">
        <f t="shared" si="47"/>
        <v>16703481070</v>
      </c>
    </row>
    <row r="177" spans="1:19">
      <c r="A177" s="41" t="s">
        <v>184</v>
      </c>
      <c r="B177" s="41" t="str">
        <f t="shared" si="46"/>
        <v>005010500</v>
      </c>
      <c r="D177" s="42">
        <f>VLOOKUP($A177,'Neraca Unaudited SIMAK'!$A$2:$R$1272,3,FALSE)+IF(ISNA(VLOOKUP($A177,'Mutasi Neraca'!$A$3:$S$910,3,FALSE)),0,VLOOKUP($A177,'Mutasi Neraca'!$A$3:$S$910,3,FALSE))</f>
        <v>175000</v>
      </c>
      <c r="E177" s="42">
        <f>VLOOKUP($A177,'Neraca Unaudited SIMAK'!$A$2:$R$1272,4,FALSE)+IF(ISNA(VLOOKUP($A177,'Mutasi Neraca'!$A$3:$S$910,4,FALSE)),0,VLOOKUP($A177,'Mutasi Neraca'!$A$3:$S$910,4,FALSE))</f>
        <v>7702915000</v>
      </c>
      <c r="F177" s="42">
        <f>VLOOKUP($A177,'Neraca Unaudited SIMAK'!$A$2:$R$1272,5,FALSE)+IF(ISNA(VLOOKUP($A177,'Mutasi Neraca'!$A$3:$S$910,5,FALSE)),0,VLOOKUP($A177,'Mutasi Neraca'!$A$3:$S$910,5,FALSE))</f>
        <v>1758558882</v>
      </c>
      <c r="G177" s="42">
        <f>VLOOKUP($A177,'Neraca Unaudited SIMAK'!$A$2:$R$1272,6,FALSE)+IF(ISNA(VLOOKUP($A177,'Mutasi Neraca'!$A$3:$S$910,6,FALSE)),0,VLOOKUP($A177,'Mutasi Neraca'!$A$3:$S$910,6,FALSE))</f>
        <v>8213280836</v>
      </c>
      <c r="H177" s="42">
        <f>VLOOKUP($A177,'Neraca Unaudited SIMAK'!$A$2:$R$1272,7,FALSE)+IF(ISNA(VLOOKUP($A177,'Mutasi Neraca'!$A$3:$S$910,7,FALSE)),0,VLOOKUP($A177,'Mutasi Neraca'!$A$3:$S$910,7,FALSE))</f>
        <v>51605340</v>
      </c>
      <c r="I177" s="42">
        <f>VLOOKUP($A177,'Neraca Unaudited SIMAK'!$A$2:$R$1272,8,FALSE)+IF(ISNA(VLOOKUP($A177,'Mutasi Neraca'!$A$3:$S$910,8,FALSE)),0,VLOOKUP($A177,'Mutasi Neraca'!$A$3:$S$910,8,FALSE))</f>
        <v>73206740</v>
      </c>
      <c r="J177" s="42">
        <f>VLOOKUP($A177,'Neraca Unaudited SIMAK'!$A$2:$R$1272,9,FALSE)+IF(ISNA(VLOOKUP($A177,'Mutasi Neraca'!$A$3:$S$910,9,FALSE)),0,VLOOKUP($A177,'Mutasi Neraca'!$A$3:$S$910,9,FALSE))</f>
        <v>0</v>
      </c>
      <c r="K177" s="42">
        <f>VLOOKUP($A177,'Neraca Unaudited SIMAK'!$A$2:$R$1272,10,FALSE)+IF(ISNA(VLOOKUP($A177,'Mutasi Neraca'!$A$3:$S$910,10,FALSE)),0,VLOOKUP($A177,'Mutasi Neraca'!$A$3:$S$910,10,FALSE))</f>
        <v>25000000</v>
      </c>
      <c r="L177" s="42">
        <f>VLOOKUP($A177,'Neraca Unaudited SIMAK'!$A$2:$R$1272,11,FALSE)+IF(ISNA(VLOOKUP($A177,'Mutasi Neraca'!$A$3:$S$910,11,FALSE)),0,VLOOKUP($A177,'Mutasi Neraca'!$A$3:$S$910,11,FALSE))</f>
        <v>323525</v>
      </c>
      <c r="M177" s="42">
        <f>VLOOKUP($A177,'Neraca Unaudited SIMAK'!$A$2:$R$1272,12,FALSE)+IF(ISNA(VLOOKUP($A177,'Mutasi Neraca'!$A$3:$S$910,12,FALSE)),0,VLOOKUP($A177,'Mutasi Neraca'!$A$3:$S$910,12,FALSE))</f>
        <v>17825065323</v>
      </c>
      <c r="N177" s="42">
        <f>VLOOKUP($A177,'Neraca Unaudited SIMAK'!$A$2:$R$1272,13,FALSE)+IF(ISNA(VLOOKUP($A177,'Mutasi Neraca'!$A$3:$S$910,13,FALSE)),0,VLOOKUP($A177,'Mutasi Neraca'!$A$3:$S$910,13,FALSE))</f>
        <v>-1577472064</v>
      </c>
      <c r="O177" s="42">
        <f>VLOOKUP($A177,'Neraca Unaudited SIMAK'!$A$2:$R$1272,14,FALSE)+IF(ISNA(VLOOKUP($A177,'Mutasi Neraca'!$A$3:$S$910,14,FALSE)),0,VLOOKUP($A177,'Mutasi Neraca'!$A$3:$S$910,14,FALSE))</f>
        <v>-7830249927</v>
      </c>
      <c r="P177" s="42">
        <f>VLOOKUP($A177,'Neraca Unaudited SIMAK'!$A$2:$R$1272,15,FALSE)+IF(ISNA(VLOOKUP($A177,'Mutasi Neraca'!$A$3:$S$910,15,FALSE)),0,VLOOKUP($A177,'Mutasi Neraca'!$A$3:$S$910,15,FALSE))</f>
        <v>-7740803</v>
      </c>
      <c r="Q177" s="42">
        <f>VLOOKUP($A177,'Neraca Unaudited SIMAK'!$A$2:$R$1272,16,FALSE)+IF(ISNA(VLOOKUP($A177,'Mutasi Neraca'!$A$3:$S$910,16,FALSE)),0,VLOOKUP($A177,'Mutasi Neraca'!$A$3:$S$910,16,FALSE))</f>
        <v>0</v>
      </c>
      <c r="R177" s="42">
        <f>VLOOKUP($A177,'Neraca Unaudited SIMAK'!$A$2:$R$1272,17,FALSE)+IF(ISNA(VLOOKUP($A177,'Mutasi Neraca'!$A$3:$S$910,17,FALSE)),0,VLOOKUP($A177,'Mutasi Neraca'!$A$3:$S$910,17,FALSE))</f>
        <v>-323525</v>
      </c>
      <c r="S177" s="42">
        <f t="shared" si="47"/>
        <v>8409279004</v>
      </c>
    </row>
    <row r="178" spans="1:19">
      <c r="A178" s="41" t="s">
        <v>185</v>
      </c>
      <c r="B178" s="41" t="str">
        <f t="shared" si="46"/>
        <v>005010500</v>
      </c>
      <c r="D178" s="42">
        <f>VLOOKUP($A178,'Neraca Unaudited SIMAK'!$A$2:$R$1272,3,FALSE)+IF(ISNA(VLOOKUP($A178,'Mutasi Neraca'!$A$3:$S$910,3,FALSE)),0,VLOOKUP($A178,'Mutasi Neraca'!$A$3:$S$910,3,FALSE))</f>
        <v>63500</v>
      </c>
      <c r="E178" s="42">
        <f>VLOOKUP($A178,'Neraca Unaudited SIMAK'!$A$2:$R$1272,4,FALSE)+IF(ISNA(VLOOKUP($A178,'Mutasi Neraca'!$A$3:$S$910,4,FALSE)),0,VLOOKUP($A178,'Mutasi Neraca'!$A$3:$S$910,4,FALSE))</f>
        <v>4219094000</v>
      </c>
      <c r="F178" s="42">
        <f>VLOOKUP($A178,'Neraca Unaudited SIMAK'!$A$2:$R$1272,5,FALSE)+IF(ISNA(VLOOKUP($A178,'Mutasi Neraca'!$A$3:$S$910,5,FALSE)),0,VLOOKUP($A178,'Mutasi Neraca'!$A$3:$S$910,5,FALSE))</f>
        <v>1422240135</v>
      </c>
      <c r="G178" s="42">
        <f>VLOOKUP($A178,'Neraca Unaudited SIMAK'!$A$2:$R$1272,6,FALSE)+IF(ISNA(VLOOKUP($A178,'Mutasi Neraca'!$A$3:$S$910,6,FALSE)),0,VLOOKUP($A178,'Mutasi Neraca'!$A$3:$S$910,6,FALSE))</f>
        <v>2989419620</v>
      </c>
      <c r="H178" s="42">
        <f>VLOOKUP($A178,'Neraca Unaudited SIMAK'!$A$2:$R$1272,7,FALSE)+IF(ISNA(VLOOKUP($A178,'Mutasi Neraca'!$A$3:$S$910,7,FALSE)),0,VLOOKUP($A178,'Mutasi Neraca'!$A$3:$S$910,7,FALSE))</f>
        <v>51887000</v>
      </c>
      <c r="I178" s="42">
        <f>VLOOKUP($A178,'Neraca Unaudited SIMAK'!$A$2:$R$1272,8,FALSE)+IF(ISNA(VLOOKUP($A178,'Mutasi Neraca'!$A$3:$S$910,8,FALSE)),0,VLOOKUP($A178,'Mutasi Neraca'!$A$3:$S$910,8,FALSE))</f>
        <v>38914340</v>
      </c>
      <c r="J178" s="42">
        <f>VLOOKUP($A178,'Neraca Unaudited SIMAK'!$A$2:$R$1272,9,FALSE)+IF(ISNA(VLOOKUP($A178,'Mutasi Neraca'!$A$3:$S$910,9,FALSE)),0,VLOOKUP($A178,'Mutasi Neraca'!$A$3:$S$910,9,FALSE))</f>
        <v>0</v>
      </c>
      <c r="K178" s="42">
        <f>VLOOKUP($A178,'Neraca Unaudited SIMAK'!$A$2:$R$1272,10,FALSE)+IF(ISNA(VLOOKUP($A178,'Mutasi Neraca'!$A$3:$S$910,10,FALSE)),0,VLOOKUP($A178,'Mutasi Neraca'!$A$3:$S$910,10,FALSE))</f>
        <v>0</v>
      </c>
      <c r="L178" s="42">
        <f>VLOOKUP($A178,'Neraca Unaudited SIMAK'!$A$2:$R$1272,11,FALSE)+IF(ISNA(VLOOKUP($A178,'Mutasi Neraca'!$A$3:$S$910,11,FALSE)),0,VLOOKUP($A178,'Mutasi Neraca'!$A$3:$S$910,11,FALSE))</f>
        <v>73874820</v>
      </c>
      <c r="M178" s="42">
        <f>VLOOKUP($A178,'Neraca Unaudited SIMAK'!$A$2:$R$1272,12,FALSE)+IF(ISNA(VLOOKUP($A178,'Mutasi Neraca'!$A$3:$S$910,12,FALSE)),0,VLOOKUP($A178,'Mutasi Neraca'!$A$3:$S$910,12,FALSE))</f>
        <v>8795493415</v>
      </c>
      <c r="N178" s="42">
        <f>VLOOKUP($A178,'Neraca Unaudited SIMAK'!$A$2:$R$1272,13,FALSE)+IF(ISNA(VLOOKUP($A178,'Mutasi Neraca'!$A$3:$S$910,13,FALSE)),0,VLOOKUP($A178,'Mutasi Neraca'!$A$3:$S$910,13,FALSE))</f>
        <v>-1268908584</v>
      </c>
      <c r="O178" s="42">
        <f>VLOOKUP($A178,'Neraca Unaudited SIMAK'!$A$2:$R$1272,14,FALSE)+IF(ISNA(VLOOKUP($A178,'Mutasi Neraca'!$A$3:$S$910,14,FALSE)),0,VLOOKUP($A178,'Mutasi Neraca'!$A$3:$S$910,14,FALSE))</f>
        <v>-572397170</v>
      </c>
      <c r="P178" s="42">
        <f>VLOOKUP($A178,'Neraca Unaudited SIMAK'!$A$2:$R$1272,15,FALSE)+IF(ISNA(VLOOKUP($A178,'Mutasi Neraca'!$A$3:$S$910,15,FALSE)),0,VLOOKUP($A178,'Mutasi Neraca'!$A$3:$S$910,15,FALSE))</f>
        <v>-8630875</v>
      </c>
      <c r="Q178" s="42">
        <f>VLOOKUP($A178,'Neraca Unaudited SIMAK'!$A$2:$R$1272,16,FALSE)+IF(ISNA(VLOOKUP($A178,'Mutasi Neraca'!$A$3:$S$910,16,FALSE)),0,VLOOKUP($A178,'Mutasi Neraca'!$A$3:$S$910,16,FALSE))</f>
        <v>0</v>
      </c>
      <c r="R178" s="42">
        <f>VLOOKUP($A178,'Neraca Unaudited SIMAK'!$A$2:$R$1272,17,FALSE)+IF(ISNA(VLOOKUP($A178,'Mutasi Neraca'!$A$3:$S$910,17,FALSE)),0,VLOOKUP($A178,'Mutasi Neraca'!$A$3:$S$910,17,FALSE))</f>
        <v>-32328570</v>
      </c>
      <c r="S178" s="42">
        <f t="shared" si="47"/>
        <v>6913228216</v>
      </c>
    </row>
    <row r="179" spans="1:19">
      <c r="A179" s="41" t="s">
        <v>186</v>
      </c>
      <c r="B179" s="41" t="str">
        <f t="shared" si="46"/>
        <v>005010500</v>
      </c>
      <c r="D179" s="42">
        <f>VLOOKUP($A179,'Neraca Unaudited SIMAK'!$A$2:$R$1272,3,FALSE)+IF(ISNA(VLOOKUP($A179,'Mutasi Neraca'!$A$3:$S$910,3,FALSE)),0,VLOOKUP($A179,'Mutasi Neraca'!$A$3:$S$910,3,FALSE))</f>
        <v>0</v>
      </c>
      <c r="E179" s="42">
        <f>VLOOKUP($A179,'Neraca Unaudited SIMAK'!$A$2:$R$1272,4,FALSE)+IF(ISNA(VLOOKUP($A179,'Mutasi Neraca'!$A$3:$S$910,4,FALSE)),0,VLOOKUP($A179,'Mutasi Neraca'!$A$3:$S$910,4,FALSE))</f>
        <v>5267000000</v>
      </c>
      <c r="F179" s="42">
        <f>VLOOKUP($A179,'Neraca Unaudited SIMAK'!$A$2:$R$1272,5,FALSE)+IF(ISNA(VLOOKUP($A179,'Mutasi Neraca'!$A$3:$S$910,5,FALSE)),0,VLOOKUP($A179,'Mutasi Neraca'!$A$3:$S$910,5,FALSE))</f>
        <v>1288334972</v>
      </c>
      <c r="G179" s="42">
        <f>VLOOKUP($A179,'Neraca Unaudited SIMAK'!$A$2:$R$1272,6,FALSE)+IF(ISNA(VLOOKUP($A179,'Mutasi Neraca'!$A$3:$S$910,6,FALSE)),0,VLOOKUP($A179,'Mutasi Neraca'!$A$3:$S$910,6,FALSE))</f>
        <v>5834812308</v>
      </c>
      <c r="H179" s="42">
        <f>VLOOKUP($A179,'Neraca Unaudited SIMAK'!$A$2:$R$1272,7,FALSE)+IF(ISNA(VLOOKUP($A179,'Mutasi Neraca'!$A$3:$S$910,7,FALSE)),0,VLOOKUP($A179,'Mutasi Neraca'!$A$3:$S$910,7,FALSE))</f>
        <v>89434180</v>
      </c>
      <c r="I179" s="42">
        <f>VLOOKUP($A179,'Neraca Unaudited SIMAK'!$A$2:$R$1272,8,FALSE)+IF(ISNA(VLOOKUP($A179,'Mutasi Neraca'!$A$3:$S$910,8,FALSE)),0,VLOOKUP($A179,'Mutasi Neraca'!$A$3:$S$910,8,FALSE))</f>
        <v>98275611</v>
      </c>
      <c r="J179" s="42">
        <f>VLOOKUP($A179,'Neraca Unaudited SIMAK'!$A$2:$R$1272,9,FALSE)+IF(ISNA(VLOOKUP($A179,'Mutasi Neraca'!$A$3:$S$910,9,FALSE)),0,VLOOKUP($A179,'Mutasi Neraca'!$A$3:$S$910,9,FALSE))</f>
        <v>0</v>
      </c>
      <c r="K179" s="42">
        <f>VLOOKUP($A179,'Neraca Unaudited SIMAK'!$A$2:$R$1272,10,FALSE)+IF(ISNA(VLOOKUP($A179,'Mutasi Neraca'!$A$3:$S$910,10,FALSE)),0,VLOOKUP($A179,'Mutasi Neraca'!$A$3:$S$910,10,FALSE))</f>
        <v>0</v>
      </c>
      <c r="L179" s="42">
        <f>VLOOKUP($A179,'Neraca Unaudited SIMAK'!$A$2:$R$1272,11,FALSE)+IF(ISNA(VLOOKUP($A179,'Mutasi Neraca'!$A$3:$S$910,11,FALSE)),0,VLOOKUP($A179,'Mutasi Neraca'!$A$3:$S$910,11,FALSE))</f>
        <v>0</v>
      </c>
      <c r="M179" s="42">
        <f>VLOOKUP($A179,'Neraca Unaudited SIMAK'!$A$2:$R$1272,12,FALSE)+IF(ISNA(VLOOKUP($A179,'Mutasi Neraca'!$A$3:$S$910,12,FALSE)),0,VLOOKUP($A179,'Mutasi Neraca'!$A$3:$S$910,12,FALSE))</f>
        <v>12577857071</v>
      </c>
      <c r="N179" s="42">
        <f>VLOOKUP($A179,'Neraca Unaudited SIMAK'!$A$2:$R$1272,13,FALSE)+IF(ISNA(VLOOKUP($A179,'Mutasi Neraca'!$A$3:$S$910,13,FALSE)),0,VLOOKUP($A179,'Mutasi Neraca'!$A$3:$S$910,13,FALSE))</f>
        <v>-1140770144</v>
      </c>
      <c r="O179" s="42">
        <f>VLOOKUP($A179,'Neraca Unaudited SIMAK'!$A$2:$R$1272,14,FALSE)+IF(ISNA(VLOOKUP($A179,'Mutasi Neraca'!$A$3:$S$910,14,FALSE)),0,VLOOKUP($A179,'Mutasi Neraca'!$A$3:$S$910,14,FALSE))</f>
        <v>-2701414338</v>
      </c>
      <c r="P179" s="42">
        <f>VLOOKUP($A179,'Neraca Unaudited SIMAK'!$A$2:$R$1272,15,FALSE)+IF(ISNA(VLOOKUP($A179,'Mutasi Neraca'!$A$3:$S$910,15,FALSE)),0,VLOOKUP($A179,'Mutasi Neraca'!$A$3:$S$910,15,FALSE))</f>
        <v>-2235854</v>
      </c>
      <c r="Q179" s="42">
        <f>VLOOKUP($A179,'Neraca Unaudited SIMAK'!$A$2:$R$1272,16,FALSE)+IF(ISNA(VLOOKUP($A179,'Mutasi Neraca'!$A$3:$S$910,16,FALSE)),0,VLOOKUP($A179,'Mutasi Neraca'!$A$3:$S$910,16,FALSE))</f>
        <v>0</v>
      </c>
      <c r="R179" s="42">
        <f>VLOOKUP($A179,'Neraca Unaudited SIMAK'!$A$2:$R$1272,17,FALSE)+IF(ISNA(VLOOKUP($A179,'Mutasi Neraca'!$A$3:$S$910,17,FALSE)),0,VLOOKUP($A179,'Mutasi Neraca'!$A$3:$S$910,17,FALSE))</f>
        <v>0</v>
      </c>
      <c r="S179" s="42">
        <f t="shared" si="47"/>
        <v>8733436735</v>
      </c>
    </row>
    <row r="180" spans="1:19">
      <c r="A180" s="41" t="s">
        <v>187</v>
      </c>
      <c r="B180" s="41" t="str">
        <f t="shared" si="46"/>
        <v>005010500</v>
      </c>
      <c r="D180" s="42">
        <f>VLOOKUP($A180,'Neraca Unaudited SIMAK'!$A$2:$R$1272,3,FALSE)+IF(ISNA(VLOOKUP($A180,'Mutasi Neraca'!$A$3:$S$910,3,FALSE)),0,VLOOKUP($A180,'Mutasi Neraca'!$A$3:$S$910,3,FALSE))</f>
        <v>10000</v>
      </c>
      <c r="E180" s="42">
        <f>VLOOKUP($A180,'Neraca Unaudited SIMAK'!$A$2:$R$1272,4,FALSE)+IF(ISNA(VLOOKUP($A180,'Mutasi Neraca'!$A$3:$S$910,4,FALSE)),0,VLOOKUP($A180,'Mutasi Neraca'!$A$3:$S$910,4,FALSE))</f>
        <v>5837418000</v>
      </c>
      <c r="F180" s="42">
        <f>VLOOKUP($A180,'Neraca Unaudited SIMAK'!$A$2:$R$1272,5,FALSE)+IF(ISNA(VLOOKUP($A180,'Mutasi Neraca'!$A$3:$S$910,5,FALSE)),0,VLOOKUP($A180,'Mutasi Neraca'!$A$3:$S$910,5,FALSE))</f>
        <v>1920677957</v>
      </c>
      <c r="G180" s="42">
        <f>VLOOKUP($A180,'Neraca Unaudited SIMAK'!$A$2:$R$1272,6,FALSE)+IF(ISNA(VLOOKUP($A180,'Mutasi Neraca'!$A$3:$S$910,6,FALSE)),0,VLOOKUP($A180,'Mutasi Neraca'!$A$3:$S$910,6,FALSE))</f>
        <v>4128755300</v>
      </c>
      <c r="H180" s="42">
        <f>VLOOKUP($A180,'Neraca Unaudited SIMAK'!$A$2:$R$1272,7,FALSE)+IF(ISNA(VLOOKUP($A180,'Mutasi Neraca'!$A$3:$S$910,7,FALSE)),0,VLOOKUP($A180,'Mutasi Neraca'!$A$3:$S$910,7,FALSE))</f>
        <v>15000000</v>
      </c>
      <c r="I180" s="42">
        <f>VLOOKUP($A180,'Neraca Unaudited SIMAK'!$A$2:$R$1272,8,FALSE)+IF(ISNA(VLOOKUP($A180,'Mutasi Neraca'!$A$3:$S$910,8,FALSE)),0,VLOOKUP($A180,'Mutasi Neraca'!$A$3:$S$910,8,FALSE))</f>
        <v>17075062</v>
      </c>
      <c r="J180" s="42">
        <f>VLOOKUP($A180,'Neraca Unaudited SIMAK'!$A$2:$R$1272,9,FALSE)+IF(ISNA(VLOOKUP($A180,'Mutasi Neraca'!$A$3:$S$910,9,FALSE)),0,VLOOKUP($A180,'Mutasi Neraca'!$A$3:$S$910,9,FALSE))</f>
        <v>0</v>
      </c>
      <c r="K180" s="42">
        <f>VLOOKUP($A180,'Neraca Unaudited SIMAK'!$A$2:$R$1272,10,FALSE)+IF(ISNA(VLOOKUP($A180,'Mutasi Neraca'!$A$3:$S$910,10,FALSE)),0,VLOOKUP($A180,'Mutasi Neraca'!$A$3:$S$910,10,FALSE))</f>
        <v>0</v>
      </c>
      <c r="L180" s="42">
        <f>VLOOKUP($A180,'Neraca Unaudited SIMAK'!$A$2:$R$1272,11,FALSE)+IF(ISNA(VLOOKUP($A180,'Mutasi Neraca'!$A$3:$S$910,11,FALSE)),0,VLOOKUP($A180,'Mutasi Neraca'!$A$3:$S$910,11,FALSE))</f>
        <v>0</v>
      </c>
      <c r="M180" s="42">
        <f>VLOOKUP($A180,'Neraca Unaudited SIMAK'!$A$2:$R$1272,12,FALSE)+IF(ISNA(VLOOKUP($A180,'Mutasi Neraca'!$A$3:$S$910,12,FALSE)),0,VLOOKUP($A180,'Mutasi Neraca'!$A$3:$S$910,12,FALSE))</f>
        <v>11918936319</v>
      </c>
      <c r="N180" s="42">
        <f>VLOOKUP($A180,'Neraca Unaudited SIMAK'!$A$2:$R$1272,13,FALSE)+IF(ISNA(VLOOKUP($A180,'Mutasi Neraca'!$A$3:$S$910,13,FALSE)),0,VLOOKUP($A180,'Mutasi Neraca'!$A$3:$S$910,13,FALSE))</f>
        <v>-1756069781</v>
      </c>
      <c r="O180" s="42">
        <f>VLOOKUP($A180,'Neraca Unaudited SIMAK'!$A$2:$R$1272,14,FALSE)+IF(ISNA(VLOOKUP($A180,'Mutasi Neraca'!$A$3:$S$910,14,FALSE)),0,VLOOKUP($A180,'Mutasi Neraca'!$A$3:$S$910,14,FALSE))</f>
        <v>-1225651327</v>
      </c>
      <c r="P180" s="42">
        <f>VLOOKUP($A180,'Neraca Unaudited SIMAK'!$A$2:$R$1272,15,FALSE)+IF(ISNA(VLOOKUP($A180,'Mutasi Neraca'!$A$3:$S$910,15,FALSE)),0,VLOOKUP($A180,'Mutasi Neraca'!$A$3:$S$910,15,FALSE))</f>
        <v>-2437500</v>
      </c>
      <c r="Q180" s="42">
        <f>VLOOKUP($A180,'Neraca Unaudited SIMAK'!$A$2:$R$1272,16,FALSE)+IF(ISNA(VLOOKUP($A180,'Mutasi Neraca'!$A$3:$S$910,16,FALSE)),0,VLOOKUP($A180,'Mutasi Neraca'!$A$3:$S$910,16,FALSE))</f>
        <v>0</v>
      </c>
      <c r="R180" s="42">
        <f>VLOOKUP($A180,'Neraca Unaudited SIMAK'!$A$2:$R$1272,17,FALSE)+IF(ISNA(VLOOKUP($A180,'Mutasi Neraca'!$A$3:$S$910,17,FALSE)),0,VLOOKUP($A180,'Mutasi Neraca'!$A$3:$S$910,17,FALSE))</f>
        <v>0</v>
      </c>
      <c r="S180" s="42">
        <f t="shared" si="47"/>
        <v>8934777711</v>
      </c>
    </row>
    <row r="181" spans="1:19">
      <c r="A181" s="41" t="s">
        <v>188</v>
      </c>
      <c r="B181" s="41" t="str">
        <f t="shared" si="46"/>
        <v>005010500</v>
      </c>
      <c r="D181" s="42">
        <f>VLOOKUP($A181,'Neraca Unaudited SIMAK'!$A$2:$R$1272,3,FALSE)+IF(ISNA(VLOOKUP($A181,'Mutasi Neraca'!$A$3:$S$910,3,FALSE)),0,VLOOKUP($A181,'Mutasi Neraca'!$A$3:$S$910,3,FALSE))</f>
        <v>0</v>
      </c>
      <c r="E181" s="42">
        <f>VLOOKUP($A181,'Neraca Unaudited SIMAK'!$A$2:$R$1272,4,FALSE)+IF(ISNA(VLOOKUP($A181,'Mutasi Neraca'!$A$3:$S$910,4,FALSE)),0,VLOOKUP($A181,'Mutasi Neraca'!$A$3:$S$910,4,FALSE))</f>
        <v>3377188000</v>
      </c>
      <c r="F181" s="42">
        <f>VLOOKUP($A181,'Neraca Unaudited SIMAK'!$A$2:$R$1272,5,FALSE)+IF(ISNA(VLOOKUP($A181,'Mutasi Neraca'!$A$3:$S$910,5,FALSE)),0,VLOOKUP($A181,'Mutasi Neraca'!$A$3:$S$910,5,FALSE))</f>
        <v>20682031157</v>
      </c>
      <c r="G181" s="42">
        <f>VLOOKUP($A181,'Neraca Unaudited SIMAK'!$A$2:$R$1272,6,FALSE)+IF(ISNA(VLOOKUP($A181,'Mutasi Neraca'!$A$3:$S$910,6,FALSE)),0,VLOOKUP($A181,'Mutasi Neraca'!$A$3:$S$910,6,FALSE))</f>
        <v>8838313000</v>
      </c>
      <c r="H181" s="42">
        <f>VLOOKUP($A181,'Neraca Unaudited SIMAK'!$A$2:$R$1272,7,FALSE)+IF(ISNA(VLOOKUP($A181,'Mutasi Neraca'!$A$3:$S$910,7,FALSE)),0,VLOOKUP($A181,'Mutasi Neraca'!$A$3:$S$910,7,FALSE))</f>
        <v>4755000</v>
      </c>
      <c r="I181" s="42">
        <f>VLOOKUP($A181,'Neraca Unaudited SIMAK'!$A$2:$R$1272,8,FALSE)+IF(ISNA(VLOOKUP($A181,'Mutasi Neraca'!$A$3:$S$910,8,FALSE)),0,VLOOKUP($A181,'Mutasi Neraca'!$A$3:$S$910,8,FALSE))</f>
        <v>11355062</v>
      </c>
      <c r="J181" s="42">
        <f>VLOOKUP($A181,'Neraca Unaudited SIMAK'!$A$2:$R$1272,9,FALSE)+IF(ISNA(VLOOKUP($A181,'Mutasi Neraca'!$A$3:$S$910,9,FALSE)),0,VLOOKUP($A181,'Mutasi Neraca'!$A$3:$S$910,9,FALSE))</f>
        <v>0</v>
      </c>
      <c r="K181" s="42">
        <f>VLOOKUP($A181,'Neraca Unaudited SIMAK'!$A$2:$R$1272,10,FALSE)+IF(ISNA(VLOOKUP($A181,'Mutasi Neraca'!$A$3:$S$910,10,FALSE)),0,VLOOKUP($A181,'Mutasi Neraca'!$A$3:$S$910,10,FALSE))</f>
        <v>38500000</v>
      </c>
      <c r="L181" s="42">
        <f>VLOOKUP($A181,'Neraca Unaudited SIMAK'!$A$2:$R$1272,11,FALSE)+IF(ISNA(VLOOKUP($A181,'Mutasi Neraca'!$A$3:$S$910,11,FALSE)),0,VLOOKUP($A181,'Mutasi Neraca'!$A$3:$S$910,11,FALSE))</f>
        <v>250000</v>
      </c>
      <c r="M181" s="42">
        <f>VLOOKUP($A181,'Neraca Unaudited SIMAK'!$A$2:$R$1272,12,FALSE)+IF(ISNA(VLOOKUP($A181,'Mutasi Neraca'!$A$3:$S$910,12,FALSE)),0,VLOOKUP($A181,'Mutasi Neraca'!$A$3:$S$910,12,FALSE))</f>
        <v>32952392219</v>
      </c>
      <c r="N181" s="42">
        <f>VLOOKUP($A181,'Neraca Unaudited SIMAK'!$A$2:$R$1272,13,FALSE)+IF(ISNA(VLOOKUP($A181,'Mutasi Neraca'!$A$3:$S$910,13,FALSE)),0,VLOOKUP($A181,'Mutasi Neraca'!$A$3:$S$910,13,FALSE))</f>
        <v>-13458710784</v>
      </c>
      <c r="O181" s="42">
        <f>VLOOKUP($A181,'Neraca Unaudited SIMAK'!$A$2:$R$1272,14,FALSE)+IF(ISNA(VLOOKUP($A181,'Mutasi Neraca'!$A$3:$S$910,14,FALSE)),0,VLOOKUP($A181,'Mutasi Neraca'!$A$3:$S$910,14,FALSE))</f>
        <v>-3613276408</v>
      </c>
      <c r="P181" s="42">
        <f>VLOOKUP($A181,'Neraca Unaudited SIMAK'!$A$2:$R$1272,15,FALSE)+IF(ISNA(VLOOKUP($A181,'Mutasi Neraca'!$A$3:$S$910,15,FALSE)),0,VLOOKUP($A181,'Mutasi Neraca'!$A$3:$S$910,15,FALSE))</f>
        <v>-612525</v>
      </c>
      <c r="Q181" s="42">
        <f>VLOOKUP($A181,'Neraca Unaudited SIMAK'!$A$2:$R$1272,16,FALSE)+IF(ISNA(VLOOKUP($A181,'Mutasi Neraca'!$A$3:$S$910,16,FALSE)),0,VLOOKUP($A181,'Mutasi Neraca'!$A$3:$S$910,16,FALSE))</f>
        <v>0</v>
      </c>
      <c r="R181" s="42">
        <f>VLOOKUP($A181,'Neraca Unaudited SIMAK'!$A$2:$R$1272,17,FALSE)+IF(ISNA(VLOOKUP($A181,'Mutasi Neraca'!$A$3:$S$910,17,FALSE)),0,VLOOKUP($A181,'Mutasi Neraca'!$A$3:$S$910,17,FALSE))</f>
        <v>-250000</v>
      </c>
      <c r="S181" s="42">
        <f t="shared" si="47"/>
        <v>15879542502</v>
      </c>
    </row>
    <row r="182" spans="1:19">
      <c r="A182" s="41" t="s">
        <v>189</v>
      </c>
      <c r="B182" s="41" t="str">
        <f t="shared" si="46"/>
        <v>005010500</v>
      </c>
      <c r="D182" s="42">
        <f>VLOOKUP($A182,'Neraca Unaudited SIMAK'!$A$2:$R$1272,3,FALSE)+IF(ISNA(VLOOKUP($A182,'Mutasi Neraca'!$A$3:$S$910,3,FALSE)),0,VLOOKUP($A182,'Mutasi Neraca'!$A$3:$S$910,3,FALSE))</f>
        <v>2304950</v>
      </c>
      <c r="E182" s="42">
        <f>VLOOKUP($A182,'Neraca Unaudited SIMAK'!$A$2:$R$1272,4,FALSE)+IF(ISNA(VLOOKUP($A182,'Mutasi Neraca'!$A$3:$S$910,4,FALSE)),0,VLOOKUP($A182,'Mutasi Neraca'!$A$3:$S$910,4,FALSE))</f>
        <v>6117795000</v>
      </c>
      <c r="F182" s="42">
        <f>VLOOKUP($A182,'Neraca Unaudited SIMAK'!$A$2:$R$1272,5,FALSE)+IF(ISNA(VLOOKUP($A182,'Mutasi Neraca'!$A$3:$S$910,5,FALSE)),0,VLOOKUP($A182,'Mutasi Neraca'!$A$3:$S$910,5,FALSE))</f>
        <v>1709016365</v>
      </c>
      <c r="G182" s="42">
        <f>VLOOKUP($A182,'Neraca Unaudited SIMAK'!$A$2:$R$1272,6,FALSE)+IF(ISNA(VLOOKUP($A182,'Mutasi Neraca'!$A$3:$S$910,6,FALSE)),0,VLOOKUP($A182,'Mutasi Neraca'!$A$3:$S$910,6,FALSE))</f>
        <v>7661245448</v>
      </c>
      <c r="H182" s="42">
        <f>VLOOKUP($A182,'Neraca Unaudited SIMAK'!$A$2:$R$1272,7,FALSE)+IF(ISNA(VLOOKUP($A182,'Mutasi Neraca'!$A$3:$S$910,7,FALSE)),0,VLOOKUP($A182,'Mutasi Neraca'!$A$3:$S$910,7,FALSE))</f>
        <v>0</v>
      </c>
      <c r="I182" s="42">
        <f>VLOOKUP($A182,'Neraca Unaudited SIMAK'!$A$2:$R$1272,8,FALSE)+IF(ISNA(VLOOKUP($A182,'Mutasi Neraca'!$A$3:$S$910,8,FALSE)),0,VLOOKUP($A182,'Mutasi Neraca'!$A$3:$S$910,8,FALSE))</f>
        <v>6355062</v>
      </c>
      <c r="J182" s="42">
        <f>VLOOKUP($A182,'Neraca Unaudited SIMAK'!$A$2:$R$1272,9,FALSE)+IF(ISNA(VLOOKUP($A182,'Mutasi Neraca'!$A$3:$S$910,9,FALSE)),0,VLOOKUP($A182,'Mutasi Neraca'!$A$3:$S$910,9,FALSE))</f>
        <v>0</v>
      </c>
      <c r="K182" s="42">
        <f>VLOOKUP($A182,'Neraca Unaudited SIMAK'!$A$2:$R$1272,10,FALSE)+IF(ISNA(VLOOKUP($A182,'Mutasi Neraca'!$A$3:$S$910,10,FALSE)),0,VLOOKUP($A182,'Mutasi Neraca'!$A$3:$S$910,10,FALSE))</f>
        <v>0</v>
      </c>
      <c r="L182" s="42">
        <f>VLOOKUP($A182,'Neraca Unaudited SIMAK'!$A$2:$R$1272,11,FALSE)+IF(ISNA(VLOOKUP($A182,'Mutasi Neraca'!$A$3:$S$910,11,FALSE)),0,VLOOKUP($A182,'Mutasi Neraca'!$A$3:$S$910,11,FALSE))</f>
        <v>0</v>
      </c>
      <c r="M182" s="42">
        <f>VLOOKUP($A182,'Neraca Unaudited SIMAK'!$A$2:$R$1272,12,FALSE)+IF(ISNA(VLOOKUP($A182,'Mutasi Neraca'!$A$3:$S$910,12,FALSE)),0,VLOOKUP($A182,'Mutasi Neraca'!$A$3:$S$910,12,FALSE))</f>
        <v>15496716825</v>
      </c>
      <c r="N182" s="42">
        <f>VLOOKUP($A182,'Neraca Unaudited SIMAK'!$A$2:$R$1272,13,FALSE)+IF(ISNA(VLOOKUP($A182,'Mutasi Neraca'!$A$3:$S$910,13,FALSE)),0,VLOOKUP($A182,'Mutasi Neraca'!$A$3:$S$910,13,FALSE))</f>
        <v>-1418203938</v>
      </c>
      <c r="O182" s="42">
        <f>VLOOKUP($A182,'Neraca Unaudited SIMAK'!$A$2:$R$1272,14,FALSE)+IF(ISNA(VLOOKUP($A182,'Mutasi Neraca'!$A$3:$S$910,14,FALSE)),0,VLOOKUP($A182,'Mutasi Neraca'!$A$3:$S$910,14,FALSE))</f>
        <v>-6556882771</v>
      </c>
      <c r="P182" s="42">
        <f>VLOOKUP($A182,'Neraca Unaudited SIMAK'!$A$2:$R$1272,15,FALSE)+IF(ISNA(VLOOKUP($A182,'Mutasi Neraca'!$A$3:$S$910,15,FALSE)),0,VLOOKUP($A182,'Mutasi Neraca'!$A$3:$S$910,15,FALSE))</f>
        <v>0</v>
      </c>
      <c r="Q182" s="42">
        <f>VLOOKUP($A182,'Neraca Unaudited SIMAK'!$A$2:$R$1272,16,FALSE)+IF(ISNA(VLOOKUP($A182,'Mutasi Neraca'!$A$3:$S$910,16,FALSE)),0,VLOOKUP($A182,'Mutasi Neraca'!$A$3:$S$910,16,FALSE))</f>
        <v>0</v>
      </c>
      <c r="R182" s="42">
        <f>VLOOKUP($A182,'Neraca Unaudited SIMAK'!$A$2:$R$1272,17,FALSE)+IF(ISNA(VLOOKUP($A182,'Mutasi Neraca'!$A$3:$S$910,17,FALSE)),0,VLOOKUP($A182,'Mutasi Neraca'!$A$3:$S$910,17,FALSE))</f>
        <v>0</v>
      </c>
      <c r="S182" s="42">
        <f t="shared" si="47"/>
        <v>7521630116</v>
      </c>
    </row>
    <row r="183" spans="1:19">
      <c r="A183" s="41" t="s">
        <v>190</v>
      </c>
      <c r="B183" s="41" t="str">
        <f t="shared" si="46"/>
        <v>005010500</v>
      </c>
      <c r="D183" s="42">
        <f>VLOOKUP($A183,'Neraca Unaudited SIMAK'!$A$2:$R$1272,3,FALSE)+IF(ISNA(VLOOKUP($A183,'Mutasi Neraca'!$A$3:$S$910,3,FALSE)),0,VLOOKUP($A183,'Mutasi Neraca'!$A$3:$S$910,3,FALSE))</f>
        <v>275000</v>
      </c>
      <c r="E183" s="42">
        <f>VLOOKUP($A183,'Neraca Unaudited SIMAK'!$A$2:$R$1272,4,FALSE)+IF(ISNA(VLOOKUP($A183,'Mutasi Neraca'!$A$3:$S$910,4,FALSE)),0,VLOOKUP($A183,'Mutasi Neraca'!$A$3:$S$910,4,FALSE))</f>
        <v>11580590005</v>
      </c>
      <c r="F183" s="42">
        <f>VLOOKUP($A183,'Neraca Unaudited SIMAK'!$A$2:$R$1272,5,FALSE)+IF(ISNA(VLOOKUP($A183,'Mutasi Neraca'!$A$3:$S$910,5,FALSE)),0,VLOOKUP($A183,'Mutasi Neraca'!$A$3:$S$910,5,FALSE))</f>
        <v>1800965537</v>
      </c>
      <c r="G183" s="42">
        <f>VLOOKUP($A183,'Neraca Unaudited SIMAK'!$A$2:$R$1272,6,FALSE)+IF(ISNA(VLOOKUP($A183,'Mutasi Neraca'!$A$3:$S$910,6,FALSE)),0,VLOOKUP($A183,'Mutasi Neraca'!$A$3:$S$910,6,FALSE))</f>
        <v>4017720300</v>
      </c>
      <c r="H183" s="42">
        <f>VLOOKUP($A183,'Neraca Unaudited SIMAK'!$A$2:$R$1272,7,FALSE)+IF(ISNA(VLOOKUP($A183,'Mutasi Neraca'!$A$3:$S$910,7,FALSE)),0,VLOOKUP($A183,'Mutasi Neraca'!$A$3:$S$910,7,FALSE))</f>
        <v>0</v>
      </c>
      <c r="I183" s="42">
        <f>VLOOKUP($A183,'Neraca Unaudited SIMAK'!$A$2:$R$1272,8,FALSE)+IF(ISNA(VLOOKUP($A183,'Mutasi Neraca'!$A$3:$S$910,8,FALSE)),0,VLOOKUP($A183,'Mutasi Neraca'!$A$3:$S$910,8,FALSE))</f>
        <v>6505062</v>
      </c>
      <c r="J183" s="42">
        <f>VLOOKUP($A183,'Neraca Unaudited SIMAK'!$A$2:$R$1272,9,FALSE)+IF(ISNA(VLOOKUP($A183,'Mutasi Neraca'!$A$3:$S$910,9,FALSE)),0,VLOOKUP($A183,'Mutasi Neraca'!$A$3:$S$910,9,FALSE))</f>
        <v>0</v>
      </c>
      <c r="K183" s="42">
        <f>VLOOKUP($A183,'Neraca Unaudited SIMAK'!$A$2:$R$1272,10,FALSE)+IF(ISNA(VLOOKUP($A183,'Mutasi Neraca'!$A$3:$S$910,10,FALSE)),0,VLOOKUP($A183,'Mutasi Neraca'!$A$3:$S$910,10,FALSE))</f>
        <v>0</v>
      </c>
      <c r="L183" s="42">
        <f>VLOOKUP($A183,'Neraca Unaudited SIMAK'!$A$2:$R$1272,11,FALSE)+IF(ISNA(VLOOKUP($A183,'Mutasi Neraca'!$A$3:$S$910,11,FALSE)),0,VLOOKUP($A183,'Mutasi Neraca'!$A$3:$S$910,11,FALSE))</f>
        <v>446000</v>
      </c>
      <c r="M183" s="42">
        <f>VLOOKUP($A183,'Neraca Unaudited SIMAK'!$A$2:$R$1272,12,FALSE)+IF(ISNA(VLOOKUP($A183,'Mutasi Neraca'!$A$3:$S$910,12,FALSE)),0,VLOOKUP($A183,'Mutasi Neraca'!$A$3:$S$910,12,FALSE))</f>
        <v>17406501904</v>
      </c>
      <c r="N183" s="42">
        <f>VLOOKUP($A183,'Neraca Unaudited SIMAK'!$A$2:$R$1272,13,FALSE)+IF(ISNA(VLOOKUP($A183,'Mutasi Neraca'!$A$3:$S$910,13,FALSE)),0,VLOOKUP($A183,'Mutasi Neraca'!$A$3:$S$910,13,FALSE))</f>
        <v>-1666772839</v>
      </c>
      <c r="O183" s="42">
        <f>VLOOKUP($A183,'Neraca Unaudited SIMAK'!$A$2:$R$1272,14,FALSE)+IF(ISNA(VLOOKUP($A183,'Mutasi Neraca'!$A$3:$S$910,14,FALSE)),0,VLOOKUP($A183,'Mutasi Neraca'!$A$3:$S$910,14,FALSE))</f>
        <v>-1978613962</v>
      </c>
      <c r="P183" s="42">
        <f>VLOOKUP($A183,'Neraca Unaudited SIMAK'!$A$2:$R$1272,15,FALSE)+IF(ISNA(VLOOKUP($A183,'Mutasi Neraca'!$A$3:$S$910,15,FALSE)),0,VLOOKUP($A183,'Mutasi Neraca'!$A$3:$S$910,15,FALSE))</f>
        <v>0</v>
      </c>
      <c r="Q183" s="42">
        <f>VLOOKUP($A183,'Neraca Unaudited SIMAK'!$A$2:$R$1272,16,FALSE)+IF(ISNA(VLOOKUP($A183,'Mutasi Neraca'!$A$3:$S$910,16,FALSE)),0,VLOOKUP($A183,'Mutasi Neraca'!$A$3:$S$910,16,FALSE))</f>
        <v>0</v>
      </c>
      <c r="R183" s="42">
        <f>VLOOKUP($A183,'Neraca Unaudited SIMAK'!$A$2:$R$1272,17,FALSE)+IF(ISNA(VLOOKUP($A183,'Mutasi Neraca'!$A$3:$S$910,17,FALSE)),0,VLOOKUP($A183,'Mutasi Neraca'!$A$3:$S$910,17,FALSE))</f>
        <v>-446000</v>
      </c>
      <c r="S183" s="42">
        <f t="shared" si="47"/>
        <v>13760669103</v>
      </c>
    </row>
    <row r="184" spans="1:19">
      <c r="A184" s="41" t="s">
        <v>191</v>
      </c>
      <c r="B184" s="41" t="str">
        <f t="shared" si="46"/>
        <v>005010500</v>
      </c>
      <c r="D184" s="42">
        <f>VLOOKUP($A184,'Neraca Unaudited SIMAK'!$A$2:$R$1272,3,FALSE)+IF(ISNA(VLOOKUP($A184,'Mutasi Neraca'!$A$3:$S$910,3,FALSE)),0,VLOOKUP($A184,'Mutasi Neraca'!$A$3:$S$910,3,FALSE))</f>
        <v>0</v>
      </c>
      <c r="E184" s="42">
        <f>VLOOKUP($A184,'Neraca Unaudited SIMAK'!$A$2:$R$1272,4,FALSE)+IF(ISNA(VLOOKUP($A184,'Mutasi Neraca'!$A$3:$S$910,4,FALSE)),0,VLOOKUP($A184,'Mutasi Neraca'!$A$3:$S$910,4,FALSE))</f>
        <v>2614666000</v>
      </c>
      <c r="F184" s="42">
        <f>VLOOKUP($A184,'Neraca Unaudited SIMAK'!$A$2:$R$1272,5,FALSE)+IF(ISNA(VLOOKUP($A184,'Mutasi Neraca'!$A$3:$S$910,5,FALSE)),0,VLOOKUP($A184,'Mutasi Neraca'!$A$3:$S$910,5,FALSE))</f>
        <v>1379349673</v>
      </c>
      <c r="G184" s="42">
        <f>VLOOKUP($A184,'Neraca Unaudited SIMAK'!$A$2:$R$1272,6,FALSE)+IF(ISNA(VLOOKUP($A184,'Mutasi Neraca'!$A$3:$S$910,6,FALSE)),0,VLOOKUP($A184,'Mutasi Neraca'!$A$3:$S$910,6,FALSE))</f>
        <v>1510042300</v>
      </c>
      <c r="H184" s="42">
        <f>VLOOKUP($A184,'Neraca Unaudited SIMAK'!$A$2:$R$1272,7,FALSE)+IF(ISNA(VLOOKUP($A184,'Mutasi Neraca'!$A$3:$S$910,7,FALSE)),0,VLOOKUP($A184,'Mutasi Neraca'!$A$3:$S$910,7,FALSE))</f>
        <v>10000000</v>
      </c>
      <c r="I184" s="42">
        <f>VLOOKUP($A184,'Neraca Unaudited SIMAK'!$A$2:$R$1272,8,FALSE)+IF(ISNA(VLOOKUP($A184,'Mutasi Neraca'!$A$3:$S$910,8,FALSE)),0,VLOOKUP($A184,'Mutasi Neraca'!$A$3:$S$910,8,FALSE))</f>
        <v>9081926</v>
      </c>
      <c r="J184" s="42">
        <f>VLOOKUP($A184,'Neraca Unaudited SIMAK'!$A$2:$R$1272,9,FALSE)+IF(ISNA(VLOOKUP($A184,'Mutasi Neraca'!$A$3:$S$910,9,FALSE)),0,VLOOKUP($A184,'Mutasi Neraca'!$A$3:$S$910,9,FALSE))</f>
        <v>0</v>
      </c>
      <c r="K184" s="42">
        <f>VLOOKUP($A184,'Neraca Unaudited SIMAK'!$A$2:$R$1272,10,FALSE)+IF(ISNA(VLOOKUP($A184,'Mutasi Neraca'!$A$3:$S$910,10,FALSE)),0,VLOOKUP($A184,'Mutasi Neraca'!$A$3:$S$910,10,FALSE))</f>
        <v>5750000</v>
      </c>
      <c r="L184" s="42">
        <f>VLOOKUP($A184,'Neraca Unaudited SIMAK'!$A$2:$R$1272,11,FALSE)+IF(ISNA(VLOOKUP($A184,'Mutasi Neraca'!$A$3:$S$910,11,FALSE)),0,VLOOKUP($A184,'Mutasi Neraca'!$A$3:$S$910,11,FALSE))</f>
        <v>113538250</v>
      </c>
      <c r="M184" s="42">
        <f>VLOOKUP($A184,'Neraca Unaudited SIMAK'!$A$2:$R$1272,12,FALSE)+IF(ISNA(VLOOKUP($A184,'Mutasi Neraca'!$A$3:$S$910,12,FALSE)),0,VLOOKUP($A184,'Mutasi Neraca'!$A$3:$S$910,12,FALSE))</f>
        <v>5642428149</v>
      </c>
      <c r="N184" s="42">
        <f>VLOOKUP($A184,'Neraca Unaudited SIMAK'!$A$2:$R$1272,13,FALSE)+IF(ISNA(VLOOKUP($A184,'Mutasi Neraca'!$A$3:$S$910,13,FALSE)),0,VLOOKUP($A184,'Mutasi Neraca'!$A$3:$S$910,13,FALSE))</f>
        <v>-1169993822</v>
      </c>
      <c r="O184" s="42">
        <f>VLOOKUP($A184,'Neraca Unaudited SIMAK'!$A$2:$R$1272,14,FALSE)+IF(ISNA(VLOOKUP($A184,'Mutasi Neraca'!$A$3:$S$910,14,FALSE)),0,VLOOKUP($A184,'Mutasi Neraca'!$A$3:$S$910,14,FALSE))</f>
        <v>-326775844</v>
      </c>
      <c r="P184" s="42">
        <f>VLOOKUP($A184,'Neraca Unaudited SIMAK'!$A$2:$R$1272,15,FALSE)+IF(ISNA(VLOOKUP($A184,'Mutasi Neraca'!$A$3:$S$910,15,FALSE)),0,VLOOKUP($A184,'Mutasi Neraca'!$A$3:$S$910,15,FALSE))</f>
        <v>-1500000</v>
      </c>
      <c r="Q184" s="42">
        <f>VLOOKUP($A184,'Neraca Unaudited SIMAK'!$A$2:$R$1272,16,FALSE)+IF(ISNA(VLOOKUP($A184,'Mutasi Neraca'!$A$3:$S$910,16,FALSE)),0,VLOOKUP($A184,'Mutasi Neraca'!$A$3:$S$910,16,FALSE))</f>
        <v>0</v>
      </c>
      <c r="R184" s="42">
        <f>VLOOKUP($A184,'Neraca Unaudited SIMAK'!$A$2:$R$1272,17,FALSE)+IF(ISNA(VLOOKUP($A184,'Mutasi Neraca'!$A$3:$S$910,17,FALSE)),0,VLOOKUP($A184,'Mutasi Neraca'!$A$3:$S$910,17,FALSE))</f>
        <v>-112494625</v>
      </c>
      <c r="S184" s="42">
        <f t="shared" si="47"/>
        <v>4031663858</v>
      </c>
    </row>
    <row r="185" spans="1:19">
      <c r="A185" s="41" t="s">
        <v>192</v>
      </c>
      <c r="B185" s="41" t="str">
        <f t="shared" si="46"/>
        <v>005010500</v>
      </c>
      <c r="D185" s="42">
        <f>VLOOKUP($A185,'Neraca Unaudited SIMAK'!$A$2:$R$1272,3,FALSE)+IF(ISNA(VLOOKUP($A185,'Mutasi Neraca'!$A$3:$S$910,3,FALSE)),0,VLOOKUP($A185,'Mutasi Neraca'!$A$3:$S$910,3,FALSE))</f>
        <v>0</v>
      </c>
      <c r="E185" s="42">
        <f>VLOOKUP($A185,'Neraca Unaudited SIMAK'!$A$2:$R$1272,4,FALSE)+IF(ISNA(VLOOKUP($A185,'Mutasi Neraca'!$A$3:$S$910,4,FALSE)),0,VLOOKUP($A185,'Mutasi Neraca'!$A$3:$S$910,4,FALSE))</f>
        <v>2872648000</v>
      </c>
      <c r="F185" s="42">
        <f>VLOOKUP($A185,'Neraca Unaudited SIMAK'!$A$2:$R$1272,5,FALSE)+IF(ISNA(VLOOKUP($A185,'Mutasi Neraca'!$A$3:$S$910,5,FALSE)),0,VLOOKUP($A185,'Mutasi Neraca'!$A$3:$S$910,5,FALSE))</f>
        <v>1584860625</v>
      </c>
      <c r="G185" s="42">
        <f>VLOOKUP($A185,'Neraca Unaudited SIMAK'!$A$2:$R$1272,6,FALSE)+IF(ISNA(VLOOKUP($A185,'Mutasi Neraca'!$A$3:$S$910,6,FALSE)),0,VLOOKUP($A185,'Mutasi Neraca'!$A$3:$S$910,6,FALSE))</f>
        <v>4043231000</v>
      </c>
      <c r="H185" s="42">
        <f>VLOOKUP($A185,'Neraca Unaudited SIMAK'!$A$2:$R$1272,7,FALSE)+IF(ISNA(VLOOKUP($A185,'Mutasi Neraca'!$A$3:$S$910,7,FALSE)),0,VLOOKUP($A185,'Mutasi Neraca'!$A$3:$S$910,7,FALSE))</f>
        <v>49511000</v>
      </c>
      <c r="I185" s="42">
        <f>VLOOKUP($A185,'Neraca Unaudited SIMAK'!$A$2:$R$1272,8,FALSE)+IF(ISNA(VLOOKUP($A185,'Mutasi Neraca'!$A$3:$S$910,8,FALSE)),0,VLOOKUP($A185,'Mutasi Neraca'!$A$3:$S$910,8,FALSE))</f>
        <v>9183740</v>
      </c>
      <c r="J185" s="42">
        <f>VLOOKUP($A185,'Neraca Unaudited SIMAK'!$A$2:$R$1272,9,FALSE)+IF(ISNA(VLOOKUP($A185,'Mutasi Neraca'!$A$3:$S$910,9,FALSE)),0,VLOOKUP($A185,'Mutasi Neraca'!$A$3:$S$910,9,FALSE))</f>
        <v>0</v>
      </c>
      <c r="K185" s="42">
        <f>VLOOKUP($A185,'Neraca Unaudited SIMAK'!$A$2:$R$1272,10,FALSE)+IF(ISNA(VLOOKUP($A185,'Mutasi Neraca'!$A$3:$S$910,10,FALSE)),0,VLOOKUP($A185,'Mutasi Neraca'!$A$3:$S$910,10,FALSE))</f>
        <v>0</v>
      </c>
      <c r="L185" s="42">
        <f>VLOOKUP($A185,'Neraca Unaudited SIMAK'!$A$2:$R$1272,11,FALSE)+IF(ISNA(VLOOKUP($A185,'Mutasi Neraca'!$A$3:$S$910,11,FALSE)),0,VLOOKUP($A185,'Mutasi Neraca'!$A$3:$S$910,11,FALSE))</f>
        <v>0</v>
      </c>
      <c r="M185" s="42">
        <f>VLOOKUP($A185,'Neraca Unaudited SIMAK'!$A$2:$R$1272,12,FALSE)+IF(ISNA(VLOOKUP($A185,'Mutasi Neraca'!$A$3:$S$910,12,FALSE)),0,VLOOKUP($A185,'Mutasi Neraca'!$A$3:$S$910,12,FALSE))</f>
        <v>8559434365</v>
      </c>
      <c r="N185" s="42">
        <f>VLOOKUP($A185,'Neraca Unaudited SIMAK'!$A$2:$R$1272,13,FALSE)+IF(ISNA(VLOOKUP($A185,'Mutasi Neraca'!$A$3:$S$910,13,FALSE)),0,VLOOKUP($A185,'Mutasi Neraca'!$A$3:$S$910,13,FALSE))</f>
        <v>-1390066209</v>
      </c>
      <c r="O185" s="42">
        <f>VLOOKUP($A185,'Neraca Unaudited SIMAK'!$A$2:$R$1272,14,FALSE)+IF(ISNA(VLOOKUP($A185,'Mutasi Neraca'!$A$3:$S$910,14,FALSE)),0,VLOOKUP($A185,'Mutasi Neraca'!$A$3:$S$910,14,FALSE))</f>
        <v>-3015864860</v>
      </c>
      <c r="P185" s="42">
        <f>VLOOKUP($A185,'Neraca Unaudited SIMAK'!$A$2:$R$1272,15,FALSE)+IF(ISNA(VLOOKUP($A185,'Mutasi Neraca'!$A$3:$S$910,15,FALSE)),0,VLOOKUP($A185,'Mutasi Neraca'!$A$3:$S$910,15,FALSE))</f>
        <v>-39608800</v>
      </c>
      <c r="Q185" s="42">
        <f>VLOOKUP($A185,'Neraca Unaudited SIMAK'!$A$2:$R$1272,16,FALSE)+IF(ISNA(VLOOKUP($A185,'Mutasi Neraca'!$A$3:$S$910,16,FALSE)),0,VLOOKUP($A185,'Mutasi Neraca'!$A$3:$S$910,16,FALSE))</f>
        <v>0</v>
      </c>
      <c r="R185" s="42">
        <f>VLOOKUP($A185,'Neraca Unaudited SIMAK'!$A$2:$R$1272,17,FALSE)+IF(ISNA(VLOOKUP($A185,'Mutasi Neraca'!$A$3:$S$910,17,FALSE)),0,VLOOKUP($A185,'Mutasi Neraca'!$A$3:$S$910,17,FALSE))</f>
        <v>0</v>
      </c>
      <c r="S185" s="42">
        <f t="shared" si="47"/>
        <v>4113894496</v>
      </c>
    </row>
    <row r="186" spans="1:19">
      <c r="A186" s="41" t="s">
        <v>193</v>
      </c>
      <c r="B186" s="41" t="str">
        <f t="shared" si="46"/>
        <v>005010500</v>
      </c>
      <c r="D186" s="42">
        <f>VLOOKUP($A186,'Neraca Unaudited SIMAK'!$A$2:$R$1272,3,FALSE)+IF(ISNA(VLOOKUP($A186,'Mutasi Neraca'!$A$3:$S$910,3,FALSE)),0,VLOOKUP($A186,'Mutasi Neraca'!$A$3:$S$910,3,FALSE))</f>
        <v>1481600</v>
      </c>
      <c r="E186" s="42">
        <f>VLOOKUP($A186,'Neraca Unaudited SIMAK'!$A$2:$R$1272,4,FALSE)+IF(ISNA(VLOOKUP($A186,'Mutasi Neraca'!$A$3:$S$910,4,FALSE)),0,VLOOKUP($A186,'Mutasi Neraca'!$A$3:$S$910,4,FALSE))</f>
        <v>3145436000</v>
      </c>
      <c r="F186" s="42">
        <f>VLOOKUP($A186,'Neraca Unaudited SIMAK'!$A$2:$R$1272,5,FALSE)+IF(ISNA(VLOOKUP($A186,'Mutasi Neraca'!$A$3:$S$910,5,FALSE)),0,VLOOKUP($A186,'Mutasi Neraca'!$A$3:$S$910,5,FALSE))</f>
        <v>1498073154</v>
      </c>
      <c r="G186" s="42">
        <f>VLOOKUP($A186,'Neraca Unaudited SIMAK'!$A$2:$R$1272,6,FALSE)+IF(ISNA(VLOOKUP($A186,'Mutasi Neraca'!$A$3:$S$910,6,FALSE)),0,VLOOKUP($A186,'Mutasi Neraca'!$A$3:$S$910,6,FALSE))</f>
        <v>8595135000</v>
      </c>
      <c r="H186" s="42">
        <f>VLOOKUP($A186,'Neraca Unaudited SIMAK'!$A$2:$R$1272,7,FALSE)+IF(ISNA(VLOOKUP($A186,'Mutasi Neraca'!$A$3:$S$910,7,FALSE)),0,VLOOKUP($A186,'Mutasi Neraca'!$A$3:$S$910,7,FALSE))</f>
        <v>0</v>
      </c>
      <c r="I186" s="42">
        <f>VLOOKUP($A186,'Neraca Unaudited SIMAK'!$A$2:$R$1272,8,FALSE)+IF(ISNA(VLOOKUP($A186,'Mutasi Neraca'!$A$3:$S$910,8,FALSE)),0,VLOOKUP($A186,'Mutasi Neraca'!$A$3:$S$910,8,FALSE))</f>
        <v>9183740</v>
      </c>
      <c r="J186" s="42">
        <f>VLOOKUP($A186,'Neraca Unaudited SIMAK'!$A$2:$R$1272,9,FALSE)+IF(ISNA(VLOOKUP($A186,'Mutasi Neraca'!$A$3:$S$910,9,FALSE)),0,VLOOKUP($A186,'Mutasi Neraca'!$A$3:$S$910,9,FALSE))</f>
        <v>0</v>
      </c>
      <c r="K186" s="42">
        <f>VLOOKUP($A186,'Neraca Unaudited SIMAK'!$A$2:$R$1272,10,FALSE)+IF(ISNA(VLOOKUP($A186,'Mutasi Neraca'!$A$3:$S$910,10,FALSE)),0,VLOOKUP($A186,'Mutasi Neraca'!$A$3:$S$910,10,FALSE))</f>
        <v>0</v>
      </c>
      <c r="L186" s="42">
        <f>VLOOKUP($A186,'Neraca Unaudited SIMAK'!$A$2:$R$1272,11,FALSE)+IF(ISNA(VLOOKUP($A186,'Mutasi Neraca'!$A$3:$S$910,11,FALSE)),0,VLOOKUP($A186,'Mutasi Neraca'!$A$3:$S$910,11,FALSE))</f>
        <v>0</v>
      </c>
      <c r="M186" s="42">
        <f>VLOOKUP($A186,'Neraca Unaudited SIMAK'!$A$2:$R$1272,12,FALSE)+IF(ISNA(VLOOKUP($A186,'Mutasi Neraca'!$A$3:$S$910,12,FALSE)),0,VLOOKUP($A186,'Mutasi Neraca'!$A$3:$S$910,12,FALSE))</f>
        <v>13249309494</v>
      </c>
      <c r="N186" s="42">
        <f>VLOOKUP($A186,'Neraca Unaudited SIMAK'!$A$2:$R$1272,13,FALSE)+IF(ISNA(VLOOKUP($A186,'Mutasi Neraca'!$A$3:$S$910,13,FALSE)),0,VLOOKUP($A186,'Mutasi Neraca'!$A$3:$S$910,13,FALSE))</f>
        <v>-1303866948</v>
      </c>
      <c r="O186" s="42">
        <f>VLOOKUP($A186,'Neraca Unaudited SIMAK'!$A$2:$R$1272,14,FALSE)+IF(ISNA(VLOOKUP($A186,'Mutasi Neraca'!$A$3:$S$910,14,FALSE)),0,VLOOKUP($A186,'Mutasi Neraca'!$A$3:$S$910,14,FALSE))</f>
        <v>-1196886129</v>
      </c>
      <c r="P186" s="42">
        <f>VLOOKUP($A186,'Neraca Unaudited SIMAK'!$A$2:$R$1272,15,FALSE)+IF(ISNA(VLOOKUP($A186,'Mutasi Neraca'!$A$3:$S$910,15,FALSE)),0,VLOOKUP($A186,'Mutasi Neraca'!$A$3:$S$910,15,FALSE))</f>
        <v>0</v>
      </c>
      <c r="Q186" s="42">
        <f>VLOOKUP($A186,'Neraca Unaudited SIMAK'!$A$2:$R$1272,16,FALSE)+IF(ISNA(VLOOKUP($A186,'Mutasi Neraca'!$A$3:$S$910,16,FALSE)),0,VLOOKUP($A186,'Mutasi Neraca'!$A$3:$S$910,16,FALSE))</f>
        <v>0</v>
      </c>
      <c r="R186" s="42">
        <f>VLOOKUP($A186,'Neraca Unaudited SIMAK'!$A$2:$R$1272,17,FALSE)+IF(ISNA(VLOOKUP($A186,'Mutasi Neraca'!$A$3:$S$910,17,FALSE)),0,VLOOKUP($A186,'Mutasi Neraca'!$A$3:$S$910,17,FALSE))</f>
        <v>0</v>
      </c>
      <c r="S186" s="42">
        <f t="shared" si="47"/>
        <v>10748556417</v>
      </c>
    </row>
    <row r="187" spans="1:19">
      <c r="A187" s="41" t="s">
        <v>194</v>
      </c>
      <c r="B187" s="41" t="str">
        <f t="shared" si="46"/>
        <v>005010500</v>
      </c>
      <c r="D187" s="42">
        <f>VLOOKUP($A187,'Neraca Unaudited SIMAK'!$A$2:$R$1272,3,FALSE)+IF(ISNA(VLOOKUP($A187,'Mutasi Neraca'!$A$3:$S$910,3,FALSE)),0,VLOOKUP($A187,'Mutasi Neraca'!$A$3:$S$910,3,FALSE))</f>
        <v>785000</v>
      </c>
      <c r="E187" s="42">
        <f>VLOOKUP($A187,'Neraca Unaudited SIMAK'!$A$2:$R$1272,4,FALSE)+IF(ISNA(VLOOKUP($A187,'Mutasi Neraca'!$A$3:$S$910,4,FALSE)),0,VLOOKUP($A187,'Mutasi Neraca'!$A$3:$S$910,4,FALSE))</f>
        <v>4588558900</v>
      </c>
      <c r="F187" s="42">
        <f>VLOOKUP($A187,'Neraca Unaudited SIMAK'!$A$2:$R$1272,5,FALSE)+IF(ISNA(VLOOKUP($A187,'Mutasi Neraca'!$A$3:$S$910,5,FALSE)),0,VLOOKUP($A187,'Mutasi Neraca'!$A$3:$S$910,5,FALSE))</f>
        <v>1738390549</v>
      </c>
      <c r="G187" s="42">
        <f>VLOOKUP($A187,'Neraca Unaudited SIMAK'!$A$2:$R$1272,6,FALSE)+IF(ISNA(VLOOKUP($A187,'Mutasi Neraca'!$A$3:$S$910,6,FALSE)),0,VLOOKUP($A187,'Mutasi Neraca'!$A$3:$S$910,6,FALSE))</f>
        <v>2979181221</v>
      </c>
      <c r="H187" s="42">
        <f>VLOOKUP($A187,'Neraca Unaudited SIMAK'!$A$2:$R$1272,7,FALSE)+IF(ISNA(VLOOKUP($A187,'Mutasi Neraca'!$A$3:$S$910,7,FALSE)),0,VLOOKUP($A187,'Mutasi Neraca'!$A$3:$S$910,7,FALSE))</f>
        <v>0</v>
      </c>
      <c r="I187" s="42">
        <f>VLOOKUP($A187,'Neraca Unaudited SIMAK'!$A$2:$R$1272,8,FALSE)+IF(ISNA(VLOOKUP($A187,'Mutasi Neraca'!$A$3:$S$910,8,FALSE)),0,VLOOKUP($A187,'Mutasi Neraca'!$A$3:$S$910,8,FALSE))</f>
        <v>6553062</v>
      </c>
      <c r="J187" s="42">
        <f>VLOOKUP($A187,'Neraca Unaudited SIMAK'!$A$2:$R$1272,9,FALSE)+IF(ISNA(VLOOKUP($A187,'Mutasi Neraca'!$A$3:$S$910,9,FALSE)),0,VLOOKUP($A187,'Mutasi Neraca'!$A$3:$S$910,9,FALSE))</f>
        <v>0</v>
      </c>
      <c r="K187" s="42">
        <f>VLOOKUP($A187,'Neraca Unaudited SIMAK'!$A$2:$R$1272,10,FALSE)+IF(ISNA(VLOOKUP($A187,'Mutasi Neraca'!$A$3:$S$910,10,FALSE)),0,VLOOKUP($A187,'Mutasi Neraca'!$A$3:$S$910,10,FALSE))</f>
        <v>7450000</v>
      </c>
      <c r="L187" s="42">
        <f>VLOOKUP($A187,'Neraca Unaudited SIMAK'!$A$2:$R$1272,11,FALSE)+IF(ISNA(VLOOKUP($A187,'Mutasi Neraca'!$A$3:$S$910,11,FALSE)),0,VLOOKUP($A187,'Mutasi Neraca'!$A$3:$S$910,11,FALSE))</f>
        <v>239604730</v>
      </c>
      <c r="M187" s="42">
        <f>VLOOKUP($A187,'Neraca Unaudited SIMAK'!$A$2:$R$1272,12,FALSE)+IF(ISNA(VLOOKUP($A187,'Mutasi Neraca'!$A$3:$S$910,12,FALSE)),0,VLOOKUP($A187,'Mutasi Neraca'!$A$3:$S$910,12,FALSE))</f>
        <v>9560523462</v>
      </c>
      <c r="N187" s="42">
        <f>VLOOKUP($A187,'Neraca Unaudited SIMAK'!$A$2:$R$1272,13,FALSE)+IF(ISNA(VLOOKUP($A187,'Mutasi Neraca'!$A$3:$S$910,13,FALSE)),0,VLOOKUP($A187,'Mutasi Neraca'!$A$3:$S$910,13,FALSE))</f>
        <v>-1571877948</v>
      </c>
      <c r="O187" s="42">
        <f>VLOOKUP($A187,'Neraca Unaudited SIMAK'!$A$2:$R$1272,14,FALSE)+IF(ISNA(VLOOKUP($A187,'Mutasi Neraca'!$A$3:$S$910,14,FALSE)),0,VLOOKUP($A187,'Mutasi Neraca'!$A$3:$S$910,14,FALSE))</f>
        <v>-1815974306</v>
      </c>
      <c r="P187" s="42">
        <f>VLOOKUP($A187,'Neraca Unaudited SIMAK'!$A$2:$R$1272,15,FALSE)+IF(ISNA(VLOOKUP($A187,'Mutasi Neraca'!$A$3:$S$910,15,FALSE)),0,VLOOKUP($A187,'Mutasi Neraca'!$A$3:$S$910,15,FALSE))</f>
        <v>0</v>
      </c>
      <c r="Q187" s="42">
        <f>VLOOKUP($A187,'Neraca Unaudited SIMAK'!$A$2:$R$1272,16,FALSE)+IF(ISNA(VLOOKUP($A187,'Mutasi Neraca'!$A$3:$S$910,16,FALSE)),0,VLOOKUP($A187,'Mutasi Neraca'!$A$3:$S$910,16,FALSE))</f>
        <v>0</v>
      </c>
      <c r="R187" s="42">
        <f>VLOOKUP($A187,'Neraca Unaudited SIMAK'!$A$2:$R$1272,17,FALSE)+IF(ISNA(VLOOKUP($A187,'Mutasi Neraca'!$A$3:$S$910,17,FALSE)),0,VLOOKUP($A187,'Mutasi Neraca'!$A$3:$S$910,17,FALSE))</f>
        <v>-180040744</v>
      </c>
      <c r="S187" s="42">
        <f t="shared" si="47"/>
        <v>5992630464</v>
      </c>
    </row>
    <row r="188" spans="1:19">
      <c r="A188" s="41" t="s">
        <v>195</v>
      </c>
      <c r="B188" s="41" t="str">
        <f t="shared" si="46"/>
        <v>005010500</v>
      </c>
      <c r="D188" s="42">
        <f>VLOOKUP($A188,'Neraca Unaudited SIMAK'!$A$2:$R$1272,3,FALSE)+IF(ISNA(VLOOKUP($A188,'Mutasi Neraca'!$A$3:$S$910,3,FALSE)),0,VLOOKUP($A188,'Mutasi Neraca'!$A$3:$S$910,3,FALSE))</f>
        <v>0</v>
      </c>
      <c r="E188" s="42">
        <f>VLOOKUP($A188,'Neraca Unaudited SIMAK'!$A$2:$R$1272,4,FALSE)+IF(ISNA(VLOOKUP($A188,'Mutasi Neraca'!$A$3:$S$910,4,FALSE)),0,VLOOKUP($A188,'Mutasi Neraca'!$A$3:$S$910,4,FALSE))</f>
        <v>2923669600</v>
      </c>
      <c r="F188" s="42">
        <f>VLOOKUP($A188,'Neraca Unaudited SIMAK'!$A$2:$R$1272,5,FALSE)+IF(ISNA(VLOOKUP($A188,'Mutasi Neraca'!$A$3:$S$910,5,FALSE)),0,VLOOKUP($A188,'Mutasi Neraca'!$A$3:$S$910,5,FALSE))</f>
        <v>1566216923</v>
      </c>
      <c r="G188" s="42">
        <f>VLOOKUP($A188,'Neraca Unaudited SIMAK'!$A$2:$R$1272,6,FALSE)+IF(ISNA(VLOOKUP($A188,'Mutasi Neraca'!$A$3:$S$910,6,FALSE)),0,VLOOKUP($A188,'Mutasi Neraca'!$A$3:$S$910,6,FALSE))</f>
        <v>3435080000</v>
      </c>
      <c r="H188" s="42">
        <f>VLOOKUP($A188,'Neraca Unaudited SIMAK'!$A$2:$R$1272,7,FALSE)+IF(ISNA(VLOOKUP($A188,'Mutasi Neraca'!$A$3:$S$910,7,FALSE)),0,VLOOKUP($A188,'Mutasi Neraca'!$A$3:$S$910,7,FALSE))</f>
        <v>36646000</v>
      </c>
      <c r="I188" s="42">
        <f>VLOOKUP($A188,'Neraca Unaudited SIMAK'!$A$2:$R$1272,8,FALSE)+IF(ISNA(VLOOKUP($A188,'Mutasi Neraca'!$A$3:$S$910,8,FALSE)),0,VLOOKUP($A188,'Mutasi Neraca'!$A$3:$S$910,8,FALSE))</f>
        <v>9225740</v>
      </c>
      <c r="J188" s="42">
        <f>VLOOKUP($A188,'Neraca Unaudited SIMAK'!$A$2:$R$1272,9,FALSE)+IF(ISNA(VLOOKUP($A188,'Mutasi Neraca'!$A$3:$S$910,9,FALSE)),0,VLOOKUP($A188,'Mutasi Neraca'!$A$3:$S$910,9,FALSE))</f>
        <v>0</v>
      </c>
      <c r="K188" s="42">
        <f>VLOOKUP($A188,'Neraca Unaudited SIMAK'!$A$2:$R$1272,10,FALSE)+IF(ISNA(VLOOKUP($A188,'Mutasi Neraca'!$A$3:$S$910,10,FALSE)),0,VLOOKUP($A188,'Mutasi Neraca'!$A$3:$S$910,10,FALSE))</f>
        <v>89500000</v>
      </c>
      <c r="L188" s="42">
        <f>VLOOKUP($A188,'Neraca Unaudited SIMAK'!$A$2:$R$1272,11,FALSE)+IF(ISNA(VLOOKUP($A188,'Mutasi Neraca'!$A$3:$S$910,11,FALSE)),0,VLOOKUP($A188,'Mutasi Neraca'!$A$3:$S$910,11,FALSE))</f>
        <v>3052510000</v>
      </c>
      <c r="M188" s="42">
        <f>VLOOKUP($A188,'Neraca Unaudited SIMAK'!$A$2:$R$1272,12,FALSE)+IF(ISNA(VLOOKUP($A188,'Mutasi Neraca'!$A$3:$S$910,12,FALSE)),0,VLOOKUP($A188,'Mutasi Neraca'!$A$3:$S$910,12,FALSE))</f>
        <v>11112848263</v>
      </c>
      <c r="N188" s="42">
        <f>VLOOKUP($A188,'Neraca Unaudited SIMAK'!$A$2:$R$1272,13,FALSE)+IF(ISNA(VLOOKUP($A188,'Mutasi Neraca'!$A$3:$S$910,13,FALSE)),0,VLOOKUP($A188,'Mutasi Neraca'!$A$3:$S$910,13,FALSE))</f>
        <v>-1365719135</v>
      </c>
      <c r="O188" s="42">
        <f>VLOOKUP($A188,'Neraca Unaudited SIMAK'!$A$2:$R$1272,14,FALSE)+IF(ISNA(VLOOKUP($A188,'Mutasi Neraca'!$A$3:$S$910,14,FALSE)),0,VLOOKUP($A188,'Mutasi Neraca'!$A$3:$S$910,14,FALSE))</f>
        <v>-821665389</v>
      </c>
      <c r="P188" s="42">
        <f>VLOOKUP($A188,'Neraca Unaudited SIMAK'!$A$2:$R$1272,15,FALSE)+IF(ISNA(VLOOKUP($A188,'Mutasi Neraca'!$A$3:$S$910,15,FALSE)),0,VLOOKUP($A188,'Mutasi Neraca'!$A$3:$S$910,15,FALSE))</f>
        <v>-916150</v>
      </c>
      <c r="Q188" s="42">
        <f>VLOOKUP($A188,'Neraca Unaudited SIMAK'!$A$2:$R$1272,16,FALSE)+IF(ISNA(VLOOKUP($A188,'Mutasi Neraca'!$A$3:$S$910,16,FALSE)),0,VLOOKUP($A188,'Mutasi Neraca'!$A$3:$S$910,16,FALSE))</f>
        <v>0</v>
      </c>
      <c r="R188" s="42">
        <f>VLOOKUP($A188,'Neraca Unaudited SIMAK'!$A$2:$R$1272,17,FALSE)+IF(ISNA(VLOOKUP($A188,'Mutasi Neraca'!$A$3:$S$910,17,FALSE)),0,VLOOKUP($A188,'Mutasi Neraca'!$A$3:$S$910,17,FALSE))</f>
        <v>-3052510000</v>
      </c>
      <c r="S188" s="42">
        <f t="shared" si="47"/>
        <v>5872037589</v>
      </c>
    </row>
    <row r="189" spans="1:19">
      <c r="A189" s="41" t="s">
        <v>196</v>
      </c>
      <c r="B189" s="41" t="str">
        <f t="shared" si="46"/>
        <v>005010500</v>
      </c>
      <c r="D189" s="42">
        <f>VLOOKUP($A189,'Neraca Unaudited SIMAK'!$A$2:$R$1272,3,FALSE)+IF(ISNA(VLOOKUP($A189,'Mutasi Neraca'!$A$3:$S$910,3,FALSE)),0,VLOOKUP($A189,'Mutasi Neraca'!$A$3:$S$910,3,FALSE))</f>
        <v>301100</v>
      </c>
      <c r="E189" s="42">
        <f>VLOOKUP($A189,'Neraca Unaudited SIMAK'!$A$2:$R$1272,4,FALSE)+IF(ISNA(VLOOKUP($A189,'Mutasi Neraca'!$A$3:$S$910,4,FALSE)),0,VLOOKUP($A189,'Mutasi Neraca'!$A$3:$S$910,4,FALSE))</f>
        <v>10046357597</v>
      </c>
      <c r="F189" s="42">
        <f>VLOOKUP($A189,'Neraca Unaudited SIMAK'!$A$2:$R$1272,5,FALSE)+IF(ISNA(VLOOKUP($A189,'Mutasi Neraca'!$A$3:$S$910,5,FALSE)),0,VLOOKUP($A189,'Mutasi Neraca'!$A$3:$S$910,5,FALSE))</f>
        <v>2261835283</v>
      </c>
      <c r="G189" s="42">
        <f>VLOOKUP($A189,'Neraca Unaudited SIMAK'!$A$2:$R$1272,6,FALSE)+IF(ISNA(VLOOKUP($A189,'Mutasi Neraca'!$A$3:$S$910,6,FALSE)),0,VLOOKUP($A189,'Mutasi Neraca'!$A$3:$S$910,6,FALSE))</f>
        <v>10396188450</v>
      </c>
      <c r="H189" s="42">
        <f>VLOOKUP($A189,'Neraca Unaudited SIMAK'!$A$2:$R$1272,7,FALSE)+IF(ISNA(VLOOKUP($A189,'Mutasi Neraca'!$A$3:$S$910,7,FALSE)),0,VLOOKUP($A189,'Mutasi Neraca'!$A$3:$S$910,7,FALSE))</f>
        <v>195649000</v>
      </c>
      <c r="I189" s="42">
        <f>VLOOKUP($A189,'Neraca Unaudited SIMAK'!$A$2:$R$1272,8,FALSE)+IF(ISNA(VLOOKUP($A189,'Mutasi Neraca'!$A$3:$S$910,8,FALSE)),0,VLOOKUP($A189,'Mutasi Neraca'!$A$3:$S$910,8,FALSE))</f>
        <v>9038462</v>
      </c>
      <c r="J189" s="42">
        <f>VLOOKUP($A189,'Neraca Unaudited SIMAK'!$A$2:$R$1272,9,FALSE)+IF(ISNA(VLOOKUP($A189,'Mutasi Neraca'!$A$3:$S$910,9,FALSE)),0,VLOOKUP($A189,'Mutasi Neraca'!$A$3:$S$910,9,FALSE))</f>
        <v>0</v>
      </c>
      <c r="K189" s="42">
        <f>VLOOKUP($A189,'Neraca Unaudited SIMAK'!$A$2:$R$1272,10,FALSE)+IF(ISNA(VLOOKUP($A189,'Mutasi Neraca'!$A$3:$S$910,10,FALSE)),0,VLOOKUP($A189,'Mutasi Neraca'!$A$3:$S$910,10,FALSE))</f>
        <v>0</v>
      </c>
      <c r="L189" s="42">
        <f>VLOOKUP($A189,'Neraca Unaudited SIMAK'!$A$2:$R$1272,11,FALSE)+IF(ISNA(VLOOKUP($A189,'Mutasi Neraca'!$A$3:$S$910,11,FALSE)),0,VLOOKUP($A189,'Mutasi Neraca'!$A$3:$S$910,11,FALSE))</f>
        <v>0</v>
      </c>
      <c r="M189" s="42">
        <f>VLOOKUP($A189,'Neraca Unaudited SIMAK'!$A$2:$R$1272,12,FALSE)+IF(ISNA(VLOOKUP($A189,'Mutasi Neraca'!$A$3:$S$910,12,FALSE)),0,VLOOKUP($A189,'Mutasi Neraca'!$A$3:$S$910,12,FALSE))</f>
        <v>22909369892</v>
      </c>
      <c r="N189" s="42">
        <f>VLOOKUP($A189,'Neraca Unaudited SIMAK'!$A$2:$R$1272,13,FALSE)+IF(ISNA(VLOOKUP($A189,'Mutasi Neraca'!$A$3:$S$910,13,FALSE)),0,VLOOKUP($A189,'Mutasi Neraca'!$A$3:$S$910,13,FALSE))</f>
        <v>-1227470157</v>
      </c>
      <c r="O189" s="42">
        <f>VLOOKUP($A189,'Neraca Unaudited SIMAK'!$A$2:$R$1272,14,FALSE)+IF(ISNA(VLOOKUP($A189,'Mutasi Neraca'!$A$3:$S$910,14,FALSE)),0,VLOOKUP($A189,'Mutasi Neraca'!$A$3:$S$910,14,FALSE))</f>
        <v>-2655173336</v>
      </c>
      <c r="P189" s="42">
        <f>VLOOKUP($A189,'Neraca Unaudited SIMAK'!$A$2:$R$1272,15,FALSE)+IF(ISNA(VLOOKUP($A189,'Mutasi Neraca'!$A$3:$S$910,15,FALSE)),0,VLOOKUP($A189,'Mutasi Neraca'!$A$3:$S$910,15,FALSE))</f>
        <v>-26901738</v>
      </c>
      <c r="Q189" s="42">
        <f>VLOOKUP($A189,'Neraca Unaudited SIMAK'!$A$2:$R$1272,16,FALSE)+IF(ISNA(VLOOKUP($A189,'Mutasi Neraca'!$A$3:$S$910,16,FALSE)),0,VLOOKUP($A189,'Mutasi Neraca'!$A$3:$S$910,16,FALSE))</f>
        <v>0</v>
      </c>
      <c r="R189" s="42">
        <f>VLOOKUP($A189,'Neraca Unaudited SIMAK'!$A$2:$R$1272,17,FALSE)+IF(ISNA(VLOOKUP($A189,'Mutasi Neraca'!$A$3:$S$910,17,FALSE)),0,VLOOKUP($A189,'Mutasi Neraca'!$A$3:$S$910,17,FALSE))</f>
        <v>0</v>
      </c>
      <c r="S189" s="42">
        <f t="shared" si="47"/>
        <v>18999824661</v>
      </c>
    </row>
    <row r="190" spans="1:19">
      <c r="A190" s="41" t="s">
        <v>197</v>
      </c>
      <c r="B190" s="41" t="str">
        <f t="shared" si="46"/>
        <v>005010500</v>
      </c>
      <c r="D190" s="42">
        <f>VLOOKUP($A190,'Neraca Unaudited SIMAK'!$A$2:$R$1272,3,FALSE)+IF(ISNA(VLOOKUP($A190,'Mutasi Neraca'!$A$3:$S$910,3,FALSE)),0,VLOOKUP($A190,'Mutasi Neraca'!$A$3:$S$910,3,FALSE))</f>
        <v>25000</v>
      </c>
      <c r="E190" s="42">
        <f>VLOOKUP($A190,'Neraca Unaudited SIMAK'!$A$2:$R$1272,4,FALSE)+IF(ISNA(VLOOKUP($A190,'Mutasi Neraca'!$A$3:$S$910,4,FALSE)),0,VLOOKUP($A190,'Mutasi Neraca'!$A$3:$S$910,4,FALSE))</f>
        <v>4118840930</v>
      </c>
      <c r="F190" s="42">
        <f>VLOOKUP($A190,'Neraca Unaudited SIMAK'!$A$2:$R$1272,5,FALSE)+IF(ISNA(VLOOKUP($A190,'Mutasi Neraca'!$A$3:$S$910,5,FALSE)),0,VLOOKUP($A190,'Mutasi Neraca'!$A$3:$S$910,5,FALSE))</f>
        <v>2646052423</v>
      </c>
      <c r="G190" s="42">
        <f>VLOOKUP($A190,'Neraca Unaudited SIMAK'!$A$2:$R$1272,6,FALSE)+IF(ISNA(VLOOKUP($A190,'Mutasi Neraca'!$A$3:$S$910,6,FALSE)),0,VLOOKUP($A190,'Mutasi Neraca'!$A$3:$S$910,6,FALSE))</f>
        <v>4795772942</v>
      </c>
      <c r="H190" s="42">
        <f>VLOOKUP($A190,'Neraca Unaudited SIMAK'!$A$2:$R$1272,7,FALSE)+IF(ISNA(VLOOKUP($A190,'Mutasi Neraca'!$A$3:$S$910,7,FALSE)),0,VLOOKUP($A190,'Mutasi Neraca'!$A$3:$S$910,7,FALSE))</f>
        <v>285432000</v>
      </c>
      <c r="I190" s="42">
        <f>VLOOKUP($A190,'Neraca Unaudited SIMAK'!$A$2:$R$1272,8,FALSE)+IF(ISNA(VLOOKUP($A190,'Mutasi Neraca'!$A$3:$S$910,8,FALSE)),0,VLOOKUP($A190,'Mutasi Neraca'!$A$3:$S$910,8,FALSE))</f>
        <v>9183740</v>
      </c>
      <c r="J190" s="42">
        <f>VLOOKUP($A190,'Neraca Unaudited SIMAK'!$A$2:$R$1272,9,FALSE)+IF(ISNA(VLOOKUP($A190,'Mutasi Neraca'!$A$3:$S$910,9,FALSE)),0,VLOOKUP($A190,'Mutasi Neraca'!$A$3:$S$910,9,FALSE))</f>
        <v>0</v>
      </c>
      <c r="K190" s="42">
        <f>VLOOKUP($A190,'Neraca Unaudited SIMAK'!$A$2:$R$1272,10,FALSE)+IF(ISNA(VLOOKUP($A190,'Mutasi Neraca'!$A$3:$S$910,10,FALSE)),0,VLOOKUP($A190,'Mutasi Neraca'!$A$3:$S$910,10,FALSE))</f>
        <v>0</v>
      </c>
      <c r="L190" s="42">
        <f>VLOOKUP($A190,'Neraca Unaudited SIMAK'!$A$2:$R$1272,11,FALSE)+IF(ISNA(VLOOKUP($A190,'Mutasi Neraca'!$A$3:$S$910,11,FALSE)),0,VLOOKUP($A190,'Mutasi Neraca'!$A$3:$S$910,11,FALSE))</f>
        <v>0</v>
      </c>
      <c r="M190" s="42">
        <f>VLOOKUP($A190,'Neraca Unaudited SIMAK'!$A$2:$R$1272,12,FALSE)+IF(ISNA(VLOOKUP($A190,'Mutasi Neraca'!$A$3:$S$910,12,FALSE)),0,VLOOKUP($A190,'Mutasi Neraca'!$A$3:$S$910,12,FALSE))</f>
        <v>11855307035</v>
      </c>
      <c r="N190" s="42">
        <f>VLOOKUP($A190,'Neraca Unaudited SIMAK'!$A$2:$R$1272,13,FALSE)+IF(ISNA(VLOOKUP($A190,'Mutasi Neraca'!$A$3:$S$910,13,FALSE)),0,VLOOKUP($A190,'Mutasi Neraca'!$A$3:$S$910,13,FALSE))</f>
        <v>-2242106112</v>
      </c>
      <c r="O190" s="42">
        <f>VLOOKUP($A190,'Neraca Unaudited SIMAK'!$A$2:$R$1272,14,FALSE)+IF(ISNA(VLOOKUP($A190,'Mutasi Neraca'!$A$3:$S$910,14,FALSE)),0,VLOOKUP($A190,'Mutasi Neraca'!$A$3:$S$910,14,FALSE))</f>
        <v>-1480240765</v>
      </c>
      <c r="P190" s="42">
        <f>VLOOKUP($A190,'Neraca Unaudited SIMAK'!$A$2:$R$1272,15,FALSE)+IF(ISNA(VLOOKUP($A190,'Mutasi Neraca'!$A$3:$S$910,15,FALSE)),0,VLOOKUP($A190,'Mutasi Neraca'!$A$3:$S$910,15,FALSE))</f>
        <v>-118960000</v>
      </c>
      <c r="Q190" s="42">
        <f>VLOOKUP($A190,'Neraca Unaudited SIMAK'!$A$2:$R$1272,16,FALSE)+IF(ISNA(VLOOKUP($A190,'Mutasi Neraca'!$A$3:$S$910,16,FALSE)),0,VLOOKUP($A190,'Mutasi Neraca'!$A$3:$S$910,16,FALSE))</f>
        <v>0</v>
      </c>
      <c r="R190" s="42">
        <f>VLOOKUP($A190,'Neraca Unaudited SIMAK'!$A$2:$R$1272,17,FALSE)+IF(ISNA(VLOOKUP($A190,'Mutasi Neraca'!$A$3:$S$910,17,FALSE)),0,VLOOKUP($A190,'Mutasi Neraca'!$A$3:$S$910,17,FALSE))</f>
        <v>0</v>
      </c>
      <c r="S190" s="42">
        <f t="shared" si="47"/>
        <v>8014000158</v>
      </c>
    </row>
    <row r="191" spans="1:19">
      <c r="A191" s="41" t="s">
        <v>198</v>
      </c>
      <c r="B191" s="41" t="str">
        <f t="shared" si="46"/>
        <v>005010500</v>
      </c>
      <c r="D191" s="42">
        <f>VLOOKUP($A191,'Neraca Unaudited SIMAK'!$A$2:$R$1272,3,FALSE)+IF(ISNA(VLOOKUP($A191,'Mutasi Neraca'!$A$3:$S$910,3,FALSE)),0,VLOOKUP($A191,'Mutasi Neraca'!$A$3:$S$910,3,FALSE))</f>
        <v>28783201</v>
      </c>
      <c r="E191" s="42">
        <f>VLOOKUP($A191,'Neraca Unaudited SIMAK'!$A$2:$R$1272,4,FALSE)+IF(ISNA(VLOOKUP($A191,'Mutasi Neraca'!$A$3:$S$910,4,FALSE)),0,VLOOKUP($A191,'Mutasi Neraca'!$A$3:$S$910,4,FALSE))</f>
        <v>26386064500</v>
      </c>
      <c r="F191" s="42">
        <f>VLOOKUP($A191,'Neraca Unaudited SIMAK'!$A$2:$R$1272,5,FALSE)+IF(ISNA(VLOOKUP($A191,'Mutasi Neraca'!$A$3:$S$910,5,FALSE)),0,VLOOKUP($A191,'Mutasi Neraca'!$A$3:$S$910,5,FALSE))</f>
        <v>5532546985</v>
      </c>
      <c r="G191" s="42">
        <f>VLOOKUP($A191,'Neraca Unaudited SIMAK'!$A$2:$R$1272,6,FALSE)+IF(ISNA(VLOOKUP($A191,'Mutasi Neraca'!$A$3:$S$910,6,FALSE)),0,VLOOKUP($A191,'Mutasi Neraca'!$A$3:$S$910,6,FALSE))</f>
        <v>7248051235</v>
      </c>
      <c r="H191" s="42">
        <f>VLOOKUP($A191,'Neraca Unaudited SIMAK'!$A$2:$R$1272,7,FALSE)+IF(ISNA(VLOOKUP($A191,'Mutasi Neraca'!$A$3:$S$910,7,FALSE)),0,VLOOKUP($A191,'Mutasi Neraca'!$A$3:$S$910,7,FALSE))</f>
        <v>0</v>
      </c>
      <c r="I191" s="42">
        <f>VLOOKUP($A191,'Neraca Unaudited SIMAK'!$A$2:$R$1272,8,FALSE)+IF(ISNA(VLOOKUP($A191,'Mutasi Neraca'!$A$3:$S$910,8,FALSE)),0,VLOOKUP($A191,'Mutasi Neraca'!$A$3:$S$910,8,FALSE))</f>
        <v>29313961</v>
      </c>
      <c r="J191" s="42">
        <f>VLOOKUP($A191,'Neraca Unaudited SIMAK'!$A$2:$R$1272,9,FALSE)+IF(ISNA(VLOOKUP($A191,'Mutasi Neraca'!$A$3:$S$910,9,FALSE)),0,VLOOKUP($A191,'Mutasi Neraca'!$A$3:$S$910,9,FALSE))</f>
        <v>0</v>
      </c>
      <c r="K191" s="42">
        <f>VLOOKUP($A191,'Neraca Unaudited SIMAK'!$A$2:$R$1272,10,FALSE)+IF(ISNA(VLOOKUP($A191,'Mutasi Neraca'!$A$3:$S$910,10,FALSE)),0,VLOOKUP($A191,'Mutasi Neraca'!$A$3:$S$910,10,FALSE))</f>
        <v>4000000</v>
      </c>
      <c r="L191" s="42">
        <f>VLOOKUP($A191,'Neraca Unaudited SIMAK'!$A$2:$R$1272,11,FALSE)+IF(ISNA(VLOOKUP($A191,'Mutasi Neraca'!$A$3:$S$910,11,FALSE)),0,VLOOKUP($A191,'Mutasi Neraca'!$A$3:$S$910,11,FALSE))</f>
        <v>0</v>
      </c>
      <c r="M191" s="42">
        <f>VLOOKUP($A191,'Neraca Unaudited SIMAK'!$A$2:$R$1272,12,FALSE)+IF(ISNA(VLOOKUP($A191,'Mutasi Neraca'!$A$3:$S$910,12,FALSE)),0,VLOOKUP($A191,'Mutasi Neraca'!$A$3:$S$910,12,FALSE))</f>
        <v>39228759882</v>
      </c>
      <c r="N191" s="42">
        <f>VLOOKUP($A191,'Neraca Unaudited SIMAK'!$A$2:$R$1272,13,FALSE)+IF(ISNA(VLOOKUP($A191,'Mutasi Neraca'!$A$3:$S$910,13,FALSE)),0,VLOOKUP($A191,'Mutasi Neraca'!$A$3:$S$910,13,FALSE))</f>
        <v>-4821627159</v>
      </c>
      <c r="O191" s="42">
        <f>VLOOKUP($A191,'Neraca Unaudited SIMAK'!$A$2:$R$1272,14,FALSE)+IF(ISNA(VLOOKUP($A191,'Mutasi Neraca'!$A$3:$S$910,14,FALSE)),0,VLOOKUP($A191,'Mutasi Neraca'!$A$3:$S$910,14,FALSE))</f>
        <v>-644982310</v>
      </c>
      <c r="P191" s="42">
        <f>VLOOKUP($A191,'Neraca Unaudited SIMAK'!$A$2:$R$1272,15,FALSE)+IF(ISNA(VLOOKUP($A191,'Mutasi Neraca'!$A$3:$S$910,15,FALSE)),0,VLOOKUP($A191,'Mutasi Neraca'!$A$3:$S$910,15,FALSE))</f>
        <v>0</v>
      </c>
      <c r="Q191" s="42">
        <f>VLOOKUP($A191,'Neraca Unaudited SIMAK'!$A$2:$R$1272,16,FALSE)+IF(ISNA(VLOOKUP($A191,'Mutasi Neraca'!$A$3:$S$910,16,FALSE)),0,VLOOKUP($A191,'Mutasi Neraca'!$A$3:$S$910,16,FALSE))</f>
        <v>0</v>
      </c>
      <c r="R191" s="42">
        <f>VLOOKUP($A191,'Neraca Unaudited SIMAK'!$A$2:$R$1272,17,FALSE)+IF(ISNA(VLOOKUP($A191,'Mutasi Neraca'!$A$3:$S$910,17,FALSE)),0,VLOOKUP($A191,'Mutasi Neraca'!$A$3:$S$910,17,FALSE))</f>
        <v>0</v>
      </c>
      <c r="S191" s="42">
        <f t="shared" si="47"/>
        <v>33762150413</v>
      </c>
    </row>
    <row r="192" spans="1:19">
      <c r="A192" s="41" t="s">
        <v>199</v>
      </c>
      <c r="B192" s="41" t="str">
        <f t="shared" si="46"/>
        <v>005010500</v>
      </c>
      <c r="D192" s="42">
        <f>VLOOKUP($A192,'Neraca Unaudited SIMAK'!$A$2:$R$1272,3,FALSE)+IF(ISNA(VLOOKUP($A192,'Mutasi Neraca'!$A$3:$S$910,3,FALSE)),0,VLOOKUP($A192,'Mutasi Neraca'!$A$3:$S$910,3,FALSE))</f>
        <v>1140000</v>
      </c>
      <c r="E192" s="42">
        <f>VLOOKUP($A192,'Neraca Unaudited SIMAK'!$A$2:$R$1272,4,FALSE)+IF(ISNA(VLOOKUP($A192,'Mutasi Neraca'!$A$3:$S$910,4,FALSE)),0,VLOOKUP($A192,'Mutasi Neraca'!$A$3:$S$910,4,FALSE))</f>
        <v>4885550000</v>
      </c>
      <c r="F192" s="42">
        <f>VLOOKUP($A192,'Neraca Unaudited SIMAK'!$A$2:$R$1272,5,FALSE)+IF(ISNA(VLOOKUP($A192,'Mutasi Neraca'!$A$3:$S$910,5,FALSE)),0,VLOOKUP($A192,'Mutasi Neraca'!$A$3:$S$910,5,FALSE))</f>
        <v>1643710955</v>
      </c>
      <c r="G192" s="42">
        <f>VLOOKUP($A192,'Neraca Unaudited SIMAK'!$A$2:$R$1272,6,FALSE)+IF(ISNA(VLOOKUP($A192,'Mutasi Neraca'!$A$3:$S$910,6,FALSE)),0,VLOOKUP($A192,'Mutasi Neraca'!$A$3:$S$910,6,FALSE))</f>
        <v>4126400738</v>
      </c>
      <c r="H192" s="42">
        <f>VLOOKUP($A192,'Neraca Unaudited SIMAK'!$A$2:$R$1272,7,FALSE)+IF(ISNA(VLOOKUP($A192,'Mutasi Neraca'!$A$3:$S$910,7,FALSE)),0,VLOOKUP($A192,'Mutasi Neraca'!$A$3:$S$910,7,FALSE))</f>
        <v>164280875</v>
      </c>
      <c r="I192" s="42">
        <f>VLOOKUP($A192,'Neraca Unaudited SIMAK'!$A$2:$R$1272,8,FALSE)+IF(ISNA(VLOOKUP($A192,'Mutasi Neraca'!$A$3:$S$910,8,FALSE)),0,VLOOKUP($A192,'Mutasi Neraca'!$A$3:$S$910,8,FALSE))</f>
        <v>9183740</v>
      </c>
      <c r="J192" s="42">
        <f>VLOOKUP($A192,'Neraca Unaudited SIMAK'!$A$2:$R$1272,9,FALSE)+IF(ISNA(VLOOKUP($A192,'Mutasi Neraca'!$A$3:$S$910,9,FALSE)),0,VLOOKUP($A192,'Mutasi Neraca'!$A$3:$S$910,9,FALSE))</f>
        <v>0</v>
      </c>
      <c r="K192" s="42">
        <f>VLOOKUP($A192,'Neraca Unaudited SIMAK'!$A$2:$R$1272,10,FALSE)+IF(ISNA(VLOOKUP($A192,'Mutasi Neraca'!$A$3:$S$910,10,FALSE)),0,VLOOKUP($A192,'Mutasi Neraca'!$A$3:$S$910,10,FALSE))</f>
        <v>0</v>
      </c>
      <c r="L192" s="42">
        <f>VLOOKUP($A192,'Neraca Unaudited SIMAK'!$A$2:$R$1272,11,FALSE)+IF(ISNA(VLOOKUP($A192,'Mutasi Neraca'!$A$3:$S$910,11,FALSE)),0,VLOOKUP($A192,'Mutasi Neraca'!$A$3:$S$910,11,FALSE))</f>
        <v>4820500</v>
      </c>
      <c r="M192" s="42">
        <f>VLOOKUP($A192,'Neraca Unaudited SIMAK'!$A$2:$R$1272,12,FALSE)+IF(ISNA(VLOOKUP($A192,'Mutasi Neraca'!$A$3:$S$910,12,FALSE)),0,VLOOKUP($A192,'Mutasi Neraca'!$A$3:$S$910,12,FALSE))</f>
        <v>10835086808</v>
      </c>
      <c r="N192" s="42">
        <f>VLOOKUP($A192,'Neraca Unaudited SIMAK'!$A$2:$R$1272,13,FALSE)+IF(ISNA(VLOOKUP($A192,'Mutasi Neraca'!$A$3:$S$910,13,FALSE)),0,VLOOKUP($A192,'Mutasi Neraca'!$A$3:$S$910,13,FALSE))</f>
        <v>-1429111761</v>
      </c>
      <c r="O192" s="42">
        <f>VLOOKUP($A192,'Neraca Unaudited SIMAK'!$A$2:$R$1272,14,FALSE)+IF(ISNA(VLOOKUP($A192,'Mutasi Neraca'!$A$3:$S$910,14,FALSE)),0,VLOOKUP($A192,'Mutasi Neraca'!$A$3:$S$910,14,FALSE))</f>
        <v>-1983395123</v>
      </c>
      <c r="P192" s="42">
        <f>VLOOKUP($A192,'Neraca Unaudited SIMAK'!$A$2:$R$1272,15,FALSE)+IF(ISNA(VLOOKUP($A192,'Mutasi Neraca'!$A$3:$S$910,15,FALSE)),0,VLOOKUP($A192,'Mutasi Neraca'!$A$3:$S$910,15,FALSE))</f>
        <v>-78151618</v>
      </c>
      <c r="Q192" s="42">
        <f>VLOOKUP($A192,'Neraca Unaudited SIMAK'!$A$2:$R$1272,16,FALSE)+IF(ISNA(VLOOKUP($A192,'Mutasi Neraca'!$A$3:$S$910,16,FALSE)),0,VLOOKUP($A192,'Mutasi Neraca'!$A$3:$S$910,16,FALSE))</f>
        <v>0</v>
      </c>
      <c r="R192" s="42">
        <f>VLOOKUP($A192,'Neraca Unaudited SIMAK'!$A$2:$R$1272,17,FALSE)+IF(ISNA(VLOOKUP($A192,'Mutasi Neraca'!$A$3:$S$910,17,FALSE)),0,VLOOKUP($A192,'Mutasi Neraca'!$A$3:$S$910,17,FALSE))</f>
        <v>-4820500</v>
      </c>
      <c r="S192" s="42">
        <f t="shared" si="47"/>
        <v>7339607806</v>
      </c>
    </row>
    <row r="193" spans="1:19">
      <c r="A193" s="41" t="s">
        <v>200</v>
      </c>
      <c r="B193" s="41" t="str">
        <f t="shared" si="46"/>
        <v>005010500</v>
      </c>
      <c r="D193" s="42">
        <f>VLOOKUP($A193,'Neraca Unaudited SIMAK'!$A$2:$R$1272,3,FALSE)+IF(ISNA(VLOOKUP($A193,'Mutasi Neraca'!$A$3:$S$910,3,FALSE)),0,VLOOKUP($A193,'Mutasi Neraca'!$A$3:$S$910,3,FALSE))</f>
        <v>100000</v>
      </c>
      <c r="E193" s="42">
        <f>VLOOKUP($A193,'Neraca Unaudited SIMAK'!$A$2:$R$1272,4,FALSE)+IF(ISNA(VLOOKUP($A193,'Mutasi Neraca'!$A$3:$S$910,4,FALSE)),0,VLOOKUP($A193,'Mutasi Neraca'!$A$3:$S$910,4,FALSE))</f>
        <v>2546543000</v>
      </c>
      <c r="F193" s="42">
        <f>VLOOKUP($A193,'Neraca Unaudited SIMAK'!$A$2:$R$1272,5,FALSE)+IF(ISNA(VLOOKUP($A193,'Mutasi Neraca'!$A$3:$S$910,5,FALSE)),0,VLOOKUP($A193,'Mutasi Neraca'!$A$3:$S$910,5,FALSE))</f>
        <v>1469257920</v>
      </c>
      <c r="G193" s="42">
        <f>VLOOKUP($A193,'Neraca Unaudited SIMAK'!$A$2:$R$1272,6,FALSE)+IF(ISNA(VLOOKUP($A193,'Mutasi Neraca'!$A$3:$S$910,6,FALSE)),0,VLOOKUP($A193,'Mutasi Neraca'!$A$3:$S$910,6,FALSE))</f>
        <v>6271491200</v>
      </c>
      <c r="H193" s="42">
        <f>VLOOKUP($A193,'Neraca Unaudited SIMAK'!$A$2:$R$1272,7,FALSE)+IF(ISNA(VLOOKUP($A193,'Mutasi Neraca'!$A$3:$S$910,7,FALSE)),0,VLOOKUP($A193,'Mutasi Neraca'!$A$3:$S$910,7,FALSE))</f>
        <v>0</v>
      </c>
      <c r="I193" s="42">
        <f>VLOOKUP($A193,'Neraca Unaudited SIMAK'!$A$2:$R$1272,8,FALSE)+IF(ISNA(VLOOKUP($A193,'Mutasi Neraca'!$A$3:$S$910,8,FALSE)),0,VLOOKUP($A193,'Mutasi Neraca'!$A$3:$S$910,8,FALSE))</f>
        <v>9038462</v>
      </c>
      <c r="J193" s="42">
        <f>VLOOKUP($A193,'Neraca Unaudited SIMAK'!$A$2:$R$1272,9,FALSE)+IF(ISNA(VLOOKUP($A193,'Mutasi Neraca'!$A$3:$S$910,9,FALSE)),0,VLOOKUP($A193,'Mutasi Neraca'!$A$3:$S$910,9,FALSE))</f>
        <v>0</v>
      </c>
      <c r="K193" s="42">
        <f>VLOOKUP($A193,'Neraca Unaudited SIMAK'!$A$2:$R$1272,10,FALSE)+IF(ISNA(VLOOKUP($A193,'Mutasi Neraca'!$A$3:$S$910,10,FALSE)),0,VLOOKUP($A193,'Mutasi Neraca'!$A$3:$S$910,10,FALSE))</f>
        <v>0</v>
      </c>
      <c r="L193" s="42">
        <f>VLOOKUP($A193,'Neraca Unaudited SIMAK'!$A$2:$R$1272,11,FALSE)+IF(ISNA(VLOOKUP($A193,'Mutasi Neraca'!$A$3:$S$910,11,FALSE)),0,VLOOKUP($A193,'Mutasi Neraca'!$A$3:$S$910,11,FALSE))</f>
        <v>156045000</v>
      </c>
      <c r="M193" s="42">
        <f>VLOOKUP($A193,'Neraca Unaudited SIMAK'!$A$2:$R$1272,12,FALSE)+IF(ISNA(VLOOKUP($A193,'Mutasi Neraca'!$A$3:$S$910,12,FALSE)),0,VLOOKUP($A193,'Mutasi Neraca'!$A$3:$S$910,12,FALSE))</f>
        <v>10452475582</v>
      </c>
      <c r="N193" s="42">
        <f>VLOOKUP($A193,'Neraca Unaudited SIMAK'!$A$2:$R$1272,13,FALSE)+IF(ISNA(VLOOKUP($A193,'Mutasi Neraca'!$A$3:$S$910,13,FALSE)),0,VLOOKUP($A193,'Mutasi Neraca'!$A$3:$S$910,13,FALSE))</f>
        <v>-1309196948</v>
      </c>
      <c r="O193" s="42">
        <f>VLOOKUP($A193,'Neraca Unaudited SIMAK'!$A$2:$R$1272,14,FALSE)+IF(ISNA(VLOOKUP($A193,'Mutasi Neraca'!$A$3:$S$910,14,FALSE)),0,VLOOKUP($A193,'Mutasi Neraca'!$A$3:$S$910,14,FALSE))</f>
        <v>-1659075992</v>
      </c>
      <c r="P193" s="42">
        <f>VLOOKUP($A193,'Neraca Unaudited SIMAK'!$A$2:$R$1272,15,FALSE)+IF(ISNA(VLOOKUP($A193,'Mutasi Neraca'!$A$3:$S$910,15,FALSE)),0,VLOOKUP($A193,'Mutasi Neraca'!$A$3:$S$910,15,FALSE))</f>
        <v>0</v>
      </c>
      <c r="Q193" s="42">
        <f>VLOOKUP($A193,'Neraca Unaudited SIMAK'!$A$2:$R$1272,16,FALSE)+IF(ISNA(VLOOKUP($A193,'Mutasi Neraca'!$A$3:$S$910,16,FALSE)),0,VLOOKUP($A193,'Mutasi Neraca'!$A$3:$S$910,16,FALSE))</f>
        <v>-2683400</v>
      </c>
      <c r="R193" s="42">
        <f>VLOOKUP($A193,'Neraca Unaudited SIMAK'!$A$2:$R$1272,17,FALSE)+IF(ISNA(VLOOKUP($A193,'Mutasi Neraca'!$A$3:$S$910,17,FALSE)),0,VLOOKUP($A193,'Mutasi Neraca'!$A$3:$S$910,17,FALSE))</f>
        <v>-156045000</v>
      </c>
      <c r="S193" s="42">
        <f t="shared" si="47"/>
        <v>7325474242</v>
      </c>
    </row>
    <row r="194" spans="1:19">
      <c r="A194" s="41" t="s">
        <v>201</v>
      </c>
      <c r="B194" s="41" t="str">
        <f t="shared" si="46"/>
        <v>005010500</v>
      </c>
      <c r="D194" s="42">
        <f>VLOOKUP($A194,'Neraca Unaudited SIMAK'!$A$2:$R$1272,3,FALSE)+IF(ISNA(VLOOKUP($A194,'Mutasi Neraca'!$A$3:$S$910,3,FALSE)),0,VLOOKUP($A194,'Mutasi Neraca'!$A$3:$S$910,3,FALSE))</f>
        <v>2388975</v>
      </c>
      <c r="E194" s="42">
        <f>VLOOKUP($A194,'Neraca Unaudited SIMAK'!$A$2:$R$1272,4,FALSE)+IF(ISNA(VLOOKUP($A194,'Mutasi Neraca'!$A$3:$S$910,4,FALSE)),0,VLOOKUP($A194,'Mutasi Neraca'!$A$3:$S$910,4,FALSE))</f>
        <v>2530605600</v>
      </c>
      <c r="F194" s="42">
        <f>VLOOKUP($A194,'Neraca Unaudited SIMAK'!$A$2:$R$1272,5,FALSE)+IF(ISNA(VLOOKUP($A194,'Mutasi Neraca'!$A$3:$S$910,5,FALSE)),0,VLOOKUP($A194,'Mutasi Neraca'!$A$3:$S$910,5,FALSE))</f>
        <v>2500475633</v>
      </c>
      <c r="G194" s="42">
        <f>VLOOKUP($A194,'Neraca Unaudited SIMAK'!$A$2:$R$1272,6,FALSE)+IF(ISNA(VLOOKUP($A194,'Mutasi Neraca'!$A$3:$S$910,6,FALSE)),0,VLOOKUP($A194,'Mutasi Neraca'!$A$3:$S$910,6,FALSE))</f>
        <v>4730723774</v>
      </c>
      <c r="H194" s="42">
        <f>VLOOKUP($A194,'Neraca Unaudited SIMAK'!$A$2:$R$1272,7,FALSE)+IF(ISNA(VLOOKUP($A194,'Mutasi Neraca'!$A$3:$S$910,7,FALSE)),0,VLOOKUP($A194,'Mutasi Neraca'!$A$3:$S$910,7,FALSE))</f>
        <v>18984900</v>
      </c>
      <c r="I194" s="42">
        <f>VLOOKUP($A194,'Neraca Unaudited SIMAK'!$A$2:$R$1272,8,FALSE)+IF(ISNA(VLOOKUP($A194,'Mutasi Neraca'!$A$3:$S$910,8,FALSE)),0,VLOOKUP($A194,'Mutasi Neraca'!$A$3:$S$910,8,FALSE))</f>
        <v>10547018</v>
      </c>
      <c r="J194" s="42">
        <f>VLOOKUP($A194,'Neraca Unaudited SIMAK'!$A$2:$R$1272,9,FALSE)+IF(ISNA(VLOOKUP($A194,'Mutasi Neraca'!$A$3:$S$910,9,FALSE)),0,VLOOKUP($A194,'Mutasi Neraca'!$A$3:$S$910,9,FALSE))</f>
        <v>0</v>
      </c>
      <c r="K194" s="42">
        <f>VLOOKUP($A194,'Neraca Unaudited SIMAK'!$A$2:$R$1272,10,FALSE)+IF(ISNA(VLOOKUP($A194,'Mutasi Neraca'!$A$3:$S$910,10,FALSE)),0,VLOOKUP($A194,'Mutasi Neraca'!$A$3:$S$910,10,FALSE))</f>
        <v>23100000</v>
      </c>
      <c r="L194" s="42">
        <f>VLOOKUP($A194,'Neraca Unaudited SIMAK'!$A$2:$R$1272,11,FALSE)+IF(ISNA(VLOOKUP($A194,'Mutasi Neraca'!$A$3:$S$910,11,FALSE)),0,VLOOKUP($A194,'Mutasi Neraca'!$A$3:$S$910,11,FALSE))</f>
        <v>0</v>
      </c>
      <c r="M194" s="42">
        <f>VLOOKUP($A194,'Neraca Unaudited SIMAK'!$A$2:$R$1272,12,FALSE)+IF(ISNA(VLOOKUP($A194,'Mutasi Neraca'!$A$3:$S$910,12,FALSE)),0,VLOOKUP($A194,'Mutasi Neraca'!$A$3:$S$910,12,FALSE))</f>
        <v>9816825900</v>
      </c>
      <c r="N194" s="42">
        <f>VLOOKUP($A194,'Neraca Unaudited SIMAK'!$A$2:$R$1272,13,FALSE)+IF(ISNA(VLOOKUP($A194,'Mutasi Neraca'!$A$3:$S$910,13,FALSE)),0,VLOOKUP($A194,'Mutasi Neraca'!$A$3:$S$910,13,FALSE))</f>
        <v>-1854825326</v>
      </c>
      <c r="O194" s="42">
        <f>VLOOKUP($A194,'Neraca Unaudited SIMAK'!$A$2:$R$1272,14,FALSE)+IF(ISNA(VLOOKUP($A194,'Mutasi Neraca'!$A$3:$S$910,14,FALSE)),0,VLOOKUP($A194,'Mutasi Neraca'!$A$3:$S$910,14,FALSE))</f>
        <v>-828846126</v>
      </c>
      <c r="P194" s="42">
        <f>VLOOKUP($A194,'Neraca Unaudited SIMAK'!$A$2:$R$1272,15,FALSE)+IF(ISNA(VLOOKUP($A194,'Mutasi Neraca'!$A$3:$S$910,15,FALSE)),0,VLOOKUP($A194,'Mutasi Neraca'!$A$3:$S$910,15,FALSE))</f>
        <v>-5302237</v>
      </c>
      <c r="Q194" s="42">
        <f>VLOOKUP($A194,'Neraca Unaudited SIMAK'!$A$2:$R$1272,16,FALSE)+IF(ISNA(VLOOKUP($A194,'Mutasi Neraca'!$A$3:$S$910,16,FALSE)),0,VLOOKUP($A194,'Mutasi Neraca'!$A$3:$S$910,16,FALSE))</f>
        <v>0</v>
      </c>
      <c r="R194" s="42">
        <f>VLOOKUP($A194,'Neraca Unaudited SIMAK'!$A$2:$R$1272,17,FALSE)+IF(ISNA(VLOOKUP($A194,'Mutasi Neraca'!$A$3:$S$910,17,FALSE)),0,VLOOKUP($A194,'Mutasi Neraca'!$A$3:$S$910,17,FALSE))</f>
        <v>0</v>
      </c>
      <c r="S194" s="42">
        <f t="shared" si="47"/>
        <v>7127852211</v>
      </c>
    </row>
    <row r="195" spans="1:19">
      <c r="A195" s="41" t="s">
        <v>202</v>
      </c>
      <c r="B195" s="41" t="str">
        <f t="shared" ref="B195:B258" si="48">LEFT(A195,9)</f>
        <v>005010500</v>
      </c>
      <c r="D195" s="42">
        <f>VLOOKUP($A195,'Neraca Unaudited SIMAK'!$A$2:$R$1272,3,FALSE)+IF(ISNA(VLOOKUP($A195,'Mutasi Neraca'!$A$3:$S$910,3,FALSE)),0,VLOOKUP($A195,'Mutasi Neraca'!$A$3:$S$910,3,FALSE))</f>
        <v>1398900</v>
      </c>
      <c r="E195" s="42">
        <f>VLOOKUP($A195,'Neraca Unaudited SIMAK'!$A$2:$R$1272,4,FALSE)+IF(ISNA(VLOOKUP($A195,'Mutasi Neraca'!$A$3:$S$910,4,FALSE)),0,VLOOKUP($A195,'Mutasi Neraca'!$A$3:$S$910,4,FALSE))</f>
        <v>0</v>
      </c>
      <c r="F195" s="42">
        <f>VLOOKUP($A195,'Neraca Unaudited SIMAK'!$A$2:$R$1272,5,FALSE)+IF(ISNA(VLOOKUP($A195,'Mutasi Neraca'!$A$3:$S$910,5,FALSE)),0,VLOOKUP($A195,'Mutasi Neraca'!$A$3:$S$910,5,FALSE))</f>
        <v>1387641294</v>
      </c>
      <c r="G195" s="42">
        <f>VLOOKUP($A195,'Neraca Unaudited SIMAK'!$A$2:$R$1272,6,FALSE)+IF(ISNA(VLOOKUP($A195,'Mutasi Neraca'!$A$3:$S$910,6,FALSE)),0,VLOOKUP($A195,'Mutasi Neraca'!$A$3:$S$910,6,FALSE))</f>
        <v>5086131524</v>
      </c>
      <c r="H195" s="42">
        <f>VLOOKUP($A195,'Neraca Unaudited SIMAK'!$A$2:$R$1272,7,FALSE)+IF(ISNA(VLOOKUP($A195,'Mutasi Neraca'!$A$3:$S$910,7,FALSE)),0,VLOOKUP($A195,'Mutasi Neraca'!$A$3:$S$910,7,FALSE))</f>
        <v>0</v>
      </c>
      <c r="I195" s="42">
        <f>VLOOKUP($A195,'Neraca Unaudited SIMAK'!$A$2:$R$1272,8,FALSE)+IF(ISNA(VLOOKUP($A195,'Mutasi Neraca'!$A$3:$S$910,8,FALSE)),0,VLOOKUP($A195,'Mutasi Neraca'!$A$3:$S$910,8,FALSE))</f>
        <v>408000</v>
      </c>
      <c r="J195" s="42">
        <f>VLOOKUP($A195,'Neraca Unaudited SIMAK'!$A$2:$R$1272,9,FALSE)+IF(ISNA(VLOOKUP($A195,'Mutasi Neraca'!$A$3:$S$910,9,FALSE)),0,VLOOKUP($A195,'Mutasi Neraca'!$A$3:$S$910,9,FALSE))</f>
        <v>0</v>
      </c>
      <c r="K195" s="42">
        <f>VLOOKUP($A195,'Neraca Unaudited SIMAK'!$A$2:$R$1272,10,FALSE)+IF(ISNA(VLOOKUP($A195,'Mutasi Neraca'!$A$3:$S$910,10,FALSE)),0,VLOOKUP($A195,'Mutasi Neraca'!$A$3:$S$910,10,FALSE))</f>
        <v>8475000</v>
      </c>
      <c r="L195" s="42">
        <f>VLOOKUP($A195,'Neraca Unaudited SIMAK'!$A$2:$R$1272,11,FALSE)+IF(ISNA(VLOOKUP($A195,'Mutasi Neraca'!$A$3:$S$910,11,FALSE)),0,VLOOKUP($A195,'Mutasi Neraca'!$A$3:$S$910,11,FALSE))</f>
        <v>69308655</v>
      </c>
      <c r="M195" s="42">
        <f>VLOOKUP($A195,'Neraca Unaudited SIMAK'!$A$2:$R$1272,12,FALSE)+IF(ISNA(VLOOKUP($A195,'Mutasi Neraca'!$A$3:$S$910,12,FALSE)),0,VLOOKUP($A195,'Mutasi Neraca'!$A$3:$S$910,12,FALSE))</f>
        <v>6553363373</v>
      </c>
      <c r="N195" s="42">
        <f>VLOOKUP($A195,'Neraca Unaudited SIMAK'!$A$2:$R$1272,13,FALSE)+IF(ISNA(VLOOKUP($A195,'Mutasi Neraca'!$A$3:$S$910,13,FALSE)),0,VLOOKUP($A195,'Mutasi Neraca'!$A$3:$S$910,13,FALSE))</f>
        <v>-1245209186</v>
      </c>
      <c r="O195" s="42">
        <f>VLOOKUP($A195,'Neraca Unaudited SIMAK'!$A$2:$R$1272,14,FALSE)+IF(ISNA(VLOOKUP($A195,'Mutasi Neraca'!$A$3:$S$910,14,FALSE)),0,VLOOKUP($A195,'Mutasi Neraca'!$A$3:$S$910,14,FALSE))</f>
        <v>-913074047</v>
      </c>
      <c r="P195" s="42">
        <f>VLOOKUP($A195,'Neraca Unaudited SIMAK'!$A$2:$R$1272,15,FALSE)+IF(ISNA(VLOOKUP($A195,'Mutasi Neraca'!$A$3:$S$910,15,FALSE)),0,VLOOKUP($A195,'Mutasi Neraca'!$A$3:$S$910,15,FALSE))</f>
        <v>0</v>
      </c>
      <c r="Q195" s="42">
        <f>VLOOKUP($A195,'Neraca Unaudited SIMAK'!$A$2:$R$1272,16,FALSE)+IF(ISNA(VLOOKUP($A195,'Mutasi Neraca'!$A$3:$S$910,16,FALSE)),0,VLOOKUP($A195,'Mutasi Neraca'!$A$3:$S$910,16,FALSE))</f>
        <v>0</v>
      </c>
      <c r="R195" s="42">
        <f>VLOOKUP($A195,'Neraca Unaudited SIMAK'!$A$2:$R$1272,17,FALSE)+IF(ISNA(VLOOKUP($A195,'Mutasi Neraca'!$A$3:$S$910,17,FALSE)),0,VLOOKUP($A195,'Mutasi Neraca'!$A$3:$S$910,17,FALSE))</f>
        <v>-69308655</v>
      </c>
      <c r="S195" s="42">
        <f t="shared" ref="S195:S258" si="49">SUM(M195:R195)</f>
        <v>4325771485</v>
      </c>
    </row>
    <row r="196" spans="1:19">
      <c r="A196" s="41" t="s">
        <v>203</v>
      </c>
      <c r="B196" s="41" t="str">
        <f t="shared" si="48"/>
        <v>005010500</v>
      </c>
      <c r="D196" s="42">
        <f>VLOOKUP($A196,'Neraca Unaudited SIMAK'!$A$2:$R$1272,3,FALSE)+IF(ISNA(VLOOKUP($A196,'Mutasi Neraca'!$A$3:$S$910,3,FALSE)),0,VLOOKUP($A196,'Mutasi Neraca'!$A$3:$S$910,3,FALSE))</f>
        <v>1510000</v>
      </c>
      <c r="E196" s="42">
        <f>VLOOKUP($A196,'Neraca Unaudited SIMAK'!$A$2:$R$1272,4,FALSE)+IF(ISNA(VLOOKUP($A196,'Mutasi Neraca'!$A$3:$S$910,4,FALSE)),0,VLOOKUP($A196,'Mutasi Neraca'!$A$3:$S$910,4,FALSE))</f>
        <v>1113200000</v>
      </c>
      <c r="F196" s="42">
        <f>VLOOKUP($A196,'Neraca Unaudited SIMAK'!$A$2:$R$1272,5,FALSE)+IF(ISNA(VLOOKUP($A196,'Mutasi Neraca'!$A$3:$S$910,5,FALSE)),0,VLOOKUP($A196,'Mutasi Neraca'!$A$3:$S$910,5,FALSE))</f>
        <v>1102651767</v>
      </c>
      <c r="G196" s="42">
        <f>VLOOKUP($A196,'Neraca Unaudited SIMAK'!$A$2:$R$1272,6,FALSE)+IF(ISNA(VLOOKUP($A196,'Mutasi Neraca'!$A$3:$S$910,6,FALSE)),0,VLOOKUP($A196,'Mutasi Neraca'!$A$3:$S$910,6,FALSE))</f>
        <v>1134091237</v>
      </c>
      <c r="H196" s="42">
        <f>VLOOKUP($A196,'Neraca Unaudited SIMAK'!$A$2:$R$1272,7,FALSE)+IF(ISNA(VLOOKUP($A196,'Mutasi Neraca'!$A$3:$S$910,7,FALSE)),0,VLOOKUP($A196,'Mutasi Neraca'!$A$3:$S$910,7,FALSE))</f>
        <v>0</v>
      </c>
      <c r="I196" s="42">
        <f>VLOOKUP($A196,'Neraca Unaudited SIMAK'!$A$2:$R$1272,8,FALSE)+IF(ISNA(VLOOKUP($A196,'Mutasi Neraca'!$A$3:$S$910,8,FALSE)),0,VLOOKUP($A196,'Mutasi Neraca'!$A$3:$S$910,8,FALSE))</f>
        <v>408000</v>
      </c>
      <c r="J196" s="42">
        <f>VLOOKUP($A196,'Neraca Unaudited SIMAK'!$A$2:$R$1272,9,FALSE)+IF(ISNA(VLOOKUP($A196,'Mutasi Neraca'!$A$3:$S$910,9,FALSE)),0,VLOOKUP($A196,'Mutasi Neraca'!$A$3:$S$910,9,FALSE))</f>
        <v>0</v>
      </c>
      <c r="K196" s="42">
        <f>VLOOKUP($A196,'Neraca Unaudited SIMAK'!$A$2:$R$1272,10,FALSE)+IF(ISNA(VLOOKUP($A196,'Mutasi Neraca'!$A$3:$S$910,10,FALSE)),0,VLOOKUP($A196,'Mutasi Neraca'!$A$3:$S$910,10,FALSE))</f>
        <v>0</v>
      </c>
      <c r="L196" s="42">
        <f>VLOOKUP($A196,'Neraca Unaudited SIMAK'!$A$2:$R$1272,11,FALSE)+IF(ISNA(VLOOKUP($A196,'Mutasi Neraca'!$A$3:$S$910,11,FALSE)),0,VLOOKUP($A196,'Mutasi Neraca'!$A$3:$S$910,11,FALSE))</f>
        <v>0</v>
      </c>
      <c r="M196" s="42">
        <f>VLOOKUP($A196,'Neraca Unaudited SIMAK'!$A$2:$R$1272,12,FALSE)+IF(ISNA(VLOOKUP($A196,'Mutasi Neraca'!$A$3:$S$910,12,FALSE)),0,VLOOKUP($A196,'Mutasi Neraca'!$A$3:$S$910,12,FALSE))</f>
        <v>3351861004</v>
      </c>
      <c r="N196" s="42">
        <f>VLOOKUP($A196,'Neraca Unaudited SIMAK'!$A$2:$R$1272,13,FALSE)+IF(ISNA(VLOOKUP($A196,'Mutasi Neraca'!$A$3:$S$910,13,FALSE)),0,VLOOKUP($A196,'Mutasi Neraca'!$A$3:$S$910,13,FALSE))</f>
        <v>-975857230</v>
      </c>
      <c r="O196" s="42">
        <f>VLOOKUP($A196,'Neraca Unaudited SIMAK'!$A$2:$R$1272,14,FALSE)+IF(ISNA(VLOOKUP($A196,'Mutasi Neraca'!$A$3:$S$910,14,FALSE)),0,VLOOKUP($A196,'Mutasi Neraca'!$A$3:$S$910,14,FALSE))</f>
        <v>-725818389</v>
      </c>
      <c r="P196" s="42">
        <f>VLOOKUP($A196,'Neraca Unaudited SIMAK'!$A$2:$R$1272,15,FALSE)+IF(ISNA(VLOOKUP($A196,'Mutasi Neraca'!$A$3:$S$910,15,FALSE)),0,VLOOKUP($A196,'Mutasi Neraca'!$A$3:$S$910,15,FALSE))</f>
        <v>0</v>
      </c>
      <c r="Q196" s="42">
        <f>VLOOKUP($A196,'Neraca Unaudited SIMAK'!$A$2:$R$1272,16,FALSE)+IF(ISNA(VLOOKUP($A196,'Mutasi Neraca'!$A$3:$S$910,16,FALSE)),0,VLOOKUP($A196,'Mutasi Neraca'!$A$3:$S$910,16,FALSE))</f>
        <v>0</v>
      </c>
      <c r="R196" s="42">
        <f>VLOOKUP($A196,'Neraca Unaudited SIMAK'!$A$2:$R$1272,17,FALSE)+IF(ISNA(VLOOKUP($A196,'Mutasi Neraca'!$A$3:$S$910,17,FALSE)),0,VLOOKUP($A196,'Mutasi Neraca'!$A$3:$S$910,17,FALSE))</f>
        <v>0</v>
      </c>
      <c r="S196" s="42">
        <f t="shared" si="49"/>
        <v>1650185385</v>
      </c>
    </row>
    <row r="197" spans="1:19">
      <c r="A197" s="41" t="s">
        <v>204</v>
      </c>
      <c r="B197" s="41" t="str">
        <f t="shared" si="48"/>
        <v>005010500</v>
      </c>
      <c r="D197" s="42">
        <f>VLOOKUP($A197,'Neraca Unaudited SIMAK'!$A$2:$R$1272,3,FALSE)+IF(ISNA(VLOOKUP($A197,'Mutasi Neraca'!$A$3:$S$910,3,FALSE)),0,VLOOKUP($A197,'Mutasi Neraca'!$A$3:$S$910,3,FALSE))</f>
        <v>3201000</v>
      </c>
      <c r="E197" s="42">
        <f>VLOOKUP($A197,'Neraca Unaudited SIMAK'!$A$2:$R$1272,4,FALSE)+IF(ISNA(VLOOKUP($A197,'Mutasi Neraca'!$A$3:$S$910,4,FALSE)),0,VLOOKUP($A197,'Mutasi Neraca'!$A$3:$S$910,4,FALSE))</f>
        <v>3199430000</v>
      </c>
      <c r="F197" s="42">
        <f>VLOOKUP($A197,'Neraca Unaudited SIMAK'!$A$2:$R$1272,5,FALSE)+IF(ISNA(VLOOKUP($A197,'Mutasi Neraca'!$A$3:$S$910,5,FALSE)),0,VLOOKUP($A197,'Mutasi Neraca'!$A$3:$S$910,5,FALSE))</f>
        <v>1327331362</v>
      </c>
      <c r="G197" s="42">
        <f>VLOOKUP($A197,'Neraca Unaudited SIMAK'!$A$2:$R$1272,6,FALSE)+IF(ISNA(VLOOKUP($A197,'Mutasi Neraca'!$A$3:$S$910,6,FALSE)),0,VLOOKUP($A197,'Mutasi Neraca'!$A$3:$S$910,6,FALSE))</f>
        <v>5332309860</v>
      </c>
      <c r="H197" s="42">
        <f>VLOOKUP($A197,'Neraca Unaudited SIMAK'!$A$2:$R$1272,7,FALSE)+IF(ISNA(VLOOKUP($A197,'Mutasi Neraca'!$A$3:$S$910,7,FALSE)),0,VLOOKUP($A197,'Mutasi Neraca'!$A$3:$S$910,7,FALSE))</f>
        <v>50000000</v>
      </c>
      <c r="I197" s="42">
        <f>VLOOKUP($A197,'Neraca Unaudited SIMAK'!$A$2:$R$1272,8,FALSE)+IF(ISNA(VLOOKUP($A197,'Mutasi Neraca'!$A$3:$S$910,8,FALSE)),0,VLOOKUP($A197,'Mutasi Neraca'!$A$3:$S$910,8,FALSE))</f>
        <v>408000</v>
      </c>
      <c r="J197" s="42">
        <f>VLOOKUP($A197,'Neraca Unaudited SIMAK'!$A$2:$R$1272,9,FALSE)+IF(ISNA(VLOOKUP($A197,'Mutasi Neraca'!$A$3:$S$910,9,FALSE)),0,VLOOKUP($A197,'Mutasi Neraca'!$A$3:$S$910,9,FALSE))</f>
        <v>0</v>
      </c>
      <c r="K197" s="42">
        <f>VLOOKUP($A197,'Neraca Unaudited SIMAK'!$A$2:$R$1272,10,FALSE)+IF(ISNA(VLOOKUP($A197,'Mutasi Neraca'!$A$3:$S$910,10,FALSE)),0,VLOOKUP($A197,'Mutasi Neraca'!$A$3:$S$910,10,FALSE))</f>
        <v>27565000</v>
      </c>
      <c r="L197" s="42">
        <f>VLOOKUP($A197,'Neraca Unaudited SIMAK'!$A$2:$R$1272,11,FALSE)+IF(ISNA(VLOOKUP($A197,'Mutasi Neraca'!$A$3:$S$910,11,FALSE)),0,VLOOKUP($A197,'Mutasi Neraca'!$A$3:$S$910,11,FALSE))</f>
        <v>0</v>
      </c>
      <c r="M197" s="42">
        <f>VLOOKUP($A197,'Neraca Unaudited SIMAK'!$A$2:$R$1272,12,FALSE)+IF(ISNA(VLOOKUP($A197,'Mutasi Neraca'!$A$3:$S$910,12,FALSE)),0,VLOOKUP($A197,'Mutasi Neraca'!$A$3:$S$910,12,FALSE))</f>
        <v>9940245222</v>
      </c>
      <c r="N197" s="42">
        <f>VLOOKUP($A197,'Neraca Unaudited SIMAK'!$A$2:$R$1272,13,FALSE)+IF(ISNA(VLOOKUP($A197,'Mutasi Neraca'!$A$3:$S$910,13,FALSE)),0,VLOOKUP($A197,'Mutasi Neraca'!$A$3:$S$910,13,FALSE))</f>
        <v>-996962619</v>
      </c>
      <c r="O197" s="42">
        <f>VLOOKUP($A197,'Neraca Unaudited SIMAK'!$A$2:$R$1272,14,FALSE)+IF(ISNA(VLOOKUP($A197,'Mutasi Neraca'!$A$3:$S$910,14,FALSE)),0,VLOOKUP($A197,'Mutasi Neraca'!$A$3:$S$910,14,FALSE))</f>
        <v>-733834315</v>
      </c>
      <c r="P197" s="42">
        <f>VLOOKUP($A197,'Neraca Unaudited SIMAK'!$A$2:$R$1272,15,FALSE)+IF(ISNA(VLOOKUP($A197,'Mutasi Neraca'!$A$3:$S$910,15,FALSE)),0,VLOOKUP($A197,'Mutasi Neraca'!$A$3:$S$910,15,FALSE))</f>
        <v>-6875000</v>
      </c>
      <c r="Q197" s="42">
        <f>VLOOKUP($A197,'Neraca Unaudited SIMAK'!$A$2:$R$1272,16,FALSE)+IF(ISNA(VLOOKUP($A197,'Mutasi Neraca'!$A$3:$S$910,16,FALSE)),0,VLOOKUP($A197,'Mutasi Neraca'!$A$3:$S$910,16,FALSE))</f>
        <v>0</v>
      </c>
      <c r="R197" s="42">
        <f>VLOOKUP($A197,'Neraca Unaudited SIMAK'!$A$2:$R$1272,17,FALSE)+IF(ISNA(VLOOKUP($A197,'Mutasi Neraca'!$A$3:$S$910,17,FALSE)),0,VLOOKUP($A197,'Mutasi Neraca'!$A$3:$S$910,17,FALSE))</f>
        <v>0</v>
      </c>
      <c r="S197" s="42">
        <f t="shared" si="49"/>
        <v>8202573288</v>
      </c>
    </row>
    <row r="198" spans="1:19">
      <c r="A198" s="41" t="s">
        <v>205</v>
      </c>
      <c r="B198" s="41" t="str">
        <f t="shared" si="48"/>
        <v>005010500</v>
      </c>
      <c r="D198" s="42">
        <f>VLOOKUP($A198,'Neraca Unaudited SIMAK'!$A$2:$R$1272,3,FALSE)+IF(ISNA(VLOOKUP($A198,'Mutasi Neraca'!$A$3:$S$910,3,FALSE)),0,VLOOKUP($A198,'Mutasi Neraca'!$A$3:$S$910,3,FALSE))</f>
        <v>292000</v>
      </c>
      <c r="E198" s="42">
        <f>VLOOKUP($A198,'Neraca Unaudited SIMAK'!$A$2:$R$1272,4,FALSE)+IF(ISNA(VLOOKUP($A198,'Mutasi Neraca'!$A$3:$S$910,4,FALSE)),0,VLOOKUP($A198,'Mutasi Neraca'!$A$3:$S$910,4,FALSE))</f>
        <v>487200000</v>
      </c>
      <c r="F198" s="42">
        <f>VLOOKUP($A198,'Neraca Unaudited SIMAK'!$A$2:$R$1272,5,FALSE)+IF(ISNA(VLOOKUP($A198,'Mutasi Neraca'!$A$3:$S$910,5,FALSE)),0,VLOOKUP($A198,'Mutasi Neraca'!$A$3:$S$910,5,FALSE))</f>
        <v>689344763</v>
      </c>
      <c r="G198" s="42">
        <f>VLOOKUP($A198,'Neraca Unaudited SIMAK'!$A$2:$R$1272,6,FALSE)+IF(ISNA(VLOOKUP($A198,'Mutasi Neraca'!$A$3:$S$910,6,FALSE)),0,VLOOKUP($A198,'Mutasi Neraca'!$A$3:$S$910,6,FALSE))</f>
        <v>592849900</v>
      </c>
      <c r="H198" s="42">
        <f>VLOOKUP($A198,'Neraca Unaudited SIMAK'!$A$2:$R$1272,7,FALSE)+IF(ISNA(VLOOKUP($A198,'Mutasi Neraca'!$A$3:$S$910,7,FALSE)),0,VLOOKUP($A198,'Mutasi Neraca'!$A$3:$S$910,7,FALSE))</f>
        <v>12500000</v>
      </c>
      <c r="I198" s="42">
        <f>VLOOKUP($A198,'Neraca Unaudited SIMAK'!$A$2:$R$1272,8,FALSE)+IF(ISNA(VLOOKUP($A198,'Mutasi Neraca'!$A$3:$S$910,8,FALSE)),0,VLOOKUP($A198,'Mutasi Neraca'!$A$3:$S$910,8,FALSE))</f>
        <v>1568620</v>
      </c>
      <c r="J198" s="42">
        <f>VLOOKUP($A198,'Neraca Unaudited SIMAK'!$A$2:$R$1272,9,FALSE)+IF(ISNA(VLOOKUP($A198,'Mutasi Neraca'!$A$3:$S$910,9,FALSE)),0,VLOOKUP($A198,'Mutasi Neraca'!$A$3:$S$910,9,FALSE))</f>
        <v>0</v>
      </c>
      <c r="K198" s="42">
        <f>VLOOKUP($A198,'Neraca Unaudited SIMAK'!$A$2:$R$1272,10,FALSE)+IF(ISNA(VLOOKUP($A198,'Mutasi Neraca'!$A$3:$S$910,10,FALSE)),0,VLOOKUP($A198,'Mutasi Neraca'!$A$3:$S$910,10,FALSE))</f>
        <v>0</v>
      </c>
      <c r="L198" s="42">
        <f>VLOOKUP($A198,'Neraca Unaudited SIMAK'!$A$2:$R$1272,11,FALSE)+IF(ISNA(VLOOKUP($A198,'Mutasi Neraca'!$A$3:$S$910,11,FALSE)),0,VLOOKUP($A198,'Mutasi Neraca'!$A$3:$S$910,11,FALSE))</f>
        <v>172907835</v>
      </c>
      <c r="M198" s="42">
        <f>VLOOKUP($A198,'Neraca Unaudited SIMAK'!$A$2:$R$1272,12,FALSE)+IF(ISNA(VLOOKUP($A198,'Mutasi Neraca'!$A$3:$S$910,12,FALSE)),0,VLOOKUP($A198,'Mutasi Neraca'!$A$3:$S$910,12,FALSE))</f>
        <v>1956663118</v>
      </c>
      <c r="N198" s="42">
        <f>VLOOKUP($A198,'Neraca Unaudited SIMAK'!$A$2:$R$1272,13,FALSE)+IF(ISNA(VLOOKUP($A198,'Mutasi Neraca'!$A$3:$S$910,13,FALSE)),0,VLOOKUP($A198,'Mutasi Neraca'!$A$3:$S$910,13,FALSE))</f>
        <v>-644087795</v>
      </c>
      <c r="O198" s="42">
        <f>VLOOKUP($A198,'Neraca Unaudited SIMAK'!$A$2:$R$1272,14,FALSE)+IF(ISNA(VLOOKUP($A198,'Mutasi Neraca'!$A$3:$S$910,14,FALSE)),0,VLOOKUP($A198,'Mutasi Neraca'!$A$3:$S$910,14,FALSE))</f>
        <v>-94941581</v>
      </c>
      <c r="P198" s="42">
        <f>VLOOKUP($A198,'Neraca Unaudited SIMAK'!$A$2:$R$1272,15,FALSE)+IF(ISNA(VLOOKUP($A198,'Mutasi Neraca'!$A$3:$S$910,15,FALSE)),0,VLOOKUP($A198,'Mutasi Neraca'!$A$3:$S$910,15,FALSE))</f>
        <v>-4062500</v>
      </c>
      <c r="Q198" s="42">
        <f>VLOOKUP($A198,'Neraca Unaudited SIMAK'!$A$2:$R$1272,16,FALSE)+IF(ISNA(VLOOKUP($A198,'Mutasi Neraca'!$A$3:$S$910,16,FALSE)),0,VLOOKUP($A198,'Mutasi Neraca'!$A$3:$S$910,16,FALSE))</f>
        <v>0</v>
      </c>
      <c r="R198" s="42">
        <f>VLOOKUP($A198,'Neraca Unaudited SIMAK'!$A$2:$R$1272,17,FALSE)+IF(ISNA(VLOOKUP($A198,'Mutasi Neraca'!$A$3:$S$910,17,FALSE)),0,VLOOKUP($A198,'Mutasi Neraca'!$A$3:$S$910,17,FALSE))</f>
        <v>-172907835</v>
      </c>
      <c r="S198" s="42">
        <f t="shared" si="49"/>
        <v>1040663407</v>
      </c>
    </row>
    <row r="199" spans="1:19">
      <c r="A199" s="41" t="s">
        <v>206</v>
      </c>
      <c r="B199" s="41" t="str">
        <f t="shared" si="48"/>
        <v>005010500</v>
      </c>
      <c r="D199" s="42">
        <f>VLOOKUP($A199,'Neraca Unaudited SIMAK'!$A$2:$R$1272,3,FALSE)+IF(ISNA(VLOOKUP($A199,'Mutasi Neraca'!$A$3:$S$910,3,FALSE)),0,VLOOKUP($A199,'Mutasi Neraca'!$A$3:$S$910,3,FALSE))</f>
        <v>796250</v>
      </c>
      <c r="E199" s="42">
        <f>VLOOKUP($A199,'Neraca Unaudited SIMAK'!$A$2:$R$1272,4,FALSE)+IF(ISNA(VLOOKUP($A199,'Mutasi Neraca'!$A$3:$S$910,4,FALSE)),0,VLOOKUP($A199,'Mutasi Neraca'!$A$3:$S$910,4,FALSE))</f>
        <v>2230000000</v>
      </c>
      <c r="F199" s="42">
        <f>VLOOKUP($A199,'Neraca Unaudited SIMAK'!$A$2:$R$1272,5,FALSE)+IF(ISNA(VLOOKUP($A199,'Mutasi Neraca'!$A$3:$S$910,5,FALSE)),0,VLOOKUP($A199,'Mutasi Neraca'!$A$3:$S$910,5,FALSE))</f>
        <v>1243833706</v>
      </c>
      <c r="G199" s="42">
        <f>VLOOKUP($A199,'Neraca Unaudited SIMAK'!$A$2:$R$1272,6,FALSE)+IF(ISNA(VLOOKUP($A199,'Mutasi Neraca'!$A$3:$S$910,6,FALSE)),0,VLOOKUP($A199,'Mutasi Neraca'!$A$3:$S$910,6,FALSE))</f>
        <v>2228578000</v>
      </c>
      <c r="H199" s="42">
        <f>VLOOKUP($A199,'Neraca Unaudited SIMAK'!$A$2:$R$1272,7,FALSE)+IF(ISNA(VLOOKUP($A199,'Mutasi Neraca'!$A$3:$S$910,7,FALSE)),0,VLOOKUP($A199,'Mutasi Neraca'!$A$3:$S$910,7,FALSE))</f>
        <v>0</v>
      </c>
      <c r="I199" s="42">
        <f>VLOOKUP($A199,'Neraca Unaudited SIMAK'!$A$2:$R$1272,8,FALSE)+IF(ISNA(VLOOKUP($A199,'Mutasi Neraca'!$A$3:$S$910,8,FALSE)),0,VLOOKUP($A199,'Mutasi Neraca'!$A$3:$S$910,8,FALSE))</f>
        <v>4519870</v>
      </c>
      <c r="J199" s="42">
        <f>VLOOKUP($A199,'Neraca Unaudited SIMAK'!$A$2:$R$1272,9,FALSE)+IF(ISNA(VLOOKUP($A199,'Mutasi Neraca'!$A$3:$S$910,9,FALSE)),0,VLOOKUP($A199,'Mutasi Neraca'!$A$3:$S$910,9,FALSE))</f>
        <v>0</v>
      </c>
      <c r="K199" s="42">
        <f>VLOOKUP($A199,'Neraca Unaudited SIMAK'!$A$2:$R$1272,10,FALSE)+IF(ISNA(VLOOKUP($A199,'Mutasi Neraca'!$A$3:$S$910,10,FALSE)),0,VLOOKUP($A199,'Mutasi Neraca'!$A$3:$S$910,10,FALSE))</f>
        <v>0</v>
      </c>
      <c r="L199" s="42">
        <f>VLOOKUP($A199,'Neraca Unaudited SIMAK'!$A$2:$R$1272,11,FALSE)+IF(ISNA(VLOOKUP($A199,'Mutasi Neraca'!$A$3:$S$910,11,FALSE)),0,VLOOKUP($A199,'Mutasi Neraca'!$A$3:$S$910,11,FALSE))</f>
        <v>8646500</v>
      </c>
      <c r="M199" s="42">
        <f>VLOOKUP($A199,'Neraca Unaudited SIMAK'!$A$2:$R$1272,12,FALSE)+IF(ISNA(VLOOKUP($A199,'Mutasi Neraca'!$A$3:$S$910,12,FALSE)),0,VLOOKUP($A199,'Mutasi Neraca'!$A$3:$S$910,12,FALSE))</f>
        <v>5716374326</v>
      </c>
      <c r="N199" s="42">
        <f>VLOOKUP($A199,'Neraca Unaudited SIMAK'!$A$2:$R$1272,13,FALSE)+IF(ISNA(VLOOKUP($A199,'Mutasi Neraca'!$A$3:$S$910,13,FALSE)),0,VLOOKUP($A199,'Mutasi Neraca'!$A$3:$S$910,13,FALSE))</f>
        <v>-973231644</v>
      </c>
      <c r="O199" s="42">
        <f>VLOOKUP($A199,'Neraca Unaudited SIMAK'!$A$2:$R$1272,14,FALSE)+IF(ISNA(VLOOKUP($A199,'Mutasi Neraca'!$A$3:$S$910,14,FALSE)),0,VLOOKUP($A199,'Mutasi Neraca'!$A$3:$S$910,14,FALSE))</f>
        <v>-309765200</v>
      </c>
      <c r="P199" s="42">
        <f>VLOOKUP($A199,'Neraca Unaudited SIMAK'!$A$2:$R$1272,15,FALSE)+IF(ISNA(VLOOKUP($A199,'Mutasi Neraca'!$A$3:$S$910,15,FALSE)),0,VLOOKUP($A199,'Mutasi Neraca'!$A$3:$S$910,15,FALSE))</f>
        <v>0</v>
      </c>
      <c r="Q199" s="42">
        <f>VLOOKUP($A199,'Neraca Unaudited SIMAK'!$A$2:$R$1272,16,FALSE)+IF(ISNA(VLOOKUP($A199,'Mutasi Neraca'!$A$3:$S$910,16,FALSE)),0,VLOOKUP($A199,'Mutasi Neraca'!$A$3:$S$910,16,FALSE))</f>
        <v>0</v>
      </c>
      <c r="R199" s="42">
        <f>VLOOKUP($A199,'Neraca Unaudited SIMAK'!$A$2:$R$1272,17,FALSE)+IF(ISNA(VLOOKUP($A199,'Mutasi Neraca'!$A$3:$S$910,17,FALSE)),0,VLOOKUP($A199,'Mutasi Neraca'!$A$3:$S$910,17,FALSE))</f>
        <v>-8646500</v>
      </c>
      <c r="S199" s="42">
        <f t="shared" si="49"/>
        <v>4424730982</v>
      </c>
    </row>
    <row r="200" spans="1:19">
      <c r="A200" s="41" t="s">
        <v>207</v>
      </c>
      <c r="B200" s="41" t="str">
        <f t="shared" si="48"/>
        <v>005010500</v>
      </c>
      <c r="D200" s="42">
        <f>VLOOKUP($A200,'Neraca Unaudited SIMAK'!$A$2:$R$1272,3,FALSE)+IF(ISNA(VLOOKUP($A200,'Mutasi Neraca'!$A$3:$S$910,3,FALSE)),0,VLOOKUP($A200,'Mutasi Neraca'!$A$3:$S$910,3,FALSE))</f>
        <v>0</v>
      </c>
      <c r="E200" s="42">
        <f>VLOOKUP($A200,'Neraca Unaudited SIMAK'!$A$2:$R$1272,4,FALSE)+IF(ISNA(VLOOKUP($A200,'Mutasi Neraca'!$A$3:$S$910,4,FALSE)),0,VLOOKUP($A200,'Mutasi Neraca'!$A$3:$S$910,4,FALSE))</f>
        <v>73100000</v>
      </c>
      <c r="F200" s="42">
        <f>VLOOKUP($A200,'Neraca Unaudited SIMAK'!$A$2:$R$1272,5,FALSE)+IF(ISNA(VLOOKUP($A200,'Mutasi Neraca'!$A$3:$S$910,5,FALSE)),0,VLOOKUP($A200,'Mutasi Neraca'!$A$3:$S$910,5,FALSE))</f>
        <v>1386427878</v>
      </c>
      <c r="G200" s="42">
        <f>VLOOKUP($A200,'Neraca Unaudited SIMAK'!$A$2:$R$1272,6,FALSE)+IF(ISNA(VLOOKUP($A200,'Mutasi Neraca'!$A$3:$S$910,6,FALSE)),0,VLOOKUP($A200,'Mutasi Neraca'!$A$3:$S$910,6,FALSE))</f>
        <v>1983907500</v>
      </c>
      <c r="H200" s="42">
        <f>VLOOKUP($A200,'Neraca Unaudited SIMAK'!$A$2:$R$1272,7,FALSE)+IF(ISNA(VLOOKUP($A200,'Mutasi Neraca'!$A$3:$S$910,7,FALSE)),0,VLOOKUP($A200,'Mutasi Neraca'!$A$3:$S$910,7,FALSE))</f>
        <v>0</v>
      </c>
      <c r="I200" s="42">
        <f>VLOOKUP($A200,'Neraca Unaudited SIMAK'!$A$2:$R$1272,8,FALSE)+IF(ISNA(VLOOKUP($A200,'Mutasi Neraca'!$A$3:$S$910,8,FALSE)),0,VLOOKUP($A200,'Mutasi Neraca'!$A$3:$S$910,8,FALSE))</f>
        <v>3236680</v>
      </c>
      <c r="J200" s="42">
        <f>VLOOKUP($A200,'Neraca Unaudited SIMAK'!$A$2:$R$1272,9,FALSE)+IF(ISNA(VLOOKUP($A200,'Mutasi Neraca'!$A$3:$S$910,9,FALSE)),0,VLOOKUP($A200,'Mutasi Neraca'!$A$3:$S$910,9,FALSE))</f>
        <v>0</v>
      </c>
      <c r="K200" s="42">
        <f>VLOOKUP($A200,'Neraca Unaudited SIMAK'!$A$2:$R$1272,10,FALSE)+IF(ISNA(VLOOKUP($A200,'Mutasi Neraca'!$A$3:$S$910,10,FALSE)),0,VLOOKUP($A200,'Mutasi Neraca'!$A$3:$S$910,10,FALSE))</f>
        <v>0</v>
      </c>
      <c r="L200" s="42">
        <f>VLOOKUP($A200,'Neraca Unaudited SIMAK'!$A$2:$R$1272,11,FALSE)+IF(ISNA(VLOOKUP($A200,'Mutasi Neraca'!$A$3:$S$910,11,FALSE)),0,VLOOKUP($A200,'Mutasi Neraca'!$A$3:$S$910,11,FALSE))</f>
        <v>5003205</v>
      </c>
      <c r="M200" s="42">
        <f>VLOOKUP($A200,'Neraca Unaudited SIMAK'!$A$2:$R$1272,12,FALSE)+IF(ISNA(VLOOKUP($A200,'Mutasi Neraca'!$A$3:$S$910,12,FALSE)),0,VLOOKUP($A200,'Mutasi Neraca'!$A$3:$S$910,12,FALSE))</f>
        <v>3451675263</v>
      </c>
      <c r="N200" s="42">
        <f>VLOOKUP($A200,'Neraca Unaudited SIMAK'!$A$2:$R$1272,13,FALSE)+IF(ISNA(VLOOKUP($A200,'Mutasi Neraca'!$A$3:$S$910,13,FALSE)),0,VLOOKUP($A200,'Mutasi Neraca'!$A$3:$S$910,13,FALSE))</f>
        <v>-1212236080</v>
      </c>
      <c r="O200" s="42">
        <f>VLOOKUP($A200,'Neraca Unaudited SIMAK'!$A$2:$R$1272,14,FALSE)+IF(ISNA(VLOOKUP($A200,'Mutasi Neraca'!$A$3:$S$910,14,FALSE)),0,VLOOKUP($A200,'Mutasi Neraca'!$A$3:$S$910,14,FALSE))</f>
        <v>-499254261</v>
      </c>
      <c r="P200" s="42">
        <f>VLOOKUP($A200,'Neraca Unaudited SIMAK'!$A$2:$R$1272,15,FALSE)+IF(ISNA(VLOOKUP($A200,'Mutasi Neraca'!$A$3:$S$910,15,FALSE)),0,VLOOKUP($A200,'Mutasi Neraca'!$A$3:$S$910,15,FALSE))</f>
        <v>0</v>
      </c>
      <c r="Q200" s="42">
        <f>VLOOKUP($A200,'Neraca Unaudited SIMAK'!$A$2:$R$1272,16,FALSE)+IF(ISNA(VLOOKUP($A200,'Mutasi Neraca'!$A$3:$S$910,16,FALSE)),0,VLOOKUP($A200,'Mutasi Neraca'!$A$3:$S$910,16,FALSE))</f>
        <v>0</v>
      </c>
      <c r="R200" s="42">
        <f>VLOOKUP($A200,'Neraca Unaudited SIMAK'!$A$2:$R$1272,17,FALSE)+IF(ISNA(VLOOKUP($A200,'Mutasi Neraca'!$A$3:$S$910,17,FALSE)),0,VLOOKUP($A200,'Mutasi Neraca'!$A$3:$S$910,17,FALSE))</f>
        <v>-5003205</v>
      </c>
      <c r="S200" s="42">
        <f t="shared" si="49"/>
        <v>1735181717</v>
      </c>
    </row>
    <row r="201" spans="1:19">
      <c r="A201" s="41" t="s">
        <v>208</v>
      </c>
      <c r="B201" s="41" t="str">
        <f t="shared" si="48"/>
        <v>005010500</v>
      </c>
      <c r="D201" s="42">
        <f>VLOOKUP($A201,'Neraca Unaudited SIMAK'!$A$2:$R$1272,3,FALSE)+IF(ISNA(VLOOKUP($A201,'Mutasi Neraca'!$A$3:$S$910,3,FALSE)),0,VLOOKUP($A201,'Mutasi Neraca'!$A$3:$S$910,3,FALSE))</f>
        <v>2434250</v>
      </c>
      <c r="E201" s="42">
        <f>VLOOKUP($A201,'Neraca Unaudited SIMAK'!$A$2:$R$1272,4,FALSE)+IF(ISNA(VLOOKUP($A201,'Mutasi Neraca'!$A$3:$S$910,4,FALSE)),0,VLOOKUP($A201,'Mutasi Neraca'!$A$3:$S$910,4,FALSE))</f>
        <v>1508800000</v>
      </c>
      <c r="F201" s="42">
        <f>VLOOKUP($A201,'Neraca Unaudited SIMAK'!$A$2:$R$1272,5,FALSE)+IF(ISNA(VLOOKUP($A201,'Mutasi Neraca'!$A$3:$S$910,5,FALSE)),0,VLOOKUP($A201,'Mutasi Neraca'!$A$3:$S$910,5,FALSE))</f>
        <v>1673698154</v>
      </c>
      <c r="G201" s="42">
        <f>VLOOKUP($A201,'Neraca Unaudited SIMAK'!$A$2:$R$1272,6,FALSE)+IF(ISNA(VLOOKUP($A201,'Mutasi Neraca'!$A$3:$S$910,6,FALSE)),0,VLOOKUP($A201,'Mutasi Neraca'!$A$3:$S$910,6,FALSE))</f>
        <v>4129536100</v>
      </c>
      <c r="H201" s="42">
        <f>VLOOKUP($A201,'Neraca Unaudited SIMAK'!$A$2:$R$1272,7,FALSE)+IF(ISNA(VLOOKUP($A201,'Mutasi Neraca'!$A$3:$S$910,7,FALSE)),0,VLOOKUP($A201,'Mutasi Neraca'!$A$3:$S$910,7,FALSE))</f>
        <v>0</v>
      </c>
      <c r="I201" s="42">
        <f>VLOOKUP($A201,'Neraca Unaudited SIMAK'!$A$2:$R$1272,8,FALSE)+IF(ISNA(VLOOKUP($A201,'Mutasi Neraca'!$A$3:$S$910,8,FALSE)),0,VLOOKUP($A201,'Mutasi Neraca'!$A$3:$S$910,8,FALSE))</f>
        <v>4648270</v>
      </c>
      <c r="J201" s="42">
        <f>VLOOKUP($A201,'Neraca Unaudited SIMAK'!$A$2:$R$1272,9,FALSE)+IF(ISNA(VLOOKUP($A201,'Mutasi Neraca'!$A$3:$S$910,9,FALSE)),0,VLOOKUP($A201,'Mutasi Neraca'!$A$3:$S$910,9,FALSE))</f>
        <v>0</v>
      </c>
      <c r="K201" s="42">
        <f>VLOOKUP($A201,'Neraca Unaudited SIMAK'!$A$2:$R$1272,10,FALSE)+IF(ISNA(VLOOKUP($A201,'Mutasi Neraca'!$A$3:$S$910,10,FALSE)),0,VLOOKUP($A201,'Mutasi Neraca'!$A$3:$S$910,10,FALSE))</f>
        <v>0</v>
      </c>
      <c r="L201" s="42">
        <f>VLOOKUP($A201,'Neraca Unaudited SIMAK'!$A$2:$R$1272,11,FALSE)+IF(ISNA(VLOOKUP($A201,'Mutasi Neraca'!$A$3:$S$910,11,FALSE)),0,VLOOKUP($A201,'Mutasi Neraca'!$A$3:$S$910,11,FALSE))</f>
        <v>35928700</v>
      </c>
      <c r="M201" s="42">
        <f>VLOOKUP($A201,'Neraca Unaudited SIMAK'!$A$2:$R$1272,12,FALSE)+IF(ISNA(VLOOKUP($A201,'Mutasi Neraca'!$A$3:$S$910,12,FALSE)),0,VLOOKUP($A201,'Mutasi Neraca'!$A$3:$S$910,12,FALSE))</f>
        <v>7355045474</v>
      </c>
      <c r="N201" s="42">
        <f>VLOOKUP($A201,'Neraca Unaudited SIMAK'!$A$2:$R$1272,13,FALSE)+IF(ISNA(VLOOKUP($A201,'Mutasi Neraca'!$A$3:$S$910,13,FALSE)),0,VLOOKUP($A201,'Mutasi Neraca'!$A$3:$S$910,13,FALSE))</f>
        <v>-1242937214</v>
      </c>
      <c r="O201" s="42">
        <f>VLOOKUP($A201,'Neraca Unaudited SIMAK'!$A$2:$R$1272,14,FALSE)+IF(ISNA(VLOOKUP($A201,'Mutasi Neraca'!$A$3:$S$910,14,FALSE)),0,VLOOKUP($A201,'Mutasi Neraca'!$A$3:$S$910,14,FALSE))</f>
        <v>-708081036</v>
      </c>
      <c r="P201" s="42">
        <f>VLOOKUP($A201,'Neraca Unaudited SIMAK'!$A$2:$R$1272,15,FALSE)+IF(ISNA(VLOOKUP($A201,'Mutasi Neraca'!$A$3:$S$910,15,FALSE)),0,VLOOKUP($A201,'Mutasi Neraca'!$A$3:$S$910,15,FALSE))</f>
        <v>0</v>
      </c>
      <c r="Q201" s="42">
        <f>VLOOKUP($A201,'Neraca Unaudited SIMAK'!$A$2:$R$1272,16,FALSE)+IF(ISNA(VLOOKUP($A201,'Mutasi Neraca'!$A$3:$S$910,16,FALSE)),0,VLOOKUP($A201,'Mutasi Neraca'!$A$3:$S$910,16,FALSE))</f>
        <v>0</v>
      </c>
      <c r="R201" s="42">
        <f>VLOOKUP($A201,'Neraca Unaudited SIMAK'!$A$2:$R$1272,17,FALSE)+IF(ISNA(VLOOKUP($A201,'Mutasi Neraca'!$A$3:$S$910,17,FALSE)),0,VLOOKUP($A201,'Mutasi Neraca'!$A$3:$S$910,17,FALSE))</f>
        <v>-35823700</v>
      </c>
      <c r="S201" s="42">
        <f t="shared" si="49"/>
        <v>5368203524</v>
      </c>
    </row>
    <row r="202" spans="1:19">
      <c r="A202" s="41" t="s">
        <v>209</v>
      </c>
      <c r="B202" s="41" t="str">
        <f t="shared" si="48"/>
        <v>005010500</v>
      </c>
      <c r="D202" s="42">
        <f>VLOOKUP($A202,'Neraca Unaudited SIMAK'!$A$2:$R$1272,3,FALSE)+IF(ISNA(VLOOKUP($A202,'Mutasi Neraca'!$A$3:$S$910,3,FALSE)),0,VLOOKUP($A202,'Mutasi Neraca'!$A$3:$S$910,3,FALSE))</f>
        <v>2081500</v>
      </c>
      <c r="E202" s="42">
        <f>VLOOKUP($A202,'Neraca Unaudited SIMAK'!$A$2:$R$1272,4,FALSE)+IF(ISNA(VLOOKUP($A202,'Mutasi Neraca'!$A$3:$S$910,4,FALSE)),0,VLOOKUP($A202,'Mutasi Neraca'!$A$3:$S$910,4,FALSE))</f>
        <v>4420125000</v>
      </c>
      <c r="F202" s="42">
        <f>VLOOKUP($A202,'Neraca Unaudited SIMAK'!$A$2:$R$1272,5,FALSE)+IF(ISNA(VLOOKUP($A202,'Mutasi Neraca'!$A$3:$S$910,5,FALSE)),0,VLOOKUP($A202,'Mutasi Neraca'!$A$3:$S$910,5,FALSE))</f>
        <v>1659738913</v>
      </c>
      <c r="G202" s="42">
        <f>VLOOKUP($A202,'Neraca Unaudited SIMAK'!$A$2:$R$1272,6,FALSE)+IF(ISNA(VLOOKUP($A202,'Mutasi Neraca'!$A$3:$S$910,6,FALSE)),0,VLOOKUP($A202,'Mutasi Neraca'!$A$3:$S$910,6,FALSE))</f>
        <v>9487042000</v>
      </c>
      <c r="H202" s="42">
        <f>VLOOKUP($A202,'Neraca Unaudited SIMAK'!$A$2:$R$1272,7,FALSE)+IF(ISNA(VLOOKUP($A202,'Mutasi Neraca'!$A$3:$S$910,7,FALSE)),0,VLOOKUP($A202,'Mutasi Neraca'!$A$3:$S$910,7,FALSE))</f>
        <v>44491875</v>
      </c>
      <c r="I202" s="42">
        <f>VLOOKUP($A202,'Neraca Unaudited SIMAK'!$A$2:$R$1272,8,FALSE)+IF(ISNA(VLOOKUP($A202,'Mutasi Neraca'!$A$3:$S$910,8,FALSE)),0,VLOOKUP($A202,'Mutasi Neraca'!$A$3:$S$910,8,FALSE))</f>
        <v>12697270</v>
      </c>
      <c r="J202" s="42">
        <f>VLOOKUP($A202,'Neraca Unaudited SIMAK'!$A$2:$R$1272,9,FALSE)+IF(ISNA(VLOOKUP($A202,'Mutasi Neraca'!$A$3:$S$910,9,FALSE)),0,VLOOKUP($A202,'Mutasi Neraca'!$A$3:$S$910,9,FALSE))</f>
        <v>0</v>
      </c>
      <c r="K202" s="42">
        <f>VLOOKUP($A202,'Neraca Unaudited SIMAK'!$A$2:$R$1272,10,FALSE)+IF(ISNA(VLOOKUP($A202,'Mutasi Neraca'!$A$3:$S$910,10,FALSE)),0,VLOOKUP($A202,'Mutasi Neraca'!$A$3:$S$910,10,FALSE))</f>
        <v>0</v>
      </c>
      <c r="L202" s="42">
        <f>VLOOKUP($A202,'Neraca Unaudited SIMAK'!$A$2:$R$1272,11,FALSE)+IF(ISNA(VLOOKUP($A202,'Mutasi Neraca'!$A$3:$S$910,11,FALSE)),0,VLOOKUP($A202,'Mutasi Neraca'!$A$3:$S$910,11,FALSE))</f>
        <v>147840380</v>
      </c>
      <c r="M202" s="42">
        <f>VLOOKUP($A202,'Neraca Unaudited SIMAK'!$A$2:$R$1272,12,FALSE)+IF(ISNA(VLOOKUP($A202,'Mutasi Neraca'!$A$3:$S$910,12,FALSE)),0,VLOOKUP($A202,'Mutasi Neraca'!$A$3:$S$910,12,FALSE))</f>
        <v>15774016938</v>
      </c>
      <c r="N202" s="42">
        <f>VLOOKUP($A202,'Neraca Unaudited SIMAK'!$A$2:$R$1272,13,FALSE)+IF(ISNA(VLOOKUP($A202,'Mutasi Neraca'!$A$3:$S$910,13,FALSE)),0,VLOOKUP($A202,'Mutasi Neraca'!$A$3:$S$910,13,FALSE))</f>
        <v>-1090041098</v>
      </c>
      <c r="O202" s="42">
        <f>VLOOKUP($A202,'Neraca Unaudited SIMAK'!$A$2:$R$1272,14,FALSE)+IF(ISNA(VLOOKUP($A202,'Mutasi Neraca'!$A$3:$S$910,14,FALSE)),0,VLOOKUP($A202,'Mutasi Neraca'!$A$3:$S$910,14,FALSE))</f>
        <v>-461434572</v>
      </c>
      <c r="P202" s="42">
        <f>VLOOKUP($A202,'Neraca Unaudited SIMAK'!$A$2:$R$1272,15,FALSE)+IF(ISNA(VLOOKUP($A202,'Mutasi Neraca'!$A$3:$S$910,15,FALSE)),0,VLOOKUP($A202,'Mutasi Neraca'!$A$3:$S$910,15,FALSE))</f>
        <v>-6515440</v>
      </c>
      <c r="Q202" s="42">
        <f>VLOOKUP($A202,'Neraca Unaudited SIMAK'!$A$2:$R$1272,16,FALSE)+IF(ISNA(VLOOKUP($A202,'Mutasi Neraca'!$A$3:$S$910,16,FALSE)),0,VLOOKUP($A202,'Mutasi Neraca'!$A$3:$S$910,16,FALSE))</f>
        <v>0</v>
      </c>
      <c r="R202" s="42">
        <f>VLOOKUP($A202,'Neraca Unaudited SIMAK'!$A$2:$R$1272,17,FALSE)+IF(ISNA(VLOOKUP($A202,'Mutasi Neraca'!$A$3:$S$910,17,FALSE)),0,VLOOKUP($A202,'Mutasi Neraca'!$A$3:$S$910,17,FALSE))</f>
        <v>-147840380</v>
      </c>
      <c r="S202" s="42">
        <f t="shared" si="49"/>
        <v>14068185448</v>
      </c>
    </row>
    <row r="203" spans="1:19">
      <c r="A203" s="41" t="s">
        <v>210</v>
      </c>
      <c r="B203" s="41" t="str">
        <f t="shared" si="48"/>
        <v>005010500</v>
      </c>
      <c r="D203" s="42">
        <f>VLOOKUP($A203,'Neraca Unaudited SIMAK'!$A$2:$R$1272,3,FALSE)+IF(ISNA(VLOOKUP($A203,'Mutasi Neraca'!$A$3:$S$910,3,FALSE)),0,VLOOKUP($A203,'Mutasi Neraca'!$A$3:$S$910,3,FALSE))</f>
        <v>5200000</v>
      </c>
      <c r="E203" s="42">
        <f>VLOOKUP($A203,'Neraca Unaudited SIMAK'!$A$2:$R$1272,4,FALSE)+IF(ISNA(VLOOKUP($A203,'Mutasi Neraca'!$A$3:$S$910,4,FALSE)),0,VLOOKUP($A203,'Mutasi Neraca'!$A$3:$S$910,4,FALSE))</f>
        <v>1266641575</v>
      </c>
      <c r="F203" s="42">
        <f>VLOOKUP($A203,'Neraca Unaudited SIMAK'!$A$2:$R$1272,5,FALSE)+IF(ISNA(VLOOKUP($A203,'Mutasi Neraca'!$A$3:$S$910,5,FALSE)),0,VLOOKUP($A203,'Mutasi Neraca'!$A$3:$S$910,5,FALSE))</f>
        <v>1085839791</v>
      </c>
      <c r="G203" s="42">
        <f>VLOOKUP($A203,'Neraca Unaudited SIMAK'!$A$2:$R$1272,6,FALSE)+IF(ISNA(VLOOKUP($A203,'Mutasi Neraca'!$A$3:$S$910,6,FALSE)),0,VLOOKUP($A203,'Mutasi Neraca'!$A$3:$S$910,6,FALSE))</f>
        <v>547173000</v>
      </c>
      <c r="H203" s="42">
        <f>VLOOKUP($A203,'Neraca Unaudited SIMAK'!$A$2:$R$1272,7,FALSE)+IF(ISNA(VLOOKUP($A203,'Mutasi Neraca'!$A$3:$S$910,7,FALSE)),0,VLOOKUP($A203,'Mutasi Neraca'!$A$3:$S$910,7,FALSE))</f>
        <v>7250000</v>
      </c>
      <c r="I203" s="42">
        <f>VLOOKUP($A203,'Neraca Unaudited SIMAK'!$A$2:$R$1272,8,FALSE)+IF(ISNA(VLOOKUP($A203,'Mutasi Neraca'!$A$3:$S$910,8,FALSE)),0,VLOOKUP($A203,'Mutasi Neraca'!$A$3:$S$910,8,FALSE))</f>
        <v>2402870</v>
      </c>
      <c r="J203" s="42">
        <f>VLOOKUP($A203,'Neraca Unaudited SIMAK'!$A$2:$R$1272,9,FALSE)+IF(ISNA(VLOOKUP($A203,'Mutasi Neraca'!$A$3:$S$910,9,FALSE)),0,VLOOKUP($A203,'Mutasi Neraca'!$A$3:$S$910,9,FALSE))</f>
        <v>0</v>
      </c>
      <c r="K203" s="42">
        <f>VLOOKUP($A203,'Neraca Unaudited SIMAK'!$A$2:$R$1272,10,FALSE)+IF(ISNA(VLOOKUP($A203,'Mutasi Neraca'!$A$3:$S$910,10,FALSE)),0,VLOOKUP($A203,'Mutasi Neraca'!$A$3:$S$910,10,FALSE))</f>
        <v>0</v>
      </c>
      <c r="L203" s="42">
        <f>VLOOKUP($A203,'Neraca Unaudited SIMAK'!$A$2:$R$1272,11,FALSE)+IF(ISNA(VLOOKUP($A203,'Mutasi Neraca'!$A$3:$S$910,11,FALSE)),0,VLOOKUP($A203,'Mutasi Neraca'!$A$3:$S$910,11,FALSE))</f>
        <v>62610500</v>
      </c>
      <c r="M203" s="42">
        <f>VLOOKUP($A203,'Neraca Unaudited SIMAK'!$A$2:$R$1272,12,FALSE)+IF(ISNA(VLOOKUP($A203,'Mutasi Neraca'!$A$3:$S$910,12,FALSE)),0,VLOOKUP($A203,'Mutasi Neraca'!$A$3:$S$910,12,FALSE))</f>
        <v>2977117736</v>
      </c>
      <c r="N203" s="42">
        <f>VLOOKUP($A203,'Neraca Unaudited SIMAK'!$A$2:$R$1272,13,FALSE)+IF(ISNA(VLOOKUP($A203,'Mutasi Neraca'!$A$3:$S$910,13,FALSE)),0,VLOOKUP($A203,'Mutasi Neraca'!$A$3:$S$910,13,FALSE))</f>
        <v>-956431908</v>
      </c>
      <c r="O203" s="42">
        <f>VLOOKUP($A203,'Neraca Unaudited SIMAK'!$A$2:$R$1272,14,FALSE)+IF(ISNA(VLOOKUP($A203,'Mutasi Neraca'!$A$3:$S$910,14,FALSE)),0,VLOOKUP($A203,'Mutasi Neraca'!$A$3:$S$910,14,FALSE))</f>
        <v>-132124215</v>
      </c>
      <c r="P203" s="42">
        <f>VLOOKUP($A203,'Neraca Unaudited SIMAK'!$A$2:$R$1272,15,FALSE)+IF(ISNA(VLOOKUP($A203,'Mutasi Neraca'!$A$3:$S$910,15,FALSE)),0,VLOOKUP($A203,'Mutasi Neraca'!$A$3:$S$910,15,FALSE))</f>
        <v>-1450000</v>
      </c>
      <c r="Q203" s="42">
        <f>VLOOKUP($A203,'Neraca Unaudited SIMAK'!$A$2:$R$1272,16,FALSE)+IF(ISNA(VLOOKUP($A203,'Mutasi Neraca'!$A$3:$S$910,16,FALSE)),0,VLOOKUP($A203,'Mutasi Neraca'!$A$3:$S$910,16,FALSE))</f>
        <v>0</v>
      </c>
      <c r="R203" s="42">
        <f>VLOOKUP($A203,'Neraca Unaudited SIMAK'!$A$2:$R$1272,17,FALSE)+IF(ISNA(VLOOKUP($A203,'Mutasi Neraca'!$A$3:$S$910,17,FALSE)),0,VLOOKUP($A203,'Mutasi Neraca'!$A$3:$S$910,17,FALSE))</f>
        <v>-62610500</v>
      </c>
      <c r="S203" s="42">
        <f t="shared" si="49"/>
        <v>1824501113</v>
      </c>
    </row>
    <row r="204" spans="1:19">
      <c r="A204" s="41" t="s">
        <v>211</v>
      </c>
      <c r="B204" s="41" t="str">
        <f t="shared" si="48"/>
        <v>005010500</v>
      </c>
      <c r="D204" s="42">
        <f>VLOOKUP($A204,'Neraca Unaudited SIMAK'!$A$2:$R$1272,3,FALSE)+IF(ISNA(VLOOKUP($A204,'Mutasi Neraca'!$A$3:$S$910,3,FALSE)),0,VLOOKUP($A204,'Mutasi Neraca'!$A$3:$S$910,3,FALSE))</f>
        <v>6094105</v>
      </c>
      <c r="E204" s="42">
        <f>VLOOKUP($A204,'Neraca Unaudited SIMAK'!$A$2:$R$1272,4,FALSE)+IF(ISNA(VLOOKUP($A204,'Mutasi Neraca'!$A$3:$S$910,4,FALSE)),0,VLOOKUP($A204,'Mutasi Neraca'!$A$3:$S$910,4,FALSE))</f>
        <v>878233000</v>
      </c>
      <c r="F204" s="42">
        <f>VLOOKUP($A204,'Neraca Unaudited SIMAK'!$A$2:$R$1272,5,FALSE)+IF(ISNA(VLOOKUP($A204,'Mutasi Neraca'!$A$3:$S$910,5,FALSE)),0,VLOOKUP($A204,'Mutasi Neraca'!$A$3:$S$910,5,FALSE))</f>
        <v>1153229312</v>
      </c>
      <c r="G204" s="42">
        <f>VLOOKUP($A204,'Neraca Unaudited SIMAK'!$A$2:$R$1272,6,FALSE)+IF(ISNA(VLOOKUP($A204,'Mutasi Neraca'!$A$3:$S$910,6,FALSE)),0,VLOOKUP($A204,'Mutasi Neraca'!$A$3:$S$910,6,FALSE))</f>
        <v>2761137100</v>
      </c>
      <c r="H204" s="42">
        <f>VLOOKUP($A204,'Neraca Unaudited SIMAK'!$A$2:$R$1272,7,FALSE)+IF(ISNA(VLOOKUP($A204,'Mutasi Neraca'!$A$3:$S$910,7,FALSE)),0,VLOOKUP($A204,'Mutasi Neraca'!$A$3:$S$910,7,FALSE))</f>
        <v>0</v>
      </c>
      <c r="I204" s="42">
        <f>VLOOKUP($A204,'Neraca Unaudited SIMAK'!$A$2:$R$1272,8,FALSE)+IF(ISNA(VLOOKUP($A204,'Mutasi Neraca'!$A$3:$S$910,8,FALSE)),0,VLOOKUP($A204,'Mutasi Neraca'!$A$3:$S$910,8,FALSE))</f>
        <v>17984270</v>
      </c>
      <c r="J204" s="42">
        <f>VLOOKUP($A204,'Neraca Unaudited SIMAK'!$A$2:$R$1272,9,FALSE)+IF(ISNA(VLOOKUP($A204,'Mutasi Neraca'!$A$3:$S$910,9,FALSE)),0,VLOOKUP($A204,'Mutasi Neraca'!$A$3:$S$910,9,FALSE))</f>
        <v>0</v>
      </c>
      <c r="K204" s="42">
        <f>VLOOKUP($A204,'Neraca Unaudited SIMAK'!$A$2:$R$1272,10,FALSE)+IF(ISNA(VLOOKUP($A204,'Mutasi Neraca'!$A$3:$S$910,10,FALSE)),0,VLOOKUP($A204,'Mutasi Neraca'!$A$3:$S$910,10,FALSE))</f>
        <v>0</v>
      </c>
      <c r="L204" s="42">
        <f>VLOOKUP($A204,'Neraca Unaudited SIMAK'!$A$2:$R$1272,11,FALSE)+IF(ISNA(VLOOKUP($A204,'Mutasi Neraca'!$A$3:$S$910,11,FALSE)),0,VLOOKUP($A204,'Mutasi Neraca'!$A$3:$S$910,11,FALSE))</f>
        <v>70998823</v>
      </c>
      <c r="M204" s="42">
        <f>VLOOKUP($A204,'Neraca Unaudited SIMAK'!$A$2:$R$1272,12,FALSE)+IF(ISNA(VLOOKUP($A204,'Mutasi Neraca'!$A$3:$S$910,12,FALSE)),0,VLOOKUP($A204,'Mutasi Neraca'!$A$3:$S$910,12,FALSE))</f>
        <v>4887676610</v>
      </c>
      <c r="N204" s="42">
        <f>VLOOKUP($A204,'Neraca Unaudited SIMAK'!$A$2:$R$1272,13,FALSE)+IF(ISNA(VLOOKUP($A204,'Mutasi Neraca'!$A$3:$S$910,13,FALSE)),0,VLOOKUP($A204,'Mutasi Neraca'!$A$3:$S$910,13,FALSE))</f>
        <v>-1019665975</v>
      </c>
      <c r="O204" s="42">
        <f>VLOOKUP($A204,'Neraca Unaudited SIMAK'!$A$2:$R$1272,14,FALSE)+IF(ISNA(VLOOKUP($A204,'Mutasi Neraca'!$A$3:$S$910,14,FALSE)),0,VLOOKUP($A204,'Mutasi Neraca'!$A$3:$S$910,14,FALSE))</f>
        <v>-438571551</v>
      </c>
      <c r="P204" s="42">
        <f>VLOOKUP($A204,'Neraca Unaudited SIMAK'!$A$2:$R$1272,15,FALSE)+IF(ISNA(VLOOKUP($A204,'Mutasi Neraca'!$A$3:$S$910,15,FALSE)),0,VLOOKUP($A204,'Mutasi Neraca'!$A$3:$S$910,15,FALSE))</f>
        <v>0</v>
      </c>
      <c r="Q204" s="42">
        <f>VLOOKUP($A204,'Neraca Unaudited SIMAK'!$A$2:$R$1272,16,FALSE)+IF(ISNA(VLOOKUP($A204,'Mutasi Neraca'!$A$3:$S$910,16,FALSE)),0,VLOOKUP($A204,'Mutasi Neraca'!$A$3:$S$910,16,FALSE))</f>
        <v>0</v>
      </c>
      <c r="R204" s="42">
        <f>VLOOKUP($A204,'Neraca Unaudited SIMAK'!$A$2:$R$1272,17,FALSE)+IF(ISNA(VLOOKUP($A204,'Mutasi Neraca'!$A$3:$S$910,17,FALSE)),0,VLOOKUP($A204,'Mutasi Neraca'!$A$3:$S$910,17,FALSE))</f>
        <v>-55318823</v>
      </c>
      <c r="S204" s="42">
        <f t="shared" si="49"/>
        <v>3374120261</v>
      </c>
    </row>
    <row r="205" spans="1:19">
      <c r="A205" s="41" t="s">
        <v>212</v>
      </c>
      <c r="B205" s="41" t="str">
        <f t="shared" si="48"/>
        <v>005010500</v>
      </c>
      <c r="D205" s="42">
        <f>VLOOKUP($A205,'Neraca Unaudited SIMAK'!$A$2:$R$1272,3,FALSE)+IF(ISNA(VLOOKUP($A205,'Mutasi Neraca'!$A$3:$S$910,3,FALSE)),0,VLOOKUP($A205,'Mutasi Neraca'!$A$3:$S$910,3,FALSE))</f>
        <v>266400</v>
      </c>
      <c r="E205" s="42">
        <f>VLOOKUP($A205,'Neraca Unaudited SIMAK'!$A$2:$R$1272,4,FALSE)+IF(ISNA(VLOOKUP($A205,'Mutasi Neraca'!$A$3:$S$910,4,FALSE)),0,VLOOKUP($A205,'Mutasi Neraca'!$A$3:$S$910,4,FALSE))</f>
        <v>1919124000</v>
      </c>
      <c r="F205" s="42">
        <f>VLOOKUP($A205,'Neraca Unaudited SIMAK'!$A$2:$R$1272,5,FALSE)+IF(ISNA(VLOOKUP($A205,'Mutasi Neraca'!$A$3:$S$910,5,FALSE)),0,VLOOKUP($A205,'Mutasi Neraca'!$A$3:$S$910,5,FALSE))</f>
        <v>1174070748</v>
      </c>
      <c r="G205" s="42">
        <f>VLOOKUP($A205,'Neraca Unaudited SIMAK'!$A$2:$R$1272,6,FALSE)+IF(ISNA(VLOOKUP($A205,'Mutasi Neraca'!$A$3:$S$910,6,FALSE)),0,VLOOKUP($A205,'Mutasi Neraca'!$A$3:$S$910,6,FALSE))</f>
        <v>807397000</v>
      </c>
      <c r="H205" s="42">
        <f>VLOOKUP($A205,'Neraca Unaudited SIMAK'!$A$2:$R$1272,7,FALSE)+IF(ISNA(VLOOKUP($A205,'Mutasi Neraca'!$A$3:$S$910,7,FALSE)),0,VLOOKUP($A205,'Mutasi Neraca'!$A$3:$S$910,7,FALSE))</f>
        <v>0</v>
      </c>
      <c r="I205" s="42">
        <f>VLOOKUP($A205,'Neraca Unaudited SIMAK'!$A$2:$R$1272,8,FALSE)+IF(ISNA(VLOOKUP($A205,'Mutasi Neraca'!$A$3:$S$910,8,FALSE)),0,VLOOKUP($A205,'Mutasi Neraca'!$A$3:$S$910,8,FALSE))</f>
        <v>846000</v>
      </c>
      <c r="J205" s="42">
        <f>VLOOKUP($A205,'Neraca Unaudited SIMAK'!$A$2:$R$1272,9,FALSE)+IF(ISNA(VLOOKUP($A205,'Mutasi Neraca'!$A$3:$S$910,9,FALSE)),0,VLOOKUP($A205,'Mutasi Neraca'!$A$3:$S$910,9,FALSE))</f>
        <v>0</v>
      </c>
      <c r="K205" s="42">
        <f>VLOOKUP($A205,'Neraca Unaudited SIMAK'!$A$2:$R$1272,10,FALSE)+IF(ISNA(VLOOKUP($A205,'Mutasi Neraca'!$A$3:$S$910,10,FALSE)),0,VLOOKUP($A205,'Mutasi Neraca'!$A$3:$S$910,10,FALSE))</f>
        <v>0</v>
      </c>
      <c r="L205" s="42">
        <f>VLOOKUP($A205,'Neraca Unaudited SIMAK'!$A$2:$R$1272,11,FALSE)+IF(ISNA(VLOOKUP($A205,'Mutasi Neraca'!$A$3:$S$910,11,FALSE)),0,VLOOKUP($A205,'Mutasi Neraca'!$A$3:$S$910,11,FALSE))</f>
        <v>0</v>
      </c>
      <c r="M205" s="42">
        <f>VLOOKUP($A205,'Neraca Unaudited SIMAK'!$A$2:$R$1272,12,FALSE)+IF(ISNA(VLOOKUP($A205,'Mutasi Neraca'!$A$3:$S$910,12,FALSE)),0,VLOOKUP($A205,'Mutasi Neraca'!$A$3:$S$910,12,FALSE))</f>
        <v>3901704148</v>
      </c>
      <c r="N205" s="42">
        <f>VLOOKUP($A205,'Neraca Unaudited SIMAK'!$A$2:$R$1272,13,FALSE)+IF(ISNA(VLOOKUP($A205,'Mutasi Neraca'!$A$3:$S$910,13,FALSE)),0,VLOOKUP($A205,'Mutasi Neraca'!$A$3:$S$910,13,FALSE))</f>
        <v>-1048662166</v>
      </c>
      <c r="O205" s="42">
        <f>VLOOKUP($A205,'Neraca Unaudited SIMAK'!$A$2:$R$1272,14,FALSE)+IF(ISNA(VLOOKUP($A205,'Mutasi Neraca'!$A$3:$S$910,14,FALSE)),0,VLOOKUP($A205,'Mutasi Neraca'!$A$3:$S$910,14,FALSE))</f>
        <v>-324262313</v>
      </c>
      <c r="P205" s="42">
        <f>VLOOKUP($A205,'Neraca Unaudited SIMAK'!$A$2:$R$1272,15,FALSE)+IF(ISNA(VLOOKUP($A205,'Mutasi Neraca'!$A$3:$S$910,15,FALSE)),0,VLOOKUP($A205,'Mutasi Neraca'!$A$3:$S$910,15,FALSE))</f>
        <v>0</v>
      </c>
      <c r="Q205" s="42">
        <f>VLOOKUP($A205,'Neraca Unaudited SIMAK'!$A$2:$R$1272,16,FALSE)+IF(ISNA(VLOOKUP($A205,'Mutasi Neraca'!$A$3:$S$910,16,FALSE)),0,VLOOKUP($A205,'Mutasi Neraca'!$A$3:$S$910,16,FALSE))</f>
        <v>0</v>
      </c>
      <c r="R205" s="42">
        <f>VLOOKUP($A205,'Neraca Unaudited SIMAK'!$A$2:$R$1272,17,FALSE)+IF(ISNA(VLOOKUP($A205,'Mutasi Neraca'!$A$3:$S$910,17,FALSE)),0,VLOOKUP($A205,'Mutasi Neraca'!$A$3:$S$910,17,FALSE))</f>
        <v>0</v>
      </c>
      <c r="S205" s="42">
        <f t="shared" si="49"/>
        <v>2528779669</v>
      </c>
    </row>
    <row r="206" spans="1:19">
      <c r="A206" s="41" t="s">
        <v>213</v>
      </c>
      <c r="B206" s="41" t="str">
        <f t="shared" si="48"/>
        <v>005010500</v>
      </c>
      <c r="D206" s="42">
        <f>VLOOKUP($A206,'Neraca Unaudited SIMAK'!$A$2:$R$1272,3,FALSE)+IF(ISNA(VLOOKUP($A206,'Mutasi Neraca'!$A$3:$S$910,3,FALSE)),0,VLOOKUP($A206,'Mutasi Neraca'!$A$3:$S$910,3,FALSE))</f>
        <v>8623400</v>
      </c>
      <c r="E206" s="42">
        <f>VLOOKUP($A206,'Neraca Unaudited SIMAK'!$A$2:$R$1272,4,FALSE)+IF(ISNA(VLOOKUP($A206,'Mutasi Neraca'!$A$3:$S$910,4,FALSE)),0,VLOOKUP($A206,'Mutasi Neraca'!$A$3:$S$910,4,FALSE))</f>
        <v>1249938800</v>
      </c>
      <c r="F206" s="42">
        <f>VLOOKUP($A206,'Neraca Unaudited SIMAK'!$A$2:$R$1272,5,FALSE)+IF(ISNA(VLOOKUP($A206,'Mutasi Neraca'!$A$3:$S$910,5,FALSE)),0,VLOOKUP($A206,'Mutasi Neraca'!$A$3:$S$910,5,FALSE))</f>
        <v>1138325463</v>
      </c>
      <c r="G206" s="42">
        <f>VLOOKUP($A206,'Neraca Unaudited SIMAK'!$A$2:$R$1272,6,FALSE)+IF(ISNA(VLOOKUP($A206,'Mutasi Neraca'!$A$3:$S$910,6,FALSE)),0,VLOOKUP($A206,'Mutasi Neraca'!$A$3:$S$910,6,FALSE))</f>
        <v>3479105672</v>
      </c>
      <c r="H206" s="42">
        <f>VLOOKUP($A206,'Neraca Unaudited SIMAK'!$A$2:$R$1272,7,FALSE)+IF(ISNA(VLOOKUP($A206,'Mutasi Neraca'!$A$3:$S$910,7,FALSE)),0,VLOOKUP($A206,'Mutasi Neraca'!$A$3:$S$910,7,FALSE))</f>
        <v>0</v>
      </c>
      <c r="I206" s="42">
        <f>VLOOKUP($A206,'Neraca Unaudited SIMAK'!$A$2:$R$1272,8,FALSE)+IF(ISNA(VLOOKUP($A206,'Mutasi Neraca'!$A$3:$S$910,8,FALSE)),0,VLOOKUP($A206,'Mutasi Neraca'!$A$3:$S$910,8,FALSE))</f>
        <v>683000</v>
      </c>
      <c r="J206" s="42">
        <f>VLOOKUP($A206,'Neraca Unaudited SIMAK'!$A$2:$R$1272,9,FALSE)+IF(ISNA(VLOOKUP($A206,'Mutasi Neraca'!$A$3:$S$910,9,FALSE)),0,VLOOKUP($A206,'Mutasi Neraca'!$A$3:$S$910,9,FALSE))</f>
        <v>0</v>
      </c>
      <c r="K206" s="42">
        <f>VLOOKUP($A206,'Neraca Unaudited SIMAK'!$A$2:$R$1272,10,FALSE)+IF(ISNA(VLOOKUP($A206,'Mutasi Neraca'!$A$3:$S$910,10,FALSE)),0,VLOOKUP($A206,'Mutasi Neraca'!$A$3:$S$910,10,FALSE))</f>
        <v>0</v>
      </c>
      <c r="L206" s="42">
        <f>VLOOKUP($A206,'Neraca Unaudited SIMAK'!$A$2:$R$1272,11,FALSE)+IF(ISNA(VLOOKUP($A206,'Mutasi Neraca'!$A$3:$S$910,11,FALSE)),0,VLOOKUP($A206,'Mutasi Neraca'!$A$3:$S$910,11,FALSE))</f>
        <v>116445000</v>
      </c>
      <c r="M206" s="42">
        <f>VLOOKUP($A206,'Neraca Unaudited SIMAK'!$A$2:$R$1272,12,FALSE)+IF(ISNA(VLOOKUP($A206,'Mutasi Neraca'!$A$3:$S$910,12,FALSE)),0,VLOOKUP($A206,'Mutasi Neraca'!$A$3:$S$910,12,FALSE))</f>
        <v>5993121335</v>
      </c>
      <c r="N206" s="42">
        <f>VLOOKUP($A206,'Neraca Unaudited SIMAK'!$A$2:$R$1272,13,FALSE)+IF(ISNA(VLOOKUP($A206,'Mutasi Neraca'!$A$3:$S$910,13,FALSE)),0,VLOOKUP($A206,'Mutasi Neraca'!$A$3:$S$910,13,FALSE))</f>
        <v>-1003928019</v>
      </c>
      <c r="O206" s="42">
        <f>VLOOKUP($A206,'Neraca Unaudited SIMAK'!$A$2:$R$1272,14,FALSE)+IF(ISNA(VLOOKUP($A206,'Mutasi Neraca'!$A$3:$S$910,14,FALSE)),0,VLOOKUP($A206,'Mutasi Neraca'!$A$3:$S$910,14,FALSE))</f>
        <v>-724586156</v>
      </c>
      <c r="P206" s="42">
        <f>VLOOKUP($A206,'Neraca Unaudited SIMAK'!$A$2:$R$1272,15,FALSE)+IF(ISNA(VLOOKUP($A206,'Mutasi Neraca'!$A$3:$S$910,15,FALSE)),0,VLOOKUP($A206,'Mutasi Neraca'!$A$3:$S$910,15,FALSE))</f>
        <v>0</v>
      </c>
      <c r="Q206" s="42">
        <f>VLOOKUP($A206,'Neraca Unaudited SIMAK'!$A$2:$R$1272,16,FALSE)+IF(ISNA(VLOOKUP($A206,'Mutasi Neraca'!$A$3:$S$910,16,FALSE)),0,VLOOKUP($A206,'Mutasi Neraca'!$A$3:$S$910,16,FALSE))</f>
        <v>0</v>
      </c>
      <c r="R206" s="42">
        <f>VLOOKUP($A206,'Neraca Unaudited SIMAK'!$A$2:$R$1272,17,FALSE)+IF(ISNA(VLOOKUP($A206,'Mutasi Neraca'!$A$3:$S$910,17,FALSE)),0,VLOOKUP($A206,'Mutasi Neraca'!$A$3:$S$910,17,FALSE))</f>
        <v>-116445000</v>
      </c>
      <c r="S206" s="42">
        <f t="shared" si="49"/>
        <v>4148162160</v>
      </c>
    </row>
    <row r="207" spans="1:19">
      <c r="A207" s="41" t="s">
        <v>214</v>
      </c>
      <c r="B207" s="41" t="str">
        <f t="shared" si="48"/>
        <v>005010500</v>
      </c>
      <c r="D207" s="42">
        <f>VLOOKUP($A207,'Neraca Unaudited SIMAK'!$A$2:$R$1272,3,FALSE)+IF(ISNA(VLOOKUP($A207,'Mutasi Neraca'!$A$3:$S$910,3,FALSE)),0,VLOOKUP($A207,'Mutasi Neraca'!$A$3:$S$910,3,FALSE))</f>
        <v>0</v>
      </c>
      <c r="E207" s="42">
        <f>VLOOKUP($A207,'Neraca Unaudited SIMAK'!$A$2:$R$1272,4,FALSE)+IF(ISNA(VLOOKUP($A207,'Mutasi Neraca'!$A$3:$S$910,4,FALSE)),0,VLOOKUP($A207,'Mutasi Neraca'!$A$3:$S$910,4,FALSE))</f>
        <v>5080670125</v>
      </c>
      <c r="F207" s="42">
        <f>VLOOKUP($A207,'Neraca Unaudited SIMAK'!$A$2:$R$1272,5,FALSE)+IF(ISNA(VLOOKUP($A207,'Mutasi Neraca'!$A$3:$S$910,5,FALSE)),0,VLOOKUP($A207,'Mutasi Neraca'!$A$3:$S$910,5,FALSE))</f>
        <v>1469699473</v>
      </c>
      <c r="G207" s="42">
        <f>VLOOKUP($A207,'Neraca Unaudited SIMAK'!$A$2:$R$1272,6,FALSE)+IF(ISNA(VLOOKUP($A207,'Mutasi Neraca'!$A$3:$S$910,6,FALSE)),0,VLOOKUP($A207,'Mutasi Neraca'!$A$3:$S$910,6,FALSE))</f>
        <v>8660434700</v>
      </c>
      <c r="H207" s="42">
        <f>VLOOKUP($A207,'Neraca Unaudited SIMAK'!$A$2:$R$1272,7,FALSE)+IF(ISNA(VLOOKUP($A207,'Mutasi Neraca'!$A$3:$S$910,7,FALSE)),0,VLOOKUP($A207,'Mutasi Neraca'!$A$3:$S$910,7,FALSE))</f>
        <v>0</v>
      </c>
      <c r="I207" s="42">
        <f>VLOOKUP($A207,'Neraca Unaudited SIMAK'!$A$2:$R$1272,8,FALSE)+IF(ISNA(VLOOKUP($A207,'Mutasi Neraca'!$A$3:$S$910,8,FALSE)),0,VLOOKUP($A207,'Mutasi Neraca'!$A$3:$S$910,8,FALSE))</f>
        <v>4458770</v>
      </c>
      <c r="J207" s="42">
        <f>VLOOKUP($A207,'Neraca Unaudited SIMAK'!$A$2:$R$1272,9,FALSE)+IF(ISNA(VLOOKUP($A207,'Mutasi Neraca'!$A$3:$S$910,9,FALSE)),0,VLOOKUP($A207,'Mutasi Neraca'!$A$3:$S$910,9,FALSE))</f>
        <v>0</v>
      </c>
      <c r="K207" s="42">
        <f>VLOOKUP($A207,'Neraca Unaudited SIMAK'!$A$2:$R$1272,10,FALSE)+IF(ISNA(VLOOKUP($A207,'Mutasi Neraca'!$A$3:$S$910,10,FALSE)),0,VLOOKUP($A207,'Mutasi Neraca'!$A$3:$S$910,10,FALSE))</f>
        <v>0</v>
      </c>
      <c r="L207" s="42">
        <f>VLOOKUP($A207,'Neraca Unaudited SIMAK'!$A$2:$R$1272,11,FALSE)+IF(ISNA(VLOOKUP($A207,'Mutasi Neraca'!$A$3:$S$910,11,FALSE)),0,VLOOKUP($A207,'Mutasi Neraca'!$A$3:$S$910,11,FALSE))</f>
        <v>74970850</v>
      </c>
      <c r="M207" s="42">
        <f>VLOOKUP($A207,'Neraca Unaudited SIMAK'!$A$2:$R$1272,12,FALSE)+IF(ISNA(VLOOKUP($A207,'Mutasi Neraca'!$A$3:$S$910,12,FALSE)),0,VLOOKUP($A207,'Mutasi Neraca'!$A$3:$S$910,12,FALSE))</f>
        <v>15290233918</v>
      </c>
      <c r="N207" s="42">
        <f>VLOOKUP($A207,'Neraca Unaudited SIMAK'!$A$2:$R$1272,13,FALSE)+IF(ISNA(VLOOKUP($A207,'Mutasi Neraca'!$A$3:$S$910,13,FALSE)),0,VLOOKUP($A207,'Mutasi Neraca'!$A$3:$S$910,13,FALSE))</f>
        <v>-1299108156</v>
      </c>
      <c r="O207" s="42">
        <f>VLOOKUP($A207,'Neraca Unaudited SIMAK'!$A$2:$R$1272,14,FALSE)+IF(ISNA(VLOOKUP($A207,'Mutasi Neraca'!$A$3:$S$910,14,FALSE)),0,VLOOKUP($A207,'Mutasi Neraca'!$A$3:$S$910,14,FALSE))</f>
        <v>-1205825725</v>
      </c>
      <c r="P207" s="42">
        <f>VLOOKUP($A207,'Neraca Unaudited SIMAK'!$A$2:$R$1272,15,FALSE)+IF(ISNA(VLOOKUP($A207,'Mutasi Neraca'!$A$3:$S$910,15,FALSE)),0,VLOOKUP($A207,'Mutasi Neraca'!$A$3:$S$910,15,FALSE))</f>
        <v>0</v>
      </c>
      <c r="Q207" s="42">
        <f>VLOOKUP($A207,'Neraca Unaudited SIMAK'!$A$2:$R$1272,16,FALSE)+IF(ISNA(VLOOKUP($A207,'Mutasi Neraca'!$A$3:$S$910,16,FALSE)),0,VLOOKUP($A207,'Mutasi Neraca'!$A$3:$S$910,16,FALSE))</f>
        <v>0</v>
      </c>
      <c r="R207" s="42">
        <f>VLOOKUP($A207,'Neraca Unaudited SIMAK'!$A$2:$R$1272,17,FALSE)+IF(ISNA(VLOOKUP($A207,'Mutasi Neraca'!$A$3:$S$910,17,FALSE)),0,VLOOKUP($A207,'Mutasi Neraca'!$A$3:$S$910,17,FALSE))</f>
        <v>-74970850</v>
      </c>
      <c r="S207" s="42">
        <f t="shared" si="49"/>
        <v>12710329187</v>
      </c>
    </row>
    <row r="208" spans="1:19">
      <c r="A208" s="41" t="s">
        <v>215</v>
      </c>
      <c r="B208" s="41" t="str">
        <f t="shared" si="48"/>
        <v>005010500</v>
      </c>
      <c r="D208" s="42">
        <f>VLOOKUP($A208,'Neraca Unaudited SIMAK'!$A$2:$R$1272,3,FALSE)+IF(ISNA(VLOOKUP($A208,'Mutasi Neraca'!$A$3:$S$910,3,FALSE)),0,VLOOKUP($A208,'Mutasi Neraca'!$A$3:$S$910,3,FALSE))</f>
        <v>453350</v>
      </c>
      <c r="E208" s="42">
        <f>VLOOKUP($A208,'Neraca Unaudited SIMAK'!$A$2:$R$1272,4,FALSE)+IF(ISNA(VLOOKUP($A208,'Mutasi Neraca'!$A$3:$S$910,4,FALSE)),0,VLOOKUP($A208,'Mutasi Neraca'!$A$3:$S$910,4,FALSE))</f>
        <v>1256235000</v>
      </c>
      <c r="F208" s="42">
        <f>VLOOKUP($A208,'Neraca Unaudited SIMAK'!$A$2:$R$1272,5,FALSE)+IF(ISNA(VLOOKUP($A208,'Mutasi Neraca'!$A$3:$S$910,5,FALSE)),0,VLOOKUP($A208,'Mutasi Neraca'!$A$3:$S$910,5,FALSE))</f>
        <v>1091598134</v>
      </c>
      <c r="G208" s="42">
        <f>VLOOKUP($A208,'Neraca Unaudited SIMAK'!$A$2:$R$1272,6,FALSE)+IF(ISNA(VLOOKUP($A208,'Mutasi Neraca'!$A$3:$S$910,6,FALSE)),0,VLOOKUP($A208,'Mutasi Neraca'!$A$3:$S$910,6,FALSE))</f>
        <v>1023458000</v>
      </c>
      <c r="H208" s="42">
        <f>VLOOKUP($A208,'Neraca Unaudited SIMAK'!$A$2:$R$1272,7,FALSE)+IF(ISNA(VLOOKUP($A208,'Mutasi Neraca'!$A$3:$S$910,7,FALSE)),0,VLOOKUP($A208,'Mutasi Neraca'!$A$3:$S$910,7,FALSE))</f>
        <v>0</v>
      </c>
      <c r="I208" s="42">
        <f>VLOOKUP($A208,'Neraca Unaudited SIMAK'!$A$2:$R$1272,8,FALSE)+IF(ISNA(VLOOKUP($A208,'Mutasi Neraca'!$A$3:$S$910,8,FALSE)),0,VLOOKUP($A208,'Mutasi Neraca'!$A$3:$S$910,8,FALSE))</f>
        <v>408000</v>
      </c>
      <c r="J208" s="42">
        <f>VLOOKUP($A208,'Neraca Unaudited SIMAK'!$A$2:$R$1272,9,FALSE)+IF(ISNA(VLOOKUP($A208,'Mutasi Neraca'!$A$3:$S$910,9,FALSE)),0,VLOOKUP($A208,'Mutasi Neraca'!$A$3:$S$910,9,FALSE))</f>
        <v>0</v>
      </c>
      <c r="K208" s="42">
        <f>VLOOKUP($A208,'Neraca Unaudited SIMAK'!$A$2:$R$1272,10,FALSE)+IF(ISNA(VLOOKUP($A208,'Mutasi Neraca'!$A$3:$S$910,10,FALSE)),0,VLOOKUP($A208,'Mutasi Neraca'!$A$3:$S$910,10,FALSE))</f>
        <v>22200000</v>
      </c>
      <c r="L208" s="42">
        <f>VLOOKUP($A208,'Neraca Unaudited SIMAK'!$A$2:$R$1272,11,FALSE)+IF(ISNA(VLOOKUP($A208,'Mutasi Neraca'!$A$3:$S$910,11,FALSE)),0,VLOOKUP($A208,'Mutasi Neraca'!$A$3:$S$910,11,FALSE))</f>
        <v>52298350</v>
      </c>
      <c r="M208" s="42">
        <f>VLOOKUP($A208,'Neraca Unaudited SIMAK'!$A$2:$R$1272,12,FALSE)+IF(ISNA(VLOOKUP($A208,'Mutasi Neraca'!$A$3:$S$910,12,FALSE)),0,VLOOKUP($A208,'Mutasi Neraca'!$A$3:$S$910,12,FALSE))</f>
        <v>3446650834</v>
      </c>
      <c r="N208" s="42">
        <f>VLOOKUP($A208,'Neraca Unaudited SIMAK'!$A$2:$R$1272,13,FALSE)+IF(ISNA(VLOOKUP($A208,'Mutasi Neraca'!$A$3:$S$910,13,FALSE)),0,VLOOKUP($A208,'Mutasi Neraca'!$A$3:$S$910,13,FALSE))</f>
        <v>-973531208</v>
      </c>
      <c r="O208" s="42">
        <f>VLOOKUP($A208,'Neraca Unaudited SIMAK'!$A$2:$R$1272,14,FALSE)+IF(ISNA(VLOOKUP($A208,'Mutasi Neraca'!$A$3:$S$910,14,FALSE)),0,VLOOKUP($A208,'Mutasi Neraca'!$A$3:$S$910,14,FALSE))</f>
        <v>-205206881</v>
      </c>
      <c r="P208" s="42">
        <f>VLOOKUP($A208,'Neraca Unaudited SIMAK'!$A$2:$R$1272,15,FALSE)+IF(ISNA(VLOOKUP($A208,'Mutasi Neraca'!$A$3:$S$910,15,FALSE)),0,VLOOKUP($A208,'Mutasi Neraca'!$A$3:$S$910,15,FALSE))</f>
        <v>0</v>
      </c>
      <c r="Q208" s="42">
        <f>VLOOKUP($A208,'Neraca Unaudited SIMAK'!$A$2:$R$1272,16,FALSE)+IF(ISNA(VLOOKUP($A208,'Mutasi Neraca'!$A$3:$S$910,16,FALSE)),0,VLOOKUP($A208,'Mutasi Neraca'!$A$3:$S$910,16,FALSE))</f>
        <v>0</v>
      </c>
      <c r="R208" s="42">
        <f>VLOOKUP($A208,'Neraca Unaudited SIMAK'!$A$2:$R$1272,17,FALSE)+IF(ISNA(VLOOKUP($A208,'Mutasi Neraca'!$A$3:$S$910,17,FALSE)),0,VLOOKUP($A208,'Mutasi Neraca'!$A$3:$S$910,17,FALSE))</f>
        <v>-52298350</v>
      </c>
      <c r="S208" s="42">
        <f t="shared" si="49"/>
        <v>2215614395</v>
      </c>
    </row>
    <row r="209" spans="1:19">
      <c r="A209" s="41" t="s">
        <v>216</v>
      </c>
      <c r="B209" s="41" t="str">
        <f t="shared" si="48"/>
        <v>005010500</v>
      </c>
      <c r="D209" s="42">
        <f>VLOOKUP($A209,'Neraca Unaudited SIMAK'!$A$2:$R$1272,3,FALSE)+IF(ISNA(VLOOKUP($A209,'Mutasi Neraca'!$A$3:$S$910,3,FALSE)),0,VLOOKUP($A209,'Mutasi Neraca'!$A$3:$S$910,3,FALSE))</f>
        <v>6638400</v>
      </c>
      <c r="E209" s="42">
        <f>VLOOKUP($A209,'Neraca Unaudited SIMAK'!$A$2:$R$1272,4,FALSE)+IF(ISNA(VLOOKUP($A209,'Mutasi Neraca'!$A$3:$S$910,4,FALSE)),0,VLOOKUP($A209,'Mutasi Neraca'!$A$3:$S$910,4,FALSE))</f>
        <v>1210713000</v>
      </c>
      <c r="F209" s="42">
        <f>VLOOKUP($A209,'Neraca Unaudited SIMAK'!$A$2:$R$1272,5,FALSE)+IF(ISNA(VLOOKUP($A209,'Mutasi Neraca'!$A$3:$S$910,5,FALSE)),0,VLOOKUP($A209,'Mutasi Neraca'!$A$3:$S$910,5,FALSE))</f>
        <v>1390618078</v>
      </c>
      <c r="G209" s="42">
        <f>VLOOKUP($A209,'Neraca Unaudited SIMAK'!$A$2:$R$1272,6,FALSE)+IF(ISNA(VLOOKUP($A209,'Mutasi Neraca'!$A$3:$S$910,6,FALSE)),0,VLOOKUP($A209,'Mutasi Neraca'!$A$3:$S$910,6,FALSE))</f>
        <v>3637826410</v>
      </c>
      <c r="H209" s="42">
        <f>VLOOKUP($A209,'Neraca Unaudited SIMAK'!$A$2:$R$1272,7,FALSE)+IF(ISNA(VLOOKUP($A209,'Mutasi Neraca'!$A$3:$S$910,7,FALSE)),0,VLOOKUP($A209,'Mutasi Neraca'!$A$3:$S$910,7,FALSE))</f>
        <v>0</v>
      </c>
      <c r="I209" s="42">
        <f>VLOOKUP($A209,'Neraca Unaudited SIMAK'!$A$2:$R$1272,8,FALSE)+IF(ISNA(VLOOKUP($A209,'Mutasi Neraca'!$A$3:$S$910,8,FALSE)),0,VLOOKUP($A209,'Mutasi Neraca'!$A$3:$S$910,8,FALSE))</f>
        <v>408000</v>
      </c>
      <c r="J209" s="42">
        <f>VLOOKUP($A209,'Neraca Unaudited SIMAK'!$A$2:$R$1272,9,FALSE)+IF(ISNA(VLOOKUP($A209,'Mutasi Neraca'!$A$3:$S$910,9,FALSE)),0,VLOOKUP($A209,'Mutasi Neraca'!$A$3:$S$910,9,FALSE))</f>
        <v>0</v>
      </c>
      <c r="K209" s="42">
        <f>VLOOKUP($A209,'Neraca Unaudited SIMAK'!$A$2:$R$1272,10,FALSE)+IF(ISNA(VLOOKUP($A209,'Mutasi Neraca'!$A$3:$S$910,10,FALSE)),0,VLOOKUP($A209,'Mutasi Neraca'!$A$3:$S$910,10,FALSE))</f>
        <v>7000000</v>
      </c>
      <c r="L209" s="42">
        <f>VLOOKUP($A209,'Neraca Unaudited SIMAK'!$A$2:$R$1272,11,FALSE)+IF(ISNA(VLOOKUP($A209,'Mutasi Neraca'!$A$3:$S$910,11,FALSE)),0,VLOOKUP($A209,'Mutasi Neraca'!$A$3:$S$910,11,FALSE))</f>
        <v>0</v>
      </c>
      <c r="M209" s="42">
        <f>VLOOKUP($A209,'Neraca Unaudited SIMAK'!$A$2:$R$1272,12,FALSE)+IF(ISNA(VLOOKUP($A209,'Mutasi Neraca'!$A$3:$S$910,12,FALSE)),0,VLOOKUP($A209,'Mutasi Neraca'!$A$3:$S$910,12,FALSE))</f>
        <v>6253203888</v>
      </c>
      <c r="N209" s="42">
        <f>VLOOKUP($A209,'Neraca Unaudited SIMAK'!$A$2:$R$1272,13,FALSE)+IF(ISNA(VLOOKUP($A209,'Mutasi Neraca'!$A$3:$S$910,13,FALSE)),0,VLOOKUP($A209,'Mutasi Neraca'!$A$3:$S$910,13,FALSE))</f>
        <v>-1073464658</v>
      </c>
      <c r="O209" s="42">
        <f>VLOOKUP($A209,'Neraca Unaudited SIMAK'!$A$2:$R$1272,14,FALSE)+IF(ISNA(VLOOKUP($A209,'Mutasi Neraca'!$A$3:$S$910,14,FALSE)),0,VLOOKUP($A209,'Mutasi Neraca'!$A$3:$S$910,14,FALSE))</f>
        <v>-842267888</v>
      </c>
      <c r="P209" s="42">
        <f>VLOOKUP($A209,'Neraca Unaudited SIMAK'!$A$2:$R$1272,15,FALSE)+IF(ISNA(VLOOKUP($A209,'Mutasi Neraca'!$A$3:$S$910,15,FALSE)),0,VLOOKUP($A209,'Mutasi Neraca'!$A$3:$S$910,15,FALSE))</f>
        <v>0</v>
      </c>
      <c r="Q209" s="42">
        <f>VLOOKUP($A209,'Neraca Unaudited SIMAK'!$A$2:$R$1272,16,FALSE)+IF(ISNA(VLOOKUP($A209,'Mutasi Neraca'!$A$3:$S$910,16,FALSE)),0,VLOOKUP($A209,'Mutasi Neraca'!$A$3:$S$910,16,FALSE))</f>
        <v>0</v>
      </c>
      <c r="R209" s="42">
        <f>VLOOKUP($A209,'Neraca Unaudited SIMAK'!$A$2:$R$1272,17,FALSE)+IF(ISNA(VLOOKUP($A209,'Mutasi Neraca'!$A$3:$S$910,17,FALSE)),0,VLOOKUP($A209,'Mutasi Neraca'!$A$3:$S$910,17,FALSE))</f>
        <v>0</v>
      </c>
      <c r="S209" s="42">
        <f t="shared" si="49"/>
        <v>4337471342</v>
      </c>
    </row>
    <row r="210" spans="1:19">
      <c r="A210" s="41" t="s">
        <v>217</v>
      </c>
      <c r="B210" s="41" t="str">
        <f t="shared" si="48"/>
        <v>005010500</v>
      </c>
      <c r="D210" s="42">
        <f>VLOOKUP($A210,'Neraca Unaudited SIMAK'!$A$2:$R$1272,3,FALSE)+IF(ISNA(VLOOKUP($A210,'Mutasi Neraca'!$A$3:$S$910,3,FALSE)),0,VLOOKUP($A210,'Mutasi Neraca'!$A$3:$S$910,3,FALSE))</f>
        <v>51897</v>
      </c>
      <c r="E210" s="42">
        <f>VLOOKUP($A210,'Neraca Unaudited SIMAK'!$A$2:$R$1272,4,FALSE)+IF(ISNA(VLOOKUP($A210,'Mutasi Neraca'!$A$3:$S$910,4,FALSE)),0,VLOOKUP($A210,'Mutasi Neraca'!$A$3:$S$910,4,FALSE))</f>
        <v>2308780000</v>
      </c>
      <c r="F210" s="42">
        <f>VLOOKUP($A210,'Neraca Unaudited SIMAK'!$A$2:$R$1272,5,FALSE)+IF(ISNA(VLOOKUP($A210,'Mutasi Neraca'!$A$3:$S$910,5,FALSE)),0,VLOOKUP($A210,'Mutasi Neraca'!$A$3:$S$910,5,FALSE))</f>
        <v>1156240236</v>
      </c>
      <c r="G210" s="42">
        <f>VLOOKUP($A210,'Neraca Unaudited SIMAK'!$A$2:$R$1272,6,FALSE)+IF(ISNA(VLOOKUP($A210,'Mutasi Neraca'!$A$3:$S$910,6,FALSE)),0,VLOOKUP($A210,'Mutasi Neraca'!$A$3:$S$910,6,FALSE))</f>
        <v>1319460800</v>
      </c>
      <c r="H210" s="42">
        <f>VLOOKUP($A210,'Neraca Unaudited SIMAK'!$A$2:$R$1272,7,FALSE)+IF(ISNA(VLOOKUP($A210,'Mutasi Neraca'!$A$3:$S$910,7,FALSE)),0,VLOOKUP($A210,'Mutasi Neraca'!$A$3:$S$910,7,FALSE))</f>
        <v>39837300</v>
      </c>
      <c r="I210" s="42">
        <f>VLOOKUP($A210,'Neraca Unaudited SIMAK'!$A$2:$R$1272,8,FALSE)+IF(ISNA(VLOOKUP($A210,'Mutasi Neraca'!$A$3:$S$910,8,FALSE)),0,VLOOKUP($A210,'Mutasi Neraca'!$A$3:$S$910,8,FALSE))</f>
        <v>4088870</v>
      </c>
      <c r="J210" s="42">
        <f>VLOOKUP($A210,'Neraca Unaudited SIMAK'!$A$2:$R$1272,9,FALSE)+IF(ISNA(VLOOKUP($A210,'Mutasi Neraca'!$A$3:$S$910,9,FALSE)),0,VLOOKUP($A210,'Mutasi Neraca'!$A$3:$S$910,9,FALSE))</f>
        <v>0</v>
      </c>
      <c r="K210" s="42">
        <f>VLOOKUP($A210,'Neraca Unaudited SIMAK'!$A$2:$R$1272,10,FALSE)+IF(ISNA(VLOOKUP($A210,'Mutasi Neraca'!$A$3:$S$910,10,FALSE)),0,VLOOKUP($A210,'Mutasi Neraca'!$A$3:$S$910,10,FALSE))</f>
        <v>0</v>
      </c>
      <c r="L210" s="42">
        <f>VLOOKUP($A210,'Neraca Unaudited SIMAK'!$A$2:$R$1272,11,FALSE)+IF(ISNA(VLOOKUP($A210,'Mutasi Neraca'!$A$3:$S$910,11,FALSE)),0,VLOOKUP($A210,'Mutasi Neraca'!$A$3:$S$910,11,FALSE))</f>
        <v>65321058</v>
      </c>
      <c r="M210" s="42">
        <f>VLOOKUP($A210,'Neraca Unaudited SIMAK'!$A$2:$R$1272,12,FALSE)+IF(ISNA(VLOOKUP($A210,'Mutasi Neraca'!$A$3:$S$910,12,FALSE)),0,VLOOKUP($A210,'Mutasi Neraca'!$A$3:$S$910,12,FALSE))</f>
        <v>4893780161</v>
      </c>
      <c r="N210" s="42">
        <f>VLOOKUP($A210,'Neraca Unaudited SIMAK'!$A$2:$R$1272,13,FALSE)+IF(ISNA(VLOOKUP($A210,'Mutasi Neraca'!$A$3:$S$910,13,FALSE)),0,VLOOKUP($A210,'Mutasi Neraca'!$A$3:$S$910,13,FALSE))</f>
        <v>-785727714</v>
      </c>
      <c r="O210" s="42">
        <f>VLOOKUP($A210,'Neraca Unaudited SIMAK'!$A$2:$R$1272,14,FALSE)+IF(ISNA(VLOOKUP($A210,'Mutasi Neraca'!$A$3:$S$910,14,FALSE)),0,VLOOKUP($A210,'Mutasi Neraca'!$A$3:$S$910,14,FALSE))</f>
        <v>-71758544</v>
      </c>
      <c r="P210" s="42">
        <f>VLOOKUP($A210,'Neraca Unaudited SIMAK'!$A$2:$R$1272,15,FALSE)+IF(ISNA(VLOOKUP($A210,'Mutasi Neraca'!$A$3:$S$910,15,FALSE)),0,VLOOKUP($A210,'Mutasi Neraca'!$A$3:$S$910,15,FALSE))</f>
        <v>-5411399</v>
      </c>
      <c r="Q210" s="42">
        <f>VLOOKUP($A210,'Neraca Unaudited SIMAK'!$A$2:$R$1272,16,FALSE)+IF(ISNA(VLOOKUP($A210,'Mutasi Neraca'!$A$3:$S$910,16,FALSE)),0,VLOOKUP($A210,'Mutasi Neraca'!$A$3:$S$910,16,FALSE))</f>
        <v>0</v>
      </c>
      <c r="R210" s="42">
        <f>VLOOKUP($A210,'Neraca Unaudited SIMAK'!$A$2:$R$1272,17,FALSE)+IF(ISNA(VLOOKUP($A210,'Mutasi Neraca'!$A$3:$S$910,17,FALSE)),0,VLOOKUP($A210,'Mutasi Neraca'!$A$3:$S$910,17,FALSE))</f>
        <v>-65321058</v>
      </c>
      <c r="S210" s="42">
        <f t="shared" si="49"/>
        <v>3965561446</v>
      </c>
    </row>
    <row r="211" spans="1:19">
      <c r="A211" s="41" t="s">
        <v>218</v>
      </c>
      <c r="B211" s="41" t="str">
        <f t="shared" si="48"/>
        <v>005010500</v>
      </c>
      <c r="D211" s="42">
        <f>VLOOKUP($A211,'Neraca Unaudited SIMAK'!$A$2:$R$1272,3,FALSE)+IF(ISNA(VLOOKUP($A211,'Mutasi Neraca'!$A$3:$S$910,3,FALSE)),0,VLOOKUP($A211,'Mutasi Neraca'!$A$3:$S$910,3,FALSE))</f>
        <v>687445</v>
      </c>
      <c r="E211" s="42">
        <f>VLOOKUP($A211,'Neraca Unaudited SIMAK'!$A$2:$R$1272,4,FALSE)+IF(ISNA(VLOOKUP($A211,'Mutasi Neraca'!$A$3:$S$910,4,FALSE)),0,VLOOKUP($A211,'Mutasi Neraca'!$A$3:$S$910,4,FALSE))</f>
        <v>2830000000</v>
      </c>
      <c r="F211" s="42">
        <f>VLOOKUP($A211,'Neraca Unaudited SIMAK'!$A$2:$R$1272,5,FALSE)+IF(ISNA(VLOOKUP($A211,'Mutasi Neraca'!$A$3:$S$910,5,FALSE)),0,VLOOKUP($A211,'Mutasi Neraca'!$A$3:$S$910,5,FALSE))</f>
        <v>1365547296</v>
      </c>
      <c r="G211" s="42">
        <f>VLOOKUP($A211,'Neraca Unaudited SIMAK'!$A$2:$R$1272,6,FALSE)+IF(ISNA(VLOOKUP($A211,'Mutasi Neraca'!$A$3:$S$910,6,FALSE)),0,VLOOKUP($A211,'Mutasi Neraca'!$A$3:$S$910,6,FALSE))</f>
        <v>4582994253</v>
      </c>
      <c r="H211" s="42">
        <f>VLOOKUP($A211,'Neraca Unaudited SIMAK'!$A$2:$R$1272,7,FALSE)+IF(ISNA(VLOOKUP($A211,'Mutasi Neraca'!$A$3:$S$910,7,FALSE)),0,VLOOKUP($A211,'Mutasi Neraca'!$A$3:$S$910,7,FALSE))</f>
        <v>25101900</v>
      </c>
      <c r="I211" s="42">
        <f>VLOOKUP($A211,'Neraca Unaudited SIMAK'!$A$2:$R$1272,8,FALSE)+IF(ISNA(VLOOKUP($A211,'Mutasi Neraca'!$A$3:$S$910,8,FALSE)),0,VLOOKUP($A211,'Mutasi Neraca'!$A$3:$S$910,8,FALSE))</f>
        <v>5148370</v>
      </c>
      <c r="J211" s="42">
        <f>VLOOKUP($A211,'Neraca Unaudited SIMAK'!$A$2:$R$1272,9,FALSE)+IF(ISNA(VLOOKUP($A211,'Mutasi Neraca'!$A$3:$S$910,9,FALSE)),0,VLOOKUP($A211,'Mutasi Neraca'!$A$3:$S$910,9,FALSE))</f>
        <v>0</v>
      </c>
      <c r="K211" s="42">
        <f>VLOOKUP($A211,'Neraca Unaudited SIMAK'!$A$2:$R$1272,10,FALSE)+IF(ISNA(VLOOKUP($A211,'Mutasi Neraca'!$A$3:$S$910,10,FALSE)),0,VLOOKUP($A211,'Mutasi Neraca'!$A$3:$S$910,10,FALSE))</f>
        <v>0</v>
      </c>
      <c r="L211" s="42">
        <f>VLOOKUP($A211,'Neraca Unaudited SIMAK'!$A$2:$R$1272,11,FALSE)+IF(ISNA(VLOOKUP($A211,'Mutasi Neraca'!$A$3:$S$910,11,FALSE)),0,VLOOKUP($A211,'Mutasi Neraca'!$A$3:$S$910,11,FALSE))</f>
        <v>0</v>
      </c>
      <c r="M211" s="42">
        <f>VLOOKUP($A211,'Neraca Unaudited SIMAK'!$A$2:$R$1272,12,FALSE)+IF(ISNA(VLOOKUP($A211,'Mutasi Neraca'!$A$3:$S$910,12,FALSE)),0,VLOOKUP($A211,'Mutasi Neraca'!$A$3:$S$910,12,FALSE))</f>
        <v>8809479264</v>
      </c>
      <c r="N211" s="42">
        <f>VLOOKUP($A211,'Neraca Unaudited SIMAK'!$A$2:$R$1272,13,FALSE)+IF(ISNA(VLOOKUP($A211,'Mutasi Neraca'!$A$3:$S$910,13,FALSE)),0,VLOOKUP($A211,'Mutasi Neraca'!$A$3:$S$910,13,FALSE))</f>
        <v>-1039799944</v>
      </c>
      <c r="O211" s="42">
        <f>VLOOKUP($A211,'Neraca Unaudited SIMAK'!$A$2:$R$1272,14,FALSE)+IF(ISNA(VLOOKUP($A211,'Mutasi Neraca'!$A$3:$S$910,14,FALSE)),0,VLOOKUP($A211,'Mutasi Neraca'!$A$3:$S$910,14,FALSE))</f>
        <v>-857989965</v>
      </c>
      <c r="P211" s="42">
        <f>VLOOKUP($A211,'Neraca Unaudited SIMAK'!$A$2:$R$1272,15,FALSE)+IF(ISNA(VLOOKUP($A211,'Mutasi Neraca'!$A$3:$S$910,15,FALSE)),0,VLOOKUP($A211,'Mutasi Neraca'!$A$3:$S$910,15,FALSE))</f>
        <v>-313774</v>
      </c>
      <c r="Q211" s="42">
        <f>VLOOKUP($A211,'Neraca Unaudited SIMAK'!$A$2:$R$1272,16,FALSE)+IF(ISNA(VLOOKUP($A211,'Mutasi Neraca'!$A$3:$S$910,16,FALSE)),0,VLOOKUP($A211,'Mutasi Neraca'!$A$3:$S$910,16,FALSE))</f>
        <v>0</v>
      </c>
      <c r="R211" s="42">
        <f>VLOOKUP($A211,'Neraca Unaudited SIMAK'!$A$2:$R$1272,17,FALSE)+IF(ISNA(VLOOKUP($A211,'Mutasi Neraca'!$A$3:$S$910,17,FALSE)),0,VLOOKUP($A211,'Mutasi Neraca'!$A$3:$S$910,17,FALSE))</f>
        <v>0</v>
      </c>
      <c r="S211" s="42">
        <f t="shared" si="49"/>
        <v>6911375581</v>
      </c>
    </row>
    <row r="212" spans="1:19">
      <c r="A212" s="41" t="s">
        <v>219</v>
      </c>
      <c r="B212" s="41" t="str">
        <f t="shared" si="48"/>
        <v>005010500</v>
      </c>
      <c r="D212" s="42">
        <f>VLOOKUP($A212,'Neraca Unaudited SIMAK'!$A$2:$R$1272,3,FALSE)+IF(ISNA(VLOOKUP($A212,'Mutasi Neraca'!$A$3:$S$910,3,FALSE)),0,VLOOKUP($A212,'Mutasi Neraca'!$A$3:$S$910,3,FALSE))</f>
        <v>4610000</v>
      </c>
      <c r="E212" s="42">
        <f>VLOOKUP($A212,'Neraca Unaudited SIMAK'!$A$2:$R$1272,4,FALSE)+IF(ISNA(VLOOKUP($A212,'Mutasi Neraca'!$A$3:$S$910,4,FALSE)),0,VLOOKUP($A212,'Mutasi Neraca'!$A$3:$S$910,4,FALSE))</f>
        <v>1296100000</v>
      </c>
      <c r="F212" s="42">
        <f>VLOOKUP($A212,'Neraca Unaudited SIMAK'!$A$2:$R$1272,5,FALSE)+IF(ISNA(VLOOKUP($A212,'Mutasi Neraca'!$A$3:$S$910,5,FALSE)),0,VLOOKUP($A212,'Mutasi Neraca'!$A$3:$S$910,5,FALSE))</f>
        <v>885929105</v>
      </c>
      <c r="G212" s="42">
        <f>VLOOKUP($A212,'Neraca Unaudited SIMAK'!$A$2:$R$1272,6,FALSE)+IF(ISNA(VLOOKUP($A212,'Mutasi Neraca'!$A$3:$S$910,6,FALSE)),0,VLOOKUP($A212,'Mutasi Neraca'!$A$3:$S$910,6,FALSE))</f>
        <v>1101541400</v>
      </c>
      <c r="H212" s="42">
        <f>VLOOKUP($A212,'Neraca Unaudited SIMAK'!$A$2:$R$1272,7,FALSE)+IF(ISNA(VLOOKUP($A212,'Mutasi Neraca'!$A$3:$S$910,7,FALSE)),0,VLOOKUP($A212,'Mutasi Neraca'!$A$3:$S$910,7,FALSE))</f>
        <v>50577600</v>
      </c>
      <c r="I212" s="42">
        <f>VLOOKUP($A212,'Neraca Unaudited SIMAK'!$A$2:$R$1272,8,FALSE)+IF(ISNA(VLOOKUP($A212,'Mutasi Neraca'!$A$3:$S$910,8,FALSE)),0,VLOOKUP($A212,'Mutasi Neraca'!$A$3:$S$910,8,FALSE))</f>
        <v>6865370</v>
      </c>
      <c r="J212" s="42">
        <f>VLOOKUP($A212,'Neraca Unaudited SIMAK'!$A$2:$R$1272,9,FALSE)+IF(ISNA(VLOOKUP($A212,'Mutasi Neraca'!$A$3:$S$910,9,FALSE)),0,VLOOKUP($A212,'Mutasi Neraca'!$A$3:$S$910,9,FALSE))</f>
        <v>0</v>
      </c>
      <c r="K212" s="42">
        <f>VLOOKUP($A212,'Neraca Unaudited SIMAK'!$A$2:$R$1272,10,FALSE)+IF(ISNA(VLOOKUP($A212,'Mutasi Neraca'!$A$3:$S$910,10,FALSE)),0,VLOOKUP($A212,'Mutasi Neraca'!$A$3:$S$910,10,FALSE))</f>
        <v>0</v>
      </c>
      <c r="L212" s="42">
        <f>VLOOKUP($A212,'Neraca Unaudited SIMAK'!$A$2:$R$1272,11,FALSE)+IF(ISNA(VLOOKUP($A212,'Mutasi Neraca'!$A$3:$S$910,11,FALSE)),0,VLOOKUP($A212,'Mutasi Neraca'!$A$3:$S$910,11,FALSE))</f>
        <v>120239547</v>
      </c>
      <c r="M212" s="42">
        <f>VLOOKUP($A212,'Neraca Unaudited SIMAK'!$A$2:$R$1272,12,FALSE)+IF(ISNA(VLOOKUP($A212,'Mutasi Neraca'!$A$3:$S$910,12,FALSE)),0,VLOOKUP($A212,'Mutasi Neraca'!$A$3:$S$910,12,FALSE))</f>
        <v>3465863022</v>
      </c>
      <c r="N212" s="42">
        <f>VLOOKUP($A212,'Neraca Unaudited SIMAK'!$A$2:$R$1272,13,FALSE)+IF(ISNA(VLOOKUP($A212,'Mutasi Neraca'!$A$3:$S$910,13,FALSE)),0,VLOOKUP($A212,'Mutasi Neraca'!$A$3:$S$910,13,FALSE))</f>
        <v>-772296443</v>
      </c>
      <c r="O212" s="42">
        <f>VLOOKUP($A212,'Neraca Unaudited SIMAK'!$A$2:$R$1272,14,FALSE)+IF(ISNA(VLOOKUP($A212,'Mutasi Neraca'!$A$3:$S$910,14,FALSE)),0,VLOOKUP($A212,'Mutasi Neraca'!$A$3:$S$910,14,FALSE))</f>
        <v>-312622038</v>
      </c>
      <c r="P212" s="42">
        <f>VLOOKUP($A212,'Neraca Unaudited SIMAK'!$A$2:$R$1272,15,FALSE)+IF(ISNA(VLOOKUP($A212,'Mutasi Neraca'!$A$3:$S$910,15,FALSE)),0,VLOOKUP($A212,'Mutasi Neraca'!$A$3:$S$910,15,FALSE))</f>
        <v>-30013373</v>
      </c>
      <c r="Q212" s="42">
        <f>VLOOKUP($A212,'Neraca Unaudited SIMAK'!$A$2:$R$1272,16,FALSE)+IF(ISNA(VLOOKUP($A212,'Mutasi Neraca'!$A$3:$S$910,16,FALSE)),0,VLOOKUP($A212,'Mutasi Neraca'!$A$3:$S$910,16,FALSE))</f>
        <v>0</v>
      </c>
      <c r="R212" s="42">
        <f>VLOOKUP($A212,'Neraca Unaudited SIMAK'!$A$2:$R$1272,17,FALSE)+IF(ISNA(VLOOKUP($A212,'Mutasi Neraca'!$A$3:$S$910,17,FALSE)),0,VLOOKUP($A212,'Mutasi Neraca'!$A$3:$S$910,17,FALSE))</f>
        <v>-120239547</v>
      </c>
      <c r="S212" s="42">
        <f t="shared" si="49"/>
        <v>2230691621</v>
      </c>
    </row>
    <row r="213" spans="1:19">
      <c r="A213" s="41" t="s">
        <v>220</v>
      </c>
      <c r="B213" s="41" t="str">
        <f t="shared" si="48"/>
        <v>005010500</v>
      </c>
      <c r="D213" s="42">
        <f>VLOOKUP($A213,'Neraca Unaudited SIMAK'!$A$2:$R$1272,3,FALSE)+IF(ISNA(VLOOKUP($A213,'Mutasi Neraca'!$A$3:$S$910,3,FALSE)),0,VLOOKUP($A213,'Mutasi Neraca'!$A$3:$S$910,3,FALSE))</f>
        <v>4751025</v>
      </c>
      <c r="E213" s="42">
        <f>VLOOKUP($A213,'Neraca Unaudited SIMAK'!$A$2:$R$1272,4,FALSE)+IF(ISNA(VLOOKUP($A213,'Mutasi Neraca'!$A$3:$S$910,4,FALSE)),0,VLOOKUP($A213,'Mutasi Neraca'!$A$3:$S$910,4,FALSE))</f>
        <v>288350434</v>
      </c>
      <c r="F213" s="42">
        <f>VLOOKUP($A213,'Neraca Unaudited SIMAK'!$A$2:$R$1272,5,FALSE)+IF(ISNA(VLOOKUP($A213,'Mutasi Neraca'!$A$3:$S$910,5,FALSE)),0,VLOOKUP($A213,'Mutasi Neraca'!$A$3:$S$910,5,FALSE))</f>
        <v>1101684912</v>
      </c>
      <c r="G213" s="42">
        <f>VLOOKUP($A213,'Neraca Unaudited SIMAK'!$A$2:$R$1272,6,FALSE)+IF(ISNA(VLOOKUP($A213,'Mutasi Neraca'!$A$3:$S$910,6,FALSE)),0,VLOOKUP($A213,'Mutasi Neraca'!$A$3:$S$910,6,FALSE))</f>
        <v>3625554900</v>
      </c>
      <c r="H213" s="42">
        <f>VLOOKUP($A213,'Neraca Unaudited SIMAK'!$A$2:$R$1272,7,FALSE)+IF(ISNA(VLOOKUP($A213,'Mutasi Neraca'!$A$3:$S$910,7,FALSE)),0,VLOOKUP($A213,'Mutasi Neraca'!$A$3:$S$910,7,FALSE))</f>
        <v>12500000</v>
      </c>
      <c r="I213" s="42">
        <f>VLOOKUP($A213,'Neraca Unaudited SIMAK'!$A$2:$R$1272,8,FALSE)+IF(ISNA(VLOOKUP($A213,'Mutasi Neraca'!$A$3:$S$910,8,FALSE)),0,VLOOKUP($A213,'Mutasi Neraca'!$A$3:$S$910,8,FALSE))</f>
        <v>11929870</v>
      </c>
      <c r="J213" s="42">
        <f>VLOOKUP($A213,'Neraca Unaudited SIMAK'!$A$2:$R$1272,9,FALSE)+IF(ISNA(VLOOKUP($A213,'Mutasi Neraca'!$A$3:$S$910,9,FALSE)),0,VLOOKUP($A213,'Mutasi Neraca'!$A$3:$S$910,9,FALSE))</f>
        <v>0</v>
      </c>
      <c r="K213" s="42">
        <f>VLOOKUP($A213,'Neraca Unaudited SIMAK'!$A$2:$R$1272,10,FALSE)+IF(ISNA(VLOOKUP($A213,'Mutasi Neraca'!$A$3:$S$910,10,FALSE)),0,VLOOKUP($A213,'Mutasi Neraca'!$A$3:$S$910,10,FALSE))</f>
        <v>0</v>
      </c>
      <c r="L213" s="42">
        <f>VLOOKUP($A213,'Neraca Unaudited SIMAK'!$A$2:$R$1272,11,FALSE)+IF(ISNA(VLOOKUP($A213,'Mutasi Neraca'!$A$3:$S$910,11,FALSE)),0,VLOOKUP($A213,'Mutasi Neraca'!$A$3:$S$910,11,FALSE))</f>
        <v>62618050</v>
      </c>
      <c r="M213" s="42">
        <f>VLOOKUP($A213,'Neraca Unaudited SIMAK'!$A$2:$R$1272,12,FALSE)+IF(ISNA(VLOOKUP($A213,'Mutasi Neraca'!$A$3:$S$910,12,FALSE)),0,VLOOKUP($A213,'Mutasi Neraca'!$A$3:$S$910,12,FALSE))</f>
        <v>5107389191</v>
      </c>
      <c r="N213" s="42">
        <f>VLOOKUP($A213,'Neraca Unaudited SIMAK'!$A$2:$R$1272,13,FALSE)+IF(ISNA(VLOOKUP($A213,'Mutasi Neraca'!$A$3:$S$910,13,FALSE)),0,VLOOKUP($A213,'Mutasi Neraca'!$A$3:$S$910,13,FALSE))</f>
        <v>-988975554</v>
      </c>
      <c r="O213" s="42">
        <f>VLOOKUP($A213,'Neraca Unaudited SIMAK'!$A$2:$R$1272,14,FALSE)+IF(ISNA(VLOOKUP($A213,'Mutasi Neraca'!$A$3:$S$910,14,FALSE)),0,VLOOKUP($A213,'Mutasi Neraca'!$A$3:$S$910,14,FALSE))</f>
        <v>-784071099</v>
      </c>
      <c r="P213" s="42">
        <f>VLOOKUP($A213,'Neraca Unaudited SIMAK'!$A$2:$R$1272,15,FALSE)+IF(ISNA(VLOOKUP($A213,'Mutasi Neraca'!$A$3:$S$910,15,FALSE)),0,VLOOKUP($A213,'Mutasi Neraca'!$A$3:$S$910,15,FALSE))</f>
        <v>-12500000</v>
      </c>
      <c r="Q213" s="42">
        <f>VLOOKUP($A213,'Neraca Unaudited SIMAK'!$A$2:$R$1272,16,FALSE)+IF(ISNA(VLOOKUP($A213,'Mutasi Neraca'!$A$3:$S$910,16,FALSE)),0,VLOOKUP($A213,'Mutasi Neraca'!$A$3:$S$910,16,FALSE))</f>
        <v>0</v>
      </c>
      <c r="R213" s="42">
        <f>VLOOKUP($A213,'Neraca Unaudited SIMAK'!$A$2:$R$1272,17,FALSE)+IF(ISNA(VLOOKUP($A213,'Mutasi Neraca'!$A$3:$S$910,17,FALSE)),0,VLOOKUP($A213,'Mutasi Neraca'!$A$3:$S$910,17,FALSE))</f>
        <v>-62618050</v>
      </c>
      <c r="S213" s="42">
        <f t="shared" si="49"/>
        <v>3259224488</v>
      </c>
    </row>
    <row r="214" spans="1:19">
      <c r="A214" s="41" t="s">
        <v>221</v>
      </c>
      <c r="B214" s="41" t="str">
        <f t="shared" si="48"/>
        <v>005010500</v>
      </c>
      <c r="D214" s="42">
        <f>VLOOKUP($A214,'Neraca Unaudited SIMAK'!$A$2:$R$1272,3,FALSE)+IF(ISNA(VLOOKUP($A214,'Mutasi Neraca'!$A$3:$S$910,3,FALSE)),0,VLOOKUP($A214,'Mutasi Neraca'!$A$3:$S$910,3,FALSE))</f>
        <v>175000</v>
      </c>
      <c r="E214" s="42">
        <f>VLOOKUP($A214,'Neraca Unaudited SIMAK'!$A$2:$R$1272,4,FALSE)+IF(ISNA(VLOOKUP($A214,'Mutasi Neraca'!$A$3:$S$910,4,FALSE)),0,VLOOKUP($A214,'Mutasi Neraca'!$A$3:$S$910,4,FALSE))</f>
        <v>2367591000</v>
      </c>
      <c r="F214" s="42">
        <f>VLOOKUP($A214,'Neraca Unaudited SIMAK'!$A$2:$R$1272,5,FALSE)+IF(ISNA(VLOOKUP($A214,'Mutasi Neraca'!$A$3:$S$910,5,FALSE)),0,VLOOKUP($A214,'Mutasi Neraca'!$A$3:$S$910,5,FALSE))</f>
        <v>1642963264</v>
      </c>
      <c r="G214" s="42">
        <f>VLOOKUP($A214,'Neraca Unaudited SIMAK'!$A$2:$R$1272,6,FALSE)+IF(ISNA(VLOOKUP($A214,'Mutasi Neraca'!$A$3:$S$910,6,FALSE)),0,VLOOKUP($A214,'Mutasi Neraca'!$A$3:$S$910,6,FALSE))</f>
        <v>8244384600</v>
      </c>
      <c r="H214" s="42">
        <f>VLOOKUP($A214,'Neraca Unaudited SIMAK'!$A$2:$R$1272,7,FALSE)+IF(ISNA(VLOOKUP($A214,'Mutasi Neraca'!$A$3:$S$910,7,FALSE)),0,VLOOKUP($A214,'Mutasi Neraca'!$A$3:$S$910,7,FALSE))</f>
        <v>0</v>
      </c>
      <c r="I214" s="42">
        <f>VLOOKUP($A214,'Neraca Unaudited SIMAK'!$A$2:$R$1272,8,FALSE)+IF(ISNA(VLOOKUP($A214,'Mutasi Neraca'!$A$3:$S$910,8,FALSE)),0,VLOOKUP($A214,'Mutasi Neraca'!$A$3:$S$910,8,FALSE))</f>
        <v>23191078</v>
      </c>
      <c r="J214" s="42">
        <f>VLOOKUP($A214,'Neraca Unaudited SIMAK'!$A$2:$R$1272,9,FALSE)+IF(ISNA(VLOOKUP($A214,'Mutasi Neraca'!$A$3:$S$910,9,FALSE)),0,VLOOKUP($A214,'Mutasi Neraca'!$A$3:$S$910,9,FALSE))</f>
        <v>0</v>
      </c>
      <c r="K214" s="42">
        <f>VLOOKUP($A214,'Neraca Unaudited SIMAK'!$A$2:$R$1272,10,FALSE)+IF(ISNA(VLOOKUP($A214,'Mutasi Neraca'!$A$3:$S$910,10,FALSE)),0,VLOOKUP($A214,'Mutasi Neraca'!$A$3:$S$910,10,FALSE))</f>
        <v>0</v>
      </c>
      <c r="L214" s="42">
        <f>VLOOKUP($A214,'Neraca Unaudited SIMAK'!$A$2:$R$1272,11,FALSE)+IF(ISNA(VLOOKUP($A214,'Mutasi Neraca'!$A$3:$S$910,11,FALSE)),0,VLOOKUP($A214,'Mutasi Neraca'!$A$3:$S$910,11,FALSE))</f>
        <v>0</v>
      </c>
      <c r="M214" s="42">
        <f>VLOOKUP($A214,'Neraca Unaudited SIMAK'!$A$2:$R$1272,12,FALSE)+IF(ISNA(VLOOKUP($A214,'Mutasi Neraca'!$A$3:$S$910,12,FALSE)),0,VLOOKUP($A214,'Mutasi Neraca'!$A$3:$S$910,12,FALSE))</f>
        <v>12278304942</v>
      </c>
      <c r="N214" s="42">
        <f>VLOOKUP($A214,'Neraca Unaudited SIMAK'!$A$2:$R$1272,13,FALSE)+IF(ISNA(VLOOKUP($A214,'Mutasi Neraca'!$A$3:$S$910,13,FALSE)),0,VLOOKUP($A214,'Mutasi Neraca'!$A$3:$S$910,13,FALSE))</f>
        <v>-989478178</v>
      </c>
      <c r="O214" s="42">
        <f>VLOOKUP($A214,'Neraca Unaudited SIMAK'!$A$2:$R$1272,14,FALSE)+IF(ISNA(VLOOKUP($A214,'Mutasi Neraca'!$A$3:$S$910,14,FALSE)),0,VLOOKUP($A214,'Mutasi Neraca'!$A$3:$S$910,14,FALSE))</f>
        <v>-170487644</v>
      </c>
      <c r="P214" s="42">
        <f>VLOOKUP($A214,'Neraca Unaudited SIMAK'!$A$2:$R$1272,15,FALSE)+IF(ISNA(VLOOKUP($A214,'Mutasi Neraca'!$A$3:$S$910,15,FALSE)),0,VLOOKUP($A214,'Mutasi Neraca'!$A$3:$S$910,15,FALSE))</f>
        <v>0</v>
      </c>
      <c r="Q214" s="42">
        <f>VLOOKUP($A214,'Neraca Unaudited SIMAK'!$A$2:$R$1272,16,FALSE)+IF(ISNA(VLOOKUP($A214,'Mutasi Neraca'!$A$3:$S$910,16,FALSE)),0,VLOOKUP($A214,'Mutasi Neraca'!$A$3:$S$910,16,FALSE))</f>
        <v>0</v>
      </c>
      <c r="R214" s="42">
        <f>VLOOKUP($A214,'Neraca Unaudited SIMAK'!$A$2:$R$1272,17,FALSE)+IF(ISNA(VLOOKUP($A214,'Mutasi Neraca'!$A$3:$S$910,17,FALSE)),0,VLOOKUP($A214,'Mutasi Neraca'!$A$3:$S$910,17,FALSE))</f>
        <v>0</v>
      </c>
      <c r="S214" s="42">
        <f t="shared" si="49"/>
        <v>11118339120</v>
      </c>
    </row>
    <row r="215" spans="1:19">
      <c r="A215" s="41" t="s">
        <v>222</v>
      </c>
      <c r="B215" s="41" t="str">
        <f t="shared" si="48"/>
        <v>005010500</v>
      </c>
      <c r="D215" s="42">
        <f>VLOOKUP($A215,'Neraca Unaudited SIMAK'!$A$2:$R$1272,3,FALSE)+IF(ISNA(VLOOKUP($A215,'Mutasi Neraca'!$A$3:$S$910,3,FALSE)),0,VLOOKUP($A215,'Mutasi Neraca'!$A$3:$S$910,3,FALSE))</f>
        <v>2338350</v>
      </c>
      <c r="E215" s="42">
        <f>VLOOKUP($A215,'Neraca Unaudited SIMAK'!$A$2:$R$1272,4,FALSE)+IF(ISNA(VLOOKUP($A215,'Mutasi Neraca'!$A$3:$S$910,4,FALSE)),0,VLOOKUP($A215,'Mutasi Neraca'!$A$3:$S$910,4,FALSE))</f>
        <v>943104000</v>
      </c>
      <c r="F215" s="42">
        <f>VLOOKUP($A215,'Neraca Unaudited SIMAK'!$A$2:$R$1272,5,FALSE)+IF(ISNA(VLOOKUP($A215,'Mutasi Neraca'!$A$3:$S$910,5,FALSE)),0,VLOOKUP($A215,'Mutasi Neraca'!$A$3:$S$910,5,FALSE))</f>
        <v>1661351123</v>
      </c>
      <c r="G215" s="42">
        <f>VLOOKUP($A215,'Neraca Unaudited SIMAK'!$A$2:$R$1272,6,FALSE)+IF(ISNA(VLOOKUP($A215,'Mutasi Neraca'!$A$3:$S$910,6,FALSE)),0,VLOOKUP($A215,'Mutasi Neraca'!$A$3:$S$910,6,FALSE))</f>
        <v>3624998975</v>
      </c>
      <c r="H215" s="42">
        <f>VLOOKUP($A215,'Neraca Unaudited SIMAK'!$A$2:$R$1272,7,FALSE)+IF(ISNA(VLOOKUP($A215,'Mutasi Neraca'!$A$3:$S$910,7,FALSE)),0,VLOOKUP($A215,'Mutasi Neraca'!$A$3:$S$910,7,FALSE))</f>
        <v>0</v>
      </c>
      <c r="I215" s="42">
        <f>VLOOKUP($A215,'Neraca Unaudited SIMAK'!$A$2:$R$1272,8,FALSE)+IF(ISNA(VLOOKUP($A215,'Mutasi Neraca'!$A$3:$S$910,8,FALSE)),0,VLOOKUP($A215,'Mutasi Neraca'!$A$3:$S$910,8,FALSE))</f>
        <v>8828270</v>
      </c>
      <c r="J215" s="42">
        <f>VLOOKUP($A215,'Neraca Unaudited SIMAK'!$A$2:$R$1272,9,FALSE)+IF(ISNA(VLOOKUP($A215,'Mutasi Neraca'!$A$3:$S$910,9,FALSE)),0,VLOOKUP($A215,'Mutasi Neraca'!$A$3:$S$910,9,FALSE))</f>
        <v>0</v>
      </c>
      <c r="K215" s="42">
        <f>VLOOKUP($A215,'Neraca Unaudited SIMAK'!$A$2:$R$1272,10,FALSE)+IF(ISNA(VLOOKUP($A215,'Mutasi Neraca'!$A$3:$S$910,10,FALSE)),0,VLOOKUP($A215,'Mutasi Neraca'!$A$3:$S$910,10,FALSE))</f>
        <v>0</v>
      </c>
      <c r="L215" s="42">
        <f>VLOOKUP($A215,'Neraca Unaudited SIMAK'!$A$2:$R$1272,11,FALSE)+IF(ISNA(VLOOKUP($A215,'Mutasi Neraca'!$A$3:$S$910,11,FALSE)),0,VLOOKUP($A215,'Mutasi Neraca'!$A$3:$S$910,11,FALSE))</f>
        <v>107127055</v>
      </c>
      <c r="M215" s="42">
        <f>VLOOKUP($A215,'Neraca Unaudited SIMAK'!$A$2:$R$1272,12,FALSE)+IF(ISNA(VLOOKUP($A215,'Mutasi Neraca'!$A$3:$S$910,12,FALSE)),0,VLOOKUP($A215,'Mutasi Neraca'!$A$3:$S$910,12,FALSE))</f>
        <v>6347747773</v>
      </c>
      <c r="N215" s="42">
        <f>VLOOKUP($A215,'Neraca Unaudited SIMAK'!$A$2:$R$1272,13,FALSE)+IF(ISNA(VLOOKUP($A215,'Mutasi Neraca'!$A$3:$S$910,13,FALSE)),0,VLOOKUP($A215,'Mutasi Neraca'!$A$3:$S$910,13,FALSE))</f>
        <v>-1169565669</v>
      </c>
      <c r="O215" s="42">
        <f>VLOOKUP($A215,'Neraca Unaudited SIMAK'!$A$2:$R$1272,14,FALSE)+IF(ISNA(VLOOKUP($A215,'Mutasi Neraca'!$A$3:$S$910,14,FALSE)),0,VLOOKUP($A215,'Mutasi Neraca'!$A$3:$S$910,14,FALSE))</f>
        <v>-503520428</v>
      </c>
      <c r="P215" s="42">
        <f>VLOOKUP($A215,'Neraca Unaudited SIMAK'!$A$2:$R$1272,15,FALSE)+IF(ISNA(VLOOKUP($A215,'Mutasi Neraca'!$A$3:$S$910,15,FALSE)),0,VLOOKUP($A215,'Mutasi Neraca'!$A$3:$S$910,15,FALSE))</f>
        <v>0</v>
      </c>
      <c r="Q215" s="42">
        <f>VLOOKUP($A215,'Neraca Unaudited SIMAK'!$A$2:$R$1272,16,FALSE)+IF(ISNA(VLOOKUP($A215,'Mutasi Neraca'!$A$3:$S$910,16,FALSE)),0,VLOOKUP($A215,'Mutasi Neraca'!$A$3:$S$910,16,FALSE))</f>
        <v>0</v>
      </c>
      <c r="R215" s="42">
        <f>VLOOKUP($A215,'Neraca Unaudited SIMAK'!$A$2:$R$1272,17,FALSE)+IF(ISNA(VLOOKUP($A215,'Mutasi Neraca'!$A$3:$S$910,17,FALSE)),0,VLOOKUP($A215,'Mutasi Neraca'!$A$3:$S$910,17,FALSE))</f>
        <v>-107127055</v>
      </c>
      <c r="S215" s="42">
        <f t="shared" si="49"/>
        <v>4567534621</v>
      </c>
    </row>
    <row r="216" spans="1:19">
      <c r="A216" s="41" t="s">
        <v>223</v>
      </c>
      <c r="B216" s="41" t="str">
        <f t="shared" si="48"/>
        <v>005010500</v>
      </c>
      <c r="D216" s="42">
        <f>VLOOKUP($A216,'Neraca Unaudited SIMAK'!$A$2:$R$1272,3,FALSE)+IF(ISNA(VLOOKUP($A216,'Mutasi Neraca'!$A$3:$S$910,3,FALSE)),0,VLOOKUP($A216,'Mutasi Neraca'!$A$3:$S$910,3,FALSE))</f>
        <v>10803980</v>
      </c>
      <c r="E216" s="42">
        <f>VLOOKUP($A216,'Neraca Unaudited SIMAK'!$A$2:$R$1272,4,FALSE)+IF(ISNA(VLOOKUP($A216,'Mutasi Neraca'!$A$3:$S$910,4,FALSE)),0,VLOOKUP($A216,'Mutasi Neraca'!$A$3:$S$910,4,FALSE))</f>
        <v>4831100000</v>
      </c>
      <c r="F216" s="42">
        <f>VLOOKUP($A216,'Neraca Unaudited SIMAK'!$A$2:$R$1272,5,FALSE)+IF(ISNA(VLOOKUP($A216,'Mutasi Neraca'!$A$3:$S$910,5,FALSE)),0,VLOOKUP($A216,'Mutasi Neraca'!$A$3:$S$910,5,FALSE))</f>
        <v>1542668954</v>
      </c>
      <c r="G216" s="42">
        <f>VLOOKUP($A216,'Neraca Unaudited SIMAK'!$A$2:$R$1272,6,FALSE)+IF(ISNA(VLOOKUP($A216,'Mutasi Neraca'!$A$3:$S$910,6,FALSE)),0,VLOOKUP($A216,'Mutasi Neraca'!$A$3:$S$910,6,FALSE))</f>
        <v>9175063200</v>
      </c>
      <c r="H216" s="42">
        <f>VLOOKUP($A216,'Neraca Unaudited SIMAK'!$A$2:$R$1272,7,FALSE)+IF(ISNA(VLOOKUP($A216,'Mutasi Neraca'!$A$3:$S$910,7,FALSE)),0,VLOOKUP($A216,'Mutasi Neraca'!$A$3:$S$910,7,FALSE))</f>
        <v>0</v>
      </c>
      <c r="I216" s="42">
        <f>VLOOKUP($A216,'Neraca Unaudited SIMAK'!$A$2:$R$1272,8,FALSE)+IF(ISNA(VLOOKUP($A216,'Mutasi Neraca'!$A$3:$S$910,8,FALSE)),0,VLOOKUP($A216,'Mutasi Neraca'!$A$3:$S$910,8,FALSE))</f>
        <v>408000</v>
      </c>
      <c r="J216" s="42">
        <f>VLOOKUP($A216,'Neraca Unaudited SIMAK'!$A$2:$R$1272,9,FALSE)+IF(ISNA(VLOOKUP($A216,'Mutasi Neraca'!$A$3:$S$910,9,FALSE)),0,VLOOKUP($A216,'Mutasi Neraca'!$A$3:$S$910,9,FALSE))</f>
        <v>0</v>
      </c>
      <c r="K216" s="42">
        <f>VLOOKUP($A216,'Neraca Unaudited SIMAK'!$A$2:$R$1272,10,FALSE)+IF(ISNA(VLOOKUP($A216,'Mutasi Neraca'!$A$3:$S$910,10,FALSE)),0,VLOOKUP($A216,'Mutasi Neraca'!$A$3:$S$910,10,FALSE))</f>
        <v>0</v>
      </c>
      <c r="L216" s="42">
        <f>VLOOKUP($A216,'Neraca Unaudited SIMAK'!$A$2:$R$1272,11,FALSE)+IF(ISNA(VLOOKUP($A216,'Mutasi Neraca'!$A$3:$S$910,11,FALSE)),0,VLOOKUP($A216,'Mutasi Neraca'!$A$3:$S$910,11,FALSE))</f>
        <v>91123000</v>
      </c>
      <c r="M216" s="42">
        <f>VLOOKUP($A216,'Neraca Unaudited SIMAK'!$A$2:$R$1272,12,FALSE)+IF(ISNA(VLOOKUP($A216,'Mutasi Neraca'!$A$3:$S$910,12,FALSE)),0,VLOOKUP($A216,'Mutasi Neraca'!$A$3:$S$910,12,FALSE))</f>
        <v>15651167134</v>
      </c>
      <c r="N216" s="42">
        <f>VLOOKUP($A216,'Neraca Unaudited SIMAK'!$A$2:$R$1272,13,FALSE)+IF(ISNA(VLOOKUP($A216,'Mutasi Neraca'!$A$3:$S$910,13,FALSE)),0,VLOOKUP($A216,'Mutasi Neraca'!$A$3:$S$910,13,FALSE))</f>
        <v>-965792952</v>
      </c>
      <c r="O216" s="42">
        <f>VLOOKUP($A216,'Neraca Unaudited SIMAK'!$A$2:$R$1272,14,FALSE)+IF(ISNA(VLOOKUP($A216,'Mutasi Neraca'!$A$3:$S$910,14,FALSE)),0,VLOOKUP($A216,'Mutasi Neraca'!$A$3:$S$910,14,FALSE))</f>
        <v>-619173333</v>
      </c>
      <c r="P216" s="42">
        <f>VLOOKUP($A216,'Neraca Unaudited SIMAK'!$A$2:$R$1272,15,FALSE)+IF(ISNA(VLOOKUP($A216,'Mutasi Neraca'!$A$3:$S$910,15,FALSE)),0,VLOOKUP($A216,'Mutasi Neraca'!$A$3:$S$910,15,FALSE))</f>
        <v>0</v>
      </c>
      <c r="Q216" s="42">
        <f>VLOOKUP($A216,'Neraca Unaudited SIMAK'!$A$2:$R$1272,16,FALSE)+IF(ISNA(VLOOKUP($A216,'Mutasi Neraca'!$A$3:$S$910,16,FALSE)),0,VLOOKUP($A216,'Mutasi Neraca'!$A$3:$S$910,16,FALSE))</f>
        <v>0</v>
      </c>
      <c r="R216" s="42">
        <f>VLOOKUP($A216,'Neraca Unaudited SIMAK'!$A$2:$R$1272,17,FALSE)+IF(ISNA(VLOOKUP($A216,'Mutasi Neraca'!$A$3:$S$910,17,FALSE)),0,VLOOKUP($A216,'Mutasi Neraca'!$A$3:$S$910,17,FALSE))</f>
        <v>-91123000</v>
      </c>
      <c r="S216" s="42">
        <f t="shared" si="49"/>
        <v>13975077849</v>
      </c>
    </row>
    <row r="217" spans="1:19">
      <c r="A217" s="41" t="s">
        <v>224</v>
      </c>
      <c r="B217" s="41" t="str">
        <f t="shared" si="48"/>
        <v>005010500</v>
      </c>
      <c r="D217" s="42">
        <f>VLOOKUP($A217,'Neraca Unaudited SIMAK'!$A$2:$R$1272,3,FALSE)+IF(ISNA(VLOOKUP($A217,'Mutasi Neraca'!$A$3:$S$910,3,FALSE)),0,VLOOKUP($A217,'Mutasi Neraca'!$A$3:$S$910,3,FALSE))</f>
        <v>333000</v>
      </c>
      <c r="E217" s="42">
        <f>VLOOKUP($A217,'Neraca Unaudited SIMAK'!$A$2:$R$1272,4,FALSE)+IF(ISNA(VLOOKUP($A217,'Mutasi Neraca'!$A$3:$S$910,4,FALSE)),0,VLOOKUP($A217,'Mutasi Neraca'!$A$3:$S$910,4,FALSE))</f>
        <v>2951556850</v>
      </c>
      <c r="F217" s="42">
        <f>VLOOKUP($A217,'Neraca Unaudited SIMAK'!$A$2:$R$1272,5,FALSE)+IF(ISNA(VLOOKUP($A217,'Mutasi Neraca'!$A$3:$S$910,5,FALSE)),0,VLOOKUP($A217,'Mutasi Neraca'!$A$3:$S$910,5,FALSE))</f>
        <v>820633541</v>
      </c>
      <c r="G217" s="42">
        <f>VLOOKUP($A217,'Neraca Unaudited SIMAK'!$A$2:$R$1272,6,FALSE)+IF(ISNA(VLOOKUP($A217,'Mutasi Neraca'!$A$3:$S$910,6,FALSE)),0,VLOOKUP($A217,'Mutasi Neraca'!$A$3:$S$910,6,FALSE))</f>
        <v>3503279482</v>
      </c>
      <c r="H217" s="42">
        <f>VLOOKUP($A217,'Neraca Unaudited SIMAK'!$A$2:$R$1272,7,FALSE)+IF(ISNA(VLOOKUP($A217,'Mutasi Neraca'!$A$3:$S$910,7,FALSE)),0,VLOOKUP($A217,'Mutasi Neraca'!$A$3:$S$910,7,FALSE))</f>
        <v>0</v>
      </c>
      <c r="I217" s="42">
        <f>VLOOKUP($A217,'Neraca Unaudited SIMAK'!$A$2:$R$1272,8,FALSE)+IF(ISNA(VLOOKUP($A217,'Mutasi Neraca'!$A$3:$S$910,8,FALSE)),0,VLOOKUP($A217,'Mutasi Neraca'!$A$3:$S$910,8,FALSE))</f>
        <v>88573500</v>
      </c>
      <c r="J217" s="42">
        <f>VLOOKUP($A217,'Neraca Unaudited SIMAK'!$A$2:$R$1272,9,FALSE)+IF(ISNA(VLOOKUP($A217,'Mutasi Neraca'!$A$3:$S$910,9,FALSE)),0,VLOOKUP($A217,'Mutasi Neraca'!$A$3:$S$910,9,FALSE))</f>
        <v>0</v>
      </c>
      <c r="K217" s="42">
        <f>VLOOKUP($A217,'Neraca Unaudited SIMAK'!$A$2:$R$1272,10,FALSE)+IF(ISNA(VLOOKUP($A217,'Mutasi Neraca'!$A$3:$S$910,10,FALSE)),0,VLOOKUP($A217,'Mutasi Neraca'!$A$3:$S$910,10,FALSE))</f>
        <v>12445000</v>
      </c>
      <c r="L217" s="42">
        <f>VLOOKUP($A217,'Neraca Unaudited SIMAK'!$A$2:$R$1272,11,FALSE)+IF(ISNA(VLOOKUP($A217,'Mutasi Neraca'!$A$3:$S$910,11,FALSE)),0,VLOOKUP($A217,'Mutasi Neraca'!$A$3:$S$910,11,FALSE))</f>
        <v>0</v>
      </c>
      <c r="M217" s="42">
        <f>VLOOKUP($A217,'Neraca Unaudited SIMAK'!$A$2:$R$1272,12,FALSE)+IF(ISNA(VLOOKUP($A217,'Mutasi Neraca'!$A$3:$S$910,12,FALSE)),0,VLOOKUP($A217,'Mutasi Neraca'!$A$3:$S$910,12,FALSE))</f>
        <v>7376821373</v>
      </c>
      <c r="N217" s="42">
        <f>VLOOKUP($A217,'Neraca Unaudited SIMAK'!$A$2:$R$1272,13,FALSE)+IF(ISNA(VLOOKUP($A217,'Mutasi Neraca'!$A$3:$S$910,13,FALSE)),0,VLOOKUP($A217,'Mutasi Neraca'!$A$3:$S$910,13,FALSE))</f>
        <v>-697014100</v>
      </c>
      <c r="O217" s="42">
        <f>VLOOKUP($A217,'Neraca Unaudited SIMAK'!$A$2:$R$1272,14,FALSE)+IF(ISNA(VLOOKUP($A217,'Mutasi Neraca'!$A$3:$S$910,14,FALSE)),0,VLOOKUP($A217,'Mutasi Neraca'!$A$3:$S$910,14,FALSE))</f>
        <v>-740119284</v>
      </c>
      <c r="P217" s="42">
        <f>VLOOKUP($A217,'Neraca Unaudited SIMAK'!$A$2:$R$1272,15,FALSE)+IF(ISNA(VLOOKUP($A217,'Mutasi Neraca'!$A$3:$S$910,15,FALSE)),0,VLOOKUP($A217,'Mutasi Neraca'!$A$3:$S$910,15,FALSE))</f>
        <v>0</v>
      </c>
      <c r="Q217" s="42">
        <f>VLOOKUP($A217,'Neraca Unaudited SIMAK'!$A$2:$R$1272,16,FALSE)+IF(ISNA(VLOOKUP($A217,'Mutasi Neraca'!$A$3:$S$910,16,FALSE)),0,VLOOKUP($A217,'Mutasi Neraca'!$A$3:$S$910,16,FALSE))</f>
        <v>0</v>
      </c>
      <c r="R217" s="42">
        <f>VLOOKUP($A217,'Neraca Unaudited SIMAK'!$A$2:$R$1272,17,FALSE)+IF(ISNA(VLOOKUP($A217,'Mutasi Neraca'!$A$3:$S$910,17,FALSE)),0,VLOOKUP($A217,'Mutasi Neraca'!$A$3:$S$910,17,FALSE))</f>
        <v>0</v>
      </c>
      <c r="S217" s="42">
        <f t="shared" si="49"/>
        <v>5939687989</v>
      </c>
    </row>
    <row r="218" spans="1:19">
      <c r="A218" s="41" t="s">
        <v>225</v>
      </c>
      <c r="B218" s="41" t="str">
        <f t="shared" si="48"/>
        <v>005010500</v>
      </c>
      <c r="D218" s="42">
        <f>VLOOKUP($A218,'Neraca Unaudited SIMAK'!$A$2:$R$1272,3,FALSE)+IF(ISNA(VLOOKUP($A218,'Mutasi Neraca'!$A$3:$S$910,3,FALSE)),0,VLOOKUP($A218,'Mutasi Neraca'!$A$3:$S$910,3,FALSE))</f>
        <v>372150</v>
      </c>
      <c r="E218" s="42">
        <f>VLOOKUP($A218,'Neraca Unaudited SIMAK'!$A$2:$R$1272,4,FALSE)+IF(ISNA(VLOOKUP($A218,'Mutasi Neraca'!$A$3:$S$910,4,FALSE)),0,VLOOKUP($A218,'Mutasi Neraca'!$A$3:$S$910,4,FALSE))</f>
        <v>1733409000</v>
      </c>
      <c r="F218" s="42">
        <f>VLOOKUP($A218,'Neraca Unaudited SIMAK'!$A$2:$R$1272,5,FALSE)+IF(ISNA(VLOOKUP($A218,'Mutasi Neraca'!$A$3:$S$910,5,FALSE)),0,VLOOKUP($A218,'Mutasi Neraca'!$A$3:$S$910,5,FALSE))</f>
        <v>1638470997</v>
      </c>
      <c r="G218" s="42">
        <f>VLOOKUP($A218,'Neraca Unaudited SIMAK'!$A$2:$R$1272,6,FALSE)+IF(ISNA(VLOOKUP($A218,'Mutasi Neraca'!$A$3:$S$910,6,FALSE)),0,VLOOKUP($A218,'Mutasi Neraca'!$A$3:$S$910,6,FALSE))</f>
        <v>7512582850</v>
      </c>
      <c r="H218" s="42">
        <f>VLOOKUP($A218,'Neraca Unaudited SIMAK'!$A$2:$R$1272,7,FALSE)+IF(ISNA(VLOOKUP($A218,'Mutasi Neraca'!$A$3:$S$910,7,FALSE)),0,VLOOKUP($A218,'Mutasi Neraca'!$A$3:$S$910,7,FALSE))</f>
        <v>0</v>
      </c>
      <c r="I218" s="42">
        <f>VLOOKUP($A218,'Neraca Unaudited SIMAK'!$A$2:$R$1272,8,FALSE)+IF(ISNA(VLOOKUP($A218,'Mutasi Neraca'!$A$3:$S$910,8,FALSE)),0,VLOOKUP($A218,'Mutasi Neraca'!$A$3:$S$910,8,FALSE))</f>
        <v>8684370</v>
      </c>
      <c r="J218" s="42">
        <f>VLOOKUP($A218,'Neraca Unaudited SIMAK'!$A$2:$R$1272,9,FALSE)+IF(ISNA(VLOOKUP($A218,'Mutasi Neraca'!$A$3:$S$910,9,FALSE)),0,VLOOKUP($A218,'Mutasi Neraca'!$A$3:$S$910,9,FALSE))</f>
        <v>0</v>
      </c>
      <c r="K218" s="42">
        <f>VLOOKUP($A218,'Neraca Unaudited SIMAK'!$A$2:$R$1272,10,FALSE)+IF(ISNA(VLOOKUP($A218,'Mutasi Neraca'!$A$3:$S$910,10,FALSE)),0,VLOOKUP($A218,'Mutasi Neraca'!$A$3:$S$910,10,FALSE))</f>
        <v>29200000</v>
      </c>
      <c r="L218" s="42">
        <f>VLOOKUP($A218,'Neraca Unaudited SIMAK'!$A$2:$R$1272,11,FALSE)+IF(ISNA(VLOOKUP($A218,'Mutasi Neraca'!$A$3:$S$910,11,FALSE)),0,VLOOKUP($A218,'Mutasi Neraca'!$A$3:$S$910,11,FALSE))</f>
        <v>0</v>
      </c>
      <c r="M218" s="42">
        <f>VLOOKUP($A218,'Neraca Unaudited SIMAK'!$A$2:$R$1272,12,FALSE)+IF(ISNA(VLOOKUP($A218,'Mutasi Neraca'!$A$3:$S$910,12,FALSE)),0,VLOOKUP($A218,'Mutasi Neraca'!$A$3:$S$910,12,FALSE))</f>
        <v>10922719367</v>
      </c>
      <c r="N218" s="42">
        <f>VLOOKUP($A218,'Neraca Unaudited SIMAK'!$A$2:$R$1272,13,FALSE)+IF(ISNA(VLOOKUP($A218,'Mutasi Neraca'!$A$3:$S$910,13,FALSE)),0,VLOOKUP($A218,'Mutasi Neraca'!$A$3:$S$910,13,FALSE))</f>
        <v>-1229137883</v>
      </c>
      <c r="O218" s="42">
        <f>VLOOKUP($A218,'Neraca Unaudited SIMAK'!$A$2:$R$1272,14,FALSE)+IF(ISNA(VLOOKUP($A218,'Mutasi Neraca'!$A$3:$S$910,14,FALSE)),0,VLOOKUP($A218,'Mutasi Neraca'!$A$3:$S$910,14,FALSE))</f>
        <v>-1236694783</v>
      </c>
      <c r="P218" s="42">
        <f>VLOOKUP($A218,'Neraca Unaudited SIMAK'!$A$2:$R$1272,15,FALSE)+IF(ISNA(VLOOKUP($A218,'Mutasi Neraca'!$A$3:$S$910,15,FALSE)),0,VLOOKUP($A218,'Mutasi Neraca'!$A$3:$S$910,15,FALSE))</f>
        <v>0</v>
      </c>
      <c r="Q218" s="42">
        <f>VLOOKUP($A218,'Neraca Unaudited SIMAK'!$A$2:$R$1272,16,FALSE)+IF(ISNA(VLOOKUP($A218,'Mutasi Neraca'!$A$3:$S$910,16,FALSE)),0,VLOOKUP($A218,'Mutasi Neraca'!$A$3:$S$910,16,FALSE))</f>
        <v>0</v>
      </c>
      <c r="R218" s="42">
        <f>VLOOKUP($A218,'Neraca Unaudited SIMAK'!$A$2:$R$1272,17,FALSE)+IF(ISNA(VLOOKUP($A218,'Mutasi Neraca'!$A$3:$S$910,17,FALSE)),0,VLOOKUP($A218,'Mutasi Neraca'!$A$3:$S$910,17,FALSE))</f>
        <v>0</v>
      </c>
      <c r="S218" s="42">
        <f t="shared" si="49"/>
        <v>8456886701</v>
      </c>
    </row>
    <row r="219" spans="1:19">
      <c r="A219" s="41" t="s">
        <v>226</v>
      </c>
      <c r="B219" s="41" t="str">
        <f t="shared" si="48"/>
        <v>005010500</v>
      </c>
      <c r="D219" s="42">
        <f>VLOOKUP($A219,'Neraca Unaudited SIMAK'!$A$2:$R$1272,3,FALSE)+IF(ISNA(VLOOKUP($A219,'Mutasi Neraca'!$A$3:$S$910,3,FALSE)),0,VLOOKUP($A219,'Mutasi Neraca'!$A$3:$S$910,3,FALSE))</f>
        <v>852400</v>
      </c>
      <c r="E219" s="42">
        <f>VLOOKUP($A219,'Neraca Unaudited SIMAK'!$A$2:$R$1272,4,FALSE)+IF(ISNA(VLOOKUP($A219,'Mutasi Neraca'!$A$3:$S$910,4,FALSE)),0,VLOOKUP($A219,'Mutasi Neraca'!$A$3:$S$910,4,FALSE))</f>
        <v>2092381000</v>
      </c>
      <c r="F219" s="42">
        <f>VLOOKUP($A219,'Neraca Unaudited SIMAK'!$A$2:$R$1272,5,FALSE)+IF(ISNA(VLOOKUP($A219,'Mutasi Neraca'!$A$3:$S$910,5,FALSE)),0,VLOOKUP($A219,'Mutasi Neraca'!$A$3:$S$910,5,FALSE))</f>
        <v>925967723</v>
      </c>
      <c r="G219" s="42">
        <f>VLOOKUP($A219,'Neraca Unaudited SIMAK'!$A$2:$R$1272,6,FALSE)+IF(ISNA(VLOOKUP($A219,'Mutasi Neraca'!$A$3:$S$910,6,FALSE)),0,VLOOKUP($A219,'Mutasi Neraca'!$A$3:$S$910,6,FALSE))</f>
        <v>668000000</v>
      </c>
      <c r="H219" s="42">
        <f>VLOOKUP($A219,'Neraca Unaudited SIMAK'!$A$2:$R$1272,7,FALSE)+IF(ISNA(VLOOKUP($A219,'Mutasi Neraca'!$A$3:$S$910,7,FALSE)),0,VLOOKUP($A219,'Mutasi Neraca'!$A$3:$S$910,7,FALSE))</f>
        <v>0</v>
      </c>
      <c r="I219" s="42">
        <f>VLOOKUP($A219,'Neraca Unaudited SIMAK'!$A$2:$R$1272,8,FALSE)+IF(ISNA(VLOOKUP($A219,'Mutasi Neraca'!$A$3:$S$910,8,FALSE)),0,VLOOKUP($A219,'Mutasi Neraca'!$A$3:$S$910,8,FALSE))</f>
        <v>408000</v>
      </c>
      <c r="J219" s="42">
        <f>VLOOKUP($A219,'Neraca Unaudited SIMAK'!$A$2:$R$1272,9,FALSE)+IF(ISNA(VLOOKUP($A219,'Mutasi Neraca'!$A$3:$S$910,9,FALSE)),0,VLOOKUP($A219,'Mutasi Neraca'!$A$3:$S$910,9,FALSE))</f>
        <v>2798020000</v>
      </c>
      <c r="K219" s="42">
        <f>VLOOKUP($A219,'Neraca Unaudited SIMAK'!$A$2:$R$1272,10,FALSE)+IF(ISNA(VLOOKUP($A219,'Mutasi Neraca'!$A$3:$S$910,10,FALSE)),0,VLOOKUP($A219,'Mutasi Neraca'!$A$3:$S$910,10,FALSE))</f>
        <v>6243000</v>
      </c>
      <c r="L219" s="42">
        <f>VLOOKUP($A219,'Neraca Unaudited SIMAK'!$A$2:$R$1272,11,FALSE)+IF(ISNA(VLOOKUP($A219,'Mutasi Neraca'!$A$3:$S$910,11,FALSE)),0,VLOOKUP($A219,'Mutasi Neraca'!$A$3:$S$910,11,FALSE))</f>
        <v>0</v>
      </c>
      <c r="M219" s="42">
        <f>VLOOKUP($A219,'Neraca Unaudited SIMAK'!$A$2:$R$1272,12,FALSE)+IF(ISNA(VLOOKUP($A219,'Mutasi Neraca'!$A$3:$S$910,12,FALSE)),0,VLOOKUP($A219,'Mutasi Neraca'!$A$3:$S$910,12,FALSE))</f>
        <v>6491872123</v>
      </c>
      <c r="N219" s="42">
        <f>VLOOKUP($A219,'Neraca Unaudited SIMAK'!$A$2:$R$1272,13,FALSE)+IF(ISNA(VLOOKUP($A219,'Mutasi Neraca'!$A$3:$S$910,13,FALSE)),0,VLOOKUP($A219,'Mutasi Neraca'!$A$3:$S$910,13,FALSE))</f>
        <v>-887566915</v>
      </c>
      <c r="O219" s="42">
        <f>VLOOKUP($A219,'Neraca Unaudited SIMAK'!$A$2:$R$1272,14,FALSE)+IF(ISNA(VLOOKUP($A219,'Mutasi Neraca'!$A$3:$S$910,14,FALSE)),0,VLOOKUP($A219,'Mutasi Neraca'!$A$3:$S$910,14,FALSE))</f>
        <v>-272600000</v>
      </c>
      <c r="P219" s="42">
        <f>VLOOKUP($A219,'Neraca Unaudited SIMAK'!$A$2:$R$1272,15,FALSE)+IF(ISNA(VLOOKUP($A219,'Mutasi Neraca'!$A$3:$S$910,15,FALSE)),0,VLOOKUP($A219,'Mutasi Neraca'!$A$3:$S$910,15,FALSE))</f>
        <v>0</v>
      </c>
      <c r="Q219" s="42">
        <f>VLOOKUP($A219,'Neraca Unaudited SIMAK'!$A$2:$R$1272,16,FALSE)+IF(ISNA(VLOOKUP($A219,'Mutasi Neraca'!$A$3:$S$910,16,FALSE)),0,VLOOKUP($A219,'Mutasi Neraca'!$A$3:$S$910,16,FALSE))</f>
        <v>0</v>
      </c>
      <c r="R219" s="42">
        <f>VLOOKUP($A219,'Neraca Unaudited SIMAK'!$A$2:$R$1272,17,FALSE)+IF(ISNA(VLOOKUP($A219,'Mutasi Neraca'!$A$3:$S$910,17,FALSE)),0,VLOOKUP($A219,'Mutasi Neraca'!$A$3:$S$910,17,FALSE))</f>
        <v>0</v>
      </c>
      <c r="S219" s="42">
        <f t="shared" si="49"/>
        <v>5331705208</v>
      </c>
    </row>
    <row r="220" spans="1:19">
      <c r="A220" s="41" t="s">
        <v>227</v>
      </c>
      <c r="B220" s="41" t="str">
        <f t="shared" si="48"/>
        <v>005010500</v>
      </c>
      <c r="D220" s="42">
        <f>VLOOKUP($A220,'Neraca Unaudited SIMAK'!$A$2:$R$1272,3,FALSE)+IF(ISNA(VLOOKUP($A220,'Mutasi Neraca'!$A$3:$S$910,3,FALSE)),0,VLOOKUP($A220,'Mutasi Neraca'!$A$3:$S$910,3,FALSE))</f>
        <v>898400</v>
      </c>
      <c r="E220" s="42">
        <f>VLOOKUP($A220,'Neraca Unaudited SIMAK'!$A$2:$R$1272,4,FALSE)+IF(ISNA(VLOOKUP($A220,'Mutasi Neraca'!$A$3:$S$910,4,FALSE)),0,VLOOKUP($A220,'Mutasi Neraca'!$A$3:$S$910,4,FALSE))</f>
        <v>1477876000</v>
      </c>
      <c r="F220" s="42">
        <f>VLOOKUP($A220,'Neraca Unaudited SIMAK'!$A$2:$R$1272,5,FALSE)+IF(ISNA(VLOOKUP($A220,'Mutasi Neraca'!$A$3:$S$910,5,FALSE)),0,VLOOKUP($A220,'Mutasi Neraca'!$A$3:$S$910,5,FALSE))</f>
        <v>1073620926</v>
      </c>
      <c r="G220" s="42">
        <f>VLOOKUP($A220,'Neraca Unaudited SIMAK'!$A$2:$R$1272,6,FALSE)+IF(ISNA(VLOOKUP($A220,'Mutasi Neraca'!$A$3:$S$910,6,FALSE)),0,VLOOKUP($A220,'Mutasi Neraca'!$A$3:$S$910,6,FALSE))</f>
        <v>6908433183</v>
      </c>
      <c r="H220" s="42">
        <f>VLOOKUP($A220,'Neraca Unaudited SIMAK'!$A$2:$R$1272,7,FALSE)+IF(ISNA(VLOOKUP($A220,'Mutasi Neraca'!$A$3:$S$910,7,FALSE)),0,VLOOKUP($A220,'Mutasi Neraca'!$A$3:$S$910,7,FALSE))</f>
        <v>15180000</v>
      </c>
      <c r="I220" s="42">
        <f>VLOOKUP($A220,'Neraca Unaudited SIMAK'!$A$2:$R$1272,8,FALSE)+IF(ISNA(VLOOKUP($A220,'Mutasi Neraca'!$A$3:$S$910,8,FALSE)),0,VLOOKUP($A220,'Mutasi Neraca'!$A$3:$S$910,8,FALSE))</f>
        <v>4536270</v>
      </c>
      <c r="J220" s="42">
        <f>VLOOKUP($A220,'Neraca Unaudited SIMAK'!$A$2:$R$1272,9,FALSE)+IF(ISNA(VLOOKUP($A220,'Mutasi Neraca'!$A$3:$S$910,9,FALSE)),0,VLOOKUP($A220,'Mutasi Neraca'!$A$3:$S$910,9,FALSE))</f>
        <v>0</v>
      </c>
      <c r="K220" s="42">
        <f>VLOOKUP($A220,'Neraca Unaudited SIMAK'!$A$2:$R$1272,10,FALSE)+IF(ISNA(VLOOKUP($A220,'Mutasi Neraca'!$A$3:$S$910,10,FALSE)),0,VLOOKUP($A220,'Mutasi Neraca'!$A$3:$S$910,10,FALSE))</f>
        <v>0</v>
      </c>
      <c r="L220" s="42">
        <f>VLOOKUP($A220,'Neraca Unaudited SIMAK'!$A$2:$R$1272,11,FALSE)+IF(ISNA(VLOOKUP($A220,'Mutasi Neraca'!$A$3:$S$910,11,FALSE)),0,VLOOKUP($A220,'Mutasi Neraca'!$A$3:$S$910,11,FALSE))</f>
        <v>105028500</v>
      </c>
      <c r="M220" s="42">
        <f>VLOOKUP($A220,'Neraca Unaudited SIMAK'!$A$2:$R$1272,12,FALSE)+IF(ISNA(VLOOKUP($A220,'Mutasi Neraca'!$A$3:$S$910,12,FALSE)),0,VLOOKUP($A220,'Mutasi Neraca'!$A$3:$S$910,12,FALSE))</f>
        <v>9585573279</v>
      </c>
      <c r="N220" s="42">
        <f>VLOOKUP($A220,'Neraca Unaudited SIMAK'!$A$2:$R$1272,13,FALSE)+IF(ISNA(VLOOKUP($A220,'Mutasi Neraca'!$A$3:$S$910,13,FALSE)),0,VLOOKUP($A220,'Mutasi Neraca'!$A$3:$S$910,13,FALSE))</f>
        <v>-873404667</v>
      </c>
      <c r="O220" s="42">
        <f>VLOOKUP($A220,'Neraca Unaudited SIMAK'!$A$2:$R$1272,14,FALSE)+IF(ISNA(VLOOKUP($A220,'Mutasi Neraca'!$A$3:$S$910,14,FALSE)),0,VLOOKUP($A220,'Mutasi Neraca'!$A$3:$S$910,14,FALSE))</f>
        <v>-1395091067</v>
      </c>
      <c r="P220" s="42">
        <f>VLOOKUP($A220,'Neraca Unaudited SIMAK'!$A$2:$R$1272,15,FALSE)+IF(ISNA(VLOOKUP($A220,'Mutasi Neraca'!$A$3:$S$910,15,FALSE)),0,VLOOKUP($A220,'Mutasi Neraca'!$A$3:$S$910,15,FALSE))</f>
        <v>-2087250</v>
      </c>
      <c r="Q220" s="42">
        <f>VLOOKUP($A220,'Neraca Unaudited SIMAK'!$A$2:$R$1272,16,FALSE)+IF(ISNA(VLOOKUP($A220,'Mutasi Neraca'!$A$3:$S$910,16,FALSE)),0,VLOOKUP($A220,'Mutasi Neraca'!$A$3:$S$910,16,FALSE))</f>
        <v>0</v>
      </c>
      <c r="R220" s="42">
        <f>VLOOKUP($A220,'Neraca Unaudited SIMAK'!$A$2:$R$1272,17,FALSE)+IF(ISNA(VLOOKUP($A220,'Mutasi Neraca'!$A$3:$S$910,17,FALSE)),0,VLOOKUP($A220,'Mutasi Neraca'!$A$3:$S$910,17,FALSE))</f>
        <v>-101761831</v>
      </c>
      <c r="S220" s="42">
        <f t="shared" si="49"/>
        <v>7213228464</v>
      </c>
    </row>
    <row r="221" spans="1:19">
      <c r="A221" s="41" t="s">
        <v>228</v>
      </c>
      <c r="B221" s="41" t="str">
        <f t="shared" si="48"/>
        <v>005010500</v>
      </c>
      <c r="D221" s="42">
        <f>VLOOKUP($A221,'Neraca Unaudited SIMAK'!$A$2:$R$1272,3,FALSE)+IF(ISNA(VLOOKUP($A221,'Mutasi Neraca'!$A$3:$S$910,3,FALSE)),0,VLOOKUP($A221,'Mutasi Neraca'!$A$3:$S$910,3,FALSE))</f>
        <v>3502400</v>
      </c>
      <c r="E221" s="42">
        <f>VLOOKUP($A221,'Neraca Unaudited SIMAK'!$A$2:$R$1272,4,FALSE)+IF(ISNA(VLOOKUP($A221,'Mutasi Neraca'!$A$3:$S$910,4,FALSE)),0,VLOOKUP($A221,'Mutasi Neraca'!$A$3:$S$910,4,FALSE))</f>
        <v>2308744000</v>
      </c>
      <c r="F221" s="42">
        <f>VLOOKUP($A221,'Neraca Unaudited SIMAK'!$A$2:$R$1272,5,FALSE)+IF(ISNA(VLOOKUP($A221,'Mutasi Neraca'!$A$3:$S$910,5,FALSE)),0,VLOOKUP($A221,'Mutasi Neraca'!$A$3:$S$910,5,FALSE))</f>
        <v>1644501311</v>
      </c>
      <c r="G221" s="42">
        <f>VLOOKUP($A221,'Neraca Unaudited SIMAK'!$A$2:$R$1272,6,FALSE)+IF(ISNA(VLOOKUP($A221,'Mutasi Neraca'!$A$3:$S$910,6,FALSE)),0,VLOOKUP($A221,'Mutasi Neraca'!$A$3:$S$910,6,FALSE))</f>
        <v>6806445700</v>
      </c>
      <c r="H221" s="42">
        <f>VLOOKUP($A221,'Neraca Unaudited SIMAK'!$A$2:$R$1272,7,FALSE)+IF(ISNA(VLOOKUP($A221,'Mutasi Neraca'!$A$3:$S$910,7,FALSE)),0,VLOOKUP($A221,'Mutasi Neraca'!$A$3:$S$910,7,FALSE))</f>
        <v>0</v>
      </c>
      <c r="I221" s="42">
        <f>VLOOKUP($A221,'Neraca Unaudited SIMAK'!$A$2:$R$1272,8,FALSE)+IF(ISNA(VLOOKUP($A221,'Mutasi Neraca'!$A$3:$S$910,8,FALSE)),0,VLOOKUP($A221,'Mutasi Neraca'!$A$3:$S$910,8,FALSE))</f>
        <v>33466770</v>
      </c>
      <c r="J221" s="42">
        <f>VLOOKUP($A221,'Neraca Unaudited SIMAK'!$A$2:$R$1272,9,FALSE)+IF(ISNA(VLOOKUP($A221,'Mutasi Neraca'!$A$3:$S$910,9,FALSE)),0,VLOOKUP($A221,'Mutasi Neraca'!$A$3:$S$910,9,FALSE))</f>
        <v>0</v>
      </c>
      <c r="K221" s="42">
        <f>VLOOKUP($A221,'Neraca Unaudited SIMAK'!$A$2:$R$1272,10,FALSE)+IF(ISNA(VLOOKUP($A221,'Mutasi Neraca'!$A$3:$S$910,10,FALSE)),0,VLOOKUP($A221,'Mutasi Neraca'!$A$3:$S$910,10,FALSE))</f>
        <v>0</v>
      </c>
      <c r="L221" s="42">
        <f>VLOOKUP($A221,'Neraca Unaudited SIMAK'!$A$2:$R$1272,11,FALSE)+IF(ISNA(VLOOKUP($A221,'Mutasi Neraca'!$A$3:$S$910,11,FALSE)),0,VLOOKUP($A221,'Mutasi Neraca'!$A$3:$S$910,11,FALSE))</f>
        <v>14276205</v>
      </c>
      <c r="M221" s="42">
        <f>VLOOKUP($A221,'Neraca Unaudited SIMAK'!$A$2:$R$1272,12,FALSE)+IF(ISNA(VLOOKUP($A221,'Mutasi Neraca'!$A$3:$S$910,12,FALSE)),0,VLOOKUP($A221,'Mutasi Neraca'!$A$3:$S$910,12,FALSE))</f>
        <v>10810936386</v>
      </c>
      <c r="N221" s="42">
        <f>VLOOKUP($A221,'Neraca Unaudited SIMAK'!$A$2:$R$1272,13,FALSE)+IF(ISNA(VLOOKUP($A221,'Mutasi Neraca'!$A$3:$S$910,13,FALSE)),0,VLOOKUP($A221,'Mutasi Neraca'!$A$3:$S$910,13,FALSE))</f>
        <v>-1175697737</v>
      </c>
      <c r="O221" s="42">
        <f>VLOOKUP($A221,'Neraca Unaudited SIMAK'!$A$2:$R$1272,14,FALSE)+IF(ISNA(VLOOKUP($A221,'Mutasi Neraca'!$A$3:$S$910,14,FALSE)),0,VLOOKUP($A221,'Mutasi Neraca'!$A$3:$S$910,14,FALSE))</f>
        <v>-1348911228</v>
      </c>
      <c r="P221" s="42">
        <f>VLOOKUP($A221,'Neraca Unaudited SIMAK'!$A$2:$R$1272,15,FALSE)+IF(ISNA(VLOOKUP($A221,'Mutasi Neraca'!$A$3:$S$910,15,FALSE)),0,VLOOKUP($A221,'Mutasi Neraca'!$A$3:$S$910,15,FALSE))</f>
        <v>0</v>
      </c>
      <c r="Q221" s="42">
        <f>VLOOKUP($A221,'Neraca Unaudited SIMAK'!$A$2:$R$1272,16,FALSE)+IF(ISNA(VLOOKUP($A221,'Mutasi Neraca'!$A$3:$S$910,16,FALSE)),0,VLOOKUP($A221,'Mutasi Neraca'!$A$3:$S$910,16,FALSE))</f>
        <v>0</v>
      </c>
      <c r="R221" s="42">
        <f>VLOOKUP($A221,'Neraca Unaudited SIMAK'!$A$2:$R$1272,17,FALSE)+IF(ISNA(VLOOKUP($A221,'Mutasi Neraca'!$A$3:$S$910,17,FALSE)),0,VLOOKUP($A221,'Mutasi Neraca'!$A$3:$S$910,17,FALSE))</f>
        <v>-14276205</v>
      </c>
      <c r="S221" s="42">
        <f t="shared" si="49"/>
        <v>8272051216</v>
      </c>
    </row>
    <row r="222" spans="1:19">
      <c r="A222" s="41" t="s">
        <v>229</v>
      </c>
      <c r="B222" s="41" t="str">
        <f t="shared" si="48"/>
        <v>005010500</v>
      </c>
      <c r="D222" s="42">
        <f>VLOOKUP($A222,'Neraca Unaudited SIMAK'!$A$2:$R$1272,3,FALSE)+IF(ISNA(VLOOKUP($A222,'Mutasi Neraca'!$A$3:$S$910,3,FALSE)),0,VLOOKUP($A222,'Mutasi Neraca'!$A$3:$S$910,3,FALSE))</f>
        <v>99000</v>
      </c>
      <c r="E222" s="42">
        <f>VLOOKUP($A222,'Neraca Unaudited SIMAK'!$A$2:$R$1272,4,FALSE)+IF(ISNA(VLOOKUP($A222,'Mutasi Neraca'!$A$3:$S$910,4,FALSE)),0,VLOOKUP($A222,'Mutasi Neraca'!$A$3:$S$910,4,FALSE))</f>
        <v>1261821250</v>
      </c>
      <c r="F222" s="42">
        <f>VLOOKUP($A222,'Neraca Unaudited SIMAK'!$A$2:$R$1272,5,FALSE)+IF(ISNA(VLOOKUP($A222,'Mutasi Neraca'!$A$3:$S$910,5,FALSE)),0,VLOOKUP($A222,'Mutasi Neraca'!$A$3:$S$910,5,FALSE))</f>
        <v>1214180904</v>
      </c>
      <c r="G222" s="42">
        <f>VLOOKUP($A222,'Neraca Unaudited SIMAK'!$A$2:$R$1272,6,FALSE)+IF(ISNA(VLOOKUP($A222,'Mutasi Neraca'!$A$3:$S$910,6,FALSE)),0,VLOOKUP($A222,'Mutasi Neraca'!$A$3:$S$910,6,FALSE))</f>
        <v>3338716435</v>
      </c>
      <c r="H222" s="42">
        <f>VLOOKUP($A222,'Neraca Unaudited SIMAK'!$A$2:$R$1272,7,FALSE)+IF(ISNA(VLOOKUP($A222,'Mutasi Neraca'!$A$3:$S$910,7,FALSE)),0,VLOOKUP($A222,'Mutasi Neraca'!$A$3:$S$910,7,FALSE))</f>
        <v>0</v>
      </c>
      <c r="I222" s="42">
        <f>VLOOKUP($A222,'Neraca Unaudited SIMAK'!$A$2:$R$1272,8,FALSE)+IF(ISNA(VLOOKUP($A222,'Mutasi Neraca'!$A$3:$S$910,8,FALSE)),0,VLOOKUP($A222,'Mutasi Neraca'!$A$3:$S$910,8,FALSE))</f>
        <v>4611548</v>
      </c>
      <c r="J222" s="42">
        <f>VLOOKUP($A222,'Neraca Unaudited SIMAK'!$A$2:$R$1272,9,FALSE)+IF(ISNA(VLOOKUP($A222,'Mutasi Neraca'!$A$3:$S$910,9,FALSE)),0,VLOOKUP($A222,'Mutasi Neraca'!$A$3:$S$910,9,FALSE))</f>
        <v>0</v>
      </c>
      <c r="K222" s="42">
        <f>VLOOKUP($A222,'Neraca Unaudited SIMAK'!$A$2:$R$1272,10,FALSE)+IF(ISNA(VLOOKUP($A222,'Mutasi Neraca'!$A$3:$S$910,10,FALSE)),0,VLOOKUP($A222,'Mutasi Neraca'!$A$3:$S$910,10,FALSE))</f>
        <v>22200000</v>
      </c>
      <c r="L222" s="42">
        <f>VLOOKUP($A222,'Neraca Unaudited SIMAK'!$A$2:$R$1272,11,FALSE)+IF(ISNA(VLOOKUP($A222,'Mutasi Neraca'!$A$3:$S$910,11,FALSE)),0,VLOOKUP($A222,'Mutasi Neraca'!$A$3:$S$910,11,FALSE))</f>
        <v>0</v>
      </c>
      <c r="M222" s="42">
        <f>VLOOKUP($A222,'Neraca Unaudited SIMAK'!$A$2:$R$1272,12,FALSE)+IF(ISNA(VLOOKUP($A222,'Mutasi Neraca'!$A$3:$S$910,12,FALSE)),0,VLOOKUP($A222,'Mutasi Neraca'!$A$3:$S$910,12,FALSE))</f>
        <v>5841629137</v>
      </c>
      <c r="N222" s="42">
        <f>VLOOKUP($A222,'Neraca Unaudited SIMAK'!$A$2:$R$1272,13,FALSE)+IF(ISNA(VLOOKUP($A222,'Mutasi Neraca'!$A$3:$S$910,13,FALSE)),0,VLOOKUP($A222,'Mutasi Neraca'!$A$3:$S$910,13,FALSE))</f>
        <v>-1094604356</v>
      </c>
      <c r="O222" s="42">
        <f>VLOOKUP($A222,'Neraca Unaudited SIMAK'!$A$2:$R$1272,14,FALSE)+IF(ISNA(VLOOKUP($A222,'Mutasi Neraca'!$A$3:$S$910,14,FALSE)),0,VLOOKUP($A222,'Mutasi Neraca'!$A$3:$S$910,14,FALSE))</f>
        <v>-593729842</v>
      </c>
      <c r="P222" s="42">
        <f>VLOOKUP($A222,'Neraca Unaudited SIMAK'!$A$2:$R$1272,15,FALSE)+IF(ISNA(VLOOKUP($A222,'Mutasi Neraca'!$A$3:$S$910,15,FALSE)),0,VLOOKUP($A222,'Mutasi Neraca'!$A$3:$S$910,15,FALSE))</f>
        <v>0</v>
      </c>
      <c r="Q222" s="42">
        <f>VLOOKUP($A222,'Neraca Unaudited SIMAK'!$A$2:$R$1272,16,FALSE)+IF(ISNA(VLOOKUP($A222,'Mutasi Neraca'!$A$3:$S$910,16,FALSE)),0,VLOOKUP($A222,'Mutasi Neraca'!$A$3:$S$910,16,FALSE))</f>
        <v>0</v>
      </c>
      <c r="R222" s="42">
        <f>VLOOKUP($A222,'Neraca Unaudited SIMAK'!$A$2:$R$1272,17,FALSE)+IF(ISNA(VLOOKUP($A222,'Mutasi Neraca'!$A$3:$S$910,17,FALSE)),0,VLOOKUP($A222,'Mutasi Neraca'!$A$3:$S$910,17,FALSE))</f>
        <v>0</v>
      </c>
      <c r="S222" s="42">
        <f t="shared" si="49"/>
        <v>4153294939</v>
      </c>
    </row>
    <row r="223" spans="1:19">
      <c r="A223" s="41" t="s">
        <v>230</v>
      </c>
      <c r="B223" s="41" t="str">
        <f t="shared" si="48"/>
        <v>005010500</v>
      </c>
      <c r="D223" s="42">
        <f>VLOOKUP($A223,'Neraca Unaudited SIMAK'!$A$2:$R$1272,3,FALSE)+IF(ISNA(VLOOKUP($A223,'Mutasi Neraca'!$A$3:$S$910,3,FALSE)),0,VLOOKUP($A223,'Mutasi Neraca'!$A$3:$S$910,3,FALSE))</f>
        <v>14436590</v>
      </c>
      <c r="E223" s="42">
        <f>VLOOKUP($A223,'Neraca Unaudited SIMAK'!$A$2:$R$1272,4,FALSE)+IF(ISNA(VLOOKUP($A223,'Mutasi Neraca'!$A$3:$S$910,4,FALSE)),0,VLOOKUP($A223,'Mutasi Neraca'!$A$3:$S$910,4,FALSE))</f>
        <v>3484037444</v>
      </c>
      <c r="F223" s="42">
        <f>VLOOKUP($A223,'Neraca Unaudited SIMAK'!$A$2:$R$1272,5,FALSE)+IF(ISNA(VLOOKUP($A223,'Mutasi Neraca'!$A$3:$S$910,5,FALSE)),0,VLOOKUP($A223,'Mutasi Neraca'!$A$3:$S$910,5,FALSE))</f>
        <v>1649903927</v>
      </c>
      <c r="G223" s="42">
        <f>VLOOKUP($A223,'Neraca Unaudited SIMAK'!$A$2:$R$1272,6,FALSE)+IF(ISNA(VLOOKUP($A223,'Mutasi Neraca'!$A$3:$S$910,6,FALSE)),0,VLOOKUP($A223,'Mutasi Neraca'!$A$3:$S$910,6,FALSE))</f>
        <v>9000435296</v>
      </c>
      <c r="H223" s="42">
        <f>VLOOKUP($A223,'Neraca Unaudited SIMAK'!$A$2:$R$1272,7,FALSE)+IF(ISNA(VLOOKUP($A223,'Mutasi Neraca'!$A$3:$S$910,7,FALSE)),0,VLOOKUP($A223,'Mutasi Neraca'!$A$3:$S$910,7,FALSE))</f>
        <v>27685183</v>
      </c>
      <c r="I223" s="42">
        <f>VLOOKUP($A223,'Neraca Unaudited SIMAK'!$A$2:$R$1272,8,FALSE)+IF(ISNA(VLOOKUP($A223,'Mutasi Neraca'!$A$3:$S$910,8,FALSE)),0,VLOOKUP($A223,'Mutasi Neraca'!$A$3:$S$910,8,FALSE))</f>
        <v>408000</v>
      </c>
      <c r="J223" s="42">
        <f>VLOOKUP($A223,'Neraca Unaudited SIMAK'!$A$2:$R$1272,9,FALSE)+IF(ISNA(VLOOKUP($A223,'Mutasi Neraca'!$A$3:$S$910,9,FALSE)),0,VLOOKUP($A223,'Mutasi Neraca'!$A$3:$S$910,9,FALSE))</f>
        <v>0</v>
      </c>
      <c r="K223" s="42">
        <f>VLOOKUP($A223,'Neraca Unaudited SIMAK'!$A$2:$R$1272,10,FALSE)+IF(ISNA(VLOOKUP($A223,'Mutasi Neraca'!$A$3:$S$910,10,FALSE)),0,VLOOKUP($A223,'Mutasi Neraca'!$A$3:$S$910,10,FALSE))</f>
        <v>0</v>
      </c>
      <c r="L223" s="42">
        <f>VLOOKUP($A223,'Neraca Unaudited SIMAK'!$A$2:$R$1272,11,FALSE)+IF(ISNA(VLOOKUP($A223,'Mutasi Neraca'!$A$3:$S$910,11,FALSE)),0,VLOOKUP($A223,'Mutasi Neraca'!$A$3:$S$910,11,FALSE))</f>
        <v>10316750</v>
      </c>
      <c r="M223" s="42">
        <f>VLOOKUP($A223,'Neraca Unaudited SIMAK'!$A$2:$R$1272,12,FALSE)+IF(ISNA(VLOOKUP($A223,'Mutasi Neraca'!$A$3:$S$910,12,FALSE)),0,VLOOKUP($A223,'Mutasi Neraca'!$A$3:$S$910,12,FALSE))</f>
        <v>14187223190</v>
      </c>
      <c r="N223" s="42">
        <f>VLOOKUP($A223,'Neraca Unaudited SIMAK'!$A$2:$R$1272,13,FALSE)+IF(ISNA(VLOOKUP($A223,'Mutasi Neraca'!$A$3:$S$910,13,FALSE)),0,VLOOKUP($A223,'Mutasi Neraca'!$A$3:$S$910,13,FALSE))</f>
        <v>-1033505699</v>
      </c>
      <c r="O223" s="42">
        <f>VLOOKUP($A223,'Neraca Unaudited SIMAK'!$A$2:$R$1272,14,FALSE)+IF(ISNA(VLOOKUP($A223,'Mutasi Neraca'!$A$3:$S$910,14,FALSE)),0,VLOOKUP($A223,'Mutasi Neraca'!$A$3:$S$910,14,FALSE))</f>
        <v>-801621705</v>
      </c>
      <c r="P223" s="42">
        <f>VLOOKUP($A223,'Neraca Unaudited SIMAK'!$A$2:$R$1272,15,FALSE)+IF(ISNA(VLOOKUP($A223,'Mutasi Neraca'!$A$3:$S$910,15,FALSE)),0,VLOOKUP($A223,'Mutasi Neraca'!$A$3:$S$910,15,FALSE))</f>
        <v>-27685183</v>
      </c>
      <c r="Q223" s="42">
        <f>VLOOKUP($A223,'Neraca Unaudited SIMAK'!$A$2:$R$1272,16,FALSE)+IF(ISNA(VLOOKUP($A223,'Mutasi Neraca'!$A$3:$S$910,16,FALSE)),0,VLOOKUP($A223,'Mutasi Neraca'!$A$3:$S$910,16,FALSE))</f>
        <v>0</v>
      </c>
      <c r="R223" s="42">
        <f>VLOOKUP($A223,'Neraca Unaudited SIMAK'!$A$2:$R$1272,17,FALSE)+IF(ISNA(VLOOKUP($A223,'Mutasi Neraca'!$A$3:$S$910,17,FALSE)),0,VLOOKUP($A223,'Mutasi Neraca'!$A$3:$S$910,17,FALSE))</f>
        <v>-10316750</v>
      </c>
      <c r="S223" s="42">
        <f t="shared" si="49"/>
        <v>12314093853</v>
      </c>
    </row>
    <row r="224" spans="1:19">
      <c r="A224" s="41" t="s">
        <v>231</v>
      </c>
      <c r="B224" s="41" t="str">
        <f t="shared" si="48"/>
        <v>005010500</v>
      </c>
      <c r="D224" s="42">
        <f>VLOOKUP($A224,'Neraca Unaudited SIMAK'!$A$2:$R$1272,3,FALSE)+IF(ISNA(VLOOKUP($A224,'Mutasi Neraca'!$A$3:$S$910,3,FALSE)),0,VLOOKUP($A224,'Mutasi Neraca'!$A$3:$S$910,3,FALSE))</f>
        <v>229050</v>
      </c>
      <c r="E224" s="42">
        <f>VLOOKUP($A224,'Neraca Unaudited SIMAK'!$A$2:$R$1272,4,FALSE)+IF(ISNA(VLOOKUP($A224,'Mutasi Neraca'!$A$3:$S$910,4,FALSE)),0,VLOOKUP($A224,'Mutasi Neraca'!$A$3:$S$910,4,FALSE))</f>
        <v>2011476070</v>
      </c>
      <c r="F224" s="42">
        <f>VLOOKUP($A224,'Neraca Unaudited SIMAK'!$A$2:$R$1272,5,FALSE)+IF(ISNA(VLOOKUP($A224,'Mutasi Neraca'!$A$3:$S$910,5,FALSE)),0,VLOOKUP($A224,'Mutasi Neraca'!$A$3:$S$910,5,FALSE))</f>
        <v>1386770853</v>
      </c>
      <c r="G224" s="42">
        <f>VLOOKUP($A224,'Neraca Unaudited SIMAK'!$A$2:$R$1272,6,FALSE)+IF(ISNA(VLOOKUP($A224,'Mutasi Neraca'!$A$3:$S$910,6,FALSE)),0,VLOOKUP($A224,'Mutasi Neraca'!$A$3:$S$910,6,FALSE))</f>
        <v>891021588</v>
      </c>
      <c r="H224" s="42">
        <f>VLOOKUP($A224,'Neraca Unaudited SIMAK'!$A$2:$R$1272,7,FALSE)+IF(ISNA(VLOOKUP($A224,'Mutasi Neraca'!$A$3:$S$910,7,FALSE)),0,VLOOKUP($A224,'Mutasi Neraca'!$A$3:$S$910,7,FALSE))</f>
        <v>14973000</v>
      </c>
      <c r="I224" s="42">
        <f>VLOOKUP($A224,'Neraca Unaudited SIMAK'!$A$2:$R$1272,8,FALSE)+IF(ISNA(VLOOKUP($A224,'Mutasi Neraca'!$A$3:$S$910,8,FALSE)),0,VLOOKUP($A224,'Mutasi Neraca'!$A$3:$S$910,8,FALSE))</f>
        <v>13239270</v>
      </c>
      <c r="J224" s="42">
        <f>VLOOKUP($A224,'Neraca Unaudited SIMAK'!$A$2:$R$1272,9,FALSE)+IF(ISNA(VLOOKUP($A224,'Mutasi Neraca'!$A$3:$S$910,9,FALSE)),0,VLOOKUP($A224,'Mutasi Neraca'!$A$3:$S$910,9,FALSE))</f>
        <v>0</v>
      </c>
      <c r="K224" s="42">
        <f>VLOOKUP($A224,'Neraca Unaudited SIMAK'!$A$2:$R$1272,10,FALSE)+IF(ISNA(VLOOKUP($A224,'Mutasi Neraca'!$A$3:$S$910,10,FALSE)),0,VLOOKUP($A224,'Mutasi Neraca'!$A$3:$S$910,10,FALSE))</f>
        <v>0</v>
      </c>
      <c r="L224" s="42">
        <f>VLOOKUP($A224,'Neraca Unaudited SIMAK'!$A$2:$R$1272,11,FALSE)+IF(ISNA(VLOOKUP($A224,'Mutasi Neraca'!$A$3:$S$910,11,FALSE)),0,VLOOKUP($A224,'Mutasi Neraca'!$A$3:$S$910,11,FALSE))</f>
        <v>85137630</v>
      </c>
      <c r="M224" s="42">
        <f>VLOOKUP($A224,'Neraca Unaudited SIMAK'!$A$2:$R$1272,12,FALSE)+IF(ISNA(VLOOKUP($A224,'Mutasi Neraca'!$A$3:$S$910,12,FALSE)),0,VLOOKUP($A224,'Mutasi Neraca'!$A$3:$S$910,12,FALSE))</f>
        <v>4402847461</v>
      </c>
      <c r="N224" s="42">
        <f>VLOOKUP($A224,'Neraca Unaudited SIMAK'!$A$2:$R$1272,13,FALSE)+IF(ISNA(VLOOKUP($A224,'Mutasi Neraca'!$A$3:$S$910,13,FALSE)),0,VLOOKUP($A224,'Mutasi Neraca'!$A$3:$S$910,13,FALSE))</f>
        <v>-1005195370</v>
      </c>
      <c r="O224" s="42">
        <f>VLOOKUP($A224,'Neraca Unaudited SIMAK'!$A$2:$R$1272,14,FALSE)+IF(ISNA(VLOOKUP($A224,'Mutasi Neraca'!$A$3:$S$910,14,FALSE)),0,VLOOKUP($A224,'Mutasi Neraca'!$A$3:$S$910,14,FALSE))</f>
        <v>-122471189</v>
      </c>
      <c r="P224" s="42">
        <f>VLOOKUP($A224,'Neraca Unaudited SIMAK'!$A$2:$R$1272,15,FALSE)+IF(ISNA(VLOOKUP($A224,'Mutasi Neraca'!$A$3:$S$910,15,FALSE)),0,VLOOKUP($A224,'Mutasi Neraca'!$A$3:$S$910,15,FALSE))</f>
        <v>-2245950</v>
      </c>
      <c r="Q224" s="42">
        <f>VLOOKUP($A224,'Neraca Unaudited SIMAK'!$A$2:$R$1272,16,FALSE)+IF(ISNA(VLOOKUP($A224,'Mutasi Neraca'!$A$3:$S$910,16,FALSE)),0,VLOOKUP($A224,'Mutasi Neraca'!$A$3:$S$910,16,FALSE))</f>
        <v>0</v>
      </c>
      <c r="R224" s="42">
        <f>VLOOKUP($A224,'Neraca Unaudited SIMAK'!$A$2:$R$1272,17,FALSE)+IF(ISNA(VLOOKUP($A224,'Mutasi Neraca'!$A$3:$S$910,17,FALSE)),0,VLOOKUP($A224,'Mutasi Neraca'!$A$3:$S$910,17,FALSE))</f>
        <v>-85137630</v>
      </c>
      <c r="S224" s="42">
        <f t="shared" si="49"/>
        <v>3187797322</v>
      </c>
    </row>
    <row r="225" spans="1:19">
      <c r="A225" s="41" t="s">
        <v>232</v>
      </c>
      <c r="B225" s="41" t="str">
        <f t="shared" si="48"/>
        <v>005010500</v>
      </c>
      <c r="D225" s="42">
        <f>VLOOKUP($A225,'Neraca Unaudited SIMAK'!$A$2:$R$1272,3,FALSE)+IF(ISNA(VLOOKUP($A225,'Mutasi Neraca'!$A$3:$S$910,3,FALSE)),0,VLOOKUP($A225,'Mutasi Neraca'!$A$3:$S$910,3,FALSE))</f>
        <v>129000</v>
      </c>
      <c r="E225" s="42">
        <f>VLOOKUP($A225,'Neraca Unaudited SIMAK'!$A$2:$R$1272,4,FALSE)+IF(ISNA(VLOOKUP($A225,'Mutasi Neraca'!$A$3:$S$910,4,FALSE)),0,VLOOKUP($A225,'Mutasi Neraca'!$A$3:$S$910,4,FALSE))</f>
        <v>2832156550</v>
      </c>
      <c r="F225" s="42">
        <f>VLOOKUP($A225,'Neraca Unaudited SIMAK'!$A$2:$R$1272,5,FALSE)+IF(ISNA(VLOOKUP($A225,'Mutasi Neraca'!$A$3:$S$910,5,FALSE)),0,VLOOKUP($A225,'Mutasi Neraca'!$A$3:$S$910,5,FALSE))</f>
        <v>1796653798</v>
      </c>
      <c r="G225" s="42">
        <f>VLOOKUP($A225,'Neraca Unaudited SIMAK'!$A$2:$R$1272,6,FALSE)+IF(ISNA(VLOOKUP($A225,'Mutasi Neraca'!$A$3:$S$910,6,FALSE)),0,VLOOKUP($A225,'Mutasi Neraca'!$A$3:$S$910,6,FALSE))</f>
        <v>8126761425</v>
      </c>
      <c r="H225" s="42">
        <f>VLOOKUP($A225,'Neraca Unaudited SIMAK'!$A$2:$R$1272,7,FALSE)+IF(ISNA(VLOOKUP($A225,'Mutasi Neraca'!$A$3:$S$910,7,FALSE)),0,VLOOKUP($A225,'Mutasi Neraca'!$A$3:$S$910,7,FALSE))</f>
        <v>0</v>
      </c>
      <c r="I225" s="42">
        <f>VLOOKUP($A225,'Neraca Unaudited SIMAK'!$A$2:$R$1272,8,FALSE)+IF(ISNA(VLOOKUP($A225,'Mutasi Neraca'!$A$3:$S$910,8,FALSE)),0,VLOOKUP($A225,'Mutasi Neraca'!$A$3:$S$910,8,FALSE))</f>
        <v>19982320</v>
      </c>
      <c r="J225" s="42">
        <f>VLOOKUP($A225,'Neraca Unaudited SIMAK'!$A$2:$R$1272,9,FALSE)+IF(ISNA(VLOOKUP($A225,'Mutasi Neraca'!$A$3:$S$910,9,FALSE)),0,VLOOKUP($A225,'Mutasi Neraca'!$A$3:$S$910,9,FALSE))</f>
        <v>0</v>
      </c>
      <c r="K225" s="42">
        <f>VLOOKUP($A225,'Neraca Unaudited SIMAK'!$A$2:$R$1272,10,FALSE)+IF(ISNA(VLOOKUP($A225,'Mutasi Neraca'!$A$3:$S$910,10,FALSE)),0,VLOOKUP($A225,'Mutasi Neraca'!$A$3:$S$910,10,FALSE))</f>
        <v>7000000</v>
      </c>
      <c r="L225" s="42">
        <f>VLOOKUP($A225,'Neraca Unaudited SIMAK'!$A$2:$R$1272,11,FALSE)+IF(ISNA(VLOOKUP($A225,'Mutasi Neraca'!$A$3:$S$910,11,FALSE)),0,VLOOKUP($A225,'Mutasi Neraca'!$A$3:$S$910,11,FALSE))</f>
        <v>6954653</v>
      </c>
      <c r="M225" s="42">
        <f>VLOOKUP($A225,'Neraca Unaudited SIMAK'!$A$2:$R$1272,12,FALSE)+IF(ISNA(VLOOKUP($A225,'Mutasi Neraca'!$A$3:$S$910,12,FALSE)),0,VLOOKUP($A225,'Mutasi Neraca'!$A$3:$S$910,12,FALSE))</f>
        <v>12789637746</v>
      </c>
      <c r="N225" s="42">
        <f>VLOOKUP($A225,'Neraca Unaudited SIMAK'!$A$2:$R$1272,13,FALSE)+IF(ISNA(VLOOKUP($A225,'Mutasi Neraca'!$A$3:$S$910,13,FALSE)),0,VLOOKUP($A225,'Mutasi Neraca'!$A$3:$S$910,13,FALSE))</f>
        <v>-1360135246</v>
      </c>
      <c r="O225" s="42">
        <f>VLOOKUP($A225,'Neraca Unaudited SIMAK'!$A$2:$R$1272,14,FALSE)+IF(ISNA(VLOOKUP($A225,'Mutasi Neraca'!$A$3:$S$910,14,FALSE)),0,VLOOKUP($A225,'Mutasi Neraca'!$A$3:$S$910,14,FALSE))</f>
        <v>-1053867338</v>
      </c>
      <c r="P225" s="42">
        <f>VLOOKUP($A225,'Neraca Unaudited SIMAK'!$A$2:$R$1272,15,FALSE)+IF(ISNA(VLOOKUP($A225,'Mutasi Neraca'!$A$3:$S$910,15,FALSE)),0,VLOOKUP($A225,'Mutasi Neraca'!$A$3:$S$910,15,FALSE))</f>
        <v>0</v>
      </c>
      <c r="Q225" s="42">
        <f>VLOOKUP($A225,'Neraca Unaudited SIMAK'!$A$2:$R$1272,16,FALSE)+IF(ISNA(VLOOKUP($A225,'Mutasi Neraca'!$A$3:$S$910,16,FALSE)),0,VLOOKUP($A225,'Mutasi Neraca'!$A$3:$S$910,16,FALSE))</f>
        <v>0</v>
      </c>
      <c r="R225" s="42">
        <f>VLOOKUP($A225,'Neraca Unaudited SIMAK'!$A$2:$R$1272,17,FALSE)+IF(ISNA(VLOOKUP($A225,'Mutasi Neraca'!$A$3:$S$910,17,FALSE)),0,VLOOKUP($A225,'Mutasi Neraca'!$A$3:$S$910,17,FALSE))</f>
        <v>-6954653</v>
      </c>
      <c r="S225" s="42">
        <f t="shared" si="49"/>
        <v>10368680509</v>
      </c>
    </row>
    <row r="226" spans="1:19">
      <c r="A226" s="41" t="s">
        <v>233</v>
      </c>
      <c r="B226" s="41" t="str">
        <f t="shared" si="48"/>
        <v>005010500</v>
      </c>
      <c r="D226" s="42">
        <f>VLOOKUP($A226,'Neraca Unaudited SIMAK'!$A$2:$R$1272,3,FALSE)+IF(ISNA(VLOOKUP($A226,'Mutasi Neraca'!$A$3:$S$910,3,FALSE)),0,VLOOKUP($A226,'Mutasi Neraca'!$A$3:$S$910,3,FALSE))</f>
        <v>5197200</v>
      </c>
      <c r="E226" s="42">
        <f>VLOOKUP($A226,'Neraca Unaudited SIMAK'!$A$2:$R$1272,4,FALSE)+IF(ISNA(VLOOKUP($A226,'Mutasi Neraca'!$A$3:$S$910,4,FALSE)),0,VLOOKUP($A226,'Mutasi Neraca'!$A$3:$S$910,4,FALSE))</f>
        <v>1303245090</v>
      </c>
      <c r="F226" s="42">
        <f>VLOOKUP($A226,'Neraca Unaudited SIMAK'!$A$2:$R$1272,5,FALSE)+IF(ISNA(VLOOKUP($A226,'Mutasi Neraca'!$A$3:$S$910,5,FALSE)),0,VLOOKUP($A226,'Mutasi Neraca'!$A$3:$S$910,5,FALSE))</f>
        <v>1060431937</v>
      </c>
      <c r="G226" s="42">
        <f>VLOOKUP($A226,'Neraca Unaudited SIMAK'!$A$2:$R$1272,6,FALSE)+IF(ISNA(VLOOKUP($A226,'Mutasi Neraca'!$A$3:$S$910,6,FALSE)),0,VLOOKUP($A226,'Mutasi Neraca'!$A$3:$S$910,6,FALSE))</f>
        <v>428955070</v>
      </c>
      <c r="H226" s="42">
        <f>VLOOKUP($A226,'Neraca Unaudited SIMAK'!$A$2:$R$1272,7,FALSE)+IF(ISNA(VLOOKUP($A226,'Mutasi Neraca'!$A$3:$S$910,7,FALSE)),0,VLOOKUP($A226,'Mutasi Neraca'!$A$3:$S$910,7,FALSE))</f>
        <v>0</v>
      </c>
      <c r="I226" s="42">
        <f>VLOOKUP($A226,'Neraca Unaudited SIMAK'!$A$2:$R$1272,8,FALSE)+IF(ISNA(VLOOKUP($A226,'Mutasi Neraca'!$A$3:$S$910,8,FALSE)),0,VLOOKUP($A226,'Mutasi Neraca'!$A$3:$S$910,8,FALSE))</f>
        <v>1602920</v>
      </c>
      <c r="J226" s="42">
        <f>VLOOKUP($A226,'Neraca Unaudited SIMAK'!$A$2:$R$1272,9,FALSE)+IF(ISNA(VLOOKUP($A226,'Mutasi Neraca'!$A$3:$S$910,9,FALSE)),0,VLOOKUP($A226,'Mutasi Neraca'!$A$3:$S$910,9,FALSE))</f>
        <v>0</v>
      </c>
      <c r="K226" s="42">
        <f>VLOOKUP($A226,'Neraca Unaudited SIMAK'!$A$2:$R$1272,10,FALSE)+IF(ISNA(VLOOKUP($A226,'Mutasi Neraca'!$A$3:$S$910,10,FALSE)),0,VLOOKUP($A226,'Mutasi Neraca'!$A$3:$S$910,10,FALSE))</f>
        <v>29200000</v>
      </c>
      <c r="L226" s="42">
        <f>VLOOKUP($A226,'Neraca Unaudited SIMAK'!$A$2:$R$1272,11,FALSE)+IF(ISNA(VLOOKUP($A226,'Mutasi Neraca'!$A$3:$S$910,11,FALSE)),0,VLOOKUP($A226,'Mutasi Neraca'!$A$3:$S$910,11,FALSE))</f>
        <v>0</v>
      </c>
      <c r="M226" s="42">
        <f>VLOOKUP($A226,'Neraca Unaudited SIMAK'!$A$2:$R$1272,12,FALSE)+IF(ISNA(VLOOKUP($A226,'Mutasi Neraca'!$A$3:$S$910,12,FALSE)),0,VLOOKUP($A226,'Mutasi Neraca'!$A$3:$S$910,12,FALSE))</f>
        <v>2828632217</v>
      </c>
      <c r="N226" s="42">
        <f>VLOOKUP($A226,'Neraca Unaudited SIMAK'!$A$2:$R$1272,13,FALSE)+IF(ISNA(VLOOKUP($A226,'Mutasi Neraca'!$A$3:$S$910,13,FALSE)),0,VLOOKUP($A226,'Mutasi Neraca'!$A$3:$S$910,13,FALSE))</f>
        <v>-841430007</v>
      </c>
      <c r="O226" s="42">
        <f>VLOOKUP($A226,'Neraca Unaudited SIMAK'!$A$2:$R$1272,14,FALSE)+IF(ISNA(VLOOKUP($A226,'Mutasi Neraca'!$A$3:$S$910,14,FALSE)),0,VLOOKUP($A226,'Mutasi Neraca'!$A$3:$S$910,14,FALSE))</f>
        <v>-304732750</v>
      </c>
      <c r="P226" s="42">
        <f>VLOOKUP($A226,'Neraca Unaudited SIMAK'!$A$2:$R$1272,15,FALSE)+IF(ISNA(VLOOKUP($A226,'Mutasi Neraca'!$A$3:$S$910,15,FALSE)),0,VLOOKUP($A226,'Mutasi Neraca'!$A$3:$S$910,15,FALSE))</f>
        <v>0</v>
      </c>
      <c r="Q226" s="42">
        <f>VLOOKUP($A226,'Neraca Unaudited SIMAK'!$A$2:$R$1272,16,FALSE)+IF(ISNA(VLOOKUP($A226,'Mutasi Neraca'!$A$3:$S$910,16,FALSE)),0,VLOOKUP($A226,'Mutasi Neraca'!$A$3:$S$910,16,FALSE))</f>
        <v>0</v>
      </c>
      <c r="R226" s="42">
        <f>VLOOKUP($A226,'Neraca Unaudited SIMAK'!$A$2:$R$1272,17,FALSE)+IF(ISNA(VLOOKUP($A226,'Mutasi Neraca'!$A$3:$S$910,17,FALSE)),0,VLOOKUP($A226,'Mutasi Neraca'!$A$3:$S$910,17,FALSE))</f>
        <v>0</v>
      </c>
      <c r="S226" s="42">
        <f t="shared" si="49"/>
        <v>1682469460</v>
      </c>
    </row>
    <row r="227" spans="1:19">
      <c r="A227" s="41" t="s">
        <v>234</v>
      </c>
      <c r="B227" s="41" t="str">
        <f t="shared" si="48"/>
        <v>005010500</v>
      </c>
      <c r="D227" s="42">
        <f>VLOOKUP($A227,'Neraca Unaudited SIMAK'!$A$2:$R$1272,3,FALSE)+IF(ISNA(VLOOKUP($A227,'Mutasi Neraca'!$A$3:$S$910,3,FALSE)),0,VLOOKUP($A227,'Mutasi Neraca'!$A$3:$S$910,3,FALSE))</f>
        <v>524000</v>
      </c>
      <c r="E227" s="42">
        <f>VLOOKUP($A227,'Neraca Unaudited SIMAK'!$A$2:$R$1272,4,FALSE)+IF(ISNA(VLOOKUP($A227,'Mutasi Neraca'!$A$3:$S$910,4,FALSE)),0,VLOOKUP($A227,'Mutasi Neraca'!$A$3:$S$910,4,FALSE))</f>
        <v>403573000</v>
      </c>
      <c r="F227" s="42">
        <f>VLOOKUP($A227,'Neraca Unaudited SIMAK'!$A$2:$R$1272,5,FALSE)+IF(ISNA(VLOOKUP($A227,'Mutasi Neraca'!$A$3:$S$910,5,FALSE)),0,VLOOKUP($A227,'Mutasi Neraca'!$A$3:$S$910,5,FALSE))</f>
        <v>1373057289</v>
      </c>
      <c r="G227" s="42">
        <f>VLOOKUP($A227,'Neraca Unaudited SIMAK'!$A$2:$R$1272,6,FALSE)+IF(ISNA(VLOOKUP($A227,'Mutasi Neraca'!$A$3:$S$910,6,FALSE)),0,VLOOKUP($A227,'Mutasi Neraca'!$A$3:$S$910,6,FALSE))</f>
        <v>3288988050</v>
      </c>
      <c r="H227" s="42">
        <f>VLOOKUP($A227,'Neraca Unaudited SIMAK'!$A$2:$R$1272,7,FALSE)+IF(ISNA(VLOOKUP($A227,'Mutasi Neraca'!$A$3:$S$910,7,FALSE)),0,VLOOKUP($A227,'Mutasi Neraca'!$A$3:$S$910,7,FALSE))</f>
        <v>26500000</v>
      </c>
      <c r="I227" s="42">
        <f>VLOOKUP($A227,'Neraca Unaudited SIMAK'!$A$2:$R$1272,8,FALSE)+IF(ISNA(VLOOKUP($A227,'Mutasi Neraca'!$A$3:$S$910,8,FALSE)),0,VLOOKUP($A227,'Mutasi Neraca'!$A$3:$S$910,8,FALSE))</f>
        <v>13864870</v>
      </c>
      <c r="J227" s="42">
        <f>VLOOKUP($A227,'Neraca Unaudited SIMAK'!$A$2:$R$1272,9,FALSE)+IF(ISNA(VLOOKUP($A227,'Mutasi Neraca'!$A$3:$S$910,9,FALSE)),0,VLOOKUP($A227,'Mutasi Neraca'!$A$3:$S$910,9,FALSE))</f>
        <v>0</v>
      </c>
      <c r="K227" s="42">
        <f>VLOOKUP($A227,'Neraca Unaudited SIMAK'!$A$2:$R$1272,10,FALSE)+IF(ISNA(VLOOKUP($A227,'Mutasi Neraca'!$A$3:$S$910,10,FALSE)),0,VLOOKUP($A227,'Mutasi Neraca'!$A$3:$S$910,10,FALSE))</f>
        <v>0</v>
      </c>
      <c r="L227" s="42">
        <f>VLOOKUP($A227,'Neraca Unaudited SIMAK'!$A$2:$R$1272,11,FALSE)+IF(ISNA(VLOOKUP($A227,'Mutasi Neraca'!$A$3:$S$910,11,FALSE)),0,VLOOKUP($A227,'Mutasi Neraca'!$A$3:$S$910,11,FALSE))</f>
        <v>0</v>
      </c>
      <c r="M227" s="42">
        <f>VLOOKUP($A227,'Neraca Unaudited SIMAK'!$A$2:$R$1272,12,FALSE)+IF(ISNA(VLOOKUP($A227,'Mutasi Neraca'!$A$3:$S$910,12,FALSE)),0,VLOOKUP($A227,'Mutasi Neraca'!$A$3:$S$910,12,FALSE))</f>
        <v>5106507209</v>
      </c>
      <c r="N227" s="42">
        <f>VLOOKUP($A227,'Neraca Unaudited SIMAK'!$A$2:$R$1272,13,FALSE)+IF(ISNA(VLOOKUP($A227,'Mutasi Neraca'!$A$3:$S$910,13,FALSE)),0,VLOOKUP($A227,'Mutasi Neraca'!$A$3:$S$910,13,FALSE))</f>
        <v>-1120993526</v>
      </c>
      <c r="O227" s="42">
        <f>VLOOKUP($A227,'Neraca Unaudited SIMAK'!$A$2:$R$1272,14,FALSE)+IF(ISNA(VLOOKUP($A227,'Mutasi Neraca'!$A$3:$S$910,14,FALSE)),0,VLOOKUP($A227,'Mutasi Neraca'!$A$3:$S$910,14,FALSE))</f>
        <v>-598322905</v>
      </c>
      <c r="P227" s="42">
        <f>VLOOKUP($A227,'Neraca Unaudited SIMAK'!$A$2:$R$1272,15,FALSE)+IF(ISNA(VLOOKUP($A227,'Mutasi Neraca'!$A$3:$S$910,15,FALSE)),0,VLOOKUP($A227,'Mutasi Neraca'!$A$3:$S$910,15,FALSE))</f>
        <v>-3857325</v>
      </c>
      <c r="Q227" s="42">
        <f>VLOOKUP($A227,'Neraca Unaudited SIMAK'!$A$2:$R$1272,16,FALSE)+IF(ISNA(VLOOKUP($A227,'Mutasi Neraca'!$A$3:$S$910,16,FALSE)),0,VLOOKUP($A227,'Mutasi Neraca'!$A$3:$S$910,16,FALSE))</f>
        <v>0</v>
      </c>
      <c r="R227" s="42">
        <f>VLOOKUP($A227,'Neraca Unaudited SIMAK'!$A$2:$R$1272,17,FALSE)+IF(ISNA(VLOOKUP($A227,'Mutasi Neraca'!$A$3:$S$910,17,FALSE)),0,VLOOKUP($A227,'Mutasi Neraca'!$A$3:$S$910,17,FALSE))</f>
        <v>0</v>
      </c>
      <c r="S227" s="42">
        <f t="shared" si="49"/>
        <v>3383333453</v>
      </c>
    </row>
    <row r="228" spans="1:19">
      <c r="A228" s="41" t="s">
        <v>235</v>
      </c>
      <c r="B228" s="41" t="str">
        <f t="shared" si="48"/>
        <v>005010500</v>
      </c>
      <c r="D228" s="42">
        <f>VLOOKUP($A228,'Neraca Unaudited SIMAK'!$A$2:$R$1272,3,FALSE)+IF(ISNA(VLOOKUP($A228,'Mutasi Neraca'!$A$3:$S$910,3,FALSE)),0,VLOOKUP($A228,'Mutasi Neraca'!$A$3:$S$910,3,FALSE))</f>
        <v>2154107</v>
      </c>
      <c r="E228" s="42">
        <f>VLOOKUP($A228,'Neraca Unaudited SIMAK'!$A$2:$R$1272,4,FALSE)+IF(ISNA(VLOOKUP($A228,'Mutasi Neraca'!$A$3:$S$910,4,FALSE)),0,VLOOKUP($A228,'Mutasi Neraca'!$A$3:$S$910,4,FALSE))</f>
        <v>568250000</v>
      </c>
      <c r="F228" s="42">
        <f>VLOOKUP($A228,'Neraca Unaudited SIMAK'!$A$2:$R$1272,5,FALSE)+IF(ISNA(VLOOKUP($A228,'Mutasi Neraca'!$A$3:$S$910,5,FALSE)),0,VLOOKUP($A228,'Mutasi Neraca'!$A$3:$S$910,5,FALSE))</f>
        <v>1193004588</v>
      </c>
      <c r="G228" s="42">
        <f>VLOOKUP($A228,'Neraca Unaudited SIMAK'!$A$2:$R$1272,6,FALSE)+IF(ISNA(VLOOKUP($A228,'Mutasi Neraca'!$A$3:$S$910,6,FALSE)),0,VLOOKUP($A228,'Mutasi Neraca'!$A$3:$S$910,6,FALSE))</f>
        <v>503954462</v>
      </c>
      <c r="H228" s="42">
        <f>VLOOKUP($A228,'Neraca Unaudited SIMAK'!$A$2:$R$1272,7,FALSE)+IF(ISNA(VLOOKUP($A228,'Mutasi Neraca'!$A$3:$S$910,7,FALSE)),0,VLOOKUP($A228,'Mutasi Neraca'!$A$3:$S$910,7,FALSE))</f>
        <v>63927384</v>
      </c>
      <c r="I228" s="42">
        <f>VLOOKUP($A228,'Neraca Unaudited SIMAK'!$A$2:$R$1272,8,FALSE)+IF(ISNA(VLOOKUP($A228,'Mutasi Neraca'!$A$3:$S$910,8,FALSE)),0,VLOOKUP($A228,'Mutasi Neraca'!$A$3:$S$910,8,FALSE))</f>
        <v>788000</v>
      </c>
      <c r="J228" s="42">
        <f>VLOOKUP($A228,'Neraca Unaudited SIMAK'!$A$2:$R$1272,9,FALSE)+IF(ISNA(VLOOKUP($A228,'Mutasi Neraca'!$A$3:$S$910,9,FALSE)),0,VLOOKUP($A228,'Mutasi Neraca'!$A$3:$S$910,9,FALSE))</f>
        <v>0</v>
      </c>
      <c r="K228" s="42">
        <f>VLOOKUP($A228,'Neraca Unaudited SIMAK'!$A$2:$R$1272,10,FALSE)+IF(ISNA(VLOOKUP($A228,'Mutasi Neraca'!$A$3:$S$910,10,FALSE)),0,VLOOKUP($A228,'Mutasi Neraca'!$A$3:$S$910,10,FALSE))</f>
        <v>3480000</v>
      </c>
      <c r="L228" s="42">
        <f>VLOOKUP($A228,'Neraca Unaudited SIMAK'!$A$2:$R$1272,11,FALSE)+IF(ISNA(VLOOKUP($A228,'Mutasi Neraca'!$A$3:$S$910,11,FALSE)),0,VLOOKUP($A228,'Mutasi Neraca'!$A$3:$S$910,11,FALSE))</f>
        <v>0</v>
      </c>
      <c r="M228" s="42">
        <f>VLOOKUP($A228,'Neraca Unaudited SIMAK'!$A$2:$R$1272,12,FALSE)+IF(ISNA(VLOOKUP($A228,'Mutasi Neraca'!$A$3:$S$910,12,FALSE)),0,VLOOKUP($A228,'Mutasi Neraca'!$A$3:$S$910,12,FALSE))</f>
        <v>2335558541</v>
      </c>
      <c r="N228" s="42">
        <f>VLOOKUP($A228,'Neraca Unaudited SIMAK'!$A$2:$R$1272,13,FALSE)+IF(ISNA(VLOOKUP($A228,'Mutasi Neraca'!$A$3:$S$910,13,FALSE)),0,VLOOKUP($A228,'Mutasi Neraca'!$A$3:$S$910,13,FALSE))</f>
        <v>-811406879</v>
      </c>
      <c r="O228" s="42">
        <f>VLOOKUP($A228,'Neraca Unaudited SIMAK'!$A$2:$R$1272,14,FALSE)+IF(ISNA(VLOOKUP($A228,'Mutasi Neraca'!$A$3:$S$910,14,FALSE)),0,VLOOKUP($A228,'Mutasi Neraca'!$A$3:$S$910,14,FALSE))</f>
        <v>-181591689</v>
      </c>
      <c r="P228" s="42">
        <f>VLOOKUP($A228,'Neraca Unaudited SIMAK'!$A$2:$R$1272,15,FALSE)+IF(ISNA(VLOOKUP($A228,'Mutasi Neraca'!$A$3:$S$910,15,FALSE)),0,VLOOKUP($A228,'Mutasi Neraca'!$A$3:$S$910,15,FALSE))</f>
        <v>-46929038</v>
      </c>
      <c r="Q228" s="42">
        <f>VLOOKUP($A228,'Neraca Unaudited SIMAK'!$A$2:$R$1272,16,FALSE)+IF(ISNA(VLOOKUP($A228,'Mutasi Neraca'!$A$3:$S$910,16,FALSE)),0,VLOOKUP($A228,'Mutasi Neraca'!$A$3:$S$910,16,FALSE))</f>
        <v>0</v>
      </c>
      <c r="R228" s="42">
        <f>VLOOKUP($A228,'Neraca Unaudited SIMAK'!$A$2:$R$1272,17,FALSE)+IF(ISNA(VLOOKUP($A228,'Mutasi Neraca'!$A$3:$S$910,17,FALSE)),0,VLOOKUP($A228,'Mutasi Neraca'!$A$3:$S$910,17,FALSE))</f>
        <v>0</v>
      </c>
      <c r="S228" s="42">
        <f t="shared" si="49"/>
        <v>1295630935</v>
      </c>
    </row>
    <row r="229" spans="1:19">
      <c r="A229" s="41" t="s">
        <v>236</v>
      </c>
      <c r="B229" s="41" t="str">
        <f t="shared" si="48"/>
        <v>005010500</v>
      </c>
      <c r="D229" s="42">
        <f>VLOOKUP($A229,'Neraca Unaudited SIMAK'!$A$2:$R$1272,3,FALSE)+IF(ISNA(VLOOKUP($A229,'Mutasi Neraca'!$A$3:$S$910,3,FALSE)),0,VLOOKUP($A229,'Mutasi Neraca'!$A$3:$S$910,3,FALSE))</f>
        <v>1213250</v>
      </c>
      <c r="E229" s="42">
        <f>VLOOKUP($A229,'Neraca Unaudited SIMAK'!$A$2:$R$1272,4,FALSE)+IF(ISNA(VLOOKUP($A229,'Mutasi Neraca'!$A$3:$S$910,4,FALSE)),0,VLOOKUP($A229,'Mutasi Neraca'!$A$3:$S$910,4,FALSE))</f>
        <v>4396999990</v>
      </c>
      <c r="F229" s="42">
        <f>VLOOKUP($A229,'Neraca Unaudited SIMAK'!$A$2:$R$1272,5,FALSE)+IF(ISNA(VLOOKUP($A229,'Mutasi Neraca'!$A$3:$S$910,5,FALSE)),0,VLOOKUP($A229,'Mutasi Neraca'!$A$3:$S$910,5,FALSE))</f>
        <v>1171267677</v>
      </c>
      <c r="G229" s="42">
        <f>VLOOKUP($A229,'Neraca Unaudited SIMAK'!$A$2:$R$1272,6,FALSE)+IF(ISNA(VLOOKUP($A229,'Mutasi Neraca'!$A$3:$S$910,6,FALSE)),0,VLOOKUP($A229,'Mutasi Neraca'!$A$3:$S$910,6,FALSE))</f>
        <v>1221076000</v>
      </c>
      <c r="H229" s="42">
        <f>VLOOKUP($A229,'Neraca Unaudited SIMAK'!$A$2:$R$1272,7,FALSE)+IF(ISNA(VLOOKUP($A229,'Mutasi Neraca'!$A$3:$S$910,7,FALSE)),0,VLOOKUP($A229,'Mutasi Neraca'!$A$3:$S$910,7,FALSE))</f>
        <v>0</v>
      </c>
      <c r="I229" s="42">
        <f>VLOOKUP($A229,'Neraca Unaudited SIMAK'!$A$2:$R$1272,8,FALSE)+IF(ISNA(VLOOKUP($A229,'Mutasi Neraca'!$A$3:$S$910,8,FALSE)),0,VLOOKUP($A229,'Mutasi Neraca'!$A$3:$S$910,8,FALSE))</f>
        <v>4431470</v>
      </c>
      <c r="J229" s="42">
        <f>VLOOKUP($A229,'Neraca Unaudited SIMAK'!$A$2:$R$1272,9,FALSE)+IF(ISNA(VLOOKUP($A229,'Mutasi Neraca'!$A$3:$S$910,9,FALSE)),0,VLOOKUP($A229,'Mutasi Neraca'!$A$3:$S$910,9,FALSE))</f>
        <v>0</v>
      </c>
      <c r="K229" s="42">
        <f>VLOOKUP($A229,'Neraca Unaudited SIMAK'!$A$2:$R$1272,10,FALSE)+IF(ISNA(VLOOKUP($A229,'Mutasi Neraca'!$A$3:$S$910,10,FALSE)),0,VLOOKUP($A229,'Mutasi Neraca'!$A$3:$S$910,10,FALSE))</f>
        <v>0</v>
      </c>
      <c r="L229" s="42">
        <f>VLOOKUP($A229,'Neraca Unaudited SIMAK'!$A$2:$R$1272,11,FALSE)+IF(ISNA(VLOOKUP($A229,'Mutasi Neraca'!$A$3:$S$910,11,FALSE)),0,VLOOKUP($A229,'Mutasi Neraca'!$A$3:$S$910,11,FALSE))</f>
        <v>10893000</v>
      </c>
      <c r="M229" s="42">
        <f>VLOOKUP($A229,'Neraca Unaudited SIMAK'!$A$2:$R$1272,12,FALSE)+IF(ISNA(VLOOKUP($A229,'Mutasi Neraca'!$A$3:$S$910,12,FALSE)),0,VLOOKUP($A229,'Mutasi Neraca'!$A$3:$S$910,12,FALSE))</f>
        <v>6805881387</v>
      </c>
      <c r="N229" s="42">
        <f>VLOOKUP($A229,'Neraca Unaudited SIMAK'!$A$2:$R$1272,13,FALSE)+IF(ISNA(VLOOKUP($A229,'Mutasi Neraca'!$A$3:$S$910,13,FALSE)),0,VLOOKUP($A229,'Mutasi Neraca'!$A$3:$S$910,13,FALSE))</f>
        <v>-1058986824</v>
      </c>
      <c r="O229" s="42">
        <f>VLOOKUP($A229,'Neraca Unaudited SIMAK'!$A$2:$R$1272,14,FALSE)+IF(ISNA(VLOOKUP($A229,'Mutasi Neraca'!$A$3:$S$910,14,FALSE)),0,VLOOKUP($A229,'Mutasi Neraca'!$A$3:$S$910,14,FALSE))</f>
        <v>-403816445</v>
      </c>
      <c r="P229" s="42">
        <f>VLOOKUP($A229,'Neraca Unaudited SIMAK'!$A$2:$R$1272,15,FALSE)+IF(ISNA(VLOOKUP($A229,'Mutasi Neraca'!$A$3:$S$910,15,FALSE)),0,VLOOKUP($A229,'Mutasi Neraca'!$A$3:$S$910,15,FALSE))</f>
        <v>0</v>
      </c>
      <c r="Q229" s="42">
        <f>VLOOKUP($A229,'Neraca Unaudited SIMAK'!$A$2:$R$1272,16,FALSE)+IF(ISNA(VLOOKUP($A229,'Mutasi Neraca'!$A$3:$S$910,16,FALSE)),0,VLOOKUP($A229,'Mutasi Neraca'!$A$3:$S$910,16,FALSE))</f>
        <v>0</v>
      </c>
      <c r="R229" s="42">
        <f>VLOOKUP($A229,'Neraca Unaudited SIMAK'!$A$2:$R$1272,17,FALSE)+IF(ISNA(VLOOKUP($A229,'Mutasi Neraca'!$A$3:$S$910,17,FALSE)),0,VLOOKUP($A229,'Mutasi Neraca'!$A$3:$S$910,17,FALSE))</f>
        <v>-10893000</v>
      </c>
      <c r="S229" s="42">
        <f t="shared" si="49"/>
        <v>5332185118</v>
      </c>
    </row>
    <row r="230" spans="1:19">
      <c r="A230" s="41" t="s">
        <v>237</v>
      </c>
      <c r="B230" s="41" t="str">
        <f t="shared" si="48"/>
        <v>005010500</v>
      </c>
      <c r="D230" s="42">
        <f>VLOOKUP($A230,'Neraca Unaudited SIMAK'!$A$2:$R$1272,3,FALSE)+IF(ISNA(VLOOKUP($A230,'Mutasi Neraca'!$A$3:$S$910,3,FALSE)),0,VLOOKUP($A230,'Mutasi Neraca'!$A$3:$S$910,3,FALSE))</f>
        <v>7270389</v>
      </c>
      <c r="E230" s="42">
        <f>VLOOKUP($A230,'Neraca Unaudited SIMAK'!$A$2:$R$1272,4,FALSE)+IF(ISNA(VLOOKUP($A230,'Mutasi Neraca'!$A$3:$S$910,4,FALSE)),0,VLOOKUP($A230,'Mutasi Neraca'!$A$3:$S$910,4,FALSE))</f>
        <v>3240000000</v>
      </c>
      <c r="F230" s="42">
        <f>VLOOKUP($A230,'Neraca Unaudited SIMAK'!$A$2:$R$1272,5,FALSE)+IF(ISNA(VLOOKUP($A230,'Mutasi Neraca'!$A$3:$S$910,5,FALSE)),0,VLOOKUP($A230,'Mutasi Neraca'!$A$3:$S$910,5,FALSE))</f>
        <v>2234403255</v>
      </c>
      <c r="G230" s="42">
        <f>VLOOKUP($A230,'Neraca Unaudited SIMAK'!$A$2:$R$1272,6,FALSE)+IF(ISNA(VLOOKUP($A230,'Mutasi Neraca'!$A$3:$S$910,6,FALSE)),0,VLOOKUP($A230,'Mutasi Neraca'!$A$3:$S$910,6,FALSE))</f>
        <v>9600942605</v>
      </c>
      <c r="H230" s="42">
        <f>VLOOKUP($A230,'Neraca Unaudited SIMAK'!$A$2:$R$1272,7,FALSE)+IF(ISNA(VLOOKUP($A230,'Mutasi Neraca'!$A$3:$S$910,7,FALSE)),0,VLOOKUP($A230,'Mutasi Neraca'!$A$3:$S$910,7,FALSE))</f>
        <v>221092200</v>
      </c>
      <c r="I230" s="42">
        <f>VLOOKUP($A230,'Neraca Unaudited SIMAK'!$A$2:$R$1272,8,FALSE)+IF(ISNA(VLOOKUP($A230,'Mutasi Neraca'!$A$3:$S$910,8,FALSE)),0,VLOOKUP($A230,'Mutasi Neraca'!$A$3:$S$910,8,FALSE))</f>
        <v>0</v>
      </c>
      <c r="J230" s="42">
        <f>VLOOKUP($A230,'Neraca Unaudited SIMAK'!$A$2:$R$1272,9,FALSE)+IF(ISNA(VLOOKUP($A230,'Mutasi Neraca'!$A$3:$S$910,9,FALSE)),0,VLOOKUP($A230,'Mutasi Neraca'!$A$3:$S$910,9,FALSE))</f>
        <v>0</v>
      </c>
      <c r="K230" s="42">
        <f>VLOOKUP($A230,'Neraca Unaudited SIMAK'!$A$2:$R$1272,10,FALSE)+IF(ISNA(VLOOKUP($A230,'Mutasi Neraca'!$A$3:$S$910,10,FALSE)),0,VLOOKUP($A230,'Mutasi Neraca'!$A$3:$S$910,10,FALSE))</f>
        <v>0</v>
      </c>
      <c r="L230" s="42">
        <f>VLOOKUP($A230,'Neraca Unaudited SIMAK'!$A$2:$R$1272,11,FALSE)+IF(ISNA(VLOOKUP($A230,'Mutasi Neraca'!$A$3:$S$910,11,FALSE)),0,VLOOKUP($A230,'Mutasi Neraca'!$A$3:$S$910,11,FALSE))</f>
        <v>0</v>
      </c>
      <c r="M230" s="42">
        <f>VLOOKUP($A230,'Neraca Unaudited SIMAK'!$A$2:$R$1272,12,FALSE)+IF(ISNA(VLOOKUP($A230,'Mutasi Neraca'!$A$3:$S$910,12,FALSE)),0,VLOOKUP($A230,'Mutasi Neraca'!$A$3:$S$910,12,FALSE))</f>
        <v>15303708449</v>
      </c>
      <c r="N230" s="42">
        <f>VLOOKUP($A230,'Neraca Unaudited SIMAK'!$A$2:$R$1272,13,FALSE)+IF(ISNA(VLOOKUP($A230,'Mutasi Neraca'!$A$3:$S$910,13,FALSE)),0,VLOOKUP($A230,'Mutasi Neraca'!$A$3:$S$910,13,FALSE))</f>
        <v>-1790011169</v>
      </c>
      <c r="O230" s="42">
        <f>VLOOKUP($A230,'Neraca Unaudited SIMAK'!$A$2:$R$1272,14,FALSE)+IF(ISNA(VLOOKUP($A230,'Mutasi Neraca'!$A$3:$S$910,14,FALSE)),0,VLOOKUP($A230,'Mutasi Neraca'!$A$3:$S$910,14,FALSE))</f>
        <v>-1675612430</v>
      </c>
      <c r="P230" s="42">
        <f>VLOOKUP($A230,'Neraca Unaudited SIMAK'!$A$2:$R$1272,15,FALSE)+IF(ISNA(VLOOKUP($A230,'Mutasi Neraca'!$A$3:$S$910,15,FALSE)),0,VLOOKUP($A230,'Mutasi Neraca'!$A$3:$S$910,15,FALSE))</f>
        <v>-41068527</v>
      </c>
      <c r="Q230" s="42">
        <f>VLOOKUP($A230,'Neraca Unaudited SIMAK'!$A$2:$R$1272,16,FALSE)+IF(ISNA(VLOOKUP($A230,'Mutasi Neraca'!$A$3:$S$910,16,FALSE)),0,VLOOKUP($A230,'Mutasi Neraca'!$A$3:$S$910,16,FALSE))</f>
        <v>0</v>
      </c>
      <c r="R230" s="42">
        <f>VLOOKUP($A230,'Neraca Unaudited SIMAK'!$A$2:$R$1272,17,FALSE)+IF(ISNA(VLOOKUP($A230,'Mutasi Neraca'!$A$3:$S$910,17,FALSE)),0,VLOOKUP($A230,'Mutasi Neraca'!$A$3:$S$910,17,FALSE))</f>
        <v>0</v>
      </c>
      <c r="S230" s="42">
        <f t="shared" si="49"/>
        <v>11797016323</v>
      </c>
    </row>
    <row r="231" spans="1:19">
      <c r="A231" s="41" t="s">
        <v>238</v>
      </c>
      <c r="B231" s="41" t="str">
        <f t="shared" si="48"/>
        <v>005010500</v>
      </c>
      <c r="D231" s="42">
        <f>VLOOKUP($A231,'Neraca Unaudited SIMAK'!$A$2:$R$1272,3,FALSE)+IF(ISNA(VLOOKUP($A231,'Mutasi Neraca'!$A$3:$S$910,3,FALSE)),0,VLOOKUP($A231,'Mutasi Neraca'!$A$3:$S$910,3,FALSE))</f>
        <v>0</v>
      </c>
      <c r="E231" s="42">
        <f>VLOOKUP($A231,'Neraca Unaudited SIMAK'!$A$2:$R$1272,4,FALSE)+IF(ISNA(VLOOKUP($A231,'Mutasi Neraca'!$A$3:$S$910,4,FALSE)),0,VLOOKUP($A231,'Mutasi Neraca'!$A$3:$S$910,4,FALSE))</f>
        <v>11754400000</v>
      </c>
      <c r="F231" s="42">
        <f>VLOOKUP($A231,'Neraca Unaudited SIMAK'!$A$2:$R$1272,5,FALSE)+IF(ISNA(VLOOKUP($A231,'Mutasi Neraca'!$A$3:$S$910,5,FALSE)),0,VLOOKUP($A231,'Mutasi Neraca'!$A$3:$S$910,5,FALSE))</f>
        <v>3289339915</v>
      </c>
      <c r="G231" s="42">
        <f>VLOOKUP($A231,'Neraca Unaudited SIMAK'!$A$2:$R$1272,6,FALSE)+IF(ISNA(VLOOKUP($A231,'Mutasi Neraca'!$A$3:$S$910,6,FALSE)),0,VLOOKUP($A231,'Mutasi Neraca'!$A$3:$S$910,6,FALSE))</f>
        <v>11761221081</v>
      </c>
      <c r="H231" s="42">
        <f>VLOOKUP($A231,'Neraca Unaudited SIMAK'!$A$2:$R$1272,7,FALSE)+IF(ISNA(VLOOKUP($A231,'Mutasi Neraca'!$A$3:$S$910,7,FALSE)),0,VLOOKUP($A231,'Mutasi Neraca'!$A$3:$S$910,7,FALSE))</f>
        <v>200250000</v>
      </c>
      <c r="I231" s="42">
        <f>VLOOKUP($A231,'Neraca Unaudited SIMAK'!$A$2:$R$1272,8,FALSE)+IF(ISNA(VLOOKUP($A231,'Mutasi Neraca'!$A$3:$S$910,8,FALSE)),0,VLOOKUP($A231,'Mutasi Neraca'!$A$3:$S$910,8,FALSE))</f>
        <v>0</v>
      </c>
      <c r="J231" s="42">
        <f>VLOOKUP($A231,'Neraca Unaudited SIMAK'!$A$2:$R$1272,9,FALSE)+IF(ISNA(VLOOKUP($A231,'Mutasi Neraca'!$A$3:$S$910,9,FALSE)),0,VLOOKUP($A231,'Mutasi Neraca'!$A$3:$S$910,9,FALSE))</f>
        <v>0</v>
      </c>
      <c r="K231" s="42">
        <f>VLOOKUP($A231,'Neraca Unaudited SIMAK'!$A$2:$R$1272,10,FALSE)+IF(ISNA(VLOOKUP($A231,'Mutasi Neraca'!$A$3:$S$910,10,FALSE)),0,VLOOKUP($A231,'Mutasi Neraca'!$A$3:$S$910,10,FALSE))</f>
        <v>0</v>
      </c>
      <c r="L231" s="42">
        <f>VLOOKUP($A231,'Neraca Unaudited SIMAK'!$A$2:$R$1272,11,FALSE)+IF(ISNA(VLOOKUP($A231,'Mutasi Neraca'!$A$3:$S$910,11,FALSE)),0,VLOOKUP($A231,'Mutasi Neraca'!$A$3:$S$910,11,FALSE))</f>
        <v>0</v>
      </c>
      <c r="M231" s="42">
        <f>VLOOKUP($A231,'Neraca Unaudited SIMAK'!$A$2:$R$1272,12,FALSE)+IF(ISNA(VLOOKUP($A231,'Mutasi Neraca'!$A$3:$S$910,12,FALSE)),0,VLOOKUP($A231,'Mutasi Neraca'!$A$3:$S$910,12,FALSE))</f>
        <v>27005210996</v>
      </c>
      <c r="N231" s="42">
        <f>VLOOKUP($A231,'Neraca Unaudited SIMAK'!$A$2:$R$1272,13,FALSE)+IF(ISNA(VLOOKUP($A231,'Mutasi Neraca'!$A$3:$S$910,13,FALSE)),0,VLOOKUP($A231,'Mutasi Neraca'!$A$3:$S$910,13,FALSE))</f>
        <v>-3114327804</v>
      </c>
      <c r="O231" s="42">
        <f>VLOOKUP($A231,'Neraca Unaudited SIMAK'!$A$2:$R$1272,14,FALSE)+IF(ISNA(VLOOKUP($A231,'Mutasi Neraca'!$A$3:$S$910,14,FALSE)),0,VLOOKUP($A231,'Mutasi Neraca'!$A$3:$S$910,14,FALSE))</f>
        <v>-1758693138</v>
      </c>
      <c r="P231" s="42">
        <f>VLOOKUP($A231,'Neraca Unaudited SIMAK'!$A$2:$R$1272,15,FALSE)+IF(ISNA(VLOOKUP($A231,'Mutasi Neraca'!$A$3:$S$910,15,FALSE)),0,VLOOKUP($A231,'Mutasi Neraca'!$A$3:$S$910,15,FALSE))</f>
        <v>-25031250</v>
      </c>
      <c r="Q231" s="42">
        <f>VLOOKUP($A231,'Neraca Unaudited SIMAK'!$A$2:$R$1272,16,FALSE)+IF(ISNA(VLOOKUP($A231,'Mutasi Neraca'!$A$3:$S$910,16,FALSE)),0,VLOOKUP($A231,'Mutasi Neraca'!$A$3:$S$910,16,FALSE))</f>
        <v>0</v>
      </c>
      <c r="R231" s="42">
        <f>VLOOKUP($A231,'Neraca Unaudited SIMAK'!$A$2:$R$1272,17,FALSE)+IF(ISNA(VLOOKUP($A231,'Mutasi Neraca'!$A$3:$S$910,17,FALSE)),0,VLOOKUP($A231,'Mutasi Neraca'!$A$3:$S$910,17,FALSE))</f>
        <v>0</v>
      </c>
      <c r="S231" s="42">
        <f t="shared" si="49"/>
        <v>22107158804</v>
      </c>
    </row>
    <row r="232" spans="1:19">
      <c r="A232" s="41" t="s">
        <v>239</v>
      </c>
      <c r="B232" s="41" t="str">
        <f t="shared" si="48"/>
        <v>005010500</v>
      </c>
      <c r="D232" s="42">
        <f>VLOOKUP($A232,'Neraca Unaudited SIMAK'!$A$2:$R$1272,3,FALSE)+IF(ISNA(VLOOKUP($A232,'Mutasi Neraca'!$A$3:$S$910,3,FALSE)),0,VLOOKUP($A232,'Mutasi Neraca'!$A$3:$S$910,3,FALSE))</f>
        <v>2191250</v>
      </c>
      <c r="E232" s="42">
        <f>VLOOKUP($A232,'Neraca Unaudited SIMAK'!$A$2:$R$1272,4,FALSE)+IF(ISNA(VLOOKUP($A232,'Mutasi Neraca'!$A$3:$S$910,4,FALSE)),0,VLOOKUP($A232,'Mutasi Neraca'!$A$3:$S$910,4,FALSE))</f>
        <v>6714855000</v>
      </c>
      <c r="F232" s="42">
        <f>VLOOKUP($A232,'Neraca Unaudited SIMAK'!$A$2:$R$1272,5,FALSE)+IF(ISNA(VLOOKUP($A232,'Mutasi Neraca'!$A$3:$S$910,5,FALSE)),0,VLOOKUP($A232,'Mutasi Neraca'!$A$3:$S$910,5,FALSE))</f>
        <v>2609269483</v>
      </c>
      <c r="G232" s="42">
        <f>VLOOKUP($A232,'Neraca Unaudited SIMAK'!$A$2:$R$1272,6,FALSE)+IF(ISNA(VLOOKUP($A232,'Mutasi Neraca'!$A$3:$S$910,6,FALSE)),0,VLOOKUP($A232,'Mutasi Neraca'!$A$3:$S$910,6,FALSE))</f>
        <v>10392538800</v>
      </c>
      <c r="H232" s="42">
        <f>VLOOKUP($A232,'Neraca Unaudited SIMAK'!$A$2:$R$1272,7,FALSE)+IF(ISNA(VLOOKUP($A232,'Mutasi Neraca'!$A$3:$S$910,7,FALSE)),0,VLOOKUP($A232,'Mutasi Neraca'!$A$3:$S$910,7,FALSE))</f>
        <v>50000000</v>
      </c>
      <c r="I232" s="42">
        <f>VLOOKUP($A232,'Neraca Unaudited SIMAK'!$A$2:$R$1272,8,FALSE)+IF(ISNA(VLOOKUP($A232,'Mutasi Neraca'!$A$3:$S$910,8,FALSE)),0,VLOOKUP($A232,'Mutasi Neraca'!$A$3:$S$910,8,FALSE))</f>
        <v>12465548</v>
      </c>
      <c r="J232" s="42">
        <f>VLOOKUP($A232,'Neraca Unaudited SIMAK'!$A$2:$R$1272,9,FALSE)+IF(ISNA(VLOOKUP($A232,'Mutasi Neraca'!$A$3:$S$910,9,FALSE)),0,VLOOKUP($A232,'Mutasi Neraca'!$A$3:$S$910,9,FALSE))</f>
        <v>0</v>
      </c>
      <c r="K232" s="42">
        <f>VLOOKUP($A232,'Neraca Unaudited SIMAK'!$A$2:$R$1272,10,FALSE)+IF(ISNA(VLOOKUP($A232,'Mutasi Neraca'!$A$3:$S$910,10,FALSE)),0,VLOOKUP($A232,'Mutasi Neraca'!$A$3:$S$910,10,FALSE))</f>
        <v>43900000</v>
      </c>
      <c r="L232" s="42">
        <f>VLOOKUP($A232,'Neraca Unaudited SIMAK'!$A$2:$R$1272,11,FALSE)+IF(ISNA(VLOOKUP($A232,'Mutasi Neraca'!$A$3:$S$910,11,FALSE)),0,VLOOKUP($A232,'Mutasi Neraca'!$A$3:$S$910,11,FALSE))</f>
        <v>42962000</v>
      </c>
      <c r="M232" s="42">
        <f>VLOOKUP($A232,'Neraca Unaudited SIMAK'!$A$2:$R$1272,12,FALSE)+IF(ISNA(VLOOKUP($A232,'Mutasi Neraca'!$A$3:$S$910,12,FALSE)),0,VLOOKUP($A232,'Mutasi Neraca'!$A$3:$S$910,12,FALSE))</f>
        <v>19868182081</v>
      </c>
      <c r="N232" s="42">
        <f>VLOOKUP($A232,'Neraca Unaudited SIMAK'!$A$2:$R$1272,13,FALSE)+IF(ISNA(VLOOKUP($A232,'Mutasi Neraca'!$A$3:$S$910,13,FALSE)),0,VLOOKUP($A232,'Mutasi Neraca'!$A$3:$S$910,13,FALSE))</f>
        <v>-1409642469</v>
      </c>
      <c r="O232" s="42">
        <f>VLOOKUP($A232,'Neraca Unaudited SIMAK'!$A$2:$R$1272,14,FALSE)+IF(ISNA(VLOOKUP($A232,'Mutasi Neraca'!$A$3:$S$910,14,FALSE)),0,VLOOKUP($A232,'Mutasi Neraca'!$A$3:$S$910,14,FALSE))</f>
        <v>-853948320</v>
      </c>
      <c r="P232" s="42">
        <f>VLOOKUP($A232,'Neraca Unaudited SIMAK'!$A$2:$R$1272,15,FALSE)+IF(ISNA(VLOOKUP($A232,'Mutasi Neraca'!$A$3:$S$910,15,FALSE)),0,VLOOKUP($A232,'Mutasi Neraca'!$A$3:$S$910,15,FALSE))</f>
        <v>-7500000</v>
      </c>
      <c r="Q232" s="42">
        <f>VLOOKUP($A232,'Neraca Unaudited SIMAK'!$A$2:$R$1272,16,FALSE)+IF(ISNA(VLOOKUP($A232,'Mutasi Neraca'!$A$3:$S$910,16,FALSE)),0,VLOOKUP($A232,'Mutasi Neraca'!$A$3:$S$910,16,FALSE))</f>
        <v>0</v>
      </c>
      <c r="R232" s="42">
        <f>VLOOKUP($A232,'Neraca Unaudited SIMAK'!$A$2:$R$1272,17,FALSE)+IF(ISNA(VLOOKUP($A232,'Mutasi Neraca'!$A$3:$S$910,17,FALSE)),0,VLOOKUP($A232,'Mutasi Neraca'!$A$3:$S$910,17,FALSE))</f>
        <v>-42962000</v>
      </c>
      <c r="S232" s="42">
        <f t="shared" si="49"/>
        <v>17554129292</v>
      </c>
    </row>
    <row r="233" spans="1:19">
      <c r="A233" s="41" t="s">
        <v>240</v>
      </c>
      <c r="B233" s="41" t="str">
        <f t="shared" si="48"/>
        <v>005010500</v>
      </c>
      <c r="D233" s="42">
        <f>VLOOKUP($A233,'Neraca Unaudited SIMAK'!$A$2:$R$1272,3,FALSE)+IF(ISNA(VLOOKUP($A233,'Mutasi Neraca'!$A$3:$S$910,3,FALSE)),0,VLOOKUP($A233,'Mutasi Neraca'!$A$3:$S$910,3,FALSE))</f>
        <v>7037750</v>
      </c>
      <c r="E233" s="42">
        <f>VLOOKUP($A233,'Neraca Unaudited SIMAK'!$A$2:$R$1272,4,FALSE)+IF(ISNA(VLOOKUP($A233,'Mutasi Neraca'!$A$3:$S$910,4,FALSE)),0,VLOOKUP($A233,'Mutasi Neraca'!$A$3:$S$910,4,FALSE))</f>
        <v>4357760000</v>
      </c>
      <c r="F233" s="42">
        <f>VLOOKUP($A233,'Neraca Unaudited SIMAK'!$A$2:$R$1272,5,FALSE)+IF(ISNA(VLOOKUP($A233,'Mutasi Neraca'!$A$3:$S$910,5,FALSE)),0,VLOOKUP($A233,'Mutasi Neraca'!$A$3:$S$910,5,FALSE))</f>
        <v>2353584527</v>
      </c>
      <c r="G233" s="42">
        <f>VLOOKUP($A233,'Neraca Unaudited SIMAK'!$A$2:$R$1272,6,FALSE)+IF(ISNA(VLOOKUP($A233,'Mutasi Neraca'!$A$3:$S$910,6,FALSE)),0,VLOOKUP($A233,'Mutasi Neraca'!$A$3:$S$910,6,FALSE))</f>
        <v>5683837000</v>
      </c>
      <c r="H233" s="42">
        <f>VLOOKUP($A233,'Neraca Unaudited SIMAK'!$A$2:$R$1272,7,FALSE)+IF(ISNA(VLOOKUP($A233,'Mutasi Neraca'!$A$3:$S$910,7,FALSE)),0,VLOOKUP($A233,'Mutasi Neraca'!$A$3:$S$910,7,FALSE))</f>
        <v>49859700</v>
      </c>
      <c r="I233" s="42">
        <f>VLOOKUP($A233,'Neraca Unaudited SIMAK'!$A$2:$R$1272,8,FALSE)+IF(ISNA(VLOOKUP($A233,'Mutasi Neraca'!$A$3:$S$910,8,FALSE)),0,VLOOKUP($A233,'Mutasi Neraca'!$A$3:$S$910,8,FALSE))</f>
        <v>6791562</v>
      </c>
      <c r="J233" s="42">
        <f>VLOOKUP($A233,'Neraca Unaudited SIMAK'!$A$2:$R$1272,9,FALSE)+IF(ISNA(VLOOKUP($A233,'Mutasi Neraca'!$A$3:$S$910,9,FALSE)),0,VLOOKUP($A233,'Mutasi Neraca'!$A$3:$S$910,9,FALSE))</f>
        <v>0</v>
      </c>
      <c r="K233" s="42">
        <f>VLOOKUP($A233,'Neraca Unaudited SIMAK'!$A$2:$R$1272,10,FALSE)+IF(ISNA(VLOOKUP($A233,'Mutasi Neraca'!$A$3:$S$910,10,FALSE)),0,VLOOKUP($A233,'Mutasi Neraca'!$A$3:$S$910,10,FALSE))</f>
        <v>0</v>
      </c>
      <c r="L233" s="42">
        <f>VLOOKUP($A233,'Neraca Unaudited SIMAK'!$A$2:$R$1272,11,FALSE)+IF(ISNA(VLOOKUP($A233,'Mutasi Neraca'!$A$3:$S$910,11,FALSE)),0,VLOOKUP($A233,'Mutasi Neraca'!$A$3:$S$910,11,FALSE))</f>
        <v>99285608</v>
      </c>
      <c r="M233" s="42">
        <f>VLOOKUP($A233,'Neraca Unaudited SIMAK'!$A$2:$R$1272,12,FALSE)+IF(ISNA(VLOOKUP($A233,'Mutasi Neraca'!$A$3:$S$910,12,FALSE)),0,VLOOKUP($A233,'Mutasi Neraca'!$A$3:$S$910,12,FALSE))</f>
        <v>12558156147</v>
      </c>
      <c r="N233" s="42">
        <f>VLOOKUP($A233,'Neraca Unaudited SIMAK'!$A$2:$R$1272,13,FALSE)+IF(ISNA(VLOOKUP($A233,'Mutasi Neraca'!$A$3:$S$910,13,FALSE)),0,VLOOKUP($A233,'Mutasi Neraca'!$A$3:$S$910,13,FALSE))</f>
        <v>-1814333354</v>
      </c>
      <c r="O233" s="42">
        <f>VLOOKUP($A233,'Neraca Unaudited SIMAK'!$A$2:$R$1272,14,FALSE)+IF(ISNA(VLOOKUP($A233,'Mutasi Neraca'!$A$3:$S$910,14,FALSE)),0,VLOOKUP($A233,'Mutasi Neraca'!$A$3:$S$910,14,FALSE))</f>
        <v>-919281270</v>
      </c>
      <c r="P233" s="42">
        <f>VLOOKUP($A233,'Neraca Unaudited SIMAK'!$A$2:$R$1272,15,FALSE)+IF(ISNA(VLOOKUP($A233,'Mutasi Neraca'!$A$3:$S$910,15,FALSE)),0,VLOOKUP($A233,'Mutasi Neraca'!$A$3:$S$910,15,FALSE))</f>
        <v>-7478954</v>
      </c>
      <c r="Q233" s="42">
        <f>VLOOKUP($A233,'Neraca Unaudited SIMAK'!$A$2:$R$1272,16,FALSE)+IF(ISNA(VLOOKUP($A233,'Mutasi Neraca'!$A$3:$S$910,16,FALSE)),0,VLOOKUP($A233,'Mutasi Neraca'!$A$3:$S$910,16,FALSE))</f>
        <v>0</v>
      </c>
      <c r="R233" s="42">
        <f>VLOOKUP($A233,'Neraca Unaudited SIMAK'!$A$2:$R$1272,17,FALSE)+IF(ISNA(VLOOKUP($A233,'Mutasi Neraca'!$A$3:$S$910,17,FALSE)),0,VLOOKUP($A233,'Mutasi Neraca'!$A$3:$S$910,17,FALSE))</f>
        <v>-98691608</v>
      </c>
      <c r="S233" s="42">
        <f t="shared" si="49"/>
        <v>9718370961</v>
      </c>
    </row>
    <row r="234" spans="1:19">
      <c r="A234" s="41" t="s">
        <v>241</v>
      </c>
      <c r="B234" s="41" t="str">
        <f t="shared" si="48"/>
        <v>005010500</v>
      </c>
      <c r="D234" s="42">
        <f>VLOOKUP($A234,'Neraca Unaudited SIMAK'!$A$2:$R$1272,3,FALSE)+IF(ISNA(VLOOKUP($A234,'Mutasi Neraca'!$A$3:$S$910,3,FALSE)),0,VLOOKUP($A234,'Mutasi Neraca'!$A$3:$S$910,3,FALSE))</f>
        <v>0</v>
      </c>
      <c r="E234" s="42">
        <f>VLOOKUP($A234,'Neraca Unaudited SIMAK'!$A$2:$R$1272,4,FALSE)+IF(ISNA(VLOOKUP($A234,'Mutasi Neraca'!$A$3:$S$910,4,FALSE)),0,VLOOKUP($A234,'Mutasi Neraca'!$A$3:$S$910,4,FALSE))</f>
        <v>3900000000</v>
      </c>
      <c r="F234" s="42">
        <f>VLOOKUP($A234,'Neraca Unaudited SIMAK'!$A$2:$R$1272,5,FALSE)+IF(ISNA(VLOOKUP($A234,'Mutasi Neraca'!$A$3:$S$910,5,FALSE)),0,VLOOKUP($A234,'Mutasi Neraca'!$A$3:$S$910,5,FALSE))</f>
        <v>4693944135</v>
      </c>
      <c r="G234" s="42">
        <f>VLOOKUP($A234,'Neraca Unaudited SIMAK'!$A$2:$R$1272,6,FALSE)+IF(ISNA(VLOOKUP($A234,'Mutasi Neraca'!$A$3:$S$910,6,FALSE)),0,VLOOKUP($A234,'Mutasi Neraca'!$A$3:$S$910,6,FALSE))</f>
        <v>10756850260</v>
      </c>
      <c r="H234" s="42">
        <f>VLOOKUP($A234,'Neraca Unaudited SIMAK'!$A$2:$R$1272,7,FALSE)+IF(ISNA(VLOOKUP($A234,'Mutasi Neraca'!$A$3:$S$910,7,FALSE)),0,VLOOKUP($A234,'Mutasi Neraca'!$A$3:$S$910,7,FALSE))</f>
        <v>543854550</v>
      </c>
      <c r="I234" s="42">
        <f>VLOOKUP($A234,'Neraca Unaudited SIMAK'!$A$2:$R$1272,8,FALSE)+IF(ISNA(VLOOKUP($A234,'Mutasi Neraca'!$A$3:$S$910,8,FALSE)),0,VLOOKUP($A234,'Mutasi Neraca'!$A$3:$S$910,8,FALSE))</f>
        <v>0</v>
      </c>
      <c r="J234" s="42">
        <f>VLOOKUP($A234,'Neraca Unaudited SIMAK'!$A$2:$R$1272,9,FALSE)+IF(ISNA(VLOOKUP($A234,'Mutasi Neraca'!$A$3:$S$910,9,FALSE)),0,VLOOKUP($A234,'Mutasi Neraca'!$A$3:$S$910,9,FALSE))</f>
        <v>0</v>
      </c>
      <c r="K234" s="42">
        <f>VLOOKUP($A234,'Neraca Unaudited SIMAK'!$A$2:$R$1272,10,FALSE)+IF(ISNA(VLOOKUP($A234,'Mutasi Neraca'!$A$3:$S$910,10,FALSE)),0,VLOOKUP($A234,'Mutasi Neraca'!$A$3:$S$910,10,FALSE))</f>
        <v>0</v>
      </c>
      <c r="L234" s="42">
        <f>VLOOKUP($A234,'Neraca Unaudited SIMAK'!$A$2:$R$1272,11,FALSE)+IF(ISNA(VLOOKUP($A234,'Mutasi Neraca'!$A$3:$S$910,11,FALSE)),0,VLOOKUP($A234,'Mutasi Neraca'!$A$3:$S$910,11,FALSE))</f>
        <v>19775000</v>
      </c>
      <c r="M234" s="42">
        <f>VLOOKUP($A234,'Neraca Unaudited SIMAK'!$A$2:$R$1272,12,FALSE)+IF(ISNA(VLOOKUP($A234,'Mutasi Neraca'!$A$3:$S$910,12,FALSE)),0,VLOOKUP($A234,'Mutasi Neraca'!$A$3:$S$910,12,FALSE))</f>
        <v>19914423945</v>
      </c>
      <c r="N234" s="42">
        <f>VLOOKUP($A234,'Neraca Unaudited SIMAK'!$A$2:$R$1272,13,FALSE)+IF(ISNA(VLOOKUP($A234,'Mutasi Neraca'!$A$3:$S$910,13,FALSE)),0,VLOOKUP($A234,'Mutasi Neraca'!$A$3:$S$910,13,FALSE))</f>
        <v>-3726849471</v>
      </c>
      <c r="O234" s="42">
        <f>VLOOKUP($A234,'Neraca Unaudited SIMAK'!$A$2:$R$1272,14,FALSE)+IF(ISNA(VLOOKUP($A234,'Mutasi Neraca'!$A$3:$S$910,14,FALSE)),0,VLOOKUP($A234,'Mutasi Neraca'!$A$3:$S$910,14,FALSE))</f>
        <v>-1015954663</v>
      </c>
      <c r="P234" s="42">
        <f>VLOOKUP($A234,'Neraca Unaudited SIMAK'!$A$2:$R$1272,15,FALSE)+IF(ISNA(VLOOKUP($A234,'Mutasi Neraca'!$A$3:$S$910,15,FALSE)),0,VLOOKUP($A234,'Mutasi Neraca'!$A$3:$S$910,15,FALSE))</f>
        <v>-323111803</v>
      </c>
      <c r="Q234" s="42">
        <f>VLOOKUP($A234,'Neraca Unaudited SIMAK'!$A$2:$R$1272,16,FALSE)+IF(ISNA(VLOOKUP($A234,'Mutasi Neraca'!$A$3:$S$910,16,FALSE)),0,VLOOKUP($A234,'Mutasi Neraca'!$A$3:$S$910,16,FALSE))</f>
        <v>0</v>
      </c>
      <c r="R234" s="42">
        <f>VLOOKUP($A234,'Neraca Unaudited SIMAK'!$A$2:$R$1272,17,FALSE)+IF(ISNA(VLOOKUP($A234,'Mutasi Neraca'!$A$3:$S$910,17,FALSE)),0,VLOOKUP($A234,'Mutasi Neraca'!$A$3:$S$910,17,FALSE))</f>
        <v>-19775000</v>
      </c>
      <c r="S234" s="42">
        <f t="shared" si="49"/>
        <v>14828733008</v>
      </c>
    </row>
    <row r="235" spans="1:19">
      <c r="A235" s="41" t="s">
        <v>242</v>
      </c>
      <c r="B235" s="41" t="str">
        <f t="shared" si="48"/>
        <v>005010500</v>
      </c>
      <c r="D235" s="42">
        <f>VLOOKUP($A235,'Neraca Unaudited SIMAK'!$A$2:$R$1272,3,FALSE)+IF(ISNA(VLOOKUP($A235,'Mutasi Neraca'!$A$3:$S$910,3,FALSE)),0,VLOOKUP($A235,'Mutasi Neraca'!$A$3:$S$910,3,FALSE))</f>
        <v>703450</v>
      </c>
      <c r="E235" s="42">
        <f>VLOOKUP($A235,'Neraca Unaudited SIMAK'!$A$2:$R$1272,4,FALSE)+IF(ISNA(VLOOKUP($A235,'Mutasi Neraca'!$A$3:$S$910,4,FALSE)),0,VLOOKUP($A235,'Mutasi Neraca'!$A$3:$S$910,4,FALSE))</f>
        <v>2600000000</v>
      </c>
      <c r="F235" s="42">
        <f>VLOOKUP($A235,'Neraca Unaudited SIMAK'!$A$2:$R$1272,5,FALSE)+IF(ISNA(VLOOKUP($A235,'Mutasi Neraca'!$A$3:$S$910,5,FALSE)),0,VLOOKUP($A235,'Mutasi Neraca'!$A$3:$S$910,5,FALSE))</f>
        <v>2467073464</v>
      </c>
      <c r="G235" s="42">
        <f>VLOOKUP($A235,'Neraca Unaudited SIMAK'!$A$2:$R$1272,6,FALSE)+IF(ISNA(VLOOKUP($A235,'Mutasi Neraca'!$A$3:$S$910,6,FALSE)),0,VLOOKUP($A235,'Mutasi Neraca'!$A$3:$S$910,6,FALSE))</f>
        <v>7151994950</v>
      </c>
      <c r="H235" s="42">
        <f>VLOOKUP($A235,'Neraca Unaudited SIMAK'!$A$2:$R$1272,7,FALSE)+IF(ISNA(VLOOKUP($A235,'Mutasi Neraca'!$A$3:$S$910,7,FALSE)),0,VLOOKUP($A235,'Mutasi Neraca'!$A$3:$S$910,7,FALSE))</f>
        <v>264784694</v>
      </c>
      <c r="I235" s="42">
        <f>VLOOKUP($A235,'Neraca Unaudited SIMAK'!$A$2:$R$1272,8,FALSE)+IF(ISNA(VLOOKUP($A235,'Mutasi Neraca'!$A$3:$S$910,8,FALSE)),0,VLOOKUP($A235,'Mutasi Neraca'!$A$3:$S$910,8,FALSE))</f>
        <v>0</v>
      </c>
      <c r="J235" s="42">
        <f>VLOOKUP($A235,'Neraca Unaudited SIMAK'!$A$2:$R$1272,9,FALSE)+IF(ISNA(VLOOKUP($A235,'Mutasi Neraca'!$A$3:$S$910,9,FALSE)),0,VLOOKUP($A235,'Mutasi Neraca'!$A$3:$S$910,9,FALSE))</f>
        <v>0</v>
      </c>
      <c r="K235" s="42">
        <f>VLOOKUP($A235,'Neraca Unaudited SIMAK'!$A$2:$R$1272,10,FALSE)+IF(ISNA(VLOOKUP($A235,'Mutasi Neraca'!$A$3:$S$910,10,FALSE)),0,VLOOKUP($A235,'Mutasi Neraca'!$A$3:$S$910,10,FALSE))</f>
        <v>0</v>
      </c>
      <c r="L235" s="42">
        <f>VLOOKUP($A235,'Neraca Unaudited SIMAK'!$A$2:$R$1272,11,FALSE)+IF(ISNA(VLOOKUP($A235,'Mutasi Neraca'!$A$3:$S$910,11,FALSE)),0,VLOOKUP($A235,'Mutasi Neraca'!$A$3:$S$910,11,FALSE))</f>
        <v>0</v>
      </c>
      <c r="M235" s="42">
        <f>VLOOKUP($A235,'Neraca Unaudited SIMAK'!$A$2:$R$1272,12,FALSE)+IF(ISNA(VLOOKUP($A235,'Mutasi Neraca'!$A$3:$S$910,12,FALSE)),0,VLOOKUP($A235,'Mutasi Neraca'!$A$3:$S$910,12,FALSE))</f>
        <v>12484556558</v>
      </c>
      <c r="N235" s="42">
        <f>VLOOKUP($A235,'Neraca Unaudited SIMAK'!$A$2:$R$1272,13,FALSE)+IF(ISNA(VLOOKUP($A235,'Mutasi Neraca'!$A$3:$S$910,13,FALSE)),0,VLOOKUP($A235,'Mutasi Neraca'!$A$3:$S$910,13,FALSE))</f>
        <v>-2002898207</v>
      </c>
      <c r="O235" s="42">
        <f>VLOOKUP($A235,'Neraca Unaudited SIMAK'!$A$2:$R$1272,14,FALSE)+IF(ISNA(VLOOKUP($A235,'Mutasi Neraca'!$A$3:$S$910,14,FALSE)),0,VLOOKUP($A235,'Mutasi Neraca'!$A$3:$S$910,14,FALSE))</f>
        <v>-500639647</v>
      </c>
      <c r="P235" s="42">
        <f>VLOOKUP($A235,'Neraca Unaudited SIMAK'!$A$2:$R$1272,15,FALSE)+IF(ISNA(VLOOKUP($A235,'Mutasi Neraca'!$A$3:$S$910,15,FALSE)),0,VLOOKUP($A235,'Mutasi Neraca'!$A$3:$S$910,15,FALSE))</f>
        <v>-258557127</v>
      </c>
      <c r="Q235" s="42">
        <f>VLOOKUP($A235,'Neraca Unaudited SIMAK'!$A$2:$R$1272,16,FALSE)+IF(ISNA(VLOOKUP($A235,'Mutasi Neraca'!$A$3:$S$910,16,FALSE)),0,VLOOKUP($A235,'Mutasi Neraca'!$A$3:$S$910,16,FALSE))</f>
        <v>0</v>
      </c>
      <c r="R235" s="42">
        <f>VLOOKUP($A235,'Neraca Unaudited SIMAK'!$A$2:$R$1272,17,FALSE)+IF(ISNA(VLOOKUP($A235,'Mutasi Neraca'!$A$3:$S$910,17,FALSE)),0,VLOOKUP($A235,'Mutasi Neraca'!$A$3:$S$910,17,FALSE))</f>
        <v>0</v>
      </c>
      <c r="S235" s="42">
        <f t="shared" si="49"/>
        <v>9722461577</v>
      </c>
    </row>
    <row r="236" spans="1:19">
      <c r="A236" s="41" t="s">
        <v>243</v>
      </c>
      <c r="B236" s="41" t="str">
        <f t="shared" si="48"/>
        <v>005010500</v>
      </c>
      <c r="D236" s="42">
        <f>VLOOKUP($A236,'Neraca Unaudited SIMAK'!$A$2:$R$1272,3,FALSE)+IF(ISNA(VLOOKUP($A236,'Mutasi Neraca'!$A$3:$S$910,3,FALSE)),0,VLOOKUP($A236,'Mutasi Neraca'!$A$3:$S$910,3,FALSE))</f>
        <v>2888450</v>
      </c>
      <c r="E236" s="42">
        <f>VLOOKUP($A236,'Neraca Unaudited SIMAK'!$A$2:$R$1272,4,FALSE)+IF(ISNA(VLOOKUP($A236,'Mutasi Neraca'!$A$3:$S$910,4,FALSE)),0,VLOOKUP($A236,'Mutasi Neraca'!$A$3:$S$910,4,FALSE))</f>
        <v>1000000000</v>
      </c>
      <c r="F236" s="42">
        <f>VLOOKUP($A236,'Neraca Unaudited SIMAK'!$A$2:$R$1272,5,FALSE)+IF(ISNA(VLOOKUP($A236,'Mutasi Neraca'!$A$3:$S$910,5,FALSE)),0,VLOOKUP($A236,'Mutasi Neraca'!$A$3:$S$910,5,FALSE))</f>
        <v>2431547017</v>
      </c>
      <c r="G236" s="42">
        <f>VLOOKUP($A236,'Neraca Unaudited SIMAK'!$A$2:$R$1272,6,FALSE)+IF(ISNA(VLOOKUP($A236,'Mutasi Neraca'!$A$3:$S$910,6,FALSE)),0,VLOOKUP($A236,'Mutasi Neraca'!$A$3:$S$910,6,FALSE))</f>
        <v>6949027234</v>
      </c>
      <c r="H236" s="42">
        <f>VLOOKUP($A236,'Neraca Unaudited SIMAK'!$A$2:$R$1272,7,FALSE)+IF(ISNA(VLOOKUP($A236,'Mutasi Neraca'!$A$3:$S$910,7,FALSE)),0,VLOOKUP($A236,'Mutasi Neraca'!$A$3:$S$910,7,FALSE))</f>
        <v>99100000</v>
      </c>
      <c r="I236" s="42">
        <f>VLOOKUP($A236,'Neraca Unaudited SIMAK'!$A$2:$R$1272,8,FALSE)+IF(ISNA(VLOOKUP($A236,'Mutasi Neraca'!$A$3:$S$910,8,FALSE)),0,VLOOKUP($A236,'Mutasi Neraca'!$A$3:$S$910,8,FALSE))</f>
        <v>0</v>
      </c>
      <c r="J236" s="42">
        <f>VLOOKUP($A236,'Neraca Unaudited SIMAK'!$A$2:$R$1272,9,FALSE)+IF(ISNA(VLOOKUP($A236,'Mutasi Neraca'!$A$3:$S$910,9,FALSE)),0,VLOOKUP($A236,'Mutasi Neraca'!$A$3:$S$910,9,FALSE))</f>
        <v>0</v>
      </c>
      <c r="K236" s="42">
        <f>VLOOKUP($A236,'Neraca Unaudited SIMAK'!$A$2:$R$1272,10,FALSE)+IF(ISNA(VLOOKUP($A236,'Mutasi Neraca'!$A$3:$S$910,10,FALSE)),0,VLOOKUP($A236,'Mutasi Neraca'!$A$3:$S$910,10,FALSE))</f>
        <v>0</v>
      </c>
      <c r="L236" s="42">
        <f>VLOOKUP($A236,'Neraca Unaudited SIMAK'!$A$2:$R$1272,11,FALSE)+IF(ISNA(VLOOKUP($A236,'Mutasi Neraca'!$A$3:$S$910,11,FALSE)),0,VLOOKUP($A236,'Mutasi Neraca'!$A$3:$S$910,11,FALSE))</f>
        <v>11863150</v>
      </c>
      <c r="M236" s="42">
        <f>VLOOKUP($A236,'Neraca Unaudited SIMAK'!$A$2:$R$1272,12,FALSE)+IF(ISNA(VLOOKUP($A236,'Mutasi Neraca'!$A$3:$S$910,12,FALSE)),0,VLOOKUP($A236,'Mutasi Neraca'!$A$3:$S$910,12,FALSE))</f>
        <v>10494425851</v>
      </c>
      <c r="N236" s="42">
        <f>VLOOKUP($A236,'Neraca Unaudited SIMAK'!$A$2:$R$1272,13,FALSE)+IF(ISNA(VLOOKUP($A236,'Mutasi Neraca'!$A$3:$S$910,13,FALSE)),0,VLOOKUP($A236,'Mutasi Neraca'!$A$3:$S$910,13,FALSE))</f>
        <v>-1704839775</v>
      </c>
      <c r="O236" s="42">
        <f>VLOOKUP($A236,'Neraca Unaudited SIMAK'!$A$2:$R$1272,14,FALSE)+IF(ISNA(VLOOKUP($A236,'Mutasi Neraca'!$A$3:$S$910,14,FALSE)),0,VLOOKUP($A236,'Mutasi Neraca'!$A$3:$S$910,14,FALSE))</f>
        <v>-415261632</v>
      </c>
      <c r="P236" s="42">
        <f>VLOOKUP($A236,'Neraca Unaudited SIMAK'!$A$2:$R$1272,15,FALSE)+IF(ISNA(VLOOKUP($A236,'Mutasi Neraca'!$A$3:$S$910,15,FALSE)),0,VLOOKUP($A236,'Mutasi Neraca'!$A$3:$S$910,15,FALSE))</f>
        <v>-59752504</v>
      </c>
      <c r="Q236" s="42">
        <f>VLOOKUP($A236,'Neraca Unaudited SIMAK'!$A$2:$R$1272,16,FALSE)+IF(ISNA(VLOOKUP($A236,'Mutasi Neraca'!$A$3:$S$910,16,FALSE)),0,VLOOKUP($A236,'Mutasi Neraca'!$A$3:$S$910,16,FALSE))</f>
        <v>0</v>
      </c>
      <c r="R236" s="42">
        <f>VLOOKUP($A236,'Neraca Unaudited SIMAK'!$A$2:$R$1272,17,FALSE)+IF(ISNA(VLOOKUP($A236,'Mutasi Neraca'!$A$3:$S$910,17,FALSE)),0,VLOOKUP($A236,'Mutasi Neraca'!$A$3:$S$910,17,FALSE))</f>
        <v>-11497510</v>
      </c>
      <c r="S236" s="42">
        <f t="shared" si="49"/>
        <v>8303074430</v>
      </c>
    </row>
    <row r="237" spans="1:19">
      <c r="A237" s="41" t="s">
        <v>244</v>
      </c>
      <c r="B237" s="41" t="str">
        <f t="shared" si="48"/>
        <v>005010600</v>
      </c>
      <c r="D237" s="42">
        <f>VLOOKUP($A237,'Neraca Unaudited SIMAK'!$A$2:$R$1272,3,FALSE)+IF(ISNA(VLOOKUP($A237,'Mutasi Neraca'!$A$3:$S$910,3,FALSE)),0,VLOOKUP($A237,'Mutasi Neraca'!$A$3:$S$910,3,FALSE))</f>
        <v>4236000</v>
      </c>
      <c r="E237" s="42">
        <f>VLOOKUP($A237,'Neraca Unaudited SIMAK'!$A$2:$R$1272,4,FALSE)+IF(ISNA(VLOOKUP($A237,'Mutasi Neraca'!$A$3:$S$910,4,FALSE)),0,VLOOKUP($A237,'Mutasi Neraca'!$A$3:$S$910,4,FALSE))</f>
        <v>13386112000</v>
      </c>
      <c r="F237" s="42">
        <f>VLOOKUP($A237,'Neraca Unaudited SIMAK'!$A$2:$R$1272,5,FALSE)+IF(ISNA(VLOOKUP($A237,'Mutasi Neraca'!$A$3:$S$910,5,FALSE)),0,VLOOKUP($A237,'Mutasi Neraca'!$A$3:$S$910,5,FALSE))</f>
        <v>5565013247</v>
      </c>
      <c r="G237" s="42">
        <f>VLOOKUP($A237,'Neraca Unaudited SIMAK'!$A$2:$R$1272,6,FALSE)+IF(ISNA(VLOOKUP($A237,'Mutasi Neraca'!$A$3:$S$910,6,FALSE)),0,VLOOKUP($A237,'Mutasi Neraca'!$A$3:$S$910,6,FALSE))</f>
        <v>31731513818</v>
      </c>
      <c r="H237" s="42">
        <f>VLOOKUP($A237,'Neraca Unaudited SIMAK'!$A$2:$R$1272,7,FALSE)+IF(ISNA(VLOOKUP($A237,'Mutasi Neraca'!$A$3:$S$910,7,FALSE)),0,VLOOKUP($A237,'Mutasi Neraca'!$A$3:$S$910,7,FALSE))</f>
        <v>0</v>
      </c>
      <c r="I237" s="42">
        <f>VLOOKUP($A237,'Neraca Unaudited SIMAK'!$A$2:$R$1272,8,FALSE)+IF(ISNA(VLOOKUP($A237,'Mutasi Neraca'!$A$3:$S$910,8,FALSE)),0,VLOOKUP($A237,'Mutasi Neraca'!$A$3:$S$910,8,FALSE))</f>
        <v>10375316</v>
      </c>
      <c r="J237" s="42">
        <f>VLOOKUP($A237,'Neraca Unaudited SIMAK'!$A$2:$R$1272,9,FALSE)+IF(ISNA(VLOOKUP($A237,'Mutasi Neraca'!$A$3:$S$910,9,FALSE)),0,VLOOKUP($A237,'Mutasi Neraca'!$A$3:$S$910,9,FALSE))</f>
        <v>0</v>
      </c>
      <c r="K237" s="42">
        <f>VLOOKUP($A237,'Neraca Unaudited SIMAK'!$A$2:$R$1272,10,FALSE)+IF(ISNA(VLOOKUP($A237,'Mutasi Neraca'!$A$3:$S$910,10,FALSE)),0,VLOOKUP($A237,'Mutasi Neraca'!$A$3:$S$910,10,FALSE))</f>
        <v>0</v>
      </c>
      <c r="L237" s="42">
        <f>VLOOKUP($A237,'Neraca Unaudited SIMAK'!$A$2:$R$1272,11,FALSE)+IF(ISNA(VLOOKUP($A237,'Mutasi Neraca'!$A$3:$S$910,11,FALSE)),0,VLOOKUP($A237,'Mutasi Neraca'!$A$3:$S$910,11,FALSE))</f>
        <v>533352200</v>
      </c>
      <c r="M237" s="42">
        <f>VLOOKUP($A237,'Neraca Unaudited SIMAK'!$A$2:$R$1272,12,FALSE)+IF(ISNA(VLOOKUP($A237,'Mutasi Neraca'!$A$3:$S$910,12,FALSE)),0,VLOOKUP($A237,'Mutasi Neraca'!$A$3:$S$910,12,FALSE))</f>
        <v>51230602581</v>
      </c>
      <c r="N237" s="42">
        <f>VLOOKUP($A237,'Neraca Unaudited SIMAK'!$A$2:$R$1272,13,FALSE)+IF(ISNA(VLOOKUP($A237,'Mutasi Neraca'!$A$3:$S$910,13,FALSE)),0,VLOOKUP($A237,'Mutasi Neraca'!$A$3:$S$910,13,FALSE))</f>
        <v>-4187989885</v>
      </c>
      <c r="O237" s="42">
        <f>VLOOKUP($A237,'Neraca Unaudited SIMAK'!$A$2:$R$1272,14,FALSE)+IF(ISNA(VLOOKUP($A237,'Mutasi Neraca'!$A$3:$S$910,14,FALSE)),0,VLOOKUP($A237,'Mutasi Neraca'!$A$3:$S$910,14,FALSE))</f>
        <v>-17534227467</v>
      </c>
      <c r="P237" s="42">
        <f>VLOOKUP($A237,'Neraca Unaudited SIMAK'!$A$2:$R$1272,15,FALSE)+IF(ISNA(VLOOKUP($A237,'Mutasi Neraca'!$A$3:$S$910,15,FALSE)),0,VLOOKUP($A237,'Mutasi Neraca'!$A$3:$S$910,15,FALSE))</f>
        <v>0</v>
      </c>
      <c r="Q237" s="42">
        <f>VLOOKUP($A237,'Neraca Unaudited SIMAK'!$A$2:$R$1272,16,FALSE)+IF(ISNA(VLOOKUP($A237,'Mutasi Neraca'!$A$3:$S$910,16,FALSE)),0,VLOOKUP($A237,'Mutasi Neraca'!$A$3:$S$910,16,FALSE))</f>
        <v>0</v>
      </c>
      <c r="R237" s="42">
        <f>VLOOKUP($A237,'Neraca Unaudited SIMAK'!$A$2:$R$1272,17,FALSE)+IF(ISNA(VLOOKUP($A237,'Mutasi Neraca'!$A$3:$S$910,17,FALSE)),0,VLOOKUP($A237,'Mutasi Neraca'!$A$3:$S$910,17,FALSE))</f>
        <v>-533352200</v>
      </c>
      <c r="S237" s="42">
        <f t="shared" si="49"/>
        <v>28975033029</v>
      </c>
    </row>
    <row r="238" spans="1:19">
      <c r="A238" s="41" t="s">
        <v>245</v>
      </c>
      <c r="B238" s="41" t="str">
        <f t="shared" si="48"/>
        <v>005010600</v>
      </c>
      <c r="D238" s="42">
        <f>VLOOKUP($A238,'Neraca Unaudited SIMAK'!$A$2:$R$1272,3,FALSE)+IF(ISNA(VLOOKUP($A238,'Mutasi Neraca'!$A$3:$S$910,3,FALSE)),0,VLOOKUP($A238,'Mutasi Neraca'!$A$3:$S$910,3,FALSE))</f>
        <v>0</v>
      </c>
      <c r="E238" s="42">
        <f>VLOOKUP($A238,'Neraca Unaudited SIMAK'!$A$2:$R$1272,4,FALSE)+IF(ISNA(VLOOKUP($A238,'Mutasi Neraca'!$A$3:$S$910,4,FALSE)),0,VLOOKUP($A238,'Mutasi Neraca'!$A$3:$S$910,4,FALSE))</f>
        <v>12385684000</v>
      </c>
      <c r="F238" s="42">
        <f>VLOOKUP($A238,'Neraca Unaudited SIMAK'!$A$2:$R$1272,5,FALSE)+IF(ISNA(VLOOKUP($A238,'Mutasi Neraca'!$A$3:$S$910,5,FALSE)),0,VLOOKUP($A238,'Mutasi Neraca'!$A$3:$S$910,5,FALSE))</f>
        <v>8334983540</v>
      </c>
      <c r="G238" s="42">
        <f>VLOOKUP($A238,'Neraca Unaudited SIMAK'!$A$2:$R$1272,6,FALSE)+IF(ISNA(VLOOKUP($A238,'Mutasi Neraca'!$A$3:$S$910,6,FALSE)),0,VLOOKUP($A238,'Mutasi Neraca'!$A$3:$S$910,6,FALSE))</f>
        <v>24429662500</v>
      </c>
      <c r="H238" s="42">
        <f>VLOOKUP($A238,'Neraca Unaudited SIMAK'!$A$2:$R$1272,7,FALSE)+IF(ISNA(VLOOKUP($A238,'Mutasi Neraca'!$A$3:$S$910,7,FALSE)),0,VLOOKUP($A238,'Mutasi Neraca'!$A$3:$S$910,7,FALSE))</f>
        <v>99275000</v>
      </c>
      <c r="I238" s="42">
        <f>VLOOKUP($A238,'Neraca Unaudited SIMAK'!$A$2:$R$1272,8,FALSE)+IF(ISNA(VLOOKUP($A238,'Mutasi Neraca'!$A$3:$S$910,8,FALSE)),0,VLOOKUP($A238,'Mutasi Neraca'!$A$3:$S$910,8,FALSE))</f>
        <v>4626840</v>
      </c>
      <c r="J238" s="42">
        <f>VLOOKUP($A238,'Neraca Unaudited SIMAK'!$A$2:$R$1272,9,FALSE)+IF(ISNA(VLOOKUP($A238,'Mutasi Neraca'!$A$3:$S$910,9,FALSE)),0,VLOOKUP($A238,'Mutasi Neraca'!$A$3:$S$910,9,FALSE))</f>
        <v>0</v>
      </c>
      <c r="K238" s="42">
        <f>VLOOKUP($A238,'Neraca Unaudited SIMAK'!$A$2:$R$1272,10,FALSE)+IF(ISNA(VLOOKUP($A238,'Mutasi Neraca'!$A$3:$S$910,10,FALSE)),0,VLOOKUP($A238,'Mutasi Neraca'!$A$3:$S$910,10,FALSE))</f>
        <v>77636754</v>
      </c>
      <c r="L238" s="42">
        <f>VLOOKUP($A238,'Neraca Unaudited SIMAK'!$A$2:$R$1272,11,FALSE)+IF(ISNA(VLOOKUP($A238,'Mutasi Neraca'!$A$3:$S$910,11,FALSE)),0,VLOOKUP($A238,'Mutasi Neraca'!$A$3:$S$910,11,FALSE))</f>
        <v>0</v>
      </c>
      <c r="M238" s="42">
        <f>VLOOKUP($A238,'Neraca Unaudited SIMAK'!$A$2:$R$1272,12,FALSE)+IF(ISNA(VLOOKUP($A238,'Mutasi Neraca'!$A$3:$S$910,12,FALSE)),0,VLOOKUP($A238,'Mutasi Neraca'!$A$3:$S$910,12,FALSE))</f>
        <v>45331868634</v>
      </c>
      <c r="N238" s="42">
        <f>VLOOKUP($A238,'Neraca Unaudited SIMAK'!$A$2:$R$1272,13,FALSE)+IF(ISNA(VLOOKUP($A238,'Mutasi Neraca'!$A$3:$S$910,13,FALSE)),0,VLOOKUP($A238,'Mutasi Neraca'!$A$3:$S$910,13,FALSE))</f>
        <v>-5086110448</v>
      </c>
      <c r="O238" s="42">
        <f>VLOOKUP($A238,'Neraca Unaudited SIMAK'!$A$2:$R$1272,14,FALSE)+IF(ISNA(VLOOKUP($A238,'Mutasi Neraca'!$A$3:$S$910,14,FALSE)),0,VLOOKUP($A238,'Mutasi Neraca'!$A$3:$S$910,14,FALSE))</f>
        <v>-11718004685</v>
      </c>
      <c r="P238" s="42">
        <f>VLOOKUP($A238,'Neraca Unaudited SIMAK'!$A$2:$R$1272,15,FALSE)+IF(ISNA(VLOOKUP($A238,'Mutasi Neraca'!$A$3:$S$910,15,FALSE)),0,VLOOKUP($A238,'Mutasi Neraca'!$A$3:$S$910,15,FALSE))</f>
        <v>-1240938</v>
      </c>
      <c r="Q238" s="42">
        <f>VLOOKUP($A238,'Neraca Unaudited SIMAK'!$A$2:$R$1272,16,FALSE)+IF(ISNA(VLOOKUP($A238,'Mutasi Neraca'!$A$3:$S$910,16,FALSE)),0,VLOOKUP($A238,'Mutasi Neraca'!$A$3:$S$910,16,FALSE))</f>
        <v>0</v>
      </c>
      <c r="R238" s="42">
        <f>VLOOKUP($A238,'Neraca Unaudited SIMAK'!$A$2:$R$1272,17,FALSE)+IF(ISNA(VLOOKUP($A238,'Mutasi Neraca'!$A$3:$S$910,17,FALSE)),0,VLOOKUP($A238,'Mutasi Neraca'!$A$3:$S$910,17,FALSE))</f>
        <v>0</v>
      </c>
      <c r="S238" s="42">
        <f t="shared" si="49"/>
        <v>28526512563</v>
      </c>
    </row>
    <row r="239" spans="1:19">
      <c r="A239" s="41" t="s">
        <v>246</v>
      </c>
      <c r="B239" s="41" t="str">
        <f t="shared" si="48"/>
        <v>005010600</v>
      </c>
      <c r="D239" s="42">
        <f>VLOOKUP($A239,'Neraca Unaudited SIMAK'!$A$2:$R$1272,3,FALSE)+IF(ISNA(VLOOKUP($A239,'Mutasi Neraca'!$A$3:$S$910,3,FALSE)),0,VLOOKUP($A239,'Mutasi Neraca'!$A$3:$S$910,3,FALSE))</f>
        <v>0</v>
      </c>
      <c r="E239" s="42">
        <f>VLOOKUP($A239,'Neraca Unaudited SIMAK'!$A$2:$R$1272,4,FALSE)+IF(ISNA(VLOOKUP($A239,'Mutasi Neraca'!$A$3:$S$910,4,FALSE)),0,VLOOKUP($A239,'Mutasi Neraca'!$A$3:$S$910,4,FALSE))</f>
        <v>1067922000</v>
      </c>
      <c r="F239" s="42">
        <f>VLOOKUP($A239,'Neraca Unaudited SIMAK'!$A$2:$R$1272,5,FALSE)+IF(ISNA(VLOOKUP($A239,'Mutasi Neraca'!$A$3:$S$910,5,FALSE)),0,VLOOKUP($A239,'Mutasi Neraca'!$A$3:$S$910,5,FALSE))</f>
        <v>1648263025</v>
      </c>
      <c r="G239" s="42">
        <f>VLOOKUP($A239,'Neraca Unaudited SIMAK'!$A$2:$R$1272,6,FALSE)+IF(ISNA(VLOOKUP($A239,'Mutasi Neraca'!$A$3:$S$910,6,FALSE)),0,VLOOKUP($A239,'Mutasi Neraca'!$A$3:$S$910,6,FALSE))</f>
        <v>10659887900</v>
      </c>
      <c r="H239" s="42">
        <f>VLOOKUP($A239,'Neraca Unaudited SIMAK'!$A$2:$R$1272,7,FALSE)+IF(ISNA(VLOOKUP($A239,'Mutasi Neraca'!$A$3:$S$910,7,FALSE)),0,VLOOKUP($A239,'Mutasi Neraca'!$A$3:$S$910,7,FALSE))</f>
        <v>0</v>
      </c>
      <c r="I239" s="42">
        <f>VLOOKUP($A239,'Neraca Unaudited SIMAK'!$A$2:$R$1272,8,FALSE)+IF(ISNA(VLOOKUP($A239,'Mutasi Neraca'!$A$3:$S$910,8,FALSE)),0,VLOOKUP($A239,'Mutasi Neraca'!$A$3:$S$910,8,FALSE))</f>
        <v>1943440</v>
      </c>
      <c r="J239" s="42">
        <f>VLOOKUP($A239,'Neraca Unaudited SIMAK'!$A$2:$R$1272,9,FALSE)+IF(ISNA(VLOOKUP($A239,'Mutasi Neraca'!$A$3:$S$910,9,FALSE)),0,VLOOKUP($A239,'Mutasi Neraca'!$A$3:$S$910,9,FALSE))</f>
        <v>0</v>
      </c>
      <c r="K239" s="42">
        <f>VLOOKUP($A239,'Neraca Unaudited SIMAK'!$A$2:$R$1272,10,FALSE)+IF(ISNA(VLOOKUP($A239,'Mutasi Neraca'!$A$3:$S$910,10,FALSE)),0,VLOOKUP($A239,'Mutasi Neraca'!$A$3:$S$910,10,FALSE))</f>
        <v>0</v>
      </c>
      <c r="L239" s="42">
        <f>VLOOKUP($A239,'Neraca Unaudited SIMAK'!$A$2:$R$1272,11,FALSE)+IF(ISNA(VLOOKUP($A239,'Mutasi Neraca'!$A$3:$S$910,11,FALSE)),0,VLOOKUP($A239,'Mutasi Neraca'!$A$3:$S$910,11,FALSE))</f>
        <v>15399390</v>
      </c>
      <c r="M239" s="42">
        <f>VLOOKUP($A239,'Neraca Unaudited SIMAK'!$A$2:$R$1272,12,FALSE)+IF(ISNA(VLOOKUP($A239,'Mutasi Neraca'!$A$3:$S$910,12,FALSE)),0,VLOOKUP($A239,'Mutasi Neraca'!$A$3:$S$910,12,FALSE))</f>
        <v>13393415755</v>
      </c>
      <c r="N239" s="42">
        <f>VLOOKUP($A239,'Neraca Unaudited SIMAK'!$A$2:$R$1272,13,FALSE)+IF(ISNA(VLOOKUP($A239,'Mutasi Neraca'!$A$3:$S$910,13,FALSE)),0,VLOOKUP($A239,'Mutasi Neraca'!$A$3:$S$910,13,FALSE))</f>
        <v>-1406380915</v>
      </c>
      <c r="O239" s="42">
        <f>VLOOKUP($A239,'Neraca Unaudited SIMAK'!$A$2:$R$1272,14,FALSE)+IF(ISNA(VLOOKUP($A239,'Mutasi Neraca'!$A$3:$S$910,14,FALSE)),0,VLOOKUP($A239,'Mutasi Neraca'!$A$3:$S$910,14,FALSE))</f>
        <v>-6742756814</v>
      </c>
      <c r="P239" s="42">
        <f>VLOOKUP($A239,'Neraca Unaudited SIMAK'!$A$2:$R$1272,15,FALSE)+IF(ISNA(VLOOKUP($A239,'Mutasi Neraca'!$A$3:$S$910,15,FALSE)),0,VLOOKUP($A239,'Mutasi Neraca'!$A$3:$S$910,15,FALSE))</f>
        <v>0</v>
      </c>
      <c r="Q239" s="42">
        <f>VLOOKUP($A239,'Neraca Unaudited SIMAK'!$A$2:$R$1272,16,FALSE)+IF(ISNA(VLOOKUP($A239,'Mutasi Neraca'!$A$3:$S$910,16,FALSE)),0,VLOOKUP($A239,'Mutasi Neraca'!$A$3:$S$910,16,FALSE))</f>
        <v>0</v>
      </c>
      <c r="R239" s="42">
        <f>VLOOKUP($A239,'Neraca Unaudited SIMAK'!$A$2:$R$1272,17,FALSE)+IF(ISNA(VLOOKUP($A239,'Mutasi Neraca'!$A$3:$S$910,17,FALSE)),0,VLOOKUP($A239,'Mutasi Neraca'!$A$3:$S$910,17,FALSE))</f>
        <v>-15399390</v>
      </c>
      <c r="S239" s="42">
        <f t="shared" si="49"/>
        <v>5228878636</v>
      </c>
    </row>
    <row r="240" spans="1:19">
      <c r="A240" s="41" t="s">
        <v>247</v>
      </c>
      <c r="B240" s="41" t="str">
        <f t="shared" si="48"/>
        <v>005010600</v>
      </c>
      <c r="D240" s="42">
        <f>VLOOKUP($A240,'Neraca Unaudited SIMAK'!$A$2:$R$1272,3,FALSE)+IF(ISNA(VLOOKUP($A240,'Mutasi Neraca'!$A$3:$S$910,3,FALSE)),0,VLOOKUP($A240,'Mutasi Neraca'!$A$3:$S$910,3,FALSE))</f>
        <v>0</v>
      </c>
      <c r="E240" s="42">
        <f>VLOOKUP($A240,'Neraca Unaudited SIMAK'!$A$2:$R$1272,4,FALSE)+IF(ISNA(VLOOKUP($A240,'Mutasi Neraca'!$A$3:$S$910,4,FALSE)),0,VLOOKUP($A240,'Mutasi Neraca'!$A$3:$S$910,4,FALSE))</f>
        <v>1292275749</v>
      </c>
      <c r="F240" s="42">
        <f>VLOOKUP($A240,'Neraca Unaudited SIMAK'!$A$2:$R$1272,5,FALSE)+IF(ISNA(VLOOKUP($A240,'Mutasi Neraca'!$A$3:$S$910,5,FALSE)),0,VLOOKUP($A240,'Mutasi Neraca'!$A$3:$S$910,5,FALSE))</f>
        <v>1598125749</v>
      </c>
      <c r="G240" s="42">
        <f>VLOOKUP($A240,'Neraca Unaudited SIMAK'!$A$2:$R$1272,6,FALSE)+IF(ISNA(VLOOKUP($A240,'Mutasi Neraca'!$A$3:$S$910,6,FALSE)),0,VLOOKUP($A240,'Mutasi Neraca'!$A$3:$S$910,6,FALSE))</f>
        <v>4943149100</v>
      </c>
      <c r="H240" s="42">
        <f>VLOOKUP($A240,'Neraca Unaudited SIMAK'!$A$2:$R$1272,7,FALSE)+IF(ISNA(VLOOKUP($A240,'Mutasi Neraca'!$A$3:$S$910,7,FALSE)),0,VLOOKUP($A240,'Mutasi Neraca'!$A$3:$S$910,7,FALSE))</f>
        <v>0</v>
      </c>
      <c r="I240" s="42">
        <f>VLOOKUP($A240,'Neraca Unaudited SIMAK'!$A$2:$R$1272,8,FALSE)+IF(ISNA(VLOOKUP($A240,'Mutasi Neraca'!$A$3:$S$910,8,FALSE)),0,VLOOKUP($A240,'Mutasi Neraca'!$A$3:$S$910,8,FALSE))</f>
        <v>1943440</v>
      </c>
      <c r="J240" s="42">
        <f>VLOOKUP($A240,'Neraca Unaudited SIMAK'!$A$2:$R$1272,9,FALSE)+IF(ISNA(VLOOKUP($A240,'Mutasi Neraca'!$A$3:$S$910,9,FALSE)),0,VLOOKUP($A240,'Mutasi Neraca'!$A$3:$S$910,9,FALSE))</f>
        <v>0</v>
      </c>
      <c r="K240" s="42">
        <f>VLOOKUP($A240,'Neraca Unaudited SIMAK'!$A$2:$R$1272,10,FALSE)+IF(ISNA(VLOOKUP($A240,'Mutasi Neraca'!$A$3:$S$910,10,FALSE)),0,VLOOKUP($A240,'Mutasi Neraca'!$A$3:$S$910,10,FALSE))</f>
        <v>0</v>
      </c>
      <c r="L240" s="42">
        <f>VLOOKUP($A240,'Neraca Unaudited SIMAK'!$A$2:$R$1272,11,FALSE)+IF(ISNA(VLOOKUP($A240,'Mutasi Neraca'!$A$3:$S$910,11,FALSE)),0,VLOOKUP($A240,'Mutasi Neraca'!$A$3:$S$910,11,FALSE))</f>
        <v>18462621</v>
      </c>
      <c r="M240" s="42">
        <f>VLOOKUP($A240,'Neraca Unaudited SIMAK'!$A$2:$R$1272,12,FALSE)+IF(ISNA(VLOOKUP($A240,'Mutasi Neraca'!$A$3:$S$910,12,FALSE)),0,VLOOKUP($A240,'Mutasi Neraca'!$A$3:$S$910,12,FALSE))</f>
        <v>7853956659</v>
      </c>
      <c r="N240" s="42">
        <f>VLOOKUP($A240,'Neraca Unaudited SIMAK'!$A$2:$R$1272,13,FALSE)+IF(ISNA(VLOOKUP($A240,'Mutasi Neraca'!$A$3:$S$910,13,FALSE)),0,VLOOKUP($A240,'Mutasi Neraca'!$A$3:$S$910,13,FALSE))</f>
        <v>-1360060302</v>
      </c>
      <c r="O240" s="42">
        <f>VLOOKUP($A240,'Neraca Unaudited SIMAK'!$A$2:$R$1272,14,FALSE)+IF(ISNA(VLOOKUP($A240,'Mutasi Neraca'!$A$3:$S$910,14,FALSE)),0,VLOOKUP($A240,'Mutasi Neraca'!$A$3:$S$910,14,FALSE))</f>
        <v>-3711064190</v>
      </c>
      <c r="P240" s="42">
        <f>VLOOKUP($A240,'Neraca Unaudited SIMAK'!$A$2:$R$1272,15,FALSE)+IF(ISNA(VLOOKUP($A240,'Mutasi Neraca'!$A$3:$S$910,15,FALSE)),0,VLOOKUP($A240,'Mutasi Neraca'!$A$3:$S$910,15,FALSE))</f>
        <v>0</v>
      </c>
      <c r="Q240" s="42">
        <f>VLOOKUP($A240,'Neraca Unaudited SIMAK'!$A$2:$R$1272,16,FALSE)+IF(ISNA(VLOOKUP($A240,'Mutasi Neraca'!$A$3:$S$910,16,FALSE)),0,VLOOKUP($A240,'Mutasi Neraca'!$A$3:$S$910,16,FALSE))</f>
        <v>0</v>
      </c>
      <c r="R240" s="42">
        <f>VLOOKUP($A240,'Neraca Unaudited SIMAK'!$A$2:$R$1272,17,FALSE)+IF(ISNA(VLOOKUP($A240,'Mutasi Neraca'!$A$3:$S$910,17,FALSE)),0,VLOOKUP($A240,'Mutasi Neraca'!$A$3:$S$910,17,FALSE))</f>
        <v>-18261106</v>
      </c>
      <c r="S240" s="42">
        <f t="shared" si="49"/>
        <v>2764571061</v>
      </c>
    </row>
    <row r="241" spans="1:19">
      <c r="A241" s="41" t="s">
        <v>248</v>
      </c>
      <c r="B241" s="41" t="str">
        <f t="shared" si="48"/>
        <v>005010600</v>
      </c>
      <c r="D241" s="42">
        <f>VLOOKUP($A241,'Neraca Unaudited SIMAK'!$A$2:$R$1272,3,FALSE)+IF(ISNA(VLOOKUP($A241,'Mutasi Neraca'!$A$3:$S$910,3,FALSE)),0,VLOOKUP($A241,'Mutasi Neraca'!$A$3:$S$910,3,FALSE))</f>
        <v>0</v>
      </c>
      <c r="E241" s="42">
        <f>VLOOKUP($A241,'Neraca Unaudited SIMAK'!$A$2:$R$1272,4,FALSE)+IF(ISNA(VLOOKUP($A241,'Mutasi Neraca'!$A$3:$S$910,4,FALSE)),0,VLOOKUP($A241,'Mutasi Neraca'!$A$3:$S$910,4,FALSE))</f>
        <v>1915199850</v>
      </c>
      <c r="F241" s="42">
        <f>VLOOKUP($A241,'Neraca Unaudited SIMAK'!$A$2:$R$1272,5,FALSE)+IF(ISNA(VLOOKUP($A241,'Mutasi Neraca'!$A$3:$S$910,5,FALSE)),0,VLOOKUP($A241,'Mutasi Neraca'!$A$3:$S$910,5,FALSE))</f>
        <v>1555558352</v>
      </c>
      <c r="G241" s="42">
        <f>VLOOKUP($A241,'Neraca Unaudited SIMAK'!$A$2:$R$1272,6,FALSE)+IF(ISNA(VLOOKUP($A241,'Mutasi Neraca'!$A$3:$S$910,6,FALSE)),0,VLOOKUP($A241,'Mutasi Neraca'!$A$3:$S$910,6,FALSE))</f>
        <v>3166676000</v>
      </c>
      <c r="H241" s="42">
        <f>VLOOKUP($A241,'Neraca Unaudited SIMAK'!$A$2:$R$1272,7,FALSE)+IF(ISNA(VLOOKUP($A241,'Mutasi Neraca'!$A$3:$S$910,7,FALSE)),0,VLOOKUP($A241,'Mutasi Neraca'!$A$3:$S$910,7,FALSE))</f>
        <v>50000000</v>
      </c>
      <c r="I241" s="42">
        <f>VLOOKUP($A241,'Neraca Unaudited SIMAK'!$A$2:$R$1272,8,FALSE)+IF(ISNA(VLOOKUP($A241,'Mutasi Neraca'!$A$3:$S$910,8,FALSE)),0,VLOOKUP($A241,'Mutasi Neraca'!$A$3:$S$910,8,FALSE))</f>
        <v>1943440</v>
      </c>
      <c r="J241" s="42">
        <f>VLOOKUP($A241,'Neraca Unaudited SIMAK'!$A$2:$R$1272,9,FALSE)+IF(ISNA(VLOOKUP($A241,'Mutasi Neraca'!$A$3:$S$910,9,FALSE)),0,VLOOKUP($A241,'Mutasi Neraca'!$A$3:$S$910,9,FALSE))</f>
        <v>0</v>
      </c>
      <c r="K241" s="42">
        <f>VLOOKUP($A241,'Neraca Unaudited SIMAK'!$A$2:$R$1272,10,FALSE)+IF(ISNA(VLOOKUP($A241,'Mutasi Neraca'!$A$3:$S$910,10,FALSE)),0,VLOOKUP($A241,'Mutasi Neraca'!$A$3:$S$910,10,FALSE))</f>
        <v>7600000</v>
      </c>
      <c r="L241" s="42">
        <f>VLOOKUP($A241,'Neraca Unaudited SIMAK'!$A$2:$R$1272,11,FALSE)+IF(ISNA(VLOOKUP($A241,'Mutasi Neraca'!$A$3:$S$910,11,FALSE)),0,VLOOKUP($A241,'Mutasi Neraca'!$A$3:$S$910,11,FALSE))</f>
        <v>0</v>
      </c>
      <c r="M241" s="42">
        <f>VLOOKUP($A241,'Neraca Unaudited SIMAK'!$A$2:$R$1272,12,FALSE)+IF(ISNA(VLOOKUP($A241,'Mutasi Neraca'!$A$3:$S$910,12,FALSE)),0,VLOOKUP($A241,'Mutasi Neraca'!$A$3:$S$910,12,FALSE))</f>
        <v>6696977642</v>
      </c>
      <c r="N241" s="42">
        <f>VLOOKUP($A241,'Neraca Unaudited SIMAK'!$A$2:$R$1272,13,FALSE)+IF(ISNA(VLOOKUP($A241,'Mutasi Neraca'!$A$3:$S$910,13,FALSE)),0,VLOOKUP($A241,'Mutasi Neraca'!$A$3:$S$910,13,FALSE))</f>
        <v>-1367742943</v>
      </c>
      <c r="O241" s="42">
        <f>VLOOKUP($A241,'Neraca Unaudited SIMAK'!$A$2:$R$1272,14,FALSE)+IF(ISNA(VLOOKUP($A241,'Mutasi Neraca'!$A$3:$S$910,14,FALSE)),0,VLOOKUP($A241,'Mutasi Neraca'!$A$3:$S$910,14,FALSE))</f>
        <v>-2139802920</v>
      </c>
      <c r="P241" s="42">
        <f>VLOOKUP($A241,'Neraca Unaudited SIMAK'!$A$2:$R$1272,15,FALSE)+IF(ISNA(VLOOKUP($A241,'Mutasi Neraca'!$A$3:$S$910,15,FALSE)),0,VLOOKUP($A241,'Mutasi Neraca'!$A$3:$S$910,15,FALSE))</f>
        <v>-40000000</v>
      </c>
      <c r="Q241" s="42">
        <f>VLOOKUP($A241,'Neraca Unaudited SIMAK'!$A$2:$R$1272,16,FALSE)+IF(ISNA(VLOOKUP($A241,'Mutasi Neraca'!$A$3:$S$910,16,FALSE)),0,VLOOKUP($A241,'Mutasi Neraca'!$A$3:$S$910,16,FALSE))</f>
        <v>0</v>
      </c>
      <c r="R241" s="42">
        <f>VLOOKUP($A241,'Neraca Unaudited SIMAK'!$A$2:$R$1272,17,FALSE)+IF(ISNA(VLOOKUP($A241,'Mutasi Neraca'!$A$3:$S$910,17,FALSE)),0,VLOOKUP($A241,'Mutasi Neraca'!$A$3:$S$910,17,FALSE))</f>
        <v>0</v>
      </c>
      <c r="S241" s="42">
        <f t="shared" si="49"/>
        <v>3149431779</v>
      </c>
    </row>
    <row r="242" spans="1:19">
      <c r="A242" s="41" t="s">
        <v>249</v>
      </c>
      <c r="B242" s="41" t="str">
        <f t="shared" si="48"/>
        <v>005010600</v>
      </c>
      <c r="D242" s="42">
        <f>VLOOKUP($A242,'Neraca Unaudited SIMAK'!$A$2:$R$1272,3,FALSE)+IF(ISNA(VLOOKUP($A242,'Mutasi Neraca'!$A$3:$S$910,3,FALSE)),0,VLOOKUP($A242,'Mutasi Neraca'!$A$3:$S$910,3,FALSE))</f>
        <v>766500</v>
      </c>
      <c r="E242" s="42">
        <f>VLOOKUP($A242,'Neraca Unaudited SIMAK'!$A$2:$R$1272,4,FALSE)+IF(ISNA(VLOOKUP($A242,'Mutasi Neraca'!$A$3:$S$910,4,FALSE)),0,VLOOKUP($A242,'Mutasi Neraca'!$A$3:$S$910,4,FALSE))</f>
        <v>2874867750</v>
      </c>
      <c r="F242" s="42">
        <f>VLOOKUP($A242,'Neraca Unaudited SIMAK'!$A$2:$R$1272,5,FALSE)+IF(ISNA(VLOOKUP($A242,'Mutasi Neraca'!$A$3:$S$910,5,FALSE)),0,VLOOKUP($A242,'Mutasi Neraca'!$A$3:$S$910,5,FALSE))</f>
        <v>1980854000</v>
      </c>
      <c r="G242" s="42">
        <f>VLOOKUP($A242,'Neraca Unaudited SIMAK'!$A$2:$R$1272,6,FALSE)+IF(ISNA(VLOOKUP($A242,'Mutasi Neraca'!$A$3:$S$910,6,FALSE)),0,VLOOKUP($A242,'Mutasi Neraca'!$A$3:$S$910,6,FALSE))</f>
        <v>16249605590</v>
      </c>
      <c r="H242" s="42">
        <f>VLOOKUP($A242,'Neraca Unaudited SIMAK'!$A$2:$R$1272,7,FALSE)+IF(ISNA(VLOOKUP($A242,'Mutasi Neraca'!$A$3:$S$910,7,FALSE)),0,VLOOKUP($A242,'Mutasi Neraca'!$A$3:$S$910,7,FALSE))</f>
        <v>0</v>
      </c>
      <c r="I242" s="42">
        <f>VLOOKUP($A242,'Neraca Unaudited SIMAK'!$A$2:$R$1272,8,FALSE)+IF(ISNA(VLOOKUP($A242,'Mutasi Neraca'!$A$3:$S$910,8,FALSE)),0,VLOOKUP($A242,'Mutasi Neraca'!$A$3:$S$910,8,FALSE))</f>
        <v>3543440</v>
      </c>
      <c r="J242" s="42">
        <f>VLOOKUP($A242,'Neraca Unaudited SIMAK'!$A$2:$R$1272,9,FALSE)+IF(ISNA(VLOOKUP($A242,'Mutasi Neraca'!$A$3:$S$910,9,FALSE)),0,VLOOKUP($A242,'Mutasi Neraca'!$A$3:$S$910,9,FALSE))</f>
        <v>0</v>
      </c>
      <c r="K242" s="42">
        <f>VLOOKUP($A242,'Neraca Unaudited SIMAK'!$A$2:$R$1272,10,FALSE)+IF(ISNA(VLOOKUP($A242,'Mutasi Neraca'!$A$3:$S$910,10,FALSE)),0,VLOOKUP($A242,'Mutasi Neraca'!$A$3:$S$910,10,FALSE))</f>
        <v>0</v>
      </c>
      <c r="L242" s="42">
        <f>VLOOKUP($A242,'Neraca Unaudited SIMAK'!$A$2:$R$1272,11,FALSE)+IF(ISNA(VLOOKUP($A242,'Mutasi Neraca'!$A$3:$S$910,11,FALSE)),0,VLOOKUP($A242,'Mutasi Neraca'!$A$3:$S$910,11,FALSE))</f>
        <v>93320000</v>
      </c>
      <c r="M242" s="42">
        <f>VLOOKUP($A242,'Neraca Unaudited SIMAK'!$A$2:$R$1272,12,FALSE)+IF(ISNA(VLOOKUP($A242,'Mutasi Neraca'!$A$3:$S$910,12,FALSE)),0,VLOOKUP($A242,'Mutasi Neraca'!$A$3:$S$910,12,FALSE))</f>
        <v>21202957280</v>
      </c>
      <c r="N242" s="42">
        <f>VLOOKUP($A242,'Neraca Unaudited SIMAK'!$A$2:$R$1272,13,FALSE)+IF(ISNA(VLOOKUP($A242,'Mutasi Neraca'!$A$3:$S$910,13,FALSE)),0,VLOOKUP($A242,'Mutasi Neraca'!$A$3:$S$910,13,FALSE))</f>
        <v>-1365979590</v>
      </c>
      <c r="O242" s="42">
        <f>VLOOKUP($A242,'Neraca Unaudited SIMAK'!$A$2:$R$1272,14,FALSE)+IF(ISNA(VLOOKUP($A242,'Mutasi Neraca'!$A$3:$S$910,14,FALSE)),0,VLOOKUP($A242,'Mutasi Neraca'!$A$3:$S$910,14,FALSE))</f>
        <v>-4761221907</v>
      </c>
      <c r="P242" s="42">
        <f>VLOOKUP($A242,'Neraca Unaudited SIMAK'!$A$2:$R$1272,15,FALSE)+IF(ISNA(VLOOKUP($A242,'Mutasi Neraca'!$A$3:$S$910,15,FALSE)),0,VLOOKUP($A242,'Mutasi Neraca'!$A$3:$S$910,15,FALSE))</f>
        <v>0</v>
      </c>
      <c r="Q242" s="42">
        <f>VLOOKUP($A242,'Neraca Unaudited SIMAK'!$A$2:$R$1272,16,FALSE)+IF(ISNA(VLOOKUP($A242,'Mutasi Neraca'!$A$3:$S$910,16,FALSE)),0,VLOOKUP($A242,'Mutasi Neraca'!$A$3:$S$910,16,FALSE))</f>
        <v>0</v>
      </c>
      <c r="R242" s="42">
        <f>VLOOKUP($A242,'Neraca Unaudited SIMAK'!$A$2:$R$1272,17,FALSE)+IF(ISNA(VLOOKUP($A242,'Mutasi Neraca'!$A$3:$S$910,17,FALSE)),0,VLOOKUP($A242,'Mutasi Neraca'!$A$3:$S$910,17,FALSE))</f>
        <v>-93320000</v>
      </c>
      <c r="S242" s="42">
        <f t="shared" si="49"/>
        <v>14982435783</v>
      </c>
    </row>
    <row r="243" spans="1:19">
      <c r="A243" s="41" t="s">
        <v>250</v>
      </c>
      <c r="B243" s="41" t="str">
        <f t="shared" si="48"/>
        <v>005010600</v>
      </c>
      <c r="D243" s="42">
        <f>VLOOKUP($A243,'Neraca Unaudited SIMAK'!$A$2:$R$1272,3,FALSE)+IF(ISNA(VLOOKUP($A243,'Mutasi Neraca'!$A$3:$S$910,3,FALSE)),0,VLOOKUP($A243,'Mutasi Neraca'!$A$3:$S$910,3,FALSE))</f>
        <v>2744600</v>
      </c>
      <c r="E243" s="42">
        <f>VLOOKUP($A243,'Neraca Unaudited SIMAK'!$A$2:$R$1272,4,FALSE)+IF(ISNA(VLOOKUP($A243,'Mutasi Neraca'!$A$3:$S$910,4,FALSE)),0,VLOOKUP($A243,'Mutasi Neraca'!$A$3:$S$910,4,FALSE))</f>
        <v>2732774700</v>
      </c>
      <c r="F243" s="42">
        <f>VLOOKUP($A243,'Neraca Unaudited SIMAK'!$A$2:$R$1272,5,FALSE)+IF(ISNA(VLOOKUP($A243,'Mutasi Neraca'!$A$3:$S$910,5,FALSE)),0,VLOOKUP($A243,'Mutasi Neraca'!$A$3:$S$910,5,FALSE))</f>
        <v>1486624237</v>
      </c>
      <c r="G243" s="42">
        <f>VLOOKUP($A243,'Neraca Unaudited SIMAK'!$A$2:$R$1272,6,FALSE)+IF(ISNA(VLOOKUP($A243,'Mutasi Neraca'!$A$3:$S$910,6,FALSE)),0,VLOOKUP($A243,'Mutasi Neraca'!$A$3:$S$910,6,FALSE))</f>
        <v>15962491836</v>
      </c>
      <c r="H243" s="42">
        <f>VLOOKUP($A243,'Neraca Unaudited SIMAK'!$A$2:$R$1272,7,FALSE)+IF(ISNA(VLOOKUP($A243,'Mutasi Neraca'!$A$3:$S$910,7,FALSE)),0,VLOOKUP($A243,'Mutasi Neraca'!$A$3:$S$910,7,FALSE))</f>
        <v>0</v>
      </c>
      <c r="I243" s="42">
        <f>VLOOKUP($A243,'Neraca Unaudited SIMAK'!$A$2:$R$1272,8,FALSE)+IF(ISNA(VLOOKUP($A243,'Mutasi Neraca'!$A$3:$S$910,8,FALSE)),0,VLOOKUP($A243,'Mutasi Neraca'!$A$3:$S$910,8,FALSE))</f>
        <v>1943440</v>
      </c>
      <c r="J243" s="42">
        <f>VLOOKUP($A243,'Neraca Unaudited SIMAK'!$A$2:$R$1272,9,FALSE)+IF(ISNA(VLOOKUP($A243,'Mutasi Neraca'!$A$3:$S$910,9,FALSE)),0,VLOOKUP($A243,'Mutasi Neraca'!$A$3:$S$910,9,FALSE))</f>
        <v>0</v>
      </c>
      <c r="K243" s="42">
        <f>VLOOKUP($A243,'Neraca Unaudited SIMAK'!$A$2:$R$1272,10,FALSE)+IF(ISNA(VLOOKUP($A243,'Mutasi Neraca'!$A$3:$S$910,10,FALSE)),0,VLOOKUP($A243,'Mutasi Neraca'!$A$3:$S$910,10,FALSE))</f>
        <v>0</v>
      </c>
      <c r="L243" s="42">
        <f>VLOOKUP($A243,'Neraca Unaudited SIMAK'!$A$2:$R$1272,11,FALSE)+IF(ISNA(VLOOKUP($A243,'Mutasi Neraca'!$A$3:$S$910,11,FALSE)),0,VLOOKUP($A243,'Mutasi Neraca'!$A$3:$S$910,11,FALSE))</f>
        <v>2527481</v>
      </c>
      <c r="M243" s="42">
        <f>VLOOKUP($A243,'Neraca Unaudited SIMAK'!$A$2:$R$1272,12,FALSE)+IF(ISNA(VLOOKUP($A243,'Mutasi Neraca'!$A$3:$S$910,12,FALSE)),0,VLOOKUP($A243,'Mutasi Neraca'!$A$3:$S$910,12,FALSE))</f>
        <v>20189106294</v>
      </c>
      <c r="N243" s="42">
        <f>VLOOKUP($A243,'Neraca Unaudited SIMAK'!$A$2:$R$1272,13,FALSE)+IF(ISNA(VLOOKUP($A243,'Mutasi Neraca'!$A$3:$S$910,13,FALSE)),0,VLOOKUP($A243,'Mutasi Neraca'!$A$3:$S$910,13,FALSE))</f>
        <v>-1313485916</v>
      </c>
      <c r="O243" s="42">
        <f>VLOOKUP($A243,'Neraca Unaudited SIMAK'!$A$2:$R$1272,14,FALSE)+IF(ISNA(VLOOKUP($A243,'Mutasi Neraca'!$A$3:$S$910,14,FALSE)),0,VLOOKUP($A243,'Mutasi Neraca'!$A$3:$S$910,14,FALSE))</f>
        <v>-5638604222</v>
      </c>
      <c r="P243" s="42">
        <f>VLOOKUP($A243,'Neraca Unaudited SIMAK'!$A$2:$R$1272,15,FALSE)+IF(ISNA(VLOOKUP($A243,'Mutasi Neraca'!$A$3:$S$910,15,FALSE)),0,VLOOKUP($A243,'Mutasi Neraca'!$A$3:$S$910,15,FALSE))</f>
        <v>0</v>
      </c>
      <c r="Q243" s="42">
        <f>VLOOKUP($A243,'Neraca Unaudited SIMAK'!$A$2:$R$1272,16,FALSE)+IF(ISNA(VLOOKUP($A243,'Mutasi Neraca'!$A$3:$S$910,16,FALSE)),0,VLOOKUP($A243,'Mutasi Neraca'!$A$3:$S$910,16,FALSE))</f>
        <v>0</v>
      </c>
      <c r="R243" s="42">
        <f>VLOOKUP($A243,'Neraca Unaudited SIMAK'!$A$2:$R$1272,17,FALSE)+IF(ISNA(VLOOKUP($A243,'Mutasi Neraca'!$A$3:$S$910,17,FALSE)),0,VLOOKUP($A243,'Mutasi Neraca'!$A$3:$S$910,17,FALSE))</f>
        <v>-2527481</v>
      </c>
      <c r="S243" s="42">
        <f t="shared" si="49"/>
        <v>13234488675</v>
      </c>
    </row>
    <row r="244" spans="1:19">
      <c r="A244" s="41" t="s">
        <v>251</v>
      </c>
      <c r="B244" s="41" t="str">
        <f t="shared" si="48"/>
        <v>005010600</v>
      </c>
      <c r="D244" s="42">
        <f>VLOOKUP($A244,'Neraca Unaudited SIMAK'!$A$2:$R$1272,3,FALSE)+IF(ISNA(VLOOKUP($A244,'Mutasi Neraca'!$A$3:$S$910,3,FALSE)),0,VLOOKUP($A244,'Mutasi Neraca'!$A$3:$S$910,3,FALSE))</f>
        <v>0</v>
      </c>
      <c r="E244" s="42">
        <f>VLOOKUP($A244,'Neraca Unaudited SIMAK'!$A$2:$R$1272,4,FALSE)+IF(ISNA(VLOOKUP($A244,'Mutasi Neraca'!$A$3:$S$910,4,FALSE)),0,VLOOKUP($A244,'Mutasi Neraca'!$A$3:$S$910,4,FALSE))</f>
        <v>6181780000</v>
      </c>
      <c r="F244" s="42">
        <f>VLOOKUP($A244,'Neraca Unaudited SIMAK'!$A$2:$R$1272,5,FALSE)+IF(ISNA(VLOOKUP($A244,'Mutasi Neraca'!$A$3:$S$910,5,FALSE)),0,VLOOKUP($A244,'Mutasi Neraca'!$A$3:$S$910,5,FALSE))</f>
        <v>1517067853</v>
      </c>
      <c r="G244" s="42">
        <f>VLOOKUP($A244,'Neraca Unaudited SIMAK'!$A$2:$R$1272,6,FALSE)+IF(ISNA(VLOOKUP($A244,'Mutasi Neraca'!$A$3:$S$910,6,FALSE)),0,VLOOKUP($A244,'Mutasi Neraca'!$A$3:$S$910,6,FALSE))</f>
        <v>1789027500</v>
      </c>
      <c r="H244" s="42">
        <f>VLOOKUP($A244,'Neraca Unaudited SIMAK'!$A$2:$R$1272,7,FALSE)+IF(ISNA(VLOOKUP($A244,'Mutasi Neraca'!$A$3:$S$910,7,FALSE)),0,VLOOKUP($A244,'Mutasi Neraca'!$A$3:$S$910,7,FALSE))</f>
        <v>99000000</v>
      </c>
      <c r="I244" s="42">
        <f>VLOOKUP($A244,'Neraca Unaudited SIMAK'!$A$2:$R$1272,8,FALSE)+IF(ISNA(VLOOKUP($A244,'Mutasi Neraca'!$A$3:$S$910,8,FALSE)),0,VLOOKUP($A244,'Mutasi Neraca'!$A$3:$S$910,8,FALSE))</f>
        <v>2178440</v>
      </c>
      <c r="J244" s="42">
        <f>VLOOKUP($A244,'Neraca Unaudited SIMAK'!$A$2:$R$1272,9,FALSE)+IF(ISNA(VLOOKUP($A244,'Mutasi Neraca'!$A$3:$S$910,9,FALSE)),0,VLOOKUP($A244,'Mutasi Neraca'!$A$3:$S$910,9,FALSE))</f>
        <v>9010640000</v>
      </c>
      <c r="K244" s="42">
        <f>VLOOKUP($A244,'Neraca Unaudited SIMAK'!$A$2:$R$1272,10,FALSE)+IF(ISNA(VLOOKUP($A244,'Mutasi Neraca'!$A$3:$S$910,10,FALSE)),0,VLOOKUP($A244,'Mutasi Neraca'!$A$3:$S$910,10,FALSE))</f>
        <v>0</v>
      </c>
      <c r="L244" s="42">
        <f>VLOOKUP($A244,'Neraca Unaudited SIMAK'!$A$2:$R$1272,11,FALSE)+IF(ISNA(VLOOKUP($A244,'Mutasi Neraca'!$A$3:$S$910,11,FALSE)),0,VLOOKUP($A244,'Mutasi Neraca'!$A$3:$S$910,11,FALSE))</f>
        <v>9574684850</v>
      </c>
      <c r="M244" s="42">
        <f>VLOOKUP($A244,'Neraca Unaudited SIMAK'!$A$2:$R$1272,12,FALSE)+IF(ISNA(VLOOKUP($A244,'Mutasi Neraca'!$A$3:$S$910,12,FALSE)),0,VLOOKUP($A244,'Mutasi Neraca'!$A$3:$S$910,12,FALSE))</f>
        <v>28174378643</v>
      </c>
      <c r="N244" s="42">
        <f>VLOOKUP($A244,'Neraca Unaudited SIMAK'!$A$2:$R$1272,13,FALSE)+IF(ISNA(VLOOKUP($A244,'Mutasi Neraca'!$A$3:$S$910,13,FALSE)),0,VLOOKUP($A244,'Mutasi Neraca'!$A$3:$S$910,13,FALSE))</f>
        <v>-1254132088</v>
      </c>
      <c r="O244" s="42">
        <f>VLOOKUP($A244,'Neraca Unaudited SIMAK'!$A$2:$R$1272,14,FALSE)+IF(ISNA(VLOOKUP($A244,'Mutasi Neraca'!$A$3:$S$910,14,FALSE)),0,VLOOKUP($A244,'Mutasi Neraca'!$A$3:$S$910,14,FALSE))</f>
        <v>-1217672475</v>
      </c>
      <c r="P244" s="42">
        <f>VLOOKUP($A244,'Neraca Unaudited SIMAK'!$A$2:$R$1272,15,FALSE)+IF(ISNA(VLOOKUP($A244,'Mutasi Neraca'!$A$3:$S$910,15,FALSE)),0,VLOOKUP($A244,'Mutasi Neraca'!$A$3:$S$910,15,FALSE))</f>
        <v>-32175000</v>
      </c>
      <c r="Q244" s="42">
        <f>VLOOKUP($A244,'Neraca Unaudited SIMAK'!$A$2:$R$1272,16,FALSE)+IF(ISNA(VLOOKUP($A244,'Mutasi Neraca'!$A$3:$S$910,16,FALSE)),0,VLOOKUP($A244,'Mutasi Neraca'!$A$3:$S$910,16,FALSE))</f>
        <v>0</v>
      </c>
      <c r="R244" s="42">
        <f>VLOOKUP($A244,'Neraca Unaudited SIMAK'!$A$2:$R$1272,17,FALSE)+IF(ISNA(VLOOKUP($A244,'Mutasi Neraca'!$A$3:$S$910,17,FALSE)),0,VLOOKUP($A244,'Mutasi Neraca'!$A$3:$S$910,17,FALSE))</f>
        <v>-5322782851</v>
      </c>
      <c r="S244" s="42">
        <f t="shared" si="49"/>
        <v>20347616229</v>
      </c>
    </row>
    <row r="245" spans="1:19">
      <c r="A245" s="41" t="s">
        <v>252</v>
      </c>
      <c r="B245" s="41" t="str">
        <f t="shared" si="48"/>
        <v>005010600</v>
      </c>
      <c r="D245" s="42">
        <f>VLOOKUP($A245,'Neraca Unaudited SIMAK'!$A$2:$R$1272,3,FALSE)+IF(ISNA(VLOOKUP($A245,'Mutasi Neraca'!$A$3:$S$910,3,FALSE)),0,VLOOKUP($A245,'Mutasi Neraca'!$A$3:$S$910,3,FALSE))</f>
        <v>475500</v>
      </c>
      <c r="E245" s="42">
        <f>VLOOKUP($A245,'Neraca Unaudited SIMAK'!$A$2:$R$1272,4,FALSE)+IF(ISNA(VLOOKUP($A245,'Mutasi Neraca'!$A$3:$S$910,4,FALSE)),0,VLOOKUP($A245,'Mutasi Neraca'!$A$3:$S$910,4,FALSE))</f>
        <v>2952900000</v>
      </c>
      <c r="F245" s="42">
        <f>VLOOKUP($A245,'Neraca Unaudited SIMAK'!$A$2:$R$1272,5,FALSE)+IF(ISNA(VLOOKUP($A245,'Mutasi Neraca'!$A$3:$S$910,5,FALSE)),0,VLOOKUP($A245,'Mutasi Neraca'!$A$3:$S$910,5,FALSE))</f>
        <v>1334648008</v>
      </c>
      <c r="G245" s="42">
        <f>VLOOKUP($A245,'Neraca Unaudited SIMAK'!$A$2:$R$1272,6,FALSE)+IF(ISNA(VLOOKUP($A245,'Mutasi Neraca'!$A$3:$S$910,6,FALSE)),0,VLOOKUP($A245,'Mutasi Neraca'!$A$3:$S$910,6,FALSE))</f>
        <v>4218244584</v>
      </c>
      <c r="H245" s="42">
        <f>VLOOKUP($A245,'Neraca Unaudited SIMAK'!$A$2:$R$1272,7,FALSE)+IF(ISNA(VLOOKUP($A245,'Mutasi Neraca'!$A$3:$S$910,7,FALSE)),0,VLOOKUP($A245,'Mutasi Neraca'!$A$3:$S$910,7,FALSE))</f>
        <v>30500000</v>
      </c>
      <c r="I245" s="42">
        <f>VLOOKUP($A245,'Neraca Unaudited SIMAK'!$A$2:$R$1272,8,FALSE)+IF(ISNA(VLOOKUP($A245,'Mutasi Neraca'!$A$3:$S$910,8,FALSE)),0,VLOOKUP($A245,'Mutasi Neraca'!$A$3:$S$910,8,FALSE))</f>
        <v>118943440</v>
      </c>
      <c r="J245" s="42">
        <f>VLOOKUP($A245,'Neraca Unaudited SIMAK'!$A$2:$R$1272,9,FALSE)+IF(ISNA(VLOOKUP($A245,'Mutasi Neraca'!$A$3:$S$910,9,FALSE)),0,VLOOKUP($A245,'Mutasi Neraca'!$A$3:$S$910,9,FALSE))</f>
        <v>0</v>
      </c>
      <c r="K245" s="42">
        <f>VLOOKUP($A245,'Neraca Unaudited SIMAK'!$A$2:$R$1272,10,FALSE)+IF(ISNA(VLOOKUP($A245,'Mutasi Neraca'!$A$3:$S$910,10,FALSE)),0,VLOOKUP($A245,'Mutasi Neraca'!$A$3:$S$910,10,FALSE))</f>
        <v>0</v>
      </c>
      <c r="L245" s="42">
        <f>VLOOKUP($A245,'Neraca Unaudited SIMAK'!$A$2:$R$1272,11,FALSE)+IF(ISNA(VLOOKUP($A245,'Mutasi Neraca'!$A$3:$S$910,11,FALSE)),0,VLOOKUP($A245,'Mutasi Neraca'!$A$3:$S$910,11,FALSE))</f>
        <v>6442000</v>
      </c>
      <c r="M245" s="42">
        <f>VLOOKUP($A245,'Neraca Unaudited SIMAK'!$A$2:$R$1272,12,FALSE)+IF(ISNA(VLOOKUP($A245,'Mutasi Neraca'!$A$3:$S$910,12,FALSE)),0,VLOOKUP($A245,'Mutasi Neraca'!$A$3:$S$910,12,FALSE))</f>
        <v>8662153532</v>
      </c>
      <c r="N245" s="42">
        <f>VLOOKUP($A245,'Neraca Unaudited SIMAK'!$A$2:$R$1272,13,FALSE)+IF(ISNA(VLOOKUP($A245,'Mutasi Neraca'!$A$3:$S$910,13,FALSE)),0,VLOOKUP($A245,'Mutasi Neraca'!$A$3:$S$910,13,FALSE))</f>
        <v>-1228799637</v>
      </c>
      <c r="O245" s="42">
        <f>VLOOKUP($A245,'Neraca Unaudited SIMAK'!$A$2:$R$1272,14,FALSE)+IF(ISNA(VLOOKUP($A245,'Mutasi Neraca'!$A$3:$S$910,14,FALSE)),0,VLOOKUP($A245,'Mutasi Neraca'!$A$3:$S$910,14,FALSE))</f>
        <v>-2531105290</v>
      </c>
      <c r="P245" s="42">
        <f>VLOOKUP($A245,'Neraca Unaudited SIMAK'!$A$2:$R$1272,15,FALSE)+IF(ISNA(VLOOKUP($A245,'Mutasi Neraca'!$A$3:$S$910,15,FALSE)),0,VLOOKUP($A245,'Mutasi Neraca'!$A$3:$S$910,15,FALSE))</f>
        <v>-3908331</v>
      </c>
      <c r="Q245" s="42">
        <f>VLOOKUP($A245,'Neraca Unaudited SIMAK'!$A$2:$R$1272,16,FALSE)+IF(ISNA(VLOOKUP($A245,'Mutasi Neraca'!$A$3:$S$910,16,FALSE)),0,VLOOKUP($A245,'Mutasi Neraca'!$A$3:$S$910,16,FALSE))</f>
        <v>0</v>
      </c>
      <c r="R245" s="42">
        <f>VLOOKUP($A245,'Neraca Unaudited SIMAK'!$A$2:$R$1272,17,FALSE)+IF(ISNA(VLOOKUP($A245,'Mutasi Neraca'!$A$3:$S$910,17,FALSE)),0,VLOOKUP($A245,'Mutasi Neraca'!$A$3:$S$910,17,FALSE))</f>
        <v>-6442000</v>
      </c>
      <c r="S245" s="42">
        <f t="shared" si="49"/>
        <v>4891898274</v>
      </c>
    </row>
    <row r="246" spans="1:19">
      <c r="A246" s="41" t="s">
        <v>253</v>
      </c>
      <c r="B246" s="41" t="str">
        <f t="shared" si="48"/>
        <v>005010600</v>
      </c>
      <c r="D246" s="42">
        <f>VLOOKUP($A246,'Neraca Unaudited SIMAK'!$A$2:$R$1272,3,FALSE)+IF(ISNA(VLOOKUP($A246,'Mutasi Neraca'!$A$3:$S$910,3,FALSE)),0,VLOOKUP($A246,'Mutasi Neraca'!$A$3:$S$910,3,FALSE))</f>
        <v>1883600</v>
      </c>
      <c r="E246" s="42">
        <f>VLOOKUP($A246,'Neraca Unaudited SIMAK'!$A$2:$R$1272,4,FALSE)+IF(ISNA(VLOOKUP($A246,'Mutasi Neraca'!$A$3:$S$910,4,FALSE)),0,VLOOKUP($A246,'Mutasi Neraca'!$A$3:$S$910,4,FALSE))</f>
        <v>2334014533</v>
      </c>
      <c r="F246" s="42">
        <f>VLOOKUP($A246,'Neraca Unaudited SIMAK'!$A$2:$R$1272,5,FALSE)+IF(ISNA(VLOOKUP($A246,'Mutasi Neraca'!$A$3:$S$910,5,FALSE)),0,VLOOKUP($A246,'Mutasi Neraca'!$A$3:$S$910,5,FALSE))</f>
        <v>974873584</v>
      </c>
      <c r="G246" s="42">
        <f>VLOOKUP($A246,'Neraca Unaudited SIMAK'!$A$2:$R$1272,6,FALSE)+IF(ISNA(VLOOKUP($A246,'Mutasi Neraca'!$A$3:$S$910,6,FALSE)),0,VLOOKUP($A246,'Mutasi Neraca'!$A$3:$S$910,6,FALSE))</f>
        <v>18409855922</v>
      </c>
      <c r="H246" s="42">
        <f>VLOOKUP($A246,'Neraca Unaudited SIMAK'!$A$2:$R$1272,7,FALSE)+IF(ISNA(VLOOKUP($A246,'Mutasi Neraca'!$A$3:$S$910,7,FALSE)),0,VLOOKUP($A246,'Mutasi Neraca'!$A$3:$S$910,7,FALSE))</f>
        <v>0</v>
      </c>
      <c r="I246" s="42">
        <f>VLOOKUP($A246,'Neraca Unaudited SIMAK'!$A$2:$R$1272,8,FALSE)+IF(ISNA(VLOOKUP($A246,'Mutasi Neraca'!$A$3:$S$910,8,FALSE)),0,VLOOKUP($A246,'Mutasi Neraca'!$A$3:$S$910,8,FALSE))</f>
        <v>4772118</v>
      </c>
      <c r="J246" s="42">
        <f>VLOOKUP($A246,'Neraca Unaudited SIMAK'!$A$2:$R$1272,9,FALSE)+IF(ISNA(VLOOKUP($A246,'Mutasi Neraca'!$A$3:$S$910,9,FALSE)),0,VLOOKUP($A246,'Mutasi Neraca'!$A$3:$S$910,9,FALSE))</f>
        <v>0</v>
      </c>
      <c r="K246" s="42">
        <f>VLOOKUP($A246,'Neraca Unaudited SIMAK'!$A$2:$R$1272,10,FALSE)+IF(ISNA(VLOOKUP($A246,'Mutasi Neraca'!$A$3:$S$910,10,FALSE)),0,VLOOKUP($A246,'Mutasi Neraca'!$A$3:$S$910,10,FALSE))</f>
        <v>0</v>
      </c>
      <c r="L246" s="42">
        <f>VLOOKUP($A246,'Neraca Unaudited SIMAK'!$A$2:$R$1272,11,FALSE)+IF(ISNA(VLOOKUP($A246,'Mutasi Neraca'!$A$3:$S$910,11,FALSE)),0,VLOOKUP($A246,'Mutasi Neraca'!$A$3:$S$910,11,FALSE))</f>
        <v>235521116</v>
      </c>
      <c r="M246" s="42">
        <f>VLOOKUP($A246,'Neraca Unaudited SIMAK'!$A$2:$R$1272,12,FALSE)+IF(ISNA(VLOOKUP($A246,'Mutasi Neraca'!$A$3:$S$910,12,FALSE)),0,VLOOKUP($A246,'Mutasi Neraca'!$A$3:$S$910,12,FALSE))</f>
        <v>21960920873</v>
      </c>
      <c r="N246" s="42">
        <f>VLOOKUP($A246,'Neraca Unaudited SIMAK'!$A$2:$R$1272,13,FALSE)+IF(ISNA(VLOOKUP($A246,'Mutasi Neraca'!$A$3:$S$910,13,FALSE)),0,VLOOKUP($A246,'Mutasi Neraca'!$A$3:$S$910,13,FALSE))</f>
        <v>-845267310</v>
      </c>
      <c r="O246" s="42">
        <f>VLOOKUP($A246,'Neraca Unaudited SIMAK'!$A$2:$R$1272,14,FALSE)+IF(ISNA(VLOOKUP($A246,'Mutasi Neraca'!$A$3:$S$910,14,FALSE)),0,VLOOKUP($A246,'Mutasi Neraca'!$A$3:$S$910,14,FALSE))</f>
        <v>-1946826905</v>
      </c>
      <c r="P246" s="42">
        <f>VLOOKUP($A246,'Neraca Unaudited SIMAK'!$A$2:$R$1272,15,FALSE)+IF(ISNA(VLOOKUP($A246,'Mutasi Neraca'!$A$3:$S$910,15,FALSE)),0,VLOOKUP($A246,'Mutasi Neraca'!$A$3:$S$910,15,FALSE))</f>
        <v>0</v>
      </c>
      <c r="Q246" s="42">
        <f>VLOOKUP($A246,'Neraca Unaudited SIMAK'!$A$2:$R$1272,16,FALSE)+IF(ISNA(VLOOKUP($A246,'Mutasi Neraca'!$A$3:$S$910,16,FALSE)),0,VLOOKUP($A246,'Mutasi Neraca'!$A$3:$S$910,16,FALSE))</f>
        <v>0</v>
      </c>
      <c r="R246" s="42">
        <f>VLOOKUP($A246,'Neraca Unaudited SIMAK'!$A$2:$R$1272,17,FALSE)+IF(ISNA(VLOOKUP($A246,'Mutasi Neraca'!$A$3:$S$910,17,FALSE)),0,VLOOKUP($A246,'Mutasi Neraca'!$A$3:$S$910,17,FALSE))</f>
        <v>-235471116</v>
      </c>
      <c r="S246" s="42">
        <f t="shared" si="49"/>
        <v>18933355542</v>
      </c>
    </row>
    <row r="247" spans="1:19">
      <c r="A247" s="41" t="s">
        <v>254</v>
      </c>
      <c r="B247" s="41" t="str">
        <f t="shared" si="48"/>
        <v>005010600</v>
      </c>
      <c r="D247" s="42">
        <f>VLOOKUP($A247,'Neraca Unaudited SIMAK'!$A$2:$R$1272,3,FALSE)+IF(ISNA(VLOOKUP($A247,'Mutasi Neraca'!$A$3:$S$910,3,FALSE)),0,VLOOKUP($A247,'Mutasi Neraca'!$A$3:$S$910,3,FALSE))</f>
        <v>0</v>
      </c>
      <c r="E247" s="42">
        <f>VLOOKUP($A247,'Neraca Unaudited SIMAK'!$A$2:$R$1272,4,FALSE)+IF(ISNA(VLOOKUP($A247,'Mutasi Neraca'!$A$3:$S$910,4,FALSE)),0,VLOOKUP($A247,'Mutasi Neraca'!$A$3:$S$910,4,FALSE))</f>
        <v>3061303550</v>
      </c>
      <c r="F247" s="42">
        <f>VLOOKUP($A247,'Neraca Unaudited SIMAK'!$A$2:$R$1272,5,FALSE)+IF(ISNA(VLOOKUP($A247,'Mutasi Neraca'!$A$3:$S$910,5,FALSE)),0,VLOOKUP($A247,'Mutasi Neraca'!$A$3:$S$910,5,FALSE))</f>
        <v>1585061328</v>
      </c>
      <c r="G247" s="42">
        <f>VLOOKUP($A247,'Neraca Unaudited SIMAK'!$A$2:$R$1272,6,FALSE)+IF(ISNA(VLOOKUP($A247,'Mutasi Neraca'!$A$3:$S$910,6,FALSE)),0,VLOOKUP($A247,'Mutasi Neraca'!$A$3:$S$910,6,FALSE))</f>
        <v>10570837000</v>
      </c>
      <c r="H247" s="42">
        <f>VLOOKUP($A247,'Neraca Unaudited SIMAK'!$A$2:$R$1272,7,FALSE)+IF(ISNA(VLOOKUP($A247,'Mutasi Neraca'!$A$3:$S$910,7,FALSE)),0,VLOOKUP($A247,'Mutasi Neraca'!$A$3:$S$910,7,FALSE))</f>
        <v>0</v>
      </c>
      <c r="I247" s="42">
        <f>VLOOKUP($A247,'Neraca Unaudited SIMAK'!$A$2:$R$1272,8,FALSE)+IF(ISNA(VLOOKUP($A247,'Mutasi Neraca'!$A$3:$S$910,8,FALSE)),0,VLOOKUP($A247,'Mutasi Neraca'!$A$3:$S$910,8,FALSE))</f>
        <v>1943440</v>
      </c>
      <c r="J247" s="42">
        <f>VLOOKUP($A247,'Neraca Unaudited SIMAK'!$A$2:$R$1272,9,FALSE)+IF(ISNA(VLOOKUP($A247,'Mutasi Neraca'!$A$3:$S$910,9,FALSE)),0,VLOOKUP($A247,'Mutasi Neraca'!$A$3:$S$910,9,FALSE))</f>
        <v>0</v>
      </c>
      <c r="K247" s="42">
        <f>VLOOKUP($A247,'Neraca Unaudited SIMAK'!$A$2:$R$1272,10,FALSE)+IF(ISNA(VLOOKUP($A247,'Mutasi Neraca'!$A$3:$S$910,10,FALSE)),0,VLOOKUP($A247,'Mutasi Neraca'!$A$3:$S$910,10,FALSE))</f>
        <v>0</v>
      </c>
      <c r="L247" s="42">
        <f>VLOOKUP($A247,'Neraca Unaudited SIMAK'!$A$2:$R$1272,11,FALSE)+IF(ISNA(VLOOKUP($A247,'Mutasi Neraca'!$A$3:$S$910,11,FALSE)),0,VLOOKUP($A247,'Mutasi Neraca'!$A$3:$S$910,11,FALSE))</f>
        <v>73588000</v>
      </c>
      <c r="M247" s="42">
        <f>VLOOKUP($A247,'Neraca Unaudited SIMAK'!$A$2:$R$1272,12,FALSE)+IF(ISNA(VLOOKUP($A247,'Mutasi Neraca'!$A$3:$S$910,12,FALSE)),0,VLOOKUP($A247,'Mutasi Neraca'!$A$3:$S$910,12,FALSE))</f>
        <v>15292733318</v>
      </c>
      <c r="N247" s="42">
        <f>VLOOKUP($A247,'Neraca Unaudited SIMAK'!$A$2:$R$1272,13,FALSE)+IF(ISNA(VLOOKUP($A247,'Mutasi Neraca'!$A$3:$S$910,13,FALSE)),0,VLOOKUP($A247,'Mutasi Neraca'!$A$3:$S$910,13,FALSE))</f>
        <v>-1403194462</v>
      </c>
      <c r="O247" s="42">
        <f>VLOOKUP($A247,'Neraca Unaudited SIMAK'!$A$2:$R$1272,14,FALSE)+IF(ISNA(VLOOKUP($A247,'Mutasi Neraca'!$A$3:$S$910,14,FALSE)),0,VLOOKUP($A247,'Mutasi Neraca'!$A$3:$S$910,14,FALSE))</f>
        <v>-5970445560</v>
      </c>
      <c r="P247" s="42">
        <f>VLOOKUP($A247,'Neraca Unaudited SIMAK'!$A$2:$R$1272,15,FALSE)+IF(ISNA(VLOOKUP($A247,'Mutasi Neraca'!$A$3:$S$910,15,FALSE)),0,VLOOKUP($A247,'Mutasi Neraca'!$A$3:$S$910,15,FALSE))</f>
        <v>0</v>
      </c>
      <c r="Q247" s="42">
        <f>VLOOKUP($A247,'Neraca Unaudited SIMAK'!$A$2:$R$1272,16,FALSE)+IF(ISNA(VLOOKUP($A247,'Mutasi Neraca'!$A$3:$S$910,16,FALSE)),0,VLOOKUP($A247,'Mutasi Neraca'!$A$3:$S$910,16,FALSE))</f>
        <v>0</v>
      </c>
      <c r="R247" s="42">
        <f>VLOOKUP($A247,'Neraca Unaudited SIMAK'!$A$2:$R$1272,17,FALSE)+IF(ISNA(VLOOKUP($A247,'Mutasi Neraca'!$A$3:$S$910,17,FALSE)),0,VLOOKUP($A247,'Mutasi Neraca'!$A$3:$S$910,17,FALSE))</f>
        <v>-73588000</v>
      </c>
      <c r="S247" s="42">
        <f t="shared" si="49"/>
        <v>7845505296</v>
      </c>
    </row>
    <row r="248" spans="1:19">
      <c r="A248" s="41" t="s">
        <v>255</v>
      </c>
      <c r="B248" s="41" t="str">
        <f t="shared" si="48"/>
        <v>005010600</v>
      </c>
      <c r="D248" s="42">
        <f>VLOOKUP($A248,'Neraca Unaudited SIMAK'!$A$2:$R$1272,3,FALSE)+IF(ISNA(VLOOKUP($A248,'Mutasi Neraca'!$A$3:$S$910,3,FALSE)),0,VLOOKUP($A248,'Mutasi Neraca'!$A$3:$S$910,3,FALSE))</f>
        <v>0</v>
      </c>
      <c r="E248" s="42">
        <f>VLOOKUP($A248,'Neraca Unaudited SIMAK'!$A$2:$R$1272,4,FALSE)+IF(ISNA(VLOOKUP($A248,'Mutasi Neraca'!$A$3:$S$910,4,FALSE)),0,VLOOKUP($A248,'Mutasi Neraca'!$A$3:$S$910,4,FALSE))</f>
        <v>2212360000</v>
      </c>
      <c r="F248" s="42">
        <f>VLOOKUP($A248,'Neraca Unaudited SIMAK'!$A$2:$R$1272,5,FALSE)+IF(ISNA(VLOOKUP($A248,'Mutasi Neraca'!$A$3:$S$910,5,FALSE)),0,VLOOKUP($A248,'Mutasi Neraca'!$A$3:$S$910,5,FALSE))</f>
        <v>815328120</v>
      </c>
      <c r="G248" s="42">
        <f>VLOOKUP($A248,'Neraca Unaudited SIMAK'!$A$2:$R$1272,6,FALSE)+IF(ISNA(VLOOKUP($A248,'Mutasi Neraca'!$A$3:$S$910,6,FALSE)),0,VLOOKUP($A248,'Mutasi Neraca'!$A$3:$S$910,6,FALSE))</f>
        <v>5857375100</v>
      </c>
      <c r="H248" s="42">
        <f>VLOOKUP($A248,'Neraca Unaudited SIMAK'!$A$2:$R$1272,7,FALSE)+IF(ISNA(VLOOKUP($A248,'Mutasi Neraca'!$A$3:$S$910,7,FALSE)),0,VLOOKUP($A248,'Mutasi Neraca'!$A$3:$S$910,7,FALSE))</f>
        <v>0</v>
      </c>
      <c r="I248" s="42">
        <f>VLOOKUP($A248,'Neraca Unaudited SIMAK'!$A$2:$R$1272,8,FALSE)+IF(ISNA(VLOOKUP($A248,'Mutasi Neraca'!$A$3:$S$910,8,FALSE)),0,VLOOKUP($A248,'Mutasi Neraca'!$A$3:$S$910,8,FALSE))</f>
        <v>1943440</v>
      </c>
      <c r="J248" s="42">
        <f>VLOOKUP($A248,'Neraca Unaudited SIMAK'!$A$2:$R$1272,9,FALSE)+IF(ISNA(VLOOKUP($A248,'Mutasi Neraca'!$A$3:$S$910,9,FALSE)),0,VLOOKUP($A248,'Mutasi Neraca'!$A$3:$S$910,9,FALSE))</f>
        <v>0</v>
      </c>
      <c r="K248" s="42">
        <f>VLOOKUP($A248,'Neraca Unaudited SIMAK'!$A$2:$R$1272,10,FALSE)+IF(ISNA(VLOOKUP($A248,'Mutasi Neraca'!$A$3:$S$910,10,FALSE)),0,VLOOKUP($A248,'Mutasi Neraca'!$A$3:$S$910,10,FALSE))</f>
        <v>0</v>
      </c>
      <c r="L248" s="42">
        <f>VLOOKUP($A248,'Neraca Unaudited SIMAK'!$A$2:$R$1272,11,FALSE)+IF(ISNA(VLOOKUP($A248,'Mutasi Neraca'!$A$3:$S$910,11,FALSE)),0,VLOOKUP($A248,'Mutasi Neraca'!$A$3:$S$910,11,FALSE))</f>
        <v>0</v>
      </c>
      <c r="M248" s="42">
        <f>VLOOKUP($A248,'Neraca Unaudited SIMAK'!$A$2:$R$1272,12,FALSE)+IF(ISNA(VLOOKUP($A248,'Mutasi Neraca'!$A$3:$S$910,12,FALSE)),0,VLOOKUP($A248,'Mutasi Neraca'!$A$3:$S$910,12,FALSE))</f>
        <v>8887006660</v>
      </c>
      <c r="N248" s="42">
        <f>VLOOKUP($A248,'Neraca Unaudited SIMAK'!$A$2:$R$1272,13,FALSE)+IF(ISNA(VLOOKUP($A248,'Mutasi Neraca'!$A$3:$S$910,13,FALSE)),0,VLOOKUP($A248,'Mutasi Neraca'!$A$3:$S$910,13,FALSE))</f>
        <v>-730176469</v>
      </c>
      <c r="O248" s="42">
        <f>VLOOKUP($A248,'Neraca Unaudited SIMAK'!$A$2:$R$1272,14,FALSE)+IF(ISNA(VLOOKUP($A248,'Mutasi Neraca'!$A$3:$S$910,14,FALSE)),0,VLOOKUP($A248,'Mutasi Neraca'!$A$3:$S$910,14,FALSE))</f>
        <v>-3721755282</v>
      </c>
      <c r="P248" s="42">
        <f>VLOOKUP($A248,'Neraca Unaudited SIMAK'!$A$2:$R$1272,15,FALSE)+IF(ISNA(VLOOKUP($A248,'Mutasi Neraca'!$A$3:$S$910,15,FALSE)),0,VLOOKUP($A248,'Mutasi Neraca'!$A$3:$S$910,15,FALSE))</f>
        <v>0</v>
      </c>
      <c r="Q248" s="42">
        <f>VLOOKUP($A248,'Neraca Unaudited SIMAK'!$A$2:$R$1272,16,FALSE)+IF(ISNA(VLOOKUP($A248,'Mutasi Neraca'!$A$3:$S$910,16,FALSE)),0,VLOOKUP($A248,'Mutasi Neraca'!$A$3:$S$910,16,FALSE))</f>
        <v>0</v>
      </c>
      <c r="R248" s="42">
        <f>VLOOKUP($A248,'Neraca Unaudited SIMAK'!$A$2:$R$1272,17,FALSE)+IF(ISNA(VLOOKUP($A248,'Mutasi Neraca'!$A$3:$S$910,17,FALSE)),0,VLOOKUP($A248,'Mutasi Neraca'!$A$3:$S$910,17,FALSE))</f>
        <v>0</v>
      </c>
      <c r="S248" s="42">
        <f t="shared" si="49"/>
        <v>4435074909</v>
      </c>
    </row>
    <row r="249" spans="1:19">
      <c r="A249" s="54" t="s">
        <v>256</v>
      </c>
      <c r="B249" s="41" t="str">
        <f t="shared" si="48"/>
        <v>005010600</v>
      </c>
      <c r="D249" s="42">
        <f>VLOOKUP($A249,'Neraca Unaudited SIMAK'!$A$2:$R$1272,3,FALSE)+IF(ISNA(VLOOKUP($A249,'Mutasi Neraca'!$A$3:$S$910,3,FALSE)),0,VLOOKUP($A249,'Mutasi Neraca'!$A$3:$S$910,3,FALSE))</f>
        <v>0</v>
      </c>
      <c r="E249" s="42">
        <f>VLOOKUP($A249,'Neraca Unaudited SIMAK'!$A$2:$R$1272,4,FALSE)+IF(ISNA(VLOOKUP($A249,'Mutasi Neraca'!$A$3:$S$910,4,FALSE)),0,VLOOKUP($A249,'Mutasi Neraca'!$A$3:$S$910,4,FALSE))</f>
        <v>2230164000</v>
      </c>
      <c r="F249" s="42">
        <f>VLOOKUP($A249,'Neraca Unaudited SIMAK'!$A$2:$R$1272,5,FALSE)+IF(ISNA(VLOOKUP($A249,'Mutasi Neraca'!$A$3:$S$910,5,FALSE)),0,VLOOKUP($A249,'Mutasi Neraca'!$A$3:$S$910,5,FALSE))</f>
        <v>1948082080</v>
      </c>
      <c r="G249" s="42">
        <f>VLOOKUP($A249,'Neraca Unaudited SIMAK'!$A$2:$R$1272,6,FALSE)+IF(ISNA(VLOOKUP($A249,'Mutasi Neraca'!$A$3:$S$910,6,FALSE)),0,VLOOKUP($A249,'Mutasi Neraca'!$A$3:$S$910,6,FALSE))</f>
        <v>9054314425</v>
      </c>
      <c r="H249" s="42">
        <f>VLOOKUP($A249,'Neraca Unaudited SIMAK'!$A$2:$R$1272,7,FALSE)+IF(ISNA(VLOOKUP($A249,'Mutasi Neraca'!$A$3:$S$910,7,FALSE)),0,VLOOKUP($A249,'Mutasi Neraca'!$A$3:$S$910,7,FALSE))</f>
        <v>0</v>
      </c>
      <c r="I249" s="42">
        <f>VLOOKUP($A249,'Neraca Unaudited SIMAK'!$A$2:$R$1272,8,FALSE)+IF(ISNA(VLOOKUP($A249,'Mutasi Neraca'!$A$3:$S$910,8,FALSE)),0,VLOOKUP($A249,'Mutasi Neraca'!$A$3:$S$910,8,FALSE))</f>
        <v>19428440</v>
      </c>
      <c r="J249" s="42">
        <f>VLOOKUP($A249,'Neraca Unaudited SIMAK'!$A$2:$R$1272,9,FALSE)+IF(ISNA(VLOOKUP($A249,'Mutasi Neraca'!$A$3:$S$910,9,FALSE)),0,VLOOKUP($A249,'Mutasi Neraca'!$A$3:$S$910,9,FALSE))</f>
        <v>0</v>
      </c>
      <c r="K249" s="42">
        <f>VLOOKUP($A249,'Neraca Unaudited SIMAK'!$A$2:$R$1272,10,FALSE)+IF(ISNA(VLOOKUP($A249,'Mutasi Neraca'!$A$3:$S$910,10,FALSE)),0,VLOOKUP($A249,'Mutasi Neraca'!$A$3:$S$910,10,FALSE))</f>
        <v>0</v>
      </c>
      <c r="L249" s="42">
        <f>VLOOKUP($A249,'Neraca Unaudited SIMAK'!$A$2:$R$1272,11,FALSE)+IF(ISNA(VLOOKUP($A249,'Mutasi Neraca'!$A$3:$S$910,11,FALSE)),0,VLOOKUP($A249,'Mutasi Neraca'!$A$3:$S$910,11,FALSE))</f>
        <v>483577747</v>
      </c>
      <c r="M249" s="42">
        <f>VLOOKUP($A249,'Neraca Unaudited SIMAK'!$A$2:$R$1272,12,FALSE)+IF(ISNA(VLOOKUP($A249,'Mutasi Neraca'!$A$3:$S$910,12,FALSE)),0,VLOOKUP($A249,'Mutasi Neraca'!$A$3:$S$910,12,FALSE))</f>
        <v>13735566692</v>
      </c>
      <c r="N249" s="42">
        <f>VLOOKUP($A249,'Neraca Unaudited SIMAK'!$A$2:$R$1272,13,FALSE)+IF(ISNA(VLOOKUP($A249,'Mutasi Neraca'!$A$3:$S$910,13,FALSE)),0,VLOOKUP($A249,'Mutasi Neraca'!$A$3:$S$910,13,FALSE))</f>
        <v>-1209412726</v>
      </c>
      <c r="O249" s="42">
        <f>VLOOKUP($A249,'Neraca Unaudited SIMAK'!$A$2:$R$1272,14,FALSE)+IF(ISNA(VLOOKUP($A249,'Mutasi Neraca'!$A$3:$S$910,14,FALSE)),0,VLOOKUP($A249,'Mutasi Neraca'!$A$3:$S$910,14,FALSE))</f>
        <v>-2224985921</v>
      </c>
      <c r="P249" s="42">
        <f>VLOOKUP($A249,'Neraca Unaudited SIMAK'!$A$2:$R$1272,15,FALSE)+IF(ISNA(VLOOKUP($A249,'Mutasi Neraca'!$A$3:$S$910,15,FALSE)),0,VLOOKUP($A249,'Mutasi Neraca'!$A$3:$S$910,15,FALSE))</f>
        <v>0</v>
      </c>
      <c r="Q249" s="42">
        <f>VLOOKUP($A249,'Neraca Unaudited SIMAK'!$A$2:$R$1272,16,FALSE)+IF(ISNA(VLOOKUP($A249,'Mutasi Neraca'!$A$3:$S$910,16,FALSE)),0,VLOOKUP($A249,'Mutasi Neraca'!$A$3:$S$910,16,FALSE))</f>
        <v>0</v>
      </c>
      <c r="R249" s="42">
        <f>VLOOKUP($A249,'Neraca Unaudited SIMAK'!$A$2:$R$1272,17,FALSE)+IF(ISNA(VLOOKUP($A249,'Mutasi Neraca'!$A$3:$S$910,17,FALSE)),0,VLOOKUP($A249,'Mutasi Neraca'!$A$3:$S$910,17,FALSE))</f>
        <v>-478902481</v>
      </c>
      <c r="S249" s="42">
        <f t="shared" si="49"/>
        <v>9822265564</v>
      </c>
    </row>
    <row r="250" spans="1:19">
      <c r="A250" s="41" t="s">
        <v>257</v>
      </c>
      <c r="B250" s="41" t="str">
        <f t="shared" si="48"/>
        <v>005010600</v>
      </c>
      <c r="D250" s="42">
        <f>VLOOKUP($A250,'Neraca Unaudited SIMAK'!$A$2:$R$1272,3,FALSE)+IF(ISNA(VLOOKUP($A250,'Mutasi Neraca'!$A$3:$S$910,3,FALSE)),0,VLOOKUP($A250,'Mutasi Neraca'!$A$3:$S$910,3,FALSE))</f>
        <v>1105500</v>
      </c>
      <c r="E250" s="42">
        <f>VLOOKUP($A250,'Neraca Unaudited SIMAK'!$A$2:$R$1272,4,FALSE)+IF(ISNA(VLOOKUP($A250,'Mutasi Neraca'!$A$3:$S$910,4,FALSE)),0,VLOOKUP($A250,'Mutasi Neraca'!$A$3:$S$910,4,FALSE))</f>
        <v>1665520000</v>
      </c>
      <c r="F250" s="42">
        <f>VLOOKUP($A250,'Neraca Unaudited SIMAK'!$A$2:$R$1272,5,FALSE)+IF(ISNA(VLOOKUP($A250,'Mutasi Neraca'!$A$3:$S$910,5,FALSE)),0,VLOOKUP($A250,'Mutasi Neraca'!$A$3:$S$910,5,FALSE))</f>
        <v>1691592862</v>
      </c>
      <c r="G250" s="42">
        <f>VLOOKUP($A250,'Neraca Unaudited SIMAK'!$A$2:$R$1272,6,FALSE)+IF(ISNA(VLOOKUP($A250,'Mutasi Neraca'!$A$3:$S$910,6,FALSE)),0,VLOOKUP($A250,'Mutasi Neraca'!$A$3:$S$910,6,FALSE))</f>
        <v>6142963900</v>
      </c>
      <c r="H250" s="42">
        <f>VLOOKUP($A250,'Neraca Unaudited SIMAK'!$A$2:$R$1272,7,FALSE)+IF(ISNA(VLOOKUP($A250,'Mutasi Neraca'!$A$3:$S$910,7,FALSE)),0,VLOOKUP($A250,'Mutasi Neraca'!$A$3:$S$910,7,FALSE))</f>
        <v>0</v>
      </c>
      <c r="I250" s="42">
        <f>VLOOKUP($A250,'Neraca Unaudited SIMAK'!$A$2:$R$1272,8,FALSE)+IF(ISNA(VLOOKUP($A250,'Mutasi Neraca'!$A$3:$S$910,8,FALSE)),0,VLOOKUP($A250,'Mutasi Neraca'!$A$3:$S$910,8,FALSE))</f>
        <v>1943440</v>
      </c>
      <c r="J250" s="42">
        <f>VLOOKUP($A250,'Neraca Unaudited SIMAK'!$A$2:$R$1272,9,FALSE)+IF(ISNA(VLOOKUP($A250,'Mutasi Neraca'!$A$3:$S$910,9,FALSE)),0,VLOOKUP($A250,'Mutasi Neraca'!$A$3:$S$910,9,FALSE))</f>
        <v>0</v>
      </c>
      <c r="K250" s="42">
        <f>VLOOKUP($A250,'Neraca Unaudited SIMAK'!$A$2:$R$1272,10,FALSE)+IF(ISNA(VLOOKUP($A250,'Mutasi Neraca'!$A$3:$S$910,10,FALSE)),0,VLOOKUP($A250,'Mutasi Neraca'!$A$3:$S$910,10,FALSE))</f>
        <v>5445300</v>
      </c>
      <c r="L250" s="42">
        <f>VLOOKUP($A250,'Neraca Unaudited SIMAK'!$A$2:$R$1272,11,FALSE)+IF(ISNA(VLOOKUP($A250,'Mutasi Neraca'!$A$3:$S$910,11,FALSE)),0,VLOOKUP($A250,'Mutasi Neraca'!$A$3:$S$910,11,FALSE))</f>
        <v>484372500</v>
      </c>
      <c r="M250" s="42">
        <f>VLOOKUP($A250,'Neraca Unaudited SIMAK'!$A$2:$R$1272,12,FALSE)+IF(ISNA(VLOOKUP($A250,'Mutasi Neraca'!$A$3:$S$910,12,FALSE)),0,VLOOKUP($A250,'Mutasi Neraca'!$A$3:$S$910,12,FALSE))</f>
        <v>9992943502</v>
      </c>
      <c r="N250" s="42">
        <f>VLOOKUP($A250,'Neraca Unaudited SIMAK'!$A$2:$R$1272,13,FALSE)+IF(ISNA(VLOOKUP($A250,'Mutasi Neraca'!$A$3:$S$910,13,FALSE)),0,VLOOKUP($A250,'Mutasi Neraca'!$A$3:$S$910,13,FALSE))</f>
        <v>-1088720622</v>
      </c>
      <c r="O250" s="42">
        <f>VLOOKUP($A250,'Neraca Unaudited SIMAK'!$A$2:$R$1272,14,FALSE)+IF(ISNA(VLOOKUP($A250,'Mutasi Neraca'!$A$3:$S$910,14,FALSE)),0,VLOOKUP($A250,'Mutasi Neraca'!$A$3:$S$910,14,FALSE))</f>
        <v>-1159502003</v>
      </c>
      <c r="P250" s="42">
        <f>VLOOKUP($A250,'Neraca Unaudited SIMAK'!$A$2:$R$1272,15,FALSE)+IF(ISNA(VLOOKUP($A250,'Mutasi Neraca'!$A$3:$S$910,15,FALSE)),0,VLOOKUP($A250,'Mutasi Neraca'!$A$3:$S$910,15,FALSE))</f>
        <v>0</v>
      </c>
      <c r="Q250" s="42">
        <f>VLOOKUP($A250,'Neraca Unaudited SIMAK'!$A$2:$R$1272,16,FALSE)+IF(ISNA(VLOOKUP($A250,'Mutasi Neraca'!$A$3:$S$910,16,FALSE)),0,VLOOKUP($A250,'Mutasi Neraca'!$A$3:$S$910,16,FALSE))</f>
        <v>0</v>
      </c>
      <c r="R250" s="42">
        <f>VLOOKUP($A250,'Neraca Unaudited SIMAK'!$A$2:$R$1272,17,FALSE)+IF(ISNA(VLOOKUP($A250,'Mutasi Neraca'!$A$3:$S$910,17,FALSE)),0,VLOOKUP($A250,'Mutasi Neraca'!$A$3:$S$910,17,FALSE))</f>
        <v>-484372500</v>
      </c>
      <c r="S250" s="42">
        <f t="shared" si="49"/>
        <v>7260348377</v>
      </c>
    </row>
    <row r="251" spans="1:19">
      <c r="A251" s="41" t="s">
        <v>258</v>
      </c>
      <c r="B251" s="41" t="str">
        <f t="shared" si="48"/>
        <v>005010600</v>
      </c>
      <c r="D251" s="42">
        <f>VLOOKUP($A251,'Neraca Unaudited SIMAK'!$A$2:$R$1272,3,FALSE)+IF(ISNA(VLOOKUP($A251,'Mutasi Neraca'!$A$3:$S$910,3,FALSE)),0,VLOOKUP($A251,'Mutasi Neraca'!$A$3:$S$910,3,FALSE))</f>
        <v>295550</v>
      </c>
      <c r="E251" s="42">
        <f>VLOOKUP($A251,'Neraca Unaudited SIMAK'!$A$2:$R$1272,4,FALSE)+IF(ISNA(VLOOKUP($A251,'Mutasi Neraca'!$A$3:$S$910,4,FALSE)),0,VLOOKUP($A251,'Mutasi Neraca'!$A$3:$S$910,4,FALSE))</f>
        <v>1478058200</v>
      </c>
      <c r="F251" s="42">
        <f>VLOOKUP($A251,'Neraca Unaudited SIMAK'!$A$2:$R$1272,5,FALSE)+IF(ISNA(VLOOKUP($A251,'Mutasi Neraca'!$A$3:$S$910,5,FALSE)),0,VLOOKUP($A251,'Mutasi Neraca'!$A$3:$S$910,5,FALSE))</f>
        <v>1157895000</v>
      </c>
      <c r="G251" s="42">
        <f>VLOOKUP($A251,'Neraca Unaudited SIMAK'!$A$2:$R$1272,6,FALSE)+IF(ISNA(VLOOKUP($A251,'Mutasi Neraca'!$A$3:$S$910,6,FALSE)),0,VLOOKUP($A251,'Mutasi Neraca'!$A$3:$S$910,6,FALSE))</f>
        <v>4494702574</v>
      </c>
      <c r="H251" s="42">
        <f>VLOOKUP($A251,'Neraca Unaudited SIMAK'!$A$2:$R$1272,7,FALSE)+IF(ISNA(VLOOKUP($A251,'Mutasi Neraca'!$A$3:$S$910,7,FALSE)),0,VLOOKUP($A251,'Mutasi Neraca'!$A$3:$S$910,7,FALSE))</f>
        <v>0</v>
      </c>
      <c r="I251" s="42">
        <f>VLOOKUP($A251,'Neraca Unaudited SIMAK'!$A$2:$R$1272,8,FALSE)+IF(ISNA(VLOOKUP($A251,'Mutasi Neraca'!$A$3:$S$910,8,FALSE)),0,VLOOKUP($A251,'Mutasi Neraca'!$A$3:$S$910,8,FALSE))</f>
        <v>1943440</v>
      </c>
      <c r="J251" s="42">
        <f>VLOOKUP($A251,'Neraca Unaudited SIMAK'!$A$2:$R$1272,9,FALSE)+IF(ISNA(VLOOKUP($A251,'Mutasi Neraca'!$A$3:$S$910,9,FALSE)),0,VLOOKUP($A251,'Mutasi Neraca'!$A$3:$S$910,9,FALSE))</f>
        <v>0</v>
      </c>
      <c r="K251" s="42">
        <f>VLOOKUP($A251,'Neraca Unaudited SIMAK'!$A$2:$R$1272,10,FALSE)+IF(ISNA(VLOOKUP($A251,'Mutasi Neraca'!$A$3:$S$910,10,FALSE)),0,VLOOKUP($A251,'Mutasi Neraca'!$A$3:$S$910,10,FALSE))</f>
        <v>79800000</v>
      </c>
      <c r="L251" s="42">
        <f>VLOOKUP($A251,'Neraca Unaudited SIMAK'!$A$2:$R$1272,11,FALSE)+IF(ISNA(VLOOKUP($A251,'Mutasi Neraca'!$A$3:$S$910,11,FALSE)),0,VLOOKUP($A251,'Mutasi Neraca'!$A$3:$S$910,11,FALSE))</f>
        <v>89600000</v>
      </c>
      <c r="M251" s="42">
        <f>VLOOKUP($A251,'Neraca Unaudited SIMAK'!$A$2:$R$1272,12,FALSE)+IF(ISNA(VLOOKUP($A251,'Mutasi Neraca'!$A$3:$S$910,12,FALSE)),0,VLOOKUP($A251,'Mutasi Neraca'!$A$3:$S$910,12,FALSE))</f>
        <v>7302294764</v>
      </c>
      <c r="N251" s="42">
        <f>VLOOKUP($A251,'Neraca Unaudited SIMAK'!$A$2:$R$1272,13,FALSE)+IF(ISNA(VLOOKUP($A251,'Mutasi Neraca'!$A$3:$S$910,13,FALSE)),0,VLOOKUP($A251,'Mutasi Neraca'!$A$3:$S$910,13,FALSE))</f>
        <v>-908015928</v>
      </c>
      <c r="O251" s="42">
        <f>VLOOKUP($A251,'Neraca Unaudited SIMAK'!$A$2:$R$1272,14,FALSE)+IF(ISNA(VLOOKUP($A251,'Mutasi Neraca'!$A$3:$S$910,14,FALSE)),0,VLOOKUP($A251,'Mutasi Neraca'!$A$3:$S$910,14,FALSE))</f>
        <v>-816403929</v>
      </c>
      <c r="P251" s="42">
        <f>VLOOKUP($A251,'Neraca Unaudited SIMAK'!$A$2:$R$1272,15,FALSE)+IF(ISNA(VLOOKUP($A251,'Mutasi Neraca'!$A$3:$S$910,15,FALSE)),0,VLOOKUP($A251,'Mutasi Neraca'!$A$3:$S$910,15,FALSE))</f>
        <v>0</v>
      </c>
      <c r="Q251" s="42">
        <f>VLOOKUP($A251,'Neraca Unaudited SIMAK'!$A$2:$R$1272,16,FALSE)+IF(ISNA(VLOOKUP($A251,'Mutasi Neraca'!$A$3:$S$910,16,FALSE)),0,VLOOKUP($A251,'Mutasi Neraca'!$A$3:$S$910,16,FALSE))</f>
        <v>0</v>
      </c>
      <c r="R251" s="42">
        <f>VLOOKUP($A251,'Neraca Unaudited SIMAK'!$A$2:$R$1272,17,FALSE)+IF(ISNA(VLOOKUP($A251,'Mutasi Neraca'!$A$3:$S$910,17,FALSE)),0,VLOOKUP($A251,'Mutasi Neraca'!$A$3:$S$910,17,FALSE))</f>
        <v>-89600000</v>
      </c>
      <c r="S251" s="42">
        <f t="shared" si="49"/>
        <v>5488274907</v>
      </c>
    </row>
    <row r="252" spans="1:19">
      <c r="A252" s="41" t="s">
        <v>259</v>
      </c>
      <c r="B252" s="41" t="str">
        <f t="shared" si="48"/>
        <v>005010600</v>
      </c>
      <c r="D252" s="42">
        <f>VLOOKUP($A252,'Neraca Unaudited SIMAK'!$A$2:$R$1272,3,FALSE)+IF(ISNA(VLOOKUP($A252,'Mutasi Neraca'!$A$3:$S$910,3,FALSE)),0,VLOOKUP($A252,'Mutasi Neraca'!$A$3:$S$910,3,FALSE))</f>
        <v>0</v>
      </c>
      <c r="E252" s="42">
        <f>VLOOKUP($A252,'Neraca Unaudited SIMAK'!$A$2:$R$1272,4,FALSE)+IF(ISNA(VLOOKUP($A252,'Mutasi Neraca'!$A$3:$S$910,4,FALSE)),0,VLOOKUP($A252,'Mutasi Neraca'!$A$3:$S$910,4,FALSE))</f>
        <v>5459062470</v>
      </c>
      <c r="F252" s="42">
        <f>VLOOKUP($A252,'Neraca Unaudited SIMAK'!$A$2:$R$1272,5,FALSE)+IF(ISNA(VLOOKUP($A252,'Mutasi Neraca'!$A$3:$S$910,5,FALSE)),0,VLOOKUP($A252,'Mutasi Neraca'!$A$3:$S$910,5,FALSE))</f>
        <v>1919407165</v>
      </c>
      <c r="G252" s="42">
        <f>VLOOKUP($A252,'Neraca Unaudited SIMAK'!$A$2:$R$1272,6,FALSE)+IF(ISNA(VLOOKUP($A252,'Mutasi Neraca'!$A$3:$S$910,6,FALSE)),0,VLOOKUP($A252,'Mutasi Neraca'!$A$3:$S$910,6,FALSE))</f>
        <v>3610079650</v>
      </c>
      <c r="H252" s="42">
        <f>VLOOKUP($A252,'Neraca Unaudited SIMAK'!$A$2:$R$1272,7,FALSE)+IF(ISNA(VLOOKUP($A252,'Mutasi Neraca'!$A$3:$S$910,7,FALSE)),0,VLOOKUP($A252,'Mutasi Neraca'!$A$3:$S$910,7,FALSE))</f>
        <v>0</v>
      </c>
      <c r="I252" s="42">
        <f>VLOOKUP($A252,'Neraca Unaudited SIMAK'!$A$2:$R$1272,8,FALSE)+IF(ISNA(VLOOKUP($A252,'Mutasi Neraca'!$A$3:$S$910,8,FALSE)),0,VLOOKUP($A252,'Mutasi Neraca'!$A$3:$S$910,8,FALSE))</f>
        <v>1943440</v>
      </c>
      <c r="J252" s="42">
        <f>VLOOKUP($A252,'Neraca Unaudited SIMAK'!$A$2:$R$1272,9,FALSE)+IF(ISNA(VLOOKUP($A252,'Mutasi Neraca'!$A$3:$S$910,9,FALSE)),0,VLOOKUP($A252,'Mutasi Neraca'!$A$3:$S$910,9,FALSE))</f>
        <v>9488617000</v>
      </c>
      <c r="K252" s="42">
        <f>VLOOKUP($A252,'Neraca Unaudited SIMAK'!$A$2:$R$1272,10,FALSE)+IF(ISNA(VLOOKUP($A252,'Mutasi Neraca'!$A$3:$S$910,10,FALSE)),0,VLOOKUP($A252,'Mutasi Neraca'!$A$3:$S$910,10,FALSE))</f>
        <v>0</v>
      </c>
      <c r="L252" s="42">
        <f>VLOOKUP($A252,'Neraca Unaudited SIMAK'!$A$2:$R$1272,11,FALSE)+IF(ISNA(VLOOKUP($A252,'Mutasi Neraca'!$A$3:$S$910,11,FALSE)),0,VLOOKUP($A252,'Mutasi Neraca'!$A$3:$S$910,11,FALSE))</f>
        <v>1570397160</v>
      </c>
      <c r="M252" s="42">
        <f>VLOOKUP($A252,'Neraca Unaudited SIMAK'!$A$2:$R$1272,12,FALSE)+IF(ISNA(VLOOKUP($A252,'Mutasi Neraca'!$A$3:$S$910,12,FALSE)),0,VLOOKUP($A252,'Mutasi Neraca'!$A$3:$S$910,12,FALSE))</f>
        <v>22049506885</v>
      </c>
      <c r="N252" s="42">
        <f>VLOOKUP($A252,'Neraca Unaudited SIMAK'!$A$2:$R$1272,13,FALSE)+IF(ISNA(VLOOKUP($A252,'Mutasi Neraca'!$A$3:$S$910,13,FALSE)),0,VLOOKUP($A252,'Mutasi Neraca'!$A$3:$S$910,13,FALSE))</f>
        <v>-1445893833</v>
      </c>
      <c r="O252" s="42">
        <f>VLOOKUP($A252,'Neraca Unaudited SIMAK'!$A$2:$R$1272,14,FALSE)+IF(ISNA(VLOOKUP($A252,'Mutasi Neraca'!$A$3:$S$910,14,FALSE)),0,VLOOKUP($A252,'Mutasi Neraca'!$A$3:$S$910,14,FALSE))</f>
        <v>-513135827</v>
      </c>
      <c r="P252" s="42">
        <f>VLOOKUP($A252,'Neraca Unaudited SIMAK'!$A$2:$R$1272,15,FALSE)+IF(ISNA(VLOOKUP($A252,'Mutasi Neraca'!$A$3:$S$910,15,FALSE)),0,VLOOKUP($A252,'Mutasi Neraca'!$A$3:$S$910,15,FALSE))</f>
        <v>0</v>
      </c>
      <c r="Q252" s="42">
        <f>VLOOKUP($A252,'Neraca Unaudited SIMAK'!$A$2:$R$1272,16,FALSE)+IF(ISNA(VLOOKUP($A252,'Mutasi Neraca'!$A$3:$S$910,16,FALSE)),0,VLOOKUP($A252,'Mutasi Neraca'!$A$3:$S$910,16,FALSE))</f>
        <v>0</v>
      </c>
      <c r="R252" s="42">
        <f>VLOOKUP($A252,'Neraca Unaudited SIMAK'!$A$2:$R$1272,17,FALSE)+IF(ISNA(VLOOKUP($A252,'Mutasi Neraca'!$A$3:$S$910,17,FALSE)),0,VLOOKUP($A252,'Mutasi Neraca'!$A$3:$S$910,17,FALSE))</f>
        <v>-424007236</v>
      </c>
      <c r="S252" s="42">
        <f t="shared" si="49"/>
        <v>19666469989</v>
      </c>
    </row>
    <row r="253" spans="1:19">
      <c r="A253" s="41" t="s">
        <v>260</v>
      </c>
      <c r="B253" s="41" t="str">
        <f t="shared" si="48"/>
        <v>005010600</v>
      </c>
      <c r="D253" s="42">
        <f>VLOOKUP($A253,'Neraca Unaudited SIMAK'!$A$2:$R$1272,3,FALSE)+IF(ISNA(VLOOKUP($A253,'Mutasi Neraca'!$A$3:$S$910,3,FALSE)),0,VLOOKUP($A253,'Mutasi Neraca'!$A$3:$S$910,3,FALSE))</f>
        <v>0</v>
      </c>
      <c r="E253" s="42">
        <f>VLOOKUP($A253,'Neraca Unaudited SIMAK'!$A$2:$R$1272,4,FALSE)+IF(ISNA(VLOOKUP($A253,'Mutasi Neraca'!$A$3:$S$910,4,FALSE)),0,VLOOKUP($A253,'Mutasi Neraca'!$A$3:$S$910,4,FALSE))</f>
        <v>2037426000</v>
      </c>
      <c r="F253" s="42">
        <f>VLOOKUP($A253,'Neraca Unaudited SIMAK'!$A$2:$R$1272,5,FALSE)+IF(ISNA(VLOOKUP($A253,'Mutasi Neraca'!$A$3:$S$910,5,FALSE)),0,VLOOKUP($A253,'Mutasi Neraca'!$A$3:$S$910,5,FALSE))</f>
        <v>853709000</v>
      </c>
      <c r="G253" s="42">
        <f>VLOOKUP($A253,'Neraca Unaudited SIMAK'!$A$2:$R$1272,6,FALSE)+IF(ISNA(VLOOKUP($A253,'Mutasi Neraca'!$A$3:$S$910,6,FALSE)),0,VLOOKUP($A253,'Mutasi Neraca'!$A$3:$S$910,6,FALSE))</f>
        <v>7031928000</v>
      </c>
      <c r="H253" s="42">
        <f>VLOOKUP($A253,'Neraca Unaudited SIMAK'!$A$2:$R$1272,7,FALSE)+IF(ISNA(VLOOKUP($A253,'Mutasi Neraca'!$A$3:$S$910,7,FALSE)),0,VLOOKUP($A253,'Mutasi Neraca'!$A$3:$S$910,7,FALSE))</f>
        <v>0</v>
      </c>
      <c r="I253" s="42">
        <f>VLOOKUP($A253,'Neraca Unaudited SIMAK'!$A$2:$R$1272,8,FALSE)+IF(ISNA(VLOOKUP($A253,'Mutasi Neraca'!$A$3:$S$910,8,FALSE)),0,VLOOKUP($A253,'Mutasi Neraca'!$A$3:$S$910,8,FALSE))</f>
        <v>1943440</v>
      </c>
      <c r="J253" s="42">
        <f>VLOOKUP($A253,'Neraca Unaudited SIMAK'!$A$2:$R$1272,9,FALSE)+IF(ISNA(VLOOKUP($A253,'Mutasi Neraca'!$A$3:$S$910,9,FALSE)),0,VLOOKUP($A253,'Mutasi Neraca'!$A$3:$S$910,9,FALSE))</f>
        <v>0</v>
      </c>
      <c r="K253" s="42">
        <f>VLOOKUP($A253,'Neraca Unaudited SIMAK'!$A$2:$R$1272,10,FALSE)+IF(ISNA(VLOOKUP($A253,'Mutasi Neraca'!$A$3:$S$910,10,FALSE)),0,VLOOKUP($A253,'Mutasi Neraca'!$A$3:$S$910,10,FALSE))</f>
        <v>59650000</v>
      </c>
      <c r="L253" s="42">
        <f>VLOOKUP($A253,'Neraca Unaudited SIMAK'!$A$2:$R$1272,11,FALSE)+IF(ISNA(VLOOKUP($A253,'Mutasi Neraca'!$A$3:$S$910,11,FALSE)),0,VLOOKUP($A253,'Mutasi Neraca'!$A$3:$S$910,11,FALSE))</f>
        <v>0</v>
      </c>
      <c r="M253" s="42">
        <f>VLOOKUP($A253,'Neraca Unaudited SIMAK'!$A$2:$R$1272,12,FALSE)+IF(ISNA(VLOOKUP($A253,'Mutasi Neraca'!$A$3:$S$910,12,FALSE)),0,VLOOKUP($A253,'Mutasi Neraca'!$A$3:$S$910,12,FALSE))</f>
        <v>9984656440</v>
      </c>
      <c r="N253" s="42">
        <f>VLOOKUP($A253,'Neraca Unaudited SIMAK'!$A$2:$R$1272,13,FALSE)+IF(ISNA(VLOOKUP($A253,'Mutasi Neraca'!$A$3:$S$910,13,FALSE)),0,VLOOKUP($A253,'Mutasi Neraca'!$A$3:$S$910,13,FALSE))</f>
        <v>-815269833</v>
      </c>
      <c r="O253" s="42">
        <f>VLOOKUP($A253,'Neraca Unaudited SIMAK'!$A$2:$R$1272,14,FALSE)+IF(ISNA(VLOOKUP($A253,'Mutasi Neraca'!$A$3:$S$910,14,FALSE)),0,VLOOKUP($A253,'Mutasi Neraca'!$A$3:$S$910,14,FALSE))</f>
        <v>-5446532490</v>
      </c>
      <c r="P253" s="42">
        <f>VLOOKUP($A253,'Neraca Unaudited SIMAK'!$A$2:$R$1272,15,FALSE)+IF(ISNA(VLOOKUP($A253,'Mutasi Neraca'!$A$3:$S$910,15,FALSE)),0,VLOOKUP($A253,'Mutasi Neraca'!$A$3:$S$910,15,FALSE))</f>
        <v>0</v>
      </c>
      <c r="Q253" s="42">
        <f>VLOOKUP($A253,'Neraca Unaudited SIMAK'!$A$2:$R$1272,16,FALSE)+IF(ISNA(VLOOKUP($A253,'Mutasi Neraca'!$A$3:$S$910,16,FALSE)),0,VLOOKUP($A253,'Mutasi Neraca'!$A$3:$S$910,16,FALSE))</f>
        <v>0</v>
      </c>
      <c r="R253" s="42">
        <f>VLOOKUP($A253,'Neraca Unaudited SIMAK'!$A$2:$R$1272,17,FALSE)+IF(ISNA(VLOOKUP($A253,'Mutasi Neraca'!$A$3:$S$910,17,FALSE)),0,VLOOKUP($A253,'Mutasi Neraca'!$A$3:$S$910,17,FALSE))</f>
        <v>0</v>
      </c>
      <c r="S253" s="42">
        <f t="shared" si="49"/>
        <v>3722854117</v>
      </c>
    </row>
    <row r="254" spans="1:19">
      <c r="A254" s="41" t="s">
        <v>261</v>
      </c>
      <c r="B254" s="41" t="str">
        <f t="shared" si="48"/>
        <v>005010600</v>
      </c>
      <c r="D254" s="42">
        <f>VLOOKUP($A254,'Neraca Unaudited SIMAK'!$A$2:$R$1272,3,FALSE)+IF(ISNA(VLOOKUP($A254,'Mutasi Neraca'!$A$3:$S$910,3,FALSE)),0,VLOOKUP($A254,'Mutasi Neraca'!$A$3:$S$910,3,FALSE))</f>
        <v>5614500</v>
      </c>
      <c r="E254" s="42">
        <f>VLOOKUP($A254,'Neraca Unaudited SIMAK'!$A$2:$R$1272,4,FALSE)+IF(ISNA(VLOOKUP($A254,'Mutasi Neraca'!$A$3:$S$910,4,FALSE)),0,VLOOKUP($A254,'Mutasi Neraca'!$A$3:$S$910,4,FALSE))</f>
        <v>1410299300</v>
      </c>
      <c r="F254" s="42">
        <f>VLOOKUP($A254,'Neraca Unaudited SIMAK'!$A$2:$R$1272,5,FALSE)+IF(ISNA(VLOOKUP($A254,'Mutasi Neraca'!$A$3:$S$910,5,FALSE)),0,VLOOKUP($A254,'Mutasi Neraca'!$A$3:$S$910,5,FALSE))</f>
        <v>1723723728</v>
      </c>
      <c r="G254" s="42">
        <f>VLOOKUP($A254,'Neraca Unaudited SIMAK'!$A$2:$R$1272,6,FALSE)+IF(ISNA(VLOOKUP($A254,'Mutasi Neraca'!$A$3:$S$910,6,FALSE)),0,VLOOKUP($A254,'Mutasi Neraca'!$A$3:$S$910,6,FALSE))</f>
        <v>4145741300</v>
      </c>
      <c r="H254" s="42">
        <f>VLOOKUP($A254,'Neraca Unaudited SIMAK'!$A$2:$R$1272,7,FALSE)+IF(ISNA(VLOOKUP($A254,'Mutasi Neraca'!$A$3:$S$910,7,FALSE)),0,VLOOKUP($A254,'Mutasi Neraca'!$A$3:$S$910,7,FALSE))</f>
        <v>0</v>
      </c>
      <c r="I254" s="42">
        <f>VLOOKUP($A254,'Neraca Unaudited SIMAK'!$A$2:$R$1272,8,FALSE)+IF(ISNA(VLOOKUP($A254,'Mutasi Neraca'!$A$3:$S$910,8,FALSE)),0,VLOOKUP($A254,'Mutasi Neraca'!$A$3:$S$910,8,FALSE))</f>
        <v>1943440</v>
      </c>
      <c r="J254" s="42">
        <f>VLOOKUP($A254,'Neraca Unaudited SIMAK'!$A$2:$R$1272,9,FALSE)+IF(ISNA(VLOOKUP($A254,'Mutasi Neraca'!$A$3:$S$910,9,FALSE)),0,VLOOKUP($A254,'Mutasi Neraca'!$A$3:$S$910,9,FALSE))</f>
        <v>0</v>
      </c>
      <c r="K254" s="42">
        <f>VLOOKUP($A254,'Neraca Unaudited SIMAK'!$A$2:$R$1272,10,FALSE)+IF(ISNA(VLOOKUP($A254,'Mutasi Neraca'!$A$3:$S$910,10,FALSE)),0,VLOOKUP($A254,'Mutasi Neraca'!$A$3:$S$910,10,FALSE))</f>
        <v>0</v>
      </c>
      <c r="L254" s="42">
        <f>VLOOKUP($A254,'Neraca Unaudited SIMAK'!$A$2:$R$1272,11,FALSE)+IF(ISNA(VLOOKUP($A254,'Mutasi Neraca'!$A$3:$S$910,11,FALSE)),0,VLOOKUP($A254,'Mutasi Neraca'!$A$3:$S$910,11,FALSE))</f>
        <v>300626211</v>
      </c>
      <c r="M254" s="42">
        <f>VLOOKUP($A254,'Neraca Unaudited SIMAK'!$A$2:$R$1272,12,FALSE)+IF(ISNA(VLOOKUP($A254,'Mutasi Neraca'!$A$3:$S$910,12,FALSE)),0,VLOOKUP($A254,'Mutasi Neraca'!$A$3:$S$910,12,FALSE))</f>
        <v>7587948479</v>
      </c>
      <c r="N254" s="42">
        <f>VLOOKUP($A254,'Neraca Unaudited SIMAK'!$A$2:$R$1272,13,FALSE)+IF(ISNA(VLOOKUP($A254,'Mutasi Neraca'!$A$3:$S$910,13,FALSE)),0,VLOOKUP($A254,'Mutasi Neraca'!$A$3:$S$910,13,FALSE))</f>
        <v>-1453031798</v>
      </c>
      <c r="O254" s="42">
        <f>VLOOKUP($A254,'Neraca Unaudited SIMAK'!$A$2:$R$1272,14,FALSE)+IF(ISNA(VLOOKUP($A254,'Mutasi Neraca'!$A$3:$S$910,14,FALSE)),0,VLOOKUP($A254,'Mutasi Neraca'!$A$3:$S$910,14,FALSE))</f>
        <v>-387978435</v>
      </c>
      <c r="P254" s="42">
        <f>VLOOKUP($A254,'Neraca Unaudited SIMAK'!$A$2:$R$1272,15,FALSE)+IF(ISNA(VLOOKUP($A254,'Mutasi Neraca'!$A$3:$S$910,15,FALSE)),0,VLOOKUP($A254,'Mutasi Neraca'!$A$3:$S$910,15,FALSE))</f>
        <v>0</v>
      </c>
      <c r="Q254" s="42">
        <f>VLOOKUP($A254,'Neraca Unaudited SIMAK'!$A$2:$R$1272,16,FALSE)+IF(ISNA(VLOOKUP($A254,'Mutasi Neraca'!$A$3:$S$910,16,FALSE)),0,VLOOKUP($A254,'Mutasi Neraca'!$A$3:$S$910,16,FALSE))</f>
        <v>0</v>
      </c>
      <c r="R254" s="42">
        <f>VLOOKUP($A254,'Neraca Unaudited SIMAK'!$A$2:$R$1272,17,FALSE)+IF(ISNA(VLOOKUP($A254,'Mutasi Neraca'!$A$3:$S$910,17,FALSE)),0,VLOOKUP($A254,'Mutasi Neraca'!$A$3:$S$910,17,FALSE))</f>
        <v>-218344547</v>
      </c>
      <c r="S254" s="42">
        <f t="shared" si="49"/>
        <v>5528593699</v>
      </c>
    </row>
    <row r="255" spans="1:19">
      <c r="A255" s="41" t="s">
        <v>262</v>
      </c>
      <c r="B255" s="41" t="str">
        <f t="shared" si="48"/>
        <v>005010600</v>
      </c>
      <c r="D255" s="42">
        <f>VLOOKUP($A255,'Neraca Unaudited SIMAK'!$A$2:$R$1272,3,FALSE)+IF(ISNA(VLOOKUP($A255,'Mutasi Neraca'!$A$3:$S$910,3,FALSE)),0,VLOOKUP($A255,'Mutasi Neraca'!$A$3:$S$910,3,FALSE))</f>
        <v>0</v>
      </c>
      <c r="E255" s="42">
        <f>VLOOKUP($A255,'Neraca Unaudited SIMAK'!$A$2:$R$1272,4,FALSE)+IF(ISNA(VLOOKUP($A255,'Mutasi Neraca'!$A$3:$S$910,4,FALSE)),0,VLOOKUP($A255,'Mutasi Neraca'!$A$3:$S$910,4,FALSE))</f>
        <v>1194505140</v>
      </c>
      <c r="F255" s="42">
        <f>VLOOKUP($A255,'Neraca Unaudited SIMAK'!$A$2:$R$1272,5,FALSE)+IF(ISNA(VLOOKUP($A255,'Mutasi Neraca'!$A$3:$S$910,5,FALSE)),0,VLOOKUP($A255,'Mutasi Neraca'!$A$3:$S$910,5,FALSE))</f>
        <v>1335761806</v>
      </c>
      <c r="G255" s="42">
        <f>VLOOKUP($A255,'Neraca Unaudited SIMAK'!$A$2:$R$1272,6,FALSE)+IF(ISNA(VLOOKUP($A255,'Mutasi Neraca'!$A$3:$S$910,6,FALSE)),0,VLOOKUP($A255,'Mutasi Neraca'!$A$3:$S$910,6,FALSE))</f>
        <v>4625491338</v>
      </c>
      <c r="H255" s="42">
        <f>VLOOKUP($A255,'Neraca Unaudited SIMAK'!$A$2:$R$1272,7,FALSE)+IF(ISNA(VLOOKUP($A255,'Mutasi Neraca'!$A$3:$S$910,7,FALSE)),0,VLOOKUP($A255,'Mutasi Neraca'!$A$3:$S$910,7,FALSE))</f>
        <v>0</v>
      </c>
      <c r="I255" s="42">
        <f>VLOOKUP($A255,'Neraca Unaudited SIMAK'!$A$2:$R$1272,8,FALSE)+IF(ISNA(VLOOKUP($A255,'Mutasi Neraca'!$A$3:$S$910,8,FALSE)),0,VLOOKUP($A255,'Mutasi Neraca'!$A$3:$S$910,8,FALSE))</f>
        <v>8943440</v>
      </c>
      <c r="J255" s="42">
        <f>VLOOKUP($A255,'Neraca Unaudited SIMAK'!$A$2:$R$1272,9,FALSE)+IF(ISNA(VLOOKUP($A255,'Mutasi Neraca'!$A$3:$S$910,9,FALSE)),0,VLOOKUP($A255,'Mutasi Neraca'!$A$3:$S$910,9,FALSE))</f>
        <v>0</v>
      </c>
      <c r="K255" s="42">
        <f>VLOOKUP($A255,'Neraca Unaudited SIMAK'!$A$2:$R$1272,10,FALSE)+IF(ISNA(VLOOKUP($A255,'Mutasi Neraca'!$A$3:$S$910,10,FALSE)),0,VLOOKUP($A255,'Mutasi Neraca'!$A$3:$S$910,10,FALSE))</f>
        <v>0</v>
      </c>
      <c r="L255" s="42">
        <f>VLOOKUP($A255,'Neraca Unaudited SIMAK'!$A$2:$R$1272,11,FALSE)+IF(ISNA(VLOOKUP($A255,'Mutasi Neraca'!$A$3:$S$910,11,FALSE)),0,VLOOKUP($A255,'Mutasi Neraca'!$A$3:$S$910,11,FALSE))</f>
        <v>1790000</v>
      </c>
      <c r="M255" s="42">
        <f>VLOOKUP($A255,'Neraca Unaudited SIMAK'!$A$2:$R$1272,12,FALSE)+IF(ISNA(VLOOKUP($A255,'Mutasi Neraca'!$A$3:$S$910,12,FALSE)),0,VLOOKUP($A255,'Mutasi Neraca'!$A$3:$S$910,12,FALSE))</f>
        <v>7166491724</v>
      </c>
      <c r="N255" s="42">
        <f>VLOOKUP($A255,'Neraca Unaudited SIMAK'!$A$2:$R$1272,13,FALSE)+IF(ISNA(VLOOKUP($A255,'Mutasi Neraca'!$A$3:$S$910,13,FALSE)),0,VLOOKUP($A255,'Mutasi Neraca'!$A$3:$S$910,13,FALSE))</f>
        <v>-1174305378</v>
      </c>
      <c r="O255" s="42">
        <f>VLOOKUP($A255,'Neraca Unaudited SIMAK'!$A$2:$R$1272,14,FALSE)+IF(ISNA(VLOOKUP($A255,'Mutasi Neraca'!$A$3:$S$910,14,FALSE)),0,VLOOKUP($A255,'Mutasi Neraca'!$A$3:$S$910,14,FALSE))</f>
        <v>-891868448</v>
      </c>
      <c r="P255" s="42">
        <f>VLOOKUP($A255,'Neraca Unaudited SIMAK'!$A$2:$R$1272,15,FALSE)+IF(ISNA(VLOOKUP($A255,'Mutasi Neraca'!$A$3:$S$910,15,FALSE)),0,VLOOKUP($A255,'Mutasi Neraca'!$A$3:$S$910,15,FALSE))</f>
        <v>0</v>
      </c>
      <c r="Q255" s="42">
        <f>VLOOKUP($A255,'Neraca Unaudited SIMAK'!$A$2:$R$1272,16,FALSE)+IF(ISNA(VLOOKUP($A255,'Mutasi Neraca'!$A$3:$S$910,16,FALSE)),0,VLOOKUP($A255,'Mutasi Neraca'!$A$3:$S$910,16,FALSE))</f>
        <v>0</v>
      </c>
      <c r="R255" s="42">
        <f>VLOOKUP($A255,'Neraca Unaudited SIMAK'!$A$2:$R$1272,17,FALSE)+IF(ISNA(VLOOKUP($A255,'Mutasi Neraca'!$A$3:$S$910,17,FALSE)),0,VLOOKUP($A255,'Mutasi Neraca'!$A$3:$S$910,17,FALSE))</f>
        <v>-1790000</v>
      </c>
      <c r="S255" s="42">
        <f t="shared" si="49"/>
        <v>5098527898</v>
      </c>
    </row>
    <row r="256" spans="1:19">
      <c r="A256" s="41" t="s">
        <v>263</v>
      </c>
      <c r="B256" s="41" t="str">
        <f t="shared" si="48"/>
        <v>005010600</v>
      </c>
      <c r="D256" s="42">
        <f>VLOOKUP($A256,'Neraca Unaudited SIMAK'!$A$2:$R$1272,3,FALSE)+IF(ISNA(VLOOKUP($A256,'Mutasi Neraca'!$A$3:$S$910,3,FALSE)),0,VLOOKUP($A256,'Mutasi Neraca'!$A$3:$S$910,3,FALSE))</f>
        <v>3274100</v>
      </c>
      <c r="E256" s="42">
        <f>VLOOKUP($A256,'Neraca Unaudited SIMAK'!$A$2:$R$1272,4,FALSE)+IF(ISNA(VLOOKUP($A256,'Mutasi Neraca'!$A$3:$S$910,4,FALSE)),0,VLOOKUP($A256,'Mutasi Neraca'!$A$3:$S$910,4,FALSE))</f>
        <v>2609482000</v>
      </c>
      <c r="F256" s="42">
        <f>VLOOKUP($A256,'Neraca Unaudited SIMAK'!$A$2:$R$1272,5,FALSE)+IF(ISNA(VLOOKUP($A256,'Mutasi Neraca'!$A$3:$S$910,5,FALSE)),0,VLOOKUP($A256,'Mutasi Neraca'!$A$3:$S$910,5,FALSE))</f>
        <v>5950619936</v>
      </c>
      <c r="G256" s="42">
        <f>VLOOKUP($A256,'Neraca Unaudited SIMAK'!$A$2:$R$1272,6,FALSE)+IF(ISNA(VLOOKUP($A256,'Mutasi Neraca'!$A$3:$S$910,6,FALSE)),0,VLOOKUP($A256,'Mutasi Neraca'!$A$3:$S$910,6,FALSE))</f>
        <v>26555529750</v>
      </c>
      <c r="H256" s="42">
        <f>VLOOKUP($A256,'Neraca Unaudited SIMAK'!$A$2:$R$1272,7,FALSE)+IF(ISNA(VLOOKUP($A256,'Mutasi Neraca'!$A$3:$S$910,7,FALSE)),0,VLOOKUP($A256,'Mutasi Neraca'!$A$3:$S$910,7,FALSE))</f>
        <v>96200000</v>
      </c>
      <c r="I256" s="42">
        <f>VLOOKUP($A256,'Neraca Unaudited SIMAK'!$A$2:$R$1272,8,FALSE)+IF(ISNA(VLOOKUP($A256,'Mutasi Neraca'!$A$3:$S$910,8,FALSE)),0,VLOOKUP($A256,'Mutasi Neraca'!$A$3:$S$910,8,FALSE))</f>
        <v>0</v>
      </c>
      <c r="J256" s="42">
        <f>VLOOKUP($A256,'Neraca Unaudited SIMAK'!$A$2:$R$1272,9,FALSE)+IF(ISNA(VLOOKUP($A256,'Mutasi Neraca'!$A$3:$S$910,9,FALSE)),0,VLOOKUP($A256,'Mutasi Neraca'!$A$3:$S$910,9,FALSE))</f>
        <v>0</v>
      </c>
      <c r="K256" s="42">
        <f>VLOOKUP($A256,'Neraca Unaudited SIMAK'!$A$2:$R$1272,10,FALSE)+IF(ISNA(VLOOKUP($A256,'Mutasi Neraca'!$A$3:$S$910,10,FALSE)),0,VLOOKUP($A256,'Mutasi Neraca'!$A$3:$S$910,10,FALSE))</f>
        <v>0</v>
      </c>
      <c r="L256" s="42">
        <f>VLOOKUP($A256,'Neraca Unaudited SIMAK'!$A$2:$R$1272,11,FALSE)+IF(ISNA(VLOOKUP($A256,'Mutasi Neraca'!$A$3:$S$910,11,FALSE)),0,VLOOKUP($A256,'Mutasi Neraca'!$A$3:$S$910,11,FALSE))</f>
        <v>0</v>
      </c>
      <c r="M256" s="42">
        <f>VLOOKUP($A256,'Neraca Unaudited SIMAK'!$A$2:$R$1272,12,FALSE)+IF(ISNA(VLOOKUP($A256,'Mutasi Neraca'!$A$3:$S$910,12,FALSE)),0,VLOOKUP($A256,'Mutasi Neraca'!$A$3:$S$910,12,FALSE))</f>
        <v>35215105786</v>
      </c>
      <c r="N256" s="42">
        <f>VLOOKUP($A256,'Neraca Unaudited SIMAK'!$A$2:$R$1272,13,FALSE)+IF(ISNA(VLOOKUP($A256,'Mutasi Neraca'!$A$3:$S$910,13,FALSE)),0,VLOOKUP($A256,'Mutasi Neraca'!$A$3:$S$910,13,FALSE))</f>
        <v>-5741611104</v>
      </c>
      <c r="O256" s="42">
        <f>VLOOKUP($A256,'Neraca Unaudited SIMAK'!$A$2:$R$1272,14,FALSE)+IF(ISNA(VLOOKUP($A256,'Mutasi Neraca'!$A$3:$S$910,14,FALSE)),0,VLOOKUP($A256,'Mutasi Neraca'!$A$3:$S$910,14,FALSE))</f>
        <v>-6912799183</v>
      </c>
      <c r="P256" s="42">
        <f>VLOOKUP($A256,'Neraca Unaudited SIMAK'!$A$2:$R$1272,15,FALSE)+IF(ISNA(VLOOKUP($A256,'Mutasi Neraca'!$A$3:$S$910,15,FALSE)),0,VLOOKUP($A256,'Mutasi Neraca'!$A$3:$S$910,15,FALSE))</f>
        <v>-48100000</v>
      </c>
      <c r="Q256" s="42">
        <f>VLOOKUP($A256,'Neraca Unaudited SIMAK'!$A$2:$R$1272,16,FALSE)+IF(ISNA(VLOOKUP($A256,'Mutasi Neraca'!$A$3:$S$910,16,FALSE)),0,VLOOKUP($A256,'Mutasi Neraca'!$A$3:$S$910,16,FALSE))</f>
        <v>0</v>
      </c>
      <c r="R256" s="42">
        <f>VLOOKUP($A256,'Neraca Unaudited SIMAK'!$A$2:$R$1272,17,FALSE)+IF(ISNA(VLOOKUP($A256,'Mutasi Neraca'!$A$3:$S$910,17,FALSE)),0,VLOOKUP($A256,'Mutasi Neraca'!$A$3:$S$910,17,FALSE))</f>
        <v>0</v>
      </c>
      <c r="S256" s="42">
        <f t="shared" si="49"/>
        <v>22512595499</v>
      </c>
    </row>
    <row r="257" spans="1:19">
      <c r="A257" s="41" t="s">
        <v>264</v>
      </c>
      <c r="B257" s="41" t="str">
        <f t="shared" si="48"/>
        <v>005010600</v>
      </c>
      <c r="D257" s="42">
        <f>VLOOKUP($A257,'Neraca Unaudited SIMAK'!$A$2:$R$1272,3,FALSE)+IF(ISNA(VLOOKUP($A257,'Mutasi Neraca'!$A$3:$S$910,3,FALSE)),0,VLOOKUP($A257,'Mutasi Neraca'!$A$3:$S$910,3,FALSE))</f>
        <v>0</v>
      </c>
      <c r="E257" s="42">
        <f>VLOOKUP($A257,'Neraca Unaudited SIMAK'!$A$2:$R$1272,4,FALSE)+IF(ISNA(VLOOKUP($A257,'Mutasi Neraca'!$A$3:$S$910,4,FALSE)),0,VLOOKUP($A257,'Mutasi Neraca'!$A$3:$S$910,4,FALSE))</f>
        <v>1592676000</v>
      </c>
      <c r="F257" s="42">
        <f>VLOOKUP($A257,'Neraca Unaudited SIMAK'!$A$2:$R$1272,5,FALSE)+IF(ISNA(VLOOKUP($A257,'Mutasi Neraca'!$A$3:$S$910,5,FALSE)),0,VLOOKUP($A257,'Mutasi Neraca'!$A$3:$S$910,5,FALSE))</f>
        <v>2234834093</v>
      </c>
      <c r="G257" s="42">
        <f>VLOOKUP($A257,'Neraca Unaudited SIMAK'!$A$2:$R$1272,6,FALSE)+IF(ISNA(VLOOKUP($A257,'Mutasi Neraca'!$A$3:$S$910,6,FALSE)),0,VLOOKUP($A257,'Mutasi Neraca'!$A$3:$S$910,6,FALSE))</f>
        <v>14293194791</v>
      </c>
      <c r="H257" s="42">
        <f>VLOOKUP($A257,'Neraca Unaudited SIMAK'!$A$2:$R$1272,7,FALSE)+IF(ISNA(VLOOKUP($A257,'Mutasi Neraca'!$A$3:$S$910,7,FALSE)),0,VLOOKUP($A257,'Mutasi Neraca'!$A$3:$S$910,7,FALSE))</f>
        <v>0</v>
      </c>
      <c r="I257" s="42">
        <f>VLOOKUP($A257,'Neraca Unaudited SIMAK'!$A$2:$R$1272,8,FALSE)+IF(ISNA(VLOOKUP($A257,'Mutasi Neraca'!$A$3:$S$910,8,FALSE)),0,VLOOKUP($A257,'Mutasi Neraca'!$A$3:$S$910,8,FALSE))</f>
        <v>2683400</v>
      </c>
      <c r="J257" s="42">
        <f>VLOOKUP($A257,'Neraca Unaudited SIMAK'!$A$2:$R$1272,9,FALSE)+IF(ISNA(VLOOKUP($A257,'Mutasi Neraca'!$A$3:$S$910,9,FALSE)),0,VLOOKUP($A257,'Mutasi Neraca'!$A$3:$S$910,9,FALSE))</f>
        <v>0</v>
      </c>
      <c r="K257" s="42">
        <f>VLOOKUP($A257,'Neraca Unaudited SIMAK'!$A$2:$R$1272,10,FALSE)+IF(ISNA(VLOOKUP($A257,'Mutasi Neraca'!$A$3:$S$910,10,FALSE)),0,VLOOKUP($A257,'Mutasi Neraca'!$A$3:$S$910,10,FALSE))</f>
        <v>0</v>
      </c>
      <c r="L257" s="42">
        <f>VLOOKUP($A257,'Neraca Unaudited SIMAK'!$A$2:$R$1272,11,FALSE)+IF(ISNA(VLOOKUP($A257,'Mutasi Neraca'!$A$3:$S$910,11,FALSE)),0,VLOOKUP($A257,'Mutasi Neraca'!$A$3:$S$910,11,FALSE))</f>
        <v>127385666</v>
      </c>
      <c r="M257" s="42">
        <f>VLOOKUP($A257,'Neraca Unaudited SIMAK'!$A$2:$R$1272,12,FALSE)+IF(ISNA(VLOOKUP($A257,'Mutasi Neraca'!$A$3:$S$910,12,FALSE)),0,VLOOKUP($A257,'Mutasi Neraca'!$A$3:$S$910,12,FALSE))</f>
        <v>18250773950</v>
      </c>
      <c r="N257" s="42">
        <f>VLOOKUP($A257,'Neraca Unaudited SIMAK'!$A$2:$R$1272,13,FALSE)+IF(ISNA(VLOOKUP($A257,'Mutasi Neraca'!$A$3:$S$910,13,FALSE)),0,VLOOKUP($A257,'Mutasi Neraca'!$A$3:$S$910,13,FALSE))</f>
        <v>-1769610411</v>
      </c>
      <c r="O257" s="42">
        <f>VLOOKUP($A257,'Neraca Unaudited SIMAK'!$A$2:$R$1272,14,FALSE)+IF(ISNA(VLOOKUP($A257,'Mutasi Neraca'!$A$3:$S$910,14,FALSE)),0,VLOOKUP($A257,'Mutasi Neraca'!$A$3:$S$910,14,FALSE))</f>
        <v>-1357311738</v>
      </c>
      <c r="P257" s="42">
        <f>VLOOKUP($A257,'Neraca Unaudited SIMAK'!$A$2:$R$1272,15,FALSE)+IF(ISNA(VLOOKUP($A257,'Mutasi Neraca'!$A$3:$S$910,15,FALSE)),0,VLOOKUP($A257,'Mutasi Neraca'!$A$3:$S$910,15,FALSE))</f>
        <v>0</v>
      </c>
      <c r="Q257" s="42">
        <f>VLOOKUP($A257,'Neraca Unaudited SIMAK'!$A$2:$R$1272,16,FALSE)+IF(ISNA(VLOOKUP($A257,'Mutasi Neraca'!$A$3:$S$910,16,FALSE)),0,VLOOKUP($A257,'Mutasi Neraca'!$A$3:$S$910,16,FALSE))</f>
        <v>0</v>
      </c>
      <c r="R257" s="42">
        <f>VLOOKUP($A257,'Neraca Unaudited SIMAK'!$A$2:$R$1272,17,FALSE)+IF(ISNA(VLOOKUP($A257,'Mutasi Neraca'!$A$3:$S$910,17,FALSE)),0,VLOOKUP($A257,'Mutasi Neraca'!$A$3:$S$910,17,FALSE))</f>
        <v>-127385666</v>
      </c>
      <c r="S257" s="42">
        <f t="shared" si="49"/>
        <v>14996466135</v>
      </c>
    </row>
    <row r="258" spans="1:19">
      <c r="A258" s="41" t="s">
        <v>265</v>
      </c>
      <c r="B258" s="41" t="str">
        <f t="shared" si="48"/>
        <v>005010600</v>
      </c>
      <c r="D258" s="42">
        <f>VLOOKUP($A258,'Neraca Unaudited SIMAK'!$A$2:$R$1272,3,FALSE)+IF(ISNA(VLOOKUP($A258,'Mutasi Neraca'!$A$3:$S$910,3,FALSE)),0,VLOOKUP($A258,'Mutasi Neraca'!$A$3:$S$910,3,FALSE))</f>
        <v>2276000</v>
      </c>
      <c r="E258" s="42">
        <f>VLOOKUP($A258,'Neraca Unaudited SIMAK'!$A$2:$R$1272,4,FALSE)+IF(ISNA(VLOOKUP($A258,'Mutasi Neraca'!$A$3:$S$910,4,FALSE)),0,VLOOKUP($A258,'Mutasi Neraca'!$A$3:$S$910,4,FALSE))</f>
        <v>1150953750</v>
      </c>
      <c r="F258" s="42">
        <f>VLOOKUP($A258,'Neraca Unaudited SIMAK'!$A$2:$R$1272,5,FALSE)+IF(ISNA(VLOOKUP($A258,'Mutasi Neraca'!$A$3:$S$910,5,FALSE)),0,VLOOKUP($A258,'Mutasi Neraca'!$A$3:$S$910,5,FALSE))</f>
        <v>1399916037</v>
      </c>
      <c r="G258" s="42">
        <f>VLOOKUP($A258,'Neraca Unaudited SIMAK'!$A$2:$R$1272,6,FALSE)+IF(ISNA(VLOOKUP($A258,'Mutasi Neraca'!$A$3:$S$910,6,FALSE)),0,VLOOKUP($A258,'Mutasi Neraca'!$A$3:$S$910,6,FALSE))</f>
        <v>6573092096</v>
      </c>
      <c r="H258" s="42">
        <f>VLOOKUP($A258,'Neraca Unaudited SIMAK'!$A$2:$R$1272,7,FALSE)+IF(ISNA(VLOOKUP($A258,'Mutasi Neraca'!$A$3:$S$910,7,FALSE)),0,VLOOKUP($A258,'Mutasi Neraca'!$A$3:$S$910,7,FALSE))</f>
        <v>0</v>
      </c>
      <c r="I258" s="42">
        <f>VLOOKUP($A258,'Neraca Unaudited SIMAK'!$A$2:$R$1272,8,FALSE)+IF(ISNA(VLOOKUP($A258,'Mutasi Neraca'!$A$3:$S$910,8,FALSE)),0,VLOOKUP($A258,'Mutasi Neraca'!$A$3:$S$910,8,FALSE))</f>
        <v>0</v>
      </c>
      <c r="J258" s="42">
        <f>VLOOKUP($A258,'Neraca Unaudited SIMAK'!$A$2:$R$1272,9,FALSE)+IF(ISNA(VLOOKUP($A258,'Mutasi Neraca'!$A$3:$S$910,9,FALSE)),0,VLOOKUP($A258,'Mutasi Neraca'!$A$3:$S$910,9,FALSE))</f>
        <v>0</v>
      </c>
      <c r="K258" s="42">
        <f>VLOOKUP($A258,'Neraca Unaudited SIMAK'!$A$2:$R$1272,10,FALSE)+IF(ISNA(VLOOKUP($A258,'Mutasi Neraca'!$A$3:$S$910,10,FALSE)),0,VLOOKUP($A258,'Mutasi Neraca'!$A$3:$S$910,10,FALSE))</f>
        <v>0</v>
      </c>
      <c r="L258" s="42">
        <f>VLOOKUP($A258,'Neraca Unaudited SIMAK'!$A$2:$R$1272,11,FALSE)+IF(ISNA(VLOOKUP($A258,'Mutasi Neraca'!$A$3:$S$910,11,FALSE)),0,VLOOKUP($A258,'Mutasi Neraca'!$A$3:$S$910,11,FALSE))</f>
        <v>3414000</v>
      </c>
      <c r="M258" s="42">
        <f>VLOOKUP($A258,'Neraca Unaudited SIMAK'!$A$2:$R$1272,12,FALSE)+IF(ISNA(VLOOKUP($A258,'Mutasi Neraca'!$A$3:$S$910,12,FALSE)),0,VLOOKUP($A258,'Mutasi Neraca'!$A$3:$S$910,12,FALSE))</f>
        <v>9129651883</v>
      </c>
      <c r="N258" s="42">
        <f>VLOOKUP($A258,'Neraca Unaudited SIMAK'!$A$2:$R$1272,13,FALSE)+IF(ISNA(VLOOKUP($A258,'Mutasi Neraca'!$A$3:$S$910,13,FALSE)),0,VLOOKUP($A258,'Mutasi Neraca'!$A$3:$S$910,13,FALSE))</f>
        <v>-1208998537</v>
      </c>
      <c r="O258" s="42">
        <f>VLOOKUP($A258,'Neraca Unaudited SIMAK'!$A$2:$R$1272,14,FALSE)+IF(ISNA(VLOOKUP($A258,'Mutasi Neraca'!$A$3:$S$910,14,FALSE)),0,VLOOKUP($A258,'Mutasi Neraca'!$A$3:$S$910,14,FALSE))</f>
        <v>-933870001</v>
      </c>
      <c r="P258" s="42">
        <f>VLOOKUP($A258,'Neraca Unaudited SIMAK'!$A$2:$R$1272,15,FALSE)+IF(ISNA(VLOOKUP($A258,'Mutasi Neraca'!$A$3:$S$910,15,FALSE)),0,VLOOKUP($A258,'Mutasi Neraca'!$A$3:$S$910,15,FALSE))</f>
        <v>0</v>
      </c>
      <c r="Q258" s="42">
        <f>VLOOKUP($A258,'Neraca Unaudited SIMAK'!$A$2:$R$1272,16,FALSE)+IF(ISNA(VLOOKUP($A258,'Mutasi Neraca'!$A$3:$S$910,16,FALSE)),0,VLOOKUP($A258,'Mutasi Neraca'!$A$3:$S$910,16,FALSE))</f>
        <v>0</v>
      </c>
      <c r="R258" s="42">
        <f>VLOOKUP($A258,'Neraca Unaudited SIMAK'!$A$2:$R$1272,17,FALSE)+IF(ISNA(VLOOKUP($A258,'Mutasi Neraca'!$A$3:$S$910,17,FALSE)),0,VLOOKUP($A258,'Mutasi Neraca'!$A$3:$S$910,17,FALSE))</f>
        <v>-3414000</v>
      </c>
      <c r="S258" s="42">
        <f t="shared" si="49"/>
        <v>6983369345</v>
      </c>
    </row>
    <row r="259" spans="1:19">
      <c r="A259" s="41" t="s">
        <v>266</v>
      </c>
      <c r="B259" s="41" t="str">
        <f t="shared" ref="B259:B322" si="50">LEFT(A259,9)</f>
        <v>005010600</v>
      </c>
      <c r="D259" s="42">
        <f>VLOOKUP($A259,'Neraca Unaudited SIMAK'!$A$2:$R$1272,3,FALSE)+IF(ISNA(VLOOKUP($A259,'Mutasi Neraca'!$A$3:$S$910,3,FALSE)),0,VLOOKUP($A259,'Mutasi Neraca'!$A$3:$S$910,3,FALSE))</f>
        <v>342700</v>
      </c>
      <c r="E259" s="42">
        <f>VLOOKUP($A259,'Neraca Unaudited SIMAK'!$A$2:$R$1272,4,FALSE)+IF(ISNA(VLOOKUP($A259,'Mutasi Neraca'!$A$3:$S$910,4,FALSE)),0,VLOOKUP($A259,'Mutasi Neraca'!$A$3:$S$910,4,FALSE))</f>
        <v>1740831400</v>
      </c>
      <c r="F259" s="42">
        <f>VLOOKUP($A259,'Neraca Unaudited SIMAK'!$A$2:$R$1272,5,FALSE)+IF(ISNA(VLOOKUP($A259,'Mutasi Neraca'!$A$3:$S$910,5,FALSE)),0,VLOOKUP($A259,'Mutasi Neraca'!$A$3:$S$910,5,FALSE))</f>
        <v>1197963737</v>
      </c>
      <c r="G259" s="42">
        <f>VLOOKUP($A259,'Neraca Unaudited SIMAK'!$A$2:$R$1272,6,FALSE)+IF(ISNA(VLOOKUP($A259,'Mutasi Neraca'!$A$3:$S$910,6,FALSE)),0,VLOOKUP($A259,'Mutasi Neraca'!$A$3:$S$910,6,FALSE))</f>
        <v>8481237000</v>
      </c>
      <c r="H259" s="42">
        <f>VLOOKUP($A259,'Neraca Unaudited SIMAK'!$A$2:$R$1272,7,FALSE)+IF(ISNA(VLOOKUP($A259,'Mutasi Neraca'!$A$3:$S$910,7,FALSE)),0,VLOOKUP($A259,'Mutasi Neraca'!$A$3:$S$910,7,FALSE))</f>
        <v>27000000</v>
      </c>
      <c r="I259" s="42">
        <f>VLOOKUP($A259,'Neraca Unaudited SIMAK'!$A$2:$R$1272,8,FALSE)+IF(ISNA(VLOOKUP($A259,'Mutasi Neraca'!$A$3:$S$910,8,FALSE)),0,VLOOKUP($A259,'Mutasi Neraca'!$A$3:$S$910,8,FALSE))</f>
        <v>0</v>
      </c>
      <c r="J259" s="42">
        <f>VLOOKUP($A259,'Neraca Unaudited SIMAK'!$A$2:$R$1272,9,FALSE)+IF(ISNA(VLOOKUP($A259,'Mutasi Neraca'!$A$3:$S$910,9,FALSE)),0,VLOOKUP($A259,'Mutasi Neraca'!$A$3:$S$910,9,FALSE))</f>
        <v>0</v>
      </c>
      <c r="K259" s="42">
        <f>VLOOKUP($A259,'Neraca Unaudited SIMAK'!$A$2:$R$1272,10,FALSE)+IF(ISNA(VLOOKUP($A259,'Mutasi Neraca'!$A$3:$S$910,10,FALSE)),0,VLOOKUP($A259,'Mutasi Neraca'!$A$3:$S$910,10,FALSE))</f>
        <v>0</v>
      </c>
      <c r="L259" s="42">
        <f>VLOOKUP($A259,'Neraca Unaudited SIMAK'!$A$2:$R$1272,11,FALSE)+IF(ISNA(VLOOKUP($A259,'Mutasi Neraca'!$A$3:$S$910,11,FALSE)),0,VLOOKUP($A259,'Mutasi Neraca'!$A$3:$S$910,11,FALSE))</f>
        <v>134447110</v>
      </c>
      <c r="M259" s="42">
        <f>VLOOKUP($A259,'Neraca Unaudited SIMAK'!$A$2:$R$1272,12,FALSE)+IF(ISNA(VLOOKUP($A259,'Mutasi Neraca'!$A$3:$S$910,12,FALSE)),0,VLOOKUP($A259,'Mutasi Neraca'!$A$3:$S$910,12,FALSE))</f>
        <v>11581821947</v>
      </c>
      <c r="N259" s="42">
        <f>VLOOKUP($A259,'Neraca Unaudited SIMAK'!$A$2:$R$1272,13,FALSE)+IF(ISNA(VLOOKUP($A259,'Mutasi Neraca'!$A$3:$S$910,13,FALSE)),0,VLOOKUP($A259,'Mutasi Neraca'!$A$3:$S$910,13,FALSE))</f>
        <v>-927614261</v>
      </c>
      <c r="O259" s="42">
        <f>VLOOKUP($A259,'Neraca Unaudited SIMAK'!$A$2:$R$1272,14,FALSE)+IF(ISNA(VLOOKUP($A259,'Mutasi Neraca'!$A$3:$S$910,14,FALSE)),0,VLOOKUP($A259,'Mutasi Neraca'!$A$3:$S$910,14,FALSE))</f>
        <v>-1087013659</v>
      </c>
      <c r="P259" s="42">
        <f>VLOOKUP($A259,'Neraca Unaudited SIMAK'!$A$2:$R$1272,15,FALSE)+IF(ISNA(VLOOKUP($A259,'Mutasi Neraca'!$A$3:$S$910,15,FALSE)),0,VLOOKUP($A259,'Mutasi Neraca'!$A$3:$S$910,15,FALSE))</f>
        <v>-6750000</v>
      </c>
      <c r="Q259" s="42">
        <f>VLOOKUP($A259,'Neraca Unaudited SIMAK'!$A$2:$R$1272,16,FALSE)+IF(ISNA(VLOOKUP($A259,'Mutasi Neraca'!$A$3:$S$910,16,FALSE)),0,VLOOKUP($A259,'Mutasi Neraca'!$A$3:$S$910,16,FALSE))</f>
        <v>0</v>
      </c>
      <c r="R259" s="42">
        <f>VLOOKUP($A259,'Neraca Unaudited SIMAK'!$A$2:$R$1272,17,FALSE)+IF(ISNA(VLOOKUP($A259,'Mutasi Neraca'!$A$3:$S$910,17,FALSE)),0,VLOOKUP($A259,'Mutasi Neraca'!$A$3:$S$910,17,FALSE))</f>
        <v>-130223110</v>
      </c>
      <c r="S259" s="42">
        <f t="shared" ref="S259:S322" si="51">SUM(M259:R259)</f>
        <v>9430220917</v>
      </c>
    </row>
    <row r="260" spans="1:19">
      <c r="A260" s="41" t="s">
        <v>267</v>
      </c>
      <c r="B260" s="41" t="str">
        <f t="shared" si="50"/>
        <v>005010600</v>
      </c>
      <c r="D260" s="42">
        <f>VLOOKUP($A260,'Neraca Unaudited SIMAK'!$A$2:$R$1272,3,FALSE)+IF(ISNA(VLOOKUP($A260,'Mutasi Neraca'!$A$3:$S$910,3,FALSE)),0,VLOOKUP($A260,'Mutasi Neraca'!$A$3:$S$910,3,FALSE))</f>
        <v>420000</v>
      </c>
      <c r="E260" s="42">
        <f>VLOOKUP($A260,'Neraca Unaudited SIMAK'!$A$2:$R$1272,4,FALSE)+IF(ISNA(VLOOKUP($A260,'Mutasi Neraca'!$A$3:$S$910,4,FALSE)),0,VLOOKUP($A260,'Mutasi Neraca'!$A$3:$S$910,4,FALSE))</f>
        <v>491680000</v>
      </c>
      <c r="F260" s="42">
        <f>VLOOKUP($A260,'Neraca Unaudited SIMAK'!$A$2:$R$1272,5,FALSE)+IF(ISNA(VLOOKUP($A260,'Mutasi Neraca'!$A$3:$S$910,5,FALSE)),0,VLOOKUP($A260,'Mutasi Neraca'!$A$3:$S$910,5,FALSE))</f>
        <v>998130634</v>
      </c>
      <c r="G260" s="42">
        <f>VLOOKUP($A260,'Neraca Unaudited SIMAK'!$A$2:$R$1272,6,FALSE)+IF(ISNA(VLOOKUP($A260,'Mutasi Neraca'!$A$3:$S$910,6,FALSE)),0,VLOOKUP($A260,'Mutasi Neraca'!$A$3:$S$910,6,FALSE))</f>
        <v>9597564000</v>
      </c>
      <c r="H260" s="42">
        <f>VLOOKUP($A260,'Neraca Unaudited SIMAK'!$A$2:$R$1272,7,FALSE)+IF(ISNA(VLOOKUP($A260,'Mutasi Neraca'!$A$3:$S$910,7,FALSE)),0,VLOOKUP($A260,'Mutasi Neraca'!$A$3:$S$910,7,FALSE))</f>
        <v>0</v>
      </c>
      <c r="I260" s="42">
        <f>VLOOKUP($A260,'Neraca Unaudited SIMAK'!$A$2:$R$1272,8,FALSE)+IF(ISNA(VLOOKUP($A260,'Mutasi Neraca'!$A$3:$S$910,8,FALSE)),0,VLOOKUP($A260,'Mutasi Neraca'!$A$3:$S$910,8,FALSE))</f>
        <v>0</v>
      </c>
      <c r="J260" s="42">
        <f>VLOOKUP($A260,'Neraca Unaudited SIMAK'!$A$2:$R$1272,9,FALSE)+IF(ISNA(VLOOKUP($A260,'Mutasi Neraca'!$A$3:$S$910,9,FALSE)),0,VLOOKUP($A260,'Mutasi Neraca'!$A$3:$S$910,9,FALSE))</f>
        <v>0</v>
      </c>
      <c r="K260" s="42">
        <f>VLOOKUP($A260,'Neraca Unaudited SIMAK'!$A$2:$R$1272,10,FALSE)+IF(ISNA(VLOOKUP($A260,'Mutasi Neraca'!$A$3:$S$910,10,FALSE)),0,VLOOKUP($A260,'Mutasi Neraca'!$A$3:$S$910,10,FALSE))</f>
        <v>0</v>
      </c>
      <c r="L260" s="42">
        <f>VLOOKUP($A260,'Neraca Unaudited SIMAK'!$A$2:$R$1272,11,FALSE)+IF(ISNA(VLOOKUP($A260,'Mutasi Neraca'!$A$3:$S$910,11,FALSE)),0,VLOOKUP($A260,'Mutasi Neraca'!$A$3:$S$910,11,FALSE))</f>
        <v>139848000</v>
      </c>
      <c r="M260" s="42">
        <f>VLOOKUP($A260,'Neraca Unaudited SIMAK'!$A$2:$R$1272,12,FALSE)+IF(ISNA(VLOOKUP($A260,'Mutasi Neraca'!$A$3:$S$910,12,FALSE)),0,VLOOKUP($A260,'Mutasi Neraca'!$A$3:$S$910,12,FALSE))</f>
        <v>11227642634</v>
      </c>
      <c r="N260" s="42">
        <f>VLOOKUP($A260,'Neraca Unaudited SIMAK'!$A$2:$R$1272,13,FALSE)+IF(ISNA(VLOOKUP($A260,'Mutasi Neraca'!$A$3:$S$910,13,FALSE)),0,VLOOKUP($A260,'Mutasi Neraca'!$A$3:$S$910,13,FALSE))</f>
        <v>-871116779</v>
      </c>
      <c r="O260" s="42">
        <f>VLOOKUP($A260,'Neraca Unaudited SIMAK'!$A$2:$R$1272,14,FALSE)+IF(ISNA(VLOOKUP($A260,'Mutasi Neraca'!$A$3:$S$910,14,FALSE)),0,VLOOKUP($A260,'Mutasi Neraca'!$A$3:$S$910,14,FALSE))</f>
        <v>-655991920</v>
      </c>
      <c r="P260" s="42">
        <f>VLOOKUP($A260,'Neraca Unaudited SIMAK'!$A$2:$R$1272,15,FALSE)+IF(ISNA(VLOOKUP($A260,'Mutasi Neraca'!$A$3:$S$910,15,FALSE)),0,VLOOKUP($A260,'Mutasi Neraca'!$A$3:$S$910,15,FALSE))</f>
        <v>0</v>
      </c>
      <c r="Q260" s="42">
        <f>VLOOKUP($A260,'Neraca Unaudited SIMAK'!$A$2:$R$1272,16,FALSE)+IF(ISNA(VLOOKUP($A260,'Mutasi Neraca'!$A$3:$S$910,16,FALSE)),0,VLOOKUP($A260,'Mutasi Neraca'!$A$3:$S$910,16,FALSE))</f>
        <v>0</v>
      </c>
      <c r="R260" s="42">
        <f>VLOOKUP($A260,'Neraca Unaudited SIMAK'!$A$2:$R$1272,17,FALSE)+IF(ISNA(VLOOKUP($A260,'Mutasi Neraca'!$A$3:$S$910,17,FALSE)),0,VLOOKUP($A260,'Mutasi Neraca'!$A$3:$S$910,17,FALSE))</f>
        <v>-139848000</v>
      </c>
      <c r="S260" s="42">
        <f t="shared" si="51"/>
        <v>9560685935</v>
      </c>
    </row>
    <row r="261" spans="1:19">
      <c r="A261" s="41" t="s">
        <v>268</v>
      </c>
      <c r="B261" s="41" t="str">
        <f t="shared" si="50"/>
        <v>005010600</v>
      </c>
      <c r="D261" s="42">
        <f>VLOOKUP($A261,'Neraca Unaudited SIMAK'!$A$2:$R$1272,3,FALSE)+IF(ISNA(VLOOKUP($A261,'Mutasi Neraca'!$A$3:$S$910,3,FALSE)),0,VLOOKUP($A261,'Mutasi Neraca'!$A$3:$S$910,3,FALSE))</f>
        <v>130000</v>
      </c>
      <c r="E261" s="42">
        <f>VLOOKUP($A261,'Neraca Unaudited SIMAK'!$A$2:$R$1272,4,FALSE)+IF(ISNA(VLOOKUP($A261,'Mutasi Neraca'!$A$3:$S$910,4,FALSE)),0,VLOOKUP($A261,'Mutasi Neraca'!$A$3:$S$910,4,FALSE))</f>
        <v>521000000</v>
      </c>
      <c r="F261" s="42">
        <f>VLOOKUP($A261,'Neraca Unaudited SIMAK'!$A$2:$R$1272,5,FALSE)+IF(ISNA(VLOOKUP($A261,'Mutasi Neraca'!$A$3:$S$910,5,FALSE)),0,VLOOKUP($A261,'Mutasi Neraca'!$A$3:$S$910,5,FALSE))</f>
        <v>924575866</v>
      </c>
      <c r="G261" s="42">
        <f>VLOOKUP($A261,'Neraca Unaudited SIMAK'!$A$2:$R$1272,6,FALSE)+IF(ISNA(VLOOKUP($A261,'Mutasi Neraca'!$A$3:$S$910,6,FALSE)),0,VLOOKUP($A261,'Mutasi Neraca'!$A$3:$S$910,6,FALSE))</f>
        <v>7220110150</v>
      </c>
      <c r="H261" s="42">
        <f>VLOOKUP($A261,'Neraca Unaudited SIMAK'!$A$2:$R$1272,7,FALSE)+IF(ISNA(VLOOKUP($A261,'Mutasi Neraca'!$A$3:$S$910,7,FALSE)),0,VLOOKUP($A261,'Mutasi Neraca'!$A$3:$S$910,7,FALSE))</f>
        <v>0</v>
      </c>
      <c r="I261" s="42">
        <f>VLOOKUP($A261,'Neraca Unaudited SIMAK'!$A$2:$R$1272,8,FALSE)+IF(ISNA(VLOOKUP($A261,'Mutasi Neraca'!$A$3:$S$910,8,FALSE)),0,VLOOKUP($A261,'Mutasi Neraca'!$A$3:$S$910,8,FALSE))</f>
        <v>0</v>
      </c>
      <c r="J261" s="42">
        <f>VLOOKUP($A261,'Neraca Unaudited SIMAK'!$A$2:$R$1272,9,FALSE)+IF(ISNA(VLOOKUP($A261,'Mutasi Neraca'!$A$3:$S$910,9,FALSE)),0,VLOOKUP($A261,'Mutasi Neraca'!$A$3:$S$910,9,FALSE))</f>
        <v>0</v>
      </c>
      <c r="K261" s="42">
        <f>VLOOKUP($A261,'Neraca Unaudited SIMAK'!$A$2:$R$1272,10,FALSE)+IF(ISNA(VLOOKUP($A261,'Mutasi Neraca'!$A$3:$S$910,10,FALSE)),0,VLOOKUP($A261,'Mutasi Neraca'!$A$3:$S$910,10,FALSE))</f>
        <v>0</v>
      </c>
      <c r="L261" s="42">
        <f>VLOOKUP($A261,'Neraca Unaudited SIMAK'!$A$2:$R$1272,11,FALSE)+IF(ISNA(VLOOKUP($A261,'Mutasi Neraca'!$A$3:$S$910,11,FALSE)),0,VLOOKUP($A261,'Mutasi Neraca'!$A$3:$S$910,11,FALSE))</f>
        <v>60237516</v>
      </c>
      <c r="M261" s="42">
        <f>VLOOKUP($A261,'Neraca Unaudited SIMAK'!$A$2:$R$1272,12,FALSE)+IF(ISNA(VLOOKUP($A261,'Mutasi Neraca'!$A$3:$S$910,12,FALSE)),0,VLOOKUP($A261,'Mutasi Neraca'!$A$3:$S$910,12,FALSE))</f>
        <v>8726053532</v>
      </c>
      <c r="N261" s="42">
        <f>VLOOKUP($A261,'Neraca Unaudited SIMAK'!$A$2:$R$1272,13,FALSE)+IF(ISNA(VLOOKUP($A261,'Mutasi Neraca'!$A$3:$S$910,13,FALSE)),0,VLOOKUP($A261,'Mutasi Neraca'!$A$3:$S$910,13,FALSE))</f>
        <v>-763051914</v>
      </c>
      <c r="O261" s="42">
        <f>VLOOKUP($A261,'Neraca Unaudited SIMAK'!$A$2:$R$1272,14,FALSE)+IF(ISNA(VLOOKUP($A261,'Mutasi Neraca'!$A$3:$S$910,14,FALSE)),0,VLOOKUP($A261,'Mutasi Neraca'!$A$3:$S$910,14,FALSE))</f>
        <v>-638055873</v>
      </c>
      <c r="P261" s="42">
        <f>VLOOKUP($A261,'Neraca Unaudited SIMAK'!$A$2:$R$1272,15,FALSE)+IF(ISNA(VLOOKUP($A261,'Mutasi Neraca'!$A$3:$S$910,15,FALSE)),0,VLOOKUP($A261,'Mutasi Neraca'!$A$3:$S$910,15,FALSE))</f>
        <v>0</v>
      </c>
      <c r="Q261" s="42">
        <f>VLOOKUP($A261,'Neraca Unaudited SIMAK'!$A$2:$R$1272,16,FALSE)+IF(ISNA(VLOOKUP($A261,'Mutasi Neraca'!$A$3:$S$910,16,FALSE)),0,VLOOKUP($A261,'Mutasi Neraca'!$A$3:$S$910,16,FALSE))</f>
        <v>0</v>
      </c>
      <c r="R261" s="42">
        <f>VLOOKUP($A261,'Neraca Unaudited SIMAK'!$A$2:$R$1272,17,FALSE)+IF(ISNA(VLOOKUP($A261,'Mutasi Neraca'!$A$3:$S$910,17,FALSE)),0,VLOOKUP($A261,'Mutasi Neraca'!$A$3:$S$910,17,FALSE))</f>
        <v>-60237516</v>
      </c>
      <c r="S261" s="42">
        <f t="shared" si="51"/>
        <v>7264708229</v>
      </c>
    </row>
    <row r="262" spans="1:19">
      <c r="A262" s="41" t="s">
        <v>269</v>
      </c>
      <c r="B262" s="41" t="str">
        <f t="shared" si="50"/>
        <v>005010600</v>
      </c>
      <c r="D262" s="42">
        <f>VLOOKUP($A262,'Neraca Unaudited SIMAK'!$A$2:$R$1272,3,FALSE)+IF(ISNA(VLOOKUP($A262,'Mutasi Neraca'!$A$3:$S$910,3,FALSE)),0,VLOOKUP($A262,'Mutasi Neraca'!$A$3:$S$910,3,FALSE))</f>
        <v>1111000</v>
      </c>
      <c r="E262" s="42">
        <f>VLOOKUP($A262,'Neraca Unaudited SIMAK'!$A$2:$R$1272,4,FALSE)+IF(ISNA(VLOOKUP($A262,'Mutasi Neraca'!$A$3:$S$910,4,FALSE)),0,VLOOKUP($A262,'Mutasi Neraca'!$A$3:$S$910,4,FALSE))</f>
        <v>1032375000</v>
      </c>
      <c r="F262" s="42">
        <f>VLOOKUP($A262,'Neraca Unaudited SIMAK'!$A$2:$R$1272,5,FALSE)+IF(ISNA(VLOOKUP($A262,'Mutasi Neraca'!$A$3:$S$910,5,FALSE)),0,VLOOKUP($A262,'Mutasi Neraca'!$A$3:$S$910,5,FALSE))</f>
        <v>1888484650</v>
      </c>
      <c r="G262" s="42">
        <f>VLOOKUP($A262,'Neraca Unaudited SIMAK'!$A$2:$R$1272,6,FALSE)+IF(ISNA(VLOOKUP($A262,'Mutasi Neraca'!$A$3:$S$910,6,FALSE)),0,VLOOKUP($A262,'Mutasi Neraca'!$A$3:$S$910,6,FALSE))</f>
        <v>11887852720</v>
      </c>
      <c r="H262" s="42">
        <f>VLOOKUP($A262,'Neraca Unaudited SIMAK'!$A$2:$R$1272,7,FALSE)+IF(ISNA(VLOOKUP($A262,'Mutasi Neraca'!$A$3:$S$910,7,FALSE)),0,VLOOKUP($A262,'Mutasi Neraca'!$A$3:$S$910,7,FALSE))</f>
        <v>0</v>
      </c>
      <c r="I262" s="42">
        <f>VLOOKUP($A262,'Neraca Unaudited SIMAK'!$A$2:$R$1272,8,FALSE)+IF(ISNA(VLOOKUP($A262,'Mutasi Neraca'!$A$3:$S$910,8,FALSE)),0,VLOOKUP($A262,'Mutasi Neraca'!$A$3:$S$910,8,FALSE))</f>
        <v>35860000</v>
      </c>
      <c r="J262" s="42">
        <f>VLOOKUP($A262,'Neraca Unaudited SIMAK'!$A$2:$R$1272,9,FALSE)+IF(ISNA(VLOOKUP($A262,'Mutasi Neraca'!$A$3:$S$910,9,FALSE)),0,VLOOKUP($A262,'Mutasi Neraca'!$A$3:$S$910,9,FALSE))</f>
        <v>0</v>
      </c>
      <c r="K262" s="42">
        <f>VLOOKUP($A262,'Neraca Unaudited SIMAK'!$A$2:$R$1272,10,FALSE)+IF(ISNA(VLOOKUP($A262,'Mutasi Neraca'!$A$3:$S$910,10,FALSE)),0,VLOOKUP($A262,'Mutasi Neraca'!$A$3:$S$910,10,FALSE))</f>
        <v>0</v>
      </c>
      <c r="L262" s="42">
        <f>VLOOKUP($A262,'Neraca Unaudited SIMAK'!$A$2:$R$1272,11,FALSE)+IF(ISNA(VLOOKUP($A262,'Mutasi Neraca'!$A$3:$S$910,11,FALSE)),0,VLOOKUP($A262,'Mutasi Neraca'!$A$3:$S$910,11,FALSE))</f>
        <v>190474487</v>
      </c>
      <c r="M262" s="42">
        <f>VLOOKUP($A262,'Neraca Unaudited SIMAK'!$A$2:$R$1272,12,FALSE)+IF(ISNA(VLOOKUP($A262,'Mutasi Neraca'!$A$3:$S$910,12,FALSE)),0,VLOOKUP($A262,'Mutasi Neraca'!$A$3:$S$910,12,FALSE))</f>
        <v>15036157857</v>
      </c>
      <c r="N262" s="42">
        <f>VLOOKUP($A262,'Neraca Unaudited SIMAK'!$A$2:$R$1272,13,FALSE)+IF(ISNA(VLOOKUP($A262,'Mutasi Neraca'!$A$3:$S$910,13,FALSE)),0,VLOOKUP($A262,'Mutasi Neraca'!$A$3:$S$910,13,FALSE))</f>
        <v>-1216595415</v>
      </c>
      <c r="O262" s="42">
        <f>VLOOKUP($A262,'Neraca Unaudited SIMAK'!$A$2:$R$1272,14,FALSE)+IF(ISNA(VLOOKUP($A262,'Mutasi Neraca'!$A$3:$S$910,14,FALSE)),0,VLOOKUP($A262,'Mutasi Neraca'!$A$3:$S$910,14,FALSE))</f>
        <v>-2017195884</v>
      </c>
      <c r="P262" s="42">
        <f>VLOOKUP($A262,'Neraca Unaudited SIMAK'!$A$2:$R$1272,15,FALSE)+IF(ISNA(VLOOKUP($A262,'Mutasi Neraca'!$A$3:$S$910,15,FALSE)),0,VLOOKUP($A262,'Mutasi Neraca'!$A$3:$S$910,15,FALSE))</f>
        <v>0</v>
      </c>
      <c r="Q262" s="42">
        <f>VLOOKUP($A262,'Neraca Unaudited SIMAK'!$A$2:$R$1272,16,FALSE)+IF(ISNA(VLOOKUP($A262,'Mutasi Neraca'!$A$3:$S$910,16,FALSE)),0,VLOOKUP($A262,'Mutasi Neraca'!$A$3:$S$910,16,FALSE))</f>
        <v>0</v>
      </c>
      <c r="R262" s="42">
        <f>VLOOKUP($A262,'Neraca Unaudited SIMAK'!$A$2:$R$1272,17,FALSE)+IF(ISNA(VLOOKUP($A262,'Mutasi Neraca'!$A$3:$S$910,17,FALSE)),0,VLOOKUP($A262,'Mutasi Neraca'!$A$3:$S$910,17,FALSE))</f>
        <v>-190474487</v>
      </c>
      <c r="S262" s="42">
        <f t="shared" si="51"/>
        <v>11611892071</v>
      </c>
    </row>
    <row r="263" spans="1:19">
      <c r="A263" s="41" t="s">
        <v>270</v>
      </c>
      <c r="B263" s="41" t="str">
        <f t="shared" si="50"/>
        <v>005010600</v>
      </c>
      <c r="D263" s="42">
        <f>VLOOKUP($A263,'Neraca Unaudited SIMAK'!$A$2:$R$1272,3,FALSE)+IF(ISNA(VLOOKUP($A263,'Mutasi Neraca'!$A$3:$S$910,3,FALSE)),0,VLOOKUP($A263,'Mutasi Neraca'!$A$3:$S$910,3,FALSE))</f>
        <v>335000</v>
      </c>
      <c r="E263" s="42">
        <f>VLOOKUP($A263,'Neraca Unaudited SIMAK'!$A$2:$R$1272,4,FALSE)+IF(ISNA(VLOOKUP($A263,'Mutasi Neraca'!$A$3:$S$910,4,FALSE)),0,VLOOKUP($A263,'Mutasi Neraca'!$A$3:$S$910,4,FALSE))</f>
        <v>2812800000</v>
      </c>
      <c r="F263" s="42">
        <f>VLOOKUP($A263,'Neraca Unaudited SIMAK'!$A$2:$R$1272,5,FALSE)+IF(ISNA(VLOOKUP($A263,'Mutasi Neraca'!$A$3:$S$910,5,FALSE)),0,VLOOKUP($A263,'Mutasi Neraca'!$A$3:$S$910,5,FALSE))</f>
        <v>1564218154</v>
      </c>
      <c r="G263" s="42">
        <f>VLOOKUP($A263,'Neraca Unaudited SIMAK'!$A$2:$R$1272,6,FALSE)+IF(ISNA(VLOOKUP($A263,'Mutasi Neraca'!$A$3:$S$910,6,FALSE)),0,VLOOKUP($A263,'Mutasi Neraca'!$A$3:$S$910,6,FALSE))</f>
        <v>8603004000</v>
      </c>
      <c r="H263" s="42">
        <f>VLOOKUP($A263,'Neraca Unaudited SIMAK'!$A$2:$R$1272,7,FALSE)+IF(ISNA(VLOOKUP($A263,'Mutasi Neraca'!$A$3:$S$910,7,FALSE)),0,VLOOKUP($A263,'Mutasi Neraca'!$A$3:$S$910,7,FALSE))</f>
        <v>0</v>
      </c>
      <c r="I263" s="42">
        <f>VLOOKUP($A263,'Neraca Unaudited SIMAK'!$A$2:$R$1272,8,FALSE)+IF(ISNA(VLOOKUP($A263,'Mutasi Neraca'!$A$3:$S$910,8,FALSE)),0,VLOOKUP($A263,'Mutasi Neraca'!$A$3:$S$910,8,FALSE))</f>
        <v>0</v>
      </c>
      <c r="J263" s="42">
        <f>VLOOKUP($A263,'Neraca Unaudited SIMAK'!$A$2:$R$1272,9,FALSE)+IF(ISNA(VLOOKUP($A263,'Mutasi Neraca'!$A$3:$S$910,9,FALSE)),0,VLOOKUP($A263,'Mutasi Neraca'!$A$3:$S$910,9,FALSE))</f>
        <v>0</v>
      </c>
      <c r="K263" s="42">
        <f>VLOOKUP($A263,'Neraca Unaudited SIMAK'!$A$2:$R$1272,10,FALSE)+IF(ISNA(VLOOKUP($A263,'Mutasi Neraca'!$A$3:$S$910,10,FALSE)),0,VLOOKUP($A263,'Mutasi Neraca'!$A$3:$S$910,10,FALSE))</f>
        <v>0</v>
      </c>
      <c r="L263" s="42">
        <f>VLOOKUP($A263,'Neraca Unaudited SIMAK'!$A$2:$R$1272,11,FALSE)+IF(ISNA(VLOOKUP($A263,'Mutasi Neraca'!$A$3:$S$910,11,FALSE)),0,VLOOKUP($A263,'Mutasi Neraca'!$A$3:$S$910,11,FALSE))</f>
        <v>45042000</v>
      </c>
      <c r="M263" s="42">
        <f>VLOOKUP($A263,'Neraca Unaudited SIMAK'!$A$2:$R$1272,12,FALSE)+IF(ISNA(VLOOKUP($A263,'Mutasi Neraca'!$A$3:$S$910,12,FALSE)),0,VLOOKUP($A263,'Mutasi Neraca'!$A$3:$S$910,12,FALSE))</f>
        <v>13025399154</v>
      </c>
      <c r="N263" s="42">
        <f>VLOOKUP($A263,'Neraca Unaudited SIMAK'!$A$2:$R$1272,13,FALSE)+IF(ISNA(VLOOKUP($A263,'Mutasi Neraca'!$A$3:$S$910,13,FALSE)),0,VLOOKUP($A263,'Mutasi Neraca'!$A$3:$S$910,13,FALSE))</f>
        <v>-1135636971</v>
      </c>
      <c r="O263" s="42">
        <f>VLOOKUP($A263,'Neraca Unaudited SIMAK'!$A$2:$R$1272,14,FALSE)+IF(ISNA(VLOOKUP($A263,'Mutasi Neraca'!$A$3:$S$910,14,FALSE)),0,VLOOKUP($A263,'Mutasi Neraca'!$A$3:$S$910,14,FALSE))</f>
        <v>-1732391461</v>
      </c>
      <c r="P263" s="42">
        <f>VLOOKUP($A263,'Neraca Unaudited SIMAK'!$A$2:$R$1272,15,FALSE)+IF(ISNA(VLOOKUP($A263,'Mutasi Neraca'!$A$3:$S$910,15,FALSE)),0,VLOOKUP($A263,'Mutasi Neraca'!$A$3:$S$910,15,FALSE))</f>
        <v>0</v>
      </c>
      <c r="Q263" s="42">
        <f>VLOOKUP($A263,'Neraca Unaudited SIMAK'!$A$2:$R$1272,16,FALSE)+IF(ISNA(VLOOKUP($A263,'Mutasi Neraca'!$A$3:$S$910,16,FALSE)),0,VLOOKUP($A263,'Mutasi Neraca'!$A$3:$S$910,16,FALSE))</f>
        <v>0</v>
      </c>
      <c r="R263" s="42">
        <f>VLOOKUP($A263,'Neraca Unaudited SIMAK'!$A$2:$R$1272,17,FALSE)+IF(ISNA(VLOOKUP($A263,'Mutasi Neraca'!$A$3:$S$910,17,FALSE)),0,VLOOKUP($A263,'Mutasi Neraca'!$A$3:$S$910,17,FALSE))</f>
        <v>-45042000</v>
      </c>
      <c r="S263" s="42">
        <f t="shared" si="51"/>
        <v>10112328722</v>
      </c>
    </row>
    <row r="264" spans="1:19">
      <c r="A264" s="41" t="s">
        <v>271</v>
      </c>
      <c r="B264" s="41" t="str">
        <f t="shared" si="50"/>
        <v>005010600</v>
      </c>
      <c r="D264" s="42">
        <f>VLOOKUP($A264,'Neraca Unaudited SIMAK'!$A$2:$R$1272,3,FALSE)+IF(ISNA(VLOOKUP($A264,'Mutasi Neraca'!$A$3:$S$910,3,FALSE)),0,VLOOKUP($A264,'Mutasi Neraca'!$A$3:$S$910,3,FALSE))</f>
        <v>0</v>
      </c>
      <c r="E264" s="42">
        <f>VLOOKUP($A264,'Neraca Unaudited SIMAK'!$A$2:$R$1272,4,FALSE)+IF(ISNA(VLOOKUP($A264,'Mutasi Neraca'!$A$3:$S$910,4,FALSE)),0,VLOOKUP($A264,'Mutasi Neraca'!$A$3:$S$910,4,FALSE))</f>
        <v>3347904000</v>
      </c>
      <c r="F264" s="42">
        <f>VLOOKUP($A264,'Neraca Unaudited SIMAK'!$A$2:$R$1272,5,FALSE)+IF(ISNA(VLOOKUP($A264,'Mutasi Neraca'!$A$3:$S$910,5,FALSE)),0,VLOOKUP($A264,'Mutasi Neraca'!$A$3:$S$910,5,FALSE))</f>
        <v>1469294217</v>
      </c>
      <c r="G264" s="42">
        <f>VLOOKUP($A264,'Neraca Unaudited SIMAK'!$A$2:$R$1272,6,FALSE)+IF(ISNA(VLOOKUP($A264,'Mutasi Neraca'!$A$3:$S$910,6,FALSE)),0,VLOOKUP($A264,'Mutasi Neraca'!$A$3:$S$910,6,FALSE))</f>
        <v>8631967000</v>
      </c>
      <c r="H264" s="42">
        <f>VLOOKUP($A264,'Neraca Unaudited SIMAK'!$A$2:$R$1272,7,FALSE)+IF(ISNA(VLOOKUP($A264,'Mutasi Neraca'!$A$3:$S$910,7,FALSE)),0,VLOOKUP($A264,'Mutasi Neraca'!$A$3:$S$910,7,FALSE))</f>
        <v>0</v>
      </c>
      <c r="I264" s="42">
        <f>VLOOKUP($A264,'Neraca Unaudited SIMAK'!$A$2:$R$1272,8,FALSE)+IF(ISNA(VLOOKUP($A264,'Mutasi Neraca'!$A$3:$S$910,8,FALSE)),0,VLOOKUP($A264,'Mutasi Neraca'!$A$3:$S$910,8,FALSE))</f>
        <v>461000</v>
      </c>
      <c r="J264" s="42">
        <f>VLOOKUP($A264,'Neraca Unaudited SIMAK'!$A$2:$R$1272,9,FALSE)+IF(ISNA(VLOOKUP($A264,'Mutasi Neraca'!$A$3:$S$910,9,FALSE)),0,VLOOKUP($A264,'Mutasi Neraca'!$A$3:$S$910,9,FALSE))</f>
        <v>0</v>
      </c>
      <c r="K264" s="42">
        <f>VLOOKUP($A264,'Neraca Unaudited SIMAK'!$A$2:$R$1272,10,FALSE)+IF(ISNA(VLOOKUP($A264,'Mutasi Neraca'!$A$3:$S$910,10,FALSE)),0,VLOOKUP($A264,'Mutasi Neraca'!$A$3:$S$910,10,FALSE))</f>
        <v>6820000</v>
      </c>
      <c r="L264" s="42">
        <f>VLOOKUP($A264,'Neraca Unaudited SIMAK'!$A$2:$R$1272,11,FALSE)+IF(ISNA(VLOOKUP($A264,'Mutasi Neraca'!$A$3:$S$910,11,FALSE)),0,VLOOKUP($A264,'Mutasi Neraca'!$A$3:$S$910,11,FALSE))</f>
        <v>7631000</v>
      </c>
      <c r="M264" s="42">
        <f>VLOOKUP($A264,'Neraca Unaudited SIMAK'!$A$2:$R$1272,12,FALSE)+IF(ISNA(VLOOKUP($A264,'Mutasi Neraca'!$A$3:$S$910,12,FALSE)),0,VLOOKUP($A264,'Mutasi Neraca'!$A$3:$S$910,12,FALSE))</f>
        <v>13464077217</v>
      </c>
      <c r="N264" s="42">
        <f>VLOOKUP($A264,'Neraca Unaudited SIMAK'!$A$2:$R$1272,13,FALSE)+IF(ISNA(VLOOKUP($A264,'Mutasi Neraca'!$A$3:$S$910,13,FALSE)),0,VLOOKUP($A264,'Mutasi Neraca'!$A$3:$S$910,13,FALSE))</f>
        <v>-1305710797</v>
      </c>
      <c r="O264" s="42">
        <f>VLOOKUP($A264,'Neraca Unaudited SIMAK'!$A$2:$R$1272,14,FALSE)+IF(ISNA(VLOOKUP($A264,'Mutasi Neraca'!$A$3:$S$910,14,FALSE)),0,VLOOKUP($A264,'Mutasi Neraca'!$A$3:$S$910,14,FALSE))</f>
        <v>-790540438</v>
      </c>
      <c r="P264" s="42">
        <f>VLOOKUP($A264,'Neraca Unaudited SIMAK'!$A$2:$R$1272,15,FALSE)+IF(ISNA(VLOOKUP($A264,'Mutasi Neraca'!$A$3:$S$910,15,FALSE)),0,VLOOKUP($A264,'Mutasi Neraca'!$A$3:$S$910,15,FALSE))</f>
        <v>0</v>
      </c>
      <c r="Q264" s="42">
        <f>VLOOKUP($A264,'Neraca Unaudited SIMAK'!$A$2:$R$1272,16,FALSE)+IF(ISNA(VLOOKUP($A264,'Mutasi Neraca'!$A$3:$S$910,16,FALSE)),0,VLOOKUP($A264,'Mutasi Neraca'!$A$3:$S$910,16,FALSE))</f>
        <v>0</v>
      </c>
      <c r="R264" s="42">
        <f>VLOOKUP($A264,'Neraca Unaudited SIMAK'!$A$2:$R$1272,17,FALSE)+IF(ISNA(VLOOKUP($A264,'Mutasi Neraca'!$A$3:$S$910,17,FALSE)),0,VLOOKUP($A264,'Mutasi Neraca'!$A$3:$S$910,17,FALSE))</f>
        <v>-7631000</v>
      </c>
      <c r="S264" s="42">
        <f t="shared" si="51"/>
        <v>11360194982</v>
      </c>
    </row>
    <row r="265" spans="1:19">
      <c r="A265" s="41" t="s">
        <v>272</v>
      </c>
      <c r="B265" s="41" t="str">
        <f t="shared" si="50"/>
        <v>005010600</v>
      </c>
      <c r="D265" s="42">
        <f>VLOOKUP($A265,'Neraca Unaudited SIMAK'!$A$2:$R$1272,3,FALSE)+IF(ISNA(VLOOKUP($A265,'Mutasi Neraca'!$A$3:$S$910,3,FALSE)),0,VLOOKUP($A265,'Mutasi Neraca'!$A$3:$S$910,3,FALSE))</f>
        <v>343000</v>
      </c>
      <c r="E265" s="42">
        <f>VLOOKUP($A265,'Neraca Unaudited SIMAK'!$A$2:$R$1272,4,FALSE)+IF(ISNA(VLOOKUP($A265,'Mutasi Neraca'!$A$3:$S$910,4,FALSE)),0,VLOOKUP($A265,'Mutasi Neraca'!$A$3:$S$910,4,FALSE))</f>
        <v>1773726888</v>
      </c>
      <c r="F265" s="42">
        <f>VLOOKUP($A265,'Neraca Unaudited SIMAK'!$A$2:$R$1272,5,FALSE)+IF(ISNA(VLOOKUP($A265,'Mutasi Neraca'!$A$3:$S$910,5,FALSE)),0,VLOOKUP($A265,'Mutasi Neraca'!$A$3:$S$910,5,FALSE))</f>
        <v>1124006903</v>
      </c>
      <c r="G265" s="42">
        <f>VLOOKUP($A265,'Neraca Unaudited SIMAK'!$A$2:$R$1272,6,FALSE)+IF(ISNA(VLOOKUP($A265,'Mutasi Neraca'!$A$3:$S$910,6,FALSE)),0,VLOOKUP($A265,'Mutasi Neraca'!$A$3:$S$910,6,FALSE))</f>
        <v>8781444500</v>
      </c>
      <c r="H265" s="42">
        <f>VLOOKUP($A265,'Neraca Unaudited SIMAK'!$A$2:$R$1272,7,FALSE)+IF(ISNA(VLOOKUP($A265,'Mutasi Neraca'!$A$3:$S$910,7,FALSE)),0,VLOOKUP($A265,'Mutasi Neraca'!$A$3:$S$910,7,FALSE))</f>
        <v>0</v>
      </c>
      <c r="I265" s="42">
        <f>VLOOKUP($A265,'Neraca Unaudited SIMAK'!$A$2:$R$1272,8,FALSE)+IF(ISNA(VLOOKUP($A265,'Mutasi Neraca'!$A$3:$S$910,8,FALSE)),0,VLOOKUP($A265,'Mutasi Neraca'!$A$3:$S$910,8,FALSE))</f>
        <v>290000</v>
      </c>
      <c r="J265" s="42">
        <f>VLOOKUP($A265,'Neraca Unaudited SIMAK'!$A$2:$R$1272,9,FALSE)+IF(ISNA(VLOOKUP($A265,'Mutasi Neraca'!$A$3:$S$910,9,FALSE)),0,VLOOKUP($A265,'Mutasi Neraca'!$A$3:$S$910,9,FALSE))</f>
        <v>0</v>
      </c>
      <c r="K265" s="42">
        <f>VLOOKUP($A265,'Neraca Unaudited SIMAK'!$A$2:$R$1272,10,FALSE)+IF(ISNA(VLOOKUP($A265,'Mutasi Neraca'!$A$3:$S$910,10,FALSE)),0,VLOOKUP($A265,'Mutasi Neraca'!$A$3:$S$910,10,FALSE))</f>
        <v>0</v>
      </c>
      <c r="L265" s="42">
        <f>VLOOKUP($A265,'Neraca Unaudited SIMAK'!$A$2:$R$1272,11,FALSE)+IF(ISNA(VLOOKUP($A265,'Mutasi Neraca'!$A$3:$S$910,11,FALSE)),0,VLOOKUP($A265,'Mutasi Neraca'!$A$3:$S$910,11,FALSE))</f>
        <v>30857408</v>
      </c>
      <c r="M265" s="42">
        <f>VLOOKUP($A265,'Neraca Unaudited SIMAK'!$A$2:$R$1272,12,FALSE)+IF(ISNA(VLOOKUP($A265,'Mutasi Neraca'!$A$3:$S$910,12,FALSE)),0,VLOOKUP($A265,'Mutasi Neraca'!$A$3:$S$910,12,FALSE))</f>
        <v>11710668699</v>
      </c>
      <c r="N265" s="42">
        <f>VLOOKUP($A265,'Neraca Unaudited SIMAK'!$A$2:$R$1272,13,FALSE)+IF(ISNA(VLOOKUP($A265,'Mutasi Neraca'!$A$3:$S$910,13,FALSE)),0,VLOOKUP($A265,'Mutasi Neraca'!$A$3:$S$910,13,FALSE))</f>
        <v>-1012382064</v>
      </c>
      <c r="O265" s="42">
        <f>VLOOKUP($A265,'Neraca Unaudited SIMAK'!$A$2:$R$1272,14,FALSE)+IF(ISNA(VLOOKUP($A265,'Mutasi Neraca'!$A$3:$S$910,14,FALSE)),0,VLOOKUP($A265,'Mutasi Neraca'!$A$3:$S$910,14,FALSE))</f>
        <v>-416709439</v>
      </c>
      <c r="P265" s="42">
        <f>VLOOKUP($A265,'Neraca Unaudited SIMAK'!$A$2:$R$1272,15,FALSE)+IF(ISNA(VLOOKUP($A265,'Mutasi Neraca'!$A$3:$S$910,15,FALSE)),0,VLOOKUP($A265,'Mutasi Neraca'!$A$3:$S$910,15,FALSE))</f>
        <v>0</v>
      </c>
      <c r="Q265" s="42">
        <f>VLOOKUP($A265,'Neraca Unaudited SIMAK'!$A$2:$R$1272,16,FALSE)+IF(ISNA(VLOOKUP($A265,'Mutasi Neraca'!$A$3:$S$910,16,FALSE)),0,VLOOKUP($A265,'Mutasi Neraca'!$A$3:$S$910,16,FALSE))</f>
        <v>0</v>
      </c>
      <c r="R265" s="42">
        <f>VLOOKUP($A265,'Neraca Unaudited SIMAK'!$A$2:$R$1272,17,FALSE)+IF(ISNA(VLOOKUP($A265,'Mutasi Neraca'!$A$3:$S$910,17,FALSE)),0,VLOOKUP($A265,'Mutasi Neraca'!$A$3:$S$910,17,FALSE))</f>
        <v>-30857408</v>
      </c>
      <c r="S265" s="42">
        <f t="shared" si="51"/>
        <v>10250719788</v>
      </c>
    </row>
    <row r="266" spans="1:19">
      <c r="A266" s="41" t="s">
        <v>273</v>
      </c>
      <c r="B266" s="41" t="str">
        <f t="shared" si="50"/>
        <v>005010600</v>
      </c>
      <c r="D266" s="42">
        <f>VLOOKUP($A266,'Neraca Unaudited SIMAK'!$A$2:$R$1272,3,FALSE)+IF(ISNA(VLOOKUP($A266,'Mutasi Neraca'!$A$3:$S$910,3,FALSE)),0,VLOOKUP($A266,'Mutasi Neraca'!$A$3:$S$910,3,FALSE))</f>
        <v>432000</v>
      </c>
      <c r="E266" s="42">
        <f>VLOOKUP($A266,'Neraca Unaudited SIMAK'!$A$2:$R$1272,4,FALSE)+IF(ISNA(VLOOKUP($A266,'Mutasi Neraca'!$A$3:$S$910,4,FALSE)),0,VLOOKUP($A266,'Mutasi Neraca'!$A$3:$S$910,4,FALSE))</f>
        <v>903800000</v>
      </c>
      <c r="F266" s="42">
        <f>VLOOKUP($A266,'Neraca Unaudited SIMAK'!$A$2:$R$1272,5,FALSE)+IF(ISNA(VLOOKUP($A266,'Mutasi Neraca'!$A$3:$S$910,5,FALSE)),0,VLOOKUP($A266,'Mutasi Neraca'!$A$3:$S$910,5,FALSE))</f>
        <v>1521060500</v>
      </c>
      <c r="G266" s="42">
        <f>VLOOKUP($A266,'Neraca Unaudited SIMAK'!$A$2:$R$1272,6,FALSE)+IF(ISNA(VLOOKUP($A266,'Mutasi Neraca'!$A$3:$S$910,6,FALSE)),0,VLOOKUP($A266,'Mutasi Neraca'!$A$3:$S$910,6,FALSE))</f>
        <v>8702320000</v>
      </c>
      <c r="H266" s="42">
        <f>VLOOKUP($A266,'Neraca Unaudited SIMAK'!$A$2:$R$1272,7,FALSE)+IF(ISNA(VLOOKUP($A266,'Mutasi Neraca'!$A$3:$S$910,7,FALSE)),0,VLOOKUP($A266,'Mutasi Neraca'!$A$3:$S$910,7,FALSE))</f>
        <v>0</v>
      </c>
      <c r="I266" s="42">
        <f>VLOOKUP($A266,'Neraca Unaudited SIMAK'!$A$2:$R$1272,8,FALSE)+IF(ISNA(VLOOKUP($A266,'Mutasi Neraca'!$A$3:$S$910,8,FALSE)),0,VLOOKUP($A266,'Mutasi Neraca'!$A$3:$S$910,8,FALSE))</f>
        <v>0</v>
      </c>
      <c r="J266" s="42">
        <f>VLOOKUP($A266,'Neraca Unaudited SIMAK'!$A$2:$R$1272,9,FALSE)+IF(ISNA(VLOOKUP($A266,'Mutasi Neraca'!$A$3:$S$910,9,FALSE)),0,VLOOKUP($A266,'Mutasi Neraca'!$A$3:$S$910,9,FALSE))</f>
        <v>0</v>
      </c>
      <c r="K266" s="42">
        <f>VLOOKUP($A266,'Neraca Unaudited SIMAK'!$A$2:$R$1272,10,FALSE)+IF(ISNA(VLOOKUP($A266,'Mutasi Neraca'!$A$3:$S$910,10,FALSE)),0,VLOOKUP($A266,'Mutasi Neraca'!$A$3:$S$910,10,FALSE))</f>
        <v>0</v>
      </c>
      <c r="L266" s="42">
        <f>VLOOKUP($A266,'Neraca Unaudited SIMAK'!$A$2:$R$1272,11,FALSE)+IF(ISNA(VLOOKUP($A266,'Mutasi Neraca'!$A$3:$S$910,11,FALSE)),0,VLOOKUP($A266,'Mutasi Neraca'!$A$3:$S$910,11,FALSE))</f>
        <v>5915000</v>
      </c>
      <c r="M266" s="42">
        <f>VLOOKUP($A266,'Neraca Unaudited SIMAK'!$A$2:$R$1272,12,FALSE)+IF(ISNA(VLOOKUP($A266,'Mutasi Neraca'!$A$3:$S$910,12,FALSE)),0,VLOOKUP($A266,'Mutasi Neraca'!$A$3:$S$910,12,FALSE))</f>
        <v>11133527500</v>
      </c>
      <c r="N266" s="42">
        <f>VLOOKUP($A266,'Neraca Unaudited SIMAK'!$A$2:$R$1272,13,FALSE)+IF(ISNA(VLOOKUP($A266,'Mutasi Neraca'!$A$3:$S$910,13,FALSE)),0,VLOOKUP($A266,'Mutasi Neraca'!$A$3:$S$910,13,FALSE))</f>
        <v>-1391358750</v>
      </c>
      <c r="O266" s="42">
        <f>VLOOKUP($A266,'Neraca Unaudited SIMAK'!$A$2:$R$1272,14,FALSE)+IF(ISNA(VLOOKUP($A266,'Mutasi Neraca'!$A$3:$S$910,14,FALSE)),0,VLOOKUP($A266,'Mutasi Neraca'!$A$3:$S$910,14,FALSE))</f>
        <v>-469748600</v>
      </c>
      <c r="P266" s="42">
        <f>VLOOKUP($A266,'Neraca Unaudited SIMAK'!$A$2:$R$1272,15,FALSE)+IF(ISNA(VLOOKUP($A266,'Mutasi Neraca'!$A$3:$S$910,15,FALSE)),0,VLOOKUP($A266,'Mutasi Neraca'!$A$3:$S$910,15,FALSE))</f>
        <v>0</v>
      </c>
      <c r="Q266" s="42">
        <f>VLOOKUP($A266,'Neraca Unaudited SIMAK'!$A$2:$R$1272,16,FALSE)+IF(ISNA(VLOOKUP($A266,'Mutasi Neraca'!$A$3:$S$910,16,FALSE)),0,VLOOKUP($A266,'Mutasi Neraca'!$A$3:$S$910,16,FALSE))</f>
        <v>0</v>
      </c>
      <c r="R266" s="42">
        <f>VLOOKUP($A266,'Neraca Unaudited SIMAK'!$A$2:$R$1272,17,FALSE)+IF(ISNA(VLOOKUP($A266,'Mutasi Neraca'!$A$3:$S$910,17,FALSE)),0,VLOOKUP($A266,'Mutasi Neraca'!$A$3:$S$910,17,FALSE))</f>
        <v>-5915000</v>
      </c>
      <c r="S266" s="42">
        <f t="shared" si="51"/>
        <v>9266505150</v>
      </c>
    </row>
    <row r="267" spans="1:19">
      <c r="A267" s="41" t="s">
        <v>274</v>
      </c>
      <c r="B267" s="41" t="str">
        <f t="shared" si="50"/>
        <v>005010600</v>
      </c>
      <c r="D267" s="42">
        <f>VLOOKUP($A267,'Neraca Unaudited SIMAK'!$A$2:$R$1272,3,FALSE)+IF(ISNA(VLOOKUP($A267,'Mutasi Neraca'!$A$3:$S$910,3,FALSE)),0,VLOOKUP($A267,'Mutasi Neraca'!$A$3:$S$910,3,FALSE))</f>
        <v>0</v>
      </c>
      <c r="E267" s="42">
        <f>VLOOKUP($A267,'Neraca Unaudited SIMAK'!$A$2:$R$1272,4,FALSE)+IF(ISNA(VLOOKUP($A267,'Mutasi Neraca'!$A$3:$S$910,4,FALSE)),0,VLOOKUP($A267,'Mutasi Neraca'!$A$3:$S$910,4,FALSE))</f>
        <v>450012000</v>
      </c>
      <c r="F267" s="42">
        <f>VLOOKUP($A267,'Neraca Unaudited SIMAK'!$A$2:$R$1272,5,FALSE)+IF(ISNA(VLOOKUP($A267,'Mutasi Neraca'!$A$3:$S$910,5,FALSE)),0,VLOOKUP($A267,'Mutasi Neraca'!$A$3:$S$910,5,FALSE))</f>
        <v>1336900066</v>
      </c>
      <c r="G267" s="42">
        <f>VLOOKUP($A267,'Neraca Unaudited SIMAK'!$A$2:$R$1272,6,FALSE)+IF(ISNA(VLOOKUP($A267,'Mutasi Neraca'!$A$3:$S$910,6,FALSE)),0,VLOOKUP($A267,'Mutasi Neraca'!$A$3:$S$910,6,FALSE))</f>
        <v>9152571000</v>
      </c>
      <c r="H267" s="42">
        <f>VLOOKUP($A267,'Neraca Unaudited SIMAK'!$A$2:$R$1272,7,FALSE)+IF(ISNA(VLOOKUP($A267,'Mutasi Neraca'!$A$3:$S$910,7,FALSE)),0,VLOOKUP($A267,'Mutasi Neraca'!$A$3:$S$910,7,FALSE))</f>
        <v>46000000</v>
      </c>
      <c r="I267" s="42">
        <f>VLOOKUP($A267,'Neraca Unaudited SIMAK'!$A$2:$R$1272,8,FALSE)+IF(ISNA(VLOOKUP($A267,'Mutasi Neraca'!$A$3:$S$910,8,FALSE)),0,VLOOKUP($A267,'Mutasi Neraca'!$A$3:$S$910,8,FALSE))</f>
        <v>19900000</v>
      </c>
      <c r="J267" s="42">
        <f>VLOOKUP($A267,'Neraca Unaudited SIMAK'!$A$2:$R$1272,9,FALSE)+IF(ISNA(VLOOKUP($A267,'Mutasi Neraca'!$A$3:$S$910,9,FALSE)),0,VLOOKUP($A267,'Mutasi Neraca'!$A$3:$S$910,9,FALSE))</f>
        <v>0</v>
      </c>
      <c r="K267" s="42">
        <f>VLOOKUP($A267,'Neraca Unaudited SIMAK'!$A$2:$R$1272,10,FALSE)+IF(ISNA(VLOOKUP($A267,'Mutasi Neraca'!$A$3:$S$910,10,FALSE)),0,VLOOKUP($A267,'Mutasi Neraca'!$A$3:$S$910,10,FALSE))</f>
        <v>0</v>
      </c>
      <c r="L267" s="42">
        <f>VLOOKUP($A267,'Neraca Unaudited SIMAK'!$A$2:$R$1272,11,FALSE)+IF(ISNA(VLOOKUP($A267,'Mutasi Neraca'!$A$3:$S$910,11,FALSE)),0,VLOOKUP($A267,'Mutasi Neraca'!$A$3:$S$910,11,FALSE))</f>
        <v>31089750</v>
      </c>
      <c r="M267" s="42">
        <f>VLOOKUP($A267,'Neraca Unaudited SIMAK'!$A$2:$R$1272,12,FALSE)+IF(ISNA(VLOOKUP($A267,'Mutasi Neraca'!$A$3:$S$910,12,FALSE)),0,VLOOKUP($A267,'Mutasi Neraca'!$A$3:$S$910,12,FALSE))</f>
        <v>11036472816</v>
      </c>
      <c r="N267" s="42">
        <f>VLOOKUP($A267,'Neraca Unaudited SIMAK'!$A$2:$R$1272,13,FALSE)+IF(ISNA(VLOOKUP($A267,'Mutasi Neraca'!$A$3:$S$910,13,FALSE)),0,VLOOKUP($A267,'Mutasi Neraca'!$A$3:$S$910,13,FALSE))</f>
        <v>-1185143194</v>
      </c>
      <c r="O267" s="42">
        <f>VLOOKUP($A267,'Neraca Unaudited SIMAK'!$A$2:$R$1272,14,FALSE)+IF(ISNA(VLOOKUP($A267,'Mutasi Neraca'!$A$3:$S$910,14,FALSE)),0,VLOOKUP($A267,'Mutasi Neraca'!$A$3:$S$910,14,FALSE))</f>
        <v>-1596849599</v>
      </c>
      <c r="P267" s="42">
        <f>VLOOKUP($A267,'Neraca Unaudited SIMAK'!$A$2:$R$1272,15,FALSE)+IF(ISNA(VLOOKUP($A267,'Mutasi Neraca'!$A$3:$S$910,15,FALSE)),0,VLOOKUP($A267,'Mutasi Neraca'!$A$3:$S$910,15,FALSE))</f>
        <v>-1150000</v>
      </c>
      <c r="Q267" s="42">
        <f>VLOOKUP($A267,'Neraca Unaudited SIMAK'!$A$2:$R$1272,16,FALSE)+IF(ISNA(VLOOKUP($A267,'Mutasi Neraca'!$A$3:$S$910,16,FALSE)),0,VLOOKUP($A267,'Mutasi Neraca'!$A$3:$S$910,16,FALSE))</f>
        <v>0</v>
      </c>
      <c r="R267" s="42">
        <f>VLOOKUP($A267,'Neraca Unaudited SIMAK'!$A$2:$R$1272,17,FALSE)+IF(ISNA(VLOOKUP($A267,'Mutasi Neraca'!$A$3:$S$910,17,FALSE)),0,VLOOKUP($A267,'Mutasi Neraca'!$A$3:$S$910,17,FALSE))</f>
        <v>-31089750</v>
      </c>
      <c r="S267" s="42">
        <f t="shared" si="51"/>
        <v>8222240273</v>
      </c>
    </row>
    <row r="268" spans="1:19">
      <c r="A268" s="41" t="s">
        <v>275</v>
      </c>
      <c r="B268" s="41" t="str">
        <f t="shared" si="50"/>
        <v>005010600</v>
      </c>
      <c r="D268" s="42">
        <f>VLOOKUP($A268,'Neraca Unaudited SIMAK'!$A$2:$R$1272,3,FALSE)+IF(ISNA(VLOOKUP($A268,'Mutasi Neraca'!$A$3:$S$910,3,FALSE)),0,VLOOKUP($A268,'Mutasi Neraca'!$A$3:$S$910,3,FALSE))</f>
        <v>62000</v>
      </c>
      <c r="E268" s="42">
        <f>VLOOKUP($A268,'Neraca Unaudited SIMAK'!$A$2:$R$1272,4,FALSE)+IF(ISNA(VLOOKUP($A268,'Mutasi Neraca'!$A$3:$S$910,4,FALSE)),0,VLOOKUP($A268,'Mutasi Neraca'!$A$3:$S$910,4,FALSE))</f>
        <v>820208000</v>
      </c>
      <c r="F268" s="42">
        <f>VLOOKUP($A268,'Neraca Unaudited SIMAK'!$A$2:$R$1272,5,FALSE)+IF(ISNA(VLOOKUP($A268,'Mutasi Neraca'!$A$3:$S$910,5,FALSE)),0,VLOOKUP($A268,'Mutasi Neraca'!$A$3:$S$910,5,FALSE))</f>
        <v>1230750338</v>
      </c>
      <c r="G268" s="42">
        <f>VLOOKUP($A268,'Neraca Unaudited SIMAK'!$A$2:$R$1272,6,FALSE)+IF(ISNA(VLOOKUP($A268,'Mutasi Neraca'!$A$3:$S$910,6,FALSE)),0,VLOOKUP($A268,'Mutasi Neraca'!$A$3:$S$910,6,FALSE))</f>
        <v>4216666054</v>
      </c>
      <c r="H268" s="42">
        <f>VLOOKUP($A268,'Neraca Unaudited SIMAK'!$A$2:$R$1272,7,FALSE)+IF(ISNA(VLOOKUP($A268,'Mutasi Neraca'!$A$3:$S$910,7,FALSE)),0,VLOOKUP($A268,'Mutasi Neraca'!$A$3:$S$910,7,FALSE))</f>
        <v>0</v>
      </c>
      <c r="I268" s="42">
        <f>VLOOKUP($A268,'Neraca Unaudited SIMAK'!$A$2:$R$1272,8,FALSE)+IF(ISNA(VLOOKUP($A268,'Mutasi Neraca'!$A$3:$S$910,8,FALSE)),0,VLOOKUP($A268,'Mutasi Neraca'!$A$3:$S$910,8,FALSE))</f>
        <v>0</v>
      </c>
      <c r="J268" s="42">
        <f>VLOOKUP($A268,'Neraca Unaudited SIMAK'!$A$2:$R$1272,9,FALSE)+IF(ISNA(VLOOKUP($A268,'Mutasi Neraca'!$A$3:$S$910,9,FALSE)),0,VLOOKUP($A268,'Mutasi Neraca'!$A$3:$S$910,9,FALSE))</f>
        <v>0</v>
      </c>
      <c r="K268" s="42">
        <f>VLOOKUP($A268,'Neraca Unaudited SIMAK'!$A$2:$R$1272,10,FALSE)+IF(ISNA(VLOOKUP($A268,'Mutasi Neraca'!$A$3:$S$910,10,FALSE)),0,VLOOKUP($A268,'Mutasi Neraca'!$A$3:$S$910,10,FALSE))</f>
        <v>6820000</v>
      </c>
      <c r="L268" s="42">
        <f>VLOOKUP($A268,'Neraca Unaudited SIMAK'!$A$2:$R$1272,11,FALSE)+IF(ISNA(VLOOKUP($A268,'Mutasi Neraca'!$A$3:$S$910,11,FALSE)),0,VLOOKUP($A268,'Mutasi Neraca'!$A$3:$S$910,11,FALSE))</f>
        <v>779780</v>
      </c>
      <c r="M268" s="42">
        <f>VLOOKUP($A268,'Neraca Unaudited SIMAK'!$A$2:$R$1272,12,FALSE)+IF(ISNA(VLOOKUP($A268,'Mutasi Neraca'!$A$3:$S$910,12,FALSE)),0,VLOOKUP($A268,'Mutasi Neraca'!$A$3:$S$910,12,FALSE))</f>
        <v>6275286172</v>
      </c>
      <c r="N268" s="42">
        <f>VLOOKUP($A268,'Neraca Unaudited SIMAK'!$A$2:$R$1272,13,FALSE)+IF(ISNA(VLOOKUP($A268,'Mutasi Neraca'!$A$3:$S$910,13,FALSE)),0,VLOOKUP($A268,'Mutasi Neraca'!$A$3:$S$910,13,FALSE))</f>
        <v>-975737129</v>
      </c>
      <c r="O268" s="42">
        <f>VLOOKUP($A268,'Neraca Unaudited SIMAK'!$A$2:$R$1272,14,FALSE)+IF(ISNA(VLOOKUP($A268,'Mutasi Neraca'!$A$3:$S$910,14,FALSE)),0,VLOOKUP($A268,'Mutasi Neraca'!$A$3:$S$910,14,FALSE))</f>
        <v>-364329641</v>
      </c>
      <c r="P268" s="42">
        <f>VLOOKUP($A268,'Neraca Unaudited SIMAK'!$A$2:$R$1272,15,FALSE)+IF(ISNA(VLOOKUP($A268,'Mutasi Neraca'!$A$3:$S$910,15,FALSE)),0,VLOOKUP($A268,'Mutasi Neraca'!$A$3:$S$910,15,FALSE))</f>
        <v>0</v>
      </c>
      <c r="Q268" s="42">
        <f>VLOOKUP($A268,'Neraca Unaudited SIMAK'!$A$2:$R$1272,16,FALSE)+IF(ISNA(VLOOKUP($A268,'Mutasi Neraca'!$A$3:$S$910,16,FALSE)),0,VLOOKUP($A268,'Mutasi Neraca'!$A$3:$S$910,16,FALSE))</f>
        <v>0</v>
      </c>
      <c r="R268" s="42">
        <f>VLOOKUP($A268,'Neraca Unaudited SIMAK'!$A$2:$R$1272,17,FALSE)+IF(ISNA(VLOOKUP($A268,'Mutasi Neraca'!$A$3:$S$910,17,FALSE)),0,VLOOKUP($A268,'Mutasi Neraca'!$A$3:$S$910,17,FALSE))</f>
        <v>-779780</v>
      </c>
      <c r="S268" s="42">
        <f t="shared" si="51"/>
        <v>4934439622</v>
      </c>
    </row>
    <row r="269" spans="1:19">
      <c r="A269" s="41" t="s">
        <v>276</v>
      </c>
      <c r="B269" s="41" t="str">
        <f t="shared" si="50"/>
        <v>005010600</v>
      </c>
      <c r="D269" s="42">
        <f>VLOOKUP($A269,'Neraca Unaudited SIMAK'!$A$2:$R$1272,3,FALSE)+IF(ISNA(VLOOKUP($A269,'Mutasi Neraca'!$A$3:$S$910,3,FALSE)),0,VLOOKUP($A269,'Mutasi Neraca'!$A$3:$S$910,3,FALSE))</f>
        <v>0</v>
      </c>
      <c r="E269" s="42">
        <f>VLOOKUP($A269,'Neraca Unaudited SIMAK'!$A$2:$R$1272,4,FALSE)+IF(ISNA(VLOOKUP($A269,'Mutasi Neraca'!$A$3:$S$910,4,FALSE)),0,VLOOKUP($A269,'Mutasi Neraca'!$A$3:$S$910,4,FALSE))</f>
        <v>134549000</v>
      </c>
      <c r="F269" s="42">
        <f>VLOOKUP($A269,'Neraca Unaudited SIMAK'!$A$2:$R$1272,5,FALSE)+IF(ISNA(VLOOKUP($A269,'Mutasi Neraca'!$A$3:$S$910,5,FALSE)),0,VLOOKUP($A269,'Mutasi Neraca'!$A$3:$S$910,5,FALSE))</f>
        <v>886866500</v>
      </c>
      <c r="G269" s="42">
        <f>VLOOKUP($A269,'Neraca Unaudited SIMAK'!$A$2:$R$1272,6,FALSE)+IF(ISNA(VLOOKUP($A269,'Mutasi Neraca'!$A$3:$S$910,6,FALSE)),0,VLOOKUP($A269,'Mutasi Neraca'!$A$3:$S$910,6,FALSE))</f>
        <v>12297938000</v>
      </c>
      <c r="H269" s="42">
        <f>VLOOKUP($A269,'Neraca Unaudited SIMAK'!$A$2:$R$1272,7,FALSE)+IF(ISNA(VLOOKUP($A269,'Mutasi Neraca'!$A$3:$S$910,7,FALSE)),0,VLOOKUP($A269,'Mutasi Neraca'!$A$3:$S$910,7,FALSE))</f>
        <v>0</v>
      </c>
      <c r="I269" s="42">
        <f>VLOOKUP($A269,'Neraca Unaudited SIMAK'!$A$2:$R$1272,8,FALSE)+IF(ISNA(VLOOKUP($A269,'Mutasi Neraca'!$A$3:$S$910,8,FALSE)),0,VLOOKUP($A269,'Mutasi Neraca'!$A$3:$S$910,8,FALSE))</f>
        <v>0</v>
      </c>
      <c r="J269" s="42">
        <f>VLOOKUP($A269,'Neraca Unaudited SIMAK'!$A$2:$R$1272,9,FALSE)+IF(ISNA(VLOOKUP($A269,'Mutasi Neraca'!$A$3:$S$910,9,FALSE)),0,VLOOKUP($A269,'Mutasi Neraca'!$A$3:$S$910,9,FALSE))</f>
        <v>0</v>
      </c>
      <c r="K269" s="42">
        <f>VLOOKUP($A269,'Neraca Unaudited SIMAK'!$A$2:$R$1272,10,FALSE)+IF(ISNA(VLOOKUP($A269,'Mutasi Neraca'!$A$3:$S$910,10,FALSE)),0,VLOOKUP($A269,'Mutasi Neraca'!$A$3:$S$910,10,FALSE))</f>
        <v>0</v>
      </c>
      <c r="L269" s="42">
        <f>VLOOKUP($A269,'Neraca Unaudited SIMAK'!$A$2:$R$1272,11,FALSE)+IF(ISNA(VLOOKUP($A269,'Mutasi Neraca'!$A$3:$S$910,11,FALSE)),0,VLOOKUP($A269,'Mutasi Neraca'!$A$3:$S$910,11,FALSE))</f>
        <v>359884017</v>
      </c>
      <c r="M269" s="42">
        <f>VLOOKUP($A269,'Neraca Unaudited SIMAK'!$A$2:$R$1272,12,FALSE)+IF(ISNA(VLOOKUP($A269,'Mutasi Neraca'!$A$3:$S$910,12,FALSE)),0,VLOOKUP($A269,'Mutasi Neraca'!$A$3:$S$910,12,FALSE))</f>
        <v>13679237517</v>
      </c>
      <c r="N269" s="42">
        <f>VLOOKUP($A269,'Neraca Unaudited SIMAK'!$A$2:$R$1272,13,FALSE)+IF(ISNA(VLOOKUP($A269,'Mutasi Neraca'!$A$3:$S$910,13,FALSE)),0,VLOOKUP($A269,'Mutasi Neraca'!$A$3:$S$910,13,FALSE))</f>
        <v>-718558894</v>
      </c>
      <c r="O269" s="42">
        <f>VLOOKUP($A269,'Neraca Unaudited SIMAK'!$A$2:$R$1272,14,FALSE)+IF(ISNA(VLOOKUP($A269,'Mutasi Neraca'!$A$3:$S$910,14,FALSE)),0,VLOOKUP($A269,'Mutasi Neraca'!$A$3:$S$910,14,FALSE))</f>
        <v>-811850242</v>
      </c>
      <c r="P269" s="42">
        <f>VLOOKUP($A269,'Neraca Unaudited SIMAK'!$A$2:$R$1272,15,FALSE)+IF(ISNA(VLOOKUP($A269,'Mutasi Neraca'!$A$3:$S$910,15,FALSE)),0,VLOOKUP($A269,'Mutasi Neraca'!$A$3:$S$910,15,FALSE))</f>
        <v>0</v>
      </c>
      <c r="Q269" s="42">
        <f>VLOOKUP($A269,'Neraca Unaudited SIMAK'!$A$2:$R$1272,16,FALSE)+IF(ISNA(VLOOKUP($A269,'Mutasi Neraca'!$A$3:$S$910,16,FALSE)),0,VLOOKUP($A269,'Mutasi Neraca'!$A$3:$S$910,16,FALSE))</f>
        <v>0</v>
      </c>
      <c r="R269" s="42">
        <f>VLOOKUP($A269,'Neraca Unaudited SIMAK'!$A$2:$R$1272,17,FALSE)+IF(ISNA(VLOOKUP($A269,'Mutasi Neraca'!$A$3:$S$910,17,FALSE)),0,VLOOKUP($A269,'Mutasi Neraca'!$A$3:$S$910,17,FALSE))</f>
        <v>-352954017</v>
      </c>
      <c r="S269" s="42">
        <f t="shared" si="51"/>
        <v>11795874364</v>
      </c>
    </row>
    <row r="270" spans="1:19">
      <c r="A270" s="41" t="s">
        <v>277</v>
      </c>
      <c r="B270" s="41" t="str">
        <f t="shared" si="50"/>
        <v>005010600</v>
      </c>
      <c r="D270" s="42">
        <f>VLOOKUP($A270,'Neraca Unaudited SIMAK'!$A$2:$R$1272,3,FALSE)+IF(ISNA(VLOOKUP($A270,'Mutasi Neraca'!$A$3:$S$910,3,FALSE)),0,VLOOKUP($A270,'Mutasi Neraca'!$A$3:$S$910,3,FALSE))</f>
        <v>875000</v>
      </c>
      <c r="E270" s="42">
        <f>VLOOKUP($A270,'Neraca Unaudited SIMAK'!$A$2:$R$1272,4,FALSE)+IF(ISNA(VLOOKUP($A270,'Mutasi Neraca'!$A$3:$S$910,4,FALSE)),0,VLOOKUP($A270,'Mutasi Neraca'!$A$3:$S$910,4,FALSE))</f>
        <v>1169594000</v>
      </c>
      <c r="F270" s="42">
        <f>VLOOKUP($A270,'Neraca Unaudited SIMAK'!$A$2:$R$1272,5,FALSE)+IF(ISNA(VLOOKUP($A270,'Mutasi Neraca'!$A$3:$S$910,5,FALSE)),0,VLOOKUP($A270,'Mutasi Neraca'!$A$3:$S$910,5,FALSE))</f>
        <v>1338719603</v>
      </c>
      <c r="G270" s="42">
        <f>VLOOKUP($A270,'Neraca Unaudited SIMAK'!$A$2:$R$1272,6,FALSE)+IF(ISNA(VLOOKUP($A270,'Mutasi Neraca'!$A$3:$S$910,6,FALSE)),0,VLOOKUP($A270,'Mutasi Neraca'!$A$3:$S$910,6,FALSE))</f>
        <v>345396065</v>
      </c>
      <c r="H270" s="42">
        <f>VLOOKUP($A270,'Neraca Unaudited SIMAK'!$A$2:$R$1272,7,FALSE)+IF(ISNA(VLOOKUP($A270,'Mutasi Neraca'!$A$3:$S$910,7,FALSE)),0,VLOOKUP($A270,'Mutasi Neraca'!$A$3:$S$910,7,FALSE))</f>
        <v>0</v>
      </c>
      <c r="I270" s="42">
        <f>VLOOKUP($A270,'Neraca Unaudited SIMAK'!$A$2:$R$1272,8,FALSE)+IF(ISNA(VLOOKUP($A270,'Mutasi Neraca'!$A$3:$S$910,8,FALSE)),0,VLOOKUP($A270,'Mutasi Neraca'!$A$3:$S$910,8,FALSE))</f>
        <v>0</v>
      </c>
      <c r="J270" s="42">
        <f>VLOOKUP($A270,'Neraca Unaudited SIMAK'!$A$2:$R$1272,9,FALSE)+IF(ISNA(VLOOKUP($A270,'Mutasi Neraca'!$A$3:$S$910,9,FALSE)),0,VLOOKUP($A270,'Mutasi Neraca'!$A$3:$S$910,9,FALSE))</f>
        <v>0</v>
      </c>
      <c r="K270" s="42">
        <f>VLOOKUP($A270,'Neraca Unaudited SIMAK'!$A$2:$R$1272,10,FALSE)+IF(ISNA(VLOOKUP($A270,'Mutasi Neraca'!$A$3:$S$910,10,FALSE)),0,VLOOKUP($A270,'Mutasi Neraca'!$A$3:$S$910,10,FALSE))</f>
        <v>6820000</v>
      </c>
      <c r="L270" s="42">
        <f>VLOOKUP($A270,'Neraca Unaudited SIMAK'!$A$2:$R$1272,11,FALSE)+IF(ISNA(VLOOKUP($A270,'Mutasi Neraca'!$A$3:$S$910,11,FALSE)),0,VLOOKUP($A270,'Mutasi Neraca'!$A$3:$S$910,11,FALSE))</f>
        <v>0</v>
      </c>
      <c r="M270" s="42">
        <f>VLOOKUP($A270,'Neraca Unaudited SIMAK'!$A$2:$R$1272,12,FALSE)+IF(ISNA(VLOOKUP($A270,'Mutasi Neraca'!$A$3:$S$910,12,FALSE)),0,VLOOKUP($A270,'Mutasi Neraca'!$A$3:$S$910,12,FALSE))</f>
        <v>2861404668</v>
      </c>
      <c r="N270" s="42">
        <f>VLOOKUP($A270,'Neraca Unaudited SIMAK'!$A$2:$R$1272,13,FALSE)+IF(ISNA(VLOOKUP($A270,'Mutasi Neraca'!$A$3:$S$910,13,FALSE)),0,VLOOKUP($A270,'Mutasi Neraca'!$A$3:$S$910,13,FALSE))</f>
        <v>-1204176140</v>
      </c>
      <c r="O270" s="42">
        <f>VLOOKUP($A270,'Neraca Unaudited SIMAK'!$A$2:$R$1272,14,FALSE)+IF(ISNA(VLOOKUP($A270,'Mutasi Neraca'!$A$3:$S$910,14,FALSE)),0,VLOOKUP($A270,'Mutasi Neraca'!$A$3:$S$910,14,FALSE))</f>
        <v>-209807594</v>
      </c>
      <c r="P270" s="42">
        <f>VLOOKUP($A270,'Neraca Unaudited SIMAK'!$A$2:$R$1272,15,FALSE)+IF(ISNA(VLOOKUP($A270,'Mutasi Neraca'!$A$3:$S$910,15,FALSE)),0,VLOOKUP($A270,'Mutasi Neraca'!$A$3:$S$910,15,FALSE))</f>
        <v>0</v>
      </c>
      <c r="Q270" s="42">
        <f>VLOOKUP($A270,'Neraca Unaudited SIMAK'!$A$2:$R$1272,16,FALSE)+IF(ISNA(VLOOKUP($A270,'Mutasi Neraca'!$A$3:$S$910,16,FALSE)),0,VLOOKUP($A270,'Mutasi Neraca'!$A$3:$S$910,16,FALSE))</f>
        <v>0</v>
      </c>
      <c r="R270" s="42">
        <f>VLOOKUP($A270,'Neraca Unaudited SIMAK'!$A$2:$R$1272,17,FALSE)+IF(ISNA(VLOOKUP($A270,'Mutasi Neraca'!$A$3:$S$910,17,FALSE)),0,VLOOKUP($A270,'Mutasi Neraca'!$A$3:$S$910,17,FALSE))</f>
        <v>0</v>
      </c>
      <c r="S270" s="42">
        <f t="shared" si="51"/>
        <v>1447420934</v>
      </c>
    </row>
    <row r="271" spans="1:19">
      <c r="A271" s="41" t="s">
        <v>278</v>
      </c>
      <c r="B271" s="41" t="str">
        <f t="shared" si="50"/>
        <v>005010600</v>
      </c>
      <c r="D271" s="42">
        <f>VLOOKUP($A271,'Neraca Unaudited SIMAK'!$A$2:$R$1272,3,FALSE)+IF(ISNA(VLOOKUP($A271,'Mutasi Neraca'!$A$3:$S$910,3,FALSE)),0,VLOOKUP($A271,'Mutasi Neraca'!$A$3:$S$910,3,FALSE))</f>
        <v>45000</v>
      </c>
      <c r="E271" s="42">
        <f>VLOOKUP($A271,'Neraca Unaudited SIMAK'!$A$2:$R$1272,4,FALSE)+IF(ISNA(VLOOKUP($A271,'Mutasi Neraca'!$A$3:$S$910,4,FALSE)),0,VLOOKUP($A271,'Mutasi Neraca'!$A$3:$S$910,4,FALSE))</f>
        <v>1366900000</v>
      </c>
      <c r="F271" s="42">
        <f>VLOOKUP($A271,'Neraca Unaudited SIMAK'!$A$2:$R$1272,5,FALSE)+IF(ISNA(VLOOKUP($A271,'Mutasi Neraca'!$A$3:$S$910,5,FALSE)),0,VLOOKUP($A271,'Mutasi Neraca'!$A$3:$S$910,5,FALSE))</f>
        <v>991206350</v>
      </c>
      <c r="G271" s="42">
        <f>VLOOKUP($A271,'Neraca Unaudited SIMAK'!$A$2:$R$1272,6,FALSE)+IF(ISNA(VLOOKUP($A271,'Mutasi Neraca'!$A$3:$S$910,6,FALSE)),0,VLOOKUP($A271,'Mutasi Neraca'!$A$3:$S$910,6,FALSE))</f>
        <v>6431779424</v>
      </c>
      <c r="H271" s="42">
        <f>VLOOKUP($A271,'Neraca Unaudited SIMAK'!$A$2:$R$1272,7,FALSE)+IF(ISNA(VLOOKUP($A271,'Mutasi Neraca'!$A$3:$S$910,7,FALSE)),0,VLOOKUP($A271,'Mutasi Neraca'!$A$3:$S$910,7,FALSE))</f>
        <v>0</v>
      </c>
      <c r="I271" s="42">
        <f>VLOOKUP($A271,'Neraca Unaudited SIMAK'!$A$2:$R$1272,8,FALSE)+IF(ISNA(VLOOKUP($A271,'Mutasi Neraca'!$A$3:$S$910,8,FALSE)),0,VLOOKUP($A271,'Mutasi Neraca'!$A$3:$S$910,8,FALSE))</f>
        <v>0</v>
      </c>
      <c r="J271" s="42">
        <f>VLOOKUP($A271,'Neraca Unaudited SIMAK'!$A$2:$R$1272,9,FALSE)+IF(ISNA(VLOOKUP($A271,'Mutasi Neraca'!$A$3:$S$910,9,FALSE)),0,VLOOKUP($A271,'Mutasi Neraca'!$A$3:$S$910,9,FALSE))</f>
        <v>0</v>
      </c>
      <c r="K271" s="42">
        <f>VLOOKUP($A271,'Neraca Unaudited SIMAK'!$A$2:$R$1272,10,FALSE)+IF(ISNA(VLOOKUP($A271,'Mutasi Neraca'!$A$3:$S$910,10,FALSE)),0,VLOOKUP($A271,'Mutasi Neraca'!$A$3:$S$910,10,FALSE))</f>
        <v>0</v>
      </c>
      <c r="L271" s="42">
        <f>VLOOKUP($A271,'Neraca Unaudited SIMAK'!$A$2:$R$1272,11,FALSE)+IF(ISNA(VLOOKUP($A271,'Mutasi Neraca'!$A$3:$S$910,11,FALSE)),0,VLOOKUP($A271,'Mutasi Neraca'!$A$3:$S$910,11,FALSE))</f>
        <v>145678360</v>
      </c>
      <c r="M271" s="42">
        <f>VLOOKUP($A271,'Neraca Unaudited SIMAK'!$A$2:$R$1272,12,FALSE)+IF(ISNA(VLOOKUP($A271,'Mutasi Neraca'!$A$3:$S$910,12,FALSE)),0,VLOOKUP($A271,'Mutasi Neraca'!$A$3:$S$910,12,FALSE))</f>
        <v>8935609134</v>
      </c>
      <c r="N271" s="42">
        <f>VLOOKUP($A271,'Neraca Unaudited SIMAK'!$A$2:$R$1272,13,FALSE)+IF(ISNA(VLOOKUP($A271,'Mutasi Neraca'!$A$3:$S$910,13,FALSE)),0,VLOOKUP($A271,'Mutasi Neraca'!$A$3:$S$910,13,FALSE))</f>
        <v>-865618850</v>
      </c>
      <c r="O271" s="42">
        <f>VLOOKUP($A271,'Neraca Unaudited SIMAK'!$A$2:$R$1272,14,FALSE)+IF(ISNA(VLOOKUP($A271,'Mutasi Neraca'!$A$3:$S$910,14,FALSE)),0,VLOOKUP($A271,'Mutasi Neraca'!$A$3:$S$910,14,FALSE))</f>
        <v>-597192545</v>
      </c>
      <c r="P271" s="42">
        <f>VLOOKUP($A271,'Neraca Unaudited SIMAK'!$A$2:$R$1272,15,FALSE)+IF(ISNA(VLOOKUP($A271,'Mutasi Neraca'!$A$3:$S$910,15,FALSE)),0,VLOOKUP($A271,'Mutasi Neraca'!$A$3:$S$910,15,FALSE))</f>
        <v>0</v>
      </c>
      <c r="Q271" s="42">
        <f>VLOOKUP($A271,'Neraca Unaudited SIMAK'!$A$2:$R$1272,16,FALSE)+IF(ISNA(VLOOKUP($A271,'Mutasi Neraca'!$A$3:$S$910,16,FALSE)),0,VLOOKUP($A271,'Mutasi Neraca'!$A$3:$S$910,16,FALSE))</f>
        <v>0</v>
      </c>
      <c r="R271" s="42">
        <f>VLOOKUP($A271,'Neraca Unaudited SIMAK'!$A$2:$R$1272,17,FALSE)+IF(ISNA(VLOOKUP($A271,'Mutasi Neraca'!$A$3:$S$910,17,FALSE)),0,VLOOKUP($A271,'Mutasi Neraca'!$A$3:$S$910,17,FALSE))</f>
        <v>-145678360</v>
      </c>
      <c r="S271" s="42">
        <f t="shared" si="51"/>
        <v>7327119379</v>
      </c>
    </row>
    <row r="272" spans="1:19">
      <c r="A272" s="41" t="s">
        <v>279</v>
      </c>
      <c r="B272" s="41" t="str">
        <f t="shared" si="50"/>
        <v>005010600</v>
      </c>
      <c r="D272" s="42">
        <f>VLOOKUP($A272,'Neraca Unaudited SIMAK'!$A$2:$R$1272,3,FALSE)+IF(ISNA(VLOOKUP($A272,'Mutasi Neraca'!$A$3:$S$910,3,FALSE)),0,VLOOKUP($A272,'Mutasi Neraca'!$A$3:$S$910,3,FALSE))</f>
        <v>626100</v>
      </c>
      <c r="E272" s="42">
        <f>VLOOKUP($A272,'Neraca Unaudited SIMAK'!$A$2:$R$1272,4,FALSE)+IF(ISNA(VLOOKUP($A272,'Mutasi Neraca'!$A$3:$S$910,4,FALSE)),0,VLOOKUP($A272,'Mutasi Neraca'!$A$3:$S$910,4,FALSE))</f>
        <v>397750000</v>
      </c>
      <c r="F272" s="42">
        <f>VLOOKUP($A272,'Neraca Unaudited SIMAK'!$A$2:$R$1272,5,FALSE)+IF(ISNA(VLOOKUP($A272,'Mutasi Neraca'!$A$3:$S$910,5,FALSE)),0,VLOOKUP($A272,'Mutasi Neraca'!$A$3:$S$910,5,FALSE))</f>
        <v>1325884528</v>
      </c>
      <c r="G272" s="42">
        <f>VLOOKUP($A272,'Neraca Unaudited SIMAK'!$A$2:$R$1272,6,FALSE)+IF(ISNA(VLOOKUP($A272,'Mutasi Neraca'!$A$3:$S$910,6,FALSE)),0,VLOOKUP($A272,'Mutasi Neraca'!$A$3:$S$910,6,FALSE))</f>
        <v>1574730000</v>
      </c>
      <c r="H272" s="42">
        <f>VLOOKUP($A272,'Neraca Unaudited SIMAK'!$A$2:$R$1272,7,FALSE)+IF(ISNA(VLOOKUP($A272,'Mutasi Neraca'!$A$3:$S$910,7,FALSE)),0,VLOOKUP($A272,'Mutasi Neraca'!$A$3:$S$910,7,FALSE))</f>
        <v>0</v>
      </c>
      <c r="I272" s="42">
        <f>VLOOKUP($A272,'Neraca Unaudited SIMAK'!$A$2:$R$1272,8,FALSE)+IF(ISNA(VLOOKUP($A272,'Mutasi Neraca'!$A$3:$S$910,8,FALSE)),0,VLOOKUP($A272,'Mutasi Neraca'!$A$3:$S$910,8,FALSE))</f>
        <v>200000</v>
      </c>
      <c r="J272" s="42">
        <f>VLOOKUP($A272,'Neraca Unaudited SIMAK'!$A$2:$R$1272,9,FALSE)+IF(ISNA(VLOOKUP($A272,'Mutasi Neraca'!$A$3:$S$910,9,FALSE)),0,VLOOKUP($A272,'Mutasi Neraca'!$A$3:$S$910,9,FALSE))</f>
        <v>0</v>
      </c>
      <c r="K272" s="42">
        <f>VLOOKUP($A272,'Neraca Unaudited SIMAK'!$A$2:$R$1272,10,FALSE)+IF(ISNA(VLOOKUP($A272,'Mutasi Neraca'!$A$3:$S$910,10,FALSE)),0,VLOOKUP($A272,'Mutasi Neraca'!$A$3:$S$910,10,FALSE))</f>
        <v>0</v>
      </c>
      <c r="L272" s="42">
        <f>VLOOKUP($A272,'Neraca Unaudited SIMAK'!$A$2:$R$1272,11,FALSE)+IF(ISNA(VLOOKUP($A272,'Mutasi Neraca'!$A$3:$S$910,11,FALSE)),0,VLOOKUP($A272,'Mutasi Neraca'!$A$3:$S$910,11,FALSE))</f>
        <v>0</v>
      </c>
      <c r="M272" s="42">
        <f>VLOOKUP($A272,'Neraca Unaudited SIMAK'!$A$2:$R$1272,12,FALSE)+IF(ISNA(VLOOKUP($A272,'Mutasi Neraca'!$A$3:$S$910,12,FALSE)),0,VLOOKUP($A272,'Mutasi Neraca'!$A$3:$S$910,12,FALSE))</f>
        <v>3299190628</v>
      </c>
      <c r="N272" s="42">
        <f>VLOOKUP($A272,'Neraca Unaudited SIMAK'!$A$2:$R$1272,13,FALSE)+IF(ISNA(VLOOKUP($A272,'Mutasi Neraca'!$A$3:$S$910,13,FALSE)),0,VLOOKUP($A272,'Mutasi Neraca'!$A$3:$S$910,13,FALSE))</f>
        <v>-1195803792</v>
      </c>
      <c r="O272" s="42">
        <f>VLOOKUP($A272,'Neraca Unaudited SIMAK'!$A$2:$R$1272,14,FALSE)+IF(ISNA(VLOOKUP($A272,'Mutasi Neraca'!$A$3:$S$910,14,FALSE)),0,VLOOKUP($A272,'Mutasi Neraca'!$A$3:$S$910,14,FALSE))</f>
        <v>-296260080</v>
      </c>
      <c r="P272" s="42">
        <f>VLOOKUP($A272,'Neraca Unaudited SIMAK'!$A$2:$R$1272,15,FALSE)+IF(ISNA(VLOOKUP($A272,'Mutasi Neraca'!$A$3:$S$910,15,FALSE)),0,VLOOKUP($A272,'Mutasi Neraca'!$A$3:$S$910,15,FALSE))</f>
        <v>0</v>
      </c>
      <c r="Q272" s="42">
        <f>VLOOKUP($A272,'Neraca Unaudited SIMAK'!$A$2:$R$1272,16,FALSE)+IF(ISNA(VLOOKUP($A272,'Mutasi Neraca'!$A$3:$S$910,16,FALSE)),0,VLOOKUP($A272,'Mutasi Neraca'!$A$3:$S$910,16,FALSE))</f>
        <v>0</v>
      </c>
      <c r="R272" s="42">
        <f>VLOOKUP($A272,'Neraca Unaudited SIMAK'!$A$2:$R$1272,17,FALSE)+IF(ISNA(VLOOKUP($A272,'Mutasi Neraca'!$A$3:$S$910,17,FALSE)),0,VLOOKUP($A272,'Mutasi Neraca'!$A$3:$S$910,17,FALSE))</f>
        <v>0</v>
      </c>
      <c r="S272" s="42">
        <f t="shared" si="51"/>
        <v>1807126756</v>
      </c>
    </row>
    <row r="273" spans="1:19">
      <c r="A273" s="41" t="s">
        <v>280</v>
      </c>
      <c r="B273" s="41" t="str">
        <f t="shared" si="50"/>
        <v>005010600</v>
      </c>
      <c r="D273" s="42">
        <f>VLOOKUP($A273,'Neraca Unaudited SIMAK'!$A$2:$R$1272,3,FALSE)+IF(ISNA(VLOOKUP($A273,'Mutasi Neraca'!$A$3:$S$910,3,FALSE)),0,VLOOKUP($A273,'Mutasi Neraca'!$A$3:$S$910,3,FALSE))</f>
        <v>98000</v>
      </c>
      <c r="E273" s="42">
        <f>VLOOKUP($A273,'Neraca Unaudited SIMAK'!$A$2:$R$1272,4,FALSE)+IF(ISNA(VLOOKUP($A273,'Mutasi Neraca'!$A$3:$S$910,4,FALSE)),0,VLOOKUP($A273,'Mutasi Neraca'!$A$3:$S$910,4,FALSE))</f>
        <v>718291600</v>
      </c>
      <c r="F273" s="42">
        <f>VLOOKUP($A273,'Neraca Unaudited SIMAK'!$A$2:$R$1272,5,FALSE)+IF(ISNA(VLOOKUP($A273,'Mutasi Neraca'!$A$3:$S$910,5,FALSE)),0,VLOOKUP($A273,'Mutasi Neraca'!$A$3:$S$910,5,FALSE))</f>
        <v>912638491</v>
      </c>
      <c r="G273" s="42">
        <f>VLOOKUP($A273,'Neraca Unaudited SIMAK'!$A$2:$R$1272,6,FALSE)+IF(ISNA(VLOOKUP($A273,'Mutasi Neraca'!$A$3:$S$910,6,FALSE)),0,VLOOKUP($A273,'Mutasi Neraca'!$A$3:$S$910,6,FALSE))</f>
        <v>384821500</v>
      </c>
      <c r="H273" s="42">
        <f>VLOOKUP($A273,'Neraca Unaudited SIMAK'!$A$2:$R$1272,7,FALSE)+IF(ISNA(VLOOKUP($A273,'Mutasi Neraca'!$A$3:$S$910,7,FALSE)),0,VLOOKUP($A273,'Mutasi Neraca'!$A$3:$S$910,7,FALSE))</f>
        <v>0</v>
      </c>
      <c r="I273" s="42">
        <f>VLOOKUP($A273,'Neraca Unaudited SIMAK'!$A$2:$R$1272,8,FALSE)+IF(ISNA(VLOOKUP($A273,'Mutasi Neraca'!$A$3:$S$910,8,FALSE)),0,VLOOKUP($A273,'Mutasi Neraca'!$A$3:$S$910,8,FALSE))</f>
        <v>20000000</v>
      </c>
      <c r="J273" s="42">
        <f>VLOOKUP($A273,'Neraca Unaudited SIMAK'!$A$2:$R$1272,9,FALSE)+IF(ISNA(VLOOKUP($A273,'Mutasi Neraca'!$A$3:$S$910,9,FALSE)),0,VLOOKUP($A273,'Mutasi Neraca'!$A$3:$S$910,9,FALSE))</f>
        <v>0</v>
      </c>
      <c r="K273" s="42">
        <f>VLOOKUP($A273,'Neraca Unaudited SIMAK'!$A$2:$R$1272,10,FALSE)+IF(ISNA(VLOOKUP($A273,'Mutasi Neraca'!$A$3:$S$910,10,FALSE)),0,VLOOKUP($A273,'Mutasi Neraca'!$A$3:$S$910,10,FALSE))</f>
        <v>0</v>
      </c>
      <c r="L273" s="42">
        <f>VLOOKUP($A273,'Neraca Unaudited SIMAK'!$A$2:$R$1272,11,FALSE)+IF(ISNA(VLOOKUP($A273,'Mutasi Neraca'!$A$3:$S$910,11,FALSE)),0,VLOOKUP($A273,'Mutasi Neraca'!$A$3:$S$910,11,FALSE))</f>
        <v>0</v>
      </c>
      <c r="M273" s="42">
        <f>VLOOKUP($A273,'Neraca Unaudited SIMAK'!$A$2:$R$1272,12,FALSE)+IF(ISNA(VLOOKUP($A273,'Mutasi Neraca'!$A$3:$S$910,12,FALSE)),0,VLOOKUP($A273,'Mutasi Neraca'!$A$3:$S$910,12,FALSE))</f>
        <v>2035849591</v>
      </c>
      <c r="N273" s="42">
        <f>VLOOKUP($A273,'Neraca Unaudited SIMAK'!$A$2:$R$1272,13,FALSE)+IF(ISNA(VLOOKUP($A273,'Mutasi Neraca'!$A$3:$S$910,13,FALSE)),0,VLOOKUP($A273,'Mutasi Neraca'!$A$3:$S$910,13,FALSE))</f>
        <v>-758930270</v>
      </c>
      <c r="O273" s="42">
        <f>VLOOKUP($A273,'Neraca Unaudited SIMAK'!$A$2:$R$1272,14,FALSE)+IF(ISNA(VLOOKUP($A273,'Mutasi Neraca'!$A$3:$S$910,14,FALSE)),0,VLOOKUP($A273,'Mutasi Neraca'!$A$3:$S$910,14,FALSE))</f>
        <v>-209037890</v>
      </c>
      <c r="P273" s="42">
        <f>VLOOKUP($A273,'Neraca Unaudited SIMAK'!$A$2:$R$1272,15,FALSE)+IF(ISNA(VLOOKUP($A273,'Mutasi Neraca'!$A$3:$S$910,15,FALSE)),0,VLOOKUP($A273,'Mutasi Neraca'!$A$3:$S$910,15,FALSE))</f>
        <v>0</v>
      </c>
      <c r="Q273" s="42">
        <f>VLOOKUP($A273,'Neraca Unaudited SIMAK'!$A$2:$R$1272,16,FALSE)+IF(ISNA(VLOOKUP($A273,'Mutasi Neraca'!$A$3:$S$910,16,FALSE)),0,VLOOKUP($A273,'Mutasi Neraca'!$A$3:$S$910,16,FALSE))</f>
        <v>0</v>
      </c>
      <c r="R273" s="42">
        <f>VLOOKUP($A273,'Neraca Unaudited SIMAK'!$A$2:$R$1272,17,FALSE)+IF(ISNA(VLOOKUP($A273,'Mutasi Neraca'!$A$3:$S$910,17,FALSE)),0,VLOOKUP($A273,'Mutasi Neraca'!$A$3:$S$910,17,FALSE))</f>
        <v>0</v>
      </c>
      <c r="S273" s="42">
        <f t="shared" si="51"/>
        <v>1067881431</v>
      </c>
    </row>
    <row r="274" spans="1:19">
      <c r="A274" s="41" t="s">
        <v>281</v>
      </c>
      <c r="B274" s="41" t="str">
        <f t="shared" si="50"/>
        <v>005010600</v>
      </c>
      <c r="D274" s="42">
        <f>VLOOKUP($A274,'Neraca Unaudited SIMAK'!$A$2:$R$1272,3,FALSE)+IF(ISNA(VLOOKUP($A274,'Mutasi Neraca'!$A$3:$S$910,3,FALSE)),0,VLOOKUP($A274,'Mutasi Neraca'!$A$3:$S$910,3,FALSE))</f>
        <v>0</v>
      </c>
      <c r="E274" s="42">
        <f>VLOOKUP($A274,'Neraca Unaudited SIMAK'!$A$2:$R$1272,4,FALSE)+IF(ISNA(VLOOKUP($A274,'Mutasi Neraca'!$A$3:$S$910,4,FALSE)),0,VLOOKUP($A274,'Mutasi Neraca'!$A$3:$S$910,4,FALSE))</f>
        <v>2124280000</v>
      </c>
      <c r="F274" s="42">
        <f>VLOOKUP($A274,'Neraca Unaudited SIMAK'!$A$2:$R$1272,5,FALSE)+IF(ISNA(VLOOKUP($A274,'Mutasi Neraca'!$A$3:$S$910,5,FALSE)),0,VLOOKUP($A274,'Mutasi Neraca'!$A$3:$S$910,5,FALSE))</f>
        <v>1008519588</v>
      </c>
      <c r="G274" s="42">
        <f>VLOOKUP($A274,'Neraca Unaudited SIMAK'!$A$2:$R$1272,6,FALSE)+IF(ISNA(VLOOKUP($A274,'Mutasi Neraca'!$A$3:$S$910,6,FALSE)),0,VLOOKUP($A274,'Mutasi Neraca'!$A$3:$S$910,6,FALSE))</f>
        <v>9660741182</v>
      </c>
      <c r="H274" s="42">
        <f>VLOOKUP($A274,'Neraca Unaudited SIMAK'!$A$2:$R$1272,7,FALSE)+IF(ISNA(VLOOKUP($A274,'Mutasi Neraca'!$A$3:$S$910,7,FALSE)),0,VLOOKUP($A274,'Mutasi Neraca'!$A$3:$S$910,7,FALSE))</f>
        <v>0</v>
      </c>
      <c r="I274" s="42">
        <f>VLOOKUP($A274,'Neraca Unaudited SIMAK'!$A$2:$R$1272,8,FALSE)+IF(ISNA(VLOOKUP($A274,'Mutasi Neraca'!$A$3:$S$910,8,FALSE)),0,VLOOKUP($A274,'Mutasi Neraca'!$A$3:$S$910,8,FALSE))</f>
        <v>0</v>
      </c>
      <c r="J274" s="42">
        <f>VLOOKUP($A274,'Neraca Unaudited SIMAK'!$A$2:$R$1272,9,FALSE)+IF(ISNA(VLOOKUP($A274,'Mutasi Neraca'!$A$3:$S$910,9,FALSE)),0,VLOOKUP($A274,'Mutasi Neraca'!$A$3:$S$910,9,FALSE))</f>
        <v>0</v>
      </c>
      <c r="K274" s="42">
        <f>VLOOKUP($A274,'Neraca Unaudited SIMAK'!$A$2:$R$1272,10,FALSE)+IF(ISNA(VLOOKUP($A274,'Mutasi Neraca'!$A$3:$S$910,10,FALSE)),0,VLOOKUP($A274,'Mutasi Neraca'!$A$3:$S$910,10,FALSE))</f>
        <v>0</v>
      </c>
      <c r="L274" s="42">
        <f>VLOOKUP($A274,'Neraca Unaudited SIMAK'!$A$2:$R$1272,11,FALSE)+IF(ISNA(VLOOKUP($A274,'Mutasi Neraca'!$A$3:$S$910,11,FALSE)),0,VLOOKUP($A274,'Mutasi Neraca'!$A$3:$S$910,11,FALSE))</f>
        <v>2159250</v>
      </c>
      <c r="M274" s="42">
        <f>VLOOKUP($A274,'Neraca Unaudited SIMAK'!$A$2:$R$1272,12,FALSE)+IF(ISNA(VLOOKUP($A274,'Mutasi Neraca'!$A$3:$S$910,12,FALSE)),0,VLOOKUP($A274,'Mutasi Neraca'!$A$3:$S$910,12,FALSE))</f>
        <v>12795700020</v>
      </c>
      <c r="N274" s="42">
        <f>VLOOKUP($A274,'Neraca Unaudited SIMAK'!$A$2:$R$1272,13,FALSE)+IF(ISNA(VLOOKUP($A274,'Mutasi Neraca'!$A$3:$S$910,13,FALSE)),0,VLOOKUP($A274,'Mutasi Neraca'!$A$3:$S$910,13,FALSE))</f>
        <v>-861071255</v>
      </c>
      <c r="O274" s="42">
        <f>VLOOKUP($A274,'Neraca Unaudited SIMAK'!$A$2:$R$1272,14,FALSE)+IF(ISNA(VLOOKUP($A274,'Mutasi Neraca'!$A$3:$S$910,14,FALSE)),0,VLOOKUP($A274,'Mutasi Neraca'!$A$3:$S$910,14,FALSE))</f>
        <v>-1601555914</v>
      </c>
      <c r="P274" s="42">
        <f>VLOOKUP($A274,'Neraca Unaudited SIMAK'!$A$2:$R$1272,15,FALSE)+IF(ISNA(VLOOKUP($A274,'Mutasi Neraca'!$A$3:$S$910,15,FALSE)),0,VLOOKUP($A274,'Mutasi Neraca'!$A$3:$S$910,15,FALSE))</f>
        <v>0</v>
      </c>
      <c r="Q274" s="42">
        <f>VLOOKUP($A274,'Neraca Unaudited SIMAK'!$A$2:$R$1272,16,FALSE)+IF(ISNA(VLOOKUP($A274,'Mutasi Neraca'!$A$3:$S$910,16,FALSE)),0,VLOOKUP($A274,'Mutasi Neraca'!$A$3:$S$910,16,FALSE))</f>
        <v>0</v>
      </c>
      <c r="R274" s="42">
        <f>VLOOKUP($A274,'Neraca Unaudited SIMAK'!$A$2:$R$1272,17,FALSE)+IF(ISNA(VLOOKUP($A274,'Mutasi Neraca'!$A$3:$S$910,17,FALSE)),0,VLOOKUP($A274,'Mutasi Neraca'!$A$3:$S$910,17,FALSE))</f>
        <v>-2159250</v>
      </c>
      <c r="S274" s="42">
        <f t="shared" si="51"/>
        <v>10330913601</v>
      </c>
    </row>
    <row r="275" spans="1:19">
      <c r="A275" s="41" t="s">
        <v>282</v>
      </c>
      <c r="B275" s="41" t="str">
        <f t="shared" si="50"/>
        <v>005010600</v>
      </c>
      <c r="D275" s="42">
        <f>VLOOKUP($A275,'Neraca Unaudited SIMAK'!$A$2:$R$1272,3,FALSE)+IF(ISNA(VLOOKUP($A275,'Mutasi Neraca'!$A$3:$S$910,3,FALSE)),0,VLOOKUP($A275,'Mutasi Neraca'!$A$3:$S$910,3,FALSE))</f>
        <v>0</v>
      </c>
      <c r="E275" s="42">
        <f>VLOOKUP($A275,'Neraca Unaudited SIMAK'!$A$2:$R$1272,4,FALSE)+IF(ISNA(VLOOKUP($A275,'Mutasi Neraca'!$A$3:$S$910,4,FALSE)),0,VLOOKUP($A275,'Mutasi Neraca'!$A$3:$S$910,4,FALSE))</f>
        <v>1400327000</v>
      </c>
      <c r="F275" s="42">
        <f>VLOOKUP($A275,'Neraca Unaudited SIMAK'!$A$2:$R$1272,5,FALSE)+IF(ISNA(VLOOKUP($A275,'Mutasi Neraca'!$A$3:$S$910,5,FALSE)),0,VLOOKUP($A275,'Mutasi Neraca'!$A$3:$S$910,5,FALSE))</f>
        <v>1351377698</v>
      </c>
      <c r="G275" s="42">
        <f>VLOOKUP($A275,'Neraca Unaudited SIMAK'!$A$2:$R$1272,6,FALSE)+IF(ISNA(VLOOKUP($A275,'Mutasi Neraca'!$A$3:$S$910,6,FALSE)),0,VLOOKUP($A275,'Mutasi Neraca'!$A$3:$S$910,6,FALSE))</f>
        <v>6657170580</v>
      </c>
      <c r="H275" s="42">
        <f>VLOOKUP($A275,'Neraca Unaudited SIMAK'!$A$2:$R$1272,7,FALSE)+IF(ISNA(VLOOKUP($A275,'Mutasi Neraca'!$A$3:$S$910,7,FALSE)),0,VLOOKUP($A275,'Mutasi Neraca'!$A$3:$S$910,7,FALSE))</f>
        <v>0</v>
      </c>
      <c r="I275" s="42">
        <f>VLOOKUP($A275,'Neraca Unaudited SIMAK'!$A$2:$R$1272,8,FALSE)+IF(ISNA(VLOOKUP($A275,'Mutasi Neraca'!$A$3:$S$910,8,FALSE)),0,VLOOKUP($A275,'Mutasi Neraca'!$A$3:$S$910,8,FALSE))</f>
        <v>0</v>
      </c>
      <c r="J275" s="42">
        <f>VLOOKUP($A275,'Neraca Unaudited SIMAK'!$A$2:$R$1272,9,FALSE)+IF(ISNA(VLOOKUP($A275,'Mutasi Neraca'!$A$3:$S$910,9,FALSE)),0,VLOOKUP($A275,'Mutasi Neraca'!$A$3:$S$910,9,FALSE))</f>
        <v>0</v>
      </c>
      <c r="K275" s="42">
        <f>VLOOKUP($A275,'Neraca Unaudited SIMAK'!$A$2:$R$1272,10,FALSE)+IF(ISNA(VLOOKUP($A275,'Mutasi Neraca'!$A$3:$S$910,10,FALSE)),0,VLOOKUP($A275,'Mutasi Neraca'!$A$3:$S$910,10,FALSE))</f>
        <v>5289100</v>
      </c>
      <c r="L275" s="42">
        <f>VLOOKUP($A275,'Neraca Unaudited SIMAK'!$A$2:$R$1272,11,FALSE)+IF(ISNA(VLOOKUP($A275,'Mutasi Neraca'!$A$3:$S$910,11,FALSE)),0,VLOOKUP($A275,'Mutasi Neraca'!$A$3:$S$910,11,FALSE))</f>
        <v>0</v>
      </c>
      <c r="M275" s="42">
        <f>VLOOKUP($A275,'Neraca Unaudited SIMAK'!$A$2:$R$1272,12,FALSE)+IF(ISNA(VLOOKUP($A275,'Mutasi Neraca'!$A$3:$S$910,12,FALSE)),0,VLOOKUP($A275,'Mutasi Neraca'!$A$3:$S$910,12,FALSE))</f>
        <v>9414164378</v>
      </c>
      <c r="N275" s="42">
        <f>VLOOKUP($A275,'Neraca Unaudited SIMAK'!$A$2:$R$1272,13,FALSE)+IF(ISNA(VLOOKUP($A275,'Mutasi Neraca'!$A$3:$S$910,13,FALSE)),0,VLOOKUP($A275,'Mutasi Neraca'!$A$3:$S$910,13,FALSE))</f>
        <v>-1183143768</v>
      </c>
      <c r="O275" s="42">
        <f>VLOOKUP($A275,'Neraca Unaudited SIMAK'!$A$2:$R$1272,14,FALSE)+IF(ISNA(VLOOKUP($A275,'Mutasi Neraca'!$A$3:$S$910,14,FALSE)),0,VLOOKUP($A275,'Mutasi Neraca'!$A$3:$S$910,14,FALSE))</f>
        <v>-656457200</v>
      </c>
      <c r="P275" s="42">
        <f>VLOOKUP($A275,'Neraca Unaudited SIMAK'!$A$2:$R$1272,15,FALSE)+IF(ISNA(VLOOKUP($A275,'Mutasi Neraca'!$A$3:$S$910,15,FALSE)),0,VLOOKUP($A275,'Mutasi Neraca'!$A$3:$S$910,15,FALSE))</f>
        <v>0</v>
      </c>
      <c r="Q275" s="42">
        <f>VLOOKUP($A275,'Neraca Unaudited SIMAK'!$A$2:$R$1272,16,FALSE)+IF(ISNA(VLOOKUP($A275,'Mutasi Neraca'!$A$3:$S$910,16,FALSE)),0,VLOOKUP($A275,'Mutasi Neraca'!$A$3:$S$910,16,FALSE))</f>
        <v>0</v>
      </c>
      <c r="R275" s="42">
        <f>VLOOKUP($A275,'Neraca Unaudited SIMAK'!$A$2:$R$1272,17,FALSE)+IF(ISNA(VLOOKUP($A275,'Mutasi Neraca'!$A$3:$S$910,17,FALSE)),0,VLOOKUP($A275,'Mutasi Neraca'!$A$3:$S$910,17,FALSE))</f>
        <v>0</v>
      </c>
      <c r="S275" s="42">
        <f t="shared" si="51"/>
        <v>7574563410</v>
      </c>
    </row>
    <row r="276" spans="1:19">
      <c r="A276" s="41" t="s">
        <v>283</v>
      </c>
      <c r="B276" s="41" t="str">
        <f t="shared" si="50"/>
        <v>005010600</v>
      </c>
      <c r="D276" s="42">
        <f>VLOOKUP($A276,'Neraca Unaudited SIMAK'!$A$2:$R$1272,3,FALSE)+IF(ISNA(VLOOKUP($A276,'Mutasi Neraca'!$A$3:$S$910,3,FALSE)),0,VLOOKUP($A276,'Mutasi Neraca'!$A$3:$S$910,3,FALSE))</f>
        <v>919620</v>
      </c>
      <c r="E276" s="42">
        <f>VLOOKUP($A276,'Neraca Unaudited SIMAK'!$A$2:$R$1272,4,FALSE)+IF(ISNA(VLOOKUP($A276,'Mutasi Neraca'!$A$3:$S$910,4,FALSE)),0,VLOOKUP($A276,'Mutasi Neraca'!$A$3:$S$910,4,FALSE))</f>
        <v>1918278250</v>
      </c>
      <c r="F276" s="42">
        <f>VLOOKUP($A276,'Neraca Unaudited SIMAK'!$A$2:$R$1272,5,FALSE)+IF(ISNA(VLOOKUP($A276,'Mutasi Neraca'!$A$3:$S$910,5,FALSE)),0,VLOOKUP($A276,'Mutasi Neraca'!$A$3:$S$910,5,FALSE))</f>
        <v>2366920686</v>
      </c>
      <c r="G276" s="42">
        <f>VLOOKUP($A276,'Neraca Unaudited SIMAK'!$A$2:$R$1272,6,FALSE)+IF(ISNA(VLOOKUP($A276,'Mutasi Neraca'!$A$3:$S$910,6,FALSE)),0,VLOOKUP($A276,'Mutasi Neraca'!$A$3:$S$910,6,FALSE))</f>
        <v>14082166100</v>
      </c>
      <c r="H276" s="42">
        <f>VLOOKUP($A276,'Neraca Unaudited SIMAK'!$A$2:$R$1272,7,FALSE)+IF(ISNA(VLOOKUP($A276,'Mutasi Neraca'!$A$3:$S$910,7,FALSE)),0,VLOOKUP($A276,'Mutasi Neraca'!$A$3:$S$910,7,FALSE))</f>
        <v>0</v>
      </c>
      <c r="I276" s="42">
        <f>VLOOKUP($A276,'Neraca Unaudited SIMAK'!$A$2:$R$1272,8,FALSE)+IF(ISNA(VLOOKUP($A276,'Mutasi Neraca'!$A$3:$S$910,8,FALSE)),0,VLOOKUP($A276,'Mutasi Neraca'!$A$3:$S$910,8,FALSE))</f>
        <v>0</v>
      </c>
      <c r="J276" s="42">
        <f>VLOOKUP($A276,'Neraca Unaudited SIMAK'!$A$2:$R$1272,9,FALSE)+IF(ISNA(VLOOKUP($A276,'Mutasi Neraca'!$A$3:$S$910,9,FALSE)),0,VLOOKUP($A276,'Mutasi Neraca'!$A$3:$S$910,9,FALSE))</f>
        <v>0</v>
      </c>
      <c r="K276" s="42">
        <f>VLOOKUP($A276,'Neraca Unaudited SIMAK'!$A$2:$R$1272,10,FALSE)+IF(ISNA(VLOOKUP($A276,'Mutasi Neraca'!$A$3:$S$910,10,FALSE)),0,VLOOKUP($A276,'Mutasi Neraca'!$A$3:$S$910,10,FALSE))</f>
        <v>79000000</v>
      </c>
      <c r="L276" s="42">
        <f>VLOOKUP($A276,'Neraca Unaudited SIMAK'!$A$2:$R$1272,11,FALSE)+IF(ISNA(VLOOKUP($A276,'Mutasi Neraca'!$A$3:$S$910,11,FALSE)),0,VLOOKUP($A276,'Mutasi Neraca'!$A$3:$S$910,11,FALSE))</f>
        <v>212177650</v>
      </c>
      <c r="M276" s="42">
        <f>VLOOKUP($A276,'Neraca Unaudited SIMAK'!$A$2:$R$1272,12,FALSE)+IF(ISNA(VLOOKUP($A276,'Mutasi Neraca'!$A$3:$S$910,12,FALSE)),0,VLOOKUP($A276,'Mutasi Neraca'!$A$3:$S$910,12,FALSE))</f>
        <v>18659462306</v>
      </c>
      <c r="N276" s="42">
        <f>VLOOKUP($A276,'Neraca Unaudited SIMAK'!$A$2:$R$1272,13,FALSE)+IF(ISNA(VLOOKUP($A276,'Mutasi Neraca'!$A$3:$S$910,13,FALSE)),0,VLOOKUP($A276,'Mutasi Neraca'!$A$3:$S$910,13,FALSE))</f>
        <v>-1985010803</v>
      </c>
      <c r="O276" s="42">
        <f>VLOOKUP($A276,'Neraca Unaudited SIMAK'!$A$2:$R$1272,14,FALSE)+IF(ISNA(VLOOKUP($A276,'Mutasi Neraca'!$A$3:$S$910,14,FALSE)),0,VLOOKUP($A276,'Mutasi Neraca'!$A$3:$S$910,14,FALSE))</f>
        <v>-1658310694</v>
      </c>
      <c r="P276" s="42">
        <f>VLOOKUP($A276,'Neraca Unaudited SIMAK'!$A$2:$R$1272,15,FALSE)+IF(ISNA(VLOOKUP($A276,'Mutasi Neraca'!$A$3:$S$910,15,FALSE)),0,VLOOKUP($A276,'Mutasi Neraca'!$A$3:$S$910,15,FALSE))</f>
        <v>0</v>
      </c>
      <c r="Q276" s="42">
        <f>VLOOKUP($A276,'Neraca Unaudited SIMAK'!$A$2:$R$1272,16,FALSE)+IF(ISNA(VLOOKUP($A276,'Mutasi Neraca'!$A$3:$S$910,16,FALSE)),0,VLOOKUP($A276,'Mutasi Neraca'!$A$3:$S$910,16,FALSE))</f>
        <v>0</v>
      </c>
      <c r="R276" s="42">
        <f>VLOOKUP($A276,'Neraca Unaudited SIMAK'!$A$2:$R$1272,17,FALSE)+IF(ISNA(VLOOKUP($A276,'Mutasi Neraca'!$A$3:$S$910,17,FALSE)),0,VLOOKUP($A276,'Mutasi Neraca'!$A$3:$S$910,17,FALSE))</f>
        <v>-211734825</v>
      </c>
      <c r="S276" s="42">
        <f t="shared" si="51"/>
        <v>14804405984</v>
      </c>
    </row>
    <row r="277" spans="1:19">
      <c r="A277" s="41" t="s">
        <v>284</v>
      </c>
      <c r="B277" s="41" t="str">
        <f t="shared" si="50"/>
        <v>005010600</v>
      </c>
      <c r="D277" s="42">
        <f>VLOOKUP($A277,'Neraca Unaudited SIMAK'!$A$2:$R$1272,3,FALSE)+IF(ISNA(VLOOKUP($A277,'Mutasi Neraca'!$A$3:$S$910,3,FALSE)),0,VLOOKUP($A277,'Mutasi Neraca'!$A$3:$S$910,3,FALSE))</f>
        <v>3956020</v>
      </c>
      <c r="E277" s="42">
        <f>VLOOKUP($A277,'Neraca Unaudited SIMAK'!$A$2:$R$1272,4,FALSE)+IF(ISNA(VLOOKUP($A277,'Mutasi Neraca'!$A$3:$S$910,4,FALSE)),0,VLOOKUP($A277,'Mutasi Neraca'!$A$3:$S$910,4,FALSE))</f>
        <v>5586675000</v>
      </c>
      <c r="F277" s="42">
        <f>VLOOKUP($A277,'Neraca Unaudited SIMAK'!$A$2:$R$1272,5,FALSE)+IF(ISNA(VLOOKUP($A277,'Mutasi Neraca'!$A$3:$S$910,5,FALSE)),0,VLOOKUP($A277,'Mutasi Neraca'!$A$3:$S$910,5,FALSE))</f>
        <v>1930986673</v>
      </c>
      <c r="G277" s="42">
        <f>VLOOKUP($A277,'Neraca Unaudited SIMAK'!$A$2:$R$1272,6,FALSE)+IF(ISNA(VLOOKUP($A277,'Mutasi Neraca'!$A$3:$S$910,6,FALSE)),0,VLOOKUP($A277,'Mutasi Neraca'!$A$3:$S$910,6,FALSE))</f>
        <v>6666042800</v>
      </c>
      <c r="H277" s="42">
        <f>VLOOKUP($A277,'Neraca Unaudited SIMAK'!$A$2:$R$1272,7,FALSE)+IF(ISNA(VLOOKUP($A277,'Mutasi Neraca'!$A$3:$S$910,7,FALSE)),0,VLOOKUP($A277,'Mutasi Neraca'!$A$3:$S$910,7,FALSE))</f>
        <v>164946000</v>
      </c>
      <c r="I277" s="42">
        <f>VLOOKUP($A277,'Neraca Unaudited SIMAK'!$A$2:$R$1272,8,FALSE)+IF(ISNA(VLOOKUP($A277,'Mutasi Neraca'!$A$3:$S$910,8,FALSE)),0,VLOOKUP($A277,'Mutasi Neraca'!$A$3:$S$910,8,FALSE))</f>
        <v>0</v>
      </c>
      <c r="J277" s="42">
        <f>VLOOKUP($A277,'Neraca Unaudited SIMAK'!$A$2:$R$1272,9,FALSE)+IF(ISNA(VLOOKUP($A277,'Mutasi Neraca'!$A$3:$S$910,9,FALSE)),0,VLOOKUP($A277,'Mutasi Neraca'!$A$3:$S$910,9,FALSE))</f>
        <v>0</v>
      </c>
      <c r="K277" s="42">
        <f>VLOOKUP($A277,'Neraca Unaudited SIMAK'!$A$2:$R$1272,10,FALSE)+IF(ISNA(VLOOKUP($A277,'Mutasi Neraca'!$A$3:$S$910,10,FALSE)),0,VLOOKUP($A277,'Mutasi Neraca'!$A$3:$S$910,10,FALSE))</f>
        <v>0</v>
      </c>
      <c r="L277" s="42">
        <f>VLOOKUP($A277,'Neraca Unaudited SIMAK'!$A$2:$R$1272,11,FALSE)+IF(ISNA(VLOOKUP($A277,'Mutasi Neraca'!$A$3:$S$910,11,FALSE)),0,VLOOKUP($A277,'Mutasi Neraca'!$A$3:$S$910,11,FALSE))</f>
        <v>0</v>
      </c>
      <c r="M277" s="42">
        <f>VLOOKUP($A277,'Neraca Unaudited SIMAK'!$A$2:$R$1272,12,FALSE)+IF(ISNA(VLOOKUP($A277,'Mutasi Neraca'!$A$3:$S$910,12,FALSE)),0,VLOOKUP($A277,'Mutasi Neraca'!$A$3:$S$910,12,FALSE))</f>
        <v>14352606493</v>
      </c>
      <c r="N277" s="42">
        <f>VLOOKUP($A277,'Neraca Unaudited SIMAK'!$A$2:$R$1272,13,FALSE)+IF(ISNA(VLOOKUP($A277,'Mutasi Neraca'!$A$3:$S$910,13,FALSE)),0,VLOOKUP($A277,'Mutasi Neraca'!$A$3:$S$910,13,FALSE))</f>
        <v>-1350263110</v>
      </c>
      <c r="O277" s="42">
        <f>VLOOKUP($A277,'Neraca Unaudited SIMAK'!$A$2:$R$1272,14,FALSE)+IF(ISNA(VLOOKUP($A277,'Mutasi Neraca'!$A$3:$S$910,14,FALSE)),0,VLOOKUP($A277,'Mutasi Neraca'!$A$3:$S$910,14,FALSE))</f>
        <v>-698248676</v>
      </c>
      <c r="P277" s="42">
        <f>VLOOKUP($A277,'Neraca Unaudited SIMAK'!$A$2:$R$1272,15,FALSE)+IF(ISNA(VLOOKUP($A277,'Mutasi Neraca'!$A$3:$S$910,15,FALSE)),0,VLOOKUP($A277,'Mutasi Neraca'!$A$3:$S$910,15,FALSE))</f>
        <v>-103244100</v>
      </c>
      <c r="Q277" s="42">
        <f>VLOOKUP($A277,'Neraca Unaudited SIMAK'!$A$2:$R$1272,16,FALSE)+IF(ISNA(VLOOKUP($A277,'Mutasi Neraca'!$A$3:$S$910,16,FALSE)),0,VLOOKUP($A277,'Mutasi Neraca'!$A$3:$S$910,16,FALSE))</f>
        <v>0</v>
      </c>
      <c r="R277" s="42">
        <f>VLOOKUP($A277,'Neraca Unaudited SIMAK'!$A$2:$R$1272,17,FALSE)+IF(ISNA(VLOOKUP($A277,'Mutasi Neraca'!$A$3:$S$910,17,FALSE)),0,VLOOKUP($A277,'Mutasi Neraca'!$A$3:$S$910,17,FALSE))</f>
        <v>0</v>
      </c>
      <c r="S277" s="42">
        <f t="shared" si="51"/>
        <v>12200850607</v>
      </c>
    </row>
    <row r="278" spans="1:19">
      <c r="A278" s="41" t="s">
        <v>285</v>
      </c>
      <c r="B278" s="41" t="str">
        <f t="shared" si="50"/>
        <v>005010600</v>
      </c>
      <c r="D278" s="42">
        <f>VLOOKUP($A278,'Neraca Unaudited SIMAK'!$A$2:$R$1272,3,FALSE)+IF(ISNA(VLOOKUP($A278,'Mutasi Neraca'!$A$3:$S$910,3,FALSE)),0,VLOOKUP($A278,'Mutasi Neraca'!$A$3:$S$910,3,FALSE))</f>
        <v>0</v>
      </c>
      <c r="E278" s="42">
        <f>VLOOKUP($A278,'Neraca Unaudited SIMAK'!$A$2:$R$1272,4,FALSE)+IF(ISNA(VLOOKUP($A278,'Mutasi Neraca'!$A$3:$S$910,4,FALSE)),0,VLOOKUP($A278,'Mutasi Neraca'!$A$3:$S$910,4,FALSE))</f>
        <v>2000000000</v>
      </c>
      <c r="F278" s="42">
        <f>VLOOKUP($A278,'Neraca Unaudited SIMAK'!$A$2:$R$1272,5,FALSE)+IF(ISNA(VLOOKUP($A278,'Mutasi Neraca'!$A$3:$S$910,5,FALSE)),0,VLOOKUP($A278,'Mutasi Neraca'!$A$3:$S$910,5,FALSE))</f>
        <v>575855000</v>
      </c>
      <c r="G278" s="42">
        <f>VLOOKUP($A278,'Neraca Unaudited SIMAK'!$A$2:$R$1272,6,FALSE)+IF(ISNA(VLOOKUP($A278,'Mutasi Neraca'!$A$3:$S$910,6,FALSE)),0,VLOOKUP($A278,'Mutasi Neraca'!$A$3:$S$910,6,FALSE))</f>
        <v>7569591000</v>
      </c>
      <c r="H278" s="42">
        <f>VLOOKUP($A278,'Neraca Unaudited SIMAK'!$A$2:$R$1272,7,FALSE)+IF(ISNA(VLOOKUP($A278,'Mutasi Neraca'!$A$3:$S$910,7,FALSE)),0,VLOOKUP($A278,'Mutasi Neraca'!$A$3:$S$910,7,FALSE))</f>
        <v>0</v>
      </c>
      <c r="I278" s="42">
        <f>VLOOKUP($A278,'Neraca Unaudited SIMAK'!$A$2:$R$1272,8,FALSE)+IF(ISNA(VLOOKUP($A278,'Mutasi Neraca'!$A$3:$S$910,8,FALSE)),0,VLOOKUP($A278,'Mutasi Neraca'!$A$3:$S$910,8,FALSE))</f>
        <v>0</v>
      </c>
      <c r="J278" s="42">
        <f>VLOOKUP($A278,'Neraca Unaudited SIMAK'!$A$2:$R$1272,9,FALSE)+IF(ISNA(VLOOKUP($A278,'Mutasi Neraca'!$A$3:$S$910,9,FALSE)),0,VLOOKUP($A278,'Mutasi Neraca'!$A$3:$S$910,9,FALSE))</f>
        <v>0</v>
      </c>
      <c r="K278" s="42">
        <f>VLOOKUP($A278,'Neraca Unaudited SIMAK'!$A$2:$R$1272,10,FALSE)+IF(ISNA(VLOOKUP($A278,'Mutasi Neraca'!$A$3:$S$910,10,FALSE)),0,VLOOKUP($A278,'Mutasi Neraca'!$A$3:$S$910,10,FALSE))</f>
        <v>0</v>
      </c>
      <c r="L278" s="42">
        <f>VLOOKUP($A278,'Neraca Unaudited SIMAK'!$A$2:$R$1272,11,FALSE)+IF(ISNA(VLOOKUP($A278,'Mutasi Neraca'!$A$3:$S$910,11,FALSE)),0,VLOOKUP($A278,'Mutasi Neraca'!$A$3:$S$910,11,FALSE))</f>
        <v>0</v>
      </c>
      <c r="M278" s="42">
        <f>VLOOKUP($A278,'Neraca Unaudited SIMAK'!$A$2:$R$1272,12,FALSE)+IF(ISNA(VLOOKUP($A278,'Mutasi Neraca'!$A$3:$S$910,12,FALSE)),0,VLOOKUP($A278,'Mutasi Neraca'!$A$3:$S$910,12,FALSE))</f>
        <v>10145446000</v>
      </c>
      <c r="N278" s="42">
        <f>VLOOKUP($A278,'Neraca Unaudited SIMAK'!$A$2:$R$1272,13,FALSE)+IF(ISNA(VLOOKUP($A278,'Mutasi Neraca'!$A$3:$S$910,13,FALSE)),0,VLOOKUP($A278,'Mutasi Neraca'!$A$3:$S$910,13,FALSE))</f>
        <v>-317474286</v>
      </c>
      <c r="O278" s="42">
        <f>VLOOKUP($A278,'Neraca Unaudited SIMAK'!$A$2:$R$1272,14,FALSE)+IF(ISNA(VLOOKUP($A278,'Mutasi Neraca'!$A$3:$S$910,14,FALSE)),0,VLOOKUP($A278,'Mutasi Neraca'!$A$3:$S$910,14,FALSE))</f>
        <v>-151391820</v>
      </c>
      <c r="P278" s="42">
        <f>VLOOKUP($A278,'Neraca Unaudited SIMAK'!$A$2:$R$1272,15,FALSE)+IF(ISNA(VLOOKUP($A278,'Mutasi Neraca'!$A$3:$S$910,15,FALSE)),0,VLOOKUP($A278,'Mutasi Neraca'!$A$3:$S$910,15,FALSE))</f>
        <v>0</v>
      </c>
      <c r="Q278" s="42">
        <f>VLOOKUP($A278,'Neraca Unaudited SIMAK'!$A$2:$R$1272,16,FALSE)+IF(ISNA(VLOOKUP($A278,'Mutasi Neraca'!$A$3:$S$910,16,FALSE)),0,VLOOKUP($A278,'Mutasi Neraca'!$A$3:$S$910,16,FALSE))</f>
        <v>0</v>
      </c>
      <c r="R278" s="42">
        <f>VLOOKUP($A278,'Neraca Unaudited SIMAK'!$A$2:$R$1272,17,FALSE)+IF(ISNA(VLOOKUP($A278,'Mutasi Neraca'!$A$3:$S$910,17,FALSE)),0,VLOOKUP($A278,'Mutasi Neraca'!$A$3:$S$910,17,FALSE))</f>
        <v>0</v>
      </c>
      <c r="S278" s="42">
        <f t="shared" si="51"/>
        <v>9676579894</v>
      </c>
    </row>
    <row r="279" spans="1:19">
      <c r="A279" s="41" t="s">
        <v>286</v>
      </c>
      <c r="B279" s="41" t="str">
        <f t="shared" si="50"/>
        <v>005010700</v>
      </c>
      <c r="D279" s="42">
        <f>VLOOKUP($A279,'Neraca Unaudited SIMAK'!$A$2:$R$1272,3,FALSE)+IF(ISNA(VLOOKUP($A279,'Mutasi Neraca'!$A$3:$S$910,3,FALSE)),0,VLOOKUP($A279,'Mutasi Neraca'!$A$3:$S$910,3,FALSE))</f>
        <v>14511610</v>
      </c>
      <c r="E279" s="42">
        <f>VLOOKUP($A279,'Neraca Unaudited SIMAK'!$A$2:$R$1272,4,FALSE)+IF(ISNA(VLOOKUP($A279,'Mutasi Neraca'!$A$3:$S$910,4,FALSE)),0,VLOOKUP($A279,'Mutasi Neraca'!$A$3:$S$910,4,FALSE))</f>
        <v>69304824900</v>
      </c>
      <c r="F279" s="42">
        <f>VLOOKUP($A279,'Neraca Unaudited SIMAK'!$A$2:$R$1272,5,FALSE)+IF(ISNA(VLOOKUP($A279,'Mutasi Neraca'!$A$3:$S$910,5,FALSE)),0,VLOOKUP($A279,'Mutasi Neraca'!$A$3:$S$910,5,FALSE))</f>
        <v>6878384635</v>
      </c>
      <c r="G279" s="42">
        <f>VLOOKUP($A279,'Neraca Unaudited SIMAK'!$A$2:$R$1272,6,FALSE)+IF(ISNA(VLOOKUP($A279,'Mutasi Neraca'!$A$3:$S$910,6,FALSE)),0,VLOOKUP($A279,'Mutasi Neraca'!$A$3:$S$910,6,FALSE))</f>
        <v>33319093673</v>
      </c>
      <c r="H279" s="42">
        <f>VLOOKUP($A279,'Neraca Unaudited SIMAK'!$A$2:$R$1272,7,FALSE)+IF(ISNA(VLOOKUP($A279,'Mutasi Neraca'!$A$3:$S$910,7,FALSE)),0,VLOOKUP($A279,'Mutasi Neraca'!$A$3:$S$910,7,FALSE))</f>
        <v>778111400</v>
      </c>
      <c r="I279" s="42">
        <f>VLOOKUP($A279,'Neraca Unaudited SIMAK'!$A$2:$R$1272,8,FALSE)+IF(ISNA(VLOOKUP($A279,'Mutasi Neraca'!$A$3:$S$910,8,FALSE)),0,VLOOKUP($A279,'Mutasi Neraca'!$A$3:$S$910,8,FALSE))</f>
        <v>5131904</v>
      </c>
      <c r="J279" s="42">
        <f>VLOOKUP($A279,'Neraca Unaudited SIMAK'!$A$2:$R$1272,9,FALSE)+IF(ISNA(VLOOKUP($A279,'Mutasi Neraca'!$A$3:$S$910,9,FALSE)),0,VLOOKUP($A279,'Mutasi Neraca'!$A$3:$S$910,9,FALSE))</f>
        <v>0</v>
      </c>
      <c r="K279" s="42">
        <f>VLOOKUP($A279,'Neraca Unaudited SIMAK'!$A$2:$R$1272,10,FALSE)+IF(ISNA(VLOOKUP($A279,'Mutasi Neraca'!$A$3:$S$910,10,FALSE)),0,VLOOKUP($A279,'Mutasi Neraca'!$A$3:$S$910,10,FALSE))</f>
        <v>60600000</v>
      </c>
      <c r="L279" s="42">
        <f>VLOOKUP($A279,'Neraca Unaudited SIMAK'!$A$2:$R$1272,11,FALSE)+IF(ISNA(VLOOKUP($A279,'Mutasi Neraca'!$A$3:$S$910,11,FALSE)),0,VLOOKUP($A279,'Mutasi Neraca'!$A$3:$S$910,11,FALSE))</f>
        <v>0</v>
      </c>
      <c r="M279" s="42">
        <f>VLOOKUP($A279,'Neraca Unaudited SIMAK'!$A$2:$R$1272,12,FALSE)+IF(ISNA(VLOOKUP($A279,'Mutasi Neraca'!$A$3:$S$910,12,FALSE)),0,VLOOKUP($A279,'Mutasi Neraca'!$A$3:$S$910,12,FALSE))</f>
        <v>110360658122</v>
      </c>
      <c r="N279" s="42">
        <f>VLOOKUP($A279,'Neraca Unaudited SIMAK'!$A$2:$R$1272,13,FALSE)+IF(ISNA(VLOOKUP($A279,'Mutasi Neraca'!$A$3:$S$910,13,FALSE)),0,VLOOKUP($A279,'Mutasi Neraca'!$A$3:$S$910,13,FALSE))</f>
        <v>-3670380962</v>
      </c>
      <c r="O279" s="42">
        <f>VLOOKUP($A279,'Neraca Unaudited SIMAK'!$A$2:$R$1272,14,FALSE)+IF(ISNA(VLOOKUP($A279,'Mutasi Neraca'!$A$3:$S$910,14,FALSE)),0,VLOOKUP($A279,'Mutasi Neraca'!$A$3:$S$910,14,FALSE))</f>
        <v>-5682258365</v>
      </c>
      <c r="P279" s="42">
        <f>VLOOKUP($A279,'Neraca Unaudited SIMAK'!$A$2:$R$1272,15,FALSE)+IF(ISNA(VLOOKUP($A279,'Mutasi Neraca'!$A$3:$S$910,15,FALSE)),0,VLOOKUP($A279,'Mutasi Neraca'!$A$3:$S$910,15,FALSE))</f>
        <v>-243380025</v>
      </c>
      <c r="Q279" s="42">
        <f>VLOOKUP($A279,'Neraca Unaudited SIMAK'!$A$2:$R$1272,16,FALSE)+IF(ISNA(VLOOKUP($A279,'Mutasi Neraca'!$A$3:$S$910,16,FALSE)),0,VLOOKUP($A279,'Mutasi Neraca'!$A$3:$S$910,16,FALSE))</f>
        <v>0</v>
      </c>
      <c r="R279" s="42">
        <f>VLOOKUP($A279,'Neraca Unaudited SIMAK'!$A$2:$R$1272,17,FALSE)+IF(ISNA(VLOOKUP($A279,'Mutasi Neraca'!$A$3:$S$910,17,FALSE)),0,VLOOKUP($A279,'Mutasi Neraca'!$A$3:$S$910,17,FALSE))</f>
        <v>0</v>
      </c>
      <c r="S279" s="42">
        <f t="shared" si="51"/>
        <v>100764638770</v>
      </c>
    </row>
    <row r="280" spans="1:19">
      <c r="A280" s="41" t="s">
        <v>287</v>
      </c>
      <c r="B280" s="41" t="str">
        <f t="shared" si="50"/>
        <v>005010700</v>
      </c>
      <c r="D280" s="42">
        <f>VLOOKUP($A280,'Neraca Unaudited SIMAK'!$A$2:$R$1272,3,FALSE)+IF(ISNA(VLOOKUP($A280,'Mutasi Neraca'!$A$3:$S$910,3,FALSE)),0,VLOOKUP($A280,'Mutasi Neraca'!$A$3:$S$910,3,FALSE))</f>
        <v>0</v>
      </c>
      <c r="E280" s="42">
        <f>VLOOKUP($A280,'Neraca Unaudited SIMAK'!$A$2:$R$1272,4,FALSE)+IF(ISNA(VLOOKUP($A280,'Mutasi Neraca'!$A$3:$S$910,4,FALSE)),0,VLOOKUP($A280,'Mutasi Neraca'!$A$3:$S$910,4,FALSE))</f>
        <v>75370855280</v>
      </c>
      <c r="F280" s="42">
        <f>VLOOKUP($A280,'Neraca Unaudited SIMAK'!$A$2:$R$1272,5,FALSE)+IF(ISNA(VLOOKUP($A280,'Mutasi Neraca'!$A$3:$S$910,5,FALSE)),0,VLOOKUP($A280,'Mutasi Neraca'!$A$3:$S$910,5,FALSE))</f>
        <v>4987131964</v>
      </c>
      <c r="G280" s="42">
        <f>VLOOKUP($A280,'Neraca Unaudited SIMAK'!$A$2:$R$1272,6,FALSE)+IF(ISNA(VLOOKUP($A280,'Mutasi Neraca'!$A$3:$S$910,6,FALSE)),0,VLOOKUP($A280,'Mutasi Neraca'!$A$3:$S$910,6,FALSE))</f>
        <v>9397879000</v>
      </c>
      <c r="H280" s="42">
        <f>VLOOKUP($A280,'Neraca Unaudited SIMAK'!$A$2:$R$1272,7,FALSE)+IF(ISNA(VLOOKUP($A280,'Mutasi Neraca'!$A$3:$S$910,7,FALSE)),0,VLOOKUP($A280,'Mutasi Neraca'!$A$3:$S$910,7,FALSE))</f>
        <v>223483000</v>
      </c>
      <c r="I280" s="42">
        <f>VLOOKUP($A280,'Neraca Unaudited SIMAK'!$A$2:$R$1272,8,FALSE)+IF(ISNA(VLOOKUP($A280,'Mutasi Neraca'!$A$3:$S$910,8,FALSE)),0,VLOOKUP($A280,'Mutasi Neraca'!$A$3:$S$910,8,FALSE))</f>
        <v>2001440</v>
      </c>
      <c r="J280" s="42">
        <f>VLOOKUP($A280,'Neraca Unaudited SIMAK'!$A$2:$R$1272,9,FALSE)+IF(ISNA(VLOOKUP($A280,'Mutasi Neraca'!$A$3:$S$910,9,FALSE)),0,VLOOKUP($A280,'Mutasi Neraca'!$A$3:$S$910,9,FALSE))</f>
        <v>0</v>
      </c>
      <c r="K280" s="42">
        <f>VLOOKUP($A280,'Neraca Unaudited SIMAK'!$A$2:$R$1272,10,FALSE)+IF(ISNA(VLOOKUP($A280,'Mutasi Neraca'!$A$3:$S$910,10,FALSE)),0,VLOOKUP($A280,'Mutasi Neraca'!$A$3:$S$910,10,FALSE))</f>
        <v>0</v>
      </c>
      <c r="L280" s="42">
        <f>VLOOKUP($A280,'Neraca Unaudited SIMAK'!$A$2:$R$1272,11,FALSE)+IF(ISNA(VLOOKUP($A280,'Mutasi Neraca'!$A$3:$S$910,11,FALSE)),0,VLOOKUP($A280,'Mutasi Neraca'!$A$3:$S$910,11,FALSE))</f>
        <v>83570395</v>
      </c>
      <c r="M280" s="42">
        <f>VLOOKUP($A280,'Neraca Unaudited SIMAK'!$A$2:$R$1272,12,FALSE)+IF(ISNA(VLOOKUP($A280,'Mutasi Neraca'!$A$3:$S$910,12,FALSE)),0,VLOOKUP($A280,'Mutasi Neraca'!$A$3:$S$910,12,FALSE))</f>
        <v>90064921079</v>
      </c>
      <c r="N280" s="42">
        <f>VLOOKUP($A280,'Neraca Unaudited SIMAK'!$A$2:$R$1272,13,FALSE)+IF(ISNA(VLOOKUP($A280,'Mutasi Neraca'!$A$3:$S$910,13,FALSE)),0,VLOOKUP($A280,'Mutasi Neraca'!$A$3:$S$910,13,FALSE))</f>
        <v>-4602455964</v>
      </c>
      <c r="O280" s="42">
        <f>VLOOKUP($A280,'Neraca Unaudited SIMAK'!$A$2:$R$1272,14,FALSE)+IF(ISNA(VLOOKUP($A280,'Mutasi Neraca'!$A$3:$S$910,14,FALSE)),0,VLOOKUP($A280,'Mutasi Neraca'!$A$3:$S$910,14,FALSE))</f>
        <v>-8263847800</v>
      </c>
      <c r="P280" s="42">
        <f>VLOOKUP($A280,'Neraca Unaudited SIMAK'!$A$2:$R$1272,15,FALSE)+IF(ISNA(VLOOKUP($A280,'Mutasi Neraca'!$A$3:$S$910,15,FALSE)),0,VLOOKUP($A280,'Mutasi Neraca'!$A$3:$S$910,15,FALSE))</f>
        <v>-41903063</v>
      </c>
      <c r="Q280" s="42">
        <f>VLOOKUP($A280,'Neraca Unaudited SIMAK'!$A$2:$R$1272,16,FALSE)+IF(ISNA(VLOOKUP($A280,'Mutasi Neraca'!$A$3:$S$910,16,FALSE)),0,VLOOKUP($A280,'Mutasi Neraca'!$A$3:$S$910,16,FALSE))</f>
        <v>0</v>
      </c>
      <c r="R280" s="42">
        <f>VLOOKUP($A280,'Neraca Unaudited SIMAK'!$A$2:$R$1272,17,FALSE)+IF(ISNA(VLOOKUP($A280,'Mutasi Neraca'!$A$3:$S$910,17,FALSE)),0,VLOOKUP($A280,'Mutasi Neraca'!$A$3:$S$910,17,FALSE))</f>
        <v>-82852895</v>
      </c>
      <c r="S280" s="42">
        <f t="shared" si="51"/>
        <v>77073861357</v>
      </c>
    </row>
    <row r="281" spans="1:19">
      <c r="A281" s="41" t="s">
        <v>288</v>
      </c>
      <c r="B281" s="41" t="str">
        <f t="shared" si="50"/>
        <v>005010700</v>
      </c>
      <c r="D281" s="42">
        <f>VLOOKUP($A281,'Neraca Unaudited SIMAK'!$A$2:$R$1272,3,FALSE)+IF(ISNA(VLOOKUP($A281,'Mutasi Neraca'!$A$3:$S$910,3,FALSE)),0,VLOOKUP($A281,'Mutasi Neraca'!$A$3:$S$910,3,FALSE))</f>
        <v>382250</v>
      </c>
      <c r="E281" s="42">
        <f>VLOOKUP($A281,'Neraca Unaudited SIMAK'!$A$2:$R$1272,4,FALSE)+IF(ISNA(VLOOKUP($A281,'Mutasi Neraca'!$A$3:$S$910,4,FALSE)),0,VLOOKUP($A281,'Mutasi Neraca'!$A$3:$S$910,4,FALSE))</f>
        <v>3367960800</v>
      </c>
      <c r="F281" s="42">
        <f>VLOOKUP($A281,'Neraca Unaudited SIMAK'!$A$2:$R$1272,5,FALSE)+IF(ISNA(VLOOKUP($A281,'Mutasi Neraca'!$A$3:$S$910,5,FALSE)),0,VLOOKUP($A281,'Mutasi Neraca'!$A$3:$S$910,5,FALSE))</f>
        <v>1053336133</v>
      </c>
      <c r="G281" s="42">
        <f>VLOOKUP($A281,'Neraca Unaudited SIMAK'!$A$2:$R$1272,6,FALSE)+IF(ISNA(VLOOKUP($A281,'Mutasi Neraca'!$A$3:$S$910,6,FALSE)),0,VLOOKUP($A281,'Mutasi Neraca'!$A$3:$S$910,6,FALSE))</f>
        <v>7261645700</v>
      </c>
      <c r="H281" s="42">
        <f>VLOOKUP($A281,'Neraca Unaudited SIMAK'!$A$2:$R$1272,7,FALSE)+IF(ISNA(VLOOKUP($A281,'Mutasi Neraca'!$A$3:$S$910,7,FALSE)),0,VLOOKUP($A281,'Mutasi Neraca'!$A$3:$S$910,7,FALSE))</f>
        <v>0</v>
      </c>
      <c r="I281" s="42">
        <f>VLOOKUP($A281,'Neraca Unaudited SIMAK'!$A$2:$R$1272,8,FALSE)+IF(ISNA(VLOOKUP($A281,'Mutasi Neraca'!$A$3:$S$910,8,FALSE)),0,VLOOKUP($A281,'Mutasi Neraca'!$A$3:$S$910,8,FALSE))</f>
        <v>73443440</v>
      </c>
      <c r="J281" s="42">
        <f>VLOOKUP($A281,'Neraca Unaudited SIMAK'!$A$2:$R$1272,9,FALSE)+IF(ISNA(VLOOKUP($A281,'Mutasi Neraca'!$A$3:$S$910,9,FALSE)),0,VLOOKUP($A281,'Mutasi Neraca'!$A$3:$S$910,9,FALSE))</f>
        <v>0</v>
      </c>
      <c r="K281" s="42">
        <f>VLOOKUP($A281,'Neraca Unaudited SIMAK'!$A$2:$R$1272,10,FALSE)+IF(ISNA(VLOOKUP($A281,'Mutasi Neraca'!$A$3:$S$910,10,FALSE)),0,VLOOKUP($A281,'Mutasi Neraca'!$A$3:$S$910,10,FALSE))</f>
        <v>0</v>
      </c>
      <c r="L281" s="42">
        <f>VLOOKUP($A281,'Neraca Unaudited SIMAK'!$A$2:$R$1272,11,FALSE)+IF(ISNA(VLOOKUP($A281,'Mutasi Neraca'!$A$3:$S$910,11,FALSE)),0,VLOOKUP($A281,'Mutasi Neraca'!$A$3:$S$910,11,FALSE))</f>
        <v>0</v>
      </c>
      <c r="M281" s="42">
        <f>VLOOKUP($A281,'Neraca Unaudited SIMAK'!$A$2:$R$1272,12,FALSE)+IF(ISNA(VLOOKUP($A281,'Mutasi Neraca'!$A$3:$S$910,12,FALSE)),0,VLOOKUP($A281,'Mutasi Neraca'!$A$3:$S$910,12,FALSE))</f>
        <v>11756768323</v>
      </c>
      <c r="N281" s="42">
        <f>VLOOKUP($A281,'Neraca Unaudited SIMAK'!$A$2:$R$1272,13,FALSE)+IF(ISNA(VLOOKUP($A281,'Mutasi Neraca'!$A$3:$S$910,13,FALSE)),0,VLOOKUP($A281,'Mutasi Neraca'!$A$3:$S$910,13,FALSE))</f>
        <v>-994019831</v>
      </c>
      <c r="O281" s="42">
        <f>VLOOKUP($A281,'Neraca Unaudited SIMAK'!$A$2:$R$1272,14,FALSE)+IF(ISNA(VLOOKUP($A281,'Mutasi Neraca'!$A$3:$S$910,14,FALSE)),0,VLOOKUP($A281,'Mutasi Neraca'!$A$3:$S$910,14,FALSE))</f>
        <v>-2876362610</v>
      </c>
      <c r="P281" s="42">
        <f>VLOOKUP($A281,'Neraca Unaudited SIMAK'!$A$2:$R$1272,15,FALSE)+IF(ISNA(VLOOKUP($A281,'Mutasi Neraca'!$A$3:$S$910,15,FALSE)),0,VLOOKUP($A281,'Mutasi Neraca'!$A$3:$S$910,15,FALSE))</f>
        <v>0</v>
      </c>
      <c r="Q281" s="42">
        <f>VLOOKUP($A281,'Neraca Unaudited SIMAK'!$A$2:$R$1272,16,FALSE)+IF(ISNA(VLOOKUP($A281,'Mutasi Neraca'!$A$3:$S$910,16,FALSE)),0,VLOOKUP($A281,'Mutasi Neraca'!$A$3:$S$910,16,FALSE))</f>
        <v>0</v>
      </c>
      <c r="R281" s="42">
        <f>VLOOKUP($A281,'Neraca Unaudited SIMAK'!$A$2:$R$1272,17,FALSE)+IF(ISNA(VLOOKUP($A281,'Mutasi Neraca'!$A$3:$S$910,17,FALSE)),0,VLOOKUP($A281,'Mutasi Neraca'!$A$3:$S$910,17,FALSE))</f>
        <v>0</v>
      </c>
      <c r="S281" s="42">
        <f t="shared" si="51"/>
        <v>7886385882</v>
      </c>
    </row>
    <row r="282" spans="1:19">
      <c r="A282" s="41" t="s">
        <v>289</v>
      </c>
      <c r="B282" s="41" t="str">
        <f t="shared" si="50"/>
        <v>005010700</v>
      </c>
      <c r="D282" s="42">
        <f>VLOOKUP($A282,'Neraca Unaudited SIMAK'!$A$2:$R$1272,3,FALSE)+IF(ISNA(VLOOKUP($A282,'Mutasi Neraca'!$A$3:$S$910,3,FALSE)),0,VLOOKUP($A282,'Mutasi Neraca'!$A$3:$S$910,3,FALSE))</f>
        <v>300000</v>
      </c>
      <c r="E282" s="42">
        <f>VLOOKUP($A282,'Neraca Unaudited SIMAK'!$A$2:$R$1272,4,FALSE)+IF(ISNA(VLOOKUP($A282,'Mutasi Neraca'!$A$3:$S$910,4,FALSE)),0,VLOOKUP($A282,'Mutasi Neraca'!$A$3:$S$910,4,FALSE))</f>
        <v>1844930000</v>
      </c>
      <c r="F282" s="42">
        <f>VLOOKUP($A282,'Neraca Unaudited SIMAK'!$A$2:$R$1272,5,FALSE)+IF(ISNA(VLOOKUP($A282,'Mutasi Neraca'!$A$3:$S$910,5,FALSE)),0,VLOOKUP($A282,'Mutasi Neraca'!$A$3:$S$910,5,FALSE))</f>
        <v>912430503</v>
      </c>
      <c r="G282" s="42">
        <f>VLOOKUP($A282,'Neraca Unaudited SIMAK'!$A$2:$R$1272,6,FALSE)+IF(ISNA(VLOOKUP($A282,'Mutasi Neraca'!$A$3:$S$910,6,FALSE)),0,VLOOKUP($A282,'Mutasi Neraca'!$A$3:$S$910,6,FALSE))</f>
        <v>2876313000</v>
      </c>
      <c r="H282" s="42">
        <f>VLOOKUP($A282,'Neraca Unaudited SIMAK'!$A$2:$R$1272,7,FALSE)+IF(ISNA(VLOOKUP($A282,'Mutasi Neraca'!$A$3:$S$910,7,FALSE)),0,VLOOKUP($A282,'Mutasi Neraca'!$A$3:$S$910,7,FALSE))</f>
        <v>173408840</v>
      </c>
      <c r="I282" s="42">
        <f>VLOOKUP($A282,'Neraca Unaudited SIMAK'!$A$2:$R$1272,8,FALSE)+IF(ISNA(VLOOKUP($A282,'Mutasi Neraca'!$A$3:$S$910,8,FALSE)),0,VLOOKUP($A282,'Mutasi Neraca'!$A$3:$S$910,8,FALSE))</f>
        <v>1947440</v>
      </c>
      <c r="J282" s="42">
        <f>VLOOKUP($A282,'Neraca Unaudited SIMAK'!$A$2:$R$1272,9,FALSE)+IF(ISNA(VLOOKUP($A282,'Mutasi Neraca'!$A$3:$S$910,9,FALSE)),0,VLOOKUP($A282,'Mutasi Neraca'!$A$3:$S$910,9,FALSE))</f>
        <v>0</v>
      </c>
      <c r="K282" s="42">
        <f>VLOOKUP($A282,'Neraca Unaudited SIMAK'!$A$2:$R$1272,10,FALSE)+IF(ISNA(VLOOKUP($A282,'Mutasi Neraca'!$A$3:$S$910,10,FALSE)),0,VLOOKUP($A282,'Mutasi Neraca'!$A$3:$S$910,10,FALSE))</f>
        <v>0</v>
      </c>
      <c r="L282" s="42">
        <f>VLOOKUP($A282,'Neraca Unaudited SIMAK'!$A$2:$R$1272,11,FALSE)+IF(ISNA(VLOOKUP($A282,'Mutasi Neraca'!$A$3:$S$910,11,FALSE)),0,VLOOKUP($A282,'Mutasi Neraca'!$A$3:$S$910,11,FALSE))</f>
        <v>23013000</v>
      </c>
      <c r="M282" s="42">
        <f>VLOOKUP($A282,'Neraca Unaudited SIMAK'!$A$2:$R$1272,12,FALSE)+IF(ISNA(VLOOKUP($A282,'Mutasi Neraca'!$A$3:$S$910,12,FALSE)),0,VLOOKUP($A282,'Mutasi Neraca'!$A$3:$S$910,12,FALSE))</f>
        <v>5832342783</v>
      </c>
      <c r="N282" s="42">
        <f>VLOOKUP($A282,'Neraca Unaudited SIMAK'!$A$2:$R$1272,13,FALSE)+IF(ISNA(VLOOKUP($A282,'Mutasi Neraca'!$A$3:$S$910,13,FALSE)),0,VLOOKUP($A282,'Mutasi Neraca'!$A$3:$S$910,13,FALSE))</f>
        <v>-784631326</v>
      </c>
      <c r="O282" s="42">
        <f>VLOOKUP($A282,'Neraca Unaudited SIMAK'!$A$2:$R$1272,14,FALSE)+IF(ISNA(VLOOKUP($A282,'Mutasi Neraca'!$A$3:$S$910,14,FALSE)),0,VLOOKUP($A282,'Mutasi Neraca'!$A$3:$S$910,14,FALSE))</f>
        <v>-1003521693</v>
      </c>
      <c r="P282" s="42">
        <f>VLOOKUP($A282,'Neraca Unaudited SIMAK'!$A$2:$R$1272,15,FALSE)+IF(ISNA(VLOOKUP($A282,'Mutasi Neraca'!$A$3:$S$910,15,FALSE)),0,VLOOKUP($A282,'Mutasi Neraca'!$A$3:$S$910,15,FALSE))</f>
        <v>-56357873</v>
      </c>
      <c r="Q282" s="42">
        <f>VLOOKUP($A282,'Neraca Unaudited SIMAK'!$A$2:$R$1272,16,FALSE)+IF(ISNA(VLOOKUP($A282,'Mutasi Neraca'!$A$3:$S$910,16,FALSE)),0,VLOOKUP($A282,'Mutasi Neraca'!$A$3:$S$910,16,FALSE))</f>
        <v>0</v>
      </c>
      <c r="R282" s="42">
        <f>VLOOKUP($A282,'Neraca Unaudited SIMAK'!$A$2:$R$1272,17,FALSE)+IF(ISNA(VLOOKUP($A282,'Mutasi Neraca'!$A$3:$S$910,17,FALSE)),0,VLOOKUP($A282,'Mutasi Neraca'!$A$3:$S$910,17,FALSE))</f>
        <v>-23013000</v>
      </c>
      <c r="S282" s="42">
        <f t="shared" si="51"/>
        <v>3964818891</v>
      </c>
    </row>
    <row r="283" spans="1:19">
      <c r="A283" s="41" t="s">
        <v>290</v>
      </c>
      <c r="B283" s="41" t="str">
        <f t="shared" si="50"/>
        <v>005010700</v>
      </c>
      <c r="D283" s="42">
        <f>VLOOKUP($A283,'Neraca Unaudited SIMAK'!$A$2:$R$1272,3,FALSE)+IF(ISNA(VLOOKUP($A283,'Mutasi Neraca'!$A$3:$S$910,3,FALSE)),0,VLOOKUP($A283,'Mutasi Neraca'!$A$3:$S$910,3,FALSE))</f>
        <v>868500</v>
      </c>
      <c r="E283" s="42">
        <f>VLOOKUP($A283,'Neraca Unaudited SIMAK'!$A$2:$R$1272,4,FALSE)+IF(ISNA(VLOOKUP($A283,'Mutasi Neraca'!$A$3:$S$910,4,FALSE)),0,VLOOKUP($A283,'Mutasi Neraca'!$A$3:$S$910,4,FALSE))</f>
        <v>1581900000</v>
      </c>
      <c r="F283" s="42">
        <f>VLOOKUP($A283,'Neraca Unaudited SIMAK'!$A$2:$R$1272,5,FALSE)+IF(ISNA(VLOOKUP($A283,'Mutasi Neraca'!$A$3:$S$910,5,FALSE)),0,VLOOKUP($A283,'Mutasi Neraca'!$A$3:$S$910,5,FALSE))</f>
        <v>1107882034</v>
      </c>
      <c r="G283" s="42">
        <f>VLOOKUP($A283,'Neraca Unaudited SIMAK'!$A$2:$R$1272,6,FALSE)+IF(ISNA(VLOOKUP($A283,'Mutasi Neraca'!$A$3:$S$910,6,FALSE)),0,VLOOKUP($A283,'Mutasi Neraca'!$A$3:$S$910,6,FALSE))</f>
        <v>5413469500</v>
      </c>
      <c r="H283" s="42">
        <f>VLOOKUP($A283,'Neraca Unaudited SIMAK'!$A$2:$R$1272,7,FALSE)+IF(ISNA(VLOOKUP($A283,'Mutasi Neraca'!$A$3:$S$910,7,FALSE)),0,VLOOKUP($A283,'Mutasi Neraca'!$A$3:$S$910,7,FALSE))</f>
        <v>83795909</v>
      </c>
      <c r="I283" s="42">
        <f>VLOOKUP($A283,'Neraca Unaudited SIMAK'!$A$2:$R$1272,8,FALSE)+IF(ISNA(VLOOKUP($A283,'Mutasi Neraca'!$A$3:$S$910,8,FALSE)),0,VLOOKUP($A283,'Mutasi Neraca'!$A$3:$S$910,8,FALSE))</f>
        <v>16599490</v>
      </c>
      <c r="J283" s="42">
        <f>VLOOKUP($A283,'Neraca Unaudited SIMAK'!$A$2:$R$1272,9,FALSE)+IF(ISNA(VLOOKUP($A283,'Mutasi Neraca'!$A$3:$S$910,9,FALSE)),0,VLOOKUP($A283,'Mutasi Neraca'!$A$3:$S$910,9,FALSE))</f>
        <v>0</v>
      </c>
      <c r="K283" s="42">
        <f>VLOOKUP($A283,'Neraca Unaudited SIMAK'!$A$2:$R$1272,10,FALSE)+IF(ISNA(VLOOKUP($A283,'Mutasi Neraca'!$A$3:$S$910,10,FALSE)),0,VLOOKUP($A283,'Mutasi Neraca'!$A$3:$S$910,10,FALSE))</f>
        <v>35000000</v>
      </c>
      <c r="L283" s="42">
        <f>VLOOKUP($A283,'Neraca Unaudited SIMAK'!$A$2:$R$1272,11,FALSE)+IF(ISNA(VLOOKUP($A283,'Mutasi Neraca'!$A$3:$S$910,11,FALSE)),0,VLOOKUP($A283,'Mutasi Neraca'!$A$3:$S$910,11,FALSE))</f>
        <v>0</v>
      </c>
      <c r="M283" s="42">
        <f>VLOOKUP($A283,'Neraca Unaudited SIMAK'!$A$2:$R$1272,12,FALSE)+IF(ISNA(VLOOKUP($A283,'Mutasi Neraca'!$A$3:$S$910,12,FALSE)),0,VLOOKUP($A283,'Mutasi Neraca'!$A$3:$S$910,12,FALSE))</f>
        <v>8239515433</v>
      </c>
      <c r="N283" s="42">
        <f>VLOOKUP($A283,'Neraca Unaudited SIMAK'!$A$2:$R$1272,13,FALSE)+IF(ISNA(VLOOKUP($A283,'Mutasi Neraca'!$A$3:$S$910,13,FALSE)),0,VLOOKUP($A283,'Mutasi Neraca'!$A$3:$S$910,13,FALSE))</f>
        <v>-1050071926</v>
      </c>
      <c r="O283" s="42">
        <f>VLOOKUP($A283,'Neraca Unaudited SIMAK'!$A$2:$R$1272,14,FALSE)+IF(ISNA(VLOOKUP($A283,'Mutasi Neraca'!$A$3:$S$910,14,FALSE)),0,VLOOKUP($A283,'Mutasi Neraca'!$A$3:$S$910,14,FALSE))</f>
        <v>-1710361662</v>
      </c>
      <c r="P283" s="42">
        <f>VLOOKUP($A283,'Neraca Unaudited SIMAK'!$A$2:$R$1272,15,FALSE)+IF(ISNA(VLOOKUP($A283,'Mutasi Neraca'!$A$3:$S$910,15,FALSE)),0,VLOOKUP($A283,'Mutasi Neraca'!$A$3:$S$910,15,FALSE))</f>
        <v>-10616525</v>
      </c>
      <c r="Q283" s="42">
        <f>VLOOKUP($A283,'Neraca Unaudited SIMAK'!$A$2:$R$1272,16,FALSE)+IF(ISNA(VLOOKUP($A283,'Mutasi Neraca'!$A$3:$S$910,16,FALSE)),0,VLOOKUP($A283,'Mutasi Neraca'!$A$3:$S$910,16,FALSE))</f>
        <v>0</v>
      </c>
      <c r="R283" s="42">
        <f>VLOOKUP($A283,'Neraca Unaudited SIMAK'!$A$2:$R$1272,17,FALSE)+IF(ISNA(VLOOKUP($A283,'Mutasi Neraca'!$A$3:$S$910,17,FALSE)),0,VLOOKUP($A283,'Mutasi Neraca'!$A$3:$S$910,17,FALSE))</f>
        <v>0</v>
      </c>
      <c r="S283" s="42">
        <f t="shared" si="51"/>
        <v>5468465320</v>
      </c>
    </row>
    <row r="284" spans="1:19">
      <c r="A284" s="41" t="s">
        <v>291</v>
      </c>
      <c r="B284" s="41" t="str">
        <f t="shared" si="50"/>
        <v>005010700</v>
      </c>
      <c r="D284" s="42">
        <f>VLOOKUP($A284,'Neraca Unaudited SIMAK'!$A$2:$R$1272,3,FALSE)+IF(ISNA(VLOOKUP($A284,'Mutasi Neraca'!$A$3:$S$910,3,FALSE)),0,VLOOKUP($A284,'Mutasi Neraca'!$A$3:$S$910,3,FALSE))</f>
        <v>571000</v>
      </c>
      <c r="E284" s="42">
        <f>VLOOKUP($A284,'Neraca Unaudited SIMAK'!$A$2:$R$1272,4,FALSE)+IF(ISNA(VLOOKUP($A284,'Mutasi Neraca'!$A$3:$S$910,4,FALSE)),0,VLOOKUP($A284,'Mutasi Neraca'!$A$3:$S$910,4,FALSE))</f>
        <v>2292702316</v>
      </c>
      <c r="F284" s="42">
        <f>VLOOKUP($A284,'Neraca Unaudited SIMAK'!$A$2:$R$1272,5,FALSE)+IF(ISNA(VLOOKUP($A284,'Mutasi Neraca'!$A$3:$S$910,5,FALSE)),0,VLOOKUP($A284,'Mutasi Neraca'!$A$3:$S$910,5,FALSE))</f>
        <v>1863380028</v>
      </c>
      <c r="G284" s="42">
        <f>VLOOKUP($A284,'Neraca Unaudited SIMAK'!$A$2:$R$1272,6,FALSE)+IF(ISNA(VLOOKUP($A284,'Mutasi Neraca'!$A$3:$S$910,6,FALSE)),0,VLOOKUP($A284,'Mutasi Neraca'!$A$3:$S$910,6,FALSE))</f>
        <v>6965509522</v>
      </c>
      <c r="H284" s="42">
        <f>VLOOKUP($A284,'Neraca Unaudited SIMAK'!$A$2:$R$1272,7,FALSE)+IF(ISNA(VLOOKUP($A284,'Mutasi Neraca'!$A$3:$S$910,7,FALSE)),0,VLOOKUP($A284,'Mutasi Neraca'!$A$3:$S$910,7,FALSE))</f>
        <v>0</v>
      </c>
      <c r="I284" s="42">
        <f>VLOOKUP($A284,'Neraca Unaudited SIMAK'!$A$2:$R$1272,8,FALSE)+IF(ISNA(VLOOKUP($A284,'Mutasi Neraca'!$A$3:$S$910,8,FALSE)),0,VLOOKUP($A284,'Mutasi Neraca'!$A$3:$S$910,8,FALSE))</f>
        <v>73726145</v>
      </c>
      <c r="J284" s="42">
        <f>VLOOKUP($A284,'Neraca Unaudited SIMAK'!$A$2:$R$1272,9,FALSE)+IF(ISNA(VLOOKUP($A284,'Mutasi Neraca'!$A$3:$S$910,9,FALSE)),0,VLOOKUP($A284,'Mutasi Neraca'!$A$3:$S$910,9,FALSE))</f>
        <v>0</v>
      </c>
      <c r="K284" s="42">
        <f>VLOOKUP($A284,'Neraca Unaudited SIMAK'!$A$2:$R$1272,10,FALSE)+IF(ISNA(VLOOKUP($A284,'Mutasi Neraca'!$A$3:$S$910,10,FALSE)),0,VLOOKUP($A284,'Mutasi Neraca'!$A$3:$S$910,10,FALSE))</f>
        <v>0</v>
      </c>
      <c r="L284" s="42">
        <f>VLOOKUP($A284,'Neraca Unaudited SIMAK'!$A$2:$R$1272,11,FALSE)+IF(ISNA(VLOOKUP($A284,'Mutasi Neraca'!$A$3:$S$910,11,FALSE)),0,VLOOKUP($A284,'Mutasi Neraca'!$A$3:$S$910,11,FALSE))</f>
        <v>0</v>
      </c>
      <c r="M284" s="42">
        <f>VLOOKUP($A284,'Neraca Unaudited SIMAK'!$A$2:$R$1272,12,FALSE)+IF(ISNA(VLOOKUP($A284,'Mutasi Neraca'!$A$3:$S$910,12,FALSE)),0,VLOOKUP($A284,'Mutasi Neraca'!$A$3:$S$910,12,FALSE))</f>
        <v>11195889011</v>
      </c>
      <c r="N284" s="42">
        <f>VLOOKUP($A284,'Neraca Unaudited SIMAK'!$A$2:$R$1272,13,FALSE)+IF(ISNA(VLOOKUP($A284,'Mutasi Neraca'!$A$3:$S$910,13,FALSE)),0,VLOOKUP($A284,'Mutasi Neraca'!$A$3:$S$910,13,FALSE))</f>
        <v>-1295441185</v>
      </c>
      <c r="O284" s="42">
        <f>VLOOKUP($A284,'Neraca Unaudited SIMAK'!$A$2:$R$1272,14,FALSE)+IF(ISNA(VLOOKUP($A284,'Mutasi Neraca'!$A$3:$S$910,14,FALSE)),0,VLOOKUP($A284,'Mutasi Neraca'!$A$3:$S$910,14,FALSE))</f>
        <v>-1680556058</v>
      </c>
      <c r="P284" s="42">
        <f>VLOOKUP($A284,'Neraca Unaudited SIMAK'!$A$2:$R$1272,15,FALSE)+IF(ISNA(VLOOKUP($A284,'Mutasi Neraca'!$A$3:$S$910,15,FALSE)),0,VLOOKUP($A284,'Mutasi Neraca'!$A$3:$S$910,15,FALSE))</f>
        <v>0</v>
      </c>
      <c r="Q284" s="42">
        <f>VLOOKUP($A284,'Neraca Unaudited SIMAK'!$A$2:$R$1272,16,FALSE)+IF(ISNA(VLOOKUP($A284,'Mutasi Neraca'!$A$3:$S$910,16,FALSE)),0,VLOOKUP($A284,'Mutasi Neraca'!$A$3:$S$910,16,FALSE))</f>
        <v>0</v>
      </c>
      <c r="R284" s="42">
        <f>VLOOKUP($A284,'Neraca Unaudited SIMAK'!$A$2:$R$1272,17,FALSE)+IF(ISNA(VLOOKUP($A284,'Mutasi Neraca'!$A$3:$S$910,17,FALSE)),0,VLOOKUP($A284,'Mutasi Neraca'!$A$3:$S$910,17,FALSE))</f>
        <v>0</v>
      </c>
      <c r="S284" s="42">
        <f t="shared" si="51"/>
        <v>8219891768</v>
      </c>
    </row>
    <row r="285" spans="1:19">
      <c r="A285" s="41" t="s">
        <v>292</v>
      </c>
      <c r="B285" s="41" t="str">
        <f t="shared" si="50"/>
        <v>005010700</v>
      </c>
      <c r="D285" s="42">
        <f>VLOOKUP($A285,'Neraca Unaudited SIMAK'!$A$2:$R$1272,3,FALSE)+IF(ISNA(VLOOKUP($A285,'Mutasi Neraca'!$A$3:$S$910,3,FALSE)),0,VLOOKUP($A285,'Mutasi Neraca'!$A$3:$S$910,3,FALSE))</f>
        <v>2356825</v>
      </c>
      <c r="E285" s="42">
        <f>VLOOKUP($A285,'Neraca Unaudited SIMAK'!$A$2:$R$1272,4,FALSE)+IF(ISNA(VLOOKUP($A285,'Mutasi Neraca'!$A$3:$S$910,4,FALSE)),0,VLOOKUP($A285,'Mutasi Neraca'!$A$3:$S$910,4,FALSE))</f>
        <v>5096820000</v>
      </c>
      <c r="F285" s="42">
        <f>VLOOKUP($A285,'Neraca Unaudited SIMAK'!$A$2:$R$1272,5,FALSE)+IF(ISNA(VLOOKUP($A285,'Mutasi Neraca'!$A$3:$S$910,5,FALSE)),0,VLOOKUP($A285,'Mutasi Neraca'!$A$3:$S$910,5,FALSE))</f>
        <v>1443054384</v>
      </c>
      <c r="G285" s="42">
        <f>VLOOKUP($A285,'Neraca Unaudited SIMAK'!$A$2:$R$1272,6,FALSE)+IF(ISNA(VLOOKUP($A285,'Mutasi Neraca'!$A$3:$S$910,6,FALSE)),0,VLOOKUP($A285,'Mutasi Neraca'!$A$3:$S$910,6,FALSE))</f>
        <v>2886402799</v>
      </c>
      <c r="H285" s="42">
        <f>VLOOKUP($A285,'Neraca Unaudited SIMAK'!$A$2:$R$1272,7,FALSE)+IF(ISNA(VLOOKUP($A285,'Mutasi Neraca'!$A$3:$S$910,7,FALSE)),0,VLOOKUP($A285,'Mutasi Neraca'!$A$3:$S$910,7,FALSE))</f>
        <v>60960000</v>
      </c>
      <c r="I285" s="42">
        <f>VLOOKUP($A285,'Neraca Unaudited SIMAK'!$A$2:$R$1272,8,FALSE)+IF(ISNA(VLOOKUP($A285,'Mutasi Neraca'!$A$3:$S$910,8,FALSE)),0,VLOOKUP($A285,'Mutasi Neraca'!$A$3:$S$910,8,FALSE))</f>
        <v>57323440</v>
      </c>
      <c r="J285" s="42">
        <f>VLOOKUP($A285,'Neraca Unaudited SIMAK'!$A$2:$R$1272,9,FALSE)+IF(ISNA(VLOOKUP($A285,'Mutasi Neraca'!$A$3:$S$910,9,FALSE)),0,VLOOKUP($A285,'Mutasi Neraca'!$A$3:$S$910,9,FALSE))</f>
        <v>0</v>
      </c>
      <c r="K285" s="42">
        <f>VLOOKUP($A285,'Neraca Unaudited SIMAK'!$A$2:$R$1272,10,FALSE)+IF(ISNA(VLOOKUP($A285,'Mutasi Neraca'!$A$3:$S$910,10,FALSE)),0,VLOOKUP($A285,'Mutasi Neraca'!$A$3:$S$910,10,FALSE))</f>
        <v>76829590</v>
      </c>
      <c r="L285" s="42">
        <f>VLOOKUP($A285,'Neraca Unaudited SIMAK'!$A$2:$R$1272,11,FALSE)+IF(ISNA(VLOOKUP($A285,'Mutasi Neraca'!$A$3:$S$910,11,FALSE)),0,VLOOKUP($A285,'Mutasi Neraca'!$A$3:$S$910,11,FALSE))</f>
        <v>0</v>
      </c>
      <c r="M285" s="42">
        <f>VLOOKUP($A285,'Neraca Unaudited SIMAK'!$A$2:$R$1272,12,FALSE)+IF(ISNA(VLOOKUP($A285,'Mutasi Neraca'!$A$3:$S$910,12,FALSE)),0,VLOOKUP($A285,'Mutasi Neraca'!$A$3:$S$910,12,FALSE))</f>
        <v>9623747038</v>
      </c>
      <c r="N285" s="42">
        <f>VLOOKUP($A285,'Neraca Unaudited SIMAK'!$A$2:$R$1272,13,FALSE)+IF(ISNA(VLOOKUP($A285,'Mutasi Neraca'!$A$3:$S$910,13,FALSE)),0,VLOOKUP($A285,'Mutasi Neraca'!$A$3:$S$910,13,FALSE))</f>
        <v>-1184176016</v>
      </c>
      <c r="O285" s="42">
        <f>VLOOKUP($A285,'Neraca Unaudited SIMAK'!$A$2:$R$1272,14,FALSE)+IF(ISNA(VLOOKUP($A285,'Mutasi Neraca'!$A$3:$S$910,14,FALSE)),0,VLOOKUP($A285,'Mutasi Neraca'!$A$3:$S$910,14,FALSE))</f>
        <v>-1243069412</v>
      </c>
      <c r="P285" s="42">
        <f>VLOOKUP($A285,'Neraca Unaudited SIMAK'!$A$2:$R$1272,15,FALSE)+IF(ISNA(VLOOKUP($A285,'Mutasi Neraca'!$A$3:$S$910,15,FALSE)),0,VLOOKUP($A285,'Mutasi Neraca'!$A$3:$S$910,15,FALSE))</f>
        <v>-5334000</v>
      </c>
      <c r="Q285" s="42">
        <f>VLOOKUP($A285,'Neraca Unaudited SIMAK'!$A$2:$R$1272,16,FALSE)+IF(ISNA(VLOOKUP($A285,'Mutasi Neraca'!$A$3:$S$910,16,FALSE)),0,VLOOKUP($A285,'Mutasi Neraca'!$A$3:$S$910,16,FALSE))</f>
        <v>0</v>
      </c>
      <c r="R285" s="42">
        <f>VLOOKUP($A285,'Neraca Unaudited SIMAK'!$A$2:$R$1272,17,FALSE)+IF(ISNA(VLOOKUP($A285,'Mutasi Neraca'!$A$3:$S$910,17,FALSE)),0,VLOOKUP($A285,'Mutasi Neraca'!$A$3:$S$910,17,FALSE))</f>
        <v>0</v>
      </c>
      <c r="S285" s="42">
        <f t="shared" si="51"/>
        <v>7191167610</v>
      </c>
    </row>
    <row r="286" spans="1:19">
      <c r="A286" s="41" t="s">
        <v>293</v>
      </c>
      <c r="B286" s="41" t="str">
        <f t="shared" si="50"/>
        <v>005010700</v>
      </c>
      <c r="D286" s="42">
        <f>VLOOKUP($A286,'Neraca Unaudited SIMAK'!$A$2:$R$1272,3,FALSE)+IF(ISNA(VLOOKUP($A286,'Mutasi Neraca'!$A$3:$S$910,3,FALSE)),0,VLOOKUP($A286,'Mutasi Neraca'!$A$3:$S$910,3,FALSE))</f>
        <v>2313450</v>
      </c>
      <c r="E286" s="42">
        <f>VLOOKUP($A286,'Neraca Unaudited SIMAK'!$A$2:$R$1272,4,FALSE)+IF(ISNA(VLOOKUP($A286,'Mutasi Neraca'!$A$3:$S$910,4,FALSE)),0,VLOOKUP($A286,'Mutasi Neraca'!$A$3:$S$910,4,FALSE))</f>
        <v>4935248100</v>
      </c>
      <c r="F286" s="42">
        <f>VLOOKUP($A286,'Neraca Unaudited SIMAK'!$A$2:$R$1272,5,FALSE)+IF(ISNA(VLOOKUP($A286,'Mutasi Neraca'!$A$3:$S$910,5,FALSE)),0,VLOOKUP($A286,'Mutasi Neraca'!$A$3:$S$910,5,FALSE))</f>
        <v>1447070898</v>
      </c>
      <c r="G286" s="42">
        <f>VLOOKUP($A286,'Neraca Unaudited SIMAK'!$A$2:$R$1272,6,FALSE)+IF(ISNA(VLOOKUP($A286,'Mutasi Neraca'!$A$3:$S$910,6,FALSE)),0,VLOOKUP($A286,'Mutasi Neraca'!$A$3:$S$910,6,FALSE))</f>
        <v>1406801500</v>
      </c>
      <c r="H286" s="42">
        <f>VLOOKUP($A286,'Neraca Unaudited SIMAK'!$A$2:$R$1272,7,FALSE)+IF(ISNA(VLOOKUP($A286,'Mutasi Neraca'!$A$3:$S$910,7,FALSE)),0,VLOOKUP($A286,'Mutasi Neraca'!$A$3:$S$910,7,FALSE))</f>
        <v>214265530</v>
      </c>
      <c r="I286" s="42">
        <f>VLOOKUP($A286,'Neraca Unaudited SIMAK'!$A$2:$R$1272,8,FALSE)+IF(ISNA(VLOOKUP($A286,'Mutasi Neraca'!$A$3:$S$910,8,FALSE)),0,VLOOKUP($A286,'Mutasi Neraca'!$A$3:$S$910,8,FALSE))</f>
        <v>49694040</v>
      </c>
      <c r="J286" s="42">
        <f>VLOOKUP($A286,'Neraca Unaudited SIMAK'!$A$2:$R$1272,9,FALSE)+IF(ISNA(VLOOKUP($A286,'Mutasi Neraca'!$A$3:$S$910,9,FALSE)),0,VLOOKUP($A286,'Mutasi Neraca'!$A$3:$S$910,9,FALSE))</f>
        <v>0</v>
      </c>
      <c r="K286" s="42">
        <f>VLOOKUP($A286,'Neraca Unaudited SIMAK'!$A$2:$R$1272,10,FALSE)+IF(ISNA(VLOOKUP($A286,'Mutasi Neraca'!$A$3:$S$910,10,FALSE)),0,VLOOKUP($A286,'Mutasi Neraca'!$A$3:$S$910,10,FALSE))</f>
        <v>0</v>
      </c>
      <c r="L286" s="42">
        <f>VLOOKUP($A286,'Neraca Unaudited SIMAK'!$A$2:$R$1272,11,FALSE)+IF(ISNA(VLOOKUP($A286,'Mutasi Neraca'!$A$3:$S$910,11,FALSE)),0,VLOOKUP($A286,'Mutasi Neraca'!$A$3:$S$910,11,FALSE))</f>
        <v>161737590</v>
      </c>
      <c r="M286" s="42">
        <f>VLOOKUP($A286,'Neraca Unaudited SIMAK'!$A$2:$R$1272,12,FALSE)+IF(ISNA(VLOOKUP($A286,'Mutasi Neraca'!$A$3:$S$910,12,FALSE)),0,VLOOKUP($A286,'Mutasi Neraca'!$A$3:$S$910,12,FALSE))</f>
        <v>8217131108</v>
      </c>
      <c r="N286" s="42">
        <f>VLOOKUP($A286,'Neraca Unaudited SIMAK'!$A$2:$R$1272,13,FALSE)+IF(ISNA(VLOOKUP($A286,'Mutasi Neraca'!$A$3:$S$910,13,FALSE)),0,VLOOKUP($A286,'Mutasi Neraca'!$A$3:$S$910,13,FALSE))</f>
        <v>-1045119728</v>
      </c>
      <c r="O286" s="42">
        <f>VLOOKUP($A286,'Neraca Unaudited SIMAK'!$A$2:$R$1272,14,FALSE)+IF(ISNA(VLOOKUP($A286,'Mutasi Neraca'!$A$3:$S$910,14,FALSE)),0,VLOOKUP($A286,'Mutasi Neraca'!$A$3:$S$910,14,FALSE))</f>
        <v>-934511153</v>
      </c>
      <c r="P286" s="42">
        <f>VLOOKUP($A286,'Neraca Unaudited SIMAK'!$A$2:$R$1272,15,FALSE)+IF(ISNA(VLOOKUP($A286,'Mutasi Neraca'!$A$3:$S$910,15,FALSE)),0,VLOOKUP($A286,'Mutasi Neraca'!$A$3:$S$910,15,FALSE))</f>
        <v>-62729907</v>
      </c>
      <c r="Q286" s="42">
        <f>VLOOKUP($A286,'Neraca Unaudited SIMAK'!$A$2:$R$1272,16,FALSE)+IF(ISNA(VLOOKUP($A286,'Mutasi Neraca'!$A$3:$S$910,16,FALSE)),0,VLOOKUP($A286,'Mutasi Neraca'!$A$3:$S$910,16,FALSE))</f>
        <v>0</v>
      </c>
      <c r="R286" s="42">
        <f>VLOOKUP($A286,'Neraca Unaudited SIMAK'!$A$2:$R$1272,17,FALSE)+IF(ISNA(VLOOKUP($A286,'Mutasi Neraca'!$A$3:$S$910,17,FALSE)),0,VLOOKUP($A286,'Mutasi Neraca'!$A$3:$S$910,17,FALSE))</f>
        <v>-142993590</v>
      </c>
      <c r="S286" s="42">
        <f t="shared" si="51"/>
        <v>6031776730</v>
      </c>
    </row>
    <row r="287" spans="1:19">
      <c r="A287" s="41" t="s">
        <v>294</v>
      </c>
      <c r="B287" s="41" t="str">
        <f t="shared" si="50"/>
        <v>005010700</v>
      </c>
      <c r="D287" s="42">
        <f>VLOOKUP($A287,'Neraca Unaudited SIMAK'!$A$2:$R$1272,3,FALSE)+IF(ISNA(VLOOKUP($A287,'Mutasi Neraca'!$A$3:$S$910,3,FALSE)),0,VLOOKUP($A287,'Mutasi Neraca'!$A$3:$S$910,3,FALSE))</f>
        <v>184000</v>
      </c>
      <c r="E287" s="42">
        <f>VLOOKUP($A287,'Neraca Unaudited SIMAK'!$A$2:$R$1272,4,FALSE)+IF(ISNA(VLOOKUP($A287,'Mutasi Neraca'!$A$3:$S$910,4,FALSE)),0,VLOOKUP($A287,'Mutasi Neraca'!$A$3:$S$910,4,FALSE))</f>
        <v>4905689000</v>
      </c>
      <c r="F287" s="42">
        <f>VLOOKUP($A287,'Neraca Unaudited SIMAK'!$A$2:$R$1272,5,FALSE)+IF(ISNA(VLOOKUP($A287,'Mutasi Neraca'!$A$3:$S$910,5,FALSE)),0,VLOOKUP($A287,'Mutasi Neraca'!$A$3:$S$910,5,FALSE))</f>
        <v>1190373403</v>
      </c>
      <c r="G287" s="42">
        <f>VLOOKUP($A287,'Neraca Unaudited SIMAK'!$A$2:$R$1272,6,FALSE)+IF(ISNA(VLOOKUP($A287,'Mutasi Neraca'!$A$3:$S$910,6,FALSE)),0,VLOOKUP($A287,'Mutasi Neraca'!$A$3:$S$910,6,FALSE))</f>
        <v>3892566900</v>
      </c>
      <c r="H287" s="42">
        <f>VLOOKUP($A287,'Neraca Unaudited SIMAK'!$A$2:$R$1272,7,FALSE)+IF(ISNA(VLOOKUP($A287,'Mutasi Neraca'!$A$3:$S$910,7,FALSE)),0,VLOOKUP($A287,'Mutasi Neraca'!$A$3:$S$910,7,FALSE))</f>
        <v>137000000</v>
      </c>
      <c r="I287" s="42">
        <f>VLOOKUP($A287,'Neraca Unaudited SIMAK'!$A$2:$R$1272,8,FALSE)+IF(ISNA(VLOOKUP($A287,'Mutasi Neraca'!$A$3:$S$910,8,FALSE)),0,VLOOKUP($A287,'Mutasi Neraca'!$A$3:$S$910,8,FALSE))</f>
        <v>3190440</v>
      </c>
      <c r="J287" s="42">
        <f>VLOOKUP($A287,'Neraca Unaudited SIMAK'!$A$2:$R$1272,9,FALSE)+IF(ISNA(VLOOKUP($A287,'Mutasi Neraca'!$A$3:$S$910,9,FALSE)),0,VLOOKUP($A287,'Mutasi Neraca'!$A$3:$S$910,9,FALSE))</f>
        <v>0</v>
      </c>
      <c r="K287" s="42">
        <f>VLOOKUP($A287,'Neraca Unaudited SIMAK'!$A$2:$R$1272,10,FALSE)+IF(ISNA(VLOOKUP($A287,'Mutasi Neraca'!$A$3:$S$910,10,FALSE)),0,VLOOKUP($A287,'Mutasi Neraca'!$A$3:$S$910,10,FALSE))</f>
        <v>0</v>
      </c>
      <c r="L287" s="42">
        <f>VLOOKUP($A287,'Neraca Unaudited SIMAK'!$A$2:$R$1272,11,FALSE)+IF(ISNA(VLOOKUP($A287,'Mutasi Neraca'!$A$3:$S$910,11,FALSE)),0,VLOOKUP($A287,'Mutasi Neraca'!$A$3:$S$910,11,FALSE))</f>
        <v>0</v>
      </c>
      <c r="M287" s="42">
        <f>VLOOKUP($A287,'Neraca Unaudited SIMAK'!$A$2:$R$1272,12,FALSE)+IF(ISNA(VLOOKUP($A287,'Mutasi Neraca'!$A$3:$S$910,12,FALSE)),0,VLOOKUP($A287,'Mutasi Neraca'!$A$3:$S$910,12,FALSE))</f>
        <v>10129003743</v>
      </c>
      <c r="N287" s="42">
        <f>VLOOKUP($A287,'Neraca Unaudited SIMAK'!$A$2:$R$1272,13,FALSE)+IF(ISNA(VLOOKUP($A287,'Mutasi Neraca'!$A$3:$S$910,13,FALSE)),0,VLOOKUP($A287,'Mutasi Neraca'!$A$3:$S$910,13,FALSE))</f>
        <v>-1134822972</v>
      </c>
      <c r="O287" s="42">
        <f>VLOOKUP($A287,'Neraca Unaudited SIMAK'!$A$2:$R$1272,14,FALSE)+IF(ISNA(VLOOKUP($A287,'Mutasi Neraca'!$A$3:$S$910,14,FALSE)),0,VLOOKUP($A287,'Mutasi Neraca'!$A$3:$S$910,14,FALSE))</f>
        <v>-465522873</v>
      </c>
      <c r="P287" s="42">
        <f>VLOOKUP($A287,'Neraca Unaudited SIMAK'!$A$2:$R$1272,15,FALSE)+IF(ISNA(VLOOKUP($A287,'Mutasi Neraca'!$A$3:$S$910,15,FALSE)),0,VLOOKUP($A287,'Mutasi Neraca'!$A$3:$S$910,15,FALSE))</f>
        <v>-42190000</v>
      </c>
      <c r="Q287" s="42">
        <f>VLOOKUP($A287,'Neraca Unaudited SIMAK'!$A$2:$R$1272,16,FALSE)+IF(ISNA(VLOOKUP($A287,'Mutasi Neraca'!$A$3:$S$910,16,FALSE)),0,VLOOKUP($A287,'Mutasi Neraca'!$A$3:$S$910,16,FALSE))</f>
        <v>0</v>
      </c>
      <c r="R287" s="42">
        <f>VLOOKUP($A287,'Neraca Unaudited SIMAK'!$A$2:$R$1272,17,FALSE)+IF(ISNA(VLOOKUP($A287,'Mutasi Neraca'!$A$3:$S$910,17,FALSE)),0,VLOOKUP($A287,'Mutasi Neraca'!$A$3:$S$910,17,FALSE))</f>
        <v>0</v>
      </c>
      <c r="S287" s="42">
        <f t="shared" si="51"/>
        <v>8486467898</v>
      </c>
    </row>
    <row r="288" spans="1:19">
      <c r="A288" s="41" t="s">
        <v>295</v>
      </c>
      <c r="B288" s="41" t="str">
        <f t="shared" si="50"/>
        <v>005010700</v>
      </c>
      <c r="D288" s="42">
        <f>VLOOKUP($A288,'Neraca Unaudited SIMAK'!$A$2:$R$1272,3,FALSE)+IF(ISNA(VLOOKUP($A288,'Mutasi Neraca'!$A$3:$S$910,3,FALSE)),0,VLOOKUP($A288,'Mutasi Neraca'!$A$3:$S$910,3,FALSE))</f>
        <v>1855750</v>
      </c>
      <c r="E288" s="42">
        <f>VLOOKUP($A288,'Neraca Unaudited SIMAK'!$A$2:$R$1272,4,FALSE)+IF(ISNA(VLOOKUP($A288,'Mutasi Neraca'!$A$3:$S$910,4,FALSE)),0,VLOOKUP($A288,'Mutasi Neraca'!$A$3:$S$910,4,FALSE))</f>
        <v>10049352000</v>
      </c>
      <c r="F288" s="42">
        <f>VLOOKUP($A288,'Neraca Unaudited SIMAK'!$A$2:$R$1272,5,FALSE)+IF(ISNA(VLOOKUP($A288,'Mutasi Neraca'!$A$3:$S$910,5,FALSE)),0,VLOOKUP($A288,'Mutasi Neraca'!$A$3:$S$910,5,FALSE))</f>
        <v>1007549000</v>
      </c>
      <c r="G288" s="42">
        <f>VLOOKUP($A288,'Neraca Unaudited SIMAK'!$A$2:$R$1272,6,FALSE)+IF(ISNA(VLOOKUP($A288,'Mutasi Neraca'!$A$3:$S$910,6,FALSE)),0,VLOOKUP($A288,'Mutasi Neraca'!$A$3:$S$910,6,FALSE))</f>
        <v>3651808450</v>
      </c>
      <c r="H288" s="42">
        <f>VLOOKUP($A288,'Neraca Unaudited SIMAK'!$A$2:$R$1272,7,FALSE)+IF(ISNA(VLOOKUP($A288,'Mutasi Neraca'!$A$3:$S$910,7,FALSE)),0,VLOOKUP($A288,'Mutasi Neraca'!$A$3:$S$910,7,FALSE))</f>
        <v>143220000</v>
      </c>
      <c r="I288" s="42">
        <f>VLOOKUP($A288,'Neraca Unaudited SIMAK'!$A$2:$R$1272,8,FALSE)+IF(ISNA(VLOOKUP($A288,'Mutasi Neraca'!$A$3:$S$910,8,FALSE)),0,VLOOKUP($A288,'Mutasi Neraca'!$A$3:$S$910,8,FALSE))</f>
        <v>1943440</v>
      </c>
      <c r="J288" s="42">
        <f>VLOOKUP($A288,'Neraca Unaudited SIMAK'!$A$2:$R$1272,9,FALSE)+IF(ISNA(VLOOKUP($A288,'Mutasi Neraca'!$A$3:$S$910,9,FALSE)),0,VLOOKUP($A288,'Mutasi Neraca'!$A$3:$S$910,9,FALSE))</f>
        <v>0</v>
      </c>
      <c r="K288" s="42">
        <f>VLOOKUP($A288,'Neraca Unaudited SIMAK'!$A$2:$R$1272,10,FALSE)+IF(ISNA(VLOOKUP($A288,'Mutasi Neraca'!$A$3:$S$910,10,FALSE)),0,VLOOKUP($A288,'Mutasi Neraca'!$A$3:$S$910,10,FALSE))</f>
        <v>0</v>
      </c>
      <c r="L288" s="42">
        <f>VLOOKUP($A288,'Neraca Unaudited SIMAK'!$A$2:$R$1272,11,FALSE)+IF(ISNA(VLOOKUP($A288,'Mutasi Neraca'!$A$3:$S$910,11,FALSE)),0,VLOOKUP($A288,'Mutasi Neraca'!$A$3:$S$910,11,FALSE))</f>
        <v>22502900</v>
      </c>
      <c r="M288" s="42">
        <f>VLOOKUP($A288,'Neraca Unaudited SIMAK'!$A$2:$R$1272,12,FALSE)+IF(ISNA(VLOOKUP($A288,'Mutasi Neraca'!$A$3:$S$910,12,FALSE)),0,VLOOKUP($A288,'Mutasi Neraca'!$A$3:$S$910,12,FALSE))</f>
        <v>14878231540</v>
      </c>
      <c r="N288" s="42">
        <f>VLOOKUP($A288,'Neraca Unaudited SIMAK'!$A$2:$R$1272,13,FALSE)+IF(ISNA(VLOOKUP($A288,'Mutasi Neraca'!$A$3:$S$910,13,FALSE)),0,VLOOKUP($A288,'Mutasi Neraca'!$A$3:$S$910,13,FALSE))</f>
        <v>-866410516</v>
      </c>
      <c r="O288" s="42">
        <f>VLOOKUP($A288,'Neraca Unaudited SIMAK'!$A$2:$R$1272,14,FALSE)+IF(ISNA(VLOOKUP($A288,'Mutasi Neraca'!$A$3:$S$910,14,FALSE)),0,VLOOKUP($A288,'Mutasi Neraca'!$A$3:$S$910,14,FALSE))</f>
        <v>-2994461890</v>
      </c>
      <c r="P288" s="42">
        <f>VLOOKUP($A288,'Neraca Unaudited SIMAK'!$A$2:$R$1272,15,FALSE)+IF(ISNA(VLOOKUP($A288,'Mutasi Neraca'!$A$3:$S$910,15,FALSE)),0,VLOOKUP($A288,'Mutasi Neraca'!$A$3:$S$910,15,FALSE))</f>
        <v>-22313500</v>
      </c>
      <c r="Q288" s="42">
        <f>VLOOKUP($A288,'Neraca Unaudited SIMAK'!$A$2:$R$1272,16,FALSE)+IF(ISNA(VLOOKUP($A288,'Mutasi Neraca'!$A$3:$S$910,16,FALSE)),0,VLOOKUP($A288,'Mutasi Neraca'!$A$3:$S$910,16,FALSE))</f>
        <v>0</v>
      </c>
      <c r="R288" s="42">
        <f>VLOOKUP($A288,'Neraca Unaudited SIMAK'!$A$2:$R$1272,17,FALSE)+IF(ISNA(VLOOKUP($A288,'Mutasi Neraca'!$A$3:$S$910,17,FALSE)),0,VLOOKUP($A288,'Mutasi Neraca'!$A$3:$S$910,17,FALSE))</f>
        <v>-22502900</v>
      </c>
      <c r="S288" s="42">
        <f t="shared" si="51"/>
        <v>10972542734</v>
      </c>
    </row>
    <row r="289" spans="1:19">
      <c r="A289" s="41" t="s">
        <v>296</v>
      </c>
      <c r="B289" s="41" t="str">
        <f t="shared" si="50"/>
        <v>005010700</v>
      </c>
      <c r="D289" s="42">
        <f>VLOOKUP($A289,'Neraca Unaudited SIMAK'!$A$2:$R$1272,3,FALSE)+IF(ISNA(VLOOKUP($A289,'Mutasi Neraca'!$A$3:$S$910,3,FALSE)),0,VLOOKUP($A289,'Mutasi Neraca'!$A$3:$S$910,3,FALSE))</f>
        <v>2800000</v>
      </c>
      <c r="E289" s="42">
        <f>VLOOKUP($A289,'Neraca Unaudited SIMAK'!$A$2:$R$1272,4,FALSE)+IF(ISNA(VLOOKUP($A289,'Mutasi Neraca'!$A$3:$S$910,4,FALSE)),0,VLOOKUP($A289,'Mutasi Neraca'!$A$3:$S$910,4,FALSE))</f>
        <v>4725460000</v>
      </c>
      <c r="F289" s="42">
        <f>VLOOKUP($A289,'Neraca Unaudited SIMAK'!$A$2:$R$1272,5,FALSE)+IF(ISNA(VLOOKUP($A289,'Mutasi Neraca'!$A$3:$S$910,5,FALSE)),0,VLOOKUP($A289,'Mutasi Neraca'!$A$3:$S$910,5,FALSE))</f>
        <v>1632728664</v>
      </c>
      <c r="G289" s="42">
        <f>VLOOKUP($A289,'Neraca Unaudited SIMAK'!$A$2:$R$1272,6,FALSE)+IF(ISNA(VLOOKUP($A289,'Mutasi Neraca'!$A$3:$S$910,6,FALSE)),0,VLOOKUP($A289,'Mutasi Neraca'!$A$3:$S$910,6,FALSE))</f>
        <v>11961511320</v>
      </c>
      <c r="H289" s="42">
        <f>VLOOKUP($A289,'Neraca Unaudited SIMAK'!$A$2:$R$1272,7,FALSE)+IF(ISNA(VLOOKUP($A289,'Mutasi Neraca'!$A$3:$S$910,7,FALSE)),0,VLOOKUP($A289,'Mutasi Neraca'!$A$3:$S$910,7,FALSE))</f>
        <v>0</v>
      </c>
      <c r="I289" s="42">
        <f>VLOOKUP($A289,'Neraca Unaudited SIMAK'!$A$2:$R$1272,8,FALSE)+IF(ISNA(VLOOKUP($A289,'Mutasi Neraca'!$A$3:$S$910,8,FALSE)),0,VLOOKUP($A289,'Mutasi Neraca'!$A$3:$S$910,8,FALSE))</f>
        <v>152521610</v>
      </c>
      <c r="J289" s="42">
        <f>VLOOKUP($A289,'Neraca Unaudited SIMAK'!$A$2:$R$1272,9,FALSE)+IF(ISNA(VLOOKUP($A289,'Mutasi Neraca'!$A$3:$S$910,9,FALSE)),0,VLOOKUP($A289,'Mutasi Neraca'!$A$3:$S$910,9,FALSE))</f>
        <v>0</v>
      </c>
      <c r="K289" s="42">
        <f>VLOOKUP($A289,'Neraca Unaudited SIMAK'!$A$2:$R$1272,10,FALSE)+IF(ISNA(VLOOKUP($A289,'Mutasi Neraca'!$A$3:$S$910,10,FALSE)),0,VLOOKUP($A289,'Mutasi Neraca'!$A$3:$S$910,10,FALSE))</f>
        <v>38500000</v>
      </c>
      <c r="L289" s="42">
        <f>VLOOKUP($A289,'Neraca Unaudited SIMAK'!$A$2:$R$1272,11,FALSE)+IF(ISNA(VLOOKUP($A289,'Mutasi Neraca'!$A$3:$S$910,11,FALSE)),0,VLOOKUP($A289,'Mutasi Neraca'!$A$3:$S$910,11,FALSE))</f>
        <v>0</v>
      </c>
      <c r="M289" s="42">
        <f>VLOOKUP($A289,'Neraca Unaudited SIMAK'!$A$2:$R$1272,12,FALSE)+IF(ISNA(VLOOKUP($A289,'Mutasi Neraca'!$A$3:$S$910,12,FALSE)),0,VLOOKUP($A289,'Mutasi Neraca'!$A$3:$S$910,12,FALSE))</f>
        <v>18513521594</v>
      </c>
      <c r="N289" s="42">
        <f>VLOOKUP($A289,'Neraca Unaudited SIMAK'!$A$2:$R$1272,13,FALSE)+IF(ISNA(VLOOKUP($A289,'Mutasi Neraca'!$A$3:$S$910,13,FALSE)),0,VLOOKUP($A289,'Mutasi Neraca'!$A$3:$S$910,13,FALSE))</f>
        <v>-1415393237</v>
      </c>
      <c r="O289" s="42">
        <f>VLOOKUP($A289,'Neraca Unaudited SIMAK'!$A$2:$R$1272,14,FALSE)+IF(ISNA(VLOOKUP($A289,'Mutasi Neraca'!$A$3:$S$910,14,FALSE)),0,VLOOKUP($A289,'Mutasi Neraca'!$A$3:$S$910,14,FALSE))</f>
        <v>-1604497939</v>
      </c>
      <c r="P289" s="42">
        <f>VLOOKUP($A289,'Neraca Unaudited SIMAK'!$A$2:$R$1272,15,FALSE)+IF(ISNA(VLOOKUP($A289,'Mutasi Neraca'!$A$3:$S$910,15,FALSE)),0,VLOOKUP($A289,'Mutasi Neraca'!$A$3:$S$910,15,FALSE))</f>
        <v>0</v>
      </c>
      <c r="Q289" s="42">
        <f>VLOOKUP($A289,'Neraca Unaudited SIMAK'!$A$2:$R$1272,16,FALSE)+IF(ISNA(VLOOKUP($A289,'Mutasi Neraca'!$A$3:$S$910,16,FALSE)),0,VLOOKUP($A289,'Mutasi Neraca'!$A$3:$S$910,16,FALSE))</f>
        <v>0</v>
      </c>
      <c r="R289" s="42">
        <f>VLOOKUP($A289,'Neraca Unaudited SIMAK'!$A$2:$R$1272,17,FALSE)+IF(ISNA(VLOOKUP($A289,'Mutasi Neraca'!$A$3:$S$910,17,FALSE)),0,VLOOKUP($A289,'Mutasi Neraca'!$A$3:$S$910,17,FALSE))</f>
        <v>0</v>
      </c>
      <c r="S289" s="42">
        <f t="shared" si="51"/>
        <v>15493630418</v>
      </c>
    </row>
    <row r="290" spans="1:19">
      <c r="A290" s="41" t="s">
        <v>297</v>
      </c>
      <c r="B290" s="41" t="str">
        <f t="shared" si="50"/>
        <v>005010700</v>
      </c>
      <c r="D290" s="42">
        <f>VLOOKUP($A290,'Neraca Unaudited SIMAK'!$A$2:$R$1272,3,FALSE)+IF(ISNA(VLOOKUP($A290,'Mutasi Neraca'!$A$3:$S$910,3,FALSE)),0,VLOOKUP($A290,'Mutasi Neraca'!$A$3:$S$910,3,FALSE))</f>
        <v>210000</v>
      </c>
      <c r="E290" s="42">
        <f>VLOOKUP($A290,'Neraca Unaudited SIMAK'!$A$2:$R$1272,4,FALSE)+IF(ISNA(VLOOKUP($A290,'Mutasi Neraca'!$A$3:$S$910,4,FALSE)),0,VLOOKUP($A290,'Mutasi Neraca'!$A$3:$S$910,4,FALSE))</f>
        <v>2694512814</v>
      </c>
      <c r="F290" s="42">
        <f>VLOOKUP($A290,'Neraca Unaudited SIMAK'!$A$2:$R$1272,5,FALSE)+IF(ISNA(VLOOKUP($A290,'Mutasi Neraca'!$A$3:$S$910,5,FALSE)),0,VLOOKUP($A290,'Mutasi Neraca'!$A$3:$S$910,5,FALSE))</f>
        <v>1194299285</v>
      </c>
      <c r="G290" s="42">
        <f>VLOOKUP($A290,'Neraca Unaudited SIMAK'!$A$2:$R$1272,6,FALSE)+IF(ISNA(VLOOKUP($A290,'Mutasi Neraca'!$A$3:$S$910,6,FALSE)),0,VLOOKUP($A290,'Mutasi Neraca'!$A$3:$S$910,6,FALSE))</f>
        <v>6396471300</v>
      </c>
      <c r="H290" s="42">
        <f>VLOOKUP($A290,'Neraca Unaudited SIMAK'!$A$2:$R$1272,7,FALSE)+IF(ISNA(VLOOKUP($A290,'Mutasi Neraca'!$A$3:$S$910,7,FALSE)),0,VLOOKUP($A290,'Mutasi Neraca'!$A$3:$S$910,7,FALSE))</f>
        <v>185658290</v>
      </c>
      <c r="I290" s="42">
        <f>VLOOKUP($A290,'Neraca Unaudited SIMAK'!$A$2:$R$1272,8,FALSE)+IF(ISNA(VLOOKUP($A290,'Mutasi Neraca'!$A$3:$S$910,8,FALSE)),0,VLOOKUP($A290,'Mutasi Neraca'!$A$3:$S$910,8,FALSE))</f>
        <v>37569420</v>
      </c>
      <c r="J290" s="42">
        <f>VLOOKUP($A290,'Neraca Unaudited SIMAK'!$A$2:$R$1272,9,FALSE)+IF(ISNA(VLOOKUP($A290,'Mutasi Neraca'!$A$3:$S$910,9,FALSE)),0,VLOOKUP($A290,'Mutasi Neraca'!$A$3:$S$910,9,FALSE))</f>
        <v>0</v>
      </c>
      <c r="K290" s="42">
        <f>VLOOKUP($A290,'Neraca Unaudited SIMAK'!$A$2:$R$1272,10,FALSE)+IF(ISNA(VLOOKUP($A290,'Mutasi Neraca'!$A$3:$S$910,10,FALSE)),0,VLOOKUP($A290,'Mutasi Neraca'!$A$3:$S$910,10,FALSE))</f>
        <v>38500000</v>
      </c>
      <c r="L290" s="42">
        <f>VLOOKUP($A290,'Neraca Unaudited SIMAK'!$A$2:$R$1272,11,FALSE)+IF(ISNA(VLOOKUP($A290,'Mutasi Neraca'!$A$3:$S$910,11,FALSE)),0,VLOOKUP($A290,'Mutasi Neraca'!$A$3:$S$910,11,FALSE))</f>
        <v>8100000</v>
      </c>
      <c r="M290" s="42">
        <f>VLOOKUP($A290,'Neraca Unaudited SIMAK'!$A$2:$R$1272,12,FALSE)+IF(ISNA(VLOOKUP($A290,'Mutasi Neraca'!$A$3:$S$910,12,FALSE)),0,VLOOKUP($A290,'Mutasi Neraca'!$A$3:$S$910,12,FALSE))</f>
        <v>10555321109</v>
      </c>
      <c r="N290" s="42">
        <f>VLOOKUP($A290,'Neraca Unaudited SIMAK'!$A$2:$R$1272,13,FALSE)+IF(ISNA(VLOOKUP($A290,'Mutasi Neraca'!$A$3:$S$910,13,FALSE)),0,VLOOKUP($A290,'Mutasi Neraca'!$A$3:$S$910,13,FALSE))</f>
        <v>-1141189197</v>
      </c>
      <c r="O290" s="42">
        <f>VLOOKUP($A290,'Neraca Unaudited SIMAK'!$A$2:$R$1272,14,FALSE)+IF(ISNA(VLOOKUP($A290,'Mutasi Neraca'!$A$3:$S$910,14,FALSE)),0,VLOOKUP($A290,'Mutasi Neraca'!$A$3:$S$910,14,FALSE))</f>
        <v>-1427362165</v>
      </c>
      <c r="P290" s="42">
        <f>VLOOKUP($A290,'Neraca Unaudited SIMAK'!$A$2:$R$1272,15,FALSE)+IF(ISNA(VLOOKUP($A290,'Mutasi Neraca'!$A$3:$S$910,15,FALSE)),0,VLOOKUP($A290,'Mutasi Neraca'!$A$3:$S$910,15,FALSE))</f>
        <v>-41838479</v>
      </c>
      <c r="Q290" s="42">
        <f>VLOOKUP($A290,'Neraca Unaudited SIMAK'!$A$2:$R$1272,16,FALSE)+IF(ISNA(VLOOKUP($A290,'Mutasi Neraca'!$A$3:$S$910,16,FALSE)),0,VLOOKUP($A290,'Mutasi Neraca'!$A$3:$S$910,16,FALSE))</f>
        <v>0</v>
      </c>
      <c r="R290" s="42">
        <f>VLOOKUP($A290,'Neraca Unaudited SIMAK'!$A$2:$R$1272,17,FALSE)+IF(ISNA(VLOOKUP($A290,'Mutasi Neraca'!$A$3:$S$910,17,FALSE)),0,VLOOKUP($A290,'Mutasi Neraca'!$A$3:$S$910,17,FALSE))</f>
        <v>-8100000</v>
      </c>
      <c r="S290" s="42">
        <f t="shared" si="51"/>
        <v>7936831268</v>
      </c>
    </row>
    <row r="291" spans="1:19">
      <c r="A291" s="41" t="s">
        <v>298</v>
      </c>
      <c r="B291" s="41" t="str">
        <f t="shared" si="50"/>
        <v>005010700</v>
      </c>
      <c r="D291" s="42">
        <f>VLOOKUP($A291,'Neraca Unaudited SIMAK'!$A$2:$R$1272,3,FALSE)+IF(ISNA(VLOOKUP($A291,'Mutasi Neraca'!$A$3:$S$910,3,FALSE)),0,VLOOKUP($A291,'Mutasi Neraca'!$A$3:$S$910,3,FALSE))</f>
        <v>125000</v>
      </c>
      <c r="E291" s="42">
        <f>VLOOKUP($A291,'Neraca Unaudited SIMAK'!$A$2:$R$1272,4,FALSE)+IF(ISNA(VLOOKUP($A291,'Mutasi Neraca'!$A$3:$S$910,4,FALSE)),0,VLOOKUP($A291,'Mutasi Neraca'!$A$3:$S$910,4,FALSE))</f>
        <v>3975523000</v>
      </c>
      <c r="F291" s="42">
        <f>VLOOKUP($A291,'Neraca Unaudited SIMAK'!$A$2:$R$1272,5,FALSE)+IF(ISNA(VLOOKUP($A291,'Mutasi Neraca'!$A$3:$S$910,5,FALSE)),0,VLOOKUP($A291,'Mutasi Neraca'!$A$3:$S$910,5,FALSE))</f>
        <v>927821728</v>
      </c>
      <c r="G291" s="42">
        <f>VLOOKUP($A291,'Neraca Unaudited SIMAK'!$A$2:$R$1272,6,FALSE)+IF(ISNA(VLOOKUP($A291,'Mutasi Neraca'!$A$3:$S$910,6,FALSE)),0,VLOOKUP($A291,'Mutasi Neraca'!$A$3:$S$910,6,FALSE))</f>
        <v>11667905000</v>
      </c>
      <c r="H291" s="42">
        <f>VLOOKUP($A291,'Neraca Unaudited SIMAK'!$A$2:$R$1272,7,FALSE)+IF(ISNA(VLOOKUP($A291,'Mutasi Neraca'!$A$3:$S$910,7,FALSE)),0,VLOOKUP($A291,'Mutasi Neraca'!$A$3:$S$910,7,FALSE))</f>
        <v>99385000</v>
      </c>
      <c r="I291" s="42">
        <f>VLOOKUP($A291,'Neraca Unaudited SIMAK'!$A$2:$R$1272,8,FALSE)+IF(ISNA(VLOOKUP($A291,'Mutasi Neraca'!$A$3:$S$910,8,FALSE)),0,VLOOKUP($A291,'Mutasi Neraca'!$A$3:$S$910,8,FALSE))</f>
        <v>84243442</v>
      </c>
      <c r="J291" s="42">
        <f>VLOOKUP($A291,'Neraca Unaudited SIMAK'!$A$2:$R$1272,9,FALSE)+IF(ISNA(VLOOKUP($A291,'Mutasi Neraca'!$A$3:$S$910,9,FALSE)),0,VLOOKUP($A291,'Mutasi Neraca'!$A$3:$S$910,9,FALSE))</f>
        <v>2115333000</v>
      </c>
      <c r="K291" s="42">
        <f>VLOOKUP($A291,'Neraca Unaudited SIMAK'!$A$2:$R$1272,10,FALSE)+IF(ISNA(VLOOKUP($A291,'Mutasi Neraca'!$A$3:$S$910,10,FALSE)),0,VLOOKUP($A291,'Mutasi Neraca'!$A$3:$S$910,10,FALSE))</f>
        <v>0</v>
      </c>
      <c r="L291" s="42">
        <f>VLOOKUP($A291,'Neraca Unaudited SIMAK'!$A$2:$R$1272,11,FALSE)+IF(ISNA(VLOOKUP($A291,'Mutasi Neraca'!$A$3:$S$910,11,FALSE)),0,VLOOKUP($A291,'Mutasi Neraca'!$A$3:$S$910,11,FALSE))</f>
        <v>20296999</v>
      </c>
      <c r="M291" s="42">
        <f>VLOOKUP($A291,'Neraca Unaudited SIMAK'!$A$2:$R$1272,12,FALSE)+IF(ISNA(VLOOKUP($A291,'Mutasi Neraca'!$A$3:$S$910,12,FALSE)),0,VLOOKUP($A291,'Mutasi Neraca'!$A$3:$S$910,12,FALSE))</f>
        <v>18890633169</v>
      </c>
      <c r="N291" s="42">
        <f>VLOOKUP($A291,'Neraca Unaudited SIMAK'!$A$2:$R$1272,13,FALSE)+IF(ISNA(VLOOKUP($A291,'Mutasi Neraca'!$A$3:$S$910,13,FALSE)),0,VLOOKUP($A291,'Mutasi Neraca'!$A$3:$S$910,13,FALSE))</f>
        <v>-841338231</v>
      </c>
      <c r="O291" s="42">
        <f>VLOOKUP($A291,'Neraca Unaudited SIMAK'!$A$2:$R$1272,14,FALSE)+IF(ISNA(VLOOKUP($A291,'Mutasi Neraca'!$A$3:$S$910,14,FALSE)),0,VLOOKUP($A291,'Mutasi Neraca'!$A$3:$S$910,14,FALSE))</f>
        <v>-3125936074</v>
      </c>
      <c r="P291" s="42">
        <f>VLOOKUP($A291,'Neraca Unaudited SIMAK'!$A$2:$R$1272,15,FALSE)+IF(ISNA(VLOOKUP($A291,'Mutasi Neraca'!$A$3:$S$910,15,FALSE)),0,VLOOKUP($A291,'Mutasi Neraca'!$A$3:$S$910,15,FALSE))</f>
        <v>-34784750</v>
      </c>
      <c r="Q291" s="42">
        <f>VLOOKUP($A291,'Neraca Unaudited SIMAK'!$A$2:$R$1272,16,FALSE)+IF(ISNA(VLOOKUP($A291,'Mutasi Neraca'!$A$3:$S$910,16,FALSE)),0,VLOOKUP($A291,'Mutasi Neraca'!$A$3:$S$910,16,FALSE))</f>
        <v>0</v>
      </c>
      <c r="R291" s="42">
        <f>VLOOKUP($A291,'Neraca Unaudited SIMAK'!$A$2:$R$1272,17,FALSE)+IF(ISNA(VLOOKUP($A291,'Mutasi Neraca'!$A$3:$S$910,17,FALSE)),0,VLOOKUP($A291,'Mutasi Neraca'!$A$3:$S$910,17,FALSE))</f>
        <v>-20297000</v>
      </c>
      <c r="S291" s="42">
        <f t="shared" si="51"/>
        <v>14868277114</v>
      </c>
    </row>
    <row r="292" spans="1:19">
      <c r="A292" s="41" t="s">
        <v>299</v>
      </c>
      <c r="B292" s="41" t="str">
        <f t="shared" si="50"/>
        <v>005010700</v>
      </c>
      <c r="D292" s="42">
        <f>VLOOKUP($A292,'Neraca Unaudited SIMAK'!$A$2:$R$1272,3,FALSE)+IF(ISNA(VLOOKUP($A292,'Mutasi Neraca'!$A$3:$S$910,3,FALSE)),0,VLOOKUP($A292,'Mutasi Neraca'!$A$3:$S$910,3,FALSE))</f>
        <v>8000</v>
      </c>
      <c r="E292" s="42">
        <f>VLOOKUP($A292,'Neraca Unaudited SIMAK'!$A$2:$R$1272,4,FALSE)+IF(ISNA(VLOOKUP($A292,'Mutasi Neraca'!$A$3:$S$910,4,FALSE)),0,VLOOKUP($A292,'Mutasi Neraca'!$A$3:$S$910,4,FALSE))</f>
        <v>9459345000</v>
      </c>
      <c r="F292" s="42">
        <f>VLOOKUP($A292,'Neraca Unaudited SIMAK'!$A$2:$R$1272,5,FALSE)+IF(ISNA(VLOOKUP($A292,'Mutasi Neraca'!$A$3:$S$910,5,FALSE)),0,VLOOKUP($A292,'Mutasi Neraca'!$A$3:$S$910,5,FALSE))</f>
        <v>1624717400</v>
      </c>
      <c r="G292" s="42">
        <f>VLOOKUP($A292,'Neraca Unaudited SIMAK'!$A$2:$R$1272,6,FALSE)+IF(ISNA(VLOOKUP($A292,'Mutasi Neraca'!$A$3:$S$910,6,FALSE)),0,VLOOKUP($A292,'Mutasi Neraca'!$A$3:$S$910,6,FALSE))</f>
        <v>5937376685</v>
      </c>
      <c r="H292" s="42">
        <f>VLOOKUP($A292,'Neraca Unaudited SIMAK'!$A$2:$R$1272,7,FALSE)+IF(ISNA(VLOOKUP($A292,'Mutasi Neraca'!$A$3:$S$910,7,FALSE)),0,VLOOKUP($A292,'Mutasi Neraca'!$A$3:$S$910,7,FALSE))</f>
        <v>172120000</v>
      </c>
      <c r="I292" s="42">
        <f>VLOOKUP($A292,'Neraca Unaudited SIMAK'!$A$2:$R$1272,8,FALSE)+IF(ISNA(VLOOKUP($A292,'Mutasi Neraca'!$A$3:$S$910,8,FALSE)),0,VLOOKUP($A292,'Mutasi Neraca'!$A$3:$S$910,8,FALSE))</f>
        <v>21801440</v>
      </c>
      <c r="J292" s="42">
        <f>VLOOKUP($A292,'Neraca Unaudited SIMAK'!$A$2:$R$1272,9,FALSE)+IF(ISNA(VLOOKUP($A292,'Mutasi Neraca'!$A$3:$S$910,9,FALSE)),0,VLOOKUP($A292,'Mutasi Neraca'!$A$3:$S$910,9,FALSE))</f>
        <v>0</v>
      </c>
      <c r="K292" s="42">
        <f>VLOOKUP($A292,'Neraca Unaudited SIMAK'!$A$2:$R$1272,10,FALSE)+IF(ISNA(VLOOKUP($A292,'Mutasi Neraca'!$A$3:$S$910,10,FALSE)),0,VLOOKUP($A292,'Mutasi Neraca'!$A$3:$S$910,10,FALSE))</f>
        <v>0</v>
      </c>
      <c r="L292" s="42">
        <f>VLOOKUP($A292,'Neraca Unaudited SIMAK'!$A$2:$R$1272,11,FALSE)+IF(ISNA(VLOOKUP($A292,'Mutasi Neraca'!$A$3:$S$910,11,FALSE)),0,VLOOKUP($A292,'Mutasi Neraca'!$A$3:$S$910,11,FALSE))</f>
        <v>54363000</v>
      </c>
      <c r="M292" s="42">
        <f>VLOOKUP($A292,'Neraca Unaudited SIMAK'!$A$2:$R$1272,12,FALSE)+IF(ISNA(VLOOKUP($A292,'Mutasi Neraca'!$A$3:$S$910,12,FALSE)),0,VLOOKUP($A292,'Mutasi Neraca'!$A$3:$S$910,12,FALSE))</f>
        <v>17269731525</v>
      </c>
      <c r="N292" s="42">
        <f>VLOOKUP($A292,'Neraca Unaudited SIMAK'!$A$2:$R$1272,13,FALSE)+IF(ISNA(VLOOKUP($A292,'Mutasi Neraca'!$A$3:$S$910,13,FALSE)),0,VLOOKUP($A292,'Mutasi Neraca'!$A$3:$S$910,13,FALSE))</f>
        <v>-1404716208</v>
      </c>
      <c r="O292" s="42">
        <f>VLOOKUP($A292,'Neraca Unaudited SIMAK'!$A$2:$R$1272,14,FALSE)+IF(ISNA(VLOOKUP($A292,'Mutasi Neraca'!$A$3:$S$910,14,FALSE)),0,VLOOKUP($A292,'Mutasi Neraca'!$A$3:$S$910,14,FALSE))</f>
        <v>-1421089935</v>
      </c>
      <c r="P292" s="42">
        <f>VLOOKUP($A292,'Neraca Unaudited SIMAK'!$A$2:$R$1272,15,FALSE)+IF(ISNA(VLOOKUP($A292,'Mutasi Neraca'!$A$3:$S$910,15,FALSE)),0,VLOOKUP($A292,'Mutasi Neraca'!$A$3:$S$910,15,FALSE))</f>
        <v>-168970000</v>
      </c>
      <c r="Q292" s="42">
        <f>VLOOKUP($A292,'Neraca Unaudited SIMAK'!$A$2:$R$1272,16,FALSE)+IF(ISNA(VLOOKUP($A292,'Mutasi Neraca'!$A$3:$S$910,16,FALSE)),0,VLOOKUP($A292,'Mutasi Neraca'!$A$3:$S$910,16,FALSE))</f>
        <v>0</v>
      </c>
      <c r="R292" s="42">
        <f>VLOOKUP($A292,'Neraca Unaudited SIMAK'!$A$2:$R$1272,17,FALSE)+IF(ISNA(VLOOKUP($A292,'Mutasi Neraca'!$A$3:$S$910,17,FALSE)),0,VLOOKUP($A292,'Mutasi Neraca'!$A$3:$S$910,17,FALSE))</f>
        <v>-50118294</v>
      </c>
      <c r="S292" s="42">
        <f t="shared" si="51"/>
        <v>14224837088</v>
      </c>
    </row>
    <row r="293" spans="1:19">
      <c r="A293" s="41" t="s">
        <v>300</v>
      </c>
      <c r="B293" s="41" t="str">
        <f t="shared" si="50"/>
        <v>005010700</v>
      </c>
      <c r="D293" s="42">
        <f>VLOOKUP($A293,'Neraca Unaudited SIMAK'!$A$2:$R$1272,3,FALSE)+IF(ISNA(VLOOKUP($A293,'Mutasi Neraca'!$A$3:$S$910,3,FALSE)),0,VLOOKUP($A293,'Mutasi Neraca'!$A$3:$S$910,3,FALSE))</f>
        <v>227500</v>
      </c>
      <c r="E293" s="42">
        <f>VLOOKUP($A293,'Neraca Unaudited SIMAK'!$A$2:$R$1272,4,FALSE)+IF(ISNA(VLOOKUP($A293,'Mutasi Neraca'!$A$3:$S$910,4,FALSE)),0,VLOOKUP($A293,'Mutasi Neraca'!$A$3:$S$910,4,FALSE))</f>
        <v>1906900000</v>
      </c>
      <c r="F293" s="42">
        <f>VLOOKUP($A293,'Neraca Unaudited SIMAK'!$A$2:$R$1272,5,FALSE)+IF(ISNA(VLOOKUP($A293,'Mutasi Neraca'!$A$3:$S$910,5,FALSE)),0,VLOOKUP($A293,'Mutasi Neraca'!$A$3:$S$910,5,FALSE))</f>
        <v>1462758284</v>
      </c>
      <c r="G293" s="42">
        <f>VLOOKUP($A293,'Neraca Unaudited SIMAK'!$A$2:$R$1272,6,FALSE)+IF(ISNA(VLOOKUP($A293,'Mutasi Neraca'!$A$3:$S$910,6,FALSE)),0,VLOOKUP($A293,'Mutasi Neraca'!$A$3:$S$910,6,FALSE))</f>
        <v>3503850602</v>
      </c>
      <c r="H293" s="42">
        <f>VLOOKUP($A293,'Neraca Unaudited SIMAK'!$A$2:$R$1272,7,FALSE)+IF(ISNA(VLOOKUP($A293,'Mutasi Neraca'!$A$3:$S$910,7,FALSE)),0,VLOOKUP($A293,'Mutasi Neraca'!$A$3:$S$910,7,FALSE))</f>
        <v>0</v>
      </c>
      <c r="I293" s="42">
        <f>VLOOKUP($A293,'Neraca Unaudited SIMAK'!$A$2:$R$1272,8,FALSE)+IF(ISNA(VLOOKUP($A293,'Mutasi Neraca'!$A$3:$S$910,8,FALSE)),0,VLOOKUP($A293,'Mutasi Neraca'!$A$3:$S$910,8,FALSE))</f>
        <v>7755516</v>
      </c>
      <c r="J293" s="42">
        <f>VLOOKUP($A293,'Neraca Unaudited SIMAK'!$A$2:$R$1272,9,FALSE)+IF(ISNA(VLOOKUP($A293,'Mutasi Neraca'!$A$3:$S$910,9,FALSE)),0,VLOOKUP($A293,'Mutasi Neraca'!$A$3:$S$910,9,FALSE))</f>
        <v>0</v>
      </c>
      <c r="K293" s="42">
        <f>VLOOKUP($A293,'Neraca Unaudited SIMAK'!$A$2:$R$1272,10,FALSE)+IF(ISNA(VLOOKUP($A293,'Mutasi Neraca'!$A$3:$S$910,10,FALSE)),0,VLOOKUP($A293,'Mutasi Neraca'!$A$3:$S$910,10,FALSE))</f>
        <v>0</v>
      </c>
      <c r="L293" s="42">
        <f>VLOOKUP($A293,'Neraca Unaudited SIMAK'!$A$2:$R$1272,11,FALSE)+IF(ISNA(VLOOKUP($A293,'Mutasi Neraca'!$A$3:$S$910,11,FALSE)),0,VLOOKUP($A293,'Mutasi Neraca'!$A$3:$S$910,11,FALSE))</f>
        <v>121923550</v>
      </c>
      <c r="M293" s="42">
        <f>VLOOKUP($A293,'Neraca Unaudited SIMAK'!$A$2:$R$1272,12,FALSE)+IF(ISNA(VLOOKUP($A293,'Mutasi Neraca'!$A$3:$S$910,12,FALSE)),0,VLOOKUP($A293,'Mutasi Neraca'!$A$3:$S$910,12,FALSE))</f>
        <v>7003415452</v>
      </c>
      <c r="N293" s="42">
        <f>VLOOKUP($A293,'Neraca Unaudited SIMAK'!$A$2:$R$1272,13,FALSE)+IF(ISNA(VLOOKUP($A293,'Mutasi Neraca'!$A$3:$S$910,13,FALSE)),0,VLOOKUP($A293,'Mutasi Neraca'!$A$3:$S$910,13,FALSE))</f>
        <v>-1343312748</v>
      </c>
      <c r="O293" s="42">
        <f>VLOOKUP($A293,'Neraca Unaudited SIMAK'!$A$2:$R$1272,14,FALSE)+IF(ISNA(VLOOKUP($A293,'Mutasi Neraca'!$A$3:$S$910,14,FALSE)),0,VLOOKUP($A293,'Mutasi Neraca'!$A$3:$S$910,14,FALSE))</f>
        <v>-1450958995</v>
      </c>
      <c r="P293" s="42">
        <f>VLOOKUP($A293,'Neraca Unaudited SIMAK'!$A$2:$R$1272,15,FALSE)+IF(ISNA(VLOOKUP($A293,'Mutasi Neraca'!$A$3:$S$910,15,FALSE)),0,VLOOKUP($A293,'Mutasi Neraca'!$A$3:$S$910,15,FALSE))</f>
        <v>0</v>
      </c>
      <c r="Q293" s="42">
        <f>VLOOKUP($A293,'Neraca Unaudited SIMAK'!$A$2:$R$1272,16,FALSE)+IF(ISNA(VLOOKUP($A293,'Mutasi Neraca'!$A$3:$S$910,16,FALSE)),0,VLOOKUP($A293,'Mutasi Neraca'!$A$3:$S$910,16,FALSE))</f>
        <v>0</v>
      </c>
      <c r="R293" s="42">
        <f>VLOOKUP($A293,'Neraca Unaudited SIMAK'!$A$2:$R$1272,17,FALSE)+IF(ISNA(VLOOKUP($A293,'Mutasi Neraca'!$A$3:$S$910,17,FALSE)),0,VLOOKUP($A293,'Mutasi Neraca'!$A$3:$S$910,17,FALSE))</f>
        <v>-121761050</v>
      </c>
      <c r="S293" s="42">
        <f t="shared" si="51"/>
        <v>4087382659</v>
      </c>
    </row>
    <row r="294" spans="1:19">
      <c r="A294" s="41" t="s">
        <v>301</v>
      </c>
      <c r="B294" s="41" t="str">
        <f t="shared" si="50"/>
        <v>005010700</v>
      </c>
      <c r="D294" s="42">
        <f>VLOOKUP($A294,'Neraca Unaudited SIMAK'!$A$2:$R$1272,3,FALSE)+IF(ISNA(VLOOKUP($A294,'Mutasi Neraca'!$A$3:$S$910,3,FALSE)),0,VLOOKUP($A294,'Mutasi Neraca'!$A$3:$S$910,3,FALSE))</f>
        <v>1327600</v>
      </c>
      <c r="E294" s="42">
        <f>VLOOKUP($A294,'Neraca Unaudited SIMAK'!$A$2:$R$1272,4,FALSE)+IF(ISNA(VLOOKUP($A294,'Mutasi Neraca'!$A$3:$S$910,4,FALSE)),0,VLOOKUP($A294,'Mutasi Neraca'!$A$3:$S$910,4,FALSE))</f>
        <v>2456455000</v>
      </c>
      <c r="F294" s="42">
        <f>VLOOKUP($A294,'Neraca Unaudited SIMAK'!$A$2:$R$1272,5,FALSE)+IF(ISNA(VLOOKUP($A294,'Mutasi Neraca'!$A$3:$S$910,5,FALSE)),0,VLOOKUP($A294,'Mutasi Neraca'!$A$3:$S$910,5,FALSE))</f>
        <v>1313193359</v>
      </c>
      <c r="G294" s="42">
        <f>VLOOKUP($A294,'Neraca Unaudited SIMAK'!$A$2:$R$1272,6,FALSE)+IF(ISNA(VLOOKUP($A294,'Mutasi Neraca'!$A$3:$S$910,6,FALSE)),0,VLOOKUP($A294,'Mutasi Neraca'!$A$3:$S$910,6,FALSE))</f>
        <v>6392509649</v>
      </c>
      <c r="H294" s="42">
        <f>VLOOKUP($A294,'Neraca Unaudited SIMAK'!$A$2:$R$1272,7,FALSE)+IF(ISNA(VLOOKUP($A294,'Mutasi Neraca'!$A$3:$S$910,7,FALSE)),0,VLOOKUP($A294,'Mutasi Neraca'!$A$3:$S$910,7,FALSE))</f>
        <v>150225000</v>
      </c>
      <c r="I294" s="42">
        <f>VLOOKUP($A294,'Neraca Unaudited SIMAK'!$A$2:$R$1272,8,FALSE)+IF(ISNA(VLOOKUP($A294,'Mutasi Neraca'!$A$3:$S$910,8,FALSE)),0,VLOOKUP($A294,'Mutasi Neraca'!$A$3:$S$910,8,FALSE))</f>
        <v>7271288</v>
      </c>
      <c r="J294" s="42">
        <f>VLOOKUP($A294,'Neraca Unaudited SIMAK'!$A$2:$R$1272,9,FALSE)+IF(ISNA(VLOOKUP($A294,'Mutasi Neraca'!$A$3:$S$910,9,FALSE)),0,VLOOKUP($A294,'Mutasi Neraca'!$A$3:$S$910,9,FALSE))</f>
        <v>0</v>
      </c>
      <c r="K294" s="42">
        <f>VLOOKUP($A294,'Neraca Unaudited SIMAK'!$A$2:$R$1272,10,FALSE)+IF(ISNA(VLOOKUP($A294,'Mutasi Neraca'!$A$3:$S$910,10,FALSE)),0,VLOOKUP($A294,'Mutasi Neraca'!$A$3:$S$910,10,FALSE))</f>
        <v>0</v>
      </c>
      <c r="L294" s="42">
        <f>VLOOKUP($A294,'Neraca Unaudited SIMAK'!$A$2:$R$1272,11,FALSE)+IF(ISNA(VLOOKUP($A294,'Mutasi Neraca'!$A$3:$S$910,11,FALSE)),0,VLOOKUP($A294,'Mutasi Neraca'!$A$3:$S$910,11,FALSE))</f>
        <v>0</v>
      </c>
      <c r="M294" s="42">
        <f>VLOOKUP($A294,'Neraca Unaudited SIMAK'!$A$2:$R$1272,12,FALSE)+IF(ISNA(VLOOKUP($A294,'Mutasi Neraca'!$A$3:$S$910,12,FALSE)),0,VLOOKUP($A294,'Mutasi Neraca'!$A$3:$S$910,12,FALSE))</f>
        <v>10320981896</v>
      </c>
      <c r="N294" s="42">
        <f>VLOOKUP($A294,'Neraca Unaudited SIMAK'!$A$2:$R$1272,13,FALSE)+IF(ISNA(VLOOKUP($A294,'Mutasi Neraca'!$A$3:$S$910,13,FALSE)),0,VLOOKUP($A294,'Mutasi Neraca'!$A$3:$S$910,13,FALSE))</f>
        <v>-836392735</v>
      </c>
      <c r="O294" s="42">
        <f>VLOOKUP($A294,'Neraca Unaudited SIMAK'!$A$2:$R$1272,14,FALSE)+IF(ISNA(VLOOKUP($A294,'Mutasi Neraca'!$A$3:$S$910,14,FALSE)),0,VLOOKUP($A294,'Mutasi Neraca'!$A$3:$S$910,14,FALSE))</f>
        <v>-1562400345</v>
      </c>
      <c r="P294" s="42">
        <f>VLOOKUP($A294,'Neraca Unaudited SIMAK'!$A$2:$R$1272,15,FALSE)+IF(ISNA(VLOOKUP($A294,'Mutasi Neraca'!$A$3:$S$910,15,FALSE)),0,VLOOKUP($A294,'Mutasi Neraca'!$A$3:$S$910,15,FALSE))</f>
        <v>-46010625</v>
      </c>
      <c r="Q294" s="42">
        <f>VLOOKUP($A294,'Neraca Unaudited SIMAK'!$A$2:$R$1272,16,FALSE)+IF(ISNA(VLOOKUP($A294,'Mutasi Neraca'!$A$3:$S$910,16,FALSE)),0,VLOOKUP($A294,'Mutasi Neraca'!$A$3:$S$910,16,FALSE))</f>
        <v>0</v>
      </c>
      <c r="R294" s="42">
        <f>VLOOKUP($A294,'Neraca Unaudited SIMAK'!$A$2:$R$1272,17,FALSE)+IF(ISNA(VLOOKUP($A294,'Mutasi Neraca'!$A$3:$S$910,17,FALSE)),0,VLOOKUP($A294,'Mutasi Neraca'!$A$3:$S$910,17,FALSE))</f>
        <v>0</v>
      </c>
      <c r="S294" s="42">
        <f t="shared" si="51"/>
        <v>7876178191</v>
      </c>
    </row>
    <row r="295" spans="1:19">
      <c r="A295" s="41" t="s">
        <v>302</v>
      </c>
      <c r="B295" s="41" t="str">
        <f t="shared" si="50"/>
        <v>005010700</v>
      </c>
      <c r="D295" s="42">
        <f>VLOOKUP($A295,'Neraca Unaudited SIMAK'!$A$2:$R$1272,3,FALSE)+IF(ISNA(VLOOKUP($A295,'Mutasi Neraca'!$A$3:$S$910,3,FALSE)),0,VLOOKUP($A295,'Mutasi Neraca'!$A$3:$S$910,3,FALSE))</f>
        <v>1030200</v>
      </c>
      <c r="E295" s="42">
        <f>VLOOKUP($A295,'Neraca Unaudited SIMAK'!$A$2:$R$1272,4,FALSE)+IF(ISNA(VLOOKUP($A295,'Mutasi Neraca'!$A$3:$S$910,4,FALSE)),0,VLOOKUP($A295,'Mutasi Neraca'!$A$3:$S$910,4,FALSE))</f>
        <v>4757000000</v>
      </c>
      <c r="F295" s="42">
        <f>VLOOKUP($A295,'Neraca Unaudited SIMAK'!$A$2:$R$1272,5,FALSE)+IF(ISNA(VLOOKUP($A295,'Mutasi Neraca'!$A$3:$S$910,5,FALSE)),0,VLOOKUP($A295,'Mutasi Neraca'!$A$3:$S$910,5,FALSE))</f>
        <v>1319365277</v>
      </c>
      <c r="G295" s="42">
        <f>VLOOKUP($A295,'Neraca Unaudited SIMAK'!$A$2:$R$1272,6,FALSE)+IF(ISNA(VLOOKUP($A295,'Mutasi Neraca'!$A$3:$S$910,6,FALSE)),0,VLOOKUP($A295,'Mutasi Neraca'!$A$3:$S$910,6,FALSE))</f>
        <v>5334310795</v>
      </c>
      <c r="H295" s="42">
        <f>VLOOKUP($A295,'Neraca Unaudited SIMAK'!$A$2:$R$1272,7,FALSE)+IF(ISNA(VLOOKUP($A295,'Mutasi Neraca'!$A$3:$S$910,7,FALSE)),0,VLOOKUP($A295,'Mutasi Neraca'!$A$3:$S$910,7,FALSE))</f>
        <v>0</v>
      </c>
      <c r="I295" s="42">
        <f>VLOOKUP($A295,'Neraca Unaudited SIMAK'!$A$2:$R$1272,8,FALSE)+IF(ISNA(VLOOKUP($A295,'Mutasi Neraca'!$A$3:$S$910,8,FALSE)),0,VLOOKUP($A295,'Mutasi Neraca'!$A$3:$S$910,8,FALSE))</f>
        <v>28241880</v>
      </c>
      <c r="J295" s="42">
        <f>VLOOKUP($A295,'Neraca Unaudited SIMAK'!$A$2:$R$1272,9,FALSE)+IF(ISNA(VLOOKUP($A295,'Mutasi Neraca'!$A$3:$S$910,9,FALSE)),0,VLOOKUP($A295,'Mutasi Neraca'!$A$3:$S$910,9,FALSE))</f>
        <v>0</v>
      </c>
      <c r="K295" s="42">
        <f>VLOOKUP($A295,'Neraca Unaudited SIMAK'!$A$2:$R$1272,10,FALSE)+IF(ISNA(VLOOKUP($A295,'Mutasi Neraca'!$A$3:$S$910,10,FALSE)),0,VLOOKUP($A295,'Mutasi Neraca'!$A$3:$S$910,10,FALSE))</f>
        <v>43000000</v>
      </c>
      <c r="L295" s="42">
        <f>VLOOKUP($A295,'Neraca Unaudited SIMAK'!$A$2:$R$1272,11,FALSE)+IF(ISNA(VLOOKUP($A295,'Mutasi Neraca'!$A$3:$S$910,11,FALSE)),0,VLOOKUP($A295,'Mutasi Neraca'!$A$3:$S$910,11,FALSE))</f>
        <v>131000000</v>
      </c>
      <c r="M295" s="42">
        <f>VLOOKUP($A295,'Neraca Unaudited SIMAK'!$A$2:$R$1272,12,FALSE)+IF(ISNA(VLOOKUP($A295,'Mutasi Neraca'!$A$3:$S$910,12,FALSE)),0,VLOOKUP($A295,'Mutasi Neraca'!$A$3:$S$910,12,FALSE))</f>
        <v>11613948152</v>
      </c>
      <c r="N295" s="42">
        <f>VLOOKUP($A295,'Neraca Unaudited SIMAK'!$A$2:$R$1272,13,FALSE)+IF(ISNA(VLOOKUP($A295,'Mutasi Neraca'!$A$3:$S$910,13,FALSE)),0,VLOOKUP($A295,'Mutasi Neraca'!$A$3:$S$910,13,FALSE))</f>
        <v>-1054531323</v>
      </c>
      <c r="O295" s="42">
        <f>VLOOKUP($A295,'Neraca Unaudited SIMAK'!$A$2:$R$1272,14,FALSE)+IF(ISNA(VLOOKUP($A295,'Mutasi Neraca'!$A$3:$S$910,14,FALSE)),0,VLOOKUP($A295,'Mutasi Neraca'!$A$3:$S$910,14,FALSE))</f>
        <v>-1243832563</v>
      </c>
      <c r="P295" s="42">
        <f>VLOOKUP($A295,'Neraca Unaudited SIMAK'!$A$2:$R$1272,15,FALSE)+IF(ISNA(VLOOKUP($A295,'Mutasi Neraca'!$A$3:$S$910,15,FALSE)),0,VLOOKUP($A295,'Mutasi Neraca'!$A$3:$S$910,15,FALSE))</f>
        <v>0</v>
      </c>
      <c r="Q295" s="42">
        <f>VLOOKUP($A295,'Neraca Unaudited SIMAK'!$A$2:$R$1272,16,FALSE)+IF(ISNA(VLOOKUP($A295,'Mutasi Neraca'!$A$3:$S$910,16,FALSE)),0,VLOOKUP($A295,'Mutasi Neraca'!$A$3:$S$910,16,FALSE))</f>
        <v>0</v>
      </c>
      <c r="R295" s="42">
        <f>VLOOKUP($A295,'Neraca Unaudited SIMAK'!$A$2:$R$1272,17,FALSE)+IF(ISNA(VLOOKUP($A295,'Mutasi Neraca'!$A$3:$S$910,17,FALSE)),0,VLOOKUP($A295,'Mutasi Neraca'!$A$3:$S$910,17,FALSE))</f>
        <v>-131000000</v>
      </c>
      <c r="S295" s="42">
        <f t="shared" si="51"/>
        <v>9184584266</v>
      </c>
    </row>
    <row r="296" spans="1:19">
      <c r="A296" s="41" t="s">
        <v>303</v>
      </c>
      <c r="B296" s="41" t="str">
        <f t="shared" si="50"/>
        <v>005010700</v>
      </c>
      <c r="D296" s="42">
        <f>VLOOKUP($A296,'Neraca Unaudited SIMAK'!$A$2:$R$1272,3,FALSE)+IF(ISNA(VLOOKUP($A296,'Mutasi Neraca'!$A$3:$S$910,3,FALSE)),0,VLOOKUP($A296,'Mutasi Neraca'!$A$3:$S$910,3,FALSE))</f>
        <v>4505275</v>
      </c>
      <c r="E296" s="42">
        <f>VLOOKUP($A296,'Neraca Unaudited SIMAK'!$A$2:$R$1272,4,FALSE)+IF(ISNA(VLOOKUP($A296,'Mutasi Neraca'!$A$3:$S$910,4,FALSE)),0,VLOOKUP($A296,'Mutasi Neraca'!$A$3:$S$910,4,FALSE))</f>
        <v>2690000000</v>
      </c>
      <c r="F296" s="42">
        <f>VLOOKUP($A296,'Neraca Unaudited SIMAK'!$A$2:$R$1272,5,FALSE)+IF(ISNA(VLOOKUP($A296,'Mutasi Neraca'!$A$3:$S$910,5,FALSE)),0,VLOOKUP($A296,'Mutasi Neraca'!$A$3:$S$910,5,FALSE))</f>
        <v>4486776998</v>
      </c>
      <c r="G296" s="42">
        <f>VLOOKUP($A296,'Neraca Unaudited SIMAK'!$A$2:$R$1272,6,FALSE)+IF(ISNA(VLOOKUP($A296,'Mutasi Neraca'!$A$3:$S$910,6,FALSE)),0,VLOOKUP($A296,'Mutasi Neraca'!$A$3:$S$910,6,FALSE))</f>
        <v>6714500497</v>
      </c>
      <c r="H296" s="42">
        <f>VLOOKUP($A296,'Neraca Unaudited SIMAK'!$A$2:$R$1272,7,FALSE)+IF(ISNA(VLOOKUP($A296,'Mutasi Neraca'!$A$3:$S$910,7,FALSE)),0,VLOOKUP($A296,'Mutasi Neraca'!$A$3:$S$910,7,FALSE))</f>
        <v>3600000</v>
      </c>
      <c r="I296" s="42">
        <f>VLOOKUP($A296,'Neraca Unaudited SIMAK'!$A$2:$R$1272,8,FALSE)+IF(ISNA(VLOOKUP($A296,'Mutasi Neraca'!$A$3:$S$910,8,FALSE)),0,VLOOKUP($A296,'Mutasi Neraca'!$A$3:$S$910,8,FALSE))</f>
        <v>4052676</v>
      </c>
      <c r="J296" s="42">
        <f>VLOOKUP($A296,'Neraca Unaudited SIMAK'!$A$2:$R$1272,9,FALSE)+IF(ISNA(VLOOKUP($A296,'Mutasi Neraca'!$A$3:$S$910,9,FALSE)),0,VLOOKUP($A296,'Mutasi Neraca'!$A$3:$S$910,9,FALSE))</f>
        <v>0</v>
      </c>
      <c r="K296" s="42">
        <f>VLOOKUP($A296,'Neraca Unaudited SIMAK'!$A$2:$R$1272,10,FALSE)+IF(ISNA(VLOOKUP($A296,'Mutasi Neraca'!$A$3:$S$910,10,FALSE)),0,VLOOKUP($A296,'Mutasi Neraca'!$A$3:$S$910,10,FALSE))</f>
        <v>62500000</v>
      </c>
      <c r="L296" s="42">
        <f>VLOOKUP($A296,'Neraca Unaudited SIMAK'!$A$2:$R$1272,11,FALSE)+IF(ISNA(VLOOKUP($A296,'Mutasi Neraca'!$A$3:$S$910,11,FALSE)),0,VLOOKUP($A296,'Mutasi Neraca'!$A$3:$S$910,11,FALSE))</f>
        <v>14697000</v>
      </c>
      <c r="M296" s="42">
        <f>VLOOKUP($A296,'Neraca Unaudited SIMAK'!$A$2:$R$1272,12,FALSE)+IF(ISNA(VLOOKUP($A296,'Mutasi Neraca'!$A$3:$S$910,12,FALSE)),0,VLOOKUP($A296,'Mutasi Neraca'!$A$3:$S$910,12,FALSE))</f>
        <v>13980632446</v>
      </c>
      <c r="N296" s="42">
        <f>VLOOKUP($A296,'Neraca Unaudited SIMAK'!$A$2:$R$1272,13,FALSE)+IF(ISNA(VLOOKUP($A296,'Mutasi Neraca'!$A$3:$S$910,13,FALSE)),0,VLOOKUP($A296,'Mutasi Neraca'!$A$3:$S$910,13,FALSE))</f>
        <v>-4163646391</v>
      </c>
      <c r="O296" s="42">
        <f>VLOOKUP($A296,'Neraca Unaudited SIMAK'!$A$2:$R$1272,14,FALSE)+IF(ISNA(VLOOKUP($A296,'Mutasi Neraca'!$A$3:$S$910,14,FALSE)),0,VLOOKUP($A296,'Mutasi Neraca'!$A$3:$S$910,14,FALSE))</f>
        <v>-522204397</v>
      </c>
      <c r="P296" s="42">
        <f>VLOOKUP($A296,'Neraca Unaudited SIMAK'!$A$2:$R$1272,15,FALSE)+IF(ISNA(VLOOKUP($A296,'Mutasi Neraca'!$A$3:$S$910,15,FALSE)),0,VLOOKUP($A296,'Mutasi Neraca'!$A$3:$S$910,15,FALSE))</f>
        <v>-2880000</v>
      </c>
      <c r="Q296" s="42">
        <f>VLOOKUP($A296,'Neraca Unaudited SIMAK'!$A$2:$R$1272,16,FALSE)+IF(ISNA(VLOOKUP($A296,'Mutasi Neraca'!$A$3:$S$910,16,FALSE)),0,VLOOKUP($A296,'Mutasi Neraca'!$A$3:$S$910,16,FALSE))</f>
        <v>0</v>
      </c>
      <c r="R296" s="42">
        <f>VLOOKUP($A296,'Neraca Unaudited SIMAK'!$A$2:$R$1272,17,FALSE)+IF(ISNA(VLOOKUP($A296,'Mutasi Neraca'!$A$3:$S$910,17,FALSE)),0,VLOOKUP($A296,'Mutasi Neraca'!$A$3:$S$910,17,FALSE))</f>
        <v>-10697000</v>
      </c>
      <c r="S296" s="42">
        <f t="shared" si="51"/>
        <v>9281204658</v>
      </c>
    </row>
    <row r="297" spans="1:19">
      <c r="A297" s="41" t="s">
        <v>304</v>
      </c>
      <c r="B297" s="41" t="str">
        <f t="shared" si="50"/>
        <v>005010700</v>
      </c>
      <c r="D297" s="42">
        <f>VLOOKUP($A297,'Neraca Unaudited SIMAK'!$A$2:$R$1272,3,FALSE)+IF(ISNA(VLOOKUP($A297,'Mutasi Neraca'!$A$3:$S$910,3,FALSE)),0,VLOOKUP($A297,'Mutasi Neraca'!$A$3:$S$910,3,FALSE))</f>
        <v>128500</v>
      </c>
      <c r="E297" s="42">
        <f>VLOOKUP($A297,'Neraca Unaudited SIMAK'!$A$2:$R$1272,4,FALSE)+IF(ISNA(VLOOKUP($A297,'Mutasi Neraca'!$A$3:$S$910,4,FALSE)),0,VLOOKUP($A297,'Mutasi Neraca'!$A$3:$S$910,4,FALSE))</f>
        <v>2241970200</v>
      </c>
      <c r="F297" s="42">
        <f>VLOOKUP($A297,'Neraca Unaudited SIMAK'!$A$2:$R$1272,5,FALSE)+IF(ISNA(VLOOKUP($A297,'Mutasi Neraca'!$A$3:$S$910,5,FALSE)),0,VLOOKUP($A297,'Mutasi Neraca'!$A$3:$S$910,5,FALSE))</f>
        <v>895136423</v>
      </c>
      <c r="G297" s="42">
        <f>VLOOKUP($A297,'Neraca Unaudited SIMAK'!$A$2:$R$1272,6,FALSE)+IF(ISNA(VLOOKUP($A297,'Mutasi Neraca'!$A$3:$S$910,6,FALSE)),0,VLOOKUP($A297,'Mutasi Neraca'!$A$3:$S$910,6,FALSE))</f>
        <v>3023100400</v>
      </c>
      <c r="H297" s="42">
        <f>VLOOKUP($A297,'Neraca Unaudited SIMAK'!$A$2:$R$1272,7,FALSE)+IF(ISNA(VLOOKUP($A297,'Mutasi Neraca'!$A$3:$S$910,7,FALSE)),0,VLOOKUP($A297,'Mutasi Neraca'!$A$3:$S$910,7,FALSE))</f>
        <v>600000</v>
      </c>
      <c r="I297" s="42">
        <f>VLOOKUP($A297,'Neraca Unaudited SIMAK'!$A$2:$R$1272,8,FALSE)+IF(ISNA(VLOOKUP($A297,'Mutasi Neraca'!$A$3:$S$910,8,FALSE)),0,VLOOKUP($A297,'Mutasi Neraca'!$A$3:$S$910,8,FALSE))</f>
        <v>3414915</v>
      </c>
      <c r="J297" s="42">
        <f>VLOOKUP($A297,'Neraca Unaudited SIMAK'!$A$2:$R$1272,9,FALSE)+IF(ISNA(VLOOKUP($A297,'Mutasi Neraca'!$A$3:$S$910,9,FALSE)),0,VLOOKUP($A297,'Mutasi Neraca'!$A$3:$S$910,9,FALSE))</f>
        <v>0</v>
      </c>
      <c r="K297" s="42">
        <f>VLOOKUP($A297,'Neraca Unaudited SIMAK'!$A$2:$R$1272,10,FALSE)+IF(ISNA(VLOOKUP($A297,'Mutasi Neraca'!$A$3:$S$910,10,FALSE)),0,VLOOKUP($A297,'Mutasi Neraca'!$A$3:$S$910,10,FALSE))</f>
        <v>0</v>
      </c>
      <c r="L297" s="42">
        <f>VLOOKUP($A297,'Neraca Unaudited SIMAK'!$A$2:$R$1272,11,FALSE)+IF(ISNA(VLOOKUP($A297,'Mutasi Neraca'!$A$3:$S$910,11,FALSE)),0,VLOOKUP($A297,'Mutasi Neraca'!$A$3:$S$910,11,FALSE))</f>
        <v>0</v>
      </c>
      <c r="M297" s="42">
        <f>VLOOKUP($A297,'Neraca Unaudited SIMAK'!$A$2:$R$1272,12,FALSE)+IF(ISNA(VLOOKUP($A297,'Mutasi Neraca'!$A$3:$S$910,12,FALSE)),0,VLOOKUP($A297,'Mutasi Neraca'!$A$3:$S$910,12,FALSE))</f>
        <v>6164350438</v>
      </c>
      <c r="N297" s="42">
        <f>VLOOKUP($A297,'Neraca Unaudited SIMAK'!$A$2:$R$1272,13,FALSE)+IF(ISNA(VLOOKUP($A297,'Mutasi Neraca'!$A$3:$S$910,13,FALSE)),0,VLOOKUP($A297,'Mutasi Neraca'!$A$3:$S$910,13,FALSE))</f>
        <v>-817186197</v>
      </c>
      <c r="O297" s="42">
        <f>VLOOKUP($A297,'Neraca Unaudited SIMAK'!$A$2:$R$1272,14,FALSE)+IF(ISNA(VLOOKUP($A297,'Mutasi Neraca'!$A$3:$S$910,14,FALSE)),0,VLOOKUP($A297,'Mutasi Neraca'!$A$3:$S$910,14,FALSE))</f>
        <v>-354721441</v>
      </c>
      <c r="P297" s="42">
        <f>VLOOKUP($A297,'Neraca Unaudited SIMAK'!$A$2:$R$1272,15,FALSE)+IF(ISNA(VLOOKUP($A297,'Mutasi Neraca'!$A$3:$S$910,15,FALSE)),0,VLOOKUP($A297,'Mutasi Neraca'!$A$3:$S$910,15,FALSE))</f>
        <v>-120000</v>
      </c>
      <c r="Q297" s="42">
        <f>VLOOKUP($A297,'Neraca Unaudited SIMAK'!$A$2:$R$1272,16,FALSE)+IF(ISNA(VLOOKUP($A297,'Mutasi Neraca'!$A$3:$S$910,16,FALSE)),0,VLOOKUP($A297,'Mutasi Neraca'!$A$3:$S$910,16,FALSE))</f>
        <v>0</v>
      </c>
      <c r="R297" s="42">
        <f>VLOOKUP($A297,'Neraca Unaudited SIMAK'!$A$2:$R$1272,17,FALSE)+IF(ISNA(VLOOKUP($A297,'Mutasi Neraca'!$A$3:$S$910,17,FALSE)),0,VLOOKUP($A297,'Mutasi Neraca'!$A$3:$S$910,17,FALSE))</f>
        <v>0</v>
      </c>
      <c r="S297" s="42">
        <f t="shared" si="51"/>
        <v>4992322800</v>
      </c>
    </row>
    <row r="298" spans="1:19">
      <c r="A298" s="41" t="s">
        <v>305</v>
      </c>
      <c r="B298" s="41" t="str">
        <f t="shared" si="50"/>
        <v>005010700</v>
      </c>
      <c r="D298" s="42">
        <f>VLOOKUP($A298,'Neraca Unaudited SIMAK'!$A$2:$R$1272,3,FALSE)+IF(ISNA(VLOOKUP($A298,'Mutasi Neraca'!$A$3:$S$910,3,FALSE)),0,VLOOKUP($A298,'Mutasi Neraca'!$A$3:$S$910,3,FALSE))</f>
        <v>78200</v>
      </c>
      <c r="E298" s="42">
        <f>VLOOKUP($A298,'Neraca Unaudited SIMAK'!$A$2:$R$1272,4,FALSE)+IF(ISNA(VLOOKUP($A298,'Mutasi Neraca'!$A$3:$S$910,4,FALSE)),0,VLOOKUP($A298,'Mutasi Neraca'!$A$3:$S$910,4,FALSE))</f>
        <v>4081334736</v>
      </c>
      <c r="F298" s="42">
        <f>VLOOKUP($A298,'Neraca Unaudited SIMAK'!$A$2:$R$1272,5,FALSE)+IF(ISNA(VLOOKUP($A298,'Mutasi Neraca'!$A$3:$S$910,5,FALSE)),0,VLOOKUP($A298,'Mutasi Neraca'!$A$3:$S$910,5,FALSE))</f>
        <v>1523221698</v>
      </c>
      <c r="G298" s="42">
        <f>VLOOKUP($A298,'Neraca Unaudited SIMAK'!$A$2:$R$1272,6,FALSE)+IF(ISNA(VLOOKUP($A298,'Mutasi Neraca'!$A$3:$S$910,6,FALSE)),0,VLOOKUP($A298,'Mutasi Neraca'!$A$3:$S$910,6,FALSE))</f>
        <v>4267989420</v>
      </c>
      <c r="H298" s="42">
        <f>VLOOKUP($A298,'Neraca Unaudited SIMAK'!$A$2:$R$1272,7,FALSE)+IF(ISNA(VLOOKUP($A298,'Mutasi Neraca'!$A$3:$S$910,7,FALSE)),0,VLOOKUP($A298,'Mutasi Neraca'!$A$3:$S$910,7,FALSE))</f>
        <v>0</v>
      </c>
      <c r="I298" s="42">
        <f>VLOOKUP($A298,'Neraca Unaudited SIMAK'!$A$2:$R$1272,8,FALSE)+IF(ISNA(VLOOKUP($A298,'Mutasi Neraca'!$A$3:$S$910,8,FALSE)),0,VLOOKUP($A298,'Mutasi Neraca'!$A$3:$S$910,8,FALSE))</f>
        <v>4450678</v>
      </c>
      <c r="J298" s="42">
        <f>VLOOKUP($A298,'Neraca Unaudited SIMAK'!$A$2:$R$1272,9,FALSE)+IF(ISNA(VLOOKUP($A298,'Mutasi Neraca'!$A$3:$S$910,9,FALSE)),0,VLOOKUP($A298,'Mutasi Neraca'!$A$3:$S$910,9,FALSE))</f>
        <v>0</v>
      </c>
      <c r="K298" s="42">
        <f>VLOOKUP($A298,'Neraca Unaudited SIMAK'!$A$2:$R$1272,10,FALSE)+IF(ISNA(VLOOKUP($A298,'Mutasi Neraca'!$A$3:$S$910,10,FALSE)),0,VLOOKUP($A298,'Mutasi Neraca'!$A$3:$S$910,10,FALSE))</f>
        <v>0</v>
      </c>
      <c r="L298" s="42">
        <f>VLOOKUP($A298,'Neraca Unaudited SIMAK'!$A$2:$R$1272,11,FALSE)+IF(ISNA(VLOOKUP($A298,'Mutasi Neraca'!$A$3:$S$910,11,FALSE)),0,VLOOKUP($A298,'Mutasi Neraca'!$A$3:$S$910,11,FALSE))</f>
        <v>10600555</v>
      </c>
      <c r="M298" s="42">
        <f>VLOOKUP($A298,'Neraca Unaudited SIMAK'!$A$2:$R$1272,12,FALSE)+IF(ISNA(VLOOKUP($A298,'Mutasi Neraca'!$A$3:$S$910,12,FALSE)),0,VLOOKUP($A298,'Mutasi Neraca'!$A$3:$S$910,12,FALSE))</f>
        <v>9887675287</v>
      </c>
      <c r="N298" s="42">
        <f>VLOOKUP($A298,'Neraca Unaudited SIMAK'!$A$2:$R$1272,13,FALSE)+IF(ISNA(VLOOKUP($A298,'Mutasi Neraca'!$A$3:$S$910,13,FALSE)),0,VLOOKUP($A298,'Mutasi Neraca'!$A$3:$S$910,13,FALSE))</f>
        <v>-1435974478</v>
      </c>
      <c r="O298" s="42">
        <f>VLOOKUP($A298,'Neraca Unaudited SIMAK'!$A$2:$R$1272,14,FALSE)+IF(ISNA(VLOOKUP($A298,'Mutasi Neraca'!$A$3:$S$910,14,FALSE)),0,VLOOKUP($A298,'Mutasi Neraca'!$A$3:$S$910,14,FALSE))</f>
        <v>-503254554</v>
      </c>
      <c r="P298" s="42">
        <f>VLOOKUP($A298,'Neraca Unaudited SIMAK'!$A$2:$R$1272,15,FALSE)+IF(ISNA(VLOOKUP($A298,'Mutasi Neraca'!$A$3:$S$910,15,FALSE)),0,VLOOKUP($A298,'Mutasi Neraca'!$A$3:$S$910,15,FALSE))</f>
        <v>0</v>
      </c>
      <c r="Q298" s="42">
        <f>VLOOKUP($A298,'Neraca Unaudited SIMAK'!$A$2:$R$1272,16,FALSE)+IF(ISNA(VLOOKUP($A298,'Mutasi Neraca'!$A$3:$S$910,16,FALSE)),0,VLOOKUP($A298,'Mutasi Neraca'!$A$3:$S$910,16,FALSE))</f>
        <v>0</v>
      </c>
      <c r="R298" s="42">
        <f>VLOOKUP($A298,'Neraca Unaudited SIMAK'!$A$2:$R$1272,17,FALSE)+IF(ISNA(VLOOKUP($A298,'Mutasi Neraca'!$A$3:$S$910,17,FALSE)),0,VLOOKUP($A298,'Mutasi Neraca'!$A$3:$S$910,17,FALSE))</f>
        <v>-10600555</v>
      </c>
      <c r="S298" s="42">
        <f t="shared" si="51"/>
        <v>7937845700</v>
      </c>
    </row>
    <row r="299" spans="1:19">
      <c r="A299" s="41" t="s">
        <v>306</v>
      </c>
      <c r="B299" s="41" t="str">
        <f t="shared" si="50"/>
        <v>005010700</v>
      </c>
      <c r="D299" s="42">
        <f>VLOOKUP($A299,'Neraca Unaudited SIMAK'!$A$2:$R$1272,3,FALSE)+IF(ISNA(VLOOKUP($A299,'Mutasi Neraca'!$A$3:$S$910,3,FALSE)),0,VLOOKUP($A299,'Mutasi Neraca'!$A$3:$S$910,3,FALSE))</f>
        <v>135000</v>
      </c>
      <c r="E299" s="42">
        <f>VLOOKUP($A299,'Neraca Unaudited SIMAK'!$A$2:$R$1272,4,FALSE)+IF(ISNA(VLOOKUP($A299,'Mutasi Neraca'!$A$3:$S$910,4,FALSE)),0,VLOOKUP($A299,'Mutasi Neraca'!$A$3:$S$910,4,FALSE))</f>
        <v>2854800274</v>
      </c>
      <c r="F299" s="42">
        <f>VLOOKUP($A299,'Neraca Unaudited SIMAK'!$A$2:$R$1272,5,FALSE)+IF(ISNA(VLOOKUP($A299,'Mutasi Neraca'!$A$3:$S$910,5,FALSE)),0,VLOOKUP($A299,'Mutasi Neraca'!$A$3:$S$910,5,FALSE))</f>
        <v>2875939132</v>
      </c>
      <c r="G299" s="42">
        <f>VLOOKUP($A299,'Neraca Unaudited SIMAK'!$A$2:$R$1272,6,FALSE)+IF(ISNA(VLOOKUP($A299,'Mutasi Neraca'!$A$3:$S$910,6,FALSE)),0,VLOOKUP($A299,'Mutasi Neraca'!$A$3:$S$910,6,FALSE))</f>
        <v>4180168819</v>
      </c>
      <c r="H299" s="42">
        <f>VLOOKUP($A299,'Neraca Unaudited SIMAK'!$A$2:$R$1272,7,FALSE)+IF(ISNA(VLOOKUP($A299,'Mutasi Neraca'!$A$3:$S$910,7,FALSE)),0,VLOOKUP($A299,'Mutasi Neraca'!$A$3:$S$910,7,FALSE))</f>
        <v>275600000</v>
      </c>
      <c r="I299" s="42">
        <f>VLOOKUP($A299,'Neraca Unaudited SIMAK'!$A$2:$R$1272,8,FALSE)+IF(ISNA(VLOOKUP($A299,'Mutasi Neraca'!$A$3:$S$910,8,FALSE)),0,VLOOKUP($A299,'Mutasi Neraca'!$A$3:$S$910,8,FALSE))</f>
        <v>3236680</v>
      </c>
      <c r="J299" s="42">
        <f>VLOOKUP($A299,'Neraca Unaudited SIMAK'!$A$2:$R$1272,9,FALSE)+IF(ISNA(VLOOKUP($A299,'Mutasi Neraca'!$A$3:$S$910,9,FALSE)),0,VLOOKUP($A299,'Mutasi Neraca'!$A$3:$S$910,9,FALSE))</f>
        <v>0</v>
      </c>
      <c r="K299" s="42">
        <f>VLOOKUP($A299,'Neraca Unaudited SIMAK'!$A$2:$R$1272,10,FALSE)+IF(ISNA(VLOOKUP($A299,'Mutasi Neraca'!$A$3:$S$910,10,FALSE)),0,VLOOKUP($A299,'Mutasi Neraca'!$A$3:$S$910,10,FALSE))</f>
        <v>0</v>
      </c>
      <c r="L299" s="42">
        <f>VLOOKUP($A299,'Neraca Unaudited SIMAK'!$A$2:$R$1272,11,FALSE)+IF(ISNA(VLOOKUP($A299,'Mutasi Neraca'!$A$3:$S$910,11,FALSE)),0,VLOOKUP($A299,'Mutasi Neraca'!$A$3:$S$910,11,FALSE))</f>
        <v>205647951</v>
      </c>
      <c r="M299" s="42">
        <f>VLOOKUP($A299,'Neraca Unaudited SIMAK'!$A$2:$R$1272,12,FALSE)+IF(ISNA(VLOOKUP($A299,'Mutasi Neraca'!$A$3:$S$910,12,FALSE)),0,VLOOKUP($A299,'Mutasi Neraca'!$A$3:$S$910,12,FALSE))</f>
        <v>10395527856</v>
      </c>
      <c r="N299" s="42">
        <f>VLOOKUP($A299,'Neraca Unaudited SIMAK'!$A$2:$R$1272,13,FALSE)+IF(ISNA(VLOOKUP($A299,'Mutasi Neraca'!$A$3:$S$910,13,FALSE)),0,VLOOKUP($A299,'Mutasi Neraca'!$A$3:$S$910,13,FALSE))</f>
        <v>-2510783880</v>
      </c>
      <c r="O299" s="42">
        <f>VLOOKUP($A299,'Neraca Unaudited SIMAK'!$A$2:$R$1272,14,FALSE)+IF(ISNA(VLOOKUP($A299,'Mutasi Neraca'!$A$3:$S$910,14,FALSE)),0,VLOOKUP($A299,'Mutasi Neraca'!$A$3:$S$910,14,FALSE))</f>
        <v>-855821114</v>
      </c>
      <c r="P299" s="42">
        <f>VLOOKUP($A299,'Neraca Unaudited SIMAK'!$A$2:$R$1272,15,FALSE)+IF(ISNA(VLOOKUP($A299,'Mutasi Neraca'!$A$3:$S$910,15,FALSE)),0,VLOOKUP($A299,'Mutasi Neraca'!$A$3:$S$910,15,FALSE))</f>
        <v>-91095750</v>
      </c>
      <c r="Q299" s="42">
        <f>VLOOKUP($A299,'Neraca Unaudited SIMAK'!$A$2:$R$1272,16,FALSE)+IF(ISNA(VLOOKUP($A299,'Mutasi Neraca'!$A$3:$S$910,16,FALSE)),0,VLOOKUP($A299,'Mutasi Neraca'!$A$3:$S$910,16,FALSE))</f>
        <v>0</v>
      </c>
      <c r="R299" s="42">
        <f>VLOOKUP($A299,'Neraca Unaudited SIMAK'!$A$2:$R$1272,17,FALSE)+IF(ISNA(VLOOKUP($A299,'Mutasi Neraca'!$A$3:$S$910,17,FALSE)),0,VLOOKUP($A299,'Mutasi Neraca'!$A$3:$S$910,17,FALSE))</f>
        <v>-205647951</v>
      </c>
      <c r="S299" s="42">
        <f t="shared" si="51"/>
        <v>6732179161</v>
      </c>
    </row>
    <row r="300" spans="1:19">
      <c r="A300" s="41" t="s">
        <v>307</v>
      </c>
      <c r="B300" s="41" t="str">
        <f t="shared" si="50"/>
        <v>005010700</v>
      </c>
      <c r="D300" s="42">
        <f>VLOOKUP($A300,'Neraca Unaudited SIMAK'!$A$2:$R$1272,3,FALSE)+IF(ISNA(VLOOKUP($A300,'Mutasi Neraca'!$A$3:$S$910,3,FALSE)),0,VLOOKUP($A300,'Mutasi Neraca'!$A$3:$S$910,3,FALSE))</f>
        <v>3763955</v>
      </c>
      <c r="E300" s="42">
        <f>VLOOKUP($A300,'Neraca Unaudited SIMAK'!$A$2:$R$1272,4,FALSE)+IF(ISNA(VLOOKUP($A300,'Mutasi Neraca'!$A$3:$S$910,4,FALSE)),0,VLOOKUP($A300,'Mutasi Neraca'!$A$3:$S$910,4,FALSE))</f>
        <v>1048090000</v>
      </c>
      <c r="F300" s="42">
        <f>VLOOKUP($A300,'Neraca Unaudited SIMAK'!$A$2:$R$1272,5,FALSE)+IF(ISNA(VLOOKUP($A300,'Mutasi Neraca'!$A$3:$S$910,5,FALSE)),0,VLOOKUP($A300,'Mutasi Neraca'!$A$3:$S$910,5,FALSE))</f>
        <v>779746440</v>
      </c>
      <c r="G300" s="42">
        <f>VLOOKUP($A300,'Neraca Unaudited SIMAK'!$A$2:$R$1272,6,FALSE)+IF(ISNA(VLOOKUP($A300,'Mutasi Neraca'!$A$3:$S$910,6,FALSE)),0,VLOOKUP($A300,'Mutasi Neraca'!$A$3:$S$910,6,FALSE))</f>
        <v>1398689000</v>
      </c>
      <c r="H300" s="42">
        <f>VLOOKUP($A300,'Neraca Unaudited SIMAK'!$A$2:$R$1272,7,FALSE)+IF(ISNA(VLOOKUP($A300,'Mutasi Neraca'!$A$3:$S$910,7,FALSE)),0,VLOOKUP($A300,'Mutasi Neraca'!$A$3:$S$910,7,FALSE))</f>
        <v>0</v>
      </c>
      <c r="I300" s="42">
        <f>VLOOKUP($A300,'Neraca Unaudited SIMAK'!$A$2:$R$1272,8,FALSE)+IF(ISNA(VLOOKUP($A300,'Mutasi Neraca'!$A$3:$S$910,8,FALSE)),0,VLOOKUP($A300,'Mutasi Neraca'!$A$3:$S$910,8,FALSE))</f>
        <v>4911000</v>
      </c>
      <c r="J300" s="42">
        <f>VLOOKUP($A300,'Neraca Unaudited SIMAK'!$A$2:$R$1272,9,FALSE)+IF(ISNA(VLOOKUP($A300,'Mutasi Neraca'!$A$3:$S$910,9,FALSE)),0,VLOOKUP($A300,'Mutasi Neraca'!$A$3:$S$910,9,FALSE))</f>
        <v>0</v>
      </c>
      <c r="K300" s="42">
        <f>VLOOKUP($A300,'Neraca Unaudited SIMAK'!$A$2:$R$1272,10,FALSE)+IF(ISNA(VLOOKUP($A300,'Mutasi Neraca'!$A$3:$S$910,10,FALSE)),0,VLOOKUP($A300,'Mutasi Neraca'!$A$3:$S$910,10,FALSE))</f>
        <v>0</v>
      </c>
      <c r="L300" s="42">
        <f>VLOOKUP($A300,'Neraca Unaudited SIMAK'!$A$2:$R$1272,11,FALSE)+IF(ISNA(VLOOKUP($A300,'Mutasi Neraca'!$A$3:$S$910,11,FALSE)),0,VLOOKUP($A300,'Mutasi Neraca'!$A$3:$S$910,11,FALSE))</f>
        <v>146979000</v>
      </c>
      <c r="M300" s="42">
        <f>VLOOKUP($A300,'Neraca Unaudited SIMAK'!$A$2:$R$1272,12,FALSE)+IF(ISNA(VLOOKUP($A300,'Mutasi Neraca'!$A$3:$S$910,12,FALSE)),0,VLOOKUP($A300,'Mutasi Neraca'!$A$3:$S$910,12,FALSE))</f>
        <v>3382179395</v>
      </c>
      <c r="N300" s="42">
        <f>VLOOKUP($A300,'Neraca Unaudited SIMAK'!$A$2:$R$1272,13,FALSE)+IF(ISNA(VLOOKUP($A300,'Mutasi Neraca'!$A$3:$S$910,13,FALSE)),0,VLOOKUP($A300,'Mutasi Neraca'!$A$3:$S$910,13,FALSE))</f>
        <v>-686352473</v>
      </c>
      <c r="O300" s="42">
        <f>VLOOKUP($A300,'Neraca Unaudited SIMAK'!$A$2:$R$1272,14,FALSE)+IF(ISNA(VLOOKUP($A300,'Mutasi Neraca'!$A$3:$S$910,14,FALSE)),0,VLOOKUP($A300,'Mutasi Neraca'!$A$3:$S$910,14,FALSE))</f>
        <v>-221532661</v>
      </c>
      <c r="P300" s="42">
        <f>VLOOKUP($A300,'Neraca Unaudited SIMAK'!$A$2:$R$1272,15,FALSE)+IF(ISNA(VLOOKUP($A300,'Mutasi Neraca'!$A$3:$S$910,15,FALSE)),0,VLOOKUP($A300,'Mutasi Neraca'!$A$3:$S$910,15,FALSE))</f>
        <v>0</v>
      </c>
      <c r="Q300" s="42">
        <f>VLOOKUP($A300,'Neraca Unaudited SIMAK'!$A$2:$R$1272,16,FALSE)+IF(ISNA(VLOOKUP($A300,'Mutasi Neraca'!$A$3:$S$910,16,FALSE)),0,VLOOKUP($A300,'Mutasi Neraca'!$A$3:$S$910,16,FALSE))</f>
        <v>0</v>
      </c>
      <c r="R300" s="42">
        <f>VLOOKUP($A300,'Neraca Unaudited SIMAK'!$A$2:$R$1272,17,FALSE)+IF(ISNA(VLOOKUP($A300,'Mutasi Neraca'!$A$3:$S$910,17,FALSE)),0,VLOOKUP($A300,'Mutasi Neraca'!$A$3:$S$910,17,FALSE))</f>
        <v>-9704000</v>
      </c>
      <c r="S300" s="42">
        <f t="shared" si="51"/>
        <v>2464590261</v>
      </c>
    </row>
    <row r="301" spans="1:19">
      <c r="A301" s="41" t="s">
        <v>308</v>
      </c>
      <c r="B301" s="41" t="str">
        <f t="shared" si="50"/>
        <v>005010700</v>
      </c>
      <c r="D301" s="42">
        <f>VLOOKUP($A301,'Neraca Unaudited SIMAK'!$A$2:$R$1272,3,FALSE)+IF(ISNA(VLOOKUP($A301,'Mutasi Neraca'!$A$3:$S$910,3,FALSE)),0,VLOOKUP($A301,'Mutasi Neraca'!$A$3:$S$910,3,FALSE))</f>
        <v>0</v>
      </c>
      <c r="E301" s="42">
        <f>VLOOKUP($A301,'Neraca Unaudited SIMAK'!$A$2:$R$1272,4,FALSE)+IF(ISNA(VLOOKUP($A301,'Mutasi Neraca'!$A$3:$S$910,4,FALSE)),0,VLOOKUP($A301,'Mutasi Neraca'!$A$3:$S$910,4,FALSE))</f>
        <v>1708751510</v>
      </c>
      <c r="F301" s="42">
        <f>VLOOKUP($A301,'Neraca Unaudited SIMAK'!$A$2:$R$1272,5,FALSE)+IF(ISNA(VLOOKUP($A301,'Mutasi Neraca'!$A$3:$S$910,5,FALSE)),0,VLOOKUP($A301,'Mutasi Neraca'!$A$3:$S$910,5,FALSE))</f>
        <v>545564169</v>
      </c>
      <c r="G301" s="42">
        <f>VLOOKUP($A301,'Neraca Unaudited SIMAK'!$A$2:$R$1272,6,FALSE)+IF(ISNA(VLOOKUP($A301,'Mutasi Neraca'!$A$3:$S$910,6,FALSE)),0,VLOOKUP($A301,'Mutasi Neraca'!$A$3:$S$910,6,FALSE))</f>
        <v>1553134825</v>
      </c>
      <c r="H301" s="42">
        <f>VLOOKUP($A301,'Neraca Unaudited SIMAK'!$A$2:$R$1272,7,FALSE)+IF(ISNA(VLOOKUP($A301,'Mutasi Neraca'!$A$3:$S$910,7,FALSE)),0,VLOOKUP($A301,'Mutasi Neraca'!$A$3:$S$910,7,FALSE))</f>
        <v>117715000</v>
      </c>
      <c r="I301" s="42">
        <f>VLOOKUP($A301,'Neraca Unaudited SIMAK'!$A$2:$R$1272,8,FALSE)+IF(ISNA(VLOOKUP($A301,'Mutasi Neraca'!$A$3:$S$910,8,FALSE)),0,VLOOKUP($A301,'Mutasi Neraca'!$A$3:$S$910,8,FALSE))</f>
        <v>100847270</v>
      </c>
      <c r="J301" s="42">
        <f>VLOOKUP($A301,'Neraca Unaudited SIMAK'!$A$2:$R$1272,9,FALSE)+IF(ISNA(VLOOKUP($A301,'Mutasi Neraca'!$A$3:$S$910,9,FALSE)),0,VLOOKUP($A301,'Mutasi Neraca'!$A$3:$S$910,9,FALSE))</f>
        <v>0</v>
      </c>
      <c r="K301" s="42">
        <f>VLOOKUP($A301,'Neraca Unaudited SIMAK'!$A$2:$R$1272,10,FALSE)+IF(ISNA(VLOOKUP($A301,'Mutasi Neraca'!$A$3:$S$910,10,FALSE)),0,VLOOKUP($A301,'Mutasi Neraca'!$A$3:$S$910,10,FALSE))</f>
        <v>0</v>
      </c>
      <c r="L301" s="42">
        <f>VLOOKUP($A301,'Neraca Unaudited SIMAK'!$A$2:$R$1272,11,FALSE)+IF(ISNA(VLOOKUP($A301,'Mutasi Neraca'!$A$3:$S$910,11,FALSE)),0,VLOOKUP($A301,'Mutasi Neraca'!$A$3:$S$910,11,FALSE))</f>
        <v>250506825</v>
      </c>
      <c r="M301" s="42">
        <f>VLOOKUP($A301,'Neraca Unaudited SIMAK'!$A$2:$R$1272,12,FALSE)+IF(ISNA(VLOOKUP($A301,'Mutasi Neraca'!$A$3:$S$910,12,FALSE)),0,VLOOKUP($A301,'Mutasi Neraca'!$A$3:$S$910,12,FALSE))</f>
        <v>4276519599</v>
      </c>
      <c r="N301" s="42">
        <f>VLOOKUP($A301,'Neraca Unaudited SIMAK'!$A$2:$R$1272,13,FALSE)+IF(ISNA(VLOOKUP($A301,'Mutasi Neraca'!$A$3:$S$910,13,FALSE)),0,VLOOKUP($A301,'Mutasi Neraca'!$A$3:$S$910,13,FALSE))</f>
        <v>-502922714</v>
      </c>
      <c r="O301" s="42">
        <f>VLOOKUP($A301,'Neraca Unaudited SIMAK'!$A$2:$R$1272,14,FALSE)+IF(ISNA(VLOOKUP($A301,'Mutasi Neraca'!$A$3:$S$910,14,FALSE)),0,VLOOKUP($A301,'Mutasi Neraca'!$A$3:$S$910,14,FALSE))</f>
        <v>-236889257</v>
      </c>
      <c r="P301" s="42">
        <f>VLOOKUP($A301,'Neraca Unaudited SIMAK'!$A$2:$R$1272,15,FALSE)+IF(ISNA(VLOOKUP($A301,'Mutasi Neraca'!$A$3:$S$910,15,FALSE)),0,VLOOKUP($A301,'Mutasi Neraca'!$A$3:$S$910,15,FALSE))</f>
        <v>-52971750</v>
      </c>
      <c r="Q301" s="42">
        <f>VLOOKUP($A301,'Neraca Unaudited SIMAK'!$A$2:$R$1272,16,FALSE)+IF(ISNA(VLOOKUP($A301,'Mutasi Neraca'!$A$3:$S$910,16,FALSE)),0,VLOOKUP($A301,'Mutasi Neraca'!$A$3:$S$910,16,FALSE))</f>
        <v>0</v>
      </c>
      <c r="R301" s="42">
        <f>VLOOKUP($A301,'Neraca Unaudited SIMAK'!$A$2:$R$1272,17,FALSE)+IF(ISNA(VLOOKUP($A301,'Mutasi Neraca'!$A$3:$S$910,17,FALSE)),0,VLOOKUP($A301,'Mutasi Neraca'!$A$3:$S$910,17,FALSE))</f>
        <v>-246934871</v>
      </c>
      <c r="S301" s="42">
        <f t="shared" si="51"/>
        <v>3236801007</v>
      </c>
    </row>
    <row r="302" spans="1:19">
      <c r="A302" s="41" t="s">
        <v>309</v>
      </c>
      <c r="B302" s="41" t="str">
        <f t="shared" si="50"/>
        <v>005010700</v>
      </c>
      <c r="D302" s="42">
        <f>VLOOKUP($A302,'Neraca Unaudited SIMAK'!$A$2:$R$1272,3,FALSE)+IF(ISNA(VLOOKUP($A302,'Mutasi Neraca'!$A$3:$S$910,3,FALSE)),0,VLOOKUP($A302,'Mutasi Neraca'!$A$3:$S$910,3,FALSE))</f>
        <v>301000</v>
      </c>
      <c r="E302" s="42">
        <f>VLOOKUP($A302,'Neraca Unaudited SIMAK'!$A$2:$R$1272,4,FALSE)+IF(ISNA(VLOOKUP($A302,'Mutasi Neraca'!$A$3:$S$910,4,FALSE)),0,VLOOKUP($A302,'Mutasi Neraca'!$A$3:$S$910,4,FALSE))</f>
        <v>3492584000</v>
      </c>
      <c r="F302" s="42">
        <f>VLOOKUP($A302,'Neraca Unaudited SIMAK'!$A$2:$R$1272,5,FALSE)+IF(ISNA(VLOOKUP($A302,'Mutasi Neraca'!$A$3:$S$910,5,FALSE)),0,VLOOKUP($A302,'Mutasi Neraca'!$A$3:$S$910,5,FALSE))</f>
        <v>1408402828</v>
      </c>
      <c r="G302" s="42">
        <f>VLOOKUP($A302,'Neraca Unaudited SIMAK'!$A$2:$R$1272,6,FALSE)+IF(ISNA(VLOOKUP($A302,'Mutasi Neraca'!$A$3:$S$910,6,FALSE)),0,VLOOKUP($A302,'Mutasi Neraca'!$A$3:$S$910,6,FALSE))</f>
        <v>5551714700</v>
      </c>
      <c r="H302" s="42">
        <f>VLOOKUP($A302,'Neraca Unaudited SIMAK'!$A$2:$R$1272,7,FALSE)+IF(ISNA(VLOOKUP($A302,'Mutasi Neraca'!$A$3:$S$910,7,FALSE)),0,VLOOKUP($A302,'Mutasi Neraca'!$A$3:$S$910,7,FALSE))</f>
        <v>49584150</v>
      </c>
      <c r="I302" s="42">
        <f>VLOOKUP($A302,'Neraca Unaudited SIMAK'!$A$2:$R$1272,8,FALSE)+IF(ISNA(VLOOKUP($A302,'Mutasi Neraca'!$A$3:$S$910,8,FALSE)),0,VLOOKUP($A302,'Mutasi Neraca'!$A$3:$S$910,8,FALSE))</f>
        <v>3236680</v>
      </c>
      <c r="J302" s="42">
        <f>VLOOKUP($A302,'Neraca Unaudited SIMAK'!$A$2:$R$1272,9,FALSE)+IF(ISNA(VLOOKUP($A302,'Mutasi Neraca'!$A$3:$S$910,9,FALSE)),0,VLOOKUP($A302,'Mutasi Neraca'!$A$3:$S$910,9,FALSE))</f>
        <v>0</v>
      </c>
      <c r="K302" s="42">
        <f>VLOOKUP($A302,'Neraca Unaudited SIMAK'!$A$2:$R$1272,10,FALSE)+IF(ISNA(VLOOKUP($A302,'Mutasi Neraca'!$A$3:$S$910,10,FALSE)),0,VLOOKUP($A302,'Mutasi Neraca'!$A$3:$S$910,10,FALSE))</f>
        <v>0</v>
      </c>
      <c r="L302" s="42">
        <f>VLOOKUP($A302,'Neraca Unaudited SIMAK'!$A$2:$R$1272,11,FALSE)+IF(ISNA(VLOOKUP($A302,'Mutasi Neraca'!$A$3:$S$910,11,FALSE)),0,VLOOKUP($A302,'Mutasi Neraca'!$A$3:$S$910,11,FALSE))</f>
        <v>0</v>
      </c>
      <c r="M302" s="42">
        <f>VLOOKUP($A302,'Neraca Unaudited SIMAK'!$A$2:$R$1272,12,FALSE)+IF(ISNA(VLOOKUP($A302,'Mutasi Neraca'!$A$3:$S$910,12,FALSE)),0,VLOOKUP($A302,'Mutasi Neraca'!$A$3:$S$910,12,FALSE))</f>
        <v>10505823358</v>
      </c>
      <c r="N302" s="42">
        <f>VLOOKUP($A302,'Neraca Unaudited SIMAK'!$A$2:$R$1272,13,FALSE)+IF(ISNA(VLOOKUP($A302,'Mutasi Neraca'!$A$3:$S$910,13,FALSE)),0,VLOOKUP($A302,'Mutasi Neraca'!$A$3:$S$910,13,FALSE))</f>
        <v>-1169365281</v>
      </c>
      <c r="O302" s="42">
        <f>VLOOKUP($A302,'Neraca Unaudited SIMAK'!$A$2:$R$1272,14,FALSE)+IF(ISNA(VLOOKUP($A302,'Mutasi Neraca'!$A$3:$S$910,14,FALSE)),0,VLOOKUP($A302,'Mutasi Neraca'!$A$3:$S$910,14,FALSE))</f>
        <v>-252044437</v>
      </c>
      <c r="P302" s="42">
        <f>VLOOKUP($A302,'Neraca Unaudited SIMAK'!$A$2:$R$1272,15,FALSE)+IF(ISNA(VLOOKUP($A302,'Mutasi Neraca'!$A$3:$S$910,15,FALSE)),0,VLOOKUP($A302,'Mutasi Neraca'!$A$3:$S$910,15,FALSE))</f>
        <v>-1239604</v>
      </c>
      <c r="Q302" s="42">
        <f>VLOOKUP($A302,'Neraca Unaudited SIMAK'!$A$2:$R$1272,16,FALSE)+IF(ISNA(VLOOKUP($A302,'Mutasi Neraca'!$A$3:$S$910,16,FALSE)),0,VLOOKUP($A302,'Mutasi Neraca'!$A$3:$S$910,16,FALSE))</f>
        <v>0</v>
      </c>
      <c r="R302" s="42">
        <f>VLOOKUP($A302,'Neraca Unaudited SIMAK'!$A$2:$R$1272,17,FALSE)+IF(ISNA(VLOOKUP($A302,'Mutasi Neraca'!$A$3:$S$910,17,FALSE)),0,VLOOKUP($A302,'Mutasi Neraca'!$A$3:$S$910,17,FALSE))</f>
        <v>0</v>
      </c>
      <c r="S302" s="42">
        <f t="shared" si="51"/>
        <v>9083174036</v>
      </c>
    </row>
    <row r="303" spans="1:19">
      <c r="A303" s="41" t="s">
        <v>310</v>
      </c>
      <c r="B303" s="41" t="str">
        <f t="shared" si="50"/>
        <v>005010700</v>
      </c>
      <c r="D303" s="42">
        <f>VLOOKUP($A303,'Neraca Unaudited SIMAK'!$A$2:$R$1272,3,FALSE)+IF(ISNA(VLOOKUP($A303,'Mutasi Neraca'!$A$3:$S$910,3,FALSE)),0,VLOOKUP($A303,'Mutasi Neraca'!$A$3:$S$910,3,FALSE))</f>
        <v>0</v>
      </c>
      <c r="E303" s="42">
        <f>VLOOKUP($A303,'Neraca Unaudited SIMAK'!$A$2:$R$1272,4,FALSE)+IF(ISNA(VLOOKUP($A303,'Mutasi Neraca'!$A$3:$S$910,4,FALSE)),0,VLOOKUP($A303,'Mutasi Neraca'!$A$3:$S$910,4,FALSE))</f>
        <v>2035399952</v>
      </c>
      <c r="F303" s="42">
        <f>VLOOKUP($A303,'Neraca Unaudited SIMAK'!$A$2:$R$1272,5,FALSE)+IF(ISNA(VLOOKUP($A303,'Mutasi Neraca'!$A$3:$S$910,5,FALSE)),0,VLOOKUP($A303,'Mutasi Neraca'!$A$3:$S$910,5,FALSE))</f>
        <v>1153632927</v>
      </c>
      <c r="G303" s="42">
        <f>VLOOKUP($A303,'Neraca Unaudited SIMAK'!$A$2:$R$1272,6,FALSE)+IF(ISNA(VLOOKUP($A303,'Mutasi Neraca'!$A$3:$S$910,6,FALSE)),0,VLOOKUP($A303,'Mutasi Neraca'!$A$3:$S$910,6,FALSE))</f>
        <v>1530458184</v>
      </c>
      <c r="H303" s="42">
        <f>VLOOKUP($A303,'Neraca Unaudited SIMAK'!$A$2:$R$1272,7,FALSE)+IF(ISNA(VLOOKUP($A303,'Mutasi Neraca'!$A$3:$S$910,7,FALSE)),0,VLOOKUP($A303,'Mutasi Neraca'!$A$3:$S$910,7,FALSE))</f>
        <v>0</v>
      </c>
      <c r="I303" s="42">
        <f>VLOOKUP($A303,'Neraca Unaudited SIMAK'!$A$2:$R$1272,8,FALSE)+IF(ISNA(VLOOKUP($A303,'Mutasi Neraca'!$A$3:$S$910,8,FALSE)),0,VLOOKUP($A303,'Mutasi Neraca'!$A$3:$S$910,8,FALSE))</f>
        <v>11267500</v>
      </c>
      <c r="J303" s="42">
        <f>VLOOKUP($A303,'Neraca Unaudited SIMAK'!$A$2:$R$1272,9,FALSE)+IF(ISNA(VLOOKUP($A303,'Mutasi Neraca'!$A$3:$S$910,9,FALSE)),0,VLOOKUP($A303,'Mutasi Neraca'!$A$3:$S$910,9,FALSE))</f>
        <v>0</v>
      </c>
      <c r="K303" s="42">
        <f>VLOOKUP($A303,'Neraca Unaudited SIMAK'!$A$2:$R$1272,10,FALSE)+IF(ISNA(VLOOKUP($A303,'Mutasi Neraca'!$A$3:$S$910,10,FALSE)),0,VLOOKUP($A303,'Mutasi Neraca'!$A$3:$S$910,10,FALSE))</f>
        <v>0</v>
      </c>
      <c r="L303" s="42">
        <f>VLOOKUP($A303,'Neraca Unaudited SIMAK'!$A$2:$R$1272,11,FALSE)+IF(ISNA(VLOOKUP($A303,'Mutasi Neraca'!$A$3:$S$910,11,FALSE)),0,VLOOKUP($A303,'Mutasi Neraca'!$A$3:$S$910,11,FALSE))</f>
        <v>12169000</v>
      </c>
      <c r="M303" s="42">
        <f>VLOOKUP($A303,'Neraca Unaudited SIMAK'!$A$2:$R$1272,12,FALSE)+IF(ISNA(VLOOKUP($A303,'Mutasi Neraca'!$A$3:$S$910,12,FALSE)),0,VLOOKUP($A303,'Mutasi Neraca'!$A$3:$S$910,12,FALSE))</f>
        <v>4742927563</v>
      </c>
      <c r="N303" s="42">
        <f>VLOOKUP($A303,'Neraca Unaudited SIMAK'!$A$2:$R$1272,13,FALSE)+IF(ISNA(VLOOKUP($A303,'Mutasi Neraca'!$A$3:$S$910,13,FALSE)),0,VLOOKUP($A303,'Mutasi Neraca'!$A$3:$S$910,13,FALSE))</f>
        <v>-1104064331</v>
      </c>
      <c r="O303" s="42">
        <f>VLOOKUP($A303,'Neraca Unaudited SIMAK'!$A$2:$R$1272,14,FALSE)+IF(ISNA(VLOOKUP($A303,'Mutasi Neraca'!$A$3:$S$910,14,FALSE)),0,VLOOKUP($A303,'Mutasi Neraca'!$A$3:$S$910,14,FALSE))</f>
        <v>-642739722</v>
      </c>
      <c r="P303" s="42">
        <f>VLOOKUP($A303,'Neraca Unaudited SIMAK'!$A$2:$R$1272,15,FALSE)+IF(ISNA(VLOOKUP($A303,'Mutasi Neraca'!$A$3:$S$910,15,FALSE)),0,VLOOKUP($A303,'Mutasi Neraca'!$A$3:$S$910,15,FALSE))</f>
        <v>0</v>
      </c>
      <c r="Q303" s="42">
        <f>VLOOKUP($A303,'Neraca Unaudited SIMAK'!$A$2:$R$1272,16,FALSE)+IF(ISNA(VLOOKUP($A303,'Mutasi Neraca'!$A$3:$S$910,16,FALSE)),0,VLOOKUP($A303,'Mutasi Neraca'!$A$3:$S$910,16,FALSE))</f>
        <v>0</v>
      </c>
      <c r="R303" s="42">
        <f>VLOOKUP($A303,'Neraca Unaudited SIMAK'!$A$2:$R$1272,17,FALSE)+IF(ISNA(VLOOKUP($A303,'Mutasi Neraca'!$A$3:$S$910,17,FALSE)),0,VLOOKUP($A303,'Mutasi Neraca'!$A$3:$S$910,17,FALSE))</f>
        <v>-12169000</v>
      </c>
      <c r="S303" s="42">
        <f t="shared" si="51"/>
        <v>2983954510</v>
      </c>
    </row>
    <row r="304" spans="1:19">
      <c r="A304" s="41" t="s">
        <v>311</v>
      </c>
      <c r="B304" s="41" t="str">
        <f t="shared" si="50"/>
        <v>005010700</v>
      </c>
      <c r="D304" s="42">
        <f>VLOOKUP($A304,'Neraca Unaudited SIMAK'!$A$2:$R$1272,3,FALSE)+IF(ISNA(VLOOKUP($A304,'Mutasi Neraca'!$A$3:$S$910,3,FALSE)),0,VLOOKUP($A304,'Mutasi Neraca'!$A$3:$S$910,3,FALSE))</f>
        <v>159000</v>
      </c>
      <c r="E304" s="42">
        <f>VLOOKUP($A304,'Neraca Unaudited SIMAK'!$A$2:$R$1272,4,FALSE)+IF(ISNA(VLOOKUP($A304,'Mutasi Neraca'!$A$3:$S$910,4,FALSE)),0,VLOOKUP($A304,'Mutasi Neraca'!$A$3:$S$910,4,FALSE))</f>
        <v>2196384000</v>
      </c>
      <c r="F304" s="42">
        <f>VLOOKUP($A304,'Neraca Unaudited SIMAK'!$A$2:$R$1272,5,FALSE)+IF(ISNA(VLOOKUP($A304,'Mutasi Neraca'!$A$3:$S$910,5,FALSE)),0,VLOOKUP($A304,'Mutasi Neraca'!$A$3:$S$910,5,FALSE))</f>
        <v>909865328</v>
      </c>
      <c r="G304" s="42">
        <f>VLOOKUP($A304,'Neraca Unaudited SIMAK'!$A$2:$R$1272,6,FALSE)+IF(ISNA(VLOOKUP($A304,'Mutasi Neraca'!$A$3:$S$910,6,FALSE)),0,VLOOKUP($A304,'Mutasi Neraca'!$A$3:$S$910,6,FALSE))</f>
        <v>3641142655</v>
      </c>
      <c r="H304" s="42">
        <f>VLOOKUP($A304,'Neraca Unaudited SIMAK'!$A$2:$R$1272,7,FALSE)+IF(ISNA(VLOOKUP($A304,'Mutasi Neraca'!$A$3:$S$910,7,FALSE)),0,VLOOKUP($A304,'Mutasi Neraca'!$A$3:$S$910,7,FALSE))</f>
        <v>229882000</v>
      </c>
      <c r="I304" s="42">
        <f>VLOOKUP($A304,'Neraca Unaudited SIMAK'!$A$2:$R$1272,8,FALSE)+IF(ISNA(VLOOKUP($A304,'Mutasi Neraca'!$A$3:$S$910,8,FALSE)),0,VLOOKUP($A304,'Mutasi Neraca'!$A$3:$S$910,8,FALSE))</f>
        <v>408000</v>
      </c>
      <c r="J304" s="42">
        <f>VLOOKUP($A304,'Neraca Unaudited SIMAK'!$A$2:$R$1272,9,FALSE)+IF(ISNA(VLOOKUP($A304,'Mutasi Neraca'!$A$3:$S$910,9,FALSE)),0,VLOOKUP($A304,'Mutasi Neraca'!$A$3:$S$910,9,FALSE))</f>
        <v>0</v>
      </c>
      <c r="K304" s="42">
        <f>VLOOKUP($A304,'Neraca Unaudited SIMAK'!$A$2:$R$1272,10,FALSE)+IF(ISNA(VLOOKUP($A304,'Mutasi Neraca'!$A$3:$S$910,10,FALSE)),0,VLOOKUP($A304,'Mutasi Neraca'!$A$3:$S$910,10,FALSE))</f>
        <v>0</v>
      </c>
      <c r="L304" s="42">
        <f>VLOOKUP($A304,'Neraca Unaudited SIMAK'!$A$2:$R$1272,11,FALSE)+IF(ISNA(VLOOKUP($A304,'Mutasi Neraca'!$A$3:$S$910,11,FALSE)),0,VLOOKUP($A304,'Mutasi Neraca'!$A$3:$S$910,11,FALSE))</f>
        <v>43117000</v>
      </c>
      <c r="M304" s="42">
        <f>VLOOKUP($A304,'Neraca Unaudited SIMAK'!$A$2:$R$1272,12,FALSE)+IF(ISNA(VLOOKUP($A304,'Mutasi Neraca'!$A$3:$S$910,12,FALSE)),0,VLOOKUP($A304,'Mutasi Neraca'!$A$3:$S$910,12,FALSE))</f>
        <v>7020957983</v>
      </c>
      <c r="N304" s="42">
        <f>VLOOKUP($A304,'Neraca Unaudited SIMAK'!$A$2:$R$1272,13,FALSE)+IF(ISNA(VLOOKUP($A304,'Mutasi Neraca'!$A$3:$S$910,13,FALSE)),0,VLOOKUP($A304,'Mutasi Neraca'!$A$3:$S$910,13,FALSE))</f>
        <v>-740005578</v>
      </c>
      <c r="O304" s="42">
        <f>VLOOKUP($A304,'Neraca Unaudited SIMAK'!$A$2:$R$1272,14,FALSE)+IF(ISNA(VLOOKUP($A304,'Mutasi Neraca'!$A$3:$S$910,14,FALSE)),0,VLOOKUP($A304,'Mutasi Neraca'!$A$3:$S$910,14,FALSE))</f>
        <v>-729776954</v>
      </c>
      <c r="P304" s="42">
        <f>VLOOKUP($A304,'Neraca Unaudited SIMAK'!$A$2:$R$1272,15,FALSE)+IF(ISNA(VLOOKUP($A304,'Mutasi Neraca'!$A$3:$S$910,15,FALSE)),0,VLOOKUP($A304,'Mutasi Neraca'!$A$3:$S$910,15,FALSE))</f>
        <v>-109373892</v>
      </c>
      <c r="Q304" s="42">
        <f>VLOOKUP($A304,'Neraca Unaudited SIMAK'!$A$2:$R$1272,16,FALSE)+IF(ISNA(VLOOKUP($A304,'Mutasi Neraca'!$A$3:$S$910,16,FALSE)),0,VLOOKUP($A304,'Mutasi Neraca'!$A$3:$S$910,16,FALSE))</f>
        <v>0</v>
      </c>
      <c r="R304" s="42">
        <f>VLOOKUP($A304,'Neraca Unaudited SIMAK'!$A$2:$R$1272,17,FALSE)+IF(ISNA(VLOOKUP($A304,'Mutasi Neraca'!$A$3:$S$910,17,FALSE)),0,VLOOKUP($A304,'Mutasi Neraca'!$A$3:$S$910,17,FALSE))</f>
        <v>-43117000</v>
      </c>
      <c r="S304" s="42">
        <f t="shared" si="51"/>
        <v>5398684559</v>
      </c>
    </row>
    <row r="305" spans="1:19">
      <c r="A305" s="41" t="s">
        <v>312</v>
      </c>
      <c r="B305" s="41" t="str">
        <f t="shared" si="50"/>
        <v>005010700</v>
      </c>
      <c r="D305" s="42">
        <f>VLOOKUP($A305,'Neraca Unaudited SIMAK'!$A$2:$R$1272,3,FALSE)+IF(ISNA(VLOOKUP($A305,'Mutasi Neraca'!$A$3:$S$910,3,FALSE)),0,VLOOKUP($A305,'Mutasi Neraca'!$A$3:$S$910,3,FALSE))</f>
        <v>639500</v>
      </c>
      <c r="E305" s="42">
        <f>VLOOKUP($A305,'Neraca Unaudited SIMAK'!$A$2:$R$1272,4,FALSE)+IF(ISNA(VLOOKUP($A305,'Mutasi Neraca'!$A$3:$S$910,4,FALSE)),0,VLOOKUP($A305,'Mutasi Neraca'!$A$3:$S$910,4,FALSE))</f>
        <v>1984165000</v>
      </c>
      <c r="F305" s="42">
        <f>VLOOKUP($A305,'Neraca Unaudited SIMAK'!$A$2:$R$1272,5,FALSE)+IF(ISNA(VLOOKUP($A305,'Mutasi Neraca'!$A$3:$S$910,5,FALSE)),0,VLOOKUP($A305,'Mutasi Neraca'!$A$3:$S$910,5,FALSE))</f>
        <v>846605841</v>
      </c>
      <c r="G305" s="42">
        <f>VLOOKUP($A305,'Neraca Unaudited SIMAK'!$A$2:$R$1272,6,FALSE)+IF(ISNA(VLOOKUP($A305,'Mutasi Neraca'!$A$3:$S$910,6,FALSE)),0,VLOOKUP($A305,'Mutasi Neraca'!$A$3:$S$910,6,FALSE))</f>
        <v>5889240999</v>
      </c>
      <c r="H305" s="42">
        <f>VLOOKUP($A305,'Neraca Unaudited SIMAK'!$A$2:$R$1272,7,FALSE)+IF(ISNA(VLOOKUP($A305,'Mutasi Neraca'!$A$3:$S$910,7,FALSE)),0,VLOOKUP($A305,'Mutasi Neraca'!$A$3:$S$910,7,FALSE))</f>
        <v>1000000</v>
      </c>
      <c r="I305" s="42">
        <f>VLOOKUP($A305,'Neraca Unaudited SIMAK'!$A$2:$R$1272,8,FALSE)+IF(ISNA(VLOOKUP($A305,'Mutasi Neraca'!$A$3:$S$910,8,FALSE)),0,VLOOKUP($A305,'Mutasi Neraca'!$A$3:$S$910,8,FALSE))</f>
        <v>126125680</v>
      </c>
      <c r="J305" s="42">
        <f>VLOOKUP($A305,'Neraca Unaudited SIMAK'!$A$2:$R$1272,9,FALSE)+IF(ISNA(VLOOKUP($A305,'Mutasi Neraca'!$A$3:$S$910,9,FALSE)),0,VLOOKUP($A305,'Mutasi Neraca'!$A$3:$S$910,9,FALSE))</f>
        <v>0</v>
      </c>
      <c r="K305" s="42">
        <f>VLOOKUP($A305,'Neraca Unaudited SIMAK'!$A$2:$R$1272,10,FALSE)+IF(ISNA(VLOOKUP($A305,'Mutasi Neraca'!$A$3:$S$910,10,FALSE)),0,VLOOKUP($A305,'Mutasi Neraca'!$A$3:$S$910,10,FALSE))</f>
        <v>13000000</v>
      </c>
      <c r="L305" s="42">
        <f>VLOOKUP($A305,'Neraca Unaudited SIMAK'!$A$2:$R$1272,11,FALSE)+IF(ISNA(VLOOKUP($A305,'Mutasi Neraca'!$A$3:$S$910,11,FALSE)),0,VLOOKUP($A305,'Mutasi Neraca'!$A$3:$S$910,11,FALSE))</f>
        <v>124581962</v>
      </c>
      <c r="M305" s="42">
        <f>VLOOKUP($A305,'Neraca Unaudited SIMAK'!$A$2:$R$1272,12,FALSE)+IF(ISNA(VLOOKUP($A305,'Mutasi Neraca'!$A$3:$S$910,12,FALSE)),0,VLOOKUP($A305,'Mutasi Neraca'!$A$3:$S$910,12,FALSE))</f>
        <v>8985358982</v>
      </c>
      <c r="N305" s="42">
        <f>VLOOKUP($A305,'Neraca Unaudited SIMAK'!$A$2:$R$1272,13,FALSE)+IF(ISNA(VLOOKUP($A305,'Mutasi Neraca'!$A$3:$S$910,13,FALSE)),0,VLOOKUP($A305,'Mutasi Neraca'!$A$3:$S$910,13,FALSE))</f>
        <v>-636700641</v>
      </c>
      <c r="O305" s="42">
        <f>VLOOKUP($A305,'Neraca Unaudited SIMAK'!$A$2:$R$1272,14,FALSE)+IF(ISNA(VLOOKUP($A305,'Mutasi Neraca'!$A$3:$S$910,14,FALSE)),0,VLOOKUP($A305,'Mutasi Neraca'!$A$3:$S$910,14,FALSE))</f>
        <v>-904257215</v>
      </c>
      <c r="P305" s="42">
        <f>VLOOKUP($A305,'Neraca Unaudited SIMAK'!$A$2:$R$1272,15,FALSE)+IF(ISNA(VLOOKUP($A305,'Mutasi Neraca'!$A$3:$S$910,15,FALSE)),0,VLOOKUP($A305,'Mutasi Neraca'!$A$3:$S$910,15,FALSE))</f>
        <v>-450000</v>
      </c>
      <c r="Q305" s="42">
        <f>VLOOKUP($A305,'Neraca Unaudited SIMAK'!$A$2:$R$1272,16,FALSE)+IF(ISNA(VLOOKUP($A305,'Mutasi Neraca'!$A$3:$S$910,16,FALSE)),0,VLOOKUP($A305,'Mutasi Neraca'!$A$3:$S$910,16,FALSE))</f>
        <v>0</v>
      </c>
      <c r="R305" s="42">
        <f>VLOOKUP($A305,'Neraca Unaudited SIMAK'!$A$2:$R$1272,17,FALSE)+IF(ISNA(VLOOKUP($A305,'Mutasi Neraca'!$A$3:$S$910,17,FALSE)),0,VLOOKUP($A305,'Mutasi Neraca'!$A$3:$S$910,17,FALSE))</f>
        <v>-123280962</v>
      </c>
      <c r="S305" s="42">
        <f t="shared" si="51"/>
        <v>7320670164</v>
      </c>
    </row>
    <row r="306" spans="1:19">
      <c r="A306" s="41" t="s">
        <v>313</v>
      </c>
      <c r="B306" s="41" t="str">
        <f t="shared" si="50"/>
        <v>005010700</v>
      </c>
      <c r="D306" s="42">
        <f>VLOOKUP($A306,'Neraca Unaudited SIMAK'!$A$2:$R$1272,3,FALSE)+IF(ISNA(VLOOKUP($A306,'Mutasi Neraca'!$A$3:$S$910,3,FALSE)),0,VLOOKUP($A306,'Mutasi Neraca'!$A$3:$S$910,3,FALSE))</f>
        <v>190000</v>
      </c>
      <c r="E306" s="42">
        <f>VLOOKUP($A306,'Neraca Unaudited SIMAK'!$A$2:$R$1272,4,FALSE)+IF(ISNA(VLOOKUP($A306,'Mutasi Neraca'!$A$3:$S$910,4,FALSE)),0,VLOOKUP($A306,'Mutasi Neraca'!$A$3:$S$910,4,FALSE))</f>
        <v>475500000</v>
      </c>
      <c r="F306" s="42">
        <f>VLOOKUP($A306,'Neraca Unaudited SIMAK'!$A$2:$R$1272,5,FALSE)+IF(ISNA(VLOOKUP($A306,'Mutasi Neraca'!$A$3:$S$910,5,FALSE)),0,VLOOKUP($A306,'Mutasi Neraca'!$A$3:$S$910,5,FALSE))</f>
        <v>1083487900</v>
      </c>
      <c r="G306" s="42">
        <f>VLOOKUP($A306,'Neraca Unaudited SIMAK'!$A$2:$R$1272,6,FALSE)+IF(ISNA(VLOOKUP($A306,'Mutasi Neraca'!$A$3:$S$910,6,FALSE)),0,VLOOKUP($A306,'Mutasi Neraca'!$A$3:$S$910,6,FALSE))</f>
        <v>2127158000</v>
      </c>
      <c r="H306" s="42">
        <f>VLOOKUP($A306,'Neraca Unaudited SIMAK'!$A$2:$R$1272,7,FALSE)+IF(ISNA(VLOOKUP($A306,'Mutasi Neraca'!$A$3:$S$910,7,FALSE)),0,VLOOKUP($A306,'Mutasi Neraca'!$A$3:$S$910,7,FALSE))</f>
        <v>0</v>
      </c>
      <c r="I306" s="42">
        <f>VLOOKUP($A306,'Neraca Unaudited SIMAK'!$A$2:$R$1272,8,FALSE)+IF(ISNA(VLOOKUP($A306,'Mutasi Neraca'!$A$3:$S$910,8,FALSE)),0,VLOOKUP($A306,'Mutasi Neraca'!$A$3:$S$910,8,FALSE))</f>
        <v>408000</v>
      </c>
      <c r="J306" s="42">
        <f>VLOOKUP($A306,'Neraca Unaudited SIMAK'!$A$2:$R$1272,9,FALSE)+IF(ISNA(VLOOKUP($A306,'Mutasi Neraca'!$A$3:$S$910,9,FALSE)),0,VLOOKUP($A306,'Mutasi Neraca'!$A$3:$S$910,9,FALSE))</f>
        <v>0</v>
      </c>
      <c r="K306" s="42">
        <f>VLOOKUP($A306,'Neraca Unaudited SIMAK'!$A$2:$R$1272,10,FALSE)+IF(ISNA(VLOOKUP($A306,'Mutasi Neraca'!$A$3:$S$910,10,FALSE)),0,VLOOKUP($A306,'Mutasi Neraca'!$A$3:$S$910,10,FALSE))</f>
        <v>0</v>
      </c>
      <c r="L306" s="42">
        <f>VLOOKUP($A306,'Neraca Unaudited SIMAK'!$A$2:$R$1272,11,FALSE)+IF(ISNA(VLOOKUP($A306,'Mutasi Neraca'!$A$3:$S$910,11,FALSE)),0,VLOOKUP($A306,'Mutasi Neraca'!$A$3:$S$910,11,FALSE))</f>
        <v>0</v>
      </c>
      <c r="M306" s="42">
        <f>VLOOKUP($A306,'Neraca Unaudited SIMAK'!$A$2:$R$1272,12,FALSE)+IF(ISNA(VLOOKUP($A306,'Mutasi Neraca'!$A$3:$S$910,12,FALSE)),0,VLOOKUP($A306,'Mutasi Neraca'!$A$3:$S$910,12,FALSE))</f>
        <v>3686743900</v>
      </c>
      <c r="N306" s="42">
        <f>VLOOKUP($A306,'Neraca Unaudited SIMAK'!$A$2:$R$1272,13,FALSE)+IF(ISNA(VLOOKUP($A306,'Mutasi Neraca'!$A$3:$S$910,13,FALSE)),0,VLOOKUP($A306,'Mutasi Neraca'!$A$3:$S$910,13,FALSE))</f>
        <v>-925331900</v>
      </c>
      <c r="O306" s="42">
        <f>VLOOKUP($A306,'Neraca Unaudited SIMAK'!$A$2:$R$1272,14,FALSE)+IF(ISNA(VLOOKUP($A306,'Mutasi Neraca'!$A$3:$S$910,14,FALSE)),0,VLOOKUP($A306,'Mutasi Neraca'!$A$3:$S$910,14,FALSE))</f>
        <v>-868294800</v>
      </c>
      <c r="P306" s="42">
        <f>VLOOKUP($A306,'Neraca Unaudited SIMAK'!$A$2:$R$1272,15,FALSE)+IF(ISNA(VLOOKUP($A306,'Mutasi Neraca'!$A$3:$S$910,15,FALSE)),0,VLOOKUP($A306,'Mutasi Neraca'!$A$3:$S$910,15,FALSE))</f>
        <v>0</v>
      </c>
      <c r="Q306" s="42">
        <f>VLOOKUP($A306,'Neraca Unaudited SIMAK'!$A$2:$R$1272,16,FALSE)+IF(ISNA(VLOOKUP($A306,'Mutasi Neraca'!$A$3:$S$910,16,FALSE)),0,VLOOKUP($A306,'Mutasi Neraca'!$A$3:$S$910,16,FALSE))</f>
        <v>0</v>
      </c>
      <c r="R306" s="42">
        <f>VLOOKUP($A306,'Neraca Unaudited SIMAK'!$A$2:$R$1272,17,FALSE)+IF(ISNA(VLOOKUP($A306,'Mutasi Neraca'!$A$3:$S$910,17,FALSE)),0,VLOOKUP($A306,'Mutasi Neraca'!$A$3:$S$910,17,FALSE))</f>
        <v>0</v>
      </c>
      <c r="S306" s="42">
        <f t="shared" si="51"/>
        <v>1893117200</v>
      </c>
    </row>
    <row r="307" spans="1:19">
      <c r="A307" s="41" t="s">
        <v>314</v>
      </c>
      <c r="B307" s="41" t="str">
        <f t="shared" si="50"/>
        <v>005010700</v>
      </c>
      <c r="D307" s="42">
        <f>VLOOKUP($A307,'Neraca Unaudited SIMAK'!$A$2:$R$1272,3,FALSE)+IF(ISNA(VLOOKUP($A307,'Mutasi Neraca'!$A$3:$S$910,3,FALSE)),0,VLOOKUP($A307,'Mutasi Neraca'!$A$3:$S$910,3,FALSE))</f>
        <v>1886000</v>
      </c>
      <c r="E307" s="42">
        <f>VLOOKUP($A307,'Neraca Unaudited SIMAK'!$A$2:$R$1272,4,FALSE)+IF(ISNA(VLOOKUP($A307,'Mutasi Neraca'!$A$3:$S$910,4,FALSE)),0,VLOOKUP($A307,'Mutasi Neraca'!$A$3:$S$910,4,FALSE))</f>
        <v>0</v>
      </c>
      <c r="F307" s="42">
        <f>VLOOKUP($A307,'Neraca Unaudited SIMAK'!$A$2:$R$1272,5,FALSE)+IF(ISNA(VLOOKUP($A307,'Mutasi Neraca'!$A$3:$S$910,5,FALSE)),0,VLOOKUP($A307,'Mutasi Neraca'!$A$3:$S$910,5,FALSE))</f>
        <v>1296793847</v>
      </c>
      <c r="G307" s="42">
        <f>VLOOKUP($A307,'Neraca Unaudited SIMAK'!$A$2:$R$1272,6,FALSE)+IF(ISNA(VLOOKUP($A307,'Mutasi Neraca'!$A$3:$S$910,6,FALSE)),0,VLOOKUP($A307,'Mutasi Neraca'!$A$3:$S$910,6,FALSE))</f>
        <v>10047303823</v>
      </c>
      <c r="H307" s="42">
        <f>VLOOKUP($A307,'Neraca Unaudited SIMAK'!$A$2:$R$1272,7,FALSE)+IF(ISNA(VLOOKUP($A307,'Mutasi Neraca'!$A$3:$S$910,7,FALSE)),0,VLOOKUP($A307,'Mutasi Neraca'!$A$3:$S$910,7,FALSE))</f>
        <v>0</v>
      </c>
      <c r="I307" s="42">
        <f>VLOOKUP($A307,'Neraca Unaudited SIMAK'!$A$2:$R$1272,8,FALSE)+IF(ISNA(VLOOKUP($A307,'Mutasi Neraca'!$A$3:$S$910,8,FALSE)),0,VLOOKUP($A307,'Mutasi Neraca'!$A$3:$S$910,8,FALSE))</f>
        <v>12814000</v>
      </c>
      <c r="J307" s="42">
        <f>VLOOKUP($A307,'Neraca Unaudited SIMAK'!$A$2:$R$1272,9,FALSE)+IF(ISNA(VLOOKUP($A307,'Mutasi Neraca'!$A$3:$S$910,9,FALSE)),0,VLOOKUP($A307,'Mutasi Neraca'!$A$3:$S$910,9,FALSE))</f>
        <v>1321882000</v>
      </c>
      <c r="K307" s="42">
        <f>VLOOKUP($A307,'Neraca Unaudited SIMAK'!$A$2:$R$1272,10,FALSE)+IF(ISNA(VLOOKUP($A307,'Mutasi Neraca'!$A$3:$S$910,10,FALSE)),0,VLOOKUP($A307,'Mutasi Neraca'!$A$3:$S$910,10,FALSE))</f>
        <v>0</v>
      </c>
      <c r="L307" s="42">
        <f>VLOOKUP($A307,'Neraca Unaudited SIMAK'!$A$2:$R$1272,11,FALSE)+IF(ISNA(VLOOKUP($A307,'Mutasi Neraca'!$A$3:$S$910,11,FALSE)),0,VLOOKUP($A307,'Mutasi Neraca'!$A$3:$S$910,11,FALSE))</f>
        <v>21787470</v>
      </c>
      <c r="M307" s="42">
        <f>VLOOKUP($A307,'Neraca Unaudited SIMAK'!$A$2:$R$1272,12,FALSE)+IF(ISNA(VLOOKUP($A307,'Mutasi Neraca'!$A$3:$S$910,12,FALSE)),0,VLOOKUP($A307,'Mutasi Neraca'!$A$3:$S$910,12,FALSE))</f>
        <v>12702467140</v>
      </c>
      <c r="N307" s="42">
        <f>VLOOKUP($A307,'Neraca Unaudited SIMAK'!$A$2:$R$1272,13,FALSE)+IF(ISNA(VLOOKUP($A307,'Mutasi Neraca'!$A$3:$S$910,13,FALSE)),0,VLOOKUP($A307,'Mutasi Neraca'!$A$3:$S$910,13,FALSE))</f>
        <v>-1167741522</v>
      </c>
      <c r="O307" s="42">
        <f>VLOOKUP($A307,'Neraca Unaudited SIMAK'!$A$2:$R$1272,14,FALSE)+IF(ISNA(VLOOKUP($A307,'Mutasi Neraca'!$A$3:$S$910,14,FALSE)),0,VLOOKUP($A307,'Mutasi Neraca'!$A$3:$S$910,14,FALSE))</f>
        <v>-718789136</v>
      </c>
      <c r="P307" s="42">
        <f>VLOOKUP($A307,'Neraca Unaudited SIMAK'!$A$2:$R$1272,15,FALSE)+IF(ISNA(VLOOKUP($A307,'Mutasi Neraca'!$A$3:$S$910,15,FALSE)),0,VLOOKUP($A307,'Mutasi Neraca'!$A$3:$S$910,15,FALSE))</f>
        <v>0</v>
      </c>
      <c r="Q307" s="42">
        <f>VLOOKUP($A307,'Neraca Unaudited SIMAK'!$A$2:$R$1272,16,FALSE)+IF(ISNA(VLOOKUP($A307,'Mutasi Neraca'!$A$3:$S$910,16,FALSE)),0,VLOOKUP($A307,'Mutasi Neraca'!$A$3:$S$910,16,FALSE))</f>
        <v>0</v>
      </c>
      <c r="R307" s="42">
        <f>VLOOKUP($A307,'Neraca Unaudited SIMAK'!$A$2:$R$1272,17,FALSE)+IF(ISNA(VLOOKUP($A307,'Mutasi Neraca'!$A$3:$S$910,17,FALSE)),0,VLOOKUP($A307,'Mutasi Neraca'!$A$3:$S$910,17,FALSE))</f>
        <v>-21787470</v>
      </c>
      <c r="S307" s="42">
        <f t="shared" si="51"/>
        <v>10794149012</v>
      </c>
    </row>
    <row r="308" spans="1:19">
      <c r="A308" s="41" t="s">
        <v>315</v>
      </c>
      <c r="B308" s="41" t="str">
        <f t="shared" si="50"/>
        <v>005010700</v>
      </c>
      <c r="D308" s="42">
        <f>VLOOKUP($A308,'Neraca Unaudited SIMAK'!$A$2:$R$1272,3,FALSE)+IF(ISNA(VLOOKUP($A308,'Mutasi Neraca'!$A$3:$S$910,3,FALSE)),0,VLOOKUP($A308,'Mutasi Neraca'!$A$3:$S$910,3,FALSE))</f>
        <v>341000</v>
      </c>
      <c r="E308" s="42">
        <f>VLOOKUP($A308,'Neraca Unaudited SIMAK'!$A$2:$R$1272,4,FALSE)+IF(ISNA(VLOOKUP($A308,'Mutasi Neraca'!$A$3:$S$910,4,FALSE)),0,VLOOKUP($A308,'Mutasi Neraca'!$A$3:$S$910,4,FALSE))</f>
        <v>2247007000</v>
      </c>
      <c r="F308" s="42">
        <f>VLOOKUP($A308,'Neraca Unaudited SIMAK'!$A$2:$R$1272,5,FALSE)+IF(ISNA(VLOOKUP($A308,'Mutasi Neraca'!$A$3:$S$910,5,FALSE)),0,VLOOKUP($A308,'Mutasi Neraca'!$A$3:$S$910,5,FALSE))</f>
        <v>1041014250</v>
      </c>
      <c r="G308" s="42">
        <f>VLOOKUP($A308,'Neraca Unaudited SIMAK'!$A$2:$R$1272,6,FALSE)+IF(ISNA(VLOOKUP($A308,'Mutasi Neraca'!$A$3:$S$910,6,FALSE)),0,VLOOKUP($A308,'Mutasi Neraca'!$A$3:$S$910,6,FALSE))</f>
        <v>1730178252</v>
      </c>
      <c r="H308" s="42">
        <f>VLOOKUP($A308,'Neraca Unaudited SIMAK'!$A$2:$R$1272,7,FALSE)+IF(ISNA(VLOOKUP($A308,'Mutasi Neraca'!$A$3:$S$910,7,FALSE)),0,VLOOKUP($A308,'Mutasi Neraca'!$A$3:$S$910,7,FALSE))</f>
        <v>98750000</v>
      </c>
      <c r="I308" s="42">
        <f>VLOOKUP($A308,'Neraca Unaudited SIMAK'!$A$2:$R$1272,8,FALSE)+IF(ISNA(VLOOKUP($A308,'Mutasi Neraca'!$A$3:$S$910,8,FALSE)),0,VLOOKUP($A308,'Mutasi Neraca'!$A$3:$S$910,8,FALSE))</f>
        <v>413000</v>
      </c>
      <c r="J308" s="42">
        <f>VLOOKUP($A308,'Neraca Unaudited SIMAK'!$A$2:$R$1272,9,FALSE)+IF(ISNA(VLOOKUP($A308,'Mutasi Neraca'!$A$3:$S$910,9,FALSE)),0,VLOOKUP($A308,'Mutasi Neraca'!$A$3:$S$910,9,FALSE))</f>
        <v>0</v>
      </c>
      <c r="K308" s="42">
        <f>VLOOKUP($A308,'Neraca Unaudited SIMAK'!$A$2:$R$1272,10,FALSE)+IF(ISNA(VLOOKUP($A308,'Mutasi Neraca'!$A$3:$S$910,10,FALSE)),0,VLOOKUP($A308,'Mutasi Neraca'!$A$3:$S$910,10,FALSE))</f>
        <v>0</v>
      </c>
      <c r="L308" s="42">
        <f>VLOOKUP($A308,'Neraca Unaudited SIMAK'!$A$2:$R$1272,11,FALSE)+IF(ISNA(VLOOKUP($A308,'Mutasi Neraca'!$A$3:$S$910,11,FALSE)),0,VLOOKUP($A308,'Mutasi Neraca'!$A$3:$S$910,11,FALSE))</f>
        <v>9327000</v>
      </c>
      <c r="M308" s="42">
        <f>VLOOKUP($A308,'Neraca Unaudited SIMAK'!$A$2:$R$1272,12,FALSE)+IF(ISNA(VLOOKUP($A308,'Mutasi Neraca'!$A$3:$S$910,12,FALSE)),0,VLOOKUP($A308,'Mutasi Neraca'!$A$3:$S$910,12,FALSE))</f>
        <v>5127030502</v>
      </c>
      <c r="N308" s="42">
        <f>VLOOKUP($A308,'Neraca Unaudited SIMAK'!$A$2:$R$1272,13,FALSE)+IF(ISNA(VLOOKUP($A308,'Mutasi Neraca'!$A$3:$S$910,13,FALSE)),0,VLOOKUP($A308,'Mutasi Neraca'!$A$3:$S$910,13,FALSE))</f>
        <v>-992309250</v>
      </c>
      <c r="O308" s="42">
        <f>VLOOKUP($A308,'Neraca Unaudited SIMAK'!$A$2:$R$1272,14,FALSE)+IF(ISNA(VLOOKUP($A308,'Mutasi Neraca'!$A$3:$S$910,14,FALSE)),0,VLOOKUP($A308,'Mutasi Neraca'!$A$3:$S$910,14,FALSE))</f>
        <v>-387201198</v>
      </c>
      <c r="P308" s="42">
        <f>VLOOKUP($A308,'Neraca Unaudited SIMAK'!$A$2:$R$1272,15,FALSE)+IF(ISNA(VLOOKUP($A308,'Mutasi Neraca'!$A$3:$S$910,15,FALSE)),0,VLOOKUP($A308,'Mutasi Neraca'!$A$3:$S$910,15,FALSE))</f>
        <v>-64187500</v>
      </c>
      <c r="Q308" s="42">
        <f>VLOOKUP($A308,'Neraca Unaudited SIMAK'!$A$2:$R$1272,16,FALSE)+IF(ISNA(VLOOKUP($A308,'Mutasi Neraca'!$A$3:$S$910,16,FALSE)),0,VLOOKUP($A308,'Mutasi Neraca'!$A$3:$S$910,16,FALSE))</f>
        <v>0</v>
      </c>
      <c r="R308" s="42">
        <f>VLOOKUP($A308,'Neraca Unaudited SIMAK'!$A$2:$R$1272,17,FALSE)+IF(ISNA(VLOOKUP($A308,'Mutasi Neraca'!$A$3:$S$910,17,FALSE)),0,VLOOKUP($A308,'Mutasi Neraca'!$A$3:$S$910,17,FALSE))</f>
        <v>-9327000</v>
      </c>
      <c r="S308" s="42">
        <f t="shared" si="51"/>
        <v>3674005554</v>
      </c>
    </row>
    <row r="309" spans="1:19">
      <c r="A309" s="41" t="s">
        <v>316</v>
      </c>
      <c r="B309" s="41" t="str">
        <f t="shared" si="50"/>
        <v>005010700</v>
      </c>
      <c r="D309" s="42">
        <f>VLOOKUP($A309,'Neraca Unaudited SIMAK'!$A$2:$R$1272,3,FALSE)+IF(ISNA(VLOOKUP($A309,'Mutasi Neraca'!$A$3:$S$910,3,FALSE)),0,VLOOKUP($A309,'Mutasi Neraca'!$A$3:$S$910,3,FALSE))</f>
        <v>2787753</v>
      </c>
      <c r="E309" s="42">
        <f>VLOOKUP($A309,'Neraca Unaudited SIMAK'!$A$2:$R$1272,4,FALSE)+IF(ISNA(VLOOKUP($A309,'Mutasi Neraca'!$A$3:$S$910,4,FALSE)),0,VLOOKUP($A309,'Mutasi Neraca'!$A$3:$S$910,4,FALSE))</f>
        <v>2296366000</v>
      </c>
      <c r="F309" s="42">
        <f>VLOOKUP($A309,'Neraca Unaudited SIMAK'!$A$2:$R$1272,5,FALSE)+IF(ISNA(VLOOKUP($A309,'Mutasi Neraca'!$A$3:$S$910,5,FALSE)),0,VLOOKUP($A309,'Mutasi Neraca'!$A$3:$S$910,5,FALSE))</f>
        <v>1790577459</v>
      </c>
      <c r="G309" s="42">
        <f>VLOOKUP($A309,'Neraca Unaudited SIMAK'!$A$2:$R$1272,6,FALSE)+IF(ISNA(VLOOKUP($A309,'Mutasi Neraca'!$A$3:$S$910,6,FALSE)),0,VLOOKUP($A309,'Mutasi Neraca'!$A$3:$S$910,6,FALSE))</f>
        <v>4563104410</v>
      </c>
      <c r="H309" s="42">
        <f>VLOOKUP($A309,'Neraca Unaudited SIMAK'!$A$2:$R$1272,7,FALSE)+IF(ISNA(VLOOKUP($A309,'Mutasi Neraca'!$A$3:$S$910,7,FALSE)),0,VLOOKUP($A309,'Mutasi Neraca'!$A$3:$S$910,7,FALSE))</f>
        <v>61673100</v>
      </c>
      <c r="I309" s="42">
        <f>VLOOKUP($A309,'Neraca Unaudited SIMAK'!$A$2:$R$1272,8,FALSE)+IF(ISNA(VLOOKUP($A309,'Mutasi Neraca'!$A$3:$S$910,8,FALSE)),0,VLOOKUP($A309,'Mutasi Neraca'!$A$3:$S$910,8,FALSE))</f>
        <v>66650000</v>
      </c>
      <c r="J309" s="42">
        <f>VLOOKUP($A309,'Neraca Unaudited SIMAK'!$A$2:$R$1272,9,FALSE)+IF(ISNA(VLOOKUP($A309,'Mutasi Neraca'!$A$3:$S$910,9,FALSE)),0,VLOOKUP($A309,'Mutasi Neraca'!$A$3:$S$910,9,FALSE))</f>
        <v>0</v>
      </c>
      <c r="K309" s="42">
        <f>VLOOKUP($A309,'Neraca Unaudited SIMAK'!$A$2:$R$1272,10,FALSE)+IF(ISNA(VLOOKUP($A309,'Mutasi Neraca'!$A$3:$S$910,10,FALSE)),0,VLOOKUP($A309,'Mutasi Neraca'!$A$3:$S$910,10,FALSE))</f>
        <v>0</v>
      </c>
      <c r="L309" s="42">
        <f>VLOOKUP($A309,'Neraca Unaudited SIMAK'!$A$2:$R$1272,11,FALSE)+IF(ISNA(VLOOKUP($A309,'Mutasi Neraca'!$A$3:$S$910,11,FALSE)),0,VLOOKUP($A309,'Mutasi Neraca'!$A$3:$S$910,11,FALSE))</f>
        <v>66278000</v>
      </c>
      <c r="M309" s="42">
        <f>VLOOKUP($A309,'Neraca Unaudited SIMAK'!$A$2:$R$1272,12,FALSE)+IF(ISNA(VLOOKUP($A309,'Mutasi Neraca'!$A$3:$S$910,12,FALSE)),0,VLOOKUP($A309,'Mutasi Neraca'!$A$3:$S$910,12,FALSE))</f>
        <v>8847436722</v>
      </c>
      <c r="N309" s="42">
        <f>VLOOKUP($A309,'Neraca Unaudited SIMAK'!$A$2:$R$1272,13,FALSE)+IF(ISNA(VLOOKUP($A309,'Mutasi Neraca'!$A$3:$S$910,13,FALSE)),0,VLOOKUP($A309,'Mutasi Neraca'!$A$3:$S$910,13,FALSE))</f>
        <v>-1709480637</v>
      </c>
      <c r="O309" s="42">
        <f>VLOOKUP($A309,'Neraca Unaudited SIMAK'!$A$2:$R$1272,14,FALSE)+IF(ISNA(VLOOKUP($A309,'Mutasi Neraca'!$A$3:$S$910,14,FALSE)),0,VLOOKUP($A309,'Mutasi Neraca'!$A$3:$S$910,14,FALSE))</f>
        <v>-924502361</v>
      </c>
      <c r="P309" s="42">
        <f>VLOOKUP($A309,'Neraca Unaudited SIMAK'!$A$2:$R$1272,15,FALSE)+IF(ISNA(VLOOKUP($A309,'Mutasi Neraca'!$A$3:$S$910,15,FALSE)),0,VLOOKUP($A309,'Mutasi Neraca'!$A$3:$S$910,15,FALSE))</f>
        <v>-6440009</v>
      </c>
      <c r="Q309" s="42">
        <f>VLOOKUP($A309,'Neraca Unaudited SIMAK'!$A$2:$R$1272,16,FALSE)+IF(ISNA(VLOOKUP($A309,'Mutasi Neraca'!$A$3:$S$910,16,FALSE)),0,VLOOKUP($A309,'Mutasi Neraca'!$A$3:$S$910,16,FALSE))</f>
        <v>0</v>
      </c>
      <c r="R309" s="42">
        <f>VLOOKUP($A309,'Neraca Unaudited SIMAK'!$A$2:$R$1272,17,FALSE)+IF(ISNA(VLOOKUP($A309,'Mutasi Neraca'!$A$3:$S$910,17,FALSE)),0,VLOOKUP($A309,'Mutasi Neraca'!$A$3:$S$910,17,FALSE))</f>
        <v>-66278000</v>
      </c>
      <c r="S309" s="42">
        <f t="shared" si="51"/>
        <v>6140735715</v>
      </c>
    </row>
    <row r="310" spans="1:19">
      <c r="A310" s="41" t="s">
        <v>317</v>
      </c>
      <c r="B310" s="41" t="str">
        <f t="shared" si="50"/>
        <v>005010700</v>
      </c>
      <c r="D310" s="42">
        <f>VLOOKUP($A310,'Neraca Unaudited SIMAK'!$A$2:$R$1272,3,FALSE)+IF(ISNA(VLOOKUP($A310,'Mutasi Neraca'!$A$3:$S$910,3,FALSE)),0,VLOOKUP($A310,'Mutasi Neraca'!$A$3:$S$910,3,FALSE))</f>
        <v>142515</v>
      </c>
      <c r="E310" s="42">
        <f>VLOOKUP($A310,'Neraca Unaudited SIMAK'!$A$2:$R$1272,4,FALSE)+IF(ISNA(VLOOKUP($A310,'Mutasi Neraca'!$A$3:$S$910,4,FALSE)),0,VLOOKUP($A310,'Mutasi Neraca'!$A$3:$S$910,4,FALSE))</f>
        <v>314000000</v>
      </c>
      <c r="F310" s="42">
        <f>VLOOKUP($A310,'Neraca Unaudited SIMAK'!$A$2:$R$1272,5,FALSE)+IF(ISNA(VLOOKUP($A310,'Mutasi Neraca'!$A$3:$S$910,5,FALSE)),0,VLOOKUP($A310,'Mutasi Neraca'!$A$3:$S$910,5,FALSE))</f>
        <v>876779796</v>
      </c>
      <c r="G310" s="42">
        <f>VLOOKUP($A310,'Neraca Unaudited SIMAK'!$A$2:$R$1272,6,FALSE)+IF(ISNA(VLOOKUP($A310,'Mutasi Neraca'!$A$3:$S$910,6,FALSE)),0,VLOOKUP($A310,'Mutasi Neraca'!$A$3:$S$910,6,FALSE))</f>
        <v>5441622500</v>
      </c>
      <c r="H310" s="42">
        <f>VLOOKUP($A310,'Neraca Unaudited SIMAK'!$A$2:$R$1272,7,FALSE)+IF(ISNA(VLOOKUP($A310,'Mutasi Neraca'!$A$3:$S$910,7,FALSE)),0,VLOOKUP($A310,'Mutasi Neraca'!$A$3:$S$910,7,FALSE))</f>
        <v>49750000</v>
      </c>
      <c r="I310" s="42">
        <f>VLOOKUP($A310,'Neraca Unaudited SIMAK'!$A$2:$R$1272,8,FALSE)+IF(ISNA(VLOOKUP($A310,'Mutasi Neraca'!$A$3:$S$910,8,FALSE)),0,VLOOKUP($A310,'Mutasi Neraca'!$A$3:$S$910,8,FALSE))</f>
        <v>430480</v>
      </c>
      <c r="J310" s="42">
        <f>VLOOKUP($A310,'Neraca Unaudited SIMAK'!$A$2:$R$1272,9,FALSE)+IF(ISNA(VLOOKUP($A310,'Mutasi Neraca'!$A$3:$S$910,9,FALSE)),0,VLOOKUP($A310,'Mutasi Neraca'!$A$3:$S$910,9,FALSE))</f>
        <v>0</v>
      </c>
      <c r="K310" s="42">
        <f>VLOOKUP($A310,'Neraca Unaudited SIMAK'!$A$2:$R$1272,10,FALSE)+IF(ISNA(VLOOKUP($A310,'Mutasi Neraca'!$A$3:$S$910,10,FALSE)),0,VLOOKUP($A310,'Mutasi Neraca'!$A$3:$S$910,10,FALSE))</f>
        <v>0</v>
      </c>
      <c r="L310" s="42">
        <f>VLOOKUP($A310,'Neraca Unaudited SIMAK'!$A$2:$R$1272,11,FALSE)+IF(ISNA(VLOOKUP($A310,'Mutasi Neraca'!$A$3:$S$910,11,FALSE)),0,VLOOKUP($A310,'Mutasi Neraca'!$A$3:$S$910,11,FALSE))</f>
        <v>429835391</v>
      </c>
      <c r="M310" s="42">
        <f>VLOOKUP($A310,'Neraca Unaudited SIMAK'!$A$2:$R$1272,12,FALSE)+IF(ISNA(VLOOKUP($A310,'Mutasi Neraca'!$A$3:$S$910,12,FALSE)),0,VLOOKUP($A310,'Mutasi Neraca'!$A$3:$S$910,12,FALSE))</f>
        <v>7112560682</v>
      </c>
      <c r="N310" s="42">
        <f>VLOOKUP($A310,'Neraca Unaudited SIMAK'!$A$2:$R$1272,13,FALSE)+IF(ISNA(VLOOKUP($A310,'Mutasi Neraca'!$A$3:$S$910,13,FALSE)),0,VLOOKUP($A310,'Mutasi Neraca'!$A$3:$S$910,13,FALSE))</f>
        <v>-641385664</v>
      </c>
      <c r="O310" s="42">
        <f>VLOOKUP($A310,'Neraca Unaudited SIMAK'!$A$2:$R$1272,14,FALSE)+IF(ISNA(VLOOKUP($A310,'Mutasi Neraca'!$A$3:$S$910,14,FALSE)),0,VLOOKUP($A310,'Mutasi Neraca'!$A$3:$S$910,14,FALSE))</f>
        <v>-348733041</v>
      </c>
      <c r="P310" s="42">
        <f>VLOOKUP($A310,'Neraca Unaudited SIMAK'!$A$2:$R$1272,15,FALSE)+IF(ISNA(VLOOKUP($A310,'Mutasi Neraca'!$A$3:$S$910,15,FALSE)),0,VLOOKUP($A310,'Mutasi Neraca'!$A$3:$S$910,15,FALSE))</f>
        <v>-1243750</v>
      </c>
      <c r="Q310" s="42">
        <f>VLOOKUP($A310,'Neraca Unaudited SIMAK'!$A$2:$R$1272,16,FALSE)+IF(ISNA(VLOOKUP($A310,'Mutasi Neraca'!$A$3:$S$910,16,FALSE)),0,VLOOKUP($A310,'Mutasi Neraca'!$A$3:$S$910,16,FALSE))</f>
        <v>0</v>
      </c>
      <c r="R310" s="42">
        <f>VLOOKUP($A310,'Neraca Unaudited SIMAK'!$A$2:$R$1272,17,FALSE)+IF(ISNA(VLOOKUP($A310,'Mutasi Neraca'!$A$3:$S$910,17,FALSE)),0,VLOOKUP($A310,'Mutasi Neraca'!$A$3:$S$910,17,FALSE))</f>
        <v>-429835391</v>
      </c>
      <c r="S310" s="42">
        <f t="shared" si="51"/>
        <v>5691362836</v>
      </c>
    </row>
    <row r="311" spans="1:19">
      <c r="A311" s="41" t="s">
        <v>318</v>
      </c>
      <c r="B311" s="41" t="str">
        <f t="shared" si="50"/>
        <v>005010700</v>
      </c>
      <c r="D311" s="42">
        <f>VLOOKUP($A311,'Neraca Unaudited SIMAK'!$A$2:$R$1272,3,FALSE)+IF(ISNA(VLOOKUP($A311,'Mutasi Neraca'!$A$3:$S$910,3,FALSE)),0,VLOOKUP($A311,'Mutasi Neraca'!$A$3:$S$910,3,FALSE))</f>
        <v>443000</v>
      </c>
      <c r="E311" s="42">
        <f>VLOOKUP($A311,'Neraca Unaudited SIMAK'!$A$2:$R$1272,4,FALSE)+IF(ISNA(VLOOKUP($A311,'Mutasi Neraca'!$A$3:$S$910,4,FALSE)),0,VLOOKUP($A311,'Mutasi Neraca'!$A$3:$S$910,4,FALSE))</f>
        <v>2485575000</v>
      </c>
      <c r="F311" s="42">
        <f>VLOOKUP($A311,'Neraca Unaudited SIMAK'!$A$2:$R$1272,5,FALSE)+IF(ISNA(VLOOKUP($A311,'Mutasi Neraca'!$A$3:$S$910,5,FALSE)),0,VLOOKUP($A311,'Mutasi Neraca'!$A$3:$S$910,5,FALSE))</f>
        <v>1313395346</v>
      </c>
      <c r="G311" s="42">
        <f>VLOOKUP($A311,'Neraca Unaudited SIMAK'!$A$2:$R$1272,6,FALSE)+IF(ISNA(VLOOKUP($A311,'Mutasi Neraca'!$A$3:$S$910,6,FALSE)),0,VLOOKUP($A311,'Mutasi Neraca'!$A$3:$S$910,6,FALSE))</f>
        <v>7485372000</v>
      </c>
      <c r="H311" s="42">
        <f>VLOOKUP($A311,'Neraca Unaudited SIMAK'!$A$2:$R$1272,7,FALSE)+IF(ISNA(VLOOKUP($A311,'Mutasi Neraca'!$A$3:$S$910,7,FALSE)),0,VLOOKUP($A311,'Mutasi Neraca'!$A$3:$S$910,7,FALSE))</f>
        <v>0</v>
      </c>
      <c r="I311" s="42">
        <f>VLOOKUP($A311,'Neraca Unaudited SIMAK'!$A$2:$R$1272,8,FALSE)+IF(ISNA(VLOOKUP($A311,'Mutasi Neraca'!$A$3:$S$910,8,FALSE)),0,VLOOKUP($A311,'Mutasi Neraca'!$A$3:$S$910,8,FALSE))</f>
        <v>26360000</v>
      </c>
      <c r="J311" s="42">
        <f>VLOOKUP($A311,'Neraca Unaudited SIMAK'!$A$2:$R$1272,9,FALSE)+IF(ISNA(VLOOKUP($A311,'Mutasi Neraca'!$A$3:$S$910,9,FALSE)),0,VLOOKUP($A311,'Mutasi Neraca'!$A$3:$S$910,9,FALSE))</f>
        <v>0</v>
      </c>
      <c r="K311" s="42">
        <f>VLOOKUP($A311,'Neraca Unaudited SIMAK'!$A$2:$R$1272,10,FALSE)+IF(ISNA(VLOOKUP($A311,'Mutasi Neraca'!$A$3:$S$910,10,FALSE)),0,VLOOKUP($A311,'Mutasi Neraca'!$A$3:$S$910,10,FALSE))</f>
        <v>2900000</v>
      </c>
      <c r="L311" s="42">
        <f>VLOOKUP($A311,'Neraca Unaudited SIMAK'!$A$2:$R$1272,11,FALSE)+IF(ISNA(VLOOKUP($A311,'Mutasi Neraca'!$A$3:$S$910,11,FALSE)),0,VLOOKUP($A311,'Mutasi Neraca'!$A$3:$S$910,11,FALSE))</f>
        <v>33715000</v>
      </c>
      <c r="M311" s="42">
        <f>VLOOKUP($A311,'Neraca Unaudited SIMAK'!$A$2:$R$1272,12,FALSE)+IF(ISNA(VLOOKUP($A311,'Mutasi Neraca'!$A$3:$S$910,12,FALSE)),0,VLOOKUP($A311,'Mutasi Neraca'!$A$3:$S$910,12,FALSE))</f>
        <v>11347760346</v>
      </c>
      <c r="N311" s="42">
        <f>VLOOKUP($A311,'Neraca Unaudited SIMAK'!$A$2:$R$1272,13,FALSE)+IF(ISNA(VLOOKUP($A311,'Mutasi Neraca'!$A$3:$S$910,13,FALSE)),0,VLOOKUP($A311,'Mutasi Neraca'!$A$3:$S$910,13,FALSE))</f>
        <v>-1091263118</v>
      </c>
      <c r="O311" s="42">
        <f>VLOOKUP($A311,'Neraca Unaudited SIMAK'!$A$2:$R$1272,14,FALSE)+IF(ISNA(VLOOKUP($A311,'Mutasi Neraca'!$A$3:$S$910,14,FALSE)),0,VLOOKUP($A311,'Mutasi Neraca'!$A$3:$S$910,14,FALSE))</f>
        <v>-550081170</v>
      </c>
      <c r="P311" s="42">
        <f>VLOOKUP($A311,'Neraca Unaudited SIMAK'!$A$2:$R$1272,15,FALSE)+IF(ISNA(VLOOKUP($A311,'Mutasi Neraca'!$A$3:$S$910,15,FALSE)),0,VLOOKUP($A311,'Mutasi Neraca'!$A$3:$S$910,15,FALSE))</f>
        <v>0</v>
      </c>
      <c r="Q311" s="42">
        <f>VLOOKUP($A311,'Neraca Unaudited SIMAK'!$A$2:$R$1272,16,FALSE)+IF(ISNA(VLOOKUP($A311,'Mutasi Neraca'!$A$3:$S$910,16,FALSE)),0,VLOOKUP($A311,'Mutasi Neraca'!$A$3:$S$910,16,FALSE))</f>
        <v>0</v>
      </c>
      <c r="R311" s="42">
        <f>VLOOKUP($A311,'Neraca Unaudited SIMAK'!$A$2:$R$1272,17,FALSE)+IF(ISNA(VLOOKUP($A311,'Mutasi Neraca'!$A$3:$S$910,17,FALSE)),0,VLOOKUP($A311,'Mutasi Neraca'!$A$3:$S$910,17,FALSE))</f>
        <v>-33260000</v>
      </c>
      <c r="S311" s="42">
        <f t="shared" si="51"/>
        <v>9673156058</v>
      </c>
    </row>
    <row r="312" spans="1:19">
      <c r="A312" s="41" t="s">
        <v>319</v>
      </c>
      <c r="B312" s="41" t="str">
        <f t="shared" si="50"/>
        <v>005010700</v>
      </c>
      <c r="D312" s="42">
        <f>VLOOKUP($A312,'Neraca Unaudited SIMAK'!$A$2:$R$1272,3,FALSE)+IF(ISNA(VLOOKUP($A312,'Mutasi Neraca'!$A$3:$S$910,3,FALSE)),0,VLOOKUP($A312,'Mutasi Neraca'!$A$3:$S$910,3,FALSE))</f>
        <v>0</v>
      </c>
      <c r="E312" s="42">
        <f>VLOOKUP($A312,'Neraca Unaudited SIMAK'!$A$2:$R$1272,4,FALSE)+IF(ISNA(VLOOKUP($A312,'Mutasi Neraca'!$A$3:$S$910,4,FALSE)),0,VLOOKUP($A312,'Mutasi Neraca'!$A$3:$S$910,4,FALSE))</f>
        <v>302300000</v>
      </c>
      <c r="F312" s="42">
        <f>VLOOKUP($A312,'Neraca Unaudited SIMAK'!$A$2:$R$1272,5,FALSE)+IF(ISNA(VLOOKUP($A312,'Mutasi Neraca'!$A$3:$S$910,5,FALSE)),0,VLOOKUP($A312,'Mutasi Neraca'!$A$3:$S$910,5,FALSE))</f>
        <v>1435546368</v>
      </c>
      <c r="G312" s="42">
        <f>VLOOKUP($A312,'Neraca Unaudited SIMAK'!$A$2:$R$1272,6,FALSE)+IF(ISNA(VLOOKUP($A312,'Mutasi Neraca'!$A$3:$S$910,6,FALSE)),0,VLOOKUP($A312,'Mutasi Neraca'!$A$3:$S$910,6,FALSE))</f>
        <v>6581041851</v>
      </c>
      <c r="H312" s="42">
        <f>VLOOKUP($A312,'Neraca Unaudited SIMAK'!$A$2:$R$1272,7,FALSE)+IF(ISNA(VLOOKUP($A312,'Mutasi Neraca'!$A$3:$S$910,7,FALSE)),0,VLOOKUP($A312,'Mutasi Neraca'!$A$3:$S$910,7,FALSE))</f>
        <v>0</v>
      </c>
      <c r="I312" s="42">
        <f>VLOOKUP($A312,'Neraca Unaudited SIMAK'!$A$2:$R$1272,8,FALSE)+IF(ISNA(VLOOKUP($A312,'Mutasi Neraca'!$A$3:$S$910,8,FALSE)),0,VLOOKUP($A312,'Mutasi Neraca'!$A$3:$S$910,8,FALSE))</f>
        <v>2993440</v>
      </c>
      <c r="J312" s="42">
        <f>VLOOKUP($A312,'Neraca Unaudited SIMAK'!$A$2:$R$1272,9,FALSE)+IF(ISNA(VLOOKUP($A312,'Mutasi Neraca'!$A$3:$S$910,9,FALSE)),0,VLOOKUP($A312,'Mutasi Neraca'!$A$3:$S$910,9,FALSE))</f>
        <v>0</v>
      </c>
      <c r="K312" s="42">
        <f>VLOOKUP($A312,'Neraca Unaudited SIMAK'!$A$2:$R$1272,10,FALSE)+IF(ISNA(VLOOKUP($A312,'Mutasi Neraca'!$A$3:$S$910,10,FALSE)),0,VLOOKUP($A312,'Mutasi Neraca'!$A$3:$S$910,10,FALSE))</f>
        <v>0</v>
      </c>
      <c r="L312" s="42">
        <f>VLOOKUP($A312,'Neraca Unaudited SIMAK'!$A$2:$R$1272,11,FALSE)+IF(ISNA(VLOOKUP($A312,'Mutasi Neraca'!$A$3:$S$910,11,FALSE)),0,VLOOKUP($A312,'Mutasi Neraca'!$A$3:$S$910,11,FALSE))</f>
        <v>0</v>
      </c>
      <c r="M312" s="42">
        <f>VLOOKUP($A312,'Neraca Unaudited SIMAK'!$A$2:$R$1272,12,FALSE)+IF(ISNA(VLOOKUP($A312,'Mutasi Neraca'!$A$3:$S$910,12,FALSE)),0,VLOOKUP($A312,'Mutasi Neraca'!$A$3:$S$910,12,FALSE))</f>
        <v>8321881659</v>
      </c>
      <c r="N312" s="42">
        <f>VLOOKUP($A312,'Neraca Unaudited SIMAK'!$A$2:$R$1272,13,FALSE)+IF(ISNA(VLOOKUP($A312,'Mutasi Neraca'!$A$3:$S$910,13,FALSE)),0,VLOOKUP($A312,'Mutasi Neraca'!$A$3:$S$910,13,FALSE))</f>
        <v>-1360529278</v>
      </c>
      <c r="O312" s="42">
        <f>VLOOKUP($A312,'Neraca Unaudited SIMAK'!$A$2:$R$1272,14,FALSE)+IF(ISNA(VLOOKUP($A312,'Mutasi Neraca'!$A$3:$S$910,14,FALSE)),0,VLOOKUP($A312,'Mutasi Neraca'!$A$3:$S$910,14,FALSE))</f>
        <v>-995447045</v>
      </c>
      <c r="P312" s="42">
        <f>VLOOKUP($A312,'Neraca Unaudited SIMAK'!$A$2:$R$1272,15,FALSE)+IF(ISNA(VLOOKUP($A312,'Mutasi Neraca'!$A$3:$S$910,15,FALSE)),0,VLOOKUP($A312,'Mutasi Neraca'!$A$3:$S$910,15,FALSE))</f>
        <v>0</v>
      </c>
      <c r="Q312" s="42">
        <f>VLOOKUP($A312,'Neraca Unaudited SIMAK'!$A$2:$R$1272,16,FALSE)+IF(ISNA(VLOOKUP($A312,'Mutasi Neraca'!$A$3:$S$910,16,FALSE)),0,VLOOKUP($A312,'Mutasi Neraca'!$A$3:$S$910,16,FALSE))</f>
        <v>0</v>
      </c>
      <c r="R312" s="42">
        <f>VLOOKUP($A312,'Neraca Unaudited SIMAK'!$A$2:$R$1272,17,FALSE)+IF(ISNA(VLOOKUP($A312,'Mutasi Neraca'!$A$3:$S$910,17,FALSE)),0,VLOOKUP($A312,'Mutasi Neraca'!$A$3:$S$910,17,FALSE))</f>
        <v>0</v>
      </c>
      <c r="S312" s="42">
        <f t="shared" si="51"/>
        <v>5965905336</v>
      </c>
    </row>
    <row r="313" spans="1:19">
      <c r="A313" s="41" t="s">
        <v>320</v>
      </c>
      <c r="B313" s="41" t="str">
        <f t="shared" si="50"/>
        <v>005010700</v>
      </c>
      <c r="D313" s="42">
        <f>VLOOKUP($A313,'Neraca Unaudited SIMAK'!$A$2:$R$1272,3,FALSE)+IF(ISNA(VLOOKUP($A313,'Mutasi Neraca'!$A$3:$S$910,3,FALSE)),0,VLOOKUP($A313,'Mutasi Neraca'!$A$3:$S$910,3,FALSE))</f>
        <v>4141000</v>
      </c>
      <c r="E313" s="42">
        <f>VLOOKUP($A313,'Neraca Unaudited SIMAK'!$A$2:$R$1272,4,FALSE)+IF(ISNA(VLOOKUP($A313,'Mutasi Neraca'!$A$3:$S$910,4,FALSE)),0,VLOOKUP($A313,'Mutasi Neraca'!$A$3:$S$910,4,FALSE))</f>
        <v>13321694000</v>
      </c>
      <c r="F313" s="42">
        <f>VLOOKUP($A313,'Neraca Unaudited SIMAK'!$A$2:$R$1272,5,FALSE)+IF(ISNA(VLOOKUP($A313,'Mutasi Neraca'!$A$3:$S$910,5,FALSE)),0,VLOOKUP($A313,'Mutasi Neraca'!$A$3:$S$910,5,FALSE))</f>
        <v>3642434440</v>
      </c>
      <c r="G313" s="42">
        <f>VLOOKUP($A313,'Neraca Unaudited SIMAK'!$A$2:$R$1272,6,FALSE)+IF(ISNA(VLOOKUP($A313,'Mutasi Neraca'!$A$3:$S$910,6,FALSE)),0,VLOOKUP($A313,'Mutasi Neraca'!$A$3:$S$910,6,FALSE))</f>
        <v>6684890275</v>
      </c>
      <c r="H313" s="42">
        <f>VLOOKUP($A313,'Neraca Unaudited SIMAK'!$A$2:$R$1272,7,FALSE)+IF(ISNA(VLOOKUP($A313,'Mutasi Neraca'!$A$3:$S$910,7,FALSE)),0,VLOOKUP($A313,'Mutasi Neraca'!$A$3:$S$910,7,FALSE))</f>
        <v>416489820</v>
      </c>
      <c r="I313" s="42">
        <f>VLOOKUP($A313,'Neraca Unaudited SIMAK'!$A$2:$R$1272,8,FALSE)+IF(ISNA(VLOOKUP($A313,'Mutasi Neraca'!$A$3:$S$910,8,FALSE)),0,VLOOKUP($A313,'Mutasi Neraca'!$A$3:$S$910,8,FALSE))</f>
        <v>25833000</v>
      </c>
      <c r="J313" s="42">
        <f>VLOOKUP($A313,'Neraca Unaudited SIMAK'!$A$2:$R$1272,9,FALSE)+IF(ISNA(VLOOKUP($A313,'Mutasi Neraca'!$A$3:$S$910,9,FALSE)),0,VLOOKUP($A313,'Mutasi Neraca'!$A$3:$S$910,9,FALSE))</f>
        <v>0</v>
      </c>
      <c r="K313" s="42">
        <f>VLOOKUP($A313,'Neraca Unaudited SIMAK'!$A$2:$R$1272,10,FALSE)+IF(ISNA(VLOOKUP($A313,'Mutasi Neraca'!$A$3:$S$910,10,FALSE)),0,VLOOKUP($A313,'Mutasi Neraca'!$A$3:$S$910,10,FALSE))</f>
        <v>50000000</v>
      </c>
      <c r="L313" s="42">
        <f>VLOOKUP($A313,'Neraca Unaudited SIMAK'!$A$2:$R$1272,11,FALSE)+IF(ISNA(VLOOKUP($A313,'Mutasi Neraca'!$A$3:$S$910,11,FALSE)),0,VLOOKUP($A313,'Mutasi Neraca'!$A$3:$S$910,11,FALSE))</f>
        <v>3231000</v>
      </c>
      <c r="M313" s="42">
        <f>VLOOKUP($A313,'Neraca Unaudited SIMAK'!$A$2:$R$1272,12,FALSE)+IF(ISNA(VLOOKUP($A313,'Mutasi Neraca'!$A$3:$S$910,12,FALSE)),0,VLOOKUP($A313,'Mutasi Neraca'!$A$3:$S$910,12,FALSE))</f>
        <v>24148713535</v>
      </c>
      <c r="N313" s="42">
        <f>VLOOKUP($A313,'Neraca Unaudited SIMAK'!$A$2:$R$1272,13,FALSE)+IF(ISNA(VLOOKUP($A313,'Mutasi Neraca'!$A$3:$S$910,13,FALSE)),0,VLOOKUP($A313,'Mutasi Neraca'!$A$3:$S$910,13,FALSE))</f>
        <v>-3106955470</v>
      </c>
      <c r="O313" s="42">
        <f>VLOOKUP($A313,'Neraca Unaudited SIMAK'!$A$2:$R$1272,14,FALSE)+IF(ISNA(VLOOKUP($A313,'Mutasi Neraca'!$A$3:$S$910,14,FALSE)),0,VLOOKUP($A313,'Mutasi Neraca'!$A$3:$S$910,14,FALSE))</f>
        <v>-2730200441</v>
      </c>
      <c r="P313" s="42">
        <f>VLOOKUP($A313,'Neraca Unaudited SIMAK'!$A$2:$R$1272,15,FALSE)+IF(ISNA(VLOOKUP($A313,'Mutasi Neraca'!$A$3:$S$910,15,FALSE)),0,VLOOKUP($A313,'Mutasi Neraca'!$A$3:$S$910,15,FALSE))</f>
        <v>-213646361</v>
      </c>
      <c r="Q313" s="42">
        <f>VLOOKUP($A313,'Neraca Unaudited SIMAK'!$A$2:$R$1272,16,FALSE)+IF(ISNA(VLOOKUP($A313,'Mutasi Neraca'!$A$3:$S$910,16,FALSE)),0,VLOOKUP($A313,'Mutasi Neraca'!$A$3:$S$910,16,FALSE))</f>
        <v>0</v>
      </c>
      <c r="R313" s="42">
        <f>VLOOKUP($A313,'Neraca Unaudited SIMAK'!$A$2:$R$1272,17,FALSE)+IF(ISNA(VLOOKUP($A313,'Mutasi Neraca'!$A$3:$S$910,17,FALSE)),0,VLOOKUP($A313,'Mutasi Neraca'!$A$3:$S$910,17,FALSE))</f>
        <v>-2903000</v>
      </c>
      <c r="S313" s="42">
        <f t="shared" si="51"/>
        <v>18095008263</v>
      </c>
    </row>
    <row r="314" spans="1:19">
      <c r="A314" s="41" t="s">
        <v>321</v>
      </c>
      <c r="B314" s="41" t="str">
        <f t="shared" si="50"/>
        <v>005010700</v>
      </c>
      <c r="D314" s="42">
        <f>VLOOKUP($A314,'Neraca Unaudited SIMAK'!$A$2:$R$1272,3,FALSE)+IF(ISNA(VLOOKUP($A314,'Mutasi Neraca'!$A$3:$S$910,3,FALSE)),0,VLOOKUP($A314,'Mutasi Neraca'!$A$3:$S$910,3,FALSE))</f>
        <v>1250500</v>
      </c>
      <c r="E314" s="42">
        <f>VLOOKUP($A314,'Neraca Unaudited SIMAK'!$A$2:$R$1272,4,FALSE)+IF(ISNA(VLOOKUP($A314,'Mutasi Neraca'!$A$3:$S$910,4,FALSE)),0,VLOOKUP($A314,'Mutasi Neraca'!$A$3:$S$910,4,FALSE))</f>
        <v>5548179000</v>
      </c>
      <c r="F314" s="42">
        <f>VLOOKUP($A314,'Neraca Unaudited SIMAK'!$A$2:$R$1272,5,FALSE)+IF(ISNA(VLOOKUP($A314,'Mutasi Neraca'!$A$3:$S$910,5,FALSE)),0,VLOOKUP($A314,'Mutasi Neraca'!$A$3:$S$910,5,FALSE))</f>
        <v>2101172357</v>
      </c>
      <c r="G314" s="42">
        <f>VLOOKUP($A314,'Neraca Unaudited SIMAK'!$A$2:$R$1272,6,FALSE)+IF(ISNA(VLOOKUP($A314,'Mutasi Neraca'!$A$3:$S$910,6,FALSE)),0,VLOOKUP($A314,'Mutasi Neraca'!$A$3:$S$910,6,FALSE))</f>
        <v>8142348600</v>
      </c>
      <c r="H314" s="42">
        <f>VLOOKUP($A314,'Neraca Unaudited SIMAK'!$A$2:$R$1272,7,FALSE)+IF(ISNA(VLOOKUP($A314,'Mutasi Neraca'!$A$3:$S$910,7,FALSE)),0,VLOOKUP($A314,'Mutasi Neraca'!$A$3:$S$910,7,FALSE))</f>
        <v>0</v>
      </c>
      <c r="I314" s="42">
        <f>VLOOKUP($A314,'Neraca Unaudited SIMAK'!$A$2:$R$1272,8,FALSE)+IF(ISNA(VLOOKUP($A314,'Mutasi Neraca'!$A$3:$S$910,8,FALSE)),0,VLOOKUP($A314,'Mutasi Neraca'!$A$3:$S$910,8,FALSE))</f>
        <v>0</v>
      </c>
      <c r="J314" s="42">
        <f>VLOOKUP($A314,'Neraca Unaudited SIMAK'!$A$2:$R$1272,9,FALSE)+IF(ISNA(VLOOKUP($A314,'Mutasi Neraca'!$A$3:$S$910,9,FALSE)),0,VLOOKUP($A314,'Mutasi Neraca'!$A$3:$S$910,9,FALSE))</f>
        <v>0</v>
      </c>
      <c r="K314" s="42">
        <f>VLOOKUP($A314,'Neraca Unaudited SIMAK'!$A$2:$R$1272,10,FALSE)+IF(ISNA(VLOOKUP($A314,'Mutasi Neraca'!$A$3:$S$910,10,FALSE)),0,VLOOKUP($A314,'Mutasi Neraca'!$A$3:$S$910,10,FALSE))</f>
        <v>82885000</v>
      </c>
      <c r="L314" s="42">
        <f>VLOOKUP($A314,'Neraca Unaudited SIMAK'!$A$2:$R$1272,11,FALSE)+IF(ISNA(VLOOKUP($A314,'Mutasi Neraca'!$A$3:$S$910,11,FALSE)),0,VLOOKUP($A314,'Mutasi Neraca'!$A$3:$S$910,11,FALSE))</f>
        <v>119209564</v>
      </c>
      <c r="M314" s="42">
        <f>VLOOKUP($A314,'Neraca Unaudited SIMAK'!$A$2:$R$1272,12,FALSE)+IF(ISNA(VLOOKUP($A314,'Mutasi Neraca'!$A$3:$S$910,12,FALSE)),0,VLOOKUP($A314,'Mutasi Neraca'!$A$3:$S$910,12,FALSE))</f>
        <v>15995045021</v>
      </c>
      <c r="N314" s="42">
        <f>VLOOKUP($A314,'Neraca Unaudited SIMAK'!$A$2:$R$1272,13,FALSE)+IF(ISNA(VLOOKUP($A314,'Mutasi Neraca'!$A$3:$S$910,13,FALSE)),0,VLOOKUP($A314,'Mutasi Neraca'!$A$3:$S$910,13,FALSE))</f>
        <v>-1526517778</v>
      </c>
      <c r="O314" s="42">
        <f>VLOOKUP($A314,'Neraca Unaudited SIMAK'!$A$2:$R$1272,14,FALSE)+IF(ISNA(VLOOKUP($A314,'Mutasi Neraca'!$A$3:$S$910,14,FALSE)),0,VLOOKUP($A314,'Mutasi Neraca'!$A$3:$S$910,14,FALSE))</f>
        <v>-1099026887</v>
      </c>
      <c r="P314" s="42">
        <f>VLOOKUP($A314,'Neraca Unaudited SIMAK'!$A$2:$R$1272,15,FALSE)+IF(ISNA(VLOOKUP($A314,'Mutasi Neraca'!$A$3:$S$910,15,FALSE)),0,VLOOKUP($A314,'Mutasi Neraca'!$A$3:$S$910,15,FALSE))</f>
        <v>0</v>
      </c>
      <c r="Q314" s="42">
        <f>VLOOKUP($A314,'Neraca Unaudited SIMAK'!$A$2:$R$1272,16,FALSE)+IF(ISNA(VLOOKUP($A314,'Mutasi Neraca'!$A$3:$S$910,16,FALSE)),0,VLOOKUP($A314,'Mutasi Neraca'!$A$3:$S$910,16,FALSE))</f>
        <v>0</v>
      </c>
      <c r="R314" s="42">
        <f>VLOOKUP($A314,'Neraca Unaudited SIMAK'!$A$2:$R$1272,17,FALSE)+IF(ISNA(VLOOKUP($A314,'Mutasi Neraca'!$A$3:$S$910,17,FALSE)),0,VLOOKUP($A314,'Mutasi Neraca'!$A$3:$S$910,17,FALSE))</f>
        <v>-119209564</v>
      </c>
      <c r="S314" s="42">
        <f t="shared" si="51"/>
        <v>13250290792</v>
      </c>
    </row>
    <row r="315" spans="1:19">
      <c r="A315" s="41" t="s">
        <v>322</v>
      </c>
      <c r="B315" s="41" t="str">
        <f t="shared" si="50"/>
        <v>005010700</v>
      </c>
      <c r="D315" s="42">
        <f>VLOOKUP($A315,'Neraca Unaudited SIMAK'!$A$2:$R$1272,3,FALSE)+IF(ISNA(VLOOKUP($A315,'Mutasi Neraca'!$A$3:$S$910,3,FALSE)),0,VLOOKUP($A315,'Mutasi Neraca'!$A$3:$S$910,3,FALSE))</f>
        <v>430000</v>
      </c>
      <c r="E315" s="42">
        <f>VLOOKUP($A315,'Neraca Unaudited SIMAK'!$A$2:$R$1272,4,FALSE)+IF(ISNA(VLOOKUP($A315,'Mutasi Neraca'!$A$3:$S$910,4,FALSE)),0,VLOOKUP($A315,'Mutasi Neraca'!$A$3:$S$910,4,FALSE))</f>
        <v>1435920000</v>
      </c>
      <c r="F315" s="42">
        <f>VLOOKUP($A315,'Neraca Unaudited SIMAK'!$A$2:$R$1272,5,FALSE)+IF(ISNA(VLOOKUP($A315,'Mutasi Neraca'!$A$3:$S$910,5,FALSE)),0,VLOOKUP($A315,'Mutasi Neraca'!$A$3:$S$910,5,FALSE))</f>
        <v>2245026134</v>
      </c>
      <c r="G315" s="42">
        <f>VLOOKUP($A315,'Neraca Unaudited SIMAK'!$A$2:$R$1272,6,FALSE)+IF(ISNA(VLOOKUP($A315,'Mutasi Neraca'!$A$3:$S$910,6,FALSE)),0,VLOOKUP($A315,'Mutasi Neraca'!$A$3:$S$910,6,FALSE))</f>
        <v>4838474700</v>
      </c>
      <c r="H315" s="42">
        <f>VLOOKUP($A315,'Neraca Unaudited SIMAK'!$A$2:$R$1272,7,FALSE)+IF(ISNA(VLOOKUP($A315,'Mutasi Neraca'!$A$3:$S$910,7,FALSE)),0,VLOOKUP($A315,'Mutasi Neraca'!$A$3:$S$910,7,FALSE))</f>
        <v>166992000</v>
      </c>
      <c r="I315" s="42">
        <f>VLOOKUP($A315,'Neraca Unaudited SIMAK'!$A$2:$R$1272,8,FALSE)+IF(ISNA(VLOOKUP($A315,'Mutasi Neraca'!$A$3:$S$910,8,FALSE)),0,VLOOKUP($A315,'Mutasi Neraca'!$A$3:$S$910,8,FALSE))</f>
        <v>408000</v>
      </c>
      <c r="J315" s="42">
        <f>VLOOKUP($A315,'Neraca Unaudited SIMAK'!$A$2:$R$1272,9,FALSE)+IF(ISNA(VLOOKUP($A315,'Mutasi Neraca'!$A$3:$S$910,9,FALSE)),0,VLOOKUP($A315,'Mutasi Neraca'!$A$3:$S$910,9,FALSE))</f>
        <v>0</v>
      </c>
      <c r="K315" s="42">
        <f>VLOOKUP($A315,'Neraca Unaudited SIMAK'!$A$2:$R$1272,10,FALSE)+IF(ISNA(VLOOKUP($A315,'Mutasi Neraca'!$A$3:$S$910,10,FALSE)),0,VLOOKUP($A315,'Mutasi Neraca'!$A$3:$S$910,10,FALSE))</f>
        <v>0</v>
      </c>
      <c r="L315" s="42">
        <f>VLOOKUP($A315,'Neraca Unaudited SIMAK'!$A$2:$R$1272,11,FALSE)+IF(ISNA(VLOOKUP($A315,'Mutasi Neraca'!$A$3:$S$910,11,FALSE)),0,VLOOKUP($A315,'Mutasi Neraca'!$A$3:$S$910,11,FALSE))</f>
        <v>0</v>
      </c>
      <c r="M315" s="42">
        <f>VLOOKUP($A315,'Neraca Unaudited SIMAK'!$A$2:$R$1272,12,FALSE)+IF(ISNA(VLOOKUP($A315,'Mutasi Neraca'!$A$3:$S$910,12,FALSE)),0,VLOOKUP($A315,'Mutasi Neraca'!$A$3:$S$910,12,FALSE))</f>
        <v>8687250834</v>
      </c>
      <c r="N315" s="42">
        <f>VLOOKUP($A315,'Neraca Unaudited SIMAK'!$A$2:$R$1272,13,FALSE)+IF(ISNA(VLOOKUP($A315,'Mutasi Neraca'!$A$3:$S$910,13,FALSE)),0,VLOOKUP($A315,'Mutasi Neraca'!$A$3:$S$910,13,FALSE))</f>
        <v>-1234458289</v>
      </c>
      <c r="O315" s="42">
        <f>VLOOKUP($A315,'Neraca Unaudited SIMAK'!$A$2:$R$1272,14,FALSE)+IF(ISNA(VLOOKUP($A315,'Mutasi Neraca'!$A$3:$S$910,14,FALSE)),0,VLOOKUP($A315,'Mutasi Neraca'!$A$3:$S$910,14,FALSE))</f>
        <v>-670238720</v>
      </c>
      <c r="P315" s="42">
        <f>VLOOKUP($A315,'Neraca Unaudited SIMAK'!$A$2:$R$1272,15,FALSE)+IF(ISNA(VLOOKUP($A315,'Mutasi Neraca'!$A$3:$S$910,15,FALSE)),0,VLOOKUP($A315,'Mutasi Neraca'!$A$3:$S$910,15,FALSE))</f>
        <v>-17740766</v>
      </c>
      <c r="Q315" s="42">
        <f>VLOOKUP($A315,'Neraca Unaudited SIMAK'!$A$2:$R$1272,16,FALSE)+IF(ISNA(VLOOKUP($A315,'Mutasi Neraca'!$A$3:$S$910,16,FALSE)),0,VLOOKUP($A315,'Mutasi Neraca'!$A$3:$S$910,16,FALSE))</f>
        <v>0</v>
      </c>
      <c r="R315" s="42">
        <f>VLOOKUP($A315,'Neraca Unaudited SIMAK'!$A$2:$R$1272,17,FALSE)+IF(ISNA(VLOOKUP($A315,'Mutasi Neraca'!$A$3:$S$910,17,FALSE)),0,VLOOKUP($A315,'Mutasi Neraca'!$A$3:$S$910,17,FALSE))</f>
        <v>0</v>
      </c>
      <c r="S315" s="42">
        <f t="shared" si="51"/>
        <v>6764813059</v>
      </c>
    </row>
    <row r="316" spans="1:19">
      <c r="A316" s="41" t="s">
        <v>323</v>
      </c>
      <c r="B316" s="41" t="str">
        <f t="shared" si="50"/>
        <v>005010700</v>
      </c>
      <c r="D316" s="42">
        <f>VLOOKUP($A316,'Neraca Unaudited SIMAK'!$A$2:$R$1272,3,FALSE)+IF(ISNA(VLOOKUP($A316,'Mutasi Neraca'!$A$3:$S$910,3,FALSE)),0,VLOOKUP($A316,'Mutasi Neraca'!$A$3:$S$910,3,FALSE))</f>
        <v>357600</v>
      </c>
      <c r="E316" s="42">
        <f>VLOOKUP($A316,'Neraca Unaudited SIMAK'!$A$2:$R$1272,4,FALSE)+IF(ISNA(VLOOKUP($A316,'Mutasi Neraca'!$A$3:$S$910,4,FALSE)),0,VLOOKUP($A316,'Mutasi Neraca'!$A$3:$S$910,4,FALSE))</f>
        <v>2829260000</v>
      </c>
      <c r="F316" s="42">
        <f>VLOOKUP($A316,'Neraca Unaudited SIMAK'!$A$2:$R$1272,5,FALSE)+IF(ISNA(VLOOKUP($A316,'Mutasi Neraca'!$A$3:$S$910,5,FALSE)),0,VLOOKUP($A316,'Mutasi Neraca'!$A$3:$S$910,5,FALSE))</f>
        <v>1122323594</v>
      </c>
      <c r="G316" s="42">
        <f>VLOOKUP($A316,'Neraca Unaudited SIMAK'!$A$2:$R$1272,6,FALSE)+IF(ISNA(VLOOKUP($A316,'Mutasi Neraca'!$A$3:$S$910,6,FALSE)),0,VLOOKUP($A316,'Mutasi Neraca'!$A$3:$S$910,6,FALSE))</f>
        <v>800586000</v>
      </c>
      <c r="H316" s="42">
        <f>VLOOKUP($A316,'Neraca Unaudited SIMAK'!$A$2:$R$1272,7,FALSE)+IF(ISNA(VLOOKUP($A316,'Mutasi Neraca'!$A$3:$S$910,7,FALSE)),0,VLOOKUP($A316,'Mutasi Neraca'!$A$3:$S$910,7,FALSE))</f>
        <v>49996600</v>
      </c>
      <c r="I316" s="42">
        <f>VLOOKUP($A316,'Neraca Unaudited SIMAK'!$A$2:$R$1272,8,FALSE)+IF(ISNA(VLOOKUP($A316,'Mutasi Neraca'!$A$3:$S$910,8,FALSE)),0,VLOOKUP($A316,'Mutasi Neraca'!$A$3:$S$910,8,FALSE))</f>
        <v>408000</v>
      </c>
      <c r="J316" s="42">
        <f>VLOOKUP($A316,'Neraca Unaudited SIMAK'!$A$2:$R$1272,9,FALSE)+IF(ISNA(VLOOKUP($A316,'Mutasi Neraca'!$A$3:$S$910,9,FALSE)),0,VLOOKUP($A316,'Mutasi Neraca'!$A$3:$S$910,9,FALSE))</f>
        <v>0</v>
      </c>
      <c r="K316" s="42">
        <f>VLOOKUP($A316,'Neraca Unaudited SIMAK'!$A$2:$R$1272,10,FALSE)+IF(ISNA(VLOOKUP($A316,'Mutasi Neraca'!$A$3:$S$910,10,FALSE)),0,VLOOKUP($A316,'Mutasi Neraca'!$A$3:$S$910,10,FALSE))</f>
        <v>0</v>
      </c>
      <c r="L316" s="42">
        <f>VLOOKUP($A316,'Neraca Unaudited SIMAK'!$A$2:$R$1272,11,FALSE)+IF(ISNA(VLOOKUP($A316,'Mutasi Neraca'!$A$3:$S$910,11,FALSE)),0,VLOOKUP($A316,'Mutasi Neraca'!$A$3:$S$910,11,FALSE))</f>
        <v>14638298</v>
      </c>
      <c r="M316" s="42">
        <f>VLOOKUP($A316,'Neraca Unaudited SIMAK'!$A$2:$R$1272,12,FALSE)+IF(ISNA(VLOOKUP($A316,'Mutasi Neraca'!$A$3:$S$910,12,FALSE)),0,VLOOKUP($A316,'Mutasi Neraca'!$A$3:$S$910,12,FALSE))</f>
        <v>4817570092</v>
      </c>
      <c r="N316" s="42">
        <f>VLOOKUP($A316,'Neraca Unaudited SIMAK'!$A$2:$R$1272,13,FALSE)+IF(ISNA(VLOOKUP($A316,'Mutasi Neraca'!$A$3:$S$910,13,FALSE)),0,VLOOKUP($A316,'Mutasi Neraca'!$A$3:$S$910,13,FALSE))</f>
        <v>-1076605844</v>
      </c>
      <c r="O316" s="42">
        <f>VLOOKUP($A316,'Neraca Unaudited SIMAK'!$A$2:$R$1272,14,FALSE)+IF(ISNA(VLOOKUP($A316,'Mutasi Neraca'!$A$3:$S$910,14,FALSE)),0,VLOOKUP($A316,'Mutasi Neraca'!$A$3:$S$910,14,FALSE))</f>
        <v>-207766330</v>
      </c>
      <c r="P316" s="42">
        <f>VLOOKUP($A316,'Neraca Unaudited SIMAK'!$A$2:$R$1272,15,FALSE)+IF(ISNA(VLOOKUP($A316,'Mutasi Neraca'!$A$3:$S$910,15,FALSE)),0,VLOOKUP($A316,'Mutasi Neraca'!$A$3:$S$910,15,FALSE))</f>
        <v>-624958</v>
      </c>
      <c r="Q316" s="42">
        <f>VLOOKUP($A316,'Neraca Unaudited SIMAK'!$A$2:$R$1272,16,FALSE)+IF(ISNA(VLOOKUP($A316,'Mutasi Neraca'!$A$3:$S$910,16,FALSE)),0,VLOOKUP($A316,'Mutasi Neraca'!$A$3:$S$910,16,FALSE))</f>
        <v>0</v>
      </c>
      <c r="R316" s="42">
        <f>VLOOKUP($A316,'Neraca Unaudited SIMAK'!$A$2:$R$1272,17,FALSE)+IF(ISNA(VLOOKUP($A316,'Mutasi Neraca'!$A$3:$S$910,17,FALSE)),0,VLOOKUP($A316,'Mutasi Neraca'!$A$3:$S$910,17,FALSE))</f>
        <v>-14638298</v>
      </c>
      <c r="S316" s="42">
        <f t="shared" si="51"/>
        <v>3517934662</v>
      </c>
    </row>
    <row r="317" spans="1:19">
      <c r="A317" s="41" t="s">
        <v>324</v>
      </c>
      <c r="B317" s="41" t="str">
        <f t="shared" si="50"/>
        <v>005010700</v>
      </c>
      <c r="D317" s="42">
        <f>VLOOKUP($A317,'Neraca Unaudited SIMAK'!$A$2:$R$1272,3,FALSE)+IF(ISNA(VLOOKUP($A317,'Mutasi Neraca'!$A$3:$S$910,3,FALSE)),0,VLOOKUP($A317,'Mutasi Neraca'!$A$3:$S$910,3,FALSE))</f>
        <v>238000</v>
      </c>
      <c r="E317" s="42">
        <f>VLOOKUP($A317,'Neraca Unaudited SIMAK'!$A$2:$R$1272,4,FALSE)+IF(ISNA(VLOOKUP($A317,'Mutasi Neraca'!$A$3:$S$910,4,FALSE)),0,VLOOKUP($A317,'Mutasi Neraca'!$A$3:$S$910,4,FALSE))</f>
        <v>555400000</v>
      </c>
      <c r="F317" s="42">
        <f>VLOOKUP($A317,'Neraca Unaudited SIMAK'!$A$2:$R$1272,5,FALSE)+IF(ISNA(VLOOKUP($A317,'Mutasi Neraca'!$A$3:$S$910,5,FALSE)),0,VLOOKUP($A317,'Mutasi Neraca'!$A$3:$S$910,5,FALSE))</f>
        <v>738550712</v>
      </c>
      <c r="G317" s="42">
        <f>VLOOKUP($A317,'Neraca Unaudited SIMAK'!$A$2:$R$1272,6,FALSE)+IF(ISNA(VLOOKUP($A317,'Mutasi Neraca'!$A$3:$S$910,6,FALSE)),0,VLOOKUP($A317,'Mutasi Neraca'!$A$3:$S$910,6,FALSE))</f>
        <v>451600000</v>
      </c>
      <c r="H317" s="42">
        <f>VLOOKUP($A317,'Neraca Unaudited SIMAK'!$A$2:$R$1272,7,FALSE)+IF(ISNA(VLOOKUP($A317,'Mutasi Neraca'!$A$3:$S$910,7,FALSE)),0,VLOOKUP($A317,'Mutasi Neraca'!$A$3:$S$910,7,FALSE))</f>
        <v>28500000</v>
      </c>
      <c r="I317" s="42">
        <f>VLOOKUP($A317,'Neraca Unaudited SIMAK'!$A$2:$R$1272,8,FALSE)+IF(ISNA(VLOOKUP($A317,'Mutasi Neraca'!$A$3:$S$910,8,FALSE)),0,VLOOKUP($A317,'Mutasi Neraca'!$A$3:$S$910,8,FALSE))</f>
        <v>4927050</v>
      </c>
      <c r="J317" s="42">
        <f>VLOOKUP($A317,'Neraca Unaudited SIMAK'!$A$2:$R$1272,9,FALSE)+IF(ISNA(VLOOKUP($A317,'Mutasi Neraca'!$A$3:$S$910,9,FALSE)),0,VLOOKUP($A317,'Mutasi Neraca'!$A$3:$S$910,9,FALSE))</f>
        <v>0</v>
      </c>
      <c r="K317" s="42">
        <f>VLOOKUP($A317,'Neraca Unaudited SIMAK'!$A$2:$R$1272,10,FALSE)+IF(ISNA(VLOOKUP($A317,'Mutasi Neraca'!$A$3:$S$910,10,FALSE)),0,VLOOKUP($A317,'Mutasi Neraca'!$A$3:$S$910,10,FALSE))</f>
        <v>0</v>
      </c>
      <c r="L317" s="42">
        <f>VLOOKUP($A317,'Neraca Unaudited SIMAK'!$A$2:$R$1272,11,FALSE)+IF(ISNA(VLOOKUP($A317,'Mutasi Neraca'!$A$3:$S$910,11,FALSE)),0,VLOOKUP($A317,'Mutasi Neraca'!$A$3:$S$910,11,FALSE))</f>
        <v>78171886</v>
      </c>
      <c r="M317" s="42">
        <f>VLOOKUP($A317,'Neraca Unaudited SIMAK'!$A$2:$R$1272,12,FALSE)+IF(ISNA(VLOOKUP($A317,'Mutasi Neraca'!$A$3:$S$910,12,FALSE)),0,VLOOKUP($A317,'Mutasi Neraca'!$A$3:$S$910,12,FALSE))</f>
        <v>1857387648</v>
      </c>
      <c r="N317" s="42">
        <f>VLOOKUP($A317,'Neraca Unaudited SIMAK'!$A$2:$R$1272,13,FALSE)+IF(ISNA(VLOOKUP($A317,'Mutasi Neraca'!$A$3:$S$910,13,FALSE)),0,VLOOKUP($A317,'Mutasi Neraca'!$A$3:$S$910,13,FALSE))</f>
        <v>-694910712</v>
      </c>
      <c r="O317" s="42">
        <f>VLOOKUP($A317,'Neraca Unaudited SIMAK'!$A$2:$R$1272,14,FALSE)+IF(ISNA(VLOOKUP($A317,'Mutasi Neraca'!$A$3:$S$910,14,FALSE)),0,VLOOKUP($A317,'Mutasi Neraca'!$A$3:$S$910,14,FALSE))</f>
        <v>-85804000</v>
      </c>
      <c r="P317" s="42">
        <f>VLOOKUP($A317,'Neraca Unaudited SIMAK'!$A$2:$R$1272,15,FALSE)+IF(ISNA(VLOOKUP($A317,'Mutasi Neraca'!$A$3:$S$910,15,FALSE)),0,VLOOKUP($A317,'Mutasi Neraca'!$A$3:$S$910,15,FALSE))</f>
        <v>-25087500</v>
      </c>
      <c r="Q317" s="42">
        <f>VLOOKUP($A317,'Neraca Unaudited SIMAK'!$A$2:$R$1272,16,FALSE)+IF(ISNA(VLOOKUP($A317,'Mutasi Neraca'!$A$3:$S$910,16,FALSE)),0,VLOOKUP($A317,'Mutasi Neraca'!$A$3:$S$910,16,FALSE))</f>
        <v>0</v>
      </c>
      <c r="R317" s="42">
        <f>VLOOKUP($A317,'Neraca Unaudited SIMAK'!$A$2:$R$1272,17,FALSE)+IF(ISNA(VLOOKUP($A317,'Mutasi Neraca'!$A$3:$S$910,17,FALSE)),0,VLOOKUP($A317,'Mutasi Neraca'!$A$3:$S$910,17,FALSE))</f>
        <v>-78171886</v>
      </c>
      <c r="S317" s="42">
        <f t="shared" si="51"/>
        <v>973413550</v>
      </c>
    </row>
    <row r="318" spans="1:19">
      <c r="A318" s="41" t="s">
        <v>325</v>
      </c>
      <c r="B318" s="41" t="str">
        <f t="shared" si="50"/>
        <v>005010700</v>
      </c>
      <c r="D318" s="42">
        <f>VLOOKUP($A318,'Neraca Unaudited SIMAK'!$A$2:$R$1272,3,FALSE)+IF(ISNA(VLOOKUP($A318,'Mutasi Neraca'!$A$3:$S$910,3,FALSE)),0,VLOOKUP($A318,'Mutasi Neraca'!$A$3:$S$910,3,FALSE))</f>
        <v>90000</v>
      </c>
      <c r="E318" s="42">
        <f>VLOOKUP($A318,'Neraca Unaudited SIMAK'!$A$2:$R$1272,4,FALSE)+IF(ISNA(VLOOKUP($A318,'Mutasi Neraca'!$A$3:$S$910,4,FALSE)),0,VLOOKUP($A318,'Mutasi Neraca'!$A$3:$S$910,4,FALSE))</f>
        <v>2769900000</v>
      </c>
      <c r="F318" s="42">
        <f>VLOOKUP($A318,'Neraca Unaudited SIMAK'!$A$2:$R$1272,5,FALSE)+IF(ISNA(VLOOKUP($A318,'Mutasi Neraca'!$A$3:$S$910,5,FALSE)),0,VLOOKUP($A318,'Mutasi Neraca'!$A$3:$S$910,5,FALSE))</f>
        <v>1008288207</v>
      </c>
      <c r="G318" s="42">
        <f>VLOOKUP($A318,'Neraca Unaudited SIMAK'!$A$2:$R$1272,6,FALSE)+IF(ISNA(VLOOKUP($A318,'Mutasi Neraca'!$A$3:$S$910,6,FALSE)),0,VLOOKUP($A318,'Mutasi Neraca'!$A$3:$S$910,6,FALSE))</f>
        <v>964609000</v>
      </c>
      <c r="H318" s="42">
        <f>VLOOKUP($A318,'Neraca Unaudited SIMAK'!$A$2:$R$1272,7,FALSE)+IF(ISNA(VLOOKUP($A318,'Mutasi Neraca'!$A$3:$S$910,7,FALSE)),0,VLOOKUP($A318,'Mutasi Neraca'!$A$3:$S$910,7,FALSE))</f>
        <v>20705000</v>
      </c>
      <c r="I318" s="42">
        <f>VLOOKUP($A318,'Neraca Unaudited SIMAK'!$A$2:$R$1272,8,FALSE)+IF(ISNA(VLOOKUP($A318,'Mutasi Neraca'!$A$3:$S$910,8,FALSE)),0,VLOOKUP($A318,'Mutasi Neraca'!$A$3:$S$910,8,FALSE))</f>
        <v>40908000</v>
      </c>
      <c r="J318" s="42">
        <f>VLOOKUP($A318,'Neraca Unaudited SIMAK'!$A$2:$R$1272,9,FALSE)+IF(ISNA(VLOOKUP($A318,'Mutasi Neraca'!$A$3:$S$910,9,FALSE)),0,VLOOKUP($A318,'Mutasi Neraca'!$A$3:$S$910,9,FALSE))</f>
        <v>7565092000</v>
      </c>
      <c r="K318" s="42">
        <f>VLOOKUP($A318,'Neraca Unaudited SIMAK'!$A$2:$R$1272,10,FALSE)+IF(ISNA(VLOOKUP($A318,'Mutasi Neraca'!$A$3:$S$910,10,FALSE)),0,VLOOKUP($A318,'Mutasi Neraca'!$A$3:$S$910,10,FALSE))</f>
        <v>0</v>
      </c>
      <c r="L318" s="42">
        <f>VLOOKUP($A318,'Neraca Unaudited SIMAK'!$A$2:$R$1272,11,FALSE)+IF(ISNA(VLOOKUP($A318,'Mutasi Neraca'!$A$3:$S$910,11,FALSE)),0,VLOOKUP($A318,'Mutasi Neraca'!$A$3:$S$910,11,FALSE))</f>
        <v>75849012</v>
      </c>
      <c r="M318" s="42">
        <f>VLOOKUP($A318,'Neraca Unaudited SIMAK'!$A$2:$R$1272,12,FALSE)+IF(ISNA(VLOOKUP($A318,'Mutasi Neraca'!$A$3:$S$910,12,FALSE)),0,VLOOKUP($A318,'Mutasi Neraca'!$A$3:$S$910,12,FALSE))</f>
        <v>12445441219</v>
      </c>
      <c r="N318" s="42">
        <f>VLOOKUP($A318,'Neraca Unaudited SIMAK'!$A$2:$R$1272,13,FALSE)+IF(ISNA(VLOOKUP($A318,'Mutasi Neraca'!$A$3:$S$910,13,FALSE)),0,VLOOKUP($A318,'Mutasi Neraca'!$A$3:$S$910,13,FALSE))</f>
        <v>-700854722</v>
      </c>
      <c r="O318" s="42">
        <f>VLOOKUP($A318,'Neraca Unaudited SIMAK'!$A$2:$R$1272,14,FALSE)+IF(ISNA(VLOOKUP($A318,'Mutasi Neraca'!$A$3:$S$910,14,FALSE)),0,VLOOKUP($A318,'Mutasi Neraca'!$A$3:$S$910,14,FALSE))</f>
        <v>-116217105</v>
      </c>
      <c r="P318" s="42">
        <f>VLOOKUP($A318,'Neraca Unaudited SIMAK'!$A$2:$R$1272,15,FALSE)+IF(ISNA(VLOOKUP($A318,'Mutasi Neraca'!$A$3:$S$910,15,FALSE)),0,VLOOKUP($A318,'Mutasi Neraca'!$A$3:$S$910,15,FALSE))</f>
        <v>-20705000</v>
      </c>
      <c r="Q318" s="42">
        <f>VLOOKUP($A318,'Neraca Unaudited SIMAK'!$A$2:$R$1272,16,FALSE)+IF(ISNA(VLOOKUP($A318,'Mutasi Neraca'!$A$3:$S$910,16,FALSE)),0,VLOOKUP($A318,'Mutasi Neraca'!$A$3:$S$910,16,FALSE))</f>
        <v>0</v>
      </c>
      <c r="R318" s="42">
        <f>VLOOKUP($A318,'Neraca Unaudited SIMAK'!$A$2:$R$1272,17,FALSE)+IF(ISNA(VLOOKUP($A318,'Mutasi Neraca'!$A$3:$S$910,17,FALSE)),0,VLOOKUP($A318,'Mutasi Neraca'!$A$3:$S$910,17,FALSE))</f>
        <v>-73611000</v>
      </c>
      <c r="S318" s="42">
        <f t="shared" si="51"/>
        <v>11534053392</v>
      </c>
    </row>
    <row r="319" spans="1:19">
      <c r="A319" s="41" t="s">
        <v>326</v>
      </c>
      <c r="B319" s="41" t="str">
        <f t="shared" si="50"/>
        <v>005010700</v>
      </c>
      <c r="D319" s="42">
        <f>VLOOKUP($A319,'Neraca Unaudited SIMAK'!$A$2:$R$1272,3,FALSE)+IF(ISNA(VLOOKUP($A319,'Mutasi Neraca'!$A$3:$S$910,3,FALSE)),0,VLOOKUP($A319,'Mutasi Neraca'!$A$3:$S$910,3,FALSE))</f>
        <v>6528009</v>
      </c>
      <c r="E319" s="42">
        <f>VLOOKUP($A319,'Neraca Unaudited SIMAK'!$A$2:$R$1272,4,FALSE)+IF(ISNA(VLOOKUP($A319,'Mutasi Neraca'!$A$3:$S$910,4,FALSE)),0,VLOOKUP($A319,'Mutasi Neraca'!$A$3:$S$910,4,FALSE))</f>
        <v>3750000000</v>
      </c>
      <c r="F319" s="42">
        <f>VLOOKUP($A319,'Neraca Unaudited SIMAK'!$A$2:$R$1272,5,FALSE)+IF(ISNA(VLOOKUP($A319,'Mutasi Neraca'!$A$3:$S$910,5,FALSE)),0,VLOOKUP($A319,'Mutasi Neraca'!$A$3:$S$910,5,FALSE))</f>
        <v>2753773291</v>
      </c>
      <c r="G319" s="42">
        <f>VLOOKUP($A319,'Neraca Unaudited SIMAK'!$A$2:$R$1272,6,FALSE)+IF(ISNA(VLOOKUP($A319,'Mutasi Neraca'!$A$3:$S$910,6,FALSE)),0,VLOOKUP($A319,'Mutasi Neraca'!$A$3:$S$910,6,FALSE))</f>
        <v>8883852370</v>
      </c>
      <c r="H319" s="42">
        <f>VLOOKUP($A319,'Neraca Unaudited SIMAK'!$A$2:$R$1272,7,FALSE)+IF(ISNA(VLOOKUP($A319,'Mutasi Neraca'!$A$3:$S$910,7,FALSE)),0,VLOOKUP($A319,'Mutasi Neraca'!$A$3:$S$910,7,FALSE))</f>
        <v>100300000</v>
      </c>
      <c r="I319" s="42">
        <f>VLOOKUP($A319,'Neraca Unaudited SIMAK'!$A$2:$R$1272,8,FALSE)+IF(ISNA(VLOOKUP($A319,'Mutasi Neraca'!$A$3:$S$910,8,FALSE)),0,VLOOKUP($A319,'Mutasi Neraca'!$A$3:$S$910,8,FALSE))</f>
        <v>0</v>
      </c>
      <c r="J319" s="42">
        <f>VLOOKUP($A319,'Neraca Unaudited SIMAK'!$A$2:$R$1272,9,FALSE)+IF(ISNA(VLOOKUP($A319,'Mutasi Neraca'!$A$3:$S$910,9,FALSE)),0,VLOOKUP($A319,'Mutasi Neraca'!$A$3:$S$910,9,FALSE))</f>
        <v>0</v>
      </c>
      <c r="K319" s="42">
        <f>VLOOKUP($A319,'Neraca Unaudited SIMAK'!$A$2:$R$1272,10,FALSE)+IF(ISNA(VLOOKUP($A319,'Mutasi Neraca'!$A$3:$S$910,10,FALSE)),0,VLOOKUP($A319,'Mutasi Neraca'!$A$3:$S$910,10,FALSE))</f>
        <v>125275000</v>
      </c>
      <c r="L319" s="42">
        <f>VLOOKUP($A319,'Neraca Unaudited SIMAK'!$A$2:$R$1272,11,FALSE)+IF(ISNA(VLOOKUP($A319,'Mutasi Neraca'!$A$3:$S$910,11,FALSE)),0,VLOOKUP($A319,'Mutasi Neraca'!$A$3:$S$910,11,FALSE))</f>
        <v>0</v>
      </c>
      <c r="M319" s="42">
        <f>VLOOKUP($A319,'Neraca Unaudited SIMAK'!$A$2:$R$1272,12,FALSE)+IF(ISNA(VLOOKUP($A319,'Mutasi Neraca'!$A$3:$S$910,12,FALSE)),0,VLOOKUP($A319,'Mutasi Neraca'!$A$3:$S$910,12,FALSE))</f>
        <v>15619728670</v>
      </c>
      <c r="N319" s="42">
        <f>VLOOKUP($A319,'Neraca Unaudited SIMAK'!$A$2:$R$1272,13,FALSE)+IF(ISNA(VLOOKUP($A319,'Mutasi Neraca'!$A$3:$S$910,13,FALSE)),0,VLOOKUP($A319,'Mutasi Neraca'!$A$3:$S$910,13,FALSE))</f>
        <v>-2251527033</v>
      </c>
      <c r="O319" s="42">
        <f>VLOOKUP($A319,'Neraca Unaudited SIMAK'!$A$2:$R$1272,14,FALSE)+IF(ISNA(VLOOKUP($A319,'Mutasi Neraca'!$A$3:$S$910,14,FALSE)),0,VLOOKUP($A319,'Mutasi Neraca'!$A$3:$S$910,14,FALSE))</f>
        <v>-1154900810</v>
      </c>
      <c r="P319" s="42">
        <f>VLOOKUP($A319,'Neraca Unaudited SIMAK'!$A$2:$R$1272,15,FALSE)+IF(ISNA(VLOOKUP($A319,'Mutasi Neraca'!$A$3:$S$910,15,FALSE)),0,VLOOKUP($A319,'Mutasi Neraca'!$A$3:$S$910,15,FALSE))</f>
        <v>-38846669</v>
      </c>
      <c r="Q319" s="42">
        <f>VLOOKUP($A319,'Neraca Unaudited SIMAK'!$A$2:$R$1272,16,FALSE)+IF(ISNA(VLOOKUP($A319,'Mutasi Neraca'!$A$3:$S$910,16,FALSE)),0,VLOOKUP($A319,'Mutasi Neraca'!$A$3:$S$910,16,FALSE))</f>
        <v>0</v>
      </c>
      <c r="R319" s="42">
        <f>VLOOKUP($A319,'Neraca Unaudited SIMAK'!$A$2:$R$1272,17,FALSE)+IF(ISNA(VLOOKUP($A319,'Mutasi Neraca'!$A$3:$S$910,17,FALSE)),0,VLOOKUP($A319,'Mutasi Neraca'!$A$3:$S$910,17,FALSE))</f>
        <v>0</v>
      </c>
      <c r="S319" s="42">
        <f t="shared" si="51"/>
        <v>12174454158</v>
      </c>
    </row>
    <row r="320" spans="1:19">
      <c r="A320" s="41" t="s">
        <v>327</v>
      </c>
      <c r="B320" s="41" t="str">
        <f t="shared" si="50"/>
        <v>005010700</v>
      </c>
      <c r="D320" s="42">
        <f>VLOOKUP($A320,'Neraca Unaudited SIMAK'!$A$2:$R$1272,3,FALSE)+IF(ISNA(VLOOKUP($A320,'Mutasi Neraca'!$A$3:$S$910,3,FALSE)),0,VLOOKUP($A320,'Mutasi Neraca'!$A$3:$S$910,3,FALSE))</f>
        <v>221000</v>
      </c>
      <c r="E320" s="42">
        <f>VLOOKUP($A320,'Neraca Unaudited SIMAK'!$A$2:$R$1272,4,FALSE)+IF(ISNA(VLOOKUP($A320,'Mutasi Neraca'!$A$3:$S$910,4,FALSE)),0,VLOOKUP($A320,'Mutasi Neraca'!$A$3:$S$910,4,FALSE))</f>
        <v>2500000000</v>
      </c>
      <c r="F320" s="42">
        <f>VLOOKUP($A320,'Neraca Unaudited SIMAK'!$A$2:$R$1272,5,FALSE)+IF(ISNA(VLOOKUP($A320,'Mutasi Neraca'!$A$3:$S$910,5,FALSE)),0,VLOOKUP($A320,'Mutasi Neraca'!$A$3:$S$910,5,FALSE))</f>
        <v>2046955724</v>
      </c>
      <c r="G320" s="42">
        <f>VLOOKUP($A320,'Neraca Unaudited SIMAK'!$A$2:$R$1272,6,FALSE)+IF(ISNA(VLOOKUP($A320,'Mutasi Neraca'!$A$3:$S$910,6,FALSE)),0,VLOOKUP($A320,'Mutasi Neraca'!$A$3:$S$910,6,FALSE))</f>
        <v>8542499182</v>
      </c>
      <c r="H320" s="42">
        <f>VLOOKUP($A320,'Neraca Unaudited SIMAK'!$A$2:$R$1272,7,FALSE)+IF(ISNA(VLOOKUP($A320,'Mutasi Neraca'!$A$3:$S$910,7,FALSE)),0,VLOOKUP($A320,'Mutasi Neraca'!$A$3:$S$910,7,FALSE))</f>
        <v>117038050</v>
      </c>
      <c r="I320" s="42">
        <f>VLOOKUP($A320,'Neraca Unaudited SIMAK'!$A$2:$R$1272,8,FALSE)+IF(ISNA(VLOOKUP($A320,'Mutasi Neraca'!$A$3:$S$910,8,FALSE)),0,VLOOKUP($A320,'Mutasi Neraca'!$A$3:$S$910,8,FALSE))</f>
        <v>0</v>
      </c>
      <c r="J320" s="42">
        <f>VLOOKUP($A320,'Neraca Unaudited SIMAK'!$A$2:$R$1272,9,FALSE)+IF(ISNA(VLOOKUP($A320,'Mutasi Neraca'!$A$3:$S$910,9,FALSE)),0,VLOOKUP($A320,'Mutasi Neraca'!$A$3:$S$910,9,FALSE))</f>
        <v>0</v>
      </c>
      <c r="K320" s="42">
        <f>VLOOKUP($A320,'Neraca Unaudited SIMAK'!$A$2:$R$1272,10,FALSE)+IF(ISNA(VLOOKUP($A320,'Mutasi Neraca'!$A$3:$S$910,10,FALSE)),0,VLOOKUP($A320,'Mutasi Neraca'!$A$3:$S$910,10,FALSE))</f>
        <v>119437285</v>
      </c>
      <c r="L320" s="42">
        <f>VLOOKUP($A320,'Neraca Unaudited SIMAK'!$A$2:$R$1272,11,FALSE)+IF(ISNA(VLOOKUP($A320,'Mutasi Neraca'!$A$3:$S$910,11,FALSE)),0,VLOOKUP($A320,'Mutasi Neraca'!$A$3:$S$910,11,FALSE))</f>
        <v>57800625</v>
      </c>
      <c r="M320" s="42">
        <f>VLOOKUP($A320,'Neraca Unaudited SIMAK'!$A$2:$R$1272,12,FALSE)+IF(ISNA(VLOOKUP($A320,'Mutasi Neraca'!$A$3:$S$910,12,FALSE)),0,VLOOKUP($A320,'Mutasi Neraca'!$A$3:$S$910,12,FALSE))</f>
        <v>13383951866</v>
      </c>
      <c r="N320" s="42">
        <f>VLOOKUP($A320,'Neraca Unaudited SIMAK'!$A$2:$R$1272,13,FALSE)+IF(ISNA(VLOOKUP($A320,'Mutasi Neraca'!$A$3:$S$910,13,FALSE)),0,VLOOKUP($A320,'Mutasi Neraca'!$A$3:$S$910,13,FALSE))</f>
        <v>-1503353129</v>
      </c>
      <c r="O320" s="42">
        <f>VLOOKUP($A320,'Neraca Unaudited SIMAK'!$A$2:$R$1272,14,FALSE)+IF(ISNA(VLOOKUP($A320,'Mutasi Neraca'!$A$3:$S$910,14,FALSE)),0,VLOOKUP($A320,'Mutasi Neraca'!$A$3:$S$910,14,FALSE))</f>
        <v>-597974944</v>
      </c>
      <c r="P320" s="42">
        <f>VLOOKUP($A320,'Neraca Unaudited SIMAK'!$A$2:$R$1272,15,FALSE)+IF(ISNA(VLOOKUP($A320,'Mutasi Neraca'!$A$3:$S$910,15,FALSE)),0,VLOOKUP($A320,'Mutasi Neraca'!$A$3:$S$910,15,FALSE))</f>
        <v>-99432160</v>
      </c>
      <c r="Q320" s="42">
        <f>VLOOKUP($A320,'Neraca Unaudited SIMAK'!$A$2:$R$1272,16,FALSE)+IF(ISNA(VLOOKUP($A320,'Mutasi Neraca'!$A$3:$S$910,16,FALSE)),0,VLOOKUP($A320,'Mutasi Neraca'!$A$3:$S$910,16,FALSE))</f>
        <v>0</v>
      </c>
      <c r="R320" s="42">
        <f>VLOOKUP($A320,'Neraca Unaudited SIMAK'!$A$2:$R$1272,17,FALSE)+IF(ISNA(VLOOKUP($A320,'Mutasi Neraca'!$A$3:$S$910,17,FALSE)),0,VLOOKUP($A320,'Mutasi Neraca'!$A$3:$S$910,17,FALSE))</f>
        <v>-54369141</v>
      </c>
      <c r="S320" s="42">
        <f t="shared" si="51"/>
        <v>11128822492</v>
      </c>
    </row>
    <row r="321" spans="1:19">
      <c r="A321" s="41" t="s">
        <v>328</v>
      </c>
      <c r="B321" s="41" t="str">
        <f t="shared" si="50"/>
        <v>005010700</v>
      </c>
      <c r="D321" s="42">
        <f>VLOOKUP($A321,'Neraca Unaudited SIMAK'!$A$2:$R$1272,3,FALSE)+IF(ISNA(VLOOKUP($A321,'Mutasi Neraca'!$A$3:$S$910,3,FALSE)),0,VLOOKUP($A321,'Mutasi Neraca'!$A$3:$S$910,3,FALSE))</f>
        <v>175000</v>
      </c>
      <c r="E321" s="42">
        <f>VLOOKUP($A321,'Neraca Unaudited SIMAK'!$A$2:$R$1272,4,FALSE)+IF(ISNA(VLOOKUP($A321,'Mutasi Neraca'!$A$3:$S$910,4,FALSE)),0,VLOOKUP($A321,'Mutasi Neraca'!$A$3:$S$910,4,FALSE))</f>
        <v>3664193500</v>
      </c>
      <c r="F321" s="42">
        <f>VLOOKUP($A321,'Neraca Unaudited SIMAK'!$A$2:$R$1272,5,FALSE)+IF(ISNA(VLOOKUP($A321,'Mutasi Neraca'!$A$3:$S$910,5,FALSE)),0,VLOOKUP($A321,'Mutasi Neraca'!$A$3:$S$910,5,FALSE))</f>
        <v>1180420000</v>
      </c>
      <c r="G321" s="42">
        <f>VLOOKUP($A321,'Neraca Unaudited SIMAK'!$A$2:$R$1272,6,FALSE)+IF(ISNA(VLOOKUP($A321,'Mutasi Neraca'!$A$3:$S$910,6,FALSE)),0,VLOOKUP($A321,'Mutasi Neraca'!$A$3:$S$910,6,FALSE))</f>
        <v>6674711499</v>
      </c>
      <c r="H321" s="42">
        <f>VLOOKUP($A321,'Neraca Unaudited SIMAK'!$A$2:$R$1272,7,FALSE)+IF(ISNA(VLOOKUP($A321,'Mutasi Neraca'!$A$3:$S$910,7,FALSE)),0,VLOOKUP($A321,'Mutasi Neraca'!$A$3:$S$910,7,FALSE))</f>
        <v>0</v>
      </c>
      <c r="I321" s="42">
        <f>VLOOKUP($A321,'Neraca Unaudited SIMAK'!$A$2:$R$1272,8,FALSE)+IF(ISNA(VLOOKUP($A321,'Mutasi Neraca'!$A$3:$S$910,8,FALSE)),0,VLOOKUP($A321,'Mutasi Neraca'!$A$3:$S$910,8,FALSE))</f>
        <v>1943440</v>
      </c>
      <c r="J321" s="42">
        <f>VLOOKUP($A321,'Neraca Unaudited SIMAK'!$A$2:$R$1272,9,FALSE)+IF(ISNA(VLOOKUP($A321,'Mutasi Neraca'!$A$3:$S$910,9,FALSE)),0,VLOOKUP($A321,'Mutasi Neraca'!$A$3:$S$910,9,FALSE))</f>
        <v>0</v>
      </c>
      <c r="K321" s="42">
        <f>VLOOKUP($A321,'Neraca Unaudited SIMAK'!$A$2:$R$1272,10,FALSE)+IF(ISNA(VLOOKUP($A321,'Mutasi Neraca'!$A$3:$S$910,10,FALSE)),0,VLOOKUP($A321,'Mutasi Neraca'!$A$3:$S$910,10,FALSE))</f>
        <v>0</v>
      </c>
      <c r="L321" s="42">
        <f>VLOOKUP($A321,'Neraca Unaudited SIMAK'!$A$2:$R$1272,11,FALSE)+IF(ISNA(VLOOKUP($A321,'Mutasi Neraca'!$A$3:$S$910,11,FALSE)),0,VLOOKUP($A321,'Mutasi Neraca'!$A$3:$S$910,11,FALSE))</f>
        <v>0</v>
      </c>
      <c r="M321" s="42">
        <f>VLOOKUP($A321,'Neraca Unaudited SIMAK'!$A$2:$R$1272,12,FALSE)+IF(ISNA(VLOOKUP($A321,'Mutasi Neraca'!$A$3:$S$910,12,FALSE)),0,VLOOKUP($A321,'Mutasi Neraca'!$A$3:$S$910,12,FALSE))</f>
        <v>11521443439</v>
      </c>
      <c r="N321" s="42">
        <f>VLOOKUP($A321,'Neraca Unaudited SIMAK'!$A$2:$R$1272,13,FALSE)+IF(ISNA(VLOOKUP($A321,'Mutasi Neraca'!$A$3:$S$910,13,FALSE)),0,VLOOKUP($A321,'Mutasi Neraca'!$A$3:$S$910,13,FALSE))</f>
        <v>-929204813</v>
      </c>
      <c r="O321" s="42">
        <f>VLOOKUP($A321,'Neraca Unaudited SIMAK'!$A$2:$R$1272,14,FALSE)+IF(ISNA(VLOOKUP($A321,'Mutasi Neraca'!$A$3:$S$910,14,FALSE)),0,VLOOKUP($A321,'Mutasi Neraca'!$A$3:$S$910,14,FALSE))</f>
        <v>-595985456</v>
      </c>
      <c r="P321" s="42">
        <f>VLOOKUP($A321,'Neraca Unaudited SIMAK'!$A$2:$R$1272,15,FALSE)+IF(ISNA(VLOOKUP($A321,'Mutasi Neraca'!$A$3:$S$910,15,FALSE)),0,VLOOKUP($A321,'Mutasi Neraca'!$A$3:$S$910,15,FALSE))</f>
        <v>0</v>
      </c>
      <c r="Q321" s="42">
        <f>VLOOKUP($A321,'Neraca Unaudited SIMAK'!$A$2:$R$1272,16,FALSE)+IF(ISNA(VLOOKUP($A321,'Mutasi Neraca'!$A$3:$S$910,16,FALSE)),0,VLOOKUP($A321,'Mutasi Neraca'!$A$3:$S$910,16,FALSE))</f>
        <v>0</v>
      </c>
      <c r="R321" s="42">
        <f>VLOOKUP($A321,'Neraca Unaudited SIMAK'!$A$2:$R$1272,17,FALSE)+IF(ISNA(VLOOKUP($A321,'Mutasi Neraca'!$A$3:$S$910,17,FALSE)),0,VLOOKUP($A321,'Mutasi Neraca'!$A$3:$S$910,17,FALSE))</f>
        <v>0</v>
      </c>
      <c r="S321" s="42">
        <f t="shared" si="51"/>
        <v>9996253170</v>
      </c>
    </row>
    <row r="322" spans="1:19">
      <c r="A322" s="41" t="s">
        <v>329</v>
      </c>
      <c r="B322" s="41" t="str">
        <f t="shared" si="50"/>
        <v>005010700</v>
      </c>
      <c r="D322" s="42">
        <f>VLOOKUP($A322,'Neraca Unaudited SIMAK'!$A$2:$R$1272,3,FALSE)+IF(ISNA(VLOOKUP($A322,'Mutasi Neraca'!$A$3:$S$910,3,FALSE)),0,VLOOKUP($A322,'Mutasi Neraca'!$A$3:$S$910,3,FALSE))</f>
        <v>123000</v>
      </c>
      <c r="E322" s="42">
        <f>VLOOKUP($A322,'Neraca Unaudited SIMAK'!$A$2:$R$1272,4,FALSE)+IF(ISNA(VLOOKUP($A322,'Mutasi Neraca'!$A$3:$S$910,4,FALSE)),0,VLOOKUP($A322,'Mutasi Neraca'!$A$3:$S$910,4,FALSE))</f>
        <v>469400000</v>
      </c>
      <c r="F322" s="42">
        <f>VLOOKUP($A322,'Neraca Unaudited SIMAK'!$A$2:$R$1272,5,FALSE)+IF(ISNA(VLOOKUP($A322,'Mutasi Neraca'!$A$3:$S$910,5,FALSE)),0,VLOOKUP($A322,'Mutasi Neraca'!$A$3:$S$910,5,FALSE))</f>
        <v>483194500</v>
      </c>
      <c r="G322" s="42">
        <f>VLOOKUP($A322,'Neraca Unaudited SIMAK'!$A$2:$R$1272,6,FALSE)+IF(ISNA(VLOOKUP($A322,'Mutasi Neraca'!$A$3:$S$910,6,FALSE)),0,VLOOKUP($A322,'Mutasi Neraca'!$A$3:$S$910,6,FALSE))</f>
        <v>417000000</v>
      </c>
      <c r="H322" s="42">
        <f>VLOOKUP($A322,'Neraca Unaudited SIMAK'!$A$2:$R$1272,7,FALSE)+IF(ISNA(VLOOKUP($A322,'Mutasi Neraca'!$A$3:$S$910,7,FALSE)),0,VLOOKUP($A322,'Mutasi Neraca'!$A$3:$S$910,7,FALSE))</f>
        <v>0</v>
      </c>
      <c r="I322" s="42">
        <f>VLOOKUP($A322,'Neraca Unaudited SIMAK'!$A$2:$R$1272,8,FALSE)+IF(ISNA(VLOOKUP($A322,'Mutasi Neraca'!$A$3:$S$910,8,FALSE)),0,VLOOKUP($A322,'Mutasi Neraca'!$A$3:$S$910,8,FALSE))</f>
        <v>408000</v>
      </c>
      <c r="J322" s="42">
        <f>VLOOKUP($A322,'Neraca Unaudited SIMAK'!$A$2:$R$1272,9,FALSE)+IF(ISNA(VLOOKUP($A322,'Mutasi Neraca'!$A$3:$S$910,9,FALSE)),0,VLOOKUP($A322,'Mutasi Neraca'!$A$3:$S$910,9,FALSE))</f>
        <v>0</v>
      </c>
      <c r="K322" s="42">
        <f>VLOOKUP($A322,'Neraca Unaudited SIMAK'!$A$2:$R$1272,10,FALSE)+IF(ISNA(VLOOKUP($A322,'Mutasi Neraca'!$A$3:$S$910,10,FALSE)),0,VLOOKUP($A322,'Mutasi Neraca'!$A$3:$S$910,10,FALSE))</f>
        <v>0</v>
      </c>
      <c r="L322" s="42">
        <f>VLOOKUP($A322,'Neraca Unaudited SIMAK'!$A$2:$R$1272,11,FALSE)+IF(ISNA(VLOOKUP($A322,'Mutasi Neraca'!$A$3:$S$910,11,FALSE)),0,VLOOKUP($A322,'Mutasi Neraca'!$A$3:$S$910,11,FALSE))</f>
        <v>0</v>
      </c>
      <c r="M322" s="42">
        <f>VLOOKUP($A322,'Neraca Unaudited SIMAK'!$A$2:$R$1272,12,FALSE)+IF(ISNA(VLOOKUP($A322,'Mutasi Neraca'!$A$3:$S$910,12,FALSE)),0,VLOOKUP($A322,'Mutasi Neraca'!$A$3:$S$910,12,FALSE))</f>
        <v>1370125500</v>
      </c>
      <c r="N322" s="42">
        <f>VLOOKUP($A322,'Neraca Unaudited SIMAK'!$A$2:$R$1272,13,FALSE)+IF(ISNA(VLOOKUP($A322,'Mutasi Neraca'!$A$3:$S$910,13,FALSE)),0,VLOOKUP($A322,'Mutasi Neraca'!$A$3:$S$910,13,FALSE))</f>
        <v>-307932206</v>
      </c>
      <c r="O322" s="42">
        <f>VLOOKUP($A322,'Neraca Unaudited SIMAK'!$A$2:$R$1272,14,FALSE)+IF(ISNA(VLOOKUP($A322,'Mutasi Neraca'!$A$3:$S$910,14,FALSE)),0,VLOOKUP($A322,'Mutasi Neraca'!$A$3:$S$910,14,FALSE))</f>
        <v>-277326000</v>
      </c>
      <c r="P322" s="42">
        <f>VLOOKUP($A322,'Neraca Unaudited SIMAK'!$A$2:$R$1272,15,FALSE)+IF(ISNA(VLOOKUP($A322,'Mutasi Neraca'!$A$3:$S$910,15,FALSE)),0,VLOOKUP($A322,'Mutasi Neraca'!$A$3:$S$910,15,FALSE))</f>
        <v>0</v>
      </c>
      <c r="Q322" s="42">
        <f>VLOOKUP($A322,'Neraca Unaudited SIMAK'!$A$2:$R$1272,16,FALSE)+IF(ISNA(VLOOKUP($A322,'Mutasi Neraca'!$A$3:$S$910,16,FALSE)),0,VLOOKUP($A322,'Mutasi Neraca'!$A$3:$S$910,16,FALSE))</f>
        <v>0</v>
      </c>
      <c r="R322" s="42">
        <f>VLOOKUP($A322,'Neraca Unaudited SIMAK'!$A$2:$R$1272,17,FALSE)+IF(ISNA(VLOOKUP($A322,'Mutasi Neraca'!$A$3:$S$910,17,FALSE)),0,VLOOKUP($A322,'Mutasi Neraca'!$A$3:$S$910,17,FALSE))</f>
        <v>0</v>
      </c>
      <c r="S322" s="42">
        <f t="shared" si="51"/>
        <v>784867294</v>
      </c>
    </row>
    <row r="323" spans="1:19">
      <c r="A323" s="41" t="s">
        <v>330</v>
      </c>
      <c r="B323" s="41" t="str">
        <f t="shared" ref="B323:B386" si="52">LEFT(A323,9)</f>
        <v>005010800</v>
      </c>
      <c r="D323" s="42">
        <f>VLOOKUP($A323,'Neraca Unaudited SIMAK'!$A$2:$R$1272,3,FALSE)+IF(ISNA(VLOOKUP($A323,'Mutasi Neraca'!$A$3:$S$910,3,FALSE)),0,VLOOKUP($A323,'Mutasi Neraca'!$A$3:$S$910,3,FALSE))</f>
        <v>1632750</v>
      </c>
      <c r="E323" s="42">
        <f>VLOOKUP($A323,'Neraca Unaudited SIMAK'!$A$2:$R$1272,4,FALSE)+IF(ISNA(VLOOKUP($A323,'Mutasi Neraca'!$A$3:$S$910,4,FALSE)),0,VLOOKUP($A323,'Mutasi Neraca'!$A$3:$S$910,4,FALSE))</f>
        <v>6224654000</v>
      </c>
      <c r="F323" s="42">
        <f>VLOOKUP($A323,'Neraca Unaudited SIMAK'!$A$2:$R$1272,5,FALSE)+IF(ISNA(VLOOKUP($A323,'Mutasi Neraca'!$A$3:$S$910,5,FALSE)),0,VLOOKUP($A323,'Mutasi Neraca'!$A$3:$S$910,5,FALSE))</f>
        <v>5033842957</v>
      </c>
      <c r="G323" s="42">
        <f>VLOOKUP($A323,'Neraca Unaudited SIMAK'!$A$2:$R$1272,6,FALSE)+IF(ISNA(VLOOKUP($A323,'Mutasi Neraca'!$A$3:$S$910,6,FALSE)),0,VLOOKUP($A323,'Mutasi Neraca'!$A$3:$S$910,6,FALSE))</f>
        <v>12103003250</v>
      </c>
      <c r="H323" s="42">
        <f>VLOOKUP($A323,'Neraca Unaudited SIMAK'!$A$2:$R$1272,7,FALSE)+IF(ISNA(VLOOKUP($A323,'Mutasi Neraca'!$A$3:$S$910,7,FALSE)),0,VLOOKUP($A323,'Mutasi Neraca'!$A$3:$S$910,7,FALSE))</f>
        <v>84460000</v>
      </c>
      <c r="I323" s="42">
        <f>VLOOKUP($A323,'Neraca Unaudited SIMAK'!$A$2:$R$1272,8,FALSE)+IF(ISNA(VLOOKUP($A323,'Mutasi Neraca'!$A$3:$S$910,8,FALSE)),0,VLOOKUP($A323,'Mutasi Neraca'!$A$3:$S$910,8,FALSE))</f>
        <v>86351220</v>
      </c>
      <c r="J323" s="42">
        <f>VLOOKUP($A323,'Neraca Unaudited SIMAK'!$A$2:$R$1272,9,FALSE)+IF(ISNA(VLOOKUP($A323,'Mutasi Neraca'!$A$3:$S$910,9,FALSE)),0,VLOOKUP($A323,'Mutasi Neraca'!$A$3:$S$910,9,FALSE))</f>
        <v>0</v>
      </c>
      <c r="K323" s="42">
        <f>VLOOKUP($A323,'Neraca Unaudited SIMAK'!$A$2:$R$1272,10,FALSE)+IF(ISNA(VLOOKUP($A323,'Mutasi Neraca'!$A$3:$S$910,10,FALSE)),0,VLOOKUP($A323,'Mutasi Neraca'!$A$3:$S$910,10,FALSE))</f>
        <v>0</v>
      </c>
      <c r="L323" s="42">
        <f>VLOOKUP($A323,'Neraca Unaudited SIMAK'!$A$2:$R$1272,11,FALSE)+IF(ISNA(VLOOKUP($A323,'Mutasi Neraca'!$A$3:$S$910,11,FALSE)),0,VLOOKUP($A323,'Mutasi Neraca'!$A$3:$S$910,11,FALSE))</f>
        <v>751126500</v>
      </c>
      <c r="M323" s="42">
        <f>VLOOKUP($A323,'Neraca Unaudited SIMAK'!$A$2:$R$1272,12,FALSE)+IF(ISNA(VLOOKUP($A323,'Mutasi Neraca'!$A$3:$S$910,12,FALSE)),0,VLOOKUP($A323,'Mutasi Neraca'!$A$3:$S$910,12,FALSE))</f>
        <v>24285070677</v>
      </c>
      <c r="N323" s="42">
        <f>VLOOKUP($A323,'Neraca Unaudited SIMAK'!$A$2:$R$1272,13,FALSE)+IF(ISNA(VLOOKUP($A323,'Mutasi Neraca'!$A$3:$S$910,13,FALSE)),0,VLOOKUP($A323,'Mutasi Neraca'!$A$3:$S$910,13,FALSE))</f>
        <v>-4318316560</v>
      </c>
      <c r="O323" s="42">
        <f>VLOOKUP($A323,'Neraca Unaudited SIMAK'!$A$2:$R$1272,14,FALSE)+IF(ISNA(VLOOKUP($A323,'Mutasi Neraca'!$A$3:$S$910,14,FALSE)),0,VLOOKUP($A323,'Mutasi Neraca'!$A$3:$S$910,14,FALSE))</f>
        <v>-8148248880</v>
      </c>
      <c r="P323" s="42">
        <f>VLOOKUP($A323,'Neraca Unaudited SIMAK'!$A$2:$R$1272,15,FALSE)+IF(ISNA(VLOOKUP($A323,'Mutasi Neraca'!$A$3:$S$910,15,FALSE)),0,VLOOKUP($A323,'Mutasi Neraca'!$A$3:$S$910,15,FALSE))</f>
        <v>-15405438</v>
      </c>
      <c r="Q323" s="42">
        <f>VLOOKUP($A323,'Neraca Unaudited SIMAK'!$A$2:$R$1272,16,FALSE)+IF(ISNA(VLOOKUP($A323,'Mutasi Neraca'!$A$3:$S$910,16,FALSE)),0,VLOOKUP($A323,'Mutasi Neraca'!$A$3:$S$910,16,FALSE))</f>
        <v>0</v>
      </c>
      <c r="R323" s="42">
        <f>VLOOKUP($A323,'Neraca Unaudited SIMAK'!$A$2:$R$1272,17,FALSE)+IF(ISNA(VLOOKUP($A323,'Mutasi Neraca'!$A$3:$S$910,17,FALSE)),0,VLOOKUP($A323,'Mutasi Neraca'!$A$3:$S$910,17,FALSE))</f>
        <v>-751126500</v>
      </c>
      <c r="S323" s="42">
        <f t="shared" ref="S323:S386" si="53">SUM(M323:R323)</f>
        <v>11051973299</v>
      </c>
    </row>
    <row r="324" spans="1:19">
      <c r="A324" s="41" t="s">
        <v>331</v>
      </c>
      <c r="B324" s="41" t="str">
        <f t="shared" si="52"/>
        <v>005010800</v>
      </c>
      <c r="D324" s="42">
        <f>VLOOKUP($A324,'Neraca Unaudited SIMAK'!$A$2:$R$1272,3,FALSE)+IF(ISNA(VLOOKUP($A324,'Mutasi Neraca'!$A$3:$S$910,3,FALSE)),0,VLOOKUP($A324,'Mutasi Neraca'!$A$3:$S$910,3,FALSE))</f>
        <v>17286964</v>
      </c>
      <c r="E324" s="42">
        <f>VLOOKUP($A324,'Neraca Unaudited SIMAK'!$A$2:$R$1272,4,FALSE)+IF(ISNA(VLOOKUP($A324,'Mutasi Neraca'!$A$3:$S$910,4,FALSE)),0,VLOOKUP($A324,'Mutasi Neraca'!$A$3:$S$910,4,FALSE))</f>
        <v>9693550000</v>
      </c>
      <c r="F324" s="42">
        <f>VLOOKUP($A324,'Neraca Unaudited SIMAK'!$A$2:$R$1272,5,FALSE)+IF(ISNA(VLOOKUP($A324,'Mutasi Neraca'!$A$3:$S$910,5,FALSE)),0,VLOOKUP($A324,'Mutasi Neraca'!$A$3:$S$910,5,FALSE))</f>
        <v>3378386704</v>
      </c>
      <c r="G324" s="42">
        <f>VLOOKUP($A324,'Neraca Unaudited SIMAK'!$A$2:$R$1272,6,FALSE)+IF(ISNA(VLOOKUP($A324,'Mutasi Neraca'!$A$3:$S$910,6,FALSE)),0,VLOOKUP($A324,'Mutasi Neraca'!$A$3:$S$910,6,FALSE))</f>
        <v>13063350402</v>
      </c>
      <c r="H324" s="42">
        <f>VLOOKUP($A324,'Neraca Unaudited SIMAK'!$A$2:$R$1272,7,FALSE)+IF(ISNA(VLOOKUP($A324,'Mutasi Neraca'!$A$3:$S$910,7,FALSE)),0,VLOOKUP($A324,'Mutasi Neraca'!$A$3:$S$910,7,FALSE))</f>
        <v>74728000</v>
      </c>
      <c r="I324" s="42">
        <f>VLOOKUP($A324,'Neraca Unaudited SIMAK'!$A$2:$R$1272,8,FALSE)+IF(ISNA(VLOOKUP($A324,'Mutasi Neraca'!$A$3:$S$910,8,FALSE)),0,VLOOKUP($A324,'Mutasi Neraca'!$A$3:$S$910,8,FALSE))</f>
        <v>93483440</v>
      </c>
      <c r="J324" s="42">
        <f>VLOOKUP($A324,'Neraca Unaudited SIMAK'!$A$2:$R$1272,9,FALSE)+IF(ISNA(VLOOKUP($A324,'Mutasi Neraca'!$A$3:$S$910,9,FALSE)),0,VLOOKUP($A324,'Mutasi Neraca'!$A$3:$S$910,9,FALSE))</f>
        <v>0</v>
      </c>
      <c r="K324" s="42">
        <f>VLOOKUP($A324,'Neraca Unaudited SIMAK'!$A$2:$R$1272,10,FALSE)+IF(ISNA(VLOOKUP($A324,'Mutasi Neraca'!$A$3:$S$910,10,FALSE)),0,VLOOKUP($A324,'Mutasi Neraca'!$A$3:$S$910,10,FALSE))</f>
        <v>65066935</v>
      </c>
      <c r="L324" s="42">
        <f>VLOOKUP($A324,'Neraca Unaudited SIMAK'!$A$2:$R$1272,11,FALSE)+IF(ISNA(VLOOKUP($A324,'Mutasi Neraca'!$A$3:$S$910,11,FALSE)),0,VLOOKUP($A324,'Mutasi Neraca'!$A$3:$S$910,11,FALSE))</f>
        <v>20220000</v>
      </c>
      <c r="M324" s="42">
        <f>VLOOKUP($A324,'Neraca Unaudited SIMAK'!$A$2:$R$1272,12,FALSE)+IF(ISNA(VLOOKUP($A324,'Mutasi Neraca'!$A$3:$S$910,12,FALSE)),0,VLOOKUP($A324,'Mutasi Neraca'!$A$3:$S$910,12,FALSE))</f>
        <v>26406072445</v>
      </c>
      <c r="N324" s="42">
        <f>VLOOKUP($A324,'Neraca Unaudited SIMAK'!$A$2:$R$1272,13,FALSE)+IF(ISNA(VLOOKUP($A324,'Mutasi Neraca'!$A$3:$S$910,13,FALSE)),0,VLOOKUP($A324,'Mutasi Neraca'!$A$3:$S$910,13,FALSE))</f>
        <v>-3035346948</v>
      </c>
      <c r="O324" s="42">
        <f>VLOOKUP($A324,'Neraca Unaudited SIMAK'!$A$2:$R$1272,14,FALSE)+IF(ISNA(VLOOKUP($A324,'Mutasi Neraca'!$A$3:$S$910,14,FALSE)),0,VLOOKUP($A324,'Mutasi Neraca'!$A$3:$S$910,14,FALSE))</f>
        <v>-2171225810</v>
      </c>
      <c r="P324" s="42">
        <f>VLOOKUP($A324,'Neraca Unaudited SIMAK'!$A$2:$R$1272,15,FALSE)+IF(ISNA(VLOOKUP($A324,'Mutasi Neraca'!$A$3:$S$910,15,FALSE)),0,VLOOKUP($A324,'Mutasi Neraca'!$A$3:$S$910,15,FALSE))</f>
        <v>-14959971</v>
      </c>
      <c r="Q324" s="42">
        <f>VLOOKUP($A324,'Neraca Unaudited SIMAK'!$A$2:$R$1272,16,FALSE)+IF(ISNA(VLOOKUP($A324,'Mutasi Neraca'!$A$3:$S$910,16,FALSE)),0,VLOOKUP($A324,'Mutasi Neraca'!$A$3:$S$910,16,FALSE))</f>
        <v>0</v>
      </c>
      <c r="R324" s="42">
        <f>VLOOKUP($A324,'Neraca Unaudited SIMAK'!$A$2:$R$1272,17,FALSE)+IF(ISNA(VLOOKUP($A324,'Mutasi Neraca'!$A$3:$S$910,17,FALSE)),0,VLOOKUP($A324,'Mutasi Neraca'!$A$3:$S$910,17,FALSE))</f>
        <v>-20220000</v>
      </c>
      <c r="S324" s="42">
        <f t="shared" si="53"/>
        <v>21164319716</v>
      </c>
    </row>
    <row r="325" spans="1:19">
      <c r="A325" s="41" t="s">
        <v>332</v>
      </c>
      <c r="B325" s="41" t="str">
        <f t="shared" si="52"/>
        <v>005010800</v>
      </c>
      <c r="D325" s="42">
        <f>VLOOKUP($A325,'Neraca Unaudited SIMAK'!$A$2:$R$1272,3,FALSE)+IF(ISNA(VLOOKUP($A325,'Mutasi Neraca'!$A$3:$S$910,3,FALSE)),0,VLOOKUP($A325,'Mutasi Neraca'!$A$3:$S$910,3,FALSE))</f>
        <v>776422</v>
      </c>
      <c r="E325" s="42">
        <f>VLOOKUP($A325,'Neraca Unaudited SIMAK'!$A$2:$R$1272,4,FALSE)+IF(ISNA(VLOOKUP($A325,'Mutasi Neraca'!$A$3:$S$910,4,FALSE)),0,VLOOKUP($A325,'Mutasi Neraca'!$A$3:$S$910,4,FALSE))</f>
        <v>1109100000</v>
      </c>
      <c r="F325" s="42">
        <f>VLOOKUP($A325,'Neraca Unaudited SIMAK'!$A$2:$R$1272,5,FALSE)+IF(ISNA(VLOOKUP($A325,'Mutasi Neraca'!$A$3:$S$910,5,FALSE)),0,VLOOKUP($A325,'Mutasi Neraca'!$A$3:$S$910,5,FALSE))</f>
        <v>1888978620</v>
      </c>
      <c r="G325" s="42">
        <f>VLOOKUP($A325,'Neraca Unaudited SIMAK'!$A$2:$R$1272,6,FALSE)+IF(ISNA(VLOOKUP($A325,'Mutasi Neraca'!$A$3:$S$910,6,FALSE)),0,VLOOKUP($A325,'Mutasi Neraca'!$A$3:$S$910,6,FALSE))</f>
        <v>1397170000</v>
      </c>
      <c r="H325" s="42">
        <f>VLOOKUP($A325,'Neraca Unaudited SIMAK'!$A$2:$R$1272,7,FALSE)+IF(ISNA(VLOOKUP($A325,'Mutasi Neraca'!$A$3:$S$910,7,FALSE)),0,VLOOKUP($A325,'Mutasi Neraca'!$A$3:$S$910,7,FALSE))</f>
        <v>0</v>
      </c>
      <c r="I325" s="42">
        <f>VLOOKUP($A325,'Neraca Unaudited SIMAK'!$A$2:$R$1272,8,FALSE)+IF(ISNA(VLOOKUP($A325,'Mutasi Neraca'!$A$3:$S$910,8,FALSE)),0,VLOOKUP($A325,'Mutasi Neraca'!$A$3:$S$910,8,FALSE))</f>
        <v>20461002</v>
      </c>
      <c r="J325" s="42">
        <f>VLOOKUP($A325,'Neraca Unaudited SIMAK'!$A$2:$R$1272,9,FALSE)+IF(ISNA(VLOOKUP($A325,'Mutasi Neraca'!$A$3:$S$910,9,FALSE)),0,VLOOKUP($A325,'Mutasi Neraca'!$A$3:$S$910,9,FALSE))</f>
        <v>9961850594</v>
      </c>
      <c r="K325" s="42">
        <f>VLOOKUP($A325,'Neraca Unaudited SIMAK'!$A$2:$R$1272,10,FALSE)+IF(ISNA(VLOOKUP($A325,'Mutasi Neraca'!$A$3:$S$910,10,FALSE)),0,VLOOKUP($A325,'Mutasi Neraca'!$A$3:$S$910,10,FALSE))</f>
        <v>0</v>
      </c>
      <c r="L325" s="42">
        <f>VLOOKUP($A325,'Neraca Unaudited SIMAK'!$A$2:$R$1272,11,FALSE)+IF(ISNA(VLOOKUP($A325,'Mutasi Neraca'!$A$3:$S$910,11,FALSE)),0,VLOOKUP($A325,'Mutasi Neraca'!$A$3:$S$910,11,FALSE))</f>
        <v>1055647600</v>
      </c>
      <c r="M325" s="42">
        <f>VLOOKUP($A325,'Neraca Unaudited SIMAK'!$A$2:$R$1272,12,FALSE)+IF(ISNA(VLOOKUP($A325,'Mutasi Neraca'!$A$3:$S$910,12,FALSE)),0,VLOOKUP($A325,'Mutasi Neraca'!$A$3:$S$910,12,FALSE))</f>
        <v>15433984238</v>
      </c>
      <c r="N325" s="42">
        <f>VLOOKUP($A325,'Neraca Unaudited SIMAK'!$A$2:$R$1272,13,FALSE)+IF(ISNA(VLOOKUP($A325,'Mutasi Neraca'!$A$3:$S$910,13,FALSE)),0,VLOOKUP($A325,'Mutasi Neraca'!$A$3:$S$910,13,FALSE))</f>
        <v>-1487681637</v>
      </c>
      <c r="O325" s="42">
        <f>VLOOKUP($A325,'Neraca Unaudited SIMAK'!$A$2:$R$1272,14,FALSE)+IF(ISNA(VLOOKUP($A325,'Mutasi Neraca'!$A$3:$S$910,14,FALSE)),0,VLOOKUP($A325,'Mutasi Neraca'!$A$3:$S$910,14,FALSE))</f>
        <v>-844065880</v>
      </c>
      <c r="P325" s="42">
        <f>VLOOKUP($A325,'Neraca Unaudited SIMAK'!$A$2:$R$1272,15,FALSE)+IF(ISNA(VLOOKUP($A325,'Mutasi Neraca'!$A$3:$S$910,15,FALSE)),0,VLOOKUP($A325,'Mutasi Neraca'!$A$3:$S$910,15,FALSE))</f>
        <v>0</v>
      </c>
      <c r="Q325" s="42">
        <f>VLOOKUP($A325,'Neraca Unaudited SIMAK'!$A$2:$R$1272,16,FALSE)+IF(ISNA(VLOOKUP($A325,'Mutasi Neraca'!$A$3:$S$910,16,FALSE)),0,VLOOKUP($A325,'Mutasi Neraca'!$A$3:$S$910,16,FALSE))</f>
        <v>0</v>
      </c>
      <c r="R325" s="42">
        <f>VLOOKUP($A325,'Neraca Unaudited SIMAK'!$A$2:$R$1272,17,FALSE)+IF(ISNA(VLOOKUP($A325,'Mutasi Neraca'!$A$3:$S$910,17,FALSE)),0,VLOOKUP($A325,'Mutasi Neraca'!$A$3:$S$910,17,FALSE))</f>
        <v>-509170075</v>
      </c>
      <c r="S325" s="42">
        <f t="shared" si="53"/>
        <v>12593066646</v>
      </c>
    </row>
    <row r="326" spans="1:19">
      <c r="A326" s="41" t="s">
        <v>333</v>
      </c>
      <c r="B326" s="41" t="str">
        <f t="shared" si="52"/>
        <v>005010800</v>
      </c>
      <c r="D326" s="42">
        <f>VLOOKUP($A326,'Neraca Unaudited SIMAK'!$A$2:$R$1272,3,FALSE)+IF(ISNA(VLOOKUP($A326,'Mutasi Neraca'!$A$3:$S$910,3,FALSE)),0,VLOOKUP($A326,'Mutasi Neraca'!$A$3:$S$910,3,FALSE))</f>
        <v>5676100</v>
      </c>
      <c r="E326" s="42">
        <f>VLOOKUP($A326,'Neraca Unaudited SIMAK'!$A$2:$R$1272,4,FALSE)+IF(ISNA(VLOOKUP($A326,'Mutasi Neraca'!$A$3:$S$910,4,FALSE)),0,VLOOKUP($A326,'Mutasi Neraca'!$A$3:$S$910,4,FALSE))</f>
        <v>1889796620</v>
      </c>
      <c r="F326" s="42">
        <f>VLOOKUP($A326,'Neraca Unaudited SIMAK'!$A$2:$R$1272,5,FALSE)+IF(ISNA(VLOOKUP($A326,'Mutasi Neraca'!$A$3:$S$910,5,FALSE)),0,VLOOKUP($A326,'Mutasi Neraca'!$A$3:$S$910,5,FALSE))</f>
        <v>1764471217</v>
      </c>
      <c r="G326" s="42">
        <f>VLOOKUP($A326,'Neraca Unaudited SIMAK'!$A$2:$R$1272,6,FALSE)+IF(ISNA(VLOOKUP($A326,'Mutasi Neraca'!$A$3:$S$910,6,FALSE)),0,VLOOKUP($A326,'Mutasi Neraca'!$A$3:$S$910,6,FALSE))</f>
        <v>3315210758</v>
      </c>
      <c r="H326" s="42">
        <f>VLOOKUP($A326,'Neraca Unaudited SIMAK'!$A$2:$R$1272,7,FALSE)+IF(ISNA(VLOOKUP($A326,'Mutasi Neraca'!$A$3:$S$910,7,FALSE)),0,VLOOKUP($A326,'Mutasi Neraca'!$A$3:$S$910,7,FALSE))</f>
        <v>24500000</v>
      </c>
      <c r="I326" s="42">
        <f>VLOOKUP($A326,'Neraca Unaudited SIMAK'!$A$2:$R$1272,8,FALSE)+IF(ISNA(VLOOKUP($A326,'Mutasi Neraca'!$A$3:$S$910,8,FALSE)),0,VLOOKUP($A326,'Mutasi Neraca'!$A$3:$S$910,8,FALSE))</f>
        <v>53587002</v>
      </c>
      <c r="J326" s="42">
        <f>VLOOKUP($A326,'Neraca Unaudited SIMAK'!$A$2:$R$1272,9,FALSE)+IF(ISNA(VLOOKUP($A326,'Mutasi Neraca'!$A$3:$S$910,9,FALSE)),0,VLOOKUP($A326,'Mutasi Neraca'!$A$3:$S$910,9,FALSE))</f>
        <v>8679162020</v>
      </c>
      <c r="K326" s="42">
        <f>VLOOKUP($A326,'Neraca Unaudited SIMAK'!$A$2:$R$1272,10,FALSE)+IF(ISNA(VLOOKUP($A326,'Mutasi Neraca'!$A$3:$S$910,10,FALSE)),0,VLOOKUP($A326,'Mutasi Neraca'!$A$3:$S$910,10,FALSE))</f>
        <v>0</v>
      </c>
      <c r="L326" s="42">
        <f>VLOOKUP($A326,'Neraca Unaudited SIMAK'!$A$2:$R$1272,11,FALSE)+IF(ISNA(VLOOKUP($A326,'Mutasi Neraca'!$A$3:$S$910,11,FALSE)),0,VLOOKUP($A326,'Mutasi Neraca'!$A$3:$S$910,11,FALSE))</f>
        <v>7625000</v>
      </c>
      <c r="M326" s="42">
        <f>VLOOKUP($A326,'Neraca Unaudited SIMAK'!$A$2:$R$1272,12,FALSE)+IF(ISNA(VLOOKUP($A326,'Mutasi Neraca'!$A$3:$S$910,12,FALSE)),0,VLOOKUP($A326,'Mutasi Neraca'!$A$3:$S$910,12,FALSE))</f>
        <v>15740028717</v>
      </c>
      <c r="N326" s="42">
        <f>VLOOKUP($A326,'Neraca Unaudited SIMAK'!$A$2:$R$1272,13,FALSE)+IF(ISNA(VLOOKUP($A326,'Mutasi Neraca'!$A$3:$S$910,13,FALSE)),0,VLOOKUP($A326,'Mutasi Neraca'!$A$3:$S$910,13,FALSE))</f>
        <v>-1560509096</v>
      </c>
      <c r="O326" s="42">
        <f>VLOOKUP($A326,'Neraca Unaudited SIMAK'!$A$2:$R$1272,14,FALSE)+IF(ISNA(VLOOKUP($A326,'Mutasi Neraca'!$A$3:$S$910,14,FALSE)),0,VLOOKUP($A326,'Mutasi Neraca'!$A$3:$S$910,14,FALSE))</f>
        <v>-757014934</v>
      </c>
      <c r="P326" s="42">
        <f>VLOOKUP($A326,'Neraca Unaudited SIMAK'!$A$2:$R$1272,15,FALSE)+IF(ISNA(VLOOKUP($A326,'Mutasi Neraca'!$A$3:$S$910,15,FALSE)),0,VLOOKUP($A326,'Mutasi Neraca'!$A$3:$S$910,15,FALSE))</f>
        <v>-4593750</v>
      </c>
      <c r="Q326" s="42">
        <f>VLOOKUP($A326,'Neraca Unaudited SIMAK'!$A$2:$R$1272,16,FALSE)+IF(ISNA(VLOOKUP($A326,'Mutasi Neraca'!$A$3:$S$910,16,FALSE)),0,VLOOKUP($A326,'Mutasi Neraca'!$A$3:$S$910,16,FALSE))</f>
        <v>0</v>
      </c>
      <c r="R326" s="42">
        <f>VLOOKUP($A326,'Neraca Unaudited SIMAK'!$A$2:$R$1272,17,FALSE)+IF(ISNA(VLOOKUP($A326,'Mutasi Neraca'!$A$3:$S$910,17,FALSE)),0,VLOOKUP($A326,'Mutasi Neraca'!$A$3:$S$910,17,FALSE))</f>
        <v>-7625000</v>
      </c>
      <c r="S326" s="42">
        <f t="shared" si="53"/>
        <v>13410285937</v>
      </c>
    </row>
    <row r="327" spans="1:19">
      <c r="A327" s="41" t="s">
        <v>334</v>
      </c>
      <c r="B327" s="41" t="str">
        <f t="shared" si="52"/>
        <v>005010800</v>
      </c>
      <c r="D327" s="42">
        <f>VLOOKUP($A327,'Neraca Unaudited SIMAK'!$A$2:$R$1272,3,FALSE)+IF(ISNA(VLOOKUP($A327,'Mutasi Neraca'!$A$3:$S$910,3,FALSE)),0,VLOOKUP($A327,'Mutasi Neraca'!$A$3:$S$910,3,FALSE))</f>
        <v>696500</v>
      </c>
      <c r="E327" s="42">
        <f>VLOOKUP($A327,'Neraca Unaudited SIMAK'!$A$2:$R$1272,4,FALSE)+IF(ISNA(VLOOKUP($A327,'Mutasi Neraca'!$A$3:$S$910,4,FALSE)),0,VLOOKUP($A327,'Mutasi Neraca'!$A$3:$S$910,4,FALSE))</f>
        <v>2096000000</v>
      </c>
      <c r="F327" s="42">
        <f>VLOOKUP($A327,'Neraca Unaudited SIMAK'!$A$2:$R$1272,5,FALSE)+IF(ISNA(VLOOKUP($A327,'Mutasi Neraca'!$A$3:$S$910,5,FALSE)),0,VLOOKUP($A327,'Mutasi Neraca'!$A$3:$S$910,5,FALSE))</f>
        <v>1924614176</v>
      </c>
      <c r="G327" s="42">
        <f>VLOOKUP($A327,'Neraca Unaudited SIMAK'!$A$2:$R$1272,6,FALSE)+IF(ISNA(VLOOKUP($A327,'Mutasi Neraca'!$A$3:$S$910,6,FALSE)),0,VLOOKUP($A327,'Mutasi Neraca'!$A$3:$S$910,6,FALSE))</f>
        <v>1563598000</v>
      </c>
      <c r="H327" s="42">
        <f>VLOOKUP($A327,'Neraca Unaudited SIMAK'!$A$2:$R$1272,7,FALSE)+IF(ISNA(VLOOKUP($A327,'Mutasi Neraca'!$A$3:$S$910,7,FALSE)),0,VLOOKUP($A327,'Mutasi Neraca'!$A$3:$S$910,7,FALSE))</f>
        <v>0</v>
      </c>
      <c r="I327" s="42">
        <f>VLOOKUP($A327,'Neraca Unaudited SIMAK'!$A$2:$R$1272,8,FALSE)+IF(ISNA(VLOOKUP($A327,'Mutasi Neraca'!$A$3:$S$910,8,FALSE)),0,VLOOKUP($A327,'Mutasi Neraca'!$A$3:$S$910,8,FALSE))</f>
        <v>5003987</v>
      </c>
      <c r="J327" s="42">
        <f>VLOOKUP($A327,'Neraca Unaudited SIMAK'!$A$2:$R$1272,9,FALSE)+IF(ISNA(VLOOKUP($A327,'Mutasi Neraca'!$A$3:$S$910,9,FALSE)),0,VLOOKUP($A327,'Mutasi Neraca'!$A$3:$S$910,9,FALSE))</f>
        <v>0</v>
      </c>
      <c r="K327" s="42">
        <f>VLOOKUP($A327,'Neraca Unaudited SIMAK'!$A$2:$R$1272,10,FALSE)+IF(ISNA(VLOOKUP($A327,'Mutasi Neraca'!$A$3:$S$910,10,FALSE)),0,VLOOKUP($A327,'Mutasi Neraca'!$A$3:$S$910,10,FALSE))</f>
        <v>0</v>
      </c>
      <c r="L327" s="42">
        <f>VLOOKUP($A327,'Neraca Unaudited SIMAK'!$A$2:$R$1272,11,FALSE)+IF(ISNA(VLOOKUP($A327,'Mutasi Neraca'!$A$3:$S$910,11,FALSE)),0,VLOOKUP($A327,'Mutasi Neraca'!$A$3:$S$910,11,FALSE))</f>
        <v>165833000</v>
      </c>
      <c r="M327" s="42">
        <f>VLOOKUP($A327,'Neraca Unaudited SIMAK'!$A$2:$R$1272,12,FALSE)+IF(ISNA(VLOOKUP($A327,'Mutasi Neraca'!$A$3:$S$910,12,FALSE)),0,VLOOKUP($A327,'Mutasi Neraca'!$A$3:$S$910,12,FALSE))</f>
        <v>5755745663</v>
      </c>
      <c r="N327" s="42">
        <f>VLOOKUP($A327,'Neraca Unaudited SIMAK'!$A$2:$R$1272,13,FALSE)+IF(ISNA(VLOOKUP($A327,'Mutasi Neraca'!$A$3:$S$910,13,FALSE)),0,VLOOKUP($A327,'Mutasi Neraca'!$A$3:$S$910,13,FALSE))</f>
        <v>-1487583922</v>
      </c>
      <c r="O327" s="42">
        <f>VLOOKUP($A327,'Neraca Unaudited SIMAK'!$A$2:$R$1272,14,FALSE)+IF(ISNA(VLOOKUP($A327,'Mutasi Neraca'!$A$3:$S$910,14,FALSE)),0,VLOOKUP($A327,'Mutasi Neraca'!$A$3:$S$910,14,FALSE))</f>
        <v>-573139900</v>
      </c>
      <c r="P327" s="42">
        <f>VLOOKUP($A327,'Neraca Unaudited SIMAK'!$A$2:$R$1272,15,FALSE)+IF(ISNA(VLOOKUP($A327,'Mutasi Neraca'!$A$3:$S$910,15,FALSE)),0,VLOOKUP($A327,'Mutasi Neraca'!$A$3:$S$910,15,FALSE))</f>
        <v>0</v>
      </c>
      <c r="Q327" s="42">
        <f>VLOOKUP($A327,'Neraca Unaudited SIMAK'!$A$2:$R$1272,16,FALSE)+IF(ISNA(VLOOKUP($A327,'Mutasi Neraca'!$A$3:$S$910,16,FALSE)),0,VLOOKUP($A327,'Mutasi Neraca'!$A$3:$S$910,16,FALSE))</f>
        <v>0</v>
      </c>
      <c r="R327" s="42">
        <f>VLOOKUP($A327,'Neraca Unaudited SIMAK'!$A$2:$R$1272,17,FALSE)+IF(ISNA(VLOOKUP($A327,'Mutasi Neraca'!$A$3:$S$910,17,FALSE)),0,VLOOKUP($A327,'Mutasi Neraca'!$A$3:$S$910,17,FALSE))</f>
        <v>-149143250</v>
      </c>
      <c r="S327" s="42">
        <f t="shared" si="53"/>
        <v>3545878591</v>
      </c>
    </row>
    <row r="328" spans="1:19">
      <c r="A328" s="41" t="s">
        <v>335</v>
      </c>
      <c r="B328" s="41" t="str">
        <f t="shared" si="52"/>
        <v>005010800</v>
      </c>
      <c r="D328" s="42">
        <f>VLOOKUP($A328,'Neraca Unaudited SIMAK'!$A$2:$R$1272,3,FALSE)+IF(ISNA(VLOOKUP($A328,'Mutasi Neraca'!$A$3:$S$910,3,FALSE)),0,VLOOKUP($A328,'Mutasi Neraca'!$A$3:$S$910,3,FALSE))</f>
        <v>5522240</v>
      </c>
      <c r="E328" s="42">
        <f>VLOOKUP($A328,'Neraca Unaudited SIMAK'!$A$2:$R$1272,4,FALSE)+IF(ISNA(VLOOKUP($A328,'Mutasi Neraca'!$A$3:$S$910,4,FALSE)),0,VLOOKUP($A328,'Mutasi Neraca'!$A$3:$S$910,4,FALSE))</f>
        <v>2602466000</v>
      </c>
      <c r="F328" s="42">
        <f>VLOOKUP($A328,'Neraca Unaudited SIMAK'!$A$2:$R$1272,5,FALSE)+IF(ISNA(VLOOKUP($A328,'Mutasi Neraca'!$A$3:$S$910,5,FALSE)),0,VLOOKUP($A328,'Mutasi Neraca'!$A$3:$S$910,5,FALSE))</f>
        <v>1692241378</v>
      </c>
      <c r="G328" s="42">
        <f>VLOOKUP($A328,'Neraca Unaudited SIMAK'!$A$2:$R$1272,6,FALSE)+IF(ISNA(VLOOKUP($A328,'Mutasi Neraca'!$A$3:$S$910,6,FALSE)),0,VLOOKUP($A328,'Mutasi Neraca'!$A$3:$S$910,6,FALSE))</f>
        <v>3248982150</v>
      </c>
      <c r="H328" s="42">
        <f>VLOOKUP($A328,'Neraca Unaudited SIMAK'!$A$2:$R$1272,7,FALSE)+IF(ISNA(VLOOKUP($A328,'Mutasi Neraca'!$A$3:$S$910,7,FALSE)),0,VLOOKUP($A328,'Mutasi Neraca'!$A$3:$S$910,7,FALSE))</f>
        <v>0</v>
      </c>
      <c r="I328" s="42">
        <f>VLOOKUP($A328,'Neraca Unaudited SIMAK'!$A$2:$R$1272,8,FALSE)+IF(ISNA(VLOOKUP($A328,'Mutasi Neraca'!$A$3:$S$910,8,FALSE)),0,VLOOKUP($A328,'Mutasi Neraca'!$A$3:$S$910,8,FALSE))</f>
        <v>2343440</v>
      </c>
      <c r="J328" s="42">
        <f>VLOOKUP($A328,'Neraca Unaudited SIMAK'!$A$2:$R$1272,9,FALSE)+IF(ISNA(VLOOKUP($A328,'Mutasi Neraca'!$A$3:$S$910,9,FALSE)),0,VLOOKUP($A328,'Mutasi Neraca'!$A$3:$S$910,9,FALSE))</f>
        <v>0</v>
      </c>
      <c r="K328" s="42">
        <f>VLOOKUP($A328,'Neraca Unaudited SIMAK'!$A$2:$R$1272,10,FALSE)+IF(ISNA(VLOOKUP($A328,'Mutasi Neraca'!$A$3:$S$910,10,FALSE)),0,VLOOKUP($A328,'Mutasi Neraca'!$A$3:$S$910,10,FALSE))</f>
        <v>0</v>
      </c>
      <c r="L328" s="42">
        <f>VLOOKUP($A328,'Neraca Unaudited SIMAK'!$A$2:$R$1272,11,FALSE)+IF(ISNA(VLOOKUP($A328,'Mutasi Neraca'!$A$3:$S$910,11,FALSE)),0,VLOOKUP($A328,'Mutasi Neraca'!$A$3:$S$910,11,FALSE))</f>
        <v>41907850</v>
      </c>
      <c r="M328" s="42">
        <f>VLOOKUP($A328,'Neraca Unaudited SIMAK'!$A$2:$R$1272,12,FALSE)+IF(ISNA(VLOOKUP($A328,'Mutasi Neraca'!$A$3:$S$910,12,FALSE)),0,VLOOKUP($A328,'Mutasi Neraca'!$A$3:$S$910,12,FALSE))</f>
        <v>7593463058</v>
      </c>
      <c r="N328" s="42">
        <f>VLOOKUP($A328,'Neraca Unaudited SIMAK'!$A$2:$R$1272,13,FALSE)+IF(ISNA(VLOOKUP($A328,'Mutasi Neraca'!$A$3:$S$910,13,FALSE)),0,VLOOKUP($A328,'Mutasi Neraca'!$A$3:$S$910,13,FALSE))</f>
        <v>-1579004903</v>
      </c>
      <c r="O328" s="42">
        <f>VLOOKUP($A328,'Neraca Unaudited SIMAK'!$A$2:$R$1272,14,FALSE)+IF(ISNA(VLOOKUP($A328,'Mutasi Neraca'!$A$3:$S$910,14,FALSE)),0,VLOOKUP($A328,'Mutasi Neraca'!$A$3:$S$910,14,FALSE))</f>
        <v>-1826162371</v>
      </c>
      <c r="P328" s="42">
        <f>VLOOKUP($A328,'Neraca Unaudited SIMAK'!$A$2:$R$1272,15,FALSE)+IF(ISNA(VLOOKUP($A328,'Mutasi Neraca'!$A$3:$S$910,15,FALSE)),0,VLOOKUP($A328,'Mutasi Neraca'!$A$3:$S$910,15,FALSE))</f>
        <v>0</v>
      </c>
      <c r="Q328" s="42">
        <f>VLOOKUP($A328,'Neraca Unaudited SIMAK'!$A$2:$R$1272,16,FALSE)+IF(ISNA(VLOOKUP($A328,'Mutasi Neraca'!$A$3:$S$910,16,FALSE)),0,VLOOKUP($A328,'Mutasi Neraca'!$A$3:$S$910,16,FALSE))</f>
        <v>0</v>
      </c>
      <c r="R328" s="42">
        <f>VLOOKUP($A328,'Neraca Unaudited SIMAK'!$A$2:$R$1272,17,FALSE)+IF(ISNA(VLOOKUP($A328,'Mutasi Neraca'!$A$3:$S$910,17,FALSE)),0,VLOOKUP($A328,'Mutasi Neraca'!$A$3:$S$910,17,FALSE))</f>
        <v>-41907850</v>
      </c>
      <c r="S328" s="42">
        <f t="shared" si="53"/>
        <v>4146387934</v>
      </c>
    </row>
    <row r="329" spans="1:19">
      <c r="A329" s="41" t="s">
        <v>336</v>
      </c>
      <c r="B329" s="41" t="str">
        <f t="shared" si="52"/>
        <v>005010800</v>
      </c>
      <c r="D329" s="42">
        <f>VLOOKUP($A329,'Neraca Unaudited SIMAK'!$A$2:$R$1272,3,FALSE)+IF(ISNA(VLOOKUP($A329,'Mutasi Neraca'!$A$3:$S$910,3,FALSE)),0,VLOOKUP($A329,'Mutasi Neraca'!$A$3:$S$910,3,FALSE))</f>
        <v>5527400</v>
      </c>
      <c r="E329" s="42">
        <f>VLOOKUP($A329,'Neraca Unaudited SIMAK'!$A$2:$R$1272,4,FALSE)+IF(ISNA(VLOOKUP($A329,'Mutasi Neraca'!$A$3:$S$910,4,FALSE)),0,VLOOKUP($A329,'Mutasi Neraca'!$A$3:$S$910,4,FALSE))</f>
        <v>3125740000</v>
      </c>
      <c r="F329" s="42">
        <f>VLOOKUP($A329,'Neraca Unaudited SIMAK'!$A$2:$R$1272,5,FALSE)+IF(ISNA(VLOOKUP($A329,'Mutasi Neraca'!$A$3:$S$910,5,FALSE)),0,VLOOKUP($A329,'Mutasi Neraca'!$A$3:$S$910,5,FALSE))</f>
        <v>1965845287</v>
      </c>
      <c r="G329" s="42">
        <f>VLOOKUP($A329,'Neraca Unaudited SIMAK'!$A$2:$R$1272,6,FALSE)+IF(ISNA(VLOOKUP($A329,'Mutasi Neraca'!$A$3:$S$910,6,FALSE)),0,VLOOKUP($A329,'Mutasi Neraca'!$A$3:$S$910,6,FALSE))</f>
        <v>2144626000</v>
      </c>
      <c r="H329" s="42">
        <f>VLOOKUP($A329,'Neraca Unaudited SIMAK'!$A$2:$R$1272,7,FALSE)+IF(ISNA(VLOOKUP($A329,'Mutasi Neraca'!$A$3:$S$910,7,FALSE)),0,VLOOKUP($A329,'Mutasi Neraca'!$A$3:$S$910,7,FALSE))</f>
        <v>24933700</v>
      </c>
      <c r="I329" s="42">
        <f>VLOOKUP($A329,'Neraca Unaudited SIMAK'!$A$2:$R$1272,8,FALSE)+IF(ISNA(VLOOKUP($A329,'Mutasi Neraca'!$A$3:$S$910,8,FALSE)),0,VLOOKUP($A329,'Mutasi Neraca'!$A$3:$S$910,8,FALSE))</f>
        <v>60223440</v>
      </c>
      <c r="J329" s="42">
        <f>VLOOKUP($A329,'Neraca Unaudited SIMAK'!$A$2:$R$1272,9,FALSE)+IF(ISNA(VLOOKUP($A329,'Mutasi Neraca'!$A$3:$S$910,9,FALSE)),0,VLOOKUP($A329,'Mutasi Neraca'!$A$3:$S$910,9,FALSE))</f>
        <v>0</v>
      </c>
      <c r="K329" s="42">
        <f>VLOOKUP($A329,'Neraca Unaudited SIMAK'!$A$2:$R$1272,10,FALSE)+IF(ISNA(VLOOKUP($A329,'Mutasi Neraca'!$A$3:$S$910,10,FALSE)),0,VLOOKUP($A329,'Mutasi Neraca'!$A$3:$S$910,10,FALSE))</f>
        <v>0</v>
      </c>
      <c r="L329" s="42">
        <f>VLOOKUP($A329,'Neraca Unaudited SIMAK'!$A$2:$R$1272,11,FALSE)+IF(ISNA(VLOOKUP($A329,'Mutasi Neraca'!$A$3:$S$910,11,FALSE)),0,VLOOKUP($A329,'Mutasi Neraca'!$A$3:$S$910,11,FALSE))</f>
        <v>22794363</v>
      </c>
      <c r="M329" s="42">
        <f>VLOOKUP($A329,'Neraca Unaudited SIMAK'!$A$2:$R$1272,12,FALSE)+IF(ISNA(VLOOKUP($A329,'Mutasi Neraca'!$A$3:$S$910,12,FALSE)),0,VLOOKUP($A329,'Mutasi Neraca'!$A$3:$S$910,12,FALSE))</f>
        <v>7349690190</v>
      </c>
      <c r="N329" s="42">
        <f>VLOOKUP($A329,'Neraca Unaudited SIMAK'!$A$2:$R$1272,13,FALSE)+IF(ISNA(VLOOKUP($A329,'Mutasi Neraca'!$A$3:$S$910,13,FALSE)),0,VLOOKUP($A329,'Mutasi Neraca'!$A$3:$S$910,13,FALSE))</f>
        <v>-1667841014</v>
      </c>
      <c r="O329" s="42">
        <f>VLOOKUP($A329,'Neraca Unaudited SIMAK'!$A$2:$R$1272,14,FALSE)+IF(ISNA(VLOOKUP($A329,'Mutasi Neraca'!$A$3:$S$910,14,FALSE)),0,VLOOKUP($A329,'Mutasi Neraca'!$A$3:$S$910,14,FALSE))</f>
        <v>-1555191820</v>
      </c>
      <c r="P329" s="42">
        <f>VLOOKUP($A329,'Neraca Unaudited SIMAK'!$A$2:$R$1272,15,FALSE)+IF(ISNA(VLOOKUP($A329,'Mutasi Neraca'!$A$3:$S$910,15,FALSE)),0,VLOOKUP($A329,'Mutasi Neraca'!$A$3:$S$910,15,FALSE))</f>
        <v>-4675067</v>
      </c>
      <c r="Q329" s="42">
        <f>VLOOKUP($A329,'Neraca Unaudited SIMAK'!$A$2:$R$1272,16,FALSE)+IF(ISNA(VLOOKUP($A329,'Mutasi Neraca'!$A$3:$S$910,16,FALSE)),0,VLOOKUP($A329,'Mutasi Neraca'!$A$3:$S$910,16,FALSE))</f>
        <v>0</v>
      </c>
      <c r="R329" s="42">
        <f>VLOOKUP($A329,'Neraca Unaudited SIMAK'!$A$2:$R$1272,17,FALSE)+IF(ISNA(VLOOKUP($A329,'Mutasi Neraca'!$A$3:$S$910,17,FALSE)),0,VLOOKUP($A329,'Mutasi Neraca'!$A$3:$S$910,17,FALSE))</f>
        <v>-22794363</v>
      </c>
      <c r="S329" s="42">
        <f t="shared" si="53"/>
        <v>4099187926</v>
      </c>
    </row>
    <row r="330" spans="1:19">
      <c r="A330" s="41" t="s">
        <v>337</v>
      </c>
      <c r="B330" s="41" t="str">
        <f t="shared" si="52"/>
        <v>005010800</v>
      </c>
      <c r="D330" s="42">
        <f>VLOOKUP($A330,'Neraca Unaudited SIMAK'!$A$2:$R$1272,3,FALSE)+IF(ISNA(VLOOKUP($A330,'Mutasi Neraca'!$A$3:$S$910,3,FALSE)),0,VLOOKUP($A330,'Mutasi Neraca'!$A$3:$S$910,3,FALSE))</f>
        <v>102850</v>
      </c>
      <c r="E330" s="42">
        <f>VLOOKUP($A330,'Neraca Unaudited SIMAK'!$A$2:$R$1272,4,FALSE)+IF(ISNA(VLOOKUP($A330,'Mutasi Neraca'!$A$3:$S$910,4,FALSE)),0,VLOOKUP($A330,'Mutasi Neraca'!$A$3:$S$910,4,FALSE))</f>
        <v>5207150000</v>
      </c>
      <c r="F330" s="42">
        <f>VLOOKUP($A330,'Neraca Unaudited SIMAK'!$A$2:$R$1272,5,FALSE)+IF(ISNA(VLOOKUP($A330,'Mutasi Neraca'!$A$3:$S$910,5,FALSE)),0,VLOOKUP($A330,'Mutasi Neraca'!$A$3:$S$910,5,FALSE))</f>
        <v>2041345550</v>
      </c>
      <c r="G330" s="42">
        <f>VLOOKUP($A330,'Neraca Unaudited SIMAK'!$A$2:$R$1272,6,FALSE)+IF(ISNA(VLOOKUP($A330,'Mutasi Neraca'!$A$3:$S$910,6,FALSE)),0,VLOOKUP($A330,'Mutasi Neraca'!$A$3:$S$910,6,FALSE))</f>
        <v>6915130950</v>
      </c>
      <c r="H330" s="42">
        <f>VLOOKUP($A330,'Neraca Unaudited SIMAK'!$A$2:$R$1272,7,FALSE)+IF(ISNA(VLOOKUP($A330,'Mutasi Neraca'!$A$3:$S$910,7,FALSE)),0,VLOOKUP($A330,'Mutasi Neraca'!$A$3:$S$910,7,FALSE))</f>
        <v>12900000</v>
      </c>
      <c r="I330" s="42">
        <f>VLOOKUP($A330,'Neraca Unaudited SIMAK'!$A$2:$R$1272,8,FALSE)+IF(ISNA(VLOOKUP($A330,'Mutasi Neraca'!$A$3:$S$910,8,FALSE)),0,VLOOKUP($A330,'Mutasi Neraca'!$A$3:$S$910,8,FALSE))</f>
        <v>19707840</v>
      </c>
      <c r="J330" s="42">
        <f>VLOOKUP($A330,'Neraca Unaudited SIMAK'!$A$2:$R$1272,9,FALSE)+IF(ISNA(VLOOKUP($A330,'Mutasi Neraca'!$A$3:$S$910,9,FALSE)),0,VLOOKUP($A330,'Mutasi Neraca'!$A$3:$S$910,9,FALSE))</f>
        <v>0</v>
      </c>
      <c r="K330" s="42">
        <f>VLOOKUP($A330,'Neraca Unaudited SIMAK'!$A$2:$R$1272,10,FALSE)+IF(ISNA(VLOOKUP($A330,'Mutasi Neraca'!$A$3:$S$910,10,FALSE)),0,VLOOKUP($A330,'Mutasi Neraca'!$A$3:$S$910,10,FALSE))</f>
        <v>22000000</v>
      </c>
      <c r="L330" s="42">
        <f>VLOOKUP($A330,'Neraca Unaudited SIMAK'!$A$2:$R$1272,11,FALSE)+IF(ISNA(VLOOKUP($A330,'Mutasi Neraca'!$A$3:$S$910,11,FALSE)),0,VLOOKUP($A330,'Mutasi Neraca'!$A$3:$S$910,11,FALSE))</f>
        <v>6585000</v>
      </c>
      <c r="M330" s="42">
        <f>VLOOKUP($A330,'Neraca Unaudited SIMAK'!$A$2:$R$1272,12,FALSE)+IF(ISNA(VLOOKUP($A330,'Mutasi Neraca'!$A$3:$S$910,12,FALSE)),0,VLOOKUP($A330,'Mutasi Neraca'!$A$3:$S$910,12,FALSE))</f>
        <v>14224922190</v>
      </c>
      <c r="N330" s="42">
        <f>VLOOKUP($A330,'Neraca Unaudited SIMAK'!$A$2:$R$1272,13,FALSE)+IF(ISNA(VLOOKUP($A330,'Mutasi Neraca'!$A$3:$S$910,13,FALSE)),0,VLOOKUP($A330,'Mutasi Neraca'!$A$3:$S$910,13,FALSE))</f>
        <v>-1802628428</v>
      </c>
      <c r="O330" s="42">
        <f>VLOOKUP($A330,'Neraca Unaudited SIMAK'!$A$2:$R$1272,14,FALSE)+IF(ISNA(VLOOKUP($A330,'Mutasi Neraca'!$A$3:$S$910,14,FALSE)),0,VLOOKUP($A330,'Mutasi Neraca'!$A$3:$S$910,14,FALSE))</f>
        <v>-2671605531</v>
      </c>
      <c r="P330" s="42">
        <f>VLOOKUP($A330,'Neraca Unaudited SIMAK'!$A$2:$R$1272,15,FALSE)+IF(ISNA(VLOOKUP($A330,'Mutasi Neraca'!$A$3:$S$910,15,FALSE)),0,VLOOKUP($A330,'Mutasi Neraca'!$A$3:$S$910,15,FALSE))</f>
        <v>-2795000</v>
      </c>
      <c r="Q330" s="42">
        <f>VLOOKUP($A330,'Neraca Unaudited SIMAK'!$A$2:$R$1272,16,FALSE)+IF(ISNA(VLOOKUP($A330,'Mutasi Neraca'!$A$3:$S$910,16,FALSE)),0,VLOOKUP($A330,'Mutasi Neraca'!$A$3:$S$910,16,FALSE))</f>
        <v>0</v>
      </c>
      <c r="R330" s="42">
        <f>VLOOKUP($A330,'Neraca Unaudited SIMAK'!$A$2:$R$1272,17,FALSE)+IF(ISNA(VLOOKUP($A330,'Mutasi Neraca'!$A$3:$S$910,17,FALSE)),0,VLOOKUP($A330,'Mutasi Neraca'!$A$3:$S$910,17,FALSE))</f>
        <v>-6585000</v>
      </c>
      <c r="S330" s="42">
        <f t="shared" si="53"/>
        <v>9741308231</v>
      </c>
    </row>
    <row r="331" spans="1:19">
      <c r="A331" s="41" t="s">
        <v>338</v>
      </c>
      <c r="B331" s="41" t="str">
        <f t="shared" si="52"/>
        <v>005010800</v>
      </c>
      <c r="D331" s="42">
        <f>VLOOKUP($A331,'Neraca Unaudited SIMAK'!$A$2:$R$1272,3,FALSE)+IF(ISNA(VLOOKUP($A331,'Mutasi Neraca'!$A$3:$S$910,3,FALSE)),0,VLOOKUP($A331,'Mutasi Neraca'!$A$3:$S$910,3,FALSE))</f>
        <v>4460500</v>
      </c>
      <c r="E331" s="42">
        <f>VLOOKUP($A331,'Neraca Unaudited SIMAK'!$A$2:$R$1272,4,FALSE)+IF(ISNA(VLOOKUP($A331,'Mutasi Neraca'!$A$3:$S$910,4,FALSE)),0,VLOOKUP($A331,'Mutasi Neraca'!$A$3:$S$910,4,FALSE))</f>
        <v>462212750</v>
      </c>
      <c r="F331" s="42">
        <f>VLOOKUP($A331,'Neraca Unaudited SIMAK'!$A$2:$R$1272,5,FALSE)+IF(ISNA(VLOOKUP($A331,'Mutasi Neraca'!$A$3:$S$910,5,FALSE)),0,VLOOKUP($A331,'Mutasi Neraca'!$A$3:$S$910,5,FALSE))</f>
        <v>1822404750</v>
      </c>
      <c r="G331" s="42">
        <f>VLOOKUP($A331,'Neraca Unaudited SIMAK'!$A$2:$R$1272,6,FALSE)+IF(ISNA(VLOOKUP($A331,'Mutasi Neraca'!$A$3:$S$910,6,FALSE)),0,VLOOKUP($A331,'Mutasi Neraca'!$A$3:$S$910,6,FALSE))</f>
        <v>6269537553</v>
      </c>
      <c r="H331" s="42">
        <f>VLOOKUP($A331,'Neraca Unaudited SIMAK'!$A$2:$R$1272,7,FALSE)+IF(ISNA(VLOOKUP($A331,'Mutasi Neraca'!$A$3:$S$910,7,FALSE)),0,VLOOKUP($A331,'Mutasi Neraca'!$A$3:$S$910,7,FALSE))</f>
        <v>0</v>
      </c>
      <c r="I331" s="42">
        <f>VLOOKUP($A331,'Neraca Unaudited SIMAK'!$A$2:$R$1272,8,FALSE)+IF(ISNA(VLOOKUP($A331,'Mutasi Neraca'!$A$3:$S$910,8,FALSE)),0,VLOOKUP($A331,'Mutasi Neraca'!$A$3:$S$910,8,FALSE))</f>
        <v>84958440</v>
      </c>
      <c r="J331" s="42">
        <f>VLOOKUP($A331,'Neraca Unaudited SIMAK'!$A$2:$R$1272,9,FALSE)+IF(ISNA(VLOOKUP($A331,'Mutasi Neraca'!$A$3:$S$910,9,FALSE)),0,VLOOKUP($A331,'Mutasi Neraca'!$A$3:$S$910,9,FALSE))</f>
        <v>0</v>
      </c>
      <c r="K331" s="42">
        <f>VLOOKUP($A331,'Neraca Unaudited SIMAK'!$A$2:$R$1272,10,FALSE)+IF(ISNA(VLOOKUP($A331,'Mutasi Neraca'!$A$3:$S$910,10,FALSE)),0,VLOOKUP($A331,'Mutasi Neraca'!$A$3:$S$910,10,FALSE))</f>
        <v>12760000</v>
      </c>
      <c r="L331" s="42">
        <f>VLOOKUP($A331,'Neraca Unaudited SIMAK'!$A$2:$R$1272,11,FALSE)+IF(ISNA(VLOOKUP($A331,'Mutasi Neraca'!$A$3:$S$910,11,FALSE)),0,VLOOKUP($A331,'Mutasi Neraca'!$A$3:$S$910,11,FALSE))</f>
        <v>54167000</v>
      </c>
      <c r="M331" s="42">
        <f>VLOOKUP($A331,'Neraca Unaudited SIMAK'!$A$2:$R$1272,12,FALSE)+IF(ISNA(VLOOKUP($A331,'Mutasi Neraca'!$A$3:$S$910,12,FALSE)),0,VLOOKUP($A331,'Mutasi Neraca'!$A$3:$S$910,12,FALSE))</f>
        <v>8710500993</v>
      </c>
      <c r="N331" s="42">
        <f>VLOOKUP($A331,'Neraca Unaudited SIMAK'!$A$2:$R$1272,13,FALSE)+IF(ISNA(VLOOKUP($A331,'Mutasi Neraca'!$A$3:$S$910,13,FALSE)),0,VLOOKUP($A331,'Mutasi Neraca'!$A$3:$S$910,13,FALSE))</f>
        <v>-1197165429</v>
      </c>
      <c r="O331" s="42">
        <f>VLOOKUP($A331,'Neraca Unaudited SIMAK'!$A$2:$R$1272,14,FALSE)+IF(ISNA(VLOOKUP($A331,'Mutasi Neraca'!$A$3:$S$910,14,FALSE)),0,VLOOKUP($A331,'Mutasi Neraca'!$A$3:$S$910,14,FALSE))</f>
        <v>-1332835009</v>
      </c>
      <c r="P331" s="42">
        <f>VLOOKUP($A331,'Neraca Unaudited SIMAK'!$A$2:$R$1272,15,FALSE)+IF(ISNA(VLOOKUP($A331,'Mutasi Neraca'!$A$3:$S$910,15,FALSE)),0,VLOOKUP($A331,'Mutasi Neraca'!$A$3:$S$910,15,FALSE))</f>
        <v>0</v>
      </c>
      <c r="Q331" s="42">
        <f>VLOOKUP($A331,'Neraca Unaudited SIMAK'!$A$2:$R$1272,16,FALSE)+IF(ISNA(VLOOKUP($A331,'Mutasi Neraca'!$A$3:$S$910,16,FALSE)),0,VLOOKUP($A331,'Mutasi Neraca'!$A$3:$S$910,16,FALSE))</f>
        <v>0</v>
      </c>
      <c r="R331" s="42">
        <f>VLOOKUP($A331,'Neraca Unaudited SIMAK'!$A$2:$R$1272,17,FALSE)+IF(ISNA(VLOOKUP($A331,'Mutasi Neraca'!$A$3:$S$910,17,FALSE)),0,VLOOKUP($A331,'Mutasi Neraca'!$A$3:$S$910,17,FALSE))</f>
        <v>-39000240</v>
      </c>
      <c r="S331" s="42">
        <f t="shared" si="53"/>
        <v>6141500315</v>
      </c>
    </row>
    <row r="332" spans="1:19">
      <c r="A332" s="41" t="s">
        <v>339</v>
      </c>
      <c r="B332" s="41" t="str">
        <f t="shared" si="52"/>
        <v>005010800</v>
      </c>
      <c r="D332" s="42">
        <f>VLOOKUP($A332,'Neraca Unaudited SIMAK'!$A$2:$R$1272,3,FALSE)+IF(ISNA(VLOOKUP($A332,'Mutasi Neraca'!$A$3:$S$910,3,FALSE)),0,VLOOKUP($A332,'Mutasi Neraca'!$A$3:$S$910,3,FALSE))</f>
        <v>0</v>
      </c>
      <c r="E332" s="42">
        <f>VLOOKUP($A332,'Neraca Unaudited SIMAK'!$A$2:$R$1272,4,FALSE)+IF(ISNA(VLOOKUP($A332,'Mutasi Neraca'!$A$3:$S$910,4,FALSE)),0,VLOOKUP($A332,'Mutasi Neraca'!$A$3:$S$910,4,FALSE))</f>
        <v>4965975118</v>
      </c>
      <c r="F332" s="42">
        <f>VLOOKUP($A332,'Neraca Unaudited SIMAK'!$A$2:$R$1272,5,FALSE)+IF(ISNA(VLOOKUP($A332,'Mutasi Neraca'!$A$3:$S$910,5,FALSE)),0,VLOOKUP($A332,'Mutasi Neraca'!$A$3:$S$910,5,FALSE))</f>
        <v>1820495828</v>
      </c>
      <c r="G332" s="42">
        <f>VLOOKUP($A332,'Neraca Unaudited SIMAK'!$A$2:$R$1272,6,FALSE)+IF(ISNA(VLOOKUP($A332,'Mutasi Neraca'!$A$3:$S$910,6,FALSE)),0,VLOOKUP($A332,'Mutasi Neraca'!$A$3:$S$910,6,FALSE))</f>
        <v>2336308622</v>
      </c>
      <c r="H332" s="42">
        <f>VLOOKUP($A332,'Neraca Unaudited SIMAK'!$A$2:$R$1272,7,FALSE)+IF(ISNA(VLOOKUP($A332,'Mutasi Neraca'!$A$3:$S$910,7,FALSE)),0,VLOOKUP($A332,'Mutasi Neraca'!$A$3:$S$910,7,FALSE))</f>
        <v>50738000</v>
      </c>
      <c r="I332" s="42">
        <f>VLOOKUP($A332,'Neraca Unaudited SIMAK'!$A$2:$R$1272,8,FALSE)+IF(ISNA(VLOOKUP($A332,'Mutasi Neraca'!$A$3:$S$910,8,FALSE)),0,VLOOKUP($A332,'Mutasi Neraca'!$A$3:$S$910,8,FALSE))</f>
        <v>43908440</v>
      </c>
      <c r="J332" s="42">
        <f>VLOOKUP($A332,'Neraca Unaudited SIMAK'!$A$2:$R$1272,9,FALSE)+IF(ISNA(VLOOKUP($A332,'Mutasi Neraca'!$A$3:$S$910,9,FALSE)),0,VLOOKUP($A332,'Mutasi Neraca'!$A$3:$S$910,9,FALSE))</f>
        <v>0</v>
      </c>
      <c r="K332" s="42">
        <f>VLOOKUP($A332,'Neraca Unaudited SIMAK'!$A$2:$R$1272,10,FALSE)+IF(ISNA(VLOOKUP($A332,'Mutasi Neraca'!$A$3:$S$910,10,FALSE)),0,VLOOKUP($A332,'Mutasi Neraca'!$A$3:$S$910,10,FALSE))</f>
        <v>0</v>
      </c>
      <c r="L332" s="42">
        <f>VLOOKUP($A332,'Neraca Unaudited SIMAK'!$A$2:$R$1272,11,FALSE)+IF(ISNA(VLOOKUP($A332,'Mutasi Neraca'!$A$3:$S$910,11,FALSE)),0,VLOOKUP($A332,'Mutasi Neraca'!$A$3:$S$910,11,FALSE))</f>
        <v>46276300</v>
      </c>
      <c r="M332" s="42">
        <f>VLOOKUP($A332,'Neraca Unaudited SIMAK'!$A$2:$R$1272,12,FALSE)+IF(ISNA(VLOOKUP($A332,'Mutasi Neraca'!$A$3:$S$910,12,FALSE)),0,VLOOKUP($A332,'Mutasi Neraca'!$A$3:$S$910,12,FALSE))</f>
        <v>9263702308</v>
      </c>
      <c r="N332" s="42">
        <f>VLOOKUP($A332,'Neraca Unaudited SIMAK'!$A$2:$R$1272,13,FALSE)+IF(ISNA(VLOOKUP($A332,'Mutasi Neraca'!$A$3:$S$910,13,FALSE)),0,VLOOKUP($A332,'Mutasi Neraca'!$A$3:$S$910,13,FALSE))</f>
        <v>-1550692297</v>
      </c>
      <c r="O332" s="42">
        <f>VLOOKUP($A332,'Neraca Unaudited SIMAK'!$A$2:$R$1272,14,FALSE)+IF(ISNA(VLOOKUP($A332,'Mutasi Neraca'!$A$3:$S$910,14,FALSE)),0,VLOOKUP($A332,'Mutasi Neraca'!$A$3:$S$910,14,FALSE))</f>
        <v>-1529721738</v>
      </c>
      <c r="P332" s="42">
        <f>VLOOKUP($A332,'Neraca Unaudited SIMAK'!$A$2:$R$1272,15,FALSE)+IF(ISNA(VLOOKUP($A332,'Mutasi Neraca'!$A$3:$S$910,15,FALSE)),0,VLOOKUP($A332,'Mutasi Neraca'!$A$3:$S$910,15,FALSE))</f>
        <v>-9180888</v>
      </c>
      <c r="Q332" s="42">
        <f>VLOOKUP($A332,'Neraca Unaudited SIMAK'!$A$2:$R$1272,16,FALSE)+IF(ISNA(VLOOKUP($A332,'Mutasi Neraca'!$A$3:$S$910,16,FALSE)),0,VLOOKUP($A332,'Mutasi Neraca'!$A$3:$S$910,16,FALSE))</f>
        <v>0</v>
      </c>
      <c r="R332" s="42">
        <f>VLOOKUP($A332,'Neraca Unaudited SIMAK'!$A$2:$R$1272,17,FALSE)+IF(ISNA(VLOOKUP($A332,'Mutasi Neraca'!$A$3:$S$910,17,FALSE)),0,VLOOKUP($A332,'Mutasi Neraca'!$A$3:$S$910,17,FALSE))</f>
        <v>-46276300</v>
      </c>
      <c r="S332" s="42">
        <f t="shared" si="53"/>
        <v>6127831085</v>
      </c>
    </row>
    <row r="333" spans="1:19">
      <c r="A333" s="41" t="s">
        <v>340</v>
      </c>
      <c r="B333" s="41" t="str">
        <f t="shared" si="52"/>
        <v>005010800</v>
      </c>
      <c r="D333" s="42">
        <f>VLOOKUP($A333,'Neraca Unaudited SIMAK'!$A$2:$R$1272,3,FALSE)+IF(ISNA(VLOOKUP($A333,'Mutasi Neraca'!$A$3:$S$910,3,FALSE)),0,VLOOKUP($A333,'Mutasi Neraca'!$A$3:$S$910,3,FALSE))</f>
        <v>0</v>
      </c>
      <c r="E333" s="42">
        <f>VLOOKUP($A333,'Neraca Unaudited SIMAK'!$A$2:$R$1272,4,FALSE)+IF(ISNA(VLOOKUP($A333,'Mutasi Neraca'!$A$3:$S$910,4,FALSE)),0,VLOOKUP($A333,'Mutasi Neraca'!$A$3:$S$910,4,FALSE))</f>
        <v>5648884000</v>
      </c>
      <c r="F333" s="42">
        <f>VLOOKUP($A333,'Neraca Unaudited SIMAK'!$A$2:$R$1272,5,FALSE)+IF(ISNA(VLOOKUP($A333,'Mutasi Neraca'!$A$3:$S$910,5,FALSE)),0,VLOOKUP($A333,'Mutasi Neraca'!$A$3:$S$910,5,FALSE))</f>
        <v>1807413230</v>
      </c>
      <c r="G333" s="42">
        <f>VLOOKUP($A333,'Neraca Unaudited SIMAK'!$A$2:$R$1272,6,FALSE)+IF(ISNA(VLOOKUP($A333,'Mutasi Neraca'!$A$3:$S$910,6,FALSE)),0,VLOOKUP($A333,'Mutasi Neraca'!$A$3:$S$910,6,FALSE))</f>
        <v>9642573520</v>
      </c>
      <c r="H333" s="42">
        <f>VLOOKUP($A333,'Neraca Unaudited SIMAK'!$A$2:$R$1272,7,FALSE)+IF(ISNA(VLOOKUP($A333,'Mutasi Neraca'!$A$3:$S$910,7,FALSE)),0,VLOOKUP($A333,'Mutasi Neraca'!$A$3:$S$910,7,FALSE))</f>
        <v>0</v>
      </c>
      <c r="I333" s="42">
        <f>VLOOKUP($A333,'Neraca Unaudited SIMAK'!$A$2:$R$1272,8,FALSE)+IF(ISNA(VLOOKUP($A333,'Mutasi Neraca'!$A$3:$S$910,8,FALSE)),0,VLOOKUP($A333,'Mutasi Neraca'!$A$3:$S$910,8,FALSE))</f>
        <v>10943440</v>
      </c>
      <c r="J333" s="42">
        <f>VLOOKUP($A333,'Neraca Unaudited SIMAK'!$A$2:$R$1272,9,FALSE)+IF(ISNA(VLOOKUP($A333,'Mutasi Neraca'!$A$3:$S$910,9,FALSE)),0,VLOOKUP($A333,'Mutasi Neraca'!$A$3:$S$910,9,FALSE))</f>
        <v>0</v>
      </c>
      <c r="K333" s="42">
        <f>VLOOKUP($A333,'Neraca Unaudited SIMAK'!$A$2:$R$1272,10,FALSE)+IF(ISNA(VLOOKUP($A333,'Mutasi Neraca'!$A$3:$S$910,10,FALSE)),0,VLOOKUP($A333,'Mutasi Neraca'!$A$3:$S$910,10,FALSE))</f>
        <v>30140000</v>
      </c>
      <c r="L333" s="42">
        <f>VLOOKUP($A333,'Neraca Unaudited SIMAK'!$A$2:$R$1272,11,FALSE)+IF(ISNA(VLOOKUP($A333,'Mutasi Neraca'!$A$3:$S$910,11,FALSE)),0,VLOOKUP($A333,'Mutasi Neraca'!$A$3:$S$910,11,FALSE))</f>
        <v>170634900</v>
      </c>
      <c r="M333" s="42">
        <f>VLOOKUP($A333,'Neraca Unaudited SIMAK'!$A$2:$R$1272,12,FALSE)+IF(ISNA(VLOOKUP($A333,'Mutasi Neraca'!$A$3:$S$910,12,FALSE)),0,VLOOKUP($A333,'Mutasi Neraca'!$A$3:$S$910,12,FALSE))</f>
        <v>17310589090</v>
      </c>
      <c r="N333" s="42">
        <f>VLOOKUP($A333,'Neraca Unaudited SIMAK'!$A$2:$R$1272,13,FALSE)+IF(ISNA(VLOOKUP($A333,'Mutasi Neraca'!$A$3:$S$910,13,FALSE)),0,VLOOKUP($A333,'Mutasi Neraca'!$A$3:$S$910,13,FALSE))</f>
        <v>-1287252841</v>
      </c>
      <c r="O333" s="42">
        <f>VLOOKUP($A333,'Neraca Unaudited SIMAK'!$A$2:$R$1272,14,FALSE)+IF(ISNA(VLOOKUP($A333,'Mutasi Neraca'!$A$3:$S$910,14,FALSE)),0,VLOOKUP($A333,'Mutasi Neraca'!$A$3:$S$910,14,FALSE))</f>
        <v>-519933469</v>
      </c>
      <c r="P333" s="42">
        <f>VLOOKUP($A333,'Neraca Unaudited SIMAK'!$A$2:$R$1272,15,FALSE)+IF(ISNA(VLOOKUP($A333,'Mutasi Neraca'!$A$3:$S$910,15,FALSE)),0,VLOOKUP($A333,'Mutasi Neraca'!$A$3:$S$910,15,FALSE))</f>
        <v>0</v>
      </c>
      <c r="Q333" s="42">
        <f>VLOOKUP($A333,'Neraca Unaudited SIMAK'!$A$2:$R$1272,16,FALSE)+IF(ISNA(VLOOKUP($A333,'Mutasi Neraca'!$A$3:$S$910,16,FALSE)),0,VLOOKUP($A333,'Mutasi Neraca'!$A$3:$S$910,16,FALSE))</f>
        <v>0</v>
      </c>
      <c r="R333" s="42">
        <f>VLOOKUP($A333,'Neraca Unaudited SIMAK'!$A$2:$R$1272,17,FALSE)+IF(ISNA(VLOOKUP($A333,'Mutasi Neraca'!$A$3:$S$910,17,FALSE)),0,VLOOKUP($A333,'Mutasi Neraca'!$A$3:$S$910,17,FALSE))</f>
        <v>-126902400</v>
      </c>
      <c r="S333" s="42">
        <f t="shared" si="53"/>
        <v>15376500380</v>
      </c>
    </row>
    <row r="334" spans="1:19">
      <c r="A334" s="41" t="s">
        <v>341</v>
      </c>
      <c r="B334" s="41" t="str">
        <f t="shared" si="52"/>
        <v>005010800</v>
      </c>
      <c r="D334" s="42">
        <f>VLOOKUP($A334,'Neraca Unaudited SIMAK'!$A$2:$R$1272,3,FALSE)+IF(ISNA(VLOOKUP($A334,'Mutasi Neraca'!$A$3:$S$910,3,FALSE)),0,VLOOKUP($A334,'Mutasi Neraca'!$A$3:$S$910,3,FALSE))</f>
        <v>1597673</v>
      </c>
      <c r="E334" s="42">
        <f>VLOOKUP($A334,'Neraca Unaudited SIMAK'!$A$2:$R$1272,4,FALSE)+IF(ISNA(VLOOKUP($A334,'Mutasi Neraca'!$A$3:$S$910,4,FALSE)),0,VLOOKUP($A334,'Mutasi Neraca'!$A$3:$S$910,4,FALSE))</f>
        <v>2416900000</v>
      </c>
      <c r="F334" s="42">
        <f>VLOOKUP($A334,'Neraca Unaudited SIMAK'!$A$2:$R$1272,5,FALSE)+IF(ISNA(VLOOKUP($A334,'Mutasi Neraca'!$A$3:$S$910,5,FALSE)),0,VLOOKUP($A334,'Mutasi Neraca'!$A$3:$S$910,5,FALSE))</f>
        <v>1665097734</v>
      </c>
      <c r="G334" s="42">
        <f>VLOOKUP($A334,'Neraca Unaudited SIMAK'!$A$2:$R$1272,6,FALSE)+IF(ISNA(VLOOKUP($A334,'Mutasi Neraca'!$A$3:$S$910,6,FALSE)),0,VLOOKUP($A334,'Mutasi Neraca'!$A$3:$S$910,6,FALSE))</f>
        <v>6474711200</v>
      </c>
      <c r="H334" s="42">
        <f>VLOOKUP($A334,'Neraca Unaudited SIMAK'!$A$2:$R$1272,7,FALSE)+IF(ISNA(VLOOKUP($A334,'Mutasi Neraca'!$A$3:$S$910,7,FALSE)),0,VLOOKUP($A334,'Mutasi Neraca'!$A$3:$S$910,7,FALSE))</f>
        <v>116201700</v>
      </c>
      <c r="I334" s="42">
        <f>VLOOKUP($A334,'Neraca Unaudited SIMAK'!$A$2:$R$1272,8,FALSE)+IF(ISNA(VLOOKUP($A334,'Mutasi Neraca'!$A$3:$S$910,8,FALSE)),0,VLOOKUP($A334,'Mutasi Neraca'!$A$3:$S$910,8,FALSE))</f>
        <v>7524688</v>
      </c>
      <c r="J334" s="42">
        <f>VLOOKUP($A334,'Neraca Unaudited SIMAK'!$A$2:$R$1272,9,FALSE)+IF(ISNA(VLOOKUP($A334,'Mutasi Neraca'!$A$3:$S$910,9,FALSE)),0,VLOOKUP($A334,'Mutasi Neraca'!$A$3:$S$910,9,FALSE))</f>
        <v>0</v>
      </c>
      <c r="K334" s="42">
        <f>VLOOKUP($A334,'Neraca Unaudited SIMAK'!$A$2:$R$1272,10,FALSE)+IF(ISNA(VLOOKUP($A334,'Mutasi Neraca'!$A$3:$S$910,10,FALSE)),0,VLOOKUP($A334,'Mutasi Neraca'!$A$3:$S$910,10,FALSE))</f>
        <v>0</v>
      </c>
      <c r="L334" s="42">
        <f>VLOOKUP($A334,'Neraca Unaudited SIMAK'!$A$2:$R$1272,11,FALSE)+IF(ISNA(VLOOKUP($A334,'Mutasi Neraca'!$A$3:$S$910,11,FALSE)),0,VLOOKUP($A334,'Mutasi Neraca'!$A$3:$S$910,11,FALSE))</f>
        <v>10608500</v>
      </c>
      <c r="M334" s="42">
        <f>VLOOKUP($A334,'Neraca Unaudited SIMAK'!$A$2:$R$1272,12,FALSE)+IF(ISNA(VLOOKUP($A334,'Mutasi Neraca'!$A$3:$S$910,12,FALSE)),0,VLOOKUP($A334,'Mutasi Neraca'!$A$3:$S$910,12,FALSE))</f>
        <v>10692641495</v>
      </c>
      <c r="N334" s="42">
        <f>VLOOKUP($A334,'Neraca Unaudited SIMAK'!$A$2:$R$1272,13,FALSE)+IF(ISNA(VLOOKUP($A334,'Mutasi Neraca'!$A$3:$S$910,13,FALSE)),0,VLOOKUP($A334,'Mutasi Neraca'!$A$3:$S$910,13,FALSE))</f>
        <v>-1468672740</v>
      </c>
      <c r="O334" s="42">
        <f>VLOOKUP($A334,'Neraca Unaudited SIMAK'!$A$2:$R$1272,14,FALSE)+IF(ISNA(VLOOKUP($A334,'Mutasi Neraca'!$A$3:$S$910,14,FALSE)),0,VLOOKUP($A334,'Mutasi Neraca'!$A$3:$S$910,14,FALSE))</f>
        <v>-1891810268</v>
      </c>
      <c r="P334" s="42">
        <f>VLOOKUP($A334,'Neraca Unaudited SIMAK'!$A$2:$R$1272,15,FALSE)+IF(ISNA(VLOOKUP($A334,'Mutasi Neraca'!$A$3:$S$910,15,FALSE)),0,VLOOKUP($A334,'Mutasi Neraca'!$A$3:$S$910,15,FALSE))</f>
        <v>-9597843</v>
      </c>
      <c r="Q334" s="42">
        <f>VLOOKUP($A334,'Neraca Unaudited SIMAK'!$A$2:$R$1272,16,FALSE)+IF(ISNA(VLOOKUP($A334,'Mutasi Neraca'!$A$3:$S$910,16,FALSE)),0,VLOOKUP($A334,'Mutasi Neraca'!$A$3:$S$910,16,FALSE))</f>
        <v>0</v>
      </c>
      <c r="R334" s="42">
        <f>VLOOKUP($A334,'Neraca Unaudited SIMAK'!$A$2:$R$1272,17,FALSE)+IF(ISNA(VLOOKUP($A334,'Mutasi Neraca'!$A$3:$S$910,17,FALSE)),0,VLOOKUP($A334,'Mutasi Neraca'!$A$3:$S$910,17,FALSE))</f>
        <v>-10608500</v>
      </c>
      <c r="S334" s="42">
        <f t="shared" si="53"/>
        <v>7311952144</v>
      </c>
    </row>
    <row r="335" spans="1:19">
      <c r="A335" s="41" t="s">
        <v>342</v>
      </c>
      <c r="B335" s="41" t="str">
        <f t="shared" si="52"/>
        <v>005010800</v>
      </c>
      <c r="D335" s="42">
        <f>VLOOKUP($A335,'Neraca Unaudited SIMAK'!$A$2:$R$1272,3,FALSE)+IF(ISNA(VLOOKUP($A335,'Mutasi Neraca'!$A$3:$S$910,3,FALSE)),0,VLOOKUP($A335,'Mutasi Neraca'!$A$3:$S$910,3,FALSE))</f>
        <v>1222290</v>
      </c>
      <c r="E335" s="42">
        <f>VLOOKUP($A335,'Neraca Unaudited SIMAK'!$A$2:$R$1272,4,FALSE)+IF(ISNA(VLOOKUP($A335,'Mutasi Neraca'!$A$3:$S$910,4,FALSE)),0,VLOOKUP($A335,'Mutasi Neraca'!$A$3:$S$910,4,FALSE))</f>
        <v>1694689080</v>
      </c>
      <c r="F335" s="42">
        <f>VLOOKUP($A335,'Neraca Unaudited SIMAK'!$A$2:$R$1272,5,FALSE)+IF(ISNA(VLOOKUP($A335,'Mutasi Neraca'!$A$3:$S$910,5,FALSE)),0,VLOOKUP($A335,'Mutasi Neraca'!$A$3:$S$910,5,FALSE))</f>
        <v>2029959416</v>
      </c>
      <c r="G335" s="42">
        <f>VLOOKUP($A335,'Neraca Unaudited SIMAK'!$A$2:$R$1272,6,FALSE)+IF(ISNA(VLOOKUP($A335,'Mutasi Neraca'!$A$3:$S$910,6,FALSE)),0,VLOOKUP($A335,'Mutasi Neraca'!$A$3:$S$910,6,FALSE))</f>
        <v>5757866190</v>
      </c>
      <c r="H335" s="42">
        <f>VLOOKUP($A335,'Neraca Unaudited SIMAK'!$A$2:$R$1272,7,FALSE)+IF(ISNA(VLOOKUP($A335,'Mutasi Neraca'!$A$3:$S$910,7,FALSE)),0,VLOOKUP($A335,'Mutasi Neraca'!$A$3:$S$910,7,FALSE))</f>
        <v>0</v>
      </c>
      <c r="I335" s="42">
        <f>VLOOKUP($A335,'Neraca Unaudited SIMAK'!$A$2:$R$1272,8,FALSE)+IF(ISNA(VLOOKUP($A335,'Mutasi Neraca'!$A$3:$S$910,8,FALSE)),0,VLOOKUP($A335,'Mutasi Neraca'!$A$3:$S$910,8,FALSE))</f>
        <v>30663840</v>
      </c>
      <c r="J335" s="42">
        <f>VLOOKUP($A335,'Neraca Unaudited SIMAK'!$A$2:$R$1272,9,FALSE)+IF(ISNA(VLOOKUP($A335,'Mutasi Neraca'!$A$3:$S$910,9,FALSE)),0,VLOOKUP($A335,'Mutasi Neraca'!$A$3:$S$910,9,FALSE))</f>
        <v>0</v>
      </c>
      <c r="K335" s="42">
        <f>VLOOKUP($A335,'Neraca Unaudited SIMAK'!$A$2:$R$1272,10,FALSE)+IF(ISNA(VLOOKUP($A335,'Mutasi Neraca'!$A$3:$S$910,10,FALSE)),0,VLOOKUP($A335,'Mutasi Neraca'!$A$3:$S$910,10,FALSE))</f>
        <v>20350000</v>
      </c>
      <c r="L335" s="42">
        <f>VLOOKUP($A335,'Neraca Unaudited SIMAK'!$A$2:$R$1272,11,FALSE)+IF(ISNA(VLOOKUP($A335,'Mutasi Neraca'!$A$3:$S$910,11,FALSE)),0,VLOOKUP($A335,'Mutasi Neraca'!$A$3:$S$910,11,FALSE))</f>
        <v>144412329</v>
      </c>
      <c r="M335" s="42">
        <f>VLOOKUP($A335,'Neraca Unaudited SIMAK'!$A$2:$R$1272,12,FALSE)+IF(ISNA(VLOOKUP($A335,'Mutasi Neraca'!$A$3:$S$910,12,FALSE)),0,VLOOKUP($A335,'Mutasi Neraca'!$A$3:$S$910,12,FALSE))</f>
        <v>9679163145</v>
      </c>
      <c r="N335" s="42">
        <f>VLOOKUP($A335,'Neraca Unaudited SIMAK'!$A$2:$R$1272,13,FALSE)+IF(ISNA(VLOOKUP($A335,'Mutasi Neraca'!$A$3:$S$910,13,FALSE)),0,VLOOKUP($A335,'Mutasi Neraca'!$A$3:$S$910,13,FALSE))</f>
        <v>-1702021852</v>
      </c>
      <c r="O335" s="42">
        <f>VLOOKUP($A335,'Neraca Unaudited SIMAK'!$A$2:$R$1272,14,FALSE)+IF(ISNA(VLOOKUP($A335,'Mutasi Neraca'!$A$3:$S$910,14,FALSE)),0,VLOOKUP($A335,'Mutasi Neraca'!$A$3:$S$910,14,FALSE))</f>
        <v>-2412025104</v>
      </c>
      <c r="P335" s="42">
        <f>VLOOKUP($A335,'Neraca Unaudited SIMAK'!$A$2:$R$1272,15,FALSE)+IF(ISNA(VLOOKUP($A335,'Mutasi Neraca'!$A$3:$S$910,15,FALSE)),0,VLOOKUP($A335,'Mutasi Neraca'!$A$3:$S$910,15,FALSE))</f>
        <v>0</v>
      </c>
      <c r="Q335" s="42">
        <f>VLOOKUP($A335,'Neraca Unaudited SIMAK'!$A$2:$R$1272,16,FALSE)+IF(ISNA(VLOOKUP($A335,'Mutasi Neraca'!$A$3:$S$910,16,FALSE)),0,VLOOKUP($A335,'Mutasi Neraca'!$A$3:$S$910,16,FALSE))</f>
        <v>0</v>
      </c>
      <c r="R335" s="42">
        <f>VLOOKUP($A335,'Neraca Unaudited SIMAK'!$A$2:$R$1272,17,FALSE)+IF(ISNA(VLOOKUP($A335,'Mutasi Neraca'!$A$3:$S$910,17,FALSE)),0,VLOOKUP($A335,'Mutasi Neraca'!$A$3:$S$910,17,FALSE))</f>
        <v>-142755660</v>
      </c>
      <c r="S335" s="42">
        <f t="shared" si="53"/>
        <v>5422360529</v>
      </c>
    </row>
    <row r="336" spans="1:19">
      <c r="A336" s="41" t="s">
        <v>343</v>
      </c>
      <c r="B336" s="41" t="str">
        <f t="shared" si="52"/>
        <v>005010800</v>
      </c>
      <c r="D336" s="42">
        <f>VLOOKUP($A336,'Neraca Unaudited SIMAK'!$A$2:$R$1272,3,FALSE)+IF(ISNA(VLOOKUP($A336,'Mutasi Neraca'!$A$3:$S$910,3,FALSE)),0,VLOOKUP($A336,'Mutasi Neraca'!$A$3:$S$910,3,FALSE))</f>
        <v>6291550</v>
      </c>
      <c r="E336" s="42">
        <f>VLOOKUP($A336,'Neraca Unaudited SIMAK'!$A$2:$R$1272,4,FALSE)+IF(ISNA(VLOOKUP($A336,'Mutasi Neraca'!$A$3:$S$910,4,FALSE)),0,VLOOKUP($A336,'Mutasi Neraca'!$A$3:$S$910,4,FALSE))</f>
        <v>2119000000</v>
      </c>
      <c r="F336" s="42">
        <f>VLOOKUP($A336,'Neraca Unaudited SIMAK'!$A$2:$R$1272,5,FALSE)+IF(ISNA(VLOOKUP($A336,'Mutasi Neraca'!$A$3:$S$910,5,FALSE)),0,VLOOKUP($A336,'Mutasi Neraca'!$A$3:$S$910,5,FALSE))</f>
        <v>1232459000</v>
      </c>
      <c r="G336" s="42">
        <f>VLOOKUP($A336,'Neraca Unaudited SIMAK'!$A$2:$R$1272,6,FALSE)+IF(ISNA(VLOOKUP($A336,'Mutasi Neraca'!$A$3:$S$910,6,FALSE)),0,VLOOKUP($A336,'Mutasi Neraca'!$A$3:$S$910,6,FALSE))</f>
        <v>2961181250</v>
      </c>
      <c r="H336" s="42">
        <f>VLOOKUP($A336,'Neraca Unaudited SIMAK'!$A$2:$R$1272,7,FALSE)+IF(ISNA(VLOOKUP($A336,'Mutasi Neraca'!$A$3:$S$910,7,FALSE)),0,VLOOKUP($A336,'Mutasi Neraca'!$A$3:$S$910,7,FALSE))</f>
        <v>44628000</v>
      </c>
      <c r="I336" s="42">
        <f>VLOOKUP($A336,'Neraca Unaudited SIMAK'!$A$2:$R$1272,8,FALSE)+IF(ISNA(VLOOKUP($A336,'Mutasi Neraca'!$A$3:$S$910,8,FALSE)),0,VLOOKUP($A336,'Mutasi Neraca'!$A$3:$S$910,8,FALSE))</f>
        <v>9296082</v>
      </c>
      <c r="J336" s="42">
        <f>VLOOKUP($A336,'Neraca Unaudited SIMAK'!$A$2:$R$1272,9,FALSE)+IF(ISNA(VLOOKUP($A336,'Mutasi Neraca'!$A$3:$S$910,9,FALSE)),0,VLOOKUP($A336,'Mutasi Neraca'!$A$3:$S$910,9,FALSE))</f>
        <v>0</v>
      </c>
      <c r="K336" s="42">
        <f>VLOOKUP($A336,'Neraca Unaudited SIMAK'!$A$2:$R$1272,10,FALSE)+IF(ISNA(VLOOKUP($A336,'Mutasi Neraca'!$A$3:$S$910,10,FALSE)),0,VLOOKUP($A336,'Mutasi Neraca'!$A$3:$S$910,10,FALSE))</f>
        <v>22000000</v>
      </c>
      <c r="L336" s="42">
        <f>VLOOKUP($A336,'Neraca Unaudited SIMAK'!$A$2:$R$1272,11,FALSE)+IF(ISNA(VLOOKUP($A336,'Mutasi Neraca'!$A$3:$S$910,11,FALSE)),0,VLOOKUP($A336,'Mutasi Neraca'!$A$3:$S$910,11,FALSE))</f>
        <v>41000000</v>
      </c>
      <c r="M336" s="42">
        <f>VLOOKUP($A336,'Neraca Unaudited SIMAK'!$A$2:$R$1272,12,FALSE)+IF(ISNA(VLOOKUP($A336,'Mutasi Neraca'!$A$3:$S$910,12,FALSE)),0,VLOOKUP($A336,'Mutasi Neraca'!$A$3:$S$910,12,FALSE))</f>
        <v>6435855882</v>
      </c>
      <c r="N336" s="42">
        <f>VLOOKUP($A336,'Neraca Unaudited SIMAK'!$A$2:$R$1272,13,FALSE)+IF(ISNA(VLOOKUP($A336,'Mutasi Neraca'!$A$3:$S$910,13,FALSE)),0,VLOOKUP($A336,'Mutasi Neraca'!$A$3:$S$910,13,FALSE))</f>
        <v>-1112831777</v>
      </c>
      <c r="O336" s="42">
        <f>VLOOKUP($A336,'Neraca Unaudited SIMAK'!$A$2:$R$1272,14,FALSE)+IF(ISNA(VLOOKUP($A336,'Mutasi Neraca'!$A$3:$S$910,14,FALSE)),0,VLOOKUP($A336,'Mutasi Neraca'!$A$3:$S$910,14,FALSE))</f>
        <v>-1975751610</v>
      </c>
      <c r="P336" s="42">
        <f>VLOOKUP($A336,'Neraca Unaudited SIMAK'!$A$2:$R$1272,15,FALSE)+IF(ISNA(VLOOKUP($A336,'Mutasi Neraca'!$A$3:$S$910,15,FALSE)),0,VLOOKUP($A336,'Mutasi Neraca'!$A$3:$S$910,15,FALSE))</f>
        <v>-7252050</v>
      </c>
      <c r="Q336" s="42">
        <f>VLOOKUP($A336,'Neraca Unaudited SIMAK'!$A$2:$R$1272,16,FALSE)+IF(ISNA(VLOOKUP($A336,'Mutasi Neraca'!$A$3:$S$910,16,FALSE)),0,VLOOKUP($A336,'Mutasi Neraca'!$A$3:$S$910,16,FALSE))</f>
        <v>0</v>
      </c>
      <c r="R336" s="42">
        <f>VLOOKUP($A336,'Neraca Unaudited SIMAK'!$A$2:$R$1272,17,FALSE)+IF(ISNA(VLOOKUP($A336,'Mutasi Neraca'!$A$3:$S$910,17,FALSE)),0,VLOOKUP($A336,'Mutasi Neraca'!$A$3:$S$910,17,FALSE))</f>
        <v>-41000000</v>
      </c>
      <c r="S336" s="42">
        <f t="shared" si="53"/>
        <v>3299020445</v>
      </c>
    </row>
    <row r="337" spans="1:19">
      <c r="A337" s="41" t="s">
        <v>344</v>
      </c>
      <c r="B337" s="41" t="str">
        <f t="shared" si="52"/>
        <v>005010800</v>
      </c>
      <c r="D337" s="42">
        <f>VLOOKUP($A337,'Neraca Unaudited SIMAK'!$A$2:$R$1272,3,FALSE)+IF(ISNA(VLOOKUP($A337,'Mutasi Neraca'!$A$3:$S$910,3,FALSE)),0,VLOOKUP($A337,'Mutasi Neraca'!$A$3:$S$910,3,FALSE))</f>
        <v>992275</v>
      </c>
      <c r="E337" s="42">
        <f>VLOOKUP($A337,'Neraca Unaudited SIMAK'!$A$2:$R$1272,4,FALSE)+IF(ISNA(VLOOKUP($A337,'Mutasi Neraca'!$A$3:$S$910,4,FALSE)),0,VLOOKUP($A337,'Mutasi Neraca'!$A$3:$S$910,4,FALSE))</f>
        <v>787500000</v>
      </c>
      <c r="F337" s="42">
        <f>VLOOKUP($A337,'Neraca Unaudited SIMAK'!$A$2:$R$1272,5,FALSE)+IF(ISNA(VLOOKUP($A337,'Mutasi Neraca'!$A$3:$S$910,5,FALSE)),0,VLOOKUP($A337,'Mutasi Neraca'!$A$3:$S$910,5,FALSE))</f>
        <v>1874308613</v>
      </c>
      <c r="G337" s="42">
        <f>VLOOKUP($A337,'Neraca Unaudited SIMAK'!$A$2:$R$1272,6,FALSE)+IF(ISNA(VLOOKUP($A337,'Mutasi Neraca'!$A$3:$S$910,6,FALSE)),0,VLOOKUP($A337,'Mutasi Neraca'!$A$3:$S$910,6,FALSE))</f>
        <v>5428630000</v>
      </c>
      <c r="H337" s="42">
        <f>VLOOKUP($A337,'Neraca Unaudited SIMAK'!$A$2:$R$1272,7,FALSE)+IF(ISNA(VLOOKUP($A337,'Mutasi Neraca'!$A$3:$S$910,7,FALSE)),0,VLOOKUP($A337,'Mutasi Neraca'!$A$3:$S$910,7,FALSE))</f>
        <v>175063700</v>
      </c>
      <c r="I337" s="42">
        <f>VLOOKUP($A337,'Neraca Unaudited SIMAK'!$A$2:$R$1272,8,FALSE)+IF(ISNA(VLOOKUP($A337,'Mutasi Neraca'!$A$3:$S$910,8,FALSE)),0,VLOOKUP($A337,'Mutasi Neraca'!$A$3:$S$910,8,FALSE))</f>
        <v>1943440</v>
      </c>
      <c r="J337" s="42">
        <f>VLOOKUP($A337,'Neraca Unaudited SIMAK'!$A$2:$R$1272,9,FALSE)+IF(ISNA(VLOOKUP($A337,'Mutasi Neraca'!$A$3:$S$910,9,FALSE)),0,VLOOKUP($A337,'Mutasi Neraca'!$A$3:$S$910,9,FALSE))</f>
        <v>0</v>
      </c>
      <c r="K337" s="42">
        <f>VLOOKUP($A337,'Neraca Unaudited SIMAK'!$A$2:$R$1272,10,FALSE)+IF(ISNA(VLOOKUP($A337,'Mutasi Neraca'!$A$3:$S$910,10,FALSE)),0,VLOOKUP($A337,'Mutasi Neraca'!$A$3:$S$910,10,FALSE))</f>
        <v>0</v>
      </c>
      <c r="L337" s="42">
        <f>VLOOKUP($A337,'Neraca Unaudited SIMAK'!$A$2:$R$1272,11,FALSE)+IF(ISNA(VLOOKUP($A337,'Mutasi Neraca'!$A$3:$S$910,11,FALSE)),0,VLOOKUP($A337,'Mutasi Neraca'!$A$3:$S$910,11,FALSE))</f>
        <v>0</v>
      </c>
      <c r="M337" s="42">
        <f>VLOOKUP($A337,'Neraca Unaudited SIMAK'!$A$2:$R$1272,12,FALSE)+IF(ISNA(VLOOKUP($A337,'Mutasi Neraca'!$A$3:$S$910,12,FALSE)),0,VLOOKUP($A337,'Mutasi Neraca'!$A$3:$S$910,12,FALSE))</f>
        <v>8268438028</v>
      </c>
      <c r="N337" s="42">
        <f>VLOOKUP($A337,'Neraca Unaudited SIMAK'!$A$2:$R$1272,13,FALSE)+IF(ISNA(VLOOKUP($A337,'Mutasi Neraca'!$A$3:$S$910,13,FALSE)),0,VLOOKUP($A337,'Mutasi Neraca'!$A$3:$S$910,13,FALSE))</f>
        <v>-1614258493</v>
      </c>
      <c r="O337" s="42">
        <f>VLOOKUP($A337,'Neraca Unaudited SIMAK'!$A$2:$R$1272,14,FALSE)+IF(ISNA(VLOOKUP($A337,'Mutasi Neraca'!$A$3:$S$910,14,FALSE)),0,VLOOKUP($A337,'Mutasi Neraca'!$A$3:$S$910,14,FALSE))</f>
        <v>-1253436764</v>
      </c>
      <c r="P337" s="42">
        <f>VLOOKUP($A337,'Neraca Unaudited SIMAK'!$A$2:$R$1272,15,FALSE)+IF(ISNA(VLOOKUP($A337,'Mutasi Neraca'!$A$3:$S$910,15,FALSE)),0,VLOOKUP($A337,'Mutasi Neraca'!$A$3:$S$910,15,FALSE))</f>
        <v>-108417690</v>
      </c>
      <c r="Q337" s="42">
        <f>VLOOKUP($A337,'Neraca Unaudited SIMAK'!$A$2:$R$1272,16,FALSE)+IF(ISNA(VLOOKUP($A337,'Mutasi Neraca'!$A$3:$S$910,16,FALSE)),0,VLOOKUP($A337,'Mutasi Neraca'!$A$3:$S$910,16,FALSE))</f>
        <v>0</v>
      </c>
      <c r="R337" s="42">
        <f>VLOOKUP($A337,'Neraca Unaudited SIMAK'!$A$2:$R$1272,17,FALSE)+IF(ISNA(VLOOKUP($A337,'Mutasi Neraca'!$A$3:$S$910,17,FALSE)),0,VLOOKUP($A337,'Mutasi Neraca'!$A$3:$S$910,17,FALSE))</f>
        <v>0</v>
      </c>
      <c r="S337" s="42">
        <f t="shared" si="53"/>
        <v>5292325081</v>
      </c>
    </row>
    <row r="338" spans="1:19">
      <c r="A338" s="41" t="s">
        <v>345</v>
      </c>
      <c r="B338" s="41" t="str">
        <f t="shared" si="52"/>
        <v>005010800</v>
      </c>
      <c r="D338" s="42">
        <f>VLOOKUP($A338,'Neraca Unaudited SIMAK'!$A$2:$R$1272,3,FALSE)+IF(ISNA(VLOOKUP($A338,'Mutasi Neraca'!$A$3:$S$910,3,FALSE)),0,VLOOKUP($A338,'Mutasi Neraca'!$A$3:$S$910,3,FALSE))</f>
        <v>14033116</v>
      </c>
      <c r="E338" s="42">
        <f>VLOOKUP($A338,'Neraca Unaudited SIMAK'!$A$2:$R$1272,4,FALSE)+IF(ISNA(VLOOKUP($A338,'Mutasi Neraca'!$A$3:$S$910,4,FALSE)),0,VLOOKUP($A338,'Mutasi Neraca'!$A$3:$S$910,4,FALSE))</f>
        <v>2715202000</v>
      </c>
      <c r="F338" s="42">
        <f>VLOOKUP($A338,'Neraca Unaudited SIMAK'!$A$2:$R$1272,5,FALSE)+IF(ISNA(VLOOKUP($A338,'Mutasi Neraca'!$A$3:$S$910,5,FALSE)),0,VLOOKUP($A338,'Mutasi Neraca'!$A$3:$S$910,5,FALSE))</f>
        <v>4644091040</v>
      </c>
      <c r="G338" s="42">
        <f>VLOOKUP($A338,'Neraca Unaudited SIMAK'!$A$2:$R$1272,6,FALSE)+IF(ISNA(VLOOKUP($A338,'Mutasi Neraca'!$A$3:$S$910,6,FALSE)),0,VLOOKUP($A338,'Mutasi Neraca'!$A$3:$S$910,6,FALSE))</f>
        <v>15329825132</v>
      </c>
      <c r="H338" s="42">
        <f>VLOOKUP($A338,'Neraca Unaudited SIMAK'!$A$2:$R$1272,7,FALSE)+IF(ISNA(VLOOKUP($A338,'Mutasi Neraca'!$A$3:$S$910,7,FALSE)),0,VLOOKUP($A338,'Mutasi Neraca'!$A$3:$S$910,7,FALSE))</f>
        <v>196280000</v>
      </c>
      <c r="I338" s="42">
        <f>VLOOKUP($A338,'Neraca Unaudited SIMAK'!$A$2:$R$1272,8,FALSE)+IF(ISNA(VLOOKUP($A338,'Mutasi Neraca'!$A$3:$S$910,8,FALSE)),0,VLOOKUP($A338,'Mutasi Neraca'!$A$3:$S$910,8,FALSE))</f>
        <v>48382335</v>
      </c>
      <c r="J338" s="42">
        <f>VLOOKUP($A338,'Neraca Unaudited SIMAK'!$A$2:$R$1272,9,FALSE)+IF(ISNA(VLOOKUP($A338,'Mutasi Neraca'!$A$3:$S$910,9,FALSE)),0,VLOOKUP($A338,'Mutasi Neraca'!$A$3:$S$910,9,FALSE))</f>
        <v>0</v>
      </c>
      <c r="K338" s="42">
        <f>VLOOKUP($A338,'Neraca Unaudited SIMAK'!$A$2:$R$1272,10,FALSE)+IF(ISNA(VLOOKUP($A338,'Mutasi Neraca'!$A$3:$S$910,10,FALSE)),0,VLOOKUP($A338,'Mutasi Neraca'!$A$3:$S$910,10,FALSE))</f>
        <v>10890000</v>
      </c>
      <c r="L338" s="42">
        <f>VLOOKUP($A338,'Neraca Unaudited SIMAK'!$A$2:$R$1272,11,FALSE)+IF(ISNA(VLOOKUP($A338,'Mutasi Neraca'!$A$3:$S$910,11,FALSE)),0,VLOOKUP($A338,'Mutasi Neraca'!$A$3:$S$910,11,FALSE))</f>
        <v>150264314</v>
      </c>
      <c r="M338" s="42">
        <f>VLOOKUP($A338,'Neraca Unaudited SIMAK'!$A$2:$R$1272,12,FALSE)+IF(ISNA(VLOOKUP($A338,'Mutasi Neraca'!$A$3:$S$910,12,FALSE)),0,VLOOKUP($A338,'Mutasi Neraca'!$A$3:$S$910,12,FALSE))</f>
        <v>23108967937</v>
      </c>
      <c r="N338" s="42">
        <f>VLOOKUP($A338,'Neraca Unaudited SIMAK'!$A$2:$R$1272,13,FALSE)+IF(ISNA(VLOOKUP($A338,'Mutasi Neraca'!$A$3:$S$910,13,FALSE)),0,VLOOKUP($A338,'Mutasi Neraca'!$A$3:$S$910,13,FALSE))</f>
        <v>-3483033175</v>
      </c>
      <c r="O338" s="42">
        <f>VLOOKUP($A338,'Neraca Unaudited SIMAK'!$A$2:$R$1272,14,FALSE)+IF(ISNA(VLOOKUP($A338,'Mutasi Neraca'!$A$3:$S$910,14,FALSE)),0,VLOOKUP($A338,'Mutasi Neraca'!$A$3:$S$910,14,FALSE))</f>
        <v>-1128043185</v>
      </c>
      <c r="P338" s="42">
        <f>VLOOKUP($A338,'Neraca Unaudited SIMAK'!$A$2:$R$1272,15,FALSE)+IF(ISNA(VLOOKUP($A338,'Mutasi Neraca'!$A$3:$S$910,15,FALSE)),0,VLOOKUP($A338,'Mutasi Neraca'!$A$3:$S$910,15,FALSE))</f>
        <v>-6542666</v>
      </c>
      <c r="Q338" s="42">
        <f>VLOOKUP($A338,'Neraca Unaudited SIMAK'!$A$2:$R$1272,16,FALSE)+IF(ISNA(VLOOKUP($A338,'Mutasi Neraca'!$A$3:$S$910,16,FALSE)),0,VLOOKUP($A338,'Mutasi Neraca'!$A$3:$S$910,16,FALSE))</f>
        <v>0</v>
      </c>
      <c r="R338" s="42">
        <f>VLOOKUP($A338,'Neraca Unaudited SIMAK'!$A$2:$R$1272,17,FALSE)+IF(ISNA(VLOOKUP($A338,'Mutasi Neraca'!$A$3:$S$910,17,FALSE)),0,VLOOKUP($A338,'Mutasi Neraca'!$A$3:$S$910,17,FALSE))</f>
        <v>-147236499</v>
      </c>
      <c r="S338" s="42">
        <f t="shared" si="53"/>
        <v>18344112412</v>
      </c>
    </row>
    <row r="339" spans="1:19">
      <c r="A339" s="41" t="s">
        <v>346</v>
      </c>
      <c r="B339" s="41" t="str">
        <f t="shared" si="52"/>
        <v>005010800</v>
      </c>
      <c r="D339" s="42">
        <f>VLOOKUP($A339,'Neraca Unaudited SIMAK'!$A$2:$R$1272,3,FALSE)+IF(ISNA(VLOOKUP($A339,'Mutasi Neraca'!$A$3:$S$910,3,FALSE)),0,VLOOKUP($A339,'Mutasi Neraca'!$A$3:$S$910,3,FALSE))</f>
        <v>9586891</v>
      </c>
      <c r="E339" s="42">
        <f>VLOOKUP($A339,'Neraca Unaudited SIMAK'!$A$2:$R$1272,4,FALSE)+IF(ISNA(VLOOKUP($A339,'Mutasi Neraca'!$A$3:$S$910,4,FALSE)),0,VLOOKUP($A339,'Mutasi Neraca'!$A$3:$S$910,4,FALSE))</f>
        <v>489448650</v>
      </c>
      <c r="F339" s="42">
        <f>VLOOKUP($A339,'Neraca Unaudited SIMAK'!$A$2:$R$1272,5,FALSE)+IF(ISNA(VLOOKUP($A339,'Mutasi Neraca'!$A$3:$S$910,5,FALSE)),0,VLOOKUP($A339,'Mutasi Neraca'!$A$3:$S$910,5,FALSE))</f>
        <v>1511878887</v>
      </c>
      <c r="G339" s="42">
        <f>VLOOKUP($A339,'Neraca Unaudited SIMAK'!$A$2:$R$1272,6,FALSE)+IF(ISNA(VLOOKUP($A339,'Mutasi Neraca'!$A$3:$S$910,6,FALSE)),0,VLOOKUP($A339,'Mutasi Neraca'!$A$3:$S$910,6,FALSE))</f>
        <v>1791903600</v>
      </c>
      <c r="H339" s="42">
        <f>VLOOKUP($A339,'Neraca Unaudited SIMAK'!$A$2:$R$1272,7,FALSE)+IF(ISNA(VLOOKUP($A339,'Mutasi Neraca'!$A$3:$S$910,7,FALSE)),0,VLOOKUP($A339,'Mutasi Neraca'!$A$3:$S$910,7,FALSE))</f>
        <v>0</v>
      </c>
      <c r="I339" s="42">
        <f>VLOOKUP($A339,'Neraca Unaudited SIMAK'!$A$2:$R$1272,8,FALSE)+IF(ISNA(VLOOKUP($A339,'Mutasi Neraca'!$A$3:$S$910,8,FALSE)),0,VLOOKUP($A339,'Mutasi Neraca'!$A$3:$S$910,8,FALSE))</f>
        <v>8264740</v>
      </c>
      <c r="J339" s="42">
        <f>VLOOKUP($A339,'Neraca Unaudited SIMAK'!$A$2:$R$1272,9,FALSE)+IF(ISNA(VLOOKUP($A339,'Mutasi Neraca'!$A$3:$S$910,9,FALSE)),0,VLOOKUP($A339,'Mutasi Neraca'!$A$3:$S$910,9,FALSE))</f>
        <v>0</v>
      </c>
      <c r="K339" s="42">
        <f>VLOOKUP($A339,'Neraca Unaudited SIMAK'!$A$2:$R$1272,10,FALSE)+IF(ISNA(VLOOKUP($A339,'Mutasi Neraca'!$A$3:$S$910,10,FALSE)),0,VLOOKUP($A339,'Mutasi Neraca'!$A$3:$S$910,10,FALSE))</f>
        <v>28800000</v>
      </c>
      <c r="L339" s="42">
        <f>VLOOKUP($A339,'Neraca Unaudited SIMAK'!$A$2:$R$1272,11,FALSE)+IF(ISNA(VLOOKUP($A339,'Mutasi Neraca'!$A$3:$S$910,11,FALSE)),0,VLOOKUP($A339,'Mutasi Neraca'!$A$3:$S$910,11,FALSE))</f>
        <v>0</v>
      </c>
      <c r="M339" s="42">
        <f>VLOOKUP($A339,'Neraca Unaudited SIMAK'!$A$2:$R$1272,12,FALSE)+IF(ISNA(VLOOKUP($A339,'Mutasi Neraca'!$A$3:$S$910,12,FALSE)),0,VLOOKUP($A339,'Mutasi Neraca'!$A$3:$S$910,12,FALSE))</f>
        <v>3839882768</v>
      </c>
      <c r="N339" s="42">
        <f>VLOOKUP($A339,'Neraca Unaudited SIMAK'!$A$2:$R$1272,13,FALSE)+IF(ISNA(VLOOKUP($A339,'Mutasi Neraca'!$A$3:$S$910,13,FALSE)),0,VLOOKUP($A339,'Mutasi Neraca'!$A$3:$S$910,13,FALSE))</f>
        <v>-999294148</v>
      </c>
      <c r="O339" s="42">
        <f>VLOOKUP($A339,'Neraca Unaudited SIMAK'!$A$2:$R$1272,14,FALSE)+IF(ISNA(VLOOKUP($A339,'Mutasi Neraca'!$A$3:$S$910,14,FALSE)),0,VLOOKUP($A339,'Mutasi Neraca'!$A$3:$S$910,14,FALSE))</f>
        <v>-383361684</v>
      </c>
      <c r="P339" s="42">
        <f>VLOOKUP($A339,'Neraca Unaudited SIMAK'!$A$2:$R$1272,15,FALSE)+IF(ISNA(VLOOKUP($A339,'Mutasi Neraca'!$A$3:$S$910,15,FALSE)),0,VLOOKUP($A339,'Mutasi Neraca'!$A$3:$S$910,15,FALSE))</f>
        <v>0</v>
      </c>
      <c r="Q339" s="42">
        <f>VLOOKUP($A339,'Neraca Unaudited SIMAK'!$A$2:$R$1272,16,FALSE)+IF(ISNA(VLOOKUP($A339,'Mutasi Neraca'!$A$3:$S$910,16,FALSE)),0,VLOOKUP($A339,'Mutasi Neraca'!$A$3:$S$910,16,FALSE))</f>
        <v>0</v>
      </c>
      <c r="R339" s="42">
        <f>VLOOKUP($A339,'Neraca Unaudited SIMAK'!$A$2:$R$1272,17,FALSE)+IF(ISNA(VLOOKUP($A339,'Mutasi Neraca'!$A$3:$S$910,17,FALSE)),0,VLOOKUP($A339,'Mutasi Neraca'!$A$3:$S$910,17,FALSE))</f>
        <v>0</v>
      </c>
      <c r="S339" s="42">
        <f t="shared" si="53"/>
        <v>2457226936</v>
      </c>
    </row>
    <row r="340" spans="1:19">
      <c r="A340" s="41" t="s">
        <v>347</v>
      </c>
      <c r="B340" s="41" t="str">
        <f t="shared" si="52"/>
        <v>005010800</v>
      </c>
      <c r="D340" s="42">
        <f>VLOOKUP($A340,'Neraca Unaudited SIMAK'!$A$2:$R$1272,3,FALSE)+IF(ISNA(VLOOKUP($A340,'Mutasi Neraca'!$A$3:$S$910,3,FALSE)),0,VLOOKUP($A340,'Mutasi Neraca'!$A$3:$S$910,3,FALSE))</f>
        <v>683200</v>
      </c>
      <c r="E340" s="42">
        <f>VLOOKUP($A340,'Neraca Unaudited SIMAK'!$A$2:$R$1272,4,FALSE)+IF(ISNA(VLOOKUP($A340,'Mutasi Neraca'!$A$3:$S$910,4,FALSE)),0,VLOOKUP($A340,'Mutasi Neraca'!$A$3:$S$910,4,FALSE))</f>
        <v>654680000</v>
      </c>
      <c r="F340" s="42">
        <f>VLOOKUP($A340,'Neraca Unaudited SIMAK'!$A$2:$R$1272,5,FALSE)+IF(ISNA(VLOOKUP($A340,'Mutasi Neraca'!$A$3:$S$910,5,FALSE)),0,VLOOKUP($A340,'Mutasi Neraca'!$A$3:$S$910,5,FALSE))</f>
        <v>1452475747</v>
      </c>
      <c r="G340" s="42">
        <f>VLOOKUP($A340,'Neraca Unaudited SIMAK'!$A$2:$R$1272,6,FALSE)+IF(ISNA(VLOOKUP($A340,'Mutasi Neraca'!$A$3:$S$910,6,FALSE)),0,VLOOKUP($A340,'Mutasi Neraca'!$A$3:$S$910,6,FALSE))</f>
        <v>6734009633</v>
      </c>
      <c r="H340" s="42">
        <f>VLOOKUP($A340,'Neraca Unaudited SIMAK'!$A$2:$R$1272,7,FALSE)+IF(ISNA(VLOOKUP($A340,'Mutasi Neraca'!$A$3:$S$910,7,FALSE)),0,VLOOKUP($A340,'Mutasi Neraca'!$A$3:$S$910,7,FALSE))</f>
        <v>70760000</v>
      </c>
      <c r="I340" s="42">
        <f>VLOOKUP($A340,'Neraca Unaudited SIMAK'!$A$2:$R$1272,8,FALSE)+IF(ISNA(VLOOKUP($A340,'Mutasi Neraca'!$A$3:$S$910,8,FALSE)),0,VLOOKUP($A340,'Mutasi Neraca'!$A$3:$S$910,8,FALSE))</f>
        <v>23983390</v>
      </c>
      <c r="J340" s="42">
        <f>VLOOKUP($A340,'Neraca Unaudited SIMAK'!$A$2:$R$1272,9,FALSE)+IF(ISNA(VLOOKUP($A340,'Mutasi Neraca'!$A$3:$S$910,9,FALSE)),0,VLOOKUP($A340,'Mutasi Neraca'!$A$3:$S$910,9,FALSE))</f>
        <v>0</v>
      </c>
      <c r="K340" s="42">
        <f>VLOOKUP($A340,'Neraca Unaudited SIMAK'!$A$2:$R$1272,10,FALSE)+IF(ISNA(VLOOKUP($A340,'Mutasi Neraca'!$A$3:$S$910,10,FALSE)),0,VLOOKUP($A340,'Mutasi Neraca'!$A$3:$S$910,10,FALSE))</f>
        <v>0</v>
      </c>
      <c r="L340" s="42">
        <f>VLOOKUP($A340,'Neraca Unaudited SIMAK'!$A$2:$R$1272,11,FALSE)+IF(ISNA(VLOOKUP($A340,'Mutasi Neraca'!$A$3:$S$910,11,FALSE)),0,VLOOKUP($A340,'Mutasi Neraca'!$A$3:$S$910,11,FALSE))</f>
        <v>0</v>
      </c>
      <c r="M340" s="42">
        <f>VLOOKUP($A340,'Neraca Unaudited SIMAK'!$A$2:$R$1272,12,FALSE)+IF(ISNA(VLOOKUP($A340,'Mutasi Neraca'!$A$3:$S$910,12,FALSE)),0,VLOOKUP($A340,'Mutasi Neraca'!$A$3:$S$910,12,FALSE))</f>
        <v>8936591970</v>
      </c>
      <c r="N340" s="42">
        <f>VLOOKUP($A340,'Neraca Unaudited SIMAK'!$A$2:$R$1272,13,FALSE)+IF(ISNA(VLOOKUP($A340,'Mutasi Neraca'!$A$3:$S$910,13,FALSE)),0,VLOOKUP($A340,'Mutasi Neraca'!$A$3:$S$910,13,FALSE))</f>
        <v>-1255194777</v>
      </c>
      <c r="O340" s="42">
        <f>VLOOKUP($A340,'Neraca Unaudited SIMAK'!$A$2:$R$1272,14,FALSE)+IF(ISNA(VLOOKUP($A340,'Mutasi Neraca'!$A$3:$S$910,14,FALSE)),0,VLOOKUP($A340,'Mutasi Neraca'!$A$3:$S$910,14,FALSE))</f>
        <v>-580182129</v>
      </c>
      <c r="P340" s="42">
        <f>VLOOKUP($A340,'Neraca Unaudited SIMAK'!$A$2:$R$1272,15,FALSE)+IF(ISNA(VLOOKUP($A340,'Mutasi Neraca'!$A$3:$S$910,15,FALSE)),0,VLOOKUP($A340,'Mutasi Neraca'!$A$3:$S$910,15,FALSE))</f>
        <v>-26471250</v>
      </c>
      <c r="Q340" s="42">
        <f>VLOOKUP($A340,'Neraca Unaudited SIMAK'!$A$2:$R$1272,16,FALSE)+IF(ISNA(VLOOKUP($A340,'Mutasi Neraca'!$A$3:$S$910,16,FALSE)),0,VLOOKUP($A340,'Mutasi Neraca'!$A$3:$S$910,16,FALSE))</f>
        <v>0</v>
      </c>
      <c r="R340" s="42">
        <f>VLOOKUP($A340,'Neraca Unaudited SIMAK'!$A$2:$R$1272,17,FALSE)+IF(ISNA(VLOOKUP($A340,'Mutasi Neraca'!$A$3:$S$910,17,FALSE)),0,VLOOKUP($A340,'Mutasi Neraca'!$A$3:$S$910,17,FALSE))</f>
        <v>0</v>
      </c>
      <c r="S340" s="42">
        <f t="shared" si="53"/>
        <v>7074743814</v>
      </c>
    </row>
    <row r="341" spans="1:19">
      <c r="A341" s="41" t="s">
        <v>348</v>
      </c>
      <c r="B341" s="41" t="str">
        <f t="shared" si="52"/>
        <v>005010800</v>
      </c>
      <c r="D341" s="42">
        <f>VLOOKUP($A341,'Neraca Unaudited SIMAK'!$A$2:$R$1272,3,FALSE)+IF(ISNA(VLOOKUP($A341,'Mutasi Neraca'!$A$3:$S$910,3,FALSE)),0,VLOOKUP($A341,'Mutasi Neraca'!$A$3:$S$910,3,FALSE))</f>
        <v>1132000</v>
      </c>
      <c r="E341" s="42">
        <f>VLOOKUP($A341,'Neraca Unaudited SIMAK'!$A$2:$R$1272,4,FALSE)+IF(ISNA(VLOOKUP($A341,'Mutasi Neraca'!$A$3:$S$910,4,FALSE)),0,VLOOKUP($A341,'Mutasi Neraca'!$A$3:$S$910,4,FALSE))</f>
        <v>1293663850</v>
      </c>
      <c r="F341" s="42">
        <f>VLOOKUP($A341,'Neraca Unaudited SIMAK'!$A$2:$R$1272,5,FALSE)+IF(ISNA(VLOOKUP($A341,'Mutasi Neraca'!$A$3:$S$910,5,FALSE)),0,VLOOKUP($A341,'Mutasi Neraca'!$A$3:$S$910,5,FALSE))</f>
        <v>1347302043</v>
      </c>
      <c r="G341" s="42">
        <f>VLOOKUP($A341,'Neraca Unaudited SIMAK'!$A$2:$R$1272,6,FALSE)+IF(ISNA(VLOOKUP($A341,'Mutasi Neraca'!$A$3:$S$910,6,FALSE)),0,VLOOKUP($A341,'Mutasi Neraca'!$A$3:$S$910,6,FALSE))</f>
        <v>9671602347</v>
      </c>
      <c r="H341" s="42">
        <f>VLOOKUP($A341,'Neraca Unaudited SIMAK'!$A$2:$R$1272,7,FALSE)+IF(ISNA(VLOOKUP($A341,'Mutasi Neraca'!$A$3:$S$910,7,FALSE)),0,VLOOKUP($A341,'Mutasi Neraca'!$A$3:$S$910,7,FALSE))</f>
        <v>29900000</v>
      </c>
      <c r="I341" s="42">
        <f>VLOOKUP($A341,'Neraca Unaudited SIMAK'!$A$2:$R$1272,8,FALSE)+IF(ISNA(VLOOKUP($A341,'Mutasi Neraca'!$A$3:$S$910,8,FALSE)),0,VLOOKUP($A341,'Mutasi Neraca'!$A$3:$S$910,8,FALSE))</f>
        <v>11816738</v>
      </c>
      <c r="J341" s="42">
        <f>VLOOKUP($A341,'Neraca Unaudited SIMAK'!$A$2:$R$1272,9,FALSE)+IF(ISNA(VLOOKUP($A341,'Mutasi Neraca'!$A$3:$S$910,9,FALSE)),0,VLOOKUP($A341,'Mutasi Neraca'!$A$3:$S$910,9,FALSE))</f>
        <v>0</v>
      </c>
      <c r="K341" s="42">
        <f>VLOOKUP($A341,'Neraca Unaudited SIMAK'!$A$2:$R$1272,10,FALSE)+IF(ISNA(VLOOKUP($A341,'Mutasi Neraca'!$A$3:$S$910,10,FALSE)),0,VLOOKUP($A341,'Mutasi Neraca'!$A$3:$S$910,10,FALSE))</f>
        <v>0</v>
      </c>
      <c r="L341" s="42">
        <f>VLOOKUP($A341,'Neraca Unaudited SIMAK'!$A$2:$R$1272,11,FALSE)+IF(ISNA(VLOOKUP($A341,'Mutasi Neraca'!$A$3:$S$910,11,FALSE)),0,VLOOKUP($A341,'Mutasi Neraca'!$A$3:$S$910,11,FALSE))</f>
        <v>173516500</v>
      </c>
      <c r="M341" s="42">
        <f>VLOOKUP($A341,'Neraca Unaudited SIMAK'!$A$2:$R$1272,12,FALSE)+IF(ISNA(VLOOKUP($A341,'Mutasi Neraca'!$A$3:$S$910,12,FALSE)),0,VLOOKUP($A341,'Mutasi Neraca'!$A$3:$S$910,12,FALSE))</f>
        <v>12528933478</v>
      </c>
      <c r="N341" s="42">
        <f>VLOOKUP($A341,'Neraca Unaudited SIMAK'!$A$2:$R$1272,13,FALSE)+IF(ISNA(VLOOKUP($A341,'Mutasi Neraca'!$A$3:$S$910,13,FALSE)),0,VLOOKUP($A341,'Mutasi Neraca'!$A$3:$S$910,13,FALSE))</f>
        <v>-924185314</v>
      </c>
      <c r="O341" s="42">
        <f>VLOOKUP($A341,'Neraca Unaudited SIMAK'!$A$2:$R$1272,14,FALSE)+IF(ISNA(VLOOKUP($A341,'Mutasi Neraca'!$A$3:$S$910,14,FALSE)),0,VLOOKUP($A341,'Mutasi Neraca'!$A$3:$S$910,14,FALSE))</f>
        <v>-400083014</v>
      </c>
      <c r="P341" s="42">
        <f>VLOOKUP($A341,'Neraca Unaudited SIMAK'!$A$2:$R$1272,15,FALSE)+IF(ISNA(VLOOKUP($A341,'Mutasi Neraca'!$A$3:$S$910,15,FALSE)),0,VLOOKUP($A341,'Mutasi Neraca'!$A$3:$S$910,15,FALSE))</f>
        <v>-3737500</v>
      </c>
      <c r="Q341" s="42">
        <f>VLOOKUP($A341,'Neraca Unaudited SIMAK'!$A$2:$R$1272,16,FALSE)+IF(ISNA(VLOOKUP($A341,'Mutasi Neraca'!$A$3:$S$910,16,FALSE)),0,VLOOKUP($A341,'Mutasi Neraca'!$A$3:$S$910,16,FALSE))</f>
        <v>0</v>
      </c>
      <c r="R341" s="42">
        <f>VLOOKUP($A341,'Neraca Unaudited SIMAK'!$A$2:$R$1272,17,FALSE)+IF(ISNA(VLOOKUP($A341,'Mutasi Neraca'!$A$3:$S$910,17,FALSE)),0,VLOOKUP($A341,'Mutasi Neraca'!$A$3:$S$910,17,FALSE))</f>
        <v>-172269831</v>
      </c>
      <c r="S341" s="42">
        <f t="shared" si="53"/>
        <v>11028657819</v>
      </c>
    </row>
    <row r="342" spans="1:19">
      <c r="A342" s="41" t="s">
        <v>349</v>
      </c>
      <c r="B342" s="41" t="str">
        <f t="shared" si="52"/>
        <v>005010800</v>
      </c>
      <c r="D342" s="42">
        <f>VLOOKUP($A342,'Neraca Unaudited SIMAK'!$A$2:$R$1272,3,FALSE)+IF(ISNA(VLOOKUP($A342,'Mutasi Neraca'!$A$3:$S$910,3,FALSE)),0,VLOOKUP($A342,'Mutasi Neraca'!$A$3:$S$910,3,FALSE))</f>
        <v>5340463</v>
      </c>
      <c r="E342" s="42">
        <f>VLOOKUP($A342,'Neraca Unaudited SIMAK'!$A$2:$R$1272,4,FALSE)+IF(ISNA(VLOOKUP($A342,'Mutasi Neraca'!$A$3:$S$910,4,FALSE)),0,VLOOKUP($A342,'Mutasi Neraca'!$A$3:$S$910,4,FALSE))</f>
        <v>1407551538</v>
      </c>
      <c r="F342" s="42">
        <f>VLOOKUP($A342,'Neraca Unaudited SIMAK'!$A$2:$R$1272,5,FALSE)+IF(ISNA(VLOOKUP($A342,'Mutasi Neraca'!$A$3:$S$910,5,FALSE)),0,VLOOKUP($A342,'Mutasi Neraca'!$A$3:$S$910,5,FALSE))</f>
        <v>2595985311</v>
      </c>
      <c r="G342" s="42">
        <f>VLOOKUP($A342,'Neraca Unaudited SIMAK'!$A$2:$R$1272,6,FALSE)+IF(ISNA(VLOOKUP($A342,'Mutasi Neraca'!$A$3:$S$910,6,FALSE)),0,VLOOKUP($A342,'Mutasi Neraca'!$A$3:$S$910,6,FALSE))</f>
        <v>7792897299</v>
      </c>
      <c r="H342" s="42">
        <f>VLOOKUP($A342,'Neraca Unaudited SIMAK'!$A$2:$R$1272,7,FALSE)+IF(ISNA(VLOOKUP($A342,'Mutasi Neraca'!$A$3:$S$910,7,FALSE)),0,VLOOKUP($A342,'Mutasi Neraca'!$A$3:$S$910,7,FALSE))</f>
        <v>26526000</v>
      </c>
      <c r="I342" s="42">
        <f>VLOOKUP($A342,'Neraca Unaudited SIMAK'!$A$2:$R$1272,8,FALSE)+IF(ISNA(VLOOKUP($A342,'Mutasi Neraca'!$A$3:$S$910,8,FALSE)),0,VLOOKUP($A342,'Mutasi Neraca'!$A$3:$S$910,8,FALSE))</f>
        <v>3106828</v>
      </c>
      <c r="J342" s="42">
        <f>VLOOKUP($A342,'Neraca Unaudited SIMAK'!$A$2:$R$1272,9,FALSE)+IF(ISNA(VLOOKUP($A342,'Mutasi Neraca'!$A$3:$S$910,9,FALSE)),0,VLOOKUP($A342,'Mutasi Neraca'!$A$3:$S$910,9,FALSE))</f>
        <v>0</v>
      </c>
      <c r="K342" s="42">
        <f>VLOOKUP($A342,'Neraca Unaudited SIMAK'!$A$2:$R$1272,10,FALSE)+IF(ISNA(VLOOKUP($A342,'Mutasi Neraca'!$A$3:$S$910,10,FALSE)),0,VLOOKUP($A342,'Mutasi Neraca'!$A$3:$S$910,10,FALSE))</f>
        <v>0</v>
      </c>
      <c r="L342" s="42">
        <f>VLOOKUP($A342,'Neraca Unaudited SIMAK'!$A$2:$R$1272,11,FALSE)+IF(ISNA(VLOOKUP($A342,'Mutasi Neraca'!$A$3:$S$910,11,FALSE)),0,VLOOKUP($A342,'Mutasi Neraca'!$A$3:$S$910,11,FALSE))</f>
        <v>0</v>
      </c>
      <c r="M342" s="42">
        <f>VLOOKUP($A342,'Neraca Unaudited SIMAK'!$A$2:$R$1272,12,FALSE)+IF(ISNA(VLOOKUP($A342,'Mutasi Neraca'!$A$3:$S$910,12,FALSE)),0,VLOOKUP($A342,'Mutasi Neraca'!$A$3:$S$910,12,FALSE))</f>
        <v>11831407439</v>
      </c>
      <c r="N342" s="42">
        <f>VLOOKUP($A342,'Neraca Unaudited SIMAK'!$A$2:$R$1272,13,FALSE)+IF(ISNA(VLOOKUP($A342,'Mutasi Neraca'!$A$3:$S$910,13,FALSE)),0,VLOOKUP($A342,'Mutasi Neraca'!$A$3:$S$910,13,FALSE))</f>
        <v>-1515812208</v>
      </c>
      <c r="O342" s="42">
        <f>VLOOKUP($A342,'Neraca Unaudited SIMAK'!$A$2:$R$1272,14,FALSE)+IF(ISNA(VLOOKUP($A342,'Mutasi Neraca'!$A$3:$S$910,14,FALSE)),0,VLOOKUP($A342,'Mutasi Neraca'!$A$3:$S$910,14,FALSE))</f>
        <v>-440784873</v>
      </c>
      <c r="P342" s="42">
        <f>VLOOKUP($A342,'Neraca Unaudited SIMAK'!$A$2:$R$1272,15,FALSE)+IF(ISNA(VLOOKUP($A342,'Mutasi Neraca'!$A$3:$S$910,15,FALSE)),0,VLOOKUP($A342,'Mutasi Neraca'!$A$3:$S$910,15,FALSE))</f>
        <v>-3978900</v>
      </c>
      <c r="Q342" s="42">
        <f>VLOOKUP($A342,'Neraca Unaudited SIMAK'!$A$2:$R$1272,16,FALSE)+IF(ISNA(VLOOKUP($A342,'Mutasi Neraca'!$A$3:$S$910,16,FALSE)),0,VLOOKUP($A342,'Mutasi Neraca'!$A$3:$S$910,16,FALSE))</f>
        <v>0</v>
      </c>
      <c r="R342" s="42">
        <f>VLOOKUP($A342,'Neraca Unaudited SIMAK'!$A$2:$R$1272,17,FALSE)+IF(ISNA(VLOOKUP($A342,'Mutasi Neraca'!$A$3:$S$910,17,FALSE)),0,VLOOKUP($A342,'Mutasi Neraca'!$A$3:$S$910,17,FALSE))</f>
        <v>0</v>
      </c>
      <c r="S342" s="42">
        <f t="shared" si="53"/>
        <v>9870831458</v>
      </c>
    </row>
    <row r="343" spans="1:19">
      <c r="A343" s="41" t="s">
        <v>350</v>
      </c>
      <c r="B343" s="41" t="str">
        <f t="shared" si="52"/>
        <v>005010800</v>
      </c>
      <c r="D343" s="42">
        <f>VLOOKUP($A343,'Neraca Unaudited SIMAK'!$A$2:$R$1272,3,FALSE)+IF(ISNA(VLOOKUP($A343,'Mutasi Neraca'!$A$3:$S$910,3,FALSE)),0,VLOOKUP($A343,'Mutasi Neraca'!$A$3:$S$910,3,FALSE))</f>
        <v>6606200</v>
      </c>
      <c r="E343" s="42">
        <f>VLOOKUP($A343,'Neraca Unaudited SIMAK'!$A$2:$R$1272,4,FALSE)+IF(ISNA(VLOOKUP($A343,'Mutasi Neraca'!$A$3:$S$910,4,FALSE)),0,VLOOKUP($A343,'Mutasi Neraca'!$A$3:$S$910,4,FALSE))</f>
        <v>1077200000</v>
      </c>
      <c r="F343" s="42">
        <f>VLOOKUP($A343,'Neraca Unaudited SIMAK'!$A$2:$R$1272,5,FALSE)+IF(ISNA(VLOOKUP($A343,'Mutasi Neraca'!$A$3:$S$910,5,FALSE)),0,VLOOKUP($A343,'Mutasi Neraca'!$A$3:$S$910,5,FALSE))</f>
        <v>1748922108</v>
      </c>
      <c r="G343" s="42">
        <f>VLOOKUP($A343,'Neraca Unaudited SIMAK'!$A$2:$R$1272,6,FALSE)+IF(ISNA(VLOOKUP($A343,'Mutasi Neraca'!$A$3:$S$910,6,FALSE)),0,VLOOKUP($A343,'Mutasi Neraca'!$A$3:$S$910,6,FALSE))</f>
        <v>2334802375</v>
      </c>
      <c r="H343" s="42">
        <f>VLOOKUP($A343,'Neraca Unaudited SIMAK'!$A$2:$R$1272,7,FALSE)+IF(ISNA(VLOOKUP($A343,'Mutasi Neraca'!$A$3:$S$910,7,FALSE)),0,VLOOKUP($A343,'Mutasi Neraca'!$A$3:$S$910,7,FALSE))</f>
        <v>0</v>
      </c>
      <c r="I343" s="42">
        <f>VLOOKUP($A343,'Neraca Unaudited SIMAK'!$A$2:$R$1272,8,FALSE)+IF(ISNA(VLOOKUP($A343,'Mutasi Neraca'!$A$3:$S$910,8,FALSE)),0,VLOOKUP($A343,'Mutasi Neraca'!$A$3:$S$910,8,FALSE))</f>
        <v>70345726</v>
      </c>
      <c r="J343" s="42">
        <f>VLOOKUP($A343,'Neraca Unaudited SIMAK'!$A$2:$R$1272,9,FALSE)+IF(ISNA(VLOOKUP($A343,'Mutasi Neraca'!$A$3:$S$910,9,FALSE)),0,VLOOKUP($A343,'Mutasi Neraca'!$A$3:$S$910,9,FALSE))</f>
        <v>0</v>
      </c>
      <c r="K343" s="42">
        <f>VLOOKUP($A343,'Neraca Unaudited SIMAK'!$A$2:$R$1272,10,FALSE)+IF(ISNA(VLOOKUP($A343,'Mutasi Neraca'!$A$3:$S$910,10,FALSE)),0,VLOOKUP($A343,'Mutasi Neraca'!$A$3:$S$910,10,FALSE))</f>
        <v>0</v>
      </c>
      <c r="L343" s="42">
        <f>VLOOKUP($A343,'Neraca Unaudited SIMAK'!$A$2:$R$1272,11,FALSE)+IF(ISNA(VLOOKUP($A343,'Mutasi Neraca'!$A$3:$S$910,11,FALSE)),0,VLOOKUP($A343,'Mutasi Neraca'!$A$3:$S$910,11,FALSE))</f>
        <v>0</v>
      </c>
      <c r="M343" s="42">
        <f>VLOOKUP($A343,'Neraca Unaudited SIMAK'!$A$2:$R$1272,12,FALSE)+IF(ISNA(VLOOKUP($A343,'Mutasi Neraca'!$A$3:$S$910,12,FALSE)),0,VLOOKUP($A343,'Mutasi Neraca'!$A$3:$S$910,12,FALSE))</f>
        <v>5237876409</v>
      </c>
      <c r="N343" s="42">
        <f>VLOOKUP($A343,'Neraca Unaudited SIMAK'!$A$2:$R$1272,13,FALSE)+IF(ISNA(VLOOKUP($A343,'Mutasi Neraca'!$A$3:$S$910,13,FALSE)),0,VLOOKUP($A343,'Mutasi Neraca'!$A$3:$S$910,13,FALSE))</f>
        <v>-1598109762</v>
      </c>
      <c r="O343" s="42">
        <f>VLOOKUP($A343,'Neraca Unaudited SIMAK'!$A$2:$R$1272,14,FALSE)+IF(ISNA(VLOOKUP($A343,'Mutasi Neraca'!$A$3:$S$910,14,FALSE)),0,VLOOKUP($A343,'Mutasi Neraca'!$A$3:$S$910,14,FALSE))</f>
        <v>-782716902</v>
      </c>
      <c r="P343" s="42">
        <f>VLOOKUP($A343,'Neraca Unaudited SIMAK'!$A$2:$R$1272,15,FALSE)+IF(ISNA(VLOOKUP($A343,'Mutasi Neraca'!$A$3:$S$910,15,FALSE)),0,VLOOKUP($A343,'Mutasi Neraca'!$A$3:$S$910,15,FALSE))</f>
        <v>0</v>
      </c>
      <c r="Q343" s="42">
        <f>VLOOKUP($A343,'Neraca Unaudited SIMAK'!$A$2:$R$1272,16,FALSE)+IF(ISNA(VLOOKUP($A343,'Mutasi Neraca'!$A$3:$S$910,16,FALSE)),0,VLOOKUP($A343,'Mutasi Neraca'!$A$3:$S$910,16,FALSE))</f>
        <v>0</v>
      </c>
      <c r="R343" s="42">
        <f>VLOOKUP($A343,'Neraca Unaudited SIMAK'!$A$2:$R$1272,17,FALSE)+IF(ISNA(VLOOKUP($A343,'Mutasi Neraca'!$A$3:$S$910,17,FALSE)),0,VLOOKUP($A343,'Mutasi Neraca'!$A$3:$S$910,17,FALSE))</f>
        <v>0</v>
      </c>
      <c r="S343" s="42">
        <f t="shared" si="53"/>
        <v>2857049745</v>
      </c>
    </row>
    <row r="344" spans="1:19">
      <c r="A344" s="41" t="s">
        <v>351</v>
      </c>
      <c r="B344" s="41" t="str">
        <f t="shared" si="52"/>
        <v>005010800</v>
      </c>
      <c r="D344" s="42">
        <f>VLOOKUP($A344,'Neraca Unaudited SIMAK'!$A$2:$R$1272,3,FALSE)+IF(ISNA(VLOOKUP($A344,'Mutasi Neraca'!$A$3:$S$910,3,FALSE)),0,VLOOKUP($A344,'Mutasi Neraca'!$A$3:$S$910,3,FALSE))</f>
        <v>16042395</v>
      </c>
      <c r="E344" s="42">
        <f>VLOOKUP($A344,'Neraca Unaudited SIMAK'!$A$2:$R$1272,4,FALSE)+IF(ISNA(VLOOKUP($A344,'Mutasi Neraca'!$A$3:$S$910,4,FALSE)),0,VLOOKUP($A344,'Mutasi Neraca'!$A$3:$S$910,4,FALSE))</f>
        <v>1186520000</v>
      </c>
      <c r="F344" s="42">
        <f>VLOOKUP($A344,'Neraca Unaudited SIMAK'!$A$2:$R$1272,5,FALSE)+IF(ISNA(VLOOKUP($A344,'Mutasi Neraca'!$A$3:$S$910,5,FALSE)),0,VLOOKUP($A344,'Mutasi Neraca'!$A$3:$S$910,5,FALSE))</f>
        <v>1270983353</v>
      </c>
      <c r="G344" s="42">
        <f>VLOOKUP($A344,'Neraca Unaudited SIMAK'!$A$2:$R$1272,6,FALSE)+IF(ISNA(VLOOKUP($A344,'Mutasi Neraca'!$A$3:$S$910,6,FALSE)),0,VLOOKUP($A344,'Mutasi Neraca'!$A$3:$S$910,6,FALSE))</f>
        <v>3251352200</v>
      </c>
      <c r="H344" s="42">
        <f>VLOOKUP($A344,'Neraca Unaudited SIMAK'!$A$2:$R$1272,7,FALSE)+IF(ISNA(VLOOKUP($A344,'Mutasi Neraca'!$A$3:$S$910,7,FALSE)),0,VLOOKUP($A344,'Mutasi Neraca'!$A$3:$S$910,7,FALSE))</f>
        <v>0</v>
      </c>
      <c r="I344" s="42">
        <f>VLOOKUP($A344,'Neraca Unaudited SIMAK'!$A$2:$R$1272,8,FALSE)+IF(ISNA(VLOOKUP($A344,'Mutasi Neraca'!$A$3:$S$910,8,FALSE)),0,VLOOKUP($A344,'Mutasi Neraca'!$A$3:$S$910,8,FALSE))</f>
        <v>46076740</v>
      </c>
      <c r="J344" s="42">
        <f>VLOOKUP($A344,'Neraca Unaudited SIMAK'!$A$2:$R$1272,9,FALSE)+IF(ISNA(VLOOKUP($A344,'Mutasi Neraca'!$A$3:$S$910,9,FALSE)),0,VLOOKUP($A344,'Mutasi Neraca'!$A$3:$S$910,9,FALSE))</f>
        <v>0</v>
      </c>
      <c r="K344" s="42">
        <f>VLOOKUP($A344,'Neraca Unaudited SIMAK'!$A$2:$R$1272,10,FALSE)+IF(ISNA(VLOOKUP($A344,'Mutasi Neraca'!$A$3:$S$910,10,FALSE)),0,VLOOKUP($A344,'Mutasi Neraca'!$A$3:$S$910,10,FALSE))</f>
        <v>6050000</v>
      </c>
      <c r="L344" s="42">
        <f>VLOOKUP($A344,'Neraca Unaudited SIMAK'!$A$2:$R$1272,11,FALSE)+IF(ISNA(VLOOKUP($A344,'Mutasi Neraca'!$A$3:$S$910,11,FALSE)),0,VLOOKUP($A344,'Mutasi Neraca'!$A$3:$S$910,11,FALSE))</f>
        <v>164259500</v>
      </c>
      <c r="M344" s="42">
        <f>VLOOKUP($A344,'Neraca Unaudited SIMAK'!$A$2:$R$1272,12,FALSE)+IF(ISNA(VLOOKUP($A344,'Mutasi Neraca'!$A$3:$S$910,12,FALSE)),0,VLOOKUP($A344,'Mutasi Neraca'!$A$3:$S$910,12,FALSE))</f>
        <v>5941284188</v>
      </c>
      <c r="N344" s="42">
        <f>VLOOKUP($A344,'Neraca Unaudited SIMAK'!$A$2:$R$1272,13,FALSE)+IF(ISNA(VLOOKUP($A344,'Mutasi Neraca'!$A$3:$S$910,13,FALSE)),0,VLOOKUP($A344,'Mutasi Neraca'!$A$3:$S$910,13,FALSE))</f>
        <v>-1167647491</v>
      </c>
      <c r="O344" s="42">
        <f>VLOOKUP($A344,'Neraca Unaudited SIMAK'!$A$2:$R$1272,14,FALSE)+IF(ISNA(VLOOKUP($A344,'Mutasi Neraca'!$A$3:$S$910,14,FALSE)),0,VLOOKUP($A344,'Mutasi Neraca'!$A$3:$S$910,14,FALSE))</f>
        <v>-512420546</v>
      </c>
      <c r="P344" s="42">
        <f>VLOOKUP($A344,'Neraca Unaudited SIMAK'!$A$2:$R$1272,15,FALSE)+IF(ISNA(VLOOKUP($A344,'Mutasi Neraca'!$A$3:$S$910,15,FALSE)),0,VLOOKUP($A344,'Mutasi Neraca'!$A$3:$S$910,15,FALSE))</f>
        <v>0</v>
      </c>
      <c r="Q344" s="42">
        <f>VLOOKUP($A344,'Neraca Unaudited SIMAK'!$A$2:$R$1272,16,FALSE)+IF(ISNA(VLOOKUP($A344,'Mutasi Neraca'!$A$3:$S$910,16,FALSE)),0,VLOOKUP($A344,'Mutasi Neraca'!$A$3:$S$910,16,FALSE))</f>
        <v>0</v>
      </c>
      <c r="R344" s="42">
        <f>VLOOKUP($A344,'Neraca Unaudited SIMAK'!$A$2:$R$1272,17,FALSE)+IF(ISNA(VLOOKUP($A344,'Mutasi Neraca'!$A$3:$S$910,17,FALSE)),0,VLOOKUP($A344,'Mutasi Neraca'!$A$3:$S$910,17,FALSE))</f>
        <v>-159879500</v>
      </c>
      <c r="S344" s="42">
        <f t="shared" si="53"/>
        <v>4101336651</v>
      </c>
    </row>
    <row r="345" spans="1:19">
      <c r="A345" s="41" t="s">
        <v>352</v>
      </c>
      <c r="B345" s="41" t="str">
        <f t="shared" si="52"/>
        <v>005010800</v>
      </c>
      <c r="D345" s="42">
        <f>VLOOKUP($A345,'Neraca Unaudited SIMAK'!$A$2:$R$1272,3,FALSE)+IF(ISNA(VLOOKUP($A345,'Mutasi Neraca'!$A$3:$S$910,3,FALSE)),0,VLOOKUP($A345,'Mutasi Neraca'!$A$3:$S$910,3,FALSE))</f>
        <v>6116750</v>
      </c>
      <c r="E345" s="42">
        <f>VLOOKUP($A345,'Neraca Unaudited SIMAK'!$A$2:$R$1272,4,FALSE)+IF(ISNA(VLOOKUP($A345,'Mutasi Neraca'!$A$3:$S$910,4,FALSE)),0,VLOOKUP($A345,'Mutasi Neraca'!$A$3:$S$910,4,FALSE))</f>
        <v>230125000</v>
      </c>
      <c r="F345" s="42">
        <f>VLOOKUP($A345,'Neraca Unaudited SIMAK'!$A$2:$R$1272,5,FALSE)+IF(ISNA(VLOOKUP($A345,'Mutasi Neraca'!$A$3:$S$910,5,FALSE)),0,VLOOKUP($A345,'Mutasi Neraca'!$A$3:$S$910,5,FALSE))</f>
        <v>1291680639</v>
      </c>
      <c r="G345" s="42">
        <f>VLOOKUP($A345,'Neraca Unaudited SIMAK'!$A$2:$R$1272,6,FALSE)+IF(ISNA(VLOOKUP($A345,'Mutasi Neraca'!$A$3:$S$910,6,FALSE)),0,VLOOKUP($A345,'Mutasi Neraca'!$A$3:$S$910,6,FALSE))</f>
        <v>2030106260</v>
      </c>
      <c r="H345" s="42">
        <f>VLOOKUP($A345,'Neraca Unaudited SIMAK'!$A$2:$R$1272,7,FALSE)+IF(ISNA(VLOOKUP($A345,'Mutasi Neraca'!$A$3:$S$910,7,FALSE)),0,VLOOKUP($A345,'Mutasi Neraca'!$A$3:$S$910,7,FALSE))</f>
        <v>0</v>
      </c>
      <c r="I345" s="42">
        <f>VLOOKUP($A345,'Neraca Unaudited SIMAK'!$A$2:$R$1272,8,FALSE)+IF(ISNA(VLOOKUP($A345,'Mutasi Neraca'!$A$3:$S$910,8,FALSE)),0,VLOOKUP($A345,'Mutasi Neraca'!$A$3:$S$910,8,FALSE))</f>
        <v>19013340</v>
      </c>
      <c r="J345" s="42">
        <f>VLOOKUP($A345,'Neraca Unaudited SIMAK'!$A$2:$R$1272,9,FALSE)+IF(ISNA(VLOOKUP($A345,'Mutasi Neraca'!$A$3:$S$910,9,FALSE)),0,VLOOKUP($A345,'Mutasi Neraca'!$A$3:$S$910,9,FALSE))</f>
        <v>0</v>
      </c>
      <c r="K345" s="42">
        <f>VLOOKUP($A345,'Neraca Unaudited SIMAK'!$A$2:$R$1272,10,FALSE)+IF(ISNA(VLOOKUP($A345,'Mutasi Neraca'!$A$3:$S$910,10,FALSE)),0,VLOOKUP($A345,'Mutasi Neraca'!$A$3:$S$910,10,FALSE))</f>
        <v>0</v>
      </c>
      <c r="L345" s="42">
        <f>VLOOKUP($A345,'Neraca Unaudited SIMAK'!$A$2:$R$1272,11,FALSE)+IF(ISNA(VLOOKUP($A345,'Mutasi Neraca'!$A$3:$S$910,11,FALSE)),0,VLOOKUP($A345,'Mutasi Neraca'!$A$3:$S$910,11,FALSE))</f>
        <v>153711111</v>
      </c>
      <c r="M345" s="42">
        <f>VLOOKUP($A345,'Neraca Unaudited SIMAK'!$A$2:$R$1272,12,FALSE)+IF(ISNA(VLOOKUP($A345,'Mutasi Neraca'!$A$3:$S$910,12,FALSE)),0,VLOOKUP($A345,'Mutasi Neraca'!$A$3:$S$910,12,FALSE))</f>
        <v>3730753100</v>
      </c>
      <c r="N345" s="42">
        <f>VLOOKUP($A345,'Neraca Unaudited SIMAK'!$A$2:$R$1272,13,FALSE)+IF(ISNA(VLOOKUP($A345,'Mutasi Neraca'!$A$3:$S$910,13,FALSE)),0,VLOOKUP($A345,'Mutasi Neraca'!$A$3:$S$910,13,FALSE))</f>
        <v>-923562797</v>
      </c>
      <c r="O345" s="42">
        <f>VLOOKUP($A345,'Neraca Unaudited SIMAK'!$A$2:$R$1272,14,FALSE)+IF(ISNA(VLOOKUP($A345,'Mutasi Neraca'!$A$3:$S$910,14,FALSE)),0,VLOOKUP($A345,'Mutasi Neraca'!$A$3:$S$910,14,FALSE))</f>
        <v>-132214635</v>
      </c>
      <c r="P345" s="42">
        <f>VLOOKUP($A345,'Neraca Unaudited SIMAK'!$A$2:$R$1272,15,FALSE)+IF(ISNA(VLOOKUP($A345,'Mutasi Neraca'!$A$3:$S$910,15,FALSE)),0,VLOOKUP($A345,'Mutasi Neraca'!$A$3:$S$910,15,FALSE))</f>
        <v>0</v>
      </c>
      <c r="Q345" s="42">
        <f>VLOOKUP($A345,'Neraca Unaudited SIMAK'!$A$2:$R$1272,16,FALSE)+IF(ISNA(VLOOKUP($A345,'Mutasi Neraca'!$A$3:$S$910,16,FALSE)),0,VLOOKUP($A345,'Mutasi Neraca'!$A$3:$S$910,16,FALSE))</f>
        <v>0</v>
      </c>
      <c r="R345" s="42">
        <f>VLOOKUP($A345,'Neraca Unaudited SIMAK'!$A$2:$R$1272,17,FALSE)+IF(ISNA(VLOOKUP($A345,'Mutasi Neraca'!$A$3:$S$910,17,FALSE)),0,VLOOKUP($A345,'Mutasi Neraca'!$A$3:$S$910,17,FALSE))</f>
        <v>-153711111</v>
      </c>
      <c r="S345" s="42">
        <f t="shared" si="53"/>
        <v>2521264557</v>
      </c>
    </row>
    <row r="346" spans="1:19">
      <c r="A346" s="41" t="s">
        <v>353</v>
      </c>
      <c r="B346" s="41" t="str">
        <f t="shared" si="52"/>
        <v>005010800</v>
      </c>
      <c r="D346" s="42">
        <f>VLOOKUP($A346,'Neraca Unaudited SIMAK'!$A$2:$R$1272,3,FALSE)+IF(ISNA(VLOOKUP($A346,'Mutasi Neraca'!$A$3:$S$910,3,FALSE)),0,VLOOKUP($A346,'Mutasi Neraca'!$A$3:$S$910,3,FALSE))</f>
        <v>7105220</v>
      </c>
      <c r="E346" s="42">
        <f>VLOOKUP($A346,'Neraca Unaudited SIMAK'!$A$2:$R$1272,4,FALSE)+IF(ISNA(VLOOKUP($A346,'Mutasi Neraca'!$A$3:$S$910,4,FALSE)),0,VLOOKUP($A346,'Mutasi Neraca'!$A$3:$S$910,4,FALSE))</f>
        <v>993937500</v>
      </c>
      <c r="F346" s="42">
        <f>VLOOKUP($A346,'Neraca Unaudited SIMAK'!$A$2:$R$1272,5,FALSE)+IF(ISNA(VLOOKUP($A346,'Mutasi Neraca'!$A$3:$S$910,5,FALSE)),0,VLOOKUP($A346,'Mutasi Neraca'!$A$3:$S$910,5,FALSE))</f>
        <v>1444932928</v>
      </c>
      <c r="G346" s="42">
        <f>VLOOKUP($A346,'Neraca Unaudited SIMAK'!$A$2:$R$1272,6,FALSE)+IF(ISNA(VLOOKUP($A346,'Mutasi Neraca'!$A$3:$S$910,6,FALSE)),0,VLOOKUP($A346,'Mutasi Neraca'!$A$3:$S$910,6,FALSE))</f>
        <v>1037400138</v>
      </c>
      <c r="H346" s="42">
        <f>VLOOKUP($A346,'Neraca Unaudited SIMAK'!$A$2:$R$1272,7,FALSE)+IF(ISNA(VLOOKUP($A346,'Mutasi Neraca'!$A$3:$S$910,7,FALSE)),0,VLOOKUP($A346,'Mutasi Neraca'!$A$3:$S$910,7,FALSE))</f>
        <v>0</v>
      </c>
      <c r="I346" s="42">
        <f>VLOOKUP($A346,'Neraca Unaudited SIMAK'!$A$2:$R$1272,8,FALSE)+IF(ISNA(VLOOKUP($A346,'Mutasi Neraca'!$A$3:$S$910,8,FALSE)),0,VLOOKUP($A346,'Mutasi Neraca'!$A$3:$S$910,8,FALSE))</f>
        <v>35758140</v>
      </c>
      <c r="J346" s="42">
        <f>VLOOKUP($A346,'Neraca Unaudited SIMAK'!$A$2:$R$1272,9,FALSE)+IF(ISNA(VLOOKUP($A346,'Mutasi Neraca'!$A$3:$S$910,9,FALSE)),0,VLOOKUP($A346,'Mutasi Neraca'!$A$3:$S$910,9,FALSE))</f>
        <v>8526616150</v>
      </c>
      <c r="K346" s="42">
        <f>VLOOKUP($A346,'Neraca Unaudited SIMAK'!$A$2:$R$1272,10,FALSE)+IF(ISNA(VLOOKUP($A346,'Mutasi Neraca'!$A$3:$S$910,10,FALSE)),0,VLOOKUP($A346,'Mutasi Neraca'!$A$3:$S$910,10,FALSE))</f>
        <v>0</v>
      </c>
      <c r="L346" s="42">
        <f>VLOOKUP($A346,'Neraca Unaudited SIMAK'!$A$2:$R$1272,11,FALSE)+IF(ISNA(VLOOKUP($A346,'Mutasi Neraca'!$A$3:$S$910,11,FALSE)),0,VLOOKUP($A346,'Mutasi Neraca'!$A$3:$S$910,11,FALSE))</f>
        <v>110197549</v>
      </c>
      <c r="M346" s="42">
        <f>VLOOKUP($A346,'Neraca Unaudited SIMAK'!$A$2:$R$1272,12,FALSE)+IF(ISNA(VLOOKUP($A346,'Mutasi Neraca'!$A$3:$S$910,12,FALSE)),0,VLOOKUP($A346,'Mutasi Neraca'!$A$3:$S$910,12,FALSE))</f>
        <v>12155947625</v>
      </c>
      <c r="N346" s="42">
        <f>VLOOKUP($A346,'Neraca Unaudited SIMAK'!$A$2:$R$1272,13,FALSE)+IF(ISNA(VLOOKUP($A346,'Mutasi Neraca'!$A$3:$S$910,13,FALSE)),0,VLOOKUP($A346,'Mutasi Neraca'!$A$3:$S$910,13,FALSE))</f>
        <v>-957363234</v>
      </c>
      <c r="O346" s="42">
        <f>VLOOKUP($A346,'Neraca Unaudited SIMAK'!$A$2:$R$1272,14,FALSE)+IF(ISNA(VLOOKUP($A346,'Mutasi Neraca'!$A$3:$S$910,14,FALSE)),0,VLOOKUP($A346,'Mutasi Neraca'!$A$3:$S$910,14,FALSE))</f>
        <v>-422208190</v>
      </c>
      <c r="P346" s="42">
        <f>VLOOKUP($A346,'Neraca Unaudited SIMAK'!$A$2:$R$1272,15,FALSE)+IF(ISNA(VLOOKUP($A346,'Mutasi Neraca'!$A$3:$S$910,15,FALSE)),0,VLOOKUP($A346,'Mutasi Neraca'!$A$3:$S$910,15,FALSE))</f>
        <v>0</v>
      </c>
      <c r="Q346" s="42">
        <f>VLOOKUP($A346,'Neraca Unaudited SIMAK'!$A$2:$R$1272,16,FALSE)+IF(ISNA(VLOOKUP($A346,'Mutasi Neraca'!$A$3:$S$910,16,FALSE)),0,VLOOKUP($A346,'Mutasi Neraca'!$A$3:$S$910,16,FALSE))</f>
        <v>0</v>
      </c>
      <c r="R346" s="42">
        <f>VLOOKUP($A346,'Neraca Unaudited SIMAK'!$A$2:$R$1272,17,FALSE)+IF(ISNA(VLOOKUP($A346,'Mutasi Neraca'!$A$3:$S$910,17,FALSE)),0,VLOOKUP($A346,'Mutasi Neraca'!$A$3:$S$910,17,FALSE))</f>
        <v>-101157499</v>
      </c>
      <c r="S346" s="42">
        <f t="shared" si="53"/>
        <v>10675218702</v>
      </c>
    </row>
    <row r="347" spans="1:19">
      <c r="A347" s="41" t="s">
        <v>354</v>
      </c>
      <c r="B347" s="41" t="str">
        <f t="shared" si="52"/>
        <v>005010800</v>
      </c>
      <c r="D347" s="42">
        <f>VLOOKUP($A347,'Neraca Unaudited SIMAK'!$A$2:$R$1272,3,FALSE)+IF(ISNA(VLOOKUP($A347,'Mutasi Neraca'!$A$3:$S$910,3,FALSE)),0,VLOOKUP($A347,'Mutasi Neraca'!$A$3:$S$910,3,FALSE))</f>
        <v>197000</v>
      </c>
      <c r="E347" s="42">
        <f>VLOOKUP($A347,'Neraca Unaudited SIMAK'!$A$2:$R$1272,4,FALSE)+IF(ISNA(VLOOKUP($A347,'Mutasi Neraca'!$A$3:$S$910,4,FALSE)),0,VLOOKUP($A347,'Mutasi Neraca'!$A$3:$S$910,4,FALSE))</f>
        <v>99615000</v>
      </c>
      <c r="F347" s="42">
        <f>VLOOKUP($A347,'Neraca Unaudited SIMAK'!$A$2:$R$1272,5,FALSE)+IF(ISNA(VLOOKUP($A347,'Mutasi Neraca'!$A$3:$S$910,5,FALSE)),0,VLOOKUP($A347,'Mutasi Neraca'!$A$3:$S$910,5,FALSE))</f>
        <v>988184651</v>
      </c>
      <c r="G347" s="42">
        <f>VLOOKUP($A347,'Neraca Unaudited SIMAK'!$A$2:$R$1272,6,FALSE)+IF(ISNA(VLOOKUP($A347,'Mutasi Neraca'!$A$3:$S$910,6,FALSE)),0,VLOOKUP($A347,'Mutasi Neraca'!$A$3:$S$910,6,FALSE))</f>
        <v>1220646270</v>
      </c>
      <c r="H347" s="42">
        <f>VLOOKUP($A347,'Neraca Unaudited SIMAK'!$A$2:$R$1272,7,FALSE)+IF(ISNA(VLOOKUP($A347,'Mutasi Neraca'!$A$3:$S$910,7,FALSE)),0,VLOOKUP($A347,'Mutasi Neraca'!$A$3:$S$910,7,FALSE))</f>
        <v>99550000</v>
      </c>
      <c r="I347" s="42">
        <f>VLOOKUP($A347,'Neraca Unaudited SIMAK'!$A$2:$R$1272,8,FALSE)+IF(ISNA(VLOOKUP($A347,'Mutasi Neraca'!$A$3:$S$910,8,FALSE)),0,VLOOKUP($A347,'Mutasi Neraca'!$A$3:$S$910,8,FALSE))</f>
        <v>153510040</v>
      </c>
      <c r="J347" s="42">
        <f>VLOOKUP($A347,'Neraca Unaudited SIMAK'!$A$2:$R$1272,9,FALSE)+IF(ISNA(VLOOKUP($A347,'Mutasi Neraca'!$A$3:$S$910,9,FALSE)),0,VLOOKUP($A347,'Mutasi Neraca'!$A$3:$S$910,9,FALSE))</f>
        <v>0</v>
      </c>
      <c r="K347" s="42">
        <f>VLOOKUP($A347,'Neraca Unaudited SIMAK'!$A$2:$R$1272,10,FALSE)+IF(ISNA(VLOOKUP($A347,'Mutasi Neraca'!$A$3:$S$910,10,FALSE)),0,VLOOKUP($A347,'Mutasi Neraca'!$A$3:$S$910,10,FALSE))</f>
        <v>0</v>
      </c>
      <c r="L347" s="42">
        <f>VLOOKUP($A347,'Neraca Unaudited SIMAK'!$A$2:$R$1272,11,FALSE)+IF(ISNA(VLOOKUP($A347,'Mutasi Neraca'!$A$3:$S$910,11,FALSE)),0,VLOOKUP($A347,'Mutasi Neraca'!$A$3:$S$910,11,FALSE))</f>
        <v>15939000</v>
      </c>
      <c r="M347" s="42">
        <f>VLOOKUP($A347,'Neraca Unaudited SIMAK'!$A$2:$R$1272,12,FALSE)+IF(ISNA(VLOOKUP($A347,'Mutasi Neraca'!$A$3:$S$910,12,FALSE)),0,VLOOKUP($A347,'Mutasi Neraca'!$A$3:$S$910,12,FALSE))</f>
        <v>2577641961</v>
      </c>
      <c r="N347" s="42">
        <f>VLOOKUP($A347,'Neraca Unaudited SIMAK'!$A$2:$R$1272,13,FALSE)+IF(ISNA(VLOOKUP($A347,'Mutasi Neraca'!$A$3:$S$910,13,FALSE)),0,VLOOKUP($A347,'Mutasi Neraca'!$A$3:$S$910,13,FALSE))</f>
        <v>-744003535</v>
      </c>
      <c r="O347" s="42">
        <f>VLOOKUP($A347,'Neraca Unaudited SIMAK'!$A$2:$R$1272,14,FALSE)+IF(ISNA(VLOOKUP($A347,'Mutasi Neraca'!$A$3:$S$910,14,FALSE)),0,VLOOKUP($A347,'Mutasi Neraca'!$A$3:$S$910,14,FALSE))</f>
        <v>-251034183</v>
      </c>
      <c r="P347" s="42">
        <f>VLOOKUP($A347,'Neraca Unaudited SIMAK'!$A$2:$R$1272,15,FALSE)+IF(ISNA(VLOOKUP($A347,'Mutasi Neraca'!$A$3:$S$910,15,FALSE)),0,VLOOKUP($A347,'Mutasi Neraca'!$A$3:$S$910,15,FALSE))</f>
        <v>-26152500</v>
      </c>
      <c r="Q347" s="42">
        <f>VLOOKUP($A347,'Neraca Unaudited SIMAK'!$A$2:$R$1272,16,FALSE)+IF(ISNA(VLOOKUP($A347,'Mutasi Neraca'!$A$3:$S$910,16,FALSE)),0,VLOOKUP($A347,'Mutasi Neraca'!$A$3:$S$910,16,FALSE))</f>
        <v>0</v>
      </c>
      <c r="R347" s="42">
        <f>VLOOKUP($A347,'Neraca Unaudited SIMAK'!$A$2:$R$1272,17,FALSE)+IF(ISNA(VLOOKUP($A347,'Mutasi Neraca'!$A$3:$S$910,17,FALSE)),0,VLOOKUP($A347,'Mutasi Neraca'!$A$3:$S$910,17,FALSE))</f>
        <v>-15939000</v>
      </c>
      <c r="S347" s="42">
        <f t="shared" si="53"/>
        <v>1540512743</v>
      </c>
    </row>
    <row r="348" spans="1:19">
      <c r="A348" s="41" t="s">
        <v>355</v>
      </c>
      <c r="B348" s="41" t="str">
        <f t="shared" si="52"/>
        <v>005010800</v>
      </c>
      <c r="D348" s="42">
        <f>VLOOKUP($A348,'Neraca Unaudited SIMAK'!$A$2:$R$1272,3,FALSE)+IF(ISNA(VLOOKUP($A348,'Mutasi Neraca'!$A$3:$S$910,3,FALSE)),0,VLOOKUP($A348,'Mutasi Neraca'!$A$3:$S$910,3,FALSE))</f>
        <v>656644</v>
      </c>
      <c r="E348" s="42">
        <f>VLOOKUP($A348,'Neraca Unaudited SIMAK'!$A$2:$R$1272,4,FALSE)+IF(ISNA(VLOOKUP($A348,'Mutasi Neraca'!$A$3:$S$910,4,FALSE)),0,VLOOKUP($A348,'Mutasi Neraca'!$A$3:$S$910,4,FALSE))</f>
        <v>383050000</v>
      </c>
      <c r="F348" s="42">
        <f>VLOOKUP($A348,'Neraca Unaudited SIMAK'!$A$2:$R$1272,5,FALSE)+IF(ISNA(VLOOKUP($A348,'Mutasi Neraca'!$A$3:$S$910,5,FALSE)),0,VLOOKUP($A348,'Mutasi Neraca'!$A$3:$S$910,5,FALSE))</f>
        <v>1377224417</v>
      </c>
      <c r="G348" s="42">
        <f>VLOOKUP($A348,'Neraca Unaudited SIMAK'!$A$2:$R$1272,6,FALSE)+IF(ISNA(VLOOKUP($A348,'Mutasi Neraca'!$A$3:$S$910,6,FALSE)),0,VLOOKUP($A348,'Mutasi Neraca'!$A$3:$S$910,6,FALSE))</f>
        <v>1975572000</v>
      </c>
      <c r="H348" s="42">
        <f>VLOOKUP($A348,'Neraca Unaudited SIMAK'!$A$2:$R$1272,7,FALSE)+IF(ISNA(VLOOKUP($A348,'Mutasi Neraca'!$A$3:$S$910,7,FALSE)),0,VLOOKUP($A348,'Mutasi Neraca'!$A$3:$S$910,7,FALSE))</f>
        <v>27834470</v>
      </c>
      <c r="I348" s="42">
        <f>VLOOKUP($A348,'Neraca Unaudited SIMAK'!$A$2:$R$1272,8,FALSE)+IF(ISNA(VLOOKUP($A348,'Mutasi Neraca'!$A$3:$S$910,8,FALSE)),0,VLOOKUP($A348,'Mutasi Neraca'!$A$3:$S$910,8,FALSE))</f>
        <v>63482190</v>
      </c>
      <c r="J348" s="42">
        <f>VLOOKUP($A348,'Neraca Unaudited SIMAK'!$A$2:$R$1272,9,FALSE)+IF(ISNA(VLOOKUP($A348,'Mutasi Neraca'!$A$3:$S$910,9,FALSE)),0,VLOOKUP($A348,'Mutasi Neraca'!$A$3:$S$910,9,FALSE))</f>
        <v>0</v>
      </c>
      <c r="K348" s="42">
        <f>VLOOKUP($A348,'Neraca Unaudited SIMAK'!$A$2:$R$1272,10,FALSE)+IF(ISNA(VLOOKUP($A348,'Mutasi Neraca'!$A$3:$S$910,10,FALSE)),0,VLOOKUP($A348,'Mutasi Neraca'!$A$3:$S$910,10,FALSE))</f>
        <v>6050000</v>
      </c>
      <c r="L348" s="42">
        <f>VLOOKUP($A348,'Neraca Unaudited SIMAK'!$A$2:$R$1272,11,FALSE)+IF(ISNA(VLOOKUP($A348,'Mutasi Neraca'!$A$3:$S$910,11,FALSE)),0,VLOOKUP($A348,'Mutasi Neraca'!$A$3:$S$910,11,FALSE))</f>
        <v>0</v>
      </c>
      <c r="M348" s="42">
        <f>VLOOKUP($A348,'Neraca Unaudited SIMAK'!$A$2:$R$1272,12,FALSE)+IF(ISNA(VLOOKUP($A348,'Mutasi Neraca'!$A$3:$S$910,12,FALSE)),0,VLOOKUP($A348,'Mutasi Neraca'!$A$3:$S$910,12,FALSE))</f>
        <v>3833869721</v>
      </c>
      <c r="N348" s="42">
        <f>VLOOKUP($A348,'Neraca Unaudited SIMAK'!$A$2:$R$1272,13,FALSE)+IF(ISNA(VLOOKUP($A348,'Mutasi Neraca'!$A$3:$S$910,13,FALSE)),0,VLOOKUP($A348,'Mutasi Neraca'!$A$3:$S$910,13,FALSE))</f>
        <v>-1113594788</v>
      </c>
      <c r="O348" s="42">
        <f>VLOOKUP($A348,'Neraca Unaudited SIMAK'!$A$2:$R$1272,14,FALSE)+IF(ISNA(VLOOKUP($A348,'Mutasi Neraca'!$A$3:$S$910,14,FALSE)),0,VLOOKUP($A348,'Mutasi Neraca'!$A$3:$S$910,14,FALSE))</f>
        <v>-375750680</v>
      </c>
      <c r="P348" s="42">
        <f>VLOOKUP($A348,'Neraca Unaudited SIMAK'!$A$2:$R$1272,15,FALSE)+IF(ISNA(VLOOKUP($A348,'Mutasi Neraca'!$A$3:$S$910,15,FALSE)),0,VLOOKUP($A348,'Mutasi Neraca'!$A$3:$S$910,15,FALSE))</f>
        <v>-10933339</v>
      </c>
      <c r="Q348" s="42">
        <f>VLOOKUP($A348,'Neraca Unaudited SIMAK'!$A$2:$R$1272,16,FALSE)+IF(ISNA(VLOOKUP($A348,'Mutasi Neraca'!$A$3:$S$910,16,FALSE)),0,VLOOKUP($A348,'Mutasi Neraca'!$A$3:$S$910,16,FALSE))</f>
        <v>0</v>
      </c>
      <c r="R348" s="42">
        <f>VLOOKUP($A348,'Neraca Unaudited SIMAK'!$A$2:$R$1272,17,FALSE)+IF(ISNA(VLOOKUP($A348,'Mutasi Neraca'!$A$3:$S$910,17,FALSE)),0,VLOOKUP($A348,'Mutasi Neraca'!$A$3:$S$910,17,FALSE))</f>
        <v>0</v>
      </c>
      <c r="S348" s="42">
        <f t="shared" si="53"/>
        <v>2333590914</v>
      </c>
    </row>
    <row r="349" spans="1:19">
      <c r="A349" s="41" t="s">
        <v>356</v>
      </c>
      <c r="B349" s="41" t="str">
        <f t="shared" si="52"/>
        <v>005010800</v>
      </c>
      <c r="D349" s="42">
        <f>VLOOKUP($A349,'Neraca Unaudited SIMAK'!$A$2:$R$1272,3,FALSE)+IF(ISNA(VLOOKUP($A349,'Mutasi Neraca'!$A$3:$S$910,3,FALSE)),0,VLOOKUP($A349,'Mutasi Neraca'!$A$3:$S$910,3,FALSE))</f>
        <v>9760500</v>
      </c>
      <c r="E349" s="42">
        <f>VLOOKUP($A349,'Neraca Unaudited SIMAK'!$A$2:$R$1272,4,FALSE)+IF(ISNA(VLOOKUP($A349,'Mutasi Neraca'!$A$3:$S$910,4,FALSE)),0,VLOOKUP($A349,'Mutasi Neraca'!$A$3:$S$910,4,FALSE))</f>
        <v>1292229400</v>
      </c>
      <c r="F349" s="42">
        <f>VLOOKUP($A349,'Neraca Unaudited SIMAK'!$A$2:$R$1272,5,FALSE)+IF(ISNA(VLOOKUP($A349,'Mutasi Neraca'!$A$3:$S$910,5,FALSE)),0,VLOOKUP($A349,'Mutasi Neraca'!$A$3:$S$910,5,FALSE))</f>
        <v>1941504056</v>
      </c>
      <c r="G349" s="42">
        <f>VLOOKUP($A349,'Neraca Unaudited SIMAK'!$A$2:$R$1272,6,FALSE)+IF(ISNA(VLOOKUP($A349,'Mutasi Neraca'!$A$3:$S$910,6,FALSE)),0,VLOOKUP($A349,'Mutasi Neraca'!$A$3:$S$910,6,FALSE))</f>
        <v>8093743027</v>
      </c>
      <c r="H349" s="42">
        <f>VLOOKUP($A349,'Neraca Unaudited SIMAK'!$A$2:$R$1272,7,FALSE)+IF(ISNA(VLOOKUP($A349,'Mutasi Neraca'!$A$3:$S$910,7,FALSE)),0,VLOOKUP($A349,'Mutasi Neraca'!$A$3:$S$910,7,FALSE))</f>
        <v>0</v>
      </c>
      <c r="I349" s="42">
        <f>VLOOKUP($A349,'Neraca Unaudited SIMAK'!$A$2:$R$1272,8,FALSE)+IF(ISNA(VLOOKUP($A349,'Mutasi Neraca'!$A$3:$S$910,8,FALSE)),0,VLOOKUP($A349,'Mutasi Neraca'!$A$3:$S$910,8,FALSE))</f>
        <v>12891460</v>
      </c>
      <c r="J349" s="42">
        <f>VLOOKUP($A349,'Neraca Unaudited SIMAK'!$A$2:$R$1272,9,FALSE)+IF(ISNA(VLOOKUP($A349,'Mutasi Neraca'!$A$3:$S$910,9,FALSE)),0,VLOOKUP($A349,'Mutasi Neraca'!$A$3:$S$910,9,FALSE))</f>
        <v>0</v>
      </c>
      <c r="K349" s="42">
        <f>VLOOKUP($A349,'Neraca Unaudited SIMAK'!$A$2:$R$1272,10,FALSE)+IF(ISNA(VLOOKUP($A349,'Mutasi Neraca'!$A$3:$S$910,10,FALSE)),0,VLOOKUP($A349,'Mutasi Neraca'!$A$3:$S$910,10,FALSE))</f>
        <v>0</v>
      </c>
      <c r="L349" s="42">
        <f>VLOOKUP($A349,'Neraca Unaudited SIMAK'!$A$2:$R$1272,11,FALSE)+IF(ISNA(VLOOKUP($A349,'Mutasi Neraca'!$A$3:$S$910,11,FALSE)),0,VLOOKUP($A349,'Mutasi Neraca'!$A$3:$S$910,11,FALSE))</f>
        <v>0</v>
      </c>
      <c r="M349" s="42">
        <f>VLOOKUP($A349,'Neraca Unaudited SIMAK'!$A$2:$R$1272,12,FALSE)+IF(ISNA(VLOOKUP($A349,'Mutasi Neraca'!$A$3:$S$910,12,FALSE)),0,VLOOKUP($A349,'Mutasi Neraca'!$A$3:$S$910,12,FALSE))</f>
        <v>11350128443</v>
      </c>
      <c r="N349" s="42">
        <f>VLOOKUP($A349,'Neraca Unaudited SIMAK'!$A$2:$R$1272,13,FALSE)+IF(ISNA(VLOOKUP($A349,'Mutasi Neraca'!$A$3:$S$910,13,FALSE)),0,VLOOKUP($A349,'Mutasi Neraca'!$A$3:$S$910,13,FALSE))</f>
        <v>-1430620118</v>
      </c>
      <c r="O349" s="42">
        <f>VLOOKUP($A349,'Neraca Unaudited SIMAK'!$A$2:$R$1272,14,FALSE)+IF(ISNA(VLOOKUP($A349,'Mutasi Neraca'!$A$3:$S$910,14,FALSE)),0,VLOOKUP($A349,'Mutasi Neraca'!$A$3:$S$910,14,FALSE))</f>
        <v>-861926418</v>
      </c>
      <c r="P349" s="42">
        <f>VLOOKUP($A349,'Neraca Unaudited SIMAK'!$A$2:$R$1272,15,FALSE)+IF(ISNA(VLOOKUP($A349,'Mutasi Neraca'!$A$3:$S$910,15,FALSE)),0,VLOOKUP($A349,'Mutasi Neraca'!$A$3:$S$910,15,FALSE))</f>
        <v>0</v>
      </c>
      <c r="Q349" s="42">
        <f>VLOOKUP($A349,'Neraca Unaudited SIMAK'!$A$2:$R$1272,16,FALSE)+IF(ISNA(VLOOKUP($A349,'Mutasi Neraca'!$A$3:$S$910,16,FALSE)),0,VLOOKUP($A349,'Mutasi Neraca'!$A$3:$S$910,16,FALSE))</f>
        <v>0</v>
      </c>
      <c r="R349" s="42">
        <f>VLOOKUP($A349,'Neraca Unaudited SIMAK'!$A$2:$R$1272,17,FALSE)+IF(ISNA(VLOOKUP($A349,'Mutasi Neraca'!$A$3:$S$910,17,FALSE)),0,VLOOKUP($A349,'Mutasi Neraca'!$A$3:$S$910,17,FALSE))</f>
        <v>0</v>
      </c>
      <c r="S349" s="42">
        <f t="shared" si="53"/>
        <v>9057581907</v>
      </c>
    </row>
    <row r="350" spans="1:19">
      <c r="A350" s="41" t="s">
        <v>357</v>
      </c>
      <c r="B350" s="41" t="str">
        <f t="shared" si="52"/>
        <v>005010800</v>
      </c>
      <c r="D350" s="42">
        <f>VLOOKUP($A350,'Neraca Unaudited SIMAK'!$A$2:$R$1272,3,FALSE)+IF(ISNA(VLOOKUP($A350,'Mutasi Neraca'!$A$3:$S$910,3,FALSE)),0,VLOOKUP($A350,'Mutasi Neraca'!$A$3:$S$910,3,FALSE))</f>
        <v>912900</v>
      </c>
      <c r="E350" s="42">
        <f>VLOOKUP($A350,'Neraca Unaudited SIMAK'!$A$2:$R$1272,4,FALSE)+IF(ISNA(VLOOKUP($A350,'Mutasi Neraca'!$A$3:$S$910,4,FALSE)),0,VLOOKUP($A350,'Mutasi Neraca'!$A$3:$S$910,4,FALSE))</f>
        <v>1151186000</v>
      </c>
      <c r="F350" s="42">
        <f>VLOOKUP($A350,'Neraca Unaudited SIMAK'!$A$2:$R$1272,5,FALSE)+IF(ISNA(VLOOKUP($A350,'Mutasi Neraca'!$A$3:$S$910,5,FALSE)),0,VLOOKUP($A350,'Mutasi Neraca'!$A$3:$S$910,5,FALSE))</f>
        <v>1557117942</v>
      </c>
      <c r="G350" s="42">
        <f>VLOOKUP($A350,'Neraca Unaudited SIMAK'!$A$2:$R$1272,6,FALSE)+IF(ISNA(VLOOKUP($A350,'Mutasi Neraca'!$A$3:$S$910,6,FALSE)),0,VLOOKUP($A350,'Mutasi Neraca'!$A$3:$S$910,6,FALSE))</f>
        <v>1733680000</v>
      </c>
      <c r="H350" s="42">
        <f>VLOOKUP($A350,'Neraca Unaudited SIMAK'!$A$2:$R$1272,7,FALSE)+IF(ISNA(VLOOKUP($A350,'Mutasi Neraca'!$A$3:$S$910,7,FALSE)),0,VLOOKUP($A350,'Mutasi Neraca'!$A$3:$S$910,7,FALSE))</f>
        <v>0</v>
      </c>
      <c r="I350" s="42">
        <f>VLOOKUP($A350,'Neraca Unaudited SIMAK'!$A$2:$R$1272,8,FALSE)+IF(ISNA(VLOOKUP($A350,'Mutasi Neraca'!$A$3:$S$910,8,FALSE)),0,VLOOKUP($A350,'Mutasi Neraca'!$A$3:$S$910,8,FALSE))</f>
        <v>16107438</v>
      </c>
      <c r="J350" s="42">
        <f>VLOOKUP($A350,'Neraca Unaudited SIMAK'!$A$2:$R$1272,9,FALSE)+IF(ISNA(VLOOKUP($A350,'Mutasi Neraca'!$A$3:$S$910,9,FALSE)),0,VLOOKUP($A350,'Mutasi Neraca'!$A$3:$S$910,9,FALSE))</f>
        <v>5108026884</v>
      </c>
      <c r="K350" s="42">
        <f>VLOOKUP($A350,'Neraca Unaudited SIMAK'!$A$2:$R$1272,10,FALSE)+IF(ISNA(VLOOKUP($A350,'Mutasi Neraca'!$A$3:$S$910,10,FALSE)),0,VLOOKUP($A350,'Mutasi Neraca'!$A$3:$S$910,10,FALSE))</f>
        <v>0</v>
      </c>
      <c r="L350" s="42">
        <f>VLOOKUP($A350,'Neraca Unaudited SIMAK'!$A$2:$R$1272,11,FALSE)+IF(ISNA(VLOOKUP($A350,'Mutasi Neraca'!$A$3:$S$910,11,FALSE)),0,VLOOKUP($A350,'Mutasi Neraca'!$A$3:$S$910,11,FALSE))</f>
        <v>18000</v>
      </c>
      <c r="M350" s="42">
        <f>VLOOKUP($A350,'Neraca Unaudited SIMAK'!$A$2:$R$1272,12,FALSE)+IF(ISNA(VLOOKUP($A350,'Mutasi Neraca'!$A$3:$S$910,12,FALSE)),0,VLOOKUP($A350,'Mutasi Neraca'!$A$3:$S$910,12,FALSE))</f>
        <v>9567049164</v>
      </c>
      <c r="N350" s="42">
        <f>VLOOKUP($A350,'Neraca Unaudited SIMAK'!$A$2:$R$1272,13,FALSE)+IF(ISNA(VLOOKUP($A350,'Mutasi Neraca'!$A$3:$S$910,13,FALSE)),0,VLOOKUP($A350,'Mutasi Neraca'!$A$3:$S$910,13,FALSE))</f>
        <v>-1235289317</v>
      </c>
      <c r="O350" s="42">
        <f>VLOOKUP($A350,'Neraca Unaudited SIMAK'!$A$2:$R$1272,14,FALSE)+IF(ISNA(VLOOKUP($A350,'Mutasi Neraca'!$A$3:$S$910,14,FALSE)),0,VLOOKUP($A350,'Mutasi Neraca'!$A$3:$S$910,14,FALSE))</f>
        <v>-183931203</v>
      </c>
      <c r="P350" s="42">
        <f>VLOOKUP($A350,'Neraca Unaudited SIMAK'!$A$2:$R$1272,15,FALSE)+IF(ISNA(VLOOKUP($A350,'Mutasi Neraca'!$A$3:$S$910,15,FALSE)),0,VLOOKUP($A350,'Mutasi Neraca'!$A$3:$S$910,15,FALSE))</f>
        <v>0</v>
      </c>
      <c r="Q350" s="42">
        <f>VLOOKUP($A350,'Neraca Unaudited SIMAK'!$A$2:$R$1272,16,FALSE)+IF(ISNA(VLOOKUP($A350,'Mutasi Neraca'!$A$3:$S$910,16,FALSE)),0,VLOOKUP($A350,'Mutasi Neraca'!$A$3:$S$910,16,FALSE))</f>
        <v>0</v>
      </c>
      <c r="R350" s="42">
        <f>VLOOKUP($A350,'Neraca Unaudited SIMAK'!$A$2:$R$1272,17,FALSE)+IF(ISNA(VLOOKUP($A350,'Mutasi Neraca'!$A$3:$S$910,17,FALSE)),0,VLOOKUP($A350,'Mutasi Neraca'!$A$3:$S$910,17,FALSE))</f>
        <v>-18000</v>
      </c>
      <c r="S350" s="42">
        <f t="shared" si="53"/>
        <v>8147810644</v>
      </c>
    </row>
    <row r="351" spans="1:19">
      <c r="A351" s="41" t="s">
        <v>358</v>
      </c>
      <c r="B351" s="41" t="str">
        <f t="shared" si="52"/>
        <v>005010800</v>
      </c>
      <c r="D351" s="42">
        <f>VLOOKUP($A351,'Neraca Unaudited SIMAK'!$A$2:$R$1272,3,FALSE)+IF(ISNA(VLOOKUP($A351,'Mutasi Neraca'!$A$3:$S$910,3,FALSE)),0,VLOOKUP($A351,'Mutasi Neraca'!$A$3:$S$910,3,FALSE))</f>
        <v>2575360</v>
      </c>
      <c r="E351" s="42">
        <f>VLOOKUP($A351,'Neraca Unaudited SIMAK'!$A$2:$R$1272,4,FALSE)+IF(ISNA(VLOOKUP($A351,'Mutasi Neraca'!$A$3:$S$910,4,FALSE)),0,VLOOKUP($A351,'Mutasi Neraca'!$A$3:$S$910,4,FALSE))</f>
        <v>584278000</v>
      </c>
      <c r="F351" s="42">
        <f>VLOOKUP($A351,'Neraca Unaudited SIMAK'!$A$2:$R$1272,5,FALSE)+IF(ISNA(VLOOKUP($A351,'Mutasi Neraca'!$A$3:$S$910,5,FALSE)),0,VLOOKUP($A351,'Mutasi Neraca'!$A$3:$S$910,5,FALSE))</f>
        <v>1009445938</v>
      </c>
      <c r="G351" s="42">
        <f>VLOOKUP($A351,'Neraca Unaudited SIMAK'!$A$2:$R$1272,6,FALSE)+IF(ISNA(VLOOKUP($A351,'Mutasi Neraca'!$A$3:$S$910,6,FALSE)),0,VLOOKUP($A351,'Mutasi Neraca'!$A$3:$S$910,6,FALSE))</f>
        <v>1776727000</v>
      </c>
      <c r="H351" s="42">
        <f>VLOOKUP($A351,'Neraca Unaudited SIMAK'!$A$2:$R$1272,7,FALSE)+IF(ISNA(VLOOKUP($A351,'Mutasi Neraca'!$A$3:$S$910,7,FALSE)),0,VLOOKUP($A351,'Mutasi Neraca'!$A$3:$S$910,7,FALSE))</f>
        <v>0</v>
      </c>
      <c r="I351" s="42">
        <f>VLOOKUP($A351,'Neraca Unaudited SIMAK'!$A$2:$R$1272,8,FALSE)+IF(ISNA(VLOOKUP($A351,'Mutasi Neraca'!$A$3:$S$910,8,FALSE)),0,VLOOKUP($A351,'Mutasi Neraca'!$A$3:$S$910,8,FALSE))</f>
        <v>70502509</v>
      </c>
      <c r="J351" s="42">
        <f>VLOOKUP($A351,'Neraca Unaudited SIMAK'!$A$2:$R$1272,9,FALSE)+IF(ISNA(VLOOKUP($A351,'Mutasi Neraca'!$A$3:$S$910,9,FALSE)),0,VLOOKUP($A351,'Mutasi Neraca'!$A$3:$S$910,9,FALSE))</f>
        <v>0</v>
      </c>
      <c r="K351" s="42">
        <f>VLOOKUP($A351,'Neraca Unaudited SIMAK'!$A$2:$R$1272,10,FALSE)+IF(ISNA(VLOOKUP($A351,'Mutasi Neraca'!$A$3:$S$910,10,FALSE)),0,VLOOKUP($A351,'Mutasi Neraca'!$A$3:$S$910,10,FALSE))</f>
        <v>0</v>
      </c>
      <c r="L351" s="42">
        <f>VLOOKUP($A351,'Neraca Unaudited SIMAK'!$A$2:$R$1272,11,FALSE)+IF(ISNA(VLOOKUP($A351,'Mutasi Neraca'!$A$3:$S$910,11,FALSE)),0,VLOOKUP($A351,'Mutasi Neraca'!$A$3:$S$910,11,FALSE))</f>
        <v>106645940</v>
      </c>
      <c r="M351" s="42">
        <f>VLOOKUP($A351,'Neraca Unaudited SIMAK'!$A$2:$R$1272,12,FALSE)+IF(ISNA(VLOOKUP($A351,'Mutasi Neraca'!$A$3:$S$910,12,FALSE)),0,VLOOKUP($A351,'Mutasi Neraca'!$A$3:$S$910,12,FALSE))</f>
        <v>3550174747</v>
      </c>
      <c r="N351" s="42">
        <f>VLOOKUP($A351,'Neraca Unaudited SIMAK'!$A$2:$R$1272,13,FALSE)+IF(ISNA(VLOOKUP($A351,'Mutasi Neraca'!$A$3:$S$910,13,FALSE)),0,VLOOKUP($A351,'Mutasi Neraca'!$A$3:$S$910,13,FALSE))</f>
        <v>-919179938</v>
      </c>
      <c r="O351" s="42">
        <f>VLOOKUP($A351,'Neraca Unaudited SIMAK'!$A$2:$R$1272,14,FALSE)+IF(ISNA(VLOOKUP($A351,'Mutasi Neraca'!$A$3:$S$910,14,FALSE)),0,VLOOKUP($A351,'Mutasi Neraca'!$A$3:$S$910,14,FALSE))</f>
        <v>-340527305</v>
      </c>
      <c r="P351" s="42">
        <f>VLOOKUP($A351,'Neraca Unaudited SIMAK'!$A$2:$R$1272,15,FALSE)+IF(ISNA(VLOOKUP($A351,'Mutasi Neraca'!$A$3:$S$910,15,FALSE)),0,VLOOKUP($A351,'Mutasi Neraca'!$A$3:$S$910,15,FALSE))</f>
        <v>0</v>
      </c>
      <c r="Q351" s="42">
        <f>VLOOKUP($A351,'Neraca Unaudited SIMAK'!$A$2:$R$1272,16,FALSE)+IF(ISNA(VLOOKUP($A351,'Mutasi Neraca'!$A$3:$S$910,16,FALSE)),0,VLOOKUP($A351,'Mutasi Neraca'!$A$3:$S$910,16,FALSE))</f>
        <v>0</v>
      </c>
      <c r="R351" s="42">
        <f>VLOOKUP($A351,'Neraca Unaudited SIMAK'!$A$2:$R$1272,17,FALSE)+IF(ISNA(VLOOKUP($A351,'Mutasi Neraca'!$A$3:$S$910,17,FALSE)),0,VLOOKUP($A351,'Mutasi Neraca'!$A$3:$S$910,17,FALSE))</f>
        <v>-100083440</v>
      </c>
      <c r="S351" s="42">
        <f t="shared" si="53"/>
        <v>2190384064</v>
      </c>
    </row>
    <row r="352" spans="1:19">
      <c r="A352" s="41" t="s">
        <v>359</v>
      </c>
      <c r="B352" s="41" t="str">
        <f t="shared" si="52"/>
        <v>005010800</v>
      </c>
      <c r="D352" s="42">
        <f>VLOOKUP($A352,'Neraca Unaudited SIMAK'!$A$2:$R$1272,3,FALSE)+IF(ISNA(VLOOKUP($A352,'Mutasi Neraca'!$A$3:$S$910,3,FALSE)),0,VLOOKUP($A352,'Mutasi Neraca'!$A$3:$S$910,3,FALSE))</f>
        <v>4563150</v>
      </c>
      <c r="E352" s="42">
        <f>VLOOKUP($A352,'Neraca Unaudited SIMAK'!$A$2:$R$1272,4,FALSE)+IF(ISNA(VLOOKUP($A352,'Mutasi Neraca'!$A$3:$S$910,4,FALSE)),0,VLOOKUP($A352,'Mutasi Neraca'!$A$3:$S$910,4,FALSE))</f>
        <v>1049443445</v>
      </c>
      <c r="F352" s="42">
        <f>VLOOKUP($A352,'Neraca Unaudited SIMAK'!$A$2:$R$1272,5,FALSE)+IF(ISNA(VLOOKUP($A352,'Mutasi Neraca'!$A$3:$S$910,5,FALSE)),0,VLOOKUP($A352,'Mutasi Neraca'!$A$3:$S$910,5,FALSE))</f>
        <v>1673623951</v>
      </c>
      <c r="G352" s="42">
        <f>VLOOKUP($A352,'Neraca Unaudited SIMAK'!$A$2:$R$1272,6,FALSE)+IF(ISNA(VLOOKUP($A352,'Mutasi Neraca'!$A$3:$S$910,6,FALSE)),0,VLOOKUP($A352,'Mutasi Neraca'!$A$3:$S$910,6,FALSE))</f>
        <v>8439137000</v>
      </c>
      <c r="H352" s="42">
        <f>VLOOKUP($A352,'Neraca Unaudited SIMAK'!$A$2:$R$1272,7,FALSE)+IF(ISNA(VLOOKUP($A352,'Mutasi Neraca'!$A$3:$S$910,7,FALSE)),0,VLOOKUP($A352,'Mutasi Neraca'!$A$3:$S$910,7,FALSE))</f>
        <v>32320000</v>
      </c>
      <c r="I352" s="42">
        <f>VLOOKUP($A352,'Neraca Unaudited SIMAK'!$A$2:$R$1272,8,FALSE)+IF(ISNA(VLOOKUP($A352,'Mutasi Neraca'!$A$3:$S$910,8,FALSE)),0,VLOOKUP($A352,'Mutasi Neraca'!$A$3:$S$910,8,FALSE))</f>
        <v>84500828</v>
      </c>
      <c r="J352" s="42">
        <f>VLOOKUP($A352,'Neraca Unaudited SIMAK'!$A$2:$R$1272,9,FALSE)+IF(ISNA(VLOOKUP($A352,'Mutasi Neraca'!$A$3:$S$910,9,FALSE)),0,VLOOKUP($A352,'Mutasi Neraca'!$A$3:$S$910,9,FALSE))</f>
        <v>0</v>
      </c>
      <c r="K352" s="42">
        <f>VLOOKUP($A352,'Neraca Unaudited SIMAK'!$A$2:$R$1272,10,FALSE)+IF(ISNA(VLOOKUP($A352,'Mutasi Neraca'!$A$3:$S$910,10,FALSE)),0,VLOOKUP($A352,'Mutasi Neraca'!$A$3:$S$910,10,FALSE))</f>
        <v>0</v>
      </c>
      <c r="L352" s="42">
        <f>VLOOKUP($A352,'Neraca Unaudited SIMAK'!$A$2:$R$1272,11,FALSE)+IF(ISNA(VLOOKUP($A352,'Mutasi Neraca'!$A$3:$S$910,11,FALSE)),0,VLOOKUP($A352,'Mutasi Neraca'!$A$3:$S$910,11,FALSE))</f>
        <v>271729225</v>
      </c>
      <c r="M352" s="42">
        <f>VLOOKUP($A352,'Neraca Unaudited SIMAK'!$A$2:$R$1272,12,FALSE)+IF(ISNA(VLOOKUP($A352,'Mutasi Neraca'!$A$3:$S$910,12,FALSE)),0,VLOOKUP($A352,'Mutasi Neraca'!$A$3:$S$910,12,FALSE))</f>
        <v>11555317599</v>
      </c>
      <c r="N352" s="42">
        <f>VLOOKUP($A352,'Neraca Unaudited SIMAK'!$A$2:$R$1272,13,FALSE)+IF(ISNA(VLOOKUP($A352,'Mutasi Neraca'!$A$3:$S$910,13,FALSE)),0,VLOOKUP($A352,'Mutasi Neraca'!$A$3:$S$910,13,FALSE))</f>
        <v>-997204070</v>
      </c>
      <c r="O352" s="42">
        <f>VLOOKUP($A352,'Neraca Unaudited SIMAK'!$A$2:$R$1272,14,FALSE)+IF(ISNA(VLOOKUP($A352,'Mutasi Neraca'!$A$3:$S$910,14,FALSE)),0,VLOOKUP($A352,'Mutasi Neraca'!$A$3:$S$910,14,FALSE))</f>
        <v>-291260397</v>
      </c>
      <c r="P352" s="42">
        <f>VLOOKUP($A352,'Neraca Unaudited SIMAK'!$A$2:$R$1272,15,FALSE)+IF(ISNA(VLOOKUP($A352,'Mutasi Neraca'!$A$3:$S$910,15,FALSE)),0,VLOOKUP($A352,'Mutasi Neraca'!$A$3:$S$910,15,FALSE))</f>
        <v>-30388000</v>
      </c>
      <c r="Q352" s="42">
        <f>VLOOKUP($A352,'Neraca Unaudited SIMAK'!$A$2:$R$1272,16,FALSE)+IF(ISNA(VLOOKUP($A352,'Mutasi Neraca'!$A$3:$S$910,16,FALSE)),0,VLOOKUP($A352,'Mutasi Neraca'!$A$3:$S$910,16,FALSE))</f>
        <v>0</v>
      </c>
      <c r="R352" s="42">
        <f>VLOOKUP($A352,'Neraca Unaudited SIMAK'!$A$2:$R$1272,17,FALSE)+IF(ISNA(VLOOKUP($A352,'Mutasi Neraca'!$A$3:$S$910,17,FALSE)),0,VLOOKUP($A352,'Mutasi Neraca'!$A$3:$S$910,17,FALSE))</f>
        <v>-271054225</v>
      </c>
      <c r="S352" s="42">
        <f t="shared" si="53"/>
        <v>9965410907</v>
      </c>
    </row>
    <row r="353" spans="1:19">
      <c r="A353" s="41" t="s">
        <v>360</v>
      </c>
      <c r="B353" s="41" t="str">
        <f t="shared" si="52"/>
        <v>005010800</v>
      </c>
      <c r="D353" s="42">
        <f>VLOOKUP($A353,'Neraca Unaudited SIMAK'!$A$2:$R$1272,3,FALSE)+IF(ISNA(VLOOKUP($A353,'Mutasi Neraca'!$A$3:$S$910,3,FALSE)),0,VLOOKUP($A353,'Mutasi Neraca'!$A$3:$S$910,3,FALSE))</f>
        <v>395000</v>
      </c>
      <c r="E353" s="42">
        <f>VLOOKUP($A353,'Neraca Unaudited SIMAK'!$A$2:$R$1272,4,FALSE)+IF(ISNA(VLOOKUP($A353,'Mutasi Neraca'!$A$3:$S$910,4,FALSE)),0,VLOOKUP($A353,'Mutasi Neraca'!$A$3:$S$910,4,FALSE))</f>
        <v>2001129500</v>
      </c>
      <c r="F353" s="42">
        <f>VLOOKUP($A353,'Neraca Unaudited SIMAK'!$A$2:$R$1272,5,FALSE)+IF(ISNA(VLOOKUP($A353,'Mutasi Neraca'!$A$3:$S$910,5,FALSE)),0,VLOOKUP($A353,'Mutasi Neraca'!$A$3:$S$910,5,FALSE))</f>
        <v>1463151421</v>
      </c>
      <c r="G353" s="42">
        <f>VLOOKUP($A353,'Neraca Unaudited SIMAK'!$A$2:$R$1272,6,FALSE)+IF(ISNA(VLOOKUP($A353,'Mutasi Neraca'!$A$3:$S$910,6,FALSE)),0,VLOOKUP($A353,'Mutasi Neraca'!$A$3:$S$910,6,FALSE))</f>
        <v>35677743</v>
      </c>
      <c r="H353" s="42">
        <f>VLOOKUP($A353,'Neraca Unaudited SIMAK'!$A$2:$R$1272,7,FALSE)+IF(ISNA(VLOOKUP($A353,'Mutasi Neraca'!$A$3:$S$910,7,FALSE)),0,VLOOKUP($A353,'Mutasi Neraca'!$A$3:$S$910,7,FALSE))</f>
        <v>0</v>
      </c>
      <c r="I353" s="42">
        <f>VLOOKUP($A353,'Neraca Unaudited SIMAK'!$A$2:$R$1272,8,FALSE)+IF(ISNA(VLOOKUP($A353,'Mutasi Neraca'!$A$3:$S$910,8,FALSE)),0,VLOOKUP($A353,'Mutasi Neraca'!$A$3:$S$910,8,FALSE))</f>
        <v>15246068</v>
      </c>
      <c r="J353" s="42">
        <f>VLOOKUP($A353,'Neraca Unaudited SIMAK'!$A$2:$R$1272,9,FALSE)+IF(ISNA(VLOOKUP($A353,'Mutasi Neraca'!$A$3:$S$910,9,FALSE)),0,VLOOKUP($A353,'Mutasi Neraca'!$A$3:$S$910,9,FALSE))</f>
        <v>6930286400</v>
      </c>
      <c r="K353" s="42">
        <f>VLOOKUP($A353,'Neraca Unaudited SIMAK'!$A$2:$R$1272,10,FALSE)+IF(ISNA(VLOOKUP($A353,'Mutasi Neraca'!$A$3:$S$910,10,FALSE)),0,VLOOKUP($A353,'Mutasi Neraca'!$A$3:$S$910,10,FALSE))</f>
        <v>0</v>
      </c>
      <c r="L353" s="42">
        <f>VLOOKUP($A353,'Neraca Unaudited SIMAK'!$A$2:$R$1272,11,FALSE)+IF(ISNA(VLOOKUP($A353,'Mutasi Neraca'!$A$3:$S$910,11,FALSE)),0,VLOOKUP($A353,'Mutasi Neraca'!$A$3:$S$910,11,FALSE))</f>
        <v>11615000</v>
      </c>
      <c r="M353" s="42">
        <f>VLOOKUP($A353,'Neraca Unaudited SIMAK'!$A$2:$R$1272,12,FALSE)+IF(ISNA(VLOOKUP($A353,'Mutasi Neraca'!$A$3:$S$910,12,FALSE)),0,VLOOKUP($A353,'Mutasi Neraca'!$A$3:$S$910,12,FALSE))</f>
        <v>10457501132</v>
      </c>
      <c r="N353" s="42">
        <f>VLOOKUP($A353,'Neraca Unaudited SIMAK'!$A$2:$R$1272,13,FALSE)+IF(ISNA(VLOOKUP($A353,'Mutasi Neraca'!$A$3:$S$910,13,FALSE)),0,VLOOKUP($A353,'Mutasi Neraca'!$A$3:$S$910,13,FALSE))</f>
        <v>-1232809913</v>
      </c>
      <c r="O353" s="42">
        <f>VLOOKUP($A353,'Neraca Unaudited SIMAK'!$A$2:$R$1272,14,FALSE)+IF(ISNA(VLOOKUP($A353,'Mutasi Neraca'!$A$3:$S$910,14,FALSE)),0,VLOOKUP($A353,'Mutasi Neraca'!$A$3:$S$910,14,FALSE))</f>
        <v>-4459719</v>
      </c>
      <c r="P353" s="42">
        <f>VLOOKUP($A353,'Neraca Unaudited SIMAK'!$A$2:$R$1272,15,FALSE)+IF(ISNA(VLOOKUP($A353,'Mutasi Neraca'!$A$3:$S$910,15,FALSE)),0,VLOOKUP($A353,'Mutasi Neraca'!$A$3:$S$910,15,FALSE))</f>
        <v>0</v>
      </c>
      <c r="Q353" s="42">
        <f>VLOOKUP($A353,'Neraca Unaudited SIMAK'!$A$2:$R$1272,16,FALSE)+IF(ISNA(VLOOKUP($A353,'Mutasi Neraca'!$A$3:$S$910,16,FALSE)),0,VLOOKUP($A353,'Mutasi Neraca'!$A$3:$S$910,16,FALSE))</f>
        <v>0</v>
      </c>
      <c r="R353" s="42">
        <f>VLOOKUP($A353,'Neraca Unaudited SIMAK'!$A$2:$R$1272,17,FALSE)+IF(ISNA(VLOOKUP($A353,'Mutasi Neraca'!$A$3:$S$910,17,FALSE)),0,VLOOKUP($A353,'Mutasi Neraca'!$A$3:$S$910,17,FALSE))</f>
        <v>-11615000</v>
      </c>
      <c r="S353" s="42">
        <f t="shared" si="53"/>
        <v>9208616500</v>
      </c>
    </row>
    <row r="354" spans="1:19">
      <c r="A354" s="41" t="s">
        <v>361</v>
      </c>
      <c r="B354" s="41" t="str">
        <f t="shared" si="52"/>
        <v>005010800</v>
      </c>
      <c r="D354" s="42">
        <f>VLOOKUP($A354,'Neraca Unaudited SIMAK'!$A$2:$R$1272,3,FALSE)+IF(ISNA(VLOOKUP($A354,'Mutasi Neraca'!$A$3:$S$910,3,FALSE)),0,VLOOKUP($A354,'Mutasi Neraca'!$A$3:$S$910,3,FALSE))</f>
        <v>4188307</v>
      </c>
      <c r="E354" s="42">
        <f>VLOOKUP($A354,'Neraca Unaudited SIMAK'!$A$2:$R$1272,4,FALSE)+IF(ISNA(VLOOKUP($A354,'Mutasi Neraca'!$A$3:$S$910,4,FALSE)),0,VLOOKUP($A354,'Mutasi Neraca'!$A$3:$S$910,4,FALSE))</f>
        <v>1286420600</v>
      </c>
      <c r="F354" s="42">
        <f>VLOOKUP($A354,'Neraca Unaudited SIMAK'!$A$2:$R$1272,5,FALSE)+IF(ISNA(VLOOKUP($A354,'Mutasi Neraca'!$A$3:$S$910,5,FALSE)),0,VLOOKUP($A354,'Mutasi Neraca'!$A$3:$S$910,5,FALSE))</f>
        <v>1479834178</v>
      </c>
      <c r="G354" s="42">
        <f>VLOOKUP($A354,'Neraca Unaudited SIMAK'!$A$2:$R$1272,6,FALSE)+IF(ISNA(VLOOKUP($A354,'Mutasi Neraca'!$A$3:$S$910,6,FALSE)),0,VLOOKUP($A354,'Mutasi Neraca'!$A$3:$S$910,6,FALSE))</f>
        <v>8393493745</v>
      </c>
      <c r="H354" s="42">
        <f>VLOOKUP($A354,'Neraca Unaudited SIMAK'!$A$2:$R$1272,7,FALSE)+IF(ISNA(VLOOKUP($A354,'Mutasi Neraca'!$A$3:$S$910,7,FALSE)),0,VLOOKUP($A354,'Mutasi Neraca'!$A$3:$S$910,7,FALSE))</f>
        <v>0</v>
      </c>
      <c r="I354" s="42">
        <f>VLOOKUP($A354,'Neraca Unaudited SIMAK'!$A$2:$R$1272,8,FALSE)+IF(ISNA(VLOOKUP($A354,'Mutasi Neraca'!$A$3:$S$910,8,FALSE)),0,VLOOKUP($A354,'Mutasi Neraca'!$A$3:$S$910,8,FALSE))</f>
        <v>5409137</v>
      </c>
      <c r="J354" s="42">
        <f>VLOOKUP($A354,'Neraca Unaudited SIMAK'!$A$2:$R$1272,9,FALSE)+IF(ISNA(VLOOKUP($A354,'Mutasi Neraca'!$A$3:$S$910,9,FALSE)),0,VLOOKUP($A354,'Mutasi Neraca'!$A$3:$S$910,9,FALSE))</f>
        <v>0</v>
      </c>
      <c r="K354" s="42">
        <f>VLOOKUP($A354,'Neraca Unaudited SIMAK'!$A$2:$R$1272,10,FALSE)+IF(ISNA(VLOOKUP($A354,'Mutasi Neraca'!$A$3:$S$910,10,FALSE)),0,VLOOKUP($A354,'Mutasi Neraca'!$A$3:$S$910,10,FALSE))</f>
        <v>0</v>
      </c>
      <c r="L354" s="42">
        <f>VLOOKUP($A354,'Neraca Unaudited SIMAK'!$A$2:$R$1272,11,FALSE)+IF(ISNA(VLOOKUP($A354,'Mutasi Neraca'!$A$3:$S$910,11,FALSE)),0,VLOOKUP($A354,'Mutasi Neraca'!$A$3:$S$910,11,FALSE))</f>
        <v>1286000</v>
      </c>
      <c r="M354" s="42">
        <f>VLOOKUP($A354,'Neraca Unaudited SIMAK'!$A$2:$R$1272,12,FALSE)+IF(ISNA(VLOOKUP($A354,'Mutasi Neraca'!$A$3:$S$910,12,FALSE)),0,VLOOKUP($A354,'Mutasi Neraca'!$A$3:$S$910,12,FALSE))</f>
        <v>11170631967</v>
      </c>
      <c r="N354" s="42">
        <f>VLOOKUP($A354,'Neraca Unaudited SIMAK'!$A$2:$R$1272,13,FALSE)+IF(ISNA(VLOOKUP($A354,'Mutasi Neraca'!$A$3:$S$910,13,FALSE)),0,VLOOKUP($A354,'Mutasi Neraca'!$A$3:$S$910,13,FALSE))</f>
        <v>-1032019248</v>
      </c>
      <c r="O354" s="42">
        <f>VLOOKUP($A354,'Neraca Unaudited SIMAK'!$A$2:$R$1272,14,FALSE)+IF(ISNA(VLOOKUP($A354,'Mutasi Neraca'!$A$3:$S$910,14,FALSE)),0,VLOOKUP($A354,'Mutasi Neraca'!$A$3:$S$910,14,FALSE))</f>
        <v>-355873908</v>
      </c>
      <c r="P354" s="42">
        <f>VLOOKUP($A354,'Neraca Unaudited SIMAK'!$A$2:$R$1272,15,FALSE)+IF(ISNA(VLOOKUP($A354,'Mutasi Neraca'!$A$3:$S$910,15,FALSE)),0,VLOOKUP($A354,'Mutasi Neraca'!$A$3:$S$910,15,FALSE))</f>
        <v>0</v>
      </c>
      <c r="Q354" s="42">
        <f>VLOOKUP($A354,'Neraca Unaudited SIMAK'!$A$2:$R$1272,16,FALSE)+IF(ISNA(VLOOKUP($A354,'Mutasi Neraca'!$A$3:$S$910,16,FALSE)),0,VLOOKUP($A354,'Mutasi Neraca'!$A$3:$S$910,16,FALSE))</f>
        <v>0</v>
      </c>
      <c r="R354" s="42">
        <f>VLOOKUP($A354,'Neraca Unaudited SIMAK'!$A$2:$R$1272,17,FALSE)+IF(ISNA(VLOOKUP($A354,'Mutasi Neraca'!$A$3:$S$910,17,FALSE)),0,VLOOKUP($A354,'Mutasi Neraca'!$A$3:$S$910,17,FALSE))</f>
        <v>-1246000</v>
      </c>
      <c r="S354" s="42">
        <f t="shared" si="53"/>
        <v>9781492811</v>
      </c>
    </row>
    <row r="355" spans="1:19">
      <c r="A355" s="41" t="s">
        <v>362</v>
      </c>
      <c r="B355" s="41" t="str">
        <f t="shared" si="52"/>
        <v>005010800</v>
      </c>
      <c r="D355" s="42">
        <f>VLOOKUP($A355,'Neraca Unaudited SIMAK'!$A$2:$R$1272,3,FALSE)+IF(ISNA(VLOOKUP($A355,'Mutasi Neraca'!$A$3:$S$910,3,FALSE)),0,VLOOKUP($A355,'Mutasi Neraca'!$A$3:$S$910,3,FALSE))</f>
        <v>4442078</v>
      </c>
      <c r="E355" s="42">
        <f>VLOOKUP($A355,'Neraca Unaudited SIMAK'!$A$2:$R$1272,4,FALSE)+IF(ISNA(VLOOKUP($A355,'Mutasi Neraca'!$A$3:$S$910,4,FALSE)),0,VLOOKUP($A355,'Mutasi Neraca'!$A$3:$S$910,4,FALSE))</f>
        <v>1213800000</v>
      </c>
      <c r="F355" s="42">
        <f>VLOOKUP($A355,'Neraca Unaudited SIMAK'!$A$2:$R$1272,5,FALSE)+IF(ISNA(VLOOKUP($A355,'Mutasi Neraca'!$A$3:$S$910,5,FALSE)),0,VLOOKUP($A355,'Mutasi Neraca'!$A$3:$S$910,5,FALSE))</f>
        <v>1239572000</v>
      </c>
      <c r="G355" s="42">
        <f>VLOOKUP($A355,'Neraca Unaudited SIMAK'!$A$2:$R$1272,6,FALSE)+IF(ISNA(VLOOKUP($A355,'Mutasi Neraca'!$A$3:$S$910,6,FALSE)),0,VLOOKUP($A355,'Mutasi Neraca'!$A$3:$S$910,6,FALSE))</f>
        <v>5682155545</v>
      </c>
      <c r="H355" s="42">
        <f>VLOOKUP($A355,'Neraca Unaudited SIMAK'!$A$2:$R$1272,7,FALSE)+IF(ISNA(VLOOKUP($A355,'Mutasi Neraca'!$A$3:$S$910,7,FALSE)),0,VLOOKUP($A355,'Mutasi Neraca'!$A$3:$S$910,7,FALSE))</f>
        <v>0</v>
      </c>
      <c r="I355" s="42">
        <f>VLOOKUP($A355,'Neraca Unaudited SIMAK'!$A$2:$R$1272,8,FALSE)+IF(ISNA(VLOOKUP($A355,'Mutasi Neraca'!$A$3:$S$910,8,FALSE)),0,VLOOKUP($A355,'Mutasi Neraca'!$A$3:$S$910,8,FALSE))</f>
        <v>25562340</v>
      </c>
      <c r="J355" s="42">
        <f>VLOOKUP($A355,'Neraca Unaudited SIMAK'!$A$2:$R$1272,9,FALSE)+IF(ISNA(VLOOKUP($A355,'Mutasi Neraca'!$A$3:$S$910,9,FALSE)),0,VLOOKUP($A355,'Mutasi Neraca'!$A$3:$S$910,9,FALSE))</f>
        <v>0</v>
      </c>
      <c r="K355" s="42">
        <f>VLOOKUP($A355,'Neraca Unaudited SIMAK'!$A$2:$R$1272,10,FALSE)+IF(ISNA(VLOOKUP($A355,'Mutasi Neraca'!$A$3:$S$910,10,FALSE)),0,VLOOKUP($A355,'Mutasi Neraca'!$A$3:$S$910,10,FALSE))</f>
        <v>0</v>
      </c>
      <c r="L355" s="42">
        <f>VLOOKUP($A355,'Neraca Unaudited SIMAK'!$A$2:$R$1272,11,FALSE)+IF(ISNA(VLOOKUP($A355,'Mutasi Neraca'!$A$3:$S$910,11,FALSE)),0,VLOOKUP($A355,'Mutasi Neraca'!$A$3:$S$910,11,FALSE))</f>
        <v>0</v>
      </c>
      <c r="M355" s="42">
        <f>VLOOKUP($A355,'Neraca Unaudited SIMAK'!$A$2:$R$1272,12,FALSE)+IF(ISNA(VLOOKUP($A355,'Mutasi Neraca'!$A$3:$S$910,12,FALSE)),0,VLOOKUP($A355,'Mutasi Neraca'!$A$3:$S$910,12,FALSE))</f>
        <v>8165531963</v>
      </c>
      <c r="N355" s="42">
        <f>VLOOKUP($A355,'Neraca Unaudited SIMAK'!$A$2:$R$1272,13,FALSE)+IF(ISNA(VLOOKUP($A355,'Mutasi Neraca'!$A$3:$S$910,13,FALSE)),0,VLOOKUP($A355,'Mutasi Neraca'!$A$3:$S$910,13,FALSE))</f>
        <v>-1108637725</v>
      </c>
      <c r="O355" s="42">
        <f>VLOOKUP($A355,'Neraca Unaudited SIMAK'!$A$2:$R$1272,14,FALSE)+IF(ISNA(VLOOKUP($A355,'Mutasi Neraca'!$A$3:$S$910,14,FALSE)),0,VLOOKUP($A355,'Mutasi Neraca'!$A$3:$S$910,14,FALSE))</f>
        <v>-622428777</v>
      </c>
      <c r="P355" s="42">
        <f>VLOOKUP($A355,'Neraca Unaudited SIMAK'!$A$2:$R$1272,15,FALSE)+IF(ISNA(VLOOKUP($A355,'Mutasi Neraca'!$A$3:$S$910,15,FALSE)),0,VLOOKUP($A355,'Mutasi Neraca'!$A$3:$S$910,15,FALSE))</f>
        <v>0</v>
      </c>
      <c r="Q355" s="42">
        <f>VLOOKUP($A355,'Neraca Unaudited SIMAK'!$A$2:$R$1272,16,FALSE)+IF(ISNA(VLOOKUP($A355,'Mutasi Neraca'!$A$3:$S$910,16,FALSE)),0,VLOOKUP($A355,'Mutasi Neraca'!$A$3:$S$910,16,FALSE))</f>
        <v>0</v>
      </c>
      <c r="R355" s="42">
        <f>VLOOKUP($A355,'Neraca Unaudited SIMAK'!$A$2:$R$1272,17,FALSE)+IF(ISNA(VLOOKUP($A355,'Mutasi Neraca'!$A$3:$S$910,17,FALSE)),0,VLOOKUP($A355,'Mutasi Neraca'!$A$3:$S$910,17,FALSE))</f>
        <v>0</v>
      </c>
      <c r="S355" s="42">
        <f t="shared" si="53"/>
        <v>6434465461</v>
      </c>
    </row>
    <row r="356" spans="1:19">
      <c r="A356" s="41" t="s">
        <v>363</v>
      </c>
      <c r="B356" s="41" t="str">
        <f t="shared" si="52"/>
        <v>005010800</v>
      </c>
      <c r="D356" s="42">
        <f>VLOOKUP($A356,'Neraca Unaudited SIMAK'!$A$2:$R$1272,3,FALSE)+IF(ISNA(VLOOKUP($A356,'Mutasi Neraca'!$A$3:$S$910,3,FALSE)),0,VLOOKUP($A356,'Mutasi Neraca'!$A$3:$S$910,3,FALSE))</f>
        <v>682500</v>
      </c>
      <c r="E356" s="42">
        <f>VLOOKUP($A356,'Neraca Unaudited SIMAK'!$A$2:$R$1272,4,FALSE)+IF(ISNA(VLOOKUP($A356,'Mutasi Neraca'!$A$3:$S$910,4,FALSE)),0,VLOOKUP($A356,'Mutasi Neraca'!$A$3:$S$910,4,FALSE))</f>
        <v>936300000</v>
      </c>
      <c r="F356" s="42">
        <f>VLOOKUP($A356,'Neraca Unaudited SIMAK'!$A$2:$R$1272,5,FALSE)+IF(ISNA(VLOOKUP($A356,'Mutasi Neraca'!$A$3:$S$910,5,FALSE)),0,VLOOKUP($A356,'Mutasi Neraca'!$A$3:$S$910,5,FALSE))</f>
        <v>1739464128</v>
      </c>
      <c r="G356" s="42">
        <f>VLOOKUP($A356,'Neraca Unaudited SIMAK'!$A$2:$R$1272,6,FALSE)+IF(ISNA(VLOOKUP($A356,'Mutasi Neraca'!$A$3:$S$910,6,FALSE)),0,VLOOKUP($A356,'Mutasi Neraca'!$A$3:$S$910,6,FALSE))</f>
        <v>7031704499</v>
      </c>
      <c r="H356" s="42">
        <f>VLOOKUP($A356,'Neraca Unaudited SIMAK'!$A$2:$R$1272,7,FALSE)+IF(ISNA(VLOOKUP($A356,'Mutasi Neraca'!$A$3:$S$910,7,FALSE)),0,VLOOKUP($A356,'Mutasi Neraca'!$A$3:$S$910,7,FALSE))</f>
        <v>216829950</v>
      </c>
      <c r="I356" s="42">
        <f>VLOOKUP($A356,'Neraca Unaudited SIMAK'!$A$2:$R$1272,8,FALSE)+IF(ISNA(VLOOKUP($A356,'Mutasi Neraca'!$A$3:$S$910,8,FALSE)),0,VLOOKUP($A356,'Mutasi Neraca'!$A$3:$S$910,8,FALSE))</f>
        <v>1943440</v>
      </c>
      <c r="J356" s="42">
        <f>VLOOKUP($A356,'Neraca Unaudited SIMAK'!$A$2:$R$1272,9,FALSE)+IF(ISNA(VLOOKUP($A356,'Mutasi Neraca'!$A$3:$S$910,9,FALSE)),0,VLOOKUP($A356,'Mutasi Neraca'!$A$3:$S$910,9,FALSE))</f>
        <v>0</v>
      </c>
      <c r="K356" s="42">
        <f>VLOOKUP($A356,'Neraca Unaudited SIMAK'!$A$2:$R$1272,10,FALSE)+IF(ISNA(VLOOKUP($A356,'Mutasi Neraca'!$A$3:$S$910,10,FALSE)),0,VLOOKUP($A356,'Mutasi Neraca'!$A$3:$S$910,10,FALSE))</f>
        <v>25000000</v>
      </c>
      <c r="L356" s="42">
        <f>VLOOKUP($A356,'Neraca Unaudited SIMAK'!$A$2:$R$1272,11,FALSE)+IF(ISNA(VLOOKUP($A356,'Mutasi Neraca'!$A$3:$S$910,11,FALSE)),0,VLOOKUP($A356,'Mutasi Neraca'!$A$3:$S$910,11,FALSE))</f>
        <v>36245000</v>
      </c>
      <c r="M356" s="42">
        <f>VLOOKUP($A356,'Neraca Unaudited SIMAK'!$A$2:$R$1272,12,FALSE)+IF(ISNA(VLOOKUP($A356,'Mutasi Neraca'!$A$3:$S$910,12,FALSE)),0,VLOOKUP($A356,'Mutasi Neraca'!$A$3:$S$910,12,FALSE))</f>
        <v>9988169517</v>
      </c>
      <c r="N356" s="42">
        <f>VLOOKUP($A356,'Neraca Unaudited SIMAK'!$A$2:$R$1272,13,FALSE)+IF(ISNA(VLOOKUP($A356,'Mutasi Neraca'!$A$3:$S$910,13,FALSE)),0,VLOOKUP($A356,'Mutasi Neraca'!$A$3:$S$910,13,FALSE))</f>
        <v>-1447863146</v>
      </c>
      <c r="O356" s="42">
        <f>VLOOKUP($A356,'Neraca Unaudited SIMAK'!$A$2:$R$1272,14,FALSE)+IF(ISNA(VLOOKUP($A356,'Mutasi Neraca'!$A$3:$S$910,14,FALSE)),0,VLOOKUP($A356,'Mutasi Neraca'!$A$3:$S$910,14,FALSE))</f>
        <v>-854252285</v>
      </c>
      <c r="P356" s="42">
        <f>VLOOKUP($A356,'Neraca Unaudited SIMAK'!$A$2:$R$1272,15,FALSE)+IF(ISNA(VLOOKUP($A356,'Mutasi Neraca'!$A$3:$S$910,15,FALSE)),0,VLOOKUP($A356,'Mutasi Neraca'!$A$3:$S$910,15,FALSE))</f>
        <v>-36658615</v>
      </c>
      <c r="Q356" s="42">
        <f>VLOOKUP($A356,'Neraca Unaudited SIMAK'!$A$2:$R$1272,16,FALSE)+IF(ISNA(VLOOKUP($A356,'Mutasi Neraca'!$A$3:$S$910,16,FALSE)),0,VLOOKUP($A356,'Mutasi Neraca'!$A$3:$S$910,16,FALSE))</f>
        <v>0</v>
      </c>
      <c r="R356" s="42">
        <f>VLOOKUP($A356,'Neraca Unaudited SIMAK'!$A$2:$R$1272,17,FALSE)+IF(ISNA(VLOOKUP($A356,'Mutasi Neraca'!$A$3:$S$910,17,FALSE)),0,VLOOKUP($A356,'Mutasi Neraca'!$A$3:$S$910,17,FALSE))</f>
        <v>-36245000</v>
      </c>
      <c r="S356" s="42">
        <f t="shared" si="53"/>
        <v>7613150471</v>
      </c>
    </row>
    <row r="357" spans="1:19">
      <c r="A357" s="41" t="s">
        <v>364</v>
      </c>
      <c r="B357" s="41" t="str">
        <f t="shared" si="52"/>
        <v>005010800</v>
      </c>
      <c r="D357" s="42">
        <f>VLOOKUP($A357,'Neraca Unaudited SIMAK'!$A$2:$R$1272,3,FALSE)+IF(ISNA(VLOOKUP($A357,'Mutasi Neraca'!$A$3:$S$910,3,FALSE)),0,VLOOKUP($A357,'Mutasi Neraca'!$A$3:$S$910,3,FALSE))</f>
        <v>2981200</v>
      </c>
      <c r="E357" s="42">
        <f>VLOOKUP($A357,'Neraca Unaudited SIMAK'!$A$2:$R$1272,4,FALSE)+IF(ISNA(VLOOKUP($A357,'Mutasi Neraca'!$A$3:$S$910,4,FALSE)),0,VLOOKUP($A357,'Mutasi Neraca'!$A$3:$S$910,4,FALSE))</f>
        <v>13275812500</v>
      </c>
      <c r="F357" s="42">
        <f>VLOOKUP($A357,'Neraca Unaudited SIMAK'!$A$2:$R$1272,5,FALSE)+IF(ISNA(VLOOKUP($A357,'Mutasi Neraca'!$A$3:$S$910,5,FALSE)),0,VLOOKUP($A357,'Mutasi Neraca'!$A$3:$S$910,5,FALSE))</f>
        <v>1740899188</v>
      </c>
      <c r="G357" s="42">
        <f>VLOOKUP($A357,'Neraca Unaudited SIMAK'!$A$2:$R$1272,6,FALSE)+IF(ISNA(VLOOKUP($A357,'Mutasi Neraca'!$A$3:$S$910,6,FALSE)),0,VLOOKUP($A357,'Mutasi Neraca'!$A$3:$S$910,6,FALSE))</f>
        <v>7478739594</v>
      </c>
      <c r="H357" s="42">
        <f>VLOOKUP($A357,'Neraca Unaudited SIMAK'!$A$2:$R$1272,7,FALSE)+IF(ISNA(VLOOKUP($A357,'Mutasi Neraca'!$A$3:$S$910,7,FALSE)),0,VLOOKUP($A357,'Mutasi Neraca'!$A$3:$S$910,7,FALSE))</f>
        <v>0</v>
      </c>
      <c r="I357" s="42">
        <f>VLOOKUP($A357,'Neraca Unaudited SIMAK'!$A$2:$R$1272,8,FALSE)+IF(ISNA(VLOOKUP($A357,'Mutasi Neraca'!$A$3:$S$910,8,FALSE)),0,VLOOKUP($A357,'Mutasi Neraca'!$A$3:$S$910,8,FALSE))</f>
        <v>2637275</v>
      </c>
      <c r="J357" s="42">
        <f>VLOOKUP($A357,'Neraca Unaudited SIMAK'!$A$2:$R$1272,9,FALSE)+IF(ISNA(VLOOKUP($A357,'Mutasi Neraca'!$A$3:$S$910,9,FALSE)),0,VLOOKUP($A357,'Mutasi Neraca'!$A$3:$S$910,9,FALSE))</f>
        <v>0</v>
      </c>
      <c r="K357" s="42">
        <f>VLOOKUP($A357,'Neraca Unaudited SIMAK'!$A$2:$R$1272,10,FALSE)+IF(ISNA(VLOOKUP($A357,'Mutasi Neraca'!$A$3:$S$910,10,FALSE)),0,VLOOKUP($A357,'Mutasi Neraca'!$A$3:$S$910,10,FALSE))</f>
        <v>68750000</v>
      </c>
      <c r="L357" s="42">
        <f>VLOOKUP($A357,'Neraca Unaudited SIMAK'!$A$2:$R$1272,11,FALSE)+IF(ISNA(VLOOKUP($A357,'Mutasi Neraca'!$A$3:$S$910,11,FALSE)),0,VLOOKUP($A357,'Mutasi Neraca'!$A$3:$S$910,11,FALSE))</f>
        <v>0</v>
      </c>
      <c r="M357" s="42">
        <f>VLOOKUP($A357,'Neraca Unaudited SIMAK'!$A$2:$R$1272,12,FALSE)+IF(ISNA(VLOOKUP($A357,'Mutasi Neraca'!$A$3:$S$910,12,FALSE)),0,VLOOKUP($A357,'Mutasi Neraca'!$A$3:$S$910,12,FALSE))</f>
        <v>22569819757</v>
      </c>
      <c r="N357" s="42">
        <f>VLOOKUP($A357,'Neraca Unaudited SIMAK'!$A$2:$R$1272,13,FALSE)+IF(ISNA(VLOOKUP($A357,'Mutasi Neraca'!$A$3:$S$910,13,FALSE)),0,VLOOKUP($A357,'Mutasi Neraca'!$A$3:$S$910,13,FALSE))</f>
        <v>-1491287418</v>
      </c>
      <c r="O357" s="42">
        <f>VLOOKUP($A357,'Neraca Unaudited SIMAK'!$A$2:$R$1272,14,FALSE)+IF(ISNA(VLOOKUP($A357,'Mutasi Neraca'!$A$3:$S$910,14,FALSE)),0,VLOOKUP($A357,'Mutasi Neraca'!$A$3:$S$910,14,FALSE))</f>
        <v>-3468318844</v>
      </c>
      <c r="P357" s="42">
        <f>VLOOKUP($A357,'Neraca Unaudited SIMAK'!$A$2:$R$1272,15,FALSE)+IF(ISNA(VLOOKUP($A357,'Mutasi Neraca'!$A$3:$S$910,15,FALSE)),0,VLOOKUP($A357,'Mutasi Neraca'!$A$3:$S$910,15,FALSE))</f>
        <v>0</v>
      </c>
      <c r="Q357" s="42">
        <f>VLOOKUP($A357,'Neraca Unaudited SIMAK'!$A$2:$R$1272,16,FALSE)+IF(ISNA(VLOOKUP($A357,'Mutasi Neraca'!$A$3:$S$910,16,FALSE)),0,VLOOKUP($A357,'Mutasi Neraca'!$A$3:$S$910,16,FALSE))</f>
        <v>0</v>
      </c>
      <c r="R357" s="42">
        <f>VLOOKUP($A357,'Neraca Unaudited SIMAK'!$A$2:$R$1272,17,FALSE)+IF(ISNA(VLOOKUP($A357,'Mutasi Neraca'!$A$3:$S$910,17,FALSE)),0,VLOOKUP($A357,'Mutasi Neraca'!$A$3:$S$910,17,FALSE))</f>
        <v>0</v>
      </c>
      <c r="S357" s="42">
        <f t="shared" si="53"/>
        <v>17610213495</v>
      </c>
    </row>
    <row r="358" spans="1:19">
      <c r="A358" s="41" t="s">
        <v>365</v>
      </c>
      <c r="B358" s="41" t="str">
        <f t="shared" si="52"/>
        <v>005010800</v>
      </c>
      <c r="D358" s="42">
        <f>VLOOKUP($A358,'Neraca Unaudited SIMAK'!$A$2:$R$1272,3,FALSE)+IF(ISNA(VLOOKUP($A358,'Mutasi Neraca'!$A$3:$S$910,3,FALSE)),0,VLOOKUP($A358,'Mutasi Neraca'!$A$3:$S$910,3,FALSE))</f>
        <v>1195000</v>
      </c>
      <c r="E358" s="42">
        <f>VLOOKUP($A358,'Neraca Unaudited SIMAK'!$A$2:$R$1272,4,FALSE)+IF(ISNA(VLOOKUP($A358,'Mutasi Neraca'!$A$3:$S$910,4,FALSE)),0,VLOOKUP($A358,'Mutasi Neraca'!$A$3:$S$910,4,FALSE))</f>
        <v>1295085000</v>
      </c>
      <c r="F358" s="42">
        <f>VLOOKUP($A358,'Neraca Unaudited SIMAK'!$A$2:$R$1272,5,FALSE)+IF(ISNA(VLOOKUP($A358,'Mutasi Neraca'!$A$3:$S$910,5,FALSE)),0,VLOOKUP($A358,'Mutasi Neraca'!$A$3:$S$910,5,FALSE))</f>
        <v>2468227660</v>
      </c>
      <c r="G358" s="42">
        <f>VLOOKUP($A358,'Neraca Unaudited SIMAK'!$A$2:$R$1272,6,FALSE)+IF(ISNA(VLOOKUP($A358,'Mutasi Neraca'!$A$3:$S$910,6,FALSE)),0,VLOOKUP($A358,'Mutasi Neraca'!$A$3:$S$910,6,FALSE))</f>
        <v>6751122214</v>
      </c>
      <c r="H358" s="42">
        <f>VLOOKUP($A358,'Neraca Unaudited SIMAK'!$A$2:$R$1272,7,FALSE)+IF(ISNA(VLOOKUP($A358,'Mutasi Neraca'!$A$3:$S$910,7,FALSE)),0,VLOOKUP($A358,'Mutasi Neraca'!$A$3:$S$910,7,FALSE))</f>
        <v>0</v>
      </c>
      <c r="I358" s="42">
        <f>VLOOKUP($A358,'Neraca Unaudited SIMAK'!$A$2:$R$1272,8,FALSE)+IF(ISNA(VLOOKUP($A358,'Mutasi Neraca'!$A$3:$S$910,8,FALSE)),0,VLOOKUP($A358,'Mutasi Neraca'!$A$3:$S$910,8,FALSE))</f>
        <v>2760800</v>
      </c>
      <c r="J358" s="42">
        <f>VLOOKUP($A358,'Neraca Unaudited SIMAK'!$A$2:$R$1272,9,FALSE)+IF(ISNA(VLOOKUP($A358,'Mutasi Neraca'!$A$3:$S$910,9,FALSE)),0,VLOOKUP($A358,'Mutasi Neraca'!$A$3:$S$910,9,FALSE))</f>
        <v>0</v>
      </c>
      <c r="K358" s="42">
        <f>VLOOKUP($A358,'Neraca Unaudited SIMAK'!$A$2:$R$1272,10,FALSE)+IF(ISNA(VLOOKUP($A358,'Mutasi Neraca'!$A$3:$S$910,10,FALSE)),0,VLOOKUP($A358,'Mutasi Neraca'!$A$3:$S$910,10,FALSE))</f>
        <v>119490000</v>
      </c>
      <c r="L358" s="42">
        <f>VLOOKUP($A358,'Neraca Unaudited SIMAK'!$A$2:$R$1272,11,FALSE)+IF(ISNA(VLOOKUP($A358,'Mutasi Neraca'!$A$3:$S$910,11,FALSE)),0,VLOOKUP($A358,'Mutasi Neraca'!$A$3:$S$910,11,FALSE))</f>
        <v>0</v>
      </c>
      <c r="M358" s="42">
        <f>VLOOKUP($A358,'Neraca Unaudited SIMAK'!$A$2:$R$1272,12,FALSE)+IF(ISNA(VLOOKUP($A358,'Mutasi Neraca'!$A$3:$S$910,12,FALSE)),0,VLOOKUP($A358,'Mutasi Neraca'!$A$3:$S$910,12,FALSE))</f>
        <v>10637880674</v>
      </c>
      <c r="N358" s="42">
        <f>VLOOKUP($A358,'Neraca Unaudited SIMAK'!$A$2:$R$1272,13,FALSE)+IF(ISNA(VLOOKUP($A358,'Mutasi Neraca'!$A$3:$S$910,13,FALSE)),0,VLOOKUP($A358,'Mutasi Neraca'!$A$3:$S$910,13,FALSE))</f>
        <v>-2145228393</v>
      </c>
      <c r="O358" s="42">
        <f>VLOOKUP($A358,'Neraca Unaudited SIMAK'!$A$2:$R$1272,14,FALSE)+IF(ISNA(VLOOKUP($A358,'Mutasi Neraca'!$A$3:$S$910,14,FALSE)),0,VLOOKUP($A358,'Mutasi Neraca'!$A$3:$S$910,14,FALSE))</f>
        <v>-860911491</v>
      </c>
      <c r="P358" s="42">
        <f>VLOOKUP($A358,'Neraca Unaudited SIMAK'!$A$2:$R$1272,15,FALSE)+IF(ISNA(VLOOKUP($A358,'Mutasi Neraca'!$A$3:$S$910,15,FALSE)),0,VLOOKUP($A358,'Mutasi Neraca'!$A$3:$S$910,15,FALSE))</f>
        <v>0</v>
      </c>
      <c r="Q358" s="42">
        <f>VLOOKUP($A358,'Neraca Unaudited SIMAK'!$A$2:$R$1272,16,FALSE)+IF(ISNA(VLOOKUP($A358,'Mutasi Neraca'!$A$3:$S$910,16,FALSE)),0,VLOOKUP($A358,'Mutasi Neraca'!$A$3:$S$910,16,FALSE))</f>
        <v>0</v>
      </c>
      <c r="R358" s="42">
        <f>VLOOKUP($A358,'Neraca Unaudited SIMAK'!$A$2:$R$1272,17,FALSE)+IF(ISNA(VLOOKUP($A358,'Mutasi Neraca'!$A$3:$S$910,17,FALSE)),0,VLOOKUP($A358,'Mutasi Neraca'!$A$3:$S$910,17,FALSE))</f>
        <v>0</v>
      </c>
      <c r="S358" s="42">
        <f t="shared" si="53"/>
        <v>7631740790</v>
      </c>
    </row>
    <row r="359" spans="1:19">
      <c r="A359" s="41" t="s">
        <v>366</v>
      </c>
      <c r="B359" s="41" t="str">
        <f t="shared" si="52"/>
        <v>005010900</v>
      </c>
      <c r="D359" s="42">
        <f>VLOOKUP($A359,'Neraca Unaudited SIMAK'!$A$2:$R$1272,3,FALSE)+IF(ISNA(VLOOKUP($A359,'Mutasi Neraca'!$A$3:$S$910,3,FALSE)),0,VLOOKUP($A359,'Mutasi Neraca'!$A$3:$S$910,3,FALSE))</f>
        <v>676000</v>
      </c>
      <c r="E359" s="42">
        <f>VLOOKUP($A359,'Neraca Unaudited SIMAK'!$A$2:$R$1272,4,FALSE)+IF(ISNA(VLOOKUP($A359,'Mutasi Neraca'!$A$3:$S$910,4,FALSE)),0,VLOOKUP($A359,'Mutasi Neraca'!$A$3:$S$910,4,FALSE))</f>
        <v>11780191550</v>
      </c>
      <c r="F359" s="42">
        <f>VLOOKUP($A359,'Neraca Unaudited SIMAK'!$A$2:$R$1272,5,FALSE)+IF(ISNA(VLOOKUP($A359,'Mutasi Neraca'!$A$3:$S$910,5,FALSE)),0,VLOOKUP($A359,'Mutasi Neraca'!$A$3:$S$910,5,FALSE))</f>
        <v>4531311319</v>
      </c>
      <c r="G359" s="42">
        <f>VLOOKUP($A359,'Neraca Unaudited SIMAK'!$A$2:$R$1272,6,FALSE)+IF(ISNA(VLOOKUP($A359,'Mutasi Neraca'!$A$3:$S$910,6,FALSE)),0,VLOOKUP($A359,'Mutasi Neraca'!$A$3:$S$910,6,FALSE))</f>
        <v>4952033686</v>
      </c>
      <c r="H359" s="42">
        <f>VLOOKUP($A359,'Neraca Unaudited SIMAK'!$A$2:$R$1272,7,FALSE)+IF(ISNA(VLOOKUP($A359,'Mutasi Neraca'!$A$3:$S$910,7,FALSE)),0,VLOOKUP($A359,'Mutasi Neraca'!$A$3:$S$910,7,FALSE))</f>
        <v>25960000</v>
      </c>
      <c r="I359" s="42">
        <f>VLOOKUP($A359,'Neraca Unaudited SIMAK'!$A$2:$R$1272,8,FALSE)+IF(ISNA(VLOOKUP($A359,'Mutasi Neraca'!$A$3:$S$910,8,FALSE)),0,VLOOKUP($A359,'Mutasi Neraca'!$A$3:$S$910,8,FALSE))</f>
        <v>1943440</v>
      </c>
      <c r="J359" s="42">
        <f>VLOOKUP($A359,'Neraca Unaudited SIMAK'!$A$2:$R$1272,9,FALSE)+IF(ISNA(VLOOKUP($A359,'Mutasi Neraca'!$A$3:$S$910,9,FALSE)),0,VLOOKUP($A359,'Mutasi Neraca'!$A$3:$S$910,9,FALSE))</f>
        <v>0</v>
      </c>
      <c r="K359" s="42">
        <f>VLOOKUP($A359,'Neraca Unaudited SIMAK'!$A$2:$R$1272,10,FALSE)+IF(ISNA(VLOOKUP($A359,'Mutasi Neraca'!$A$3:$S$910,10,FALSE)),0,VLOOKUP($A359,'Mutasi Neraca'!$A$3:$S$910,10,FALSE))</f>
        <v>0</v>
      </c>
      <c r="L359" s="42">
        <f>VLOOKUP($A359,'Neraca Unaudited SIMAK'!$A$2:$R$1272,11,FALSE)+IF(ISNA(VLOOKUP($A359,'Mutasi Neraca'!$A$3:$S$910,11,FALSE)),0,VLOOKUP($A359,'Mutasi Neraca'!$A$3:$S$910,11,FALSE))</f>
        <v>0</v>
      </c>
      <c r="M359" s="42">
        <f>VLOOKUP($A359,'Neraca Unaudited SIMAK'!$A$2:$R$1272,12,FALSE)+IF(ISNA(VLOOKUP($A359,'Mutasi Neraca'!$A$3:$S$910,12,FALSE)),0,VLOOKUP($A359,'Mutasi Neraca'!$A$3:$S$910,12,FALSE))</f>
        <v>21292115995</v>
      </c>
      <c r="N359" s="42">
        <f>VLOOKUP($A359,'Neraca Unaudited SIMAK'!$A$2:$R$1272,13,FALSE)+IF(ISNA(VLOOKUP($A359,'Mutasi Neraca'!$A$3:$S$910,13,FALSE)),0,VLOOKUP($A359,'Mutasi Neraca'!$A$3:$S$910,13,FALSE))</f>
        <v>-3998864401</v>
      </c>
      <c r="O359" s="42">
        <f>VLOOKUP($A359,'Neraca Unaudited SIMAK'!$A$2:$R$1272,14,FALSE)+IF(ISNA(VLOOKUP($A359,'Mutasi Neraca'!$A$3:$S$910,14,FALSE)),0,VLOOKUP($A359,'Mutasi Neraca'!$A$3:$S$910,14,FALSE))</f>
        <v>-3783220208</v>
      </c>
      <c r="P359" s="42">
        <f>VLOOKUP($A359,'Neraca Unaudited SIMAK'!$A$2:$R$1272,15,FALSE)+IF(ISNA(VLOOKUP($A359,'Mutasi Neraca'!$A$3:$S$910,15,FALSE)),0,VLOOKUP($A359,'Mutasi Neraca'!$A$3:$S$910,15,FALSE))</f>
        <v>-25960000</v>
      </c>
      <c r="Q359" s="42">
        <f>VLOOKUP($A359,'Neraca Unaudited SIMAK'!$A$2:$R$1272,16,FALSE)+IF(ISNA(VLOOKUP($A359,'Mutasi Neraca'!$A$3:$S$910,16,FALSE)),0,VLOOKUP($A359,'Mutasi Neraca'!$A$3:$S$910,16,FALSE))</f>
        <v>0</v>
      </c>
      <c r="R359" s="42">
        <f>VLOOKUP($A359,'Neraca Unaudited SIMAK'!$A$2:$R$1272,17,FALSE)+IF(ISNA(VLOOKUP($A359,'Mutasi Neraca'!$A$3:$S$910,17,FALSE)),0,VLOOKUP($A359,'Mutasi Neraca'!$A$3:$S$910,17,FALSE))</f>
        <v>0</v>
      </c>
      <c r="S359" s="42">
        <f t="shared" si="53"/>
        <v>13484071386</v>
      </c>
    </row>
    <row r="360" spans="1:19">
      <c r="A360" s="41" t="s">
        <v>367</v>
      </c>
      <c r="B360" s="41" t="str">
        <f t="shared" si="52"/>
        <v>005010900</v>
      </c>
      <c r="D360" s="42">
        <f>VLOOKUP($A360,'Neraca Unaudited SIMAK'!$A$2:$R$1272,3,FALSE)+IF(ISNA(VLOOKUP($A360,'Mutasi Neraca'!$A$3:$S$910,3,FALSE)),0,VLOOKUP($A360,'Mutasi Neraca'!$A$3:$S$910,3,FALSE))</f>
        <v>856750</v>
      </c>
      <c r="E360" s="42">
        <f>VLOOKUP($A360,'Neraca Unaudited SIMAK'!$A$2:$R$1272,4,FALSE)+IF(ISNA(VLOOKUP($A360,'Mutasi Neraca'!$A$3:$S$910,4,FALSE)),0,VLOOKUP($A360,'Mutasi Neraca'!$A$3:$S$910,4,FALSE))</f>
        <v>8467982000</v>
      </c>
      <c r="F360" s="42">
        <f>VLOOKUP($A360,'Neraca Unaudited SIMAK'!$A$2:$R$1272,5,FALSE)+IF(ISNA(VLOOKUP($A360,'Mutasi Neraca'!$A$3:$S$910,5,FALSE)),0,VLOOKUP($A360,'Mutasi Neraca'!$A$3:$S$910,5,FALSE))</f>
        <v>1549160217</v>
      </c>
      <c r="G360" s="42">
        <f>VLOOKUP($A360,'Neraca Unaudited SIMAK'!$A$2:$R$1272,6,FALSE)+IF(ISNA(VLOOKUP($A360,'Mutasi Neraca'!$A$3:$S$910,6,FALSE)),0,VLOOKUP($A360,'Mutasi Neraca'!$A$3:$S$910,6,FALSE))</f>
        <v>3530784925</v>
      </c>
      <c r="H360" s="42">
        <f>VLOOKUP($A360,'Neraca Unaudited SIMAK'!$A$2:$R$1272,7,FALSE)+IF(ISNA(VLOOKUP($A360,'Mutasi Neraca'!$A$3:$S$910,7,FALSE)),0,VLOOKUP($A360,'Mutasi Neraca'!$A$3:$S$910,7,FALSE))</f>
        <v>4500000</v>
      </c>
      <c r="I360" s="42">
        <f>VLOOKUP($A360,'Neraca Unaudited SIMAK'!$A$2:$R$1272,8,FALSE)+IF(ISNA(VLOOKUP($A360,'Mutasi Neraca'!$A$3:$S$910,8,FALSE)),0,VLOOKUP($A360,'Mutasi Neraca'!$A$3:$S$910,8,FALSE))</f>
        <v>1943440</v>
      </c>
      <c r="J360" s="42">
        <f>VLOOKUP($A360,'Neraca Unaudited SIMAK'!$A$2:$R$1272,9,FALSE)+IF(ISNA(VLOOKUP($A360,'Mutasi Neraca'!$A$3:$S$910,9,FALSE)),0,VLOOKUP($A360,'Mutasi Neraca'!$A$3:$S$910,9,FALSE))</f>
        <v>0</v>
      </c>
      <c r="K360" s="42">
        <f>VLOOKUP($A360,'Neraca Unaudited SIMAK'!$A$2:$R$1272,10,FALSE)+IF(ISNA(VLOOKUP($A360,'Mutasi Neraca'!$A$3:$S$910,10,FALSE)),0,VLOOKUP($A360,'Mutasi Neraca'!$A$3:$S$910,10,FALSE))</f>
        <v>0</v>
      </c>
      <c r="L360" s="42">
        <f>VLOOKUP($A360,'Neraca Unaudited SIMAK'!$A$2:$R$1272,11,FALSE)+IF(ISNA(VLOOKUP($A360,'Mutasi Neraca'!$A$3:$S$910,11,FALSE)),0,VLOOKUP($A360,'Mutasi Neraca'!$A$3:$S$910,11,FALSE))</f>
        <v>36756067</v>
      </c>
      <c r="M360" s="42">
        <f>VLOOKUP($A360,'Neraca Unaudited SIMAK'!$A$2:$R$1272,12,FALSE)+IF(ISNA(VLOOKUP($A360,'Mutasi Neraca'!$A$3:$S$910,12,FALSE)),0,VLOOKUP($A360,'Mutasi Neraca'!$A$3:$S$910,12,FALSE))</f>
        <v>13591983399</v>
      </c>
      <c r="N360" s="42">
        <f>VLOOKUP($A360,'Neraca Unaudited SIMAK'!$A$2:$R$1272,13,FALSE)+IF(ISNA(VLOOKUP($A360,'Mutasi Neraca'!$A$3:$S$910,13,FALSE)),0,VLOOKUP($A360,'Mutasi Neraca'!$A$3:$S$910,13,FALSE))</f>
        <v>-1451104034</v>
      </c>
      <c r="O360" s="42">
        <f>VLOOKUP($A360,'Neraca Unaudited SIMAK'!$A$2:$R$1272,14,FALSE)+IF(ISNA(VLOOKUP($A360,'Mutasi Neraca'!$A$3:$S$910,14,FALSE)),0,VLOOKUP($A360,'Mutasi Neraca'!$A$3:$S$910,14,FALSE))</f>
        <v>-2003436521</v>
      </c>
      <c r="P360" s="42">
        <f>VLOOKUP($A360,'Neraca Unaudited SIMAK'!$A$2:$R$1272,15,FALSE)+IF(ISNA(VLOOKUP($A360,'Mutasi Neraca'!$A$3:$S$910,15,FALSE)),0,VLOOKUP($A360,'Mutasi Neraca'!$A$3:$S$910,15,FALSE))</f>
        <v>-975000</v>
      </c>
      <c r="Q360" s="42">
        <f>VLOOKUP($A360,'Neraca Unaudited SIMAK'!$A$2:$R$1272,16,FALSE)+IF(ISNA(VLOOKUP($A360,'Mutasi Neraca'!$A$3:$S$910,16,FALSE)),0,VLOOKUP($A360,'Mutasi Neraca'!$A$3:$S$910,16,FALSE))</f>
        <v>0</v>
      </c>
      <c r="R360" s="42">
        <f>VLOOKUP($A360,'Neraca Unaudited SIMAK'!$A$2:$R$1272,17,FALSE)+IF(ISNA(VLOOKUP($A360,'Mutasi Neraca'!$A$3:$S$910,17,FALSE)),0,VLOOKUP($A360,'Mutasi Neraca'!$A$3:$S$910,17,FALSE))</f>
        <v>-36368067</v>
      </c>
      <c r="S360" s="42">
        <f t="shared" si="53"/>
        <v>10100099777</v>
      </c>
    </row>
    <row r="361" spans="1:19">
      <c r="A361" s="41" t="s">
        <v>368</v>
      </c>
      <c r="B361" s="41" t="str">
        <f t="shared" si="52"/>
        <v>005010900</v>
      </c>
      <c r="D361" s="42">
        <f>VLOOKUP($A361,'Neraca Unaudited SIMAK'!$A$2:$R$1272,3,FALSE)+IF(ISNA(VLOOKUP($A361,'Mutasi Neraca'!$A$3:$S$910,3,FALSE)),0,VLOOKUP($A361,'Mutasi Neraca'!$A$3:$S$910,3,FALSE))</f>
        <v>684260</v>
      </c>
      <c r="E361" s="42">
        <f>VLOOKUP($A361,'Neraca Unaudited SIMAK'!$A$2:$R$1272,4,FALSE)+IF(ISNA(VLOOKUP($A361,'Mutasi Neraca'!$A$3:$S$910,4,FALSE)),0,VLOOKUP($A361,'Mutasi Neraca'!$A$3:$S$910,4,FALSE))</f>
        <v>5816261600</v>
      </c>
      <c r="F361" s="42">
        <f>VLOOKUP($A361,'Neraca Unaudited SIMAK'!$A$2:$R$1272,5,FALSE)+IF(ISNA(VLOOKUP($A361,'Mutasi Neraca'!$A$3:$S$910,5,FALSE)),0,VLOOKUP($A361,'Mutasi Neraca'!$A$3:$S$910,5,FALSE))</f>
        <v>1634779389</v>
      </c>
      <c r="G361" s="42">
        <f>VLOOKUP($A361,'Neraca Unaudited SIMAK'!$A$2:$R$1272,6,FALSE)+IF(ISNA(VLOOKUP($A361,'Mutasi Neraca'!$A$3:$S$910,6,FALSE)),0,VLOOKUP($A361,'Mutasi Neraca'!$A$3:$S$910,6,FALSE))</f>
        <v>3423025679</v>
      </c>
      <c r="H361" s="42">
        <f>VLOOKUP($A361,'Neraca Unaudited SIMAK'!$A$2:$R$1272,7,FALSE)+IF(ISNA(VLOOKUP($A361,'Mutasi Neraca'!$A$3:$S$910,7,FALSE)),0,VLOOKUP($A361,'Mutasi Neraca'!$A$3:$S$910,7,FALSE))</f>
        <v>37635000</v>
      </c>
      <c r="I361" s="42">
        <f>VLOOKUP($A361,'Neraca Unaudited SIMAK'!$A$2:$R$1272,8,FALSE)+IF(ISNA(VLOOKUP($A361,'Mutasi Neraca'!$A$3:$S$910,8,FALSE)),0,VLOOKUP($A361,'Mutasi Neraca'!$A$3:$S$910,8,FALSE))</f>
        <v>7542000</v>
      </c>
      <c r="J361" s="42">
        <f>VLOOKUP($A361,'Neraca Unaudited SIMAK'!$A$2:$R$1272,9,FALSE)+IF(ISNA(VLOOKUP($A361,'Mutasi Neraca'!$A$3:$S$910,9,FALSE)),0,VLOOKUP($A361,'Mutasi Neraca'!$A$3:$S$910,9,FALSE))</f>
        <v>0</v>
      </c>
      <c r="K361" s="42">
        <f>VLOOKUP($A361,'Neraca Unaudited SIMAK'!$A$2:$R$1272,10,FALSE)+IF(ISNA(VLOOKUP($A361,'Mutasi Neraca'!$A$3:$S$910,10,FALSE)),0,VLOOKUP($A361,'Mutasi Neraca'!$A$3:$S$910,10,FALSE))</f>
        <v>0</v>
      </c>
      <c r="L361" s="42">
        <f>VLOOKUP($A361,'Neraca Unaudited SIMAK'!$A$2:$R$1272,11,FALSE)+IF(ISNA(VLOOKUP($A361,'Mutasi Neraca'!$A$3:$S$910,11,FALSE)),0,VLOOKUP($A361,'Mutasi Neraca'!$A$3:$S$910,11,FALSE))</f>
        <v>89667120</v>
      </c>
      <c r="M361" s="42">
        <f>VLOOKUP($A361,'Neraca Unaudited SIMAK'!$A$2:$R$1272,12,FALSE)+IF(ISNA(VLOOKUP($A361,'Mutasi Neraca'!$A$3:$S$910,12,FALSE)),0,VLOOKUP($A361,'Mutasi Neraca'!$A$3:$S$910,12,FALSE))</f>
        <v>11009595048</v>
      </c>
      <c r="N361" s="42">
        <f>VLOOKUP($A361,'Neraca Unaudited SIMAK'!$A$2:$R$1272,13,FALSE)+IF(ISNA(VLOOKUP($A361,'Mutasi Neraca'!$A$3:$S$910,13,FALSE)),0,VLOOKUP($A361,'Mutasi Neraca'!$A$3:$S$910,13,FALSE))</f>
        <v>-1369764890</v>
      </c>
      <c r="O361" s="42">
        <f>VLOOKUP($A361,'Neraca Unaudited SIMAK'!$A$2:$R$1272,14,FALSE)+IF(ISNA(VLOOKUP($A361,'Mutasi Neraca'!$A$3:$S$910,14,FALSE)),0,VLOOKUP($A361,'Mutasi Neraca'!$A$3:$S$910,14,FALSE))</f>
        <v>-1570359405</v>
      </c>
      <c r="P361" s="42">
        <f>VLOOKUP($A361,'Neraca Unaudited SIMAK'!$A$2:$R$1272,15,FALSE)+IF(ISNA(VLOOKUP($A361,'Mutasi Neraca'!$A$3:$S$910,15,FALSE)),0,VLOOKUP($A361,'Mutasi Neraca'!$A$3:$S$910,15,FALSE))</f>
        <v>-19567500</v>
      </c>
      <c r="Q361" s="42">
        <f>VLOOKUP($A361,'Neraca Unaudited SIMAK'!$A$2:$R$1272,16,FALSE)+IF(ISNA(VLOOKUP($A361,'Mutasi Neraca'!$A$3:$S$910,16,FALSE)),0,VLOOKUP($A361,'Mutasi Neraca'!$A$3:$S$910,16,FALSE))</f>
        <v>0</v>
      </c>
      <c r="R361" s="42">
        <f>VLOOKUP($A361,'Neraca Unaudited SIMAK'!$A$2:$R$1272,17,FALSE)+IF(ISNA(VLOOKUP($A361,'Mutasi Neraca'!$A$3:$S$910,17,FALSE)),0,VLOOKUP($A361,'Mutasi Neraca'!$A$3:$S$910,17,FALSE))</f>
        <v>-76049994</v>
      </c>
      <c r="S361" s="42">
        <f t="shared" si="53"/>
        <v>7973853259</v>
      </c>
    </row>
    <row r="362" spans="1:19">
      <c r="A362" s="41" t="s">
        <v>369</v>
      </c>
      <c r="B362" s="41" t="str">
        <f t="shared" si="52"/>
        <v>005010900</v>
      </c>
      <c r="D362" s="42">
        <f>VLOOKUP($A362,'Neraca Unaudited SIMAK'!$A$2:$R$1272,3,FALSE)+IF(ISNA(VLOOKUP($A362,'Mutasi Neraca'!$A$3:$S$910,3,FALSE)),0,VLOOKUP($A362,'Mutasi Neraca'!$A$3:$S$910,3,FALSE))</f>
        <v>6746144</v>
      </c>
      <c r="E362" s="42">
        <f>VLOOKUP($A362,'Neraca Unaudited SIMAK'!$A$2:$R$1272,4,FALSE)+IF(ISNA(VLOOKUP($A362,'Mutasi Neraca'!$A$3:$S$910,4,FALSE)),0,VLOOKUP($A362,'Mutasi Neraca'!$A$3:$S$910,4,FALSE))</f>
        <v>4376155000</v>
      </c>
      <c r="F362" s="42">
        <f>VLOOKUP($A362,'Neraca Unaudited SIMAK'!$A$2:$R$1272,5,FALSE)+IF(ISNA(VLOOKUP($A362,'Mutasi Neraca'!$A$3:$S$910,5,FALSE)),0,VLOOKUP($A362,'Mutasi Neraca'!$A$3:$S$910,5,FALSE))</f>
        <v>1695785878</v>
      </c>
      <c r="G362" s="42">
        <f>VLOOKUP($A362,'Neraca Unaudited SIMAK'!$A$2:$R$1272,6,FALSE)+IF(ISNA(VLOOKUP($A362,'Mutasi Neraca'!$A$3:$S$910,6,FALSE)),0,VLOOKUP($A362,'Mutasi Neraca'!$A$3:$S$910,6,FALSE))</f>
        <v>2655224112</v>
      </c>
      <c r="H362" s="42">
        <f>VLOOKUP($A362,'Neraca Unaudited SIMAK'!$A$2:$R$1272,7,FALSE)+IF(ISNA(VLOOKUP($A362,'Mutasi Neraca'!$A$3:$S$910,7,FALSE)),0,VLOOKUP($A362,'Mutasi Neraca'!$A$3:$S$910,7,FALSE))</f>
        <v>95127000</v>
      </c>
      <c r="I362" s="42">
        <f>VLOOKUP($A362,'Neraca Unaudited SIMAK'!$A$2:$R$1272,8,FALSE)+IF(ISNA(VLOOKUP($A362,'Mutasi Neraca'!$A$3:$S$910,8,FALSE)),0,VLOOKUP($A362,'Mutasi Neraca'!$A$3:$S$910,8,FALSE))</f>
        <v>1943440</v>
      </c>
      <c r="J362" s="42">
        <f>VLOOKUP($A362,'Neraca Unaudited SIMAK'!$A$2:$R$1272,9,FALSE)+IF(ISNA(VLOOKUP($A362,'Mutasi Neraca'!$A$3:$S$910,9,FALSE)),0,VLOOKUP($A362,'Mutasi Neraca'!$A$3:$S$910,9,FALSE))</f>
        <v>0</v>
      </c>
      <c r="K362" s="42">
        <f>VLOOKUP($A362,'Neraca Unaudited SIMAK'!$A$2:$R$1272,10,FALSE)+IF(ISNA(VLOOKUP($A362,'Mutasi Neraca'!$A$3:$S$910,10,FALSE)),0,VLOOKUP($A362,'Mutasi Neraca'!$A$3:$S$910,10,FALSE))</f>
        <v>4945357</v>
      </c>
      <c r="L362" s="42">
        <f>VLOOKUP($A362,'Neraca Unaudited SIMAK'!$A$2:$R$1272,11,FALSE)+IF(ISNA(VLOOKUP($A362,'Mutasi Neraca'!$A$3:$S$910,11,FALSE)),0,VLOOKUP($A362,'Mutasi Neraca'!$A$3:$S$910,11,FALSE))</f>
        <v>1398000</v>
      </c>
      <c r="M362" s="42">
        <f>VLOOKUP($A362,'Neraca Unaudited SIMAK'!$A$2:$R$1272,12,FALSE)+IF(ISNA(VLOOKUP($A362,'Mutasi Neraca'!$A$3:$S$910,12,FALSE)),0,VLOOKUP($A362,'Mutasi Neraca'!$A$3:$S$910,12,FALSE))</f>
        <v>8837324931</v>
      </c>
      <c r="N362" s="42">
        <f>VLOOKUP($A362,'Neraca Unaudited SIMAK'!$A$2:$R$1272,13,FALSE)+IF(ISNA(VLOOKUP($A362,'Mutasi Neraca'!$A$3:$S$910,13,FALSE)),0,VLOOKUP($A362,'Mutasi Neraca'!$A$3:$S$910,13,FALSE))</f>
        <v>-1321345501</v>
      </c>
      <c r="O362" s="42">
        <f>VLOOKUP($A362,'Neraca Unaudited SIMAK'!$A$2:$R$1272,14,FALSE)+IF(ISNA(VLOOKUP($A362,'Mutasi Neraca'!$A$3:$S$910,14,FALSE)),0,VLOOKUP($A362,'Mutasi Neraca'!$A$3:$S$910,14,FALSE))</f>
        <v>-890569664</v>
      </c>
      <c r="P362" s="42">
        <f>VLOOKUP($A362,'Neraca Unaudited SIMAK'!$A$2:$R$1272,15,FALSE)+IF(ISNA(VLOOKUP($A362,'Mutasi Neraca'!$A$3:$S$910,15,FALSE)),0,VLOOKUP($A362,'Mutasi Neraca'!$A$3:$S$910,15,FALSE))</f>
        <v>-15458138</v>
      </c>
      <c r="Q362" s="42">
        <f>VLOOKUP($A362,'Neraca Unaudited SIMAK'!$A$2:$R$1272,16,FALSE)+IF(ISNA(VLOOKUP($A362,'Mutasi Neraca'!$A$3:$S$910,16,FALSE)),0,VLOOKUP($A362,'Mutasi Neraca'!$A$3:$S$910,16,FALSE))</f>
        <v>0</v>
      </c>
      <c r="R362" s="42">
        <f>VLOOKUP($A362,'Neraca Unaudited SIMAK'!$A$2:$R$1272,17,FALSE)+IF(ISNA(VLOOKUP($A362,'Mutasi Neraca'!$A$3:$S$910,17,FALSE)),0,VLOOKUP($A362,'Mutasi Neraca'!$A$3:$S$910,17,FALSE))</f>
        <v>-1398000</v>
      </c>
      <c r="S362" s="42">
        <f t="shared" si="53"/>
        <v>6608553628</v>
      </c>
    </row>
    <row r="363" spans="1:19">
      <c r="A363" s="41" t="s">
        <v>370</v>
      </c>
      <c r="B363" s="41" t="str">
        <f t="shared" si="52"/>
        <v>005010900</v>
      </c>
      <c r="D363" s="42">
        <f>VLOOKUP($A363,'Neraca Unaudited SIMAK'!$A$2:$R$1272,3,FALSE)+IF(ISNA(VLOOKUP($A363,'Mutasi Neraca'!$A$3:$S$910,3,FALSE)),0,VLOOKUP($A363,'Mutasi Neraca'!$A$3:$S$910,3,FALSE))</f>
        <v>8510000</v>
      </c>
      <c r="E363" s="42">
        <f>VLOOKUP($A363,'Neraca Unaudited SIMAK'!$A$2:$R$1272,4,FALSE)+IF(ISNA(VLOOKUP($A363,'Mutasi Neraca'!$A$3:$S$910,4,FALSE)),0,VLOOKUP($A363,'Mutasi Neraca'!$A$3:$S$910,4,FALSE))</f>
        <v>2678300000</v>
      </c>
      <c r="F363" s="42">
        <f>VLOOKUP($A363,'Neraca Unaudited SIMAK'!$A$2:$R$1272,5,FALSE)+IF(ISNA(VLOOKUP($A363,'Mutasi Neraca'!$A$3:$S$910,5,FALSE)),0,VLOOKUP($A363,'Mutasi Neraca'!$A$3:$S$910,5,FALSE))</f>
        <v>1944612465</v>
      </c>
      <c r="G363" s="42">
        <f>VLOOKUP($A363,'Neraca Unaudited SIMAK'!$A$2:$R$1272,6,FALSE)+IF(ISNA(VLOOKUP($A363,'Mutasi Neraca'!$A$3:$S$910,6,FALSE)),0,VLOOKUP($A363,'Mutasi Neraca'!$A$3:$S$910,6,FALSE))</f>
        <v>5148735800</v>
      </c>
      <c r="H363" s="42">
        <f>VLOOKUP($A363,'Neraca Unaudited SIMAK'!$A$2:$R$1272,7,FALSE)+IF(ISNA(VLOOKUP($A363,'Mutasi Neraca'!$A$3:$S$910,7,FALSE)),0,VLOOKUP($A363,'Mutasi Neraca'!$A$3:$S$910,7,FALSE))</f>
        <v>0</v>
      </c>
      <c r="I363" s="42">
        <f>VLOOKUP($A363,'Neraca Unaudited SIMAK'!$A$2:$R$1272,8,FALSE)+IF(ISNA(VLOOKUP($A363,'Mutasi Neraca'!$A$3:$S$910,8,FALSE)),0,VLOOKUP($A363,'Mutasi Neraca'!$A$3:$S$910,8,FALSE))</f>
        <v>84477440</v>
      </c>
      <c r="J363" s="42">
        <f>VLOOKUP($A363,'Neraca Unaudited SIMAK'!$A$2:$R$1272,9,FALSE)+IF(ISNA(VLOOKUP($A363,'Mutasi Neraca'!$A$3:$S$910,9,FALSE)),0,VLOOKUP($A363,'Mutasi Neraca'!$A$3:$S$910,9,FALSE))</f>
        <v>0</v>
      </c>
      <c r="K363" s="42">
        <f>VLOOKUP($A363,'Neraca Unaudited SIMAK'!$A$2:$R$1272,10,FALSE)+IF(ISNA(VLOOKUP($A363,'Mutasi Neraca'!$A$3:$S$910,10,FALSE)),0,VLOOKUP($A363,'Mutasi Neraca'!$A$3:$S$910,10,FALSE))</f>
        <v>29480000</v>
      </c>
      <c r="L363" s="42">
        <f>VLOOKUP($A363,'Neraca Unaudited SIMAK'!$A$2:$R$1272,11,FALSE)+IF(ISNA(VLOOKUP($A363,'Mutasi Neraca'!$A$3:$S$910,11,FALSE)),0,VLOOKUP($A363,'Mutasi Neraca'!$A$3:$S$910,11,FALSE))</f>
        <v>0</v>
      </c>
      <c r="M363" s="42">
        <f>VLOOKUP($A363,'Neraca Unaudited SIMAK'!$A$2:$R$1272,12,FALSE)+IF(ISNA(VLOOKUP($A363,'Mutasi Neraca'!$A$3:$S$910,12,FALSE)),0,VLOOKUP($A363,'Mutasi Neraca'!$A$3:$S$910,12,FALSE))</f>
        <v>9894115705</v>
      </c>
      <c r="N363" s="42">
        <f>VLOOKUP($A363,'Neraca Unaudited SIMAK'!$A$2:$R$1272,13,FALSE)+IF(ISNA(VLOOKUP($A363,'Mutasi Neraca'!$A$3:$S$910,13,FALSE)),0,VLOOKUP($A363,'Mutasi Neraca'!$A$3:$S$910,13,FALSE))</f>
        <v>-1541863212</v>
      </c>
      <c r="O363" s="42">
        <f>VLOOKUP($A363,'Neraca Unaudited SIMAK'!$A$2:$R$1272,14,FALSE)+IF(ISNA(VLOOKUP($A363,'Mutasi Neraca'!$A$3:$S$910,14,FALSE)),0,VLOOKUP($A363,'Mutasi Neraca'!$A$3:$S$910,14,FALSE))</f>
        <v>-2060237306</v>
      </c>
      <c r="P363" s="42">
        <f>VLOOKUP($A363,'Neraca Unaudited SIMAK'!$A$2:$R$1272,15,FALSE)+IF(ISNA(VLOOKUP($A363,'Mutasi Neraca'!$A$3:$S$910,15,FALSE)),0,VLOOKUP($A363,'Mutasi Neraca'!$A$3:$S$910,15,FALSE))</f>
        <v>0</v>
      </c>
      <c r="Q363" s="42">
        <f>VLOOKUP($A363,'Neraca Unaudited SIMAK'!$A$2:$R$1272,16,FALSE)+IF(ISNA(VLOOKUP($A363,'Mutasi Neraca'!$A$3:$S$910,16,FALSE)),0,VLOOKUP($A363,'Mutasi Neraca'!$A$3:$S$910,16,FALSE))</f>
        <v>0</v>
      </c>
      <c r="R363" s="42">
        <f>VLOOKUP($A363,'Neraca Unaudited SIMAK'!$A$2:$R$1272,17,FALSE)+IF(ISNA(VLOOKUP($A363,'Mutasi Neraca'!$A$3:$S$910,17,FALSE)),0,VLOOKUP($A363,'Mutasi Neraca'!$A$3:$S$910,17,FALSE))</f>
        <v>0</v>
      </c>
      <c r="S363" s="42">
        <f t="shared" si="53"/>
        <v>6292015187</v>
      </c>
    </row>
    <row r="364" spans="1:19">
      <c r="A364" s="41" t="s">
        <v>371</v>
      </c>
      <c r="B364" s="41" t="str">
        <f t="shared" si="52"/>
        <v>005010900</v>
      </c>
      <c r="D364" s="42">
        <f>VLOOKUP($A364,'Neraca Unaudited SIMAK'!$A$2:$R$1272,3,FALSE)+IF(ISNA(VLOOKUP($A364,'Mutasi Neraca'!$A$3:$S$910,3,FALSE)),0,VLOOKUP($A364,'Mutasi Neraca'!$A$3:$S$910,3,FALSE))</f>
        <v>795000</v>
      </c>
      <c r="E364" s="42">
        <f>VLOOKUP($A364,'Neraca Unaudited SIMAK'!$A$2:$R$1272,4,FALSE)+IF(ISNA(VLOOKUP($A364,'Mutasi Neraca'!$A$3:$S$910,4,FALSE)),0,VLOOKUP($A364,'Mutasi Neraca'!$A$3:$S$910,4,FALSE))</f>
        <v>8747642000</v>
      </c>
      <c r="F364" s="42">
        <f>VLOOKUP($A364,'Neraca Unaudited SIMAK'!$A$2:$R$1272,5,FALSE)+IF(ISNA(VLOOKUP($A364,'Mutasi Neraca'!$A$3:$S$910,5,FALSE)),0,VLOOKUP($A364,'Mutasi Neraca'!$A$3:$S$910,5,FALSE))</f>
        <v>1103780828</v>
      </c>
      <c r="G364" s="42">
        <f>VLOOKUP($A364,'Neraca Unaudited SIMAK'!$A$2:$R$1272,6,FALSE)+IF(ISNA(VLOOKUP($A364,'Mutasi Neraca'!$A$3:$S$910,6,FALSE)),0,VLOOKUP($A364,'Mutasi Neraca'!$A$3:$S$910,6,FALSE))</f>
        <v>1188612000</v>
      </c>
      <c r="H364" s="42">
        <f>VLOOKUP($A364,'Neraca Unaudited SIMAK'!$A$2:$R$1272,7,FALSE)+IF(ISNA(VLOOKUP($A364,'Mutasi Neraca'!$A$3:$S$910,7,FALSE)),0,VLOOKUP($A364,'Mutasi Neraca'!$A$3:$S$910,7,FALSE))</f>
        <v>0</v>
      </c>
      <c r="I364" s="42">
        <f>VLOOKUP($A364,'Neraca Unaudited SIMAK'!$A$2:$R$1272,8,FALSE)+IF(ISNA(VLOOKUP($A364,'Mutasi Neraca'!$A$3:$S$910,8,FALSE)),0,VLOOKUP($A364,'Mutasi Neraca'!$A$3:$S$910,8,FALSE))</f>
        <v>15453440</v>
      </c>
      <c r="J364" s="42">
        <f>VLOOKUP($A364,'Neraca Unaudited SIMAK'!$A$2:$R$1272,9,FALSE)+IF(ISNA(VLOOKUP($A364,'Mutasi Neraca'!$A$3:$S$910,9,FALSE)),0,VLOOKUP($A364,'Mutasi Neraca'!$A$3:$S$910,9,FALSE))</f>
        <v>0</v>
      </c>
      <c r="K364" s="42">
        <f>VLOOKUP($A364,'Neraca Unaudited SIMAK'!$A$2:$R$1272,10,FALSE)+IF(ISNA(VLOOKUP($A364,'Mutasi Neraca'!$A$3:$S$910,10,FALSE)),0,VLOOKUP($A364,'Mutasi Neraca'!$A$3:$S$910,10,FALSE))</f>
        <v>0</v>
      </c>
      <c r="L364" s="42">
        <f>VLOOKUP($A364,'Neraca Unaudited SIMAK'!$A$2:$R$1272,11,FALSE)+IF(ISNA(VLOOKUP($A364,'Mutasi Neraca'!$A$3:$S$910,11,FALSE)),0,VLOOKUP($A364,'Mutasi Neraca'!$A$3:$S$910,11,FALSE))</f>
        <v>0</v>
      </c>
      <c r="M364" s="42">
        <f>VLOOKUP($A364,'Neraca Unaudited SIMAK'!$A$2:$R$1272,12,FALSE)+IF(ISNA(VLOOKUP($A364,'Mutasi Neraca'!$A$3:$S$910,12,FALSE)),0,VLOOKUP($A364,'Mutasi Neraca'!$A$3:$S$910,12,FALSE))</f>
        <v>11056283268</v>
      </c>
      <c r="N364" s="42">
        <f>VLOOKUP($A364,'Neraca Unaudited SIMAK'!$A$2:$R$1272,13,FALSE)+IF(ISNA(VLOOKUP($A364,'Mutasi Neraca'!$A$3:$S$910,13,FALSE)),0,VLOOKUP($A364,'Mutasi Neraca'!$A$3:$S$910,13,FALSE))</f>
        <v>-1024748578</v>
      </c>
      <c r="O364" s="42">
        <f>VLOOKUP($A364,'Neraca Unaudited SIMAK'!$A$2:$R$1272,14,FALSE)+IF(ISNA(VLOOKUP($A364,'Mutasi Neraca'!$A$3:$S$910,14,FALSE)),0,VLOOKUP($A364,'Mutasi Neraca'!$A$3:$S$910,14,FALSE))</f>
        <v>-567954940</v>
      </c>
      <c r="P364" s="42">
        <f>VLOOKUP($A364,'Neraca Unaudited SIMAK'!$A$2:$R$1272,15,FALSE)+IF(ISNA(VLOOKUP($A364,'Mutasi Neraca'!$A$3:$S$910,15,FALSE)),0,VLOOKUP($A364,'Mutasi Neraca'!$A$3:$S$910,15,FALSE))</f>
        <v>0</v>
      </c>
      <c r="Q364" s="42">
        <f>VLOOKUP($A364,'Neraca Unaudited SIMAK'!$A$2:$R$1272,16,FALSE)+IF(ISNA(VLOOKUP($A364,'Mutasi Neraca'!$A$3:$S$910,16,FALSE)),0,VLOOKUP($A364,'Mutasi Neraca'!$A$3:$S$910,16,FALSE))</f>
        <v>0</v>
      </c>
      <c r="R364" s="42">
        <f>VLOOKUP($A364,'Neraca Unaudited SIMAK'!$A$2:$R$1272,17,FALSE)+IF(ISNA(VLOOKUP($A364,'Mutasi Neraca'!$A$3:$S$910,17,FALSE)),0,VLOOKUP($A364,'Mutasi Neraca'!$A$3:$S$910,17,FALSE))</f>
        <v>0</v>
      </c>
      <c r="S364" s="42">
        <f t="shared" si="53"/>
        <v>9463579750</v>
      </c>
    </row>
    <row r="365" spans="1:19">
      <c r="A365" s="41" t="s">
        <v>372</v>
      </c>
      <c r="B365" s="41" t="str">
        <f t="shared" si="52"/>
        <v>005010900</v>
      </c>
      <c r="D365" s="42">
        <f>VLOOKUP($A365,'Neraca Unaudited SIMAK'!$A$2:$R$1272,3,FALSE)+IF(ISNA(VLOOKUP($A365,'Mutasi Neraca'!$A$3:$S$910,3,FALSE)),0,VLOOKUP($A365,'Mutasi Neraca'!$A$3:$S$910,3,FALSE))</f>
        <v>26346300</v>
      </c>
      <c r="E365" s="42">
        <f>VLOOKUP($A365,'Neraca Unaudited SIMAK'!$A$2:$R$1272,4,FALSE)+IF(ISNA(VLOOKUP($A365,'Mutasi Neraca'!$A$3:$S$910,4,FALSE)),0,VLOOKUP($A365,'Mutasi Neraca'!$A$3:$S$910,4,FALSE))</f>
        <v>26454075000</v>
      </c>
      <c r="F365" s="42">
        <f>VLOOKUP($A365,'Neraca Unaudited SIMAK'!$A$2:$R$1272,5,FALSE)+IF(ISNA(VLOOKUP($A365,'Mutasi Neraca'!$A$3:$S$910,5,FALSE)),0,VLOOKUP($A365,'Mutasi Neraca'!$A$3:$S$910,5,FALSE))</f>
        <v>3519761246</v>
      </c>
      <c r="G365" s="42">
        <f>VLOOKUP($A365,'Neraca Unaudited SIMAK'!$A$2:$R$1272,6,FALSE)+IF(ISNA(VLOOKUP($A365,'Mutasi Neraca'!$A$3:$S$910,6,FALSE)),0,VLOOKUP($A365,'Mutasi Neraca'!$A$3:$S$910,6,FALSE))</f>
        <v>9783920781</v>
      </c>
      <c r="H365" s="42">
        <f>VLOOKUP($A365,'Neraca Unaudited SIMAK'!$A$2:$R$1272,7,FALSE)+IF(ISNA(VLOOKUP($A365,'Mutasi Neraca'!$A$3:$S$910,7,FALSE)),0,VLOOKUP($A365,'Mutasi Neraca'!$A$3:$S$910,7,FALSE))</f>
        <v>0</v>
      </c>
      <c r="I365" s="42">
        <f>VLOOKUP($A365,'Neraca Unaudited SIMAK'!$A$2:$R$1272,8,FALSE)+IF(ISNA(VLOOKUP($A365,'Mutasi Neraca'!$A$3:$S$910,8,FALSE)),0,VLOOKUP($A365,'Mutasi Neraca'!$A$3:$S$910,8,FALSE))</f>
        <v>16943440</v>
      </c>
      <c r="J365" s="42">
        <f>VLOOKUP($A365,'Neraca Unaudited SIMAK'!$A$2:$R$1272,9,FALSE)+IF(ISNA(VLOOKUP($A365,'Mutasi Neraca'!$A$3:$S$910,9,FALSE)),0,VLOOKUP($A365,'Mutasi Neraca'!$A$3:$S$910,9,FALSE))</f>
        <v>0</v>
      </c>
      <c r="K365" s="42">
        <f>VLOOKUP($A365,'Neraca Unaudited SIMAK'!$A$2:$R$1272,10,FALSE)+IF(ISNA(VLOOKUP($A365,'Mutasi Neraca'!$A$3:$S$910,10,FALSE)),0,VLOOKUP($A365,'Mutasi Neraca'!$A$3:$S$910,10,FALSE))</f>
        <v>106612000</v>
      </c>
      <c r="L365" s="42">
        <f>VLOOKUP($A365,'Neraca Unaudited SIMAK'!$A$2:$R$1272,11,FALSE)+IF(ISNA(VLOOKUP($A365,'Mutasi Neraca'!$A$3:$S$910,11,FALSE)),0,VLOOKUP($A365,'Mutasi Neraca'!$A$3:$S$910,11,FALSE))</f>
        <v>0</v>
      </c>
      <c r="M365" s="42">
        <f>VLOOKUP($A365,'Neraca Unaudited SIMAK'!$A$2:$R$1272,12,FALSE)+IF(ISNA(VLOOKUP($A365,'Mutasi Neraca'!$A$3:$S$910,12,FALSE)),0,VLOOKUP($A365,'Mutasi Neraca'!$A$3:$S$910,12,FALSE))</f>
        <v>39907658767</v>
      </c>
      <c r="N365" s="42">
        <f>VLOOKUP($A365,'Neraca Unaudited SIMAK'!$A$2:$R$1272,13,FALSE)+IF(ISNA(VLOOKUP($A365,'Mutasi Neraca'!$A$3:$S$910,13,FALSE)),0,VLOOKUP($A365,'Mutasi Neraca'!$A$3:$S$910,13,FALSE))</f>
        <v>-2906610843</v>
      </c>
      <c r="O365" s="42">
        <f>VLOOKUP($A365,'Neraca Unaudited SIMAK'!$A$2:$R$1272,14,FALSE)+IF(ISNA(VLOOKUP($A365,'Mutasi Neraca'!$A$3:$S$910,14,FALSE)),0,VLOOKUP($A365,'Mutasi Neraca'!$A$3:$S$910,14,FALSE))</f>
        <v>-5466489177</v>
      </c>
      <c r="P365" s="42">
        <f>VLOOKUP($A365,'Neraca Unaudited SIMAK'!$A$2:$R$1272,15,FALSE)+IF(ISNA(VLOOKUP($A365,'Mutasi Neraca'!$A$3:$S$910,15,FALSE)),0,VLOOKUP($A365,'Mutasi Neraca'!$A$3:$S$910,15,FALSE))</f>
        <v>0</v>
      </c>
      <c r="Q365" s="42">
        <f>VLOOKUP($A365,'Neraca Unaudited SIMAK'!$A$2:$R$1272,16,FALSE)+IF(ISNA(VLOOKUP($A365,'Mutasi Neraca'!$A$3:$S$910,16,FALSE)),0,VLOOKUP($A365,'Mutasi Neraca'!$A$3:$S$910,16,FALSE))</f>
        <v>-15000000</v>
      </c>
      <c r="R365" s="42">
        <f>VLOOKUP($A365,'Neraca Unaudited SIMAK'!$A$2:$R$1272,17,FALSE)+IF(ISNA(VLOOKUP($A365,'Mutasi Neraca'!$A$3:$S$910,17,FALSE)),0,VLOOKUP($A365,'Mutasi Neraca'!$A$3:$S$910,17,FALSE))</f>
        <v>0</v>
      </c>
      <c r="S365" s="42">
        <f t="shared" si="53"/>
        <v>31519558747</v>
      </c>
    </row>
    <row r="366" spans="1:19">
      <c r="A366" s="41" t="s">
        <v>373</v>
      </c>
      <c r="B366" s="41" t="str">
        <f t="shared" si="52"/>
        <v>005010900</v>
      </c>
      <c r="D366" s="42">
        <f>VLOOKUP($A366,'Neraca Unaudited SIMAK'!$A$2:$R$1272,3,FALSE)+IF(ISNA(VLOOKUP($A366,'Mutasi Neraca'!$A$3:$S$910,3,FALSE)),0,VLOOKUP($A366,'Mutasi Neraca'!$A$3:$S$910,3,FALSE))</f>
        <v>3151813</v>
      </c>
      <c r="E366" s="42">
        <f>VLOOKUP($A366,'Neraca Unaudited SIMAK'!$A$2:$R$1272,4,FALSE)+IF(ISNA(VLOOKUP($A366,'Mutasi Neraca'!$A$3:$S$910,4,FALSE)),0,VLOOKUP($A366,'Mutasi Neraca'!$A$3:$S$910,4,FALSE))</f>
        <v>4151352380</v>
      </c>
      <c r="F366" s="42">
        <f>VLOOKUP($A366,'Neraca Unaudited SIMAK'!$A$2:$R$1272,5,FALSE)+IF(ISNA(VLOOKUP($A366,'Mutasi Neraca'!$A$3:$S$910,5,FALSE)),0,VLOOKUP($A366,'Mutasi Neraca'!$A$3:$S$910,5,FALSE))</f>
        <v>1913825078</v>
      </c>
      <c r="G366" s="42">
        <f>VLOOKUP($A366,'Neraca Unaudited SIMAK'!$A$2:$R$1272,6,FALSE)+IF(ISNA(VLOOKUP($A366,'Mutasi Neraca'!$A$3:$S$910,6,FALSE)),0,VLOOKUP($A366,'Mutasi Neraca'!$A$3:$S$910,6,FALSE))</f>
        <v>9469091400</v>
      </c>
      <c r="H366" s="42">
        <f>VLOOKUP($A366,'Neraca Unaudited SIMAK'!$A$2:$R$1272,7,FALSE)+IF(ISNA(VLOOKUP($A366,'Mutasi Neraca'!$A$3:$S$910,7,FALSE)),0,VLOOKUP($A366,'Mutasi Neraca'!$A$3:$S$910,7,FALSE))</f>
        <v>89348200</v>
      </c>
      <c r="I366" s="42">
        <f>VLOOKUP($A366,'Neraca Unaudited SIMAK'!$A$2:$R$1272,8,FALSE)+IF(ISNA(VLOOKUP($A366,'Mutasi Neraca'!$A$3:$S$910,8,FALSE)),0,VLOOKUP($A366,'Mutasi Neraca'!$A$3:$S$910,8,FALSE))</f>
        <v>846000</v>
      </c>
      <c r="J366" s="42">
        <f>VLOOKUP($A366,'Neraca Unaudited SIMAK'!$A$2:$R$1272,9,FALSE)+IF(ISNA(VLOOKUP($A366,'Mutasi Neraca'!$A$3:$S$910,9,FALSE)),0,VLOOKUP($A366,'Mutasi Neraca'!$A$3:$S$910,9,FALSE))</f>
        <v>800000000</v>
      </c>
      <c r="K366" s="42">
        <f>VLOOKUP($A366,'Neraca Unaudited SIMAK'!$A$2:$R$1272,10,FALSE)+IF(ISNA(VLOOKUP($A366,'Mutasi Neraca'!$A$3:$S$910,10,FALSE)),0,VLOOKUP($A366,'Mutasi Neraca'!$A$3:$S$910,10,FALSE))</f>
        <v>3967150</v>
      </c>
      <c r="L366" s="42">
        <f>VLOOKUP($A366,'Neraca Unaudited SIMAK'!$A$2:$R$1272,11,FALSE)+IF(ISNA(VLOOKUP($A366,'Mutasi Neraca'!$A$3:$S$910,11,FALSE)),0,VLOOKUP($A366,'Mutasi Neraca'!$A$3:$S$910,11,FALSE))</f>
        <v>161678647</v>
      </c>
      <c r="M366" s="42">
        <f>VLOOKUP($A366,'Neraca Unaudited SIMAK'!$A$2:$R$1272,12,FALSE)+IF(ISNA(VLOOKUP($A366,'Mutasi Neraca'!$A$3:$S$910,12,FALSE)),0,VLOOKUP($A366,'Mutasi Neraca'!$A$3:$S$910,12,FALSE))</f>
        <v>16593260668</v>
      </c>
      <c r="N366" s="42">
        <f>VLOOKUP($A366,'Neraca Unaudited SIMAK'!$A$2:$R$1272,13,FALSE)+IF(ISNA(VLOOKUP($A366,'Mutasi Neraca'!$A$3:$S$910,13,FALSE)),0,VLOOKUP($A366,'Mutasi Neraca'!$A$3:$S$910,13,FALSE))</f>
        <v>-1279015473</v>
      </c>
      <c r="O366" s="42">
        <f>VLOOKUP($A366,'Neraca Unaudited SIMAK'!$A$2:$R$1272,14,FALSE)+IF(ISNA(VLOOKUP($A366,'Mutasi Neraca'!$A$3:$S$910,14,FALSE)),0,VLOOKUP($A366,'Mutasi Neraca'!$A$3:$S$910,14,FALSE))</f>
        <v>-290856108</v>
      </c>
      <c r="P366" s="42">
        <f>VLOOKUP($A366,'Neraca Unaudited SIMAK'!$A$2:$R$1272,15,FALSE)+IF(ISNA(VLOOKUP($A366,'Mutasi Neraca'!$A$3:$S$910,15,FALSE)),0,VLOOKUP($A366,'Mutasi Neraca'!$A$3:$S$910,15,FALSE))</f>
        <v>-18199798</v>
      </c>
      <c r="Q366" s="42">
        <f>VLOOKUP($A366,'Neraca Unaudited SIMAK'!$A$2:$R$1272,16,FALSE)+IF(ISNA(VLOOKUP($A366,'Mutasi Neraca'!$A$3:$S$910,16,FALSE)),0,VLOOKUP($A366,'Mutasi Neraca'!$A$3:$S$910,16,FALSE))</f>
        <v>0</v>
      </c>
      <c r="R366" s="42">
        <f>VLOOKUP($A366,'Neraca Unaudited SIMAK'!$A$2:$R$1272,17,FALSE)+IF(ISNA(VLOOKUP($A366,'Mutasi Neraca'!$A$3:$S$910,17,FALSE)),0,VLOOKUP($A366,'Mutasi Neraca'!$A$3:$S$910,17,FALSE))</f>
        <v>-160776215</v>
      </c>
      <c r="S366" s="42">
        <f t="shared" si="53"/>
        <v>14844413074</v>
      </c>
    </row>
    <row r="367" spans="1:19">
      <c r="A367" s="41" t="s">
        <v>374</v>
      </c>
      <c r="B367" s="41" t="str">
        <f t="shared" si="52"/>
        <v>005010900</v>
      </c>
      <c r="D367" s="42">
        <f>VLOOKUP($A367,'Neraca Unaudited SIMAK'!$A$2:$R$1272,3,FALSE)+IF(ISNA(VLOOKUP($A367,'Mutasi Neraca'!$A$3:$S$910,3,FALSE)),0,VLOOKUP($A367,'Mutasi Neraca'!$A$3:$S$910,3,FALSE))</f>
        <v>4481750</v>
      </c>
      <c r="E367" s="42">
        <f>VLOOKUP($A367,'Neraca Unaudited SIMAK'!$A$2:$R$1272,4,FALSE)+IF(ISNA(VLOOKUP($A367,'Mutasi Neraca'!$A$3:$S$910,4,FALSE)),0,VLOOKUP($A367,'Mutasi Neraca'!$A$3:$S$910,4,FALSE))</f>
        <v>1419641000</v>
      </c>
      <c r="F367" s="42">
        <f>VLOOKUP($A367,'Neraca Unaudited SIMAK'!$A$2:$R$1272,5,FALSE)+IF(ISNA(VLOOKUP($A367,'Mutasi Neraca'!$A$3:$S$910,5,FALSE)),0,VLOOKUP($A367,'Mutasi Neraca'!$A$3:$S$910,5,FALSE))</f>
        <v>813842737</v>
      </c>
      <c r="G367" s="42">
        <f>VLOOKUP($A367,'Neraca Unaudited SIMAK'!$A$2:$R$1272,6,FALSE)+IF(ISNA(VLOOKUP($A367,'Mutasi Neraca'!$A$3:$S$910,6,FALSE)),0,VLOOKUP($A367,'Mutasi Neraca'!$A$3:$S$910,6,FALSE))</f>
        <v>1291894000</v>
      </c>
      <c r="H367" s="42">
        <f>VLOOKUP($A367,'Neraca Unaudited SIMAK'!$A$2:$R$1272,7,FALSE)+IF(ISNA(VLOOKUP($A367,'Mutasi Neraca'!$A$3:$S$910,7,FALSE)),0,VLOOKUP($A367,'Mutasi Neraca'!$A$3:$S$910,7,FALSE))</f>
        <v>0</v>
      </c>
      <c r="I367" s="42">
        <f>VLOOKUP($A367,'Neraca Unaudited SIMAK'!$A$2:$R$1272,8,FALSE)+IF(ISNA(VLOOKUP($A367,'Mutasi Neraca'!$A$3:$S$910,8,FALSE)),0,VLOOKUP($A367,'Mutasi Neraca'!$A$3:$S$910,8,FALSE))</f>
        <v>4786030</v>
      </c>
      <c r="J367" s="42">
        <f>VLOOKUP($A367,'Neraca Unaudited SIMAK'!$A$2:$R$1272,9,FALSE)+IF(ISNA(VLOOKUP($A367,'Mutasi Neraca'!$A$3:$S$910,9,FALSE)),0,VLOOKUP($A367,'Mutasi Neraca'!$A$3:$S$910,9,FALSE))</f>
        <v>0</v>
      </c>
      <c r="K367" s="42">
        <f>VLOOKUP($A367,'Neraca Unaudited SIMAK'!$A$2:$R$1272,10,FALSE)+IF(ISNA(VLOOKUP($A367,'Mutasi Neraca'!$A$3:$S$910,10,FALSE)),0,VLOOKUP($A367,'Mutasi Neraca'!$A$3:$S$910,10,FALSE))</f>
        <v>0</v>
      </c>
      <c r="L367" s="42">
        <f>VLOOKUP($A367,'Neraca Unaudited SIMAK'!$A$2:$R$1272,11,FALSE)+IF(ISNA(VLOOKUP($A367,'Mutasi Neraca'!$A$3:$S$910,11,FALSE)),0,VLOOKUP($A367,'Mutasi Neraca'!$A$3:$S$910,11,FALSE))</f>
        <v>184000</v>
      </c>
      <c r="M367" s="42">
        <f>VLOOKUP($A367,'Neraca Unaudited SIMAK'!$A$2:$R$1272,12,FALSE)+IF(ISNA(VLOOKUP($A367,'Mutasi Neraca'!$A$3:$S$910,12,FALSE)),0,VLOOKUP($A367,'Mutasi Neraca'!$A$3:$S$910,12,FALSE))</f>
        <v>3534829517</v>
      </c>
      <c r="N367" s="42">
        <f>VLOOKUP($A367,'Neraca Unaudited SIMAK'!$A$2:$R$1272,13,FALSE)+IF(ISNA(VLOOKUP($A367,'Mutasi Neraca'!$A$3:$S$910,13,FALSE)),0,VLOOKUP($A367,'Mutasi Neraca'!$A$3:$S$910,13,FALSE))</f>
        <v>-671327470</v>
      </c>
      <c r="O367" s="42">
        <f>VLOOKUP($A367,'Neraca Unaudited SIMAK'!$A$2:$R$1272,14,FALSE)+IF(ISNA(VLOOKUP($A367,'Mutasi Neraca'!$A$3:$S$910,14,FALSE)),0,VLOOKUP($A367,'Mutasi Neraca'!$A$3:$S$910,14,FALSE))</f>
        <v>-369381040</v>
      </c>
      <c r="P367" s="42">
        <f>VLOOKUP($A367,'Neraca Unaudited SIMAK'!$A$2:$R$1272,15,FALSE)+IF(ISNA(VLOOKUP($A367,'Mutasi Neraca'!$A$3:$S$910,15,FALSE)),0,VLOOKUP($A367,'Mutasi Neraca'!$A$3:$S$910,15,FALSE))</f>
        <v>0</v>
      </c>
      <c r="Q367" s="42">
        <f>VLOOKUP($A367,'Neraca Unaudited SIMAK'!$A$2:$R$1272,16,FALSE)+IF(ISNA(VLOOKUP($A367,'Mutasi Neraca'!$A$3:$S$910,16,FALSE)),0,VLOOKUP($A367,'Mutasi Neraca'!$A$3:$S$910,16,FALSE))</f>
        <v>0</v>
      </c>
      <c r="R367" s="42">
        <f>VLOOKUP($A367,'Neraca Unaudited SIMAK'!$A$2:$R$1272,17,FALSE)+IF(ISNA(VLOOKUP($A367,'Mutasi Neraca'!$A$3:$S$910,17,FALSE)),0,VLOOKUP($A367,'Mutasi Neraca'!$A$3:$S$910,17,FALSE))</f>
        <v>-184000</v>
      </c>
      <c r="S367" s="42">
        <f t="shared" si="53"/>
        <v>2493937007</v>
      </c>
    </row>
    <row r="368" spans="1:19">
      <c r="A368" s="41" t="s">
        <v>375</v>
      </c>
      <c r="B368" s="41" t="str">
        <f t="shared" si="52"/>
        <v>005010900</v>
      </c>
      <c r="D368" s="42">
        <f>VLOOKUP($A368,'Neraca Unaudited SIMAK'!$A$2:$R$1272,3,FALSE)+IF(ISNA(VLOOKUP($A368,'Mutasi Neraca'!$A$3:$S$910,3,FALSE)),0,VLOOKUP($A368,'Mutasi Neraca'!$A$3:$S$910,3,FALSE))</f>
        <v>1409000</v>
      </c>
      <c r="E368" s="42">
        <f>VLOOKUP($A368,'Neraca Unaudited SIMAK'!$A$2:$R$1272,4,FALSE)+IF(ISNA(VLOOKUP($A368,'Mutasi Neraca'!$A$3:$S$910,4,FALSE)),0,VLOOKUP($A368,'Mutasi Neraca'!$A$3:$S$910,4,FALSE))</f>
        <v>1503338000</v>
      </c>
      <c r="F368" s="42">
        <f>VLOOKUP($A368,'Neraca Unaudited SIMAK'!$A$2:$R$1272,5,FALSE)+IF(ISNA(VLOOKUP($A368,'Mutasi Neraca'!$A$3:$S$910,5,FALSE)),0,VLOOKUP($A368,'Mutasi Neraca'!$A$3:$S$910,5,FALSE))</f>
        <v>1031743634</v>
      </c>
      <c r="G368" s="42">
        <f>VLOOKUP($A368,'Neraca Unaudited SIMAK'!$A$2:$R$1272,6,FALSE)+IF(ISNA(VLOOKUP($A368,'Mutasi Neraca'!$A$3:$S$910,6,FALSE)),0,VLOOKUP($A368,'Mutasi Neraca'!$A$3:$S$910,6,FALSE))</f>
        <v>1030481000</v>
      </c>
      <c r="H368" s="42">
        <f>VLOOKUP($A368,'Neraca Unaudited SIMAK'!$A$2:$R$1272,7,FALSE)+IF(ISNA(VLOOKUP($A368,'Mutasi Neraca'!$A$3:$S$910,7,FALSE)),0,VLOOKUP($A368,'Mutasi Neraca'!$A$3:$S$910,7,FALSE))</f>
        <v>0</v>
      </c>
      <c r="I368" s="42">
        <f>VLOOKUP($A368,'Neraca Unaudited SIMAK'!$A$2:$R$1272,8,FALSE)+IF(ISNA(VLOOKUP($A368,'Mutasi Neraca'!$A$3:$S$910,8,FALSE)),0,VLOOKUP($A368,'Mutasi Neraca'!$A$3:$S$910,8,FALSE))</f>
        <v>3674676</v>
      </c>
      <c r="J368" s="42">
        <f>VLOOKUP($A368,'Neraca Unaudited SIMAK'!$A$2:$R$1272,9,FALSE)+IF(ISNA(VLOOKUP($A368,'Mutasi Neraca'!$A$3:$S$910,9,FALSE)),0,VLOOKUP($A368,'Mutasi Neraca'!$A$3:$S$910,9,FALSE))</f>
        <v>7373038600</v>
      </c>
      <c r="K368" s="42">
        <f>VLOOKUP($A368,'Neraca Unaudited SIMAK'!$A$2:$R$1272,10,FALSE)+IF(ISNA(VLOOKUP($A368,'Mutasi Neraca'!$A$3:$S$910,10,FALSE)),0,VLOOKUP($A368,'Mutasi Neraca'!$A$3:$S$910,10,FALSE))</f>
        <v>0</v>
      </c>
      <c r="L368" s="42">
        <f>VLOOKUP($A368,'Neraca Unaudited SIMAK'!$A$2:$R$1272,11,FALSE)+IF(ISNA(VLOOKUP($A368,'Mutasi Neraca'!$A$3:$S$910,11,FALSE)),0,VLOOKUP($A368,'Mutasi Neraca'!$A$3:$S$910,11,FALSE))</f>
        <v>0</v>
      </c>
      <c r="M368" s="42">
        <f>VLOOKUP($A368,'Neraca Unaudited SIMAK'!$A$2:$R$1272,12,FALSE)+IF(ISNA(VLOOKUP($A368,'Mutasi Neraca'!$A$3:$S$910,12,FALSE)),0,VLOOKUP($A368,'Mutasi Neraca'!$A$3:$S$910,12,FALSE))</f>
        <v>10943684910</v>
      </c>
      <c r="N368" s="42">
        <f>VLOOKUP($A368,'Neraca Unaudited SIMAK'!$A$2:$R$1272,13,FALSE)+IF(ISNA(VLOOKUP($A368,'Mutasi Neraca'!$A$3:$S$910,13,FALSE)),0,VLOOKUP($A368,'Mutasi Neraca'!$A$3:$S$910,13,FALSE))</f>
        <v>-914193382</v>
      </c>
      <c r="O368" s="42">
        <f>VLOOKUP($A368,'Neraca Unaudited SIMAK'!$A$2:$R$1272,14,FALSE)+IF(ISNA(VLOOKUP($A368,'Mutasi Neraca'!$A$3:$S$910,14,FALSE)),0,VLOOKUP($A368,'Mutasi Neraca'!$A$3:$S$910,14,FALSE))</f>
        <v>-729056690</v>
      </c>
      <c r="P368" s="42">
        <f>VLOOKUP($A368,'Neraca Unaudited SIMAK'!$A$2:$R$1272,15,FALSE)+IF(ISNA(VLOOKUP($A368,'Mutasi Neraca'!$A$3:$S$910,15,FALSE)),0,VLOOKUP($A368,'Mutasi Neraca'!$A$3:$S$910,15,FALSE))</f>
        <v>0</v>
      </c>
      <c r="Q368" s="42">
        <f>VLOOKUP($A368,'Neraca Unaudited SIMAK'!$A$2:$R$1272,16,FALSE)+IF(ISNA(VLOOKUP($A368,'Mutasi Neraca'!$A$3:$S$910,16,FALSE)),0,VLOOKUP($A368,'Mutasi Neraca'!$A$3:$S$910,16,FALSE))</f>
        <v>0</v>
      </c>
      <c r="R368" s="42">
        <f>VLOOKUP($A368,'Neraca Unaudited SIMAK'!$A$2:$R$1272,17,FALSE)+IF(ISNA(VLOOKUP($A368,'Mutasi Neraca'!$A$3:$S$910,17,FALSE)),0,VLOOKUP($A368,'Mutasi Neraca'!$A$3:$S$910,17,FALSE))</f>
        <v>0</v>
      </c>
      <c r="S368" s="42">
        <f t="shared" si="53"/>
        <v>9300434838</v>
      </c>
    </row>
    <row r="369" spans="1:19">
      <c r="A369" s="41" t="s">
        <v>376</v>
      </c>
      <c r="B369" s="41" t="str">
        <f t="shared" si="52"/>
        <v>005010900</v>
      </c>
      <c r="D369" s="42">
        <f>VLOOKUP($A369,'Neraca Unaudited SIMAK'!$A$2:$R$1272,3,FALSE)+IF(ISNA(VLOOKUP($A369,'Mutasi Neraca'!$A$3:$S$910,3,FALSE)),0,VLOOKUP($A369,'Mutasi Neraca'!$A$3:$S$910,3,FALSE))</f>
        <v>816000</v>
      </c>
      <c r="E369" s="42">
        <f>VLOOKUP($A369,'Neraca Unaudited SIMAK'!$A$2:$R$1272,4,FALSE)+IF(ISNA(VLOOKUP($A369,'Mutasi Neraca'!$A$3:$S$910,4,FALSE)),0,VLOOKUP($A369,'Mutasi Neraca'!$A$3:$S$910,4,FALSE))</f>
        <v>928900000</v>
      </c>
      <c r="F369" s="42">
        <f>VLOOKUP($A369,'Neraca Unaudited SIMAK'!$A$2:$R$1272,5,FALSE)+IF(ISNA(VLOOKUP($A369,'Mutasi Neraca'!$A$3:$S$910,5,FALSE)),0,VLOOKUP($A369,'Mutasi Neraca'!$A$3:$S$910,5,FALSE))</f>
        <v>1253088419</v>
      </c>
      <c r="G369" s="42">
        <f>VLOOKUP($A369,'Neraca Unaudited SIMAK'!$A$2:$R$1272,6,FALSE)+IF(ISNA(VLOOKUP($A369,'Mutasi Neraca'!$A$3:$S$910,6,FALSE)),0,VLOOKUP($A369,'Mutasi Neraca'!$A$3:$S$910,6,FALSE))</f>
        <v>10019950400</v>
      </c>
      <c r="H369" s="42">
        <f>VLOOKUP($A369,'Neraca Unaudited SIMAK'!$A$2:$R$1272,7,FALSE)+IF(ISNA(VLOOKUP($A369,'Mutasi Neraca'!$A$3:$S$910,7,FALSE)),0,VLOOKUP($A369,'Mutasi Neraca'!$A$3:$S$910,7,FALSE))</f>
        <v>0</v>
      </c>
      <c r="I369" s="42">
        <f>VLOOKUP($A369,'Neraca Unaudited SIMAK'!$A$2:$R$1272,8,FALSE)+IF(ISNA(VLOOKUP($A369,'Mutasi Neraca'!$A$3:$S$910,8,FALSE)),0,VLOOKUP($A369,'Mutasi Neraca'!$A$3:$S$910,8,FALSE))</f>
        <v>1237220</v>
      </c>
      <c r="J369" s="42">
        <f>VLOOKUP($A369,'Neraca Unaudited SIMAK'!$A$2:$R$1272,9,FALSE)+IF(ISNA(VLOOKUP($A369,'Mutasi Neraca'!$A$3:$S$910,9,FALSE)),0,VLOOKUP($A369,'Mutasi Neraca'!$A$3:$S$910,9,FALSE))</f>
        <v>0</v>
      </c>
      <c r="K369" s="42">
        <f>VLOOKUP($A369,'Neraca Unaudited SIMAK'!$A$2:$R$1272,10,FALSE)+IF(ISNA(VLOOKUP($A369,'Mutasi Neraca'!$A$3:$S$910,10,FALSE)),0,VLOOKUP($A369,'Mutasi Neraca'!$A$3:$S$910,10,FALSE))</f>
        <v>20750000</v>
      </c>
      <c r="L369" s="42">
        <f>VLOOKUP($A369,'Neraca Unaudited SIMAK'!$A$2:$R$1272,11,FALSE)+IF(ISNA(VLOOKUP($A369,'Mutasi Neraca'!$A$3:$S$910,11,FALSE)),0,VLOOKUP($A369,'Mutasi Neraca'!$A$3:$S$910,11,FALSE))</f>
        <v>6638823</v>
      </c>
      <c r="M369" s="42">
        <f>VLOOKUP($A369,'Neraca Unaudited SIMAK'!$A$2:$R$1272,12,FALSE)+IF(ISNA(VLOOKUP($A369,'Mutasi Neraca'!$A$3:$S$910,12,FALSE)),0,VLOOKUP($A369,'Mutasi Neraca'!$A$3:$S$910,12,FALSE))</f>
        <v>12231380862</v>
      </c>
      <c r="N369" s="42">
        <f>VLOOKUP($A369,'Neraca Unaudited SIMAK'!$A$2:$R$1272,13,FALSE)+IF(ISNA(VLOOKUP($A369,'Mutasi Neraca'!$A$3:$S$910,13,FALSE)),0,VLOOKUP($A369,'Mutasi Neraca'!$A$3:$S$910,13,FALSE))</f>
        <v>-678304117</v>
      </c>
      <c r="O369" s="42">
        <f>VLOOKUP($A369,'Neraca Unaudited SIMAK'!$A$2:$R$1272,14,FALSE)+IF(ISNA(VLOOKUP($A369,'Mutasi Neraca'!$A$3:$S$910,14,FALSE)),0,VLOOKUP($A369,'Mutasi Neraca'!$A$3:$S$910,14,FALSE))</f>
        <v>-259716028</v>
      </c>
      <c r="P369" s="42">
        <f>VLOOKUP($A369,'Neraca Unaudited SIMAK'!$A$2:$R$1272,15,FALSE)+IF(ISNA(VLOOKUP($A369,'Mutasi Neraca'!$A$3:$S$910,15,FALSE)),0,VLOOKUP($A369,'Mutasi Neraca'!$A$3:$S$910,15,FALSE))</f>
        <v>0</v>
      </c>
      <c r="Q369" s="42">
        <f>VLOOKUP($A369,'Neraca Unaudited SIMAK'!$A$2:$R$1272,16,FALSE)+IF(ISNA(VLOOKUP($A369,'Mutasi Neraca'!$A$3:$S$910,16,FALSE)),0,VLOOKUP($A369,'Mutasi Neraca'!$A$3:$S$910,16,FALSE))</f>
        <v>0</v>
      </c>
      <c r="R369" s="42">
        <f>VLOOKUP($A369,'Neraca Unaudited SIMAK'!$A$2:$R$1272,17,FALSE)+IF(ISNA(VLOOKUP($A369,'Mutasi Neraca'!$A$3:$S$910,17,FALSE)),0,VLOOKUP($A369,'Mutasi Neraca'!$A$3:$S$910,17,FALSE))</f>
        <v>-6638823</v>
      </c>
      <c r="S369" s="42">
        <f t="shared" si="53"/>
        <v>11286721894</v>
      </c>
    </row>
    <row r="370" spans="1:19">
      <c r="A370" s="41" t="s">
        <v>377</v>
      </c>
      <c r="B370" s="41" t="str">
        <f t="shared" si="52"/>
        <v>005010900</v>
      </c>
      <c r="D370" s="42">
        <f>VLOOKUP($A370,'Neraca Unaudited SIMAK'!$A$2:$R$1272,3,FALSE)+IF(ISNA(VLOOKUP($A370,'Mutasi Neraca'!$A$3:$S$910,3,FALSE)),0,VLOOKUP($A370,'Mutasi Neraca'!$A$3:$S$910,3,FALSE))</f>
        <v>2463500</v>
      </c>
      <c r="E370" s="42">
        <f>VLOOKUP($A370,'Neraca Unaudited SIMAK'!$A$2:$R$1272,4,FALSE)+IF(ISNA(VLOOKUP($A370,'Mutasi Neraca'!$A$3:$S$910,4,FALSE)),0,VLOOKUP($A370,'Mutasi Neraca'!$A$3:$S$910,4,FALSE))</f>
        <v>255500000</v>
      </c>
      <c r="F370" s="42">
        <f>VLOOKUP($A370,'Neraca Unaudited SIMAK'!$A$2:$R$1272,5,FALSE)+IF(ISNA(VLOOKUP($A370,'Mutasi Neraca'!$A$3:$S$910,5,FALSE)),0,VLOOKUP($A370,'Mutasi Neraca'!$A$3:$S$910,5,FALSE))</f>
        <v>1278394634</v>
      </c>
      <c r="G370" s="42">
        <f>VLOOKUP($A370,'Neraca Unaudited SIMAK'!$A$2:$R$1272,6,FALSE)+IF(ISNA(VLOOKUP($A370,'Mutasi Neraca'!$A$3:$S$910,6,FALSE)),0,VLOOKUP($A370,'Mutasi Neraca'!$A$3:$S$910,6,FALSE))</f>
        <v>5846624178</v>
      </c>
      <c r="H370" s="42">
        <f>VLOOKUP($A370,'Neraca Unaudited SIMAK'!$A$2:$R$1272,7,FALSE)+IF(ISNA(VLOOKUP($A370,'Mutasi Neraca'!$A$3:$S$910,7,FALSE)),0,VLOOKUP($A370,'Mutasi Neraca'!$A$3:$S$910,7,FALSE))</f>
        <v>0</v>
      </c>
      <c r="I370" s="42">
        <f>VLOOKUP($A370,'Neraca Unaudited SIMAK'!$A$2:$R$1272,8,FALSE)+IF(ISNA(VLOOKUP($A370,'Mutasi Neraca'!$A$3:$S$910,8,FALSE)),0,VLOOKUP($A370,'Mutasi Neraca'!$A$3:$S$910,8,FALSE))</f>
        <v>17560518</v>
      </c>
      <c r="J370" s="42">
        <f>VLOOKUP($A370,'Neraca Unaudited SIMAK'!$A$2:$R$1272,9,FALSE)+IF(ISNA(VLOOKUP($A370,'Mutasi Neraca'!$A$3:$S$910,9,FALSE)),0,VLOOKUP($A370,'Mutasi Neraca'!$A$3:$S$910,9,FALSE))</f>
        <v>0</v>
      </c>
      <c r="K370" s="42">
        <f>VLOOKUP($A370,'Neraca Unaudited SIMAK'!$A$2:$R$1272,10,FALSE)+IF(ISNA(VLOOKUP($A370,'Mutasi Neraca'!$A$3:$S$910,10,FALSE)),0,VLOOKUP($A370,'Mutasi Neraca'!$A$3:$S$910,10,FALSE))</f>
        <v>13000000</v>
      </c>
      <c r="L370" s="42">
        <f>VLOOKUP($A370,'Neraca Unaudited SIMAK'!$A$2:$R$1272,11,FALSE)+IF(ISNA(VLOOKUP($A370,'Mutasi Neraca'!$A$3:$S$910,11,FALSE)),0,VLOOKUP($A370,'Mutasi Neraca'!$A$3:$S$910,11,FALSE))</f>
        <v>19252000</v>
      </c>
      <c r="M370" s="42">
        <f>VLOOKUP($A370,'Neraca Unaudited SIMAK'!$A$2:$R$1272,12,FALSE)+IF(ISNA(VLOOKUP($A370,'Mutasi Neraca'!$A$3:$S$910,12,FALSE)),0,VLOOKUP($A370,'Mutasi Neraca'!$A$3:$S$910,12,FALSE))</f>
        <v>7432794830</v>
      </c>
      <c r="N370" s="42">
        <f>VLOOKUP($A370,'Neraca Unaudited SIMAK'!$A$2:$R$1272,13,FALSE)+IF(ISNA(VLOOKUP($A370,'Mutasi Neraca'!$A$3:$S$910,13,FALSE)),0,VLOOKUP($A370,'Mutasi Neraca'!$A$3:$S$910,13,FALSE))</f>
        <v>-771647516</v>
      </c>
      <c r="O370" s="42">
        <f>VLOOKUP($A370,'Neraca Unaudited SIMAK'!$A$2:$R$1272,14,FALSE)+IF(ISNA(VLOOKUP($A370,'Mutasi Neraca'!$A$3:$S$910,14,FALSE)),0,VLOOKUP($A370,'Mutasi Neraca'!$A$3:$S$910,14,FALSE))</f>
        <v>-630499716</v>
      </c>
      <c r="P370" s="42">
        <f>VLOOKUP($A370,'Neraca Unaudited SIMAK'!$A$2:$R$1272,15,FALSE)+IF(ISNA(VLOOKUP($A370,'Mutasi Neraca'!$A$3:$S$910,15,FALSE)),0,VLOOKUP($A370,'Mutasi Neraca'!$A$3:$S$910,15,FALSE))</f>
        <v>0</v>
      </c>
      <c r="Q370" s="42">
        <f>VLOOKUP($A370,'Neraca Unaudited SIMAK'!$A$2:$R$1272,16,FALSE)+IF(ISNA(VLOOKUP($A370,'Mutasi Neraca'!$A$3:$S$910,16,FALSE)),0,VLOOKUP($A370,'Mutasi Neraca'!$A$3:$S$910,16,FALSE))</f>
        <v>0</v>
      </c>
      <c r="R370" s="42">
        <f>VLOOKUP($A370,'Neraca Unaudited SIMAK'!$A$2:$R$1272,17,FALSE)+IF(ISNA(VLOOKUP($A370,'Mutasi Neraca'!$A$3:$S$910,17,FALSE)),0,VLOOKUP($A370,'Mutasi Neraca'!$A$3:$S$910,17,FALSE))</f>
        <v>-19252000</v>
      </c>
      <c r="S370" s="42">
        <f t="shared" si="53"/>
        <v>6011395598</v>
      </c>
    </row>
    <row r="371" spans="1:19">
      <c r="A371" s="41" t="s">
        <v>378</v>
      </c>
      <c r="B371" s="41" t="str">
        <f t="shared" si="52"/>
        <v>005010900</v>
      </c>
      <c r="D371" s="42">
        <f>VLOOKUP($A371,'Neraca Unaudited SIMAK'!$A$2:$R$1272,3,FALSE)+IF(ISNA(VLOOKUP($A371,'Mutasi Neraca'!$A$3:$S$910,3,FALSE)),0,VLOOKUP($A371,'Mutasi Neraca'!$A$3:$S$910,3,FALSE))</f>
        <v>365000</v>
      </c>
      <c r="E371" s="42">
        <f>VLOOKUP($A371,'Neraca Unaudited SIMAK'!$A$2:$R$1272,4,FALSE)+IF(ISNA(VLOOKUP($A371,'Mutasi Neraca'!$A$3:$S$910,4,FALSE)),0,VLOOKUP($A371,'Mutasi Neraca'!$A$3:$S$910,4,FALSE))</f>
        <v>1621638820</v>
      </c>
      <c r="F371" s="42">
        <f>VLOOKUP($A371,'Neraca Unaudited SIMAK'!$A$2:$R$1272,5,FALSE)+IF(ISNA(VLOOKUP($A371,'Mutasi Neraca'!$A$3:$S$910,5,FALSE)),0,VLOOKUP($A371,'Mutasi Neraca'!$A$3:$S$910,5,FALSE))</f>
        <v>731243763</v>
      </c>
      <c r="G371" s="42">
        <f>VLOOKUP($A371,'Neraca Unaudited SIMAK'!$A$2:$R$1272,6,FALSE)+IF(ISNA(VLOOKUP($A371,'Mutasi Neraca'!$A$3:$S$910,6,FALSE)),0,VLOOKUP($A371,'Mutasi Neraca'!$A$3:$S$910,6,FALSE))</f>
        <v>734639864</v>
      </c>
      <c r="H371" s="42">
        <f>VLOOKUP($A371,'Neraca Unaudited SIMAK'!$A$2:$R$1272,7,FALSE)+IF(ISNA(VLOOKUP($A371,'Mutasi Neraca'!$A$3:$S$910,7,FALSE)),0,VLOOKUP($A371,'Mutasi Neraca'!$A$3:$S$910,7,FALSE))</f>
        <v>50530000</v>
      </c>
      <c r="I371" s="42">
        <f>VLOOKUP($A371,'Neraca Unaudited SIMAK'!$A$2:$R$1272,8,FALSE)+IF(ISNA(VLOOKUP($A371,'Mutasi Neraca'!$A$3:$S$910,8,FALSE)),0,VLOOKUP($A371,'Mutasi Neraca'!$A$3:$S$910,8,FALSE))</f>
        <v>0</v>
      </c>
      <c r="J371" s="42">
        <f>VLOOKUP($A371,'Neraca Unaudited SIMAK'!$A$2:$R$1272,9,FALSE)+IF(ISNA(VLOOKUP($A371,'Mutasi Neraca'!$A$3:$S$910,9,FALSE)),0,VLOOKUP($A371,'Mutasi Neraca'!$A$3:$S$910,9,FALSE))</f>
        <v>0</v>
      </c>
      <c r="K371" s="42">
        <f>VLOOKUP($A371,'Neraca Unaudited SIMAK'!$A$2:$R$1272,10,FALSE)+IF(ISNA(VLOOKUP($A371,'Mutasi Neraca'!$A$3:$S$910,10,FALSE)),0,VLOOKUP($A371,'Mutasi Neraca'!$A$3:$S$910,10,FALSE))</f>
        <v>0</v>
      </c>
      <c r="L371" s="42">
        <f>VLOOKUP($A371,'Neraca Unaudited SIMAK'!$A$2:$R$1272,11,FALSE)+IF(ISNA(VLOOKUP($A371,'Mutasi Neraca'!$A$3:$S$910,11,FALSE)),0,VLOOKUP($A371,'Mutasi Neraca'!$A$3:$S$910,11,FALSE))</f>
        <v>0</v>
      </c>
      <c r="M371" s="42">
        <f>VLOOKUP($A371,'Neraca Unaudited SIMAK'!$A$2:$R$1272,12,FALSE)+IF(ISNA(VLOOKUP($A371,'Mutasi Neraca'!$A$3:$S$910,12,FALSE)),0,VLOOKUP($A371,'Mutasi Neraca'!$A$3:$S$910,12,FALSE))</f>
        <v>3138417447</v>
      </c>
      <c r="N371" s="42">
        <f>VLOOKUP($A371,'Neraca Unaudited SIMAK'!$A$2:$R$1272,13,FALSE)+IF(ISNA(VLOOKUP($A371,'Mutasi Neraca'!$A$3:$S$910,13,FALSE)),0,VLOOKUP($A371,'Mutasi Neraca'!$A$3:$S$910,13,FALSE))</f>
        <v>-628626461</v>
      </c>
      <c r="O371" s="42">
        <f>VLOOKUP($A371,'Neraca Unaudited SIMAK'!$A$2:$R$1272,14,FALSE)+IF(ISNA(VLOOKUP($A371,'Mutasi Neraca'!$A$3:$S$910,14,FALSE)),0,VLOOKUP($A371,'Mutasi Neraca'!$A$3:$S$910,14,FALSE))</f>
        <v>-121309277</v>
      </c>
      <c r="P371" s="42">
        <f>VLOOKUP($A371,'Neraca Unaudited SIMAK'!$A$2:$R$1272,15,FALSE)+IF(ISNA(VLOOKUP($A371,'Mutasi Neraca'!$A$3:$S$910,15,FALSE)),0,VLOOKUP($A371,'Mutasi Neraca'!$A$3:$S$910,15,FALSE))</f>
        <v>-17670500</v>
      </c>
      <c r="Q371" s="42">
        <f>VLOOKUP($A371,'Neraca Unaudited SIMAK'!$A$2:$R$1272,16,FALSE)+IF(ISNA(VLOOKUP($A371,'Mutasi Neraca'!$A$3:$S$910,16,FALSE)),0,VLOOKUP($A371,'Mutasi Neraca'!$A$3:$S$910,16,FALSE))</f>
        <v>0</v>
      </c>
      <c r="R371" s="42">
        <f>VLOOKUP($A371,'Neraca Unaudited SIMAK'!$A$2:$R$1272,17,FALSE)+IF(ISNA(VLOOKUP($A371,'Mutasi Neraca'!$A$3:$S$910,17,FALSE)),0,VLOOKUP($A371,'Mutasi Neraca'!$A$3:$S$910,17,FALSE))</f>
        <v>0</v>
      </c>
      <c r="S371" s="42">
        <f t="shared" si="53"/>
        <v>2370811209</v>
      </c>
    </row>
    <row r="372" spans="1:19">
      <c r="A372" s="41" t="s">
        <v>379</v>
      </c>
      <c r="B372" s="41" t="str">
        <f t="shared" si="52"/>
        <v>005010900</v>
      </c>
      <c r="D372" s="42">
        <f>VLOOKUP($A372,'Neraca Unaudited SIMAK'!$A$2:$R$1272,3,FALSE)+IF(ISNA(VLOOKUP($A372,'Mutasi Neraca'!$A$3:$S$910,3,FALSE)),0,VLOOKUP($A372,'Mutasi Neraca'!$A$3:$S$910,3,FALSE))</f>
        <v>945500</v>
      </c>
      <c r="E372" s="42">
        <f>VLOOKUP($A372,'Neraca Unaudited SIMAK'!$A$2:$R$1272,4,FALSE)+IF(ISNA(VLOOKUP($A372,'Mutasi Neraca'!$A$3:$S$910,4,FALSE)),0,VLOOKUP($A372,'Mutasi Neraca'!$A$3:$S$910,4,FALSE))</f>
        <v>354710000</v>
      </c>
      <c r="F372" s="42">
        <f>VLOOKUP($A372,'Neraca Unaudited SIMAK'!$A$2:$R$1272,5,FALSE)+IF(ISNA(VLOOKUP($A372,'Mutasi Neraca'!$A$3:$S$910,5,FALSE)),0,VLOOKUP($A372,'Mutasi Neraca'!$A$3:$S$910,5,FALSE))</f>
        <v>1176300237</v>
      </c>
      <c r="G372" s="42">
        <f>VLOOKUP($A372,'Neraca Unaudited SIMAK'!$A$2:$R$1272,6,FALSE)+IF(ISNA(VLOOKUP($A372,'Mutasi Neraca'!$A$3:$S$910,6,FALSE)),0,VLOOKUP($A372,'Mutasi Neraca'!$A$3:$S$910,6,FALSE))</f>
        <v>5962939000</v>
      </c>
      <c r="H372" s="42">
        <f>VLOOKUP($A372,'Neraca Unaudited SIMAK'!$A$2:$R$1272,7,FALSE)+IF(ISNA(VLOOKUP($A372,'Mutasi Neraca'!$A$3:$S$910,7,FALSE)),0,VLOOKUP($A372,'Mutasi Neraca'!$A$3:$S$910,7,FALSE))</f>
        <v>169571000</v>
      </c>
      <c r="I372" s="42">
        <f>VLOOKUP($A372,'Neraca Unaudited SIMAK'!$A$2:$R$1272,8,FALSE)+IF(ISNA(VLOOKUP($A372,'Mutasi Neraca'!$A$3:$S$910,8,FALSE)),0,VLOOKUP($A372,'Mutasi Neraca'!$A$3:$S$910,8,FALSE))</f>
        <v>17733705</v>
      </c>
      <c r="J372" s="42">
        <f>VLOOKUP($A372,'Neraca Unaudited SIMAK'!$A$2:$R$1272,9,FALSE)+IF(ISNA(VLOOKUP($A372,'Mutasi Neraca'!$A$3:$S$910,9,FALSE)),0,VLOOKUP($A372,'Mutasi Neraca'!$A$3:$S$910,9,FALSE))</f>
        <v>0</v>
      </c>
      <c r="K372" s="42">
        <f>VLOOKUP($A372,'Neraca Unaudited SIMAK'!$A$2:$R$1272,10,FALSE)+IF(ISNA(VLOOKUP($A372,'Mutasi Neraca'!$A$3:$S$910,10,FALSE)),0,VLOOKUP($A372,'Mutasi Neraca'!$A$3:$S$910,10,FALSE))</f>
        <v>0</v>
      </c>
      <c r="L372" s="42">
        <f>VLOOKUP($A372,'Neraca Unaudited SIMAK'!$A$2:$R$1272,11,FALSE)+IF(ISNA(VLOOKUP($A372,'Mutasi Neraca'!$A$3:$S$910,11,FALSE)),0,VLOOKUP($A372,'Mutasi Neraca'!$A$3:$S$910,11,FALSE))</f>
        <v>11698000</v>
      </c>
      <c r="M372" s="42">
        <f>VLOOKUP($A372,'Neraca Unaudited SIMAK'!$A$2:$R$1272,12,FALSE)+IF(ISNA(VLOOKUP($A372,'Mutasi Neraca'!$A$3:$S$910,12,FALSE)),0,VLOOKUP($A372,'Mutasi Neraca'!$A$3:$S$910,12,FALSE))</f>
        <v>7693897442</v>
      </c>
      <c r="N372" s="42">
        <f>VLOOKUP($A372,'Neraca Unaudited SIMAK'!$A$2:$R$1272,13,FALSE)+IF(ISNA(VLOOKUP($A372,'Mutasi Neraca'!$A$3:$S$910,13,FALSE)),0,VLOOKUP($A372,'Mutasi Neraca'!$A$3:$S$910,13,FALSE))</f>
        <v>-1048854265</v>
      </c>
      <c r="O372" s="42">
        <f>VLOOKUP($A372,'Neraca Unaudited SIMAK'!$A$2:$R$1272,14,FALSE)+IF(ISNA(VLOOKUP($A372,'Mutasi Neraca'!$A$3:$S$910,14,FALSE)),0,VLOOKUP($A372,'Mutasi Neraca'!$A$3:$S$910,14,FALSE))</f>
        <v>-851361725</v>
      </c>
      <c r="P372" s="42">
        <f>VLOOKUP($A372,'Neraca Unaudited SIMAK'!$A$2:$R$1272,15,FALSE)+IF(ISNA(VLOOKUP($A372,'Mutasi Neraca'!$A$3:$S$910,15,FALSE)),0,VLOOKUP($A372,'Mutasi Neraca'!$A$3:$S$910,15,FALSE))</f>
        <v>-89123513</v>
      </c>
      <c r="Q372" s="42">
        <f>VLOOKUP($A372,'Neraca Unaudited SIMAK'!$A$2:$R$1272,16,FALSE)+IF(ISNA(VLOOKUP($A372,'Mutasi Neraca'!$A$3:$S$910,16,FALSE)),0,VLOOKUP($A372,'Mutasi Neraca'!$A$3:$S$910,16,FALSE))</f>
        <v>0</v>
      </c>
      <c r="R372" s="42">
        <f>VLOOKUP($A372,'Neraca Unaudited SIMAK'!$A$2:$R$1272,17,FALSE)+IF(ISNA(VLOOKUP($A372,'Mutasi Neraca'!$A$3:$S$910,17,FALSE)),0,VLOOKUP($A372,'Mutasi Neraca'!$A$3:$S$910,17,FALSE))</f>
        <v>-11698000</v>
      </c>
      <c r="S372" s="42">
        <f t="shared" si="53"/>
        <v>5692859939</v>
      </c>
    </row>
    <row r="373" spans="1:19">
      <c r="A373" s="41" t="s">
        <v>380</v>
      </c>
      <c r="B373" s="41" t="str">
        <f t="shared" si="52"/>
        <v>005010900</v>
      </c>
      <c r="D373" s="42">
        <f>VLOOKUP($A373,'Neraca Unaudited SIMAK'!$A$2:$R$1272,3,FALSE)+IF(ISNA(VLOOKUP($A373,'Mutasi Neraca'!$A$3:$S$910,3,FALSE)),0,VLOOKUP($A373,'Mutasi Neraca'!$A$3:$S$910,3,FALSE))</f>
        <v>4150300</v>
      </c>
      <c r="E373" s="42">
        <f>VLOOKUP($A373,'Neraca Unaudited SIMAK'!$A$2:$R$1272,4,FALSE)+IF(ISNA(VLOOKUP($A373,'Mutasi Neraca'!$A$3:$S$910,4,FALSE)),0,VLOOKUP($A373,'Mutasi Neraca'!$A$3:$S$910,4,FALSE))</f>
        <v>538054000</v>
      </c>
      <c r="F373" s="42">
        <f>VLOOKUP($A373,'Neraca Unaudited SIMAK'!$A$2:$R$1272,5,FALSE)+IF(ISNA(VLOOKUP($A373,'Mutasi Neraca'!$A$3:$S$910,5,FALSE)),0,VLOOKUP($A373,'Mutasi Neraca'!$A$3:$S$910,5,FALSE))</f>
        <v>722483753</v>
      </c>
      <c r="G373" s="42">
        <f>VLOOKUP($A373,'Neraca Unaudited SIMAK'!$A$2:$R$1272,6,FALSE)+IF(ISNA(VLOOKUP($A373,'Mutasi Neraca'!$A$3:$S$910,6,FALSE)),0,VLOOKUP($A373,'Mutasi Neraca'!$A$3:$S$910,6,FALSE))</f>
        <v>2141546000</v>
      </c>
      <c r="H373" s="42">
        <f>VLOOKUP($A373,'Neraca Unaudited SIMAK'!$A$2:$R$1272,7,FALSE)+IF(ISNA(VLOOKUP($A373,'Mutasi Neraca'!$A$3:$S$910,7,FALSE)),0,VLOOKUP($A373,'Mutasi Neraca'!$A$3:$S$910,7,FALSE))</f>
        <v>0</v>
      </c>
      <c r="I373" s="42">
        <f>VLOOKUP($A373,'Neraca Unaudited SIMAK'!$A$2:$R$1272,8,FALSE)+IF(ISNA(VLOOKUP($A373,'Mutasi Neraca'!$A$3:$S$910,8,FALSE)),0,VLOOKUP($A373,'Mutasi Neraca'!$A$3:$S$910,8,FALSE))</f>
        <v>71363650</v>
      </c>
      <c r="J373" s="42">
        <f>VLOOKUP($A373,'Neraca Unaudited SIMAK'!$A$2:$R$1272,9,FALSE)+IF(ISNA(VLOOKUP($A373,'Mutasi Neraca'!$A$3:$S$910,9,FALSE)),0,VLOOKUP($A373,'Mutasi Neraca'!$A$3:$S$910,9,FALSE))</f>
        <v>0</v>
      </c>
      <c r="K373" s="42">
        <f>VLOOKUP($A373,'Neraca Unaudited SIMAK'!$A$2:$R$1272,10,FALSE)+IF(ISNA(VLOOKUP($A373,'Mutasi Neraca'!$A$3:$S$910,10,FALSE)),0,VLOOKUP($A373,'Mutasi Neraca'!$A$3:$S$910,10,FALSE))</f>
        <v>20750000</v>
      </c>
      <c r="L373" s="42">
        <f>VLOOKUP($A373,'Neraca Unaudited SIMAK'!$A$2:$R$1272,11,FALSE)+IF(ISNA(VLOOKUP($A373,'Mutasi Neraca'!$A$3:$S$910,11,FALSE)),0,VLOOKUP($A373,'Mutasi Neraca'!$A$3:$S$910,11,FALSE))</f>
        <v>24138000</v>
      </c>
      <c r="M373" s="42">
        <f>VLOOKUP($A373,'Neraca Unaudited SIMAK'!$A$2:$R$1272,12,FALSE)+IF(ISNA(VLOOKUP($A373,'Mutasi Neraca'!$A$3:$S$910,12,FALSE)),0,VLOOKUP($A373,'Mutasi Neraca'!$A$3:$S$910,12,FALSE))</f>
        <v>3522485703</v>
      </c>
      <c r="N373" s="42">
        <f>VLOOKUP($A373,'Neraca Unaudited SIMAK'!$A$2:$R$1272,13,FALSE)+IF(ISNA(VLOOKUP($A373,'Mutasi Neraca'!$A$3:$S$910,13,FALSE)),0,VLOOKUP($A373,'Mutasi Neraca'!$A$3:$S$910,13,FALSE))</f>
        <v>-625333736</v>
      </c>
      <c r="O373" s="42">
        <f>VLOOKUP($A373,'Neraca Unaudited SIMAK'!$A$2:$R$1272,14,FALSE)+IF(ISNA(VLOOKUP($A373,'Mutasi Neraca'!$A$3:$S$910,14,FALSE)),0,VLOOKUP($A373,'Mutasi Neraca'!$A$3:$S$910,14,FALSE))</f>
        <v>-417195200</v>
      </c>
      <c r="P373" s="42">
        <f>VLOOKUP($A373,'Neraca Unaudited SIMAK'!$A$2:$R$1272,15,FALSE)+IF(ISNA(VLOOKUP($A373,'Mutasi Neraca'!$A$3:$S$910,15,FALSE)),0,VLOOKUP($A373,'Mutasi Neraca'!$A$3:$S$910,15,FALSE))</f>
        <v>0</v>
      </c>
      <c r="Q373" s="42">
        <f>VLOOKUP($A373,'Neraca Unaudited SIMAK'!$A$2:$R$1272,16,FALSE)+IF(ISNA(VLOOKUP($A373,'Mutasi Neraca'!$A$3:$S$910,16,FALSE)),0,VLOOKUP($A373,'Mutasi Neraca'!$A$3:$S$910,16,FALSE))</f>
        <v>0</v>
      </c>
      <c r="R373" s="42">
        <f>VLOOKUP($A373,'Neraca Unaudited SIMAK'!$A$2:$R$1272,17,FALSE)+IF(ISNA(VLOOKUP($A373,'Mutasi Neraca'!$A$3:$S$910,17,FALSE)),0,VLOOKUP($A373,'Mutasi Neraca'!$A$3:$S$910,17,FALSE))</f>
        <v>-24138000</v>
      </c>
      <c r="S373" s="42">
        <f t="shared" si="53"/>
        <v>2455818767</v>
      </c>
    </row>
    <row r="374" spans="1:19">
      <c r="A374" s="41" t="s">
        <v>381</v>
      </c>
      <c r="B374" s="41" t="str">
        <f t="shared" si="52"/>
        <v>005010900</v>
      </c>
      <c r="D374" s="42">
        <f>VLOOKUP($A374,'Neraca Unaudited SIMAK'!$A$2:$R$1272,3,FALSE)+IF(ISNA(VLOOKUP($A374,'Mutasi Neraca'!$A$3:$S$910,3,FALSE)),0,VLOOKUP($A374,'Mutasi Neraca'!$A$3:$S$910,3,FALSE))</f>
        <v>16940770</v>
      </c>
      <c r="E374" s="42">
        <f>VLOOKUP($A374,'Neraca Unaudited SIMAK'!$A$2:$R$1272,4,FALSE)+IF(ISNA(VLOOKUP($A374,'Mutasi Neraca'!$A$3:$S$910,4,FALSE)),0,VLOOKUP($A374,'Mutasi Neraca'!$A$3:$S$910,4,FALSE))</f>
        <v>15326663750</v>
      </c>
      <c r="F374" s="42">
        <f>VLOOKUP($A374,'Neraca Unaudited SIMAK'!$A$2:$R$1272,5,FALSE)+IF(ISNA(VLOOKUP($A374,'Mutasi Neraca'!$A$3:$S$910,5,FALSE)),0,VLOOKUP($A374,'Mutasi Neraca'!$A$3:$S$910,5,FALSE))</f>
        <v>3995816541</v>
      </c>
      <c r="G374" s="42">
        <f>VLOOKUP($A374,'Neraca Unaudited SIMAK'!$A$2:$R$1272,6,FALSE)+IF(ISNA(VLOOKUP($A374,'Mutasi Neraca'!$A$3:$S$910,6,FALSE)),0,VLOOKUP($A374,'Mutasi Neraca'!$A$3:$S$910,6,FALSE))</f>
        <v>10822842400</v>
      </c>
      <c r="H374" s="42">
        <f>VLOOKUP($A374,'Neraca Unaudited SIMAK'!$A$2:$R$1272,7,FALSE)+IF(ISNA(VLOOKUP($A374,'Mutasi Neraca'!$A$3:$S$910,7,FALSE)),0,VLOOKUP($A374,'Mutasi Neraca'!$A$3:$S$910,7,FALSE))</f>
        <v>251285800</v>
      </c>
      <c r="I374" s="42">
        <f>VLOOKUP($A374,'Neraca Unaudited SIMAK'!$A$2:$R$1272,8,FALSE)+IF(ISNA(VLOOKUP($A374,'Mutasi Neraca'!$A$3:$S$910,8,FALSE)),0,VLOOKUP($A374,'Mutasi Neraca'!$A$3:$S$910,8,FALSE))</f>
        <v>46140740</v>
      </c>
      <c r="J374" s="42">
        <f>VLOOKUP($A374,'Neraca Unaudited SIMAK'!$A$2:$R$1272,9,FALSE)+IF(ISNA(VLOOKUP($A374,'Mutasi Neraca'!$A$3:$S$910,9,FALSE)),0,VLOOKUP($A374,'Mutasi Neraca'!$A$3:$S$910,9,FALSE))</f>
        <v>0</v>
      </c>
      <c r="K374" s="42">
        <f>VLOOKUP($A374,'Neraca Unaudited SIMAK'!$A$2:$R$1272,10,FALSE)+IF(ISNA(VLOOKUP($A374,'Mutasi Neraca'!$A$3:$S$910,10,FALSE)),0,VLOOKUP($A374,'Mutasi Neraca'!$A$3:$S$910,10,FALSE))</f>
        <v>0</v>
      </c>
      <c r="L374" s="42">
        <f>VLOOKUP($A374,'Neraca Unaudited SIMAK'!$A$2:$R$1272,11,FALSE)+IF(ISNA(VLOOKUP($A374,'Mutasi Neraca'!$A$3:$S$910,11,FALSE)),0,VLOOKUP($A374,'Mutasi Neraca'!$A$3:$S$910,11,FALSE))</f>
        <v>85213000</v>
      </c>
      <c r="M374" s="42">
        <f>VLOOKUP($A374,'Neraca Unaudited SIMAK'!$A$2:$R$1272,12,FALSE)+IF(ISNA(VLOOKUP($A374,'Mutasi Neraca'!$A$3:$S$910,12,FALSE)),0,VLOOKUP($A374,'Mutasi Neraca'!$A$3:$S$910,12,FALSE))</f>
        <v>30544903001</v>
      </c>
      <c r="N374" s="42">
        <f>VLOOKUP($A374,'Neraca Unaudited SIMAK'!$A$2:$R$1272,13,FALSE)+IF(ISNA(VLOOKUP($A374,'Mutasi Neraca'!$A$3:$S$910,13,FALSE)),0,VLOOKUP($A374,'Mutasi Neraca'!$A$3:$S$910,13,FALSE))</f>
        <v>-3440742636</v>
      </c>
      <c r="O374" s="42">
        <f>VLOOKUP($A374,'Neraca Unaudited SIMAK'!$A$2:$R$1272,14,FALSE)+IF(ISNA(VLOOKUP($A374,'Mutasi Neraca'!$A$3:$S$910,14,FALSE)),0,VLOOKUP($A374,'Mutasi Neraca'!$A$3:$S$910,14,FALSE))</f>
        <v>-1740539474</v>
      </c>
      <c r="P374" s="42">
        <f>VLOOKUP($A374,'Neraca Unaudited SIMAK'!$A$2:$R$1272,15,FALSE)+IF(ISNA(VLOOKUP($A374,'Mutasi Neraca'!$A$3:$S$910,15,FALSE)),0,VLOOKUP($A374,'Mutasi Neraca'!$A$3:$S$910,15,FALSE))</f>
        <v>-32667154</v>
      </c>
      <c r="Q374" s="42">
        <f>VLOOKUP($A374,'Neraca Unaudited SIMAK'!$A$2:$R$1272,16,FALSE)+IF(ISNA(VLOOKUP($A374,'Mutasi Neraca'!$A$3:$S$910,16,FALSE)),0,VLOOKUP($A374,'Mutasi Neraca'!$A$3:$S$910,16,FALSE))</f>
        <v>-19800000</v>
      </c>
      <c r="R374" s="42">
        <f>VLOOKUP($A374,'Neraca Unaudited SIMAK'!$A$2:$R$1272,17,FALSE)+IF(ISNA(VLOOKUP($A374,'Mutasi Neraca'!$A$3:$S$910,17,FALSE)),0,VLOOKUP($A374,'Mutasi Neraca'!$A$3:$S$910,17,FALSE))</f>
        <v>-85213000</v>
      </c>
      <c r="S374" s="42">
        <f t="shared" si="53"/>
        <v>25225940737</v>
      </c>
    </row>
    <row r="375" spans="1:19">
      <c r="A375" s="41" t="s">
        <v>382</v>
      </c>
      <c r="B375" s="41" t="str">
        <f t="shared" si="52"/>
        <v>005010900</v>
      </c>
      <c r="D375" s="42">
        <f>VLOOKUP($A375,'Neraca Unaudited SIMAK'!$A$2:$R$1272,3,FALSE)+IF(ISNA(VLOOKUP($A375,'Mutasi Neraca'!$A$3:$S$910,3,FALSE)),0,VLOOKUP($A375,'Mutasi Neraca'!$A$3:$S$910,3,FALSE))</f>
        <v>100200</v>
      </c>
      <c r="E375" s="42">
        <f>VLOOKUP($A375,'Neraca Unaudited SIMAK'!$A$2:$R$1272,4,FALSE)+IF(ISNA(VLOOKUP($A375,'Mutasi Neraca'!$A$3:$S$910,4,FALSE)),0,VLOOKUP($A375,'Mutasi Neraca'!$A$3:$S$910,4,FALSE))</f>
        <v>815000000</v>
      </c>
      <c r="F375" s="42">
        <f>VLOOKUP($A375,'Neraca Unaudited SIMAK'!$A$2:$R$1272,5,FALSE)+IF(ISNA(VLOOKUP($A375,'Mutasi Neraca'!$A$3:$S$910,5,FALSE)),0,VLOOKUP($A375,'Mutasi Neraca'!$A$3:$S$910,5,FALSE))</f>
        <v>3249768271</v>
      </c>
      <c r="G375" s="42">
        <f>VLOOKUP($A375,'Neraca Unaudited SIMAK'!$A$2:$R$1272,6,FALSE)+IF(ISNA(VLOOKUP($A375,'Mutasi Neraca'!$A$3:$S$910,6,FALSE)),0,VLOOKUP($A375,'Mutasi Neraca'!$A$3:$S$910,6,FALSE))</f>
        <v>7883578834</v>
      </c>
      <c r="H375" s="42">
        <f>VLOOKUP($A375,'Neraca Unaudited SIMAK'!$A$2:$R$1272,7,FALSE)+IF(ISNA(VLOOKUP($A375,'Mutasi Neraca'!$A$3:$S$910,7,FALSE)),0,VLOOKUP($A375,'Mutasi Neraca'!$A$3:$S$910,7,FALSE))</f>
        <v>0</v>
      </c>
      <c r="I375" s="42">
        <f>VLOOKUP($A375,'Neraca Unaudited SIMAK'!$A$2:$R$1272,8,FALSE)+IF(ISNA(VLOOKUP($A375,'Mutasi Neraca'!$A$3:$S$910,8,FALSE)),0,VLOOKUP($A375,'Mutasi Neraca'!$A$3:$S$910,8,FALSE))</f>
        <v>63303440</v>
      </c>
      <c r="J375" s="42">
        <f>VLOOKUP($A375,'Neraca Unaudited SIMAK'!$A$2:$R$1272,9,FALSE)+IF(ISNA(VLOOKUP($A375,'Mutasi Neraca'!$A$3:$S$910,9,FALSE)),0,VLOOKUP($A375,'Mutasi Neraca'!$A$3:$S$910,9,FALSE))</f>
        <v>0</v>
      </c>
      <c r="K375" s="42">
        <f>VLOOKUP($A375,'Neraca Unaudited SIMAK'!$A$2:$R$1272,10,FALSE)+IF(ISNA(VLOOKUP($A375,'Mutasi Neraca'!$A$3:$S$910,10,FALSE)),0,VLOOKUP($A375,'Mutasi Neraca'!$A$3:$S$910,10,FALSE))</f>
        <v>0</v>
      </c>
      <c r="L375" s="42">
        <f>VLOOKUP($A375,'Neraca Unaudited SIMAK'!$A$2:$R$1272,11,FALSE)+IF(ISNA(VLOOKUP($A375,'Mutasi Neraca'!$A$3:$S$910,11,FALSE)),0,VLOOKUP($A375,'Mutasi Neraca'!$A$3:$S$910,11,FALSE))</f>
        <v>14570000</v>
      </c>
      <c r="M375" s="42">
        <f>VLOOKUP($A375,'Neraca Unaudited SIMAK'!$A$2:$R$1272,12,FALSE)+IF(ISNA(VLOOKUP($A375,'Mutasi Neraca'!$A$3:$S$910,12,FALSE)),0,VLOOKUP($A375,'Mutasi Neraca'!$A$3:$S$910,12,FALSE))</f>
        <v>12026320745</v>
      </c>
      <c r="N375" s="42">
        <f>VLOOKUP($A375,'Neraca Unaudited SIMAK'!$A$2:$R$1272,13,FALSE)+IF(ISNA(VLOOKUP($A375,'Mutasi Neraca'!$A$3:$S$910,13,FALSE)),0,VLOOKUP($A375,'Mutasi Neraca'!$A$3:$S$910,13,FALSE))</f>
        <v>-3061869730</v>
      </c>
      <c r="O375" s="42">
        <f>VLOOKUP($A375,'Neraca Unaudited SIMAK'!$A$2:$R$1272,14,FALSE)+IF(ISNA(VLOOKUP($A375,'Mutasi Neraca'!$A$3:$S$910,14,FALSE)),0,VLOOKUP($A375,'Mutasi Neraca'!$A$3:$S$910,14,FALSE))</f>
        <v>-1411254405</v>
      </c>
      <c r="P375" s="42">
        <f>VLOOKUP($A375,'Neraca Unaudited SIMAK'!$A$2:$R$1272,15,FALSE)+IF(ISNA(VLOOKUP($A375,'Mutasi Neraca'!$A$3:$S$910,15,FALSE)),0,VLOOKUP($A375,'Mutasi Neraca'!$A$3:$S$910,15,FALSE))</f>
        <v>0</v>
      </c>
      <c r="Q375" s="42">
        <f>VLOOKUP($A375,'Neraca Unaudited SIMAK'!$A$2:$R$1272,16,FALSE)+IF(ISNA(VLOOKUP($A375,'Mutasi Neraca'!$A$3:$S$910,16,FALSE)),0,VLOOKUP($A375,'Mutasi Neraca'!$A$3:$S$910,16,FALSE))</f>
        <v>0</v>
      </c>
      <c r="R375" s="42">
        <f>VLOOKUP($A375,'Neraca Unaudited SIMAK'!$A$2:$R$1272,17,FALSE)+IF(ISNA(VLOOKUP($A375,'Mutasi Neraca'!$A$3:$S$910,17,FALSE)),0,VLOOKUP($A375,'Mutasi Neraca'!$A$3:$S$910,17,FALSE))</f>
        <v>-14570000</v>
      </c>
      <c r="S375" s="42">
        <f t="shared" si="53"/>
        <v>7538626610</v>
      </c>
    </row>
    <row r="376" spans="1:19">
      <c r="A376" s="41" t="s">
        <v>383</v>
      </c>
      <c r="B376" s="41" t="str">
        <f t="shared" si="52"/>
        <v>005010900</v>
      </c>
      <c r="D376" s="42">
        <f>VLOOKUP($A376,'Neraca Unaudited SIMAK'!$A$2:$R$1272,3,FALSE)+IF(ISNA(VLOOKUP($A376,'Mutasi Neraca'!$A$3:$S$910,3,FALSE)),0,VLOOKUP($A376,'Mutasi Neraca'!$A$3:$S$910,3,FALSE))</f>
        <v>279000</v>
      </c>
      <c r="E376" s="42">
        <f>VLOOKUP($A376,'Neraca Unaudited SIMAK'!$A$2:$R$1272,4,FALSE)+IF(ISNA(VLOOKUP($A376,'Mutasi Neraca'!$A$3:$S$910,4,FALSE)),0,VLOOKUP($A376,'Mutasi Neraca'!$A$3:$S$910,4,FALSE))</f>
        <v>105995000</v>
      </c>
      <c r="F376" s="42">
        <f>VLOOKUP($A376,'Neraca Unaudited SIMAK'!$A$2:$R$1272,5,FALSE)+IF(ISNA(VLOOKUP($A376,'Mutasi Neraca'!$A$3:$S$910,5,FALSE)),0,VLOOKUP($A376,'Mutasi Neraca'!$A$3:$S$910,5,FALSE))</f>
        <v>1652819554</v>
      </c>
      <c r="G376" s="42">
        <f>VLOOKUP($A376,'Neraca Unaudited SIMAK'!$A$2:$R$1272,6,FALSE)+IF(ISNA(VLOOKUP($A376,'Mutasi Neraca'!$A$3:$S$910,6,FALSE)),0,VLOOKUP($A376,'Mutasi Neraca'!$A$3:$S$910,6,FALSE))</f>
        <v>5823429000</v>
      </c>
      <c r="H376" s="42">
        <f>VLOOKUP($A376,'Neraca Unaudited SIMAK'!$A$2:$R$1272,7,FALSE)+IF(ISNA(VLOOKUP($A376,'Mutasi Neraca'!$A$3:$S$910,7,FALSE)),0,VLOOKUP($A376,'Mutasi Neraca'!$A$3:$S$910,7,FALSE))</f>
        <v>0</v>
      </c>
      <c r="I376" s="42">
        <f>VLOOKUP($A376,'Neraca Unaudited SIMAK'!$A$2:$R$1272,8,FALSE)+IF(ISNA(VLOOKUP($A376,'Mutasi Neraca'!$A$3:$S$910,8,FALSE)),0,VLOOKUP($A376,'Mutasi Neraca'!$A$3:$S$910,8,FALSE))</f>
        <v>1943440</v>
      </c>
      <c r="J376" s="42">
        <f>VLOOKUP($A376,'Neraca Unaudited SIMAK'!$A$2:$R$1272,9,FALSE)+IF(ISNA(VLOOKUP($A376,'Mutasi Neraca'!$A$3:$S$910,9,FALSE)),0,VLOOKUP($A376,'Mutasi Neraca'!$A$3:$S$910,9,FALSE))</f>
        <v>0</v>
      </c>
      <c r="K376" s="42">
        <f>VLOOKUP($A376,'Neraca Unaudited SIMAK'!$A$2:$R$1272,10,FALSE)+IF(ISNA(VLOOKUP($A376,'Mutasi Neraca'!$A$3:$S$910,10,FALSE)),0,VLOOKUP($A376,'Mutasi Neraca'!$A$3:$S$910,10,FALSE))</f>
        <v>24200000</v>
      </c>
      <c r="L376" s="42">
        <f>VLOOKUP($A376,'Neraca Unaudited SIMAK'!$A$2:$R$1272,11,FALSE)+IF(ISNA(VLOOKUP($A376,'Mutasi Neraca'!$A$3:$S$910,11,FALSE)),0,VLOOKUP($A376,'Mutasi Neraca'!$A$3:$S$910,11,FALSE))</f>
        <v>0</v>
      </c>
      <c r="M376" s="42">
        <f>VLOOKUP($A376,'Neraca Unaudited SIMAK'!$A$2:$R$1272,12,FALSE)+IF(ISNA(VLOOKUP($A376,'Mutasi Neraca'!$A$3:$S$910,12,FALSE)),0,VLOOKUP($A376,'Mutasi Neraca'!$A$3:$S$910,12,FALSE))</f>
        <v>7608665994</v>
      </c>
      <c r="N376" s="42">
        <f>VLOOKUP($A376,'Neraca Unaudited SIMAK'!$A$2:$R$1272,13,FALSE)+IF(ISNA(VLOOKUP($A376,'Mutasi Neraca'!$A$3:$S$910,13,FALSE)),0,VLOOKUP($A376,'Mutasi Neraca'!$A$3:$S$910,13,FALSE))</f>
        <v>-1388299034</v>
      </c>
      <c r="O376" s="42">
        <f>VLOOKUP($A376,'Neraca Unaudited SIMAK'!$A$2:$R$1272,14,FALSE)+IF(ISNA(VLOOKUP($A376,'Mutasi Neraca'!$A$3:$S$910,14,FALSE)),0,VLOOKUP($A376,'Mutasi Neraca'!$A$3:$S$910,14,FALSE))</f>
        <v>-866040350</v>
      </c>
      <c r="P376" s="42">
        <f>VLOOKUP($A376,'Neraca Unaudited SIMAK'!$A$2:$R$1272,15,FALSE)+IF(ISNA(VLOOKUP($A376,'Mutasi Neraca'!$A$3:$S$910,15,FALSE)),0,VLOOKUP($A376,'Mutasi Neraca'!$A$3:$S$910,15,FALSE))</f>
        <v>0</v>
      </c>
      <c r="Q376" s="42">
        <f>VLOOKUP($A376,'Neraca Unaudited SIMAK'!$A$2:$R$1272,16,FALSE)+IF(ISNA(VLOOKUP($A376,'Mutasi Neraca'!$A$3:$S$910,16,FALSE)),0,VLOOKUP($A376,'Mutasi Neraca'!$A$3:$S$910,16,FALSE))</f>
        <v>0</v>
      </c>
      <c r="R376" s="42">
        <f>VLOOKUP($A376,'Neraca Unaudited SIMAK'!$A$2:$R$1272,17,FALSE)+IF(ISNA(VLOOKUP($A376,'Mutasi Neraca'!$A$3:$S$910,17,FALSE)),0,VLOOKUP($A376,'Mutasi Neraca'!$A$3:$S$910,17,FALSE))</f>
        <v>-10500000</v>
      </c>
      <c r="S376" s="42">
        <f t="shared" si="53"/>
        <v>5343826610</v>
      </c>
    </row>
    <row r="377" spans="1:19">
      <c r="A377" s="41" t="s">
        <v>384</v>
      </c>
      <c r="B377" s="41" t="str">
        <f t="shared" si="52"/>
        <v>005010900</v>
      </c>
      <c r="D377" s="42">
        <f>VLOOKUP($A377,'Neraca Unaudited SIMAK'!$A$2:$R$1272,3,FALSE)+IF(ISNA(VLOOKUP($A377,'Mutasi Neraca'!$A$3:$S$910,3,FALSE)),0,VLOOKUP($A377,'Mutasi Neraca'!$A$3:$S$910,3,FALSE))</f>
        <v>7875000</v>
      </c>
      <c r="E377" s="42">
        <f>VLOOKUP($A377,'Neraca Unaudited SIMAK'!$A$2:$R$1272,4,FALSE)+IF(ISNA(VLOOKUP($A377,'Mutasi Neraca'!$A$3:$S$910,4,FALSE)),0,VLOOKUP($A377,'Mutasi Neraca'!$A$3:$S$910,4,FALSE))</f>
        <v>417232000</v>
      </c>
      <c r="F377" s="42">
        <f>VLOOKUP($A377,'Neraca Unaudited SIMAK'!$A$2:$R$1272,5,FALSE)+IF(ISNA(VLOOKUP($A377,'Mutasi Neraca'!$A$3:$S$910,5,FALSE)),0,VLOOKUP($A377,'Mutasi Neraca'!$A$3:$S$910,5,FALSE))</f>
        <v>1903005553</v>
      </c>
      <c r="G377" s="42">
        <f>VLOOKUP($A377,'Neraca Unaudited SIMAK'!$A$2:$R$1272,6,FALSE)+IF(ISNA(VLOOKUP($A377,'Mutasi Neraca'!$A$3:$S$910,6,FALSE)),0,VLOOKUP($A377,'Mutasi Neraca'!$A$3:$S$910,6,FALSE))</f>
        <v>1094070000</v>
      </c>
      <c r="H377" s="42">
        <f>VLOOKUP($A377,'Neraca Unaudited SIMAK'!$A$2:$R$1272,7,FALSE)+IF(ISNA(VLOOKUP($A377,'Mutasi Neraca'!$A$3:$S$910,7,FALSE)),0,VLOOKUP($A377,'Mutasi Neraca'!$A$3:$S$910,7,FALSE))</f>
        <v>15400000</v>
      </c>
      <c r="I377" s="42">
        <f>VLOOKUP($A377,'Neraca Unaudited SIMAK'!$A$2:$R$1272,8,FALSE)+IF(ISNA(VLOOKUP($A377,'Mutasi Neraca'!$A$3:$S$910,8,FALSE)),0,VLOOKUP($A377,'Mutasi Neraca'!$A$3:$S$910,8,FALSE))</f>
        <v>0</v>
      </c>
      <c r="J377" s="42">
        <f>VLOOKUP($A377,'Neraca Unaudited SIMAK'!$A$2:$R$1272,9,FALSE)+IF(ISNA(VLOOKUP($A377,'Mutasi Neraca'!$A$3:$S$910,9,FALSE)),0,VLOOKUP($A377,'Mutasi Neraca'!$A$3:$S$910,9,FALSE))</f>
        <v>0</v>
      </c>
      <c r="K377" s="42">
        <f>VLOOKUP($A377,'Neraca Unaudited SIMAK'!$A$2:$R$1272,10,FALSE)+IF(ISNA(VLOOKUP($A377,'Mutasi Neraca'!$A$3:$S$910,10,FALSE)),0,VLOOKUP($A377,'Mutasi Neraca'!$A$3:$S$910,10,FALSE))</f>
        <v>0</v>
      </c>
      <c r="L377" s="42">
        <f>VLOOKUP($A377,'Neraca Unaudited SIMAK'!$A$2:$R$1272,11,FALSE)+IF(ISNA(VLOOKUP($A377,'Mutasi Neraca'!$A$3:$S$910,11,FALSE)),0,VLOOKUP($A377,'Mutasi Neraca'!$A$3:$S$910,11,FALSE))</f>
        <v>0</v>
      </c>
      <c r="M377" s="42">
        <f>VLOOKUP($A377,'Neraca Unaudited SIMAK'!$A$2:$R$1272,12,FALSE)+IF(ISNA(VLOOKUP($A377,'Mutasi Neraca'!$A$3:$S$910,12,FALSE)),0,VLOOKUP($A377,'Mutasi Neraca'!$A$3:$S$910,12,FALSE))</f>
        <v>3437582553</v>
      </c>
      <c r="N377" s="42">
        <f>VLOOKUP($A377,'Neraca Unaudited SIMAK'!$A$2:$R$1272,13,FALSE)+IF(ISNA(VLOOKUP($A377,'Mutasi Neraca'!$A$3:$S$910,13,FALSE)),0,VLOOKUP($A377,'Mutasi Neraca'!$A$3:$S$910,13,FALSE))</f>
        <v>-1608466865</v>
      </c>
      <c r="O377" s="42">
        <f>VLOOKUP($A377,'Neraca Unaudited SIMAK'!$A$2:$R$1272,14,FALSE)+IF(ISNA(VLOOKUP($A377,'Mutasi Neraca'!$A$3:$S$910,14,FALSE)),0,VLOOKUP($A377,'Mutasi Neraca'!$A$3:$S$910,14,FALSE))</f>
        <v>-52985600</v>
      </c>
      <c r="P377" s="42">
        <f>VLOOKUP($A377,'Neraca Unaudited SIMAK'!$A$2:$R$1272,15,FALSE)+IF(ISNA(VLOOKUP($A377,'Mutasi Neraca'!$A$3:$S$910,15,FALSE)),0,VLOOKUP($A377,'Mutasi Neraca'!$A$3:$S$910,15,FALSE))</f>
        <v>-4111250</v>
      </c>
      <c r="Q377" s="42">
        <f>VLOOKUP($A377,'Neraca Unaudited SIMAK'!$A$2:$R$1272,16,FALSE)+IF(ISNA(VLOOKUP($A377,'Mutasi Neraca'!$A$3:$S$910,16,FALSE)),0,VLOOKUP($A377,'Mutasi Neraca'!$A$3:$S$910,16,FALSE))</f>
        <v>0</v>
      </c>
      <c r="R377" s="42">
        <f>VLOOKUP($A377,'Neraca Unaudited SIMAK'!$A$2:$R$1272,17,FALSE)+IF(ISNA(VLOOKUP($A377,'Mutasi Neraca'!$A$3:$S$910,17,FALSE)),0,VLOOKUP($A377,'Mutasi Neraca'!$A$3:$S$910,17,FALSE))</f>
        <v>0</v>
      </c>
      <c r="S377" s="42">
        <f t="shared" si="53"/>
        <v>1772018838</v>
      </c>
    </row>
    <row r="378" spans="1:19">
      <c r="A378" s="41" t="s">
        <v>385</v>
      </c>
      <c r="B378" s="41" t="str">
        <f t="shared" si="52"/>
        <v>005010900</v>
      </c>
      <c r="D378" s="42">
        <f>VLOOKUP($A378,'Neraca Unaudited SIMAK'!$A$2:$R$1272,3,FALSE)+IF(ISNA(VLOOKUP($A378,'Mutasi Neraca'!$A$3:$S$910,3,FALSE)),0,VLOOKUP($A378,'Mutasi Neraca'!$A$3:$S$910,3,FALSE))</f>
        <v>6553470</v>
      </c>
      <c r="E378" s="42">
        <f>VLOOKUP($A378,'Neraca Unaudited SIMAK'!$A$2:$R$1272,4,FALSE)+IF(ISNA(VLOOKUP($A378,'Mutasi Neraca'!$A$3:$S$910,4,FALSE)),0,VLOOKUP($A378,'Mutasi Neraca'!$A$3:$S$910,4,FALSE))</f>
        <v>3060349000</v>
      </c>
      <c r="F378" s="42">
        <f>VLOOKUP($A378,'Neraca Unaudited SIMAK'!$A$2:$R$1272,5,FALSE)+IF(ISNA(VLOOKUP($A378,'Mutasi Neraca'!$A$3:$S$910,5,FALSE)),0,VLOOKUP($A378,'Mutasi Neraca'!$A$3:$S$910,5,FALSE))</f>
        <v>1968955601</v>
      </c>
      <c r="G378" s="42">
        <f>VLOOKUP($A378,'Neraca Unaudited SIMAK'!$A$2:$R$1272,6,FALSE)+IF(ISNA(VLOOKUP($A378,'Mutasi Neraca'!$A$3:$S$910,6,FALSE)),0,VLOOKUP($A378,'Mutasi Neraca'!$A$3:$S$910,6,FALSE))</f>
        <v>6508125500</v>
      </c>
      <c r="H378" s="42">
        <f>VLOOKUP($A378,'Neraca Unaudited SIMAK'!$A$2:$R$1272,7,FALSE)+IF(ISNA(VLOOKUP($A378,'Mutasi Neraca'!$A$3:$S$910,7,FALSE)),0,VLOOKUP($A378,'Mutasi Neraca'!$A$3:$S$910,7,FALSE))</f>
        <v>0</v>
      </c>
      <c r="I378" s="42">
        <f>VLOOKUP($A378,'Neraca Unaudited SIMAK'!$A$2:$R$1272,8,FALSE)+IF(ISNA(VLOOKUP($A378,'Mutasi Neraca'!$A$3:$S$910,8,FALSE)),0,VLOOKUP($A378,'Mutasi Neraca'!$A$3:$S$910,8,FALSE))</f>
        <v>0</v>
      </c>
      <c r="J378" s="42">
        <f>VLOOKUP($A378,'Neraca Unaudited SIMAK'!$A$2:$R$1272,9,FALSE)+IF(ISNA(VLOOKUP($A378,'Mutasi Neraca'!$A$3:$S$910,9,FALSE)),0,VLOOKUP($A378,'Mutasi Neraca'!$A$3:$S$910,9,FALSE))</f>
        <v>0</v>
      </c>
      <c r="K378" s="42">
        <f>VLOOKUP($A378,'Neraca Unaudited SIMAK'!$A$2:$R$1272,10,FALSE)+IF(ISNA(VLOOKUP($A378,'Mutasi Neraca'!$A$3:$S$910,10,FALSE)),0,VLOOKUP($A378,'Mutasi Neraca'!$A$3:$S$910,10,FALSE))</f>
        <v>97790000</v>
      </c>
      <c r="L378" s="42">
        <f>VLOOKUP($A378,'Neraca Unaudited SIMAK'!$A$2:$R$1272,11,FALSE)+IF(ISNA(VLOOKUP($A378,'Mutasi Neraca'!$A$3:$S$910,11,FALSE)),0,VLOOKUP($A378,'Mutasi Neraca'!$A$3:$S$910,11,FALSE))</f>
        <v>0</v>
      </c>
      <c r="M378" s="42">
        <f>VLOOKUP($A378,'Neraca Unaudited SIMAK'!$A$2:$R$1272,12,FALSE)+IF(ISNA(VLOOKUP($A378,'Mutasi Neraca'!$A$3:$S$910,12,FALSE)),0,VLOOKUP($A378,'Mutasi Neraca'!$A$3:$S$910,12,FALSE))</f>
        <v>11641773571</v>
      </c>
      <c r="N378" s="42">
        <f>VLOOKUP($A378,'Neraca Unaudited SIMAK'!$A$2:$R$1272,13,FALSE)+IF(ISNA(VLOOKUP($A378,'Mutasi Neraca'!$A$3:$S$910,13,FALSE)),0,VLOOKUP($A378,'Mutasi Neraca'!$A$3:$S$910,13,FALSE))</f>
        <v>-1657576022</v>
      </c>
      <c r="O378" s="42">
        <f>VLOOKUP($A378,'Neraca Unaudited SIMAK'!$A$2:$R$1272,14,FALSE)+IF(ISNA(VLOOKUP($A378,'Mutasi Neraca'!$A$3:$S$910,14,FALSE)),0,VLOOKUP($A378,'Mutasi Neraca'!$A$3:$S$910,14,FALSE))</f>
        <v>-909229998</v>
      </c>
      <c r="P378" s="42">
        <f>VLOOKUP($A378,'Neraca Unaudited SIMAK'!$A$2:$R$1272,15,FALSE)+IF(ISNA(VLOOKUP($A378,'Mutasi Neraca'!$A$3:$S$910,15,FALSE)),0,VLOOKUP($A378,'Mutasi Neraca'!$A$3:$S$910,15,FALSE))</f>
        <v>0</v>
      </c>
      <c r="Q378" s="42">
        <f>VLOOKUP($A378,'Neraca Unaudited SIMAK'!$A$2:$R$1272,16,FALSE)+IF(ISNA(VLOOKUP($A378,'Mutasi Neraca'!$A$3:$S$910,16,FALSE)),0,VLOOKUP($A378,'Mutasi Neraca'!$A$3:$S$910,16,FALSE))</f>
        <v>0</v>
      </c>
      <c r="R378" s="42">
        <f>VLOOKUP($A378,'Neraca Unaudited SIMAK'!$A$2:$R$1272,17,FALSE)+IF(ISNA(VLOOKUP($A378,'Mutasi Neraca'!$A$3:$S$910,17,FALSE)),0,VLOOKUP($A378,'Mutasi Neraca'!$A$3:$S$910,17,FALSE))</f>
        <v>0</v>
      </c>
      <c r="S378" s="42">
        <f t="shared" si="53"/>
        <v>9074967551</v>
      </c>
    </row>
    <row r="379" spans="1:19">
      <c r="A379" s="41" t="s">
        <v>386</v>
      </c>
      <c r="B379" s="41" t="str">
        <f t="shared" si="52"/>
        <v>005010900</v>
      </c>
      <c r="D379" s="42">
        <f>VLOOKUP($A379,'Neraca Unaudited SIMAK'!$A$2:$R$1272,3,FALSE)+IF(ISNA(VLOOKUP($A379,'Mutasi Neraca'!$A$3:$S$910,3,FALSE)),0,VLOOKUP($A379,'Mutasi Neraca'!$A$3:$S$910,3,FALSE))</f>
        <v>1073382</v>
      </c>
      <c r="E379" s="42">
        <f>VLOOKUP($A379,'Neraca Unaudited SIMAK'!$A$2:$R$1272,4,FALSE)+IF(ISNA(VLOOKUP($A379,'Mutasi Neraca'!$A$3:$S$910,4,FALSE)),0,VLOOKUP($A379,'Mutasi Neraca'!$A$3:$S$910,4,FALSE))</f>
        <v>1558416000</v>
      </c>
      <c r="F379" s="42">
        <f>VLOOKUP($A379,'Neraca Unaudited SIMAK'!$A$2:$R$1272,5,FALSE)+IF(ISNA(VLOOKUP($A379,'Mutasi Neraca'!$A$3:$S$910,5,FALSE)),0,VLOOKUP($A379,'Mutasi Neraca'!$A$3:$S$910,5,FALSE))</f>
        <v>1408124484</v>
      </c>
      <c r="G379" s="42">
        <f>VLOOKUP($A379,'Neraca Unaudited SIMAK'!$A$2:$R$1272,6,FALSE)+IF(ISNA(VLOOKUP($A379,'Mutasi Neraca'!$A$3:$S$910,6,FALSE)),0,VLOOKUP($A379,'Mutasi Neraca'!$A$3:$S$910,6,FALSE))</f>
        <v>5543286950</v>
      </c>
      <c r="H379" s="42">
        <f>VLOOKUP($A379,'Neraca Unaudited SIMAK'!$A$2:$R$1272,7,FALSE)+IF(ISNA(VLOOKUP($A379,'Mutasi Neraca'!$A$3:$S$910,7,FALSE)),0,VLOOKUP($A379,'Mutasi Neraca'!$A$3:$S$910,7,FALSE))</f>
        <v>0</v>
      </c>
      <c r="I379" s="42">
        <f>VLOOKUP($A379,'Neraca Unaudited SIMAK'!$A$2:$R$1272,8,FALSE)+IF(ISNA(VLOOKUP($A379,'Mutasi Neraca'!$A$3:$S$910,8,FALSE)),0,VLOOKUP($A379,'Mutasi Neraca'!$A$3:$S$910,8,FALSE))</f>
        <v>18967126</v>
      </c>
      <c r="J379" s="42">
        <f>VLOOKUP($A379,'Neraca Unaudited SIMAK'!$A$2:$R$1272,9,FALSE)+IF(ISNA(VLOOKUP($A379,'Mutasi Neraca'!$A$3:$S$910,9,FALSE)),0,VLOOKUP($A379,'Mutasi Neraca'!$A$3:$S$910,9,FALSE))</f>
        <v>0</v>
      </c>
      <c r="K379" s="42">
        <f>VLOOKUP($A379,'Neraca Unaudited SIMAK'!$A$2:$R$1272,10,FALSE)+IF(ISNA(VLOOKUP($A379,'Mutasi Neraca'!$A$3:$S$910,10,FALSE)),0,VLOOKUP($A379,'Mutasi Neraca'!$A$3:$S$910,10,FALSE))</f>
        <v>0</v>
      </c>
      <c r="L379" s="42">
        <f>VLOOKUP($A379,'Neraca Unaudited SIMAK'!$A$2:$R$1272,11,FALSE)+IF(ISNA(VLOOKUP($A379,'Mutasi Neraca'!$A$3:$S$910,11,FALSE)),0,VLOOKUP($A379,'Mutasi Neraca'!$A$3:$S$910,11,FALSE))</f>
        <v>0</v>
      </c>
      <c r="M379" s="42">
        <f>VLOOKUP($A379,'Neraca Unaudited SIMAK'!$A$2:$R$1272,12,FALSE)+IF(ISNA(VLOOKUP($A379,'Mutasi Neraca'!$A$3:$S$910,12,FALSE)),0,VLOOKUP($A379,'Mutasi Neraca'!$A$3:$S$910,12,FALSE))</f>
        <v>8529867942</v>
      </c>
      <c r="N379" s="42">
        <f>VLOOKUP($A379,'Neraca Unaudited SIMAK'!$A$2:$R$1272,13,FALSE)+IF(ISNA(VLOOKUP($A379,'Mutasi Neraca'!$A$3:$S$910,13,FALSE)),0,VLOOKUP($A379,'Mutasi Neraca'!$A$3:$S$910,13,FALSE))</f>
        <v>-1170168096</v>
      </c>
      <c r="O379" s="42">
        <f>VLOOKUP($A379,'Neraca Unaudited SIMAK'!$A$2:$R$1272,14,FALSE)+IF(ISNA(VLOOKUP($A379,'Mutasi Neraca'!$A$3:$S$910,14,FALSE)),0,VLOOKUP($A379,'Mutasi Neraca'!$A$3:$S$910,14,FALSE))</f>
        <v>-1016157297</v>
      </c>
      <c r="P379" s="42">
        <f>VLOOKUP($A379,'Neraca Unaudited SIMAK'!$A$2:$R$1272,15,FALSE)+IF(ISNA(VLOOKUP($A379,'Mutasi Neraca'!$A$3:$S$910,15,FALSE)),0,VLOOKUP($A379,'Mutasi Neraca'!$A$3:$S$910,15,FALSE))</f>
        <v>0</v>
      </c>
      <c r="Q379" s="42">
        <f>VLOOKUP($A379,'Neraca Unaudited SIMAK'!$A$2:$R$1272,16,FALSE)+IF(ISNA(VLOOKUP($A379,'Mutasi Neraca'!$A$3:$S$910,16,FALSE)),0,VLOOKUP($A379,'Mutasi Neraca'!$A$3:$S$910,16,FALSE))</f>
        <v>0</v>
      </c>
      <c r="R379" s="42">
        <f>VLOOKUP($A379,'Neraca Unaudited SIMAK'!$A$2:$R$1272,17,FALSE)+IF(ISNA(VLOOKUP($A379,'Mutasi Neraca'!$A$3:$S$910,17,FALSE)),0,VLOOKUP($A379,'Mutasi Neraca'!$A$3:$S$910,17,FALSE))</f>
        <v>0</v>
      </c>
      <c r="S379" s="42">
        <f t="shared" si="53"/>
        <v>6343542549</v>
      </c>
    </row>
    <row r="380" spans="1:19">
      <c r="A380" s="41" t="s">
        <v>387</v>
      </c>
      <c r="B380" s="41" t="str">
        <f t="shared" si="52"/>
        <v>005010900</v>
      </c>
      <c r="D380" s="42">
        <f>VLOOKUP($A380,'Neraca Unaudited SIMAK'!$A$2:$R$1272,3,FALSE)+IF(ISNA(VLOOKUP($A380,'Mutasi Neraca'!$A$3:$S$910,3,FALSE)),0,VLOOKUP($A380,'Mutasi Neraca'!$A$3:$S$910,3,FALSE))</f>
        <v>629000</v>
      </c>
      <c r="E380" s="42">
        <f>VLOOKUP($A380,'Neraca Unaudited SIMAK'!$A$2:$R$1272,4,FALSE)+IF(ISNA(VLOOKUP($A380,'Mutasi Neraca'!$A$3:$S$910,4,FALSE)),0,VLOOKUP($A380,'Mutasi Neraca'!$A$3:$S$910,4,FALSE))</f>
        <v>638050000</v>
      </c>
      <c r="F380" s="42">
        <f>VLOOKUP($A380,'Neraca Unaudited SIMAK'!$A$2:$R$1272,5,FALSE)+IF(ISNA(VLOOKUP($A380,'Mutasi Neraca'!$A$3:$S$910,5,FALSE)),0,VLOOKUP($A380,'Mutasi Neraca'!$A$3:$S$910,5,FALSE))</f>
        <v>1091655369</v>
      </c>
      <c r="G380" s="42">
        <f>VLOOKUP($A380,'Neraca Unaudited SIMAK'!$A$2:$R$1272,6,FALSE)+IF(ISNA(VLOOKUP($A380,'Mutasi Neraca'!$A$3:$S$910,6,FALSE)),0,VLOOKUP($A380,'Mutasi Neraca'!$A$3:$S$910,6,FALSE))</f>
        <v>2133233500</v>
      </c>
      <c r="H380" s="42">
        <f>VLOOKUP($A380,'Neraca Unaudited SIMAK'!$A$2:$R$1272,7,FALSE)+IF(ISNA(VLOOKUP($A380,'Mutasi Neraca'!$A$3:$S$910,7,FALSE)),0,VLOOKUP($A380,'Mutasi Neraca'!$A$3:$S$910,7,FALSE))</f>
        <v>0</v>
      </c>
      <c r="I380" s="42">
        <f>VLOOKUP($A380,'Neraca Unaudited SIMAK'!$A$2:$R$1272,8,FALSE)+IF(ISNA(VLOOKUP($A380,'Mutasi Neraca'!$A$3:$S$910,8,FALSE)),0,VLOOKUP($A380,'Mutasi Neraca'!$A$3:$S$910,8,FALSE))</f>
        <v>799220</v>
      </c>
      <c r="J380" s="42">
        <f>VLOOKUP($A380,'Neraca Unaudited SIMAK'!$A$2:$R$1272,9,FALSE)+IF(ISNA(VLOOKUP($A380,'Mutasi Neraca'!$A$3:$S$910,9,FALSE)),0,VLOOKUP($A380,'Mutasi Neraca'!$A$3:$S$910,9,FALSE))</f>
        <v>0</v>
      </c>
      <c r="K380" s="42">
        <f>VLOOKUP($A380,'Neraca Unaudited SIMAK'!$A$2:$R$1272,10,FALSE)+IF(ISNA(VLOOKUP($A380,'Mutasi Neraca'!$A$3:$S$910,10,FALSE)),0,VLOOKUP($A380,'Mutasi Neraca'!$A$3:$S$910,10,FALSE))</f>
        <v>17185000</v>
      </c>
      <c r="L380" s="42">
        <f>VLOOKUP($A380,'Neraca Unaudited SIMAK'!$A$2:$R$1272,11,FALSE)+IF(ISNA(VLOOKUP($A380,'Mutasi Neraca'!$A$3:$S$910,11,FALSE)),0,VLOOKUP($A380,'Mutasi Neraca'!$A$3:$S$910,11,FALSE))</f>
        <v>15400298</v>
      </c>
      <c r="M380" s="42">
        <f>VLOOKUP($A380,'Neraca Unaudited SIMAK'!$A$2:$R$1272,12,FALSE)+IF(ISNA(VLOOKUP($A380,'Mutasi Neraca'!$A$3:$S$910,12,FALSE)),0,VLOOKUP($A380,'Mutasi Neraca'!$A$3:$S$910,12,FALSE))</f>
        <v>3896952387</v>
      </c>
      <c r="N380" s="42">
        <f>VLOOKUP($A380,'Neraca Unaudited SIMAK'!$A$2:$R$1272,13,FALSE)+IF(ISNA(VLOOKUP($A380,'Mutasi Neraca'!$A$3:$S$910,13,FALSE)),0,VLOOKUP($A380,'Mutasi Neraca'!$A$3:$S$910,13,FALSE))</f>
        <v>-944734984</v>
      </c>
      <c r="O380" s="42">
        <f>VLOOKUP($A380,'Neraca Unaudited SIMAK'!$A$2:$R$1272,14,FALSE)+IF(ISNA(VLOOKUP($A380,'Mutasi Neraca'!$A$3:$S$910,14,FALSE)),0,VLOOKUP($A380,'Mutasi Neraca'!$A$3:$S$910,14,FALSE))</f>
        <v>-314811705</v>
      </c>
      <c r="P380" s="42">
        <f>VLOOKUP($A380,'Neraca Unaudited SIMAK'!$A$2:$R$1272,15,FALSE)+IF(ISNA(VLOOKUP($A380,'Mutasi Neraca'!$A$3:$S$910,15,FALSE)),0,VLOOKUP($A380,'Mutasi Neraca'!$A$3:$S$910,15,FALSE))</f>
        <v>0</v>
      </c>
      <c r="Q380" s="42">
        <f>VLOOKUP($A380,'Neraca Unaudited SIMAK'!$A$2:$R$1272,16,FALSE)+IF(ISNA(VLOOKUP($A380,'Mutasi Neraca'!$A$3:$S$910,16,FALSE)),0,VLOOKUP($A380,'Mutasi Neraca'!$A$3:$S$910,16,FALSE))</f>
        <v>0</v>
      </c>
      <c r="R380" s="42">
        <f>VLOOKUP($A380,'Neraca Unaudited SIMAK'!$A$2:$R$1272,17,FALSE)+IF(ISNA(VLOOKUP($A380,'Mutasi Neraca'!$A$3:$S$910,17,FALSE)),0,VLOOKUP($A380,'Mutasi Neraca'!$A$3:$S$910,17,FALSE))</f>
        <v>-15400298</v>
      </c>
      <c r="S380" s="42">
        <f t="shared" si="53"/>
        <v>2622005400</v>
      </c>
    </row>
    <row r="381" spans="1:19">
      <c r="A381" s="41" t="s">
        <v>388</v>
      </c>
      <c r="B381" s="41" t="str">
        <f t="shared" si="52"/>
        <v>005010900</v>
      </c>
      <c r="D381" s="42">
        <f>VLOOKUP($A381,'Neraca Unaudited SIMAK'!$A$2:$R$1272,3,FALSE)+IF(ISNA(VLOOKUP($A381,'Mutasi Neraca'!$A$3:$S$910,3,FALSE)),0,VLOOKUP($A381,'Mutasi Neraca'!$A$3:$S$910,3,FALSE))</f>
        <v>4084000</v>
      </c>
      <c r="E381" s="42">
        <f>VLOOKUP($A381,'Neraca Unaudited SIMAK'!$A$2:$R$1272,4,FALSE)+IF(ISNA(VLOOKUP($A381,'Mutasi Neraca'!$A$3:$S$910,4,FALSE)),0,VLOOKUP($A381,'Mutasi Neraca'!$A$3:$S$910,4,FALSE))</f>
        <v>1770958000</v>
      </c>
      <c r="F381" s="42">
        <f>VLOOKUP($A381,'Neraca Unaudited SIMAK'!$A$2:$R$1272,5,FALSE)+IF(ISNA(VLOOKUP($A381,'Mutasi Neraca'!$A$3:$S$910,5,FALSE)),0,VLOOKUP($A381,'Mutasi Neraca'!$A$3:$S$910,5,FALSE))</f>
        <v>1786803258</v>
      </c>
      <c r="G381" s="42">
        <f>VLOOKUP($A381,'Neraca Unaudited SIMAK'!$A$2:$R$1272,6,FALSE)+IF(ISNA(VLOOKUP($A381,'Mutasi Neraca'!$A$3:$S$910,6,FALSE)),0,VLOOKUP($A381,'Mutasi Neraca'!$A$3:$S$910,6,FALSE))</f>
        <v>3266195000</v>
      </c>
      <c r="H381" s="42">
        <f>VLOOKUP($A381,'Neraca Unaudited SIMAK'!$A$2:$R$1272,7,FALSE)+IF(ISNA(VLOOKUP($A381,'Mutasi Neraca'!$A$3:$S$910,7,FALSE)),0,VLOOKUP($A381,'Mutasi Neraca'!$A$3:$S$910,7,FALSE))</f>
        <v>7415000</v>
      </c>
      <c r="I381" s="42">
        <f>VLOOKUP($A381,'Neraca Unaudited SIMAK'!$A$2:$R$1272,8,FALSE)+IF(ISNA(VLOOKUP($A381,'Mutasi Neraca'!$A$3:$S$910,8,FALSE)),0,VLOOKUP($A381,'Mutasi Neraca'!$A$3:$S$910,8,FALSE))</f>
        <v>1943440</v>
      </c>
      <c r="J381" s="42">
        <f>VLOOKUP($A381,'Neraca Unaudited SIMAK'!$A$2:$R$1272,9,FALSE)+IF(ISNA(VLOOKUP($A381,'Mutasi Neraca'!$A$3:$S$910,9,FALSE)),0,VLOOKUP($A381,'Mutasi Neraca'!$A$3:$S$910,9,FALSE))</f>
        <v>9815989100</v>
      </c>
      <c r="K381" s="42">
        <f>VLOOKUP($A381,'Neraca Unaudited SIMAK'!$A$2:$R$1272,10,FALSE)+IF(ISNA(VLOOKUP($A381,'Mutasi Neraca'!$A$3:$S$910,10,FALSE)),0,VLOOKUP($A381,'Mutasi Neraca'!$A$3:$S$910,10,FALSE))</f>
        <v>0</v>
      </c>
      <c r="L381" s="42">
        <f>VLOOKUP($A381,'Neraca Unaudited SIMAK'!$A$2:$R$1272,11,FALSE)+IF(ISNA(VLOOKUP($A381,'Mutasi Neraca'!$A$3:$S$910,11,FALSE)),0,VLOOKUP($A381,'Mutasi Neraca'!$A$3:$S$910,11,FALSE))</f>
        <v>413352000</v>
      </c>
      <c r="M381" s="42">
        <f>VLOOKUP($A381,'Neraca Unaudited SIMAK'!$A$2:$R$1272,12,FALSE)+IF(ISNA(VLOOKUP($A381,'Mutasi Neraca'!$A$3:$S$910,12,FALSE)),0,VLOOKUP($A381,'Mutasi Neraca'!$A$3:$S$910,12,FALSE))</f>
        <v>17066739798</v>
      </c>
      <c r="N381" s="42">
        <f>VLOOKUP($A381,'Neraca Unaudited SIMAK'!$A$2:$R$1272,13,FALSE)+IF(ISNA(VLOOKUP($A381,'Mutasi Neraca'!$A$3:$S$910,13,FALSE)),0,VLOOKUP($A381,'Mutasi Neraca'!$A$3:$S$910,13,FALSE))</f>
        <v>-920221702</v>
      </c>
      <c r="O381" s="42">
        <f>VLOOKUP($A381,'Neraca Unaudited SIMAK'!$A$2:$R$1272,14,FALSE)+IF(ISNA(VLOOKUP($A381,'Mutasi Neraca'!$A$3:$S$910,14,FALSE)),0,VLOOKUP($A381,'Mutasi Neraca'!$A$3:$S$910,14,FALSE))</f>
        <v>-535703570</v>
      </c>
      <c r="P381" s="42">
        <f>VLOOKUP($A381,'Neraca Unaudited SIMAK'!$A$2:$R$1272,15,FALSE)+IF(ISNA(VLOOKUP($A381,'Mutasi Neraca'!$A$3:$S$910,15,FALSE)),0,VLOOKUP($A381,'Mutasi Neraca'!$A$3:$S$910,15,FALSE))</f>
        <v>-3707500</v>
      </c>
      <c r="Q381" s="42">
        <f>VLOOKUP($A381,'Neraca Unaudited SIMAK'!$A$2:$R$1272,16,FALSE)+IF(ISNA(VLOOKUP($A381,'Mutasi Neraca'!$A$3:$S$910,16,FALSE)),0,VLOOKUP($A381,'Mutasi Neraca'!$A$3:$S$910,16,FALSE))</f>
        <v>0</v>
      </c>
      <c r="R381" s="42">
        <f>VLOOKUP($A381,'Neraca Unaudited SIMAK'!$A$2:$R$1272,17,FALSE)+IF(ISNA(VLOOKUP($A381,'Mutasi Neraca'!$A$3:$S$910,17,FALSE)),0,VLOOKUP($A381,'Mutasi Neraca'!$A$3:$S$910,17,FALSE))</f>
        <v>-236221320</v>
      </c>
      <c r="S381" s="42">
        <f t="shared" si="53"/>
        <v>15370885706</v>
      </c>
    </row>
    <row r="382" spans="1:19">
      <c r="A382" s="41" t="s">
        <v>389</v>
      </c>
      <c r="B382" s="41" t="str">
        <f t="shared" si="52"/>
        <v>005011000</v>
      </c>
      <c r="D382" s="42">
        <f>VLOOKUP($A382,'Neraca Unaudited SIMAK'!$A$2:$R$1272,3,FALSE)+IF(ISNA(VLOOKUP($A382,'Mutasi Neraca'!$A$3:$S$910,3,FALSE)),0,VLOOKUP($A382,'Mutasi Neraca'!$A$3:$S$910,3,FALSE))</f>
        <v>16238500</v>
      </c>
      <c r="E382" s="42">
        <f>VLOOKUP($A382,'Neraca Unaudited SIMAK'!$A$2:$R$1272,4,FALSE)+IF(ISNA(VLOOKUP($A382,'Mutasi Neraca'!$A$3:$S$910,4,FALSE)),0,VLOOKUP($A382,'Mutasi Neraca'!$A$3:$S$910,4,FALSE))</f>
        <v>585485500</v>
      </c>
      <c r="F382" s="42">
        <f>VLOOKUP($A382,'Neraca Unaudited SIMAK'!$A$2:$R$1272,5,FALSE)+IF(ISNA(VLOOKUP($A382,'Mutasi Neraca'!$A$3:$S$910,5,FALSE)),0,VLOOKUP($A382,'Mutasi Neraca'!$A$3:$S$910,5,FALSE))</f>
        <v>2955052034</v>
      </c>
      <c r="G382" s="42">
        <f>VLOOKUP($A382,'Neraca Unaudited SIMAK'!$A$2:$R$1272,6,FALSE)+IF(ISNA(VLOOKUP($A382,'Mutasi Neraca'!$A$3:$S$910,6,FALSE)),0,VLOOKUP($A382,'Mutasi Neraca'!$A$3:$S$910,6,FALSE))</f>
        <v>12527525460</v>
      </c>
      <c r="H382" s="42">
        <f>VLOOKUP($A382,'Neraca Unaudited SIMAK'!$A$2:$R$1272,7,FALSE)+IF(ISNA(VLOOKUP($A382,'Mutasi Neraca'!$A$3:$S$910,7,FALSE)),0,VLOOKUP($A382,'Mutasi Neraca'!$A$3:$S$910,7,FALSE))</f>
        <v>176300000</v>
      </c>
      <c r="I382" s="42">
        <f>VLOOKUP($A382,'Neraca Unaudited SIMAK'!$A$2:$R$1272,8,FALSE)+IF(ISNA(VLOOKUP($A382,'Mutasi Neraca'!$A$3:$S$910,8,FALSE)),0,VLOOKUP($A382,'Mutasi Neraca'!$A$3:$S$910,8,FALSE))</f>
        <v>2003440</v>
      </c>
      <c r="J382" s="42">
        <f>VLOOKUP($A382,'Neraca Unaudited SIMAK'!$A$2:$R$1272,9,FALSE)+IF(ISNA(VLOOKUP($A382,'Mutasi Neraca'!$A$3:$S$910,9,FALSE)),0,VLOOKUP($A382,'Mutasi Neraca'!$A$3:$S$910,9,FALSE))</f>
        <v>0</v>
      </c>
      <c r="K382" s="42">
        <f>VLOOKUP($A382,'Neraca Unaudited SIMAK'!$A$2:$R$1272,10,FALSE)+IF(ISNA(VLOOKUP($A382,'Mutasi Neraca'!$A$3:$S$910,10,FALSE)),0,VLOOKUP($A382,'Mutasi Neraca'!$A$3:$S$910,10,FALSE))</f>
        <v>0</v>
      </c>
      <c r="L382" s="42">
        <f>VLOOKUP($A382,'Neraca Unaudited SIMAK'!$A$2:$R$1272,11,FALSE)+IF(ISNA(VLOOKUP($A382,'Mutasi Neraca'!$A$3:$S$910,11,FALSE)),0,VLOOKUP($A382,'Mutasi Neraca'!$A$3:$S$910,11,FALSE))</f>
        <v>284436167</v>
      </c>
      <c r="M382" s="42">
        <f>VLOOKUP($A382,'Neraca Unaudited SIMAK'!$A$2:$R$1272,12,FALSE)+IF(ISNA(VLOOKUP($A382,'Mutasi Neraca'!$A$3:$S$910,12,FALSE)),0,VLOOKUP($A382,'Mutasi Neraca'!$A$3:$S$910,12,FALSE))</f>
        <v>16547041101</v>
      </c>
      <c r="N382" s="42">
        <f>VLOOKUP($A382,'Neraca Unaudited SIMAK'!$A$2:$R$1272,13,FALSE)+IF(ISNA(VLOOKUP($A382,'Mutasi Neraca'!$A$3:$S$910,13,FALSE)),0,VLOOKUP($A382,'Mutasi Neraca'!$A$3:$S$910,13,FALSE))</f>
        <v>-2384395832</v>
      </c>
      <c r="O382" s="42">
        <f>VLOOKUP($A382,'Neraca Unaudited SIMAK'!$A$2:$R$1272,14,FALSE)+IF(ISNA(VLOOKUP($A382,'Mutasi Neraca'!$A$3:$S$910,14,FALSE)),0,VLOOKUP($A382,'Mutasi Neraca'!$A$3:$S$910,14,FALSE))</f>
        <v>-3092541972</v>
      </c>
      <c r="P382" s="42">
        <f>VLOOKUP($A382,'Neraca Unaudited SIMAK'!$A$2:$R$1272,15,FALSE)+IF(ISNA(VLOOKUP($A382,'Mutasi Neraca'!$A$3:$S$910,15,FALSE)),0,VLOOKUP($A382,'Mutasi Neraca'!$A$3:$S$910,15,FALSE))</f>
        <v>-48142500</v>
      </c>
      <c r="Q382" s="42">
        <f>VLOOKUP($A382,'Neraca Unaudited SIMAK'!$A$2:$R$1272,16,FALSE)+IF(ISNA(VLOOKUP($A382,'Mutasi Neraca'!$A$3:$S$910,16,FALSE)),0,VLOOKUP($A382,'Mutasi Neraca'!$A$3:$S$910,16,FALSE))</f>
        <v>0</v>
      </c>
      <c r="R382" s="42">
        <f>VLOOKUP($A382,'Neraca Unaudited SIMAK'!$A$2:$R$1272,17,FALSE)+IF(ISNA(VLOOKUP($A382,'Mutasi Neraca'!$A$3:$S$910,17,FALSE)),0,VLOOKUP($A382,'Mutasi Neraca'!$A$3:$S$910,17,FALSE))</f>
        <v>-284436167</v>
      </c>
      <c r="S382" s="42">
        <f t="shared" si="53"/>
        <v>10737524630</v>
      </c>
    </row>
    <row r="383" spans="1:19">
      <c r="A383" s="41" t="s">
        <v>390</v>
      </c>
      <c r="B383" s="41" t="str">
        <f t="shared" si="52"/>
        <v>005011000</v>
      </c>
      <c r="D383" s="42">
        <f>VLOOKUP($A383,'Neraca Unaudited SIMAK'!$A$2:$R$1272,3,FALSE)+IF(ISNA(VLOOKUP($A383,'Mutasi Neraca'!$A$3:$S$910,3,FALSE)),0,VLOOKUP($A383,'Mutasi Neraca'!$A$3:$S$910,3,FALSE))</f>
        <v>1067450</v>
      </c>
      <c r="E383" s="42">
        <f>VLOOKUP($A383,'Neraca Unaudited SIMAK'!$A$2:$R$1272,4,FALSE)+IF(ISNA(VLOOKUP($A383,'Mutasi Neraca'!$A$3:$S$910,4,FALSE)),0,VLOOKUP($A383,'Mutasi Neraca'!$A$3:$S$910,4,FALSE))</f>
        <v>6927384500</v>
      </c>
      <c r="F383" s="42">
        <f>VLOOKUP($A383,'Neraca Unaudited SIMAK'!$A$2:$R$1272,5,FALSE)+IF(ISNA(VLOOKUP($A383,'Mutasi Neraca'!$A$3:$S$910,5,FALSE)),0,VLOOKUP($A383,'Mutasi Neraca'!$A$3:$S$910,5,FALSE))</f>
        <v>1387068678</v>
      </c>
      <c r="G383" s="42">
        <f>VLOOKUP($A383,'Neraca Unaudited SIMAK'!$A$2:$R$1272,6,FALSE)+IF(ISNA(VLOOKUP($A383,'Mutasi Neraca'!$A$3:$S$910,6,FALSE)),0,VLOOKUP($A383,'Mutasi Neraca'!$A$3:$S$910,6,FALSE))</f>
        <v>3784620500</v>
      </c>
      <c r="H383" s="42">
        <f>VLOOKUP($A383,'Neraca Unaudited SIMAK'!$A$2:$R$1272,7,FALSE)+IF(ISNA(VLOOKUP($A383,'Mutasi Neraca'!$A$3:$S$910,7,FALSE)),0,VLOOKUP($A383,'Mutasi Neraca'!$A$3:$S$910,7,FALSE))</f>
        <v>0</v>
      </c>
      <c r="I383" s="42">
        <f>VLOOKUP($A383,'Neraca Unaudited SIMAK'!$A$2:$R$1272,8,FALSE)+IF(ISNA(VLOOKUP($A383,'Mutasi Neraca'!$A$3:$S$910,8,FALSE)),0,VLOOKUP($A383,'Mutasi Neraca'!$A$3:$S$910,8,FALSE))</f>
        <v>88432118</v>
      </c>
      <c r="J383" s="42">
        <f>VLOOKUP($A383,'Neraca Unaudited SIMAK'!$A$2:$R$1272,9,FALSE)+IF(ISNA(VLOOKUP($A383,'Mutasi Neraca'!$A$3:$S$910,9,FALSE)),0,VLOOKUP($A383,'Mutasi Neraca'!$A$3:$S$910,9,FALSE))</f>
        <v>0</v>
      </c>
      <c r="K383" s="42">
        <f>VLOOKUP($A383,'Neraca Unaudited SIMAK'!$A$2:$R$1272,10,FALSE)+IF(ISNA(VLOOKUP($A383,'Mutasi Neraca'!$A$3:$S$910,10,FALSE)),0,VLOOKUP($A383,'Mutasi Neraca'!$A$3:$S$910,10,FALSE))</f>
        <v>46000000</v>
      </c>
      <c r="L383" s="42">
        <f>VLOOKUP($A383,'Neraca Unaudited SIMAK'!$A$2:$R$1272,11,FALSE)+IF(ISNA(VLOOKUP($A383,'Mutasi Neraca'!$A$3:$S$910,11,FALSE)),0,VLOOKUP($A383,'Mutasi Neraca'!$A$3:$S$910,11,FALSE))</f>
        <v>0</v>
      </c>
      <c r="M383" s="42">
        <f>VLOOKUP($A383,'Neraca Unaudited SIMAK'!$A$2:$R$1272,12,FALSE)+IF(ISNA(VLOOKUP($A383,'Mutasi Neraca'!$A$3:$S$910,12,FALSE)),0,VLOOKUP($A383,'Mutasi Neraca'!$A$3:$S$910,12,FALSE))</f>
        <v>12234573246</v>
      </c>
      <c r="N383" s="42">
        <f>VLOOKUP($A383,'Neraca Unaudited SIMAK'!$A$2:$R$1272,13,FALSE)+IF(ISNA(VLOOKUP($A383,'Mutasi Neraca'!$A$3:$S$910,13,FALSE)),0,VLOOKUP($A383,'Mutasi Neraca'!$A$3:$S$910,13,FALSE))</f>
        <v>-1294307103</v>
      </c>
      <c r="O383" s="42">
        <f>VLOOKUP($A383,'Neraca Unaudited SIMAK'!$A$2:$R$1272,14,FALSE)+IF(ISNA(VLOOKUP($A383,'Mutasi Neraca'!$A$3:$S$910,14,FALSE)),0,VLOOKUP($A383,'Mutasi Neraca'!$A$3:$S$910,14,FALSE))</f>
        <v>-950392321</v>
      </c>
      <c r="P383" s="42">
        <f>VLOOKUP($A383,'Neraca Unaudited SIMAK'!$A$2:$R$1272,15,FALSE)+IF(ISNA(VLOOKUP($A383,'Mutasi Neraca'!$A$3:$S$910,15,FALSE)),0,VLOOKUP($A383,'Mutasi Neraca'!$A$3:$S$910,15,FALSE))</f>
        <v>-1153625</v>
      </c>
      <c r="Q383" s="42">
        <f>VLOOKUP($A383,'Neraca Unaudited SIMAK'!$A$2:$R$1272,16,FALSE)+IF(ISNA(VLOOKUP($A383,'Mutasi Neraca'!$A$3:$S$910,16,FALSE)),0,VLOOKUP($A383,'Mutasi Neraca'!$A$3:$S$910,16,FALSE))</f>
        <v>0</v>
      </c>
      <c r="R383" s="42">
        <f>VLOOKUP($A383,'Neraca Unaudited SIMAK'!$A$2:$R$1272,17,FALSE)+IF(ISNA(VLOOKUP($A383,'Mutasi Neraca'!$A$3:$S$910,17,FALSE)),0,VLOOKUP($A383,'Mutasi Neraca'!$A$3:$S$910,17,FALSE))</f>
        <v>0</v>
      </c>
      <c r="S383" s="42">
        <f t="shared" si="53"/>
        <v>9988720197</v>
      </c>
    </row>
    <row r="384" spans="1:19">
      <c r="A384" s="41" t="s">
        <v>391</v>
      </c>
      <c r="B384" s="41" t="str">
        <f t="shared" si="52"/>
        <v>005011000</v>
      </c>
      <c r="D384" s="42">
        <f>VLOOKUP($A384,'Neraca Unaudited SIMAK'!$A$2:$R$1272,3,FALSE)+IF(ISNA(VLOOKUP($A384,'Mutasi Neraca'!$A$3:$S$910,3,FALSE)),0,VLOOKUP($A384,'Mutasi Neraca'!$A$3:$S$910,3,FALSE))</f>
        <v>534700</v>
      </c>
      <c r="E384" s="42">
        <f>VLOOKUP($A384,'Neraca Unaudited SIMAK'!$A$2:$R$1272,4,FALSE)+IF(ISNA(VLOOKUP($A384,'Mutasi Neraca'!$A$3:$S$910,4,FALSE)),0,VLOOKUP($A384,'Mutasi Neraca'!$A$3:$S$910,4,FALSE))</f>
        <v>2654033300</v>
      </c>
      <c r="F384" s="42">
        <f>VLOOKUP($A384,'Neraca Unaudited SIMAK'!$A$2:$R$1272,5,FALSE)+IF(ISNA(VLOOKUP($A384,'Mutasi Neraca'!$A$3:$S$910,5,FALSE)),0,VLOOKUP($A384,'Mutasi Neraca'!$A$3:$S$910,5,FALSE))</f>
        <v>1372315281</v>
      </c>
      <c r="G384" s="42">
        <f>VLOOKUP($A384,'Neraca Unaudited SIMAK'!$A$2:$R$1272,6,FALSE)+IF(ISNA(VLOOKUP($A384,'Mutasi Neraca'!$A$3:$S$910,6,FALSE)),0,VLOOKUP($A384,'Mutasi Neraca'!$A$3:$S$910,6,FALSE))</f>
        <v>11469828000</v>
      </c>
      <c r="H384" s="42">
        <f>VLOOKUP($A384,'Neraca Unaudited SIMAK'!$A$2:$R$1272,7,FALSE)+IF(ISNA(VLOOKUP($A384,'Mutasi Neraca'!$A$3:$S$910,7,FALSE)),0,VLOOKUP($A384,'Mutasi Neraca'!$A$3:$S$910,7,FALSE))</f>
        <v>0</v>
      </c>
      <c r="I384" s="42">
        <f>VLOOKUP($A384,'Neraca Unaudited SIMAK'!$A$2:$R$1272,8,FALSE)+IF(ISNA(VLOOKUP($A384,'Mutasi Neraca'!$A$3:$S$910,8,FALSE)),0,VLOOKUP($A384,'Mutasi Neraca'!$A$3:$S$910,8,FALSE))</f>
        <v>16036498</v>
      </c>
      <c r="J384" s="42">
        <f>VLOOKUP($A384,'Neraca Unaudited SIMAK'!$A$2:$R$1272,9,FALSE)+IF(ISNA(VLOOKUP($A384,'Mutasi Neraca'!$A$3:$S$910,9,FALSE)),0,VLOOKUP($A384,'Mutasi Neraca'!$A$3:$S$910,9,FALSE))</f>
        <v>0</v>
      </c>
      <c r="K384" s="42">
        <f>VLOOKUP($A384,'Neraca Unaudited SIMAK'!$A$2:$R$1272,10,FALSE)+IF(ISNA(VLOOKUP($A384,'Mutasi Neraca'!$A$3:$S$910,10,FALSE)),0,VLOOKUP($A384,'Mutasi Neraca'!$A$3:$S$910,10,FALSE))</f>
        <v>0</v>
      </c>
      <c r="L384" s="42">
        <f>VLOOKUP($A384,'Neraca Unaudited SIMAK'!$A$2:$R$1272,11,FALSE)+IF(ISNA(VLOOKUP($A384,'Mutasi Neraca'!$A$3:$S$910,11,FALSE)),0,VLOOKUP($A384,'Mutasi Neraca'!$A$3:$S$910,11,FALSE))</f>
        <v>7200000</v>
      </c>
      <c r="M384" s="42">
        <f>VLOOKUP($A384,'Neraca Unaudited SIMAK'!$A$2:$R$1272,12,FALSE)+IF(ISNA(VLOOKUP($A384,'Mutasi Neraca'!$A$3:$S$910,12,FALSE)),0,VLOOKUP($A384,'Mutasi Neraca'!$A$3:$S$910,12,FALSE))</f>
        <v>15519947779</v>
      </c>
      <c r="N384" s="42">
        <f>VLOOKUP($A384,'Neraca Unaudited SIMAK'!$A$2:$R$1272,13,FALSE)+IF(ISNA(VLOOKUP($A384,'Mutasi Neraca'!$A$3:$S$910,13,FALSE)),0,VLOOKUP($A384,'Mutasi Neraca'!$A$3:$S$910,13,FALSE))</f>
        <v>-1235368327</v>
      </c>
      <c r="O384" s="42">
        <f>VLOOKUP($A384,'Neraca Unaudited SIMAK'!$A$2:$R$1272,14,FALSE)+IF(ISNA(VLOOKUP($A384,'Mutasi Neraca'!$A$3:$S$910,14,FALSE)),0,VLOOKUP($A384,'Mutasi Neraca'!$A$3:$S$910,14,FALSE))</f>
        <v>-730297334</v>
      </c>
      <c r="P384" s="42">
        <f>VLOOKUP($A384,'Neraca Unaudited SIMAK'!$A$2:$R$1272,15,FALSE)+IF(ISNA(VLOOKUP($A384,'Mutasi Neraca'!$A$3:$S$910,15,FALSE)),0,VLOOKUP($A384,'Mutasi Neraca'!$A$3:$S$910,15,FALSE))</f>
        <v>0</v>
      </c>
      <c r="Q384" s="42">
        <f>VLOOKUP($A384,'Neraca Unaudited SIMAK'!$A$2:$R$1272,16,FALSE)+IF(ISNA(VLOOKUP($A384,'Mutasi Neraca'!$A$3:$S$910,16,FALSE)),0,VLOOKUP($A384,'Mutasi Neraca'!$A$3:$S$910,16,FALSE))</f>
        <v>0</v>
      </c>
      <c r="R384" s="42">
        <f>VLOOKUP($A384,'Neraca Unaudited SIMAK'!$A$2:$R$1272,17,FALSE)+IF(ISNA(VLOOKUP($A384,'Mutasi Neraca'!$A$3:$S$910,17,FALSE)),0,VLOOKUP($A384,'Mutasi Neraca'!$A$3:$S$910,17,FALSE))</f>
        <v>-2554838</v>
      </c>
      <c r="S384" s="42">
        <f t="shared" si="53"/>
        <v>13551727280</v>
      </c>
    </row>
    <row r="385" spans="1:19">
      <c r="A385" s="41" t="s">
        <v>392</v>
      </c>
      <c r="B385" s="41" t="str">
        <f t="shared" si="52"/>
        <v>005011000</v>
      </c>
      <c r="D385" s="42">
        <f>VLOOKUP($A385,'Neraca Unaudited SIMAK'!$A$2:$R$1272,3,FALSE)+IF(ISNA(VLOOKUP($A385,'Mutasi Neraca'!$A$3:$S$910,3,FALSE)),0,VLOOKUP($A385,'Mutasi Neraca'!$A$3:$S$910,3,FALSE))</f>
        <v>877200</v>
      </c>
      <c r="E385" s="42">
        <f>VLOOKUP($A385,'Neraca Unaudited SIMAK'!$A$2:$R$1272,4,FALSE)+IF(ISNA(VLOOKUP($A385,'Mutasi Neraca'!$A$3:$S$910,4,FALSE)),0,VLOOKUP($A385,'Mutasi Neraca'!$A$3:$S$910,4,FALSE))</f>
        <v>462650000</v>
      </c>
      <c r="F385" s="42">
        <f>VLOOKUP($A385,'Neraca Unaudited SIMAK'!$A$2:$R$1272,5,FALSE)+IF(ISNA(VLOOKUP($A385,'Mutasi Neraca'!$A$3:$S$910,5,FALSE)),0,VLOOKUP($A385,'Mutasi Neraca'!$A$3:$S$910,5,FALSE))</f>
        <v>1492531949</v>
      </c>
      <c r="G385" s="42">
        <f>VLOOKUP($A385,'Neraca Unaudited SIMAK'!$A$2:$R$1272,6,FALSE)+IF(ISNA(VLOOKUP($A385,'Mutasi Neraca'!$A$3:$S$910,6,FALSE)),0,VLOOKUP($A385,'Mutasi Neraca'!$A$3:$S$910,6,FALSE))</f>
        <v>3076318100</v>
      </c>
      <c r="H385" s="42">
        <f>VLOOKUP($A385,'Neraca Unaudited SIMAK'!$A$2:$R$1272,7,FALSE)+IF(ISNA(VLOOKUP($A385,'Mutasi Neraca'!$A$3:$S$910,7,FALSE)),0,VLOOKUP($A385,'Mutasi Neraca'!$A$3:$S$910,7,FALSE))</f>
        <v>0</v>
      </c>
      <c r="I385" s="42">
        <f>VLOOKUP($A385,'Neraca Unaudited SIMAK'!$A$2:$R$1272,8,FALSE)+IF(ISNA(VLOOKUP($A385,'Mutasi Neraca'!$A$3:$S$910,8,FALSE)),0,VLOOKUP($A385,'Mutasi Neraca'!$A$3:$S$910,8,FALSE))</f>
        <v>114781940</v>
      </c>
      <c r="J385" s="42">
        <f>VLOOKUP($A385,'Neraca Unaudited SIMAK'!$A$2:$R$1272,9,FALSE)+IF(ISNA(VLOOKUP($A385,'Mutasi Neraca'!$A$3:$S$910,9,FALSE)),0,VLOOKUP($A385,'Mutasi Neraca'!$A$3:$S$910,9,FALSE))</f>
        <v>0</v>
      </c>
      <c r="K385" s="42">
        <f>VLOOKUP($A385,'Neraca Unaudited SIMAK'!$A$2:$R$1272,10,FALSE)+IF(ISNA(VLOOKUP($A385,'Mutasi Neraca'!$A$3:$S$910,10,FALSE)),0,VLOOKUP($A385,'Mutasi Neraca'!$A$3:$S$910,10,FALSE))</f>
        <v>0</v>
      </c>
      <c r="L385" s="42">
        <f>VLOOKUP($A385,'Neraca Unaudited SIMAK'!$A$2:$R$1272,11,FALSE)+IF(ISNA(VLOOKUP($A385,'Mutasi Neraca'!$A$3:$S$910,11,FALSE)),0,VLOOKUP($A385,'Mutasi Neraca'!$A$3:$S$910,11,FALSE))</f>
        <v>0</v>
      </c>
      <c r="M385" s="42">
        <f>VLOOKUP($A385,'Neraca Unaudited SIMAK'!$A$2:$R$1272,12,FALSE)+IF(ISNA(VLOOKUP($A385,'Mutasi Neraca'!$A$3:$S$910,12,FALSE)),0,VLOOKUP($A385,'Mutasi Neraca'!$A$3:$S$910,12,FALSE))</f>
        <v>5147159189</v>
      </c>
      <c r="N385" s="42">
        <f>VLOOKUP($A385,'Neraca Unaudited SIMAK'!$A$2:$R$1272,13,FALSE)+IF(ISNA(VLOOKUP($A385,'Mutasi Neraca'!$A$3:$S$910,13,FALSE)),0,VLOOKUP($A385,'Mutasi Neraca'!$A$3:$S$910,13,FALSE))</f>
        <v>-1299282532</v>
      </c>
      <c r="O385" s="42">
        <f>VLOOKUP($A385,'Neraca Unaudited SIMAK'!$A$2:$R$1272,14,FALSE)+IF(ISNA(VLOOKUP($A385,'Mutasi Neraca'!$A$3:$S$910,14,FALSE)),0,VLOOKUP($A385,'Mutasi Neraca'!$A$3:$S$910,14,FALSE))</f>
        <v>-2134884638</v>
      </c>
      <c r="P385" s="42">
        <f>VLOOKUP($A385,'Neraca Unaudited SIMAK'!$A$2:$R$1272,15,FALSE)+IF(ISNA(VLOOKUP($A385,'Mutasi Neraca'!$A$3:$S$910,15,FALSE)),0,VLOOKUP($A385,'Mutasi Neraca'!$A$3:$S$910,15,FALSE))</f>
        <v>0</v>
      </c>
      <c r="Q385" s="42">
        <f>VLOOKUP($A385,'Neraca Unaudited SIMAK'!$A$2:$R$1272,16,FALSE)+IF(ISNA(VLOOKUP($A385,'Mutasi Neraca'!$A$3:$S$910,16,FALSE)),0,VLOOKUP($A385,'Mutasi Neraca'!$A$3:$S$910,16,FALSE))</f>
        <v>0</v>
      </c>
      <c r="R385" s="42">
        <f>VLOOKUP($A385,'Neraca Unaudited SIMAK'!$A$2:$R$1272,17,FALSE)+IF(ISNA(VLOOKUP($A385,'Mutasi Neraca'!$A$3:$S$910,17,FALSE)),0,VLOOKUP($A385,'Mutasi Neraca'!$A$3:$S$910,17,FALSE))</f>
        <v>0</v>
      </c>
      <c r="S385" s="42">
        <f t="shared" si="53"/>
        <v>1712992019</v>
      </c>
    </row>
    <row r="386" spans="1:19">
      <c r="A386" s="41" t="s">
        <v>393</v>
      </c>
      <c r="B386" s="41" t="str">
        <f t="shared" si="52"/>
        <v>005011000</v>
      </c>
      <c r="D386" s="42">
        <f>VLOOKUP($A386,'Neraca Unaudited SIMAK'!$A$2:$R$1272,3,FALSE)+IF(ISNA(VLOOKUP($A386,'Mutasi Neraca'!$A$3:$S$910,3,FALSE)),0,VLOOKUP($A386,'Mutasi Neraca'!$A$3:$S$910,3,FALSE))</f>
        <v>1176000</v>
      </c>
      <c r="E386" s="42">
        <f>VLOOKUP($A386,'Neraca Unaudited SIMAK'!$A$2:$R$1272,4,FALSE)+IF(ISNA(VLOOKUP($A386,'Mutasi Neraca'!$A$3:$S$910,4,FALSE)),0,VLOOKUP($A386,'Mutasi Neraca'!$A$3:$S$910,4,FALSE))</f>
        <v>2248146100</v>
      </c>
      <c r="F386" s="42">
        <f>VLOOKUP($A386,'Neraca Unaudited SIMAK'!$A$2:$R$1272,5,FALSE)+IF(ISNA(VLOOKUP($A386,'Mutasi Neraca'!$A$3:$S$910,5,FALSE)),0,VLOOKUP($A386,'Mutasi Neraca'!$A$3:$S$910,5,FALSE))</f>
        <v>1791840617</v>
      </c>
      <c r="G386" s="42">
        <f>VLOOKUP($A386,'Neraca Unaudited SIMAK'!$A$2:$R$1272,6,FALSE)+IF(ISNA(VLOOKUP($A386,'Mutasi Neraca'!$A$3:$S$910,6,FALSE)),0,VLOOKUP($A386,'Mutasi Neraca'!$A$3:$S$910,6,FALSE))</f>
        <v>5574224876</v>
      </c>
      <c r="H386" s="42">
        <f>VLOOKUP($A386,'Neraca Unaudited SIMAK'!$A$2:$R$1272,7,FALSE)+IF(ISNA(VLOOKUP($A386,'Mutasi Neraca'!$A$3:$S$910,7,FALSE)),0,VLOOKUP($A386,'Mutasi Neraca'!$A$3:$S$910,7,FALSE))</f>
        <v>264333961</v>
      </c>
      <c r="I386" s="42">
        <f>VLOOKUP($A386,'Neraca Unaudited SIMAK'!$A$2:$R$1272,8,FALSE)+IF(ISNA(VLOOKUP($A386,'Mutasi Neraca'!$A$3:$S$910,8,FALSE)),0,VLOOKUP($A386,'Mutasi Neraca'!$A$3:$S$910,8,FALSE))</f>
        <v>5370005</v>
      </c>
      <c r="J386" s="42">
        <f>VLOOKUP($A386,'Neraca Unaudited SIMAK'!$A$2:$R$1272,9,FALSE)+IF(ISNA(VLOOKUP($A386,'Mutasi Neraca'!$A$3:$S$910,9,FALSE)),0,VLOOKUP($A386,'Mutasi Neraca'!$A$3:$S$910,9,FALSE))</f>
        <v>0</v>
      </c>
      <c r="K386" s="42">
        <f>VLOOKUP($A386,'Neraca Unaudited SIMAK'!$A$2:$R$1272,10,FALSE)+IF(ISNA(VLOOKUP($A386,'Mutasi Neraca'!$A$3:$S$910,10,FALSE)),0,VLOOKUP($A386,'Mutasi Neraca'!$A$3:$S$910,10,FALSE))</f>
        <v>69080000</v>
      </c>
      <c r="L386" s="42">
        <f>VLOOKUP($A386,'Neraca Unaudited SIMAK'!$A$2:$R$1272,11,FALSE)+IF(ISNA(VLOOKUP($A386,'Mutasi Neraca'!$A$3:$S$910,11,FALSE)),0,VLOOKUP($A386,'Mutasi Neraca'!$A$3:$S$910,11,FALSE))</f>
        <v>69573000</v>
      </c>
      <c r="M386" s="42">
        <f>VLOOKUP($A386,'Neraca Unaudited SIMAK'!$A$2:$R$1272,12,FALSE)+IF(ISNA(VLOOKUP($A386,'Mutasi Neraca'!$A$3:$S$910,12,FALSE)),0,VLOOKUP($A386,'Mutasi Neraca'!$A$3:$S$910,12,FALSE))</f>
        <v>10023744559</v>
      </c>
      <c r="N386" s="42">
        <f>VLOOKUP($A386,'Neraca Unaudited SIMAK'!$A$2:$R$1272,13,FALSE)+IF(ISNA(VLOOKUP($A386,'Mutasi Neraca'!$A$3:$S$910,13,FALSE)),0,VLOOKUP($A386,'Mutasi Neraca'!$A$3:$S$910,13,FALSE))</f>
        <v>-1266887397</v>
      </c>
      <c r="O386" s="42">
        <f>VLOOKUP($A386,'Neraca Unaudited SIMAK'!$A$2:$R$1272,14,FALSE)+IF(ISNA(VLOOKUP($A386,'Mutasi Neraca'!$A$3:$S$910,14,FALSE)),0,VLOOKUP($A386,'Mutasi Neraca'!$A$3:$S$910,14,FALSE))</f>
        <v>-1346632290</v>
      </c>
      <c r="P386" s="42">
        <f>VLOOKUP($A386,'Neraca Unaudited SIMAK'!$A$2:$R$1272,15,FALSE)+IF(ISNA(VLOOKUP($A386,'Mutasi Neraca'!$A$3:$S$910,15,FALSE)),0,VLOOKUP($A386,'Mutasi Neraca'!$A$3:$S$910,15,FALSE))</f>
        <v>-193912866</v>
      </c>
      <c r="Q386" s="42">
        <f>VLOOKUP($A386,'Neraca Unaudited SIMAK'!$A$2:$R$1272,16,FALSE)+IF(ISNA(VLOOKUP($A386,'Mutasi Neraca'!$A$3:$S$910,16,FALSE)),0,VLOOKUP($A386,'Mutasi Neraca'!$A$3:$S$910,16,FALSE))</f>
        <v>0</v>
      </c>
      <c r="R386" s="42">
        <f>VLOOKUP($A386,'Neraca Unaudited SIMAK'!$A$2:$R$1272,17,FALSE)+IF(ISNA(VLOOKUP($A386,'Mutasi Neraca'!$A$3:$S$910,17,FALSE)),0,VLOOKUP($A386,'Mutasi Neraca'!$A$3:$S$910,17,FALSE))</f>
        <v>-69573000</v>
      </c>
      <c r="S386" s="42">
        <f t="shared" si="53"/>
        <v>7146739006</v>
      </c>
    </row>
    <row r="387" spans="1:19">
      <c r="A387" s="41" t="s">
        <v>394</v>
      </c>
      <c r="B387" s="41" t="str">
        <f t="shared" ref="B387:B450" si="54">LEFT(A387,9)</f>
        <v>005011000</v>
      </c>
      <c r="D387" s="42">
        <f>VLOOKUP($A387,'Neraca Unaudited SIMAK'!$A$2:$R$1272,3,FALSE)+IF(ISNA(VLOOKUP($A387,'Mutasi Neraca'!$A$3:$S$910,3,FALSE)),0,VLOOKUP($A387,'Mutasi Neraca'!$A$3:$S$910,3,FALSE))</f>
        <v>10283726</v>
      </c>
      <c r="E387" s="42">
        <f>VLOOKUP($A387,'Neraca Unaudited SIMAK'!$A$2:$R$1272,4,FALSE)+IF(ISNA(VLOOKUP($A387,'Mutasi Neraca'!$A$3:$S$910,4,FALSE)),0,VLOOKUP($A387,'Mutasi Neraca'!$A$3:$S$910,4,FALSE))</f>
        <v>3471804000</v>
      </c>
      <c r="F387" s="42">
        <f>VLOOKUP($A387,'Neraca Unaudited SIMAK'!$A$2:$R$1272,5,FALSE)+IF(ISNA(VLOOKUP($A387,'Mutasi Neraca'!$A$3:$S$910,5,FALSE)),0,VLOOKUP($A387,'Mutasi Neraca'!$A$3:$S$910,5,FALSE))</f>
        <v>1275386473</v>
      </c>
      <c r="G387" s="42">
        <f>VLOOKUP($A387,'Neraca Unaudited SIMAK'!$A$2:$R$1272,6,FALSE)+IF(ISNA(VLOOKUP($A387,'Mutasi Neraca'!$A$3:$S$910,6,FALSE)),0,VLOOKUP($A387,'Mutasi Neraca'!$A$3:$S$910,6,FALSE))</f>
        <v>3202722900</v>
      </c>
      <c r="H387" s="42">
        <f>VLOOKUP($A387,'Neraca Unaudited SIMAK'!$A$2:$R$1272,7,FALSE)+IF(ISNA(VLOOKUP($A387,'Mutasi Neraca'!$A$3:$S$910,7,FALSE)),0,VLOOKUP($A387,'Mutasi Neraca'!$A$3:$S$910,7,FALSE))</f>
        <v>140090000</v>
      </c>
      <c r="I387" s="42">
        <f>VLOOKUP($A387,'Neraca Unaudited SIMAK'!$A$2:$R$1272,8,FALSE)+IF(ISNA(VLOOKUP($A387,'Mutasi Neraca'!$A$3:$S$910,8,FALSE)),0,VLOOKUP($A387,'Mutasi Neraca'!$A$3:$S$910,8,FALSE))</f>
        <v>7455518</v>
      </c>
      <c r="J387" s="42">
        <f>VLOOKUP($A387,'Neraca Unaudited SIMAK'!$A$2:$R$1272,9,FALSE)+IF(ISNA(VLOOKUP($A387,'Mutasi Neraca'!$A$3:$S$910,9,FALSE)),0,VLOOKUP($A387,'Mutasi Neraca'!$A$3:$S$910,9,FALSE))</f>
        <v>0</v>
      </c>
      <c r="K387" s="42">
        <f>VLOOKUP($A387,'Neraca Unaudited SIMAK'!$A$2:$R$1272,10,FALSE)+IF(ISNA(VLOOKUP($A387,'Mutasi Neraca'!$A$3:$S$910,10,FALSE)),0,VLOOKUP($A387,'Mutasi Neraca'!$A$3:$S$910,10,FALSE))</f>
        <v>0</v>
      </c>
      <c r="L387" s="42">
        <f>VLOOKUP($A387,'Neraca Unaudited SIMAK'!$A$2:$R$1272,11,FALSE)+IF(ISNA(VLOOKUP($A387,'Mutasi Neraca'!$A$3:$S$910,11,FALSE)),0,VLOOKUP($A387,'Mutasi Neraca'!$A$3:$S$910,11,FALSE))</f>
        <v>0</v>
      </c>
      <c r="M387" s="42">
        <f>VLOOKUP($A387,'Neraca Unaudited SIMAK'!$A$2:$R$1272,12,FALSE)+IF(ISNA(VLOOKUP($A387,'Mutasi Neraca'!$A$3:$S$910,12,FALSE)),0,VLOOKUP($A387,'Mutasi Neraca'!$A$3:$S$910,12,FALSE))</f>
        <v>8107742617</v>
      </c>
      <c r="N387" s="42">
        <f>VLOOKUP($A387,'Neraca Unaudited SIMAK'!$A$2:$R$1272,13,FALSE)+IF(ISNA(VLOOKUP($A387,'Mutasi Neraca'!$A$3:$S$910,13,FALSE)),0,VLOOKUP($A387,'Mutasi Neraca'!$A$3:$S$910,13,FALSE))</f>
        <v>-1191038638</v>
      </c>
      <c r="O387" s="42">
        <f>VLOOKUP($A387,'Neraca Unaudited SIMAK'!$A$2:$R$1272,14,FALSE)+IF(ISNA(VLOOKUP($A387,'Mutasi Neraca'!$A$3:$S$910,14,FALSE)),0,VLOOKUP($A387,'Mutasi Neraca'!$A$3:$S$910,14,FALSE))</f>
        <v>-1858594837</v>
      </c>
      <c r="P387" s="42">
        <f>VLOOKUP($A387,'Neraca Unaudited SIMAK'!$A$2:$R$1272,15,FALSE)+IF(ISNA(VLOOKUP($A387,'Mutasi Neraca'!$A$3:$S$910,15,FALSE)),0,VLOOKUP($A387,'Mutasi Neraca'!$A$3:$S$910,15,FALSE))</f>
        <v>-104784286</v>
      </c>
      <c r="Q387" s="42">
        <f>VLOOKUP($A387,'Neraca Unaudited SIMAK'!$A$2:$R$1272,16,FALSE)+IF(ISNA(VLOOKUP($A387,'Mutasi Neraca'!$A$3:$S$910,16,FALSE)),0,VLOOKUP($A387,'Mutasi Neraca'!$A$3:$S$910,16,FALSE))</f>
        <v>0</v>
      </c>
      <c r="R387" s="42">
        <f>VLOOKUP($A387,'Neraca Unaudited SIMAK'!$A$2:$R$1272,17,FALSE)+IF(ISNA(VLOOKUP($A387,'Mutasi Neraca'!$A$3:$S$910,17,FALSE)),0,VLOOKUP($A387,'Mutasi Neraca'!$A$3:$S$910,17,FALSE))</f>
        <v>0</v>
      </c>
      <c r="S387" s="42">
        <f t="shared" ref="S387:S450" si="55">SUM(M387:R387)</f>
        <v>4953324856</v>
      </c>
    </row>
    <row r="388" spans="1:19">
      <c r="A388" s="41" t="s">
        <v>395</v>
      </c>
      <c r="B388" s="41" t="str">
        <f t="shared" si="54"/>
        <v>005011000</v>
      </c>
      <c r="D388" s="42">
        <f>VLOOKUP($A388,'Neraca Unaudited SIMAK'!$A$2:$R$1272,3,FALSE)+IF(ISNA(VLOOKUP($A388,'Mutasi Neraca'!$A$3:$S$910,3,FALSE)),0,VLOOKUP($A388,'Mutasi Neraca'!$A$3:$S$910,3,FALSE))</f>
        <v>37521585</v>
      </c>
      <c r="E388" s="42">
        <f>VLOOKUP($A388,'Neraca Unaudited SIMAK'!$A$2:$R$1272,4,FALSE)+IF(ISNA(VLOOKUP($A388,'Mutasi Neraca'!$A$3:$S$910,4,FALSE)),0,VLOOKUP($A388,'Mutasi Neraca'!$A$3:$S$910,4,FALSE))</f>
        <v>7700363000</v>
      </c>
      <c r="F388" s="42">
        <f>VLOOKUP($A388,'Neraca Unaudited SIMAK'!$A$2:$R$1272,5,FALSE)+IF(ISNA(VLOOKUP($A388,'Mutasi Neraca'!$A$3:$S$910,5,FALSE)),0,VLOOKUP($A388,'Mutasi Neraca'!$A$3:$S$910,5,FALSE))</f>
        <v>4686728221</v>
      </c>
      <c r="G388" s="42">
        <f>VLOOKUP($A388,'Neraca Unaudited SIMAK'!$A$2:$R$1272,6,FALSE)+IF(ISNA(VLOOKUP($A388,'Mutasi Neraca'!$A$3:$S$910,6,FALSE)),0,VLOOKUP($A388,'Mutasi Neraca'!$A$3:$S$910,6,FALSE))</f>
        <v>8313378100</v>
      </c>
      <c r="H388" s="42">
        <f>VLOOKUP($A388,'Neraca Unaudited SIMAK'!$A$2:$R$1272,7,FALSE)+IF(ISNA(VLOOKUP($A388,'Mutasi Neraca'!$A$3:$S$910,7,FALSE)),0,VLOOKUP($A388,'Mutasi Neraca'!$A$3:$S$910,7,FALSE))</f>
        <v>349129511</v>
      </c>
      <c r="I388" s="42">
        <f>VLOOKUP($A388,'Neraca Unaudited SIMAK'!$A$2:$R$1272,8,FALSE)+IF(ISNA(VLOOKUP($A388,'Mutasi Neraca'!$A$3:$S$910,8,FALSE)),0,VLOOKUP($A388,'Mutasi Neraca'!$A$3:$S$910,8,FALSE))</f>
        <v>7600792</v>
      </c>
      <c r="J388" s="42">
        <f>VLOOKUP($A388,'Neraca Unaudited SIMAK'!$A$2:$R$1272,9,FALSE)+IF(ISNA(VLOOKUP($A388,'Mutasi Neraca'!$A$3:$S$910,9,FALSE)),0,VLOOKUP($A388,'Mutasi Neraca'!$A$3:$S$910,9,FALSE))</f>
        <v>0</v>
      </c>
      <c r="K388" s="42">
        <f>VLOOKUP($A388,'Neraca Unaudited SIMAK'!$A$2:$R$1272,10,FALSE)+IF(ISNA(VLOOKUP($A388,'Mutasi Neraca'!$A$3:$S$910,10,FALSE)),0,VLOOKUP($A388,'Mutasi Neraca'!$A$3:$S$910,10,FALSE))</f>
        <v>55000000</v>
      </c>
      <c r="L388" s="42">
        <f>VLOOKUP($A388,'Neraca Unaudited SIMAK'!$A$2:$R$1272,11,FALSE)+IF(ISNA(VLOOKUP($A388,'Mutasi Neraca'!$A$3:$S$910,11,FALSE)),0,VLOOKUP($A388,'Mutasi Neraca'!$A$3:$S$910,11,FALSE))</f>
        <v>0</v>
      </c>
      <c r="M388" s="42">
        <f>VLOOKUP($A388,'Neraca Unaudited SIMAK'!$A$2:$R$1272,12,FALSE)+IF(ISNA(VLOOKUP($A388,'Mutasi Neraca'!$A$3:$S$910,12,FALSE)),0,VLOOKUP($A388,'Mutasi Neraca'!$A$3:$S$910,12,FALSE))</f>
        <v>21149721209</v>
      </c>
      <c r="N388" s="42">
        <f>VLOOKUP($A388,'Neraca Unaudited SIMAK'!$A$2:$R$1272,13,FALSE)+IF(ISNA(VLOOKUP($A388,'Mutasi Neraca'!$A$3:$S$910,13,FALSE)),0,VLOOKUP($A388,'Mutasi Neraca'!$A$3:$S$910,13,FALSE))</f>
        <v>-4271553287</v>
      </c>
      <c r="O388" s="42">
        <f>VLOOKUP($A388,'Neraca Unaudited SIMAK'!$A$2:$R$1272,14,FALSE)+IF(ISNA(VLOOKUP($A388,'Mutasi Neraca'!$A$3:$S$910,14,FALSE)),0,VLOOKUP($A388,'Mutasi Neraca'!$A$3:$S$910,14,FALSE))</f>
        <v>-1943055981</v>
      </c>
      <c r="P388" s="42">
        <f>VLOOKUP($A388,'Neraca Unaudited SIMAK'!$A$2:$R$1272,15,FALSE)+IF(ISNA(VLOOKUP($A388,'Mutasi Neraca'!$A$3:$S$910,15,FALSE)),0,VLOOKUP($A388,'Mutasi Neraca'!$A$3:$S$910,15,FALSE))</f>
        <v>-169000477</v>
      </c>
      <c r="Q388" s="42">
        <f>VLOOKUP($A388,'Neraca Unaudited SIMAK'!$A$2:$R$1272,16,FALSE)+IF(ISNA(VLOOKUP($A388,'Mutasi Neraca'!$A$3:$S$910,16,FALSE)),0,VLOOKUP($A388,'Mutasi Neraca'!$A$3:$S$910,16,FALSE))</f>
        <v>0</v>
      </c>
      <c r="R388" s="42">
        <f>VLOOKUP($A388,'Neraca Unaudited SIMAK'!$A$2:$R$1272,17,FALSE)+IF(ISNA(VLOOKUP($A388,'Mutasi Neraca'!$A$3:$S$910,17,FALSE)),0,VLOOKUP($A388,'Mutasi Neraca'!$A$3:$S$910,17,FALSE))</f>
        <v>0</v>
      </c>
      <c r="S388" s="42">
        <f t="shared" si="55"/>
        <v>14766111464</v>
      </c>
    </row>
    <row r="389" spans="1:19">
      <c r="A389" s="41" t="s">
        <v>396</v>
      </c>
      <c r="B389" s="41" t="str">
        <f t="shared" si="54"/>
        <v>005011000</v>
      </c>
      <c r="D389" s="42">
        <f>VLOOKUP($A389,'Neraca Unaudited SIMAK'!$A$2:$R$1272,3,FALSE)+IF(ISNA(VLOOKUP($A389,'Mutasi Neraca'!$A$3:$S$910,3,FALSE)),0,VLOOKUP($A389,'Mutasi Neraca'!$A$3:$S$910,3,FALSE))</f>
        <v>158700</v>
      </c>
      <c r="E389" s="42">
        <f>VLOOKUP($A389,'Neraca Unaudited SIMAK'!$A$2:$R$1272,4,FALSE)+IF(ISNA(VLOOKUP($A389,'Mutasi Neraca'!$A$3:$S$910,4,FALSE)),0,VLOOKUP($A389,'Mutasi Neraca'!$A$3:$S$910,4,FALSE))</f>
        <v>0</v>
      </c>
      <c r="F389" s="42">
        <f>VLOOKUP($A389,'Neraca Unaudited SIMAK'!$A$2:$R$1272,5,FALSE)+IF(ISNA(VLOOKUP($A389,'Mutasi Neraca'!$A$3:$S$910,5,FALSE)),0,VLOOKUP($A389,'Mutasi Neraca'!$A$3:$S$910,5,FALSE))</f>
        <v>1741836600</v>
      </c>
      <c r="G389" s="42">
        <f>VLOOKUP($A389,'Neraca Unaudited SIMAK'!$A$2:$R$1272,6,FALSE)+IF(ISNA(VLOOKUP($A389,'Mutasi Neraca'!$A$3:$S$910,6,FALSE)),0,VLOOKUP($A389,'Mutasi Neraca'!$A$3:$S$910,6,FALSE))</f>
        <v>5687921294</v>
      </c>
      <c r="H389" s="42">
        <f>VLOOKUP($A389,'Neraca Unaudited SIMAK'!$A$2:$R$1272,7,FALSE)+IF(ISNA(VLOOKUP($A389,'Mutasi Neraca'!$A$3:$S$910,7,FALSE)),0,VLOOKUP($A389,'Mutasi Neraca'!$A$3:$S$910,7,FALSE))</f>
        <v>130213398</v>
      </c>
      <c r="I389" s="42">
        <f>VLOOKUP($A389,'Neraca Unaudited SIMAK'!$A$2:$R$1272,8,FALSE)+IF(ISNA(VLOOKUP($A389,'Mutasi Neraca'!$A$3:$S$910,8,FALSE)),0,VLOOKUP($A389,'Mutasi Neraca'!$A$3:$S$910,8,FALSE))</f>
        <v>83480000</v>
      </c>
      <c r="J389" s="42">
        <f>VLOOKUP($A389,'Neraca Unaudited SIMAK'!$A$2:$R$1272,9,FALSE)+IF(ISNA(VLOOKUP($A389,'Mutasi Neraca'!$A$3:$S$910,9,FALSE)),0,VLOOKUP($A389,'Mutasi Neraca'!$A$3:$S$910,9,FALSE))</f>
        <v>0</v>
      </c>
      <c r="K389" s="42">
        <f>VLOOKUP($A389,'Neraca Unaudited SIMAK'!$A$2:$R$1272,10,FALSE)+IF(ISNA(VLOOKUP($A389,'Mutasi Neraca'!$A$3:$S$910,10,FALSE)),0,VLOOKUP($A389,'Mutasi Neraca'!$A$3:$S$910,10,FALSE))</f>
        <v>0</v>
      </c>
      <c r="L389" s="42">
        <f>VLOOKUP($A389,'Neraca Unaudited SIMAK'!$A$2:$R$1272,11,FALSE)+IF(ISNA(VLOOKUP($A389,'Mutasi Neraca'!$A$3:$S$910,11,FALSE)),0,VLOOKUP($A389,'Mutasi Neraca'!$A$3:$S$910,11,FALSE))</f>
        <v>237914983</v>
      </c>
      <c r="M389" s="42">
        <f>VLOOKUP($A389,'Neraca Unaudited SIMAK'!$A$2:$R$1272,12,FALSE)+IF(ISNA(VLOOKUP($A389,'Mutasi Neraca'!$A$3:$S$910,12,FALSE)),0,VLOOKUP($A389,'Mutasi Neraca'!$A$3:$S$910,12,FALSE))</f>
        <v>7881524975</v>
      </c>
      <c r="N389" s="42">
        <f>VLOOKUP($A389,'Neraca Unaudited SIMAK'!$A$2:$R$1272,13,FALSE)+IF(ISNA(VLOOKUP($A389,'Mutasi Neraca'!$A$3:$S$910,13,FALSE)),0,VLOOKUP($A389,'Mutasi Neraca'!$A$3:$S$910,13,FALSE))</f>
        <v>-1391916049</v>
      </c>
      <c r="O389" s="42">
        <f>VLOOKUP($A389,'Neraca Unaudited SIMAK'!$A$2:$R$1272,14,FALSE)+IF(ISNA(VLOOKUP($A389,'Mutasi Neraca'!$A$3:$S$910,14,FALSE)),0,VLOOKUP($A389,'Mutasi Neraca'!$A$3:$S$910,14,FALSE))</f>
        <v>-842648619</v>
      </c>
      <c r="P389" s="42">
        <f>VLOOKUP($A389,'Neraca Unaudited SIMAK'!$A$2:$R$1272,15,FALSE)+IF(ISNA(VLOOKUP($A389,'Mutasi Neraca'!$A$3:$S$910,15,FALSE)),0,VLOOKUP($A389,'Mutasi Neraca'!$A$3:$S$910,15,FALSE))</f>
        <v>-35681389</v>
      </c>
      <c r="Q389" s="42">
        <f>VLOOKUP($A389,'Neraca Unaudited SIMAK'!$A$2:$R$1272,16,FALSE)+IF(ISNA(VLOOKUP($A389,'Mutasi Neraca'!$A$3:$S$910,16,FALSE)),0,VLOOKUP($A389,'Mutasi Neraca'!$A$3:$S$910,16,FALSE))</f>
        <v>0</v>
      </c>
      <c r="R389" s="42">
        <f>VLOOKUP($A389,'Neraca Unaudited SIMAK'!$A$2:$R$1272,17,FALSE)+IF(ISNA(VLOOKUP($A389,'Mutasi Neraca'!$A$3:$S$910,17,FALSE)),0,VLOOKUP($A389,'Mutasi Neraca'!$A$3:$S$910,17,FALSE))</f>
        <v>-184132867</v>
      </c>
      <c r="S389" s="42">
        <f t="shared" si="55"/>
        <v>5427146051</v>
      </c>
    </row>
    <row r="390" spans="1:19">
      <c r="A390" s="41" t="s">
        <v>397</v>
      </c>
      <c r="B390" s="41" t="str">
        <f t="shared" si="54"/>
        <v>005011000</v>
      </c>
      <c r="D390" s="42">
        <f>VLOOKUP($A390,'Neraca Unaudited SIMAK'!$A$2:$R$1272,3,FALSE)+IF(ISNA(VLOOKUP($A390,'Mutasi Neraca'!$A$3:$S$910,3,FALSE)),0,VLOOKUP($A390,'Mutasi Neraca'!$A$3:$S$910,3,FALSE))</f>
        <v>6568200</v>
      </c>
      <c r="E390" s="42">
        <f>VLOOKUP($A390,'Neraca Unaudited SIMAK'!$A$2:$R$1272,4,FALSE)+IF(ISNA(VLOOKUP($A390,'Mutasi Neraca'!$A$3:$S$910,4,FALSE)),0,VLOOKUP($A390,'Mutasi Neraca'!$A$3:$S$910,4,FALSE))</f>
        <v>750038900</v>
      </c>
      <c r="F390" s="42">
        <f>VLOOKUP($A390,'Neraca Unaudited SIMAK'!$A$2:$R$1272,5,FALSE)+IF(ISNA(VLOOKUP($A390,'Mutasi Neraca'!$A$3:$S$910,5,FALSE)),0,VLOOKUP($A390,'Mutasi Neraca'!$A$3:$S$910,5,FALSE))</f>
        <v>1254133579</v>
      </c>
      <c r="G390" s="42">
        <f>VLOOKUP($A390,'Neraca Unaudited SIMAK'!$A$2:$R$1272,6,FALSE)+IF(ISNA(VLOOKUP($A390,'Mutasi Neraca'!$A$3:$S$910,6,FALSE)),0,VLOOKUP($A390,'Mutasi Neraca'!$A$3:$S$910,6,FALSE))</f>
        <v>5187891446</v>
      </c>
      <c r="H390" s="42">
        <f>VLOOKUP($A390,'Neraca Unaudited SIMAK'!$A$2:$R$1272,7,FALSE)+IF(ISNA(VLOOKUP($A390,'Mutasi Neraca'!$A$3:$S$910,7,FALSE)),0,VLOOKUP($A390,'Mutasi Neraca'!$A$3:$S$910,7,FALSE))</f>
        <v>410149500</v>
      </c>
      <c r="I390" s="42">
        <f>VLOOKUP($A390,'Neraca Unaudited SIMAK'!$A$2:$R$1272,8,FALSE)+IF(ISNA(VLOOKUP($A390,'Mutasi Neraca'!$A$3:$S$910,8,FALSE)),0,VLOOKUP($A390,'Mutasi Neraca'!$A$3:$S$910,8,FALSE))</f>
        <v>52339500</v>
      </c>
      <c r="J390" s="42">
        <f>VLOOKUP($A390,'Neraca Unaudited SIMAK'!$A$2:$R$1272,9,FALSE)+IF(ISNA(VLOOKUP($A390,'Mutasi Neraca'!$A$3:$S$910,9,FALSE)),0,VLOOKUP($A390,'Mutasi Neraca'!$A$3:$S$910,9,FALSE))</f>
        <v>0</v>
      </c>
      <c r="K390" s="42">
        <f>VLOOKUP($A390,'Neraca Unaudited SIMAK'!$A$2:$R$1272,10,FALSE)+IF(ISNA(VLOOKUP($A390,'Mutasi Neraca'!$A$3:$S$910,10,FALSE)),0,VLOOKUP($A390,'Mutasi Neraca'!$A$3:$S$910,10,FALSE))</f>
        <v>20750000</v>
      </c>
      <c r="L390" s="42">
        <f>VLOOKUP($A390,'Neraca Unaudited SIMAK'!$A$2:$R$1272,11,FALSE)+IF(ISNA(VLOOKUP($A390,'Mutasi Neraca'!$A$3:$S$910,11,FALSE)),0,VLOOKUP($A390,'Mutasi Neraca'!$A$3:$S$910,11,FALSE))</f>
        <v>720000</v>
      </c>
      <c r="M390" s="42">
        <f>VLOOKUP($A390,'Neraca Unaudited SIMAK'!$A$2:$R$1272,12,FALSE)+IF(ISNA(VLOOKUP($A390,'Mutasi Neraca'!$A$3:$S$910,12,FALSE)),0,VLOOKUP($A390,'Mutasi Neraca'!$A$3:$S$910,12,FALSE))</f>
        <v>7682591125</v>
      </c>
      <c r="N390" s="42">
        <f>VLOOKUP($A390,'Neraca Unaudited SIMAK'!$A$2:$R$1272,13,FALSE)+IF(ISNA(VLOOKUP($A390,'Mutasi Neraca'!$A$3:$S$910,13,FALSE)),0,VLOOKUP($A390,'Mutasi Neraca'!$A$3:$S$910,13,FALSE))</f>
        <v>-1024774688</v>
      </c>
      <c r="O390" s="42">
        <f>VLOOKUP($A390,'Neraca Unaudited SIMAK'!$A$2:$R$1272,14,FALSE)+IF(ISNA(VLOOKUP($A390,'Mutasi Neraca'!$A$3:$S$910,14,FALSE)),0,VLOOKUP($A390,'Mutasi Neraca'!$A$3:$S$910,14,FALSE))</f>
        <v>-419185024</v>
      </c>
      <c r="P390" s="42">
        <f>VLOOKUP($A390,'Neraca Unaudited SIMAK'!$A$2:$R$1272,15,FALSE)+IF(ISNA(VLOOKUP($A390,'Mutasi Neraca'!$A$3:$S$910,15,FALSE)),0,VLOOKUP($A390,'Mutasi Neraca'!$A$3:$S$910,15,FALSE))</f>
        <v>-128205375</v>
      </c>
      <c r="Q390" s="42">
        <f>VLOOKUP($A390,'Neraca Unaudited SIMAK'!$A$2:$R$1272,16,FALSE)+IF(ISNA(VLOOKUP($A390,'Mutasi Neraca'!$A$3:$S$910,16,FALSE)),0,VLOOKUP($A390,'Mutasi Neraca'!$A$3:$S$910,16,FALSE))</f>
        <v>0</v>
      </c>
      <c r="R390" s="42">
        <f>VLOOKUP($A390,'Neraca Unaudited SIMAK'!$A$2:$R$1272,17,FALSE)+IF(ISNA(VLOOKUP($A390,'Mutasi Neraca'!$A$3:$S$910,17,FALSE)),0,VLOOKUP($A390,'Mutasi Neraca'!$A$3:$S$910,17,FALSE))</f>
        <v>-720000</v>
      </c>
      <c r="S390" s="42">
        <f t="shared" si="55"/>
        <v>6109706038</v>
      </c>
    </row>
    <row r="391" spans="1:19">
      <c r="A391" s="41" t="s">
        <v>398</v>
      </c>
      <c r="B391" s="41" t="str">
        <f t="shared" si="54"/>
        <v>005011000</v>
      </c>
      <c r="D391" s="42">
        <f>VLOOKUP($A391,'Neraca Unaudited SIMAK'!$A$2:$R$1272,3,FALSE)+IF(ISNA(VLOOKUP($A391,'Mutasi Neraca'!$A$3:$S$910,3,FALSE)),0,VLOOKUP($A391,'Mutasi Neraca'!$A$3:$S$910,3,FALSE))</f>
        <v>2638100</v>
      </c>
      <c r="E391" s="42">
        <f>VLOOKUP($A391,'Neraca Unaudited SIMAK'!$A$2:$R$1272,4,FALSE)+IF(ISNA(VLOOKUP($A391,'Mutasi Neraca'!$A$3:$S$910,4,FALSE)),0,VLOOKUP($A391,'Mutasi Neraca'!$A$3:$S$910,4,FALSE))</f>
        <v>1482837000</v>
      </c>
      <c r="F391" s="42">
        <f>VLOOKUP($A391,'Neraca Unaudited SIMAK'!$A$2:$R$1272,5,FALSE)+IF(ISNA(VLOOKUP($A391,'Mutasi Neraca'!$A$3:$S$910,5,FALSE)),0,VLOOKUP($A391,'Mutasi Neraca'!$A$3:$S$910,5,FALSE))</f>
        <v>1218753388</v>
      </c>
      <c r="G391" s="42">
        <f>VLOOKUP($A391,'Neraca Unaudited SIMAK'!$A$2:$R$1272,6,FALSE)+IF(ISNA(VLOOKUP($A391,'Mutasi Neraca'!$A$3:$S$910,6,FALSE)),0,VLOOKUP($A391,'Mutasi Neraca'!$A$3:$S$910,6,FALSE))</f>
        <v>4787087040</v>
      </c>
      <c r="H391" s="42">
        <f>VLOOKUP($A391,'Neraca Unaudited SIMAK'!$A$2:$R$1272,7,FALSE)+IF(ISNA(VLOOKUP($A391,'Mutasi Neraca'!$A$3:$S$910,7,FALSE)),0,VLOOKUP($A391,'Mutasi Neraca'!$A$3:$S$910,7,FALSE))</f>
        <v>13837000</v>
      </c>
      <c r="I391" s="42">
        <f>VLOOKUP($A391,'Neraca Unaudited SIMAK'!$A$2:$R$1272,8,FALSE)+IF(ISNA(VLOOKUP($A391,'Mutasi Neraca'!$A$3:$S$910,8,FALSE)),0,VLOOKUP($A391,'Mutasi Neraca'!$A$3:$S$910,8,FALSE))</f>
        <v>63893000</v>
      </c>
      <c r="J391" s="42">
        <f>VLOOKUP($A391,'Neraca Unaudited SIMAK'!$A$2:$R$1272,9,FALSE)+IF(ISNA(VLOOKUP($A391,'Mutasi Neraca'!$A$3:$S$910,9,FALSE)),0,VLOOKUP($A391,'Mutasi Neraca'!$A$3:$S$910,9,FALSE))</f>
        <v>0</v>
      </c>
      <c r="K391" s="42">
        <f>VLOOKUP($A391,'Neraca Unaudited SIMAK'!$A$2:$R$1272,10,FALSE)+IF(ISNA(VLOOKUP($A391,'Mutasi Neraca'!$A$3:$S$910,10,FALSE)),0,VLOOKUP($A391,'Mutasi Neraca'!$A$3:$S$910,10,FALSE))</f>
        <v>61500000</v>
      </c>
      <c r="L391" s="42">
        <f>VLOOKUP($A391,'Neraca Unaudited SIMAK'!$A$2:$R$1272,11,FALSE)+IF(ISNA(VLOOKUP($A391,'Mutasi Neraca'!$A$3:$S$910,11,FALSE)),0,VLOOKUP($A391,'Mutasi Neraca'!$A$3:$S$910,11,FALSE))</f>
        <v>39357600</v>
      </c>
      <c r="M391" s="42">
        <f>VLOOKUP($A391,'Neraca Unaudited SIMAK'!$A$2:$R$1272,12,FALSE)+IF(ISNA(VLOOKUP($A391,'Mutasi Neraca'!$A$3:$S$910,12,FALSE)),0,VLOOKUP($A391,'Mutasi Neraca'!$A$3:$S$910,12,FALSE))</f>
        <v>7669903128</v>
      </c>
      <c r="N391" s="42">
        <f>VLOOKUP($A391,'Neraca Unaudited SIMAK'!$A$2:$R$1272,13,FALSE)+IF(ISNA(VLOOKUP($A391,'Mutasi Neraca'!$A$3:$S$910,13,FALSE)),0,VLOOKUP($A391,'Mutasi Neraca'!$A$3:$S$910,13,FALSE))</f>
        <v>-968132219</v>
      </c>
      <c r="O391" s="42">
        <f>VLOOKUP($A391,'Neraca Unaudited SIMAK'!$A$2:$R$1272,14,FALSE)+IF(ISNA(VLOOKUP($A391,'Mutasi Neraca'!$A$3:$S$910,14,FALSE)),0,VLOOKUP($A391,'Mutasi Neraca'!$A$3:$S$910,14,FALSE))</f>
        <v>-779275831</v>
      </c>
      <c r="P391" s="42">
        <f>VLOOKUP($A391,'Neraca Unaudited SIMAK'!$A$2:$R$1272,15,FALSE)+IF(ISNA(VLOOKUP($A391,'Mutasi Neraca'!$A$3:$S$910,15,FALSE)),0,VLOOKUP($A391,'Mutasi Neraca'!$A$3:$S$910,15,FALSE))</f>
        <v>-11761450</v>
      </c>
      <c r="Q391" s="42">
        <f>VLOOKUP($A391,'Neraca Unaudited SIMAK'!$A$2:$R$1272,16,FALSE)+IF(ISNA(VLOOKUP($A391,'Mutasi Neraca'!$A$3:$S$910,16,FALSE)),0,VLOOKUP($A391,'Mutasi Neraca'!$A$3:$S$910,16,FALSE))</f>
        <v>0</v>
      </c>
      <c r="R391" s="42">
        <f>VLOOKUP($A391,'Neraca Unaudited SIMAK'!$A$2:$R$1272,17,FALSE)+IF(ISNA(VLOOKUP($A391,'Mutasi Neraca'!$A$3:$S$910,17,FALSE)),0,VLOOKUP($A391,'Mutasi Neraca'!$A$3:$S$910,17,FALSE))</f>
        <v>-39300400</v>
      </c>
      <c r="S391" s="42">
        <f t="shared" si="55"/>
        <v>5871433228</v>
      </c>
    </row>
    <row r="392" spans="1:19">
      <c r="A392" s="41" t="s">
        <v>399</v>
      </c>
      <c r="B392" s="41" t="str">
        <f t="shared" si="54"/>
        <v>005011000</v>
      </c>
      <c r="D392" s="42">
        <f>VLOOKUP($A392,'Neraca Unaudited SIMAK'!$A$2:$R$1272,3,FALSE)+IF(ISNA(VLOOKUP($A392,'Mutasi Neraca'!$A$3:$S$910,3,FALSE)),0,VLOOKUP($A392,'Mutasi Neraca'!$A$3:$S$910,3,FALSE))</f>
        <v>151000</v>
      </c>
      <c r="E392" s="42">
        <f>VLOOKUP($A392,'Neraca Unaudited SIMAK'!$A$2:$R$1272,4,FALSE)+IF(ISNA(VLOOKUP($A392,'Mutasi Neraca'!$A$3:$S$910,4,FALSE)),0,VLOOKUP($A392,'Mutasi Neraca'!$A$3:$S$910,4,FALSE))</f>
        <v>0</v>
      </c>
      <c r="F392" s="42">
        <f>VLOOKUP($A392,'Neraca Unaudited SIMAK'!$A$2:$R$1272,5,FALSE)+IF(ISNA(VLOOKUP($A392,'Mutasi Neraca'!$A$3:$S$910,5,FALSE)),0,VLOOKUP($A392,'Mutasi Neraca'!$A$3:$S$910,5,FALSE))</f>
        <v>1628522152</v>
      </c>
      <c r="G392" s="42">
        <f>VLOOKUP($A392,'Neraca Unaudited SIMAK'!$A$2:$R$1272,6,FALSE)+IF(ISNA(VLOOKUP($A392,'Mutasi Neraca'!$A$3:$S$910,6,FALSE)),0,VLOOKUP($A392,'Mutasi Neraca'!$A$3:$S$910,6,FALSE))</f>
        <v>4294536950</v>
      </c>
      <c r="H392" s="42">
        <f>VLOOKUP($A392,'Neraca Unaudited SIMAK'!$A$2:$R$1272,7,FALSE)+IF(ISNA(VLOOKUP($A392,'Mutasi Neraca'!$A$3:$S$910,7,FALSE)),0,VLOOKUP($A392,'Mutasi Neraca'!$A$3:$S$910,7,FALSE))</f>
        <v>0</v>
      </c>
      <c r="I392" s="42">
        <f>VLOOKUP($A392,'Neraca Unaudited SIMAK'!$A$2:$R$1272,8,FALSE)+IF(ISNA(VLOOKUP($A392,'Mutasi Neraca'!$A$3:$S$910,8,FALSE)),0,VLOOKUP($A392,'Mutasi Neraca'!$A$3:$S$910,8,FALSE))</f>
        <v>19878000</v>
      </c>
      <c r="J392" s="42">
        <f>VLOOKUP($A392,'Neraca Unaudited SIMAK'!$A$2:$R$1272,9,FALSE)+IF(ISNA(VLOOKUP($A392,'Mutasi Neraca'!$A$3:$S$910,9,FALSE)),0,VLOOKUP($A392,'Mutasi Neraca'!$A$3:$S$910,9,FALSE))</f>
        <v>0</v>
      </c>
      <c r="K392" s="42">
        <f>VLOOKUP($A392,'Neraca Unaudited SIMAK'!$A$2:$R$1272,10,FALSE)+IF(ISNA(VLOOKUP($A392,'Mutasi Neraca'!$A$3:$S$910,10,FALSE)),0,VLOOKUP($A392,'Mutasi Neraca'!$A$3:$S$910,10,FALSE))</f>
        <v>20750000</v>
      </c>
      <c r="L392" s="42">
        <f>VLOOKUP($A392,'Neraca Unaudited SIMAK'!$A$2:$R$1272,11,FALSE)+IF(ISNA(VLOOKUP($A392,'Mutasi Neraca'!$A$3:$S$910,11,FALSE)),0,VLOOKUP($A392,'Mutasi Neraca'!$A$3:$S$910,11,FALSE))</f>
        <v>0</v>
      </c>
      <c r="M392" s="42">
        <f>VLOOKUP($A392,'Neraca Unaudited SIMAK'!$A$2:$R$1272,12,FALSE)+IF(ISNA(VLOOKUP($A392,'Mutasi Neraca'!$A$3:$S$910,12,FALSE)),0,VLOOKUP($A392,'Mutasi Neraca'!$A$3:$S$910,12,FALSE))</f>
        <v>5963838102</v>
      </c>
      <c r="N392" s="42">
        <f>VLOOKUP($A392,'Neraca Unaudited SIMAK'!$A$2:$R$1272,13,FALSE)+IF(ISNA(VLOOKUP($A392,'Mutasi Neraca'!$A$3:$S$910,13,FALSE)),0,VLOOKUP($A392,'Mutasi Neraca'!$A$3:$S$910,13,FALSE))</f>
        <v>-1192528376</v>
      </c>
      <c r="O392" s="42">
        <f>VLOOKUP($A392,'Neraca Unaudited SIMAK'!$A$2:$R$1272,14,FALSE)+IF(ISNA(VLOOKUP($A392,'Mutasi Neraca'!$A$3:$S$910,14,FALSE)),0,VLOOKUP($A392,'Mutasi Neraca'!$A$3:$S$910,14,FALSE))</f>
        <v>-494116604</v>
      </c>
      <c r="P392" s="42">
        <f>VLOOKUP($A392,'Neraca Unaudited SIMAK'!$A$2:$R$1272,15,FALSE)+IF(ISNA(VLOOKUP($A392,'Mutasi Neraca'!$A$3:$S$910,15,FALSE)),0,VLOOKUP($A392,'Mutasi Neraca'!$A$3:$S$910,15,FALSE))</f>
        <v>0</v>
      </c>
      <c r="Q392" s="42">
        <f>VLOOKUP($A392,'Neraca Unaudited SIMAK'!$A$2:$R$1272,16,FALSE)+IF(ISNA(VLOOKUP($A392,'Mutasi Neraca'!$A$3:$S$910,16,FALSE)),0,VLOOKUP($A392,'Mutasi Neraca'!$A$3:$S$910,16,FALSE))</f>
        <v>0</v>
      </c>
      <c r="R392" s="42">
        <f>VLOOKUP($A392,'Neraca Unaudited SIMAK'!$A$2:$R$1272,17,FALSE)+IF(ISNA(VLOOKUP($A392,'Mutasi Neraca'!$A$3:$S$910,17,FALSE)),0,VLOOKUP($A392,'Mutasi Neraca'!$A$3:$S$910,17,FALSE))</f>
        <v>0</v>
      </c>
      <c r="S392" s="42">
        <f t="shared" si="55"/>
        <v>4277193122</v>
      </c>
    </row>
    <row r="393" spans="1:19">
      <c r="A393" s="41" t="s">
        <v>400</v>
      </c>
      <c r="B393" s="41" t="str">
        <f t="shared" si="54"/>
        <v>005011000</v>
      </c>
      <c r="D393" s="42">
        <f>VLOOKUP($A393,'Neraca Unaudited SIMAK'!$A$2:$R$1272,3,FALSE)+IF(ISNA(VLOOKUP($A393,'Mutasi Neraca'!$A$3:$S$910,3,FALSE)),0,VLOOKUP($A393,'Mutasi Neraca'!$A$3:$S$910,3,FALSE))</f>
        <v>0</v>
      </c>
      <c r="E393" s="42">
        <f>VLOOKUP($A393,'Neraca Unaudited SIMAK'!$A$2:$R$1272,4,FALSE)+IF(ISNA(VLOOKUP($A393,'Mutasi Neraca'!$A$3:$S$910,4,FALSE)),0,VLOOKUP($A393,'Mutasi Neraca'!$A$3:$S$910,4,FALSE))</f>
        <v>256608000</v>
      </c>
      <c r="F393" s="42">
        <f>VLOOKUP($A393,'Neraca Unaudited SIMAK'!$A$2:$R$1272,5,FALSE)+IF(ISNA(VLOOKUP($A393,'Mutasi Neraca'!$A$3:$S$910,5,FALSE)),0,VLOOKUP($A393,'Mutasi Neraca'!$A$3:$S$910,5,FALSE))</f>
        <v>1207016750</v>
      </c>
      <c r="G393" s="42">
        <f>VLOOKUP($A393,'Neraca Unaudited SIMAK'!$A$2:$R$1272,6,FALSE)+IF(ISNA(VLOOKUP($A393,'Mutasi Neraca'!$A$3:$S$910,6,FALSE)),0,VLOOKUP($A393,'Mutasi Neraca'!$A$3:$S$910,6,FALSE))</f>
        <v>5515706000</v>
      </c>
      <c r="H393" s="42">
        <f>VLOOKUP($A393,'Neraca Unaudited SIMAK'!$A$2:$R$1272,7,FALSE)+IF(ISNA(VLOOKUP($A393,'Mutasi Neraca'!$A$3:$S$910,7,FALSE)),0,VLOOKUP($A393,'Mutasi Neraca'!$A$3:$S$910,7,FALSE))</f>
        <v>0</v>
      </c>
      <c r="I393" s="42">
        <f>VLOOKUP($A393,'Neraca Unaudited SIMAK'!$A$2:$R$1272,8,FALSE)+IF(ISNA(VLOOKUP($A393,'Mutasi Neraca'!$A$3:$S$910,8,FALSE)),0,VLOOKUP($A393,'Mutasi Neraca'!$A$3:$S$910,8,FALSE))</f>
        <v>56439000</v>
      </c>
      <c r="J393" s="42">
        <f>VLOOKUP($A393,'Neraca Unaudited SIMAK'!$A$2:$R$1272,9,FALSE)+IF(ISNA(VLOOKUP($A393,'Mutasi Neraca'!$A$3:$S$910,9,FALSE)),0,VLOOKUP($A393,'Mutasi Neraca'!$A$3:$S$910,9,FALSE))</f>
        <v>0</v>
      </c>
      <c r="K393" s="42">
        <f>VLOOKUP($A393,'Neraca Unaudited SIMAK'!$A$2:$R$1272,10,FALSE)+IF(ISNA(VLOOKUP($A393,'Mutasi Neraca'!$A$3:$S$910,10,FALSE)),0,VLOOKUP($A393,'Mutasi Neraca'!$A$3:$S$910,10,FALSE))</f>
        <v>13000000</v>
      </c>
      <c r="L393" s="42">
        <f>VLOOKUP($A393,'Neraca Unaudited SIMAK'!$A$2:$R$1272,11,FALSE)+IF(ISNA(VLOOKUP($A393,'Mutasi Neraca'!$A$3:$S$910,11,FALSE)),0,VLOOKUP($A393,'Mutasi Neraca'!$A$3:$S$910,11,FALSE))</f>
        <v>1756374</v>
      </c>
      <c r="M393" s="42">
        <f>VLOOKUP($A393,'Neraca Unaudited SIMAK'!$A$2:$R$1272,12,FALSE)+IF(ISNA(VLOOKUP($A393,'Mutasi Neraca'!$A$3:$S$910,12,FALSE)),0,VLOOKUP($A393,'Mutasi Neraca'!$A$3:$S$910,12,FALSE))</f>
        <v>7050526124</v>
      </c>
      <c r="N393" s="42">
        <f>VLOOKUP($A393,'Neraca Unaudited SIMAK'!$A$2:$R$1272,13,FALSE)+IF(ISNA(VLOOKUP($A393,'Mutasi Neraca'!$A$3:$S$910,13,FALSE)),0,VLOOKUP($A393,'Mutasi Neraca'!$A$3:$S$910,13,FALSE))</f>
        <v>-978639041</v>
      </c>
      <c r="O393" s="42">
        <f>VLOOKUP($A393,'Neraca Unaudited SIMAK'!$A$2:$R$1272,14,FALSE)+IF(ISNA(VLOOKUP($A393,'Mutasi Neraca'!$A$3:$S$910,14,FALSE)),0,VLOOKUP($A393,'Mutasi Neraca'!$A$3:$S$910,14,FALSE))</f>
        <v>-747818835</v>
      </c>
      <c r="P393" s="42">
        <f>VLOOKUP($A393,'Neraca Unaudited SIMAK'!$A$2:$R$1272,15,FALSE)+IF(ISNA(VLOOKUP($A393,'Mutasi Neraca'!$A$3:$S$910,15,FALSE)),0,VLOOKUP($A393,'Mutasi Neraca'!$A$3:$S$910,15,FALSE))</f>
        <v>0</v>
      </c>
      <c r="Q393" s="42">
        <f>VLOOKUP($A393,'Neraca Unaudited SIMAK'!$A$2:$R$1272,16,FALSE)+IF(ISNA(VLOOKUP($A393,'Mutasi Neraca'!$A$3:$S$910,16,FALSE)),0,VLOOKUP($A393,'Mutasi Neraca'!$A$3:$S$910,16,FALSE))</f>
        <v>0</v>
      </c>
      <c r="R393" s="42">
        <f>VLOOKUP($A393,'Neraca Unaudited SIMAK'!$A$2:$R$1272,17,FALSE)+IF(ISNA(VLOOKUP($A393,'Mutasi Neraca'!$A$3:$S$910,17,FALSE)),0,VLOOKUP($A393,'Mutasi Neraca'!$A$3:$S$910,17,FALSE))</f>
        <v>-1756374</v>
      </c>
      <c r="S393" s="42">
        <f t="shared" si="55"/>
        <v>5322311874</v>
      </c>
    </row>
    <row r="394" spans="1:19">
      <c r="A394" s="41" t="s">
        <v>401</v>
      </c>
      <c r="B394" s="41" t="str">
        <f t="shared" si="54"/>
        <v>005011000</v>
      </c>
      <c r="D394" s="42">
        <f>VLOOKUP($A394,'Neraca Unaudited SIMAK'!$A$2:$R$1272,3,FALSE)+IF(ISNA(VLOOKUP($A394,'Mutasi Neraca'!$A$3:$S$910,3,FALSE)),0,VLOOKUP($A394,'Mutasi Neraca'!$A$3:$S$910,3,FALSE))</f>
        <v>2089500</v>
      </c>
      <c r="E394" s="42">
        <f>VLOOKUP($A394,'Neraca Unaudited SIMAK'!$A$2:$R$1272,4,FALSE)+IF(ISNA(VLOOKUP($A394,'Mutasi Neraca'!$A$3:$S$910,4,FALSE)),0,VLOOKUP($A394,'Mutasi Neraca'!$A$3:$S$910,4,FALSE))</f>
        <v>0</v>
      </c>
      <c r="F394" s="42">
        <f>VLOOKUP($A394,'Neraca Unaudited SIMAK'!$A$2:$R$1272,5,FALSE)+IF(ISNA(VLOOKUP($A394,'Mutasi Neraca'!$A$3:$S$910,5,FALSE)),0,VLOOKUP($A394,'Mutasi Neraca'!$A$3:$S$910,5,FALSE))</f>
        <v>1290692150</v>
      </c>
      <c r="G394" s="42">
        <f>VLOOKUP($A394,'Neraca Unaudited SIMAK'!$A$2:$R$1272,6,FALSE)+IF(ISNA(VLOOKUP($A394,'Mutasi Neraca'!$A$3:$S$910,6,FALSE)),0,VLOOKUP($A394,'Mutasi Neraca'!$A$3:$S$910,6,FALSE))</f>
        <v>7835878080</v>
      </c>
      <c r="H394" s="42">
        <f>VLOOKUP($A394,'Neraca Unaudited SIMAK'!$A$2:$R$1272,7,FALSE)+IF(ISNA(VLOOKUP($A394,'Mutasi Neraca'!$A$3:$S$910,7,FALSE)),0,VLOOKUP($A394,'Mutasi Neraca'!$A$3:$S$910,7,FALSE))</f>
        <v>242847000</v>
      </c>
      <c r="I394" s="42">
        <f>VLOOKUP($A394,'Neraca Unaudited SIMAK'!$A$2:$R$1272,8,FALSE)+IF(ISNA(VLOOKUP($A394,'Mutasi Neraca'!$A$3:$S$910,8,FALSE)),0,VLOOKUP($A394,'Mutasi Neraca'!$A$3:$S$910,8,FALSE))</f>
        <v>107653678</v>
      </c>
      <c r="J394" s="42">
        <f>VLOOKUP($A394,'Neraca Unaudited SIMAK'!$A$2:$R$1272,9,FALSE)+IF(ISNA(VLOOKUP($A394,'Mutasi Neraca'!$A$3:$S$910,9,FALSE)),0,VLOOKUP($A394,'Mutasi Neraca'!$A$3:$S$910,9,FALSE))</f>
        <v>0</v>
      </c>
      <c r="K394" s="42">
        <f>VLOOKUP($A394,'Neraca Unaudited SIMAK'!$A$2:$R$1272,10,FALSE)+IF(ISNA(VLOOKUP($A394,'Mutasi Neraca'!$A$3:$S$910,10,FALSE)),0,VLOOKUP($A394,'Mutasi Neraca'!$A$3:$S$910,10,FALSE))</f>
        <v>20750000</v>
      </c>
      <c r="L394" s="42">
        <f>VLOOKUP($A394,'Neraca Unaudited SIMAK'!$A$2:$R$1272,11,FALSE)+IF(ISNA(VLOOKUP($A394,'Mutasi Neraca'!$A$3:$S$910,11,FALSE)),0,VLOOKUP($A394,'Mutasi Neraca'!$A$3:$S$910,11,FALSE))</f>
        <v>137104</v>
      </c>
      <c r="M394" s="42">
        <f>VLOOKUP($A394,'Neraca Unaudited SIMAK'!$A$2:$R$1272,12,FALSE)+IF(ISNA(VLOOKUP($A394,'Mutasi Neraca'!$A$3:$S$910,12,FALSE)),0,VLOOKUP($A394,'Mutasi Neraca'!$A$3:$S$910,12,FALSE))</f>
        <v>9500047512</v>
      </c>
      <c r="N394" s="42">
        <f>VLOOKUP($A394,'Neraca Unaudited SIMAK'!$A$2:$R$1272,13,FALSE)+IF(ISNA(VLOOKUP($A394,'Mutasi Neraca'!$A$3:$S$910,13,FALSE)),0,VLOOKUP($A394,'Mutasi Neraca'!$A$3:$S$910,13,FALSE))</f>
        <v>-788174874</v>
      </c>
      <c r="O394" s="42">
        <f>VLOOKUP($A394,'Neraca Unaudited SIMAK'!$A$2:$R$1272,14,FALSE)+IF(ISNA(VLOOKUP($A394,'Mutasi Neraca'!$A$3:$S$910,14,FALSE)),0,VLOOKUP($A394,'Mutasi Neraca'!$A$3:$S$910,14,FALSE))</f>
        <v>-732114355</v>
      </c>
      <c r="P394" s="42">
        <f>VLOOKUP($A394,'Neraca Unaudited SIMAK'!$A$2:$R$1272,15,FALSE)+IF(ISNA(VLOOKUP($A394,'Mutasi Neraca'!$A$3:$S$910,15,FALSE)),0,VLOOKUP($A394,'Mutasi Neraca'!$A$3:$S$910,15,FALSE))</f>
        <v>-106006450</v>
      </c>
      <c r="Q394" s="42">
        <f>VLOOKUP($A394,'Neraca Unaudited SIMAK'!$A$2:$R$1272,16,FALSE)+IF(ISNA(VLOOKUP($A394,'Mutasi Neraca'!$A$3:$S$910,16,FALSE)),0,VLOOKUP($A394,'Mutasi Neraca'!$A$3:$S$910,16,FALSE))</f>
        <v>0</v>
      </c>
      <c r="R394" s="42">
        <f>VLOOKUP($A394,'Neraca Unaudited SIMAK'!$A$2:$R$1272,17,FALSE)+IF(ISNA(VLOOKUP($A394,'Mutasi Neraca'!$A$3:$S$910,17,FALSE)),0,VLOOKUP($A394,'Mutasi Neraca'!$A$3:$S$910,17,FALSE))</f>
        <v>-137104</v>
      </c>
      <c r="S394" s="42">
        <f t="shared" si="55"/>
        <v>7873614729</v>
      </c>
    </row>
    <row r="395" spans="1:19">
      <c r="A395" s="41" t="s">
        <v>402</v>
      </c>
      <c r="B395" s="41" t="str">
        <f t="shared" si="54"/>
        <v>005011000</v>
      </c>
      <c r="D395" s="42">
        <f>VLOOKUP($A395,'Neraca Unaudited SIMAK'!$A$2:$R$1272,3,FALSE)+IF(ISNA(VLOOKUP($A395,'Mutasi Neraca'!$A$3:$S$910,3,FALSE)),0,VLOOKUP($A395,'Mutasi Neraca'!$A$3:$S$910,3,FALSE))</f>
        <v>5035070</v>
      </c>
      <c r="E395" s="42">
        <f>VLOOKUP($A395,'Neraca Unaudited SIMAK'!$A$2:$R$1272,4,FALSE)+IF(ISNA(VLOOKUP($A395,'Mutasi Neraca'!$A$3:$S$910,4,FALSE)),0,VLOOKUP($A395,'Mutasi Neraca'!$A$3:$S$910,4,FALSE))</f>
        <v>862500000</v>
      </c>
      <c r="F395" s="42">
        <f>VLOOKUP($A395,'Neraca Unaudited SIMAK'!$A$2:$R$1272,5,FALSE)+IF(ISNA(VLOOKUP($A395,'Mutasi Neraca'!$A$3:$S$910,5,FALSE)),0,VLOOKUP($A395,'Mutasi Neraca'!$A$3:$S$910,5,FALSE))</f>
        <v>1423318041</v>
      </c>
      <c r="G395" s="42">
        <f>VLOOKUP($A395,'Neraca Unaudited SIMAK'!$A$2:$R$1272,6,FALSE)+IF(ISNA(VLOOKUP($A395,'Mutasi Neraca'!$A$3:$S$910,6,FALSE)),0,VLOOKUP($A395,'Mutasi Neraca'!$A$3:$S$910,6,FALSE))</f>
        <v>6405843000</v>
      </c>
      <c r="H395" s="42">
        <f>VLOOKUP($A395,'Neraca Unaudited SIMAK'!$A$2:$R$1272,7,FALSE)+IF(ISNA(VLOOKUP($A395,'Mutasi Neraca'!$A$3:$S$910,7,FALSE)),0,VLOOKUP($A395,'Mutasi Neraca'!$A$3:$S$910,7,FALSE))</f>
        <v>0</v>
      </c>
      <c r="I395" s="42">
        <f>VLOOKUP($A395,'Neraca Unaudited SIMAK'!$A$2:$R$1272,8,FALSE)+IF(ISNA(VLOOKUP($A395,'Mutasi Neraca'!$A$3:$S$910,8,FALSE)),0,VLOOKUP($A395,'Mutasi Neraca'!$A$3:$S$910,8,FALSE))</f>
        <v>4772116</v>
      </c>
      <c r="J395" s="42">
        <f>VLOOKUP($A395,'Neraca Unaudited SIMAK'!$A$2:$R$1272,9,FALSE)+IF(ISNA(VLOOKUP($A395,'Mutasi Neraca'!$A$3:$S$910,9,FALSE)),0,VLOOKUP($A395,'Mutasi Neraca'!$A$3:$S$910,9,FALSE))</f>
        <v>0</v>
      </c>
      <c r="K395" s="42">
        <f>VLOOKUP($A395,'Neraca Unaudited SIMAK'!$A$2:$R$1272,10,FALSE)+IF(ISNA(VLOOKUP($A395,'Mutasi Neraca'!$A$3:$S$910,10,FALSE)),0,VLOOKUP($A395,'Mutasi Neraca'!$A$3:$S$910,10,FALSE))</f>
        <v>0</v>
      </c>
      <c r="L395" s="42">
        <f>VLOOKUP($A395,'Neraca Unaudited SIMAK'!$A$2:$R$1272,11,FALSE)+IF(ISNA(VLOOKUP($A395,'Mutasi Neraca'!$A$3:$S$910,11,FALSE)),0,VLOOKUP($A395,'Mutasi Neraca'!$A$3:$S$910,11,FALSE))</f>
        <v>0</v>
      </c>
      <c r="M395" s="42">
        <f>VLOOKUP($A395,'Neraca Unaudited SIMAK'!$A$2:$R$1272,12,FALSE)+IF(ISNA(VLOOKUP($A395,'Mutasi Neraca'!$A$3:$S$910,12,FALSE)),0,VLOOKUP($A395,'Mutasi Neraca'!$A$3:$S$910,12,FALSE))</f>
        <v>8701468227</v>
      </c>
      <c r="N395" s="42">
        <f>VLOOKUP($A395,'Neraca Unaudited SIMAK'!$A$2:$R$1272,13,FALSE)+IF(ISNA(VLOOKUP($A395,'Mutasi Neraca'!$A$3:$S$910,13,FALSE)),0,VLOOKUP($A395,'Mutasi Neraca'!$A$3:$S$910,13,FALSE))</f>
        <v>-1148247719</v>
      </c>
      <c r="O395" s="42">
        <f>VLOOKUP($A395,'Neraca Unaudited SIMAK'!$A$2:$R$1272,14,FALSE)+IF(ISNA(VLOOKUP($A395,'Mutasi Neraca'!$A$3:$S$910,14,FALSE)),0,VLOOKUP($A395,'Mutasi Neraca'!$A$3:$S$910,14,FALSE))</f>
        <v>-1028848559</v>
      </c>
      <c r="P395" s="42">
        <f>VLOOKUP($A395,'Neraca Unaudited SIMAK'!$A$2:$R$1272,15,FALSE)+IF(ISNA(VLOOKUP($A395,'Mutasi Neraca'!$A$3:$S$910,15,FALSE)),0,VLOOKUP($A395,'Mutasi Neraca'!$A$3:$S$910,15,FALSE))</f>
        <v>0</v>
      </c>
      <c r="Q395" s="42">
        <f>VLOOKUP($A395,'Neraca Unaudited SIMAK'!$A$2:$R$1272,16,FALSE)+IF(ISNA(VLOOKUP($A395,'Mutasi Neraca'!$A$3:$S$910,16,FALSE)),0,VLOOKUP($A395,'Mutasi Neraca'!$A$3:$S$910,16,FALSE))</f>
        <v>0</v>
      </c>
      <c r="R395" s="42">
        <f>VLOOKUP($A395,'Neraca Unaudited SIMAK'!$A$2:$R$1272,17,FALSE)+IF(ISNA(VLOOKUP($A395,'Mutasi Neraca'!$A$3:$S$910,17,FALSE)),0,VLOOKUP($A395,'Mutasi Neraca'!$A$3:$S$910,17,FALSE))</f>
        <v>0</v>
      </c>
      <c r="S395" s="42">
        <f t="shared" si="55"/>
        <v>6524371949</v>
      </c>
    </row>
    <row r="396" spans="1:19">
      <c r="A396" s="41" t="s">
        <v>403</v>
      </c>
      <c r="B396" s="41" t="str">
        <f t="shared" si="54"/>
        <v>005011000</v>
      </c>
      <c r="D396" s="42">
        <f>VLOOKUP($A396,'Neraca Unaudited SIMAK'!$A$2:$R$1272,3,FALSE)+IF(ISNA(VLOOKUP($A396,'Mutasi Neraca'!$A$3:$S$910,3,FALSE)),0,VLOOKUP($A396,'Mutasi Neraca'!$A$3:$S$910,3,FALSE))</f>
        <v>7735090</v>
      </c>
      <c r="E396" s="42">
        <f>VLOOKUP($A396,'Neraca Unaudited SIMAK'!$A$2:$R$1272,4,FALSE)+IF(ISNA(VLOOKUP($A396,'Mutasi Neraca'!$A$3:$S$910,4,FALSE)),0,VLOOKUP($A396,'Mutasi Neraca'!$A$3:$S$910,4,FALSE))</f>
        <v>0</v>
      </c>
      <c r="F396" s="42">
        <f>VLOOKUP($A396,'Neraca Unaudited SIMAK'!$A$2:$R$1272,5,FALSE)+IF(ISNA(VLOOKUP($A396,'Mutasi Neraca'!$A$3:$S$910,5,FALSE)),0,VLOOKUP($A396,'Mutasi Neraca'!$A$3:$S$910,5,FALSE))</f>
        <v>963365364</v>
      </c>
      <c r="G396" s="42">
        <f>VLOOKUP($A396,'Neraca Unaudited SIMAK'!$A$2:$R$1272,6,FALSE)+IF(ISNA(VLOOKUP($A396,'Mutasi Neraca'!$A$3:$S$910,6,FALSE)),0,VLOOKUP($A396,'Mutasi Neraca'!$A$3:$S$910,6,FALSE))</f>
        <v>5322284400</v>
      </c>
      <c r="H396" s="42">
        <f>VLOOKUP($A396,'Neraca Unaudited SIMAK'!$A$2:$R$1272,7,FALSE)+IF(ISNA(VLOOKUP($A396,'Mutasi Neraca'!$A$3:$S$910,7,FALSE)),0,VLOOKUP($A396,'Mutasi Neraca'!$A$3:$S$910,7,FALSE))</f>
        <v>71111000</v>
      </c>
      <c r="I396" s="42">
        <f>VLOOKUP($A396,'Neraca Unaudited SIMAK'!$A$2:$R$1272,8,FALSE)+IF(ISNA(VLOOKUP($A396,'Mutasi Neraca'!$A$3:$S$910,8,FALSE)),0,VLOOKUP($A396,'Mutasi Neraca'!$A$3:$S$910,8,FALSE))</f>
        <v>43043440</v>
      </c>
      <c r="J396" s="42">
        <f>VLOOKUP($A396,'Neraca Unaudited SIMAK'!$A$2:$R$1272,9,FALSE)+IF(ISNA(VLOOKUP($A396,'Mutasi Neraca'!$A$3:$S$910,9,FALSE)),0,VLOOKUP($A396,'Mutasi Neraca'!$A$3:$S$910,9,FALSE))</f>
        <v>0</v>
      </c>
      <c r="K396" s="42">
        <f>VLOOKUP($A396,'Neraca Unaudited SIMAK'!$A$2:$R$1272,10,FALSE)+IF(ISNA(VLOOKUP($A396,'Mutasi Neraca'!$A$3:$S$910,10,FALSE)),0,VLOOKUP($A396,'Mutasi Neraca'!$A$3:$S$910,10,FALSE))</f>
        <v>0</v>
      </c>
      <c r="L396" s="42">
        <f>VLOOKUP($A396,'Neraca Unaudited SIMAK'!$A$2:$R$1272,11,FALSE)+IF(ISNA(VLOOKUP($A396,'Mutasi Neraca'!$A$3:$S$910,11,FALSE)),0,VLOOKUP($A396,'Mutasi Neraca'!$A$3:$S$910,11,FALSE))</f>
        <v>323586300</v>
      </c>
      <c r="M396" s="42">
        <f>VLOOKUP($A396,'Neraca Unaudited SIMAK'!$A$2:$R$1272,12,FALSE)+IF(ISNA(VLOOKUP($A396,'Mutasi Neraca'!$A$3:$S$910,12,FALSE)),0,VLOOKUP($A396,'Mutasi Neraca'!$A$3:$S$910,12,FALSE))</f>
        <v>6731125594</v>
      </c>
      <c r="N396" s="42">
        <f>VLOOKUP($A396,'Neraca Unaudited SIMAK'!$A$2:$R$1272,13,FALSE)+IF(ISNA(VLOOKUP($A396,'Mutasi Neraca'!$A$3:$S$910,13,FALSE)),0,VLOOKUP($A396,'Mutasi Neraca'!$A$3:$S$910,13,FALSE))</f>
        <v>-795660822</v>
      </c>
      <c r="O396" s="42">
        <f>VLOOKUP($A396,'Neraca Unaudited SIMAK'!$A$2:$R$1272,14,FALSE)+IF(ISNA(VLOOKUP($A396,'Mutasi Neraca'!$A$3:$S$910,14,FALSE)),0,VLOOKUP($A396,'Mutasi Neraca'!$A$3:$S$910,14,FALSE))</f>
        <v>-801195194</v>
      </c>
      <c r="P396" s="42">
        <f>VLOOKUP($A396,'Neraca Unaudited SIMAK'!$A$2:$R$1272,15,FALSE)+IF(ISNA(VLOOKUP($A396,'Mutasi Neraca'!$A$3:$S$910,15,FALSE)),0,VLOOKUP($A396,'Mutasi Neraca'!$A$3:$S$910,15,FALSE))</f>
        <v>-49777700</v>
      </c>
      <c r="Q396" s="42">
        <f>VLOOKUP($A396,'Neraca Unaudited SIMAK'!$A$2:$R$1272,16,FALSE)+IF(ISNA(VLOOKUP($A396,'Mutasi Neraca'!$A$3:$S$910,16,FALSE)),0,VLOOKUP($A396,'Mutasi Neraca'!$A$3:$S$910,16,FALSE))</f>
        <v>0</v>
      </c>
      <c r="R396" s="42">
        <f>VLOOKUP($A396,'Neraca Unaudited SIMAK'!$A$2:$R$1272,17,FALSE)+IF(ISNA(VLOOKUP($A396,'Mutasi Neraca'!$A$3:$S$910,17,FALSE)),0,VLOOKUP($A396,'Mutasi Neraca'!$A$3:$S$910,17,FALSE))</f>
        <v>-323586300</v>
      </c>
      <c r="S396" s="42">
        <f t="shared" si="55"/>
        <v>4760905578</v>
      </c>
    </row>
    <row r="397" spans="1:19">
      <c r="A397" s="41" t="s">
        <v>404</v>
      </c>
      <c r="B397" s="41" t="str">
        <f t="shared" si="54"/>
        <v>005011000</v>
      </c>
      <c r="D397" s="42">
        <f>VLOOKUP($A397,'Neraca Unaudited SIMAK'!$A$2:$R$1272,3,FALSE)+IF(ISNA(VLOOKUP($A397,'Mutasi Neraca'!$A$3:$S$910,3,FALSE)),0,VLOOKUP($A397,'Mutasi Neraca'!$A$3:$S$910,3,FALSE))</f>
        <v>1187750</v>
      </c>
      <c r="E397" s="42">
        <f>VLOOKUP($A397,'Neraca Unaudited SIMAK'!$A$2:$R$1272,4,FALSE)+IF(ISNA(VLOOKUP($A397,'Mutasi Neraca'!$A$3:$S$910,4,FALSE)),0,VLOOKUP($A397,'Mutasi Neraca'!$A$3:$S$910,4,FALSE))</f>
        <v>0</v>
      </c>
      <c r="F397" s="42">
        <f>VLOOKUP($A397,'Neraca Unaudited SIMAK'!$A$2:$R$1272,5,FALSE)+IF(ISNA(VLOOKUP($A397,'Mutasi Neraca'!$A$3:$S$910,5,FALSE)),0,VLOOKUP($A397,'Mutasi Neraca'!$A$3:$S$910,5,FALSE))</f>
        <v>1355075691</v>
      </c>
      <c r="G397" s="42">
        <f>VLOOKUP($A397,'Neraca Unaudited SIMAK'!$A$2:$R$1272,6,FALSE)+IF(ISNA(VLOOKUP($A397,'Mutasi Neraca'!$A$3:$S$910,6,FALSE)),0,VLOOKUP($A397,'Mutasi Neraca'!$A$3:$S$910,6,FALSE))</f>
        <v>4735099000</v>
      </c>
      <c r="H397" s="42">
        <f>VLOOKUP($A397,'Neraca Unaudited SIMAK'!$A$2:$R$1272,7,FALSE)+IF(ISNA(VLOOKUP($A397,'Mutasi Neraca'!$A$3:$S$910,7,FALSE)),0,VLOOKUP($A397,'Mutasi Neraca'!$A$3:$S$910,7,FALSE))</f>
        <v>0</v>
      </c>
      <c r="I397" s="42">
        <f>VLOOKUP($A397,'Neraca Unaudited SIMAK'!$A$2:$R$1272,8,FALSE)+IF(ISNA(VLOOKUP($A397,'Mutasi Neraca'!$A$3:$S$910,8,FALSE)),0,VLOOKUP($A397,'Mutasi Neraca'!$A$3:$S$910,8,FALSE))</f>
        <v>1943440</v>
      </c>
      <c r="J397" s="42">
        <f>VLOOKUP($A397,'Neraca Unaudited SIMAK'!$A$2:$R$1272,9,FALSE)+IF(ISNA(VLOOKUP($A397,'Mutasi Neraca'!$A$3:$S$910,9,FALSE)),0,VLOOKUP($A397,'Mutasi Neraca'!$A$3:$S$910,9,FALSE))</f>
        <v>0</v>
      </c>
      <c r="K397" s="42">
        <f>VLOOKUP($A397,'Neraca Unaudited SIMAK'!$A$2:$R$1272,10,FALSE)+IF(ISNA(VLOOKUP($A397,'Mutasi Neraca'!$A$3:$S$910,10,FALSE)),0,VLOOKUP($A397,'Mutasi Neraca'!$A$3:$S$910,10,FALSE))</f>
        <v>0</v>
      </c>
      <c r="L397" s="42">
        <f>VLOOKUP($A397,'Neraca Unaudited SIMAK'!$A$2:$R$1272,11,FALSE)+IF(ISNA(VLOOKUP($A397,'Mutasi Neraca'!$A$3:$S$910,11,FALSE)),0,VLOOKUP($A397,'Mutasi Neraca'!$A$3:$S$910,11,FALSE))</f>
        <v>128118750</v>
      </c>
      <c r="M397" s="42">
        <f>VLOOKUP($A397,'Neraca Unaudited SIMAK'!$A$2:$R$1272,12,FALSE)+IF(ISNA(VLOOKUP($A397,'Mutasi Neraca'!$A$3:$S$910,12,FALSE)),0,VLOOKUP($A397,'Mutasi Neraca'!$A$3:$S$910,12,FALSE))</f>
        <v>6221424631</v>
      </c>
      <c r="N397" s="42">
        <f>VLOOKUP($A397,'Neraca Unaudited SIMAK'!$A$2:$R$1272,13,FALSE)+IF(ISNA(VLOOKUP($A397,'Mutasi Neraca'!$A$3:$S$910,13,FALSE)),0,VLOOKUP($A397,'Mutasi Neraca'!$A$3:$S$910,13,FALSE))</f>
        <v>-1108763526</v>
      </c>
      <c r="O397" s="42">
        <f>VLOOKUP($A397,'Neraca Unaudited SIMAK'!$A$2:$R$1272,14,FALSE)+IF(ISNA(VLOOKUP($A397,'Mutasi Neraca'!$A$3:$S$910,14,FALSE)),0,VLOOKUP($A397,'Mutasi Neraca'!$A$3:$S$910,14,FALSE))</f>
        <v>-729053150</v>
      </c>
      <c r="P397" s="42">
        <f>VLOOKUP($A397,'Neraca Unaudited SIMAK'!$A$2:$R$1272,15,FALSE)+IF(ISNA(VLOOKUP($A397,'Mutasi Neraca'!$A$3:$S$910,15,FALSE)),0,VLOOKUP($A397,'Mutasi Neraca'!$A$3:$S$910,15,FALSE))</f>
        <v>0</v>
      </c>
      <c r="Q397" s="42">
        <f>VLOOKUP($A397,'Neraca Unaudited SIMAK'!$A$2:$R$1272,16,FALSE)+IF(ISNA(VLOOKUP($A397,'Mutasi Neraca'!$A$3:$S$910,16,FALSE)),0,VLOOKUP($A397,'Mutasi Neraca'!$A$3:$S$910,16,FALSE))</f>
        <v>0</v>
      </c>
      <c r="R397" s="42">
        <f>VLOOKUP($A397,'Neraca Unaudited SIMAK'!$A$2:$R$1272,17,FALSE)+IF(ISNA(VLOOKUP($A397,'Mutasi Neraca'!$A$3:$S$910,17,FALSE)),0,VLOOKUP($A397,'Mutasi Neraca'!$A$3:$S$910,17,FALSE))</f>
        <v>-127806250</v>
      </c>
      <c r="S397" s="42">
        <f t="shared" si="55"/>
        <v>4255801705</v>
      </c>
    </row>
    <row r="398" spans="1:19">
      <c r="A398" s="41" t="s">
        <v>405</v>
      </c>
      <c r="B398" s="41" t="str">
        <f t="shared" si="54"/>
        <v>005011000</v>
      </c>
      <c r="D398" s="42">
        <f>VLOOKUP($A398,'Neraca Unaudited SIMAK'!$A$2:$R$1272,3,FALSE)+IF(ISNA(VLOOKUP($A398,'Mutasi Neraca'!$A$3:$S$910,3,FALSE)),0,VLOOKUP($A398,'Mutasi Neraca'!$A$3:$S$910,3,FALSE))</f>
        <v>6374795</v>
      </c>
      <c r="E398" s="42">
        <f>VLOOKUP($A398,'Neraca Unaudited SIMAK'!$A$2:$R$1272,4,FALSE)+IF(ISNA(VLOOKUP($A398,'Mutasi Neraca'!$A$3:$S$910,4,FALSE)),0,VLOOKUP($A398,'Mutasi Neraca'!$A$3:$S$910,4,FALSE))</f>
        <v>119770000</v>
      </c>
      <c r="F398" s="42">
        <f>VLOOKUP($A398,'Neraca Unaudited SIMAK'!$A$2:$R$1272,5,FALSE)+IF(ISNA(VLOOKUP($A398,'Mutasi Neraca'!$A$3:$S$910,5,FALSE)),0,VLOOKUP($A398,'Mutasi Neraca'!$A$3:$S$910,5,FALSE))</f>
        <v>3606915273</v>
      </c>
      <c r="G398" s="42">
        <f>VLOOKUP($A398,'Neraca Unaudited SIMAK'!$A$2:$R$1272,6,FALSE)+IF(ISNA(VLOOKUP($A398,'Mutasi Neraca'!$A$3:$S$910,6,FALSE)),0,VLOOKUP($A398,'Mutasi Neraca'!$A$3:$S$910,6,FALSE))</f>
        <v>5717085750</v>
      </c>
      <c r="H398" s="42">
        <f>VLOOKUP($A398,'Neraca Unaudited SIMAK'!$A$2:$R$1272,7,FALSE)+IF(ISNA(VLOOKUP($A398,'Mutasi Neraca'!$A$3:$S$910,7,FALSE)),0,VLOOKUP($A398,'Mutasi Neraca'!$A$3:$S$910,7,FALSE))</f>
        <v>143833309</v>
      </c>
      <c r="I398" s="42">
        <f>VLOOKUP($A398,'Neraca Unaudited SIMAK'!$A$2:$R$1272,8,FALSE)+IF(ISNA(VLOOKUP($A398,'Mutasi Neraca'!$A$3:$S$910,8,FALSE)),0,VLOOKUP($A398,'Mutasi Neraca'!$A$3:$S$910,8,FALSE))</f>
        <v>144047648</v>
      </c>
      <c r="J398" s="42">
        <f>VLOOKUP($A398,'Neraca Unaudited SIMAK'!$A$2:$R$1272,9,FALSE)+IF(ISNA(VLOOKUP($A398,'Mutasi Neraca'!$A$3:$S$910,9,FALSE)),0,VLOOKUP($A398,'Mutasi Neraca'!$A$3:$S$910,9,FALSE))</f>
        <v>0</v>
      </c>
      <c r="K398" s="42">
        <f>VLOOKUP($A398,'Neraca Unaudited SIMAK'!$A$2:$R$1272,10,FALSE)+IF(ISNA(VLOOKUP($A398,'Mutasi Neraca'!$A$3:$S$910,10,FALSE)),0,VLOOKUP($A398,'Mutasi Neraca'!$A$3:$S$910,10,FALSE))</f>
        <v>40500000</v>
      </c>
      <c r="L398" s="42">
        <f>VLOOKUP($A398,'Neraca Unaudited SIMAK'!$A$2:$R$1272,11,FALSE)+IF(ISNA(VLOOKUP($A398,'Mutasi Neraca'!$A$3:$S$910,11,FALSE)),0,VLOOKUP($A398,'Mutasi Neraca'!$A$3:$S$910,11,FALSE))</f>
        <v>286857094</v>
      </c>
      <c r="M398" s="42">
        <f>VLOOKUP($A398,'Neraca Unaudited SIMAK'!$A$2:$R$1272,12,FALSE)+IF(ISNA(VLOOKUP($A398,'Mutasi Neraca'!$A$3:$S$910,12,FALSE)),0,VLOOKUP($A398,'Mutasi Neraca'!$A$3:$S$910,12,FALSE))</f>
        <v>10065383869</v>
      </c>
      <c r="N398" s="42">
        <f>VLOOKUP($A398,'Neraca Unaudited SIMAK'!$A$2:$R$1272,13,FALSE)+IF(ISNA(VLOOKUP($A398,'Mutasi Neraca'!$A$3:$S$910,13,FALSE)),0,VLOOKUP($A398,'Mutasi Neraca'!$A$3:$S$910,13,FALSE))</f>
        <v>-3310327781</v>
      </c>
      <c r="O398" s="42">
        <f>VLOOKUP($A398,'Neraca Unaudited SIMAK'!$A$2:$R$1272,14,FALSE)+IF(ISNA(VLOOKUP($A398,'Mutasi Neraca'!$A$3:$S$910,14,FALSE)),0,VLOOKUP($A398,'Mutasi Neraca'!$A$3:$S$910,14,FALSE))</f>
        <v>-825858190</v>
      </c>
      <c r="P398" s="42">
        <f>VLOOKUP($A398,'Neraca Unaudited SIMAK'!$A$2:$R$1272,15,FALSE)+IF(ISNA(VLOOKUP($A398,'Mutasi Neraca'!$A$3:$S$910,15,FALSE)),0,VLOOKUP($A398,'Mutasi Neraca'!$A$3:$S$910,15,FALSE))</f>
        <v>-64419106</v>
      </c>
      <c r="Q398" s="42">
        <f>VLOOKUP($A398,'Neraca Unaudited SIMAK'!$A$2:$R$1272,16,FALSE)+IF(ISNA(VLOOKUP($A398,'Mutasi Neraca'!$A$3:$S$910,16,FALSE)),0,VLOOKUP($A398,'Mutasi Neraca'!$A$3:$S$910,16,FALSE))</f>
        <v>0</v>
      </c>
      <c r="R398" s="42">
        <f>VLOOKUP($A398,'Neraca Unaudited SIMAK'!$A$2:$R$1272,17,FALSE)+IF(ISNA(VLOOKUP($A398,'Mutasi Neraca'!$A$3:$S$910,17,FALSE)),0,VLOOKUP($A398,'Mutasi Neraca'!$A$3:$S$910,17,FALSE))</f>
        <v>-286857094</v>
      </c>
      <c r="S398" s="42">
        <f t="shared" si="55"/>
        <v>5577921698</v>
      </c>
    </row>
    <row r="399" spans="1:19">
      <c r="A399" s="41" t="s">
        <v>406</v>
      </c>
      <c r="B399" s="41" t="str">
        <f t="shared" si="54"/>
        <v>005011000</v>
      </c>
      <c r="D399" s="42">
        <f>VLOOKUP($A399,'Neraca Unaudited SIMAK'!$A$2:$R$1272,3,FALSE)+IF(ISNA(VLOOKUP($A399,'Mutasi Neraca'!$A$3:$S$910,3,FALSE)),0,VLOOKUP($A399,'Mutasi Neraca'!$A$3:$S$910,3,FALSE))</f>
        <v>437400</v>
      </c>
      <c r="E399" s="42">
        <f>VLOOKUP($A399,'Neraca Unaudited SIMAK'!$A$2:$R$1272,4,FALSE)+IF(ISNA(VLOOKUP($A399,'Mutasi Neraca'!$A$3:$S$910,4,FALSE)),0,VLOOKUP($A399,'Mutasi Neraca'!$A$3:$S$910,4,FALSE))</f>
        <v>1225040000</v>
      </c>
      <c r="F399" s="42">
        <f>VLOOKUP($A399,'Neraca Unaudited SIMAK'!$A$2:$R$1272,5,FALSE)+IF(ISNA(VLOOKUP($A399,'Mutasi Neraca'!$A$3:$S$910,5,FALSE)),0,VLOOKUP($A399,'Mutasi Neraca'!$A$3:$S$910,5,FALSE))</f>
        <v>1818679144</v>
      </c>
      <c r="G399" s="42">
        <f>VLOOKUP($A399,'Neraca Unaudited SIMAK'!$A$2:$R$1272,6,FALSE)+IF(ISNA(VLOOKUP($A399,'Mutasi Neraca'!$A$3:$S$910,6,FALSE)),0,VLOOKUP($A399,'Mutasi Neraca'!$A$3:$S$910,6,FALSE))</f>
        <v>4984831113</v>
      </c>
      <c r="H399" s="42">
        <f>VLOOKUP($A399,'Neraca Unaudited SIMAK'!$A$2:$R$1272,7,FALSE)+IF(ISNA(VLOOKUP($A399,'Mutasi Neraca'!$A$3:$S$910,7,FALSE)),0,VLOOKUP($A399,'Mutasi Neraca'!$A$3:$S$910,7,FALSE))</f>
        <v>212822531</v>
      </c>
      <c r="I399" s="42">
        <f>VLOOKUP($A399,'Neraca Unaudited SIMAK'!$A$2:$R$1272,8,FALSE)+IF(ISNA(VLOOKUP($A399,'Mutasi Neraca'!$A$3:$S$910,8,FALSE)),0,VLOOKUP($A399,'Mutasi Neraca'!$A$3:$S$910,8,FALSE))</f>
        <v>0</v>
      </c>
      <c r="J399" s="42">
        <f>VLOOKUP($A399,'Neraca Unaudited SIMAK'!$A$2:$R$1272,9,FALSE)+IF(ISNA(VLOOKUP($A399,'Mutasi Neraca'!$A$3:$S$910,9,FALSE)),0,VLOOKUP($A399,'Mutasi Neraca'!$A$3:$S$910,9,FALSE))</f>
        <v>0</v>
      </c>
      <c r="K399" s="42">
        <f>VLOOKUP($A399,'Neraca Unaudited SIMAK'!$A$2:$R$1272,10,FALSE)+IF(ISNA(VLOOKUP($A399,'Mutasi Neraca'!$A$3:$S$910,10,FALSE)),0,VLOOKUP($A399,'Mutasi Neraca'!$A$3:$S$910,10,FALSE))</f>
        <v>98780000</v>
      </c>
      <c r="L399" s="42">
        <f>VLOOKUP($A399,'Neraca Unaudited SIMAK'!$A$2:$R$1272,11,FALSE)+IF(ISNA(VLOOKUP($A399,'Mutasi Neraca'!$A$3:$S$910,11,FALSE)),0,VLOOKUP($A399,'Mutasi Neraca'!$A$3:$S$910,11,FALSE))</f>
        <v>172804737</v>
      </c>
      <c r="M399" s="42">
        <f>VLOOKUP($A399,'Neraca Unaudited SIMAK'!$A$2:$R$1272,12,FALSE)+IF(ISNA(VLOOKUP($A399,'Mutasi Neraca'!$A$3:$S$910,12,FALSE)),0,VLOOKUP($A399,'Mutasi Neraca'!$A$3:$S$910,12,FALSE))</f>
        <v>8513394925</v>
      </c>
      <c r="N399" s="42">
        <f>VLOOKUP($A399,'Neraca Unaudited SIMAK'!$A$2:$R$1272,13,FALSE)+IF(ISNA(VLOOKUP($A399,'Mutasi Neraca'!$A$3:$S$910,13,FALSE)),0,VLOOKUP($A399,'Mutasi Neraca'!$A$3:$S$910,13,FALSE))</f>
        <v>-1618105099</v>
      </c>
      <c r="O399" s="42">
        <f>VLOOKUP($A399,'Neraca Unaudited SIMAK'!$A$2:$R$1272,14,FALSE)+IF(ISNA(VLOOKUP($A399,'Mutasi Neraca'!$A$3:$S$910,14,FALSE)),0,VLOOKUP($A399,'Mutasi Neraca'!$A$3:$S$910,14,FALSE))</f>
        <v>-724864589</v>
      </c>
      <c r="P399" s="42">
        <f>VLOOKUP($A399,'Neraca Unaudited SIMAK'!$A$2:$R$1272,15,FALSE)+IF(ISNA(VLOOKUP($A399,'Mutasi Neraca'!$A$3:$S$910,15,FALSE)),0,VLOOKUP($A399,'Mutasi Neraca'!$A$3:$S$910,15,FALSE))</f>
        <v>-123893889</v>
      </c>
      <c r="Q399" s="42">
        <f>VLOOKUP($A399,'Neraca Unaudited SIMAK'!$A$2:$R$1272,16,FALSE)+IF(ISNA(VLOOKUP($A399,'Mutasi Neraca'!$A$3:$S$910,16,FALSE)),0,VLOOKUP($A399,'Mutasi Neraca'!$A$3:$S$910,16,FALSE))</f>
        <v>0</v>
      </c>
      <c r="R399" s="42">
        <f>VLOOKUP($A399,'Neraca Unaudited SIMAK'!$A$2:$R$1272,17,FALSE)+IF(ISNA(VLOOKUP($A399,'Mutasi Neraca'!$A$3:$S$910,17,FALSE)),0,VLOOKUP($A399,'Mutasi Neraca'!$A$3:$S$910,17,FALSE))</f>
        <v>-172034737</v>
      </c>
      <c r="S399" s="42">
        <f t="shared" si="55"/>
        <v>5874496611</v>
      </c>
    </row>
    <row r="400" spans="1:19">
      <c r="A400" s="41" t="s">
        <v>407</v>
      </c>
      <c r="B400" s="41" t="str">
        <f t="shared" si="54"/>
        <v>005011000</v>
      </c>
      <c r="D400" s="42">
        <f>VLOOKUP($A400,'Neraca Unaudited SIMAK'!$A$2:$R$1272,3,FALSE)+IF(ISNA(VLOOKUP($A400,'Mutasi Neraca'!$A$3:$S$910,3,FALSE)),0,VLOOKUP($A400,'Mutasi Neraca'!$A$3:$S$910,3,FALSE))</f>
        <v>29800</v>
      </c>
      <c r="E400" s="42">
        <f>VLOOKUP($A400,'Neraca Unaudited SIMAK'!$A$2:$R$1272,4,FALSE)+IF(ISNA(VLOOKUP($A400,'Mutasi Neraca'!$A$3:$S$910,4,FALSE)),0,VLOOKUP($A400,'Mutasi Neraca'!$A$3:$S$910,4,FALSE))</f>
        <v>339174000</v>
      </c>
      <c r="F400" s="42">
        <f>VLOOKUP($A400,'Neraca Unaudited SIMAK'!$A$2:$R$1272,5,FALSE)+IF(ISNA(VLOOKUP($A400,'Mutasi Neraca'!$A$3:$S$910,5,FALSE)),0,VLOOKUP($A400,'Mutasi Neraca'!$A$3:$S$910,5,FALSE))</f>
        <v>1141064255</v>
      </c>
      <c r="G400" s="42">
        <f>VLOOKUP($A400,'Neraca Unaudited SIMAK'!$A$2:$R$1272,6,FALSE)+IF(ISNA(VLOOKUP($A400,'Mutasi Neraca'!$A$3:$S$910,6,FALSE)),0,VLOOKUP($A400,'Mutasi Neraca'!$A$3:$S$910,6,FALSE))</f>
        <v>2065013500</v>
      </c>
      <c r="H400" s="42">
        <f>VLOOKUP($A400,'Neraca Unaudited SIMAK'!$A$2:$R$1272,7,FALSE)+IF(ISNA(VLOOKUP($A400,'Mutasi Neraca'!$A$3:$S$910,7,FALSE)),0,VLOOKUP($A400,'Mutasi Neraca'!$A$3:$S$910,7,FALSE))</f>
        <v>30986000</v>
      </c>
      <c r="I400" s="42">
        <f>VLOOKUP($A400,'Neraca Unaudited SIMAK'!$A$2:$R$1272,8,FALSE)+IF(ISNA(VLOOKUP($A400,'Mutasi Neraca'!$A$3:$S$910,8,FALSE)),0,VLOOKUP($A400,'Mutasi Neraca'!$A$3:$S$910,8,FALSE))</f>
        <v>13144000</v>
      </c>
      <c r="J400" s="42">
        <f>VLOOKUP($A400,'Neraca Unaudited SIMAK'!$A$2:$R$1272,9,FALSE)+IF(ISNA(VLOOKUP($A400,'Mutasi Neraca'!$A$3:$S$910,9,FALSE)),0,VLOOKUP($A400,'Mutasi Neraca'!$A$3:$S$910,9,FALSE))</f>
        <v>0</v>
      </c>
      <c r="K400" s="42">
        <f>VLOOKUP($A400,'Neraca Unaudited SIMAK'!$A$2:$R$1272,10,FALSE)+IF(ISNA(VLOOKUP($A400,'Mutasi Neraca'!$A$3:$S$910,10,FALSE)),0,VLOOKUP($A400,'Mutasi Neraca'!$A$3:$S$910,10,FALSE))</f>
        <v>13000000</v>
      </c>
      <c r="L400" s="42">
        <f>VLOOKUP($A400,'Neraca Unaudited SIMAK'!$A$2:$R$1272,11,FALSE)+IF(ISNA(VLOOKUP($A400,'Mutasi Neraca'!$A$3:$S$910,11,FALSE)),0,VLOOKUP($A400,'Mutasi Neraca'!$A$3:$S$910,11,FALSE))</f>
        <v>0</v>
      </c>
      <c r="M400" s="42">
        <f>VLOOKUP($A400,'Neraca Unaudited SIMAK'!$A$2:$R$1272,12,FALSE)+IF(ISNA(VLOOKUP($A400,'Mutasi Neraca'!$A$3:$S$910,12,FALSE)),0,VLOOKUP($A400,'Mutasi Neraca'!$A$3:$S$910,12,FALSE))</f>
        <v>3602411555</v>
      </c>
      <c r="N400" s="42">
        <f>VLOOKUP($A400,'Neraca Unaudited SIMAK'!$A$2:$R$1272,13,FALSE)+IF(ISNA(VLOOKUP($A400,'Mutasi Neraca'!$A$3:$S$910,13,FALSE)),0,VLOOKUP($A400,'Mutasi Neraca'!$A$3:$S$910,13,FALSE))</f>
        <v>-938049177</v>
      </c>
      <c r="O400" s="42">
        <f>VLOOKUP($A400,'Neraca Unaudited SIMAK'!$A$2:$R$1272,14,FALSE)+IF(ISNA(VLOOKUP($A400,'Mutasi Neraca'!$A$3:$S$910,14,FALSE)),0,VLOOKUP($A400,'Mutasi Neraca'!$A$3:$S$910,14,FALSE))</f>
        <v>-336402005</v>
      </c>
      <c r="P400" s="42">
        <f>VLOOKUP($A400,'Neraca Unaudited SIMAK'!$A$2:$R$1272,15,FALSE)+IF(ISNA(VLOOKUP($A400,'Mutasi Neraca'!$A$3:$S$910,15,FALSE)),0,VLOOKUP($A400,'Mutasi Neraca'!$A$3:$S$910,15,FALSE))</f>
        <v>-1280100</v>
      </c>
      <c r="Q400" s="42">
        <f>VLOOKUP($A400,'Neraca Unaudited SIMAK'!$A$2:$R$1272,16,FALSE)+IF(ISNA(VLOOKUP($A400,'Mutasi Neraca'!$A$3:$S$910,16,FALSE)),0,VLOOKUP($A400,'Mutasi Neraca'!$A$3:$S$910,16,FALSE))</f>
        <v>0</v>
      </c>
      <c r="R400" s="42">
        <f>VLOOKUP($A400,'Neraca Unaudited SIMAK'!$A$2:$R$1272,17,FALSE)+IF(ISNA(VLOOKUP($A400,'Mutasi Neraca'!$A$3:$S$910,17,FALSE)),0,VLOOKUP($A400,'Mutasi Neraca'!$A$3:$S$910,17,FALSE))</f>
        <v>0</v>
      </c>
      <c r="S400" s="42">
        <f t="shared" si="55"/>
        <v>2326680273</v>
      </c>
    </row>
    <row r="401" spans="1:19">
      <c r="A401" s="41" t="s">
        <v>408</v>
      </c>
      <c r="B401" s="41" t="str">
        <f t="shared" si="54"/>
        <v>005011000</v>
      </c>
      <c r="D401" s="42">
        <f>VLOOKUP($A401,'Neraca Unaudited SIMAK'!$A$2:$R$1272,3,FALSE)+IF(ISNA(VLOOKUP($A401,'Mutasi Neraca'!$A$3:$S$910,3,FALSE)),0,VLOOKUP($A401,'Mutasi Neraca'!$A$3:$S$910,3,FALSE))</f>
        <v>4819000</v>
      </c>
      <c r="E401" s="42">
        <f>VLOOKUP($A401,'Neraca Unaudited SIMAK'!$A$2:$R$1272,4,FALSE)+IF(ISNA(VLOOKUP($A401,'Mutasi Neraca'!$A$3:$S$910,4,FALSE)),0,VLOOKUP($A401,'Mutasi Neraca'!$A$3:$S$910,4,FALSE))</f>
        <v>317756000</v>
      </c>
      <c r="F401" s="42">
        <f>VLOOKUP($A401,'Neraca Unaudited SIMAK'!$A$2:$R$1272,5,FALSE)+IF(ISNA(VLOOKUP($A401,'Mutasi Neraca'!$A$3:$S$910,5,FALSE)),0,VLOOKUP($A401,'Mutasi Neraca'!$A$3:$S$910,5,FALSE))</f>
        <v>1276254372</v>
      </c>
      <c r="G401" s="42">
        <f>VLOOKUP($A401,'Neraca Unaudited SIMAK'!$A$2:$R$1272,6,FALSE)+IF(ISNA(VLOOKUP($A401,'Mutasi Neraca'!$A$3:$S$910,6,FALSE)),0,VLOOKUP($A401,'Mutasi Neraca'!$A$3:$S$910,6,FALSE))</f>
        <v>1178843005</v>
      </c>
      <c r="H401" s="42">
        <f>VLOOKUP($A401,'Neraca Unaudited SIMAK'!$A$2:$R$1272,7,FALSE)+IF(ISNA(VLOOKUP($A401,'Mutasi Neraca'!$A$3:$S$910,7,FALSE)),0,VLOOKUP($A401,'Mutasi Neraca'!$A$3:$S$910,7,FALSE))</f>
        <v>47956000</v>
      </c>
      <c r="I401" s="42">
        <f>VLOOKUP($A401,'Neraca Unaudited SIMAK'!$A$2:$R$1272,8,FALSE)+IF(ISNA(VLOOKUP($A401,'Mutasi Neraca'!$A$3:$S$910,8,FALSE)),0,VLOOKUP($A401,'Mutasi Neraca'!$A$3:$S$910,8,FALSE))</f>
        <v>26010750</v>
      </c>
      <c r="J401" s="42">
        <f>VLOOKUP($A401,'Neraca Unaudited SIMAK'!$A$2:$R$1272,9,FALSE)+IF(ISNA(VLOOKUP($A401,'Mutasi Neraca'!$A$3:$S$910,9,FALSE)),0,VLOOKUP($A401,'Mutasi Neraca'!$A$3:$S$910,9,FALSE))</f>
        <v>0</v>
      </c>
      <c r="K401" s="42">
        <f>VLOOKUP($A401,'Neraca Unaudited SIMAK'!$A$2:$R$1272,10,FALSE)+IF(ISNA(VLOOKUP($A401,'Mutasi Neraca'!$A$3:$S$910,10,FALSE)),0,VLOOKUP($A401,'Mutasi Neraca'!$A$3:$S$910,10,FALSE))</f>
        <v>0</v>
      </c>
      <c r="L401" s="42">
        <f>VLOOKUP($A401,'Neraca Unaudited SIMAK'!$A$2:$R$1272,11,FALSE)+IF(ISNA(VLOOKUP($A401,'Mutasi Neraca'!$A$3:$S$910,11,FALSE)),0,VLOOKUP($A401,'Mutasi Neraca'!$A$3:$S$910,11,FALSE))</f>
        <v>24832601</v>
      </c>
      <c r="M401" s="42">
        <f>VLOOKUP($A401,'Neraca Unaudited SIMAK'!$A$2:$R$1272,12,FALSE)+IF(ISNA(VLOOKUP($A401,'Mutasi Neraca'!$A$3:$S$910,12,FALSE)),0,VLOOKUP($A401,'Mutasi Neraca'!$A$3:$S$910,12,FALSE))</f>
        <v>2876471728</v>
      </c>
      <c r="N401" s="42">
        <f>VLOOKUP($A401,'Neraca Unaudited SIMAK'!$A$2:$R$1272,13,FALSE)+IF(ISNA(VLOOKUP($A401,'Mutasi Neraca'!$A$3:$S$910,13,FALSE)),0,VLOOKUP($A401,'Mutasi Neraca'!$A$3:$S$910,13,FALSE))</f>
        <v>-1073066781</v>
      </c>
      <c r="O401" s="42">
        <f>VLOOKUP($A401,'Neraca Unaudited SIMAK'!$A$2:$R$1272,14,FALSE)+IF(ISNA(VLOOKUP($A401,'Mutasi Neraca'!$A$3:$S$910,14,FALSE)),0,VLOOKUP($A401,'Mutasi Neraca'!$A$3:$S$910,14,FALSE))</f>
        <v>-147133081</v>
      </c>
      <c r="P401" s="42">
        <f>VLOOKUP($A401,'Neraca Unaudited SIMAK'!$A$2:$R$1272,15,FALSE)+IF(ISNA(VLOOKUP($A401,'Mutasi Neraca'!$A$3:$S$910,15,FALSE)),0,VLOOKUP($A401,'Mutasi Neraca'!$A$3:$S$910,15,FALSE))</f>
        <v>-22683865</v>
      </c>
      <c r="Q401" s="42">
        <f>VLOOKUP($A401,'Neraca Unaudited SIMAK'!$A$2:$R$1272,16,FALSE)+IF(ISNA(VLOOKUP($A401,'Mutasi Neraca'!$A$3:$S$910,16,FALSE)),0,VLOOKUP($A401,'Mutasi Neraca'!$A$3:$S$910,16,FALSE))</f>
        <v>0</v>
      </c>
      <c r="R401" s="42">
        <f>VLOOKUP($A401,'Neraca Unaudited SIMAK'!$A$2:$R$1272,17,FALSE)+IF(ISNA(VLOOKUP($A401,'Mutasi Neraca'!$A$3:$S$910,17,FALSE)),0,VLOOKUP($A401,'Mutasi Neraca'!$A$3:$S$910,17,FALSE))</f>
        <v>-24832601</v>
      </c>
      <c r="S401" s="42">
        <f t="shared" si="55"/>
        <v>1608755400</v>
      </c>
    </row>
    <row r="402" spans="1:19">
      <c r="A402" s="41" t="s">
        <v>409</v>
      </c>
      <c r="B402" s="41" t="str">
        <f t="shared" si="54"/>
        <v>005011000</v>
      </c>
      <c r="D402" s="42">
        <f>VLOOKUP($A402,'Neraca Unaudited SIMAK'!$A$2:$R$1272,3,FALSE)+IF(ISNA(VLOOKUP($A402,'Mutasi Neraca'!$A$3:$S$910,3,FALSE)),0,VLOOKUP($A402,'Mutasi Neraca'!$A$3:$S$910,3,FALSE))</f>
        <v>3567120</v>
      </c>
      <c r="E402" s="42">
        <f>VLOOKUP($A402,'Neraca Unaudited SIMAK'!$A$2:$R$1272,4,FALSE)+IF(ISNA(VLOOKUP($A402,'Mutasi Neraca'!$A$3:$S$910,4,FALSE)),0,VLOOKUP($A402,'Mutasi Neraca'!$A$3:$S$910,4,FALSE))</f>
        <v>0</v>
      </c>
      <c r="F402" s="42">
        <f>VLOOKUP($A402,'Neraca Unaudited SIMAK'!$A$2:$R$1272,5,FALSE)+IF(ISNA(VLOOKUP($A402,'Mutasi Neraca'!$A$3:$S$910,5,FALSE)),0,VLOOKUP($A402,'Mutasi Neraca'!$A$3:$S$910,5,FALSE))</f>
        <v>944323142</v>
      </c>
      <c r="G402" s="42">
        <f>VLOOKUP($A402,'Neraca Unaudited SIMAK'!$A$2:$R$1272,6,FALSE)+IF(ISNA(VLOOKUP($A402,'Mutasi Neraca'!$A$3:$S$910,6,FALSE)),0,VLOOKUP($A402,'Mutasi Neraca'!$A$3:$S$910,6,FALSE))</f>
        <v>1991056355</v>
      </c>
      <c r="H402" s="42">
        <f>VLOOKUP($A402,'Neraca Unaudited SIMAK'!$A$2:$R$1272,7,FALSE)+IF(ISNA(VLOOKUP($A402,'Mutasi Neraca'!$A$3:$S$910,7,FALSE)),0,VLOOKUP($A402,'Mutasi Neraca'!$A$3:$S$910,7,FALSE))</f>
        <v>50585000</v>
      </c>
      <c r="I402" s="42">
        <f>VLOOKUP($A402,'Neraca Unaudited SIMAK'!$A$2:$R$1272,8,FALSE)+IF(ISNA(VLOOKUP($A402,'Mutasi Neraca'!$A$3:$S$910,8,FALSE)),0,VLOOKUP($A402,'Mutasi Neraca'!$A$3:$S$910,8,FALSE))</f>
        <v>80854000</v>
      </c>
      <c r="J402" s="42">
        <f>VLOOKUP($A402,'Neraca Unaudited SIMAK'!$A$2:$R$1272,9,FALSE)+IF(ISNA(VLOOKUP($A402,'Mutasi Neraca'!$A$3:$S$910,9,FALSE)),0,VLOOKUP($A402,'Mutasi Neraca'!$A$3:$S$910,9,FALSE))</f>
        <v>0</v>
      </c>
      <c r="K402" s="42">
        <f>VLOOKUP($A402,'Neraca Unaudited SIMAK'!$A$2:$R$1272,10,FALSE)+IF(ISNA(VLOOKUP($A402,'Mutasi Neraca'!$A$3:$S$910,10,FALSE)),0,VLOOKUP($A402,'Mutasi Neraca'!$A$3:$S$910,10,FALSE))</f>
        <v>13000000</v>
      </c>
      <c r="L402" s="42">
        <f>VLOOKUP($A402,'Neraca Unaudited SIMAK'!$A$2:$R$1272,11,FALSE)+IF(ISNA(VLOOKUP($A402,'Mutasi Neraca'!$A$3:$S$910,11,FALSE)),0,VLOOKUP($A402,'Mutasi Neraca'!$A$3:$S$910,11,FALSE))</f>
        <v>90000</v>
      </c>
      <c r="M402" s="42">
        <f>VLOOKUP($A402,'Neraca Unaudited SIMAK'!$A$2:$R$1272,12,FALSE)+IF(ISNA(VLOOKUP($A402,'Mutasi Neraca'!$A$3:$S$910,12,FALSE)),0,VLOOKUP($A402,'Mutasi Neraca'!$A$3:$S$910,12,FALSE))</f>
        <v>3083475617</v>
      </c>
      <c r="N402" s="42">
        <f>VLOOKUP($A402,'Neraca Unaudited SIMAK'!$A$2:$R$1272,13,FALSE)+IF(ISNA(VLOOKUP($A402,'Mutasi Neraca'!$A$3:$S$910,13,FALSE)),0,VLOOKUP($A402,'Mutasi Neraca'!$A$3:$S$910,13,FALSE))</f>
        <v>-868858764</v>
      </c>
      <c r="O402" s="42">
        <f>VLOOKUP($A402,'Neraca Unaudited SIMAK'!$A$2:$R$1272,14,FALSE)+IF(ISNA(VLOOKUP($A402,'Mutasi Neraca'!$A$3:$S$910,14,FALSE)),0,VLOOKUP($A402,'Mutasi Neraca'!$A$3:$S$910,14,FALSE))</f>
        <v>-314761964</v>
      </c>
      <c r="P402" s="42">
        <f>VLOOKUP($A402,'Neraca Unaudited SIMAK'!$A$2:$R$1272,15,FALSE)+IF(ISNA(VLOOKUP($A402,'Mutasi Neraca'!$A$3:$S$910,15,FALSE)),0,VLOOKUP($A402,'Mutasi Neraca'!$A$3:$S$910,15,FALSE))</f>
        <v>-10998500</v>
      </c>
      <c r="Q402" s="42">
        <f>VLOOKUP($A402,'Neraca Unaudited SIMAK'!$A$2:$R$1272,16,FALSE)+IF(ISNA(VLOOKUP($A402,'Mutasi Neraca'!$A$3:$S$910,16,FALSE)),0,VLOOKUP($A402,'Mutasi Neraca'!$A$3:$S$910,16,FALSE))</f>
        <v>0</v>
      </c>
      <c r="R402" s="42">
        <f>VLOOKUP($A402,'Neraca Unaudited SIMAK'!$A$2:$R$1272,17,FALSE)+IF(ISNA(VLOOKUP($A402,'Mutasi Neraca'!$A$3:$S$910,17,FALSE)),0,VLOOKUP($A402,'Mutasi Neraca'!$A$3:$S$910,17,FALSE))</f>
        <v>-90000</v>
      </c>
      <c r="S402" s="42">
        <f t="shared" si="55"/>
        <v>1888766389</v>
      </c>
    </row>
    <row r="403" spans="1:19">
      <c r="A403" s="41" t="s">
        <v>410</v>
      </c>
      <c r="B403" s="41" t="str">
        <f t="shared" si="54"/>
        <v>005011000</v>
      </c>
      <c r="D403" s="42">
        <f>VLOOKUP($A403,'Neraca Unaudited SIMAK'!$A$2:$R$1272,3,FALSE)+IF(ISNA(VLOOKUP($A403,'Mutasi Neraca'!$A$3:$S$910,3,FALSE)),0,VLOOKUP($A403,'Mutasi Neraca'!$A$3:$S$910,3,FALSE))</f>
        <v>1132250</v>
      </c>
      <c r="E403" s="42">
        <f>VLOOKUP($A403,'Neraca Unaudited SIMAK'!$A$2:$R$1272,4,FALSE)+IF(ISNA(VLOOKUP($A403,'Mutasi Neraca'!$A$3:$S$910,4,FALSE)),0,VLOOKUP($A403,'Mutasi Neraca'!$A$3:$S$910,4,FALSE))</f>
        <v>209584473</v>
      </c>
      <c r="F403" s="42">
        <f>VLOOKUP($A403,'Neraca Unaudited SIMAK'!$A$2:$R$1272,5,FALSE)+IF(ISNA(VLOOKUP($A403,'Mutasi Neraca'!$A$3:$S$910,5,FALSE)),0,VLOOKUP($A403,'Mutasi Neraca'!$A$3:$S$910,5,FALSE))</f>
        <v>1137065926</v>
      </c>
      <c r="G403" s="42">
        <f>VLOOKUP($A403,'Neraca Unaudited SIMAK'!$A$2:$R$1272,6,FALSE)+IF(ISNA(VLOOKUP($A403,'Mutasi Neraca'!$A$3:$S$910,6,FALSE)),0,VLOOKUP($A403,'Mutasi Neraca'!$A$3:$S$910,6,FALSE))</f>
        <v>1465588000</v>
      </c>
      <c r="H403" s="42">
        <f>VLOOKUP($A403,'Neraca Unaudited SIMAK'!$A$2:$R$1272,7,FALSE)+IF(ISNA(VLOOKUP($A403,'Mutasi Neraca'!$A$3:$S$910,7,FALSE)),0,VLOOKUP($A403,'Mutasi Neraca'!$A$3:$S$910,7,FALSE))</f>
        <v>13120000</v>
      </c>
      <c r="I403" s="42">
        <f>VLOOKUP($A403,'Neraca Unaudited SIMAK'!$A$2:$R$1272,8,FALSE)+IF(ISNA(VLOOKUP($A403,'Mutasi Neraca'!$A$3:$S$910,8,FALSE)),0,VLOOKUP($A403,'Mutasi Neraca'!$A$3:$S$910,8,FALSE))</f>
        <v>3716678</v>
      </c>
      <c r="J403" s="42">
        <f>VLOOKUP($A403,'Neraca Unaudited SIMAK'!$A$2:$R$1272,9,FALSE)+IF(ISNA(VLOOKUP($A403,'Mutasi Neraca'!$A$3:$S$910,9,FALSE)),0,VLOOKUP($A403,'Mutasi Neraca'!$A$3:$S$910,9,FALSE))</f>
        <v>0</v>
      </c>
      <c r="K403" s="42">
        <f>VLOOKUP($A403,'Neraca Unaudited SIMAK'!$A$2:$R$1272,10,FALSE)+IF(ISNA(VLOOKUP($A403,'Mutasi Neraca'!$A$3:$S$910,10,FALSE)),0,VLOOKUP($A403,'Mutasi Neraca'!$A$3:$S$910,10,FALSE))</f>
        <v>20750000</v>
      </c>
      <c r="L403" s="42">
        <f>VLOOKUP($A403,'Neraca Unaudited SIMAK'!$A$2:$R$1272,11,FALSE)+IF(ISNA(VLOOKUP($A403,'Mutasi Neraca'!$A$3:$S$910,11,FALSE)),0,VLOOKUP($A403,'Mutasi Neraca'!$A$3:$S$910,11,FALSE))</f>
        <v>0</v>
      </c>
      <c r="M403" s="42">
        <f>VLOOKUP($A403,'Neraca Unaudited SIMAK'!$A$2:$R$1272,12,FALSE)+IF(ISNA(VLOOKUP($A403,'Mutasi Neraca'!$A$3:$S$910,12,FALSE)),0,VLOOKUP($A403,'Mutasi Neraca'!$A$3:$S$910,12,FALSE))</f>
        <v>2850957327</v>
      </c>
      <c r="N403" s="42">
        <f>VLOOKUP($A403,'Neraca Unaudited SIMAK'!$A$2:$R$1272,13,FALSE)+IF(ISNA(VLOOKUP($A403,'Mutasi Neraca'!$A$3:$S$910,13,FALSE)),0,VLOOKUP($A403,'Mutasi Neraca'!$A$3:$S$910,13,FALSE))</f>
        <v>-968207113</v>
      </c>
      <c r="O403" s="42">
        <f>VLOOKUP($A403,'Neraca Unaudited SIMAK'!$A$2:$R$1272,14,FALSE)+IF(ISNA(VLOOKUP($A403,'Mutasi Neraca'!$A$3:$S$910,14,FALSE)),0,VLOOKUP($A403,'Mutasi Neraca'!$A$3:$S$910,14,FALSE))</f>
        <v>-240662040</v>
      </c>
      <c r="P403" s="42">
        <f>VLOOKUP($A403,'Neraca Unaudited SIMAK'!$A$2:$R$1272,15,FALSE)+IF(ISNA(VLOOKUP($A403,'Mutasi Neraca'!$A$3:$S$910,15,FALSE)),0,VLOOKUP($A403,'Mutasi Neraca'!$A$3:$S$910,15,FALSE))</f>
        <v>-5470000</v>
      </c>
      <c r="Q403" s="42">
        <f>VLOOKUP($A403,'Neraca Unaudited SIMAK'!$A$2:$R$1272,16,FALSE)+IF(ISNA(VLOOKUP($A403,'Mutasi Neraca'!$A$3:$S$910,16,FALSE)),0,VLOOKUP($A403,'Mutasi Neraca'!$A$3:$S$910,16,FALSE))</f>
        <v>0</v>
      </c>
      <c r="R403" s="42">
        <f>VLOOKUP($A403,'Neraca Unaudited SIMAK'!$A$2:$R$1272,17,FALSE)+IF(ISNA(VLOOKUP($A403,'Mutasi Neraca'!$A$3:$S$910,17,FALSE)),0,VLOOKUP($A403,'Mutasi Neraca'!$A$3:$S$910,17,FALSE))</f>
        <v>0</v>
      </c>
      <c r="S403" s="42">
        <f t="shared" si="55"/>
        <v>1636618174</v>
      </c>
    </row>
    <row r="404" spans="1:19">
      <c r="A404" s="41" t="s">
        <v>411</v>
      </c>
      <c r="B404" s="41" t="str">
        <f t="shared" si="54"/>
        <v>005011000</v>
      </c>
      <c r="D404" s="42">
        <f>VLOOKUP($A404,'Neraca Unaudited SIMAK'!$A$2:$R$1272,3,FALSE)+IF(ISNA(VLOOKUP($A404,'Mutasi Neraca'!$A$3:$S$910,3,FALSE)),0,VLOOKUP($A404,'Mutasi Neraca'!$A$3:$S$910,3,FALSE))</f>
        <v>3570800</v>
      </c>
      <c r="E404" s="42">
        <f>VLOOKUP($A404,'Neraca Unaudited SIMAK'!$A$2:$R$1272,4,FALSE)+IF(ISNA(VLOOKUP($A404,'Mutasi Neraca'!$A$3:$S$910,4,FALSE)),0,VLOOKUP($A404,'Mutasi Neraca'!$A$3:$S$910,4,FALSE))</f>
        <v>389654679</v>
      </c>
      <c r="F404" s="42">
        <f>VLOOKUP($A404,'Neraca Unaudited SIMAK'!$A$2:$R$1272,5,FALSE)+IF(ISNA(VLOOKUP($A404,'Mutasi Neraca'!$A$3:$S$910,5,FALSE)),0,VLOOKUP($A404,'Mutasi Neraca'!$A$3:$S$910,5,FALSE))</f>
        <v>1807615467</v>
      </c>
      <c r="G404" s="42">
        <f>VLOOKUP($A404,'Neraca Unaudited SIMAK'!$A$2:$R$1272,6,FALSE)+IF(ISNA(VLOOKUP($A404,'Mutasi Neraca'!$A$3:$S$910,6,FALSE)),0,VLOOKUP($A404,'Mutasi Neraca'!$A$3:$S$910,6,FALSE))</f>
        <v>2968129000</v>
      </c>
      <c r="H404" s="42">
        <f>VLOOKUP($A404,'Neraca Unaudited SIMAK'!$A$2:$R$1272,7,FALSE)+IF(ISNA(VLOOKUP($A404,'Mutasi Neraca'!$A$3:$S$910,7,FALSE)),0,VLOOKUP($A404,'Mutasi Neraca'!$A$3:$S$910,7,FALSE))</f>
        <v>240282000</v>
      </c>
      <c r="I404" s="42">
        <f>VLOOKUP($A404,'Neraca Unaudited SIMAK'!$A$2:$R$1272,8,FALSE)+IF(ISNA(VLOOKUP($A404,'Mutasi Neraca'!$A$3:$S$910,8,FALSE)),0,VLOOKUP($A404,'Mutasi Neraca'!$A$3:$S$910,8,FALSE))</f>
        <v>5332118</v>
      </c>
      <c r="J404" s="42">
        <f>VLOOKUP($A404,'Neraca Unaudited SIMAK'!$A$2:$R$1272,9,FALSE)+IF(ISNA(VLOOKUP($A404,'Mutasi Neraca'!$A$3:$S$910,9,FALSE)),0,VLOOKUP($A404,'Mutasi Neraca'!$A$3:$S$910,9,FALSE))</f>
        <v>0</v>
      </c>
      <c r="K404" s="42">
        <f>VLOOKUP($A404,'Neraca Unaudited SIMAK'!$A$2:$R$1272,10,FALSE)+IF(ISNA(VLOOKUP($A404,'Mutasi Neraca'!$A$3:$S$910,10,FALSE)),0,VLOOKUP($A404,'Mutasi Neraca'!$A$3:$S$910,10,FALSE))</f>
        <v>0</v>
      </c>
      <c r="L404" s="42">
        <f>VLOOKUP($A404,'Neraca Unaudited SIMAK'!$A$2:$R$1272,11,FALSE)+IF(ISNA(VLOOKUP($A404,'Mutasi Neraca'!$A$3:$S$910,11,FALSE)),0,VLOOKUP($A404,'Mutasi Neraca'!$A$3:$S$910,11,FALSE))</f>
        <v>165044500</v>
      </c>
      <c r="M404" s="42">
        <f>VLOOKUP($A404,'Neraca Unaudited SIMAK'!$A$2:$R$1272,12,FALSE)+IF(ISNA(VLOOKUP($A404,'Mutasi Neraca'!$A$3:$S$910,12,FALSE)),0,VLOOKUP($A404,'Mutasi Neraca'!$A$3:$S$910,12,FALSE))</f>
        <v>5579628564</v>
      </c>
      <c r="N404" s="42">
        <f>VLOOKUP($A404,'Neraca Unaudited SIMAK'!$A$2:$R$1272,13,FALSE)+IF(ISNA(VLOOKUP($A404,'Mutasi Neraca'!$A$3:$S$910,13,FALSE)),0,VLOOKUP($A404,'Mutasi Neraca'!$A$3:$S$910,13,FALSE))</f>
        <v>-1527800674</v>
      </c>
      <c r="O404" s="42">
        <f>VLOOKUP($A404,'Neraca Unaudited SIMAK'!$A$2:$R$1272,14,FALSE)+IF(ISNA(VLOOKUP($A404,'Mutasi Neraca'!$A$3:$S$910,14,FALSE)),0,VLOOKUP($A404,'Mutasi Neraca'!$A$3:$S$910,14,FALSE))</f>
        <v>-358841758</v>
      </c>
      <c r="P404" s="42">
        <f>VLOOKUP($A404,'Neraca Unaudited SIMAK'!$A$2:$R$1272,15,FALSE)+IF(ISNA(VLOOKUP($A404,'Mutasi Neraca'!$A$3:$S$910,15,FALSE)),0,VLOOKUP($A404,'Mutasi Neraca'!$A$3:$S$910,15,FALSE))</f>
        <v>-91796700</v>
      </c>
      <c r="Q404" s="42">
        <f>VLOOKUP($A404,'Neraca Unaudited SIMAK'!$A$2:$R$1272,16,FALSE)+IF(ISNA(VLOOKUP($A404,'Mutasi Neraca'!$A$3:$S$910,16,FALSE)),0,VLOOKUP($A404,'Mutasi Neraca'!$A$3:$S$910,16,FALSE))</f>
        <v>0</v>
      </c>
      <c r="R404" s="42">
        <f>VLOOKUP($A404,'Neraca Unaudited SIMAK'!$A$2:$R$1272,17,FALSE)+IF(ISNA(VLOOKUP($A404,'Mutasi Neraca'!$A$3:$S$910,17,FALSE)),0,VLOOKUP($A404,'Mutasi Neraca'!$A$3:$S$910,17,FALSE))</f>
        <v>-165044500</v>
      </c>
      <c r="S404" s="42">
        <f t="shared" si="55"/>
        <v>3436144932</v>
      </c>
    </row>
    <row r="405" spans="1:19">
      <c r="A405" s="41" t="s">
        <v>412</v>
      </c>
      <c r="B405" s="41" t="str">
        <f t="shared" si="54"/>
        <v>005011100</v>
      </c>
      <c r="D405" s="42">
        <f>VLOOKUP($A405,'Neraca Unaudited SIMAK'!$A$2:$R$1272,3,FALSE)+IF(ISNA(VLOOKUP($A405,'Mutasi Neraca'!$A$3:$S$910,3,FALSE)),0,VLOOKUP($A405,'Mutasi Neraca'!$A$3:$S$910,3,FALSE))</f>
        <v>19647766</v>
      </c>
      <c r="E405" s="42">
        <f>VLOOKUP($A405,'Neraca Unaudited SIMAK'!$A$2:$R$1272,4,FALSE)+IF(ISNA(VLOOKUP($A405,'Mutasi Neraca'!$A$3:$S$910,4,FALSE)),0,VLOOKUP($A405,'Mutasi Neraca'!$A$3:$S$910,4,FALSE))</f>
        <v>17308895683</v>
      </c>
      <c r="F405" s="42">
        <f>VLOOKUP($A405,'Neraca Unaudited SIMAK'!$A$2:$R$1272,5,FALSE)+IF(ISNA(VLOOKUP($A405,'Mutasi Neraca'!$A$3:$S$910,5,FALSE)),0,VLOOKUP($A405,'Mutasi Neraca'!$A$3:$S$910,5,FALSE))</f>
        <v>3620597732</v>
      </c>
      <c r="G405" s="42">
        <f>VLOOKUP($A405,'Neraca Unaudited SIMAK'!$A$2:$R$1272,6,FALSE)+IF(ISNA(VLOOKUP($A405,'Mutasi Neraca'!$A$3:$S$910,6,FALSE)),0,VLOOKUP($A405,'Mutasi Neraca'!$A$3:$S$910,6,FALSE))</f>
        <v>10934292400</v>
      </c>
      <c r="H405" s="42">
        <f>VLOOKUP($A405,'Neraca Unaudited SIMAK'!$A$2:$R$1272,7,FALSE)+IF(ISNA(VLOOKUP($A405,'Mutasi Neraca'!$A$3:$S$910,7,FALSE)),0,VLOOKUP($A405,'Mutasi Neraca'!$A$3:$S$910,7,FALSE))</f>
        <v>182344745</v>
      </c>
      <c r="I405" s="42">
        <f>VLOOKUP($A405,'Neraca Unaudited SIMAK'!$A$2:$R$1272,8,FALSE)+IF(ISNA(VLOOKUP($A405,'Mutasi Neraca'!$A$3:$S$910,8,FALSE)),0,VLOOKUP($A405,'Mutasi Neraca'!$A$3:$S$910,8,FALSE))</f>
        <v>115028456</v>
      </c>
      <c r="J405" s="42">
        <f>VLOOKUP($A405,'Neraca Unaudited SIMAK'!$A$2:$R$1272,9,FALSE)+IF(ISNA(VLOOKUP($A405,'Mutasi Neraca'!$A$3:$S$910,9,FALSE)),0,VLOOKUP($A405,'Mutasi Neraca'!$A$3:$S$910,9,FALSE))</f>
        <v>0</v>
      </c>
      <c r="K405" s="42">
        <f>VLOOKUP($A405,'Neraca Unaudited SIMAK'!$A$2:$R$1272,10,FALSE)+IF(ISNA(VLOOKUP($A405,'Mutasi Neraca'!$A$3:$S$910,10,FALSE)),0,VLOOKUP($A405,'Mutasi Neraca'!$A$3:$S$910,10,FALSE))</f>
        <v>0</v>
      </c>
      <c r="L405" s="42">
        <f>VLOOKUP($A405,'Neraca Unaudited SIMAK'!$A$2:$R$1272,11,FALSE)+IF(ISNA(VLOOKUP($A405,'Mutasi Neraca'!$A$3:$S$910,11,FALSE)),0,VLOOKUP($A405,'Mutasi Neraca'!$A$3:$S$910,11,FALSE))</f>
        <v>0</v>
      </c>
      <c r="M405" s="42">
        <f>VLOOKUP($A405,'Neraca Unaudited SIMAK'!$A$2:$R$1272,12,FALSE)+IF(ISNA(VLOOKUP($A405,'Mutasi Neraca'!$A$3:$S$910,12,FALSE)),0,VLOOKUP($A405,'Mutasi Neraca'!$A$3:$S$910,12,FALSE))</f>
        <v>32180806782</v>
      </c>
      <c r="N405" s="42">
        <f>VLOOKUP($A405,'Neraca Unaudited SIMAK'!$A$2:$R$1272,13,FALSE)+IF(ISNA(VLOOKUP($A405,'Mutasi Neraca'!$A$3:$S$910,13,FALSE)),0,VLOOKUP($A405,'Mutasi Neraca'!$A$3:$S$910,13,FALSE))</f>
        <v>-3323329754</v>
      </c>
      <c r="O405" s="42">
        <f>VLOOKUP($A405,'Neraca Unaudited SIMAK'!$A$2:$R$1272,14,FALSE)+IF(ISNA(VLOOKUP($A405,'Mutasi Neraca'!$A$3:$S$910,14,FALSE)),0,VLOOKUP($A405,'Mutasi Neraca'!$A$3:$S$910,14,FALSE))</f>
        <v>-8200270150</v>
      </c>
      <c r="P405" s="42">
        <f>VLOOKUP($A405,'Neraca Unaudited SIMAK'!$A$2:$R$1272,15,FALSE)+IF(ISNA(VLOOKUP($A405,'Mutasi Neraca'!$A$3:$S$910,15,FALSE)),0,VLOOKUP($A405,'Mutasi Neraca'!$A$3:$S$910,15,FALSE))</f>
        <v>-19651853</v>
      </c>
      <c r="Q405" s="42">
        <f>VLOOKUP($A405,'Neraca Unaudited SIMAK'!$A$2:$R$1272,16,FALSE)+IF(ISNA(VLOOKUP($A405,'Mutasi Neraca'!$A$3:$S$910,16,FALSE)),0,VLOOKUP($A405,'Mutasi Neraca'!$A$3:$S$910,16,FALSE))</f>
        <v>0</v>
      </c>
      <c r="R405" s="42">
        <f>VLOOKUP($A405,'Neraca Unaudited SIMAK'!$A$2:$R$1272,17,FALSE)+IF(ISNA(VLOOKUP($A405,'Mutasi Neraca'!$A$3:$S$910,17,FALSE)),0,VLOOKUP($A405,'Mutasi Neraca'!$A$3:$S$910,17,FALSE))</f>
        <v>0</v>
      </c>
      <c r="S405" s="42">
        <f t="shared" si="55"/>
        <v>20637555025</v>
      </c>
    </row>
    <row r="406" spans="1:19">
      <c r="A406" s="41" t="s">
        <v>413</v>
      </c>
      <c r="B406" s="41" t="str">
        <f t="shared" si="54"/>
        <v>005011100</v>
      </c>
      <c r="D406" s="42">
        <f>VLOOKUP($A406,'Neraca Unaudited SIMAK'!$A$2:$R$1272,3,FALSE)+IF(ISNA(VLOOKUP($A406,'Mutasi Neraca'!$A$3:$S$910,3,FALSE)),0,VLOOKUP($A406,'Mutasi Neraca'!$A$3:$S$910,3,FALSE))</f>
        <v>2616000</v>
      </c>
      <c r="E406" s="42">
        <f>VLOOKUP($A406,'Neraca Unaudited SIMAK'!$A$2:$R$1272,4,FALSE)+IF(ISNA(VLOOKUP($A406,'Mutasi Neraca'!$A$3:$S$910,4,FALSE)),0,VLOOKUP($A406,'Mutasi Neraca'!$A$3:$S$910,4,FALSE))</f>
        <v>15975680000</v>
      </c>
      <c r="F406" s="42">
        <f>VLOOKUP($A406,'Neraca Unaudited SIMAK'!$A$2:$R$1272,5,FALSE)+IF(ISNA(VLOOKUP($A406,'Mutasi Neraca'!$A$3:$S$910,5,FALSE)),0,VLOOKUP($A406,'Mutasi Neraca'!$A$3:$S$910,5,FALSE))</f>
        <v>4311285185</v>
      </c>
      <c r="G406" s="42">
        <f>VLOOKUP($A406,'Neraca Unaudited SIMAK'!$A$2:$R$1272,6,FALSE)+IF(ISNA(VLOOKUP($A406,'Mutasi Neraca'!$A$3:$S$910,6,FALSE)),0,VLOOKUP($A406,'Mutasi Neraca'!$A$3:$S$910,6,FALSE))</f>
        <v>4595397800</v>
      </c>
      <c r="H406" s="42">
        <f>VLOOKUP($A406,'Neraca Unaudited SIMAK'!$A$2:$R$1272,7,FALSE)+IF(ISNA(VLOOKUP($A406,'Mutasi Neraca'!$A$3:$S$910,7,FALSE)),0,VLOOKUP($A406,'Mutasi Neraca'!$A$3:$S$910,7,FALSE))</f>
        <v>113902000</v>
      </c>
      <c r="I406" s="42">
        <f>VLOOKUP($A406,'Neraca Unaudited SIMAK'!$A$2:$R$1272,8,FALSE)+IF(ISNA(VLOOKUP($A406,'Mutasi Neraca'!$A$3:$S$910,8,FALSE)),0,VLOOKUP($A406,'Mutasi Neraca'!$A$3:$S$910,8,FALSE))</f>
        <v>42343827</v>
      </c>
      <c r="J406" s="42">
        <f>VLOOKUP($A406,'Neraca Unaudited SIMAK'!$A$2:$R$1272,9,FALSE)+IF(ISNA(VLOOKUP($A406,'Mutasi Neraca'!$A$3:$S$910,9,FALSE)),0,VLOOKUP($A406,'Mutasi Neraca'!$A$3:$S$910,9,FALSE))</f>
        <v>0</v>
      </c>
      <c r="K406" s="42">
        <f>VLOOKUP($A406,'Neraca Unaudited SIMAK'!$A$2:$R$1272,10,FALSE)+IF(ISNA(VLOOKUP($A406,'Mutasi Neraca'!$A$3:$S$910,10,FALSE)),0,VLOOKUP($A406,'Mutasi Neraca'!$A$3:$S$910,10,FALSE))</f>
        <v>85248310</v>
      </c>
      <c r="L406" s="42">
        <f>VLOOKUP($A406,'Neraca Unaudited SIMAK'!$A$2:$R$1272,11,FALSE)+IF(ISNA(VLOOKUP($A406,'Mutasi Neraca'!$A$3:$S$910,11,FALSE)),0,VLOOKUP($A406,'Mutasi Neraca'!$A$3:$S$910,11,FALSE))</f>
        <v>0</v>
      </c>
      <c r="M406" s="42">
        <f>VLOOKUP($A406,'Neraca Unaudited SIMAK'!$A$2:$R$1272,12,FALSE)+IF(ISNA(VLOOKUP($A406,'Mutasi Neraca'!$A$3:$S$910,12,FALSE)),0,VLOOKUP($A406,'Mutasi Neraca'!$A$3:$S$910,12,FALSE))</f>
        <v>25126473122</v>
      </c>
      <c r="N406" s="42">
        <f>VLOOKUP($A406,'Neraca Unaudited SIMAK'!$A$2:$R$1272,13,FALSE)+IF(ISNA(VLOOKUP($A406,'Mutasi Neraca'!$A$3:$S$910,13,FALSE)),0,VLOOKUP($A406,'Mutasi Neraca'!$A$3:$S$910,13,FALSE))</f>
        <v>-3740733319</v>
      </c>
      <c r="O406" s="42">
        <f>VLOOKUP($A406,'Neraca Unaudited SIMAK'!$A$2:$R$1272,14,FALSE)+IF(ISNA(VLOOKUP($A406,'Mutasi Neraca'!$A$3:$S$910,14,FALSE)),0,VLOOKUP($A406,'Mutasi Neraca'!$A$3:$S$910,14,FALSE))</f>
        <v>-2041193618</v>
      </c>
      <c r="P406" s="42">
        <f>VLOOKUP($A406,'Neraca Unaudited SIMAK'!$A$2:$R$1272,15,FALSE)+IF(ISNA(VLOOKUP($A406,'Mutasi Neraca'!$A$3:$S$910,15,FALSE)),0,VLOOKUP($A406,'Mutasi Neraca'!$A$3:$S$910,15,FALSE))</f>
        <v>-60174700</v>
      </c>
      <c r="Q406" s="42">
        <f>VLOOKUP($A406,'Neraca Unaudited SIMAK'!$A$2:$R$1272,16,FALSE)+IF(ISNA(VLOOKUP($A406,'Mutasi Neraca'!$A$3:$S$910,16,FALSE)),0,VLOOKUP($A406,'Mutasi Neraca'!$A$3:$S$910,16,FALSE))</f>
        <v>0</v>
      </c>
      <c r="R406" s="42">
        <f>VLOOKUP($A406,'Neraca Unaudited SIMAK'!$A$2:$R$1272,17,FALSE)+IF(ISNA(VLOOKUP($A406,'Mutasi Neraca'!$A$3:$S$910,17,FALSE)),0,VLOOKUP($A406,'Mutasi Neraca'!$A$3:$S$910,17,FALSE))</f>
        <v>0</v>
      </c>
      <c r="S406" s="42">
        <f t="shared" si="55"/>
        <v>19284371485</v>
      </c>
    </row>
    <row r="407" spans="1:19">
      <c r="A407" s="41" t="s">
        <v>414</v>
      </c>
      <c r="B407" s="41" t="str">
        <f t="shared" si="54"/>
        <v>005011100</v>
      </c>
      <c r="D407" s="42">
        <f>VLOOKUP($A407,'Neraca Unaudited SIMAK'!$A$2:$R$1272,3,FALSE)+IF(ISNA(VLOOKUP($A407,'Mutasi Neraca'!$A$3:$S$910,3,FALSE)),0,VLOOKUP($A407,'Mutasi Neraca'!$A$3:$S$910,3,FALSE))</f>
        <v>3598000</v>
      </c>
      <c r="E407" s="42">
        <f>VLOOKUP($A407,'Neraca Unaudited SIMAK'!$A$2:$R$1272,4,FALSE)+IF(ISNA(VLOOKUP($A407,'Mutasi Neraca'!$A$3:$S$910,4,FALSE)),0,VLOOKUP($A407,'Mutasi Neraca'!$A$3:$S$910,4,FALSE))</f>
        <v>2149672800</v>
      </c>
      <c r="F407" s="42">
        <f>VLOOKUP($A407,'Neraca Unaudited SIMAK'!$A$2:$R$1272,5,FALSE)+IF(ISNA(VLOOKUP($A407,'Mutasi Neraca'!$A$3:$S$910,5,FALSE)),0,VLOOKUP($A407,'Mutasi Neraca'!$A$3:$S$910,5,FALSE))</f>
        <v>1300957004</v>
      </c>
      <c r="G407" s="42">
        <f>VLOOKUP($A407,'Neraca Unaudited SIMAK'!$A$2:$R$1272,6,FALSE)+IF(ISNA(VLOOKUP($A407,'Mutasi Neraca'!$A$3:$S$910,6,FALSE)),0,VLOOKUP($A407,'Mutasi Neraca'!$A$3:$S$910,6,FALSE))</f>
        <v>2191442000</v>
      </c>
      <c r="H407" s="42">
        <f>VLOOKUP($A407,'Neraca Unaudited SIMAK'!$A$2:$R$1272,7,FALSE)+IF(ISNA(VLOOKUP($A407,'Mutasi Neraca'!$A$3:$S$910,7,FALSE)),0,VLOOKUP($A407,'Mutasi Neraca'!$A$3:$S$910,7,FALSE))</f>
        <v>0</v>
      </c>
      <c r="I407" s="42">
        <f>VLOOKUP($A407,'Neraca Unaudited SIMAK'!$A$2:$R$1272,8,FALSE)+IF(ISNA(VLOOKUP($A407,'Mutasi Neraca'!$A$3:$S$910,8,FALSE)),0,VLOOKUP($A407,'Mutasi Neraca'!$A$3:$S$910,8,FALSE))</f>
        <v>32618060</v>
      </c>
      <c r="J407" s="42">
        <f>VLOOKUP($A407,'Neraca Unaudited SIMAK'!$A$2:$R$1272,9,FALSE)+IF(ISNA(VLOOKUP($A407,'Mutasi Neraca'!$A$3:$S$910,9,FALSE)),0,VLOOKUP($A407,'Mutasi Neraca'!$A$3:$S$910,9,FALSE))</f>
        <v>0</v>
      </c>
      <c r="K407" s="42">
        <f>VLOOKUP($A407,'Neraca Unaudited SIMAK'!$A$2:$R$1272,10,FALSE)+IF(ISNA(VLOOKUP($A407,'Mutasi Neraca'!$A$3:$S$910,10,FALSE)),0,VLOOKUP($A407,'Mutasi Neraca'!$A$3:$S$910,10,FALSE))</f>
        <v>40854200</v>
      </c>
      <c r="L407" s="42">
        <f>VLOOKUP($A407,'Neraca Unaudited SIMAK'!$A$2:$R$1272,11,FALSE)+IF(ISNA(VLOOKUP($A407,'Mutasi Neraca'!$A$3:$S$910,11,FALSE)),0,VLOOKUP($A407,'Mutasi Neraca'!$A$3:$S$910,11,FALSE))</f>
        <v>0</v>
      </c>
      <c r="M407" s="42">
        <f>VLOOKUP($A407,'Neraca Unaudited SIMAK'!$A$2:$R$1272,12,FALSE)+IF(ISNA(VLOOKUP($A407,'Mutasi Neraca'!$A$3:$S$910,12,FALSE)),0,VLOOKUP($A407,'Mutasi Neraca'!$A$3:$S$910,12,FALSE))</f>
        <v>5719142064</v>
      </c>
      <c r="N407" s="42">
        <f>VLOOKUP($A407,'Neraca Unaudited SIMAK'!$A$2:$R$1272,13,FALSE)+IF(ISNA(VLOOKUP($A407,'Mutasi Neraca'!$A$3:$S$910,13,FALSE)),0,VLOOKUP($A407,'Mutasi Neraca'!$A$3:$S$910,13,FALSE))</f>
        <v>-1203277494</v>
      </c>
      <c r="O407" s="42">
        <f>VLOOKUP($A407,'Neraca Unaudited SIMAK'!$A$2:$R$1272,14,FALSE)+IF(ISNA(VLOOKUP($A407,'Mutasi Neraca'!$A$3:$S$910,14,FALSE)),0,VLOOKUP($A407,'Mutasi Neraca'!$A$3:$S$910,14,FALSE))</f>
        <v>-584334732</v>
      </c>
      <c r="P407" s="42">
        <f>VLOOKUP($A407,'Neraca Unaudited SIMAK'!$A$2:$R$1272,15,FALSE)+IF(ISNA(VLOOKUP($A407,'Mutasi Neraca'!$A$3:$S$910,15,FALSE)),0,VLOOKUP($A407,'Mutasi Neraca'!$A$3:$S$910,15,FALSE))</f>
        <v>0</v>
      </c>
      <c r="Q407" s="42">
        <f>VLOOKUP($A407,'Neraca Unaudited SIMAK'!$A$2:$R$1272,16,FALSE)+IF(ISNA(VLOOKUP($A407,'Mutasi Neraca'!$A$3:$S$910,16,FALSE)),0,VLOOKUP($A407,'Mutasi Neraca'!$A$3:$S$910,16,FALSE))</f>
        <v>0</v>
      </c>
      <c r="R407" s="42">
        <f>VLOOKUP($A407,'Neraca Unaudited SIMAK'!$A$2:$R$1272,17,FALSE)+IF(ISNA(VLOOKUP($A407,'Mutasi Neraca'!$A$3:$S$910,17,FALSE)),0,VLOOKUP($A407,'Mutasi Neraca'!$A$3:$S$910,17,FALSE))</f>
        <v>0</v>
      </c>
      <c r="S407" s="42">
        <f t="shared" si="55"/>
        <v>3931529838</v>
      </c>
    </row>
    <row r="408" spans="1:19">
      <c r="A408" s="41" t="s">
        <v>415</v>
      </c>
      <c r="B408" s="41" t="str">
        <f t="shared" si="54"/>
        <v>005011100</v>
      </c>
      <c r="D408" s="42">
        <f>VLOOKUP($A408,'Neraca Unaudited SIMAK'!$A$2:$R$1272,3,FALSE)+IF(ISNA(VLOOKUP($A408,'Mutasi Neraca'!$A$3:$S$910,3,FALSE)),0,VLOOKUP($A408,'Mutasi Neraca'!$A$3:$S$910,3,FALSE))</f>
        <v>215000</v>
      </c>
      <c r="E408" s="42">
        <f>VLOOKUP($A408,'Neraca Unaudited SIMAK'!$A$2:$R$1272,4,FALSE)+IF(ISNA(VLOOKUP($A408,'Mutasi Neraca'!$A$3:$S$910,4,FALSE)),0,VLOOKUP($A408,'Mutasi Neraca'!$A$3:$S$910,4,FALSE))</f>
        <v>6553672000</v>
      </c>
      <c r="F408" s="42">
        <f>VLOOKUP($A408,'Neraca Unaudited SIMAK'!$A$2:$R$1272,5,FALSE)+IF(ISNA(VLOOKUP($A408,'Mutasi Neraca'!$A$3:$S$910,5,FALSE)),0,VLOOKUP($A408,'Mutasi Neraca'!$A$3:$S$910,5,FALSE))</f>
        <v>2099618323</v>
      </c>
      <c r="G408" s="42">
        <f>VLOOKUP($A408,'Neraca Unaudited SIMAK'!$A$2:$R$1272,6,FALSE)+IF(ISNA(VLOOKUP($A408,'Mutasi Neraca'!$A$3:$S$910,6,FALSE)),0,VLOOKUP($A408,'Mutasi Neraca'!$A$3:$S$910,6,FALSE))</f>
        <v>628848130</v>
      </c>
      <c r="H408" s="42">
        <f>VLOOKUP($A408,'Neraca Unaudited SIMAK'!$A$2:$R$1272,7,FALSE)+IF(ISNA(VLOOKUP($A408,'Mutasi Neraca'!$A$3:$S$910,7,FALSE)),0,VLOOKUP($A408,'Mutasi Neraca'!$A$3:$S$910,7,FALSE))</f>
        <v>179896000</v>
      </c>
      <c r="I408" s="42">
        <f>VLOOKUP($A408,'Neraca Unaudited SIMAK'!$A$2:$R$1272,8,FALSE)+IF(ISNA(VLOOKUP($A408,'Mutasi Neraca'!$A$3:$S$910,8,FALSE)),0,VLOOKUP($A408,'Mutasi Neraca'!$A$3:$S$910,8,FALSE))</f>
        <v>4628440</v>
      </c>
      <c r="J408" s="42">
        <f>VLOOKUP($A408,'Neraca Unaudited SIMAK'!$A$2:$R$1272,9,FALSE)+IF(ISNA(VLOOKUP($A408,'Mutasi Neraca'!$A$3:$S$910,9,FALSE)),0,VLOOKUP($A408,'Mutasi Neraca'!$A$3:$S$910,9,FALSE))</f>
        <v>0</v>
      </c>
      <c r="K408" s="42">
        <f>VLOOKUP($A408,'Neraca Unaudited SIMAK'!$A$2:$R$1272,10,FALSE)+IF(ISNA(VLOOKUP($A408,'Mutasi Neraca'!$A$3:$S$910,10,FALSE)),0,VLOOKUP($A408,'Mutasi Neraca'!$A$3:$S$910,10,FALSE))</f>
        <v>34720000</v>
      </c>
      <c r="L408" s="42">
        <f>VLOOKUP($A408,'Neraca Unaudited SIMAK'!$A$2:$R$1272,11,FALSE)+IF(ISNA(VLOOKUP($A408,'Mutasi Neraca'!$A$3:$S$910,11,FALSE)),0,VLOOKUP($A408,'Mutasi Neraca'!$A$3:$S$910,11,FALSE))</f>
        <v>0</v>
      </c>
      <c r="M408" s="42">
        <f>VLOOKUP($A408,'Neraca Unaudited SIMAK'!$A$2:$R$1272,12,FALSE)+IF(ISNA(VLOOKUP($A408,'Mutasi Neraca'!$A$3:$S$910,12,FALSE)),0,VLOOKUP($A408,'Mutasi Neraca'!$A$3:$S$910,12,FALSE))</f>
        <v>9501597893</v>
      </c>
      <c r="N408" s="42">
        <f>VLOOKUP($A408,'Neraca Unaudited SIMAK'!$A$2:$R$1272,13,FALSE)+IF(ISNA(VLOOKUP($A408,'Mutasi Neraca'!$A$3:$S$910,13,FALSE)),0,VLOOKUP($A408,'Mutasi Neraca'!$A$3:$S$910,13,FALSE))</f>
        <v>-1993035032</v>
      </c>
      <c r="O408" s="42">
        <f>VLOOKUP($A408,'Neraca Unaudited SIMAK'!$A$2:$R$1272,14,FALSE)+IF(ISNA(VLOOKUP($A408,'Mutasi Neraca'!$A$3:$S$910,14,FALSE)),0,VLOOKUP($A408,'Mutasi Neraca'!$A$3:$S$910,14,FALSE))</f>
        <v>-489919155</v>
      </c>
      <c r="P408" s="42">
        <f>VLOOKUP($A408,'Neraca Unaudited SIMAK'!$A$2:$R$1272,15,FALSE)+IF(ISNA(VLOOKUP($A408,'Mutasi Neraca'!$A$3:$S$910,15,FALSE)),0,VLOOKUP($A408,'Mutasi Neraca'!$A$3:$S$910,15,FALSE))</f>
        <v>-6748700</v>
      </c>
      <c r="Q408" s="42">
        <f>VLOOKUP($A408,'Neraca Unaudited SIMAK'!$A$2:$R$1272,16,FALSE)+IF(ISNA(VLOOKUP($A408,'Mutasi Neraca'!$A$3:$S$910,16,FALSE)),0,VLOOKUP($A408,'Mutasi Neraca'!$A$3:$S$910,16,FALSE))</f>
        <v>0</v>
      </c>
      <c r="R408" s="42">
        <f>VLOOKUP($A408,'Neraca Unaudited SIMAK'!$A$2:$R$1272,17,FALSE)+IF(ISNA(VLOOKUP($A408,'Mutasi Neraca'!$A$3:$S$910,17,FALSE)),0,VLOOKUP($A408,'Mutasi Neraca'!$A$3:$S$910,17,FALSE))</f>
        <v>0</v>
      </c>
      <c r="S408" s="42">
        <f t="shared" si="55"/>
        <v>7011895006</v>
      </c>
    </row>
    <row r="409" spans="1:19">
      <c r="A409" s="41" t="s">
        <v>416</v>
      </c>
      <c r="B409" s="41" t="str">
        <f t="shared" si="54"/>
        <v>005011100</v>
      </c>
      <c r="D409" s="42">
        <f>VLOOKUP($A409,'Neraca Unaudited SIMAK'!$A$2:$R$1272,3,FALSE)+IF(ISNA(VLOOKUP($A409,'Mutasi Neraca'!$A$3:$S$910,3,FALSE)),0,VLOOKUP($A409,'Mutasi Neraca'!$A$3:$S$910,3,FALSE))</f>
        <v>0</v>
      </c>
      <c r="E409" s="42">
        <f>VLOOKUP($A409,'Neraca Unaudited SIMAK'!$A$2:$R$1272,4,FALSE)+IF(ISNA(VLOOKUP($A409,'Mutasi Neraca'!$A$3:$S$910,4,FALSE)),0,VLOOKUP($A409,'Mutasi Neraca'!$A$3:$S$910,4,FALSE))</f>
        <v>1164639000</v>
      </c>
      <c r="F409" s="42">
        <f>VLOOKUP($A409,'Neraca Unaudited SIMAK'!$A$2:$R$1272,5,FALSE)+IF(ISNA(VLOOKUP($A409,'Mutasi Neraca'!$A$3:$S$910,5,FALSE)),0,VLOOKUP($A409,'Mutasi Neraca'!$A$3:$S$910,5,FALSE))</f>
        <v>1232629854</v>
      </c>
      <c r="G409" s="42">
        <f>VLOOKUP($A409,'Neraca Unaudited SIMAK'!$A$2:$R$1272,6,FALSE)+IF(ISNA(VLOOKUP($A409,'Mutasi Neraca'!$A$3:$S$910,6,FALSE)),0,VLOOKUP($A409,'Mutasi Neraca'!$A$3:$S$910,6,FALSE))</f>
        <v>2267452450</v>
      </c>
      <c r="H409" s="42">
        <f>VLOOKUP($A409,'Neraca Unaudited SIMAK'!$A$2:$R$1272,7,FALSE)+IF(ISNA(VLOOKUP($A409,'Mutasi Neraca'!$A$3:$S$910,7,FALSE)),0,VLOOKUP($A409,'Mutasi Neraca'!$A$3:$S$910,7,FALSE))</f>
        <v>0</v>
      </c>
      <c r="I409" s="42">
        <f>VLOOKUP($A409,'Neraca Unaudited SIMAK'!$A$2:$R$1272,8,FALSE)+IF(ISNA(VLOOKUP($A409,'Mutasi Neraca'!$A$3:$S$910,8,FALSE)),0,VLOOKUP($A409,'Mutasi Neraca'!$A$3:$S$910,8,FALSE))</f>
        <v>1951181</v>
      </c>
      <c r="J409" s="42">
        <f>VLOOKUP($A409,'Neraca Unaudited SIMAK'!$A$2:$R$1272,9,FALSE)+IF(ISNA(VLOOKUP($A409,'Mutasi Neraca'!$A$3:$S$910,9,FALSE)),0,VLOOKUP($A409,'Mutasi Neraca'!$A$3:$S$910,9,FALSE))</f>
        <v>0</v>
      </c>
      <c r="K409" s="42">
        <f>VLOOKUP($A409,'Neraca Unaudited SIMAK'!$A$2:$R$1272,10,FALSE)+IF(ISNA(VLOOKUP($A409,'Mutasi Neraca'!$A$3:$S$910,10,FALSE)),0,VLOOKUP($A409,'Mutasi Neraca'!$A$3:$S$910,10,FALSE))</f>
        <v>0</v>
      </c>
      <c r="L409" s="42">
        <f>VLOOKUP($A409,'Neraca Unaudited SIMAK'!$A$2:$R$1272,11,FALSE)+IF(ISNA(VLOOKUP($A409,'Mutasi Neraca'!$A$3:$S$910,11,FALSE)),0,VLOOKUP($A409,'Mutasi Neraca'!$A$3:$S$910,11,FALSE))</f>
        <v>0</v>
      </c>
      <c r="M409" s="42">
        <f>VLOOKUP($A409,'Neraca Unaudited SIMAK'!$A$2:$R$1272,12,FALSE)+IF(ISNA(VLOOKUP($A409,'Mutasi Neraca'!$A$3:$S$910,12,FALSE)),0,VLOOKUP($A409,'Mutasi Neraca'!$A$3:$S$910,12,FALSE))</f>
        <v>4666672485</v>
      </c>
      <c r="N409" s="42">
        <f>VLOOKUP($A409,'Neraca Unaudited SIMAK'!$A$2:$R$1272,13,FALSE)+IF(ISNA(VLOOKUP($A409,'Mutasi Neraca'!$A$3:$S$910,13,FALSE)),0,VLOOKUP($A409,'Mutasi Neraca'!$A$3:$S$910,13,FALSE))</f>
        <v>-947958084</v>
      </c>
      <c r="O409" s="42">
        <f>VLOOKUP($A409,'Neraca Unaudited SIMAK'!$A$2:$R$1272,14,FALSE)+IF(ISNA(VLOOKUP($A409,'Mutasi Neraca'!$A$3:$S$910,14,FALSE)),0,VLOOKUP($A409,'Mutasi Neraca'!$A$3:$S$910,14,FALSE))</f>
        <v>-1589874204</v>
      </c>
      <c r="P409" s="42">
        <f>VLOOKUP($A409,'Neraca Unaudited SIMAK'!$A$2:$R$1272,15,FALSE)+IF(ISNA(VLOOKUP($A409,'Mutasi Neraca'!$A$3:$S$910,15,FALSE)),0,VLOOKUP($A409,'Mutasi Neraca'!$A$3:$S$910,15,FALSE))</f>
        <v>0</v>
      </c>
      <c r="Q409" s="42">
        <f>VLOOKUP($A409,'Neraca Unaudited SIMAK'!$A$2:$R$1272,16,FALSE)+IF(ISNA(VLOOKUP($A409,'Mutasi Neraca'!$A$3:$S$910,16,FALSE)),0,VLOOKUP($A409,'Mutasi Neraca'!$A$3:$S$910,16,FALSE))</f>
        <v>0</v>
      </c>
      <c r="R409" s="42">
        <f>VLOOKUP($A409,'Neraca Unaudited SIMAK'!$A$2:$R$1272,17,FALSE)+IF(ISNA(VLOOKUP($A409,'Mutasi Neraca'!$A$3:$S$910,17,FALSE)),0,VLOOKUP($A409,'Mutasi Neraca'!$A$3:$S$910,17,FALSE))</f>
        <v>0</v>
      </c>
      <c r="S409" s="42">
        <f t="shared" si="55"/>
        <v>2128840197</v>
      </c>
    </row>
    <row r="410" spans="1:19">
      <c r="A410" s="41" t="s">
        <v>417</v>
      </c>
      <c r="B410" s="41" t="str">
        <f t="shared" si="54"/>
        <v>005011100</v>
      </c>
      <c r="D410" s="42">
        <f>VLOOKUP($A410,'Neraca Unaudited SIMAK'!$A$2:$R$1272,3,FALSE)+IF(ISNA(VLOOKUP($A410,'Mutasi Neraca'!$A$3:$S$910,3,FALSE)),0,VLOOKUP($A410,'Mutasi Neraca'!$A$3:$S$910,3,FALSE))</f>
        <v>1441110</v>
      </c>
      <c r="E410" s="42">
        <f>VLOOKUP($A410,'Neraca Unaudited SIMAK'!$A$2:$R$1272,4,FALSE)+IF(ISNA(VLOOKUP($A410,'Mutasi Neraca'!$A$3:$S$910,4,FALSE)),0,VLOOKUP($A410,'Mutasi Neraca'!$A$3:$S$910,4,FALSE))</f>
        <v>1755420000</v>
      </c>
      <c r="F410" s="42">
        <f>VLOOKUP($A410,'Neraca Unaudited SIMAK'!$A$2:$R$1272,5,FALSE)+IF(ISNA(VLOOKUP($A410,'Mutasi Neraca'!$A$3:$S$910,5,FALSE)),0,VLOOKUP($A410,'Mutasi Neraca'!$A$3:$S$910,5,FALSE))</f>
        <v>2034703928</v>
      </c>
      <c r="G410" s="42">
        <f>VLOOKUP($A410,'Neraca Unaudited SIMAK'!$A$2:$R$1272,6,FALSE)+IF(ISNA(VLOOKUP($A410,'Mutasi Neraca'!$A$3:$S$910,6,FALSE)),0,VLOOKUP($A410,'Mutasi Neraca'!$A$3:$S$910,6,FALSE))</f>
        <v>5589825946</v>
      </c>
      <c r="H410" s="42">
        <f>VLOOKUP($A410,'Neraca Unaudited SIMAK'!$A$2:$R$1272,7,FALSE)+IF(ISNA(VLOOKUP($A410,'Mutasi Neraca'!$A$3:$S$910,7,FALSE)),0,VLOOKUP($A410,'Mutasi Neraca'!$A$3:$S$910,7,FALSE))</f>
        <v>100050000</v>
      </c>
      <c r="I410" s="42">
        <f>VLOOKUP($A410,'Neraca Unaudited SIMAK'!$A$2:$R$1272,8,FALSE)+IF(ISNA(VLOOKUP($A410,'Mutasi Neraca'!$A$3:$S$910,8,FALSE)),0,VLOOKUP($A410,'Mutasi Neraca'!$A$3:$S$910,8,FALSE))</f>
        <v>118184541</v>
      </c>
      <c r="J410" s="42">
        <f>VLOOKUP($A410,'Neraca Unaudited SIMAK'!$A$2:$R$1272,9,FALSE)+IF(ISNA(VLOOKUP($A410,'Mutasi Neraca'!$A$3:$S$910,9,FALSE)),0,VLOOKUP($A410,'Mutasi Neraca'!$A$3:$S$910,9,FALSE))</f>
        <v>5577956442</v>
      </c>
      <c r="K410" s="42">
        <f>VLOOKUP($A410,'Neraca Unaudited SIMAK'!$A$2:$R$1272,10,FALSE)+IF(ISNA(VLOOKUP($A410,'Mutasi Neraca'!$A$3:$S$910,10,FALSE)),0,VLOOKUP($A410,'Mutasi Neraca'!$A$3:$S$910,10,FALSE))</f>
        <v>0</v>
      </c>
      <c r="L410" s="42">
        <f>VLOOKUP($A410,'Neraca Unaudited SIMAK'!$A$2:$R$1272,11,FALSE)+IF(ISNA(VLOOKUP($A410,'Mutasi Neraca'!$A$3:$S$910,11,FALSE)),0,VLOOKUP($A410,'Mutasi Neraca'!$A$3:$S$910,11,FALSE))</f>
        <v>146812327</v>
      </c>
      <c r="M410" s="42">
        <f>VLOOKUP($A410,'Neraca Unaudited SIMAK'!$A$2:$R$1272,12,FALSE)+IF(ISNA(VLOOKUP($A410,'Mutasi Neraca'!$A$3:$S$910,12,FALSE)),0,VLOOKUP($A410,'Mutasi Neraca'!$A$3:$S$910,12,FALSE))</f>
        <v>15324394294</v>
      </c>
      <c r="N410" s="42">
        <f>VLOOKUP($A410,'Neraca Unaudited SIMAK'!$A$2:$R$1272,13,FALSE)+IF(ISNA(VLOOKUP($A410,'Mutasi Neraca'!$A$3:$S$910,13,FALSE)),0,VLOOKUP($A410,'Mutasi Neraca'!$A$3:$S$910,13,FALSE))</f>
        <v>-1586232736</v>
      </c>
      <c r="O410" s="42">
        <f>VLOOKUP($A410,'Neraca Unaudited SIMAK'!$A$2:$R$1272,14,FALSE)+IF(ISNA(VLOOKUP($A410,'Mutasi Neraca'!$A$3:$S$910,14,FALSE)),0,VLOOKUP($A410,'Mutasi Neraca'!$A$3:$S$910,14,FALSE))</f>
        <v>-3828250393</v>
      </c>
      <c r="P410" s="42">
        <f>VLOOKUP($A410,'Neraca Unaudited SIMAK'!$A$2:$R$1272,15,FALSE)+IF(ISNA(VLOOKUP($A410,'Mutasi Neraca'!$A$3:$S$910,15,FALSE)),0,VLOOKUP($A410,'Mutasi Neraca'!$A$3:$S$910,15,FALSE))</f>
        <v>-11599377</v>
      </c>
      <c r="Q410" s="42">
        <f>VLOOKUP($A410,'Neraca Unaudited SIMAK'!$A$2:$R$1272,16,FALSE)+IF(ISNA(VLOOKUP($A410,'Mutasi Neraca'!$A$3:$S$910,16,FALSE)),0,VLOOKUP($A410,'Mutasi Neraca'!$A$3:$S$910,16,FALSE))</f>
        <v>0</v>
      </c>
      <c r="R410" s="42">
        <f>VLOOKUP($A410,'Neraca Unaudited SIMAK'!$A$2:$R$1272,17,FALSE)+IF(ISNA(VLOOKUP($A410,'Mutasi Neraca'!$A$3:$S$910,17,FALSE)),0,VLOOKUP($A410,'Mutasi Neraca'!$A$3:$S$910,17,FALSE))</f>
        <v>-143340327</v>
      </c>
      <c r="S410" s="42">
        <f t="shared" si="55"/>
        <v>9754971461</v>
      </c>
    </row>
    <row r="411" spans="1:19">
      <c r="A411" s="41" t="s">
        <v>418</v>
      </c>
      <c r="B411" s="41" t="str">
        <f t="shared" si="54"/>
        <v>005011100</v>
      </c>
      <c r="D411" s="42">
        <f>VLOOKUP($A411,'Neraca Unaudited SIMAK'!$A$2:$R$1272,3,FALSE)+IF(ISNA(VLOOKUP($A411,'Mutasi Neraca'!$A$3:$S$910,3,FALSE)),0,VLOOKUP($A411,'Mutasi Neraca'!$A$3:$S$910,3,FALSE))</f>
        <v>2093000</v>
      </c>
      <c r="E411" s="42">
        <f>VLOOKUP($A411,'Neraca Unaudited SIMAK'!$A$2:$R$1272,4,FALSE)+IF(ISNA(VLOOKUP($A411,'Mutasi Neraca'!$A$3:$S$910,4,FALSE)),0,VLOOKUP($A411,'Mutasi Neraca'!$A$3:$S$910,4,FALSE))</f>
        <v>2213745000</v>
      </c>
      <c r="F411" s="42">
        <f>VLOOKUP($A411,'Neraca Unaudited SIMAK'!$A$2:$R$1272,5,FALSE)+IF(ISNA(VLOOKUP($A411,'Mutasi Neraca'!$A$3:$S$910,5,FALSE)),0,VLOOKUP($A411,'Mutasi Neraca'!$A$3:$S$910,5,FALSE))</f>
        <v>1965081412</v>
      </c>
      <c r="G411" s="42">
        <f>VLOOKUP($A411,'Neraca Unaudited SIMAK'!$A$2:$R$1272,6,FALSE)+IF(ISNA(VLOOKUP($A411,'Mutasi Neraca'!$A$3:$S$910,6,FALSE)),0,VLOOKUP($A411,'Mutasi Neraca'!$A$3:$S$910,6,FALSE))</f>
        <v>2472250000</v>
      </c>
      <c r="H411" s="42">
        <f>VLOOKUP($A411,'Neraca Unaudited SIMAK'!$A$2:$R$1272,7,FALSE)+IF(ISNA(VLOOKUP($A411,'Mutasi Neraca'!$A$3:$S$910,7,FALSE)),0,VLOOKUP($A411,'Mutasi Neraca'!$A$3:$S$910,7,FALSE))</f>
        <v>14500000</v>
      </c>
      <c r="I411" s="42">
        <f>VLOOKUP($A411,'Neraca Unaudited SIMAK'!$A$2:$R$1272,8,FALSE)+IF(ISNA(VLOOKUP($A411,'Mutasi Neraca'!$A$3:$S$910,8,FALSE)),0,VLOOKUP($A411,'Mutasi Neraca'!$A$3:$S$910,8,FALSE))</f>
        <v>4798000</v>
      </c>
      <c r="J411" s="42">
        <f>VLOOKUP($A411,'Neraca Unaudited SIMAK'!$A$2:$R$1272,9,FALSE)+IF(ISNA(VLOOKUP($A411,'Mutasi Neraca'!$A$3:$S$910,9,FALSE)),0,VLOOKUP($A411,'Mutasi Neraca'!$A$3:$S$910,9,FALSE))</f>
        <v>0</v>
      </c>
      <c r="K411" s="42">
        <f>VLOOKUP($A411,'Neraca Unaudited SIMAK'!$A$2:$R$1272,10,FALSE)+IF(ISNA(VLOOKUP($A411,'Mutasi Neraca'!$A$3:$S$910,10,FALSE)),0,VLOOKUP($A411,'Mutasi Neraca'!$A$3:$S$910,10,FALSE))</f>
        <v>37620000</v>
      </c>
      <c r="L411" s="42">
        <f>VLOOKUP($A411,'Neraca Unaudited SIMAK'!$A$2:$R$1272,11,FALSE)+IF(ISNA(VLOOKUP($A411,'Mutasi Neraca'!$A$3:$S$910,11,FALSE)),0,VLOOKUP($A411,'Mutasi Neraca'!$A$3:$S$910,11,FALSE))</f>
        <v>0</v>
      </c>
      <c r="M411" s="42">
        <f>VLOOKUP($A411,'Neraca Unaudited SIMAK'!$A$2:$R$1272,12,FALSE)+IF(ISNA(VLOOKUP($A411,'Mutasi Neraca'!$A$3:$S$910,12,FALSE)),0,VLOOKUP($A411,'Mutasi Neraca'!$A$3:$S$910,12,FALSE))</f>
        <v>6710087412</v>
      </c>
      <c r="N411" s="42">
        <f>VLOOKUP($A411,'Neraca Unaudited SIMAK'!$A$2:$R$1272,13,FALSE)+IF(ISNA(VLOOKUP($A411,'Mutasi Neraca'!$A$3:$S$910,13,FALSE)),0,VLOOKUP($A411,'Mutasi Neraca'!$A$3:$S$910,13,FALSE))</f>
        <v>-1824054512</v>
      </c>
      <c r="O411" s="42">
        <f>VLOOKUP($A411,'Neraca Unaudited SIMAK'!$A$2:$R$1272,14,FALSE)+IF(ISNA(VLOOKUP($A411,'Mutasi Neraca'!$A$3:$S$910,14,FALSE)),0,VLOOKUP($A411,'Mutasi Neraca'!$A$3:$S$910,14,FALSE))</f>
        <v>-1593750000</v>
      </c>
      <c r="P411" s="42">
        <f>VLOOKUP($A411,'Neraca Unaudited SIMAK'!$A$2:$R$1272,15,FALSE)+IF(ISNA(VLOOKUP($A411,'Mutasi Neraca'!$A$3:$S$910,15,FALSE)),0,VLOOKUP($A411,'Mutasi Neraca'!$A$3:$S$910,15,FALSE))</f>
        <v>-14340000</v>
      </c>
      <c r="Q411" s="42">
        <f>VLOOKUP($A411,'Neraca Unaudited SIMAK'!$A$2:$R$1272,16,FALSE)+IF(ISNA(VLOOKUP($A411,'Mutasi Neraca'!$A$3:$S$910,16,FALSE)),0,VLOOKUP($A411,'Mutasi Neraca'!$A$3:$S$910,16,FALSE))</f>
        <v>0</v>
      </c>
      <c r="R411" s="42">
        <f>VLOOKUP($A411,'Neraca Unaudited SIMAK'!$A$2:$R$1272,17,FALSE)+IF(ISNA(VLOOKUP($A411,'Mutasi Neraca'!$A$3:$S$910,17,FALSE)),0,VLOOKUP($A411,'Mutasi Neraca'!$A$3:$S$910,17,FALSE))</f>
        <v>0</v>
      </c>
      <c r="S411" s="42">
        <f t="shared" si="55"/>
        <v>3277942900</v>
      </c>
    </row>
    <row r="412" spans="1:19">
      <c r="A412" s="41" t="s">
        <v>419</v>
      </c>
      <c r="B412" s="41" t="str">
        <f t="shared" si="54"/>
        <v>005011100</v>
      </c>
      <c r="D412" s="42">
        <f>VLOOKUP($A412,'Neraca Unaudited SIMAK'!$A$2:$R$1272,3,FALSE)+IF(ISNA(VLOOKUP($A412,'Mutasi Neraca'!$A$3:$S$910,3,FALSE)),0,VLOOKUP($A412,'Mutasi Neraca'!$A$3:$S$910,3,FALSE))</f>
        <v>263057</v>
      </c>
      <c r="E412" s="42">
        <f>VLOOKUP($A412,'Neraca Unaudited SIMAK'!$A$2:$R$1272,4,FALSE)+IF(ISNA(VLOOKUP($A412,'Mutasi Neraca'!$A$3:$S$910,4,FALSE)),0,VLOOKUP($A412,'Mutasi Neraca'!$A$3:$S$910,4,FALSE))</f>
        <v>3093542000</v>
      </c>
      <c r="F412" s="42">
        <f>VLOOKUP($A412,'Neraca Unaudited SIMAK'!$A$2:$R$1272,5,FALSE)+IF(ISNA(VLOOKUP($A412,'Mutasi Neraca'!$A$3:$S$910,5,FALSE)),0,VLOOKUP($A412,'Mutasi Neraca'!$A$3:$S$910,5,FALSE))</f>
        <v>1772319525</v>
      </c>
      <c r="G412" s="42">
        <f>VLOOKUP($A412,'Neraca Unaudited SIMAK'!$A$2:$R$1272,6,FALSE)+IF(ISNA(VLOOKUP($A412,'Mutasi Neraca'!$A$3:$S$910,6,FALSE)),0,VLOOKUP($A412,'Mutasi Neraca'!$A$3:$S$910,6,FALSE))</f>
        <v>2802930000</v>
      </c>
      <c r="H412" s="42">
        <f>VLOOKUP($A412,'Neraca Unaudited SIMAK'!$A$2:$R$1272,7,FALSE)+IF(ISNA(VLOOKUP($A412,'Mutasi Neraca'!$A$3:$S$910,7,FALSE)),0,VLOOKUP($A412,'Mutasi Neraca'!$A$3:$S$910,7,FALSE))</f>
        <v>0</v>
      </c>
      <c r="I412" s="42">
        <f>VLOOKUP($A412,'Neraca Unaudited SIMAK'!$A$2:$R$1272,8,FALSE)+IF(ISNA(VLOOKUP($A412,'Mutasi Neraca'!$A$3:$S$910,8,FALSE)),0,VLOOKUP($A412,'Mutasi Neraca'!$A$3:$S$910,8,FALSE))</f>
        <v>10934440</v>
      </c>
      <c r="J412" s="42">
        <f>VLOOKUP($A412,'Neraca Unaudited SIMAK'!$A$2:$R$1272,9,FALSE)+IF(ISNA(VLOOKUP($A412,'Mutasi Neraca'!$A$3:$S$910,9,FALSE)),0,VLOOKUP($A412,'Mutasi Neraca'!$A$3:$S$910,9,FALSE))</f>
        <v>3360690500</v>
      </c>
      <c r="K412" s="42">
        <f>VLOOKUP($A412,'Neraca Unaudited SIMAK'!$A$2:$R$1272,10,FALSE)+IF(ISNA(VLOOKUP($A412,'Mutasi Neraca'!$A$3:$S$910,10,FALSE)),0,VLOOKUP($A412,'Mutasi Neraca'!$A$3:$S$910,10,FALSE))</f>
        <v>0</v>
      </c>
      <c r="L412" s="42">
        <f>VLOOKUP($A412,'Neraca Unaudited SIMAK'!$A$2:$R$1272,11,FALSE)+IF(ISNA(VLOOKUP($A412,'Mutasi Neraca'!$A$3:$S$910,11,FALSE)),0,VLOOKUP($A412,'Mutasi Neraca'!$A$3:$S$910,11,FALSE))</f>
        <v>0</v>
      </c>
      <c r="M412" s="42">
        <f>VLOOKUP($A412,'Neraca Unaudited SIMAK'!$A$2:$R$1272,12,FALSE)+IF(ISNA(VLOOKUP($A412,'Mutasi Neraca'!$A$3:$S$910,12,FALSE)),0,VLOOKUP($A412,'Mutasi Neraca'!$A$3:$S$910,12,FALSE))</f>
        <v>11040679522</v>
      </c>
      <c r="N412" s="42">
        <f>VLOOKUP($A412,'Neraca Unaudited SIMAK'!$A$2:$R$1272,13,FALSE)+IF(ISNA(VLOOKUP($A412,'Mutasi Neraca'!$A$3:$S$910,13,FALSE)),0,VLOOKUP($A412,'Mutasi Neraca'!$A$3:$S$910,13,FALSE))</f>
        <v>-1589170292</v>
      </c>
      <c r="O412" s="42">
        <f>VLOOKUP($A412,'Neraca Unaudited SIMAK'!$A$2:$R$1272,14,FALSE)+IF(ISNA(VLOOKUP($A412,'Mutasi Neraca'!$A$3:$S$910,14,FALSE)),0,VLOOKUP($A412,'Mutasi Neraca'!$A$3:$S$910,14,FALSE))</f>
        <v>-1699958990</v>
      </c>
      <c r="P412" s="42">
        <f>VLOOKUP($A412,'Neraca Unaudited SIMAK'!$A$2:$R$1272,15,FALSE)+IF(ISNA(VLOOKUP($A412,'Mutasi Neraca'!$A$3:$S$910,15,FALSE)),0,VLOOKUP($A412,'Mutasi Neraca'!$A$3:$S$910,15,FALSE))</f>
        <v>0</v>
      </c>
      <c r="Q412" s="42">
        <f>VLOOKUP($A412,'Neraca Unaudited SIMAK'!$A$2:$R$1272,16,FALSE)+IF(ISNA(VLOOKUP($A412,'Mutasi Neraca'!$A$3:$S$910,16,FALSE)),0,VLOOKUP($A412,'Mutasi Neraca'!$A$3:$S$910,16,FALSE))</f>
        <v>0</v>
      </c>
      <c r="R412" s="42">
        <f>VLOOKUP($A412,'Neraca Unaudited SIMAK'!$A$2:$R$1272,17,FALSE)+IF(ISNA(VLOOKUP($A412,'Mutasi Neraca'!$A$3:$S$910,17,FALSE)),0,VLOOKUP($A412,'Mutasi Neraca'!$A$3:$S$910,17,FALSE))</f>
        <v>0</v>
      </c>
      <c r="S412" s="42">
        <f t="shared" si="55"/>
        <v>7751550240</v>
      </c>
    </row>
    <row r="413" spans="1:19">
      <c r="A413" s="41" t="s">
        <v>420</v>
      </c>
      <c r="B413" s="41" t="str">
        <f t="shared" si="54"/>
        <v>005011100</v>
      </c>
      <c r="D413" s="42">
        <f>VLOOKUP($A413,'Neraca Unaudited SIMAK'!$A$2:$R$1272,3,FALSE)+IF(ISNA(VLOOKUP($A413,'Mutasi Neraca'!$A$3:$S$910,3,FALSE)),0,VLOOKUP($A413,'Mutasi Neraca'!$A$3:$S$910,3,FALSE))</f>
        <v>9687999</v>
      </c>
      <c r="E413" s="42">
        <f>VLOOKUP($A413,'Neraca Unaudited SIMAK'!$A$2:$R$1272,4,FALSE)+IF(ISNA(VLOOKUP($A413,'Mutasi Neraca'!$A$3:$S$910,4,FALSE)),0,VLOOKUP($A413,'Mutasi Neraca'!$A$3:$S$910,4,FALSE))</f>
        <v>6586504000</v>
      </c>
      <c r="F413" s="42">
        <f>VLOOKUP($A413,'Neraca Unaudited SIMAK'!$A$2:$R$1272,5,FALSE)+IF(ISNA(VLOOKUP($A413,'Mutasi Neraca'!$A$3:$S$910,5,FALSE)),0,VLOOKUP($A413,'Mutasi Neraca'!$A$3:$S$910,5,FALSE))</f>
        <v>3078822594</v>
      </c>
      <c r="G413" s="42">
        <f>VLOOKUP($A413,'Neraca Unaudited SIMAK'!$A$2:$R$1272,6,FALSE)+IF(ISNA(VLOOKUP($A413,'Mutasi Neraca'!$A$3:$S$910,6,FALSE)),0,VLOOKUP($A413,'Mutasi Neraca'!$A$3:$S$910,6,FALSE))</f>
        <v>4469909700</v>
      </c>
      <c r="H413" s="42">
        <f>VLOOKUP($A413,'Neraca Unaudited SIMAK'!$A$2:$R$1272,7,FALSE)+IF(ISNA(VLOOKUP($A413,'Mutasi Neraca'!$A$3:$S$910,7,FALSE)),0,VLOOKUP($A413,'Mutasi Neraca'!$A$3:$S$910,7,FALSE))</f>
        <v>0</v>
      </c>
      <c r="I413" s="42">
        <f>VLOOKUP($A413,'Neraca Unaudited SIMAK'!$A$2:$R$1272,8,FALSE)+IF(ISNA(VLOOKUP($A413,'Mutasi Neraca'!$A$3:$S$910,8,FALSE)),0,VLOOKUP($A413,'Mutasi Neraca'!$A$3:$S$910,8,FALSE))</f>
        <v>66334050</v>
      </c>
      <c r="J413" s="42">
        <f>VLOOKUP($A413,'Neraca Unaudited SIMAK'!$A$2:$R$1272,9,FALSE)+IF(ISNA(VLOOKUP($A413,'Mutasi Neraca'!$A$3:$S$910,9,FALSE)),0,VLOOKUP($A413,'Mutasi Neraca'!$A$3:$S$910,9,FALSE))</f>
        <v>0</v>
      </c>
      <c r="K413" s="42">
        <f>VLOOKUP($A413,'Neraca Unaudited SIMAK'!$A$2:$R$1272,10,FALSE)+IF(ISNA(VLOOKUP($A413,'Mutasi Neraca'!$A$3:$S$910,10,FALSE)),0,VLOOKUP($A413,'Mutasi Neraca'!$A$3:$S$910,10,FALSE))</f>
        <v>30300000</v>
      </c>
      <c r="L413" s="42">
        <f>VLOOKUP($A413,'Neraca Unaudited SIMAK'!$A$2:$R$1272,11,FALSE)+IF(ISNA(VLOOKUP($A413,'Mutasi Neraca'!$A$3:$S$910,11,FALSE)),0,VLOOKUP($A413,'Mutasi Neraca'!$A$3:$S$910,11,FALSE))</f>
        <v>22811000</v>
      </c>
      <c r="M413" s="42">
        <f>VLOOKUP($A413,'Neraca Unaudited SIMAK'!$A$2:$R$1272,12,FALSE)+IF(ISNA(VLOOKUP($A413,'Mutasi Neraca'!$A$3:$S$910,12,FALSE)),0,VLOOKUP($A413,'Mutasi Neraca'!$A$3:$S$910,12,FALSE))</f>
        <v>14264369343</v>
      </c>
      <c r="N413" s="42">
        <f>VLOOKUP($A413,'Neraca Unaudited SIMAK'!$A$2:$R$1272,13,FALSE)+IF(ISNA(VLOOKUP($A413,'Mutasi Neraca'!$A$3:$S$910,13,FALSE)),0,VLOOKUP($A413,'Mutasi Neraca'!$A$3:$S$910,13,FALSE))</f>
        <v>-2892875909</v>
      </c>
      <c r="O413" s="42">
        <f>VLOOKUP($A413,'Neraca Unaudited SIMAK'!$A$2:$R$1272,14,FALSE)+IF(ISNA(VLOOKUP($A413,'Mutasi Neraca'!$A$3:$S$910,14,FALSE)),0,VLOOKUP($A413,'Mutasi Neraca'!$A$3:$S$910,14,FALSE))</f>
        <v>-943259214</v>
      </c>
      <c r="P413" s="42">
        <f>VLOOKUP($A413,'Neraca Unaudited SIMAK'!$A$2:$R$1272,15,FALSE)+IF(ISNA(VLOOKUP($A413,'Mutasi Neraca'!$A$3:$S$910,15,FALSE)),0,VLOOKUP($A413,'Mutasi Neraca'!$A$3:$S$910,15,FALSE))</f>
        <v>0</v>
      </c>
      <c r="Q413" s="42">
        <f>VLOOKUP($A413,'Neraca Unaudited SIMAK'!$A$2:$R$1272,16,FALSE)+IF(ISNA(VLOOKUP($A413,'Mutasi Neraca'!$A$3:$S$910,16,FALSE)),0,VLOOKUP($A413,'Mutasi Neraca'!$A$3:$S$910,16,FALSE))</f>
        <v>0</v>
      </c>
      <c r="R413" s="42">
        <f>VLOOKUP($A413,'Neraca Unaudited SIMAK'!$A$2:$R$1272,17,FALSE)+IF(ISNA(VLOOKUP($A413,'Mutasi Neraca'!$A$3:$S$910,17,FALSE)),0,VLOOKUP($A413,'Mutasi Neraca'!$A$3:$S$910,17,FALSE))</f>
        <v>-22811000</v>
      </c>
      <c r="S413" s="42">
        <f t="shared" si="55"/>
        <v>10405423220</v>
      </c>
    </row>
    <row r="414" spans="1:19">
      <c r="A414" s="41" t="s">
        <v>421</v>
      </c>
      <c r="B414" s="41" t="str">
        <f t="shared" si="54"/>
        <v>005011100</v>
      </c>
      <c r="D414" s="42">
        <f>VLOOKUP($A414,'Neraca Unaudited SIMAK'!$A$2:$R$1272,3,FALSE)+IF(ISNA(VLOOKUP($A414,'Mutasi Neraca'!$A$3:$S$910,3,FALSE)),0,VLOOKUP($A414,'Mutasi Neraca'!$A$3:$S$910,3,FALSE))</f>
        <v>4705000</v>
      </c>
      <c r="E414" s="42">
        <f>VLOOKUP($A414,'Neraca Unaudited SIMAK'!$A$2:$R$1272,4,FALSE)+IF(ISNA(VLOOKUP($A414,'Mutasi Neraca'!$A$3:$S$910,4,FALSE)),0,VLOOKUP($A414,'Mutasi Neraca'!$A$3:$S$910,4,FALSE))</f>
        <v>863400000</v>
      </c>
      <c r="F414" s="42">
        <f>VLOOKUP($A414,'Neraca Unaudited SIMAK'!$A$2:$R$1272,5,FALSE)+IF(ISNA(VLOOKUP($A414,'Mutasi Neraca'!$A$3:$S$910,5,FALSE)),0,VLOOKUP($A414,'Mutasi Neraca'!$A$3:$S$910,5,FALSE))</f>
        <v>1640602916</v>
      </c>
      <c r="G414" s="42">
        <f>VLOOKUP($A414,'Neraca Unaudited SIMAK'!$A$2:$R$1272,6,FALSE)+IF(ISNA(VLOOKUP($A414,'Mutasi Neraca'!$A$3:$S$910,6,FALSE)),0,VLOOKUP($A414,'Mutasi Neraca'!$A$3:$S$910,6,FALSE))</f>
        <v>3151785000</v>
      </c>
      <c r="H414" s="42">
        <f>VLOOKUP($A414,'Neraca Unaudited SIMAK'!$A$2:$R$1272,7,FALSE)+IF(ISNA(VLOOKUP($A414,'Mutasi Neraca'!$A$3:$S$910,7,FALSE)),0,VLOOKUP($A414,'Mutasi Neraca'!$A$3:$S$910,7,FALSE))</f>
        <v>140000</v>
      </c>
      <c r="I414" s="42">
        <f>VLOOKUP($A414,'Neraca Unaudited SIMAK'!$A$2:$R$1272,8,FALSE)+IF(ISNA(VLOOKUP($A414,'Mutasi Neraca'!$A$3:$S$910,8,FALSE)),0,VLOOKUP($A414,'Mutasi Neraca'!$A$3:$S$910,8,FALSE))</f>
        <v>5846500</v>
      </c>
      <c r="J414" s="42">
        <f>VLOOKUP($A414,'Neraca Unaudited SIMAK'!$A$2:$R$1272,9,FALSE)+IF(ISNA(VLOOKUP($A414,'Mutasi Neraca'!$A$3:$S$910,9,FALSE)),0,VLOOKUP($A414,'Mutasi Neraca'!$A$3:$S$910,9,FALSE))</f>
        <v>0</v>
      </c>
      <c r="K414" s="42">
        <f>VLOOKUP($A414,'Neraca Unaudited SIMAK'!$A$2:$R$1272,10,FALSE)+IF(ISNA(VLOOKUP($A414,'Mutasi Neraca'!$A$3:$S$910,10,FALSE)),0,VLOOKUP($A414,'Mutasi Neraca'!$A$3:$S$910,10,FALSE))</f>
        <v>29548617</v>
      </c>
      <c r="L414" s="42">
        <f>VLOOKUP($A414,'Neraca Unaudited SIMAK'!$A$2:$R$1272,11,FALSE)+IF(ISNA(VLOOKUP($A414,'Mutasi Neraca'!$A$3:$S$910,11,FALSE)),0,VLOOKUP($A414,'Mutasi Neraca'!$A$3:$S$910,11,FALSE))</f>
        <v>43018181</v>
      </c>
      <c r="M414" s="42">
        <f>VLOOKUP($A414,'Neraca Unaudited SIMAK'!$A$2:$R$1272,12,FALSE)+IF(ISNA(VLOOKUP($A414,'Mutasi Neraca'!$A$3:$S$910,12,FALSE)),0,VLOOKUP($A414,'Mutasi Neraca'!$A$3:$S$910,12,FALSE))</f>
        <v>5739046214</v>
      </c>
      <c r="N414" s="42">
        <f>VLOOKUP($A414,'Neraca Unaudited SIMAK'!$A$2:$R$1272,13,FALSE)+IF(ISNA(VLOOKUP($A414,'Mutasi Neraca'!$A$3:$S$910,13,FALSE)),0,VLOOKUP($A414,'Mutasi Neraca'!$A$3:$S$910,13,FALSE))</f>
        <v>-1344370176</v>
      </c>
      <c r="O414" s="42">
        <f>VLOOKUP($A414,'Neraca Unaudited SIMAK'!$A$2:$R$1272,14,FALSE)+IF(ISNA(VLOOKUP($A414,'Mutasi Neraca'!$A$3:$S$910,14,FALSE)),0,VLOOKUP($A414,'Mutasi Neraca'!$A$3:$S$910,14,FALSE))</f>
        <v>-230276677</v>
      </c>
      <c r="P414" s="42">
        <f>VLOOKUP($A414,'Neraca Unaudited SIMAK'!$A$2:$R$1272,15,FALSE)+IF(ISNA(VLOOKUP($A414,'Mutasi Neraca'!$A$3:$S$910,15,FALSE)),0,VLOOKUP($A414,'Mutasi Neraca'!$A$3:$S$910,15,FALSE))</f>
        <v>-63000</v>
      </c>
      <c r="Q414" s="42">
        <f>VLOOKUP($A414,'Neraca Unaudited SIMAK'!$A$2:$R$1272,16,FALSE)+IF(ISNA(VLOOKUP($A414,'Mutasi Neraca'!$A$3:$S$910,16,FALSE)),0,VLOOKUP($A414,'Mutasi Neraca'!$A$3:$S$910,16,FALSE))</f>
        <v>0</v>
      </c>
      <c r="R414" s="42">
        <f>VLOOKUP($A414,'Neraca Unaudited SIMAK'!$A$2:$R$1272,17,FALSE)+IF(ISNA(VLOOKUP($A414,'Mutasi Neraca'!$A$3:$S$910,17,FALSE)),0,VLOOKUP($A414,'Mutasi Neraca'!$A$3:$S$910,17,FALSE))</f>
        <v>-33268181</v>
      </c>
      <c r="S414" s="42">
        <f t="shared" si="55"/>
        <v>4131068180</v>
      </c>
    </row>
    <row r="415" spans="1:19">
      <c r="A415" s="41" t="s">
        <v>422</v>
      </c>
      <c r="B415" s="41" t="str">
        <f t="shared" si="54"/>
        <v>005011100</v>
      </c>
      <c r="D415" s="42">
        <f>VLOOKUP($A415,'Neraca Unaudited SIMAK'!$A$2:$R$1272,3,FALSE)+IF(ISNA(VLOOKUP($A415,'Mutasi Neraca'!$A$3:$S$910,3,FALSE)),0,VLOOKUP($A415,'Mutasi Neraca'!$A$3:$S$910,3,FALSE))</f>
        <v>597000</v>
      </c>
      <c r="E415" s="42">
        <f>VLOOKUP($A415,'Neraca Unaudited SIMAK'!$A$2:$R$1272,4,FALSE)+IF(ISNA(VLOOKUP($A415,'Mutasi Neraca'!$A$3:$S$910,4,FALSE)),0,VLOOKUP($A415,'Mutasi Neraca'!$A$3:$S$910,4,FALSE))</f>
        <v>266910000</v>
      </c>
      <c r="F415" s="42">
        <f>VLOOKUP($A415,'Neraca Unaudited SIMAK'!$A$2:$R$1272,5,FALSE)+IF(ISNA(VLOOKUP($A415,'Mutasi Neraca'!$A$3:$S$910,5,FALSE)),0,VLOOKUP($A415,'Mutasi Neraca'!$A$3:$S$910,5,FALSE))</f>
        <v>908331315</v>
      </c>
      <c r="G415" s="42">
        <f>VLOOKUP($A415,'Neraca Unaudited SIMAK'!$A$2:$R$1272,6,FALSE)+IF(ISNA(VLOOKUP($A415,'Mutasi Neraca'!$A$3:$S$910,6,FALSE)),0,VLOOKUP($A415,'Mutasi Neraca'!$A$3:$S$910,6,FALSE))</f>
        <v>2232225000</v>
      </c>
      <c r="H415" s="42">
        <f>VLOOKUP($A415,'Neraca Unaudited SIMAK'!$A$2:$R$1272,7,FALSE)+IF(ISNA(VLOOKUP($A415,'Mutasi Neraca'!$A$3:$S$910,7,FALSE)),0,VLOOKUP($A415,'Mutasi Neraca'!$A$3:$S$910,7,FALSE))</f>
        <v>113085209</v>
      </c>
      <c r="I415" s="42">
        <f>VLOOKUP($A415,'Neraca Unaudited SIMAK'!$A$2:$R$1272,8,FALSE)+IF(ISNA(VLOOKUP($A415,'Mutasi Neraca'!$A$3:$S$910,8,FALSE)),0,VLOOKUP($A415,'Mutasi Neraca'!$A$3:$S$910,8,FALSE))</f>
        <v>9738400</v>
      </c>
      <c r="J415" s="42">
        <f>VLOOKUP($A415,'Neraca Unaudited SIMAK'!$A$2:$R$1272,9,FALSE)+IF(ISNA(VLOOKUP($A415,'Mutasi Neraca'!$A$3:$S$910,9,FALSE)),0,VLOOKUP($A415,'Mutasi Neraca'!$A$3:$S$910,9,FALSE))</f>
        <v>0</v>
      </c>
      <c r="K415" s="42">
        <f>VLOOKUP($A415,'Neraca Unaudited SIMAK'!$A$2:$R$1272,10,FALSE)+IF(ISNA(VLOOKUP($A415,'Mutasi Neraca'!$A$3:$S$910,10,FALSE)),0,VLOOKUP($A415,'Mutasi Neraca'!$A$3:$S$910,10,FALSE))</f>
        <v>0</v>
      </c>
      <c r="L415" s="42">
        <f>VLOOKUP($A415,'Neraca Unaudited SIMAK'!$A$2:$R$1272,11,FALSE)+IF(ISNA(VLOOKUP($A415,'Mutasi Neraca'!$A$3:$S$910,11,FALSE)),0,VLOOKUP($A415,'Mutasi Neraca'!$A$3:$S$910,11,FALSE))</f>
        <v>7030000</v>
      </c>
      <c r="M415" s="42">
        <f>VLOOKUP($A415,'Neraca Unaudited SIMAK'!$A$2:$R$1272,12,FALSE)+IF(ISNA(VLOOKUP($A415,'Mutasi Neraca'!$A$3:$S$910,12,FALSE)),0,VLOOKUP($A415,'Mutasi Neraca'!$A$3:$S$910,12,FALSE))</f>
        <v>3537916924</v>
      </c>
      <c r="N415" s="42">
        <f>VLOOKUP($A415,'Neraca Unaudited SIMAK'!$A$2:$R$1272,13,FALSE)+IF(ISNA(VLOOKUP($A415,'Mutasi Neraca'!$A$3:$S$910,13,FALSE)),0,VLOOKUP($A415,'Mutasi Neraca'!$A$3:$S$910,13,FALSE))</f>
        <v>-778437881</v>
      </c>
      <c r="O415" s="42">
        <f>VLOOKUP($A415,'Neraca Unaudited SIMAK'!$A$2:$R$1272,14,FALSE)+IF(ISNA(VLOOKUP($A415,'Mutasi Neraca'!$A$3:$S$910,14,FALSE)),0,VLOOKUP($A415,'Mutasi Neraca'!$A$3:$S$910,14,FALSE))</f>
        <v>-288370870</v>
      </c>
      <c r="P415" s="42">
        <f>VLOOKUP($A415,'Neraca Unaudited SIMAK'!$A$2:$R$1272,15,FALSE)+IF(ISNA(VLOOKUP($A415,'Mutasi Neraca'!$A$3:$S$910,15,FALSE)),0,VLOOKUP($A415,'Mutasi Neraca'!$A$3:$S$910,15,FALSE))</f>
        <v>-72570773</v>
      </c>
      <c r="Q415" s="42">
        <f>VLOOKUP($A415,'Neraca Unaudited SIMAK'!$A$2:$R$1272,16,FALSE)+IF(ISNA(VLOOKUP($A415,'Mutasi Neraca'!$A$3:$S$910,16,FALSE)),0,VLOOKUP($A415,'Mutasi Neraca'!$A$3:$S$910,16,FALSE))</f>
        <v>0</v>
      </c>
      <c r="R415" s="42">
        <f>VLOOKUP($A415,'Neraca Unaudited SIMAK'!$A$2:$R$1272,17,FALSE)+IF(ISNA(VLOOKUP($A415,'Mutasi Neraca'!$A$3:$S$910,17,FALSE)),0,VLOOKUP($A415,'Mutasi Neraca'!$A$3:$S$910,17,FALSE))</f>
        <v>-6733000</v>
      </c>
      <c r="S415" s="42">
        <f t="shared" si="55"/>
        <v>2391804400</v>
      </c>
    </row>
    <row r="416" spans="1:19">
      <c r="A416" s="41" t="s">
        <v>423</v>
      </c>
      <c r="B416" s="41" t="str">
        <f t="shared" si="54"/>
        <v>005011100</v>
      </c>
      <c r="D416" s="42">
        <f>VLOOKUP($A416,'Neraca Unaudited SIMAK'!$A$2:$R$1272,3,FALSE)+IF(ISNA(VLOOKUP($A416,'Mutasi Neraca'!$A$3:$S$910,3,FALSE)),0,VLOOKUP($A416,'Mutasi Neraca'!$A$3:$S$910,3,FALSE))</f>
        <v>5652250</v>
      </c>
      <c r="E416" s="42">
        <f>VLOOKUP($A416,'Neraca Unaudited SIMAK'!$A$2:$R$1272,4,FALSE)+IF(ISNA(VLOOKUP($A416,'Mutasi Neraca'!$A$3:$S$910,4,FALSE)),0,VLOOKUP($A416,'Mutasi Neraca'!$A$3:$S$910,4,FALSE))</f>
        <v>1712402600</v>
      </c>
      <c r="F416" s="42">
        <f>VLOOKUP($A416,'Neraca Unaudited SIMAK'!$A$2:$R$1272,5,FALSE)+IF(ISNA(VLOOKUP($A416,'Mutasi Neraca'!$A$3:$S$910,5,FALSE)),0,VLOOKUP($A416,'Mutasi Neraca'!$A$3:$S$910,5,FALSE))</f>
        <v>1313910246</v>
      </c>
      <c r="G416" s="42">
        <f>VLOOKUP($A416,'Neraca Unaudited SIMAK'!$A$2:$R$1272,6,FALSE)+IF(ISNA(VLOOKUP($A416,'Mutasi Neraca'!$A$3:$S$910,6,FALSE)),0,VLOOKUP($A416,'Mutasi Neraca'!$A$3:$S$910,6,FALSE))</f>
        <v>5808412955</v>
      </c>
      <c r="H416" s="42">
        <f>VLOOKUP($A416,'Neraca Unaudited SIMAK'!$A$2:$R$1272,7,FALSE)+IF(ISNA(VLOOKUP($A416,'Mutasi Neraca'!$A$3:$S$910,7,FALSE)),0,VLOOKUP($A416,'Mutasi Neraca'!$A$3:$S$910,7,FALSE))</f>
        <v>11600000</v>
      </c>
      <c r="I416" s="42">
        <f>VLOOKUP($A416,'Neraca Unaudited SIMAK'!$A$2:$R$1272,8,FALSE)+IF(ISNA(VLOOKUP($A416,'Mutasi Neraca'!$A$3:$S$910,8,FALSE)),0,VLOOKUP($A416,'Mutasi Neraca'!$A$3:$S$910,8,FALSE))</f>
        <v>60966450</v>
      </c>
      <c r="J416" s="42">
        <f>VLOOKUP($A416,'Neraca Unaudited SIMAK'!$A$2:$R$1272,9,FALSE)+IF(ISNA(VLOOKUP($A416,'Mutasi Neraca'!$A$3:$S$910,9,FALSE)),0,VLOOKUP($A416,'Mutasi Neraca'!$A$3:$S$910,9,FALSE))</f>
        <v>0</v>
      </c>
      <c r="K416" s="42">
        <f>VLOOKUP($A416,'Neraca Unaudited SIMAK'!$A$2:$R$1272,10,FALSE)+IF(ISNA(VLOOKUP($A416,'Mutasi Neraca'!$A$3:$S$910,10,FALSE)),0,VLOOKUP($A416,'Mutasi Neraca'!$A$3:$S$910,10,FALSE))</f>
        <v>13000000</v>
      </c>
      <c r="L416" s="42">
        <f>VLOOKUP($A416,'Neraca Unaudited SIMAK'!$A$2:$R$1272,11,FALSE)+IF(ISNA(VLOOKUP($A416,'Mutasi Neraca'!$A$3:$S$910,11,FALSE)),0,VLOOKUP($A416,'Mutasi Neraca'!$A$3:$S$910,11,FALSE))</f>
        <v>146000</v>
      </c>
      <c r="M416" s="42">
        <f>VLOOKUP($A416,'Neraca Unaudited SIMAK'!$A$2:$R$1272,12,FALSE)+IF(ISNA(VLOOKUP($A416,'Mutasi Neraca'!$A$3:$S$910,12,FALSE)),0,VLOOKUP($A416,'Mutasi Neraca'!$A$3:$S$910,12,FALSE))</f>
        <v>8926090501</v>
      </c>
      <c r="N416" s="42">
        <f>VLOOKUP($A416,'Neraca Unaudited SIMAK'!$A$2:$R$1272,13,FALSE)+IF(ISNA(VLOOKUP($A416,'Mutasi Neraca'!$A$3:$S$910,13,FALSE)),0,VLOOKUP($A416,'Mutasi Neraca'!$A$3:$S$910,13,FALSE))</f>
        <v>-1023939233</v>
      </c>
      <c r="O416" s="42">
        <f>VLOOKUP($A416,'Neraca Unaudited SIMAK'!$A$2:$R$1272,14,FALSE)+IF(ISNA(VLOOKUP($A416,'Mutasi Neraca'!$A$3:$S$910,14,FALSE)),0,VLOOKUP($A416,'Mutasi Neraca'!$A$3:$S$910,14,FALSE))</f>
        <v>-506802768</v>
      </c>
      <c r="P416" s="42">
        <f>VLOOKUP($A416,'Neraca Unaudited SIMAK'!$A$2:$R$1272,15,FALSE)+IF(ISNA(VLOOKUP($A416,'Mutasi Neraca'!$A$3:$S$910,15,FALSE)),0,VLOOKUP($A416,'Mutasi Neraca'!$A$3:$S$910,15,FALSE))</f>
        <v>-7787500</v>
      </c>
      <c r="Q416" s="42">
        <f>VLOOKUP($A416,'Neraca Unaudited SIMAK'!$A$2:$R$1272,16,FALSE)+IF(ISNA(VLOOKUP($A416,'Mutasi Neraca'!$A$3:$S$910,16,FALSE)),0,VLOOKUP($A416,'Mutasi Neraca'!$A$3:$S$910,16,FALSE))</f>
        <v>0</v>
      </c>
      <c r="R416" s="42">
        <f>VLOOKUP($A416,'Neraca Unaudited SIMAK'!$A$2:$R$1272,17,FALSE)+IF(ISNA(VLOOKUP($A416,'Mutasi Neraca'!$A$3:$S$910,17,FALSE)),0,VLOOKUP($A416,'Mutasi Neraca'!$A$3:$S$910,17,FALSE))</f>
        <v>-146000</v>
      </c>
      <c r="S416" s="42">
        <f t="shared" si="55"/>
        <v>7387415000</v>
      </c>
    </row>
    <row r="417" spans="1:19">
      <c r="A417" s="41" t="s">
        <v>424</v>
      </c>
      <c r="B417" s="41" t="str">
        <f t="shared" si="54"/>
        <v>005011100</v>
      </c>
      <c r="D417" s="42">
        <f>VLOOKUP($A417,'Neraca Unaudited SIMAK'!$A$2:$R$1272,3,FALSE)+IF(ISNA(VLOOKUP($A417,'Mutasi Neraca'!$A$3:$S$910,3,FALSE)),0,VLOOKUP($A417,'Mutasi Neraca'!$A$3:$S$910,3,FALSE))</f>
        <v>1094900</v>
      </c>
      <c r="E417" s="42">
        <f>VLOOKUP($A417,'Neraca Unaudited SIMAK'!$A$2:$R$1272,4,FALSE)+IF(ISNA(VLOOKUP($A417,'Mutasi Neraca'!$A$3:$S$910,4,FALSE)),0,VLOOKUP($A417,'Mutasi Neraca'!$A$3:$S$910,4,FALSE))</f>
        <v>733206000</v>
      </c>
      <c r="F417" s="42">
        <f>VLOOKUP($A417,'Neraca Unaudited SIMAK'!$A$2:$R$1272,5,FALSE)+IF(ISNA(VLOOKUP($A417,'Mutasi Neraca'!$A$3:$S$910,5,FALSE)),0,VLOOKUP($A417,'Mutasi Neraca'!$A$3:$S$910,5,FALSE))</f>
        <v>1036014990</v>
      </c>
      <c r="G417" s="42">
        <f>VLOOKUP($A417,'Neraca Unaudited SIMAK'!$A$2:$R$1272,6,FALSE)+IF(ISNA(VLOOKUP($A417,'Mutasi Neraca'!$A$3:$S$910,6,FALSE)),0,VLOOKUP($A417,'Mutasi Neraca'!$A$3:$S$910,6,FALSE))</f>
        <v>5131600400</v>
      </c>
      <c r="H417" s="42">
        <f>VLOOKUP($A417,'Neraca Unaudited SIMAK'!$A$2:$R$1272,7,FALSE)+IF(ISNA(VLOOKUP($A417,'Mutasi Neraca'!$A$3:$S$910,7,FALSE)),0,VLOOKUP($A417,'Mutasi Neraca'!$A$3:$S$910,7,FALSE))</f>
        <v>0</v>
      </c>
      <c r="I417" s="42">
        <f>VLOOKUP($A417,'Neraca Unaudited SIMAK'!$A$2:$R$1272,8,FALSE)+IF(ISNA(VLOOKUP($A417,'Mutasi Neraca'!$A$3:$S$910,8,FALSE)),0,VLOOKUP($A417,'Mutasi Neraca'!$A$3:$S$910,8,FALSE))</f>
        <v>3266679</v>
      </c>
      <c r="J417" s="42">
        <f>VLOOKUP($A417,'Neraca Unaudited SIMAK'!$A$2:$R$1272,9,FALSE)+IF(ISNA(VLOOKUP($A417,'Mutasi Neraca'!$A$3:$S$910,9,FALSE)),0,VLOOKUP($A417,'Mutasi Neraca'!$A$3:$S$910,9,FALSE))</f>
        <v>0</v>
      </c>
      <c r="K417" s="42">
        <f>VLOOKUP($A417,'Neraca Unaudited SIMAK'!$A$2:$R$1272,10,FALSE)+IF(ISNA(VLOOKUP($A417,'Mutasi Neraca'!$A$3:$S$910,10,FALSE)),0,VLOOKUP($A417,'Mutasi Neraca'!$A$3:$S$910,10,FALSE))</f>
        <v>0</v>
      </c>
      <c r="L417" s="42">
        <f>VLOOKUP($A417,'Neraca Unaudited SIMAK'!$A$2:$R$1272,11,FALSE)+IF(ISNA(VLOOKUP($A417,'Mutasi Neraca'!$A$3:$S$910,11,FALSE)),0,VLOOKUP($A417,'Mutasi Neraca'!$A$3:$S$910,11,FALSE))</f>
        <v>0</v>
      </c>
      <c r="M417" s="42">
        <f>VLOOKUP($A417,'Neraca Unaudited SIMAK'!$A$2:$R$1272,12,FALSE)+IF(ISNA(VLOOKUP($A417,'Mutasi Neraca'!$A$3:$S$910,12,FALSE)),0,VLOOKUP($A417,'Mutasi Neraca'!$A$3:$S$910,12,FALSE))</f>
        <v>6905182969</v>
      </c>
      <c r="N417" s="42">
        <f>VLOOKUP($A417,'Neraca Unaudited SIMAK'!$A$2:$R$1272,13,FALSE)+IF(ISNA(VLOOKUP($A417,'Mutasi Neraca'!$A$3:$S$910,13,FALSE)),0,VLOOKUP($A417,'Mutasi Neraca'!$A$3:$S$910,13,FALSE))</f>
        <v>-913846858</v>
      </c>
      <c r="O417" s="42">
        <f>VLOOKUP($A417,'Neraca Unaudited SIMAK'!$A$2:$R$1272,14,FALSE)+IF(ISNA(VLOOKUP($A417,'Mutasi Neraca'!$A$3:$S$910,14,FALSE)),0,VLOOKUP($A417,'Mutasi Neraca'!$A$3:$S$910,14,FALSE))</f>
        <v>-918651505</v>
      </c>
      <c r="P417" s="42">
        <f>VLOOKUP($A417,'Neraca Unaudited SIMAK'!$A$2:$R$1272,15,FALSE)+IF(ISNA(VLOOKUP($A417,'Mutasi Neraca'!$A$3:$S$910,15,FALSE)),0,VLOOKUP($A417,'Mutasi Neraca'!$A$3:$S$910,15,FALSE))</f>
        <v>0</v>
      </c>
      <c r="Q417" s="42">
        <f>VLOOKUP($A417,'Neraca Unaudited SIMAK'!$A$2:$R$1272,16,FALSE)+IF(ISNA(VLOOKUP($A417,'Mutasi Neraca'!$A$3:$S$910,16,FALSE)),0,VLOOKUP($A417,'Mutasi Neraca'!$A$3:$S$910,16,FALSE))</f>
        <v>0</v>
      </c>
      <c r="R417" s="42">
        <f>VLOOKUP($A417,'Neraca Unaudited SIMAK'!$A$2:$R$1272,17,FALSE)+IF(ISNA(VLOOKUP($A417,'Mutasi Neraca'!$A$3:$S$910,17,FALSE)),0,VLOOKUP($A417,'Mutasi Neraca'!$A$3:$S$910,17,FALSE))</f>
        <v>0</v>
      </c>
      <c r="S417" s="42">
        <f t="shared" si="55"/>
        <v>5072684606</v>
      </c>
    </row>
    <row r="418" spans="1:19">
      <c r="A418" s="41" t="s">
        <v>425</v>
      </c>
      <c r="B418" s="41" t="str">
        <f t="shared" si="54"/>
        <v>005011100</v>
      </c>
      <c r="D418" s="42">
        <f>VLOOKUP($A418,'Neraca Unaudited SIMAK'!$A$2:$R$1272,3,FALSE)+IF(ISNA(VLOOKUP($A418,'Mutasi Neraca'!$A$3:$S$910,3,FALSE)),0,VLOOKUP($A418,'Mutasi Neraca'!$A$3:$S$910,3,FALSE))</f>
        <v>8871050</v>
      </c>
      <c r="E418" s="42">
        <f>VLOOKUP($A418,'Neraca Unaudited SIMAK'!$A$2:$R$1272,4,FALSE)+IF(ISNA(VLOOKUP($A418,'Mutasi Neraca'!$A$3:$S$910,4,FALSE)),0,VLOOKUP($A418,'Mutasi Neraca'!$A$3:$S$910,4,FALSE))</f>
        <v>1250000000</v>
      </c>
      <c r="F418" s="42">
        <f>VLOOKUP($A418,'Neraca Unaudited SIMAK'!$A$2:$R$1272,5,FALSE)+IF(ISNA(VLOOKUP($A418,'Mutasi Neraca'!$A$3:$S$910,5,FALSE)),0,VLOOKUP($A418,'Mutasi Neraca'!$A$3:$S$910,5,FALSE))</f>
        <v>1225064883</v>
      </c>
      <c r="G418" s="42">
        <f>VLOOKUP($A418,'Neraca Unaudited SIMAK'!$A$2:$R$1272,6,FALSE)+IF(ISNA(VLOOKUP($A418,'Mutasi Neraca'!$A$3:$S$910,6,FALSE)),0,VLOOKUP($A418,'Mutasi Neraca'!$A$3:$S$910,6,FALSE))</f>
        <v>532204000</v>
      </c>
      <c r="H418" s="42">
        <f>VLOOKUP($A418,'Neraca Unaudited SIMAK'!$A$2:$R$1272,7,FALSE)+IF(ISNA(VLOOKUP($A418,'Mutasi Neraca'!$A$3:$S$910,7,FALSE)),0,VLOOKUP($A418,'Mutasi Neraca'!$A$3:$S$910,7,FALSE))</f>
        <v>0</v>
      </c>
      <c r="I418" s="42">
        <f>VLOOKUP($A418,'Neraca Unaudited SIMAK'!$A$2:$R$1272,8,FALSE)+IF(ISNA(VLOOKUP($A418,'Mutasi Neraca'!$A$3:$S$910,8,FALSE)),0,VLOOKUP($A418,'Mutasi Neraca'!$A$3:$S$910,8,FALSE))</f>
        <v>6176678</v>
      </c>
      <c r="J418" s="42">
        <f>VLOOKUP($A418,'Neraca Unaudited SIMAK'!$A$2:$R$1272,9,FALSE)+IF(ISNA(VLOOKUP($A418,'Mutasi Neraca'!$A$3:$S$910,9,FALSE)),0,VLOOKUP($A418,'Mutasi Neraca'!$A$3:$S$910,9,FALSE))</f>
        <v>0</v>
      </c>
      <c r="K418" s="42">
        <f>VLOOKUP($A418,'Neraca Unaudited SIMAK'!$A$2:$R$1272,10,FALSE)+IF(ISNA(VLOOKUP($A418,'Mutasi Neraca'!$A$3:$S$910,10,FALSE)),0,VLOOKUP($A418,'Mutasi Neraca'!$A$3:$S$910,10,FALSE))</f>
        <v>15000000</v>
      </c>
      <c r="L418" s="42">
        <f>VLOOKUP($A418,'Neraca Unaudited SIMAK'!$A$2:$R$1272,11,FALSE)+IF(ISNA(VLOOKUP($A418,'Mutasi Neraca'!$A$3:$S$910,11,FALSE)),0,VLOOKUP($A418,'Mutasi Neraca'!$A$3:$S$910,11,FALSE))</f>
        <v>0</v>
      </c>
      <c r="M418" s="42">
        <f>VLOOKUP($A418,'Neraca Unaudited SIMAK'!$A$2:$R$1272,12,FALSE)+IF(ISNA(VLOOKUP($A418,'Mutasi Neraca'!$A$3:$S$910,12,FALSE)),0,VLOOKUP($A418,'Mutasi Neraca'!$A$3:$S$910,12,FALSE))</f>
        <v>3037316611</v>
      </c>
      <c r="N418" s="42">
        <f>VLOOKUP($A418,'Neraca Unaudited SIMAK'!$A$2:$R$1272,13,FALSE)+IF(ISNA(VLOOKUP($A418,'Mutasi Neraca'!$A$3:$S$910,13,FALSE)),0,VLOOKUP($A418,'Mutasi Neraca'!$A$3:$S$910,13,FALSE))</f>
        <v>-1097048349</v>
      </c>
      <c r="O418" s="42">
        <f>VLOOKUP($A418,'Neraca Unaudited SIMAK'!$A$2:$R$1272,14,FALSE)+IF(ISNA(VLOOKUP($A418,'Mutasi Neraca'!$A$3:$S$910,14,FALSE)),0,VLOOKUP($A418,'Mutasi Neraca'!$A$3:$S$910,14,FALSE))</f>
        <v>-249895040</v>
      </c>
      <c r="P418" s="42">
        <f>VLOOKUP($A418,'Neraca Unaudited SIMAK'!$A$2:$R$1272,15,FALSE)+IF(ISNA(VLOOKUP($A418,'Mutasi Neraca'!$A$3:$S$910,15,FALSE)),0,VLOOKUP($A418,'Mutasi Neraca'!$A$3:$S$910,15,FALSE))</f>
        <v>0</v>
      </c>
      <c r="Q418" s="42">
        <f>VLOOKUP($A418,'Neraca Unaudited SIMAK'!$A$2:$R$1272,16,FALSE)+IF(ISNA(VLOOKUP($A418,'Mutasi Neraca'!$A$3:$S$910,16,FALSE)),0,VLOOKUP($A418,'Mutasi Neraca'!$A$3:$S$910,16,FALSE))</f>
        <v>0</v>
      </c>
      <c r="R418" s="42">
        <f>VLOOKUP($A418,'Neraca Unaudited SIMAK'!$A$2:$R$1272,17,FALSE)+IF(ISNA(VLOOKUP($A418,'Mutasi Neraca'!$A$3:$S$910,17,FALSE)),0,VLOOKUP($A418,'Mutasi Neraca'!$A$3:$S$910,17,FALSE))</f>
        <v>0</v>
      </c>
      <c r="S418" s="42">
        <f t="shared" si="55"/>
        <v>1690373222</v>
      </c>
    </row>
    <row r="419" spans="1:19">
      <c r="A419" s="41" t="s">
        <v>426</v>
      </c>
      <c r="B419" s="41" t="str">
        <f t="shared" si="54"/>
        <v>005011100</v>
      </c>
      <c r="D419" s="42">
        <f>VLOOKUP($A419,'Neraca Unaudited SIMAK'!$A$2:$R$1272,3,FALSE)+IF(ISNA(VLOOKUP($A419,'Mutasi Neraca'!$A$3:$S$910,3,FALSE)),0,VLOOKUP($A419,'Mutasi Neraca'!$A$3:$S$910,3,FALSE))</f>
        <v>175000</v>
      </c>
      <c r="E419" s="42">
        <f>VLOOKUP($A419,'Neraca Unaudited SIMAK'!$A$2:$R$1272,4,FALSE)+IF(ISNA(VLOOKUP($A419,'Mutasi Neraca'!$A$3:$S$910,4,FALSE)),0,VLOOKUP($A419,'Mutasi Neraca'!$A$3:$S$910,4,FALSE))</f>
        <v>982750000</v>
      </c>
      <c r="F419" s="42">
        <f>VLOOKUP($A419,'Neraca Unaudited SIMAK'!$A$2:$R$1272,5,FALSE)+IF(ISNA(VLOOKUP($A419,'Mutasi Neraca'!$A$3:$S$910,5,FALSE)),0,VLOOKUP($A419,'Mutasi Neraca'!$A$3:$S$910,5,FALSE))</f>
        <v>976233760</v>
      </c>
      <c r="G419" s="42">
        <f>VLOOKUP($A419,'Neraca Unaudited SIMAK'!$A$2:$R$1272,6,FALSE)+IF(ISNA(VLOOKUP($A419,'Mutasi Neraca'!$A$3:$S$910,6,FALSE)),0,VLOOKUP($A419,'Mutasi Neraca'!$A$3:$S$910,6,FALSE))</f>
        <v>4311524500</v>
      </c>
      <c r="H419" s="42">
        <f>VLOOKUP($A419,'Neraca Unaudited SIMAK'!$A$2:$R$1272,7,FALSE)+IF(ISNA(VLOOKUP($A419,'Mutasi Neraca'!$A$3:$S$910,7,FALSE)),0,VLOOKUP($A419,'Mutasi Neraca'!$A$3:$S$910,7,FALSE))</f>
        <v>0</v>
      </c>
      <c r="I419" s="42">
        <f>VLOOKUP($A419,'Neraca Unaudited SIMAK'!$A$2:$R$1272,8,FALSE)+IF(ISNA(VLOOKUP($A419,'Mutasi Neraca'!$A$3:$S$910,8,FALSE)),0,VLOOKUP($A419,'Mutasi Neraca'!$A$3:$S$910,8,FALSE))</f>
        <v>2828678</v>
      </c>
      <c r="J419" s="42">
        <f>VLOOKUP($A419,'Neraca Unaudited SIMAK'!$A$2:$R$1272,9,FALSE)+IF(ISNA(VLOOKUP($A419,'Mutasi Neraca'!$A$3:$S$910,9,FALSE)),0,VLOOKUP($A419,'Mutasi Neraca'!$A$3:$S$910,9,FALSE))</f>
        <v>0</v>
      </c>
      <c r="K419" s="42">
        <f>VLOOKUP($A419,'Neraca Unaudited SIMAK'!$A$2:$R$1272,10,FALSE)+IF(ISNA(VLOOKUP($A419,'Mutasi Neraca'!$A$3:$S$910,10,FALSE)),0,VLOOKUP($A419,'Mutasi Neraca'!$A$3:$S$910,10,FALSE))</f>
        <v>0</v>
      </c>
      <c r="L419" s="42">
        <f>VLOOKUP($A419,'Neraca Unaudited SIMAK'!$A$2:$R$1272,11,FALSE)+IF(ISNA(VLOOKUP($A419,'Mutasi Neraca'!$A$3:$S$910,11,FALSE)),0,VLOOKUP($A419,'Mutasi Neraca'!$A$3:$S$910,11,FALSE))</f>
        <v>3007000</v>
      </c>
      <c r="M419" s="42">
        <f>VLOOKUP($A419,'Neraca Unaudited SIMAK'!$A$2:$R$1272,12,FALSE)+IF(ISNA(VLOOKUP($A419,'Mutasi Neraca'!$A$3:$S$910,12,FALSE)),0,VLOOKUP($A419,'Mutasi Neraca'!$A$3:$S$910,12,FALSE))</f>
        <v>6276518938</v>
      </c>
      <c r="N419" s="42">
        <f>VLOOKUP($A419,'Neraca Unaudited SIMAK'!$A$2:$R$1272,13,FALSE)+IF(ISNA(VLOOKUP($A419,'Mutasi Neraca'!$A$3:$S$910,13,FALSE)),0,VLOOKUP($A419,'Mutasi Neraca'!$A$3:$S$910,13,FALSE))</f>
        <v>-866854679</v>
      </c>
      <c r="O419" s="42">
        <f>VLOOKUP($A419,'Neraca Unaudited SIMAK'!$A$2:$R$1272,14,FALSE)+IF(ISNA(VLOOKUP($A419,'Mutasi Neraca'!$A$3:$S$910,14,FALSE)),0,VLOOKUP($A419,'Mutasi Neraca'!$A$3:$S$910,14,FALSE))</f>
        <v>-422063385</v>
      </c>
      <c r="P419" s="42">
        <f>VLOOKUP($A419,'Neraca Unaudited SIMAK'!$A$2:$R$1272,15,FALSE)+IF(ISNA(VLOOKUP($A419,'Mutasi Neraca'!$A$3:$S$910,15,FALSE)),0,VLOOKUP($A419,'Mutasi Neraca'!$A$3:$S$910,15,FALSE))</f>
        <v>0</v>
      </c>
      <c r="Q419" s="42">
        <f>VLOOKUP($A419,'Neraca Unaudited SIMAK'!$A$2:$R$1272,16,FALSE)+IF(ISNA(VLOOKUP($A419,'Mutasi Neraca'!$A$3:$S$910,16,FALSE)),0,VLOOKUP($A419,'Mutasi Neraca'!$A$3:$S$910,16,FALSE))</f>
        <v>0</v>
      </c>
      <c r="R419" s="42">
        <f>VLOOKUP($A419,'Neraca Unaudited SIMAK'!$A$2:$R$1272,17,FALSE)+IF(ISNA(VLOOKUP($A419,'Mutasi Neraca'!$A$3:$S$910,17,FALSE)),0,VLOOKUP($A419,'Mutasi Neraca'!$A$3:$S$910,17,FALSE))</f>
        <v>-3007000</v>
      </c>
      <c r="S419" s="42">
        <f t="shared" si="55"/>
        <v>4984593874</v>
      </c>
    </row>
    <row r="420" spans="1:19">
      <c r="A420" s="41" t="s">
        <v>427</v>
      </c>
      <c r="B420" s="41" t="str">
        <f t="shared" si="54"/>
        <v>005011100</v>
      </c>
      <c r="D420" s="42">
        <f>VLOOKUP($A420,'Neraca Unaudited SIMAK'!$A$2:$R$1272,3,FALSE)+IF(ISNA(VLOOKUP($A420,'Mutasi Neraca'!$A$3:$S$910,3,FALSE)),0,VLOOKUP($A420,'Mutasi Neraca'!$A$3:$S$910,3,FALSE))</f>
        <v>188700</v>
      </c>
      <c r="E420" s="42">
        <f>VLOOKUP($A420,'Neraca Unaudited SIMAK'!$A$2:$R$1272,4,FALSE)+IF(ISNA(VLOOKUP($A420,'Mutasi Neraca'!$A$3:$S$910,4,FALSE)),0,VLOOKUP($A420,'Mutasi Neraca'!$A$3:$S$910,4,FALSE))</f>
        <v>1252700000</v>
      </c>
      <c r="F420" s="42">
        <f>VLOOKUP($A420,'Neraca Unaudited SIMAK'!$A$2:$R$1272,5,FALSE)+IF(ISNA(VLOOKUP($A420,'Mutasi Neraca'!$A$3:$S$910,5,FALSE)),0,VLOOKUP($A420,'Mutasi Neraca'!$A$3:$S$910,5,FALSE))</f>
        <v>1317428003</v>
      </c>
      <c r="G420" s="42">
        <f>VLOOKUP($A420,'Neraca Unaudited SIMAK'!$A$2:$R$1272,6,FALSE)+IF(ISNA(VLOOKUP($A420,'Mutasi Neraca'!$A$3:$S$910,6,FALSE)),0,VLOOKUP($A420,'Mutasi Neraca'!$A$3:$S$910,6,FALSE))</f>
        <v>1397908000</v>
      </c>
      <c r="H420" s="42">
        <f>VLOOKUP($A420,'Neraca Unaudited SIMAK'!$A$2:$R$1272,7,FALSE)+IF(ISNA(VLOOKUP($A420,'Mutasi Neraca'!$A$3:$S$910,7,FALSE)),0,VLOOKUP($A420,'Mutasi Neraca'!$A$3:$S$910,7,FALSE))</f>
        <v>19900000</v>
      </c>
      <c r="I420" s="42">
        <f>VLOOKUP($A420,'Neraca Unaudited SIMAK'!$A$2:$R$1272,8,FALSE)+IF(ISNA(VLOOKUP($A420,'Mutasi Neraca'!$A$3:$S$910,8,FALSE)),0,VLOOKUP($A420,'Mutasi Neraca'!$A$3:$S$910,8,FALSE))</f>
        <v>4514501</v>
      </c>
      <c r="J420" s="42">
        <f>VLOOKUP($A420,'Neraca Unaudited SIMAK'!$A$2:$R$1272,9,FALSE)+IF(ISNA(VLOOKUP($A420,'Mutasi Neraca'!$A$3:$S$910,9,FALSE)),0,VLOOKUP($A420,'Mutasi Neraca'!$A$3:$S$910,9,FALSE))</f>
        <v>0</v>
      </c>
      <c r="K420" s="42">
        <f>VLOOKUP($A420,'Neraca Unaudited SIMAK'!$A$2:$R$1272,10,FALSE)+IF(ISNA(VLOOKUP($A420,'Mutasi Neraca'!$A$3:$S$910,10,FALSE)),0,VLOOKUP($A420,'Mutasi Neraca'!$A$3:$S$910,10,FALSE))</f>
        <v>0</v>
      </c>
      <c r="L420" s="42">
        <f>VLOOKUP($A420,'Neraca Unaudited SIMAK'!$A$2:$R$1272,11,FALSE)+IF(ISNA(VLOOKUP($A420,'Mutasi Neraca'!$A$3:$S$910,11,FALSE)),0,VLOOKUP($A420,'Mutasi Neraca'!$A$3:$S$910,11,FALSE))</f>
        <v>13793000</v>
      </c>
      <c r="M420" s="42">
        <f>VLOOKUP($A420,'Neraca Unaudited SIMAK'!$A$2:$R$1272,12,FALSE)+IF(ISNA(VLOOKUP($A420,'Mutasi Neraca'!$A$3:$S$910,12,FALSE)),0,VLOOKUP($A420,'Mutasi Neraca'!$A$3:$S$910,12,FALSE))</f>
        <v>4006432204</v>
      </c>
      <c r="N420" s="42">
        <f>VLOOKUP($A420,'Neraca Unaudited SIMAK'!$A$2:$R$1272,13,FALSE)+IF(ISNA(VLOOKUP($A420,'Mutasi Neraca'!$A$3:$S$910,13,FALSE)),0,VLOOKUP($A420,'Mutasi Neraca'!$A$3:$S$910,13,FALSE))</f>
        <v>-1161010952</v>
      </c>
      <c r="O420" s="42">
        <f>VLOOKUP($A420,'Neraca Unaudited SIMAK'!$A$2:$R$1272,14,FALSE)+IF(ISNA(VLOOKUP($A420,'Mutasi Neraca'!$A$3:$S$910,14,FALSE)),0,VLOOKUP($A420,'Mutasi Neraca'!$A$3:$S$910,14,FALSE))</f>
        <v>-308619304</v>
      </c>
      <c r="P420" s="42">
        <f>VLOOKUP($A420,'Neraca Unaudited SIMAK'!$A$2:$R$1272,15,FALSE)+IF(ISNA(VLOOKUP($A420,'Mutasi Neraca'!$A$3:$S$910,15,FALSE)),0,VLOOKUP($A420,'Mutasi Neraca'!$A$3:$S$910,15,FALSE))</f>
        <v>-2238750</v>
      </c>
      <c r="Q420" s="42">
        <f>VLOOKUP($A420,'Neraca Unaudited SIMAK'!$A$2:$R$1272,16,FALSE)+IF(ISNA(VLOOKUP($A420,'Mutasi Neraca'!$A$3:$S$910,16,FALSE)),0,VLOOKUP($A420,'Mutasi Neraca'!$A$3:$S$910,16,FALSE))</f>
        <v>0</v>
      </c>
      <c r="R420" s="42">
        <f>VLOOKUP($A420,'Neraca Unaudited SIMAK'!$A$2:$R$1272,17,FALSE)+IF(ISNA(VLOOKUP($A420,'Mutasi Neraca'!$A$3:$S$910,17,FALSE)),0,VLOOKUP($A420,'Mutasi Neraca'!$A$3:$S$910,17,FALSE))</f>
        <v>-13793000</v>
      </c>
      <c r="S420" s="42">
        <f t="shared" si="55"/>
        <v>2520770198</v>
      </c>
    </row>
    <row r="421" spans="1:19">
      <c r="A421" s="41" t="s">
        <v>428</v>
      </c>
      <c r="B421" s="41" t="str">
        <f t="shared" si="54"/>
        <v>005011100</v>
      </c>
      <c r="D421" s="42">
        <f>VLOOKUP($A421,'Neraca Unaudited SIMAK'!$A$2:$R$1272,3,FALSE)+IF(ISNA(VLOOKUP($A421,'Mutasi Neraca'!$A$3:$S$910,3,FALSE)),0,VLOOKUP($A421,'Mutasi Neraca'!$A$3:$S$910,3,FALSE))</f>
        <v>2952253</v>
      </c>
      <c r="E421" s="42">
        <f>VLOOKUP($A421,'Neraca Unaudited SIMAK'!$A$2:$R$1272,4,FALSE)+IF(ISNA(VLOOKUP($A421,'Mutasi Neraca'!$A$3:$S$910,4,FALSE)),0,VLOOKUP($A421,'Mutasi Neraca'!$A$3:$S$910,4,FALSE))</f>
        <v>2088628400</v>
      </c>
      <c r="F421" s="42">
        <f>VLOOKUP($A421,'Neraca Unaudited SIMAK'!$A$2:$R$1272,5,FALSE)+IF(ISNA(VLOOKUP($A421,'Mutasi Neraca'!$A$3:$S$910,5,FALSE)),0,VLOOKUP($A421,'Mutasi Neraca'!$A$3:$S$910,5,FALSE))</f>
        <v>1945812579</v>
      </c>
      <c r="G421" s="42">
        <f>VLOOKUP($A421,'Neraca Unaudited SIMAK'!$A$2:$R$1272,6,FALSE)+IF(ISNA(VLOOKUP($A421,'Mutasi Neraca'!$A$3:$S$910,6,FALSE)),0,VLOOKUP($A421,'Mutasi Neraca'!$A$3:$S$910,6,FALSE))</f>
        <v>15195540000</v>
      </c>
      <c r="H421" s="42">
        <f>VLOOKUP($A421,'Neraca Unaudited SIMAK'!$A$2:$R$1272,7,FALSE)+IF(ISNA(VLOOKUP($A421,'Mutasi Neraca'!$A$3:$S$910,7,FALSE)),0,VLOOKUP($A421,'Mutasi Neraca'!$A$3:$S$910,7,FALSE))</f>
        <v>130800000</v>
      </c>
      <c r="I421" s="42">
        <f>VLOOKUP($A421,'Neraca Unaudited SIMAK'!$A$2:$R$1272,8,FALSE)+IF(ISNA(VLOOKUP($A421,'Mutasi Neraca'!$A$3:$S$910,8,FALSE)),0,VLOOKUP($A421,'Mutasi Neraca'!$A$3:$S$910,8,FALSE))</f>
        <v>105332000</v>
      </c>
      <c r="J421" s="42">
        <f>VLOOKUP($A421,'Neraca Unaudited SIMAK'!$A$2:$R$1272,9,FALSE)+IF(ISNA(VLOOKUP($A421,'Mutasi Neraca'!$A$3:$S$910,9,FALSE)),0,VLOOKUP($A421,'Mutasi Neraca'!$A$3:$S$910,9,FALSE))</f>
        <v>0</v>
      </c>
      <c r="K421" s="42">
        <f>VLOOKUP($A421,'Neraca Unaudited SIMAK'!$A$2:$R$1272,10,FALSE)+IF(ISNA(VLOOKUP($A421,'Mutasi Neraca'!$A$3:$S$910,10,FALSE)),0,VLOOKUP($A421,'Mutasi Neraca'!$A$3:$S$910,10,FALSE))</f>
        <v>0</v>
      </c>
      <c r="L421" s="42">
        <f>VLOOKUP($A421,'Neraca Unaudited SIMAK'!$A$2:$R$1272,11,FALSE)+IF(ISNA(VLOOKUP($A421,'Mutasi Neraca'!$A$3:$S$910,11,FALSE)),0,VLOOKUP($A421,'Mutasi Neraca'!$A$3:$S$910,11,FALSE))</f>
        <v>22372355</v>
      </c>
      <c r="M421" s="42">
        <f>VLOOKUP($A421,'Neraca Unaudited SIMAK'!$A$2:$R$1272,12,FALSE)+IF(ISNA(VLOOKUP($A421,'Mutasi Neraca'!$A$3:$S$910,12,FALSE)),0,VLOOKUP($A421,'Mutasi Neraca'!$A$3:$S$910,12,FALSE))</f>
        <v>19491437587</v>
      </c>
      <c r="N421" s="42">
        <f>VLOOKUP($A421,'Neraca Unaudited SIMAK'!$A$2:$R$1272,13,FALSE)+IF(ISNA(VLOOKUP($A421,'Mutasi Neraca'!$A$3:$S$910,13,FALSE)),0,VLOOKUP($A421,'Mutasi Neraca'!$A$3:$S$910,13,FALSE))</f>
        <v>-1706575733</v>
      </c>
      <c r="O421" s="42">
        <f>VLOOKUP($A421,'Neraca Unaudited SIMAK'!$A$2:$R$1272,14,FALSE)+IF(ISNA(VLOOKUP($A421,'Mutasi Neraca'!$A$3:$S$910,14,FALSE)),0,VLOOKUP($A421,'Mutasi Neraca'!$A$3:$S$910,14,FALSE))</f>
        <v>-2908824476</v>
      </c>
      <c r="P421" s="42">
        <f>VLOOKUP($A421,'Neraca Unaudited SIMAK'!$A$2:$R$1272,15,FALSE)+IF(ISNA(VLOOKUP($A421,'Mutasi Neraca'!$A$3:$S$910,15,FALSE)),0,VLOOKUP($A421,'Mutasi Neraca'!$A$3:$S$910,15,FALSE))</f>
        <v>-11445000</v>
      </c>
      <c r="Q421" s="42">
        <f>VLOOKUP($A421,'Neraca Unaudited SIMAK'!$A$2:$R$1272,16,FALSE)+IF(ISNA(VLOOKUP($A421,'Mutasi Neraca'!$A$3:$S$910,16,FALSE)),0,VLOOKUP($A421,'Mutasi Neraca'!$A$3:$S$910,16,FALSE))</f>
        <v>0</v>
      </c>
      <c r="R421" s="42">
        <f>VLOOKUP($A421,'Neraca Unaudited SIMAK'!$A$2:$R$1272,17,FALSE)+IF(ISNA(VLOOKUP($A421,'Mutasi Neraca'!$A$3:$S$910,17,FALSE)),0,VLOOKUP($A421,'Mutasi Neraca'!$A$3:$S$910,17,FALSE))</f>
        <v>-22147355</v>
      </c>
      <c r="S421" s="42">
        <f t="shared" si="55"/>
        <v>14842445023</v>
      </c>
    </row>
    <row r="422" spans="1:19">
      <c r="A422" s="41" t="s">
        <v>429</v>
      </c>
      <c r="B422" s="41" t="str">
        <f t="shared" si="54"/>
        <v>005011100</v>
      </c>
      <c r="D422" s="42">
        <f>VLOOKUP($A422,'Neraca Unaudited SIMAK'!$A$2:$R$1272,3,FALSE)+IF(ISNA(VLOOKUP($A422,'Mutasi Neraca'!$A$3:$S$910,3,FALSE)),0,VLOOKUP($A422,'Mutasi Neraca'!$A$3:$S$910,3,FALSE))</f>
        <v>568000</v>
      </c>
      <c r="E422" s="42">
        <f>VLOOKUP($A422,'Neraca Unaudited SIMAK'!$A$2:$R$1272,4,FALSE)+IF(ISNA(VLOOKUP($A422,'Mutasi Neraca'!$A$3:$S$910,4,FALSE)),0,VLOOKUP($A422,'Mutasi Neraca'!$A$3:$S$910,4,FALSE))</f>
        <v>1147797490</v>
      </c>
      <c r="F422" s="42">
        <f>VLOOKUP($A422,'Neraca Unaudited SIMAK'!$A$2:$R$1272,5,FALSE)+IF(ISNA(VLOOKUP($A422,'Mutasi Neraca'!$A$3:$S$910,5,FALSE)),0,VLOOKUP($A422,'Mutasi Neraca'!$A$3:$S$910,5,FALSE))</f>
        <v>2446214034</v>
      </c>
      <c r="G422" s="42">
        <f>VLOOKUP($A422,'Neraca Unaudited SIMAK'!$A$2:$R$1272,6,FALSE)+IF(ISNA(VLOOKUP($A422,'Mutasi Neraca'!$A$3:$S$910,6,FALSE)),0,VLOOKUP($A422,'Mutasi Neraca'!$A$3:$S$910,6,FALSE))</f>
        <v>9534747500</v>
      </c>
      <c r="H422" s="42">
        <f>VLOOKUP($A422,'Neraca Unaudited SIMAK'!$A$2:$R$1272,7,FALSE)+IF(ISNA(VLOOKUP($A422,'Mutasi Neraca'!$A$3:$S$910,7,FALSE)),0,VLOOKUP($A422,'Mutasi Neraca'!$A$3:$S$910,7,FALSE))</f>
        <v>0</v>
      </c>
      <c r="I422" s="42">
        <f>VLOOKUP($A422,'Neraca Unaudited SIMAK'!$A$2:$R$1272,8,FALSE)+IF(ISNA(VLOOKUP($A422,'Mutasi Neraca'!$A$3:$S$910,8,FALSE)),0,VLOOKUP($A422,'Mutasi Neraca'!$A$3:$S$910,8,FALSE))</f>
        <v>0</v>
      </c>
      <c r="J422" s="42">
        <f>VLOOKUP($A422,'Neraca Unaudited SIMAK'!$A$2:$R$1272,9,FALSE)+IF(ISNA(VLOOKUP($A422,'Mutasi Neraca'!$A$3:$S$910,9,FALSE)),0,VLOOKUP($A422,'Mutasi Neraca'!$A$3:$S$910,9,FALSE))</f>
        <v>0</v>
      </c>
      <c r="K422" s="42">
        <f>VLOOKUP($A422,'Neraca Unaudited SIMAK'!$A$2:$R$1272,10,FALSE)+IF(ISNA(VLOOKUP($A422,'Mutasi Neraca'!$A$3:$S$910,10,FALSE)),0,VLOOKUP($A422,'Mutasi Neraca'!$A$3:$S$910,10,FALSE))</f>
        <v>75302000</v>
      </c>
      <c r="L422" s="42">
        <f>VLOOKUP($A422,'Neraca Unaudited SIMAK'!$A$2:$R$1272,11,FALSE)+IF(ISNA(VLOOKUP($A422,'Mutasi Neraca'!$A$3:$S$910,11,FALSE)),0,VLOOKUP($A422,'Mutasi Neraca'!$A$3:$S$910,11,FALSE))</f>
        <v>0</v>
      </c>
      <c r="M422" s="42">
        <f>VLOOKUP($A422,'Neraca Unaudited SIMAK'!$A$2:$R$1272,12,FALSE)+IF(ISNA(VLOOKUP($A422,'Mutasi Neraca'!$A$3:$S$910,12,FALSE)),0,VLOOKUP($A422,'Mutasi Neraca'!$A$3:$S$910,12,FALSE))</f>
        <v>13204629024</v>
      </c>
      <c r="N422" s="42">
        <f>VLOOKUP($A422,'Neraca Unaudited SIMAK'!$A$2:$R$1272,13,FALSE)+IF(ISNA(VLOOKUP($A422,'Mutasi Neraca'!$A$3:$S$910,13,FALSE)),0,VLOOKUP($A422,'Mutasi Neraca'!$A$3:$S$910,13,FALSE))</f>
        <v>-1463455290</v>
      </c>
      <c r="O422" s="42">
        <f>VLOOKUP($A422,'Neraca Unaudited SIMAK'!$A$2:$R$1272,14,FALSE)+IF(ISNA(VLOOKUP($A422,'Mutasi Neraca'!$A$3:$S$910,14,FALSE)),0,VLOOKUP($A422,'Mutasi Neraca'!$A$3:$S$910,14,FALSE))</f>
        <v>-284242425</v>
      </c>
      <c r="P422" s="42">
        <f>VLOOKUP($A422,'Neraca Unaudited SIMAK'!$A$2:$R$1272,15,FALSE)+IF(ISNA(VLOOKUP($A422,'Mutasi Neraca'!$A$3:$S$910,15,FALSE)),0,VLOOKUP($A422,'Mutasi Neraca'!$A$3:$S$910,15,FALSE))</f>
        <v>0</v>
      </c>
      <c r="Q422" s="42">
        <f>VLOOKUP($A422,'Neraca Unaudited SIMAK'!$A$2:$R$1272,16,FALSE)+IF(ISNA(VLOOKUP($A422,'Mutasi Neraca'!$A$3:$S$910,16,FALSE)),0,VLOOKUP($A422,'Mutasi Neraca'!$A$3:$S$910,16,FALSE))</f>
        <v>0</v>
      </c>
      <c r="R422" s="42">
        <f>VLOOKUP($A422,'Neraca Unaudited SIMAK'!$A$2:$R$1272,17,FALSE)+IF(ISNA(VLOOKUP($A422,'Mutasi Neraca'!$A$3:$S$910,17,FALSE)),0,VLOOKUP($A422,'Mutasi Neraca'!$A$3:$S$910,17,FALSE))</f>
        <v>0</v>
      </c>
      <c r="S422" s="42">
        <f t="shared" si="55"/>
        <v>11456931309</v>
      </c>
    </row>
    <row r="423" spans="1:19">
      <c r="A423" s="41" t="s">
        <v>430</v>
      </c>
      <c r="B423" s="41" t="str">
        <f t="shared" si="54"/>
        <v>005011100</v>
      </c>
      <c r="D423" s="42">
        <f>VLOOKUP($A423,'Neraca Unaudited SIMAK'!$A$2:$R$1272,3,FALSE)+IF(ISNA(VLOOKUP($A423,'Mutasi Neraca'!$A$3:$S$910,3,FALSE)),0,VLOOKUP($A423,'Mutasi Neraca'!$A$3:$S$910,3,FALSE))</f>
        <v>129000</v>
      </c>
      <c r="E423" s="42">
        <f>VLOOKUP($A423,'Neraca Unaudited SIMAK'!$A$2:$R$1272,4,FALSE)+IF(ISNA(VLOOKUP($A423,'Mutasi Neraca'!$A$3:$S$910,4,FALSE)),0,VLOOKUP($A423,'Mutasi Neraca'!$A$3:$S$910,4,FALSE))</f>
        <v>1538004000</v>
      </c>
      <c r="F423" s="42">
        <f>VLOOKUP($A423,'Neraca Unaudited SIMAK'!$A$2:$R$1272,5,FALSE)+IF(ISNA(VLOOKUP($A423,'Mutasi Neraca'!$A$3:$S$910,5,FALSE)),0,VLOOKUP($A423,'Mutasi Neraca'!$A$3:$S$910,5,FALSE))</f>
        <v>1530053151</v>
      </c>
      <c r="G423" s="42">
        <f>VLOOKUP($A423,'Neraca Unaudited SIMAK'!$A$2:$R$1272,6,FALSE)+IF(ISNA(VLOOKUP($A423,'Mutasi Neraca'!$A$3:$S$910,6,FALSE)),0,VLOOKUP($A423,'Mutasi Neraca'!$A$3:$S$910,6,FALSE))</f>
        <v>188100000</v>
      </c>
      <c r="H423" s="42">
        <f>VLOOKUP($A423,'Neraca Unaudited SIMAK'!$A$2:$R$1272,7,FALSE)+IF(ISNA(VLOOKUP($A423,'Mutasi Neraca'!$A$3:$S$910,7,FALSE)),0,VLOOKUP($A423,'Mutasi Neraca'!$A$3:$S$910,7,FALSE))</f>
        <v>0</v>
      </c>
      <c r="I423" s="42">
        <f>VLOOKUP($A423,'Neraca Unaudited SIMAK'!$A$2:$R$1272,8,FALSE)+IF(ISNA(VLOOKUP($A423,'Mutasi Neraca'!$A$3:$S$910,8,FALSE)),0,VLOOKUP($A423,'Mutasi Neraca'!$A$3:$S$910,8,FALSE))</f>
        <v>4772118</v>
      </c>
      <c r="J423" s="42">
        <f>VLOOKUP($A423,'Neraca Unaudited SIMAK'!$A$2:$R$1272,9,FALSE)+IF(ISNA(VLOOKUP($A423,'Mutasi Neraca'!$A$3:$S$910,9,FALSE)),0,VLOOKUP($A423,'Mutasi Neraca'!$A$3:$S$910,9,FALSE))</f>
        <v>9780904400</v>
      </c>
      <c r="K423" s="42">
        <f>VLOOKUP($A423,'Neraca Unaudited SIMAK'!$A$2:$R$1272,10,FALSE)+IF(ISNA(VLOOKUP($A423,'Mutasi Neraca'!$A$3:$S$910,10,FALSE)),0,VLOOKUP($A423,'Mutasi Neraca'!$A$3:$S$910,10,FALSE))</f>
        <v>60275000</v>
      </c>
      <c r="L423" s="42">
        <f>VLOOKUP($A423,'Neraca Unaudited SIMAK'!$A$2:$R$1272,11,FALSE)+IF(ISNA(VLOOKUP($A423,'Mutasi Neraca'!$A$3:$S$910,11,FALSE)),0,VLOOKUP($A423,'Mutasi Neraca'!$A$3:$S$910,11,FALSE))</f>
        <v>12066500</v>
      </c>
      <c r="M423" s="42">
        <f>VLOOKUP($A423,'Neraca Unaudited SIMAK'!$A$2:$R$1272,12,FALSE)+IF(ISNA(VLOOKUP($A423,'Mutasi Neraca'!$A$3:$S$910,12,FALSE)),0,VLOOKUP($A423,'Mutasi Neraca'!$A$3:$S$910,12,FALSE))</f>
        <v>13114304169</v>
      </c>
      <c r="N423" s="42">
        <f>VLOOKUP($A423,'Neraca Unaudited SIMAK'!$A$2:$R$1272,13,FALSE)+IF(ISNA(VLOOKUP($A423,'Mutasi Neraca'!$A$3:$S$910,13,FALSE)),0,VLOOKUP($A423,'Mutasi Neraca'!$A$3:$S$910,13,FALSE))</f>
        <v>-839050361</v>
      </c>
      <c r="O423" s="42">
        <f>VLOOKUP($A423,'Neraca Unaudited SIMAK'!$A$2:$R$1272,14,FALSE)+IF(ISNA(VLOOKUP($A423,'Mutasi Neraca'!$A$3:$S$910,14,FALSE)),0,VLOOKUP($A423,'Mutasi Neraca'!$A$3:$S$910,14,FALSE))</f>
        <v>-139194000</v>
      </c>
      <c r="P423" s="42">
        <f>VLOOKUP($A423,'Neraca Unaudited SIMAK'!$A$2:$R$1272,15,FALSE)+IF(ISNA(VLOOKUP($A423,'Mutasi Neraca'!$A$3:$S$910,15,FALSE)),0,VLOOKUP($A423,'Mutasi Neraca'!$A$3:$S$910,15,FALSE))</f>
        <v>0</v>
      </c>
      <c r="Q423" s="42">
        <f>VLOOKUP($A423,'Neraca Unaudited SIMAK'!$A$2:$R$1272,16,FALSE)+IF(ISNA(VLOOKUP($A423,'Mutasi Neraca'!$A$3:$S$910,16,FALSE)),0,VLOOKUP($A423,'Mutasi Neraca'!$A$3:$S$910,16,FALSE))</f>
        <v>0</v>
      </c>
      <c r="R423" s="42">
        <f>VLOOKUP($A423,'Neraca Unaudited SIMAK'!$A$2:$R$1272,17,FALSE)+IF(ISNA(VLOOKUP($A423,'Mutasi Neraca'!$A$3:$S$910,17,FALSE)),0,VLOOKUP($A423,'Mutasi Neraca'!$A$3:$S$910,17,FALSE))</f>
        <v>-12066500</v>
      </c>
      <c r="S423" s="42">
        <f t="shared" si="55"/>
        <v>12123993308</v>
      </c>
    </row>
    <row r="424" spans="1:19">
      <c r="A424" s="41" t="s">
        <v>431</v>
      </c>
      <c r="B424" s="41" t="str">
        <f t="shared" si="54"/>
        <v>005011100</v>
      </c>
      <c r="D424" s="42">
        <f>VLOOKUP($A424,'Neraca Unaudited SIMAK'!$A$2:$R$1272,3,FALSE)+IF(ISNA(VLOOKUP($A424,'Mutasi Neraca'!$A$3:$S$910,3,FALSE)),0,VLOOKUP($A424,'Mutasi Neraca'!$A$3:$S$910,3,FALSE))</f>
        <v>67549050</v>
      </c>
      <c r="E424" s="42">
        <f>VLOOKUP($A424,'Neraca Unaudited SIMAK'!$A$2:$R$1272,4,FALSE)+IF(ISNA(VLOOKUP($A424,'Mutasi Neraca'!$A$3:$S$910,4,FALSE)),0,VLOOKUP($A424,'Mutasi Neraca'!$A$3:$S$910,4,FALSE))</f>
        <v>884230400</v>
      </c>
      <c r="F424" s="42">
        <f>VLOOKUP($A424,'Neraca Unaudited SIMAK'!$A$2:$R$1272,5,FALSE)+IF(ISNA(VLOOKUP($A424,'Mutasi Neraca'!$A$3:$S$910,5,FALSE)),0,VLOOKUP($A424,'Mutasi Neraca'!$A$3:$S$910,5,FALSE))</f>
        <v>853976499</v>
      </c>
      <c r="G424" s="42">
        <f>VLOOKUP($A424,'Neraca Unaudited SIMAK'!$A$2:$R$1272,6,FALSE)+IF(ISNA(VLOOKUP($A424,'Mutasi Neraca'!$A$3:$S$910,6,FALSE)),0,VLOOKUP($A424,'Mutasi Neraca'!$A$3:$S$910,6,FALSE))</f>
        <v>8892859142</v>
      </c>
      <c r="H424" s="42">
        <f>VLOOKUP($A424,'Neraca Unaudited SIMAK'!$A$2:$R$1272,7,FALSE)+IF(ISNA(VLOOKUP($A424,'Mutasi Neraca'!$A$3:$S$910,7,FALSE)),0,VLOOKUP($A424,'Mutasi Neraca'!$A$3:$S$910,7,FALSE))</f>
        <v>0</v>
      </c>
      <c r="I424" s="42">
        <f>VLOOKUP($A424,'Neraca Unaudited SIMAK'!$A$2:$R$1272,8,FALSE)+IF(ISNA(VLOOKUP($A424,'Mutasi Neraca'!$A$3:$S$910,8,FALSE)),0,VLOOKUP($A424,'Mutasi Neraca'!$A$3:$S$910,8,FALSE))</f>
        <v>0</v>
      </c>
      <c r="J424" s="42">
        <f>VLOOKUP($A424,'Neraca Unaudited SIMAK'!$A$2:$R$1272,9,FALSE)+IF(ISNA(VLOOKUP($A424,'Mutasi Neraca'!$A$3:$S$910,9,FALSE)),0,VLOOKUP($A424,'Mutasi Neraca'!$A$3:$S$910,9,FALSE))</f>
        <v>975881908</v>
      </c>
      <c r="K424" s="42">
        <f>VLOOKUP($A424,'Neraca Unaudited SIMAK'!$A$2:$R$1272,10,FALSE)+IF(ISNA(VLOOKUP($A424,'Mutasi Neraca'!$A$3:$S$910,10,FALSE)),0,VLOOKUP($A424,'Mutasi Neraca'!$A$3:$S$910,10,FALSE))</f>
        <v>0</v>
      </c>
      <c r="L424" s="42">
        <f>VLOOKUP($A424,'Neraca Unaudited SIMAK'!$A$2:$R$1272,11,FALSE)+IF(ISNA(VLOOKUP($A424,'Mutasi Neraca'!$A$3:$S$910,11,FALSE)),0,VLOOKUP($A424,'Mutasi Neraca'!$A$3:$S$910,11,FALSE))</f>
        <v>0</v>
      </c>
      <c r="M424" s="42">
        <f>VLOOKUP($A424,'Neraca Unaudited SIMAK'!$A$2:$R$1272,12,FALSE)+IF(ISNA(VLOOKUP($A424,'Mutasi Neraca'!$A$3:$S$910,12,FALSE)),0,VLOOKUP($A424,'Mutasi Neraca'!$A$3:$S$910,12,FALSE))</f>
        <v>11674496999</v>
      </c>
      <c r="N424" s="42">
        <f>VLOOKUP($A424,'Neraca Unaudited SIMAK'!$A$2:$R$1272,13,FALSE)+IF(ISNA(VLOOKUP($A424,'Mutasi Neraca'!$A$3:$S$910,13,FALSE)),0,VLOOKUP($A424,'Mutasi Neraca'!$A$3:$S$910,13,FALSE))</f>
        <v>-320647756</v>
      </c>
      <c r="O424" s="42">
        <f>VLOOKUP($A424,'Neraca Unaudited SIMAK'!$A$2:$R$1272,14,FALSE)+IF(ISNA(VLOOKUP($A424,'Mutasi Neraca'!$A$3:$S$910,14,FALSE)),0,VLOOKUP($A424,'Mutasi Neraca'!$A$3:$S$910,14,FALSE))</f>
        <v>-568133935</v>
      </c>
      <c r="P424" s="42">
        <f>VLOOKUP($A424,'Neraca Unaudited SIMAK'!$A$2:$R$1272,15,FALSE)+IF(ISNA(VLOOKUP($A424,'Mutasi Neraca'!$A$3:$S$910,15,FALSE)),0,VLOOKUP($A424,'Mutasi Neraca'!$A$3:$S$910,15,FALSE))</f>
        <v>0</v>
      </c>
      <c r="Q424" s="42">
        <f>VLOOKUP($A424,'Neraca Unaudited SIMAK'!$A$2:$R$1272,16,FALSE)+IF(ISNA(VLOOKUP($A424,'Mutasi Neraca'!$A$3:$S$910,16,FALSE)),0,VLOOKUP($A424,'Mutasi Neraca'!$A$3:$S$910,16,FALSE))</f>
        <v>0</v>
      </c>
      <c r="R424" s="42">
        <f>VLOOKUP($A424,'Neraca Unaudited SIMAK'!$A$2:$R$1272,17,FALSE)+IF(ISNA(VLOOKUP($A424,'Mutasi Neraca'!$A$3:$S$910,17,FALSE)),0,VLOOKUP($A424,'Mutasi Neraca'!$A$3:$S$910,17,FALSE))</f>
        <v>0</v>
      </c>
      <c r="S424" s="42">
        <f t="shared" si="55"/>
        <v>10785715308</v>
      </c>
    </row>
    <row r="425" spans="1:19">
      <c r="A425" s="41" t="s">
        <v>432</v>
      </c>
      <c r="B425" s="41" t="str">
        <f t="shared" si="54"/>
        <v>005011200</v>
      </c>
      <c r="D425" s="42">
        <f>VLOOKUP($A425,'Neraca Unaudited SIMAK'!$A$2:$R$1272,3,FALSE)+IF(ISNA(VLOOKUP($A425,'Mutasi Neraca'!$A$3:$S$910,3,FALSE)),0,VLOOKUP($A425,'Mutasi Neraca'!$A$3:$S$910,3,FALSE))</f>
        <v>19480650</v>
      </c>
      <c r="E425" s="42">
        <f>VLOOKUP($A425,'Neraca Unaudited SIMAK'!$A$2:$R$1272,4,FALSE)+IF(ISNA(VLOOKUP($A425,'Mutasi Neraca'!$A$3:$S$910,4,FALSE)),0,VLOOKUP($A425,'Mutasi Neraca'!$A$3:$S$910,4,FALSE))</f>
        <v>2855779800</v>
      </c>
      <c r="F425" s="42">
        <f>VLOOKUP($A425,'Neraca Unaudited SIMAK'!$A$2:$R$1272,5,FALSE)+IF(ISNA(VLOOKUP($A425,'Mutasi Neraca'!$A$3:$S$910,5,FALSE)),0,VLOOKUP($A425,'Mutasi Neraca'!$A$3:$S$910,5,FALSE))</f>
        <v>2976275844</v>
      </c>
      <c r="G425" s="42">
        <f>VLOOKUP($A425,'Neraca Unaudited SIMAK'!$A$2:$R$1272,6,FALSE)+IF(ISNA(VLOOKUP($A425,'Mutasi Neraca'!$A$3:$S$910,6,FALSE)),0,VLOOKUP($A425,'Mutasi Neraca'!$A$3:$S$910,6,FALSE))</f>
        <v>12300445384</v>
      </c>
      <c r="H425" s="42">
        <f>VLOOKUP($A425,'Neraca Unaudited SIMAK'!$A$2:$R$1272,7,FALSE)+IF(ISNA(VLOOKUP($A425,'Mutasi Neraca'!$A$3:$S$910,7,FALSE)),0,VLOOKUP($A425,'Mutasi Neraca'!$A$3:$S$910,7,FALSE))</f>
        <v>7618000</v>
      </c>
      <c r="I425" s="42">
        <f>VLOOKUP($A425,'Neraca Unaudited SIMAK'!$A$2:$R$1272,8,FALSE)+IF(ISNA(VLOOKUP($A425,'Mutasi Neraca'!$A$3:$S$910,8,FALSE)),0,VLOOKUP($A425,'Mutasi Neraca'!$A$3:$S$910,8,FALSE))</f>
        <v>4772118</v>
      </c>
      <c r="J425" s="42">
        <f>VLOOKUP($A425,'Neraca Unaudited SIMAK'!$A$2:$R$1272,9,FALSE)+IF(ISNA(VLOOKUP($A425,'Mutasi Neraca'!$A$3:$S$910,9,FALSE)),0,VLOOKUP($A425,'Mutasi Neraca'!$A$3:$S$910,9,FALSE))</f>
        <v>0</v>
      </c>
      <c r="K425" s="42">
        <f>VLOOKUP($A425,'Neraca Unaudited SIMAK'!$A$2:$R$1272,10,FALSE)+IF(ISNA(VLOOKUP($A425,'Mutasi Neraca'!$A$3:$S$910,10,FALSE)),0,VLOOKUP($A425,'Mutasi Neraca'!$A$3:$S$910,10,FALSE))</f>
        <v>10567500</v>
      </c>
      <c r="L425" s="42">
        <f>VLOOKUP($A425,'Neraca Unaudited SIMAK'!$A$2:$R$1272,11,FALSE)+IF(ISNA(VLOOKUP($A425,'Mutasi Neraca'!$A$3:$S$910,11,FALSE)),0,VLOOKUP($A425,'Mutasi Neraca'!$A$3:$S$910,11,FALSE))</f>
        <v>4730000</v>
      </c>
      <c r="M425" s="42">
        <f>VLOOKUP($A425,'Neraca Unaudited SIMAK'!$A$2:$R$1272,12,FALSE)+IF(ISNA(VLOOKUP($A425,'Mutasi Neraca'!$A$3:$S$910,12,FALSE)),0,VLOOKUP($A425,'Mutasi Neraca'!$A$3:$S$910,12,FALSE))</f>
        <v>18179669296</v>
      </c>
      <c r="N425" s="42">
        <f>VLOOKUP($A425,'Neraca Unaudited SIMAK'!$A$2:$R$1272,13,FALSE)+IF(ISNA(VLOOKUP($A425,'Mutasi Neraca'!$A$3:$S$910,13,FALSE)),0,VLOOKUP($A425,'Mutasi Neraca'!$A$3:$S$910,13,FALSE))</f>
        <v>-2721291576</v>
      </c>
      <c r="O425" s="42">
        <f>VLOOKUP($A425,'Neraca Unaudited SIMAK'!$A$2:$R$1272,14,FALSE)+IF(ISNA(VLOOKUP($A425,'Mutasi Neraca'!$A$3:$S$910,14,FALSE)),0,VLOOKUP($A425,'Mutasi Neraca'!$A$3:$S$910,14,FALSE))</f>
        <v>-2849454945</v>
      </c>
      <c r="P425" s="42">
        <f>VLOOKUP($A425,'Neraca Unaudited SIMAK'!$A$2:$R$1272,15,FALSE)+IF(ISNA(VLOOKUP($A425,'Mutasi Neraca'!$A$3:$S$910,15,FALSE)),0,VLOOKUP($A425,'Mutasi Neraca'!$A$3:$S$910,15,FALSE))</f>
        <v>-5866900</v>
      </c>
      <c r="Q425" s="42">
        <f>VLOOKUP($A425,'Neraca Unaudited SIMAK'!$A$2:$R$1272,16,FALSE)+IF(ISNA(VLOOKUP($A425,'Mutasi Neraca'!$A$3:$S$910,16,FALSE)),0,VLOOKUP($A425,'Mutasi Neraca'!$A$3:$S$910,16,FALSE))</f>
        <v>0</v>
      </c>
      <c r="R425" s="42">
        <f>VLOOKUP($A425,'Neraca Unaudited SIMAK'!$A$2:$R$1272,17,FALSE)+IF(ISNA(VLOOKUP($A425,'Mutasi Neraca'!$A$3:$S$910,17,FALSE)),0,VLOOKUP($A425,'Mutasi Neraca'!$A$3:$S$910,17,FALSE))</f>
        <v>-4730000</v>
      </c>
      <c r="S425" s="42">
        <f t="shared" si="55"/>
        <v>12598325875</v>
      </c>
    </row>
    <row r="426" spans="1:19">
      <c r="A426" s="41" t="s">
        <v>433</v>
      </c>
      <c r="B426" s="41" t="str">
        <f t="shared" si="54"/>
        <v>005011200</v>
      </c>
      <c r="D426" s="42">
        <f>VLOOKUP($A426,'Neraca Unaudited SIMAK'!$A$2:$R$1272,3,FALSE)+IF(ISNA(VLOOKUP($A426,'Mutasi Neraca'!$A$3:$S$910,3,FALSE)),0,VLOOKUP($A426,'Mutasi Neraca'!$A$3:$S$910,3,FALSE))</f>
        <v>1985000</v>
      </c>
      <c r="E426" s="42">
        <f>VLOOKUP($A426,'Neraca Unaudited SIMAK'!$A$2:$R$1272,4,FALSE)+IF(ISNA(VLOOKUP($A426,'Mutasi Neraca'!$A$3:$S$910,4,FALSE)),0,VLOOKUP($A426,'Mutasi Neraca'!$A$3:$S$910,4,FALSE))</f>
        <v>3693134500</v>
      </c>
      <c r="F426" s="42">
        <f>VLOOKUP($A426,'Neraca Unaudited SIMAK'!$A$2:$R$1272,5,FALSE)+IF(ISNA(VLOOKUP($A426,'Mutasi Neraca'!$A$3:$S$910,5,FALSE)),0,VLOOKUP($A426,'Mutasi Neraca'!$A$3:$S$910,5,FALSE))</f>
        <v>1870745644</v>
      </c>
      <c r="G426" s="42">
        <f>VLOOKUP($A426,'Neraca Unaudited SIMAK'!$A$2:$R$1272,6,FALSE)+IF(ISNA(VLOOKUP($A426,'Mutasi Neraca'!$A$3:$S$910,6,FALSE)),0,VLOOKUP($A426,'Mutasi Neraca'!$A$3:$S$910,6,FALSE))</f>
        <v>8668066412</v>
      </c>
      <c r="H426" s="42">
        <f>VLOOKUP($A426,'Neraca Unaudited SIMAK'!$A$2:$R$1272,7,FALSE)+IF(ISNA(VLOOKUP($A426,'Mutasi Neraca'!$A$3:$S$910,7,FALSE)),0,VLOOKUP($A426,'Mutasi Neraca'!$A$3:$S$910,7,FALSE))</f>
        <v>141112500</v>
      </c>
      <c r="I426" s="42">
        <f>VLOOKUP($A426,'Neraca Unaudited SIMAK'!$A$2:$R$1272,8,FALSE)+IF(ISNA(VLOOKUP($A426,'Mutasi Neraca'!$A$3:$S$910,8,FALSE)),0,VLOOKUP($A426,'Mutasi Neraca'!$A$3:$S$910,8,FALSE))</f>
        <v>10422118</v>
      </c>
      <c r="J426" s="42">
        <f>VLOOKUP($A426,'Neraca Unaudited SIMAK'!$A$2:$R$1272,9,FALSE)+IF(ISNA(VLOOKUP($A426,'Mutasi Neraca'!$A$3:$S$910,9,FALSE)),0,VLOOKUP($A426,'Mutasi Neraca'!$A$3:$S$910,9,FALSE))</f>
        <v>0</v>
      </c>
      <c r="K426" s="42">
        <f>VLOOKUP($A426,'Neraca Unaudited SIMAK'!$A$2:$R$1272,10,FALSE)+IF(ISNA(VLOOKUP($A426,'Mutasi Neraca'!$A$3:$S$910,10,FALSE)),0,VLOOKUP($A426,'Mutasi Neraca'!$A$3:$S$910,10,FALSE))</f>
        <v>8112500</v>
      </c>
      <c r="L426" s="42">
        <f>VLOOKUP($A426,'Neraca Unaudited SIMAK'!$A$2:$R$1272,11,FALSE)+IF(ISNA(VLOOKUP($A426,'Mutasi Neraca'!$A$3:$S$910,11,FALSE)),0,VLOOKUP($A426,'Mutasi Neraca'!$A$3:$S$910,11,FALSE))</f>
        <v>258178500</v>
      </c>
      <c r="M426" s="42">
        <f>VLOOKUP($A426,'Neraca Unaudited SIMAK'!$A$2:$R$1272,12,FALSE)+IF(ISNA(VLOOKUP($A426,'Mutasi Neraca'!$A$3:$S$910,12,FALSE)),0,VLOOKUP($A426,'Mutasi Neraca'!$A$3:$S$910,12,FALSE))</f>
        <v>14651757174</v>
      </c>
      <c r="N426" s="42">
        <f>VLOOKUP($A426,'Neraca Unaudited SIMAK'!$A$2:$R$1272,13,FALSE)+IF(ISNA(VLOOKUP($A426,'Mutasi Neraca'!$A$3:$S$910,13,FALSE)),0,VLOOKUP($A426,'Mutasi Neraca'!$A$3:$S$910,13,FALSE))</f>
        <v>-1810793842</v>
      </c>
      <c r="O426" s="42">
        <f>VLOOKUP($A426,'Neraca Unaudited SIMAK'!$A$2:$R$1272,14,FALSE)+IF(ISNA(VLOOKUP($A426,'Mutasi Neraca'!$A$3:$S$910,14,FALSE)),0,VLOOKUP($A426,'Mutasi Neraca'!$A$3:$S$910,14,FALSE))</f>
        <v>-5658612524</v>
      </c>
      <c r="P426" s="42">
        <f>VLOOKUP($A426,'Neraca Unaudited SIMAK'!$A$2:$R$1272,15,FALSE)+IF(ISNA(VLOOKUP($A426,'Mutasi Neraca'!$A$3:$S$910,15,FALSE)),0,VLOOKUP($A426,'Mutasi Neraca'!$A$3:$S$910,15,FALSE))</f>
        <v>-105834375</v>
      </c>
      <c r="Q426" s="42">
        <f>VLOOKUP($A426,'Neraca Unaudited SIMAK'!$A$2:$R$1272,16,FALSE)+IF(ISNA(VLOOKUP($A426,'Mutasi Neraca'!$A$3:$S$910,16,FALSE)),0,VLOOKUP($A426,'Mutasi Neraca'!$A$3:$S$910,16,FALSE))</f>
        <v>0</v>
      </c>
      <c r="R426" s="42">
        <f>VLOOKUP($A426,'Neraca Unaudited SIMAK'!$A$2:$R$1272,17,FALSE)+IF(ISNA(VLOOKUP($A426,'Mutasi Neraca'!$A$3:$S$910,17,FALSE)),0,VLOOKUP($A426,'Mutasi Neraca'!$A$3:$S$910,17,FALSE))</f>
        <v>-261903500</v>
      </c>
      <c r="S426" s="42">
        <f t="shared" si="55"/>
        <v>6814612933</v>
      </c>
    </row>
    <row r="427" spans="1:19">
      <c r="A427" s="41" t="s">
        <v>434</v>
      </c>
      <c r="B427" s="41" t="str">
        <f t="shared" si="54"/>
        <v>005011200</v>
      </c>
      <c r="D427" s="42">
        <f>VLOOKUP($A427,'Neraca Unaudited SIMAK'!$A$2:$R$1272,3,FALSE)+IF(ISNA(VLOOKUP($A427,'Mutasi Neraca'!$A$3:$S$910,3,FALSE)),0,VLOOKUP($A427,'Mutasi Neraca'!$A$3:$S$910,3,FALSE))</f>
        <v>429000</v>
      </c>
      <c r="E427" s="42">
        <f>VLOOKUP($A427,'Neraca Unaudited SIMAK'!$A$2:$R$1272,4,FALSE)+IF(ISNA(VLOOKUP($A427,'Mutasi Neraca'!$A$3:$S$910,4,FALSE)),0,VLOOKUP($A427,'Mutasi Neraca'!$A$3:$S$910,4,FALSE))</f>
        <v>1595505100</v>
      </c>
      <c r="F427" s="42">
        <f>VLOOKUP($A427,'Neraca Unaudited SIMAK'!$A$2:$R$1272,5,FALSE)+IF(ISNA(VLOOKUP($A427,'Mutasi Neraca'!$A$3:$S$910,5,FALSE)),0,VLOOKUP($A427,'Mutasi Neraca'!$A$3:$S$910,5,FALSE))</f>
        <v>1816859192</v>
      </c>
      <c r="G427" s="42">
        <f>VLOOKUP($A427,'Neraca Unaudited SIMAK'!$A$2:$R$1272,6,FALSE)+IF(ISNA(VLOOKUP($A427,'Mutasi Neraca'!$A$3:$S$910,6,FALSE)),0,VLOOKUP($A427,'Mutasi Neraca'!$A$3:$S$910,6,FALSE))</f>
        <v>4791390000</v>
      </c>
      <c r="H427" s="42">
        <f>VLOOKUP($A427,'Neraca Unaudited SIMAK'!$A$2:$R$1272,7,FALSE)+IF(ISNA(VLOOKUP($A427,'Mutasi Neraca'!$A$3:$S$910,7,FALSE)),0,VLOOKUP($A427,'Mutasi Neraca'!$A$3:$S$910,7,FALSE))</f>
        <v>124550000</v>
      </c>
      <c r="I427" s="42">
        <f>VLOOKUP($A427,'Neraca Unaudited SIMAK'!$A$2:$R$1272,8,FALSE)+IF(ISNA(VLOOKUP($A427,'Mutasi Neraca'!$A$3:$S$910,8,FALSE)),0,VLOOKUP($A427,'Mutasi Neraca'!$A$3:$S$910,8,FALSE))</f>
        <v>29772118</v>
      </c>
      <c r="J427" s="42">
        <f>VLOOKUP($A427,'Neraca Unaudited SIMAK'!$A$2:$R$1272,9,FALSE)+IF(ISNA(VLOOKUP($A427,'Mutasi Neraca'!$A$3:$S$910,9,FALSE)),0,VLOOKUP($A427,'Mutasi Neraca'!$A$3:$S$910,9,FALSE))</f>
        <v>0</v>
      </c>
      <c r="K427" s="42">
        <f>VLOOKUP($A427,'Neraca Unaudited SIMAK'!$A$2:$R$1272,10,FALSE)+IF(ISNA(VLOOKUP($A427,'Mutasi Neraca'!$A$3:$S$910,10,FALSE)),0,VLOOKUP($A427,'Mutasi Neraca'!$A$3:$S$910,10,FALSE))</f>
        <v>0</v>
      </c>
      <c r="L427" s="42">
        <f>VLOOKUP($A427,'Neraca Unaudited SIMAK'!$A$2:$R$1272,11,FALSE)+IF(ISNA(VLOOKUP($A427,'Mutasi Neraca'!$A$3:$S$910,11,FALSE)),0,VLOOKUP($A427,'Mutasi Neraca'!$A$3:$S$910,11,FALSE))</f>
        <v>526456600</v>
      </c>
      <c r="M427" s="42">
        <f>VLOOKUP($A427,'Neraca Unaudited SIMAK'!$A$2:$R$1272,12,FALSE)+IF(ISNA(VLOOKUP($A427,'Mutasi Neraca'!$A$3:$S$910,12,FALSE)),0,VLOOKUP($A427,'Mutasi Neraca'!$A$3:$S$910,12,FALSE))</f>
        <v>8884962010</v>
      </c>
      <c r="N427" s="42">
        <f>VLOOKUP($A427,'Neraca Unaudited SIMAK'!$A$2:$R$1272,13,FALSE)+IF(ISNA(VLOOKUP($A427,'Mutasi Neraca'!$A$3:$S$910,13,FALSE)),0,VLOOKUP($A427,'Mutasi Neraca'!$A$3:$S$910,13,FALSE))</f>
        <v>-1477145509</v>
      </c>
      <c r="O427" s="42">
        <f>VLOOKUP($A427,'Neraca Unaudited SIMAK'!$A$2:$R$1272,14,FALSE)+IF(ISNA(VLOOKUP($A427,'Mutasi Neraca'!$A$3:$S$910,14,FALSE)),0,VLOOKUP($A427,'Mutasi Neraca'!$A$3:$S$910,14,FALSE))</f>
        <v>-3235134950</v>
      </c>
      <c r="P427" s="42">
        <f>VLOOKUP($A427,'Neraca Unaudited SIMAK'!$A$2:$R$1272,15,FALSE)+IF(ISNA(VLOOKUP($A427,'Mutasi Neraca'!$A$3:$S$910,15,FALSE)),0,VLOOKUP($A427,'Mutasi Neraca'!$A$3:$S$910,15,FALSE))</f>
        <v>-14578125</v>
      </c>
      <c r="Q427" s="42">
        <f>VLOOKUP($A427,'Neraca Unaudited SIMAK'!$A$2:$R$1272,16,FALSE)+IF(ISNA(VLOOKUP($A427,'Mutasi Neraca'!$A$3:$S$910,16,FALSE)),0,VLOOKUP($A427,'Mutasi Neraca'!$A$3:$S$910,16,FALSE))</f>
        <v>-25000000</v>
      </c>
      <c r="R427" s="42">
        <f>VLOOKUP($A427,'Neraca Unaudited SIMAK'!$A$2:$R$1272,17,FALSE)+IF(ISNA(VLOOKUP($A427,'Mutasi Neraca'!$A$3:$S$910,17,FALSE)),0,VLOOKUP($A427,'Mutasi Neraca'!$A$3:$S$910,17,FALSE))</f>
        <v>-411304600</v>
      </c>
      <c r="S427" s="42">
        <f t="shared" si="55"/>
        <v>3721798826</v>
      </c>
    </row>
    <row r="428" spans="1:19">
      <c r="A428" s="41" t="s">
        <v>435</v>
      </c>
      <c r="B428" s="41" t="str">
        <f t="shared" si="54"/>
        <v>005011200</v>
      </c>
      <c r="D428" s="42">
        <f>VLOOKUP($A428,'Neraca Unaudited SIMAK'!$A$2:$R$1272,3,FALSE)+IF(ISNA(VLOOKUP($A428,'Mutasi Neraca'!$A$3:$S$910,3,FALSE)),0,VLOOKUP($A428,'Mutasi Neraca'!$A$3:$S$910,3,FALSE))</f>
        <v>6300487</v>
      </c>
      <c r="E428" s="42">
        <f>VLOOKUP($A428,'Neraca Unaudited SIMAK'!$A$2:$R$1272,4,FALSE)+IF(ISNA(VLOOKUP($A428,'Mutasi Neraca'!$A$3:$S$910,4,FALSE)),0,VLOOKUP($A428,'Mutasi Neraca'!$A$3:$S$910,4,FALSE))</f>
        <v>6226910000</v>
      </c>
      <c r="F428" s="42">
        <f>VLOOKUP($A428,'Neraca Unaudited SIMAK'!$A$2:$R$1272,5,FALSE)+IF(ISNA(VLOOKUP($A428,'Mutasi Neraca'!$A$3:$S$910,5,FALSE)),0,VLOOKUP($A428,'Mutasi Neraca'!$A$3:$S$910,5,FALSE))</f>
        <v>4580776414</v>
      </c>
      <c r="G428" s="42">
        <f>VLOOKUP($A428,'Neraca Unaudited SIMAK'!$A$2:$R$1272,6,FALSE)+IF(ISNA(VLOOKUP($A428,'Mutasi Neraca'!$A$3:$S$910,6,FALSE)),0,VLOOKUP($A428,'Mutasi Neraca'!$A$3:$S$910,6,FALSE))</f>
        <v>8373236960</v>
      </c>
      <c r="H428" s="42">
        <f>VLOOKUP($A428,'Neraca Unaudited SIMAK'!$A$2:$R$1272,7,FALSE)+IF(ISNA(VLOOKUP($A428,'Mutasi Neraca'!$A$3:$S$910,7,FALSE)),0,VLOOKUP($A428,'Mutasi Neraca'!$A$3:$S$910,7,FALSE))</f>
        <v>988414370</v>
      </c>
      <c r="I428" s="42">
        <f>VLOOKUP($A428,'Neraca Unaudited SIMAK'!$A$2:$R$1272,8,FALSE)+IF(ISNA(VLOOKUP($A428,'Mutasi Neraca'!$A$3:$S$910,8,FALSE)),0,VLOOKUP($A428,'Mutasi Neraca'!$A$3:$S$910,8,FALSE))</f>
        <v>4772118</v>
      </c>
      <c r="J428" s="42">
        <f>VLOOKUP($A428,'Neraca Unaudited SIMAK'!$A$2:$R$1272,9,FALSE)+IF(ISNA(VLOOKUP($A428,'Mutasi Neraca'!$A$3:$S$910,9,FALSE)),0,VLOOKUP($A428,'Mutasi Neraca'!$A$3:$S$910,9,FALSE))</f>
        <v>0</v>
      </c>
      <c r="K428" s="42">
        <f>VLOOKUP($A428,'Neraca Unaudited SIMAK'!$A$2:$R$1272,10,FALSE)+IF(ISNA(VLOOKUP($A428,'Mutasi Neraca'!$A$3:$S$910,10,FALSE)),0,VLOOKUP($A428,'Mutasi Neraca'!$A$3:$S$910,10,FALSE))</f>
        <v>0</v>
      </c>
      <c r="L428" s="42">
        <f>VLOOKUP($A428,'Neraca Unaudited SIMAK'!$A$2:$R$1272,11,FALSE)+IF(ISNA(VLOOKUP($A428,'Mutasi Neraca'!$A$3:$S$910,11,FALSE)),0,VLOOKUP($A428,'Mutasi Neraca'!$A$3:$S$910,11,FALSE))</f>
        <v>0</v>
      </c>
      <c r="M428" s="42">
        <f>VLOOKUP($A428,'Neraca Unaudited SIMAK'!$A$2:$R$1272,12,FALSE)+IF(ISNA(VLOOKUP($A428,'Mutasi Neraca'!$A$3:$S$910,12,FALSE)),0,VLOOKUP($A428,'Mutasi Neraca'!$A$3:$S$910,12,FALSE))</f>
        <v>20180410349</v>
      </c>
      <c r="N428" s="42">
        <f>VLOOKUP($A428,'Neraca Unaudited SIMAK'!$A$2:$R$1272,13,FALSE)+IF(ISNA(VLOOKUP($A428,'Mutasi Neraca'!$A$3:$S$910,13,FALSE)),0,VLOOKUP($A428,'Mutasi Neraca'!$A$3:$S$910,13,FALSE))</f>
        <v>-3876829276</v>
      </c>
      <c r="O428" s="42">
        <f>VLOOKUP($A428,'Neraca Unaudited SIMAK'!$A$2:$R$1272,14,FALSE)+IF(ISNA(VLOOKUP($A428,'Mutasi Neraca'!$A$3:$S$910,14,FALSE)),0,VLOOKUP($A428,'Mutasi Neraca'!$A$3:$S$910,14,FALSE))</f>
        <v>-3984953535</v>
      </c>
      <c r="P428" s="42">
        <f>VLOOKUP($A428,'Neraca Unaudited SIMAK'!$A$2:$R$1272,15,FALSE)+IF(ISNA(VLOOKUP($A428,'Mutasi Neraca'!$A$3:$S$910,15,FALSE)),0,VLOOKUP($A428,'Mutasi Neraca'!$A$3:$S$910,15,FALSE))</f>
        <v>-533679803</v>
      </c>
      <c r="Q428" s="42">
        <f>VLOOKUP($A428,'Neraca Unaudited SIMAK'!$A$2:$R$1272,16,FALSE)+IF(ISNA(VLOOKUP($A428,'Mutasi Neraca'!$A$3:$S$910,16,FALSE)),0,VLOOKUP($A428,'Mutasi Neraca'!$A$3:$S$910,16,FALSE))</f>
        <v>0</v>
      </c>
      <c r="R428" s="42">
        <f>VLOOKUP($A428,'Neraca Unaudited SIMAK'!$A$2:$R$1272,17,FALSE)+IF(ISNA(VLOOKUP($A428,'Mutasi Neraca'!$A$3:$S$910,17,FALSE)),0,VLOOKUP($A428,'Mutasi Neraca'!$A$3:$S$910,17,FALSE))</f>
        <v>0</v>
      </c>
      <c r="S428" s="42">
        <f t="shared" si="55"/>
        <v>11784947735</v>
      </c>
    </row>
    <row r="429" spans="1:19">
      <c r="A429" s="41" t="s">
        <v>436</v>
      </c>
      <c r="B429" s="41" t="str">
        <f t="shared" si="54"/>
        <v>005011200</v>
      </c>
      <c r="D429" s="42">
        <f>VLOOKUP($A429,'Neraca Unaudited SIMAK'!$A$2:$R$1272,3,FALSE)+IF(ISNA(VLOOKUP($A429,'Mutasi Neraca'!$A$3:$S$910,3,FALSE)),0,VLOOKUP($A429,'Mutasi Neraca'!$A$3:$S$910,3,FALSE))</f>
        <v>11156600</v>
      </c>
      <c r="E429" s="42">
        <f>VLOOKUP($A429,'Neraca Unaudited SIMAK'!$A$2:$R$1272,4,FALSE)+IF(ISNA(VLOOKUP($A429,'Mutasi Neraca'!$A$3:$S$910,4,FALSE)),0,VLOOKUP($A429,'Mutasi Neraca'!$A$3:$S$910,4,FALSE))</f>
        <v>2501691714</v>
      </c>
      <c r="F429" s="42">
        <f>VLOOKUP($A429,'Neraca Unaudited SIMAK'!$A$2:$R$1272,5,FALSE)+IF(ISNA(VLOOKUP($A429,'Mutasi Neraca'!$A$3:$S$910,5,FALSE)),0,VLOOKUP($A429,'Mutasi Neraca'!$A$3:$S$910,5,FALSE))</f>
        <v>2197634296</v>
      </c>
      <c r="G429" s="42">
        <f>VLOOKUP($A429,'Neraca Unaudited SIMAK'!$A$2:$R$1272,6,FALSE)+IF(ISNA(VLOOKUP($A429,'Mutasi Neraca'!$A$3:$S$910,6,FALSE)),0,VLOOKUP($A429,'Mutasi Neraca'!$A$3:$S$910,6,FALSE))</f>
        <v>9320009239</v>
      </c>
      <c r="H429" s="42">
        <f>VLOOKUP($A429,'Neraca Unaudited SIMAK'!$A$2:$R$1272,7,FALSE)+IF(ISNA(VLOOKUP($A429,'Mutasi Neraca'!$A$3:$S$910,7,FALSE)),0,VLOOKUP($A429,'Mutasi Neraca'!$A$3:$S$910,7,FALSE))</f>
        <v>788545495</v>
      </c>
      <c r="I429" s="42">
        <f>VLOOKUP($A429,'Neraca Unaudited SIMAK'!$A$2:$R$1272,8,FALSE)+IF(ISNA(VLOOKUP($A429,'Mutasi Neraca'!$A$3:$S$910,8,FALSE)),0,VLOOKUP($A429,'Mutasi Neraca'!$A$3:$S$910,8,FALSE))</f>
        <v>4772118</v>
      </c>
      <c r="J429" s="42">
        <f>VLOOKUP($A429,'Neraca Unaudited SIMAK'!$A$2:$R$1272,9,FALSE)+IF(ISNA(VLOOKUP($A429,'Mutasi Neraca'!$A$3:$S$910,9,FALSE)),0,VLOOKUP($A429,'Mutasi Neraca'!$A$3:$S$910,9,FALSE))</f>
        <v>0</v>
      </c>
      <c r="K429" s="42">
        <f>VLOOKUP($A429,'Neraca Unaudited SIMAK'!$A$2:$R$1272,10,FALSE)+IF(ISNA(VLOOKUP($A429,'Mutasi Neraca'!$A$3:$S$910,10,FALSE)),0,VLOOKUP($A429,'Mutasi Neraca'!$A$3:$S$910,10,FALSE))</f>
        <v>0</v>
      </c>
      <c r="L429" s="42">
        <f>VLOOKUP($A429,'Neraca Unaudited SIMAK'!$A$2:$R$1272,11,FALSE)+IF(ISNA(VLOOKUP($A429,'Mutasi Neraca'!$A$3:$S$910,11,FALSE)),0,VLOOKUP($A429,'Mutasi Neraca'!$A$3:$S$910,11,FALSE))</f>
        <v>183934648</v>
      </c>
      <c r="M429" s="42">
        <f>VLOOKUP($A429,'Neraca Unaudited SIMAK'!$A$2:$R$1272,12,FALSE)+IF(ISNA(VLOOKUP($A429,'Mutasi Neraca'!$A$3:$S$910,12,FALSE)),0,VLOOKUP($A429,'Mutasi Neraca'!$A$3:$S$910,12,FALSE))</f>
        <v>15007744110</v>
      </c>
      <c r="N429" s="42">
        <f>VLOOKUP($A429,'Neraca Unaudited SIMAK'!$A$2:$R$1272,13,FALSE)+IF(ISNA(VLOOKUP($A429,'Mutasi Neraca'!$A$3:$S$910,13,FALSE)),0,VLOOKUP($A429,'Mutasi Neraca'!$A$3:$S$910,13,FALSE))</f>
        <v>-2086531412</v>
      </c>
      <c r="O429" s="42">
        <f>VLOOKUP($A429,'Neraca Unaudited SIMAK'!$A$2:$R$1272,14,FALSE)+IF(ISNA(VLOOKUP($A429,'Mutasi Neraca'!$A$3:$S$910,14,FALSE)),0,VLOOKUP($A429,'Mutasi Neraca'!$A$3:$S$910,14,FALSE))</f>
        <v>-4036415712</v>
      </c>
      <c r="P429" s="42">
        <f>VLOOKUP($A429,'Neraca Unaudited SIMAK'!$A$2:$R$1272,15,FALSE)+IF(ISNA(VLOOKUP($A429,'Mutasi Neraca'!$A$3:$S$910,15,FALSE)),0,VLOOKUP($A429,'Mutasi Neraca'!$A$3:$S$910,15,FALSE))</f>
        <v>-183224983</v>
      </c>
      <c r="Q429" s="42">
        <f>VLOOKUP($A429,'Neraca Unaudited SIMAK'!$A$2:$R$1272,16,FALSE)+IF(ISNA(VLOOKUP($A429,'Mutasi Neraca'!$A$3:$S$910,16,FALSE)),0,VLOOKUP($A429,'Mutasi Neraca'!$A$3:$S$910,16,FALSE))</f>
        <v>0</v>
      </c>
      <c r="R429" s="42">
        <f>VLOOKUP($A429,'Neraca Unaudited SIMAK'!$A$2:$R$1272,17,FALSE)+IF(ISNA(VLOOKUP($A429,'Mutasi Neraca'!$A$3:$S$910,17,FALSE)),0,VLOOKUP($A429,'Mutasi Neraca'!$A$3:$S$910,17,FALSE))</f>
        <v>-183934648</v>
      </c>
      <c r="S429" s="42">
        <f t="shared" si="55"/>
        <v>8517637355</v>
      </c>
    </row>
    <row r="430" spans="1:19">
      <c r="A430" s="41" t="s">
        <v>437</v>
      </c>
      <c r="B430" s="41" t="str">
        <f t="shared" si="54"/>
        <v>005011200</v>
      </c>
      <c r="D430" s="42">
        <f>VLOOKUP($A430,'Neraca Unaudited SIMAK'!$A$2:$R$1272,3,FALSE)+IF(ISNA(VLOOKUP($A430,'Mutasi Neraca'!$A$3:$S$910,3,FALSE)),0,VLOOKUP($A430,'Mutasi Neraca'!$A$3:$S$910,3,FALSE))</f>
        <v>25376200</v>
      </c>
      <c r="E430" s="42">
        <f>VLOOKUP($A430,'Neraca Unaudited SIMAK'!$A$2:$R$1272,4,FALSE)+IF(ISNA(VLOOKUP($A430,'Mutasi Neraca'!$A$3:$S$910,4,FALSE)),0,VLOOKUP($A430,'Mutasi Neraca'!$A$3:$S$910,4,FALSE))</f>
        <v>1371400000</v>
      </c>
      <c r="F430" s="42">
        <f>VLOOKUP($A430,'Neraca Unaudited SIMAK'!$A$2:$R$1272,5,FALSE)+IF(ISNA(VLOOKUP($A430,'Mutasi Neraca'!$A$3:$S$910,5,FALSE)),0,VLOOKUP($A430,'Mutasi Neraca'!$A$3:$S$910,5,FALSE))</f>
        <v>2046922663</v>
      </c>
      <c r="G430" s="42">
        <f>VLOOKUP($A430,'Neraca Unaudited SIMAK'!$A$2:$R$1272,6,FALSE)+IF(ISNA(VLOOKUP($A430,'Mutasi Neraca'!$A$3:$S$910,6,FALSE)),0,VLOOKUP($A430,'Mutasi Neraca'!$A$3:$S$910,6,FALSE))</f>
        <v>2092840000</v>
      </c>
      <c r="H430" s="42">
        <f>VLOOKUP($A430,'Neraca Unaudited SIMAK'!$A$2:$R$1272,7,FALSE)+IF(ISNA(VLOOKUP($A430,'Mutasi Neraca'!$A$3:$S$910,7,FALSE)),0,VLOOKUP($A430,'Mutasi Neraca'!$A$3:$S$910,7,FALSE))</f>
        <v>325450000</v>
      </c>
      <c r="I430" s="42">
        <f>VLOOKUP($A430,'Neraca Unaudited SIMAK'!$A$2:$R$1272,8,FALSE)+IF(ISNA(VLOOKUP($A430,'Mutasi Neraca'!$A$3:$S$910,8,FALSE)),0,VLOOKUP($A430,'Mutasi Neraca'!$A$3:$S$910,8,FALSE))</f>
        <v>6266678</v>
      </c>
      <c r="J430" s="42">
        <f>VLOOKUP($A430,'Neraca Unaudited SIMAK'!$A$2:$R$1272,9,FALSE)+IF(ISNA(VLOOKUP($A430,'Mutasi Neraca'!$A$3:$S$910,9,FALSE)),0,VLOOKUP($A430,'Mutasi Neraca'!$A$3:$S$910,9,FALSE))</f>
        <v>0</v>
      </c>
      <c r="K430" s="42">
        <f>VLOOKUP($A430,'Neraca Unaudited SIMAK'!$A$2:$R$1272,10,FALSE)+IF(ISNA(VLOOKUP($A430,'Mutasi Neraca'!$A$3:$S$910,10,FALSE)),0,VLOOKUP($A430,'Mutasi Neraca'!$A$3:$S$910,10,FALSE))</f>
        <v>7000000</v>
      </c>
      <c r="L430" s="42">
        <f>VLOOKUP($A430,'Neraca Unaudited SIMAK'!$A$2:$R$1272,11,FALSE)+IF(ISNA(VLOOKUP($A430,'Mutasi Neraca'!$A$3:$S$910,11,FALSE)),0,VLOOKUP($A430,'Mutasi Neraca'!$A$3:$S$910,11,FALSE))</f>
        <v>0</v>
      </c>
      <c r="M430" s="42">
        <f>VLOOKUP($A430,'Neraca Unaudited SIMAK'!$A$2:$R$1272,12,FALSE)+IF(ISNA(VLOOKUP($A430,'Mutasi Neraca'!$A$3:$S$910,12,FALSE)),0,VLOOKUP($A430,'Mutasi Neraca'!$A$3:$S$910,12,FALSE))</f>
        <v>5875255541</v>
      </c>
      <c r="N430" s="42">
        <f>VLOOKUP($A430,'Neraca Unaudited SIMAK'!$A$2:$R$1272,13,FALSE)+IF(ISNA(VLOOKUP($A430,'Mutasi Neraca'!$A$3:$S$910,13,FALSE)),0,VLOOKUP($A430,'Mutasi Neraca'!$A$3:$S$910,13,FALSE))</f>
        <v>-1668099072</v>
      </c>
      <c r="O430" s="42">
        <f>VLOOKUP($A430,'Neraca Unaudited SIMAK'!$A$2:$R$1272,14,FALSE)+IF(ISNA(VLOOKUP($A430,'Mutasi Neraca'!$A$3:$S$910,14,FALSE)),0,VLOOKUP($A430,'Mutasi Neraca'!$A$3:$S$910,14,FALSE))</f>
        <v>-321137225</v>
      </c>
      <c r="P430" s="42">
        <f>VLOOKUP($A430,'Neraca Unaudited SIMAK'!$A$2:$R$1272,15,FALSE)+IF(ISNA(VLOOKUP($A430,'Mutasi Neraca'!$A$3:$S$910,15,FALSE)),0,VLOOKUP($A430,'Mutasi Neraca'!$A$3:$S$910,15,FALSE))</f>
        <v>-280783920</v>
      </c>
      <c r="Q430" s="42">
        <f>VLOOKUP($A430,'Neraca Unaudited SIMAK'!$A$2:$R$1272,16,FALSE)+IF(ISNA(VLOOKUP($A430,'Mutasi Neraca'!$A$3:$S$910,16,FALSE)),0,VLOOKUP($A430,'Mutasi Neraca'!$A$3:$S$910,16,FALSE))</f>
        <v>-375000</v>
      </c>
      <c r="R430" s="42">
        <f>VLOOKUP($A430,'Neraca Unaudited SIMAK'!$A$2:$R$1272,17,FALSE)+IF(ISNA(VLOOKUP($A430,'Mutasi Neraca'!$A$3:$S$910,17,FALSE)),0,VLOOKUP($A430,'Mutasi Neraca'!$A$3:$S$910,17,FALSE))</f>
        <v>0</v>
      </c>
      <c r="S430" s="42">
        <f t="shared" si="55"/>
        <v>3604860324</v>
      </c>
    </row>
    <row r="431" spans="1:19">
      <c r="A431" s="41" t="s">
        <v>438</v>
      </c>
      <c r="B431" s="41" t="str">
        <f t="shared" si="54"/>
        <v>005011200</v>
      </c>
      <c r="D431" s="42">
        <f>VLOOKUP($A431,'Neraca Unaudited SIMAK'!$A$2:$R$1272,3,FALSE)+IF(ISNA(VLOOKUP($A431,'Mutasi Neraca'!$A$3:$S$910,3,FALSE)),0,VLOOKUP($A431,'Mutasi Neraca'!$A$3:$S$910,3,FALSE))</f>
        <v>299000</v>
      </c>
      <c r="E431" s="42">
        <f>VLOOKUP($A431,'Neraca Unaudited SIMAK'!$A$2:$R$1272,4,FALSE)+IF(ISNA(VLOOKUP($A431,'Mutasi Neraca'!$A$3:$S$910,4,FALSE)),0,VLOOKUP($A431,'Mutasi Neraca'!$A$3:$S$910,4,FALSE))</f>
        <v>171000000</v>
      </c>
      <c r="F431" s="42">
        <f>VLOOKUP($A431,'Neraca Unaudited SIMAK'!$A$2:$R$1272,5,FALSE)+IF(ISNA(VLOOKUP($A431,'Mutasi Neraca'!$A$3:$S$910,5,FALSE)),0,VLOOKUP($A431,'Mutasi Neraca'!$A$3:$S$910,5,FALSE))</f>
        <v>1226506448</v>
      </c>
      <c r="G431" s="42">
        <f>VLOOKUP($A431,'Neraca Unaudited SIMAK'!$A$2:$R$1272,6,FALSE)+IF(ISNA(VLOOKUP($A431,'Mutasi Neraca'!$A$3:$S$910,6,FALSE)),0,VLOOKUP($A431,'Mutasi Neraca'!$A$3:$S$910,6,FALSE))</f>
        <v>2360579000</v>
      </c>
      <c r="H431" s="42">
        <f>VLOOKUP($A431,'Neraca Unaudited SIMAK'!$A$2:$R$1272,7,FALSE)+IF(ISNA(VLOOKUP($A431,'Mutasi Neraca'!$A$3:$S$910,7,FALSE)),0,VLOOKUP($A431,'Mutasi Neraca'!$A$3:$S$910,7,FALSE))</f>
        <v>90050000</v>
      </c>
      <c r="I431" s="42">
        <f>VLOOKUP($A431,'Neraca Unaudited SIMAK'!$A$2:$R$1272,8,FALSE)+IF(ISNA(VLOOKUP($A431,'Mutasi Neraca'!$A$3:$S$910,8,FALSE)),0,VLOOKUP($A431,'Mutasi Neraca'!$A$3:$S$910,8,FALSE))</f>
        <v>438000</v>
      </c>
      <c r="J431" s="42">
        <f>VLOOKUP($A431,'Neraca Unaudited SIMAK'!$A$2:$R$1272,9,FALSE)+IF(ISNA(VLOOKUP($A431,'Mutasi Neraca'!$A$3:$S$910,9,FALSE)),0,VLOOKUP($A431,'Mutasi Neraca'!$A$3:$S$910,9,FALSE))</f>
        <v>0</v>
      </c>
      <c r="K431" s="42">
        <f>VLOOKUP($A431,'Neraca Unaudited SIMAK'!$A$2:$R$1272,10,FALSE)+IF(ISNA(VLOOKUP($A431,'Mutasi Neraca'!$A$3:$S$910,10,FALSE)),0,VLOOKUP($A431,'Mutasi Neraca'!$A$3:$S$910,10,FALSE))</f>
        <v>13000000</v>
      </c>
      <c r="L431" s="42">
        <f>VLOOKUP($A431,'Neraca Unaudited SIMAK'!$A$2:$R$1272,11,FALSE)+IF(ISNA(VLOOKUP($A431,'Mutasi Neraca'!$A$3:$S$910,11,FALSE)),0,VLOOKUP($A431,'Mutasi Neraca'!$A$3:$S$910,11,FALSE))</f>
        <v>0</v>
      </c>
      <c r="M431" s="42">
        <f>VLOOKUP($A431,'Neraca Unaudited SIMAK'!$A$2:$R$1272,12,FALSE)+IF(ISNA(VLOOKUP($A431,'Mutasi Neraca'!$A$3:$S$910,12,FALSE)),0,VLOOKUP($A431,'Mutasi Neraca'!$A$3:$S$910,12,FALSE))</f>
        <v>3861872448</v>
      </c>
      <c r="N431" s="42">
        <f>VLOOKUP($A431,'Neraca Unaudited SIMAK'!$A$2:$R$1272,13,FALSE)+IF(ISNA(VLOOKUP($A431,'Mutasi Neraca'!$A$3:$S$910,13,FALSE)),0,VLOOKUP($A431,'Mutasi Neraca'!$A$3:$S$910,13,FALSE))</f>
        <v>-951775945</v>
      </c>
      <c r="O431" s="42">
        <f>VLOOKUP($A431,'Neraca Unaudited SIMAK'!$A$2:$R$1272,14,FALSE)+IF(ISNA(VLOOKUP($A431,'Mutasi Neraca'!$A$3:$S$910,14,FALSE)),0,VLOOKUP($A431,'Mutasi Neraca'!$A$3:$S$910,14,FALSE))</f>
        <v>-304466690</v>
      </c>
      <c r="P431" s="42">
        <f>VLOOKUP($A431,'Neraca Unaudited SIMAK'!$A$2:$R$1272,15,FALSE)+IF(ISNA(VLOOKUP($A431,'Mutasi Neraca'!$A$3:$S$910,15,FALSE)),0,VLOOKUP($A431,'Mutasi Neraca'!$A$3:$S$910,15,FALSE))</f>
        <v>-31353335</v>
      </c>
      <c r="Q431" s="42">
        <f>VLOOKUP($A431,'Neraca Unaudited SIMAK'!$A$2:$R$1272,16,FALSE)+IF(ISNA(VLOOKUP($A431,'Mutasi Neraca'!$A$3:$S$910,16,FALSE)),0,VLOOKUP($A431,'Mutasi Neraca'!$A$3:$S$910,16,FALSE))</f>
        <v>0</v>
      </c>
      <c r="R431" s="42">
        <f>VLOOKUP($A431,'Neraca Unaudited SIMAK'!$A$2:$R$1272,17,FALSE)+IF(ISNA(VLOOKUP($A431,'Mutasi Neraca'!$A$3:$S$910,17,FALSE)),0,VLOOKUP($A431,'Mutasi Neraca'!$A$3:$S$910,17,FALSE))</f>
        <v>0</v>
      </c>
      <c r="S431" s="42">
        <f t="shared" si="55"/>
        <v>2574276478</v>
      </c>
    </row>
    <row r="432" spans="1:19">
      <c r="A432" s="41" t="s">
        <v>439</v>
      </c>
      <c r="B432" s="41" t="str">
        <f t="shared" si="54"/>
        <v>005011200</v>
      </c>
      <c r="D432" s="42">
        <f>VLOOKUP($A432,'Neraca Unaudited SIMAK'!$A$2:$R$1272,3,FALSE)+IF(ISNA(VLOOKUP($A432,'Mutasi Neraca'!$A$3:$S$910,3,FALSE)),0,VLOOKUP($A432,'Mutasi Neraca'!$A$3:$S$910,3,FALSE))</f>
        <v>171000</v>
      </c>
      <c r="E432" s="42">
        <f>VLOOKUP($A432,'Neraca Unaudited SIMAK'!$A$2:$R$1272,4,FALSE)+IF(ISNA(VLOOKUP($A432,'Mutasi Neraca'!$A$3:$S$910,4,FALSE)),0,VLOOKUP($A432,'Mutasi Neraca'!$A$3:$S$910,4,FALSE))</f>
        <v>365190000</v>
      </c>
      <c r="F432" s="42">
        <f>VLOOKUP($A432,'Neraca Unaudited SIMAK'!$A$2:$R$1272,5,FALSE)+IF(ISNA(VLOOKUP($A432,'Mutasi Neraca'!$A$3:$S$910,5,FALSE)),0,VLOOKUP($A432,'Mutasi Neraca'!$A$3:$S$910,5,FALSE))</f>
        <v>1226786003</v>
      </c>
      <c r="G432" s="42">
        <f>VLOOKUP($A432,'Neraca Unaudited SIMAK'!$A$2:$R$1272,6,FALSE)+IF(ISNA(VLOOKUP($A432,'Mutasi Neraca'!$A$3:$S$910,6,FALSE)),0,VLOOKUP($A432,'Mutasi Neraca'!$A$3:$S$910,6,FALSE))</f>
        <v>1421697309</v>
      </c>
      <c r="H432" s="42">
        <f>VLOOKUP($A432,'Neraca Unaudited SIMAK'!$A$2:$R$1272,7,FALSE)+IF(ISNA(VLOOKUP($A432,'Mutasi Neraca'!$A$3:$S$910,7,FALSE)),0,VLOOKUP($A432,'Mutasi Neraca'!$A$3:$S$910,7,FALSE))</f>
        <v>39229964</v>
      </c>
      <c r="I432" s="42">
        <f>VLOOKUP($A432,'Neraca Unaudited SIMAK'!$A$2:$R$1272,8,FALSE)+IF(ISNA(VLOOKUP($A432,'Mutasi Neraca'!$A$3:$S$910,8,FALSE)),0,VLOOKUP($A432,'Mutasi Neraca'!$A$3:$S$910,8,FALSE))</f>
        <v>3266678</v>
      </c>
      <c r="J432" s="42">
        <f>VLOOKUP($A432,'Neraca Unaudited SIMAK'!$A$2:$R$1272,9,FALSE)+IF(ISNA(VLOOKUP($A432,'Mutasi Neraca'!$A$3:$S$910,9,FALSE)),0,VLOOKUP($A432,'Mutasi Neraca'!$A$3:$S$910,9,FALSE))</f>
        <v>0</v>
      </c>
      <c r="K432" s="42">
        <f>VLOOKUP($A432,'Neraca Unaudited SIMAK'!$A$2:$R$1272,10,FALSE)+IF(ISNA(VLOOKUP($A432,'Mutasi Neraca'!$A$3:$S$910,10,FALSE)),0,VLOOKUP($A432,'Mutasi Neraca'!$A$3:$S$910,10,FALSE))</f>
        <v>0</v>
      </c>
      <c r="L432" s="42">
        <f>VLOOKUP($A432,'Neraca Unaudited SIMAK'!$A$2:$R$1272,11,FALSE)+IF(ISNA(VLOOKUP($A432,'Mutasi Neraca'!$A$3:$S$910,11,FALSE)),0,VLOOKUP($A432,'Mutasi Neraca'!$A$3:$S$910,11,FALSE))</f>
        <v>166448333</v>
      </c>
      <c r="M432" s="42">
        <f>VLOOKUP($A432,'Neraca Unaudited SIMAK'!$A$2:$R$1272,12,FALSE)+IF(ISNA(VLOOKUP($A432,'Mutasi Neraca'!$A$3:$S$910,12,FALSE)),0,VLOOKUP($A432,'Mutasi Neraca'!$A$3:$S$910,12,FALSE))</f>
        <v>3222789287</v>
      </c>
      <c r="N432" s="42">
        <f>VLOOKUP($A432,'Neraca Unaudited SIMAK'!$A$2:$R$1272,13,FALSE)+IF(ISNA(VLOOKUP($A432,'Mutasi Neraca'!$A$3:$S$910,13,FALSE)),0,VLOOKUP($A432,'Mutasi Neraca'!$A$3:$S$910,13,FALSE))</f>
        <v>-981376333</v>
      </c>
      <c r="O432" s="42">
        <f>VLOOKUP($A432,'Neraca Unaudited SIMAK'!$A$2:$R$1272,14,FALSE)+IF(ISNA(VLOOKUP($A432,'Mutasi Neraca'!$A$3:$S$910,14,FALSE)),0,VLOOKUP($A432,'Mutasi Neraca'!$A$3:$S$910,14,FALSE))</f>
        <v>-267402373</v>
      </c>
      <c r="P432" s="42">
        <f>VLOOKUP($A432,'Neraca Unaudited SIMAK'!$A$2:$R$1272,15,FALSE)+IF(ISNA(VLOOKUP($A432,'Mutasi Neraca'!$A$3:$S$910,15,FALSE)),0,VLOOKUP($A432,'Mutasi Neraca'!$A$3:$S$910,15,FALSE))</f>
        <v>-39229964</v>
      </c>
      <c r="Q432" s="42">
        <f>VLOOKUP($A432,'Neraca Unaudited SIMAK'!$A$2:$R$1272,16,FALSE)+IF(ISNA(VLOOKUP($A432,'Mutasi Neraca'!$A$3:$S$910,16,FALSE)),0,VLOOKUP($A432,'Mutasi Neraca'!$A$3:$S$910,16,FALSE))</f>
        <v>0</v>
      </c>
      <c r="R432" s="42">
        <f>VLOOKUP($A432,'Neraca Unaudited SIMAK'!$A$2:$R$1272,17,FALSE)+IF(ISNA(VLOOKUP($A432,'Mutasi Neraca'!$A$3:$S$910,17,FALSE)),0,VLOOKUP($A432,'Mutasi Neraca'!$A$3:$S$910,17,FALSE))</f>
        <v>-105048333</v>
      </c>
      <c r="S432" s="42">
        <f t="shared" si="55"/>
        <v>1829732284</v>
      </c>
    </row>
    <row r="433" spans="1:19">
      <c r="A433" s="41" t="s">
        <v>440</v>
      </c>
      <c r="B433" s="41" t="str">
        <f t="shared" si="54"/>
        <v>005011200</v>
      </c>
      <c r="D433" s="42">
        <f>VLOOKUP($A433,'Neraca Unaudited SIMAK'!$A$2:$R$1272,3,FALSE)+IF(ISNA(VLOOKUP($A433,'Mutasi Neraca'!$A$3:$S$910,3,FALSE)),0,VLOOKUP($A433,'Mutasi Neraca'!$A$3:$S$910,3,FALSE))</f>
        <v>771500</v>
      </c>
      <c r="E433" s="42">
        <f>VLOOKUP($A433,'Neraca Unaudited SIMAK'!$A$2:$R$1272,4,FALSE)+IF(ISNA(VLOOKUP($A433,'Mutasi Neraca'!$A$3:$S$910,4,FALSE)),0,VLOOKUP($A433,'Mutasi Neraca'!$A$3:$S$910,4,FALSE))</f>
        <v>1051605958</v>
      </c>
      <c r="F433" s="42">
        <f>VLOOKUP($A433,'Neraca Unaudited SIMAK'!$A$2:$R$1272,5,FALSE)+IF(ISNA(VLOOKUP($A433,'Mutasi Neraca'!$A$3:$S$910,5,FALSE)),0,VLOOKUP($A433,'Mutasi Neraca'!$A$3:$S$910,5,FALSE))</f>
        <v>658912367</v>
      </c>
      <c r="G433" s="42">
        <f>VLOOKUP($A433,'Neraca Unaudited SIMAK'!$A$2:$R$1272,6,FALSE)+IF(ISNA(VLOOKUP($A433,'Mutasi Neraca'!$A$3:$S$910,6,FALSE)),0,VLOOKUP($A433,'Mutasi Neraca'!$A$3:$S$910,6,FALSE))</f>
        <v>3492671510</v>
      </c>
      <c r="H433" s="42">
        <f>VLOOKUP($A433,'Neraca Unaudited SIMAK'!$A$2:$R$1272,7,FALSE)+IF(ISNA(VLOOKUP($A433,'Mutasi Neraca'!$A$3:$S$910,7,FALSE)),0,VLOOKUP($A433,'Mutasi Neraca'!$A$3:$S$910,7,FALSE))</f>
        <v>388579500</v>
      </c>
      <c r="I433" s="42">
        <f>VLOOKUP($A433,'Neraca Unaudited SIMAK'!$A$2:$R$1272,8,FALSE)+IF(ISNA(VLOOKUP($A433,'Mutasi Neraca'!$A$3:$S$910,8,FALSE)),0,VLOOKUP($A433,'Mutasi Neraca'!$A$3:$S$910,8,FALSE))</f>
        <v>3266678</v>
      </c>
      <c r="J433" s="42">
        <f>VLOOKUP($A433,'Neraca Unaudited SIMAK'!$A$2:$R$1272,9,FALSE)+IF(ISNA(VLOOKUP($A433,'Mutasi Neraca'!$A$3:$S$910,9,FALSE)),0,VLOOKUP($A433,'Mutasi Neraca'!$A$3:$S$910,9,FALSE))</f>
        <v>0</v>
      </c>
      <c r="K433" s="42">
        <f>VLOOKUP($A433,'Neraca Unaudited SIMAK'!$A$2:$R$1272,10,FALSE)+IF(ISNA(VLOOKUP($A433,'Mutasi Neraca'!$A$3:$S$910,10,FALSE)),0,VLOOKUP($A433,'Mutasi Neraca'!$A$3:$S$910,10,FALSE))</f>
        <v>20750000</v>
      </c>
      <c r="L433" s="42">
        <f>VLOOKUP($A433,'Neraca Unaudited SIMAK'!$A$2:$R$1272,11,FALSE)+IF(ISNA(VLOOKUP($A433,'Mutasi Neraca'!$A$3:$S$910,11,FALSE)),0,VLOOKUP($A433,'Mutasi Neraca'!$A$3:$S$910,11,FALSE))</f>
        <v>256480998</v>
      </c>
      <c r="M433" s="42">
        <f>VLOOKUP($A433,'Neraca Unaudited SIMAK'!$A$2:$R$1272,12,FALSE)+IF(ISNA(VLOOKUP($A433,'Mutasi Neraca'!$A$3:$S$910,12,FALSE)),0,VLOOKUP($A433,'Mutasi Neraca'!$A$3:$S$910,12,FALSE))</f>
        <v>5873038511</v>
      </c>
      <c r="N433" s="42">
        <f>VLOOKUP($A433,'Neraca Unaudited SIMAK'!$A$2:$R$1272,13,FALSE)+IF(ISNA(VLOOKUP($A433,'Mutasi Neraca'!$A$3:$S$910,13,FALSE)),0,VLOOKUP($A433,'Mutasi Neraca'!$A$3:$S$910,13,FALSE))</f>
        <v>-612480382</v>
      </c>
      <c r="O433" s="42">
        <f>VLOOKUP($A433,'Neraca Unaudited SIMAK'!$A$2:$R$1272,14,FALSE)+IF(ISNA(VLOOKUP($A433,'Mutasi Neraca'!$A$3:$S$910,14,FALSE)),0,VLOOKUP($A433,'Mutasi Neraca'!$A$3:$S$910,14,FALSE))</f>
        <v>-630966982</v>
      </c>
      <c r="P433" s="42">
        <f>VLOOKUP($A433,'Neraca Unaudited SIMAK'!$A$2:$R$1272,15,FALSE)+IF(ISNA(VLOOKUP($A433,'Mutasi Neraca'!$A$3:$S$910,15,FALSE)),0,VLOOKUP($A433,'Mutasi Neraca'!$A$3:$S$910,15,FALSE))</f>
        <v>-140754020</v>
      </c>
      <c r="Q433" s="42">
        <f>VLOOKUP($A433,'Neraca Unaudited SIMAK'!$A$2:$R$1272,16,FALSE)+IF(ISNA(VLOOKUP($A433,'Mutasi Neraca'!$A$3:$S$910,16,FALSE)),0,VLOOKUP($A433,'Mutasi Neraca'!$A$3:$S$910,16,FALSE))</f>
        <v>0</v>
      </c>
      <c r="R433" s="42">
        <f>VLOOKUP($A433,'Neraca Unaudited SIMAK'!$A$2:$R$1272,17,FALSE)+IF(ISNA(VLOOKUP($A433,'Mutasi Neraca'!$A$3:$S$910,17,FALSE)),0,VLOOKUP($A433,'Mutasi Neraca'!$A$3:$S$910,17,FALSE))</f>
        <v>-256480998</v>
      </c>
      <c r="S433" s="42">
        <f t="shared" si="55"/>
        <v>4232356129</v>
      </c>
    </row>
    <row r="434" spans="1:19">
      <c r="A434" s="41" t="s">
        <v>441</v>
      </c>
      <c r="B434" s="41" t="str">
        <f t="shared" si="54"/>
        <v>005011200</v>
      </c>
      <c r="D434" s="42">
        <f>VLOOKUP($A434,'Neraca Unaudited SIMAK'!$A$2:$R$1272,3,FALSE)+IF(ISNA(VLOOKUP($A434,'Mutasi Neraca'!$A$3:$S$910,3,FALSE)),0,VLOOKUP($A434,'Mutasi Neraca'!$A$3:$S$910,3,FALSE))</f>
        <v>1432000</v>
      </c>
      <c r="E434" s="42">
        <f>VLOOKUP($A434,'Neraca Unaudited SIMAK'!$A$2:$R$1272,4,FALSE)+IF(ISNA(VLOOKUP($A434,'Mutasi Neraca'!$A$3:$S$910,4,FALSE)),0,VLOOKUP($A434,'Mutasi Neraca'!$A$3:$S$910,4,FALSE))</f>
        <v>834034900</v>
      </c>
      <c r="F434" s="42">
        <f>VLOOKUP($A434,'Neraca Unaudited SIMAK'!$A$2:$R$1272,5,FALSE)+IF(ISNA(VLOOKUP($A434,'Mutasi Neraca'!$A$3:$S$910,5,FALSE)),0,VLOOKUP($A434,'Mutasi Neraca'!$A$3:$S$910,5,FALSE))</f>
        <v>1626942880</v>
      </c>
      <c r="G434" s="42">
        <f>VLOOKUP($A434,'Neraca Unaudited SIMAK'!$A$2:$R$1272,6,FALSE)+IF(ISNA(VLOOKUP($A434,'Mutasi Neraca'!$A$3:$S$910,6,FALSE)),0,VLOOKUP($A434,'Mutasi Neraca'!$A$3:$S$910,6,FALSE))</f>
        <v>4429262560</v>
      </c>
      <c r="H434" s="42">
        <f>VLOOKUP($A434,'Neraca Unaudited SIMAK'!$A$2:$R$1272,7,FALSE)+IF(ISNA(VLOOKUP($A434,'Mutasi Neraca'!$A$3:$S$910,7,FALSE)),0,VLOOKUP($A434,'Mutasi Neraca'!$A$3:$S$910,7,FALSE))</f>
        <v>119670000</v>
      </c>
      <c r="I434" s="42">
        <f>VLOOKUP($A434,'Neraca Unaudited SIMAK'!$A$2:$R$1272,8,FALSE)+IF(ISNA(VLOOKUP($A434,'Mutasi Neraca'!$A$3:$S$910,8,FALSE)),0,VLOOKUP($A434,'Mutasi Neraca'!$A$3:$S$910,8,FALSE))</f>
        <v>763000</v>
      </c>
      <c r="J434" s="42">
        <f>VLOOKUP($A434,'Neraca Unaudited SIMAK'!$A$2:$R$1272,9,FALSE)+IF(ISNA(VLOOKUP($A434,'Mutasi Neraca'!$A$3:$S$910,9,FALSE)),0,VLOOKUP($A434,'Mutasi Neraca'!$A$3:$S$910,9,FALSE))</f>
        <v>0</v>
      </c>
      <c r="K434" s="42">
        <f>VLOOKUP($A434,'Neraca Unaudited SIMAK'!$A$2:$R$1272,10,FALSE)+IF(ISNA(VLOOKUP($A434,'Mutasi Neraca'!$A$3:$S$910,10,FALSE)),0,VLOOKUP($A434,'Mutasi Neraca'!$A$3:$S$910,10,FALSE))</f>
        <v>20750000</v>
      </c>
      <c r="L434" s="42">
        <f>VLOOKUP($A434,'Neraca Unaudited SIMAK'!$A$2:$R$1272,11,FALSE)+IF(ISNA(VLOOKUP($A434,'Mutasi Neraca'!$A$3:$S$910,11,FALSE)),0,VLOOKUP($A434,'Mutasi Neraca'!$A$3:$S$910,11,FALSE))</f>
        <v>26597468</v>
      </c>
      <c r="M434" s="42">
        <f>VLOOKUP($A434,'Neraca Unaudited SIMAK'!$A$2:$R$1272,12,FALSE)+IF(ISNA(VLOOKUP($A434,'Mutasi Neraca'!$A$3:$S$910,12,FALSE)),0,VLOOKUP($A434,'Mutasi Neraca'!$A$3:$S$910,12,FALSE))</f>
        <v>7059452808</v>
      </c>
      <c r="N434" s="42">
        <f>VLOOKUP($A434,'Neraca Unaudited SIMAK'!$A$2:$R$1272,13,FALSE)+IF(ISNA(VLOOKUP($A434,'Mutasi Neraca'!$A$3:$S$910,13,FALSE)),0,VLOOKUP($A434,'Mutasi Neraca'!$A$3:$S$910,13,FALSE))</f>
        <v>-1317160671</v>
      </c>
      <c r="O434" s="42">
        <f>VLOOKUP($A434,'Neraca Unaudited SIMAK'!$A$2:$R$1272,14,FALSE)+IF(ISNA(VLOOKUP($A434,'Mutasi Neraca'!$A$3:$S$910,14,FALSE)),0,VLOOKUP($A434,'Mutasi Neraca'!$A$3:$S$910,14,FALSE))</f>
        <v>-627521675</v>
      </c>
      <c r="P434" s="42">
        <f>VLOOKUP($A434,'Neraca Unaudited SIMAK'!$A$2:$R$1272,15,FALSE)+IF(ISNA(VLOOKUP($A434,'Mutasi Neraca'!$A$3:$S$910,15,FALSE)),0,VLOOKUP($A434,'Mutasi Neraca'!$A$3:$S$910,15,FALSE))</f>
        <v>-58514125</v>
      </c>
      <c r="Q434" s="42">
        <f>VLOOKUP($A434,'Neraca Unaudited SIMAK'!$A$2:$R$1272,16,FALSE)+IF(ISNA(VLOOKUP($A434,'Mutasi Neraca'!$A$3:$S$910,16,FALSE)),0,VLOOKUP($A434,'Mutasi Neraca'!$A$3:$S$910,16,FALSE))</f>
        <v>0</v>
      </c>
      <c r="R434" s="42">
        <f>VLOOKUP($A434,'Neraca Unaudited SIMAK'!$A$2:$R$1272,17,FALSE)+IF(ISNA(VLOOKUP($A434,'Mutasi Neraca'!$A$3:$S$910,17,FALSE)),0,VLOOKUP($A434,'Mutasi Neraca'!$A$3:$S$910,17,FALSE))</f>
        <v>-26597468</v>
      </c>
      <c r="S434" s="42">
        <f t="shared" si="55"/>
        <v>5029658869</v>
      </c>
    </row>
    <row r="435" spans="1:19">
      <c r="A435" s="41" t="s">
        <v>442</v>
      </c>
      <c r="B435" s="41" t="str">
        <f t="shared" si="54"/>
        <v>005011200</v>
      </c>
      <c r="D435" s="42">
        <f>VLOOKUP($A435,'Neraca Unaudited SIMAK'!$A$2:$R$1272,3,FALSE)+IF(ISNA(VLOOKUP($A435,'Mutasi Neraca'!$A$3:$S$910,3,FALSE)),0,VLOOKUP($A435,'Mutasi Neraca'!$A$3:$S$910,3,FALSE))</f>
        <v>178000</v>
      </c>
      <c r="E435" s="42">
        <f>VLOOKUP($A435,'Neraca Unaudited SIMAK'!$A$2:$R$1272,4,FALSE)+IF(ISNA(VLOOKUP($A435,'Mutasi Neraca'!$A$3:$S$910,4,FALSE)),0,VLOOKUP($A435,'Mutasi Neraca'!$A$3:$S$910,4,FALSE))</f>
        <v>1603500000</v>
      </c>
      <c r="F435" s="42">
        <f>VLOOKUP($A435,'Neraca Unaudited SIMAK'!$A$2:$R$1272,5,FALSE)+IF(ISNA(VLOOKUP($A435,'Mutasi Neraca'!$A$3:$S$910,5,FALSE)),0,VLOOKUP($A435,'Mutasi Neraca'!$A$3:$S$910,5,FALSE))</f>
        <v>2295635367</v>
      </c>
      <c r="G435" s="42">
        <f>VLOOKUP($A435,'Neraca Unaudited SIMAK'!$A$2:$R$1272,6,FALSE)+IF(ISNA(VLOOKUP($A435,'Mutasi Neraca'!$A$3:$S$910,6,FALSE)),0,VLOOKUP($A435,'Mutasi Neraca'!$A$3:$S$910,6,FALSE))</f>
        <v>8981760694</v>
      </c>
      <c r="H435" s="42">
        <f>VLOOKUP($A435,'Neraca Unaudited SIMAK'!$A$2:$R$1272,7,FALSE)+IF(ISNA(VLOOKUP($A435,'Mutasi Neraca'!$A$3:$S$910,7,FALSE)),0,VLOOKUP($A435,'Mutasi Neraca'!$A$3:$S$910,7,FALSE))</f>
        <v>234569796</v>
      </c>
      <c r="I435" s="42">
        <f>VLOOKUP($A435,'Neraca Unaudited SIMAK'!$A$2:$R$1272,8,FALSE)+IF(ISNA(VLOOKUP($A435,'Mutasi Neraca'!$A$3:$S$910,8,FALSE)),0,VLOOKUP($A435,'Mutasi Neraca'!$A$3:$S$910,8,FALSE))</f>
        <v>24572118</v>
      </c>
      <c r="J435" s="42">
        <f>VLOOKUP($A435,'Neraca Unaudited SIMAK'!$A$2:$R$1272,9,FALSE)+IF(ISNA(VLOOKUP($A435,'Mutasi Neraca'!$A$3:$S$910,9,FALSE)),0,VLOOKUP($A435,'Mutasi Neraca'!$A$3:$S$910,9,FALSE))</f>
        <v>437898000</v>
      </c>
      <c r="K435" s="42">
        <f>VLOOKUP($A435,'Neraca Unaudited SIMAK'!$A$2:$R$1272,10,FALSE)+IF(ISNA(VLOOKUP($A435,'Mutasi Neraca'!$A$3:$S$910,10,FALSE)),0,VLOOKUP($A435,'Mutasi Neraca'!$A$3:$S$910,10,FALSE))</f>
        <v>0</v>
      </c>
      <c r="L435" s="42">
        <f>VLOOKUP($A435,'Neraca Unaudited SIMAK'!$A$2:$R$1272,11,FALSE)+IF(ISNA(VLOOKUP($A435,'Mutasi Neraca'!$A$3:$S$910,11,FALSE)),0,VLOOKUP($A435,'Mutasi Neraca'!$A$3:$S$910,11,FALSE))</f>
        <v>14700000</v>
      </c>
      <c r="M435" s="42">
        <f>VLOOKUP($A435,'Neraca Unaudited SIMAK'!$A$2:$R$1272,12,FALSE)+IF(ISNA(VLOOKUP($A435,'Mutasi Neraca'!$A$3:$S$910,12,FALSE)),0,VLOOKUP($A435,'Mutasi Neraca'!$A$3:$S$910,12,FALSE))</f>
        <v>13592813975</v>
      </c>
      <c r="N435" s="42">
        <f>VLOOKUP($A435,'Neraca Unaudited SIMAK'!$A$2:$R$1272,13,FALSE)+IF(ISNA(VLOOKUP($A435,'Mutasi Neraca'!$A$3:$S$910,13,FALSE)),0,VLOOKUP($A435,'Mutasi Neraca'!$A$3:$S$910,13,FALSE))</f>
        <v>-1961718894</v>
      </c>
      <c r="O435" s="42">
        <f>VLOOKUP($A435,'Neraca Unaudited SIMAK'!$A$2:$R$1272,14,FALSE)+IF(ISNA(VLOOKUP($A435,'Mutasi Neraca'!$A$3:$S$910,14,FALSE)),0,VLOOKUP($A435,'Mutasi Neraca'!$A$3:$S$910,14,FALSE))</f>
        <v>-1960035215</v>
      </c>
      <c r="P435" s="42">
        <f>VLOOKUP($A435,'Neraca Unaudited SIMAK'!$A$2:$R$1272,15,FALSE)+IF(ISNA(VLOOKUP($A435,'Mutasi Neraca'!$A$3:$S$910,15,FALSE)),0,VLOOKUP($A435,'Mutasi Neraca'!$A$3:$S$910,15,FALSE))</f>
        <v>-125038286</v>
      </c>
      <c r="Q435" s="42">
        <f>VLOOKUP($A435,'Neraca Unaudited SIMAK'!$A$2:$R$1272,16,FALSE)+IF(ISNA(VLOOKUP($A435,'Mutasi Neraca'!$A$3:$S$910,16,FALSE)),0,VLOOKUP($A435,'Mutasi Neraca'!$A$3:$S$910,16,FALSE))</f>
        <v>-19800000</v>
      </c>
      <c r="R435" s="42">
        <f>VLOOKUP($A435,'Neraca Unaudited SIMAK'!$A$2:$R$1272,17,FALSE)+IF(ISNA(VLOOKUP($A435,'Mutasi Neraca'!$A$3:$S$910,17,FALSE)),0,VLOOKUP($A435,'Mutasi Neraca'!$A$3:$S$910,17,FALSE))</f>
        <v>-14700000</v>
      </c>
      <c r="S435" s="42">
        <f t="shared" si="55"/>
        <v>9511521580</v>
      </c>
    </row>
    <row r="436" spans="1:19">
      <c r="A436" s="41" t="s">
        <v>443</v>
      </c>
      <c r="B436" s="41" t="str">
        <f t="shared" si="54"/>
        <v>005011200</v>
      </c>
      <c r="D436" s="42">
        <f>VLOOKUP($A436,'Neraca Unaudited SIMAK'!$A$2:$R$1272,3,FALSE)+IF(ISNA(VLOOKUP($A436,'Mutasi Neraca'!$A$3:$S$910,3,FALSE)),0,VLOOKUP($A436,'Mutasi Neraca'!$A$3:$S$910,3,FALSE))</f>
        <v>10449050</v>
      </c>
      <c r="E436" s="42">
        <f>VLOOKUP($A436,'Neraca Unaudited SIMAK'!$A$2:$R$1272,4,FALSE)+IF(ISNA(VLOOKUP($A436,'Mutasi Neraca'!$A$3:$S$910,4,FALSE)),0,VLOOKUP($A436,'Mutasi Neraca'!$A$3:$S$910,4,FALSE))</f>
        <v>2122133994</v>
      </c>
      <c r="F436" s="42">
        <f>VLOOKUP($A436,'Neraca Unaudited SIMAK'!$A$2:$R$1272,5,FALSE)+IF(ISNA(VLOOKUP($A436,'Mutasi Neraca'!$A$3:$S$910,5,FALSE)),0,VLOOKUP($A436,'Mutasi Neraca'!$A$3:$S$910,5,FALSE))</f>
        <v>3854957066</v>
      </c>
      <c r="G436" s="42">
        <f>VLOOKUP($A436,'Neraca Unaudited SIMAK'!$A$2:$R$1272,6,FALSE)+IF(ISNA(VLOOKUP($A436,'Mutasi Neraca'!$A$3:$S$910,6,FALSE)),0,VLOOKUP($A436,'Mutasi Neraca'!$A$3:$S$910,6,FALSE))</f>
        <v>9027757499</v>
      </c>
      <c r="H436" s="42">
        <f>VLOOKUP($A436,'Neraca Unaudited SIMAK'!$A$2:$R$1272,7,FALSE)+IF(ISNA(VLOOKUP($A436,'Mutasi Neraca'!$A$3:$S$910,7,FALSE)),0,VLOOKUP($A436,'Mutasi Neraca'!$A$3:$S$910,7,FALSE))</f>
        <v>484769501</v>
      </c>
      <c r="I436" s="42">
        <f>VLOOKUP($A436,'Neraca Unaudited SIMAK'!$A$2:$R$1272,8,FALSE)+IF(ISNA(VLOOKUP($A436,'Mutasi Neraca'!$A$3:$S$910,8,FALSE)),0,VLOOKUP($A436,'Mutasi Neraca'!$A$3:$S$910,8,FALSE))</f>
        <v>61616678</v>
      </c>
      <c r="J436" s="42">
        <f>VLOOKUP($A436,'Neraca Unaudited SIMAK'!$A$2:$R$1272,9,FALSE)+IF(ISNA(VLOOKUP($A436,'Mutasi Neraca'!$A$3:$S$910,9,FALSE)),0,VLOOKUP($A436,'Mutasi Neraca'!$A$3:$S$910,9,FALSE))</f>
        <v>0</v>
      </c>
      <c r="K436" s="42">
        <f>VLOOKUP($A436,'Neraca Unaudited SIMAK'!$A$2:$R$1272,10,FALSE)+IF(ISNA(VLOOKUP($A436,'Mutasi Neraca'!$A$3:$S$910,10,FALSE)),0,VLOOKUP($A436,'Mutasi Neraca'!$A$3:$S$910,10,FALSE))</f>
        <v>20000000</v>
      </c>
      <c r="L436" s="42">
        <f>VLOOKUP($A436,'Neraca Unaudited SIMAK'!$A$2:$R$1272,11,FALSE)+IF(ISNA(VLOOKUP($A436,'Mutasi Neraca'!$A$3:$S$910,11,FALSE)),0,VLOOKUP($A436,'Mutasi Neraca'!$A$3:$S$910,11,FALSE))</f>
        <v>19367000</v>
      </c>
      <c r="M436" s="42">
        <f>VLOOKUP($A436,'Neraca Unaudited SIMAK'!$A$2:$R$1272,12,FALSE)+IF(ISNA(VLOOKUP($A436,'Mutasi Neraca'!$A$3:$S$910,12,FALSE)),0,VLOOKUP($A436,'Mutasi Neraca'!$A$3:$S$910,12,FALSE))</f>
        <v>15601050788</v>
      </c>
      <c r="N436" s="42">
        <f>VLOOKUP($A436,'Neraca Unaudited SIMAK'!$A$2:$R$1272,13,FALSE)+IF(ISNA(VLOOKUP($A436,'Mutasi Neraca'!$A$3:$S$910,13,FALSE)),0,VLOOKUP($A436,'Mutasi Neraca'!$A$3:$S$910,13,FALSE))</f>
        <v>-3450831266</v>
      </c>
      <c r="O436" s="42">
        <f>VLOOKUP($A436,'Neraca Unaudited SIMAK'!$A$2:$R$1272,14,FALSE)+IF(ISNA(VLOOKUP($A436,'Mutasi Neraca'!$A$3:$S$910,14,FALSE)),0,VLOOKUP($A436,'Mutasi Neraca'!$A$3:$S$910,14,FALSE))</f>
        <v>-2061989945</v>
      </c>
      <c r="P436" s="42">
        <f>VLOOKUP($A436,'Neraca Unaudited SIMAK'!$A$2:$R$1272,15,FALSE)+IF(ISNA(VLOOKUP($A436,'Mutasi Neraca'!$A$3:$S$910,15,FALSE)),0,VLOOKUP($A436,'Mutasi Neraca'!$A$3:$S$910,15,FALSE))</f>
        <v>-245494000</v>
      </c>
      <c r="Q436" s="42">
        <f>VLOOKUP($A436,'Neraca Unaudited SIMAK'!$A$2:$R$1272,16,FALSE)+IF(ISNA(VLOOKUP($A436,'Mutasi Neraca'!$A$3:$S$910,16,FALSE)),0,VLOOKUP($A436,'Mutasi Neraca'!$A$3:$S$910,16,FALSE))</f>
        <v>-10000000</v>
      </c>
      <c r="R436" s="42">
        <f>VLOOKUP($A436,'Neraca Unaudited SIMAK'!$A$2:$R$1272,17,FALSE)+IF(ISNA(VLOOKUP($A436,'Mutasi Neraca'!$A$3:$S$910,17,FALSE)),0,VLOOKUP($A436,'Mutasi Neraca'!$A$3:$S$910,17,FALSE))</f>
        <v>-19367000</v>
      </c>
      <c r="S436" s="42">
        <f t="shared" si="55"/>
        <v>9813368577</v>
      </c>
    </row>
    <row r="437" spans="1:19">
      <c r="A437" s="41" t="s">
        <v>444</v>
      </c>
      <c r="B437" s="41" t="str">
        <f t="shared" si="54"/>
        <v>005011200</v>
      </c>
      <c r="D437" s="42">
        <f>VLOOKUP($A437,'Neraca Unaudited SIMAK'!$A$2:$R$1272,3,FALSE)+IF(ISNA(VLOOKUP($A437,'Mutasi Neraca'!$A$3:$S$910,3,FALSE)),0,VLOOKUP($A437,'Mutasi Neraca'!$A$3:$S$910,3,FALSE))</f>
        <v>4611310</v>
      </c>
      <c r="E437" s="42">
        <f>VLOOKUP($A437,'Neraca Unaudited SIMAK'!$A$2:$R$1272,4,FALSE)+IF(ISNA(VLOOKUP($A437,'Mutasi Neraca'!$A$3:$S$910,4,FALSE)),0,VLOOKUP($A437,'Mutasi Neraca'!$A$3:$S$910,4,FALSE))</f>
        <v>2019900000</v>
      </c>
      <c r="F437" s="42">
        <f>VLOOKUP($A437,'Neraca Unaudited SIMAK'!$A$2:$R$1272,5,FALSE)+IF(ISNA(VLOOKUP($A437,'Mutasi Neraca'!$A$3:$S$910,5,FALSE)),0,VLOOKUP($A437,'Mutasi Neraca'!$A$3:$S$910,5,FALSE))</f>
        <v>1877011847</v>
      </c>
      <c r="G437" s="42">
        <f>VLOOKUP($A437,'Neraca Unaudited SIMAK'!$A$2:$R$1272,6,FALSE)+IF(ISNA(VLOOKUP($A437,'Mutasi Neraca'!$A$3:$S$910,6,FALSE)),0,VLOOKUP($A437,'Mutasi Neraca'!$A$3:$S$910,6,FALSE))</f>
        <v>9969542334</v>
      </c>
      <c r="H437" s="42">
        <f>VLOOKUP($A437,'Neraca Unaudited SIMAK'!$A$2:$R$1272,7,FALSE)+IF(ISNA(VLOOKUP($A437,'Mutasi Neraca'!$A$3:$S$910,7,FALSE)),0,VLOOKUP($A437,'Mutasi Neraca'!$A$3:$S$910,7,FALSE))</f>
        <v>52905561</v>
      </c>
      <c r="I437" s="42">
        <f>VLOOKUP($A437,'Neraca Unaudited SIMAK'!$A$2:$R$1272,8,FALSE)+IF(ISNA(VLOOKUP($A437,'Mutasi Neraca'!$A$3:$S$910,8,FALSE)),0,VLOOKUP($A437,'Mutasi Neraca'!$A$3:$S$910,8,FALSE))</f>
        <v>5628678</v>
      </c>
      <c r="J437" s="42">
        <f>VLOOKUP($A437,'Neraca Unaudited SIMAK'!$A$2:$R$1272,9,FALSE)+IF(ISNA(VLOOKUP($A437,'Mutasi Neraca'!$A$3:$S$910,9,FALSE)),0,VLOOKUP($A437,'Mutasi Neraca'!$A$3:$S$910,9,FALSE))</f>
        <v>0</v>
      </c>
      <c r="K437" s="42">
        <f>VLOOKUP($A437,'Neraca Unaudited SIMAK'!$A$2:$R$1272,10,FALSE)+IF(ISNA(VLOOKUP($A437,'Mutasi Neraca'!$A$3:$S$910,10,FALSE)),0,VLOOKUP($A437,'Mutasi Neraca'!$A$3:$S$910,10,FALSE))</f>
        <v>68090000</v>
      </c>
      <c r="L437" s="42">
        <f>VLOOKUP($A437,'Neraca Unaudited SIMAK'!$A$2:$R$1272,11,FALSE)+IF(ISNA(VLOOKUP($A437,'Mutasi Neraca'!$A$3:$S$910,11,FALSE)),0,VLOOKUP($A437,'Mutasi Neraca'!$A$3:$S$910,11,FALSE))</f>
        <v>33302899</v>
      </c>
      <c r="M437" s="42">
        <f>VLOOKUP($A437,'Neraca Unaudited SIMAK'!$A$2:$R$1272,12,FALSE)+IF(ISNA(VLOOKUP($A437,'Mutasi Neraca'!$A$3:$S$910,12,FALSE)),0,VLOOKUP($A437,'Mutasi Neraca'!$A$3:$S$910,12,FALSE))</f>
        <v>14030992629</v>
      </c>
      <c r="N437" s="42">
        <f>VLOOKUP($A437,'Neraca Unaudited SIMAK'!$A$2:$R$1272,13,FALSE)+IF(ISNA(VLOOKUP($A437,'Mutasi Neraca'!$A$3:$S$910,13,FALSE)),0,VLOOKUP($A437,'Mutasi Neraca'!$A$3:$S$910,13,FALSE))</f>
        <v>-1640142848</v>
      </c>
      <c r="O437" s="42">
        <f>VLOOKUP($A437,'Neraca Unaudited SIMAK'!$A$2:$R$1272,14,FALSE)+IF(ISNA(VLOOKUP($A437,'Mutasi Neraca'!$A$3:$S$910,14,FALSE)),0,VLOOKUP($A437,'Mutasi Neraca'!$A$3:$S$910,14,FALSE))</f>
        <v>-2766997569</v>
      </c>
      <c r="P437" s="42">
        <f>VLOOKUP($A437,'Neraca Unaudited SIMAK'!$A$2:$R$1272,15,FALSE)+IF(ISNA(VLOOKUP($A437,'Mutasi Neraca'!$A$3:$S$910,15,FALSE)),0,VLOOKUP($A437,'Mutasi Neraca'!$A$3:$S$910,15,FALSE))</f>
        <v>-34388614</v>
      </c>
      <c r="Q437" s="42">
        <f>VLOOKUP($A437,'Neraca Unaudited SIMAK'!$A$2:$R$1272,16,FALSE)+IF(ISNA(VLOOKUP($A437,'Mutasi Neraca'!$A$3:$S$910,16,FALSE)),0,VLOOKUP($A437,'Mutasi Neraca'!$A$3:$S$910,16,FALSE))</f>
        <v>-2800000</v>
      </c>
      <c r="R437" s="42">
        <f>VLOOKUP($A437,'Neraca Unaudited SIMAK'!$A$2:$R$1272,17,FALSE)+IF(ISNA(VLOOKUP($A437,'Mutasi Neraca'!$A$3:$S$910,17,FALSE)),0,VLOOKUP($A437,'Mutasi Neraca'!$A$3:$S$910,17,FALSE))</f>
        <v>-33302899</v>
      </c>
      <c r="S437" s="42">
        <f t="shared" si="55"/>
        <v>9553360699</v>
      </c>
    </row>
    <row r="438" spans="1:19">
      <c r="A438" s="41" t="s">
        <v>445</v>
      </c>
      <c r="B438" s="41" t="str">
        <f t="shared" si="54"/>
        <v>005011200</v>
      </c>
      <c r="D438" s="42">
        <f>VLOOKUP($A438,'Neraca Unaudited SIMAK'!$A$2:$R$1272,3,FALSE)+IF(ISNA(VLOOKUP($A438,'Mutasi Neraca'!$A$3:$S$910,3,FALSE)),0,VLOOKUP($A438,'Mutasi Neraca'!$A$3:$S$910,3,FALSE))</f>
        <v>452000</v>
      </c>
      <c r="E438" s="42">
        <f>VLOOKUP($A438,'Neraca Unaudited SIMAK'!$A$2:$R$1272,4,FALSE)+IF(ISNA(VLOOKUP($A438,'Mutasi Neraca'!$A$3:$S$910,4,FALSE)),0,VLOOKUP($A438,'Mutasi Neraca'!$A$3:$S$910,4,FALSE))</f>
        <v>400200000</v>
      </c>
      <c r="F438" s="42">
        <f>VLOOKUP($A438,'Neraca Unaudited SIMAK'!$A$2:$R$1272,5,FALSE)+IF(ISNA(VLOOKUP($A438,'Mutasi Neraca'!$A$3:$S$910,5,FALSE)),0,VLOOKUP($A438,'Mutasi Neraca'!$A$3:$S$910,5,FALSE))</f>
        <v>1132715437</v>
      </c>
      <c r="G438" s="42">
        <f>VLOOKUP($A438,'Neraca Unaudited SIMAK'!$A$2:$R$1272,6,FALSE)+IF(ISNA(VLOOKUP($A438,'Mutasi Neraca'!$A$3:$S$910,6,FALSE)),0,VLOOKUP($A438,'Mutasi Neraca'!$A$3:$S$910,6,FALSE))</f>
        <v>3452703889</v>
      </c>
      <c r="H438" s="42">
        <f>VLOOKUP($A438,'Neraca Unaudited SIMAK'!$A$2:$R$1272,7,FALSE)+IF(ISNA(VLOOKUP($A438,'Mutasi Neraca'!$A$3:$S$910,7,FALSE)),0,VLOOKUP($A438,'Mutasi Neraca'!$A$3:$S$910,7,FALSE))</f>
        <v>158934111</v>
      </c>
      <c r="I438" s="42">
        <f>VLOOKUP($A438,'Neraca Unaudited SIMAK'!$A$2:$R$1272,8,FALSE)+IF(ISNA(VLOOKUP($A438,'Mutasi Neraca'!$A$3:$S$910,8,FALSE)),0,VLOOKUP($A438,'Mutasi Neraca'!$A$3:$S$910,8,FALSE))</f>
        <v>48391731</v>
      </c>
      <c r="J438" s="42">
        <f>VLOOKUP($A438,'Neraca Unaudited SIMAK'!$A$2:$R$1272,9,FALSE)+IF(ISNA(VLOOKUP($A438,'Mutasi Neraca'!$A$3:$S$910,9,FALSE)),0,VLOOKUP($A438,'Mutasi Neraca'!$A$3:$S$910,9,FALSE))</f>
        <v>0</v>
      </c>
      <c r="K438" s="42">
        <f>VLOOKUP($A438,'Neraca Unaudited SIMAK'!$A$2:$R$1272,10,FALSE)+IF(ISNA(VLOOKUP($A438,'Mutasi Neraca'!$A$3:$S$910,10,FALSE)),0,VLOOKUP($A438,'Mutasi Neraca'!$A$3:$S$910,10,FALSE))</f>
        <v>58000000</v>
      </c>
      <c r="L438" s="42">
        <f>VLOOKUP($A438,'Neraca Unaudited SIMAK'!$A$2:$R$1272,11,FALSE)+IF(ISNA(VLOOKUP($A438,'Mutasi Neraca'!$A$3:$S$910,11,FALSE)),0,VLOOKUP($A438,'Mutasi Neraca'!$A$3:$S$910,11,FALSE))</f>
        <v>89952200</v>
      </c>
      <c r="M438" s="42">
        <f>VLOOKUP($A438,'Neraca Unaudited SIMAK'!$A$2:$R$1272,12,FALSE)+IF(ISNA(VLOOKUP($A438,'Mutasi Neraca'!$A$3:$S$910,12,FALSE)),0,VLOOKUP($A438,'Mutasi Neraca'!$A$3:$S$910,12,FALSE))</f>
        <v>5341349368</v>
      </c>
      <c r="N438" s="42">
        <f>VLOOKUP($A438,'Neraca Unaudited SIMAK'!$A$2:$R$1272,13,FALSE)+IF(ISNA(VLOOKUP($A438,'Mutasi Neraca'!$A$3:$S$910,13,FALSE)),0,VLOOKUP($A438,'Mutasi Neraca'!$A$3:$S$910,13,FALSE))</f>
        <v>-953763562</v>
      </c>
      <c r="O438" s="42">
        <f>VLOOKUP($A438,'Neraca Unaudited SIMAK'!$A$2:$R$1272,14,FALSE)+IF(ISNA(VLOOKUP($A438,'Mutasi Neraca'!$A$3:$S$910,14,FALSE)),0,VLOOKUP($A438,'Mutasi Neraca'!$A$3:$S$910,14,FALSE))</f>
        <v>-526519000</v>
      </c>
      <c r="P438" s="42">
        <f>VLOOKUP($A438,'Neraca Unaudited SIMAK'!$A$2:$R$1272,15,FALSE)+IF(ISNA(VLOOKUP($A438,'Mutasi Neraca'!$A$3:$S$910,15,FALSE)),0,VLOOKUP($A438,'Mutasi Neraca'!$A$3:$S$910,15,FALSE))</f>
        <v>-39140822</v>
      </c>
      <c r="Q438" s="42">
        <f>VLOOKUP($A438,'Neraca Unaudited SIMAK'!$A$2:$R$1272,16,FALSE)+IF(ISNA(VLOOKUP($A438,'Mutasi Neraca'!$A$3:$S$910,16,FALSE)),0,VLOOKUP($A438,'Mutasi Neraca'!$A$3:$S$910,16,FALSE))</f>
        <v>0</v>
      </c>
      <c r="R438" s="42">
        <f>VLOOKUP($A438,'Neraca Unaudited SIMAK'!$A$2:$R$1272,17,FALSE)+IF(ISNA(VLOOKUP($A438,'Mutasi Neraca'!$A$3:$S$910,17,FALSE)),0,VLOOKUP($A438,'Mutasi Neraca'!$A$3:$S$910,17,FALSE))</f>
        <v>-88929700</v>
      </c>
      <c r="S438" s="42">
        <f t="shared" si="55"/>
        <v>3732996284</v>
      </c>
    </row>
    <row r="439" spans="1:19">
      <c r="A439" s="41" t="s">
        <v>446</v>
      </c>
      <c r="B439" s="41" t="str">
        <f t="shared" si="54"/>
        <v>005011200</v>
      </c>
      <c r="D439" s="42">
        <f>VLOOKUP($A439,'Neraca Unaudited SIMAK'!$A$2:$R$1272,3,FALSE)+IF(ISNA(VLOOKUP($A439,'Mutasi Neraca'!$A$3:$S$910,3,FALSE)),0,VLOOKUP($A439,'Mutasi Neraca'!$A$3:$S$910,3,FALSE))</f>
        <v>78000</v>
      </c>
      <c r="E439" s="42">
        <f>VLOOKUP($A439,'Neraca Unaudited SIMAK'!$A$2:$R$1272,4,FALSE)+IF(ISNA(VLOOKUP($A439,'Mutasi Neraca'!$A$3:$S$910,4,FALSE)),0,VLOOKUP($A439,'Mutasi Neraca'!$A$3:$S$910,4,FALSE))</f>
        <v>16459300</v>
      </c>
      <c r="F439" s="42">
        <f>VLOOKUP($A439,'Neraca Unaudited SIMAK'!$A$2:$R$1272,5,FALSE)+IF(ISNA(VLOOKUP($A439,'Mutasi Neraca'!$A$3:$S$910,5,FALSE)),0,VLOOKUP($A439,'Mutasi Neraca'!$A$3:$S$910,5,FALSE))</f>
        <v>1203026717</v>
      </c>
      <c r="G439" s="42">
        <f>VLOOKUP($A439,'Neraca Unaudited SIMAK'!$A$2:$R$1272,6,FALSE)+IF(ISNA(VLOOKUP($A439,'Mutasi Neraca'!$A$3:$S$910,6,FALSE)),0,VLOOKUP($A439,'Mutasi Neraca'!$A$3:$S$910,6,FALSE))</f>
        <v>2679089300</v>
      </c>
      <c r="H439" s="42">
        <f>VLOOKUP($A439,'Neraca Unaudited SIMAK'!$A$2:$R$1272,7,FALSE)+IF(ISNA(VLOOKUP($A439,'Mutasi Neraca'!$A$3:$S$910,7,FALSE)),0,VLOOKUP($A439,'Mutasi Neraca'!$A$3:$S$910,7,FALSE))</f>
        <v>238664500</v>
      </c>
      <c r="I439" s="42">
        <f>VLOOKUP($A439,'Neraca Unaudited SIMAK'!$A$2:$R$1272,8,FALSE)+IF(ISNA(VLOOKUP($A439,'Mutasi Neraca'!$A$3:$S$910,8,FALSE)),0,VLOOKUP($A439,'Mutasi Neraca'!$A$3:$S$910,8,FALSE))</f>
        <v>3266678</v>
      </c>
      <c r="J439" s="42">
        <f>VLOOKUP($A439,'Neraca Unaudited SIMAK'!$A$2:$R$1272,9,FALSE)+IF(ISNA(VLOOKUP($A439,'Mutasi Neraca'!$A$3:$S$910,9,FALSE)),0,VLOOKUP($A439,'Mutasi Neraca'!$A$3:$S$910,9,FALSE))</f>
        <v>0</v>
      </c>
      <c r="K439" s="42">
        <f>VLOOKUP($A439,'Neraca Unaudited SIMAK'!$A$2:$R$1272,10,FALSE)+IF(ISNA(VLOOKUP($A439,'Mutasi Neraca'!$A$3:$S$910,10,FALSE)),0,VLOOKUP($A439,'Mutasi Neraca'!$A$3:$S$910,10,FALSE))</f>
        <v>13000000</v>
      </c>
      <c r="L439" s="42">
        <f>VLOOKUP($A439,'Neraca Unaudited SIMAK'!$A$2:$R$1272,11,FALSE)+IF(ISNA(VLOOKUP($A439,'Mutasi Neraca'!$A$3:$S$910,11,FALSE)),0,VLOOKUP($A439,'Mutasi Neraca'!$A$3:$S$910,11,FALSE))</f>
        <v>0</v>
      </c>
      <c r="M439" s="42">
        <f>VLOOKUP($A439,'Neraca Unaudited SIMAK'!$A$2:$R$1272,12,FALSE)+IF(ISNA(VLOOKUP($A439,'Mutasi Neraca'!$A$3:$S$910,12,FALSE)),0,VLOOKUP($A439,'Mutasi Neraca'!$A$3:$S$910,12,FALSE))</f>
        <v>4153584495</v>
      </c>
      <c r="N439" s="42">
        <f>VLOOKUP($A439,'Neraca Unaudited SIMAK'!$A$2:$R$1272,13,FALSE)+IF(ISNA(VLOOKUP($A439,'Mutasi Neraca'!$A$3:$S$910,13,FALSE)),0,VLOOKUP($A439,'Mutasi Neraca'!$A$3:$S$910,13,FALSE))</f>
        <v>-995223302</v>
      </c>
      <c r="O439" s="42">
        <f>VLOOKUP($A439,'Neraca Unaudited SIMAK'!$A$2:$R$1272,14,FALSE)+IF(ISNA(VLOOKUP($A439,'Mutasi Neraca'!$A$3:$S$910,14,FALSE)),0,VLOOKUP($A439,'Mutasi Neraca'!$A$3:$S$910,14,FALSE))</f>
        <v>-371512099</v>
      </c>
      <c r="P439" s="42">
        <f>VLOOKUP($A439,'Neraca Unaudited SIMAK'!$A$2:$R$1272,15,FALSE)+IF(ISNA(VLOOKUP($A439,'Mutasi Neraca'!$A$3:$S$910,15,FALSE)),0,VLOOKUP($A439,'Mutasi Neraca'!$A$3:$S$910,15,FALSE))</f>
        <v>-140924905</v>
      </c>
      <c r="Q439" s="42">
        <f>VLOOKUP($A439,'Neraca Unaudited SIMAK'!$A$2:$R$1272,16,FALSE)+IF(ISNA(VLOOKUP($A439,'Mutasi Neraca'!$A$3:$S$910,16,FALSE)),0,VLOOKUP($A439,'Mutasi Neraca'!$A$3:$S$910,16,FALSE))</f>
        <v>0</v>
      </c>
      <c r="R439" s="42">
        <f>VLOOKUP($A439,'Neraca Unaudited SIMAK'!$A$2:$R$1272,17,FALSE)+IF(ISNA(VLOOKUP($A439,'Mutasi Neraca'!$A$3:$S$910,17,FALSE)),0,VLOOKUP($A439,'Mutasi Neraca'!$A$3:$S$910,17,FALSE))</f>
        <v>0</v>
      </c>
      <c r="S439" s="42">
        <f t="shared" si="55"/>
        <v>2645924189</v>
      </c>
    </row>
    <row r="440" spans="1:19">
      <c r="A440" s="41" t="s">
        <v>447</v>
      </c>
      <c r="B440" s="41" t="str">
        <f t="shared" si="54"/>
        <v>005011200</v>
      </c>
      <c r="D440" s="42">
        <f>VLOOKUP($A440,'Neraca Unaudited SIMAK'!$A$2:$R$1272,3,FALSE)+IF(ISNA(VLOOKUP($A440,'Mutasi Neraca'!$A$3:$S$910,3,FALSE)),0,VLOOKUP($A440,'Mutasi Neraca'!$A$3:$S$910,3,FALSE))</f>
        <v>355000</v>
      </c>
      <c r="E440" s="42">
        <f>VLOOKUP($A440,'Neraca Unaudited SIMAK'!$A$2:$R$1272,4,FALSE)+IF(ISNA(VLOOKUP($A440,'Mutasi Neraca'!$A$3:$S$910,4,FALSE)),0,VLOOKUP($A440,'Mutasi Neraca'!$A$3:$S$910,4,FALSE))</f>
        <v>1491100000</v>
      </c>
      <c r="F440" s="42">
        <f>VLOOKUP($A440,'Neraca Unaudited SIMAK'!$A$2:$R$1272,5,FALSE)+IF(ISNA(VLOOKUP($A440,'Mutasi Neraca'!$A$3:$S$910,5,FALSE)),0,VLOOKUP($A440,'Mutasi Neraca'!$A$3:$S$910,5,FALSE))</f>
        <v>1912233214</v>
      </c>
      <c r="G440" s="42">
        <f>VLOOKUP($A440,'Neraca Unaudited SIMAK'!$A$2:$R$1272,6,FALSE)+IF(ISNA(VLOOKUP($A440,'Mutasi Neraca'!$A$3:$S$910,6,FALSE)),0,VLOOKUP($A440,'Mutasi Neraca'!$A$3:$S$910,6,FALSE))</f>
        <v>6593727444</v>
      </c>
      <c r="H440" s="42">
        <f>VLOOKUP($A440,'Neraca Unaudited SIMAK'!$A$2:$R$1272,7,FALSE)+IF(ISNA(VLOOKUP($A440,'Mutasi Neraca'!$A$3:$S$910,7,FALSE)),0,VLOOKUP($A440,'Mutasi Neraca'!$A$3:$S$910,7,FALSE))</f>
        <v>488941971</v>
      </c>
      <c r="I440" s="42">
        <f>VLOOKUP($A440,'Neraca Unaudited SIMAK'!$A$2:$R$1272,8,FALSE)+IF(ISNA(VLOOKUP($A440,'Mutasi Neraca'!$A$3:$S$910,8,FALSE)),0,VLOOKUP($A440,'Mutasi Neraca'!$A$3:$S$910,8,FALSE))</f>
        <v>4915118</v>
      </c>
      <c r="J440" s="42">
        <f>VLOOKUP($A440,'Neraca Unaudited SIMAK'!$A$2:$R$1272,9,FALSE)+IF(ISNA(VLOOKUP($A440,'Mutasi Neraca'!$A$3:$S$910,9,FALSE)),0,VLOOKUP($A440,'Mutasi Neraca'!$A$3:$S$910,9,FALSE))</f>
        <v>0</v>
      </c>
      <c r="K440" s="42">
        <f>VLOOKUP($A440,'Neraca Unaudited SIMAK'!$A$2:$R$1272,10,FALSE)+IF(ISNA(VLOOKUP($A440,'Mutasi Neraca'!$A$3:$S$910,10,FALSE)),0,VLOOKUP($A440,'Mutasi Neraca'!$A$3:$S$910,10,FALSE))</f>
        <v>0</v>
      </c>
      <c r="L440" s="42">
        <f>VLOOKUP($A440,'Neraca Unaudited SIMAK'!$A$2:$R$1272,11,FALSE)+IF(ISNA(VLOOKUP($A440,'Mutasi Neraca'!$A$3:$S$910,11,FALSE)),0,VLOOKUP($A440,'Mutasi Neraca'!$A$3:$S$910,11,FALSE))</f>
        <v>2300000</v>
      </c>
      <c r="M440" s="42">
        <f>VLOOKUP($A440,'Neraca Unaudited SIMAK'!$A$2:$R$1272,12,FALSE)+IF(ISNA(VLOOKUP($A440,'Mutasi Neraca'!$A$3:$S$910,12,FALSE)),0,VLOOKUP($A440,'Mutasi Neraca'!$A$3:$S$910,12,FALSE))</f>
        <v>10493572747</v>
      </c>
      <c r="N440" s="42">
        <f>VLOOKUP($A440,'Neraca Unaudited SIMAK'!$A$2:$R$1272,13,FALSE)+IF(ISNA(VLOOKUP($A440,'Mutasi Neraca'!$A$3:$S$910,13,FALSE)),0,VLOOKUP($A440,'Mutasi Neraca'!$A$3:$S$910,13,FALSE))</f>
        <v>-1778511391</v>
      </c>
      <c r="O440" s="42">
        <f>VLOOKUP($A440,'Neraca Unaudited SIMAK'!$A$2:$R$1272,14,FALSE)+IF(ISNA(VLOOKUP($A440,'Mutasi Neraca'!$A$3:$S$910,14,FALSE)),0,VLOOKUP($A440,'Mutasi Neraca'!$A$3:$S$910,14,FALSE))</f>
        <v>-1798066405</v>
      </c>
      <c r="P440" s="42">
        <f>VLOOKUP($A440,'Neraca Unaudited SIMAK'!$A$2:$R$1272,15,FALSE)+IF(ISNA(VLOOKUP($A440,'Mutasi Neraca'!$A$3:$S$910,15,FALSE)),0,VLOOKUP($A440,'Mutasi Neraca'!$A$3:$S$910,15,FALSE))</f>
        <v>-211783193</v>
      </c>
      <c r="Q440" s="42">
        <f>VLOOKUP($A440,'Neraca Unaudited SIMAK'!$A$2:$R$1272,16,FALSE)+IF(ISNA(VLOOKUP($A440,'Mutasi Neraca'!$A$3:$S$910,16,FALSE)),0,VLOOKUP($A440,'Mutasi Neraca'!$A$3:$S$910,16,FALSE))</f>
        <v>0</v>
      </c>
      <c r="R440" s="42">
        <f>VLOOKUP($A440,'Neraca Unaudited SIMAK'!$A$2:$R$1272,17,FALSE)+IF(ISNA(VLOOKUP($A440,'Mutasi Neraca'!$A$3:$S$910,17,FALSE)),0,VLOOKUP($A440,'Mutasi Neraca'!$A$3:$S$910,17,FALSE))</f>
        <v>-2300000</v>
      </c>
      <c r="S440" s="42">
        <f t="shared" si="55"/>
        <v>6702911758</v>
      </c>
    </row>
    <row r="441" spans="1:19">
      <c r="A441" s="41" t="s">
        <v>448</v>
      </c>
      <c r="B441" s="41" t="str">
        <f t="shared" si="54"/>
        <v>005011200</v>
      </c>
      <c r="D441" s="42">
        <f>VLOOKUP($A441,'Neraca Unaudited SIMAK'!$A$2:$R$1272,3,FALSE)+IF(ISNA(VLOOKUP($A441,'Mutasi Neraca'!$A$3:$S$910,3,FALSE)),0,VLOOKUP($A441,'Mutasi Neraca'!$A$3:$S$910,3,FALSE))</f>
        <v>16415050</v>
      </c>
      <c r="E441" s="42">
        <f>VLOOKUP($A441,'Neraca Unaudited SIMAK'!$A$2:$R$1272,4,FALSE)+IF(ISNA(VLOOKUP($A441,'Mutasi Neraca'!$A$3:$S$910,4,FALSE)),0,VLOOKUP($A441,'Mutasi Neraca'!$A$3:$S$910,4,FALSE))</f>
        <v>1562000000</v>
      </c>
      <c r="F441" s="42">
        <f>VLOOKUP($A441,'Neraca Unaudited SIMAK'!$A$2:$R$1272,5,FALSE)+IF(ISNA(VLOOKUP($A441,'Mutasi Neraca'!$A$3:$S$910,5,FALSE)),0,VLOOKUP($A441,'Mutasi Neraca'!$A$3:$S$910,5,FALSE))</f>
        <v>1254176017</v>
      </c>
      <c r="G441" s="42">
        <f>VLOOKUP($A441,'Neraca Unaudited SIMAK'!$A$2:$R$1272,6,FALSE)+IF(ISNA(VLOOKUP($A441,'Mutasi Neraca'!$A$3:$S$910,6,FALSE)),0,VLOOKUP($A441,'Mutasi Neraca'!$A$3:$S$910,6,FALSE))</f>
        <v>3685942689</v>
      </c>
      <c r="H441" s="42">
        <f>VLOOKUP($A441,'Neraca Unaudited SIMAK'!$A$2:$R$1272,7,FALSE)+IF(ISNA(VLOOKUP($A441,'Mutasi Neraca'!$A$3:$S$910,7,FALSE)),0,VLOOKUP($A441,'Mutasi Neraca'!$A$3:$S$910,7,FALSE))</f>
        <v>350788615</v>
      </c>
      <c r="I441" s="42">
        <f>VLOOKUP($A441,'Neraca Unaudited SIMAK'!$A$2:$R$1272,8,FALSE)+IF(ISNA(VLOOKUP($A441,'Mutasi Neraca'!$A$3:$S$910,8,FALSE)),0,VLOOKUP($A441,'Mutasi Neraca'!$A$3:$S$910,8,FALSE))</f>
        <v>1165684</v>
      </c>
      <c r="J441" s="42">
        <f>VLOOKUP($A441,'Neraca Unaudited SIMAK'!$A$2:$R$1272,9,FALSE)+IF(ISNA(VLOOKUP($A441,'Mutasi Neraca'!$A$3:$S$910,9,FALSE)),0,VLOOKUP($A441,'Mutasi Neraca'!$A$3:$S$910,9,FALSE))</f>
        <v>0</v>
      </c>
      <c r="K441" s="42">
        <f>VLOOKUP($A441,'Neraca Unaudited SIMAK'!$A$2:$R$1272,10,FALSE)+IF(ISNA(VLOOKUP($A441,'Mutasi Neraca'!$A$3:$S$910,10,FALSE)),0,VLOOKUP($A441,'Mutasi Neraca'!$A$3:$S$910,10,FALSE))</f>
        <v>37000000</v>
      </c>
      <c r="L441" s="42">
        <f>VLOOKUP($A441,'Neraca Unaudited SIMAK'!$A$2:$R$1272,11,FALSE)+IF(ISNA(VLOOKUP($A441,'Mutasi Neraca'!$A$3:$S$910,11,FALSE)),0,VLOOKUP($A441,'Mutasi Neraca'!$A$3:$S$910,11,FALSE))</f>
        <v>95504000</v>
      </c>
      <c r="M441" s="42">
        <f>VLOOKUP($A441,'Neraca Unaudited SIMAK'!$A$2:$R$1272,12,FALSE)+IF(ISNA(VLOOKUP($A441,'Mutasi Neraca'!$A$3:$S$910,12,FALSE)),0,VLOOKUP($A441,'Mutasi Neraca'!$A$3:$S$910,12,FALSE))</f>
        <v>7002992055</v>
      </c>
      <c r="N441" s="42">
        <f>VLOOKUP($A441,'Neraca Unaudited SIMAK'!$A$2:$R$1272,13,FALSE)+IF(ISNA(VLOOKUP($A441,'Mutasi Neraca'!$A$3:$S$910,13,FALSE)),0,VLOOKUP($A441,'Mutasi Neraca'!$A$3:$S$910,13,FALSE))</f>
        <v>-1109243394</v>
      </c>
      <c r="O441" s="42">
        <f>VLOOKUP($A441,'Neraca Unaudited SIMAK'!$A$2:$R$1272,14,FALSE)+IF(ISNA(VLOOKUP($A441,'Mutasi Neraca'!$A$3:$S$910,14,FALSE)),0,VLOOKUP($A441,'Mutasi Neraca'!$A$3:$S$910,14,FALSE))</f>
        <v>-579138722</v>
      </c>
      <c r="P441" s="42">
        <f>VLOOKUP($A441,'Neraca Unaudited SIMAK'!$A$2:$R$1272,15,FALSE)+IF(ISNA(VLOOKUP($A441,'Mutasi Neraca'!$A$3:$S$910,15,FALSE)),0,VLOOKUP($A441,'Mutasi Neraca'!$A$3:$S$910,15,FALSE))</f>
        <v>-172570488</v>
      </c>
      <c r="Q441" s="42">
        <f>VLOOKUP($A441,'Neraca Unaudited SIMAK'!$A$2:$R$1272,16,FALSE)+IF(ISNA(VLOOKUP($A441,'Mutasi Neraca'!$A$3:$S$910,16,FALSE)),0,VLOOKUP($A441,'Mutasi Neraca'!$A$3:$S$910,16,FALSE))</f>
        <v>0</v>
      </c>
      <c r="R441" s="42">
        <f>VLOOKUP($A441,'Neraca Unaudited SIMAK'!$A$2:$R$1272,17,FALSE)+IF(ISNA(VLOOKUP($A441,'Mutasi Neraca'!$A$3:$S$910,17,FALSE)),0,VLOOKUP($A441,'Mutasi Neraca'!$A$3:$S$910,17,FALSE))</f>
        <v>-95504000</v>
      </c>
      <c r="S441" s="42">
        <f t="shared" si="55"/>
        <v>5046535451</v>
      </c>
    </row>
    <row r="442" spans="1:19">
      <c r="A442" s="41" t="s">
        <v>449</v>
      </c>
      <c r="B442" s="41" t="str">
        <f t="shared" si="54"/>
        <v>005011200</v>
      </c>
      <c r="D442" s="42">
        <f>VLOOKUP($A442,'Neraca Unaudited SIMAK'!$A$2:$R$1272,3,FALSE)+IF(ISNA(VLOOKUP($A442,'Mutasi Neraca'!$A$3:$S$910,3,FALSE)),0,VLOOKUP($A442,'Mutasi Neraca'!$A$3:$S$910,3,FALSE))</f>
        <v>168800</v>
      </c>
      <c r="E442" s="42">
        <f>VLOOKUP($A442,'Neraca Unaudited SIMAK'!$A$2:$R$1272,4,FALSE)+IF(ISNA(VLOOKUP($A442,'Mutasi Neraca'!$A$3:$S$910,4,FALSE)),0,VLOOKUP($A442,'Mutasi Neraca'!$A$3:$S$910,4,FALSE))</f>
        <v>530366201</v>
      </c>
      <c r="F442" s="42">
        <f>VLOOKUP($A442,'Neraca Unaudited SIMAK'!$A$2:$R$1272,5,FALSE)+IF(ISNA(VLOOKUP($A442,'Mutasi Neraca'!$A$3:$S$910,5,FALSE)),0,VLOOKUP($A442,'Mutasi Neraca'!$A$3:$S$910,5,FALSE))</f>
        <v>1005342653</v>
      </c>
      <c r="G442" s="42">
        <f>VLOOKUP($A442,'Neraca Unaudited SIMAK'!$A$2:$R$1272,6,FALSE)+IF(ISNA(VLOOKUP($A442,'Mutasi Neraca'!$A$3:$S$910,6,FALSE)),0,VLOOKUP($A442,'Mutasi Neraca'!$A$3:$S$910,6,FALSE))</f>
        <v>2193976254</v>
      </c>
      <c r="H442" s="42">
        <f>VLOOKUP($A442,'Neraca Unaudited SIMAK'!$A$2:$R$1272,7,FALSE)+IF(ISNA(VLOOKUP($A442,'Mutasi Neraca'!$A$3:$S$910,7,FALSE)),0,VLOOKUP($A442,'Mutasi Neraca'!$A$3:$S$910,7,FALSE))</f>
        <v>89450000</v>
      </c>
      <c r="I442" s="42">
        <f>VLOOKUP($A442,'Neraca Unaudited SIMAK'!$A$2:$R$1272,8,FALSE)+IF(ISNA(VLOOKUP($A442,'Mutasi Neraca'!$A$3:$S$910,8,FALSE)),0,VLOOKUP($A442,'Mutasi Neraca'!$A$3:$S$910,8,FALSE))</f>
        <v>18236948</v>
      </c>
      <c r="J442" s="42">
        <f>VLOOKUP($A442,'Neraca Unaudited SIMAK'!$A$2:$R$1272,9,FALSE)+IF(ISNA(VLOOKUP($A442,'Mutasi Neraca'!$A$3:$S$910,9,FALSE)),0,VLOOKUP($A442,'Mutasi Neraca'!$A$3:$S$910,9,FALSE))</f>
        <v>0</v>
      </c>
      <c r="K442" s="42">
        <f>VLOOKUP($A442,'Neraca Unaudited SIMAK'!$A$2:$R$1272,10,FALSE)+IF(ISNA(VLOOKUP($A442,'Mutasi Neraca'!$A$3:$S$910,10,FALSE)),0,VLOOKUP($A442,'Mutasi Neraca'!$A$3:$S$910,10,FALSE))</f>
        <v>13000000</v>
      </c>
      <c r="L442" s="42">
        <f>VLOOKUP($A442,'Neraca Unaudited SIMAK'!$A$2:$R$1272,11,FALSE)+IF(ISNA(VLOOKUP($A442,'Mutasi Neraca'!$A$3:$S$910,11,FALSE)),0,VLOOKUP($A442,'Mutasi Neraca'!$A$3:$S$910,11,FALSE))</f>
        <v>237294556</v>
      </c>
      <c r="M442" s="42">
        <f>VLOOKUP($A442,'Neraca Unaudited SIMAK'!$A$2:$R$1272,12,FALSE)+IF(ISNA(VLOOKUP($A442,'Mutasi Neraca'!$A$3:$S$910,12,FALSE)),0,VLOOKUP($A442,'Mutasi Neraca'!$A$3:$S$910,12,FALSE))</f>
        <v>4087835412</v>
      </c>
      <c r="N442" s="42">
        <f>VLOOKUP($A442,'Neraca Unaudited SIMAK'!$A$2:$R$1272,13,FALSE)+IF(ISNA(VLOOKUP($A442,'Mutasi Neraca'!$A$3:$S$910,13,FALSE)),0,VLOOKUP($A442,'Mutasi Neraca'!$A$3:$S$910,13,FALSE))</f>
        <v>-852187683</v>
      </c>
      <c r="O442" s="42">
        <f>VLOOKUP($A442,'Neraca Unaudited SIMAK'!$A$2:$R$1272,14,FALSE)+IF(ISNA(VLOOKUP($A442,'Mutasi Neraca'!$A$3:$S$910,14,FALSE)),0,VLOOKUP($A442,'Mutasi Neraca'!$A$3:$S$910,14,FALSE))</f>
        <v>-388114091</v>
      </c>
      <c r="P442" s="42">
        <f>VLOOKUP($A442,'Neraca Unaudited SIMAK'!$A$2:$R$1272,15,FALSE)+IF(ISNA(VLOOKUP($A442,'Mutasi Neraca'!$A$3:$S$910,15,FALSE)),0,VLOOKUP($A442,'Mutasi Neraca'!$A$3:$S$910,15,FALSE))</f>
        <v>-62615000</v>
      </c>
      <c r="Q442" s="42">
        <f>VLOOKUP($A442,'Neraca Unaudited SIMAK'!$A$2:$R$1272,16,FALSE)+IF(ISNA(VLOOKUP($A442,'Mutasi Neraca'!$A$3:$S$910,16,FALSE)),0,VLOOKUP($A442,'Mutasi Neraca'!$A$3:$S$910,16,FALSE))</f>
        <v>-10730000</v>
      </c>
      <c r="R442" s="42">
        <f>VLOOKUP($A442,'Neraca Unaudited SIMAK'!$A$2:$R$1272,17,FALSE)+IF(ISNA(VLOOKUP($A442,'Mutasi Neraca'!$A$3:$S$910,17,FALSE)),0,VLOOKUP($A442,'Mutasi Neraca'!$A$3:$S$910,17,FALSE))</f>
        <v>-237294556</v>
      </c>
      <c r="S442" s="42">
        <f t="shared" si="55"/>
        <v>2536894082</v>
      </c>
    </row>
    <row r="443" spans="1:19">
      <c r="A443" s="41" t="s">
        <v>450</v>
      </c>
      <c r="B443" s="41" t="str">
        <f t="shared" si="54"/>
        <v>005011200</v>
      </c>
      <c r="D443" s="42">
        <f>VLOOKUP($A443,'Neraca Unaudited SIMAK'!$A$2:$R$1272,3,FALSE)+IF(ISNA(VLOOKUP($A443,'Mutasi Neraca'!$A$3:$S$910,3,FALSE)),0,VLOOKUP($A443,'Mutasi Neraca'!$A$3:$S$910,3,FALSE))</f>
        <v>4918078</v>
      </c>
      <c r="E443" s="42">
        <f>VLOOKUP($A443,'Neraca Unaudited SIMAK'!$A$2:$R$1272,4,FALSE)+IF(ISNA(VLOOKUP($A443,'Mutasi Neraca'!$A$3:$S$910,4,FALSE)),0,VLOOKUP($A443,'Mutasi Neraca'!$A$3:$S$910,4,FALSE))</f>
        <v>10094281000</v>
      </c>
      <c r="F443" s="42">
        <f>VLOOKUP($A443,'Neraca Unaudited SIMAK'!$A$2:$R$1272,5,FALSE)+IF(ISNA(VLOOKUP($A443,'Mutasi Neraca'!$A$3:$S$910,5,FALSE)),0,VLOOKUP($A443,'Mutasi Neraca'!$A$3:$S$910,5,FALSE))</f>
        <v>1428398467</v>
      </c>
      <c r="G443" s="42">
        <f>VLOOKUP($A443,'Neraca Unaudited SIMAK'!$A$2:$R$1272,6,FALSE)+IF(ISNA(VLOOKUP($A443,'Mutasi Neraca'!$A$3:$S$910,6,FALSE)),0,VLOOKUP($A443,'Mutasi Neraca'!$A$3:$S$910,6,FALSE))</f>
        <v>6206421015</v>
      </c>
      <c r="H443" s="42">
        <f>VLOOKUP($A443,'Neraca Unaudited SIMAK'!$A$2:$R$1272,7,FALSE)+IF(ISNA(VLOOKUP($A443,'Mutasi Neraca'!$A$3:$S$910,7,FALSE)),0,VLOOKUP($A443,'Mutasi Neraca'!$A$3:$S$910,7,FALSE))</f>
        <v>576660400</v>
      </c>
      <c r="I443" s="42">
        <f>VLOOKUP($A443,'Neraca Unaudited SIMAK'!$A$2:$R$1272,8,FALSE)+IF(ISNA(VLOOKUP($A443,'Mutasi Neraca'!$A$3:$S$910,8,FALSE)),0,VLOOKUP($A443,'Mutasi Neraca'!$A$3:$S$910,8,FALSE))</f>
        <v>4772118</v>
      </c>
      <c r="J443" s="42">
        <f>VLOOKUP($A443,'Neraca Unaudited SIMAK'!$A$2:$R$1272,9,FALSE)+IF(ISNA(VLOOKUP($A443,'Mutasi Neraca'!$A$3:$S$910,9,FALSE)),0,VLOOKUP($A443,'Mutasi Neraca'!$A$3:$S$910,9,FALSE))</f>
        <v>0</v>
      </c>
      <c r="K443" s="42">
        <f>VLOOKUP($A443,'Neraca Unaudited SIMAK'!$A$2:$R$1272,10,FALSE)+IF(ISNA(VLOOKUP($A443,'Mutasi Neraca'!$A$3:$S$910,10,FALSE)),0,VLOOKUP($A443,'Mutasi Neraca'!$A$3:$S$910,10,FALSE))</f>
        <v>5000000</v>
      </c>
      <c r="L443" s="42">
        <f>VLOOKUP($A443,'Neraca Unaudited SIMAK'!$A$2:$R$1272,11,FALSE)+IF(ISNA(VLOOKUP($A443,'Mutasi Neraca'!$A$3:$S$910,11,FALSE)),0,VLOOKUP($A443,'Mutasi Neraca'!$A$3:$S$910,11,FALSE))</f>
        <v>659805000</v>
      </c>
      <c r="M443" s="42">
        <f>VLOOKUP($A443,'Neraca Unaudited SIMAK'!$A$2:$R$1272,12,FALSE)+IF(ISNA(VLOOKUP($A443,'Mutasi Neraca'!$A$3:$S$910,12,FALSE)),0,VLOOKUP($A443,'Mutasi Neraca'!$A$3:$S$910,12,FALSE))</f>
        <v>18980256078</v>
      </c>
      <c r="N443" s="42">
        <f>VLOOKUP($A443,'Neraca Unaudited SIMAK'!$A$2:$R$1272,13,FALSE)+IF(ISNA(VLOOKUP($A443,'Mutasi Neraca'!$A$3:$S$910,13,FALSE)),0,VLOOKUP($A443,'Mutasi Neraca'!$A$3:$S$910,13,FALSE))</f>
        <v>-1321336317</v>
      </c>
      <c r="O443" s="42">
        <f>VLOOKUP($A443,'Neraca Unaudited SIMAK'!$A$2:$R$1272,14,FALSE)+IF(ISNA(VLOOKUP($A443,'Mutasi Neraca'!$A$3:$S$910,14,FALSE)),0,VLOOKUP($A443,'Mutasi Neraca'!$A$3:$S$910,14,FALSE))</f>
        <v>-889456100</v>
      </c>
      <c r="P443" s="42">
        <f>VLOOKUP($A443,'Neraca Unaudited SIMAK'!$A$2:$R$1272,15,FALSE)+IF(ISNA(VLOOKUP($A443,'Mutasi Neraca'!$A$3:$S$910,15,FALSE)),0,VLOOKUP($A443,'Mutasi Neraca'!$A$3:$S$910,15,FALSE))</f>
        <v>-123477281</v>
      </c>
      <c r="Q443" s="42">
        <f>VLOOKUP($A443,'Neraca Unaudited SIMAK'!$A$2:$R$1272,16,FALSE)+IF(ISNA(VLOOKUP($A443,'Mutasi Neraca'!$A$3:$S$910,16,FALSE)),0,VLOOKUP($A443,'Mutasi Neraca'!$A$3:$S$910,16,FALSE))</f>
        <v>0</v>
      </c>
      <c r="R443" s="42">
        <f>VLOOKUP($A443,'Neraca Unaudited SIMAK'!$A$2:$R$1272,17,FALSE)+IF(ISNA(VLOOKUP($A443,'Mutasi Neraca'!$A$3:$S$910,17,FALSE)),0,VLOOKUP($A443,'Mutasi Neraca'!$A$3:$S$910,17,FALSE))</f>
        <v>-652680536</v>
      </c>
      <c r="S443" s="42">
        <f t="shared" si="55"/>
        <v>15993305844</v>
      </c>
    </row>
    <row r="444" spans="1:19">
      <c r="A444" s="41" t="s">
        <v>451</v>
      </c>
      <c r="B444" s="41" t="str">
        <f t="shared" si="54"/>
        <v>005011200</v>
      </c>
      <c r="D444" s="42">
        <f>VLOOKUP($A444,'Neraca Unaudited SIMAK'!$A$2:$R$1272,3,FALSE)+IF(ISNA(VLOOKUP($A444,'Mutasi Neraca'!$A$3:$S$910,3,FALSE)),0,VLOOKUP($A444,'Mutasi Neraca'!$A$3:$S$910,3,FALSE))</f>
        <v>91300</v>
      </c>
      <c r="E444" s="42">
        <f>VLOOKUP($A444,'Neraca Unaudited SIMAK'!$A$2:$R$1272,4,FALSE)+IF(ISNA(VLOOKUP($A444,'Mutasi Neraca'!$A$3:$S$910,4,FALSE)),0,VLOOKUP($A444,'Mutasi Neraca'!$A$3:$S$910,4,FALSE))</f>
        <v>133235000</v>
      </c>
      <c r="F444" s="42">
        <f>VLOOKUP($A444,'Neraca Unaudited SIMAK'!$A$2:$R$1272,5,FALSE)+IF(ISNA(VLOOKUP($A444,'Mutasi Neraca'!$A$3:$S$910,5,FALSE)),0,VLOOKUP($A444,'Mutasi Neraca'!$A$3:$S$910,5,FALSE))</f>
        <v>1361381317</v>
      </c>
      <c r="G444" s="42">
        <f>VLOOKUP($A444,'Neraca Unaudited SIMAK'!$A$2:$R$1272,6,FALSE)+IF(ISNA(VLOOKUP($A444,'Mutasi Neraca'!$A$3:$S$910,6,FALSE)),0,VLOOKUP($A444,'Mutasi Neraca'!$A$3:$S$910,6,FALSE))</f>
        <v>5949983337</v>
      </c>
      <c r="H444" s="42">
        <f>VLOOKUP($A444,'Neraca Unaudited SIMAK'!$A$2:$R$1272,7,FALSE)+IF(ISNA(VLOOKUP($A444,'Mutasi Neraca'!$A$3:$S$910,7,FALSE)),0,VLOOKUP($A444,'Mutasi Neraca'!$A$3:$S$910,7,FALSE))</f>
        <v>54450000</v>
      </c>
      <c r="I444" s="42">
        <f>VLOOKUP($A444,'Neraca Unaudited SIMAK'!$A$2:$R$1272,8,FALSE)+IF(ISNA(VLOOKUP($A444,'Mutasi Neraca'!$A$3:$S$910,8,FALSE)),0,VLOOKUP($A444,'Mutasi Neraca'!$A$3:$S$910,8,FALSE))</f>
        <v>8986118</v>
      </c>
      <c r="J444" s="42">
        <f>VLOOKUP($A444,'Neraca Unaudited SIMAK'!$A$2:$R$1272,9,FALSE)+IF(ISNA(VLOOKUP($A444,'Mutasi Neraca'!$A$3:$S$910,9,FALSE)),0,VLOOKUP($A444,'Mutasi Neraca'!$A$3:$S$910,9,FALSE))</f>
        <v>0</v>
      </c>
      <c r="K444" s="42">
        <f>VLOOKUP($A444,'Neraca Unaudited SIMAK'!$A$2:$R$1272,10,FALSE)+IF(ISNA(VLOOKUP($A444,'Mutasi Neraca'!$A$3:$S$910,10,FALSE)),0,VLOOKUP($A444,'Mutasi Neraca'!$A$3:$S$910,10,FALSE))</f>
        <v>24200000</v>
      </c>
      <c r="L444" s="42">
        <f>VLOOKUP($A444,'Neraca Unaudited SIMAK'!$A$2:$R$1272,11,FALSE)+IF(ISNA(VLOOKUP($A444,'Mutasi Neraca'!$A$3:$S$910,11,FALSE)),0,VLOOKUP($A444,'Mutasi Neraca'!$A$3:$S$910,11,FALSE))</f>
        <v>0</v>
      </c>
      <c r="M444" s="42">
        <f>VLOOKUP($A444,'Neraca Unaudited SIMAK'!$A$2:$R$1272,12,FALSE)+IF(ISNA(VLOOKUP($A444,'Mutasi Neraca'!$A$3:$S$910,12,FALSE)),0,VLOOKUP($A444,'Mutasi Neraca'!$A$3:$S$910,12,FALSE))</f>
        <v>7532327072</v>
      </c>
      <c r="N444" s="42">
        <f>VLOOKUP($A444,'Neraca Unaudited SIMAK'!$A$2:$R$1272,13,FALSE)+IF(ISNA(VLOOKUP($A444,'Mutasi Neraca'!$A$3:$S$910,13,FALSE)),0,VLOOKUP($A444,'Mutasi Neraca'!$A$3:$S$910,13,FALSE))</f>
        <v>-1257892707</v>
      </c>
      <c r="O444" s="42">
        <f>VLOOKUP($A444,'Neraca Unaudited SIMAK'!$A$2:$R$1272,14,FALSE)+IF(ISNA(VLOOKUP($A444,'Mutasi Neraca'!$A$3:$S$910,14,FALSE)),0,VLOOKUP($A444,'Mutasi Neraca'!$A$3:$S$910,14,FALSE))</f>
        <v>-764846876</v>
      </c>
      <c r="P444" s="42">
        <f>VLOOKUP($A444,'Neraca Unaudited SIMAK'!$A$2:$R$1272,15,FALSE)+IF(ISNA(VLOOKUP($A444,'Mutasi Neraca'!$A$3:$S$910,15,FALSE)),0,VLOOKUP($A444,'Mutasi Neraca'!$A$3:$S$910,15,FALSE))</f>
        <v>-36531665</v>
      </c>
      <c r="Q444" s="42">
        <f>VLOOKUP($A444,'Neraca Unaudited SIMAK'!$A$2:$R$1272,16,FALSE)+IF(ISNA(VLOOKUP($A444,'Mutasi Neraca'!$A$3:$S$910,16,FALSE)),0,VLOOKUP($A444,'Mutasi Neraca'!$A$3:$S$910,16,FALSE))</f>
        <v>-3687250</v>
      </c>
      <c r="R444" s="42">
        <f>VLOOKUP($A444,'Neraca Unaudited SIMAK'!$A$2:$R$1272,17,FALSE)+IF(ISNA(VLOOKUP($A444,'Mutasi Neraca'!$A$3:$S$910,17,FALSE)),0,VLOOKUP($A444,'Mutasi Neraca'!$A$3:$S$910,17,FALSE))</f>
        <v>0</v>
      </c>
      <c r="S444" s="42">
        <f t="shared" si="55"/>
        <v>5469368574</v>
      </c>
    </row>
    <row r="445" spans="1:19">
      <c r="A445" s="41" t="s">
        <v>452</v>
      </c>
      <c r="B445" s="41" t="str">
        <f t="shared" si="54"/>
        <v>005011200</v>
      </c>
      <c r="D445" s="42">
        <f>VLOOKUP($A445,'Neraca Unaudited SIMAK'!$A$2:$R$1272,3,FALSE)+IF(ISNA(VLOOKUP($A445,'Mutasi Neraca'!$A$3:$S$910,3,FALSE)),0,VLOOKUP($A445,'Mutasi Neraca'!$A$3:$S$910,3,FALSE))</f>
        <v>321950</v>
      </c>
      <c r="E445" s="42">
        <f>VLOOKUP($A445,'Neraca Unaudited SIMAK'!$A$2:$R$1272,4,FALSE)+IF(ISNA(VLOOKUP($A445,'Mutasi Neraca'!$A$3:$S$910,4,FALSE)),0,VLOOKUP($A445,'Mutasi Neraca'!$A$3:$S$910,4,FALSE))</f>
        <v>531060000</v>
      </c>
      <c r="F445" s="42">
        <f>VLOOKUP($A445,'Neraca Unaudited SIMAK'!$A$2:$R$1272,5,FALSE)+IF(ISNA(VLOOKUP($A445,'Mutasi Neraca'!$A$3:$S$910,5,FALSE)),0,VLOOKUP($A445,'Mutasi Neraca'!$A$3:$S$910,5,FALSE))</f>
        <v>1725418676</v>
      </c>
      <c r="G445" s="42">
        <f>VLOOKUP($A445,'Neraca Unaudited SIMAK'!$A$2:$R$1272,6,FALSE)+IF(ISNA(VLOOKUP($A445,'Mutasi Neraca'!$A$3:$S$910,6,FALSE)),0,VLOOKUP($A445,'Mutasi Neraca'!$A$3:$S$910,6,FALSE))</f>
        <v>4940090900</v>
      </c>
      <c r="H445" s="42">
        <f>VLOOKUP($A445,'Neraca Unaudited SIMAK'!$A$2:$R$1272,7,FALSE)+IF(ISNA(VLOOKUP($A445,'Mutasi Neraca'!$A$3:$S$910,7,FALSE)),0,VLOOKUP($A445,'Mutasi Neraca'!$A$3:$S$910,7,FALSE))</f>
        <v>245335000</v>
      </c>
      <c r="I445" s="42">
        <f>VLOOKUP($A445,'Neraca Unaudited SIMAK'!$A$2:$R$1272,8,FALSE)+IF(ISNA(VLOOKUP($A445,'Mutasi Neraca'!$A$3:$S$910,8,FALSE)),0,VLOOKUP($A445,'Mutasi Neraca'!$A$3:$S$910,8,FALSE))</f>
        <v>26586118</v>
      </c>
      <c r="J445" s="42">
        <f>VLOOKUP($A445,'Neraca Unaudited SIMAK'!$A$2:$R$1272,9,FALSE)+IF(ISNA(VLOOKUP($A445,'Mutasi Neraca'!$A$3:$S$910,9,FALSE)),0,VLOOKUP($A445,'Mutasi Neraca'!$A$3:$S$910,9,FALSE))</f>
        <v>2315780000</v>
      </c>
      <c r="K445" s="42">
        <f>VLOOKUP($A445,'Neraca Unaudited SIMAK'!$A$2:$R$1272,10,FALSE)+IF(ISNA(VLOOKUP($A445,'Mutasi Neraca'!$A$3:$S$910,10,FALSE)),0,VLOOKUP($A445,'Mutasi Neraca'!$A$3:$S$910,10,FALSE))</f>
        <v>5350000</v>
      </c>
      <c r="L445" s="42">
        <f>VLOOKUP($A445,'Neraca Unaudited SIMAK'!$A$2:$R$1272,11,FALSE)+IF(ISNA(VLOOKUP($A445,'Mutasi Neraca'!$A$3:$S$910,11,FALSE)),0,VLOOKUP($A445,'Mutasi Neraca'!$A$3:$S$910,11,FALSE))</f>
        <v>272497048</v>
      </c>
      <c r="M445" s="42">
        <f>VLOOKUP($A445,'Neraca Unaudited SIMAK'!$A$2:$R$1272,12,FALSE)+IF(ISNA(VLOOKUP($A445,'Mutasi Neraca'!$A$3:$S$910,12,FALSE)),0,VLOOKUP($A445,'Mutasi Neraca'!$A$3:$S$910,12,FALSE))</f>
        <v>10062439692</v>
      </c>
      <c r="N445" s="42">
        <f>VLOOKUP($A445,'Neraca Unaudited SIMAK'!$A$2:$R$1272,13,FALSE)+IF(ISNA(VLOOKUP($A445,'Mutasi Neraca'!$A$3:$S$910,13,FALSE)),0,VLOOKUP($A445,'Mutasi Neraca'!$A$3:$S$910,13,FALSE))</f>
        <v>-1584435254</v>
      </c>
      <c r="O445" s="42">
        <f>VLOOKUP($A445,'Neraca Unaudited SIMAK'!$A$2:$R$1272,14,FALSE)+IF(ISNA(VLOOKUP($A445,'Mutasi Neraca'!$A$3:$S$910,14,FALSE)),0,VLOOKUP($A445,'Mutasi Neraca'!$A$3:$S$910,14,FALSE))</f>
        <v>-971321178</v>
      </c>
      <c r="P445" s="42">
        <f>VLOOKUP($A445,'Neraca Unaudited SIMAK'!$A$2:$R$1272,15,FALSE)+IF(ISNA(VLOOKUP($A445,'Mutasi Neraca'!$A$3:$S$910,15,FALSE)),0,VLOOKUP($A445,'Mutasi Neraca'!$A$3:$S$910,15,FALSE))</f>
        <v>-92721550</v>
      </c>
      <c r="Q445" s="42">
        <f>VLOOKUP($A445,'Neraca Unaudited SIMAK'!$A$2:$R$1272,16,FALSE)+IF(ISNA(VLOOKUP($A445,'Mutasi Neraca'!$A$3:$S$910,16,FALSE)),0,VLOOKUP($A445,'Mutasi Neraca'!$A$3:$S$910,16,FALSE))</f>
        <v>0</v>
      </c>
      <c r="R445" s="42">
        <f>VLOOKUP($A445,'Neraca Unaudited SIMAK'!$A$2:$R$1272,17,FALSE)+IF(ISNA(VLOOKUP($A445,'Mutasi Neraca'!$A$3:$S$910,17,FALSE)),0,VLOOKUP($A445,'Mutasi Neraca'!$A$3:$S$910,17,FALSE))</f>
        <v>-272497048</v>
      </c>
      <c r="S445" s="42">
        <f t="shared" si="55"/>
        <v>7141464662</v>
      </c>
    </row>
    <row r="446" spans="1:19">
      <c r="A446" s="41" t="s">
        <v>453</v>
      </c>
      <c r="B446" s="41" t="str">
        <f t="shared" si="54"/>
        <v>005011200</v>
      </c>
      <c r="D446" s="42">
        <f>VLOOKUP($A446,'Neraca Unaudited SIMAK'!$A$2:$R$1272,3,FALSE)+IF(ISNA(VLOOKUP($A446,'Mutasi Neraca'!$A$3:$S$910,3,FALSE)),0,VLOOKUP($A446,'Mutasi Neraca'!$A$3:$S$910,3,FALSE))</f>
        <v>525000</v>
      </c>
      <c r="E446" s="42">
        <f>VLOOKUP($A446,'Neraca Unaudited SIMAK'!$A$2:$R$1272,4,FALSE)+IF(ISNA(VLOOKUP($A446,'Mutasi Neraca'!$A$3:$S$910,4,FALSE)),0,VLOOKUP($A446,'Mutasi Neraca'!$A$3:$S$910,4,FALSE))</f>
        <v>330000000</v>
      </c>
      <c r="F446" s="42">
        <f>VLOOKUP($A446,'Neraca Unaudited SIMAK'!$A$2:$R$1272,5,FALSE)+IF(ISNA(VLOOKUP($A446,'Mutasi Neraca'!$A$3:$S$910,5,FALSE)),0,VLOOKUP($A446,'Mutasi Neraca'!$A$3:$S$910,5,FALSE))</f>
        <v>1574870595</v>
      </c>
      <c r="G446" s="42">
        <f>VLOOKUP($A446,'Neraca Unaudited SIMAK'!$A$2:$R$1272,6,FALSE)+IF(ISNA(VLOOKUP($A446,'Mutasi Neraca'!$A$3:$S$910,6,FALSE)),0,VLOOKUP($A446,'Mutasi Neraca'!$A$3:$S$910,6,FALSE))</f>
        <v>4395626278</v>
      </c>
      <c r="H446" s="42">
        <f>VLOOKUP($A446,'Neraca Unaudited SIMAK'!$A$2:$R$1272,7,FALSE)+IF(ISNA(VLOOKUP($A446,'Mutasi Neraca'!$A$3:$S$910,7,FALSE)),0,VLOOKUP($A446,'Mutasi Neraca'!$A$3:$S$910,7,FALSE))</f>
        <v>341055500</v>
      </c>
      <c r="I446" s="42">
        <f>VLOOKUP($A446,'Neraca Unaudited SIMAK'!$A$2:$R$1272,8,FALSE)+IF(ISNA(VLOOKUP($A446,'Mutasi Neraca'!$A$3:$S$910,8,FALSE)),0,VLOOKUP($A446,'Mutasi Neraca'!$A$3:$S$910,8,FALSE))</f>
        <v>16662118</v>
      </c>
      <c r="J446" s="42">
        <f>VLOOKUP($A446,'Neraca Unaudited SIMAK'!$A$2:$R$1272,9,FALSE)+IF(ISNA(VLOOKUP($A446,'Mutasi Neraca'!$A$3:$S$910,9,FALSE)),0,VLOOKUP($A446,'Mutasi Neraca'!$A$3:$S$910,9,FALSE))</f>
        <v>0</v>
      </c>
      <c r="K446" s="42">
        <f>VLOOKUP($A446,'Neraca Unaudited SIMAK'!$A$2:$R$1272,10,FALSE)+IF(ISNA(VLOOKUP($A446,'Mutasi Neraca'!$A$3:$S$910,10,FALSE)),0,VLOOKUP($A446,'Mutasi Neraca'!$A$3:$S$910,10,FALSE))</f>
        <v>41280000</v>
      </c>
      <c r="L446" s="42">
        <f>VLOOKUP($A446,'Neraca Unaudited SIMAK'!$A$2:$R$1272,11,FALSE)+IF(ISNA(VLOOKUP($A446,'Mutasi Neraca'!$A$3:$S$910,11,FALSE)),0,VLOOKUP($A446,'Mutasi Neraca'!$A$3:$S$910,11,FALSE))</f>
        <v>0</v>
      </c>
      <c r="M446" s="42">
        <f>VLOOKUP($A446,'Neraca Unaudited SIMAK'!$A$2:$R$1272,12,FALSE)+IF(ISNA(VLOOKUP($A446,'Mutasi Neraca'!$A$3:$S$910,12,FALSE)),0,VLOOKUP($A446,'Mutasi Neraca'!$A$3:$S$910,12,FALSE))</f>
        <v>6700019491</v>
      </c>
      <c r="N446" s="42">
        <f>VLOOKUP($A446,'Neraca Unaudited SIMAK'!$A$2:$R$1272,13,FALSE)+IF(ISNA(VLOOKUP($A446,'Mutasi Neraca'!$A$3:$S$910,13,FALSE)),0,VLOOKUP($A446,'Mutasi Neraca'!$A$3:$S$910,13,FALSE))</f>
        <v>-1376371035</v>
      </c>
      <c r="O446" s="42">
        <f>VLOOKUP($A446,'Neraca Unaudited SIMAK'!$A$2:$R$1272,14,FALSE)+IF(ISNA(VLOOKUP($A446,'Mutasi Neraca'!$A$3:$S$910,14,FALSE)),0,VLOOKUP($A446,'Mutasi Neraca'!$A$3:$S$910,14,FALSE))</f>
        <v>-815741541</v>
      </c>
      <c r="P446" s="42">
        <f>VLOOKUP($A446,'Neraca Unaudited SIMAK'!$A$2:$R$1272,15,FALSE)+IF(ISNA(VLOOKUP($A446,'Mutasi Neraca'!$A$3:$S$910,15,FALSE)),0,VLOOKUP($A446,'Mutasi Neraca'!$A$3:$S$910,15,FALSE))</f>
        <v>-121713975</v>
      </c>
      <c r="Q446" s="42">
        <f>VLOOKUP($A446,'Neraca Unaudited SIMAK'!$A$2:$R$1272,16,FALSE)+IF(ISNA(VLOOKUP($A446,'Mutasi Neraca'!$A$3:$S$910,16,FALSE)),0,VLOOKUP($A446,'Mutasi Neraca'!$A$3:$S$910,16,FALSE))</f>
        <v>-11440000</v>
      </c>
      <c r="R446" s="42">
        <f>VLOOKUP($A446,'Neraca Unaudited SIMAK'!$A$2:$R$1272,17,FALSE)+IF(ISNA(VLOOKUP($A446,'Mutasi Neraca'!$A$3:$S$910,17,FALSE)),0,VLOOKUP($A446,'Mutasi Neraca'!$A$3:$S$910,17,FALSE))</f>
        <v>0</v>
      </c>
      <c r="S446" s="42">
        <f t="shared" si="55"/>
        <v>4374752940</v>
      </c>
    </row>
    <row r="447" spans="1:19">
      <c r="A447" s="41" t="s">
        <v>454</v>
      </c>
      <c r="B447" s="41" t="str">
        <f t="shared" si="54"/>
        <v>005011300</v>
      </c>
      <c r="D447" s="42">
        <f>VLOOKUP($A447,'Neraca Unaudited SIMAK'!$A$2:$R$1272,3,FALSE)+IF(ISNA(VLOOKUP($A447,'Mutasi Neraca'!$A$3:$S$910,3,FALSE)),0,VLOOKUP($A447,'Mutasi Neraca'!$A$3:$S$910,3,FALSE))</f>
        <v>30719800</v>
      </c>
      <c r="E447" s="42">
        <f>VLOOKUP($A447,'Neraca Unaudited SIMAK'!$A$2:$R$1272,4,FALSE)+IF(ISNA(VLOOKUP($A447,'Mutasi Neraca'!$A$3:$S$910,4,FALSE)),0,VLOOKUP($A447,'Mutasi Neraca'!$A$3:$S$910,4,FALSE))</f>
        <v>5610507750</v>
      </c>
      <c r="F447" s="42">
        <f>VLOOKUP($A447,'Neraca Unaudited SIMAK'!$A$2:$R$1272,5,FALSE)+IF(ISNA(VLOOKUP($A447,'Mutasi Neraca'!$A$3:$S$910,5,FALSE)),0,VLOOKUP($A447,'Mutasi Neraca'!$A$3:$S$910,5,FALSE))</f>
        <v>2779207902</v>
      </c>
      <c r="G447" s="42">
        <f>VLOOKUP($A447,'Neraca Unaudited SIMAK'!$A$2:$R$1272,6,FALSE)+IF(ISNA(VLOOKUP($A447,'Mutasi Neraca'!$A$3:$S$910,6,FALSE)),0,VLOOKUP($A447,'Mutasi Neraca'!$A$3:$S$910,6,FALSE))</f>
        <v>3963912970</v>
      </c>
      <c r="H447" s="42">
        <f>VLOOKUP($A447,'Neraca Unaudited SIMAK'!$A$2:$R$1272,7,FALSE)+IF(ISNA(VLOOKUP($A447,'Mutasi Neraca'!$A$3:$S$910,7,FALSE)),0,VLOOKUP($A447,'Mutasi Neraca'!$A$3:$S$910,7,FALSE))</f>
        <v>183211000</v>
      </c>
      <c r="I447" s="42">
        <f>VLOOKUP($A447,'Neraca Unaudited SIMAK'!$A$2:$R$1272,8,FALSE)+IF(ISNA(VLOOKUP($A447,'Mutasi Neraca'!$A$3:$S$910,8,FALSE)),0,VLOOKUP($A447,'Mutasi Neraca'!$A$3:$S$910,8,FALSE))</f>
        <v>4726840</v>
      </c>
      <c r="J447" s="42">
        <f>VLOOKUP($A447,'Neraca Unaudited SIMAK'!$A$2:$R$1272,9,FALSE)+IF(ISNA(VLOOKUP($A447,'Mutasi Neraca'!$A$3:$S$910,9,FALSE)),0,VLOOKUP($A447,'Mutasi Neraca'!$A$3:$S$910,9,FALSE))</f>
        <v>0</v>
      </c>
      <c r="K447" s="42">
        <f>VLOOKUP($A447,'Neraca Unaudited SIMAK'!$A$2:$R$1272,10,FALSE)+IF(ISNA(VLOOKUP($A447,'Mutasi Neraca'!$A$3:$S$910,10,FALSE)),0,VLOOKUP($A447,'Mutasi Neraca'!$A$3:$S$910,10,FALSE))</f>
        <v>0</v>
      </c>
      <c r="L447" s="42">
        <f>VLOOKUP($A447,'Neraca Unaudited SIMAK'!$A$2:$R$1272,11,FALSE)+IF(ISNA(VLOOKUP($A447,'Mutasi Neraca'!$A$3:$S$910,11,FALSE)),0,VLOOKUP($A447,'Mutasi Neraca'!$A$3:$S$910,11,FALSE))</f>
        <v>26561476</v>
      </c>
      <c r="M447" s="42">
        <f>VLOOKUP($A447,'Neraca Unaudited SIMAK'!$A$2:$R$1272,12,FALSE)+IF(ISNA(VLOOKUP($A447,'Mutasi Neraca'!$A$3:$S$910,12,FALSE)),0,VLOOKUP($A447,'Mutasi Neraca'!$A$3:$S$910,12,FALSE))</f>
        <v>12598847738</v>
      </c>
      <c r="N447" s="42">
        <f>VLOOKUP($A447,'Neraca Unaudited SIMAK'!$A$2:$R$1272,13,FALSE)+IF(ISNA(VLOOKUP($A447,'Mutasi Neraca'!$A$3:$S$910,13,FALSE)),0,VLOOKUP($A447,'Mutasi Neraca'!$A$3:$S$910,13,FALSE))</f>
        <v>-2519662061</v>
      </c>
      <c r="O447" s="42">
        <f>VLOOKUP($A447,'Neraca Unaudited SIMAK'!$A$2:$R$1272,14,FALSE)+IF(ISNA(VLOOKUP($A447,'Mutasi Neraca'!$A$3:$S$910,14,FALSE)),0,VLOOKUP($A447,'Mutasi Neraca'!$A$3:$S$910,14,FALSE))</f>
        <v>-1123716918</v>
      </c>
      <c r="P447" s="42">
        <f>VLOOKUP($A447,'Neraca Unaudited SIMAK'!$A$2:$R$1272,15,FALSE)+IF(ISNA(VLOOKUP($A447,'Mutasi Neraca'!$A$3:$S$910,15,FALSE)),0,VLOOKUP($A447,'Mutasi Neraca'!$A$3:$S$910,15,FALSE))</f>
        <v>-29771788</v>
      </c>
      <c r="Q447" s="42">
        <f>VLOOKUP($A447,'Neraca Unaudited SIMAK'!$A$2:$R$1272,16,FALSE)+IF(ISNA(VLOOKUP($A447,'Mutasi Neraca'!$A$3:$S$910,16,FALSE)),0,VLOOKUP($A447,'Mutasi Neraca'!$A$3:$S$910,16,FALSE))</f>
        <v>0</v>
      </c>
      <c r="R447" s="42">
        <f>VLOOKUP($A447,'Neraca Unaudited SIMAK'!$A$2:$R$1272,17,FALSE)+IF(ISNA(VLOOKUP($A447,'Mutasi Neraca'!$A$3:$S$910,17,FALSE)),0,VLOOKUP($A447,'Mutasi Neraca'!$A$3:$S$910,17,FALSE))</f>
        <v>-26561476</v>
      </c>
      <c r="S447" s="42">
        <f t="shared" si="55"/>
        <v>8899135495</v>
      </c>
    </row>
    <row r="448" spans="1:19">
      <c r="A448" s="41" t="s">
        <v>455</v>
      </c>
      <c r="B448" s="41" t="str">
        <f t="shared" si="54"/>
        <v>005011300</v>
      </c>
      <c r="D448" s="42">
        <f>VLOOKUP($A448,'Neraca Unaudited SIMAK'!$A$2:$R$1272,3,FALSE)+IF(ISNA(VLOOKUP($A448,'Mutasi Neraca'!$A$3:$S$910,3,FALSE)),0,VLOOKUP($A448,'Mutasi Neraca'!$A$3:$S$910,3,FALSE))</f>
        <v>5861500</v>
      </c>
      <c r="E448" s="42">
        <f>VLOOKUP($A448,'Neraca Unaudited SIMAK'!$A$2:$R$1272,4,FALSE)+IF(ISNA(VLOOKUP($A448,'Mutasi Neraca'!$A$3:$S$910,4,FALSE)),0,VLOOKUP($A448,'Mutasi Neraca'!$A$3:$S$910,4,FALSE))</f>
        <v>2737240000</v>
      </c>
      <c r="F448" s="42">
        <f>VLOOKUP($A448,'Neraca Unaudited SIMAK'!$A$2:$R$1272,5,FALSE)+IF(ISNA(VLOOKUP($A448,'Mutasi Neraca'!$A$3:$S$910,5,FALSE)),0,VLOOKUP($A448,'Mutasi Neraca'!$A$3:$S$910,5,FALSE))</f>
        <v>2100352387</v>
      </c>
      <c r="G448" s="42">
        <f>VLOOKUP($A448,'Neraca Unaudited SIMAK'!$A$2:$R$1272,6,FALSE)+IF(ISNA(VLOOKUP($A448,'Mutasi Neraca'!$A$3:$S$910,6,FALSE)),0,VLOOKUP($A448,'Mutasi Neraca'!$A$3:$S$910,6,FALSE))</f>
        <v>2890829233</v>
      </c>
      <c r="H448" s="42">
        <f>VLOOKUP($A448,'Neraca Unaudited SIMAK'!$A$2:$R$1272,7,FALSE)+IF(ISNA(VLOOKUP($A448,'Mutasi Neraca'!$A$3:$S$910,7,FALSE)),0,VLOOKUP($A448,'Mutasi Neraca'!$A$3:$S$910,7,FALSE))</f>
        <v>48600000</v>
      </c>
      <c r="I448" s="42">
        <f>VLOOKUP($A448,'Neraca Unaudited SIMAK'!$A$2:$R$1272,8,FALSE)+IF(ISNA(VLOOKUP($A448,'Mutasi Neraca'!$A$3:$S$910,8,FALSE)),0,VLOOKUP($A448,'Mutasi Neraca'!$A$3:$S$910,8,FALSE))</f>
        <v>37398440</v>
      </c>
      <c r="J448" s="42">
        <f>VLOOKUP($A448,'Neraca Unaudited SIMAK'!$A$2:$R$1272,9,FALSE)+IF(ISNA(VLOOKUP($A448,'Mutasi Neraca'!$A$3:$S$910,9,FALSE)),0,VLOOKUP($A448,'Mutasi Neraca'!$A$3:$S$910,9,FALSE))</f>
        <v>0</v>
      </c>
      <c r="K448" s="42">
        <f>VLOOKUP($A448,'Neraca Unaudited SIMAK'!$A$2:$R$1272,10,FALSE)+IF(ISNA(VLOOKUP($A448,'Mutasi Neraca'!$A$3:$S$910,10,FALSE)),0,VLOOKUP($A448,'Mutasi Neraca'!$A$3:$S$910,10,FALSE))</f>
        <v>0</v>
      </c>
      <c r="L448" s="42">
        <f>VLOOKUP($A448,'Neraca Unaudited SIMAK'!$A$2:$R$1272,11,FALSE)+IF(ISNA(VLOOKUP($A448,'Mutasi Neraca'!$A$3:$S$910,11,FALSE)),0,VLOOKUP($A448,'Mutasi Neraca'!$A$3:$S$910,11,FALSE))</f>
        <v>1701000</v>
      </c>
      <c r="M448" s="42">
        <f>VLOOKUP($A448,'Neraca Unaudited SIMAK'!$A$2:$R$1272,12,FALSE)+IF(ISNA(VLOOKUP($A448,'Mutasi Neraca'!$A$3:$S$910,12,FALSE)),0,VLOOKUP($A448,'Mutasi Neraca'!$A$3:$S$910,12,FALSE))</f>
        <v>7821982560</v>
      </c>
      <c r="N448" s="42">
        <f>VLOOKUP($A448,'Neraca Unaudited SIMAK'!$A$2:$R$1272,13,FALSE)+IF(ISNA(VLOOKUP($A448,'Mutasi Neraca'!$A$3:$S$910,13,FALSE)),0,VLOOKUP($A448,'Mutasi Neraca'!$A$3:$S$910,13,FALSE))</f>
        <v>-1697014734</v>
      </c>
      <c r="O448" s="42">
        <f>VLOOKUP($A448,'Neraca Unaudited SIMAK'!$A$2:$R$1272,14,FALSE)+IF(ISNA(VLOOKUP($A448,'Mutasi Neraca'!$A$3:$S$910,14,FALSE)),0,VLOOKUP($A448,'Mutasi Neraca'!$A$3:$S$910,14,FALSE))</f>
        <v>-1118365418</v>
      </c>
      <c r="P448" s="42">
        <f>VLOOKUP($A448,'Neraca Unaudited SIMAK'!$A$2:$R$1272,15,FALSE)+IF(ISNA(VLOOKUP($A448,'Mutasi Neraca'!$A$3:$S$910,15,FALSE)),0,VLOOKUP($A448,'Mutasi Neraca'!$A$3:$S$910,15,FALSE))</f>
        <v>-14906250</v>
      </c>
      <c r="Q448" s="42">
        <f>VLOOKUP($A448,'Neraca Unaudited SIMAK'!$A$2:$R$1272,16,FALSE)+IF(ISNA(VLOOKUP($A448,'Mutasi Neraca'!$A$3:$S$910,16,FALSE)),0,VLOOKUP($A448,'Mutasi Neraca'!$A$3:$S$910,16,FALSE))</f>
        <v>0</v>
      </c>
      <c r="R448" s="42">
        <f>VLOOKUP($A448,'Neraca Unaudited SIMAK'!$A$2:$R$1272,17,FALSE)+IF(ISNA(VLOOKUP($A448,'Mutasi Neraca'!$A$3:$S$910,17,FALSE)),0,VLOOKUP($A448,'Mutasi Neraca'!$A$3:$S$910,17,FALSE))</f>
        <v>-1701000</v>
      </c>
      <c r="S448" s="42">
        <f t="shared" si="55"/>
        <v>4989995158</v>
      </c>
    </row>
    <row r="449" spans="1:19">
      <c r="A449" s="41" t="s">
        <v>456</v>
      </c>
      <c r="B449" s="41" t="str">
        <f t="shared" si="54"/>
        <v>005011300</v>
      </c>
      <c r="D449" s="42">
        <f>VLOOKUP($A449,'Neraca Unaudited SIMAK'!$A$2:$R$1272,3,FALSE)+IF(ISNA(VLOOKUP($A449,'Mutasi Neraca'!$A$3:$S$910,3,FALSE)),0,VLOOKUP($A449,'Mutasi Neraca'!$A$3:$S$910,3,FALSE))</f>
        <v>215000</v>
      </c>
      <c r="E449" s="42">
        <f>VLOOKUP($A449,'Neraca Unaudited SIMAK'!$A$2:$R$1272,4,FALSE)+IF(ISNA(VLOOKUP($A449,'Mutasi Neraca'!$A$3:$S$910,4,FALSE)),0,VLOOKUP($A449,'Mutasi Neraca'!$A$3:$S$910,4,FALSE))</f>
        <v>3271705120</v>
      </c>
      <c r="F449" s="42">
        <f>VLOOKUP($A449,'Neraca Unaudited SIMAK'!$A$2:$R$1272,5,FALSE)+IF(ISNA(VLOOKUP($A449,'Mutasi Neraca'!$A$3:$S$910,5,FALSE)),0,VLOOKUP($A449,'Mutasi Neraca'!$A$3:$S$910,5,FALSE))</f>
        <v>1120935857</v>
      </c>
      <c r="G449" s="42">
        <f>VLOOKUP($A449,'Neraca Unaudited SIMAK'!$A$2:$R$1272,6,FALSE)+IF(ISNA(VLOOKUP($A449,'Mutasi Neraca'!$A$3:$S$910,6,FALSE)),0,VLOOKUP($A449,'Mutasi Neraca'!$A$3:$S$910,6,FALSE))</f>
        <v>19504036760</v>
      </c>
      <c r="H449" s="42">
        <f>VLOOKUP($A449,'Neraca Unaudited SIMAK'!$A$2:$R$1272,7,FALSE)+IF(ISNA(VLOOKUP($A449,'Mutasi Neraca'!$A$3:$S$910,7,FALSE)),0,VLOOKUP($A449,'Mutasi Neraca'!$A$3:$S$910,7,FALSE))</f>
        <v>19341536</v>
      </c>
      <c r="I449" s="42">
        <f>VLOOKUP($A449,'Neraca Unaudited SIMAK'!$A$2:$R$1272,8,FALSE)+IF(ISNA(VLOOKUP($A449,'Mutasi Neraca'!$A$3:$S$910,8,FALSE)),0,VLOOKUP($A449,'Mutasi Neraca'!$A$3:$S$910,8,FALSE))</f>
        <v>1943440</v>
      </c>
      <c r="J449" s="42">
        <f>VLOOKUP($A449,'Neraca Unaudited SIMAK'!$A$2:$R$1272,9,FALSE)+IF(ISNA(VLOOKUP($A449,'Mutasi Neraca'!$A$3:$S$910,9,FALSE)),0,VLOOKUP($A449,'Mutasi Neraca'!$A$3:$S$910,9,FALSE))</f>
        <v>0</v>
      </c>
      <c r="K449" s="42">
        <f>VLOOKUP($A449,'Neraca Unaudited SIMAK'!$A$2:$R$1272,10,FALSE)+IF(ISNA(VLOOKUP($A449,'Mutasi Neraca'!$A$3:$S$910,10,FALSE)),0,VLOOKUP($A449,'Mutasi Neraca'!$A$3:$S$910,10,FALSE))</f>
        <v>0</v>
      </c>
      <c r="L449" s="42">
        <f>VLOOKUP($A449,'Neraca Unaudited SIMAK'!$A$2:$R$1272,11,FALSE)+IF(ISNA(VLOOKUP($A449,'Mutasi Neraca'!$A$3:$S$910,11,FALSE)),0,VLOOKUP($A449,'Mutasi Neraca'!$A$3:$S$910,11,FALSE))</f>
        <v>840000</v>
      </c>
      <c r="M449" s="42">
        <f>VLOOKUP($A449,'Neraca Unaudited SIMAK'!$A$2:$R$1272,12,FALSE)+IF(ISNA(VLOOKUP($A449,'Mutasi Neraca'!$A$3:$S$910,12,FALSE)),0,VLOOKUP($A449,'Mutasi Neraca'!$A$3:$S$910,12,FALSE))</f>
        <v>23919017713</v>
      </c>
      <c r="N449" s="42">
        <f>VLOOKUP($A449,'Neraca Unaudited SIMAK'!$A$2:$R$1272,13,FALSE)+IF(ISNA(VLOOKUP($A449,'Mutasi Neraca'!$A$3:$S$910,13,FALSE)),0,VLOOKUP($A449,'Mutasi Neraca'!$A$3:$S$910,13,FALSE))</f>
        <v>-933462267</v>
      </c>
      <c r="O449" s="42">
        <f>VLOOKUP($A449,'Neraca Unaudited SIMAK'!$A$2:$R$1272,14,FALSE)+IF(ISNA(VLOOKUP($A449,'Mutasi Neraca'!$A$3:$S$910,14,FALSE)),0,VLOOKUP($A449,'Mutasi Neraca'!$A$3:$S$910,14,FALSE))</f>
        <v>-3313996946</v>
      </c>
      <c r="P449" s="42">
        <f>VLOOKUP($A449,'Neraca Unaudited SIMAK'!$A$2:$R$1272,15,FALSE)+IF(ISNA(VLOOKUP($A449,'Mutasi Neraca'!$A$3:$S$910,15,FALSE)),0,VLOOKUP($A449,'Mutasi Neraca'!$A$3:$S$910,15,FALSE))</f>
        <v>-2531836</v>
      </c>
      <c r="Q449" s="42">
        <f>VLOOKUP($A449,'Neraca Unaudited SIMAK'!$A$2:$R$1272,16,FALSE)+IF(ISNA(VLOOKUP($A449,'Mutasi Neraca'!$A$3:$S$910,16,FALSE)),0,VLOOKUP($A449,'Mutasi Neraca'!$A$3:$S$910,16,FALSE))</f>
        <v>0</v>
      </c>
      <c r="R449" s="42">
        <f>VLOOKUP($A449,'Neraca Unaudited SIMAK'!$A$2:$R$1272,17,FALSE)+IF(ISNA(VLOOKUP($A449,'Mutasi Neraca'!$A$3:$S$910,17,FALSE)),0,VLOOKUP($A449,'Mutasi Neraca'!$A$3:$S$910,17,FALSE))</f>
        <v>-840000</v>
      </c>
      <c r="S449" s="42">
        <f t="shared" si="55"/>
        <v>19668186664</v>
      </c>
    </row>
    <row r="450" spans="1:19">
      <c r="A450" s="41" t="s">
        <v>457</v>
      </c>
      <c r="B450" s="41" t="str">
        <f t="shared" si="54"/>
        <v>005011300</v>
      </c>
      <c r="D450" s="42">
        <f>VLOOKUP($A450,'Neraca Unaudited SIMAK'!$A$2:$R$1272,3,FALSE)+IF(ISNA(VLOOKUP($A450,'Mutasi Neraca'!$A$3:$S$910,3,FALSE)),0,VLOOKUP($A450,'Mutasi Neraca'!$A$3:$S$910,3,FALSE))</f>
        <v>25000</v>
      </c>
      <c r="E450" s="42">
        <f>VLOOKUP($A450,'Neraca Unaudited SIMAK'!$A$2:$R$1272,4,FALSE)+IF(ISNA(VLOOKUP($A450,'Mutasi Neraca'!$A$3:$S$910,4,FALSE)),0,VLOOKUP($A450,'Mutasi Neraca'!$A$3:$S$910,4,FALSE))</f>
        <v>3492039000</v>
      </c>
      <c r="F450" s="42">
        <f>VLOOKUP($A450,'Neraca Unaudited SIMAK'!$A$2:$R$1272,5,FALSE)+IF(ISNA(VLOOKUP($A450,'Mutasi Neraca'!$A$3:$S$910,5,FALSE)),0,VLOOKUP($A450,'Mutasi Neraca'!$A$3:$S$910,5,FALSE))</f>
        <v>1220308526</v>
      </c>
      <c r="G450" s="42">
        <f>VLOOKUP($A450,'Neraca Unaudited SIMAK'!$A$2:$R$1272,6,FALSE)+IF(ISNA(VLOOKUP($A450,'Mutasi Neraca'!$A$3:$S$910,6,FALSE)),0,VLOOKUP($A450,'Mutasi Neraca'!$A$3:$S$910,6,FALSE))</f>
        <v>12090687910</v>
      </c>
      <c r="H450" s="42">
        <f>VLOOKUP($A450,'Neraca Unaudited SIMAK'!$A$2:$R$1272,7,FALSE)+IF(ISNA(VLOOKUP($A450,'Mutasi Neraca'!$A$3:$S$910,7,FALSE)),0,VLOOKUP($A450,'Mutasi Neraca'!$A$3:$S$910,7,FALSE))</f>
        <v>749200000</v>
      </c>
      <c r="I450" s="42">
        <f>VLOOKUP($A450,'Neraca Unaudited SIMAK'!$A$2:$R$1272,8,FALSE)+IF(ISNA(VLOOKUP($A450,'Mutasi Neraca'!$A$3:$S$910,8,FALSE)),0,VLOOKUP($A450,'Mutasi Neraca'!$A$3:$S$910,8,FALSE))</f>
        <v>1756343440</v>
      </c>
      <c r="J450" s="42">
        <f>VLOOKUP($A450,'Neraca Unaudited SIMAK'!$A$2:$R$1272,9,FALSE)+IF(ISNA(VLOOKUP($A450,'Mutasi Neraca'!$A$3:$S$910,9,FALSE)),0,VLOOKUP($A450,'Mutasi Neraca'!$A$3:$S$910,9,FALSE))</f>
        <v>0</v>
      </c>
      <c r="K450" s="42">
        <f>VLOOKUP($A450,'Neraca Unaudited SIMAK'!$A$2:$R$1272,10,FALSE)+IF(ISNA(VLOOKUP($A450,'Mutasi Neraca'!$A$3:$S$910,10,FALSE)),0,VLOOKUP($A450,'Mutasi Neraca'!$A$3:$S$910,10,FALSE))</f>
        <v>0</v>
      </c>
      <c r="L450" s="42">
        <f>VLOOKUP($A450,'Neraca Unaudited SIMAK'!$A$2:$R$1272,11,FALSE)+IF(ISNA(VLOOKUP($A450,'Mutasi Neraca'!$A$3:$S$910,11,FALSE)),0,VLOOKUP($A450,'Mutasi Neraca'!$A$3:$S$910,11,FALSE))</f>
        <v>0</v>
      </c>
      <c r="M450" s="42">
        <f>VLOOKUP($A450,'Neraca Unaudited SIMAK'!$A$2:$R$1272,12,FALSE)+IF(ISNA(VLOOKUP($A450,'Mutasi Neraca'!$A$3:$S$910,12,FALSE)),0,VLOOKUP($A450,'Mutasi Neraca'!$A$3:$S$910,12,FALSE))</f>
        <v>19308603876</v>
      </c>
      <c r="N450" s="42">
        <f>VLOOKUP($A450,'Neraca Unaudited SIMAK'!$A$2:$R$1272,13,FALSE)+IF(ISNA(VLOOKUP($A450,'Mutasi Neraca'!$A$3:$S$910,13,FALSE)),0,VLOOKUP($A450,'Mutasi Neraca'!$A$3:$S$910,13,FALSE))</f>
        <v>-1144258968</v>
      </c>
      <c r="O450" s="42">
        <f>VLOOKUP($A450,'Neraca Unaudited SIMAK'!$A$2:$R$1272,14,FALSE)+IF(ISNA(VLOOKUP($A450,'Mutasi Neraca'!$A$3:$S$910,14,FALSE)),0,VLOOKUP($A450,'Mutasi Neraca'!$A$3:$S$910,14,FALSE))</f>
        <v>-487692075</v>
      </c>
      <c r="P450" s="42">
        <f>VLOOKUP($A450,'Neraca Unaudited SIMAK'!$A$2:$R$1272,15,FALSE)+IF(ISNA(VLOOKUP($A450,'Mutasi Neraca'!$A$3:$S$910,15,FALSE)),0,VLOOKUP($A450,'Mutasi Neraca'!$A$3:$S$910,15,FALSE))</f>
        <v>-624245000</v>
      </c>
      <c r="Q450" s="42">
        <f>VLOOKUP($A450,'Neraca Unaudited SIMAK'!$A$2:$R$1272,16,FALSE)+IF(ISNA(VLOOKUP($A450,'Mutasi Neraca'!$A$3:$S$910,16,FALSE)),0,VLOOKUP($A450,'Mutasi Neraca'!$A$3:$S$910,16,FALSE))</f>
        <v>0</v>
      </c>
      <c r="R450" s="42">
        <f>VLOOKUP($A450,'Neraca Unaudited SIMAK'!$A$2:$R$1272,17,FALSE)+IF(ISNA(VLOOKUP($A450,'Mutasi Neraca'!$A$3:$S$910,17,FALSE)),0,VLOOKUP($A450,'Mutasi Neraca'!$A$3:$S$910,17,FALSE))</f>
        <v>0</v>
      </c>
      <c r="S450" s="42">
        <f t="shared" si="55"/>
        <v>17052407833</v>
      </c>
    </row>
    <row r="451" spans="1:19">
      <c r="A451" s="41" t="s">
        <v>458</v>
      </c>
      <c r="B451" s="41" t="str">
        <f t="shared" ref="B451:B514" si="56">LEFT(A451,9)</f>
        <v>005011300</v>
      </c>
      <c r="D451" s="42">
        <f>VLOOKUP($A451,'Neraca Unaudited SIMAK'!$A$2:$R$1272,3,FALSE)+IF(ISNA(VLOOKUP($A451,'Mutasi Neraca'!$A$3:$S$910,3,FALSE)),0,VLOOKUP($A451,'Mutasi Neraca'!$A$3:$S$910,3,FALSE))</f>
        <v>2794400</v>
      </c>
      <c r="E451" s="42">
        <f>VLOOKUP($A451,'Neraca Unaudited SIMAK'!$A$2:$R$1272,4,FALSE)+IF(ISNA(VLOOKUP($A451,'Mutasi Neraca'!$A$3:$S$910,4,FALSE)),0,VLOOKUP($A451,'Mutasi Neraca'!$A$3:$S$910,4,FALSE))</f>
        <v>1320904000</v>
      </c>
      <c r="F451" s="42">
        <f>VLOOKUP($A451,'Neraca Unaudited SIMAK'!$A$2:$R$1272,5,FALSE)+IF(ISNA(VLOOKUP($A451,'Mutasi Neraca'!$A$3:$S$910,5,FALSE)),0,VLOOKUP($A451,'Mutasi Neraca'!$A$3:$S$910,5,FALSE))</f>
        <v>1784826216</v>
      </c>
      <c r="G451" s="42">
        <f>VLOOKUP($A451,'Neraca Unaudited SIMAK'!$A$2:$R$1272,6,FALSE)+IF(ISNA(VLOOKUP($A451,'Mutasi Neraca'!$A$3:$S$910,6,FALSE)),0,VLOOKUP($A451,'Mutasi Neraca'!$A$3:$S$910,6,FALSE))</f>
        <v>9191527000</v>
      </c>
      <c r="H451" s="42">
        <f>VLOOKUP($A451,'Neraca Unaudited SIMAK'!$A$2:$R$1272,7,FALSE)+IF(ISNA(VLOOKUP($A451,'Mutasi Neraca'!$A$3:$S$910,7,FALSE)),0,VLOOKUP($A451,'Mutasi Neraca'!$A$3:$S$910,7,FALSE))</f>
        <v>195299600</v>
      </c>
      <c r="I451" s="42">
        <f>VLOOKUP($A451,'Neraca Unaudited SIMAK'!$A$2:$R$1272,8,FALSE)+IF(ISNA(VLOOKUP($A451,'Mutasi Neraca'!$A$3:$S$910,8,FALSE)),0,VLOOKUP($A451,'Mutasi Neraca'!$A$3:$S$910,8,FALSE))</f>
        <v>1943440</v>
      </c>
      <c r="J451" s="42">
        <f>VLOOKUP($A451,'Neraca Unaudited SIMAK'!$A$2:$R$1272,9,FALSE)+IF(ISNA(VLOOKUP($A451,'Mutasi Neraca'!$A$3:$S$910,9,FALSE)),0,VLOOKUP($A451,'Mutasi Neraca'!$A$3:$S$910,9,FALSE))</f>
        <v>0</v>
      </c>
      <c r="K451" s="42">
        <f>VLOOKUP($A451,'Neraca Unaudited SIMAK'!$A$2:$R$1272,10,FALSE)+IF(ISNA(VLOOKUP($A451,'Mutasi Neraca'!$A$3:$S$910,10,FALSE)),0,VLOOKUP($A451,'Mutasi Neraca'!$A$3:$S$910,10,FALSE))</f>
        <v>0</v>
      </c>
      <c r="L451" s="42">
        <f>VLOOKUP($A451,'Neraca Unaudited SIMAK'!$A$2:$R$1272,11,FALSE)+IF(ISNA(VLOOKUP($A451,'Mutasi Neraca'!$A$3:$S$910,11,FALSE)),0,VLOOKUP($A451,'Mutasi Neraca'!$A$3:$S$910,11,FALSE))</f>
        <v>235714</v>
      </c>
      <c r="M451" s="42">
        <f>VLOOKUP($A451,'Neraca Unaudited SIMAK'!$A$2:$R$1272,12,FALSE)+IF(ISNA(VLOOKUP($A451,'Mutasi Neraca'!$A$3:$S$910,12,FALSE)),0,VLOOKUP($A451,'Mutasi Neraca'!$A$3:$S$910,12,FALSE))</f>
        <v>12497530370</v>
      </c>
      <c r="N451" s="42">
        <f>VLOOKUP($A451,'Neraca Unaudited SIMAK'!$A$2:$R$1272,13,FALSE)+IF(ISNA(VLOOKUP($A451,'Mutasi Neraca'!$A$3:$S$910,13,FALSE)),0,VLOOKUP($A451,'Mutasi Neraca'!$A$3:$S$910,13,FALSE))</f>
        <v>-1421180691</v>
      </c>
      <c r="O451" s="42">
        <f>VLOOKUP($A451,'Neraca Unaudited SIMAK'!$A$2:$R$1272,14,FALSE)+IF(ISNA(VLOOKUP($A451,'Mutasi Neraca'!$A$3:$S$910,14,FALSE)),0,VLOOKUP($A451,'Mutasi Neraca'!$A$3:$S$910,14,FALSE))</f>
        <v>-2277654930</v>
      </c>
      <c r="P451" s="42">
        <f>VLOOKUP($A451,'Neraca Unaudited SIMAK'!$A$2:$R$1272,15,FALSE)+IF(ISNA(VLOOKUP($A451,'Mutasi Neraca'!$A$3:$S$910,15,FALSE)),0,VLOOKUP($A451,'Mutasi Neraca'!$A$3:$S$910,15,FALSE))</f>
        <v>-60663715</v>
      </c>
      <c r="Q451" s="42">
        <f>VLOOKUP($A451,'Neraca Unaudited SIMAK'!$A$2:$R$1272,16,FALSE)+IF(ISNA(VLOOKUP($A451,'Mutasi Neraca'!$A$3:$S$910,16,FALSE)),0,VLOOKUP($A451,'Mutasi Neraca'!$A$3:$S$910,16,FALSE))</f>
        <v>0</v>
      </c>
      <c r="R451" s="42">
        <f>VLOOKUP($A451,'Neraca Unaudited SIMAK'!$A$2:$R$1272,17,FALSE)+IF(ISNA(VLOOKUP($A451,'Mutasi Neraca'!$A$3:$S$910,17,FALSE)),0,VLOOKUP($A451,'Mutasi Neraca'!$A$3:$S$910,17,FALSE))</f>
        <v>-235714</v>
      </c>
      <c r="S451" s="42">
        <f t="shared" ref="S451:S514" si="57">SUM(M451:R451)</f>
        <v>8737795320</v>
      </c>
    </row>
    <row r="452" spans="1:19">
      <c r="A452" s="41" t="s">
        <v>459</v>
      </c>
      <c r="B452" s="41" t="str">
        <f t="shared" si="56"/>
        <v>005011300</v>
      </c>
      <c r="D452" s="42">
        <f>VLOOKUP($A452,'Neraca Unaudited SIMAK'!$A$2:$R$1272,3,FALSE)+IF(ISNA(VLOOKUP($A452,'Mutasi Neraca'!$A$3:$S$910,3,FALSE)),0,VLOOKUP($A452,'Mutasi Neraca'!$A$3:$S$910,3,FALSE))</f>
        <v>352000</v>
      </c>
      <c r="E452" s="42">
        <f>VLOOKUP($A452,'Neraca Unaudited SIMAK'!$A$2:$R$1272,4,FALSE)+IF(ISNA(VLOOKUP($A452,'Mutasi Neraca'!$A$3:$S$910,4,FALSE)),0,VLOOKUP($A452,'Mutasi Neraca'!$A$3:$S$910,4,FALSE))</f>
        <v>1210600000</v>
      </c>
      <c r="F452" s="42">
        <f>VLOOKUP($A452,'Neraca Unaudited SIMAK'!$A$2:$R$1272,5,FALSE)+IF(ISNA(VLOOKUP($A452,'Mutasi Neraca'!$A$3:$S$910,5,FALSE)),0,VLOOKUP($A452,'Mutasi Neraca'!$A$3:$S$910,5,FALSE))</f>
        <v>1184003660</v>
      </c>
      <c r="G452" s="42">
        <f>VLOOKUP($A452,'Neraca Unaudited SIMAK'!$A$2:$R$1272,6,FALSE)+IF(ISNA(VLOOKUP($A452,'Mutasi Neraca'!$A$3:$S$910,6,FALSE)),0,VLOOKUP($A452,'Mutasi Neraca'!$A$3:$S$910,6,FALSE))</f>
        <v>2506739759</v>
      </c>
      <c r="H452" s="42">
        <f>VLOOKUP($A452,'Neraca Unaudited SIMAK'!$A$2:$R$1272,7,FALSE)+IF(ISNA(VLOOKUP($A452,'Mutasi Neraca'!$A$3:$S$910,7,FALSE)),0,VLOOKUP($A452,'Mutasi Neraca'!$A$3:$S$910,7,FALSE))</f>
        <v>93070000</v>
      </c>
      <c r="I452" s="42">
        <f>VLOOKUP($A452,'Neraca Unaudited SIMAK'!$A$2:$R$1272,8,FALSE)+IF(ISNA(VLOOKUP($A452,'Mutasi Neraca'!$A$3:$S$910,8,FALSE)),0,VLOOKUP($A452,'Mutasi Neraca'!$A$3:$S$910,8,FALSE))</f>
        <v>4626840</v>
      </c>
      <c r="J452" s="42">
        <f>VLOOKUP($A452,'Neraca Unaudited SIMAK'!$A$2:$R$1272,9,FALSE)+IF(ISNA(VLOOKUP($A452,'Mutasi Neraca'!$A$3:$S$910,9,FALSE)),0,VLOOKUP($A452,'Mutasi Neraca'!$A$3:$S$910,9,FALSE))</f>
        <v>0</v>
      </c>
      <c r="K452" s="42">
        <f>VLOOKUP($A452,'Neraca Unaudited SIMAK'!$A$2:$R$1272,10,FALSE)+IF(ISNA(VLOOKUP($A452,'Mutasi Neraca'!$A$3:$S$910,10,FALSE)),0,VLOOKUP($A452,'Mutasi Neraca'!$A$3:$S$910,10,FALSE))</f>
        <v>0</v>
      </c>
      <c r="L452" s="42">
        <f>VLOOKUP($A452,'Neraca Unaudited SIMAK'!$A$2:$R$1272,11,FALSE)+IF(ISNA(VLOOKUP($A452,'Mutasi Neraca'!$A$3:$S$910,11,FALSE)),0,VLOOKUP($A452,'Mutasi Neraca'!$A$3:$S$910,11,FALSE))</f>
        <v>391725151</v>
      </c>
      <c r="M452" s="42">
        <f>VLOOKUP($A452,'Neraca Unaudited SIMAK'!$A$2:$R$1272,12,FALSE)+IF(ISNA(VLOOKUP($A452,'Mutasi Neraca'!$A$3:$S$910,12,FALSE)),0,VLOOKUP($A452,'Mutasi Neraca'!$A$3:$S$910,12,FALSE))</f>
        <v>5391117410</v>
      </c>
      <c r="N452" s="42">
        <f>VLOOKUP($A452,'Neraca Unaudited SIMAK'!$A$2:$R$1272,13,FALSE)+IF(ISNA(VLOOKUP($A452,'Mutasi Neraca'!$A$3:$S$910,13,FALSE)),0,VLOOKUP($A452,'Mutasi Neraca'!$A$3:$S$910,13,FALSE))</f>
        <v>-1090213377</v>
      </c>
      <c r="O452" s="42">
        <f>VLOOKUP($A452,'Neraca Unaudited SIMAK'!$A$2:$R$1272,14,FALSE)+IF(ISNA(VLOOKUP($A452,'Mutasi Neraca'!$A$3:$S$910,14,FALSE)),0,VLOOKUP($A452,'Mutasi Neraca'!$A$3:$S$910,14,FALSE))</f>
        <v>-639480261</v>
      </c>
      <c r="P452" s="42">
        <f>VLOOKUP($A452,'Neraca Unaudited SIMAK'!$A$2:$R$1272,15,FALSE)+IF(ISNA(VLOOKUP($A452,'Mutasi Neraca'!$A$3:$S$910,15,FALSE)),0,VLOOKUP($A452,'Mutasi Neraca'!$A$3:$S$910,15,FALSE))</f>
        <v>-79660000</v>
      </c>
      <c r="Q452" s="42">
        <f>VLOOKUP($A452,'Neraca Unaudited SIMAK'!$A$2:$R$1272,16,FALSE)+IF(ISNA(VLOOKUP($A452,'Mutasi Neraca'!$A$3:$S$910,16,FALSE)),0,VLOOKUP($A452,'Mutasi Neraca'!$A$3:$S$910,16,FALSE))</f>
        <v>0</v>
      </c>
      <c r="R452" s="42">
        <f>VLOOKUP($A452,'Neraca Unaudited SIMAK'!$A$2:$R$1272,17,FALSE)+IF(ISNA(VLOOKUP($A452,'Mutasi Neraca'!$A$3:$S$910,17,FALSE)),0,VLOOKUP($A452,'Mutasi Neraca'!$A$3:$S$910,17,FALSE))</f>
        <v>-155419740</v>
      </c>
      <c r="S452" s="42">
        <f t="shared" si="57"/>
        <v>3426344032</v>
      </c>
    </row>
    <row r="453" spans="1:19">
      <c r="A453" s="41" t="s">
        <v>460</v>
      </c>
      <c r="B453" s="41" t="str">
        <f t="shared" si="56"/>
        <v>005011300</v>
      </c>
      <c r="D453" s="42">
        <f>VLOOKUP($A453,'Neraca Unaudited SIMAK'!$A$2:$R$1272,3,FALSE)+IF(ISNA(VLOOKUP($A453,'Mutasi Neraca'!$A$3:$S$910,3,FALSE)),0,VLOOKUP($A453,'Mutasi Neraca'!$A$3:$S$910,3,FALSE))</f>
        <v>1767800</v>
      </c>
      <c r="E453" s="42">
        <f>VLOOKUP($A453,'Neraca Unaudited SIMAK'!$A$2:$R$1272,4,FALSE)+IF(ISNA(VLOOKUP($A453,'Mutasi Neraca'!$A$3:$S$910,4,FALSE)),0,VLOOKUP($A453,'Mutasi Neraca'!$A$3:$S$910,4,FALSE))</f>
        <v>3050782000</v>
      </c>
      <c r="F453" s="42">
        <f>VLOOKUP($A453,'Neraca Unaudited SIMAK'!$A$2:$R$1272,5,FALSE)+IF(ISNA(VLOOKUP($A453,'Mutasi Neraca'!$A$3:$S$910,5,FALSE)),0,VLOOKUP($A453,'Mutasi Neraca'!$A$3:$S$910,5,FALSE))</f>
        <v>1282580993</v>
      </c>
      <c r="G453" s="42">
        <f>VLOOKUP($A453,'Neraca Unaudited SIMAK'!$A$2:$R$1272,6,FALSE)+IF(ISNA(VLOOKUP($A453,'Mutasi Neraca'!$A$3:$S$910,6,FALSE)),0,VLOOKUP($A453,'Mutasi Neraca'!$A$3:$S$910,6,FALSE))</f>
        <v>15240580471</v>
      </c>
      <c r="H453" s="42">
        <f>VLOOKUP($A453,'Neraca Unaudited SIMAK'!$A$2:$R$1272,7,FALSE)+IF(ISNA(VLOOKUP($A453,'Mutasi Neraca'!$A$3:$S$910,7,FALSE)),0,VLOOKUP($A453,'Mutasi Neraca'!$A$3:$S$910,7,FALSE))</f>
        <v>0</v>
      </c>
      <c r="I453" s="42">
        <f>VLOOKUP($A453,'Neraca Unaudited SIMAK'!$A$2:$R$1272,8,FALSE)+IF(ISNA(VLOOKUP($A453,'Mutasi Neraca'!$A$3:$S$910,8,FALSE)),0,VLOOKUP($A453,'Mutasi Neraca'!$A$3:$S$910,8,FALSE))</f>
        <v>1943440</v>
      </c>
      <c r="J453" s="42">
        <f>VLOOKUP($A453,'Neraca Unaudited SIMAK'!$A$2:$R$1272,9,FALSE)+IF(ISNA(VLOOKUP($A453,'Mutasi Neraca'!$A$3:$S$910,9,FALSE)),0,VLOOKUP($A453,'Mutasi Neraca'!$A$3:$S$910,9,FALSE))</f>
        <v>0</v>
      </c>
      <c r="K453" s="42">
        <f>VLOOKUP($A453,'Neraca Unaudited SIMAK'!$A$2:$R$1272,10,FALSE)+IF(ISNA(VLOOKUP($A453,'Mutasi Neraca'!$A$3:$S$910,10,FALSE)),0,VLOOKUP($A453,'Mutasi Neraca'!$A$3:$S$910,10,FALSE))</f>
        <v>0</v>
      </c>
      <c r="L453" s="42">
        <f>VLOOKUP($A453,'Neraca Unaudited SIMAK'!$A$2:$R$1272,11,FALSE)+IF(ISNA(VLOOKUP($A453,'Mutasi Neraca'!$A$3:$S$910,11,FALSE)),0,VLOOKUP($A453,'Mutasi Neraca'!$A$3:$S$910,11,FALSE))</f>
        <v>215476325</v>
      </c>
      <c r="M453" s="42">
        <f>VLOOKUP($A453,'Neraca Unaudited SIMAK'!$A$2:$R$1272,12,FALSE)+IF(ISNA(VLOOKUP($A453,'Mutasi Neraca'!$A$3:$S$910,12,FALSE)),0,VLOOKUP($A453,'Mutasi Neraca'!$A$3:$S$910,12,FALSE))</f>
        <v>19793131029</v>
      </c>
      <c r="N453" s="42">
        <f>VLOOKUP($A453,'Neraca Unaudited SIMAK'!$A$2:$R$1272,13,FALSE)+IF(ISNA(VLOOKUP($A453,'Mutasi Neraca'!$A$3:$S$910,13,FALSE)),0,VLOOKUP($A453,'Mutasi Neraca'!$A$3:$S$910,13,FALSE))</f>
        <v>-1110264590</v>
      </c>
      <c r="O453" s="42">
        <f>VLOOKUP($A453,'Neraca Unaudited SIMAK'!$A$2:$R$1272,14,FALSE)+IF(ISNA(VLOOKUP($A453,'Mutasi Neraca'!$A$3:$S$910,14,FALSE)),0,VLOOKUP($A453,'Mutasi Neraca'!$A$3:$S$910,14,FALSE))</f>
        <v>-320182856</v>
      </c>
      <c r="P453" s="42">
        <f>VLOOKUP($A453,'Neraca Unaudited SIMAK'!$A$2:$R$1272,15,FALSE)+IF(ISNA(VLOOKUP($A453,'Mutasi Neraca'!$A$3:$S$910,15,FALSE)),0,VLOOKUP($A453,'Mutasi Neraca'!$A$3:$S$910,15,FALSE))</f>
        <v>0</v>
      </c>
      <c r="Q453" s="42">
        <f>VLOOKUP($A453,'Neraca Unaudited SIMAK'!$A$2:$R$1272,16,FALSE)+IF(ISNA(VLOOKUP($A453,'Mutasi Neraca'!$A$3:$S$910,16,FALSE)),0,VLOOKUP($A453,'Mutasi Neraca'!$A$3:$S$910,16,FALSE))</f>
        <v>0</v>
      </c>
      <c r="R453" s="42">
        <f>VLOOKUP($A453,'Neraca Unaudited SIMAK'!$A$2:$R$1272,17,FALSE)+IF(ISNA(VLOOKUP($A453,'Mutasi Neraca'!$A$3:$S$910,17,FALSE)),0,VLOOKUP($A453,'Mutasi Neraca'!$A$3:$S$910,17,FALSE))</f>
        <v>-173422951</v>
      </c>
      <c r="S453" s="42">
        <f t="shared" si="57"/>
        <v>18189260632</v>
      </c>
    </row>
    <row r="454" spans="1:19">
      <c r="A454" s="41" t="s">
        <v>461</v>
      </c>
      <c r="B454" s="41" t="str">
        <f t="shared" si="56"/>
        <v>005011300</v>
      </c>
      <c r="D454" s="42">
        <f>VLOOKUP($A454,'Neraca Unaudited SIMAK'!$A$2:$R$1272,3,FALSE)+IF(ISNA(VLOOKUP($A454,'Mutasi Neraca'!$A$3:$S$910,3,FALSE)),0,VLOOKUP($A454,'Mutasi Neraca'!$A$3:$S$910,3,FALSE))</f>
        <v>20072200</v>
      </c>
      <c r="E454" s="42">
        <f>VLOOKUP($A454,'Neraca Unaudited SIMAK'!$A$2:$R$1272,4,FALSE)+IF(ISNA(VLOOKUP($A454,'Mutasi Neraca'!$A$3:$S$910,4,FALSE)),0,VLOOKUP($A454,'Mutasi Neraca'!$A$3:$S$910,4,FALSE))</f>
        <v>25099438074</v>
      </c>
      <c r="F454" s="42">
        <f>VLOOKUP($A454,'Neraca Unaudited SIMAK'!$A$2:$R$1272,5,FALSE)+IF(ISNA(VLOOKUP($A454,'Mutasi Neraca'!$A$3:$S$910,5,FALSE)),0,VLOOKUP($A454,'Mutasi Neraca'!$A$3:$S$910,5,FALSE))</f>
        <v>5372392341</v>
      </c>
      <c r="G454" s="42">
        <f>VLOOKUP($A454,'Neraca Unaudited SIMAK'!$A$2:$R$1272,6,FALSE)+IF(ISNA(VLOOKUP($A454,'Mutasi Neraca'!$A$3:$S$910,6,FALSE)),0,VLOOKUP($A454,'Mutasi Neraca'!$A$3:$S$910,6,FALSE))</f>
        <v>31423049125</v>
      </c>
      <c r="H454" s="42">
        <f>VLOOKUP($A454,'Neraca Unaudited SIMAK'!$A$2:$R$1272,7,FALSE)+IF(ISNA(VLOOKUP($A454,'Mutasi Neraca'!$A$3:$S$910,7,FALSE)),0,VLOOKUP($A454,'Mutasi Neraca'!$A$3:$S$910,7,FALSE))</f>
        <v>0</v>
      </c>
      <c r="I454" s="42">
        <f>VLOOKUP($A454,'Neraca Unaudited SIMAK'!$A$2:$R$1272,8,FALSE)+IF(ISNA(VLOOKUP($A454,'Mutasi Neraca'!$A$3:$S$910,8,FALSE)),0,VLOOKUP($A454,'Mutasi Neraca'!$A$3:$S$910,8,FALSE))</f>
        <v>4772120</v>
      </c>
      <c r="J454" s="42">
        <f>VLOOKUP($A454,'Neraca Unaudited SIMAK'!$A$2:$R$1272,9,FALSE)+IF(ISNA(VLOOKUP($A454,'Mutasi Neraca'!$A$3:$S$910,9,FALSE)),0,VLOOKUP($A454,'Mutasi Neraca'!$A$3:$S$910,9,FALSE))</f>
        <v>0</v>
      </c>
      <c r="K454" s="42">
        <f>VLOOKUP($A454,'Neraca Unaudited SIMAK'!$A$2:$R$1272,10,FALSE)+IF(ISNA(VLOOKUP($A454,'Mutasi Neraca'!$A$3:$S$910,10,FALSE)),0,VLOOKUP($A454,'Mutasi Neraca'!$A$3:$S$910,10,FALSE))</f>
        <v>0</v>
      </c>
      <c r="L454" s="42">
        <f>VLOOKUP($A454,'Neraca Unaudited SIMAK'!$A$2:$R$1272,11,FALSE)+IF(ISNA(VLOOKUP($A454,'Mutasi Neraca'!$A$3:$S$910,11,FALSE)),0,VLOOKUP($A454,'Mutasi Neraca'!$A$3:$S$910,11,FALSE))</f>
        <v>43690024</v>
      </c>
      <c r="M454" s="42">
        <f>VLOOKUP($A454,'Neraca Unaudited SIMAK'!$A$2:$R$1272,12,FALSE)+IF(ISNA(VLOOKUP($A454,'Mutasi Neraca'!$A$3:$S$910,12,FALSE)),0,VLOOKUP($A454,'Mutasi Neraca'!$A$3:$S$910,12,FALSE))</f>
        <v>61963413884</v>
      </c>
      <c r="N454" s="42">
        <f>VLOOKUP($A454,'Neraca Unaudited SIMAK'!$A$2:$R$1272,13,FALSE)+IF(ISNA(VLOOKUP($A454,'Mutasi Neraca'!$A$3:$S$910,13,FALSE)),0,VLOOKUP($A454,'Mutasi Neraca'!$A$3:$S$910,13,FALSE))</f>
        <v>-5022944998</v>
      </c>
      <c r="O454" s="42">
        <f>VLOOKUP($A454,'Neraca Unaudited SIMAK'!$A$2:$R$1272,14,FALSE)+IF(ISNA(VLOOKUP($A454,'Mutasi Neraca'!$A$3:$S$910,14,FALSE)),0,VLOOKUP($A454,'Mutasi Neraca'!$A$3:$S$910,14,FALSE))</f>
        <v>-2476971944</v>
      </c>
      <c r="P454" s="42">
        <f>VLOOKUP($A454,'Neraca Unaudited SIMAK'!$A$2:$R$1272,15,FALSE)+IF(ISNA(VLOOKUP($A454,'Mutasi Neraca'!$A$3:$S$910,15,FALSE)),0,VLOOKUP($A454,'Mutasi Neraca'!$A$3:$S$910,15,FALSE))</f>
        <v>0</v>
      </c>
      <c r="Q454" s="42">
        <f>VLOOKUP($A454,'Neraca Unaudited SIMAK'!$A$2:$R$1272,16,FALSE)+IF(ISNA(VLOOKUP($A454,'Mutasi Neraca'!$A$3:$S$910,16,FALSE)),0,VLOOKUP($A454,'Mutasi Neraca'!$A$3:$S$910,16,FALSE))</f>
        <v>0</v>
      </c>
      <c r="R454" s="42">
        <f>VLOOKUP($A454,'Neraca Unaudited SIMAK'!$A$2:$R$1272,17,FALSE)+IF(ISNA(VLOOKUP($A454,'Mutasi Neraca'!$A$3:$S$910,17,FALSE)),0,VLOOKUP($A454,'Mutasi Neraca'!$A$3:$S$910,17,FALSE))</f>
        <v>-43690024</v>
      </c>
      <c r="S454" s="42">
        <f t="shared" si="57"/>
        <v>54419806918</v>
      </c>
    </row>
    <row r="455" spans="1:19">
      <c r="A455" s="41" t="s">
        <v>462</v>
      </c>
      <c r="B455" s="41" t="str">
        <f t="shared" si="56"/>
        <v>005011300</v>
      </c>
      <c r="D455" s="42">
        <f>VLOOKUP($A455,'Neraca Unaudited SIMAK'!$A$2:$R$1272,3,FALSE)+IF(ISNA(VLOOKUP($A455,'Mutasi Neraca'!$A$3:$S$910,3,FALSE)),0,VLOOKUP($A455,'Mutasi Neraca'!$A$3:$S$910,3,FALSE))</f>
        <v>6367650</v>
      </c>
      <c r="E455" s="42">
        <f>VLOOKUP($A455,'Neraca Unaudited SIMAK'!$A$2:$R$1272,4,FALSE)+IF(ISNA(VLOOKUP($A455,'Mutasi Neraca'!$A$3:$S$910,4,FALSE)),0,VLOOKUP($A455,'Mutasi Neraca'!$A$3:$S$910,4,FALSE))</f>
        <v>13517978000</v>
      </c>
      <c r="F455" s="42">
        <f>VLOOKUP($A455,'Neraca Unaudited SIMAK'!$A$2:$R$1272,5,FALSE)+IF(ISNA(VLOOKUP($A455,'Mutasi Neraca'!$A$3:$S$910,5,FALSE)),0,VLOOKUP($A455,'Mutasi Neraca'!$A$3:$S$910,5,FALSE))</f>
        <v>2497100013</v>
      </c>
      <c r="G455" s="42">
        <f>VLOOKUP($A455,'Neraca Unaudited SIMAK'!$A$2:$R$1272,6,FALSE)+IF(ISNA(VLOOKUP($A455,'Mutasi Neraca'!$A$3:$S$910,6,FALSE)),0,VLOOKUP($A455,'Mutasi Neraca'!$A$3:$S$910,6,FALSE))</f>
        <v>8727464300</v>
      </c>
      <c r="H455" s="42">
        <f>VLOOKUP($A455,'Neraca Unaudited SIMAK'!$A$2:$R$1272,7,FALSE)+IF(ISNA(VLOOKUP($A455,'Mutasi Neraca'!$A$3:$S$910,7,FALSE)),0,VLOOKUP($A455,'Mutasi Neraca'!$A$3:$S$910,7,FALSE))</f>
        <v>0</v>
      </c>
      <c r="I455" s="42">
        <f>VLOOKUP($A455,'Neraca Unaudited SIMAK'!$A$2:$R$1272,8,FALSE)+IF(ISNA(VLOOKUP($A455,'Mutasi Neraca'!$A$3:$S$910,8,FALSE)),0,VLOOKUP($A455,'Mutasi Neraca'!$A$3:$S$910,8,FALSE))</f>
        <v>5293620</v>
      </c>
      <c r="J455" s="42">
        <f>VLOOKUP($A455,'Neraca Unaudited SIMAK'!$A$2:$R$1272,9,FALSE)+IF(ISNA(VLOOKUP($A455,'Mutasi Neraca'!$A$3:$S$910,9,FALSE)),0,VLOOKUP($A455,'Mutasi Neraca'!$A$3:$S$910,9,FALSE))</f>
        <v>0</v>
      </c>
      <c r="K455" s="42">
        <f>VLOOKUP($A455,'Neraca Unaudited SIMAK'!$A$2:$R$1272,10,FALSE)+IF(ISNA(VLOOKUP($A455,'Mutasi Neraca'!$A$3:$S$910,10,FALSE)),0,VLOOKUP($A455,'Mutasi Neraca'!$A$3:$S$910,10,FALSE))</f>
        <v>0</v>
      </c>
      <c r="L455" s="42">
        <f>VLOOKUP($A455,'Neraca Unaudited SIMAK'!$A$2:$R$1272,11,FALSE)+IF(ISNA(VLOOKUP($A455,'Mutasi Neraca'!$A$3:$S$910,11,FALSE)),0,VLOOKUP($A455,'Mutasi Neraca'!$A$3:$S$910,11,FALSE))</f>
        <v>105320500</v>
      </c>
      <c r="M455" s="42">
        <f>VLOOKUP($A455,'Neraca Unaudited SIMAK'!$A$2:$R$1272,12,FALSE)+IF(ISNA(VLOOKUP($A455,'Mutasi Neraca'!$A$3:$S$910,12,FALSE)),0,VLOOKUP($A455,'Mutasi Neraca'!$A$3:$S$910,12,FALSE))</f>
        <v>24859524083</v>
      </c>
      <c r="N455" s="42">
        <f>VLOOKUP($A455,'Neraca Unaudited SIMAK'!$A$2:$R$1272,13,FALSE)+IF(ISNA(VLOOKUP($A455,'Mutasi Neraca'!$A$3:$S$910,13,FALSE)),0,VLOOKUP($A455,'Mutasi Neraca'!$A$3:$S$910,13,FALSE))</f>
        <v>-2150559025</v>
      </c>
      <c r="O455" s="42">
        <f>VLOOKUP($A455,'Neraca Unaudited SIMAK'!$A$2:$R$1272,14,FALSE)+IF(ISNA(VLOOKUP($A455,'Mutasi Neraca'!$A$3:$S$910,14,FALSE)),0,VLOOKUP($A455,'Mutasi Neraca'!$A$3:$S$910,14,FALSE))</f>
        <v>-1265409090</v>
      </c>
      <c r="P455" s="42">
        <f>VLOOKUP($A455,'Neraca Unaudited SIMAK'!$A$2:$R$1272,15,FALSE)+IF(ISNA(VLOOKUP($A455,'Mutasi Neraca'!$A$3:$S$910,15,FALSE)),0,VLOOKUP($A455,'Mutasi Neraca'!$A$3:$S$910,15,FALSE))</f>
        <v>0</v>
      </c>
      <c r="Q455" s="42">
        <f>VLOOKUP($A455,'Neraca Unaudited SIMAK'!$A$2:$R$1272,16,FALSE)+IF(ISNA(VLOOKUP($A455,'Mutasi Neraca'!$A$3:$S$910,16,FALSE)),0,VLOOKUP($A455,'Mutasi Neraca'!$A$3:$S$910,16,FALSE))</f>
        <v>0</v>
      </c>
      <c r="R455" s="42">
        <f>VLOOKUP($A455,'Neraca Unaudited SIMAK'!$A$2:$R$1272,17,FALSE)+IF(ISNA(VLOOKUP($A455,'Mutasi Neraca'!$A$3:$S$910,17,FALSE)),0,VLOOKUP($A455,'Mutasi Neraca'!$A$3:$S$910,17,FALSE))</f>
        <v>-105320500</v>
      </c>
      <c r="S455" s="42">
        <f t="shared" si="57"/>
        <v>21338235468</v>
      </c>
    </row>
    <row r="456" spans="1:19">
      <c r="A456" s="41" t="s">
        <v>463</v>
      </c>
      <c r="B456" s="41" t="str">
        <f t="shared" si="56"/>
        <v>005011300</v>
      </c>
      <c r="D456" s="42">
        <f>VLOOKUP($A456,'Neraca Unaudited SIMAK'!$A$2:$R$1272,3,FALSE)+IF(ISNA(VLOOKUP($A456,'Mutasi Neraca'!$A$3:$S$910,3,FALSE)),0,VLOOKUP($A456,'Mutasi Neraca'!$A$3:$S$910,3,FALSE))</f>
        <v>3349800</v>
      </c>
      <c r="E456" s="42">
        <f>VLOOKUP($A456,'Neraca Unaudited SIMAK'!$A$2:$R$1272,4,FALSE)+IF(ISNA(VLOOKUP($A456,'Mutasi Neraca'!$A$3:$S$910,4,FALSE)),0,VLOOKUP($A456,'Mutasi Neraca'!$A$3:$S$910,4,FALSE))</f>
        <v>0</v>
      </c>
      <c r="F456" s="42">
        <f>VLOOKUP($A456,'Neraca Unaudited SIMAK'!$A$2:$R$1272,5,FALSE)+IF(ISNA(VLOOKUP($A456,'Mutasi Neraca'!$A$3:$S$910,5,FALSE)),0,VLOOKUP($A456,'Mutasi Neraca'!$A$3:$S$910,5,FALSE))</f>
        <v>1247268228</v>
      </c>
      <c r="G456" s="42">
        <f>VLOOKUP($A456,'Neraca Unaudited SIMAK'!$A$2:$R$1272,6,FALSE)+IF(ISNA(VLOOKUP($A456,'Mutasi Neraca'!$A$3:$S$910,6,FALSE)),0,VLOOKUP($A456,'Mutasi Neraca'!$A$3:$S$910,6,FALSE))</f>
        <v>7072810600</v>
      </c>
      <c r="H456" s="42">
        <f>VLOOKUP($A456,'Neraca Unaudited SIMAK'!$A$2:$R$1272,7,FALSE)+IF(ISNA(VLOOKUP($A456,'Mutasi Neraca'!$A$3:$S$910,7,FALSE)),0,VLOOKUP($A456,'Mutasi Neraca'!$A$3:$S$910,7,FALSE))</f>
        <v>308687000</v>
      </c>
      <c r="I456" s="42">
        <f>VLOOKUP($A456,'Neraca Unaudited SIMAK'!$A$2:$R$1272,8,FALSE)+IF(ISNA(VLOOKUP($A456,'Mutasi Neraca'!$A$3:$S$910,8,FALSE)),0,VLOOKUP($A456,'Mutasi Neraca'!$A$3:$S$910,8,FALSE))</f>
        <v>787720</v>
      </c>
      <c r="J456" s="42">
        <f>VLOOKUP($A456,'Neraca Unaudited SIMAK'!$A$2:$R$1272,9,FALSE)+IF(ISNA(VLOOKUP($A456,'Mutasi Neraca'!$A$3:$S$910,9,FALSE)),0,VLOOKUP($A456,'Mutasi Neraca'!$A$3:$S$910,9,FALSE))</f>
        <v>0</v>
      </c>
      <c r="K456" s="42">
        <f>VLOOKUP($A456,'Neraca Unaudited SIMAK'!$A$2:$R$1272,10,FALSE)+IF(ISNA(VLOOKUP($A456,'Mutasi Neraca'!$A$3:$S$910,10,FALSE)),0,VLOOKUP($A456,'Mutasi Neraca'!$A$3:$S$910,10,FALSE))</f>
        <v>0</v>
      </c>
      <c r="L456" s="42">
        <f>VLOOKUP($A456,'Neraca Unaudited SIMAK'!$A$2:$R$1272,11,FALSE)+IF(ISNA(VLOOKUP($A456,'Mutasi Neraca'!$A$3:$S$910,11,FALSE)),0,VLOOKUP($A456,'Mutasi Neraca'!$A$3:$S$910,11,FALSE))</f>
        <v>7900000</v>
      </c>
      <c r="M456" s="42">
        <f>VLOOKUP($A456,'Neraca Unaudited SIMAK'!$A$2:$R$1272,12,FALSE)+IF(ISNA(VLOOKUP($A456,'Mutasi Neraca'!$A$3:$S$910,12,FALSE)),0,VLOOKUP($A456,'Mutasi Neraca'!$A$3:$S$910,12,FALSE))</f>
        <v>8640803348</v>
      </c>
      <c r="N456" s="42">
        <f>VLOOKUP($A456,'Neraca Unaudited SIMAK'!$A$2:$R$1272,13,FALSE)+IF(ISNA(VLOOKUP($A456,'Mutasi Neraca'!$A$3:$S$910,13,FALSE)),0,VLOOKUP($A456,'Mutasi Neraca'!$A$3:$S$910,13,FALSE))</f>
        <v>-1005383959</v>
      </c>
      <c r="O456" s="42">
        <f>VLOOKUP($A456,'Neraca Unaudited SIMAK'!$A$2:$R$1272,14,FALSE)+IF(ISNA(VLOOKUP($A456,'Mutasi Neraca'!$A$3:$S$910,14,FALSE)),0,VLOOKUP($A456,'Mutasi Neraca'!$A$3:$S$910,14,FALSE))</f>
        <v>-999066457</v>
      </c>
      <c r="P456" s="42">
        <f>VLOOKUP($A456,'Neraca Unaudited SIMAK'!$A$2:$R$1272,15,FALSE)+IF(ISNA(VLOOKUP($A456,'Mutasi Neraca'!$A$3:$S$910,15,FALSE)),0,VLOOKUP($A456,'Mutasi Neraca'!$A$3:$S$910,15,FALSE))</f>
        <v>-126792900</v>
      </c>
      <c r="Q456" s="42">
        <f>VLOOKUP($A456,'Neraca Unaudited SIMAK'!$A$2:$R$1272,16,FALSE)+IF(ISNA(VLOOKUP($A456,'Mutasi Neraca'!$A$3:$S$910,16,FALSE)),0,VLOOKUP($A456,'Mutasi Neraca'!$A$3:$S$910,16,FALSE))</f>
        <v>0</v>
      </c>
      <c r="R456" s="42">
        <f>VLOOKUP($A456,'Neraca Unaudited SIMAK'!$A$2:$R$1272,17,FALSE)+IF(ISNA(VLOOKUP($A456,'Mutasi Neraca'!$A$3:$S$910,17,FALSE)),0,VLOOKUP($A456,'Mutasi Neraca'!$A$3:$S$910,17,FALSE))</f>
        <v>-7900000</v>
      </c>
      <c r="S456" s="42">
        <f t="shared" si="57"/>
        <v>6501660032</v>
      </c>
    </row>
    <row r="457" spans="1:19">
      <c r="A457" s="41" t="s">
        <v>464</v>
      </c>
      <c r="B457" s="41" t="str">
        <f t="shared" si="56"/>
        <v>005011300</v>
      </c>
      <c r="D457" s="42">
        <f>VLOOKUP($A457,'Neraca Unaudited SIMAK'!$A$2:$R$1272,3,FALSE)+IF(ISNA(VLOOKUP($A457,'Mutasi Neraca'!$A$3:$S$910,3,FALSE)),0,VLOOKUP($A457,'Mutasi Neraca'!$A$3:$S$910,3,FALSE))</f>
        <v>0</v>
      </c>
      <c r="E457" s="42">
        <f>VLOOKUP($A457,'Neraca Unaudited SIMAK'!$A$2:$R$1272,4,FALSE)+IF(ISNA(VLOOKUP($A457,'Mutasi Neraca'!$A$3:$S$910,4,FALSE)),0,VLOOKUP($A457,'Mutasi Neraca'!$A$3:$S$910,4,FALSE))</f>
        <v>2442109800</v>
      </c>
      <c r="F457" s="42">
        <f>VLOOKUP($A457,'Neraca Unaudited SIMAK'!$A$2:$R$1272,5,FALSE)+IF(ISNA(VLOOKUP($A457,'Mutasi Neraca'!$A$3:$S$910,5,FALSE)),0,VLOOKUP($A457,'Mutasi Neraca'!$A$3:$S$910,5,FALSE))</f>
        <v>1282650108</v>
      </c>
      <c r="G457" s="42">
        <f>VLOOKUP($A457,'Neraca Unaudited SIMAK'!$A$2:$R$1272,6,FALSE)+IF(ISNA(VLOOKUP($A457,'Mutasi Neraca'!$A$3:$S$910,6,FALSE)),0,VLOOKUP($A457,'Mutasi Neraca'!$A$3:$S$910,6,FALSE))</f>
        <v>4712906688</v>
      </c>
      <c r="H457" s="42">
        <f>VLOOKUP($A457,'Neraca Unaudited SIMAK'!$A$2:$R$1272,7,FALSE)+IF(ISNA(VLOOKUP($A457,'Mutasi Neraca'!$A$3:$S$910,7,FALSE)),0,VLOOKUP($A457,'Mutasi Neraca'!$A$3:$S$910,7,FALSE))</f>
        <v>179583500</v>
      </c>
      <c r="I457" s="42">
        <f>VLOOKUP($A457,'Neraca Unaudited SIMAK'!$A$2:$R$1272,8,FALSE)+IF(ISNA(VLOOKUP($A457,'Mutasi Neraca'!$A$3:$S$910,8,FALSE)),0,VLOOKUP($A457,'Mutasi Neraca'!$A$3:$S$910,8,FALSE))</f>
        <v>1553</v>
      </c>
      <c r="J457" s="42">
        <f>VLOOKUP($A457,'Neraca Unaudited SIMAK'!$A$2:$R$1272,9,FALSE)+IF(ISNA(VLOOKUP($A457,'Mutasi Neraca'!$A$3:$S$910,9,FALSE)),0,VLOOKUP($A457,'Mutasi Neraca'!$A$3:$S$910,9,FALSE))</f>
        <v>0</v>
      </c>
      <c r="K457" s="42">
        <f>VLOOKUP($A457,'Neraca Unaudited SIMAK'!$A$2:$R$1272,10,FALSE)+IF(ISNA(VLOOKUP($A457,'Mutasi Neraca'!$A$3:$S$910,10,FALSE)),0,VLOOKUP($A457,'Mutasi Neraca'!$A$3:$S$910,10,FALSE))</f>
        <v>20750000</v>
      </c>
      <c r="L457" s="42">
        <f>VLOOKUP($A457,'Neraca Unaudited SIMAK'!$A$2:$R$1272,11,FALSE)+IF(ISNA(VLOOKUP($A457,'Mutasi Neraca'!$A$3:$S$910,11,FALSE)),0,VLOOKUP($A457,'Mutasi Neraca'!$A$3:$S$910,11,FALSE))</f>
        <v>22162347</v>
      </c>
      <c r="M457" s="42">
        <f>VLOOKUP($A457,'Neraca Unaudited SIMAK'!$A$2:$R$1272,12,FALSE)+IF(ISNA(VLOOKUP($A457,'Mutasi Neraca'!$A$3:$S$910,12,FALSE)),0,VLOOKUP($A457,'Mutasi Neraca'!$A$3:$S$910,12,FALSE))</f>
        <v>8660163996</v>
      </c>
      <c r="N457" s="42">
        <f>VLOOKUP($A457,'Neraca Unaudited SIMAK'!$A$2:$R$1272,13,FALSE)+IF(ISNA(VLOOKUP($A457,'Mutasi Neraca'!$A$3:$S$910,13,FALSE)),0,VLOOKUP($A457,'Mutasi Neraca'!$A$3:$S$910,13,FALSE))</f>
        <v>-1187118864</v>
      </c>
      <c r="O457" s="42">
        <f>VLOOKUP($A457,'Neraca Unaudited SIMAK'!$A$2:$R$1272,14,FALSE)+IF(ISNA(VLOOKUP($A457,'Mutasi Neraca'!$A$3:$S$910,14,FALSE)),0,VLOOKUP($A457,'Mutasi Neraca'!$A$3:$S$910,14,FALSE))</f>
        <v>-431805743</v>
      </c>
      <c r="P457" s="42">
        <f>VLOOKUP($A457,'Neraca Unaudited SIMAK'!$A$2:$R$1272,15,FALSE)+IF(ISNA(VLOOKUP($A457,'Mutasi Neraca'!$A$3:$S$910,15,FALSE)),0,VLOOKUP($A457,'Mutasi Neraca'!$A$3:$S$910,15,FALSE))</f>
        <v>-39778372</v>
      </c>
      <c r="Q457" s="42">
        <f>VLOOKUP($A457,'Neraca Unaudited SIMAK'!$A$2:$R$1272,16,FALSE)+IF(ISNA(VLOOKUP($A457,'Mutasi Neraca'!$A$3:$S$910,16,FALSE)),0,VLOOKUP($A457,'Mutasi Neraca'!$A$3:$S$910,16,FALSE))</f>
        <v>0</v>
      </c>
      <c r="R457" s="42">
        <f>VLOOKUP($A457,'Neraca Unaudited SIMAK'!$A$2:$R$1272,17,FALSE)+IF(ISNA(VLOOKUP($A457,'Mutasi Neraca'!$A$3:$S$910,17,FALSE)),0,VLOOKUP($A457,'Mutasi Neraca'!$A$3:$S$910,17,FALSE))</f>
        <v>-21764211</v>
      </c>
      <c r="S457" s="42">
        <f t="shared" si="57"/>
        <v>6979696806</v>
      </c>
    </row>
    <row r="458" spans="1:19">
      <c r="A458" s="41" t="s">
        <v>465</v>
      </c>
      <c r="B458" s="41" t="str">
        <f t="shared" si="56"/>
        <v>005011300</v>
      </c>
      <c r="D458" s="42">
        <f>VLOOKUP($A458,'Neraca Unaudited SIMAK'!$A$2:$R$1272,3,FALSE)+IF(ISNA(VLOOKUP($A458,'Mutasi Neraca'!$A$3:$S$910,3,FALSE)),0,VLOOKUP($A458,'Mutasi Neraca'!$A$3:$S$910,3,FALSE))</f>
        <v>70900</v>
      </c>
      <c r="E458" s="42">
        <f>VLOOKUP($A458,'Neraca Unaudited SIMAK'!$A$2:$R$1272,4,FALSE)+IF(ISNA(VLOOKUP($A458,'Mutasi Neraca'!$A$3:$S$910,4,FALSE)),0,VLOOKUP($A458,'Mutasi Neraca'!$A$3:$S$910,4,FALSE))</f>
        <v>1088810000</v>
      </c>
      <c r="F458" s="42">
        <f>VLOOKUP($A458,'Neraca Unaudited SIMAK'!$A$2:$R$1272,5,FALSE)+IF(ISNA(VLOOKUP($A458,'Mutasi Neraca'!$A$3:$S$910,5,FALSE)),0,VLOOKUP($A458,'Mutasi Neraca'!$A$3:$S$910,5,FALSE))</f>
        <v>1188025317</v>
      </c>
      <c r="G458" s="42">
        <f>VLOOKUP($A458,'Neraca Unaudited SIMAK'!$A$2:$R$1272,6,FALSE)+IF(ISNA(VLOOKUP($A458,'Mutasi Neraca'!$A$3:$S$910,6,FALSE)),0,VLOOKUP($A458,'Mutasi Neraca'!$A$3:$S$910,6,FALSE))</f>
        <v>3285512000</v>
      </c>
      <c r="H458" s="42">
        <f>VLOOKUP($A458,'Neraca Unaudited SIMAK'!$A$2:$R$1272,7,FALSE)+IF(ISNA(VLOOKUP($A458,'Mutasi Neraca'!$A$3:$S$910,7,FALSE)),0,VLOOKUP($A458,'Mutasi Neraca'!$A$3:$S$910,7,FALSE))</f>
        <v>25000000</v>
      </c>
      <c r="I458" s="42">
        <f>VLOOKUP($A458,'Neraca Unaudited SIMAK'!$A$2:$R$1272,8,FALSE)+IF(ISNA(VLOOKUP($A458,'Mutasi Neraca'!$A$3:$S$910,8,FALSE)),0,VLOOKUP($A458,'Mutasi Neraca'!$A$3:$S$910,8,FALSE))</f>
        <v>6280700</v>
      </c>
      <c r="J458" s="42">
        <f>VLOOKUP($A458,'Neraca Unaudited SIMAK'!$A$2:$R$1272,9,FALSE)+IF(ISNA(VLOOKUP($A458,'Mutasi Neraca'!$A$3:$S$910,9,FALSE)),0,VLOOKUP($A458,'Mutasi Neraca'!$A$3:$S$910,9,FALSE))</f>
        <v>0</v>
      </c>
      <c r="K458" s="42">
        <f>VLOOKUP($A458,'Neraca Unaudited SIMAK'!$A$2:$R$1272,10,FALSE)+IF(ISNA(VLOOKUP($A458,'Mutasi Neraca'!$A$3:$S$910,10,FALSE)),0,VLOOKUP($A458,'Mutasi Neraca'!$A$3:$S$910,10,FALSE))</f>
        <v>20750000</v>
      </c>
      <c r="L458" s="42">
        <f>VLOOKUP($A458,'Neraca Unaudited SIMAK'!$A$2:$R$1272,11,FALSE)+IF(ISNA(VLOOKUP($A458,'Mutasi Neraca'!$A$3:$S$910,11,FALSE)),0,VLOOKUP($A458,'Mutasi Neraca'!$A$3:$S$910,11,FALSE))</f>
        <v>0</v>
      </c>
      <c r="M458" s="42">
        <f>VLOOKUP($A458,'Neraca Unaudited SIMAK'!$A$2:$R$1272,12,FALSE)+IF(ISNA(VLOOKUP($A458,'Mutasi Neraca'!$A$3:$S$910,12,FALSE)),0,VLOOKUP($A458,'Mutasi Neraca'!$A$3:$S$910,12,FALSE))</f>
        <v>5614448917</v>
      </c>
      <c r="N458" s="42">
        <f>VLOOKUP($A458,'Neraca Unaudited SIMAK'!$A$2:$R$1272,13,FALSE)+IF(ISNA(VLOOKUP($A458,'Mutasi Neraca'!$A$3:$S$910,13,FALSE)),0,VLOOKUP($A458,'Mutasi Neraca'!$A$3:$S$910,13,FALSE))</f>
        <v>-1091591560</v>
      </c>
      <c r="O458" s="42">
        <f>VLOOKUP($A458,'Neraca Unaudited SIMAK'!$A$2:$R$1272,14,FALSE)+IF(ISNA(VLOOKUP($A458,'Mutasi Neraca'!$A$3:$S$910,14,FALSE)),0,VLOOKUP($A458,'Mutasi Neraca'!$A$3:$S$910,14,FALSE))</f>
        <v>-632763017</v>
      </c>
      <c r="P458" s="42">
        <f>VLOOKUP($A458,'Neraca Unaudited SIMAK'!$A$2:$R$1272,15,FALSE)+IF(ISNA(VLOOKUP($A458,'Mutasi Neraca'!$A$3:$S$910,15,FALSE)),0,VLOOKUP($A458,'Mutasi Neraca'!$A$3:$S$910,15,FALSE))</f>
        <v>-2187500</v>
      </c>
      <c r="Q458" s="42">
        <f>VLOOKUP($A458,'Neraca Unaudited SIMAK'!$A$2:$R$1272,16,FALSE)+IF(ISNA(VLOOKUP($A458,'Mutasi Neraca'!$A$3:$S$910,16,FALSE)),0,VLOOKUP($A458,'Mutasi Neraca'!$A$3:$S$910,16,FALSE))</f>
        <v>0</v>
      </c>
      <c r="R458" s="42">
        <f>VLOOKUP($A458,'Neraca Unaudited SIMAK'!$A$2:$R$1272,17,FALSE)+IF(ISNA(VLOOKUP($A458,'Mutasi Neraca'!$A$3:$S$910,17,FALSE)),0,VLOOKUP($A458,'Mutasi Neraca'!$A$3:$S$910,17,FALSE))</f>
        <v>0</v>
      </c>
      <c r="S458" s="42">
        <f t="shared" si="57"/>
        <v>3887906840</v>
      </c>
    </row>
    <row r="459" spans="1:19">
      <c r="A459" s="41" t="s">
        <v>466</v>
      </c>
      <c r="B459" s="41" t="str">
        <f t="shared" si="56"/>
        <v>005011300</v>
      </c>
      <c r="D459" s="42">
        <f>VLOOKUP($A459,'Neraca Unaudited SIMAK'!$A$2:$R$1272,3,FALSE)+IF(ISNA(VLOOKUP($A459,'Mutasi Neraca'!$A$3:$S$910,3,FALSE)),0,VLOOKUP($A459,'Mutasi Neraca'!$A$3:$S$910,3,FALSE))</f>
        <v>172000</v>
      </c>
      <c r="E459" s="42">
        <f>VLOOKUP($A459,'Neraca Unaudited SIMAK'!$A$2:$R$1272,4,FALSE)+IF(ISNA(VLOOKUP($A459,'Mutasi Neraca'!$A$3:$S$910,4,FALSE)),0,VLOOKUP($A459,'Mutasi Neraca'!$A$3:$S$910,4,FALSE))</f>
        <v>3186297631</v>
      </c>
      <c r="F459" s="42">
        <f>VLOOKUP($A459,'Neraca Unaudited SIMAK'!$A$2:$R$1272,5,FALSE)+IF(ISNA(VLOOKUP($A459,'Mutasi Neraca'!$A$3:$S$910,5,FALSE)),0,VLOOKUP($A459,'Mutasi Neraca'!$A$3:$S$910,5,FALSE))</f>
        <v>1285632512</v>
      </c>
      <c r="G459" s="42">
        <f>VLOOKUP($A459,'Neraca Unaudited SIMAK'!$A$2:$R$1272,6,FALSE)+IF(ISNA(VLOOKUP($A459,'Mutasi Neraca'!$A$3:$S$910,6,FALSE)),0,VLOOKUP($A459,'Mutasi Neraca'!$A$3:$S$910,6,FALSE))</f>
        <v>8708020609</v>
      </c>
      <c r="H459" s="42">
        <f>VLOOKUP($A459,'Neraca Unaudited SIMAK'!$A$2:$R$1272,7,FALSE)+IF(ISNA(VLOOKUP($A459,'Mutasi Neraca'!$A$3:$S$910,7,FALSE)),0,VLOOKUP($A459,'Mutasi Neraca'!$A$3:$S$910,7,FALSE))</f>
        <v>74406110</v>
      </c>
      <c r="I459" s="42">
        <f>VLOOKUP($A459,'Neraca Unaudited SIMAK'!$A$2:$R$1272,8,FALSE)+IF(ISNA(VLOOKUP($A459,'Mutasi Neraca'!$A$3:$S$910,8,FALSE)),0,VLOOKUP($A459,'Mutasi Neraca'!$A$3:$S$910,8,FALSE))</f>
        <v>8263378</v>
      </c>
      <c r="J459" s="42">
        <f>VLOOKUP($A459,'Neraca Unaudited SIMAK'!$A$2:$R$1272,9,FALSE)+IF(ISNA(VLOOKUP($A459,'Mutasi Neraca'!$A$3:$S$910,9,FALSE)),0,VLOOKUP($A459,'Mutasi Neraca'!$A$3:$S$910,9,FALSE))</f>
        <v>0</v>
      </c>
      <c r="K459" s="42">
        <f>VLOOKUP($A459,'Neraca Unaudited SIMAK'!$A$2:$R$1272,10,FALSE)+IF(ISNA(VLOOKUP($A459,'Mutasi Neraca'!$A$3:$S$910,10,FALSE)),0,VLOOKUP($A459,'Mutasi Neraca'!$A$3:$S$910,10,FALSE))</f>
        <v>20750000</v>
      </c>
      <c r="L459" s="42">
        <f>VLOOKUP($A459,'Neraca Unaudited SIMAK'!$A$2:$R$1272,11,FALSE)+IF(ISNA(VLOOKUP($A459,'Mutasi Neraca'!$A$3:$S$910,11,FALSE)),0,VLOOKUP($A459,'Mutasi Neraca'!$A$3:$S$910,11,FALSE))</f>
        <v>404080032</v>
      </c>
      <c r="M459" s="42">
        <f>VLOOKUP($A459,'Neraca Unaudited SIMAK'!$A$2:$R$1272,12,FALSE)+IF(ISNA(VLOOKUP($A459,'Mutasi Neraca'!$A$3:$S$910,12,FALSE)),0,VLOOKUP($A459,'Mutasi Neraca'!$A$3:$S$910,12,FALSE))</f>
        <v>13687622272</v>
      </c>
      <c r="N459" s="42">
        <f>VLOOKUP($A459,'Neraca Unaudited SIMAK'!$A$2:$R$1272,13,FALSE)+IF(ISNA(VLOOKUP($A459,'Mutasi Neraca'!$A$3:$S$910,13,FALSE)),0,VLOOKUP($A459,'Mutasi Neraca'!$A$3:$S$910,13,FALSE))</f>
        <v>-796855610</v>
      </c>
      <c r="O459" s="42">
        <f>VLOOKUP($A459,'Neraca Unaudited SIMAK'!$A$2:$R$1272,14,FALSE)+IF(ISNA(VLOOKUP($A459,'Mutasi Neraca'!$A$3:$S$910,14,FALSE)),0,VLOOKUP($A459,'Mutasi Neraca'!$A$3:$S$910,14,FALSE))</f>
        <v>-506862031</v>
      </c>
      <c r="P459" s="42">
        <f>VLOOKUP($A459,'Neraca Unaudited SIMAK'!$A$2:$R$1272,15,FALSE)+IF(ISNA(VLOOKUP($A459,'Mutasi Neraca'!$A$3:$S$910,15,FALSE)),0,VLOOKUP($A459,'Mutasi Neraca'!$A$3:$S$910,15,FALSE))</f>
        <v>-9731759</v>
      </c>
      <c r="Q459" s="42">
        <f>VLOOKUP($A459,'Neraca Unaudited SIMAK'!$A$2:$R$1272,16,FALSE)+IF(ISNA(VLOOKUP($A459,'Mutasi Neraca'!$A$3:$S$910,16,FALSE)),0,VLOOKUP($A459,'Mutasi Neraca'!$A$3:$S$910,16,FALSE))</f>
        <v>0</v>
      </c>
      <c r="R459" s="42">
        <f>VLOOKUP($A459,'Neraca Unaudited SIMAK'!$A$2:$R$1272,17,FALSE)+IF(ISNA(VLOOKUP($A459,'Mutasi Neraca'!$A$3:$S$910,17,FALSE)),0,VLOOKUP($A459,'Mutasi Neraca'!$A$3:$S$910,17,FALSE))</f>
        <v>-412609210</v>
      </c>
      <c r="S459" s="42">
        <f t="shared" si="57"/>
        <v>11961563662</v>
      </c>
    </row>
    <row r="460" spans="1:19">
      <c r="A460" s="41" t="s">
        <v>467</v>
      </c>
      <c r="B460" s="41" t="str">
        <f t="shared" si="56"/>
        <v>005011300</v>
      </c>
      <c r="D460" s="42">
        <f>VLOOKUP($A460,'Neraca Unaudited SIMAK'!$A$2:$R$1272,3,FALSE)+IF(ISNA(VLOOKUP($A460,'Mutasi Neraca'!$A$3:$S$910,3,FALSE)),0,VLOOKUP($A460,'Mutasi Neraca'!$A$3:$S$910,3,FALSE))</f>
        <v>1640000</v>
      </c>
      <c r="E460" s="42">
        <f>VLOOKUP($A460,'Neraca Unaudited SIMAK'!$A$2:$R$1272,4,FALSE)+IF(ISNA(VLOOKUP($A460,'Mutasi Neraca'!$A$3:$S$910,4,FALSE)),0,VLOOKUP($A460,'Mutasi Neraca'!$A$3:$S$910,4,FALSE))</f>
        <v>3670700000</v>
      </c>
      <c r="F460" s="42">
        <f>VLOOKUP($A460,'Neraca Unaudited SIMAK'!$A$2:$R$1272,5,FALSE)+IF(ISNA(VLOOKUP($A460,'Mutasi Neraca'!$A$3:$S$910,5,FALSE)),0,VLOOKUP($A460,'Mutasi Neraca'!$A$3:$S$910,5,FALSE))</f>
        <v>1144292403</v>
      </c>
      <c r="G460" s="42">
        <f>VLOOKUP($A460,'Neraca Unaudited SIMAK'!$A$2:$R$1272,6,FALSE)+IF(ISNA(VLOOKUP($A460,'Mutasi Neraca'!$A$3:$S$910,6,FALSE)),0,VLOOKUP($A460,'Mutasi Neraca'!$A$3:$S$910,6,FALSE))</f>
        <v>8973035750</v>
      </c>
      <c r="H460" s="42">
        <f>VLOOKUP($A460,'Neraca Unaudited SIMAK'!$A$2:$R$1272,7,FALSE)+IF(ISNA(VLOOKUP($A460,'Mutasi Neraca'!$A$3:$S$910,7,FALSE)),0,VLOOKUP($A460,'Mutasi Neraca'!$A$3:$S$910,7,FALSE))</f>
        <v>239637250</v>
      </c>
      <c r="I460" s="42">
        <f>VLOOKUP($A460,'Neraca Unaudited SIMAK'!$A$2:$R$1272,8,FALSE)+IF(ISNA(VLOOKUP($A460,'Mutasi Neraca'!$A$3:$S$910,8,FALSE)),0,VLOOKUP($A460,'Mutasi Neraca'!$A$3:$S$910,8,FALSE))</f>
        <v>28823442</v>
      </c>
      <c r="J460" s="42">
        <f>VLOOKUP($A460,'Neraca Unaudited SIMAK'!$A$2:$R$1272,9,FALSE)+IF(ISNA(VLOOKUP($A460,'Mutasi Neraca'!$A$3:$S$910,9,FALSE)),0,VLOOKUP($A460,'Mutasi Neraca'!$A$3:$S$910,9,FALSE))</f>
        <v>1427301050</v>
      </c>
      <c r="K460" s="42">
        <f>VLOOKUP($A460,'Neraca Unaudited SIMAK'!$A$2:$R$1272,10,FALSE)+IF(ISNA(VLOOKUP($A460,'Mutasi Neraca'!$A$3:$S$910,10,FALSE)),0,VLOOKUP($A460,'Mutasi Neraca'!$A$3:$S$910,10,FALSE))</f>
        <v>22200000</v>
      </c>
      <c r="L460" s="42">
        <f>VLOOKUP($A460,'Neraca Unaudited SIMAK'!$A$2:$R$1272,11,FALSE)+IF(ISNA(VLOOKUP($A460,'Mutasi Neraca'!$A$3:$S$910,11,FALSE)),0,VLOOKUP($A460,'Mutasi Neraca'!$A$3:$S$910,11,FALSE))</f>
        <v>137067865</v>
      </c>
      <c r="M460" s="42">
        <f>VLOOKUP($A460,'Neraca Unaudited SIMAK'!$A$2:$R$1272,12,FALSE)+IF(ISNA(VLOOKUP($A460,'Mutasi Neraca'!$A$3:$S$910,12,FALSE)),0,VLOOKUP($A460,'Mutasi Neraca'!$A$3:$S$910,12,FALSE))</f>
        <v>15644697760</v>
      </c>
      <c r="N460" s="42">
        <f>VLOOKUP($A460,'Neraca Unaudited SIMAK'!$A$2:$R$1272,13,FALSE)+IF(ISNA(VLOOKUP($A460,'Mutasi Neraca'!$A$3:$S$910,13,FALSE)),0,VLOOKUP($A460,'Mutasi Neraca'!$A$3:$S$910,13,FALSE))</f>
        <v>-875131931</v>
      </c>
      <c r="O460" s="42">
        <f>VLOOKUP($A460,'Neraca Unaudited SIMAK'!$A$2:$R$1272,14,FALSE)+IF(ISNA(VLOOKUP($A460,'Mutasi Neraca'!$A$3:$S$910,14,FALSE)),0,VLOOKUP($A460,'Mutasi Neraca'!$A$3:$S$910,14,FALSE))</f>
        <v>-341062719</v>
      </c>
      <c r="P460" s="42">
        <f>VLOOKUP($A460,'Neraca Unaudited SIMAK'!$A$2:$R$1272,15,FALSE)+IF(ISNA(VLOOKUP($A460,'Mutasi Neraca'!$A$3:$S$910,15,FALSE)),0,VLOOKUP($A460,'Mutasi Neraca'!$A$3:$S$910,15,FALSE))</f>
        <v>-98590588</v>
      </c>
      <c r="Q460" s="42">
        <f>VLOOKUP($A460,'Neraca Unaudited SIMAK'!$A$2:$R$1272,16,FALSE)+IF(ISNA(VLOOKUP($A460,'Mutasi Neraca'!$A$3:$S$910,16,FALSE)),0,VLOOKUP($A460,'Mutasi Neraca'!$A$3:$S$910,16,FALSE))</f>
        <v>0</v>
      </c>
      <c r="R460" s="42">
        <f>VLOOKUP($A460,'Neraca Unaudited SIMAK'!$A$2:$R$1272,17,FALSE)+IF(ISNA(VLOOKUP($A460,'Mutasi Neraca'!$A$3:$S$910,17,FALSE)),0,VLOOKUP($A460,'Mutasi Neraca'!$A$3:$S$910,17,FALSE))</f>
        <v>-125975032</v>
      </c>
      <c r="S460" s="42">
        <f t="shared" si="57"/>
        <v>14203937490</v>
      </c>
    </row>
    <row r="461" spans="1:19">
      <c r="A461" s="41" t="s">
        <v>468</v>
      </c>
      <c r="B461" s="41" t="str">
        <f t="shared" si="56"/>
        <v>005011300</v>
      </c>
      <c r="D461" s="42">
        <f>VLOOKUP($A461,'Neraca Unaudited SIMAK'!$A$2:$R$1272,3,FALSE)+IF(ISNA(VLOOKUP($A461,'Mutasi Neraca'!$A$3:$S$910,3,FALSE)),0,VLOOKUP($A461,'Mutasi Neraca'!$A$3:$S$910,3,FALSE))</f>
        <v>8680800</v>
      </c>
      <c r="E461" s="42">
        <f>VLOOKUP($A461,'Neraca Unaudited SIMAK'!$A$2:$R$1272,4,FALSE)+IF(ISNA(VLOOKUP($A461,'Mutasi Neraca'!$A$3:$S$910,4,FALSE)),0,VLOOKUP($A461,'Mutasi Neraca'!$A$3:$S$910,4,FALSE))</f>
        <v>5985187850</v>
      </c>
      <c r="F461" s="42">
        <f>VLOOKUP($A461,'Neraca Unaudited SIMAK'!$A$2:$R$1272,5,FALSE)+IF(ISNA(VLOOKUP($A461,'Mutasi Neraca'!$A$3:$S$910,5,FALSE)),0,VLOOKUP($A461,'Mutasi Neraca'!$A$3:$S$910,5,FALSE))</f>
        <v>3602131211</v>
      </c>
      <c r="G461" s="42">
        <f>VLOOKUP($A461,'Neraca Unaudited SIMAK'!$A$2:$R$1272,6,FALSE)+IF(ISNA(VLOOKUP($A461,'Mutasi Neraca'!$A$3:$S$910,6,FALSE)),0,VLOOKUP($A461,'Mutasi Neraca'!$A$3:$S$910,6,FALSE))</f>
        <v>8248692000</v>
      </c>
      <c r="H461" s="42">
        <f>VLOOKUP($A461,'Neraca Unaudited SIMAK'!$A$2:$R$1272,7,FALSE)+IF(ISNA(VLOOKUP($A461,'Mutasi Neraca'!$A$3:$S$910,7,FALSE)),0,VLOOKUP($A461,'Mutasi Neraca'!$A$3:$S$910,7,FALSE))</f>
        <v>0</v>
      </c>
      <c r="I461" s="42">
        <f>VLOOKUP($A461,'Neraca Unaudited SIMAK'!$A$2:$R$1272,8,FALSE)+IF(ISNA(VLOOKUP($A461,'Mutasi Neraca'!$A$3:$S$910,8,FALSE)),0,VLOOKUP($A461,'Mutasi Neraca'!$A$3:$S$910,8,FALSE))</f>
        <v>15387720</v>
      </c>
      <c r="J461" s="42">
        <f>VLOOKUP($A461,'Neraca Unaudited SIMAK'!$A$2:$R$1272,9,FALSE)+IF(ISNA(VLOOKUP($A461,'Mutasi Neraca'!$A$3:$S$910,9,FALSE)),0,VLOOKUP($A461,'Mutasi Neraca'!$A$3:$S$910,9,FALSE))</f>
        <v>0</v>
      </c>
      <c r="K461" s="42">
        <f>VLOOKUP($A461,'Neraca Unaudited SIMAK'!$A$2:$R$1272,10,FALSE)+IF(ISNA(VLOOKUP($A461,'Mutasi Neraca'!$A$3:$S$910,10,FALSE)),0,VLOOKUP($A461,'Mutasi Neraca'!$A$3:$S$910,10,FALSE))</f>
        <v>0</v>
      </c>
      <c r="L461" s="42">
        <f>VLOOKUP($A461,'Neraca Unaudited SIMAK'!$A$2:$R$1272,11,FALSE)+IF(ISNA(VLOOKUP($A461,'Mutasi Neraca'!$A$3:$S$910,11,FALSE)),0,VLOOKUP($A461,'Mutasi Neraca'!$A$3:$S$910,11,FALSE))</f>
        <v>0</v>
      </c>
      <c r="M461" s="42">
        <f>VLOOKUP($A461,'Neraca Unaudited SIMAK'!$A$2:$R$1272,12,FALSE)+IF(ISNA(VLOOKUP($A461,'Mutasi Neraca'!$A$3:$S$910,12,FALSE)),0,VLOOKUP($A461,'Mutasi Neraca'!$A$3:$S$910,12,FALSE))</f>
        <v>17860079581</v>
      </c>
      <c r="N461" s="42">
        <f>VLOOKUP($A461,'Neraca Unaudited SIMAK'!$A$2:$R$1272,13,FALSE)+IF(ISNA(VLOOKUP($A461,'Mutasi Neraca'!$A$3:$S$910,13,FALSE)),0,VLOOKUP($A461,'Mutasi Neraca'!$A$3:$S$910,13,FALSE))</f>
        <v>-3285891113</v>
      </c>
      <c r="O461" s="42">
        <f>VLOOKUP($A461,'Neraca Unaudited SIMAK'!$A$2:$R$1272,14,FALSE)+IF(ISNA(VLOOKUP($A461,'Mutasi Neraca'!$A$3:$S$910,14,FALSE)),0,VLOOKUP($A461,'Mutasi Neraca'!$A$3:$S$910,14,FALSE))</f>
        <v>-1079136618</v>
      </c>
      <c r="P461" s="42">
        <f>VLOOKUP($A461,'Neraca Unaudited SIMAK'!$A$2:$R$1272,15,FALSE)+IF(ISNA(VLOOKUP($A461,'Mutasi Neraca'!$A$3:$S$910,15,FALSE)),0,VLOOKUP($A461,'Mutasi Neraca'!$A$3:$S$910,15,FALSE))</f>
        <v>0</v>
      </c>
      <c r="Q461" s="42">
        <f>VLOOKUP($A461,'Neraca Unaudited SIMAK'!$A$2:$R$1272,16,FALSE)+IF(ISNA(VLOOKUP($A461,'Mutasi Neraca'!$A$3:$S$910,16,FALSE)),0,VLOOKUP($A461,'Mutasi Neraca'!$A$3:$S$910,16,FALSE))</f>
        <v>0</v>
      </c>
      <c r="R461" s="42">
        <f>VLOOKUP($A461,'Neraca Unaudited SIMAK'!$A$2:$R$1272,17,FALSE)+IF(ISNA(VLOOKUP($A461,'Mutasi Neraca'!$A$3:$S$910,17,FALSE)),0,VLOOKUP($A461,'Mutasi Neraca'!$A$3:$S$910,17,FALSE))</f>
        <v>0</v>
      </c>
      <c r="S461" s="42">
        <f t="shared" si="57"/>
        <v>13495051850</v>
      </c>
    </row>
    <row r="462" spans="1:19">
      <c r="A462" s="41" t="s">
        <v>469</v>
      </c>
      <c r="B462" s="41" t="str">
        <f t="shared" si="56"/>
        <v>005011300</v>
      </c>
      <c r="D462" s="42">
        <f>VLOOKUP($A462,'Neraca Unaudited SIMAK'!$A$2:$R$1272,3,FALSE)+IF(ISNA(VLOOKUP($A462,'Mutasi Neraca'!$A$3:$S$910,3,FALSE)),0,VLOOKUP($A462,'Mutasi Neraca'!$A$3:$S$910,3,FALSE))</f>
        <v>0</v>
      </c>
      <c r="E462" s="42">
        <f>VLOOKUP($A462,'Neraca Unaudited SIMAK'!$A$2:$R$1272,4,FALSE)+IF(ISNA(VLOOKUP($A462,'Mutasi Neraca'!$A$3:$S$910,4,FALSE)),0,VLOOKUP($A462,'Mutasi Neraca'!$A$3:$S$910,4,FALSE))</f>
        <v>538720000</v>
      </c>
      <c r="F462" s="42">
        <f>VLOOKUP($A462,'Neraca Unaudited SIMAK'!$A$2:$R$1272,5,FALSE)+IF(ISNA(VLOOKUP($A462,'Mutasi Neraca'!$A$3:$S$910,5,FALSE)),0,VLOOKUP($A462,'Mutasi Neraca'!$A$3:$S$910,5,FALSE))</f>
        <v>1671164987</v>
      </c>
      <c r="G462" s="42">
        <f>VLOOKUP($A462,'Neraca Unaudited SIMAK'!$A$2:$R$1272,6,FALSE)+IF(ISNA(VLOOKUP($A462,'Mutasi Neraca'!$A$3:$S$910,6,FALSE)),0,VLOOKUP($A462,'Mutasi Neraca'!$A$3:$S$910,6,FALSE))</f>
        <v>5558771000</v>
      </c>
      <c r="H462" s="42">
        <f>VLOOKUP($A462,'Neraca Unaudited SIMAK'!$A$2:$R$1272,7,FALSE)+IF(ISNA(VLOOKUP($A462,'Mutasi Neraca'!$A$3:$S$910,7,FALSE)),0,VLOOKUP($A462,'Mutasi Neraca'!$A$3:$S$910,7,FALSE))</f>
        <v>45690000</v>
      </c>
      <c r="I462" s="42">
        <f>VLOOKUP($A462,'Neraca Unaudited SIMAK'!$A$2:$R$1272,8,FALSE)+IF(ISNA(VLOOKUP($A462,'Mutasi Neraca'!$A$3:$S$910,8,FALSE)),0,VLOOKUP($A462,'Mutasi Neraca'!$A$3:$S$910,8,FALSE))</f>
        <v>3277300</v>
      </c>
      <c r="J462" s="42">
        <f>VLOOKUP($A462,'Neraca Unaudited SIMAK'!$A$2:$R$1272,9,FALSE)+IF(ISNA(VLOOKUP($A462,'Mutasi Neraca'!$A$3:$S$910,9,FALSE)),0,VLOOKUP($A462,'Mutasi Neraca'!$A$3:$S$910,9,FALSE))</f>
        <v>0</v>
      </c>
      <c r="K462" s="42">
        <f>VLOOKUP($A462,'Neraca Unaudited SIMAK'!$A$2:$R$1272,10,FALSE)+IF(ISNA(VLOOKUP($A462,'Mutasi Neraca'!$A$3:$S$910,10,FALSE)),0,VLOOKUP($A462,'Mutasi Neraca'!$A$3:$S$910,10,FALSE))</f>
        <v>0</v>
      </c>
      <c r="L462" s="42">
        <f>VLOOKUP($A462,'Neraca Unaudited SIMAK'!$A$2:$R$1272,11,FALSE)+IF(ISNA(VLOOKUP($A462,'Mutasi Neraca'!$A$3:$S$910,11,FALSE)),0,VLOOKUP($A462,'Mutasi Neraca'!$A$3:$S$910,11,FALSE))</f>
        <v>0</v>
      </c>
      <c r="M462" s="42">
        <f>VLOOKUP($A462,'Neraca Unaudited SIMAK'!$A$2:$R$1272,12,FALSE)+IF(ISNA(VLOOKUP($A462,'Mutasi Neraca'!$A$3:$S$910,12,FALSE)),0,VLOOKUP($A462,'Mutasi Neraca'!$A$3:$S$910,12,FALSE))</f>
        <v>7817623287</v>
      </c>
      <c r="N462" s="42">
        <f>VLOOKUP($A462,'Neraca Unaudited SIMAK'!$A$2:$R$1272,13,FALSE)+IF(ISNA(VLOOKUP($A462,'Mutasi Neraca'!$A$3:$S$910,13,FALSE)),0,VLOOKUP($A462,'Mutasi Neraca'!$A$3:$S$910,13,FALSE))</f>
        <v>-1492347089</v>
      </c>
      <c r="O462" s="42">
        <f>VLOOKUP($A462,'Neraca Unaudited SIMAK'!$A$2:$R$1272,14,FALSE)+IF(ISNA(VLOOKUP($A462,'Mutasi Neraca'!$A$3:$S$910,14,FALSE)),0,VLOOKUP($A462,'Mutasi Neraca'!$A$3:$S$910,14,FALSE))</f>
        <v>-732510430</v>
      </c>
      <c r="P462" s="42">
        <f>VLOOKUP($A462,'Neraca Unaudited SIMAK'!$A$2:$R$1272,15,FALSE)+IF(ISNA(VLOOKUP($A462,'Mutasi Neraca'!$A$3:$S$910,15,FALSE)),0,VLOOKUP($A462,'Mutasi Neraca'!$A$3:$S$910,15,FALSE))</f>
        <v>-8566875</v>
      </c>
      <c r="Q462" s="42">
        <f>VLOOKUP($A462,'Neraca Unaudited SIMAK'!$A$2:$R$1272,16,FALSE)+IF(ISNA(VLOOKUP($A462,'Mutasi Neraca'!$A$3:$S$910,16,FALSE)),0,VLOOKUP($A462,'Mutasi Neraca'!$A$3:$S$910,16,FALSE))</f>
        <v>0</v>
      </c>
      <c r="R462" s="42">
        <f>VLOOKUP($A462,'Neraca Unaudited SIMAK'!$A$2:$R$1272,17,FALSE)+IF(ISNA(VLOOKUP($A462,'Mutasi Neraca'!$A$3:$S$910,17,FALSE)),0,VLOOKUP($A462,'Mutasi Neraca'!$A$3:$S$910,17,FALSE))</f>
        <v>0</v>
      </c>
      <c r="S462" s="42">
        <f t="shared" si="57"/>
        <v>5584198893</v>
      </c>
    </row>
    <row r="463" spans="1:19">
      <c r="A463" s="41" t="s">
        <v>470</v>
      </c>
      <c r="B463" s="41" t="str">
        <f t="shared" si="56"/>
        <v>005011300</v>
      </c>
      <c r="D463" s="42">
        <f>VLOOKUP($A463,'Neraca Unaudited SIMAK'!$A$2:$R$1272,3,FALSE)+IF(ISNA(VLOOKUP($A463,'Mutasi Neraca'!$A$3:$S$910,3,FALSE)),0,VLOOKUP($A463,'Mutasi Neraca'!$A$3:$S$910,3,FALSE))</f>
        <v>2599625</v>
      </c>
      <c r="E463" s="42">
        <f>VLOOKUP($A463,'Neraca Unaudited SIMAK'!$A$2:$R$1272,4,FALSE)+IF(ISNA(VLOOKUP($A463,'Mutasi Neraca'!$A$3:$S$910,4,FALSE)),0,VLOOKUP($A463,'Mutasi Neraca'!$A$3:$S$910,4,FALSE))</f>
        <v>7936879510</v>
      </c>
      <c r="F463" s="42">
        <f>VLOOKUP($A463,'Neraca Unaudited SIMAK'!$A$2:$R$1272,5,FALSE)+IF(ISNA(VLOOKUP($A463,'Mutasi Neraca'!$A$3:$S$910,5,FALSE)),0,VLOOKUP($A463,'Mutasi Neraca'!$A$3:$S$910,5,FALSE))</f>
        <v>2311389861</v>
      </c>
      <c r="G463" s="42">
        <f>VLOOKUP($A463,'Neraca Unaudited SIMAK'!$A$2:$R$1272,6,FALSE)+IF(ISNA(VLOOKUP($A463,'Mutasi Neraca'!$A$3:$S$910,6,FALSE)),0,VLOOKUP($A463,'Mutasi Neraca'!$A$3:$S$910,6,FALSE))</f>
        <v>11892693408</v>
      </c>
      <c r="H463" s="42">
        <f>VLOOKUP($A463,'Neraca Unaudited SIMAK'!$A$2:$R$1272,7,FALSE)+IF(ISNA(VLOOKUP($A463,'Mutasi Neraca'!$A$3:$S$910,7,FALSE)),0,VLOOKUP($A463,'Mutasi Neraca'!$A$3:$S$910,7,FALSE))</f>
        <v>69795000</v>
      </c>
      <c r="I463" s="42">
        <f>VLOOKUP($A463,'Neraca Unaudited SIMAK'!$A$2:$R$1272,8,FALSE)+IF(ISNA(VLOOKUP($A463,'Mutasi Neraca'!$A$3:$S$910,8,FALSE)),0,VLOOKUP($A463,'Mutasi Neraca'!$A$3:$S$910,8,FALSE))</f>
        <v>2828678</v>
      </c>
      <c r="J463" s="42">
        <f>VLOOKUP($A463,'Neraca Unaudited SIMAK'!$A$2:$R$1272,9,FALSE)+IF(ISNA(VLOOKUP($A463,'Mutasi Neraca'!$A$3:$S$910,9,FALSE)),0,VLOOKUP($A463,'Mutasi Neraca'!$A$3:$S$910,9,FALSE))</f>
        <v>0</v>
      </c>
      <c r="K463" s="42">
        <f>VLOOKUP($A463,'Neraca Unaudited SIMAK'!$A$2:$R$1272,10,FALSE)+IF(ISNA(VLOOKUP($A463,'Mutasi Neraca'!$A$3:$S$910,10,FALSE)),0,VLOOKUP($A463,'Mutasi Neraca'!$A$3:$S$910,10,FALSE))</f>
        <v>54500000</v>
      </c>
      <c r="L463" s="42">
        <f>VLOOKUP($A463,'Neraca Unaudited SIMAK'!$A$2:$R$1272,11,FALSE)+IF(ISNA(VLOOKUP($A463,'Mutasi Neraca'!$A$3:$S$910,11,FALSE)),0,VLOOKUP($A463,'Mutasi Neraca'!$A$3:$S$910,11,FALSE))</f>
        <v>28144750</v>
      </c>
      <c r="M463" s="42">
        <f>VLOOKUP($A463,'Neraca Unaudited SIMAK'!$A$2:$R$1272,12,FALSE)+IF(ISNA(VLOOKUP($A463,'Mutasi Neraca'!$A$3:$S$910,12,FALSE)),0,VLOOKUP($A463,'Mutasi Neraca'!$A$3:$S$910,12,FALSE))</f>
        <v>22298830832</v>
      </c>
      <c r="N463" s="42">
        <f>VLOOKUP($A463,'Neraca Unaudited SIMAK'!$A$2:$R$1272,13,FALSE)+IF(ISNA(VLOOKUP($A463,'Mutasi Neraca'!$A$3:$S$910,13,FALSE)),0,VLOOKUP($A463,'Mutasi Neraca'!$A$3:$S$910,13,FALSE))</f>
        <v>-1969943211</v>
      </c>
      <c r="O463" s="42">
        <f>VLOOKUP($A463,'Neraca Unaudited SIMAK'!$A$2:$R$1272,14,FALSE)+IF(ISNA(VLOOKUP($A463,'Mutasi Neraca'!$A$3:$S$910,14,FALSE)),0,VLOOKUP($A463,'Mutasi Neraca'!$A$3:$S$910,14,FALSE))</f>
        <v>-2188212632</v>
      </c>
      <c r="P463" s="42">
        <f>VLOOKUP($A463,'Neraca Unaudited SIMAK'!$A$2:$R$1272,15,FALSE)+IF(ISNA(VLOOKUP($A463,'Mutasi Neraca'!$A$3:$S$910,15,FALSE)),0,VLOOKUP($A463,'Mutasi Neraca'!$A$3:$S$910,15,FALSE))</f>
        <v>-24307914</v>
      </c>
      <c r="Q463" s="42">
        <f>VLOOKUP($A463,'Neraca Unaudited SIMAK'!$A$2:$R$1272,16,FALSE)+IF(ISNA(VLOOKUP($A463,'Mutasi Neraca'!$A$3:$S$910,16,FALSE)),0,VLOOKUP($A463,'Mutasi Neraca'!$A$3:$S$910,16,FALSE))</f>
        <v>0</v>
      </c>
      <c r="R463" s="42">
        <f>VLOOKUP($A463,'Neraca Unaudited SIMAK'!$A$2:$R$1272,17,FALSE)+IF(ISNA(VLOOKUP($A463,'Mutasi Neraca'!$A$3:$S$910,17,FALSE)),0,VLOOKUP($A463,'Mutasi Neraca'!$A$3:$S$910,17,FALSE))</f>
        <v>-28144750</v>
      </c>
      <c r="S463" s="42">
        <f t="shared" si="57"/>
        <v>18088222325</v>
      </c>
    </row>
    <row r="464" spans="1:19">
      <c r="A464" s="41" t="s">
        <v>471</v>
      </c>
      <c r="B464" s="41" t="str">
        <f t="shared" si="56"/>
        <v>005011300</v>
      </c>
      <c r="D464" s="42">
        <f>VLOOKUP($A464,'Neraca Unaudited SIMAK'!$A$2:$R$1272,3,FALSE)+IF(ISNA(VLOOKUP($A464,'Mutasi Neraca'!$A$3:$S$910,3,FALSE)),0,VLOOKUP($A464,'Mutasi Neraca'!$A$3:$S$910,3,FALSE))</f>
        <v>214900</v>
      </c>
      <c r="E464" s="42">
        <f>VLOOKUP($A464,'Neraca Unaudited SIMAK'!$A$2:$R$1272,4,FALSE)+IF(ISNA(VLOOKUP($A464,'Mutasi Neraca'!$A$3:$S$910,4,FALSE)),0,VLOOKUP($A464,'Mutasi Neraca'!$A$3:$S$910,4,FALSE))</f>
        <v>1462396000</v>
      </c>
      <c r="F464" s="42">
        <f>VLOOKUP($A464,'Neraca Unaudited SIMAK'!$A$2:$R$1272,5,FALSE)+IF(ISNA(VLOOKUP($A464,'Mutasi Neraca'!$A$3:$S$910,5,FALSE)),0,VLOOKUP($A464,'Mutasi Neraca'!$A$3:$S$910,5,FALSE))</f>
        <v>1140736028</v>
      </c>
      <c r="G464" s="42">
        <f>VLOOKUP($A464,'Neraca Unaudited SIMAK'!$A$2:$R$1272,6,FALSE)+IF(ISNA(VLOOKUP($A464,'Mutasi Neraca'!$A$3:$S$910,6,FALSE)),0,VLOOKUP($A464,'Mutasi Neraca'!$A$3:$S$910,6,FALSE))</f>
        <v>6767007300</v>
      </c>
      <c r="H464" s="42">
        <f>VLOOKUP($A464,'Neraca Unaudited SIMAK'!$A$2:$R$1272,7,FALSE)+IF(ISNA(VLOOKUP($A464,'Mutasi Neraca'!$A$3:$S$910,7,FALSE)),0,VLOOKUP($A464,'Mutasi Neraca'!$A$3:$S$910,7,FALSE))</f>
        <v>52240000</v>
      </c>
      <c r="I464" s="42">
        <f>VLOOKUP($A464,'Neraca Unaudited SIMAK'!$A$2:$R$1272,8,FALSE)+IF(ISNA(VLOOKUP($A464,'Mutasi Neraca'!$A$3:$S$910,8,FALSE)),0,VLOOKUP($A464,'Mutasi Neraca'!$A$3:$S$910,8,FALSE))</f>
        <v>8321198</v>
      </c>
      <c r="J464" s="42">
        <f>VLOOKUP($A464,'Neraca Unaudited SIMAK'!$A$2:$R$1272,9,FALSE)+IF(ISNA(VLOOKUP($A464,'Mutasi Neraca'!$A$3:$S$910,9,FALSE)),0,VLOOKUP($A464,'Mutasi Neraca'!$A$3:$S$910,9,FALSE))</f>
        <v>1209783000</v>
      </c>
      <c r="K464" s="42">
        <f>VLOOKUP($A464,'Neraca Unaudited SIMAK'!$A$2:$R$1272,10,FALSE)+IF(ISNA(VLOOKUP($A464,'Mutasi Neraca'!$A$3:$S$910,10,FALSE)),0,VLOOKUP($A464,'Mutasi Neraca'!$A$3:$S$910,10,FALSE))</f>
        <v>0</v>
      </c>
      <c r="L464" s="42">
        <f>VLOOKUP($A464,'Neraca Unaudited SIMAK'!$A$2:$R$1272,11,FALSE)+IF(ISNA(VLOOKUP($A464,'Mutasi Neraca'!$A$3:$S$910,11,FALSE)),0,VLOOKUP($A464,'Mutasi Neraca'!$A$3:$S$910,11,FALSE))</f>
        <v>171968675</v>
      </c>
      <c r="M464" s="42">
        <f>VLOOKUP($A464,'Neraca Unaudited SIMAK'!$A$2:$R$1272,12,FALSE)+IF(ISNA(VLOOKUP($A464,'Mutasi Neraca'!$A$3:$S$910,12,FALSE)),0,VLOOKUP($A464,'Mutasi Neraca'!$A$3:$S$910,12,FALSE))</f>
        <v>10812667101</v>
      </c>
      <c r="N464" s="42">
        <f>VLOOKUP($A464,'Neraca Unaudited SIMAK'!$A$2:$R$1272,13,FALSE)+IF(ISNA(VLOOKUP($A464,'Mutasi Neraca'!$A$3:$S$910,13,FALSE)),0,VLOOKUP($A464,'Mutasi Neraca'!$A$3:$S$910,13,FALSE))</f>
        <v>-1014833236</v>
      </c>
      <c r="O464" s="42">
        <f>VLOOKUP($A464,'Neraca Unaudited SIMAK'!$A$2:$R$1272,14,FALSE)+IF(ISNA(VLOOKUP($A464,'Mutasi Neraca'!$A$3:$S$910,14,FALSE)),0,VLOOKUP($A464,'Mutasi Neraca'!$A$3:$S$910,14,FALSE))</f>
        <v>-392186365</v>
      </c>
      <c r="P464" s="42">
        <f>VLOOKUP($A464,'Neraca Unaudited SIMAK'!$A$2:$R$1272,15,FALSE)+IF(ISNA(VLOOKUP($A464,'Mutasi Neraca'!$A$3:$S$910,15,FALSE)),0,VLOOKUP($A464,'Mutasi Neraca'!$A$3:$S$910,15,FALSE))</f>
        <v>-28267906</v>
      </c>
      <c r="Q464" s="42">
        <f>VLOOKUP($A464,'Neraca Unaudited SIMAK'!$A$2:$R$1272,16,FALSE)+IF(ISNA(VLOOKUP($A464,'Mutasi Neraca'!$A$3:$S$910,16,FALSE)),0,VLOOKUP($A464,'Mutasi Neraca'!$A$3:$S$910,16,FALSE))</f>
        <v>0</v>
      </c>
      <c r="R464" s="42">
        <f>VLOOKUP($A464,'Neraca Unaudited SIMAK'!$A$2:$R$1272,17,FALSE)+IF(ISNA(VLOOKUP($A464,'Mutasi Neraca'!$A$3:$S$910,17,FALSE)),0,VLOOKUP($A464,'Mutasi Neraca'!$A$3:$S$910,17,FALSE))</f>
        <v>-171936775</v>
      </c>
      <c r="S464" s="42">
        <f t="shared" si="57"/>
        <v>9205442819</v>
      </c>
    </row>
    <row r="465" spans="1:19">
      <c r="A465" s="41" t="s">
        <v>472</v>
      </c>
      <c r="B465" s="41" t="str">
        <f t="shared" si="56"/>
        <v>005011300</v>
      </c>
      <c r="D465" s="42">
        <f>VLOOKUP($A465,'Neraca Unaudited SIMAK'!$A$2:$R$1272,3,FALSE)+IF(ISNA(VLOOKUP($A465,'Mutasi Neraca'!$A$3:$S$910,3,FALSE)),0,VLOOKUP($A465,'Mutasi Neraca'!$A$3:$S$910,3,FALSE))</f>
        <v>0</v>
      </c>
      <c r="E465" s="42">
        <f>VLOOKUP($A465,'Neraca Unaudited SIMAK'!$A$2:$R$1272,4,FALSE)+IF(ISNA(VLOOKUP($A465,'Mutasi Neraca'!$A$3:$S$910,4,FALSE)),0,VLOOKUP($A465,'Mutasi Neraca'!$A$3:$S$910,4,FALSE))</f>
        <v>941800000</v>
      </c>
      <c r="F465" s="42">
        <f>VLOOKUP($A465,'Neraca Unaudited SIMAK'!$A$2:$R$1272,5,FALSE)+IF(ISNA(VLOOKUP($A465,'Mutasi Neraca'!$A$3:$S$910,5,FALSE)),0,VLOOKUP($A465,'Mutasi Neraca'!$A$3:$S$910,5,FALSE))</f>
        <v>2048917898</v>
      </c>
      <c r="G465" s="42">
        <f>VLOOKUP($A465,'Neraca Unaudited SIMAK'!$A$2:$R$1272,6,FALSE)+IF(ISNA(VLOOKUP($A465,'Mutasi Neraca'!$A$3:$S$910,6,FALSE)),0,VLOOKUP($A465,'Mutasi Neraca'!$A$3:$S$910,6,FALSE))</f>
        <v>11317108100</v>
      </c>
      <c r="H465" s="42">
        <f>VLOOKUP($A465,'Neraca Unaudited SIMAK'!$A$2:$R$1272,7,FALSE)+IF(ISNA(VLOOKUP($A465,'Mutasi Neraca'!$A$3:$S$910,7,FALSE)),0,VLOOKUP($A465,'Mutasi Neraca'!$A$3:$S$910,7,FALSE))</f>
        <v>32435000</v>
      </c>
      <c r="I465" s="42">
        <f>VLOOKUP($A465,'Neraca Unaudited SIMAK'!$A$2:$R$1272,8,FALSE)+IF(ISNA(VLOOKUP($A465,'Mutasi Neraca'!$A$3:$S$910,8,FALSE)),0,VLOOKUP($A465,'Mutasi Neraca'!$A$3:$S$910,8,FALSE))</f>
        <v>3152680</v>
      </c>
      <c r="J465" s="42">
        <f>VLOOKUP($A465,'Neraca Unaudited SIMAK'!$A$2:$R$1272,9,FALSE)+IF(ISNA(VLOOKUP($A465,'Mutasi Neraca'!$A$3:$S$910,9,FALSE)),0,VLOOKUP($A465,'Mutasi Neraca'!$A$3:$S$910,9,FALSE))</f>
        <v>0</v>
      </c>
      <c r="K465" s="42">
        <f>VLOOKUP($A465,'Neraca Unaudited SIMAK'!$A$2:$R$1272,10,FALSE)+IF(ISNA(VLOOKUP($A465,'Mutasi Neraca'!$A$3:$S$910,10,FALSE)),0,VLOOKUP($A465,'Mutasi Neraca'!$A$3:$S$910,10,FALSE))</f>
        <v>0</v>
      </c>
      <c r="L465" s="42">
        <f>VLOOKUP($A465,'Neraca Unaudited SIMAK'!$A$2:$R$1272,11,FALSE)+IF(ISNA(VLOOKUP($A465,'Mutasi Neraca'!$A$3:$S$910,11,FALSE)),0,VLOOKUP($A465,'Mutasi Neraca'!$A$3:$S$910,11,FALSE))</f>
        <v>4500000</v>
      </c>
      <c r="M465" s="42">
        <f>VLOOKUP($A465,'Neraca Unaudited SIMAK'!$A$2:$R$1272,12,FALSE)+IF(ISNA(VLOOKUP($A465,'Mutasi Neraca'!$A$3:$S$910,12,FALSE)),0,VLOOKUP($A465,'Mutasi Neraca'!$A$3:$S$910,12,FALSE))</f>
        <v>14347913678</v>
      </c>
      <c r="N465" s="42">
        <f>VLOOKUP($A465,'Neraca Unaudited SIMAK'!$A$2:$R$1272,13,FALSE)+IF(ISNA(VLOOKUP($A465,'Mutasi Neraca'!$A$3:$S$910,13,FALSE)),0,VLOOKUP($A465,'Mutasi Neraca'!$A$3:$S$910,13,FALSE))</f>
        <v>-1836497309</v>
      </c>
      <c r="O465" s="42">
        <f>VLOOKUP($A465,'Neraca Unaudited SIMAK'!$A$2:$R$1272,14,FALSE)+IF(ISNA(VLOOKUP($A465,'Mutasi Neraca'!$A$3:$S$910,14,FALSE)),0,VLOOKUP($A465,'Mutasi Neraca'!$A$3:$S$910,14,FALSE))</f>
        <v>-1334743910</v>
      </c>
      <c r="P465" s="42">
        <f>VLOOKUP($A465,'Neraca Unaudited SIMAK'!$A$2:$R$1272,15,FALSE)+IF(ISNA(VLOOKUP($A465,'Mutasi Neraca'!$A$3:$S$910,15,FALSE)),0,VLOOKUP($A465,'Mutasi Neraca'!$A$3:$S$910,15,FALSE))</f>
        <v>-21082750</v>
      </c>
      <c r="Q465" s="42">
        <f>VLOOKUP($A465,'Neraca Unaudited SIMAK'!$A$2:$R$1272,16,FALSE)+IF(ISNA(VLOOKUP($A465,'Mutasi Neraca'!$A$3:$S$910,16,FALSE)),0,VLOOKUP($A465,'Mutasi Neraca'!$A$3:$S$910,16,FALSE))</f>
        <v>0</v>
      </c>
      <c r="R465" s="42">
        <f>VLOOKUP($A465,'Neraca Unaudited SIMAK'!$A$2:$R$1272,17,FALSE)+IF(ISNA(VLOOKUP($A465,'Mutasi Neraca'!$A$3:$S$910,17,FALSE)),0,VLOOKUP($A465,'Mutasi Neraca'!$A$3:$S$910,17,FALSE))</f>
        <v>-4500000</v>
      </c>
      <c r="S465" s="42">
        <f t="shared" si="57"/>
        <v>11151089709</v>
      </c>
    </row>
    <row r="466" spans="1:19">
      <c r="A466" s="41" t="s">
        <v>473</v>
      </c>
      <c r="B466" s="41" t="str">
        <f t="shared" si="56"/>
        <v>005011300</v>
      </c>
      <c r="D466" s="42">
        <f>VLOOKUP($A466,'Neraca Unaudited SIMAK'!$A$2:$R$1272,3,FALSE)+IF(ISNA(VLOOKUP($A466,'Mutasi Neraca'!$A$3:$S$910,3,FALSE)),0,VLOOKUP($A466,'Mutasi Neraca'!$A$3:$S$910,3,FALSE))</f>
        <v>212000</v>
      </c>
      <c r="E466" s="42">
        <f>VLOOKUP($A466,'Neraca Unaudited SIMAK'!$A$2:$R$1272,4,FALSE)+IF(ISNA(VLOOKUP($A466,'Mutasi Neraca'!$A$3:$S$910,4,FALSE)),0,VLOOKUP($A466,'Mutasi Neraca'!$A$3:$S$910,4,FALSE))</f>
        <v>402250000</v>
      </c>
      <c r="F466" s="42">
        <f>VLOOKUP($A466,'Neraca Unaudited SIMAK'!$A$2:$R$1272,5,FALSE)+IF(ISNA(VLOOKUP($A466,'Mutasi Neraca'!$A$3:$S$910,5,FALSE)),0,VLOOKUP($A466,'Mutasi Neraca'!$A$3:$S$910,5,FALSE))</f>
        <v>869120137</v>
      </c>
      <c r="G466" s="42">
        <f>VLOOKUP($A466,'Neraca Unaudited SIMAK'!$A$2:$R$1272,6,FALSE)+IF(ISNA(VLOOKUP($A466,'Mutasi Neraca'!$A$3:$S$910,6,FALSE)),0,VLOOKUP($A466,'Mutasi Neraca'!$A$3:$S$910,6,FALSE))</f>
        <v>8366953000</v>
      </c>
      <c r="H466" s="42">
        <f>VLOOKUP($A466,'Neraca Unaudited SIMAK'!$A$2:$R$1272,7,FALSE)+IF(ISNA(VLOOKUP($A466,'Mutasi Neraca'!$A$3:$S$910,7,FALSE)),0,VLOOKUP($A466,'Mutasi Neraca'!$A$3:$S$910,7,FALSE))</f>
        <v>426075000</v>
      </c>
      <c r="I466" s="42">
        <f>VLOOKUP($A466,'Neraca Unaudited SIMAK'!$A$2:$R$1272,8,FALSE)+IF(ISNA(VLOOKUP($A466,'Mutasi Neraca'!$A$3:$S$910,8,FALSE)),0,VLOOKUP($A466,'Mutasi Neraca'!$A$3:$S$910,8,FALSE))</f>
        <v>1943440</v>
      </c>
      <c r="J466" s="42">
        <f>VLOOKUP($A466,'Neraca Unaudited SIMAK'!$A$2:$R$1272,9,FALSE)+IF(ISNA(VLOOKUP($A466,'Mutasi Neraca'!$A$3:$S$910,9,FALSE)),0,VLOOKUP($A466,'Mutasi Neraca'!$A$3:$S$910,9,FALSE))</f>
        <v>0</v>
      </c>
      <c r="K466" s="42">
        <f>VLOOKUP($A466,'Neraca Unaudited SIMAK'!$A$2:$R$1272,10,FALSE)+IF(ISNA(VLOOKUP($A466,'Mutasi Neraca'!$A$3:$S$910,10,FALSE)),0,VLOOKUP($A466,'Mutasi Neraca'!$A$3:$S$910,10,FALSE))</f>
        <v>0</v>
      </c>
      <c r="L466" s="42">
        <f>VLOOKUP($A466,'Neraca Unaudited SIMAK'!$A$2:$R$1272,11,FALSE)+IF(ISNA(VLOOKUP($A466,'Mutasi Neraca'!$A$3:$S$910,11,FALSE)),0,VLOOKUP($A466,'Mutasi Neraca'!$A$3:$S$910,11,FALSE))</f>
        <v>0</v>
      </c>
      <c r="M466" s="42">
        <f>VLOOKUP($A466,'Neraca Unaudited SIMAK'!$A$2:$R$1272,12,FALSE)+IF(ISNA(VLOOKUP($A466,'Mutasi Neraca'!$A$3:$S$910,12,FALSE)),0,VLOOKUP($A466,'Mutasi Neraca'!$A$3:$S$910,12,FALSE))</f>
        <v>10066553577</v>
      </c>
      <c r="N466" s="42">
        <f>VLOOKUP($A466,'Neraca Unaudited SIMAK'!$A$2:$R$1272,13,FALSE)+IF(ISNA(VLOOKUP($A466,'Mutasi Neraca'!$A$3:$S$910,13,FALSE)),0,VLOOKUP($A466,'Mutasi Neraca'!$A$3:$S$910,13,FALSE))</f>
        <v>-726585742</v>
      </c>
      <c r="O466" s="42">
        <f>VLOOKUP($A466,'Neraca Unaudited SIMAK'!$A$2:$R$1272,14,FALSE)+IF(ISNA(VLOOKUP($A466,'Mutasi Neraca'!$A$3:$S$910,14,FALSE)),0,VLOOKUP($A466,'Mutasi Neraca'!$A$3:$S$910,14,FALSE))</f>
        <v>-1050774134</v>
      </c>
      <c r="P466" s="42">
        <f>VLOOKUP($A466,'Neraca Unaudited SIMAK'!$A$2:$R$1272,15,FALSE)+IF(ISNA(VLOOKUP($A466,'Mutasi Neraca'!$A$3:$S$910,15,FALSE)),0,VLOOKUP($A466,'Mutasi Neraca'!$A$3:$S$910,15,FALSE))</f>
        <v>-256512813</v>
      </c>
      <c r="Q466" s="42">
        <f>VLOOKUP($A466,'Neraca Unaudited SIMAK'!$A$2:$R$1272,16,FALSE)+IF(ISNA(VLOOKUP($A466,'Mutasi Neraca'!$A$3:$S$910,16,FALSE)),0,VLOOKUP($A466,'Mutasi Neraca'!$A$3:$S$910,16,FALSE))</f>
        <v>0</v>
      </c>
      <c r="R466" s="42">
        <f>VLOOKUP($A466,'Neraca Unaudited SIMAK'!$A$2:$R$1272,17,FALSE)+IF(ISNA(VLOOKUP($A466,'Mutasi Neraca'!$A$3:$S$910,17,FALSE)),0,VLOOKUP($A466,'Mutasi Neraca'!$A$3:$S$910,17,FALSE))</f>
        <v>0</v>
      </c>
      <c r="S466" s="42">
        <f t="shared" si="57"/>
        <v>8032680888</v>
      </c>
    </row>
    <row r="467" spans="1:19">
      <c r="A467" s="41" t="s">
        <v>474</v>
      </c>
      <c r="B467" s="41" t="str">
        <f t="shared" si="56"/>
        <v>005011300</v>
      </c>
      <c r="D467" s="42">
        <f>VLOOKUP($A467,'Neraca Unaudited SIMAK'!$A$2:$R$1272,3,FALSE)+IF(ISNA(VLOOKUP($A467,'Mutasi Neraca'!$A$3:$S$910,3,FALSE)),0,VLOOKUP($A467,'Mutasi Neraca'!$A$3:$S$910,3,FALSE))</f>
        <v>531300</v>
      </c>
      <c r="E467" s="42">
        <f>VLOOKUP($A467,'Neraca Unaudited SIMAK'!$A$2:$R$1272,4,FALSE)+IF(ISNA(VLOOKUP($A467,'Mutasi Neraca'!$A$3:$S$910,4,FALSE)),0,VLOOKUP($A467,'Mutasi Neraca'!$A$3:$S$910,4,FALSE))</f>
        <v>0</v>
      </c>
      <c r="F467" s="42">
        <f>VLOOKUP($A467,'Neraca Unaudited SIMAK'!$A$2:$R$1272,5,FALSE)+IF(ISNA(VLOOKUP($A467,'Mutasi Neraca'!$A$3:$S$910,5,FALSE)),0,VLOOKUP($A467,'Mutasi Neraca'!$A$3:$S$910,5,FALSE))</f>
        <v>1757206874</v>
      </c>
      <c r="G467" s="42">
        <f>VLOOKUP($A467,'Neraca Unaudited SIMAK'!$A$2:$R$1272,6,FALSE)+IF(ISNA(VLOOKUP($A467,'Mutasi Neraca'!$A$3:$S$910,6,FALSE)),0,VLOOKUP($A467,'Mutasi Neraca'!$A$3:$S$910,6,FALSE))</f>
        <v>12535934900</v>
      </c>
      <c r="H467" s="42">
        <f>VLOOKUP($A467,'Neraca Unaudited SIMAK'!$A$2:$R$1272,7,FALSE)+IF(ISNA(VLOOKUP($A467,'Mutasi Neraca'!$A$3:$S$910,7,FALSE)),0,VLOOKUP($A467,'Mutasi Neraca'!$A$3:$S$910,7,FALSE))</f>
        <v>355211000</v>
      </c>
      <c r="I467" s="42">
        <f>VLOOKUP($A467,'Neraca Unaudited SIMAK'!$A$2:$R$1272,8,FALSE)+IF(ISNA(VLOOKUP($A467,'Mutasi Neraca'!$A$3:$S$910,8,FALSE)),0,VLOOKUP($A467,'Mutasi Neraca'!$A$3:$S$910,8,FALSE))</f>
        <v>1943440</v>
      </c>
      <c r="J467" s="42">
        <f>VLOOKUP($A467,'Neraca Unaudited SIMAK'!$A$2:$R$1272,9,FALSE)+IF(ISNA(VLOOKUP($A467,'Mutasi Neraca'!$A$3:$S$910,9,FALSE)),0,VLOOKUP($A467,'Mutasi Neraca'!$A$3:$S$910,9,FALSE))</f>
        <v>0</v>
      </c>
      <c r="K467" s="42">
        <f>VLOOKUP($A467,'Neraca Unaudited SIMAK'!$A$2:$R$1272,10,FALSE)+IF(ISNA(VLOOKUP($A467,'Mutasi Neraca'!$A$3:$S$910,10,FALSE)),0,VLOOKUP($A467,'Mutasi Neraca'!$A$3:$S$910,10,FALSE))</f>
        <v>0</v>
      </c>
      <c r="L467" s="42">
        <f>VLOOKUP($A467,'Neraca Unaudited SIMAK'!$A$2:$R$1272,11,FALSE)+IF(ISNA(VLOOKUP($A467,'Mutasi Neraca'!$A$3:$S$910,11,FALSE)),0,VLOOKUP($A467,'Mutasi Neraca'!$A$3:$S$910,11,FALSE))</f>
        <v>0</v>
      </c>
      <c r="M467" s="42">
        <f>VLOOKUP($A467,'Neraca Unaudited SIMAK'!$A$2:$R$1272,12,FALSE)+IF(ISNA(VLOOKUP($A467,'Mutasi Neraca'!$A$3:$S$910,12,FALSE)),0,VLOOKUP($A467,'Mutasi Neraca'!$A$3:$S$910,12,FALSE))</f>
        <v>14650827514</v>
      </c>
      <c r="N467" s="42">
        <f>VLOOKUP($A467,'Neraca Unaudited SIMAK'!$A$2:$R$1272,13,FALSE)+IF(ISNA(VLOOKUP($A467,'Mutasi Neraca'!$A$3:$S$910,13,FALSE)),0,VLOOKUP($A467,'Mutasi Neraca'!$A$3:$S$910,13,FALSE))</f>
        <v>-1514047500</v>
      </c>
      <c r="O467" s="42">
        <f>VLOOKUP($A467,'Neraca Unaudited SIMAK'!$A$2:$R$1272,14,FALSE)+IF(ISNA(VLOOKUP($A467,'Mutasi Neraca'!$A$3:$S$910,14,FALSE)),0,VLOOKUP($A467,'Mutasi Neraca'!$A$3:$S$910,14,FALSE))</f>
        <v>-1614316016</v>
      </c>
      <c r="P467" s="42">
        <f>VLOOKUP($A467,'Neraca Unaudited SIMAK'!$A$2:$R$1272,15,FALSE)+IF(ISNA(VLOOKUP($A467,'Mutasi Neraca'!$A$3:$S$910,15,FALSE)),0,VLOOKUP($A467,'Mutasi Neraca'!$A$3:$S$910,15,FALSE))</f>
        <v>-116808200</v>
      </c>
      <c r="Q467" s="42">
        <f>VLOOKUP($A467,'Neraca Unaudited SIMAK'!$A$2:$R$1272,16,FALSE)+IF(ISNA(VLOOKUP($A467,'Mutasi Neraca'!$A$3:$S$910,16,FALSE)),0,VLOOKUP($A467,'Mutasi Neraca'!$A$3:$S$910,16,FALSE))</f>
        <v>0</v>
      </c>
      <c r="R467" s="42">
        <f>VLOOKUP($A467,'Neraca Unaudited SIMAK'!$A$2:$R$1272,17,FALSE)+IF(ISNA(VLOOKUP($A467,'Mutasi Neraca'!$A$3:$S$910,17,FALSE)),0,VLOOKUP($A467,'Mutasi Neraca'!$A$3:$S$910,17,FALSE))</f>
        <v>0</v>
      </c>
      <c r="S467" s="42">
        <f t="shared" si="57"/>
        <v>11405655798</v>
      </c>
    </row>
    <row r="468" spans="1:19">
      <c r="A468" s="41" t="s">
        <v>475</v>
      </c>
      <c r="B468" s="41" t="str">
        <f t="shared" si="56"/>
        <v>005011400</v>
      </c>
      <c r="D468" s="42">
        <f>VLOOKUP($A468,'Neraca Unaudited SIMAK'!$A$2:$R$1272,3,FALSE)+IF(ISNA(VLOOKUP($A468,'Mutasi Neraca'!$A$3:$S$910,3,FALSE)),0,VLOOKUP($A468,'Mutasi Neraca'!$A$3:$S$910,3,FALSE))</f>
        <v>1597850</v>
      </c>
      <c r="E468" s="42">
        <f>VLOOKUP($A468,'Neraca Unaudited SIMAK'!$A$2:$R$1272,4,FALSE)+IF(ISNA(VLOOKUP($A468,'Mutasi Neraca'!$A$3:$S$910,4,FALSE)),0,VLOOKUP($A468,'Mutasi Neraca'!$A$3:$S$910,4,FALSE))</f>
        <v>5595514241</v>
      </c>
      <c r="F468" s="42">
        <f>VLOOKUP($A468,'Neraca Unaudited SIMAK'!$A$2:$R$1272,5,FALSE)+IF(ISNA(VLOOKUP($A468,'Mutasi Neraca'!$A$3:$S$910,5,FALSE)),0,VLOOKUP($A468,'Mutasi Neraca'!$A$3:$S$910,5,FALSE))</f>
        <v>3472419944</v>
      </c>
      <c r="G468" s="42">
        <f>VLOOKUP($A468,'Neraca Unaudited SIMAK'!$A$2:$R$1272,6,FALSE)+IF(ISNA(VLOOKUP($A468,'Mutasi Neraca'!$A$3:$S$910,6,FALSE)),0,VLOOKUP($A468,'Mutasi Neraca'!$A$3:$S$910,6,FALSE))</f>
        <v>16408849800</v>
      </c>
      <c r="H468" s="42">
        <f>VLOOKUP($A468,'Neraca Unaudited SIMAK'!$A$2:$R$1272,7,FALSE)+IF(ISNA(VLOOKUP($A468,'Mutasi Neraca'!$A$3:$S$910,7,FALSE)),0,VLOOKUP($A468,'Mutasi Neraca'!$A$3:$S$910,7,FALSE))</f>
        <v>1225118000</v>
      </c>
      <c r="I468" s="42">
        <f>VLOOKUP($A468,'Neraca Unaudited SIMAK'!$A$2:$R$1272,8,FALSE)+IF(ISNA(VLOOKUP($A468,'Mutasi Neraca'!$A$3:$S$910,8,FALSE)),0,VLOOKUP($A468,'Mutasi Neraca'!$A$3:$S$910,8,FALSE))</f>
        <v>4413440</v>
      </c>
      <c r="J468" s="42">
        <f>VLOOKUP($A468,'Neraca Unaudited SIMAK'!$A$2:$R$1272,9,FALSE)+IF(ISNA(VLOOKUP($A468,'Mutasi Neraca'!$A$3:$S$910,9,FALSE)),0,VLOOKUP($A468,'Mutasi Neraca'!$A$3:$S$910,9,FALSE))</f>
        <v>0</v>
      </c>
      <c r="K468" s="42">
        <f>VLOOKUP($A468,'Neraca Unaudited SIMAK'!$A$2:$R$1272,10,FALSE)+IF(ISNA(VLOOKUP($A468,'Mutasi Neraca'!$A$3:$S$910,10,FALSE)),0,VLOOKUP($A468,'Mutasi Neraca'!$A$3:$S$910,10,FALSE))</f>
        <v>37181829</v>
      </c>
      <c r="L468" s="42">
        <f>VLOOKUP($A468,'Neraca Unaudited SIMAK'!$A$2:$R$1272,11,FALSE)+IF(ISNA(VLOOKUP($A468,'Mutasi Neraca'!$A$3:$S$910,11,FALSE)),0,VLOOKUP($A468,'Mutasi Neraca'!$A$3:$S$910,11,FALSE))</f>
        <v>17500000</v>
      </c>
      <c r="M468" s="42">
        <f>VLOOKUP($A468,'Neraca Unaudited SIMAK'!$A$2:$R$1272,12,FALSE)+IF(ISNA(VLOOKUP($A468,'Mutasi Neraca'!$A$3:$S$910,12,FALSE)),0,VLOOKUP($A468,'Mutasi Neraca'!$A$3:$S$910,12,FALSE))</f>
        <v>26762595104</v>
      </c>
      <c r="N468" s="42">
        <f>VLOOKUP($A468,'Neraca Unaudited SIMAK'!$A$2:$R$1272,13,FALSE)+IF(ISNA(VLOOKUP($A468,'Mutasi Neraca'!$A$3:$S$910,13,FALSE)),0,VLOOKUP($A468,'Mutasi Neraca'!$A$3:$S$910,13,FALSE))</f>
        <v>-1941116259</v>
      </c>
      <c r="O468" s="42">
        <f>VLOOKUP($A468,'Neraca Unaudited SIMAK'!$A$2:$R$1272,14,FALSE)+IF(ISNA(VLOOKUP($A468,'Mutasi Neraca'!$A$3:$S$910,14,FALSE)),0,VLOOKUP($A468,'Mutasi Neraca'!$A$3:$S$910,14,FALSE))</f>
        <v>-1571691046</v>
      </c>
      <c r="P468" s="42">
        <f>VLOOKUP($A468,'Neraca Unaudited SIMAK'!$A$2:$R$1272,15,FALSE)+IF(ISNA(VLOOKUP($A468,'Mutasi Neraca'!$A$3:$S$910,15,FALSE)),0,VLOOKUP($A468,'Mutasi Neraca'!$A$3:$S$910,15,FALSE))</f>
        <v>-69134174</v>
      </c>
      <c r="Q468" s="42">
        <f>VLOOKUP($A468,'Neraca Unaudited SIMAK'!$A$2:$R$1272,16,FALSE)+IF(ISNA(VLOOKUP($A468,'Mutasi Neraca'!$A$3:$S$910,16,FALSE)),0,VLOOKUP($A468,'Mutasi Neraca'!$A$3:$S$910,16,FALSE))</f>
        <v>0</v>
      </c>
      <c r="R468" s="42">
        <f>VLOOKUP($A468,'Neraca Unaudited SIMAK'!$A$2:$R$1272,17,FALSE)+IF(ISNA(VLOOKUP($A468,'Mutasi Neraca'!$A$3:$S$910,17,FALSE)),0,VLOOKUP($A468,'Mutasi Neraca'!$A$3:$S$910,17,FALSE))</f>
        <v>-17500000</v>
      </c>
      <c r="S468" s="42">
        <f t="shared" si="57"/>
        <v>23163153625</v>
      </c>
    </row>
    <row r="469" spans="1:19">
      <c r="A469" s="41" t="s">
        <v>476</v>
      </c>
      <c r="B469" s="41" t="str">
        <f t="shared" si="56"/>
        <v>005011400</v>
      </c>
      <c r="D469" s="42">
        <f>VLOOKUP($A469,'Neraca Unaudited SIMAK'!$A$2:$R$1272,3,FALSE)+IF(ISNA(VLOOKUP($A469,'Mutasi Neraca'!$A$3:$S$910,3,FALSE)),0,VLOOKUP($A469,'Mutasi Neraca'!$A$3:$S$910,3,FALSE))</f>
        <v>10551379</v>
      </c>
      <c r="E469" s="42">
        <f>VLOOKUP($A469,'Neraca Unaudited SIMAK'!$A$2:$R$1272,4,FALSE)+IF(ISNA(VLOOKUP($A469,'Mutasi Neraca'!$A$3:$S$910,4,FALSE)),0,VLOOKUP($A469,'Mutasi Neraca'!$A$3:$S$910,4,FALSE))</f>
        <v>6125391600</v>
      </c>
      <c r="F469" s="42">
        <f>VLOOKUP($A469,'Neraca Unaudited SIMAK'!$A$2:$R$1272,5,FALSE)+IF(ISNA(VLOOKUP($A469,'Mutasi Neraca'!$A$3:$S$910,5,FALSE)),0,VLOOKUP($A469,'Mutasi Neraca'!$A$3:$S$910,5,FALSE))</f>
        <v>856006328</v>
      </c>
      <c r="G469" s="42">
        <f>VLOOKUP($A469,'Neraca Unaudited SIMAK'!$A$2:$R$1272,6,FALSE)+IF(ISNA(VLOOKUP($A469,'Mutasi Neraca'!$A$3:$S$910,6,FALSE)),0,VLOOKUP($A469,'Mutasi Neraca'!$A$3:$S$910,6,FALSE))</f>
        <v>4574179476</v>
      </c>
      <c r="H469" s="42">
        <f>VLOOKUP($A469,'Neraca Unaudited SIMAK'!$A$2:$R$1272,7,FALSE)+IF(ISNA(VLOOKUP($A469,'Mutasi Neraca'!$A$3:$S$910,7,FALSE)),0,VLOOKUP($A469,'Mutasi Neraca'!$A$3:$S$910,7,FALSE))</f>
        <v>259408636</v>
      </c>
      <c r="I469" s="42">
        <f>VLOOKUP($A469,'Neraca Unaudited SIMAK'!$A$2:$R$1272,8,FALSE)+IF(ISNA(VLOOKUP($A469,'Mutasi Neraca'!$A$3:$S$910,8,FALSE)),0,VLOOKUP($A469,'Mutasi Neraca'!$A$3:$S$910,8,FALSE))</f>
        <v>7355440</v>
      </c>
      <c r="J469" s="42">
        <f>VLOOKUP($A469,'Neraca Unaudited SIMAK'!$A$2:$R$1272,9,FALSE)+IF(ISNA(VLOOKUP($A469,'Mutasi Neraca'!$A$3:$S$910,9,FALSE)),0,VLOOKUP($A469,'Mutasi Neraca'!$A$3:$S$910,9,FALSE))</f>
        <v>0</v>
      </c>
      <c r="K469" s="42">
        <f>VLOOKUP($A469,'Neraca Unaudited SIMAK'!$A$2:$R$1272,10,FALSE)+IF(ISNA(VLOOKUP($A469,'Mutasi Neraca'!$A$3:$S$910,10,FALSE)),0,VLOOKUP($A469,'Mutasi Neraca'!$A$3:$S$910,10,FALSE))</f>
        <v>0</v>
      </c>
      <c r="L469" s="42">
        <f>VLOOKUP($A469,'Neraca Unaudited SIMAK'!$A$2:$R$1272,11,FALSE)+IF(ISNA(VLOOKUP($A469,'Mutasi Neraca'!$A$3:$S$910,11,FALSE)),0,VLOOKUP($A469,'Mutasi Neraca'!$A$3:$S$910,11,FALSE))</f>
        <v>299095000</v>
      </c>
      <c r="M469" s="42">
        <f>VLOOKUP($A469,'Neraca Unaudited SIMAK'!$A$2:$R$1272,12,FALSE)+IF(ISNA(VLOOKUP($A469,'Mutasi Neraca'!$A$3:$S$910,12,FALSE)),0,VLOOKUP($A469,'Mutasi Neraca'!$A$3:$S$910,12,FALSE))</f>
        <v>12131987859</v>
      </c>
      <c r="N469" s="42">
        <f>VLOOKUP($A469,'Neraca Unaudited SIMAK'!$A$2:$R$1272,13,FALSE)+IF(ISNA(VLOOKUP($A469,'Mutasi Neraca'!$A$3:$S$910,13,FALSE)),0,VLOOKUP($A469,'Mutasi Neraca'!$A$3:$S$910,13,FALSE))</f>
        <v>-751039929</v>
      </c>
      <c r="O469" s="42">
        <f>VLOOKUP($A469,'Neraca Unaudited SIMAK'!$A$2:$R$1272,14,FALSE)+IF(ISNA(VLOOKUP($A469,'Mutasi Neraca'!$A$3:$S$910,14,FALSE)),0,VLOOKUP($A469,'Mutasi Neraca'!$A$3:$S$910,14,FALSE))</f>
        <v>-1384976521</v>
      </c>
      <c r="P469" s="42">
        <f>VLOOKUP($A469,'Neraca Unaudited SIMAK'!$A$2:$R$1272,15,FALSE)+IF(ISNA(VLOOKUP($A469,'Mutasi Neraca'!$A$3:$S$910,15,FALSE)),0,VLOOKUP($A469,'Mutasi Neraca'!$A$3:$S$910,15,FALSE))</f>
        <v>-168615616</v>
      </c>
      <c r="Q469" s="42">
        <f>VLOOKUP($A469,'Neraca Unaudited SIMAK'!$A$2:$R$1272,16,FALSE)+IF(ISNA(VLOOKUP($A469,'Mutasi Neraca'!$A$3:$S$910,16,FALSE)),0,VLOOKUP($A469,'Mutasi Neraca'!$A$3:$S$910,16,FALSE))</f>
        <v>0</v>
      </c>
      <c r="R469" s="42">
        <f>VLOOKUP($A469,'Neraca Unaudited SIMAK'!$A$2:$R$1272,17,FALSE)+IF(ISNA(VLOOKUP($A469,'Mutasi Neraca'!$A$3:$S$910,17,FALSE)),0,VLOOKUP($A469,'Mutasi Neraca'!$A$3:$S$910,17,FALSE))</f>
        <v>-161442562</v>
      </c>
      <c r="S469" s="42">
        <f t="shared" si="57"/>
        <v>9665913231</v>
      </c>
    </row>
    <row r="470" spans="1:19">
      <c r="A470" s="41" t="s">
        <v>477</v>
      </c>
      <c r="B470" s="41" t="str">
        <f t="shared" si="56"/>
        <v>005011400</v>
      </c>
      <c r="D470" s="42">
        <f>VLOOKUP($A470,'Neraca Unaudited SIMAK'!$A$2:$R$1272,3,FALSE)+IF(ISNA(VLOOKUP($A470,'Mutasi Neraca'!$A$3:$S$910,3,FALSE)),0,VLOOKUP($A470,'Mutasi Neraca'!$A$3:$S$910,3,FALSE))</f>
        <v>3592700</v>
      </c>
      <c r="E470" s="42">
        <f>VLOOKUP($A470,'Neraca Unaudited SIMAK'!$A$2:$R$1272,4,FALSE)+IF(ISNA(VLOOKUP($A470,'Mutasi Neraca'!$A$3:$S$910,4,FALSE)),0,VLOOKUP($A470,'Mutasi Neraca'!$A$3:$S$910,4,FALSE))</f>
        <v>2636190000</v>
      </c>
      <c r="F470" s="42">
        <f>VLOOKUP($A470,'Neraca Unaudited SIMAK'!$A$2:$R$1272,5,FALSE)+IF(ISNA(VLOOKUP($A470,'Mutasi Neraca'!$A$3:$S$910,5,FALSE)),0,VLOOKUP($A470,'Mutasi Neraca'!$A$3:$S$910,5,FALSE))</f>
        <v>1248856426</v>
      </c>
      <c r="G470" s="42">
        <f>VLOOKUP($A470,'Neraca Unaudited SIMAK'!$A$2:$R$1272,6,FALSE)+IF(ISNA(VLOOKUP($A470,'Mutasi Neraca'!$A$3:$S$910,6,FALSE)),0,VLOOKUP($A470,'Mutasi Neraca'!$A$3:$S$910,6,FALSE))</f>
        <v>1283158500</v>
      </c>
      <c r="H470" s="42">
        <f>VLOOKUP($A470,'Neraca Unaudited SIMAK'!$A$2:$R$1272,7,FALSE)+IF(ISNA(VLOOKUP($A470,'Mutasi Neraca'!$A$3:$S$910,7,FALSE)),0,VLOOKUP($A470,'Mutasi Neraca'!$A$3:$S$910,7,FALSE))</f>
        <v>49750000</v>
      </c>
      <c r="I470" s="42">
        <f>VLOOKUP($A470,'Neraca Unaudited SIMAK'!$A$2:$R$1272,8,FALSE)+IF(ISNA(VLOOKUP($A470,'Mutasi Neraca'!$A$3:$S$910,8,FALSE)),0,VLOOKUP($A470,'Mutasi Neraca'!$A$3:$S$910,8,FALSE))</f>
        <v>19340440</v>
      </c>
      <c r="J470" s="42">
        <f>VLOOKUP($A470,'Neraca Unaudited SIMAK'!$A$2:$R$1272,9,FALSE)+IF(ISNA(VLOOKUP($A470,'Mutasi Neraca'!$A$3:$S$910,9,FALSE)),0,VLOOKUP($A470,'Mutasi Neraca'!$A$3:$S$910,9,FALSE))</f>
        <v>8641985615</v>
      </c>
      <c r="K470" s="42">
        <f>VLOOKUP($A470,'Neraca Unaudited SIMAK'!$A$2:$R$1272,10,FALSE)+IF(ISNA(VLOOKUP($A470,'Mutasi Neraca'!$A$3:$S$910,10,FALSE)),0,VLOOKUP($A470,'Mutasi Neraca'!$A$3:$S$910,10,FALSE))</f>
        <v>0</v>
      </c>
      <c r="L470" s="42">
        <f>VLOOKUP($A470,'Neraca Unaudited SIMAK'!$A$2:$R$1272,11,FALSE)+IF(ISNA(VLOOKUP($A470,'Mutasi Neraca'!$A$3:$S$910,11,FALSE)),0,VLOOKUP($A470,'Mutasi Neraca'!$A$3:$S$910,11,FALSE))</f>
        <v>16653000</v>
      </c>
      <c r="M470" s="42">
        <f>VLOOKUP($A470,'Neraca Unaudited SIMAK'!$A$2:$R$1272,12,FALSE)+IF(ISNA(VLOOKUP($A470,'Mutasi Neraca'!$A$3:$S$910,12,FALSE)),0,VLOOKUP($A470,'Mutasi Neraca'!$A$3:$S$910,12,FALSE))</f>
        <v>13899526681</v>
      </c>
      <c r="N470" s="42">
        <f>VLOOKUP($A470,'Neraca Unaudited SIMAK'!$A$2:$R$1272,13,FALSE)+IF(ISNA(VLOOKUP($A470,'Mutasi Neraca'!$A$3:$S$910,13,FALSE)),0,VLOOKUP($A470,'Mutasi Neraca'!$A$3:$S$910,13,FALSE))</f>
        <v>-1032907197</v>
      </c>
      <c r="O470" s="42">
        <f>VLOOKUP($A470,'Neraca Unaudited SIMAK'!$A$2:$R$1272,14,FALSE)+IF(ISNA(VLOOKUP($A470,'Mutasi Neraca'!$A$3:$S$910,14,FALSE)),0,VLOOKUP($A470,'Mutasi Neraca'!$A$3:$S$910,14,FALSE))</f>
        <v>-294430905</v>
      </c>
      <c r="P470" s="42">
        <f>VLOOKUP($A470,'Neraca Unaudited SIMAK'!$A$2:$R$1272,15,FALSE)+IF(ISNA(VLOOKUP($A470,'Mutasi Neraca'!$A$3:$S$910,15,FALSE)),0,VLOOKUP($A470,'Mutasi Neraca'!$A$3:$S$910,15,FALSE))</f>
        <v>-4975000</v>
      </c>
      <c r="Q470" s="42">
        <f>VLOOKUP($A470,'Neraca Unaudited SIMAK'!$A$2:$R$1272,16,FALSE)+IF(ISNA(VLOOKUP($A470,'Mutasi Neraca'!$A$3:$S$910,16,FALSE)),0,VLOOKUP($A470,'Mutasi Neraca'!$A$3:$S$910,16,FALSE))</f>
        <v>0</v>
      </c>
      <c r="R470" s="42">
        <f>VLOOKUP($A470,'Neraca Unaudited SIMAK'!$A$2:$R$1272,17,FALSE)+IF(ISNA(VLOOKUP($A470,'Mutasi Neraca'!$A$3:$S$910,17,FALSE)),0,VLOOKUP($A470,'Mutasi Neraca'!$A$3:$S$910,17,FALSE))</f>
        <v>-16653000</v>
      </c>
      <c r="S470" s="42">
        <f t="shared" si="57"/>
        <v>12550560579</v>
      </c>
    </row>
    <row r="471" spans="1:19">
      <c r="A471" s="41" t="s">
        <v>478</v>
      </c>
      <c r="B471" s="41" t="str">
        <f t="shared" si="56"/>
        <v>005011400</v>
      </c>
      <c r="D471" s="42">
        <f>VLOOKUP($A471,'Neraca Unaudited SIMAK'!$A$2:$R$1272,3,FALSE)+IF(ISNA(VLOOKUP($A471,'Mutasi Neraca'!$A$3:$S$910,3,FALSE)),0,VLOOKUP($A471,'Mutasi Neraca'!$A$3:$S$910,3,FALSE))</f>
        <v>2095900</v>
      </c>
      <c r="E471" s="42">
        <f>VLOOKUP($A471,'Neraca Unaudited SIMAK'!$A$2:$R$1272,4,FALSE)+IF(ISNA(VLOOKUP($A471,'Mutasi Neraca'!$A$3:$S$910,4,FALSE)),0,VLOOKUP($A471,'Mutasi Neraca'!$A$3:$S$910,4,FALSE))</f>
        <v>2639456084</v>
      </c>
      <c r="F471" s="42">
        <f>VLOOKUP($A471,'Neraca Unaudited SIMAK'!$A$2:$R$1272,5,FALSE)+IF(ISNA(VLOOKUP($A471,'Mutasi Neraca'!$A$3:$S$910,5,FALSE)),0,VLOOKUP($A471,'Mutasi Neraca'!$A$3:$S$910,5,FALSE))</f>
        <v>1078752812</v>
      </c>
      <c r="G471" s="42">
        <f>VLOOKUP($A471,'Neraca Unaudited SIMAK'!$A$2:$R$1272,6,FALSE)+IF(ISNA(VLOOKUP($A471,'Mutasi Neraca'!$A$3:$S$910,6,FALSE)),0,VLOOKUP($A471,'Mutasi Neraca'!$A$3:$S$910,6,FALSE))</f>
        <v>7375823600</v>
      </c>
      <c r="H471" s="42">
        <f>VLOOKUP($A471,'Neraca Unaudited SIMAK'!$A$2:$R$1272,7,FALSE)+IF(ISNA(VLOOKUP($A471,'Mutasi Neraca'!$A$3:$S$910,7,FALSE)),0,VLOOKUP($A471,'Mutasi Neraca'!$A$3:$S$910,7,FALSE))</f>
        <v>0</v>
      </c>
      <c r="I471" s="42">
        <f>VLOOKUP($A471,'Neraca Unaudited SIMAK'!$A$2:$R$1272,8,FALSE)+IF(ISNA(VLOOKUP($A471,'Mutasi Neraca'!$A$3:$S$910,8,FALSE)),0,VLOOKUP($A471,'Mutasi Neraca'!$A$3:$S$910,8,FALSE))</f>
        <v>1943440</v>
      </c>
      <c r="J471" s="42">
        <f>VLOOKUP($A471,'Neraca Unaudited SIMAK'!$A$2:$R$1272,9,FALSE)+IF(ISNA(VLOOKUP($A471,'Mutasi Neraca'!$A$3:$S$910,9,FALSE)),0,VLOOKUP($A471,'Mutasi Neraca'!$A$3:$S$910,9,FALSE))</f>
        <v>0</v>
      </c>
      <c r="K471" s="42">
        <f>VLOOKUP($A471,'Neraca Unaudited SIMAK'!$A$2:$R$1272,10,FALSE)+IF(ISNA(VLOOKUP($A471,'Mutasi Neraca'!$A$3:$S$910,10,FALSE)),0,VLOOKUP($A471,'Mutasi Neraca'!$A$3:$S$910,10,FALSE))</f>
        <v>0</v>
      </c>
      <c r="L471" s="42">
        <f>VLOOKUP($A471,'Neraca Unaudited SIMAK'!$A$2:$R$1272,11,FALSE)+IF(ISNA(VLOOKUP($A471,'Mutasi Neraca'!$A$3:$S$910,11,FALSE)),0,VLOOKUP($A471,'Mutasi Neraca'!$A$3:$S$910,11,FALSE))</f>
        <v>297728300</v>
      </c>
      <c r="M471" s="42">
        <f>VLOOKUP($A471,'Neraca Unaudited SIMAK'!$A$2:$R$1272,12,FALSE)+IF(ISNA(VLOOKUP($A471,'Mutasi Neraca'!$A$3:$S$910,12,FALSE)),0,VLOOKUP($A471,'Mutasi Neraca'!$A$3:$S$910,12,FALSE))</f>
        <v>11395800136</v>
      </c>
      <c r="N471" s="42">
        <f>VLOOKUP($A471,'Neraca Unaudited SIMAK'!$A$2:$R$1272,13,FALSE)+IF(ISNA(VLOOKUP($A471,'Mutasi Neraca'!$A$3:$S$910,13,FALSE)),0,VLOOKUP($A471,'Mutasi Neraca'!$A$3:$S$910,13,FALSE))</f>
        <v>-942662566</v>
      </c>
      <c r="O471" s="42">
        <f>VLOOKUP($A471,'Neraca Unaudited SIMAK'!$A$2:$R$1272,14,FALSE)+IF(ISNA(VLOOKUP($A471,'Mutasi Neraca'!$A$3:$S$910,14,FALSE)),0,VLOOKUP($A471,'Mutasi Neraca'!$A$3:$S$910,14,FALSE))</f>
        <v>-572650896</v>
      </c>
      <c r="P471" s="42">
        <f>VLOOKUP($A471,'Neraca Unaudited SIMAK'!$A$2:$R$1272,15,FALSE)+IF(ISNA(VLOOKUP($A471,'Mutasi Neraca'!$A$3:$S$910,15,FALSE)),0,VLOOKUP($A471,'Mutasi Neraca'!$A$3:$S$910,15,FALSE))</f>
        <v>0</v>
      </c>
      <c r="Q471" s="42">
        <f>VLOOKUP($A471,'Neraca Unaudited SIMAK'!$A$2:$R$1272,16,FALSE)+IF(ISNA(VLOOKUP($A471,'Mutasi Neraca'!$A$3:$S$910,16,FALSE)),0,VLOOKUP($A471,'Mutasi Neraca'!$A$3:$S$910,16,FALSE))</f>
        <v>0</v>
      </c>
      <c r="R471" s="42">
        <f>VLOOKUP($A471,'Neraca Unaudited SIMAK'!$A$2:$R$1272,17,FALSE)+IF(ISNA(VLOOKUP($A471,'Mutasi Neraca'!$A$3:$S$910,17,FALSE)),0,VLOOKUP($A471,'Mutasi Neraca'!$A$3:$S$910,17,FALSE))</f>
        <v>-68788768</v>
      </c>
      <c r="S471" s="42">
        <f t="shared" si="57"/>
        <v>9811697906</v>
      </c>
    </row>
    <row r="472" spans="1:19">
      <c r="A472" s="41" t="s">
        <v>479</v>
      </c>
      <c r="B472" s="41" t="str">
        <f t="shared" si="56"/>
        <v>005011400</v>
      </c>
      <c r="D472" s="42">
        <f>VLOOKUP($A472,'Neraca Unaudited SIMAK'!$A$2:$R$1272,3,FALSE)+IF(ISNA(VLOOKUP($A472,'Mutasi Neraca'!$A$3:$S$910,3,FALSE)),0,VLOOKUP($A472,'Mutasi Neraca'!$A$3:$S$910,3,FALSE))</f>
        <v>206600</v>
      </c>
      <c r="E472" s="42">
        <f>VLOOKUP($A472,'Neraca Unaudited SIMAK'!$A$2:$R$1272,4,FALSE)+IF(ISNA(VLOOKUP($A472,'Mutasi Neraca'!$A$3:$S$910,4,FALSE)),0,VLOOKUP($A472,'Mutasi Neraca'!$A$3:$S$910,4,FALSE))</f>
        <v>1817541000</v>
      </c>
      <c r="F472" s="42">
        <f>VLOOKUP($A472,'Neraca Unaudited SIMAK'!$A$2:$R$1272,5,FALSE)+IF(ISNA(VLOOKUP($A472,'Mutasi Neraca'!$A$3:$S$910,5,FALSE)),0,VLOOKUP($A472,'Mutasi Neraca'!$A$3:$S$910,5,FALSE))</f>
        <v>1340093204</v>
      </c>
      <c r="G472" s="42">
        <f>VLOOKUP($A472,'Neraca Unaudited SIMAK'!$A$2:$R$1272,6,FALSE)+IF(ISNA(VLOOKUP($A472,'Mutasi Neraca'!$A$3:$S$910,6,FALSE)),0,VLOOKUP($A472,'Mutasi Neraca'!$A$3:$S$910,6,FALSE))</f>
        <v>4464677281</v>
      </c>
      <c r="H472" s="42">
        <f>VLOOKUP($A472,'Neraca Unaudited SIMAK'!$A$2:$R$1272,7,FALSE)+IF(ISNA(VLOOKUP($A472,'Mutasi Neraca'!$A$3:$S$910,7,FALSE)),0,VLOOKUP($A472,'Mutasi Neraca'!$A$3:$S$910,7,FALSE))</f>
        <v>0</v>
      </c>
      <c r="I472" s="42">
        <f>VLOOKUP($A472,'Neraca Unaudited SIMAK'!$A$2:$R$1272,8,FALSE)+IF(ISNA(VLOOKUP($A472,'Mutasi Neraca'!$A$3:$S$910,8,FALSE)),0,VLOOKUP($A472,'Mutasi Neraca'!$A$3:$S$910,8,FALSE))</f>
        <v>55063640</v>
      </c>
      <c r="J472" s="42">
        <f>VLOOKUP($A472,'Neraca Unaudited SIMAK'!$A$2:$R$1272,9,FALSE)+IF(ISNA(VLOOKUP($A472,'Mutasi Neraca'!$A$3:$S$910,9,FALSE)),0,VLOOKUP($A472,'Mutasi Neraca'!$A$3:$S$910,9,FALSE))</f>
        <v>0</v>
      </c>
      <c r="K472" s="42">
        <f>VLOOKUP($A472,'Neraca Unaudited SIMAK'!$A$2:$R$1272,10,FALSE)+IF(ISNA(VLOOKUP($A472,'Mutasi Neraca'!$A$3:$S$910,10,FALSE)),0,VLOOKUP($A472,'Mutasi Neraca'!$A$3:$S$910,10,FALSE))</f>
        <v>0</v>
      </c>
      <c r="L472" s="42">
        <f>VLOOKUP($A472,'Neraca Unaudited SIMAK'!$A$2:$R$1272,11,FALSE)+IF(ISNA(VLOOKUP($A472,'Mutasi Neraca'!$A$3:$S$910,11,FALSE)),0,VLOOKUP($A472,'Mutasi Neraca'!$A$3:$S$910,11,FALSE))</f>
        <v>36804000</v>
      </c>
      <c r="M472" s="42">
        <f>VLOOKUP($A472,'Neraca Unaudited SIMAK'!$A$2:$R$1272,12,FALSE)+IF(ISNA(VLOOKUP($A472,'Mutasi Neraca'!$A$3:$S$910,12,FALSE)),0,VLOOKUP($A472,'Mutasi Neraca'!$A$3:$S$910,12,FALSE))</f>
        <v>7714385725</v>
      </c>
      <c r="N472" s="42">
        <f>VLOOKUP($A472,'Neraca Unaudited SIMAK'!$A$2:$R$1272,13,FALSE)+IF(ISNA(VLOOKUP($A472,'Mutasi Neraca'!$A$3:$S$910,13,FALSE)),0,VLOOKUP($A472,'Mutasi Neraca'!$A$3:$S$910,13,FALSE))</f>
        <v>-1060793552</v>
      </c>
      <c r="O472" s="42">
        <f>VLOOKUP($A472,'Neraca Unaudited SIMAK'!$A$2:$R$1272,14,FALSE)+IF(ISNA(VLOOKUP($A472,'Mutasi Neraca'!$A$3:$S$910,14,FALSE)),0,VLOOKUP($A472,'Mutasi Neraca'!$A$3:$S$910,14,FALSE))</f>
        <v>-986123306</v>
      </c>
      <c r="P472" s="42">
        <f>VLOOKUP($A472,'Neraca Unaudited SIMAK'!$A$2:$R$1272,15,FALSE)+IF(ISNA(VLOOKUP($A472,'Mutasi Neraca'!$A$3:$S$910,15,FALSE)),0,VLOOKUP($A472,'Mutasi Neraca'!$A$3:$S$910,15,FALSE))</f>
        <v>0</v>
      </c>
      <c r="Q472" s="42">
        <f>VLOOKUP($A472,'Neraca Unaudited SIMAK'!$A$2:$R$1272,16,FALSE)+IF(ISNA(VLOOKUP($A472,'Mutasi Neraca'!$A$3:$S$910,16,FALSE)),0,VLOOKUP($A472,'Mutasi Neraca'!$A$3:$S$910,16,FALSE))</f>
        <v>0</v>
      </c>
      <c r="R472" s="42">
        <f>VLOOKUP($A472,'Neraca Unaudited SIMAK'!$A$2:$R$1272,17,FALSE)+IF(ISNA(VLOOKUP($A472,'Mutasi Neraca'!$A$3:$S$910,17,FALSE)),0,VLOOKUP($A472,'Mutasi Neraca'!$A$3:$S$910,17,FALSE))</f>
        <v>-36804000</v>
      </c>
      <c r="S472" s="42">
        <f t="shared" si="57"/>
        <v>5630664867</v>
      </c>
    </row>
    <row r="473" spans="1:19">
      <c r="A473" s="41" t="s">
        <v>480</v>
      </c>
      <c r="B473" s="41" t="str">
        <f t="shared" si="56"/>
        <v>005011400</v>
      </c>
      <c r="D473" s="42">
        <f>VLOOKUP($A473,'Neraca Unaudited SIMAK'!$A$2:$R$1272,3,FALSE)+IF(ISNA(VLOOKUP($A473,'Mutasi Neraca'!$A$3:$S$910,3,FALSE)),0,VLOOKUP($A473,'Mutasi Neraca'!$A$3:$S$910,3,FALSE))</f>
        <v>943769</v>
      </c>
      <c r="E473" s="42">
        <f>VLOOKUP($A473,'Neraca Unaudited SIMAK'!$A$2:$R$1272,4,FALSE)+IF(ISNA(VLOOKUP($A473,'Mutasi Neraca'!$A$3:$S$910,4,FALSE)),0,VLOOKUP($A473,'Mutasi Neraca'!$A$3:$S$910,4,FALSE))</f>
        <v>4613034300</v>
      </c>
      <c r="F473" s="42">
        <f>VLOOKUP($A473,'Neraca Unaudited SIMAK'!$A$2:$R$1272,5,FALSE)+IF(ISNA(VLOOKUP($A473,'Mutasi Neraca'!$A$3:$S$910,5,FALSE)),0,VLOOKUP($A473,'Mutasi Neraca'!$A$3:$S$910,5,FALSE))</f>
        <v>884394426</v>
      </c>
      <c r="G473" s="42">
        <f>VLOOKUP($A473,'Neraca Unaudited SIMAK'!$A$2:$R$1272,6,FALSE)+IF(ISNA(VLOOKUP($A473,'Mutasi Neraca'!$A$3:$S$910,6,FALSE)),0,VLOOKUP($A473,'Mutasi Neraca'!$A$3:$S$910,6,FALSE))</f>
        <v>4800768363</v>
      </c>
      <c r="H473" s="42">
        <f>VLOOKUP($A473,'Neraca Unaudited SIMAK'!$A$2:$R$1272,7,FALSE)+IF(ISNA(VLOOKUP($A473,'Mutasi Neraca'!$A$3:$S$910,7,FALSE)),0,VLOOKUP($A473,'Mutasi Neraca'!$A$3:$S$910,7,FALSE))</f>
        <v>0</v>
      </c>
      <c r="I473" s="42">
        <f>VLOOKUP($A473,'Neraca Unaudited SIMAK'!$A$2:$R$1272,8,FALSE)+IF(ISNA(VLOOKUP($A473,'Mutasi Neraca'!$A$3:$S$910,8,FALSE)),0,VLOOKUP($A473,'Mutasi Neraca'!$A$3:$S$910,8,FALSE))</f>
        <v>4626840</v>
      </c>
      <c r="J473" s="42">
        <f>VLOOKUP($A473,'Neraca Unaudited SIMAK'!$A$2:$R$1272,9,FALSE)+IF(ISNA(VLOOKUP($A473,'Mutasi Neraca'!$A$3:$S$910,9,FALSE)),0,VLOOKUP($A473,'Mutasi Neraca'!$A$3:$S$910,9,FALSE))</f>
        <v>0</v>
      </c>
      <c r="K473" s="42">
        <f>VLOOKUP($A473,'Neraca Unaudited SIMAK'!$A$2:$R$1272,10,FALSE)+IF(ISNA(VLOOKUP($A473,'Mutasi Neraca'!$A$3:$S$910,10,FALSE)),0,VLOOKUP($A473,'Mutasi Neraca'!$A$3:$S$910,10,FALSE))</f>
        <v>0</v>
      </c>
      <c r="L473" s="42">
        <f>VLOOKUP($A473,'Neraca Unaudited SIMAK'!$A$2:$R$1272,11,FALSE)+IF(ISNA(VLOOKUP($A473,'Mutasi Neraca'!$A$3:$S$910,11,FALSE)),0,VLOOKUP($A473,'Mutasi Neraca'!$A$3:$S$910,11,FALSE))</f>
        <v>589704400</v>
      </c>
      <c r="M473" s="42">
        <f>VLOOKUP($A473,'Neraca Unaudited SIMAK'!$A$2:$R$1272,12,FALSE)+IF(ISNA(VLOOKUP($A473,'Mutasi Neraca'!$A$3:$S$910,12,FALSE)),0,VLOOKUP($A473,'Mutasi Neraca'!$A$3:$S$910,12,FALSE))</f>
        <v>10893472098</v>
      </c>
      <c r="N473" s="42">
        <f>VLOOKUP($A473,'Neraca Unaudited SIMAK'!$A$2:$R$1272,13,FALSE)+IF(ISNA(VLOOKUP($A473,'Mutasi Neraca'!$A$3:$S$910,13,FALSE)),0,VLOOKUP($A473,'Mutasi Neraca'!$A$3:$S$910,13,FALSE))</f>
        <v>-644755876</v>
      </c>
      <c r="O473" s="42">
        <f>VLOOKUP($A473,'Neraca Unaudited SIMAK'!$A$2:$R$1272,14,FALSE)+IF(ISNA(VLOOKUP($A473,'Mutasi Neraca'!$A$3:$S$910,14,FALSE)),0,VLOOKUP($A473,'Mutasi Neraca'!$A$3:$S$910,14,FALSE))</f>
        <v>-1293068741</v>
      </c>
      <c r="P473" s="42">
        <f>VLOOKUP($A473,'Neraca Unaudited SIMAK'!$A$2:$R$1272,15,FALSE)+IF(ISNA(VLOOKUP($A473,'Mutasi Neraca'!$A$3:$S$910,15,FALSE)),0,VLOOKUP($A473,'Mutasi Neraca'!$A$3:$S$910,15,FALSE))</f>
        <v>0</v>
      </c>
      <c r="Q473" s="42">
        <f>VLOOKUP($A473,'Neraca Unaudited SIMAK'!$A$2:$R$1272,16,FALSE)+IF(ISNA(VLOOKUP($A473,'Mutasi Neraca'!$A$3:$S$910,16,FALSE)),0,VLOOKUP($A473,'Mutasi Neraca'!$A$3:$S$910,16,FALSE))</f>
        <v>0</v>
      </c>
      <c r="R473" s="42">
        <f>VLOOKUP($A473,'Neraca Unaudited SIMAK'!$A$2:$R$1272,17,FALSE)+IF(ISNA(VLOOKUP($A473,'Mutasi Neraca'!$A$3:$S$910,17,FALSE)),0,VLOOKUP($A473,'Mutasi Neraca'!$A$3:$S$910,17,FALSE))</f>
        <v>-559129400</v>
      </c>
      <c r="S473" s="42">
        <f t="shared" si="57"/>
        <v>8396518081</v>
      </c>
    </row>
    <row r="474" spans="1:19">
      <c r="A474" s="41" t="s">
        <v>481</v>
      </c>
      <c r="B474" s="41" t="str">
        <f t="shared" si="56"/>
        <v>005011400</v>
      </c>
      <c r="D474" s="42">
        <f>VLOOKUP($A474,'Neraca Unaudited SIMAK'!$A$2:$R$1272,3,FALSE)+IF(ISNA(VLOOKUP($A474,'Mutasi Neraca'!$A$3:$S$910,3,FALSE)),0,VLOOKUP($A474,'Mutasi Neraca'!$A$3:$S$910,3,FALSE))</f>
        <v>2366200</v>
      </c>
      <c r="E474" s="42">
        <f>VLOOKUP($A474,'Neraca Unaudited SIMAK'!$A$2:$R$1272,4,FALSE)+IF(ISNA(VLOOKUP($A474,'Mutasi Neraca'!$A$3:$S$910,4,FALSE)),0,VLOOKUP($A474,'Mutasi Neraca'!$A$3:$S$910,4,FALSE))</f>
        <v>4927626544</v>
      </c>
      <c r="F474" s="42">
        <f>VLOOKUP($A474,'Neraca Unaudited SIMAK'!$A$2:$R$1272,5,FALSE)+IF(ISNA(VLOOKUP($A474,'Mutasi Neraca'!$A$3:$S$910,5,FALSE)),0,VLOOKUP($A474,'Mutasi Neraca'!$A$3:$S$910,5,FALSE))</f>
        <v>2615093870</v>
      </c>
      <c r="G474" s="42">
        <f>VLOOKUP($A474,'Neraca Unaudited SIMAK'!$A$2:$R$1272,6,FALSE)+IF(ISNA(VLOOKUP($A474,'Mutasi Neraca'!$A$3:$S$910,6,FALSE)),0,VLOOKUP($A474,'Mutasi Neraca'!$A$3:$S$910,6,FALSE))</f>
        <v>9136083379</v>
      </c>
      <c r="H474" s="42">
        <f>VLOOKUP($A474,'Neraca Unaudited SIMAK'!$A$2:$R$1272,7,FALSE)+IF(ISNA(VLOOKUP($A474,'Mutasi Neraca'!$A$3:$S$910,7,FALSE)),0,VLOOKUP($A474,'Mutasi Neraca'!$A$3:$S$910,7,FALSE))</f>
        <v>0</v>
      </c>
      <c r="I474" s="42">
        <f>VLOOKUP($A474,'Neraca Unaudited SIMAK'!$A$2:$R$1272,8,FALSE)+IF(ISNA(VLOOKUP($A474,'Mutasi Neraca'!$A$3:$S$910,8,FALSE)),0,VLOOKUP($A474,'Mutasi Neraca'!$A$3:$S$910,8,FALSE))</f>
        <v>30759488</v>
      </c>
      <c r="J474" s="42">
        <f>VLOOKUP($A474,'Neraca Unaudited SIMAK'!$A$2:$R$1272,9,FALSE)+IF(ISNA(VLOOKUP($A474,'Mutasi Neraca'!$A$3:$S$910,9,FALSE)),0,VLOOKUP($A474,'Mutasi Neraca'!$A$3:$S$910,9,FALSE))</f>
        <v>0</v>
      </c>
      <c r="K474" s="42">
        <f>VLOOKUP($A474,'Neraca Unaudited SIMAK'!$A$2:$R$1272,10,FALSE)+IF(ISNA(VLOOKUP($A474,'Mutasi Neraca'!$A$3:$S$910,10,FALSE)),0,VLOOKUP($A474,'Mutasi Neraca'!$A$3:$S$910,10,FALSE))</f>
        <v>29818425</v>
      </c>
      <c r="L474" s="42">
        <f>VLOOKUP($A474,'Neraca Unaudited SIMAK'!$A$2:$R$1272,11,FALSE)+IF(ISNA(VLOOKUP($A474,'Mutasi Neraca'!$A$3:$S$910,11,FALSE)),0,VLOOKUP($A474,'Mutasi Neraca'!$A$3:$S$910,11,FALSE))</f>
        <v>8817000</v>
      </c>
      <c r="M474" s="42">
        <f>VLOOKUP($A474,'Neraca Unaudited SIMAK'!$A$2:$R$1272,12,FALSE)+IF(ISNA(VLOOKUP($A474,'Mutasi Neraca'!$A$3:$S$910,12,FALSE)),0,VLOOKUP($A474,'Mutasi Neraca'!$A$3:$S$910,12,FALSE))</f>
        <v>16750564906</v>
      </c>
      <c r="N474" s="42">
        <f>VLOOKUP($A474,'Neraca Unaudited SIMAK'!$A$2:$R$1272,13,FALSE)+IF(ISNA(VLOOKUP($A474,'Mutasi Neraca'!$A$3:$S$910,13,FALSE)),0,VLOOKUP($A474,'Mutasi Neraca'!$A$3:$S$910,13,FALSE))</f>
        <v>-2295726087</v>
      </c>
      <c r="O474" s="42">
        <f>VLOOKUP($A474,'Neraca Unaudited SIMAK'!$A$2:$R$1272,14,FALSE)+IF(ISNA(VLOOKUP($A474,'Mutasi Neraca'!$A$3:$S$910,14,FALSE)),0,VLOOKUP($A474,'Mutasi Neraca'!$A$3:$S$910,14,FALSE))</f>
        <v>-1913040727</v>
      </c>
      <c r="P474" s="42">
        <f>VLOOKUP($A474,'Neraca Unaudited SIMAK'!$A$2:$R$1272,15,FALSE)+IF(ISNA(VLOOKUP($A474,'Mutasi Neraca'!$A$3:$S$910,15,FALSE)),0,VLOOKUP($A474,'Mutasi Neraca'!$A$3:$S$910,15,FALSE))</f>
        <v>0</v>
      </c>
      <c r="Q474" s="42">
        <f>VLOOKUP($A474,'Neraca Unaudited SIMAK'!$A$2:$R$1272,16,FALSE)+IF(ISNA(VLOOKUP($A474,'Mutasi Neraca'!$A$3:$S$910,16,FALSE)),0,VLOOKUP($A474,'Mutasi Neraca'!$A$3:$S$910,16,FALSE))</f>
        <v>0</v>
      </c>
      <c r="R474" s="42">
        <f>VLOOKUP($A474,'Neraca Unaudited SIMAK'!$A$2:$R$1272,17,FALSE)+IF(ISNA(VLOOKUP($A474,'Mutasi Neraca'!$A$3:$S$910,17,FALSE)),0,VLOOKUP($A474,'Mutasi Neraca'!$A$3:$S$910,17,FALSE))</f>
        <v>-8817000</v>
      </c>
      <c r="S474" s="42">
        <f t="shared" si="57"/>
        <v>12532981092</v>
      </c>
    </row>
    <row r="475" spans="1:19">
      <c r="A475" s="41" t="s">
        <v>482</v>
      </c>
      <c r="B475" s="41" t="str">
        <f t="shared" si="56"/>
        <v>005011400</v>
      </c>
      <c r="D475" s="42">
        <f>VLOOKUP($A475,'Neraca Unaudited SIMAK'!$A$2:$R$1272,3,FALSE)+IF(ISNA(VLOOKUP($A475,'Mutasi Neraca'!$A$3:$S$910,3,FALSE)),0,VLOOKUP($A475,'Mutasi Neraca'!$A$3:$S$910,3,FALSE))</f>
        <v>2748000</v>
      </c>
      <c r="E475" s="42">
        <f>VLOOKUP($A475,'Neraca Unaudited SIMAK'!$A$2:$R$1272,4,FALSE)+IF(ISNA(VLOOKUP($A475,'Mutasi Neraca'!$A$3:$S$910,4,FALSE)),0,VLOOKUP($A475,'Mutasi Neraca'!$A$3:$S$910,4,FALSE))</f>
        <v>1494282000</v>
      </c>
      <c r="F475" s="42">
        <f>VLOOKUP($A475,'Neraca Unaudited SIMAK'!$A$2:$R$1272,5,FALSE)+IF(ISNA(VLOOKUP($A475,'Mutasi Neraca'!$A$3:$S$910,5,FALSE)),0,VLOOKUP($A475,'Mutasi Neraca'!$A$3:$S$910,5,FALSE))</f>
        <v>1533531375</v>
      </c>
      <c r="G475" s="42">
        <f>VLOOKUP($A475,'Neraca Unaudited SIMAK'!$A$2:$R$1272,6,FALSE)+IF(ISNA(VLOOKUP($A475,'Mutasi Neraca'!$A$3:$S$910,6,FALSE)),0,VLOOKUP($A475,'Mutasi Neraca'!$A$3:$S$910,6,FALSE))</f>
        <v>3169666600</v>
      </c>
      <c r="H475" s="42">
        <f>VLOOKUP($A475,'Neraca Unaudited SIMAK'!$A$2:$R$1272,7,FALSE)+IF(ISNA(VLOOKUP($A475,'Mutasi Neraca'!$A$3:$S$910,7,FALSE)),0,VLOOKUP($A475,'Mutasi Neraca'!$A$3:$S$910,7,FALSE))</f>
        <v>43985000</v>
      </c>
      <c r="I475" s="42">
        <f>VLOOKUP($A475,'Neraca Unaudited SIMAK'!$A$2:$R$1272,8,FALSE)+IF(ISNA(VLOOKUP($A475,'Mutasi Neraca'!$A$3:$S$910,8,FALSE)),0,VLOOKUP($A475,'Mutasi Neraca'!$A$3:$S$910,8,FALSE))</f>
        <v>8739500</v>
      </c>
      <c r="J475" s="42">
        <f>VLOOKUP($A475,'Neraca Unaudited SIMAK'!$A$2:$R$1272,9,FALSE)+IF(ISNA(VLOOKUP($A475,'Mutasi Neraca'!$A$3:$S$910,9,FALSE)),0,VLOOKUP($A475,'Mutasi Neraca'!$A$3:$S$910,9,FALSE))</f>
        <v>0</v>
      </c>
      <c r="K475" s="42">
        <f>VLOOKUP($A475,'Neraca Unaudited SIMAK'!$A$2:$R$1272,10,FALSE)+IF(ISNA(VLOOKUP($A475,'Mutasi Neraca'!$A$3:$S$910,10,FALSE)),0,VLOOKUP($A475,'Mutasi Neraca'!$A$3:$S$910,10,FALSE))</f>
        <v>29100000</v>
      </c>
      <c r="L475" s="42">
        <f>VLOOKUP($A475,'Neraca Unaudited SIMAK'!$A$2:$R$1272,11,FALSE)+IF(ISNA(VLOOKUP($A475,'Mutasi Neraca'!$A$3:$S$910,11,FALSE)),0,VLOOKUP($A475,'Mutasi Neraca'!$A$3:$S$910,11,FALSE))</f>
        <v>41134915</v>
      </c>
      <c r="M475" s="42">
        <f>VLOOKUP($A475,'Neraca Unaudited SIMAK'!$A$2:$R$1272,12,FALSE)+IF(ISNA(VLOOKUP($A475,'Mutasi Neraca'!$A$3:$S$910,12,FALSE)),0,VLOOKUP($A475,'Mutasi Neraca'!$A$3:$S$910,12,FALSE))</f>
        <v>6323187390</v>
      </c>
      <c r="N475" s="42">
        <f>VLOOKUP($A475,'Neraca Unaudited SIMAK'!$A$2:$R$1272,13,FALSE)+IF(ISNA(VLOOKUP($A475,'Mutasi Neraca'!$A$3:$S$910,13,FALSE)),0,VLOOKUP($A475,'Mutasi Neraca'!$A$3:$S$910,13,FALSE))</f>
        <v>-1158636928</v>
      </c>
      <c r="O475" s="42">
        <f>VLOOKUP($A475,'Neraca Unaudited SIMAK'!$A$2:$R$1272,14,FALSE)+IF(ISNA(VLOOKUP($A475,'Mutasi Neraca'!$A$3:$S$910,14,FALSE)),0,VLOOKUP($A475,'Mutasi Neraca'!$A$3:$S$910,14,FALSE))</f>
        <v>-575464963</v>
      </c>
      <c r="P475" s="42">
        <f>VLOOKUP($A475,'Neraca Unaudited SIMAK'!$A$2:$R$1272,15,FALSE)+IF(ISNA(VLOOKUP($A475,'Mutasi Neraca'!$A$3:$S$910,15,FALSE)),0,VLOOKUP($A475,'Mutasi Neraca'!$A$3:$S$910,15,FALSE))</f>
        <v>-39586500</v>
      </c>
      <c r="Q475" s="42">
        <f>VLOOKUP($A475,'Neraca Unaudited SIMAK'!$A$2:$R$1272,16,FALSE)+IF(ISNA(VLOOKUP($A475,'Mutasi Neraca'!$A$3:$S$910,16,FALSE)),0,VLOOKUP($A475,'Mutasi Neraca'!$A$3:$S$910,16,FALSE))</f>
        <v>0</v>
      </c>
      <c r="R475" s="42">
        <f>VLOOKUP($A475,'Neraca Unaudited SIMAK'!$A$2:$R$1272,17,FALSE)+IF(ISNA(VLOOKUP($A475,'Mutasi Neraca'!$A$3:$S$910,17,FALSE)),0,VLOOKUP($A475,'Mutasi Neraca'!$A$3:$S$910,17,FALSE))</f>
        <v>-40534915</v>
      </c>
      <c r="S475" s="42">
        <f t="shared" si="57"/>
        <v>4508964084</v>
      </c>
    </row>
    <row r="476" spans="1:19">
      <c r="A476" s="41" t="s">
        <v>483</v>
      </c>
      <c r="B476" s="41" t="str">
        <f t="shared" si="56"/>
        <v>005011400</v>
      </c>
      <c r="D476" s="42">
        <f>VLOOKUP($A476,'Neraca Unaudited SIMAK'!$A$2:$R$1272,3,FALSE)+IF(ISNA(VLOOKUP($A476,'Mutasi Neraca'!$A$3:$S$910,3,FALSE)),0,VLOOKUP($A476,'Mutasi Neraca'!$A$3:$S$910,3,FALSE))</f>
        <v>0</v>
      </c>
      <c r="E476" s="42">
        <f>VLOOKUP($A476,'Neraca Unaudited SIMAK'!$A$2:$R$1272,4,FALSE)+IF(ISNA(VLOOKUP($A476,'Mutasi Neraca'!$A$3:$S$910,4,FALSE)),0,VLOOKUP($A476,'Mutasi Neraca'!$A$3:$S$910,4,FALSE))</f>
        <v>1616454000</v>
      </c>
      <c r="F476" s="42">
        <f>VLOOKUP($A476,'Neraca Unaudited SIMAK'!$A$2:$R$1272,5,FALSE)+IF(ISNA(VLOOKUP($A476,'Mutasi Neraca'!$A$3:$S$910,5,FALSE)),0,VLOOKUP($A476,'Mutasi Neraca'!$A$3:$S$910,5,FALSE))</f>
        <v>714273782</v>
      </c>
      <c r="G476" s="42">
        <f>VLOOKUP($A476,'Neraca Unaudited SIMAK'!$A$2:$R$1272,6,FALSE)+IF(ISNA(VLOOKUP($A476,'Mutasi Neraca'!$A$3:$S$910,6,FALSE)),0,VLOOKUP($A476,'Mutasi Neraca'!$A$3:$S$910,6,FALSE))</f>
        <v>2876749850</v>
      </c>
      <c r="H476" s="42">
        <f>VLOOKUP($A476,'Neraca Unaudited SIMAK'!$A$2:$R$1272,7,FALSE)+IF(ISNA(VLOOKUP($A476,'Mutasi Neraca'!$A$3:$S$910,7,FALSE)),0,VLOOKUP($A476,'Mutasi Neraca'!$A$3:$S$910,7,FALSE))</f>
        <v>409390000</v>
      </c>
      <c r="I476" s="42">
        <f>VLOOKUP($A476,'Neraca Unaudited SIMAK'!$A$2:$R$1272,8,FALSE)+IF(ISNA(VLOOKUP($A476,'Mutasi Neraca'!$A$3:$S$910,8,FALSE)),0,VLOOKUP($A476,'Mutasi Neraca'!$A$3:$S$910,8,FALSE))</f>
        <v>23532000</v>
      </c>
      <c r="J476" s="42">
        <f>VLOOKUP($A476,'Neraca Unaudited SIMAK'!$A$2:$R$1272,9,FALSE)+IF(ISNA(VLOOKUP($A476,'Mutasi Neraca'!$A$3:$S$910,9,FALSE)),0,VLOOKUP($A476,'Mutasi Neraca'!$A$3:$S$910,9,FALSE))</f>
        <v>0</v>
      </c>
      <c r="K476" s="42">
        <f>VLOOKUP($A476,'Neraca Unaudited SIMAK'!$A$2:$R$1272,10,FALSE)+IF(ISNA(VLOOKUP($A476,'Mutasi Neraca'!$A$3:$S$910,10,FALSE)),0,VLOOKUP($A476,'Mutasi Neraca'!$A$3:$S$910,10,FALSE))</f>
        <v>3000000</v>
      </c>
      <c r="L476" s="42">
        <f>VLOOKUP($A476,'Neraca Unaudited SIMAK'!$A$2:$R$1272,11,FALSE)+IF(ISNA(VLOOKUP($A476,'Mutasi Neraca'!$A$3:$S$910,11,FALSE)),0,VLOOKUP($A476,'Mutasi Neraca'!$A$3:$S$910,11,FALSE))</f>
        <v>2096000</v>
      </c>
      <c r="M476" s="42">
        <f>VLOOKUP($A476,'Neraca Unaudited SIMAK'!$A$2:$R$1272,12,FALSE)+IF(ISNA(VLOOKUP($A476,'Mutasi Neraca'!$A$3:$S$910,12,FALSE)),0,VLOOKUP($A476,'Mutasi Neraca'!$A$3:$S$910,12,FALSE))</f>
        <v>5645495632</v>
      </c>
      <c r="N476" s="42">
        <f>VLOOKUP($A476,'Neraca Unaudited SIMAK'!$A$2:$R$1272,13,FALSE)+IF(ISNA(VLOOKUP($A476,'Mutasi Neraca'!$A$3:$S$910,13,FALSE)),0,VLOOKUP($A476,'Mutasi Neraca'!$A$3:$S$910,13,FALSE))</f>
        <v>-588057292</v>
      </c>
      <c r="O476" s="42">
        <f>VLOOKUP($A476,'Neraca Unaudited SIMAK'!$A$2:$R$1272,14,FALSE)+IF(ISNA(VLOOKUP($A476,'Mutasi Neraca'!$A$3:$S$910,14,FALSE)),0,VLOOKUP($A476,'Mutasi Neraca'!$A$3:$S$910,14,FALSE))</f>
        <v>-441835695</v>
      </c>
      <c r="P476" s="42">
        <f>VLOOKUP($A476,'Neraca Unaudited SIMAK'!$A$2:$R$1272,15,FALSE)+IF(ISNA(VLOOKUP($A476,'Mutasi Neraca'!$A$3:$S$910,15,FALSE)),0,VLOOKUP($A476,'Mutasi Neraca'!$A$3:$S$910,15,FALSE))</f>
        <v>-266103500</v>
      </c>
      <c r="Q476" s="42">
        <f>VLOOKUP($A476,'Neraca Unaudited SIMAK'!$A$2:$R$1272,16,FALSE)+IF(ISNA(VLOOKUP($A476,'Mutasi Neraca'!$A$3:$S$910,16,FALSE)),0,VLOOKUP($A476,'Mutasi Neraca'!$A$3:$S$910,16,FALSE))</f>
        <v>0</v>
      </c>
      <c r="R476" s="42">
        <f>VLOOKUP($A476,'Neraca Unaudited SIMAK'!$A$2:$R$1272,17,FALSE)+IF(ISNA(VLOOKUP($A476,'Mutasi Neraca'!$A$3:$S$910,17,FALSE)),0,VLOOKUP($A476,'Mutasi Neraca'!$A$3:$S$910,17,FALSE))</f>
        <v>-2096000</v>
      </c>
      <c r="S476" s="42">
        <f t="shared" si="57"/>
        <v>4347403145</v>
      </c>
    </row>
    <row r="477" spans="1:19">
      <c r="A477" s="41" t="s">
        <v>484</v>
      </c>
      <c r="B477" s="41" t="str">
        <f t="shared" si="56"/>
        <v>005011400</v>
      </c>
      <c r="D477" s="42">
        <f>VLOOKUP($A477,'Neraca Unaudited SIMAK'!$A$2:$R$1272,3,FALSE)+IF(ISNA(VLOOKUP($A477,'Mutasi Neraca'!$A$3:$S$910,3,FALSE)),0,VLOOKUP($A477,'Mutasi Neraca'!$A$3:$S$910,3,FALSE))</f>
        <v>5374500</v>
      </c>
      <c r="E477" s="42">
        <f>VLOOKUP($A477,'Neraca Unaudited SIMAK'!$A$2:$R$1272,4,FALSE)+IF(ISNA(VLOOKUP($A477,'Mutasi Neraca'!$A$3:$S$910,4,FALSE)),0,VLOOKUP($A477,'Mutasi Neraca'!$A$3:$S$910,4,FALSE))</f>
        <v>330930000</v>
      </c>
      <c r="F477" s="42">
        <f>VLOOKUP($A477,'Neraca Unaudited SIMAK'!$A$2:$R$1272,5,FALSE)+IF(ISNA(VLOOKUP($A477,'Mutasi Neraca'!$A$3:$S$910,5,FALSE)),0,VLOOKUP($A477,'Mutasi Neraca'!$A$3:$S$910,5,FALSE))</f>
        <v>892140542</v>
      </c>
      <c r="G477" s="42">
        <f>VLOOKUP($A477,'Neraca Unaudited SIMAK'!$A$2:$R$1272,6,FALSE)+IF(ISNA(VLOOKUP($A477,'Mutasi Neraca'!$A$3:$S$910,6,FALSE)),0,VLOOKUP($A477,'Mutasi Neraca'!$A$3:$S$910,6,FALSE))</f>
        <v>358096900</v>
      </c>
      <c r="H477" s="42">
        <f>VLOOKUP($A477,'Neraca Unaudited SIMAK'!$A$2:$R$1272,7,FALSE)+IF(ISNA(VLOOKUP($A477,'Mutasi Neraca'!$A$3:$S$910,7,FALSE)),0,VLOOKUP($A477,'Mutasi Neraca'!$A$3:$S$910,7,FALSE))</f>
        <v>0</v>
      </c>
      <c r="I477" s="42">
        <f>VLOOKUP($A477,'Neraca Unaudited SIMAK'!$A$2:$R$1272,8,FALSE)+IF(ISNA(VLOOKUP($A477,'Mutasi Neraca'!$A$3:$S$910,8,FALSE)),0,VLOOKUP($A477,'Mutasi Neraca'!$A$3:$S$910,8,FALSE))</f>
        <v>1342920</v>
      </c>
      <c r="J477" s="42">
        <f>VLOOKUP($A477,'Neraca Unaudited SIMAK'!$A$2:$R$1272,9,FALSE)+IF(ISNA(VLOOKUP($A477,'Mutasi Neraca'!$A$3:$S$910,9,FALSE)),0,VLOOKUP($A477,'Mutasi Neraca'!$A$3:$S$910,9,FALSE))</f>
        <v>9614309000</v>
      </c>
      <c r="K477" s="42">
        <f>VLOOKUP($A477,'Neraca Unaudited SIMAK'!$A$2:$R$1272,10,FALSE)+IF(ISNA(VLOOKUP($A477,'Mutasi Neraca'!$A$3:$S$910,10,FALSE)),0,VLOOKUP($A477,'Mutasi Neraca'!$A$3:$S$910,10,FALSE))</f>
        <v>0</v>
      </c>
      <c r="L477" s="42">
        <f>VLOOKUP($A477,'Neraca Unaudited SIMAK'!$A$2:$R$1272,11,FALSE)+IF(ISNA(VLOOKUP($A477,'Mutasi Neraca'!$A$3:$S$910,11,FALSE)),0,VLOOKUP($A477,'Mutasi Neraca'!$A$3:$S$910,11,FALSE))</f>
        <v>74575000</v>
      </c>
      <c r="M477" s="42">
        <f>VLOOKUP($A477,'Neraca Unaudited SIMAK'!$A$2:$R$1272,12,FALSE)+IF(ISNA(VLOOKUP($A477,'Mutasi Neraca'!$A$3:$S$910,12,FALSE)),0,VLOOKUP($A477,'Mutasi Neraca'!$A$3:$S$910,12,FALSE))</f>
        <v>11276768862</v>
      </c>
      <c r="N477" s="42">
        <f>VLOOKUP($A477,'Neraca Unaudited SIMAK'!$A$2:$R$1272,13,FALSE)+IF(ISNA(VLOOKUP($A477,'Mutasi Neraca'!$A$3:$S$910,13,FALSE)),0,VLOOKUP($A477,'Mutasi Neraca'!$A$3:$S$910,13,FALSE))</f>
        <v>-692794072</v>
      </c>
      <c r="O477" s="42">
        <f>VLOOKUP($A477,'Neraca Unaudited SIMAK'!$A$2:$R$1272,14,FALSE)+IF(ISNA(VLOOKUP($A477,'Mutasi Neraca'!$A$3:$S$910,14,FALSE)),0,VLOOKUP($A477,'Mutasi Neraca'!$A$3:$S$910,14,FALSE))</f>
        <v>-84508721</v>
      </c>
      <c r="P477" s="42">
        <f>VLOOKUP($A477,'Neraca Unaudited SIMAK'!$A$2:$R$1272,15,FALSE)+IF(ISNA(VLOOKUP($A477,'Mutasi Neraca'!$A$3:$S$910,15,FALSE)),0,VLOOKUP($A477,'Mutasi Neraca'!$A$3:$S$910,15,FALSE))</f>
        <v>0</v>
      </c>
      <c r="Q477" s="42">
        <f>VLOOKUP($A477,'Neraca Unaudited SIMAK'!$A$2:$R$1272,16,FALSE)+IF(ISNA(VLOOKUP($A477,'Mutasi Neraca'!$A$3:$S$910,16,FALSE)),0,VLOOKUP($A477,'Mutasi Neraca'!$A$3:$S$910,16,FALSE))</f>
        <v>0</v>
      </c>
      <c r="R477" s="42">
        <f>VLOOKUP($A477,'Neraca Unaudited SIMAK'!$A$2:$R$1272,17,FALSE)+IF(ISNA(VLOOKUP($A477,'Mutasi Neraca'!$A$3:$S$910,17,FALSE)),0,VLOOKUP($A477,'Mutasi Neraca'!$A$3:$S$910,17,FALSE))</f>
        <v>-74575000</v>
      </c>
      <c r="S477" s="42">
        <f t="shared" si="57"/>
        <v>10424891069</v>
      </c>
    </row>
    <row r="478" spans="1:19">
      <c r="A478" s="41" t="s">
        <v>485</v>
      </c>
      <c r="B478" s="41" t="str">
        <f t="shared" si="56"/>
        <v>005011400</v>
      </c>
      <c r="D478" s="42">
        <f>VLOOKUP($A478,'Neraca Unaudited SIMAK'!$A$2:$R$1272,3,FALSE)+IF(ISNA(VLOOKUP($A478,'Mutasi Neraca'!$A$3:$S$910,3,FALSE)),0,VLOOKUP($A478,'Mutasi Neraca'!$A$3:$S$910,3,FALSE))</f>
        <v>125900</v>
      </c>
      <c r="E478" s="42">
        <f>VLOOKUP($A478,'Neraca Unaudited SIMAK'!$A$2:$R$1272,4,FALSE)+IF(ISNA(VLOOKUP($A478,'Mutasi Neraca'!$A$3:$S$910,4,FALSE)),0,VLOOKUP($A478,'Mutasi Neraca'!$A$3:$S$910,4,FALSE))</f>
        <v>547475500</v>
      </c>
      <c r="F478" s="42">
        <f>VLOOKUP($A478,'Neraca Unaudited SIMAK'!$A$2:$R$1272,5,FALSE)+IF(ISNA(VLOOKUP($A478,'Mutasi Neraca'!$A$3:$S$910,5,FALSE)),0,VLOOKUP($A478,'Mutasi Neraca'!$A$3:$S$910,5,FALSE))</f>
        <v>693952516</v>
      </c>
      <c r="G478" s="42">
        <f>VLOOKUP($A478,'Neraca Unaudited SIMAK'!$A$2:$R$1272,6,FALSE)+IF(ISNA(VLOOKUP($A478,'Mutasi Neraca'!$A$3:$S$910,6,FALSE)),0,VLOOKUP($A478,'Mutasi Neraca'!$A$3:$S$910,6,FALSE))</f>
        <v>2944689950</v>
      </c>
      <c r="H478" s="42">
        <f>VLOOKUP($A478,'Neraca Unaudited SIMAK'!$A$2:$R$1272,7,FALSE)+IF(ISNA(VLOOKUP($A478,'Mutasi Neraca'!$A$3:$S$910,7,FALSE)),0,VLOOKUP($A478,'Mutasi Neraca'!$A$3:$S$910,7,FALSE))</f>
        <v>594353000</v>
      </c>
      <c r="I478" s="42">
        <f>VLOOKUP($A478,'Neraca Unaudited SIMAK'!$A$2:$R$1272,8,FALSE)+IF(ISNA(VLOOKUP($A478,'Mutasi Neraca'!$A$3:$S$910,8,FALSE)),0,VLOOKUP($A478,'Mutasi Neraca'!$A$3:$S$910,8,FALSE))</f>
        <v>30830820</v>
      </c>
      <c r="J478" s="42">
        <f>VLOOKUP($A478,'Neraca Unaudited SIMAK'!$A$2:$R$1272,9,FALSE)+IF(ISNA(VLOOKUP($A478,'Mutasi Neraca'!$A$3:$S$910,9,FALSE)),0,VLOOKUP($A478,'Mutasi Neraca'!$A$3:$S$910,9,FALSE))</f>
        <v>0</v>
      </c>
      <c r="K478" s="42">
        <f>VLOOKUP($A478,'Neraca Unaudited SIMAK'!$A$2:$R$1272,10,FALSE)+IF(ISNA(VLOOKUP($A478,'Mutasi Neraca'!$A$3:$S$910,10,FALSE)),0,VLOOKUP($A478,'Mutasi Neraca'!$A$3:$S$910,10,FALSE))</f>
        <v>7500000</v>
      </c>
      <c r="L478" s="42">
        <f>VLOOKUP($A478,'Neraca Unaudited SIMAK'!$A$2:$R$1272,11,FALSE)+IF(ISNA(VLOOKUP($A478,'Mutasi Neraca'!$A$3:$S$910,11,FALSE)),0,VLOOKUP($A478,'Mutasi Neraca'!$A$3:$S$910,11,FALSE))</f>
        <v>91240051</v>
      </c>
      <c r="M478" s="42">
        <f>VLOOKUP($A478,'Neraca Unaudited SIMAK'!$A$2:$R$1272,12,FALSE)+IF(ISNA(VLOOKUP($A478,'Mutasi Neraca'!$A$3:$S$910,12,FALSE)),0,VLOOKUP($A478,'Mutasi Neraca'!$A$3:$S$910,12,FALSE))</f>
        <v>4910167737</v>
      </c>
      <c r="N478" s="42">
        <f>VLOOKUP($A478,'Neraca Unaudited SIMAK'!$A$2:$R$1272,13,FALSE)+IF(ISNA(VLOOKUP($A478,'Mutasi Neraca'!$A$3:$S$910,13,FALSE)),0,VLOOKUP($A478,'Mutasi Neraca'!$A$3:$S$910,13,FALSE))</f>
        <v>-507852028</v>
      </c>
      <c r="O478" s="42">
        <f>VLOOKUP($A478,'Neraca Unaudited SIMAK'!$A$2:$R$1272,14,FALSE)+IF(ISNA(VLOOKUP($A478,'Mutasi Neraca'!$A$3:$S$910,14,FALSE)),0,VLOOKUP($A478,'Mutasi Neraca'!$A$3:$S$910,14,FALSE))</f>
        <v>-446732615</v>
      </c>
      <c r="P478" s="42">
        <f>VLOOKUP($A478,'Neraca Unaudited SIMAK'!$A$2:$R$1272,15,FALSE)+IF(ISNA(VLOOKUP($A478,'Mutasi Neraca'!$A$3:$S$910,15,FALSE)),0,VLOOKUP($A478,'Mutasi Neraca'!$A$3:$S$910,15,FALSE))</f>
        <v>-179475710</v>
      </c>
      <c r="Q478" s="42">
        <f>VLOOKUP($A478,'Neraca Unaudited SIMAK'!$A$2:$R$1272,16,FALSE)+IF(ISNA(VLOOKUP($A478,'Mutasi Neraca'!$A$3:$S$910,16,FALSE)),0,VLOOKUP($A478,'Mutasi Neraca'!$A$3:$S$910,16,FALSE))</f>
        <v>0</v>
      </c>
      <c r="R478" s="42">
        <f>VLOOKUP($A478,'Neraca Unaudited SIMAK'!$A$2:$R$1272,17,FALSE)+IF(ISNA(VLOOKUP($A478,'Mutasi Neraca'!$A$3:$S$910,17,FALSE)),0,VLOOKUP($A478,'Mutasi Neraca'!$A$3:$S$910,17,FALSE))</f>
        <v>-91240051</v>
      </c>
      <c r="S478" s="42">
        <f t="shared" si="57"/>
        <v>3684867333</v>
      </c>
    </row>
    <row r="479" spans="1:19">
      <c r="A479" s="41" t="s">
        <v>486</v>
      </c>
      <c r="B479" s="41" t="str">
        <f t="shared" si="56"/>
        <v>005011400</v>
      </c>
      <c r="D479" s="42">
        <f>VLOOKUP($A479,'Neraca Unaudited SIMAK'!$A$2:$R$1272,3,FALSE)+IF(ISNA(VLOOKUP($A479,'Mutasi Neraca'!$A$3:$S$910,3,FALSE)),0,VLOOKUP($A479,'Mutasi Neraca'!$A$3:$S$910,3,FALSE))</f>
        <v>392900</v>
      </c>
      <c r="E479" s="42">
        <f>VLOOKUP($A479,'Neraca Unaudited SIMAK'!$A$2:$R$1272,4,FALSE)+IF(ISNA(VLOOKUP($A479,'Mutasi Neraca'!$A$3:$S$910,4,FALSE)),0,VLOOKUP($A479,'Mutasi Neraca'!$A$3:$S$910,4,FALSE))</f>
        <v>689660000</v>
      </c>
      <c r="F479" s="42">
        <f>VLOOKUP($A479,'Neraca Unaudited SIMAK'!$A$2:$R$1272,5,FALSE)+IF(ISNA(VLOOKUP($A479,'Mutasi Neraca'!$A$3:$S$910,5,FALSE)),0,VLOOKUP($A479,'Mutasi Neraca'!$A$3:$S$910,5,FALSE))</f>
        <v>791886098</v>
      </c>
      <c r="G479" s="42">
        <f>VLOOKUP($A479,'Neraca Unaudited SIMAK'!$A$2:$R$1272,6,FALSE)+IF(ISNA(VLOOKUP($A479,'Mutasi Neraca'!$A$3:$S$910,6,FALSE)),0,VLOOKUP($A479,'Mutasi Neraca'!$A$3:$S$910,6,FALSE))</f>
        <v>9182556100</v>
      </c>
      <c r="H479" s="42">
        <f>VLOOKUP($A479,'Neraca Unaudited SIMAK'!$A$2:$R$1272,7,FALSE)+IF(ISNA(VLOOKUP($A479,'Mutasi Neraca'!$A$3:$S$910,7,FALSE)),0,VLOOKUP($A479,'Mutasi Neraca'!$A$3:$S$910,7,FALSE))</f>
        <v>0</v>
      </c>
      <c r="I479" s="42">
        <f>VLOOKUP($A479,'Neraca Unaudited SIMAK'!$A$2:$R$1272,8,FALSE)+IF(ISNA(VLOOKUP($A479,'Mutasi Neraca'!$A$3:$S$910,8,FALSE)),0,VLOOKUP($A479,'Mutasi Neraca'!$A$3:$S$910,8,FALSE))</f>
        <v>6961470</v>
      </c>
      <c r="J479" s="42">
        <f>VLOOKUP($A479,'Neraca Unaudited SIMAK'!$A$2:$R$1272,9,FALSE)+IF(ISNA(VLOOKUP($A479,'Mutasi Neraca'!$A$3:$S$910,9,FALSE)),0,VLOOKUP($A479,'Mutasi Neraca'!$A$3:$S$910,9,FALSE))</f>
        <v>0</v>
      </c>
      <c r="K479" s="42">
        <f>VLOOKUP($A479,'Neraca Unaudited SIMAK'!$A$2:$R$1272,10,FALSE)+IF(ISNA(VLOOKUP($A479,'Mutasi Neraca'!$A$3:$S$910,10,FALSE)),0,VLOOKUP($A479,'Mutasi Neraca'!$A$3:$S$910,10,FALSE))</f>
        <v>0</v>
      </c>
      <c r="L479" s="42">
        <f>VLOOKUP($A479,'Neraca Unaudited SIMAK'!$A$2:$R$1272,11,FALSE)+IF(ISNA(VLOOKUP($A479,'Mutasi Neraca'!$A$3:$S$910,11,FALSE)),0,VLOOKUP($A479,'Mutasi Neraca'!$A$3:$S$910,11,FALSE))</f>
        <v>3791000</v>
      </c>
      <c r="M479" s="42">
        <f>VLOOKUP($A479,'Neraca Unaudited SIMAK'!$A$2:$R$1272,12,FALSE)+IF(ISNA(VLOOKUP($A479,'Mutasi Neraca'!$A$3:$S$910,12,FALSE)),0,VLOOKUP($A479,'Mutasi Neraca'!$A$3:$S$910,12,FALSE))</f>
        <v>10675247568</v>
      </c>
      <c r="N479" s="42">
        <f>VLOOKUP($A479,'Neraca Unaudited SIMAK'!$A$2:$R$1272,13,FALSE)+IF(ISNA(VLOOKUP($A479,'Mutasi Neraca'!$A$3:$S$910,13,FALSE)),0,VLOOKUP($A479,'Mutasi Neraca'!$A$3:$S$910,13,FALSE))</f>
        <v>-621651628</v>
      </c>
      <c r="O479" s="42">
        <f>VLOOKUP($A479,'Neraca Unaudited SIMAK'!$A$2:$R$1272,14,FALSE)+IF(ISNA(VLOOKUP($A479,'Mutasi Neraca'!$A$3:$S$910,14,FALSE)),0,VLOOKUP($A479,'Mutasi Neraca'!$A$3:$S$910,14,FALSE))</f>
        <v>-878490385</v>
      </c>
      <c r="P479" s="42">
        <f>VLOOKUP($A479,'Neraca Unaudited SIMAK'!$A$2:$R$1272,15,FALSE)+IF(ISNA(VLOOKUP($A479,'Mutasi Neraca'!$A$3:$S$910,15,FALSE)),0,VLOOKUP($A479,'Mutasi Neraca'!$A$3:$S$910,15,FALSE))</f>
        <v>0</v>
      </c>
      <c r="Q479" s="42">
        <f>VLOOKUP($A479,'Neraca Unaudited SIMAK'!$A$2:$R$1272,16,FALSE)+IF(ISNA(VLOOKUP($A479,'Mutasi Neraca'!$A$3:$S$910,16,FALSE)),0,VLOOKUP($A479,'Mutasi Neraca'!$A$3:$S$910,16,FALSE))</f>
        <v>0</v>
      </c>
      <c r="R479" s="42">
        <f>VLOOKUP($A479,'Neraca Unaudited SIMAK'!$A$2:$R$1272,17,FALSE)+IF(ISNA(VLOOKUP($A479,'Mutasi Neraca'!$A$3:$S$910,17,FALSE)),0,VLOOKUP($A479,'Mutasi Neraca'!$A$3:$S$910,17,FALSE))</f>
        <v>-3791000</v>
      </c>
      <c r="S479" s="42">
        <f t="shared" si="57"/>
        <v>9171314555</v>
      </c>
    </row>
    <row r="480" spans="1:19">
      <c r="A480" s="41" t="s">
        <v>487</v>
      </c>
      <c r="B480" s="41" t="str">
        <f t="shared" si="56"/>
        <v>005011400</v>
      </c>
      <c r="D480" s="42">
        <f>VLOOKUP($A480,'Neraca Unaudited SIMAK'!$A$2:$R$1272,3,FALSE)+IF(ISNA(VLOOKUP($A480,'Mutasi Neraca'!$A$3:$S$910,3,FALSE)),0,VLOOKUP($A480,'Mutasi Neraca'!$A$3:$S$910,3,FALSE))</f>
        <v>225650</v>
      </c>
      <c r="E480" s="42">
        <f>VLOOKUP($A480,'Neraca Unaudited SIMAK'!$A$2:$R$1272,4,FALSE)+IF(ISNA(VLOOKUP($A480,'Mutasi Neraca'!$A$3:$S$910,4,FALSE)),0,VLOOKUP($A480,'Mutasi Neraca'!$A$3:$S$910,4,FALSE))</f>
        <v>584810000</v>
      </c>
      <c r="F480" s="42">
        <f>VLOOKUP($A480,'Neraca Unaudited SIMAK'!$A$2:$R$1272,5,FALSE)+IF(ISNA(VLOOKUP($A480,'Mutasi Neraca'!$A$3:$S$910,5,FALSE)),0,VLOOKUP($A480,'Mutasi Neraca'!$A$3:$S$910,5,FALSE))</f>
        <v>1081748710</v>
      </c>
      <c r="G480" s="42">
        <f>VLOOKUP($A480,'Neraca Unaudited SIMAK'!$A$2:$R$1272,6,FALSE)+IF(ISNA(VLOOKUP($A480,'Mutasi Neraca'!$A$3:$S$910,6,FALSE)),0,VLOOKUP($A480,'Mutasi Neraca'!$A$3:$S$910,6,FALSE))</f>
        <v>5418506044</v>
      </c>
      <c r="H480" s="42">
        <f>VLOOKUP($A480,'Neraca Unaudited SIMAK'!$A$2:$R$1272,7,FALSE)+IF(ISNA(VLOOKUP($A480,'Mutasi Neraca'!$A$3:$S$910,7,FALSE)),0,VLOOKUP($A480,'Mutasi Neraca'!$A$3:$S$910,7,FALSE))</f>
        <v>0</v>
      </c>
      <c r="I480" s="42">
        <f>VLOOKUP($A480,'Neraca Unaudited SIMAK'!$A$2:$R$1272,8,FALSE)+IF(ISNA(VLOOKUP($A480,'Mutasi Neraca'!$A$3:$S$910,8,FALSE)),0,VLOOKUP($A480,'Mutasi Neraca'!$A$3:$S$910,8,FALSE))</f>
        <v>28469545</v>
      </c>
      <c r="J480" s="42">
        <f>VLOOKUP($A480,'Neraca Unaudited SIMAK'!$A$2:$R$1272,9,FALSE)+IF(ISNA(VLOOKUP($A480,'Mutasi Neraca'!$A$3:$S$910,9,FALSE)),0,VLOOKUP($A480,'Mutasi Neraca'!$A$3:$S$910,9,FALSE))</f>
        <v>0</v>
      </c>
      <c r="K480" s="42">
        <f>VLOOKUP($A480,'Neraca Unaudited SIMAK'!$A$2:$R$1272,10,FALSE)+IF(ISNA(VLOOKUP($A480,'Mutasi Neraca'!$A$3:$S$910,10,FALSE)),0,VLOOKUP($A480,'Mutasi Neraca'!$A$3:$S$910,10,FALSE))</f>
        <v>0</v>
      </c>
      <c r="L480" s="42">
        <f>VLOOKUP($A480,'Neraca Unaudited SIMAK'!$A$2:$R$1272,11,FALSE)+IF(ISNA(VLOOKUP($A480,'Mutasi Neraca'!$A$3:$S$910,11,FALSE)),0,VLOOKUP($A480,'Mutasi Neraca'!$A$3:$S$910,11,FALSE))</f>
        <v>3019334</v>
      </c>
      <c r="M480" s="42">
        <f>VLOOKUP($A480,'Neraca Unaudited SIMAK'!$A$2:$R$1272,12,FALSE)+IF(ISNA(VLOOKUP($A480,'Mutasi Neraca'!$A$3:$S$910,12,FALSE)),0,VLOOKUP($A480,'Mutasi Neraca'!$A$3:$S$910,12,FALSE))</f>
        <v>7116779283</v>
      </c>
      <c r="N480" s="42">
        <f>VLOOKUP($A480,'Neraca Unaudited SIMAK'!$A$2:$R$1272,13,FALSE)+IF(ISNA(VLOOKUP($A480,'Mutasi Neraca'!$A$3:$S$910,13,FALSE)),0,VLOOKUP($A480,'Mutasi Neraca'!$A$3:$S$910,13,FALSE))</f>
        <v>-908802073</v>
      </c>
      <c r="O480" s="42">
        <f>VLOOKUP($A480,'Neraca Unaudited SIMAK'!$A$2:$R$1272,14,FALSE)+IF(ISNA(VLOOKUP($A480,'Mutasi Neraca'!$A$3:$S$910,14,FALSE)),0,VLOOKUP($A480,'Mutasi Neraca'!$A$3:$S$910,14,FALSE))</f>
        <v>-841607249</v>
      </c>
      <c r="P480" s="42">
        <f>VLOOKUP($A480,'Neraca Unaudited SIMAK'!$A$2:$R$1272,15,FALSE)+IF(ISNA(VLOOKUP($A480,'Mutasi Neraca'!$A$3:$S$910,15,FALSE)),0,VLOOKUP($A480,'Mutasi Neraca'!$A$3:$S$910,15,FALSE))</f>
        <v>0</v>
      </c>
      <c r="Q480" s="42">
        <f>VLOOKUP($A480,'Neraca Unaudited SIMAK'!$A$2:$R$1272,16,FALSE)+IF(ISNA(VLOOKUP($A480,'Mutasi Neraca'!$A$3:$S$910,16,FALSE)),0,VLOOKUP($A480,'Mutasi Neraca'!$A$3:$S$910,16,FALSE))</f>
        <v>0</v>
      </c>
      <c r="R480" s="42">
        <f>VLOOKUP($A480,'Neraca Unaudited SIMAK'!$A$2:$R$1272,17,FALSE)+IF(ISNA(VLOOKUP($A480,'Mutasi Neraca'!$A$3:$S$910,17,FALSE)),0,VLOOKUP($A480,'Mutasi Neraca'!$A$3:$S$910,17,FALSE))</f>
        <v>-2796334</v>
      </c>
      <c r="S480" s="42">
        <f t="shared" si="57"/>
        <v>5363573627</v>
      </c>
    </row>
    <row r="481" spans="1:19">
      <c r="A481" s="41" t="s">
        <v>488</v>
      </c>
      <c r="B481" s="41" t="str">
        <f t="shared" si="56"/>
        <v>005011400</v>
      </c>
      <c r="D481" s="42">
        <f>VLOOKUP($A481,'Neraca Unaudited SIMAK'!$A$2:$R$1272,3,FALSE)+IF(ISNA(VLOOKUP($A481,'Mutasi Neraca'!$A$3:$S$910,3,FALSE)),0,VLOOKUP($A481,'Mutasi Neraca'!$A$3:$S$910,3,FALSE))</f>
        <v>5650498</v>
      </c>
      <c r="E481" s="42">
        <f>VLOOKUP($A481,'Neraca Unaudited SIMAK'!$A$2:$R$1272,4,FALSE)+IF(ISNA(VLOOKUP($A481,'Mutasi Neraca'!$A$3:$S$910,4,FALSE)),0,VLOOKUP($A481,'Mutasi Neraca'!$A$3:$S$910,4,FALSE))</f>
        <v>3215335000</v>
      </c>
      <c r="F481" s="42">
        <f>VLOOKUP($A481,'Neraca Unaudited SIMAK'!$A$2:$R$1272,5,FALSE)+IF(ISNA(VLOOKUP($A481,'Mutasi Neraca'!$A$3:$S$910,5,FALSE)),0,VLOOKUP($A481,'Mutasi Neraca'!$A$3:$S$910,5,FALSE))</f>
        <v>3403157554</v>
      </c>
      <c r="G481" s="42">
        <f>VLOOKUP($A481,'Neraca Unaudited SIMAK'!$A$2:$R$1272,6,FALSE)+IF(ISNA(VLOOKUP($A481,'Mutasi Neraca'!$A$3:$S$910,6,FALSE)),0,VLOOKUP($A481,'Mutasi Neraca'!$A$3:$S$910,6,FALSE))</f>
        <v>9994457875</v>
      </c>
      <c r="H481" s="42">
        <f>VLOOKUP($A481,'Neraca Unaudited SIMAK'!$A$2:$R$1272,7,FALSE)+IF(ISNA(VLOOKUP($A481,'Mutasi Neraca'!$A$3:$S$910,7,FALSE)),0,VLOOKUP($A481,'Mutasi Neraca'!$A$3:$S$910,7,FALSE))</f>
        <v>842494448</v>
      </c>
      <c r="I481" s="42">
        <f>VLOOKUP($A481,'Neraca Unaudited SIMAK'!$A$2:$R$1272,8,FALSE)+IF(ISNA(VLOOKUP($A481,'Mutasi Neraca'!$A$3:$S$910,8,FALSE)),0,VLOOKUP($A481,'Mutasi Neraca'!$A$3:$S$910,8,FALSE))</f>
        <v>15951356</v>
      </c>
      <c r="J481" s="42">
        <f>VLOOKUP($A481,'Neraca Unaudited SIMAK'!$A$2:$R$1272,9,FALSE)+IF(ISNA(VLOOKUP($A481,'Mutasi Neraca'!$A$3:$S$910,9,FALSE)),0,VLOOKUP($A481,'Mutasi Neraca'!$A$3:$S$910,9,FALSE))</f>
        <v>0</v>
      </c>
      <c r="K481" s="42">
        <f>VLOOKUP($A481,'Neraca Unaudited SIMAK'!$A$2:$R$1272,10,FALSE)+IF(ISNA(VLOOKUP($A481,'Mutasi Neraca'!$A$3:$S$910,10,FALSE)),0,VLOOKUP($A481,'Mutasi Neraca'!$A$3:$S$910,10,FALSE))</f>
        <v>0</v>
      </c>
      <c r="L481" s="42">
        <f>VLOOKUP($A481,'Neraca Unaudited SIMAK'!$A$2:$R$1272,11,FALSE)+IF(ISNA(VLOOKUP($A481,'Mutasi Neraca'!$A$3:$S$910,11,FALSE)),0,VLOOKUP($A481,'Mutasi Neraca'!$A$3:$S$910,11,FALSE))</f>
        <v>0</v>
      </c>
      <c r="M481" s="42">
        <f>VLOOKUP($A481,'Neraca Unaudited SIMAK'!$A$2:$R$1272,12,FALSE)+IF(ISNA(VLOOKUP($A481,'Mutasi Neraca'!$A$3:$S$910,12,FALSE)),0,VLOOKUP($A481,'Mutasi Neraca'!$A$3:$S$910,12,FALSE))</f>
        <v>17477046731</v>
      </c>
      <c r="N481" s="42">
        <f>VLOOKUP($A481,'Neraca Unaudited SIMAK'!$A$2:$R$1272,13,FALSE)+IF(ISNA(VLOOKUP($A481,'Mutasi Neraca'!$A$3:$S$910,13,FALSE)),0,VLOOKUP($A481,'Mutasi Neraca'!$A$3:$S$910,13,FALSE))</f>
        <v>-2840941603</v>
      </c>
      <c r="O481" s="42">
        <f>VLOOKUP($A481,'Neraca Unaudited SIMAK'!$A$2:$R$1272,14,FALSE)+IF(ISNA(VLOOKUP($A481,'Mutasi Neraca'!$A$3:$S$910,14,FALSE)),0,VLOOKUP($A481,'Mutasi Neraca'!$A$3:$S$910,14,FALSE))</f>
        <v>-1632031273</v>
      </c>
      <c r="P481" s="42">
        <f>VLOOKUP($A481,'Neraca Unaudited SIMAK'!$A$2:$R$1272,15,FALSE)+IF(ISNA(VLOOKUP($A481,'Mutasi Neraca'!$A$3:$S$910,15,FALSE)),0,VLOOKUP($A481,'Mutasi Neraca'!$A$3:$S$910,15,FALSE))</f>
        <v>-674192250</v>
      </c>
      <c r="Q481" s="42">
        <f>VLOOKUP($A481,'Neraca Unaudited SIMAK'!$A$2:$R$1272,16,FALSE)+IF(ISNA(VLOOKUP($A481,'Mutasi Neraca'!$A$3:$S$910,16,FALSE)),0,VLOOKUP($A481,'Mutasi Neraca'!$A$3:$S$910,16,FALSE))</f>
        <v>-7000000</v>
      </c>
      <c r="R481" s="42">
        <f>VLOOKUP($A481,'Neraca Unaudited SIMAK'!$A$2:$R$1272,17,FALSE)+IF(ISNA(VLOOKUP($A481,'Mutasi Neraca'!$A$3:$S$910,17,FALSE)),0,VLOOKUP($A481,'Mutasi Neraca'!$A$3:$S$910,17,FALSE))</f>
        <v>0</v>
      </c>
      <c r="S481" s="42">
        <f t="shared" si="57"/>
        <v>12322881605</v>
      </c>
    </row>
    <row r="482" spans="1:19">
      <c r="A482" s="41" t="s">
        <v>489</v>
      </c>
      <c r="B482" s="41" t="str">
        <f t="shared" si="56"/>
        <v>005011400</v>
      </c>
      <c r="D482" s="42">
        <f>VLOOKUP($A482,'Neraca Unaudited SIMAK'!$A$2:$R$1272,3,FALSE)+IF(ISNA(VLOOKUP($A482,'Mutasi Neraca'!$A$3:$S$910,3,FALSE)),0,VLOOKUP($A482,'Mutasi Neraca'!$A$3:$S$910,3,FALSE))</f>
        <v>24007955</v>
      </c>
      <c r="E482" s="42">
        <f>VLOOKUP($A482,'Neraca Unaudited SIMAK'!$A$2:$R$1272,4,FALSE)+IF(ISNA(VLOOKUP($A482,'Mutasi Neraca'!$A$3:$S$910,4,FALSE)),0,VLOOKUP($A482,'Mutasi Neraca'!$A$3:$S$910,4,FALSE))</f>
        <v>4363490000</v>
      </c>
      <c r="F482" s="42">
        <f>VLOOKUP($A482,'Neraca Unaudited SIMAK'!$A$2:$R$1272,5,FALSE)+IF(ISNA(VLOOKUP($A482,'Mutasi Neraca'!$A$3:$S$910,5,FALSE)),0,VLOOKUP($A482,'Mutasi Neraca'!$A$3:$S$910,5,FALSE))</f>
        <v>3635101721</v>
      </c>
      <c r="G482" s="42">
        <f>VLOOKUP($A482,'Neraca Unaudited SIMAK'!$A$2:$R$1272,6,FALSE)+IF(ISNA(VLOOKUP($A482,'Mutasi Neraca'!$A$3:$S$910,6,FALSE)),0,VLOOKUP($A482,'Mutasi Neraca'!$A$3:$S$910,6,FALSE))</f>
        <v>2578560749</v>
      </c>
      <c r="H482" s="42">
        <f>VLOOKUP($A482,'Neraca Unaudited SIMAK'!$A$2:$R$1272,7,FALSE)+IF(ISNA(VLOOKUP($A482,'Mutasi Neraca'!$A$3:$S$910,7,FALSE)),0,VLOOKUP($A482,'Mutasi Neraca'!$A$3:$S$910,7,FALSE))</f>
        <v>0</v>
      </c>
      <c r="I482" s="42">
        <f>VLOOKUP($A482,'Neraca Unaudited SIMAK'!$A$2:$R$1272,8,FALSE)+IF(ISNA(VLOOKUP($A482,'Mutasi Neraca'!$A$3:$S$910,8,FALSE)),0,VLOOKUP($A482,'Mutasi Neraca'!$A$3:$S$910,8,FALSE))</f>
        <v>7980000</v>
      </c>
      <c r="J482" s="42">
        <f>VLOOKUP($A482,'Neraca Unaudited SIMAK'!$A$2:$R$1272,9,FALSE)+IF(ISNA(VLOOKUP($A482,'Mutasi Neraca'!$A$3:$S$910,9,FALSE)),0,VLOOKUP($A482,'Mutasi Neraca'!$A$3:$S$910,9,FALSE))</f>
        <v>0</v>
      </c>
      <c r="K482" s="42">
        <f>VLOOKUP($A482,'Neraca Unaudited SIMAK'!$A$2:$R$1272,10,FALSE)+IF(ISNA(VLOOKUP($A482,'Mutasi Neraca'!$A$3:$S$910,10,FALSE)),0,VLOOKUP($A482,'Mutasi Neraca'!$A$3:$S$910,10,FALSE))</f>
        <v>74750000</v>
      </c>
      <c r="L482" s="42">
        <f>VLOOKUP($A482,'Neraca Unaudited SIMAK'!$A$2:$R$1272,11,FALSE)+IF(ISNA(VLOOKUP($A482,'Mutasi Neraca'!$A$3:$S$910,11,FALSE)),0,VLOOKUP($A482,'Mutasi Neraca'!$A$3:$S$910,11,FALSE))</f>
        <v>35513484</v>
      </c>
      <c r="M482" s="42">
        <f>VLOOKUP($A482,'Neraca Unaudited SIMAK'!$A$2:$R$1272,12,FALSE)+IF(ISNA(VLOOKUP($A482,'Mutasi Neraca'!$A$3:$S$910,12,FALSE)),0,VLOOKUP($A482,'Mutasi Neraca'!$A$3:$S$910,12,FALSE))</f>
        <v>10719403909</v>
      </c>
      <c r="N482" s="42">
        <f>VLOOKUP($A482,'Neraca Unaudited SIMAK'!$A$2:$R$1272,13,FALSE)+IF(ISNA(VLOOKUP($A482,'Mutasi Neraca'!$A$3:$S$910,13,FALSE)),0,VLOOKUP($A482,'Mutasi Neraca'!$A$3:$S$910,13,FALSE))</f>
        <v>-3237256749</v>
      </c>
      <c r="O482" s="42">
        <f>VLOOKUP($A482,'Neraca Unaudited SIMAK'!$A$2:$R$1272,14,FALSE)+IF(ISNA(VLOOKUP($A482,'Mutasi Neraca'!$A$3:$S$910,14,FALSE)),0,VLOOKUP($A482,'Mutasi Neraca'!$A$3:$S$910,14,FALSE))</f>
        <v>-334353106</v>
      </c>
      <c r="P482" s="42">
        <f>VLOOKUP($A482,'Neraca Unaudited SIMAK'!$A$2:$R$1272,15,FALSE)+IF(ISNA(VLOOKUP($A482,'Mutasi Neraca'!$A$3:$S$910,15,FALSE)),0,VLOOKUP($A482,'Mutasi Neraca'!$A$3:$S$910,15,FALSE))</f>
        <v>0</v>
      </c>
      <c r="Q482" s="42">
        <f>VLOOKUP($A482,'Neraca Unaudited SIMAK'!$A$2:$R$1272,16,FALSE)+IF(ISNA(VLOOKUP($A482,'Mutasi Neraca'!$A$3:$S$910,16,FALSE)),0,VLOOKUP($A482,'Mutasi Neraca'!$A$3:$S$910,16,FALSE))</f>
        <v>0</v>
      </c>
      <c r="R482" s="42">
        <f>VLOOKUP($A482,'Neraca Unaudited SIMAK'!$A$2:$R$1272,17,FALSE)+IF(ISNA(VLOOKUP($A482,'Mutasi Neraca'!$A$3:$S$910,17,FALSE)),0,VLOOKUP($A482,'Mutasi Neraca'!$A$3:$S$910,17,FALSE))</f>
        <v>-35513484</v>
      </c>
      <c r="S482" s="42">
        <f t="shared" si="57"/>
        <v>7112280570</v>
      </c>
    </row>
    <row r="483" spans="1:19">
      <c r="A483" s="41" t="s">
        <v>490</v>
      </c>
      <c r="B483" s="41" t="str">
        <f t="shared" si="56"/>
        <v>005011400</v>
      </c>
      <c r="D483" s="42">
        <f>VLOOKUP($A483,'Neraca Unaudited SIMAK'!$A$2:$R$1272,3,FALSE)+IF(ISNA(VLOOKUP($A483,'Mutasi Neraca'!$A$3:$S$910,3,FALSE)),0,VLOOKUP($A483,'Mutasi Neraca'!$A$3:$S$910,3,FALSE))</f>
        <v>73000</v>
      </c>
      <c r="E483" s="42">
        <f>VLOOKUP($A483,'Neraca Unaudited SIMAK'!$A$2:$R$1272,4,FALSE)+IF(ISNA(VLOOKUP($A483,'Mutasi Neraca'!$A$3:$S$910,4,FALSE)),0,VLOOKUP($A483,'Mutasi Neraca'!$A$3:$S$910,4,FALSE))</f>
        <v>856800000</v>
      </c>
      <c r="F483" s="42">
        <f>VLOOKUP($A483,'Neraca Unaudited SIMAK'!$A$2:$R$1272,5,FALSE)+IF(ISNA(VLOOKUP($A483,'Mutasi Neraca'!$A$3:$S$910,5,FALSE)),0,VLOOKUP($A483,'Mutasi Neraca'!$A$3:$S$910,5,FALSE))</f>
        <v>1842263324</v>
      </c>
      <c r="G483" s="42">
        <f>VLOOKUP($A483,'Neraca Unaudited SIMAK'!$A$2:$R$1272,6,FALSE)+IF(ISNA(VLOOKUP($A483,'Mutasi Neraca'!$A$3:$S$910,6,FALSE)),0,VLOOKUP($A483,'Mutasi Neraca'!$A$3:$S$910,6,FALSE))</f>
        <v>2540293000</v>
      </c>
      <c r="H483" s="42">
        <f>VLOOKUP($A483,'Neraca Unaudited SIMAK'!$A$2:$R$1272,7,FALSE)+IF(ISNA(VLOOKUP($A483,'Mutasi Neraca'!$A$3:$S$910,7,FALSE)),0,VLOOKUP($A483,'Mutasi Neraca'!$A$3:$S$910,7,FALSE))</f>
        <v>0</v>
      </c>
      <c r="I483" s="42">
        <f>VLOOKUP($A483,'Neraca Unaudited SIMAK'!$A$2:$R$1272,8,FALSE)+IF(ISNA(VLOOKUP($A483,'Mutasi Neraca'!$A$3:$S$910,8,FALSE)),0,VLOOKUP($A483,'Mutasi Neraca'!$A$3:$S$910,8,FALSE))</f>
        <v>2965060</v>
      </c>
      <c r="J483" s="42">
        <f>VLOOKUP($A483,'Neraca Unaudited SIMAK'!$A$2:$R$1272,9,FALSE)+IF(ISNA(VLOOKUP($A483,'Mutasi Neraca'!$A$3:$S$910,9,FALSE)),0,VLOOKUP($A483,'Mutasi Neraca'!$A$3:$S$910,9,FALSE))</f>
        <v>456745000</v>
      </c>
      <c r="K483" s="42">
        <f>VLOOKUP($A483,'Neraca Unaudited SIMAK'!$A$2:$R$1272,10,FALSE)+IF(ISNA(VLOOKUP($A483,'Mutasi Neraca'!$A$3:$S$910,10,FALSE)),0,VLOOKUP($A483,'Mutasi Neraca'!$A$3:$S$910,10,FALSE))</f>
        <v>5186000</v>
      </c>
      <c r="L483" s="42">
        <f>VLOOKUP($A483,'Neraca Unaudited SIMAK'!$A$2:$R$1272,11,FALSE)+IF(ISNA(VLOOKUP($A483,'Mutasi Neraca'!$A$3:$S$910,11,FALSE)),0,VLOOKUP($A483,'Mutasi Neraca'!$A$3:$S$910,11,FALSE))</f>
        <v>52220000</v>
      </c>
      <c r="M483" s="42">
        <f>VLOOKUP($A483,'Neraca Unaudited SIMAK'!$A$2:$R$1272,12,FALSE)+IF(ISNA(VLOOKUP($A483,'Mutasi Neraca'!$A$3:$S$910,12,FALSE)),0,VLOOKUP($A483,'Mutasi Neraca'!$A$3:$S$910,12,FALSE))</f>
        <v>5756545384</v>
      </c>
      <c r="N483" s="42">
        <f>VLOOKUP($A483,'Neraca Unaudited SIMAK'!$A$2:$R$1272,13,FALSE)+IF(ISNA(VLOOKUP($A483,'Mutasi Neraca'!$A$3:$S$910,13,FALSE)),0,VLOOKUP($A483,'Mutasi Neraca'!$A$3:$S$910,13,FALSE))</f>
        <v>-1257683648</v>
      </c>
      <c r="O483" s="42">
        <f>VLOOKUP($A483,'Neraca Unaudited SIMAK'!$A$2:$R$1272,14,FALSE)+IF(ISNA(VLOOKUP($A483,'Mutasi Neraca'!$A$3:$S$910,14,FALSE)),0,VLOOKUP($A483,'Mutasi Neraca'!$A$3:$S$910,14,FALSE))</f>
        <v>-275031132</v>
      </c>
      <c r="P483" s="42">
        <f>VLOOKUP($A483,'Neraca Unaudited SIMAK'!$A$2:$R$1272,15,FALSE)+IF(ISNA(VLOOKUP($A483,'Mutasi Neraca'!$A$3:$S$910,15,FALSE)),0,VLOOKUP($A483,'Mutasi Neraca'!$A$3:$S$910,15,FALSE))</f>
        <v>0</v>
      </c>
      <c r="Q483" s="42">
        <f>VLOOKUP($A483,'Neraca Unaudited SIMAK'!$A$2:$R$1272,16,FALSE)+IF(ISNA(VLOOKUP($A483,'Mutasi Neraca'!$A$3:$S$910,16,FALSE)),0,VLOOKUP($A483,'Mutasi Neraca'!$A$3:$S$910,16,FALSE))</f>
        <v>0</v>
      </c>
      <c r="R483" s="42">
        <f>VLOOKUP($A483,'Neraca Unaudited SIMAK'!$A$2:$R$1272,17,FALSE)+IF(ISNA(VLOOKUP($A483,'Mutasi Neraca'!$A$3:$S$910,17,FALSE)),0,VLOOKUP($A483,'Mutasi Neraca'!$A$3:$S$910,17,FALSE))</f>
        <v>-36636000</v>
      </c>
      <c r="S483" s="42">
        <f t="shared" si="57"/>
        <v>4187194604</v>
      </c>
    </row>
    <row r="484" spans="1:19">
      <c r="A484" s="41" t="s">
        <v>491</v>
      </c>
      <c r="B484" s="41" t="str">
        <f t="shared" si="56"/>
        <v>005011400</v>
      </c>
      <c r="D484" s="42">
        <f>VLOOKUP($A484,'Neraca Unaudited SIMAK'!$A$2:$R$1272,3,FALSE)+IF(ISNA(VLOOKUP($A484,'Mutasi Neraca'!$A$3:$S$910,3,FALSE)),0,VLOOKUP($A484,'Mutasi Neraca'!$A$3:$S$910,3,FALSE))</f>
        <v>2190000</v>
      </c>
      <c r="E484" s="42">
        <f>VLOOKUP($A484,'Neraca Unaudited SIMAK'!$A$2:$R$1272,4,FALSE)+IF(ISNA(VLOOKUP($A484,'Mutasi Neraca'!$A$3:$S$910,4,FALSE)),0,VLOOKUP($A484,'Mutasi Neraca'!$A$3:$S$910,4,FALSE))</f>
        <v>2144827000</v>
      </c>
      <c r="F484" s="42">
        <f>VLOOKUP($A484,'Neraca Unaudited SIMAK'!$A$2:$R$1272,5,FALSE)+IF(ISNA(VLOOKUP($A484,'Mutasi Neraca'!$A$3:$S$910,5,FALSE)),0,VLOOKUP($A484,'Mutasi Neraca'!$A$3:$S$910,5,FALSE))</f>
        <v>1596889270</v>
      </c>
      <c r="G484" s="42">
        <f>VLOOKUP($A484,'Neraca Unaudited SIMAK'!$A$2:$R$1272,6,FALSE)+IF(ISNA(VLOOKUP($A484,'Mutasi Neraca'!$A$3:$S$910,6,FALSE)),0,VLOOKUP($A484,'Mutasi Neraca'!$A$3:$S$910,6,FALSE))</f>
        <v>7488278480</v>
      </c>
      <c r="H484" s="42">
        <f>VLOOKUP($A484,'Neraca Unaudited SIMAK'!$A$2:$R$1272,7,FALSE)+IF(ISNA(VLOOKUP($A484,'Mutasi Neraca'!$A$3:$S$910,7,FALSE)),0,VLOOKUP($A484,'Mutasi Neraca'!$A$3:$S$910,7,FALSE))</f>
        <v>0</v>
      </c>
      <c r="I484" s="42">
        <f>VLOOKUP($A484,'Neraca Unaudited SIMAK'!$A$2:$R$1272,8,FALSE)+IF(ISNA(VLOOKUP($A484,'Mutasi Neraca'!$A$3:$S$910,8,FALSE)),0,VLOOKUP($A484,'Mutasi Neraca'!$A$3:$S$910,8,FALSE))</f>
        <v>0</v>
      </c>
      <c r="J484" s="42">
        <f>VLOOKUP($A484,'Neraca Unaudited SIMAK'!$A$2:$R$1272,9,FALSE)+IF(ISNA(VLOOKUP($A484,'Mutasi Neraca'!$A$3:$S$910,9,FALSE)),0,VLOOKUP($A484,'Mutasi Neraca'!$A$3:$S$910,9,FALSE))</f>
        <v>2351307400</v>
      </c>
      <c r="K484" s="42">
        <f>VLOOKUP($A484,'Neraca Unaudited SIMAK'!$A$2:$R$1272,10,FALSE)+IF(ISNA(VLOOKUP($A484,'Mutasi Neraca'!$A$3:$S$910,10,FALSE)),0,VLOOKUP($A484,'Mutasi Neraca'!$A$3:$S$910,10,FALSE))</f>
        <v>17432000</v>
      </c>
      <c r="L484" s="42">
        <f>VLOOKUP($A484,'Neraca Unaudited SIMAK'!$A$2:$R$1272,11,FALSE)+IF(ISNA(VLOOKUP($A484,'Mutasi Neraca'!$A$3:$S$910,11,FALSE)),0,VLOOKUP($A484,'Mutasi Neraca'!$A$3:$S$910,11,FALSE))</f>
        <v>0</v>
      </c>
      <c r="M484" s="42">
        <f>VLOOKUP($A484,'Neraca Unaudited SIMAK'!$A$2:$R$1272,12,FALSE)+IF(ISNA(VLOOKUP($A484,'Mutasi Neraca'!$A$3:$S$910,12,FALSE)),0,VLOOKUP($A484,'Mutasi Neraca'!$A$3:$S$910,12,FALSE))</f>
        <v>13600924150</v>
      </c>
      <c r="N484" s="42">
        <f>VLOOKUP($A484,'Neraca Unaudited SIMAK'!$A$2:$R$1272,13,FALSE)+IF(ISNA(VLOOKUP($A484,'Mutasi Neraca'!$A$3:$S$910,13,FALSE)),0,VLOOKUP($A484,'Mutasi Neraca'!$A$3:$S$910,13,FALSE))</f>
        <v>-544403847</v>
      </c>
      <c r="O484" s="42">
        <f>VLOOKUP($A484,'Neraca Unaudited SIMAK'!$A$2:$R$1272,14,FALSE)+IF(ISNA(VLOOKUP($A484,'Mutasi Neraca'!$A$3:$S$910,14,FALSE)),0,VLOOKUP($A484,'Mutasi Neraca'!$A$3:$S$910,14,FALSE))</f>
        <v>-255082111</v>
      </c>
      <c r="P484" s="42">
        <f>VLOOKUP($A484,'Neraca Unaudited SIMAK'!$A$2:$R$1272,15,FALSE)+IF(ISNA(VLOOKUP($A484,'Mutasi Neraca'!$A$3:$S$910,15,FALSE)),0,VLOOKUP($A484,'Mutasi Neraca'!$A$3:$S$910,15,FALSE))</f>
        <v>0</v>
      </c>
      <c r="Q484" s="42">
        <f>VLOOKUP($A484,'Neraca Unaudited SIMAK'!$A$2:$R$1272,16,FALSE)+IF(ISNA(VLOOKUP($A484,'Mutasi Neraca'!$A$3:$S$910,16,FALSE)),0,VLOOKUP($A484,'Mutasi Neraca'!$A$3:$S$910,16,FALSE))</f>
        <v>0</v>
      </c>
      <c r="R484" s="42">
        <f>VLOOKUP($A484,'Neraca Unaudited SIMAK'!$A$2:$R$1272,17,FALSE)+IF(ISNA(VLOOKUP($A484,'Mutasi Neraca'!$A$3:$S$910,17,FALSE)),0,VLOOKUP($A484,'Mutasi Neraca'!$A$3:$S$910,17,FALSE))</f>
        <v>0</v>
      </c>
      <c r="S484" s="42">
        <f t="shared" si="57"/>
        <v>12801438192</v>
      </c>
    </row>
    <row r="485" spans="1:19">
      <c r="A485" s="41" t="s">
        <v>492</v>
      </c>
      <c r="B485" s="41" t="str">
        <f t="shared" si="56"/>
        <v>005011500</v>
      </c>
      <c r="D485" s="42">
        <f>VLOOKUP($A485,'Neraca Unaudited SIMAK'!$A$2:$R$1272,3,FALSE)+IF(ISNA(VLOOKUP($A485,'Mutasi Neraca'!$A$3:$S$910,3,FALSE)),0,VLOOKUP($A485,'Mutasi Neraca'!$A$3:$S$910,3,FALSE))</f>
        <v>596000</v>
      </c>
      <c r="E485" s="42">
        <f>VLOOKUP($A485,'Neraca Unaudited SIMAK'!$A$2:$R$1272,4,FALSE)+IF(ISNA(VLOOKUP($A485,'Mutasi Neraca'!$A$3:$S$910,4,FALSE)),0,VLOOKUP($A485,'Mutasi Neraca'!$A$3:$S$910,4,FALSE))</f>
        <v>12151204650</v>
      </c>
      <c r="F485" s="42">
        <f>VLOOKUP($A485,'Neraca Unaudited SIMAK'!$A$2:$R$1272,5,FALSE)+IF(ISNA(VLOOKUP($A485,'Mutasi Neraca'!$A$3:$S$910,5,FALSE)),0,VLOOKUP($A485,'Mutasi Neraca'!$A$3:$S$910,5,FALSE))</f>
        <v>4158342201</v>
      </c>
      <c r="G485" s="42">
        <f>VLOOKUP($A485,'Neraca Unaudited SIMAK'!$A$2:$R$1272,6,FALSE)+IF(ISNA(VLOOKUP($A485,'Mutasi Neraca'!$A$3:$S$910,6,FALSE)),0,VLOOKUP($A485,'Mutasi Neraca'!$A$3:$S$910,6,FALSE))</f>
        <v>7466729434</v>
      </c>
      <c r="H485" s="42">
        <f>VLOOKUP($A485,'Neraca Unaudited SIMAK'!$A$2:$R$1272,7,FALSE)+IF(ISNA(VLOOKUP($A485,'Mutasi Neraca'!$A$3:$S$910,7,FALSE)),0,VLOOKUP($A485,'Mutasi Neraca'!$A$3:$S$910,7,FALSE))</f>
        <v>149672000</v>
      </c>
      <c r="I485" s="42">
        <f>VLOOKUP($A485,'Neraca Unaudited SIMAK'!$A$2:$R$1272,8,FALSE)+IF(ISNA(VLOOKUP($A485,'Mutasi Neraca'!$A$3:$S$910,8,FALSE)),0,VLOOKUP($A485,'Mutasi Neraca'!$A$3:$S$910,8,FALSE))</f>
        <v>1165093440</v>
      </c>
      <c r="J485" s="42">
        <f>VLOOKUP($A485,'Neraca Unaudited SIMAK'!$A$2:$R$1272,9,FALSE)+IF(ISNA(VLOOKUP($A485,'Mutasi Neraca'!$A$3:$S$910,9,FALSE)),0,VLOOKUP($A485,'Mutasi Neraca'!$A$3:$S$910,9,FALSE))</f>
        <v>9614660300</v>
      </c>
      <c r="K485" s="42">
        <f>VLOOKUP($A485,'Neraca Unaudited SIMAK'!$A$2:$R$1272,10,FALSE)+IF(ISNA(VLOOKUP($A485,'Mutasi Neraca'!$A$3:$S$910,10,FALSE)),0,VLOOKUP($A485,'Mutasi Neraca'!$A$3:$S$910,10,FALSE))</f>
        <v>25085000</v>
      </c>
      <c r="L485" s="42">
        <f>VLOOKUP($A485,'Neraca Unaudited SIMAK'!$A$2:$R$1272,11,FALSE)+IF(ISNA(VLOOKUP($A485,'Mutasi Neraca'!$A$3:$S$910,11,FALSE)),0,VLOOKUP($A485,'Mutasi Neraca'!$A$3:$S$910,11,FALSE))</f>
        <v>16750000</v>
      </c>
      <c r="M485" s="42">
        <f>VLOOKUP($A485,'Neraca Unaudited SIMAK'!$A$2:$R$1272,12,FALSE)+IF(ISNA(VLOOKUP($A485,'Mutasi Neraca'!$A$3:$S$910,12,FALSE)),0,VLOOKUP($A485,'Mutasi Neraca'!$A$3:$S$910,12,FALSE))</f>
        <v>34748133025</v>
      </c>
      <c r="N485" s="42">
        <f>VLOOKUP($A485,'Neraca Unaudited SIMAK'!$A$2:$R$1272,13,FALSE)+IF(ISNA(VLOOKUP($A485,'Mutasi Neraca'!$A$3:$S$910,13,FALSE)),0,VLOOKUP($A485,'Mutasi Neraca'!$A$3:$S$910,13,FALSE))</f>
        <v>-3420275058</v>
      </c>
      <c r="O485" s="42">
        <f>VLOOKUP($A485,'Neraca Unaudited SIMAK'!$A$2:$R$1272,14,FALSE)+IF(ISNA(VLOOKUP($A485,'Mutasi Neraca'!$A$3:$S$910,14,FALSE)),0,VLOOKUP($A485,'Mutasi Neraca'!$A$3:$S$910,14,FALSE))</f>
        <v>-2724514201</v>
      </c>
      <c r="P485" s="42">
        <f>VLOOKUP($A485,'Neraca Unaudited SIMAK'!$A$2:$R$1272,15,FALSE)+IF(ISNA(VLOOKUP($A485,'Mutasi Neraca'!$A$3:$S$910,15,FALSE)),0,VLOOKUP($A485,'Mutasi Neraca'!$A$3:$S$910,15,FALSE))</f>
        <v>-7483600</v>
      </c>
      <c r="Q485" s="42">
        <f>VLOOKUP($A485,'Neraca Unaudited SIMAK'!$A$2:$R$1272,16,FALSE)+IF(ISNA(VLOOKUP($A485,'Mutasi Neraca'!$A$3:$S$910,16,FALSE)),0,VLOOKUP($A485,'Mutasi Neraca'!$A$3:$S$910,16,FALSE))</f>
        <v>0</v>
      </c>
      <c r="R485" s="42">
        <f>VLOOKUP($A485,'Neraca Unaudited SIMAK'!$A$2:$R$1272,17,FALSE)+IF(ISNA(VLOOKUP($A485,'Mutasi Neraca'!$A$3:$S$910,17,FALSE)),0,VLOOKUP($A485,'Mutasi Neraca'!$A$3:$S$910,17,FALSE))</f>
        <v>-16750000</v>
      </c>
      <c r="S485" s="42">
        <f t="shared" si="57"/>
        <v>28579110166</v>
      </c>
    </row>
    <row r="486" spans="1:19">
      <c r="A486" s="41" t="s">
        <v>493</v>
      </c>
      <c r="B486" s="41" t="str">
        <f t="shared" si="56"/>
        <v>005011500</v>
      </c>
      <c r="D486" s="42">
        <f>VLOOKUP($A486,'Neraca Unaudited SIMAK'!$A$2:$R$1272,3,FALSE)+IF(ISNA(VLOOKUP($A486,'Mutasi Neraca'!$A$3:$S$910,3,FALSE)),0,VLOOKUP($A486,'Mutasi Neraca'!$A$3:$S$910,3,FALSE))</f>
        <v>0</v>
      </c>
      <c r="E486" s="42">
        <f>VLOOKUP($A486,'Neraca Unaudited SIMAK'!$A$2:$R$1272,4,FALSE)+IF(ISNA(VLOOKUP($A486,'Mutasi Neraca'!$A$3:$S$910,4,FALSE)),0,VLOOKUP($A486,'Mutasi Neraca'!$A$3:$S$910,4,FALSE))</f>
        <v>11234232550</v>
      </c>
      <c r="F486" s="42">
        <f>VLOOKUP($A486,'Neraca Unaudited SIMAK'!$A$2:$R$1272,5,FALSE)+IF(ISNA(VLOOKUP($A486,'Mutasi Neraca'!$A$3:$S$910,5,FALSE)),0,VLOOKUP($A486,'Mutasi Neraca'!$A$3:$S$910,5,FALSE))</f>
        <v>3444867902</v>
      </c>
      <c r="G486" s="42">
        <f>VLOOKUP($A486,'Neraca Unaudited SIMAK'!$A$2:$R$1272,6,FALSE)+IF(ISNA(VLOOKUP($A486,'Mutasi Neraca'!$A$3:$S$910,6,FALSE)),0,VLOOKUP($A486,'Mutasi Neraca'!$A$3:$S$910,6,FALSE))</f>
        <v>13967925641</v>
      </c>
      <c r="H486" s="42">
        <f>VLOOKUP($A486,'Neraca Unaudited SIMAK'!$A$2:$R$1272,7,FALSE)+IF(ISNA(VLOOKUP($A486,'Mutasi Neraca'!$A$3:$S$910,7,FALSE)),0,VLOOKUP($A486,'Mutasi Neraca'!$A$3:$S$910,7,FALSE))</f>
        <v>171065783</v>
      </c>
      <c r="I486" s="42">
        <f>VLOOKUP($A486,'Neraca Unaudited SIMAK'!$A$2:$R$1272,8,FALSE)+IF(ISNA(VLOOKUP($A486,'Mutasi Neraca'!$A$3:$S$910,8,FALSE)),0,VLOOKUP($A486,'Mutasi Neraca'!$A$3:$S$910,8,FALSE))</f>
        <v>4393440</v>
      </c>
      <c r="J486" s="42">
        <f>VLOOKUP($A486,'Neraca Unaudited SIMAK'!$A$2:$R$1272,9,FALSE)+IF(ISNA(VLOOKUP($A486,'Mutasi Neraca'!$A$3:$S$910,9,FALSE)),0,VLOOKUP($A486,'Mutasi Neraca'!$A$3:$S$910,9,FALSE))</f>
        <v>0</v>
      </c>
      <c r="K486" s="42">
        <f>VLOOKUP($A486,'Neraca Unaudited SIMAK'!$A$2:$R$1272,10,FALSE)+IF(ISNA(VLOOKUP($A486,'Mutasi Neraca'!$A$3:$S$910,10,FALSE)),0,VLOOKUP($A486,'Mutasi Neraca'!$A$3:$S$910,10,FALSE))</f>
        <v>24200000</v>
      </c>
      <c r="L486" s="42">
        <f>VLOOKUP($A486,'Neraca Unaudited SIMAK'!$A$2:$R$1272,11,FALSE)+IF(ISNA(VLOOKUP($A486,'Mutasi Neraca'!$A$3:$S$910,11,FALSE)),0,VLOOKUP($A486,'Mutasi Neraca'!$A$3:$S$910,11,FALSE))</f>
        <v>438534004</v>
      </c>
      <c r="M486" s="42">
        <f>VLOOKUP($A486,'Neraca Unaudited SIMAK'!$A$2:$R$1272,12,FALSE)+IF(ISNA(VLOOKUP($A486,'Mutasi Neraca'!$A$3:$S$910,12,FALSE)),0,VLOOKUP($A486,'Mutasi Neraca'!$A$3:$S$910,12,FALSE))</f>
        <v>29285219320</v>
      </c>
      <c r="N486" s="42">
        <f>VLOOKUP($A486,'Neraca Unaudited SIMAK'!$A$2:$R$1272,13,FALSE)+IF(ISNA(VLOOKUP($A486,'Mutasi Neraca'!$A$3:$S$910,13,FALSE)),0,VLOOKUP($A486,'Mutasi Neraca'!$A$3:$S$910,13,FALSE))</f>
        <v>-2408339103</v>
      </c>
      <c r="O486" s="42">
        <f>VLOOKUP($A486,'Neraca Unaudited SIMAK'!$A$2:$R$1272,14,FALSE)+IF(ISNA(VLOOKUP($A486,'Mutasi Neraca'!$A$3:$S$910,14,FALSE)),0,VLOOKUP($A486,'Mutasi Neraca'!$A$3:$S$910,14,FALSE))</f>
        <v>-5655259666</v>
      </c>
      <c r="P486" s="42">
        <f>VLOOKUP($A486,'Neraca Unaudited SIMAK'!$A$2:$R$1272,15,FALSE)+IF(ISNA(VLOOKUP($A486,'Mutasi Neraca'!$A$3:$S$910,15,FALSE)),0,VLOOKUP($A486,'Mutasi Neraca'!$A$3:$S$910,15,FALSE))</f>
        <v>-93474892</v>
      </c>
      <c r="Q486" s="42">
        <f>VLOOKUP($A486,'Neraca Unaudited SIMAK'!$A$2:$R$1272,16,FALSE)+IF(ISNA(VLOOKUP($A486,'Mutasi Neraca'!$A$3:$S$910,16,FALSE)),0,VLOOKUP($A486,'Mutasi Neraca'!$A$3:$S$910,16,FALSE))</f>
        <v>0</v>
      </c>
      <c r="R486" s="42">
        <f>VLOOKUP($A486,'Neraca Unaudited SIMAK'!$A$2:$R$1272,17,FALSE)+IF(ISNA(VLOOKUP($A486,'Mutasi Neraca'!$A$3:$S$910,17,FALSE)),0,VLOOKUP($A486,'Mutasi Neraca'!$A$3:$S$910,17,FALSE))</f>
        <v>-438534004</v>
      </c>
      <c r="S486" s="42">
        <f t="shared" si="57"/>
        <v>20689611655</v>
      </c>
    </row>
    <row r="487" spans="1:19">
      <c r="A487" s="41" t="s">
        <v>494</v>
      </c>
      <c r="B487" s="41" t="str">
        <f t="shared" si="56"/>
        <v>005011500</v>
      </c>
      <c r="D487" s="42">
        <f>VLOOKUP($A487,'Neraca Unaudited SIMAK'!$A$2:$R$1272,3,FALSE)+IF(ISNA(VLOOKUP($A487,'Mutasi Neraca'!$A$3:$S$910,3,FALSE)),0,VLOOKUP($A487,'Mutasi Neraca'!$A$3:$S$910,3,FALSE))</f>
        <v>2823400</v>
      </c>
      <c r="E487" s="42">
        <f>VLOOKUP($A487,'Neraca Unaudited SIMAK'!$A$2:$R$1272,4,FALSE)+IF(ISNA(VLOOKUP($A487,'Mutasi Neraca'!$A$3:$S$910,4,FALSE)),0,VLOOKUP($A487,'Mutasi Neraca'!$A$3:$S$910,4,FALSE))</f>
        <v>1514481800</v>
      </c>
      <c r="F487" s="42">
        <f>VLOOKUP($A487,'Neraca Unaudited SIMAK'!$A$2:$R$1272,5,FALSE)+IF(ISNA(VLOOKUP($A487,'Mutasi Neraca'!$A$3:$S$910,5,FALSE)),0,VLOOKUP($A487,'Mutasi Neraca'!$A$3:$S$910,5,FALSE))</f>
        <v>1381565962</v>
      </c>
      <c r="G487" s="42">
        <f>VLOOKUP($A487,'Neraca Unaudited SIMAK'!$A$2:$R$1272,6,FALSE)+IF(ISNA(VLOOKUP($A487,'Mutasi Neraca'!$A$3:$S$910,6,FALSE)),0,VLOOKUP($A487,'Mutasi Neraca'!$A$3:$S$910,6,FALSE))</f>
        <v>2342130931</v>
      </c>
      <c r="H487" s="42">
        <f>VLOOKUP($A487,'Neraca Unaudited SIMAK'!$A$2:$R$1272,7,FALSE)+IF(ISNA(VLOOKUP($A487,'Mutasi Neraca'!$A$3:$S$910,7,FALSE)),0,VLOOKUP($A487,'Mutasi Neraca'!$A$3:$S$910,7,FALSE))</f>
        <v>56300000</v>
      </c>
      <c r="I487" s="42">
        <f>VLOOKUP($A487,'Neraca Unaudited SIMAK'!$A$2:$R$1272,8,FALSE)+IF(ISNA(VLOOKUP($A487,'Mutasi Neraca'!$A$3:$S$910,8,FALSE)),0,VLOOKUP($A487,'Mutasi Neraca'!$A$3:$S$910,8,FALSE))</f>
        <v>14472118</v>
      </c>
      <c r="J487" s="42">
        <f>VLOOKUP($A487,'Neraca Unaudited SIMAK'!$A$2:$R$1272,9,FALSE)+IF(ISNA(VLOOKUP($A487,'Mutasi Neraca'!$A$3:$S$910,9,FALSE)),0,VLOOKUP($A487,'Mutasi Neraca'!$A$3:$S$910,9,FALSE))</f>
        <v>0</v>
      </c>
      <c r="K487" s="42">
        <f>VLOOKUP($A487,'Neraca Unaudited SIMAK'!$A$2:$R$1272,10,FALSE)+IF(ISNA(VLOOKUP($A487,'Mutasi Neraca'!$A$3:$S$910,10,FALSE)),0,VLOOKUP($A487,'Mutasi Neraca'!$A$3:$S$910,10,FALSE))</f>
        <v>10154650</v>
      </c>
      <c r="L487" s="42">
        <f>VLOOKUP($A487,'Neraca Unaudited SIMAK'!$A$2:$R$1272,11,FALSE)+IF(ISNA(VLOOKUP($A487,'Mutasi Neraca'!$A$3:$S$910,11,FALSE)),0,VLOOKUP($A487,'Mutasi Neraca'!$A$3:$S$910,11,FALSE))</f>
        <v>0</v>
      </c>
      <c r="M487" s="42">
        <f>VLOOKUP($A487,'Neraca Unaudited SIMAK'!$A$2:$R$1272,12,FALSE)+IF(ISNA(VLOOKUP($A487,'Mutasi Neraca'!$A$3:$S$910,12,FALSE)),0,VLOOKUP($A487,'Mutasi Neraca'!$A$3:$S$910,12,FALSE))</f>
        <v>5321928861</v>
      </c>
      <c r="N487" s="42">
        <f>VLOOKUP($A487,'Neraca Unaudited SIMAK'!$A$2:$R$1272,13,FALSE)+IF(ISNA(VLOOKUP($A487,'Mutasi Neraca'!$A$3:$S$910,13,FALSE)),0,VLOOKUP($A487,'Mutasi Neraca'!$A$3:$S$910,13,FALSE))</f>
        <v>-1107134634</v>
      </c>
      <c r="O487" s="42">
        <f>VLOOKUP($A487,'Neraca Unaudited SIMAK'!$A$2:$R$1272,14,FALSE)+IF(ISNA(VLOOKUP($A487,'Mutasi Neraca'!$A$3:$S$910,14,FALSE)),0,VLOOKUP($A487,'Mutasi Neraca'!$A$3:$S$910,14,FALSE))</f>
        <v>-411887683</v>
      </c>
      <c r="P487" s="42">
        <f>VLOOKUP($A487,'Neraca Unaudited SIMAK'!$A$2:$R$1272,15,FALSE)+IF(ISNA(VLOOKUP($A487,'Mutasi Neraca'!$A$3:$S$910,15,FALSE)),0,VLOOKUP($A487,'Mutasi Neraca'!$A$3:$S$910,15,FALSE))</f>
        <v>-1407500</v>
      </c>
      <c r="Q487" s="42">
        <f>VLOOKUP($A487,'Neraca Unaudited SIMAK'!$A$2:$R$1272,16,FALSE)+IF(ISNA(VLOOKUP($A487,'Mutasi Neraca'!$A$3:$S$910,16,FALSE)),0,VLOOKUP($A487,'Mutasi Neraca'!$A$3:$S$910,16,FALSE))</f>
        <v>0</v>
      </c>
      <c r="R487" s="42">
        <f>VLOOKUP($A487,'Neraca Unaudited SIMAK'!$A$2:$R$1272,17,FALSE)+IF(ISNA(VLOOKUP($A487,'Mutasi Neraca'!$A$3:$S$910,17,FALSE)),0,VLOOKUP($A487,'Mutasi Neraca'!$A$3:$S$910,17,FALSE))</f>
        <v>0</v>
      </c>
      <c r="S487" s="42">
        <f t="shared" si="57"/>
        <v>3801499044</v>
      </c>
    </row>
    <row r="488" spans="1:19">
      <c r="A488" s="41" t="s">
        <v>495</v>
      </c>
      <c r="B488" s="41" t="str">
        <f t="shared" si="56"/>
        <v>005011500</v>
      </c>
      <c r="D488" s="42">
        <f>VLOOKUP($A488,'Neraca Unaudited SIMAK'!$A$2:$R$1272,3,FALSE)+IF(ISNA(VLOOKUP($A488,'Mutasi Neraca'!$A$3:$S$910,3,FALSE)),0,VLOOKUP($A488,'Mutasi Neraca'!$A$3:$S$910,3,FALSE))</f>
        <v>0</v>
      </c>
      <c r="E488" s="42">
        <f>VLOOKUP($A488,'Neraca Unaudited SIMAK'!$A$2:$R$1272,4,FALSE)+IF(ISNA(VLOOKUP($A488,'Mutasi Neraca'!$A$3:$S$910,4,FALSE)),0,VLOOKUP($A488,'Mutasi Neraca'!$A$3:$S$910,4,FALSE))</f>
        <v>4541929200</v>
      </c>
      <c r="F488" s="42">
        <f>VLOOKUP($A488,'Neraca Unaudited SIMAK'!$A$2:$R$1272,5,FALSE)+IF(ISNA(VLOOKUP($A488,'Mutasi Neraca'!$A$3:$S$910,5,FALSE)),0,VLOOKUP($A488,'Mutasi Neraca'!$A$3:$S$910,5,FALSE))</f>
        <v>1431066298</v>
      </c>
      <c r="G488" s="42">
        <f>VLOOKUP($A488,'Neraca Unaudited SIMAK'!$A$2:$R$1272,6,FALSE)+IF(ISNA(VLOOKUP($A488,'Mutasi Neraca'!$A$3:$S$910,6,FALSE)),0,VLOOKUP($A488,'Mutasi Neraca'!$A$3:$S$910,6,FALSE))</f>
        <v>2501477000</v>
      </c>
      <c r="H488" s="42">
        <f>VLOOKUP($A488,'Neraca Unaudited SIMAK'!$A$2:$R$1272,7,FALSE)+IF(ISNA(VLOOKUP($A488,'Mutasi Neraca'!$A$3:$S$910,7,FALSE)),0,VLOOKUP($A488,'Mutasi Neraca'!$A$3:$S$910,7,FALSE))</f>
        <v>0</v>
      </c>
      <c r="I488" s="42">
        <f>VLOOKUP($A488,'Neraca Unaudited SIMAK'!$A$2:$R$1272,8,FALSE)+IF(ISNA(VLOOKUP($A488,'Mutasi Neraca'!$A$3:$S$910,8,FALSE)),0,VLOOKUP($A488,'Mutasi Neraca'!$A$3:$S$910,8,FALSE))</f>
        <v>4836116</v>
      </c>
      <c r="J488" s="42">
        <f>VLOOKUP($A488,'Neraca Unaudited SIMAK'!$A$2:$R$1272,9,FALSE)+IF(ISNA(VLOOKUP($A488,'Mutasi Neraca'!$A$3:$S$910,9,FALSE)),0,VLOOKUP($A488,'Mutasi Neraca'!$A$3:$S$910,9,FALSE))</f>
        <v>5406961150</v>
      </c>
      <c r="K488" s="42">
        <f>VLOOKUP($A488,'Neraca Unaudited SIMAK'!$A$2:$R$1272,10,FALSE)+IF(ISNA(VLOOKUP($A488,'Mutasi Neraca'!$A$3:$S$910,10,FALSE)),0,VLOOKUP($A488,'Mutasi Neraca'!$A$3:$S$910,10,FALSE))</f>
        <v>0</v>
      </c>
      <c r="L488" s="42">
        <f>VLOOKUP($A488,'Neraca Unaudited SIMAK'!$A$2:$R$1272,11,FALSE)+IF(ISNA(VLOOKUP($A488,'Mutasi Neraca'!$A$3:$S$910,11,FALSE)),0,VLOOKUP($A488,'Mutasi Neraca'!$A$3:$S$910,11,FALSE))</f>
        <v>0</v>
      </c>
      <c r="M488" s="42">
        <f>VLOOKUP($A488,'Neraca Unaudited SIMAK'!$A$2:$R$1272,12,FALSE)+IF(ISNA(VLOOKUP($A488,'Mutasi Neraca'!$A$3:$S$910,12,FALSE)),0,VLOOKUP($A488,'Mutasi Neraca'!$A$3:$S$910,12,FALSE))</f>
        <v>13886269764</v>
      </c>
      <c r="N488" s="42">
        <f>VLOOKUP($A488,'Neraca Unaudited SIMAK'!$A$2:$R$1272,13,FALSE)+IF(ISNA(VLOOKUP($A488,'Mutasi Neraca'!$A$3:$S$910,13,FALSE)),0,VLOOKUP($A488,'Mutasi Neraca'!$A$3:$S$910,13,FALSE))</f>
        <v>-1151111652</v>
      </c>
      <c r="O488" s="42">
        <f>VLOOKUP($A488,'Neraca Unaudited SIMAK'!$A$2:$R$1272,14,FALSE)+IF(ISNA(VLOOKUP($A488,'Mutasi Neraca'!$A$3:$S$910,14,FALSE)),0,VLOOKUP($A488,'Mutasi Neraca'!$A$3:$S$910,14,FALSE))</f>
        <v>-738106691</v>
      </c>
      <c r="P488" s="42">
        <f>VLOOKUP($A488,'Neraca Unaudited SIMAK'!$A$2:$R$1272,15,FALSE)+IF(ISNA(VLOOKUP($A488,'Mutasi Neraca'!$A$3:$S$910,15,FALSE)),0,VLOOKUP($A488,'Mutasi Neraca'!$A$3:$S$910,15,FALSE))</f>
        <v>0</v>
      </c>
      <c r="Q488" s="42">
        <f>VLOOKUP($A488,'Neraca Unaudited SIMAK'!$A$2:$R$1272,16,FALSE)+IF(ISNA(VLOOKUP($A488,'Mutasi Neraca'!$A$3:$S$910,16,FALSE)),0,VLOOKUP($A488,'Mutasi Neraca'!$A$3:$S$910,16,FALSE))</f>
        <v>0</v>
      </c>
      <c r="R488" s="42">
        <f>VLOOKUP($A488,'Neraca Unaudited SIMAK'!$A$2:$R$1272,17,FALSE)+IF(ISNA(VLOOKUP($A488,'Mutasi Neraca'!$A$3:$S$910,17,FALSE)),0,VLOOKUP($A488,'Mutasi Neraca'!$A$3:$S$910,17,FALSE))</f>
        <v>0</v>
      </c>
      <c r="S488" s="42">
        <f t="shared" si="57"/>
        <v>11997051421</v>
      </c>
    </row>
    <row r="489" spans="1:19">
      <c r="A489" s="41" t="s">
        <v>496</v>
      </c>
      <c r="B489" s="41" t="str">
        <f t="shared" si="56"/>
        <v>005011500</v>
      </c>
      <c r="D489" s="42">
        <f>VLOOKUP($A489,'Neraca Unaudited SIMAK'!$A$2:$R$1272,3,FALSE)+IF(ISNA(VLOOKUP($A489,'Mutasi Neraca'!$A$3:$S$910,3,FALSE)),0,VLOOKUP($A489,'Mutasi Neraca'!$A$3:$S$910,3,FALSE))</f>
        <v>0</v>
      </c>
      <c r="E489" s="42">
        <f>VLOOKUP($A489,'Neraca Unaudited SIMAK'!$A$2:$R$1272,4,FALSE)+IF(ISNA(VLOOKUP($A489,'Mutasi Neraca'!$A$3:$S$910,4,FALSE)),0,VLOOKUP($A489,'Mutasi Neraca'!$A$3:$S$910,4,FALSE))</f>
        <v>4706800000</v>
      </c>
      <c r="F489" s="42">
        <f>VLOOKUP($A489,'Neraca Unaudited SIMAK'!$A$2:$R$1272,5,FALSE)+IF(ISNA(VLOOKUP($A489,'Mutasi Neraca'!$A$3:$S$910,5,FALSE)),0,VLOOKUP($A489,'Mutasi Neraca'!$A$3:$S$910,5,FALSE))</f>
        <v>1368064703</v>
      </c>
      <c r="G489" s="42">
        <f>VLOOKUP($A489,'Neraca Unaudited SIMAK'!$A$2:$R$1272,6,FALSE)+IF(ISNA(VLOOKUP($A489,'Mutasi Neraca'!$A$3:$S$910,6,FALSE)),0,VLOOKUP($A489,'Mutasi Neraca'!$A$3:$S$910,6,FALSE))</f>
        <v>3677283610</v>
      </c>
      <c r="H489" s="42">
        <f>VLOOKUP($A489,'Neraca Unaudited SIMAK'!$A$2:$R$1272,7,FALSE)+IF(ISNA(VLOOKUP($A489,'Mutasi Neraca'!$A$3:$S$910,7,FALSE)),0,VLOOKUP($A489,'Mutasi Neraca'!$A$3:$S$910,7,FALSE))</f>
        <v>0</v>
      </c>
      <c r="I489" s="42">
        <f>VLOOKUP($A489,'Neraca Unaudited SIMAK'!$A$2:$R$1272,8,FALSE)+IF(ISNA(VLOOKUP($A489,'Mutasi Neraca'!$A$3:$S$910,8,FALSE)),0,VLOOKUP($A489,'Mutasi Neraca'!$A$3:$S$910,8,FALSE))</f>
        <v>97097118</v>
      </c>
      <c r="J489" s="42">
        <f>VLOOKUP($A489,'Neraca Unaudited SIMAK'!$A$2:$R$1272,9,FALSE)+IF(ISNA(VLOOKUP($A489,'Mutasi Neraca'!$A$3:$S$910,9,FALSE)),0,VLOOKUP($A489,'Mutasi Neraca'!$A$3:$S$910,9,FALSE))</f>
        <v>0</v>
      </c>
      <c r="K489" s="42">
        <f>VLOOKUP($A489,'Neraca Unaudited SIMAK'!$A$2:$R$1272,10,FALSE)+IF(ISNA(VLOOKUP($A489,'Mutasi Neraca'!$A$3:$S$910,10,FALSE)),0,VLOOKUP($A489,'Mutasi Neraca'!$A$3:$S$910,10,FALSE))</f>
        <v>0</v>
      </c>
      <c r="L489" s="42">
        <f>VLOOKUP($A489,'Neraca Unaudited SIMAK'!$A$2:$R$1272,11,FALSE)+IF(ISNA(VLOOKUP($A489,'Mutasi Neraca'!$A$3:$S$910,11,FALSE)),0,VLOOKUP($A489,'Mutasi Neraca'!$A$3:$S$910,11,FALSE))</f>
        <v>7000</v>
      </c>
      <c r="M489" s="42">
        <f>VLOOKUP($A489,'Neraca Unaudited SIMAK'!$A$2:$R$1272,12,FALSE)+IF(ISNA(VLOOKUP($A489,'Mutasi Neraca'!$A$3:$S$910,12,FALSE)),0,VLOOKUP($A489,'Mutasi Neraca'!$A$3:$S$910,12,FALSE))</f>
        <v>9849252431</v>
      </c>
      <c r="N489" s="42">
        <f>VLOOKUP($A489,'Neraca Unaudited SIMAK'!$A$2:$R$1272,13,FALSE)+IF(ISNA(VLOOKUP($A489,'Mutasi Neraca'!$A$3:$S$910,13,FALSE)),0,VLOOKUP($A489,'Mutasi Neraca'!$A$3:$S$910,13,FALSE))</f>
        <v>-1256123051</v>
      </c>
      <c r="O489" s="42">
        <f>VLOOKUP($A489,'Neraca Unaudited SIMAK'!$A$2:$R$1272,14,FALSE)+IF(ISNA(VLOOKUP($A489,'Mutasi Neraca'!$A$3:$S$910,14,FALSE)),0,VLOOKUP($A489,'Mutasi Neraca'!$A$3:$S$910,14,FALSE))</f>
        <v>-1789424023</v>
      </c>
      <c r="P489" s="42">
        <f>VLOOKUP($A489,'Neraca Unaudited SIMAK'!$A$2:$R$1272,15,FALSE)+IF(ISNA(VLOOKUP($A489,'Mutasi Neraca'!$A$3:$S$910,15,FALSE)),0,VLOOKUP($A489,'Mutasi Neraca'!$A$3:$S$910,15,FALSE))</f>
        <v>0</v>
      </c>
      <c r="Q489" s="42">
        <f>VLOOKUP($A489,'Neraca Unaudited SIMAK'!$A$2:$R$1272,16,FALSE)+IF(ISNA(VLOOKUP($A489,'Mutasi Neraca'!$A$3:$S$910,16,FALSE)),0,VLOOKUP($A489,'Mutasi Neraca'!$A$3:$S$910,16,FALSE))</f>
        <v>0</v>
      </c>
      <c r="R489" s="42">
        <f>VLOOKUP($A489,'Neraca Unaudited SIMAK'!$A$2:$R$1272,17,FALSE)+IF(ISNA(VLOOKUP($A489,'Mutasi Neraca'!$A$3:$S$910,17,FALSE)),0,VLOOKUP($A489,'Mutasi Neraca'!$A$3:$S$910,17,FALSE))</f>
        <v>-7000</v>
      </c>
      <c r="S489" s="42">
        <f t="shared" si="57"/>
        <v>6803698357</v>
      </c>
    </row>
    <row r="490" spans="1:19">
      <c r="A490" s="41" t="s">
        <v>497</v>
      </c>
      <c r="B490" s="41" t="str">
        <f t="shared" si="56"/>
        <v>005011500</v>
      </c>
      <c r="D490" s="42">
        <f>VLOOKUP($A490,'Neraca Unaudited SIMAK'!$A$2:$R$1272,3,FALSE)+IF(ISNA(VLOOKUP($A490,'Mutasi Neraca'!$A$3:$S$910,3,FALSE)),0,VLOOKUP($A490,'Mutasi Neraca'!$A$3:$S$910,3,FALSE))</f>
        <v>1783100</v>
      </c>
      <c r="E490" s="42">
        <f>VLOOKUP($A490,'Neraca Unaudited SIMAK'!$A$2:$R$1272,4,FALSE)+IF(ISNA(VLOOKUP($A490,'Mutasi Neraca'!$A$3:$S$910,4,FALSE)),0,VLOOKUP($A490,'Mutasi Neraca'!$A$3:$S$910,4,FALSE))</f>
        <v>7909000000</v>
      </c>
      <c r="F490" s="42">
        <f>VLOOKUP($A490,'Neraca Unaudited SIMAK'!$A$2:$R$1272,5,FALSE)+IF(ISNA(VLOOKUP($A490,'Mutasi Neraca'!$A$3:$S$910,5,FALSE)),0,VLOOKUP($A490,'Mutasi Neraca'!$A$3:$S$910,5,FALSE))</f>
        <v>1572221061</v>
      </c>
      <c r="G490" s="42">
        <f>VLOOKUP($A490,'Neraca Unaudited SIMAK'!$A$2:$R$1272,6,FALSE)+IF(ISNA(VLOOKUP($A490,'Mutasi Neraca'!$A$3:$S$910,6,FALSE)),0,VLOOKUP($A490,'Mutasi Neraca'!$A$3:$S$910,6,FALSE))</f>
        <v>12689217654</v>
      </c>
      <c r="H490" s="42">
        <f>VLOOKUP($A490,'Neraca Unaudited SIMAK'!$A$2:$R$1272,7,FALSE)+IF(ISNA(VLOOKUP($A490,'Mutasi Neraca'!$A$3:$S$910,7,FALSE)),0,VLOOKUP($A490,'Mutasi Neraca'!$A$3:$S$910,7,FALSE))</f>
        <v>0</v>
      </c>
      <c r="I490" s="42">
        <f>VLOOKUP($A490,'Neraca Unaudited SIMAK'!$A$2:$R$1272,8,FALSE)+IF(ISNA(VLOOKUP($A490,'Mutasi Neraca'!$A$3:$S$910,8,FALSE)),0,VLOOKUP($A490,'Mutasi Neraca'!$A$3:$S$910,8,FALSE))</f>
        <v>2014440</v>
      </c>
      <c r="J490" s="42">
        <f>VLOOKUP($A490,'Neraca Unaudited SIMAK'!$A$2:$R$1272,9,FALSE)+IF(ISNA(VLOOKUP($A490,'Mutasi Neraca'!$A$3:$S$910,9,FALSE)),0,VLOOKUP($A490,'Mutasi Neraca'!$A$3:$S$910,9,FALSE))</f>
        <v>0</v>
      </c>
      <c r="K490" s="42">
        <f>VLOOKUP($A490,'Neraca Unaudited SIMAK'!$A$2:$R$1272,10,FALSE)+IF(ISNA(VLOOKUP($A490,'Mutasi Neraca'!$A$3:$S$910,10,FALSE)),0,VLOOKUP($A490,'Mutasi Neraca'!$A$3:$S$910,10,FALSE))</f>
        <v>0</v>
      </c>
      <c r="L490" s="42">
        <f>VLOOKUP($A490,'Neraca Unaudited SIMAK'!$A$2:$R$1272,11,FALSE)+IF(ISNA(VLOOKUP($A490,'Mutasi Neraca'!$A$3:$S$910,11,FALSE)),0,VLOOKUP($A490,'Mutasi Neraca'!$A$3:$S$910,11,FALSE))</f>
        <v>42027427</v>
      </c>
      <c r="M490" s="42">
        <f>VLOOKUP($A490,'Neraca Unaudited SIMAK'!$A$2:$R$1272,12,FALSE)+IF(ISNA(VLOOKUP($A490,'Mutasi Neraca'!$A$3:$S$910,12,FALSE)),0,VLOOKUP($A490,'Mutasi Neraca'!$A$3:$S$910,12,FALSE))</f>
        <v>22216263682</v>
      </c>
      <c r="N490" s="42">
        <f>VLOOKUP($A490,'Neraca Unaudited SIMAK'!$A$2:$R$1272,13,FALSE)+IF(ISNA(VLOOKUP($A490,'Mutasi Neraca'!$A$3:$S$910,13,FALSE)),0,VLOOKUP($A490,'Mutasi Neraca'!$A$3:$S$910,13,FALSE))</f>
        <v>-1157472128</v>
      </c>
      <c r="O490" s="42">
        <f>VLOOKUP($A490,'Neraca Unaudited SIMAK'!$A$2:$R$1272,14,FALSE)+IF(ISNA(VLOOKUP($A490,'Mutasi Neraca'!$A$3:$S$910,14,FALSE)),0,VLOOKUP($A490,'Mutasi Neraca'!$A$3:$S$910,14,FALSE))</f>
        <v>-1038991527</v>
      </c>
      <c r="P490" s="42">
        <f>VLOOKUP($A490,'Neraca Unaudited SIMAK'!$A$2:$R$1272,15,FALSE)+IF(ISNA(VLOOKUP($A490,'Mutasi Neraca'!$A$3:$S$910,15,FALSE)),0,VLOOKUP($A490,'Mutasi Neraca'!$A$3:$S$910,15,FALSE))</f>
        <v>0</v>
      </c>
      <c r="Q490" s="42">
        <f>VLOOKUP($A490,'Neraca Unaudited SIMAK'!$A$2:$R$1272,16,FALSE)+IF(ISNA(VLOOKUP($A490,'Mutasi Neraca'!$A$3:$S$910,16,FALSE)),0,VLOOKUP($A490,'Mutasi Neraca'!$A$3:$S$910,16,FALSE))</f>
        <v>0</v>
      </c>
      <c r="R490" s="42">
        <f>VLOOKUP($A490,'Neraca Unaudited SIMAK'!$A$2:$R$1272,17,FALSE)+IF(ISNA(VLOOKUP($A490,'Mutasi Neraca'!$A$3:$S$910,17,FALSE)),0,VLOOKUP($A490,'Mutasi Neraca'!$A$3:$S$910,17,FALSE))</f>
        <v>-42027427</v>
      </c>
      <c r="S490" s="42">
        <f t="shared" si="57"/>
        <v>19977772600</v>
      </c>
    </row>
    <row r="491" spans="1:19">
      <c r="A491" s="41" t="s">
        <v>498</v>
      </c>
      <c r="B491" s="41" t="str">
        <f t="shared" si="56"/>
        <v>005011500</v>
      </c>
      <c r="D491" s="42">
        <f>VLOOKUP($A491,'Neraca Unaudited SIMAK'!$A$2:$R$1272,3,FALSE)+IF(ISNA(VLOOKUP($A491,'Mutasi Neraca'!$A$3:$S$910,3,FALSE)),0,VLOOKUP($A491,'Mutasi Neraca'!$A$3:$S$910,3,FALSE))</f>
        <v>0</v>
      </c>
      <c r="E491" s="42">
        <f>VLOOKUP($A491,'Neraca Unaudited SIMAK'!$A$2:$R$1272,4,FALSE)+IF(ISNA(VLOOKUP($A491,'Mutasi Neraca'!$A$3:$S$910,4,FALSE)),0,VLOOKUP($A491,'Mutasi Neraca'!$A$3:$S$910,4,FALSE))</f>
        <v>3133447400</v>
      </c>
      <c r="F491" s="42">
        <f>VLOOKUP($A491,'Neraca Unaudited SIMAK'!$A$2:$R$1272,5,FALSE)+IF(ISNA(VLOOKUP($A491,'Mutasi Neraca'!$A$3:$S$910,5,FALSE)),0,VLOOKUP($A491,'Mutasi Neraca'!$A$3:$S$910,5,FALSE))</f>
        <v>1623506279</v>
      </c>
      <c r="G491" s="42">
        <f>VLOOKUP($A491,'Neraca Unaudited SIMAK'!$A$2:$R$1272,6,FALSE)+IF(ISNA(VLOOKUP($A491,'Mutasi Neraca'!$A$3:$S$910,6,FALSE)),0,VLOOKUP($A491,'Mutasi Neraca'!$A$3:$S$910,6,FALSE))</f>
        <v>5760775600</v>
      </c>
      <c r="H491" s="42">
        <f>VLOOKUP($A491,'Neraca Unaudited SIMAK'!$A$2:$R$1272,7,FALSE)+IF(ISNA(VLOOKUP($A491,'Mutasi Neraca'!$A$3:$S$910,7,FALSE)),0,VLOOKUP($A491,'Mutasi Neraca'!$A$3:$S$910,7,FALSE))</f>
        <v>6450000</v>
      </c>
      <c r="I491" s="42">
        <f>VLOOKUP($A491,'Neraca Unaudited SIMAK'!$A$2:$R$1272,8,FALSE)+IF(ISNA(VLOOKUP($A491,'Mutasi Neraca'!$A$3:$S$910,8,FALSE)),0,VLOOKUP($A491,'Mutasi Neraca'!$A$3:$S$910,8,FALSE))</f>
        <v>19204940</v>
      </c>
      <c r="J491" s="42">
        <f>VLOOKUP($A491,'Neraca Unaudited SIMAK'!$A$2:$R$1272,9,FALSE)+IF(ISNA(VLOOKUP($A491,'Mutasi Neraca'!$A$3:$S$910,9,FALSE)),0,VLOOKUP($A491,'Mutasi Neraca'!$A$3:$S$910,9,FALSE))</f>
        <v>0</v>
      </c>
      <c r="K491" s="42">
        <f>VLOOKUP($A491,'Neraca Unaudited SIMAK'!$A$2:$R$1272,10,FALSE)+IF(ISNA(VLOOKUP($A491,'Mutasi Neraca'!$A$3:$S$910,10,FALSE)),0,VLOOKUP($A491,'Mutasi Neraca'!$A$3:$S$910,10,FALSE))</f>
        <v>10000000</v>
      </c>
      <c r="L491" s="42">
        <f>VLOOKUP($A491,'Neraca Unaudited SIMAK'!$A$2:$R$1272,11,FALSE)+IF(ISNA(VLOOKUP($A491,'Mutasi Neraca'!$A$3:$S$910,11,FALSE)),0,VLOOKUP($A491,'Mutasi Neraca'!$A$3:$S$910,11,FALSE))</f>
        <v>29683250</v>
      </c>
      <c r="M491" s="42">
        <f>VLOOKUP($A491,'Neraca Unaudited SIMAK'!$A$2:$R$1272,12,FALSE)+IF(ISNA(VLOOKUP($A491,'Mutasi Neraca'!$A$3:$S$910,12,FALSE)),0,VLOOKUP($A491,'Mutasi Neraca'!$A$3:$S$910,12,FALSE))</f>
        <v>10583067469</v>
      </c>
      <c r="N491" s="42">
        <f>VLOOKUP($A491,'Neraca Unaudited SIMAK'!$A$2:$R$1272,13,FALSE)+IF(ISNA(VLOOKUP($A491,'Mutasi Neraca'!$A$3:$S$910,13,FALSE)),0,VLOOKUP($A491,'Mutasi Neraca'!$A$3:$S$910,13,FALSE))</f>
        <v>-1518864307</v>
      </c>
      <c r="O491" s="42">
        <f>VLOOKUP($A491,'Neraca Unaudited SIMAK'!$A$2:$R$1272,14,FALSE)+IF(ISNA(VLOOKUP($A491,'Mutasi Neraca'!$A$3:$S$910,14,FALSE)),0,VLOOKUP($A491,'Mutasi Neraca'!$A$3:$S$910,14,FALSE))</f>
        <v>-1843246623</v>
      </c>
      <c r="P491" s="42">
        <f>VLOOKUP($A491,'Neraca Unaudited SIMAK'!$A$2:$R$1272,15,FALSE)+IF(ISNA(VLOOKUP($A491,'Mutasi Neraca'!$A$3:$S$910,15,FALSE)),0,VLOOKUP($A491,'Mutasi Neraca'!$A$3:$S$910,15,FALSE))</f>
        <v>-5450000</v>
      </c>
      <c r="Q491" s="42">
        <f>VLOOKUP($A491,'Neraca Unaudited SIMAK'!$A$2:$R$1272,16,FALSE)+IF(ISNA(VLOOKUP($A491,'Mutasi Neraca'!$A$3:$S$910,16,FALSE)),0,VLOOKUP($A491,'Mutasi Neraca'!$A$3:$S$910,16,FALSE))</f>
        <v>0</v>
      </c>
      <c r="R491" s="42">
        <f>VLOOKUP($A491,'Neraca Unaudited SIMAK'!$A$2:$R$1272,17,FALSE)+IF(ISNA(VLOOKUP($A491,'Mutasi Neraca'!$A$3:$S$910,17,FALSE)),0,VLOOKUP($A491,'Mutasi Neraca'!$A$3:$S$910,17,FALSE))</f>
        <v>-8820000</v>
      </c>
      <c r="S491" s="42">
        <f t="shared" si="57"/>
        <v>7206686539</v>
      </c>
    </row>
    <row r="492" spans="1:19">
      <c r="A492" s="41" t="s">
        <v>499</v>
      </c>
      <c r="B492" s="41" t="str">
        <f t="shared" si="56"/>
        <v>005011500</v>
      </c>
      <c r="D492" s="42">
        <f>VLOOKUP($A492,'Neraca Unaudited SIMAK'!$A$2:$R$1272,3,FALSE)+IF(ISNA(VLOOKUP($A492,'Mutasi Neraca'!$A$3:$S$910,3,FALSE)),0,VLOOKUP($A492,'Mutasi Neraca'!$A$3:$S$910,3,FALSE))</f>
        <v>12000</v>
      </c>
      <c r="E492" s="42">
        <f>VLOOKUP($A492,'Neraca Unaudited SIMAK'!$A$2:$R$1272,4,FALSE)+IF(ISNA(VLOOKUP($A492,'Mutasi Neraca'!$A$3:$S$910,4,FALSE)),0,VLOOKUP($A492,'Mutasi Neraca'!$A$3:$S$910,4,FALSE))</f>
        <v>3253406000</v>
      </c>
      <c r="F492" s="42">
        <f>VLOOKUP($A492,'Neraca Unaudited SIMAK'!$A$2:$R$1272,5,FALSE)+IF(ISNA(VLOOKUP($A492,'Mutasi Neraca'!$A$3:$S$910,5,FALSE)),0,VLOOKUP($A492,'Mutasi Neraca'!$A$3:$S$910,5,FALSE))</f>
        <v>1373436500</v>
      </c>
      <c r="G492" s="42">
        <f>VLOOKUP($A492,'Neraca Unaudited SIMAK'!$A$2:$R$1272,6,FALSE)+IF(ISNA(VLOOKUP($A492,'Mutasi Neraca'!$A$3:$S$910,6,FALSE)),0,VLOOKUP($A492,'Mutasi Neraca'!$A$3:$S$910,6,FALSE))</f>
        <v>4030277325</v>
      </c>
      <c r="H492" s="42">
        <f>VLOOKUP($A492,'Neraca Unaudited SIMAK'!$A$2:$R$1272,7,FALSE)+IF(ISNA(VLOOKUP($A492,'Mutasi Neraca'!$A$3:$S$910,7,FALSE)),0,VLOOKUP($A492,'Mutasi Neraca'!$A$3:$S$910,7,FALSE))</f>
        <v>0</v>
      </c>
      <c r="I492" s="42">
        <f>VLOOKUP($A492,'Neraca Unaudited SIMAK'!$A$2:$R$1272,8,FALSE)+IF(ISNA(VLOOKUP($A492,'Mutasi Neraca'!$A$3:$S$910,8,FALSE)),0,VLOOKUP($A492,'Mutasi Neraca'!$A$3:$S$910,8,FALSE))</f>
        <v>4772118</v>
      </c>
      <c r="J492" s="42">
        <f>VLOOKUP($A492,'Neraca Unaudited SIMAK'!$A$2:$R$1272,9,FALSE)+IF(ISNA(VLOOKUP($A492,'Mutasi Neraca'!$A$3:$S$910,9,FALSE)),0,VLOOKUP($A492,'Mutasi Neraca'!$A$3:$S$910,9,FALSE))</f>
        <v>0</v>
      </c>
      <c r="K492" s="42">
        <f>VLOOKUP($A492,'Neraca Unaudited SIMAK'!$A$2:$R$1272,10,FALSE)+IF(ISNA(VLOOKUP($A492,'Mutasi Neraca'!$A$3:$S$910,10,FALSE)),0,VLOOKUP($A492,'Mutasi Neraca'!$A$3:$S$910,10,FALSE))</f>
        <v>0</v>
      </c>
      <c r="L492" s="42">
        <f>VLOOKUP($A492,'Neraca Unaudited SIMAK'!$A$2:$R$1272,11,FALSE)+IF(ISNA(VLOOKUP($A492,'Mutasi Neraca'!$A$3:$S$910,11,FALSE)),0,VLOOKUP($A492,'Mutasi Neraca'!$A$3:$S$910,11,FALSE))</f>
        <v>349471717</v>
      </c>
      <c r="M492" s="42">
        <f>VLOOKUP($A492,'Neraca Unaudited SIMAK'!$A$2:$R$1272,12,FALSE)+IF(ISNA(VLOOKUP($A492,'Mutasi Neraca'!$A$3:$S$910,12,FALSE)),0,VLOOKUP($A492,'Mutasi Neraca'!$A$3:$S$910,12,FALSE))</f>
        <v>9011375660</v>
      </c>
      <c r="N492" s="42">
        <f>VLOOKUP($A492,'Neraca Unaudited SIMAK'!$A$2:$R$1272,13,FALSE)+IF(ISNA(VLOOKUP($A492,'Mutasi Neraca'!$A$3:$S$910,13,FALSE)),0,VLOOKUP($A492,'Mutasi Neraca'!$A$3:$S$910,13,FALSE))</f>
        <v>-993283433</v>
      </c>
      <c r="O492" s="42">
        <f>VLOOKUP($A492,'Neraca Unaudited SIMAK'!$A$2:$R$1272,14,FALSE)+IF(ISNA(VLOOKUP($A492,'Mutasi Neraca'!$A$3:$S$910,14,FALSE)),0,VLOOKUP($A492,'Mutasi Neraca'!$A$3:$S$910,14,FALSE))</f>
        <v>-1069933864</v>
      </c>
      <c r="P492" s="42">
        <f>VLOOKUP($A492,'Neraca Unaudited SIMAK'!$A$2:$R$1272,15,FALSE)+IF(ISNA(VLOOKUP($A492,'Mutasi Neraca'!$A$3:$S$910,15,FALSE)),0,VLOOKUP($A492,'Mutasi Neraca'!$A$3:$S$910,15,FALSE))</f>
        <v>0</v>
      </c>
      <c r="Q492" s="42">
        <f>VLOOKUP($A492,'Neraca Unaudited SIMAK'!$A$2:$R$1272,16,FALSE)+IF(ISNA(VLOOKUP($A492,'Mutasi Neraca'!$A$3:$S$910,16,FALSE)),0,VLOOKUP($A492,'Mutasi Neraca'!$A$3:$S$910,16,FALSE))</f>
        <v>0</v>
      </c>
      <c r="R492" s="42">
        <f>VLOOKUP($A492,'Neraca Unaudited SIMAK'!$A$2:$R$1272,17,FALSE)+IF(ISNA(VLOOKUP($A492,'Mutasi Neraca'!$A$3:$S$910,17,FALSE)),0,VLOOKUP($A492,'Mutasi Neraca'!$A$3:$S$910,17,FALSE))</f>
        <v>-312391550</v>
      </c>
      <c r="S492" s="42">
        <f t="shared" si="57"/>
        <v>6635766813</v>
      </c>
    </row>
    <row r="493" spans="1:19">
      <c r="A493" s="41" t="s">
        <v>500</v>
      </c>
      <c r="B493" s="41" t="str">
        <f t="shared" si="56"/>
        <v>005011500</v>
      </c>
      <c r="D493" s="42">
        <f>VLOOKUP($A493,'Neraca Unaudited SIMAK'!$A$2:$R$1272,3,FALSE)+IF(ISNA(VLOOKUP($A493,'Mutasi Neraca'!$A$3:$S$910,3,FALSE)),0,VLOOKUP($A493,'Mutasi Neraca'!$A$3:$S$910,3,FALSE))</f>
        <v>0</v>
      </c>
      <c r="E493" s="42">
        <f>VLOOKUP($A493,'Neraca Unaudited SIMAK'!$A$2:$R$1272,4,FALSE)+IF(ISNA(VLOOKUP($A493,'Mutasi Neraca'!$A$3:$S$910,4,FALSE)),0,VLOOKUP($A493,'Mutasi Neraca'!$A$3:$S$910,4,FALSE))</f>
        <v>1783348000</v>
      </c>
      <c r="F493" s="42">
        <f>VLOOKUP($A493,'Neraca Unaudited SIMAK'!$A$2:$R$1272,5,FALSE)+IF(ISNA(VLOOKUP($A493,'Mutasi Neraca'!$A$3:$S$910,5,FALSE)),0,VLOOKUP($A493,'Mutasi Neraca'!$A$3:$S$910,5,FALSE))</f>
        <v>1472260903</v>
      </c>
      <c r="G493" s="42">
        <f>VLOOKUP($A493,'Neraca Unaudited SIMAK'!$A$2:$R$1272,6,FALSE)+IF(ISNA(VLOOKUP($A493,'Mutasi Neraca'!$A$3:$S$910,6,FALSE)),0,VLOOKUP($A493,'Mutasi Neraca'!$A$3:$S$910,6,FALSE))</f>
        <v>4319626000</v>
      </c>
      <c r="H493" s="42">
        <f>VLOOKUP($A493,'Neraca Unaudited SIMAK'!$A$2:$R$1272,7,FALSE)+IF(ISNA(VLOOKUP($A493,'Mutasi Neraca'!$A$3:$S$910,7,FALSE)),0,VLOOKUP($A493,'Mutasi Neraca'!$A$3:$S$910,7,FALSE))</f>
        <v>29307000</v>
      </c>
      <c r="I493" s="42">
        <f>VLOOKUP($A493,'Neraca Unaudited SIMAK'!$A$2:$R$1272,8,FALSE)+IF(ISNA(VLOOKUP($A493,'Mutasi Neraca'!$A$3:$S$910,8,FALSE)),0,VLOOKUP($A493,'Mutasi Neraca'!$A$3:$S$910,8,FALSE))</f>
        <v>24193440</v>
      </c>
      <c r="J493" s="42">
        <f>VLOOKUP($A493,'Neraca Unaudited SIMAK'!$A$2:$R$1272,9,FALSE)+IF(ISNA(VLOOKUP($A493,'Mutasi Neraca'!$A$3:$S$910,9,FALSE)),0,VLOOKUP($A493,'Mutasi Neraca'!$A$3:$S$910,9,FALSE))</f>
        <v>0</v>
      </c>
      <c r="K493" s="42">
        <f>VLOOKUP($A493,'Neraca Unaudited SIMAK'!$A$2:$R$1272,10,FALSE)+IF(ISNA(VLOOKUP($A493,'Mutasi Neraca'!$A$3:$S$910,10,FALSE)),0,VLOOKUP($A493,'Mutasi Neraca'!$A$3:$S$910,10,FALSE))</f>
        <v>0</v>
      </c>
      <c r="L493" s="42">
        <f>VLOOKUP($A493,'Neraca Unaudited SIMAK'!$A$2:$R$1272,11,FALSE)+IF(ISNA(VLOOKUP($A493,'Mutasi Neraca'!$A$3:$S$910,11,FALSE)),0,VLOOKUP($A493,'Mutasi Neraca'!$A$3:$S$910,11,FALSE))</f>
        <v>0</v>
      </c>
      <c r="M493" s="42">
        <f>VLOOKUP($A493,'Neraca Unaudited SIMAK'!$A$2:$R$1272,12,FALSE)+IF(ISNA(VLOOKUP($A493,'Mutasi Neraca'!$A$3:$S$910,12,FALSE)),0,VLOOKUP($A493,'Mutasi Neraca'!$A$3:$S$910,12,FALSE))</f>
        <v>7628735343</v>
      </c>
      <c r="N493" s="42">
        <f>VLOOKUP($A493,'Neraca Unaudited SIMAK'!$A$2:$R$1272,13,FALSE)+IF(ISNA(VLOOKUP($A493,'Mutasi Neraca'!$A$3:$S$910,13,FALSE)),0,VLOOKUP($A493,'Mutasi Neraca'!$A$3:$S$910,13,FALSE))</f>
        <v>-1153748974</v>
      </c>
      <c r="O493" s="42">
        <f>VLOOKUP($A493,'Neraca Unaudited SIMAK'!$A$2:$R$1272,14,FALSE)+IF(ISNA(VLOOKUP($A493,'Mutasi Neraca'!$A$3:$S$910,14,FALSE)),0,VLOOKUP($A493,'Mutasi Neraca'!$A$3:$S$910,14,FALSE))</f>
        <v>-708134927</v>
      </c>
      <c r="P493" s="42">
        <f>VLOOKUP($A493,'Neraca Unaudited SIMAK'!$A$2:$R$1272,15,FALSE)+IF(ISNA(VLOOKUP($A493,'Mutasi Neraca'!$A$3:$S$910,15,FALSE)),0,VLOOKUP($A493,'Mutasi Neraca'!$A$3:$S$910,15,FALSE))</f>
        <v>-4396050</v>
      </c>
      <c r="Q493" s="42">
        <f>VLOOKUP($A493,'Neraca Unaudited SIMAK'!$A$2:$R$1272,16,FALSE)+IF(ISNA(VLOOKUP($A493,'Mutasi Neraca'!$A$3:$S$910,16,FALSE)),0,VLOOKUP($A493,'Mutasi Neraca'!$A$3:$S$910,16,FALSE))</f>
        <v>0</v>
      </c>
      <c r="R493" s="42">
        <f>VLOOKUP($A493,'Neraca Unaudited SIMAK'!$A$2:$R$1272,17,FALSE)+IF(ISNA(VLOOKUP($A493,'Mutasi Neraca'!$A$3:$S$910,17,FALSE)),0,VLOOKUP($A493,'Mutasi Neraca'!$A$3:$S$910,17,FALSE))</f>
        <v>0</v>
      </c>
      <c r="S493" s="42">
        <f t="shared" si="57"/>
        <v>5762455392</v>
      </c>
    </row>
    <row r="494" spans="1:19">
      <c r="A494" s="41" t="s">
        <v>501</v>
      </c>
      <c r="B494" s="41" t="str">
        <f t="shared" si="56"/>
        <v>005011500</v>
      </c>
      <c r="D494" s="42">
        <f>VLOOKUP($A494,'Neraca Unaudited SIMAK'!$A$2:$R$1272,3,FALSE)+IF(ISNA(VLOOKUP($A494,'Mutasi Neraca'!$A$3:$S$910,3,FALSE)),0,VLOOKUP($A494,'Mutasi Neraca'!$A$3:$S$910,3,FALSE))</f>
        <v>4095644</v>
      </c>
      <c r="E494" s="42">
        <f>VLOOKUP($A494,'Neraca Unaudited SIMAK'!$A$2:$R$1272,4,FALSE)+IF(ISNA(VLOOKUP($A494,'Mutasi Neraca'!$A$3:$S$910,4,FALSE)),0,VLOOKUP($A494,'Mutasi Neraca'!$A$3:$S$910,4,FALSE))</f>
        <v>501265000</v>
      </c>
      <c r="F494" s="42">
        <f>VLOOKUP($A494,'Neraca Unaudited SIMAK'!$A$2:$R$1272,5,FALSE)+IF(ISNA(VLOOKUP($A494,'Mutasi Neraca'!$A$3:$S$910,5,FALSE)),0,VLOOKUP($A494,'Mutasi Neraca'!$A$3:$S$910,5,FALSE))</f>
        <v>1225185224</v>
      </c>
      <c r="G494" s="42">
        <f>VLOOKUP($A494,'Neraca Unaudited SIMAK'!$A$2:$R$1272,6,FALSE)+IF(ISNA(VLOOKUP($A494,'Mutasi Neraca'!$A$3:$S$910,6,FALSE)),0,VLOOKUP($A494,'Mutasi Neraca'!$A$3:$S$910,6,FALSE))</f>
        <v>10462923770</v>
      </c>
      <c r="H494" s="42">
        <f>VLOOKUP($A494,'Neraca Unaudited SIMAK'!$A$2:$R$1272,7,FALSE)+IF(ISNA(VLOOKUP($A494,'Mutasi Neraca'!$A$3:$S$910,7,FALSE)),0,VLOOKUP($A494,'Mutasi Neraca'!$A$3:$S$910,7,FALSE))</f>
        <v>97322000</v>
      </c>
      <c r="I494" s="42">
        <f>VLOOKUP($A494,'Neraca Unaudited SIMAK'!$A$2:$R$1272,8,FALSE)+IF(ISNA(VLOOKUP($A494,'Mutasi Neraca'!$A$3:$S$910,8,FALSE)),0,VLOOKUP($A494,'Mutasi Neraca'!$A$3:$S$910,8,FALSE))</f>
        <v>2402420</v>
      </c>
      <c r="J494" s="42">
        <f>VLOOKUP($A494,'Neraca Unaudited SIMAK'!$A$2:$R$1272,9,FALSE)+IF(ISNA(VLOOKUP($A494,'Mutasi Neraca'!$A$3:$S$910,9,FALSE)),0,VLOOKUP($A494,'Mutasi Neraca'!$A$3:$S$910,9,FALSE))</f>
        <v>0</v>
      </c>
      <c r="K494" s="42">
        <f>VLOOKUP($A494,'Neraca Unaudited SIMAK'!$A$2:$R$1272,10,FALSE)+IF(ISNA(VLOOKUP($A494,'Mutasi Neraca'!$A$3:$S$910,10,FALSE)),0,VLOOKUP($A494,'Mutasi Neraca'!$A$3:$S$910,10,FALSE))</f>
        <v>7506000</v>
      </c>
      <c r="L494" s="42">
        <f>VLOOKUP($A494,'Neraca Unaudited SIMAK'!$A$2:$R$1272,11,FALSE)+IF(ISNA(VLOOKUP($A494,'Mutasi Neraca'!$A$3:$S$910,11,FALSE)),0,VLOOKUP($A494,'Mutasi Neraca'!$A$3:$S$910,11,FALSE))</f>
        <v>288438128</v>
      </c>
      <c r="M494" s="42">
        <f>VLOOKUP($A494,'Neraca Unaudited SIMAK'!$A$2:$R$1272,12,FALSE)+IF(ISNA(VLOOKUP($A494,'Mutasi Neraca'!$A$3:$S$910,12,FALSE)),0,VLOOKUP($A494,'Mutasi Neraca'!$A$3:$S$910,12,FALSE))</f>
        <v>12589138186</v>
      </c>
      <c r="N494" s="42">
        <f>VLOOKUP($A494,'Neraca Unaudited SIMAK'!$A$2:$R$1272,13,FALSE)+IF(ISNA(VLOOKUP($A494,'Mutasi Neraca'!$A$3:$S$910,13,FALSE)),0,VLOOKUP($A494,'Mutasi Neraca'!$A$3:$S$910,13,FALSE))</f>
        <v>-998511399</v>
      </c>
      <c r="O494" s="42">
        <f>VLOOKUP($A494,'Neraca Unaudited SIMAK'!$A$2:$R$1272,14,FALSE)+IF(ISNA(VLOOKUP($A494,'Mutasi Neraca'!$A$3:$S$910,14,FALSE)),0,VLOOKUP($A494,'Mutasi Neraca'!$A$3:$S$910,14,FALSE))</f>
        <v>-1076744435</v>
      </c>
      <c r="P494" s="42">
        <f>VLOOKUP($A494,'Neraca Unaudited SIMAK'!$A$2:$R$1272,15,FALSE)+IF(ISNA(VLOOKUP($A494,'Mutasi Neraca'!$A$3:$S$910,15,FALSE)),0,VLOOKUP($A494,'Mutasi Neraca'!$A$3:$S$910,15,FALSE))</f>
        <v>-21361525</v>
      </c>
      <c r="Q494" s="42">
        <f>VLOOKUP($A494,'Neraca Unaudited SIMAK'!$A$2:$R$1272,16,FALSE)+IF(ISNA(VLOOKUP($A494,'Mutasi Neraca'!$A$3:$S$910,16,FALSE)),0,VLOOKUP($A494,'Mutasi Neraca'!$A$3:$S$910,16,FALSE))</f>
        <v>0</v>
      </c>
      <c r="R494" s="42">
        <f>VLOOKUP($A494,'Neraca Unaudited SIMAK'!$A$2:$R$1272,17,FALSE)+IF(ISNA(VLOOKUP($A494,'Mutasi Neraca'!$A$3:$S$910,17,FALSE)),0,VLOOKUP($A494,'Mutasi Neraca'!$A$3:$S$910,17,FALSE))</f>
        <v>-287763128</v>
      </c>
      <c r="S494" s="42">
        <f t="shared" si="57"/>
        <v>10204757699</v>
      </c>
    </row>
    <row r="495" spans="1:19">
      <c r="A495" s="41" t="s">
        <v>502</v>
      </c>
      <c r="B495" s="41" t="str">
        <f t="shared" si="56"/>
        <v>005011500</v>
      </c>
      <c r="D495" s="42">
        <f>VLOOKUP($A495,'Neraca Unaudited SIMAK'!$A$2:$R$1272,3,FALSE)+IF(ISNA(VLOOKUP($A495,'Mutasi Neraca'!$A$3:$S$910,3,FALSE)),0,VLOOKUP($A495,'Mutasi Neraca'!$A$3:$S$910,3,FALSE))</f>
        <v>75000</v>
      </c>
      <c r="E495" s="42">
        <f>VLOOKUP($A495,'Neraca Unaudited SIMAK'!$A$2:$R$1272,4,FALSE)+IF(ISNA(VLOOKUP($A495,'Mutasi Neraca'!$A$3:$S$910,4,FALSE)),0,VLOOKUP($A495,'Mutasi Neraca'!$A$3:$S$910,4,FALSE))</f>
        <v>2882250000</v>
      </c>
      <c r="F495" s="42">
        <f>VLOOKUP($A495,'Neraca Unaudited SIMAK'!$A$2:$R$1272,5,FALSE)+IF(ISNA(VLOOKUP($A495,'Mutasi Neraca'!$A$3:$S$910,5,FALSE)),0,VLOOKUP($A495,'Mutasi Neraca'!$A$3:$S$910,5,FALSE))</f>
        <v>1083420402</v>
      </c>
      <c r="G495" s="42">
        <f>VLOOKUP($A495,'Neraca Unaudited SIMAK'!$A$2:$R$1272,6,FALSE)+IF(ISNA(VLOOKUP($A495,'Mutasi Neraca'!$A$3:$S$910,6,FALSE)),0,VLOOKUP($A495,'Mutasi Neraca'!$A$3:$S$910,6,FALSE))</f>
        <v>5087271998</v>
      </c>
      <c r="H495" s="42">
        <f>VLOOKUP($A495,'Neraca Unaudited SIMAK'!$A$2:$R$1272,7,FALSE)+IF(ISNA(VLOOKUP($A495,'Mutasi Neraca'!$A$3:$S$910,7,FALSE)),0,VLOOKUP($A495,'Mutasi Neraca'!$A$3:$S$910,7,FALSE))</f>
        <v>9760000</v>
      </c>
      <c r="I495" s="42">
        <f>VLOOKUP($A495,'Neraca Unaudited SIMAK'!$A$2:$R$1272,8,FALSE)+IF(ISNA(VLOOKUP($A495,'Mutasi Neraca'!$A$3:$S$910,8,FALSE)),0,VLOOKUP($A495,'Mutasi Neraca'!$A$3:$S$910,8,FALSE))</f>
        <v>14040176</v>
      </c>
      <c r="J495" s="42">
        <f>VLOOKUP($A495,'Neraca Unaudited SIMAK'!$A$2:$R$1272,9,FALSE)+IF(ISNA(VLOOKUP($A495,'Mutasi Neraca'!$A$3:$S$910,9,FALSE)),0,VLOOKUP($A495,'Mutasi Neraca'!$A$3:$S$910,9,FALSE))</f>
        <v>0</v>
      </c>
      <c r="K495" s="42">
        <f>VLOOKUP($A495,'Neraca Unaudited SIMAK'!$A$2:$R$1272,10,FALSE)+IF(ISNA(VLOOKUP($A495,'Mutasi Neraca'!$A$3:$S$910,10,FALSE)),0,VLOOKUP($A495,'Mutasi Neraca'!$A$3:$S$910,10,FALSE))</f>
        <v>0</v>
      </c>
      <c r="L495" s="42">
        <f>VLOOKUP($A495,'Neraca Unaudited SIMAK'!$A$2:$R$1272,11,FALSE)+IF(ISNA(VLOOKUP($A495,'Mutasi Neraca'!$A$3:$S$910,11,FALSE)),0,VLOOKUP($A495,'Mutasi Neraca'!$A$3:$S$910,11,FALSE))</f>
        <v>47600000</v>
      </c>
      <c r="M495" s="42">
        <f>VLOOKUP($A495,'Neraca Unaudited SIMAK'!$A$2:$R$1272,12,FALSE)+IF(ISNA(VLOOKUP($A495,'Mutasi Neraca'!$A$3:$S$910,12,FALSE)),0,VLOOKUP($A495,'Mutasi Neraca'!$A$3:$S$910,12,FALSE))</f>
        <v>9124417576</v>
      </c>
      <c r="N495" s="42">
        <f>VLOOKUP($A495,'Neraca Unaudited SIMAK'!$A$2:$R$1272,13,FALSE)+IF(ISNA(VLOOKUP($A495,'Mutasi Neraca'!$A$3:$S$910,13,FALSE)),0,VLOOKUP($A495,'Mutasi Neraca'!$A$3:$S$910,13,FALSE))</f>
        <v>-914842619</v>
      </c>
      <c r="O495" s="42">
        <f>VLOOKUP($A495,'Neraca Unaudited SIMAK'!$A$2:$R$1272,14,FALSE)+IF(ISNA(VLOOKUP($A495,'Mutasi Neraca'!$A$3:$S$910,14,FALSE)),0,VLOOKUP($A495,'Mutasi Neraca'!$A$3:$S$910,14,FALSE))</f>
        <v>-838022366</v>
      </c>
      <c r="P495" s="42">
        <f>VLOOKUP($A495,'Neraca Unaudited SIMAK'!$A$2:$R$1272,15,FALSE)+IF(ISNA(VLOOKUP($A495,'Mutasi Neraca'!$A$3:$S$910,15,FALSE)),0,VLOOKUP($A495,'Mutasi Neraca'!$A$3:$S$910,15,FALSE))</f>
        <v>-1094922</v>
      </c>
      <c r="Q495" s="42">
        <f>VLOOKUP($A495,'Neraca Unaudited SIMAK'!$A$2:$R$1272,16,FALSE)+IF(ISNA(VLOOKUP($A495,'Mutasi Neraca'!$A$3:$S$910,16,FALSE)),0,VLOOKUP($A495,'Mutasi Neraca'!$A$3:$S$910,16,FALSE))</f>
        <v>0</v>
      </c>
      <c r="R495" s="42">
        <f>VLOOKUP($A495,'Neraca Unaudited SIMAK'!$A$2:$R$1272,17,FALSE)+IF(ISNA(VLOOKUP($A495,'Mutasi Neraca'!$A$3:$S$910,17,FALSE)),0,VLOOKUP($A495,'Mutasi Neraca'!$A$3:$S$910,17,FALSE))</f>
        <v>-47600000</v>
      </c>
      <c r="S495" s="42">
        <f t="shared" si="57"/>
        <v>7322857669</v>
      </c>
    </row>
    <row r="496" spans="1:19">
      <c r="A496" s="41" t="s">
        <v>503</v>
      </c>
      <c r="B496" s="41" t="str">
        <f t="shared" si="56"/>
        <v>005011500</v>
      </c>
      <c r="D496" s="42">
        <f>VLOOKUP($A496,'Neraca Unaudited SIMAK'!$A$2:$R$1272,3,FALSE)+IF(ISNA(VLOOKUP($A496,'Mutasi Neraca'!$A$3:$S$910,3,FALSE)),0,VLOOKUP($A496,'Mutasi Neraca'!$A$3:$S$910,3,FALSE))</f>
        <v>5953000</v>
      </c>
      <c r="E496" s="42">
        <f>VLOOKUP($A496,'Neraca Unaudited SIMAK'!$A$2:$R$1272,4,FALSE)+IF(ISNA(VLOOKUP($A496,'Mutasi Neraca'!$A$3:$S$910,4,FALSE)),0,VLOOKUP($A496,'Mutasi Neraca'!$A$3:$S$910,4,FALSE))</f>
        <v>1446629250</v>
      </c>
      <c r="F496" s="42">
        <f>VLOOKUP($A496,'Neraca Unaudited SIMAK'!$A$2:$R$1272,5,FALSE)+IF(ISNA(VLOOKUP($A496,'Mutasi Neraca'!$A$3:$S$910,5,FALSE)),0,VLOOKUP($A496,'Mutasi Neraca'!$A$3:$S$910,5,FALSE))</f>
        <v>1490454233</v>
      </c>
      <c r="G496" s="42">
        <f>VLOOKUP($A496,'Neraca Unaudited SIMAK'!$A$2:$R$1272,6,FALSE)+IF(ISNA(VLOOKUP($A496,'Mutasi Neraca'!$A$3:$S$910,6,FALSE)),0,VLOOKUP($A496,'Mutasi Neraca'!$A$3:$S$910,6,FALSE))</f>
        <v>7821370349</v>
      </c>
      <c r="H496" s="42">
        <f>VLOOKUP($A496,'Neraca Unaudited SIMAK'!$A$2:$R$1272,7,FALSE)+IF(ISNA(VLOOKUP($A496,'Mutasi Neraca'!$A$3:$S$910,7,FALSE)),0,VLOOKUP($A496,'Mutasi Neraca'!$A$3:$S$910,7,FALSE))</f>
        <v>0</v>
      </c>
      <c r="I496" s="42">
        <f>VLOOKUP($A496,'Neraca Unaudited SIMAK'!$A$2:$R$1272,8,FALSE)+IF(ISNA(VLOOKUP($A496,'Mutasi Neraca'!$A$3:$S$910,8,FALSE)),0,VLOOKUP($A496,'Mutasi Neraca'!$A$3:$S$910,8,FALSE))</f>
        <v>1861820</v>
      </c>
      <c r="J496" s="42">
        <f>VLOOKUP($A496,'Neraca Unaudited SIMAK'!$A$2:$R$1272,9,FALSE)+IF(ISNA(VLOOKUP($A496,'Mutasi Neraca'!$A$3:$S$910,9,FALSE)),0,VLOOKUP($A496,'Mutasi Neraca'!$A$3:$S$910,9,FALSE))</f>
        <v>0</v>
      </c>
      <c r="K496" s="42">
        <f>VLOOKUP($A496,'Neraca Unaudited SIMAK'!$A$2:$R$1272,10,FALSE)+IF(ISNA(VLOOKUP($A496,'Mutasi Neraca'!$A$3:$S$910,10,FALSE)),0,VLOOKUP($A496,'Mutasi Neraca'!$A$3:$S$910,10,FALSE))</f>
        <v>0</v>
      </c>
      <c r="L496" s="42">
        <f>VLOOKUP($A496,'Neraca Unaudited SIMAK'!$A$2:$R$1272,11,FALSE)+IF(ISNA(VLOOKUP($A496,'Mutasi Neraca'!$A$3:$S$910,11,FALSE)),0,VLOOKUP($A496,'Mutasi Neraca'!$A$3:$S$910,11,FALSE))</f>
        <v>2375000</v>
      </c>
      <c r="M496" s="42">
        <f>VLOOKUP($A496,'Neraca Unaudited SIMAK'!$A$2:$R$1272,12,FALSE)+IF(ISNA(VLOOKUP($A496,'Mutasi Neraca'!$A$3:$S$910,12,FALSE)),0,VLOOKUP($A496,'Mutasi Neraca'!$A$3:$S$910,12,FALSE))</f>
        <v>10768643652</v>
      </c>
      <c r="N496" s="42">
        <f>VLOOKUP($A496,'Neraca Unaudited SIMAK'!$A$2:$R$1272,13,FALSE)+IF(ISNA(VLOOKUP($A496,'Mutasi Neraca'!$A$3:$S$910,13,FALSE)),0,VLOOKUP($A496,'Mutasi Neraca'!$A$3:$S$910,13,FALSE))</f>
        <v>-1381182478</v>
      </c>
      <c r="O496" s="42">
        <f>VLOOKUP($A496,'Neraca Unaudited SIMAK'!$A$2:$R$1272,14,FALSE)+IF(ISNA(VLOOKUP($A496,'Mutasi Neraca'!$A$3:$S$910,14,FALSE)),0,VLOOKUP($A496,'Mutasi Neraca'!$A$3:$S$910,14,FALSE))</f>
        <v>-886920152</v>
      </c>
      <c r="P496" s="42">
        <f>VLOOKUP($A496,'Neraca Unaudited SIMAK'!$A$2:$R$1272,15,FALSE)+IF(ISNA(VLOOKUP($A496,'Mutasi Neraca'!$A$3:$S$910,15,FALSE)),0,VLOOKUP($A496,'Mutasi Neraca'!$A$3:$S$910,15,FALSE))</f>
        <v>0</v>
      </c>
      <c r="Q496" s="42">
        <f>VLOOKUP($A496,'Neraca Unaudited SIMAK'!$A$2:$R$1272,16,FALSE)+IF(ISNA(VLOOKUP($A496,'Mutasi Neraca'!$A$3:$S$910,16,FALSE)),0,VLOOKUP($A496,'Mutasi Neraca'!$A$3:$S$910,16,FALSE))</f>
        <v>0</v>
      </c>
      <c r="R496" s="42">
        <f>VLOOKUP($A496,'Neraca Unaudited SIMAK'!$A$2:$R$1272,17,FALSE)+IF(ISNA(VLOOKUP($A496,'Mutasi Neraca'!$A$3:$S$910,17,FALSE)),0,VLOOKUP($A496,'Mutasi Neraca'!$A$3:$S$910,17,FALSE))</f>
        <v>-2375000</v>
      </c>
      <c r="S496" s="42">
        <f t="shared" si="57"/>
        <v>8498166022</v>
      </c>
    </row>
    <row r="497" spans="1:19">
      <c r="A497" s="41" t="s">
        <v>504</v>
      </c>
      <c r="B497" s="41" t="str">
        <f t="shared" si="56"/>
        <v>005011500</v>
      </c>
      <c r="D497" s="42">
        <f>VLOOKUP($A497,'Neraca Unaudited SIMAK'!$A$2:$R$1272,3,FALSE)+IF(ISNA(VLOOKUP($A497,'Mutasi Neraca'!$A$3:$S$910,3,FALSE)),0,VLOOKUP($A497,'Mutasi Neraca'!$A$3:$S$910,3,FALSE))</f>
        <v>0</v>
      </c>
      <c r="E497" s="42">
        <f>VLOOKUP($A497,'Neraca Unaudited SIMAK'!$A$2:$R$1272,4,FALSE)+IF(ISNA(VLOOKUP($A497,'Mutasi Neraca'!$A$3:$S$910,4,FALSE)),0,VLOOKUP($A497,'Mutasi Neraca'!$A$3:$S$910,4,FALSE))</f>
        <v>1514694800</v>
      </c>
      <c r="F497" s="42">
        <f>VLOOKUP($A497,'Neraca Unaudited SIMAK'!$A$2:$R$1272,5,FALSE)+IF(ISNA(VLOOKUP($A497,'Mutasi Neraca'!$A$3:$S$910,5,FALSE)),0,VLOOKUP($A497,'Mutasi Neraca'!$A$3:$S$910,5,FALSE))</f>
        <v>1415386103</v>
      </c>
      <c r="G497" s="42">
        <f>VLOOKUP($A497,'Neraca Unaudited SIMAK'!$A$2:$R$1272,6,FALSE)+IF(ISNA(VLOOKUP($A497,'Mutasi Neraca'!$A$3:$S$910,6,FALSE)),0,VLOOKUP($A497,'Mutasi Neraca'!$A$3:$S$910,6,FALSE))</f>
        <v>3077307100</v>
      </c>
      <c r="H497" s="42">
        <f>VLOOKUP($A497,'Neraca Unaudited SIMAK'!$A$2:$R$1272,7,FALSE)+IF(ISNA(VLOOKUP($A497,'Mutasi Neraca'!$A$3:$S$910,7,FALSE)),0,VLOOKUP($A497,'Mutasi Neraca'!$A$3:$S$910,7,FALSE))</f>
        <v>55232350</v>
      </c>
      <c r="I497" s="42">
        <f>VLOOKUP($A497,'Neraca Unaudited SIMAK'!$A$2:$R$1272,8,FALSE)+IF(ISNA(VLOOKUP($A497,'Mutasi Neraca'!$A$3:$S$910,8,FALSE)),0,VLOOKUP($A497,'Mutasi Neraca'!$A$3:$S$910,8,FALSE))</f>
        <v>53043440</v>
      </c>
      <c r="J497" s="42">
        <f>VLOOKUP($A497,'Neraca Unaudited SIMAK'!$A$2:$R$1272,9,FALSE)+IF(ISNA(VLOOKUP($A497,'Mutasi Neraca'!$A$3:$S$910,9,FALSE)),0,VLOOKUP($A497,'Mutasi Neraca'!$A$3:$S$910,9,FALSE))</f>
        <v>0</v>
      </c>
      <c r="K497" s="42">
        <f>VLOOKUP($A497,'Neraca Unaudited SIMAK'!$A$2:$R$1272,10,FALSE)+IF(ISNA(VLOOKUP($A497,'Mutasi Neraca'!$A$3:$S$910,10,FALSE)),0,VLOOKUP($A497,'Mutasi Neraca'!$A$3:$S$910,10,FALSE))</f>
        <v>0</v>
      </c>
      <c r="L497" s="42">
        <f>VLOOKUP($A497,'Neraca Unaudited SIMAK'!$A$2:$R$1272,11,FALSE)+IF(ISNA(VLOOKUP($A497,'Mutasi Neraca'!$A$3:$S$910,11,FALSE)),0,VLOOKUP($A497,'Mutasi Neraca'!$A$3:$S$910,11,FALSE))</f>
        <v>2000000</v>
      </c>
      <c r="M497" s="42">
        <f>VLOOKUP($A497,'Neraca Unaudited SIMAK'!$A$2:$R$1272,12,FALSE)+IF(ISNA(VLOOKUP($A497,'Mutasi Neraca'!$A$3:$S$910,12,FALSE)),0,VLOOKUP($A497,'Mutasi Neraca'!$A$3:$S$910,12,FALSE))</f>
        <v>6117663793</v>
      </c>
      <c r="N497" s="42">
        <f>VLOOKUP($A497,'Neraca Unaudited SIMAK'!$A$2:$R$1272,13,FALSE)+IF(ISNA(VLOOKUP($A497,'Mutasi Neraca'!$A$3:$S$910,13,FALSE)),0,VLOOKUP($A497,'Mutasi Neraca'!$A$3:$S$910,13,FALSE))</f>
        <v>-1258248791</v>
      </c>
      <c r="O497" s="42">
        <f>VLOOKUP($A497,'Neraca Unaudited SIMAK'!$A$2:$R$1272,14,FALSE)+IF(ISNA(VLOOKUP($A497,'Mutasi Neraca'!$A$3:$S$910,14,FALSE)),0,VLOOKUP($A497,'Mutasi Neraca'!$A$3:$S$910,14,FALSE))</f>
        <v>-1539097391</v>
      </c>
      <c r="P497" s="42">
        <f>VLOOKUP($A497,'Neraca Unaudited SIMAK'!$A$2:$R$1272,15,FALSE)+IF(ISNA(VLOOKUP($A497,'Mutasi Neraca'!$A$3:$S$910,15,FALSE)),0,VLOOKUP($A497,'Mutasi Neraca'!$A$3:$S$910,15,FALSE))</f>
        <v>-11736872</v>
      </c>
      <c r="Q497" s="42">
        <f>VLOOKUP($A497,'Neraca Unaudited SIMAK'!$A$2:$R$1272,16,FALSE)+IF(ISNA(VLOOKUP($A497,'Mutasi Neraca'!$A$3:$S$910,16,FALSE)),0,VLOOKUP($A497,'Mutasi Neraca'!$A$3:$S$910,16,FALSE))</f>
        <v>0</v>
      </c>
      <c r="R497" s="42">
        <f>VLOOKUP($A497,'Neraca Unaudited SIMAK'!$A$2:$R$1272,17,FALSE)+IF(ISNA(VLOOKUP($A497,'Mutasi Neraca'!$A$3:$S$910,17,FALSE)),0,VLOOKUP($A497,'Mutasi Neraca'!$A$3:$S$910,17,FALSE))</f>
        <v>-1400000</v>
      </c>
      <c r="S497" s="42">
        <f t="shared" si="57"/>
        <v>3307180739</v>
      </c>
    </row>
    <row r="498" spans="1:19">
      <c r="A498" s="41" t="s">
        <v>505</v>
      </c>
      <c r="B498" s="41" t="str">
        <f t="shared" si="56"/>
        <v>005011500</v>
      </c>
      <c r="D498" s="42">
        <f>VLOOKUP($A498,'Neraca Unaudited SIMAK'!$A$2:$R$1272,3,FALSE)+IF(ISNA(VLOOKUP($A498,'Mutasi Neraca'!$A$3:$S$910,3,FALSE)),0,VLOOKUP($A498,'Mutasi Neraca'!$A$3:$S$910,3,FALSE))</f>
        <v>0</v>
      </c>
      <c r="E498" s="42">
        <f>VLOOKUP($A498,'Neraca Unaudited SIMAK'!$A$2:$R$1272,4,FALSE)+IF(ISNA(VLOOKUP($A498,'Mutasi Neraca'!$A$3:$S$910,4,FALSE)),0,VLOOKUP($A498,'Mutasi Neraca'!$A$3:$S$910,4,FALSE))</f>
        <v>7500000000</v>
      </c>
      <c r="F498" s="42">
        <f>VLOOKUP($A498,'Neraca Unaudited SIMAK'!$A$2:$R$1272,5,FALSE)+IF(ISNA(VLOOKUP($A498,'Mutasi Neraca'!$A$3:$S$910,5,FALSE)),0,VLOOKUP($A498,'Mutasi Neraca'!$A$3:$S$910,5,FALSE))</f>
        <v>1254730828</v>
      </c>
      <c r="G498" s="42">
        <f>VLOOKUP($A498,'Neraca Unaudited SIMAK'!$A$2:$R$1272,6,FALSE)+IF(ISNA(VLOOKUP($A498,'Mutasi Neraca'!$A$3:$S$910,6,FALSE)),0,VLOOKUP($A498,'Mutasi Neraca'!$A$3:$S$910,6,FALSE))</f>
        <v>3908020000</v>
      </c>
      <c r="H498" s="42">
        <f>VLOOKUP($A498,'Neraca Unaudited SIMAK'!$A$2:$R$1272,7,FALSE)+IF(ISNA(VLOOKUP($A498,'Mutasi Neraca'!$A$3:$S$910,7,FALSE)),0,VLOOKUP($A498,'Mutasi Neraca'!$A$3:$S$910,7,FALSE))</f>
        <v>133545750</v>
      </c>
      <c r="I498" s="42">
        <f>VLOOKUP($A498,'Neraca Unaudited SIMAK'!$A$2:$R$1272,8,FALSE)+IF(ISNA(VLOOKUP($A498,'Mutasi Neraca'!$A$3:$S$910,8,FALSE)),0,VLOOKUP($A498,'Mutasi Neraca'!$A$3:$S$910,8,FALSE))</f>
        <v>136378440</v>
      </c>
      <c r="J498" s="42">
        <f>VLOOKUP($A498,'Neraca Unaudited SIMAK'!$A$2:$R$1272,9,FALSE)+IF(ISNA(VLOOKUP($A498,'Mutasi Neraca'!$A$3:$S$910,9,FALSE)),0,VLOOKUP($A498,'Mutasi Neraca'!$A$3:$S$910,9,FALSE))</f>
        <v>0</v>
      </c>
      <c r="K498" s="42">
        <f>VLOOKUP($A498,'Neraca Unaudited SIMAK'!$A$2:$R$1272,10,FALSE)+IF(ISNA(VLOOKUP($A498,'Mutasi Neraca'!$A$3:$S$910,10,FALSE)),0,VLOOKUP($A498,'Mutasi Neraca'!$A$3:$S$910,10,FALSE))</f>
        <v>0</v>
      </c>
      <c r="L498" s="42">
        <f>VLOOKUP($A498,'Neraca Unaudited SIMAK'!$A$2:$R$1272,11,FALSE)+IF(ISNA(VLOOKUP($A498,'Mutasi Neraca'!$A$3:$S$910,11,FALSE)),0,VLOOKUP($A498,'Mutasi Neraca'!$A$3:$S$910,11,FALSE))</f>
        <v>0</v>
      </c>
      <c r="M498" s="42">
        <f>VLOOKUP($A498,'Neraca Unaudited SIMAK'!$A$2:$R$1272,12,FALSE)+IF(ISNA(VLOOKUP($A498,'Mutasi Neraca'!$A$3:$S$910,12,FALSE)),0,VLOOKUP($A498,'Mutasi Neraca'!$A$3:$S$910,12,FALSE))</f>
        <v>12932675018</v>
      </c>
      <c r="N498" s="42">
        <f>VLOOKUP($A498,'Neraca Unaudited SIMAK'!$A$2:$R$1272,13,FALSE)+IF(ISNA(VLOOKUP($A498,'Mutasi Neraca'!$A$3:$S$910,13,FALSE)),0,VLOOKUP($A498,'Mutasi Neraca'!$A$3:$S$910,13,FALSE))</f>
        <v>-1144032456</v>
      </c>
      <c r="O498" s="42">
        <f>VLOOKUP($A498,'Neraca Unaudited SIMAK'!$A$2:$R$1272,14,FALSE)+IF(ISNA(VLOOKUP($A498,'Mutasi Neraca'!$A$3:$S$910,14,FALSE)),0,VLOOKUP($A498,'Mutasi Neraca'!$A$3:$S$910,14,FALSE))</f>
        <v>-781083959</v>
      </c>
      <c r="P498" s="42">
        <f>VLOOKUP($A498,'Neraca Unaudited SIMAK'!$A$2:$R$1272,15,FALSE)+IF(ISNA(VLOOKUP($A498,'Mutasi Neraca'!$A$3:$S$910,15,FALSE)),0,VLOOKUP($A498,'Mutasi Neraca'!$A$3:$S$910,15,FALSE))</f>
        <v>-84921610</v>
      </c>
      <c r="Q498" s="42">
        <f>VLOOKUP($A498,'Neraca Unaudited SIMAK'!$A$2:$R$1272,16,FALSE)+IF(ISNA(VLOOKUP($A498,'Mutasi Neraca'!$A$3:$S$910,16,FALSE)),0,VLOOKUP($A498,'Mutasi Neraca'!$A$3:$S$910,16,FALSE))</f>
        <v>0</v>
      </c>
      <c r="R498" s="42">
        <f>VLOOKUP($A498,'Neraca Unaudited SIMAK'!$A$2:$R$1272,17,FALSE)+IF(ISNA(VLOOKUP($A498,'Mutasi Neraca'!$A$3:$S$910,17,FALSE)),0,VLOOKUP($A498,'Mutasi Neraca'!$A$3:$S$910,17,FALSE))</f>
        <v>0</v>
      </c>
      <c r="S498" s="42">
        <f t="shared" si="57"/>
        <v>10922636993</v>
      </c>
    </row>
    <row r="499" spans="1:19">
      <c r="A499" s="41" t="s">
        <v>506</v>
      </c>
      <c r="B499" s="41" t="str">
        <f t="shared" si="56"/>
        <v>005011500</v>
      </c>
      <c r="D499" s="42">
        <f>VLOOKUP($A499,'Neraca Unaudited SIMAK'!$A$2:$R$1272,3,FALSE)+IF(ISNA(VLOOKUP($A499,'Mutasi Neraca'!$A$3:$S$910,3,FALSE)),0,VLOOKUP($A499,'Mutasi Neraca'!$A$3:$S$910,3,FALSE))</f>
        <v>2770300</v>
      </c>
      <c r="E499" s="42">
        <f>VLOOKUP($A499,'Neraca Unaudited SIMAK'!$A$2:$R$1272,4,FALSE)+IF(ISNA(VLOOKUP($A499,'Mutasi Neraca'!$A$3:$S$910,4,FALSE)),0,VLOOKUP($A499,'Mutasi Neraca'!$A$3:$S$910,4,FALSE))</f>
        <v>6727468000</v>
      </c>
      <c r="F499" s="42">
        <f>VLOOKUP($A499,'Neraca Unaudited SIMAK'!$A$2:$R$1272,5,FALSE)+IF(ISNA(VLOOKUP($A499,'Mutasi Neraca'!$A$3:$S$910,5,FALSE)),0,VLOOKUP($A499,'Mutasi Neraca'!$A$3:$S$910,5,FALSE))</f>
        <v>4484344419</v>
      </c>
      <c r="G499" s="42">
        <f>VLOOKUP($A499,'Neraca Unaudited SIMAK'!$A$2:$R$1272,6,FALSE)+IF(ISNA(VLOOKUP($A499,'Mutasi Neraca'!$A$3:$S$910,6,FALSE)),0,VLOOKUP($A499,'Mutasi Neraca'!$A$3:$S$910,6,FALSE))</f>
        <v>9841645657</v>
      </c>
      <c r="H499" s="42">
        <f>VLOOKUP($A499,'Neraca Unaudited SIMAK'!$A$2:$R$1272,7,FALSE)+IF(ISNA(VLOOKUP($A499,'Mutasi Neraca'!$A$3:$S$910,7,FALSE)),0,VLOOKUP($A499,'Mutasi Neraca'!$A$3:$S$910,7,FALSE))</f>
        <v>5500000</v>
      </c>
      <c r="I499" s="42">
        <f>VLOOKUP($A499,'Neraca Unaudited SIMAK'!$A$2:$R$1272,8,FALSE)+IF(ISNA(VLOOKUP($A499,'Mutasi Neraca'!$A$3:$S$910,8,FALSE)),0,VLOOKUP($A499,'Mutasi Neraca'!$A$3:$S$910,8,FALSE))</f>
        <v>11248738</v>
      </c>
      <c r="J499" s="42">
        <f>VLOOKUP($A499,'Neraca Unaudited SIMAK'!$A$2:$R$1272,9,FALSE)+IF(ISNA(VLOOKUP($A499,'Mutasi Neraca'!$A$3:$S$910,9,FALSE)),0,VLOOKUP($A499,'Mutasi Neraca'!$A$3:$S$910,9,FALSE))</f>
        <v>9984399000</v>
      </c>
      <c r="K499" s="42">
        <f>VLOOKUP($A499,'Neraca Unaudited SIMAK'!$A$2:$R$1272,10,FALSE)+IF(ISNA(VLOOKUP($A499,'Mutasi Neraca'!$A$3:$S$910,10,FALSE)),0,VLOOKUP($A499,'Mutasi Neraca'!$A$3:$S$910,10,FALSE))</f>
        <v>416069420</v>
      </c>
      <c r="L499" s="42">
        <f>VLOOKUP($A499,'Neraca Unaudited SIMAK'!$A$2:$R$1272,11,FALSE)+IF(ISNA(VLOOKUP($A499,'Mutasi Neraca'!$A$3:$S$910,11,FALSE)),0,VLOOKUP($A499,'Mutasi Neraca'!$A$3:$S$910,11,FALSE))</f>
        <v>119322120</v>
      </c>
      <c r="M499" s="42">
        <f>VLOOKUP($A499,'Neraca Unaudited SIMAK'!$A$2:$R$1272,12,FALSE)+IF(ISNA(VLOOKUP($A499,'Mutasi Neraca'!$A$3:$S$910,12,FALSE)),0,VLOOKUP($A499,'Mutasi Neraca'!$A$3:$S$910,12,FALSE))</f>
        <v>31592767654</v>
      </c>
      <c r="N499" s="42">
        <f>VLOOKUP($A499,'Neraca Unaudited SIMAK'!$A$2:$R$1272,13,FALSE)+IF(ISNA(VLOOKUP($A499,'Mutasi Neraca'!$A$3:$S$910,13,FALSE)),0,VLOOKUP($A499,'Mutasi Neraca'!$A$3:$S$910,13,FALSE))</f>
        <v>-3888141167</v>
      </c>
      <c r="O499" s="42">
        <f>VLOOKUP($A499,'Neraca Unaudited SIMAK'!$A$2:$R$1272,14,FALSE)+IF(ISNA(VLOOKUP($A499,'Mutasi Neraca'!$A$3:$S$910,14,FALSE)),0,VLOOKUP($A499,'Mutasi Neraca'!$A$3:$S$910,14,FALSE))</f>
        <v>-1779517219</v>
      </c>
      <c r="P499" s="42">
        <f>VLOOKUP($A499,'Neraca Unaudited SIMAK'!$A$2:$R$1272,15,FALSE)+IF(ISNA(VLOOKUP($A499,'Mutasi Neraca'!$A$3:$S$910,15,FALSE)),0,VLOOKUP($A499,'Mutasi Neraca'!$A$3:$S$910,15,FALSE))</f>
        <v>-5500000</v>
      </c>
      <c r="Q499" s="42">
        <f>VLOOKUP($A499,'Neraca Unaudited SIMAK'!$A$2:$R$1272,16,FALSE)+IF(ISNA(VLOOKUP($A499,'Mutasi Neraca'!$A$3:$S$910,16,FALSE)),0,VLOOKUP($A499,'Mutasi Neraca'!$A$3:$S$910,16,FALSE))</f>
        <v>0</v>
      </c>
      <c r="R499" s="42">
        <f>VLOOKUP($A499,'Neraca Unaudited SIMAK'!$A$2:$R$1272,17,FALSE)+IF(ISNA(VLOOKUP($A499,'Mutasi Neraca'!$A$3:$S$910,17,FALSE)),0,VLOOKUP($A499,'Mutasi Neraca'!$A$3:$S$910,17,FALSE))</f>
        <v>-119253370</v>
      </c>
      <c r="S499" s="42">
        <f t="shared" si="57"/>
        <v>25800355898</v>
      </c>
    </row>
    <row r="500" spans="1:19">
      <c r="A500" s="41" t="s">
        <v>507</v>
      </c>
      <c r="B500" s="41" t="str">
        <f t="shared" si="56"/>
        <v>005011500</v>
      </c>
      <c r="D500" s="42">
        <f>VLOOKUP($A500,'Neraca Unaudited SIMAK'!$A$2:$R$1272,3,FALSE)+IF(ISNA(VLOOKUP($A500,'Mutasi Neraca'!$A$3:$S$910,3,FALSE)),0,VLOOKUP($A500,'Mutasi Neraca'!$A$3:$S$910,3,FALSE))</f>
        <v>2294300</v>
      </c>
      <c r="E500" s="42">
        <f>VLOOKUP($A500,'Neraca Unaudited SIMAK'!$A$2:$R$1272,4,FALSE)+IF(ISNA(VLOOKUP($A500,'Mutasi Neraca'!$A$3:$S$910,4,FALSE)),0,VLOOKUP($A500,'Mutasi Neraca'!$A$3:$S$910,4,FALSE))</f>
        <v>227531000</v>
      </c>
      <c r="F500" s="42">
        <f>VLOOKUP($A500,'Neraca Unaudited SIMAK'!$A$2:$R$1272,5,FALSE)+IF(ISNA(VLOOKUP($A500,'Mutasi Neraca'!$A$3:$S$910,5,FALSE)),0,VLOOKUP($A500,'Mutasi Neraca'!$A$3:$S$910,5,FALSE))</f>
        <v>1905796789</v>
      </c>
      <c r="G500" s="42">
        <f>VLOOKUP($A500,'Neraca Unaudited SIMAK'!$A$2:$R$1272,6,FALSE)+IF(ISNA(VLOOKUP($A500,'Mutasi Neraca'!$A$3:$S$910,6,FALSE)),0,VLOOKUP($A500,'Mutasi Neraca'!$A$3:$S$910,6,FALSE))</f>
        <v>1570347100</v>
      </c>
      <c r="H500" s="42">
        <f>VLOOKUP($A500,'Neraca Unaudited SIMAK'!$A$2:$R$1272,7,FALSE)+IF(ISNA(VLOOKUP($A500,'Mutasi Neraca'!$A$3:$S$910,7,FALSE)),0,VLOOKUP($A500,'Mutasi Neraca'!$A$3:$S$910,7,FALSE))</f>
        <v>93000000</v>
      </c>
      <c r="I500" s="42">
        <f>VLOOKUP($A500,'Neraca Unaudited SIMAK'!$A$2:$R$1272,8,FALSE)+IF(ISNA(VLOOKUP($A500,'Mutasi Neraca'!$A$3:$S$910,8,FALSE)),0,VLOOKUP($A500,'Mutasi Neraca'!$A$3:$S$910,8,FALSE))</f>
        <v>23305330</v>
      </c>
      <c r="J500" s="42">
        <f>VLOOKUP($A500,'Neraca Unaudited SIMAK'!$A$2:$R$1272,9,FALSE)+IF(ISNA(VLOOKUP($A500,'Mutasi Neraca'!$A$3:$S$910,9,FALSE)),0,VLOOKUP($A500,'Mutasi Neraca'!$A$3:$S$910,9,FALSE))</f>
        <v>0</v>
      </c>
      <c r="K500" s="42">
        <f>VLOOKUP($A500,'Neraca Unaudited SIMAK'!$A$2:$R$1272,10,FALSE)+IF(ISNA(VLOOKUP($A500,'Mutasi Neraca'!$A$3:$S$910,10,FALSE)),0,VLOOKUP($A500,'Mutasi Neraca'!$A$3:$S$910,10,FALSE))</f>
        <v>22200000</v>
      </c>
      <c r="L500" s="42">
        <f>VLOOKUP($A500,'Neraca Unaudited SIMAK'!$A$2:$R$1272,11,FALSE)+IF(ISNA(VLOOKUP($A500,'Mutasi Neraca'!$A$3:$S$910,11,FALSE)),0,VLOOKUP($A500,'Mutasi Neraca'!$A$3:$S$910,11,FALSE))</f>
        <v>0</v>
      </c>
      <c r="M500" s="42">
        <f>VLOOKUP($A500,'Neraca Unaudited SIMAK'!$A$2:$R$1272,12,FALSE)+IF(ISNA(VLOOKUP($A500,'Mutasi Neraca'!$A$3:$S$910,12,FALSE)),0,VLOOKUP($A500,'Mutasi Neraca'!$A$3:$S$910,12,FALSE))</f>
        <v>3844474519</v>
      </c>
      <c r="N500" s="42">
        <f>VLOOKUP($A500,'Neraca Unaudited SIMAK'!$A$2:$R$1272,13,FALSE)+IF(ISNA(VLOOKUP($A500,'Mutasi Neraca'!$A$3:$S$910,13,FALSE)),0,VLOOKUP($A500,'Mutasi Neraca'!$A$3:$S$910,13,FALSE))</f>
        <v>-1551408272</v>
      </c>
      <c r="O500" s="42">
        <f>VLOOKUP($A500,'Neraca Unaudited SIMAK'!$A$2:$R$1272,14,FALSE)+IF(ISNA(VLOOKUP($A500,'Mutasi Neraca'!$A$3:$S$910,14,FALSE)),0,VLOOKUP($A500,'Mutasi Neraca'!$A$3:$S$910,14,FALSE))</f>
        <v>-233213291</v>
      </c>
      <c r="P500" s="42">
        <f>VLOOKUP($A500,'Neraca Unaudited SIMAK'!$A$2:$R$1272,15,FALSE)+IF(ISNA(VLOOKUP($A500,'Mutasi Neraca'!$A$3:$S$910,15,FALSE)),0,VLOOKUP($A500,'Mutasi Neraca'!$A$3:$S$910,15,FALSE))</f>
        <v>-12975000</v>
      </c>
      <c r="Q500" s="42">
        <f>VLOOKUP($A500,'Neraca Unaudited SIMAK'!$A$2:$R$1272,16,FALSE)+IF(ISNA(VLOOKUP($A500,'Mutasi Neraca'!$A$3:$S$910,16,FALSE)),0,VLOOKUP($A500,'Mutasi Neraca'!$A$3:$S$910,16,FALSE))</f>
        <v>0</v>
      </c>
      <c r="R500" s="42">
        <f>VLOOKUP($A500,'Neraca Unaudited SIMAK'!$A$2:$R$1272,17,FALSE)+IF(ISNA(VLOOKUP($A500,'Mutasi Neraca'!$A$3:$S$910,17,FALSE)),0,VLOOKUP($A500,'Mutasi Neraca'!$A$3:$S$910,17,FALSE))</f>
        <v>0</v>
      </c>
      <c r="S500" s="42">
        <f t="shared" si="57"/>
        <v>2046877956</v>
      </c>
    </row>
    <row r="501" spans="1:19">
      <c r="A501" s="41" t="s">
        <v>508</v>
      </c>
      <c r="B501" s="41" t="str">
        <f t="shared" si="56"/>
        <v>005011500</v>
      </c>
      <c r="D501" s="42">
        <f>VLOOKUP($A501,'Neraca Unaudited SIMAK'!$A$2:$R$1272,3,FALSE)+IF(ISNA(VLOOKUP($A501,'Mutasi Neraca'!$A$3:$S$910,3,FALSE)),0,VLOOKUP($A501,'Mutasi Neraca'!$A$3:$S$910,3,FALSE))</f>
        <v>722700</v>
      </c>
      <c r="E501" s="42">
        <f>VLOOKUP($A501,'Neraca Unaudited SIMAK'!$A$2:$R$1272,4,FALSE)+IF(ISNA(VLOOKUP($A501,'Mutasi Neraca'!$A$3:$S$910,4,FALSE)),0,VLOOKUP($A501,'Mutasi Neraca'!$A$3:$S$910,4,FALSE))</f>
        <v>929179400</v>
      </c>
      <c r="F501" s="42">
        <f>VLOOKUP($A501,'Neraca Unaudited SIMAK'!$A$2:$R$1272,5,FALSE)+IF(ISNA(VLOOKUP($A501,'Mutasi Neraca'!$A$3:$S$910,5,FALSE)),0,VLOOKUP($A501,'Mutasi Neraca'!$A$3:$S$910,5,FALSE))</f>
        <v>1419148017</v>
      </c>
      <c r="G501" s="42">
        <f>VLOOKUP($A501,'Neraca Unaudited SIMAK'!$A$2:$R$1272,6,FALSE)+IF(ISNA(VLOOKUP($A501,'Mutasi Neraca'!$A$3:$S$910,6,FALSE)),0,VLOOKUP($A501,'Mutasi Neraca'!$A$3:$S$910,6,FALSE))</f>
        <v>9876917400</v>
      </c>
      <c r="H501" s="42">
        <f>VLOOKUP($A501,'Neraca Unaudited SIMAK'!$A$2:$R$1272,7,FALSE)+IF(ISNA(VLOOKUP($A501,'Mutasi Neraca'!$A$3:$S$910,7,FALSE)),0,VLOOKUP($A501,'Mutasi Neraca'!$A$3:$S$910,7,FALSE))</f>
        <v>24964850</v>
      </c>
      <c r="I501" s="42">
        <f>VLOOKUP($A501,'Neraca Unaudited SIMAK'!$A$2:$R$1272,8,FALSE)+IF(ISNA(VLOOKUP($A501,'Mutasi Neraca'!$A$3:$S$910,8,FALSE)),0,VLOOKUP($A501,'Mutasi Neraca'!$A$3:$S$910,8,FALSE))</f>
        <v>30692098</v>
      </c>
      <c r="J501" s="42">
        <f>VLOOKUP($A501,'Neraca Unaudited SIMAK'!$A$2:$R$1272,9,FALSE)+IF(ISNA(VLOOKUP($A501,'Mutasi Neraca'!$A$3:$S$910,9,FALSE)),0,VLOOKUP($A501,'Mutasi Neraca'!$A$3:$S$910,9,FALSE))</f>
        <v>1712780000</v>
      </c>
      <c r="K501" s="42">
        <f>VLOOKUP($A501,'Neraca Unaudited SIMAK'!$A$2:$R$1272,10,FALSE)+IF(ISNA(VLOOKUP($A501,'Mutasi Neraca'!$A$3:$S$910,10,FALSE)),0,VLOOKUP($A501,'Mutasi Neraca'!$A$3:$S$910,10,FALSE))</f>
        <v>63650000</v>
      </c>
      <c r="L501" s="42">
        <f>VLOOKUP($A501,'Neraca Unaudited SIMAK'!$A$2:$R$1272,11,FALSE)+IF(ISNA(VLOOKUP($A501,'Mutasi Neraca'!$A$3:$S$910,11,FALSE)),0,VLOOKUP($A501,'Mutasi Neraca'!$A$3:$S$910,11,FALSE))</f>
        <v>1477203</v>
      </c>
      <c r="M501" s="42">
        <f>VLOOKUP($A501,'Neraca Unaudited SIMAK'!$A$2:$R$1272,12,FALSE)+IF(ISNA(VLOOKUP($A501,'Mutasi Neraca'!$A$3:$S$910,12,FALSE)),0,VLOOKUP($A501,'Mutasi Neraca'!$A$3:$S$910,12,FALSE))</f>
        <v>14059531668</v>
      </c>
      <c r="N501" s="42">
        <f>VLOOKUP($A501,'Neraca Unaudited SIMAK'!$A$2:$R$1272,13,FALSE)+IF(ISNA(VLOOKUP($A501,'Mutasi Neraca'!$A$3:$S$910,13,FALSE)),0,VLOOKUP($A501,'Mutasi Neraca'!$A$3:$S$910,13,FALSE))</f>
        <v>-998292337</v>
      </c>
      <c r="O501" s="42">
        <f>VLOOKUP($A501,'Neraca Unaudited SIMAK'!$A$2:$R$1272,14,FALSE)+IF(ISNA(VLOOKUP($A501,'Mutasi Neraca'!$A$3:$S$910,14,FALSE)),0,VLOOKUP($A501,'Mutasi Neraca'!$A$3:$S$910,14,FALSE))</f>
        <v>-296307522</v>
      </c>
      <c r="P501" s="42">
        <f>VLOOKUP($A501,'Neraca Unaudited SIMAK'!$A$2:$R$1272,15,FALSE)+IF(ISNA(VLOOKUP($A501,'Mutasi Neraca'!$A$3:$S$910,15,FALSE)),0,VLOOKUP($A501,'Mutasi Neraca'!$A$3:$S$910,15,FALSE))</f>
        <v>-3744730</v>
      </c>
      <c r="Q501" s="42">
        <f>VLOOKUP($A501,'Neraca Unaudited SIMAK'!$A$2:$R$1272,16,FALSE)+IF(ISNA(VLOOKUP($A501,'Mutasi Neraca'!$A$3:$S$910,16,FALSE)),0,VLOOKUP($A501,'Mutasi Neraca'!$A$3:$S$910,16,FALSE))</f>
        <v>0</v>
      </c>
      <c r="R501" s="42">
        <f>VLOOKUP($A501,'Neraca Unaudited SIMAK'!$A$2:$R$1272,17,FALSE)+IF(ISNA(VLOOKUP($A501,'Mutasi Neraca'!$A$3:$S$910,17,FALSE)),0,VLOOKUP($A501,'Mutasi Neraca'!$A$3:$S$910,17,FALSE))</f>
        <v>-1477203</v>
      </c>
      <c r="S501" s="42">
        <f t="shared" si="57"/>
        <v>12759709876</v>
      </c>
    </row>
    <row r="502" spans="1:19">
      <c r="A502" s="41" t="s">
        <v>509</v>
      </c>
      <c r="B502" s="41" t="str">
        <f t="shared" si="56"/>
        <v>005011500</v>
      </c>
      <c r="D502" s="42">
        <f>VLOOKUP($A502,'Neraca Unaudited SIMAK'!$A$2:$R$1272,3,FALSE)+IF(ISNA(VLOOKUP($A502,'Mutasi Neraca'!$A$3:$S$910,3,FALSE)),0,VLOOKUP($A502,'Mutasi Neraca'!$A$3:$S$910,3,FALSE))</f>
        <v>12500</v>
      </c>
      <c r="E502" s="42">
        <f>VLOOKUP($A502,'Neraca Unaudited SIMAK'!$A$2:$R$1272,4,FALSE)+IF(ISNA(VLOOKUP($A502,'Mutasi Neraca'!$A$3:$S$910,4,FALSE)),0,VLOOKUP($A502,'Mutasi Neraca'!$A$3:$S$910,4,FALSE))</f>
        <v>1282764336</v>
      </c>
      <c r="F502" s="42">
        <f>VLOOKUP($A502,'Neraca Unaudited SIMAK'!$A$2:$R$1272,5,FALSE)+IF(ISNA(VLOOKUP($A502,'Mutasi Neraca'!$A$3:$S$910,5,FALSE)),0,VLOOKUP($A502,'Mutasi Neraca'!$A$3:$S$910,5,FALSE))</f>
        <v>1351274375</v>
      </c>
      <c r="G502" s="42">
        <f>VLOOKUP($A502,'Neraca Unaudited SIMAK'!$A$2:$R$1272,6,FALSE)+IF(ISNA(VLOOKUP($A502,'Mutasi Neraca'!$A$3:$S$910,6,FALSE)),0,VLOOKUP($A502,'Mutasi Neraca'!$A$3:$S$910,6,FALSE))</f>
        <v>885948000</v>
      </c>
      <c r="H502" s="42">
        <f>VLOOKUP($A502,'Neraca Unaudited SIMAK'!$A$2:$R$1272,7,FALSE)+IF(ISNA(VLOOKUP($A502,'Mutasi Neraca'!$A$3:$S$910,7,FALSE)),0,VLOOKUP($A502,'Mutasi Neraca'!$A$3:$S$910,7,FALSE))</f>
        <v>0</v>
      </c>
      <c r="I502" s="42">
        <f>VLOOKUP($A502,'Neraca Unaudited SIMAK'!$A$2:$R$1272,8,FALSE)+IF(ISNA(VLOOKUP($A502,'Mutasi Neraca'!$A$3:$S$910,8,FALSE)),0,VLOOKUP($A502,'Mutasi Neraca'!$A$3:$S$910,8,FALSE))</f>
        <v>21863698</v>
      </c>
      <c r="J502" s="42">
        <f>VLOOKUP($A502,'Neraca Unaudited SIMAK'!$A$2:$R$1272,9,FALSE)+IF(ISNA(VLOOKUP($A502,'Mutasi Neraca'!$A$3:$S$910,9,FALSE)),0,VLOOKUP($A502,'Mutasi Neraca'!$A$3:$S$910,9,FALSE))</f>
        <v>2486911000</v>
      </c>
      <c r="K502" s="42">
        <f>VLOOKUP($A502,'Neraca Unaudited SIMAK'!$A$2:$R$1272,10,FALSE)+IF(ISNA(VLOOKUP($A502,'Mutasi Neraca'!$A$3:$S$910,10,FALSE)),0,VLOOKUP($A502,'Mutasi Neraca'!$A$3:$S$910,10,FALSE))</f>
        <v>27400000</v>
      </c>
      <c r="L502" s="42">
        <f>VLOOKUP($A502,'Neraca Unaudited SIMAK'!$A$2:$R$1272,11,FALSE)+IF(ISNA(VLOOKUP($A502,'Mutasi Neraca'!$A$3:$S$910,11,FALSE)),0,VLOOKUP($A502,'Mutasi Neraca'!$A$3:$S$910,11,FALSE))</f>
        <v>211379405</v>
      </c>
      <c r="M502" s="42">
        <f>VLOOKUP($A502,'Neraca Unaudited SIMAK'!$A$2:$R$1272,12,FALSE)+IF(ISNA(VLOOKUP($A502,'Mutasi Neraca'!$A$3:$S$910,12,FALSE)),0,VLOOKUP($A502,'Mutasi Neraca'!$A$3:$S$910,12,FALSE))</f>
        <v>6267553314</v>
      </c>
      <c r="N502" s="42">
        <f>VLOOKUP($A502,'Neraca Unaudited SIMAK'!$A$2:$R$1272,13,FALSE)+IF(ISNA(VLOOKUP($A502,'Mutasi Neraca'!$A$3:$S$910,13,FALSE)),0,VLOOKUP($A502,'Mutasi Neraca'!$A$3:$S$910,13,FALSE))</f>
        <v>-1196259940</v>
      </c>
      <c r="O502" s="42">
        <f>VLOOKUP($A502,'Neraca Unaudited SIMAK'!$A$2:$R$1272,14,FALSE)+IF(ISNA(VLOOKUP($A502,'Mutasi Neraca'!$A$3:$S$910,14,FALSE)),0,VLOOKUP($A502,'Mutasi Neraca'!$A$3:$S$910,14,FALSE))</f>
        <v>-154448360</v>
      </c>
      <c r="P502" s="42">
        <f>VLOOKUP($A502,'Neraca Unaudited SIMAK'!$A$2:$R$1272,15,FALSE)+IF(ISNA(VLOOKUP($A502,'Mutasi Neraca'!$A$3:$S$910,15,FALSE)),0,VLOOKUP($A502,'Mutasi Neraca'!$A$3:$S$910,15,FALSE))</f>
        <v>0</v>
      </c>
      <c r="Q502" s="42">
        <f>VLOOKUP($A502,'Neraca Unaudited SIMAK'!$A$2:$R$1272,16,FALSE)+IF(ISNA(VLOOKUP($A502,'Mutasi Neraca'!$A$3:$S$910,16,FALSE)),0,VLOOKUP($A502,'Mutasi Neraca'!$A$3:$S$910,16,FALSE))</f>
        <v>0</v>
      </c>
      <c r="R502" s="42">
        <f>VLOOKUP($A502,'Neraca Unaudited SIMAK'!$A$2:$R$1272,17,FALSE)+IF(ISNA(VLOOKUP($A502,'Mutasi Neraca'!$A$3:$S$910,17,FALSE)),0,VLOOKUP($A502,'Mutasi Neraca'!$A$3:$S$910,17,FALSE))</f>
        <v>-211379405</v>
      </c>
      <c r="S502" s="42">
        <f t="shared" si="57"/>
        <v>4705465609</v>
      </c>
    </row>
    <row r="503" spans="1:19">
      <c r="A503" s="41" t="s">
        <v>510</v>
      </c>
      <c r="B503" s="41" t="str">
        <f t="shared" si="56"/>
        <v>005011500</v>
      </c>
      <c r="D503" s="42">
        <f>VLOOKUP($A503,'Neraca Unaudited SIMAK'!$A$2:$R$1272,3,FALSE)+IF(ISNA(VLOOKUP($A503,'Mutasi Neraca'!$A$3:$S$910,3,FALSE)),0,VLOOKUP($A503,'Mutasi Neraca'!$A$3:$S$910,3,FALSE))</f>
        <v>660100</v>
      </c>
      <c r="E503" s="42">
        <f>VLOOKUP($A503,'Neraca Unaudited SIMAK'!$A$2:$R$1272,4,FALSE)+IF(ISNA(VLOOKUP($A503,'Mutasi Neraca'!$A$3:$S$910,4,FALSE)),0,VLOOKUP($A503,'Mutasi Neraca'!$A$3:$S$910,4,FALSE))</f>
        <v>1644137000</v>
      </c>
      <c r="F503" s="42">
        <f>VLOOKUP($A503,'Neraca Unaudited SIMAK'!$A$2:$R$1272,5,FALSE)+IF(ISNA(VLOOKUP($A503,'Mutasi Neraca'!$A$3:$S$910,5,FALSE)),0,VLOOKUP($A503,'Mutasi Neraca'!$A$3:$S$910,5,FALSE))</f>
        <v>1243710440</v>
      </c>
      <c r="G503" s="42">
        <f>VLOOKUP($A503,'Neraca Unaudited SIMAK'!$A$2:$R$1272,6,FALSE)+IF(ISNA(VLOOKUP($A503,'Mutasi Neraca'!$A$3:$S$910,6,FALSE)),0,VLOOKUP($A503,'Mutasi Neraca'!$A$3:$S$910,6,FALSE))</f>
        <v>5755047426</v>
      </c>
      <c r="H503" s="42">
        <f>VLOOKUP($A503,'Neraca Unaudited SIMAK'!$A$2:$R$1272,7,FALSE)+IF(ISNA(VLOOKUP($A503,'Mutasi Neraca'!$A$3:$S$910,7,FALSE)),0,VLOOKUP($A503,'Mutasi Neraca'!$A$3:$S$910,7,FALSE))</f>
        <v>99770000</v>
      </c>
      <c r="I503" s="42">
        <f>VLOOKUP($A503,'Neraca Unaudited SIMAK'!$A$2:$R$1272,8,FALSE)+IF(ISNA(VLOOKUP($A503,'Mutasi Neraca'!$A$3:$S$910,8,FALSE)),0,VLOOKUP($A503,'Mutasi Neraca'!$A$3:$S$910,8,FALSE))</f>
        <v>39538120</v>
      </c>
      <c r="J503" s="42">
        <f>VLOOKUP($A503,'Neraca Unaudited SIMAK'!$A$2:$R$1272,9,FALSE)+IF(ISNA(VLOOKUP($A503,'Mutasi Neraca'!$A$3:$S$910,9,FALSE)),0,VLOOKUP($A503,'Mutasi Neraca'!$A$3:$S$910,9,FALSE))</f>
        <v>0</v>
      </c>
      <c r="K503" s="42">
        <f>VLOOKUP($A503,'Neraca Unaudited SIMAK'!$A$2:$R$1272,10,FALSE)+IF(ISNA(VLOOKUP($A503,'Mutasi Neraca'!$A$3:$S$910,10,FALSE)),0,VLOOKUP($A503,'Mutasi Neraca'!$A$3:$S$910,10,FALSE))</f>
        <v>27475000</v>
      </c>
      <c r="L503" s="42">
        <f>VLOOKUP($A503,'Neraca Unaudited SIMAK'!$A$2:$R$1272,11,FALSE)+IF(ISNA(VLOOKUP($A503,'Mutasi Neraca'!$A$3:$S$910,11,FALSE)),0,VLOOKUP($A503,'Mutasi Neraca'!$A$3:$S$910,11,FALSE))</f>
        <v>0</v>
      </c>
      <c r="M503" s="42">
        <f>VLOOKUP($A503,'Neraca Unaudited SIMAK'!$A$2:$R$1272,12,FALSE)+IF(ISNA(VLOOKUP($A503,'Mutasi Neraca'!$A$3:$S$910,12,FALSE)),0,VLOOKUP($A503,'Mutasi Neraca'!$A$3:$S$910,12,FALSE))</f>
        <v>8810338086</v>
      </c>
      <c r="N503" s="42">
        <f>VLOOKUP($A503,'Neraca Unaudited SIMAK'!$A$2:$R$1272,13,FALSE)+IF(ISNA(VLOOKUP($A503,'Mutasi Neraca'!$A$3:$S$910,13,FALSE)),0,VLOOKUP($A503,'Mutasi Neraca'!$A$3:$S$910,13,FALSE))</f>
        <v>-1055130454</v>
      </c>
      <c r="O503" s="42">
        <f>VLOOKUP($A503,'Neraca Unaudited SIMAK'!$A$2:$R$1272,14,FALSE)+IF(ISNA(VLOOKUP($A503,'Mutasi Neraca'!$A$3:$S$910,14,FALSE)),0,VLOOKUP($A503,'Mutasi Neraca'!$A$3:$S$910,14,FALSE))</f>
        <v>-1116580261</v>
      </c>
      <c r="P503" s="42">
        <f>VLOOKUP($A503,'Neraca Unaudited SIMAK'!$A$2:$R$1272,15,FALSE)+IF(ISNA(VLOOKUP($A503,'Mutasi Neraca'!$A$3:$S$910,15,FALSE)),0,VLOOKUP($A503,'Mutasi Neraca'!$A$3:$S$910,15,FALSE))</f>
        <v>-99770000</v>
      </c>
      <c r="Q503" s="42">
        <f>VLOOKUP($A503,'Neraca Unaudited SIMAK'!$A$2:$R$1272,16,FALSE)+IF(ISNA(VLOOKUP($A503,'Mutasi Neraca'!$A$3:$S$910,16,FALSE)),0,VLOOKUP($A503,'Mutasi Neraca'!$A$3:$S$910,16,FALSE))</f>
        <v>0</v>
      </c>
      <c r="R503" s="42">
        <f>VLOOKUP($A503,'Neraca Unaudited SIMAK'!$A$2:$R$1272,17,FALSE)+IF(ISNA(VLOOKUP($A503,'Mutasi Neraca'!$A$3:$S$910,17,FALSE)),0,VLOOKUP($A503,'Mutasi Neraca'!$A$3:$S$910,17,FALSE))</f>
        <v>0</v>
      </c>
      <c r="S503" s="42">
        <f t="shared" si="57"/>
        <v>6538857371</v>
      </c>
    </row>
    <row r="504" spans="1:19">
      <c r="A504" s="41" t="s">
        <v>511</v>
      </c>
      <c r="B504" s="41" t="str">
        <f t="shared" si="56"/>
        <v>005011500</v>
      </c>
      <c r="D504" s="42">
        <f>VLOOKUP($A504,'Neraca Unaudited SIMAK'!$A$2:$R$1272,3,FALSE)+IF(ISNA(VLOOKUP($A504,'Mutasi Neraca'!$A$3:$S$910,3,FALSE)),0,VLOOKUP($A504,'Mutasi Neraca'!$A$3:$S$910,3,FALSE))</f>
        <v>471600</v>
      </c>
      <c r="E504" s="42">
        <f>VLOOKUP($A504,'Neraca Unaudited SIMAK'!$A$2:$R$1272,4,FALSE)+IF(ISNA(VLOOKUP($A504,'Mutasi Neraca'!$A$3:$S$910,4,FALSE)),0,VLOOKUP($A504,'Mutasi Neraca'!$A$3:$S$910,4,FALSE))</f>
        <v>2454225000</v>
      </c>
      <c r="F504" s="42">
        <f>VLOOKUP($A504,'Neraca Unaudited SIMAK'!$A$2:$R$1272,5,FALSE)+IF(ISNA(VLOOKUP($A504,'Mutasi Neraca'!$A$3:$S$910,5,FALSE)),0,VLOOKUP($A504,'Mutasi Neraca'!$A$3:$S$910,5,FALSE))</f>
        <v>1442055873</v>
      </c>
      <c r="G504" s="42">
        <f>VLOOKUP($A504,'Neraca Unaudited SIMAK'!$A$2:$R$1272,6,FALSE)+IF(ISNA(VLOOKUP($A504,'Mutasi Neraca'!$A$3:$S$910,6,FALSE)),0,VLOOKUP($A504,'Mutasi Neraca'!$A$3:$S$910,6,FALSE))</f>
        <v>9447453242</v>
      </c>
      <c r="H504" s="42">
        <f>VLOOKUP($A504,'Neraca Unaudited SIMAK'!$A$2:$R$1272,7,FALSE)+IF(ISNA(VLOOKUP($A504,'Mutasi Neraca'!$A$3:$S$910,7,FALSE)),0,VLOOKUP($A504,'Mutasi Neraca'!$A$3:$S$910,7,FALSE))</f>
        <v>0</v>
      </c>
      <c r="I504" s="42">
        <f>VLOOKUP($A504,'Neraca Unaudited SIMAK'!$A$2:$R$1272,8,FALSE)+IF(ISNA(VLOOKUP($A504,'Mutasi Neraca'!$A$3:$S$910,8,FALSE)),0,VLOOKUP($A504,'Mutasi Neraca'!$A$3:$S$910,8,FALSE))</f>
        <v>9877798</v>
      </c>
      <c r="J504" s="42">
        <f>VLOOKUP($A504,'Neraca Unaudited SIMAK'!$A$2:$R$1272,9,FALSE)+IF(ISNA(VLOOKUP($A504,'Mutasi Neraca'!$A$3:$S$910,9,FALSE)),0,VLOOKUP($A504,'Mutasi Neraca'!$A$3:$S$910,9,FALSE))</f>
        <v>0</v>
      </c>
      <c r="K504" s="42">
        <f>VLOOKUP($A504,'Neraca Unaudited SIMAK'!$A$2:$R$1272,10,FALSE)+IF(ISNA(VLOOKUP($A504,'Mutasi Neraca'!$A$3:$S$910,10,FALSE)),0,VLOOKUP($A504,'Mutasi Neraca'!$A$3:$S$910,10,FALSE))</f>
        <v>23320937</v>
      </c>
      <c r="L504" s="42">
        <f>VLOOKUP($A504,'Neraca Unaudited SIMAK'!$A$2:$R$1272,11,FALSE)+IF(ISNA(VLOOKUP($A504,'Mutasi Neraca'!$A$3:$S$910,11,FALSE)),0,VLOOKUP($A504,'Mutasi Neraca'!$A$3:$S$910,11,FALSE))</f>
        <v>139985520</v>
      </c>
      <c r="M504" s="42">
        <f>VLOOKUP($A504,'Neraca Unaudited SIMAK'!$A$2:$R$1272,12,FALSE)+IF(ISNA(VLOOKUP($A504,'Mutasi Neraca'!$A$3:$S$910,12,FALSE)),0,VLOOKUP($A504,'Mutasi Neraca'!$A$3:$S$910,12,FALSE))</f>
        <v>13517389970</v>
      </c>
      <c r="N504" s="42">
        <f>VLOOKUP($A504,'Neraca Unaudited SIMAK'!$A$2:$R$1272,13,FALSE)+IF(ISNA(VLOOKUP($A504,'Mutasi Neraca'!$A$3:$S$910,13,FALSE)),0,VLOOKUP($A504,'Mutasi Neraca'!$A$3:$S$910,13,FALSE))</f>
        <v>-1117052208</v>
      </c>
      <c r="O504" s="42">
        <f>VLOOKUP($A504,'Neraca Unaudited SIMAK'!$A$2:$R$1272,14,FALSE)+IF(ISNA(VLOOKUP($A504,'Mutasi Neraca'!$A$3:$S$910,14,FALSE)),0,VLOOKUP($A504,'Mutasi Neraca'!$A$3:$S$910,14,FALSE))</f>
        <v>-516235514</v>
      </c>
      <c r="P504" s="42">
        <f>VLOOKUP($A504,'Neraca Unaudited SIMAK'!$A$2:$R$1272,15,FALSE)+IF(ISNA(VLOOKUP($A504,'Mutasi Neraca'!$A$3:$S$910,15,FALSE)),0,VLOOKUP($A504,'Mutasi Neraca'!$A$3:$S$910,15,FALSE))</f>
        <v>0</v>
      </c>
      <c r="Q504" s="42">
        <f>VLOOKUP($A504,'Neraca Unaudited SIMAK'!$A$2:$R$1272,16,FALSE)+IF(ISNA(VLOOKUP($A504,'Mutasi Neraca'!$A$3:$S$910,16,FALSE)),0,VLOOKUP($A504,'Mutasi Neraca'!$A$3:$S$910,16,FALSE))</f>
        <v>0</v>
      </c>
      <c r="R504" s="42">
        <f>VLOOKUP($A504,'Neraca Unaudited SIMAK'!$A$2:$R$1272,17,FALSE)+IF(ISNA(VLOOKUP($A504,'Mutasi Neraca'!$A$3:$S$910,17,FALSE)),0,VLOOKUP($A504,'Mutasi Neraca'!$A$3:$S$910,17,FALSE))</f>
        <v>-139985520</v>
      </c>
      <c r="S504" s="42">
        <f t="shared" si="57"/>
        <v>11744116728</v>
      </c>
    </row>
    <row r="505" spans="1:19">
      <c r="A505" s="41" t="s">
        <v>512</v>
      </c>
      <c r="B505" s="41" t="str">
        <f t="shared" si="56"/>
        <v>005011500</v>
      </c>
      <c r="D505" s="42">
        <f>VLOOKUP($A505,'Neraca Unaudited SIMAK'!$A$2:$R$1272,3,FALSE)+IF(ISNA(VLOOKUP($A505,'Mutasi Neraca'!$A$3:$S$910,3,FALSE)),0,VLOOKUP($A505,'Mutasi Neraca'!$A$3:$S$910,3,FALSE))</f>
        <v>608250</v>
      </c>
      <c r="E505" s="42">
        <f>VLOOKUP($A505,'Neraca Unaudited SIMAK'!$A$2:$R$1272,4,FALSE)+IF(ISNA(VLOOKUP($A505,'Mutasi Neraca'!$A$3:$S$910,4,FALSE)),0,VLOOKUP($A505,'Mutasi Neraca'!$A$3:$S$910,4,FALSE))</f>
        <v>414000000</v>
      </c>
      <c r="F505" s="42">
        <f>VLOOKUP($A505,'Neraca Unaudited SIMAK'!$A$2:$R$1272,5,FALSE)+IF(ISNA(VLOOKUP($A505,'Mutasi Neraca'!$A$3:$S$910,5,FALSE)),0,VLOOKUP($A505,'Mutasi Neraca'!$A$3:$S$910,5,FALSE))</f>
        <v>1753712693</v>
      </c>
      <c r="G505" s="42">
        <f>VLOOKUP($A505,'Neraca Unaudited SIMAK'!$A$2:$R$1272,6,FALSE)+IF(ISNA(VLOOKUP($A505,'Mutasi Neraca'!$A$3:$S$910,6,FALSE)),0,VLOOKUP($A505,'Mutasi Neraca'!$A$3:$S$910,6,FALSE))</f>
        <v>4994960000</v>
      </c>
      <c r="H505" s="42">
        <f>VLOOKUP($A505,'Neraca Unaudited SIMAK'!$A$2:$R$1272,7,FALSE)+IF(ISNA(VLOOKUP($A505,'Mutasi Neraca'!$A$3:$S$910,7,FALSE)),0,VLOOKUP($A505,'Mutasi Neraca'!$A$3:$S$910,7,FALSE))</f>
        <v>0</v>
      </c>
      <c r="I505" s="42">
        <f>VLOOKUP($A505,'Neraca Unaudited SIMAK'!$A$2:$R$1272,8,FALSE)+IF(ISNA(VLOOKUP($A505,'Mutasi Neraca'!$A$3:$S$910,8,FALSE)),0,VLOOKUP($A505,'Mutasi Neraca'!$A$3:$S$910,8,FALSE))</f>
        <v>5074098</v>
      </c>
      <c r="J505" s="42">
        <f>VLOOKUP($A505,'Neraca Unaudited SIMAK'!$A$2:$R$1272,9,FALSE)+IF(ISNA(VLOOKUP($A505,'Mutasi Neraca'!$A$3:$S$910,9,FALSE)),0,VLOOKUP($A505,'Mutasi Neraca'!$A$3:$S$910,9,FALSE))</f>
        <v>0</v>
      </c>
      <c r="K505" s="42">
        <f>VLOOKUP($A505,'Neraca Unaudited SIMAK'!$A$2:$R$1272,10,FALSE)+IF(ISNA(VLOOKUP($A505,'Mutasi Neraca'!$A$3:$S$910,10,FALSE)),0,VLOOKUP($A505,'Mutasi Neraca'!$A$3:$S$910,10,FALSE))</f>
        <v>0</v>
      </c>
      <c r="L505" s="42">
        <f>VLOOKUP($A505,'Neraca Unaudited SIMAK'!$A$2:$R$1272,11,FALSE)+IF(ISNA(VLOOKUP($A505,'Mutasi Neraca'!$A$3:$S$910,11,FALSE)),0,VLOOKUP($A505,'Mutasi Neraca'!$A$3:$S$910,11,FALSE))</f>
        <v>90605891</v>
      </c>
      <c r="M505" s="42">
        <f>VLOOKUP($A505,'Neraca Unaudited SIMAK'!$A$2:$R$1272,12,FALSE)+IF(ISNA(VLOOKUP($A505,'Mutasi Neraca'!$A$3:$S$910,12,FALSE)),0,VLOOKUP($A505,'Mutasi Neraca'!$A$3:$S$910,12,FALSE))</f>
        <v>7258960932</v>
      </c>
      <c r="N505" s="42">
        <f>VLOOKUP($A505,'Neraca Unaudited SIMAK'!$A$2:$R$1272,13,FALSE)+IF(ISNA(VLOOKUP($A505,'Mutasi Neraca'!$A$3:$S$910,13,FALSE)),0,VLOOKUP($A505,'Mutasi Neraca'!$A$3:$S$910,13,FALSE))</f>
        <v>-1385897367</v>
      </c>
      <c r="O505" s="42">
        <f>VLOOKUP($A505,'Neraca Unaudited SIMAK'!$A$2:$R$1272,14,FALSE)+IF(ISNA(VLOOKUP($A505,'Mutasi Neraca'!$A$3:$S$910,14,FALSE)),0,VLOOKUP($A505,'Mutasi Neraca'!$A$3:$S$910,14,FALSE))</f>
        <v>-875820531</v>
      </c>
      <c r="P505" s="42">
        <f>VLOOKUP($A505,'Neraca Unaudited SIMAK'!$A$2:$R$1272,15,FALSE)+IF(ISNA(VLOOKUP($A505,'Mutasi Neraca'!$A$3:$S$910,15,FALSE)),0,VLOOKUP($A505,'Mutasi Neraca'!$A$3:$S$910,15,FALSE))</f>
        <v>0</v>
      </c>
      <c r="Q505" s="42">
        <f>VLOOKUP($A505,'Neraca Unaudited SIMAK'!$A$2:$R$1272,16,FALSE)+IF(ISNA(VLOOKUP($A505,'Mutasi Neraca'!$A$3:$S$910,16,FALSE)),0,VLOOKUP($A505,'Mutasi Neraca'!$A$3:$S$910,16,FALSE))</f>
        <v>0</v>
      </c>
      <c r="R505" s="42">
        <f>VLOOKUP($A505,'Neraca Unaudited SIMAK'!$A$2:$R$1272,17,FALSE)+IF(ISNA(VLOOKUP($A505,'Mutasi Neraca'!$A$3:$S$910,17,FALSE)),0,VLOOKUP($A505,'Mutasi Neraca'!$A$3:$S$910,17,FALSE))</f>
        <v>-81112891</v>
      </c>
      <c r="S505" s="42">
        <f t="shared" si="57"/>
        <v>4916130143</v>
      </c>
    </row>
    <row r="506" spans="1:19">
      <c r="A506" s="41" t="s">
        <v>513</v>
      </c>
      <c r="B506" s="41" t="str">
        <f t="shared" si="56"/>
        <v>005011500</v>
      </c>
      <c r="D506" s="42">
        <f>VLOOKUP($A506,'Neraca Unaudited SIMAK'!$A$2:$R$1272,3,FALSE)+IF(ISNA(VLOOKUP($A506,'Mutasi Neraca'!$A$3:$S$910,3,FALSE)),0,VLOOKUP($A506,'Mutasi Neraca'!$A$3:$S$910,3,FALSE))</f>
        <v>2116000</v>
      </c>
      <c r="E506" s="42">
        <f>VLOOKUP($A506,'Neraca Unaudited SIMAK'!$A$2:$R$1272,4,FALSE)+IF(ISNA(VLOOKUP($A506,'Mutasi Neraca'!$A$3:$S$910,4,FALSE)),0,VLOOKUP($A506,'Mutasi Neraca'!$A$3:$S$910,4,FALSE))</f>
        <v>3859373000</v>
      </c>
      <c r="F506" s="42">
        <f>VLOOKUP($A506,'Neraca Unaudited SIMAK'!$A$2:$R$1272,5,FALSE)+IF(ISNA(VLOOKUP($A506,'Mutasi Neraca'!$A$3:$S$910,5,FALSE)),0,VLOOKUP($A506,'Mutasi Neraca'!$A$3:$S$910,5,FALSE))</f>
        <v>1167229118</v>
      </c>
      <c r="G506" s="42">
        <f>VLOOKUP($A506,'Neraca Unaudited SIMAK'!$A$2:$R$1272,6,FALSE)+IF(ISNA(VLOOKUP($A506,'Mutasi Neraca'!$A$3:$S$910,6,FALSE)),0,VLOOKUP($A506,'Mutasi Neraca'!$A$3:$S$910,6,FALSE))</f>
        <v>2131202400</v>
      </c>
      <c r="H506" s="42">
        <f>VLOOKUP($A506,'Neraca Unaudited SIMAK'!$A$2:$R$1272,7,FALSE)+IF(ISNA(VLOOKUP($A506,'Mutasi Neraca'!$A$3:$S$910,7,FALSE)),0,VLOOKUP($A506,'Mutasi Neraca'!$A$3:$S$910,7,FALSE))</f>
        <v>0</v>
      </c>
      <c r="I506" s="42">
        <f>VLOOKUP($A506,'Neraca Unaudited SIMAK'!$A$2:$R$1272,8,FALSE)+IF(ISNA(VLOOKUP($A506,'Mutasi Neraca'!$A$3:$S$910,8,FALSE)),0,VLOOKUP($A506,'Mutasi Neraca'!$A$3:$S$910,8,FALSE))</f>
        <v>16854500</v>
      </c>
      <c r="J506" s="42">
        <f>VLOOKUP($A506,'Neraca Unaudited SIMAK'!$A$2:$R$1272,9,FALSE)+IF(ISNA(VLOOKUP($A506,'Mutasi Neraca'!$A$3:$S$910,9,FALSE)),0,VLOOKUP($A506,'Mutasi Neraca'!$A$3:$S$910,9,FALSE))</f>
        <v>0</v>
      </c>
      <c r="K506" s="42">
        <f>VLOOKUP($A506,'Neraca Unaudited SIMAK'!$A$2:$R$1272,10,FALSE)+IF(ISNA(VLOOKUP($A506,'Mutasi Neraca'!$A$3:$S$910,10,FALSE)),0,VLOOKUP($A506,'Mutasi Neraca'!$A$3:$S$910,10,FALSE))</f>
        <v>28147500</v>
      </c>
      <c r="L506" s="42">
        <f>VLOOKUP($A506,'Neraca Unaudited SIMAK'!$A$2:$R$1272,11,FALSE)+IF(ISNA(VLOOKUP($A506,'Mutasi Neraca'!$A$3:$S$910,11,FALSE)),0,VLOOKUP($A506,'Mutasi Neraca'!$A$3:$S$910,11,FALSE))</f>
        <v>31460500</v>
      </c>
      <c r="M506" s="42">
        <f>VLOOKUP($A506,'Neraca Unaudited SIMAK'!$A$2:$R$1272,12,FALSE)+IF(ISNA(VLOOKUP($A506,'Mutasi Neraca'!$A$3:$S$910,12,FALSE)),0,VLOOKUP($A506,'Mutasi Neraca'!$A$3:$S$910,12,FALSE))</f>
        <v>7236383018</v>
      </c>
      <c r="N506" s="42">
        <f>VLOOKUP($A506,'Neraca Unaudited SIMAK'!$A$2:$R$1272,13,FALSE)+IF(ISNA(VLOOKUP($A506,'Mutasi Neraca'!$A$3:$S$910,13,FALSE)),0,VLOOKUP($A506,'Mutasi Neraca'!$A$3:$S$910,13,FALSE))</f>
        <v>-961441711</v>
      </c>
      <c r="O506" s="42">
        <f>VLOOKUP($A506,'Neraca Unaudited SIMAK'!$A$2:$R$1272,14,FALSE)+IF(ISNA(VLOOKUP($A506,'Mutasi Neraca'!$A$3:$S$910,14,FALSE)),0,VLOOKUP($A506,'Mutasi Neraca'!$A$3:$S$910,14,FALSE))</f>
        <v>-389348119</v>
      </c>
      <c r="P506" s="42">
        <f>VLOOKUP($A506,'Neraca Unaudited SIMAK'!$A$2:$R$1272,15,FALSE)+IF(ISNA(VLOOKUP($A506,'Mutasi Neraca'!$A$3:$S$910,15,FALSE)),0,VLOOKUP($A506,'Mutasi Neraca'!$A$3:$S$910,15,FALSE))</f>
        <v>0</v>
      </c>
      <c r="Q506" s="42">
        <f>VLOOKUP($A506,'Neraca Unaudited SIMAK'!$A$2:$R$1272,16,FALSE)+IF(ISNA(VLOOKUP($A506,'Mutasi Neraca'!$A$3:$S$910,16,FALSE)),0,VLOOKUP($A506,'Mutasi Neraca'!$A$3:$S$910,16,FALSE))</f>
        <v>0</v>
      </c>
      <c r="R506" s="42">
        <f>VLOOKUP($A506,'Neraca Unaudited SIMAK'!$A$2:$R$1272,17,FALSE)+IF(ISNA(VLOOKUP($A506,'Mutasi Neraca'!$A$3:$S$910,17,FALSE)),0,VLOOKUP($A506,'Mutasi Neraca'!$A$3:$S$910,17,FALSE))</f>
        <v>-31337300</v>
      </c>
      <c r="S506" s="42">
        <f t="shared" si="57"/>
        <v>5854255888</v>
      </c>
    </row>
    <row r="507" spans="1:19">
      <c r="A507" s="41" t="s">
        <v>514</v>
      </c>
      <c r="B507" s="41" t="str">
        <f t="shared" si="56"/>
        <v>005011500</v>
      </c>
      <c r="D507" s="42">
        <f>VLOOKUP($A507,'Neraca Unaudited SIMAK'!$A$2:$R$1272,3,FALSE)+IF(ISNA(VLOOKUP($A507,'Mutasi Neraca'!$A$3:$S$910,3,FALSE)),0,VLOOKUP($A507,'Mutasi Neraca'!$A$3:$S$910,3,FALSE))</f>
        <v>1211500</v>
      </c>
      <c r="E507" s="42">
        <f>VLOOKUP($A507,'Neraca Unaudited SIMAK'!$A$2:$R$1272,4,FALSE)+IF(ISNA(VLOOKUP($A507,'Mutasi Neraca'!$A$3:$S$910,4,FALSE)),0,VLOOKUP($A507,'Mutasi Neraca'!$A$3:$S$910,4,FALSE))</f>
        <v>296920000</v>
      </c>
      <c r="F507" s="42">
        <f>VLOOKUP($A507,'Neraca Unaudited SIMAK'!$A$2:$R$1272,5,FALSE)+IF(ISNA(VLOOKUP($A507,'Mutasi Neraca'!$A$3:$S$910,5,FALSE)),0,VLOOKUP($A507,'Mutasi Neraca'!$A$3:$S$910,5,FALSE))</f>
        <v>1168337412</v>
      </c>
      <c r="G507" s="42">
        <f>VLOOKUP($A507,'Neraca Unaudited SIMAK'!$A$2:$R$1272,6,FALSE)+IF(ISNA(VLOOKUP($A507,'Mutasi Neraca'!$A$3:$S$910,6,FALSE)),0,VLOOKUP($A507,'Mutasi Neraca'!$A$3:$S$910,6,FALSE))</f>
        <v>1537171200</v>
      </c>
      <c r="H507" s="42">
        <f>VLOOKUP($A507,'Neraca Unaudited SIMAK'!$A$2:$R$1272,7,FALSE)+IF(ISNA(VLOOKUP($A507,'Mutasi Neraca'!$A$3:$S$910,7,FALSE)),0,VLOOKUP($A507,'Mutasi Neraca'!$A$3:$S$910,7,FALSE))</f>
        <v>74717500</v>
      </c>
      <c r="I507" s="42">
        <f>VLOOKUP($A507,'Neraca Unaudited SIMAK'!$A$2:$R$1272,8,FALSE)+IF(ISNA(VLOOKUP($A507,'Mutasi Neraca'!$A$3:$S$910,8,FALSE)),0,VLOOKUP($A507,'Mutasi Neraca'!$A$3:$S$910,8,FALSE))</f>
        <v>30012348</v>
      </c>
      <c r="J507" s="42">
        <f>VLOOKUP($A507,'Neraca Unaudited SIMAK'!$A$2:$R$1272,9,FALSE)+IF(ISNA(VLOOKUP($A507,'Mutasi Neraca'!$A$3:$S$910,9,FALSE)),0,VLOOKUP($A507,'Mutasi Neraca'!$A$3:$S$910,9,FALSE))</f>
        <v>0</v>
      </c>
      <c r="K507" s="42">
        <f>VLOOKUP($A507,'Neraca Unaudited SIMAK'!$A$2:$R$1272,10,FALSE)+IF(ISNA(VLOOKUP($A507,'Mutasi Neraca'!$A$3:$S$910,10,FALSE)),0,VLOOKUP($A507,'Mutasi Neraca'!$A$3:$S$910,10,FALSE))</f>
        <v>14450000</v>
      </c>
      <c r="L507" s="42">
        <f>VLOOKUP($A507,'Neraca Unaudited SIMAK'!$A$2:$R$1272,11,FALSE)+IF(ISNA(VLOOKUP($A507,'Mutasi Neraca'!$A$3:$S$910,11,FALSE)),0,VLOOKUP($A507,'Mutasi Neraca'!$A$3:$S$910,11,FALSE))</f>
        <v>164608500</v>
      </c>
      <c r="M507" s="42">
        <f>VLOOKUP($A507,'Neraca Unaudited SIMAK'!$A$2:$R$1272,12,FALSE)+IF(ISNA(VLOOKUP($A507,'Mutasi Neraca'!$A$3:$S$910,12,FALSE)),0,VLOOKUP($A507,'Mutasi Neraca'!$A$3:$S$910,12,FALSE))</f>
        <v>3287428460</v>
      </c>
      <c r="N507" s="42">
        <f>VLOOKUP($A507,'Neraca Unaudited SIMAK'!$A$2:$R$1272,13,FALSE)+IF(ISNA(VLOOKUP($A507,'Mutasi Neraca'!$A$3:$S$910,13,FALSE)),0,VLOOKUP($A507,'Mutasi Neraca'!$A$3:$S$910,13,FALSE))</f>
        <v>-1033255306</v>
      </c>
      <c r="O507" s="42">
        <f>VLOOKUP($A507,'Neraca Unaudited SIMAK'!$A$2:$R$1272,14,FALSE)+IF(ISNA(VLOOKUP($A507,'Mutasi Neraca'!$A$3:$S$910,14,FALSE)),0,VLOOKUP($A507,'Mutasi Neraca'!$A$3:$S$910,14,FALSE))</f>
        <v>-263356968</v>
      </c>
      <c r="P507" s="42">
        <f>VLOOKUP($A507,'Neraca Unaudited SIMAK'!$A$2:$R$1272,15,FALSE)+IF(ISNA(VLOOKUP($A507,'Mutasi Neraca'!$A$3:$S$910,15,FALSE)),0,VLOOKUP($A507,'Mutasi Neraca'!$A$3:$S$910,15,FALSE))</f>
        <v>-74717500</v>
      </c>
      <c r="Q507" s="42">
        <f>VLOOKUP($A507,'Neraca Unaudited SIMAK'!$A$2:$R$1272,16,FALSE)+IF(ISNA(VLOOKUP($A507,'Mutasi Neraca'!$A$3:$S$910,16,FALSE)),0,VLOOKUP($A507,'Mutasi Neraca'!$A$3:$S$910,16,FALSE))</f>
        <v>0</v>
      </c>
      <c r="R507" s="42">
        <f>VLOOKUP($A507,'Neraca Unaudited SIMAK'!$A$2:$R$1272,17,FALSE)+IF(ISNA(VLOOKUP($A507,'Mutasi Neraca'!$A$3:$S$910,17,FALSE)),0,VLOOKUP($A507,'Mutasi Neraca'!$A$3:$S$910,17,FALSE))</f>
        <v>-164608500</v>
      </c>
      <c r="S507" s="42">
        <f t="shared" si="57"/>
        <v>1751490186</v>
      </c>
    </row>
    <row r="508" spans="1:19">
      <c r="A508" s="41" t="s">
        <v>515</v>
      </c>
      <c r="B508" s="41" t="str">
        <f t="shared" si="56"/>
        <v>005011500</v>
      </c>
      <c r="D508" s="42">
        <f>VLOOKUP($A508,'Neraca Unaudited SIMAK'!$A$2:$R$1272,3,FALSE)+IF(ISNA(VLOOKUP($A508,'Mutasi Neraca'!$A$3:$S$910,3,FALSE)),0,VLOOKUP($A508,'Mutasi Neraca'!$A$3:$S$910,3,FALSE))</f>
        <v>0</v>
      </c>
      <c r="E508" s="42">
        <f>VLOOKUP($A508,'Neraca Unaudited SIMAK'!$A$2:$R$1272,4,FALSE)+IF(ISNA(VLOOKUP($A508,'Mutasi Neraca'!$A$3:$S$910,4,FALSE)),0,VLOOKUP($A508,'Mutasi Neraca'!$A$3:$S$910,4,FALSE))</f>
        <v>6363400000</v>
      </c>
      <c r="F508" s="42">
        <f>VLOOKUP($A508,'Neraca Unaudited SIMAK'!$A$2:$R$1272,5,FALSE)+IF(ISNA(VLOOKUP($A508,'Mutasi Neraca'!$A$3:$S$910,5,FALSE)),0,VLOOKUP($A508,'Mutasi Neraca'!$A$3:$S$910,5,FALSE))</f>
        <v>1817036649</v>
      </c>
      <c r="G508" s="42">
        <f>VLOOKUP($A508,'Neraca Unaudited SIMAK'!$A$2:$R$1272,6,FALSE)+IF(ISNA(VLOOKUP($A508,'Mutasi Neraca'!$A$3:$S$910,6,FALSE)),0,VLOOKUP($A508,'Mutasi Neraca'!$A$3:$S$910,6,FALSE))</f>
        <v>2969023000</v>
      </c>
      <c r="H508" s="42">
        <f>VLOOKUP($A508,'Neraca Unaudited SIMAK'!$A$2:$R$1272,7,FALSE)+IF(ISNA(VLOOKUP($A508,'Mutasi Neraca'!$A$3:$S$910,7,FALSE)),0,VLOOKUP($A508,'Mutasi Neraca'!$A$3:$S$910,7,FALSE))</f>
        <v>1500000</v>
      </c>
      <c r="I508" s="42">
        <f>VLOOKUP($A508,'Neraca Unaudited SIMAK'!$A$2:$R$1272,8,FALSE)+IF(ISNA(VLOOKUP($A508,'Mutasi Neraca'!$A$3:$S$910,8,FALSE)),0,VLOOKUP($A508,'Mutasi Neraca'!$A$3:$S$910,8,FALSE))</f>
        <v>83827400</v>
      </c>
      <c r="J508" s="42">
        <f>VLOOKUP($A508,'Neraca Unaudited SIMAK'!$A$2:$R$1272,9,FALSE)+IF(ISNA(VLOOKUP($A508,'Mutasi Neraca'!$A$3:$S$910,9,FALSE)),0,VLOOKUP($A508,'Mutasi Neraca'!$A$3:$S$910,9,FALSE))</f>
        <v>0</v>
      </c>
      <c r="K508" s="42">
        <f>VLOOKUP($A508,'Neraca Unaudited SIMAK'!$A$2:$R$1272,10,FALSE)+IF(ISNA(VLOOKUP($A508,'Mutasi Neraca'!$A$3:$S$910,10,FALSE)),0,VLOOKUP($A508,'Mutasi Neraca'!$A$3:$S$910,10,FALSE))</f>
        <v>97460000</v>
      </c>
      <c r="L508" s="42">
        <f>VLOOKUP($A508,'Neraca Unaudited SIMAK'!$A$2:$R$1272,11,FALSE)+IF(ISNA(VLOOKUP($A508,'Mutasi Neraca'!$A$3:$S$910,11,FALSE)),0,VLOOKUP($A508,'Mutasi Neraca'!$A$3:$S$910,11,FALSE))</f>
        <v>0</v>
      </c>
      <c r="M508" s="42">
        <f>VLOOKUP($A508,'Neraca Unaudited SIMAK'!$A$2:$R$1272,12,FALSE)+IF(ISNA(VLOOKUP($A508,'Mutasi Neraca'!$A$3:$S$910,12,FALSE)),0,VLOOKUP($A508,'Mutasi Neraca'!$A$3:$S$910,12,FALSE))</f>
        <v>11332247049</v>
      </c>
      <c r="N508" s="42">
        <f>VLOOKUP($A508,'Neraca Unaudited SIMAK'!$A$2:$R$1272,13,FALSE)+IF(ISNA(VLOOKUP($A508,'Mutasi Neraca'!$A$3:$S$910,13,FALSE)),0,VLOOKUP($A508,'Mutasi Neraca'!$A$3:$S$910,13,FALSE))</f>
        <v>-1590330714</v>
      </c>
      <c r="O508" s="42">
        <f>VLOOKUP($A508,'Neraca Unaudited SIMAK'!$A$2:$R$1272,14,FALSE)+IF(ISNA(VLOOKUP($A508,'Mutasi Neraca'!$A$3:$S$910,14,FALSE)),0,VLOOKUP($A508,'Mutasi Neraca'!$A$3:$S$910,14,FALSE))</f>
        <v>-492971585</v>
      </c>
      <c r="P508" s="42">
        <f>VLOOKUP($A508,'Neraca Unaudited SIMAK'!$A$2:$R$1272,15,FALSE)+IF(ISNA(VLOOKUP($A508,'Mutasi Neraca'!$A$3:$S$910,15,FALSE)),0,VLOOKUP($A508,'Mutasi Neraca'!$A$3:$S$910,15,FALSE))</f>
        <v>-1500000</v>
      </c>
      <c r="Q508" s="42">
        <f>VLOOKUP($A508,'Neraca Unaudited SIMAK'!$A$2:$R$1272,16,FALSE)+IF(ISNA(VLOOKUP($A508,'Mutasi Neraca'!$A$3:$S$910,16,FALSE)),0,VLOOKUP($A508,'Mutasi Neraca'!$A$3:$S$910,16,FALSE))</f>
        <v>0</v>
      </c>
      <c r="R508" s="42">
        <f>VLOOKUP($A508,'Neraca Unaudited SIMAK'!$A$2:$R$1272,17,FALSE)+IF(ISNA(VLOOKUP($A508,'Mutasi Neraca'!$A$3:$S$910,17,FALSE)),0,VLOOKUP($A508,'Mutasi Neraca'!$A$3:$S$910,17,FALSE))</f>
        <v>0</v>
      </c>
      <c r="S508" s="42">
        <f t="shared" si="57"/>
        <v>9247444750</v>
      </c>
    </row>
    <row r="509" spans="1:19">
      <c r="A509" s="41" t="s">
        <v>516</v>
      </c>
      <c r="B509" s="41" t="str">
        <f t="shared" si="56"/>
        <v>005011500</v>
      </c>
      <c r="D509" s="42">
        <f>VLOOKUP($A509,'Neraca Unaudited SIMAK'!$A$2:$R$1272,3,FALSE)+IF(ISNA(VLOOKUP($A509,'Mutasi Neraca'!$A$3:$S$910,3,FALSE)),0,VLOOKUP($A509,'Mutasi Neraca'!$A$3:$S$910,3,FALSE))</f>
        <v>0</v>
      </c>
      <c r="E509" s="42">
        <f>VLOOKUP($A509,'Neraca Unaudited SIMAK'!$A$2:$R$1272,4,FALSE)+IF(ISNA(VLOOKUP($A509,'Mutasi Neraca'!$A$3:$S$910,4,FALSE)),0,VLOOKUP($A509,'Mutasi Neraca'!$A$3:$S$910,4,FALSE))</f>
        <v>117000000</v>
      </c>
      <c r="F509" s="42">
        <f>VLOOKUP($A509,'Neraca Unaudited SIMAK'!$A$2:$R$1272,5,FALSE)+IF(ISNA(VLOOKUP($A509,'Mutasi Neraca'!$A$3:$S$910,5,FALSE)),0,VLOOKUP($A509,'Mutasi Neraca'!$A$3:$S$910,5,FALSE))</f>
        <v>1622066327</v>
      </c>
      <c r="G509" s="42">
        <f>VLOOKUP($A509,'Neraca Unaudited SIMAK'!$A$2:$R$1272,6,FALSE)+IF(ISNA(VLOOKUP($A509,'Mutasi Neraca'!$A$3:$S$910,6,FALSE)),0,VLOOKUP($A509,'Mutasi Neraca'!$A$3:$S$910,6,FALSE))</f>
        <v>5598864650</v>
      </c>
      <c r="H509" s="42">
        <f>VLOOKUP($A509,'Neraca Unaudited SIMAK'!$A$2:$R$1272,7,FALSE)+IF(ISNA(VLOOKUP($A509,'Mutasi Neraca'!$A$3:$S$910,7,FALSE)),0,VLOOKUP($A509,'Mutasi Neraca'!$A$3:$S$910,7,FALSE))</f>
        <v>0</v>
      </c>
      <c r="I509" s="42">
        <f>VLOOKUP($A509,'Neraca Unaudited SIMAK'!$A$2:$R$1272,8,FALSE)+IF(ISNA(VLOOKUP($A509,'Mutasi Neraca'!$A$3:$S$910,8,FALSE)),0,VLOOKUP($A509,'Mutasi Neraca'!$A$3:$S$910,8,FALSE))</f>
        <v>267556298</v>
      </c>
      <c r="J509" s="42">
        <f>VLOOKUP($A509,'Neraca Unaudited SIMAK'!$A$2:$R$1272,9,FALSE)+IF(ISNA(VLOOKUP($A509,'Mutasi Neraca'!$A$3:$S$910,9,FALSE)),0,VLOOKUP($A509,'Mutasi Neraca'!$A$3:$S$910,9,FALSE))</f>
        <v>0</v>
      </c>
      <c r="K509" s="42">
        <f>VLOOKUP($A509,'Neraca Unaudited SIMAK'!$A$2:$R$1272,10,FALSE)+IF(ISNA(VLOOKUP($A509,'Mutasi Neraca'!$A$3:$S$910,10,FALSE)),0,VLOOKUP($A509,'Mutasi Neraca'!$A$3:$S$910,10,FALSE))</f>
        <v>6600000</v>
      </c>
      <c r="L509" s="42">
        <f>VLOOKUP($A509,'Neraca Unaudited SIMAK'!$A$2:$R$1272,11,FALSE)+IF(ISNA(VLOOKUP($A509,'Mutasi Neraca'!$A$3:$S$910,11,FALSE)),0,VLOOKUP($A509,'Mutasi Neraca'!$A$3:$S$910,11,FALSE))</f>
        <v>0</v>
      </c>
      <c r="M509" s="42">
        <f>VLOOKUP($A509,'Neraca Unaudited SIMAK'!$A$2:$R$1272,12,FALSE)+IF(ISNA(VLOOKUP($A509,'Mutasi Neraca'!$A$3:$S$910,12,FALSE)),0,VLOOKUP($A509,'Mutasi Neraca'!$A$3:$S$910,12,FALSE))</f>
        <v>7612087275</v>
      </c>
      <c r="N509" s="42">
        <f>VLOOKUP($A509,'Neraca Unaudited SIMAK'!$A$2:$R$1272,13,FALSE)+IF(ISNA(VLOOKUP($A509,'Mutasi Neraca'!$A$3:$S$910,13,FALSE)),0,VLOOKUP($A509,'Mutasi Neraca'!$A$3:$S$910,13,FALSE))</f>
        <v>-1368967117</v>
      </c>
      <c r="O509" s="42">
        <f>VLOOKUP($A509,'Neraca Unaudited SIMAK'!$A$2:$R$1272,14,FALSE)+IF(ISNA(VLOOKUP($A509,'Mutasi Neraca'!$A$3:$S$910,14,FALSE)),0,VLOOKUP($A509,'Mutasi Neraca'!$A$3:$S$910,14,FALSE))</f>
        <v>-1072373560</v>
      </c>
      <c r="P509" s="42">
        <f>VLOOKUP($A509,'Neraca Unaudited SIMAK'!$A$2:$R$1272,15,FALSE)+IF(ISNA(VLOOKUP($A509,'Mutasi Neraca'!$A$3:$S$910,15,FALSE)),0,VLOOKUP($A509,'Mutasi Neraca'!$A$3:$S$910,15,FALSE))</f>
        <v>0</v>
      </c>
      <c r="Q509" s="42">
        <f>VLOOKUP($A509,'Neraca Unaudited SIMAK'!$A$2:$R$1272,16,FALSE)+IF(ISNA(VLOOKUP($A509,'Mutasi Neraca'!$A$3:$S$910,16,FALSE)),0,VLOOKUP($A509,'Mutasi Neraca'!$A$3:$S$910,16,FALSE))</f>
        <v>0</v>
      </c>
      <c r="R509" s="42">
        <f>VLOOKUP($A509,'Neraca Unaudited SIMAK'!$A$2:$R$1272,17,FALSE)+IF(ISNA(VLOOKUP($A509,'Mutasi Neraca'!$A$3:$S$910,17,FALSE)),0,VLOOKUP($A509,'Mutasi Neraca'!$A$3:$S$910,17,FALSE))</f>
        <v>0</v>
      </c>
      <c r="S509" s="42">
        <f t="shared" si="57"/>
        <v>5170746598</v>
      </c>
    </row>
    <row r="510" spans="1:19">
      <c r="A510" s="41" t="s">
        <v>517</v>
      </c>
      <c r="B510" s="41" t="str">
        <f t="shared" si="56"/>
        <v>005011500</v>
      </c>
      <c r="D510" s="42">
        <f>VLOOKUP($A510,'Neraca Unaudited SIMAK'!$A$2:$R$1272,3,FALSE)+IF(ISNA(VLOOKUP($A510,'Mutasi Neraca'!$A$3:$S$910,3,FALSE)),0,VLOOKUP($A510,'Mutasi Neraca'!$A$3:$S$910,3,FALSE))</f>
        <v>494900</v>
      </c>
      <c r="E510" s="42">
        <f>VLOOKUP($A510,'Neraca Unaudited SIMAK'!$A$2:$R$1272,4,FALSE)+IF(ISNA(VLOOKUP($A510,'Mutasi Neraca'!$A$3:$S$910,4,FALSE)),0,VLOOKUP($A510,'Mutasi Neraca'!$A$3:$S$910,4,FALSE))</f>
        <v>0</v>
      </c>
      <c r="F510" s="42">
        <f>VLOOKUP($A510,'Neraca Unaudited SIMAK'!$A$2:$R$1272,5,FALSE)+IF(ISNA(VLOOKUP($A510,'Mutasi Neraca'!$A$3:$S$910,5,FALSE)),0,VLOOKUP($A510,'Mutasi Neraca'!$A$3:$S$910,5,FALSE))</f>
        <v>1742441153</v>
      </c>
      <c r="G510" s="42">
        <f>VLOOKUP($A510,'Neraca Unaudited SIMAK'!$A$2:$R$1272,6,FALSE)+IF(ISNA(VLOOKUP($A510,'Mutasi Neraca'!$A$3:$S$910,6,FALSE)),0,VLOOKUP($A510,'Mutasi Neraca'!$A$3:$S$910,6,FALSE))</f>
        <v>3512779050</v>
      </c>
      <c r="H510" s="42">
        <f>VLOOKUP($A510,'Neraca Unaudited SIMAK'!$A$2:$R$1272,7,FALSE)+IF(ISNA(VLOOKUP($A510,'Mutasi Neraca'!$A$3:$S$910,7,FALSE)),0,VLOOKUP($A510,'Mutasi Neraca'!$A$3:$S$910,7,FALSE))</f>
        <v>105162928</v>
      </c>
      <c r="I510" s="42">
        <f>VLOOKUP($A510,'Neraca Unaudited SIMAK'!$A$2:$R$1272,8,FALSE)+IF(ISNA(VLOOKUP($A510,'Mutasi Neraca'!$A$3:$S$910,8,FALSE)),0,VLOOKUP($A510,'Mutasi Neraca'!$A$3:$S$910,8,FALSE))</f>
        <v>173952968</v>
      </c>
      <c r="J510" s="42">
        <f>VLOOKUP($A510,'Neraca Unaudited SIMAK'!$A$2:$R$1272,9,FALSE)+IF(ISNA(VLOOKUP($A510,'Mutasi Neraca'!$A$3:$S$910,9,FALSE)),0,VLOOKUP($A510,'Mutasi Neraca'!$A$3:$S$910,9,FALSE))</f>
        <v>0</v>
      </c>
      <c r="K510" s="42">
        <f>VLOOKUP($A510,'Neraca Unaudited SIMAK'!$A$2:$R$1272,10,FALSE)+IF(ISNA(VLOOKUP($A510,'Mutasi Neraca'!$A$3:$S$910,10,FALSE)),0,VLOOKUP($A510,'Mutasi Neraca'!$A$3:$S$910,10,FALSE))</f>
        <v>0</v>
      </c>
      <c r="L510" s="42">
        <f>VLOOKUP($A510,'Neraca Unaudited SIMAK'!$A$2:$R$1272,11,FALSE)+IF(ISNA(VLOOKUP($A510,'Mutasi Neraca'!$A$3:$S$910,11,FALSE)),0,VLOOKUP($A510,'Mutasi Neraca'!$A$3:$S$910,11,FALSE))</f>
        <v>2000000</v>
      </c>
      <c r="M510" s="42">
        <f>VLOOKUP($A510,'Neraca Unaudited SIMAK'!$A$2:$R$1272,12,FALSE)+IF(ISNA(VLOOKUP($A510,'Mutasi Neraca'!$A$3:$S$910,12,FALSE)),0,VLOOKUP($A510,'Mutasi Neraca'!$A$3:$S$910,12,FALSE))</f>
        <v>5536830999</v>
      </c>
      <c r="N510" s="42">
        <f>VLOOKUP($A510,'Neraca Unaudited SIMAK'!$A$2:$R$1272,13,FALSE)+IF(ISNA(VLOOKUP($A510,'Mutasi Neraca'!$A$3:$S$910,13,FALSE)),0,VLOOKUP($A510,'Mutasi Neraca'!$A$3:$S$910,13,FALSE))</f>
        <v>-1522404573</v>
      </c>
      <c r="O510" s="42">
        <f>VLOOKUP($A510,'Neraca Unaudited SIMAK'!$A$2:$R$1272,14,FALSE)+IF(ISNA(VLOOKUP($A510,'Mutasi Neraca'!$A$3:$S$910,14,FALSE)),0,VLOOKUP($A510,'Mutasi Neraca'!$A$3:$S$910,14,FALSE))</f>
        <v>-606233847</v>
      </c>
      <c r="P510" s="42">
        <f>VLOOKUP($A510,'Neraca Unaudited SIMAK'!$A$2:$R$1272,15,FALSE)+IF(ISNA(VLOOKUP($A510,'Mutasi Neraca'!$A$3:$S$910,15,FALSE)),0,VLOOKUP($A510,'Mutasi Neraca'!$A$3:$S$910,15,FALSE))</f>
        <v>-32560412</v>
      </c>
      <c r="Q510" s="42">
        <f>VLOOKUP($A510,'Neraca Unaudited SIMAK'!$A$2:$R$1272,16,FALSE)+IF(ISNA(VLOOKUP($A510,'Mutasi Neraca'!$A$3:$S$910,16,FALSE)),0,VLOOKUP($A510,'Mutasi Neraca'!$A$3:$S$910,16,FALSE))</f>
        <v>0</v>
      </c>
      <c r="R510" s="42">
        <f>VLOOKUP($A510,'Neraca Unaudited SIMAK'!$A$2:$R$1272,17,FALSE)+IF(ISNA(VLOOKUP($A510,'Mutasi Neraca'!$A$3:$S$910,17,FALSE)),0,VLOOKUP($A510,'Mutasi Neraca'!$A$3:$S$910,17,FALSE))</f>
        <v>-2000000</v>
      </c>
      <c r="S510" s="42">
        <f t="shared" si="57"/>
        <v>3373632167</v>
      </c>
    </row>
    <row r="511" spans="1:19">
      <c r="A511" s="41" t="s">
        <v>518</v>
      </c>
      <c r="B511" s="41" t="str">
        <f t="shared" si="56"/>
        <v>005011500</v>
      </c>
      <c r="D511" s="42">
        <f>VLOOKUP($A511,'Neraca Unaudited SIMAK'!$A$2:$R$1272,3,FALSE)+IF(ISNA(VLOOKUP($A511,'Mutasi Neraca'!$A$3:$S$910,3,FALSE)),0,VLOOKUP($A511,'Mutasi Neraca'!$A$3:$S$910,3,FALSE))</f>
        <v>0</v>
      </c>
      <c r="E511" s="42">
        <f>VLOOKUP($A511,'Neraca Unaudited SIMAK'!$A$2:$R$1272,4,FALSE)+IF(ISNA(VLOOKUP($A511,'Mutasi Neraca'!$A$3:$S$910,4,FALSE)),0,VLOOKUP($A511,'Mutasi Neraca'!$A$3:$S$910,4,FALSE))</f>
        <v>982837000</v>
      </c>
      <c r="F511" s="42">
        <f>VLOOKUP($A511,'Neraca Unaudited SIMAK'!$A$2:$R$1272,5,FALSE)+IF(ISNA(VLOOKUP($A511,'Mutasi Neraca'!$A$3:$S$910,5,FALSE)),0,VLOOKUP($A511,'Mutasi Neraca'!$A$3:$S$910,5,FALSE))</f>
        <v>2362240473</v>
      </c>
      <c r="G511" s="42">
        <f>VLOOKUP($A511,'Neraca Unaudited SIMAK'!$A$2:$R$1272,6,FALSE)+IF(ISNA(VLOOKUP($A511,'Mutasi Neraca'!$A$3:$S$910,6,FALSE)),0,VLOOKUP($A511,'Mutasi Neraca'!$A$3:$S$910,6,FALSE))</f>
        <v>6781164200</v>
      </c>
      <c r="H511" s="42">
        <f>VLOOKUP($A511,'Neraca Unaudited SIMAK'!$A$2:$R$1272,7,FALSE)+IF(ISNA(VLOOKUP($A511,'Mutasi Neraca'!$A$3:$S$910,7,FALSE)),0,VLOOKUP($A511,'Mutasi Neraca'!$A$3:$S$910,7,FALSE))</f>
        <v>0</v>
      </c>
      <c r="I511" s="42">
        <f>VLOOKUP($A511,'Neraca Unaudited SIMAK'!$A$2:$R$1272,8,FALSE)+IF(ISNA(VLOOKUP($A511,'Mutasi Neraca'!$A$3:$S$910,8,FALSE)),0,VLOOKUP($A511,'Mutasi Neraca'!$A$3:$S$910,8,FALSE))</f>
        <v>0</v>
      </c>
      <c r="J511" s="42">
        <f>VLOOKUP($A511,'Neraca Unaudited SIMAK'!$A$2:$R$1272,9,FALSE)+IF(ISNA(VLOOKUP($A511,'Mutasi Neraca'!$A$3:$S$910,9,FALSE)),0,VLOOKUP($A511,'Mutasi Neraca'!$A$3:$S$910,9,FALSE))</f>
        <v>0</v>
      </c>
      <c r="K511" s="42">
        <f>VLOOKUP($A511,'Neraca Unaudited SIMAK'!$A$2:$R$1272,10,FALSE)+IF(ISNA(VLOOKUP($A511,'Mutasi Neraca'!$A$3:$S$910,10,FALSE)),0,VLOOKUP($A511,'Mutasi Neraca'!$A$3:$S$910,10,FALSE))</f>
        <v>92738000</v>
      </c>
      <c r="L511" s="42">
        <f>VLOOKUP($A511,'Neraca Unaudited SIMAK'!$A$2:$R$1272,11,FALSE)+IF(ISNA(VLOOKUP($A511,'Mutasi Neraca'!$A$3:$S$910,11,FALSE)),0,VLOOKUP($A511,'Mutasi Neraca'!$A$3:$S$910,11,FALSE))</f>
        <v>21000000</v>
      </c>
      <c r="M511" s="42">
        <f>VLOOKUP($A511,'Neraca Unaudited SIMAK'!$A$2:$R$1272,12,FALSE)+IF(ISNA(VLOOKUP($A511,'Mutasi Neraca'!$A$3:$S$910,12,FALSE)),0,VLOOKUP($A511,'Mutasi Neraca'!$A$3:$S$910,12,FALSE))</f>
        <v>10239979673</v>
      </c>
      <c r="N511" s="42">
        <f>VLOOKUP($A511,'Neraca Unaudited SIMAK'!$A$2:$R$1272,13,FALSE)+IF(ISNA(VLOOKUP($A511,'Mutasi Neraca'!$A$3:$S$910,13,FALSE)),0,VLOOKUP($A511,'Mutasi Neraca'!$A$3:$S$910,13,FALSE))</f>
        <v>-1820855020</v>
      </c>
      <c r="O511" s="42">
        <f>VLOOKUP($A511,'Neraca Unaudited SIMAK'!$A$2:$R$1272,14,FALSE)+IF(ISNA(VLOOKUP($A511,'Mutasi Neraca'!$A$3:$S$910,14,FALSE)),0,VLOOKUP($A511,'Mutasi Neraca'!$A$3:$S$910,14,FALSE))</f>
        <v>-406869852</v>
      </c>
      <c r="P511" s="42">
        <f>VLOOKUP($A511,'Neraca Unaudited SIMAK'!$A$2:$R$1272,15,FALSE)+IF(ISNA(VLOOKUP($A511,'Mutasi Neraca'!$A$3:$S$910,15,FALSE)),0,VLOOKUP($A511,'Mutasi Neraca'!$A$3:$S$910,15,FALSE))</f>
        <v>0</v>
      </c>
      <c r="Q511" s="42">
        <f>VLOOKUP($A511,'Neraca Unaudited SIMAK'!$A$2:$R$1272,16,FALSE)+IF(ISNA(VLOOKUP($A511,'Mutasi Neraca'!$A$3:$S$910,16,FALSE)),0,VLOOKUP($A511,'Mutasi Neraca'!$A$3:$S$910,16,FALSE))</f>
        <v>0</v>
      </c>
      <c r="R511" s="42">
        <f>VLOOKUP($A511,'Neraca Unaudited SIMAK'!$A$2:$R$1272,17,FALSE)+IF(ISNA(VLOOKUP($A511,'Mutasi Neraca'!$A$3:$S$910,17,FALSE)),0,VLOOKUP($A511,'Mutasi Neraca'!$A$3:$S$910,17,FALSE))</f>
        <v>-21000000</v>
      </c>
      <c r="S511" s="42">
        <f t="shared" si="57"/>
        <v>7991254801</v>
      </c>
    </row>
    <row r="512" spans="1:19">
      <c r="A512" s="41" t="s">
        <v>519</v>
      </c>
      <c r="B512" s="41" t="str">
        <f t="shared" si="56"/>
        <v>005011500</v>
      </c>
      <c r="D512" s="42">
        <f>VLOOKUP($A512,'Neraca Unaudited SIMAK'!$A$2:$R$1272,3,FALSE)+IF(ISNA(VLOOKUP($A512,'Mutasi Neraca'!$A$3:$S$910,3,FALSE)),0,VLOOKUP($A512,'Mutasi Neraca'!$A$3:$S$910,3,FALSE))</f>
        <v>0</v>
      </c>
      <c r="E512" s="42">
        <f>VLOOKUP($A512,'Neraca Unaudited SIMAK'!$A$2:$R$1272,4,FALSE)+IF(ISNA(VLOOKUP($A512,'Mutasi Neraca'!$A$3:$S$910,4,FALSE)),0,VLOOKUP($A512,'Mutasi Neraca'!$A$3:$S$910,4,FALSE))</f>
        <v>1280217752</v>
      </c>
      <c r="F512" s="42">
        <f>VLOOKUP($A512,'Neraca Unaudited SIMAK'!$A$2:$R$1272,5,FALSE)+IF(ISNA(VLOOKUP($A512,'Mutasi Neraca'!$A$3:$S$910,5,FALSE)),0,VLOOKUP($A512,'Mutasi Neraca'!$A$3:$S$910,5,FALSE))</f>
        <v>1667378668</v>
      </c>
      <c r="G512" s="42">
        <f>VLOOKUP($A512,'Neraca Unaudited SIMAK'!$A$2:$R$1272,6,FALSE)+IF(ISNA(VLOOKUP($A512,'Mutasi Neraca'!$A$3:$S$910,6,FALSE)),0,VLOOKUP($A512,'Mutasi Neraca'!$A$3:$S$910,6,FALSE))</f>
        <v>9372548556</v>
      </c>
      <c r="H512" s="42">
        <f>VLOOKUP($A512,'Neraca Unaudited SIMAK'!$A$2:$R$1272,7,FALSE)+IF(ISNA(VLOOKUP($A512,'Mutasi Neraca'!$A$3:$S$910,7,FALSE)),0,VLOOKUP($A512,'Mutasi Neraca'!$A$3:$S$910,7,FALSE))</f>
        <v>0</v>
      </c>
      <c r="I512" s="42">
        <f>VLOOKUP($A512,'Neraca Unaudited SIMAK'!$A$2:$R$1272,8,FALSE)+IF(ISNA(VLOOKUP($A512,'Mutasi Neraca'!$A$3:$S$910,8,FALSE)),0,VLOOKUP($A512,'Mutasi Neraca'!$A$3:$S$910,8,FALSE))</f>
        <v>0</v>
      </c>
      <c r="J512" s="42">
        <f>VLOOKUP($A512,'Neraca Unaudited SIMAK'!$A$2:$R$1272,9,FALSE)+IF(ISNA(VLOOKUP($A512,'Mutasi Neraca'!$A$3:$S$910,9,FALSE)),0,VLOOKUP($A512,'Mutasi Neraca'!$A$3:$S$910,9,FALSE))</f>
        <v>0</v>
      </c>
      <c r="K512" s="42">
        <f>VLOOKUP($A512,'Neraca Unaudited SIMAK'!$A$2:$R$1272,10,FALSE)+IF(ISNA(VLOOKUP($A512,'Mutasi Neraca'!$A$3:$S$910,10,FALSE)),0,VLOOKUP($A512,'Mutasi Neraca'!$A$3:$S$910,10,FALSE))</f>
        <v>31738750</v>
      </c>
      <c r="L512" s="42">
        <f>VLOOKUP($A512,'Neraca Unaudited SIMAK'!$A$2:$R$1272,11,FALSE)+IF(ISNA(VLOOKUP($A512,'Mutasi Neraca'!$A$3:$S$910,11,FALSE)),0,VLOOKUP($A512,'Mutasi Neraca'!$A$3:$S$910,11,FALSE))</f>
        <v>0</v>
      </c>
      <c r="M512" s="42">
        <f>VLOOKUP($A512,'Neraca Unaudited SIMAK'!$A$2:$R$1272,12,FALSE)+IF(ISNA(VLOOKUP($A512,'Mutasi Neraca'!$A$3:$S$910,12,FALSE)),0,VLOOKUP($A512,'Mutasi Neraca'!$A$3:$S$910,12,FALSE))</f>
        <v>12351883726</v>
      </c>
      <c r="N512" s="42">
        <f>VLOOKUP($A512,'Neraca Unaudited SIMAK'!$A$2:$R$1272,13,FALSE)+IF(ISNA(VLOOKUP($A512,'Mutasi Neraca'!$A$3:$S$910,13,FALSE)),0,VLOOKUP($A512,'Mutasi Neraca'!$A$3:$S$910,13,FALSE))</f>
        <v>-1134628805</v>
      </c>
      <c r="O512" s="42">
        <f>VLOOKUP($A512,'Neraca Unaudited SIMAK'!$A$2:$R$1272,14,FALSE)+IF(ISNA(VLOOKUP($A512,'Mutasi Neraca'!$A$3:$S$910,14,FALSE)),0,VLOOKUP($A512,'Mutasi Neraca'!$A$3:$S$910,14,FALSE))</f>
        <v>-605103573</v>
      </c>
      <c r="P512" s="42">
        <f>VLOOKUP($A512,'Neraca Unaudited SIMAK'!$A$2:$R$1272,15,FALSE)+IF(ISNA(VLOOKUP($A512,'Mutasi Neraca'!$A$3:$S$910,15,FALSE)),0,VLOOKUP($A512,'Mutasi Neraca'!$A$3:$S$910,15,FALSE))</f>
        <v>0</v>
      </c>
      <c r="Q512" s="42">
        <f>VLOOKUP($A512,'Neraca Unaudited SIMAK'!$A$2:$R$1272,16,FALSE)+IF(ISNA(VLOOKUP($A512,'Mutasi Neraca'!$A$3:$S$910,16,FALSE)),0,VLOOKUP($A512,'Mutasi Neraca'!$A$3:$S$910,16,FALSE))</f>
        <v>0</v>
      </c>
      <c r="R512" s="42">
        <f>VLOOKUP($A512,'Neraca Unaudited SIMAK'!$A$2:$R$1272,17,FALSE)+IF(ISNA(VLOOKUP($A512,'Mutasi Neraca'!$A$3:$S$910,17,FALSE)),0,VLOOKUP($A512,'Mutasi Neraca'!$A$3:$S$910,17,FALSE))</f>
        <v>0</v>
      </c>
      <c r="S512" s="42">
        <f t="shared" si="57"/>
        <v>10612151348</v>
      </c>
    </row>
    <row r="513" spans="1:19">
      <c r="A513" s="41" t="s">
        <v>520</v>
      </c>
      <c r="B513" s="41" t="str">
        <f t="shared" si="56"/>
        <v>005011500</v>
      </c>
      <c r="D513" s="42">
        <f>VLOOKUP($A513,'Neraca Unaudited SIMAK'!$A$2:$R$1272,3,FALSE)+IF(ISNA(VLOOKUP($A513,'Mutasi Neraca'!$A$3:$S$910,3,FALSE)),0,VLOOKUP($A513,'Mutasi Neraca'!$A$3:$S$910,3,FALSE))</f>
        <v>0</v>
      </c>
      <c r="E513" s="42">
        <f>VLOOKUP($A513,'Neraca Unaudited SIMAK'!$A$2:$R$1272,4,FALSE)+IF(ISNA(VLOOKUP($A513,'Mutasi Neraca'!$A$3:$S$910,4,FALSE)),0,VLOOKUP($A513,'Mutasi Neraca'!$A$3:$S$910,4,FALSE))</f>
        <v>1487500000</v>
      </c>
      <c r="F513" s="42">
        <f>VLOOKUP($A513,'Neraca Unaudited SIMAK'!$A$2:$R$1272,5,FALSE)+IF(ISNA(VLOOKUP($A513,'Mutasi Neraca'!$A$3:$S$910,5,FALSE)),0,VLOOKUP($A513,'Mutasi Neraca'!$A$3:$S$910,5,FALSE))</f>
        <v>942482640</v>
      </c>
      <c r="G513" s="42">
        <f>VLOOKUP($A513,'Neraca Unaudited SIMAK'!$A$2:$R$1272,6,FALSE)+IF(ISNA(VLOOKUP($A513,'Mutasi Neraca'!$A$3:$S$910,6,FALSE)),0,VLOOKUP($A513,'Mutasi Neraca'!$A$3:$S$910,6,FALSE))</f>
        <v>8464025500</v>
      </c>
      <c r="H513" s="42">
        <f>VLOOKUP($A513,'Neraca Unaudited SIMAK'!$A$2:$R$1272,7,FALSE)+IF(ISNA(VLOOKUP($A513,'Mutasi Neraca'!$A$3:$S$910,7,FALSE)),0,VLOOKUP($A513,'Mutasi Neraca'!$A$3:$S$910,7,FALSE))</f>
        <v>0</v>
      </c>
      <c r="I513" s="42">
        <f>VLOOKUP($A513,'Neraca Unaudited SIMAK'!$A$2:$R$1272,8,FALSE)+IF(ISNA(VLOOKUP($A513,'Mutasi Neraca'!$A$3:$S$910,8,FALSE)),0,VLOOKUP($A513,'Mutasi Neraca'!$A$3:$S$910,8,FALSE))</f>
        <v>408000</v>
      </c>
      <c r="J513" s="42">
        <f>VLOOKUP($A513,'Neraca Unaudited SIMAK'!$A$2:$R$1272,9,FALSE)+IF(ISNA(VLOOKUP($A513,'Mutasi Neraca'!$A$3:$S$910,9,FALSE)),0,VLOOKUP($A513,'Mutasi Neraca'!$A$3:$S$910,9,FALSE))</f>
        <v>0</v>
      </c>
      <c r="K513" s="42">
        <f>VLOOKUP($A513,'Neraca Unaudited SIMAK'!$A$2:$R$1272,10,FALSE)+IF(ISNA(VLOOKUP($A513,'Mutasi Neraca'!$A$3:$S$910,10,FALSE)),0,VLOOKUP($A513,'Mutasi Neraca'!$A$3:$S$910,10,FALSE))</f>
        <v>0</v>
      </c>
      <c r="L513" s="42">
        <f>VLOOKUP($A513,'Neraca Unaudited SIMAK'!$A$2:$R$1272,11,FALSE)+IF(ISNA(VLOOKUP($A513,'Mutasi Neraca'!$A$3:$S$910,11,FALSE)),0,VLOOKUP($A513,'Mutasi Neraca'!$A$3:$S$910,11,FALSE))</f>
        <v>0</v>
      </c>
      <c r="M513" s="42">
        <f>VLOOKUP($A513,'Neraca Unaudited SIMAK'!$A$2:$R$1272,12,FALSE)+IF(ISNA(VLOOKUP($A513,'Mutasi Neraca'!$A$3:$S$910,12,FALSE)),0,VLOOKUP($A513,'Mutasi Neraca'!$A$3:$S$910,12,FALSE))</f>
        <v>10894416140</v>
      </c>
      <c r="N513" s="42">
        <f>VLOOKUP($A513,'Neraca Unaudited SIMAK'!$A$2:$R$1272,13,FALSE)+IF(ISNA(VLOOKUP($A513,'Mutasi Neraca'!$A$3:$S$910,13,FALSE)),0,VLOOKUP($A513,'Mutasi Neraca'!$A$3:$S$910,13,FALSE))</f>
        <v>-280851805</v>
      </c>
      <c r="O513" s="42">
        <f>VLOOKUP($A513,'Neraca Unaudited SIMAK'!$A$2:$R$1272,14,FALSE)+IF(ISNA(VLOOKUP($A513,'Mutasi Neraca'!$A$3:$S$910,14,FALSE)),0,VLOOKUP($A513,'Mutasi Neraca'!$A$3:$S$910,14,FALSE))</f>
        <v>-360336109</v>
      </c>
      <c r="P513" s="42">
        <f>VLOOKUP($A513,'Neraca Unaudited SIMAK'!$A$2:$R$1272,15,FALSE)+IF(ISNA(VLOOKUP($A513,'Mutasi Neraca'!$A$3:$S$910,15,FALSE)),0,VLOOKUP($A513,'Mutasi Neraca'!$A$3:$S$910,15,FALSE))</f>
        <v>0</v>
      </c>
      <c r="Q513" s="42">
        <f>VLOOKUP($A513,'Neraca Unaudited SIMAK'!$A$2:$R$1272,16,FALSE)+IF(ISNA(VLOOKUP($A513,'Mutasi Neraca'!$A$3:$S$910,16,FALSE)),0,VLOOKUP($A513,'Mutasi Neraca'!$A$3:$S$910,16,FALSE))</f>
        <v>0</v>
      </c>
      <c r="R513" s="42">
        <f>VLOOKUP($A513,'Neraca Unaudited SIMAK'!$A$2:$R$1272,17,FALSE)+IF(ISNA(VLOOKUP($A513,'Mutasi Neraca'!$A$3:$S$910,17,FALSE)),0,VLOOKUP($A513,'Mutasi Neraca'!$A$3:$S$910,17,FALSE))</f>
        <v>0</v>
      </c>
      <c r="S513" s="42">
        <f t="shared" si="57"/>
        <v>10253228226</v>
      </c>
    </row>
    <row r="514" spans="1:19">
      <c r="A514" s="41" t="s">
        <v>521</v>
      </c>
      <c r="B514" s="41" t="str">
        <f t="shared" si="56"/>
        <v>005011600</v>
      </c>
      <c r="D514" s="42">
        <f>VLOOKUP($A514,'Neraca Unaudited SIMAK'!$A$2:$R$1272,3,FALSE)+IF(ISNA(VLOOKUP($A514,'Mutasi Neraca'!$A$3:$S$910,3,FALSE)),0,VLOOKUP($A514,'Mutasi Neraca'!$A$3:$S$910,3,FALSE))</f>
        <v>669900</v>
      </c>
      <c r="E514" s="42">
        <f>VLOOKUP($A514,'Neraca Unaudited SIMAK'!$A$2:$R$1272,4,FALSE)+IF(ISNA(VLOOKUP($A514,'Mutasi Neraca'!$A$3:$S$910,4,FALSE)),0,VLOOKUP($A514,'Mutasi Neraca'!$A$3:$S$910,4,FALSE))</f>
        <v>26174709794</v>
      </c>
      <c r="F514" s="42">
        <f>VLOOKUP($A514,'Neraca Unaudited SIMAK'!$A$2:$R$1272,5,FALSE)+IF(ISNA(VLOOKUP($A514,'Mutasi Neraca'!$A$3:$S$910,5,FALSE)),0,VLOOKUP($A514,'Mutasi Neraca'!$A$3:$S$910,5,FALSE))</f>
        <v>1675465229</v>
      </c>
      <c r="G514" s="42">
        <f>VLOOKUP($A514,'Neraca Unaudited SIMAK'!$A$2:$R$1272,6,FALSE)+IF(ISNA(VLOOKUP($A514,'Mutasi Neraca'!$A$3:$S$910,6,FALSE)),0,VLOOKUP($A514,'Mutasi Neraca'!$A$3:$S$910,6,FALSE))</f>
        <v>4874152120</v>
      </c>
      <c r="H514" s="42">
        <f>VLOOKUP($A514,'Neraca Unaudited SIMAK'!$A$2:$R$1272,7,FALSE)+IF(ISNA(VLOOKUP($A514,'Mutasi Neraca'!$A$3:$S$910,7,FALSE)),0,VLOOKUP($A514,'Mutasi Neraca'!$A$3:$S$910,7,FALSE))</f>
        <v>2240000</v>
      </c>
      <c r="I514" s="42">
        <f>VLOOKUP($A514,'Neraca Unaudited SIMAK'!$A$2:$R$1272,8,FALSE)+IF(ISNA(VLOOKUP($A514,'Mutasi Neraca'!$A$3:$S$910,8,FALSE)),0,VLOOKUP($A514,'Mutasi Neraca'!$A$3:$S$910,8,FALSE))</f>
        <v>30020190</v>
      </c>
      <c r="J514" s="42">
        <f>VLOOKUP($A514,'Neraca Unaudited SIMAK'!$A$2:$R$1272,9,FALSE)+IF(ISNA(VLOOKUP($A514,'Mutasi Neraca'!$A$3:$S$910,9,FALSE)),0,VLOOKUP($A514,'Mutasi Neraca'!$A$3:$S$910,9,FALSE))</f>
        <v>0</v>
      </c>
      <c r="K514" s="42">
        <f>VLOOKUP($A514,'Neraca Unaudited SIMAK'!$A$2:$R$1272,10,FALSE)+IF(ISNA(VLOOKUP($A514,'Mutasi Neraca'!$A$3:$S$910,10,FALSE)),0,VLOOKUP($A514,'Mutasi Neraca'!$A$3:$S$910,10,FALSE))</f>
        <v>0</v>
      </c>
      <c r="L514" s="42">
        <f>VLOOKUP($A514,'Neraca Unaudited SIMAK'!$A$2:$R$1272,11,FALSE)+IF(ISNA(VLOOKUP($A514,'Mutasi Neraca'!$A$3:$S$910,11,FALSE)),0,VLOOKUP($A514,'Mutasi Neraca'!$A$3:$S$910,11,FALSE))</f>
        <v>2980000</v>
      </c>
      <c r="M514" s="42">
        <f>VLOOKUP($A514,'Neraca Unaudited SIMAK'!$A$2:$R$1272,12,FALSE)+IF(ISNA(VLOOKUP($A514,'Mutasi Neraca'!$A$3:$S$910,12,FALSE)),0,VLOOKUP($A514,'Mutasi Neraca'!$A$3:$S$910,12,FALSE))</f>
        <v>32760237233</v>
      </c>
      <c r="N514" s="42">
        <f>VLOOKUP($A514,'Neraca Unaudited SIMAK'!$A$2:$R$1272,13,FALSE)+IF(ISNA(VLOOKUP($A514,'Mutasi Neraca'!$A$3:$S$910,13,FALSE)),0,VLOOKUP($A514,'Mutasi Neraca'!$A$3:$S$910,13,FALSE))</f>
        <v>-1175463436</v>
      </c>
      <c r="O514" s="42">
        <f>VLOOKUP($A514,'Neraca Unaudited SIMAK'!$A$2:$R$1272,14,FALSE)+IF(ISNA(VLOOKUP($A514,'Mutasi Neraca'!$A$3:$S$910,14,FALSE)),0,VLOOKUP($A514,'Mutasi Neraca'!$A$3:$S$910,14,FALSE))</f>
        <v>-3358305396</v>
      </c>
      <c r="P514" s="42">
        <f>VLOOKUP($A514,'Neraca Unaudited SIMAK'!$A$2:$R$1272,15,FALSE)+IF(ISNA(VLOOKUP($A514,'Mutasi Neraca'!$A$3:$S$910,15,FALSE)),0,VLOOKUP($A514,'Mutasi Neraca'!$A$3:$S$910,15,FALSE))</f>
        <v>-2240000</v>
      </c>
      <c r="Q514" s="42">
        <f>VLOOKUP($A514,'Neraca Unaudited SIMAK'!$A$2:$R$1272,16,FALSE)+IF(ISNA(VLOOKUP($A514,'Mutasi Neraca'!$A$3:$S$910,16,FALSE)),0,VLOOKUP($A514,'Mutasi Neraca'!$A$3:$S$910,16,FALSE))</f>
        <v>0</v>
      </c>
      <c r="R514" s="42">
        <f>VLOOKUP($A514,'Neraca Unaudited SIMAK'!$A$2:$R$1272,17,FALSE)+IF(ISNA(VLOOKUP($A514,'Mutasi Neraca'!$A$3:$S$910,17,FALSE)),0,VLOOKUP($A514,'Mutasi Neraca'!$A$3:$S$910,17,FALSE))</f>
        <v>-2980000</v>
      </c>
      <c r="S514" s="42">
        <f t="shared" si="57"/>
        <v>28221248401</v>
      </c>
    </row>
    <row r="515" spans="1:19">
      <c r="A515" s="41" t="s">
        <v>522</v>
      </c>
      <c r="B515" s="41" t="str">
        <f t="shared" ref="B515:B578" si="58">LEFT(A515,9)</f>
        <v>005011600</v>
      </c>
      <c r="D515" s="42">
        <f>VLOOKUP($A515,'Neraca Unaudited SIMAK'!$A$2:$R$1272,3,FALSE)+IF(ISNA(VLOOKUP($A515,'Mutasi Neraca'!$A$3:$S$910,3,FALSE)),0,VLOOKUP($A515,'Mutasi Neraca'!$A$3:$S$910,3,FALSE))</f>
        <v>458125</v>
      </c>
      <c r="E515" s="42">
        <f>VLOOKUP($A515,'Neraca Unaudited SIMAK'!$A$2:$R$1272,4,FALSE)+IF(ISNA(VLOOKUP($A515,'Mutasi Neraca'!$A$3:$S$910,4,FALSE)),0,VLOOKUP($A515,'Mutasi Neraca'!$A$3:$S$910,4,FALSE))</f>
        <v>28654700000</v>
      </c>
      <c r="F515" s="42">
        <f>VLOOKUP($A515,'Neraca Unaudited SIMAK'!$A$2:$R$1272,5,FALSE)+IF(ISNA(VLOOKUP($A515,'Mutasi Neraca'!$A$3:$S$910,5,FALSE)),0,VLOOKUP($A515,'Mutasi Neraca'!$A$3:$S$910,5,FALSE))</f>
        <v>3831889633</v>
      </c>
      <c r="G515" s="42">
        <f>VLOOKUP($A515,'Neraca Unaudited SIMAK'!$A$2:$R$1272,6,FALSE)+IF(ISNA(VLOOKUP($A515,'Mutasi Neraca'!$A$3:$S$910,6,FALSE)),0,VLOOKUP($A515,'Mutasi Neraca'!$A$3:$S$910,6,FALSE))</f>
        <v>14165693450</v>
      </c>
      <c r="H515" s="42">
        <f>VLOOKUP($A515,'Neraca Unaudited SIMAK'!$A$2:$R$1272,7,FALSE)+IF(ISNA(VLOOKUP($A515,'Mutasi Neraca'!$A$3:$S$910,7,FALSE)),0,VLOOKUP($A515,'Mutasi Neraca'!$A$3:$S$910,7,FALSE))</f>
        <v>284912000</v>
      </c>
      <c r="I515" s="42">
        <f>VLOOKUP($A515,'Neraca Unaudited SIMAK'!$A$2:$R$1272,8,FALSE)+IF(ISNA(VLOOKUP($A515,'Mutasi Neraca'!$A$3:$S$910,8,FALSE)),0,VLOOKUP($A515,'Mutasi Neraca'!$A$3:$S$910,8,FALSE))</f>
        <v>24420022</v>
      </c>
      <c r="J515" s="42">
        <f>VLOOKUP($A515,'Neraca Unaudited SIMAK'!$A$2:$R$1272,9,FALSE)+IF(ISNA(VLOOKUP($A515,'Mutasi Neraca'!$A$3:$S$910,9,FALSE)),0,VLOOKUP($A515,'Mutasi Neraca'!$A$3:$S$910,9,FALSE))</f>
        <v>0</v>
      </c>
      <c r="K515" s="42">
        <f>VLOOKUP($A515,'Neraca Unaudited SIMAK'!$A$2:$R$1272,10,FALSE)+IF(ISNA(VLOOKUP($A515,'Mutasi Neraca'!$A$3:$S$910,10,FALSE)),0,VLOOKUP($A515,'Mutasi Neraca'!$A$3:$S$910,10,FALSE))</f>
        <v>58936310</v>
      </c>
      <c r="L515" s="42">
        <f>VLOOKUP($A515,'Neraca Unaudited SIMAK'!$A$2:$R$1272,11,FALSE)+IF(ISNA(VLOOKUP($A515,'Mutasi Neraca'!$A$3:$S$910,11,FALSE)),0,VLOOKUP($A515,'Mutasi Neraca'!$A$3:$S$910,11,FALSE))</f>
        <v>239354000</v>
      </c>
      <c r="M515" s="42">
        <f>VLOOKUP($A515,'Neraca Unaudited SIMAK'!$A$2:$R$1272,12,FALSE)+IF(ISNA(VLOOKUP($A515,'Mutasi Neraca'!$A$3:$S$910,12,FALSE)),0,VLOOKUP($A515,'Mutasi Neraca'!$A$3:$S$910,12,FALSE))</f>
        <v>47260363540</v>
      </c>
      <c r="N515" s="42">
        <f>VLOOKUP($A515,'Neraca Unaudited SIMAK'!$A$2:$R$1272,13,FALSE)+IF(ISNA(VLOOKUP($A515,'Mutasi Neraca'!$A$3:$S$910,13,FALSE)),0,VLOOKUP($A515,'Mutasi Neraca'!$A$3:$S$910,13,FALSE))</f>
        <v>-3457879465</v>
      </c>
      <c r="O515" s="42">
        <f>VLOOKUP($A515,'Neraca Unaudited SIMAK'!$A$2:$R$1272,14,FALSE)+IF(ISNA(VLOOKUP($A515,'Mutasi Neraca'!$A$3:$S$910,14,FALSE)),0,VLOOKUP($A515,'Mutasi Neraca'!$A$3:$S$910,14,FALSE))</f>
        <v>-2564901591</v>
      </c>
      <c r="P515" s="42">
        <f>VLOOKUP($A515,'Neraca Unaudited SIMAK'!$A$2:$R$1272,15,FALSE)+IF(ISNA(VLOOKUP($A515,'Mutasi Neraca'!$A$3:$S$910,15,FALSE)),0,VLOOKUP($A515,'Mutasi Neraca'!$A$3:$S$910,15,FALSE))</f>
        <v>-20169500</v>
      </c>
      <c r="Q515" s="42">
        <f>VLOOKUP($A515,'Neraca Unaudited SIMAK'!$A$2:$R$1272,16,FALSE)+IF(ISNA(VLOOKUP($A515,'Mutasi Neraca'!$A$3:$S$910,16,FALSE)),0,VLOOKUP($A515,'Mutasi Neraca'!$A$3:$S$910,16,FALSE))</f>
        <v>0</v>
      </c>
      <c r="R515" s="42">
        <f>VLOOKUP($A515,'Neraca Unaudited SIMAK'!$A$2:$R$1272,17,FALSE)+IF(ISNA(VLOOKUP($A515,'Mutasi Neraca'!$A$3:$S$910,17,FALSE)),0,VLOOKUP($A515,'Mutasi Neraca'!$A$3:$S$910,17,FALSE))</f>
        <v>-239116000</v>
      </c>
      <c r="S515" s="42">
        <f t="shared" ref="S515:S578" si="59">SUM(M515:R515)</f>
        <v>40978296984</v>
      </c>
    </row>
    <row r="516" spans="1:19">
      <c r="A516" s="41" t="s">
        <v>523</v>
      </c>
      <c r="B516" s="41" t="str">
        <f t="shared" si="58"/>
        <v>005011600</v>
      </c>
      <c r="D516" s="42">
        <f>VLOOKUP($A516,'Neraca Unaudited SIMAK'!$A$2:$R$1272,3,FALSE)+IF(ISNA(VLOOKUP($A516,'Mutasi Neraca'!$A$3:$S$910,3,FALSE)),0,VLOOKUP($A516,'Mutasi Neraca'!$A$3:$S$910,3,FALSE))</f>
        <v>503000</v>
      </c>
      <c r="E516" s="42">
        <f>VLOOKUP($A516,'Neraca Unaudited SIMAK'!$A$2:$R$1272,4,FALSE)+IF(ISNA(VLOOKUP($A516,'Mutasi Neraca'!$A$3:$S$910,4,FALSE)),0,VLOOKUP($A516,'Mutasi Neraca'!$A$3:$S$910,4,FALSE))</f>
        <v>14141840000</v>
      </c>
      <c r="F516" s="42">
        <f>VLOOKUP($A516,'Neraca Unaudited SIMAK'!$A$2:$R$1272,5,FALSE)+IF(ISNA(VLOOKUP($A516,'Mutasi Neraca'!$A$3:$S$910,5,FALSE)),0,VLOOKUP($A516,'Mutasi Neraca'!$A$3:$S$910,5,FALSE))</f>
        <v>937062578</v>
      </c>
      <c r="G516" s="42">
        <f>VLOOKUP($A516,'Neraca Unaudited SIMAK'!$A$2:$R$1272,6,FALSE)+IF(ISNA(VLOOKUP($A516,'Mutasi Neraca'!$A$3:$S$910,6,FALSE)),0,VLOOKUP($A516,'Mutasi Neraca'!$A$3:$S$910,6,FALSE))</f>
        <v>11256912900</v>
      </c>
      <c r="H516" s="42">
        <f>VLOOKUP($A516,'Neraca Unaudited SIMAK'!$A$2:$R$1272,7,FALSE)+IF(ISNA(VLOOKUP($A516,'Mutasi Neraca'!$A$3:$S$910,7,FALSE)),0,VLOOKUP($A516,'Mutasi Neraca'!$A$3:$S$910,7,FALSE))</f>
        <v>20000000</v>
      </c>
      <c r="I516" s="42">
        <f>VLOOKUP($A516,'Neraca Unaudited SIMAK'!$A$2:$R$1272,8,FALSE)+IF(ISNA(VLOOKUP($A516,'Mutasi Neraca'!$A$3:$S$910,8,FALSE)),0,VLOOKUP($A516,'Mutasi Neraca'!$A$3:$S$910,8,FALSE))</f>
        <v>48086932</v>
      </c>
      <c r="J516" s="42">
        <f>VLOOKUP($A516,'Neraca Unaudited SIMAK'!$A$2:$R$1272,9,FALSE)+IF(ISNA(VLOOKUP($A516,'Mutasi Neraca'!$A$3:$S$910,9,FALSE)),0,VLOOKUP($A516,'Mutasi Neraca'!$A$3:$S$910,9,FALSE))</f>
        <v>0</v>
      </c>
      <c r="K516" s="42">
        <f>VLOOKUP($A516,'Neraca Unaudited SIMAK'!$A$2:$R$1272,10,FALSE)+IF(ISNA(VLOOKUP($A516,'Mutasi Neraca'!$A$3:$S$910,10,FALSE)),0,VLOOKUP($A516,'Mutasi Neraca'!$A$3:$S$910,10,FALSE))</f>
        <v>0</v>
      </c>
      <c r="L516" s="42">
        <f>VLOOKUP($A516,'Neraca Unaudited SIMAK'!$A$2:$R$1272,11,FALSE)+IF(ISNA(VLOOKUP($A516,'Mutasi Neraca'!$A$3:$S$910,11,FALSE)),0,VLOOKUP($A516,'Mutasi Neraca'!$A$3:$S$910,11,FALSE))</f>
        <v>0</v>
      </c>
      <c r="M516" s="42">
        <f>VLOOKUP($A516,'Neraca Unaudited SIMAK'!$A$2:$R$1272,12,FALSE)+IF(ISNA(VLOOKUP($A516,'Mutasi Neraca'!$A$3:$S$910,12,FALSE)),0,VLOOKUP($A516,'Mutasi Neraca'!$A$3:$S$910,12,FALSE))</f>
        <v>26404405410</v>
      </c>
      <c r="N516" s="42">
        <f>VLOOKUP($A516,'Neraca Unaudited SIMAK'!$A$2:$R$1272,13,FALSE)+IF(ISNA(VLOOKUP($A516,'Mutasi Neraca'!$A$3:$S$910,13,FALSE)),0,VLOOKUP($A516,'Mutasi Neraca'!$A$3:$S$910,13,FALSE))</f>
        <v>-722180158</v>
      </c>
      <c r="O516" s="42">
        <f>VLOOKUP($A516,'Neraca Unaudited SIMAK'!$A$2:$R$1272,14,FALSE)+IF(ISNA(VLOOKUP($A516,'Mutasi Neraca'!$A$3:$S$910,14,FALSE)),0,VLOOKUP($A516,'Mutasi Neraca'!$A$3:$S$910,14,FALSE))</f>
        <v>-1623885842</v>
      </c>
      <c r="P516" s="42">
        <f>VLOOKUP($A516,'Neraca Unaudited SIMAK'!$A$2:$R$1272,15,FALSE)+IF(ISNA(VLOOKUP($A516,'Mutasi Neraca'!$A$3:$S$910,15,FALSE)),0,VLOOKUP($A516,'Mutasi Neraca'!$A$3:$S$910,15,FALSE))</f>
        <v>-3000000</v>
      </c>
      <c r="Q516" s="42">
        <f>VLOOKUP($A516,'Neraca Unaudited SIMAK'!$A$2:$R$1272,16,FALSE)+IF(ISNA(VLOOKUP($A516,'Mutasi Neraca'!$A$3:$S$910,16,FALSE)),0,VLOOKUP($A516,'Mutasi Neraca'!$A$3:$S$910,16,FALSE))</f>
        <v>0</v>
      </c>
      <c r="R516" s="42">
        <f>VLOOKUP($A516,'Neraca Unaudited SIMAK'!$A$2:$R$1272,17,FALSE)+IF(ISNA(VLOOKUP($A516,'Mutasi Neraca'!$A$3:$S$910,17,FALSE)),0,VLOOKUP($A516,'Mutasi Neraca'!$A$3:$S$910,17,FALSE))</f>
        <v>0</v>
      </c>
      <c r="S516" s="42">
        <f t="shared" si="59"/>
        <v>24055339410</v>
      </c>
    </row>
    <row r="517" spans="1:19">
      <c r="A517" s="41" t="s">
        <v>524</v>
      </c>
      <c r="B517" s="41" t="str">
        <f t="shared" si="58"/>
        <v>005011600</v>
      </c>
      <c r="D517" s="42">
        <f>VLOOKUP($A517,'Neraca Unaudited SIMAK'!$A$2:$R$1272,3,FALSE)+IF(ISNA(VLOOKUP($A517,'Mutasi Neraca'!$A$3:$S$910,3,FALSE)),0,VLOOKUP($A517,'Mutasi Neraca'!$A$3:$S$910,3,FALSE))</f>
        <v>665000</v>
      </c>
      <c r="E517" s="42">
        <f>VLOOKUP($A517,'Neraca Unaudited SIMAK'!$A$2:$R$1272,4,FALSE)+IF(ISNA(VLOOKUP($A517,'Mutasi Neraca'!$A$3:$S$910,4,FALSE)),0,VLOOKUP($A517,'Mutasi Neraca'!$A$3:$S$910,4,FALSE))</f>
        <v>45961098000</v>
      </c>
      <c r="F517" s="42">
        <f>VLOOKUP($A517,'Neraca Unaudited SIMAK'!$A$2:$R$1272,5,FALSE)+IF(ISNA(VLOOKUP($A517,'Mutasi Neraca'!$A$3:$S$910,5,FALSE)),0,VLOOKUP($A517,'Mutasi Neraca'!$A$3:$S$910,5,FALSE))</f>
        <v>2871875062</v>
      </c>
      <c r="G517" s="42">
        <f>VLOOKUP($A517,'Neraca Unaudited SIMAK'!$A$2:$R$1272,6,FALSE)+IF(ISNA(VLOOKUP($A517,'Mutasi Neraca'!$A$3:$S$910,6,FALSE)),0,VLOOKUP($A517,'Mutasi Neraca'!$A$3:$S$910,6,FALSE))</f>
        <v>12924097500</v>
      </c>
      <c r="H517" s="42">
        <f>VLOOKUP($A517,'Neraca Unaudited SIMAK'!$A$2:$R$1272,7,FALSE)+IF(ISNA(VLOOKUP($A517,'Mutasi Neraca'!$A$3:$S$910,7,FALSE)),0,VLOOKUP($A517,'Mutasi Neraca'!$A$3:$S$910,7,FALSE))</f>
        <v>215285000</v>
      </c>
      <c r="I517" s="42">
        <f>VLOOKUP($A517,'Neraca Unaudited SIMAK'!$A$2:$R$1272,8,FALSE)+IF(ISNA(VLOOKUP($A517,'Mutasi Neraca'!$A$3:$S$910,8,FALSE)),0,VLOOKUP($A517,'Mutasi Neraca'!$A$3:$S$910,8,FALSE))</f>
        <v>177161594</v>
      </c>
      <c r="J517" s="42">
        <f>VLOOKUP($A517,'Neraca Unaudited SIMAK'!$A$2:$R$1272,9,FALSE)+IF(ISNA(VLOOKUP($A517,'Mutasi Neraca'!$A$3:$S$910,9,FALSE)),0,VLOOKUP($A517,'Mutasi Neraca'!$A$3:$S$910,9,FALSE))</f>
        <v>0</v>
      </c>
      <c r="K517" s="42">
        <f>VLOOKUP($A517,'Neraca Unaudited SIMAK'!$A$2:$R$1272,10,FALSE)+IF(ISNA(VLOOKUP($A517,'Mutasi Neraca'!$A$3:$S$910,10,FALSE)),0,VLOOKUP($A517,'Mutasi Neraca'!$A$3:$S$910,10,FALSE))</f>
        <v>0</v>
      </c>
      <c r="L517" s="42">
        <f>VLOOKUP($A517,'Neraca Unaudited SIMAK'!$A$2:$R$1272,11,FALSE)+IF(ISNA(VLOOKUP($A517,'Mutasi Neraca'!$A$3:$S$910,11,FALSE)),0,VLOOKUP($A517,'Mutasi Neraca'!$A$3:$S$910,11,FALSE))</f>
        <v>286214543</v>
      </c>
      <c r="M517" s="42">
        <f>VLOOKUP($A517,'Neraca Unaudited SIMAK'!$A$2:$R$1272,12,FALSE)+IF(ISNA(VLOOKUP($A517,'Mutasi Neraca'!$A$3:$S$910,12,FALSE)),0,VLOOKUP($A517,'Mutasi Neraca'!$A$3:$S$910,12,FALSE))</f>
        <v>62436396699</v>
      </c>
      <c r="N517" s="42">
        <f>VLOOKUP($A517,'Neraca Unaudited SIMAK'!$A$2:$R$1272,13,FALSE)+IF(ISNA(VLOOKUP($A517,'Mutasi Neraca'!$A$3:$S$910,13,FALSE)),0,VLOOKUP($A517,'Mutasi Neraca'!$A$3:$S$910,13,FALSE))</f>
        <v>-1863342388</v>
      </c>
      <c r="O517" s="42">
        <f>VLOOKUP($A517,'Neraca Unaudited SIMAK'!$A$2:$R$1272,14,FALSE)+IF(ISNA(VLOOKUP($A517,'Mutasi Neraca'!$A$3:$S$910,14,FALSE)),0,VLOOKUP($A517,'Mutasi Neraca'!$A$3:$S$910,14,FALSE))</f>
        <v>-1716469381</v>
      </c>
      <c r="P517" s="42">
        <f>VLOOKUP($A517,'Neraca Unaudited SIMAK'!$A$2:$R$1272,15,FALSE)+IF(ISNA(VLOOKUP($A517,'Mutasi Neraca'!$A$3:$S$910,15,FALSE)),0,VLOOKUP($A517,'Mutasi Neraca'!$A$3:$S$910,15,FALSE))</f>
        <v>-171553563</v>
      </c>
      <c r="Q517" s="42">
        <f>VLOOKUP($A517,'Neraca Unaudited SIMAK'!$A$2:$R$1272,16,FALSE)+IF(ISNA(VLOOKUP($A517,'Mutasi Neraca'!$A$3:$S$910,16,FALSE)),0,VLOOKUP($A517,'Mutasi Neraca'!$A$3:$S$910,16,FALSE))</f>
        <v>0</v>
      </c>
      <c r="R517" s="42">
        <f>VLOOKUP($A517,'Neraca Unaudited SIMAK'!$A$2:$R$1272,17,FALSE)+IF(ISNA(VLOOKUP($A517,'Mutasi Neraca'!$A$3:$S$910,17,FALSE)),0,VLOOKUP($A517,'Mutasi Neraca'!$A$3:$S$910,17,FALSE))</f>
        <v>-286214543</v>
      </c>
      <c r="S517" s="42">
        <f t="shared" si="59"/>
        <v>58398816824</v>
      </c>
    </row>
    <row r="518" spans="1:19">
      <c r="A518" s="41" t="s">
        <v>525</v>
      </c>
      <c r="B518" s="41" t="str">
        <f t="shared" si="58"/>
        <v>005011600</v>
      </c>
      <c r="D518" s="42">
        <f>VLOOKUP($A518,'Neraca Unaudited SIMAK'!$A$2:$R$1272,3,FALSE)+IF(ISNA(VLOOKUP($A518,'Mutasi Neraca'!$A$3:$S$910,3,FALSE)),0,VLOOKUP($A518,'Mutasi Neraca'!$A$3:$S$910,3,FALSE))</f>
        <v>657000</v>
      </c>
      <c r="E518" s="42">
        <f>VLOOKUP($A518,'Neraca Unaudited SIMAK'!$A$2:$R$1272,4,FALSE)+IF(ISNA(VLOOKUP($A518,'Mutasi Neraca'!$A$3:$S$910,4,FALSE)),0,VLOOKUP($A518,'Mutasi Neraca'!$A$3:$S$910,4,FALSE))</f>
        <v>0</v>
      </c>
      <c r="F518" s="42">
        <f>VLOOKUP($A518,'Neraca Unaudited SIMAK'!$A$2:$R$1272,5,FALSE)+IF(ISNA(VLOOKUP($A518,'Mutasi Neraca'!$A$3:$S$910,5,FALSE)),0,VLOOKUP($A518,'Mutasi Neraca'!$A$3:$S$910,5,FALSE))</f>
        <v>1496298839</v>
      </c>
      <c r="G518" s="42">
        <f>VLOOKUP($A518,'Neraca Unaudited SIMAK'!$A$2:$R$1272,6,FALSE)+IF(ISNA(VLOOKUP($A518,'Mutasi Neraca'!$A$3:$S$910,6,FALSE)),0,VLOOKUP($A518,'Mutasi Neraca'!$A$3:$S$910,6,FALSE))</f>
        <v>1347400000</v>
      </c>
      <c r="H518" s="42">
        <f>VLOOKUP($A518,'Neraca Unaudited SIMAK'!$A$2:$R$1272,7,FALSE)+IF(ISNA(VLOOKUP($A518,'Mutasi Neraca'!$A$3:$S$910,7,FALSE)),0,VLOOKUP($A518,'Mutasi Neraca'!$A$3:$S$910,7,FALSE))</f>
        <v>75322710</v>
      </c>
      <c r="I518" s="42">
        <f>VLOOKUP($A518,'Neraca Unaudited SIMAK'!$A$2:$R$1272,8,FALSE)+IF(ISNA(VLOOKUP($A518,'Mutasi Neraca'!$A$3:$S$910,8,FALSE)),0,VLOOKUP($A518,'Mutasi Neraca'!$A$3:$S$910,8,FALSE))</f>
        <v>19871400</v>
      </c>
      <c r="J518" s="42">
        <f>VLOOKUP($A518,'Neraca Unaudited SIMAK'!$A$2:$R$1272,9,FALSE)+IF(ISNA(VLOOKUP($A518,'Mutasi Neraca'!$A$3:$S$910,9,FALSE)),0,VLOOKUP($A518,'Mutasi Neraca'!$A$3:$S$910,9,FALSE))</f>
        <v>0</v>
      </c>
      <c r="K518" s="42">
        <f>VLOOKUP($A518,'Neraca Unaudited SIMAK'!$A$2:$R$1272,10,FALSE)+IF(ISNA(VLOOKUP($A518,'Mutasi Neraca'!$A$3:$S$910,10,FALSE)),0,VLOOKUP($A518,'Mutasi Neraca'!$A$3:$S$910,10,FALSE))</f>
        <v>0</v>
      </c>
      <c r="L518" s="42">
        <f>VLOOKUP($A518,'Neraca Unaudited SIMAK'!$A$2:$R$1272,11,FALSE)+IF(ISNA(VLOOKUP($A518,'Mutasi Neraca'!$A$3:$S$910,11,FALSE)),0,VLOOKUP($A518,'Mutasi Neraca'!$A$3:$S$910,11,FALSE))</f>
        <v>0</v>
      </c>
      <c r="M518" s="42">
        <f>VLOOKUP($A518,'Neraca Unaudited SIMAK'!$A$2:$R$1272,12,FALSE)+IF(ISNA(VLOOKUP($A518,'Mutasi Neraca'!$A$3:$S$910,12,FALSE)),0,VLOOKUP($A518,'Mutasi Neraca'!$A$3:$S$910,12,FALSE))</f>
        <v>2939549949</v>
      </c>
      <c r="N518" s="42">
        <f>VLOOKUP($A518,'Neraca Unaudited SIMAK'!$A$2:$R$1272,13,FALSE)+IF(ISNA(VLOOKUP($A518,'Mutasi Neraca'!$A$3:$S$910,13,FALSE)),0,VLOOKUP($A518,'Mutasi Neraca'!$A$3:$S$910,13,FALSE))</f>
        <v>-1272472939</v>
      </c>
      <c r="O518" s="42">
        <f>VLOOKUP($A518,'Neraca Unaudited SIMAK'!$A$2:$R$1272,14,FALSE)+IF(ISNA(VLOOKUP($A518,'Mutasi Neraca'!$A$3:$S$910,14,FALSE)),0,VLOOKUP($A518,'Mutasi Neraca'!$A$3:$S$910,14,FALSE))</f>
        <v>-434268000</v>
      </c>
      <c r="P518" s="42">
        <f>VLOOKUP($A518,'Neraca Unaudited SIMAK'!$A$2:$R$1272,15,FALSE)+IF(ISNA(VLOOKUP($A518,'Mutasi Neraca'!$A$3:$S$910,15,FALSE)),0,VLOOKUP($A518,'Mutasi Neraca'!$A$3:$S$910,15,FALSE))</f>
        <v>-26724150</v>
      </c>
      <c r="Q518" s="42">
        <f>VLOOKUP($A518,'Neraca Unaudited SIMAK'!$A$2:$R$1272,16,FALSE)+IF(ISNA(VLOOKUP($A518,'Mutasi Neraca'!$A$3:$S$910,16,FALSE)),0,VLOOKUP($A518,'Mutasi Neraca'!$A$3:$S$910,16,FALSE))</f>
        <v>0</v>
      </c>
      <c r="R518" s="42">
        <f>VLOOKUP($A518,'Neraca Unaudited SIMAK'!$A$2:$R$1272,17,FALSE)+IF(ISNA(VLOOKUP($A518,'Mutasi Neraca'!$A$3:$S$910,17,FALSE)),0,VLOOKUP($A518,'Mutasi Neraca'!$A$3:$S$910,17,FALSE))</f>
        <v>0</v>
      </c>
      <c r="S518" s="42">
        <f t="shared" si="59"/>
        <v>1206084860</v>
      </c>
    </row>
    <row r="519" spans="1:19">
      <c r="A519" s="41" t="s">
        <v>526</v>
      </c>
      <c r="B519" s="41" t="str">
        <f t="shared" si="58"/>
        <v>005011600</v>
      </c>
      <c r="D519" s="42">
        <f>VLOOKUP($A519,'Neraca Unaudited SIMAK'!$A$2:$R$1272,3,FALSE)+IF(ISNA(VLOOKUP($A519,'Mutasi Neraca'!$A$3:$S$910,3,FALSE)),0,VLOOKUP($A519,'Mutasi Neraca'!$A$3:$S$910,3,FALSE))</f>
        <v>0</v>
      </c>
      <c r="E519" s="42">
        <f>VLOOKUP($A519,'Neraca Unaudited SIMAK'!$A$2:$R$1272,4,FALSE)+IF(ISNA(VLOOKUP($A519,'Mutasi Neraca'!$A$3:$S$910,4,FALSE)),0,VLOOKUP($A519,'Mutasi Neraca'!$A$3:$S$910,4,FALSE))</f>
        <v>5589072000</v>
      </c>
      <c r="F519" s="42">
        <f>VLOOKUP($A519,'Neraca Unaudited SIMAK'!$A$2:$R$1272,5,FALSE)+IF(ISNA(VLOOKUP($A519,'Mutasi Neraca'!$A$3:$S$910,5,FALSE)),0,VLOOKUP($A519,'Mutasi Neraca'!$A$3:$S$910,5,FALSE))</f>
        <v>1954574743</v>
      </c>
      <c r="G519" s="42">
        <f>VLOOKUP($A519,'Neraca Unaudited SIMAK'!$A$2:$R$1272,6,FALSE)+IF(ISNA(VLOOKUP($A519,'Mutasi Neraca'!$A$3:$S$910,6,FALSE)),0,VLOOKUP($A519,'Mutasi Neraca'!$A$3:$S$910,6,FALSE))</f>
        <v>7538608949</v>
      </c>
      <c r="H519" s="42">
        <f>VLOOKUP($A519,'Neraca Unaudited SIMAK'!$A$2:$R$1272,7,FALSE)+IF(ISNA(VLOOKUP($A519,'Mutasi Neraca'!$A$3:$S$910,7,FALSE)),0,VLOOKUP($A519,'Mutasi Neraca'!$A$3:$S$910,7,FALSE))</f>
        <v>115639851</v>
      </c>
      <c r="I519" s="42">
        <f>VLOOKUP($A519,'Neraca Unaudited SIMAK'!$A$2:$R$1272,8,FALSE)+IF(ISNA(VLOOKUP($A519,'Mutasi Neraca'!$A$3:$S$910,8,FALSE)),0,VLOOKUP($A519,'Mutasi Neraca'!$A$3:$S$910,8,FALSE))</f>
        <v>2908678</v>
      </c>
      <c r="J519" s="42">
        <f>VLOOKUP($A519,'Neraca Unaudited SIMAK'!$A$2:$R$1272,9,FALSE)+IF(ISNA(VLOOKUP($A519,'Mutasi Neraca'!$A$3:$S$910,9,FALSE)),0,VLOOKUP($A519,'Mutasi Neraca'!$A$3:$S$910,9,FALSE))</f>
        <v>0</v>
      </c>
      <c r="K519" s="42">
        <f>VLOOKUP($A519,'Neraca Unaudited SIMAK'!$A$2:$R$1272,10,FALSE)+IF(ISNA(VLOOKUP($A519,'Mutasi Neraca'!$A$3:$S$910,10,FALSE)),0,VLOOKUP($A519,'Mutasi Neraca'!$A$3:$S$910,10,FALSE))</f>
        <v>0</v>
      </c>
      <c r="L519" s="42">
        <f>VLOOKUP($A519,'Neraca Unaudited SIMAK'!$A$2:$R$1272,11,FALSE)+IF(ISNA(VLOOKUP($A519,'Mutasi Neraca'!$A$3:$S$910,11,FALSE)),0,VLOOKUP($A519,'Mutasi Neraca'!$A$3:$S$910,11,FALSE))</f>
        <v>0</v>
      </c>
      <c r="M519" s="42">
        <f>VLOOKUP($A519,'Neraca Unaudited SIMAK'!$A$2:$R$1272,12,FALSE)+IF(ISNA(VLOOKUP($A519,'Mutasi Neraca'!$A$3:$S$910,12,FALSE)),0,VLOOKUP($A519,'Mutasi Neraca'!$A$3:$S$910,12,FALSE))</f>
        <v>15200804221</v>
      </c>
      <c r="N519" s="42">
        <f>VLOOKUP($A519,'Neraca Unaudited SIMAK'!$A$2:$R$1272,13,FALSE)+IF(ISNA(VLOOKUP($A519,'Mutasi Neraca'!$A$3:$S$910,13,FALSE)),0,VLOOKUP($A519,'Mutasi Neraca'!$A$3:$S$910,13,FALSE))</f>
        <v>-1714575465</v>
      </c>
      <c r="O519" s="42">
        <f>VLOOKUP($A519,'Neraca Unaudited SIMAK'!$A$2:$R$1272,14,FALSE)+IF(ISNA(VLOOKUP($A519,'Mutasi Neraca'!$A$3:$S$910,14,FALSE)),0,VLOOKUP($A519,'Mutasi Neraca'!$A$3:$S$910,14,FALSE))</f>
        <v>-966772799</v>
      </c>
      <c r="P519" s="42">
        <f>VLOOKUP($A519,'Neraca Unaudited SIMAK'!$A$2:$R$1272,15,FALSE)+IF(ISNA(VLOOKUP($A519,'Mutasi Neraca'!$A$3:$S$910,15,FALSE)),0,VLOOKUP($A519,'Mutasi Neraca'!$A$3:$S$910,15,FALSE))</f>
        <v>-18791475</v>
      </c>
      <c r="Q519" s="42">
        <f>VLOOKUP($A519,'Neraca Unaudited SIMAK'!$A$2:$R$1272,16,FALSE)+IF(ISNA(VLOOKUP($A519,'Mutasi Neraca'!$A$3:$S$910,16,FALSE)),0,VLOOKUP($A519,'Mutasi Neraca'!$A$3:$S$910,16,FALSE))</f>
        <v>0</v>
      </c>
      <c r="R519" s="42">
        <f>VLOOKUP($A519,'Neraca Unaudited SIMAK'!$A$2:$R$1272,17,FALSE)+IF(ISNA(VLOOKUP($A519,'Mutasi Neraca'!$A$3:$S$910,17,FALSE)),0,VLOOKUP($A519,'Mutasi Neraca'!$A$3:$S$910,17,FALSE))</f>
        <v>0</v>
      </c>
      <c r="S519" s="42">
        <f t="shared" si="59"/>
        <v>12500664482</v>
      </c>
    </row>
    <row r="520" spans="1:19">
      <c r="A520" s="41" t="s">
        <v>527</v>
      </c>
      <c r="B520" s="41" t="str">
        <f t="shared" si="58"/>
        <v>005011600</v>
      </c>
      <c r="D520" s="42">
        <f>VLOOKUP($A520,'Neraca Unaudited SIMAK'!$A$2:$R$1272,3,FALSE)+IF(ISNA(VLOOKUP($A520,'Mutasi Neraca'!$A$3:$S$910,3,FALSE)),0,VLOOKUP($A520,'Mutasi Neraca'!$A$3:$S$910,3,FALSE))</f>
        <v>0</v>
      </c>
      <c r="E520" s="42">
        <f>VLOOKUP($A520,'Neraca Unaudited SIMAK'!$A$2:$R$1272,4,FALSE)+IF(ISNA(VLOOKUP($A520,'Mutasi Neraca'!$A$3:$S$910,4,FALSE)),0,VLOOKUP($A520,'Mutasi Neraca'!$A$3:$S$910,4,FALSE))</f>
        <v>212625000</v>
      </c>
      <c r="F520" s="42">
        <f>VLOOKUP($A520,'Neraca Unaudited SIMAK'!$A$2:$R$1272,5,FALSE)+IF(ISNA(VLOOKUP($A520,'Mutasi Neraca'!$A$3:$S$910,5,FALSE)),0,VLOOKUP($A520,'Mutasi Neraca'!$A$3:$S$910,5,FALSE))</f>
        <v>616543753</v>
      </c>
      <c r="G520" s="42">
        <f>VLOOKUP($A520,'Neraca Unaudited SIMAK'!$A$2:$R$1272,6,FALSE)+IF(ISNA(VLOOKUP($A520,'Mutasi Neraca'!$A$3:$S$910,6,FALSE)),0,VLOOKUP($A520,'Mutasi Neraca'!$A$3:$S$910,6,FALSE))</f>
        <v>8375771000</v>
      </c>
      <c r="H520" s="42">
        <f>VLOOKUP($A520,'Neraca Unaudited SIMAK'!$A$2:$R$1272,7,FALSE)+IF(ISNA(VLOOKUP($A520,'Mutasi Neraca'!$A$3:$S$910,7,FALSE)),0,VLOOKUP($A520,'Mutasi Neraca'!$A$3:$S$910,7,FALSE))</f>
        <v>1028625</v>
      </c>
      <c r="I520" s="42">
        <f>VLOOKUP($A520,'Neraca Unaudited SIMAK'!$A$2:$R$1272,8,FALSE)+IF(ISNA(VLOOKUP($A520,'Mutasi Neraca'!$A$3:$S$910,8,FALSE)),0,VLOOKUP($A520,'Mutasi Neraca'!$A$3:$S$910,8,FALSE))</f>
        <v>2828678</v>
      </c>
      <c r="J520" s="42">
        <f>VLOOKUP($A520,'Neraca Unaudited SIMAK'!$A$2:$R$1272,9,FALSE)+IF(ISNA(VLOOKUP($A520,'Mutasi Neraca'!$A$3:$S$910,9,FALSE)),0,VLOOKUP($A520,'Mutasi Neraca'!$A$3:$S$910,9,FALSE))</f>
        <v>4187511000</v>
      </c>
      <c r="K520" s="42">
        <f>VLOOKUP($A520,'Neraca Unaudited SIMAK'!$A$2:$R$1272,10,FALSE)+IF(ISNA(VLOOKUP($A520,'Mutasi Neraca'!$A$3:$S$910,10,FALSE)),0,VLOOKUP($A520,'Mutasi Neraca'!$A$3:$S$910,10,FALSE))</f>
        <v>0</v>
      </c>
      <c r="L520" s="42">
        <f>VLOOKUP($A520,'Neraca Unaudited SIMAK'!$A$2:$R$1272,11,FALSE)+IF(ISNA(VLOOKUP($A520,'Mutasi Neraca'!$A$3:$S$910,11,FALSE)),0,VLOOKUP($A520,'Mutasi Neraca'!$A$3:$S$910,11,FALSE))</f>
        <v>0</v>
      </c>
      <c r="M520" s="42">
        <f>VLOOKUP($A520,'Neraca Unaudited SIMAK'!$A$2:$R$1272,12,FALSE)+IF(ISNA(VLOOKUP($A520,'Mutasi Neraca'!$A$3:$S$910,12,FALSE)),0,VLOOKUP($A520,'Mutasi Neraca'!$A$3:$S$910,12,FALSE))</f>
        <v>13396308056</v>
      </c>
      <c r="N520" s="42">
        <f>VLOOKUP($A520,'Neraca Unaudited SIMAK'!$A$2:$R$1272,13,FALSE)+IF(ISNA(VLOOKUP($A520,'Mutasi Neraca'!$A$3:$S$910,13,FALSE)),0,VLOOKUP($A520,'Mutasi Neraca'!$A$3:$S$910,13,FALSE))</f>
        <v>-495943687</v>
      </c>
      <c r="O520" s="42">
        <f>VLOOKUP($A520,'Neraca Unaudited SIMAK'!$A$2:$R$1272,14,FALSE)+IF(ISNA(VLOOKUP($A520,'Mutasi Neraca'!$A$3:$S$910,14,FALSE)),0,VLOOKUP($A520,'Mutasi Neraca'!$A$3:$S$910,14,FALSE))</f>
        <v>-240309193</v>
      </c>
      <c r="P520" s="42">
        <f>VLOOKUP($A520,'Neraca Unaudited SIMAK'!$A$2:$R$1272,15,FALSE)+IF(ISNA(VLOOKUP($A520,'Mutasi Neraca'!$A$3:$S$910,15,FALSE)),0,VLOOKUP($A520,'Mutasi Neraca'!$A$3:$S$910,15,FALSE))</f>
        <v>-315829</v>
      </c>
      <c r="Q520" s="42">
        <f>VLOOKUP($A520,'Neraca Unaudited SIMAK'!$A$2:$R$1272,16,FALSE)+IF(ISNA(VLOOKUP($A520,'Mutasi Neraca'!$A$3:$S$910,16,FALSE)),0,VLOOKUP($A520,'Mutasi Neraca'!$A$3:$S$910,16,FALSE))</f>
        <v>0</v>
      </c>
      <c r="R520" s="42">
        <f>VLOOKUP($A520,'Neraca Unaudited SIMAK'!$A$2:$R$1272,17,FALSE)+IF(ISNA(VLOOKUP($A520,'Mutasi Neraca'!$A$3:$S$910,17,FALSE)),0,VLOOKUP($A520,'Mutasi Neraca'!$A$3:$S$910,17,FALSE))</f>
        <v>0</v>
      </c>
      <c r="S520" s="42">
        <f t="shared" si="59"/>
        <v>12659739347</v>
      </c>
    </row>
    <row r="521" spans="1:19">
      <c r="A521" s="41" t="s">
        <v>528</v>
      </c>
      <c r="B521" s="41" t="str">
        <f t="shared" si="58"/>
        <v>005011600</v>
      </c>
      <c r="D521" s="42">
        <f>VLOOKUP($A521,'Neraca Unaudited SIMAK'!$A$2:$R$1272,3,FALSE)+IF(ISNA(VLOOKUP($A521,'Mutasi Neraca'!$A$3:$S$910,3,FALSE)),0,VLOOKUP($A521,'Mutasi Neraca'!$A$3:$S$910,3,FALSE))</f>
        <v>4946500</v>
      </c>
      <c r="E521" s="42">
        <f>VLOOKUP($A521,'Neraca Unaudited SIMAK'!$A$2:$R$1272,4,FALSE)+IF(ISNA(VLOOKUP($A521,'Mutasi Neraca'!$A$3:$S$910,4,FALSE)),0,VLOOKUP($A521,'Mutasi Neraca'!$A$3:$S$910,4,FALSE))</f>
        <v>8927074</v>
      </c>
      <c r="F521" s="42">
        <f>VLOOKUP($A521,'Neraca Unaudited SIMAK'!$A$2:$R$1272,5,FALSE)+IF(ISNA(VLOOKUP($A521,'Mutasi Neraca'!$A$3:$S$910,5,FALSE)),0,VLOOKUP($A521,'Mutasi Neraca'!$A$3:$S$910,5,FALSE))</f>
        <v>1767723204</v>
      </c>
      <c r="G521" s="42">
        <f>VLOOKUP($A521,'Neraca Unaudited SIMAK'!$A$2:$R$1272,6,FALSE)+IF(ISNA(VLOOKUP($A521,'Mutasi Neraca'!$A$3:$S$910,6,FALSE)),0,VLOOKUP($A521,'Mutasi Neraca'!$A$3:$S$910,6,FALSE))</f>
        <v>5786053400</v>
      </c>
      <c r="H521" s="42">
        <f>VLOOKUP($A521,'Neraca Unaudited SIMAK'!$A$2:$R$1272,7,FALSE)+IF(ISNA(VLOOKUP($A521,'Mutasi Neraca'!$A$3:$S$910,7,FALSE)),0,VLOOKUP($A521,'Mutasi Neraca'!$A$3:$S$910,7,FALSE))</f>
        <v>309018180</v>
      </c>
      <c r="I521" s="42">
        <f>VLOOKUP($A521,'Neraca Unaudited SIMAK'!$A$2:$R$1272,8,FALSE)+IF(ISNA(VLOOKUP($A521,'Mutasi Neraca'!$A$3:$S$910,8,FALSE)),0,VLOOKUP($A521,'Mutasi Neraca'!$A$3:$S$910,8,FALSE))</f>
        <v>58296678</v>
      </c>
      <c r="J521" s="42">
        <f>VLOOKUP($A521,'Neraca Unaudited SIMAK'!$A$2:$R$1272,9,FALSE)+IF(ISNA(VLOOKUP($A521,'Mutasi Neraca'!$A$3:$S$910,9,FALSE)),0,VLOOKUP($A521,'Mutasi Neraca'!$A$3:$S$910,9,FALSE))</f>
        <v>0</v>
      </c>
      <c r="K521" s="42">
        <f>VLOOKUP($A521,'Neraca Unaudited SIMAK'!$A$2:$R$1272,10,FALSE)+IF(ISNA(VLOOKUP($A521,'Mutasi Neraca'!$A$3:$S$910,10,FALSE)),0,VLOOKUP($A521,'Mutasi Neraca'!$A$3:$S$910,10,FALSE))</f>
        <v>0</v>
      </c>
      <c r="L521" s="42">
        <f>VLOOKUP($A521,'Neraca Unaudited SIMAK'!$A$2:$R$1272,11,FALSE)+IF(ISNA(VLOOKUP($A521,'Mutasi Neraca'!$A$3:$S$910,11,FALSE)),0,VLOOKUP($A521,'Mutasi Neraca'!$A$3:$S$910,11,FALSE))</f>
        <v>1321000</v>
      </c>
      <c r="M521" s="42">
        <f>VLOOKUP($A521,'Neraca Unaudited SIMAK'!$A$2:$R$1272,12,FALSE)+IF(ISNA(VLOOKUP($A521,'Mutasi Neraca'!$A$3:$S$910,12,FALSE)),0,VLOOKUP($A521,'Mutasi Neraca'!$A$3:$S$910,12,FALSE))</f>
        <v>7936286036</v>
      </c>
      <c r="N521" s="42">
        <f>VLOOKUP($A521,'Neraca Unaudited SIMAK'!$A$2:$R$1272,13,FALSE)+IF(ISNA(VLOOKUP($A521,'Mutasi Neraca'!$A$3:$S$910,13,FALSE)),0,VLOOKUP($A521,'Mutasi Neraca'!$A$3:$S$910,13,FALSE))</f>
        <v>-1493790037</v>
      </c>
      <c r="O521" s="42">
        <f>VLOOKUP($A521,'Neraca Unaudited SIMAK'!$A$2:$R$1272,14,FALSE)+IF(ISNA(VLOOKUP($A521,'Mutasi Neraca'!$A$3:$S$910,14,FALSE)),0,VLOOKUP($A521,'Mutasi Neraca'!$A$3:$S$910,14,FALSE))</f>
        <v>-942303503</v>
      </c>
      <c r="P521" s="42">
        <f>VLOOKUP($A521,'Neraca Unaudited SIMAK'!$A$2:$R$1272,15,FALSE)+IF(ISNA(VLOOKUP($A521,'Mutasi Neraca'!$A$3:$S$910,15,FALSE)),0,VLOOKUP($A521,'Mutasi Neraca'!$A$3:$S$910,15,FALSE))</f>
        <v>-155872465</v>
      </c>
      <c r="Q521" s="42">
        <f>VLOOKUP($A521,'Neraca Unaudited SIMAK'!$A$2:$R$1272,16,FALSE)+IF(ISNA(VLOOKUP($A521,'Mutasi Neraca'!$A$3:$S$910,16,FALSE)),0,VLOOKUP($A521,'Mutasi Neraca'!$A$3:$S$910,16,FALSE))</f>
        <v>0</v>
      </c>
      <c r="R521" s="42">
        <f>VLOOKUP($A521,'Neraca Unaudited SIMAK'!$A$2:$R$1272,17,FALSE)+IF(ISNA(VLOOKUP($A521,'Mutasi Neraca'!$A$3:$S$910,17,FALSE)),0,VLOOKUP($A521,'Mutasi Neraca'!$A$3:$S$910,17,FALSE))</f>
        <v>-1321000</v>
      </c>
      <c r="S521" s="42">
        <f t="shared" si="59"/>
        <v>5342999031</v>
      </c>
    </row>
    <row r="522" spans="1:19">
      <c r="A522" s="41" t="s">
        <v>529</v>
      </c>
      <c r="B522" s="41" t="str">
        <f t="shared" si="58"/>
        <v>005011600</v>
      </c>
      <c r="D522" s="42">
        <f>VLOOKUP($A522,'Neraca Unaudited SIMAK'!$A$2:$R$1272,3,FALSE)+IF(ISNA(VLOOKUP($A522,'Mutasi Neraca'!$A$3:$S$910,3,FALSE)),0,VLOOKUP($A522,'Mutasi Neraca'!$A$3:$S$910,3,FALSE))</f>
        <v>595000</v>
      </c>
      <c r="E522" s="42">
        <f>VLOOKUP($A522,'Neraca Unaudited SIMAK'!$A$2:$R$1272,4,FALSE)+IF(ISNA(VLOOKUP($A522,'Mutasi Neraca'!$A$3:$S$910,4,FALSE)),0,VLOOKUP($A522,'Mutasi Neraca'!$A$3:$S$910,4,FALSE))</f>
        <v>13815554750</v>
      </c>
      <c r="F522" s="42">
        <f>VLOOKUP($A522,'Neraca Unaudited SIMAK'!$A$2:$R$1272,5,FALSE)+IF(ISNA(VLOOKUP($A522,'Mutasi Neraca'!$A$3:$S$910,5,FALSE)),0,VLOOKUP($A522,'Mutasi Neraca'!$A$3:$S$910,5,FALSE))</f>
        <v>1229338565</v>
      </c>
      <c r="G522" s="42">
        <f>VLOOKUP($A522,'Neraca Unaudited SIMAK'!$A$2:$R$1272,6,FALSE)+IF(ISNA(VLOOKUP($A522,'Mutasi Neraca'!$A$3:$S$910,6,FALSE)),0,VLOOKUP($A522,'Mutasi Neraca'!$A$3:$S$910,6,FALSE))</f>
        <v>12338572600</v>
      </c>
      <c r="H522" s="42">
        <f>VLOOKUP($A522,'Neraca Unaudited SIMAK'!$A$2:$R$1272,7,FALSE)+IF(ISNA(VLOOKUP($A522,'Mutasi Neraca'!$A$3:$S$910,7,FALSE)),0,VLOOKUP($A522,'Mutasi Neraca'!$A$3:$S$910,7,FALSE))</f>
        <v>4950000</v>
      </c>
      <c r="I522" s="42">
        <f>VLOOKUP($A522,'Neraca Unaudited SIMAK'!$A$2:$R$1272,8,FALSE)+IF(ISNA(VLOOKUP($A522,'Mutasi Neraca'!$A$3:$S$910,8,FALSE)),0,VLOOKUP($A522,'Mutasi Neraca'!$A$3:$S$910,8,FALSE))</f>
        <v>2828678</v>
      </c>
      <c r="J522" s="42">
        <f>VLOOKUP($A522,'Neraca Unaudited SIMAK'!$A$2:$R$1272,9,FALSE)+IF(ISNA(VLOOKUP($A522,'Mutasi Neraca'!$A$3:$S$910,9,FALSE)),0,VLOOKUP($A522,'Mutasi Neraca'!$A$3:$S$910,9,FALSE))</f>
        <v>0</v>
      </c>
      <c r="K522" s="42">
        <f>VLOOKUP($A522,'Neraca Unaudited SIMAK'!$A$2:$R$1272,10,FALSE)+IF(ISNA(VLOOKUP($A522,'Mutasi Neraca'!$A$3:$S$910,10,FALSE)),0,VLOOKUP($A522,'Mutasi Neraca'!$A$3:$S$910,10,FALSE))</f>
        <v>20750000</v>
      </c>
      <c r="L522" s="42">
        <f>VLOOKUP($A522,'Neraca Unaudited SIMAK'!$A$2:$R$1272,11,FALSE)+IF(ISNA(VLOOKUP($A522,'Mutasi Neraca'!$A$3:$S$910,11,FALSE)),0,VLOOKUP($A522,'Mutasi Neraca'!$A$3:$S$910,11,FALSE))</f>
        <v>0</v>
      </c>
      <c r="M522" s="42">
        <f>VLOOKUP($A522,'Neraca Unaudited SIMAK'!$A$2:$R$1272,12,FALSE)+IF(ISNA(VLOOKUP($A522,'Mutasi Neraca'!$A$3:$S$910,12,FALSE)),0,VLOOKUP($A522,'Mutasi Neraca'!$A$3:$S$910,12,FALSE))</f>
        <v>27412589593</v>
      </c>
      <c r="N522" s="42">
        <f>VLOOKUP($A522,'Neraca Unaudited SIMAK'!$A$2:$R$1272,13,FALSE)+IF(ISNA(VLOOKUP($A522,'Mutasi Neraca'!$A$3:$S$910,13,FALSE)),0,VLOOKUP($A522,'Mutasi Neraca'!$A$3:$S$910,13,FALSE))</f>
        <v>-847567631</v>
      </c>
      <c r="O522" s="42">
        <f>VLOOKUP($A522,'Neraca Unaudited SIMAK'!$A$2:$R$1272,14,FALSE)+IF(ISNA(VLOOKUP($A522,'Mutasi Neraca'!$A$3:$S$910,14,FALSE)),0,VLOOKUP($A522,'Mutasi Neraca'!$A$3:$S$910,14,FALSE))</f>
        <v>-282134555</v>
      </c>
      <c r="P522" s="42">
        <f>VLOOKUP($A522,'Neraca Unaudited SIMAK'!$A$2:$R$1272,15,FALSE)+IF(ISNA(VLOOKUP($A522,'Mutasi Neraca'!$A$3:$S$910,15,FALSE)),0,VLOOKUP($A522,'Mutasi Neraca'!$A$3:$S$910,15,FALSE))</f>
        <v>-412500</v>
      </c>
      <c r="Q522" s="42">
        <f>VLOOKUP($A522,'Neraca Unaudited SIMAK'!$A$2:$R$1272,16,FALSE)+IF(ISNA(VLOOKUP($A522,'Mutasi Neraca'!$A$3:$S$910,16,FALSE)),0,VLOOKUP($A522,'Mutasi Neraca'!$A$3:$S$910,16,FALSE))</f>
        <v>0</v>
      </c>
      <c r="R522" s="42">
        <f>VLOOKUP($A522,'Neraca Unaudited SIMAK'!$A$2:$R$1272,17,FALSE)+IF(ISNA(VLOOKUP($A522,'Mutasi Neraca'!$A$3:$S$910,17,FALSE)),0,VLOOKUP($A522,'Mutasi Neraca'!$A$3:$S$910,17,FALSE))</f>
        <v>0</v>
      </c>
      <c r="S522" s="42">
        <f t="shared" si="59"/>
        <v>26282474907</v>
      </c>
    </row>
    <row r="523" spans="1:19">
      <c r="A523" s="41" t="s">
        <v>530</v>
      </c>
      <c r="B523" s="41" t="str">
        <f t="shared" si="58"/>
        <v>005011600</v>
      </c>
      <c r="D523" s="42">
        <f>VLOOKUP($A523,'Neraca Unaudited SIMAK'!$A$2:$R$1272,3,FALSE)+IF(ISNA(VLOOKUP($A523,'Mutasi Neraca'!$A$3:$S$910,3,FALSE)),0,VLOOKUP($A523,'Mutasi Neraca'!$A$3:$S$910,3,FALSE))</f>
        <v>81000</v>
      </c>
      <c r="E523" s="42">
        <f>VLOOKUP($A523,'Neraca Unaudited SIMAK'!$A$2:$R$1272,4,FALSE)+IF(ISNA(VLOOKUP($A523,'Mutasi Neraca'!$A$3:$S$910,4,FALSE)),0,VLOOKUP($A523,'Mutasi Neraca'!$A$3:$S$910,4,FALSE))</f>
        <v>1671208075</v>
      </c>
      <c r="F523" s="42">
        <f>VLOOKUP($A523,'Neraca Unaudited SIMAK'!$A$2:$R$1272,5,FALSE)+IF(ISNA(VLOOKUP($A523,'Mutasi Neraca'!$A$3:$S$910,5,FALSE)),0,VLOOKUP($A523,'Mutasi Neraca'!$A$3:$S$910,5,FALSE))</f>
        <v>998826563</v>
      </c>
      <c r="G523" s="42">
        <f>VLOOKUP($A523,'Neraca Unaudited SIMAK'!$A$2:$R$1272,6,FALSE)+IF(ISNA(VLOOKUP($A523,'Mutasi Neraca'!$A$3:$S$910,6,FALSE)),0,VLOOKUP($A523,'Mutasi Neraca'!$A$3:$S$910,6,FALSE))</f>
        <v>3642476467</v>
      </c>
      <c r="H523" s="42">
        <f>VLOOKUP($A523,'Neraca Unaudited SIMAK'!$A$2:$R$1272,7,FALSE)+IF(ISNA(VLOOKUP($A523,'Mutasi Neraca'!$A$3:$S$910,7,FALSE)),0,VLOOKUP($A523,'Mutasi Neraca'!$A$3:$S$910,7,FALSE))</f>
        <v>0</v>
      </c>
      <c r="I523" s="42">
        <f>VLOOKUP($A523,'Neraca Unaudited SIMAK'!$A$2:$R$1272,8,FALSE)+IF(ISNA(VLOOKUP($A523,'Mutasi Neraca'!$A$3:$S$910,8,FALSE)),0,VLOOKUP($A523,'Mutasi Neraca'!$A$3:$S$910,8,FALSE))</f>
        <v>4177678</v>
      </c>
      <c r="J523" s="42">
        <f>VLOOKUP($A523,'Neraca Unaudited SIMAK'!$A$2:$R$1272,9,FALSE)+IF(ISNA(VLOOKUP($A523,'Mutasi Neraca'!$A$3:$S$910,9,FALSE)),0,VLOOKUP($A523,'Mutasi Neraca'!$A$3:$S$910,9,FALSE))</f>
        <v>997171300</v>
      </c>
      <c r="K523" s="42">
        <f>VLOOKUP($A523,'Neraca Unaudited SIMAK'!$A$2:$R$1272,10,FALSE)+IF(ISNA(VLOOKUP($A523,'Mutasi Neraca'!$A$3:$S$910,10,FALSE)),0,VLOOKUP($A523,'Mutasi Neraca'!$A$3:$S$910,10,FALSE))</f>
        <v>20750000</v>
      </c>
      <c r="L523" s="42">
        <f>VLOOKUP($A523,'Neraca Unaudited SIMAK'!$A$2:$R$1272,11,FALSE)+IF(ISNA(VLOOKUP($A523,'Mutasi Neraca'!$A$3:$S$910,11,FALSE)),0,VLOOKUP($A523,'Mutasi Neraca'!$A$3:$S$910,11,FALSE))</f>
        <v>0</v>
      </c>
      <c r="M523" s="42">
        <f>VLOOKUP($A523,'Neraca Unaudited SIMAK'!$A$2:$R$1272,12,FALSE)+IF(ISNA(VLOOKUP($A523,'Mutasi Neraca'!$A$3:$S$910,12,FALSE)),0,VLOOKUP($A523,'Mutasi Neraca'!$A$3:$S$910,12,FALSE))</f>
        <v>7334691083</v>
      </c>
      <c r="N523" s="42">
        <f>VLOOKUP($A523,'Neraca Unaudited SIMAK'!$A$2:$R$1272,13,FALSE)+IF(ISNA(VLOOKUP($A523,'Mutasi Neraca'!$A$3:$S$910,13,FALSE)),0,VLOOKUP($A523,'Mutasi Neraca'!$A$3:$S$910,13,FALSE))</f>
        <v>-903016288</v>
      </c>
      <c r="O523" s="42">
        <f>VLOOKUP($A523,'Neraca Unaudited SIMAK'!$A$2:$R$1272,14,FALSE)+IF(ISNA(VLOOKUP($A523,'Mutasi Neraca'!$A$3:$S$910,14,FALSE)),0,VLOOKUP($A523,'Mutasi Neraca'!$A$3:$S$910,14,FALSE))</f>
        <v>-688089707</v>
      </c>
      <c r="P523" s="42">
        <f>VLOOKUP($A523,'Neraca Unaudited SIMAK'!$A$2:$R$1272,15,FALSE)+IF(ISNA(VLOOKUP($A523,'Mutasi Neraca'!$A$3:$S$910,15,FALSE)),0,VLOOKUP($A523,'Mutasi Neraca'!$A$3:$S$910,15,FALSE))</f>
        <v>0</v>
      </c>
      <c r="Q523" s="42">
        <f>VLOOKUP($A523,'Neraca Unaudited SIMAK'!$A$2:$R$1272,16,FALSE)+IF(ISNA(VLOOKUP($A523,'Mutasi Neraca'!$A$3:$S$910,16,FALSE)),0,VLOOKUP($A523,'Mutasi Neraca'!$A$3:$S$910,16,FALSE))</f>
        <v>0</v>
      </c>
      <c r="R523" s="42">
        <f>VLOOKUP($A523,'Neraca Unaudited SIMAK'!$A$2:$R$1272,17,FALSE)+IF(ISNA(VLOOKUP($A523,'Mutasi Neraca'!$A$3:$S$910,17,FALSE)),0,VLOOKUP($A523,'Mutasi Neraca'!$A$3:$S$910,17,FALSE))</f>
        <v>0</v>
      </c>
      <c r="S523" s="42">
        <f t="shared" si="59"/>
        <v>5743585088</v>
      </c>
    </row>
    <row r="524" spans="1:19">
      <c r="A524" s="41" t="s">
        <v>531</v>
      </c>
      <c r="B524" s="41" t="str">
        <f t="shared" si="58"/>
        <v>005011600</v>
      </c>
      <c r="D524" s="42">
        <f>VLOOKUP($A524,'Neraca Unaudited SIMAK'!$A$2:$R$1272,3,FALSE)+IF(ISNA(VLOOKUP($A524,'Mutasi Neraca'!$A$3:$S$910,3,FALSE)),0,VLOOKUP($A524,'Mutasi Neraca'!$A$3:$S$910,3,FALSE))</f>
        <v>374000</v>
      </c>
      <c r="E524" s="42">
        <f>VLOOKUP($A524,'Neraca Unaudited SIMAK'!$A$2:$R$1272,4,FALSE)+IF(ISNA(VLOOKUP($A524,'Mutasi Neraca'!$A$3:$S$910,4,FALSE)),0,VLOOKUP($A524,'Mutasi Neraca'!$A$3:$S$910,4,FALSE))</f>
        <v>9547478138</v>
      </c>
      <c r="F524" s="42">
        <f>VLOOKUP($A524,'Neraca Unaudited SIMAK'!$A$2:$R$1272,5,FALSE)+IF(ISNA(VLOOKUP($A524,'Mutasi Neraca'!$A$3:$S$910,5,FALSE)),0,VLOOKUP($A524,'Mutasi Neraca'!$A$3:$S$910,5,FALSE))</f>
        <v>1052544612</v>
      </c>
      <c r="G524" s="42">
        <f>VLOOKUP($A524,'Neraca Unaudited SIMAK'!$A$2:$R$1272,6,FALSE)+IF(ISNA(VLOOKUP($A524,'Mutasi Neraca'!$A$3:$S$910,6,FALSE)),0,VLOOKUP($A524,'Mutasi Neraca'!$A$3:$S$910,6,FALSE))</f>
        <v>18088590843</v>
      </c>
      <c r="H524" s="42">
        <f>VLOOKUP($A524,'Neraca Unaudited SIMAK'!$A$2:$R$1272,7,FALSE)+IF(ISNA(VLOOKUP($A524,'Mutasi Neraca'!$A$3:$S$910,7,FALSE)),0,VLOOKUP($A524,'Mutasi Neraca'!$A$3:$S$910,7,FALSE))</f>
        <v>0</v>
      </c>
      <c r="I524" s="42">
        <f>VLOOKUP($A524,'Neraca Unaudited SIMAK'!$A$2:$R$1272,8,FALSE)+IF(ISNA(VLOOKUP($A524,'Mutasi Neraca'!$A$3:$S$910,8,FALSE)),0,VLOOKUP($A524,'Mutasi Neraca'!$A$3:$S$910,8,FALSE))</f>
        <v>1943440</v>
      </c>
      <c r="J524" s="42">
        <f>VLOOKUP($A524,'Neraca Unaudited SIMAK'!$A$2:$R$1272,9,FALSE)+IF(ISNA(VLOOKUP($A524,'Mutasi Neraca'!$A$3:$S$910,9,FALSE)),0,VLOOKUP($A524,'Mutasi Neraca'!$A$3:$S$910,9,FALSE))</f>
        <v>0</v>
      </c>
      <c r="K524" s="42">
        <f>VLOOKUP($A524,'Neraca Unaudited SIMAK'!$A$2:$R$1272,10,FALSE)+IF(ISNA(VLOOKUP($A524,'Mutasi Neraca'!$A$3:$S$910,10,FALSE)),0,VLOOKUP($A524,'Mutasi Neraca'!$A$3:$S$910,10,FALSE))</f>
        <v>0</v>
      </c>
      <c r="L524" s="42">
        <f>VLOOKUP($A524,'Neraca Unaudited SIMAK'!$A$2:$R$1272,11,FALSE)+IF(ISNA(VLOOKUP($A524,'Mutasi Neraca'!$A$3:$S$910,11,FALSE)),0,VLOOKUP($A524,'Mutasi Neraca'!$A$3:$S$910,11,FALSE))</f>
        <v>190555500</v>
      </c>
      <c r="M524" s="42">
        <f>VLOOKUP($A524,'Neraca Unaudited SIMAK'!$A$2:$R$1272,12,FALSE)+IF(ISNA(VLOOKUP($A524,'Mutasi Neraca'!$A$3:$S$910,12,FALSE)),0,VLOOKUP($A524,'Mutasi Neraca'!$A$3:$S$910,12,FALSE))</f>
        <v>28881486533</v>
      </c>
      <c r="N524" s="42">
        <f>VLOOKUP($A524,'Neraca Unaudited SIMAK'!$A$2:$R$1272,13,FALSE)+IF(ISNA(VLOOKUP($A524,'Mutasi Neraca'!$A$3:$S$910,13,FALSE)),0,VLOOKUP($A524,'Mutasi Neraca'!$A$3:$S$910,13,FALSE))</f>
        <v>-816662084</v>
      </c>
      <c r="O524" s="42">
        <f>VLOOKUP($A524,'Neraca Unaudited SIMAK'!$A$2:$R$1272,14,FALSE)+IF(ISNA(VLOOKUP($A524,'Mutasi Neraca'!$A$3:$S$910,14,FALSE)),0,VLOOKUP($A524,'Mutasi Neraca'!$A$3:$S$910,14,FALSE))</f>
        <v>-2811608456</v>
      </c>
      <c r="P524" s="42">
        <f>VLOOKUP($A524,'Neraca Unaudited SIMAK'!$A$2:$R$1272,15,FALSE)+IF(ISNA(VLOOKUP($A524,'Mutasi Neraca'!$A$3:$S$910,15,FALSE)),0,VLOOKUP($A524,'Mutasi Neraca'!$A$3:$S$910,15,FALSE))</f>
        <v>0</v>
      </c>
      <c r="Q524" s="42">
        <f>VLOOKUP($A524,'Neraca Unaudited SIMAK'!$A$2:$R$1272,16,FALSE)+IF(ISNA(VLOOKUP($A524,'Mutasi Neraca'!$A$3:$S$910,16,FALSE)),0,VLOOKUP($A524,'Mutasi Neraca'!$A$3:$S$910,16,FALSE))</f>
        <v>0</v>
      </c>
      <c r="R524" s="42">
        <f>VLOOKUP($A524,'Neraca Unaudited SIMAK'!$A$2:$R$1272,17,FALSE)+IF(ISNA(VLOOKUP($A524,'Mutasi Neraca'!$A$3:$S$910,17,FALSE)),0,VLOOKUP($A524,'Mutasi Neraca'!$A$3:$S$910,17,FALSE))</f>
        <v>-190555500</v>
      </c>
      <c r="S524" s="42">
        <f t="shared" si="59"/>
        <v>25062660493</v>
      </c>
    </row>
    <row r="525" spans="1:19">
      <c r="A525" s="41" t="s">
        <v>532</v>
      </c>
      <c r="B525" s="41" t="str">
        <f t="shared" si="58"/>
        <v>005011600</v>
      </c>
      <c r="D525" s="42">
        <f>VLOOKUP($A525,'Neraca Unaudited SIMAK'!$A$2:$R$1272,3,FALSE)+IF(ISNA(VLOOKUP($A525,'Mutasi Neraca'!$A$3:$S$910,3,FALSE)),0,VLOOKUP($A525,'Mutasi Neraca'!$A$3:$S$910,3,FALSE))</f>
        <v>579000</v>
      </c>
      <c r="E525" s="42">
        <f>VLOOKUP($A525,'Neraca Unaudited SIMAK'!$A$2:$R$1272,4,FALSE)+IF(ISNA(VLOOKUP($A525,'Mutasi Neraca'!$A$3:$S$910,4,FALSE)),0,VLOOKUP($A525,'Mutasi Neraca'!$A$3:$S$910,4,FALSE))</f>
        <v>8610500000</v>
      </c>
      <c r="F525" s="42">
        <f>VLOOKUP($A525,'Neraca Unaudited SIMAK'!$A$2:$R$1272,5,FALSE)+IF(ISNA(VLOOKUP($A525,'Mutasi Neraca'!$A$3:$S$910,5,FALSE)),0,VLOOKUP($A525,'Mutasi Neraca'!$A$3:$S$910,5,FALSE))</f>
        <v>1068496096</v>
      </c>
      <c r="G525" s="42">
        <f>VLOOKUP($A525,'Neraca Unaudited SIMAK'!$A$2:$R$1272,6,FALSE)+IF(ISNA(VLOOKUP($A525,'Mutasi Neraca'!$A$3:$S$910,6,FALSE)),0,VLOOKUP($A525,'Mutasi Neraca'!$A$3:$S$910,6,FALSE))</f>
        <v>4352772250</v>
      </c>
      <c r="H525" s="42">
        <f>VLOOKUP($A525,'Neraca Unaudited SIMAK'!$A$2:$R$1272,7,FALSE)+IF(ISNA(VLOOKUP($A525,'Mutasi Neraca'!$A$3:$S$910,7,FALSE)),0,VLOOKUP($A525,'Mutasi Neraca'!$A$3:$S$910,7,FALSE))</f>
        <v>0</v>
      </c>
      <c r="I525" s="42">
        <f>VLOOKUP($A525,'Neraca Unaudited SIMAK'!$A$2:$R$1272,8,FALSE)+IF(ISNA(VLOOKUP($A525,'Mutasi Neraca'!$A$3:$S$910,8,FALSE)),0,VLOOKUP($A525,'Mutasi Neraca'!$A$3:$S$910,8,FALSE))</f>
        <v>4772118</v>
      </c>
      <c r="J525" s="42">
        <f>VLOOKUP($A525,'Neraca Unaudited SIMAK'!$A$2:$R$1272,9,FALSE)+IF(ISNA(VLOOKUP($A525,'Mutasi Neraca'!$A$3:$S$910,9,FALSE)),0,VLOOKUP($A525,'Mutasi Neraca'!$A$3:$S$910,9,FALSE))</f>
        <v>0</v>
      </c>
      <c r="K525" s="42">
        <f>VLOOKUP($A525,'Neraca Unaudited SIMAK'!$A$2:$R$1272,10,FALSE)+IF(ISNA(VLOOKUP($A525,'Mutasi Neraca'!$A$3:$S$910,10,FALSE)),0,VLOOKUP($A525,'Mutasi Neraca'!$A$3:$S$910,10,FALSE))</f>
        <v>0</v>
      </c>
      <c r="L525" s="42">
        <f>VLOOKUP($A525,'Neraca Unaudited SIMAK'!$A$2:$R$1272,11,FALSE)+IF(ISNA(VLOOKUP($A525,'Mutasi Neraca'!$A$3:$S$910,11,FALSE)),0,VLOOKUP($A525,'Mutasi Neraca'!$A$3:$S$910,11,FALSE))</f>
        <v>5740350</v>
      </c>
      <c r="M525" s="42">
        <f>VLOOKUP($A525,'Neraca Unaudited SIMAK'!$A$2:$R$1272,12,FALSE)+IF(ISNA(VLOOKUP($A525,'Mutasi Neraca'!$A$3:$S$910,12,FALSE)),0,VLOOKUP($A525,'Mutasi Neraca'!$A$3:$S$910,12,FALSE))</f>
        <v>14042859814</v>
      </c>
      <c r="N525" s="42">
        <f>VLOOKUP($A525,'Neraca Unaudited SIMAK'!$A$2:$R$1272,13,FALSE)+IF(ISNA(VLOOKUP($A525,'Mutasi Neraca'!$A$3:$S$910,13,FALSE)),0,VLOOKUP($A525,'Mutasi Neraca'!$A$3:$S$910,13,FALSE))</f>
        <v>-1008865646</v>
      </c>
      <c r="O525" s="42">
        <f>VLOOKUP($A525,'Neraca Unaudited SIMAK'!$A$2:$R$1272,14,FALSE)+IF(ISNA(VLOOKUP($A525,'Mutasi Neraca'!$A$3:$S$910,14,FALSE)),0,VLOOKUP($A525,'Mutasi Neraca'!$A$3:$S$910,14,FALSE))</f>
        <v>-1251248700</v>
      </c>
      <c r="P525" s="42">
        <f>VLOOKUP($A525,'Neraca Unaudited SIMAK'!$A$2:$R$1272,15,FALSE)+IF(ISNA(VLOOKUP($A525,'Mutasi Neraca'!$A$3:$S$910,15,FALSE)),0,VLOOKUP($A525,'Mutasi Neraca'!$A$3:$S$910,15,FALSE))</f>
        <v>0</v>
      </c>
      <c r="Q525" s="42">
        <f>VLOOKUP($A525,'Neraca Unaudited SIMAK'!$A$2:$R$1272,16,FALSE)+IF(ISNA(VLOOKUP($A525,'Mutasi Neraca'!$A$3:$S$910,16,FALSE)),0,VLOOKUP($A525,'Mutasi Neraca'!$A$3:$S$910,16,FALSE))</f>
        <v>0</v>
      </c>
      <c r="R525" s="42">
        <f>VLOOKUP($A525,'Neraca Unaudited SIMAK'!$A$2:$R$1272,17,FALSE)+IF(ISNA(VLOOKUP($A525,'Mutasi Neraca'!$A$3:$S$910,17,FALSE)),0,VLOOKUP($A525,'Mutasi Neraca'!$A$3:$S$910,17,FALSE))</f>
        <v>-5740350</v>
      </c>
      <c r="S525" s="42">
        <f t="shared" si="59"/>
        <v>11777005118</v>
      </c>
    </row>
    <row r="526" spans="1:19">
      <c r="A526" s="41" t="s">
        <v>533</v>
      </c>
      <c r="B526" s="41" t="str">
        <f t="shared" si="58"/>
        <v>005011600</v>
      </c>
      <c r="D526" s="42">
        <f>VLOOKUP($A526,'Neraca Unaudited SIMAK'!$A$2:$R$1272,3,FALSE)+IF(ISNA(VLOOKUP($A526,'Mutasi Neraca'!$A$3:$S$910,3,FALSE)),0,VLOOKUP($A526,'Mutasi Neraca'!$A$3:$S$910,3,FALSE))</f>
        <v>7827331</v>
      </c>
      <c r="E526" s="42">
        <f>VLOOKUP($A526,'Neraca Unaudited SIMAK'!$A$2:$R$1272,4,FALSE)+IF(ISNA(VLOOKUP($A526,'Mutasi Neraca'!$A$3:$S$910,4,FALSE)),0,VLOOKUP($A526,'Mutasi Neraca'!$A$3:$S$910,4,FALSE))</f>
        <v>23011940000</v>
      </c>
      <c r="F526" s="42">
        <f>VLOOKUP($A526,'Neraca Unaudited SIMAK'!$A$2:$R$1272,5,FALSE)+IF(ISNA(VLOOKUP($A526,'Mutasi Neraca'!$A$3:$S$910,5,FALSE)),0,VLOOKUP($A526,'Mutasi Neraca'!$A$3:$S$910,5,FALSE))</f>
        <v>3038971183</v>
      </c>
      <c r="G526" s="42">
        <f>VLOOKUP($A526,'Neraca Unaudited SIMAK'!$A$2:$R$1272,6,FALSE)+IF(ISNA(VLOOKUP($A526,'Mutasi Neraca'!$A$3:$S$910,6,FALSE)),0,VLOOKUP($A526,'Mutasi Neraca'!$A$3:$S$910,6,FALSE))</f>
        <v>12727514070</v>
      </c>
      <c r="H526" s="42">
        <f>VLOOKUP($A526,'Neraca Unaudited SIMAK'!$A$2:$R$1272,7,FALSE)+IF(ISNA(VLOOKUP($A526,'Mutasi Neraca'!$A$3:$S$910,7,FALSE)),0,VLOOKUP($A526,'Mutasi Neraca'!$A$3:$S$910,7,FALSE))</f>
        <v>1148364988</v>
      </c>
      <c r="I526" s="42">
        <f>VLOOKUP($A526,'Neraca Unaudited SIMAK'!$A$2:$R$1272,8,FALSE)+IF(ISNA(VLOOKUP($A526,'Mutasi Neraca'!$A$3:$S$910,8,FALSE)),0,VLOOKUP($A526,'Mutasi Neraca'!$A$3:$S$910,8,FALSE))</f>
        <v>4772118</v>
      </c>
      <c r="J526" s="42">
        <f>VLOOKUP($A526,'Neraca Unaudited SIMAK'!$A$2:$R$1272,9,FALSE)+IF(ISNA(VLOOKUP($A526,'Mutasi Neraca'!$A$3:$S$910,9,FALSE)),0,VLOOKUP($A526,'Mutasi Neraca'!$A$3:$S$910,9,FALSE))</f>
        <v>0</v>
      </c>
      <c r="K526" s="42">
        <f>VLOOKUP($A526,'Neraca Unaudited SIMAK'!$A$2:$R$1272,10,FALSE)+IF(ISNA(VLOOKUP($A526,'Mutasi Neraca'!$A$3:$S$910,10,FALSE)),0,VLOOKUP($A526,'Mutasi Neraca'!$A$3:$S$910,10,FALSE))</f>
        <v>129000000</v>
      </c>
      <c r="L526" s="42">
        <f>VLOOKUP($A526,'Neraca Unaudited SIMAK'!$A$2:$R$1272,11,FALSE)+IF(ISNA(VLOOKUP($A526,'Mutasi Neraca'!$A$3:$S$910,11,FALSE)),0,VLOOKUP($A526,'Mutasi Neraca'!$A$3:$S$910,11,FALSE))</f>
        <v>0</v>
      </c>
      <c r="M526" s="42">
        <f>VLOOKUP($A526,'Neraca Unaudited SIMAK'!$A$2:$R$1272,12,FALSE)+IF(ISNA(VLOOKUP($A526,'Mutasi Neraca'!$A$3:$S$910,12,FALSE)),0,VLOOKUP($A526,'Mutasi Neraca'!$A$3:$S$910,12,FALSE))</f>
        <v>40068389690</v>
      </c>
      <c r="N526" s="42">
        <f>VLOOKUP($A526,'Neraca Unaudited SIMAK'!$A$2:$R$1272,13,FALSE)+IF(ISNA(VLOOKUP($A526,'Mutasi Neraca'!$A$3:$S$910,13,FALSE)),0,VLOOKUP($A526,'Mutasi Neraca'!$A$3:$S$910,13,FALSE))</f>
        <v>-2772284743</v>
      </c>
      <c r="O526" s="42">
        <f>VLOOKUP($A526,'Neraca Unaudited SIMAK'!$A$2:$R$1272,14,FALSE)+IF(ISNA(VLOOKUP($A526,'Mutasi Neraca'!$A$3:$S$910,14,FALSE)),0,VLOOKUP($A526,'Mutasi Neraca'!$A$3:$S$910,14,FALSE))</f>
        <v>-7396529317</v>
      </c>
      <c r="P526" s="42">
        <f>VLOOKUP($A526,'Neraca Unaudited SIMAK'!$A$2:$R$1272,15,FALSE)+IF(ISNA(VLOOKUP($A526,'Mutasi Neraca'!$A$3:$S$910,15,FALSE)),0,VLOOKUP($A526,'Mutasi Neraca'!$A$3:$S$910,15,FALSE))</f>
        <v>-586928065</v>
      </c>
      <c r="Q526" s="42">
        <f>VLOOKUP($A526,'Neraca Unaudited SIMAK'!$A$2:$R$1272,16,FALSE)+IF(ISNA(VLOOKUP($A526,'Mutasi Neraca'!$A$3:$S$910,16,FALSE)),0,VLOOKUP($A526,'Mutasi Neraca'!$A$3:$S$910,16,FALSE))</f>
        <v>0</v>
      </c>
      <c r="R526" s="42">
        <f>VLOOKUP($A526,'Neraca Unaudited SIMAK'!$A$2:$R$1272,17,FALSE)+IF(ISNA(VLOOKUP($A526,'Mutasi Neraca'!$A$3:$S$910,17,FALSE)),0,VLOOKUP($A526,'Mutasi Neraca'!$A$3:$S$910,17,FALSE))</f>
        <v>0</v>
      </c>
      <c r="S526" s="42">
        <f t="shared" si="59"/>
        <v>29312647565</v>
      </c>
    </row>
    <row r="527" spans="1:19">
      <c r="A527" s="41" t="s">
        <v>534</v>
      </c>
      <c r="B527" s="41" t="str">
        <f t="shared" si="58"/>
        <v>005011600</v>
      </c>
      <c r="D527" s="42">
        <f>VLOOKUP($A527,'Neraca Unaudited SIMAK'!$A$2:$R$1272,3,FALSE)+IF(ISNA(VLOOKUP($A527,'Mutasi Neraca'!$A$3:$S$910,3,FALSE)),0,VLOOKUP($A527,'Mutasi Neraca'!$A$3:$S$910,3,FALSE))</f>
        <v>299300</v>
      </c>
      <c r="E527" s="42">
        <f>VLOOKUP($A527,'Neraca Unaudited SIMAK'!$A$2:$R$1272,4,FALSE)+IF(ISNA(VLOOKUP($A527,'Mutasi Neraca'!$A$3:$S$910,4,FALSE)),0,VLOOKUP($A527,'Mutasi Neraca'!$A$3:$S$910,4,FALSE))</f>
        <v>11312700000</v>
      </c>
      <c r="F527" s="42">
        <f>VLOOKUP($A527,'Neraca Unaudited SIMAK'!$A$2:$R$1272,5,FALSE)+IF(ISNA(VLOOKUP($A527,'Mutasi Neraca'!$A$3:$S$910,5,FALSE)),0,VLOOKUP($A527,'Mutasi Neraca'!$A$3:$S$910,5,FALSE))</f>
        <v>3835682135</v>
      </c>
      <c r="G527" s="42">
        <f>VLOOKUP($A527,'Neraca Unaudited SIMAK'!$A$2:$R$1272,6,FALSE)+IF(ISNA(VLOOKUP($A527,'Mutasi Neraca'!$A$3:$S$910,6,FALSE)),0,VLOOKUP($A527,'Mutasi Neraca'!$A$3:$S$910,6,FALSE))</f>
        <v>6806275000</v>
      </c>
      <c r="H527" s="42">
        <f>VLOOKUP($A527,'Neraca Unaudited SIMAK'!$A$2:$R$1272,7,FALSE)+IF(ISNA(VLOOKUP($A527,'Mutasi Neraca'!$A$3:$S$910,7,FALSE)),0,VLOOKUP($A527,'Mutasi Neraca'!$A$3:$S$910,7,FALSE))</f>
        <v>29551000</v>
      </c>
      <c r="I527" s="42">
        <f>VLOOKUP($A527,'Neraca Unaudited SIMAK'!$A$2:$R$1272,8,FALSE)+IF(ISNA(VLOOKUP($A527,'Mutasi Neraca'!$A$3:$S$910,8,FALSE)),0,VLOOKUP($A527,'Mutasi Neraca'!$A$3:$S$910,8,FALSE))</f>
        <v>10145356</v>
      </c>
      <c r="J527" s="42">
        <f>VLOOKUP($A527,'Neraca Unaudited SIMAK'!$A$2:$R$1272,9,FALSE)+IF(ISNA(VLOOKUP($A527,'Mutasi Neraca'!$A$3:$S$910,9,FALSE)),0,VLOOKUP($A527,'Mutasi Neraca'!$A$3:$S$910,9,FALSE))</f>
        <v>0</v>
      </c>
      <c r="K527" s="42">
        <f>VLOOKUP($A527,'Neraca Unaudited SIMAK'!$A$2:$R$1272,10,FALSE)+IF(ISNA(VLOOKUP($A527,'Mutasi Neraca'!$A$3:$S$910,10,FALSE)),0,VLOOKUP($A527,'Mutasi Neraca'!$A$3:$S$910,10,FALSE))</f>
        <v>0</v>
      </c>
      <c r="L527" s="42">
        <f>VLOOKUP($A527,'Neraca Unaudited SIMAK'!$A$2:$R$1272,11,FALSE)+IF(ISNA(VLOOKUP($A527,'Mutasi Neraca'!$A$3:$S$910,11,FALSE)),0,VLOOKUP($A527,'Mutasi Neraca'!$A$3:$S$910,11,FALSE))</f>
        <v>0</v>
      </c>
      <c r="M527" s="42">
        <f>VLOOKUP($A527,'Neraca Unaudited SIMAK'!$A$2:$R$1272,12,FALSE)+IF(ISNA(VLOOKUP($A527,'Mutasi Neraca'!$A$3:$S$910,12,FALSE)),0,VLOOKUP($A527,'Mutasi Neraca'!$A$3:$S$910,12,FALSE))</f>
        <v>21994652791</v>
      </c>
      <c r="N527" s="42">
        <f>VLOOKUP($A527,'Neraca Unaudited SIMAK'!$A$2:$R$1272,13,FALSE)+IF(ISNA(VLOOKUP($A527,'Mutasi Neraca'!$A$3:$S$910,13,FALSE)),0,VLOOKUP($A527,'Mutasi Neraca'!$A$3:$S$910,13,FALSE))</f>
        <v>-3614772066</v>
      </c>
      <c r="O527" s="42">
        <f>VLOOKUP($A527,'Neraca Unaudited SIMAK'!$A$2:$R$1272,14,FALSE)+IF(ISNA(VLOOKUP($A527,'Mutasi Neraca'!$A$3:$S$910,14,FALSE)),0,VLOOKUP($A527,'Mutasi Neraca'!$A$3:$S$910,14,FALSE))</f>
        <v>-1275758931</v>
      </c>
      <c r="P527" s="42">
        <f>VLOOKUP($A527,'Neraca Unaudited SIMAK'!$A$2:$R$1272,15,FALSE)+IF(ISNA(VLOOKUP($A527,'Mutasi Neraca'!$A$3:$S$910,15,FALSE)),0,VLOOKUP($A527,'Mutasi Neraca'!$A$3:$S$910,15,FALSE))</f>
        <v>-2955100</v>
      </c>
      <c r="Q527" s="42">
        <f>VLOOKUP($A527,'Neraca Unaudited SIMAK'!$A$2:$R$1272,16,FALSE)+IF(ISNA(VLOOKUP($A527,'Mutasi Neraca'!$A$3:$S$910,16,FALSE)),0,VLOOKUP($A527,'Mutasi Neraca'!$A$3:$S$910,16,FALSE))</f>
        <v>0</v>
      </c>
      <c r="R527" s="42">
        <f>VLOOKUP($A527,'Neraca Unaudited SIMAK'!$A$2:$R$1272,17,FALSE)+IF(ISNA(VLOOKUP($A527,'Mutasi Neraca'!$A$3:$S$910,17,FALSE)),0,VLOOKUP($A527,'Mutasi Neraca'!$A$3:$S$910,17,FALSE))</f>
        <v>0</v>
      </c>
      <c r="S527" s="42">
        <f t="shared" si="59"/>
        <v>17101166694</v>
      </c>
    </row>
    <row r="528" spans="1:19">
      <c r="A528" s="41" t="s">
        <v>535</v>
      </c>
      <c r="B528" s="41" t="str">
        <f t="shared" si="58"/>
        <v>005011600</v>
      </c>
      <c r="D528" s="42">
        <f>VLOOKUP($A528,'Neraca Unaudited SIMAK'!$A$2:$R$1272,3,FALSE)+IF(ISNA(VLOOKUP($A528,'Mutasi Neraca'!$A$3:$S$910,3,FALSE)),0,VLOOKUP($A528,'Mutasi Neraca'!$A$3:$S$910,3,FALSE))</f>
        <v>21669675</v>
      </c>
      <c r="E528" s="42">
        <f>VLOOKUP($A528,'Neraca Unaudited SIMAK'!$A$2:$R$1272,4,FALSE)+IF(ISNA(VLOOKUP($A528,'Mutasi Neraca'!$A$3:$S$910,4,FALSE)),0,VLOOKUP($A528,'Mutasi Neraca'!$A$3:$S$910,4,FALSE))</f>
        <v>639200000</v>
      </c>
      <c r="F528" s="42">
        <f>VLOOKUP($A528,'Neraca Unaudited SIMAK'!$A$2:$R$1272,5,FALSE)+IF(ISNA(VLOOKUP($A528,'Mutasi Neraca'!$A$3:$S$910,5,FALSE)),0,VLOOKUP($A528,'Mutasi Neraca'!$A$3:$S$910,5,FALSE))</f>
        <v>950736145</v>
      </c>
      <c r="G528" s="42">
        <f>VLOOKUP($A528,'Neraca Unaudited SIMAK'!$A$2:$R$1272,6,FALSE)+IF(ISNA(VLOOKUP($A528,'Mutasi Neraca'!$A$3:$S$910,6,FALSE)),0,VLOOKUP($A528,'Mutasi Neraca'!$A$3:$S$910,6,FALSE))</f>
        <v>15064806447</v>
      </c>
      <c r="H528" s="42">
        <f>VLOOKUP($A528,'Neraca Unaudited SIMAK'!$A$2:$R$1272,7,FALSE)+IF(ISNA(VLOOKUP($A528,'Mutasi Neraca'!$A$3:$S$910,7,FALSE)),0,VLOOKUP($A528,'Mutasi Neraca'!$A$3:$S$910,7,FALSE))</f>
        <v>0</v>
      </c>
      <c r="I528" s="42">
        <f>VLOOKUP($A528,'Neraca Unaudited SIMAK'!$A$2:$R$1272,8,FALSE)+IF(ISNA(VLOOKUP($A528,'Mutasi Neraca'!$A$3:$S$910,8,FALSE)),0,VLOOKUP($A528,'Mutasi Neraca'!$A$3:$S$910,8,FALSE))</f>
        <v>27359678</v>
      </c>
      <c r="J528" s="42">
        <f>VLOOKUP($A528,'Neraca Unaudited SIMAK'!$A$2:$R$1272,9,FALSE)+IF(ISNA(VLOOKUP($A528,'Mutasi Neraca'!$A$3:$S$910,9,FALSE)),0,VLOOKUP($A528,'Mutasi Neraca'!$A$3:$S$910,9,FALSE))</f>
        <v>0</v>
      </c>
      <c r="K528" s="42">
        <f>VLOOKUP($A528,'Neraca Unaudited SIMAK'!$A$2:$R$1272,10,FALSE)+IF(ISNA(VLOOKUP($A528,'Mutasi Neraca'!$A$3:$S$910,10,FALSE)),0,VLOOKUP($A528,'Mutasi Neraca'!$A$3:$S$910,10,FALSE))</f>
        <v>0</v>
      </c>
      <c r="L528" s="42">
        <f>VLOOKUP($A528,'Neraca Unaudited SIMAK'!$A$2:$R$1272,11,FALSE)+IF(ISNA(VLOOKUP($A528,'Mutasi Neraca'!$A$3:$S$910,11,FALSE)),0,VLOOKUP($A528,'Mutasi Neraca'!$A$3:$S$910,11,FALSE))</f>
        <v>0</v>
      </c>
      <c r="M528" s="42">
        <f>VLOOKUP($A528,'Neraca Unaudited SIMAK'!$A$2:$R$1272,12,FALSE)+IF(ISNA(VLOOKUP($A528,'Mutasi Neraca'!$A$3:$S$910,12,FALSE)),0,VLOOKUP($A528,'Mutasi Neraca'!$A$3:$S$910,12,FALSE))</f>
        <v>16703771945</v>
      </c>
      <c r="N528" s="42">
        <f>VLOOKUP($A528,'Neraca Unaudited SIMAK'!$A$2:$R$1272,13,FALSE)+IF(ISNA(VLOOKUP($A528,'Mutasi Neraca'!$A$3:$S$910,13,FALSE)),0,VLOOKUP($A528,'Mutasi Neraca'!$A$3:$S$910,13,FALSE))</f>
        <v>-825131219</v>
      </c>
      <c r="O528" s="42">
        <f>VLOOKUP($A528,'Neraca Unaudited SIMAK'!$A$2:$R$1272,14,FALSE)+IF(ISNA(VLOOKUP($A528,'Mutasi Neraca'!$A$3:$S$910,14,FALSE)),0,VLOOKUP($A528,'Mutasi Neraca'!$A$3:$S$910,14,FALSE))</f>
        <v>-2177636102</v>
      </c>
      <c r="P528" s="42">
        <f>VLOOKUP($A528,'Neraca Unaudited SIMAK'!$A$2:$R$1272,15,FALSE)+IF(ISNA(VLOOKUP($A528,'Mutasi Neraca'!$A$3:$S$910,15,FALSE)),0,VLOOKUP($A528,'Mutasi Neraca'!$A$3:$S$910,15,FALSE))</f>
        <v>0</v>
      </c>
      <c r="Q528" s="42">
        <f>VLOOKUP($A528,'Neraca Unaudited SIMAK'!$A$2:$R$1272,16,FALSE)+IF(ISNA(VLOOKUP($A528,'Mutasi Neraca'!$A$3:$S$910,16,FALSE)),0,VLOOKUP($A528,'Mutasi Neraca'!$A$3:$S$910,16,FALSE))</f>
        <v>0</v>
      </c>
      <c r="R528" s="42">
        <f>VLOOKUP($A528,'Neraca Unaudited SIMAK'!$A$2:$R$1272,17,FALSE)+IF(ISNA(VLOOKUP($A528,'Mutasi Neraca'!$A$3:$S$910,17,FALSE)),0,VLOOKUP($A528,'Mutasi Neraca'!$A$3:$S$910,17,FALSE))</f>
        <v>0</v>
      </c>
      <c r="S528" s="42">
        <f t="shared" si="59"/>
        <v>13701004624</v>
      </c>
    </row>
    <row r="529" spans="1:19">
      <c r="A529" s="41" t="s">
        <v>536</v>
      </c>
      <c r="B529" s="41" t="str">
        <f t="shared" si="58"/>
        <v>005011600</v>
      </c>
      <c r="D529" s="42">
        <f>VLOOKUP($A529,'Neraca Unaudited SIMAK'!$A$2:$R$1272,3,FALSE)+IF(ISNA(VLOOKUP($A529,'Mutasi Neraca'!$A$3:$S$910,3,FALSE)),0,VLOOKUP($A529,'Mutasi Neraca'!$A$3:$S$910,3,FALSE))</f>
        <v>305000</v>
      </c>
      <c r="E529" s="42">
        <f>VLOOKUP($A529,'Neraca Unaudited SIMAK'!$A$2:$R$1272,4,FALSE)+IF(ISNA(VLOOKUP($A529,'Mutasi Neraca'!$A$3:$S$910,4,FALSE)),0,VLOOKUP($A529,'Mutasi Neraca'!$A$3:$S$910,4,FALSE))</f>
        <v>7800000</v>
      </c>
      <c r="F529" s="42">
        <f>VLOOKUP($A529,'Neraca Unaudited SIMAK'!$A$2:$R$1272,5,FALSE)+IF(ISNA(VLOOKUP($A529,'Mutasi Neraca'!$A$3:$S$910,5,FALSE)),0,VLOOKUP($A529,'Mutasi Neraca'!$A$3:$S$910,5,FALSE))</f>
        <v>1005645926</v>
      </c>
      <c r="G529" s="42">
        <f>VLOOKUP($A529,'Neraca Unaudited SIMAK'!$A$2:$R$1272,6,FALSE)+IF(ISNA(VLOOKUP($A529,'Mutasi Neraca'!$A$3:$S$910,6,FALSE)),0,VLOOKUP($A529,'Mutasi Neraca'!$A$3:$S$910,6,FALSE))</f>
        <v>5971419700</v>
      </c>
      <c r="H529" s="42">
        <f>VLOOKUP($A529,'Neraca Unaudited SIMAK'!$A$2:$R$1272,7,FALSE)+IF(ISNA(VLOOKUP($A529,'Mutasi Neraca'!$A$3:$S$910,7,FALSE)),0,VLOOKUP($A529,'Mutasi Neraca'!$A$3:$S$910,7,FALSE))</f>
        <v>220123600</v>
      </c>
      <c r="I529" s="42">
        <f>VLOOKUP($A529,'Neraca Unaudited SIMAK'!$A$2:$R$1272,8,FALSE)+IF(ISNA(VLOOKUP($A529,'Mutasi Neraca'!$A$3:$S$910,8,FALSE)),0,VLOOKUP($A529,'Mutasi Neraca'!$A$3:$S$910,8,FALSE))</f>
        <v>4772118</v>
      </c>
      <c r="J529" s="42">
        <f>VLOOKUP($A529,'Neraca Unaudited SIMAK'!$A$2:$R$1272,9,FALSE)+IF(ISNA(VLOOKUP($A529,'Mutasi Neraca'!$A$3:$S$910,9,FALSE)),0,VLOOKUP($A529,'Mutasi Neraca'!$A$3:$S$910,9,FALSE))</f>
        <v>0</v>
      </c>
      <c r="K529" s="42">
        <f>VLOOKUP($A529,'Neraca Unaudited SIMAK'!$A$2:$R$1272,10,FALSE)+IF(ISNA(VLOOKUP($A529,'Mutasi Neraca'!$A$3:$S$910,10,FALSE)),0,VLOOKUP($A529,'Mutasi Neraca'!$A$3:$S$910,10,FALSE))</f>
        <v>0</v>
      </c>
      <c r="L529" s="42">
        <f>VLOOKUP($A529,'Neraca Unaudited SIMAK'!$A$2:$R$1272,11,FALSE)+IF(ISNA(VLOOKUP($A529,'Mutasi Neraca'!$A$3:$S$910,11,FALSE)),0,VLOOKUP($A529,'Mutasi Neraca'!$A$3:$S$910,11,FALSE))</f>
        <v>69000000</v>
      </c>
      <c r="M529" s="42">
        <f>VLOOKUP($A529,'Neraca Unaudited SIMAK'!$A$2:$R$1272,12,FALSE)+IF(ISNA(VLOOKUP($A529,'Mutasi Neraca'!$A$3:$S$910,12,FALSE)),0,VLOOKUP($A529,'Mutasi Neraca'!$A$3:$S$910,12,FALSE))</f>
        <v>7279066344</v>
      </c>
      <c r="N529" s="42">
        <f>VLOOKUP($A529,'Neraca Unaudited SIMAK'!$A$2:$R$1272,13,FALSE)+IF(ISNA(VLOOKUP($A529,'Mutasi Neraca'!$A$3:$S$910,13,FALSE)),0,VLOOKUP($A529,'Mutasi Neraca'!$A$3:$S$910,13,FALSE))</f>
        <v>-906780648</v>
      </c>
      <c r="O529" s="42">
        <f>VLOOKUP($A529,'Neraca Unaudited SIMAK'!$A$2:$R$1272,14,FALSE)+IF(ISNA(VLOOKUP($A529,'Mutasi Neraca'!$A$3:$S$910,14,FALSE)),0,VLOOKUP($A529,'Mutasi Neraca'!$A$3:$S$910,14,FALSE))</f>
        <v>-759238333</v>
      </c>
      <c r="P529" s="42">
        <f>VLOOKUP($A529,'Neraca Unaudited SIMAK'!$A$2:$R$1272,15,FALSE)+IF(ISNA(VLOOKUP($A529,'Mutasi Neraca'!$A$3:$S$910,15,FALSE)),0,VLOOKUP($A529,'Mutasi Neraca'!$A$3:$S$910,15,FALSE))</f>
        <v>-89583468</v>
      </c>
      <c r="Q529" s="42">
        <f>VLOOKUP($A529,'Neraca Unaudited SIMAK'!$A$2:$R$1272,16,FALSE)+IF(ISNA(VLOOKUP($A529,'Mutasi Neraca'!$A$3:$S$910,16,FALSE)),0,VLOOKUP($A529,'Mutasi Neraca'!$A$3:$S$910,16,FALSE))</f>
        <v>0</v>
      </c>
      <c r="R529" s="42">
        <f>VLOOKUP($A529,'Neraca Unaudited SIMAK'!$A$2:$R$1272,17,FALSE)+IF(ISNA(VLOOKUP($A529,'Mutasi Neraca'!$A$3:$S$910,17,FALSE)),0,VLOOKUP($A529,'Mutasi Neraca'!$A$3:$S$910,17,FALSE))</f>
        <v>-69000000</v>
      </c>
      <c r="S529" s="42">
        <f t="shared" si="59"/>
        <v>5454463895</v>
      </c>
    </row>
    <row r="530" spans="1:19">
      <c r="A530" s="41" t="s">
        <v>537</v>
      </c>
      <c r="B530" s="41" t="str">
        <f t="shared" si="58"/>
        <v>005011600</v>
      </c>
      <c r="D530" s="42">
        <f>VLOOKUP($A530,'Neraca Unaudited SIMAK'!$A$2:$R$1272,3,FALSE)+IF(ISNA(VLOOKUP($A530,'Mutasi Neraca'!$A$3:$S$910,3,FALSE)),0,VLOOKUP($A530,'Mutasi Neraca'!$A$3:$S$910,3,FALSE))</f>
        <v>2582000</v>
      </c>
      <c r="E530" s="42">
        <f>VLOOKUP($A530,'Neraca Unaudited SIMAK'!$A$2:$R$1272,4,FALSE)+IF(ISNA(VLOOKUP($A530,'Mutasi Neraca'!$A$3:$S$910,4,FALSE)),0,VLOOKUP($A530,'Mutasi Neraca'!$A$3:$S$910,4,FALSE))</f>
        <v>92280000</v>
      </c>
      <c r="F530" s="42">
        <f>VLOOKUP($A530,'Neraca Unaudited SIMAK'!$A$2:$R$1272,5,FALSE)+IF(ISNA(VLOOKUP($A530,'Mutasi Neraca'!$A$3:$S$910,5,FALSE)),0,VLOOKUP($A530,'Mutasi Neraca'!$A$3:$S$910,5,FALSE))</f>
        <v>1793852026</v>
      </c>
      <c r="G530" s="42">
        <f>VLOOKUP($A530,'Neraca Unaudited SIMAK'!$A$2:$R$1272,6,FALSE)+IF(ISNA(VLOOKUP($A530,'Mutasi Neraca'!$A$3:$S$910,6,FALSE)),0,VLOOKUP($A530,'Mutasi Neraca'!$A$3:$S$910,6,FALSE))</f>
        <v>11074541900</v>
      </c>
      <c r="H530" s="42">
        <f>VLOOKUP($A530,'Neraca Unaudited SIMAK'!$A$2:$R$1272,7,FALSE)+IF(ISNA(VLOOKUP($A530,'Mutasi Neraca'!$A$3:$S$910,7,FALSE)),0,VLOOKUP($A530,'Mutasi Neraca'!$A$3:$S$910,7,FALSE))</f>
        <v>690685000</v>
      </c>
      <c r="I530" s="42">
        <f>VLOOKUP($A530,'Neraca Unaudited SIMAK'!$A$2:$R$1272,8,FALSE)+IF(ISNA(VLOOKUP($A530,'Mutasi Neraca'!$A$3:$S$910,8,FALSE)),0,VLOOKUP($A530,'Mutasi Neraca'!$A$3:$S$910,8,FALSE))</f>
        <v>5072116</v>
      </c>
      <c r="J530" s="42">
        <f>VLOOKUP($A530,'Neraca Unaudited SIMAK'!$A$2:$R$1272,9,FALSE)+IF(ISNA(VLOOKUP($A530,'Mutasi Neraca'!$A$3:$S$910,9,FALSE)),0,VLOOKUP($A530,'Mutasi Neraca'!$A$3:$S$910,9,FALSE))</f>
        <v>129251243</v>
      </c>
      <c r="K530" s="42">
        <f>VLOOKUP($A530,'Neraca Unaudited SIMAK'!$A$2:$R$1272,10,FALSE)+IF(ISNA(VLOOKUP($A530,'Mutasi Neraca'!$A$3:$S$910,10,FALSE)),0,VLOOKUP($A530,'Mutasi Neraca'!$A$3:$S$910,10,FALSE))</f>
        <v>0</v>
      </c>
      <c r="L530" s="42">
        <f>VLOOKUP($A530,'Neraca Unaudited SIMAK'!$A$2:$R$1272,11,FALSE)+IF(ISNA(VLOOKUP($A530,'Mutasi Neraca'!$A$3:$S$910,11,FALSE)),0,VLOOKUP($A530,'Mutasi Neraca'!$A$3:$S$910,11,FALSE))</f>
        <v>0</v>
      </c>
      <c r="M530" s="42">
        <f>VLOOKUP($A530,'Neraca Unaudited SIMAK'!$A$2:$R$1272,12,FALSE)+IF(ISNA(VLOOKUP($A530,'Mutasi Neraca'!$A$3:$S$910,12,FALSE)),0,VLOOKUP($A530,'Mutasi Neraca'!$A$3:$S$910,12,FALSE))</f>
        <v>13788264285</v>
      </c>
      <c r="N530" s="42">
        <f>VLOOKUP($A530,'Neraca Unaudited SIMAK'!$A$2:$R$1272,13,FALSE)+IF(ISNA(VLOOKUP($A530,'Mutasi Neraca'!$A$3:$S$910,13,FALSE)),0,VLOOKUP($A530,'Mutasi Neraca'!$A$3:$S$910,13,FALSE))</f>
        <v>-1162703881</v>
      </c>
      <c r="O530" s="42">
        <f>VLOOKUP($A530,'Neraca Unaudited SIMAK'!$A$2:$R$1272,14,FALSE)+IF(ISNA(VLOOKUP($A530,'Mutasi Neraca'!$A$3:$S$910,14,FALSE)),0,VLOOKUP($A530,'Mutasi Neraca'!$A$3:$S$910,14,FALSE))</f>
        <v>-1756397117</v>
      </c>
      <c r="P530" s="42">
        <f>VLOOKUP($A530,'Neraca Unaudited SIMAK'!$A$2:$R$1272,15,FALSE)+IF(ISNA(VLOOKUP($A530,'Mutasi Neraca'!$A$3:$S$910,15,FALSE)),0,VLOOKUP($A530,'Mutasi Neraca'!$A$3:$S$910,15,FALSE))</f>
        <v>-539524726</v>
      </c>
      <c r="Q530" s="42">
        <f>VLOOKUP($A530,'Neraca Unaudited SIMAK'!$A$2:$R$1272,16,FALSE)+IF(ISNA(VLOOKUP($A530,'Mutasi Neraca'!$A$3:$S$910,16,FALSE)),0,VLOOKUP($A530,'Mutasi Neraca'!$A$3:$S$910,16,FALSE))</f>
        <v>0</v>
      </c>
      <c r="R530" s="42">
        <f>VLOOKUP($A530,'Neraca Unaudited SIMAK'!$A$2:$R$1272,17,FALSE)+IF(ISNA(VLOOKUP($A530,'Mutasi Neraca'!$A$3:$S$910,17,FALSE)),0,VLOOKUP($A530,'Mutasi Neraca'!$A$3:$S$910,17,FALSE))</f>
        <v>0</v>
      </c>
      <c r="S530" s="42">
        <f t="shared" si="59"/>
        <v>10329638561</v>
      </c>
    </row>
    <row r="531" spans="1:19">
      <c r="A531" s="41" t="s">
        <v>538</v>
      </c>
      <c r="B531" s="41" t="str">
        <f t="shared" si="58"/>
        <v>005011600</v>
      </c>
      <c r="D531" s="42">
        <f>VLOOKUP($A531,'Neraca Unaudited SIMAK'!$A$2:$R$1272,3,FALSE)+IF(ISNA(VLOOKUP($A531,'Mutasi Neraca'!$A$3:$S$910,3,FALSE)),0,VLOOKUP($A531,'Mutasi Neraca'!$A$3:$S$910,3,FALSE))</f>
        <v>74500</v>
      </c>
      <c r="E531" s="42">
        <f>VLOOKUP($A531,'Neraca Unaudited SIMAK'!$A$2:$R$1272,4,FALSE)+IF(ISNA(VLOOKUP($A531,'Mutasi Neraca'!$A$3:$S$910,4,FALSE)),0,VLOOKUP($A531,'Mutasi Neraca'!$A$3:$S$910,4,FALSE))</f>
        <v>1033500000</v>
      </c>
      <c r="F531" s="42">
        <f>VLOOKUP($A531,'Neraca Unaudited SIMAK'!$A$2:$R$1272,5,FALSE)+IF(ISNA(VLOOKUP($A531,'Mutasi Neraca'!$A$3:$S$910,5,FALSE)),0,VLOOKUP($A531,'Mutasi Neraca'!$A$3:$S$910,5,FALSE))</f>
        <v>970321043</v>
      </c>
      <c r="G531" s="42">
        <f>VLOOKUP($A531,'Neraca Unaudited SIMAK'!$A$2:$R$1272,6,FALSE)+IF(ISNA(VLOOKUP($A531,'Mutasi Neraca'!$A$3:$S$910,6,FALSE)),0,VLOOKUP($A531,'Mutasi Neraca'!$A$3:$S$910,6,FALSE))</f>
        <v>6828876500</v>
      </c>
      <c r="H531" s="42">
        <f>VLOOKUP($A531,'Neraca Unaudited SIMAK'!$A$2:$R$1272,7,FALSE)+IF(ISNA(VLOOKUP($A531,'Mutasi Neraca'!$A$3:$S$910,7,FALSE)),0,VLOOKUP($A531,'Mutasi Neraca'!$A$3:$S$910,7,FALSE))</f>
        <v>167571500</v>
      </c>
      <c r="I531" s="42">
        <f>VLOOKUP($A531,'Neraca Unaudited SIMAK'!$A$2:$R$1272,8,FALSE)+IF(ISNA(VLOOKUP($A531,'Mutasi Neraca'!$A$3:$S$910,8,FALSE)),0,VLOOKUP($A531,'Mutasi Neraca'!$A$3:$S$910,8,FALSE))</f>
        <v>2683400</v>
      </c>
      <c r="J531" s="42">
        <f>VLOOKUP($A531,'Neraca Unaudited SIMAK'!$A$2:$R$1272,9,FALSE)+IF(ISNA(VLOOKUP($A531,'Mutasi Neraca'!$A$3:$S$910,9,FALSE)),0,VLOOKUP($A531,'Mutasi Neraca'!$A$3:$S$910,9,FALSE))</f>
        <v>0</v>
      </c>
      <c r="K531" s="42">
        <f>VLOOKUP($A531,'Neraca Unaudited SIMAK'!$A$2:$R$1272,10,FALSE)+IF(ISNA(VLOOKUP($A531,'Mutasi Neraca'!$A$3:$S$910,10,FALSE)),0,VLOOKUP($A531,'Mutasi Neraca'!$A$3:$S$910,10,FALSE))</f>
        <v>0</v>
      </c>
      <c r="L531" s="42">
        <f>VLOOKUP($A531,'Neraca Unaudited SIMAK'!$A$2:$R$1272,11,FALSE)+IF(ISNA(VLOOKUP($A531,'Mutasi Neraca'!$A$3:$S$910,11,FALSE)),0,VLOOKUP($A531,'Mutasi Neraca'!$A$3:$S$910,11,FALSE))</f>
        <v>0</v>
      </c>
      <c r="M531" s="42">
        <f>VLOOKUP($A531,'Neraca Unaudited SIMAK'!$A$2:$R$1272,12,FALSE)+IF(ISNA(VLOOKUP($A531,'Mutasi Neraca'!$A$3:$S$910,12,FALSE)),0,VLOOKUP($A531,'Mutasi Neraca'!$A$3:$S$910,12,FALSE))</f>
        <v>9003026943</v>
      </c>
      <c r="N531" s="42">
        <f>VLOOKUP($A531,'Neraca Unaudited SIMAK'!$A$2:$R$1272,13,FALSE)+IF(ISNA(VLOOKUP($A531,'Mutasi Neraca'!$A$3:$S$910,13,FALSE)),0,VLOOKUP($A531,'Mutasi Neraca'!$A$3:$S$910,13,FALSE))</f>
        <v>-911067001</v>
      </c>
      <c r="O531" s="42">
        <f>VLOOKUP($A531,'Neraca Unaudited SIMAK'!$A$2:$R$1272,14,FALSE)+IF(ISNA(VLOOKUP($A531,'Mutasi Neraca'!$A$3:$S$910,14,FALSE)),0,VLOOKUP($A531,'Mutasi Neraca'!$A$3:$S$910,14,FALSE))</f>
        <v>-1094611514</v>
      </c>
      <c r="P531" s="42">
        <f>VLOOKUP($A531,'Neraca Unaudited SIMAK'!$A$2:$R$1272,15,FALSE)+IF(ISNA(VLOOKUP($A531,'Mutasi Neraca'!$A$3:$S$910,15,FALSE)),0,VLOOKUP($A531,'Mutasi Neraca'!$A$3:$S$910,15,FALSE))</f>
        <v>-41543768</v>
      </c>
      <c r="Q531" s="42">
        <f>VLOOKUP($A531,'Neraca Unaudited SIMAK'!$A$2:$R$1272,16,FALSE)+IF(ISNA(VLOOKUP($A531,'Mutasi Neraca'!$A$3:$S$910,16,FALSE)),0,VLOOKUP($A531,'Mutasi Neraca'!$A$3:$S$910,16,FALSE))</f>
        <v>0</v>
      </c>
      <c r="R531" s="42">
        <f>VLOOKUP($A531,'Neraca Unaudited SIMAK'!$A$2:$R$1272,17,FALSE)+IF(ISNA(VLOOKUP($A531,'Mutasi Neraca'!$A$3:$S$910,17,FALSE)),0,VLOOKUP($A531,'Mutasi Neraca'!$A$3:$S$910,17,FALSE))</f>
        <v>0</v>
      </c>
      <c r="S531" s="42">
        <f t="shared" si="59"/>
        <v>6955804660</v>
      </c>
    </row>
    <row r="532" spans="1:19">
      <c r="A532" s="41" t="s">
        <v>539</v>
      </c>
      <c r="B532" s="41" t="str">
        <f t="shared" si="58"/>
        <v>005011600</v>
      </c>
      <c r="D532" s="42">
        <f>VLOOKUP($A532,'Neraca Unaudited SIMAK'!$A$2:$R$1272,3,FALSE)+IF(ISNA(VLOOKUP($A532,'Mutasi Neraca'!$A$3:$S$910,3,FALSE)),0,VLOOKUP($A532,'Mutasi Neraca'!$A$3:$S$910,3,FALSE))</f>
        <v>520750</v>
      </c>
      <c r="E532" s="42">
        <f>VLOOKUP($A532,'Neraca Unaudited SIMAK'!$A$2:$R$1272,4,FALSE)+IF(ISNA(VLOOKUP($A532,'Mutasi Neraca'!$A$3:$S$910,4,FALSE)),0,VLOOKUP($A532,'Mutasi Neraca'!$A$3:$S$910,4,FALSE))</f>
        <v>5593500000</v>
      </c>
      <c r="F532" s="42">
        <f>VLOOKUP($A532,'Neraca Unaudited SIMAK'!$A$2:$R$1272,5,FALSE)+IF(ISNA(VLOOKUP($A532,'Mutasi Neraca'!$A$3:$S$910,5,FALSE)),0,VLOOKUP($A532,'Mutasi Neraca'!$A$3:$S$910,5,FALSE))</f>
        <v>2089745361</v>
      </c>
      <c r="G532" s="42">
        <f>VLOOKUP($A532,'Neraca Unaudited SIMAK'!$A$2:$R$1272,6,FALSE)+IF(ISNA(VLOOKUP($A532,'Mutasi Neraca'!$A$3:$S$910,6,FALSE)),0,VLOOKUP($A532,'Mutasi Neraca'!$A$3:$S$910,6,FALSE))</f>
        <v>12537722106</v>
      </c>
      <c r="H532" s="42">
        <f>VLOOKUP($A532,'Neraca Unaudited SIMAK'!$A$2:$R$1272,7,FALSE)+IF(ISNA(VLOOKUP($A532,'Mutasi Neraca'!$A$3:$S$910,7,FALSE)),0,VLOOKUP($A532,'Mutasi Neraca'!$A$3:$S$910,7,FALSE))</f>
        <v>0</v>
      </c>
      <c r="I532" s="42">
        <f>VLOOKUP($A532,'Neraca Unaudited SIMAK'!$A$2:$R$1272,8,FALSE)+IF(ISNA(VLOOKUP($A532,'Mutasi Neraca'!$A$3:$S$910,8,FALSE)),0,VLOOKUP($A532,'Mutasi Neraca'!$A$3:$S$910,8,FALSE))</f>
        <v>5527078</v>
      </c>
      <c r="J532" s="42">
        <f>VLOOKUP($A532,'Neraca Unaudited SIMAK'!$A$2:$R$1272,9,FALSE)+IF(ISNA(VLOOKUP($A532,'Mutasi Neraca'!$A$3:$S$910,9,FALSE)),0,VLOOKUP($A532,'Mutasi Neraca'!$A$3:$S$910,9,FALSE))</f>
        <v>0</v>
      </c>
      <c r="K532" s="42">
        <f>VLOOKUP($A532,'Neraca Unaudited SIMAK'!$A$2:$R$1272,10,FALSE)+IF(ISNA(VLOOKUP($A532,'Mutasi Neraca'!$A$3:$S$910,10,FALSE)),0,VLOOKUP($A532,'Mutasi Neraca'!$A$3:$S$910,10,FALSE))</f>
        <v>98890000</v>
      </c>
      <c r="L532" s="42">
        <f>VLOOKUP($A532,'Neraca Unaudited SIMAK'!$A$2:$R$1272,11,FALSE)+IF(ISNA(VLOOKUP($A532,'Mutasi Neraca'!$A$3:$S$910,11,FALSE)),0,VLOOKUP($A532,'Mutasi Neraca'!$A$3:$S$910,11,FALSE))</f>
        <v>0</v>
      </c>
      <c r="M532" s="42">
        <f>VLOOKUP($A532,'Neraca Unaudited SIMAK'!$A$2:$R$1272,12,FALSE)+IF(ISNA(VLOOKUP($A532,'Mutasi Neraca'!$A$3:$S$910,12,FALSE)),0,VLOOKUP($A532,'Mutasi Neraca'!$A$3:$S$910,12,FALSE))</f>
        <v>20325905295</v>
      </c>
      <c r="N532" s="42">
        <f>VLOOKUP($A532,'Neraca Unaudited SIMAK'!$A$2:$R$1272,13,FALSE)+IF(ISNA(VLOOKUP($A532,'Mutasi Neraca'!$A$3:$S$910,13,FALSE)),0,VLOOKUP($A532,'Mutasi Neraca'!$A$3:$S$910,13,FALSE))</f>
        <v>-1560095887</v>
      </c>
      <c r="O532" s="42">
        <f>VLOOKUP($A532,'Neraca Unaudited SIMAK'!$A$2:$R$1272,14,FALSE)+IF(ISNA(VLOOKUP($A532,'Mutasi Neraca'!$A$3:$S$910,14,FALSE)),0,VLOOKUP($A532,'Mutasi Neraca'!$A$3:$S$910,14,FALSE))</f>
        <v>-689800600</v>
      </c>
      <c r="P532" s="42">
        <f>VLOOKUP($A532,'Neraca Unaudited SIMAK'!$A$2:$R$1272,15,FALSE)+IF(ISNA(VLOOKUP($A532,'Mutasi Neraca'!$A$3:$S$910,15,FALSE)),0,VLOOKUP($A532,'Mutasi Neraca'!$A$3:$S$910,15,FALSE))</f>
        <v>0</v>
      </c>
      <c r="Q532" s="42">
        <f>VLOOKUP($A532,'Neraca Unaudited SIMAK'!$A$2:$R$1272,16,FALSE)+IF(ISNA(VLOOKUP($A532,'Mutasi Neraca'!$A$3:$S$910,16,FALSE)),0,VLOOKUP($A532,'Mutasi Neraca'!$A$3:$S$910,16,FALSE))</f>
        <v>0</v>
      </c>
      <c r="R532" s="42">
        <f>VLOOKUP($A532,'Neraca Unaudited SIMAK'!$A$2:$R$1272,17,FALSE)+IF(ISNA(VLOOKUP($A532,'Mutasi Neraca'!$A$3:$S$910,17,FALSE)),0,VLOOKUP($A532,'Mutasi Neraca'!$A$3:$S$910,17,FALSE))</f>
        <v>0</v>
      </c>
      <c r="S532" s="42">
        <f t="shared" si="59"/>
        <v>18076008808</v>
      </c>
    </row>
    <row r="533" spans="1:19">
      <c r="A533" s="41" t="s">
        <v>540</v>
      </c>
      <c r="B533" s="41" t="str">
        <f t="shared" si="58"/>
        <v>005011600</v>
      </c>
      <c r="D533" s="42">
        <f>VLOOKUP($A533,'Neraca Unaudited SIMAK'!$A$2:$R$1272,3,FALSE)+IF(ISNA(VLOOKUP($A533,'Mutasi Neraca'!$A$3:$S$910,3,FALSE)),0,VLOOKUP($A533,'Mutasi Neraca'!$A$3:$S$910,3,FALSE))</f>
        <v>184000</v>
      </c>
      <c r="E533" s="42">
        <f>VLOOKUP($A533,'Neraca Unaudited SIMAK'!$A$2:$R$1272,4,FALSE)+IF(ISNA(VLOOKUP($A533,'Mutasi Neraca'!$A$3:$S$910,4,FALSE)),0,VLOOKUP($A533,'Mutasi Neraca'!$A$3:$S$910,4,FALSE))</f>
        <v>0</v>
      </c>
      <c r="F533" s="42">
        <f>VLOOKUP($A533,'Neraca Unaudited SIMAK'!$A$2:$R$1272,5,FALSE)+IF(ISNA(VLOOKUP($A533,'Mutasi Neraca'!$A$3:$S$910,5,FALSE)),0,VLOOKUP($A533,'Mutasi Neraca'!$A$3:$S$910,5,FALSE))</f>
        <v>1109274560</v>
      </c>
      <c r="G533" s="42">
        <f>VLOOKUP($A533,'Neraca Unaudited SIMAK'!$A$2:$R$1272,6,FALSE)+IF(ISNA(VLOOKUP($A533,'Mutasi Neraca'!$A$3:$S$910,6,FALSE)),0,VLOOKUP($A533,'Mutasi Neraca'!$A$3:$S$910,6,FALSE))</f>
        <v>6967761549</v>
      </c>
      <c r="H533" s="42">
        <f>VLOOKUP($A533,'Neraca Unaudited SIMAK'!$A$2:$R$1272,7,FALSE)+IF(ISNA(VLOOKUP($A533,'Mutasi Neraca'!$A$3:$S$910,7,FALSE)),0,VLOOKUP($A533,'Mutasi Neraca'!$A$3:$S$910,7,FALSE))</f>
        <v>0</v>
      </c>
      <c r="I533" s="42">
        <f>VLOOKUP($A533,'Neraca Unaudited SIMAK'!$A$2:$R$1272,8,FALSE)+IF(ISNA(VLOOKUP($A533,'Mutasi Neraca'!$A$3:$S$910,8,FALSE)),0,VLOOKUP($A533,'Mutasi Neraca'!$A$3:$S$910,8,FALSE))</f>
        <v>2683400</v>
      </c>
      <c r="J533" s="42">
        <f>VLOOKUP($A533,'Neraca Unaudited SIMAK'!$A$2:$R$1272,9,FALSE)+IF(ISNA(VLOOKUP($A533,'Mutasi Neraca'!$A$3:$S$910,9,FALSE)),0,VLOOKUP($A533,'Mutasi Neraca'!$A$3:$S$910,9,FALSE))</f>
        <v>0</v>
      </c>
      <c r="K533" s="42">
        <f>VLOOKUP($A533,'Neraca Unaudited SIMAK'!$A$2:$R$1272,10,FALSE)+IF(ISNA(VLOOKUP($A533,'Mutasi Neraca'!$A$3:$S$910,10,FALSE)),0,VLOOKUP($A533,'Mutasi Neraca'!$A$3:$S$910,10,FALSE))</f>
        <v>0</v>
      </c>
      <c r="L533" s="42">
        <f>VLOOKUP($A533,'Neraca Unaudited SIMAK'!$A$2:$R$1272,11,FALSE)+IF(ISNA(VLOOKUP($A533,'Mutasi Neraca'!$A$3:$S$910,11,FALSE)),0,VLOOKUP($A533,'Mutasi Neraca'!$A$3:$S$910,11,FALSE))</f>
        <v>0</v>
      </c>
      <c r="M533" s="42">
        <f>VLOOKUP($A533,'Neraca Unaudited SIMAK'!$A$2:$R$1272,12,FALSE)+IF(ISNA(VLOOKUP($A533,'Mutasi Neraca'!$A$3:$S$910,12,FALSE)),0,VLOOKUP($A533,'Mutasi Neraca'!$A$3:$S$910,12,FALSE))</f>
        <v>8079903509</v>
      </c>
      <c r="N533" s="42">
        <f>VLOOKUP($A533,'Neraca Unaudited SIMAK'!$A$2:$R$1272,13,FALSE)+IF(ISNA(VLOOKUP($A533,'Mutasi Neraca'!$A$3:$S$910,13,FALSE)),0,VLOOKUP($A533,'Mutasi Neraca'!$A$3:$S$910,13,FALSE))</f>
        <v>-1000894009</v>
      </c>
      <c r="O533" s="42">
        <f>VLOOKUP($A533,'Neraca Unaudited SIMAK'!$A$2:$R$1272,14,FALSE)+IF(ISNA(VLOOKUP($A533,'Mutasi Neraca'!$A$3:$S$910,14,FALSE)),0,VLOOKUP($A533,'Mutasi Neraca'!$A$3:$S$910,14,FALSE))</f>
        <v>-645048756</v>
      </c>
      <c r="P533" s="42">
        <f>VLOOKUP($A533,'Neraca Unaudited SIMAK'!$A$2:$R$1272,15,FALSE)+IF(ISNA(VLOOKUP($A533,'Mutasi Neraca'!$A$3:$S$910,15,FALSE)),0,VLOOKUP($A533,'Mutasi Neraca'!$A$3:$S$910,15,FALSE))</f>
        <v>0</v>
      </c>
      <c r="Q533" s="42">
        <f>VLOOKUP($A533,'Neraca Unaudited SIMAK'!$A$2:$R$1272,16,FALSE)+IF(ISNA(VLOOKUP($A533,'Mutasi Neraca'!$A$3:$S$910,16,FALSE)),0,VLOOKUP($A533,'Mutasi Neraca'!$A$3:$S$910,16,FALSE))</f>
        <v>0</v>
      </c>
      <c r="R533" s="42">
        <f>VLOOKUP($A533,'Neraca Unaudited SIMAK'!$A$2:$R$1272,17,FALSE)+IF(ISNA(VLOOKUP($A533,'Mutasi Neraca'!$A$3:$S$910,17,FALSE)),0,VLOOKUP($A533,'Mutasi Neraca'!$A$3:$S$910,17,FALSE))</f>
        <v>0</v>
      </c>
      <c r="S533" s="42">
        <f t="shared" si="59"/>
        <v>6433960744</v>
      </c>
    </row>
    <row r="534" spans="1:19">
      <c r="A534" s="41" t="s">
        <v>541</v>
      </c>
      <c r="B534" s="41" t="str">
        <f t="shared" si="58"/>
        <v>005011600</v>
      </c>
      <c r="D534" s="42">
        <f>VLOOKUP($A534,'Neraca Unaudited SIMAK'!$A$2:$R$1272,3,FALSE)+IF(ISNA(VLOOKUP($A534,'Mutasi Neraca'!$A$3:$S$910,3,FALSE)),0,VLOOKUP($A534,'Mutasi Neraca'!$A$3:$S$910,3,FALSE))</f>
        <v>1946859</v>
      </c>
      <c r="E534" s="42">
        <f>VLOOKUP($A534,'Neraca Unaudited SIMAK'!$A$2:$R$1272,4,FALSE)+IF(ISNA(VLOOKUP($A534,'Mutasi Neraca'!$A$3:$S$910,4,FALSE)),0,VLOOKUP($A534,'Mutasi Neraca'!$A$3:$S$910,4,FALSE))</f>
        <v>0</v>
      </c>
      <c r="F534" s="42">
        <f>VLOOKUP($A534,'Neraca Unaudited SIMAK'!$A$2:$R$1272,5,FALSE)+IF(ISNA(VLOOKUP($A534,'Mutasi Neraca'!$A$3:$S$910,5,FALSE)),0,VLOOKUP($A534,'Mutasi Neraca'!$A$3:$S$910,5,FALSE))</f>
        <v>1053181867</v>
      </c>
      <c r="G534" s="42">
        <f>VLOOKUP($A534,'Neraca Unaudited SIMAK'!$A$2:$R$1272,6,FALSE)+IF(ISNA(VLOOKUP($A534,'Mutasi Neraca'!$A$3:$S$910,6,FALSE)),0,VLOOKUP($A534,'Mutasi Neraca'!$A$3:$S$910,6,FALSE))</f>
        <v>3474009000</v>
      </c>
      <c r="H534" s="42">
        <f>VLOOKUP($A534,'Neraca Unaudited SIMAK'!$A$2:$R$1272,7,FALSE)+IF(ISNA(VLOOKUP($A534,'Mutasi Neraca'!$A$3:$S$910,7,FALSE)),0,VLOOKUP($A534,'Mutasi Neraca'!$A$3:$S$910,7,FALSE))</f>
        <v>0</v>
      </c>
      <c r="I534" s="42">
        <f>VLOOKUP($A534,'Neraca Unaudited SIMAK'!$A$2:$R$1272,8,FALSE)+IF(ISNA(VLOOKUP($A534,'Mutasi Neraca'!$A$3:$S$910,8,FALSE)),0,VLOOKUP($A534,'Mutasi Neraca'!$A$3:$S$910,8,FALSE))</f>
        <v>2683400</v>
      </c>
      <c r="J534" s="42">
        <f>VLOOKUP($A534,'Neraca Unaudited SIMAK'!$A$2:$R$1272,9,FALSE)+IF(ISNA(VLOOKUP($A534,'Mutasi Neraca'!$A$3:$S$910,9,FALSE)),0,VLOOKUP($A534,'Mutasi Neraca'!$A$3:$S$910,9,FALSE))</f>
        <v>0</v>
      </c>
      <c r="K534" s="42">
        <f>VLOOKUP($A534,'Neraca Unaudited SIMAK'!$A$2:$R$1272,10,FALSE)+IF(ISNA(VLOOKUP($A534,'Mutasi Neraca'!$A$3:$S$910,10,FALSE)),0,VLOOKUP($A534,'Mutasi Neraca'!$A$3:$S$910,10,FALSE))</f>
        <v>0</v>
      </c>
      <c r="L534" s="42">
        <f>VLOOKUP($A534,'Neraca Unaudited SIMAK'!$A$2:$R$1272,11,FALSE)+IF(ISNA(VLOOKUP($A534,'Mutasi Neraca'!$A$3:$S$910,11,FALSE)),0,VLOOKUP($A534,'Mutasi Neraca'!$A$3:$S$910,11,FALSE))</f>
        <v>0</v>
      </c>
      <c r="M534" s="42">
        <f>VLOOKUP($A534,'Neraca Unaudited SIMAK'!$A$2:$R$1272,12,FALSE)+IF(ISNA(VLOOKUP($A534,'Mutasi Neraca'!$A$3:$S$910,12,FALSE)),0,VLOOKUP($A534,'Mutasi Neraca'!$A$3:$S$910,12,FALSE))</f>
        <v>4531821126</v>
      </c>
      <c r="N534" s="42">
        <f>VLOOKUP($A534,'Neraca Unaudited SIMAK'!$A$2:$R$1272,13,FALSE)+IF(ISNA(VLOOKUP($A534,'Mutasi Neraca'!$A$3:$S$910,13,FALSE)),0,VLOOKUP($A534,'Mutasi Neraca'!$A$3:$S$910,13,FALSE))</f>
        <v>-965408717</v>
      </c>
      <c r="O534" s="42">
        <f>VLOOKUP($A534,'Neraca Unaudited SIMAK'!$A$2:$R$1272,14,FALSE)+IF(ISNA(VLOOKUP($A534,'Mutasi Neraca'!$A$3:$S$910,14,FALSE)),0,VLOOKUP($A534,'Mutasi Neraca'!$A$3:$S$910,14,FALSE))</f>
        <v>-661933710</v>
      </c>
      <c r="P534" s="42">
        <f>VLOOKUP($A534,'Neraca Unaudited SIMAK'!$A$2:$R$1272,15,FALSE)+IF(ISNA(VLOOKUP($A534,'Mutasi Neraca'!$A$3:$S$910,15,FALSE)),0,VLOOKUP($A534,'Mutasi Neraca'!$A$3:$S$910,15,FALSE))</f>
        <v>0</v>
      </c>
      <c r="Q534" s="42">
        <f>VLOOKUP($A534,'Neraca Unaudited SIMAK'!$A$2:$R$1272,16,FALSE)+IF(ISNA(VLOOKUP($A534,'Mutasi Neraca'!$A$3:$S$910,16,FALSE)),0,VLOOKUP($A534,'Mutasi Neraca'!$A$3:$S$910,16,FALSE))</f>
        <v>0</v>
      </c>
      <c r="R534" s="42">
        <f>VLOOKUP($A534,'Neraca Unaudited SIMAK'!$A$2:$R$1272,17,FALSE)+IF(ISNA(VLOOKUP($A534,'Mutasi Neraca'!$A$3:$S$910,17,FALSE)),0,VLOOKUP($A534,'Mutasi Neraca'!$A$3:$S$910,17,FALSE))</f>
        <v>0</v>
      </c>
      <c r="S534" s="42">
        <f t="shared" si="59"/>
        <v>2904478699</v>
      </c>
    </row>
    <row r="535" spans="1:19">
      <c r="A535" s="41" t="s">
        <v>542</v>
      </c>
      <c r="B535" s="41" t="str">
        <f t="shared" si="58"/>
        <v>005011600</v>
      </c>
      <c r="D535" s="42">
        <f>VLOOKUP($A535,'Neraca Unaudited SIMAK'!$A$2:$R$1272,3,FALSE)+IF(ISNA(VLOOKUP($A535,'Mutasi Neraca'!$A$3:$S$910,3,FALSE)),0,VLOOKUP($A535,'Mutasi Neraca'!$A$3:$S$910,3,FALSE))</f>
        <v>862500</v>
      </c>
      <c r="E535" s="42">
        <f>VLOOKUP($A535,'Neraca Unaudited SIMAK'!$A$2:$R$1272,4,FALSE)+IF(ISNA(VLOOKUP($A535,'Mutasi Neraca'!$A$3:$S$910,4,FALSE)),0,VLOOKUP($A535,'Mutasi Neraca'!$A$3:$S$910,4,FALSE))</f>
        <v>1848436500</v>
      </c>
      <c r="F535" s="42">
        <f>VLOOKUP($A535,'Neraca Unaudited SIMAK'!$A$2:$R$1272,5,FALSE)+IF(ISNA(VLOOKUP($A535,'Mutasi Neraca'!$A$3:$S$910,5,FALSE)),0,VLOOKUP($A535,'Mutasi Neraca'!$A$3:$S$910,5,FALSE))</f>
        <v>1476426896</v>
      </c>
      <c r="G535" s="42">
        <f>VLOOKUP($A535,'Neraca Unaudited SIMAK'!$A$2:$R$1272,6,FALSE)+IF(ISNA(VLOOKUP($A535,'Mutasi Neraca'!$A$3:$S$910,6,FALSE)),0,VLOOKUP($A535,'Mutasi Neraca'!$A$3:$S$910,6,FALSE))</f>
        <v>2557659506</v>
      </c>
      <c r="H535" s="42">
        <f>VLOOKUP($A535,'Neraca Unaudited SIMAK'!$A$2:$R$1272,7,FALSE)+IF(ISNA(VLOOKUP($A535,'Mutasi Neraca'!$A$3:$S$910,7,FALSE)),0,VLOOKUP($A535,'Mutasi Neraca'!$A$3:$S$910,7,FALSE))</f>
        <v>0</v>
      </c>
      <c r="I535" s="42">
        <f>VLOOKUP($A535,'Neraca Unaudited SIMAK'!$A$2:$R$1272,8,FALSE)+IF(ISNA(VLOOKUP($A535,'Mutasi Neraca'!$A$3:$S$910,8,FALSE)),0,VLOOKUP($A535,'Mutasi Neraca'!$A$3:$S$910,8,FALSE))</f>
        <v>4626840</v>
      </c>
      <c r="J535" s="42">
        <f>VLOOKUP($A535,'Neraca Unaudited SIMAK'!$A$2:$R$1272,9,FALSE)+IF(ISNA(VLOOKUP($A535,'Mutasi Neraca'!$A$3:$S$910,9,FALSE)),0,VLOOKUP($A535,'Mutasi Neraca'!$A$3:$S$910,9,FALSE))</f>
        <v>0</v>
      </c>
      <c r="K535" s="42">
        <f>VLOOKUP($A535,'Neraca Unaudited SIMAK'!$A$2:$R$1272,10,FALSE)+IF(ISNA(VLOOKUP($A535,'Mutasi Neraca'!$A$3:$S$910,10,FALSE)),0,VLOOKUP($A535,'Mutasi Neraca'!$A$3:$S$910,10,FALSE))</f>
        <v>0</v>
      </c>
      <c r="L535" s="42">
        <f>VLOOKUP($A535,'Neraca Unaudited SIMAK'!$A$2:$R$1272,11,FALSE)+IF(ISNA(VLOOKUP($A535,'Mutasi Neraca'!$A$3:$S$910,11,FALSE)),0,VLOOKUP($A535,'Mutasi Neraca'!$A$3:$S$910,11,FALSE))</f>
        <v>0</v>
      </c>
      <c r="M535" s="42">
        <f>VLOOKUP($A535,'Neraca Unaudited SIMAK'!$A$2:$R$1272,12,FALSE)+IF(ISNA(VLOOKUP($A535,'Mutasi Neraca'!$A$3:$S$910,12,FALSE)),0,VLOOKUP($A535,'Mutasi Neraca'!$A$3:$S$910,12,FALSE))</f>
        <v>5888012242</v>
      </c>
      <c r="N535" s="42">
        <f>VLOOKUP($A535,'Neraca Unaudited SIMAK'!$A$2:$R$1272,13,FALSE)+IF(ISNA(VLOOKUP($A535,'Mutasi Neraca'!$A$3:$S$910,13,FALSE)),0,VLOOKUP($A535,'Mutasi Neraca'!$A$3:$S$910,13,FALSE))</f>
        <v>-1347794743</v>
      </c>
      <c r="O535" s="42">
        <f>VLOOKUP($A535,'Neraca Unaudited SIMAK'!$A$2:$R$1272,14,FALSE)+IF(ISNA(VLOOKUP($A535,'Mutasi Neraca'!$A$3:$S$910,14,FALSE)),0,VLOOKUP($A535,'Mutasi Neraca'!$A$3:$S$910,14,FALSE))</f>
        <v>-574981404</v>
      </c>
      <c r="P535" s="42">
        <f>VLOOKUP($A535,'Neraca Unaudited SIMAK'!$A$2:$R$1272,15,FALSE)+IF(ISNA(VLOOKUP($A535,'Mutasi Neraca'!$A$3:$S$910,15,FALSE)),0,VLOOKUP($A535,'Mutasi Neraca'!$A$3:$S$910,15,FALSE))</f>
        <v>0</v>
      </c>
      <c r="Q535" s="42">
        <f>VLOOKUP($A535,'Neraca Unaudited SIMAK'!$A$2:$R$1272,16,FALSE)+IF(ISNA(VLOOKUP($A535,'Mutasi Neraca'!$A$3:$S$910,16,FALSE)),0,VLOOKUP($A535,'Mutasi Neraca'!$A$3:$S$910,16,FALSE))</f>
        <v>0</v>
      </c>
      <c r="R535" s="42">
        <f>VLOOKUP($A535,'Neraca Unaudited SIMAK'!$A$2:$R$1272,17,FALSE)+IF(ISNA(VLOOKUP($A535,'Mutasi Neraca'!$A$3:$S$910,17,FALSE)),0,VLOOKUP($A535,'Mutasi Neraca'!$A$3:$S$910,17,FALSE))</f>
        <v>0</v>
      </c>
      <c r="S535" s="42">
        <f t="shared" si="59"/>
        <v>3965236095</v>
      </c>
    </row>
    <row r="536" spans="1:19">
      <c r="A536" s="41" t="s">
        <v>543</v>
      </c>
      <c r="B536" s="41" t="str">
        <f t="shared" si="58"/>
        <v>005011600</v>
      </c>
      <c r="D536" s="42">
        <f>VLOOKUP($A536,'Neraca Unaudited SIMAK'!$A$2:$R$1272,3,FALSE)+IF(ISNA(VLOOKUP($A536,'Mutasi Neraca'!$A$3:$S$910,3,FALSE)),0,VLOOKUP($A536,'Mutasi Neraca'!$A$3:$S$910,3,FALSE))</f>
        <v>6616400</v>
      </c>
      <c r="E536" s="42">
        <f>VLOOKUP($A536,'Neraca Unaudited SIMAK'!$A$2:$R$1272,4,FALSE)+IF(ISNA(VLOOKUP($A536,'Mutasi Neraca'!$A$3:$S$910,4,FALSE)),0,VLOOKUP($A536,'Mutasi Neraca'!$A$3:$S$910,4,FALSE))</f>
        <v>0</v>
      </c>
      <c r="F536" s="42">
        <f>VLOOKUP($A536,'Neraca Unaudited SIMAK'!$A$2:$R$1272,5,FALSE)+IF(ISNA(VLOOKUP($A536,'Mutasi Neraca'!$A$3:$S$910,5,FALSE)),0,VLOOKUP($A536,'Mutasi Neraca'!$A$3:$S$910,5,FALSE))</f>
        <v>1529194479</v>
      </c>
      <c r="G536" s="42">
        <f>VLOOKUP($A536,'Neraca Unaudited SIMAK'!$A$2:$R$1272,6,FALSE)+IF(ISNA(VLOOKUP($A536,'Mutasi Neraca'!$A$3:$S$910,6,FALSE)),0,VLOOKUP($A536,'Mutasi Neraca'!$A$3:$S$910,6,FALSE))</f>
        <v>2981117930</v>
      </c>
      <c r="H536" s="42">
        <f>VLOOKUP($A536,'Neraca Unaudited SIMAK'!$A$2:$R$1272,7,FALSE)+IF(ISNA(VLOOKUP($A536,'Mutasi Neraca'!$A$3:$S$910,7,FALSE)),0,VLOOKUP($A536,'Mutasi Neraca'!$A$3:$S$910,7,FALSE))</f>
        <v>0</v>
      </c>
      <c r="I536" s="42">
        <f>VLOOKUP($A536,'Neraca Unaudited SIMAK'!$A$2:$R$1272,8,FALSE)+IF(ISNA(VLOOKUP($A536,'Mutasi Neraca'!$A$3:$S$910,8,FALSE)),0,VLOOKUP($A536,'Mutasi Neraca'!$A$3:$S$910,8,FALSE))</f>
        <v>22404018</v>
      </c>
      <c r="J536" s="42">
        <f>VLOOKUP($A536,'Neraca Unaudited SIMAK'!$A$2:$R$1272,9,FALSE)+IF(ISNA(VLOOKUP($A536,'Mutasi Neraca'!$A$3:$S$910,9,FALSE)),0,VLOOKUP($A536,'Mutasi Neraca'!$A$3:$S$910,9,FALSE))</f>
        <v>0</v>
      </c>
      <c r="K536" s="42">
        <f>VLOOKUP($A536,'Neraca Unaudited SIMAK'!$A$2:$R$1272,10,FALSE)+IF(ISNA(VLOOKUP($A536,'Mutasi Neraca'!$A$3:$S$910,10,FALSE)),0,VLOOKUP($A536,'Mutasi Neraca'!$A$3:$S$910,10,FALSE))</f>
        <v>0</v>
      </c>
      <c r="L536" s="42">
        <f>VLOOKUP($A536,'Neraca Unaudited SIMAK'!$A$2:$R$1272,11,FALSE)+IF(ISNA(VLOOKUP($A536,'Mutasi Neraca'!$A$3:$S$910,11,FALSE)),0,VLOOKUP($A536,'Mutasi Neraca'!$A$3:$S$910,11,FALSE))</f>
        <v>142750000</v>
      </c>
      <c r="M536" s="42">
        <f>VLOOKUP($A536,'Neraca Unaudited SIMAK'!$A$2:$R$1272,12,FALSE)+IF(ISNA(VLOOKUP($A536,'Mutasi Neraca'!$A$3:$S$910,12,FALSE)),0,VLOOKUP($A536,'Mutasi Neraca'!$A$3:$S$910,12,FALSE))</f>
        <v>4682082827</v>
      </c>
      <c r="N536" s="42">
        <f>VLOOKUP($A536,'Neraca Unaudited SIMAK'!$A$2:$R$1272,13,FALSE)+IF(ISNA(VLOOKUP($A536,'Mutasi Neraca'!$A$3:$S$910,13,FALSE)),0,VLOOKUP($A536,'Mutasi Neraca'!$A$3:$S$910,13,FALSE))</f>
        <v>-1314088230</v>
      </c>
      <c r="O536" s="42">
        <f>VLOOKUP($A536,'Neraca Unaudited SIMAK'!$A$2:$R$1272,14,FALSE)+IF(ISNA(VLOOKUP($A536,'Mutasi Neraca'!$A$3:$S$910,14,FALSE)),0,VLOOKUP($A536,'Mutasi Neraca'!$A$3:$S$910,14,FALSE))</f>
        <v>-557185774</v>
      </c>
      <c r="P536" s="42">
        <f>VLOOKUP($A536,'Neraca Unaudited SIMAK'!$A$2:$R$1272,15,FALSE)+IF(ISNA(VLOOKUP($A536,'Mutasi Neraca'!$A$3:$S$910,15,FALSE)),0,VLOOKUP($A536,'Mutasi Neraca'!$A$3:$S$910,15,FALSE))</f>
        <v>0</v>
      </c>
      <c r="Q536" s="42">
        <f>VLOOKUP($A536,'Neraca Unaudited SIMAK'!$A$2:$R$1272,16,FALSE)+IF(ISNA(VLOOKUP($A536,'Mutasi Neraca'!$A$3:$S$910,16,FALSE)),0,VLOOKUP($A536,'Mutasi Neraca'!$A$3:$S$910,16,FALSE))</f>
        <v>-6000000</v>
      </c>
      <c r="R536" s="42">
        <f>VLOOKUP($A536,'Neraca Unaudited SIMAK'!$A$2:$R$1272,17,FALSE)+IF(ISNA(VLOOKUP($A536,'Mutasi Neraca'!$A$3:$S$910,17,FALSE)),0,VLOOKUP($A536,'Mutasi Neraca'!$A$3:$S$910,17,FALSE))</f>
        <v>-142750000</v>
      </c>
      <c r="S536" s="42">
        <f t="shared" si="59"/>
        <v>2662058823</v>
      </c>
    </row>
    <row r="537" spans="1:19">
      <c r="A537" s="41" t="s">
        <v>544</v>
      </c>
      <c r="B537" s="41" t="str">
        <f t="shared" si="58"/>
        <v>005011600</v>
      </c>
      <c r="D537" s="42">
        <f>VLOOKUP($A537,'Neraca Unaudited SIMAK'!$A$2:$R$1272,3,FALSE)+IF(ISNA(VLOOKUP($A537,'Mutasi Neraca'!$A$3:$S$910,3,FALSE)),0,VLOOKUP($A537,'Mutasi Neraca'!$A$3:$S$910,3,FALSE))</f>
        <v>87500</v>
      </c>
      <c r="E537" s="42">
        <f>VLOOKUP($A537,'Neraca Unaudited SIMAK'!$A$2:$R$1272,4,FALSE)+IF(ISNA(VLOOKUP($A537,'Mutasi Neraca'!$A$3:$S$910,4,FALSE)),0,VLOOKUP($A537,'Mutasi Neraca'!$A$3:$S$910,4,FALSE))</f>
        <v>2476473000</v>
      </c>
      <c r="F537" s="42">
        <f>VLOOKUP($A537,'Neraca Unaudited SIMAK'!$A$2:$R$1272,5,FALSE)+IF(ISNA(VLOOKUP($A537,'Mutasi Neraca'!$A$3:$S$910,5,FALSE)),0,VLOOKUP($A537,'Mutasi Neraca'!$A$3:$S$910,5,FALSE))</f>
        <v>3256249383</v>
      </c>
      <c r="G537" s="42">
        <f>VLOOKUP($A537,'Neraca Unaudited SIMAK'!$A$2:$R$1272,6,FALSE)+IF(ISNA(VLOOKUP($A537,'Mutasi Neraca'!$A$3:$S$910,6,FALSE)),0,VLOOKUP($A537,'Mutasi Neraca'!$A$3:$S$910,6,FALSE))</f>
        <v>11024307088</v>
      </c>
      <c r="H537" s="42">
        <f>VLOOKUP($A537,'Neraca Unaudited SIMAK'!$A$2:$R$1272,7,FALSE)+IF(ISNA(VLOOKUP($A537,'Mutasi Neraca'!$A$3:$S$910,7,FALSE)),0,VLOOKUP($A537,'Mutasi Neraca'!$A$3:$S$910,7,FALSE))</f>
        <v>0</v>
      </c>
      <c r="I537" s="42">
        <f>VLOOKUP($A537,'Neraca Unaudited SIMAK'!$A$2:$R$1272,8,FALSE)+IF(ISNA(VLOOKUP($A537,'Mutasi Neraca'!$A$3:$S$910,8,FALSE)),0,VLOOKUP($A537,'Mutasi Neraca'!$A$3:$S$910,8,FALSE))</f>
        <v>2828678</v>
      </c>
      <c r="J537" s="42">
        <f>VLOOKUP($A537,'Neraca Unaudited SIMAK'!$A$2:$R$1272,9,FALSE)+IF(ISNA(VLOOKUP($A537,'Mutasi Neraca'!$A$3:$S$910,9,FALSE)),0,VLOOKUP($A537,'Mutasi Neraca'!$A$3:$S$910,9,FALSE))</f>
        <v>0</v>
      </c>
      <c r="K537" s="42">
        <f>VLOOKUP($A537,'Neraca Unaudited SIMAK'!$A$2:$R$1272,10,FALSE)+IF(ISNA(VLOOKUP($A537,'Mutasi Neraca'!$A$3:$S$910,10,FALSE)),0,VLOOKUP($A537,'Mutasi Neraca'!$A$3:$S$910,10,FALSE))</f>
        <v>75350000</v>
      </c>
      <c r="L537" s="42">
        <f>VLOOKUP($A537,'Neraca Unaudited SIMAK'!$A$2:$R$1272,11,FALSE)+IF(ISNA(VLOOKUP($A537,'Mutasi Neraca'!$A$3:$S$910,11,FALSE)),0,VLOOKUP($A537,'Mutasi Neraca'!$A$3:$S$910,11,FALSE))</f>
        <v>0</v>
      </c>
      <c r="M537" s="42">
        <f>VLOOKUP($A537,'Neraca Unaudited SIMAK'!$A$2:$R$1272,12,FALSE)+IF(ISNA(VLOOKUP($A537,'Mutasi Neraca'!$A$3:$S$910,12,FALSE)),0,VLOOKUP($A537,'Mutasi Neraca'!$A$3:$S$910,12,FALSE))</f>
        <v>16835295649</v>
      </c>
      <c r="N537" s="42">
        <f>VLOOKUP($A537,'Neraca Unaudited SIMAK'!$A$2:$R$1272,13,FALSE)+IF(ISNA(VLOOKUP($A537,'Mutasi Neraca'!$A$3:$S$910,13,FALSE)),0,VLOOKUP($A537,'Mutasi Neraca'!$A$3:$S$910,13,FALSE))</f>
        <v>-1848956858</v>
      </c>
      <c r="O537" s="42">
        <f>VLOOKUP($A537,'Neraca Unaudited SIMAK'!$A$2:$R$1272,14,FALSE)+IF(ISNA(VLOOKUP($A537,'Mutasi Neraca'!$A$3:$S$910,14,FALSE)),0,VLOOKUP($A537,'Mutasi Neraca'!$A$3:$S$910,14,FALSE))</f>
        <v>-325064927</v>
      </c>
      <c r="P537" s="42">
        <f>VLOOKUP($A537,'Neraca Unaudited SIMAK'!$A$2:$R$1272,15,FALSE)+IF(ISNA(VLOOKUP($A537,'Mutasi Neraca'!$A$3:$S$910,15,FALSE)),0,VLOOKUP($A537,'Mutasi Neraca'!$A$3:$S$910,15,FALSE))</f>
        <v>0</v>
      </c>
      <c r="Q537" s="42">
        <f>VLOOKUP($A537,'Neraca Unaudited SIMAK'!$A$2:$R$1272,16,FALSE)+IF(ISNA(VLOOKUP($A537,'Mutasi Neraca'!$A$3:$S$910,16,FALSE)),0,VLOOKUP($A537,'Mutasi Neraca'!$A$3:$S$910,16,FALSE))</f>
        <v>0</v>
      </c>
      <c r="R537" s="42">
        <f>VLOOKUP($A537,'Neraca Unaudited SIMAK'!$A$2:$R$1272,17,FALSE)+IF(ISNA(VLOOKUP($A537,'Mutasi Neraca'!$A$3:$S$910,17,FALSE)),0,VLOOKUP($A537,'Mutasi Neraca'!$A$3:$S$910,17,FALSE))</f>
        <v>0</v>
      </c>
      <c r="S537" s="42">
        <f t="shared" si="59"/>
        <v>14661273864</v>
      </c>
    </row>
    <row r="538" spans="1:19">
      <c r="A538" s="41" t="s">
        <v>545</v>
      </c>
      <c r="B538" s="41" t="str">
        <f t="shared" si="58"/>
        <v>005011600</v>
      </c>
      <c r="D538" s="42">
        <f>VLOOKUP($A538,'Neraca Unaudited SIMAK'!$A$2:$R$1272,3,FALSE)+IF(ISNA(VLOOKUP($A538,'Mutasi Neraca'!$A$3:$S$910,3,FALSE)),0,VLOOKUP($A538,'Mutasi Neraca'!$A$3:$S$910,3,FALSE))</f>
        <v>325869</v>
      </c>
      <c r="E538" s="42">
        <f>VLOOKUP($A538,'Neraca Unaudited SIMAK'!$A$2:$R$1272,4,FALSE)+IF(ISNA(VLOOKUP($A538,'Mutasi Neraca'!$A$3:$S$910,4,FALSE)),0,VLOOKUP($A538,'Mutasi Neraca'!$A$3:$S$910,4,FALSE))</f>
        <v>7053200000</v>
      </c>
      <c r="F538" s="42">
        <f>VLOOKUP($A538,'Neraca Unaudited SIMAK'!$A$2:$R$1272,5,FALSE)+IF(ISNA(VLOOKUP($A538,'Mutasi Neraca'!$A$3:$S$910,5,FALSE)),0,VLOOKUP($A538,'Mutasi Neraca'!$A$3:$S$910,5,FALSE))</f>
        <v>1561774543</v>
      </c>
      <c r="G538" s="42">
        <f>VLOOKUP($A538,'Neraca Unaudited SIMAK'!$A$2:$R$1272,6,FALSE)+IF(ISNA(VLOOKUP($A538,'Mutasi Neraca'!$A$3:$S$910,6,FALSE)),0,VLOOKUP($A538,'Mutasi Neraca'!$A$3:$S$910,6,FALSE))</f>
        <v>10591789000</v>
      </c>
      <c r="H538" s="42">
        <f>VLOOKUP($A538,'Neraca Unaudited SIMAK'!$A$2:$R$1272,7,FALSE)+IF(ISNA(VLOOKUP($A538,'Mutasi Neraca'!$A$3:$S$910,7,FALSE)),0,VLOOKUP($A538,'Mutasi Neraca'!$A$3:$S$910,7,FALSE))</f>
        <v>12000000</v>
      </c>
      <c r="I538" s="42">
        <f>VLOOKUP($A538,'Neraca Unaudited SIMAK'!$A$2:$R$1272,8,FALSE)+IF(ISNA(VLOOKUP($A538,'Mutasi Neraca'!$A$3:$S$910,8,FALSE)),0,VLOOKUP($A538,'Mutasi Neraca'!$A$3:$S$910,8,FALSE))</f>
        <v>4772118</v>
      </c>
      <c r="J538" s="42">
        <f>VLOOKUP($A538,'Neraca Unaudited SIMAK'!$A$2:$R$1272,9,FALSE)+IF(ISNA(VLOOKUP($A538,'Mutasi Neraca'!$A$3:$S$910,9,FALSE)),0,VLOOKUP($A538,'Mutasi Neraca'!$A$3:$S$910,9,FALSE))</f>
        <v>0</v>
      </c>
      <c r="K538" s="42">
        <f>VLOOKUP($A538,'Neraca Unaudited SIMAK'!$A$2:$R$1272,10,FALSE)+IF(ISNA(VLOOKUP($A538,'Mutasi Neraca'!$A$3:$S$910,10,FALSE)),0,VLOOKUP($A538,'Mutasi Neraca'!$A$3:$S$910,10,FALSE))</f>
        <v>0</v>
      </c>
      <c r="L538" s="42">
        <f>VLOOKUP($A538,'Neraca Unaudited SIMAK'!$A$2:$R$1272,11,FALSE)+IF(ISNA(VLOOKUP($A538,'Mutasi Neraca'!$A$3:$S$910,11,FALSE)),0,VLOOKUP($A538,'Mutasi Neraca'!$A$3:$S$910,11,FALSE))</f>
        <v>0</v>
      </c>
      <c r="M538" s="42">
        <f>VLOOKUP($A538,'Neraca Unaudited SIMAK'!$A$2:$R$1272,12,FALSE)+IF(ISNA(VLOOKUP($A538,'Mutasi Neraca'!$A$3:$S$910,12,FALSE)),0,VLOOKUP($A538,'Mutasi Neraca'!$A$3:$S$910,12,FALSE))</f>
        <v>19223861530</v>
      </c>
      <c r="N538" s="42">
        <f>VLOOKUP($A538,'Neraca Unaudited SIMAK'!$A$2:$R$1272,13,FALSE)+IF(ISNA(VLOOKUP($A538,'Mutasi Neraca'!$A$3:$S$910,13,FALSE)),0,VLOOKUP($A538,'Mutasi Neraca'!$A$3:$S$910,13,FALSE))</f>
        <v>-1262814482</v>
      </c>
      <c r="O538" s="42">
        <f>VLOOKUP($A538,'Neraca Unaudited SIMAK'!$A$2:$R$1272,14,FALSE)+IF(ISNA(VLOOKUP($A538,'Mutasi Neraca'!$A$3:$S$910,14,FALSE)),0,VLOOKUP($A538,'Mutasi Neraca'!$A$3:$S$910,14,FALSE))</f>
        <v>-1366348740</v>
      </c>
      <c r="P538" s="42">
        <f>VLOOKUP($A538,'Neraca Unaudited SIMAK'!$A$2:$R$1272,15,FALSE)+IF(ISNA(VLOOKUP($A538,'Mutasi Neraca'!$A$3:$S$910,15,FALSE)),0,VLOOKUP($A538,'Mutasi Neraca'!$A$3:$S$910,15,FALSE))</f>
        <v>-1050000</v>
      </c>
      <c r="Q538" s="42">
        <f>VLOOKUP($A538,'Neraca Unaudited SIMAK'!$A$2:$R$1272,16,FALSE)+IF(ISNA(VLOOKUP($A538,'Mutasi Neraca'!$A$3:$S$910,16,FALSE)),0,VLOOKUP($A538,'Mutasi Neraca'!$A$3:$S$910,16,FALSE))</f>
        <v>0</v>
      </c>
      <c r="R538" s="42">
        <f>VLOOKUP($A538,'Neraca Unaudited SIMAK'!$A$2:$R$1272,17,FALSE)+IF(ISNA(VLOOKUP($A538,'Mutasi Neraca'!$A$3:$S$910,17,FALSE)),0,VLOOKUP($A538,'Mutasi Neraca'!$A$3:$S$910,17,FALSE))</f>
        <v>0</v>
      </c>
      <c r="S538" s="42">
        <f t="shared" si="59"/>
        <v>16593648308</v>
      </c>
    </row>
    <row r="539" spans="1:19">
      <c r="A539" s="41" t="s">
        <v>546</v>
      </c>
      <c r="B539" s="41" t="str">
        <f t="shared" si="58"/>
        <v>005011600</v>
      </c>
      <c r="D539" s="42">
        <f>VLOOKUP($A539,'Neraca Unaudited SIMAK'!$A$2:$R$1272,3,FALSE)+IF(ISNA(VLOOKUP($A539,'Mutasi Neraca'!$A$3:$S$910,3,FALSE)),0,VLOOKUP($A539,'Mutasi Neraca'!$A$3:$S$910,3,FALSE))</f>
        <v>1036000</v>
      </c>
      <c r="E539" s="42">
        <f>VLOOKUP($A539,'Neraca Unaudited SIMAK'!$A$2:$R$1272,4,FALSE)+IF(ISNA(VLOOKUP($A539,'Mutasi Neraca'!$A$3:$S$910,4,FALSE)),0,VLOOKUP($A539,'Mutasi Neraca'!$A$3:$S$910,4,FALSE))</f>
        <v>0</v>
      </c>
      <c r="F539" s="42">
        <f>VLOOKUP($A539,'Neraca Unaudited SIMAK'!$A$2:$R$1272,5,FALSE)+IF(ISNA(VLOOKUP($A539,'Mutasi Neraca'!$A$3:$S$910,5,FALSE)),0,VLOOKUP($A539,'Mutasi Neraca'!$A$3:$S$910,5,FALSE))</f>
        <v>1011297550</v>
      </c>
      <c r="G539" s="42">
        <f>VLOOKUP($A539,'Neraca Unaudited SIMAK'!$A$2:$R$1272,6,FALSE)+IF(ISNA(VLOOKUP($A539,'Mutasi Neraca'!$A$3:$S$910,6,FALSE)),0,VLOOKUP($A539,'Mutasi Neraca'!$A$3:$S$910,6,FALSE))</f>
        <v>12201843700</v>
      </c>
      <c r="H539" s="42">
        <f>VLOOKUP($A539,'Neraca Unaudited SIMAK'!$A$2:$R$1272,7,FALSE)+IF(ISNA(VLOOKUP($A539,'Mutasi Neraca'!$A$3:$S$910,7,FALSE)),0,VLOOKUP($A539,'Mutasi Neraca'!$A$3:$S$910,7,FALSE))</f>
        <v>118880300</v>
      </c>
      <c r="I539" s="42">
        <f>VLOOKUP($A539,'Neraca Unaudited SIMAK'!$A$2:$R$1272,8,FALSE)+IF(ISNA(VLOOKUP($A539,'Mutasi Neraca'!$A$3:$S$910,8,FALSE)),0,VLOOKUP($A539,'Mutasi Neraca'!$A$3:$S$910,8,FALSE))</f>
        <v>0</v>
      </c>
      <c r="J539" s="42">
        <f>VLOOKUP($A539,'Neraca Unaudited SIMAK'!$A$2:$R$1272,9,FALSE)+IF(ISNA(VLOOKUP($A539,'Mutasi Neraca'!$A$3:$S$910,9,FALSE)),0,VLOOKUP($A539,'Mutasi Neraca'!$A$3:$S$910,9,FALSE))</f>
        <v>0</v>
      </c>
      <c r="K539" s="42">
        <f>VLOOKUP($A539,'Neraca Unaudited SIMAK'!$A$2:$R$1272,10,FALSE)+IF(ISNA(VLOOKUP($A539,'Mutasi Neraca'!$A$3:$S$910,10,FALSE)),0,VLOOKUP($A539,'Mutasi Neraca'!$A$3:$S$910,10,FALSE))</f>
        <v>0</v>
      </c>
      <c r="L539" s="42">
        <f>VLOOKUP($A539,'Neraca Unaudited SIMAK'!$A$2:$R$1272,11,FALSE)+IF(ISNA(VLOOKUP($A539,'Mutasi Neraca'!$A$3:$S$910,11,FALSE)),0,VLOOKUP($A539,'Mutasi Neraca'!$A$3:$S$910,11,FALSE))</f>
        <v>0</v>
      </c>
      <c r="M539" s="42">
        <f>VLOOKUP($A539,'Neraca Unaudited SIMAK'!$A$2:$R$1272,12,FALSE)+IF(ISNA(VLOOKUP($A539,'Mutasi Neraca'!$A$3:$S$910,12,FALSE)),0,VLOOKUP($A539,'Mutasi Neraca'!$A$3:$S$910,12,FALSE))</f>
        <v>13333057550</v>
      </c>
      <c r="N539" s="42">
        <f>VLOOKUP($A539,'Neraca Unaudited SIMAK'!$A$2:$R$1272,13,FALSE)+IF(ISNA(VLOOKUP($A539,'Mutasi Neraca'!$A$3:$S$910,13,FALSE)),0,VLOOKUP($A539,'Mutasi Neraca'!$A$3:$S$910,13,FALSE))</f>
        <v>-344973802</v>
      </c>
      <c r="O539" s="42">
        <f>VLOOKUP($A539,'Neraca Unaudited SIMAK'!$A$2:$R$1272,14,FALSE)+IF(ISNA(VLOOKUP($A539,'Mutasi Neraca'!$A$3:$S$910,14,FALSE)),0,VLOOKUP($A539,'Mutasi Neraca'!$A$3:$S$910,14,FALSE))</f>
        <v>-230271397</v>
      </c>
      <c r="P539" s="42">
        <f>VLOOKUP($A539,'Neraca Unaudited SIMAK'!$A$2:$R$1272,15,FALSE)+IF(ISNA(VLOOKUP($A539,'Mutasi Neraca'!$A$3:$S$910,15,FALSE)),0,VLOOKUP($A539,'Mutasi Neraca'!$A$3:$S$910,15,FALSE))</f>
        <v>-1486004</v>
      </c>
      <c r="Q539" s="42">
        <f>VLOOKUP($A539,'Neraca Unaudited SIMAK'!$A$2:$R$1272,16,FALSE)+IF(ISNA(VLOOKUP($A539,'Mutasi Neraca'!$A$3:$S$910,16,FALSE)),0,VLOOKUP($A539,'Mutasi Neraca'!$A$3:$S$910,16,FALSE))</f>
        <v>0</v>
      </c>
      <c r="R539" s="42">
        <f>VLOOKUP($A539,'Neraca Unaudited SIMAK'!$A$2:$R$1272,17,FALSE)+IF(ISNA(VLOOKUP($A539,'Mutasi Neraca'!$A$3:$S$910,17,FALSE)),0,VLOOKUP($A539,'Mutasi Neraca'!$A$3:$S$910,17,FALSE))</f>
        <v>0</v>
      </c>
      <c r="S539" s="42">
        <f t="shared" si="59"/>
        <v>12756326347</v>
      </c>
    </row>
    <row r="540" spans="1:19">
      <c r="A540" s="41" t="s">
        <v>547</v>
      </c>
      <c r="B540" s="41" t="str">
        <f t="shared" si="58"/>
        <v>005011700</v>
      </c>
      <c r="D540" s="42">
        <f>VLOOKUP($A540,'Neraca Unaudited SIMAK'!$A$2:$R$1272,3,FALSE)+IF(ISNA(VLOOKUP($A540,'Mutasi Neraca'!$A$3:$S$910,3,FALSE)),0,VLOOKUP($A540,'Mutasi Neraca'!$A$3:$S$910,3,FALSE))</f>
        <v>3277700</v>
      </c>
      <c r="E540" s="42">
        <f>VLOOKUP($A540,'Neraca Unaudited SIMAK'!$A$2:$R$1272,4,FALSE)+IF(ISNA(VLOOKUP($A540,'Mutasi Neraca'!$A$3:$S$910,4,FALSE)),0,VLOOKUP($A540,'Mutasi Neraca'!$A$3:$S$910,4,FALSE))</f>
        <v>33648187000</v>
      </c>
      <c r="F540" s="42">
        <f>VLOOKUP($A540,'Neraca Unaudited SIMAK'!$A$2:$R$1272,5,FALSE)+IF(ISNA(VLOOKUP($A540,'Mutasi Neraca'!$A$3:$S$910,5,FALSE)),0,VLOOKUP($A540,'Mutasi Neraca'!$A$3:$S$910,5,FALSE))</f>
        <v>4464598753</v>
      </c>
      <c r="G540" s="42">
        <f>VLOOKUP($A540,'Neraca Unaudited SIMAK'!$A$2:$R$1272,6,FALSE)+IF(ISNA(VLOOKUP($A540,'Mutasi Neraca'!$A$3:$S$910,6,FALSE)),0,VLOOKUP($A540,'Mutasi Neraca'!$A$3:$S$910,6,FALSE))</f>
        <v>7657389398</v>
      </c>
      <c r="H540" s="42">
        <f>VLOOKUP($A540,'Neraca Unaudited SIMAK'!$A$2:$R$1272,7,FALSE)+IF(ISNA(VLOOKUP($A540,'Mutasi Neraca'!$A$3:$S$910,7,FALSE)),0,VLOOKUP($A540,'Mutasi Neraca'!$A$3:$S$910,7,FALSE))</f>
        <v>471121999</v>
      </c>
      <c r="I540" s="42">
        <f>VLOOKUP($A540,'Neraca Unaudited SIMAK'!$A$2:$R$1272,8,FALSE)+IF(ISNA(VLOOKUP($A540,'Mutasi Neraca'!$A$3:$S$910,8,FALSE)),0,VLOOKUP($A540,'Mutasi Neraca'!$A$3:$S$910,8,FALSE))</f>
        <v>103149990</v>
      </c>
      <c r="J540" s="42">
        <f>VLOOKUP($A540,'Neraca Unaudited SIMAK'!$A$2:$R$1272,9,FALSE)+IF(ISNA(VLOOKUP($A540,'Mutasi Neraca'!$A$3:$S$910,9,FALSE)),0,VLOOKUP($A540,'Mutasi Neraca'!$A$3:$S$910,9,FALSE))</f>
        <v>0</v>
      </c>
      <c r="K540" s="42">
        <f>VLOOKUP($A540,'Neraca Unaudited SIMAK'!$A$2:$R$1272,10,FALSE)+IF(ISNA(VLOOKUP($A540,'Mutasi Neraca'!$A$3:$S$910,10,FALSE)),0,VLOOKUP($A540,'Mutasi Neraca'!$A$3:$S$910,10,FALSE))</f>
        <v>35200000</v>
      </c>
      <c r="L540" s="42">
        <f>VLOOKUP($A540,'Neraca Unaudited SIMAK'!$A$2:$R$1272,11,FALSE)+IF(ISNA(VLOOKUP($A540,'Mutasi Neraca'!$A$3:$S$910,11,FALSE)),0,VLOOKUP($A540,'Mutasi Neraca'!$A$3:$S$910,11,FALSE))</f>
        <v>0</v>
      </c>
      <c r="M540" s="42">
        <f>VLOOKUP($A540,'Neraca Unaudited SIMAK'!$A$2:$R$1272,12,FALSE)+IF(ISNA(VLOOKUP($A540,'Mutasi Neraca'!$A$3:$S$910,12,FALSE)),0,VLOOKUP($A540,'Mutasi Neraca'!$A$3:$S$910,12,FALSE))</f>
        <v>46382924840</v>
      </c>
      <c r="N540" s="42">
        <f>VLOOKUP($A540,'Neraca Unaudited SIMAK'!$A$2:$R$1272,13,FALSE)+IF(ISNA(VLOOKUP($A540,'Mutasi Neraca'!$A$3:$S$910,13,FALSE)),0,VLOOKUP($A540,'Mutasi Neraca'!$A$3:$S$910,13,FALSE))</f>
        <v>-3887150255</v>
      </c>
      <c r="O540" s="42">
        <f>VLOOKUP($A540,'Neraca Unaudited SIMAK'!$A$2:$R$1272,14,FALSE)+IF(ISNA(VLOOKUP($A540,'Mutasi Neraca'!$A$3:$S$910,14,FALSE)),0,VLOOKUP($A540,'Mutasi Neraca'!$A$3:$S$910,14,FALSE))</f>
        <v>-2890238679</v>
      </c>
      <c r="P540" s="42">
        <f>VLOOKUP($A540,'Neraca Unaudited SIMAK'!$A$2:$R$1272,15,FALSE)+IF(ISNA(VLOOKUP($A540,'Mutasi Neraca'!$A$3:$S$910,15,FALSE)),0,VLOOKUP($A540,'Mutasi Neraca'!$A$3:$S$910,15,FALSE))</f>
        <v>-217686857</v>
      </c>
      <c r="Q540" s="42">
        <f>VLOOKUP($A540,'Neraca Unaudited SIMAK'!$A$2:$R$1272,16,FALSE)+IF(ISNA(VLOOKUP($A540,'Mutasi Neraca'!$A$3:$S$910,16,FALSE)),0,VLOOKUP($A540,'Mutasi Neraca'!$A$3:$S$910,16,FALSE))</f>
        <v>-7100000</v>
      </c>
      <c r="R540" s="42">
        <f>VLOOKUP($A540,'Neraca Unaudited SIMAK'!$A$2:$R$1272,17,FALSE)+IF(ISNA(VLOOKUP($A540,'Mutasi Neraca'!$A$3:$S$910,17,FALSE)),0,VLOOKUP($A540,'Mutasi Neraca'!$A$3:$S$910,17,FALSE))</f>
        <v>0</v>
      </c>
      <c r="S540" s="42">
        <f t="shared" si="59"/>
        <v>39380749049</v>
      </c>
    </row>
    <row r="541" spans="1:19">
      <c r="A541" s="41" t="s">
        <v>548</v>
      </c>
      <c r="B541" s="41" t="str">
        <f t="shared" si="58"/>
        <v>005011700</v>
      </c>
      <c r="D541" s="42">
        <f>VLOOKUP($A541,'Neraca Unaudited SIMAK'!$A$2:$R$1272,3,FALSE)+IF(ISNA(VLOOKUP($A541,'Mutasi Neraca'!$A$3:$S$910,3,FALSE)),0,VLOOKUP($A541,'Mutasi Neraca'!$A$3:$S$910,3,FALSE))</f>
        <v>50860112</v>
      </c>
      <c r="E541" s="42">
        <f>VLOOKUP($A541,'Neraca Unaudited SIMAK'!$A$2:$R$1272,4,FALSE)+IF(ISNA(VLOOKUP($A541,'Mutasi Neraca'!$A$3:$S$910,4,FALSE)),0,VLOOKUP($A541,'Mutasi Neraca'!$A$3:$S$910,4,FALSE))</f>
        <v>9568079060</v>
      </c>
      <c r="F541" s="42">
        <f>VLOOKUP($A541,'Neraca Unaudited SIMAK'!$A$2:$R$1272,5,FALSE)+IF(ISNA(VLOOKUP($A541,'Mutasi Neraca'!$A$3:$S$910,5,FALSE)),0,VLOOKUP($A541,'Mutasi Neraca'!$A$3:$S$910,5,FALSE))</f>
        <v>3893200419</v>
      </c>
      <c r="G541" s="42">
        <f>VLOOKUP($A541,'Neraca Unaudited SIMAK'!$A$2:$R$1272,6,FALSE)+IF(ISNA(VLOOKUP($A541,'Mutasi Neraca'!$A$3:$S$910,6,FALSE)),0,VLOOKUP($A541,'Mutasi Neraca'!$A$3:$S$910,6,FALSE))</f>
        <v>3512551000</v>
      </c>
      <c r="H541" s="42">
        <f>VLOOKUP($A541,'Neraca Unaudited SIMAK'!$A$2:$R$1272,7,FALSE)+IF(ISNA(VLOOKUP($A541,'Mutasi Neraca'!$A$3:$S$910,7,FALSE)),0,VLOOKUP($A541,'Mutasi Neraca'!$A$3:$S$910,7,FALSE))</f>
        <v>287389500</v>
      </c>
      <c r="I541" s="42">
        <f>VLOOKUP($A541,'Neraca Unaudited SIMAK'!$A$2:$R$1272,8,FALSE)+IF(ISNA(VLOOKUP($A541,'Mutasi Neraca'!$A$3:$S$910,8,FALSE)),0,VLOOKUP($A541,'Mutasi Neraca'!$A$3:$S$910,8,FALSE))</f>
        <v>151513440</v>
      </c>
      <c r="J541" s="42">
        <f>VLOOKUP($A541,'Neraca Unaudited SIMAK'!$A$2:$R$1272,9,FALSE)+IF(ISNA(VLOOKUP($A541,'Mutasi Neraca'!$A$3:$S$910,9,FALSE)),0,VLOOKUP($A541,'Mutasi Neraca'!$A$3:$S$910,9,FALSE))</f>
        <v>0</v>
      </c>
      <c r="K541" s="42">
        <f>VLOOKUP($A541,'Neraca Unaudited SIMAK'!$A$2:$R$1272,10,FALSE)+IF(ISNA(VLOOKUP($A541,'Mutasi Neraca'!$A$3:$S$910,10,FALSE)),0,VLOOKUP($A541,'Mutasi Neraca'!$A$3:$S$910,10,FALSE))</f>
        <v>0</v>
      </c>
      <c r="L541" s="42">
        <f>VLOOKUP($A541,'Neraca Unaudited SIMAK'!$A$2:$R$1272,11,FALSE)+IF(ISNA(VLOOKUP($A541,'Mutasi Neraca'!$A$3:$S$910,11,FALSE)),0,VLOOKUP($A541,'Mutasi Neraca'!$A$3:$S$910,11,FALSE))</f>
        <v>407000</v>
      </c>
      <c r="M541" s="42">
        <f>VLOOKUP($A541,'Neraca Unaudited SIMAK'!$A$2:$R$1272,12,FALSE)+IF(ISNA(VLOOKUP($A541,'Mutasi Neraca'!$A$3:$S$910,12,FALSE)),0,VLOOKUP($A541,'Mutasi Neraca'!$A$3:$S$910,12,FALSE))</f>
        <v>17464000531</v>
      </c>
      <c r="N541" s="42">
        <f>VLOOKUP($A541,'Neraca Unaudited SIMAK'!$A$2:$R$1272,13,FALSE)+IF(ISNA(VLOOKUP($A541,'Mutasi Neraca'!$A$3:$S$910,13,FALSE)),0,VLOOKUP($A541,'Mutasi Neraca'!$A$3:$S$910,13,FALSE))</f>
        <v>-3479841314</v>
      </c>
      <c r="O541" s="42">
        <f>VLOOKUP($A541,'Neraca Unaudited SIMAK'!$A$2:$R$1272,14,FALSE)+IF(ISNA(VLOOKUP($A541,'Mutasi Neraca'!$A$3:$S$910,14,FALSE)),0,VLOOKUP($A541,'Mutasi Neraca'!$A$3:$S$910,14,FALSE))</f>
        <v>-2321698120</v>
      </c>
      <c r="P541" s="42">
        <f>VLOOKUP($A541,'Neraca Unaudited SIMAK'!$A$2:$R$1272,15,FALSE)+IF(ISNA(VLOOKUP($A541,'Mutasi Neraca'!$A$3:$S$910,15,FALSE)),0,VLOOKUP($A541,'Mutasi Neraca'!$A$3:$S$910,15,FALSE))</f>
        <v>-123744750</v>
      </c>
      <c r="Q541" s="42">
        <f>VLOOKUP($A541,'Neraca Unaudited SIMAK'!$A$2:$R$1272,16,FALSE)+IF(ISNA(VLOOKUP($A541,'Mutasi Neraca'!$A$3:$S$910,16,FALSE)),0,VLOOKUP($A541,'Mutasi Neraca'!$A$3:$S$910,16,FALSE))</f>
        <v>0</v>
      </c>
      <c r="R541" s="42">
        <f>VLOOKUP($A541,'Neraca Unaudited SIMAK'!$A$2:$R$1272,17,FALSE)+IF(ISNA(VLOOKUP($A541,'Mutasi Neraca'!$A$3:$S$910,17,FALSE)),0,VLOOKUP($A541,'Mutasi Neraca'!$A$3:$S$910,17,FALSE))</f>
        <v>-407000</v>
      </c>
      <c r="S541" s="42">
        <f t="shared" si="59"/>
        <v>11538309347</v>
      </c>
    </row>
    <row r="542" spans="1:19">
      <c r="A542" s="41" t="s">
        <v>549</v>
      </c>
      <c r="B542" s="41" t="str">
        <f t="shared" si="58"/>
        <v>005011700</v>
      </c>
      <c r="D542" s="42">
        <f>VLOOKUP($A542,'Neraca Unaudited SIMAK'!$A$2:$R$1272,3,FALSE)+IF(ISNA(VLOOKUP($A542,'Mutasi Neraca'!$A$3:$S$910,3,FALSE)),0,VLOOKUP($A542,'Mutasi Neraca'!$A$3:$S$910,3,FALSE))</f>
        <v>10560750</v>
      </c>
      <c r="E542" s="42">
        <f>VLOOKUP($A542,'Neraca Unaudited SIMAK'!$A$2:$R$1272,4,FALSE)+IF(ISNA(VLOOKUP($A542,'Mutasi Neraca'!$A$3:$S$910,4,FALSE)),0,VLOOKUP($A542,'Mutasi Neraca'!$A$3:$S$910,4,FALSE))</f>
        <v>7096715000</v>
      </c>
      <c r="F542" s="42">
        <f>VLOOKUP($A542,'Neraca Unaudited SIMAK'!$A$2:$R$1272,5,FALSE)+IF(ISNA(VLOOKUP($A542,'Mutasi Neraca'!$A$3:$S$910,5,FALSE)),0,VLOOKUP($A542,'Mutasi Neraca'!$A$3:$S$910,5,FALSE))</f>
        <v>2323076589</v>
      </c>
      <c r="G542" s="42">
        <f>VLOOKUP($A542,'Neraca Unaudited SIMAK'!$A$2:$R$1272,6,FALSE)+IF(ISNA(VLOOKUP($A542,'Mutasi Neraca'!$A$3:$S$910,6,FALSE)),0,VLOOKUP($A542,'Mutasi Neraca'!$A$3:$S$910,6,FALSE))</f>
        <v>3934845749</v>
      </c>
      <c r="H542" s="42">
        <f>VLOOKUP($A542,'Neraca Unaudited SIMAK'!$A$2:$R$1272,7,FALSE)+IF(ISNA(VLOOKUP($A542,'Mutasi Neraca'!$A$3:$S$910,7,FALSE)),0,VLOOKUP($A542,'Mutasi Neraca'!$A$3:$S$910,7,FALSE))</f>
        <v>99900000</v>
      </c>
      <c r="I542" s="42">
        <f>VLOOKUP($A542,'Neraca Unaudited SIMAK'!$A$2:$R$1272,8,FALSE)+IF(ISNA(VLOOKUP($A542,'Mutasi Neraca'!$A$3:$S$910,8,FALSE)),0,VLOOKUP($A542,'Mutasi Neraca'!$A$3:$S$910,8,FALSE))</f>
        <v>5503440</v>
      </c>
      <c r="J542" s="42">
        <f>VLOOKUP($A542,'Neraca Unaudited SIMAK'!$A$2:$R$1272,9,FALSE)+IF(ISNA(VLOOKUP($A542,'Mutasi Neraca'!$A$3:$S$910,9,FALSE)),0,VLOOKUP($A542,'Mutasi Neraca'!$A$3:$S$910,9,FALSE))</f>
        <v>0</v>
      </c>
      <c r="K542" s="42">
        <f>VLOOKUP($A542,'Neraca Unaudited SIMAK'!$A$2:$R$1272,10,FALSE)+IF(ISNA(VLOOKUP($A542,'Mutasi Neraca'!$A$3:$S$910,10,FALSE)),0,VLOOKUP($A542,'Mutasi Neraca'!$A$3:$S$910,10,FALSE))</f>
        <v>0</v>
      </c>
      <c r="L542" s="42">
        <f>VLOOKUP($A542,'Neraca Unaudited SIMAK'!$A$2:$R$1272,11,FALSE)+IF(ISNA(VLOOKUP($A542,'Mutasi Neraca'!$A$3:$S$910,11,FALSE)),0,VLOOKUP($A542,'Mutasi Neraca'!$A$3:$S$910,11,FALSE))</f>
        <v>184206480</v>
      </c>
      <c r="M542" s="42">
        <f>VLOOKUP($A542,'Neraca Unaudited SIMAK'!$A$2:$R$1272,12,FALSE)+IF(ISNA(VLOOKUP($A542,'Mutasi Neraca'!$A$3:$S$910,12,FALSE)),0,VLOOKUP($A542,'Mutasi Neraca'!$A$3:$S$910,12,FALSE))</f>
        <v>13654808008</v>
      </c>
      <c r="N542" s="42">
        <f>VLOOKUP($A542,'Neraca Unaudited SIMAK'!$A$2:$R$1272,13,FALSE)+IF(ISNA(VLOOKUP($A542,'Mutasi Neraca'!$A$3:$S$910,13,FALSE)),0,VLOOKUP($A542,'Mutasi Neraca'!$A$3:$S$910,13,FALSE))</f>
        <v>-2061633625</v>
      </c>
      <c r="O542" s="42">
        <f>VLOOKUP($A542,'Neraca Unaudited SIMAK'!$A$2:$R$1272,14,FALSE)+IF(ISNA(VLOOKUP($A542,'Mutasi Neraca'!$A$3:$S$910,14,FALSE)),0,VLOOKUP($A542,'Mutasi Neraca'!$A$3:$S$910,14,FALSE))</f>
        <v>-2751162044</v>
      </c>
      <c r="P542" s="42">
        <f>VLOOKUP($A542,'Neraca Unaudited SIMAK'!$A$2:$R$1272,15,FALSE)+IF(ISNA(VLOOKUP($A542,'Mutasi Neraca'!$A$3:$S$910,15,FALSE)),0,VLOOKUP($A542,'Mutasi Neraca'!$A$3:$S$910,15,FALSE))</f>
        <v>-13736250</v>
      </c>
      <c r="Q542" s="42">
        <f>VLOOKUP($A542,'Neraca Unaudited SIMAK'!$A$2:$R$1272,16,FALSE)+IF(ISNA(VLOOKUP($A542,'Mutasi Neraca'!$A$3:$S$910,16,FALSE)),0,VLOOKUP($A542,'Mutasi Neraca'!$A$3:$S$910,16,FALSE))</f>
        <v>-3500000</v>
      </c>
      <c r="R542" s="42">
        <f>VLOOKUP($A542,'Neraca Unaudited SIMAK'!$A$2:$R$1272,17,FALSE)+IF(ISNA(VLOOKUP($A542,'Mutasi Neraca'!$A$3:$S$910,17,FALSE)),0,VLOOKUP($A542,'Mutasi Neraca'!$A$3:$S$910,17,FALSE))</f>
        <v>-184581480</v>
      </c>
      <c r="S542" s="42">
        <f t="shared" si="59"/>
        <v>8640194609</v>
      </c>
    </row>
    <row r="543" spans="1:19">
      <c r="A543" s="41" t="s">
        <v>550</v>
      </c>
      <c r="B543" s="41" t="str">
        <f t="shared" si="58"/>
        <v>005011700</v>
      </c>
      <c r="D543" s="42">
        <f>VLOOKUP($A543,'Neraca Unaudited SIMAK'!$A$2:$R$1272,3,FALSE)+IF(ISNA(VLOOKUP($A543,'Mutasi Neraca'!$A$3:$S$910,3,FALSE)),0,VLOOKUP($A543,'Mutasi Neraca'!$A$3:$S$910,3,FALSE))</f>
        <v>12374500</v>
      </c>
      <c r="E543" s="42">
        <f>VLOOKUP($A543,'Neraca Unaudited SIMAK'!$A$2:$R$1272,4,FALSE)+IF(ISNA(VLOOKUP($A543,'Mutasi Neraca'!$A$3:$S$910,4,FALSE)),0,VLOOKUP($A543,'Mutasi Neraca'!$A$3:$S$910,4,FALSE))</f>
        <v>814720000</v>
      </c>
      <c r="F543" s="42">
        <f>VLOOKUP($A543,'Neraca Unaudited SIMAK'!$A$2:$R$1272,5,FALSE)+IF(ISNA(VLOOKUP($A543,'Mutasi Neraca'!$A$3:$S$910,5,FALSE)),0,VLOOKUP($A543,'Mutasi Neraca'!$A$3:$S$910,5,FALSE))</f>
        <v>2011919829</v>
      </c>
      <c r="G543" s="42">
        <f>VLOOKUP($A543,'Neraca Unaudited SIMAK'!$A$2:$R$1272,6,FALSE)+IF(ISNA(VLOOKUP($A543,'Mutasi Neraca'!$A$3:$S$910,6,FALSE)),0,VLOOKUP($A543,'Mutasi Neraca'!$A$3:$S$910,6,FALSE))</f>
        <v>6130387500</v>
      </c>
      <c r="H543" s="42">
        <f>VLOOKUP($A543,'Neraca Unaudited SIMAK'!$A$2:$R$1272,7,FALSE)+IF(ISNA(VLOOKUP($A543,'Mutasi Neraca'!$A$3:$S$910,7,FALSE)),0,VLOOKUP($A543,'Mutasi Neraca'!$A$3:$S$910,7,FALSE))</f>
        <v>10000000</v>
      </c>
      <c r="I543" s="42">
        <f>VLOOKUP($A543,'Neraca Unaudited SIMAK'!$A$2:$R$1272,8,FALSE)+IF(ISNA(VLOOKUP($A543,'Mutasi Neraca'!$A$3:$S$910,8,FALSE)),0,VLOOKUP($A543,'Mutasi Neraca'!$A$3:$S$910,8,FALSE))</f>
        <v>1943440</v>
      </c>
      <c r="J543" s="42">
        <f>VLOOKUP($A543,'Neraca Unaudited SIMAK'!$A$2:$R$1272,9,FALSE)+IF(ISNA(VLOOKUP($A543,'Mutasi Neraca'!$A$3:$S$910,9,FALSE)),0,VLOOKUP($A543,'Mutasi Neraca'!$A$3:$S$910,9,FALSE))</f>
        <v>0</v>
      </c>
      <c r="K543" s="42">
        <f>VLOOKUP($A543,'Neraca Unaudited SIMAK'!$A$2:$R$1272,10,FALSE)+IF(ISNA(VLOOKUP($A543,'Mutasi Neraca'!$A$3:$S$910,10,FALSE)),0,VLOOKUP($A543,'Mutasi Neraca'!$A$3:$S$910,10,FALSE))</f>
        <v>19850000</v>
      </c>
      <c r="L543" s="42">
        <f>VLOOKUP($A543,'Neraca Unaudited SIMAK'!$A$2:$R$1272,11,FALSE)+IF(ISNA(VLOOKUP($A543,'Mutasi Neraca'!$A$3:$S$910,11,FALSE)),0,VLOOKUP($A543,'Mutasi Neraca'!$A$3:$S$910,11,FALSE))</f>
        <v>50555000</v>
      </c>
      <c r="M543" s="42">
        <f>VLOOKUP($A543,'Neraca Unaudited SIMAK'!$A$2:$R$1272,12,FALSE)+IF(ISNA(VLOOKUP($A543,'Mutasi Neraca'!$A$3:$S$910,12,FALSE)),0,VLOOKUP($A543,'Mutasi Neraca'!$A$3:$S$910,12,FALSE))</f>
        <v>9051750269</v>
      </c>
      <c r="N543" s="42">
        <f>VLOOKUP($A543,'Neraca Unaudited SIMAK'!$A$2:$R$1272,13,FALSE)+IF(ISNA(VLOOKUP($A543,'Mutasi Neraca'!$A$3:$S$910,13,FALSE)),0,VLOOKUP($A543,'Mutasi Neraca'!$A$3:$S$910,13,FALSE))</f>
        <v>-1470255867</v>
      </c>
      <c r="O543" s="42">
        <f>VLOOKUP($A543,'Neraca Unaudited SIMAK'!$A$2:$R$1272,14,FALSE)+IF(ISNA(VLOOKUP($A543,'Mutasi Neraca'!$A$3:$S$910,14,FALSE)),0,VLOOKUP($A543,'Mutasi Neraca'!$A$3:$S$910,14,FALSE))</f>
        <v>-1506752822</v>
      </c>
      <c r="P543" s="42">
        <f>VLOOKUP($A543,'Neraca Unaudited SIMAK'!$A$2:$R$1272,15,FALSE)+IF(ISNA(VLOOKUP($A543,'Mutasi Neraca'!$A$3:$S$910,15,FALSE)),0,VLOOKUP($A543,'Mutasi Neraca'!$A$3:$S$910,15,FALSE))</f>
        <v>-250000</v>
      </c>
      <c r="Q543" s="42">
        <f>VLOOKUP($A543,'Neraca Unaudited SIMAK'!$A$2:$R$1272,16,FALSE)+IF(ISNA(VLOOKUP($A543,'Mutasi Neraca'!$A$3:$S$910,16,FALSE)),0,VLOOKUP($A543,'Mutasi Neraca'!$A$3:$S$910,16,FALSE))</f>
        <v>0</v>
      </c>
      <c r="R543" s="42">
        <f>VLOOKUP($A543,'Neraca Unaudited SIMAK'!$A$2:$R$1272,17,FALSE)+IF(ISNA(VLOOKUP($A543,'Mutasi Neraca'!$A$3:$S$910,17,FALSE)),0,VLOOKUP($A543,'Mutasi Neraca'!$A$3:$S$910,17,FALSE))</f>
        <v>-45197857</v>
      </c>
      <c r="S543" s="42">
        <f t="shared" si="59"/>
        <v>6029293723</v>
      </c>
    </row>
    <row r="544" spans="1:19">
      <c r="A544" s="41" t="s">
        <v>551</v>
      </c>
      <c r="B544" s="41" t="str">
        <f t="shared" si="58"/>
        <v>005011700</v>
      </c>
      <c r="D544" s="42">
        <f>VLOOKUP($A544,'Neraca Unaudited SIMAK'!$A$2:$R$1272,3,FALSE)+IF(ISNA(VLOOKUP($A544,'Mutasi Neraca'!$A$3:$S$910,3,FALSE)),0,VLOOKUP($A544,'Mutasi Neraca'!$A$3:$S$910,3,FALSE))</f>
        <v>14657836</v>
      </c>
      <c r="E544" s="42">
        <f>VLOOKUP($A544,'Neraca Unaudited SIMAK'!$A$2:$R$1272,4,FALSE)+IF(ISNA(VLOOKUP($A544,'Mutasi Neraca'!$A$3:$S$910,4,FALSE)),0,VLOOKUP($A544,'Mutasi Neraca'!$A$3:$S$910,4,FALSE))</f>
        <v>1615200000</v>
      </c>
      <c r="F544" s="42">
        <f>VLOOKUP($A544,'Neraca Unaudited SIMAK'!$A$2:$R$1272,5,FALSE)+IF(ISNA(VLOOKUP($A544,'Mutasi Neraca'!$A$3:$S$910,5,FALSE)),0,VLOOKUP($A544,'Mutasi Neraca'!$A$3:$S$910,5,FALSE))</f>
        <v>2284886237</v>
      </c>
      <c r="G544" s="42">
        <f>VLOOKUP($A544,'Neraca Unaudited SIMAK'!$A$2:$R$1272,6,FALSE)+IF(ISNA(VLOOKUP($A544,'Mutasi Neraca'!$A$3:$S$910,6,FALSE)),0,VLOOKUP($A544,'Mutasi Neraca'!$A$3:$S$910,6,FALSE))</f>
        <v>4019100649</v>
      </c>
      <c r="H544" s="42">
        <f>VLOOKUP($A544,'Neraca Unaudited SIMAK'!$A$2:$R$1272,7,FALSE)+IF(ISNA(VLOOKUP($A544,'Mutasi Neraca'!$A$3:$S$910,7,FALSE)),0,VLOOKUP($A544,'Mutasi Neraca'!$A$3:$S$910,7,FALSE))</f>
        <v>558432375</v>
      </c>
      <c r="I544" s="42">
        <f>VLOOKUP($A544,'Neraca Unaudited SIMAK'!$A$2:$R$1272,8,FALSE)+IF(ISNA(VLOOKUP($A544,'Mutasi Neraca'!$A$3:$S$910,8,FALSE)),0,VLOOKUP($A544,'Mutasi Neraca'!$A$3:$S$910,8,FALSE))</f>
        <v>321625360</v>
      </c>
      <c r="J544" s="42">
        <f>VLOOKUP($A544,'Neraca Unaudited SIMAK'!$A$2:$R$1272,9,FALSE)+IF(ISNA(VLOOKUP($A544,'Mutasi Neraca'!$A$3:$S$910,9,FALSE)),0,VLOOKUP($A544,'Mutasi Neraca'!$A$3:$S$910,9,FALSE))</f>
        <v>0</v>
      </c>
      <c r="K544" s="42">
        <f>VLOOKUP($A544,'Neraca Unaudited SIMAK'!$A$2:$R$1272,10,FALSE)+IF(ISNA(VLOOKUP($A544,'Mutasi Neraca'!$A$3:$S$910,10,FALSE)),0,VLOOKUP($A544,'Mutasi Neraca'!$A$3:$S$910,10,FALSE))</f>
        <v>49613000</v>
      </c>
      <c r="L544" s="42">
        <f>VLOOKUP($A544,'Neraca Unaudited SIMAK'!$A$2:$R$1272,11,FALSE)+IF(ISNA(VLOOKUP($A544,'Mutasi Neraca'!$A$3:$S$910,11,FALSE)),0,VLOOKUP($A544,'Mutasi Neraca'!$A$3:$S$910,11,FALSE))</f>
        <v>0</v>
      </c>
      <c r="M544" s="42">
        <f>VLOOKUP($A544,'Neraca Unaudited SIMAK'!$A$2:$R$1272,12,FALSE)+IF(ISNA(VLOOKUP($A544,'Mutasi Neraca'!$A$3:$S$910,12,FALSE)),0,VLOOKUP($A544,'Mutasi Neraca'!$A$3:$S$910,12,FALSE))</f>
        <v>8863515457</v>
      </c>
      <c r="N544" s="42">
        <f>VLOOKUP($A544,'Neraca Unaudited SIMAK'!$A$2:$R$1272,13,FALSE)+IF(ISNA(VLOOKUP($A544,'Mutasi Neraca'!$A$3:$S$910,13,FALSE)),0,VLOOKUP($A544,'Mutasi Neraca'!$A$3:$S$910,13,FALSE))</f>
        <v>-1794422578</v>
      </c>
      <c r="O544" s="42">
        <f>VLOOKUP($A544,'Neraca Unaudited SIMAK'!$A$2:$R$1272,14,FALSE)+IF(ISNA(VLOOKUP($A544,'Mutasi Neraca'!$A$3:$S$910,14,FALSE)),0,VLOOKUP($A544,'Mutasi Neraca'!$A$3:$S$910,14,FALSE))</f>
        <v>-1800872347</v>
      </c>
      <c r="P544" s="42">
        <f>VLOOKUP($A544,'Neraca Unaudited SIMAK'!$A$2:$R$1272,15,FALSE)+IF(ISNA(VLOOKUP($A544,'Mutasi Neraca'!$A$3:$S$910,15,FALSE)),0,VLOOKUP($A544,'Mutasi Neraca'!$A$3:$S$910,15,FALSE))</f>
        <v>-213439987</v>
      </c>
      <c r="Q544" s="42">
        <f>VLOOKUP($A544,'Neraca Unaudited SIMAK'!$A$2:$R$1272,16,FALSE)+IF(ISNA(VLOOKUP($A544,'Mutasi Neraca'!$A$3:$S$910,16,FALSE)),0,VLOOKUP($A544,'Mutasi Neraca'!$A$3:$S$910,16,FALSE))</f>
        <v>0</v>
      </c>
      <c r="R544" s="42">
        <f>VLOOKUP($A544,'Neraca Unaudited SIMAK'!$A$2:$R$1272,17,FALSE)+IF(ISNA(VLOOKUP($A544,'Mutasi Neraca'!$A$3:$S$910,17,FALSE)),0,VLOOKUP($A544,'Mutasi Neraca'!$A$3:$S$910,17,FALSE))</f>
        <v>0</v>
      </c>
      <c r="S544" s="42">
        <f t="shared" si="59"/>
        <v>5054780545</v>
      </c>
    </row>
    <row r="545" spans="1:19">
      <c r="A545" s="41" t="s">
        <v>552</v>
      </c>
      <c r="B545" s="41" t="str">
        <f t="shared" si="58"/>
        <v>005011700</v>
      </c>
      <c r="D545" s="42">
        <f>VLOOKUP($A545,'Neraca Unaudited SIMAK'!$A$2:$R$1272,3,FALSE)+IF(ISNA(VLOOKUP($A545,'Mutasi Neraca'!$A$3:$S$910,3,FALSE)),0,VLOOKUP($A545,'Mutasi Neraca'!$A$3:$S$910,3,FALSE))</f>
        <v>940100</v>
      </c>
      <c r="E545" s="42">
        <f>VLOOKUP($A545,'Neraca Unaudited SIMAK'!$A$2:$R$1272,4,FALSE)+IF(ISNA(VLOOKUP($A545,'Mutasi Neraca'!$A$3:$S$910,4,FALSE)),0,VLOOKUP($A545,'Mutasi Neraca'!$A$3:$S$910,4,FALSE))</f>
        <v>183940000</v>
      </c>
      <c r="F545" s="42">
        <f>VLOOKUP($A545,'Neraca Unaudited SIMAK'!$A$2:$R$1272,5,FALSE)+IF(ISNA(VLOOKUP($A545,'Mutasi Neraca'!$A$3:$S$910,5,FALSE)),0,VLOOKUP($A545,'Mutasi Neraca'!$A$3:$S$910,5,FALSE))</f>
        <v>1808707479</v>
      </c>
      <c r="G545" s="42">
        <f>VLOOKUP($A545,'Neraca Unaudited SIMAK'!$A$2:$R$1272,6,FALSE)+IF(ISNA(VLOOKUP($A545,'Mutasi Neraca'!$A$3:$S$910,6,FALSE)),0,VLOOKUP($A545,'Mutasi Neraca'!$A$3:$S$910,6,FALSE))</f>
        <v>1622466000</v>
      </c>
      <c r="H545" s="42">
        <f>VLOOKUP($A545,'Neraca Unaudited SIMAK'!$A$2:$R$1272,7,FALSE)+IF(ISNA(VLOOKUP($A545,'Mutasi Neraca'!$A$3:$S$910,7,FALSE)),0,VLOOKUP($A545,'Mutasi Neraca'!$A$3:$S$910,7,FALSE))</f>
        <v>11500000</v>
      </c>
      <c r="I545" s="42">
        <f>VLOOKUP($A545,'Neraca Unaudited SIMAK'!$A$2:$R$1272,8,FALSE)+IF(ISNA(VLOOKUP($A545,'Mutasi Neraca'!$A$3:$S$910,8,FALSE)),0,VLOOKUP($A545,'Mutasi Neraca'!$A$3:$S$910,8,FALSE))</f>
        <v>0</v>
      </c>
      <c r="J545" s="42">
        <f>VLOOKUP($A545,'Neraca Unaudited SIMAK'!$A$2:$R$1272,9,FALSE)+IF(ISNA(VLOOKUP($A545,'Mutasi Neraca'!$A$3:$S$910,9,FALSE)),0,VLOOKUP($A545,'Mutasi Neraca'!$A$3:$S$910,9,FALSE))</f>
        <v>0</v>
      </c>
      <c r="K545" s="42">
        <f>VLOOKUP($A545,'Neraca Unaudited SIMAK'!$A$2:$R$1272,10,FALSE)+IF(ISNA(VLOOKUP($A545,'Mutasi Neraca'!$A$3:$S$910,10,FALSE)),0,VLOOKUP($A545,'Mutasi Neraca'!$A$3:$S$910,10,FALSE))</f>
        <v>0</v>
      </c>
      <c r="L545" s="42">
        <f>VLOOKUP($A545,'Neraca Unaudited SIMAK'!$A$2:$R$1272,11,FALSE)+IF(ISNA(VLOOKUP($A545,'Mutasi Neraca'!$A$3:$S$910,11,FALSE)),0,VLOOKUP($A545,'Mutasi Neraca'!$A$3:$S$910,11,FALSE))</f>
        <v>159550003</v>
      </c>
      <c r="M545" s="42">
        <f>VLOOKUP($A545,'Neraca Unaudited SIMAK'!$A$2:$R$1272,12,FALSE)+IF(ISNA(VLOOKUP($A545,'Mutasi Neraca'!$A$3:$S$910,12,FALSE)),0,VLOOKUP($A545,'Mutasi Neraca'!$A$3:$S$910,12,FALSE))</f>
        <v>3787103582</v>
      </c>
      <c r="N545" s="42">
        <f>VLOOKUP($A545,'Neraca Unaudited SIMAK'!$A$2:$R$1272,13,FALSE)+IF(ISNA(VLOOKUP($A545,'Mutasi Neraca'!$A$3:$S$910,13,FALSE)),0,VLOOKUP($A545,'Mutasi Neraca'!$A$3:$S$910,13,FALSE))</f>
        <v>-999546906</v>
      </c>
      <c r="O545" s="42">
        <f>VLOOKUP($A545,'Neraca Unaudited SIMAK'!$A$2:$R$1272,14,FALSE)+IF(ISNA(VLOOKUP($A545,'Mutasi Neraca'!$A$3:$S$910,14,FALSE)),0,VLOOKUP($A545,'Mutasi Neraca'!$A$3:$S$910,14,FALSE))</f>
        <v>-564909900</v>
      </c>
      <c r="P545" s="42">
        <f>VLOOKUP($A545,'Neraca Unaudited SIMAK'!$A$2:$R$1272,15,FALSE)+IF(ISNA(VLOOKUP($A545,'Mutasi Neraca'!$A$3:$S$910,15,FALSE)),0,VLOOKUP($A545,'Mutasi Neraca'!$A$3:$S$910,15,FALSE))</f>
        <v>-1150000</v>
      </c>
      <c r="Q545" s="42">
        <f>VLOOKUP($A545,'Neraca Unaudited SIMAK'!$A$2:$R$1272,16,FALSE)+IF(ISNA(VLOOKUP($A545,'Mutasi Neraca'!$A$3:$S$910,16,FALSE)),0,VLOOKUP($A545,'Mutasi Neraca'!$A$3:$S$910,16,FALSE))</f>
        <v>0</v>
      </c>
      <c r="R545" s="42">
        <f>VLOOKUP($A545,'Neraca Unaudited SIMAK'!$A$2:$R$1272,17,FALSE)+IF(ISNA(VLOOKUP($A545,'Mutasi Neraca'!$A$3:$S$910,17,FALSE)),0,VLOOKUP($A545,'Mutasi Neraca'!$A$3:$S$910,17,FALSE))</f>
        <v>-159550003</v>
      </c>
      <c r="S545" s="42">
        <f t="shared" si="59"/>
        <v>2061946773</v>
      </c>
    </row>
    <row r="546" spans="1:19">
      <c r="A546" s="41" t="s">
        <v>553</v>
      </c>
      <c r="B546" s="41" t="str">
        <f t="shared" si="58"/>
        <v>005011700</v>
      </c>
      <c r="D546" s="42">
        <f>VLOOKUP($A546,'Neraca Unaudited SIMAK'!$A$2:$R$1272,3,FALSE)+IF(ISNA(VLOOKUP($A546,'Mutasi Neraca'!$A$3:$S$910,3,FALSE)),0,VLOOKUP($A546,'Mutasi Neraca'!$A$3:$S$910,3,FALSE))</f>
        <v>14000</v>
      </c>
      <c r="E546" s="42">
        <f>VLOOKUP($A546,'Neraca Unaudited SIMAK'!$A$2:$R$1272,4,FALSE)+IF(ISNA(VLOOKUP($A546,'Mutasi Neraca'!$A$3:$S$910,4,FALSE)),0,VLOOKUP($A546,'Mutasi Neraca'!$A$3:$S$910,4,FALSE))</f>
        <v>305000000</v>
      </c>
      <c r="F546" s="42">
        <f>VLOOKUP($A546,'Neraca Unaudited SIMAK'!$A$2:$R$1272,5,FALSE)+IF(ISNA(VLOOKUP($A546,'Mutasi Neraca'!$A$3:$S$910,5,FALSE)),0,VLOOKUP($A546,'Mutasi Neraca'!$A$3:$S$910,5,FALSE))</f>
        <v>1265287062</v>
      </c>
      <c r="G546" s="42">
        <f>VLOOKUP($A546,'Neraca Unaudited SIMAK'!$A$2:$R$1272,6,FALSE)+IF(ISNA(VLOOKUP($A546,'Mutasi Neraca'!$A$3:$S$910,6,FALSE)),0,VLOOKUP($A546,'Mutasi Neraca'!$A$3:$S$910,6,FALSE))</f>
        <v>4571732600</v>
      </c>
      <c r="H546" s="42">
        <f>VLOOKUP($A546,'Neraca Unaudited SIMAK'!$A$2:$R$1272,7,FALSE)+IF(ISNA(VLOOKUP($A546,'Mutasi Neraca'!$A$3:$S$910,7,FALSE)),0,VLOOKUP($A546,'Mutasi Neraca'!$A$3:$S$910,7,FALSE))</f>
        <v>20000000</v>
      </c>
      <c r="I546" s="42">
        <f>VLOOKUP($A546,'Neraca Unaudited SIMAK'!$A$2:$R$1272,8,FALSE)+IF(ISNA(VLOOKUP($A546,'Mutasi Neraca'!$A$3:$S$910,8,FALSE)),0,VLOOKUP($A546,'Mutasi Neraca'!$A$3:$S$910,8,FALSE))</f>
        <v>46103900</v>
      </c>
      <c r="J546" s="42">
        <f>VLOOKUP($A546,'Neraca Unaudited SIMAK'!$A$2:$R$1272,9,FALSE)+IF(ISNA(VLOOKUP($A546,'Mutasi Neraca'!$A$3:$S$910,9,FALSE)),0,VLOOKUP($A546,'Mutasi Neraca'!$A$3:$S$910,9,FALSE))</f>
        <v>0</v>
      </c>
      <c r="K546" s="42">
        <f>VLOOKUP($A546,'Neraca Unaudited SIMAK'!$A$2:$R$1272,10,FALSE)+IF(ISNA(VLOOKUP($A546,'Mutasi Neraca'!$A$3:$S$910,10,FALSE)),0,VLOOKUP($A546,'Mutasi Neraca'!$A$3:$S$910,10,FALSE))</f>
        <v>0</v>
      </c>
      <c r="L546" s="42">
        <f>VLOOKUP($A546,'Neraca Unaudited SIMAK'!$A$2:$R$1272,11,FALSE)+IF(ISNA(VLOOKUP($A546,'Mutasi Neraca'!$A$3:$S$910,11,FALSE)),0,VLOOKUP($A546,'Mutasi Neraca'!$A$3:$S$910,11,FALSE))</f>
        <v>72668000</v>
      </c>
      <c r="M546" s="42">
        <f>VLOOKUP($A546,'Neraca Unaudited SIMAK'!$A$2:$R$1272,12,FALSE)+IF(ISNA(VLOOKUP($A546,'Mutasi Neraca'!$A$3:$S$910,12,FALSE)),0,VLOOKUP($A546,'Mutasi Neraca'!$A$3:$S$910,12,FALSE))</f>
        <v>6280805562</v>
      </c>
      <c r="N546" s="42">
        <f>VLOOKUP($A546,'Neraca Unaudited SIMAK'!$A$2:$R$1272,13,FALSE)+IF(ISNA(VLOOKUP($A546,'Mutasi Neraca'!$A$3:$S$910,13,FALSE)),0,VLOOKUP($A546,'Mutasi Neraca'!$A$3:$S$910,13,FALSE))</f>
        <v>-1035683070</v>
      </c>
      <c r="O546" s="42">
        <f>VLOOKUP($A546,'Neraca Unaudited SIMAK'!$A$2:$R$1272,14,FALSE)+IF(ISNA(VLOOKUP($A546,'Mutasi Neraca'!$A$3:$S$910,14,FALSE)),0,VLOOKUP($A546,'Mutasi Neraca'!$A$3:$S$910,14,FALSE))</f>
        <v>-980211194</v>
      </c>
      <c r="P546" s="42">
        <f>VLOOKUP($A546,'Neraca Unaudited SIMAK'!$A$2:$R$1272,15,FALSE)+IF(ISNA(VLOOKUP($A546,'Mutasi Neraca'!$A$3:$S$910,15,FALSE)),0,VLOOKUP($A546,'Mutasi Neraca'!$A$3:$S$910,15,FALSE))</f>
        <v>-500000</v>
      </c>
      <c r="Q546" s="42">
        <f>VLOOKUP($A546,'Neraca Unaudited SIMAK'!$A$2:$R$1272,16,FALSE)+IF(ISNA(VLOOKUP($A546,'Mutasi Neraca'!$A$3:$S$910,16,FALSE)),0,VLOOKUP($A546,'Mutasi Neraca'!$A$3:$S$910,16,FALSE))</f>
        <v>0</v>
      </c>
      <c r="R546" s="42">
        <f>VLOOKUP($A546,'Neraca Unaudited SIMAK'!$A$2:$R$1272,17,FALSE)+IF(ISNA(VLOOKUP($A546,'Mutasi Neraca'!$A$3:$S$910,17,FALSE)),0,VLOOKUP($A546,'Mutasi Neraca'!$A$3:$S$910,17,FALSE))</f>
        <v>-72405500</v>
      </c>
      <c r="S546" s="42">
        <f t="shared" si="59"/>
        <v>4192005798</v>
      </c>
    </row>
    <row r="547" spans="1:19">
      <c r="A547" s="41" t="s">
        <v>554</v>
      </c>
      <c r="B547" s="41" t="str">
        <f t="shared" si="58"/>
        <v>005011700</v>
      </c>
      <c r="D547" s="42">
        <f>VLOOKUP($A547,'Neraca Unaudited SIMAK'!$A$2:$R$1272,3,FALSE)+IF(ISNA(VLOOKUP($A547,'Mutasi Neraca'!$A$3:$S$910,3,FALSE)),0,VLOOKUP($A547,'Mutasi Neraca'!$A$3:$S$910,3,FALSE))</f>
        <v>230900</v>
      </c>
      <c r="E547" s="42">
        <f>VLOOKUP($A547,'Neraca Unaudited SIMAK'!$A$2:$R$1272,4,FALSE)+IF(ISNA(VLOOKUP($A547,'Mutasi Neraca'!$A$3:$S$910,4,FALSE)),0,VLOOKUP($A547,'Mutasi Neraca'!$A$3:$S$910,4,FALSE))</f>
        <v>412400000</v>
      </c>
      <c r="F547" s="42">
        <f>VLOOKUP($A547,'Neraca Unaudited SIMAK'!$A$2:$R$1272,5,FALSE)+IF(ISNA(VLOOKUP($A547,'Mutasi Neraca'!$A$3:$S$910,5,FALSE)),0,VLOOKUP($A547,'Mutasi Neraca'!$A$3:$S$910,5,FALSE))</f>
        <v>937992430</v>
      </c>
      <c r="G547" s="42">
        <f>VLOOKUP($A547,'Neraca Unaudited SIMAK'!$A$2:$R$1272,6,FALSE)+IF(ISNA(VLOOKUP($A547,'Mutasi Neraca'!$A$3:$S$910,6,FALSE)),0,VLOOKUP($A547,'Mutasi Neraca'!$A$3:$S$910,6,FALSE))</f>
        <v>2204030000</v>
      </c>
      <c r="H547" s="42">
        <f>VLOOKUP($A547,'Neraca Unaudited SIMAK'!$A$2:$R$1272,7,FALSE)+IF(ISNA(VLOOKUP($A547,'Mutasi Neraca'!$A$3:$S$910,7,FALSE)),0,VLOOKUP($A547,'Mutasi Neraca'!$A$3:$S$910,7,FALSE))</f>
        <v>0</v>
      </c>
      <c r="I547" s="42">
        <f>VLOOKUP($A547,'Neraca Unaudited SIMAK'!$A$2:$R$1272,8,FALSE)+IF(ISNA(VLOOKUP($A547,'Mutasi Neraca'!$A$3:$S$910,8,FALSE)),0,VLOOKUP($A547,'Mutasi Neraca'!$A$3:$S$910,8,FALSE))</f>
        <v>0</v>
      </c>
      <c r="J547" s="42">
        <f>VLOOKUP($A547,'Neraca Unaudited SIMAK'!$A$2:$R$1272,9,FALSE)+IF(ISNA(VLOOKUP($A547,'Mutasi Neraca'!$A$3:$S$910,9,FALSE)),0,VLOOKUP($A547,'Mutasi Neraca'!$A$3:$S$910,9,FALSE))</f>
        <v>0</v>
      </c>
      <c r="K547" s="42">
        <f>VLOOKUP($A547,'Neraca Unaudited SIMAK'!$A$2:$R$1272,10,FALSE)+IF(ISNA(VLOOKUP($A547,'Mutasi Neraca'!$A$3:$S$910,10,FALSE)),0,VLOOKUP($A547,'Mutasi Neraca'!$A$3:$S$910,10,FALSE))</f>
        <v>0</v>
      </c>
      <c r="L547" s="42">
        <f>VLOOKUP($A547,'Neraca Unaudited SIMAK'!$A$2:$R$1272,11,FALSE)+IF(ISNA(VLOOKUP($A547,'Mutasi Neraca'!$A$3:$S$910,11,FALSE)),0,VLOOKUP($A547,'Mutasi Neraca'!$A$3:$S$910,11,FALSE))</f>
        <v>0</v>
      </c>
      <c r="M547" s="42">
        <f>VLOOKUP($A547,'Neraca Unaudited SIMAK'!$A$2:$R$1272,12,FALSE)+IF(ISNA(VLOOKUP($A547,'Mutasi Neraca'!$A$3:$S$910,12,FALSE)),0,VLOOKUP($A547,'Mutasi Neraca'!$A$3:$S$910,12,FALSE))</f>
        <v>3554653330</v>
      </c>
      <c r="N547" s="42">
        <f>VLOOKUP($A547,'Neraca Unaudited SIMAK'!$A$2:$R$1272,13,FALSE)+IF(ISNA(VLOOKUP($A547,'Mutasi Neraca'!$A$3:$S$910,13,FALSE)),0,VLOOKUP($A547,'Mutasi Neraca'!$A$3:$S$910,13,FALSE))</f>
        <v>-850131172</v>
      </c>
      <c r="O547" s="42">
        <f>VLOOKUP($A547,'Neraca Unaudited SIMAK'!$A$2:$R$1272,14,FALSE)+IF(ISNA(VLOOKUP($A547,'Mutasi Neraca'!$A$3:$S$910,14,FALSE)),0,VLOOKUP($A547,'Mutasi Neraca'!$A$3:$S$910,14,FALSE))</f>
        <v>-533181300</v>
      </c>
      <c r="P547" s="42">
        <f>VLOOKUP($A547,'Neraca Unaudited SIMAK'!$A$2:$R$1272,15,FALSE)+IF(ISNA(VLOOKUP($A547,'Mutasi Neraca'!$A$3:$S$910,15,FALSE)),0,VLOOKUP($A547,'Mutasi Neraca'!$A$3:$S$910,15,FALSE))</f>
        <v>0</v>
      </c>
      <c r="Q547" s="42">
        <f>VLOOKUP($A547,'Neraca Unaudited SIMAK'!$A$2:$R$1272,16,FALSE)+IF(ISNA(VLOOKUP($A547,'Mutasi Neraca'!$A$3:$S$910,16,FALSE)),0,VLOOKUP($A547,'Mutasi Neraca'!$A$3:$S$910,16,FALSE))</f>
        <v>0</v>
      </c>
      <c r="R547" s="42">
        <f>VLOOKUP($A547,'Neraca Unaudited SIMAK'!$A$2:$R$1272,17,FALSE)+IF(ISNA(VLOOKUP($A547,'Mutasi Neraca'!$A$3:$S$910,17,FALSE)),0,VLOOKUP($A547,'Mutasi Neraca'!$A$3:$S$910,17,FALSE))</f>
        <v>0</v>
      </c>
      <c r="S547" s="42">
        <f t="shared" si="59"/>
        <v>2171340858</v>
      </c>
    </row>
    <row r="548" spans="1:19">
      <c r="A548" s="41" t="s">
        <v>555</v>
      </c>
      <c r="B548" s="41" t="str">
        <f t="shared" si="58"/>
        <v>005011700</v>
      </c>
      <c r="D548" s="42">
        <f>VLOOKUP($A548,'Neraca Unaudited SIMAK'!$A$2:$R$1272,3,FALSE)+IF(ISNA(VLOOKUP($A548,'Mutasi Neraca'!$A$3:$S$910,3,FALSE)),0,VLOOKUP($A548,'Mutasi Neraca'!$A$3:$S$910,3,FALSE))</f>
        <v>294000</v>
      </c>
      <c r="E548" s="42">
        <f>VLOOKUP($A548,'Neraca Unaudited SIMAK'!$A$2:$R$1272,4,FALSE)+IF(ISNA(VLOOKUP($A548,'Mutasi Neraca'!$A$3:$S$910,4,FALSE)),0,VLOOKUP($A548,'Mutasi Neraca'!$A$3:$S$910,4,FALSE))</f>
        <v>2981470000</v>
      </c>
      <c r="F548" s="42">
        <f>VLOOKUP($A548,'Neraca Unaudited SIMAK'!$A$2:$R$1272,5,FALSE)+IF(ISNA(VLOOKUP($A548,'Mutasi Neraca'!$A$3:$S$910,5,FALSE)),0,VLOOKUP($A548,'Mutasi Neraca'!$A$3:$S$910,5,FALSE))</f>
        <v>3499474315</v>
      </c>
      <c r="G548" s="42">
        <f>VLOOKUP($A548,'Neraca Unaudited SIMAK'!$A$2:$R$1272,6,FALSE)+IF(ISNA(VLOOKUP($A548,'Mutasi Neraca'!$A$3:$S$910,6,FALSE)),0,VLOOKUP($A548,'Mutasi Neraca'!$A$3:$S$910,6,FALSE))</f>
        <v>6147128296</v>
      </c>
      <c r="H548" s="42">
        <f>VLOOKUP($A548,'Neraca Unaudited SIMAK'!$A$2:$R$1272,7,FALSE)+IF(ISNA(VLOOKUP($A548,'Mutasi Neraca'!$A$3:$S$910,7,FALSE)),0,VLOOKUP($A548,'Mutasi Neraca'!$A$3:$S$910,7,FALSE))</f>
        <v>83943601</v>
      </c>
      <c r="I548" s="42">
        <f>VLOOKUP($A548,'Neraca Unaudited SIMAK'!$A$2:$R$1272,8,FALSE)+IF(ISNA(VLOOKUP($A548,'Mutasi Neraca'!$A$3:$S$910,8,FALSE)),0,VLOOKUP($A548,'Mutasi Neraca'!$A$3:$S$910,8,FALSE))</f>
        <v>213016770</v>
      </c>
      <c r="J548" s="42">
        <f>VLOOKUP($A548,'Neraca Unaudited SIMAK'!$A$2:$R$1272,9,FALSE)+IF(ISNA(VLOOKUP($A548,'Mutasi Neraca'!$A$3:$S$910,9,FALSE)),0,VLOOKUP($A548,'Mutasi Neraca'!$A$3:$S$910,9,FALSE))</f>
        <v>0</v>
      </c>
      <c r="K548" s="42">
        <f>VLOOKUP($A548,'Neraca Unaudited SIMAK'!$A$2:$R$1272,10,FALSE)+IF(ISNA(VLOOKUP($A548,'Mutasi Neraca'!$A$3:$S$910,10,FALSE)),0,VLOOKUP($A548,'Mutasi Neraca'!$A$3:$S$910,10,FALSE))</f>
        <v>0</v>
      </c>
      <c r="L548" s="42">
        <f>VLOOKUP($A548,'Neraca Unaudited SIMAK'!$A$2:$R$1272,11,FALSE)+IF(ISNA(VLOOKUP($A548,'Mutasi Neraca'!$A$3:$S$910,11,FALSE)),0,VLOOKUP($A548,'Mutasi Neraca'!$A$3:$S$910,11,FALSE))</f>
        <v>0</v>
      </c>
      <c r="M548" s="42">
        <f>VLOOKUP($A548,'Neraca Unaudited SIMAK'!$A$2:$R$1272,12,FALSE)+IF(ISNA(VLOOKUP($A548,'Mutasi Neraca'!$A$3:$S$910,12,FALSE)),0,VLOOKUP($A548,'Mutasi Neraca'!$A$3:$S$910,12,FALSE))</f>
        <v>12925326982</v>
      </c>
      <c r="N548" s="42">
        <f>VLOOKUP($A548,'Neraca Unaudited SIMAK'!$A$2:$R$1272,13,FALSE)+IF(ISNA(VLOOKUP($A548,'Mutasi Neraca'!$A$3:$S$910,13,FALSE)),0,VLOOKUP($A548,'Mutasi Neraca'!$A$3:$S$910,13,FALSE))</f>
        <v>-3094970863</v>
      </c>
      <c r="O548" s="42">
        <f>VLOOKUP($A548,'Neraca Unaudited SIMAK'!$A$2:$R$1272,14,FALSE)+IF(ISNA(VLOOKUP($A548,'Mutasi Neraca'!$A$3:$S$910,14,FALSE)),0,VLOOKUP($A548,'Mutasi Neraca'!$A$3:$S$910,14,FALSE))</f>
        <v>-2523912556</v>
      </c>
      <c r="P548" s="42">
        <f>VLOOKUP($A548,'Neraca Unaudited SIMAK'!$A$2:$R$1272,15,FALSE)+IF(ISNA(VLOOKUP($A548,'Mutasi Neraca'!$A$3:$S$910,15,FALSE)),0,VLOOKUP($A548,'Mutasi Neraca'!$A$3:$S$910,15,FALSE))</f>
        <v>-45759520</v>
      </c>
      <c r="Q548" s="42">
        <f>VLOOKUP($A548,'Neraca Unaudited SIMAK'!$A$2:$R$1272,16,FALSE)+IF(ISNA(VLOOKUP($A548,'Mutasi Neraca'!$A$3:$S$910,16,FALSE)),0,VLOOKUP($A548,'Mutasi Neraca'!$A$3:$S$910,16,FALSE))</f>
        <v>-37417000</v>
      </c>
      <c r="R548" s="42">
        <f>VLOOKUP($A548,'Neraca Unaudited SIMAK'!$A$2:$R$1272,17,FALSE)+IF(ISNA(VLOOKUP($A548,'Mutasi Neraca'!$A$3:$S$910,17,FALSE)),0,VLOOKUP($A548,'Mutasi Neraca'!$A$3:$S$910,17,FALSE))</f>
        <v>0</v>
      </c>
      <c r="S548" s="42">
        <f t="shared" si="59"/>
        <v>7223267043</v>
      </c>
    </row>
    <row r="549" spans="1:19">
      <c r="A549" s="41" t="s">
        <v>556</v>
      </c>
      <c r="B549" s="41" t="str">
        <f t="shared" si="58"/>
        <v>005011700</v>
      </c>
      <c r="D549" s="42">
        <f>VLOOKUP($A549,'Neraca Unaudited SIMAK'!$A$2:$R$1272,3,FALSE)+IF(ISNA(VLOOKUP($A549,'Mutasi Neraca'!$A$3:$S$910,3,FALSE)),0,VLOOKUP($A549,'Mutasi Neraca'!$A$3:$S$910,3,FALSE))</f>
        <v>0</v>
      </c>
      <c r="E549" s="42">
        <f>VLOOKUP($A549,'Neraca Unaudited SIMAK'!$A$2:$R$1272,4,FALSE)+IF(ISNA(VLOOKUP($A549,'Mutasi Neraca'!$A$3:$S$910,4,FALSE)),0,VLOOKUP($A549,'Mutasi Neraca'!$A$3:$S$910,4,FALSE))</f>
        <v>364820000</v>
      </c>
      <c r="F549" s="42">
        <f>VLOOKUP($A549,'Neraca Unaudited SIMAK'!$A$2:$R$1272,5,FALSE)+IF(ISNA(VLOOKUP($A549,'Mutasi Neraca'!$A$3:$S$910,5,FALSE)),0,VLOOKUP($A549,'Mutasi Neraca'!$A$3:$S$910,5,FALSE))</f>
        <v>1092896992</v>
      </c>
      <c r="G549" s="42">
        <f>VLOOKUP($A549,'Neraca Unaudited SIMAK'!$A$2:$R$1272,6,FALSE)+IF(ISNA(VLOOKUP($A549,'Mutasi Neraca'!$A$3:$S$910,6,FALSE)),0,VLOOKUP($A549,'Mutasi Neraca'!$A$3:$S$910,6,FALSE))</f>
        <v>2600580054</v>
      </c>
      <c r="H549" s="42">
        <f>VLOOKUP($A549,'Neraca Unaudited SIMAK'!$A$2:$R$1272,7,FALSE)+IF(ISNA(VLOOKUP($A549,'Mutasi Neraca'!$A$3:$S$910,7,FALSE)),0,VLOOKUP($A549,'Mutasi Neraca'!$A$3:$S$910,7,FALSE))</f>
        <v>0</v>
      </c>
      <c r="I549" s="42">
        <f>VLOOKUP($A549,'Neraca Unaudited SIMAK'!$A$2:$R$1272,8,FALSE)+IF(ISNA(VLOOKUP($A549,'Mutasi Neraca'!$A$3:$S$910,8,FALSE)),0,VLOOKUP($A549,'Mutasi Neraca'!$A$3:$S$910,8,FALSE))</f>
        <v>85619500</v>
      </c>
      <c r="J549" s="42">
        <f>VLOOKUP($A549,'Neraca Unaudited SIMAK'!$A$2:$R$1272,9,FALSE)+IF(ISNA(VLOOKUP($A549,'Mutasi Neraca'!$A$3:$S$910,9,FALSE)),0,VLOOKUP($A549,'Mutasi Neraca'!$A$3:$S$910,9,FALSE))</f>
        <v>0</v>
      </c>
      <c r="K549" s="42">
        <f>VLOOKUP($A549,'Neraca Unaudited SIMAK'!$A$2:$R$1272,10,FALSE)+IF(ISNA(VLOOKUP($A549,'Mutasi Neraca'!$A$3:$S$910,10,FALSE)),0,VLOOKUP($A549,'Mutasi Neraca'!$A$3:$S$910,10,FALSE))</f>
        <v>0</v>
      </c>
      <c r="L549" s="42">
        <f>VLOOKUP($A549,'Neraca Unaudited SIMAK'!$A$2:$R$1272,11,FALSE)+IF(ISNA(VLOOKUP($A549,'Mutasi Neraca'!$A$3:$S$910,11,FALSE)),0,VLOOKUP($A549,'Mutasi Neraca'!$A$3:$S$910,11,FALSE))</f>
        <v>0</v>
      </c>
      <c r="M549" s="42">
        <f>VLOOKUP($A549,'Neraca Unaudited SIMAK'!$A$2:$R$1272,12,FALSE)+IF(ISNA(VLOOKUP($A549,'Mutasi Neraca'!$A$3:$S$910,12,FALSE)),0,VLOOKUP($A549,'Mutasi Neraca'!$A$3:$S$910,12,FALSE))</f>
        <v>4143916546</v>
      </c>
      <c r="N549" s="42">
        <f>VLOOKUP($A549,'Neraca Unaudited SIMAK'!$A$2:$R$1272,13,FALSE)+IF(ISNA(VLOOKUP($A549,'Mutasi Neraca'!$A$3:$S$910,13,FALSE)),0,VLOOKUP($A549,'Mutasi Neraca'!$A$3:$S$910,13,FALSE))</f>
        <v>-1030519238</v>
      </c>
      <c r="O549" s="42">
        <f>VLOOKUP($A549,'Neraca Unaudited SIMAK'!$A$2:$R$1272,14,FALSE)+IF(ISNA(VLOOKUP($A549,'Mutasi Neraca'!$A$3:$S$910,14,FALSE)),0,VLOOKUP($A549,'Mutasi Neraca'!$A$3:$S$910,14,FALSE))</f>
        <v>-409530003</v>
      </c>
      <c r="P549" s="42">
        <f>VLOOKUP($A549,'Neraca Unaudited SIMAK'!$A$2:$R$1272,15,FALSE)+IF(ISNA(VLOOKUP($A549,'Mutasi Neraca'!$A$3:$S$910,15,FALSE)),0,VLOOKUP($A549,'Mutasi Neraca'!$A$3:$S$910,15,FALSE))</f>
        <v>0</v>
      </c>
      <c r="Q549" s="42">
        <f>VLOOKUP($A549,'Neraca Unaudited SIMAK'!$A$2:$R$1272,16,FALSE)+IF(ISNA(VLOOKUP($A549,'Mutasi Neraca'!$A$3:$S$910,16,FALSE)),0,VLOOKUP($A549,'Mutasi Neraca'!$A$3:$S$910,16,FALSE))</f>
        <v>0</v>
      </c>
      <c r="R549" s="42">
        <f>VLOOKUP($A549,'Neraca Unaudited SIMAK'!$A$2:$R$1272,17,FALSE)+IF(ISNA(VLOOKUP($A549,'Mutasi Neraca'!$A$3:$S$910,17,FALSE)),0,VLOOKUP($A549,'Mutasi Neraca'!$A$3:$S$910,17,FALSE))</f>
        <v>0</v>
      </c>
      <c r="S549" s="42">
        <f t="shared" si="59"/>
        <v>2703867305</v>
      </c>
    </row>
    <row r="550" spans="1:19">
      <c r="A550" s="41" t="s">
        <v>557</v>
      </c>
      <c r="B550" s="41" t="str">
        <f t="shared" si="58"/>
        <v>005011700</v>
      </c>
      <c r="D550" s="42">
        <f>VLOOKUP($A550,'Neraca Unaudited SIMAK'!$A$2:$R$1272,3,FALSE)+IF(ISNA(VLOOKUP($A550,'Mutasi Neraca'!$A$3:$S$910,3,FALSE)),0,VLOOKUP($A550,'Mutasi Neraca'!$A$3:$S$910,3,FALSE))</f>
        <v>2222200</v>
      </c>
      <c r="E550" s="42">
        <f>VLOOKUP($A550,'Neraca Unaudited SIMAK'!$A$2:$R$1272,4,FALSE)+IF(ISNA(VLOOKUP($A550,'Mutasi Neraca'!$A$3:$S$910,4,FALSE)),0,VLOOKUP($A550,'Mutasi Neraca'!$A$3:$S$910,4,FALSE))</f>
        <v>1513380550</v>
      </c>
      <c r="F550" s="42">
        <f>VLOOKUP($A550,'Neraca Unaudited SIMAK'!$A$2:$R$1272,5,FALSE)+IF(ISNA(VLOOKUP($A550,'Mutasi Neraca'!$A$3:$S$910,5,FALSE)),0,VLOOKUP($A550,'Mutasi Neraca'!$A$3:$S$910,5,FALSE))</f>
        <v>1938045231</v>
      </c>
      <c r="G550" s="42">
        <f>VLOOKUP($A550,'Neraca Unaudited SIMAK'!$A$2:$R$1272,6,FALSE)+IF(ISNA(VLOOKUP($A550,'Mutasi Neraca'!$A$3:$S$910,6,FALSE)),0,VLOOKUP($A550,'Mutasi Neraca'!$A$3:$S$910,6,FALSE))</f>
        <v>4092183500</v>
      </c>
      <c r="H550" s="42">
        <f>VLOOKUP($A550,'Neraca Unaudited SIMAK'!$A$2:$R$1272,7,FALSE)+IF(ISNA(VLOOKUP($A550,'Mutasi Neraca'!$A$3:$S$910,7,FALSE)),0,VLOOKUP($A550,'Mutasi Neraca'!$A$3:$S$910,7,FALSE))</f>
        <v>4983000</v>
      </c>
      <c r="I550" s="42">
        <f>VLOOKUP($A550,'Neraca Unaudited SIMAK'!$A$2:$R$1272,8,FALSE)+IF(ISNA(VLOOKUP($A550,'Mutasi Neraca'!$A$3:$S$910,8,FALSE)),0,VLOOKUP($A550,'Mutasi Neraca'!$A$3:$S$910,8,FALSE))</f>
        <v>57193096</v>
      </c>
      <c r="J550" s="42">
        <f>VLOOKUP($A550,'Neraca Unaudited SIMAK'!$A$2:$R$1272,9,FALSE)+IF(ISNA(VLOOKUP($A550,'Mutasi Neraca'!$A$3:$S$910,9,FALSE)),0,VLOOKUP($A550,'Mutasi Neraca'!$A$3:$S$910,9,FALSE))</f>
        <v>0</v>
      </c>
      <c r="K550" s="42">
        <f>VLOOKUP($A550,'Neraca Unaudited SIMAK'!$A$2:$R$1272,10,FALSE)+IF(ISNA(VLOOKUP($A550,'Mutasi Neraca'!$A$3:$S$910,10,FALSE)),0,VLOOKUP($A550,'Mutasi Neraca'!$A$3:$S$910,10,FALSE))</f>
        <v>124300000</v>
      </c>
      <c r="L550" s="42">
        <f>VLOOKUP($A550,'Neraca Unaudited SIMAK'!$A$2:$R$1272,11,FALSE)+IF(ISNA(VLOOKUP($A550,'Mutasi Neraca'!$A$3:$S$910,11,FALSE)),0,VLOOKUP($A550,'Mutasi Neraca'!$A$3:$S$910,11,FALSE))</f>
        <v>58450000</v>
      </c>
      <c r="M550" s="42">
        <f>VLOOKUP($A550,'Neraca Unaudited SIMAK'!$A$2:$R$1272,12,FALSE)+IF(ISNA(VLOOKUP($A550,'Mutasi Neraca'!$A$3:$S$910,12,FALSE)),0,VLOOKUP($A550,'Mutasi Neraca'!$A$3:$S$910,12,FALSE))</f>
        <v>7790757577</v>
      </c>
      <c r="N550" s="42">
        <f>VLOOKUP($A550,'Neraca Unaudited SIMAK'!$A$2:$R$1272,13,FALSE)+IF(ISNA(VLOOKUP($A550,'Mutasi Neraca'!$A$3:$S$910,13,FALSE)),0,VLOOKUP($A550,'Mutasi Neraca'!$A$3:$S$910,13,FALSE))</f>
        <v>-1497906388</v>
      </c>
      <c r="O550" s="42">
        <f>VLOOKUP($A550,'Neraca Unaudited SIMAK'!$A$2:$R$1272,14,FALSE)+IF(ISNA(VLOOKUP($A550,'Mutasi Neraca'!$A$3:$S$910,14,FALSE)),0,VLOOKUP($A550,'Mutasi Neraca'!$A$3:$S$910,14,FALSE))</f>
        <v>-1337125869</v>
      </c>
      <c r="P550" s="42">
        <f>VLOOKUP($A550,'Neraca Unaudited SIMAK'!$A$2:$R$1272,15,FALSE)+IF(ISNA(VLOOKUP($A550,'Mutasi Neraca'!$A$3:$S$910,15,FALSE)),0,VLOOKUP($A550,'Mutasi Neraca'!$A$3:$S$910,15,FALSE))</f>
        <v>-996600</v>
      </c>
      <c r="Q550" s="42">
        <f>VLOOKUP($A550,'Neraca Unaudited SIMAK'!$A$2:$R$1272,16,FALSE)+IF(ISNA(VLOOKUP($A550,'Mutasi Neraca'!$A$3:$S$910,16,FALSE)),0,VLOOKUP($A550,'Mutasi Neraca'!$A$3:$S$910,16,FALSE))</f>
        <v>0</v>
      </c>
      <c r="R550" s="42">
        <f>VLOOKUP($A550,'Neraca Unaudited SIMAK'!$A$2:$R$1272,17,FALSE)+IF(ISNA(VLOOKUP($A550,'Mutasi Neraca'!$A$3:$S$910,17,FALSE)),0,VLOOKUP($A550,'Mutasi Neraca'!$A$3:$S$910,17,FALSE))</f>
        <v>-52605000</v>
      </c>
      <c r="S550" s="42">
        <f t="shared" si="59"/>
        <v>4902123720</v>
      </c>
    </row>
    <row r="551" spans="1:19">
      <c r="A551" s="41" t="s">
        <v>558</v>
      </c>
      <c r="B551" s="41" t="str">
        <f t="shared" si="58"/>
        <v>005011700</v>
      </c>
      <c r="D551" s="42">
        <f>VLOOKUP($A551,'Neraca Unaudited SIMAK'!$A$2:$R$1272,3,FALSE)+IF(ISNA(VLOOKUP($A551,'Mutasi Neraca'!$A$3:$S$910,3,FALSE)),0,VLOOKUP($A551,'Mutasi Neraca'!$A$3:$S$910,3,FALSE))</f>
        <v>3451500</v>
      </c>
      <c r="E551" s="42">
        <f>VLOOKUP($A551,'Neraca Unaudited SIMAK'!$A$2:$R$1272,4,FALSE)+IF(ISNA(VLOOKUP($A551,'Mutasi Neraca'!$A$3:$S$910,4,FALSE)),0,VLOOKUP($A551,'Mutasi Neraca'!$A$3:$S$910,4,FALSE))</f>
        <v>4121042750</v>
      </c>
      <c r="F551" s="42">
        <f>VLOOKUP($A551,'Neraca Unaudited SIMAK'!$A$2:$R$1272,5,FALSE)+IF(ISNA(VLOOKUP($A551,'Mutasi Neraca'!$A$3:$S$910,5,FALSE)),0,VLOOKUP($A551,'Mutasi Neraca'!$A$3:$S$910,5,FALSE))</f>
        <v>1403002515</v>
      </c>
      <c r="G551" s="42">
        <f>VLOOKUP($A551,'Neraca Unaudited SIMAK'!$A$2:$R$1272,6,FALSE)+IF(ISNA(VLOOKUP($A551,'Mutasi Neraca'!$A$3:$S$910,6,FALSE)),0,VLOOKUP($A551,'Mutasi Neraca'!$A$3:$S$910,6,FALSE))</f>
        <v>4617143500</v>
      </c>
      <c r="H551" s="42">
        <f>VLOOKUP($A551,'Neraca Unaudited SIMAK'!$A$2:$R$1272,7,FALSE)+IF(ISNA(VLOOKUP($A551,'Mutasi Neraca'!$A$3:$S$910,7,FALSE)),0,VLOOKUP($A551,'Mutasi Neraca'!$A$3:$S$910,7,FALSE))</f>
        <v>0</v>
      </c>
      <c r="I551" s="42">
        <f>VLOOKUP($A551,'Neraca Unaudited SIMAK'!$A$2:$R$1272,8,FALSE)+IF(ISNA(VLOOKUP($A551,'Mutasi Neraca'!$A$3:$S$910,8,FALSE)),0,VLOOKUP($A551,'Mutasi Neraca'!$A$3:$S$910,8,FALSE))</f>
        <v>6780439</v>
      </c>
      <c r="J551" s="42">
        <f>VLOOKUP($A551,'Neraca Unaudited SIMAK'!$A$2:$R$1272,9,FALSE)+IF(ISNA(VLOOKUP($A551,'Mutasi Neraca'!$A$3:$S$910,9,FALSE)),0,VLOOKUP($A551,'Mutasi Neraca'!$A$3:$S$910,9,FALSE))</f>
        <v>0</v>
      </c>
      <c r="K551" s="42">
        <f>VLOOKUP($A551,'Neraca Unaudited SIMAK'!$A$2:$R$1272,10,FALSE)+IF(ISNA(VLOOKUP($A551,'Mutasi Neraca'!$A$3:$S$910,10,FALSE)),0,VLOOKUP($A551,'Mutasi Neraca'!$A$3:$S$910,10,FALSE))</f>
        <v>0</v>
      </c>
      <c r="L551" s="42">
        <f>VLOOKUP($A551,'Neraca Unaudited SIMAK'!$A$2:$R$1272,11,FALSE)+IF(ISNA(VLOOKUP($A551,'Mutasi Neraca'!$A$3:$S$910,11,FALSE)),0,VLOOKUP($A551,'Mutasi Neraca'!$A$3:$S$910,11,FALSE))</f>
        <v>0</v>
      </c>
      <c r="M551" s="42">
        <f>VLOOKUP($A551,'Neraca Unaudited SIMAK'!$A$2:$R$1272,12,FALSE)+IF(ISNA(VLOOKUP($A551,'Mutasi Neraca'!$A$3:$S$910,12,FALSE)),0,VLOOKUP($A551,'Mutasi Neraca'!$A$3:$S$910,12,FALSE))</f>
        <v>10151420704</v>
      </c>
      <c r="N551" s="42">
        <f>VLOOKUP($A551,'Neraca Unaudited SIMAK'!$A$2:$R$1272,13,FALSE)+IF(ISNA(VLOOKUP($A551,'Mutasi Neraca'!$A$3:$S$910,13,FALSE)),0,VLOOKUP($A551,'Mutasi Neraca'!$A$3:$S$910,13,FALSE))</f>
        <v>-1282483979</v>
      </c>
      <c r="O551" s="42">
        <f>VLOOKUP($A551,'Neraca Unaudited SIMAK'!$A$2:$R$1272,14,FALSE)+IF(ISNA(VLOOKUP($A551,'Mutasi Neraca'!$A$3:$S$910,14,FALSE)),0,VLOOKUP($A551,'Mutasi Neraca'!$A$3:$S$910,14,FALSE))</f>
        <v>-1801387100</v>
      </c>
      <c r="P551" s="42">
        <f>VLOOKUP($A551,'Neraca Unaudited SIMAK'!$A$2:$R$1272,15,FALSE)+IF(ISNA(VLOOKUP($A551,'Mutasi Neraca'!$A$3:$S$910,15,FALSE)),0,VLOOKUP($A551,'Mutasi Neraca'!$A$3:$S$910,15,FALSE))</f>
        <v>0</v>
      </c>
      <c r="Q551" s="42">
        <f>VLOOKUP($A551,'Neraca Unaudited SIMAK'!$A$2:$R$1272,16,FALSE)+IF(ISNA(VLOOKUP($A551,'Mutasi Neraca'!$A$3:$S$910,16,FALSE)),0,VLOOKUP($A551,'Mutasi Neraca'!$A$3:$S$910,16,FALSE))</f>
        <v>0</v>
      </c>
      <c r="R551" s="42">
        <f>VLOOKUP($A551,'Neraca Unaudited SIMAK'!$A$2:$R$1272,17,FALSE)+IF(ISNA(VLOOKUP($A551,'Mutasi Neraca'!$A$3:$S$910,17,FALSE)),0,VLOOKUP($A551,'Mutasi Neraca'!$A$3:$S$910,17,FALSE))</f>
        <v>0</v>
      </c>
      <c r="S551" s="42">
        <f t="shared" si="59"/>
        <v>7067549625</v>
      </c>
    </row>
    <row r="552" spans="1:19">
      <c r="A552" s="41" t="s">
        <v>559</v>
      </c>
      <c r="B552" s="41" t="str">
        <f t="shared" si="58"/>
        <v>005011700</v>
      </c>
      <c r="D552" s="42">
        <f>VLOOKUP($A552,'Neraca Unaudited SIMAK'!$A$2:$R$1272,3,FALSE)+IF(ISNA(VLOOKUP($A552,'Mutasi Neraca'!$A$3:$S$910,3,FALSE)),0,VLOOKUP($A552,'Mutasi Neraca'!$A$3:$S$910,3,FALSE))</f>
        <v>609700</v>
      </c>
      <c r="E552" s="42">
        <f>VLOOKUP($A552,'Neraca Unaudited SIMAK'!$A$2:$R$1272,4,FALSE)+IF(ISNA(VLOOKUP($A552,'Mutasi Neraca'!$A$3:$S$910,4,FALSE)),0,VLOOKUP($A552,'Mutasi Neraca'!$A$3:$S$910,4,FALSE))</f>
        <v>3505120000</v>
      </c>
      <c r="F552" s="42">
        <f>VLOOKUP($A552,'Neraca Unaudited SIMAK'!$A$2:$R$1272,5,FALSE)+IF(ISNA(VLOOKUP($A552,'Mutasi Neraca'!$A$3:$S$910,5,FALSE)),0,VLOOKUP($A552,'Mutasi Neraca'!$A$3:$S$910,5,FALSE))</f>
        <v>1278929926</v>
      </c>
      <c r="G552" s="42">
        <f>VLOOKUP($A552,'Neraca Unaudited SIMAK'!$A$2:$R$1272,6,FALSE)+IF(ISNA(VLOOKUP($A552,'Mutasi Neraca'!$A$3:$S$910,6,FALSE)),0,VLOOKUP($A552,'Mutasi Neraca'!$A$3:$S$910,6,FALSE))</f>
        <v>2342750100</v>
      </c>
      <c r="H552" s="42">
        <f>VLOOKUP($A552,'Neraca Unaudited SIMAK'!$A$2:$R$1272,7,FALSE)+IF(ISNA(VLOOKUP($A552,'Mutasi Neraca'!$A$3:$S$910,7,FALSE)),0,VLOOKUP($A552,'Mutasi Neraca'!$A$3:$S$910,7,FALSE))</f>
        <v>0</v>
      </c>
      <c r="I552" s="42">
        <f>VLOOKUP($A552,'Neraca Unaudited SIMAK'!$A$2:$R$1272,8,FALSE)+IF(ISNA(VLOOKUP($A552,'Mutasi Neraca'!$A$3:$S$910,8,FALSE)),0,VLOOKUP($A552,'Mutasi Neraca'!$A$3:$S$910,8,FALSE))</f>
        <v>6132800</v>
      </c>
      <c r="J552" s="42">
        <f>VLOOKUP($A552,'Neraca Unaudited SIMAK'!$A$2:$R$1272,9,FALSE)+IF(ISNA(VLOOKUP($A552,'Mutasi Neraca'!$A$3:$S$910,9,FALSE)),0,VLOOKUP($A552,'Mutasi Neraca'!$A$3:$S$910,9,FALSE))</f>
        <v>0</v>
      </c>
      <c r="K552" s="42">
        <f>VLOOKUP($A552,'Neraca Unaudited SIMAK'!$A$2:$R$1272,10,FALSE)+IF(ISNA(VLOOKUP($A552,'Mutasi Neraca'!$A$3:$S$910,10,FALSE)),0,VLOOKUP($A552,'Mutasi Neraca'!$A$3:$S$910,10,FALSE))</f>
        <v>0</v>
      </c>
      <c r="L552" s="42">
        <f>VLOOKUP($A552,'Neraca Unaudited SIMAK'!$A$2:$R$1272,11,FALSE)+IF(ISNA(VLOOKUP($A552,'Mutasi Neraca'!$A$3:$S$910,11,FALSE)),0,VLOOKUP($A552,'Mutasi Neraca'!$A$3:$S$910,11,FALSE))</f>
        <v>7750000</v>
      </c>
      <c r="M552" s="42">
        <f>VLOOKUP($A552,'Neraca Unaudited SIMAK'!$A$2:$R$1272,12,FALSE)+IF(ISNA(VLOOKUP($A552,'Mutasi Neraca'!$A$3:$S$910,12,FALSE)),0,VLOOKUP($A552,'Mutasi Neraca'!$A$3:$S$910,12,FALSE))</f>
        <v>7141292526</v>
      </c>
      <c r="N552" s="42">
        <f>VLOOKUP($A552,'Neraca Unaudited SIMAK'!$A$2:$R$1272,13,FALSE)+IF(ISNA(VLOOKUP($A552,'Mutasi Neraca'!$A$3:$S$910,13,FALSE)),0,VLOOKUP($A552,'Mutasi Neraca'!$A$3:$S$910,13,FALSE))</f>
        <v>-1115263067</v>
      </c>
      <c r="O552" s="42">
        <f>VLOOKUP($A552,'Neraca Unaudited SIMAK'!$A$2:$R$1272,14,FALSE)+IF(ISNA(VLOOKUP($A552,'Mutasi Neraca'!$A$3:$S$910,14,FALSE)),0,VLOOKUP($A552,'Mutasi Neraca'!$A$3:$S$910,14,FALSE))</f>
        <v>-530125008</v>
      </c>
      <c r="P552" s="42">
        <f>VLOOKUP($A552,'Neraca Unaudited SIMAK'!$A$2:$R$1272,15,FALSE)+IF(ISNA(VLOOKUP($A552,'Mutasi Neraca'!$A$3:$S$910,15,FALSE)),0,VLOOKUP($A552,'Mutasi Neraca'!$A$3:$S$910,15,FALSE))</f>
        <v>0</v>
      </c>
      <c r="Q552" s="42">
        <f>VLOOKUP($A552,'Neraca Unaudited SIMAK'!$A$2:$R$1272,16,FALSE)+IF(ISNA(VLOOKUP($A552,'Mutasi Neraca'!$A$3:$S$910,16,FALSE)),0,VLOOKUP($A552,'Mutasi Neraca'!$A$3:$S$910,16,FALSE))</f>
        <v>0</v>
      </c>
      <c r="R552" s="42">
        <f>VLOOKUP($A552,'Neraca Unaudited SIMAK'!$A$2:$R$1272,17,FALSE)+IF(ISNA(VLOOKUP($A552,'Mutasi Neraca'!$A$3:$S$910,17,FALSE)),0,VLOOKUP($A552,'Mutasi Neraca'!$A$3:$S$910,17,FALSE))</f>
        <v>-7750000</v>
      </c>
      <c r="S552" s="42">
        <f t="shared" si="59"/>
        <v>5488154451</v>
      </c>
    </row>
    <row r="553" spans="1:19">
      <c r="A553" s="41" t="s">
        <v>560</v>
      </c>
      <c r="B553" s="41" t="str">
        <f t="shared" si="58"/>
        <v>005011700</v>
      </c>
      <c r="D553" s="42">
        <f>VLOOKUP($A553,'Neraca Unaudited SIMAK'!$A$2:$R$1272,3,FALSE)+IF(ISNA(VLOOKUP($A553,'Mutasi Neraca'!$A$3:$S$910,3,FALSE)),0,VLOOKUP($A553,'Mutasi Neraca'!$A$3:$S$910,3,FALSE))</f>
        <v>0</v>
      </c>
      <c r="E553" s="42">
        <f>VLOOKUP($A553,'Neraca Unaudited SIMAK'!$A$2:$R$1272,4,FALSE)+IF(ISNA(VLOOKUP($A553,'Mutasi Neraca'!$A$3:$S$910,4,FALSE)),0,VLOOKUP($A553,'Mutasi Neraca'!$A$3:$S$910,4,FALSE))</f>
        <v>949050000</v>
      </c>
      <c r="F553" s="42">
        <f>VLOOKUP($A553,'Neraca Unaudited SIMAK'!$A$2:$R$1272,5,FALSE)+IF(ISNA(VLOOKUP($A553,'Mutasi Neraca'!$A$3:$S$910,5,FALSE)),0,VLOOKUP($A553,'Mutasi Neraca'!$A$3:$S$910,5,FALSE))</f>
        <v>1581921423</v>
      </c>
      <c r="G553" s="42">
        <f>VLOOKUP($A553,'Neraca Unaudited SIMAK'!$A$2:$R$1272,6,FALSE)+IF(ISNA(VLOOKUP($A553,'Mutasi Neraca'!$A$3:$S$910,6,FALSE)),0,VLOOKUP($A553,'Mutasi Neraca'!$A$3:$S$910,6,FALSE))</f>
        <v>0</v>
      </c>
      <c r="H553" s="42">
        <f>VLOOKUP($A553,'Neraca Unaudited SIMAK'!$A$2:$R$1272,7,FALSE)+IF(ISNA(VLOOKUP($A553,'Mutasi Neraca'!$A$3:$S$910,7,FALSE)),0,VLOOKUP($A553,'Mutasi Neraca'!$A$3:$S$910,7,FALSE))</f>
        <v>11110000</v>
      </c>
      <c r="I553" s="42">
        <f>VLOOKUP($A553,'Neraca Unaudited SIMAK'!$A$2:$R$1272,8,FALSE)+IF(ISNA(VLOOKUP($A553,'Mutasi Neraca'!$A$3:$S$910,8,FALSE)),0,VLOOKUP($A553,'Mutasi Neraca'!$A$3:$S$910,8,FALSE))</f>
        <v>0</v>
      </c>
      <c r="J553" s="42">
        <f>VLOOKUP($A553,'Neraca Unaudited SIMAK'!$A$2:$R$1272,9,FALSE)+IF(ISNA(VLOOKUP($A553,'Mutasi Neraca'!$A$3:$S$910,9,FALSE)),0,VLOOKUP($A553,'Mutasi Neraca'!$A$3:$S$910,9,FALSE))</f>
        <v>0</v>
      </c>
      <c r="K553" s="42">
        <f>VLOOKUP($A553,'Neraca Unaudited SIMAK'!$A$2:$R$1272,10,FALSE)+IF(ISNA(VLOOKUP($A553,'Mutasi Neraca'!$A$3:$S$910,10,FALSE)),0,VLOOKUP($A553,'Mutasi Neraca'!$A$3:$S$910,10,FALSE))</f>
        <v>108660000</v>
      </c>
      <c r="L553" s="42">
        <f>VLOOKUP($A553,'Neraca Unaudited SIMAK'!$A$2:$R$1272,11,FALSE)+IF(ISNA(VLOOKUP($A553,'Mutasi Neraca'!$A$3:$S$910,11,FALSE)),0,VLOOKUP($A553,'Mutasi Neraca'!$A$3:$S$910,11,FALSE))</f>
        <v>76042000</v>
      </c>
      <c r="M553" s="42">
        <f>VLOOKUP($A553,'Neraca Unaudited SIMAK'!$A$2:$R$1272,12,FALSE)+IF(ISNA(VLOOKUP($A553,'Mutasi Neraca'!$A$3:$S$910,12,FALSE)),0,VLOOKUP($A553,'Mutasi Neraca'!$A$3:$S$910,12,FALSE))</f>
        <v>2726783423</v>
      </c>
      <c r="N553" s="42">
        <f>VLOOKUP($A553,'Neraca Unaudited SIMAK'!$A$2:$R$1272,13,FALSE)+IF(ISNA(VLOOKUP($A553,'Mutasi Neraca'!$A$3:$S$910,13,FALSE)),0,VLOOKUP($A553,'Mutasi Neraca'!$A$3:$S$910,13,FALSE))</f>
        <v>-1416520758</v>
      </c>
      <c r="O553" s="42">
        <f>VLOOKUP($A553,'Neraca Unaudited SIMAK'!$A$2:$R$1272,14,FALSE)+IF(ISNA(VLOOKUP($A553,'Mutasi Neraca'!$A$3:$S$910,14,FALSE)),0,VLOOKUP($A553,'Mutasi Neraca'!$A$3:$S$910,14,FALSE))</f>
        <v>0</v>
      </c>
      <c r="P553" s="42">
        <f>VLOOKUP($A553,'Neraca Unaudited SIMAK'!$A$2:$R$1272,15,FALSE)+IF(ISNA(VLOOKUP($A553,'Mutasi Neraca'!$A$3:$S$910,15,FALSE)),0,VLOOKUP($A553,'Mutasi Neraca'!$A$3:$S$910,15,FALSE))</f>
        <v>-11110000</v>
      </c>
      <c r="Q553" s="42">
        <f>VLOOKUP($A553,'Neraca Unaudited SIMAK'!$A$2:$R$1272,16,FALSE)+IF(ISNA(VLOOKUP($A553,'Mutasi Neraca'!$A$3:$S$910,16,FALSE)),0,VLOOKUP($A553,'Mutasi Neraca'!$A$3:$S$910,16,FALSE))</f>
        <v>0</v>
      </c>
      <c r="R553" s="42">
        <f>VLOOKUP($A553,'Neraca Unaudited SIMAK'!$A$2:$R$1272,17,FALSE)+IF(ISNA(VLOOKUP($A553,'Mutasi Neraca'!$A$3:$S$910,17,FALSE)),0,VLOOKUP($A553,'Mutasi Neraca'!$A$3:$S$910,17,FALSE))</f>
        <v>-76042000</v>
      </c>
      <c r="S553" s="42">
        <f t="shared" si="59"/>
        <v>1223110665</v>
      </c>
    </row>
    <row r="554" spans="1:19">
      <c r="A554" s="41" t="s">
        <v>561</v>
      </c>
      <c r="B554" s="41" t="str">
        <f t="shared" si="58"/>
        <v>005011700</v>
      </c>
      <c r="D554" s="42">
        <f>VLOOKUP($A554,'Neraca Unaudited SIMAK'!$A$2:$R$1272,3,FALSE)+IF(ISNA(VLOOKUP($A554,'Mutasi Neraca'!$A$3:$S$910,3,FALSE)),0,VLOOKUP($A554,'Mutasi Neraca'!$A$3:$S$910,3,FALSE))</f>
        <v>387950</v>
      </c>
      <c r="E554" s="42">
        <f>VLOOKUP($A554,'Neraca Unaudited SIMAK'!$A$2:$R$1272,4,FALSE)+IF(ISNA(VLOOKUP($A554,'Mutasi Neraca'!$A$3:$S$910,4,FALSE)),0,VLOOKUP($A554,'Mutasi Neraca'!$A$3:$S$910,4,FALSE))</f>
        <v>4253474000</v>
      </c>
      <c r="F554" s="42">
        <f>VLOOKUP($A554,'Neraca Unaudited SIMAK'!$A$2:$R$1272,5,FALSE)+IF(ISNA(VLOOKUP($A554,'Mutasi Neraca'!$A$3:$S$910,5,FALSE)),0,VLOOKUP($A554,'Mutasi Neraca'!$A$3:$S$910,5,FALSE))</f>
        <v>2991573660</v>
      </c>
      <c r="G554" s="42">
        <f>VLOOKUP($A554,'Neraca Unaudited SIMAK'!$A$2:$R$1272,6,FALSE)+IF(ISNA(VLOOKUP($A554,'Mutasi Neraca'!$A$3:$S$910,6,FALSE)),0,VLOOKUP($A554,'Mutasi Neraca'!$A$3:$S$910,6,FALSE))</f>
        <v>10808447500</v>
      </c>
      <c r="H554" s="42">
        <f>VLOOKUP($A554,'Neraca Unaudited SIMAK'!$A$2:$R$1272,7,FALSE)+IF(ISNA(VLOOKUP($A554,'Mutasi Neraca'!$A$3:$S$910,7,FALSE)),0,VLOOKUP($A554,'Mutasi Neraca'!$A$3:$S$910,7,FALSE))</f>
        <v>296025000</v>
      </c>
      <c r="I554" s="42">
        <f>VLOOKUP($A554,'Neraca Unaudited SIMAK'!$A$2:$R$1272,8,FALSE)+IF(ISNA(VLOOKUP($A554,'Mutasi Neraca'!$A$3:$S$910,8,FALSE)),0,VLOOKUP($A554,'Mutasi Neraca'!$A$3:$S$910,8,FALSE))</f>
        <v>2828675</v>
      </c>
      <c r="J554" s="42">
        <f>VLOOKUP($A554,'Neraca Unaudited SIMAK'!$A$2:$R$1272,9,FALSE)+IF(ISNA(VLOOKUP($A554,'Mutasi Neraca'!$A$3:$S$910,9,FALSE)),0,VLOOKUP($A554,'Mutasi Neraca'!$A$3:$S$910,9,FALSE))</f>
        <v>0</v>
      </c>
      <c r="K554" s="42">
        <f>VLOOKUP($A554,'Neraca Unaudited SIMAK'!$A$2:$R$1272,10,FALSE)+IF(ISNA(VLOOKUP($A554,'Mutasi Neraca'!$A$3:$S$910,10,FALSE)),0,VLOOKUP($A554,'Mutasi Neraca'!$A$3:$S$910,10,FALSE))</f>
        <v>0</v>
      </c>
      <c r="L554" s="42">
        <f>VLOOKUP($A554,'Neraca Unaudited SIMAK'!$A$2:$R$1272,11,FALSE)+IF(ISNA(VLOOKUP($A554,'Mutasi Neraca'!$A$3:$S$910,11,FALSE)),0,VLOOKUP($A554,'Mutasi Neraca'!$A$3:$S$910,11,FALSE))</f>
        <v>0</v>
      </c>
      <c r="M554" s="42">
        <f>VLOOKUP($A554,'Neraca Unaudited SIMAK'!$A$2:$R$1272,12,FALSE)+IF(ISNA(VLOOKUP($A554,'Mutasi Neraca'!$A$3:$S$910,12,FALSE)),0,VLOOKUP($A554,'Mutasi Neraca'!$A$3:$S$910,12,FALSE))</f>
        <v>18352736785</v>
      </c>
      <c r="N554" s="42">
        <f>VLOOKUP($A554,'Neraca Unaudited SIMAK'!$A$2:$R$1272,13,FALSE)+IF(ISNA(VLOOKUP($A554,'Mutasi Neraca'!$A$3:$S$910,13,FALSE)),0,VLOOKUP($A554,'Mutasi Neraca'!$A$3:$S$910,13,FALSE))</f>
        <v>-1954724364</v>
      </c>
      <c r="O554" s="42">
        <f>VLOOKUP($A554,'Neraca Unaudited SIMAK'!$A$2:$R$1272,14,FALSE)+IF(ISNA(VLOOKUP($A554,'Mutasi Neraca'!$A$3:$S$910,14,FALSE)),0,VLOOKUP($A554,'Mutasi Neraca'!$A$3:$S$910,14,FALSE))</f>
        <v>-1394716250</v>
      </c>
      <c r="P554" s="42">
        <f>VLOOKUP($A554,'Neraca Unaudited SIMAK'!$A$2:$R$1272,15,FALSE)+IF(ISNA(VLOOKUP($A554,'Mutasi Neraca'!$A$3:$S$910,15,FALSE)),0,VLOOKUP($A554,'Mutasi Neraca'!$A$3:$S$910,15,FALSE))</f>
        <v>-133078750</v>
      </c>
      <c r="Q554" s="42">
        <f>VLOOKUP($A554,'Neraca Unaudited SIMAK'!$A$2:$R$1272,16,FALSE)+IF(ISNA(VLOOKUP($A554,'Mutasi Neraca'!$A$3:$S$910,16,FALSE)),0,VLOOKUP($A554,'Mutasi Neraca'!$A$3:$S$910,16,FALSE))</f>
        <v>0</v>
      </c>
      <c r="R554" s="42">
        <f>VLOOKUP($A554,'Neraca Unaudited SIMAK'!$A$2:$R$1272,17,FALSE)+IF(ISNA(VLOOKUP($A554,'Mutasi Neraca'!$A$3:$S$910,17,FALSE)),0,VLOOKUP($A554,'Mutasi Neraca'!$A$3:$S$910,17,FALSE))</f>
        <v>0</v>
      </c>
      <c r="S554" s="42">
        <f t="shared" si="59"/>
        <v>14870217421</v>
      </c>
    </row>
    <row r="555" spans="1:19">
      <c r="A555" s="43" t="s">
        <v>562</v>
      </c>
      <c r="B555" s="41" t="str">
        <f t="shared" si="58"/>
        <v>005011700</v>
      </c>
      <c r="D555" s="42">
        <f>VLOOKUP($A555,'Neraca Unaudited SIMAK'!$A$2:$R$1272,3,FALSE)+IF(ISNA(VLOOKUP($A555,'Mutasi Neraca'!$A$3:$S$910,3,FALSE)),0,VLOOKUP($A555,'Mutasi Neraca'!$A$3:$S$910,3,FALSE))</f>
        <v>314600</v>
      </c>
      <c r="E555" s="42">
        <f>VLOOKUP($A555,'Neraca Unaudited SIMAK'!$A$2:$R$1272,4,FALSE)+IF(ISNA(VLOOKUP($A555,'Mutasi Neraca'!$A$3:$S$910,4,FALSE)),0,VLOOKUP($A555,'Mutasi Neraca'!$A$3:$S$910,4,FALSE))</f>
        <v>812174000</v>
      </c>
      <c r="F555" s="42">
        <f>VLOOKUP($A555,'Neraca Unaudited SIMAK'!$A$2:$R$1272,5,FALSE)+IF(ISNA(VLOOKUP($A555,'Mutasi Neraca'!$A$3:$S$910,5,FALSE)),0,VLOOKUP($A555,'Mutasi Neraca'!$A$3:$S$910,5,FALSE))</f>
        <v>1870581266</v>
      </c>
      <c r="G555" s="42">
        <f>VLOOKUP($A555,'Neraca Unaudited SIMAK'!$A$2:$R$1272,6,FALSE)+IF(ISNA(VLOOKUP($A555,'Mutasi Neraca'!$A$3:$S$910,6,FALSE)),0,VLOOKUP($A555,'Mutasi Neraca'!$A$3:$S$910,6,FALSE))</f>
        <v>7236435512</v>
      </c>
      <c r="H555" s="42">
        <f>VLOOKUP($A555,'Neraca Unaudited SIMAK'!$A$2:$R$1272,7,FALSE)+IF(ISNA(VLOOKUP($A555,'Mutasi Neraca'!$A$3:$S$910,7,FALSE)),0,VLOOKUP($A555,'Mutasi Neraca'!$A$3:$S$910,7,FALSE))</f>
        <v>15301000</v>
      </c>
      <c r="I555" s="42">
        <f>VLOOKUP($A555,'Neraca Unaudited SIMAK'!$A$2:$R$1272,8,FALSE)+IF(ISNA(VLOOKUP($A555,'Mutasi Neraca'!$A$3:$S$910,8,FALSE)),0,VLOOKUP($A555,'Mutasi Neraca'!$A$3:$S$910,8,FALSE))</f>
        <v>5980900</v>
      </c>
      <c r="J555" s="42">
        <f>VLOOKUP($A555,'Neraca Unaudited SIMAK'!$A$2:$R$1272,9,FALSE)+IF(ISNA(VLOOKUP($A555,'Mutasi Neraca'!$A$3:$S$910,9,FALSE)),0,VLOOKUP($A555,'Mutasi Neraca'!$A$3:$S$910,9,FALSE))</f>
        <v>0</v>
      </c>
      <c r="K555" s="42">
        <f>VLOOKUP($A555,'Neraca Unaudited SIMAK'!$A$2:$R$1272,10,FALSE)+IF(ISNA(VLOOKUP($A555,'Mutasi Neraca'!$A$3:$S$910,10,FALSE)),0,VLOOKUP($A555,'Mutasi Neraca'!$A$3:$S$910,10,FALSE))</f>
        <v>56545000</v>
      </c>
      <c r="L555" s="42">
        <f>VLOOKUP($A555,'Neraca Unaudited SIMAK'!$A$2:$R$1272,11,FALSE)+IF(ISNA(VLOOKUP($A555,'Mutasi Neraca'!$A$3:$S$910,11,FALSE)),0,VLOOKUP($A555,'Mutasi Neraca'!$A$3:$S$910,11,FALSE))</f>
        <v>15741122</v>
      </c>
      <c r="M555" s="42">
        <f>VLOOKUP($A555,'Neraca Unaudited SIMAK'!$A$2:$R$1272,12,FALSE)+IF(ISNA(VLOOKUP($A555,'Mutasi Neraca'!$A$3:$S$910,12,FALSE)),0,VLOOKUP($A555,'Mutasi Neraca'!$A$3:$S$910,12,FALSE))</f>
        <v>10013073400</v>
      </c>
      <c r="N555" s="42">
        <f>VLOOKUP($A555,'Neraca Unaudited SIMAK'!$A$2:$R$1272,13,FALSE)+IF(ISNA(VLOOKUP($A555,'Mutasi Neraca'!$A$3:$S$910,13,FALSE)),0,VLOOKUP($A555,'Mutasi Neraca'!$A$3:$S$910,13,FALSE))</f>
        <v>-1330831933</v>
      </c>
      <c r="O555" s="42">
        <f>VLOOKUP($A555,'Neraca Unaudited SIMAK'!$A$2:$R$1272,14,FALSE)+IF(ISNA(VLOOKUP($A555,'Mutasi Neraca'!$A$3:$S$910,14,FALSE)),0,VLOOKUP($A555,'Mutasi Neraca'!$A$3:$S$910,14,FALSE))</f>
        <v>-1103998356</v>
      </c>
      <c r="P555" s="42">
        <f>VLOOKUP($A555,'Neraca Unaudited SIMAK'!$A$2:$R$1272,15,FALSE)+IF(ISNA(VLOOKUP($A555,'Mutasi Neraca'!$A$3:$S$910,15,FALSE)),0,VLOOKUP($A555,'Mutasi Neraca'!$A$3:$S$910,15,FALSE))</f>
        <v>-7650500</v>
      </c>
      <c r="Q555" s="42">
        <f>VLOOKUP($A555,'Neraca Unaudited SIMAK'!$A$2:$R$1272,16,FALSE)+IF(ISNA(VLOOKUP($A555,'Mutasi Neraca'!$A$3:$S$910,16,FALSE)),0,VLOOKUP($A555,'Mutasi Neraca'!$A$3:$S$910,16,FALSE))</f>
        <v>0</v>
      </c>
      <c r="R555" s="42">
        <f>VLOOKUP($A555,'Neraca Unaudited SIMAK'!$A$2:$R$1272,17,FALSE)+IF(ISNA(VLOOKUP($A555,'Mutasi Neraca'!$A$3:$S$910,17,FALSE)),0,VLOOKUP($A555,'Mutasi Neraca'!$A$3:$S$910,17,FALSE))</f>
        <v>-15741122</v>
      </c>
      <c r="S555" s="42">
        <f t="shared" si="59"/>
        <v>7554851489</v>
      </c>
    </row>
    <row r="556" spans="1:19">
      <c r="A556" s="41" t="s">
        <v>563</v>
      </c>
      <c r="B556" s="41" t="str">
        <f t="shared" si="58"/>
        <v>005011700</v>
      </c>
      <c r="D556" s="42">
        <f>VLOOKUP($A556,'Neraca Unaudited SIMAK'!$A$2:$R$1272,3,FALSE)+IF(ISNA(VLOOKUP($A556,'Mutasi Neraca'!$A$3:$S$910,3,FALSE)),0,VLOOKUP($A556,'Mutasi Neraca'!$A$3:$S$910,3,FALSE))</f>
        <v>12000</v>
      </c>
      <c r="E556" s="42">
        <f>VLOOKUP($A556,'Neraca Unaudited SIMAK'!$A$2:$R$1272,4,FALSE)+IF(ISNA(VLOOKUP($A556,'Mutasi Neraca'!$A$3:$S$910,4,FALSE)),0,VLOOKUP($A556,'Mutasi Neraca'!$A$3:$S$910,4,FALSE))</f>
        <v>1800000000</v>
      </c>
      <c r="F556" s="42">
        <f>VLOOKUP($A556,'Neraca Unaudited SIMAK'!$A$2:$R$1272,5,FALSE)+IF(ISNA(VLOOKUP($A556,'Mutasi Neraca'!$A$3:$S$910,5,FALSE)),0,VLOOKUP($A556,'Mutasi Neraca'!$A$3:$S$910,5,FALSE))</f>
        <v>812255309</v>
      </c>
      <c r="G556" s="42">
        <f>VLOOKUP($A556,'Neraca Unaudited SIMAK'!$A$2:$R$1272,6,FALSE)+IF(ISNA(VLOOKUP($A556,'Mutasi Neraca'!$A$3:$S$910,6,FALSE)),0,VLOOKUP($A556,'Mutasi Neraca'!$A$3:$S$910,6,FALSE))</f>
        <v>8021692028</v>
      </c>
      <c r="H556" s="42">
        <f>VLOOKUP($A556,'Neraca Unaudited SIMAK'!$A$2:$R$1272,7,FALSE)+IF(ISNA(VLOOKUP($A556,'Mutasi Neraca'!$A$3:$S$910,7,FALSE)),0,VLOOKUP($A556,'Mutasi Neraca'!$A$3:$S$910,7,FALSE))</f>
        <v>0</v>
      </c>
      <c r="I556" s="42">
        <f>VLOOKUP($A556,'Neraca Unaudited SIMAK'!$A$2:$R$1272,8,FALSE)+IF(ISNA(VLOOKUP($A556,'Mutasi Neraca'!$A$3:$S$910,8,FALSE)),0,VLOOKUP($A556,'Mutasi Neraca'!$A$3:$S$910,8,FALSE))</f>
        <v>0</v>
      </c>
      <c r="J556" s="42">
        <f>VLOOKUP($A556,'Neraca Unaudited SIMAK'!$A$2:$R$1272,9,FALSE)+IF(ISNA(VLOOKUP($A556,'Mutasi Neraca'!$A$3:$S$910,9,FALSE)),0,VLOOKUP($A556,'Mutasi Neraca'!$A$3:$S$910,9,FALSE))</f>
        <v>0</v>
      </c>
      <c r="K556" s="42">
        <f>VLOOKUP($A556,'Neraca Unaudited SIMAK'!$A$2:$R$1272,10,FALSE)+IF(ISNA(VLOOKUP($A556,'Mutasi Neraca'!$A$3:$S$910,10,FALSE)),0,VLOOKUP($A556,'Mutasi Neraca'!$A$3:$S$910,10,FALSE))</f>
        <v>0</v>
      </c>
      <c r="L556" s="42">
        <f>VLOOKUP($A556,'Neraca Unaudited SIMAK'!$A$2:$R$1272,11,FALSE)+IF(ISNA(VLOOKUP($A556,'Mutasi Neraca'!$A$3:$S$910,11,FALSE)),0,VLOOKUP($A556,'Mutasi Neraca'!$A$3:$S$910,11,FALSE))</f>
        <v>0</v>
      </c>
      <c r="M556" s="42">
        <f>VLOOKUP($A556,'Neraca Unaudited SIMAK'!$A$2:$R$1272,12,FALSE)+IF(ISNA(VLOOKUP($A556,'Mutasi Neraca'!$A$3:$S$910,12,FALSE)),0,VLOOKUP($A556,'Mutasi Neraca'!$A$3:$S$910,12,FALSE))</f>
        <v>10633959337</v>
      </c>
      <c r="N556" s="42">
        <f>VLOOKUP($A556,'Neraca Unaudited SIMAK'!$A$2:$R$1272,13,FALSE)+IF(ISNA(VLOOKUP($A556,'Mutasi Neraca'!$A$3:$S$910,13,FALSE)),0,VLOOKUP($A556,'Mutasi Neraca'!$A$3:$S$910,13,FALSE))</f>
        <v>-195628743</v>
      </c>
      <c r="O556" s="42">
        <f>VLOOKUP($A556,'Neraca Unaudited SIMAK'!$A$2:$R$1272,14,FALSE)+IF(ISNA(VLOOKUP($A556,'Mutasi Neraca'!$A$3:$S$910,14,FALSE)),0,VLOOKUP($A556,'Mutasi Neraca'!$A$3:$S$910,14,FALSE))</f>
        <v>-198744760</v>
      </c>
      <c r="P556" s="42">
        <f>VLOOKUP($A556,'Neraca Unaudited SIMAK'!$A$2:$R$1272,15,FALSE)+IF(ISNA(VLOOKUP($A556,'Mutasi Neraca'!$A$3:$S$910,15,FALSE)),0,VLOOKUP($A556,'Mutasi Neraca'!$A$3:$S$910,15,FALSE))</f>
        <v>0</v>
      </c>
      <c r="Q556" s="42">
        <f>VLOOKUP($A556,'Neraca Unaudited SIMAK'!$A$2:$R$1272,16,FALSE)+IF(ISNA(VLOOKUP($A556,'Mutasi Neraca'!$A$3:$S$910,16,FALSE)),0,VLOOKUP($A556,'Mutasi Neraca'!$A$3:$S$910,16,FALSE))</f>
        <v>0</v>
      </c>
      <c r="R556" s="42">
        <f>VLOOKUP($A556,'Neraca Unaudited SIMAK'!$A$2:$R$1272,17,FALSE)+IF(ISNA(VLOOKUP($A556,'Mutasi Neraca'!$A$3:$S$910,17,FALSE)),0,VLOOKUP($A556,'Mutasi Neraca'!$A$3:$S$910,17,FALSE))</f>
        <v>0</v>
      </c>
      <c r="S556" s="42">
        <f t="shared" si="59"/>
        <v>10239585834</v>
      </c>
    </row>
    <row r="557" spans="1:19">
      <c r="A557" s="41" t="s">
        <v>564</v>
      </c>
      <c r="B557" s="41" t="str">
        <f t="shared" si="58"/>
        <v>005011800</v>
      </c>
      <c r="D557" s="42">
        <f>VLOOKUP($A557,'Neraca Unaudited SIMAK'!$A$2:$R$1272,3,FALSE)+IF(ISNA(VLOOKUP($A557,'Mutasi Neraca'!$A$3:$S$910,3,FALSE)),0,VLOOKUP($A557,'Mutasi Neraca'!$A$3:$S$910,3,FALSE))</f>
        <v>738500</v>
      </c>
      <c r="E557" s="42">
        <f>VLOOKUP($A557,'Neraca Unaudited SIMAK'!$A$2:$R$1272,4,FALSE)+IF(ISNA(VLOOKUP($A557,'Mutasi Neraca'!$A$3:$S$910,4,FALSE)),0,VLOOKUP($A557,'Mutasi Neraca'!$A$3:$S$910,4,FALSE))</f>
        <v>17229818000</v>
      </c>
      <c r="F557" s="42">
        <f>VLOOKUP($A557,'Neraca Unaudited SIMAK'!$A$2:$R$1272,5,FALSE)+IF(ISNA(VLOOKUP($A557,'Mutasi Neraca'!$A$3:$S$910,5,FALSE)),0,VLOOKUP($A557,'Mutasi Neraca'!$A$3:$S$910,5,FALSE))</f>
        <v>2332510167</v>
      </c>
      <c r="G557" s="42">
        <f>VLOOKUP($A557,'Neraca Unaudited SIMAK'!$A$2:$R$1272,6,FALSE)+IF(ISNA(VLOOKUP($A557,'Mutasi Neraca'!$A$3:$S$910,6,FALSE)),0,VLOOKUP($A557,'Mutasi Neraca'!$A$3:$S$910,6,FALSE))</f>
        <v>14448228540</v>
      </c>
      <c r="H557" s="42">
        <f>VLOOKUP($A557,'Neraca Unaudited SIMAK'!$A$2:$R$1272,7,FALSE)+IF(ISNA(VLOOKUP($A557,'Mutasi Neraca'!$A$3:$S$910,7,FALSE)),0,VLOOKUP($A557,'Mutasi Neraca'!$A$3:$S$910,7,FALSE))</f>
        <v>0</v>
      </c>
      <c r="I557" s="42">
        <f>VLOOKUP($A557,'Neraca Unaudited SIMAK'!$A$2:$R$1272,8,FALSE)+IF(ISNA(VLOOKUP($A557,'Mutasi Neraca'!$A$3:$S$910,8,FALSE)),0,VLOOKUP($A557,'Mutasi Neraca'!$A$3:$S$910,8,FALSE))</f>
        <v>61893440</v>
      </c>
      <c r="J557" s="42">
        <f>VLOOKUP($A557,'Neraca Unaudited SIMAK'!$A$2:$R$1272,9,FALSE)+IF(ISNA(VLOOKUP($A557,'Mutasi Neraca'!$A$3:$S$910,9,FALSE)),0,VLOOKUP($A557,'Mutasi Neraca'!$A$3:$S$910,9,FALSE))</f>
        <v>0</v>
      </c>
      <c r="K557" s="42">
        <f>VLOOKUP($A557,'Neraca Unaudited SIMAK'!$A$2:$R$1272,10,FALSE)+IF(ISNA(VLOOKUP($A557,'Mutasi Neraca'!$A$3:$S$910,10,FALSE)),0,VLOOKUP($A557,'Mutasi Neraca'!$A$3:$S$910,10,FALSE))</f>
        <v>0</v>
      </c>
      <c r="L557" s="42">
        <f>VLOOKUP($A557,'Neraca Unaudited SIMAK'!$A$2:$R$1272,11,FALSE)+IF(ISNA(VLOOKUP($A557,'Mutasi Neraca'!$A$3:$S$910,11,FALSE)),0,VLOOKUP($A557,'Mutasi Neraca'!$A$3:$S$910,11,FALSE))</f>
        <v>61839800</v>
      </c>
      <c r="M557" s="42">
        <f>VLOOKUP($A557,'Neraca Unaudited SIMAK'!$A$2:$R$1272,12,FALSE)+IF(ISNA(VLOOKUP($A557,'Mutasi Neraca'!$A$3:$S$910,12,FALSE)),0,VLOOKUP($A557,'Mutasi Neraca'!$A$3:$S$910,12,FALSE))</f>
        <v>34135028447</v>
      </c>
      <c r="N557" s="42">
        <f>VLOOKUP($A557,'Neraca Unaudited SIMAK'!$A$2:$R$1272,13,FALSE)+IF(ISNA(VLOOKUP($A557,'Mutasi Neraca'!$A$3:$S$910,13,FALSE)),0,VLOOKUP($A557,'Mutasi Neraca'!$A$3:$S$910,13,FALSE))</f>
        <v>-1989407124</v>
      </c>
      <c r="O557" s="42">
        <f>VLOOKUP($A557,'Neraca Unaudited SIMAK'!$A$2:$R$1272,14,FALSE)+IF(ISNA(VLOOKUP($A557,'Mutasi Neraca'!$A$3:$S$910,14,FALSE)),0,VLOOKUP($A557,'Mutasi Neraca'!$A$3:$S$910,14,FALSE))</f>
        <v>-2142301453</v>
      </c>
      <c r="P557" s="42">
        <f>VLOOKUP($A557,'Neraca Unaudited SIMAK'!$A$2:$R$1272,15,FALSE)+IF(ISNA(VLOOKUP($A557,'Mutasi Neraca'!$A$3:$S$910,15,FALSE)),0,VLOOKUP($A557,'Mutasi Neraca'!$A$3:$S$910,15,FALSE))</f>
        <v>0</v>
      </c>
      <c r="Q557" s="42">
        <f>VLOOKUP($A557,'Neraca Unaudited SIMAK'!$A$2:$R$1272,16,FALSE)+IF(ISNA(VLOOKUP($A557,'Mutasi Neraca'!$A$3:$S$910,16,FALSE)),0,VLOOKUP($A557,'Mutasi Neraca'!$A$3:$S$910,16,FALSE))</f>
        <v>0</v>
      </c>
      <c r="R557" s="42">
        <f>VLOOKUP($A557,'Neraca Unaudited SIMAK'!$A$2:$R$1272,17,FALSE)+IF(ISNA(VLOOKUP($A557,'Mutasi Neraca'!$A$3:$S$910,17,FALSE)),0,VLOOKUP($A557,'Mutasi Neraca'!$A$3:$S$910,17,FALSE))</f>
        <v>-50499020</v>
      </c>
      <c r="S557" s="42">
        <f t="shared" si="59"/>
        <v>29952820850</v>
      </c>
    </row>
    <row r="558" spans="1:19">
      <c r="A558" s="41" t="s">
        <v>565</v>
      </c>
      <c r="B558" s="41" t="str">
        <f t="shared" si="58"/>
        <v>005011800</v>
      </c>
      <c r="D558" s="42">
        <f>VLOOKUP($A558,'Neraca Unaudited SIMAK'!$A$2:$R$1272,3,FALSE)+IF(ISNA(VLOOKUP($A558,'Mutasi Neraca'!$A$3:$S$910,3,FALSE)),0,VLOOKUP($A558,'Mutasi Neraca'!$A$3:$S$910,3,FALSE))</f>
        <v>396000</v>
      </c>
      <c r="E558" s="42">
        <f>VLOOKUP($A558,'Neraca Unaudited SIMAK'!$A$2:$R$1272,4,FALSE)+IF(ISNA(VLOOKUP($A558,'Mutasi Neraca'!$A$3:$S$910,4,FALSE)),0,VLOOKUP($A558,'Mutasi Neraca'!$A$3:$S$910,4,FALSE))</f>
        <v>1065000000</v>
      </c>
      <c r="F558" s="42">
        <f>VLOOKUP($A558,'Neraca Unaudited SIMAK'!$A$2:$R$1272,5,FALSE)+IF(ISNA(VLOOKUP($A558,'Mutasi Neraca'!$A$3:$S$910,5,FALSE)),0,VLOOKUP($A558,'Mutasi Neraca'!$A$3:$S$910,5,FALSE))</f>
        <v>1170242831</v>
      </c>
      <c r="G558" s="42">
        <f>VLOOKUP($A558,'Neraca Unaudited SIMAK'!$A$2:$R$1272,6,FALSE)+IF(ISNA(VLOOKUP($A558,'Mutasi Neraca'!$A$3:$S$910,6,FALSE)),0,VLOOKUP($A558,'Mutasi Neraca'!$A$3:$S$910,6,FALSE))</f>
        <v>12879770500</v>
      </c>
      <c r="H558" s="42">
        <f>VLOOKUP($A558,'Neraca Unaudited SIMAK'!$A$2:$R$1272,7,FALSE)+IF(ISNA(VLOOKUP($A558,'Mutasi Neraca'!$A$3:$S$910,7,FALSE)),0,VLOOKUP($A558,'Mutasi Neraca'!$A$3:$S$910,7,FALSE))</f>
        <v>0</v>
      </c>
      <c r="I558" s="42">
        <f>VLOOKUP($A558,'Neraca Unaudited SIMAK'!$A$2:$R$1272,8,FALSE)+IF(ISNA(VLOOKUP($A558,'Mutasi Neraca'!$A$3:$S$910,8,FALSE)),0,VLOOKUP($A558,'Mutasi Neraca'!$A$3:$S$910,8,FALSE))</f>
        <v>1440000</v>
      </c>
      <c r="J558" s="42">
        <f>VLOOKUP($A558,'Neraca Unaudited SIMAK'!$A$2:$R$1272,9,FALSE)+IF(ISNA(VLOOKUP($A558,'Mutasi Neraca'!$A$3:$S$910,9,FALSE)),0,VLOOKUP($A558,'Mutasi Neraca'!$A$3:$S$910,9,FALSE))</f>
        <v>0</v>
      </c>
      <c r="K558" s="42">
        <f>VLOOKUP($A558,'Neraca Unaudited SIMAK'!$A$2:$R$1272,10,FALSE)+IF(ISNA(VLOOKUP($A558,'Mutasi Neraca'!$A$3:$S$910,10,FALSE)),0,VLOOKUP($A558,'Mutasi Neraca'!$A$3:$S$910,10,FALSE))</f>
        <v>4400000</v>
      </c>
      <c r="L558" s="42">
        <f>VLOOKUP($A558,'Neraca Unaudited SIMAK'!$A$2:$R$1272,11,FALSE)+IF(ISNA(VLOOKUP($A558,'Mutasi Neraca'!$A$3:$S$910,11,FALSE)),0,VLOOKUP($A558,'Mutasi Neraca'!$A$3:$S$910,11,FALSE))</f>
        <v>5538506</v>
      </c>
      <c r="M558" s="42">
        <f>VLOOKUP($A558,'Neraca Unaudited SIMAK'!$A$2:$R$1272,12,FALSE)+IF(ISNA(VLOOKUP($A558,'Mutasi Neraca'!$A$3:$S$910,12,FALSE)),0,VLOOKUP($A558,'Mutasi Neraca'!$A$3:$S$910,12,FALSE))</f>
        <v>15126787837</v>
      </c>
      <c r="N558" s="42">
        <f>VLOOKUP($A558,'Neraca Unaudited SIMAK'!$A$2:$R$1272,13,FALSE)+IF(ISNA(VLOOKUP($A558,'Mutasi Neraca'!$A$3:$S$910,13,FALSE)),0,VLOOKUP($A558,'Mutasi Neraca'!$A$3:$S$910,13,FALSE))</f>
        <v>-1073349181</v>
      </c>
      <c r="O558" s="42">
        <f>VLOOKUP($A558,'Neraca Unaudited SIMAK'!$A$2:$R$1272,14,FALSE)+IF(ISNA(VLOOKUP($A558,'Mutasi Neraca'!$A$3:$S$910,14,FALSE)),0,VLOOKUP($A558,'Mutasi Neraca'!$A$3:$S$910,14,FALSE))</f>
        <v>-2579452075</v>
      </c>
      <c r="P558" s="42">
        <f>VLOOKUP($A558,'Neraca Unaudited SIMAK'!$A$2:$R$1272,15,FALSE)+IF(ISNA(VLOOKUP($A558,'Mutasi Neraca'!$A$3:$S$910,15,FALSE)),0,VLOOKUP($A558,'Mutasi Neraca'!$A$3:$S$910,15,FALSE))</f>
        <v>0</v>
      </c>
      <c r="Q558" s="42">
        <f>VLOOKUP($A558,'Neraca Unaudited SIMAK'!$A$2:$R$1272,16,FALSE)+IF(ISNA(VLOOKUP($A558,'Mutasi Neraca'!$A$3:$S$910,16,FALSE)),0,VLOOKUP($A558,'Mutasi Neraca'!$A$3:$S$910,16,FALSE))</f>
        <v>0</v>
      </c>
      <c r="R558" s="42">
        <f>VLOOKUP($A558,'Neraca Unaudited SIMAK'!$A$2:$R$1272,17,FALSE)+IF(ISNA(VLOOKUP($A558,'Mutasi Neraca'!$A$3:$S$910,17,FALSE)),0,VLOOKUP($A558,'Mutasi Neraca'!$A$3:$S$910,17,FALSE))</f>
        <v>-4288506</v>
      </c>
      <c r="S558" s="42">
        <f t="shared" si="59"/>
        <v>11469698075</v>
      </c>
    </row>
    <row r="559" spans="1:19">
      <c r="A559" s="41" t="s">
        <v>566</v>
      </c>
      <c r="B559" s="41" t="str">
        <f t="shared" si="58"/>
        <v>005011800</v>
      </c>
      <c r="D559" s="42">
        <f>VLOOKUP($A559,'Neraca Unaudited SIMAK'!$A$2:$R$1272,3,FALSE)+IF(ISNA(VLOOKUP($A559,'Mutasi Neraca'!$A$3:$S$910,3,FALSE)),0,VLOOKUP($A559,'Mutasi Neraca'!$A$3:$S$910,3,FALSE))</f>
        <v>0</v>
      </c>
      <c r="E559" s="42">
        <f>VLOOKUP($A559,'Neraca Unaudited SIMAK'!$A$2:$R$1272,4,FALSE)+IF(ISNA(VLOOKUP($A559,'Mutasi Neraca'!$A$3:$S$910,4,FALSE)),0,VLOOKUP($A559,'Mutasi Neraca'!$A$3:$S$910,4,FALSE))</f>
        <v>2756915449</v>
      </c>
      <c r="F559" s="42">
        <f>VLOOKUP($A559,'Neraca Unaudited SIMAK'!$A$2:$R$1272,5,FALSE)+IF(ISNA(VLOOKUP($A559,'Mutasi Neraca'!$A$3:$S$910,5,FALSE)),0,VLOOKUP($A559,'Mutasi Neraca'!$A$3:$S$910,5,FALSE))</f>
        <v>1102748426</v>
      </c>
      <c r="G559" s="42">
        <f>VLOOKUP($A559,'Neraca Unaudited SIMAK'!$A$2:$R$1272,6,FALSE)+IF(ISNA(VLOOKUP($A559,'Mutasi Neraca'!$A$3:$S$910,6,FALSE)),0,VLOOKUP($A559,'Mutasi Neraca'!$A$3:$S$910,6,FALSE))</f>
        <v>7024343518</v>
      </c>
      <c r="H559" s="42">
        <f>VLOOKUP($A559,'Neraca Unaudited SIMAK'!$A$2:$R$1272,7,FALSE)+IF(ISNA(VLOOKUP($A559,'Mutasi Neraca'!$A$3:$S$910,7,FALSE)),0,VLOOKUP($A559,'Mutasi Neraca'!$A$3:$S$910,7,FALSE))</f>
        <v>0</v>
      </c>
      <c r="I559" s="42">
        <f>VLOOKUP($A559,'Neraca Unaudited SIMAK'!$A$2:$R$1272,8,FALSE)+IF(ISNA(VLOOKUP($A559,'Mutasi Neraca'!$A$3:$S$910,8,FALSE)),0,VLOOKUP($A559,'Mutasi Neraca'!$A$3:$S$910,8,FALSE))</f>
        <v>4626840</v>
      </c>
      <c r="J559" s="42">
        <f>VLOOKUP($A559,'Neraca Unaudited SIMAK'!$A$2:$R$1272,9,FALSE)+IF(ISNA(VLOOKUP($A559,'Mutasi Neraca'!$A$3:$S$910,9,FALSE)),0,VLOOKUP($A559,'Mutasi Neraca'!$A$3:$S$910,9,FALSE))</f>
        <v>0</v>
      </c>
      <c r="K559" s="42">
        <f>VLOOKUP($A559,'Neraca Unaudited SIMAK'!$A$2:$R$1272,10,FALSE)+IF(ISNA(VLOOKUP($A559,'Mutasi Neraca'!$A$3:$S$910,10,FALSE)),0,VLOOKUP($A559,'Mutasi Neraca'!$A$3:$S$910,10,FALSE))</f>
        <v>0</v>
      </c>
      <c r="L559" s="42">
        <f>VLOOKUP($A559,'Neraca Unaudited SIMAK'!$A$2:$R$1272,11,FALSE)+IF(ISNA(VLOOKUP($A559,'Mutasi Neraca'!$A$3:$S$910,11,FALSE)),0,VLOOKUP($A559,'Mutasi Neraca'!$A$3:$S$910,11,FALSE))</f>
        <v>162735000</v>
      </c>
      <c r="M559" s="42">
        <f>VLOOKUP($A559,'Neraca Unaudited SIMAK'!$A$2:$R$1272,12,FALSE)+IF(ISNA(VLOOKUP($A559,'Mutasi Neraca'!$A$3:$S$910,12,FALSE)),0,VLOOKUP($A559,'Mutasi Neraca'!$A$3:$S$910,12,FALSE))</f>
        <v>11051369233</v>
      </c>
      <c r="N559" s="42">
        <f>VLOOKUP($A559,'Neraca Unaudited SIMAK'!$A$2:$R$1272,13,FALSE)+IF(ISNA(VLOOKUP($A559,'Mutasi Neraca'!$A$3:$S$910,13,FALSE)),0,VLOOKUP($A559,'Mutasi Neraca'!$A$3:$S$910,13,FALSE))</f>
        <v>-1057645285</v>
      </c>
      <c r="O559" s="42">
        <f>VLOOKUP($A559,'Neraca Unaudited SIMAK'!$A$2:$R$1272,14,FALSE)+IF(ISNA(VLOOKUP($A559,'Mutasi Neraca'!$A$3:$S$910,14,FALSE)),0,VLOOKUP($A559,'Mutasi Neraca'!$A$3:$S$910,14,FALSE))</f>
        <v>-1086543937</v>
      </c>
      <c r="P559" s="42">
        <f>VLOOKUP($A559,'Neraca Unaudited SIMAK'!$A$2:$R$1272,15,FALSE)+IF(ISNA(VLOOKUP($A559,'Mutasi Neraca'!$A$3:$S$910,15,FALSE)),0,VLOOKUP($A559,'Mutasi Neraca'!$A$3:$S$910,15,FALSE))</f>
        <v>0</v>
      </c>
      <c r="Q559" s="42">
        <f>VLOOKUP($A559,'Neraca Unaudited SIMAK'!$A$2:$R$1272,16,FALSE)+IF(ISNA(VLOOKUP($A559,'Mutasi Neraca'!$A$3:$S$910,16,FALSE)),0,VLOOKUP($A559,'Mutasi Neraca'!$A$3:$S$910,16,FALSE))</f>
        <v>0</v>
      </c>
      <c r="R559" s="42">
        <f>VLOOKUP($A559,'Neraca Unaudited SIMAK'!$A$2:$R$1272,17,FALSE)+IF(ISNA(VLOOKUP($A559,'Mutasi Neraca'!$A$3:$S$910,17,FALSE)),0,VLOOKUP($A559,'Mutasi Neraca'!$A$3:$S$910,17,FALSE))</f>
        <v>-128105000</v>
      </c>
      <c r="S559" s="42">
        <f t="shared" si="59"/>
        <v>8779075011</v>
      </c>
    </row>
    <row r="560" spans="1:19">
      <c r="A560" s="41" t="s">
        <v>567</v>
      </c>
      <c r="B560" s="41" t="str">
        <f t="shared" si="58"/>
        <v>005011800</v>
      </c>
      <c r="D560" s="42">
        <f>VLOOKUP($A560,'Neraca Unaudited SIMAK'!$A$2:$R$1272,3,FALSE)+IF(ISNA(VLOOKUP($A560,'Mutasi Neraca'!$A$3:$S$910,3,FALSE)),0,VLOOKUP($A560,'Mutasi Neraca'!$A$3:$S$910,3,FALSE))</f>
        <v>0</v>
      </c>
      <c r="E560" s="42">
        <f>VLOOKUP($A560,'Neraca Unaudited SIMAK'!$A$2:$R$1272,4,FALSE)+IF(ISNA(VLOOKUP($A560,'Mutasi Neraca'!$A$3:$S$910,4,FALSE)),0,VLOOKUP($A560,'Mutasi Neraca'!$A$3:$S$910,4,FALSE))</f>
        <v>3063161350</v>
      </c>
      <c r="F560" s="42">
        <f>VLOOKUP($A560,'Neraca Unaudited SIMAK'!$A$2:$R$1272,5,FALSE)+IF(ISNA(VLOOKUP($A560,'Mutasi Neraca'!$A$3:$S$910,5,FALSE)),0,VLOOKUP($A560,'Mutasi Neraca'!$A$3:$S$910,5,FALSE))</f>
        <v>1590712067</v>
      </c>
      <c r="G560" s="42">
        <f>VLOOKUP($A560,'Neraca Unaudited SIMAK'!$A$2:$R$1272,6,FALSE)+IF(ISNA(VLOOKUP($A560,'Mutasi Neraca'!$A$3:$S$910,6,FALSE)),0,VLOOKUP($A560,'Mutasi Neraca'!$A$3:$S$910,6,FALSE))</f>
        <v>11997230935</v>
      </c>
      <c r="H560" s="42">
        <f>VLOOKUP($A560,'Neraca Unaudited SIMAK'!$A$2:$R$1272,7,FALSE)+IF(ISNA(VLOOKUP($A560,'Mutasi Neraca'!$A$3:$S$910,7,FALSE)),0,VLOOKUP($A560,'Mutasi Neraca'!$A$3:$S$910,7,FALSE))</f>
        <v>0</v>
      </c>
      <c r="I560" s="42">
        <f>VLOOKUP($A560,'Neraca Unaudited SIMAK'!$A$2:$R$1272,8,FALSE)+IF(ISNA(VLOOKUP($A560,'Mutasi Neraca'!$A$3:$S$910,8,FALSE)),0,VLOOKUP($A560,'Mutasi Neraca'!$A$3:$S$910,8,FALSE))</f>
        <v>1943440</v>
      </c>
      <c r="J560" s="42">
        <f>VLOOKUP($A560,'Neraca Unaudited SIMAK'!$A$2:$R$1272,9,FALSE)+IF(ISNA(VLOOKUP($A560,'Mutasi Neraca'!$A$3:$S$910,9,FALSE)),0,VLOOKUP($A560,'Mutasi Neraca'!$A$3:$S$910,9,FALSE))</f>
        <v>0</v>
      </c>
      <c r="K560" s="42">
        <f>VLOOKUP($A560,'Neraca Unaudited SIMAK'!$A$2:$R$1272,10,FALSE)+IF(ISNA(VLOOKUP($A560,'Mutasi Neraca'!$A$3:$S$910,10,FALSE)),0,VLOOKUP($A560,'Mutasi Neraca'!$A$3:$S$910,10,FALSE))</f>
        <v>0</v>
      </c>
      <c r="L560" s="42">
        <f>VLOOKUP($A560,'Neraca Unaudited SIMAK'!$A$2:$R$1272,11,FALSE)+IF(ISNA(VLOOKUP($A560,'Mutasi Neraca'!$A$3:$S$910,11,FALSE)),0,VLOOKUP($A560,'Mutasi Neraca'!$A$3:$S$910,11,FALSE))</f>
        <v>418580500</v>
      </c>
      <c r="M560" s="42">
        <f>VLOOKUP($A560,'Neraca Unaudited SIMAK'!$A$2:$R$1272,12,FALSE)+IF(ISNA(VLOOKUP($A560,'Mutasi Neraca'!$A$3:$S$910,12,FALSE)),0,VLOOKUP($A560,'Mutasi Neraca'!$A$3:$S$910,12,FALSE))</f>
        <v>17071628292</v>
      </c>
      <c r="N560" s="42">
        <f>VLOOKUP($A560,'Neraca Unaudited SIMAK'!$A$2:$R$1272,13,FALSE)+IF(ISNA(VLOOKUP($A560,'Mutasi Neraca'!$A$3:$S$910,13,FALSE)),0,VLOOKUP($A560,'Mutasi Neraca'!$A$3:$S$910,13,FALSE))</f>
        <v>-1109068862</v>
      </c>
      <c r="O560" s="42">
        <f>VLOOKUP($A560,'Neraca Unaudited SIMAK'!$A$2:$R$1272,14,FALSE)+IF(ISNA(VLOOKUP($A560,'Mutasi Neraca'!$A$3:$S$910,14,FALSE)),0,VLOOKUP($A560,'Mutasi Neraca'!$A$3:$S$910,14,FALSE))</f>
        <v>-974932739</v>
      </c>
      <c r="P560" s="42">
        <f>VLOOKUP($A560,'Neraca Unaudited SIMAK'!$A$2:$R$1272,15,FALSE)+IF(ISNA(VLOOKUP($A560,'Mutasi Neraca'!$A$3:$S$910,15,FALSE)),0,VLOOKUP($A560,'Mutasi Neraca'!$A$3:$S$910,15,FALSE))</f>
        <v>0</v>
      </c>
      <c r="Q560" s="42">
        <f>VLOOKUP($A560,'Neraca Unaudited SIMAK'!$A$2:$R$1272,16,FALSE)+IF(ISNA(VLOOKUP($A560,'Mutasi Neraca'!$A$3:$S$910,16,FALSE)),0,VLOOKUP($A560,'Mutasi Neraca'!$A$3:$S$910,16,FALSE))</f>
        <v>0</v>
      </c>
      <c r="R560" s="42">
        <f>VLOOKUP($A560,'Neraca Unaudited SIMAK'!$A$2:$R$1272,17,FALSE)+IF(ISNA(VLOOKUP($A560,'Mutasi Neraca'!$A$3:$S$910,17,FALSE)),0,VLOOKUP($A560,'Mutasi Neraca'!$A$3:$S$910,17,FALSE))</f>
        <v>-418580500</v>
      </c>
      <c r="S560" s="42">
        <f t="shared" si="59"/>
        <v>14569046191</v>
      </c>
    </row>
    <row r="561" spans="1:19">
      <c r="A561" s="41" t="s">
        <v>568</v>
      </c>
      <c r="B561" s="41" t="str">
        <f t="shared" si="58"/>
        <v>005011800</v>
      </c>
      <c r="D561" s="42">
        <f>VLOOKUP($A561,'Neraca Unaudited SIMAK'!$A$2:$R$1272,3,FALSE)+IF(ISNA(VLOOKUP($A561,'Mutasi Neraca'!$A$3:$S$910,3,FALSE)),0,VLOOKUP($A561,'Mutasi Neraca'!$A$3:$S$910,3,FALSE))</f>
        <v>52425</v>
      </c>
      <c r="E561" s="42">
        <f>VLOOKUP($A561,'Neraca Unaudited SIMAK'!$A$2:$R$1272,4,FALSE)+IF(ISNA(VLOOKUP($A561,'Mutasi Neraca'!$A$3:$S$910,4,FALSE)),0,VLOOKUP($A561,'Mutasi Neraca'!$A$3:$S$910,4,FALSE))</f>
        <v>1279000000</v>
      </c>
      <c r="F561" s="42">
        <f>VLOOKUP($A561,'Neraca Unaudited SIMAK'!$A$2:$R$1272,5,FALSE)+IF(ISNA(VLOOKUP($A561,'Mutasi Neraca'!$A$3:$S$910,5,FALSE)),0,VLOOKUP($A561,'Mutasi Neraca'!$A$3:$S$910,5,FALSE))</f>
        <v>1653642065</v>
      </c>
      <c r="G561" s="42">
        <f>VLOOKUP($A561,'Neraca Unaudited SIMAK'!$A$2:$R$1272,6,FALSE)+IF(ISNA(VLOOKUP($A561,'Mutasi Neraca'!$A$3:$S$910,6,FALSE)),0,VLOOKUP($A561,'Mutasi Neraca'!$A$3:$S$910,6,FALSE))</f>
        <v>5762448718</v>
      </c>
      <c r="H561" s="42">
        <f>VLOOKUP($A561,'Neraca Unaudited SIMAK'!$A$2:$R$1272,7,FALSE)+IF(ISNA(VLOOKUP($A561,'Mutasi Neraca'!$A$3:$S$910,7,FALSE)),0,VLOOKUP($A561,'Mutasi Neraca'!$A$3:$S$910,7,FALSE))</f>
        <v>8800000</v>
      </c>
      <c r="I561" s="42">
        <f>VLOOKUP($A561,'Neraca Unaudited SIMAK'!$A$2:$R$1272,8,FALSE)+IF(ISNA(VLOOKUP($A561,'Mutasi Neraca'!$A$3:$S$910,8,FALSE)),0,VLOOKUP($A561,'Mutasi Neraca'!$A$3:$S$910,8,FALSE))</f>
        <v>4532370</v>
      </c>
      <c r="J561" s="42">
        <f>VLOOKUP($A561,'Neraca Unaudited SIMAK'!$A$2:$R$1272,9,FALSE)+IF(ISNA(VLOOKUP($A561,'Mutasi Neraca'!$A$3:$S$910,9,FALSE)),0,VLOOKUP($A561,'Mutasi Neraca'!$A$3:$S$910,9,FALSE))</f>
        <v>0</v>
      </c>
      <c r="K561" s="42">
        <f>VLOOKUP($A561,'Neraca Unaudited SIMAK'!$A$2:$R$1272,10,FALSE)+IF(ISNA(VLOOKUP($A561,'Mutasi Neraca'!$A$3:$S$910,10,FALSE)),0,VLOOKUP($A561,'Mutasi Neraca'!$A$3:$S$910,10,FALSE))</f>
        <v>18480000</v>
      </c>
      <c r="L561" s="42">
        <f>VLOOKUP($A561,'Neraca Unaudited SIMAK'!$A$2:$R$1272,11,FALSE)+IF(ISNA(VLOOKUP($A561,'Mutasi Neraca'!$A$3:$S$910,11,FALSE)),0,VLOOKUP($A561,'Mutasi Neraca'!$A$3:$S$910,11,FALSE))</f>
        <v>42629266</v>
      </c>
      <c r="M561" s="42">
        <f>VLOOKUP($A561,'Neraca Unaudited SIMAK'!$A$2:$R$1272,12,FALSE)+IF(ISNA(VLOOKUP($A561,'Mutasi Neraca'!$A$3:$S$910,12,FALSE)),0,VLOOKUP($A561,'Mutasi Neraca'!$A$3:$S$910,12,FALSE))</f>
        <v>8769584844</v>
      </c>
      <c r="N561" s="42">
        <f>VLOOKUP($A561,'Neraca Unaudited SIMAK'!$A$2:$R$1272,13,FALSE)+IF(ISNA(VLOOKUP($A561,'Mutasi Neraca'!$A$3:$S$910,13,FALSE)),0,VLOOKUP($A561,'Mutasi Neraca'!$A$3:$S$910,13,FALSE))</f>
        <v>-1163149183</v>
      </c>
      <c r="O561" s="42">
        <f>VLOOKUP($A561,'Neraca Unaudited SIMAK'!$A$2:$R$1272,14,FALSE)+IF(ISNA(VLOOKUP($A561,'Mutasi Neraca'!$A$3:$S$910,14,FALSE)),0,VLOOKUP($A561,'Mutasi Neraca'!$A$3:$S$910,14,FALSE))</f>
        <v>-549667365</v>
      </c>
      <c r="P561" s="42">
        <f>VLOOKUP($A561,'Neraca Unaudited SIMAK'!$A$2:$R$1272,15,FALSE)+IF(ISNA(VLOOKUP($A561,'Mutasi Neraca'!$A$3:$S$910,15,FALSE)),0,VLOOKUP($A561,'Mutasi Neraca'!$A$3:$S$910,15,FALSE))</f>
        <v>-1760000</v>
      </c>
      <c r="Q561" s="42">
        <f>VLOOKUP($A561,'Neraca Unaudited SIMAK'!$A$2:$R$1272,16,FALSE)+IF(ISNA(VLOOKUP($A561,'Mutasi Neraca'!$A$3:$S$910,16,FALSE)),0,VLOOKUP($A561,'Mutasi Neraca'!$A$3:$S$910,16,FALSE))</f>
        <v>0</v>
      </c>
      <c r="R561" s="42">
        <f>VLOOKUP($A561,'Neraca Unaudited SIMAK'!$A$2:$R$1272,17,FALSE)+IF(ISNA(VLOOKUP($A561,'Mutasi Neraca'!$A$3:$S$910,17,FALSE)),0,VLOOKUP($A561,'Mutasi Neraca'!$A$3:$S$910,17,FALSE))</f>
        <v>-42548740</v>
      </c>
      <c r="S561" s="42">
        <f t="shared" si="59"/>
        <v>7012459556</v>
      </c>
    </row>
    <row r="562" spans="1:19">
      <c r="A562" s="41" t="s">
        <v>569</v>
      </c>
      <c r="B562" s="41" t="str">
        <f t="shared" si="58"/>
        <v>005011800</v>
      </c>
      <c r="D562" s="42">
        <f>VLOOKUP($A562,'Neraca Unaudited SIMAK'!$A$2:$R$1272,3,FALSE)+IF(ISNA(VLOOKUP($A562,'Mutasi Neraca'!$A$3:$S$910,3,FALSE)),0,VLOOKUP($A562,'Mutasi Neraca'!$A$3:$S$910,3,FALSE))</f>
        <v>0</v>
      </c>
      <c r="E562" s="42">
        <f>VLOOKUP($A562,'Neraca Unaudited SIMAK'!$A$2:$R$1272,4,FALSE)+IF(ISNA(VLOOKUP($A562,'Mutasi Neraca'!$A$3:$S$910,4,FALSE)),0,VLOOKUP($A562,'Mutasi Neraca'!$A$3:$S$910,4,FALSE))</f>
        <v>330567000</v>
      </c>
      <c r="F562" s="42">
        <f>VLOOKUP($A562,'Neraca Unaudited SIMAK'!$A$2:$R$1272,5,FALSE)+IF(ISNA(VLOOKUP($A562,'Mutasi Neraca'!$A$3:$S$910,5,FALSE)),0,VLOOKUP($A562,'Mutasi Neraca'!$A$3:$S$910,5,FALSE))</f>
        <v>1295299634</v>
      </c>
      <c r="G562" s="42">
        <f>VLOOKUP($A562,'Neraca Unaudited SIMAK'!$A$2:$R$1272,6,FALSE)+IF(ISNA(VLOOKUP($A562,'Mutasi Neraca'!$A$3:$S$910,6,FALSE)),0,VLOOKUP($A562,'Mutasi Neraca'!$A$3:$S$910,6,FALSE))</f>
        <v>1697251056</v>
      </c>
      <c r="H562" s="42">
        <f>VLOOKUP($A562,'Neraca Unaudited SIMAK'!$A$2:$R$1272,7,FALSE)+IF(ISNA(VLOOKUP($A562,'Mutasi Neraca'!$A$3:$S$910,7,FALSE)),0,VLOOKUP($A562,'Mutasi Neraca'!$A$3:$S$910,7,FALSE))</f>
        <v>8000000</v>
      </c>
      <c r="I562" s="42">
        <f>VLOOKUP($A562,'Neraca Unaudited SIMAK'!$A$2:$R$1272,8,FALSE)+IF(ISNA(VLOOKUP($A562,'Mutasi Neraca'!$A$3:$S$910,8,FALSE)),0,VLOOKUP($A562,'Mutasi Neraca'!$A$3:$S$910,8,FALSE))</f>
        <v>408000</v>
      </c>
      <c r="J562" s="42">
        <f>VLOOKUP($A562,'Neraca Unaudited SIMAK'!$A$2:$R$1272,9,FALSE)+IF(ISNA(VLOOKUP($A562,'Mutasi Neraca'!$A$3:$S$910,9,FALSE)),0,VLOOKUP($A562,'Mutasi Neraca'!$A$3:$S$910,9,FALSE))</f>
        <v>0</v>
      </c>
      <c r="K562" s="42">
        <f>VLOOKUP($A562,'Neraca Unaudited SIMAK'!$A$2:$R$1272,10,FALSE)+IF(ISNA(VLOOKUP($A562,'Mutasi Neraca'!$A$3:$S$910,10,FALSE)),0,VLOOKUP($A562,'Mutasi Neraca'!$A$3:$S$910,10,FALSE))</f>
        <v>3850000</v>
      </c>
      <c r="L562" s="42">
        <f>VLOOKUP($A562,'Neraca Unaudited SIMAK'!$A$2:$R$1272,11,FALSE)+IF(ISNA(VLOOKUP($A562,'Mutasi Neraca'!$A$3:$S$910,11,FALSE)),0,VLOOKUP($A562,'Mutasi Neraca'!$A$3:$S$910,11,FALSE))</f>
        <v>170701593</v>
      </c>
      <c r="M562" s="42">
        <f>VLOOKUP($A562,'Neraca Unaudited SIMAK'!$A$2:$R$1272,12,FALSE)+IF(ISNA(VLOOKUP($A562,'Mutasi Neraca'!$A$3:$S$910,12,FALSE)),0,VLOOKUP($A562,'Mutasi Neraca'!$A$3:$S$910,12,FALSE))</f>
        <v>3506077283</v>
      </c>
      <c r="N562" s="42">
        <f>VLOOKUP($A562,'Neraca Unaudited SIMAK'!$A$2:$R$1272,13,FALSE)+IF(ISNA(VLOOKUP($A562,'Mutasi Neraca'!$A$3:$S$910,13,FALSE)),0,VLOOKUP($A562,'Mutasi Neraca'!$A$3:$S$910,13,FALSE))</f>
        <v>-935877977</v>
      </c>
      <c r="O562" s="42">
        <f>VLOOKUP($A562,'Neraca Unaudited SIMAK'!$A$2:$R$1272,14,FALSE)+IF(ISNA(VLOOKUP($A562,'Mutasi Neraca'!$A$3:$S$910,14,FALSE)),0,VLOOKUP($A562,'Mutasi Neraca'!$A$3:$S$910,14,FALSE))</f>
        <v>-853411838</v>
      </c>
      <c r="P562" s="42">
        <f>VLOOKUP($A562,'Neraca Unaudited SIMAK'!$A$2:$R$1272,15,FALSE)+IF(ISNA(VLOOKUP($A562,'Mutasi Neraca'!$A$3:$S$910,15,FALSE)),0,VLOOKUP($A562,'Mutasi Neraca'!$A$3:$S$910,15,FALSE))</f>
        <v>-800000</v>
      </c>
      <c r="Q562" s="42">
        <f>VLOOKUP($A562,'Neraca Unaudited SIMAK'!$A$2:$R$1272,16,FALSE)+IF(ISNA(VLOOKUP($A562,'Mutasi Neraca'!$A$3:$S$910,16,FALSE)),0,VLOOKUP($A562,'Mutasi Neraca'!$A$3:$S$910,16,FALSE))</f>
        <v>0</v>
      </c>
      <c r="R562" s="42">
        <f>VLOOKUP($A562,'Neraca Unaudited SIMAK'!$A$2:$R$1272,17,FALSE)+IF(ISNA(VLOOKUP($A562,'Mutasi Neraca'!$A$3:$S$910,17,FALSE)),0,VLOOKUP($A562,'Mutasi Neraca'!$A$3:$S$910,17,FALSE))</f>
        <v>-170701593</v>
      </c>
      <c r="S562" s="42">
        <f t="shared" si="59"/>
        <v>1545285875</v>
      </c>
    </row>
    <row r="563" spans="1:19">
      <c r="A563" s="41" t="s">
        <v>570</v>
      </c>
      <c r="B563" s="41" t="str">
        <f t="shared" si="58"/>
        <v>005011800</v>
      </c>
      <c r="D563" s="42">
        <f>VLOOKUP($A563,'Neraca Unaudited SIMAK'!$A$2:$R$1272,3,FALSE)+IF(ISNA(VLOOKUP($A563,'Mutasi Neraca'!$A$3:$S$910,3,FALSE)),0,VLOOKUP($A563,'Mutasi Neraca'!$A$3:$S$910,3,FALSE))</f>
        <v>0</v>
      </c>
      <c r="E563" s="42">
        <f>VLOOKUP($A563,'Neraca Unaudited SIMAK'!$A$2:$R$1272,4,FALSE)+IF(ISNA(VLOOKUP($A563,'Mutasi Neraca'!$A$3:$S$910,4,FALSE)),0,VLOOKUP($A563,'Mutasi Neraca'!$A$3:$S$910,4,FALSE))</f>
        <v>975300000</v>
      </c>
      <c r="F563" s="42">
        <f>VLOOKUP($A563,'Neraca Unaudited SIMAK'!$A$2:$R$1272,5,FALSE)+IF(ISNA(VLOOKUP($A563,'Mutasi Neraca'!$A$3:$S$910,5,FALSE)),0,VLOOKUP($A563,'Mutasi Neraca'!$A$3:$S$910,5,FALSE))</f>
        <v>1167558217</v>
      </c>
      <c r="G563" s="42">
        <f>VLOOKUP($A563,'Neraca Unaudited SIMAK'!$A$2:$R$1272,6,FALSE)+IF(ISNA(VLOOKUP($A563,'Mutasi Neraca'!$A$3:$S$910,6,FALSE)),0,VLOOKUP($A563,'Mutasi Neraca'!$A$3:$S$910,6,FALSE))</f>
        <v>8679914993</v>
      </c>
      <c r="H563" s="42">
        <f>VLOOKUP($A563,'Neraca Unaudited SIMAK'!$A$2:$R$1272,7,FALSE)+IF(ISNA(VLOOKUP($A563,'Mutasi Neraca'!$A$3:$S$910,7,FALSE)),0,VLOOKUP($A563,'Mutasi Neraca'!$A$3:$S$910,7,FALSE))</f>
        <v>0</v>
      </c>
      <c r="I563" s="42">
        <f>VLOOKUP($A563,'Neraca Unaudited SIMAK'!$A$2:$R$1272,8,FALSE)+IF(ISNA(VLOOKUP($A563,'Mutasi Neraca'!$A$3:$S$910,8,FALSE)),0,VLOOKUP($A563,'Mutasi Neraca'!$A$3:$S$910,8,FALSE))</f>
        <v>29873900</v>
      </c>
      <c r="J563" s="42">
        <f>VLOOKUP($A563,'Neraca Unaudited SIMAK'!$A$2:$R$1272,9,FALSE)+IF(ISNA(VLOOKUP($A563,'Mutasi Neraca'!$A$3:$S$910,9,FALSE)),0,VLOOKUP($A563,'Mutasi Neraca'!$A$3:$S$910,9,FALSE))</f>
        <v>0</v>
      </c>
      <c r="K563" s="42">
        <f>VLOOKUP($A563,'Neraca Unaudited SIMAK'!$A$2:$R$1272,10,FALSE)+IF(ISNA(VLOOKUP($A563,'Mutasi Neraca'!$A$3:$S$910,10,FALSE)),0,VLOOKUP($A563,'Mutasi Neraca'!$A$3:$S$910,10,FALSE))</f>
        <v>3850000</v>
      </c>
      <c r="L563" s="42">
        <f>VLOOKUP($A563,'Neraca Unaudited SIMAK'!$A$2:$R$1272,11,FALSE)+IF(ISNA(VLOOKUP($A563,'Mutasi Neraca'!$A$3:$S$910,11,FALSE)),0,VLOOKUP($A563,'Mutasi Neraca'!$A$3:$S$910,11,FALSE))</f>
        <v>83810110</v>
      </c>
      <c r="M563" s="42">
        <f>VLOOKUP($A563,'Neraca Unaudited SIMAK'!$A$2:$R$1272,12,FALSE)+IF(ISNA(VLOOKUP($A563,'Mutasi Neraca'!$A$3:$S$910,12,FALSE)),0,VLOOKUP($A563,'Mutasi Neraca'!$A$3:$S$910,12,FALSE))</f>
        <v>10940307220</v>
      </c>
      <c r="N563" s="42">
        <f>VLOOKUP($A563,'Neraca Unaudited SIMAK'!$A$2:$R$1272,13,FALSE)+IF(ISNA(VLOOKUP($A563,'Mutasi Neraca'!$A$3:$S$910,13,FALSE)),0,VLOOKUP($A563,'Mutasi Neraca'!$A$3:$S$910,13,FALSE))</f>
        <v>-691248199</v>
      </c>
      <c r="O563" s="42">
        <f>VLOOKUP($A563,'Neraca Unaudited SIMAK'!$A$2:$R$1272,14,FALSE)+IF(ISNA(VLOOKUP($A563,'Mutasi Neraca'!$A$3:$S$910,14,FALSE)),0,VLOOKUP($A563,'Mutasi Neraca'!$A$3:$S$910,14,FALSE))</f>
        <v>-659785297</v>
      </c>
      <c r="P563" s="42">
        <f>VLOOKUP($A563,'Neraca Unaudited SIMAK'!$A$2:$R$1272,15,FALSE)+IF(ISNA(VLOOKUP($A563,'Mutasi Neraca'!$A$3:$S$910,15,FALSE)),0,VLOOKUP($A563,'Mutasi Neraca'!$A$3:$S$910,15,FALSE))</f>
        <v>0</v>
      </c>
      <c r="Q563" s="42">
        <f>VLOOKUP($A563,'Neraca Unaudited SIMAK'!$A$2:$R$1272,16,FALSE)+IF(ISNA(VLOOKUP($A563,'Mutasi Neraca'!$A$3:$S$910,16,FALSE)),0,VLOOKUP($A563,'Mutasi Neraca'!$A$3:$S$910,16,FALSE))</f>
        <v>0</v>
      </c>
      <c r="R563" s="42">
        <f>VLOOKUP($A563,'Neraca Unaudited SIMAK'!$A$2:$R$1272,17,FALSE)+IF(ISNA(VLOOKUP($A563,'Mutasi Neraca'!$A$3:$S$910,17,FALSE)),0,VLOOKUP($A563,'Mutasi Neraca'!$A$3:$S$910,17,FALSE))</f>
        <v>-83810110</v>
      </c>
      <c r="S563" s="42">
        <f t="shared" si="59"/>
        <v>9505463614</v>
      </c>
    </row>
    <row r="564" spans="1:19">
      <c r="A564" s="41" t="s">
        <v>571</v>
      </c>
      <c r="B564" s="41" t="str">
        <f t="shared" si="58"/>
        <v>005011800</v>
      </c>
      <c r="D564" s="42">
        <f>VLOOKUP($A564,'Neraca Unaudited SIMAK'!$A$2:$R$1272,3,FALSE)+IF(ISNA(VLOOKUP($A564,'Mutasi Neraca'!$A$3:$S$910,3,FALSE)),0,VLOOKUP($A564,'Mutasi Neraca'!$A$3:$S$910,3,FALSE))</f>
        <v>0</v>
      </c>
      <c r="E564" s="42">
        <f>VLOOKUP($A564,'Neraca Unaudited SIMAK'!$A$2:$R$1272,4,FALSE)+IF(ISNA(VLOOKUP($A564,'Mutasi Neraca'!$A$3:$S$910,4,FALSE)),0,VLOOKUP($A564,'Mutasi Neraca'!$A$3:$S$910,4,FALSE))</f>
        <v>844769000</v>
      </c>
      <c r="F564" s="42">
        <f>VLOOKUP($A564,'Neraca Unaudited SIMAK'!$A$2:$R$1272,5,FALSE)+IF(ISNA(VLOOKUP($A564,'Mutasi Neraca'!$A$3:$S$910,5,FALSE)),0,VLOOKUP($A564,'Mutasi Neraca'!$A$3:$S$910,5,FALSE))</f>
        <v>788607503</v>
      </c>
      <c r="G564" s="42">
        <f>VLOOKUP($A564,'Neraca Unaudited SIMAK'!$A$2:$R$1272,6,FALSE)+IF(ISNA(VLOOKUP($A564,'Mutasi Neraca'!$A$3:$S$910,6,FALSE)),0,VLOOKUP($A564,'Mutasi Neraca'!$A$3:$S$910,6,FALSE))</f>
        <v>5162730000</v>
      </c>
      <c r="H564" s="42">
        <f>VLOOKUP($A564,'Neraca Unaudited SIMAK'!$A$2:$R$1272,7,FALSE)+IF(ISNA(VLOOKUP($A564,'Mutasi Neraca'!$A$3:$S$910,7,FALSE)),0,VLOOKUP($A564,'Mutasi Neraca'!$A$3:$S$910,7,FALSE))</f>
        <v>420181900</v>
      </c>
      <c r="I564" s="42">
        <f>VLOOKUP($A564,'Neraca Unaudited SIMAK'!$A$2:$R$1272,8,FALSE)+IF(ISNA(VLOOKUP($A564,'Mutasi Neraca'!$A$3:$S$910,8,FALSE)),0,VLOOKUP($A564,'Mutasi Neraca'!$A$3:$S$910,8,FALSE))</f>
        <v>408000</v>
      </c>
      <c r="J564" s="42">
        <f>VLOOKUP($A564,'Neraca Unaudited SIMAK'!$A$2:$R$1272,9,FALSE)+IF(ISNA(VLOOKUP($A564,'Mutasi Neraca'!$A$3:$S$910,9,FALSE)),0,VLOOKUP($A564,'Mutasi Neraca'!$A$3:$S$910,9,FALSE))</f>
        <v>0</v>
      </c>
      <c r="K564" s="42">
        <f>VLOOKUP($A564,'Neraca Unaudited SIMAK'!$A$2:$R$1272,10,FALSE)+IF(ISNA(VLOOKUP($A564,'Mutasi Neraca'!$A$3:$S$910,10,FALSE)),0,VLOOKUP($A564,'Mutasi Neraca'!$A$3:$S$910,10,FALSE))</f>
        <v>3850000</v>
      </c>
      <c r="L564" s="42">
        <f>VLOOKUP($A564,'Neraca Unaudited SIMAK'!$A$2:$R$1272,11,FALSE)+IF(ISNA(VLOOKUP($A564,'Mutasi Neraca'!$A$3:$S$910,11,FALSE)),0,VLOOKUP($A564,'Mutasi Neraca'!$A$3:$S$910,11,FALSE))</f>
        <v>277870237</v>
      </c>
      <c r="M564" s="42">
        <f>VLOOKUP($A564,'Neraca Unaudited SIMAK'!$A$2:$R$1272,12,FALSE)+IF(ISNA(VLOOKUP($A564,'Mutasi Neraca'!$A$3:$S$910,12,FALSE)),0,VLOOKUP($A564,'Mutasi Neraca'!$A$3:$S$910,12,FALSE))</f>
        <v>7498416640</v>
      </c>
      <c r="N564" s="42">
        <f>VLOOKUP($A564,'Neraca Unaudited SIMAK'!$A$2:$R$1272,13,FALSE)+IF(ISNA(VLOOKUP($A564,'Mutasi Neraca'!$A$3:$S$910,13,FALSE)),0,VLOOKUP($A564,'Mutasi Neraca'!$A$3:$S$910,13,FALSE))</f>
        <v>-621639106</v>
      </c>
      <c r="O564" s="42">
        <f>VLOOKUP($A564,'Neraca Unaudited SIMAK'!$A$2:$R$1272,14,FALSE)+IF(ISNA(VLOOKUP($A564,'Mutasi Neraca'!$A$3:$S$910,14,FALSE)),0,VLOOKUP($A564,'Mutasi Neraca'!$A$3:$S$910,14,FALSE))</f>
        <v>-510337295</v>
      </c>
      <c r="P564" s="42">
        <f>VLOOKUP($A564,'Neraca Unaudited SIMAK'!$A$2:$R$1272,15,FALSE)+IF(ISNA(VLOOKUP($A564,'Mutasi Neraca'!$A$3:$S$910,15,FALSE)),0,VLOOKUP($A564,'Mutasi Neraca'!$A$3:$S$910,15,FALSE))</f>
        <v>-38082072</v>
      </c>
      <c r="Q564" s="42">
        <f>VLOOKUP($A564,'Neraca Unaudited SIMAK'!$A$2:$R$1272,16,FALSE)+IF(ISNA(VLOOKUP($A564,'Mutasi Neraca'!$A$3:$S$910,16,FALSE)),0,VLOOKUP($A564,'Mutasi Neraca'!$A$3:$S$910,16,FALSE))</f>
        <v>0</v>
      </c>
      <c r="R564" s="42">
        <f>VLOOKUP($A564,'Neraca Unaudited SIMAK'!$A$2:$R$1272,17,FALSE)+IF(ISNA(VLOOKUP($A564,'Mutasi Neraca'!$A$3:$S$910,17,FALSE)),0,VLOOKUP($A564,'Mutasi Neraca'!$A$3:$S$910,17,FALSE))</f>
        <v>-277870237</v>
      </c>
      <c r="S564" s="42">
        <f t="shared" si="59"/>
        <v>6050487930</v>
      </c>
    </row>
    <row r="565" spans="1:19">
      <c r="A565" s="41" t="s">
        <v>572</v>
      </c>
      <c r="B565" s="41" t="str">
        <f t="shared" si="58"/>
        <v>005011800</v>
      </c>
      <c r="D565" s="42">
        <f>VLOOKUP($A565,'Neraca Unaudited SIMAK'!$A$2:$R$1272,3,FALSE)+IF(ISNA(VLOOKUP($A565,'Mutasi Neraca'!$A$3:$S$910,3,FALSE)),0,VLOOKUP($A565,'Mutasi Neraca'!$A$3:$S$910,3,FALSE))</f>
        <v>3532315</v>
      </c>
      <c r="E565" s="42">
        <f>VLOOKUP($A565,'Neraca Unaudited SIMAK'!$A$2:$R$1272,4,FALSE)+IF(ISNA(VLOOKUP($A565,'Mutasi Neraca'!$A$3:$S$910,4,FALSE)),0,VLOOKUP($A565,'Mutasi Neraca'!$A$3:$S$910,4,FALSE))</f>
        <v>7887962310</v>
      </c>
      <c r="F565" s="42">
        <f>VLOOKUP($A565,'Neraca Unaudited SIMAK'!$A$2:$R$1272,5,FALSE)+IF(ISNA(VLOOKUP($A565,'Mutasi Neraca'!$A$3:$S$910,5,FALSE)),0,VLOOKUP($A565,'Mutasi Neraca'!$A$3:$S$910,5,FALSE))</f>
        <v>3983581373</v>
      </c>
      <c r="G565" s="42">
        <f>VLOOKUP($A565,'Neraca Unaudited SIMAK'!$A$2:$R$1272,6,FALSE)+IF(ISNA(VLOOKUP($A565,'Mutasi Neraca'!$A$3:$S$910,6,FALSE)),0,VLOOKUP($A565,'Mutasi Neraca'!$A$3:$S$910,6,FALSE))</f>
        <v>6144007671</v>
      </c>
      <c r="H565" s="42">
        <f>VLOOKUP($A565,'Neraca Unaudited SIMAK'!$A$2:$R$1272,7,FALSE)+IF(ISNA(VLOOKUP($A565,'Mutasi Neraca'!$A$3:$S$910,7,FALSE)),0,VLOOKUP($A565,'Mutasi Neraca'!$A$3:$S$910,7,FALSE))</f>
        <v>331446400</v>
      </c>
      <c r="I565" s="42">
        <f>VLOOKUP($A565,'Neraca Unaudited SIMAK'!$A$2:$R$1272,8,FALSE)+IF(ISNA(VLOOKUP($A565,'Mutasi Neraca'!$A$3:$S$910,8,FALSE)),0,VLOOKUP($A565,'Mutasi Neraca'!$A$3:$S$910,8,FALSE))</f>
        <v>8063440</v>
      </c>
      <c r="J565" s="42">
        <f>VLOOKUP($A565,'Neraca Unaudited SIMAK'!$A$2:$R$1272,9,FALSE)+IF(ISNA(VLOOKUP($A565,'Mutasi Neraca'!$A$3:$S$910,9,FALSE)),0,VLOOKUP($A565,'Mutasi Neraca'!$A$3:$S$910,9,FALSE))</f>
        <v>0</v>
      </c>
      <c r="K565" s="42">
        <f>VLOOKUP($A565,'Neraca Unaudited SIMAK'!$A$2:$R$1272,10,FALSE)+IF(ISNA(VLOOKUP($A565,'Mutasi Neraca'!$A$3:$S$910,10,FALSE)),0,VLOOKUP($A565,'Mutasi Neraca'!$A$3:$S$910,10,FALSE))</f>
        <v>0</v>
      </c>
      <c r="L565" s="42">
        <f>VLOOKUP($A565,'Neraca Unaudited SIMAK'!$A$2:$R$1272,11,FALSE)+IF(ISNA(VLOOKUP($A565,'Mutasi Neraca'!$A$3:$S$910,11,FALSE)),0,VLOOKUP($A565,'Mutasi Neraca'!$A$3:$S$910,11,FALSE))</f>
        <v>15876000</v>
      </c>
      <c r="M565" s="42">
        <f>VLOOKUP($A565,'Neraca Unaudited SIMAK'!$A$2:$R$1272,12,FALSE)+IF(ISNA(VLOOKUP($A565,'Mutasi Neraca'!$A$3:$S$910,12,FALSE)),0,VLOOKUP($A565,'Mutasi Neraca'!$A$3:$S$910,12,FALSE))</f>
        <v>18374469509</v>
      </c>
      <c r="N565" s="42">
        <f>VLOOKUP($A565,'Neraca Unaudited SIMAK'!$A$2:$R$1272,13,FALSE)+IF(ISNA(VLOOKUP($A565,'Mutasi Neraca'!$A$3:$S$910,13,FALSE)),0,VLOOKUP($A565,'Mutasi Neraca'!$A$3:$S$910,13,FALSE))</f>
        <v>-3651441860</v>
      </c>
      <c r="O565" s="42">
        <f>VLOOKUP($A565,'Neraca Unaudited SIMAK'!$A$2:$R$1272,14,FALSE)+IF(ISNA(VLOOKUP($A565,'Mutasi Neraca'!$A$3:$S$910,14,FALSE)),0,VLOOKUP($A565,'Mutasi Neraca'!$A$3:$S$910,14,FALSE))</f>
        <v>-2570019701</v>
      </c>
      <c r="P565" s="42">
        <f>VLOOKUP($A565,'Neraca Unaudited SIMAK'!$A$2:$R$1272,15,FALSE)+IF(ISNA(VLOOKUP($A565,'Mutasi Neraca'!$A$3:$S$910,15,FALSE)),0,VLOOKUP($A565,'Mutasi Neraca'!$A$3:$S$910,15,FALSE))</f>
        <v>-93834320</v>
      </c>
      <c r="Q565" s="42">
        <f>VLOOKUP($A565,'Neraca Unaudited SIMAK'!$A$2:$R$1272,16,FALSE)+IF(ISNA(VLOOKUP($A565,'Mutasi Neraca'!$A$3:$S$910,16,FALSE)),0,VLOOKUP($A565,'Mutasi Neraca'!$A$3:$S$910,16,FALSE))</f>
        <v>-1500000</v>
      </c>
      <c r="R565" s="42">
        <f>VLOOKUP($A565,'Neraca Unaudited SIMAK'!$A$2:$R$1272,17,FALSE)+IF(ISNA(VLOOKUP($A565,'Mutasi Neraca'!$A$3:$S$910,17,FALSE)),0,VLOOKUP($A565,'Mutasi Neraca'!$A$3:$S$910,17,FALSE))</f>
        <v>-15876000</v>
      </c>
      <c r="S565" s="42">
        <f t="shared" si="59"/>
        <v>12041797628</v>
      </c>
    </row>
    <row r="566" spans="1:19">
      <c r="A566" s="41" t="s">
        <v>573</v>
      </c>
      <c r="B566" s="41" t="str">
        <f t="shared" si="58"/>
        <v>005011800</v>
      </c>
      <c r="D566" s="42">
        <f>VLOOKUP($A566,'Neraca Unaudited SIMAK'!$A$2:$R$1272,3,FALSE)+IF(ISNA(VLOOKUP($A566,'Mutasi Neraca'!$A$3:$S$910,3,FALSE)),0,VLOOKUP($A566,'Mutasi Neraca'!$A$3:$S$910,3,FALSE))</f>
        <v>73500</v>
      </c>
      <c r="E566" s="42">
        <f>VLOOKUP($A566,'Neraca Unaudited SIMAK'!$A$2:$R$1272,4,FALSE)+IF(ISNA(VLOOKUP($A566,'Mutasi Neraca'!$A$3:$S$910,4,FALSE)),0,VLOOKUP($A566,'Mutasi Neraca'!$A$3:$S$910,4,FALSE))</f>
        <v>149710000</v>
      </c>
      <c r="F566" s="42">
        <f>VLOOKUP($A566,'Neraca Unaudited SIMAK'!$A$2:$R$1272,5,FALSE)+IF(ISNA(VLOOKUP($A566,'Mutasi Neraca'!$A$3:$S$910,5,FALSE)),0,VLOOKUP($A566,'Mutasi Neraca'!$A$3:$S$910,5,FALSE))</f>
        <v>1385103247</v>
      </c>
      <c r="G566" s="42">
        <f>VLOOKUP($A566,'Neraca Unaudited SIMAK'!$A$2:$R$1272,6,FALSE)+IF(ISNA(VLOOKUP($A566,'Mutasi Neraca'!$A$3:$S$910,6,FALSE)),0,VLOOKUP($A566,'Mutasi Neraca'!$A$3:$S$910,6,FALSE))</f>
        <v>5665367008</v>
      </c>
      <c r="H566" s="42">
        <f>VLOOKUP($A566,'Neraca Unaudited SIMAK'!$A$2:$R$1272,7,FALSE)+IF(ISNA(VLOOKUP($A566,'Mutasi Neraca'!$A$3:$S$910,7,FALSE)),0,VLOOKUP($A566,'Mutasi Neraca'!$A$3:$S$910,7,FALSE))</f>
        <v>238439000</v>
      </c>
      <c r="I566" s="42">
        <f>VLOOKUP($A566,'Neraca Unaudited SIMAK'!$A$2:$R$1272,8,FALSE)+IF(ISNA(VLOOKUP($A566,'Mutasi Neraca'!$A$3:$S$910,8,FALSE)),0,VLOOKUP($A566,'Mutasi Neraca'!$A$3:$S$910,8,FALSE))</f>
        <v>11626840</v>
      </c>
      <c r="J566" s="42">
        <f>VLOOKUP($A566,'Neraca Unaudited SIMAK'!$A$2:$R$1272,9,FALSE)+IF(ISNA(VLOOKUP($A566,'Mutasi Neraca'!$A$3:$S$910,9,FALSE)),0,VLOOKUP($A566,'Mutasi Neraca'!$A$3:$S$910,9,FALSE))</f>
        <v>0</v>
      </c>
      <c r="K566" s="42">
        <f>VLOOKUP($A566,'Neraca Unaudited SIMAK'!$A$2:$R$1272,10,FALSE)+IF(ISNA(VLOOKUP($A566,'Mutasi Neraca'!$A$3:$S$910,10,FALSE)),0,VLOOKUP($A566,'Mutasi Neraca'!$A$3:$S$910,10,FALSE))</f>
        <v>0</v>
      </c>
      <c r="L566" s="42">
        <f>VLOOKUP($A566,'Neraca Unaudited SIMAK'!$A$2:$R$1272,11,FALSE)+IF(ISNA(VLOOKUP($A566,'Mutasi Neraca'!$A$3:$S$910,11,FALSE)),0,VLOOKUP($A566,'Mutasi Neraca'!$A$3:$S$910,11,FALSE))</f>
        <v>43560500</v>
      </c>
      <c r="M566" s="42">
        <f>VLOOKUP($A566,'Neraca Unaudited SIMAK'!$A$2:$R$1272,12,FALSE)+IF(ISNA(VLOOKUP($A566,'Mutasi Neraca'!$A$3:$S$910,12,FALSE)),0,VLOOKUP($A566,'Mutasi Neraca'!$A$3:$S$910,12,FALSE))</f>
        <v>7493880095</v>
      </c>
      <c r="N566" s="42">
        <f>VLOOKUP($A566,'Neraca Unaudited SIMAK'!$A$2:$R$1272,13,FALSE)+IF(ISNA(VLOOKUP($A566,'Mutasi Neraca'!$A$3:$S$910,13,FALSE)),0,VLOOKUP($A566,'Mutasi Neraca'!$A$3:$S$910,13,FALSE))</f>
        <v>-1079518819</v>
      </c>
      <c r="O566" s="42">
        <f>VLOOKUP($A566,'Neraca Unaudited SIMAK'!$A$2:$R$1272,14,FALSE)+IF(ISNA(VLOOKUP($A566,'Mutasi Neraca'!$A$3:$S$910,14,FALSE)),0,VLOOKUP($A566,'Mutasi Neraca'!$A$3:$S$910,14,FALSE))</f>
        <v>-1412306801</v>
      </c>
      <c r="P566" s="42">
        <f>VLOOKUP($A566,'Neraca Unaudited SIMAK'!$A$2:$R$1272,15,FALSE)+IF(ISNA(VLOOKUP($A566,'Mutasi Neraca'!$A$3:$S$910,15,FALSE)),0,VLOOKUP($A566,'Mutasi Neraca'!$A$3:$S$910,15,FALSE))</f>
        <v>-39740088</v>
      </c>
      <c r="Q566" s="42">
        <f>VLOOKUP($A566,'Neraca Unaudited SIMAK'!$A$2:$R$1272,16,FALSE)+IF(ISNA(VLOOKUP($A566,'Mutasi Neraca'!$A$3:$S$910,16,FALSE)),0,VLOOKUP($A566,'Mutasi Neraca'!$A$3:$S$910,16,FALSE))</f>
        <v>0</v>
      </c>
      <c r="R566" s="42">
        <f>VLOOKUP($A566,'Neraca Unaudited SIMAK'!$A$2:$R$1272,17,FALSE)+IF(ISNA(VLOOKUP($A566,'Mutasi Neraca'!$A$3:$S$910,17,FALSE)),0,VLOOKUP($A566,'Mutasi Neraca'!$A$3:$S$910,17,FALSE))</f>
        <v>-43560500</v>
      </c>
      <c r="S566" s="42">
        <f t="shared" si="59"/>
        <v>4918753887</v>
      </c>
    </row>
    <row r="567" spans="1:19">
      <c r="A567" s="41" t="s">
        <v>574</v>
      </c>
      <c r="B567" s="41" t="str">
        <f t="shared" si="58"/>
        <v>005011800</v>
      </c>
      <c r="D567" s="42">
        <f>VLOOKUP($A567,'Neraca Unaudited SIMAK'!$A$2:$R$1272,3,FALSE)+IF(ISNA(VLOOKUP($A567,'Mutasi Neraca'!$A$3:$S$910,3,FALSE)),0,VLOOKUP($A567,'Mutasi Neraca'!$A$3:$S$910,3,FALSE))</f>
        <v>155875</v>
      </c>
      <c r="E567" s="42">
        <f>VLOOKUP($A567,'Neraca Unaudited SIMAK'!$A$2:$R$1272,4,FALSE)+IF(ISNA(VLOOKUP($A567,'Mutasi Neraca'!$A$3:$S$910,4,FALSE)),0,VLOOKUP($A567,'Mutasi Neraca'!$A$3:$S$910,4,FALSE))</f>
        <v>2516266520</v>
      </c>
      <c r="F567" s="42">
        <f>VLOOKUP($A567,'Neraca Unaudited SIMAK'!$A$2:$R$1272,5,FALSE)+IF(ISNA(VLOOKUP($A567,'Mutasi Neraca'!$A$3:$S$910,5,FALSE)),0,VLOOKUP($A567,'Mutasi Neraca'!$A$3:$S$910,5,FALSE))</f>
        <v>3529280257</v>
      </c>
      <c r="G567" s="42">
        <f>VLOOKUP($A567,'Neraca Unaudited SIMAK'!$A$2:$R$1272,6,FALSE)+IF(ISNA(VLOOKUP($A567,'Mutasi Neraca'!$A$3:$S$910,6,FALSE)),0,VLOOKUP($A567,'Mutasi Neraca'!$A$3:$S$910,6,FALSE))</f>
        <v>10987830552</v>
      </c>
      <c r="H567" s="42">
        <f>VLOOKUP($A567,'Neraca Unaudited SIMAK'!$A$2:$R$1272,7,FALSE)+IF(ISNA(VLOOKUP($A567,'Mutasi Neraca'!$A$3:$S$910,7,FALSE)),0,VLOOKUP($A567,'Mutasi Neraca'!$A$3:$S$910,7,FALSE))</f>
        <v>7884900</v>
      </c>
      <c r="I567" s="42">
        <f>VLOOKUP($A567,'Neraca Unaudited SIMAK'!$A$2:$R$1272,8,FALSE)+IF(ISNA(VLOOKUP($A567,'Mutasi Neraca'!$A$3:$S$910,8,FALSE)),0,VLOOKUP($A567,'Mutasi Neraca'!$A$3:$S$910,8,FALSE))</f>
        <v>36058740</v>
      </c>
      <c r="J567" s="42">
        <f>VLOOKUP($A567,'Neraca Unaudited SIMAK'!$A$2:$R$1272,9,FALSE)+IF(ISNA(VLOOKUP($A567,'Mutasi Neraca'!$A$3:$S$910,9,FALSE)),0,VLOOKUP($A567,'Mutasi Neraca'!$A$3:$S$910,9,FALSE))</f>
        <v>0</v>
      </c>
      <c r="K567" s="42">
        <f>VLOOKUP($A567,'Neraca Unaudited SIMAK'!$A$2:$R$1272,10,FALSE)+IF(ISNA(VLOOKUP($A567,'Mutasi Neraca'!$A$3:$S$910,10,FALSE)),0,VLOOKUP($A567,'Mutasi Neraca'!$A$3:$S$910,10,FALSE))</f>
        <v>3850000</v>
      </c>
      <c r="L567" s="42">
        <f>VLOOKUP($A567,'Neraca Unaudited SIMAK'!$A$2:$R$1272,11,FALSE)+IF(ISNA(VLOOKUP($A567,'Mutasi Neraca'!$A$3:$S$910,11,FALSE)),0,VLOOKUP($A567,'Mutasi Neraca'!$A$3:$S$910,11,FALSE))</f>
        <v>16431450</v>
      </c>
      <c r="M567" s="42">
        <f>VLOOKUP($A567,'Neraca Unaudited SIMAK'!$A$2:$R$1272,12,FALSE)+IF(ISNA(VLOOKUP($A567,'Mutasi Neraca'!$A$3:$S$910,12,FALSE)),0,VLOOKUP($A567,'Mutasi Neraca'!$A$3:$S$910,12,FALSE))</f>
        <v>17097758294</v>
      </c>
      <c r="N567" s="42">
        <f>VLOOKUP($A567,'Neraca Unaudited SIMAK'!$A$2:$R$1272,13,FALSE)+IF(ISNA(VLOOKUP($A567,'Mutasi Neraca'!$A$3:$S$910,13,FALSE)),0,VLOOKUP($A567,'Mutasi Neraca'!$A$3:$S$910,13,FALSE))</f>
        <v>-3223631512</v>
      </c>
      <c r="O567" s="42">
        <f>VLOOKUP($A567,'Neraca Unaudited SIMAK'!$A$2:$R$1272,14,FALSE)+IF(ISNA(VLOOKUP($A567,'Mutasi Neraca'!$A$3:$S$910,14,FALSE)),0,VLOOKUP($A567,'Mutasi Neraca'!$A$3:$S$910,14,FALSE))</f>
        <v>-1020161867</v>
      </c>
      <c r="P567" s="42">
        <f>VLOOKUP($A567,'Neraca Unaudited SIMAK'!$A$2:$R$1272,15,FALSE)+IF(ISNA(VLOOKUP($A567,'Mutasi Neraca'!$A$3:$S$910,15,FALSE)),0,VLOOKUP($A567,'Mutasi Neraca'!$A$3:$S$910,15,FALSE))</f>
        <v>-1182735</v>
      </c>
      <c r="Q567" s="42">
        <f>VLOOKUP($A567,'Neraca Unaudited SIMAK'!$A$2:$R$1272,16,FALSE)+IF(ISNA(VLOOKUP($A567,'Mutasi Neraca'!$A$3:$S$910,16,FALSE)),0,VLOOKUP($A567,'Mutasi Neraca'!$A$3:$S$910,16,FALSE))</f>
        <v>-25500000</v>
      </c>
      <c r="R567" s="42">
        <f>VLOOKUP($A567,'Neraca Unaudited SIMAK'!$A$2:$R$1272,17,FALSE)+IF(ISNA(VLOOKUP($A567,'Mutasi Neraca'!$A$3:$S$910,17,FALSE)),0,VLOOKUP($A567,'Mutasi Neraca'!$A$3:$S$910,17,FALSE))</f>
        <v>-15627034</v>
      </c>
      <c r="S567" s="42">
        <f t="shared" si="59"/>
        <v>12811655146</v>
      </c>
    </row>
    <row r="568" spans="1:19">
      <c r="A568" s="41" t="s">
        <v>575</v>
      </c>
      <c r="B568" s="41" t="str">
        <f t="shared" si="58"/>
        <v>005011800</v>
      </c>
      <c r="D568" s="42">
        <f>VLOOKUP($A568,'Neraca Unaudited SIMAK'!$A$2:$R$1272,3,FALSE)+IF(ISNA(VLOOKUP($A568,'Mutasi Neraca'!$A$3:$S$910,3,FALSE)),0,VLOOKUP($A568,'Mutasi Neraca'!$A$3:$S$910,3,FALSE))</f>
        <v>0</v>
      </c>
      <c r="E568" s="42">
        <f>VLOOKUP($A568,'Neraca Unaudited SIMAK'!$A$2:$R$1272,4,FALSE)+IF(ISNA(VLOOKUP($A568,'Mutasi Neraca'!$A$3:$S$910,4,FALSE)),0,VLOOKUP($A568,'Mutasi Neraca'!$A$3:$S$910,4,FALSE))</f>
        <v>1996275000</v>
      </c>
      <c r="F568" s="42">
        <f>VLOOKUP($A568,'Neraca Unaudited SIMAK'!$A$2:$R$1272,5,FALSE)+IF(ISNA(VLOOKUP($A568,'Mutasi Neraca'!$A$3:$S$910,5,FALSE)),0,VLOOKUP($A568,'Mutasi Neraca'!$A$3:$S$910,5,FALSE))</f>
        <v>2176293032</v>
      </c>
      <c r="G568" s="42">
        <f>VLOOKUP($A568,'Neraca Unaudited SIMAK'!$A$2:$R$1272,6,FALSE)+IF(ISNA(VLOOKUP($A568,'Mutasi Neraca'!$A$3:$S$910,6,FALSE)),0,VLOOKUP($A568,'Mutasi Neraca'!$A$3:$S$910,6,FALSE))</f>
        <v>9743461521</v>
      </c>
      <c r="H568" s="42">
        <f>VLOOKUP($A568,'Neraca Unaudited SIMAK'!$A$2:$R$1272,7,FALSE)+IF(ISNA(VLOOKUP($A568,'Mutasi Neraca'!$A$3:$S$910,7,FALSE)),0,VLOOKUP($A568,'Mutasi Neraca'!$A$3:$S$910,7,FALSE))</f>
        <v>92860000</v>
      </c>
      <c r="I568" s="42">
        <f>VLOOKUP($A568,'Neraca Unaudited SIMAK'!$A$2:$R$1272,8,FALSE)+IF(ISNA(VLOOKUP($A568,'Mutasi Neraca'!$A$3:$S$910,8,FALSE)),0,VLOOKUP($A568,'Mutasi Neraca'!$A$3:$S$910,8,FALSE))</f>
        <v>15064000</v>
      </c>
      <c r="J568" s="42">
        <f>VLOOKUP($A568,'Neraca Unaudited SIMAK'!$A$2:$R$1272,9,FALSE)+IF(ISNA(VLOOKUP($A568,'Mutasi Neraca'!$A$3:$S$910,9,FALSE)),0,VLOOKUP($A568,'Mutasi Neraca'!$A$3:$S$910,9,FALSE))</f>
        <v>0</v>
      </c>
      <c r="K568" s="42">
        <f>VLOOKUP($A568,'Neraca Unaudited SIMAK'!$A$2:$R$1272,10,FALSE)+IF(ISNA(VLOOKUP($A568,'Mutasi Neraca'!$A$3:$S$910,10,FALSE)),0,VLOOKUP($A568,'Mutasi Neraca'!$A$3:$S$910,10,FALSE))</f>
        <v>156405000</v>
      </c>
      <c r="L568" s="42">
        <f>VLOOKUP($A568,'Neraca Unaudited SIMAK'!$A$2:$R$1272,11,FALSE)+IF(ISNA(VLOOKUP($A568,'Mutasi Neraca'!$A$3:$S$910,11,FALSE)),0,VLOOKUP($A568,'Mutasi Neraca'!$A$3:$S$910,11,FALSE))</f>
        <v>0</v>
      </c>
      <c r="M568" s="42">
        <f>VLOOKUP($A568,'Neraca Unaudited SIMAK'!$A$2:$R$1272,12,FALSE)+IF(ISNA(VLOOKUP($A568,'Mutasi Neraca'!$A$3:$S$910,12,FALSE)),0,VLOOKUP($A568,'Mutasi Neraca'!$A$3:$S$910,12,FALSE))</f>
        <v>14180358553</v>
      </c>
      <c r="N568" s="42">
        <f>VLOOKUP($A568,'Neraca Unaudited SIMAK'!$A$2:$R$1272,13,FALSE)+IF(ISNA(VLOOKUP($A568,'Mutasi Neraca'!$A$3:$S$910,13,FALSE)),0,VLOOKUP($A568,'Mutasi Neraca'!$A$3:$S$910,13,FALSE))</f>
        <v>-1838491449</v>
      </c>
      <c r="O568" s="42">
        <f>VLOOKUP($A568,'Neraca Unaudited SIMAK'!$A$2:$R$1272,14,FALSE)+IF(ISNA(VLOOKUP($A568,'Mutasi Neraca'!$A$3:$S$910,14,FALSE)),0,VLOOKUP($A568,'Mutasi Neraca'!$A$3:$S$910,14,FALSE))</f>
        <v>-821813549</v>
      </c>
      <c r="P568" s="42">
        <f>VLOOKUP($A568,'Neraca Unaudited SIMAK'!$A$2:$R$1272,15,FALSE)+IF(ISNA(VLOOKUP($A568,'Mutasi Neraca'!$A$3:$S$910,15,FALSE)),0,VLOOKUP($A568,'Mutasi Neraca'!$A$3:$S$910,15,FALSE))</f>
        <v>-16250500</v>
      </c>
      <c r="Q568" s="42">
        <f>VLOOKUP($A568,'Neraca Unaudited SIMAK'!$A$2:$R$1272,16,FALSE)+IF(ISNA(VLOOKUP($A568,'Mutasi Neraca'!$A$3:$S$910,16,FALSE)),0,VLOOKUP($A568,'Mutasi Neraca'!$A$3:$S$910,16,FALSE))</f>
        <v>-15064000</v>
      </c>
      <c r="R568" s="42">
        <f>VLOOKUP($A568,'Neraca Unaudited SIMAK'!$A$2:$R$1272,17,FALSE)+IF(ISNA(VLOOKUP($A568,'Mutasi Neraca'!$A$3:$S$910,17,FALSE)),0,VLOOKUP($A568,'Mutasi Neraca'!$A$3:$S$910,17,FALSE))</f>
        <v>0</v>
      </c>
      <c r="S568" s="42">
        <f t="shared" si="59"/>
        <v>11488739055</v>
      </c>
    </row>
    <row r="569" spans="1:19">
      <c r="A569" s="41" t="s">
        <v>576</v>
      </c>
      <c r="B569" s="41" t="str">
        <f t="shared" si="58"/>
        <v>005011800</v>
      </c>
      <c r="D569" s="42">
        <f>VLOOKUP($A569,'Neraca Unaudited SIMAK'!$A$2:$R$1272,3,FALSE)+IF(ISNA(VLOOKUP($A569,'Mutasi Neraca'!$A$3:$S$910,3,FALSE)),0,VLOOKUP($A569,'Mutasi Neraca'!$A$3:$S$910,3,FALSE))</f>
        <v>0</v>
      </c>
      <c r="E569" s="42">
        <f>VLOOKUP($A569,'Neraca Unaudited SIMAK'!$A$2:$R$1272,4,FALSE)+IF(ISNA(VLOOKUP($A569,'Mutasi Neraca'!$A$3:$S$910,4,FALSE)),0,VLOOKUP($A569,'Mutasi Neraca'!$A$3:$S$910,4,FALSE))</f>
        <v>242820000</v>
      </c>
      <c r="F569" s="42">
        <f>VLOOKUP($A569,'Neraca Unaudited SIMAK'!$A$2:$R$1272,5,FALSE)+IF(ISNA(VLOOKUP($A569,'Mutasi Neraca'!$A$3:$S$910,5,FALSE)),0,VLOOKUP($A569,'Mutasi Neraca'!$A$3:$S$910,5,FALSE))</f>
        <v>1378829990</v>
      </c>
      <c r="G569" s="42">
        <f>VLOOKUP($A569,'Neraca Unaudited SIMAK'!$A$2:$R$1272,6,FALSE)+IF(ISNA(VLOOKUP($A569,'Mutasi Neraca'!$A$3:$S$910,6,FALSE)),0,VLOOKUP($A569,'Mutasi Neraca'!$A$3:$S$910,6,FALSE))</f>
        <v>1379401787</v>
      </c>
      <c r="H569" s="42">
        <f>VLOOKUP($A569,'Neraca Unaudited SIMAK'!$A$2:$R$1272,7,FALSE)+IF(ISNA(VLOOKUP($A569,'Mutasi Neraca'!$A$3:$S$910,7,FALSE)),0,VLOOKUP($A569,'Mutasi Neraca'!$A$3:$S$910,7,FALSE))</f>
        <v>0</v>
      </c>
      <c r="I569" s="42">
        <f>VLOOKUP($A569,'Neraca Unaudited SIMAK'!$A$2:$R$1272,8,FALSE)+IF(ISNA(VLOOKUP($A569,'Mutasi Neraca'!$A$3:$S$910,8,FALSE)),0,VLOOKUP($A569,'Mutasi Neraca'!$A$3:$S$910,8,FALSE))</f>
        <v>4532370</v>
      </c>
      <c r="J569" s="42">
        <f>VLOOKUP($A569,'Neraca Unaudited SIMAK'!$A$2:$R$1272,9,FALSE)+IF(ISNA(VLOOKUP($A569,'Mutasi Neraca'!$A$3:$S$910,9,FALSE)),0,VLOOKUP($A569,'Mutasi Neraca'!$A$3:$S$910,9,FALSE))</f>
        <v>0</v>
      </c>
      <c r="K569" s="42">
        <f>VLOOKUP($A569,'Neraca Unaudited SIMAK'!$A$2:$R$1272,10,FALSE)+IF(ISNA(VLOOKUP($A569,'Mutasi Neraca'!$A$3:$S$910,10,FALSE)),0,VLOOKUP($A569,'Mutasi Neraca'!$A$3:$S$910,10,FALSE))</f>
        <v>26720000</v>
      </c>
      <c r="L569" s="42">
        <f>VLOOKUP($A569,'Neraca Unaudited SIMAK'!$A$2:$R$1272,11,FALSE)+IF(ISNA(VLOOKUP($A569,'Mutasi Neraca'!$A$3:$S$910,11,FALSE)),0,VLOOKUP($A569,'Mutasi Neraca'!$A$3:$S$910,11,FALSE))</f>
        <v>0</v>
      </c>
      <c r="M569" s="42">
        <f>VLOOKUP($A569,'Neraca Unaudited SIMAK'!$A$2:$R$1272,12,FALSE)+IF(ISNA(VLOOKUP($A569,'Mutasi Neraca'!$A$3:$S$910,12,FALSE)),0,VLOOKUP($A569,'Mutasi Neraca'!$A$3:$S$910,12,FALSE))</f>
        <v>3032304147</v>
      </c>
      <c r="N569" s="42">
        <f>VLOOKUP($A569,'Neraca Unaudited SIMAK'!$A$2:$R$1272,13,FALSE)+IF(ISNA(VLOOKUP($A569,'Mutasi Neraca'!$A$3:$S$910,13,FALSE)),0,VLOOKUP($A569,'Mutasi Neraca'!$A$3:$S$910,13,FALSE))</f>
        <v>-1138853036</v>
      </c>
      <c r="O569" s="42">
        <f>VLOOKUP($A569,'Neraca Unaudited SIMAK'!$A$2:$R$1272,14,FALSE)+IF(ISNA(VLOOKUP($A569,'Mutasi Neraca'!$A$3:$S$910,14,FALSE)),0,VLOOKUP($A569,'Mutasi Neraca'!$A$3:$S$910,14,FALSE))</f>
        <v>-179554517</v>
      </c>
      <c r="P569" s="42">
        <f>VLOOKUP($A569,'Neraca Unaudited SIMAK'!$A$2:$R$1272,15,FALSE)+IF(ISNA(VLOOKUP($A569,'Mutasi Neraca'!$A$3:$S$910,15,FALSE)),0,VLOOKUP($A569,'Mutasi Neraca'!$A$3:$S$910,15,FALSE))</f>
        <v>0</v>
      </c>
      <c r="Q569" s="42">
        <f>VLOOKUP($A569,'Neraca Unaudited SIMAK'!$A$2:$R$1272,16,FALSE)+IF(ISNA(VLOOKUP($A569,'Mutasi Neraca'!$A$3:$S$910,16,FALSE)),0,VLOOKUP($A569,'Mutasi Neraca'!$A$3:$S$910,16,FALSE))</f>
        <v>0</v>
      </c>
      <c r="R569" s="42">
        <f>VLOOKUP($A569,'Neraca Unaudited SIMAK'!$A$2:$R$1272,17,FALSE)+IF(ISNA(VLOOKUP($A569,'Mutasi Neraca'!$A$3:$S$910,17,FALSE)),0,VLOOKUP($A569,'Mutasi Neraca'!$A$3:$S$910,17,FALSE))</f>
        <v>0</v>
      </c>
      <c r="S569" s="42">
        <f t="shared" si="59"/>
        <v>1713896594</v>
      </c>
    </row>
    <row r="570" spans="1:19">
      <c r="A570" s="41" t="s">
        <v>577</v>
      </c>
      <c r="B570" s="41" t="str">
        <f t="shared" si="58"/>
        <v>005011800</v>
      </c>
      <c r="D570" s="42">
        <f>VLOOKUP($A570,'Neraca Unaudited SIMAK'!$A$2:$R$1272,3,FALSE)+IF(ISNA(VLOOKUP($A570,'Mutasi Neraca'!$A$3:$S$910,3,FALSE)),0,VLOOKUP($A570,'Mutasi Neraca'!$A$3:$S$910,3,FALSE))</f>
        <v>442000</v>
      </c>
      <c r="E570" s="42">
        <f>VLOOKUP($A570,'Neraca Unaudited SIMAK'!$A$2:$R$1272,4,FALSE)+IF(ISNA(VLOOKUP($A570,'Mutasi Neraca'!$A$3:$S$910,4,FALSE)),0,VLOOKUP($A570,'Mutasi Neraca'!$A$3:$S$910,4,FALSE))</f>
        <v>925312037</v>
      </c>
      <c r="F570" s="42">
        <f>VLOOKUP($A570,'Neraca Unaudited SIMAK'!$A$2:$R$1272,5,FALSE)+IF(ISNA(VLOOKUP($A570,'Mutasi Neraca'!$A$3:$S$910,5,FALSE)),0,VLOOKUP($A570,'Mutasi Neraca'!$A$3:$S$910,5,FALSE))</f>
        <v>824066804</v>
      </c>
      <c r="G570" s="42">
        <f>VLOOKUP($A570,'Neraca Unaudited SIMAK'!$A$2:$R$1272,6,FALSE)+IF(ISNA(VLOOKUP($A570,'Mutasi Neraca'!$A$3:$S$910,6,FALSE)),0,VLOOKUP($A570,'Mutasi Neraca'!$A$3:$S$910,6,FALSE))</f>
        <v>2230781800</v>
      </c>
      <c r="H570" s="42">
        <f>VLOOKUP($A570,'Neraca Unaudited SIMAK'!$A$2:$R$1272,7,FALSE)+IF(ISNA(VLOOKUP($A570,'Mutasi Neraca'!$A$3:$S$910,7,FALSE)),0,VLOOKUP($A570,'Mutasi Neraca'!$A$3:$S$910,7,FALSE))</f>
        <v>0</v>
      </c>
      <c r="I570" s="42">
        <f>VLOOKUP($A570,'Neraca Unaudited SIMAK'!$A$2:$R$1272,8,FALSE)+IF(ISNA(VLOOKUP($A570,'Mutasi Neraca'!$A$3:$S$910,8,FALSE)),0,VLOOKUP($A570,'Mutasi Neraca'!$A$3:$S$910,8,FALSE))</f>
        <v>408000</v>
      </c>
      <c r="J570" s="42">
        <f>VLOOKUP($A570,'Neraca Unaudited SIMAK'!$A$2:$R$1272,9,FALSE)+IF(ISNA(VLOOKUP($A570,'Mutasi Neraca'!$A$3:$S$910,9,FALSE)),0,VLOOKUP($A570,'Mutasi Neraca'!$A$3:$S$910,9,FALSE))</f>
        <v>0</v>
      </c>
      <c r="K570" s="42">
        <f>VLOOKUP($A570,'Neraca Unaudited SIMAK'!$A$2:$R$1272,10,FALSE)+IF(ISNA(VLOOKUP($A570,'Mutasi Neraca'!$A$3:$S$910,10,FALSE)),0,VLOOKUP($A570,'Mutasi Neraca'!$A$3:$S$910,10,FALSE))</f>
        <v>3850000</v>
      </c>
      <c r="L570" s="42">
        <f>VLOOKUP($A570,'Neraca Unaudited SIMAK'!$A$2:$R$1272,11,FALSE)+IF(ISNA(VLOOKUP($A570,'Mutasi Neraca'!$A$3:$S$910,11,FALSE)),0,VLOOKUP($A570,'Mutasi Neraca'!$A$3:$S$910,11,FALSE))</f>
        <v>54918998</v>
      </c>
      <c r="M570" s="42">
        <f>VLOOKUP($A570,'Neraca Unaudited SIMAK'!$A$2:$R$1272,12,FALSE)+IF(ISNA(VLOOKUP($A570,'Mutasi Neraca'!$A$3:$S$910,12,FALSE)),0,VLOOKUP($A570,'Mutasi Neraca'!$A$3:$S$910,12,FALSE))</f>
        <v>4039779639</v>
      </c>
      <c r="N570" s="42">
        <f>VLOOKUP($A570,'Neraca Unaudited SIMAK'!$A$2:$R$1272,13,FALSE)+IF(ISNA(VLOOKUP($A570,'Mutasi Neraca'!$A$3:$S$910,13,FALSE)),0,VLOOKUP($A570,'Mutasi Neraca'!$A$3:$S$910,13,FALSE))</f>
        <v>-674816084</v>
      </c>
      <c r="O570" s="42">
        <f>VLOOKUP($A570,'Neraca Unaudited SIMAK'!$A$2:$R$1272,14,FALSE)+IF(ISNA(VLOOKUP($A570,'Mutasi Neraca'!$A$3:$S$910,14,FALSE)),0,VLOOKUP($A570,'Mutasi Neraca'!$A$3:$S$910,14,FALSE))</f>
        <v>-388190426</v>
      </c>
      <c r="P570" s="42">
        <f>VLOOKUP($A570,'Neraca Unaudited SIMAK'!$A$2:$R$1272,15,FALSE)+IF(ISNA(VLOOKUP($A570,'Mutasi Neraca'!$A$3:$S$910,15,FALSE)),0,VLOOKUP($A570,'Mutasi Neraca'!$A$3:$S$910,15,FALSE))</f>
        <v>0</v>
      </c>
      <c r="Q570" s="42">
        <f>VLOOKUP($A570,'Neraca Unaudited SIMAK'!$A$2:$R$1272,16,FALSE)+IF(ISNA(VLOOKUP($A570,'Mutasi Neraca'!$A$3:$S$910,16,FALSE)),0,VLOOKUP($A570,'Mutasi Neraca'!$A$3:$S$910,16,FALSE))</f>
        <v>0</v>
      </c>
      <c r="R570" s="42">
        <f>VLOOKUP($A570,'Neraca Unaudited SIMAK'!$A$2:$R$1272,17,FALSE)+IF(ISNA(VLOOKUP($A570,'Mutasi Neraca'!$A$3:$S$910,17,FALSE)),0,VLOOKUP($A570,'Mutasi Neraca'!$A$3:$S$910,17,FALSE))</f>
        <v>-54823998</v>
      </c>
      <c r="S570" s="42">
        <f t="shared" si="59"/>
        <v>2921949131</v>
      </c>
    </row>
    <row r="571" spans="1:19">
      <c r="A571" s="41" t="s">
        <v>578</v>
      </c>
      <c r="B571" s="41" t="str">
        <f t="shared" si="58"/>
        <v>005011800</v>
      </c>
      <c r="D571" s="42">
        <f>VLOOKUP($A571,'Neraca Unaudited SIMAK'!$A$2:$R$1272,3,FALSE)+IF(ISNA(VLOOKUP($A571,'Mutasi Neraca'!$A$3:$S$910,3,FALSE)),0,VLOOKUP($A571,'Mutasi Neraca'!$A$3:$S$910,3,FALSE))</f>
        <v>0</v>
      </c>
      <c r="E571" s="42">
        <f>VLOOKUP($A571,'Neraca Unaudited SIMAK'!$A$2:$R$1272,4,FALSE)+IF(ISNA(VLOOKUP($A571,'Mutasi Neraca'!$A$3:$S$910,4,FALSE)),0,VLOOKUP($A571,'Mutasi Neraca'!$A$3:$S$910,4,FALSE))</f>
        <v>304000000</v>
      </c>
      <c r="F571" s="42">
        <f>VLOOKUP($A571,'Neraca Unaudited SIMAK'!$A$2:$R$1272,5,FALSE)+IF(ISNA(VLOOKUP($A571,'Mutasi Neraca'!$A$3:$S$910,5,FALSE)),0,VLOOKUP($A571,'Mutasi Neraca'!$A$3:$S$910,5,FALSE))</f>
        <v>905889257</v>
      </c>
      <c r="G571" s="42">
        <f>VLOOKUP($A571,'Neraca Unaudited SIMAK'!$A$2:$R$1272,6,FALSE)+IF(ISNA(VLOOKUP($A571,'Mutasi Neraca'!$A$3:$S$910,6,FALSE)),0,VLOOKUP($A571,'Mutasi Neraca'!$A$3:$S$910,6,FALSE))</f>
        <v>1851298000</v>
      </c>
      <c r="H571" s="42">
        <f>VLOOKUP($A571,'Neraca Unaudited SIMAK'!$A$2:$R$1272,7,FALSE)+IF(ISNA(VLOOKUP($A571,'Mutasi Neraca'!$A$3:$S$910,7,FALSE)),0,VLOOKUP($A571,'Mutasi Neraca'!$A$3:$S$910,7,FALSE))</f>
        <v>0</v>
      </c>
      <c r="I571" s="42">
        <f>VLOOKUP($A571,'Neraca Unaudited SIMAK'!$A$2:$R$1272,8,FALSE)+IF(ISNA(VLOOKUP($A571,'Mutasi Neraca'!$A$3:$S$910,8,FALSE)),0,VLOOKUP($A571,'Mutasi Neraca'!$A$3:$S$910,8,FALSE))</f>
        <v>24241970</v>
      </c>
      <c r="J571" s="42">
        <f>VLOOKUP($A571,'Neraca Unaudited SIMAK'!$A$2:$R$1272,9,FALSE)+IF(ISNA(VLOOKUP($A571,'Mutasi Neraca'!$A$3:$S$910,9,FALSE)),0,VLOOKUP($A571,'Mutasi Neraca'!$A$3:$S$910,9,FALSE))</f>
        <v>0</v>
      </c>
      <c r="K571" s="42">
        <f>VLOOKUP($A571,'Neraca Unaudited SIMAK'!$A$2:$R$1272,10,FALSE)+IF(ISNA(VLOOKUP($A571,'Mutasi Neraca'!$A$3:$S$910,10,FALSE)),0,VLOOKUP($A571,'Mutasi Neraca'!$A$3:$S$910,10,FALSE))</f>
        <v>16900000</v>
      </c>
      <c r="L571" s="42">
        <f>VLOOKUP($A571,'Neraca Unaudited SIMAK'!$A$2:$R$1272,11,FALSE)+IF(ISNA(VLOOKUP($A571,'Mutasi Neraca'!$A$3:$S$910,11,FALSE)),0,VLOOKUP($A571,'Mutasi Neraca'!$A$3:$S$910,11,FALSE))</f>
        <v>124673960</v>
      </c>
      <c r="M571" s="42">
        <f>VLOOKUP($A571,'Neraca Unaudited SIMAK'!$A$2:$R$1272,12,FALSE)+IF(ISNA(VLOOKUP($A571,'Mutasi Neraca'!$A$3:$S$910,12,FALSE)),0,VLOOKUP($A571,'Mutasi Neraca'!$A$3:$S$910,12,FALSE))</f>
        <v>3227003187</v>
      </c>
      <c r="N571" s="42">
        <f>VLOOKUP($A571,'Neraca Unaudited SIMAK'!$A$2:$R$1272,13,FALSE)+IF(ISNA(VLOOKUP($A571,'Mutasi Neraca'!$A$3:$S$910,13,FALSE)),0,VLOOKUP($A571,'Mutasi Neraca'!$A$3:$S$910,13,FALSE))</f>
        <v>-758141211</v>
      </c>
      <c r="O571" s="42">
        <f>VLOOKUP($A571,'Neraca Unaudited SIMAK'!$A$2:$R$1272,14,FALSE)+IF(ISNA(VLOOKUP($A571,'Mutasi Neraca'!$A$3:$S$910,14,FALSE)),0,VLOOKUP($A571,'Mutasi Neraca'!$A$3:$S$910,14,FALSE))</f>
        <v>-294164430</v>
      </c>
      <c r="P571" s="42">
        <f>VLOOKUP($A571,'Neraca Unaudited SIMAK'!$A$2:$R$1272,15,FALSE)+IF(ISNA(VLOOKUP($A571,'Mutasi Neraca'!$A$3:$S$910,15,FALSE)),0,VLOOKUP($A571,'Mutasi Neraca'!$A$3:$S$910,15,FALSE))</f>
        <v>0</v>
      </c>
      <c r="Q571" s="42">
        <f>VLOOKUP($A571,'Neraca Unaudited SIMAK'!$A$2:$R$1272,16,FALSE)+IF(ISNA(VLOOKUP($A571,'Mutasi Neraca'!$A$3:$S$910,16,FALSE)),0,VLOOKUP($A571,'Mutasi Neraca'!$A$3:$S$910,16,FALSE))</f>
        <v>0</v>
      </c>
      <c r="R571" s="42">
        <f>VLOOKUP($A571,'Neraca Unaudited SIMAK'!$A$2:$R$1272,17,FALSE)+IF(ISNA(VLOOKUP($A571,'Mutasi Neraca'!$A$3:$S$910,17,FALSE)),0,VLOOKUP($A571,'Mutasi Neraca'!$A$3:$S$910,17,FALSE))</f>
        <v>-121235710</v>
      </c>
      <c r="S571" s="42">
        <f t="shared" si="59"/>
        <v>2053461836</v>
      </c>
    </row>
    <row r="572" spans="1:19">
      <c r="A572" s="41" t="s">
        <v>579</v>
      </c>
      <c r="B572" s="41" t="str">
        <f t="shared" si="58"/>
        <v>005011800</v>
      </c>
      <c r="D572" s="42">
        <f>VLOOKUP($A572,'Neraca Unaudited SIMAK'!$A$2:$R$1272,3,FALSE)+IF(ISNA(VLOOKUP($A572,'Mutasi Neraca'!$A$3:$S$910,3,FALSE)),0,VLOOKUP($A572,'Mutasi Neraca'!$A$3:$S$910,3,FALSE))</f>
        <v>0</v>
      </c>
      <c r="E572" s="42">
        <f>VLOOKUP($A572,'Neraca Unaudited SIMAK'!$A$2:$R$1272,4,FALSE)+IF(ISNA(VLOOKUP($A572,'Mutasi Neraca'!$A$3:$S$910,4,FALSE)),0,VLOOKUP($A572,'Mutasi Neraca'!$A$3:$S$910,4,FALSE))</f>
        <v>120000000</v>
      </c>
      <c r="F572" s="42">
        <f>VLOOKUP($A572,'Neraca Unaudited SIMAK'!$A$2:$R$1272,5,FALSE)+IF(ISNA(VLOOKUP($A572,'Mutasi Neraca'!$A$3:$S$910,5,FALSE)),0,VLOOKUP($A572,'Mutasi Neraca'!$A$3:$S$910,5,FALSE))</f>
        <v>995014117</v>
      </c>
      <c r="G572" s="42">
        <f>VLOOKUP($A572,'Neraca Unaudited SIMAK'!$A$2:$R$1272,6,FALSE)+IF(ISNA(VLOOKUP($A572,'Mutasi Neraca'!$A$3:$S$910,6,FALSE)),0,VLOOKUP($A572,'Mutasi Neraca'!$A$3:$S$910,6,FALSE))</f>
        <v>2060105383</v>
      </c>
      <c r="H572" s="42">
        <f>VLOOKUP($A572,'Neraca Unaudited SIMAK'!$A$2:$R$1272,7,FALSE)+IF(ISNA(VLOOKUP($A572,'Mutasi Neraca'!$A$3:$S$910,7,FALSE)),0,VLOOKUP($A572,'Mutasi Neraca'!$A$3:$S$910,7,FALSE))</f>
        <v>0</v>
      </c>
      <c r="I572" s="42">
        <f>VLOOKUP($A572,'Neraca Unaudited SIMAK'!$A$2:$R$1272,8,FALSE)+IF(ISNA(VLOOKUP($A572,'Mutasi Neraca'!$A$3:$S$910,8,FALSE)),0,VLOOKUP($A572,'Mutasi Neraca'!$A$3:$S$910,8,FALSE))</f>
        <v>1889370</v>
      </c>
      <c r="J572" s="42">
        <f>VLOOKUP($A572,'Neraca Unaudited SIMAK'!$A$2:$R$1272,9,FALSE)+IF(ISNA(VLOOKUP($A572,'Mutasi Neraca'!$A$3:$S$910,9,FALSE)),0,VLOOKUP($A572,'Mutasi Neraca'!$A$3:$S$910,9,FALSE))</f>
        <v>0</v>
      </c>
      <c r="K572" s="42">
        <f>VLOOKUP($A572,'Neraca Unaudited SIMAK'!$A$2:$R$1272,10,FALSE)+IF(ISNA(VLOOKUP($A572,'Mutasi Neraca'!$A$3:$S$910,10,FALSE)),0,VLOOKUP($A572,'Mutasi Neraca'!$A$3:$S$910,10,FALSE))</f>
        <v>16850000</v>
      </c>
      <c r="L572" s="42">
        <f>VLOOKUP($A572,'Neraca Unaudited SIMAK'!$A$2:$R$1272,11,FALSE)+IF(ISNA(VLOOKUP($A572,'Mutasi Neraca'!$A$3:$S$910,11,FALSE)),0,VLOOKUP($A572,'Mutasi Neraca'!$A$3:$S$910,11,FALSE))</f>
        <v>291407500</v>
      </c>
      <c r="M572" s="42">
        <f>VLOOKUP($A572,'Neraca Unaudited SIMAK'!$A$2:$R$1272,12,FALSE)+IF(ISNA(VLOOKUP($A572,'Mutasi Neraca'!$A$3:$S$910,12,FALSE)),0,VLOOKUP($A572,'Mutasi Neraca'!$A$3:$S$910,12,FALSE))</f>
        <v>3485266370</v>
      </c>
      <c r="N572" s="42">
        <f>VLOOKUP($A572,'Neraca Unaudited SIMAK'!$A$2:$R$1272,13,FALSE)+IF(ISNA(VLOOKUP($A572,'Mutasi Neraca'!$A$3:$S$910,13,FALSE)),0,VLOOKUP($A572,'Mutasi Neraca'!$A$3:$S$910,13,FALSE))</f>
        <v>-909740467</v>
      </c>
      <c r="O572" s="42">
        <f>VLOOKUP($A572,'Neraca Unaudited SIMAK'!$A$2:$R$1272,14,FALSE)+IF(ISNA(VLOOKUP($A572,'Mutasi Neraca'!$A$3:$S$910,14,FALSE)),0,VLOOKUP($A572,'Mutasi Neraca'!$A$3:$S$910,14,FALSE))</f>
        <v>-375850624</v>
      </c>
      <c r="P572" s="42">
        <f>VLOOKUP($A572,'Neraca Unaudited SIMAK'!$A$2:$R$1272,15,FALSE)+IF(ISNA(VLOOKUP($A572,'Mutasi Neraca'!$A$3:$S$910,15,FALSE)),0,VLOOKUP($A572,'Mutasi Neraca'!$A$3:$S$910,15,FALSE))</f>
        <v>0</v>
      </c>
      <c r="Q572" s="42">
        <f>VLOOKUP($A572,'Neraca Unaudited SIMAK'!$A$2:$R$1272,16,FALSE)+IF(ISNA(VLOOKUP($A572,'Mutasi Neraca'!$A$3:$S$910,16,FALSE)),0,VLOOKUP($A572,'Mutasi Neraca'!$A$3:$S$910,16,FALSE))</f>
        <v>0</v>
      </c>
      <c r="R572" s="42">
        <f>VLOOKUP($A572,'Neraca Unaudited SIMAK'!$A$2:$R$1272,17,FALSE)+IF(ISNA(VLOOKUP($A572,'Mutasi Neraca'!$A$3:$S$910,17,FALSE)),0,VLOOKUP($A572,'Mutasi Neraca'!$A$3:$S$910,17,FALSE))</f>
        <v>-291407500</v>
      </c>
      <c r="S572" s="42">
        <f t="shared" si="59"/>
        <v>1908267779</v>
      </c>
    </row>
    <row r="573" spans="1:19">
      <c r="A573" s="41" t="s">
        <v>580</v>
      </c>
      <c r="B573" s="41" t="str">
        <f t="shared" si="58"/>
        <v>005011800</v>
      </c>
      <c r="D573" s="42">
        <f>VLOOKUP($A573,'Neraca Unaudited SIMAK'!$A$2:$R$1272,3,FALSE)+IF(ISNA(VLOOKUP($A573,'Mutasi Neraca'!$A$3:$S$910,3,FALSE)),0,VLOOKUP($A573,'Mutasi Neraca'!$A$3:$S$910,3,FALSE))</f>
        <v>0</v>
      </c>
      <c r="E573" s="42">
        <f>VLOOKUP($A573,'Neraca Unaudited SIMAK'!$A$2:$R$1272,4,FALSE)+IF(ISNA(VLOOKUP($A573,'Mutasi Neraca'!$A$3:$S$910,4,FALSE)),0,VLOOKUP($A573,'Mutasi Neraca'!$A$3:$S$910,4,FALSE))</f>
        <v>413750000</v>
      </c>
      <c r="F573" s="42">
        <f>VLOOKUP($A573,'Neraca Unaudited SIMAK'!$A$2:$R$1272,5,FALSE)+IF(ISNA(VLOOKUP($A573,'Mutasi Neraca'!$A$3:$S$910,5,FALSE)),0,VLOOKUP($A573,'Mutasi Neraca'!$A$3:$S$910,5,FALSE))</f>
        <v>1224293215</v>
      </c>
      <c r="G573" s="42">
        <f>VLOOKUP($A573,'Neraca Unaudited SIMAK'!$A$2:$R$1272,6,FALSE)+IF(ISNA(VLOOKUP($A573,'Mutasi Neraca'!$A$3:$S$910,6,FALSE)),0,VLOOKUP($A573,'Mutasi Neraca'!$A$3:$S$910,6,FALSE))</f>
        <v>3123900000</v>
      </c>
      <c r="H573" s="42">
        <f>VLOOKUP($A573,'Neraca Unaudited SIMAK'!$A$2:$R$1272,7,FALSE)+IF(ISNA(VLOOKUP($A573,'Mutasi Neraca'!$A$3:$S$910,7,FALSE)),0,VLOOKUP($A573,'Mutasi Neraca'!$A$3:$S$910,7,FALSE))</f>
        <v>0</v>
      </c>
      <c r="I573" s="42">
        <f>VLOOKUP($A573,'Neraca Unaudited SIMAK'!$A$2:$R$1272,8,FALSE)+IF(ISNA(VLOOKUP($A573,'Mutasi Neraca'!$A$3:$S$910,8,FALSE)),0,VLOOKUP($A573,'Mutasi Neraca'!$A$3:$S$910,8,FALSE))</f>
        <v>1943440</v>
      </c>
      <c r="J573" s="42">
        <f>VLOOKUP($A573,'Neraca Unaudited SIMAK'!$A$2:$R$1272,9,FALSE)+IF(ISNA(VLOOKUP($A573,'Mutasi Neraca'!$A$3:$S$910,9,FALSE)),0,VLOOKUP($A573,'Mutasi Neraca'!$A$3:$S$910,9,FALSE))</f>
        <v>0</v>
      </c>
      <c r="K573" s="42">
        <f>VLOOKUP($A573,'Neraca Unaudited SIMAK'!$A$2:$R$1272,10,FALSE)+IF(ISNA(VLOOKUP($A573,'Mutasi Neraca'!$A$3:$S$910,10,FALSE)),0,VLOOKUP($A573,'Mutasi Neraca'!$A$3:$S$910,10,FALSE))</f>
        <v>0</v>
      </c>
      <c r="L573" s="42">
        <f>VLOOKUP($A573,'Neraca Unaudited SIMAK'!$A$2:$R$1272,11,FALSE)+IF(ISNA(VLOOKUP($A573,'Mutasi Neraca'!$A$3:$S$910,11,FALSE)),0,VLOOKUP($A573,'Mutasi Neraca'!$A$3:$S$910,11,FALSE))</f>
        <v>197026094</v>
      </c>
      <c r="M573" s="42">
        <f>VLOOKUP($A573,'Neraca Unaudited SIMAK'!$A$2:$R$1272,12,FALSE)+IF(ISNA(VLOOKUP($A573,'Mutasi Neraca'!$A$3:$S$910,12,FALSE)),0,VLOOKUP($A573,'Mutasi Neraca'!$A$3:$S$910,12,FALSE))</f>
        <v>4960912749</v>
      </c>
      <c r="N573" s="42">
        <f>VLOOKUP($A573,'Neraca Unaudited SIMAK'!$A$2:$R$1272,13,FALSE)+IF(ISNA(VLOOKUP($A573,'Mutasi Neraca'!$A$3:$S$910,13,FALSE)),0,VLOOKUP($A573,'Mutasi Neraca'!$A$3:$S$910,13,FALSE))</f>
        <v>-884162705</v>
      </c>
      <c r="O573" s="42">
        <f>VLOOKUP($A573,'Neraca Unaudited SIMAK'!$A$2:$R$1272,14,FALSE)+IF(ISNA(VLOOKUP($A573,'Mutasi Neraca'!$A$3:$S$910,14,FALSE)),0,VLOOKUP($A573,'Mutasi Neraca'!$A$3:$S$910,14,FALSE))</f>
        <v>-736195000</v>
      </c>
      <c r="P573" s="42">
        <f>VLOOKUP($A573,'Neraca Unaudited SIMAK'!$A$2:$R$1272,15,FALSE)+IF(ISNA(VLOOKUP($A573,'Mutasi Neraca'!$A$3:$S$910,15,FALSE)),0,VLOOKUP($A573,'Mutasi Neraca'!$A$3:$S$910,15,FALSE))</f>
        <v>0</v>
      </c>
      <c r="Q573" s="42">
        <f>VLOOKUP($A573,'Neraca Unaudited SIMAK'!$A$2:$R$1272,16,FALSE)+IF(ISNA(VLOOKUP($A573,'Mutasi Neraca'!$A$3:$S$910,16,FALSE)),0,VLOOKUP($A573,'Mutasi Neraca'!$A$3:$S$910,16,FALSE))</f>
        <v>0</v>
      </c>
      <c r="R573" s="42">
        <f>VLOOKUP($A573,'Neraca Unaudited SIMAK'!$A$2:$R$1272,17,FALSE)+IF(ISNA(VLOOKUP($A573,'Mutasi Neraca'!$A$3:$S$910,17,FALSE)),0,VLOOKUP($A573,'Mutasi Neraca'!$A$3:$S$910,17,FALSE))</f>
        <v>-187109488</v>
      </c>
      <c r="S573" s="42">
        <f t="shared" si="59"/>
        <v>3153445556</v>
      </c>
    </row>
    <row r="574" spans="1:19">
      <c r="A574" s="41" t="s">
        <v>581</v>
      </c>
      <c r="B574" s="41" t="str">
        <f t="shared" si="58"/>
        <v>005011800</v>
      </c>
      <c r="D574" s="42">
        <f>VLOOKUP($A574,'Neraca Unaudited SIMAK'!$A$2:$R$1272,3,FALSE)+IF(ISNA(VLOOKUP($A574,'Mutasi Neraca'!$A$3:$S$910,3,FALSE)),0,VLOOKUP($A574,'Mutasi Neraca'!$A$3:$S$910,3,FALSE))</f>
        <v>780000</v>
      </c>
      <c r="E574" s="42">
        <f>VLOOKUP($A574,'Neraca Unaudited SIMAK'!$A$2:$R$1272,4,FALSE)+IF(ISNA(VLOOKUP($A574,'Mutasi Neraca'!$A$3:$S$910,4,FALSE)),0,VLOOKUP($A574,'Mutasi Neraca'!$A$3:$S$910,4,FALSE))</f>
        <v>2351430000</v>
      </c>
      <c r="F574" s="42">
        <f>VLOOKUP($A574,'Neraca Unaudited SIMAK'!$A$2:$R$1272,5,FALSE)+IF(ISNA(VLOOKUP($A574,'Mutasi Neraca'!$A$3:$S$910,5,FALSE)),0,VLOOKUP($A574,'Mutasi Neraca'!$A$3:$S$910,5,FALSE))</f>
        <v>1303757547</v>
      </c>
      <c r="G574" s="42">
        <f>VLOOKUP($A574,'Neraca Unaudited SIMAK'!$A$2:$R$1272,6,FALSE)+IF(ISNA(VLOOKUP($A574,'Mutasi Neraca'!$A$3:$S$910,6,FALSE)),0,VLOOKUP($A574,'Mutasi Neraca'!$A$3:$S$910,6,FALSE))</f>
        <v>8486875492</v>
      </c>
      <c r="H574" s="42">
        <f>VLOOKUP($A574,'Neraca Unaudited SIMAK'!$A$2:$R$1272,7,FALSE)+IF(ISNA(VLOOKUP($A574,'Mutasi Neraca'!$A$3:$S$910,7,FALSE)),0,VLOOKUP($A574,'Mutasi Neraca'!$A$3:$S$910,7,FALSE))</f>
        <v>0</v>
      </c>
      <c r="I574" s="42">
        <f>VLOOKUP($A574,'Neraca Unaudited SIMAK'!$A$2:$R$1272,8,FALSE)+IF(ISNA(VLOOKUP($A574,'Mutasi Neraca'!$A$3:$S$910,8,FALSE)),0,VLOOKUP($A574,'Mutasi Neraca'!$A$3:$S$910,8,FALSE))</f>
        <v>1943440</v>
      </c>
      <c r="J574" s="42">
        <f>VLOOKUP($A574,'Neraca Unaudited SIMAK'!$A$2:$R$1272,9,FALSE)+IF(ISNA(VLOOKUP($A574,'Mutasi Neraca'!$A$3:$S$910,9,FALSE)),0,VLOOKUP($A574,'Mutasi Neraca'!$A$3:$S$910,9,FALSE))</f>
        <v>0</v>
      </c>
      <c r="K574" s="42">
        <f>VLOOKUP($A574,'Neraca Unaudited SIMAK'!$A$2:$R$1272,10,FALSE)+IF(ISNA(VLOOKUP($A574,'Mutasi Neraca'!$A$3:$S$910,10,FALSE)),0,VLOOKUP($A574,'Mutasi Neraca'!$A$3:$S$910,10,FALSE))</f>
        <v>0</v>
      </c>
      <c r="L574" s="42">
        <f>VLOOKUP($A574,'Neraca Unaudited SIMAK'!$A$2:$R$1272,11,FALSE)+IF(ISNA(VLOOKUP($A574,'Mutasi Neraca'!$A$3:$S$910,11,FALSE)),0,VLOOKUP($A574,'Mutasi Neraca'!$A$3:$S$910,11,FALSE))</f>
        <v>45486750</v>
      </c>
      <c r="M574" s="42">
        <f>VLOOKUP($A574,'Neraca Unaudited SIMAK'!$A$2:$R$1272,12,FALSE)+IF(ISNA(VLOOKUP($A574,'Mutasi Neraca'!$A$3:$S$910,12,FALSE)),0,VLOOKUP($A574,'Mutasi Neraca'!$A$3:$S$910,12,FALSE))</f>
        <v>12190273229</v>
      </c>
      <c r="N574" s="42">
        <f>VLOOKUP($A574,'Neraca Unaudited SIMAK'!$A$2:$R$1272,13,FALSE)+IF(ISNA(VLOOKUP($A574,'Mutasi Neraca'!$A$3:$S$910,13,FALSE)),0,VLOOKUP($A574,'Mutasi Neraca'!$A$3:$S$910,13,FALSE))</f>
        <v>-724115136</v>
      </c>
      <c r="O574" s="42">
        <f>VLOOKUP($A574,'Neraca Unaudited SIMAK'!$A$2:$R$1272,14,FALSE)+IF(ISNA(VLOOKUP($A574,'Mutasi Neraca'!$A$3:$S$910,14,FALSE)),0,VLOOKUP($A574,'Mutasi Neraca'!$A$3:$S$910,14,FALSE))</f>
        <v>-588187205</v>
      </c>
      <c r="P574" s="42">
        <f>VLOOKUP($A574,'Neraca Unaudited SIMAK'!$A$2:$R$1272,15,FALSE)+IF(ISNA(VLOOKUP($A574,'Mutasi Neraca'!$A$3:$S$910,15,FALSE)),0,VLOOKUP($A574,'Mutasi Neraca'!$A$3:$S$910,15,FALSE))</f>
        <v>0</v>
      </c>
      <c r="Q574" s="42">
        <f>VLOOKUP($A574,'Neraca Unaudited SIMAK'!$A$2:$R$1272,16,FALSE)+IF(ISNA(VLOOKUP($A574,'Mutasi Neraca'!$A$3:$S$910,16,FALSE)),0,VLOOKUP($A574,'Mutasi Neraca'!$A$3:$S$910,16,FALSE))</f>
        <v>0</v>
      </c>
      <c r="R574" s="42">
        <f>VLOOKUP($A574,'Neraca Unaudited SIMAK'!$A$2:$R$1272,17,FALSE)+IF(ISNA(VLOOKUP($A574,'Mutasi Neraca'!$A$3:$S$910,17,FALSE)),0,VLOOKUP($A574,'Mutasi Neraca'!$A$3:$S$910,17,FALSE))</f>
        <v>-45218750</v>
      </c>
      <c r="S574" s="42">
        <f t="shared" si="59"/>
        <v>10832752138</v>
      </c>
    </row>
    <row r="575" spans="1:19">
      <c r="A575" s="41" t="s">
        <v>582</v>
      </c>
      <c r="B575" s="41" t="str">
        <f t="shared" si="58"/>
        <v>005011800</v>
      </c>
      <c r="D575" s="42">
        <f>VLOOKUP($A575,'Neraca Unaudited SIMAK'!$A$2:$R$1272,3,FALSE)+IF(ISNA(VLOOKUP($A575,'Mutasi Neraca'!$A$3:$S$910,3,FALSE)),0,VLOOKUP($A575,'Mutasi Neraca'!$A$3:$S$910,3,FALSE))</f>
        <v>318000</v>
      </c>
      <c r="E575" s="42">
        <f>VLOOKUP($A575,'Neraca Unaudited SIMAK'!$A$2:$R$1272,4,FALSE)+IF(ISNA(VLOOKUP($A575,'Mutasi Neraca'!$A$3:$S$910,4,FALSE)),0,VLOOKUP($A575,'Mutasi Neraca'!$A$3:$S$910,4,FALSE))</f>
        <v>2842100000</v>
      </c>
      <c r="F575" s="42">
        <f>VLOOKUP($A575,'Neraca Unaudited SIMAK'!$A$2:$R$1272,5,FALSE)+IF(ISNA(VLOOKUP($A575,'Mutasi Neraca'!$A$3:$S$910,5,FALSE)),0,VLOOKUP($A575,'Mutasi Neraca'!$A$3:$S$910,5,FALSE))</f>
        <v>1260952000</v>
      </c>
      <c r="G575" s="42">
        <f>VLOOKUP($A575,'Neraca Unaudited SIMAK'!$A$2:$R$1272,6,FALSE)+IF(ISNA(VLOOKUP($A575,'Mutasi Neraca'!$A$3:$S$910,6,FALSE)),0,VLOOKUP($A575,'Mutasi Neraca'!$A$3:$S$910,6,FALSE))</f>
        <v>8162706800</v>
      </c>
      <c r="H575" s="42">
        <f>VLOOKUP($A575,'Neraca Unaudited SIMAK'!$A$2:$R$1272,7,FALSE)+IF(ISNA(VLOOKUP($A575,'Mutasi Neraca'!$A$3:$S$910,7,FALSE)),0,VLOOKUP($A575,'Mutasi Neraca'!$A$3:$S$910,7,FALSE))</f>
        <v>500000</v>
      </c>
      <c r="I575" s="42">
        <f>VLOOKUP($A575,'Neraca Unaudited SIMAK'!$A$2:$R$1272,8,FALSE)+IF(ISNA(VLOOKUP($A575,'Mutasi Neraca'!$A$3:$S$910,8,FALSE)),0,VLOOKUP($A575,'Mutasi Neraca'!$A$3:$S$910,8,FALSE))</f>
        <v>1848970</v>
      </c>
      <c r="J575" s="42">
        <f>VLOOKUP($A575,'Neraca Unaudited SIMAK'!$A$2:$R$1272,9,FALSE)+IF(ISNA(VLOOKUP($A575,'Mutasi Neraca'!$A$3:$S$910,9,FALSE)),0,VLOOKUP($A575,'Mutasi Neraca'!$A$3:$S$910,9,FALSE))</f>
        <v>0</v>
      </c>
      <c r="K575" s="42">
        <f>VLOOKUP($A575,'Neraca Unaudited SIMAK'!$A$2:$R$1272,10,FALSE)+IF(ISNA(VLOOKUP($A575,'Mutasi Neraca'!$A$3:$S$910,10,FALSE)),0,VLOOKUP($A575,'Mutasi Neraca'!$A$3:$S$910,10,FALSE))</f>
        <v>6950000</v>
      </c>
      <c r="L575" s="42">
        <f>VLOOKUP($A575,'Neraca Unaudited SIMAK'!$A$2:$R$1272,11,FALSE)+IF(ISNA(VLOOKUP($A575,'Mutasi Neraca'!$A$3:$S$910,11,FALSE)),0,VLOOKUP($A575,'Mutasi Neraca'!$A$3:$S$910,11,FALSE))</f>
        <v>4890500</v>
      </c>
      <c r="M575" s="42">
        <f>VLOOKUP($A575,'Neraca Unaudited SIMAK'!$A$2:$R$1272,12,FALSE)+IF(ISNA(VLOOKUP($A575,'Mutasi Neraca'!$A$3:$S$910,12,FALSE)),0,VLOOKUP($A575,'Mutasi Neraca'!$A$3:$S$910,12,FALSE))</f>
        <v>12280266270</v>
      </c>
      <c r="N575" s="42">
        <f>VLOOKUP($A575,'Neraca Unaudited SIMAK'!$A$2:$R$1272,13,FALSE)+IF(ISNA(VLOOKUP($A575,'Mutasi Neraca'!$A$3:$S$910,13,FALSE)),0,VLOOKUP($A575,'Mutasi Neraca'!$A$3:$S$910,13,FALSE))</f>
        <v>-456225156</v>
      </c>
      <c r="O575" s="42">
        <f>VLOOKUP($A575,'Neraca Unaudited SIMAK'!$A$2:$R$1272,14,FALSE)+IF(ISNA(VLOOKUP($A575,'Mutasi Neraca'!$A$3:$S$910,14,FALSE)),0,VLOOKUP($A575,'Mutasi Neraca'!$A$3:$S$910,14,FALSE))</f>
        <v>-210458404</v>
      </c>
      <c r="P575" s="42">
        <f>VLOOKUP($A575,'Neraca Unaudited SIMAK'!$A$2:$R$1272,15,FALSE)+IF(ISNA(VLOOKUP($A575,'Mutasi Neraca'!$A$3:$S$910,15,FALSE)),0,VLOOKUP($A575,'Mutasi Neraca'!$A$3:$S$910,15,FALSE))</f>
        <v>-100000</v>
      </c>
      <c r="Q575" s="42">
        <f>VLOOKUP($A575,'Neraca Unaudited SIMAK'!$A$2:$R$1272,16,FALSE)+IF(ISNA(VLOOKUP($A575,'Mutasi Neraca'!$A$3:$S$910,16,FALSE)),0,VLOOKUP($A575,'Mutasi Neraca'!$A$3:$S$910,16,FALSE))</f>
        <v>0</v>
      </c>
      <c r="R575" s="42">
        <f>VLOOKUP($A575,'Neraca Unaudited SIMAK'!$A$2:$R$1272,17,FALSE)+IF(ISNA(VLOOKUP($A575,'Mutasi Neraca'!$A$3:$S$910,17,FALSE)),0,VLOOKUP($A575,'Mutasi Neraca'!$A$3:$S$910,17,FALSE))</f>
        <v>-3992963</v>
      </c>
      <c r="S575" s="42">
        <f t="shared" si="59"/>
        <v>11609489747</v>
      </c>
    </row>
    <row r="576" spans="1:19">
      <c r="A576" s="41" t="s">
        <v>583</v>
      </c>
      <c r="B576" s="41" t="str">
        <f t="shared" si="58"/>
        <v>005011900</v>
      </c>
      <c r="D576" s="42">
        <f>VLOOKUP($A576,'Neraca Unaudited SIMAK'!$A$2:$R$1272,3,FALSE)+IF(ISNA(VLOOKUP($A576,'Mutasi Neraca'!$A$3:$S$910,3,FALSE)),0,VLOOKUP($A576,'Mutasi Neraca'!$A$3:$S$910,3,FALSE))</f>
        <v>1985000</v>
      </c>
      <c r="E576" s="42">
        <f>VLOOKUP($A576,'Neraca Unaudited SIMAK'!$A$2:$R$1272,4,FALSE)+IF(ISNA(VLOOKUP($A576,'Mutasi Neraca'!$A$3:$S$910,4,FALSE)),0,VLOOKUP($A576,'Mutasi Neraca'!$A$3:$S$910,4,FALSE))</f>
        <v>61912091000</v>
      </c>
      <c r="F576" s="42">
        <f>VLOOKUP($A576,'Neraca Unaudited SIMAK'!$A$2:$R$1272,5,FALSE)+IF(ISNA(VLOOKUP($A576,'Mutasi Neraca'!$A$3:$S$910,5,FALSE)),0,VLOOKUP($A576,'Mutasi Neraca'!$A$3:$S$910,5,FALSE))</f>
        <v>5409825786</v>
      </c>
      <c r="G576" s="42">
        <f>VLOOKUP($A576,'Neraca Unaudited SIMAK'!$A$2:$R$1272,6,FALSE)+IF(ISNA(VLOOKUP($A576,'Mutasi Neraca'!$A$3:$S$910,6,FALSE)),0,VLOOKUP($A576,'Mutasi Neraca'!$A$3:$S$910,6,FALSE))</f>
        <v>17403448353</v>
      </c>
      <c r="H576" s="42">
        <f>VLOOKUP($A576,'Neraca Unaudited SIMAK'!$A$2:$R$1272,7,FALSE)+IF(ISNA(VLOOKUP($A576,'Mutasi Neraca'!$A$3:$S$910,7,FALSE)),0,VLOOKUP($A576,'Mutasi Neraca'!$A$3:$S$910,7,FALSE))</f>
        <v>437772500</v>
      </c>
      <c r="I576" s="42">
        <f>VLOOKUP($A576,'Neraca Unaudited SIMAK'!$A$2:$R$1272,8,FALSE)+IF(ISNA(VLOOKUP($A576,'Mutasi Neraca'!$A$3:$S$910,8,FALSE)),0,VLOOKUP($A576,'Mutasi Neraca'!$A$3:$S$910,8,FALSE))</f>
        <v>4100630</v>
      </c>
      <c r="J576" s="42">
        <f>VLOOKUP($A576,'Neraca Unaudited SIMAK'!$A$2:$R$1272,9,FALSE)+IF(ISNA(VLOOKUP($A576,'Mutasi Neraca'!$A$3:$S$910,9,FALSE)),0,VLOOKUP($A576,'Mutasi Neraca'!$A$3:$S$910,9,FALSE))</f>
        <v>5260320900</v>
      </c>
      <c r="K576" s="42">
        <f>VLOOKUP($A576,'Neraca Unaudited SIMAK'!$A$2:$R$1272,10,FALSE)+IF(ISNA(VLOOKUP($A576,'Mutasi Neraca'!$A$3:$S$910,10,FALSE)),0,VLOOKUP($A576,'Mutasi Neraca'!$A$3:$S$910,10,FALSE))</f>
        <v>152285000</v>
      </c>
      <c r="L576" s="42">
        <f>VLOOKUP($A576,'Neraca Unaudited SIMAK'!$A$2:$R$1272,11,FALSE)+IF(ISNA(VLOOKUP($A576,'Mutasi Neraca'!$A$3:$S$910,11,FALSE)),0,VLOOKUP($A576,'Mutasi Neraca'!$A$3:$S$910,11,FALSE))</f>
        <v>493719248</v>
      </c>
      <c r="M576" s="42">
        <f>VLOOKUP($A576,'Neraca Unaudited SIMAK'!$A$2:$R$1272,12,FALSE)+IF(ISNA(VLOOKUP($A576,'Mutasi Neraca'!$A$3:$S$910,12,FALSE)),0,VLOOKUP($A576,'Mutasi Neraca'!$A$3:$S$910,12,FALSE))</f>
        <v>91075548417</v>
      </c>
      <c r="N576" s="42">
        <f>VLOOKUP($A576,'Neraca Unaudited SIMAK'!$A$2:$R$1272,13,FALSE)+IF(ISNA(VLOOKUP($A576,'Mutasi Neraca'!$A$3:$S$910,13,FALSE)),0,VLOOKUP($A576,'Mutasi Neraca'!$A$3:$S$910,13,FALSE))</f>
        <v>-4819598091</v>
      </c>
      <c r="O576" s="42">
        <f>VLOOKUP($A576,'Neraca Unaudited SIMAK'!$A$2:$R$1272,14,FALSE)+IF(ISNA(VLOOKUP($A576,'Mutasi Neraca'!$A$3:$S$910,14,FALSE)),0,VLOOKUP($A576,'Mutasi Neraca'!$A$3:$S$910,14,FALSE))</f>
        <v>-8853039307</v>
      </c>
      <c r="P576" s="42">
        <f>VLOOKUP($A576,'Neraca Unaudited SIMAK'!$A$2:$R$1272,15,FALSE)+IF(ISNA(VLOOKUP($A576,'Mutasi Neraca'!$A$3:$S$910,15,FALSE)),0,VLOOKUP($A576,'Mutasi Neraca'!$A$3:$S$910,15,FALSE))</f>
        <v>-253500475</v>
      </c>
      <c r="Q576" s="42">
        <f>VLOOKUP($A576,'Neraca Unaudited SIMAK'!$A$2:$R$1272,16,FALSE)+IF(ISNA(VLOOKUP($A576,'Mutasi Neraca'!$A$3:$S$910,16,FALSE)),0,VLOOKUP($A576,'Mutasi Neraca'!$A$3:$S$910,16,FALSE))</f>
        <v>0</v>
      </c>
      <c r="R576" s="42">
        <f>VLOOKUP($A576,'Neraca Unaudited SIMAK'!$A$2:$R$1272,17,FALSE)+IF(ISNA(VLOOKUP($A576,'Mutasi Neraca'!$A$3:$S$910,17,FALSE)),0,VLOOKUP($A576,'Mutasi Neraca'!$A$3:$S$910,17,FALSE))</f>
        <v>-493719248</v>
      </c>
      <c r="S576" s="42">
        <f t="shared" si="59"/>
        <v>76655691296</v>
      </c>
    </row>
    <row r="577" spans="1:19">
      <c r="A577" s="43" t="s">
        <v>584</v>
      </c>
      <c r="B577" s="41" t="str">
        <f t="shared" si="58"/>
        <v>005011900</v>
      </c>
      <c r="D577" s="42">
        <f>VLOOKUP($A577,'Neraca Unaudited SIMAK'!$A$2:$R$1272,3,FALSE)+IF(ISNA(VLOOKUP($A577,'Mutasi Neraca'!$A$3:$S$910,3,FALSE)),0,VLOOKUP($A577,'Mutasi Neraca'!$A$3:$S$910,3,FALSE))</f>
        <v>59023960</v>
      </c>
      <c r="E577" s="42">
        <f>VLOOKUP($A577,'Neraca Unaudited SIMAK'!$A$2:$R$1272,4,FALSE)+IF(ISNA(VLOOKUP($A577,'Mutasi Neraca'!$A$3:$S$910,4,FALSE)),0,VLOOKUP($A577,'Mutasi Neraca'!$A$3:$S$910,4,FALSE))</f>
        <v>32878550000</v>
      </c>
      <c r="F577" s="42">
        <f>VLOOKUP($A577,'Neraca Unaudited SIMAK'!$A$2:$R$1272,5,FALSE)+IF(ISNA(VLOOKUP($A577,'Mutasi Neraca'!$A$3:$S$910,5,FALSE)),0,VLOOKUP($A577,'Mutasi Neraca'!$A$3:$S$910,5,FALSE))</f>
        <v>7122605741</v>
      </c>
      <c r="G577" s="42">
        <f>VLOOKUP($A577,'Neraca Unaudited SIMAK'!$A$2:$R$1272,6,FALSE)+IF(ISNA(VLOOKUP($A577,'Mutasi Neraca'!$A$3:$S$910,6,FALSE)),0,VLOOKUP($A577,'Mutasi Neraca'!$A$3:$S$910,6,FALSE))</f>
        <v>19918651302</v>
      </c>
      <c r="H577" s="42">
        <f>VLOOKUP($A577,'Neraca Unaudited SIMAK'!$A$2:$R$1272,7,FALSE)+IF(ISNA(VLOOKUP($A577,'Mutasi Neraca'!$A$3:$S$910,7,FALSE)),0,VLOOKUP($A577,'Mutasi Neraca'!$A$3:$S$910,7,FALSE))</f>
        <v>0</v>
      </c>
      <c r="I577" s="42">
        <f>VLOOKUP($A577,'Neraca Unaudited SIMAK'!$A$2:$R$1272,8,FALSE)+IF(ISNA(VLOOKUP($A577,'Mutasi Neraca'!$A$3:$S$910,8,FALSE)),0,VLOOKUP($A577,'Mutasi Neraca'!$A$3:$S$910,8,FALSE))</f>
        <v>157273440</v>
      </c>
      <c r="J577" s="42">
        <f>VLOOKUP($A577,'Neraca Unaudited SIMAK'!$A$2:$R$1272,9,FALSE)+IF(ISNA(VLOOKUP($A577,'Mutasi Neraca'!$A$3:$S$910,9,FALSE)),0,VLOOKUP($A577,'Mutasi Neraca'!$A$3:$S$910,9,FALSE))</f>
        <v>0</v>
      </c>
      <c r="K577" s="42">
        <f>VLOOKUP($A577,'Neraca Unaudited SIMAK'!$A$2:$R$1272,10,FALSE)+IF(ISNA(VLOOKUP($A577,'Mutasi Neraca'!$A$3:$S$910,10,FALSE)),0,VLOOKUP($A577,'Mutasi Neraca'!$A$3:$S$910,10,FALSE))</f>
        <v>0</v>
      </c>
      <c r="L577" s="42">
        <f>VLOOKUP($A577,'Neraca Unaudited SIMAK'!$A$2:$R$1272,11,FALSE)+IF(ISNA(VLOOKUP($A577,'Mutasi Neraca'!$A$3:$S$910,11,FALSE)),0,VLOOKUP($A577,'Mutasi Neraca'!$A$3:$S$910,11,FALSE))</f>
        <v>0</v>
      </c>
      <c r="M577" s="42">
        <f>VLOOKUP($A577,'Neraca Unaudited SIMAK'!$A$2:$R$1272,12,FALSE)+IF(ISNA(VLOOKUP($A577,'Mutasi Neraca'!$A$3:$S$910,12,FALSE)),0,VLOOKUP($A577,'Mutasi Neraca'!$A$3:$S$910,12,FALSE))</f>
        <v>60136104443</v>
      </c>
      <c r="N577" s="42">
        <f>VLOOKUP($A577,'Neraca Unaudited SIMAK'!$A$2:$R$1272,13,FALSE)+IF(ISNA(VLOOKUP($A577,'Mutasi Neraca'!$A$3:$S$910,13,FALSE)),0,VLOOKUP($A577,'Mutasi Neraca'!$A$3:$S$910,13,FALSE))</f>
        <v>-4997783992</v>
      </c>
      <c r="O577" s="42">
        <f>VLOOKUP($A577,'Neraca Unaudited SIMAK'!$A$2:$R$1272,14,FALSE)+IF(ISNA(VLOOKUP($A577,'Mutasi Neraca'!$A$3:$S$910,14,FALSE)),0,VLOOKUP($A577,'Mutasi Neraca'!$A$3:$S$910,14,FALSE))</f>
        <v>-4491844113</v>
      </c>
      <c r="P577" s="42">
        <f>VLOOKUP($A577,'Neraca Unaudited SIMAK'!$A$2:$R$1272,15,FALSE)+IF(ISNA(VLOOKUP($A577,'Mutasi Neraca'!$A$3:$S$910,15,FALSE)),0,VLOOKUP($A577,'Mutasi Neraca'!$A$3:$S$910,15,FALSE))</f>
        <v>0</v>
      </c>
      <c r="Q577" s="42">
        <f>VLOOKUP($A577,'Neraca Unaudited SIMAK'!$A$2:$R$1272,16,FALSE)+IF(ISNA(VLOOKUP($A577,'Mutasi Neraca'!$A$3:$S$910,16,FALSE)),0,VLOOKUP($A577,'Mutasi Neraca'!$A$3:$S$910,16,FALSE))</f>
        <v>-1500000</v>
      </c>
      <c r="R577" s="42">
        <f>VLOOKUP($A577,'Neraca Unaudited SIMAK'!$A$2:$R$1272,17,FALSE)+IF(ISNA(VLOOKUP($A577,'Mutasi Neraca'!$A$3:$S$910,17,FALSE)),0,VLOOKUP($A577,'Mutasi Neraca'!$A$3:$S$910,17,FALSE))</f>
        <v>0</v>
      </c>
      <c r="S577" s="42">
        <f t="shared" si="59"/>
        <v>50644976338</v>
      </c>
    </row>
    <row r="578" spans="1:19">
      <c r="A578" s="41" t="s">
        <v>585</v>
      </c>
      <c r="B578" s="41" t="str">
        <f t="shared" si="58"/>
        <v>005011900</v>
      </c>
      <c r="D578" s="42">
        <f>VLOOKUP($A578,'Neraca Unaudited SIMAK'!$A$2:$R$1272,3,FALSE)+IF(ISNA(VLOOKUP($A578,'Mutasi Neraca'!$A$3:$S$910,3,FALSE)),0,VLOOKUP($A578,'Mutasi Neraca'!$A$3:$S$910,3,FALSE))</f>
        <v>1071995</v>
      </c>
      <c r="E578" s="42">
        <f>VLOOKUP($A578,'Neraca Unaudited SIMAK'!$A$2:$R$1272,4,FALSE)+IF(ISNA(VLOOKUP($A578,'Mutasi Neraca'!$A$3:$S$910,4,FALSE)),0,VLOOKUP($A578,'Mutasi Neraca'!$A$3:$S$910,4,FALSE))</f>
        <v>4230309756</v>
      </c>
      <c r="F578" s="42">
        <f>VLOOKUP($A578,'Neraca Unaudited SIMAK'!$A$2:$R$1272,5,FALSE)+IF(ISNA(VLOOKUP($A578,'Mutasi Neraca'!$A$3:$S$910,5,FALSE)),0,VLOOKUP($A578,'Mutasi Neraca'!$A$3:$S$910,5,FALSE))</f>
        <v>1947587861</v>
      </c>
      <c r="G578" s="42">
        <f>VLOOKUP($A578,'Neraca Unaudited SIMAK'!$A$2:$R$1272,6,FALSE)+IF(ISNA(VLOOKUP($A578,'Mutasi Neraca'!$A$3:$S$910,6,FALSE)),0,VLOOKUP($A578,'Mutasi Neraca'!$A$3:$S$910,6,FALSE))</f>
        <v>4511087355</v>
      </c>
      <c r="H578" s="42">
        <f>VLOOKUP($A578,'Neraca Unaudited SIMAK'!$A$2:$R$1272,7,FALSE)+IF(ISNA(VLOOKUP($A578,'Mutasi Neraca'!$A$3:$S$910,7,FALSE)),0,VLOOKUP($A578,'Mutasi Neraca'!$A$3:$S$910,7,FALSE))</f>
        <v>0</v>
      </c>
      <c r="I578" s="42">
        <f>VLOOKUP($A578,'Neraca Unaudited SIMAK'!$A$2:$R$1272,8,FALSE)+IF(ISNA(VLOOKUP($A578,'Mutasi Neraca'!$A$3:$S$910,8,FALSE)),0,VLOOKUP($A578,'Mutasi Neraca'!$A$3:$S$910,8,FALSE))</f>
        <v>98532118</v>
      </c>
      <c r="J578" s="42">
        <f>VLOOKUP($A578,'Neraca Unaudited SIMAK'!$A$2:$R$1272,9,FALSE)+IF(ISNA(VLOOKUP($A578,'Mutasi Neraca'!$A$3:$S$910,9,FALSE)),0,VLOOKUP($A578,'Mutasi Neraca'!$A$3:$S$910,9,FALSE))</f>
        <v>0</v>
      </c>
      <c r="K578" s="42">
        <f>VLOOKUP($A578,'Neraca Unaudited SIMAK'!$A$2:$R$1272,10,FALSE)+IF(ISNA(VLOOKUP($A578,'Mutasi Neraca'!$A$3:$S$910,10,FALSE)),0,VLOOKUP($A578,'Mutasi Neraca'!$A$3:$S$910,10,FALSE))</f>
        <v>0</v>
      </c>
      <c r="L578" s="42">
        <f>VLOOKUP($A578,'Neraca Unaudited SIMAK'!$A$2:$R$1272,11,FALSE)+IF(ISNA(VLOOKUP($A578,'Mutasi Neraca'!$A$3:$S$910,11,FALSE)),0,VLOOKUP($A578,'Mutasi Neraca'!$A$3:$S$910,11,FALSE))</f>
        <v>0</v>
      </c>
      <c r="M578" s="42">
        <f>VLOOKUP($A578,'Neraca Unaudited SIMAK'!$A$2:$R$1272,12,FALSE)+IF(ISNA(VLOOKUP($A578,'Mutasi Neraca'!$A$3:$S$910,12,FALSE)),0,VLOOKUP($A578,'Mutasi Neraca'!$A$3:$S$910,12,FALSE))</f>
        <v>10788589085</v>
      </c>
      <c r="N578" s="42">
        <f>VLOOKUP($A578,'Neraca Unaudited SIMAK'!$A$2:$R$1272,13,FALSE)+IF(ISNA(VLOOKUP($A578,'Mutasi Neraca'!$A$3:$S$910,13,FALSE)),0,VLOOKUP($A578,'Mutasi Neraca'!$A$3:$S$910,13,FALSE))</f>
        <v>-1651184704</v>
      </c>
      <c r="O578" s="42">
        <f>VLOOKUP($A578,'Neraca Unaudited SIMAK'!$A$2:$R$1272,14,FALSE)+IF(ISNA(VLOOKUP($A578,'Mutasi Neraca'!$A$3:$S$910,14,FALSE)),0,VLOOKUP($A578,'Mutasi Neraca'!$A$3:$S$910,14,FALSE))</f>
        <v>-2717355707</v>
      </c>
      <c r="P578" s="42">
        <f>VLOOKUP($A578,'Neraca Unaudited SIMAK'!$A$2:$R$1272,15,FALSE)+IF(ISNA(VLOOKUP($A578,'Mutasi Neraca'!$A$3:$S$910,15,FALSE)),0,VLOOKUP($A578,'Mutasi Neraca'!$A$3:$S$910,15,FALSE))</f>
        <v>0</v>
      </c>
      <c r="Q578" s="42">
        <f>VLOOKUP($A578,'Neraca Unaudited SIMAK'!$A$2:$R$1272,16,FALSE)+IF(ISNA(VLOOKUP($A578,'Mutasi Neraca'!$A$3:$S$910,16,FALSE)),0,VLOOKUP($A578,'Mutasi Neraca'!$A$3:$S$910,16,FALSE))</f>
        <v>0</v>
      </c>
      <c r="R578" s="42">
        <f>VLOOKUP($A578,'Neraca Unaudited SIMAK'!$A$2:$R$1272,17,FALSE)+IF(ISNA(VLOOKUP($A578,'Mutasi Neraca'!$A$3:$S$910,17,FALSE)),0,VLOOKUP($A578,'Mutasi Neraca'!$A$3:$S$910,17,FALSE))</f>
        <v>0</v>
      </c>
      <c r="S578" s="42">
        <f t="shared" si="59"/>
        <v>6420048674</v>
      </c>
    </row>
    <row r="579" spans="1:19">
      <c r="A579" s="41" t="s">
        <v>586</v>
      </c>
      <c r="B579" s="41" t="str">
        <f t="shared" ref="B579:B642" si="60">LEFT(A579,9)</f>
        <v>005011900</v>
      </c>
      <c r="D579" s="42">
        <f>VLOOKUP($A579,'Neraca Unaudited SIMAK'!$A$2:$R$1272,3,FALSE)+IF(ISNA(VLOOKUP($A579,'Mutasi Neraca'!$A$3:$S$910,3,FALSE)),0,VLOOKUP($A579,'Mutasi Neraca'!$A$3:$S$910,3,FALSE))</f>
        <v>205900</v>
      </c>
      <c r="E579" s="42">
        <f>VLOOKUP($A579,'Neraca Unaudited SIMAK'!$A$2:$R$1272,4,FALSE)+IF(ISNA(VLOOKUP($A579,'Mutasi Neraca'!$A$3:$S$910,4,FALSE)),0,VLOOKUP($A579,'Mutasi Neraca'!$A$3:$S$910,4,FALSE))</f>
        <v>4648573000</v>
      </c>
      <c r="F579" s="42">
        <f>VLOOKUP($A579,'Neraca Unaudited SIMAK'!$A$2:$R$1272,5,FALSE)+IF(ISNA(VLOOKUP($A579,'Mutasi Neraca'!$A$3:$S$910,5,FALSE)),0,VLOOKUP($A579,'Mutasi Neraca'!$A$3:$S$910,5,FALSE))</f>
        <v>1526922378</v>
      </c>
      <c r="G579" s="42">
        <f>VLOOKUP($A579,'Neraca Unaudited SIMAK'!$A$2:$R$1272,6,FALSE)+IF(ISNA(VLOOKUP($A579,'Mutasi Neraca'!$A$3:$S$910,6,FALSE)),0,VLOOKUP($A579,'Mutasi Neraca'!$A$3:$S$910,6,FALSE))</f>
        <v>3889766100</v>
      </c>
      <c r="H579" s="42">
        <f>VLOOKUP($A579,'Neraca Unaudited SIMAK'!$A$2:$R$1272,7,FALSE)+IF(ISNA(VLOOKUP($A579,'Mutasi Neraca'!$A$3:$S$910,7,FALSE)),0,VLOOKUP($A579,'Mutasi Neraca'!$A$3:$S$910,7,FALSE))</f>
        <v>138744000</v>
      </c>
      <c r="I579" s="42">
        <f>VLOOKUP($A579,'Neraca Unaudited SIMAK'!$A$2:$R$1272,8,FALSE)+IF(ISNA(VLOOKUP($A579,'Mutasi Neraca'!$A$3:$S$910,8,FALSE)),0,VLOOKUP($A579,'Mutasi Neraca'!$A$3:$S$910,8,FALSE))</f>
        <v>5058840</v>
      </c>
      <c r="J579" s="42">
        <f>VLOOKUP($A579,'Neraca Unaudited SIMAK'!$A$2:$R$1272,9,FALSE)+IF(ISNA(VLOOKUP($A579,'Mutasi Neraca'!$A$3:$S$910,9,FALSE)),0,VLOOKUP($A579,'Mutasi Neraca'!$A$3:$S$910,9,FALSE))</f>
        <v>0</v>
      </c>
      <c r="K579" s="42">
        <f>VLOOKUP($A579,'Neraca Unaudited SIMAK'!$A$2:$R$1272,10,FALSE)+IF(ISNA(VLOOKUP($A579,'Mutasi Neraca'!$A$3:$S$910,10,FALSE)),0,VLOOKUP($A579,'Mutasi Neraca'!$A$3:$S$910,10,FALSE))</f>
        <v>24349000</v>
      </c>
      <c r="L579" s="42">
        <f>VLOOKUP($A579,'Neraca Unaudited SIMAK'!$A$2:$R$1272,11,FALSE)+IF(ISNA(VLOOKUP($A579,'Mutasi Neraca'!$A$3:$S$910,11,FALSE)),0,VLOOKUP($A579,'Mutasi Neraca'!$A$3:$S$910,11,FALSE))</f>
        <v>0</v>
      </c>
      <c r="M579" s="42">
        <f>VLOOKUP($A579,'Neraca Unaudited SIMAK'!$A$2:$R$1272,12,FALSE)+IF(ISNA(VLOOKUP($A579,'Mutasi Neraca'!$A$3:$S$910,12,FALSE)),0,VLOOKUP($A579,'Mutasi Neraca'!$A$3:$S$910,12,FALSE))</f>
        <v>10233619218</v>
      </c>
      <c r="N579" s="42">
        <f>VLOOKUP($A579,'Neraca Unaudited SIMAK'!$A$2:$R$1272,13,FALSE)+IF(ISNA(VLOOKUP($A579,'Mutasi Neraca'!$A$3:$S$910,13,FALSE)),0,VLOOKUP($A579,'Mutasi Neraca'!$A$3:$S$910,13,FALSE))</f>
        <v>-1210753724</v>
      </c>
      <c r="O579" s="42">
        <f>VLOOKUP($A579,'Neraca Unaudited SIMAK'!$A$2:$R$1272,14,FALSE)+IF(ISNA(VLOOKUP($A579,'Mutasi Neraca'!$A$3:$S$910,14,FALSE)),0,VLOOKUP($A579,'Mutasi Neraca'!$A$3:$S$910,14,FALSE))</f>
        <v>-865443374</v>
      </c>
      <c r="P579" s="42">
        <f>VLOOKUP($A579,'Neraca Unaudited SIMAK'!$A$2:$R$1272,15,FALSE)+IF(ISNA(VLOOKUP($A579,'Mutasi Neraca'!$A$3:$S$910,15,FALSE)),0,VLOOKUP($A579,'Mutasi Neraca'!$A$3:$S$910,15,FALSE))</f>
        <v>-77356589</v>
      </c>
      <c r="Q579" s="42">
        <f>VLOOKUP($A579,'Neraca Unaudited SIMAK'!$A$2:$R$1272,16,FALSE)+IF(ISNA(VLOOKUP($A579,'Mutasi Neraca'!$A$3:$S$910,16,FALSE)),0,VLOOKUP($A579,'Mutasi Neraca'!$A$3:$S$910,16,FALSE))</f>
        <v>0</v>
      </c>
      <c r="R579" s="42">
        <f>VLOOKUP($A579,'Neraca Unaudited SIMAK'!$A$2:$R$1272,17,FALSE)+IF(ISNA(VLOOKUP($A579,'Mutasi Neraca'!$A$3:$S$910,17,FALSE)),0,VLOOKUP($A579,'Mutasi Neraca'!$A$3:$S$910,17,FALSE))</f>
        <v>0</v>
      </c>
      <c r="S579" s="42">
        <f t="shared" ref="S579:S642" si="61">SUM(M579:R579)</f>
        <v>8080065531</v>
      </c>
    </row>
    <row r="580" spans="1:19">
      <c r="A580" s="41" t="s">
        <v>587</v>
      </c>
      <c r="B580" s="41" t="str">
        <f t="shared" si="60"/>
        <v>005011900</v>
      </c>
      <c r="D580" s="42">
        <f>VLOOKUP($A580,'Neraca Unaudited SIMAK'!$A$2:$R$1272,3,FALSE)+IF(ISNA(VLOOKUP($A580,'Mutasi Neraca'!$A$3:$S$910,3,FALSE)),0,VLOOKUP($A580,'Mutasi Neraca'!$A$3:$S$910,3,FALSE))</f>
        <v>1125600</v>
      </c>
      <c r="E580" s="42">
        <f>VLOOKUP($A580,'Neraca Unaudited SIMAK'!$A$2:$R$1272,4,FALSE)+IF(ISNA(VLOOKUP($A580,'Mutasi Neraca'!$A$3:$S$910,4,FALSE)),0,VLOOKUP($A580,'Mutasi Neraca'!$A$3:$S$910,4,FALSE))</f>
        <v>2977000000</v>
      </c>
      <c r="F580" s="42">
        <f>VLOOKUP($A580,'Neraca Unaudited SIMAK'!$A$2:$R$1272,5,FALSE)+IF(ISNA(VLOOKUP($A580,'Mutasi Neraca'!$A$3:$S$910,5,FALSE)),0,VLOOKUP($A580,'Mutasi Neraca'!$A$3:$S$910,5,FALSE))</f>
        <v>1465063735</v>
      </c>
      <c r="G580" s="42">
        <f>VLOOKUP($A580,'Neraca Unaudited SIMAK'!$A$2:$R$1272,6,FALSE)+IF(ISNA(VLOOKUP($A580,'Mutasi Neraca'!$A$3:$S$910,6,FALSE)),0,VLOOKUP($A580,'Mutasi Neraca'!$A$3:$S$910,6,FALSE))</f>
        <v>4454951900</v>
      </c>
      <c r="H580" s="42">
        <f>VLOOKUP($A580,'Neraca Unaudited SIMAK'!$A$2:$R$1272,7,FALSE)+IF(ISNA(VLOOKUP($A580,'Mutasi Neraca'!$A$3:$S$910,7,FALSE)),0,VLOOKUP($A580,'Mutasi Neraca'!$A$3:$S$910,7,FALSE))</f>
        <v>0</v>
      </c>
      <c r="I580" s="42">
        <f>VLOOKUP($A580,'Neraca Unaudited SIMAK'!$A$2:$R$1272,8,FALSE)+IF(ISNA(VLOOKUP($A580,'Mutasi Neraca'!$A$3:$S$910,8,FALSE)),0,VLOOKUP($A580,'Mutasi Neraca'!$A$3:$S$910,8,FALSE))</f>
        <v>31843440</v>
      </c>
      <c r="J580" s="42">
        <f>VLOOKUP($A580,'Neraca Unaudited SIMAK'!$A$2:$R$1272,9,FALSE)+IF(ISNA(VLOOKUP($A580,'Mutasi Neraca'!$A$3:$S$910,9,FALSE)),0,VLOOKUP($A580,'Mutasi Neraca'!$A$3:$S$910,9,FALSE))</f>
        <v>0</v>
      </c>
      <c r="K580" s="42">
        <f>VLOOKUP($A580,'Neraca Unaudited SIMAK'!$A$2:$R$1272,10,FALSE)+IF(ISNA(VLOOKUP($A580,'Mutasi Neraca'!$A$3:$S$910,10,FALSE)),0,VLOOKUP($A580,'Mutasi Neraca'!$A$3:$S$910,10,FALSE))</f>
        <v>24349000</v>
      </c>
      <c r="L580" s="42">
        <f>VLOOKUP($A580,'Neraca Unaudited SIMAK'!$A$2:$R$1272,11,FALSE)+IF(ISNA(VLOOKUP($A580,'Mutasi Neraca'!$A$3:$S$910,11,FALSE)),0,VLOOKUP($A580,'Mutasi Neraca'!$A$3:$S$910,11,FALSE))</f>
        <v>63047000</v>
      </c>
      <c r="M580" s="42">
        <f>VLOOKUP($A580,'Neraca Unaudited SIMAK'!$A$2:$R$1272,12,FALSE)+IF(ISNA(VLOOKUP($A580,'Mutasi Neraca'!$A$3:$S$910,12,FALSE)),0,VLOOKUP($A580,'Mutasi Neraca'!$A$3:$S$910,12,FALSE))</f>
        <v>9017380675</v>
      </c>
      <c r="N580" s="42">
        <f>VLOOKUP($A580,'Neraca Unaudited SIMAK'!$A$2:$R$1272,13,FALSE)+IF(ISNA(VLOOKUP($A580,'Mutasi Neraca'!$A$3:$S$910,13,FALSE)),0,VLOOKUP($A580,'Mutasi Neraca'!$A$3:$S$910,13,FALSE))</f>
        <v>-1277725639</v>
      </c>
      <c r="O580" s="42">
        <f>VLOOKUP($A580,'Neraca Unaudited SIMAK'!$A$2:$R$1272,14,FALSE)+IF(ISNA(VLOOKUP($A580,'Mutasi Neraca'!$A$3:$S$910,14,FALSE)),0,VLOOKUP($A580,'Mutasi Neraca'!$A$3:$S$910,14,FALSE))</f>
        <v>-3040020713</v>
      </c>
      <c r="P580" s="42">
        <f>VLOOKUP($A580,'Neraca Unaudited SIMAK'!$A$2:$R$1272,15,FALSE)+IF(ISNA(VLOOKUP($A580,'Mutasi Neraca'!$A$3:$S$910,15,FALSE)),0,VLOOKUP($A580,'Mutasi Neraca'!$A$3:$S$910,15,FALSE))</f>
        <v>0</v>
      </c>
      <c r="Q580" s="42">
        <f>VLOOKUP($A580,'Neraca Unaudited SIMAK'!$A$2:$R$1272,16,FALSE)+IF(ISNA(VLOOKUP($A580,'Mutasi Neraca'!$A$3:$S$910,16,FALSE)),0,VLOOKUP($A580,'Mutasi Neraca'!$A$3:$S$910,16,FALSE))</f>
        <v>0</v>
      </c>
      <c r="R580" s="42">
        <f>VLOOKUP($A580,'Neraca Unaudited SIMAK'!$A$2:$R$1272,17,FALSE)+IF(ISNA(VLOOKUP($A580,'Mutasi Neraca'!$A$3:$S$910,17,FALSE)),0,VLOOKUP($A580,'Mutasi Neraca'!$A$3:$S$910,17,FALSE))</f>
        <v>-40657720</v>
      </c>
      <c r="S580" s="42">
        <f t="shared" si="61"/>
        <v>4658976603</v>
      </c>
    </row>
    <row r="581" spans="1:19">
      <c r="A581" s="41" t="s">
        <v>588</v>
      </c>
      <c r="B581" s="41" t="str">
        <f t="shared" si="60"/>
        <v>005011900</v>
      </c>
      <c r="D581" s="42">
        <f>VLOOKUP($A581,'Neraca Unaudited SIMAK'!$A$2:$R$1272,3,FALSE)+IF(ISNA(VLOOKUP($A581,'Mutasi Neraca'!$A$3:$S$910,3,FALSE)),0,VLOOKUP($A581,'Mutasi Neraca'!$A$3:$S$910,3,FALSE))</f>
        <v>93200</v>
      </c>
      <c r="E581" s="42">
        <f>VLOOKUP($A581,'Neraca Unaudited SIMAK'!$A$2:$R$1272,4,FALSE)+IF(ISNA(VLOOKUP($A581,'Mutasi Neraca'!$A$3:$S$910,4,FALSE)),0,VLOOKUP($A581,'Mutasi Neraca'!$A$3:$S$910,4,FALSE))</f>
        <v>3695916200</v>
      </c>
      <c r="F581" s="42">
        <f>VLOOKUP($A581,'Neraca Unaudited SIMAK'!$A$2:$R$1272,5,FALSE)+IF(ISNA(VLOOKUP($A581,'Mutasi Neraca'!$A$3:$S$910,5,FALSE)),0,VLOOKUP($A581,'Mutasi Neraca'!$A$3:$S$910,5,FALSE))</f>
        <v>1661221527</v>
      </c>
      <c r="G581" s="42">
        <f>VLOOKUP($A581,'Neraca Unaudited SIMAK'!$A$2:$R$1272,6,FALSE)+IF(ISNA(VLOOKUP($A581,'Mutasi Neraca'!$A$3:$S$910,6,FALSE)),0,VLOOKUP($A581,'Mutasi Neraca'!$A$3:$S$910,6,FALSE))</f>
        <v>3245654037</v>
      </c>
      <c r="H581" s="42">
        <f>VLOOKUP($A581,'Neraca Unaudited SIMAK'!$A$2:$R$1272,7,FALSE)+IF(ISNA(VLOOKUP($A581,'Mutasi Neraca'!$A$3:$S$910,7,FALSE)),0,VLOOKUP($A581,'Mutasi Neraca'!$A$3:$S$910,7,FALSE))</f>
        <v>196044915</v>
      </c>
      <c r="I581" s="42">
        <f>VLOOKUP($A581,'Neraca Unaudited SIMAK'!$A$2:$R$1272,8,FALSE)+IF(ISNA(VLOOKUP($A581,'Mutasi Neraca'!$A$3:$S$910,8,FALSE)),0,VLOOKUP($A581,'Mutasi Neraca'!$A$3:$S$910,8,FALSE))</f>
        <v>28885518</v>
      </c>
      <c r="J581" s="42">
        <f>VLOOKUP($A581,'Neraca Unaudited SIMAK'!$A$2:$R$1272,9,FALSE)+IF(ISNA(VLOOKUP($A581,'Mutasi Neraca'!$A$3:$S$910,9,FALSE)),0,VLOOKUP($A581,'Mutasi Neraca'!$A$3:$S$910,9,FALSE))</f>
        <v>0</v>
      </c>
      <c r="K581" s="42">
        <f>VLOOKUP($A581,'Neraca Unaudited SIMAK'!$A$2:$R$1272,10,FALSE)+IF(ISNA(VLOOKUP($A581,'Mutasi Neraca'!$A$3:$S$910,10,FALSE)),0,VLOOKUP($A581,'Mutasi Neraca'!$A$3:$S$910,10,FALSE))</f>
        <v>24349000</v>
      </c>
      <c r="L581" s="42">
        <f>VLOOKUP($A581,'Neraca Unaudited SIMAK'!$A$2:$R$1272,11,FALSE)+IF(ISNA(VLOOKUP($A581,'Mutasi Neraca'!$A$3:$S$910,11,FALSE)),0,VLOOKUP($A581,'Mutasi Neraca'!$A$3:$S$910,11,FALSE))</f>
        <v>281788910</v>
      </c>
      <c r="M581" s="42">
        <f>VLOOKUP($A581,'Neraca Unaudited SIMAK'!$A$2:$R$1272,12,FALSE)+IF(ISNA(VLOOKUP($A581,'Mutasi Neraca'!$A$3:$S$910,12,FALSE)),0,VLOOKUP($A581,'Mutasi Neraca'!$A$3:$S$910,12,FALSE))</f>
        <v>9133953307</v>
      </c>
      <c r="N581" s="42">
        <f>VLOOKUP($A581,'Neraca Unaudited SIMAK'!$A$2:$R$1272,13,FALSE)+IF(ISNA(VLOOKUP($A581,'Mutasi Neraca'!$A$3:$S$910,13,FALSE)),0,VLOOKUP($A581,'Mutasi Neraca'!$A$3:$S$910,13,FALSE))</f>
        <v>-1461939345</v>
      </c>
      <c r="O581" s="42">
        <f>VLOOKUP($A581,'Neraca Unaudited SIMAK'!$A$2:$R$1272,14,FALSE)+IF(ISNA(VLOOKUP($A581,'Mutasi Neraca'!$A$3:$S$910,14,FALSE)),0,VLOOKUP($A581,'Mutasi Neraca'!$A$3:$S$910,14,FALSE))</f>
        <v>-765187088</v>
      </c>
      <c r="P581" s="42">
        <f>VLOOKUP($A581,'Neraca Unaudited SIMAK'!$A$2:$R$1272,15,FALSE)+IF(ISNA(VLOOKUP($A581,'Mutasi Neraca'!$A$3:$S$910,15,FALSE)),0,VLOOKUP($A581,'Mutasi Neraca'!$A$3:$S$910,15,FALSE))</f>
        <v>-75854246</v>
      </c>
      <c r="Q581" s="42">
        <f>VLOOKUP($A581,'Neraca Unaudited SIMAK'!$A$2:$R$1272,16,FALSE)+IF(ISNA(VLOOKUP($A581,'Mutasi Neraca'!$A$3:$S$910,16,FALSE)),0,VLOOKUP($A581,'Mutasi Neraca'!$A$3:$S$910,16,FALSE))</f>
        <v>0</v>
      </c>
      <c r="R581" s="42">
        <f>VLOOKUP($A581,'Neraca Unaudited SIMAK'!$A$2:$R$1272,17,FALSE)+IF(ISNA(VLOOKUP($A581,'Mutasi Neraca'!$A$3:$S$910,17,FALSE)),0,VLOOKUP($A581,'Mutasi Neraca'!$A$3:$S$910,17,FALSE))</f>
        <v>-280038910</v>
      </c>
      <c r="S581" s="42">
        <f t="shared" si="61"/>
        <v>6550933718</v>
      </c>
    </row>
    <row r="582" spans="1:19">
      <c r="A582" s="41" t="s">
        <v>589</v>
      </c>
      <c r="B582" s="41" t="str">
        <f t="shared" si="60"/>
        <v>005011900</v>
      </c>
      <c r="D582" s="42">
        <f>VLOOKUP($A582,'Neraca Unaudited SIMAK'!$A$2:$R$1272,3,FALSE)+IF(ISNA(VLOOKUP($A582,'Mutasi Neraca'!$A$3:$S$910,3,FALSE)),0,VLOOKUP($A582,'Mutasi Neraca'!$A$3:$S$910,3,FALSE))</f>
        <v>924000</v>
      </c>
      <c r="E582" s="42">
        <f>VLOOKUP($A582,'Neraca Unaudited SIMAK'!$A$2:$R$1272,4,FALSE)+IF(ISNA(VLOOKUP($A582,'Mutasi Neraca'!$A$3:$S$910,4,FALSE)),0,VLOOKUP($A582,'Mutasi Neraca'!$A$3:$S$910,4,FALSE))</f>
        <v>5769766000</v>
      </c>
      <c r="F582" s="42">
        <f>VLOOKUP($A582,'Neraca Unaudited SIMAK'!$A$2:$R$1272,5,FALSE)+IF(ISNA(VLOOKUP($A582,'Mutasi Neraca'!$A$3:$S$910,5,FALSE)),0,VLOOKUP($A582,'Mutasi Neraca'!$A$3:$S$910,5,FALSE))</f>
        <v>1540994771</v>
      </c>
      <c r="G582" s="42">
        <f>VLOOKUP($A582,'Neraca Unaudited SIMAK'!$A$2:$R$1272,6,FALSE)+IF(ISNA(VLOOKUP($A582,'Mutasi Neraca'!$A$3:$S$910,6,FALSE)),0,VLOOKUP($A582,'Mutasi Neraca'!$A$3:$S$910,6,FALSE))</f>
        <v>4739960969</v>
      </c>
      <c r="H582" s="42">
        <f>VLOOKUP($A582,'Neraca Unaudited SIMAK'!$A$2:$R$1272,7,FALSE)+IF(ISNA(VLOOKUP($A582,'Mutasi Neraca'!$A$3:$S$910,7,FALSE)),0,VLOOKUP($A582,'Mutasi Neraca'!$A$3:$S$910,7,FALSE))</f>
        <v>138683700</v>
      </c>
      <c r="I582" s="42">
        <f>VLOOKUP($A582,'Neraca Unaudited SIMAK'!$A$2:$R$1272,8,FALSE)+IF(ISNA(VLOOKUP($A582,'Mutasi Neraca'!$A$3:$S$910,8,FALSE)),0,VLOOKUP($A582,'Mutasi Neraca'!$A$3:$S$910,8,FALSE))</f>
        <v>2717714</v>
      </c>
      <c r="J582" s="42">
        <f>VLOOKUP($A582,'Neraca Unaudited SIMAK'!$A$2:$R$1272,9,FALSE)+IF(ISNA(VLOOKUP($A582,'Mutasi Neraca'!$A$3:$S$910,9,FALSE)),0,VLOOKUP($A582,'Mutasi Neraca'!$A$3:$S$910,9,FALSE))</f>
        <v>0</v>
      </c>
      <c r="K582" s="42">
        <f>VLOOKUP($A582,'Neraca Unaudited SIMAK'!$A$2:$R$1272,10,FALSE)+IF(ISNA(VLOOKUP($A582,'Mutasi Neraca'!$A$3:$S$910,10,FALSE)),0,VLOOKUP($A582,'Mutasi Neraca'!$A$3:$S$910,10,FALSE))</f>
        <v>24349000</v>
      </c>
      <c r="L582" s="42">
        <f>VLOOKUP($A582,'Neraca Unaudited SIMAK'!$A$2:$R$1272,11,FALSE)+IF(ISNA(VLOOKUP($A582,'Mutasi Neraca'!$A$3:$S$910,11,FALSE)),0,VLOOKUP($A582,'Mutasi Neraca'!$A$3:$S$910,11,FALSE))</f>
        <v>29876480</v>
      </c>
      <c r="M582" s="42">
        <f>VLOOKUP($A582,'Neraca Unaudited SIMAK'!$A$2:$R$1272,12,FALSE)+IF(ISNA(VLOOKUP($A582,'Mutasi Neraca'!$A$3:$S$910,12,FALSE)),0,VLOOKUP($A582,'Mutasi Neraca'!$A$3:$S$910,12,FALSE))</f>
        <v>12247272634</v>
      </c>
      <c r="N582" s="42">
        <f>VLOOKUP($A582,'Neraca Unaudited SIMAK'!$A$2:$R$1272,13,FALSE)+IF(ISNA(VLOOKUP($A582,'Mutasi Neraca'!$A$3:$S$910,13,FALSE)),0,VLOOKUP($A582,'Mutasi Neraca'!$A$3:$S$910,13,FALSE))</f>
        <v>-1347042369</v>
      </c>
      <c r="O582" s="42">
        <f>VLOOKUP($A582,'Neraca Unaudited SIMAK'!$A$2:$R$1272,14,FALSE)+IF(ISNA(VLOOKUP($A582,'Mutasi Neraca'!$A$3:$S$910,14,FALSE)),0,VLOOKUP($A582,'Mutasi Neraca'!$A$3:$S$910,14,FALSE))</f>
        <v>-3015681706</v>
      </c>
      <c r="P582" s="42">
        <f>VLOOKUP($A582,'Neraca Unaudited SIMAK'!$A$2:$R$1272,15,FALSE)+IF(ISNA(VLOOKUP($A582,'Mutasi Neraca'!$A$3:$S$910,15,FALSE)),0,VLOOKUP($A582,'Mutasi Neraca'!$A$3:$S$910,15,FALSE))</f>
        <v>-39941511</v>
      </c>
      <c r="Q582" s="42">
        <f>VLOOKUP($A582,'Neraca Unaudited SIMAK'!$A$2:$R$1272,16,FALSE)+IF(ISNA(VLOOKUP($A582,'Mutasi Neraca'!$A$3:$S$910,16,FALSE)),0,VLOOKUP($A582,'Mutasi Neraca'!$A$3:$S$910,16,FALSE))</f>
        <v>0</v>
      </c>
      <c r="R582" s="42">
        <f>VLOOKUP($A582,'Neraca Unaudited SIMAK'!$A$2:$R$1272,17,FALSE)+IF(ISNA(VLOOKUP($A582,'Mutasi Neraca'!$A$3:$S$910,17,FALSE)),0,VLOOKUP($A582,'Mutasi Neraca'!$A$3:$S$910,17,FALSE))</f>
        <v>-22046480</v>
      </c>
      <c r="S582" s="42">
        <f t="shared" si="61"/>
        <v>7822560568</v>
      </c>
    </row>
    <row r="583" spans="1:19">
      <c r="A583" s="41" t="s">
        <v>590</v>
      </c>
      <c r="B583" s="41" t="str">
        <f t="shared" si="60"/>
        <v>005011900</v>
      </c>
      <c r="D583" s="42">
        <f>VLOOKUP($A583,'Neraca Unaudited SIMAK'!$A$2:$R$1272,3,FALSE)+IF(ISNA(VLOOKUP($A583,'Mutasi Neraca'!$A$3:$S$910,3,FALSE)),0,VLOOKUP($A583,'Mutasi Neraca'!$A$3:$S$910,3,FALSE))</f>
        <v>2210000</v>
      </c>
      <c r="E583" s="42">
        <f>VLOOKUP($A583,'Neraca Unaudited SIMAK'!$A$2:$R$1272,4,FALSE)+IF(ISNA(VLOOKUP($A583,'Mutasi Neraca'!$A$3:$S$910,4,FALSE)),0,VLOOKUP($A583,'Mutasi Neraca'!$A$3:$S$910,4,FALSE))</f>
        <v>2327247696</v>
      </c>
      <c r="F583" s="42">
        <f>VLOOKUP($A583,'Neraca Unaudited SIMAK'!$A$2:$R$1272,5,FALSE)+IF(ISNA(VLOOKUP($A583,'Mutasi Neraca'!$A$3:$S$910,5,FALSE)),0,VLOOKUP($A583,'Mutasi Neraca'!$A$3:$S$910,5,FALSE))</f>
        <v>1682361162</v>
      </c>
      <c r="G583" s="42">
        <f>VLOOKUP($A583,'Neraca Unaudited SIMAK'!$A$2:$R$1272,6,FALSE)+IF(ISNA(VLOOKUP($A583,'Mutasi Neraca'!$A$3:$S$910,6,FALSE)),0,VLOOKUP($A583,'Mutasi Neraca'!$A$3:$S$910,6,FALSE))</f>
        <v>2047560500</v>
      </c>
      <c r="H583" s="42">
        <f>VLOOKUP($A583,'Neraca Unaudited SIMAK'!$A$2:$R$1272,7,FALSE)+IF(ISNA(VLOOKUP($A583,'Mutasi Neraca'!$A$3:$S$910,7,FALSE)),0,VLOOKUP($A583,'Mutasi Neraca'!$A$3:$S$910,7,FALSE))</f>
        <v>266618000</v>
      </c>
      <c r="I583" s="42">
        <f>VLOOKUP($A583,'Neraca Unaudited SIMAK'!$A$2:$R$1272,8,FALSE)+IF(ISNA(VLOOKUP($A583,'Mutasi Neraca'!$A$3:$S$910,8,FALSE)),0,VLOOKUP($A583,'Mutasi Neraca'!$A$3:$S$910,8,FALSE))</f>
        <v>2096897</v>
      </c>
      <c r="J583" s="42">
        <f>VLOOKUP($A583,'Neraca Unaudited SIMAK'!$A$2:$R$1272,9,FALSE)+IF(ISNA(VLOOKUP($A583,'Mutasi Neraca'!$A$3:$S$910,9,FALSE)),0,VLOOKUP($A583,'Mutasi Neraca'!$A$3:$S$910,9,FALSE))</f>
        <v>4901284679</v>
      </c>
      <c r="K583" s="42">
        <f>VLOOKUP($A583,'Neraca Unaudited SIMAK'!$A$2:$R$1272,10,FALSE)+IF(ISNA(VLOOKUP($A583,'Mutasi Neraca'!$A$3:$S$910,10,FALSE)),0,VLOOKUP($A583,'Mutasi Neraca'!$A$3:$S$910,10,FALSE))</f>
        <v>24349000</v>
      </c>
      <c r="L583" s="42">
        <f>VLOOKUP($A583,'Neraca Unaudited SIMAK'!$A$2:$R$1272,11,FALSE)+IF(ISNA(VLOOKUP($A583,'Mutasi Neraca'!$A$3:$S$910,11,FALSE)),0,VLOOKUP($A583,'Mutasi Neraca'!$A$3:$S$910,11,FALSE))</f>
        <v>257705443</v>
      </c>
      <c r="M583" s="42">
        <f>VLOOKUP($A583,'Neraca Unaudited SIMAK'!$A$2:$R$1272,12,FALSE)+IF(ISNA(VLOOKUP($A583,'Mutasi Neraca'!$A$3:$S$910,12,FALSE)),0,VLOOKUP($A583,'Mutasi Neraca'!$A$3:$S$910,12,FALSE))</f>
        <v>11511433377</v>
      </c>
      <c r="N583" s="42">
        <f>VLOOKUP($A583,'Neraca Unaudited SIMAK'!$A$2:$R$1272,13,FALSE)+IF(ISNA(VLOOKUP($A583,'Mutasi Neraca'!$A$3:$S$910,13,FALSE)),0,VLOOKUP($A583,'Mutasi Neraca'!$A$3:$S$910,13,FALSE))</f>
        <v>-1490865515</v>
      </c>
      <c r="O583" s="42">
        <f>VLOOKUP($A583,'Neraca Unaudited SIMAK'!$A$2:$R$1272,14,FALSE)+IF(ISNA(VLOOKUP($A583,'Mutasi Neraca'!$A$3:$S$910,14,FALSE)),0,VLOOKUP($A583,'Mutasi Neraca'!$A$3:$S$910,14,FALSE))</f>
        <v>-482847398</v>
      </c>
      <c r="P583" s="42">
        <f>VLOOKUP($A583,'Neraca Unaudited SIMAK'!$A$2:$R$1272,15,FALSE)+IF(ISNA(VLOOKUP($A583,'Mutasi Neraca'!$A$3:$S$910,15,FALSE)),0,VLOOKUP($A583,'Mutasi Neraca'!$A$3:$S$910,15,FALSE))</f>
        <v>-64145650</v>
      </c>
      <c r="Q583" s="42">
        <f>VLOOKUP($A583,'Neraca Unaudited SIMAK'!$A$2:$R$1272,16,FALSE)+IF(ISNA(VLOOKUP($A583,'Mutasi Neraca'!$A$3:$S$910,16,FALSE)),0,VLOOKUP($A583,'Mutasi Neraca'!$A$3:$S$910,16,FALSE))</f>
        <v>0</v>
      </c>
      <c r="R583" s="42">
        <f>VLOOKUP($A583,'Neraca Unaudited SIMAK'!$A$2:$R$1272,17,FALSE)+IF(ISNA(VLOOKUP($A583,'Mutasi Neraca'!$A$3:$S$910,17,FALSE)),0,VLOOKUP($A583,'Mutasi Neraca'!$A$3:$S$910,17,FALSE))</f>
        <v>-257705443</v>
      </c>
      <c r="S583" s="42">
        <f t="shared" si="61"/>
        <v>9215869371</v>
      </c>
    </row>
    <row r="584" spans="1:19">
      <c r="A584" s="41" t="s">
        <v>591</v>
      </c>
      <c r="B584" s="41" t="str">
        <f t="shared" si="60"/>
        <v>005011900</v>
      </c>
      <c r="D584" s="42">
        <f>VLOOKUP($A584,'Neraca Unaudited SIMAK'!$A$2:$R$1272,3,FALSE)+IF(ISNA(VLOOKUP($A584,'Mutasi Neraca'!$A$3:$S$910,3,FALSE)),0,VLOOKUP($A584,'Mutasi Neraca'!$A$3:$S$910,3,FALSE))</f>
        <v>821725</v>
      </c>
      <c r="E584" s="42">
        <f>VLOOKUP($A584,'Neraca Unaudited SIMAK'!$A$2:$R$1272,4,FALSE)+IF(ISNA(VLOOKUP($A584,'Mutasi Neraca'!$A$3:$S$910,4,FALSE)),0,VLOOKUP($A584,'Mutasi Neraca'!$A$3:$S$910,4,FALSE))</f>
        <v>3228000000</v>
      </c>
      <c r="F584" s="42">
        <f>VLOOKUP($A584,'Neraca Unaudited SIMAK'!$A$2:$R$1272,5,FALSE)+IF(ISNA(VLOOKUP($A584,'Mutasi Neraca'!$A$3:$S$910,5,FALSE)),0,VLOOKUP($A584,'Mutasi Neraca'!$A$3:$S$910,5,FALSE))</f>
        <v>1816033956</v>
      </c>
      <c r="G584" s="42">
        <f>VLOOKUP($A584,'Neraca Unaudited SIMAK'!$A$2:$R$1272,6,FALSE)+IF(ISNA(VLOOKUP($A584,'Mutasi Neraca'!$A$3:$S$910,6,FALSE)),0,VLOOKUP($A584,'Mutasi Neraca'!$A$3:$S$910,6,FALSE))</f>
        <v>2107980504</v>
      </c>
      <c r="H584" s="42">
        <f>VLOOKUP($A584,'Neraca Unaudited SIMAK'!$A$2:$R$1272,7,FALSE)+IF(ISNA(VLOOKUP($A584,'Mutasi Neraca'!$A$3:$S$910,7,FALSE)),0,VLOOKUP($A584,'Mutasi Neraca'!$A$3:$S$910,7,FALSE))</f>
        <v>20192000</v>
      </c>
      <c r="I584" s="42">
        <f>VLOOKUP($A584,'Neraca Unaudited SIMAK'!$A$2:$R$1272,8,FALSE)+IF(ISNA(VLOOKUP($A584,'Mutasi Neraca'!$A$3:$S$910,8,FALSE)),0,VLOOKUP($A584,'Mutasi Neraca'!$A$3:$S$910,8,FALSE))</f>
        <v>3995770</v>
      </c>
      <c r="J584" s="42">
        <f>VLOOKUP($A584,'Neraca Unaudited SIMAK'!$A$2:$R$1272,9,FALSE)+IF(ISNA(VLOOKUP($A584,'Mutasi Neraca'!$A$3:$S$910,9,FALSE)),0,VLOOKUP($A584,'Mutasi Neraca'!$A$3:$S$910,9,FALSE))</f>
        <v>5551699725</v>
      </c>
      <c r="K584" s="42">
        <f>VLOOKUP($A584,'Neraca Unaudited SIMAK'!$A$2:$R$1272,10,FALSE)+IF(ISNA(VLOOKUP($A584,'Mutasi Neraca'!$A$3:$S$910,10,FALSE)),0,VLOOKUP($A584,'Mutasi Neraca'!$A$3:$S$910,10,FALSE))</f>
        <v>24349000</v>
      </c>
      <c r="L584" s="42">
        <f>VLOOKUP($A584,'Neraca Unaudited SIMAK'!$A$2:$R$1272,11,FALSE)+IF(ISNA(VLOOKUP($A584,'Mutasi Neraca'!$A$3:$S$910,11,FALSE)),0,VLOOKUP($A584,'Mutasi Neraca'!$A$3:$S$910,11,FALSE))</f>
        <v>173321083</v>
      </c>
      <c r="M584" s="42">
        <f>VLOOKUP($A584,'Neraca Unaudited SIMAK'!$A$2:$R$1272,12,FALSE)+IF(ISNA(VLOOKUP($A584,'Mutasi Neraca'!$A$3:$S$910,12,FALSE)),0,VLOOKUP($A584,'Mutasi Neraca'!$A$3:$S$910,12,FALSE))</f>
        <v>12926393763</v>
      </c>
      <c r="N584" s="42">
        <f>VLOOKUP($A584,'Neraca Unaudited SIMAK'!$A$2:$R$1272,13,FALSE)+IF(ISNA(VLOOKUP($A584,'Mutasi Neraca'!$A$3:$S$910,13,FALSE)),0,VLOOKUP($A584,'Mutasi Neraca'!$A$3:$S$910,13,FALSE))</f>
        <v>-1656043949</v>
      </c>
      <c r="O584" s="42">
        <f>VLOOKUP($A584,'Neraca Unaudited SIMAK'!$A$2:$R$1272,14,FALSE)+IF(ISNA(VLOOKUP($A584,'Mutasi Neraca'!$A$3:$S$910,14,FALSE)),0,VLOOKUP($A584,'Mutasi Neraca'!$A$3:$S$910,14,FALSE))</f>
        <v>-1405962877</v>
      </c>
      <c r="P584" s="42">
        <f>VLOOKUP($A584,'Neraca Unaudited SIMAK'!$A$2:$R$1272,15,FALSE)+IF(ISNA(VLOOKUP($A584,'Mutasi Neraca'!$A$3:$S$910,15,FALSE)),0,VLOOKUP($A584,'Mutasi Neraca'!$A$3:$S$910,15,FALSE))</f>
        <v>-16153600</v>
      </c>
      <c r="Q584" s="42">
        <f>VLOOKUP($A584,'Neraca Unaudited SIMAK'!$A$2:$R$1272,16,FALSE)+IF(ISNA(VLOOKUP($A584,'Mutasi Neraca'!$A$3:$S$910,16,FALSE)),0,VLOOKUP($A584,'Mutasi Neraca'!$A$3:$S$910,16,FALSE))</f>
        <v>0</v>
      </c>
      <c r="R584" s="42">
        <f>VLOOKUP($A584,'Neraca Unaudited SIMAK'!$A$2:$R$1272,17,FALSE)+IF(ISNA(VLOOKUP($A584,'Mutasi Neraca'!$A$3:$S$910,17,FALSE)),0,VLOOKUP($A584,'Mutasi Neraca'!$A$3:$S$910,17,FALSE))</f>
        <v>-133729000</v>
      </c>
      <c r="S584" s="42">
        <f t="shared" si="61"/>
        <v>9714504337</v>
      </c>
    </row>
    <row r="585" spans="1:19">
      <c r="A585" s="41" t="s">
        <v>592</v>
      </c>
      <c r="B585" s="41" t="str">
        <f t="shared" si="60"/>
        <v>005011900</v>
      </c>
      <c r="D585" s="42">
        <f>VLOOKUP($A585,'Neraca Unaudited SIMAK'!$A$2:$R$1272,3,FALSE)+IF(ISNA(VLOOKUP($A585,'Mutasi Neraca'!$A$3:$S$910,3,FALSE)),0,VLOOKUP($A585,'Mutasi Neraca'!$A$3:$S$910,3,FALSE))</f>
        <v>1900000</v>
      </c>
      <c r="E585" s="42">
        <f>VLOOKUP($A585,'Neraca Unaudited SIMAK'!$A$2:$R$1272,4,FALSE)+IF(ISNA(VLOOKUP($A585,'Mutasi Neraca'!$A$3:$S$910,4,FALSE)),0,VLOOKUP($A585,'Mutasi Neraca'!$A$3:$S$910,4,FALSE))</f>
        <v>1677250000</v>
      </c>
      <c r="F585" s="42">
        <f>VLOOKUP($A585,'Neraca Unaudited SIMAK'!$A$2:$R$1272,5,FALSE)+IF(ISNA(VLOOKUP($A585,'Mutasi Neraca'!$A$3:$S$910,5,FALSE)),0,VLOOKUP($A585,'Mutasi Neraca'!$A$3:$S$910,5,FALSE))</f>
        <v>1340403051</v>
      </c>
      <c r="G585" s="42">
        <f>VLOOKUP($A585,'Neraca Unaudited SIMAK'!$A$2:$R$1272,6,FALSE)+IF(ISNA(VLOOKUP($A585,'Mutasi Neraca'!$A$3:$S$910,6,FALSE)),0,VLOOKUP($A585,'Mutasi Neraca'!$A$3:$S$910,6,FALSE))</f>
        <v>7310917188</v>
      </c>
      <c r="H585" s="42">
        <f>VLOOKUP($A585,'Neraca Unaudited SIMAK'!$A$2:$R$1272,7,FALSE)+IF(ISNA(VLOOKUP($A585,'Mutasi Neraca'!$A$3:$S$910,7,FALSE)),0,VLOOKUP($A585,'Mutasi Neraca'!$A$3:$S$910,7,FALSE))</f>
        <v>33973000</v>
      </c>
      <c r="I585" s="42">
        <f>VLOOKUP($A585,'Neraca Unaudited SIMAK'!$A$2:$R$1272,8,FALSE)+IF(ISNA(VLOOKUP($A585,'Mutasi Neraca'!$A$3:$S$910,8,FALSE)),0,VLOOKUP($A585,'Mutasi Neraca'!$A$3:$S$910,8,FALSE))</f>
        <v>167143436</v>
      </c>
      <c r="J585" s="42">
        <f>VLOOKUP($A585,'Neraca Unaudited SIMAK'!$A$2:$R$1272,9,FALSE)+IF(ISNA(VLOOKUP($A585,'Mutasi Neraca'!$A$3:$S$910,9,FALSE)),0,VLOOKUP($A585,'Mutasi Neraca'!$A$3:$S$910,9,FALSE))</f>
        <v>0</v>
      </c>
      <c r="K585" s="42">
        <f>VLOOKUP($A585,'Neraca Unaudited SIMAK'!$A$2:$R$1272,10,FALSE)+IF(ISNA(VLOOKUP($A585,'Mutasi Neraca'!$A$3:$S$910,10,FALSE)),0,VLOOKUP($A585,'Mutasi Neraca'!$A$3:$S$910,10,FALSE))</f>
        <v>24349000</v>
      </c>
      <c r="L585" s="42">
        <f>VLOOKUP($A585,'Neraca Unaudited SIMAK'!$A$2:$R$1272,11,FALSE)+IF(ISNA(VLOOKUP($A585,'Mutasi Neraca'!$A$3:$S$910,11,FALSE)),0,VLOOKUP($A585,'Mutasi Neraca'!$A$3:$S$910,11,FALSE))</f>
        <v>28929000</v>
      </c>
      <c r="M585" s="42">
        <f>VLOOKUP($A585,'Neraca Unaudited SIMAK'!$A$2:$R$1272,12,FALSE)+IF(ISNA(VLOOKUP($A585,'Mutasi Neraca'!$A$3:$S$910,12,FALSE)),0,VLOOKUP($A585,'Mutasi Neraca'!$A$3:$S$910,12,FALSE))</f>
        <v>10584864675</v>
      </c>
      <c r="N585" s="42">
        <f>VLOOKUP($A585,'Neraca Unaudited SIMAK'!$A$2:$R$1272,13,FALSE)+IF(ISNA(VLOOKUP($A585,'Mutasi Neraca'!$A$3:$S$910,13,FALSE)),0,VLOOKUP($A585,'Mutasi Neraca'!$A$3:$S$910,13,FALSE))</f>
        <v>-1117405369</v>
      </c>
      <c r="O585" s="42">
        <f>VLOOKUP($A585,'Neraca Unaudited SIMAK'!$A$2:$R$1272,14,FALSE)+IF(ISNA(VLOOKUP($A585,'Mutasi Neraca'!$A$3:$S$910,14,FALSE)),0,VLOOKUP($A585,'Mutasi Neraca'!$A$3:$S$910,14,FALSE))</f>
        <v>-5632599000</v>
      </c>
      <c r="P585" s="42">
        <f>VLOOKUP($A585,'Neraca Unaudited SIMAK'!$A$2:$R$1272,15,FALSE)+IF(ISNA(VLOOKUP($A585,'Mutasi Neraca'!$A$3:$S$910,15,FALSE)),0,VLOOKUP($A585,'Mutasi Neraca'!$A$3:$S$910,15,FALSE))</f>
        <v>-5520613</v>
      </c>
      <c r="Q585" s="42">
        <f>VLOOKUP($A585,'Neraca Unaudited SIMAK'!$A$2:$R$1272,16,FALSE)+IF(ISNA(VLOOKUP($A585,'Mutasi Neraca'!$A$3:$S$910,16,FALSE)),0,VLOOKUP($A585,'Mutasi Neraca'!$A$3:$S$910,16,FALSE))</f>
        <v>0</v>
      </c>
      <c r="R585" s="42">
        <f>VLOOKUP($A585,'Neraca Unaudited SIMAK'!$A$2:$R$1272,17,FALSE)+IF(ISNA(VLOOKUP($A585,'Mutasi Neraca'!$A$3:$S$910,17,FALSE)),0,VLOOKUP($A585,'Mutasi Neraca'!$A$3:$S$910,17,FALSE))</f>
        <v>-28929000</v>
      </c>
      <c r="S585" s="42">
        <f t="shared" si="61"/>
        <v>3800410693</v>
      </c>
    </row>
    <row r="586" spans="1:19">
      <c r="A586" s="41" t="s">
        <v>593</v>
      </c>
      <c r="B586" s="41" t="str">
        <f t="shared" si="60"/>
        <v>005011900</v>
      </c>
      <c r="D586" s="42">
        <f>VLOOKUP($A586,'Neraca Unaudited SIMAK'!$A$2:$R$1272,3,FALSE)+IF(ISNA(VLOOKUP($A586,'Mutasi Neraca'!$A$3:$S$910,3,FALSE)),0,VLOOKUP($A586,'Mutasi Neraca'!$A$3:$S$910,3,FALSE))</f>
        <v>427500</v>
      </c>
      <c r="E586" s="42">
        <f>VLOOKUP($A586,'Neraca Unaudited SIMAK'!$A$2:$R$1272,4,FALSE)+IF(ISNA(VLOOKUP($A586,'Mutasi Neraca'!$A$3:$S$910,4,FALSE)),0,VLOOKUP($A586,'Mutasi Neraca'!$A$3:$S$910,4,FALSE))</f>
        <v>2411100000</v>
      </c>
      <c r="F586" s="42">
        <f>VLOOKUP($A586,'Neraca Unaudited SIMAK'!$A$2:$R$1272,5,FALSE)+IF(ISNA(VLOOKUP($A586,'Mutasi Neraca'!$A$3:$S$910,5,FALSE)),0,VLOOKUP($A586,'Mutasi Neraca'!$A$3:$S$910,5,FALSE))</f>
        <v>1232505909</v>
      </c>
      <c r="G586" s="42">
        <f>VLOOKUP($A586,'Neraca Unaudited SIMAK'!$A$2:$R$1272,6,FALSE)+IF(ISNA(VLOOKUP($A586,'Mutasi Neraca'!$A$3:$S$910,6,FALSE)),0,VLOOKUP($A586,'Mutasi Neraca'!$A$3:$S$910,6,FALSE))</f>
        <v>2599913000</v>
      </c>
      <c r="H586" s="42">
        <f>VLOOKUP($A586,'Neraca Unaudited SIMAK'!$A$2:$R$1272,7,FALSE)+IF(ISNA(VLOOKUP($A586,'Mutasi Neraca'!$A$3:$S$910,7,FALSE)),0,VLOOKUP($A586,'Mutasi Neraca'!$A$3:$S$910,7,FALSE))</f>
        <v>0</v>
      </c>
      <c r="I586" s="42">
        <f>VLOOKUP($A586,'Neraca Unaudited SIMAK'!$A$2:$R$1272,8,FALSE)+IF(ISNA(VLOOKUP($A586,'Mutasi Neraca'!$A$3:$S$910,8,FALSE)),0,VLOOKUP($A586,'Mutasi Neraca'!$A$3:$S$910,8,FALSE))</f>
        <v>58491740</v>
      </c>
      <c r="J586" s="42">
        <f>VLOOKUP($A586,'Neraca Unaudited SIMAK'!$A$2:$R$1272,9,FALSE)+IF(ISNA(VLOOKUP($A586,'Mutasi Neraca'!$A$3:$S$910,9,FALSE)),0,VLOOKUP($A586,'Mutasi Neraca'!$A$3:$S$910,9,FALSE))</f>
        <v>8400313300</v>
      </c>
      <c r="K586" s="42">
        <f>VLOOKUP($A586,'Neraca Unaudited SIMAK'!$A$2:$R$1272,10,FALSE)+IF(ISNA(VLOOKUP($A586,'Mutasi Neraca'!$A$3:$S$910,10,FALSE)),0,VLOOKUP($A586,'Mutasi Neraca'!$A$3:$S$910,10,FALSE))</f>
        <v>24349000</v>
      </c>
      <c r="L586" s="42">
        <f>VLOOKUP($A586,'Neraca Unaudited SIMAK'!$A$2:$R$1272,11,FALSE)+IF(ISNA(VLOOKUP($A586,'Mutasi Neraca'!$A$3:$S$910,11,FALSE)),0,VLOOKUP($A586,'Mutasi Neraca'!$A$3:$S$910,11,FALSE))</f>
        <v>394399160</v>
      </c>
      <c r="M586" s="42">
        <f>VLOOKUP($A586,'Neraca Unaudited SIMAK'!$A$2:$R$1272,12,FALSE)+IF(ISNA(VLOOKUP($A586,'Mutasi Neraca'!$A$3:$S$910,12,FALSE)),0,VLOOKUP($A586,'Mutasi Neraca'!$A$3:$S$910,12,FALSE))</f>
        <v>15121499609</v>
      </c>
      <c r="N586" s="42">
        <f>VLOOKUP($A586,'Neraca Unaudited SIMAK'!$A$2:$R$1272,13,FALSE)+IF(ISNA(VLOOKUP($A586,'Mutasi Neraca'!$A$3:$S$910,13,FALSE)),0,VLOOKUP($A586,'Mutasi Neraca'!$A$3:$S$910,13,FALSE))</f>
        <v>-924049680</v>
      </c>
      <c r="O586" s="42">
        <f>VLOOKUP($A586,'Neraca Unaudited SIMAK'!$A$2:$R$1272,14,FALSE)+IF(ISNA(VLOOKUP($A586,'Mutasi Neraca'!$A$3:$S$910,14,FALSE)),0,VLOOKUP($A586,'Mutasi Neraca'!$A$3:$S$910,14,FALSE))</f>
        <v>-1970996790</v>
      </c>
      <c r="P586" s="42">
        <f>VLOOKUP($A586,'Neraca Unaudited SIMAK'!$A$2:$R$1272,15,FALSE)+IF(ISNA(VLOOKUP($A586,'Mutasi Neraca'!$A$3:$S$910,15,FALSE)),0,VLOOKUP($A586,'Mutasi Neraca'!$A$3:$S$910,15,FALSE))</f>
        <v>0</v>
      </c>
      <c r="Q586" s="42">
        <f>VLOOKUP($A586,'Neraca Unaudited SIMAK'!$A$2:$R$1272,16,FALSE)+IF(ISNA(VLOOKUP($A586,'Mutasi Neraca'!$A$3:$S$910,16,FALSE)),0,VLOOKUP($A586,'Mutasi Neraca'!$A$3:$S$910,16,FALSE))</f>
        <v>-24700000</v>
      </c>
      <c r="R586" s="42">
        <f>VLOOKUP($A586,'Neraca Unaudited SIMAK'!$A$2:$R$1272,17,FALSE)+IF(ISNA(VLOOKUP($A586,'Mutasi Neraca'!$A$3:$S$910,17,FALSE)),0,VLOOKUP($A586,'Mutasi Neraca'!$A$3:$S$910,17,FALSE))</f>
        <v>-394399160</v>
      </c>
      <c r="S586" s="42">
        <f t="shared" si="61"/>
        <v>11807353979</v>
      </c>
    </row>
    <row r="587" spans="1:19">
      <c r="A587" s="41" t="s">
        <v>594</v>
      </c>
      <c r="B587" s="41" t="str">
        <f t="shared" si="60"/>
        <v>005011900</v>
      </c>
      <c r="D587" s="42">
        <f>VLOOKUP($A587,'Neraca Unaudited SIMAK'!$A$2:$R$1272,3,FALSE)+IF(ISNA(VLOOKUP($A587,'Mutasi Neraca'!$A$3:$S$910,3,FALSE)),0,VLOOKUP($A587,'Mutasi Neraca'!$A$3:$S$910,3,FALSE))</f>
        <v>3863437</v>
      </c>
      <c r="E587" s="42">
        <f>VLOOKUP($A587,'Neraca Unaudited SIMAK'!$A$2:$R$1272,4,FALSE)+IF(ISNA(VLOOKUP($A587,'Mutasi Neraca'!$A$3:$S$910,4,FALSE)),0,VLOOKUP($A587,'Mutasi Neraca'!$A$3:$S$910,4,FALSE))</f>
        <v>3983500000</v>
      </c>
      <c r="F587" s="42">
        <f>VLOOKUP($A587,'Neraca Unaudited SIMAK'!$A$2:$R$1272,5,FALSE)+IF(ISNA(VLOOKUP($A587,'Mutasi Neraca'!$A$3:$S$910,5,FALSE)),0,VLOOKUP($A587,'Mutasi Neraca'!$A$3:$S$910,5,FALSE))</f>
        <v>1721697763</v>
      </c>
      <c r="G587" s="42">
        <f>VLOOKUP($A587,'Neraca Unaudited SIMAK'!$A$2:$R$1272,6,FALSE)+IF(ISNA(VLOOKUP($A587,'Mutasi Neraca'!$A$3:$S$910,6,FALSE)),0,VLOOKUP($A587,'Mutasi Neraca'!$A$3:$S$910,6,FALSE))</f>
        <v>2678810000</v>
      </c>
      <c r="H587" s="42">
        <f>VLOOKUP($A587,'Neraca Unaudited SIMAK'!$A$2:$R$1272,7,FALSE)+IF(ISNA(VLOOKUP($A587,'Mutasi Neraca'!$A$3:$S$910,7,FALSE)),0,VLOOKUP($A587,'Mutasi Neraca'!$A$3:$S$910,7,FALSE))</f>
        <v>49328961</v>
      </c>
      <c r="I587" s="42">
        <f>VLOOKUP($A587,'Neraca Unaudited SIMAK'!$A$2:$R$1272,8,FALSE)+IF(ISNA(VLOOKUP($A587,'Mutasi Neraca'!$A$3:$S$910,8,FALSE)),0,VLOOKUP($A587,'Mutasi Neraca'!$A$3:$S$910,8,FALSE))</f>
        <v>70933513</v>
      </c>
      <c r="J587" s="42">
        <f>VLOOKUP($A587,'Neraca Unaudited SIMAK'!$A$2:$R$1272,9,FALSE)+IF(ISNA(VLOOKUP($A587,'Mutasi Neraca'!$A$3:$S$910,9,FALSE)),0,VLOOKUP($A587,'Mutasi Neraca'!$A$3:$S$910,9,FALSE))</f>
        <v>0</v>
      </c>
      <c r="K587" s="42">
        <f>VLOOKUP($A587,'Neraca Unaudited SIMAK'!$A$2:$R$1272,10,FALSE)+IF(ISNA(VLOOKUP($A587,'Mutasi Neraca'!$A$3:$S$910,10,FALSE)),0,VLOOKUP($A587,'Mutasi Neraca'!$A$3:$S$910,10,FALSE))</f>
        <v>24349000</v>
      </c>
      <c r="L587" s="42">
        <f>VLOOKUP($A587,'Neraca Unaudited SIMAK'!$A$2:$R$1272,11,FALSE)+IF(ISNA(VLOOKUP($A587,'Mutasi Neraca'!$A$3:$S$910,11,FALSE)),0,VLOOKUP($A587,'Mutasi Neraca'!$A$3:$S$910,11,FALSE))</f>
        <v>0</v>
      </c>
      <c r="M587" s="42">
        <f>VLOOKUP($A587,'Neraca Unaudited SIMAK'!$A$2:$R$1272,12,FALSE)+IF(ISNA(VLOOKUP($A587,'Mutasi Neraca'!$A$3:$S$910,12,FALSE)),0,VLOOKUP($A587,'Mutasi Neraca'!$A$3:$S$910,12,FALSE))</f>
        <v>8532482674</v>
      </c>
      <c r="N587" s="42">
        <f>VLOOKUP($A587,'Neraca Unaudited SIMAK'!$A$2:$R$1272,13,FALSE)+IF(ISNA(VLOOKUP($A587,'Mutasi Neraca'!$A$3:$S$910,13,FALSE)),0,VLOOKUP($A587,'Mutasi Neraca'!$A$3:$S$910,13,FALSE))</f>
        <v>-1510447071</v>
      </c>
      <c r="O587" s="42">
        <f>VLOOKUP($A587,'Neraca Unaudited SIMAK'!$A$2:$R$1272,14,FALSE)+IF(ISNA(VLOOKUP($A587,'Mutasi Neraca'!$A$3:$S$910,14,FALSE)),0,VLOOKUP($A587,'Mutasi Neraca'!$A$3:$S$910,14,FALSE))</f>
        <v>-1791716690</v>
      </c>
      <c r="P587" s="42">
        <f>VLOOKUP($A587,'Neraca Unaudited SIMAK'!$A$2:$R$1272,15,FALSE)+IF(ISNA(VLOOKUP($A587,'Mutasi Neraca'!$A$3:$S$910,15,FALSE)),0,VLOOKUP($A587,'Mutasi Neraca'!$A$3:$S$910,15,FALSE))</f>
        <v>-8632568</v>
      </c>
      <c r="Q587" s="42">
        <f>VLOOKUP($A587,'Neraca Unaudited SIMAK'!$A$2:$R$1272,16,FALSE)+IF(ISNA(VLOOKUP($A587,'Mutasi Neraca'!$A$3:$S$910,16,FALSE)),0,VLOOKUP($A587,'Mutasi Neraca'!$A$3:$S$910,16,FALSE))</f>
        <v>0</v>
      </c>
      <c r="R587" s="42">
        <f>VLOOKUP($A587,'Neraca Unaudited SIMAK'!$A$2:$R$1272,17,FALSE)+IF(ISNA(VLOOKUP($A587,'Mutasi Neraca'!$A$3:$S$910,17,FALSE)),0,VLOOKUP($A587,'Mutasi Neraca'!$A$3:$S$910,17,FALSE))</f>
        <v>0</v>
      </c>
      <c r="S587" s="42">
        <f t="shared" si="61"/>
        <v>5221686345</v>
      </c>
    </row>
    <row r="588" spans="1:19">
      <c r="A588" s="41" t="s">
        <v>595</v>
      </c>
      <c r="B588" s="41" t="str">
        <f t="shared" si="60"/>
        <v>005011900</v>
      </c>
      <c r="D588" s="42">
        <f>VLOOKUP($A588,'Neraca Unaudited SIMAK'!$A$2:$R$1272,3,FALSE)+IF(ISNA(VLOOKUP($A588,'Mutasi Neraca'!$A$3:$S$910,3,FALSE)),0,VLOOKUP($A588,'Mutasi Neraca'!$A$3:$S$910,3,FALSE))</f>
        <v>0</v>
      </c>
      <c r="E588" s="42">
        <f>VLOOKUP($A588,'Neraca Unaudited SIMAK'!$A$2:$R$1272,4,FALSE)+IF(ISNA(VLOOKUP($A588,'Mutasi Neraca'!$A$3:$S$910,4,FALSE)),0,VLOOKUP($A588,'Mutasi Neraca'!$A$3:$S$910,4,FALSE))</f>
        <v>3819965800</v>
      </c>
      <c r="F588" s="42">
        <f>VLOOKUP($A588,'Neraca Unaudited SIMAK'!$A$2:$R$1272,5,FALSE)+IF(ISNA(VLOOKUP($A588,'Mutasi Neraca'!$A$3:$S$910,5,FALSE)),0,VLOOKUP($A588,'Mutasi Neraca'!$A$3:$S$910,5,FALSE))</f>
        <v>1842210457</v>
      </c>
      <c r="G588" s="42">
        <f>VLOOKUP($A588,'Neraca Unaudited SIMAK'!$A$2:$R$1272,6,FALSE)+IF(ISNA(VLOOKUP($A588,'Mutasi Neraca'!$A$3:$S$910,6,FALSE)),0,VLOOKUP($A588,'Mutasi Neraca'!$A$3:$S$910,6,FALSE))</f>
        <v>5433298100</v>
      </c>
      <c r="H588" s="42">
        <f>VLOOKUP($A588,'Neraca Unaudited SIMAK'!$A$2:$R$1272,7,FALSE)+IF(ISNA(VLOOKUP($A588,'Mutasi Neraca'!$A$3:$S$910,7,FALSE)),0,VLOOKUP($A588,'Mutasi Neraca'!$A$3:$S$910,7,FALSE))</f>
        <v>71505000</v>
      </c>
      <c r="I588" s="42">
        <f>VLOOKUP($A588,'Neraca Unaudited SIMAK'!$A$2:$R$1272,8,FALSE)+IF(ISNA(VLOOKUP($A588,'Mutasi Neraca'!$A$3:$S$910,8,FALSE)),0,VLOOKUP($A588,'Mutasi Neraca'!$A$3:$S$910,8,FALSE))</f>
        <v>62635253</v>
      </c>
      <c r="J588" s="42">
        <f>VLOOKUP($A588,'Neraca Unaudited SIMAK'!$A$2:$R$1272,9,FALSE)+IF(ISNA(VLOOKUP($A588,'Mutasi Neraca'!$A$3:$S$910,9,FALSE)),0,VLOOKUP($A588,'Mutasi Neraca'!$A$3:$S$910,9,FALSE))</f>
        <v>5022314550</v>
      </c>
      <c r="K588" s="42">
        <f>VLOOKUP($A588,'Neraca Unaudited SIMAK'!$A$2:$R$1272,10,FALSE)+IF(ISNA(VLOOKUP($A588,'Mutasi Neraca'!$A$3:$S$910,10,FALSE)),0,VLOOKUP($A588,'Mutasi Neraca'!$A$3:$S$910,10,FALSE))</f>
        <v>24349000</v>
      </c>
      <c r="L588" s="42">
        <f>VLOOKUP($A588,'Neraca Unaudited SIMAK'!$A$2:$R$1272,11,FALSE)+IF(ISNA(VLOOKUP($A588,'Mutasi Neraca'!$A$3:$S$910,11,FALSE)),0,VLOOKUP($A588,'Mutasi Neraca'!$A$3:$S$910,11,FALSE))</f>
        <v>0</v>
      </c>
      <c r="M588" s="42">
        <f>VLOOKUP($A588,'Neraca Unaudited SIMAK'!$A$2:$R$1272,12,FALSE)+IF(ISNA(VLOOKUP($A588,'Mutasi Neraca'!$A$3:$S$910,12,FALSE)),0,VLOOKUP($A588,'Mutasi Neraca'!$A$3:$S$910,12,FALSE))</f>
        <v>16276278160</v>
      </c>
      <c r="N588" s="42">
        <f>VLOOKUP($A588,'Neraca Unaudited SIMAK'!$A$2:$R$1272,13,FALSE)+IF(ISNA(VLOOKUP($A588,'Mutasi Neraca'!$A$3:$S$910,13,FALSE)),0,VLOOKUP($A588,'Mutasi Neraca'!$A$3:$S$910,13,FALSE))</f>
        <v>-1574605097</v>
      </c>
      <c r="O588" s="42">
        <f>VLOOKUP($A588,'Neraca Unaudited SIMAK'!$A$2:$R$1272,14,FALSE)+IF(ISNA(VLOOKUP($A588,'Mutasi Neraca'!$A$3:$S$910,14,FALSE)),0,VLOOKUP($A588,'Mutasi Neraca'!$A$3:$S$910,14,FALSE))</f>
        <v>-2426735840</v>
      </c>
      <c r="P588" s="42">
        <f>VLOOKUP($A588,'Neraca Unaudited SIMAK'!$A$2:$R$1272,15,FALSE)+IF(ISNA(VLOOKUP($A588,'Mutasi Neraca'!$A$3:$S$910,15,FALSE)),0,VLOOKUP($A588,'Mutasi Neraca'!$A$3:$S$910,15,FALSE))</f>
        <v>-39327750</v>
      </c>
      <c r="Q588" s="42">
        <f>VLOOKUP($A588,'Neraca Unaudited SIMAK'!$A$2:$R$1272,16,FALSE)+IF(ISNA(VLOOKUP($A588,'Mutasi Neraca'!$A$3:$S$910,16,FALSE)),0,VLOOKUP($A588,'Mutasi Neraca'!$A$3:$S$910,16,FALSE))</f>
        <v>0</v>
      </c>
      <c r="R588" s="42">
        <f>VLOOKUP($A588,'Neraca Unaudited SIMAK'!$A$2:$R$1272,17,FALSE)+IF(ISNA(VLOOKUP($A588,'Mutasi Neraca'!$A$3:$S$910,17,FALSE)),0,VLOOKUP($A588,'Mutasi Neraca'!$A$3:$S$910,17,FALSE))</f>
        <v>0</v>
      </c>
      <c r="S588" s="42">
        <f t="shared" si="61"/>
        <v>12235609473</v>
      </c>
    </row>
    <row r="589" spans="1:19">
      <c r="A589" s="41" t="s">
        <v>596</v>
      </c>
      <c r="B589" s="41" t="str">
        <f t="shared" si="60"/>
        <v>005011900</v>
      </c>
      <c r="D589" s="42">
        <f>VLOOKUP($A589,'Neraca Unaudited SIMAK'!$A$2:$R$1272,3,FALSE)+IF(ISNA(VLOOKUP($A589,'Mutasi Neraca'!$A$3:$S$910,3,FALSE)),0,VLOOKUP($A589,'Mutasi Neraca'!$A$3:$S$910,3,FALSE))</f>
        <v>4769900</v>
      </c>
      <c r="E589" s="42">
        <f>VLOOKUP($A589,'Neraca Unaudited SIMAK'!$A$2:$R$1272,4,FALSE)+IF(ISNA(VLOOKUP($A589,'Mutasi Neraca'!$A$3:$S$910,4,FALSE)),0,VLOOKUP($A589,'Mutasi Neraca'!$A$3:$S$910,4,FALSE))</f>
        <v>3527000000</v>
      </c>
      <c r="F589" s="42">
        <f>VLOOKUP($A589,'Neraca Unaudited SIMAK'!$A$2:$R$1272,5,FALSE)+IF(ISNA(VLOOKUP($A589,'Mutasi Neraca'!$A$3:$S$910,5,FALSE)),0,VLOOKUP($A589,'Mutasi Neraca'!$A$3:$S$910,5,FALSE))</f>
        <v>1734778565</v>
      </c>
      <c r="G589" s="42">
        <f>VLOOKUP($A589,'Neraca Unaudited SIMAK'!$A$2:$R$1272,6,FALSE)+IF(ISNA(VLOOKUP($A589,'Mutasi Neraca'!$A$3:$S$910,6,FALSE)),0,VLOOKUP($A589,'Mutasi Neraca'!$A$3:$S$910,6,FALSE))</f>
        <v>3645118005</v>
      </c>
      <c r="H589" s="42">
        <f>VLOOKUP($A589,'Neraca Unaudited SIMAK'!$A$2:$R$1272,7,FALSE)+IF(ISNA(VLOOKUP($A589,'Mutasi Neraca'!$A$3:$S$910,7,FALSE)),0,VLOOKUP($A589,'Mutasi Neraca'!$A$3:$S$910,7,FALSE))</f>
        <v>107799000</v>
      </c>
      <c r="I589" s="42">
        <f>VLOOKUP($A589,'Neraca Unaudited SIMAK'!$A$2:$R$1272,8,FALSE)+IF(ISNA(VLOOKUP($A589,'Mutasi Neraca'!$A$3:$S$910,8,FALSE)),0,VLOOKUP($A589,'Mutasi Neraca'!$A$3:$S$910,8,FALSE))</f>
        <v>57576938</v>
      </c>
      <c r="J589" s="42">
        <f>VLOOKUP($A589,'Neraca Unaudited SIMAK'!$A$2:$R$1272,9,FALSE)+IF(ISNA(VLOOKUP($A589,'Mutasi Neraca'!$A$3:$S$910,9,FALSE)),0,VLOOKUP($A589,'Mutasi Neraca'!$A$3:$S$910,9,FALSE))</f>
        <v>0</v>
      </c>
      <c r="K589" s="42">
        <f>VLOOKUP($A589,'Neraca Unaudited SIMAK'!$A$2:$R$1272,10,FALSE)+IF(ISNA(VLOOKUP($A589,'Mutasi Neraca'!$A$3:$S$910,10,FALSE)),0,VLOOKUP($A589,'Mutasi Neraca'!$A$3:$S$910,10,FALSE))</f>
        <v>24349000</v>
      </c>
      <c r="L589" s="42">
        <f>VLOOKUP($A589,'Neraca Unaudited SIMAK'!$A$2:$R$1272,11,FALSE)+IF(ISNA(VLOOKUP($A589,'Mutasi Neraca'!$A$3:$S$910,11,FALSE)),0,VLOOKUP($A589,'Mutasi Neraca'!$A$3:$S$910,11,FALSE))</f>
        <v>2593000</v>
      </c>
      <c r="M589" s="42">
        <f>VLOOKUP($A589,'Neraca Unaudited SIMAK'!$A$2:$R$1272,12,FALSE)+IF(ISNA(VLOOKUP($A589,'Mutasi Neraca'!$A$3:$S$910,12,FALSE)),0,VLOOKUP($A589,'Mutasi Neraca'!$A$3:$S$910,12,FALSE))</f>
        <v>9103984408</v>
      </c>
      <c r="N589" s="42">
        <f>VLOOKUP($A589,'Neraca Unaudited SIMAK'!$A$2:$R$1272,13,FALSE)+IF(ISNA(VLOOKUP($A589,'Mutasi Neraca'!$A$3:$S$910,13,FALSE)),0,VLOOKUP($A589,'Mutasi Neraca'!$A$3:$S$910,13,FALSE))</f>
        <v>-1549347316</v>
      </c>
      <c r="O589" s="42">
        <f>VLOOKUP($A589,'Neraca Unaudited SIMAK'!$A$2:$R$1272,14,FALSE)+IF(ISNA(VLOOKUP($A589,'Mutasi Neraca'!$A$3:$S$910,14,FALSE)),0,VLOOKUP($A589,'Mutasi Neraca'!$A$3:$S$910,14,FALSE))</f>
        <v>-1953697903</v>
      </c>
      <c r="P589" s="42">
        <f>VLOOKUP($A589,'Neraca Unaudited SIMAK'!$A$2:$R$1272,15,FALSE)+IF(ISNA(VLOOKUP($A589,'Mutasi Neraca'!$A$3:$S$910,15,FALSE)),0,VLOOKUP($A589,'Mutasi Neraca'!$A$3:$S$910,15,FALSE))</f>
        <v>-21952263</v>
      </c>
      <c r="Q589" s="42">
        <f>VLOOKUP($A589,'Neraca Unaudited SIMAK'!$A$2:$R$1272,16,FALSE)+IF(ISNA(VLOOKUP($A589,'Mutasi Neraca'!$A$3:$S$910,16,FALSE)),0,VLOOKUP($A589,'Mutasi Neraca'!$A$3:$S$910,16,FALSE))</f>
        <v>0</v>
      </c>
      <c r="R589" s="42">
        <f>VLOOKUP($A589,'Neraca Unaudited SIMAK'!$A$2:$R$1272,17,FALSE)+IF(ISNA(VLOOKUP($A589,'Mutasi Neraca'!$A$3:$S$910,17,FALSE)),0,VLOOKUP($A589,'Mutasi Neraca'!$A$3:$S$910,17,FALSE))</f>
        <v>-2593000</v>
      </c>
      <c r="S589" s="42">
        <f t="shared" si="61"/>
        <v>5576393926</v>
      </c>
    </row>
    <row r="590" spans="1:19">
      <c r="A590" s="41" t="s">
        <v>597</v>
      </c>
      <c r="B590" s="41" t="str">
        <f t="shared" si="60"/>
        <v>005011900</v>
      </c>
      <c r="D590" s="42">
        <f>VLOOKUP($A590,'Neraca Unaudited SIMAK'!$A$2:$R$1272,3,FALSE)+IF(ISNA(VLOOKUP($A590,'Mutasi Neraca'!$A$3:$S$910,3,FALSE)),0,VLOOKUP($A590,'Mutasi Neraca'!$A$3:$S$910,3,FALSE))</f>
        <v>1960000</v>
      </c>
      <c r="E590" s="42">
        <f>VLOOKUP($A590,'Neraca Unaudited SIMAK'!$A$2:$R$1272,4,FALSE)+IF(ISNA(VLOOKUP($A590,'Mutasi Neraca'!$A$3:$S$910,4,FALSE)),0,VLOOKUP($A590,'Mutasi Neraca'!$A$3:$S$910,4,FALSE))</f>
        <v>12140606000</v>
      </c>
      <c r="F590" s="42">
        <f>VLOOKUP($A590,'Neraca Unaudited SIMAK'!$A$2:$R$1272,5,FALSE)+IF(ISNA(VLOOKUP($A590,'Mutasi Neraca'!$A$3:$S$910,5,FALSE)),0,VLOOKUP($A590,'Mutasi Neraca'!$A$3:$S$910,5,FALSE))</f>
        <v>1706460882</v>
      </c>
      <c r="G590" s="42">
        <f>VLOOKUP($A590,'Neraca Unaudited SIMAK'!$A$2:$R$1272,6,FALSE)+IF(ISNA(VLOOKUP($A590,'Mutasi Neraca'!$A$3:$S$910,6,FALSE)),0,VLOOKUP($A590,'Mutasi Neraca'!$A$3:$S$910,6,FALSE))</f>
        <v>2994829000</v>
      </c>
      <c r="H590" s="42">
        <f>VLOOKUP($A590,'Neraca Unaudited SIMAK'!$A$2:$R$1272,7,FALSE)+IF(ISNA(VLOOKUP($A590,'Mutasi Neraca'!$A$3:$S$910,7,FALSE)),0,VLOOKUP($A590,'Mutasi Neraca'!$A$3:$S$910,7,FALSE))</f>
        <v>15000000</v>
      </c>
      <c r="I590" s="42">
        <f>VLOOKUP($A590,'Neraca Unaudited SIMAK'!$A$2:$R$1272,8,FALSE)+IF(ISNA(VLOOKUP($A590,'Mutasi Neraca'!$A$3:$S$910,8,FALSE)),0,VLOOKUP($A590,'Mutasi Neraca'!$A$3:$S$910,8,FALSE))</f>
        <v>199262074</v>
      </c>
      <c r="J590" s="42">
        <f>VLOOKUP($A590,'Neraca Unaudited SIMAK'!$A$2:$R$1272,9,FALSE)+IF(ISNA(VLOOKUP($A590,'Mutasi Neraca'!$A$3:$S$910,9,FALSE)),0,VLOOKUP($A590,'Mutasi Neraca'!$A$3:$S$910,9,FALSE))</f>
        <v>0</v>
      </c>
      <c r="K590" s="42">
        <f>VLOOKUP($A590,'Neraca Unaudited SIMAK'!$A$2:$R$1272,10,FALSE)+IF(ISNA(VLOOKUP($A590,'Mutasi Neraca'!$A$3:$S$910,10,FALSE)),0,VLOOKUP($A590,'Mutasi Neraca'!$A$3:$S$910,10,FALSE))</f>
        <v>24349000</v>
      </c>
      <c r="L590" s="42">
        <f>VLOOKUP($A590,'Neraca Unaudited SIMAK'!$A$2:$R$1272,11,FALSE)+IF(ISNA(VLOOKUP($A590,'Mutasi Neraca'!$A$3:$S$910,11,FALSE)),0,VLOOKUP($A590,'Mutasi Neraca'!$A$3:$S$910,11,FALSE))</f>
        <v>303767509</v>
      </c>
      <c r="M590" s="42">
        <f>VLOOKUP($A590,'Neraca Unaudited SIMAK'!$A$2:$R$1272,12,FALSE)+IF(ISNA(VLOOKUP($A590,'Mutasi Neraca'!$A$3:$S$910,12,FALSE)),0,VLOOKUP($A590,'Mutasi Neraca'!$A$3:$S$910,12,FALSE))</f>
        <v>17386234465</v>
      </c>
      <c r="N590" s="42">
        <f>VLOOKUP($A590,'Neraca Unaudited SIMAK'!$A$2:$R$1272,13,FALSE)+IF(ISNA(VLOOKUP($A590,'Mutasi Neraca'!$A$3:$S$910,13,FALSE)),0,VLOOKUP($A590,'Mutasi Neraca'!$A$3:$S$910,13,FALSE))</f>
        <v>-1467550836</v>
      </c>
      <c r="O590" s="42">
        <f>VLOOKUP($A590,'Neraca Unaudited SIMAK'!$A$2:$R$1272,14,FALSE)+IF(ISNA(VLOOKUP($A590,'Mutasi Neraca'!$A$3:$S$910,14,FALSE)),0,VLOOKUP($A590,'Mutasi Neraca'!$A$3:$S$910,14,FALSE))</f>
        <v>-1687210890</v>
      </c>
      <c r="P590" s="42">
        <f>VLOOKUP($A590,'Neraca Unaudited SIMAK'!$A$2:$R$1272,15,FALSE)+IF(ISNA(VLOOKUP($A590,'Mutasi Neraca'!$A$3:$S$910,15,FALSE)),0,VLOOKUP($A590,'Mutasi Neraca'!$A$3:$S$910,15,FALSE))</f>
        <v>-2250000</v>
      </c>
      <c r="Q590" s="42">
        <f>VLOOKUP($A590,'Neraca Unaudited SIMAK'!$A$2:$R$1272,16,FALSE)+IF(ISNA(VLOOKUP($A590,'Mutasi Neraca'!$A$3:$S$910,16,FALSE)),0,VLOOKUP($A590,'Mutasi Neraca'!$A$3:$S$910,16,FALSE))</f>
        <v>0</v>
      </c>
      <c r="R590" s="42">
        <f>VLOOKUP($A590,'Neraca Unaudited SIMAK'!$A$2:$R$1272,17,FALSE)+IF(ISNA(VLOOKUP($A590,'Mutasi Neraca'!$A$3:$S$910,17,FALSE)),0,VLOOKUP($A590,'Mutasi Neraca'!$A$3:$S$910,17,FALSE))</f>
        <v>-250723200</v>
      </c>
      <c r="S590" s="42">
        <f t="shared" si="61"/>
        <v>13978499539</v>
      </c>
    </row>
    <row r="591" spans="1:19">
      <c r="A591" s="41" t="s">
        <v>598</v>
      </c>
      <c r="B591" s="41" t="str">
        <f t="shared" si="60"/>
        <v>005011900</v>
      </c>
      <c r="D591" s="42">
        <f>VLOOKUP($A591,'Neraca Unaudited SIMAK'!$A$2:$R$1272,3,FALSE)+IF(ISNA(VLOOKUP($A591,'Mutasi Neraca'!$A$3:$S$910,3,FALSE)),0,VLOOKUP($A591,'Mutasi Neraca'!$A$3:$S$910,3,FALSE))</f>
        <v>56664</v>
      </c>
      <c r="E591" s="42">
        <f>VLOOKUP($A591,'Neraca Unaudited SIMAK'!$A$2:$R$1272,4,FALSE)+IF(ISNA(VLOOKUP($A591,'Mutasi Neraca'!$A$3:$S$910,4,FALSE)),0,VLOOKUP($A591,'Mutasi Neraca'!$A$3:$S$910,4,FALSE))</f>
        <v>2059942700</v>
      </c>
      <c r="F591" s="42">
        <f>VLOOKUP($A591,'Neraca Unaudited SIMAK'!$A$2:$R$1272,5,FALSE)+IF(ISNA(VLOOKUP($A591,'Mutasi Neraca'!$A$3:$S$910,5,FALSE)),0,VLOOKUP($A591,'Mutasi Neraca'!$A$3:$S$910,5,FALSE))</f>
        <v>1746007054</v>
      </c>
      <c r="G591" s="42">
        <f>VLOOKUP($A591,'Neraca Unaudited SIMAK'!$A$2:$R$1272,6,FALSE)+IF(ISNA(VLOOKUP($A591,'Mutasi Neraca'!$A$3:$S$910,6,FALSE)),0,VLOOKUP($A591,'Mutasi Neraca'!$A$3:$S$910,6,FALSE))</f>
        <v>2644017400</v>
      </c>
      <c r="H591" s="42">
        <f>VLOOKUP($A591,'Neraca Unaudited SIMAK'!$A$2:$R$1272,7,FALSE)+IF(ISNA(VLOOKUP($A591,'Mutasi Neraca'!$A$3:$S$910,7,FALSE)),0,VLOOKUP($A591,'Mutasi Neraca'!$A$3:$S$910,7,FALSE))</f>
        <v>0</v>
      </c>
      <c r="I591" s="42">
        <f>VLOOKUP($A591,'Neraca Unaudited SIMAK'!$A$2:$R$1272,8,FALSE)+IF(ISNA(VLOOKUP($A591,'Mutasi Neraca'!$A$3:$S$910,8,FALSE)),0,VLOOKUP($A591,'Mutasi Neraca'!$A$3:$S$910,8,FALSE))</f>
        <v>37673440</v>
      </c>
      <c r="J591" s="42">
        <f>VLOOKUP($A591,'Neraca Unaudited SIMAK'!$A$2:$R$1272,9,FALSE)+IF(ISNA(VLOOKUP($A591,'Mutasi Neraca'!$A$3:$S$910,9,FALSE)),0,VLOOKUP($A591,'Mutasi Neraca'!$A$3:$S$910,9,FALSE))</f>
        <v>0</v>
      </c>
      <c r="K591" s="42">
        <f>VLOOKUP($A591,'Neraca Unaudited SIMAK'!$A$2:$R$1272,10,FALSE)+IF(ISNA(VLOOKUP($A591,'Mutasi Neraca'!$A$3:$S$910,10,FALSE)),0,VLOOKUP($A591,'Mutasi Neraca'!$A$3:$S$910,10,FALSE))</f>
        <v>24349000</v>
      </c>
      <c r="L591" s="42">
        <f>VLOOKUP($A591,'Neraca Unaudited SIMAK'!$A$2:$R$1272,11,FALSE)+IF(ISNA(VLOOKUP($A591,'Mutasi Neraca'!$A$3:$S$910,11,FALSE)),0,VLOOKUP($A591,'Mutasi Neraca'!$A$3:$S$910,11,FALSE))</f>
        <v>0</v>
      </c>
      <c r="M591" s="42">
        <f>VLOOKUP($A591,'Neraca Unaudited SIMAK'!$A$2:$R$1272,12,FALSE)+IF(ISNA(VLOOKUP($A591,'Mutasi Neraca'!$A$3:$S$910,12,FALSE)),0,VLOOKUP($A591,'Mutasi Neraca'!$A$3:$S$910,12,FALSE))</f>
        <v>6512046258</v>
      </c>
      <c r="N591" s="42">
        <f>VLOOKUP($A591,'Neraca Unaudited SIMAK'!$A$2:$R$1272,13,FALSE)+IF(ISNA(VLOOKUP($A591,'Mutasi Neraca'!$A$3:$S$910,13,FALSE)),0,VLOOKUP($A591,'Mutasi Neraca'!$A$3:$S$910,13,FALSE))</f>
        <v>-1575454041</v>
      </c>
      <c r="O591" s="42">
        <f>VLOOKUP($A591,'Neraca Unaudited SIMAK'!$A$2:$R$1272,14,FALSE)+IF(ISNA(VLOOKUP($A591,'Mutasi Neraca'!$A$3:$S$910,14,FALSE)),0,VLOOKUP($A591,'Mutasi Neraca'!$A$3:$S$910,14,FALSE))</f>
        <v>-1486009720</v>
      </c>
      <c r="P591" s="42">
        <f>VLOOKUP($A591,'Neraca Unaudited SIMAK'!$A$2:$R$1272,15,FALSE)+IF(ISNA(VLOOKUP($A591,'Mutasi Neraca'!$A$3:$S$910,15,FALSE)),0,VLOOKUP($A591,'Mutasi Neraca'!$A$3:$S$910,15,FALSE))</f>
        <v>0</v>
      </c>
      <c r="Q591" s="42">
        <f>VLOOKUP($A591,'Neraca Unaudited SIMAK'!$A$2:$R$1272,16,FALSE)+IF(ISNA(VLOOKUP($A591,'Mutasi Neraca'!$A$3:$S$910,16,FALSE)),0,VLOOKUP($A591,'Mutasi Neraca'!$A$3:$S$910,16,FALSE))</f>
        <v>0</v>
      </c>
      <c r="R591" s="42">
        <f>VLOOKUP($A591,'Neraca Unaudited SIMAK'!$A$2:$R$1272,17,FALSE)+IF(ISNA(VLOOKUP($A591,'Mutasi Neraca'!$A$3:$S$910,17,FALSE)),0,VLOOKUP($A591,'Mutasi Neraca'!$A$3:$S$910,17,FALSE))</f>
        <v>0</v>
      </c>
      <c r="S591" s="42">
        <f t="shared" si="61"/>
        <v>3450582497</v>
      </c>
    </row>
    <row r="592" spans="1:19">
      <c r="A592" s="41" t="s">
        <v>599</v>
      </c>
      <c r="B592" s="41" t="str">
        <f t="shared" si="60"/>
        <v>005011900</v>
      </c>
      <c r="D592" s="42">
        <f>VLOOKUP($A592,'Neraca Unaudited SIMAK'!$A$2:$R$1272,3,FALSE)+IF(ISNA(VLOOKUP($A592,'Mutasi Neraca'!$A$3:$S$910,3,FALSE)),0,VLOOKUP($A592,'Mutasi Neraca'!$A$3:$S$910,3,FALSE))</f>
        <v>729000</v>
      </c>
      <c r="E592" s="42">
        <f>VLOOKUP($A592,'Neraca Unaudited SIMAK'!$A$2:$R$1272,4,FALSE)+IF(ISNA(VLOOKUP($A592,'Mutasi Neraca'!$A$3:$S$910,4,FALSE)),0,VLOOKUP($A592,'Mutasi Neraca'!$A$3:$S$910,4,FALSE))</f>
        <v>1860120000</v>
      </c>
      <c r="F592" s="42">
        <f>VLOOKUP($A592,'Neraca Unaudited SIMAK'!$A$2:$R$1272,5,FALSE)+IF(ISNA(VLOOKUP($A592,'Mutasi Neraca'!$A$3:$S$910,5,FALSE)),0,VLOOKUP($A592,'Mutasi Neraca'!$A$3:$S$910,5,FALSE))</f>
        <v>1855881787</v>
      </c>
      <c r="G592" s="42">
        <f>VLOOKUP($A592,'Neraca Unaudited SIMAK'!$A$2:$R$1272,6,FALSE)+IF(ISNA(VLOOKUP($A592,'Mutasi Neraca'!$A$3:$S$910,6,FALSE)),0,VLOOKUP($A592,'Mutasi Neraca'!$A$3:$S$910,6,FALSE))</f>
        <v>11387891929</v>
      </c>
      <c r="H592" s="42">
        <f>VLOOKUP($A592,'Neraca Unaudited SIMAK'!$A$2:$R$1272,7,FALSE)+IF(ISNA(VLOOKUP($A592,'Mutasi Neraca'!$A$3:$S$910,7,FALSE)),0,VLOOKUP($A592,'Mutasi Neraca'!$A$3:$S$910,7,FALSE))</f>
        <v>75475000</v>
      </c>
      <c r="I592" s="42">
        <f>VLOOKUP($A592,'Neraca Unaudited SIMAK'!$A$2:$R$1272,8,FALSE)+IF(ISNA(VLOOKUP($A592,'Mutasi Neraca'!$A$3:$S$910,8,FALSE)),0,VLOOKUP($A592,'Mutasi Neraca'!$A$3:$S$910,8,FALSE))</f>
        <v>44573440</v>
      </c>
      <c r="J592" s="42">
        <f>VLOOKUP($A592,'Neraca Unaudited SIMAK'!$A$2:$R$1272,9,FALSE)+IF(ISNA(VLOOKUP($A592,'Mutasi Neraca'!$A$3:$S$910,9,FALSE)),0,VLOOKUP($A592,'Mutasi Neraca'!$A$3:$S$910,9,FALSE))</f>
        <v>303351603</v>
      </c>
      <c r="K592" s="42">
        <f>VLOOKUP($A592,'Neraca Unaudited SIMAK'!$A$2:$R$1272,10,FALSE)+IF(ISNA(VLOOKUP($A592,'Mutasi Neraca'!$A$3:$S$910,10,FALSE)),0,VLOOKUP($A592,'Mutasi Neraca'!$A$3:$S$910,10,FALSE))</f>
        <v>41774000</v>
      </c>
      <c r="L592" s="42">
        <f>VLOOKUP($A592,'Neraca Unaudited SIMAK'!$A$2:$R$1272,11,FALSE)+IF(ISNA(VLOOKUP($A592,'Mutasi Neraca'!$A$3:$S$910,11,FALSE)),0,VLOOKUP($A592,'Mutasi Neraca'!$A$3:$S$910,11,FALSE))</f>
        <v>0</v>
      </c>
      <c r="M592" s="42">
        <f>VLOOKUP($A592,'Neraca Unaudited SIMAK'!$A$2:$R$1272,12,FALSE)+IF(ISNA(VLOOKUP($A592,'Mutasi Neraca'!$A$3:$S$910,12,FALSE)),0,VLOOKUP($A592,'Mutasi Neraca'!$A$3:$S$910,12,FALSE))</f>
        <v>15569796759</v>
      </c>
      <c r="N592" s="42">
        <f>VLOOKUP($A592,'Neraca Unaudited SIMAK'!$A$2:$R$1272,13,FALSE)+IF(ISNA(VLOOKUP($A592,'Mutasi Neraca'!$A$3:$S$910,13,FALSE)),0,VLOOKUP($A592,'Mutasi Neraca'!$A$3:$S$910,13,FALSE))</f>
        <v>-1586649954</v>
      </c>
      <c r="O592" s="42">
        <f>VLOOKUP($A592,'Neraca Unaudited SIMAK'!$A$2:$R$1272,14,FALSE)+IF(ISNA(VLOOKUP($A592,'Mutasi Neraca'!$A$3:$S$910,14,FALSE)),0,VLOOKUP($A592,'Mutasi Neraca'!$A$3:$S$910,14,FALSE))</f>
        <v>-1056489653</v>
      </c>
      <c r="P592" s="42">
        <f>VLOOKUP($A592,'Neraca Unaudited SIMAK'!$A$2:$R$1272,15,FALSE)+IF(ISNA(VLOOKUP($A592,'Mutasi Neraca'!$A$3:$S$910,15,FALSE)),0,VLOOKUP($A592,'Mutasi Neraca'!$A$3:$S$910,15,FALSE))</f>
        <v>-56480693</v>
      </c>
      <c r="Q592" s="42">
        <f>VLOOKUP($A592,'Neraca Unaudited SIMAK'!$A$2:$R$1272,16,FALSE)+IF(ISNA(VLOOKUP($A592,'Mutasi Neraca'!$A$3:$S$910,16,FALSE)),0,VLOOKUP($A592,'Mutasi Neraca'!$A$3:$S$910,16,FALSE))</f>
        <v>0</v>
      </c>
      <c r="R592" s="42">
        <f>VLOOKUP($A592,'Neraca Unaudited SIMAK'!$A$2:$R$1272,17,FALSE)+IF(ISNA(VLOOKUP($A592,'Mutasi Neraca'!$A$3:$S$910,17,FALSE)),0,VLOOKUP($A592,'Mutasi Neraca'!$A$3:$S$910,17,FALSE))</f>
        <v>0</v>
      </c>
      <c r="S592" s="42">
        <f t="shared" si="61"/>
        <v>12870176459</v>
      </c>
    </row>
    <row r="593" spans="1:19">
      <c r="A593" s="41" t="s">
        <v>600</v>
      </c>
      <c r="B593" s="41" t="str">
        <f t="shared" si="60"/>
        <v>005011900</v>
      </c>
      <c r="D593" s="42">
        <f>VLOOKUP($A593,'Neraca Unaudited SIMAK'!$A$2:$R$1272,3,FALSE)+IF(ISNA(VLOOKUP($A593,'Mutasi Neraca'!$A$3:$S$910,3,FALSE)),0,VLOOKUP($A593,'Mutasi Neraca'!$A$3:$S$910,3,FALSE))</f>
        <v>41000</v>
      </c>
      <c r="E593" s="42">
        <f>VLOOKUP($A593,'Neraca Unaudited SIMAK'!$A$2:$R$1272,4,FALSE)+IF(ISNA(VLOOKUP($A593,'Mutasi Neraca'!$A$3:$S$910,4,FALSE)),0,VLOOKUP($A593,'Mutasi Neraca'!$A$3:$S$910,4,FALSE))</f>
        <v>3998688286</v>
      </c>
      <c r="F593" s="42">
        <f>VLOOKUP($A593,'Neraca Unaudited SIMAK'!$A$2:$R$1272,5,FALSE)+IF(ISNA(VLOOKUP($A593,'Mutasi Neraca'!$A$3:$S$910,5,FALSE)),0,VLOOKUP($A593,'Mutasi Neraca'!$A$3:$S$910,5,FALSE))</f>
        <v>1831170044</v>
      </c>
      <c r="G593" s="42">
        <f>VLOOKUP($A593,'Neraca Unaudited SIMAK'!$A$2:$R$1272,6,FALSE)+IF(ISNA(VLOOKUP($A593,'Mutasi Neraca'!$A$3:$S$910,6,FALSE)),0,VLOOKUP($A593,'Mutasi Neraca'!$A$3:$S$910,6,FALSE))</f>
        <v>1063312250</v>
      </c>
      <c r="H593" s="42">
        <f>VLOOKUP($A593,'Neraca Unaudited SIMAK'!$A$2:$R$1272,7,FALSE)+IF(ISNA(VLOOKUP($A593,'Mutasi Neraca'!$A$3:$S$910,7,FALSE)),0,VLOOKUP($A593,'Mutasi Neraca'!$A$3:$S$910,7,FALSE))</f>
        <v>79296000</v>
      </c>
      <c r="I593" s="42">
        <f>VLOOKUP($A593,'Neraca Unaudited SIMAK'!$A$2:$R$1272,8,FALSE)+IF(ISNA(VLOOKUP($A593,'Mutasi Neraca'!$A$3:$S$910,8,FALSE)),0,VLOOKUP($A593,'Mutasi Neraca'!$A$3:$S$910,8,FALSE))</f>
        <v>1943440</v>
      </c>
      <c r="J593" s="42">
        <f>VLOOKUP($A593,'Neraca Unaudited SIMAK'!$A$2:$R$1272,9,FALSE)+IF(ISNA(VLOOKUP($A593,'Mutasi Neraca'!$A$3:$S$910,9,FALSE)),0,VLOOKUP($A593,'Mutasi Neraca'!$A$3:$S$910,9,FALSE))</f>
        <v>4797190000</v>
      </c>
      <c r="K593" s="42">
        <f>VLOOKUP($A593,'Neraca Unaudited SIMAK'!$A$2:$R$1272,10,FALSE)+IF(ISNA(VLOOKUP($A593,'Mutasi Neraca'!$A$3:$S$910,10,FALSE)),0,VLOOKUP($A593,'Mutasi Neraca'!$A$3:$S$910,10,FALSE))</f>
        <v>24349000</v>
      </c>
      <c r="L593" s="42">
        <f>VLOOKUP($A593,'Neraca Unaudited SIMAK'!$A$2:$R$1272,11,FALSE)+IF(ISNA(VLOOKUP($A593,'Mutasi Neraca'!$A$3:$S$910,11,FALSE)),0,VLOOKUP($A593,'Mutasi Neraca'!$A$3:$S$910,11,FALSE))</f>
        <v>0</v>
      </c>
      <c r="M593" s="42">
        <f>VLOOKUP($A593,'Neraca Unaudited SIMAK'!$A$2:$R$1272,12,FALSE)+IF(ISNA(VLOOKUP($A593,'Mutasi Neraca'!$A$3:$S$910,12,FALSE)),0,VLOOKUP($A593,'Mutasi Neraca'!$A$3:$S$910,12,FALSE))</f>
        <v>11795990020</v>
      </c>
      <c r="N593" s="42">
        <f>VLOOKUP($A593,'Neraca Unaudited SIMAK'!$A$2:$R$1272,13,FALSE)+IF(ISNA(VLOOKUP($A593,'Mutasi Neraca'!$A$3:$S$910,13,FALSE)),0,VLOOKUP($A593,'Mutasi Neraca'!$A$3:$S$910,13,FALSE))</f>
        <v>-1520282870</v>
      </c>
      <c r="O593" s="42">
        <f>VLOOKUP($A593,'Neraca Unaudited SIMAK'!$A$2:$R$1272,14,FALSE)+IF(ISNA(VLOOKUP($A593,'Mutasi Neraca'!$A$3:$S$910,14,FALSE)),0,VLOOKUP($A593,'Mutasi Neraca'!$A$3:$S$910,14,FALSE))</f>
        <v>-645364067</v>
      </c>
      <c r="P593" s="42">
        <f>VLOOKUP($A593,'Neraca Unaudited SIMAK'!$A$2:$R$1272,15,FALSE)+IF(ISNA(VLOOKUP($A593,'Mutasi Neraca'!$A$3:$S$910,15,FALSE)),0,VLOOKUP($A593,'Mutasi Neraca'!$A$3:$S$910,15,FALSE))</f>
        <v>-12126800</v>
      </c>
      <c r="Q593" s="42">
        <f>VLOOKUP($A593,'Neraca Unaudited SIMAK'!$A$2:$R$1272,16,FALSE)+IF(ISNA(VLOOKUP($A593,'Mutasi Neraca'!$A$3:$S$910,16,FALSE)),0,VLOOKUP($A593,'Mutasi Neraca'!$A$3:$S$910,16,FALSE))</f>
        <v>0</v>
      </c>
      <c r="R593" s="42">
        <f>VLOOKUP($A593,'Neraca Unaudited SIMAK'!$A$2:$R$1272,17,FALSE)+IF(ISNA(VLOOKUP($A593,'Mutasi Neraca'!$A$3:$S$910,17,FALSE)),0,VLOOKUP($A593,'Mutasi Neraca'!$A$3:$S$910,17,FALSE))</f>
        <v>-2470700</v>
      </c>
      <c r="S593" s="42">
        <f t="shared" si="61"/>
        <v>9615745583</v>
      </c>
    </row>
    <row r="594" spans="1:19">
      <c r="A594" s="41" t="s">
        <v>601</v>
      </c>
      <c r="B594" s="41" t="str">
        <f t="shared" si="60"/>
        <v>005011900</v>
      </c>
      <c r="D594" s="42">
        <f>VLOOKUP($A594,'Neraca Unaudited SIMAK'!$A$2:$R$1272,3,FALSE)+IF(ISNA(VLOOKUP($A594,'Mutasi Neraca'!$A$3:$S$910,3,FALSE)),0,VLOOKUP($A594,'Mutasi Neraca'!$A$3:$S$910,3,FALSE))</f>
        <v>100000</v>
      </c>
      <c r="E594" s="42">
        <f>VLOOKUP($A594,'Neraca Unaudited SIMAK'!$A$2:$R$1272,4,FALSE)+IF(ISNA(VLOOKUP($A594,'Mutasi Neraca'!$A$3:$S$910,4,FALSE)),0,VLOOKUP($A594,'Mutasi Neraca'!$A$3:$S$910,4,FALSE))</f>
        <v>1818656000</v>
      </c>
      <c r="F594" s="42">
        <f>VLOOKUP($A594,'Neraca Unaudited SIMAK'!$A$2:$R$1272,5,FALSE)+IF(ISNA(VLOOKUP($A594,'Mutasi Neraca'!$A$3:$S$910,5,FALSE)),0,VLOOKUP($A594,'Mutasi Neraca'!$A$3:$S$910,5,FALSE))</f>
        <v>1747849859</v>
      </c>
      <c r="G594" s="42">
        <f>VLOOKUP($A594,'Neraca Unaudited SIMAK'!$A$2:$R$1272,6,FALSE)+IF(ISNA(VLOOKUP($A594,'Mutasi Neraca'!$A$3:$S$910,6,FALSE)),0,VLOOKUP($A594,'Mutasi Neraca'!$A$3:$S$910,6,FALSE))</f>
        <v>3790020582</v>
      </c>
      <c r="H594" s="42">
        <f>VLOOKUP($A594,'Neraca Unaudited SIMAK'!$A$2:$R$1272,7,FALSE)+IF(ISNA(VLOOKUP($A594,'Mutasi Neraca'!$A$3:$S$910,7,FALSE)),0,VLOOKUP($A594,'Mutasi Neraca'!$A$3:$S$910,7,FALSE))</f>
        <v>9900000</v>
      </c>
      <c r="I594" s="42">
        <f>VLOOKUP($A594,'Neraca Unaudited SIMAK'!$A$2:$R$1272,8,FALSE)+IF(ISNA(VLOOKUP($A594,'Mutasi Neraca'!$A$3:$S$910,8,FALSE)),0,VLOOKUP($A594,'Mutasi Neraca'!$A$3:$S$910,8,FALSE))</f>
        <v>13682340</v>
      </c>
      <c r="J594" s="42">
        <f>VLOOKUP($A594,'Neraca Unaudited SIMAK'!$A$2:$R$1272,9,FALSE)+IF(ISNA(VLOOKUP($A594,'Mutasi Neraca'!$A$3:$S$910,9,FALSE)),0,VLOOKUP($A594,'Mutasi Neraca'!$A$3:$S$910,9,FALSE))</f>
        <v>0</v>
      </c>
      <c r="K594" s="42">
        <f>VLOOKUP($A594,'Neraca Unaudited SIMAK'!$A$2:$R$1272,10,FALSE)+IF(ISNA(VLOOKUP($A594,'Mutasi Neraca'!$A$3:$S$910,10,FALSE)),0,VLOOKUP($A594,'Mutasi Neraca'!$A$3:$S$910,10,FALSE))</f>
        <v>24349000</v>
      </c>
      <c r="L594" s="42">
        <f>VLOOKUP($A594,'Neraca Unaudited SIMAK'!$A$2:$R$1272,11,FALSE)+IF(ISNA(VLOOKUP($A594,'Mutasi Neraca'!$A$3:$S$910,11,FALSE)),0,VLOOKUP($A594,'Mutasi Neraca'!$A$3:$S$910,11,FALSE))</f>
        <v>72594950</v>
      </c>
      <c r="M594" s="42">
        <f>VLOOKUP($A594,'Neraca Unaudited SIMAK'!$A$2:$R$1272,12,FALSE)+IF(ISNA(VLOOKUP($A594,'Mutasi Neraca'!$A$3:$S$910,12,FALSE)),0,VLOOKUP($A594,'Mutasi Neraca'!$A$3:$S$910,12,FALSE))</f>
        <v>7477152731</v>
      </c>
      <c r="N594" s="42">
        <f>VLOOKUP($A594,'Neraca Unaudited SIMAK'!$A$2:$R$1272,13,FALSE)+IF(ISNA(VLOOKUP($A594,'Mutasi Neraca'!$A$3:$S$910,13,FALSE)),0,VLOOKUP($A594,'Mutasi Neraca'!$A$3:$S$910,13,FALSE))</f>
        <v>-1544472119</v>
      </c>
      <c r="O594" s="42">
        <f>VLOOKUP($A594,'Neraca Unaudited SIMAK'!$A$2:$R$1272,14,FALSE)+IF(ISNA(VLOOKUP($A594,'Mutasi Neraca'!$A$3:$S$910,14,FALSE)),0,VLOOKUP($A594,'Mutasi Neraca'!$A$3:$S$910,14,FALSE))</f>
        <v>-2424572192</v>
      </c>
      <c r="P594" s="42">
        <f>VLOOKUP($A594,'Neraca Unaudited SIMAK'!$A$2:$R$1272,15,FALSE)+IF(ISNA(VLOOKUP($A594,'Mutasi Neraca'!$A$3:$S$910,15,FALSE)),0,VLOOKUP($A594,'Mutasi Neraca'!$A$3:$S$910,15,FALSE))</f>
        <v>-618750</v>
      </c>
      <c r="Q594" s="42">
        <f>VLOOKUP($A594,'Neraca Unaudited SIMAK'!$A$2:$R$1272,16,FALSE)+IF(ISNA(VLOOKUP($A594,'Mutasi Neraca'!$A$3:$S$910,16,FALSE)),0,VLOOKUP($A594,'Mutasi Neraca'!$A$3:$S$910,16,FALSE))</f>
        <v>0</v>
      </c>
      <c r="R594" s="42">
        <f>VLOOKUP($A594,'Neraca Unaudited SIMAK'!$A$2:$R$1272,17,FALSE)+IF(ISNA(VLOOKUP($A594,'Mutasi Neraca'!$A$3:$S$910,17,FALSE)),0,VLOOKUP($A594,'Mutasi Neraca'!$A$3:$S$910,17,FALSE))</f>
        <v>-49635190</v>
      </c>
      <c r="S594" s="42">
        <f t="shared" si="61"/>
        <v>3457854480</v>
      </c>
    </row>
    <row r="595" spans="1:19">
      <c r="A595" s="41" t="s">
        <v>602</v>
      </c>
      <c r="B595" s="41" t="str">
        <f t="shared" si="60"/>
        <v>005011900</v>
      </c>
      <c r="D595" s="42">
        <f>VLOOKUP($A595,'Neraca Unaudited SIMAK'!$A$2:$R$1272,3,FALSE)+IF(ISNA(VLOOKUP($A595,'Mutasi Neraca'!$A$3:$S$910,3,FALSE)),0,VLOOKUP($A595,'Mutasi Neraca'!$A$3:$S$910,3,FALSE))</f>
        <v>2840900</v>
      </c>
      <c r="E595" s="42">
        <f>VLOOKUP($A595,'Neraca Unaudited SIMAK'!$A$2:$R$1272,4,FALSE)+IF(ISNA(VLOOKUP($A595,'Mutasi Neraca'!$A$3:$S$910,4,FALSE)),0,VLOOKUP($A595,'Mutasi Neraca'!$A$3:$S$910,4,FALSE))</f>
        <v>5503115004</v>
      </c>
      <c r="F595" s="42">
        <f>VLOOKUP($A595,'Neraca Unaudited SIMAK'!$A$2:$R$1272,5,FALSE)+IF(ISNA(VLOOKUP($A595,'Mutasi Neraca'!$A$3:$S$910,5,FALSE)),0,VLOOKUP($A595,'Mutasi Neraca'!$A$3:$S$910,5,FALSE))</f>
        <v>2587578520</v>
      </c>
      <c r="G595" s="42">
        <f>VLOOKUP($A595,'Neraca Unaudited SIMAK'!$A$2:$R$1272,6,FALSE)+IF(ISNA(VLOOKUP($A595,'Mutasi Neraca'!$A$3:$S$910,6,FALSE)),0,VLOOKUP($A595,'Mutasi Neraca'!$A$3:$S$910,6,FALSE))</f>
        <v>4597782796</v>
      </c>
      <c r="H595" s="42">
        <f>VLOOKUP($A595,'Neraca Unaudited SIMAK'!$A$2:$R$1272,7,FALSE)+IF(ISNA(VLOOKUP($A595,'Mutasi Neraca'!$A$3:$S$910,7,FALSE)),0,VLOOKUP($A595,'Mutasi Neraca'!$A$3:$S$910,7,FALSE))</f>
        <v>0</v>
      </c>
      <c r="I595" s="42">
        <f>VLOOKUP($A595,'Neraca Unaudited SIMAK'!$A$2:$R$1272,8,FALSE)+IF(ISNA(VLOOKUP($A595,'Mutasi Neraca'!$A$3:$S$910,8,FALSE)),0,VLOOKUP($A595,'Mutasi Neraca'!$A$3:$S$910,8,FALSE))</f>
        <v>14994358</v>
      </c>
      <c r="J595" s="42">
        <f>VLOOKUP($A595,'Neraca Unaudited SIMAK'!$A$2:$R$1272,9,FALSE)+IF(ISNA(VLOOKUP($A595,'Mutasi Neraca'!$A$3:$S$910,9,FALSE)),0,VLOOKUP($A595,'Mutasi Neraca'!$A$3:$S$910,9,FALSE))</f>
        <v>0</v>
      </c>
      <c r="K595" s="42">
        <f>VLOOKUP($A595,'Neraca Unaudited SIMAK'!$A$2:$R$1272,10,FALSE)+IF(ISNA(VLOOKUP($A595,'Mutasi Neraca'!$A$3:$S$910,10,FALSE)),0,VLOOKUP($A595,'Mutasi Neraca'!$A$3:$S$910,10,FALSE))</f>
        <v>24349000</v>
      </c>
      <c r="L595" s="42">
        <f>VLOOKUP($A595,'Neraca Unaudited SIMAK'!$A$2:$R$1272,11,FALSE)+IF(ISNA(VLOOKUP($A595,'Mutasi Neraca'!$A$3:$S$910,11,FALSE)),0,VLOOKUP($A595,'Mutasi Neraca'!$A$3:$S$910,11,FALSE))</f>
        <v>0</v>
      </c>
      <c r="M595" s="42">
        <f>VLOOKUP($A595,'Neraca Unaudited SIMAK'!$A$2:$R$1272,12,FALSE)+IF(ISNA(VLOOKUP($A595,'Mutasi Neraca'!$A$3:$S$910,12,FALSE)),0,VLOOKUP($A595,'Mutasi Neraca'!$A$3:$S$910,12,FALSE))</f>
        <v>12730660578</v>
      </c>
      <c r="N595" s="42">
        <f>VLOOKUP($A595,'Neraca Unaudited SIMAK'!$A$2:$R$1272,13,FALSE)+IF(ISNA(VLOOKUP($A595,'Mutasi Neraca'!$A$3:$S$910,13,FALSE)),0,VLOOKUP($A595,'Mutasi Neraca'!$A$3:$S$910,13,FALSE))</f>
        <v>-2163478130</v>
      </c>
      <c r="O595" s="42">
        <f>VLOOKUP($A595,'Neraca Unaudited SIMAK'!$A$2:$R$1272,14,FALSE)+IF(ISNA(VLOOKUP($A595,'Mutasi Neraca'!$A$3:$S$910,14,FALSE)),0,VLOOKUP($A595,'Mutasi Neraca'!$A$3:$S$910,14,FALSE))</f>
        <v>-1008852640</v>
      </c>
      <c r="P595" s="42">
        <f>VLOOKUP($A595,'Neraca Unaudited SIMAK'!$A$2:$R$1272,15,FALSE)+IF(ISNA(VLOOKUP($A595,'Mutasi Neraca'!$A$3:$S$910,15,FALSE)),0,VLOOKUP($A595,'Mutasi Neraca'!$A$3:$S$910,15,FALSE))</f>
        <v>0</v>
      </c>
      <c r="Q595" s="42">
        <f>VLOOKUP($A595,'Neraca Unaudited SIMAK'!$A$2:$R$1272,16,FALSE)+IF(ISNA(VLOOKUP($A595,'Mutasi Neraca'!$A$3:$S$910,16,FALSE)),0,VLOOKUP($A595,'Mutasi Neraca'!$A$3:$S$910,16,FALSE))</f>
        <v>0</v>
      </c>
      <c r="R595" s="42">
        <f>VLOOKUP($A595,'Neraca Unaudited SIMAK'!$A$2:$R$1272,17,FALSE)+IF(ISNA(VLOOKUP($A595,'Mutasi Neraca'!$A$3:$S$910,17,FALSE)),0,VLOOKUP($A595,'Mutasi Neraca'!$A$3:$S$910,17,FALSE))</f>
        <v>0</v>
      </c>
      <c r="S595" s="42">
        <f t="shared" si="61"/>
        <v>9558329808</v>
      </c>
    </row>
    <row r="596" spans="1:19">
      <c r="A596" s="41" t="s">
        <v>603</v>
      </c>
      <c r="B596" s="41" t="str">
        <f t="shared" si="60"/>
        <v>005011900</v>
      </c>
      <c r="D596" s="42">
        <f>VLOOKUP($A596,'Neraca Unaudited SIMAK'!$A$2:$R$1272,3,FALSE)+IF(ISNA(VLOOKUP($A596,'Mutasi Neraca'!$A$3:$S$910,3,FALSE)),0,VLOOKUP($A596,'Mutasi Neraca'!$A$3:$S$910,3,FALSE))</f>
        <v>231000</v>
      </c>
      <c r="E596" s="42">
        <f>VLOOKUP($A596,'Neraca Unaudited SIMAK'!$A$2:$R$1272,4,FALSE)+IF(ISNA(VLOOKUP($A596,'Mutasi Neraca'!$A$3:$S$910,4,FALSE)),0,VLOOKUP($A596,'Mutasi Neraca'!$A$3:$S$910,4,FALSE))</f>
        <v>5376520000</v>
      </c>
      <c r="F596" s="42">
        <f>VLOOKUP($A596,'Neraca Unaudited SIMAK'!$A$2:$R$1272,5,FALSE)+IF(ISNA(VLOOKUP($A596,'Mutasi Neraca'!$A$3:$S$910,5,FALSE)),0,VLOOKUP($A596,'Mutasi Neraca'!$A$3:$S$910,5,FALSE))</f>
        <v>1460810737</v>
      </c>
      <c r="G596" s="42">
        <f>VLOOKUP($A596,'Neraca Unaudited SIMAK'!$A$2:$R$1272,6,FALSE)+IF(ISNA(VLOOKUP($A596,'Mutasi Neraca'!$A$3:$S$910,6,FALSE)),0,VLOOKUP($A596,'Mutasi Neraca'!$A$3:$S$910,6,FALSE))</f>
        <v>6672017589</v>
      </c>
      <c r="H596" s="42">
        <f>VLOOKUP($A596,'Neraca Unaudited SIMAK'!$A$2:$R$1272,7,FALSE)+IF(ISNA(VLOOKUP($A596,'Mutasi Neraca'!$A$3:$S$910,7,FALSE)),0,VLOOKUP($A596,'Mutasi Neraca'!$A$3:$S$910,7,FALSE))</f>
        <v>0</v>
      </c>
      <c r="I596" s="42">
        <f>VLOOKUP($A596,'Neraca Unaudited SIMAK'!$A$2:$R$1272,8,FALSE)+IF(ISNA(VLOOKUP($A596,'Mutasi Neraca'!$A$3:$S$910,8,FALSE)),0,VLOOKUP($A596,'Mutasi Neraca'!$A$3:$S$910,8,FALSE))</f>
        <v>1943440</v>
      </c>
      <c r="J596" s="42">
        <f>VLOOKUP($A596,'Neraca Unaudited SIMAK'!$A$2:$R$1272,9,FALSE)+IF(ISNA(VLOOKUP($A596,'Mutasi Neraca'!$A$3:$S$910,9,FALSE)),0,VLOOKUP($A596,'Mutasi Neraca'!$A$3:$S$910,9,FALSE))</f>
        <v>0</v>
      </c>
      <c r="K596" s="42">
        <f>VLOOKUP($A596,'Neraca Unaudited SIMAK'!$A$2:$R$1272,10,FALSE)+IF(ISNA(VLOOKUP($A596,'Mutasi Neraca'!$A$3:$S$910,10,FALSE)),0,VLOOKUP($A596,'Mutasi Neraca'!$A$3:$S$910,10,FALSE))</f>
        <v>24349000</v>
      </c>
      <c r="L596" s="42">
        <f>VLOOKUP($A596,'Neraca Unaudited SIMAK'!$A$2:$R$1272,11,FALSE)+IF(ISNA(VLOOKUP($A596,'Mutasi Neraca'!$A$3:$S$910,11,FALSE)),0,VLOOKUP($A596,'Mutasi Neraca'!$A$3:$S$910,11,FALSE))</f>
        <v>0</v>
      </c>
      <c r="M596" s="42">
        <f>VLOOKUP($A596,'Neraca Unaudited SIMAK'!$A$2:$R$1272,12,FALSE)+IF(ISNA(VLOOKUP($A596,'Mutasi Neraca'!$A$3:$S$910,12,FALSE)),0,VLOOKUP($A596,'Mutasi Neraca'!$A$3:$S$910,12,FALSE))</f>
        <v>13535871766</v>
      </c>
      <c r="N596" s="42">
        <f>VLOOKUP($A596,'Neraca Unaudited SIMAK'!$A$2:$R$1272,13,FALSE)+IF(ISNA(VLOOKUP($A596,'Mutasi Neraca'!$A$3:$S$910,13,FALSE)),0,VLOOKUP($A596,'Mutasi Neraca'!$A$3:$S$910,13,FALSE))</f>
        <v>-1078740934</v>
      </c>
      <c r="O596" s="42">
        <f>VLOOKUP($A596,'Neraca Unaudited SIMAK'!$A$2:$R$1272,14,FALSE)+IF(ISNA(VLOOKUP($A596,'Mutasi Neraca'!$A$3:$S$910,14,FALSE)),0,VLOOKUP($A596,'Mutasi Neraca'!$A$3:$S$910,14,FALSE))</f>
        <v>-1726374562</v>
      </c>
      <c r="P596" s="42">
        <f>VLOOKUP($A596,'Neraca Unaudited SIMAK'!$A$2:$R$1272,15,FALSE)+IF(ISNA(VLOOKUP($A596,'Mutasi Neraca'!$A$3:$S$910,15,FALSE)),0,VLOOKUP($A596,'Mutasi Neraca'!$A$3:$S$910,15,FALSE))</f>
        <v>0</v>
      </c>
      <c r="Q596" s="42">
        <f>VLOOKUP($A596,'Neraca Unaudited SIMAK'!$A$2:$R$1272,16,FALSE)+IF(ISNA(VLOOKUP($A596,'Mutasi Neraca'!$A$3:$S$910,16,FALSE)),0,VLOOKUP($A596,'Mutasi Neraca'!$A$3:$S$910,16,FALSE))</f>
        <v>0</v>
      </c>
      <c r="R596" s="42">
        <f>VLOOKUP($A596,'Neraca Unaudited SIMAK'!$A$2:$R$1272,17,FALSE)+IF(ISNA(VLOOKUP($A596,'Mutasi Neraca'!$A$3:$S$910,17,FALSE)),0,VLOOKUP($A596,'Mutasi Neraca'!$A$3:$S$910,17,FALSE))</f>
        <v>0</v>
      </c>
      <c r="S596" s="42">
        <f t="shared" si="61"/>
        <v>10730756270</v>
      </c>
    </row>
    <row r="597" spans="1:19">
      <c r="A597" s="41" t="s">
        <v>604</v>
      </c>
      <c r="B597" s="41" t="str">
        <f t="shared" si="60"/>
        <v>005011900</v>
      </c>
      <c r="D597" s="42">
        <f>VLOOKUP($A597,'Neraca Unaudited SIMAK'!$A$2:$R$1272,3,FALSE)+IF(ISNA(VLOOKUP($A597,'Mutasi Neraca'!$A$3:$S$910,3,FALSE)),0,VLOOKUP($A597,'Mutasi Neraca'!$A$3:$S$910,3,FALSE))</f>
        <v>12789920</v>
      </c>
      <c r="E597" s="42">
        <f>VLOOKUP($A597,'Neraca Unaudited SIMAK'!$A$2:$R$1272,4,FALSE)+IF(ISNA(VLOOKUP($A597,'Mutasi Neraca'!$A$3:$S$910,4,FALSE)),0,VLOOKUP($A597,'Mutasi Neraca'!$A$3:$S$910,4,FALSE))</f>
        <v>5383873000</v>
      </c>
      <c r="F597" s="42">
        <f>VLOOKUP($A597,'Neraca Unaudited SIMAK'!$A$2:$R$1272,5,FALSE)+IF(ISNA(VLOOKUP($A597,'Mutasi Neraca'!$A$3:$S$910,5,FALSE)),0,VLOOKUP($A597,'Mutasi Neraca'!$A$3:$S$910,5,FALSE))</f>
        <v>4007341793</v>
      </c>
      <c r="G597" s="42">
        <f>VLOOKUP($A597,'Neraca Unaudited SIMAK'!$A$2:$R$1272,6,FALSE)+IF(ISNA(VLOOKUP($A597,'Mutasi Neraca'!$A$3:$S$910,6,FALSE)),0,VLOOKUP($A597,'Mutasi Neraca'!$A$3:$S$910,6,FALSE))</f>
        <v>2653383700</v>
      </c>
      <c r="H597" s="42">
        <f>VLOOKUP($A597,'Neraca Unaudited SIMAK'!$A$2:$R$1272,7,FALSE)+IF(ISNA(VLOOKUP($A597,'Mutasi Neraca'!$A$3:$S$910,7,FALSE)),0,VLOOKUP($A597,'Mutasi Neraca'!$A$3:$S$910,7,FALSE))</f>
        <v>281011000</v>
      </c>
      <c r="I597" s="42">
        <f>VLOOKUP($A597,'Neraca Unaudited SIMAK'!$A$2:$R$1272,8,FALSE)+IF(ISNA(VLOOKUP($A597,'Mutasi Neraca'!$A$3:$S$910,8,FALSE)),0,VLOOKUP($A597,'Mutasi Neraca'!$A$3:$S$910,8,FALSE))</f>
        <v>35370026</v>
      </c>
      <c r="J597" s="42">
        <f>VLOOKUP($A597,'Neraca Unaudited SIMAK'!$A$2:$R$1272,9,FALSE)+IF(ISNA(VLOOKUP($A597,'Mutasi Neraca'!$A$3:$S$910,9,FALSE)),0,VLOOKUP($A597,'Mutasi Neraca'!$A$3:$S$910,9,FALSE))</f>
        <v>0</v>
      </c>
      <c r="K597" s="42">
        <f>VLOOKUP($A597,'Neraca Unaudited SIMAK'!$A$2:$R$1272,10,FALSE)+IF(ISNA(VLOOKUP($A597,'Mutasi Neraca'!$A$3:$S$910,10,FALSE)),0,VLOOKUP($A597,'Mutasi Neraca'!$A$3:$S$910,10,FALSE))</f>
        <v>51495000</v>
      </c>
      <c r="L597" s="42">
        <f>VLOOKUP($A597,'Neraca Unaudited SIMAK'!$A$2:$R$1272,11,FALSE)+IF(ISNA(VLOOKUP($A597,'Mutasi Neraca'!$A$3:$S$910,11,FALSE)),0,VLOOKUP($A597,'Mutasi Neraca'!$A$3:$S$910,11,FALSE))</f>
        <v>16240000</v>
      </c>
      <c r="M597" s="42">
        <f>VLOOKUP($A597,'Neraca Unaudited SIMAK'!$A$2:$R$1272,12,FALSE)+IF(ISNA(VLOOKUP($A597,'Mutasi Neraca'!$A$3:$S$910,12,FALSE)),0,VLOOKUP($A597,'Mutasi Neraca'!$A$3:$S$910,12,FALSE))</f>
        <v>12441504439</v>
      </c>
      <c r="N597" s="42">
        <f>VLOOKUP($A597,'Neraca Unaudited SIMAK'!$A$2:$R$1272,13,FALSE)+IF(ISNA(VLOOKUP($A597,'Mutasi Neraca'!$A$3:$S$910,13,FALSE)),0,VLOOKUP($A597,'Mutasi Neraca'!$A$3:$S$910,13,FALSE))</f>
        <v>-3465479361</v>
      </c>
      <c r="O597" s="42">
        <f>VLOOKUP($A597,'Neraca Unaudited SIMAK'!$A$2:$R$1272,14,FALSE)+IF(ISNA(VLOOKUP($A597,'Mutasi Neraca'!$A$3:$S$910,14,FALSE)),0,VLOOKUP($A597,'Mutasi Neraca'!$A$3:$S$910,14,FALSE))</f>
        <v>-1173872354</v>
      </c>
      <c r="P597" s="42">
        <f>VLOOKUP($A597,'Neraca Unaudited SIMAK'!$A$2:$R$1272,15,FALSE)+IF(ISNA(VLOOKUP($A597,'Mutasi Neraca'!$A$3:$S$910,15,FALSE)),0,VLOOKUP($A597,'Mutasi Neraca'!$A$3:$S$910,15,FALSE))</f>
        <v>-67122213</v>
      </c>
      <c r="Q597" s="42">
        <f>VLOOKUP($A597,'Neraca Unaudited SIMAK'!$A$2:$R$1272,16,FALSE)+IF(ISNA(VLOOKUP($A597,'Mutasi Neraca'!$A$3:$S$910,16,FALSE)),0,VLOOKUP($A597,'Mutasi Neraca'!$A$3:$S$910,16,FALSE))</f>
        <v>0</v>
      </c>
      <c r="R597" s="42">
        <f>VLOOKUP($A597,'Neraca Unaudited SIMAK'!$A$2:$R$1272,17,FALSE)+IF(ISNA(VLOOKUP($A597,'Mutasi Neraca'!$A$3:$S$910,17,FALSE)),0,VLOOKUP($A597,'Mutasi Neraca'!$A$3:$S$910,17,FALSE))</f>
        <v>-16240000</v>
      </c>
      <c r="S597" s="42">
        <f t="shared" si="61"/>
        <v>7718790511</v>
      </c>
    </row>
    <row r="598" spans="1:19">
      <c r="A598" s="41" t="s">
        <v>605</v>
      </c>
      <c r="B598" s="41" t="str">
        <f t="shared" si="60"/>
        <v>005011900</v>
      </c>
      <c r="D598" s="42">
        <f>VLOOKUP($A598,'Neraca Unaudited SIMAK'!$A$2:$R$1272,3,FALSE)+IF(ISNA(VLOOKUP($A598,'Mutasi Neraca'!$A$3:$S$910,3,FALSE)),0,VLOOKUP($A598,'Mutasi Neraca'!$A$3:$S$910,3,FALSE))</f>
        <v>808250</v>
      </c>
      <c r="E598" s="42">
        <f>VLOOKUP($A598,'Neraca Unaudited SIMAK'!$A$2:$R$1272,4,FALSE)+IF(ISNA(VLOOKUP($A598,'Mutasi Neraca'!$A$3:$S$910,4,FALSE)),0,VLOOKUP($A598,'Mutasi Neraca'!$A$3:$S$910,4,FALSE))</f>
        <v>989420000</v>
      </c>
      <c r="F598" s="42">
        <f>VLOOKUP($A598,'Neraca Unaudited SIMAK'!$A$2:$R$1272,5,FALSE)+IF(ISNA(VLOOKUP($A598,'Mutasi Neraca'!$A$3:$S$910,5,FALSE)),0,VLOOKUP($A598,'Mutasi Neraca'!$A$3:$S$910,5,FALSE))</f>
        <v>1415906709</v>
      </c>
      <c r="G598" s="42">
        <f>VLOOKUP($A598,'Neraca Unaudited SIMAK'!$A$2:$R$1272,6,FALSE)+IF(ISNA(VLOOKUP($A598,'Mutasi Neraca'!$A$3:$S$910,6,FALSE)),0,VLOOKUP($A598,'Mutasi Neraca'!$A$3:$S$910,6,FALSE))</f>
        <v>5435445552</v>
      </c>
      <c r="H598" s="42">
        <f>VLOOKUP($A598,'Neraca Unaudited SIMAK'!$A$2:$R$1272,7,FALSE)+IF(ISNA(VLOOKUP($A598,'Mutasi Neraca'!$A$3:$S$910,7,FALSE)),0,VLOOKUP($A598,'Mutasi Neraca'!$A$3:$S$910,7,FALSE))</f>
        <v>51465800</v>
      </c>
      <c r="I598" s="42">
        <f>VLOOKUP($A598,'Neraca Unaudited SIMAK'!$A$2:$R$1272,8,FALSE)+IF(ISNA(VLOOKUP($A598,'Mutasi Neraca'!$A$3:$S$910,8,FALSE)),0,VLOOKUP($A598,'Mutasi Neraca'!$A$3:$S$910,8,FALSE))</f>
        <v>1134000</v>
      </c>
      <c r="J598" s="42">
        <f>VLOOKUP($A598,'Neraca Unaudited SIMAK'!$A$2:$R$1272,9,FALSE)+IF(ISNA(VLOOKUP($A598,'Mutasi Neraca'!$A$3:$S$910,9,FALSE)),0,VLOOKUP($A598,'Mutasi Neraca'!$A$3:$S$910,9,FALSE))</f>
        <v>0</v>
      </c>
      <c r="K598" s="42">
        <f>VLOOKUP($A598,'Neraca Unaudited SIMAK'!$A$2:$R$1272,10,FALSE)+IF(ISNA(VLOOKUP($A598,'Mutasi Neraca'!$A$3:$S$910,10,FALSE)),0,VLOOKUP($A598,'Mutasi Neraca'!$A$3:$S$910,10,FALSE))</f>
        <v>7900000</v>
      </c>
      <c r="L598" s="42">
        <f>VLOOKUP($A598,'Neraca Unaudited SIMAK'!$A$2:$R$1272,11,FALSE)+IF(ISNA(VLOOKUP($A598,'Mutasi Neraca'!$A$3:$S$910,11,FALSE)),0,VLOOKUP($A598,'Mutasi Neraca'!$A$3:$S$910,11,FALSE))</f>
        <v>15350100</v>
      </c>
      <c r="M598" s="42">
        <f>VLOOKUP($A598,'Neraca Unaudited SIMAK'!$A$2:$R$1272,12,FALSE)+IF(ISNA(VLOOKUP($A598,'Mutasi Neraca'!$A$3:$S$910,12,FALSE)),0,VLOOKUP($A598,'Mutasi Neraca'!$A$3:$S$910,12,FALSE))</f>
        <v>7917430411</v>
      </c>
      <c r="N598" s="42">
        <f>VLOOKUP($A598,'Neraca Unaudited SIMAK'!$A$2:$R$1272,13,FALSE)+IF(ISNA(VLOOKUP($A598,'Mutasi Neraca'!$A$3:$S$910,13,FALSE)),0,VLOOKUP($A598,'Mutasi Neraca'!$A$3:$S$910,13,FALSE))</f>
        <v>-1088388448</v>
      </c>
      <c r="O598" s="42">
        <f>VLOOKUP($A598,'Neraca Unaudited SIMAK'!$A$2:$R$1272,14,FALSE)+IF(ISNA(VLOOKUP($A598,'Mutasi Neraca'!$A$3:$S$910,14,FALSE)),0,VLOOKUP($A598,'Mutasi Neraca'!$A$3:$S$910,14,FALSE))</f>
        <v>-557178910</v>
      </c>
      <c r="P598" s="42">
        <f>VLOOKUP($A598,'Neraca Unaudited SIMAK'!$A$2:$R$1272,15,FALSE)+IF(ISNA(VLOOKUP($A598,'Mutasi Neraca'!$A$3:$S$910,15,FALSE)),0,VLOOKUP($A598,'Mutasi Neraca'!$A$3:$S$910,15,FALSE))</f>
        <v>-51465800</v>
      </c>
      <c r="Q598" s="42">
        <f>VLOOKUP($A598,'Neraca Unaudited SIMAK'!$A$2:$R$1272,16,FALSE)+IF(ISNA(VLOOKUP($A598,'Mutasi Neraca'!$A$3:$S$910,16,FALSE)),0,VLOOKUP($A598,'Mutasi Neraca'!$A$3:$S$910,16,FALSE))</f>
        <v>0</v>
      </c>
      <c r="R598" s="42">
        <f>VLOOKUP($A598,'Neraca Unaudited SIMAK'!$A$2:$R$1272,17,FALSE)+IF(ISNA(VLOOKUP($A598,'Mutasi Neraca'!$A$3:$S$910,17,FALSE)),0,VLOOKUP($A598,'Mutasi Neraca'!$A$3:$S$910,17,FALSE))</f>
        <v>-15350100</v>
      </c>
      <c r="S598" s="42">
        <f t="shared" si="61"/>
        <v>6205047153</v>
      </c>
    </row>
    <row r="599" spans="1:19">
      <c r="A599" s="41" t="s">
        <v>606</v>
      </c>
      <c r="B599" s="41" t="str">
        <f t="shared" si="60"/>
        <v>005011900</v>
      </c>
      <c r="D599" s="42">
        <f>VLOOKUP($A599,'Neraca Unaudited SIMAK'!$A$2:$R$1272,3,FALSE)+IF(ISNA(VLOOKUP($A599,'Mutasi Neraca'!$A$3:$S$910,3,FALSE)),0,VLOOKUP($A599,'Mutasi Neraca'!$A$3:$S$910,3,FALSE))</f>
        <v>22814300</v>
      </c>
      <c r="E599" s="42">
        <f>VLOOKUP($A599,'Neraca Unaudited SIMAK'!$A$2:$R$1272,4,FALSE)+IF(ISNA(VLOOKUP($A599,'Mutasi Neraca'!$A$3:$S$910,4,FALSE)),0,VLOOKUP($A599,'Mutasi Neraca'!$A$3:$S$910,4,FALSE))</f>
        <v>612794000</v>
      </c>
      <c r="F599" s="42">
        <f>VLOOKUP($A599,'Neraca Unaudited SIMAK'!$A$2:$R$1272,5,FALSE)+IF(ISNA(VLOOKUP($A599,'Mutasi Neraca'!$A$3:$S$910,5,FALSE)),0,VLOOKUP($A599,'Mutasi Neraca'!$A$3:$S$910,5,FALSE))</f>
        <v>1466857304</v>
      </c>
      <c r="G599" s="42">
        <f>VLOOKUP($A599,'Neraca Unaudited SIMAK'!$A$2:$R$1272,6,FALSE)+IF(ISNA(VLOOKUP($A599,'Mutasi Neraca'!$A$3:$S$910,6,FALSE)),0,VLOOKUP($A599,'Mutasi Neraca'!$A$3:$S$910,6,FALSE))</f>
        <v>2982908671</v>
      </c>
      <c r="H599" s="42">
        <f>VLOOKUP($A599,'Neraca Unaudited SIMAK'!$A$2:$R$1272,7,FALSE)+IF(ISNA(VLOOKUP($A599,'Mutasi Neraca'!$A$3:$S$910,7,FALSE)),0,VLOOKUP($A599,'Mutasi Neraca'!$A$3:$S$910,7,FALSE))</f>
        <v>39668200</v>
      </c>
      <c r="I599" s="42">
        <f>VLOOKUP($A599,'Neraca Unaudited SIMAK'!$A$2:$R$1272,8,FALSE)+IF(ISNA(VLOOKUP($A599,'Mutasi Neraca'!$A$3:$S$910,8,FALSE)),0,VLOOKUP($A599,'Mutasi Neraca'!$A$3:$S$910,8,FALSE))</f>
        <v>15639370</v>
      </c>
      <c r="J599" s="42">
        <f>VLOOKUP($A599,'Neraca Unaudited SIMAK'!$A$2:$R$1272,9,FALSE)+IF(ISNA(VLOOKUP($A599,'Mutasi Neraca'!$A$3:$S$910,9,FALSE)),0,VLOOKUP($A599,'Mutasi Neraca'!$A$3:$S$910,9,FALSE))</f>
        <v>0</v>
      </c>
      <c r="K599" s="42">
        <f>VLOOKUP($A599,'Neraca Unaudited SIMAK'!$A$2:$R$1272,10,FALSE)+IF(ISNA(VLOOKUP($A599,'Mutasi Neraca'!$A$3:$S$910,10,FALSE)),0,VLOOKUP($A599,'Mutasi Neraca'!$A$3:$S$910,10,FALSE))</f>
        <v>26345000</v>
      </c>
      <c r="L599" s="42">
        <f>VLOOKUP($A599,'Neraca Unaudited SIMAK'!$A$2:$R$1272,11,FALSE)+IF(ISNA(VLOOKUP($A599,'Mutasi Neraca'!$A$3:$S$910,11,FALSE)),0,VLOOKUP($A599,'Mutasi Neraca'!$A$3:$S$910,11,FALSE))</f>
        <v>77113525</v>
      </c>
      <c r="M599" s="42">
        <f>VLOOKUP($A599,'Neraca Unaudited SIMAK'!$A$2:$R$1272,12,FALSE)+IF(ISNA(VLOOKUP($A599,'Mutasi Neraca'!$A$3:$S$910,12,FALSE)),0,VLOOKUP($A599,'Mutasi Neraca'!$A$3:$S$910,12,FALSE))</f>
        <v>5244140370</v>
      </c>
      <c r="N599" s="42">
        <f>VLOOKUP($A599,'Neraca Unaudited SIMAK'!$A$2:$R$1272,13,FALSE)+IF(ISNA(VLOOKUP($A599,'Mutasi Neraca'!$A$3:$S$910,13,FALSE)),0,VLOOKUP($A599,'Mutasi Neraca'!$A$3:$S$910,13,FALSE))</f>
        <v>-1263981768</v>
      </c>
      <c r="O599" s="42">
        <f>VLOOKUP($A599,'Neraca Unaudited SIMAK'!$A$2:$R$1272,14,FALSE)+IF(ISNA(VLOOKUP($A599,'Mutasi Neraca'!$A$3:$S$910,14,FALSE)),0,VLOOKUP($A599,'Mutasi Neraca'!$A$3:$S$910,14,FALSE))</f>
        <v>-472790784</v>
      </c>
      <c r="P599" s="42">
        <f>VLOOKUP($A599,'Neraca Unaudited SIMAK'!$A$2:$R$1272,15,FALSE)+IF(ISNA(VLOOKUP($A599,'Mutasi Neraca'!$A$3:$S$910,15,FALSE)),0,VLOOKUP($A599,'Mutasi Neraca'!$A$3:$S$910,15,FALSE))</f>
        <v>-495853</v>
      </c>
      <c r="Q599" s="42">
        <f>VLOOKUP($A599,'Neraca Unaudited SIMAK'!$A$2:$R$1272,16,FALSE)+IF(ISNA(VLOOKUP($A599,'Mutasi Neraca'!$A$3:$S$910,16,FALSE)),0,VLOOKUP($A599,'Mutasi Neraca'!$A$3:$S$910,16,FALSE))</f>
        <v>0</v>
      </c>
      <c r="R599" s="42">
        <f>VLOOKUP($A599,'Neraca Unaudited SIMAK'!$A$2:$R$1272,17,FALSE)+IF(ISNA(VLOOKUP($A599,'Mutasi Neraca'!$A$3:$S$910,17,FALSE)),0,VLOOKUP($A599,'Mutasi Neraca'!$A$3:$S$910,17,FALSE))</f>
        <v>-77113525</v>
      </c>
      <c r="S599" s="42">
        <f t="shared" si="61"/>
        <v>3429758440</v>
      </c>
    </row>
    <row r="600" spans="1:19">
      <c r="A600" s="43" t="s">
        <v>607</v>
      </c>
      <c r="B600" s="41" t="str">
        <f t="shared" si="60"/>
        <v>005011900</v>
      </c>
      <c r="D600" s="42">
        <f>VLOOKUP($A600,'Neraca Unaudited SIMAK'!$A$2:$R$1272,3,FALSE)+IF(ISNA(VLOOKUP($A600,'Mutasi Neraca'!$A$3:$S$910,3,FALSE)),0,VLOOKUP($A600,'Mutasi Neraca'!$A$3:$S$910,3,FALSE))</f>
        <v>2849375</v>
      </c>
      <c r="E600" s="42">
        <f>VLOOKUP($A600,'Neraca Unaudited SIMAK'!$A$2:$R$1272,4,FALSE)+IF(ISNA(VLOOKUP($A600,'Mutasi Neraca'!$A$3:$S$910,4,FALSE)),0,VLOOKUP($A600,'Mutasi Neraca'!$A$3:$S$910,4,FALSE))</f>
        <v>5159035000</v>
      </c>
      <c r="F600" s="42">
        <f>VLOOKUP($A600,'Neraca Unaudited SIMAK'!$A$2:$R$1272,5,FALSE)+IF(ISNA(VLOOKUP($A600,'Mutasi Neraca'!$A$3:$S$910,5,FALSE)),0,VLOOKUP($A600,'Mutasi Neraca'!$A$3:$S$910,5,FALSE))</f>
        <v>2345201605</v>
      </c>
      <c r="G600" s="42">
        <f>VLOOKUP($A600,'Neraca Unaudited SIMAK'!$A$2:$R$1272,6,FALSE)+IF(ISNA(VLOOKUP($A600,'Mutasi Neraca'!$A$3:$S$910,6,FALSE)),0,VLOOKUP($A600,'Mutasi Neraca'!$A$3:$S$910,6,FALSE))</f>
        <v>7620919017</v>
      </c>
      <c r="H600" s="42">
        <f>VLOOKUP($A600,'Neraca Unaudited SIMAK'!$A$2:$R$1272,7,FALSE)+IF(ISNA(VLOOKUP($A600,'Mutasi Neraca'!$A$3:$S$910,7,FALSE)),0,VLOOKUP($A600,'Mutasi Neraca'!$A$3:$S$910,7,FALSE))</f>
        <v>109400000</v>
      </c>
      <c r="I600" s="42">
        <f>VLOOKUP($A600,'Neraca Unaudited SIMAK'!$A$2:$R$1272,8,FALSE)+IF(ISNA(VLOOKUP($A600,'Mutasi Neraca'!$A$3:$S$910,8,FALSE)),0,VLOOKUP($A600,'Mutasi Neraca'!$A$3:$S$910,8,FALSE))</f>
        <v>82192995</v>
      </c>
      <c r="J600" s="42">
        <f>VLOOKUP($A600,'Neraca Unaudited SIMAK'!$A$2:$R$1272,9,FALSE)+IF(ISNA(VLOOKUP($A600,'Mutasi Neraca'!$A$3:$S$910,9,FALSE)),0,VLOOKUP($A600,'Mutasi Neraca'!$A$3:$S$910,9,FALSE))</f>
        <v>0</v>
      </c>
      <c r="K600" s="42">
        <f>VLOOKUP($A600,'Neraca Unaudited SIMAK'!$A$2:$R$1272,10,FALSE)+IF(ISNA(VLOOKUP($A600,'Mutasi Neraca'!$A$3:$S$910,10,FALSE)),0,VLOOKUP($A600,'Mutasi Neraca'!$A$3:$S$910,10,FALSE))</f>
        <v>7260000</v>
      </c>
      <c r="L600" s="42">
        <f>VLOOKUP($A600,'Neraca Unaudited SIMAK'!$A$2:$R$1272,11,FALSE)+IF(ISNA(VLOOKUP($A600,'Mutasi Neraca'!$A$3:$S$910,11,FALSE)),0,VLOOKUP($A600,'Mutasi Neraca'!$A$3:$S$910,11,FALSE))</f>
        <v>1335604</v>
      </c>
      <c r="M600" s="42">
        <f>VLOOKUP($A600,'Neraca Unaudited SIMAK'!$A$2:$R$1272,12,FALSE)+IF(ISNA(VLOOKUP($A600,'Mutasi Neraca'!$A$3:$S$910,12,FALSE)),0,VLOOKUP($A600,'Mutasi Neraca'!$A$3:$S$910,12,FALSE))</f>
        <v>15328193596</v>
      </c>
      <c r="N600" s="42">
        <f>VLOOKUP($A600,'Neraca Unaudited SIMAK'!$A$2:$R$1272,13,FALSE)+IF(ISNA(VLOOKUP($A600,'Mutasi Neraca'!$A$3:$S$910,13,FALSE)),0,VLOOKUP($A600,'Mutasi Neraca'!$A$3:$S$910,13,FALSE))</f>
        <v>-1536088395</v>
      </c>
      <c r="O600" s="42">
        <f>VLOOKUP($A600,'Neraca Unaudited SIMAK'!$A$2:$R$1272,14,FALSE)+IF(ISNA(VLOOKUP($A600,'Mutasi Neraca'!$A$3:$S$910,14,FALSE)),0,VLOOKUP($A600,'Mutasi Neraca'!$A$3:$S$910,14,FALSE))</f>
        <v>-224862826</v>
      </c>
      <c r="P600" s="42">
        <f>VLOOKUP($A600,'Neraca Unaudited SIMAK'!$A$2:$R$1272,15,FALSE)+IF(ISNA(VLOOKUP($A600,'Mutasi Neraca'!$A$3:$S$910,15,FALSE)),0,VLOOKUP($A600,'Mutasi Neraca'!$A$3:$S$910,15,FALSE))</f>
        <v>-107200000</v>
      </c>
      <c r="Q600" s="42">
        <f>VLOOKUP($A600,'Neraca Unaudited SIMAK'!$A$2:$R$1272,16,FALSE)+IF(ISNA(VLOOKUP($A600,'Mutasi Neraca'!$A$3:$S$910,16,FALSE)),0,VLOOKUP($A600,'Mutasi Neraca'!$A$3:$S$910,16,FALSE))</f>
        <v>0</v>
      </c>
      <c r="R600" s="42">
        <f>VLOOKUP($A600,'Neraca Unaudited SIMAK'!$A$2:$R$1272,17,FALSE)+IF(ISNA(VLOOKUP($A600,'Mutasi Neraca'!$A$3:$S$910,17,FALSE)),0,VLOOKUP($A600,'Mutasi Neraca'!$A$3:$S$910,17,FALSE))</f>
        <v>-1335604</v>
      </c>
      <c r="S600" s="42">
        <f t="shared" si="61"/>
        <v>13458706771</v>
      </c>
    </row>
    <row r="601" spans="1:19">
      <c r="A601" s="41" t="s">
        <v>608</v>
      </c>
      <c r="B601" s="41" t="str">
        <f t="shared" si="60"/>
        <v>005011900</v>
      </c>
      <c r="D601" s="42">
        <f>VLOOKUP($A601,'Neraca Unaudited SIMAK'!$A$2:$R$1272,3,FALSE)+IF(ISNA(VLOOKUP($A601,'Mutasi Neraca'!$A$3:$S$910,3,FALSE)),0,VLOOKUP($A601,'Mutasi Neraca'!$A$3:$S$910,3,FALSE))</f>
        <v>190500</v>
      </c>
      <c r="E601" s="42">
        <f>VLOOKUP($A601,'Neraca Unaudited SIMAK'!$A$2:$R$1272,4,FALSE)+IF(ISNA(VLOOKUP($A601,'Mutasi Neraca'!$A$3:$S$910,4,FALSE)),0,VLOOKUP($A601,'Mutasi Neraca'!$A$3:$S$910,4,FALSE))</f>
        <v>1423252500</v>
      </c>
      <c r="F601" s="42">
        <f>VLOOKUP($A601,'Neraca Unaudited SIMAK'!$A$2:$R$1272,5,FALSE)+IF(ISNA(VLOOKUP($A601,'Mutasi Neraca'!$A$3:$S$910,5,FALSE)),0,VLOOKUP($A601,'Mutasi Neraca'!$A$3:$S$910,5,FALSE))</f>
        <v>1311785139</v>
      </c>
      <c r="G601" s="42">
        <f>VLOOKUP($A601,'Neraca Unaudited SIMAK'!$A$2:$R$1272,6,FALSE)+IF(ISNA(VLOOKUP($A601,'Mutasi Neraca'!$A$3:$S$910,6,FALSE)),0,VLOOKUP($A601,'Mutasi Neraca'!$A$3:$S$910,6,FALSE))</f>
        <v>4352934679</v>
      </c>
      <c r="H601" s="42">
        <f>VLOOKUP($A601,'Neraca Unaudited SIMAK'!$A$2:$R$1272,7,FALSE)+IF(ISNA(VLOOKUP($A601,'Mutasi Neraca'!$A$3:$S$910,7,FALSE)),0,VLOOKUP($A601,'Mutasi Neraca'!$A$3:$S$910,7,FALSE))</f>
        <v>32500000</v>
      </c>
      <c r="I601" s="42">
        <f>VLOOKUP($A601,'Neraca Unaudited SIMAK'!$A$2:$R$1272,8,FALSE)+IF(ISNA(VLOOKUP($A601,'Mutasi Neraca'!$A$3:$S$910,8,FALSE)),0,VLOOKUP($A601,'Mutasi Neraca'!$A$3:$S$910,8,FALSE))</f>
        <v>2831918</v>
      </c>
      <c r="J601" s="42">
        <f>VLOOKUP($A601,'Neraca Unaudited SIMAK'!$A$2:$R$1272,9,FALSE)+IF(ISNA(VLOOKUP($A601,'Mutasi Neraca'!$A$3:$S$910,9,FALSE)),0,VLOOKUP($A601,'Mutasi Neraca'!$A$3:$S$910,9,FALSE))</f>
        <v>0</v>
      </c>
      <c r="K601" s="42">
        <f>VLOOKUP($A601,'Neraca Unaudited SIMAK'!$A$2:$R$1272,10,FALSE)+IF(ISNA(VLOOKUP($A601,'Mutasi Neraca'!$A$3:$S$910,10,FALSE)),0,VLOOKUP($A601,'Mutasi Neraca'!$A$3:$S$910,10,FALSE))</f>
        <v>0</v>
      </c>
      <c r="L601" s="42">
        <f>VLOOKUP($A601,'Neraca Unaudited SIMAK'!$A$2:$R$1272,11,FALSE)+IF(ISNA(VLOOKUP($A601,'Mutasi Neraca'!$A$3:$S$910,11,FALSE)),0,VLOOKUP($A601,'Mutasi Neraca'!$A$3:$S$910,11,FALSE))</f>
        <v>0</v>
      </c>
      <c r="M601" s="42">
        <f>VLOOKUP($A601,'Neraca Unaudited SIMAK'!$A$2:$R$1272,12,FALSE)+IF(ISNA(VLOOKUP($A601,'Mutasi Neraca'!$A$3:$S$910,12,FALSE)),0,VLOOKUP($A601,'Mutasi Neraca'!$A$3:$S$910,12,FALSE))</f>
        <v>7123494736</v>
      </c>
      <c r="N601" s="42">
        <f>VLOOKUP($A601,'Neraca Unaudited SIMAK'!$A$2:$R$1272,13,FALSE)+IF(ISNA(VLOOKUP($A601,'Mutasi Neraca'!$A$3:$S$910,13,FALSE)),0,VLOOKUP($A601,'Mutasi Neraca'!$A$3:$S$910,13,FALSE))</f>
        <v>-978997593</v>
      </c>
      <c r="O601" s="42">
        <f>VLOOKUP($A601,'Neraca Unaudited SIMAK'!$A$2:$R$1272,14,FALSE)+IF(ISNA(VLOOKUP($A601,'Mutasi Neraca'!$A$3:$S$910,14,FALSE)),0,VLOOKUP($A601,'Mutasi Neraca'!$A$3:$S$910,14,FALSE))</f>
        <v>-431477229</v>
      </c>
      <c r="P601" s="42">
        <f>VLOOKUP($A601,'Neraca Unaudited SIMAK'!$A$2:$R$1272,15,FALSE)+IF(ISNA(VLOOKUP($A601,'Mutasi Neraca'!$A$3:$S$910,15,FALSE)),0,VLOOKUP($A601,'Mutasi Neraca'!$A$3:$S$910,15,FALSE))</f>
        <v>-1843750</v>
      </c>
      <c r="Q601" s="42">
        <f>VLOOKUP($A601,'Neraca Unaudited SIMAK'!$A$2:$R$1272,16,FALSE)+IF(ISNA(VLOOKUP($A601,'Mutasi Neraca'!$A$3:$S$910,16,FALSE)),0,VLOOKUP($A601,'Mutasi Neraca'!$A$3:$S$910,16,FALSE))</f>
        <v>0</v>
      </c>
      <c r="R601" s="42">
        <f>VLOOKUP($A601,'Neraca Unaudited SIMAK'!$A$2:$R$1272,17,FALSE)+IF(ISNA(VLOOKUP($A601,'Mutasi Neraca'!$A$3:$S$910,17,FALSE)),0,VLOOKUP($A601,'Mutasi Neraca'!$A$3:$S$910,17,FALSE))</f>
        <v>0</v>
      </c>
      <c r="S601" s="42">
        <f t="shared" si="61"/>
        <v>5711176164</v>
      </c>
    </row>
    <row r="602" spans="1:19">
      <c r="A602" s="41" t="s">
        <v>609</v>
      </c>
      <c r="B602" s="41" t="str">
        <f t="shared" si="60"/>
        <v>005011900</v>
      </c>
      <c r="D602" s="42">
        <f>VLOOKUP($A602,'Neraca Unaudited SIMAK'!$A$2:$R$1272,3,FALSE)+IF(ISNA(VLOOKUP($A602,'Mutasi Neraca'!$A$3:$S$910,3,FALSE)),0,VLOOKUP($A602,'Mutasi Neraca'!$A$3:$S$910,3,FALSE))</f>
        <v>483672</v>
      </c>
      <c r="E602" s="42">
        <f>VLOOKUP($A602,'Neraca Unaudited SIMAK'!$A$2:$R$1272,4,FALSE)+IF(ISNA(VLOOKUP($A602,'Mutasi Neraca'!$A$3:$S$910,4,FALSE)),0,VLOOKUP($A602,'Mutasi Neraca'!$A$3:$S$910,4,FALSE))</f>
        <v>1142271000</v>
      </c>
      <c r="F602" s="42">
        <f>VLOOKUP($A602,'Neraca Unaudited SIMAK'!$A$2:$R$1272,5,FALSE)+IF(ISNA(VLOOKUP($A602,'Mutasi Neraca'!$A$3:$S$910,5,FALSE)),0,VLOOKUP($A602,'Mutasi Neraca'!$A$3:$S$910,5,FALSE))</f>
        <v>1063919183</v>
      </c>
      <c r="G602" s="42">
        <f>VLOOKUP($A602,'Neraca Unaudited SIMAK'!$A$2:$R$1272,6,FALSE)+IF(ISNA(VLOOKUP($A602,'Mutasi Neraca'!$A$3:$S$910,6,FALSE)),0,VLOOKUP($A602,'Mutasi Neraca'!$A$3:$S$910,6,FALSE))</f>
        <v>3259500600</v>
      </c>
      <c r="H602" s="42">
        <f>VLOOKUP($A602,'Neraca Unaudited SIMAK'!$A$2:$R$1272,7,FALSE)+IF(ISNA(VLOOKUP($A602,'Mutasi Neraca'!$A$3:$S$910,7,FALSE)),0,VLOOKUP($A602,'Mutasi Neraca'!$A$3:$S$910,7,FALSE))</f>
        <v>306925013</v>
      </c>
      <c r="I602" s="42">
        <f>VLOOKUP($A602,'Neraca Unaudited SIMAK'!$A$2:$R$1272,8,FALSE)+IF(ISNA(VLOOKUP($A602,'Mutasi Neraca'!$A$3:$S$910,8,FALSE)),0,VLOOKUP($A602,'Mutasi Neraca'!$A$3:$S$910,8,FALSE))</f>
        <v>6429570</v>
      </c>
      <c r="J602" s="42">
        <f>VLOOKUP($A602,'Neraca Unaudited SIMAK'!$A$2:$R$1272,9,FALSE)+IF(ISNA(VLOOKUP($A602,'Mutasi Neraca'!$A$3:$S$910,9,FALSE)),0,VLOOKUP($A602,'Mutasi Neraca'!$A$3:$S$910,9,FALSE))</f>
        <v>99835000</v>
      </c>
      <c r="K602" s="42">
        <f>VLOOKUP($A602,'Neraca Unaudited SIMAK'!$A$2:$R$1272,10,FALSE)+IF(ISNA(VLOOKUP($A602,'Mutasi Neraca'!$A$3:$S$910,10,FALSE)),0,VLOOKUP($A602,'Mutasi Neraca'!$A$3:$S$910,10,FALSE))</f>
        <v>25270000</v>
      </c>
      <c r="L602" s="42">
        <f>VLOOKUP($A602,'Neraca Unaudited SIMAK'!$A$2:$R$1272,11,FALSE)+IF(ISNA(VLOOKUP($A602,'Mutasi Neraca'!$A$3:$S$910,11,FALSE)),0,VLOOKUP($A602,'Mutasi Neraca'!$A$3:$S$910,11,FALSE))</f>
        <v>0</v>
      </c>
      <c r="M602" s="42">
        <f>VLOOKUP($A602,'Neraca Unaudited SIMAK'!$A$2:$R$1272,12,FALSE)+IF(ISNA(VLOOKUP($A602,'Mutasi Neraca'!$A$3:$S$910,12,FALSE)),0,VLOOKUP($A602,'Mutasi Neraca'!$A$3:$S$910,12,FALSE))</f>
        <v>5904634038</v>
      </c>
      <c r="N602" s="42">
        <f>VLOOKUP($A602,'Neraca Unaudited SIMAK'!$A$2:$R$1272,13,FALSE)+IF(ISNA(VLOOKUP($A602,'Mutasi Neraca'!$A$3:$S$910,13,FALSE)),0,VLOOKUP($A602,'Mutasi Neraca'!$A$3:$S$910,13,FALSE))</f>
        <v>-923298136</v>
      </c>
      <c r="O602" s="42">
        <f>VLOOKUP($A602,'Neraca Unaudited SIMAK'!$A$2:$R$1272,14,FALSE)+IF(ISNA(VLOOKUP($A602,'Mutasi Neraca'!$A$3:$S$910,14,FALSE)),0,VLOOKUP($A602,'Mutasi Neraca'!$A$3:$S$910,14,FALSE))</f>
        <v>-399322994</v>
      </c>
      <c r="P602" s="42">
        <f>VLOOKUP($A602,'Neraca Unaudited SIMAK'!$A$2:$R$1272,15,FALSE)+IF(ISNA(VLOOKUP($A602,'Mutasi Neraca'!$A$3:$S$910,15,FALSE)),0,VLOOKUP($A602,'Mutasi Neraca'!$A$3:$S$910,15,FALSE))</f>
        <v>-34341890</v>
      </c>
      <c r="Q602" s="42">
        <f>VLOOKUP($A602,'Neraca Unaudited SIMAK'!$A$2:$R$1272,16,FALSE)+IF(ISNA(VLOOKUP($A602,'Mutasi Neraca'!$A$3:$S$910,16,FALSE)),0,VLOOKUP($A602,'Mutasi Neraca'!$A$3:$S$910,16,FALSE))</f>
        <v>0</v>
      </c>
      <c r="R602" s="42">
        <f>VLOOKUP($A602,'Neraca Unaudited SIMAK'!$A$2:$R$1272,17,FALSE)+IF(ISNA(VLOOKUP($A602,'Mutasi Neraca'!$A$3:$S$910,17,FALSE)),0,VLOOKUP($A602,'Mutasi Neraca'!$A$3:$S$910,17,FALSE))</f>
        <v>0</v>
      </c>
      <c r="S602" s="42">
        <f t="shared" si="61"/>
        <v>4547671018</v>
      </c>
    </row>
    <row r="603" spans="1:19">
      <c r="A603" s="41" t="s">
        <v>610</v>
      </c>
      <c r="B603" s="41" t="str">
        <f t="shared" si="60"/>
        <v>005011900</v>
      </c>
      <c r="D603" s="42">
        <f>VLOOKUP($A603,'Neraca Unaudited SIMAK'!$A$2:$R$1272,3,FALSE)+IF(ISNA(VLOOKUP($A603,'Mutasi Neraca'!$A$3:$S$910,3,FALSE)),0,VLOOKUP($A603,'Mutasi Neraca'!$A$3:$S$910,3,FALSE))</f>
        <v>222000</v>
      </c>
      <c r="E603" s="42">
        <f>VLOOKUP($A603,'Neraca Unaudited SIMAK'!$A$2:$R$1272,4,FALSE)+IF(ISNA(VLOOKUP($A603,'Mutasi Neraca'!$A$3:$S$910,4,FALSE)),0,VLOOKUP($A603,'Mutasi Neraca'!$A$3:$S$910,4,FALSE))</f>
        <v>0</v>
      </c>
      <c r="F603" s="42">
        <f>VLOOKUP($A603,'Neraca Unaudited SIMAK'!$A$2:$R$1272,5,FALSE)+IF(ISNA(VLOOKUP($A603,'Mutasi Neraca'!$A$3:$S$910,5,FALSE)),0,VLOOKUP($A603,'Mutasi Neraca'!$A$3:$S$910,5,FALSE))</f>
        <v>1214701214</v>
      </c>
      <c r="G603" s="42">
        <f>VLOOKUP($A603,'Neraca Unaudited SIMAK'!$A$2:$R$1272,6,FALSE)+IF(ISNA(VLOOKUP($A603,'Mutasi Neraca'!$A$3:$S$910,6,FALSE)),0,VLOOKUP($A603,'Mutasi Neraca'!$A$3:$S$910,6,FALSE))</f>
        <v>2664931173</v>
      </c>
      <c r="H603" s="42">
        <f>VLOOKUP($A603,'Neraca Unaudited SIMAK'!$A$2:$R$1272,7,FALSE)+IF(ISNA(VLOOKUP($A603,'Mutasi Neraca'!$A$3:$S$910,7,FALSE)),0,VLOOKUP($A603,'Mutasi Neraca'!$A$3:$S$910,7,FALSE))</f>
        <v>12570540</v>
      </c>
      <c r="I603" s="42">
        <f>VLOOKUP($A603,'Neraca Unaudited SIMAK'!$A$2:$R$1272,8,FALSE)+IF(ISNA(VLOOKUP($A603,'Mutasi Neraca'!$A$3:$S$910,8,FALSE)),0,VLOOKUP($A603,'Mutasi Neraca'!$A$3:$S$910,8,FALSE))</f>
        <v>46969875</v>
      </c>
      <c r="J603" s="42">
        <f>VLOOKUP($A603,'Neraca Unaudited SIMAK'!$A$2:$R$1272,9,FALSE)+IF(ISNA(VLOOKUP($A603,'Mutasi Neraca'!$A$3:$S$910,9,FALSE)),0,VLOOKUP($A603,'Mutasi Neraca'!$A$3:$S$910,9,FALSE))</f>
        <v>0</v>
      </c>
      <c r="K603" s="42">
        <f>VLOOKUP($A603,'Neraca Unaudited SIMAK'!$A$2:$R$1272,10,FALSE)+IF(ISNA(VLOOKUP($A603,'Mutasi Neraca'!$A$3:$S$910,10,FALSE)),0,VLOOKUP($A603,'Mutasi Neraca'!$A$3:$S$910,10,FALSE))</f>
        <v>13000000</v>
      </c>
      <c r="L603" s="42">
        <f>VLOOKUP($A603,'Neraca Unaudited SIMAK'!$A$2:$R$1272,11,FALSE)+IF(ISNA(VLOOKUP($A603,'Mutasi Neraca'!$A$3:$S$910,11,FALSE)),0,VLOOKUP($A603,'Mutasi Neraca'!$A$3:$S$910,11,FALSE))</f>
        <v>185810260</v>
      </c>
      <c r="M603" s="42">
        <f>VLOOKUP($A603,'Neraca Unaudited SIMAK'!$A$2:$R$1272,12,FALSE)+IF(ISNA(VLOOKUP($A603,'Mutasi Neraca'!$A$3:$S$910,12,FALSE)),0,VLOOKUP($A603,'Mutasi Neraca'!$A$3:$S$910,12,FALSE))</f>
        <v>4138205062</v>
      </c>
      <c r="N603" s="42">
        <f>VLOOKUP($A603,'Neraca Unaudited SIMAK'!$A$2:$R$1272,13,FALSE)+IF(ISNA(VLOOKUP($A603,'Mutasi Neraca'!$A$3:$S$910,13,FALSE)),0,VLOOKUP($A603,'Mutasi Neraca'!$A$3:$S$910,13,FALSE))</f>
        <v>-1077834236</v>
      </c>
      <c r="O603" s="42">
        <f>VLOOKUP($A603,'Neraca Unaudited SIMAK'!$A$2:$R$1272,14,FALSE)+IF(ISNA(VLOOKUP($A603,'Mutasi Neraca'!$A$3:$S$910,14,FALSE)),0,VLOOKUP($A603,'Mutasi Neraca'!$A$3:$S$910,14,FALSE))</f>
        <v>-522721963</v>
      </c>
      <c r="P603" s="42">
        <f>VLOOKUP($A603,'Neraca Unaudited SIMAK'!$A$2:$R$1272,15,FALSE)+IF(ISNA(VLOOKUP($A603,'Mutasi Neraca'!$A$3:$S$910,15,FALSE)),0,VLOOKUP($A603,'Mutasi Neraca'!$A$3:$S$910,15,FALSE))</f>
        <v>-2723617</v>
      </c>
      <c r="Q603" s="42">
        <f>VLOOKUP($A603,'Neraca Unaudited SIMAK'!$A$2:$R$1272,16,FALSE)+IF(ISNA(VLOOKUP($A603,'Mutasi Neraca'!$A$3:$S$910,16,FALSE)),0,VLOOKUP($A603,'Mutasi Neraca'!$A$3:$S$910,16,FALSE))</f>
        <v>0</v>
      </c>
      <c r="R603" s="42">
        <f>VLOOKUP($A603,'Neraca Unaudited SIMAK'!$A$2:$R$1272,17,FALSE)+IF(ISNA(VLOOKUP($A603,'Mutasi Neraca'!$A$3:$S$910,17,FALSE)),0,VLOOKUP($A603,'Mutasi Neraca'!$A$3:$S$910,17,FALSE))</f>
        <v>-185191510</v>
      </c>
      <c r="S603" s="42">
        <f t="shared" si="61"/>
        <v>2349733736</v>
      </c>
    </row>
    <row r="604" spans="1:19">
      <c r="A604" s="41" t="s">
        <v>611</v>
      </c>
      <c r="B604" s="41" t="str">
        <f t="shared" si="60"/>
        <v>005011900</v>
      </c>
      <c r="D604" s="42">
        <f>VLOOKUP($A604,'Neraca Unaudited SIMAK'!$A$2:$R$1272,3,FALSE)+IF(ISNA(VLOOKUP($A604,'Mutasi Neraca'!$A$3:$S$910,3,FALSE)),0,VLOOKUP($A604,'Mutasi Neraca'!$A$3:$S$910,3,FALSE))</f>
        <v>345000</v>
      </c>
      <c r="E604" s="42">
        <f>VLOOKUP($A604,'Neraca Unaudited SIMAK'!$A$2:$R$1272,4,FALSE)+IF(ISNA(VLOOKUP($A604,'Mutasi Neraca'!$A$3:$S$910,4,FALSE)),0,VLOOKUP($A604,'Mutasi Neraca'!$A$3:$S$910,4,FALSE))</f>
        <v>2430736000</v>
      </c>
      <c r="F604" s="42">
        <f>VLOOKUP($A604,'Neraca Unaudited SIMAK'!$A$2:$R$1272,5,FALSE)+IF(ISNA(VLOOKUP($A604,'Mutasi Neraca'!$A$3:$S$910,5,FALSE)),0,VLOOKUP($A604,'Mutasi Neraca'!$A$3:$S$910,5,FALSE))</f>
        <v>1491153705</v>
      </c>
      <c r="G604" s="42">
        <f>VLOOKUP($A604,'Neraca Unaudited SIMAK'!$A$2:$R$1272,6,FALSE)+IF(ISNA(VLOOKUP($A604,'Mutasi Neraca'!$A$3:$S$910,6,FALSE)),0,VLOOKUP($A604,'Mutasi Neraca'!$A$3:$S$910,6,FALSE))</f>
        <v>4019618300</v>
      </c>
      <c r="H604" s="42">
        <f>VLOOKUP($A604,'Neraca Unaudited SIMAK'!$A$2:$R$1272,7,FALSE)+IF(ISNA(VLOOKUP($A604,'Mutasi Neraca'!$A$3:$S$910,7,FALSE)),0,VLOOKUP($A604,'Mutasi Neraca'!$A$3:$S$910,7,FALSE))</f>
        <v>0</v>
      </c>
      <c r="I604" s="42">
        <f>VLOOKUP($A604,'Neraca Unaudited SIMAK'!$A$2:$R$1272,8,FALSE)+IF(ISNA(VLOOKUP($A604,'Mutasi Neraca'!$A$3:$S$910,8,FALSE)),0,VLOOKUP($A604,'Mutasi Neraca'!$A$3:$S$910,8,FALSE))</f>
        <v>35037900</v>
      </c>
      <c r="J604" s="42">
        <f>VLOOKUP($A604,'Neraca Unaudited SIMAK'!$A$2:$R$1272,9,FALSE)+IF(ISNA(VLOOKUP($A604,'Mutasi Neraca'!$A$3:$S$910,9,FALSE)),0,VLOOKUP($A604,'Mutasi Neraca'!$A$3:$S$910,9,FALSE))</f>
        <v>0</v>
      </c>
      <c r="K604" s="42">
        <f>VLOOKUP($A604,'Neraca Unaudited SIMAK'!$A$2:$R$1272,10,FALSE)+IF(ISNA(VLOOKUP($A604,'Mutasi Neraca'!$A$3:$S$910,10,FALSE)),0,VLOOKUP($A604,'Mutasi Neraca'!$A$3:$S$910,10,FALSE))</f>
        <v>6000000</v>
      </c>
      <c r="L604" s="42">
        <f>VLOOKUP($A604,'Neraca Unaudited SIMAK'!$A$2:$R$1272,11,FALSE)+IF(ISNA(VLOOKUP($A604,'Mutasi Neraca'!$A$3:$S$910,11,FALSE)),0,VLOOKUP($A604,'Mutasi Neraca'!$A$3:$S$910,11,FALSE))</f>
        <v>365010</v>
      </c>
      <c r="M604" s="42">
        <f>VLOOKUP($A604,'Neraca Unaudited SIMAK'!$A$2:$R$1272,12,FALSE)+IF(ISNA(VLOOKUP($A604,'Mutasi Neraca'!$A$3:$S$910,12,FALSE)),0,VLOOKUP($A604,'Mutasi Neraca'!$A$3:$S$910,12,FALSE))</f>
        <v>7983255915</v>
      </c>
      <c r="N604" s="42">
        <f>VLOOKUP($A604,'Neraca Unaudited SIMAK'!$A$2:$R$1272,13,FALSE)+IF(ISNA(VLOOKUP($A604,'Mutasi Neraca'!$A$3:$S$910,13,FALSE)),0,VLOOKUP($A604,'Mutasi Neraca'!$A$3:$S$910,13,FALSE))</f>
        <v>-1316733177</v>
      </c>
      <c r="O604" s="42">
        <f>VLOOKUP($A604,'Neraca Unaudited SIMAK'!$A$2:$R$1272,14,FALSE)+IF(ISNA(VLOOKUP($A604,'Mutasi Neraca'!$A$3:$S$910,14,FALSE)),0,VLOOKUP($A604,'Mutasi Neraca'!$A$3:$S$910,14,FALSE))</f>
        <v>-583501005</v>
      </c>
      <c r="P604" s="42">
        <f>VLOOKUP($A604,'Neraca Unaudited SIMAK'!$A$2:$R$1272,15,FALSE)+IF(ISNA(VLOOKUP($A604,'Mutasi Neraca'!$A$3:$S$910,15,FALSE)),0,VLOOKUP($A604,'Mutasi Neraca'!$A$3:$S$910,15,FALSE))</f>
        <v>0</v>
      </c>
      <c r="Q604" s="42">
        <f>VLOOKUP($A604,'Neraca Unaudited SIMAK'!$A$2:$R$1272,16,FALSE)+IF(ISNA(VLOOKUP($A604,'Mutasi Neraca'!$A$3:$S$910,16,FALSE)),0,VLOOKUP($A604,'Mutasi Neraca'!$A$3:$S$910,16,FALSE))</f>
        <v>0</v>
      </c>
      <c r="R604" s="42">
        <f>VLOOKUP($A604,'Neraca Unaudited SIMAK'!$A$2:$R$1272,17,FALSE)+IF(ISNA(VLOOKUP($A604,'Mutasi Neraca'!$A$3:$S$910,17,FALSE)),0,VLOOKUP($A604,'Mutasi Neraca'!$A$3:$S$910,17,FALSE))</f>
        <v>-365010</v>
      </c>
      <c r="S604" s="42">
        <f t="shared" si="61"/>
        <v>6082656723</v>
      </c>
    </row>
    <row r="605" spans="1:19">
      <c r="A605" s="41" t="s">
        <v>612</v>
      </c>
      <c r="B605" s="41" t="str">
        <f t="shared" si="60"/>
        <v>005011900</v>
      </c>
      <c r="D605" s="42">
        <f>VLOOKUP($A605,'Neraca Unaudited SIMAK'!$A$2:$R$1272,3,FALSE)+IF(ISNA(VLOOKUP($A605,'Mutasi Neraca'!$A$3:$S$910,3,FALSE)),0,VLOOKUP($A605,'Mutasi Neraca'!$A$3:$S$910,3,FALSE))</f>
        <v>69500</v>
      </c>
      <c r="E605" s="42">
        <f>VLOOKUP($A605,'Neraca Unaudited SIMAK'!$A$2:$R$1272,4,FALSE)+IF(ISNA(VLOOKUP($A605,'Mutasi Neraca'!$A$3:$S$910,4,FALSE)),0,VLOOKUP($A605,'Mutasi Neraca'!$A$3:$S$910,4,FALSE))</f>
        <v>1582240000</v>
      </c>
      <c r="F605" s="42">
        <f>VLOOKUP($A605,'Neraca Unaudited SIMAK'!$A$2:$R$1272,5,FALSE)+IF(ISNA(VLOOKUP($A605,'Mutasi Neraca'!$A$3:$S$910,5,FALSE)),0,VLOOKUP($A605,'Mutasi Neraca'!$A$3:$S$910,5,FALSE))</f>
        <v>1600323065</v>
      </c>
      <c r="G605" s="42">
        <f>VLOOKUP($A605,'Neraca Unaudited SIMAK'!$A$2:$R$1272,6,FALSE)+IF(ISNA(VLOOKUP($A605,'Mutasi Neraca'!$A$3:$S$910,6,FALSE)),0,VLOOKUP($A605,'Mutasi Neraca'!$A$3:$S$910,6,FALSE))</f>
        <v>4642914000</v>
      </c>
      <c r="H605" s="42">
        <f>VLOOKUP($A605,'Neraca Unaudited SIMAK'!$A$2:$R$1272,7,FALSE)+IF(ISNA(VLOOKUP($A605,'Mutasi Neraca'!$A$3:$S$910,7,FALSE)),0,VLOOKUP($A605,'Mutasi Neraca'!$A$3:$S$910,7,FALSE))</f>
        <v>0</v>
      </c>
      <c r="I605" s="42">
        <f>VLOOKUP($A605,'Neraca Unaudited SIMAK'!$A$2:$R$1272,8,FALSE)+IF(ISNA(VLOOKUP($A605,'Mutasi Neraca'!$A$3:$S$910,8,FALSE)),0,VLOOKUP($A605,'Mutasi Neraca'!$A$3:$S$910,8,FALSE))</f>
        <v>14427570</v>
      </c>
      <c r="J605" s="42">
        <f>VLOOKUP($A605,'Neraca Unaudited SIMAK'!$A$2:$R$1272,9,FALSE)+IF(ISNA(VLOOKUP($A605,'Mutasi Neraca'!$A$3:$S$910,9,FALSE)),0,VLOOKUP($A605,'Mutasi Neraca'!$A$3:$S$910,9,FALSE))</f>
        <v>0</v>
      </c>
      <c r="K605" s="42">
        <f>VLOOKUP($A605,'Neraca Unaudited SIMAK'!$A$2:$R$1272,10,FALSE)+IF(ISNA(VLOOKUP($A605,'Mutasi Neraca'!$A$3:$S$910,10,FALSE)),0,VLOOKUP($A605,'Mutasi Neraca'!$A$3:$S$910,10,FALSE))</f>
        <v>0</v>
      </c>
      <c r="L605" s="42">
        <f>VLOOKUP($A605,'Neraca Unaudited SIMAK'!$A$2:$R$1272,11,FALSE)+IF(ISNA(VLOOKUP($A605,'Mutasi Neraca'!$A$3:$S$910,11,FALSE)),0,VLOOKUP($A605,'Mutasi Neraca'!$A$3:$S$910,11,FALSE))</f>
        <v>14500000</v>
      </c>
      <c r="M605" s="42">
        <f>VLOOKUP($A605,'Neraca Unaudited SIMAK'!$A$2:$R$1272,12,FALSE)+IF(ISNA(VLOOKUP($A605,'Mutasi Neraca'!$A$3:$S$910,12,FALSE)),0,VLOOKUP($A605,'Mutasi Neraca'!$A$3:$S$910,12,FALSE))</f>
        <v>7854474135</v>
      </c>
      <c r="N605" s="42">
        <f>VLOOKUP($A605,'Neraca Unaudited SIMAK'!$A$2:$R$1272,13,FALSE)+IF(ISNA(VLOOKUP($A605,'Mutasi Neraca'!$A$3:$S$910,13,FALSE)),0,VLOOKUP($A605,'Mutasi Neraca'!$A$3:$S$910,13,FALSE))</f>
        <v>-1362044865</v>
      </c>
      <c r="O605" s="42">
        <f>VLOOKUP($A605,'Neraca Unaudited SIMAK'!$A$2:$R$1272,14,FALSE)+IF(ISNA(VLOOKUP($A605,'Mutasi Neraca'!$A$3:$S$910,14,FALSE)),0,VLOOKUP($A605,'Mutasi Neraca'!$A$3:$S$910,14,FALSE))</f>
        <v>-744096220</v>
      </c>
      <c r="P605" s="42">
        <f>VLOOKUP($A605,'Neraca Unaudited SIMAK'!$A$2:$R$1272,15,FALSE)+IF(ISNA(VLOOKUP($A605,'Mutasi Neraca'!$A$3:$S$910,15,FALSE)),0,VLOOKUP($A605,'Mutasi Neraca'!$A$3:$S$910,15,FALSE))</f>
        <v>0</v>
      </c>
      <c r="Q605" s="42">
        <f>VLOOKUP($A605,'Neraca Unaudited SIMAK'!$A$2:$R$1272,16,FALSE)+IF(ISNA(VLOOKUP($A605,'Mutasi Neraca'!$A$3:$S$910,16,FALSE)),0,VLOOKUP($A605,'Mutasi Neraca'!$A$3:$S$910,16,FALSE))</f>
        <v>0</v>
      </c>
      <c r="R605" s="42">
        <f>VLOOKUP($A605,'Neraca Unaudited SIMAK'!$A$2:$R$1272,17,FALSE)+IF(ISNA(VLOOKUP($A605,'Mutasi Neraca'!$A$3:$S$910,17,FALSE)),0,VLOOKUP($A605,'Mutasi Neraca'!$A$3:$S$910,17,FALSE))</f>
        <v>-14500000</v>
      </c>
      <c r="S605" s="42">
        <f t="shared" si="61"/>
        <v>5733833050</v>
      </c>
    </row>
    <row r="606" spans="1:19">
      <c r="A606" s="41" t="s">
        <v>613</v>
      </c>
      <c r="B606" s="41" t="str">
        <f t="shared" si="60"/>
        <v>005011900</v>
      </c>
      <c r="D606" s="42">
        <f>VLOOKUP($A606,'Neraca Unaudited SIMAK'!$A$2:$R$1272,3,FALSE)+IF(ISNA(VLOOKUP($A606,'Mutasi Neraca'!$A$3:$S$910,3,FALSE)),0,VLOOKUP($A606,'Mutasi Neraca'!$A$3:$S$910,3,FALSE))</f>
        <v>780000</v>
      </c>
      <c r="E606" s="42">
        <f>VLOOKUP($A606,'Neraca Unaudited SIMAK'!$A$2:$R$1272,4,FALSE)+IF(ISNA(VLOOKUP($A606,'Mutasi Neraca'!$A$3:$S$910,4,FALSE)),0,VLOOKUP($A606,'Mutasi Neraca'!$A$3:$S$910,4,FALSE))</f>
        <v>301000000</v>
      </c>
      <c r="F606" s="42">
        <f>VLOOKUP($A606,'Neraca Unaudited SIMAK'!$A$2:$R$1272,5,FALSE)+IF(ISNA(VLOOKUP($A606,'Mutasi Neraca'!$A$3:$S$910,5,FALSE)),0,VLOOKUP($A606,'Mutasi Neraca'!$A$3:$S$910,5,FALSE))</f>
        <v>1283762601</v>
      </c>
      <c r="G606" s="42">
        <f>VLOOKUP($A606,'Neraca Unaudited SIMAK'!$A$2:$R$1272,6,FALSE)+IF(ISNA(VLOOKUP($A606,'Mutasi Neraca'!$A$3:$S$910,6,FALSE)),0,VLOOKUP($A606,'Mutasi Neraca'!$A$3:$S$910,6,FALSE))</f>
        <v>3488592650</v>
      </c>
      <c r="H606" s="42">
        <f>VLOOKUP($A606,'Neraca Unaudited SIMAK'!$A$2:$R$1272,7,FALSE)+IF(ISNA(VLOOKUP($A606,'Mutasi Neraca'!$A$3:$S$910,7,FALSE)),0,VLOOKUP($A606,'Mutasi Neraca'!$A$3:$S$910,7,FALSE))</f>
        <v>34990000</v>
      </c>
      <c r="I606" s="42">
        <f>VLOOKUP($A606,'Neraca Unaudited SIMAK'!$A$2:$R$1272,8,FALSE)+IF(ISNA(VLOOKUP($A606,'Mutasi Neraca'!$A$3:$S$910,8,FALSE)),0,VLOOKUP($A606,'Mutasi Neraca'!$A$3:$S$910,8,FALSE))</f>
        <v>0</v>
      </c>
      <c r="J606" s="42">
        <f>VLOOKUP($A606,'Neraca Unaudited SIMAK'!$A$2:$R$1272,9,FALSE)+IF(ISNA(VLOOKUP($A606,'Mutasi Neraca'!$A$3:$S$910,9,FALSE)),0,VLOOKUP($A606,'Mutasi Neraca'!$A$3:$S$910,9,FALSE))</f>
        <v>0</v>
      </c>
      <c r="K606" s="42">
        <f>VLOOKUP($A606,'Neraca Unaudited SIMAK'!$A$2:$R$1272,10,FALSE)+IF(ISNA(VLOOKUP($A606,'Mutasi Neraca'!$A$3:$S$910,10,FALSE)),0,VLOOKUP($A606,'Mutasi Neraca'!$A$3:$S$910,10,FALSE))</f>
        <v>0</v>
      </c>
      <c r="L606" s="42">
        <f>VLOOKUP($A606,'Neraca Unaudited SIMAK'!$A$2:$R$1272,11,FALSE)+IF(ISNA(VLOOKUP($A606,'Mutasi Neraca'!$A$3:$S$910,11,FALSE)),0,VLOOKUP($A606,'Mutasi Neraca'!$A$3:$S$910,11,FALSE))</f>
        <v>184808907</v>
      </c>
      <c r="M606" s="42">
        <f>VLOOKUP($A606,'Neraca Unaudited SIMAK'!$A$2:$R$1272,12,FALSE)+IF(ISNA(VLOOKUP($A606,'Mutasi Neraca'!$A$3:$S$910,12,FALSE)),0,VLOOKUP($A606,'Mutasi Neraca'!$A$3:$S$910,12,FALSE))</f>
        <v>5293934158</v>
      </c>
      <c r="N606" s="42">
        <f>VLOOKUP($A606,'Neraca Unaudited SIMAK'!$A$2:$R$1272,13,FALSE)+IF(ISNA(VLOOKUP($A606,'Mutasi Neraca'!$A$3:$S$910,13,FALSE)),0,VLOOKUP($A606,'Mutasi Neraca'!$A$3:$S$910,13,FALSE))</f>
        <v>-1095609392</v>
      </c>
      <c r="O606" s="42">
        <f>VLOOKUP($A606,'Neraca Unaudited SIMAK'!$A$2:$R$1272,14,FALSE)+IF(ISNA(VLOOKUP($A606,'Mutasi Neraca'!$A$3:$S$910,14,FALSE)),0,VLOOKUP($A606,'Mutasi Neraca'!$A$3:$S$910,14,FALSE))</f>
        <v>-696154401</v>
      </c>
      <c r="P606" s="42">
        <f>VLOOKUP($A606,'Neraca Unaudited SIMAK'!$A$2:$R$1272,15,FALSE)+IF(ISNA(VLOOKUP($A606,'Mutasi Neraca'!$A$3:$S$910,15,FALSE)),0,VLOOKUP($A606,'Mutasi Neraca'!$A$3:$S$910,15,FALSE))</f>
        <v>-5373625</v>
      </c>
      <c r="Q606" s="42">
        <f>VLOOKUP($A606,'Neraca Unaudited SIMAK'!$A$2:$R$1272,16,FALSE)+IF(ISNA(VLOOKUP($A606,'Mutasi Neraca'!$A$3:$S$910,16,FALSE)),0,VLOOKUP($A606,'Mutasi Neraca'!$A$3:$S$910,16,FALSE))</f>
        <v>0</v>
      </c>
      <c r="R606" s="42">
        <f>VLOOKUP($A606,'Neraca Unaudited SIMAK'!$A$2:$R$1272,17,FALSE)+IF(ISNA(VLOOKUP($A606,'Mutasi Neraca'!$A$3:$S$910,17,FALSE)),0,VLOOKUP($A606,'Mutasi Neraca'!$A$3:$S$910,17,FALSE))</f>
        <v>-184808907</v>
      </c>
      <c r="S606" s="42">
        <f t="shared" si="61"/>
        <v>3311987833</v>
      </c>
    </row>
    <row r="607" spans="1:19">
      <c r="A607" s="41" t="s">
        <v>614</v>
      </c>
      <c r="B607" s="41" t="str">
        <f t="shared" si="60"/>
        <v>005011900</v>
      </c>
      <c r="D607" s="42">
        <f>VLOOKUP($A607,'Neraca Unaudited SIMAK'!$A$2:$R$1272,3,FALSE)+IF(ISNA(VLOOKUP($A607,'Mutasi Neraca'!$A$3:$S$910,3,FALSE)),0,VLOOKUP($A607,'Mutasi Neraca'!$A$3:$S$910,3,FALSE))</f>
        <v>461000</v>
      </c>
      <c r="E607" s="42">
        <f>VLOOKUP($A607,'Neraca Unaudited SIMAK'!$A$2:$R$1272,4,FALSE)+IF(ISNA(VLOOKUP($A607,'Mutasi Neraca'!$A$3:$S$910,4,FALSE)),0,VLOOKUP($A607,'Mutasi Neraca'!$A$3:$S$910,4,FALSE))</f>
        <v>1889500600</v>
      </c>
      <c r="F607" s="42">
        <f>VLOOKUP($A607,'Neraca Unaudited SIMAK'!$A$2:$R$1272,5,FALSE)+IF(ISNA(VLOOKUP($A607,'Mutasi Neraca'!$A$3:$S$910,5,FALSE)),0,VLOOKUP($A607,'Mutasi Neraca'!$A$3:$S$910,5,FALSE))</f>
        <v>1363015165</v>
      </c>
      <c r="G607" s="42">
        <f>VLOOKUP($A607,'Neraca Unaudited SIMAK'!$A$2:$R$1272,6,FALSE)+IF(ISNA(VLOOKUP($A607,'Mutasi Neraca'!$A$3:$S$910,6,FALSE)),0,VLOOKUP($A607,'Mutasi Neraca'!$A$3:$S$910,6,FALSE))</f>
        <v>3292239500</v>
      </c>
      <c r="H607" s="42">
        <f>VLOOKUP($A607,'Neraca Unaudited SIMAK'!$A$2:$R$1272,7,FALSE)+IF(ISNA(VLOOKUP($A607,'Mutasi Neraca'!$A$3:$S$910,7,FALSE)),0,VLOOKUP($A607,'Mutasi Neraca'!$A$3:$S$910,7,FALSE))</f>
        <v>0</v>
      </c>
      <c r="I607" s="42">
        <f>VLOOKUP($A607,'Neraca Unaudited SIMAK'!$A$2:$R$1272,8,FALSE)+IF(ISNA(VLOOKUP($A607,'Mutasi Neraca'!$A$3:$S$910,8,FALSE)),0,VLOOKUP($A607,'Mutasi Neraca'!$A$3:$S$910,8,FALSE))</f>
        <v>22940170</v>
      </c>
      <c r="J607" s="42">
        <f>VLOOKUP($A607,'Neraca Unaudited SIMAK'!$A$2:$R$1272,9,FALSE)+IF(ISNA(VLOOKUP($A607,'Mutasi Neraca'!$A$3:$S$910,9,FALSE)),0,VLOOKUP($A607,'Mutasi Neraca'!$A$3:$S$910,9,FALSE))</f>
        <v>0</v>
      </c>
      <c r="K607" s="42">
        <f>VLOOKUP($A607,'Neraca Unaudited SIMAK'!$A$2:$R$1272,10,FALSE)+IF(ISNA(VLOOKUP($A607,'Mutasi Neraca'!$A$3:$S$910,10,FALSE)),0,VLOOKUP($A607,'Mutasi Neraca'!$A$3:$S$910,10,FALSE))</f>
        <v>0</v>
      </c>
      <c r="L607" s="42">
        <f>VLOOKUP($A607,'Neraca Unaudited SIMAK'!$A$2:$R$1272,11,FALSE)+IF(ISNA(VLOOKUP($A607,'Mutasi Neraca'!$A$3:$S$910,11,FALSE)),0,VLOOKUP($A607,'Mutasi Neraca'!$A$3:$S$910,11,FALSE))</f>
        <v>210319100</v>
      </c>
      <c r="M607" s="42">
        <f>VLOOKUP($A607,'Neraca Unaudited SIMAK'!$A$2:$R$1272,12,FALSE)+IF(ISNA(VLOOKUP($A607,'Mutasi Neraca'!$A$3:$S$910,12,FALSE)),0,VLOOKUP($A607,'Mutasi Neraca'!$A$3:$S$910,12,FALSE))</f>
        <v>6778475535</v>
      </c>
      <c r="N607" s="42">
        <f>VLOOKUP($A607,'Neraca Unaudited SIMAK'!$A$2:$R$1272,13,FALSE)+IF(ISNA(VLOOKUP($A607,'Mutasi Neraca'!$A$3:$S$910,13,FALSE)),0,VLOOKUP($A607,'Mutasi Neraca'!$A$3:$S$910,13,FALSE))</f>
        <v>-1030465315</v>
      </c>
      <c r="O607" s="42">
        <f>VLOOKUP($A607,'Neraca Unaudited SIMAK'!$A$2:$R$1272,14,FALSE)+IF(ISNA(VLOOKUP($A607,'Mutasi Neraca'!$A$3:$S$910,14,FALSE)),0,VLOOKUP($A607,'Mutasi Neraca'!$A$3:$S$910,14,FALSE))</f>
        <v>-423666580</v>
      </c>
      <c r="P607" s="42">
        <f>VLOOKUP($A607,'Neraca Unaudited SIMAK'!$A$2:$R$1272,15,FALSE)+IF(ISNA(VLOOKUP($A607,'Mutasi Neraca'!$A$3:$S$910,15,FALSE)),0,VLOOKUP($A607,'Mutasi Neraca'!$A$3:$S$910,15,FALSE))</f>
        <v>0</v>
      </c>
      <c r="Q607" s="42">
        <f>VLOOKUP($A607,'Neraca Unaudited SIMAK'!$A$2:$R$1272,16,FALSE)+IF(ISNA(VLOOKUP($A607,'Mutasi Neraca'!$A$3:$S$910,16,FALSE)),0,VLOOKUP($A607,'Mutasi Neraca'!$A$3:$S$910,16,FALSE))</f>
        <v>0</v>
      </c>
      <c r="R607" s="42">
        <f>VLOOKUP($A607,'Neraca Unaudited SIMAK'!$A$2:$R$1272,17,FALSE)+IF(ISNA(VLOOKUP($A607,'Mutasi Neraca'!$A$3:$S$910,17,FALSE)),0,VLOOKUP($A607,'Mutasi Neraca'!$A$3:$S$910,17,FALSE))</f>
        <v>-205824275</v>
      </c>
      <c r="S607" s="42">
        <f t="shared" si="61"/>
        <v>5118519365</v>
      </c>
    </row>
    <row r="608" spans="1:19">
      <c r="A608" s="41" t="s">
        <v>615</v>
      </c>
      <c r="B608" s="41" t="str">
        <f t="shared" si="60"/>
        <v>005011900</v>
      </c>
      <c r="D608" s="42">
        <f>VLOOKUP($A608,'Neraca Unaudited SIMAK'!$A$2:$R$1272,3,FALSE)+IF(ISNA(VLOOKUP($A608,'Mutasi Neraca'!$A$3:$S$910,3,FALSE)),0,VLOOKUP($A608,'Mutasi Neraca'!$A$3:$S$910,3,FALSE))</f>
        <v>95000</v>
      </c>
      <c r="E608" s="42">
        <f>VLOOKUP($A608,'Neraca Unaudited SIMAK'!$A$2:$R$1272,4,FALSE)+IF(ISNA(VLOOKUP($A608,'Mutasi Neraca'!$A$3:$S$910,4,FALSE)),0,VLOOKUP($A608,'Mutasi Neraca'!$A$3:$S$910,4,FALSE))</f>
        <v>677556000</v>
      </c>
      <c r="F608" s="42">
        <f>VLOOKUP($A608,'Neraca Unaudited SIMAK'!$A$2:$R$1272,5,FALSE)+IF(ISNA(VLOOKUP($A608,'Mutasi Neraca'!$A$3:$S$910,5,FALSE)),0,VLOOKUP($A608,'Mutasi Neraca'!$A$3:$S$910,5,FALSE))</f>
        <v>1137707882</v>
      </c>
      <c r="G608" s="42">
        <f>VLOOKUP($A608,'Neraca Unaudited SIMAK'!$A$2:$R$1272,6,FALSE)+IF(ISNA(VLOOKUP($A608,'Mutasi Neraca'!$A$3:$S$910,6,FALSE)),0,VLOOKUP($A608,'Mutasi Neraca'!$A$3:$S$910,6,FALSE))</f>
        <v>3566030650</v>
      </c>
      <c r="H608" s="42">
        <f>VLOOKUP($A608,'Neraca Unaudited SIMAK'!$A$2:$R$1272,7,FALSE)+IF(ISNA(VLOOKUP($A608,'Mutasi Neraca'!$A$3:$S$910,7,FALSE)),0,VLOOKUP($A608,'Mutasi Neraca'!$A$3:$S$910,7,FALSE))</f>
        <v>69200000</v>
      </c>
      <c r="I608" s="42">
        <f>VLOOKUP($A608,'Neraca Unaudited SIMAK'!$A$2:$R$1272,8,FALSE)+IF(ISNA(VLOOKUP($A608,'Mutasi Neraca'!$A$3:$S$910,8,FALSE)),0,VLOOKUP($A608,'Mutasi Neraca'!$A$3:$S$910,8,FALSE))</f>
        <v>16629235</v>
      </c>
      <c r="J608" s="42">
        <f>VLOOKUP($A608,'Neraca Unaudited SIMAK'!$A$2:$R$1272,9,FALSE)+IF(ISNA(VLOOKUP($A608,'Mutasi Neraca'!$A$3:$S$910,9,FALSE)),0,VLOOKUP($A608,'Mutasi Neraca'!$A$3:$S$910,9,FALSE))</f>
        <v>0</v>
      </c>
      <c r="K608" s="42">
        <f>VLOOKUP($A608,'Neraca Unaudited SIMAK'!$A$2:$R$1272,10,FALSE)+IF(ISNA(VLOOKUP($A608,'Mutasi Neraca'!$A$3:$S$910,10,FALSE)),0,VLOOKUP($A608,'Mutasi Neraca'!$A$3:$S$910,10,FALSE))</f>
        <v>0</v>
      </c>
      <c r="L608" s="42">
        <f>VLOOKUP($A608,'Neraca Unaudited SIMAK'!$A$2:$R$1272,11,FALSE)+IF(ISNA(VLOOKUP($A608,'Mutasi Neraca'!$A$3:$S$910,11,FALSE)),0,VLOOKUP($A608,'Mutasi Neraca'!$A$3:$S$910,11,FALSE))</f>
        <v>0</v>
      </c>
      <c r="M608" s="42">
        <f>VLOOKUP($A608,'Neraca Unaudited SIMAK'!$A$2:$R$1272,12,FALSE)+IF(ISNA(VLOOKUP($A608,'Mutasi Neraca'!$A$3:$S$910,12,FALSE)),0,VLOOKUP($A608,'Mutasi Neraca'!$A$3:$S$910,12,FALSE))</f>
        <v>5467218767</v>
      </c>
      <c r="N608" s="42">
        <f>VLOOKUP($A608,'Neraca Unaudited SIMAK'!$A$2:$R$1272,13,FALSE)+IF(ISNA(VLOOKUP($A608,'Mutasi Neraca'!$A$3:$S$910,13,FALSE)),0,VLOOKUP($A608,'Mutasi Neraca'!$A$3:$S$910,13,FALSE))</f>
        <v>-952385253</v>
      </c>
      <c r="O608" s="42">
        <f>VLOOKUP($A608,'Neraca Unaudited SIMAK'!$A$2:$R$1272,14,FALSE)+IF(ISNA(VLOOKUP($A608,'Mutasi Neraca'!$A$3:$S$910,14,FALSE)),0,VLOOKUP($A608,'Mutasi Neraca'!$A$3:$S$910,14,FALSE))</f>
        <v>-489503025</v>
      </c>
      <c r="P608" s="42">
        <f>VLOOKUP($A608,'Neraca Unaudited SIMAK'!$A$2:$R$1272,15,FALSE)+IF(ISNA(VLOOKUP($A608,'Mutasi Neraca'!$A$3:$S$910,15,FALSE)),0,VLOOKUP($A608,'Mutasi Neraca'!$A$3:$S$910,15,FALSE))</f>
        <v>-10380000</v>
      </c>
      <c r="Q608" s="42">
        <f>VLOOKUP($A608,'Neraca Unaudited SIMAK'!$A$2:$R$1272,16,FALSE)+IF(ISNA(VLOOKUP($A608,'Mutasi Neraca'!$A$3:$S$910,16,FALSE)),0,VLOOKUP($A608,'Mutasi Neraca'!$A$3:$S$910,16,FALSE))</f>
        <v>0</v>
      </c>
      <c r="R608" s="42">
        <f>VLOOKUP($A608,'Neraca Unaudited SIMAK'!$A$2:$R$1272,17,FALSE)+IF(ISNA(VLOOKUP($A608,'Mutasi Neraca'!$A$3:$S$910,17,FALSE)),0,VLOOKUP($A608,'Mutasi Neraca'!$A$3:$S$910,17,FALSE))</f>
        <v>0</v>
      </c>
      <c r="S608" s="42">
        <f t="shared" si="61"/>
        <v>4014950489</v>
      </c>
    </row>
    <row r="609" spans="1:19">
      <c r="A609" s="41" t="s">
        <v>616</v>
      </c>
      <c r="B609" s="41" t="str">
        <f t="shared" si="60"/>
        <v>005011900</v>
      </c>
      <c r="D609" s="42">
        <f>VLOOKUP($A609,'Neraca Unaudited SIMAK'!$A$2:$R$1272,3,FALSE)+IF(ISNA(VLOOKUP($A609,'Mutasi Neraca'!$A$3:$S$910,3,FALSE)),0,VLOOKUP($A609,'Mutasi Neraca'!$A$3:$S$910,3,FALSE))</f>
        <v>83000</v>
      </c>
      <c r="E609" s="42">
        <f>VLOOKUP($A609,'Neraca Unaudited SIMAK'!$A$2:$R$1272,4,FALSE)+IF(ISNA(VLOOKUP($A609,'Mutasi Neraca'!$A$3:$S$910,4,FALSE)),0,VLOOKUP($A609,'Mutasi Neraca'!$A$3:$S$910,4,FALSE))</f>
        <v>1287200000</v>
      </c>
      <c r="F609" s="42">
        <f>VLOOKUP($A609,'Neraca Unaudited SIMAK'!$A$2:$R$1272,5,FALSE)+IF(ISNA(VLOOKUP($A609,'Mutasi Neraca'!$A$3:$S$910,5,FALSE)),0,VLOOKUP($A609,'Mutasi Neraca'!$A$3:$S$910,5,FALSE))</f>
        <v>1593813554</v>
      </c>
      <c r="G609" s="42">
        <f>VLOOKUP($A609,'Neraca Unaudited SIMAK'!$A$2:$R$1272,6,FALSE)+IF(ISNA(VLOOKUP($A609,'Mutasi Neraca'!$A$3:$S$910,6,FALSE)),0,VLOOKUP($A609,'Mutasi Neraca'!$A$3:$S$910,6,FALSE))</f>
        <v>4067617900</v>
      </c>
      <c r="H609" s="42">
        <f>VLOOKUP($A609,'Neraca Unaudited SIMAK'!$A$2:$R$1272,7,FALSE)+IF(ISNA(VLOOKUP($A609,'Mutasi Neraca'!$A$3:$S$910,7,FALSE)),0,VLOOKUP($A609,'Mutasi Neraca'!$A$3:$S$910,7,FALSE))</f>
        <v>0</v>
      </c>
      <c r="I609" s="42">
        <f>VLOOKUP($A609,'Neraca Unaudited SIMAK'!$A$2:$R$1272,8,FALSE)+IF(ISNA(VLOOKUP($A609,'Mutasi Neraca'!$A$3:$S$910,8,FALSE)),0,VLOOKUP($A609,'Mutasi Neraca'!$A$3:$S$910,8,FALSE))</f>
        <v>4941048</v>
      </c>
      <c r="J609" s="42">
        <f>VLOOKUP($A609,'Neraca Unaudited SIMAK'!$A$2:$R$1272,9,FALSE)+IF(ISNA(VLOOKUP($A609,'Mutasi Neraca'!$A$3:$S$910,9,FALSE)),0,VLOOKUP($A609,'Mutasi Neraca'!$A$3:$S$910,9,FALSE))</f>
        <v>0</v>
      </c>
      <c r="K609" s="42">
        <f>VLOOKUP($A609,'Neraca Unaudited SIMAK'!$A$2:$R$1272,10,FALSE)+IF(ISNA(VLOOKUP($A609,'Mutasi Neraca'!$A$3:$S$910,10,FALSE)),0,VLOOKUP($A609,'Mutasi Neraca'!$A$3:$S$910,10,FALSE))</f>
        <v>0</v>
      </c>
      <c r="L609" s="42">
        <f>VLOOKUP($A609,'Neraca Unaudited SIMAK'!$A$2:$R$1272,11,FALSE)+IF(ISNA(VLOOKUP($A609,'Mutasi Neraca'!$A$3:$S$910,11,FALSE)),0,VLOOKUP($A609,'Mutasi Neraca'!$A$3:$S$910,11,FALSE))</f>
        <v>0</v>
      </c>
      <c r="M609" s="42">
        <f>VLOOKUP($A609,'Neraca Unaudited SIMAK'!$A$2:$R$1272,12,FALSE)+IF(ISNA(VLOOKUP($A609,'Mutasi Neraca'!$A$3:$S$910,12,FALSE)),0,VLOOKUP($A609,'Mutasi Neraca'!$A$3:$S$910,12,FALSE))</f>
        <v>6953655502</v>
      </c>
      <c r="N609" s="42">
        <f>VLOOKUP($A609,'Neraca Unaudited SIMAK'!$A$2:$R$1272,13,FALSE)+IF(ISNA(VLOOKUP($A609,'Mutasi Neraca'!$A$3:$S$910,13,FALSE)),0,VLOOKUP($A609,'Mutasi Neraca'!$A$3:$S$910,13,FALSE))</f>
        <v>-1185917254</v>
      </c>
      <c r="O609" s="42">
        <f>VLOOKUP($A609,'Neraca Unaudited SIMAK'!$A$2:$R$1272,14,FALSE)+IF(ISNA(VLOOKUP($A609,'Mutasi Neraca'!$A$3:$S$910,14,FALSE)),0,VLOOKUP($A609,'Mutasi Neraca'!$A$3:$S$910,14,FALSE))</f>
        <v>-904575970</v>
      </c>
      <c r="P609" s="42">
        <f>VLOOKUP($A609,'Neraca Unaudited SIMAK'!$A$2:$R$1272,15,FALSE)+IF(ISNA(VLOOKUP($A609,'Mutasi Neraca'!$A$3:$S$910,15,FALSE)),0,VLOOKUP($A609,'Mutasi Neraca'!$A$3:$S$910,15,FALSE))</f>
        <v>0</v>
      </c>
      <c r="Q609" s="42">
        <f>VLOOKUP($A609,'Neraca Unaudited SIMAK'!$A$2:$R$1272,16,FALSE)+IF(ISNA(VLOOKUP($A609,'Mutasi Neraca'!$A$3:$S$910,16,FALSE)),0,VLOOKUP($A609,'Mutasi Neraca'!$A$3:$S$910,16,FALSE))</f>
        <v>0</v>
      </c>
      <c r="R609" s="42">
        <f>VLOOKUP($A609,'Neraca Unaudited SIMAK'!$A$2:$R$1272,17,FALSE)+IF(ISNA(VLOOKUP($A609,'Mutasi Neraca'!$A$3:$S$910,17,FALSE)),0,VLOOKUP($A609,'Mutasi Neraca'!$A$3:$S$910,17,FALSE))</f>
        <v>0</v>
      </c>
      <c r="S609" s="42">
        <f t="shared" si="61"/>
        <v>4863162278</v>
      </c>
    </row>
    <row r="610" spans="1:19">
      <c r="A610" s="41" t="s">
        <v>617</v>
      </c>
      <c r="B610" s="41" t="str">
        <f t="shared" si="60"/>
        <v>005011900</v>
      </c>
      <c r="D610" s="42">
        <f>VLOOKUP($A610,'Neraca Unaudited SIMAK'!$A$2:$R$1272,3,FALSE)+IF(ISNA(VLOOKUP($A610,'Mutasi Neraca'!$A$3:$S$910,3,FALSE)),0,VLOOKUP($A610,'Mutasi Neraca'!$A$3:$S$910,3,FALSE))</f>
        <v>551000</v>
      </c>
      <c r="E610" s="42">
        <f>VLOOKUP($A610,'Neraca Unaudited SIMAK'!$A$2:$R$1272,4,FALSE)+IF(ISNA(VLOOKUP($A610,'Mutasi Neraca'!$A$3:$S$910,4,FALSE)),0,VLOOKUP($A610,'Mutasi Neraca'!$A$3:$S$910,4,FALSE))</f>
        <v>874748000</v>
      </c>
      <c r="F610" s="42">
        <f>VLOOKUP($A610,'Neraca Unaudited SIMAK'!$A$2:$R$1272,5,FALSE)+IF(ISNA(VLOOKUP($A610,'Mutasi Neraca'!$A$3:$S$910,5,FALSE)),0,VLOOKUP($A610,'Mutasi Neraca'!$A$3:$S$910,5,FALSE))</f>
        <v>1234651082</v>
      </c>
      <c r="G610" s="42">
        <f>VLOOKUP($A610,'Neraca Unaudited SIMAK'!$A$2:$R$1272,6,FALSE)+IF(ISNA(VLOOKUP($A610,'Mutasi Neraca'!$A$3:$S$910,6,FALSE)),0,VLOOKUP($A610,'Mutasi Neraca'!$A$3:$S$910,6,FALSE))</f>
        <v>3450286525</v>
      </c>
      <c r="H610" s="42">
        <f>VLOOKUP($A610,'Neraca Unaudited SIMAK'!$A$2:$R$1272,7,FALSE)+IF(ISNA(VLOOKUP($A610,'Mutasi Neraca'!$A$3:$S$910,7,FALSE)),0,VLOOKUP($A610,'Mutasi Neraca'!$A$3:$S$910,7,FALSE))</f>
        <v>26870000</v>
      </c>
      <c r="I610" s="42">
        <f>VLOOKUP($A610,'Neraca Unaudited SIMAK'!$A$2:$R$1272,8,FALSE)+IF(ISNA(VLOOKUP($A610,'Mutasi Neraca'!$A$3:$S$910,8,FALSE)),0,VLOOKUP($A610,'Mutasi Neraca'!$A$3:$S$910,8,FALSE))</f>
        <v>0</v>
      </c>
      <c r="J610" s="42">
        <f>VLOOKUP($A610,'Neraca Unaudited SIMAK'!$A$2:$R$1272,9,FALSE)+IF(ISNA(VLOOKUP($A610,'Mutasi Neraca'!$A$3:$S$910,9,FALSE)),0,VLOOKUP($A610,'Mutasi Neraca'!$A$3:$S$910,9,FALSE))</f>
        <v>0</v>
      </c>
      <c r="K610" s="42">
        <f>VLOOKUP($A610,'Neraca Unaudited SIMAK'!$A$2:$R$1272,10,FALSE)+IF(ISNA(VLOOKUP($A610,'Mutasi Neraca'!$A$3:$S$910,10,FALSE)),0,VLOOKUP($A610,'Mutasi Neraca'!$A$3:$S$910,10,FALSE))</f>
        <v>0</v>
      </c>
      <c r="L610" s="42">
        <f>VLOOKUP($A610,'Neraca Unaudited SIMAK'!$A$2:$R$1272,11,FALSE)+IF(ISNA(VLOOKUP($A610,'Mutasi Neraca'!$A$3:$S$910,11,FALSE)),0,VLOOKUP($A610,'Mutasi Neraca'!$A$3:$S$910,11,FALSE))</f>
        <v>153060352</v>
      </c>
      <c r="M610" s="42">
        <f>VLOOKUP($A610,'Neraca Unaudited SIMAK'!$A$2:$R$1272,12,FALSE)+IF(ISNA(VLOOKUP($A610,'Mutasi Neraca'!$A$3:$S$910,12,FALSE)),0,VLOOKUP($A610,'Mutasi Neraca'!$A$3:$S$910,12,FALSE))</f>
        <v>5740166959</v>
      </c>
      <c r="N610" s="42">
        <f>VLOOKUP($A610,'Neraca Unaudited SIMAK'!$A$2:$R$1272,13,FALSE)+IF(ISNA(VLOOKUP($A610,'Mutasi Neraca'!$A$3:$S$910,13,FALSE)),0,VLOOKUP($A610,'Mutasi Neraca'!$A$3:$S$910,13,FALSE))</f>
        <v>-1050615100</v>
      </c>
      <c r="O610" s="42">
        <f>VLOOKUP($A610,'Neraca Unaudited SIMAK'!$A$2:$R$1272,14,FALSE)+IF(ISNA(VLOOKUP($A610,'Mutasi Neraca'!$A$3:$S$910,14,FALSE)),0,VLOOKUP($A610,'Mutasi Neraca'!$A$3:$S$910,14,FALSE))</f>
        <v>-404066106</v>
      </c>
      <c r="P610" s="42">
        <f>VLOOKUP($A610,'Neraca Unaudited SIMAK'!$A$2:$R$1272,15,FALSE)+IF(ISNA(VLOOKUP($A610,'Mutasi Neraca'!$A$3:$S$910,15,FALSE)),0,VLOOKUP($A610,'Mutasi Neraca'!$A$3:$S$910,15,FALSE))</f>
        <v>-16122000</v>
      </c>
      <c r="Q610" s="42">
        <f>VLOOKUP($A610,'Neraca Unaudited SIMAK'!$A$2:$R$1272,16,FALSE)+IF(ISNA(VLOOKUP($A610,'Mutasi Neraca'!$A$3:$S$910,16,FALSE)),0,VLOOKUP($A610,'Mutasi Neraca'!$A$3:$S$910,16,FALSE))</f>
        <v>0</v>
      </c>
      <c r="R610" s="42">
        <f>VLOOKUP($A610,'Neraca Unaudited SIMAK'!$A$2:$R$1272,17,FALSE)+IF(ISNA(VLOOKUP($A610,'Mutasi Neraca'!$A$3:$S$910,17,FALSE)),0,VLOOKUP($A610,'Mutasi Neraca'!$A$3:$S$910,17,FALSE))</f>
        <v>-152269328</v>
      </c>
      <c r="S610" s="42">
        <f t="shared" si="61"/>
        <v>4117094425</v>
      </c>
    </row>
    <row r="611" spans="1:19">
      <c r="A611" s="41" t="s">
        <v>618</v>
      </c>
      <c r="B611" s="41" t="str">
        <f t="shared" si="60"/>
        <v>005011900</v>
      </c>
      <c r="D611" s="42">
        <f>VLOOKUP($A611,'Neraca Unaudited SIMAK'!$A$2:$R$1272,3,FALSE)+IF(ISNA(VLOOKUP($A611,'Mutasi Neraca'!$A$3:$S$910,3,FALSE)),0,VLOOKUP($A611,'Mutasi Neraca'!$A$3:$S$910,3,FALSE))</f>
        <v>351500</v>
      </c>
      <c r="E611" s="42">
        <f>VLOOKUP($A611,'Neraca Unaudited SIMAK'!$A$2:$R$1272,4,FALSE)+IF(ISNA(VLOOKUP($A611,'Mutasi Neraca'!$A$3:$S$910,4,FALSE)),0,VLOOKUP($A611,'Mutasi Neraca'!$A$3:$S$910,4,FALSE))</f>
        <v>1296205000</v>
      </c>
      <c r="F611" s="42">
        <f>VLOOKUP($A611,'Neraca Unaudited SIMAK'!$A$2:$R$1272,5,FALSE)+IF(ISNA(VLOOKUP($A611,'Mutasi Neraca'!$A$3:$S$910,5,FALSE)),0,VLOOKUP($A611,'Mutasi Neraca'!$A$3:$S$910,5,FALSE))</f>
        <v>904669438</v>
      </c>
      <c r="G611" s="42">
        <f>VLOOKUP($A611,'Neraca Unaudited SIMAK'!$A$2:$R$1272,6,FALSE)+IF(ISNA(VLOOKUP($A611,'Mutasi Neraca'!$A$3:$S$910,6,FALSE)),0,VLOOKUP($A611,'Mutasi Neraca'!$A$3:$S$910,6,FALSE))</f>
        <v>4421791168</v>
      </c>
      <c r="H611" s="42">
        <f>VLOOKUP($A611,'Neraca Unaudited SIMAK'!$A$2:$R$1272,7,FALSE)+IF(ISNA(VLOOKUP($A611,'Mutasi Neraca'!$A$3:$S$910,7,FALSE)),0,VLOOKUP($A611,'Mutasi Neraca'!$A$3:$S$910,7,FALSE))</f>
        <v>0</v>
      </c>
      <c r="I611" s="42">
        <f>VLOOKUP($A611,'Neraca Unaudited SIMAK'!$A$2:$R$1272,8,FALSE)+IF(ISNA(VLOOKUP($A611,'Mutasi Neraca'!$A$3:$S$910,8,FALSE)),0,VLOOKUP($A611,'Mutasi Neraca'!$A$3:$S$910,8,FALSE))</f>
        <v>14535000</v>
      </c>
      <c r="J611" s="42">
        <f>VLOOKUP($A611,'Neraca Unaudited SIMAK'!$A$2:$R$1272,9,FALSE)+IF(ISNA(VLOOKUP($A611,'Mutasi Neraca'!$A$3:$S$910,9,FALSE)),0,VLOOKUP($A611,'Mutasi Neraca'!$A$3:$S$910,9,FALSE))</f>
        <v>0</v>
      </c>
      <c r="K611" s="42">
        <f>VLOOKUP($A611,'Neraca Unaudited SIMAK'!$A$2:$R$1272,10,FALSE)+IF(ISNA(VLOOKUP($A611,'Mutasi Neraca'!$A$3:$S$910,10,FALSE)),0,VLOOKUP($A611,'Mutasi Neraca'!$A$3:$S$910,10,FALSE))</f>
        <v>13000000</v>
      </c>
      <c r="L611" s="42">
        <f>VLOOKUP($A611,'Neraca Unaudited SIMAK'!$A$2:$R$1272,11,FALSE)+IF(ISNA(VLOOKUP($A611,'Mutasi Neraca'!$A$3:$S$910,11,FALSE)),0,VLOOKUP($A611,'Mutasi Neraca'!$A$3:$S$910,11,FALSE))</f>
        <v>91796874</v>
      </c>
      <c r="M611" s="42">
        <f>VLOOKUP($A611,'Neraca Unaudited SIMAK'!$A$2:$R$1272,12,FALSE)+IF(ISNA(VLOOKUP($A611,'Mutasi Neraca'!$A$3:$S$910,12,FALSE)),0,VLOOKUP($A611,'Mutasi Neraca'!$A$3:$S$910,12,FALSE))</f>
        <v>6742348980</v>
      </c>
      <c r="N611" s="42">
        <f>VLOOKUP($A611,'Neraca Unaudited SIMAK'!$A$2:$R$1272,13,FALSE)+IF(ISNA(VLOOKUP($A611,'Mutasi Neraca'!$A$3:$S$910,13,FALSE)),0,VLOOKUP($A611,'Mutasi Neraca'!$A$3:$S$910,13,FALSE))</f>
        <v>-730832786</v>
      </c>
      <c r="O611" s="42">
        <f>VLOOKUP($A611,'Neraca Unaudited SIMAK'!$A$2:$R$1272,14,FALSE)+IF(ISNA(VLOOKUP($A611,'Mutasi Neraca'!$A$3:$S$910,14,FALSE)),0,VLOOKUP($A611,'Mutasi Neraca'!$A$3:$S$910,14,FALSE))</f>
        <v>-715804651</v>
      </c>
      <c r="P611" s="42">
        <f>VLOOKUP($A611,'Neraca Unaudited SIMAK'!$A$2:$R$1272,15,FALSE)+IF(ISNA(VLOOKUP($A611,'Mutasi Neraca'!$A$3:$S$910,15,FALSE)),0,VLOOKUP($A611,'Mutasi Neraca'!$A$3:$S$910,15,FALSE))</f>
        <v>0</v>
      </c>
      <c r="Q611" s="42">
        <f>VLOOKUP($A611,'Neraca Unaudited SIMAK'!$A$2:$R$1272,16,FALSE)+IF(ISNA(VLOOKUP($A611,'Mutasi Neraca'!$A$3:$S$910,16,FALSE)),0,VLOOKUP($A611,'Mutasi Neraca'!$A$3:$S$910,16,FALSE))</f>
        <v>0</v>
      </c>
      <c r="R611" s="42">
        <f>VLOOKUP($A611,'Neraca Unaudited SIMAK'!$A$2:$R$1272,17,FALSE)+IF(ISNA(VLOOKUP($A611,'Mutasi Neraca'!$A$3:$S$910,17,FALSE)),0,VLOOKUP($A611,'Mutasi Neraca'!$A$3:$S$910,17,FALSE))</f>
        <v>-91796874</v>
      </c>
      <c r="S611" s="42">
        <f t="shared" si="61"/>
        <v>5203914669</v>
      </c>
    </row>
    <row r="612" spans="1:19">
      <c r="A612" s="41" t="s">
        <v>619</v>
      </c>
      <c r="B612" s="41" t="str">
        <f t="shared" si="60"/>
        <v>005011900</v>
      </c>
      <c r="D612" s="42">
        <f>VLOOKUP($A612,'Neraca Unaudited SIMAK'!$A$2:$R$1272,3,FALSE)+IF(ISNA(VLOOKUP($A612,'Mutasi Neraca'!$A$3:$S$910,3,FALSE)),0,VLOOKUP($A612,'Mutasi Neraca'!$A$3:$S$910,3,FALSE))</f>
        <v>2786755</v>
      </c>
      <c r="E612" s="42">
        <f>VLOOKUP($A612,'Neraca Unaudited SIMAK'!$A$2:$R$1272,4,FALSE)+IF(ISNA(VLOOKUP($A612,'Mutasi Neraca'!$A$3:$S$910,4,FALSE)),0,VLOOKUP($A612,'Mutasi Neraca'!$A$3:$S$910,4,FALSE))</f>
        <v>1685884540</v>
      </c>
      <c r="F612" s="42">
        <f>VLOOKUP($A612,'Neraca Unaudited SIMAK'!$A$2:$R$1272,5,FALSE)+IF(ISNA(VLOOKUP($A612,'Mutasi Neraca'!$A$3:$S$910,5,FALSE)),0,VLOOKUP($A612,'Mutasi Neraca'!$A$3:$S$910,5,FALSE))</f>
        <v>1248284894</v>
      </c>
      <c r="G612" s="42">
        <f>VLOOKUP($A612,'Neraca Unaudited SIMAK'!$A$2:$R$1272,6,FALSE)+IF(ISNA(VLOOKUP($A612,'Mutasi Neraca'!$A$3:$S$910,6,FALSE)),0,VLOOKUP($A612,'Mutasi Neraca'!$A$3:$S$910,6,FALSE))</f>
        <v>4254556000</v>
      </c>
      <c r="H612" s="42">
        <f>VLOOKUP($A612,'Neraca Unaudited SIMAK'!$A$2:$R$1272,7,FALSE)+IF(ISNA(VLOOKUP($A612,'Mutasi Neraca'!$A$3:$S$910,7,FALSE)),0,VLOOKUP($A612,'Mutasi Neraca'!$A$3:$S$910,7,FALSE))</f>
        <v>0</v>
      </c>
      <c r="I612" s="42">
        <f>VLOOKUP($A612,'Neraca Unaudited SIMAK'!$A$2:$R$1272,8,FALSE)+IF(ISNA(VLOOKUP($A612,'Mutasi Neraca'!$A$3:$S$910,8,FALSE)),0,VLOOKUP($A612,'Mutasi Neraca'!$A$3:$S$910,8,FALSE))</f>
        <v>438000</v>
      </c>
      <c r="J612" s="42">
        <f>VLOOKUP($A612,'Neraca Unaudited SIMAK'!$A$2:$R$1272,9,FALSE)+IF(ISNA(VLOOKUP($A612,'Mutasi Neraca'!$A$3:$S$910,9,FALSE)),0,VLOOKUP($A612,'Mutasi Neraca'!$A$3:$S$910,9,FALSE))</f>
        <v>0</v>
      </c>
      <c r="K612" s="42">
        <f>VLOOKUP($A612,'Neraca Unaudited SIMAK'!$A$2:$R$1272,10,FALSE)+IF(ISNA(VLOOKUP($A612,'Mutasi Neraca'!$A$3:$S$910,10,FALSE)),0,VLOOKUP($A612,'Mutasi Neraca'!$A$3:$S$910,10,FALSE))</f>
        <v>0</v>
      </c>
      <c r="L612" s="42">
        <f>VLOOKUP($A612,'Neraca Unaudited SIMAK'!$A$2:$R$1272,11,FALSE)+IF(ISNA(VLOOKUP($A612,'Mutasi Neraca'!$A$3:$S$910,11,FALSE)),0,VLOOKUP($A612,'Mutasi Neraca'!$A$3:$S$910,11,FALSE))</f>
        <v>200000</v>
      </c>
      <c r="M612" s="42">
        <f>VLOOKUP($A612,'Neraca Unaudited SIMAK'!$A$2:$R$1272,12,FALSE)+IF(ISNA(VLOOKUP($A612,'Mutasi Neraca'!$A$3:$S$910,12,FALSE)),0,VLOOKUP($A612,'Mutasi Neraca'!$A$3:$S$910,12,FALSE))</f>
        <v>7192150189</v>
      </c>
      <c r="N612" s="42">
        <f>VLOOKUP($A612,'Neraca Unaudited SIMAK'!$A$2:$R$1272,13,FALSE)+IF(ISNA(VLOOKUP($A612,'Mutasi Neraca'!$A$3:$S$910,13,FALSE)),0,VLOOKUP($A612,'Mutasi Neraca'!$A$3:$S$910,13,FALSE))</f>
        <v>-1084563035</v>
      </c>
      <c r="O612" s="42">
        <f>VLOOKUP($A612,'Neraca Unaudited SIMAK'!$A$2:$R$1272,14,FALSE)+IF(ISNA(VLOOKUP($A612,'Mutasi Neraca'!$A$3:$S$910,14,FALSE)),0,VLOOKUP($A612,'Mutasi Neraca'!$A$3:$S$910,14,FALSE))</f>
        <v>-578528912</v>
      </c>
      <c r="P612" s="42">
        <f>VLOOKUP($A612,'Neraca Unaudited SIMAK'!$A$2:$R$1272,15,FALSE)+IF(ISNA(VLOOKUP($A612,'Mutasi Neraca'!$A$3:$S$910,15,FALSE)),0,VLOOKUP($A612,'Mutasi Neraca'!$A$3:$S$910,15,FALSE))</f>
        <v>0</v>
      </c>
      <c r="Q612" s="42">
        <f>VLOOKUP($A612,'Neraca Unaudited SIMAK'!$A$2:$R$1272,16,FALSE)+IF(ISNA(VLOOKUP($A612,'Mutasi Neraca'!$A$3:$S$910,16,FALSE)),0,VLOOKUP($A612,'Mutasi Neraca'!$A$3:$S$910,16,FALSE))</f>
        <v>0</v>
      </c>
      <c r="R612" s="42">
        <f>VLOOKUP($A612,'Neraca Unaudited SIMAK'!$A$2:$R$1272,17,FALSE)+IF(ISNA(VLOOKUP($A612,'Mutasi Neraca'!$A$3:$S$910,17,FALSE)),0,VLOOKUP($A612,'Mutasi Neraca'!$A$3:$S$910,17,FALSE))</f>
        <v>-200000</v>
      </c>
      <c r="S612" s="42">
        <f t="shared" si="61"/>
        <v>5528858242</v>
      </c>
    </row>
    <row r="613" spans="1:19">
      <c r="A613" s="41" t="s">
        <v>620</v>
      </c>
      <c r="B613" s="41" t="str">
        <f t="shared" si="60"/>
        <v>005011900</v>
      </c>
      <c r="D613" s="42">
        <f>VLOOKUP($A613,'Neraca Unaudited SIMAK'!$A$2:$R$1272,3,FALSE)+IF(ISNA(VLOOKUP($A613,'Mutasi Neraca'!$A$3:$S$910,3,FALSE)),0,VLOOKUP($A613,'Mutasi Neraca'!$A$3:$S$910,3,FALSE))</f>
        <v>21000</v>
      </c>
      <c r="E613" s="42">
        <f>VLOOKUP($A613,'Neraca Unaudited SIMAK'!$A$2:$R$1272,4,FALSE)+IF(ISNA(VLOOKUP($A613,'Mutasi Neraca'!$A$3:$S$910,4,FALSE)),0,VLOOKUP($A613,'Mutasi Neraca'!$A$3:$S$910,4,FALSE))</f>
        <v>269000000</v>
      </c>
      <c r="F613" s="42">
        <f>VLOOKUP($A613,'Neraca Unaudited SIMAK'!$A$2:$R$1272,5,FALSE)+IF(ISNA(VLOOKUP($A613,'Mutasi Neraca'!$A$3:$S$910,5,FALSE)),0,VLOOKUP($A613,'Mutasi Neraca'!$A$3:$S$910,5,FALSE))</f>
        <v>1439763804</v>
      </c>
      <c r="G613" s="42">
        <f>VLOOKUP($A613,'Neraca Unaudited SIMAK'!$A$2:$R$1272,6,FALSE)+IF(ISNA(VLOOKUP($A613,'Mutasi Neraca'!$A$3:$S$910,6,FALSE)),0,VLOOKUP($A613,'Mutasi Neraca'!$A$3:$S$910,6,FALSE))</f>
        <v>3589579400</v>
      </c>
      <c r="H613" s="42">
        <f>VLOOKUP($A613,'Neraca Unaudited SIMAK'!$A$2:$R$1272,7,FALSE)+IF(ISNA(VLOOKUP($A613,'Mutasi Neraca'!$A$3:$S$910,7,FALSE)),0,VLOOKUP($A613,'Mutasi Neraca'!$A$3:$S$910,7,FALSE))</f>
        <v>9980000</v>
      </c>
      <c r="I613" s="42">
        <f>VLOOKUP($A613,'Neraca Unaudited SIMAK'!$A$2:$R$1272,8,FALSE)+IF(ISNA(VLOOKUP($A613,'Mutasi Neraca'!$A$3:$S$910,8,FALSE)),0,VLOOKUP($A613,'Mutasi Neraca'!$A$3:$S$910,8,FALSE))</f>
        <v>40026000</v>
      </c>
      <c r="J613" s="42">
        <f>VLOOKUP($A613,'Neraca Unaudited SIMAK'!$A$2:$R$1272,9,FALSE)+IF(ISNA(VLOOKUP($A613,'Mutasi Neraca'!$A$3:$S$910,9,FALSE)),0,VLOOKUP($A613,'Mutasi Neraca'!$A$3:$S$910,9,FALSE))</f>
        <v>0</v>
      </c>
      <c r="K613" s="42">
        <f>VLOOKUP($A613,'Neraca Unaudited SIMAK'!$A$2:$R$1272,10,FALSE)+IF(ISNA(VLOOKUP($A613,'Mutasi Neraca'!$A$3:$S$910,10,FALSE)),0,VLOOKUP($A613,'Mutasi Neraca'!$A$3:$S$910,10,FALSE))</f>
        <v>24972500</v>
      </c>
      <c r="L613" s="42">
        <f>VLOOKUP($A613,'Neraca Unaudited SIMAK'!$A$2:$R$1272,11,FALSE)+IF(ISNA(VLOOKUP($A613,'Mutasi Neraca'!$A$3:$S$910,11,FALSE)),0,VLOOKUP($A613,'Mutasi Neraca'!$A$3:$S$910,11,FALSE))</f>
        <v>0</v>
      </c>
      <c r="M613" s="42">
        <f>VLOOKUP($A613,'Neraca Unaudited SIMAK'!$A$2:$R$1272,12,FALSE)+IF(ISNA(VLOOKUP($A613,'Mutasi Neraca'!$A$3:$S$910,12,FALSE)),0,VLOOKUP($A613,'Mutasi Neraca'!$A$3:$S$910,12,FALSE))</f>
        <v>5373342704</v>
      </c>
      <c r="N613" s="42">
        <f>VLOOKUP($A613,'Neraca Unaudited SIMAK'!$A$2:$R$1272,13,FALSE)+IF(ISNA(VLOOKUP($A613,'Mutasi Neraca'!$A$3:$S$910,13,FALSE)),0,VLOOKUP($A613,'Mutasi Neraca'!$A$3:$S$910,13,FALSE))</f>
        <v>-1196371628</v>
      </c>
      <c r="O613" s="42">
        <f>VLOOKUP($A613,'Neraca Unaudited SIMAK'!$A$2:$R$1272,14,FALSE)+IF(ISNA(VLOOKUP($A613,'Mutasi Neraca'!$A$3:$S$910,14,FALSE)),0,VLOOKUP($A613,'Mutasi Neraca'!$A$3:$S$910,14,FALSE))</f>
        <v>-768288198</v>
      </c>
      <c r="P613" s="42">
        <f>VLOOKUP($A613,'Neraca Unaudited SIMAK'!$A$2:$R$1272,15,FALSE)+IF(ISNA(VLOOKUP($A613,'Mutasi Neraca'!$A$3:$S$910,15,FALSE)),0,VLOOKUP($A613,'Mutasi Neraca'!$A$3:$S$910,15,FALSE))</f>
        <v>-998000</v>
      </c>
      <c r="Q613" s="42">
        <f>VLOOKUP($A613,'Neraca Unaudited SIMAK'!$A$2:$R$1272,16,FALSE)+IF(ISNA(VLOOKUP($A613,'Mutasi Neraca'!$A$3:$S$910,16,FALSE)),0,VLOOKUP($A613,'Mutasi Neraca'!$A$3:$S$910,16,FALSE))</f>
        <v>0</v>
      </c>
      <c r="R613" s="42">
        <f>VLOOKUP($A613,'Neraca Unaudited SIMAK'!$A$2:$R$1272,17,FALSE)+IF(ISNA(VLOOKUP($A613,'Mutasi Neraca'!$A$3:$S$910,17,FALSE)),0,VLOOKUP($A613,'Mutasi Neraca'!$A$3:$S$910,17,FALSE))</f>
        <v>0</v>
      </c>
      <c r="S613" s="42">
        <f t="shared" si="61"/>
        <v>3407684878</v>
      </c>
    </row>
    <row r="614" spans="1:19">
      <c r="A614" s="41" t="s">
        <v>621</v>
      </c>
      <c r="B614" s="41" t="str">
        <f t="shared" si="60"/>
        <v>005011900</v>
      </c>
      <c r="D614" s="42">
        <f>VLOOKUP($A614,'Neraca Unaudited SIMAK'!$A$2:$R$1272,3,FALSE)+IF(ISNA(VLOOKUP($A614,'Mutasi Neraca'!$A$3:$S$910,3,FALSE)),0,VLOOKUP($A614,'Mutasi Neraca'!$A$3:$S$910,3,FALSE))</f>
        <v>140000</v>
      </c>
      <c r="E614" s="42">
        <f>VLOOKUP($A614,'Neraca Unaudited SIMAK'!$A$2:$R$1272,4,FALSE)+IF(ISNA(VLOOKUP($A614,'Mutasi Neraca'!$A$3:$S$910,4,FALSE)),0,VLOOKUP($A614,'Mutasi Neraca'!$A$3:$S$910,4,FALSE))</f>
        <v>737600000</v>
      </c>
      <c r="F614" s="42">
        <f>VLOOKUP($A614,'Neraca Unaudited SIMAK'!$A$2:$R$1272,5,FALSE)+IF(ISNA(VLOOKUP($A614,'Mutasi Neraca'!$A$3:$S$910,5,FALSE)),0,VLOOKUP($A614,'Mutasi Neraca'!$A$3:$S$910,5,FALSE))</f>
        <v>1412520115</v>
      </c>
      <c r="G614" s="42">
        <f>VLOOKUP($A614,'Neraca Unaudited SIMAK'!$A$2:$R$1272,6,FALSE)+IF(ISNA(VLOOKUP($A614,'Mutasi Neraca'!$A$3:$S$910,6,FALSE)),0,VLOOKUP($A614,'Mutasi Neraca'!$A$3:$S$910,6,FALSE))</f>
        <v>2032632520</v>
      </c>
      <c r="H614" s="42">
        <f>VLOOKUP($A614,'Neraca Unaudited SIMAK'!$A$2:$R$1272,7,FALSE)+IF(ISNA(VLOOKUP($A614,'Mutasi Neraca'!$A$3:$S$910,7,FALSE)),0,VLOOKUP($A614,'Mutasi Neraca'!$A$3:$S$910,7,FALSE))</f>
        <v>45125350</v>
      </c>
      <c r="I614" s="42">
        <f>VLOOKUP($A614,'Neraca Unaudited SIMAK'!$A$2:$R$1272,8,FALSE)+IF(ISNA(VLOOKUP($A614,'Mutasi Neraca'!$A$3:$S$910,8,FALSE)),0,VLOOKUP($A614,'Mutasi Neraca'!$A$3:$S$910,8,FALSE))</f>
        <v>2265570</v>
      </c>
      <c r="J614" s="42">
        <f>VLOOKUP($A614,'Neraca Unaudited SIMAK'!$A$2:$R$1272,9,FALSE)+IF(ISNA(VLOOKUP($A614,'Mutasi Neraca'!$A$3:$S$910,9,FALSE)),0,VLOOKUP($A614,'Mutasi Neraca'!$A$3:$S$910,9,FALSE))</f>
        <v>0</v>
      </c>
      <c r="K614" s="42">
        <f>VLOOKUP($A614,'Neraca Unaudited SIMAK'!$A$2:$R$1272,10,FALSE)+IF(ISNA(VLOOKUP($A614,'Mutasi Neraca'!$A$3:$S$910,10,FALSE)),0,VLOOKUP($A614,'Mutasi Neraca'!$A$3:$S$910,10,FALSE))</f>
        <v>10450000</v>
      </c>
      <c r="L614" s="42">
        <f>VLOOKUP($A614,'Neraca Unaudited SIMAK'!$A$2:$R$1272,11,FALSE)+IF(ISNA(VLOOKUP($A614,'Mutasi Neraca'!$A$3:$S$910,11,FALSE)),0,VLOOKUP($A614,'Mutasi Neraca'!$A$3:$S$910,11,FALSE))</f>
        <v>0</v>
      </c>
      <c r="M614" s="42">
        <f>VLOOKUP($A614,'Neraca Unaudited SIMAK'!$A$2:$R$1272,12,FALSE)+IF(ISNA(VLOOKUP($A614,'Mutasi Neraca'!$A$3:$S$910,12,FALSE)),0,VLOOKUP($A614,'Mutasi Neraca'!$A$3:$S$910,12,FALSE))</f>
        <v>4240733555</v>
      </c>
      <c r="N614" s="42">
        <f>VLOOKUP($A614,'Neraca Unaudited SIMAK'!$A$2:$R$1272,13,FALSE)+IF(ISNA(VLOOKUP($A614,'Mutasi Neraca'!$A$3:$S$910,13,FALSE)),0,VLOOKUP($A614,'Mutasi Neraca'!$A$3:$S$910,13,FALSE))</f>
        <v>-1176134383</v>
      </c>
      <c r="O614" s="42">
        <f>VLOOKUP($A614,'Neraca Unaudited SIMAK'!$A$2:$R$1272,14,FALSE)+IF(ISNA(VLOOKUP($A614,'Mutasi Neraca'!$A$3:$S$910,14,FALSE)),0,VLOOKUP($A614,'Mutasi Neraca'!$A$3:$S$910,14,FALSE))</f>
        <v>-447179153</v>
      </c>
      <c r="P614" s="42">
        <f>VLOOKUP($A614,'Neraca Unaudited SIMAK'!$A$2:$R$1272,15,FALSE)+IF(ISNA(VLOOKUP($A614,'Mutasi Neraca'!$A$3:$S$910,15,FALSE)),0,VLOOKUP($A614,'Mutasi Neraca'!$A$3:$S$910,15,FALSE))</f>
        <v>-4263618</v>
      </c>
      <c r="Q614" s="42">
        <f>VLOOKUP($A614,'Neraca Unaudited SIMAK'!$A$2:$R$1272,16,FALSE)+IF(ISNA(VLOOKUP($A614,'Mutasi Neraca'!$A$3:$S$910,16,FALSE)),0,VLOOKUP($A614,'Mutasi Neraca'!$A$3:$S$910,16,FALSE))</f>
        <v>0</v>
      </c>
      <c r="R614" s="42">
        <f>VLOOKUP($A614,'Neraca Unaudited SIMAK'!$A$2:$R$1272,17,FALSE)+IF(ISNA(VLOOKUP($A614,'Mutasi Neraca'!$A$3:$S$910,17,FALSE)),0,VLOOKUP($A614,'Mutasi Neraca'!$A$3:$S$910,17,FALSE))</f>
        <v>0</v>
      </c>
      <c r="S614" s="42">
        <f t="shared" si="61"/>
        <v>2613156401</v>
      </c>
    </row>
    <row r="615" spans="1:19">
      <c r="A615" s="41" t="s">
        <v>622</v>
      </c>
      <c r="B615" s="41" t="str">
        <f t="shared" si="60"/>
        <v>005011900</v>
      </c>
      <c r="D615" s="42">
        <f>VLOOKUP($A615,'Neraca Unaudited SIMAK'!$A$2:$R$1272,3,FALSE)+IF(ISNA(VLOOKUP($A615,'Mutasi Neraca'!$A$3:$S$910,3,FALSE)),0,VLOOKUP($A615,'Mutasi Neraca'!$A$3:$S$910,3,FALSE))</f>
        <v>0</v>
      </c>
      <c r="E615" s="42">
        <f>VLOOKUP($A615,'Neraca Unaudited SIMAK'!$A$2:$R$1272,4,FALSE)+IF(ISNA(VLOOKUP($A615,'Mutasi Neraca'!$A$3:$S$910,4,FALSE)),0,VLOOKUP($A615,'Mutasi Neraca'!$A$3:$S$910,4,FALSE))</f>
        <v>539000000</v>
      </c>
      <c r="F615" s="42">
        <f>VLOOKUP($A615,'Neraca Unaudited SIMAK'!$A$2:$R$1272,5,FALSE)+IF(ISNA(VLOOKUP($A615,'Mutasi Neraca'!$A$3:$S$910,5,FALSE)),0,VLOOKUP($A615,'Mutasi Neraca'!$A$3:$S$910,5,FALSE))</f>
        <v>1297720071</v>
      </c>
      <c r="G615" s="42">
        <f>VLOOKUP($A615,'Neraca Unaudited SIMAK'!$A$2:$R$1272,6,FALSE)+IF(ISNA(VLOOKUP($A615,'Mutasi Neraca'!$A$3:$S$910,6,FALSE)),0,VLOOKUP($A615,'Mutasi Neraca'!$A$3:$S$910,6,FALSE))</f>
        <v>3272795950</v>
      </c>
      <c r="H615" s="42">
        <f>VLOOKUP($A615,'Neraca Unaudited SIMAK'!$A$2:$R$1272,7,FALSE)+IF(ISNA(VLOOKUP($A615,'Mutasi Neraca'!$A$3:$S$910,7,FALSE)),0,VLOOKUP($A615,'Mutasi Neraca'!$A$3:$S$910,7,FALSE))</f>
        <v>31486000</v>
      </c>
      <c r="I615" s="42">
        <f>VLOOKUP($A615,'Neraca Unaudited SIMAK'!$A$2:$R$1272,8,FALSE)+IF(ISNA(VLOOKUP($A615,'Mutasi Neraca'!$A$3:$S$910,8,FALSE)),0,VLOOKUP($A615,'Mutasi Neraca'!$A$3:$S$910,8,FALSE))</f>
        <v>4439300</v>
      </c>
      <c r="J615" s="42">
        <f>VLOOKUP($A615,'Neraca Unaudited SIMAK'!$A$2:$R$1272,9,FALSE)+IF(ISNA(VLOOKUP($A615,'Mutasi Neraca'!$A$3:$S$910,9,FALSE)),0,VLOOKUP($A615,'Mutasi Neraca'!$A$3:$S$910,9,FALSE))</f>
        <v>0</v>
      </c>
      <c r="K615" s="42">
        <f>VLOOKUP($A615,'Neraca Unaudited SIMAK'!$A$2:$R$1272,10,FALSE)+IF(ISNA(VLOOKUP($A615,'Mutasi Neraca'!$A$3:$S$910,10,FALSE)),0,VLOOKUP($A615,'Mutasi Neraca'!$A$3:$S$910,10,FALSE))</f>
        <v>0</v>
      </c>
      <c r="L615" s="42">
        <f>VLOOKUP($A615,'Neraca Unaudited SIMAK'!$A$2:$R$1272,11,FALSE)+IF(ISNA(VLOOKUP($A615,'Mutasi Neraca'!$A$3:$S$910,11,FALSE)),0,VLOOKUP($A615,'Mutasi Neraca'!$A$3:$S$910,11,FALSE))</f>
        <v>7500000</v>
      </c>
      <c r="M615" s="42">
        <f>VLOOKUP($A615,'Neraca Unaudited SIMAK'!$A$2:$R$1272,12,FALSE)+IF(ISNA(VLOOKUP($A615,'Mutasi Neraca'!$A$3:$S$910,12,FALSE)),0,VLOOKUP($A615,'Mutasi Neraca'!$A$3:$S$910,12,FALSE))</f>
        <v>5152941321</v>
      </c>
      <c r="N615" s="42">
        <f>VLOOKUP($A615,'Neraca Unaudited SIMAK'!$A$2:$R$1272,13,FALSE)+IF(ISNA(VLOOKUP($A615,'Mutasi Neraca'!$A$3:$S$910,13,FALSE)),0,VLOOKUP($A615,'Mutasi Neraca'!$A$3:$S$910,13,FALSE))</f>
        <v>-931611018</v>
      </c>
      <c r="O615" s="42">
        <f>VLOOKUP($A615,'Neraca Unaudited SIMAK'!$A$2:$R$1272,14,FALSE)+IF(ISNA(VLOOKUP($A615,'Mutasi Neraca'!$A$3:$S$910,14,FALSE)),0,VLOOKUP($A615,'Mutasi Neraca'!$A$3:$S$910,14,FALSE))</f>
        <v>-380636263</v>
      </c>
      <c r="P615" s="42">
        <f>VLOOKUP($A615,'Neraca Unaudited SIMAK'!$A$2:$R$1272,15,FALSE)+IF(ISNA(VLOOKUP($A615,'Mutasi Neraca'!$A$3:$S$910,15,FALSE)),0,VLOOKUP($A615,'Mutasi Neraca'!$A$3:$S$910,15,FALSE))</f>
        <v>-30511000</v>
      </c>
      <c r="Q615" s="42">
        <f>VLOOKUP($A615,'Neraca Unaudited SIMAK'!$A$2:$R$1272,16,FALSE)+IF(ISNA(VLOOKUP($A615,'Mutasi Neraca'!$A$3:$S$910,16,FALSE)),0,VLOOKUP($A615,'Mutasi Neraca'!$A$3:$S$910,16,FALSE))</f>
        <v>0</v>
      </c>
      <c r="R615" s="42">
        <f>VLOOKUP($A615,'Neraca Unaudited SIMAK'!$A$2:$R$1272,17,FALSE)+IF(ISNA(VLOOKUP($A615,'Mutasi Neraca'!$A$3:$S$910,17,FALSE)),0,VLOOKUP($A615,'Mutasi Neraca'!$A$3:$S$910,17,FALSE))</f>
        <v>-7500000</v>
      </c>
      <c r="S615" s="42">
        <f t="shared" si="61"/>
        <v>3802683040</v>
      </c>
    </row>
    <row r="616" spans="1:19">
      <c r="A616" s="41" t="s">
        <v>623</v>
      </c>
      <c r="B616" s="41" t="str">
        <f t="shared" si="60"/>
        <v>005011900</v>
      </c>
      <c r="D616" s="42">
        <f>VLOOKUP($A616,'Neraca Unaudited SIMAK'!$A$2:$R$1272,3,FALSE)+IF(ISNA(VLOOKUP($A616,'Mutasi Neraca'!$A$3:$S$910,3,FALSE)),0,VLOOKUP($A616,'Mutasi Neraca'!$A$3:$S$910,3,FALSE))</f>
        <v>197800</v>
      </c>
      <c r="E616" s="42">
        <f>VLOOKUP($A616,'Neraca Unaudited SIMAK'!$A$2:$R$1272,4,FALSE)+IF(ISNA(VLOOKUP($A616,'Mutasi Neraca'!$A$3:$S$910,4,FALSE)),0,VLOOKUP($A616,'Mutasi Neraca'!$A$3:$S$910,4,FALSE))</f>
        <v>2318630529</v>
      </c>
      <c r="F616" s="42">
        <f>VLOOKUP($A616,'Neraca Unaudited SIMAK'!$A$2:$R$1272,5,FALSE)+IF(ISNA(VLOOKUP($A616,'Mutasi Neraca'!$A$3:$S$910,5,FALSE)),0,VLOOKUP($A616,'Mutasi Neraca'!$A$3:$S$910,5,FALSE))</f>
        <v>1133980287</v>
      </c>
      <c r="G616" s="42">
        <f>VLOOKUP($A616,'Neraca Unaudited SIMAK'!$A$2:$R$1272,6,FALSE)+IF(ISNA(VLOOKUP($A616,'Mutasi Neraca'!$A$3:$S$910,6,FALSE)),0,VLOOKUP($A616,'Mutasi Neraca'!$A$3:$S$910,6,FALSE))</f>
        <v>2848871015</v>
      </c>
      <c r="H616" s="42">
        <f>VLOOKUP($A616,'Neraca Unaudited SIMAK'!$A$2:$R$1272,7,FALSE)+IF(ISNA(VLOOKUP($A616,'Mutasi Neraca'!$A$3:$S$910,7,FALSE)),0,VLOOKUP($A616,'Mutasi Neraca'!$A$3:$S$910,7,FALSE))</f>
        <v>35382000</v>
      </c>
      <c r="I616" s="42">
        <f>VLOOKUP($A616,'Neraca Unaudited SIMAK'!$A$2:$R$1272,8,FALSE)+IF(ISNA(VLOOKUP($A616,'Mutasi Neraca'!$A$3:$S$910,8,FALSE)),0,VLOOKUP($A616,'Mutasi Neraca'!$A$3:$S$910,8,FALSE))</f>
        <v>7905767</v>
      </c>
      <c r="J616" s="42">
        <f>VLOOKUP($A616,'Neraca Unaudited SIMAK'!$A$2:$R$1272,9,FALSE)+IF(ISNA(VLOOKUP($A616,'Mutasi Neraca'!$A$3:$S$910,9,FALSE)),0,VLOOKUP($A616,'Mutasi Neraca'!$A$3:$S$910,9,FALSE))</f>
        <v>0</v>
      </c>
      <c r="K616" s="42">
        <f>VLOOKUP($A616,'Neraca Unaudited SIMAK'!$A$2:$R$1272,10,FALSE)+IF(ISNA(VLOOKUP($A616,'Mutasi Neraca'!$A$3:$S$910,10,FALSE)),0,VLOOKUP($A616,'Mutasi Neraca'!$A$3:$S$910,10,FALSE))</f>
        <v>6450000</v>
      </c>
      <c r="L616" s="42">
        <f>VLOOKUP($A616,'Neraca Unaudited SIMAK'!$A$2:$R$1272,11,FALSE)+IF(ISNA(VLOOKUP($A616,'Mutasi Neraca'!$A$3:$S$910,11,FALSE)),0,VLOOKUP($A616,'Mutasi Neraca'!$A$3:$S$910,11,FALSE))</f>
        <v>684705</v>
      </c>
      <c r="M616" s="42">
        <f>VLOOKUP($A616,'Neraca Unaudited SIMAK'!$A$2:$R$1272,12,FALSE)+IF(ISNA(VLOOKUP($A616,'Mutasi Neraca'!$A$3:$S$910,12,FALSE)),0,VLOOKUP($A616,'Mutasi Neraca'!$A$3:$S$910,12,FALSE))</f>
        <v>6352102103</v>
      </c>
      <c r="N616" s="42">
        <f>VLOOKUP($A616,'Neraca Unaudited SIMAK'!$A$2:$R$1272,13,FALSE)+IF(ISNA(VLOOKUP($A616,'Mutasi Neraca'!$A$3:$S$910,13,FALSE)),0,VLOOKUP($A616,'Mutasi Neraca'!$A$3:$S$910,13,FALSE))</f>
        <v>-898009196</v>
      </c>
      <c r="O616" s="42">
        <f>VLOOKUP($A616,'Neraca Unaudited SIMAK'!$A$2:$R$1272,14,FALSE)+IF(ISNA(VLOOKUP($A616,'Mutasi Neraca'!$A$3:$S$910,14,FALSE)),0,VLOOKUP($A616,'Mutasi Neraca'!$A$3:$S$910,14,FALSE))</f>
        <v>-620645236</v>
      </c>
      <c r="P616" s="42">
        <f>VLOOKUP($A616,'Neraca Unaudited SIMAK'!$A$2:$R$1272,15,FALSE)+IF(ISNA(VLOOKUP($A616,'Mutasi Neraca'!$A$3:$S$910,15,FALSE)),0,VLOOKUP($A616,'Mutasi Neraca'!$A$3:$S$910,15,FALSE))</f>
        <v>-4361850</v>
      </c>
      <c r="Q616" s="42">
        <f>VLOOKUP($A616,'Neraca Unaudited SIMAK'!$A$2:$R$1272,16,FALSE)+IF(ISNA(VLOOKUP($A616,'Mutasi Neraca'!$A$3:$S$910,16,FALSE)),0,VLOOKUP($A616,'Mutasi Neraca'!$A$3:$S$910,16,FALSE))</f>
        <v>0</v>
      </c>
      <c r="R616" s="42">
        <f>VLOOKUP($A616,'Neraca Unaudited SIMAK'!$A$2:$R$1272,17,FALSE)+IF(ISNA(VLOOKUP($A616,'Mutasi Neraca'!$A$3:$S$910,17,FALSE)),0,VLOOKUP($A616,'Mutasi Neraca'!$A$3:$S$910,17,FALSE))</f>
        <v>-684705</v>
      </c>
      <c r="S616" s="42">
        <f t="shared" si="61"/>
        <v>4828401116</v>
      </c>
    </row>
    <row r="617" spans="1:19">
      <c r="A617" s="41" t="s">
        <v>624</v>
      </c>
      <c r="B617" s="41" t="str">
        <f t="shared" si="60"/>
        <v>005011900</v>
      </c>
      <c r="D617" s="42">
        <f>VLOOKUP($A617,'Neraca Unaudited SIMAK'!$A$2:$R$1272,3,FALSE)+IF(ISNA(VLOOKUP($A617,'Mutasi Neraca'!$A$3:$S$910,3,FALSE)),0,VLOOKUP($A617,'Mutasi Neraca'!$A$3:$S$910,3,FALSE))</f>
        <v>1889500</v>
      </c>
      <c r="E617" s="42">
        <f>VLOOKUP($A617,'Neraca Unaudited SIMAK'!$A$2:$R$1272,4,FALSE)+IF(ISNA(VLOOKUP($A617,'Mutasi Neraca'!$A$3:$S$910,4,FALSE)),0,VLOOKUP($A617,'Mutasi Neraca'!$A$3:$S$910,4,FALSE))</f>
        <v>2374846000</v>
      </c>
      <c r="F617" s="42">
        <f>VLOOKUP($A617,'Neraca Unaudited SIMAK'!$A$2:$R$1272,5,FALSE)+IF(ISNA(VLOOKUP($A617,'Mutasi Neraca'!$A$3:$S$910,5,FALSE)),0,VLOOKUP($A617,'Mutasi Neraca'!$A$3:$S$910,5,FALSE))</f>
        <v>1115979240</v>
      </c>
      <c r="G617" s="42">
        <f>VLOOKUP($A617,'Neraca Unaudited SIMAK'!$A$2:$R$1272,6,FALSE)+IF(ISNA(VLOOKUP($A617,'Mutasi Neraca'!$A$3:$S$910,6,FALSE)),0,VLOOKUP($A617,'Mutasi Neraca'!$A$3:$S$910,6,FALSE))</f>
        <v>2843913100</v>
      </c>
      <c r="H617" s="42">
        <f>VLOOKUP($A617,'Neraca Unaudited SIMAK'!$A$2:$R$1272,7,FALSE)+IF(ISNA(VLOOKUP($A617,'Mutasi Neraca'!$A$3:$S$910,7,FALSE)),0,VLOOKUP($A617,'Mutasi Neraca'!$A$3:$S$910,7,FALSE))</f>
        <v>37900000</v>
      </c>
      <c r="I617" s="42">
        <f>VLOOKUP($A617,'Neraca Unaudited SIMAK'!$A$2:$R$1272,8,FALSE)+IF(ISNA(VLOOKUP($A617,'Mutasi Neraca'!$A$3:$S$910,8,FALSE)),0,VLOOKUP($A617,'Mutasi Neraca'!$A$3:$S$910,8,FALSE))</f>
        <v>1564370</v>
      </c>
      <c r="J617" s="42">
        <f>VLOOKUP($A617,'Neraca Unaudited SIMAK'!$A$2:$R$1272,9,FALSE)+IF(ISNA(VLOOKUP($A617,'Mutasi Neraca'!$A$3:$S$910,9,FALSE)),0,VLOOKUP($A617,'Mutasi Neraca'!$A$3:$S$910,9,FALSE))</f>
        <v>0</v>
      </c>
      <c r="K617" s="42">
        <f>VLOOKUP($A617,'Neraca Unaudited SIMAK'!$A$2:$R$1272,10,FALSE)+IF(ISNA(VLOOKUP($A617,'Mutasi Neraca'!$A$3:$S$910,10,FALSE)),0,VLOOKUP($A617,'Mutasi Neraca'!$A$3:$S$910,10,FALSE))</f>
        <v>0</v>
      </c>
      <c r="L617" s="42">
        <f>VLOOKUP($A617,'Neraca Unaudited SIMAK'!$A$2:$R$1272,11,FALSE)+IF(ISNA(VLOOKUP($A617,'Mutasi Neraca'!$A$3:$S$910,11,FALSE)),0,VLOOKUP($A617,'Mutasi Neraca'!$A$3:$S$910,11,FALSE))</f>
        <v>0</v>
      </c>
      <c r="M617" s="42">
        <f>VLOOKUP($A617,'Neraca Unaudited SIMAK'!$A$2:$R$1272,12,FALSE)+IF(ISNA(VLOOKUP($A617,'Mutasi Neraca'!$A$3:$S$910,12,FALSE)),0,VLOOKUP($A617,'Mutasi Neraca'!$A$3:$S$910,12,FALSE))</f>
        <v>6376092210</v>
      </c>
      <c r="N617" s="42">
        <f>VLOOKUP($A617,'Neraca Unaudited SIMAK'!$A$2:$R$1272,13,FALSE)+IF(ISNA(VLOOKUP($A617,'Mutasi Neraca'!$A$3:$S$910,13,FALSE)),0,VLOOKUP($A617,'Mutasi Neraca'!$A$3:$S$910,13,FALSE))</f>
        <v>-969167250</v>
      </c>
      <c r="O617" s="42">
        <f>VLOOKUP($A617,'Neraca Unaudited SIMAK'!$A$2:$R$1272,14,FALSE)+IF(ISNA(VLOOKUP($A617,'Mutasi Neraca'!$A$3:$S$910,14,FALSE)),0,VLOOKUP($A617,'Mutasi Neraca'!$A$3:$S$910,14,FALSE))</f>
        <v>-437982295</v>
      </c>
      <c r="P617" s="42">
        <f>VLOOKUP($A617,'Neraca Unaudited SIMAK'!$A$2:$R$1272,15,FALSE)+IF(ISNA(VLOOKUP($A617,'Mutasi Neraca'!$A$3:$S$910,15,FALSE)),0,VLOOKUP($A617,'Mutasi Neraca'!$A$3:$S$910,15,FALSE))</f>
        <v>-16970000</v>
      </c>
      <c r="Q617" s="42">
        <f>VLOOKUP($A617,'Neraca Unaudited SIMAK'!$A$2:$R$1272,16,FALSE)+IF(ISNA(VLOOKUP($A617,'Mutasi Neraca'!$A$3:$S$910,16,FALSE)),0,VLOOKUP($A617,'Mutasi Neraca'!$A$3:$S$910,16,FALSE))</f>
        <v>0</v>
      </c>
      <c r="R617" s="42">
        <f>VLOOKUP($A617,'Neraca Unaudited SIMAK'!$A$2:$R$1272,17,FALSE)+IF(ISNA(VLOOKUP($A617,'Mutasi Neraca'!$A$3:$S$910,17,FALSE)),0,VLOOKUP($A617,'Mutasi Neraca'!$A$3:$S$910,17,FALSE))</f>
        <v>0</v>
      </c>
      <c r="S617" s="42">
        <f t="shared" si="61"/>
        <v>4951972665</v>
      </c>
    </row>
    <row r="618" spans="1:19">
      <c r="A618" s="41" t="s">
        <v>625</v>
      </c>
      <c r="B618" s="41" t="str">
        <f t="shared" si="60"/>
        <v>005011900</v>
      </c>
      <c r="D618" s="42">
        <f>VLOOKUP($A618,'Neraca Unaudited SIMAK'!$A$2:$R$1272,3,FALSE)+IF(ISNA(VLOOKUP($A618,'Mutasi Neraca'!$A$3:$S$910,3,FALSE)),0,VLOOKUP($A618,'Mutasi Neraca'!$A$3:$S$910,3,FALSE))</f>
        <v>12380850</v>
      </c>
      <c r="E618" s="42">
        <f>VLOOKUP($A618,'Neraca Unaudited SIMAK'!$A$2:$R$1272,4,FALSE)+IF(ISNA(VLOOKUP($A618,'Mutasi Neraca'!$A$3:$S$910,4,FALSE)),0,VLOOKUP($A618,'Mutasi Neraca'!$A$3:$S$910,4,FALSE))</f>
        <v>14658402000</v>
      </c>
      <c r="F618" s="42">
        <f>VLOOKUP($A618,'Neraca Unaudited SIMAK'!$A$2:$R$1272,5,FALSE)+IF(ISNA(VLOOKUP($A618,'Mutasi Neraca'!$A$3:$S$910,5,FALSE)),0,VLOOKUP($A618,'Mutasi Neraca'!$A$3:$S$910,5,FALSE))</f>
        <v>2920930725</v>
      </c>
      <c r="G618" s="42">
        <f>VLOOKUP($A618,'Neraca Unaudited SIMAK'!$A$2:$R$1272,6,FALSE)+IF(ISNA(VLOOKUP($A618,'Mutasi Neraca'!$A$3:$S$910,6,FALSE)),0,VLOOKUP($A618,'Mutasi Neraca'!$A$3:$S$910,6,FALSE))</f>
        <v>5293737000</v>
      </c>
      <c r="H618" s="42">
        <f>VLOOKUP($A618,'Neraca Unaudited SIMAK'!$A$2:$R$1272,7,FALSE)+IF(ISNA(VLOOKUP($A618,'Mutasi Neraca'!$A$3:$S$910,7,FALSE)),0,VLOOKUP($A618,'Mutasi Neraca'!$A$3:$S$910,7,FALSE))</f>
        <v>386420000</v>
      </c>
      <c r="I618" s="42">
        <f>VLOOKUP($A618,'Neraca Unaudited SIMAK'!$A$2:$R$1272,8,FALSE)+IF(ISNA(VLOOKUP($A618,'Mutasi Neraca'!$A$3:$S$910,8,FALSE)),0,VLOOKUP($A618,'Mutasi Neraca'!$A$3:$S$910,8,FALSE))</f>
        <v>100830000</v>
      </c>
      <c r="J618" s="42">
        <f>VLOOKUP($A618,'Neraca Unaudited SIMAK'!$A$2:$R$1272,9,FALSE)+IF(ISNA(VLOOKUP($A618,'Mutasi Neraca'!$A$3:$S$910,9,FALSE)),0,VLOOKUP($A618,'Mutasi Neraca'!$A$3:$S$910,9,FALSE))</f>
        <v>0</v>
      </c>
      <c r="K618" s="42">
        <f>VLOOKUP($A618,'Neraca Unaudited SIMAK'!$A$2:$R$1272,10,FALSE)+IF(ISNA(VLOOKUP($A618,'Mutasi Neraca'!$A$3:$S$910,10,FALSE)),0,VLOOKUP($A618,'Mutasi Neraca'!$A$3:$S$910,10,FALSE))</f>
        <v>252500000</v>
      </c>
      <c r="L618" s="42">
        <f>VLOOKUP($A618,'Neraca Unaudited SIMAK'!$A$2:$R$1272,11,FALSE)+IF(ISNA(VLOOKUP($A618,'Mutasi Neraca'!$A$3:$S$910,11,FALSE)),0,VLOOKUP($A618,'Mutasi Neraca'!$A$3:$S$910,11,FALSE))</f>
        <v>101366149</v>
      </c>
      <c r="M618" s="42">
        <f>VLOOKUP($A618,'Neraca Unaudited SIMAK'!$A$2:$R$1272,12,FALSE)+IF(ISNA(VLOOKUP($A618,'Mutasi Neraca'!$A$3:$S$910,12,FALSE)),0,VLOOKUP($A618,'Mutasi Neraca'!$A$3:$S$910,12,FALSE))</f>
        <v>23726566724</v>
      </c>
      <c r="N618" s="42">
        <f>VLOOKUP($A618,'Neraca Unaudited SIMAK'!$A$2:$R$1272,13,FALSE)+IF(ISNA(VLOOKUP($A618,'Mutasi Neraca'!$A$3:$S$910,13,FALSE)),0,VLOOKUP($A618,'Mutasi Neraca'!$A$3:$S$910,13,FALSE))</f>
        <v>-2544794000</v>
      </c>
      <c r="O618" s="42">
        <f>VLOOKUP($A618,'Neraca Unaudited SIMAK'!$A$2:$R$1272,14,FALSE)+IF(ISNA(VLOOKUP($A618,'Mutasi Neraca'!$A$3:$S$910,14,FALSE)),0,VLOOKUP($A618,'Mutasi Neraca'!$A$3:$S$910,14,FALSE))</f>
        <v>-2532638016</v>
      </c>
      <c r="P618" s="42">
        <f>VLOOKUP($A618,'Neraca Unaudited SIMAK'!$A$2:$R$1272,15,FALSE)+IF(ISNA(VLOOKUP($A618,'Mutasi Neraca'!$A$3:$S$910,15,FALSE)),0,VLOOKUP($A618,'Mutasi Neraca'!$A$3:$S$910,15,FALSE))</f>
        <v>-346920000</v>
      </c>
      <c r="Q618" s="42">
        <f>VLOOKUP($A618,'Neraca Unaudited SIMAK'!$A$2:$R$1272,16,FALSE)+IF(ISNA(VLOOKUP($A618,'Mutasi Neraca'!$A$3:$S$910,16,FALSE)),0,VLOOKUP($A618,'Mutasi Neraca'!$A$3:$S$910,16,FALSE))</f>
        <v>0</v>
      </c>
      <c r="R618" s="42">
        <f>VLOOKUP($A618,'Neraca Unaudited SIMAK'!$A$2:$R$1272,17,FALSE)+IF(ISNA(VLOOKUP($A618,'Mutasi Neraca'!$A$3:$S$910,17,FALSE)),0,VLOOKUP($A618,'Mutasi Neraca'!$A$3:$S$910,17,FALSE))</f>
        <v>-101366149</v>
      </c>
      <c r="S618" s="42">
        <f t="shared" si="61"/>
        <v>18200848559</v>
      </c>
    </row>
    <row r="619" spans="1:19">
      <c r="A619" s="41" t="s">
        <v>626</v>
      </c>
      <c r="B619" s="41" t="str">
        <f t="shared" si="60"/>
        <v>005011900</v>
      </c>
      <c r="D619" s="42">
        <f>VLOOKUP($A619,'Neraca Unaudited SIMAK'!$A$2:$R$1272,3,FALSE)+IF(ISNA(VLOOKUP($A619,'Mutasi Neraca'!$A$3:$S$910,3,FALSE)),0,VLOOKUP($A619,'Mutasi Neraca'!$A$3:$S$910,3,FALSE))</f>
        <v>791000</v>
      </c>
      <c r="E619" s="42">
        <f>VLOOKUP($A619,'Neraca Unaudited SIMAK'!$A$2:$R$1272,4,FALSE)+IF(ISNA(VLOOKUP($A619,'Mutasi Neraca'!$A$3:$S$910,4,FALSE)),0,VLOOKUP($A619,'Mutasi Neraca'!$A$3:$S$910,4,FALSE))</f>
        <v>5580900000</v>
      </c>
      <c r="F619" s="42">
        <f>VLOOKUP($A619,'Neraca Unaudited SIMAK'!$A$2:$R$1272,5,FALSE)+IF(ISNA(VLOOKUP($A619,'Mutasi Neraca'!$A$3:$S$910,5,FALSE)),0,VLOOKUP($A619,'Mutasi Neraca'!$A$3:$S$910,5,FALSE))</f>
        <v>1982172749</v>
      </c>
      <c r="G619" s="42">
        <f>VLOOKUP($A619,'Neraca Unaudited SIMAK'!$A$2:$R$1272,6,FALSE)+IF(ISNA(VLOOKUP($A619,'Mutasi Neraca'!$A$3:$S$910,6,FALSE)),0,VLOOKUP($A619,'Mutasi Neraca'!$A$3:$S$910,6,FALSE))</f>
        <v>2914836158</v>
      </c>
      <c r="H619" s="42">
        <f>VLOOKUP($A619,'Neraca Unaudited SIMAK'!$A$2:$R$1272,7,FALSE)+IF(ISNA(VLOOKUP($A619,'Mutasi Neraca'!$A$3:$S$910,7,FALSE)),0,VLOOKUP($A619,'Mutasi Neraca'!$A$3:$S$910,7,FALSE))</f>
        <v>513287267</v>
      </c>
      <c r="I619" s="42">
        <f>VLOOKUP($A619,'Neraca Unaudited SIMAK'!$A$2:$R$1272,8,FALSE)+IF(ISNA(VLOOKUP($A619,'Mutasi Neraca'!$A$3:$S$910,8,FALSE)),0,VLOOKUP($A619,'Mutasi Neraca'!$A$3:$S$910,8,FALSE))</f>
        <v>24822000</v>
      </c>
      <c r="J619" s="42">
        <f>VLOOKUP($A619,'Neraca Unaudited SIMAK'!$A$2:$R$1272,9,FALSE)+IF(ISNA(VLOOKUP($A619,'Mutasi Neraca'!$A$3:$S$910,9,FALSE)),0,VLOOKUP($A619,'Mutasi Neraca'!$A$3:$S$910,9,FALSE))</f>
        <v>0</v>
      </c>
      <c r="K619" s="42">
        <f>VLOOKUP($A619,'Neraca Unaudited SIMAK'!$A$2:$R$1272,10,FALSE)+IF(ISNA(VLOOKUP($A619,'Mutasi Neraca'!$A$3:$S$910,10,FALSE)),0,VLOOKUP($A619,'Mutasi Neraca'!$A$3:$S$910,10,FALSE))</f>
        <v>134400000</v>
      </c>
      <c r="L619" s="42">
        <f>VLOOKUP($A619,'Neraca Unaudited SIMAK'!$A$2:$R$1272,11,FALSE)+IF(ISNA(VLOOKUP($A619,'Mutasi Neraca'!$A$3:$S$910,11,FALSE)),0,VLOOKUP($A619,'Mutasi Neraca'!$A$3:$S$910,11,FALSE))</f>
        <v>131165456</v>
      </c>
      <c r="M619" s="42">
        <f>VLOOKUP($A619,'Neraca Unaudited SIMAK'!$A$2:$R$1272,12,FALSE)+IF(ISNA(VLOOKUP($A619,'Mutasi Neraca'!$A$3:$S$910,12,FALSE)),0,VLOOKUP($A619,'Mutasi Neraca'!$A$3:$S$910,12,FALSE))</f>
        <v>11282374630</v>
      </c>
      <c r="N619" s="42">
        <f>VLOOKUP($A619,'Neraca Unaudited SIMAK'!$A$2:$R$1272,13,FALSE)+IF(ISNA(VLOOKUP($A619,'Mutasi Neraca'!$A$3:$S$910,13,FALSE)),0,VLOOKUP($A619,'Mutasi Neraca'!$A$3:$S$910,13,FALSE))</f>
        <v>-1719745341</v>
      </c>
      <c r="O619" s="42">
        <f>VLOOKUP($A619,'Neraca Unaudited SIMAK'!$A$2:$R$1272,14,FALSE)+IF(ISNA(VLOOKUP($A619,'Mutasi Neraca'!$A$3:$S$910,14,FALSE)),0,VLOOKUP($A619,'Mutasi Neraca'!$A$3:$S$910,14,FALSE))</f>
        <v>-1183725889</v>
      </c>
      <c r="P619" s="42">
        <f>VLOOKUP($A619,'Neraca Unaudited SIMAK'!$A$2:$R$1272,15,FALSE)+IF(ISNA(VLOOKUP($A619,'Mutasi Neraca'!$A$3:$S$910,15,FALSE)),0,VLOOKUP($A619,'Mutasi Neraca'!$A$3:$S$910,15,FALSE))</f>
        <v>-248415689</v>
      </c>
      <c r="Q619" s="42">
        <f>VLOOKUP($A619,'Neraca Unaudited SIMAK'!$A$2:$R$1272,16,FALSE)+IF(ISNA(VLOOKUP($A619,'Mutasi Neraca'!$A$3:$S$910,16,FALSE)),0,VLOOKUP($A619,'Mutasi Neraca'!$A$3:$S$910,16,FALSE))</f>
        <v>0</v>
      </c>
      <c r="R619" s="42">
        <f>VLOOKUP($A619,'Neraca Unaudited SIMAK'!$A$2:$R$1272,17,FALSE)+IF(ISNA(VLOOKUP($A619,'Mutasi Neraca'!$A$3:$S$910,17,FALSE)),0,VLOOKUP($A619,'Mutasi Neraca'!$A$3:$S$910,17,FALSE))</f>
        <v>-131165456</v>
      </c>
      <c r="S619" s="42">
        <f t="shared" si="61"/>
        <v>7999322255</v>
      </c>
    </row>
    <row r="620" spans="1:19">
      <c r="A620" s="41" t="s">
        <v>627</v>
      </c>
      <c r="B620" s="41" t="str">
        <f t="shared" si="60"/>
        <v>005011900</v>
      </c>
      <c r="D620" s="42">
        <f>VLOOKUP($A620,'Neraca Unaudited SIMAK'!$A$2:$R$1272,3,FALSE)+IF(ISNA(VLOOKUP($A620,'Mutasi Neraca'!$A$3:$S$910,3,FALSE)),0,VLOOKUP($A620,'Mutasi Neraca'!$A$3:$S$910,3,FALSE))</f>
        <v>1595000</v>
      </c>
      <c r="E620" s="42">
        <f>VLOOKUP($A620,'Neraca Unaudited SIMAK'!$A$2:$R$1272,4,FALSE)+IF(ISNA(VLOOKUP($A620,'Mutasi Neraca'!$A$3:$S$910,4,FALSE)),0,VLOOKUP($A620,'Mutasi Neraca'!$A$3:$S$910,4,FALSE))</f>
        <v>0</v>
      </c>
      <c r="F620" s="42">
        <f>VLOOKUP($A620,'Neraca Unaudited SIMAK'!$A$2:$R$1272,5,FALSE)+IF(ISNA(VLOOKUP($A620,'Mutasi Neraca'!$A$3:$S$910,5,FALSE)),0,VLOOKUP($A620,'Mutasi Neraca'!$A$3:$S$910,5,FALSE))</f>
        <v>1041871849</v>
      </c>
      <c r="G620" s="42">
        <f>VLOOKUP($A620,'Neraca Unaudited SIMAK'!$A$2:$R$1272,6,FALSE)+IF(ISNA(VLOOKUP($A620,'Mutasi Neraca'!$A$3:$S$910,6,FALSE)),0,VLOOKUP($A620,'Mutasi Neraca'!$A$3:$S$910,6,FALSE))</f>
        <v>2161069000</v>
      </c>
      <c r="H620" s="42">
        <f>VLOOKUP($A620,'Neraca Unaudited SIMAK'!$A$2:$R$1272,7,FALSE)+IF(ISNA(VLOOKUP($A620,'Mutasi Neraca'!$A$3:$S$910,7,FALSE)),0,VLOOKUP($A620,'Mutasi Neraca'!$A$3:$S$910,7,FALSE))</f>
        <v>139066775</v>
      </c>
      <c r="I620" s="42">
        <f>VLOOKUP($A620,'Neraca Unaudited SIMAK'!$A$2:$R$1272,8,FALSE)+IF(ISNA(VLOOKUP($A620,'Mutasi Neraca'!$A$3:$S$910,8,FALSE)),0,VLOOKUP($A620,'Mutasi Neraca'!$A$3:$S$910,8,FALSE))</f>
        <v>39863445</v>
      </c>
      <c r="J620" s="42">
        <f>VLOOKUP($A620,'Neraca Unaudited SIMAK'!$A$2:$R$1272,9,FALSE)+IF(ISNA(VLOOKUP($A620,'Mutasi Neraca'!$A$3:$S$910,9,FALSE)),0,VLOOKUP($A620,'Mutasi Neraca'!$A$3:$S$910,9,FALSE))</f>
        <v>0</v>
      </c>
      <c r="K620" s="42">
        <f>VLOOKUP($A620,'Neraca Unaudited SIMAK'!$A$2:$R$1272,10,FALSE)+IF(ISNA(VLOOKUP($A620,'Mutasi Neraca'!$A$3:$S$910,10,FALSE)),0,VLOOKUP($A620,'Mutasi Neraca'!$A$3:$S$910,10,FALSE))</f>
        <v>25087000</v>
      </c>
      <c r="L620" s="42">
        <f>VLOOKUP($A620,'Neraca Unaudited SIMAK'!$A$2:$R$1272,11,FALSE)+IF(ISNA(VLOOKUP($A620,'Mutasi Neraca'!$A$3:$S$910,11,FALSE)),0,VLOOKUP($A620,'Mutasi Neraca'!$A$3:$S$910,11,FALSE))</f>
        <v>64568400</v>
      </c>
      <c r="M620" s="42">
        <f>VLOOKUP($A620,'Neraca Unaudited SIMAK'!$A$2:$R$1272,12,FALSE)+IF(ISNA(VLOOKUP($A620,'Mutasi Neraca'!$A$3:$S$910,12,FALSE)),0,VLOOKUP($A620,'Mutasi Neraca'!$A$3:$S$910,12,FALSE))</f>
        <v>3473121469</v>
      </c>
      <c r="N620" s="42">
        <f>VLOOKUP($A620,'Neraca Unaudited SIMAK'!$A$2:$R$1272,13,FALSE)+IF(ISNA(VLOOKUP($A620,'Mutasi Neraca'!$A$3:$S$910,13,FALSE)),0,VLOOKUP($A620,'Mutasi Neraca'!$A$3:$S$910,13,FALSE))</f>
        <v>-922197197</v>
      </c>
      <c r="O620" s="42">
        <f>VLOOKUP($A620,'Neraca Unaudited SIMAK'!$A$2:$R$1272,14,FALSE)+IF(ISNA(VLOOKUP($A620,'Mutasi Neraca'!$A$3:$S$910,14,FALSE)),0,VLOOKUP($A620,'Mutasi Neraca'!$A$3:$S$910,14,FALSE))</f>
        <v>-382408059</v>
      </c>
      <c r="P620" s="42">
        <f>VLOOKUP($A620,'Neraca Unaudited SIMAK'!$A$2:$R$1272,15,FALSE)+IF(ISNA(VLOOKUP($A620,'Mutasi Neraca'!$A$3:$S$910,15,FALSE)),0,VLOOKUP($A620,'Mutasi Neraca'!$A$3:$S$910,15,FALSE))</f>
        <v>-17657321</v>
      </c>
      <c r="Q620" s="42">
        <f>VLOOKUP($A620,'Neraca Unaudited SIMAK'!$A$2:$R$1272,16,FALSE)+IF(ISNA(VLOOKUP($A620,'Mutasi Neraca'!$A$3:$S$910,16,FALSE)),0,VLOOKUP($A620,'Mutasi Neraca'!$A$3:$S$910,16,FALSE))</f>
        <v>0</v>
      </c>
      <c r="R620" s="42">
        <f>VLOOKUP($A620,'Neraca Unaudited SIMAK'!$A$2:$R$1272,17,FALSE)+IF(ISNA(VLOOKUP($A620,'Mutasi Neraca'!$A$3:$S$910,17,FALSE)),0,VLOOKUP($A620,'Mutasi Neraca'!$A$3:$S$910,17,FALSE))</f>
        <v>-62219900</v>
      </c>
      <c r="S620" s="42">
        <f t="shared" si="61"/>
        <v>2088638992</v>
      </c>
    </row>
    <row r="621" spans="1:19">
      <c r="A621" s="41" t="s">
        <v>628</v>
      </c>
      <c r="B621" s="41" t="str">
        <f t="shared" si="60"/>
        <v>005011900</v>
      </c>
      <c r="D621" s="42">
        <f>VLOOKUP($A621,'Neraca Unaudited SIMAK'!$A$2:$R$1272,3,FALSE)+IF(ISNA(VLOOKUP($A621,'Mutasi Neraca'!$A$3:$S$910,3,FALSE)),0,VLOOKUP($A621,'Mutasi Neraca'!$A$3:$S$910,3,FALSE))</f>
        <v>329500</v>
      </c>
      <c r="E621" s="42">
        <f>VLOOKUP($A621,'Neraca Unaudited SIMAK'!$A$2:$R$1272,4,FALSE)+IF(ISNA(VLOOKUP($A621,'Mutasi Neraca'!$A$3:$S$910,4,FALSE)),0,VLOOKUP($A621,'Mutasi Neraca'!$A$3:$S$910,4,FALSE))</f>
        <v>999982500</v>
      </c>
      <c r="F621" s="42">
        <f>VLOOKUP($A621,'Neraca Unaudited SIMAK'!$A$2:$R$1272,5,FALSE)+IF(ISNA(VLOOKUP($A621,'Mutasi Neraca'!$A$3:$S$910,5,FALSE)),0,VLOOKUP($A621,'Mutasi Neraca'!$A$3:$S$910,5,FALSE))</f>
        <v>2529588523</v>
      </c>
      <c r="G621" s="42">
        <f>VLOOKUP($A621,'Neraca Unaudited SIMAK'!$A$2:$R$1272,6,FALSE)+IF(ISNA(VLOOKUP($A621,'Mutasi Neraca'!$A$3:$S$910,6,FALSE)),0,VLOOKUP($A621,'Mutasi Neraca'!$A$3:$S$910,6,FALSE))</f>
        <v>6310780205</v>
      </c>
      <c r="H621" s="42">
        <f>VLOOKUP($A621,'Neraca Unaudited SIMAK'!$A$2:$R$1272,7,FALSE)+IF(ISNA(VLOOKUP($A621,'Mutasi Neraca'!$A$3:$S$910,7,FALSE)),0,VLOOKUP($A621,'Mutasi Neraca'!$A$3:$S$910,7,FALSE))</f>
        <v>290533250</v>
      </c>
      <c r="I621" s="42">
        <f>VLOOKUP($A621,'Neraca Unaudited SIMAK'!$A$2:$R$1272,8,FALSE)+IF(ISNA(VLOOKUP($A621,'Mutasi Neraca'!$A$3:$S$910,8,FALSE)),0,VLOOKUP($A621,'Mutasi Neraca'!$A$3:$S$910,8,FALSE))</f>
        <v>0</v>
      </c>
      <c r="J621" s="42">
        <f>VLOOKUP($A621,'Neraca Unaudited SIMAK'!$A$2:$R$1272,9,FALSE)+IF(ISNA(VLOOKUP($A621,'Mutasi Neraca'!$A$3:$S$910,9,FALSE)),0,VLOOKUP($A621,'Mutasi Neraca'!$A$3:$S$910,9,FALSE))</f>
        <v>0</v>
      </c>
      <c r="K621" s="42">
        <f>VLOOKUP($A621,'Neraca Unaudited SIMAK'!$A$2:$R$1272,10,FALSE)+IF(ISNA(VLOOKUP($A621,'Mutasi Neraca'!$A$3:$S$910,10,FALSE)),0,VLOOKUP($A621,'Mutasi Neraca'!$A$3:$S$910,10,FALSE))</f>
        <v>0</v>
      </c>
      <c r="L621" s="42">
        <f>VLOOKUP($A621,'Neraca Unaudited SIMAK'!$A$2:$R$1272,11,FALSE)+IF(ISNA(VLOOKUP($A621,'Mutasi Neraca'!$A$3:$S$910,11,FALSE)),0,VLOOKUP($A621,'Mutasi Neraca'!$A$3:$S$910,11,FALSE))</f>
        <v>0</v>
      </c>
      <c r="M621" s="42">
        <f>VLOOKUP($A621,'Neraca Unaudited SIMAK'!$A$2:$R$1272,12,FALSE)+IF(ISNA(VLOOKUP($A621,'Mutasi Neraca'!$A$3:$S$910,12,FALSE)),0,VLOOKUP($A621,'Mutasi Neraca'!$A$3:$S$910,12,FALSE))</f>
        <v>10131213978</v>
      </c>
      <c r="N621" s="42">
        <f>VLOOKUP($A621,'Neraca Unaudited SIMAK'!$A$2:$R$1272,13,FALSE)+IF(ISNA(VLOOKUP($A621,'Mutasi Neraca'!$A$3:$S$910,13,FALSE)),0,VLOOKUP($A621,'Mutasi Neraca'!$A$3:$S$910,13,FALSE))</f>
        <v>-2020804220</v>
      </c>
      <c r="O621" s="42">
        <f>VLOOKUP($A621,'Neraca Unaudited SIMAK'!$A$2:$R$1272,14,FALSE)+IF(ISNA(VLOOKUP($A621,'Mutasi Neraca'!$A$3:$S$910,14,FALSE)),0,VLOOKUP($A621,'Mutasi Neraca'!$A$3:$S$910,14,FALSE))</f>
        <v>-442372016</v>
      </c>
      <c r="P621" s="42">
        <f>VLOOKUP($A621,'Neraca Unaudited SIMAK'!$A$2:$R$1272,15,FALSE)+IF(ISNA(VLOOKUP($A621,'Mutasi Neraca'!$A$3:$S$910,15,FALSE)),0,VLOOKUP($A621,'Mutasi Neraca'!$A$3:$S$910,15,FALSE))</f>
        <v>-99435606</v>
      </c>
      <c r="Q621" s="42">
        <f>VLOOKUP($A621,'Neraca Unaudited SIMAK'!$A$2:$R$1272,16,FALSE)+IF(ISNA(VLOOKUP($A621,'Mutasi Neraca'!$A$3:$S$910,16,FALSE)),0,VLOOKUP($A621,'Mutasi Neraca'!$A$3:$S$910,16,FALSE))</f>
        <v>0</v>
      </c>
      <c r="R621" s="42">
        <f>VLOOKUP($A621,'Neraca Unaudited SIMAK'!$A$2:$R$1272,17,FALSE)+IF(ISNA(VLOOKUP($A621,'Mutasi Neraca'!$A$3:$S$910,17,FALSE)),0,VLOOKUP($A621,'Mutasi Neraca'!$A$3:$S$910,17,FALSE))</f>
        <v>0</v>
      </c>
      <c r="S621" s="42">
        <f t="shared" si="61"/>
        <v>7568602136</v>
      </c>
    </row>
    <row r="622" spans="1:19">
      <c r="A622" s="41" t="s">
        <v>629</v>
      </c>
      <c r="B622" s="41" t="str">
        <f t="shared" si="60"/>
        <v>005011900</v>
      </c>
      <c r="D622" s="42">
        <f>VLOOKUP($A622,'Neraca Unaudited SIMAK'!$A$2:$R$1272,3,FALSE)+IF(ISNA(VLOOKUP($A622,'Mutasi Neraca'!$A$3:$S$910,3,FALSE)),0,VLOOKUP($A622,'Mutasi Neraca'!$A$3:$S$910,3,FALSE))</f>
        <v>1445500</v>
      </c>
      <c r="E622" s="42">
        <f>VLOOKUP($A622,'Neraca Unaudited SIMAK'!$A$2:$R$1272,4,FALSE)+IF(ISNA(VLOOKUP($A622,'Mutasi Neraca'!$A$3:$S$910,4,FALSE)),0,VLOOKUP($A622,'Mutasi Neraca'!$A$3:$S$910,4,FALSE))</f>
        <v>2642151416</v>
      </c>
      <c r="F622" s="42">
        <f>VLOOKUP($A622,'Neraca Unaudited SIMAK'!$A$2:$R$1272,5,FALSE)+IF(ISNA(VLOOKUP($A622,'Mutasi Neraca'!$A$3:$S$910,5,FALSE)),0,VLOOKUP($A622,'Mutasi Neraca'!$A$3:$S$910,5,FALSE))</f>
        <v>1252886190</v>
      </c>
      <c r="G622" s="42">
        <f>VLOOKUP($A622,'Neraca Unaudited SIMAK'!$A$2:$R$1272,6,FALSE)+IF(ISNA(VLOOKUP($A622,'Mutasi Neraca'!$A$3:$S$910,6,FALSE)),0,VLOOKUP($A622,'Mutasi Neraca'!$A$3:$S$910,6,FALSE))</f>
        <v>12227330533</v>
      </c>
      <c r="H622" s="42">
        <f>VLOOKUP($A622,'Neraca Unaudited SIMAK'!$A$2:$R$1272,7,FALSE)+IF(ISNA(VLOOKUP($A622,'Mutasi Neraca'!$A$3:$S$910,7,FALSE)),0,VLOOKUP($A622,'Mutasi Neraca'!$A$3:$S$910,7,FALSE))</f>
        <v>0</v>
      </c>
      <c r="I622" s="42">
        <f>VLOOKUP($A622,'Neraca Unaudited SIMAK'!$A$2:$R$1272,8,FALSE)+IF(ISNA(VLOOKUP($A622,'Mutasi Neraca'!$A$3:$S$910,8,FALSE)),0,VLOOKUP($A622,'Mutasi Neraca'!$A$3:$S$910,8,FALSE))</f>
        <v>2828680</v>
      </c>
      <c r="J622" s="42">
        <f>VLOOKUP($A622,'Neraca Unaudited SIMAK'!$A$2:$R$1272,9,FALSE)+IF(ISNA(VLOOKUP($A622,'Mutasi Neraca'!$A$3:$S$910,9,FALSE)),0,VLOOKUP($A622,'Mutasi Neraca'!$A$3:$S$910,9,FALSE))</f>
        <v>0</v>
      </c>
      <c r="K622" s="42">
        <f>VLOOKUP($A622,'Neraca Unaudited SIMAK'!$A$2:$R$1272,10,FALSE)+IF(ISNA(VLOOKUP($A622,'Mutasi Neraca'!$A$3:$S$910,10,FALSE)),0,VLOOKUP($A622,'Mutasi Neraca'!$A$3:$S$910,10,FALSE))</f>
        <v>0</v>
      </c>
      <c r="L622" s="42">
        <f>VLOOKUP($A622,'Neraca Unaudited SIMAK'!$A$2:$R$1272,11,FALSE)+IF(ISNA(VLOOKUP($A622,'Mutasi Neraca'!$A$3:$S$910,11,FALSE)),0,VLOOKUP($A622,'Mutasi Neraca'!$A$3:$S$910,11,FALSE))</f>
        <v>0</v>
      </c>
      <c r="M622" s="42">
        <f>VLOOKUP($A622,'Neraca Unaudited SIMAK'!$A$2:$R$1272,12,FALSE)+IF(ISNA(VLOOKUP($A622,'Mutasi Neraca'!$A$3:$S$910,12,FALSE)),0,VLOOKUP($A622,'Mutasi Neraca'!$A$3:$S$910,12,FALSE))</f>
        <v>16126642319</v>
      </c>
      <c r="N622" s="42">
        <f>VLOOKUP($A622,'Neraca Unaudited SIMAK'!$A$2:$R$1272,13,FALSE)+IF(ISNA(VLOOKUP($A622,'Mutasi Neraca'!$A$3:$S$910,13,FALSE)),0,VLOOKUP($A622,'Mutasi Neraca'!$A$3:$S$910,13,FALSE))</f>
        <v>-562355563</v>
      </c>
      <c r="O622" s="42">
        <f>VLOOKUP($A622,'Neraca Unaudited SIMAK'!$A$2:$R$1272,14,FALSE)+IF(ISNA(VLOOKUP($A622,'Mutasi Neraca'!$A$3:$S$910,14,FALSE)),0,VLOOKUP($A622,'Mutasi Neraca'!$A$3:$S$910,14,FALSE))</f>
        <v>-477502732</v>
      </c>
      <c r="P622" s="42">
        <f>VLOOKUP($A622,'Neraca Unaudited SIMAK'!$A$2:$R$1272,15,FALSE)+IF(ISNA(VLOOKUP($A622,'Mutasi Neraca'!$A$3:$S$910,15,FALSE)),0,VLOOKUP($A622,'Mutasi Neraca'!$A$3:$S$910,15,FALSE))</f>
        <v>0</v>
      </c>
      <c r="Q622" s="42">
        <f>VLOOKUP($A622,'Neraca Unaudited SIMAK'!$A$2:$R$1272,16,FALSE)+IF(ISNA(VLOOKUP($A622,'Mutasi Neraca'!$A$3:$S$910,16,FALSE)),0,VLOOKUP($A622,'Mutasi Neraca'!$A$3:$S$910,16,FALSE))</f>
        <v>0</v>
      </c>
      <c r="R622" s="42">
        <f>VLOOKUP($A622,'Neraca Unaudited SIMAK'!$A$2:$R$1272,17,FALSE)+IF(ISNA(VLOOKUP($A622,'Mutasi Neraca'!$A$3:$S$910,17,FALSE)),0,VLOOKUP($A622,'Mutasi Neraca'!$A$3:$S$910,17,FALSE))</f>
        <v>0</v>
      </c>
      <c r="S622" s="42">
        <f t="shared" si="61"/>
        <v>15086784024</v>
      </c>
    </row>
    <row r="623" spans="1:19">
      <c r="A623" s="41" t="s">
        <v>630</v>
      </c>
      <c r="B623" s="41" t="str">
        <f t="shared" si="60"/>
        <v>005011900</v>
      </c>
      <c r="D623" s="42">
        <f>VLOOKUP($A623,'Neraca Unaudited SIMAK'!$A$2:$R$1272,3,FALSE)+IF(ISNA(VLOOKUP($A623,'Mutasi Neraca'!$A$3:$S$910,3,FALSE)),0,VLOOKUP($A623,'Mutasi Neraca'!$A$3:$S$910,3,FALSE))</f>
        <v>8452939</v>
      </c>
      <c r="E623" s="42">
        <f>VLOOKUP($A623,'Neraca Unaudited SIMAK'!$A$2:$R$1272,4,FALSE)+IF(ISNA(VLOOKUP($A623,'Mutasi Neraca'!$A$3:$S$910,4,FALSE)),0,VLOOKUP($A623,'Mutasi Neraca'!$A$3:$S$910,4,FALSE))</f>
        <v>703478834</v>
      </c>
      <c r="F623" s="42">
        <f>VLOOKUP($A623,'Neraca Unaudited SIMAK'!$A$2:$R$1272,5,FALSE)+IF(ISNA(VLOOKUP($A623,'Mutasi Neraca'!$A$3:$S$910,5,FALSE)),0,VLOOKUP($A623,'Mutasi Neraca'!$A$3:$S$910,5,FALSE))</f>
        <v>1172726760</v>
      </c>
      <c r="G623" s="42">
        <f>VLOOKUP($A623,'Neraca Unaudited SIMAK'!$A$2:$R$1272,6,FALSE)+IF(ISNA(VLOOKUP($A623,'Mutasi Neraca'!$A$3:$S$910,6,FALSE)),0,VLOOKUP($A623,'Mutasi Neraca'!$A$3:$S$910,6,FALSE))</f>
        <v>6677377287</v>
      </c>
      <c r="H623" s="42">
        <f>VLOOKUP($A623,'Neraca Unaudited SIMAK'!$A$2:$R$1272,7,FALSE)+IF(ISNA(VLOOKUP($A623,'Mutasi Neraca'!$A$3:$S$910,7,FALSE)),0,VLOOKUP($A623,'Mutasi Neraca'!$A$3:$S$910,7,FALSE))</f>
        <v>91595924</v>
      </c>
      <c r="I623" s="42">
        <f>VLOOKUP($A623,'Neraca Unaudited SIMAK'!$A$2:$R$1272,8,FALSE)+IF(ISNA(VLOOKUP($A623,'Mutasi Neraca'!$A$3:$S$910,8,FALSE)),0,VLOOKUP($A623,'Mutasi Neraca'!$A$3:$S$910,8,FALSE))</f>
        <v>0</v>
      </c>
      <c r="J623" s="42">
        <f>VLOOKUP($A623,'Neraca Unaudited SIMAK'!$A$2:$R$1272,9,FALSE)+IF(ISNA(VLOOKUP($A623,'Mutasi Neraca'!$A$3:$S$910,9,FALSE)),0,VLOOKUP($A623,'Mutasi Neraca'!$A$3:$S$910,9,FALSE))</f>
        <v>537445000</v>
      </c>
      <c r="K623" s="42">
        <f>VLOOKUP($A623,'Neraca Unaudited SIMAK'!$A$2:$R$1272,10,FALSE)+IF(ISNA(VLOOKUP($A623,'Mutasi Neraca'!$A$3:$S$910,10,FALSE)),0,VLOOKUP($A623,'Mutasi Neraca'!$A$3:$S$910,10,FALSE))</f>
        <v>0</v>
      </c>
      <c r="L623" s="42">
        <f>VLOOKUP($A623,'Neraca Unaudited SIMAK'!$A$2:$R$1272,11,FALSE)+IF(ISNA(VLOOKUP($A623,'Mutasi Neraca'!$A$3:$S$910,11,FALSE)),0,VLOOKUP($A623,'Mutasi Neraca'!$A$3:$S$910,11,FALSE))</f>
        <v>0</v>
      </c>
      <c r="M623" s="42">
        <f>VLOOKUP($A623,'Neraca Unaudited SIMAK'!$A$2:$R$1272,12,FALSE)+IF(ISNA(VLOOKUP($A623,'Mutasi Neraca'!$A$3:$S$910,12,FALSE)),0,VLOOKUP($A623,'Mutasi Neraca'!$A$3:$S$910,12,FALSE))</f>
        <v>9191076744</v>
      </c>
      <c r="N623" s="42">
        <f>VLOOKUP($A623,'Neraca Unaudited SIMAK'!$A$2:$R$1272,13,FALSE)+IF(ISNA(VLOOKUP($A623,'Mutasi Neraca'!$A$3:$S$910,13,FALSE)),0,VLOOKUP($A623,'Mutasi Neraca'!$A$3:$S$910,13,FALSE))</f>
        <v>-703468041</v>
      </c>
      <c r="O623" s="42">
        <f>VLOOKUP($A623,'Neraca Unaudited SIMAK'!$A$2:$R$1272,14,FALSE)+IF(ISNA(VLOOKUP($A623,'Mutasi Neraca'!$A$3:$S$910,14,FALSE)),0,VLOOKUP($A623,'Mutasi Neraca'!$A$3:$S$910,14,FALSE))</f>
        <v>-657012692</v>
      </c>
      <c r="P623" s="42">
        <f>VLOOKUP($A623,'Neraca Unaudited SIMAK'!$A$2:$R$1272,15,FALSE)+IF(ISNA(VLOOKUP($A623,'Mutasi Neraca'!$A$3:$S$910,15,FALSE)),0,VLOOKUP($A623,'Mutasi Neraca'!$A$3:$S$910,15,FALSE))</f>
        <v>-7826536</v>
      </c>
      <c r="Q623" s="42">
        <f>VLOOKUP($A623,'Neraca Unaudited SIMAK'!$A$2:$R$1272,16,FALSE)+IF(ISNA(VLOOKUP($A623,'Mutasi Neraca'!$A$3:$S$910,16,FALSE)),0,VLOOKUP($A623,'Mutasi Neraca'!$A$3:$S$910,16,FALSE))</f>
        <v>0</v>
      </c>
      <c r="R623" s="42">
        <f>VLOOKUP($A623,'Neraca Unaudited SIMAK'!$A$2:$R$1272,17,FALSE)+IF(ISNA(VLOOKUP($A623,'Mutasi Neraca'!$A$3:$S$910,17,FALSE)),0,VLOOKUP($A623,'Mutasi Neraca'!$A$3:$S$910,17,FALSE))</f>
        <v>0</v>
      </c>
      <c r="S623" s="42">
        <f t="shared" si="61"/>
        <v>7822769475</v>
      </c>
    </row>
    <row r="624" spans="1:19">
      <c r="A624" s="41" t="s">
        <v>631</v>
      </c>
      <c r="B624" s="41" t="str">
        <f t="shared" si="60"/>
        <v>005012000</v>
      </c>
      <c r="D624" s="42">
        <f>VLOOKUP($A624,'Neraca Unaudited SIMAK'!$A$2:$R$1272,3,FALSE)+IF(ISNA(VLOOKUP($A624,'Mutasi Neraca'!$A$3:$S$910,3,FALSE)),0,VLOOKUP($A624,'Mutasi Neraca'!$A$3:$S$910,3,FALSE))</f>
        <v>6970900</v>
      </c>
      <c r="E624" s="42">
        <f>VLOOKUP($A624,'Neraca Unaudited SIMAK'!$A$2:$R$1272,4,FALSE)+IF(ISNA(VLOOKUP($A624,'Mutasi Neraca'!$A$3:$S$910,4,FALSE)),0,VLOOKUP($A624,'Mutasi Neraca'!$A$3:$S$910,4,FALSE))</f>
        <v>7144860188</v>
      </c>
      <c r="F624" s="42">
        <f>VLOOKUP($A624,'Neraca Unaudited SIMAK'!$A$2:$R$1272,5,FALSE)+IF(ISNA(VLOOKUP($A624,'Mutasi Neraca'!$A$3:$S$910,5,FALSE)),0,VLOOKUP($A624,'Mutasi Neraca'!$A$3:$S$910,5,FALSE))</f>
        <v>2779240907</v>
      </c>
      <c r="G624" s="42">
        <f>VLOOKUP($A624,'Neraca Unaudited SIMAK'!$A$2:$R$1272,6,FALSE)+IF(ISNA(VLOOKUP($A624,'Mutasi Neraca'!$A$3:$S$910,6,FALSE)),0,VLOOKUP($A624,'Mutasi Neraca'!$A$3:$S$910,6,FALSE))</f>
        <v>8924343321</v>
      </c>
      <c r="H624" s="42">
        <f>VLOOKUP($A624,'Neraca Unaudited SIMAK'!$A$2:$R$1272,7,FALSE)+IF(ISNA(VLOOKUP($A624,'Mutasi Neraca'!$A$3:$S$910,7,FALSE)),0,VLOOKUP($A624,'Mutasi Neraca'!$A$3:$S$910,7,FALSE))</f>
        <v>681106358</v>
      </c>
      <c r="I624" s="42">
        <f>VLOOKUP($A624,'Neraca Unaudited SIMAK'!$A$2:$R$1272,8,FALSE)+IF(ISNA(VLOOKUP($A624,'Mutasi Neraca'!$A$3:$S$910,8,FALSE)),0,VLOOKUP($A624,'Mutasi Neraca'!$A$3:$S$910,8,FALSE))</f>
        <v>4964210</v>
      </c>
      <c r="J624" s="42">
        <f>VLOOKUP($A624,'Neraca Unaudited SIMAK'!$A$2:$R$1272,9,FALSE)+IF(ISNA(VLOOKUP($A624,'Mutasi Neraca'!$A$3:$S$910,9,FALSE)),0,VLOOKUP($A624,'Mutasi Neraca'!$A$3:$S$910,9,FALSE))</f>
        <v>0</v>
      </c>
      <c r="K624" s="42">
        <f>VLOOKUP($A624,'Neraca Unaudited SIMAK'!$A$2:$R$1272,10,FALSE)+IF(ISNA(VLOOKUP($A624,'Mutasi Neraca'!$A$3:$S$910,10,FALSE)),0,VLOOKUP($A624,'Mutasi Neraca'!$A$3:$S$910,10,FALSE))</f>
        <v>15400000</v>
      </c>
      <c r="L624" s="42">
        <f>VLOOKUP($A624,'Neraca Unaudited SIMAK'!$A$2:$R$1272,11,FALSE)+IF(ISNA(VLOOKUP($A624,'Mutasi Neraca'!$A$3:$S$910,11,FALSE)),0,VLOOKUP($A624,'Mutasi Neraca'!$A$3:$S$910,11,FALSE))</f>
        <v>203387030</v>
      </c>
      <c r="M624" s="42">
        <f>VLOOKUP($A624,'Neraca Unaudited SIMAK'!$A$2:$R$1272,12,FALSE)+IF(ISNA(VLOOKUP($A624,'Mutasi Neraca'!$A$3:$S$910,12,FALSE)),0,VLOOKUP($A624,'Mutasi Neraca'!$A$3:$S$910,12,FALSE))</f>
        <v>19760272914</v>
      </c>
      <c r="N624" s="42">
        <f>VLOOKUP($A624,'Neraca Unaudited SIMAK'!$A$2:$R$1272,13,FALSE)+IF(ISNA(VLOOKUP($A624,'Mutasi Neraca'!$A$3:$S$910,13,FALSE)),0,VLOOKUP($A624,'Mutasi Neraca'!$A$3:$S$910,13,FALSE))</f>
        <v>-2441719604</v>
      </c>
      <c r="O624" s="42">
        <f>VLOOKUP($A624,'Neraca Unaudited SIMAK'!$A$2:$R$1272,14,FALSE)+IF(ISNA(VLOOKUP($A624,'Mutasi Neraca'!$A$3:$S$910,14,FALSE)),0,VLOOKUP($A624,'Mutasi Neraca'!$A$3:$S$910,14,FALSE))</f>
        <v>-1010079477</v>
      </c>
      <c r="P624" s="42">
        <f>VLOOKUP($A624,'Neraca Unaudited SIMAK'!$A$2:$R$1272,15,FALSE)+IF(ISNA(VLOOKUP($A624,'Mutasi Neraca'!$A$3:$S$910,15,FALSE)),0,VLOOKUP($A624,'Mutasi Neraca'!$A$3:$S$910,15,FALSE))</f>
        <v>-173541299</v>
      </c>
      <c r="Q624" s="42">
        <f>VLOOKUP($A624,'Neraca Unaudited SIMAK'!$A$2:$R$1272,16,FALSE)+IF(ISNA(VLOOKUP($A624,'Mutasi Neraca'!$A$3:$S$910,16,FALSE)),0,VLOOKUP($A624,'Mutasi Neraca'!$A$3:$S$910,16,FALSE))</f>
        <v>0</v>
      </c>
      <c r="R624" s="42">
        <f>VLOOKUP($A624,'Neraca Unaudited SIMAK'!$A$2:$R$1272,17,FALSE)+IF(ISNA(VLOOKUP($A624,'Mutasi Neraca'!$A$3:$S$910,17,FALSE)),0,VLOOKUP($A624,'Mutasi Neraca'!$A$3:$S$910,17,FALSE))</f>
        <v>-187872030</v>
      </c>
      <c r="S624" s="42">
        <f t="shared" si="61"/>
        <v>15947060504</v>
      </c>
    </row>
    <row r="625" spans="1:19">
      <c r="A625" s="41" t="s">
        <v>632</v>
      </c>
      <c r="B625" s="41" t="str">
        <f t="shared" si="60"/>
        <v>005012000</v>
      </c>
      <c r="D625" s="42">
        <f>VLOOKUP($A625,'Neraca Unaudited SIMAK'!$A$2:$R$1272,3,FALSE)+IF(ISNA(VLOOKUP($A625,'Mutasi Neraca'!$A$3:$S$910,3,FALSE)),0,VLOOKUP($A625,'Mutasi Neraca'!$A$3:$S$910,3,FALSE))</f>
        <v>1420000</v>
      </c>
      <c r="E625" s="42">
        <f>VLOOKUP($A625,'Neraca Unaudited SIMAK'!$A$2:$R$1272,4,FALSE)+IF(ISNA(VLOOKUP($A625,'Mutasi Neraca'!$A$3:$S$910,4,FALSE)),0,VLOOKUP($A625,'Mutasi Neraca'!$A$3:$S$910,4,FALSE))</f>
        <v>7390758000</v>
      </c>
      <c r="F625" s="42">
        <f>VLOOKUP($A625,'Neraca Unaudited SIMAK'!$A$2:$R$1272,5,FALSE)+IF(ISNA(VLOOKUP($A625,'Mutasi Neraca'!$A$3:$S$910,5,FALSE)),0,VLOOKUP($A625,'Mutasi Neraca'!$A$3:$S$910,5,FALSE))</f>
        <v>2373270605</v>
      </c>
      <c r="G625" s="42">
        <f>VLOOKUP($A625,'Neraca Unaudited SIMAK'!$A$2:$R$1272,6,FALSE)+IF(ISNA(VLOOKUP($A625,'Mutasi Neraca'!$A$3:$S$910,6,FALSE)),0,VLOOKUP($A625,'Mutasi Neraca'!$A$3:$S$910,6,FALSE))</f>
        <v>7261601500</v>
      </c>
      <c r="H625" s="42">
        <f>VLOOKUP($A625,'Neraca Unaudited SIMAK'!$A$2:$R$1272,7,FALSE)+IF(ISNA(VLOOKUP($A625,'Mutasi Neraca'!$A$3:$S$910,7,FALSE)),0,VLOOKUP($A625,'Mutasi Neraca'!$A$3:$S$910,7,FALSE))</f>
        <v>140450000</v>
      </c>
      <c r="I625" s="42">
        <f>VLOOKUP($A625,'Neraca Unaudited SIMAK'!$A$2:$R$1272,8,FALSE)+IF(ISNA(VLOOKUP($A625,'Mutasi Neraca'!$A$3:$S$910,8,FALSE)),0,VLOOKUP($A625,'Mutasi Neraca'!$A$3:$S$910,8,FALSE))</f>
        <v>19233440</v>
      </c>
      <c r="J625" s="42">
        <f>VLOOKUP($A625,'Neraca Unaudited SIMAK'!$A$2:$R$1272,9,FALSE)+IF(ISNA(VLOOKUP($A625,'Mutasi Neraca'!$A$3:$S$910,9,FALSE)),0,VLOOKUP($A625,'Mutasi Neraca'!$A$3:$S$910,9,FALSE))</f>
        <v>0</v>
      </c>
      <c r="K625" s="42">
        <f>VLOOKUP($A625,'Neraca Unaudited SIMAK'!$A$2:$R$1272,10,FALSE)+IF(ISNA(VLOOKUP($A625,'Mutasi Neraca'!$A$3:$S$910,10,FALSE)),0,VLOOKUP($A625,'Mutasi Neraca'!$A$3:$S$910,10,FALSE))</f>
        <v>0</v>
      </c>
      <c r="L625" s="42">
        <f>VLOOKUP($A625,'Neraca Unaudited SIMAK'!$A$2:$R$1272,11,FALSE)+IF(ISNA(VLOOKUP($A625,'Mutasi Neraca'!$A$3:$S$910,11,FALSE)),0,VLOOKUP($A625,'Mutasi Neraca'!$A$3:$S$910,11,FALSE))</f>
        <v>14000000</v>
      </c>
      <c r="M625" s="42">
        <f>VLOOKUP($A625,'Neraca Unaudited SIMAK'!$A$2:$R$1272,12,FALSE)+IF(ISNA(VLOOKUP($A625,'Mutasi Neraca'!$A$3:$S$910,12,FALSE)),0,VLOOKUP($A625,'Mutasi Neraca'!$A$3:$S$910,12,FALSE))</f>
        <v>17200733545</v>
      </c>
      <c r="N625" s="42">
        <f>VLOOKUP($A625,'Neraca Unaudited SIMAK'!$A$2:$R$1272,13,FALSE)+IF(ISNA(VLOOKUP($A625,'Mutasi Neraca'!$A$3:$S$910,13,FALSE)),0,VLOOKUP($A625,'Mutasi Neraca'!$A$3:$S$910,13,FALSE))</f>
        <v>-1416594252</v>
      </c>
      <c r="O625" s="42">
        <f>VLOOKUP($A625,'Neraca Unaudited SIMAK'!$A$2:$R$1272,14,FALSE)+IF(ISNA(VLOOKUP($A625,'Mutasi Neraca'!$A$3:$S$910,14,FALSE)),0,VLOOKUP($A625,'Mutasi Neraca'!$A$3:$S$910,14,FALSE))</f>
        <v>-1249911987</v>
      </c>
      <c r="P625" s="42">
        <f>VLOOKUP($A625,'Neraca Unaudited SIMAK'!$A$2:$R$1272,15,FALSE)+IF(ISNA(VLOOKUP($A625,'Mutasi Neraca'!$A$3:$S$910,15,FALSE)),0,VLOOKUP($A625,'Mutasi Neraca'!$A$3:$S$910,15,FALSE))</f>
        <v>-24347504</v>
      </c>
      <c r="Q625" s="42">
        <f>VLOOKUP($A625,'Neraca Unaudited SIMAK'!$A$2:$R$1272,16,FALSE)+IF(ISNA(VLOOKUP($A625,'Mutasi Neraca'!$A$3:$S$910,16,FALSE)),0,VLOOKUP($A625,'Mutasi Neraca'!$A$3:$S$910,16,FALSE))</f>
        <v>0</v>
      </c>
      <c r="R625" s="42">
        <f>VLOOKUP($A625,'Neraca Unaudited SIMAK'!$A$2:$R$1272,17,FALSE)+IF(ISNA(VLOOKUP($A625,'Mutasi Neraca'!$A$3:$S$910,17,FALSE)),0,VLOOKUP($A625,'Mutasi Neraca'!$A$3:$S$910,17,FALSE))</f>
        <v>-14000000</v>
      </c>
      <c r="S625" s="42">
        <f t="shared" si="61"/>
        <v>14495879802</v>
      </c>
    </row>
    <row r="626" spans="1:19">
      <c r="A626" s="41" t="s">
        <v>633</v>
      </c>
      <c r="B626" s="41" t="str">
        <f t="shared" si="60"/>
        <v>005012000</v>
      </c>
      <c r="D626" s="42">
        <f>VLOOKUP($A626,'Neraca Unaudited SIMAK'!$A$2:$R$1272,3,FALSE)+IF(ISNA(VLOOKUP($A626,'Mutasi Neraca'!$A$3:$S$910,3,FALSE)),0,VLOOKUP($A626,'Mutasi Neraca'!$A$3:$S$910,3,FALSE))</f>
        <v>35000</v>
      </c>
      <c r="E626" s="42">
        <f>VLOOKUP($A626,'Neraca Unaudited SIMAK'!$A$2:$R$1272,4,FALSE)+IF(ISNA(VLOOKUP($A626,'Mutasi Neraca'!$A$3:$S$910,4,FALSE)),0,VLOOKUP($A626,'Mutasi Neraca'!$A$3:$S$910,4,FALSE))</f>
        <v>2264088000</v>
      </c>
      <c r="F626" s="42">
        <f>VLOOKUP($A626,'Neraca Unaudited SIMAK'!$A$2:$R$1272,5,FALSE)+IF(ISNA(VLOOKUP($A626,'Mutasi Neraca'!$A$3:$S$910,5,FALSE)),0,VLOOKUP($A626,'Mutasi Neraca'!$A$3:$S$910,5,FALSE))</f>
        <v>1457319433</v>
      </c>
      <c r="G626" s="42">
        <f>VLOOKUP($A626,'Neraca Unaudited SIMAK'!$A$2:$R$1272,6,FALSE)+IF(ISNA(VLOOKUP($A626,'Mutasi Neraca'!$A$3:$S$910,6,FALSE)),0,VLOOKUP($A626,'Mutasi Neraca'!$A$3:$S$910,6,FALSE))</f>
        <v>10516357579</v>
      </c>
      <c r="H626" s="42">
        <f>VLOOKUP($A626,'Neraca Unaudited SIMAK'!$A$2:$R$1272,7,FALSE)+IF(ISNA(VLOOKUP($A626,'Mutasi Neraca'!$A$3:$S$910,7,FALSE)),0,VLOOKUP($A626,'Mutasi Neraca'!$A$3:$S$910,7,FALSE))</f>
        <v>154014000</v>
      </c>
      <c r="I626" s="42">
        <f>VLOOKUP($A626,'Neraca Unaudited SIMAK'!$A$2:$R$1272,8,FALSE)+IF(ISNA(VLOOKUP($A626,'Mutasi Neraca'!$A$3:$S$910,8,FALSE)),0,VLOOKUP($A626,'Mutasi Neraca'!$A$3:$S$910,8,FALSE))</f>
        <v>1943440</v>
      </c>
      <c r="J626" s="42">
        <f>VLOOKUP($A626,'Neraca Unaudited SIMAK'!$A$2:$R$1272,9,FALSE)+IF(ISNA(VLOOKUP($A626,'Mutasi Neraca'!$A$3:$S$910,9,FALSE)),0,VLOOKUP($A626,'Mutasi Neraca'!$A$3:$S$910,9,FALSE))</f>
        <v>0</v>
      </c>
      <c r="K626" s="42">
        <f>VLOOKUP($A626,'Neraca Unaudited SIMAK'!$A$2:$R$1272,10,FALSE)+IF(ISNA(VLOOKUP($A626,'Mutasi Neraca'!$A$3:$S$910,10,FALSE)),0,VLOOKUP($A626,'Mutasi Neraca'!$A$3:$S$910,10,FALSE))</f>
        <v>0</v>
      </c>
      <c r="L626" s="42">
        <f>VLOOKUP($A626,'Neraca Unaudited SIMAK'!$A$2:$R$1272,11,FALSE)+IF(ISNA(VLOOKUP($A626,'Mutasi Neraca'!$A$3:$S$910,11,FALSE)),0,VLOOKUP($A626,'Mutasi Neraca'!$A$3:$S$910,11,FALSE))</f>
        <v>50547500</v>
      </c>
      <c r="M626" s="42">
        <f>VLOOKUP($A626,'Neraca Unaudited SIMAK'!$A$2:$R$1272,12,FALSE)+IF(ISNA(VLOOKUP($A626,'Mutasi Neraca'!$A$3:$S$910,12,FALSE)),0,VLOOKUP($A626,'Mutasi Neraca'!$A$3:$S$910,12,FALSE))</f>
        <v>14444304952</v>
      </c>
      <c r="N626" s="42">
        <f>VLOOKUP($A626,'Neraca Unaudited SIMAK'!$A$2:$R$1272,13,FALSE)+IF(ISNA(VLOOKUP($A626,'Mutasi Neraca'!$A$3:$S$910,13,FALSE)),0,VLOOKUP($A626,'Mutasi Neraca'!$A$3:$S$910,13,FALSE))</f>
        <v>-1243099120</v>
      </c>
      <c r="O626" s="42">
        <f>VLOOKUP($A626,'Neraca Unaudited SIMAK'!$A$2:$R$1272,14,FALSE)+IF(ISNA(VLOOKUP($A626,'Mutasi Neraca'!$A$3:$S$910,14,FALSE)),0,VLOOKUP($A626,'Mutasi Neraca'!$A$3:$S$910,14,FALSE))</f>
        <v>-750574032</v>
      </c>
      <c r="P626" s="42">
        <f>VLOOKUP($A626,'Neraca Unaudited SIMAK'!$A$2:$R$1272,15,FALSE)+IF(ISNA(VLOOKUP($A626,'Mutasi Neraca'!$A$3:$S$910,15,FALSE)),0,VLOOKUP($A626,'Mutasi Neraca'!$A$3:$S$910,15,FALSE))</f>
        <v>-28015554</v>
      </c>
      <c r="Q626" s="42">
        <f>VLOOKUP($A626,'Neraca Unaudited SIMAK'!$A$2:$R$1272,16,FALSE)+IF(ISNA(VLOOKUP($A626,'Mutasi Neraca'!$A$3:$S$910,16,FALSE)),0,VLOOKUP($A626,'Mutasi Neraca'!$A$3:$S$910,16,FALSE))</f>
        <v>0</v>
      </c>
      <c r="R626" s="42">
        <f>VLOOKUP($A626,'Neraca Unaudited SIMAK'!$A$2:$R$1272,17,FALSE)+IF(ISNA(VLOOKUP($A626,'Mutasi Neraca'!$A$3:$S$910,17,FALSE)),0,VLOOKUP($A626,'Mutasi Neraca'!$A$3:$S$910,17,FALSE))</f>
        <v>-50547500</v>
      </c>
      <c r="S626" s="42">
        <f t="shared" si="61"/>
        <v>12372068746</v>
      </c>
    </row>
    <row r="627" spans="1:19">
      <c r="A627" s="41" t="s">
        <v>634</v>
      </c>
      <c r="B627" s="41" t="str">
        <f t="shared" si="60"/>
        <v>005012000</v>
      </c>
      <c r="D627" s="42">
        <f>VLOOKUP($A627,'Neraca Unaudited SIMAK'!$A$2:$R$1272,3,FALSE)+IF(ISNA(VLOOKUP($A627,'Mutasi Neraca'!$A$3:$S$910,3,FALSE)),0,VLOOKUP($A627,'Mutasi Neraca'!$A$3:$S$910,3,FALSE))</f>
        <v>270000</v>
      </c>
      <c r="E627" s="42">
        <f>VLOOKUP($A627,'Neraca Unaudited SIMAK'!$A$2:$R$1272,4,FALSE)+IF(ISNA(VLOOKUP($A627,'Mutasi Neraca'!$A$3:$S$910,4,FALSE)),0,VLOOKUP($A627,'Mutasi Neraca'!$A$3:$S$910,4,FALSE))</f>
        <v>1714194000</v>
      </c>
      <c r="F627" s="42">
        <f>VLOOKUP($A627,'Neraca Unaudited SIMAK'!$A$2:$R$1272,5,FALSE)+IF(ISNA(VLOOKUP($A627,'Mutasi Neraca'!$A$3:$S$910,5,FALSE)),0,VLOOKUP($A627,'Mutasi Neraca'!$A$3:$S$910,5,FALSE))</f>
        <v>2181283857</v>
      </c>
      <c r="G627" s="42">
        <f>VLOOKUP($A627,'Neraca Unaudited SIMAK'!$A$2:$R$1272,6,FALSE)+IF(ISNA(VLOOKUP($A627,'Mutasi Neraca'!$A$3:$S$910,6,FALSE)),0,VLOOKUP($A627,'Mutasi Neraca'!$A$3:$S$910,6,FALSE))</f>
        <v>10025261000</v>
      </c>
      <c r="H627" s="42">
        <f>VLOOKUP($A627,'Neraca Unaudited SIMAK'!$A$2:$R$1272,7,FALSE)+IF(ISNA(VLOOKUP($A627,'Mutasi Neraca'!$A$3:$S$910,7,FALSE)),0,VLOOKUP($A627,'Mutasi Neraca'!$A$3:$S$910,7,FALSE))</f>
        <v>285000000</v>
      </c>
      <c r="I627" s="42">
        <f>VLOOKUP($A627,'Neraca Unaudited SIMAK'!$A$2:$R$1272,8,FALSE)+IF(ISNA(VLOOKUP($A627,'Mutasi Neraca'!$A$3:$S$910,8,FALSE)),0,VLOOKUP($A627,'Mutasi Neraca'!$A$3:$S$910,8,FALSE))</f>
        <v>6570280</v>
      </c>
      <c r="J627" s="42">
        <f>VLOOKUP($A627,'Neraca Unaudited SIMAK'!$A$2:$R$1272,9,FALSE)+IF(ISNA(VLOOKUP($A627,'Mutasi Neraca'!$A$3:$S$910,9,FALSE)),0,VLOOKUP($A627,'Mutasi Neraca'!$A$3:$S$910,9,FALSE))</f>
        <v>0</v>
      </c>
      <c r="K627" s="42">
        <f>VLOOKUP($A627,'Neraca Unaudited SIMAK'!$A$2:$R$1272,10,FALSE)+IF(ISNA(VLOOKUP($A627,'Mutasi Neraca'!$A$3:$S$910,10,FALSE)),0,VLOOKUP($A627,'Mutasi Neraca'!$A$3:$S$910,10,FALSE))</f>
        <v>0</v>
      </c>
      <c r="L627" s="42">
        <f>VLOOKUP($A627,'Neraca Unaudited SIMAK'!$A$2:$R$1272,11,FALSE)+IF(ISNA(VLOOKUP($A627,'Mutasi Neraca'!$A$3:$S$910,11,FALSE)),0,VLOOKUP($A627,'Mutasi Neraca'!$A$3:$S$910,11,FALSE))</f>
        <v>108527000</v>
      </c>
      <c r="M627" s="42">
        <f>VLOOKUP($A627,'Neraca Unaudited SIMAK'!$A$2:$R$1272,12,FALSE)+IF(ISNA(VLOOKUP($A627,'Mutasi Neraca'!$A$3:$S$910,12,FALSE)),0,VLOOKUP($A627,'Mutasi Neraca'!$A$3:$S$910,12,FALSE))</f>
        <v>14321106137</v>
      </c>
      <c r="N627" s="42">
        <f>VLOOKUP($A627,'Neraca Unaudited SIMAK'!$A$2:$R$1272,13,FALSE)+IF(ISNA(VLOOKUP($A627,'Mutasi Neraca'!$A$3:$S$910,13,FALSE)),0,VLOOKUP($A627,'Mutasi Neraca'!$A$3:$S$910,13,FALSE))</f>
        <v>-2003171903</v>
      </c>
      <c r="O627" s="42">
        <f>VLOOKUP($A627,'Neraca Unaudited SIMAK'!$A$2:$R$1272,14,FALSE)+IF(ISNA(VLOOKUP($A627,'Mutasi Neraca'!$A$3:$S$910,14,FALSE)),0,VLOOKUP($A627,'Mutasi Neraca'!$A$3:$S$910,14,FALSE))</f>
        <v>-1014345919</v>
      </c>
      <c r="P627" s="42">
        <f>VLOOKUP($A627,'Neraca Unaudited SIMAK'!$A$2:$R$1272,15,FALSE)+IF(ISNA(VLOOKUP($A627,'Mutasi Neraca'!$A$3:$S$910,15,FALSE)),0,VLOOKUP($A627,'Mutasi Neraca'!$A$3:$S$910,15,FALSE))</f>
        <v>-89562500</v>
      </c>
      <c r="Q627" s="42">
        <f>VLOOKUP($A627,'Neraca Unaudited SIMAK'!$A$2:$R$1272,16,FALSE)+IF(ISNA(VLOOKUP($A627,'Mutasi Neraca'!$A$3:$S$910,16,FALSE)),0,VLOOKUP($A627,'Mutasi Neraca'!$A$3:$S$910,16,FALSE))</f>
        <v>0</v>
      </c>
      <c r="R627" s="42">
        <f>VLOOKUP($A627,'Neraca Unaudited SIMAK'!$A$2:$R$1272,17,FALSE)+IF(ISNA(VLOOKUP($A627,'Mutasi Neraca'!$A$3:$S$910,17,FALSE)),0,VLOOKUP($A627,'Mutasi Neraca'!$A$3:$S$910,17,FALSE))</f>
        <v>-108527000</v>
      </c>
      <c r="S627" s="42">
        <f t="shared" si="61"/>
        <v>11105498815</v>
      </c>
    </row>
    <row r="628" spans="1:19">
      <c r="A628" s="41" t="s">
        <v>635</v>
      </c>
      <c r="B628" s="41" t="str">
        <f t="shared" si="60"/>
        <v>005012000</v>
      </c>
      <c r="D628" s="42">
        <f>VLOOKUP($A628,'Neraca Unaudited SIMAK'!$A$2:$R$1272,3,FALSE)+IF(ISNA(VLOOKUP($A628,'Mutasi Neraca'!$A$3:$S$910,3,FALSE)),0,VLOOKUP($A628,'Mutasi Neraca'!$A$3:$S$910,3,FALSE))</f>
        <v>310000</v>
      </c>
      <c r="E628" s="42">
        <f>VLOOKUP($A628,'Neraca Unaudited SIMAK'!$A$2:$R$1272,4,FALSE)+IF(ISNA(VLOOKUP($A628,'Mutasi Neraca'!$A$3:$S$910,4,FALSE)),0,VLOOKUP($A628,'Mutasi Neraca'!$A$3:$S$910,4,FALSE))</f>
        <v>1550693000</v>
      </c>
      <c r="F628" s="42">
        <f>VLOOKUP($A628,'Neraca Unaudited SIMAK'!$A$2:$R$1272,5,FALSE)+IF(ISNA(VLOOKUP($A628,'Mutasi Neraca'!$A$3:$S$910,5,FALSE)),0,VLOOKUP($A628,'Mutasi Neraca'!$A$3:$S$910,5,FALSE))</f>
        <v>1273105101</v>
      </c>
      <c r="G628" s="42">
        <f>VLOOKUP($A628,'Neraca Unaudited SIMAK'!$A$2:$R$1272,6,FALSE)+IF(ISNA(VLOOKUP($A628,'Mutasi Neraca'!$A$3:$S$910,6,FALSE)),0,VLOOKUP($A628,'Mutasi Neraca'!$A$3:$S$910,6,FALSE))</f>
        <v>8863441000</v>
      </c>
      <c r="H628" s="42">
        <f>VLOOKUP($A628,'Neraca Unaudited SIMAK'!$A$2:$R$1272,7,FALSE)+IF(ISNA(VLOOKUP($A628,'Mutasi Neraca'!$A$3:$S$910,7,FALSE)),0,VLOOKUP($A628,'Mutasi Neraca'!$A$3:$S$910,7,FALSE))</f>
        <v>36550000</v>
      </c>
      <c r="I628" s="42">
        <f>VLOOKUP($A628,'Neraca Unaudited SIMAK'!$A$2:$R$1272,8,FALSE)+IF(ISNA(VLOOKUP($A628,'Mutasi Neraca'!$A$3:$S$910,8,FALSE)),0,VLOOKUP($A628,'Mutasi Neraca'!$A$3:$S$910,8,FALSE))</f>
        <v>26332370</v>
      </c>
      <c r="J628" s="42">
        <f>VLOOKUP($A628,'Neraca Unaudited SIMAK'!$A$2:$R$1272,9,FALSE)+IF(ISNA(VLOOKUP($A628,'Mutasi Neraca'!$A$3:$S$910,9,FALSE)),0,VLOOKUP($A628,'Mutasi Neraca'!$A$3:$S$910,9,FALSE))</f>
        <v>0</v>
      </c>
      <c r="K628" s="42">
        <f>VLOOKUP($A628,'Neraca Unaudited SIMAK'!$A$2:$R$1272,10,FALSE)+IF(ISNA(VLOOKUP($A628,'Mutasi Neraca'!$A$3:$S$910,10,FALSE)),0,VLOOKUP($A628,'Mutasi Neraca'!$A$3:$S$910,10,FALSE))</f>
        <v>10000000</v>
      </c>
      <c r="L628" s="42">
        <f>VLOOKUP($A628,'Neraca Unaudited SIMAK'!$A$2:$R$1272,11,FALSE)+IF(ISNA(VLOOKUP($A628,'Mutasi Neraca'!$A$3:$S$910,11,FALSE)),0,VLOOKUP($A628,'Mutasi Neraca'!$A$3:$S$910,11,FALSE))</f>
        <v>44711000</v>
      </c>
      <c r="M628" s="42">
        <f>VLOOKUP($A628,'Neraca Unaudited SIMAK'!$A$2:$R$1272,12,FALSE)+IF(ISNA(VLOOKUP($A628,'Mutasi Neraca'!$A$3:$S$910,12,FALSE)),0,VLOOKUP($A628,'Mutasi Neraca'!$A$3:$S$910,12,FALSE))</f>
        <v>11805142471</v>
      </c>
      <c r="N628" s="42">
        <f>VLOOKUP($A628,'Neraca Unaudited SIMAK'!$A$2:$R$1272,13,FALSE)+IF(ISNA(VLOOKUP($A628,'Mutasi Neraca'!$A$3:$S$910,13,FALSE)),0,VLOOKUP($A628,'Mutasi Neraca'!$A$3:$S$910,13,FALSE))</f>
        <v>-935536010</v>
      </c>
      <c r="O628" s="42">
        <f>VLOOKUP($A628,'Neraca Unaudited SIMAK'!$A$2:$R$1272,14,FALSE)+IF(ISNA(VLOOKUP($A628,'Mutasi Neraca'!$A$3:$S$910,14,FALSE)),0,VLOOKUP($A628,'Mutasi Neraca'!$A$3:$S$910,14,FALSE))</f>
        <v>-463502668</v>
      </c>
      <c r="P628" s="42">
        <f>VLOOKUP($A628,'Neraca Unaudited SIMAK'!$A$2:$R$1272,15,FALSE)+IF(ISNA(VLOOKUP($A628,'Mutasi Neraca'!$A$3:$S$910,15,FALSE)),0,VLOOKUP($A628,'Mutasi Neraca'!$A$3:$S$910,15,FALSE))</f>
        <v>-4581664</v>
      </c>
      <c r="Q628" s="42">
        <f>VLOOKUP($A628,'Neraca Unaudited SIMAK'!$A$2:$R$1272,16,FALSE)+IF(ISNA(VLOOKUP($A628,'Mutasi Neraca'!$A$3:$S$910,16,FALSE)),0,VLOOKUP($A628,'Mutasi Neraca'!$A$3:$S$910,16,FALSE))</f>
        <v>0</v>
      </c>
      <c r="R628" s="42">
        <f>VLOOKUP($A628,'Neraca Unaudited SIMAK'!$A$2:$R$1272,17,FALSE)+IF(ISNA(VLOOKUP($A628,'Mutasi Neraca'!$A$3:$S$910,17,FALSE)),0,VLOOKUP($A628,'Mutasi Neraca'!$A$3:$S$910,17,FALSE))</f>
        <v>-30600000</v>
      </c>
      <c r="S628" s="42">
        <f t="shared" si="61"/>
        <v>10370922129</v>
      </c>
    </row>
    <row r="629" spans="1:19">
      <c r="A629" s="41" t="s">
        <v>636</v>
      </c>
      <c r="B629" s="41" t="str">
        <f t="shared" si="60"/>
        <v>005012000</v>
      </c>
      <c r="D629" s="42">
        <f>VLOOKUP($A629,'Neraca Unaudited SIMAK'!$A$2:$R$1272,3,FALSE)+IF(ISNA(VLOOKUP($A629,'Mutasi Neraca'!$A$3:$S$910,3,FALSE)),0,VLOOKUP($A629,'Mutasi Neraca'!$A$3:$S$910,3,FALSE))</f>
        <v>131000</v>
      </c>
      <c r="E629" s="42">
        <f>VLOOKUP($A629,'Neraca Unaudited SIMAK'!$A$2:$R$1272,4,FALSE)+IF(ISNA(VLOOKUP($A629,'Mutasi Neraca'!$A$3:$S$910,4,FALSE)),0,VLOOKUP($A629,'Mutasi Neraca'!$A$3:$S$910,4,FALSE))</f>
        <v>1131452000</v>
      </c>
      <c r="F629" s="42">
        <f>VLOOKUP($A629,'Neraca Unaudited SIMAK'!$A$2:$R$1272,5,FALSE)+IF(ISNA(VLOOKUP($A629,'Mutasi Neraca'!$A$3:$S$910,5,FALSE)),0,VLOOKUP($A629,'Mutasi Neraca'!$A$3:$S$910,5,FALSE))</f>
        <v>1576182903</v>
      </c>
      <c r="G629" s="42">
        <f>VLOOKUP($A629,'Neraca Unaudited SIMAK'!$A$2:$R$1272,6,FALSE)+IF(ISNA(VLOOKUP($A629,'Mutasi Neraca'!$A$3:$S$910,6,FALSE)),0,VLOOKUP($A629,'Mutasi Neraca'!$A$3:$S$910,6,FALSE))</f>
        <v>7981367910</v>
      </c>
      <c r="H629" s="42">
        <f>VLOOKUP($A629,'Neraca Unaudited SIMAK'!$A$2:$R$1272,7,FALSE)+IF(ISNA(VLOOKUP($A629,'Mutasi Neraca'!$A$3:$S$910,7,FALSE)),0,VLOOKUP($A629,'Mutasi Neraca'!$A$3:$S$910,7,FALSE))</f>
        <v>0</v>
      </c>
      <c r="I629" s="42">
        <f>VLOOKUP($A629,'Neraca Unaudited SIMAK'!$A$2:$R$1272,8,FALSE)+IF(ISNA(VLOOKUP($A629,'Mutasi Neraca'!$A$3:$S$910,8,FALSE)),0,VLOOKUP($A629,'Mutasi Neraca'!$A$3:$S$910,8,FALSE))</f>
        <v>41166928</v>
      </c>
      <c r="J629" s="42">
        <f>VLOOKUP($A629,'Neraca Unaudited SIMAK'!$A$2:$R$1272,9,FALSE)+IF(ISNA(VLOOKUP($A629,'Mutasi Neraca'!$A$3:$S$910,9,FALSE)),0,VLOOKUP($A629,'Mutasi Neraca'!$A$3:$S$910,9,FALSE))</f>
        <v>0</v>
      </c>
      <c r="K629" s="42">
        <f>VLOOKUP($A629,'Neraca Unaudited SIMAK'!$A$2:$R$1272,10,FALSE)+IF(ISNA(VLOOKUP($A629,'Mutasi Neraca'!$A$3:$S$910,10,FALSE)),0,VLOOKUP($A629,'Mutasi Neraca'!$A$3:$S$910,10,FALSE))</f>
        <v>13000000</v>
      </c>
      <c r="L629" s="42">
        <f>VLOOKUP($A629,'Neraca Unaudited SIMAK'!$A$2:$R$1272,11,FALSE)+IF(ISNA(VLOOKUP($A629,'Mutasi Neraca'!$A$3:$S$910,11,FALSE)),0,VLOOKUP($A629,'Mutasi Neraca'!$A$3:$S$910,11,FALSE))</f>
        <v>82722001</v>
      </c>
      <c r="M629" s="42">
        <f>VLOOKUP($A629,'Neraca Unaudited SIMAK'!$A$2:$R$1272,12,FALSE)+IF(ISNA(VLOOKUP($A629,'Mutasi Neraca'!$A$3:$S$910,12,FALSE)),0,VLOOKUP($A629,'Mutasi Neraca'!$A$3:$S$910,12,FALSE))</f>
        <v>10826022742</v>
      </c>
      <c r="N629" s="42">
        <f>VLOOKUP($A629,'Neraca Unaudited SIMAK'!$A$2:$R$1272,13,FALSE)+IF(ISNA(VLOOKUP($A629,'Mutasi Neraca'!$A$3:$S$910,13,FALSE)),0,VLOOKUP($A629,'Mutasi Neraca'!$A$3:$S$910,13,FALSE))</f>
        <v>-908217250</v>
      </c>
      <c r="O629" s="42">
        <f>VLOOKUP($A629,'Neraca Unaudited SIMAK'!$A$2:$R$1272,14,FALSE)+IF(ISNA(VLOOKUP($A629,'Mutasi Neraca'!$A$3:$S$910,14,FALSE)),0,VLOOKUP($A629,'Mutasi Neraca'!$A$3:$S$910,14,FALSE))</f>
        <v>-676380308</v>
      </c>
      <c r="P629" s="42">
        <f>VLOOKUP($A629,'Neraca Unaudited SIMAK'!$A$2:$R$1272,15,FALSE)+IF(ISNA(VLOOKUP($A629,'Mutasi Neraca'!$A$3:$S$910,15,FALSE)),0,VLOOKUP($A629,'Mutasi Neraca'!$A$3:$S$910,15,FALSE))</f>
        <v>0</v>
      </c>
      <c r="Q629" s="42">
        <f>VLOOKUP($A629,'Neraca Unaudited SIMAK'!$A$2:$R$1272,16,FALSE)+IF(ISNA(VLOOKUP($A629,'Mutasi Neraca'!$A$3:$S$910,16,FALSE)),0,VLOOKUP($A629,'Mutasi Neraca'!$A$3:$S$910,16,FALSE))</f>
        <v>0</v>
      </c>
      <c r="R629" s="42">
        <f>VLOOKUP($A629,'Neraca Unaudited SIMAK'!$A$2:$R$1272,17,FALSE)+IF(ISNA(VLOOKUP($A629,'Mutasi Neraca'!$A$3:$S$910,17,FALSE)),0,VLOOKUP($A629,'Mutasi Neraca'!$A$3:$S$910,17,FALSE))</f>
        <v>-82722001</v>
      </c>
      <c r="S629" s="42">
        <f t="shared" si="61"/>
        <v>9158703183</v>
      </c>
    </row>
    <row r="630" spans="1:19">
      <c r="A630" s="41" t="s">
        <v>637</v>
      </c>
      <c r="B630" s="41" t="str">
        <f t="shared" si="60"/>
        <v>005012000</v>
      </c>
      <c r="D630" s="42">
        <f>VLOOKUP($A630,'Neraca Unaudited SIMAK'!$A$2:$R$1272,3,FALSE)+IF(ISNA(VLOOKUP($A630,'Mutasi Neraca'!$A$3:$S$910,3,FALSE)),0,VLOOKUP($A630,'Mutasi Neraca'!$A$3:$S$910,3,FALSE))</f>
        <v>1540130</v>
      </c>
      <c r="E630" s="42">
        <f>VLOOKUP($A630,'Neraca Unaudited SIMAK'!$A$2:$R$1272,4,FALSE)+IF(ISNA(VLOOKUP($A630,'Mutasi Neraca'!$A$3:$S$910,4,FALSE)),0,VLOOKUP($A630,'Mutasi Neraca'!$A$3:$S$910,4,FALSE))</f>
        <v>1364850000</v>
      </c>
      <c r="F630" s="42">
        <f>VLOOKUP($A630,'Neraca Unaudited SIMAK'!$A$2:$R$1272,5,FALSE)+IF(ISNA(VLOOKUP($A630,'Mutasi Neraca'!$A$3:$S$910,5,FALSE)),0,VLOOKUP($A630,'Mutasi Neraca'!$A$3:$S$910,5,FALSE))</f>
        <v>1519491846</v>
      </c>
      <c r="G630" s="42">
        <f>VLOOKUP($A630,'Neraca Unaudited SIMAK'!$A$2:$R$1272,6,FALSE)+IF(ISNA(VLOOKUP($A630,'Mutasi Neraca'!$A$3:$S$910,6,FALSE)),0,VLOOKUP($A630,'Mutasi Neraca'!$A$3:$S$910,6,FALSE))</f>
        <v>7090406000</v>
      </c>
      <c r="H630" s="42">
        <f>VLOOKUP($A630,'Neraca Unaudited SIMAK'!$A$2:$R$1272,7,FALSE)+IF(ISNA(VLOOKUP($A630,'Mutasi Neraca'!$A$3:$S$910,7,FALSE)),0,VLOOKUP($A630,'Mutasi Neraca'!$A$3:$S$910,7,FALSE))</f>
        <v>144896000</v>
      </c>
      <c r="I630" s="42">
        <f>VLOOKUP($A630,'Neraca Unaudited SIMAK'!$A$2:$R$1272,8,FALSE)+IF(ISNA(VLOOKUP($A630,'Mutasi Neraca'!$A$3:$S$910,8,FALSE)),0,VLOOKUP($A630,'Mutasi Neraca'!$A$3:$S$910,8,FALSE))</f>
        <v>21016084</v>
      </c>
      <c r="J630" s="42">
        <f>VLOOKUP($A630,'Neraca Unaudited SIMAK'!$A$2:$R$1272,9,FALSE)+IF(ISNA(VLOOKUP($A630,'Mutasi Neraca'!$A$3:$S$910,9,FALSE)),0,VLOOKUP($A630,'Mutasi Neraca'!$A$3:$S$910,9,FALSE))</f>
        <v>0</v>
      </c>
      <c r="K630" s="42">
        <f>VLOOKUP($A630,'Neraca Unaudited SIMAK'!$A$2:$R$1272,10,FALSE)+IF(ISNA(VLOOKUP($A630,'Mutasi Neraca'!$A$3:$S$910,10,FALSE)),0,VLOOKUP($A630,'Mutasi Neraca'!$A$3:$S$910,10,FALSE))</f>
        <v>0</v>
      </c>
      <c r="L630" s="42">
        <f>VLOOKUP($A630,'Neraca Unaudited SIMAK'!$A$2:$R$1272,11,FALSE)+IF(ISNA(VLOOKUP($A630,'Mutasi Neraca'!$A$3:$S$910,11,FALSE)),0,VLOOKUP($A630,'Mutasi Neraca'!$A$3:$S$910,11,FALSE))</f>
        <v>463416913</v>
      </c>
      <c r="M630" s="42">
        <f>VLOOKUP($A630,'Neraca Unaudited SIMAK'!$A$2:$R$1272,12,FALSE)+IF(ISNA(VLOOKUP($A630,'Mutasi Neraca'!$A$3:$S$910,12,FALSE)),0,VLOOKUP($A630,'Mutasi Neraca'!$A$3:$S$910,12,FALSE))</f>
        <v>10605616973</v>
      </c>
      <c r="N630" s="42">
        <f>VLOOKUP($A630,'Neraca Unaudited SIMAK'!$A$2:$R$1272,13,FALSE)+IF(ISNA(VLOOKUP($A630,'Mutasi Neraca'!$A$3:$S$910,13,FALSE)),0,VLOOKUP($A630,'Mutasi Neraca'!$A$3:$S$910,13,FALSE))</f>
        <v>-999126289</v>
      </c>
      <c r="O630" s="42">
        <f>VLOOKUP($A630,'Neraca Unaudited SIMAK'!$A$2:$R$1272,14,FALSE)+IF(ISNA(VLOOKUP($A630,'Mutasi Neraca'!$A$3:$S$910,14,FALSE)),0,VLOOKUP($A630,'Mutasi Neraca'!$A$3:$S$910,14,FALSE))</f>
        <v>-818632777</v>
      </c>
      <c r="P630" s="42">
        <f>VLOOKUP($A630,'Neraca Unaudited SIMAK'!$A$2:$R$1272,15,FALSE)+IF(ISNA(VLOOKUP($A630,'Mutasi Neraca'!$A$3:$S$910,15,FALSE)),0,VLOOKUP($A630,'Mutasi Neraca'!$A$3:$S$910,15,FALSE))</f>
        <v>-65203200</v>
      </c>
      <c r="Q630" s="42">
        <f>VLOOKUP($A630,'Neraca Unaudited SIMAK'!$A$2:$R$1272,16,FALSE)+IF(ISNA(VLOOKUP($A630,'Mutasi Neraca'!$A$3:$S$910,16,FALSE)),0,VLOOKUP($A630,'Mutasi Neraca'!$A$3:$S$910,16,FALSE))</f>
        <v>0</v>
      </c>
      <c r="R630" s="42">
        <f>VLOOKUP($A630,'Neraca Unaudited SIMAK'!$A$2:$R$1272,17,FALSE)+IF(ISNA(VLOOKUP($A630,'Mutasi Neraca'!$A$3:$S$910,17,FALSE)),0,VLOOKUP($A630,'Mutasi Neraca'!$A$3:$S$910,17,FALSE))</f>
        <v>-218844926</v>
      </c>
      <c r="S630" s="42">
        <f t="shared" si="61"/>
        <v>8503809781</v>
      </c>
    </row>
    <row r="631" spans="1:19">
      <c r="A631" s="41" t="s">
        <v>638</v>
      </c>
      <c r="B631" s="41" t="str">
        <f t="shared" si="60"/>
        <v>005012000</v>
      </c>
      <c r="D631" s="42">
        <f>VLOOKUP($A631,'Neraca Unaudited SIMAK'!$A$2:$R$1272,3,FALSE)+IF(ISNA(VLOOKUP($A631,'Mutasi Neraca'!$A$3:$S$910,3,FALSE)),0,VLOOKUP($A631,'Mutasi Neraca'!$A$3:$S$910,3,FALSE))</f>
        <v>766750</v>
      </c>
      <c r="E631" s="42">
        <f>VLOOKUP($A631,'Neraca Unaudited SIMAK'!$A$2:$R$1272,4,FALSE)+IF(ISNA(VLOOKUP($A631,'Mutasi Neraca'!$A$3:$S$910,4,FALSE)),0,VLOOKUP($A631,'Mutasi Neraca'!$A$3:$S$910,4,FALSE))</f>
        <v>2477445000</v>
      </c>
      <c r="F631" s="42">
        <f>VLOOKUP($A631,'Neraca Unaudited SIMAK'!$A$2:$R$1272,5,FALSE)+IF(ISNA(VLOOKUP($A631,'Mutasi Neraca'!$A$3:$S$910,5,FALSE)),0,VLOOKUP($A631,'Mutasi Neraca'!$A$3:$S$910,5,FALSE))</f>
        <v>1545434053</v>
      </c>
      <c r="G631" s="42">
        <f>VLOOKUP($A631,'Neraca Unaudited SIMAK'!$A$2:$R$1272,6,FALSE)+IF(ISNA(VLOOKUP($A631,'Mutasi Neraca'!$A$3:$S$910,6,FALSE)),0,VLOOKUP($A631,'Mutasi Neraca'!$A$3:$S$910,6,FALSE))</f>
        <v>5139968500</v>
      </c>
      <c r="H631" s="42">
        <f>VLOOKUP($A631,'Neraca Unaudited SIMAK'!$A$2:$R$1272,7,FALSE)+IF(ISNA(VLOOKUP($A631,'Mutasi Neraca'!$A$3:$S$910,7,FALSE)),0,VLOOKUP($A631,'Mutasi Neraca'!$A$3:$S$910,7,FALSE))</f>
        <v>474231500</v>
      </c>
      <c r="I631" s="42">
        <f>VLOOKUP($A631,'Neraca Unaudited SIMAK'!$A$2:$R$1272,8,FALSE)+IF(ISNA(VLOOKUP($A631,'Mutasi Neraca'!$A$3:$S$910,8,FALSE)),0,VLOOKUP($A631,'Mutasi Neraca'!$A$3:$S$910,8,FALSE))</f>
        <v>3260500</v>
      </c>
      <c r="J631" s="42">
        <f>VLOOKUP($A631,'Neraca Unaudited SIMAK'!$A$2:$R$1272,9,FALSE)+IF(ISNA(VLOOKUP($A631,'Mutasi Neraca'!$A$3:$S$910,9,FALSE)),0,VLOOKUP($A631,'Mutasi Neraca'!$A$3:$S$910,9,FALSE))</f>
        <v>184334000</v>
      </c>
      <c r="K631" s="42">
        <f>VLOOKUP($A631,'Neraca Unaudited SIMAK'!$A$2:$R$1272,10,FALSE)+IF(ISNA(VLOOKUP($A631,'Mutasi Neraca'!$A$3:$S$910,10,FALSE)),0,VLOOKUP($A631,'Mutasi Neraca'!$A$3:$S$910,10,FALSE))</f>
        <v>16000000</v>
      </c>
      <c r="L631" s="42">
        <f>VLOOKUP($A631,'Neraca Unaudited SIMAK'!$A$2:$R$1272,11,FALSE)+IF(ISNA(VLOOKUP($A631,'Mutasi Neraca'!$A$3:$S$910,11,FALSE)),0,VLOOKUP($A631,'Mutasi Neraca'!$A$3:$S$910,11,FALSE))</f>
        <v>0</v>
      </c>
      <c r="M631" s="42">
        <f>VLOOKUP($A631,'Neraca Unaudited SIMAK'!$A$2:$R$1272,12,FALSE)+IF(ISNA(VLOOKUP($A631,'Mutasi Neraca'!$A$3:$S$910,12,FALSE)),0,VLOOKUP($A631,'Mutasi Neraca'!$A$3:$S$910,12,FALSE))</f>
        <v>9841440303</v>
      </c>
      <c r="N631" s="42">
        <f>VLOOKUP($A631,'Neraca Unaudited SIMAK'!$A$2:$R$1272,13,FALSE)+IF(ISNA(VLOOKUP($A631,'Mutasi Neraca'!$A$3:$S$910,13,FALSE)),0,VLOOKUP($A631,'Mutasi Neraca'!$A$3:$S$910,13,FALSE))</f>
        <v>-1206061589</v>
      </c>
      <c r="O631" s="42">
        <f>VLOOKUP($A631,'Neraca Unaudited SIMAK'!$A$2:$R$1272,14,FALSE)+IF(ISNA(VLOOKUP($A631,'Mutasi Neraca'!$A$3:$S$910,14,FALSE)),0,VLOOKUP($A631,'Mutasi Neraca'!$A$3:$S$910,14,FALSE))</f>
        <v>-707338272</v>
      </c>
      <c r="P631" s="42">
        <f>VLOOKUP($A631,'Neraca Unaudited SIMAK'!$A$2:$R$1272,15,FALSE)+IF(ISNA(VLOOKUP($A631,'Mutasi Neraca'!$A$3:$S$910,15,FALSE)),0,VLOOKUP($A631,'Mutasi Neraca'!$A$3:$S$910,15,FALSE))</f>
        <v>-207739822</v>
      </c>
      <c r="Q631" s="42">
        <f>VLOOKUP($A631,'Neraca Unaudited SIMAK'!$A$2:$R$1272,16,FALSE)+IF(ISNA(VLOOKUP($A631,'Mutasi Neraca'!$A$3:$S$910,16,FALSE)),0,VLOOKUP($A631,'Mutasi Neraca'!$A$3:$S$910,16,FALSE))</f>
        <v>0</v>
      </c>
      <c r="R631" s="42">
        <f>VLOOKUP($A631,'Neraca Unaudited SIMAK'!$A$2:$R$1272,17,FALSE)+IF(ISNA(VLOOKUP($A631,'Mutasi Neraca'!$A$3:$S$910,17,FALSE)),0,VLOOKUP($A631,'Mutasi Neraca'!$A$3:$S$910,17,FALSE))</f>
        <v>0</v>
      </c>
      <c r="S631" s="42">
        <f t="shared" si="61"/>
        <v>7720300620</v>
      </c>
    </row>
    <row r="632" spans="1:19">
      <c r="A632" s="41" t="s">
        <v>639</v>
      </c>
      <c r="B632" s="41" t="str">
        <f t="shared" si="60"/>
        <v>005012000</v>
      </c>
      <c r="D632" s="42">
        <f>VLOOKUP($A632,'Neraca Unaudited SIMAK'!$A$2:$R$1272,3,FALSE)+IF(ISNA(VLOOKUP($A632,'Mutasi Neraca'!$A$3:$S$910,3,FALSE)),0,VLOOKUP($A632,'Mutasi Neraca'!$A$3:$S$910,3,FALSE))</f>
        <v>3806811</v>
      </c>
      <c r="E632" s="42">
        <f>VLOOKUP($A632,'Neraca Unaudited SIMAK'!$A$2:$R$1272,4,FALSE)+IF(ISNA(VLOOKUP($A632,'Mutasi Neraca'!$A$3:$S$910,4,FALSE)),0,VLOOKUP($A632,'Mutasi Neraca'!$A$3:$S$910,4,FALSE))</f>
        <v>3386868000</v>
      </c>
      <c r="F632" s="42">
        <f>VLOOKUP($A632,'Neraca Unaudited SIMAK'!$A$2:$R$1272,5,FALSE)+IF(ISNA(VLOOKUP($A632,'Mutasi Neraca'!$A$3:$S$910,5,FALSE)),0,VLOOKUP($A632,'Mutasi Neraca'!$A$3:$S$910,5,FALSE))</f>
        <v>3776574245</v>
      </c>
      <c r="G632" s="42">
        <f>VLOOKUP($A632,'Neraca Unaudited SIMAK'!$A$2:$R$1272,6,FALSE)+IF(ISNA(VLOOKUP($A632,'Mutasi Neraca'!$A$3:$S$910,6,FALSE)),0,VLOOKUP($A632,'Mutasi Neraca'!$A$3:$S$910,6,FALSE))</f>
        <v>6329221383</v>
      </c>
      <c r="H632" s="42">
        <f>VLOOKUP($A632,'Neraca Unaudited SIMAK'!$A$2:$R$1272,7,FALSE)+IF(ISNA(VLOOKUP($A632,'Mutasi Neraca'!$A$3:$S$910,7,FALSE)),0,VLOOKUP($A632,'Mutasi Neraca'!$A$3:$S$910,7,FALSE))</f>
        <v>436566000</v>
      </c>
      <c r="I632" s="42">
        <f>VLOOKUP($A632,'Neraca Unaudited SIMAK'!$A$2:$R$1272,8,FALSE)+IF(ISNA(VLOOKUP($A632,'Mutasi Neraca'!$A$3:$S$910,8,FALSE)),0,VLOOKUP($A632,'Mutasi Neraca'!$A$3:$S$910,8,FALSE))</f>
        <v>148192901</v>
      </c>
      <c r="J632" s="42">
        <f>VLOOKUP($A632,'Neraca Unaudited SIMAK'!$A$2:$R$1272,9,FALSE)+IF(ISNA(VLOOKUP($A632,'Mutasi Neraca'!$A$3:$S$910,9,FALSE)),0,VLOOKUP($A632,'Mutasi Neraca'!$A$3:$S$910,9,FALSE))</f>
        <v>0</v>
      </c>
      <c r="K632" s="42">
        <f>VLOOKUP($A632,'Neraca Unaudited SIMAK'!$A$2:$R$1272,10,FALSE)+IF(ISNA(VLOOKUP($A632,'Mutasi Neraca'!$A$3:$S$910,10,FALSE)),0,VLOOKUP($A632,'Mutasi Neraca'!$A$3:$S$910,10,FALSE))</f>
        <v>0</v>
      </c>
      <c r="L632" s="42">
        <f>VLOOKUP($A632,'Neraca Unaudited SIMAK'!$A$2:$R$1272,11,FALSE)+IF(ISNA(VLOOKUP($A632,'Mutasi Neraca'!$A$3:$S$910,11,FALSE)),0,VLOOKUP($A632,'Mutasi Neraca'!$A$3:$S$910,11,FALSE))</f>
        <v>299744750</v>
      </c>
      <c r="M632" s="42">
        <f>VLOOKUP($A632,'Neraca Unaudited SIMAK'!$A$2:$R$1272,12,FALSE)+IF(ISNA(VLOOKUP($A632,'Mutasi Neraca'!$A$3:$S$910,12,FALSE)),0,VLOOKUP($A632,'Mutasi Neraca'!$A$3:$S$910,12,FALSE))</f>
        <v>14380974090</v>
      </c>
      <c r="N632" s="42">
        <f>VLOOKUP($A632,'Neraca Unaudited SIMAK'!$A$2:$R$1272,13,FALSE)+IF(ISNA(VLOOKUP($A632,'Mutasi Neraca'!$A$3:$S$910,13,FALSE)),0,VLOOKUP($A632,'Mutasi Neraca'!$A$3:$S$910,13,FALSE))</f>
        <v>-3440213191</v>
      </c>
      <c r="O632" s="42">
        <f>VLOOKUP($A632,'Neraca Unaudited SIMAK'!$A$2:$R$1272,14,FALSE)+IF(ISNA(VLOOKUP($A632,'Mutasi Neraca'!$A$3:$S$910,14,FALSE)),0,VLOOKUP($A632,'Mutasi Neraca'!$A$3:$S$910,14,FALSE))</f>
        <v>-1492794949</v>
      </c>
      <c r="P632" s="42">
        <f>VLOOKUP($A632,'Neraca Unaudited SIMAK'!$A$2:$R$1272,15,FALSE)+IF(ISNA(VLOOKUP($A632,'Mutasi Neraca'!$A$3:$S$910,15,FALSE)),0,VLOOKUP($A632,'Mutasi Neraca'!$A$3:$S$910,15,FALSE))</f>
        <v>-243416390</v>
      </c>
      <c r="Q632" s="42">
        <f>VLOOKUP($A632,'Neraca Unaudited SIMAK'!$A$2:$R$1272,16,FALSE)+IF(ISNA(VLOOKUP($A632,'Mutasi Neraca'!$A$3:$S$910,16,FALSE)),0,VLOOKUP($A632,'Mutasi Neraca'!$A$3:$S$910,16,FALSE))</f>
        <v>0</v>
      </c>
      <c r="R632" s="42">
        <f>VLOOKUP($A632,'Neraca Unaudited SIMAK'!$A$2:$R$1272,17,FALSE)+IF(ISNA(VLOOKUP($A632,'Mutasi Neraca'!$A$3:$S$910,17,FALSE)),0,VLOOKUP($A632,'Mutasi Neraca'!$A$3:$S$910,17,FALSE))</f>
        <v>-47960000</v>
      </c>
      <c r="S632" s="42">
        <f t="shared" si="61"/>
        <v>9156589560</v>
      </c>
    </row>
    <row r="633" spans="1:19">
      <c r="A633" s="41" t="s">
        <v>640</v>
      </c>
      <c r="B633" s="41" t="str">
        <f t="shared" si="60"/>
        <v>005012000</v>
      </c>
      <c r="D633" s="42">
        <f>VLOOKUP($A633,'Neraca Unaudited SIMAK'!$A$2:$R$1272,3,FALSE)+IF(ISNA(VLOOKUP($A633,'Mutasi Neraca'!$A$3:$S$910,3,FALSE)),0,VLOOKUP($A633,'Mutasi Neraca'!$A$3:$S$910,3,FALSE))</f>
        <v>1203000</v>
      </c>
      <c r="E633" s="42">
        <f>VLOOKUP($A633,'Neraca Unaudited SIMAK'!$A$2:$R$1272,4,FALSE)+IF(ISNA(VLOOKUP($A633,'Mutasi Neraca'!$A$3:$S$910,4,FALSE)),0,VLOOKUP($A633,'Mutasi Neraca'!$A$3:$S$910,4,FALSE))</f>
        <v>806264850</v>
      </c>
      <c r="F633" s="42">
        <f>VLOOKUP($A633,'Neraca Unaudited SIMAK'!$A$2:$R$1272,5,FALSE)+IF(ISNA(VLOOKUP($A633,'Mutasi Neraca'!$A$3:$S$910,5,FALSE)),0,VLOOKUP($A633,'Mutasi Neraca'!$A$3:$S$910,5,FALSE))</f>
        <v>1712153265</v>
      </c>
      <c r="G633" s="42">
        <f>VLOOKUP($A633,'Neraca Unaudited SIMAK'!$A$2:$R$1272,6,FALSE)+IF(ISNA(VLOOKUP($A633,'Mutasi Neraca'!$A$3:$S$910,6,FALSE)),0,VLOOKUP($A633,'Mutasi Neraca'!$A$3:$S$910,6,FALSE))</f>
        <v>9089681399</v>
      </c>
      <c r="H633" s="42">
        <f>VLOOKUP($A633,'Neraca Unaudited SIMAK'!$A$2:$R$1272,7,FALSE)+IF(ISNA(VLOOKUP($A633,'Mutasi Neraca'!$A$3:$S$910,7,FALSE)),0,VLOOKUP($A633,'Mutasi Neraca'!$A$3:$S$910,7,FALSE))</f>
        <v>316026112</v>
      </c>
      <c r="I633" s="42">
        <f>VLOOKUP($A633,'Neraca Unaudited SIMAK'!$A$2:$R$1272,8,FALSE)+IF(ISNA(VLOOKUP($A633,'Mutasi Neraca'!$A$3:$S$910,8,FALSE)),0,VLOOKUP($A633,'Mutasi Neraca'!$A$3:$S$910,8,FALSE))</f>
        <v>1943440</v>
      </c>
      <c r="J633" s="42">
        <f>VLOOKUP($A633,'Neraca Unaudited SIMAK'!$A$2:$R$1272,9,FALSE)+IF(ISNA(VLOOKUP($A633,'Mutasi Neraca'!$A$3:$S$910,9,FALSE)),0,VLOOKUP($A633,'Mutasi Neraca'!$A$3:$S$910,9,FALSE))</f>
        <v>0</v>
      </c>
      <c r="K633" s="42">
        <f>VLOOKUP($A633,'Neraca Unaudited SIMAK'!$A$2:$R$1272,10,FALSE)+IF(ISNA(VLOOKUP($A633,'Mutasi Neraca'!$A$3:$S$910,10,FALSE)),0,VLOOKUP($A633,'Mutasi Neraca'!$A$3:$S$910,10,FALSE))</f>
        <v>0</v>
      </c>
      <c r="L633" s="42">
        <f>VLOOKUP($A633,'Neraca Unaudited SIMAK'!$A$2:$R$1272,11,FALSE)+IF(ISNA(VLOOKUP($A633,'Mutasi Neraca'!$A$3:$S$910,11,FALSE)),0,VLOOKUP($A633,'Mutasi Neraca'!$A$3:$S$910,11,FALSE))</f>
        <v>16310000</v>
      </c>
      <c r="M633" s="42">
        <f>VLOOKUP($A633,'Neraca Unaudited SIMAK'!$A$2:$R$1272,12,FALSE)+IF(ISNA(VLOOKUP($A633,'Mutasi Neraca'!$A$3:$S$910,12,FALSE)),0,VLOOKUP($A633,'Mutasi Neraca'!$A$3:$S$910,12,FALSE))</f>
        <v>11943582066</v>
      </c>
      <c r="N633" s="42">
        <f>VLOOKUP($A633,'Neraca Unaudited SIMAK'!$A$2:$R$1272,13,FALSE)+IF(ISNA(VLOOKUP($A633,'Mutasi Neraca'!$A$3:$S$910,13,FALSE)),0,VLOOKUP($A633,'Mutasi Neraca'!$A$3:$S$910,13,FALSE))</f>
        <v>-1640188258</v>
      </c>
      <c r="O633" s="42">
        <f>VLOOKUP($A633,'Neraca Unaudited SIMAK'!$A$2:$R$1272,14,FALSE)+IF(ISNA(VLOOKUP($A633,'Mutasi Neraca'!$A$3:$S$910,14,FALSE)),0,VLOOKUP($A633,'Mutasi Neraca'!$A$3:$S$910,14,FALSE))</f>
        <v>-685569605</v>
      </c>
      <c r="P633" s="42">
        <f>VLOOKUP($A633,'Neraca Unaudited SIMAK'!$A$2:$R$1272,15,FALSE)+IF(ISNA(VLOOKUP($A633,'Mutasi Neraca'!$A$3:$S$910,15,FALSE)),0,VLOOKUP($A633,'Mutasi Neraca'!$A$3:$S$910,15,FALSE))</f>
        <v>-76817673</v>
      </c>
      <c r="Q633" s="42">
        <f>VLOOKUP($A633,'Neraca Unaudited SIMAK'!$A$2:$R$1272,16,FALSE)+IF(ISNA(VLOOKUP($A633,'Mutasi Neraca'!$A$3:$S$910,16,FALSE)),0,VLOOKUP($A633,'Mutasi Neraca'!$A$3:$S$910,16,FALSE))</f>
        <v>0</v>
      </c>
      <c r="R633" s="42">
        <f>VLOOKUP($A633,'Neraca Unaudited SIMAK'!$A$2:$R$1272,17,FALSE)+IF(ISNA(VLOOKUP($A633,'Mutasi Neraca'!$A$3:$S$910,17,FALSE)),0,VLOOKUP($A633,'Mutasi Neraca'!$A$3:$S$910,17,FALSE))</f>
        <v>-16310000</v>
      </c>
      <c r="S633" s="42">
        <f t="shared" si="61"/>
        <v>9524696530</v>
      </c>
    </row>
    <row r="634" spans="1:19">
      <c r="A634" s="41" t="s">
        <v>641</v>
      </c>
      <c r="B634" s="41" t="str">
        <f t="shared" si="60"/>
        <v>005012000</v>
      </c>
      <c r="D634" s="42">
        <f>VLOOKUP($A634,'Neraca Unaudited SIMAK'!$A$2:$R$1272,3,FALSE)+IF(ISNA(VLOOKUP($A634,'Mutasi Neraca'!$A$3:$S$910,3,FALSE)),0,VLOOKUP($A634,'Mutasi Neraca'!$A$3:$S$910,3,FALSE))</f>
        <v>842900</v>
      </c>
      <c r="E634" s="42">
        <f>VLOOKUP($A634,'Neraca Unaudited SIMAK'!$A$2:$R$1272,4,FALSE)+IF(ISNA(VLOOKUP($A634,'Mutasi Neraca'!$A$3:$S$910,4,FALSE)),0,VLOOKUP($A634,'Mutasi Neraca'!$A$3:$S$910,4,FALSE))</f>
        <v>2439528000</v>
      </c>
      <c r="F634" s="42">
        <f>VLOOKUP($A634,'Neraca Unaudited SIMAK'!$A$2:$R$1272,5,FALSE)+IF(ISNA(VLOOKUP($A634,'Mutasi Neraca'!$A$3:$S$910,5,FALSE)),0,VLOOKUP($A634,'Mutasi Neraca'!$A$3:$S$910,5,FALSE))</f>
        <v>3115406175</v>
      </c>
      <c r="G634" s="42">
        <f>VLOOKUP($A634,'Neraca Unaudited SIMAK'!$A$2:$R$1272,6,FALSE)+IF(ISNA(VLOOKUP($A634,'Mutasi Neraca'!$A$3:$S$910,6,FALSE)),0,VLOOKUP($A634,'Mutasi Neraca'!$A$3:$S$910,6,FALSE))</f>
        <v>10206315960</v>
      </c>
      <c r="H634" s="42">
        <f>VLOOKUP($A634,'Neraca Unaudited SIMAK'!$A$2:$R$1272,7,FALSE)+IF(ISNA(VLOOKUP($A634,'Mutasi Neraca'!$A$3:$S$910,7,FALSE)),0,VLOOKUP($A634,'Mutasi Neraca'!$A$3:$S$910,7,FALSE))</f>
        <v>315030000</v>
      </c>
      <c r="I634" s="42">
        <f>VLOOKUP($A634,'Neraca Unaudited SIMAK'!$A$2:$R$1272,8,FALSE)+IF(ISNA(VLOOKUP($A634,'Mutasi Neraca'!$A$3:$S$910,8,FALSE)),0,VLOOKUP($A634,'Mutasi Neraca'!$A$3:$S$910,8,FALSE))</f>
        <v>17533898</v>
      </c>
      <c r="J634" s="42">
        <f>VLOOKUP($A634,'Neraca Unaudited SIMAK'!$A$2:$R$1272,9,FALSE)+IF(ISNA(VLOOKUP($A634,'Mutasi Neraca'!$A$3:$S$910,9,FALSE)),0,VLOOKUP($A634,'Mutasi Neraca'!$A$3:$S$910,9,FALSE))</f>
        <v>0</v>
      </c>
      <c r="K634" s="42">
        <f>VLOOKUP($A634,'Neraca Unaudited SIMAK'!$A$2:$R$1272,10,FALSE)+IF(ISNA(VLOOKUP($A634,'Mutasi Neraca'!$A$3:$S$910,10,FALSE)),0,VLOOKUP($A634,'Mutasi Neraca'!$A$3:$S$910,10,FALSE))</f>
        <v>0</v>
      </c>
      <c r="L634" s="42">
        <f>VLOOKUP($A634,'Neraca Unaudited SIMAK'!$A$2:$R$1272,11,FALSE)+IF(ISNA(VLOOKUP($A634,'Mutasi Neraca'!$A$3:$S$910,11,FALSE)),0,VLOOKUP($A634,'Mutasi Neraca'!$A$3:$S$910,11,FALSE))</f>
        <v>0</v>
      </c>
      <c r="M634" s="42">
        <f>VLOOKUP($A634,'Neraca Unaudited SIMAK'!$A$2:$R$1272,12,FALSE)+IF(ISNA(VLOOKUP($A634,'Mutasi Neraca'!$A$3:$S$910,12,FALSE)),0,VLOOKUP($A634,'Mutasi Neraca'!$A$3:$S$910,12,FALSE))</f>
        <v>16094656933</v>
      </c>
      <c r="N634" s="42">
        <f>VLOOKUP($A634,'Neraca Unaudited SIMAK'!$A$2:$R$1272,13,FALSE)+IF(ISNA(VLOOKUP($A634,'Mutasi Neraca'!$A$3:$S$910,13,FALSE)),0,VLOOKUP($A634,'Mutasi Neraca'!$A$3:$S$910,13,FALSE))</f>
        <v>-2544602453</v>
      </c>
      <c r="O634" s="42">
        <f>VLOOKUP($A634,'Neraca Unaudited SIMAK'!$A$2:$R$1272,14,FALSE)+IF(ISNA(VLOOKUP($A634,'Mutasi Neraca'!$A$3:$S$910,14,FALSE)),0,VLOOKUP($A634,'Mutasi Neraca'!$A$3:$S$910,14,FALSE))</f>
        <v>-1364003000</v>
      </c>
      <c r="P634" s="42">
        <f>VLOOKUP($A634,'Neraca Unaudited SIMAK'!$A$2:$R$1272,15,FALSE)+IF(ISNA(VLOOKUP($A634,'Mutasi Neraca'!$A$3:$S$910,15,FALSE)),0,VLOOKUP($A634,'Mutasi Neraca'!$A$3:$S$910,15,FALSE))</f>
        <v>-29782063</v>
      </c>
      <c r="Q634" s="42">
        <f>VLOOKUP($A634,'Neraca Unaudited SIMAK'!$A$2:$R$1272,16,FALSE)+IF(ISNA(VLOOKUP($A634,'Mutasi Neraca'!$A$3:$S$910,16,FALSE)),0,VLOOKUP($A634,'Mutasi Neraca'!$A$3:$S$910,16,FALSE))</f>
        <v>0</v>
      </c>
      <c r="R634" s="42">
        <f>VLOOKUP($A634,'Neraca Unaudited SIMAK'!$A$2:$R$1272,17,FALSE)+IF(ISNA(VLOOKUP($A634,'Mutasi Neraca'!$A$3:$S$910,17,FALSE)),0,VLOOKUP($A634,'Mutasi Neraca'!$A$3:$S$910,17,FALSE))</f>
        <v>0</v>
      </c>
      <c r="S634" s="42">
        <f t="shared" si="61"/>
        <v>12156269417</v>
      </c>
    </row>
    <row r="635" spans="1:19">
      <c r="A635" s="41" t="s">
        <v>642</v>
      </c>
      <c r="B635" s="41" t="str">
        <f t="shared" si="60"/>
        <v>005012000</v>
      </c>
      <c r="D635" s="42">
        <f>VLOOKUP($A635,'Neraca Unaudited SIMAK'!$A$2:$R$1272,3,FALSE)+IF(ISNA(VLOOKUP($A635,'Mutasi Neraca'!$A$3:$S$910,3,FALSE)),0,VLOOKUP($A635,'Mutasi Neraca'!$A$3:$S$910,3,FALSE))</f>
        <v>14903300</v>
      </c>
      <c r="E635" s="42">
        <f>VLOOKUP($A635,'Neraca Unaudited SIMAK'!$A$2:$R$1272,4,FALSE)+IF(ISNA(VLOOKUP($A635,'Mutasi Neraca'!$A$3:$S$910,4,FALSE)),0,VLOOKUP($A635,'Mutasi Neraca'!$A$3:$S$910,4,FALSE))</f>
        <v>952200000</v>
      </c>
      <c r="F635" s="42">
        <f>VLOOKUP($A635,'Neraca Unaudited SIMAK'!$A$2:$R$1272,5,FALSE)+IF(ISNA(VLOOKUP($A635,'Mutasi Neraca'!$A$3:$S$910,5,FALSE)),0,VLOOKUP($A635,'Mutasi Neraca'!$A$3:$S$910,5,FALSE))</f>
        <v>2190601367</v>
      </c>
      <c r="G635" s="42">
        <f>VLOOKUP($A635,'Neraca Unaudited SIMAK'!$A$2:$R$1272,6,FALSE)+IF(ISNA(VLOOKUP($A635,'Mutasi Neraca'!$A$3:$S$910,6,FALSE)),0,VLOOKUP($A635,'Mutasi Neraca'!$A$3:$S$910,6,FALSE))</f>
        <v>5131278000</v>
      </c>
      <c r="H635" s="42">
        <f>VLOOKUP($A635,'Neraca Unaudited SIMAK'!$A$2:$R$1272,7,FALSE)+IF(ISNA(VLOOKUP($A635,'Mutasi Neraca'!$A$3:$S$910,7,FALSE)),0,VLOOKUP($A635,'Mutasi Neraca'!$A$3:$S$910,7,FALSE))</f>
        <v>282955000</v>
      </c>
      <c r="I635" s="42">
        <f>VLOOKUP($A635,'Neraca Unaudited SIMAK'!$A$2:$R$1272,8,FALSE)+IF(ISNA(VLOOKUP($A635,'Mutasi Neraca'!$A$3:$S$910,8,FALSE)),0,VLOOKUP($A635,'Mutasi Neraca'!$A$3:$S$910,8,FALSE))</f>
        <v>2828676</v>
      </c>
      <c r="J635" s="42">
        <f>VLOOKUP($A635,'Neraca Unaudited SIMAK'!$A$2:$R$1272,9,FALSE)+IF(ISNA(VLOOKUP($A635,'Mutasi Neraca'!$A$3:$S$910,9,FALSE)),0,VLOOKUP($A635,'Mutasi Neraca'!$A$3:$S$910,9,FALSE))</f>
        <v>0</v>
      </c>
      <c r="K635" s="42">
        <f>VLOOKUP($A635,'Neraca Unaudited SIMAK'!$A$2:$R$1272,10,FALSE)+IF(ISNA(VLOOKUP($A635,'Mutasi Neraca'!$A$3:$S$910,10,FALSE)),0,VLOOKUP($A635,'Mutasi Neraca'!$A$3:$S$910,10,FALSE))</f>
        <v>0</v>
      </c>
      <c r="L635" s="42">
        <f>VLOOKUP($A635,'Neraca Unaudited SIMAK'!$A$2:$R$1272,11,FALSE)+IF(ISNA(VLOOKUP($A635,'Mutasi Neraca'!$A$3:$S$910,11,FALSE)),0,VLOOKUP($A635,'Mutasi Neraca'!$A$3:$S$910,11,FALSE))</f>
        <v>392539286</v>
      </c>
      <c r="M635" s="42">
        <f>VLOOKUP($A635,'Neraca Unaudited SIMAK'!$A$2:$R$1272,12,FALSE)+IF(ISNA(VLOOKUP($A635,'Mutasi Neraca'!$A$3:$S$910,12,FALSE)),0,VLOOKUP($A635,'Mutasi Neraca'!$A$3:$S$910,12,FALSE))</f>
        <v>8967305629</v>
      </c>
      <c r="N635" s="42">
        <f>VLOOKUP($A635,'Neraca Unaudited SIMAK'!$A$2:$R$1272,13,FALSE)+IF(ISNA(VLOOKUP($A635,'Mutasi Neraca'!$A$3:$S$910,13,FALSE)),0,VLOOKUP($A635,'Mutasi Neraca'!$A$3:$S$910,13,FALSE))</f>
        <v>-1792748626</v>
      </c>
      <c r="O635" s="42">
        <f>VLOOKUP($A635,'Neraca Unaudited SIMAK'!$A$2:$R$1272,14,FALSE)+IF(ISNA(VLOOKUP($A635,'Mutasi Neraca'!$A$3:$S$910,14,FALSE)),0,VLOOKUP($A635,'Mutasi Neraca'!$A$3:$S$910,14,FALSE))</f>
        <v>-802250112</v>
      </c>
      <c r="P635" s="42">
        <f>VLOOKUP($A635,'Neraca Unaudited SIMAK'!$A$2:$R$1272,15,FALSE)+IF(ISNA(VLOOKUP($A635,'Mutasi Neraca'!$A$3:$S$910,15,FALSE)),0,VLOOKUP($A635,'Mutasi Neraca'!$A$3:$S$910,15,FALSE))</f>
        <v>-76722125</v>
      </c>
      <c r="Q635" s="42">
        <f>VLOOKUP($A635,'Neraca Unaudited SIMAK'!$A$2:$R$1272,16,FALSE)+IF(ISNA(VLOOKUP($A635,'Mutasi Neraca'!$A$3:$S$910,16,FALSE)),0,VLOOKUP($A635,'Mutasi Neraca'!$A$3:$S$910,16,FALSE))</f>
        <v>0</v>
      </c>
      <c r="R635" s="42">
        <f>VLOOKUP($A635,'Neraca Unaudited SIMAK'!$A$2:$R$1272,17,FALSE)+IF(ISNA(VLOOKUP($A635,'Mutasi Neraca'!$A$3:$S$910,17,FALSE)),0,VLOOKUP($A635,'Mutasi Neraca'!$A$3:$S$910,17,FALSE))</f>
        <v>-391711786</v>
      </c>
      <c r="S635" s="42">
        <f t="shared" si="61"/>
        <v>5903872980</v>
      </c>
    </row>
    <row r="636" spans="1:19">
      <c r="A636" s="41" t="s">
        <v>643</v>
      </c>
      <c r="B636" s="41" t="str">
        <f t="shared" si="60"/>
        <v>005012000</v>
      </c>
      <c r="D636" s="42">
        <f>VLOOKUP($A636,'Neraca Unaudited SIMAK'!$A$2:$R$1272,3,FALSE)+IF(ISNA(VLOOKUP($A636,'Mutasi Neraca'!$A$3:$S$910,3,FALSE)),0,VLOOKUP($A636,'Mutasi Neraca'!$A$3:$S$910,3,FALSE))</f>
        <v>188000</v>
      </c>
      <c r="E636" s="42">
        <f>VLOOKUP($A636,'Neraca Unaudited SIMAK'!$A$2:$R$1272,4,FALSE)+IF(ISNA(VLOOKUP($A636,'Mutasi Neraca'!$A$3:$S$910,4,FALSE)),0,VLOOKUP($A636,'Mutasi Neraca'!$A$3:$S$910,4,FALSE))</f>
        <v>189250000</v>
      </c>
      <c r="F636" s="42">
        <f>VLOOKUP($A636,'Neraca Unaudited SIMAK'!$A$2:$R$1272,5,FALSE)+IF(ISNA(VLOOKUP($A636,'Mutasi Neraca'!$A$3:$S$910,5,FALSE)),0,VLOOKUP($A636,'Mutasi Neraca'!$A$3:$S$910,5,FALSE))</f>
        <v>1085977041</v>
      </c>
      <c r="G636" s="42">
        <f>VLOOKUP($A636,'Neraca Unaudited SIMAK'!$A$2:$R$1272,6,FALSE)+IF(ISNA(VLOOKUP($A636,'Mutasi Neraca'!$A$3:$S$910,6,FALSE)),0,VLOOKUP($A636,'Mutasi Neraca'!$A$3:$S$910,6,FALSE))</f>
        <v>7116053200</v>
      </c>
      <c r="H636" s="42">
        <f>VLOOKUP($A636,'Neraca Unaudited SIMAK'!$A$2:$R$1272,7,FALSE)+IF(ISNA(VLOOKUP($A636,'Mutasi Neraca'!$A$3:$S$910,7,FALSE)),0,VLOOKUP($A636,'Mutasi Neraca'!$A$3:$S$910,7,FALSE))</f>
        <v>26626000</v>
      </c>
      <c r="I636" s="42">
        <f>VLOOKUP($A636,'Neraca Unaudited SIMAK'!$A$2:$R$1272,8,FALSE)+IF(ISNA(VLOOKUP($A636,'Mutasi Neraca'!$A$3:$S$910,8,FALSE)),0,VLOOKUP($A636,'Mutasi Neraca'!$A$3:$S$910,8,FALSE))</f>
        <v>31209298</v>
      </c>
      <c r="J636" s="42">
        <f>VLOOKUP($A636,'Neraca Unaudited SIMAK'!$A$2:$R$1272,9,FALSE)+IF(ISNA(VLOOKUP($A636,'Mutasi Neraca'!$A$3:$S$910,9,FALSE)),0,VLOOKUP($A636,'Mutasi Neraca'!$A$3:$S$910,9,FALSE))</f>
        <v>0</v>
      </c>
      <c r="K636" s="42">
        <f>VLOOKUP($A636,'Neraca Unaudited SIMAK'!$A$2:$R$1272,10,FALSE)+IF(ISNA(VLOOKUP($A636,'Mutasi Neraca'!$A$3:$S$910,10,FALSE)),0,VLOOKUP($A636,'Mutasi Neraca'!$A$3:$S$910,10,FALSE))</f>
        <v>0</v>
      </c>
      <c r="L636" s="42">
        <f>VLOOKUP($A636,'Neraca Unaudited SIMAK'!$A$2:$R$1272,11,FALSE)+IF(ISNA(VLOOKUP($A636,'Mutasi Neraca'!$A$3:$S$910,11,FALSE)),0,VLOOKUP($A636,'Mutasi Neraca'!$A$3:$S$910,11,FALSE))</f>
        <v>409687286</v>
      </c>
      <c r="M636" s="42">
        <f>VLOOKUP($A636,'Neraca Unaudited SIMAK'!$A$2:$R$1272,12,FALSE)+IF(ISNA(VLOOKUP($A636,'Mutasi Neraca'!$A$3:$S$910,12,FALSE)),0,VLOOKUP($A636,'Mutasi Neraca'!$A$3:$S$910,12,FALSE))</f>
        <v>8858990825</v>
      </c>
      <c r="N636" s="42">
        <f>VLOOKUP($A636,'Neraca Unaudited SIMAK'!$A$2:$R$1272,13,FALSE)+IF(ISNA(VLOOKUP($A636,'Mutasi Neraca'!$A$3:$S$910,13,FALSE)),0,VLOOKUP($A636,'Mutasi Neraca'!$A$3:$S$910,13,FALSE))</f>
        <v>-741862236</v>
      </c>
      <c r="O636" s="42">
        <f>VLOOKUP($A636,'Neraca Unaudited SIMAK'!$A$2:$R$1272,14,FALSE)+IF(ISNA(VLOOKUP($A636,'Mutasi Neraca'!$A$3:$S$910,14,FALSE)),0,VLOOKUP($A636,'Mutasi Neraca'!$A$3:$S$910,14,FALSE))</f>
        <v>-485142782</v>
      </c>
      <c r="P636" s="42">
        <f>VLOOKUP($A636,'Neraca Unaudited SIMAK'!$A$2:$R$1272,15,FALSE)+IF(ISNA(VLOOKUP($A636,'Mutasi Neraca'!$A$3:$S$910,15,FALSE)),0,VLOOKUP($A636,'Mutasi Neraca'!$A$3:$S$910,15,FALSE))</f>
        <v>-4954775</v>
      </c>
      <c r="Q636" s="42">
        <f>VLOOKUP($A636,'Neraca Unaudited SIMAK'!$A$2:$R$1272,16,FALSE)+IF(ISNA(VLOOKUP($A636,'Mutasi Neraca'!$A$3:$S$910,16,FALSE)),0,VLOOKUP($A636,'Mutasi Neraca'!$A$3:$S$910,16,FALSE))</f>
        <v>0</v>
      </c>
      <c r="R636" s="42">
        <f>VLOOKUP($A636,'Neraca Unaudited SIMAK'!$A$2:$R$1272,17,FALSE)+IF(ISNA(VLOOKUP($A636,'Mutasi Neraca'!$A$3:$S$910,17,FALSE)),0,VLOOKUP($A636,'Mutasi Neraca'!$A$3:$S$910,17,FALSE))</f>
        <v>-291459124</v>
      </c>
      <c r="S636" s="42">
        <f t="shared" si="61"/>
        <v>7335571908</v>
      </c>
    </row>
    <row r="637" spans="1:19">
      <c r="A637" s="41" t="s">
        <v>644</v>
      </c>
      <c r="B637" s="41" t="str">
        <f t="shared" si="60"/>
        <v>005012000</v>
      </c>
      <c r="D637" s="42">
        <f>VLOOKUP($A637,'Neraca Unaudited SIMAK'!$A$2:$R$1272,3,FALSE)+IF(ISNA(VLOOKUP($A637,'Mutasi Neraca'!$A$3:$S$910,3,FALSE)),0,VLOOKUP($A637,'Mutasi Neraca'!$A$3:$S$910,3,FALSE))</f>
        <v>2410988</v>
      </c>
      <c r="E637" s="42">
        <f>VLOOKUP($A637,'Neraca Unaudited SIMAK'!$A$2:$R$1272,4,FALSE)+IF(ISNA(VLOOKUP($A637,'Mutasi Neraca'!$A$3:$S$910,4,FALSE)),0,VLOOKUP($A637,'Mutasi Neraca'!$A$3:$S$910,4,FALSE))</f>
        <v>417525000</v>
      </c>
      <c r="F637" s="42">
        <f>VLOOKUP($A637,'Neraca Unaudited SIMAK'!$A$2:$R$1272,5,FALSE)+IF(ISNA(VLOOKUP($A637,'Mutasi Neraca'!$A$3:$S$910,5,FALSE)),0,VLOOKUP($A637,'Mutasi Neraca'!$A$3:$S$910,5,FALSE))</f>
        <v>1637403500</v>
      </c>
      <c r="G637" s="42">
        <f>VLOOKUP($A637,'Neraca Unaudited SIMAK'!$A$2:$R$1272,6,FALSE)+IF(ISNA(VLOOKUP($A637,'Mutasi Neraca'!$A$3:$S$910,6,FALSE)),0,VLOOKUP($A637,'Mutasi Neraca'!$A$3:$S$910,6,FALSE))</f>
        <v>11269428000</v>
      </c>
      <c r="H637" s="42">
        <f>VLOOKUP($A637,'Neraca Unaudited SIMAK'!$A$2:$R$1272,7,FALSE)+IF(ISNA(VLOOKUP($A637,'Mutasi Neraca'!$A$3:$S$910,7,FALSE)),0,VLOOKUP($A637,'Mutasi Neraca'!$A$3:$S$910,7,FALSE))</f>
        <v>215680000</v>
      </c>
      <c r="I637" s="42">
        <f>VLOOKUP($A637,'Neraca Unaudited SIMAK'!$A$2:$R$1272,8,FALSE)+IF(ISNA(VLOOKUP($A637,'Mutasi Neraca'!$A$3:$S$910,8,FALSE)),0,VLOOKUP($A637,'Mutasi Neraca'!$A$3:$S$910,8,FALSE))</f>
        <v>0</v>
      </c>
      <c r="J637" s="42">
        <f>VLOOKUP($A637,'Neraca Unaudited SIMAK'!$A$2:$R$1272,9,FALSE)+IF(ISNA(VLOOKUP($A637,'Mutasi Neraca'!$A$3:$S$910,9,FALSE)),0,VLOOKUP($A637,'Mutasi Neraca'!$A$3:$S$910,9,FALSE))</f>
        <v>0</v>
      </c>
      <c r="K637" s="42">
        <f>VLOOKUP($A637,'Neraca Unaudited SIMAK'!$A$2:$R$1272,10,FALSE)+IF(ISNA(VLOOKUP($A637,'Mutasi Neraca'!$A$3:$S$910,10,FALSE)),0,VLOOKUP($A637,'Mutasi Neraca'!$A$3:$S$910,10,FALSE))</f>
        <v>27390000</v>
      </c>
      <c r="L637" s="42">
        <f>VLOOKUP($A637,'Neraca Unaudited SIMAK'!$A$2:$R$1272,11,FALSE)+IF(ISNA(VLOOKUP($A637,'Mutasi Neraca'!$A$3:$S$910,11,FALSE)),0,VLOOKUP($A637,'Mutasi Neraca'!$A$3:$S$910,11,FALSE))</f>
        <v>0</v>
      </c>
      <c r="M637" s="42">
        <f>VLOOKUP($A637,'Neraca Unaudited SIMAK'!$A$2:$R$1272,12,FALSE)+IF(ISNA(VLOOKUP($A637,'Mutasi Neraca'!$A$3:$S$910,12,FALSE)),0,VLOOKUP($A637,'Mutasi Neraca'!$A$3:$S$910,12,FALSE))</f>
        <v>13569837488</v>
      </c>
      <c r="N637" s="42">
        <f>VLOOKUP($A637,'Neraca Unaudited SIMAK'!$A$2:$R$1272,13,FALSE)+IF(ISNA(VLOOKUP($A637,'Mutasi Neraca'!$A$3:$S$910,13,FALSE)),0,VLOOKUP($A637,'Mutasi Neraca'!$A$3:$S$910,13,FALSE))</f>
        <v>-632041382</v>
      </c>
      <c r="O637" s="42">
        <f>VLOOKUP($A637,'Neraca Unaudited SIMAK'!$A$2:$R$1272,14,FALSE)+IF(ISNA(VLOOKUP($A637,'Mutasi Neraca'!$A$3:$S$910,14,FALSE)),0,VLOOKUP($A637,'Mutasi Neraca'!$A$3:$S$910,14,FALSE))</f>
        <v>-493546920</v>
      </c>
      <c r="P637" s="42">
        <f>VLOOKUP($A637,'Neraca Unaudited SIMAK'!$A$2:$R$1272,15,FALSE)+IF(ISNA(VLOOKUP($A637,'Mutasi Neraca'!$A$3:$S$910,15,FALSE)),0,VLOOKUP($A637,'Mutasi Neraca'!$A$3:$S$910,15,FALSE))</f>
        <v>-34508800</v>
      </c>
      <c r="Q637" s="42">
        <f>VLOOKUP($A637,'Neraca Unaudited SIMAK'!$A$2:$R$1272,16,FALSE)+IF(ISNA(VLOOKUP($A637,'Mutasi Neraca'!$A$3:$S$910,16,FALSE)),0,VLOOKUP($A637,'Mutasi Neraca'!$A$3:$S$910,16,FALSE))</f>
        <v>0</v>
      </c>
      <c r="R637" s="42">
        <f>VLOOKUP($A637,'Neraca Unaudited SIMAK'!$A$2:$R$1272,17,FALSE)+IF(ISNA(VLOOKUP($A637,'Mutasi Neraca'!$A$3:$S$910,17,FALSE)),0,VLOOKUP($A637,'Mutasi Neraca'!$A$3:$S$910,17,FALSE))</f>
        <v>0</v>
      </c>
      <c r="S637" s="42">
        <f t="shared" si="61"/>
        <v>12409740386</v>
      </c>
    </row>
    <row r="638" spans="1:19">
      <c r="A638" s="41" t="s">
        <v>645</v>
      </c>
      <c r="B638" s="41" t="str">
        <f t="shared" si="60"/>
        <v>005012000</v>
      </c>
      <c r="D638" s="42">
        <f>VLOOKUP($A638,'Neraca Unaudited SIMAK'!$A$2:$R$1272,3,FALSE)+IF(ISNA(VLOOKUP($A638,'Mutasi Neraca'!$A$3:$S$910,3,FALSE)),0,VLOOKUP($A638,'Mutasi Neraca'!$A$3:$S$910,3,FALSE))</f>
        <v>16610500</v>
      </c>
      <c r="E638" s="42">
        <f>VLOOKUP($A638,'Neraca Unaudited SIMAK'!$A$2:$R$1272,4,FALSE)+IF(ISNA(VLOOKUP($A638,'Mutasi Neraca'!$A$3:$S$910,4,FALSE)),0,VLOOKUP($A638,'Mutasi Neraca'!$A$3:$S$910,4,FALSE))</f>
        <v>51723000</v>
      </c>
      <c r="F638" s="42">
        <f>VLOOKUP($A638,'Neraca Unaudited SIMAK'!$A$2:$R$1272,5,FALSE)+IF(ISNA(VLOOKUP($A638,'Mutasi Neraca'!$A$3:$S$910,5,FALSE)),0,VLOOKUP($A638,'Mutasi Neraca'!$A$3:$S$910,5,FALSE))</f>
        <v>1938988950</v>
      </c>
      <c r="G638" s="42">
        <f>VLOOKUP($A638,'Neraca Unaudited SIMAK'!$A$2:$R$1272,6,FALSE)+IF(ISNA(VLOOKUP($A638,'Mutasi Neraca'!$A$3:$S$910,6,FALSE)),0,VLOOKUP($A638,'Mutasi Neraca'!$A$3:$S$910,6,FALSE))</f>
        <v>9875568000</v>
      </c>
      <c r="H638" s="42">
        <f>VLOOKUP($A638,'Neraca Unaudited SIMAK'!$A$2:$R$1272,7,FALSE)+IF(ISNA(VLOOKUP($A638,'Mutasi Neraca'!$A$3:$S$910,7,FALSE)),0,VLOOKUP($A638,'Mutasi Neraca'!$A$3:$S$910,7,FALSE))</f>
        <v>156677000</v>
      </c>
      <c r="I638" s="42">
        <f>VLOOKUP($A638,'Neraca Unaudited SIMAK'!$A$2:$R$1272,8,FALSE)+IF(ISNA(VLOOKUP($A638,'Mutasi Neraca'!$A$3:$S$910,8,FALSE)),0,VLOOKUP($A638,'Mutasi Neraca'!$A$3:$S$910,8,FALSE))</f>
        <v>1788000</v>
      </c>
      <c r="J638" s="42">
        <f>VLOOKUP($A638,'Neraca Unaudited SIMAK'!$A$2:$R$1272,9,FALSE)+IF(ISNA(VLOOKUP($A638,'Mutasi Neraca'!$A$3:$S$910,9,FALSE)),0,VLOOKUP($A638,'Mutasi Neraca'!$A$3:$S$910,9,FALSE))</f>
        <v>0</v>
      </c>
      <c r="K638" s="42">
        <f>VLOOKUP($A638,'Neraca Unaudited SIMAK'!$A$2:$R$1272,10,FALSE)+IF(ISNA(VLOOKUP($A638,'Mutasi Neraca'!$A$3:$S$910,10,FALSE)),0,VLOOKUP($A638,'Mutasi Neraca'!$A$3:$S$910,10,FALSE))</f>
        <v>25500000</v>
      </c>
      <c r="L638" s="42">
        <f>VLOOKUP($A638,'Neraca Unaudited SIMAK'!$A$2:$R$1272,11,FALSE)+IF(ISNA(VLOOKUP($A638,'Mutasi Neraca'!$A$3:$S$910,11,FALSE)),0,VLOOKUP($A638,'Mutasi Neraca'!$A$3:$S$910,11,FALSE))</f>
        <v>0</v>
      </c>
      <c r="M638" s="42">
        <f>VLOOKUP($A638,'Neraca Unaudited SIMAK'!$A$2:$R$1272,12,FALSE)+IF(ISNA(VLOOKUP($A638,'Mutasi Neraca'!$A$3:$S$910,12,FALSE)),0,VLOOKUP($A638,'Mutasi Neraca'!$A$3:$S$910,12,FALSE))</f>
        <v>12066855450</v>
      </c>
      <c r="N638" s="42">
        <f>VLOOKUP($A638,'Neraca Unaudited SIMAK'!$A$2:$R$1272,13,FALSE)+IF(ISNA(VLOOKUP($A638,'Mutasi Neraca'!$A$3:$S$910,13,FALSE)),0,VLOOKUP($A638,'Mutasi Neraca'!$A$3:$S$910,13,FALSE))</f>
        <v>-692002407</v>
      </c>
      <c r="O638" s="42">
        <f>VLOOKUP($A638,'Neraca Unaudited SIMAK'!$A$2:$R$1272,14,FALSE)+IF(ISNA(VLOOKUP($A638,'Mutasi Neraca'!$A$3:$S$910,14,FALSE)),0,VLOOKUP($A638,'Mutasi Neraca'!$A$3:$S$910,14,FALSE))</f>
        <v>-278644681</v>
      </c>
      <c r="P638" s="42">
        <f>VLOOKUP($A638,'Neraca Unaudited SIMAK'!$A$2:$R$1272,15,FALSE)+IF(ISNA(VLOOKUP($A638,'Mutasi Neraca'!$A$3:$S$910,15,FALSE)),0,VLOOKUP($A638,'Mutasi Neraca'!$A$3:$S$910,15,FALSE))</f>
        <v>-5875388</v>
      </c>
      <c r="Q638" s="42">
        <f>VLOOKUP($A638,'Neraca Unaudited SIMAK'!$A$2:$R$1272,16,FALSE)+IF(ISNA(VLOOKUP($A638,'Mutasi Neraca'!$A$3:$S$910,16,FALSE)),0,VLOOKUP($A638,'Mutasi Neraca'!$A$3:$S$910,16,FALSE))</f>
        <v>0</v>
      </c>
      <c r="R638" s="42">
        <f>VLOOKUP($A638,'Neraca Unaudited SIMAK'!$A$2:$R$1272,17,FALSE)+IF(ISNA(VLOOKUP($A638,'Mutasi Neraca'!$A$3:$S$910,17,FALSE)),0,VLOOKUP($A638,'Mutasi Neraca'!$A$3:$S$910,17,FALSE))</f>
        <v>0</v>
      </c>
      <c r="S638" s="42">
        <f t="shared" si="61"/>
        <v>11090332974</v>
      </c>
    </row>
    <row r="639" spans="1:19">
      <c r="A639" s="41" t="s">
        <v>646</v>
      </c>
      <c r="B639" s="41" t="str">
        <f t="shared" si="60"/>
        <v>005012000</v>
      </c>
      <c r="D639" s="42">
        <f>VLOOKUP($A639,'Neraca Unaudited SIMAK'!$A$2:$R$1272,3,FALSE)+IF(ISNA(VLOOKUP($A639,'Mutasi Neraca'!$A$3:$S$910,3,FALSE)),0,VLOOKUP($A639,'Mutasi Neraca'!$A$3:$S$910,3,FALSE))</f>
        <v>590000</v>
      </c>
      <c r="E639" s="42">
        <f>VLOOKUP($A639,'Neraca Unaudited SIMAK'!$A$2:$R$1272,4,FALSE)+IF(ISNA(VLOOKUP($A639,'Mutasi Neraca'!$A$3:$S$910,4,FALSE)),0,VLOOKUP($A639,'Mutasi Neraca'!$A$3:$S$910,4,FALSE))</f>
        <v>481531000</v>
      </c>
      <c r="F639" s="42">
        <f>VLOOKUP($A639,'Neraca Unaudited SIMAK'!$A$2:$R$1272,5,FALSE)+IF(ISNA(VLOOKUP($A639,'Mutasi Neraca'!$A$3:$S$910,5,FALSE)),0,VLOOKUP($A639,'Mutasi Neraca'!$A$3:$S$910,5,FALSE))</f>
        <v>1069641633</v>
      </c>
      <c r="G639" s="42">
        <f>VLOOKUP($A639,'Neraca Unaudited SIMAK'!$A$2:$R$1272,6,FALSE)+IF(ISNA(VLOOKUP($A639,'Mutasi Neraca'!$A$3:$S$910,6,FALSE)),0,VLOOKUP($A639,'Mutasi Neraca'!$A$3:$S$910,6,FALSE))</f>
        <v>5550547500</v>
      </c>
      <c r="H639" s="42">
        <f>VLOOKUP($A639,'Neraca Unaudited SIMAK'!$A$2:$R$1272,7,FALSE)+IF(ISNA(VLOOKUP($A639,'Mutasi Neraca'!$A$3:$S$910,7,FALSE)),0,VLOOKUP($A639,'Mutasi Neraca'!$A$3:$S$910,7,FALSE))</f>
        <v>0</v>
      </c>
      <c r="I639" s="42">
        <f>VLOOKUP($A639,'Neraca Unaudited SIMAK'!$A$2:$R$1272,8,FALSE)+IF(ISNA(VLOOKUP($A639,'Mutasi Neraca'!$A$3:$S$910,8,FALSE)),0,VLOOKUP($A639,'Mutasi Neraca'!$A$3:$S$910,8,FALSE))</f>
        <v>185450</v>
      </c>
      <c r="J639" s="42">
        <f>VLOOKUP($A639,'Neraca Unaudited SIMAK'!$A$2:$R$1272,9,FALSE)+IF(ISNA(VLOOKUP($A639,'Mutasi Neraca'!$A$3:$S$910,9,FALSE)),0,VLOOKUP($A639,'Mutasi Neraca'!$A$3:$S$910,9,FALSE))</f>
        <v>0</v>
      </c>
      <c r="K639" s="42">
        <f>VLOOKUP($A639,'Neraca Unaudited SIMAK'!$A$2:$R$1272,10,FALSE)+IF(ISNA(VLOOKUP($A639,'Mutasi Neraca'!$A$3:$S$910,10,FALSE)),0,VLOOKUP($A639,'Mutasi Neraca'!$A$3:$S$910,10,FALSE))</f>
        <v>0</v>
      </c>
      <c r="L639" s="42">
        <f>VLOOKUP($A639,'Neraca Unaudited SIMAK'!$A$2:$R$1272,11,FALSE)+IF(ISNA(VLOOKUP($A639,'Mutasi Neraca'!$A$3:$S$910,11,FALSE)),0,VLOOKUP($A639,'Mutasi Neraca'!$A$3:$S$910,11,FALSE))</f>
        <v>100000</v>
      </c>
      <c r="M639" s="42">
        <f>VLOOKUP($A639,'Neraca Unaudited SIMAK'!$A$2:$R$1272,12,FALSE)+IF(ISNA(VLOOKUP($A639,'Mutasi Neraca'!$A$3:$S$910,12,FALSE)),0,VLOOKUP($A639,'Mutasi Neraca'!$A$3:$S$910,12,FALSE))</f>
        <v>7102595583</v>
      </c>
      <c r="N639" s="42">
        <f>VLOOKUP($A639,'Neraca Unaudited SIMAK'!$A$2:$R$1272,13,FALSE)+IF(ISNA(VLOOKUP($A639,'Mutasi Neraca'!$A$3:$S$910,13,FALSE)),0,VLOOKUP($A639,'Mutasi Neraca'!$A$3:$S$910,13,FALSE))</f>
        <v>-460752210</v>
      </c>
      <c r="O639" s="42">
        <f>VLOOKUP($A639,'Neraca Unaudited SIMAK'!$A$2:$R$1272,14,FALSE)+IF(ISNA(VLOOKUP($A639,'Mutasi Neraca'!$A$3:$S$910,14,FALSE)),0,VLOOKUP($A639,'Mutasi Neraca'!$A$3:$S$910,14,FALSE))</f>
        <v>-55505475</v>
      </c>
      <c r="P639" s="42">
        <f>VLOOKUP($A639,'Neraca Unaudited SIMAK'!$A$2:$R$1272,15,FALSE)+IF(ISNA(VLOOKUP($A639,'Mutasi Neraca'!$A$3:$S$910,15,FALSE)),0,VLOOKUP($A639,'Mutasi Neraca'!$A$3:$S$910,15,FALSE))</f>
        <v>0</v>
      </c>
      <c r="Q639" s="42">
        <f>VLOOKUP($A639,'Neraca Unaudited SIMAK'!$A$2:$R$1272,16,FALSE)+IF(ISNA(VLOOKUP($A639,'Mutasi Neraca'!$A$3:$S$910,16,FALSE)),0,VLOOKUP($A639,'Mutasi Neraca'!$A$3:$S$910,16,FALSE))</f>
        <v>0</v>
      </c>
      <c r="R639" s="42">
        <f>VLOOKUP($A639,'Neraca Unaudited SIMAK'!$A$2:$R$1272,17,FALSE)+IF(ISNA(VLOOKUP($A639,'Mutasi Neraca'!$A$3:$S$910,17,FALSE)),0,VLOOKUP($A639,'Mutasi Neraca'!$A$3:$S$910,17,FALSE))</f>
        <v>-100000</v>
      </c>
      <c r="S639" s="42">
        <f t="shared" si="61"/>
        <v>6586237898</v>
      </c>
    </row>
    <row r="640" spans="1:19">
      <c r="A640" s="41" t="s">
        <v>647</v>
      </c>
      <c r="B640" s="41" t="str">
        <f t="shared" si="60"/>
        <v>005012000</v>
      </c>
      <c r="D640" s="42">
        <f>VLOOKUP($A640,'Neraca Unaudited SIMAK'!$A$2:$R$1272,3,FALSE)+IF(ISNA(VLOOKUP($A640,'Mutasi Neraca'!$A$3:$S$910,3,FALSE)),0,VLOOKUP($A640,'Mutasi Neraca'!$A$3:$S$910,3,FALSE))</f>
        <v>4255330</v>
      </c>
      <c r="E640" s="42">
        <f>VLOOKUP($A640,'Neraca Unaudited SIMAK'!$A$2:$R$1272,4,FALSE)+IF(ISNA(VLOOKUP($A640,'Mutasi Neraca'!$A$3:$S$910,4,FALSE)),0,VLOOKUP($A640,'Mutasi Neraca'!$A$3:$S$910,4,FALSE))</f>
        <v>218016000</v>
      </c>
      <c r="F640" s="42">
        <f>VLOOKUP($A640,'Neraca Unaudited SIMAK'!$A$2:$R$1272,5,FALSE)+IF(ISNA(VLOOKUP($A640,'Mutasi Neraca'!$A$3:$S$910,5,FALSE)),0,VLOOKUP($A640,'Mutasi Neraca'!$A$3:$S$910,5,FALSE))</f>
        <v>1076100727</v>
      </c>
      <c r="G640" s="42">
        <f>VLOOKUP($A640,'Neraca Unaudited SIMAK'!$A$2:$R$1272,6,FALSE)+IF(ISNA(VLOOKUP($A640,'Mutasi Neraca'!$A$3:$S$910,6,FALSE)),0,VLOOKUP($A640,'Mutasi Neraca'!$A$3:$S$910,6,FALSE))</f>
        <v>5505278000</v>
      </c>
      <c r="H640" s="42">
        <f>VLOOKUP($A640,'Neraca Unaudited SIMAK'!$A$2:$R$1272,7,FALSE)+IF(ISNA(VLOOKUP($A640,'Mutasi Neraca'!$A$3:$S$910,7,FALSE)),0,VLOOKUP($A640,'Mutasi Neraca'!$A$3:$S$910,7,FALSE))</f>
        <v>0</v>
      </c>
      <c r="I640" s="42">
        <f>VLOOKUP($A640,'Neraca Unaudited SIMAK'!$A$2:$R$1272,8,FALSE)+IF(ISNA(VLOOKUP($A640,'Mutasi Neraca'!$A$3:$S$910,8,FALSE)),0,VLOOKUP($A640,'Mutasi Neraca'!$A$3:$S$910,8,FALSE))</f>
        <v>0</v>
      </c>
      <c r="J640" s="42">
        <f>VLOOKUP($A640,'Neraca Unaudited SIMAK'!$A$2:$R$1272,9,FALSE)+IF(ISNA(VLOOKUP($A640,'Mutasi Neraca'!$A$3:$S$910,9,FALSE)),0,VLOOKUP($A640,'Mutasi Neraca'!$A$3:$S$910,9,FALSE))</f>
        <v>0</v>
      </c>
      <c r="K640" s="42">
        <f>VLOOKUP($A640,'Neraca Unaudited SIMAK'!$A$2:$R$1272,10,FALSE)+IF(ISNA(VLOOKUP($A640,'Mutasi Neraca'!$A$3:$S$910,10,FALSE)),0,VLOOKUP($A640,'Mutasi Neraca'!$A$3:$S$910,10,FALSE))</f>
        <v>0</v>
      </c>
      <c r="L640" s="42">
        <f>VLOOKUP($A640,'Neraca Unaudited SIMAK'!$A$2:$R$1272,11,FALSE)+IF(ISNA(VLOOKUP($A640,'Mutasi Neraca'!$A$3:$S$910,11,FALSE)),0,VLOOKUP($A640,'Mutasi Neraca'!$A$3:$S$910,11,FALSE))</f>
        <v>0</v>
      </c>
      <c r="M640" s="42">
        <f>VLOOKUP($A640,'Neraca Unaudited SIMAK'!$A$2:$R$1272,12,FALSE)+IF(ISNA(VLOOKUP($A640,'Mutasi Neraca'!$A$3:$S$910,12,FALSE)),0,VLOOKUP($A640,'Mutasi Neraca'!$A$3:$S$910,12,FALSE))</f>
        <v>6803650057</v>
      </c>
      <c r="N640" s="42">
        <f>VLOOKUP($A640,'Neraca Unaudited SIMAK'!$A$2:$R$1272,13,FALSE)+IF(ISNA(VLOOKUP($A640,'Mutasi Neraca'!$A$3:$S$910,13,FALSE)),0,VLOOKUP($A640,'Mutasi Neraca'!$A$3:$S$910,13,FALSE))</f>
        <v>-392634367</v>
      </c>
      <c r="O640" s="42">
        <f>VLOOKUP($A640,'Neraca Unaudited SIMAK'!$A$2:$R$1272,14,FALSE)+IF(ISNA(VLOOKUP($A640,'Mutasi Neraca'!$A$3:$S$910,14,FALSE)),0,VLOOKUP($A640,'Mutasi Neraca'!$A$3:$S$910,14,FALSE))</f>
        <v>-165158340</v>
      </c>
      <c r="P640" s="42">
        <f>VLOOKUP($A640,'Neraca Unaudited SIMAK'!$A$2:$R$1272,15,FALSE)+IF(ISNA(VLOOKUP($A640,'Mutasi Neraca'!$A$3:$S$910,15,FALSE)),0,VLOOKUP($A640,'Mutasi Neraca'!$A$3:$S$910,15,FALSE))</f>
        <v>0</v>
      </c>
      <c r="Q640" s="42">
        <f>VLOOKUP($A640,'Neraca Unaudited SIMAK'!$A$2:$R$1272,16,FALSE)+IF(ISNA(VLOOKUP($A640,'Mutasi Neraca'!$A$3:$S$910,16,FALSE)),0,VLOOKUP($A640,'Mutasi Neraca'!$A$3:$S$910,16,FALSE))</f>
        <v>0</v>
      </c>
      <c r="R640" s="42">
        <f>VLOOKUP($A640,'Neraca Unaudited SIMAK'!$A$2:$R$1272,17,FALSE)+IF(ISNA(VLOOKUP($A640,'Mutasi Neraca'!$A$3:$S$910,17,FALSE)),0,VLOOKUP($A640,'Mutasi Neraca'!$A$3:$S$910,17,FALSE))</f>
        <v>0</v>
      </c>
      <c r="S640" s="42">
        <f t="shared" si="61"/>
        <v>6245857350</v>
      </c>
    </row>
    <row r="641" spans="1:19">
      <c r="A641" s="41" t="s">
        <v>648</v>
      </c>
      <c r="B641" s="41" t="str">
        <f t="shared" si="60"/>
        <v>005012100</v>
      </c>
      <c r="D641" s="42">
        <f>VLOOKUP($A641,'Neraca Unaudited SIMAK'!$A$2:$R$1272,3,FALSE)+IF(ISNA(VLOOKUP($A641,'Mutasi Neraca'!$A$3:$S$910,3,FALSE)),0,VLOOKUP($A641,'Mutasi Neraca'!$A$3:$S$910,3,FALSE))</f>
        <v>210000</v>
      </c>
      <c r="E641" s="42">
        <f>VLOOKUP($A641,'Neraca Unaudited SIMAK'!$A$2:$R$1272,4,FALSE)+IF(ISNA(VLOOKUP($A641,'Mutasi Neraca'!$A$3:$S$910,4,FALSE)),0,VLOOKUP($A641,'Mutasi Neraca'!$A$3:$S$910,4,FALSE))</f>
        <v>5508984000</v>
      </c>
      <c r="F641" s="42">
        <f>VLOOKUP($A641,'Neraca Unaudited SIMAK'!$A$2:$R$1272,5,FALSE)+IF(ISNA(VLOOKUP($A641,'Mutasi Neraca'!$A$3:$S$910,5,FALSE)),0,VLOOKUP($A641,'Mutasi Neraca'!$A$3:$S$910,5,FALSE))</f>
        <v>3682700516</v>
      </c>
      <c r="G641" s="42">
        <f>VLOOKUP($A641,'Neraca Unaudited SIMAK'!$A$2:$R$1272,6,FALSE)+IF(ISNA(VLOOKUP($A641,'Mutasi Neraca'!$A$3:$S$910,6,FALSE)),0,VLOOKUP($A641,'Mutasi Neraca'!$A$3:$S$910,6,FALSE))</f>
        <v>16945934900</v>
      </c>
      <c r="H641" s="42">
        <f>VLOOKUP($A641,'Neraca Unaudited SIMAK'!$A$2:$R$1272,7,FALSE)+IF(ISNA(VLOOKUP($A641,'Mutasi Neraca'!$A$3:$S$910,7,FALSE)),0,VLOOKUP($A641,'Mutasi Neraca'!$A$3:$S$910,7,FALSE))</f>
        <v>281355000</v>
      </c>
      <c r="I641" s="42">
        <f>VLOOKUP($A641,'Neraca Unaudited SIMAK'!$A$2:$R$1272,8,FALSE)+IF(ISNA(VLOOKUP($A641,'Mutasi Neraca'!$A$3:$S$910,8,FALSE)),0,VLOOKUP($A641,'Mutasi Neraca'!$A$3:$S$910,8,FALSE))</f>
        <v>7600796</v>
      </c>
      <c r="J641" s="42">
        <f>VLOOKUP($A641,'Neraca Unaudited SIMAK'!$A$2:$R$1272,9,FALSE)+IF(ISNA(VLOOKUP($A641,'Mutasi Neraca'!$A$3:$S$910,9,FALSE)),0,VLOOKUP($A641,'Mutasi Neraca'!$A$3:$S$910,9,FALSE))</f>
        <v>0</v>
      </c>
      <c r="K641" s="42">
        <f>VLOOKUP($A641,'Neraca Unaudited SIMAK'!$A$2:$R$1272,10,FALSE)+IF(ISNA(VLOOKUP($A641,'Mutasi Neraca'!$A$3:$S$910,10,FALSE)),0,VLOOKUP($A641,'Mutasi Neraca'!$A$3:$S$910,10,FALSE))</f>
        <v>0</v>
      </c>
      <c r="L641" s="42">
        <f>VLOOKUP($A641,'Neraca Unaudited SIMAK'!$A$2:$R$1272,11,FALSE)+IF(ISNA(VLOOKUP($A641,'Mutasi Neraca'!$A$3:$S$910,11,FALSE)),0,VLOOKUP($A641,'Mutasi Neraca'!$A$3:$S$910,11,FALSE))</f>
        <v>9446000</v>
      </c>
      <c r="M641" s="42">
        <f>VLOOKUP($A641,'Neraca Unaudited SIMAK'!$A$2:$R$1272,12,FALSE)+IF(ISNA(VLOOKUP($A641,'Mutasi Neraca'!$A$3:$S$910,12,FALSE)),0,VLOOKUP($A641,'Mutasi Neraca'!$A$3:$S$910,12,FALSE))</f>
        <v>26436231212</v>
      </c>
      <c r="N641" s="42">
        <f>VLOOKUP($A641,'Neraca Unaudited SIMAK'!$A$2:$R$1272,13,FALSE)+IF(ISNA(VLOOKUP($A641,'Mutasi Neraca'!$A$3:$S$910,13,FALSE)),0,VLOOKUP($A641,'Mutasi Neraca'!$A$3:$S$910,13,FALSE))</f>
        <v>-3295117399</v>
      </c>
      <c r="O641" s="42">
        <f>VLOOKUP($A641,'Neraca Unaudited SIMAK'!$A$2:$R$1272,14,FALSE)+IF(ISNA(VLOOKUP($A641,'Mutasi Neraca'!$A$3:$S$910,14,FALSE)),0,VLOOKUP($A641,'Mutasi Neraca'!$A$3:$S$910,14,FALSE))</f>
        <v>-1377045528</v>
      </c>
      <c r="P641" s="42">
        <f>VLOOKUP($A641,'Neraca Unaudited SIMAK'!$A$2:$R$1272,15,FALSE)+IF(ISNA(VLOOKUP($A641,'Mutasi Neraca'!$A$3:$S$910,15,FALSE)),0,VLOOKUP($A641,'Mutasi Neraca'!$A$3:$S$910,15,FALSE))</f>
        <v>-30706405</v>
      </c>
      <c r="Q641" s="42">
        <f>VLOOKUP($A641,'Neraca Unaudited SIMAK'!$A$2:$R$1272,16,FALSE)+IF(ISNA(VLOOKUP($A641,'Mutasi Neraca'!$A$3:$S$910,16,FALSE)),0,VLOOKUP($A641,'Mutasi Neraca'!$A$3:$S$910,16,FALSE))</f>
        <v>0</v>
      </c>
      <c r="R641" s="42">
        <f>VLOOKUP($A641,'Neraca Unaudited SIMAK'!$A$2:$R$1272,17,FALSE)+IF(ISNA(VLOOKUP($A641,'Mutasi Neraca'!$A$3:$S$910,17,FALSE)),0,VLOOKUP($A641,'Mutasi Neraca'!$A$3:$S$910,17,FALSE))</f>
        <v>-9446000</v>
      </c>
      <c r="S641" s="42">
        <f t="shared" si="61"/>
        <v>21723915880</v>
      </c>
    </row>
    <row r="642" spans="1:19">
      <c r="A642" s="41" t="s">
        <v>649</v>
      </c>
      <c r="B642" s="41" t="str">
        <f t="shared" si="60"/>
        <v>005012100</v>
      </c>
      <c r="D642" s="42">
        <f>VLOOKUP($A642,'Neraca Unaudited SIMAK'!$A$2:$R$1272,3,FALSE)+IF(ISNA(VLOOKUP($A642,'Mutasi Neraca'!$A$3:$S$910,3,FALSE)),0,VLOOKUP($A642,'Mutasi Neraca'!$A$3:$S$910,3,FALSE))</f>
        <v>330500</v>
      </c>
      <c r="E642" s="42">
        <f>VLOOKUP($A642,'Neraca Unaudited SIMAK'!$A$2:$R$1272,4,FALSE)+IF(ISNA(VLOOKUP($A642,'Mutasi Neraca'!$A$3:$S$910,4,FALSE)),0,VLOOKUP($A642,'Mutasi Neraca'!$A$3:$S$910,4,FALSE))</f>
        <v>12166950000</v>
      </c>
      <c r="F642" s="42">
        <f>VLOOKUP($A642,'Neraca Unaudited SIMAK'!$A$2:$R$1272,5,FALSE)+IF(ISNA(VLOOKUP($A642,'Mutasi Neraca'!$A$3:$S$910,5,FALSE)),0,VLOOKUP($A642,'Mutasi Neraca'!$A$3:$S$910,5,FALSE))</f>
        <v>3213002259</v>
      </c>
      <c r="G642" s="42">
        <f>VLOOKUP($A642,'Neraca Unaudited SIMAK'!$A$2:$R$1272,6,FALSE)+IF(ISNA(VLOOKUP($A642,'Mutasi Neraca'!$A$3:$S$910,6,FALSE)),0,VLOOKUP($A642,'Mutasi Neraca'!$A$3:$S$910,6,FALSE))</f>
        <v>20653415249</v>
      </c>
      <c r="H642" s="42">
        <f>VLOOKUP($A642,'Neraca Unaudited SIMAK'!$A$2:$R$1272,7,FALSE)+IF(ISNA(VLOOKUP($A642,'Mutasi Neraca'!$A$3:$S$910,7,FALSE)),0,VLOOKUP($A642,'Mutasi Neraca'!$A$3:$S$910,7,FALSE))</f>
        <v>84496000</v>
      </c>
      <c r="I642" s="42">
        <f>VLOOKUP($A642,'Neraca Unaudited SIMAK'!$A$2:$R$1272,8,FALSE)+IF(ISNA(VLOOKUP($A642,'Mutasi Neraca'!$A$3:$S$910,8,FALSE)),0,VLOOKUP($A642,'Mutasi Neraca'!$A$3:$S$910,8,FALSE))</f>
        <v>1943440</v>
      </c>
      <c r="J642" s="42">
        <f>VLOOKUP($A642,'Neraca Unaudited SIMAK'!$A$2:$R$1272,9,FALSE)+IF(ISNA(VLOOKUP($A642,'Mutasi Neraca'!$A$3:$S$910,9,FALSE)),0,VLOOKUP($A642,'Mutasi Neraca'!$A$3:$S$910,9,FALSE))</f>
        <v>0</v>
      </c>
      <c r="K642" s="42">
        <f>VLOOKUP($A642,'Neraca Unaudited SIMAK'!$A$2:$R$1272,10,FALSE)+IF(ISNA(VLOOKUP($A642,'Mutasi Neraca'!$A$3:$S$910,10,FALSE)),0,VLOOKUP($A642,'Mutasi Neraca'!$A$3:$S$910,10,FALSE))</f>
        <v>0</v>
      </c>
      <c r="L642" s="42">
        <f>VLOOKUP($A642,'Neraca Unaudited SIMAK'!$A$2:$R$1272,11,FALSE)+IF(ISNA(VLOOKUP($A642,'Mutasi Neraca'!$A$3:$S$910,11,FALSE)),0,VLOOKUP($A642,'Mutasi Neraca'!$A$3:$S$910,11,FALSE))</f>
        <v>246000000</v>
      </c>
      <c r="M642" s="42">
        <f>VLOOKUP($A642,'Neraca Unaudited SIMAK'!$A$2:$R$1272,12,FALSE)+IF(ISNA(VLOOKUP($A642,'Mutasi Neraca'!$A$3:$S$910,12,FALSE)),0,VLOOKUP($A642,'Mutasi Neraca'!$A$3:$S$910,12,FALSE))</f>
        <v>36366137448</v>
      </c>
      <c r="N642" s="42">
        <f>VLOOKUP($A642,'Neraca Unaudited SIMAK'!$A$2:$R$1272,13,FALSE)+IF(ISNA(VLOOKUP($A642,'Mutasi Neraca'!$A$3:$S$910,13,FALSE)),0,VLOOKUP($A642,'Mutasi Neraca'!$A$3:$S$910,13,FALSE))</f>
        <v>-2511223420</v>
      </c>
      <c r="O642" s="42">
        <f>VLOOKUP($A642,'Neraca Unaudited SIMAK'!$A$2:$R$1272,14,FALSE)+IF(ISNA(VLOOKUP($A642,'Mutasi Neraca'!$A$3:$S$910,14,FALSE)),0,VLOOKUP($A642,'Mutasi Neraca'!$A$3:$S$910,14,FALSE))</f>
        <v>-1226179923</v>
      </c>
      <c r="P642" s="42">
        <f>VLOOKUP($A642,'Neraca Unaudited SIMAK'!$A$2:$R$1272,15,FALSE)+IF(ISNA(VLOOKUP($A642,'Mutasi Neraca'!$A$3:$S$910,15,FALSE)),0,VLOOKUP($A642,'Mutasi Neraca'!$A$3:$S$910,15,FALSE))</f>
        <v>-5281000</v>
      </c>
      <c r="Q642" s="42">
        <f>VLOOKUP($A642,'Neraca Unaudited SIMAK'!$A$2:$R$1272,16,FALSE)+IF(ISNA(VLOOKUP($A642,'Mutasi Neraca'!$A$3:$S$910,16,FALSE)),0,VLOOKUP($A642,'Mutasi Neraca'!$A$3:$S$910,16,FALSE))</f>
        <v>0</v>
      </c>
      <c r="R642" s="42">
        <f>VLOOKUP($A642,'Neraca Unaudited SIMAK'!$A$2:$R$1272,17,FALSE)+IF(ISNA(VLOOKUP($A642,'Mutasi Neraca'!$A$3:$S$910,17,FALSE)),0,VLOOKUP($A642,'Mutasi Neraca'!$A$3:$S$910,17,FALSE))</f>
        <v>-69318667</v>
      </c>
      <c r="S642" s="42">
        <f t="shared" si="61"/>
        <v>32554134438</v>
      </c>
    </row>
    <row r="643" spans="1:19">
      <c r="A643" s="41" t="s">
        <v>650</v>
      </c>
      <c r="B643" s="41" t="str">
        <f t="shared" ref="B643:B706" si="62">LEFT(A643,9)</f>
        <v>005012100</v>
      </c>
      <c r="D643" s="42">
        <f>VLOOKUP($A643,'Neraca Unaudited SIMAK'!$A$2:$R$1272,3,FALSE)+IF(ISNA(VLOOKUP($A643,'Mutasi Neraca'!$A$3:$S$910,3,FALSE)),0,VLOOKUP($A643,'Mutasi Neraca'!$A$3:$S$910,3,FALSE))</f>
        <v>252000</v>
      </c>
      <c r="E643" s="42">
        <f>VLOOKUP($A643,'Neraca Unaudited SIMAK'!$A$2:$R$1272,4,FALSE)+IF(ISNA(VLOOKUP($A643,'Mutasi Neraca'!$A$3:$S$910,4,FALSE)),0,VLOOKUP($A643,'Mutasi Neraca'!$A$3:$S$910,4,FALSE))</f>
        <v>1757421000</v>
      </c>
      <c r="F643" s="42">
        <f>VLOOKUP($A643,'Neraca Unaudited SIMAK'!$A$2:$R$1272,5,FALSE)+IF(ISNA(VLOOKUP($A643,'Mutasi Neraca'!$A$3:$S$910,5,FALSE)),0,VLOOKUP($A643,'Mutasi Neraca'!$A$3:$S$910,5,FALSE))</f>
        <v>865631000</v>
      </c>
      <c r="G643" s="42">
        <f>VLOOKUP($A643,'Neraca Unaudited SIMAK'!$A$2:$R$1272,6,FALSE)+IF(ISNA(VLOOKUP($A643,'Mutasi Neraca'!$A$3:$S$910,6,FALSE)),0,VLOOKUP($A643,'Mutasi Neraca'!$A$3:$S$910,6,FALSE))</f>
        <v>7056898673</v>
      </c>
      <c r="H643" s="42">
        <f>VLOOKUP($A643,'Neraca Unaudited SIMAK'!$A$2:$R$1272,7,FALSE)+IF(ISNA(VLOOKUP($A643,'Mutasi Neraca'!$A$3:$S$910,7,FALSE)),0,VLOOKUP($A643,'Mutasi Neraca'!$A$3:$S$910,7,FALSE))</f>
        <v>25000000</v>
      </c>
      <c r="I643" s="42">
        <f>VLOOKUP($A643,'Neraca Unaudited SIMAK'!$A$2:$R$1272,8,FALSE)+IF(ISNA(VLOOKUP($A643,'Mutasi Neraca'!$A$3:$S$910,8,FALSE)),0,VLOOKUP($A643,'Mutasi Neraca'!$A$3:$S$910,8,FALSE))</f>
        <v>160588317</v>
      </c>
      <c r="J643" s="42">
        <f>VLOOKUP($A643,'Neraca Unaudited SIMAK'!$A$2:$R$1272,9,FALSE)+IF(ISNA(VLOOKUP($A643,'Mutasi Neraca'!$A$3:$S$910,9,FALSE)),0,VLOOKUP($A643,'Mutasi Neraca'!$A$3:$S$910,9,FALSE))</f>
        <v>0</v>
      </c>
      <c r="K643" s="42">
        <f>VLOOKUP($A643,'Neraca Unaudited SIMAK'!$A$2:$R$1272,10,FALSE)+IF(ISNA(VLOOKUP($A643,'Mutasi Neraca'!$A$3:$S$910,10,FALSE)),0,VLOOKUP($A643,'Mutasi Neraca'!$A$3:$S$910,10,FALSE))</f>
        <v>0</v>
      </c>
      <c r="L643" s="42">
        <f>VLOOKUP($A643,'Neraca Unaudited SIMAK'!$A$2:$R$1272,11,FALSE)+IF(ISNA(VLOOKUP($A643,'Mutasi Neraca'!$A$3:$S$910,11,FALSE)),0,VLOOKUP($A643,'Mutasi Neraca'!$A$3:$S$910,11,FALSE))</f>
        <v>9568000</v>
      </c>
      <c r="M643" s="42">
        <f>VLOOKUP($A643,'Neraca Unaudited SIMAK'!$A$2:$R$1272,12,FALSE)+IF(ISNA(VLOOKUP($A643,'Mutasi Neraca'!$A$3:$S$910,12,FALSE)),0,VLOOKUP($A643,'Mutasi Neraca'!$A$3:$S$910,12,FALSE))</f>
        <v>9875358990</v>
      </c>
      <c r="N643" s="42">
        <f>VLOOKUP($A643,'Neraca Unaudited SIMAK'!$A$2:$R$1272,13,FALSE)+IF(ISNA(VLOOKUP($A643,'Mutasi Neraca'!$A$3:$S$910,13,FALSE)),0,VLOOKUP($A643,'Mutasi Neraca'!$A$3:$S$910,13,FALSE))</f>
        <v>-517236279</v>
      </c>
      <c r="O643" s="42">
        <f>VLOOKUP($A643,'Neraca Unaudited SIMAK'!$A$2:$R$1272,14,FALSE)+IF(ISNA(VLOOKUP($A643,'Mutasi Neraca'!$A$3:$S$910,14,FALSE)),0,VLOOKUP($A643,'Mutasi Neraca'!$A$3:$S$910,14,FALSE))</f>
        <v>-5192291080</v>
      </c>
      <c r="P643" s="42">
        <f>VLOOKUP($A643,'Neraca Unaudited SIMAK'!$A$2:$R$1272,15,FALSE)+IF(ISNA(VLOOKUP($A643,'Mutasi Neraca'!$A$3:$S$910,15,FALSE)),0,VLOOKUP($A643,'Mutasi Neraca'!$A$3:$S$910,15,FALSE))</f>
        <v>-3125000</v>
      </c>
      <c r="Q643" s="42">
        <f>VLOOKUP($A643,'Neraca Unaudited SIMAK'!$A$2:$R$1272,16,FALSE)+IF(ISNA(VLOOKUP($A643,'Mutasi Neraca'!$A$3:$S$910,16,FALSE)),0,VLOOKUP($A643,'Mutasi Neraca'!$A$3:$S$910,16,FALSE))</f>
        <v>0</v>
      </c>
      <c r="R643" s="42">
        <f>VLOOKUP($A643,'Neraca Unaudited SIMAK'!$A$2:$R$1272,17,FALSE)+IF(ISNA(VLOOKUP($A643,'Mutasi Neraca'!$A$3:$S$910,17,FALSE)),0,VLOOKUP($A643,'Mutasi Neraca'!$A$3:$S$910,17,FALSE))</f>
        <v>-9568000</v>
      </c>
      <c r="S643" s="42">
        <f t="shared" ref="S643:S706" si="63">SUM(M643:R643)</f>
        <v>4153138631</v>
      </c>
    </row>
    <row r="644" spans="1:19">
      <c r="A644" s="41" t="s">
        <v>651</v>
      </c>
      <c r="B644" s="41" t="str">
        <f t="shared" si="62"/>
        <v>005012100</v>
      </c>
      <c r="D644" s="42">
        <f>VLOOKUP($A644,'Neraca Unaudited SIMAK'!$A$2:$R$1272,3,FALSE)+IF(ISNA(VLOOKUP($A644,'Mutasi Neraca'!$A$3:$S$910,3,FALSE)),0,VLOOKUP($A644,'Mutasi Neraca'!$A$3:$S$910,3,FALSE))</f>
        <v>137000</v>
      </c>
      <c r="E644" s="42">
        <f>VLOOKUP($A644,'Neraca Unaudited SIMAK'!$A$2:$R$1272,4,FALSE)+IF(ISNA(VLOOKUP($A644,'Mutasi Neraca'!$A$3:$S$910,4,FALSE)),0,VLOOKUP($A644,'Mutasi Neraca'!$A$3:$S$910,4,FALSE))</f>
        <v>1054820000</v>
      </c>
      <c r="F644" s="42">
        <f>VLOOKUP($A644,'Neraca Unaudited SIMAK'!$A$2:$R$1272,5,FALSE)+IF(ISNA(VLOOKUP($A644,'Mutasi Neraca'!$A$3:$S$910,5,FALSE)),0,VLOOKUP($A644,'Mutasi Neraca'!$A$3:$S$910,5,FALSE))</f>
        <v>2245394562</v>
      </c>
      <c r="G644" s="42">
        <f>VLOOKUP($A644,'Neraca Unaudited SIMAK'!$A$2:$R$1272,6,FALSE)+IF(ISNA(VLOOKUP($A644,'Mutasi Neraca'!$A$3:$S$910,6,FALSE)),0,VLOOKUP($A644,'Mutasi Neraca'!$A$3:$S$910,6,FALSE))</f>
        <v>7812703000</v>
      </c>
      <c r="H644" s="42">
        <f>VLOOKUP($A644,'Neraca Unaudited SIMAK'!$A$2:$R$1272,7,FALSE)+IF(ISNA(VLOOKUP($A644,'Mutasi Neraca'!$A$3:$S$910,7,FALSE)),0,VLOOKUP($A644,'Mutasi Neraca'!$A$3:$S$910,7,FALSE))</f>
        <v>124770000</v>
      </c>
      <c r="I644" s="42">
        <f>VLOOKUP($A644,'Neraca Unaudited SIMAK'!$A$2:$R$1272,8,FALSE)+IF(ISNA(VLOOKUP($A644,'Mutasi Neraca'!$A$3:$S$910,8,FALSE)),0,VLOOKUP($A644,'Mutasi Neraca'!$A$3:$S$910,8,FALSE))</f>
        <v>154548769</v>
      </c>
      <c r="J644" s="42">
        <f>VLOOKUP($A644,'Neraca Unaudited SIMAK'!$A$2:$R$1272,9,FALSE)+IF(ISNA(VLOOKUP($A644,'Mutasi Neraca'!$A$3:$S$910,9,FALSE)),0,VLOOKUP($A644,'Mutasi Neraca'!$A$3:$S$910,9,FALSE))</f>
        <v>0</v>
      </c>
      <c r="K644" s="42">
        <f>VLOOKUP($A644,'Neraca Unaudited SIMAK'!$A$2:$R$1272,10,FALSE)+IF(ISNA(VLOOKUP($A644,'Mutasi Neraca'!$A$3:$S$910,10,FALSE)),0,VLOOKUP($A644,'Mutasi Neraca'!$A$3:$S$910,10,FALSE))</f>
        <v>0</v>
      </c>
      <c r="L644" s="42">
        <f>VLOOKUP($A644,'Neraca Unaudited SIMAK'!$A$2:$R$1272,11,FALSE)+IF(ISNA(VLOOKUP($A644,'Mutasi Neraca'!$A$3:$S$910,11,FALSE)),0,VLOOKUP($A644,'Mutasi Neraca'!$A$3:$S$910,11,FALSE))</f>
        <v>240724546</v>
      </c>
      <c r="M644" s="42">
        <f>VLOOKUP($A644,'Neraca Unaudited SIMAK'!$A$2:$R$1272,12,FALSE)+IF(ISNA(VLOOKUP($A644,'Mutasi Neraca'!$A$3:$S$910,12,FALSE)),0,VLOOKUP($A644,'Mutasi Neraca'!$A$3:$S$910,12,FALSE))</f>
        <v>11633097877</v>
      </c>
      <c r="N644" s="42">
        <f>VLOOKUP($A644,'Neraca Unaudited SIMAK'!$A$2:$R$1272,13,FALSE)+IF(ISNA(VLOOKUP($A644,'Mutasi Neraca'!$A$3:$S$910,13,FALSE)),0,VLOOKUP($A644,'Mutasi Neraca'!$A$3:$S$910,13,FALSE))</f>
        <v>-1653079890</v>
      </c>
      <c r="O644" s="42">
        <f>VLOOKUP($A644,'Neraca Unaudited SIMAK'!$A$2:$R$1272,14,FALSE)+IF(ISNA(VLOOKUP($A644,'Mutasi Neraca'!$A$3:$S$910,14,FALSE)),0,VLOOKUP($A644,'Mutasi Neraca'!$A$3:$S$910,14,FALSE))</f>
        <v>-1449679942</v>
      </c>
      <c r="P644" s="42">
        <f>VLOOKUP($A644,'Neraca Unaudited SIMAK'!$A$2:$R$1272,15,FALSE)+IF(ISNA(VLOOKUP($A644,'Mutasi Neraca'!$A$3:$S$910,15,FALSE)),0,VLOOKUP($A644,'Mutasi Neraca'!$A$3:$S$910,15,FALSE))</f>
        <v>-19961453</v>
      </c>
      <c r="Q644" s="42">
        <f>VLOOKUP($A644,'Neraca Unaudited SIMAK'!$A$2:$R$1272,16,FALSE)+IF(ISNA(VLOOKUP($A644,'Mutasi Neraca'!$A$3:$S$910,16,FALSE)),0,VLOOKUP($A644,'Mutasi Neraca'!$A$3:$S$910,16,FALSE))</f>
        <v>0</v>
      </c>
      <c r="R644" s="42">
        <f>VLOOKUP($A644,'Neraca Unaudited SIMAK'!$A$2:$R$1272,17,FALSE)+IF(ISNA(VLOOKUP($A644,'Mutasi Neraca'!$A$3:$S$910,17,FALSE)),0,VLOOKUP($A644,'Mutasi Neraca'!$A$3:$S$910,17,FALSE))</f>
        <v>-240704546</v>
      </c>
      <c r="S644" s="42">
        <f t="shared" si="63"/>
        <v>8269672046</v>
      </c>
    </row>
    <row r="645" spans="1:19">
      <c r="A645" s="41" t="s">
        <v>652</v>
      </c>
      <c r="B645" s="41" t="str">
        <f t="shared" si="62"/>
        <v>005012100</v>
      </c>
      <c r="D645" s="42">
        <f>VLOOKUP($A645,'Neraca Unaudited SIMAK'!$A$2:$R$1272,3,FALSE)+IF(ISNA(VLOOKUP($A645,'Mutasi Neraca'!$A$3:$S$910,3,FALSE)),0,VLOOKUP($A645,'Mutasi Neraca'!$A$3:$S$910,3,FALSE))</f>
        <v>93000</v>
      </c>
      <c r="E645" s="42">
        <f>VLOOKUP($A645,'Neraca Unaudited SIMAK'!$A$2:$R$1272,4,FALSE)+IF(ISNA(VLOOKUP($A645,'Mutasi Neraca'!$A$3:$S$910,4,FALSE)),0,VLOOKUP($A645,'Mutasi Neraca'!$A$3:$S$910,4,FALSE))</f>
        <v>1322800000</v>
      </c>
      <c r="F645" s="42">
        <f>VLOOKUP($A645,'Neraca Unaudited SIMAK'!$A$2:$R$1272,5,FALSE)+IF(ISNA(VLOOKUP($A645,'Mutasi Neraca'!$A$3:$S$910,5,FALSE)),0,VLOOKUP($A645,'Mutasi Neraca'!$A$3:$S$910,5,FALSE))</f>
        <v>2096100140</v>
      </c>
      <c r="G645" s="42">
        <f>VLOOKUP($A645,'Neraca Unaudited SIMAK'!$A$2:$R$1272,6,FALSE)+IF(ISNA(VLOOKUP($A645,'Mutasi Neraca'!$A$3:$S$910,6,FALSE)),0,VLOOKUP($A645,'Mutasi Neraca'!$A$3:$S$910,6,FALSE))</f>
        <v>2819219425</v>
      </c>
      <c r="H645" s="42">
        <f>VLOOKUP($A645,'Neraca Unaudited SIMAK'!$A$2:$R$1272,7,FALSE)+IF(ISNA(VLOOKUP($A645,'Mutasi Neraca'!$A$3:$S$910,7,FALSE)),0,VLOOKUP($A645,'Mutasi Neraca'!$A$3:$S$910,7,FALSE))</f>
        <v>180761900</v>
      </c>
      <c r="I645" s="42">
        <f>VLOOKUP($A645,'Neraca Unaudited SIMAK'!$A$2:$R$1272,8,FALSE)+IF(ISNA(VLOOKUP($A645,'Mutasi Neraca'!$A$3:$S$910,8,FALSE)),0,VLOOKUP($A645,'Mutasi Neraca'!$A$3:$S$910,8,FALSE))</f>
        <v>4723970</v>
      </c>
      <c r="J645" s="42">
        <f>VLOOKUP($A645,'Neraca Unaudited SIMAK'!$A$2:$R$1272,9,FALSE)+IF(ISNA(VLOOKUP($A645,'Mutasi Neraca'!$A$3:$S$910,9,FALSE)),0,VLOOKUP($A645,'Mutasi Neraca'!$A$3:$S$910,9,FALSE))</f>
        <v>0</v>
      </c>
      <c r="K645" s="42">
        <f>VLOOKUP($A645,'Neraca Unaudited SIMAK'!$A$2:$R$1272,10,FALSE)+IF(ISNA(VLOOKUP($A645,'Mutasi Neraca'!$A$3:$S$910,10,FALSE)),0,VLOOKUP($A645,'Mutasi Neraca'!$A$3:$S$910,10,FALSE))</f>
        <v>0</v>
      </c>
      <c r="L645" s="42">
        <f>VLOOKUP($A645,'Neraca Unaudited SIMAK'!$A$2:$R$1272,11,FALSE)+IF(ISNA(VLOOKUP($A645,'Mutasi Neraca'!$A$3:$S$910,11,FALSE)),0,VLOOKUP($A645,'Mutasi Neraca'!$A$3:$S$910,11,FALSE))</f>
        <v>0</v>
      </c>
      <c r="M645" s="42">
        <f>VLOOKUP($A645,'Neraca Unaudited SIMAK'!$A$2:$R$1272,12,FALSE)+IF(ISNA(VLOOKUP($A645,'Mutasi Neraca'!$A$3:$S$910,12,FALSE)),0,VLOOKUP($A645,'Mutasi Neraca'!$A$3:$S$910,12,FALSE))</f>
        <v>6423698435</v>
      </c>
      <c r="N645" s="42">
        <f>VLOOKUP($A645,'Neraca Unaudited SIMAK'!$A$2:$R$1272,13,FALSE)+IF(ISNA(VLOOKUP($A645,'Mutasi Neraca'!$A$3:$S$910,13,FALSE)),0,VLOOKUP($A645,'Mutasi Neraca'!$A$3:$S$910,13,FALSE))</f>
        <v>-1575665834</v>
      </c>
      <c r="O645" s="42">
        <f>VLOOKUP($A645,'Neraca Unaudited SIMAK'!$A$2:$R$1272,14,FALSE)+IF(ISNA(VLOOKUP($A645,'Mutasi Neraca'!$A$3:$S$910,14,FALSE)),0,VLOOKUP($A645,'Mutasi Neraca'!$A$3:$S$910,14,FALSE))</f>
        <v>-386954550</v>
      </c>
      <c r="P645" s="42">
        <f>VLOOKUP($A645,'Neraca Unaudited SIMAK'!$A$2:$R$1272,15,FALSE)+IF(ISNA(VLOOKUP($A645,'Mutasi Neraca'!$A$3:$S$910,15,FALSE)),0,VLOOKUP($A645,'Mutasi Neraca'!$A$3:$S$910,15,FALSE))</f>
        <v>-135571425</v>
      </c>
      <c r="Q645" s="42">
        <f>VLOOKUP($A645,'Neraca Unaudited SIMAK'!$A$2:$R$1272,16,FALSE)+IF(ISNA(VLOOKUP($A645,'Mutasi Neraca'!$A$3:$S$910,16,FALSE)),0,VLOOKUP($A645,'Mutasi Neraca'!$A$3:$S$910,16,FALSE))</f>
        <v>0</v>
      </c>
      <c r="R645" s="42">
        <f>VLOOKUP($A645,'Neraca Unaudited SIMAK'!$A$2:$R$1272,17,FALSE)+IF(ISNA(VLOOKUP($A645,'Mutasi Neraca'!$A$3:$S$910,17,FALSE)),0,VLOOKUP($A645,'Mutasi Neraca'!$A$3:$S$910,17,FALSE))</f>
        <v>0</v>
      </c>
      <c r="S645" s="42">
        <f t="shared" si="63"/>
        <v>4325506626</v>
      </c>
    </row>
    <row r="646" spans="1:19">
      <c r="A646" s="41" t="s">
        <v>653</v>
      </c>
      <c r="B646" s="41" t="str">
        <f t="shared" si="62"/>
        <v>005012100</v>
      </c>
      <c r="D646" s="42">
        <f>VLOOKUP($A646,'Neraca Unaudited SIMAK'!$A$2:$R$1272,3,FALSE)+IF(ISNA(VLOOKUP($A646,'Mutasi Neraca'!$A$3:$S$910,3,FALSE)),0,VLOOKUP($A646,'Mutasi Neraca'!$A$3:$S$910,3,FALSE))</f>
        <v>324000</v>
      </c>
      <c r="E646" s="42">
        <f>VLOOKUP($A646,'Neraca Unaudited SIMAK'!$A$2:$R$1272,4,FALSE)+IF(ISNA(VLOOKUP($A646,'Mutasi Neraca'!$A$3:$S$910,4,FALSE)),0,VLOOKUP($A646,'Mutasi Neraca'!$A$3:$S$910,4,FALSE))</f>
        <v>1033000000</v>
      </c>
      <c r="F646" s="42">
        <f>VLOOKUP($A646,'Neraca Unaudited SIMAK'!$A$2:$R$1272,5,FALSE)+IF(ISNA(VLOOKUP($A646,'Mutasi Neraca'!$A$3:$S$910,5,FALSE)),0,VLOOKUP($A646,'Mutasi Neraca'!$A$3:$S$910,5,FALSE))</f>
        <v>1381850292</v>
      </c>
      <c r="G646" s="42">
        <f>VLOOKUP($A646,'Neraca Unaudited SIMAK'!$A$2:$R$1272,6,FALSE)+IF(ISNA(VLOOKUP($A646,'Mutasi Neraca'!$A$3:$S$910,6,FALSE)),0,VLOOKUP($A646,'Mutasi Neraca'!$A$3:$S$910,6,FALSE))</f>
        <v>8810824000</v>
      </c>
      <c r="H646" s="42">
        <f>VLOOKUP($A646,'Neraca Unaudited SIMAK'!$A$2:$R$1272,7,FALSE)+IF(ISNA(VLOOKUP($A646,'Mutasi Neraca'!$A$3:$S$910,7,FALSE)),0,VLOOKUP($A646,'Mutasi Neraca'!$A$3:$S$910,7,FALSE))</f>
        <v>0</v>
      </c>
      <c r="I646" s="42">
        <f>VLOOKUP($A646,'Neraca Unaudited SIMAK'!$A$2:$R$1272,8,FALSE)+IF(ISNA(VLOOKUP($A646,'Mutasi Neraca'!$A$3:$S$910,8,FALSE)),0,VLOOKUP($A646,'Mutasi Neraca'!$A$3:$S$910,8,FALSE))</f>
        <v>6523970</v>
      </c>
      <c r="J646" s="42">
        <f>VLOOKUP($A646,'Neraca Unaudited SIMAK'!$A$2:$R$1272,9,FALSE)+IF(ISNA(VLOOKUP($A646,'Mutasi Neraca'!$A$3:$S$910,9,FALSE)),0,VLOOKUP($A646,'Mutasi Neraca'!$A$3:$S$910,9,FALSE))</f>
        <v>0</v>
      </c>
      <c r="K646" s="42">
        <f>VLOOKUP($A646,'Neraca Unaudited SIMAK'!$A$2:$R$1272,10,FALSE)+IF(ISNA(VLOOKUP($A646,'Mutasi Neraca'!$A$3:$S$910,10,FALSE)),0,VLOOKUP($A646,'Mutasi Neraca'!$A$3:$S$910,10,FALSE))</f>
        <v>0</v>
      </c>
      <c r="L646" s="42">
        <f>VLOOKUP($A646,'Neraca Unaudited SIMAK'!$A$2:$R$1272,11,FALSE)+IF(ISNA(VLOOKUP($A646,'Mutasi Neraca'!$A$3:$S$910,11,FALSE)),0,VLOOKUP($A646,'Mutasi Neraca'!$A$3:$S$910,11,FALSE))</f>
        <v>715500</v>
      </c>
      <c r="M646" s="42">
        <f>VLOOKUP($A646,'Neraca Unaudited SIMAK'!$A$2:$R$1272,12,FALSE)+IF(ISNA(VLOOKUP($A646,'Mutasi Neraca'!$A$3:$S$910,12,FALSE)),0,VLOOKUP($A646,'Mutasi Neraca'!$A$3:$S$910,12,FALSE))</f>
        <v>11233237762</v>
      </c>
      <c r="N646" s="42">
        <f>VLOOKUP($A646,'Neraca Unaudited SIMAK'!$A$2:$R$1272,13,FALSE)+IF(ISNA(VLOOKUP($A646,'Mutasi Neraca'!$A$3:$S$910,13,FALSE)),0,VLOOKUP($A646,'Mutasi Neraca'!$A$3:$S$910,13,FALSE))</f>
        <v>-1171808875</v>
      </c>
      <c r="O646" s="42">
        <f>VLOOKUP($A646,'Neraca Unaudited SIMAK'!$A$2:$R$1272,14,FALSE)+IF(ISNA(VLOOKUP($A646,'Mutasi Neraca'!$A$3:$S$910,14,FALSE)),0,VLOOKUP($A646,'Mutasi Neraca'!$A$3:$S$910,14,FALSE))</f>
        <v>-699256432</v>
      </c>
      <c r="P646" s="42">
        <f>VLOOKUP($A646,'Neraca Unaudited SIMAK'!$A$2:$R$1272,15,FALSE)+IF(ISNA(VLOOKUP($A646,'Mutasi Neraca'!$A$3:$S$910,15,FALSE)),0,VLOOKUP($A646,'Mutasi Neraca'!$A$3:$S$910,15,FALSE))</f>
        <v>0</v>
      </c>
      <c r="Q646" s="42">
        <f>VLOOKUP($A646,'Neraca Unaudited SIMAK'!$A$2:$R$1272,16,FALSE)+IF(ISNA(VLOOKUP($A646,'Mutasi Neraca'!$A$3:$S$910,16,FALSE)),0,VLOOKUP($A646,'Mutasi Neraca'!$A$3:$S$910,16,FALSE))</f>
        <v>0</v>
      </c>
      <c r="R646" s="42">
        <f>VLOOKUP($A646,'Neraca Unaudited SIMAK'!$A$2:$R$1272,17,FALSE)+IF(ISNA(VLOOKUP($A646,'Mutasi Neraca'!$A$3:$S$910,17,FALSE)),0,VLOOKUP($A646,'Mutasi Neraca'!$A$3:$S$910,17,FALSE))</f>
        <v>-715500</v>
      </c>
      <c r="S646" s="42">
        <f t="shared" si="63"/>
        <v>9361456955</v>
      </c>
    </row>
    <row r="647" spans="1:19">
      <c r="A647" s="41" t="s">
        <v>654</v>
      </c>
      <c r="B647" s="41" t="str">
        <f t="shared" si="62"/>
        <v>005012100</v>
      </c>
      <c r="D647" s="42">
        <f>VLOOKUP($A647,'Neraca Unaudited SIMAK'!$A$2:$R$1272,3,FALSE)+IF(ISNA(VLOOKUP($A647,'Mutasi Neraca'!$A$3:$S$910,3,FALSE)),0,VLOOKUP($A647,'Mutasi Neraca'!$A$3:$S$910,3,FALSE))</f>
        <v>140000</v>
      </c>
      <c r="E647" s="42">
        <f>VLOOKUP($A647,'Neraca Unaudited SIMAK'!$A$2:$R$1272,4,FALSE)+IF(ISNA(VLOOKUP($A647,'Mutasi Neraca'!$A$3:$S$910,4,FALSE)),0,VLOOKUP($A647,'Mutasi Neraca'!$A$3:$S$910,4,FALSE))</f>
        <v>1029900000</v>
      </c>
      <c r="F647" s="42">
        <f>VLOOKUP($A647,'Neraca Unaudited SIMAK'!$A$2:$R$1272,5,FALSE)+IF(ISNA(VLOOKUP($A647,'Mutasi Neraca'!$A$3:$S$910,5,FALSE)),0,VLOOKUP($A647,'Mutasi Neraca'!$A$3:$S$910,5,FALSE))</f>
        <v>1277962176</v>
      </c>
      <c r="G647" s="42">
        <f>VLOOKUP($A647,'Neraca Unaudited SIMAK'!$A$2:$R$1272,6,FALSE)+IF(ISNA(VLOOKUP($A647,'Mutasi Neraca'!$A$3:$S$910,6,FALSE)),0,VLOOKUP($A647,'Mutasi Neraca'!$A$3:$S$910,6,FALSE))</f>
        <v>2175924700</v>
      </c>
      <c r="H647" s="42">
        <f>VLOOKUP($A647,'Neraca Unaudited SIMAK'!$A$2:$R$1272,7,FALSE)+IF(ISNA(VLOOKUP($A647,'Mutasi Neraca'!$A$3:$S$910,7,FALSE)),0,VLOOKUP($A647,'Mutasi Neraca'!$A$3:$S$910,7,FALSE))</f>
        <v>19519000</v>
      </c>
      <c r="I647" s="42">
        <f>VLOOKUP($A647,'Neraca Unaudited SIMAK'!$A$2:$R$1272,8,FALSE)+IF(ISNA(VLOOKUP($A647,'Mutasi Neraca'!$A$3:$S$910,8,FALSE)),0,VLOOKUP($A647,'Mutasi Neraca'!$A$3:$S$910,8,FALSE))</f>
        <v>4769246</v>
      </c>
      <c r="J647" s="42">
        <f>VLOOKUP($A647,'Neraca Unaudited SIMAK'!$A$2:$R$1272,9,FALSE)+IF(ISNA(VLOOKUP($A647,'Mutasi Neraca'!$A$3:$S$910,9,FALSE)),0,VLOOKUP($A647,'Mutasi Neraca'!$A$3:$S$910,9,FALSE))</f>
        <v>0</v>
      </c>
      <c r="K647" s="42">
        <f>VLOOKUP($A647,'Neraca Unaudited SIMAK'!$A$2:$R$1272,10,FALSE)+IF(ISNA(VLOOKUP($A647,'Mutasi Neraca'!$A$3:$S$910,10,FALSE)),0,VLOOKUP($A647,'Mutasi Neraca'!$A$3:$S$910,10,FALSE))</f>
        <v>0</v>
      </c>
      <c r="L647" s="42">
        <f>VLOOKUP($A647,'Neraca Unaudited SIMAK'!$A$2:$R$1272,11,FALSE)+IF(ISNA(VLOOKUP($A647,'Mutasi Neraca'!$A$3:$S$910,11,FALSE)),0,VLOOKUP($A647,'Mutasi Neraca'!$A$3:$S$910,11,FALSE))</f>
        <v>53841000</v>
      </c>
      <c r="M647" s="42">
        <f>VLOOKUP($A647,'Neraca Unaudited SIMAK'!$A$2:$R$1272,12,FALSE)+IF(ISNA(VLOOKUP($A647,'Mutasi Neraca'!$A$3:$S$910,12,FALSE)),0,VLOOKUP($A647,'Mutasi Neraca'!$A$3:$S$910,12,FALSE))</f>
        <v>4562056122</v>
      </c>
      <c r="N647" s="42">
        <f>VLOOKUP($A647,'Neraca Unaudited SIMAK'!$A$2:$R$1272,13,FALSE)+IF(ISNA(VLOOKUP($A647,'Mutasi Neraca'!$A$3:$S$910,13,FALSE)),0,VLOOKUP($A647,'Mutasi Neraca'!$A$3:$S$910,13,FALSE))</f>
        <v>-1076425648</v>
      </c>
      <c r="O647" s="42">
        <f>VLOOKUP($A647,'Neraca Unaudited SIMAK'!$A$2:$R$1272,14,FALSE)+IF(ISNA(VLOOKUP($A647,'Mutasi Neraca'!$A$3:$S$910,14,FALSE)),0,VLOOKUP($A647,'Mutasi Neraca'!$A$3:$S$910,14,FALSE))</f>
        <v>-328447767</v>
      </c>
      <c r="P647" s="42">
        <f>VLOOKUP($A647,'Neraca Unaudited SIMAK'!$A$2:$R$1272,15,FALSE)+IF(ISNA(VLOOKUP($A647,'Mutasi Neraca'!$A$3:$S$910,15,FALSE)),0,VLOOKUP($A647,'Mutasi Neraca'!$A$3:$S$910,15,FALSE))</f>
        <v>-2477850</v>
      </c>
      <c r="Q647" s="42">
        <f>VLOOKUP($A647,'Neraca Unaudited SIMAK'!$A$2:$R$1272,16,FALSE)+IF(ISNA(VLOOKUP($A647,'Mutasi Neraca'!$A$3:$S$910,16,FALSE)),0,VLOOKUP($A647,'Mutasi Neraca'!$A$3:$S$910,16,FALSE))</f>
        <v>0</v>
      </c>
      <c r="R647" s="42">
        <f>VLOOKUP($A647,'Neraca Unaudited SIMAK'!$A$2:$R$1272,17,FALSE)+IF(ISNA(VLOOKUP($A647,'Mutasi Neraca'!$A$3:$S$910,17,FALSE)),0,VLOOKUP($A647,'Mutasi Neraca'!$A$3:$S$910,17,FALSE))</f>
        <v>-27061000</v>
      </c>
      <c r="S647" s="42">
        <f t="shared" si="63"/>
        <v>3127643857</v>
      </c>
    </row>
    <row r="648" spans="1:19">
      <c r="A648" s="41" t="s">
        <v>655</v>
      </c>
      <c r="B648" s="41" t="str">
        <f t="shared" si="62"/>
        <v>005012100</v>
      </c>
      <c r="D648" s="42">
        <f>VLOOKUP($A648,'Neraca Unaudited SIMAK'!$A$2:$R$1272,3,FALSE)+IF(ISNA(VLOOKUP($A648,'Mutasi Neraca'!$A$3:$S$910,3,FALSE)),0,VLOOKUP($A648,'Mutasi Neraca'!$A$3:$S$910,3,FALSE))</f>
        <v>80000</v>
      </c>
      <c r="E648" s="42">
        <f>VLOOKUP($A648,'Neraca Unaudited SIMAK'!$A$2:$R$1272,4,FALSE)+IF(ISNA(VLOOKUP($A648,'Mutasi Neraca'!$A$3:$S$910,4,FALSE)),0,VLOOKUP($A648,'Mutasi Neraca'!$A$3:$S$910,4,FALSE))</f>
        <v>3225060000</v>
      </c>
      <c r="F648" s="42">
        <f>VLOOKUP($A648,'Neraca Unaudited SIMAK'!$A$2:$R$1272,5,FALSE)+IF(ISNA(VLOOKUP($A648,'Mutasi Neraca'!$A$3:$S$910,5,FALSE)),0,VLOOKUP($A648,'Mutasi Neraca'!$A$3:$S$910,5,FALSE))</f>
        <v>3530914666</v>
      </c>
      <c r="G648" s="42">
        <f>VLOOKUP($A648,'Neraca Unaudited SIMAK'!$A$2:$R$1272,6,FALSE)+IF(ISNA(VLOOKUP($A648,'Mutasi Neraca'!$A$3:$S$910,6,FALSE)),0,VLOOKUP($A648,'Mutasi Neraca'!$A$3:$S$910,6,FALSE))</f>
        <v>13689050508</v>
      </c>
      <c r="H648" s="42">
        <f>VLOOKUP($A648,'Neraca Unaudited SIMAK'!$A$2:$R$1272,7,FALSE)+IF(ISNA(VLOOKUP($A648,'Mutasi Neraca'!$A$3:$S$910,7,FALSE)),0,VLOOKUP($A648,'Mutasi Neraca'!$A$3:$S$910,7,FALSE))</f>
        <v>1311362566</v>
      </c>
      <c r="I648" s="42">
        <f>VLOOKUP($A648,'Neraca Unaudited SIMAK'!$A$2:$R$1272,8,FALSE)+IF(ISNA(VLOOKUP($A648,'Mutasi Neraca'!$A$3:$S$910,8,FALSE)),0,VLOOKUP($A648,'Mutasi Neraca'!$A$3:$S$910,8,FALSE))</f>
        <v>30914270</v>
      </c>
      <c r="J648" s="42">
        <f>VLOOKUP($A648,'Neraca Unaudited SIMAK'!$A$2:$R$1272,9,FALSE)+IF(ISNA(VLOOKUP($A648,'Mutasi Neraca'!$A$3:$S$910,9,FALSE)),0,VLOOKUP($A648,'Mutasi Neraca'!$A$3:$S$910,9,FALSE))</f>
        <v>0</v>
      </c>
      <c r="K648" s="42">
        <f>VLOOKUP($A648,'Neraca Unaudited SIMAK'!$A$2:$R$1272,10,FALSE)+IF(ISNA(VLOOKUP($A648,'Mutasi Neraca'!$A$3:$S$910,10,FALSE)),0,VLOOKUP($A648,'Mutasi Neraca'!$A$3:$S$910,10,FALSE))</f>
        <v>0</v>
      </c>
      <c r="L648" s="42">
        <f>VLOOKUP($A648,'Neraca Unaudited SIMAK'!$A$2:$R$1272,11,FALSE)+IF(ISNA(VLOOKUP($A648,'Mutasi Neraca'!$A$3:$S$910,11,FALSE)),0,VLOOKUP($A648,'Mutasi Neraca'!$A$3:$S$910,11,FALSE))</f>
        <v>0</v>
      </c>
      <c r="M648" s="42">
        <f>VLOOKUP($A648,'Neraca Unaudited SIMAK'!$A$2:$R$1272,12,FALSE)+IF(ISNA(VLOOKUP($A648,'Mutasi Neraca'!$A$3:$S$910,12,FALSE)),0,VLOOKUP($A648,'Mutasi Neraca'!$A$3:$S$910,12,FALSE))</f>
        <v>21787382010</v>
      </c>
      <c r="N648" s="42">
        <f>VLOOKUP($A648,'Neraca Unaudited SIMAK'!$A$2:$R$1272,13,FALSE)+IF(ISNA(VLOOKUP($A648,'Mutasi Neraca'!$A$3:$S$910,13,FALSE)),0,VLOOKUP($A648,'Mutasi Neraca'!$A$3:$S$910,13,FALSE))</f>
        <v>-2156295208</v>
      </c>
      <c r="O648" s="42">
        <f>VLOOKUP($A648,'Neraca Unaudited SIMAK'!$A$2:$R$1272,14,FALSE)+IF(ISNA(VLOOKUP($A648,'Mutasi Neraca'!$A$3:$S$910,14,FALSE)),0,VLOOKUP($A648,'Mutasi Neraca'!$A$3:$S$910,14,FALSE))</f>
        <v>-1545179182</v>
      </c>
      <c r="P648" s="42">
        <f>VLOOKUP($A648,'Neraca Unaudited SIMAK'!$A$2:$R$1272,15,FALSE)+IF(ISNA(VLOOKUP($A648,'Mutasi Neraca'!$A$3:$S$910,15,FALSE)),0,VLOOKUP($A648,'Mutasi Neraca'!$A$3:$S$910,15,FALSE))</f>
        <v>-817419367</v>
      </c>
      <c r="Q648" s="42">
        <f>VLOOKUP($A648,'Neraca Unaudited SIMAK'!$A$2:$R$1272,16,FALSE)+IF(ISNA(VLOOKUP($A648,'Mutasi Neraca'!$A$3:$S$910,16,FALSE)),0,VLOOKUP($A648,'Mutasi Neraca'!$A$3:$S$910,16,FALSE))</f>
        <v>0</v>
      </c>
      <c r="R648" s="42">
        <f>VLOOKUP($A648,'Neraca Unaudited SIMAK'!$A$2:$R$1272,17,FALSE)+IF(ISNA(VLOOKUP($A648,'Mutasi Neraca'!$A$3:$S$910,17,FALSE)),0,VLOOKUP($A648,'Mutasi Neraca'!$A$3:$S$910,17,FALSE))</f>
        <v>0</v>
      </c>
      <c r="S648" s="42">
        <f t="shared" si="63"/>
        <v>17268488253</v>
      </c>
    </row>
    <row r="649" spans="1:19">
      <c r="A649" s="41" t="s">
        <v>656</v>
      </c>
      <c r="B649" s="41" t="str">
        <f t="shared" si="62"/>
        <v>005012100</v>
      </c>
      <c r="D649" s="42">
        <f>VLOOKUP($A649,'Neraca Unaudited SIMAK'!$A$2:$R$1272,3,FALSE)+IF(ISNA(VLOOKUP($A649,'Mutasi Neraca'!$A$3:$S$910,3,FALSE)),0,VLOOKUP($A649,'Mutasi Neraca'!$A$3:$S$910,3,FALSE))</f>
        <v>365000</v>
      </c>
      <c r="E649" s="42">
        <f>VLOOKUP($A649,'Neraca Unaudited SIMAK'!$A$2:$R$1272,4,FALSE)+IF(ISNA(VLOOKUP($A649,'Mutasi Neraca'!$A$3:$S$910,4,FALSE)),0,VLOOKUP($A649,'Mutasi Neraca'!$A$3:$S$910,4,FALSE))</f>
        <v>1929785000</v>
      </c>
      <c r="F649" s="42">
        <f>VLOOKUP($A649,'Neraca Unaudited SIMAK'!$A$2:$R$1272,5,FALSE)+IF(ISNA(VLOOKUP($A649,'Mutasi Neraca'!$A$3:$S$910,5,FALSE)),0,VLOOKUP($A649,'Mutasi Neraca'!$A$3:$S$910,5,FALSE))</f>
        <v>2370989704</v>
      </c>
      <c r="G649" s="42">
        <f>VLOOKUP($A649,'Neraca Unaudited SIMAK'!$A$2:$R$1272,6,FALSE)+IF(ISNA(VLOOKUP($A649,'Mutasi Neraca'!$A$3:$S$910,6,FALSE)),0,VLOOKUP($A649,'Mutasi Neraca'!$A$3:$S$910,6,FALSE))</f>
        <v>11689231043</v>
      </c>
      <c r="H649" s="42">
        <f>VLOOKUP($A649,'Neraca Unaudited SIMAK'!$A$2:$R$1272,7,FALSE)+IF(ISNA(VLOOKUP($A649,'Mutasi Neraca'!$A$3:$S$910,7,FALSE)),0,VLOOKUP($A649,'Mutasi Neraca'!$A$3:$S$910,7,FALSE))</f>
        <v>0</v>
      </c>
      <c r="I649" s="42">
        <f>VLOOKUP($A649,'Neraca Unaudited SIMAK'!$A$2:$R$1272,8,FALSE)+IF(ISNA(VLOOKUP($A649,'Mutasi Neraca'!$A$3:$S$910,8,FALSE)),0,VLOOKUP($A649,'Mutasi Neraca'!$A$3:$S$910,8,FALSE))</f>
        <v>0</v>
      </c>
      <c r="J649" s="42">
        <f>VLOOKUP($A649,'Neraca Unaudited SIMAK'!$A$2:$R$1272,9,FALSE)+IF(ISNA(VLOOKUP($A649,'Mutasi Neraca'!$A$3:$S$910,9,FALSE)),0,VLOOKUP($A649,'Mutasi Neraca'!$A$3:$S$910,9,FALSE))</f>
        <v>0</v>
      </c>
      <c r="K649" s="42">
        <f>VLOOKUP($A649,'Neraca Unaudited SIMAK'!$A$2:$R$1272,10,FALSE)+IF(ISNA(VLOOKUP($A649,'Mutasi Neraca'!$A$3:$S$910,10,FALSE)),0,VLOOKUP($A649,'Mutasi Neraca'!$A$3:$S$910,10,FALSE))</f>
        <v>68500000</v>
      </c>
      <c r="L649" s="42">
        <f>VLOOKUP($A649,'Neraca Unaudited SIMAK'!$A$2:$R$1272,11,FALSE)+IF(ISNA(VLOOKUP($A649,'Mutasi Neraca'!$A$3:$S$910,11,FALSE)),0,VLOOKUP($A649,'Mutasi Neraca'!$A$3:$S$910,11,FALSE))</f>
        <v>132203000</v>
      </c>
      <c r="M649" s="42">
        <f>VLOOKUP($A649,'Neraca Unaudited SIMAK'!$A$2:$R$1272,12,FALSE)+IF(ISNA(VLOOKUP($A649,'Mutasi Neraca'!$A$3:$S$910,12,FALSE)),0,VLOOKUP($A649,'Mutasi Neraca'!$A$3:$S$910,12,FALSE))</f>
        <v>16191073747</v>
      </c>
      <c r="N649" s="42">
        <f>VLOOKUP($A649,'Neraca Unaudited SIMAK'!$A$2:$R$1272,13,FALSE)+IF(ISNA(VLOOKUP($A649,'Mutasi Neraca'!$A$3:$S$910,13,FALSE)),0,VLOOKUP($A649,'Mutasi Neraca'!$A$3:$S$910,13,FALSE))</f>
        <v>-1671331664</v>
      </c>
      <c r="O649" s="42">
        <f>VLOOKUP($A649,'Neraca Unaudited SIMAK'!$A$2:$R$1272,14,FALSE)+IF(ISNA(VLOOKUP($A649,'Mutasi Neraca'!$A$3:$S$910,14,FALSE)),0,VLOOKUP($A649,'Mutasi Neraca'!$A$3:$S$910,14,FALSE))</f>
        <v>-233864090</v>
      </c>
      <c r="P649" s="42">
        <f>VLOOKUP($A649,'Neraca Unaudited SIMAK'!$A$2:$R$1272,15,FALSE)+IF(ISNA(VLOOKUP($A649,'Mutasi Neraca'!$A$3:$S$910,15,FALSE)),0,VLOOKUP($A649,'Mutasi Neraca'!$A$3:$S$910,15,FALSE))</f>
        <v>0</v>
      </c>
      <c r="Q649" s="42">
        <f>VLOOKUP($A649,'Neraca Unaudited SIMAK'!$A$2:$R$1272,16,FALSE)+IF(ISNA(VLOOKUP($A649,'Mutasi Neraca'!$A$3:$S$910,16,FALSE)),0,VLOOKUP($A649,'Mutasi Neraca'!$A$3:$S$910,16,FALSE))</f>
        <v>0</v>
      </c>
      <c r="R649" s="42">
        <f>VLOOKUP($A649,'Neraca Unaudited SIMAK'!$A$2:$R$1272,17,FALSE)+IF(ISNA(VLOOKUP($A649,'Mutasi Neraca'!$A$3:$S$910,17,FALSE)),0,VLOOKUP($A649,'Mutasi Neraca'!$A$3:$S$910,17,FALSE))</f>
        <v>-19389777</v>
      </c>
      <c r="S649" s="42">
        <f t="shared" si="63"/>
        <v>14266488216</v>
      </c>
    </row>
    <row r="650" spans="1:19">
      <c r="A650" s="41" t="s">
        <v>657</v>
      </c>
      <c r="B650" s="41" t="str">
        <f t="shared" si="62"/>
        <v>005012100</v>
      </c>
      <c r="D650" s="42">
        <f>VLOOKUP($A650,'Neraca Unaudited SIMAK'!$A$2:$R$1272,3,FALSE)+IF(ISNA(VLOOKUP($A650,'Mutasi Neraca'!$A$3:$S$910,3,FALSE)),0,VLOOKUP($A650,'Mutasi Neraca'!$A$3:$S$910,3,FALSE))</f>
        <v>2090000</v>
      </c>
      <c r="E650" s="42">
        <f>VLOOKUP($A650,'Neraca Unaudited SIMAK'!$A$2:$R$1272,4,FALSE)+IF(ISNA(VLOOKUP($A650,'Mutasi Neraca'!$A$3:$S$910,4,FALSE)),0,VLOOKUP($A650,'Mutasi Neraca'!$A$3:$S$910,4,FALSE))</f>
        <v>1174000000</v>
      </c>
      <c r="F650" s="42">
        <f>VLOOKUP($A650,'Neraca Unaudited SIMAK'!$A$2:$R$1272,5,FALSE)+IF(ISNA(VLOOKUP($A650,'Mutasi Neraca'!$A$3:$S$910,5,FALSE)),0,VLOOKUP($A650,'Mutasi Neraca'!$A$3:$S$910,5,FALSE))</f>
        <v>1545164534</v>
      </c>
      <c r="G650" s="42">
        <f>VLOOKUP($A650,'Neraca Unaudited SIMAK'!$A$2:$R$1272,6,FALSE)+IF(ISNA(VLOOKUP($A650,'Mutasi Neraca'!$A$3:$S$910,6,FALSE)),0,VLOOKUP($A650,'Mutasi Neraca'!$A$3:$S$910,6,FALSE))</f>
        <v>0</v>
      </c>
      <c r="H650" s="42">
        <f>VLOOKUP($A650,'Neraca Unaudited SIMAK'!$A$2:$R$1272,7,FALSE)+IF(ISNA(VLOOKUP($A650,'Mutasi Neraca'!$A$3:$S$910,7,FALSE)),0,VLOOKUP($A650,'Mutasi Neraca'!$A$3:$S$910,7,FALSE))</f>
        <v>0</v>
      </c>
      <c r="I650" s="42">
        <f>VLOOKUP($A650,'Neraca Unaudited SIMAK'!$A$2:$R$1272,8,FALSE)+IF(ISNA(VLOOKUP($A650,'Mutasi Neraca'!$A$3:$S$910,8,FALSE)),0,VLOOKUP($A650,'Mutasi Neraca'!$A$3:$S$910,8,FALSE))</f>
        <v>7000000</v>
      </c>
      <c r="J650" s="42">
        <f>VLOOKUP($A650,'Neraca Unaudited SIMAK'!$A$2:$R$1272,9,FALSE)+IF(ISNA(VLOOKUP($A650,'Mutasi Neraca'!$A$3:$S$910,9,FALSE)),0,VLOOKUP($A650,'Mutasi Neraca'!$A$3:$S$910,9,FALSE))</f>
        <v>10043570175</v>
      </c>
      <c r="K650" s="42">
        <f>VLOOKUP($A650,'Neraca Unaudited SIMAK'!$A$2:$R$1272,10,FALSE)+IF(ISNA(VLOOKUP($A650,'Mutasi Neraca'!$A$3:$S$910,10,FALSE)),0,VLOOKUP($A650,'Mutasi Neraca'!$A$3:$S$910,10,FALSE))</f>
        <v>0</v>
      </c>
      <c r="L650" s="42">
        <f>VLOOKUP($A650,'Neraca Unaudited SIMAK'!$A$2:$R$1272,11,FALSE)+IF(ISNA(VLOOKUP($A650,'Mutasi Neraca'!$A$3:$S$910,11,FALSE)),0,VLOOKUP($A650,'Mutasi Neraca'!$A$3:$S$910,11,FALSE))</f>
        <v>279664000</v>
      </c>
      <c r="M650" s="42">
        <f>VLOOKUP($A650,'Neraca Unaudited SIMAK'!$A$2:$R$1272,12,FALSE)+IF(ISNA(VLOOKUP($A650,'Mutasi Neraca'!$A$3:$S$910,12,FALSE)),0,VLOOKUP($A650,'Mutasi Neraca'!$A$3:$S$910,12,FALSE))</f>
        <v>13051488709</v>
      </c>
      <c r="N650" s="42">
        <f>VLOOKUP($A650,'Neraca Unaudited SIMAK'!$A$2:$R$1272,13,FALSE)+IF(ISNA(VLOOKUP($A650,'Mutasi Neraca'!$A$3:$S$910,13,FALSE)),0,VLOOKUP($A650,'Mutasi Neraca'!$A$3:$S$910,13,FALSE))</f>
        <v>-1315471989</v>
      </c>
      <c r="O650" s="42">
        <f>VLOOKUP($A650,'Neraca Unaudited SIMAK'!$A$2:$R$1272,14,FALSE)+IF(ISNA(VLOOKUP($A650,'Mutasi Neraca'!$A$3:$S$910,14,FALSE)),0,VLOOKUP($A650,'Mutasi Neraca'!$A$3:$S$910,14,FALSE))</f>
        <v>0</v>
      </c>
      <c r="P650" s="42">
        <f>VLOOKUP($A650,'Neraca Unaudited SIMAK'!$A$2:$R$1272,15,FALSE)+IF(ISNA(VLOOKUP($A650,'Mutasi Neraca'!$A$3:$S$910,15,FALSE)),0,VLOOKUP($A650,'Mutasi Neraca'!$A$3:$S$910,15,FALSE))</f>
        <v>0</v>
      </c>
      <c r="Q650" s="42">
        <f>VLOOKUP($A650,'Neraca Unaudited SIMAK'!$A$2:$R$1272,16,FALSE)+IF(ISNA(VLOOKUP($A650,'Mutasi Neraca'!$A$3:$S$910,16,FALSE)),0,VLOOKUP($A650,'Mutasi Neraca'!$A$3:$S$910,16,FALSE))</f>
        <v>0</v>
      </c>
      <c r="R650" s="42">
        <f>VLOOKUP($A650,'Neraca Unaudited SIMAK'!$A$2:$R$1272,17,FALSE)+IF(ISNA(VLOOKUP($A650,'Mutasi Neraca'!$A$3:$S$910,17,FALSE)),0,VLOOKUP($A650,'Mutasi Neraca'!$A$3:$S$910,17,FALSE))</f>
        <v>-276264200</v>
      </c>
      <c r="S650" s="42">
        <f t="shared" si="63"/>
        <v>11459752520</v>
      </c>
    </row>
    <row r="651" spans="1:19">
      <c r="A651" s="41" t="s">
        <v>658</v>
      </c>
      <c r="B651" s="41" t="str">
        <f t="shared" si="62"/>
        <v>005012100</v>
      </c>
      <c r="D651" s="42">
        <f>VLOOKUP($A651,'Neraca Unaudited SIMAK'!$A$2:$R$1272,3,FALSE)+IF(ISNA(VLOOKUP($A651,'Mutasi Neraca'!$A$3:$S$910,3,FALSE)),0,VLOOKUP($A651,'Mutasi Neraca'!$A$3:$S$910,3,FALSE))</f>
        <v>303000</v>
      </c>
      <c r="E651" s="42">
        <f>VLOOKUP($A651,'Neraca Unaudited SIMAK'!$A$2:$R$1272,4,FALSE)+IF(ISNA(VLOOKUP($A651,'Mutasi Neraca'!$A$3:$S$910,4,FALSE)),0,VLOOKUP($A651,'Mutasi Neraca'!$A$3:$S$910,4,FALSE))</f>
        <v>1200300000</v>
      </c>
      <c r="F651" s="42">
        <f>VLOOKUP($A651,'Neraca Unaudited SIMAK'!$A$2:$R$1272,5,FALSE)+IF(ISNA(VLOOKUP($A651,'Mutasi Neraca'!$A$3:$S$910,5,FALSE)),0,VLOOKUP($A651,'Mutasi Neraca'!$A$3:$S$910,5,FALSE))</f>
        <v>2048513796</v>
      </c>
      <c r="G651" s="42">
        <f>VLOOKUP($A651,'Neraca Unaudited SIMAK'!$A$2:$R$1272,6,FALSE)+IF(ISNA(VLOOKUP($A651,'Mutasi Neraca'!$A$3:$S$910,6,FALSE)),0,VLOOKUP($A651,'Mutasi Neraca'!$A$3:$S$910,6,FALSE))</f>
        <v>5847862000</v>
      </c>
      <c r="H651" s="42">
        <f>VLOOKUP($A651,'Neraca Unaudited SIMAK'!$A$2:$R$1272,7,FALSE)+IF(ISNA(VLOOKUP($A651,'Mutasi Neraca'!$A$3:$S$910,7,FALSE)),0,VLOOKUP($A651,'Mutasi Neraca'!$A$3:$S$910,7,FALSE))</f>
        <v>64470000</v>
      </c>
      <c r="I651" s="42">
        <f>VLOOKUP($A651,'Neraca Unaudited SIMAK'!$A$2:$R$1272,8,FALSE)+IF(ISNA(VLOOKUP($A651,'Mutasi Neraca'!$A$3:$S$910,8,FALSE)),0,VLOOKUP($A651,'Mutasi Neraca'!$A$3:$S$910,8,FALSE))</f>
        <v>2683400</v>
      </c>
      <c r="J651" s="42">
        <f>VLOOKUP($A651,'Neraca Unaudited SIMAK'!$A$2:$R$1272,9,FALSE)+IF(ISNA(VLOOKUP($A651,'Mutasi Neraca'!$A$3:$S$910,9,FALSE)),0,VLOOKUP($A651,'Mutasi Neraca'!$A$3:$S$910,9,FALSE))</f>
        <v>0</v>
      </c>
      <c r="K651" s="42">
        <f>VLOOKUP($A651,'Neraca Unaudited SIMAK'!$A$2:$R$1272,10,FALSE)+IF(ISNA(VLOOKUP($A651,'Mutasi Neraca'!$A$3:$S$910,10,FALSE)),0,VLOOKUP($A651,'Mutasi Neraca'!$A$3:$S$910,10,FALSE))</f>
        <v>0</v>
      </c>
      <c r="L651" s="42">
        <f>VLOOKUP($A651,'Neraca Unaudited SIMAK'!$A$2:$R$1272,11,FALSE)+IF(ISNA(VLOOKUP($A651,'Mutasi Neraca'!$A$3:$S$910,11,FALSE)),0,VLOOKUP($A651,'Mutasi Neraca'!$A$3:$S$910,11,FALSE))</f>
        <v>33490000</v>
      </c>
      <c r="M651" s="42">
        <f>VLOOKUP($A651,'Neraca Unaudited SIMAK'!$A$2:$R$1272,12,FALSE)+IF(ISNA(VLOOKUP($A651,'Mutasi Neraca'!$A$3:$S$910,12,FALSE)),0,VLOOKUP($A651,'Mutasi Neraca'!$A$3:$S$910,12,FALSE))</f>
        <v>9197622196</v>
      </c>
      <c r="N651" s="42">
        <f>VLOOKUP($A651,'Neraca Unaudited SIMAK'!$A$2:$R$1272,13,FALSE)+IF(ISNA(VLOOKUP($A651,'Mutasi Neraca'!$A$3:$S$910,13,FALSE)),0,VLOOKUP($A651,'Mutasi Neraca'!$A$3:$S$910,13,FALSE))</f>
        <v>-1613135226</v>
      </c>
      <c r="O651" s="42">
        <f>VLOOKUP($A651,'Neraca Unaudited SIMAK'!$A$2:$R$1272,14,FALSE)+IF(ISNA(VLOOKUP($A651,'Mutasi Neraca'!$A$3:$S$910,14,FALSE)),0,VLOOKUP($A651,'Mutasi Neraca'!$A$3:$S$910,14,FALSE))</f>
        <v>-829632010</v>
      </c>
      <c r="P651" s="42">
        <f>VLOOKUP($A651,'Neraca Unaudited SIMAK'!$A$2:$R$1272,15,FALSE)+IF(ISNA(VLOOKUP($A651,'Mutasi Neraca'!$A$3:$S$910,15,FALSE)),0,VLOOKUP($A651,'Mutasi Neraca'!$A$3:$S$910,15,FALSE))</f>
        <v>-24735004</v>
      </c>
      <c r="Q651" s="42">
        <f>VLOOKUP($A651,'Neraca Unaudited SIMAK'!$A$2:$R$1272,16,FALSE)+IF(ISNA(VLOOKUP($A651,'Mutasi Neraca'!$A$3:$S$910,16,FALSE)),0,VLOOKUP($A651,'Mutasi Neraca'!$A$3:$S$910,16,FALSE))</f>
        <v>0</v>
      </c>
      <c r="R651" s="42">
        <f>VLOOKUP($A651,'Neraca Unaudited SIMAK'!$A$2:$R$1272,17,FALSE)+IF(ISNA(VLOOKUP($A651,'Mutasi Neraca'!$A$3:$S$910,17,FALSE)),0,VLOOKUP($A651,'Mutasi Neraca'!$A$3:$S$910,17,FALSE))</f>
        <v>-33490000</v>
      </c>
      <c r="S651" s="42">
        <f t="shared" si="63"/>
        <v>6696629956</v>
      </c>
    </row>
    <row r="652" spans="1:19">
      <c r="A652" s="41" t="s">
        <v>659</v>
      </c>
      <c r="B652" s="41" t="str">
        <f t="shared" si="62"/>
        <v>005012200</v>
      </c>
      <c r="D652" s="42">
        <f>VLOOKUP($A652,'Neraca Unaudited SIMAK'!$A$2:$R$1272,3,FALSE)+IF(ISNA(VLOOKUP($A652,'Mutasi Neraca'!$A$3:$S$910,3,FALSE)),0,VLOOKUP($A652,'Mutasi Neraca'!$A$3:$S$910,3,FALSE))</f>
        <v>23926750</v>
      </c>
      <c r="E652" s="42">
        <f>VLOOKUP($A652,'Neraca Unaudited SIMAK'!$A$2:$R$1272,4,FALSE)+IF(ISNA(VLOOKUP($A652,'Mutasi Neraca'!$A$3:$S$910,4,FALSE)),0,VLOOKUP($A652,'Mutasi Neraca'!$A$3:$S$910,4,FALSE))</f>
        <v>29524800000</v>
      </c>
      <c r="F652" s="42">
        <f>VLOOKUP($A652,'Neraca Unaudited SIMAK'!$A$2:$R$1272,5,FALSE)+IF(ISNA(VLOOKUP($A652,'Mutasi Neraca'!$A$3:$S$910,5,FALSE)),0,VLOOKUP($A652,'Mutasi Neraca'!$A$3:$S$910,5,FALSE))</f>
        <v>5740737714</v>
      </c>
      <c r="G652" s="42">
        <f>VLOOKUP($A652,'Neraca Unaudited SIMAK'!$A$2:$R$1272,6,FALSE)+IF(ISNA(VLOOKUP($A652,'Mutasi Neraca'!$A$3:$S$910,6,FALSE)),0,VLOOKUP($A652,'Mutasi Neraca'!$A$3:$S$910,6,FALSE))</f>
        <v>14949750861</v>
      </c>
      <c r="H652" s="42">
        <f>VLOOKUP($A652,'Neraca Unaudited SIMAK'!$A$2:$R$1272,7,FALSE)+IF(ISNA(VLOOKUP($A652,'Mutasi Neraca'!$A$3:$S$910,7,FALSE)),0,VLOOKUP($A652,'Mutasi Neraca'!$A$3:$S$910,7,FALSE))</f>
        <v>158324345</v>
      </c>
      <c r="I652" s="42">
        <f>VLOOKUP($A652,'Neraca Unaudited SIMAK'!$A$2:$R$1272,8,FALSE)+IF(ISNA(VLOOKUP($A652,'Mutasi Neraca'!$A$3:$S$910,8,FALSE)),0,VLOOKUP($A652,'Mutasi Neraca'!$A$3:$S$910,8,FALSE))</f>
        <v>16078440</v>
      </c>
      <c r="J652" s="42">
        <f>VLOOKUP($A652,'Neraca Unaudited SIMAK'!$A$2:$R$1272,9,FALSE)+IF(ISNA(VLOOKUP($A652,'Mutasi Neraca'!$A$3:$S$910,9,FALSE)),0,VLOOKUP($A652,'Mutasi Neraca'!$A$3:$S$910,9,FALSE))</f>
        <v>0</v>
      </c>
      <c r="K652" s="42">
        <f>VLOOKUP($A652,'Neraca Unaudited SIMAK'!$A$2:$R$1272,10,FALSE)+IF(ISNA(VLOOKUP($A652,'Mutasi Neraca'!$A$3:$S$910,10,FALSE)),0,VLOOKUP($A652,'Mutasi Neraca'!$A$3:$S$910,10,FALSE))</f>
        <v>0</v>
      </c>
      <c r="L652" s="42">
        <f>VLOOKUP($A652,'Neraca Unaudited SIMAK'!$A$2:$R$1272,11,FALSE)+IF(ISNA(VLOOKUP($A652,'Mutasi Neraca'!$A$3:$S$910,11,FALSE)),0,VLOOKUP($A652,'Mutasi Neraca'!$A$3:$S$910,11,FALSE))</f>
        <v>597546004</v>
      </c>
      <c r="M652" s="42">
        <f>VLOOKUP($A652,'Neraca Unaudited SIMAK'!$A$2:$R$1272,12,FALSE)+IF(ISNA(VLOOKUP($A652,'Mutasi Neraca'!$A$3:$S$910,12,FALSE)),0,VLOOKUP($A652,'Mutasi Neraca'!$A$3:$S$910,12,FALSE))</f>
        <v>51011164114</v>
      </c>
      <c r="N652" s="42">
        <f>VLOOKUP($A652,'Neraca Unaudited SIMAK'!$A$2:$R$1272,13,FALSE)+IF(ISNA(VLOOKUP($A652,'Mutasi Neraca'!$A$3:$S$910,13,FALSE)),0,VLOOKUP($A652,'Mutasi Neraca'!$A$3:$S$910,13,FALSE))</f>
        <v>-5240090088</v>
      </c>
      <c r="O652" s="42">
        <f>VLOOKUP($A652,'Neraca Unaudited SIMAK'!$A$2:$R$1272,14,FALSE)+IF(ISNA(VLOOKUP($A652,'Mutasi Neraca'!$A$3:$S$910,14,FALSE)),0,VLOOKUP($A652,'Mutasi Neraca'!$A$3:$S$910,14,FALSE))</f>
        <v>-2624656189</v>
      </c>
      <c r="P652" s="42">
        <f>VLOOKUP($A652,'Neraca Unaudited SIMAK'!$A$2:$R$1272,15,FALSE)+IF(ISNA(VLOOKUP($A652,'Mutasi Neraca'!$A$3:$S$910,15,FALSE)),0,VLOOKUP($A652,'Mutasi Neraca'!$A$3:$S$910,15,FALSE))</f>
        <v>-20560639</v>
      </c>
      <c r="Q652" s="42">
        <f>VLOOKUP($A652,'Neraca Unaudited SIMAK'!$A$2:$R$1272,16,FALSE)+IF(ISNA(VLOOKUP($A652,'Mutasi Neraca'!$A$3:$S$910,16,FALSE)),0,VLOOKUP($A652,'Mutasi Neraca'!$A$3:$S$910,16,FALSE))</f>
        <v>0</v>
      </c>
      <c r="R652" s="42">
        <f>VLOOKUP($A652,'Neraca Unaudited SIMAK'!$A$2:$R$1272,17,FALSE)+IF(ISNA(VLOOKUP($A652,'Mutasi Neraca'!$A$3:$S$910,17,FALSE)),0,VLOOKUP($A652,'Mutasi Neraca'!$A$3:$S$910,17,FALSE))</f>
        <v>-286632557</v>
      </c>
      <c r="S652" s="42">
        <f t="shared" si="63"/>
        <v>42839224641</v>
      </c>
    </row>
    <row r="653" spans="1:19">
      <c r="A653" s="41" t="s">
        <v>660</v>
      </c>
      <c r="B653" s="41" t="str">
        <f t="shared" si="62"/>
        <v>005012200</v>
      </c>
      <c r="D653" s="42">
        <f>VLOOKUP($A653,'Neraca Unaudited SIMAK'!$A$2:$R$1272,3,FALSE)+IF(ISNA(VLOOKUP($A653,'Mutasi Neraca'!$A$3:$S$910,3,FALSE)),0,VLOOKUP($A653,'Mutasi Neraca'!$A$3:$S$910,3,FALSE))</f>
        <v>16479400</v>
      </c>
      <c r="E653" s="42">
        <f>VLOOKUP($A653,'Neraca Unaudited SIMAK'!$A$2:$R$1272,4,FALSE)+IF(ISNA(VLOOKUP($A653,'Mutasi Neraca'!$A$3:$S$910,4,FALSE)),0,VLOOKUP($A653,'Mutasi Neraca'!$A$3:$S$910,4,FALSE))</f>
        <v>28007635000</v>
      </c>
      <c r="F653" s="42">
        <f>VLOOKUP($A653,'Neraca Unaudited SIMAK'!$A$2:$R$1272,5,FALSE)+IF(ISNA(VLOOKUP($A653,'Mutasi Neraca'!$A$3:$S$910,5,FALSE)),0,VLOOKUP($A653,'Mutasi Neraca'!$A$3:$S$910,5,FALSE))</f>
        <v>3984982335</v>
      </c>
      <c r="G653" s="42">
        <f>VLOOKUP($A653,'Neraca Unaudited SIMAK'!$A$2:$R$1272,6,FALSE)+IF(ISNA(VLOOKUP($A653,'Mutasi Neraca'!$A$3:$S$910,6,FALSE)),0,VLOOKUP($A653,'Mutasi Neraca'!$A$3:$S$910,6,FALSE))</f>
        <v>12111898650</v>
      </c>
      <c r="H653" s="42">
        <f>VLOOKUP($A653,'Neraca Unaudited SIMAK'!$A$2:$R$1272,7,FALSE)+IF(ISNA(VLOOKUP($A653,'Mutasi Neraca'!$A$3:$S$910,7,FALSE)),0,VLOOKUP($A653,'Mutasi Neraca'!$A$3:$S$910,7,FALSE))</f>
        <v>358917000</v>
      </c>
      <c r="I653" s="42">
        <f>VLOOKUP($A653,'Neraca Unaudited SIMAK'!$A$2:$R$1272,8,FALSE)+IF(ISNA(VLOOKUP($A653,'Mutasi Neraca'!$A$3:$S$910,8,FALSE)),0,VLOOKUP($A653,'Mutasi Neraca'!$A$3:$S$910,8,FALSE))</f>
        <v>2788000</v>
      </c>
      <c r="J653" s="42">
        <f>VLOOKUP($A653,'Neraca Unaudited SIMAK'!$A$2:$R$1272,9,FALSE)+IF(ISNA(VLOOKUP($A653,'Mutasi Neraca'!$A$3:$S$910,9,FALSE)),0,VLOOKUP($A653,'Mutasi Neraca'!$A$3:$S$910,9,FALSE))</f>
        <v>0</v>
      </c>
      <c r="K653" s="42">
        <f>VLOOKUP($A653,'Neraca Unaudited SIMAK'!$A$2:$R$1272,10,FALSE)+IF(ISNA(VLOOKUP($A653,'Mutasi Neraca'!$A$3:$S$910,10,FALSE)),0,VLOOKUP($A653,'Mutasi Neraca'!$A$3:$S$910,10,FALSE))</f>
        <v>0</v>
      </c>
      <c r="L653" s="42">
        <f>VLOOKUP($A653,'Neraca Unaudited SIMAK'!$A$2:$R$1272,11,FALSE)+IF(ISNA(VLOOKUP($A653,'Mutasi Neraca'!$A$3:$S$910,11,FALSE)),0,VLOOKUP($A653,'Mutasi Neraca'!$A$3:$S$910,11,FALSE))</f>
        <v>12412000</v>
      </c>
      <c r="M653" s="42">
        <f>VLOOKUP($A653,'Neraca Unaudited SIMAK'!$A$2:$R$1272,12,FALSE)+IF(ISNA(VLOOKUP($A653,'Mutasi Neraca'!$A$3:$S$910,12,FALSE)),0,VLOOKUP($A653,'Mutasi Neraca'!$A$3:$S$910,12,FALSE))</f>
        <v>44495112385</v>
      </c>
      <c r="N653" s="42">
        <f>VLOOKUP($A653,'Neraca Unaudited SIMAK'!$A$2:$R$1272,13,FALSE)+IF(ISNA(VLOOKUP($A653,'Mutasi Neraca'!$A$3:$S$910,13,FALSE)),0,VLOOKUP($A653,'Mutasi Neraca'!$A$3:$S$910,13,FALSE))</f>
        <v>-3166386315</v>
      </c>
      <c r="O653" s="42">
        <f>VLOOKUP($A653,'Neraca Unaudited SIMAK'!$A$2:$R$1272,14,FALSE)+IF(ISNA(VLOOKUP($A653,'Mutasi Neraca'!$A$3:$S$910,14,FALSE)),0,VLOOKUP($A653,'Mutasi Neraca'!$A$3:$S$910,14,FALSE))</f>
        <v>-1707444537</v>
      </c>
      <c r="P653" s="42">
        <f>VLOOKUP($A653,'Neraca Unaudited SIMAK'!$A$2:$R$1272,15,FALSE)+IF(ISNA(VLOOKUP($A653,'Mutasi Neraca'!$A$3:$S$910,15,FALSE)),0,VLOOKUP($A653,'Mutasi Neraca'!$A$3:$S$910,15,FALSE))</f>
        <v>-31405238</v>
      </c>
      <c r="Q653" s="42">
        <f>VLOOKUP($A653,'Neraca Unaudited SIMAK'!$A$2:$R$1272,16,FALSE)+IF(ISNA(VLOOKUP($A653,'Mutasi Neraca'!$A$3:$S$910,16,FALSE)),0,VLOOKUP($A653,'Mutasi Neraca'!$A$3:$S$910,16,FALSE))</f>
        <v>0</v>
      </c>
      <c r="R653" s="42">
        <f>VLOOKUP($A653,'Neraca Unaudited SIMAK'!$A$2:$R$1272,17,FALSE)+IF(ISNA(VLOOKUP($A653,'Mutasi Neraca'!$A$3:$S$910,17,FALSE)),0,VLOOKUP($A653,'Mutasi Neraca'!$A$3:$S$910,17,FALSE))</f>
        <v>-12412000</v>
      </c>
      <c r="S653" s="42">
        <f t="shared" si="63"/>
        <v>39577464295</v>
      </c>
    </row>
    <row r="654" spans="1:19">
      <c r="A654" s="41" t="s">
        <v>661</v>
      </c>
      <c r="B654" s="41" t="str">
        <f t="shared" si="62"/>
        <v>005012200</v>
      </c>
      <c r="D654" s="42">
        <f>VLOOKUP($A654,'Neraca Unaudited SIMAK'!$A$2:$R$1272,3,FALSE)+IF(ISNA(VLOOKUP($A654,'Mutasi Neraca'!$A$3:$S$910,3,FALSE)),0,VLOOKUP($A654,'Mutasi Neraca'!$A$3:$S$910,3,FALSE))</f>
        <v>3914100</v>
      </c>
      <c r="E654" s="42">
        <f>VLOOKUP($A654,'Neraca Unaudited SIMAK'!$A$2:$R$1272,4,FALSE)+IF(ISNA(VLOOKUP($A654,'Mutasi Neraca'!$A$3:$S$910,4,FALSE)),0,VLOOKUP($A654,'Mutasi Neraca'!$A$3:$S$910,4,FALSE))</f>
        <v>9199257000</v>
      </c>
      <c r="F654" s="42">
        <f>VLOOKUP($A654,'Neraca Unaudited SIMAK'!$A$2:$R$1272,5,FALSE)+IF(ISNA(VLOOKUP($A654,'Mutasi Neraca'!$A$3:$S$910,5,FALSE)),0,VLOOKUP($A654,'Mutasi Neraca'!$A$3:$S$910,5,FALSE))</f>
        <v>2260322148</v>
      </c>
      <c r="G654" s="42">
        <f>VLOOKUP($A654,'Neraca Unaudited SIMAK'!$A$2:$R$1272,6,FALSE)+IF(ISNA(VLOOKUP($A654,'Mutasi Neraca'!$A$3:$S$910,6,FALSE)),0,VLOOKUP($A654,'Mutasi Neraca'!$A$3:$S$910,6,FALSE))</f>
        <v>14971075950</v>
      </c>
      <c r="H654" s="42">
        <f>VLOOKUP($A654,'Neraca Unaudited SIMAK'!$A$2:$R$1272,7,FALSE)+IF(ISNA(VLOOKUP($A654,'Mutasi Neraca'!$A$3:$S$910,7,FALSE)),0,VLOOKUP($A654,'Mutasi Neraca'!$A$3:$S$910,7,FALSE))</f>
        <v>13560000</v>
      </c>
      <c r="I654" s="42">
        <f>VLOOKUP($A654,'Neraca Unaudited SIMAK'!$A$2:$R$1272,8,FALSE)+IF(ISNA(VLOOKUP($A654,'Mutasi Neraca'!$A$3:$S$910,8,FALSE)),0,VLOOKUP($A654,'Mutasi Neraca'!$A$3:$S$910,8,FALSE))</f>
        <v>22144440</v>
      </c>
      <c r="J654" s="42">
        <f>VLOOKUP($A654,'Neraca Unaudited SIMAK'!$A$2:$R$1272,9,FALSE)+IF(ISNA(VLOOKUP($A654,'Mutasi Neraca'!$A$3:$S$910,9,FALSE)),0,VLOOKUP($A654,'Mutasi Neraca'!$A$3:$S$910,9,FALSE))</f>
        <v>0</v>
      </c>
      <c r="K654" s="42">
        <f>VLOOKUP($A654,'Neraca Unaudited SIMAK'!$A$2:$R$1272,10,FALSE)+IF(ISNA(VLOOKUP($A654,'Mutasi Neraca'!$A$3:$S$910,10,FALSE)),0,VLOOKUP($A654,'Mutasi Neraca'!$A$3:$S$910,10,FALSE))</f>
        <v>0</v>
      </c>
      <c r="L654" s="42">
        <f>VLOOKUP($A654,'Neraca Unaudited SIMAK'!$A$2:$R$1272,11,FALSE)+IF(ISNA(VLOOKUP($A654,'Mutasi Neraca'!$A$3:$S$910,11,FALSE)),0,VLOOKUP($A654,'Mutasi Neraca'!$A$3:$S$910,11,FALSE))</f>
        <v>127160500</v>
      </c>
      <c r="M654" s="42">
        <f>VLOOKUP($A654,'Neraca Unaudited SIMAK'!$A$2:$R$1272,12,FALSE)+IF(ISNA(VLOOKUP($A654,'Mutasi Neraca'!$A$3:$S$910,12,FALSE)),0,VLOOKUP($A654,'Mutasi Neraca'!$A$3:$S$910,12,FALSE))</f>
        <v>26597434138</v>
      </c>
      <c r="N654" s="42">
        <f>VLOOKUP($A654,'Neraca Unaudited SIMAK'!$A$2:$R$1272,13,FALSE)+IF(ISNA(VLOOKUP($A654,'Mutasi Neraca'!$A$3:$S$910,13,FALSE)),0,VLOOKUP($A654,'Mutasi Neraca'!$A$3:$S$910,13,FALSE))</f>
        <v>-1973716116</v>
      </c>
      <c r="O654" s="42">
        <f>VLOOKUP($A654,'Neraca Unaudited SIMAK'!$A$2:$R$1272,14,FALSE)+IF(ISNA(VLOOKUP($A654,'Mutasi Neraca'!$A$3:$S$910,14,FALSE)),0,VLOOKUP($A654,'Mutasi Neraca'!$A$3:$S$910,14,FALSE))</f>
        <v>-1060132268</v>
      </c>
      <c r="P654" s="42">
        <f>VLOOKUP($A654,'Neraca Unaudited SIMAK'!$A$2:$R$1272,15,FALSE)+IF(ISNA(VLOOKUP($A654,'Mutasi Neraca'!$A$3:$S$910,15,FALSE)),0,VLOOKUP($A654,'Mutasi Neraca'!$A$3:$S$910,15,FALSE))</f>
        <v>-847500</v>
      </c>
      <c r="Q654" s="42">
        <f>VLOOKUP($A654,'Neraca Unaudited SIMAK'!$A$2:$R$1272,16,FALSE)+IF(ISNA(VLOOKUP($A654,'Mutasi Neraca'!$A$3:$S$910,16,FALSE)),0,VLOOKUP($A654,'Mutasi Neraca'!$A$3:$S$910,16,FALSE))</f>
        <v>-5700000</v>
      </c>
      <c r="R654" s="42">
        <f>VLOOKUP($A654,'Neraca Unaudited SIMAK'!$A$2:$R$1272,17,FALSE)+IF(ISNA(VLOOKUP($A654,'Mutasi Neraca'!$A$3:$S$910,17,FALSE)),0,VLOOKUP($A654,'Mutasi Neraca'!$A$3:$S$910,17,FALSE))</f>
        <v>-127060500</v>
      </c>
      <c r="S654" s="42">
        <f t="shared" si="63"/>
        <v>23429977754</v>
      </c>
    </row>
    <row r="655" spans="1:19">
      <c r="A655" s="41" t="s">
        <v>662</v>
      </c>
      <c r="B655" s="41" t="str">
        <f t="shared" si="62"/>
        <v>005012200</v>
      </c>
      <c r="D655" s="42">
        <f>VLOOKUP($A655,'Neraca Unaudited SIMAK'!$A$2:$R$1272,3,FALSE)+IF(ISNA(VLOOKUP($A655,'Mutasi Neraca'!$A$3:$S$910,3,FALSE)),0,VLOOKUP($A655,'Mutasi Neraca'!$A$3:$S$910,3,FALSE))</f>
        <v>12177200</v>
      </c>
      <c r="E655" s="42">
        <f>VLOOKUP($A655,'Neraca Unaudited SIMAK'!$A$2:$R$1272,4,FALSE)+IF(ISNA(VLOOKUP($A655,'Mutasi Neraca'!$A$3:$S$910,4,FALSE)),0,VLOOKUP($A655,'Mutasi Neraca'!$A$3:$S$910,4,FALSE))</f>
        <v>1875075000</v>
      </c>
      <c r="F655" s="42">
        <f>VLOOKUP($A655,'Neraca Unaudited SIMAK'!$A$2:$R$1272,5,FALSE)+IF(ISNA(VLOOKUP($A655,'Mutasi Neraca'!$A$3:$S$910,5,FALSE)),0,VLOOKUP($A655,'Mutasi Neraca'!$A$3:$S$910,5,FALSE))</f>
        <v>1616500748</v>
      </c>
      <c r="G655" s="42">
        <f>VLOOKUP($A655,'Neraca Unaudited SIMAK'!$A$2:$R$1272,6,FALSE)+IF(ISNA(VLOOKUP($A655,'Mutasi Neraca'!$A$3:$S$910,6,FALSE)),0,VLOOKUP($A655,'Mutasi Neraca'!$A$3:$S$910,6,FALSE))</f>
        <v>2253254180</v>
      </c>
      <c r="H655" s="42">
        <f>VLOOKUP($A655,'Neraca Unaudited SIMAK'!$A$2:$R$1272,7,FALSE)+IF(ISNA(VLOOKUP($A655,'Mutasi Neraca'!$A$3:$S$910,7,FALSE)),0,VLOOKUP($A655,'Mutasi Neraca'!$A$3:$S$910,7,FALSE))</f>
        <v>45491200</v>
      </c>
      <c r="I655" s="42">
        <f>VLOOKUP($A655,'Neraca Unaudited SIMAK'!$A$2:$R$1272,8,FALSE)+IF(ISNA(VLOOKUP($A655,'Mutasi Neraca'!$A$3:$S$910,8,FALSE)),0,VLOOKUP($A655,'Mutasi Neraca'!$A$3:$S$910,8,FALSE))</f>
        <v>1943440</v>
      </c>
      <c r="J655" s="42">
        <f>VLOOKUP($A655,'Neraca Unaudited SIMAK'!$A$2:$R$1272,9,FALSE)+IF(ISNA(VLOOKUP($A655,'Mutasi Neraca'!$A$3:$S$910,9,FALSE)),0,VLOOKUP($A655,'Mutasi Neraca'!$A$3:$S$910,9,FALSE))</f>
        <v>0</v>
      </c>
      <c r="K655" s="42">
        <f>VLOOKUP($A655,'Neraca Unaudited SIMAK'!$A$2:$R$1272,10,FALSE)+IF(ISNA(VLOOKUP($A655,'Mutasi Neraca'!$A$3:$S$910,10,FALSE)),0,VLOOKUP($A655,'Mutasi Neraca'!$A$3:$S$910,10,FALSE))</f>
        <v>0</v>
      </c>
      <c r="L655" s="42">
        <f>VLOOKUP($A655,'Neraca Unaudited SIMAK'!$A$2:$R$1272,11,FALSE)+IF(ISNA(VLOOKUP($A655,'Mutasi Neraca'!$A$3:$S$910,11,FALSE)),0,VLOOKUP($A655,'Mutasi Neraca'!$A$3:$S$910,11,FALSE))</f>
        <v>55301500</v>
      </c>
      <c r="M655" s="42">
        <f>VLOOKUP($A655,'Neraca Unaudited SIMAK'!$A$2:$R$1272,12,FALSE)+IF(ISNA(VLOOKUP($A655,'Mutasi Neraca'!$A$3:$S$910,12,FALSE)),0,VLOOKUP($A655,'Mutasi Neraca'!$A$3:$S$910,12,FALSE))</f>
        <v>5859743268</v>
      </c>
      <c r="N655" s="42">
        <f>VLOOKUP($A655,'Neraca Unaudited SIMAK'!$A$2:$R$1272,13,FALSE)+IF(ISNA(VLOOKUP($A655,'Mutasi Neraca'!$A$3:$S$910,13,FALSE)),0,VLOOKUP($A655,'Mutasi Neraca'!$A$3:$S$910,13,FALSE))</f>
        <v>-1480202094</v>
      </c>
      <c r="O655" s="42">
        <f>VLOOKUP($A655,'Neraca Unaudited SIMAK'!$A$2:$R$1272,14,FALSE)+IF(ISNA(VLOOKUP($A655,'Mutasi Neraca'!$A$3:$S$910,14,FALSE)),0,VLOOKUP($A655,'Mutasi Neraca'!$A$3:$S$910,14,FALSE))</f>
        <v>-287349648</v>
      </c>
      <c r="P655" s="42">
        <f>VLOOKUP($A655,'Neraca Unaudited SIMAK'!$A$2:$R$1272,15,FALSE)+IF(ISNA(VLOOKUP($A655,'Mutasi Neraca'!$A$3:$S$910,15,FALSE)),0,VLOOKUP($A655,'Mutasi Neraca'!$A$3:$S$910,15,FALSE))</f>
        <v>-6521523</v>
      </c>
      <c r="Q655" s="42">
        <f>VLOOKUP($A655,'Neraca Unaudited SIMAK'!$A$2:$R$1272,16,FALSE)+IF(ISNA(VLOOKUP($A655,'Mutasi Neraca'!$A$3:$S$910,16,FALSE)),0,VLOOKUP($A655,'Mutasi Neraca'!$A$3:$S$910,16,FALSE))</f>
        <v>0</v>
      </c>
      <c r="R655" s="42">
        <f>VLOOKUP($A655,'Neraca Unaudited SIMAK'!$A$2:$R$1272,17,FALSE)+IF(ISNA(VLOOKUP($A655,'Mutasi Neraca'!$A$3:$S$910,17,FALSE)),0,VLOOKUP($A655,'Mutasi Neraca'!$A$3:$S$910,17,FALSE))</f>
        <v>-55301500</v>
      </c>
      <c r="S655" s="42">
        <f t="shared" si="63"/>
        <v>4030368503</v>
      </c>
    </row>
    <row r="656" spans="1:19">
      <c r="A656" s="41" t="s">
        <v>663</v>
      </c>
      <c r="B656" s="41" t="str">
        <f t="shared" si="62"/>
        <v>005012200</v>
      </c>
      <c r="D656" s="42">
        <f>VLOOKUP($A656,'Neraca Unaudited SIMAK'!$A$2:$R$1272,3,FALSE)+IF(ISNA(VLOOKUP($A656,'Mutasi Neraca'!$A$3:$S$910,3,FALSE)),0,VLOOKUP($A656,'Mutasi Neraca'!$A$3:$S$910,3,FALSE))</f>
        <v>4704250</v>
      </c>
      <c r="E656" s="42">
        <f>VLOOKUP($A656,'Neraca Unaudited SIMAK'!$A$2:$R$1272,4,FALSE)+IF(ISNA(VLOOKUP($A656,'Mutasi Neraca'!$A$3:$S$910,4,FALSE)),0,VLOOKUP($A656,'Mutasi Neraca'!$A$3:$S$910,4,FALSE))</f>
        <v>2726104000</v>
      </c>
      <c r="F656" s="42">
        <f>VLOOKUP($A656,'Neraca Unaudited SIMAK'!$A$2:$R$1272,5,FALSE)+IF(ISNA(VLOOKUP($A656,'Mutasi Neraca'!$A$3:$S$910,5,FALSE)),0,VLOOKUP($A656,'Mutasi Neraca'!$A$3:$S$910,5,FALSE))</f>
        <v>1626960138</v>
      </c>
      <c r="G656" s="42">
        <f>VLOOKUP($A656,'Neraca Unaudited SIMAK'!$A$2:$R$1272,6,FALSE)+IF(ISNA(VLOOKUP($A656,'Mutasi Neraca'!$A$3:$S$910,6,FALSE)),0,VLOOKUP($A656,'Mutasi Neraca'!$A$3:$S$910,6,FALSE))</f>
        <v>3069323000</v>
      </c>
      <c r="H656" s="42">
        <f>VLOOKUP($A656,'Neraca Unaudited SIMAK'!$A$2:$R$1272,7,FALSE)+IF(ISNA(VLOOKUP($A656,'Mutasi Neraca'!$A$3:$S$910,7,FALSE)),0,VLOOKUP($A656,'Mutasi Neraca'!$A$3:$S$910,7,FALSE))</f>
        <v>105895000</v>
      </c>
      <c r="I656" s="42">
        <f>VLOOKUP($A656,'Neraca Unaudited SIMAK'!$A$2:$R$1272,8,FALSE)+IF(ISNA(VLOOKUP($A656,'Mutasi Neraca'!$A$3:$S$910,8,FALSE)),0,VLOOKUP($A656,'Mutasi Neraca'!$A$3:$S$910,8,FALSE))</f>
        <v>41102240</v>
      </c>
      <c r="J656" s="42">
        <f>VLOOKUP($A656,'Neraca Unaudited SIMAK'!$A$2:$R$1272,9,FALSE)+IF(ISNA(VLOOKUP($A656,'Mutasi Neraca'!$A$3:$S$910,9,FALSE)),0,VLOOKUP($A656,'Mutasi Neraca'!$A$3:$S$910,9,FALSE))</f>
        <v>0</v>
      </c>
      <c r="K656" s="42">
        <f>VLOOKUP($A656,'Neraca Unaudited SIMAK'!$A$2:$R$1272,10,FALSE)+IF(ISNA(VLOOKUP($A656,'Mutasi Neraca'!$A$3:$S$910,10,FALSE)),0,VLOOKUP($A656,'Mutasi Neraca'!$A$3:$S$910,10,FALSE))</f>
        <v>0</v>
      </c>
      <c r="L656" s="42">
        <f>VLOOKUP($A656,'Neraca Unaudited SIMAK'!$A$2:$R$1272,11,FALSE)+IF(ISNA(VLOOKUP($A656,'Mutasi Neraca'!$A$3:$S$910,11,FALSE)),0,VLOOKUP($A656,'Mutasi Neraca'!$A$3:$S$910,11,FALSE))</f>
        <v>43209073</v>
      </c>
      <c r="M656" s="42">
        <f>VLOOKUP($A656,'Neraca Unaudited SIMAK'!$A$2:$R$1272,12,FALSE)+IF(ISNA(VLOOKUP($A656,'Mutasi Neraca'!$A$3:$S$910,12,FALSE)),0,VLOOKUP($A656,'Mutasi Neraca'!$A$3:$S$910,12,FALSE))</f>
        <v>7617297701</v>
      </c>
      <c r="N656" s="42">
        <f>VLOOKUP($A656,'Neraca Unaudited SIMAK'!$A$2:$R$1272,13,FALSE)+IF(ISNA(VLOOKUP($A656,'Mutasi Neraca'!$A$3:$S$910,13,FALSE)),0,VLOOKUP($A656,'Mutasi Neraca'!$A$3:$S$910,13,FALSE))</f>
        <v>-1556953640</v>
      </c>
      <c r="O656" s="42">
        <f>VLOOKUP($A656,'Neraca Unaudited SIMAK'!$A$2:$R$1272,14,FALSE)+IF(ISNA(VLOOKUP($A656,'Mutasi Neraca'!$A$3:$S$910,14,FALSE)),0,VLOOKUP($A656,'Mutasi Neraca'!$A$3:$S$910,14,FALSE))</f>
        <v>-1024074203</v>
      </c>
      <c r="P656" s="42">
        <f>VLOOKUP($A656,'Neraca Unaudited SIMAK'!$A$2:$R$1272,15,FALSE)+IF(ISNA(VLOOKUP($A656,'Mutasi Neraca'!$A$3:$S$910,15,FALSE)),0,VLOOKUP($A656,'Mutasi Neraca'!$A$3:$S$910,15,FALSE))</f>
        <v>-9876038</v>
      </c>
      <c r="Q656" s="42">
        <f>VLOOKUP($A656,'Neraca Unaudited SIMAK'!$A$2:$R$1272,16,FALSE)+IF(ISNA(VLOOKUP($A656,'Mutasi Neraca'!$A$3:$S$910,16,FALSE)),0,VLOOKUP($A656,'Mutasi Neraca'!$A$3:$S$910,16,FALSE))</f>
        <v>0</v>
      </c>
      <c r="R656" s="42">
        <f>VLOOKUP($A656,'Neraca Unaudited SIMAK'!$A$2:$R$1272,17,FALSE)+IF(ISNA(VLOOKUP($A656,'Mutasi Neraca'!$A$3:$S$910,17,FALSE)),0,VLOOKUP($A656,'Mutasi Neraca'!$A$3:$S$910,17,FALSE))</f>
        <v>-43209073</v>
      </c>
      <c r="S656" s="42">
        <f t="shared" si="63"/>
        <v>4983184747</v>
      </c>
    </row>
    <row r="657" spans="1:19">
      <c r="A657" s="41" t="s">
        <v>664</v>
      </c>
      <c r="B657" s="41" t="str">
        <f t="shared" si="62"/>
        <v>005012200</v>
      </c>
      <c r="D657" s="42">
        <f>VLOOKUP($A657,'Neraca Unaudited SIMAK'!$A$2:$R$1272,3,FALSE)+IF(ISNA(VLOOKUP($A657,'Mutasi Neraca'!$A$3:$S$910,3,FALSE)),0,VLOOKUP($A657,'Mutasi Neraca'!$A$3:$S$910,3,FALSE))</f>
        <v>0</v>
      </c>
      <c r="E657" s="42">
        <f>VLOOKUP($A657,'Neraca Unaudited SIMAK'!$A$2:$R$1272,4,FALSE)+IF(ISNA(VLOOKUP($A657,'Mutasi Neraca'!$A$3:$S$910,4,FALSE)),0,VLOOKUP($A657,'Mutasi Neraca'!$A$3:$S$910,4,FALSE))</f>
        <v>2812525000</v>
      </c>
      <c r="F657" s="42">
        <f>VLOOKUP($A657,'Neraca Unaudited SIMAK'!$A$2:$R$1272,5,FALSE)+IF(ISNA(VLOOKUP($A657,'Mutasi Neraca'!$A$3:$S$910,5,FALSE)),0,VLOOKUP($A657,'Mutasi Neraca'!$A$3:$S$910,5,FALSE))</f>
        <v>1981238947</v>
      </c>
      <c r="G657" s="42">
        <f>VLOOKUP($A657,'Neraca Unaudited SIMAK'!$A$2:$R$1272,6,FALSE)+IF(ISNA(VLOOKUP($A657,'Mutasi Neraca'!$A$3:$S$910,6,FALSE)),0,VLOOKUP($A657,'Mutasi Neraca'!$A$3:$S$910,6,FALSE))</f>
        <v>3333914549</v>
      </c>
      <c r="H657" s="42">
        <f>VLOOKUP($A657,'Neraca Unaudited SIMAK'!$A$2:$R$1272,7,FALSE)+IF(ISNA(VLOOKUP($A657,'Mutasi Neraca'!$A$3:$S$910,7,FALSE)),0,VLOOKUP($A657,'Mutasi Neraca'!$A$3:$S$910,7,FALSE))</f>
        <v>0</v>
      </c>
      <c r="I657" s="42">
        <f>VLOOKUP($A657,'Neraca Unaudited SIMAK'!$A$2:$R$1272,8,FALSE)+IF(ISNA(VLOOKUP($A657,'Mutasi Neraca'!$A$3:$S$910,8,FALSE)),0,VLOOKUP($A657,'Mutasi Neraca'!$A$3:$S$910,8,FALSE))</f>
        <v>64311218</v>
      </c>
      <c r="J657" s="42">
        <f>VLOOKUP($A657,'Neraca Unaudited SIMAK'!$A$2:$R$1272,9,FALSE)+IF(ISNA(VLOOKUP($A657,'Mutasi Neraca'!$A$3:$S$910,9,FALSE)),0,VLOOKUP($A657,'Mutasi Neraca'!$A$3:$S$910,9,FALSE))</f>
        <v>0</v>
      </c>
      <c r="K657" s="42">
        <f>VLOOKUP($A657,'Neraca Unaudited SIMAK'!$A$2:$R$1272,10,FALSE)+IF(ISNA(VLOOKUP($A657,'Mutasi Neraca'!$A$3:$S$910,10,FALSE)),0,VLOOKUP($A657,'Mutasi Neraca'!$A$3:$S$910,10,FALSE))</f>
        <v>0</v>
      </c>
      <c r="L657" s="42">
        <f>VLOOKUP($A657,'Neraca Unaudited SIMAK'!$A$2:$R$1272,11,FALSE)+IF(ISNA(VLOOKUP($A657,'Mutasi Neraca'!$A$3:$S$910,11,FALSE)),0,VLOOKUP($A657,'Mutasi Neraca'!$A$3:$S$910,11,FALSE))</f>
        <v>18775000</v>
      </c>
      <c r="M657" s="42">
        <f>VLOOKUP($A657,'Neraca Unaudited SIMAK'!$A$2:$R$1272,12,FALSE)+IF(ISNA(VLOOKUP($A657,'Mutasi Neraca'!$A$3:$S$910,12,FALSE)),0,VLOOKUP($A657,'Mutasi Neraca'!$A$3:$S$910,12,FALSE))</f>
        <v>8210764714</v>
      </c>
      <c r="N657" s="42">
        <f>VLOOKUP($A657,'Neraca Unaudited SIMAK'!$A$2:$R$1272,13,FALSE)+IF(ISNA(VLOOKUP($A657,'Mutasi Neraca'!$A$3:$S$910,13,FALSE)),0,VLOOKUP($A657,'Mutasi Neraca'!$A$3:$S$910,13,FALSE))</f>
        <v>-1437442220</v>
      </c>
      <c r="O657" s="42">
        <f>VLOOKUP($A657,'Neraca Unaudited SIMAK'!$A$2:$R$1272,14,FALSE)+IF(ISNA(VLOOKUP($A657,'Mutasi Neraca'!$A$3:$S$910,14,FALSE)),0,VLOOKUP($A657,'Mutasi Neraca'!$A$3:$S$910,14,FALSE))</f>
        <v>-860295465</v>
      </c>
      <c r="P657" s="42">
        <f>VLOOKUP($A657,'Neraca Unaudited SIMAK'!$A$2:$R$1272,15,FALSE)+IF(ISNA(VLOOKUP($A657,'Mutasi Neraca'!$A$3:$S$910,15,FALSE)),0,VLOOKUP($A657,'Mutasi Neraca'!$A$3:$S$910,15,FALSE))</f>
        <v>0</v>
      </c>
      <c r="Q657" s="42">
        <f>VLOOKUP($A657,'Neraca Unaudited SIMAK'!$A$2:$R$1272,16,FALSE)+IF(ISNA(VLOOKUP($A657,'Mutasi Neraca'!$A$3:$S$910,16,FALSE)),0,VLOOKUP($A657,'Mutasi Neraca'!$A$3:$S$910,16,FALSE))</f>
        <v>0</v>
      </c>
      <c r="R657" s="42">
        <f>VLOOKUP($A657,'Neraca Unaudited SIMAK'!$A$2:$R$1272,17,FALSE)+IF(ISNA(VLOOKUP($A657,'Mutasi Neraca'!$A$3:$S$910,17,FALSE)),0,VLOOKUP($A657,'Mutasi Neraca'!$A$3:$S$910,17,FALSE))</f>
        <v>-18775000</v>
      </c>
      <c r="S657" s="42">
        <f t="shared" si="63"/>
        <v>5894252029</v>
      </c>
    </row>
    <row r="658" spans="1:19">
      <c r="A658" s="41" t="s">
        <v>665</v>
      </c>
      <c r="B658" s="41" t="str">
        <f t="shared" si="62"/>
        <v>005012200</v>
      </c>
      <c r="D658" s="42">
        <f>VLOOKUP($A658,'Neraca Unaudited SIMAK'!$A$2:$R$1272,3,FALSE)+IF(ISNA(VLOOKUP($A658,'Mutasi Neraca'!$A$3:$S$910,3,FALSE)),0,VLOOKUP($A658,'Mutasi Neraca'!$A$3:$S$910,3,FALSE))</f>
        <v>913060</v>
      </c>
      <c r="E658" s="42">
        <f>VLOOKUP($A658,'Neraca Unaudited SIMAK'!$A$2:$R$1272,4,FALSE)+IF(ISNA(VLOOKUP($A658,'Mutasi Neraca'!$A$3:$S$910,4,FALSE)),0,VLOOKUP($A658,'Mutasi Neraca'!$A$3:$S$910,4,FALSE))</f>
        <v>1689320000</v>
      </c>
      <c r="F658" s="42">
        <f>VLOOKUP($A658,'Neraca Unaudited SIMAK'!$A$2:$R$1272,5,FALSE)+IF(ISNA(VLOOKUP($A658,'Mutasi Neraca'!$A$3:$S$910,5,FALSE)),0,VLOOKUP($A658,'Mutasi Neraca'!$A$3:$S$910,5,FALSE))</f>
        <v>1639936050</v>
      </c>
      <c r="G658" s="42">
        <f>VLOOKUP($A658,'Neraca Unaudited SIMAK'!$A$2:$R$1272,6,FALSE)+IF(ISNA(VLOOKUP($A658,'Mutasi Neraca'!$A$3:$S$910,6,FALSE)),0,VLOOKUP($A658,'Mutasi Neraca'!$A$3:$S$910,6,FALSE))</f>
        <v>2472749000</v>
      </c>
      <c r="H658" s="42">
        <f>VLOOKUP($A658,'Neraca Unaudited SIMAK'!$A$2:$R$1272,7,FALSE)+IF(ISNA(VLOOKUP($A658,'Mutasi Neraca'!$A$3:$S$910,7,FALSE)),0,VLOOKUP($A658,'Mutasi Neraca'!$A$3:$S$910,7,FALSE))</f>
        <v>72402000</v>
      </c>
      <c r="I658" s="42">
        <f>VLOOKUP($A658,'Neraca Unaudited SIMAK'!$A$2:$R$1272,8,FALSE)+IF(ISNA(VLOOKUP($A658,'Mutasi Neraca'!$A$3:$S$910,8,FALSE)),0,VLOOKUP($A658,'Mutasi Neraca'!$A$3:$S$910,8,FALSE))</f>
        <v>12213218</v>
      </c>
      <c r="J658" s="42">
        <f>VLOOKUP($A658,'Neraca Unaudited SIMAK'!$A$2:$R$1272,9,FALSE)+IF(ISNA(VLOOKUP($A658,'Mutasi Neraca'!$A$3:$S$910,9,FALSE)),0,VLOOKUP($A658,'Mutasi Neraca'!$A$3:$S$910,9,FALSE))</f>
        <v>0</v>
      </c>
      <c r="K658" s="42">
        <f>VLOOKUP($A658,'Neraca Unaudited SIMAK'!$A$2:$R$1272,10,FALSE)+IF(ISNA(VLOOKUP($A658,'Mutasi Neraca'!$A$3:$S$910,10,FALSE)),0,VLOOKUP($A658,'Mutasi Neraca'!$A$3:$S$910,10,FALSE))</f>
        <v>0</v>
      </c>
      <c r="L658" s="42">
        <f>VLOOKUP($A658,'Neraca Unaudited SIMAK'!$A$2:$R$1272,11,FALSE)+IF(ISNA(VLOOKUP($A658,'Mutasi Neraca'!$A$3:$S$910,11,FALSE)),0,VLOOKUP($A658,'Mutasi Neraca'!$A$3:$S$910,11,FALSE))</f>
        <v>3752600</v>
      </c>
      <c r="M658" s="42">
        <f>VLOOKUP($A658,'Neraca Unaudited SIMAK'!$A$2:$R$1272,12,FALSE)+IF(ISNA(VLOOKUP($A658,'Mutasi Neraca'!$A$3:$S$910,12,FALSE)),0,VLOOKUP($A658,'Mutasi Neraca'!$A$3:$S$910,12,FALSE))</f>
        <v>5891285928</v>
      </c>
      <c r="N658" s="42">
        <f>VLOOKUP($A658,'Neraca Unaudited SIMAK'!$A$2:$R$1272,13,FALSE)+IF(ISNA(VLOOKUP($A658,'Mutasi Neraca'!$A$3:$S$910,13,FALSE)),0,VLOOKUP($A658,'Mutasi Neraca'!$A$3:$S$910,13,FALSE))</f>
        <v>-1440071066</v>
      </c>
      <c r="O658" s="42">
        <f>VLOOKUP($A658,'Neraca Unaudited SIMAK'!$A$2:$R$1272,14,FALSE)+IF(ISNA(VLOOKUP($A658,'Mutasi Neraca'!$A$3:$S$910,14,FALSE)),0,VLOOKUP($A658,'Mutasi Neraca'!$A$3:$S$910,14,FALSE))</f>
        <v>-671887107</v>
      </c>
      <c r="P658" s="42">
        <f>VLOOKUP($A658,'Neraca Unaudited SIMAK'!$A$2:$R$1272,15,FALSE)+IF(ISNA(VLOOKUP($A658,'Mutasi Neraca'!$A$3:$S$910,15,FALSE)),0,VLOOKUP($A658,'Mutasi Neraca'!$A$3:$S$910,15,FALSE))</f>
        <v>-7205275</v>
      </c>
      <c r="Q658" s="42">
        <f>VLOOKUP($A658,'Neraca Unaudited SIMAK'!$A$2:$R$1272,16,FALSE)+IF(ISNA(VLOOKUP($A658,'Mutasi Neraca'!$A$3:$S$910,16,FALSE)),0,VLOOKUP($A658,'Mutasi Neraca'!$A$3:$S$910,16,FALSE))</f>
        <v>0</v>
      </c>
      <c r="R658" s="42">
        <f>VLOOKUP($A658,'Neraca Unaudited SIMAK'!$A$2:$R$1272,17,FALSE)+IF(ISNA(VLOOKUP($A658,'Mutasi Neraca'!$A$3:$S$910,17,FALSE)),0,VLOOKUP($A658,'Mutasi Neraca'!$A$3:$S$910,17,FALSE))</f>
        <v>-3752600</v>
      </c>
      <c r="S658" s="42">
        <f t="shared" si="63"/>
        <v>3768369880</v>
      </c>
    </row>
    <row r="659" spans="1:19">
      <c r="A659" s="41" t="s">
        <v>666</v>
      </c>
      <c r="B659" s="41" t="str">
        <f t="shared" si="62"/>
        <v>005012200</v>
      </c>
      <c r="D659" s="42">
        <f>VLOOKUP($A659,'Neraca Unaudited SIMAK'!$A$2:$R$1272,3,FALSE)+IF(ISNA(VLOOKUP($A659,'Mutasi Neraca'!$A$3:$S$910,3,FALSE)),0,VLOOKUP($A659,'Mutasi Neraca'!$A$3:$S$910,3,FALSE))</f>
        <v>1038500</v>
      </c>
      <c r="E659" s="42">
        <f>VLOOKUP($A659,'Neraca Unaudited SIMAK'!$A$2:$R$1272,4,FALSE)+IF(ISNA(VLOOKUP($A659,'Mutasi Neraca'!$A$3:$S$910,4,FALSE)),0,VLOOKUP($A659,'Mutasi Neraca'!$A$3:$S$910,4,FALSE))</f>
        <v>4239550000</v>
      </c>
      <c r="F659" s="42">
        <f>VLOOKUP($A659,'Neraca Unaudited SIMAK'!$A$2:$R$1272,5,FALSE)+IF(ISNA(VLOOKUP($A659,'Mutasi Neraca'!$A$3:$S$910,5,FALSE)),0,VLOOKUP($A659,'Mutasi Neraca'!$A$3:$S$910,5,FALSE))</f>
        <v>1762530428</v>
      </c>
      <c r="G659" s="42">
        <f>VLOOKUP($A659,'Neraca Unaudited SIMAK'!$A$2:$R$1272,6,FALSE)+IF(ISNA(VLOOKUP($A659,'Mutasi Neraca'!$A$3:$S$910,6,FALSE)),0,VLOOKUP($A659,'Mutasi Neraca'!$A$3:$S$910,6,FALSE))</f>
        <v>1745298750</v>
      </c>
      <c r="H659" s="42">
        <f>VLOOKUP($A659,'Neraca Unaudited SIMAK'!$A$2:$R$1272,7,FALSE)+IF(ISNA(VLOOKUP($A659,'Mutasi Neraca'!$A$3:$S$910,7,FALSE)),0,VLOOKUP($A659,'Mutasi Neraca'!$A$3:$S$910,7,FALSE))</f>
        <v>109700000</v>
      </c>
      <c r="I659" s="42">
        <f>VLOOKUP($A659,'Neraca Unaudited SIMAK'!$A$2:$R$1272,8,FALSE)+IF(ISNA(VLOOKUP($A659,'Mutasi Neraca'!$A$3:$S$910,8,FALSE)),0,VLOOKUP($A659,'Mutasi Neraca'!$A$3:$S$910,8,FALSE))</f>
        <v>45709179</v>
      </c>
      <c r="J659" s="42">
        <f>VLOOKUP($A659,'Neraca Unaudited SIMAK'!$A$2:$R$1272,9,FALSE)+IF(ISNA(VLOOKUP($A659,'Mutasi Neraca'!$A$3:$S$910,9,FALSE)),0,VLOOKUP($A659,'Mutasi Neraca'!$A$3:$S$910,9,FALSE))</f>
        <v>0</v>
      </c>
      <c r="K659" s="42">
        <f>VLOOKUP($A659,'Neraca Unaudited SIMAK'!$A$2:$R$1272,10,FALSE)+IF(ISNA(VLOOKUP($A659,'Mutasi Neraca'!$A$3:$S$910,10,FALSE)),0,VLOOKUP($A659,'Mutasi Neraca'!$A$3:$S$910,10,FALSE))</f>
        <v>0</v>
      </c>
      <c r="L659" s="42">
        <f>VLOOKUP($A659,'Neraca Unaudited SIMAK'!$A$2:$R$1272,11,FALSE)+IF(ISNA(VLOOKUP($A659,'Mutasi Neraca'!$A$3:$S$910,11,FALSE)),0,VLOOKUP($A659,'Mutasi Neraca'!$A$3:$S$910,11,FALSE))</f>
        <v>0</v>
      </c>
      <c r="M659" s="42">
        <f>VLOOKUP($A659,'Neraca Unaudited SIMAK'!$A$2:$R$1272,12,FALSE)+IF(ISNA(VLOOKUP($A659,'Mutasi Neraca'!$A$3:$S$910,12,FALSE)),0,VLOOKUP($A659,'Mutasi Neraca'!$A$3:$S$910,12,FALSE))</f>
        <v>7903826857</v>
      </c>
      <c r="N659" s="42">
        <f>VLOOKUP($A659,'Neraca Unaudited SIMAK'!$A$2:$R$1272,13,FALSE)+IF(ISNA(VLOOKUP($A659,'Mutasi Neraca'!$A$3:$S$910,13,FALSE)),0,VLOOKUP($A659,'Mutasi Neraca'!$A$3:$S$910,13,FALSE))</f>
        <v>-1601832869</v>
      </c>
      <c r="O659" s="42">
        <f>VLOOKUP($A659,'Neraca Unaudited SIMAK'!$A$2:$R$1272,14,FALSE)+IF(ISNA(VLOOKUP($A659,'Mutasi Neraca'!$A$3:$S$910,14,FALSE)),0,VLOOKUP($A659,'Mutasi Neraca'!$A$3:$S$910,14,FALSE))</f>
        <v>-1189641403</v>
      </c>
      <c r="P659" s="42">
        <f>VLOOKUP($A659,'Neraca Unaudited SIMAK'!$A$2:$R$1272,15,FALSE)+IF(ISNA(VLOOKUP($A659,'Mutasi Neraca'!$A$3:$S$910,15,FALSE)),0,VLOOKUP($A659,'Mutasi Neraca'!$A$3:$S$910,15,FALSE))</f>
        <v>-13026250</v>
      </c>
      <c r="Q659" s="42">
        <f>VLOOKUP($A659,'Neraca Unaudited SIMAK'!$A$2:$R$1272,16,FALSE)+IF(ISNA(VLOOKUP($A659,'Mutasi Neraca'!$A$3:$S$910,16,FALSE)),0,VLOOKUP($A659,'Mutasi Neraca'!$A$3:$S$910,16,FALSE))</f>
        <v>0</v>
      </c>
      <c r="R659" s="42">
        <f>VLOOKUP($A659,'Neraca Unaudited SIMAK'!$A$2:$R$1272,17,FALSE)+IF(ISNA(VLOOKUP($A659,'Mutasi Neraca'!$A$3:$S$910,17,FALSE)),0,VLOOKUP($A659,'Mutasi Neraca'!$A$3:$S$910,17,FALSE))</f>
        <v>0</v>
      </c>
      <c r="S659" s="42">
        <f t="shared" si="63"/>
        <v>5099326335</v>
      </c>
    </row>
    <row r="660" spans="1:19">
      <c r="A660" s="41" t="s">
        <v>667</v>
      </c>
      <c r="B660" s="41" t="str">
        <f t="shared" si="62"/>
        <v>005012200</v>
      </c>
      <c r="D660" s="42">
        <f>VLOOKUP($A660,'Neraca Unaudited SIMAK'!$A$2:$R$1272,3,FALSE)+IF(ISNA(VLOOKUP($A660,'Mutasi Neraca'!$A$3:$S$910,3,FALSE)),0,VLOOKUP($A660,'Mutasi Neraca'!$A$3:$S$910,3,FALSE))</f>
        <v>162000</v>
      </c>
      <c r="E660" s="42">
        <f>VLOOKUP($A660,'Neraca Unaudited SIMAK'!$A$2:$R$1272,4,FALSE)+IF(ISNA(VLOOKUP($A660,'Mutasi Neraca'!$A$3:$S$910,4,FALSE)),0,VLOOKUP($A660,'Mutasi Neraca'!$A$3:$S$910,4,FALSE))</f>
        <v>4683580000</v>
      </c>
      <c r="F660" s="42">
        <f>VLOOKUP($A660,'Neraca Unaudited SIMAK'!$A$2:$R$1272,5,FALSE)+IF(ISNA(VLOOKUP($A660,'Mutasi Neraca'!$A$3:$S$910,5,FALSE)),0,VLOOKUP($A660,'Mutasi Neraca'!$A$3:$S$910,5,FALSE))</f>
        <v>3053309637</v>
      </c>
      <c r="G660" s="42">
        <f>VLOOKUP($A660,'Neraca Unaudited SIMAK'!$A$2:$R$1272,6,FALSE)+IF(ISNA(VLOOKUP($A660,'Mutasi Neraca'!$A$3:$S$910,6,FALSE)),0,VLOOKUP($A660,'Mutasi Neraca'!$A$3:$S$910,6,FALSE))</f>
        <v>9049530400</v>
      </c>
      <c r="H660" s="42">
        <f>VLOOKUP($A660,'Neraca Unaudited SIMAK'!$A$2:$R$1272,7,FALSE)+IF(ISNA(VLOOKUP($A660,'Mutasi Neraca'!$A$3:$S$910,7,FALSE)),0,VLOOKUP($A660,'Mutasi Neraca'!$A$3:$S$910,7,FALSE))</f>
        <v>119021000</v>
      </c>
      <c r="I660" s="42">
        <f>VLOOKUP($A660,'Neraca Unaudited SIMAK'!$A$2:$R$1272,8,FALSE)+IF(ISNA(VLOOKUP($A660,'Mutasi Neraca'!$A$3:$S$910,8,FALSE)),0,VLOOKUP($A660,'Mutasi Neraca'!$A$3:$S$910,8,FALSE))</f>
        <v>106679081</v>
      </c>
      <c r="J660" s="42">
        <f>VLOOKUP($A660,'Neraca Unaudited SIMAK'!$A$2:$R$1272,9,FALSE)+IF(ISNA(VLOOKUP($A660,'Mutasi Neraca'!$A$3:$S$910,9,FALSE)),0,VLOOKUP($A660,'Mutasi Neraca'!$A$3:$S$910,9,FALSE))</f>
        <v>0</v>
      </c>
      <c r="K660" s="42">
        <f>VLOOKUP($A660,'Neraca Unaudited SIMAK'!$A$2:$R$1272,10,FALSE)+IF(ISNA(VLOOKUP($A660,'Mutasi Neraca'!$A$3:$S$910,10,FALSE)),0,VLOOKUP($A660,'Mutasi Neraca'!$A$3:$S$910,10,FALSE))</f>
        <v>0</v>
      </c>
      <c r="L660" s="42">
        <f>VLOOKUP($A660,'Neraca Unaudited SIMAK'!$A$2:$R$1272,11,FALSE)+IF(ISNA(VLOOKUP($A660,'Mutasi Neraca'!$A$3:$S$910,11,FALSE)),0,VLOOKUP($A660,'Mutasi Neraca'!$A$3:$S$910,11,FALSE))</f>
        <v>243782400</v>
      </c>
      <c r="M660" s="42">
        <f>VLOOKUP($A660,'Neraca Unaudited SIMAK'!$A$2:$R$1272,12,FALSE)+IF(ISNA(VLOOKUP($A660,'Mutasi Neraca'!$A$3:$S$910,12,FALSE)),0,VLOOKUP($A660,'Mutasi Neraca'!$A$3:$S$910,12,FALSE))</f>
        <v>17256064518</v>
      </c>
      <c r="N660" s="42">
        <f>VLOOKUP($A660,'Neraca Unaudited SIMAK'!$A$2:$R$1272,13,FALSE)+IF(ISNA(VLOOKUP($A660,'Mutasi Neraca'!$A$3:$S$910,13,FALSE)),0,VLOOKUP($A660,'Mutasi Neraca'!$A$3:$S$910,13,FALSE))</f>
        <v>-1953828802</v>
      </c>
      <c r="O660" s="42">
        <f>VLOOKUP($A660,'Neraca Unaudited SIMAK'!$A$2:$R$1272,14,FALSE)+IF(ISNA(VLOOKUP($A660,'Mutasi Neraca'!$A$3:$S$910,14,FALSE)),0,VLOOKUP($A660,'Mutasi Neraca'!$A$3:$S$910,14,FALSE))</f>
        <v>-1145548573</v>
      </c>
      <c r="P660" s="42">
        <f>VLOOKUP($A660,'Neraca Unaudited SIMAK'!$A$2:$R$1272,15,FALSE)+IF(ISNA(VLOOKUP($A660,'Mutasi Neraca'!$A$3:$S$910,15,FALSE)),0,VLOOKUP($A660,'Mutasi Neraca'!$A$3:$S$910,15,FALSE))</f>
        <v>-6667775</v>
      </c>
      <c r="Q660" s="42">
        <f>VLOOKUP($A660,'Neraca Unaudited SIMAK'!$A$2:$R$1272,16,FALSE)+IF(ISNA(VLOOKUP($A660,'Mutasi Neraca'!$A$3:$S$910,16,FALSE)),0,VLOOKUP($A660,'Mutasi Neraca'!$A$3:$S$910,16,FALSE))</f>
        <v>0</v>
      </c>
      <c r="R660" s="42">
        <f>VLOOKUP($A660,'Neraca Unaudited SIMAK'!$A$2:$R$1272,17,FALSE)+IF(ISNA(VLOOKUP($A660,'Mutasi Neraca'!$A$3:$S$910,17,FALSE)),0,VLOOKUP($A660,'Mutasi Neraca'!$A$3:$S$910,17,FALSE))</f>
        <v>-243782400</v>
      </c>
      <c r="S660" s="42">
        <f t="shared" si="63"/>
        <v>13906236968</v>
      </c>
    </row>
    <row r="661" spans="1:19">
      <c r="A661" s="41" t="s">
        <v>668</v>
      </c>
      <c r="B661" s="41" t="str">
        <f t="shared" si="62"/>
        <v>005012200</v>
      </c>
      <c r="D661" s="42">
        <f>VLOOKUP($A661,'Neraca Unaudited SIMAK'!$A$2:$R$1272,3,FALSE)+IF(ISNA(VLOOKUP($A661,'Mutasi Neraca'!$A$3:$S$910,3,FALSE)),0,VLOOKUP($A661,'Mutasi Neraca'!$A$3:$S$910,3,FALSE))</f>
        <v>5098800</v>
      </c>
      <c r="E661" s="42">
        <f>VLOOKUP($A661,'Neraca Unaudited SIMAK'!$A$2:$R$1272,4,FALSE)+IF(ISNA(VLOOKUP($A661,'Mutasi Neraca'!$A$3:$S$910,4,FALSE)),0,VLOOKUP($A661,'Mutasi Neraca'!$A$3:$S$910,4,FALSE))</f>
        <v>1915542000</v>
      </c>
      <c r="F661" s="42">
        <f>VLOOKUP($A661,'Neraca Unaudited SIMAK'!$A$2:$R$1272,5,FALSE)+IF(ISNA(VLOOKUP($A661,'Mutasi Neraca'!$A$3:$S$910,5,FALSE)),0,VLOOKUP($A661,'Mutasi Neraca'!$A$3:$S$910,5,FALSE))</f>
        <v>2034402136</v>
      </c>
      <c r="G661" s="42">
        <f>VLOOKUP($A661,'Neraca Unaudited SIMAK'!$A$2:$R$1272,6,FALSE)+IF(ISNA(VLOOKUP($A661,'Mutasi Neraca'!$A$3:$S$910,6,FALSE)),0,VLOOKUP($A661,'Mutasi Neraca'!$A$3:$S$910,6,FALSE))</f>
        <v>2120462000</v>
      </c>
      <c r="H661" s="42">
        <f>VLOOKUP($A661,'Neraca Unaudited SIMAK'!$A$2:$R$1272,7,FALSE)+IF(ISNA(VLOOKUP($A661,'Mutasi Neraca'!$A$3:$S$910,7,FALSE)),0,VLOOKUP($A661,'Mutasi Neraca'!$A$3:$S$910,7,FALSE))</f>
        <v>11280000</v>
      </c>
      <c r="I661" s="42">
        <f>VLOOKUP($A661,'Neraca Unaudited SIMAK'!$A$2:$R$1272,8,FALSE)+IF(ISNA(VLOOKUP($A661,'Mutasi Neraca'!$A$3:$S$910,8,FALSE)),0,VLOOKUP($A661,'Mutasi Neraca'!$A$3:$S$910,8,FALSE))</f>
        <v>11345120</v>
      </c>
      <c r="J661" s="42">
        <f>VLOOKUP($A661,'Neraca Unaudited SIMAK'!$A$2:$R$1272,9,FALSE)+IF(ISNA(VLOOKUP($A661,'Mutasi Neraca'!$A$3:$S$910,9,FALSE)),0,VLOOKUP($A661,'Mutasi Neraca'!$A$3:$S$910,9,FALSE))</f>
        <v>0</v>
      </c>
      <c r="K661" s="42">
        <f>VLOOKUP($A661,'Neraca Unaudited SIMAK'!$A$2:$R$1272,10,FALSE)+IF(ISNA(VLOOKUP($A661,'Mutasi Neraca'!$A$3:$S$910,10,FALSE)),0,VLOOKUP($A661,'Mutasi Neraca'!$A$3:$S$910,10,FALSE))</f>
        <v>7000000</v>
      </c>
      <c r="L661" s="42">
        <f>VLOOKUP($A661,'Neraca Unaudited SIMAK'!$A$2:$R$1272,11,FALSE)+IF(ISNA(VLOOKUP($A661,'Mutasi Neraca'!$A$3:$S$910,11,FALSE)),0,VLOOKUP($A661,'Mutasi Neraca'!$A$3:$S$910,11,FALSE))</f>
        <v>203358125</v>
      </c>
      <c r="M661" s="42">
        <f>VLOOKUP($A661,'Neraca Unaudited SIMAK'!$A$2:$R$1272,12,FALSE)+IF(ISNA(VLOOKUP($A661,'Mutasi Neraca'!$A$3:$S$910,12,FALSE)),0,VLOOKUP($A661,'Mutasi Neraca'!$A$3:$S$910,12,FALSE))</f>
        <v>6308488181</v>
      </c>
      <c r="N661" s="42">
        <f>VLOOKUP($A661,'Neraca Unaudited SIMAK'!$A$2:$R$1272,13,FALSE)+IF(ISNA(VLOOKUP($A661,'Mutasi Neraca'!$A$3:$S$910,13,FALSE)),0,VLOOKUP($A661,'Mutasi Neraca'!$A$3:$S$910,13,FALSE))</f>
        <v>-1498520995</v>
      </c>
      <c r="O661" s="42">
        <f>VLOOKUP($A661,'Neraca Unaudited SIMAK'!$A$2:$R$1272,14,FALSE)+IF(ISNA(VLOOKUP($A661,'Mutasi Neraca'!$A$3:$S$910,14,FALSE)),0,VLOOKUP($A661,'Mutasi Neraca'!$A$3:$S$910,14,FALSE))</f>
        <v>-837613720</v>
      </c>
      <c r="P661" s="42">
        <f>VLOOKUP($A661,'Neraca Unaudited SIMAK'!$A$2:$R$1272,15,FALSE)+IF(ISNA(VLOOKUP($A661,'Mutasi Neraca'!$A$3:$S$910,15,FALSE)),0,VLOOKUP($A661,'Mutasi Neraca'!$A$3:$S$910,15,FALSE))</f>
        <v>-1551000</v>
      </c>
      <c r="Q661" s="42">
        <f>VLOOKUP($A661,'Neraca Unaudited SIMAK'!$A$2:$R$1272,16,FALSE)+IF(ISNA(VLOOKUP($A661,'Mutasi Neraca'!$A$3:$S$910,16,FALSE)),0,VLOOKUP($A661,'Mutasi Neraca'!$A$3:$S$910,16,FALSE))</f>
        <v>0</v>
      </c>
      <c r="R661" s="42">
        <f>VLOOKUP($A661,'Neraca Unaudited SIMAK'!$A$2:$R$1272,17,FALSE)+IF(ISNA(VLOOKUP($A661,'Mutasi Neraca'!$A$3:$S$910,17,FALSE)),0,VLOOKUP($A661,'Mutasi Neraca'!$A$3:$S$910,17,FALSE))</f>
        <v>-199825100</v>
      </c>
      <c r="S661" s="42">
        <f t="shared" si="63"/>
        <v>3770977366</v>
      </c>
    </row>
    <row r="662" spans="1:19">
      <c r="A662" s="41" t="s">
        <v>669</v>
      </c>
      <c r="B662" s="41" t="str">
        <f t="shared" si="62"/>
        <v>005012200</v>
      </c>
      <c r="D662" s="42">
        <f>VLOOKUP($A662,'Neraca Unaudited SIMAK'!$A$2:$R$1272,3,FALSE)+IF(ISNA(VLOOKUP($A662,'Mutasi Neraca'!$A$3:$S$910,3,FALSE)),0,VLOOKUP($A662,'Mutasi Neraca'!$A$3:$S$910,3,FALSE))</f>
        <v>2717250</v>
      </c>
      <c r="E662" s="42">
        <f>VLOOKUP($A662,'Neraca Unaudited SIMAK'!$A$2:$R$1272,4,FALSE)+IF(ISNA(VLOOKUP($A662,'Mutasi Neraca'!$A$3:$S$910,4,FALSE)),0,VLOOKUP($A662,'Mutasi Neraca'!$A$3:$S$910,4,FALSE))</f>
        <v>1977600000</v>
      </c>
      <c r="F662" s="42">
        <f>VLOOKUP($A662,'Neraca Unaudited SIMAK'!$A$2:$R$1272,5,FALSE)+IF(ISNA(VLOOKUP($A662,'Mutasi Neraca'!$A$3:$S$910,5,FALSE)),0,VLOOKUP($A662,'Mutasi Neraca'!$A$3:$S$910,5,FALSE))</f>
        <v>943623996</v>
      </c>
      <c r="G662" s="42">
        <f>VLOOKUP($A662,'Neraca Unaudited SIMAK'!$A$2:$R$1272,6,FALSE)+IF(ISNA(VLOOKUP($A662,'Mutasi Neraca'!$A$3:$S$910,6,FALSE)),0,VLOOKUP($A662,'Mutasi Neraca'!$A$3:$S$910,6,FALSE))</f>
        <v>2990597000</v>
      </c>
      <c r="H662" s="42">
        <f>VLOOKUP($A662,'Neraca Unaudited SIMAK'!$A$2:$R$1272,7,FALSE)+IF(ISNA(VLOOKUP($A662,'Mutasi Neraca'!$A$3:$S$910,7,FALSE)),0,VLOOKUP($A662,'Mutasi Neraca'!$A$3:$S$910,7,FALSE))</f>
        <v>134178000</v>
      </c>
      <c r="I662" s="42">
        <f>VLOOKUP($A662,'Neraca Unaudited SIMAK'!$A$2:$R$1272,8,FALSE)+IF(ISNA(VLOOKUP($A662,'Mutasi Neraca'!$A$3:$S$910,8,FALSE)),0,VLOOKUP($A662,'Mutasi Neraca'!$A$3:$S$910,8,FALSE))</f>
        <v>10901320</v>
      </c>
      <c r="J662" s="42">
        <f>VLOOKUP($A662,'Neraca Unaudited SIMAK'!$A$2:$R$1272,9,FALSE)+IF(ISNA(VLOOKUP($A662,'Mutasi Neraca'!$A$3:$S$910,9,FALSE)),0,VLOOKUP($A662,'Mutasi Neraca'!$A$3:$S$910,9,FALSE))</f>
        <v>0</v>
      </c>
      <c r="K662" s="42">
        <f>VLOOKUP($A662,'Neraca Unaudited SIMAK'!$A$2:$R$1272,10,FALSE)+IF(ISNA(VLOOKUP($A662,'Mutasi Neraca'!$A$3:$S$910,10,FALSE)),0,VLOOKUP($A662,'Mutasi Neraca'!$A$3:$S$910,10,FALSE))</f>
        <v>0</v>
      </c>
      <c r="L662" s="42">
        <f>VLOOKUP($A662,'Neraca Unaudited SIMAK'!$A$2:$R$1272,11,FALSE)+IF(ISNA(VLOOKUP($A662,'Mutasi Neraca'!$A$3:$S$910,11,FALSE)),0,VLOOKUP($A662,'Mutasi Neraca'!$A$3:$S$910,11,FALSE))</f>
        <v>91838577</v>
      </c>
      <c r="M662" s="42">
        <f>VLOOKUP($A662,'Neraca Unaudited SIMAK'!$A$2:$R$1272,12,FALSE)+IF(ISNA(VLOOKUP($A662,'Mutasi Neraca'!$A$3:$S$910,12,FALSE)),0,VLOOKUP($A662,'Mutasi Neraca'!$A$3:$S$910,12,FALSE))</f>
        <v>6151456143</v>
      </c>
      <c r="N662" s="42">
        <f>VLOOKUP($A662,'Neraca Unaudited SIMAK'!$A$2:$R$1272,13,FALSE)+IF(ISNA(VLOOKUP($A662,'Mutasi Neraca'!$A$3:$S$910,13,FALSE)),0,VLOOKUP($A662,'Mutasi Neraca'!$A$3:$S$910,13,FALSE))</f>
        <v>-849119256</v>
      </c>
      <c r="O662" s="42">
        <f>VLOOKUP($A662,'Neraca Unaudited SIMAK'!$A$2:$R$1272,14,FALSE)+IF(ISNA(VLOOKUP($A662,'Mutasi Neraca'!$A$3:$S$910,14,FALSE)),0,VLOOKUP($A662,'Mutasi Neraca'!$A$3:$S$910,14,FALSE))</f>
        <v>-338934873</v>
      </c>
      <c r="P662" s="42">
        <f>VLOOKUP($A662,'Neraca Unaudited SIMAK'!$A$2:$R$1272,15,FALSE)+IF(ISNA(VLOOKUP($A662,'Mutasi Neraca'!$A$3:$S$910,15,FALSE)),0,VLOOKUP($A662,'Mutasi Neraca'!$A$3:$S$910,15,FALSE))</f>
        <v>-39953425</v>
      </c>
      <c r="Q662" s="42">
        <f>VLOOKUP($A662,'Neraca Unaudited SIMAK'!$A$2:$R$1272,16,FALSE)+IF(ISNA(VLOOKUP($A662,'Mutasi Neraca'!$A$3:$S$910,16,FALSE)),0,VLOOKUP($A662,'Mutasi Neraca'!$A$3:$S$910,16,FALSE))</f>
        <v>0</v>
      </c>
      <c r="R662" s="42">
        <f>VLOOKUP($A662,'Neraca Unaudited SIMAK'!$A$2:$R$1272,17,FALSE)+IF(ISNA(VLOOKUP($A662,'Mutasi Neraca'!$A$3:$S$910,17,FALSE)),0,VLOOKUP($A662,'Mutasi Neraca'!$A$3:$S$910,17,FALSE))</f>
        <v>-91523577</v>
      </c>
      <c r="S662" s="42">
        <f t="shared" si="63"/>
        <v>4831925012</v>
      </c>
    </row>
    <row r="663" spans="1:19">
      <c r="A663" s="41" t="s">
        <v>670</v>
      </c>
      <c r="B663" s="41" t="str">
        <f t="shared" si="62"/>
        <v>005012200</v>
      </c>
      <c r="D663" s="42">
        <f>VLOOKUP($A663,'Neraca Unaudited SIMAK'!$A$2:$R$1272,3,FALSE)+IF(ISNA(VLOOKUP($A663,'Mutasi Neraca'!$A$3:$S$910,3,FALSE)),0,VLOOKUP($A663,'Mutasi Neraca'!$A$3:$S$910,3,FALSE))</f>
        <v>1277550</v>
      </c>
      <c r="E663" s="42">
        <f>VLOOKUP($A663,'Neraca Unaudited SIMAK'!$A$2:$R$1272,4,FALSE)+IF(ISNA(VLOOKUP($A663,'Mutasi Neraca'!$A$3:$S$910,4,FALSE)),0,VLOOKUP($A663,'Mutasi Neraca'!$A$3:$S$910,4,FALSE))</f>
        <v>578750000</v>
      </c>
      <c r="F663" s="42">
        <f>VLOOKUP($A663,'Neraca Unaudited SIMAK'!$A$2:$R$1272,5,FALSE)+IF(ISNA(VLOOKUP($A663,'Mutasi Neraca'!$A$3:$S$910,5,FALSE)),0,VLOOKUP($A663,'Mutasi Neraca'!$A$3:$S$910,5,FALSE))</f>
        <v>1414932682</v>
      </c>
      <c r="G663" s="42">
        <f>VLOOKUP($A663,'Neraca Unaudited SIMAK'!$A$2:$R$1272,6,FALSE)+IF(ISNA(VLOOKUP($A663,'Mutasi Neraca'!$A$3:$S$910,6,FALSE)),0,VLOOKUP($A663,'Mutasi Neraca'!$A$3:$S$910,6,FALSE))</f>
        <v>2070222000</v>
      </c>
      <c r="H663" s="42">
        <f>VLOOKUP($A663,'Neraca Unaudited SIMAK'!$A$2:$R$1272,7,FALSE)+IF(ISNA(VLOOKUP($A663,'Mutasi Neraca'!$A$3:$S$910,7,FALSE)),0,VLOOKUP($A663,'Mutasi Neraca'!$A$3:$S$910,7,FALSE))</f>
        <v>10000000</v>
      </c>
      <c r="I663" s="42">
        <f>VLOOKUP($A663,'Neraca Unaudited SIMAK'!$A$2:$R$1272,8,FALSE)+IF(ISNA(VLOOKUP($A663,'Mutasi Neraca'!$A$3:$S$910,8,FALSE)),0,VLOOKUP($A663,'Mutasi Neraca'!$A$3:$S$910,8,FALSE))</f>
        <v>19451700</v>
      </c>
      <c r="J663" s="42">
        <f>VLOOKUP($A663,'Neraca Unaudited SIMAK'!$A$2:$R$1272,9,FALSE)+IF(ISNA(VLOOKUP($A663,'Mutasi Neraca'!$A$3:$S$910,9,FALSE)),0,VLOOKUP($A663,'Mutasi Neraca'!$A$3:$S$910,9,FALSE))</f>
        <v>0</v>
      </c>
      <c r="K663" s="42">
        <f>VLOOKUP($A663,'Neraca Unaudited SIMAK'!$A$2:$R$1272,10,FALSE)+IF(ISNA(VLOOKUP($A663,'Mutasi Neraca'!$A$3:$S$910,10,FALSE)),0,VLOOKUP($A663,'Mutasi Neraca'!$A$3:$S$910,10,FALSE))</f>
        <v>13000000</v>
      </c>
      <c r="L663" s="42">
        <f>VLOOKUP($A663,'Neraca Unaudited SIMAK'!$A$2:$R$1272,11,FALSE)+IF(ISNA(VLOOKUP($A663,'Mutasi Neraca'!$A$3:$S$910,11,FALSE)),0,VLOOKUP($A663,'Mutasi Neraca'!$A$3:$S$910,11,FALSE))</f>
        <v>32134000</v>
      </c>
      <c r="M663" s="42">
        <f>VLOOKUP($A663,'Neraca Unaudited SIMAK'!$A$2:$R$1272,12,FALSE)+IF(ISNA(VLOOKUP($A663,'Mutasi Neraca'!$A$3:$S$910,12,FALSE)),0,VLOOKUP($A663,'Mutasi Neraca'!$A$3:$S$910,12,FALSE))</f>
        <v>4139767932</v>
      </c>
      <c r="N663" s="42">
        <f>VLOOKUP($A663,'Neraca Unaudited SIMAK'!$A$2:$R$1272,13,FALSE)+IF(ISNA(VLOOKUP($A663,'Mutasi Neraca'!$A$3:$S$910,13,FALSE)),0,VLOOKUP($A663,'Mutasi Neraca'!$A$3:$S$910,13,FALSE))</f>
        <v>-1212897562</v>
      </c>
      <c r="O663" s="42">
        <f>VLOOKUP($A663,'Neraca Unaudited SIMAK'!$A$2:$R$1272,14,FALSE)+IF(ISNA(VLOOKUP($A663,'Mutasi Neraca'!$A$3:$S$910,14,FALSE)),0,VLOOKUP($A663,'Mutasi Neraca'!$A$3:$S$910,14,FALSE))</f>
        <v>-338782892</v>
      </c>
      <c r="P663" s="42">
        <f>VLOOKUP($A663,'Neraca Unaudited SIMAK'!$A$2:$R$1272,15,FALSE)+IF(ISNA(VLOOKUP($A663,'Mutasi Neraca'!$A$3:$S$910,15,FALSE)),0,VLOOKUP($A663,'Mutasi Neraca'!$A$3:$S$910,15,FALSE))</f>
        <v>-875000</v>
      </c>
      <c r="Q663" s="42">
        <f>VLOOKUP($A663,'Neraca Unaudited SIMAK'!$A$2:$R$1272,16,FALSE)+IF(ISNA(VLOOKUP($A663,'Mutasi Neraca'!$A$3:$S$910,16,FALSE)),0,VLOOKUP($A663,'Mutasi Neraca'!$A$3:$S$910,16,FALSE))</f>
        <v>0</v>
      </c>
      <c r="R663" s="42">
        <f>VLOOKUP($A663,'Neraca Unaudited SIMAK'!$A$2:$R$1272,17,FALSE)+IF(ISNA(VLOOKUP($A663,'Mutasi Neraca'!$A$3:$S$910,17,FALSE)),0,VLOOKUP($A663,'Mutasi Neraca'!$A$3:$S$910,17,FALSE))</f>
        <v>-32134000</v>
      </c>
      <c r="S663" s="42">
        <f t="shared" si="63"/>
        <v>2555078478</v>
      </c>
    </row>
    <row r="664" spans="1:19">
      <c r="A664" s="41" t="s">
        <v>671</v>
      </c>
      <c r="B664" s="41" t="str">
        <f t="shared" si="62"/>
        <v>005012200</v>
      </c>
      <c r="D664" s="42">
        <f>VLOOKUP($A664,'Neraca Unaudited SIMAK'!$A$2:$R$1272,3,FALSE)+IF(ISNA(VLOOKUP($A664,'Mutasi Neraca'!$A$3:$S$910,3,FALSE)),0,VLOOKUP($A664,'Mutasi Neraca'!$A$3:$S$910,3,FALSE))</f>
        <v>572100</v>
      </c>
      <c r="E664" s="42">
        <f>VLOOKUP($A664,'Neraca Unaudited SIMAK'!$A$2:$R$1272,4,FALSE)+IF(ISNA(VLOOKUP($A664,'Mutasi Neraca'!$A$3:$S$910,4,FALSE)),0,VLOOKUP($A664,'Mutasi Neraca'!$A$3:$S$910,4,FALSE))</f>
        <v>1701250000</v>
      </c>
      <c r="F664" s="42">
        <f>VLOOKUP($A664,'Neraca Unaudited SIMAK'!$A$2:$R$1272,5,FALSE)+IF(ISNA(VLOOKUP($A664,'Mutasi Neraca'!$A$3:$S$910,5,FALSE)),0,VLOOKUP($A664,'Mutasi Neraca'!$A$3:$S$910,5,FALSE))</f>
        <v>1768311573</v>
      </c>
      <c r="G664" s="42">
        <f>VLOOKUP($A664,'Neraca Unaudited SIMAK'!$A$2:$R$1272,6,FALSE)+IF(ISNA(VLOOKUP($A664,'Mutasi Neraca'!$A$3:$S$910,6,FALSE)),0,VLOOKUP($A664,'Mutasi Neraca'!$A$3:$S$910,6,FALSE))</f>
        <v>5768216450</v>
      </c>
      <c r="H664" s="42">
        <f>VLOOKUP($A664,'Neraca Unaudited SIMAK'!$A$2:$R$1272,7,FALSE)+IF(ISNA(VLOOKUP($A664,'Mutasi Neraca'!$A$3:$S$910,7,FALSE)),0,VLOOKUP($A664,'Mutasi Neraca'!$A$3:$S$910,7,FALSE))</f>
        <v>0</v>
      </c>
      <c r="I664" s="42">
        <f>VLOOKUP($A664,'Neraca Unaudited SIMAK'!$A$2:$R$1272,8,FALSE)+IF(ISNA(VLOOKUP($A664,'Mutasi Neraca'!$A$3:$S$910,8,FALSE)),0,VLOOKUP($A664,'Mutasi Neraca'!$A$3:$S$910,8,FALSE))</f>
        <v>1379920</v>
      </c>
      <c r="J664" s="42">
        <f>VLOOKUP($A664,'Neraca Unaudited SIMAK'!$A$2:$R$1272,9,FALSE)+IF(ISNA(VLOOKUP($A664,'Mutasi Neraca'!$A$3:$S$910,9,FALSE)),0,VLOOKUP($A664,'Mutasi Neraca'!$A$3:$S$910,9,FALSE))</f>
        <v>0</v>
      </c>
      <c r="K664" s="42">
        <f>VLOOKUP($A664,'Neraca Unaudited SIMAK'!$A$2:$R$1272,10,FALSE)+IF(ISNA(VLOOKUP($A664,'Mutasi Neraca'!$A$3:$S$910,10,FALSE)),0,VLOOKUP($A664,'Mutasi Neraca'!$A$3:$S$910,10,FALSE))</f>
        <v>0</v>
      </c>
      <c r="L664" s="42">
        <f>VLOOKUP($A664,'Neraca Unaudited SIMAK'!$A$2:$R$1272,11,FALSE)+IF(ISNA(VLOOKUP($A664,'Mutasi Neraca'!$A$3:$S$910,11,FALSE)),0,VLOOKUP($A664,'Mutasi Neraca'!$A$3:$S$910,11,FALSE))</f>
        <v>79000</v>
      </c>
      <c r="M664" s="42">
        <f>VLOOKUP($A664,'Neraca Unaudited SIMAK'!$A$2:$R$1272,12,FALSE)+IF(ISNA(VLOOKUP($A664,'Mutasi Neraca'!$A$3:$S$910,12,FALSE)),0,VLOOKUP($A664,'Mutasi Neraca'!$A$3:$S$910,12,FALSE))</f>
        <v>9239809043</v>
      </c>
      <c r="N664" s="42">
        <f>VLOOKUP($A664,'Neraca Unaudited SIMAK'!$A$2:$R$1272,13,FALSE)+IF(ISNA(VLOOKUP($A664,'Mutasi Neraca'!$A$3:$S$910,13,FALSE)),0,VLOOKUP($A664,'Mutasi Neraca'!$A$3:$S$910,13,FALSE))</f>
        <v>-1174542777</v>
      </c>
      <c r="O664" s="42">
        <f>VLOOKUP($A664,'Neraca Unaudited SIMAK'!$A$2:$R$1272,14,FALSE)+IF(ISNA(VLOOKUP($A664,'Mutasi Neraca'!$A$3:$S$910,14,FALSE)),0,VLOOKUP($A664,'Mutasi Neraca'!$A$3:$S$910,14,FALSE))</f>
        <v>-403540697</v>
      </c>
      <c r="P664" s="42">
        <f>VLOOKUP($A664,'Neraca Unaudited SIMAK'!$A$2:$R$1272,15,FALSE)+IF(ISNA(VLOOKUP($A664,'Mutasi Neraca'!$A$3:$S$910,15,FALSE)),0,VLOOKUP($A664,'Mutasi Neraca'!$A$3:$S$910,15,FALSE))</f>
        <v>0</v>
      </c>
      <c r="Q664" s="42">
        <f>VLOOKUP($A664,'Neraca Unaudited SIMAK'!$A$2:$R$1272,16,FALSE)+IF(ISNA(VLOOKUP($A664,'Mutasi Neraca'!$A$3:$S$910,16,FALSE)),0,VLOOKUP($A664,'Mutasi Neraca'!$A$3:$S$910,16,FALSE))</f>
        <v>0</v>
      </c>
      <c r="R664" s="42">
        <f>VLOOKUP($A664,'Neraca Unaudited SIMAK'!$A$2:$R$1272,17,FALSE)+IF(ISNA(VLOOKUP($A664,'Mutasi Neraca'!$A$3:$S$910,17,FALSE)),0,VLOOKUP($A664,'Mutasi Neraca'!$A$3:$S$910,17,FALSE))</f>
        <v>-79000</v>
      </c>
      <c r="S664" s="42">
        <f t="shared" si="63"/>
        <v>7661646569</v>
      </c>
    </row>
    <row r="665" spans="1:19">
      <c r="A665" s="41" t="s">
        <v>672</v>
      </c>
      <c r="B665" s="41" t="str">
        <f t="shared" si="62"/>
        <v>005012200</v>
      </c>
      <c r="D665" s="42">
        <f>VLOOKUP($A665,'Neraca Unaudited SIMAK'!$A$2:$R$1272,3,FALSE)+IF(ISNA(VLOOKUP($A665,'Mutasi Neraca'!$A$3:$S$910,3,FALSE)),0,VLOOKUP($A665,'Mutasi Neraca'!$A$3:$S$910,3,FALSE))</f>
        <v>1840500</v>
      </c>
      <c r="E665" s="42">
        <f>VLOOKUP($A665,'Neraca Unaudited SIMAK'!$A$2:$R$1272,4,FALSE)+IF(ISNA(VLOOKUP($A665,'Mutasi Neraca'!$A$3:$S$910,4,FALSE)),0,VLOOKUP($A665,'Mutasi Neraca'!$A$3:$S$910,4,FALSE))</f>
        <v>3010200000</v>
      </c>
      <c r="F665" s="42">
        <f>VLOOKUP($A665,'Neraca Unaudited SIMAK'!$A$2:$R$1272,5,FALSE)+IF(ISNA(VLOOKUP($A665,'Mutasi Neraca'!$A$3:$S$910,5,FALSE)),0,VLOOKUP($A665,'Mutasi Neraca'!$A$3:$S$910,5,FALSE))</f>
        <v>1415533523</v>
      </c>
      <c r="G665" s="42">
        <f>VLOOKUP($A665,'Neraca Unaudited SIMAK'!$A$2:$R$1272,6,FALSE)+IF(ISNA(VLOOKUP($A665,'Mutasi Neraca'!$A$3:$S$910,6,FALSE)),0,VLOOKUP($A665,'Mutasi Neraca'!$A$3:$S$910,6,FALSE))</f>
        <v>6095273000</v>
      </c>
      <c r="H665" s="42">
        <f>VLOOKUP($A665,'Neraca Unaudited SIMAK'!$A$2:$R$1272,7,FALSE)+IF(ISNA(VLOOKUP($A665,'Mutasi Neraca'!$A$3:$S$910,7,FALSE)),0,VLOOKUP($A665,'Mutasi Neraca'!$A$3:$S$910,7,FALSE))</f>
        <v>0</v>
      </c>
      <c r="I665" s="42">
        <f>VLOOKUP($A665,'Neraca Unaudited SIMAK'!$A$2:$R$1272,8,FALSE)+IF(ISNA(VLOOKUP($A665,'Mutasi Neraca'!$A$3:$S$910,8,FALSE)),0,VLOOKUP($A665,'Mutasi Neraca'!$A$3:$S$910,8,FALSE))</f>
        <v>1880620</v>
      </c>
      <c r="J665" s="42">
        <f>VLOOKUP($A665,'Neraca Unaudited SIMAK'!$A$2:$R$1272,9,FALSE)+IF(ISNA(VLOOKUP($A665,'Mutasi Neraca'!$A$3:$S$910,9,FALSE)),0,VLOOKUP($A665,'Mutasi Neraca'!$A$3:$S$910,9,FALSE))</f>
        <v>0</v>
      </c>
      <c r="K665" s="42">
        <f>VLOOKUP($A665,'Neraca Unaudited SIMAK'!$A$2:$R$1272,10,FALSE)+IF(ISNA(VLOOKUP($A665,'Mutasi Neraca'!$A$3:$S$910,10,FALSE)),0,VLOOKUP($A665,'Mutasi Neraca'!$A$3:$S$910,10,FALSE))</f>
        <v>27205000</v>
      </c>
      <c r="L665" s="42">
        <f>VLOOKUP($A665,'Neraca Unaudited SIMAK'!$A$2:$R$1272,11,FALSE)+IF(ISNA(VLOOKUP($A665,'Mutasi Neraca'!$A$3:$S$910,11,FALSE)),0,VLOOKUP($A665,'Mutasi Neraca'!$A$3:$S$910,11,FALSE))</f>
        <v>0</v>
      </c>
      <c r="M665" s="42">
        <f>VLOOKUP($A665,'Neraca Unaudited SIMAK'!$A$2:$R$1272,12,FALSE)+IF(ISNA(VLOOKUP($A665,'Mutasi Neraca'!$A$3:$S$910,12,FALSE)),0,VLOOKUP($A665,'Mutasi Neraca'!$A$3:$S$910,12,FALSE))</f>
        <v>10551932643</v>
      </c>
      <c r="N665" s="42">
        <f>VLOOKUP($A665,'Neraca Unaudited SIMAK'!$A$2:$R$1272,13,FALSE)+IF(ISNA(VLOOKUP($A665,'Mutasi Neraca'!$A$3:$S$910,13,FALSE)),0,VLOOKUP($A665,'Mutasi Neraca'!$A$3:$S$910,13,FALSE))</f>
        <v>-1223638522</v>
      </c>
      <c r="O665" s="42">
        <f>VLOOKUP($A665,'Neraca Unaudited SIMAK'!$A$2:$R$1272,14,FALSE)+IF(ISNA(VLOOKUP($A665,'Mutasi Neraca'!$A$3:$S$910,14,FALSE)),0,VLOOKUP($A665,'Mutasi Neraca'!$A$3:$S$910,14,FALSE))</f>
        <v>-536839150</v>
      </c>
      <c r="P665" s="42">
        <f>VLOOKUP($A665,'Neraca Unaudited SIMAK'!$A$2:$R$1272,15,FALSE)+IF(ISNA(VLOOKUP($A665,'Mutasi Neraca'!$A$3:$S$910,15,FALSE)),0,VLOOKUP($A665,'Mutasi Neraca'!$A$3:$S$910,15,FALSE))</f>
        <v>0</v>
      </c>
      <c r="Q665" s="42">
        <f>VLOOKUP($A665,'Neraca Unaudited SIMAK'!$A$2:$R$1272,16,FALSE)+IF(ISNA(VLOOKUP($A665,'Mutasi Neraca'!$A$3:$S$910,16,FALSE)),0,VLOOKUP($A665,'Mutasi Neraca'!$A$3:$S$910,16,FALSE))</f>
        <v>0</v>
      </c>
      <c r="R665" s="42">
        <f>VLOOKUP($A665,'Neraca Unaudited SIMAK'!$A$2:$R$1272,17,FALSE)+IF(ISNA(VLOOKUP($A665,'Mutasi Neraca'!$A$3:$S$910,17,FALSE)),0,VLOOKUP($A665,'Mutasi Neraca'!$A$3:$S$910,17,FALSE))</f>
        <v>0</v>
      </c>
      <c r="S665" s="42">
        <f t="shared" si="63"/>
        <v>8791454971</v>
      </c>
    </row>
    <row r="666" spans="1:19">
      <c r="A666" s="41" t="s">
        <v>673</v>
      </c>
      <c r="B666" s="41" t="str">
        <f t="shared" si="62"/>
        <v>005012200</v>
      </c>
      <c r="D666" s="42">
        <f>VLOOKUP($A666,'Neraca Unaudited SIMAK'!$A$2:$R$1272,3,FALSE)+IF(ISNA(VLOOKUP($A666,'Mutasi Neraca'!$A$3:$S$910,3,FALSE)),0,VLOOKUP($A666,'Mutasi Neraca'!$A$3:$S$910,3,FALSE))</f>
        <v>6417000</v>
      </c>
      <c r="E666" s="42">
        <f>VLOOKUP($A666,'Neraca Unaudited SIMAK'!$A$2:$R$1272,4,FALSE)+IF(ISNA(VLOOKUP($A666,'Mutasi Neraca'!$A$3:$S$910,4,FALSE)),0,VLOOKUP($A666,'Mutasi Neraca'!$A$3:$S$910,4,FALSE))</f>
        <v>4561430000</v>
      </c>
      <c r="F666" s="42">
        <f>VLOOKUP($A666,'Neraca Unaudited SIMAK'!$A$2:$R$1272,5,FALSE)+IF(ISNA(VLOOKUP($A666,'Mutasi Neraca'!$A$3:$S$910,5,FALSE)),0,VLOOKUP($A666,'Mutasi Neraca'!$A$3:$S$910,5,FALSE))</f>
        <v>1504212323</v>
      </c>
      <c r="G666" s="42">
        <f>VLOOKUP($A666,'Neraca Unaudited SIMAK'!$A$2:$R$1272,6,FALSE)+IF(ISNA(VLOOKUP($A666,'Mutasi Neraca'!$A$3:$S$910,6,FALSE)),0,VLOOKUP($A666,'Mutasi Neraca'!$A$3:$S$910,6,FALSE))</f>
        <v>5831186600</v>
      </c>
      <c r="H666" s="42">
        <f>VLOOKUP($A666,'Neraca Unaudited SIMAK'!$A$2:$R$1272,7,FALSE)+IF(ISNA(VLOOKUP($A666,'Mutasi Neraca'!$A$3:$S$910,7,FALSE)),0,VLOOKUP($A666,'Mutasi Neraca'!$A$3:$S$910,7,FALSE))</f>
        <v>0</v>
      </c>
      <c r="I666" s="42">
        <f>VLOOKUP($A666,'Neraca Unaudited SIMAK'!$A$2:$R$1272,8,FALSE)+IF(ISNA(VLOOKUP($A666,'Mutasi Neraca'!$A$3:$S$910,8,FALSE)),0,VLOOKUP($A666,'Mutasi Neraca'!$A$3:$S$910,8,FALSE))</f>
        <v>2487027</v>
      </c>
      <c r="J666" s="42">
        <f>VLOOKUP($A666,'Neraca Unaudited SIMAK'!$A$2:$R$1272,9,FALSE)+IF(ISNA(VLOOKUP($A666,'Mutasi Neraca'!$A$3:$S$910,9,FALSE)),0,VLOOKUP($A666,'Mutasi Neraca'!$A$3:$S$910,9,FALSE))</f>
        <v>0</v>
      </c>
      <c r="K666" s="42">
        <f>VLOOKUP($A666,'Neraca Unaudited SIMAK'!$A$2:$R$1272,10,FALSE)+IF(ISNA(VLOOKUP($A666,'Mutasi Neraca'!$A$3:$S$910,10,FALSE)),0,VLOOKUP($A666,'Mutasi Neraca'!$A$3:$S$910,10,FALSE))</f>
        <v>0</v>
      </c>
      <c r="L666" s="42">
        <f>VLOOKUP($A666,'Neraca Unaudited SIMAK'!$A$2:$R$1272,11,FALSE)+IF(ISNA(VLOOKUP($A666,'Mutasi Neraca'!$A$3:$S$910,11,FALSE)),0,VLOOKUP($A666,'Mutasi Neraca'!$A$3:$S$910,11,FALSE))</f>
        <v>730000</v>
      </c>
      <c r="M666" s="42">
        <f>VLOOKUP($A666,'Neraca Unaudited SIMAK'!$A$2:$R$1272,12,FALSE)+IF(ISNA(VLOOKUP($A666,'Mutasi Neraca'!$A$3:$S$910,12,FALSE)),0,VLOOKUP($A666,'Mutasi Neraca'!$A$3:$S$910,12,FALSE))</f>
        <v>11906462950</v>
      </c>
      <c r="N666" s="42">
        <f>VLOOKUP($A666,'Neraca Unaudited SIMAK'!$A$2:$R$1272,13,FALSE)+IF(ISNA(VLOOKUP($A666,'Mutasi Neraca'!$A$3:$S$910,13,FALSE)),0,VLOOKUP($A666,'Mutasi Neraca'!$A$3:$S$910,13,FALSE))</f>
        <v>-1268405645</v>
      </c>
      <c r="O666" s="42">
        <f>VLOOKUP($A666,'Neraca Unaudited SIMAK'!$A$2:$R$1272,14,FALSE)+IF(ISNA(VLOOKUP($A666,'Mutasi Neraca'!$A$3:$S$910,14,FALSE)),0,VLOOKUP($A666,'Mutasi Neraca'!$A$3:$S$910,14,FALSE))</f>
        <v>-576941951</v>
      </c>
      <c r="P666" s="42">
        <f>VLOOKUP($A666,'Neraca Unaudited SIMAK'!$A$2:$R$1272,15,FALSE)+IF(ISNA(VLOOKUP($A666,'Mutasi Neraca'!$A$3:$S$910,15,FALSE)),0,VLOOKUP($A666,'Mutasi Neraca'!$A$3:$S$910,15,FALSE))</f>
        <v>0</v>
      </c>
      <c r="Q666" s="42">
        <f>VLOOKUP($A666,'Neraca Unaudited SIMAK'!$A$2:$R$1272,16,FALSE)+IF(ISNA(VLOOKUP($A666,'Mutasi Neraca'!$A$3:$S$910,16,FALSE)),0,VLOOKUP($A666,'Mutasi Neraca'!$A$3:$S$910,16,FALSE))</f>
        <v>0</v>
      </c>
      <c r="R666" s="42">
        <f>VLOOKUP($A666,'Neraca Unaudited SIMAK'!$A$2:$R$1272,17,FALSE)+IF(ISNA(VLOOKUP($A666,'Mutasi Neraca'!$A$3:$S$910,17,FALSE)),0,VLOOKUP($A666,'Mutasi Neraca'!$A$3:$S$910,17,FALSE))</f>
        <v>-730000</v>
      </c>
      <c r="S666" s="42">
        <f t="shared" si="63"/>
        <v>10060385354</v>
      </c>
    </row>
    <row r="667" spans="1:19">
      <c r="A667" s="41" t="s">
        <v>674</v>
      </c>
      <c r="B667" s="41" t="str">
        <f t="shared" si="62"/>
        <v>005012200</v>
      </c>
      <c r="D667" s="42">
        <f>VLOOKUP($A667,'Neraca Unaudited SIMAK'!$A$2:$R$1272,3,FALSE)+IF(ISNA(VLOOKUP($A667,'Mutasi Neraca'!$A$3:$S$910,3,FALSE)),0,VLOOKUP($A667,'Mutasi Neraca'!$A$3:$S$910,3,FALSE))</f>
        <v>1754300</v>
      </c>
      <c r="E667" s="42">
        <f>VLOOKUP($A667,'Neraca Unaudited SIMAK'!$A$2:$R$1272,4,FALSE)+IF(ISNA(VLOOKUP($A667,'Mutasi Neraca'!$A$3:$S$910,4,FALSE)),0,VLOOKUP($A667,'Mutasi Neraca'!$A$3:$S$910,4,FALSE))</f>
        <v>4200970000</v>
      </c>
      <c r="F667" s="42">
        <f>VLOOKUP($A667,'Neraca Unaudited SIMAK'!$A$2:$R$1272,5,FALSE)+IF(ISNA(VLOOKUP($A667,'Mutasi Neraca'!$A$3:$S$910,5,FALSE)),0,VLOOKUP($A667,'Mutasi Neraca'!$A$3:$S$910,5,FALSE))</f>
        <v>1071729650</v>
      </c>
      <c r="G667" s="42">
        <f>VLOOKUP($A667,'Neraca Unaudited SIMAK'!$A$2:$R$1272,6,FALSE)+IF(ISNA(VLOOKUP($A667,'Mutasi Neraca'!$A$3:$S$910,6,FALSE)),0,VLOOKUP($A667,'Mutasi Neraca'!$A$3:$S$910,6,FALSE))</f>
        <v>7715112000</v>
      </c>
      <c r="H667" s="42">
        <f>VLOOKUP($A667,'Neraca Unaudited SIMAK'!$A$2:$R$1272,7,FALSE)+IF(ISNA(VLOOKUP($A667,'Mutasi Neraca'!$A$3:$S$910,7,FALSE)),0,VLOOKUP($A667,'Mutasi Neraca'!$A$3:$S$910,7,FALSE))</f>
        <v>27400000</v>
      </c>
      <c r="I667" s="42">
        <f>VLOOKUP($A667,'Neraca Unaudited SIMAK'!$A$2:$R$1272,8,FALSE)+IF(ISNA(VLOOKUP($A667,'Mutasi Neraca'!$A$3:$S$910,8,FALSE)),0,VLOOKUP($A667,'Mutasi Neraca'!$A$3:$S$910,8,FALSE))</f>
        <v>796350920</v>
      </c>
      <c r="J667" s="42">
        <f>VLOOKUP($A667,'Neraca Unaudited SIMAK'!$A$2:$R$1272,9,FALSE)+IF(ISNA(VLOOKUP($A667,'Mutasi Neraca'!$A$3:$S$910,9,FALSE)),0,VLOOKUP($A667,'Mutasi Neraca'!$A$3:$S$910,9,FALSE))</f>
        <v>0</v>
      </c>
      <c r="K667" s="42">
        <f>VLOOKUP($A667,'Neraca Unaudited SIMAK'!$A$2:$R$1272,10,FALSE)+IF(ISNA(VLOOKUP($A667,'Mutasi Neraca'!$A$3:$S$910,10,FALSE)),0,VLOOKUP($A667,'Mutasi Neraca'!$A$3:$S$910,10,FALSE))</f>
        <v>13000000</v>
      </c>
      <c r="L667" s="42">
        <f>VLOOKUP($A667,'Neraca Unaudited SIMAK'!$A$2:$R$1272,11,FALSE)+IF(ISNA(VLOOKUP($A667,'Mutasi Neraca'!$A$3:$S$910,11,FALSE)),0,VLOOKUP($A667,'Mutasi Neraca'!$A$3:$S$910,11,FALSE))</f>
        <v>630000</v>
      </c>
      <c r="M667" s="42">
        <f>VLOOKUP($A667,'Neraca Unaudited SIMAK'!$A$2:$R$1272,12,FALSE)+IF(ISNA(VLOOKUP($A667,'Mutasi Neraca'!$A$3:$S$910,12,FALSE)),0,VLOOKUP($A667,'Mutasi Neraca'!$A$3:$S$910,12,FALSE))</f>
        <v>13826946870</v>
      </c>
      <c r="N667" s="42">
        <f>VLOOKUP($A667,'Neraca Unaudited SIMAK'!$A$2:$R$1272,13,FALSE)+IF(ISNA(VLOOKUP($A667,'Mutasi Neraca'!$A$3:$S$910,13,FALSE)),0,VLOOKUP($A667,'Mutasi Neraca'!$A$3:$S$910,13,FALSE))</f>
        <v>-937756418</v>
      </c>
      <c r="O667" s="42">
        <f>VLOOKUP($A667,'Neraca Unaudited SIMAK'!$A$2:$R$1272,14,FALSE)+IF(ISNA(VLOOKUP($A667,'Mutasi Neraca'!$A$3:$S$910,14,FALSE)),0,VLOOKUP($A667,'Mutasi Neraca'!$A$3:$S$910,14,FALSE))</f>
        <v>-193228905</v>
      </c>
      <c r="P667" s="42">
        <f>VLOOKUP($A667,'Neraca Unaudited SIMAK'!$A$2:$R$1272,15,FALSE)+IF(ISNA(VLOOKUP($A667,'Mutasi Neraca'!$A$3:$S$910,15,FALSE)),0,VLOOKUP($A667,'Mutasi Neraca'!$A$3:$S$910,15,FALSE))</f>
        <v>-2740000</v>
      </c>
      <c r="Q667" s="42">
        <f>VLOOKUP($A667,'Neraca Unaudited SIMAK'!$A$2:$R$1272,16,FALSE)+IF(ISNA(VLOOKUP($A667,'Mutasi Neraca'!$A$3:$S$910,16,FALSE)),0,VLOOKUP($A667,'Mutasi Neraca'!$A$3:$S$910,16,FALSE))</f>
        <v>0</v>
      </c>
      <c r="R667" s="42">
        <f>VLOOKUP($A667,'Neraca Unaudited SIMAK'!$A$2:$R$1272,17,FALSE)+IF(ISNA(VLOOKUP($A667,'Mutasi Neraca'!$A$3:$S$910,17,FALSE)),0,VLOOKUP($A667,'Mutasi Neraca'!$A$3:$S$910,17,FALSE))</f>
        <v>-630000</v>
      </c>
      <c r="S667" s="42">
        <f t="shared" si="63"/>
        <v>12692591547</v>
      </c>
    </row>
    <row r="668" spans="1:19">
      <c r="A668" s="41" t="s">
        <v>675</v>
      </c>
      <c r="B668" s="41" t="str">
        <f t="shared" si="62"/>
        <v>005012200</v>
      </c>
      <c r="D668" s="42">
        <f>VLOOKUP($A668,'Neraca Unaudited SIMAK'!$A$2:$R$1272,3,FALSE)+IF(ISNA(VLOOKUP($A668,'Mutasi Neraca'!$A$3:$S$910,3,FALSE)),0,VLOOKUP($A668,'Mutasi Neraca'!$A$3:$S$910,3,FALSE))</f>
        <v>1401900</v>
      </c>
      <c r="E668" s="42">
        <f>VLOOKUP($A668,'Neraca Unaudited SIMAK'!$A$2:$R$1272,4,FALSE)+IF(ISNA(VLOOKUP($A668,'Mutasi Neraca'!$A$3:$S$910,4,FALSE)),0,VLOOKUP($A668,'Mutasi Neraca'!$A$3:$S$910,4,FALSE))</f>
        <v>3351000000</v>
      </c>
      <c r="F668" s="42">
        <f>VLOOKUP($A668,'Neraca Unaudited SIMAK'!$A$2:$R$1272,5,FALSE)+IF(ISNA(VLOOKUP($A668,'Mutasi Neraca'!$A$3:$S$910,5,FALSE)),0,VLOOKUP($A668,'Mutasi Neraca'!$A$3:$S$910,5,FALSE))</f>
        <v>1207440748</v>
      </c>
      <c r="G668" s="42">
        <f>VLOOKUP($A668,'Neraca Unaudited SIMAK'!$A$2:$R$1272,6,FALSE)+IF(ISNA(VLOOKUP($A668,'Mutasi Neraca'!$A$3:$S$910,6,FALSE)),0,VLOOKUP($A668,'Mutasi Neraca'!$A$3:$S$910,6,FALSE))</f>
        <v>568397000</v>
      </c>
      <c r="H668" s="42">
        <f>VLOOKUP($A668,'Neraca Unaudited SIMAK'!$A$2:$R$1272,7,FALSE)+IF(ISNA(VLOOKUP($A668,'Mutasi Neraca'!$A$3:$S$910,7,FALSE)),0,VLOOKUP($A668,'Mutasi Neraca'!$A$3:$S$910,7,FALSE))</f>
        <v>98950000</v>
      </c>
      <c r="I668" s="42">
        <f>VLOOKUP($A668,'Neraca Unaudited SIMAK'!$A$2:$R$1272,8,FALSE)+IF(ISNA(VLOOKUP($A668,'Mutasi Neraca'!$A$3:$S$910,8,FALSE)),0,VLOOKUP($A668,'Mutasi Neraca'!$A$3:$S$910,8,FALSE))</f>
        <v>801891000</v>
      </c>
      <c r="J668" s="42">
        <f>VLOOKUP($A668,'Neraca Unaudited SIMAK'!$A$2:$R$1272,9,FALSE)+IF(ISNA(VLOOKUP($A668,'Mutasi Neraca'!$A$3:$S$910,9,FALSE)),0,VLOOKUP($A668,'Mutasi Neraca'!$A$3:$S$910,9,FALSE))</f>
        <v>8333812500</v>
      </c>
      <c r="K668" s="42">
        <f>VLOOKUP($A668,'Neraca Unaudited SIMAK'!$A$2:$R$1272,10,FALSE)+IF(ISNA(VLOOKUP($A668,'Mutasi Neraca'!$A$3:$S$910,10,FALSE)),0,VLOOKUP($A668,'Mutasi Neraca'!$A$3:$S$910,10,FALSE))</f>
        <v>0</v>
      </c>
      <c r="L668" s="42">
        <f>VLOOKUP($A668,'Neraca Unaudited SIMAK'!$A$2:$R$1272,11,FALSE)+IF(ISNA(VLOOKUP($A668,'Mutasi Neraca'!$A$3:$S$910,11,FALSE)),0,VLOOKUP($A668,'Mutasi Neraca'!$A$3:$S$910,11,FALSE))</f>
        <v>0</v>
      </c>
      <c r="M668" s="42">
        <f>VLOOKUP($A668,'Neraca Unaudited SIMAK'!$A$2:$R$1272,12,FALSE)+IF(ISNA(VLOOKUP($A668,'Mutasi Neraca'!$A$3:$S$910,12,FALSE)),0,VLOOKUP($A668,'Mutasi Neraca'!$A$3:$S$910,12,FALSE))</f>
        <v>14362893148</v>
      </c>
      <c r="N668" s="42">
        <f>VLOOKUP($A668,'Neraca Unaudited SIMAK'!$A$2:$R$1272,13,FALSE)+IF(ISNA(VLOOKUP($A668,'Mutasi Neraca'!$A$3:$S$910,13,FALSE)),0,VLOOKUP($A668,'Mutasi Neraca'!$A$3:$S$910,13,FALSE))</f>
        <v>-952457734</v>
      </c>
      <c r="O668" s="42">
        <f>VLOOKUP($A668,'Neraca Unaudited SIMAK'!$A$2:$R$1272,14,FALSE)+IF(ISNA(VLOOKUP($A668,'Mutasi Neraca'!$A$3:$S$910,14,FALSE)),0,VLOOKUP($A668,'Mutasi Neraca'!$A$3:$S$910,14,FALSE))</f>
        <v>-108840200</v>
      </c>
      <c r="P668" s="42">
        <f>VLOOKUP($A668,'Neraca Unaudited SIMAK'!$A$2:$R$1272,15,FALSE)+IF(ISNA(VLOOKUP($A668,'Mutasi Neraca'!$A$3:$S$910,15,FALSE)),0,VLOOKUP($A668,'Mutasi Neraca'!$A$3:$S$910,15,FALSE))</f>
        <v>-32382500</v>
      </c>
      <c r="Q668" s="42">
        <f>VLOOKUP($A668,'Neraca Unaudited SIMAK'!$A$2:$R$1272,16,FALSE)+IF(ISNA(VLOOKUP($A668,'Mutasi Neraca'!$A$3:$S$910,16,FALSE)),0,VLOOKUP($A668,'Mutasi Neraca'!$A$3:$S$910,16,FALSE))</f>
        <v>0</v>
      </c>
      <c r="R668" s="42">
        <f>VLOOKUP($A668,'Neraca Unaudited SIMAK'!$A$2:$R$1272,17,FALSE)+IF(ISNA(VLOOKUP($A668,'Mutasi Neraca'!$A$3:$S$910,17,FALSE)),0,VLOOKUP($A668,'Mutasi Neraca'!$A$3:$S$910,17,FALSE))</f>
        <v>0</v>
      </c>
      <c r="S668" s="42">
        <f t="shared" si="63"/>
        <v>13269212714</v>
      </c>
    </row>
    <row r="669" spans="1:19">
      <c r="A669" s="41" t="s">
        <v>676</v>
      </c>
      <c r="B669" s="41" t="str">
        <f t="shared" si="62"/>
        <v>005012200</v>
      </c>
      <c r="D669" s="42">
        <f>VLOOKUP($A669,'Neraca Unaudited SIMAK'!$A$2:$R$1272,3,FALSE)+IF(ISNA(VLOOKUP($A669,'Mutasi Neraca'!$A$3:$S$910,3,FALSE)),0,VLOOKUP($A669,'Mutasi Neraca'!$A$3:$S$910,3,FALSE))</f>
        <v>1702000</v>
      </c>
      <c r="E669" s="42">
        <f>VLOOKUP($A669,'Neraca Unaudited SIMAK'!$A$2:$R$1272,4,FALSE)+IF(ISNA(VLOOKUP($A669,'Mutasi Neraca'!$A$3:$S$910,4,FALSE)),0,VLOOKUP($A669,'Mutasi Neraca'!$A$3:$S$910,4,FALSE))</f>
        <v>16061982000</v>
      </c>
      <c r="F669" s="42">
        <f>VLOOKUP($A669,'Neraca Unaudited SIMAK'!$A$2:$R$1272,5,FALSE)+IF(ISNA(VLOOKUP($A669,'Mutasi Neraca'!$A$3:$S$910,5,FALSE)),0,VLOOKUP($A669,'Mutasi Neraca'!$A$3:$S$910,5,FALSE))</f>
        <v>2053750770</v>
      </c>
      <c r="G669" s="42">
        <f>VLOOKUP($A669,'Neraca Unaudited SIMAK'!$A$2:$R$1272,6,FALSE)+IF(ISNA(VLOOKUP($A669,'Mutasi Neraca'!$A$3:$S$910,6,FALSE)),0,VLOOKUP($A669,'Mutasi Neraca'!$A$3:$S$910,6,FALSE))</f>
        <v>10949098370</v>
      </c>
      <c r="H669" s="42">
        <f>VLOOKUP($A669,'Neraca Unaudited SIMAK'!$A$2:$R$1272,7,FALSE)+IF(ISNA(VLOOKUP($A669,'Mutasi Neraca'!$A$3:$S$910,7,FALSE)),0,VLOOKUP($A669,'Mutasi Neraca'!$A$3:$S$910,7,FALSE))</f>
        <v>0</v>
      </c>
      <c r="I669" s="42">
        <f>VLOOKUP($A669,'Neraca Unaudited SIMAK'!$A$2:$R$1272,8,FALSE)+IF(ISNA(VLOOKUP($A669,'Mutasi Neraca'!$A$3:$S$910,8,FALSE)),0,VLOOKUP($A669,'Mutasi Neraca'!$A$3:$S$910,8,FALSE))</f>
        <v>0</v>
      </c>
      <c r="J669" s="42">
        <f>VLOOKUP($A669,'Neraca Unaudited SIMAK'!$A$2:$R$1272,9,FALSE)+IF(ISNA(VLOOKUP($A669,'Mutasi Neraca'!$A$3:$S$910,9,FALSE)),0,VLOOKUP($A669,'Mutasi Neraca'!$A$3:$S$910,9,FALSE))</f>
        <v>0</v>
      </c>
      <c r="K669" s="42">
        <f>VLOOKUP($A669,'Neraca Unaudited SIMAK'!$A$2:$R$1272,10,FALSE)+IF(ISNA(VLOOKUP($A669,'Mutasi Neraca'!$A$3:$S$910,10,FALSE)),0,VLOOKUP($A669,'Mutasi Neraca'!$A$3:$S$910,10,FALSE))</f>
        <v>91240000</v>
      </c>
      <c r="L669" s="42">
        <f>VLOOKUP($A669,'Neraca Unaudited SIMAK'!$A$2:$R$1272,11,FALSE)+IF(ISNA(VLOOKUP($A669,'Mutasi Neraca'!$A$3:$S$910,11,FALSE)),0,VLOOKUP($A669,'Mutasi Neraca'!$A$3:$S$910,11,FALSE))</f>
        <v>5299000</v>
      </c>
      <c r="M669" s="42">
        <f>VLOOKUP($A669,'Neraca Unaudited SIMAK'!$A$2:$R$1272,12,FALSE)+IF(ISNA(VLOOKUP($A669,'Mutasi Neraca'!$A$3:$S$910,12,FALSE)),0,VLOOKUP($A669,'Mutasi Neraca'!$A$3:$S$910,12,FALSE))</f>
        <v>29163072140</v>
      </c>
      <c r="N669" s="42">
        <f>VLOOKUP($A669,'Neraca Unaudited SIMAK'!$A$2:$R$1272,13,FALSE)+IF(ISNA(VLOOKUP($A669,'Mutasi Neraca'!$A$3:$S$910,13,FALSE)),0,VLOOKUP($A669,'Mutasi Neraca'!$A$3:$S$910,13,FALSE))</f>
        <v>-1827714554</v>
      </c>
      <c r="O669" s="42">
        <f>VLOOKUP($A669,'Neraca Unaudited SIMAK'!$A$2:$R$1272,14,FALSE)+IF(ISNA(VLOOKUP($A669,'Mutasi Neraca'!$A$3:$S$910,14,FALSE)),0,VLOOKUP($A669,'Mutasi Neraca'!$A$3:$S$910,14,FALSE))</f>
        <v>-2196610865</v>
      </c>
      <c r="P669" s="42">
        <f>VLOOKUP($A669,'Neraca Unaudited SIMAK'!$A$2:$R$1272,15,FALSE)+IF(ISNA(VLOOKUP($A669,'Mutasi Neraca'!$A$3:$S$910,15,FALSE)),0,VLOOKUP($A669,'Mutasi Neraca'!$A$3:$S$910,15,FALSE))</f>
        <v>0</v>
      </c>
      <c r="Q669" s="42">
        <f>VLOOKUP($A669,'Neraca Unaudited SIMAK'!$A$2:$R$1272,16,FALSE)+IF(ISNA(VLOOKUP($A669,'Mutasi Neraca'!$A$3:$S$910,16,FALSE)),0,VLOOKUP($A669,'Mutasi Neraca'!$A$3:$S$910,16,FALSE))</f>
        <v>0</v>
      </c>
      <c r="R669" s="42">
        <f>VLOOKUP($A669,'Neraca Unaudited SIMAK'!$A$2:$R$1272,17,FALSE)+IF(ISNA(VLOOKUP($A669,'Mutasi Neraca'!$A$3:$S$910,17,FALSE)),0,VLOOKUP($A669,'Mutasi Neraca'!$A$3:$S$910,17,FALSE))</f>
        <v>-5299000</v>
      </c>
      <c r="S669" s="42">
        <f t="shared" si="63"/>
        <v>25133447721</v>
      </c>
    </row>
    <row r="670" spans="1:19">
      <c r="A670" s="41" t="s">
        <v>677</v>
      </c>
      <c r="B670" s="41" t="str">
        <f t="shared" si="62"/>
        <v>005012200</v>
      </c>
      <c r="D670" s="42">
        <f>VLOOKUP($A670,'Neraca Unaudited SIMAK'!$A$2:$R$1272,3,FALSE)+IF(ISNA(VLOOKUP($A670,'Mutasi Neraca'!$A$3:$S$910,3,FALSE)),0,VLOOKUP($A670,'Mutasi Neraca'!$A$3:$S$910,3,FALSE))</f>
        <v>2951000</v>
      </c>
      <c r="E670" s="42">
        <f>VLOOKUP($A670,'Neraca Unaudited SIMAK'!$A$2:$R$1272,4,FALSE)+IF(ISNA(VLOOKUP($A670,'Mutasi Neraca'!$A$3:$S$910,4,FALSE)),0,VLOOKUP($A670,'Mutasi Neraca'!$A$3:$S$910,4,FALSE))</f>
        <v>8026400000</v>
      </c>
      <c r="F670" s="42">
        <f>VLOOKUP($A670,'Neraca Unaudited SIMAK'!$A$2:$R$1272,5,FALSE)+IF(ISNA(VLOOKUP($A670,'Mutasi Neraca'!$A$3:$S$910,5,FALSE)),0,VLOOKUP($A670,'Mutasi Neraca'!$A$3:$S$910,5,FALSE))</f>
        <v>1914722598</v>
      </c>
      <c r="G670" s="42">
        <f>VLOOKUP($A670,'Neraca Unaudited SIMAK'!$A$2:$R$1272,6,FALSE)+IF(ISNA(VLOOKUP($A670,'Mutasi Neraca'!$A$3:$S$910,6,FALSE)),0,VLOOKUP($A670,'Mutasi Neraca'!$A$3:$S$910,6,FALSE))</f>
        <v>7490775100</v>
      </c>
      <c r="H670" s="42">
        <f>VLOOKUP($A670,'Neraca Unaudited SIMAK'!$A$2:$R$1272,7,FALSE)+IF(ISNA(VLOOKUP($A670,'Mutasi Neraca'!$A$3:$S$910,7,FALSE)),0,VLOOKUP($A670,'Mutasi Neraca'!$A$3:$S$910,7,FALSE))</f>
        <v>5091700</v>
      </c>
      <c r="I670" s="42">
        <f>VLOOKUP($A670,'Neraca Unaudited SIMAK'!$A$2:$R$1272,8,FALSE)+IF(ISNA(VLOOKUP($A670,'Mutasi Neraca'!$A$3:$S$910,8,FALSE)),0,VLOOKUP($A670,'Mutasi Neraca'!$A$3:$S$910,8,FALSE))</f>
        <v>22766620</v>
      </c>
      <c r="J670" s="42">
        <f>VLOOKUP($A670,'Neraca Unaudited SIMAK'!$A$2:$R$1272,9,FALSE)+IF(ISNA(VLOOKUP($A670,'Mutasi Neraca'!$A$3:$S$910,9,FALSE)),0,VLOOKUP($A670,'Mutasi Neraca'!$A$3:$S$910,9,FALSE))</f>
        <v>0</v>
      </c>
      <c r="K670" s="42">
        <f>VLOOKUP($A670,'Neraca Unaudited SIMAK'!$A$2:$R$1272,10,FALSE)+IF(ISNA(VLOOKUP($A670,'Mutasi Neraca'!$A$3:$S$910,10,FALSE)),0,VLOOKUP($A670,'Mutasi Neraca'!$A$3:$S$910,10,FALSE))</f>
        <v>32960000</v>
      </c>
      <c r="L670" s="42">
        <f>VLOOKUP($A670,'Neraca Unaudited SIMAK'!$A$2:$R$1272,11,FALSE)+IF(ISNA(VLOOKUP($A670,'Mutasi Neraca'!$A$3:$S$910,11,FALSE)),0,VLOOKUP($A670,'Mutasi Neraca'!$A$3:$S$910,11,FALSE))</f>
        <v>112169000</v>
      </c>
      <c r="M670" s="42">
        <f>VLOOKUP($A670,'Neraca Unaudited SIMAK'!$A$2:$R$1272,12,FALSE)+IF(ISNA(VLOOKUP($A670,'Mutasi Neraca'!$A$3:$S$910,12,FALSE)),0,VLOOKUP($A670,'Mutasi Neraca'!$A$3:$S$910,12,FALSE))</f>
        <v>17607836018</v>
      </c>
      <c r="N670" s="42">
        <f>VLOOKUP($A670,'Neraca Unaudited SIMAK'!$A$2:$R$1272,13,FALSE)+IF(ISNA(VLOOKUP($A670,'Mutasi Neraca'!$A$3:$S$910,13,FALSE)),0,VLOOKUP($A670,'Mutasi Neraca'!$A$3:$S$910,13,FALSE))</f>
        <v>-1160975426</v>
      </c>
      <c r="O670" s="42">
        <f>VLOOKUP($A670,'Neraca Unaudited SIMAK'!$A$2:$R$1272,14,FALSE)+IF(ISNA(VLOOKUP($A670,'Mutasi Neraca'!$A$3:$S$910,14,FALSE)),0,VLOOKUP($A670,'Mutasi Neraca'!$A$3:$S$910,14,FALSE))</f>
        <v>-281084043</v>
      </c>
      <c r="P670" s="42">
        <f>VLOOKUP($A670,'Neraca Unaudited SIMAK'!$A$2:$R$1272,15,FALSE)+IF(ISNA(VLOOKUP($A670,'Mutasi Neraca'!$A$3:$S$910,15,FALSE)),0,VLOOKUP($A670,'Mutasi Neraca'!$A$3:$S$910,15,FALSE))</f>
        <v>-127293</v>
      </c>
      <c r="Q670" s="42">
        <f>VLOOKUP($A670,'Neraca Unaudited SIMAK'!$A$2:$R$1272,16,FALSE)+IF(ISNA(VLOOKUP($A670,'Mutasi Neraca'!$A$3:$S$910,16,FALSE)),0,VLOOKUP($A670,'Mutasi Neraca'!$A$3:$S$910,16,FALSE))</f>
        <v>0</v>
      </c>
      <c r="R670" s="42">
        <f>VLOOKUP($A670,'Neraca Unaudited SIMAK'!$A$2:$R$1272,17,FALSE)+IF(ISNA(VLOOKUP($A670,'Mutasi Neraca'!$A$3:$S$910,17,FALSE)),0,VLOOKUP($A670,'Mutasi Neraca'!$A$3:$S$910,17,FALSE))</f>
        <v>-108023775</v>
      </c>
      <c r="S670" s="42">
        <f t="shared" si="63"/>
        <v>16057625481</v>
      </c>
    </row>
    <row r="671" spans="1:19">
      <c r="A671" s="41" t="s">
        <v>678</v>
      </c>
      <c r="B671" s="41" t="str">
        <f t="shared" si="62"/>
        <v>005012200</v>
      </c>
      <c r="D671" s="42">
        <f>VLOOKUP($A671,'Neraca Unaudited SIMAK'!$A$2:$R$1272,3,FALSE)+IF(ISNA(VLOOKUP($A671,'Mutasi Neraca'!$A$3:$S$910,3,FALSE)),0,VLOOKUP($A671,'Mutasi Neraca'!$A$3:$S$910,3,FALSE))</f>
        <v>205900</v>
      </c>
      <c r="E671" s="42">
        <f>VLOOKUP($A671,'Neraca Unaudited SIMAK'!$A$2:$R$1272,4,FALSE)+IF(ISNA(VLOOKUP($A671,'Mutasi Neraca'!$A$3:$S$910,4,FALSE)),0,VLOOKUP($A671,'Mutasi Neraca'!$A$3:$S$910,4,FALSE))</f>
        <v>0</v>
      </c>
      <c r="F671" s="42">
        <f>VLOOKUP($A671,'Neraca Unaudited SIMAK'!$A$2:$R$1272,5,FALSE)+IF(ISNA(VLOOKUP($A671,'Mutasi Neraca'!$A$3:$S$910,5,FALSE)),0,VLOOKUP($A671,'Mutasi Neraca'!$A$3:$S$910,5,FALSE))</f>
        <v>1553892674</v>
      </c>
      <c r="G671" s="42">
        <f>VLOOKUP($A671,'Neraca Unaudited SIMAK'!$A$2:$R$1272,6,FALSE)+IF(ISNA(VLOOKUP($A671,'Mutasi Neraca'!$A$3:$S$910,6,FALSE)),0,VLOOKUP($A671,'Mutasi Neraca'!$A$3:$S$910,6,FALSE))</f>
        <v>0</v>
      </c>
      <c r="H671" s="42">
        <f>VLOOKUP($A671,'Neraca Unaudited SIMAK'!$A$2:$R$1272,7,FALSE)+IF(ISNA(VLOOKUP($A671,'Mutasi Neraca'!$A$3:$S$910,7,FALSE)),0,VLOOKUP($A671,'Mutasi Neraca'!$A$3:$S$910,7,FALSE))</f>
        <v>0</v>
      </c>
      <c r="I671" s="42">
        <f>VLOOKUP($A671,'Neraca Unaudited SIMAK'!$A$2:$R$1272,8,FALSE)+IF(ISNA(VLOOKUP($A671,'Mutasi Neraca'!$A$3:$S$910,8,FALSE)),0,VLOOKUP($A671,'Mutasi Neraca'!$A$3:$S$910,8,FALSE))</f>
        <v>32350000</v>
      </c>
      <c r="J671" s="42">
        <f>VLOOKUP($A671,'Neraca Unaudited SIMAK'!$A$2:$R$1272,9,FALSE)+IF(ISNA(VLOOKUP($A671,'Mutasi Neraca'!$A$3:$S$910,9,FALSE)),0,VLOOKUP($A671,'Mutasi Neraca'!$A$3:$S$910,9,FALSE))</f>
        <v>0</v>
      </c>
      <c r="K671" s="42">
        <f>VLOOKUP($A671,'Neraca Unaudited SIMAK'!$A$2:$R$1272,10,FALSE)+IF(ISNA(VLOOKUP($A671,'Mutasi Neraca'!$A$3:$S$910,10,FALSE)),0,VLOOKUP($A671,'Mutasi Neraca'!$A$3:$S$910,10,FALSE))</f>
        <v>74250000</v>
      </c>
      <c r="L671" s="42">
        <f>VLOOKUP($A671,'Neraca Unaudited SIMAK'!$A$2:$R$1272,11,FALSE)+IF(ISNA(VLOOKUP($A671,'Mutasi Neraca'!$A$3:$S$910,11,FALSE)),0,VLOOKUP($A671,'Mutasi Neraca'!$A$3:$S$910,11,FALSE))</f>
        <v>30146484</v>
      </c>
      <c r="M671" s="42">
        <f>VLOOKUP($A671,'Neraca Unaudited SIMAK'!$A$2:$R$1272,12,FALSE)+IF(ISNA(VLOOKUP($A671,'Mutasi Neraca'!$A$3:$S$910,12,FALSE)),0,VLOOKUP($A671,'Mutasi Neraca'!$A$3:$S$910,12,FALSE))</f>
        <v>1690845058</v>
      </c>
      <c r="N671" s="42">
        <f>VLOOKUP($A671,'Neraca Unaudited SIMAK'!$A$2:$R$1272,13,FALSE)+IF(ISNA(VLOOKUP($A671,'Mutasi Neraca'!$A$3:$S$910,13,FALSE)),0,VLOOKUP($A671,'Mutasi Neraca'!$A$3:$S$910,13,FALSE))</f>
        <v>-1381235234</v>
      </c>
      <c r="O671" s="42">
        <f>VLOOKUP($A671,'Neraca Unaudited SIMAK'!$A$2:$R$1272,14,FALSE)+IF(ISNA(VLOOKUP($A671,'Mutasi Neraca'!$A$3:$S$910,14,FALSE)),0,VLOOKUP($A671,'Mutasi Neraca'!$A$3:$S$910,14,FALSE))</f>
        <v>0</v>
      </c>
      <c r="P671" s="42">
        <f>VLOOKUP($A671,'Neraca Unaudited SIMAK'!$A$2:$R$1272,15,FALSE)+IF(ISNA(VLOOKUP($A671,'Mutasi Neraca'!$A$3:$S$910,15,FALSE)),0,VLOOKUP($A671,'Mutasi Neraca'!$A$3:$S$910,15,FALSE))</f>
        <v>0</v>
      </c>
      <c r="Q671" s="42">
        <f>VLOOKUP($A671,'Neraca Unaudited SIMAK'!$A$2:$R$1272,16,FALSE)+IF(ISNA(VLOOKUP($A671,'Mutasi Neraca'!$A$3:$S$910,16,FALSE)),0,VLOOKUP($A671,'Mutasi Neraca'!$A$3:$S$910,16,FALSE))</f>
        <v>0</v>
      </c>
      <c r="R671" s="42">
        <f>VLOOKUP($A671,'Neraca Unaudited SIMAK'!$A$2:$R$1272,17,FALSE)+IF(ISNA(VLOOKUP($A671,'Mutasi Neraca'!$A$3:$S$910,17,FALSE)),0,VLOOKUP($A671,'Mutasi Neraca'!$A$3:$S$910,17,FALSE))</f>
        <v>-30146484</v>
      </c>
      <c r="S671" s="42">
        <f t="shared" si="63"/>
        <v>279463340</v>
      </c>
    </row>
    <row r="672" spans="1:19">
      <c r="A672" s="41" t="s">
        <v>679</v>
      </c>
      <c r="B672" s="41" t="str">
        <f t="shared" si="62"/>
        <v>005012300</v>
      </c>
      <c r="D672" s="42">
        <f>VLOOKUP($A672,'Neraca Unaudited SIMAK'!$A$2:$R$1272,3,FALSE)+IF(ISNA(VLOOKUP($A672,'Mutasi Neraca'!$A$3:$S$910,3,FALSE)),0,VLOOKUP($A672,'Mutasi Neraca'!$A$3:$S$910,3,FALSE))</f>
        <v>4383950</v>
      </c>
      <c r="E672" s="42">
        <f>VLOOKUP($A672,'Neraca Unaudited SIMAK'!$A$2:$R$1272,4,FALSE)+IF(ISNA(VLOOKUP($A672,'Mutasi Neraca'!$A$3:$S$910,4,FALSE)),0,VLOOKUP($A672,'Mutasi Neraca'!$A$3:$S$910,4,FALSE))</f>
        <v>13540063000</v>
      </c>
      <c r="F672" s="42">
        <f>VLOOKUP($A672,'Neraca Unaudited SIMAK'!$A$2:$R$1272,5,FALSE)+IF(ISNA(VLOOKUP($A672,'Mutasi Neraca'!$A$3:$S$910,5,FALSE)),0,VLOOKUP($A672,'Mutasi Neraca'!$A$3:$S$910,5,FALSE))</f>
        <v>3571835609</v>
      </c>
      <c r="G672" s="42">
        <f>VLOOKUP($A672,'Neraca Unaudited SIMAK'!$A$2:$R$1272,6,FALSE)+IF(ISNA(VLOOKUP($A672,'Mutasi Neraca'!$A$3:$S$910,6,FALSE)),0,VLOOKUP($A672,'Mutasi Neraca'!$A$3:$S$910,6,FALSE))</f>
        <v>15657414700</v>
      </c>
      <c r="H672" s="42">
        <f>VLOOKUP($A672,'Neraca Unaudited SIMAK'!$A$2:$R$1272,7,FALSE)+IF(ISNA(VLOOKUP($A672,'Mutasi Neraca'!$A$3:$S$910,7,FALSE)),0,VLOOKUP($A672,'Mutasi Neraca'!$A$3:$S$910,7,FALSE))</f>
        <v>0</v>
      </c>
      <c r="I672" s="42">
        <f>VLOOKUP($A672,'Neraca Unaudited SIMAK'!$A$2:$R$1272,8,FALSE)+IF(ISNA(VLOOKUP($A672,'Mutasi Neraca'!$A$3:$S$910,8,FALSE)),0,VLOOKUP($A672,'Mutasi Neraca'!$A$3:$S$910,8,FALSE))</f>
        <v>1943440</v>
      </c>
      <c r="J672" s="42">
        <f>VLOOKUP($A672,'Neraca Unaudited SIMAK'!$A$2:$R$1272,9,FALSE)+IF(ISNA(VLOOKUP($A672,'Mutasi Neraca'!$A$3:$S$910,9,FALSE)),0,VLOOKUP($A672,'Mutasi Neraca'!$A$3:$S$910,9,FALSE))</f>
        <v>0</v>
      </c>
      <c r="K672" s="42">
        <f>VLOOKUP($A672,'Neraca Unaudited SIMAK'!$A$2:$R$1272,10,FALSE)+IF(ISNA(VLOOKUP($A672,'Mutasi Neraca'!$A$3:$S$910,10,FALSE)),0,VLOOKUP($A672,'Mutasi Neraca'!$A$3:$S$910,10,FALSE))</f>
        <v>0</v>
      </c>
      <c r="L672" s="42">
        <f>VLOOKUP($A672,'Neraca Unaudited SIMAK'!$A$2:$R$1272,11,FALSE)+IF(ISNA(VLOOKUP($A672,'Mutasi Neraca'!$A$3:$S$910,11,FALSE)),0,VLOOKUP($A672,'Mutasi Neraca'!$A$3:$S$910,11,FALSE))</f>
        <v>12610800</v>
      </c>
      <c r="M672" s="42">
        <f>VLOOKUP($A672,'Neraca Unaudited SIMAK'!$A$2:$R$1272,12,FALSE)+IF(ISNA(VLOOKUP($A672,'Mutasi Neraca'!$A$3:$S$910,12,FALSE)),0,VLOOKUP($A672,'Mutasi Neraca'!$A$3:$S$910,12,FALSE))</f>
        <v>32788251499</v>
      </c>
      <c r="N672" s="42">
        <f>VLOOKUP($A672,'Neraca Unaudited SIMAK'!$A$2:$R$1272,13,FALSE)+IF(ISNA(VLOOKUP($A672,'Mutasi Neraca'!$A$3:$S$910,13,FALSE)),0,VLOOKUP($A672,'Mutasi Neraca'!$A$3:$S$910,13,FALSE))</f>
        <v>-2655482306</v>
      </c>
      <c r="O672" s="42">
        <f>VLOOKUP($A672,'Neraca Unaudited SIMAK'!$A$2:$R$1272,14,FALSE)+IF(ISNA(VLOOKUP($A672,'Mutasi Neraca'!$A$3:$S$910,14,FALSE)),0,VLOOKUP($A672,'Mutasi Neraca'!$A$3:$S$910,14,FALSE))</f>
        <v>-1546599731</v>
      </c>
      <c r="P672" s="42">
        <f>VLOOKUP($A672,'Neraca Unaudited SIMAK'!$A$2:$R$1272,15,FALSE)+IF(ISNA(VLOOKUP($A672,'Mutasi Neraca'!$A$3:$S$910,15,FALSE)),0,VLOOKUP($A672,'Mutasi Neraca'!$A$3:$S$910,15,FALSE))</f>
        <v>0</v>
      </c>
      <c r="Q672" s="42">
        <f>VLOOKUP($A672,'Neraca Unaudited SIMAK'!$A$2:$R$1272,16,FALSE)+IF(ISNA(VLOOKUP($A672,'Mutasi Neraca'!$A$3:$S$910,16,FALSE)),0,VLOOKUP($A672,'Mutasi Neraca'!$A$3:$S$910,16,FALSE))</f>
        <v>0</v>
      </c>
      <c r="R672" s="42">
        <f>VLOOKUP($A672,'Neraca Unaudited SIMAK'!$A$2:$R$1272,17,FALSE)+IF(ISNA(VLOOKUP($A672,'Mutasi Neraca'!$A$3:$S$910,17,FALSE)),0,VLOOKUP($A672,'Mutasi Neraca'!$A$3:$S$910,17,FALSE))</f>
        <v>-12610800</v>
      </c>
      <c r="S672" s="42">
        <f t="shared" si="63"/>
        <v>28573558662</v>
      </c>
    </row>
    <row r="673" spans="1:19">
      <c r="A673" s="41" t="s">
        <v>680</v>
      </c>
      <c r="B673" s="41" t="str">
        <f t="shared" si="62"/>
        <v>005012300</v>
      </c>
      <c r="D673" s="42">
        <f>VLOOKUP($A673,'Neraca Unaudited SIMAK'!$A$2:$R$1272,3,FALSE)+IF(ISNA(VLOOKUP($A673,'Mutasi Neraca'!$A$3:$S$910,3,FALSE)),0,VLOOKUP($A673,'Mutasi Neraca'!$A$3:$S$910,3,FALSE))</f>
        <v>572000</v>
      </c>
      <c r="E673" s="42">
        <f>VLOOKUP($A673,'Neraca Unaudited SIMAK'!$A$2:$R$1272,4,FALSE)+IF(ISNA(VLOOKUP($A673,'Mutasi Neraca'!$A$3:$S$910,4,FALSE)),0,VLOOKUP($A673,'Mutasi Neraca'!$A$3:$S$910,4,FALSE))</f>
        <v>1611770000</v>
      </c>
      <c r="F673" s="42">
        <f>VLOOKUP($A673,'Neraca Unaudited SIMAK'!$A$2:$R$1272,5,FALSE)+IF(ISNA(VLOOKUP($A673,'Mutasi Neraca'!$A$3:$S$910,5,FALSE)),0,VLOOKUP($A673,'Mutasi Neraca'!$A$3:$S$910,5,FALSE))</f>
        <v>2339472015</v>
      </c>
      <c r="G673" s="42">
        <f>VLOOKUP($A673,'Neraca Unaudited SIMAK'!$A$2:$R$1272,6,FALSE)+IF(ISNA(VLOOKUP($A673,'Mutasi Neraca'!$A$3:$S$910,6,FALSE)),0,VLOOKUP($A673,'Mutasi Neraca'!$A$3:$S$910,6,FALSE))</f>
        <v>8330386819</v>
      </c>
      <c r="H673" s="42">
        <f>VLOOKUP($A673,'Neraca Unaudited SIMAK'!$A$2:$R$1272,7,FALSE)+IF(ISNA(VLOOKUP($A673,'Mutasi Neraca'!$A$3:$S$910,7,FALSE)),0,VLOOKUP($A673,'Mutasi Neraca'!$A$3:$S$910,7,FALSE))</f>
        <v>96301000</v>
      </c>
      <c r="I673" s="42">
        <f>VLOOKUP($A673,'Neraca Unaudited SIMAK'!$A$2:$R$1272,8,FALSE)+IF(ISNA(VLOOKUP($A673,'Mutasi Neraca'!$A$3:$S$910,8,FALSE)),0,VLOOKUP($A673,'Mutasi Neraca'!$A$3:$S$910,8,FALSE))</f>
        <v>75283854</v>
      </c>
      <c r="J673" s="42">
        <f>VLOOKUP($A673,'Neraca Unaudited SIMAK'!$A$2:$R$1272,9,FALSE)+IF(ISNA(VLOOKUP($A673,'Mutasi Neraca'!$A$3:$S$910,9,FALSE)),0,VLOOKUP($A673,'Mutasi Neraca'!$A$3:$S$910,9,FALSE))</f>
        <v>0</v>
      </c>
      <c r="K673" s="42">
        <f>VLOOKUP($A673,'Neraca Unaudited SIMAK'!$A$2:$R$1272,10,FALSE)+IF(ISNA(VLOOKUP($A673,'Mutasi Neraca'!$A$3:$S$910,10,FALSE)),0,VLOOKUP($A673,'Mutasi Neraca'!$A$3:$S$910,10,FALSE))</f>
        <v>0</v>
      </c>
      <c r="L673" s="42">
        <f>VLOOKUP($A673,'Neraca Unaudited SIMAK'!$A$2:$R$1272,11,FALSE)+IF(ISNA(VLOOKUP($A673,'Mutasi Neraca'!$A$3:$S$910,11,FALSE)),0,VLOOKUP($A673,'Mutasi Neraca'!$A$3:$S$910,11,FALSE))</f>
        <v>297190732</v>
      </c>
      <c r="M673" s="42">
        <f>VLOOKUP($A673,'Neraca Unaudited SIMAK'!$A$2:$R$1272,12,FALSE)+IF(ISNA(VLOOKUP($A673,'Mutasi Neraca'!$A$3:$S$910,12,FALSE)),0,VLOOKUP($A673,'Mutasi Neraca'!$A$3:$S$910,12,FALSE))</f>
        <v>12750976420</v>
      </c>
      <c r="N673" s="42">
        <f>VLOOKUP($A673,'Neraca Unaudited SIMAK'!$A$2:$R$1272,13,FALSE)+IF(ISNA(VLOOKUP($A673,'Mutasi Neraca'!$A$3:$S$910,13,FALSE)),0,VLOOKUP($A673,'Mutasi Neraca'!$A$3:$S$910,13,FALSE))</f>
        <v>-1457654758</v>
      </c>
      <c r="O673" s="42">
        <f>VLOOKUP($A673,'Neraca Unaudited SIMAK'!$A$2:$R$1272,14,FALSE)+IF(ISNA(VLOOKUP($A673,'Mutasi Neraca'!$A$3:$S$910,14,FALSE)),0,VLOOKUP($A673,'Mutasi Neraca'!$A$3:$S$910,14,FALSE))</f>
        <v>-672039385</v>
      </c>
      <c r="P673" s="42">
        <f>VLOOKUP($A673,'Neraca Unaudited SIMAK'!$A$2:$R$1272,15,FALSE)+IF(ISNA(VLOOKUP($A673,'Mutasi Neraca'!$A$3:$S$910,15,FALSE)),0,VLOOKUP($A673,'Mutasi Neraca'!$A$3:$S$910,15,FALSE))</f>
        <v>-2192600</v>
      </c>
      <c r="Q673" s="42">
        <f>VLOOKUP($A673,'Neraca Unaudited SIMAK'!$A$2:$R$1272,16,FALSE)+IF(ISNA(VLOOKUP($A673,'Mutasi Neraca'!$A$3:$S$910,16,FALSE)),0,VLOOKUP($A673,'Mutasi Neraca'!$A$3:$S$910,16,FALSE))</f>
        <v>0</v>
      </c>
      <c r="R673" s="42">
        <f>VLOOKUP($A673,'Neraca Unaudited SIMAK'!$A$2:$R$1272,17,FALSE)+IF(ISNA(VLOOKUP($A673,'Mutasi Neraca'!$A$3:$S$910,17,FALSE)),0,VLOOKUP($A673,'Mutasi Neraca'!$A$3:$S$910,17,FALSE))</f>
        <v>-297190732</v>
      </c>
      <c r="S673" s="42">
        <f t="shared" si="63"/>
        <v>10321898945</v>
      </c>
    </row>
    <row r="674" spans="1:19">
      <c r="A674" s="41" t="s">
        <v>681</v>
      </c>
      <c r="B674" s="41" t="str">
        <f t="shared" si="62"/>
        <v>005012300</v>
      </c>
      <c r="D674" s="42">
        <f>VLOOKUP($A674,'Neraca Unaudited SIMAK'!$A$2:$R$1272,3,FALSE)+IF(ISNA(VLOOKUP($A674,'Mutasi Neraca'!$A$3:$S$910,3,FALSE)),0,VLOOKUP($A674,'Mutasi Neraca'!$A$3:$S$910,3,FALSE))</f>
        <v>6018500</v>
      </c>
      <c r="E674" s="42">
        <f>VLOOKUP($A674,'Neraca Unaudited SIMAK'!$A$2:$R$1272,4,FALSE)+IF(ISNA(VLOOKUP($A674,'Mutasi Neraca'!$A$3:$S$910,4,FALSE)),0,VLOOKUP($A674,'Mutasi Neraca'!$A$3:$S$910,4,FALSE))</f>
        <v>5629832000</v>
      </c>
      <c r="F674" s="42">
        <f>VLOOKUP($A674,'Neraca Unaudited SIMAK'!$A$2:$R$1272,5,FALSE)+IF(ISNA(VLOOKUP($A674,'Mutasi Neraca'!$A$3:$S$910,5,FALSE)),0,VLOOKUP($A674,'Mutasi Neraca'!$A$3:$S$910,5,FALSE))</f>
        <v>2127353718</v>
      </c>
      <c r="G674" s="42">
        <f>VLOOKUP($A674,'Neraca Unaudited SIMAK'!$A$2:$R$1272,6,FALSE)+IF(ISNA(VLOOKUP($A674,'Mutasi Neraca'!$A$3:$S$910,6,FALSE)),0,VLOOKUP($A674,'Mutasi Neraca'!$A$3:$S$910,6,FALSE))</f>
        <v>10716311650</v>
      </c>
      <c r="H674" s="42">
        <f>VLOOKUP($A674,'Neraca Unaudited SIMAK'!$A$2:$R$1272,7,FALSE)+IF(ISNA(VLOOKUP($A674,'Mutasi Neraca'!$A$3:$S$910,7,FALSE)),0,VLOOKUP($A674,'Mutasi Neraca'!$A$3:$S$910,7,FALSE))</f>
        <v>0</v>
      </c>
      <c r="I674" s="42">
        <f>VLOOKUP($A674,'Neraca Unaudited SIMAK'!$A$2:$R$1272,8,FALSE)+IF(ISNA(VLOOKUP($A674,'Mutasi Neraca'!$A$3:$S$910,8,FALSE)),0,VLOOKUP($A674,'Mutasi Neraca'!$A$3:$S$910,8,FALSE))</f>
        <v>9954692</v>
      </c>
      <c r="J674" s="42">
        <f>VLOOKUP($A674,'Neraca Unaudited SIMAK'!$A$2:$R$1272,9,FALSE)+IF(ISNA(VLOOKUP($A674,'Mutasi Neraca'!$A$3:$S$910,9,FALSE)),0,VLOOKUP($A674,'Mutasi Neraca'!$A$3:$S$910,9,FALSE))</f>
        <v>0</v>
      </c>
      <c r="K674" s="42">
        <f>VLOOKUP($A674,'Neraca Unaudited SIMAK'!$A$2:$R$1272,10,FALSE)+IF(ISNA(VLOOKUP($A674,'Mutasi Neraca'!$A$3:$S$910,10,FALSE)),0,VLOOKUP($A674,'Mutasi Neraca'!$A$3:$S$910,10,FALSE))</f>
        <v>0</v>
      </c>
      <c r="L674" s="42">
        <f>VLOOKUP($A674,'Neraca Unaudited SIMAK'!$A$2:$R$1272,11,FALSE)+IF(ISNA(VLOOKUP($A674,'Mutasi Neraca'!$A$3:$S$910,11,FALSE)),0,VLOOKUP($A674,'Mutasi Neraca'!$A$3:$S$910,11,FALSE))</f>
        <v>121669750</v>
      </c>
      <c r="M674" s="42">
        <f>VLOOKUP($A674,'Neraca Unaudited SIMAK'!$A$2:$R$1272,12,FALSE)+IF(ISNA(VLOOKUP($A674,'Mutasi Neraca'!$A$3:$S$910,12,FALSE)),0,VLOOKUP($A674,'Mutasi Neraca'!$A$3:$S$910,12,FALSE))</f>
        <v>18611140310</v>
      </c>
      <c r="N674" s="42">
        <f>VLOOKUP($A674,'Neraca Unaudited SIMAK'!$A$2:$R$1272,13,FALSE)+IF(ISNA(VLOOKUP($A674,'Mutasi Neraca'!$A$3:$S$910,13,FALSE)),0,VLOOKUP($A674,'Mutasi Neraca'!$A$3:$S$910,13,FALSE))</f>
        <v>-1405088667</v>
      </c>
      <c r="O674" s="42">
        <f>VLOOKUP($A674,'Neraca Unaudited SIMAK'!$A$2:$R$1272,14,FALSE)+IF(ISNA(VLOOKUP($A674,'Mutasi Neraca'!$A$3:$S$910,14,FALSE)),0,VLOOKUP($A674,'Mutasi Neraca'!$A$3:$S$910,14,FALSE))</f>
        <v>-1594240223</v>
      </c>
      <c r="P674" s="42">
        <f>VLOOKUP($A674,'Neraca Unaudited SIMAK'!$A$2:$R$1272,15,FALSE)+IF(ISNA(VLOOKUP($A674,'Mutasi Neraca'!$A$3:$S$910,15,FALSE)),0,VLOOKUP($A674,'Mutasi Neraca'!$A$3:$S$910,15,FALSE))</f>
        <v>0</v>
      </c>
      <c r="Q674" s="42">
        <f>VLOOKUP($A674,'Neraca Unaudited SIMAK'!$A$2:$R$1272,16,FALSE)+IF(ISNA(VLOOKUP($A674,'Mutasi Neraca'!$A$3:$S$910,16,FALSE)),0,VLOOKUP($A674,'Mutasi Neraca'!$A$3:$S$910,16,FALSE))</f>
        <v>0</v>
      </c>
      <c r="R674" s="42">
        <f>VLOOKUP($A674,'Neraca Unaudited SIMAK'!$A$2:$R$1272,17,FALSE)+IF(ISNA(VLOOKUP($A674,'Mutasi Neraca'!$A$3:$S$910,17,FALSE)),0,VLOOKUP($A674,'Mutasi Neraca'!$A$3:$S$910,17,FALSE))</f>
        <v>-121669750</v>
      </c>
      <c r="S674" s="42">
        <f t="shared" si="63"/>
        <v>15490141670</v>
      </c>
    </row>
    <row r="675" spans="1:19">
      <c r="A675" s="41" t="s">
        <v>682</v>
      </c>
      <c r="B675" s="41" t="str">
        <f t="shared" si="62"/>
        <v>005012300</v>
      </c>
      <c r="D675" s="42">
        <f>VLOOKUP($A675,'Neraca Unaudited SIMAK'!$A$2:$R$1272,3,FALSE)+IF(ISNA(VLOOKUP($A675,'Mutasi Neraca'!$A$3:$S$910,3,FALSE)),0,VLOOKUP($A675,'Mutasi Neraca'!$A$3:$S$910,3,FALSE))</f>
        <v>3796500</v>
      </c>
      <c r="E675" s="42">
        <f>VLOOKUP($A675,'Neraca Unaudited SIMAK'!$A$2:$R$1272,4,FALSE)+IF(ISNA(VLOOKUP($A675,'Mutasi Neraca'!$A$3:$S$910,4,FALSE)),0,VLOOKUP($A675,'Mutasi Neraca'!$A$3:$S$910,4,FALSE))</f>
        <v>4395180000</v>
      </c>
      <c r="F675" s="42">
        <f>VLOOKUP($A675,'Neraca Unaudited SIMAK'!$A$2:$R$1272,5,FALSE)+IF(ISNA(VLOOKUP($A675,'Mutasi Neraca'!$A$3:$S$910,5,FALSE)),0,VLOOKUP($A675,'Mutasi Neraca'!$A$3:$S$910,5,FALSE))</f>
        <v>3077655817</v>
      </c>
      <c r="G675" s="42">
        <f>VLOOKUP($A675,'Neraca Unaudited SIMAK'!$A$2:$R$1272,6,FALSE)+IF(ISNA(VLOOKUP($A675,'Mutasi Neraca'!$A$3:$S$910,6,FALSE)),0,VLOOKUP($A675,'Mutasi Neraca'!$A$3:$S$910,6,FALSE))</f>
        <v>5621268653</v>
      </c>
      <c r="H675" s="42">
        <f>VLOOKUP($A675,'Neraca Unaudited SIMAK'!$A$2:$R$1272,7,FALSE)+IF(ISNA(VLOOKUP($A675,'Mutasi Neraca'!$A$3:$S$910,7,FALSE)),0,VLOOKUP($A675,'Mutasi Neraca'!$A$3:$S$910,7,FALSE))</f>
        <v>14955000</v>
      </c>
      <c r="I675" s="42">
        <f>VLOOKUP($A675,'Neraca Unaudited SIMAK'!$A$2:$R$1272,8,FALSE)+IF(ISNA(VLOOKUP($A675,'Mutasi Neraca'!$A$3:$S$910,8,FALSE)),0,VLOOKUP($A675,'Mutasi Neraca'!$A$3:$S$910,8,FALSE))</f>
        <v>2608840</v>
      </c>
      <c r="J675" s="42">
        <f>VLOOKUP($A675,'Neraca Unaudited SIMAK'!$A$2:$R$1272,9,FALSE)+IF(ISNA(VLOOKUP($A675,'Mutasi Neraca'!$A$3:$S$910,9,FALSE)),0,VLOOKUP($A675,'Mutasi Neraca'!$A$3:$S$910,9,FALSE))</f>
        <v>0</v>
      </c>
      <c r="K675" s="42">
        <f>VLOOKUP($A675,'Neraca Unaudited SIMAK'!$A$2:$R$1272,10,FALSE)+IF(ISNA(VLOOKUP($A675,'Mutasi Neraca'!$A$3:$S$910,10,FALSE)),0,VLOOKUP($A675,'Mutasi Neraca'!$A$3:$S$910,10,FALSE))</f>
        <v>0</v>
      </c>
      <c r="L675" s="42">
        <f>VLOOKUP($A675,'Neraca Unaudited SIMAK'!$A$2:$R$1272,11,FALSE)+IF(ISNA(VLOOKUP($A675,'Mutasi Neraca'!$A$3:$S$910,11,FALSE)),0,VLOOKUP($A675,'Mutasi Neraca'!$A$3:$S$910,11,FALSE))</f>
        <v>14075900</v>
      </c>
      <c r="M675" s="42">
        <f>VLOOKUP($A675,'Neraca Unaudited SIMAK'!$A$2:$R$1272,12,FALSE)+IF(ISNA(VLOOKUP($A675,'Mutasi Neraca'!$A$3:$S$910,12,FALSE)),0,VLOOKUP($A675,'Mutasi Neraca'!$A$3:$S$910,12,FALSE))</f>
        <v>13129540710</v>
      </c>
      <c r="N675" s="42">
        <f>VLOOKUP($A675,'Neraca Unaudited SIMAK'!$A$2:$R$1272,13,FALSE)+IF(ISNA(VLOOKUP($A675,'Mutasi Neraca'!$A$3:$S$910,13,FALSE)),0,VLOOKUP($A675,'Mutasi Neraca'!$A$3:$S$910,13,FALSE))</f>
        <v>-2675485810</v>
      </c>
      <c r="O675" s="42">
        <f>VLOOKUP($A675,'Neraca Unaudited SIMAK'!$A$2:$R$1272,14,FALSE)+IF(ISNA(VLOOKUP($A675,'Mutasi Neraca'!$A$3:$S$910,14,FALSE)),0,VLOOKUP($A675,'Mutasi Neraca'!$A$3:$S$910,14,FALSE))</f>
        <v>-1826954561</v>
      </c>
      <c r="P675" s="42">
        <f>VLOOKUP($A675,'Neraca Unaudited SIMAK'!$A$2:$R$1272,15,FALSE)+IF(ISNA(VLOOKUP($A675,'Mutasi Neraca'!$A$3:$S$910,15,FALSE)),0,VLOOKUP($A675,'Mutasi Neraca'!$A$3:$S$910,15,FALSE))</f>
        <v>-1121625</v>
      </c>
      <c r="Q675" s="42">
        <f>VLOOKUP($A675,'Neraca Unaudited SIMAK'!$A$2:$R$1272,16,FALSE)+IF(ISNA(VLOOKUP($A675,'Mutasi Neraca'!$A$3:$S$910,16,FALSE)),0,VLOOKUP($A675,'Mutasi Neraca'!$A$3:$S$910,16,FALSE))</f>
        <v>0</v>
      </c>
      <c r="R675" s="42">
        <f>VLOOKUP($A675,'Neraca Unaudited SIMAK'!$A$2:$R$1272,17,FALSE)+IF(ISNA(VLOOKUP($A675,'Mutasi Neraca'!$A$3:$S$910,17,FALSE)),0,VLOOKUP($A675,'Mutasi Neraca'!$A$3:$S$910,17,FALSE))</f>
        <v>-14075900</v>
      </c>
      <c r="S675" s="42">
        <f t="shared" si="63"/>
        <v>8611902814</v>
      </c>
    </row>
    <row r="676" spans="1:19">
      <c r="A676" s="41" t="s">
        <v>683</v>
      </c>
      <c r="B676" s="41" t="str">
        <f t="shared" si="62"/>
        <v>005012300</v>
      </c>
      <c r="D676" s="42">
        <f>VLOOKUP($A676,'Neraca Unaudited SIMAK'!$A$2:$R$1272,3,FALSE)+IF(ISNA(VLOOKUP($A676,'Mutasi Neraca'!$A$3:$S$910,3,FALSE)),0,VLOOKUP($A676,'Mutasi Neraca'!$A$3:$S$910,3,FALSE))</f>
        <v>4188070</v>
      </c>
      <c r="E676" s="42">
        <f>VLOOKUP($A676,'Neraca Unaudited SIMAK'!$A$2:$R$1272,4,FALSE)+IF(ISNA(VLOOKUP($A676,'Mutasi Neraca'!$A$3:$S$910,4,FALSE)),0,VLOOKUP($A676,'Mutasi Neraca'!$A$3:$S$910,4,FALSE))</f>
        <v>3412228000</v>
      </c>
      <c r="F676" s="42">
        <f>VLOOKUP($A676,'Neraca Unaudited SIMAK'!$A$2:$R$1272,5,FALSE)+IF(ISNA(VLOOKUP($A676,'Mutasi Neraca'!$A$3:$S$910,5,FALSE)),0,VLOOKUP($A676,'Mutasi Neraca'!$A$3:$S$910,5,FALSE))</f>
        <v>1999320206</v>
      </c>
      <c r="G676" s="42">
        <f>VLOOKUP($A676,'Neraca Unaudited SIMAK'!$A$2:$R$1272,6,FALSE)+IF(ISNA(VLOOKUP($A676,'Mutasi Neraca'!$A$3:$S$910,6,FALSE)),0,VLOOKUP($A676,'Mutasi Neraca'!$A$3:$S$910,6,FALSE))</f>
        <v>7646924955</v>
      </c>
      <c r="H676" s="42">
        <f>VLOOKUP($A676,'Neraca Unaudited SIMAK'!$A$2:$R$1272,7,FALSE)+IF(ISNA(VLOOKUP($A676,'Mutasi Neraca'!$A$3:$S$910,7,FALSE)),0,VLOOKUP($A676,'Mutasi Neraca'!$A$3:$S$910,7,FALSE))</f>
        <v>0</v>
      </c>
      <c r="I676" s="42">
        <f>VLOOKUP($A676,'Neraca Unaudited SIMAK'!$A$2:$R$1272,8,FALSE)+IF(ISNA(VLOOKUP($A676,'Mutasi Neraca'!$A$3:$S$910,8,FALSE)),0,VLOOKUP($A676,'Mutasi Neraca'!$A$3:$S$910,8,FALSE))</f>
        <v>47666880</v>
      </c>
      <c r="J676" s="42">
        <f>VLOOKUP($A676,'Neraca Unaudited SIMAK'!$A$2:$R$1272,9,FALSE)+IF(ISNA(VLOOKUP($A676,'Mutasi Neraca'!$A$3:$S$910,9,FALSE)),0,VLOOKUP($A676,'Mutasi Neraca'!$A$3:$S$910,9,FALSE))</f>
        <v>0</v>
      </c>
      <c r="K676" s="42">
        <f>VLOOKUP($A676,'Neraca Unaudited SIMAK'!$A$2:$R$1272,10,FALSE)+IF(ISNA(VLOOKUP($A676,'Mutasi Neraca'!$A$3:$S$910,10,FALSE)),0,VLOOKUP($A676,'Mutasi Neraca'!$A$3:$S$910,10,FALSE))</f>
        <v>0</v>
      </c>
      <c r="L676" s="42">
        <f>VLOOKUP($A676,'Neraca Unaudited SIMAK'!$A$2:$R$1272,11,FALSE)+IF(ISNA(VLOOKUP($A676,'Mutasi Neraca'!$A$3:$S$910,11,FALSE)),0,VLOOKUP($A676,'Mutasi Neraca'!$A$3:$S$910,11,FALSE))</f>
        <v>72403000</v>
      </c>
      <c r="M676" s="42">
        <f>VLOOKUP($A676,'Neraca Unaudited SIMAK'!$A$2:$R$1272,12,FALSE)+IF(ISNA(VLOOKUP($A676,'Mutasi Neraca'!$A$3:$S$910,12,FALSE)),0,VLOOKUP($A676,'Mutasi Neraca'!$A$3:$S$910,12,FALSE))</f>
        <v>13182731111</v>
      </c>
      <c r="N676" s="42">
        <f>VLOOKUP($A676,'Neraca Unaudited SIMAK'!$A$2:$R$1272,13,FALSE)+IF(ISNA(VLOOKUP($A676,'Mutasi Neraca'!$A$3:$S$910,13,FALSE)),0,VLOOKUP($A676,'Mutasi Neraca'!$A$3:$S$910,13,FALSE))</f>
        <v>-1528268296</v>
      </c>
      <c r="O676" s="42">
        <f>VLOOKUP($A676,'Neraca Unaudited SIMAK'!$A$2:$R$1272,14,FALSE)+IF(ISNA(VLOOKUP($A676,'Mutasi Neraca'!$A$3:$S$910,14,FALSE)),0,VLOOKUP($A676,'Mutasi Neraca'!$A$3:$S$910,14,FALSE))</f>
        <v>-2037279569</v>
      </c>
      <c r="P676" s="42">
        <f>VLOOKUP($A676,'Neraca Unaudited SIMAK'!$A$2:$R$1272,15,FALSE)+IF(ISNA(VLOOKUP($A676,'Mutasi Neraca'!$A$3:$S$910,15,FALSE)),0,VLOOKUP($A676,'Mutasi Neraca'!$A$3:$S$910,15,FALSE))</f>
        <v>0</v>
      </c>
      <c r="Q676" s="42">
        <f>VLOOKUP($A676,'Neraca Unaudited SIMAK'!$A$2:$R$1272,16,FALSE)+IF(ISNA(VLOOKUP($A676,'Mutasi Neraca'!$A$3:$S$910,16,FALSE)),0,VLOOKUP($A676,'Mutasi Neraca'!$A$3:$S$910,16,FALSE))</f>
        <v>0</v>
      </c>
      <c r="R676" s="42">
        <f>VLOOKUP($A676,'Neraca Unaudited SIMAK'!$A$2:$R$1272,17,FALSE)+IF(ISNA(VLOOKUP($A676,'Mutasi Neraca'!$A$3:$S$910,17,FALSE)),0,VLOOKUP($A676,'Mutasi Neraca'!$A$3:$S$910,17,FALSE))</f>
        <v>-72403000</v>
      </c>
      <c r="S676" s="42">
        <f t="shared" si="63"/>
        <v>9544780246</v>
      </c>
    </row>
    <row r="677" spans="1:19">
      <c r="A677" s="41" t="s">
        <v>684</v>
      </c>
      <c r="B677" s="41" t="str">
        <f t="shared" si="62"/>
        <v>005012300</v>
      </c>
      <c r="D677" s="42">
        <f>VLOOKUP($A677,'Neraca Unaudited SIMAK'!$A$2:$R$1272,3,FALSE)+IF(ISNA(VLOOKUP($A677,'Mutasi Neraca'!$A$3:$S$910,3,FALSE)),0,VLOOKUP($A677,'Mutasi Neraca'!$A$3:$S$910,3,FALSE))</f>
        <v>4508778</v>
      </c>
      <c r="E677" s="42">
        <f>VLOOKUP($A677,'Neraca Unaudited SIMAK'!$A$2:$R$1272,4,FALSE)+IF(ISNA(VLOOKUP($A677,'Mutasi Neraca'!$A$3:$S$910,4,FALSE)),0,VLOOKUP($A677,'Mutasi Neraca'!$A$3:$S$910,4,FALSE))</f>
        <v>4987141000</v>
      </c>
      <c r="F677" s="42">
        <f>VLOOKUP($A677,'Neraca Unaudited SIMAK'!$A$2:$R$1272,5,FALSE)+IF(ISNA(VLOOKUP($A677,'Mutasi Neraca'!$A$3:$S$910,5,FALSE)),0,VLOOKUP($A677,'Mutasi Neraca'!$A$3:$S$910,5,FALSE))</f>
        <v>2559901734</v>
      </c>
      <c r="G677" s="42">
        <f>VLOOKUP($A677,'Neraca Unaudited SIMAK'!$A$2:$R$1272,6,FALSE)+IF(ISNA(VLOOKUP($A677,'Mutasi Neraca'!$A$3:$S$910,6,FALSE)),0,VLOOKUP($A677,'Mutasi Neraca'!$A$3:$S$910,6,FALSE))</f>
        <v>11820354100</v>
      </c>
      <c r="H677" s="42">
        <f>VLOOKUP($A677,'Neraca Unaudited SIMAK'!$A$2:$R$1272,7,FALSE)+IF(ISNA(VLOOKUP($A677,'Mutasi Neraca'!$A$3:$S$910,7,FALSE)),0,VLOOKUP($A677,'Mutasi Neraca'!$A$3:$S$910,7,FALSE))</f>
        <v>245199500</v>
      </c>
      <c r="I677" s="42">
        <f>VLOOKUP($A677,'Neraca Unaudited SIMAK'!$A$2:$R$1272,8,FALSE)+IF(ISNA(VLOOKUP($A677,'Mutasi Neraca'!$A$3:$S$910,8,FALSE)),0,VLOOKUP($A677,'Mutasi Neraca'!$A$3:$S$910,8,FALSE))</f>
        <v>11281840</v>
      </c>
      <c r="J677" s="42">
        <f>VLOOKUP($A677,'Neraca Unaudited SIMAK'!$A$2:$R$1272,9,FALSE)+IF(ISNA(VLOOKUP($A677,'Mutasi Neraca'!$A$3:$S$910,9,FALSE)),0,VLOOKUP($A677,'Mutasi Neraca'!$A$3:$S$910,9,FALSE))</f>
        <v>0</v>
      </c>
      <c r="K677" s="42">
        <f>VLOOKUP($A677,'Neraca Unaudited SIMAK'!$A$2:$R$1272,10,FALSE)+IF(ISNA(VLOOKUP($A677,'Mutasi Neraca'!$A$3:$S$910,10,FALSE)),0,VLOOKUP($A677,'Mutasi Neraca'!$A$3:$S$910,10,FALSE))</f>
        <v>14080000</v>
      </c>
      <c r="L677" s="42">
        <f>VLOOKUP($A677,'Neraca Unaudited SIMAK'!$A$2:$R$1272,11,FALSE)+IF(ISNA(VLOOKUP($A677,'Mutasi Neraca'!$A$3:$S$910,11,FALSE)),0,VLOOKUP($A677,'Mutasi Neraca'!$A$3:$S$910,11,FALSE))</f>
        <v>301566000</v>
      </c>
      <c r="M677" s="42">
        <f>VLOOKUP($A677,'Neraca Unaudited SIMAK'!$A$2:$R$1272,12,FALSE)+IF(ISNA(VLOOKUP($A677,'Mutasi Neraca'!$A$3:$S$910,12,FALSE)),0,VLOOKUP($A677,'Mutasi Neraca'!$A$3:$S$910,12,FALSE))</f>
        <v>19944032952</v>
      </c>
      <c r="N677" s="42">
        <f>VLOOKUP($A677,'Neraca Unaudited SIMAK'!$A$2:$R$1272,13,FALSE)+IF(ISNA(VLOOKUP($A677,'Mutasi Neraca'!$A$3:$S$910,13,FALSE)),0,VLOOKUP($A677,'Mutasi Neraca'!$A$3:$S$910,13,FALSE))</f>
        <v>-1756535623</v>
      </c>
      <c r="O677" s="42">
        <f>VLOOKUP($A677,'Neraca Unaudited SIMAK'!$A$2:$R$1272,14,FALSE)+IF(ISNA(VLOOKUP($A677,'Mutasi Neraca'!$A$3:$S$910,14,FALSE)),0,VLOOKUP($A677,'Mutasi Neraca'!$A$3:$S$910,14,FALSE))</f>
        <v>-1137601395</v>
      </c>
      <c r="P677" s="42">
        <f>VLOOKUP($A677,'Neraca Unaudited SIMAK'!$A$2:$R$1272,15,FALSE)+IF(ISNA(VLOOKUP($A677,'Mutasi Neraca'!$A$3:$S$910,15,FALSE)),0,VLOOKUP($A677,'Mutasi Neraca'!$A$3:$S$910,15,FALSE))</f>
        <v>-5386177</v>
      </c>
      <c r="Q677" s="42">
        <f>VLOOKUP($A677,'Neraca Unaudited SIMAK'!$A$2:$R$1272,16,FALSE)+IF(ISNA(VLOOKUP($A677,'Mutasi Neraca'!$A$3:$S$910,16,FALSE)),0,VLOOKUP($A677,'Mutasi Neraca'!$A$3:$S$910,16,FALSE))</f>
        <v>0</v>
      </c>
      <c r="R677" s="42">
        <f>VLOOKUP($A677,'Neraca Unaudited SIMAK'!$A$2:$R$1272,17,FALSE)+IF(ISNA(VLOOKUP($A677,'Mutasi Neraca'!$A$3:$S$910,17,FALSE)),0,VLOOKUP($A677,'Mutasi Neraca'!$A$3:$S$910,17,FALSE))</f>
        <v>-301566000</v>
      </c>
      <c r="S677" s="42">
        <f t="shared" si="63"/>
        <v>16742943757</v>
      </c>
    </row>
    <row r="678" spans="1:19">
      <c r="A678" s="41" t="s">
        <v>685</v>
      </c>
      <c r="B678" s="41" t="str">
        <f t="shared" si="62"/>
        <v>005012300</v>
      </c>
      <c r="D678" s="42">
        <f>VLOOKUP($A678,'Neraca Unaudited SIMAK'!$A$2:$R$1272,3,FALSE)+IF(ISNA(VLOOKUP($A678,'Mutasi Neraca'!$A$3:$S$910,3,FALSE)),0,VLOOKUP($A678,'Mutasi Neraca'!$A$3:$S$910,3,FALSE))</f>
        <v>5946750</v>
      </c>
      <c r="E678" s="42">
        <f>VLOOKUP($A678,'Neraca Unaudited SIMAK'!$A$2:$R$1272,4,FALSE)+IF(ISNA(VLOOKUP($A678,'Mutasi Neraca'!$A$3:$S$910,4,FALSE)),0,VLOOKUP($A678,'Mutasi Neraca'!$A$3:$S$910,4,FALSE))</f>
        <v>1250000000</v>
      </c>
      <c r="F678" s="42">
        <f>VLOOKUP($A678,'Neraca Unaudited SIMAK'!$A$2:$R$1272,5,FALSE)+IF(ISNA(VLOOKUP($A678,'Mutasi Neraca'!$A$3:$S$910,5,FALSE)),0,VLOOKUP($A678,'Mutasi Neraca'!$A$3:$S$910,5,FALSE))</f>
        <v>2561553185</v>
      </c>
      <c r="G678" s="42">
        <f>VLOOKUP($A678,'Neraca Unaudited SIMAK'!$A$2:$R$1272,6,FALSE)+IF(ISNA(VLOOKUP($A678,'Mutasi Neraca'!$A$3:$S$910,6,FALSE)),0,VLOOKUP($A678,'Mutasi Neraca'!$A$3:$S$910,6,FALSE))</f>
        <v>7142900000</v>
      </c>
      <c r="H678" s="42">
        <f>VLOOKUP($A678,'Neraca Unaudited SIMAK'!$A$2:$R$1272,7,FALSE)+IF(ISNA(VLOOKUP($A678,'Mutasi Neraca'!$A$3:$S$910,7,FALSE)),0,VLOOKUP($A678,'Mutasi Neraca'!$A$3:$S$910,7,FALSE))</f>
        <v>74995000</v>
      </c>
      <c r="I678" s="42">
        <f>VLOOKUP($A678,'Neraca Unaudited SIMAK'!$A$2:$R$1272,8,FALSE)+IF(ISNA(VLOOKUP($A678,'Mutasi Neraca'!$A$3:$S$910,8,FALSE)),0,VLOOKUP($A678,'Mutasi Neraca'!$A$3:$S$910,8,FALSE))</f>
        <v>12580420</v>
      </c>
      <c r="J678" s="42">
        <f>VLOOKUP($A678,'Neraca Unaudited SIMAK'!$A$2:$R$1272,9,FALSE)+IF(ISNA(VLOOKUP($A678,'Mutasi Neraca'!$A$3:$S$910,9,FALSE)),0,VLOOKUP($A678,'Mutasi Neraca'!$A$3:$S$910,9,FALSE))</f>
        <v>0</v>
      </c>
      <c r="K678" s="42">
        <f>VLOOKUP($A678,'Neraca Unaudited SIMAK'!$A$2:$R$1272,10,FALSE)+IF(ISNA(VLOOKUP($A678,'Mutasi Neraca'!$A$3:$S$910,10,FALSE)),0,VLOOKUP($A678,'Mutasi Neraca'!$A$3:$S$910,10,FALSE))</f>
        <v>0</v>
      </c>
      <c r="L678" s="42">
        <f>VLOOKUP($A678,'Neraca Unaudited SIMAK'!$A$2:$R$1272,11,FALSE)+IF(ISNA(VLOOKUP($A678,'Mutasi Neraca'!$A$3:$S$910,11,FALSE)),0,VLOOKUP($A678,'Mutasi Neraca'!$A$3:$S$910,11,FALSE))</f>
        <v>3150000</v>
      </c>
      <c r="M678" s="42">
        <f>VLOOKUP($A678,'Neraca Unaudited SIMAK'!$A$2:$R$1272,12,FALSE)+IF(ISNA(VLOOKUP($A678,'Mutasi Neraca'!$A$3:$S$910,12,FALSE)),0,VLOOKUP($A678,'Mutasi Neraca'!$A$3:$S$910,12,FALSE))</f>
        <v>11051125355</v>
      </c>
      <c r="N678" s="42">
        <f>VLOOKUP($A678,'Neraca Unaudited SIMAK'!$A$2:$R$1272,13,FALSE)+IF(ISNA(VLOOKUP($A678,'Mutasi Neraca'!$A$3:$S$910,13,FALSE)),0,VLOOKUP($A678,'Mutasi Neraca'!$A$3:$S$910,13,FALSE))</f>
        <v>-2306153950</v>
      </c>
      <c r="O678" s="42">
        <f>VLOOKUP($A678,'Neraca Unaudited SIMAK'!$A$2:$R$1272,14,FALSE)+IF(ISNA(VLOOKUP($A678,'Mutasi Neraca'!$A$3:$S$910,14,FALSE)),0,VLOOKUP($A678,'Mutasi Neraca'!$A$3:$S$910,14,FALSE))</f>
        <v>-1142058245</v>
      </c>
      <c r="P678" s="42">
        <f>VLOOKUP($A678,'Neraca Unaudited SIMAK'!$A$2:$R$1272,15,FALSE)+IF(ISNA(VLOOKUP($A678,'Mutasi Neraca'!$A$3:$S$910,15,FALSE)),0,VLOOKUP($A678,'Mutasi Neraca'!$A$3:$S$910,15,FALSE))</f>
        <v>-10311750</v>
      </c>
      <c r="Q678" s="42">
        <f>VLOOKUP($A678,'Neraca Unaudited SIMAK'!$A$2:$R$1272,16,FALSE)+IF(ISNA(VLOOKUP($A678,'Mutasi Neraca'!$A$3:$S$910,16,FALSE)),0,VLOOKUP($A678,'Mutasi Neraca'!$A$3:$S$910,16,FALSE))</f>
        <v>0</v>
      </c>
      <c r="R678" s="42">
        <f>VLOOKUP($A678,'Neraca Unaudited SIMAK'!$A$2:$R$1272,17,FALSE)+IF(ISNA(VLOOKUP($A678,'Mutasi Neraca'!$A$3:$S$910,17,FALSE)),0,VLOOKUP($A678,'Mutasi Neraca'!$A$3:$S$910,17,FALSE))</f>
        <v>-3150000</v>
      </c>
      <c r="S678" s="42">
        <f t="shared" si="63"/>
        <v>7589451410</v>
      </c>
    </row>
    <row r="679" spans="1:19">
      <c r="A679" s="41" t="s">
        <v>686</v>
      </c>
      <c r="B679" s="41" t="str">
        <f t="shared" si="62"/>
        <v>005012300</v>
      </c>
      <c r="D679" s="42">
        <f>VLOOKUP($A679,'Neraca Unaudited SIMAK'!$A$2:$R$1272,3,FALSE)+IF(ISNA(VLOOKUP($A679,'Mutasi Neraca'!$A$3:$S$910,3,FALSE)),0,VLOOKUP($A679,'Mutasi Neraca'!$A$3:$S$910,3,FALSE))</f>
        <v>8026750</v>
      </c>
      <c r="E679" s="42">
        <f>VLOOKUP($A679,'Neraca Unaudited SIMAK'!$A$2:$R$1272,4,FALSE)+IF(ISNA(VLOOKUP($A679,'Mutasi Neraca'!$A$3:$S$910,4,FALSE)),0,VLOOKUP($A679,'Mutasi Neraca'!$A$3:$S$910,4,FALSE))</f>
        <v>1680662000</v>
      </c>
      <c r="F679" s="42">
        <f>VLOOKUP($A679,'Neraca Unaudited SIMAK'!$A$2:$R$1272,5,FALSE)+IF(ISNA(VLOOKUP($A679,'Mutasi Neraca'!$A$3:$S$910,5,FALSE)),0,VLOOKUP($A679,'Mutasi Neraca'!$A$3:$S$910,5,FALSE))</f>
        <v>1182903720</v>
      </c>
      <c r="G679" s="42">
        <f>VLOOKUP($A679,'Neraca Unaudited SIMAK'!$A$2:$R$1272,6,FALSE)+IF(ISNA(VLOOKUP($A679,'Mutasi Neraca'!$A$3:$S$910,6,FALSE)),0,VLOOKUP($A679,'Mutasi Neraca'!$A$3:$S$910,6,FALSE))</f>
        <v>4156879000</v>
      </c>
      <c r="H679" s="42">
        <f>VLOOKUP($A679,'Neraca Unaudited SIMAK'!$A$2:$R$1272,7,FALSE)+IF(ISNA(VLOOKUP($A679,'Mutasi Neraca'!$A$3:$S$910,7,FALSE)),0,VLOOKUP($A679,'Mutasi Neraca'!$A$3:$S$910,7,FALSE))</f>
        <v>0</v>
      </c>
      <c r="I679" s="42">
        <f>VLOOKUP($A679,'Neraca Unaudited SIMAK'!$A$2:$R$1272,8,FALSE)+IF(ISNA(VLOOKUP($A679,'Mutasi Neraca'!$A$3:$S$910,8,FALSE)),0,VLOOKUP($A679,'Mutasi Neraca'!$A$3:$S$910,8,FALSE))</f>
        <v>4436600</v>
      </c>
      <c r="J679" s="42">
        <f>VLOOKUP($A679,'Neraca Unaudited SIMAK'!$A$2:$R$1272,9,FALSE)+IF(ISNA(VLOOKUP($A679,'Mutasi Neraca'!$A$3:$S$910,9,FALSE)),0,VLOOKUP($A679,'Mutasi Neraca'!$A$3:$S$910,9,FALSE))</f>
        <v>3175109500</v>
      </c>
      <c r="K679" s="42">
        <f>VLOOKUP($A679,'Neraca Unaudited SIMAK'!$A$2:$R$1272,10,FALSE)+IF(ISNA(VLOOKUP($A679,'Mutasi Neraca'!$A$3:$S$910,10,FALSE)),0,VLOOKUP($A679,'Mutasi Neraca'!$A$3:$S$910,10,FALSE))</f>
        <v>0</v>
      </c>
      <c r="L679" s="42">
        <f>VLOOKUP($A679,'Neraca Unaudited SIMAK'!$A$2:$R$1272,11,FALSE)+IF(ISNA(VLOOKUP($A679,'Mutasi Neraca'!$A$3:$S$910,11,FALSE)),0,VLOOKUP($A679,'Mutasi Neraca'!$A$3:$S$910,11,FALSE))</f>
        <v>165494200</v>
      </c>
      <c r="M679" s="42">
        <f>VLOOKUP($A679,'Neraca Unaudited SIMAK'!$A$2:$R$1272,12,FALSE)+IF(ISNA(VLOOKUP($A679,'Mutasi Neraca'!$A$3:$S$910,12,FALSE)),0,VLOOKUP($A679,'Mutasi Neraca'!$A$3:$S$910,12,FALSE))</f>
        <v>10373511770</v>
      </c>
      <c r="N679" s="42">
        <f>VLOOKUP($A679,'Neraca Unaudited SIMAK'!$A$2:$R$1272,13,FALSE)+IF(ISNA(VLOOKUP($A679,'Mutasi Neraca'!$A$3:$S$910,13,FALSE)),0,VLOOKUP($A679,'Mutasi Neraca'!$A$3:$S$910,13,FALSE))</f>
        <v>-960603600</v>
      </c>
      <c r="O679" s="42">
        <f>VLOOKUP($A679,'Neraca Unaudited SIMAK'!$A$2:$R$1272,14,FALSE)+IF(ISNA(VLOOKUP($A679,'Mutasi Neraca'!$A$3:$S$910,14,FALSE)),0,VLOOKUP($A679,'Mutasi Neraca'!$A$3:$S$910,14,FALSE))</f>
        <v>-803180230</v>
      </c>
      <c r="P679" s="42">
        <f>VLOOKUP($A679,'Neraca Unaudited SIMAK'!$A$2:$R$1272,15,FALSE)+IF(ISNA(VLOOKUP($A679,'Mutasi Neraca'!$A$3:$S$910,15,FALSE)),0,VLOOKUP($A679,'Mutasi Neraca'!$A$3:$S$910,15,FALSE))</f>
        <v>0</v>
      </c>
      <c r="Q679" s="42">
        <f>VLOOKUP($A679,'Neraca Unaudited SIMAK'!$A$2:$R$1272,16,FALSE)+IF(ISNA(VLOOKUP($A679,'Mutasi Neraca'!$A$3:$S$910,16,FALSE)),0,VLOOKUP($A679,'Mutasi Neraca'!$A$3:$S$910,16,FALSE))</f>
        <v>0</v>
      </c>
      <c r="R679" s="42">
        <f>VLOOKUP($A679,'Neraca Unaudited SIMAK'!$A$2:$R$1272,17,FALSE)+IF(ISNA(VLOOKUP($A679,'Mutasi Neraca'!$A$3:$S$910,17,FALSE)),0,VLOOKUP($A679,'Mutasi Neraca'!$A$3:$S$910,17,FALSE))</f>
        <v>-140881200</v>
      </c>
      <c r="S679" s="42">
        <f t="shared" si="63"/>
        <v>8468846740</v>
      </c>
    </row>
    <row r="680" spans="1:19">
      <c r="A680" s="41" t="s">
        <v>687</v>
      </c>
      <c r="B680" s="41" t="str">
        <f t="shared" si="62"/>
        <v>005012300</v>
      </c>
      <c r="D680" s="42">
        <f>VLOOKUP($A680,'Neraca Unaudited SIMAK'!$A$2:$R$1272,3,FALSE)+IF(ISNA(VLOOKUP($A680,'Mutasi Neraca'!$A$3:$S$910,3,FALSE)),0,VLOOKUP($A680,'Mutasi Neraca'!$A$3:$S$910,3,FALSE))</f>
        <v>14119000</v>
      </c>
      <c r="E680" s="42">
        <f>VLOOKUP($A680,'Neraca Unaudited SIMAK'!$A$2:$R$1272,4,FALSE)+IF(ISNA(VLOOKUP($A680,'Mutasi Neraca'!$A$3:$S$910,4,FALSE)),0,VLOOKUP($A680,'Mutasi Neraca'!$A$3:$S$910,4,FALSE))</f>
        <v>783625000</v>
      </c>
      <c r="F680" s="42">
        <f>VLOOKUP($A680,'Neraca Unaudited SIMAK'!$A$2:$R$1272,5,FALSE)+IF(ISNA(VLOOKUP($A680,'Mutasi Neraca'!$A$3:$S$910,5,FALSE)),0,VLOOKUP($A680,'Mutasi Neraca'!$A$3:$S$910,5,FALSE))</f>
        <v>2337004034</v>
      </c>
      <c r="G680" s="42">
        <f>VLOOKUP($A680,'Neraca Unaudited SIMAK'!$A$2:$R$1272,6,FALSE)+IF(ISNA(VLOOKUP($A680,'Mutasi Neraca'!$A$3:$S$910,6,FALSE)),0,VLOOKUP($A680,'Mutasi Neraca'!$A$3:$S$910,6,FALSE))</f>
        <v>3345785000</v>
      </c>
      <c r="H680" s="42">
        <f>VLOOKUP($A680,'Neraca Unaudited SIMAK'!$A$2:$R$1272,7,FALSE)+IF(ISNA(VLOOKUP($A680,'Mutasi Neraca'!$A$3:$S$910,7,FALSE)),0,VLOOKUP($A680,'Mutasi Neraca'!$A$3:$S$910,7,FALSE))</f>
        <v>81452800</v>
      </c>
      <c r="I680" s="42">
        <f>VLOOKUP($A680,'Neraca Unaudited SIMAK'!$A$2:$R$1272,8,FALSE)+IF(ISNA(VLOOKUP($A680,'Mutasi Neraca'!$A$3:$S$910,8,FALSE)),0,VLOOKUP($A680,'Mutasi Neraca'!$A$3:$S$910,8,FALSE))</f>
        <v>38141596</v>
      </c>
      <c r="J680" s="42">
        <f>VLOOKUP($A680,'Neraca Unaudited SIMAK'!$A$2:$R$1272,9,FALSE)+IF(ISNA(VLOOKUP($A680,'Mutasi Neraca'!$A$3:$S$910,9,FALSE)),0,VLOOKUP($A680,'Mutasi Neraca'!$A$3:$S$910,9,FALSE))</f>
        <v>0</v>
      </c>
      <c r="K680" s="42">
        <f>VLOOKUP($A680,'Neraca Unaudited SIMAK'!$A$2:$R$1272,10,FALSE)+IF(ISNA(VLOOKUP($A680,'Mutasi Neraca'!$A$3:$S$910,10,FALSE)),0,VLOOKUP($A680,'Mutasi Neraca'!$A$3:$S$910,10,FALSE))</f>
        <v>18815000</v>
      </c>
      <c r="L680" s="42">
        <f>VLOOKUP($A680,'Neraca Unaudited SIMAK'!$A$2:$R$1272,11,FALSE)+IF(ISNA(VLOOKUP($A680,'Mutasi Neraca'!$A$3:$S$910,11,FALSE)),0,VLOOKUP($A680,'Mutasi Neraca'!$A$3:$S$910,11,FALSE))</f>
        <v>15100000</v>
      </c>
      <c r="M680" s="42">
        <f>VLOOKUP($A680,'Neraca Unaudited SIMAK'!$A$2:$R$1272,12,FALSE)+IF(ISNA(VLOOKUP($A680,'Mutasi Neraca'!$A$3:$S$910,12,FALSE)),0,VLOOKUP($A680,'Mutasi Neraca'!$A$3:$S$910,12,FALSE))</f>
        <v>6634042430</v>
      </c>
      <c r="N680" s="42">
        <f>VLOOKUP($A680,'Neraca Unaudited SIMAK'!$A$2:$R$1272,13,FALSE)+IF(ISNA(VLOOKUP($A680,'Mutasi Neraca'!$A$3:$S$910,13,FALSE)),0,VLOOKUP($A680,'Mutasi Neraca'!$A$3:$S$910,13,FALSE))</f>
        <v>-1686436476</v>
      </c>
      <c r="O680" s="42">
        <f>VLOOKUP($A680,'Neraca Unaudited SIMAK'!$A$2:$R$1272,14,FALSE)+IF(ISNA(VLOOKUP($A680,'Mutasi Neraca'!$A$3:$S$910,14,FALSE)),0,VLOOKUP($A680,'Mutasi Neraca'!$A$3:$S$910,14,FALSE))</f>
        <v>-530330700</v>
      </c>
      <c r="P680" s="42">
        <f>VLOOKUP($A680,'Neraca Unaudited SIMAK'!$A$2:$R$1272,15,FALSE)+IF(ISNA(VLOOKUP($A680,'Mutasi Neraca'!$A$3:$S$910,15,FALSE)),0,VLOOKUP($A680,'Mutasi Neraca'!$A$3:$S$910,15,FALSE))</f>
        <v>-14287710</v>
      </c>
      <c r="Q680" s="42">
        <f>VLOOKUP($A680,'Neraca Unaudited SIMAK'!$A$2:$R$1272,16,FALSE)+IF(ISNA(VLOOKUP($A680,'Mutasi Neraca'!$A$3:$S$910,16,FALSE)),0,VLOOKUP($A680,'Mutasi Neraca'!$A$3:$S$910,16,FALSE))</f>
        <v>0</v>
      </c>
      <c r="R680" s="42">
        <f>VLOOKUP($A680,'Neraca Unaudited SIMAK'!$A$2:$R$1272,17,FALSE)+IF(ISNA(VLOOKUP($A680,'Mutasi Neraca'!$A$3:$S$910,17,FALSE)),0,VLOOKUP($A680,'Mutasi Neraca'!$A$3:$S$910,17,FALSE))</f>
        <v>-15100000</v>
      </c>
      <c r="S680" s="42">
        <f t="shared" si="63"/>
        <v>4387887544</v>
      </c>
    </row>
    <row r="681" spans="1:19">
      <c r="A681" s="41" t="s">
        <v>688</v>
      </c>
      <c r="B681" s="41" t="str">
        <f t="shared" si="62"/>
        <v>005012300</v>
      </c>
      <c r="D681" s="42">
        <f>VLOOKUP($A681,'Neraca Unaudited SIMAK'!$A$2:$R$1272,3,FALSE)+IF(ISNA(VLOOKUP($A681,'Mutasi Neraca'!$A$3:$S$910,3,FALSE)),0,VLOOKUP($A681,'Mutasi Neraca'!$A$3:$S$910,3,FALSE))</f>
        <v>3518800</v>
      </c>
      <c r="E681" s="42">
        <f>VLOOKUP($A681,'Neraca Unaudited SIMAK'!$A$2:$R$1272,4,FALSE)+IF(ISNA(VLOOKUP($A681,'Mutasi Neraca'!$A$3:$S$910,4,FALSE)),0,VLOOKUP($A681,'Mutasi Neraca'!$A$3:$S$910,4,FALSE))</f>
        <v>1764811102</v>
      </c>
      <c r="F681" s="42">
        <f>VLOOKUP($A681,'Neraca Unaudited SIMAK'!$A$2:$R$1272,5,FALSE)+IF(ISNA(VLOOKUP($A681,'Mutasi Neraca'!$A$3:$S$910,5,FALSE)),0,VLOOKUP($A681,'Mutasi Neraca'!$A$3:$S$910,5,FALSE))</f>
        <v>2477093611</v>
      </c>
      <c r="G681" s="42">
        <f>VLOOKUP($A681,'Neraca Unaudited SIMAK'!$A$2:$R$1272,6,FALSE)+IF(ISNA(VLOOKUP($A681,'Mutasi Neraca'!$A$3:$S$910,6,FALSE)),0,VLOOKUP($A681,'Mutasi Neraca'!$A$3:$S$910,6,FALSE))</f>
        <v>7799897800</v>
      </c>
      <c r="H681" s="42">
        <f>VLOOKUP($A681,'Neraca Unaudited SIMAK'!$A$2:$R$1272,7,FALSE)+IF(ISNA(VLOOKUP($A681,'Mutasi Neraca'!$A$3:$S$910,7,FALSE)),0,VLOOKUP($A681,'Mutasi Neraca'!$A$3:$S$910,7,FALSE))</f>
        <v>26500000</v>
      </c>
      <c r="I681" s="42">
        <f>VLOOKUP($A681,'Neraca Unaudited SIMAK'!$A$2:$R$1272,8,FALSE)+IF(ISNA(VLOOKUP($A681,'Mutasi Neraca'!$A$3:$S$910,8,FALSE)),0,VLOOKUP($A681,'Mutasi Neraca'!$A$3:$S$910,8,FALSE))</f>
        <v>48365200</v>
      </c>
      <c r="J681" s="42">
        <f>VLOOKUP($A681,'Neraca Unaudited SIMAK'!$A$2:$R$1272,9,FALSE)+IF(ISNA(VLOOKUP($A681,'Mutasi Neraca'!$A$3:$S$910,9,FALSE)),0,VLOOKUP($A681,'Mutasi Neraca'!$A$3:$S$910,9,FALSE))</f>
        <v>0</v>
      </c>
      <c r="K681" s="42">
        <f>VLOOKUP($A681,'Neraca Unaudited SIMAK'!$A$2:$R$1272,10,FALSE)+IF(ISNA(VLOOKUP($A681,'Mutasi Neraca'!$A$3:$S$910,10,FALSE)),0,VLOOKUP($A681,'Mutasi Neraca'!$A$3:$S$910,10,FALSE))</f>
        <v>15000000</v>
      </c>
      <c r="L681" s="42">
        <f>VLOOKUP($A681,'Neraca Unaudited SIMAK'!$A$2:$R$1272,11,FALSE)+IF(ISNA(VLOOKUP($A681,'Mutasi Neraca'!$A$3:$S$910,11,FALSE)),0,VLOOKUP($A681,'Mutasi Neraca'!$A$3:$S$910,11,FALSE))</f>
        <v>0</v>
      </c>
      <c r="M681" s="42">
        <f>VLOOKUP($A681,'Neraca Unaudited SIMAK'!$A$2:$R$1272,12,FALSE)+IF(ISNA(VLOOKUP($A681,'Mutasi Neraca'!$A$3:$S$910,12,FALSE)),0,VLOOKUP($A681,'Mutasi Neraca'!$A$3:$S$910,12,FALSE))</f>
        <v>12135186513</v>
      </c>
      <c r="N681" s="42">
        <f>VLOOKUP($A681,'Neraca Unaudited SIMAK'!$A$2:$R$1272,13,FALSE)+IF(ISNA(VLOOKUP($A681,'Mutasi Neraca'!$A$3:$S$910,13,FALSE)),0,VLOOKUP($A681,'Mutasi Neraca'!$A$3:$S$910,13,FALSE))</f>
        <v>-1818791139</v>
      </c>
      <c r="O681" s="42">
        <f>VLOOKUP($A681,'Neraca Unaudited SIMAK'!$A$2:$R$1272,14,FALSE)+IF(ISNA(VLOOKUP($A681,'Mutasi Neraca'!$A$3:$S$910,14,FALSE)),0,VLOOKUP($A681,'Mutasi Neraca'!$A$3:$S$910,14,FALSE))</f>
        <v>-745071589</v>
      </c>
      <c r="P681" s="42">
        <f>VLOOKUP($A681,'Neraca Unaudited SIMAK'!$A$2:$R$1272,15,FALSE)+IF(ISNA(VLOOKUP($A681,'Mutasi Neraca'!$A$3:$S$910,15,FALSE)),0,VLOOKUP($A681,'Mutasi Neraca'!$A$3:$S$910,15,FALSE))</f>
        <v>-4637500</v>
      </c>
      <c r="Q681" s="42">
        <f>VLOOKUP($A681,'Neraca Unaudited SIMAK'!$A$2:$R$1272,16,FALSE)+IF(ISNA(VLOOKUP($A681,'Mutasi Neraca'!$A$3:$S$910,16,FALSE)),0,VLOOKUP($A681,'Mutasi Neraca'!$A$3:$S$910,16,FALSE))</f>
        <v>0</v>
      </c>
      <c r="R681" s="42">
        <f>VLOOKUP($A681,'Neraca Unaudited SIMAK'!$A$2:$R$1272,17,FALSE)+IF(ISNA(VLOOKUP($A681,'Mutasi Neraca'!$A$3:$S$910,17,FALSE)),0,VLOOKUP($A681,'Mutasi Neraca'!$A$3:$S$910,17,FALSE))</f>
        <v>0</v>
      </c>
      <c r="S681" s="42">
        <f t="shared" si="63"/>
        <v>9566686285</v>
      </c>
    </row>
    <row r="682" spans="1:19">
      <c r="A682" s="41" t="s">
        <v>689</v>
      </c>
      <c r="B682" s="41" t="str">
        <f t="shared" si="62"/>
        <v>005012300</v>
      </c>
      <c r="D682" s="42">
        <f>VLOOKUP($A682,'Neraca Unaudited SIMAK'!$A$2:$R$1272,3,FALSE)+IF(ISNA(VLOOKUP($A682,'Mutasi Neraca'!$A$3:$S$910,3,FALSE)),0,VLOOKUP($A682,'Mutasi Neraca'!$A$3:$S$910,3,FALSE))</f>
        <v>275000</v>
      </c>
      <c r="E682" s="42">
        <f>VLOOKUP($A682,'Neraca Unaudited SIMAK'!$A$2:$R$1272,4,FALSE)+IF(ISNA(VLOOKUP($A682,'Mutasi Neraca'!$A$3:$S$910,4,FALSE)),0,VLOOKUP($A682,'Mutasi Neraca'!$A$3:$S$910,4,FALSE))</f>
        <v>582760000</v>
      </c>
      <c r="F682" s="42">
        <f>VLOOKUP($A682,'Neraca Unaudited SIMAK'!$A$2:$R$1272,5,FALSE)+IF(ISNA(VLOOKUP($A682,'Mutasi Neraca'!$A$3:$S$910,5,FALSE)),0,VLOOKUP($A682,'Mutasi Neraca'!$A$3:$S$910,5,FALSE))</f>
        <v>1963992942</v>
      </c>
      <c r="G682" s="42">
        <f>VLOOKUP($A682,'Neraca Unaudited SIMAK'!$A$2:$R$1272,6,FALSE)+IF(ISNA(VLOOKUP($A682,'Mutasi Neraca'!$A$3:$S$910,6,FALSE)),0,VLOOKUP($A682,'Mutasi Neraca'!$A$3:$S$910,6,FALSE))</f>
        <v>4342408040</v>
      </c>
      <c r="H682" s="42">
        <f>VLOOKUP($A682,'Neraca Unaudited SIMAK'!$A$2:$R$1272,7,FALSE)+IF(ISNA(VLOOKUP($A682,'Mutasi Neraca'!$A$3:$S$910,7,FALSE)),0,VLOOKUP($A682,'Mutasi Neraca'!$A$3:$S$910,7,FALSE))</f>
        <v>46904200</v>
      </c>
      <c r="I682" s="42">
        <f>VLOOKUP($A682,'Neraca Unaudited SIMAK'!$A$2:$R$1272,8,FALSE)+IF(ISNA(VLOOKUP($A682,'Mutasi Neraca'!$A$3:$S$910,8,FALSE)),0,VLOOKUP($A682,'Mutasi Neraca'!$A$3:$S$910,8,FALSE))</f>
        <v>4489720</v>
      </c>
      <c r="J682" s="42">
        <f>VLOOKUP($A682,'Neraca Unaudited SIMAK'!$A$2:$R$1272,9,FALSE)+IF(ISNA(VLOOKUP($A682,'Mutasi Neraca'!$A$3:$S$910,9,FALSE)),0,VLOOKUP($A682,'Mutasi Neraca'!$A$3:$S$910,9,FALSE))</f>
        <v>0</v>
      </c>
      <c r="K682" s="42">
        <f>VLOOKUP($A682,'Neraca Unaudited SIMAK'!$A$2:$R$1272,10,FALSE)+IF(ISNA(VLOOKUP($A682,'Mutasi Neraca'!$A$3:$S$910,10,FALSE)),0,VLOOKUP($A682,'Mutasi Neraca'!$A$3:$S$910,10,FALSE))</f>
        <v>12100000</v>
      </c>
      <c r="L682" s="42">
        <f>VLOOKUP($A682,'Neraca Unaudited SIMAK'!$A$2:$R$1272,11,FALSE)+IF(ISNA(VLOOKUP($A682,'Mutasi Neraca'!$A$3:$S$910,11,FALSE)),0,VLOOKUP($A682,'Mutasi Neraca'!$A$3:$S$910,11,FALSE))</f>
        <v>0</v>
      </c>
      <c r="M682" s="42">
        <f>VLOOKUP($A682,'Neraca Unaudited SIMAK'!$A$2:$R$1272,12,FALSE)+IF(ISNA(VLOOKUP($A682,'Mutasi Neraca'!$A$3:$S$910,12,FALSE)),0,VLOOKUP($A682,'Mutasi Neraca'!$A$3:$S$910,12,FALSE))</f>
        <v>6952929902</v>
      </c>
      <c r="N682" s="42">
        <f>VLOOKUP($A682,'Neraca Unaudited SIMAK'!$A$2:$R$1272,13,FALSE)+IF(ISNA(VLOOKUP($A682,'Mutasi Neraca'!$A$3:$S$910,13,FALSE)),0,VLOOKUP($A682,'Mutasi Neraca'!$A$3:$S$910,13,FALSE))</f>
        <v>-1510151749</v>
      </c>
      <c r="O682" s="42">
        <f>VLOOKUP($A682,'Neraca Unaudited SIMAK'!$A$2:$R$1272,14,FALSE)+IF(ISNA(VLOOKUP($A682,'Mutasi Neraca'!$A$3:$S$910,14,FALSE)),0,VLOOKUP($A682,'Mutasi Neraca'!$A$3:$S$910,14,FALSE))</f>
        <v>-507524228</v>
      </c>
      <c r="P682" s="42">
        <f>VLOOKUP($A682,'Neraca Unaudited SIMAK'!$A$2:$R$1272,15,FALSE)+IF(ISNA(VLOOKUP($A682,'Mutasi Neraca'!$A$3:$S$910,15,FALSE)),0,VLOOKUP($A682,'Mutasi Neraca'!$A$3:$S$910,15,FALSE))</f>
        <v>-12441470</v>
      </c>
      <c r="Q682" s="42">
        <f>VLOOKUP($A682,'Neraca Unaudited SIMAK'!$A$2:$R$1272,16,FALSE)+IF(ISNA(VLOOKUP($A682,'Mutasi Neraca'!$A$3:$S$910,16,FALSE)),0,VLOOKUP($A682,'Mutasi Neraca'!$A$3:$S$910,16,FALSE))</f>
        <v>0</v>
      </c>
      <c r="R682" s="42">
        <f>VLOOKUP($A682,'Neraca Unaudited SIMAK'!$A$2:$R$1272,17,FALSE)+IF(ISNA(VLOOKUP($A682,'Mutasi Neraca'!$A$3:$S$910,17,FALSE)),0,VLOOKUP($A682,'Mutasi Neraca'!$A$3:$S$910,17,FALSE))</f>
        <v>0</v>
      </c>
      <c r="S682" s="42">
        <f t="shared" si="63"/>
        <v>4922812455</v>
      </c>
    </row>
    <row r="683" spans="1:19">
      <c r="A683" s="41" t="s">
        <v>690</v>
      </c>
      <c r="B683" s="41" t="str">
        <f t="shared" si="62"/>
        <v>005012300</v>
      </c>
      <c r="D683" s="42">
        <f>VLOOKUP($A683,'Neraca Unaudited SIMAK'!$A$2:$R$1272,3,FALSE)+IF(ISNA(VLOOKUP($A683,'Mutasi Neraca'!$A$3:$S$910,3,FALSE)),0,VLOOKUP($A683,'Mutasi Neraca'!$A$3:$S$910,3,FALSE))</f>
        <v>3315390</v>
      </c>
      <c r="E683" s="42">
        <f>VLOOKUP($A683,'Neraca Unaudited SIMAK'!$A$2:$R$1272,4,FALSE)+IF(ISNA(VLOOKUP($A683,'Mutasi Neraca'!$A$3:$S$910,4,FALSE)),0,VLOOKUP($A683,'Mutasi Neraca'!$A$3:$S$910,4,FALSE))</f>
        <v>551000000</v>
      </c>
      <c r="F683" s="42">
        <f>VLOOKUP($A683,'Neraca Unaudited SIMAK'!$A$2:$R$1272,5,FALSE)+IF(ISNA(VLOOKUP($A683,'Mutasi Neraca'!$A$3:$S$910,5,FALSE)),0,VLOOKUP($A683,'Mutasi Neraca'!$A$3:$S$910,5,FALSE))</f>
        <v>1441923778</v>
      </c>
      <c r="G683" s="42">
        <f>VLOOKUP($A683,'Neraca Unaudited SIMAK'!$A$2:$R$1272,6,FALSE)+IF(ISNA(VLOOKUP($A683,'Mutasi Neraca'!$A$3:$S$910,6,FALSE)),0,VLOOKUP($A683,'Mutasi Neraca'!$A$3:$S$910,6,FALSE))</f>
        <v>2507679090</v>
      </c>
      <c r="H683" s="42">
        <f>VLOOKUP($A683,'Neraca Unaudited SIMAK'!$A$2:$R$1272,7,FALSE)+IF(ISNA(VLOOKUP($A683,'Mutasi Neraca'!$A$3:$S$910,7,FALSE)),0,VLOOKUP($A683,'Mutasi Neraca'!$A$3:$S$910,7,FALSE))</f>
        <v>0</v>
      </c>
      <c r="I683" s="42">
        <f>VLOOKUP($A683,'Neraca Unaudited SIMAK'!$A$2:$R$1272,8,FALSE)+IF(ISNA(VLOOKUP($A683,'Mutasi Neraca'!$A$3:$S$910,8,FALSE)),0,VLOOKUP($A683,'Mutasi Neraca'!$A$3:$S$910,8,FALSE))</f>
        <v>1851688</v>
      </c>
      <c r="J683" s="42">
        <f>VLOOKUP($A683,'Neraca Unaudited SIMAK'!$A$2:$R$1272,9,FALSE)+IF(ISNA(VLOOKUP($A683,'Mutasi Neraca'!$A$3:$S$910,9,FALSE)),0,VLOOKUP($A683,'Mutasi Neraca'!$A$3:$S$910,9,FALSE))</f>
        <v>0</v>
      </c>
      <c r="K683" s="42">
        <f>VLOOKUP($A683,'Neraca Unaudited SIMAK'!$A$2:$R$1272,10,FALSE)+IF(ISNA(VLOOKUP($A683,'Mutasi Neraca'!$A$3:$S$910,10,FALSE)),0,VLOOKUP($A683,'Mutasi Neraca'!$A$3:$S$910,10,FALSE))</f>
        <v>0</v>
      </c>
      <c r="L683" s="42">
        <f>VLOOKUP($A683,'Neraca Unaudited SIMAK'!$A$2:$R$1272,11,FALSE)+IF(ISNA(VLOOKUP($A683,'Mutasi Neraca'!$A$3:$S$910,11,FALSE)),0,VLOOKUP($A683,'Mutasi Neraca'!$A$3:$S$910,11,FALSE))</f>
        <v>0</v>
      </c>
      <c r="M683" s="42">
        <f>VLOOKUP($A683,'Neraca Unaudited SIMAK'!$A$2:$R$1272,12,FALSE)+IF(ISNA(VLOOKUP($A683,'Mutasi Neraca'!$A$3:$S$910,12,FALSE)),0,VLOOKUP($A683,'Mutasi Neraca'!$A$3:$S$910,12,FALSE))</f>
        <v>4505769946</v>
      </c>
      <c r="N683" s="42">
        <f>VLOOKUP($A683,'Neraca Unaudited SIMAK'!$A$2:$R$1272,13,FALSE)+IF(ISNA(VLOOKUP($A683,'Mutasi Neraca'!$A$3:$S$910,13,FALSE)),0,VLOOKUP($A683,'Mutasi Neraca'!$A$3:$S$910,13,FALSE))</f>
        <v>-1095501565</v>
      </c>
      <c r="O683" s="42">
        <f>VLOOKUP($A683,'Neraca Unaudited SIMAK'!$A$2:$R$1272,14,FALSE)+IF(ISNA(VLOOKUP($A683,'Mutasi Neraca'!$A$3:$S$910,14,FALSE)),0,VLOOKUP($A683,'Mutasi Neraca'!$A$3:$S$910,14,FALSE))</f>
        <v>-424365447</v>
      </c>
      <c r="P683" s="42">
        <f>VLOOKUP($A683,'Neraca Unaudited SIMAK'!$A$2:$R$1272,15,FALSE)+IF(ISNA(VLOOKUP($A683,'Mutasi Neraca'!$A$3:$S$910,15,FALSE)),0,VLOOKUP($A683,'Mutasi Neraca'!$A$3:$S$910,15,FALSE))</f>
        <v>0</v>
      </c>
      <c r="Q683" s="42">
        <f>VLOOKUP($A683,'Neraca Unaudited SIMAK'!$A$2:$R$1272,16,FALSE)+IF(ISNA(VLOOKUP($A683,'Mutasi Neraca'!$A$3:$S$910,16,FALSE)),0,VLOOKUP($A683,'Mutasi Neraca'!$A$3:$S$910,16,FALSE))</f>
        <v>0</v>
      </c>
      <c r="R683" s="42">
        <f>VLOOKUP($A683,'Neraca Unaudited SIMAK'!$A$2:$R$1272,17,FALSE)+IF(ISNA(VLOOKUP($A683,'Mutasi Neraca'!$A$3:$S$910,17,FALSE)),0,VLOOKUP($A683,'Mutasi Neraca'!$A$3:$S$910,17,FALSE))</f>
        <v>0</v>
      </c>
      <c r="S683" s="42">
        <f t="shared" si="63"/>
        <v>2985902934</v>
      </c>
    </row>
    <row r="684" spans="1:19">
      <c r="A684" s="41" t="s">
        <v>691</v>
      </c>
      <c r="B684" s="41" t="str">
        <f t="shared" si="62"/>
        <v>005012300</v>
      </c>
      <c r="D684" s="42">
        <f>VLOOKUP($A684,'Neraca Unaudited SIMAK'!$A$2:$R$1272,3,FALSE)+IF(ISNA(VLOOKUP($A684,'Mutasi Neraca'!$A$3:$S$910,3,FALSE)),0,VLOOKUP($A684,'Mutasi Neraca'!$A$3:$S$910,3,FALSE))</f>
        <v>39537932</v>
      </c>
      <c r="E684" s="42">
        <f>VLOOKUP($A684,'Neraca Unaudited SIMAK'!$A$2:$R$1272,4,FALSE)+IF(ISNA(VLOOKUP($A684,'Mutasi Neraca'!$A$3:$S$910,4,FALSE)),0,VLOOKUP($A684,'Mutasi Neraca'!$A$3:$S$910,4,FALSE))</f>
        <v>11253020000</v>
      </c>
      <c r="F684" s="42">
        <f>VLOOKUP($A684,'Neraca Unaudited SIMAK'!$A$2:$R$1272,5,FALSE)+IF(ISNA(VLOOKUP($A684,'Mutasi Neraca'!$A$3:$S$910,5,FALSE)),0,VLOOKUP($A684,'Mutasi Neraca'!$A$3:$S$910,5,FALSE))</f>
        <v>3963752836</v>
      </c>
      <c r="G684" s="42">
        <f>VLOOKUP($A684,'Neraca Unaudited SIMAK'!$A$2:$R$1272,6,FALSE)+IF(ISNA(VLOOKUP($A684,'Mutasi Neraca'!$A$3:$S$910,6,FALSE)),0,VLOOKUP($A684,'Mutasi Neraca'!$A$3:$S$910,6,FALSE))</f>
        <v>8857244161</v>
      </c>
      <c r="H684" s="42">
        <f>VLOOKUP($A684,'Neraca Unaudited SIMAK'!$A$2:$R$1272,7,FALSE)+IF(ISNA(VLOOKUP($A684,'Mutasi Neraca'!$A$3:$S$910,7,FALSE)),0,VLOOKUP($A684,'Mutasi Neraca'!$A$3:$S$910,7,FALSE))</f>
        <v>29903500</v>
      </c>
      <c r="I684" s="42">
        <f>VLOOKUP($A684,'Neraca Unaudited SIMAK'!$A$2:$R$1272,8,FALSE)+IF(ISNA(VLOOKUP($A684,'Mutasi Neraca'!$A$3:$S$910,8,FALSE)),0,VLOOKUP($A684,'Mutasi Neraca'!$A$3:$S$910,8,FALSE))</f>
        <v>9624118</v>
      </c>
      <c r="J684" s="42">
        <f>VLOOKUP($A684,'Neraca Unaudited SIMAK'!$A$2:$R$1272,9,FALSE)+IF(ISNA(VLOOKUP($A684,'Mutasi Neraca'!$A$3:$S$910,9,FALSE)),0,VLOOKUP($A684,'Mutasi Neraca'!$A$3:$S$910,9,FALSE))</f>
        <v>0</v>
      </c>
      <c r="K684" s="42">
        <f>VLOOKUP($A684,'Neraca Unaudited SIMAK'!$A$2:$R$1272,10,FALSE)+IF(ISNA(VLOOKUP($A684,'Mutasi Neraca'!$A$3:$S$910,10,FALSE)),0,VLOOKUP($A684,'Mutasi Neraca'!$A$3:$S$910,10,FALSE))</f>
        <v>291920000</v>
      </c>
      <c r="L684" s="42">
        <f>VLOOKUP($A684,'Neraca Unaudited SIMAK'!$A$2:$R$1272,11,FALSE)+IF(ISNA(VLOOKUP($A684,'Mutasi Neraca'!$A$3:$S$910,11,FALSE)),0,VLOOKUP($A684,'Mutasi Neraca'!$A$3:$S$910,11,FALSE))</f>
        <v>17695000</v>
      </c>
      <c r="M684" s="42">
        <f>VLOOKUP($A684,'Neraca Unaudited SIMAK'!$A$2:$R$1272,12,FALSE)+IF(ISNA(VLOOKUP($A684,'Mutasi Neraca'!$A$3:$S$910,12,FALSE)),0,VLOOKUP($A684,'Mutasi Neraca'!$A$3:$S$910,12,FALSE))</f>
        <v>24462697547</v>
      </c>
      <c r="N684" s="42">
        <f>VLOOKUP($A684,'Neraca Unaudited SIMAK'!$A$2:$R$1272,13,FALSE)+IF(ISNA(VLOOKUP($A684,'Mutasi Neraca'!$A$3:$S$910,13,FALSE)),0,VLOOKUP($A684,'Mutasi Neraca'!$A$3:$S$910,13,FALSE))</f>
        <v>-3292682723</v>
      </c>
      <c r="O684" s="42">
        <f>VLOOKUP($A684,'Neraca Unaudited SIMAK'!$A$2:$R$1272,14,FALSE)+IF(ISNA(VLOOKUP($A684,'Mutasi Neraca'!$A$3:$S$910,14,FALSE)),0,VLOOKUP($A684,'Mutasi Neraca'!$A$3:$S$910,14,FALSE))</f>
        <v>-1610026998</v>
      </c>
      <c r="P684" s="42">
        <f>VLOOKUP($A684,'Neraca Unaudited SIMAK'!$A$2:$R$1272,15,FALSE)+IF(ISNA(VLOOKUP($A684,'Mutasi Neraca'!$A$3:$S$910,15,FALSE)),0,VLOOKUP($A684,'Mutasi Neraca'!$A$3:$S$910,15,FALSE))</f>
        <v>-747588</v>
      </c>
      <c r="Q684" s="42">
        <f>VLOOKUP($A684,'Neraca Unaudited SIMAK'!$A$2:$R$1272,16,FALSE)+IF(ISNA(VLOOKUP($A684,'Mutasi Neraca'!$A$3:$S$910,16,FALSE)),0,VLOOKUP($A684,'Mutasi Neraca'!$A$3:$S$910,16,FALSE))</f>
        <v>0</v>
      </c>
      <c r="R684" s="42">
        <f>VLOOKUP($A684,'Neraca Unaudited SIMAK'!$A$2:$R$1272,17,FALSE)+IF(ISNA(VLOOKUP($A684,'Mutasi Neraca'!$A$3:$S$910,17,FALSE)),0,VLOOKUP($A684,'Mutasi Neraca'!$A$3:$S$910,17,FALSE))</f>
        <v>-17695000</v>
      </c>
      <c r="S684" s="42">
        <f t="shared" si="63"/>
        <v>19541545238</v>
      </c>
    </row>
    <row r="685" spans="1:19">
      <c r="A685" s="41" t="s">
        <v>692</v>
      </c>
      <c r="B685" s="41" t="str">
        <f t="shared" si="62"/>
        <v>005012300</v>
      </c>
      <c r="D685" s="42">
        <f>VLOOKUP($A685,'Neraca Unaudited SIMAK'!$A$2:$R$1272,3,FALSE)+IF(ISNA(VLOOKUP($A685,'Mutasi Neraca'!$A$3:$S$910,3,FALSE)),0,VLOOKUP($A685,'Mutasi Neraca'!$A$3:$S$910,3,FALSE))</f>
        <v>27587125</v>
      </c>
      <c r="E685" s="42">
        <f>VLOOKUP($A685,'Neraca Unaudited SIMAK'!$A$2:$R$1272,4,FALSE)+IF(ISNA(VLOOKUP($A685,'Mutasi Neraca'!$A$3:$S$910,4,FALSE)),0,VLOOKUP($A685,'Mutasi Neraca'!$A$3:$S$910,4,FALSE))</f>
        <v>6153014000</v>
      </c>
      <c r="F685" s="42">
        <f>VLOOKUP($A685,'Neraca Unaudited SIMAK'!$A$2:$R$1272,5,FALSE)+IF(ISNA(VLOOKUP($A685,'Mutasi Neraca'!$A$3:$S$910,5,FALSE)),0,VLOOKUP($A685,'Mutasi Neraca'!$A$3:$S$910,5,FALSE))</f>
        <v>4393875303</v>
      </c>
      <c r="G685" s="42">
        <f>VLOOKUP($A685,'Neraca Unaudited SIMAK'!$A$2:$R$1272,6,FALSE)+IF(ISNA(VLOOKUP($A685,'Mutasi Neraca'!$A$3:$S$910,6,FALSE)),0,VLOOKUP($A685,'Mutasi Neraca'!$A$3:$S$910,6,FALSE))</f>
        <v>7357234273</v>
      </c>
      <c r="H685" s="42">
        <f>VLOOKUP($A685,'Neraca Unaudited SIMAK'!$A$2:$R$1272,7,FALSE)+IF(ISNA(VLOOKUP($A685,'Mutasi Neraca'!$A$3:$S$910,7,FALSE)),0,VLOOKUP($A685,'Mutasi Neraca'!$A$3:$S$910,7,FALSE))</f>
        <v>0</v>
      </c>
      <c r="I685" s="42">
        <f>VLOOKUP($A685,'Neraca Unaudited SIMAK'!$A$2:$R$1272,8,FALSE)+IF(ISNA(VLOOKUP($A685,'Mutasi Neraca'!$A$3:$S$910,8,FALSE)),0,VLOOKUP($A685,'Mutasi Neraca'!$A$3:$S$910,8,FALSE))</f>
        <v>127028585</v>
      </c>
      <c r="J685" s="42">
        <f>VLOOKUP($A685,'Neraca Unaudited SIMAK'!$A$2:$R$1272,9,FALSE)+IF(ISNA(VLOOKUP($A685,'Mutasi Neraca'!$A$3:$S$910,9,FALSE)),0,VLOOKUP($A685,'Mutasi Neraca'!$A$3:$S$910,9,FALSE))</f>
        <v>0</v>
      </c>
      <c r="K685" s="42">
        <f>VLOOKUP($A685,'Neraca Unaudited SIMAK'!$A$2:$R$1272,10,FALSE)+IF(ISNA(VLOOKUP($A685,'Mutasi Neraca'!$A$3:$S$910,10,FALSE)),0,VLOOKUP($A685,'Mutasi Neraca'!$A$3:$S$910,10,FALSE))</f>
        <v>121003000</v>
      </c>
      <c r="L685" s="42">
        <f>VLOOKUP($A685,'Neraca Unaudited SIMAK'!$A$2:$R$1272,11,FALSE)+IF(ISNA(VLOOKUP($A685,'Mutasi Neraca'!$A$3:$S$910,11,FALSE)),0,VLOOKUP($A685,'Mutasi Neraca'!$A$3:$S$910,11,FALSE))</f>
        <v>30870000</v>
      </c>
      <c r="M685" s="42">
        <f>VLOOKUP($A685,'Neraca Unaudited SIMAK'!$A$2:$R$1272,12,FALSE)+IF(ISNA(VLOOKUP($A685,'Mutasi Neraca'!$A$3:$S$910,12,FALSE)),0,VLOOKUP($A685,'Mutasi Neraca'!$A$3:$S$910,12,FALSE))</f>
        <v>18210612286</v>
      </c>
      <c r="N685" s="42">
        <f>VLOOKUP($A685,'Neraca Unaudited SIMAK'!$A$2:$R$1272,13,FALSE)+IF(ISNA(VLOOKUP($A685,'Mutasi Neraca'!$A$3:$S$910,13,FALSE)),0,VLOOKUP($A685,'Mutasi Neraca'!$A$3:$S$910,13,FALSE))</f>
        <v>-3660544630</v>
      </c>
      <c r="O685" s="42">
        <f>VLOOKUP($A685,'Neraca Unaudited SIMAK'!$A$2:$R$1272,14,FALSE)+IF(ISNA(VLOOKUP($A685,'Mutasi Neraca'!$A$3:$S$910,14,FALSE)),0,VLOOKUP($A685,'Mutasi Neraca'!$A$3:$S$910,14,FALSE))</f>
        <v>-1399164230</v>
      </c>
      <c r="P685" s="42">
        <f>VLOOKUP($A685,'Neraca Unaudited SIMAK'!$A$2:$R$1272,15,FALSE)+IF(ISNA(VLOOKUP($A685,'Mutasi Neraca'!$A$3:$S$910,15,FALSE)),0,VLOOKUP($A685,'Mutasi Neraca'!$A$3:$S$910,15,FALSE))</f>
        <v>0</v>
      </c>
      <c r="Q685" s="42">
        <f>VLOOKUP($A685,'Neraca Unaudited SIMAK'!$A$2:$R$1272,16,FALSE)+IF(ISNA(VLOOKUP($A685,'Mutasi Neraca'!$A$3:$S$910,16,FALSE)),0,VLOOKUP($A685,'Mutasi Neraca'!$A$3:$S$910,16,FALSE))</f>
        <v>0</v>
      </c>
      <c r="R685" s="42">
        <f>VLOOKUP($A685,'Neraca Unaudited SIMAK'!$A$2:$R$1272,17,FALSE)+IF(ISNA(VLOOKUP($A685,'Mutasi Neraca'!$A$3:$S$910,17,FALSE)),0,VLOOKUP($A685,'Mutasi Neraca'!$A$3:$S$910,17,FALSE))</f>
        <v>-6620000</v>
      </c>
      <c r="S685" s="42">
        <f t="shared" si="63"/>
        <v>13144283426</v>
      </c>
    </row>
    <row r="686" spans="1:19">
      <c r="A686" s="41" t="s">
        <v>693</v>
      </c>
      <c r="B686" s="41" t="str">
        <f t="shared" si="62"/>
        <v>005012300</v>
      </c>
      <c r="D686" s="42">
        <f>VLOOKUP($A686,'Neraca Unaudited SIMAK'!$A$2:$R$1272,3,FALSE)+IF(ISNA(VLOOKUP($A686,'Mutasi Neraca'!$A$3:$S$910,3,FALSE)),0,VLOOKUP($A686,'Mutasi Neraca'!$A$3:$S$910,3,FALSE))</f>
        <v>2258745</v>
      </c>
      <c r="E686" s="42">
        <f>VLOOKUP($A686,'Neraca Unaudited SIMAK'!$A$2:$R$1272,4,FALSE)+IF(ISNA(VLOOKUP($A686,'Mutasi Neraca'!$A$3:$S$910,4,FALSE)),0,VLOOKUP($A686,'Mutasi Neraca'!$A$3:$S$910,4,FALSE))</f>
        <v>1671600000</v>
      </c>
      <c r="F686" s="42">
        <f>VLOOKUP($A686,'Neraca Unaudited SIMAK'!$A$2:$R$1272,5,FALSE)+IF(ISNA(VLOOKUP($A686,'Mutasi Neraca'!$A$3:$S$910,5,FALSE)),0,VLOOKUP($A686,'Mutasi Neraca'!$A$3:$S$910,5,FALSE))</f>
        <v>1543583720</v>
      </c>
      <c r="G686" s="42">
        <f>VLOOKUP($A686,'Neraca Unaudited SIMAK'!$A$2:$R$1272,6,FALSE)+IF(ISNA(VLOOKUP($A686,'Mutasi Neraca'!$A$3:$S$910,6,FALSE)),0,VLOOKUP($A686,'Mutasi Neraca'!$A$3:$S$910,6,FALSE))</f>
        <v>5951646835</v>
      </c>
      <c r="H686" s="42">
        <f>VLOOKUP($A686,'Neraca Unaudited SIMAK'!$A$2:$R$1272,7,FALSE)+IF(ISNA(VLOOKUP($A686,'Mutasi Neraca'!$A$3:$S$910,7,FALSE)),0,VLOOKUP($A686,'Mutasi Neraca'!$A$3:$S$910,7,FALSE))</f>
        <v>4400000</v>
      </c>
      <c r="I686" s="42">
        <f>VLOOKUP($A686,'Neraca Unaudited SIMAK'!$A$2:$R$1272,8,FALSE)+IF(ISNA(VLOOKUP($A686,'Mutasi Neraca'!$A$3:$S$910,8,FALSE)),0,VLOOKUP($A686,'Mutasi Neraca'!$A$3:$S$910,8,FALSE))</f>
        <v>12140400</v>
      </c>
      <c r="J686" s="42">
        <f>VLOOKUP($A686,'Neraca Unaudited SIMAK'!$A$2:$R$1272,9,FALSE)+IF(ISNA(VLOOKUP($A686,'Mutasi Neraca'!$A$3:$S$910,9,FALSE)),0,VLOOKUP($A686,'Mutasi Neraca'!$A$3:$S$910,9,FALSE))</f>
        <v>0</v>
      </c>
      <c r="K686" s="42">
        <f>VLOOKUP($A686,'Neraca Unaudited SIMAK'!$A$2:$R$1272,10,FALSE)+IF(ISNA(VLOOKUP($A686,'Mutasi Neraca'!$A$3:$S$910,10,FALSE)),0,VLOOKUP($A686,'Mutasi Neraca'!$A$3:$S$910,10,FALSE))</f>
        <v>134807530</v>
      </c>
      <c r="L686" s="42">
        <f>VLOOKUP($A686,'Neraca Unaudited SIMAK'!$A$2:$R$1272,11,FALSE)+IF(ISNA(VLOOKUP($A686,'Mutasi Neraca'!$A$3:$S$910,11,FALSE)),0,VLOOKUP($A686,'Mutasi Neraca'!$A$3:$S$910,11,FALSE))</f>
        <v>160280000</v>
      </c>
      <c r="M686" s="42">
        <f>VLOOKUP($A686,'Neraca Unaudited SIMAK'!$A$2:$R$1272,12,FALSE)+IF(ISNA(VLOOKUP($A686,'Mutasi Neraca'!$A$3:$S$910,12,FALSE)),0,VLOOKUP($A686,'Mutasi Neraca'!$A$3:$S$910,12,FALSE))</f>
        <v>9480717230</v>
      </c>
      <c r="N686" s="42">
        <f>VLOOKUP($A686,'Neraca Unaudited SIMAK'!$A$2:$R$1272,13,FALSE)+IF(ISNA(VLOOKUP($A686,'Mutasi Neraca'!$A$3:$S$910,13,FALSE)),0,VLOOKUP($A686,'Mutasi Neraca'!$A$3:$S$910,13,FALSE))</f>
        <v>-1286914503</v>
      </c>
      <c r="O686" s="42">
        <f>VLOOKUP($A686,'Neraca Unaudited SIMAK'!$A$2:$R$1272,14,FALSE)+IF(ISNA(VLOOKUP($A686,'Mutasi Neraca'!$A$3:$S$910,14,FALSE)),0,VLOOKUP($A686,'Mutasi Neraca'!$A$3:$S$910,14,FALSE))</f>
        <v>-868291215</v>
      </c>
      <c r="P686" s="42">
        <f>VLOOKUP($A686,'Neraca Unaudited SIMAK'!$A$2:$R$1272,15,FALSE)+IF(ISNA(VLOOKUP($A686,'Mutasi Neraca'!$A$3:$S$910,15,FALSE)),0,VLOOKUP($A686,'Mutasi Neraca'!$A$3:$S$910,15,FALSE))</f>
        <v>-2200000</v>
      </c>
      <c r="Q686" s="42">
        <f>VLOOKUP($A686,'Neraca Unaudited SIMAK'!$A$2:$R$1272,16,FALSE)+IF(ISNA(VLOOKUP($A686,'Mutasi Neraca'!$A$3:$S$910,16,FALSE)),0,VLOOKUP($A686,'Mutasi Neraca'!$A$3:$S$910,16,FALSE))</f>
        <v>0</v>
      </c>
      <c r="R686" s="42">
        <f>VLOOKUP($A686,'Neraca Unaudited SIMAK'!$A$2:$R$1272,17,FALSE)+IF(ISNA(VLOOKUP($A686,'Mutasi Neraca'!$A$3:$S$910,17,FALSE)),0,VLOOKUP($A686,'Mutasi Neraca'!$A$3:$S$910,17,FALSE))</f>
        <v>-159895000</v>
      </c>
      <c r="S686" s="42">
        <f t="shared" si="63"/>
        <v>7163416512</v>
      </c>
    </row>
    <row r="687" spans="1:19">
      <c r="A687" s="41" t="s">
        <v>694</v>
      </c>
      <c r="B687" s="41" t="str">
        <f t="shared" si="62"/>
        <v>005012300</v>
      </c>
      <c r="D687" s="42">
        <f>VLOOKUP($A687,'Neraca Unaudited SIMAK'!$A$2:$R$1272,3,FALSE)+IF(ISNA(VLOOKUP($A687,'Mutasi Neraca'!$A$3:$S$910,3,FALSE)),0,VLOOKUP($A687,'Mutasi Neraca'!$A$3:$S$910,3,FALSE))</f>
        <v>991555</v>
      </c>
      <c r="E687" s="42">
        <f>VLOOKUP($A687,'Neraca Unaudited SIMAK'!$A$2:$R$1272,4,FALSE)+IF(ISNA(VLOOKUP($A687,'Mutasi Neraca'!$A$3:$S$910,4,FALSE)),0,VLOOKUP($A687,'Mutasi Neraca'!$A$3:$S$910,4,FALSE))</f>
        <v>1167777000</v>
      </c>
      <c r="F687" s="42">
        <f>VLOOKUP($A687,'Neraca Unaudited SIMAK'!$A$2:$R$1272,5,FALSE)+IF(ISNA(VLOOKUP($A687,'Mutasi Neraca'!$A$3:$S$910,5,FALSE)),0,VLOOKUP($A687,'Mutasi Neraca'!$A$3:$S$910,5,FALSE))</f>
        <v>1196091586</v>
      </c>
      <c r="G687" s="42">
        <f>VLOOKUP($A687,'Neraca Unaudited SIMAK'!$A$2:$R$1272,6,FALSE)+IF(ISNA(VLOOKUP($A687,'Mutasi Neraca'!$A$3:$S$910,6,FALSE)),0,VLOOKUP($A687,'Mutasi Neraca'!$A$3:$S$910,6,FALSE))</f>
        <v>5288519425</v>
      </c>
      <c r="H687" s="42">
        <f>VLOOKUP($A687,'Neraca Unaudited SIMAK'!$A$2:$R$1272,7,FALSE)+IF(ISNA(VLOOKUP($A687,'Mutasi Neraca'!$A$3:$S$910,7,FALSE)),0,VLOOKUP($A687,'Mutasi Neraca'!$A$3:$S$910,7,FALSE))</f>
        <v>0</v>
      </c>
      <c r="I687" s="42">
        <f>VLOOKUP($A687,'Neraca Unaudited SIMAK'!$A$2:$R$1272,8,FALSE)+IF(ISNA(VLOOKUP($A687,'Mutasi Neraca'!$A$3:$S$910,8,FALSE)),0,VLOOKUP($A687,'Mutasi Neraca'!$A$3:$S$910,8,FALSE))</f>
        <v>3176000</v>
      </c>
      <c r="J687" s="42">
        <f>VLOOKUP($A687,'Neraca Unaudited SIMAK'!$A$2:$R$1272,9,FALSE)+IF(ISNA(VLOOKUP($A687,'Mutasi Neraca'!$A$3:$S$910,9,FALSE)),0,VLOOKUP($A687,'Mutasi Neraca'!$A$3:$S$910,9,FALSE))</f>
        <v>0</v>
      </c>
      <c r="K687" s="42">
        <f>VLOOKUP($A687,'Neraca Unaudited SIMAK'!$A$2:$R$1272,10,FALSE)+IF(ISNA(VLOOKUP($A687,'Mutasi Neraca'!$A$3:$S$910,10,FALSE)),0,VLOOKUP($A687,'Mutasi Neraca'!$A$3:$S$910,10,FALSE))</f>
        <v>0</v>
      </c>
      <c r="L687" s="42">
        <f>VLOOKUP($A687,'Neraca Unaudited SIMAK'!$A$2:$R$1272,11,FALSE)+IF(ISNA(VLOOKUP($A687,'Mutasi Neraca'!$A$3:$S$910,11,FALSE)),0,VLOOKUP($A687,'Mutasi Neraca'!$A$3:$S$910,11,FALSE))</f>
        <v>0</v>
      </c>
      <c r="M687" s="42">
        <f>VLOOKUP($A687,'Neraca Unaudited SIMAK'!$A$2:$R$1272,12,FALSE)+IF(ISNA(VLOOKUP($A687,'Mutasi Neraca'!$A$3:$S$910,12,FALSE)),0,VLOOKUP($A687,'Mutasi Neraca'!$A$3:$S$910,12,FALSE))</f>
        <v>7656555566</v>
      </c>
      <c r="N687" s="42">
        <f>VLOOKUP($A687,'Neraca Unaudited SIMAK'!$A$2:$R$1272,13,FALSE)+IF(ISNA(VLOOKUP($A687,'Mutasi Neraca'!$A$3:$S$910,13,FALSE)),0,VLOOKUP($A687,'Mutasi Neraca'!$A$3:$S$910,13,FALSE))</f>
        <v>-1071724895</v>
      </c>
      <c r="O687" s="42">
        <f>VLOOKUP($A687,'Neraca Unaudited SIMAK'!$A$2:$R$1272,14,FALSE)+IF(ISNA(VLOOKUP($A687,'Mutasi Neraca'!$A$3:$S$910,14,FALSE)),0,VLOOKUP($A687,'Mutasi Neraca'!$A$3:$S$910,14,FALSE))</f>
        <v>-429289667</v>
      </c>
      <c r="P687" s="42">
        <f>VLOOKUP($A687,'Neraca Unaudited SIMAK'!$A$2:$R$1272,15,FALSE)+IF(ISNA(VLOOKUP($A687,'Mutasi Neraca'!$A$3:$S$910,15,FALSE)),0,VLOOKUP($A687,'Mutasi Neraca'!$A$3:$S$910,15,FALSE))</f>
        <v>0</v>
      </c>
      <c r="Q687" s="42">
        <f>VLOOKUP($A687,'Neraca Unaudited SIMAK'!$A$2:$R$1272,16,FALSE)+IF(ISNA(VLOOKUP($A687,'Mutasi Neraca'!$A$3:$S$910,16,FALSE)),0,VLOOKUP($A687,'Mutasi Neraca'!$A$3:$S$910,16,FALSE))</f>
        <v>0</v>
      </c>
      <c r="R687" s="42">
        <f>VLOOKUP($A687,'Neraca Unaudited SIMAK'!$A$2:$R$1272,17,FALSE)+IF(ISNA(VLOOKUP($A687,'Mutasi Neraca'!$A$3:$S$910,17,FALSE)),0,VLOOKUP($A687,'Mutasi Neraca'!$A$3:$S$910,17,FALSE))</f>
        <v>0</v>
      </c>
      <c r="S687" s="42">
        <f t="shared" si="63"/>
        <v>6155541004</v>
      </c>
    </row>
    <row r="688" spans="1:19">
      <c r="A688" s="41" t="s">
        <v>695</v>
      </c>
      <c r="B688" s="41" t="str">
        <f t="shared" si="62"/>
        <v>005012300</v>
      </c>
      <c r="D688" s="42">
        <f>VLOOKUP($A688,'Neraca Unaudited SIMAK'!$A$2:$R$1272,3,FALSE)+IF(ISNA(VLOOKUP($A688,'Mutasi Neraca'!$A$3:$S$910,3,FALSE)),0,VLOOKUP($A688,'Mutasi Neraca'!$A$3:$S$910,3,FALSE))</f>
        <v>328600</v>
      </c>
      <c r="E688" s="42">
        <f>VLOOKUP($A688,'Neraca Unaudited SIMAK'!$A$2:$R$1272,4,FALSE)+IF(ISNA(VLOOKUP($A688,'Mutasi Neraca'!$A$3:$S$910,4,FALSE)),0,VLOOKUP($A688,'Mutasi Neraca'!$A$3:$S$910,4,FALSE))</f>
        <v>1512952000</v>
      </c>
      <c r="F688" s="42">
        <f>VLOOKUP($A688,'Neraca Unaudited SIMAK'!$A$2:$R$1272,5,FALSE)+IF(ISNA(VLOOKUP($A688,'Mutasi Neraca'!$A$3:$S$910,5,FALSE)),0,VLOOKUP($A688,'Mutasi Neraca'!$A$3:$S$910,5,FALSE))</f>
        <v>1429838000</v>
      </c>
      <c r="G688" s="42">
        <f>VLOOKUP($A688,'Neraca Unaudited SIMAK'!$A$2:$R$1272,6,FALSE)+IF(ISNA(VLOOKUP($A688,'Mutasi Neraca'!$A$3:$S$910,6,FALSE)),0,VLOOKUP($A688,'Mutasi Neraca'!$A$3:$S$910,6,FALSE))</f>
        <v>0</v>
      </c>
      <c r="H688" s="42">
        <f>VLOOKUP($A688,'Neraca Unaudited SIMAK'!$A$2:$R$1272,7,FALSE)+IF(ISNA(VLOOKUP($A688,'Mutasi Neraca'!$A$3:$S$910,7,FALSE)),0,VLOOKUP($A688,'Mutasi Neraca'!$A$3:$S$910,7,FALSE))</f>
        <v>0</v>
      </c>
      <c r="I688" s="42">
        <f>VLOOKUP($A688,'Neraca Unaudited SIMAK'!$A$2:$R$1272,8,FALSE)+IF(ISNA(VLOOKUP($A688,'Mutasi Neraca'!$A$3:$S$910,8,FALSE)),0,VLOOKUP($A688,'Mutasi Neraca'!$A$3:$S$910,8,FALSE))</f>
        <v>408000</v>
      </c>
      <c r="J688" s="42">
        <f>VLOOKUP($A688,'Neraca Unaudited SIMAK'!$A$2:$R$1272,9,FALSE)+IF(ISNA(VLOOKUP($A688,'Mutasi Neraca'!$A$3:$S$910,9,FALSE)),0,VLOOKUP($A688,'Mutasi Neraca'!$A$3:$S$910,9,FALSE))</f>
        <v>7882542200</v>
      </c>
      <c r="K688" s="42">
        <f>VLOOKUP($A688,'Neraca Unaudited SIMAK'!$A$2:$R$1272,10,FALSE)+IF(ISNA(VLOOKUP($A688,'Mutasi Neraca'!$A$3:$S$910,10,FALSE)),0,VLOOKUP($A688,'Mutasi Neraca'!$A$3:$S$910,10,FALSE))</f>
        <v>0</v>
      </c>
      <c r="L688" s="42">
        <f>VLOOKUP($A688,'Neraca Unaudited SIMAK'!$A$2:$R$1272,11,FALSE)+IF(ISNA(VLOOKUP($A688,'Mutasi Neraca'!$A$3:$S$910,11,FALSE)),0,VLOOKUP($A688,'Mutasi Neraca'!$A$3:$S$910,11,FALSE))</f>
        <v>7920000</v>
      </c>
      <c r="M688" s="42">
        <f>VLOOKUP($A688,'Neraca Unaudited SIMAK'!$A$2:$R$1272,12,FALSE)+IF(ISNA(VLOOKUP($A688,'Mutasi Neraca'!$A$3:$S$910,12,FALSE)),0,VLOOKUP($A688,'Mutasi Neraca'!$A$3:$S$910,12,FALSE))</f>
        <v>10833988800</v>
      </c>
      <c r="N688" s="42">
        <f>VLOOKUP($A688,'Neraca Unaudited SIMAK'!$A$2:$R$1272,13,FALSE)+IF(ISNA(VLOOKUP($A688,'Mutasi Neraca'!$A$3:$S$910,13,FALSE)),0,VLOOKUP($A688,'Mutasi Neraca'!$A$3:$S$910,13,FALSE))</f>
        <v>-479181113</v>
      </c>
      <c r="O688" s="42">
        <f>VLOOKUP($A688,'Neraca Unaudited SIMAK'!$A$2:$R$1272,14,FALSE)+IF(ISNA(VLOOKUP($A688,'Mutasi Neraca'!$A$3:$S$910,14,FALSE)),0,VLOOKUP($A688,'Mutasi Neraca'!$A$3:$S$910,14,FALSE))</f>
        <v>0</v>
      </c>
      <c r="P688" s="42">
        <f>VLOOKUP($A688,'Neraca Unaudited SIMAK'!$A$2:$R$1272,15,FALSE)+IF(ISNA(VLOOKUP($A688,'Mutasi Neraca'!$A$3:$S$910,15,FALSE)),0,VLOOKUP($A688,'Mutasi Neraca'!$A$3:$S$910,15,FALSE))</f>
        <v>0</v>
      </c>
      <c r="Q688" s="42">
        <f>VLOOKUP($A688,'Neraca Unaudited SIMAK'!$A$2:$R$1272,16,FALSE)+IF(ISNA(VLOOKUP($A688,'Mutasi Neraca'!$A$3:$S$910,16,FALSE)),0,VLOOKUP($A688,'Mutasi Neraca'!$A$3:$S$910,16,FALSE))</f>
        <v>0</v>
      </c>
      <c r="R688" s="42">
        <f>VLOOKUP($A688,'Neraca Unaudited SIMAK'!$A$2:$R$1272,17,FALSE)+IF(ISNA(VLOOKUP($A688,'Mutasi Neraca'!$A$3:$S$910,17,FALSE)),0,VLOOKUP($A688,'Mutasi Neraca'!$A$3:$S$910,17,FALSE))</f>
        <v>-7920000</v>
      </c>
      <c r="S688" s="42">
        <f t="shared" si="63"/>
        <v>10346887687</v>
      </c>
    </row>
    <row r="689" spans="1:19">
      <c r="A689" s="41" t="s">
        <v>696</v>
      </c>
      <c r="B689" s="41" t="str">
        <f t="shared" si="62"/>
        <v>005012400</v>
      </c>
      <c r="D689" s="42">
        <f>VLOOKUP($A689,'Neraca Unaudited SIMAK'!$A$2:$R$1272,3,FALSE)+IF(ISNA(VLOOKUP($A689,'Mutasi Neraca'!$A$3:$S$910,3,FALSE)),0,VLOOKUP($A689,'Mutasi Neraca'!$A$3:$S$910,3,FALSE))</f>
        <v>0</v>
      </c>
      <c r="E689" s="42">
        <f>VLOOKUP($A689,'Neraca Unaudited SIMAK'!$A$2:$R$1272,4,FALSE)+IF(ISNA(VLOOKUP($A689,'Mutasi Neraca'!$A$3:$S$910,4,FALSE)),0,VLOOKUP($A689,'Mutasi Neraca'!$A$3:$S$910,4,FALSE))</f>
        <v>29155241820</v>
      </c>
      <c r="F689" s="42">
        <f>VLOOKUP($A689,'Neraca Unaudited SIMAK'!$A$2:$R$1272,5,FALSE)+IF(ISNA(VLOOKUP($A689,'Mutasi Neraca'!$A$3:$S$910,5,FALSE)),0,VLOOKUP($A689,'Mutasi Neraca'!$A$3:$S$910,5,FALSE))</f>
        <v>4279058372</v>
      </c>
      <c r="G689" s="42">
        <f>VLOOKUP($A689,'Neraca Unaudited SIMAK'!$A$2:$R$1272,6,FALSE)+IF(ISNA(VLOOKUP($A689,'Mutasi Neraca'!$A$3:$S$910,6,FALSE)),0,VLOOKUP($A689,'Mutasi Neraca'!$A$3:$S$910,6,FALSE))</f>
        <v>17613511083</v>
      </c>
      <c r="H689" s="42">
        <f>VLOOKUP($A689,'Neraca Unaudited SIMAK'!$A$2:$R$1272,7,FALSE)+IF(ISNA(VLOOKUP($A689,'Mutasi Neraca'!$A$3:$S$910,7,FALSE)),0,VLOOKUP($A689,'Mutasi Neraca'!$A$3:$S$910,7,FALSE))</f>
        <v>46855000</v>
      </c>
      <c r="I689" s="42">
        <f>VLOOKUP($A689,'Neraca Unaudited SIMAK'!$A$2:$R$1272,8,FALSE)+IF(ISNA(VLOOKUP($A689,'Mutasi Neraca'!$A$3:$S$910,8,FALSE)),0,VLOOKUP($A689,'Mutasi Neraca'!$A$3:$S$910,8,FALSE))</f>
        <v>27143440</v>
      </c>
      <c r="J689" s="42">
        <f>VLOOKUP($A689,'Neraca Unaudited SIMAK'!$A$2:$R$1272,9,FALSE)+IF(ISNA(VLOOKUP($A689,'Mutasi Neraca'!$A$3:$S$910,9,FALSE)),0,VLOOKUP($A689,'Mutasi Neraca'!$A$3:$S$910,9,FALSE))</f>
        <v>0</v>
      </c>
      <c r="K689" s="42">
        <f>VLOOKUP($A689,'Neraca Unaudited SIMAK'!$A$2:$R$1272,10,FALSE)+IF(ISNA(VLOOKUP($A689,'Mutasi Neraca'!$A$3:$S$910,10,FALSE)),0,VLOOKUP($A689,'Mutasi Neraca'!$A$3:$S$910,10,FALSE))</f>
        <v>9757000</v>
      </c>
      <c r="L689" s="42">
        <f>VLOOKUP($A689,'Neraca Unaudited SIMAK'!$A$2:$R$1272,11,FALSE)+IF(ISNA(VLOOKUP($A689,'Mutasi Neraca'!$A$3:$S$910,11,FALSE)),0,VLOOKUP($A689,'Mutasi Neraca'!$A$3:$S$910,11,FALSE))</f>
        <v>177876200</v>
      </c>
      <c r="M689" s="42">
        <f>VLOOKUP($A689,'Neraca Unaudited SIMAK'!$A$2:$R$1272,12,FALSE)+IF(ISNA(VLOOKUP($A689,'Mutasi Neraca'!$A$3:$S$910,12,FALSE)),0,VLOOKUP($A689,'Mutasi Neraca'!$A$3:$S$910,12,FALSE))</f>
        <v>51309442915</v>
      </c>
      <c r="N689" s="42">
        <f>VLOOKUP($A689,'Neraca Unaudited SIMAK'!$A$2:$R$1272,13,FALSE)+IF(ISNA(VLOOKUP($A689,'Mutasi Neraca'!$A$3:$S$910,13,FALSE)),0,VLOOKUP($A689,'Mutasi Neraca'!$A$3:$S$910,13,FALSE))</f>
        <v>-3228672185</v>
      </c>
      <c r="O689" s="42">
        <f>VLOOKUP($A689,'Neraca Unaudited SIMAK'!$A$2:$R$1272,14,FALSE)+IF(ISNA(VLOOKUP($A689,'Mutasi Neraca'!$A$3:$S$910,14,FALSE)),0,VLOOKUP($A689,'Mutasi Neraca'!$A$3:$S$910,14,FALSE))</f>
        <v>-1211253088</v>
      </c>
      <c r="P689" s="42">
        <f>VLOOKUP($A689,'Neraca Unaudited SIMAK'!$A$2:$R$1272,15,FALSE)+IF(ISNA(VLOOKUP($A689,'Mutasi Neraca'!$A$3:$S$910,15,FALSE)),0,VLOOKUP($A689,'Mutasi Neraca'!$A$3:$S$910,15,FALSE))</f>
        <v>-17023194</v>
      </c>
      <c r="Q689" s="42">
        <f>VLOOKUP($A689,'Neraca Unaudited SIMAK'!$A$2:$R$1272,16,FALSE)+IF(ISNA(VLOOKUP($A689,'Mutasi Neraca'!$A$3:$S$910,16,FALSE)),0,VLOOKUP($A689,'Mutasi Neraca'!$A$3:$S$910,16,FALSE))</f>
        <v>0</v>
      </c>
      <c r="R689" s="42">
        <f>VLOOKUP($A689,'Neraca Unaudited SIMAK'!$A$2:$R$1272,17,FALSE)+IF(ISNA(VLOOKUP($A689,'Mutasi Neraca'!$A$3:$S$910,17,FALSE)),0,VLOOKUP($A689,'Mutasi Neraca'!$A$3:$S$910,17,FALSE))</f>
        <v>-42908071</v>
      </c>
      <c r="S689" s="42">
        <f t="shared" si="63"/>
        <v>46809586377</v>
      </c>
    </row>
    <row r="690" spans="1:19">
      <c r="A690" s="41" t="s">
        <v>697</v>
      </c>
      <c r="B690" s="41" t="str">
        <f t="shared" si="62"/>
        <v>005012400</v>
      </c>
      <c r="D690" s="42">
        <f>VLOOKUP($A690,'Neraca Unaudited SIMAK'!$A$2:$R$1272,3,FALSE)+IF(ISNA(VLOOKUP($A690,'Mutasi Neraca'!$A$3:$S$910,3,FALSE)),0,VLOOKUP($A690,'Mutasi Neraca'!$A$3:$S$910,3,FALSE))</f>
        <v>0</v>
      </c>
      <c r="E690" s="42">
        <f>VLOOKUP($A690,'Neraca Unaudited SIMAK'!$A$2:$R$1272,4,FALSE)+IF(ISNA(VLOOKUP($A690,'Mutasi Neraca'!$A$3:$S$910,4,FALSE)),0,VLOOKUP($A690,'Mutasi Neraca'!$A$3:$S$910,4,FALSE))</f>
        <v>3333268000</v>
      </c>
      <c r="F690" s="42">
        <f>VLOOKUP($A690,'Neraca Unaudited SIMAK'!$A$2:$R$1272,5,FALSE)+IF(ISNA(VLOOKUP($A690,'Mutasi Neraca'!$A$3:$S$910,5,FALSE)),0,VLOOKUP($A690,'Mutasi Neraca'!$A$3:$S$910,5,FALSE))</f>
        <v>1571284629</v>
      </c>
      <c r="G690" s="42">
        <f>VLOOKUP($A690,'Neraca Unaudited SIMAK'!$A$2:$R$1272,6,FALSE)+IF(ISNA(VLOOKUP($A690,'Mutasi Neraca'!$A$3:$S$910,6,FALSE)),0,VLOOKUP($A690,'Mutasi Neraca'!$A$3:$S$910,6,FALSE))</f>
        <v>10458188456</v>
      </c>
      <c r="H690" s="42">
        <f>VLOOKUP($A690,'Neraca Unaudited SIMAK'!$A$2:$R$1272,7,FALSE)+IF(ISNA(VLOOKUP($A690,'Mutasi Neraca'!$A$3:$S$910,7,FALSE)),0,VLOOKUP($A690,'Mutasi Neraca'!$A$3:$S$910,7,FALSE))</f>
        <v>104725000</v>
      </c>
      <c r="I690" s="42">
        <f>VLOOKUP($A690,'Neraca Unaudited SIMAK'!$A$2:$R$1272,8,FALSE)+IF(ISNA(VLOOKUP($A690,'Mutasi Neraca'!$A$3:$S$910,8,FALSE)),0,VLOOKUP($A690,'Mutasi Neraca'!$A$3:$S$910,8,FALSE))</f>
        <v>3718440</v>
      </c>
      <c r="J690" s="42">
        <f>VLOOKUP($A690,'Neraca Unaudited SIMAK'!$A$2:$R$1272,9,FALSE)+IF(ISNA(VLOOKUP($A690,'Mutasi Neraca'!$A$3:$S$910,9,FALSE)),0,VLOOKUP($A690,'Mutasi Neraca'!$A$3:$S$910,9,FALSE))</f>
        <v>0</v>
      </c>
      <c r="K690" s="42">
        <f>VLOOKUP($A690,'Neraca Unaudited SIMAK'!$A$2:$R$1272,10,FALSE)+IF(ISNA(VLOOKUP($A690,'Mutasi Neraca'!$A$3:$S$910,10,FALSE)),0,VLOOKUP($A690,'Mutasi Neraca'!$A$3:$S$910,10,FALSE))</f>
        <v>0</v>
      </c>
      <c r="L690" s="42">
        <f>VLOOKUP($A690,'Neraca Unaudited SIMAK'!$A$2:$R$1272,11,FALSE)+IF(ISNA(VLOOKUP($A690,'Mutasi Neraca'!$A$3:$S$910,11,FALSE)),0,VLOOKUP($A690,'Mutasi Neraca'!$A$3:$S$910,11,FALSE))</f>
        <v>59871311</v>
      </c>
      <c r="M690" s="42">
        <f>VLOOKUP($A690,'Neraca Unaudited SIMAK'!$A$2:$R$1272,12,FALSE)+IF(ISNA(VLOOKUP($A690,'Mutasi Neraca'!$A$3:$S$910,12,FALSE)),0,VLOOKUP($A690,'Mutasi Neraca'!$A$3:$S$910,12,FALSE))</f>
        <v>15531055836</v>
      </c>
      <c r="N690" s="42">
        <f>VLOOKUP($A690,'Neraca Unaudited SIMAK'!$A$2:$R$1272,13,FALSE)+IF(ISNA(VLOOKUP($A690,'Mutasi Neraca'!$A$3:$S$910,13,FALSE)),0,VLOOKUP($A690,'Mutasi Neraca'!$A$3:$S$910,13,FALSE))</f>
        <v>-1445338192</v>
      </c>
      <c r="O690" s="42">
        <f>VLOOKUP($A690,'Neraca Unaudited SIMAK'!$A$2:$R$1272,14,FALSE)+IF(ISNA(VLOOKUP($A690,'Mutasi Neraca'!$A$3:$S$910,14,FALSE)),0,VLOOKUP($A690,'Mutasi Neraca'!$A$3:$S$910,14,FALSE))</f>
        <v>-1903564947</v>
      </c>
      <c r="P690" s="42">
        <f>VLOOKUP($A690,'Neraca Unaudited SIMAK'!$A$2:$R$1272,15,FALSE)+IF(ISNA(VLOOKUP($A690,'Mutasi Neraca'!$A$3:$S$910,15,FALSE)),0,VLOOKUP($A690,'Mutasi Neraca'!$A$3:$S$910,15,FALSE))</f>
        <v>-37258750</v>
      </c>
      <c r="Q690" s="42">
        <f>VLOOKUP($A690,'Neraca Unaudited SIMAK'!$A$2:$R$1272,16,FALSE)+IF(ISNA(VLOOKUP($A690,'Mutasi Neraca'!$A$3:$S$910,16,FALSE)),0,VLOOKUP($A690,'Mutasi Neraca'!$A$3:$S$910,16,FALSE))</f>
        <v>0</v>
      </c>
      <c r="R690" s="42">
        <f>VLOOKUP($A690,'Neraca Unaudited SIMAK'!$A$2:$R$1272,17,FALSE)+IF(ISNA(VLOOKUP($A690,'Mutasi Neraca'!$A$3:$S$910,17,FALSE)),0,VLOOKUP($A690,'Mutasi Neraca'!$A$3:$S$910,17,FALSE))</f>
        <v>-59871311</v>
      </c>
      <c r="S690" s="42">
        <f t="shared" si="63"/>
        <v>12085022636</v>
      </c>
    </row>
    <row r="691" spans="1:19">
      <c r="A691" s="41" t="s">
        <v>698</v>
      </c>
      <c r="B691" s="41" t="str">
        <f t="shared" si="62"/>
        <v>005012400</v>
      </c>
      <c r="D691" s="42">
        <f>VLOOKUP($A691,'Neraca Unaudited SIMAK'!$A$2:$R$1272,3,FALSE)+IF(ISNA(VLOOKUP($A691,'Mutasi Neraca'!$A$3:$S$910,3,FALSE)),0,VLOOKUP($A691,'Mutasi Neraca'!$A$3:$S$910,3,FALSE))</f>
        <v>6547000</v>
      </c>
      <c r="E691" s="42">
        <f>VLOOKUP($A691,'Neraca Unaudited SIMAK'!$A$2:$R$1272,4,FALSE)+IF(ISNA(VLOOKUP($A691,'Mutasi Neraca'!$A$3:$S$910,4,FALSE)),0,VLOOKUP($A691,'Mutasi Neraca'!$A$3:$S$910,4,FALSE))</f>
        <v>366540000</v>
      </c>
      <c r="F691" s="42">
        <f>VLOOKUP($A691,'Neraca Unaudited SIMAK'!$A$2:$R$1272,5,FALSE)+IF(ISNA(VLOOKUP($A691,'Mutasi Neraca'!$A$3:$S$910,5,FALSE)),0,VLOOKUP($A691,'Mutasi Neraca'!$A$3:$S$910,5,FALSE))</f>
        <v>1246232609</v>
      </c>
      <c r="G691" s="42">
        <f>VLOOKUP($A691,'Neraca Unaudited SIMAK'!$A$2:$R$1272,6,FALSE)+IF(ISNA(VLOOKUP($A691,'Mutasi Neraca'!$A$3:$S$910,6,FALSE)),0,VLOOKUP($A691,'Mutasi Neraca'!$A$3:$S$910,6,FALSE))</f>
        <v>3075589999</v>
      </c>
      <c r="H691" s="42">
        <f>VLOOKUP($A691,'Neraca Unaudited SIMAK'!$A$2:$R$1272,7,FALSE)+IF(ISNA(VLOOKUP($A691,'Mutasi Neraca'!$A$3:$S$910,7,FALSE)),0,VLOOKUP($A691,'Mutasi Neraca'!$A$3:$S$910,7,FALSE))</f>
        <v>0</v>
      </c>
      <c r="I691" s="42">
        <f>VLOOKUP($A691,'Neraca Unaudited SIMAK'!$A$2:$R$1272,8,FALSE)+IF(ISNA(VLOOKUP($A691,'Mutasi Neraca'!$A$3:$S$910,8,FALSE)),0,VLOOKUP($A691,'Mutasi Neraca'!$A$3:$S$910,8,FALSE))</f>
        <v>5787440</v>
      </c>
      <c r="J691" s="42">
        <f>VLOOKUP($A691,'Neraca Unaudited SIMAK'!$A$2:$R$1272,9,FALSE)+IF(ISNA(VLOOKUP($A691,'Mutasi Neraca'!$A$3:$S$910,9,FALSE)),0,VLOOKUP($A691,'Mutasi Neraca'!$A$3:$S$910,9,FALSE))</f>
        <v>0</v>
      </c>
      <c r="K691" s="42">
        <f>VLOOKUP($A691,'Neraca Unaudited SIMAK'!$A$2:$R$1272,10,FALSE)+IF(ISNA(VLOOKUP($A691,'Mutasi Neraca'!$A$3:$S$910,10,FALSE)),0,VLOOKUP($A691,'Mutasi Neraca'!$A$3:$S$910,10,FALSE))</f>
        <v>34000000</v>
      </c>
      <c r="L691" s="42">
        <f>VLOOKUP($A691,'Neraca Unaudited SIMAK'!$A$2:$R$1272,11,FALSE)+IF(ISNA(VLOOKUP($A691,'Mutasi Neraca'!$A$3:$S$910,11,FALSE)),0,VLOOKUP($A691,'Mutasi Neraca'!$A$3:$S$910,11,FALSE))</f>
        <v>970000</v>
      </c>
      <c r="M691" s="42">
        <f>VLOOKUP($A691,'Neraca Unaudited SIMAK'!$A$2:$R$1272,12,FALSE)+IF(ISNA(VLOOKUP($A691,'Mutasi Neraca'!$A$3:$S$910,12,FALSE)),0,VLOOKUP($A691,'Mutasi Neraca'!$A$3:$S$910,12,FALSE))</f>
        <v>4735667048</v>
      </c>
      <c r="N691" s="42">
        <f>VLOOKUP($A691,'Neraca Unaudited SIMAK'!$A$2:$R$1272,13,FALSE)+IF(ISNA(VLOOKUP($A691,'Mutasi Neraca'!$A$3:$S$910,13,FALSE)),0,VLOOKUP($A691,'Mutasi Neraca'!$A$3:$S$910,13,FALSE))</f>
        <v>-1111822174</v>
      </c>
      <c r="O691" s="42">
        <f>VLOOKUP($A691,'Neraca Unaudited SIMAK'!$A$2:$R$1272,14,FALSE)+IF(ISNA(VLOOKUP($A691,'Mutasi Neraca'!$A$3:$S$910,14,FALSE)),0,VLOOKUP($A691,'Mutasi Neraca'!$A$3:$S$910,14,FALSE))</f>
        <v>-905786363</v>
      </c>
      <c r="P691" s="42">
        <f>VLOOKUP($A691,'Neraca Unaudited SIMAK'!$A$2:$R$1272,15,FALSE)+IF(ISNA(VLOOKUP($A691,'Mutasi Neraca'!$A$3:$S$910,15,FALSE)),0,VLOOKUP($A691,'Mutasi Neraca'!$A$3:$S$910,15,FALSE))</f>
        <v>0</v>
      </c>
      <c r="Q691" s="42">
        <f>VLOOKUP($A691,'Neraca Unaudited SIMAK'!$A$2:$R$1272,16,FALSE)+IF(ISNA(VLOOKUP($A691,'Mutasi Neraca'!$A$3:$S$910,16,FALSE)),0,VLOOKUP($A691,'Mutasi Neraca'!$A$3:$S$910,16,FALSE))</f>
        <v>0</v>
      </c>
      <c r="R691" s="42">
        <f>VLOOKUP($A691,'Neraca Unaudited SIMAK'!$A$2:$R$1272,17,FALSE)+IF(ISNA(VLOOKUP($A691,'Mutasi Neraca'!$A$3:$S$910,17,FALSE)),0,VLOOKUP($A691,'Mutasi Neraca'!$A$3:$S$910,17,FALSE))</f>
        <v>-970000</v>
      </c>
      <c r="S691" s="42">
        <f t="shared" si="63"/>
        <v>2717088511</v>
      </c>
    </row>
    <row r="692" spans="1:19">
      <c r="A692" s="41" t="s">
        <v>699</v>
      </c>
      <c r="B692" s="41" t="str">
        <f t="shared" si="62"/>
        <v>005012400</v>
      </c>
      <c r="D692" s="42">
        <f>VLOOKUP($A692,'Neraca Unaudited SIMAK'!$A$2:$R$1272,3,FALSE)+IF(ISNA(VLOOKUP($A692,'Mutasi Neraca'!$A$3:$S$910,3,FALSE)),0,VLOOKUP($A692,'Mutasi Neraca'!$A$3:$S$910,3,FALSE))</f>
        <v>131000</v>
      </c>
      <c r="E692" s="42">
        <f>VLOOKUP($A692,'Neraca Unaudited SIMAK'!$A$2:$R$1272,4,FALSE)+IF(ISNA(VLOOKUP($A692,'Mutasi Neraca'!$A$3:$S$910,4,FALSE)),0,VLOOKUP($A692,'Mutasi Neraca'!$A$3:$S$910,4,FALSE))</f>
        <v>372624000</v>
      </c>
      <c r="F692" s="42">
        <f>VLOOKUP($A692,'Neraca Unaudited SIMAK'!$A$2:$R$1272,5,FALSE)+IF(ISNA(VLOOKUP($A692,'Mutasi Neraca'!$A$3:$S$910,5,FALSE)),0,VLOOKUP($A692,'Mutasi Neraca'!$A$3:$S$910,5,FALSE))</f>
        <v>1449611543</v>
      </c>
      <c r="G692" s="42">
        <f>VLOOKUP($A692,'Neraca Unaudited SIMAK'!$A$2:$R$1272,6,FALSE)+IF(ISNA(VLOOKUP($A692,'Mutasi Neraca'!$A$3:$S$910,6,FALSE)),0,VLOOKUP($A692,'Mutasi Neraca'!$A$3:$S$910,6,FALSE))</f>
        <v>2313674000</v>
      </c>
      <c r="H692" s="42">
        <f>VLOOKUP($A692,'Neraca Unaudited SIMAK'!$A$2:$R$1272,7,FALSE)+IF(ISNA(VLOOKUP($A692,'Mutasi Neraca'!$A$3:$S$910,7,FALSE)),0,VLOOKUP($A692,'Mutasi Neraca'!$A$3:$S$910,7,FALSE))</f>
        <v>0</v>
      </c>
      <c r="I692" s="42">
        <f>VLOOKUP($A692,'Neraca Unaudited SIMAK'!$A$2:$R$1272,8,FALSE)+IF(ISNA(VLOOKUP($A692,'Mutasi Neraca'!$A$3:$S$910,8,FALSE)),0,VLOOKUP($A692,'Mutasi Neraca'!$A$3:$S$910,8,FALSE))</f>
        <v>4159368</v>
      </c>
      <c r="J692" s="42">
        <f>VLOOKUP($A692,'Neraca Unaudited SIMAK'!$A$2:$R$1272,9,FALSE)+IF(ISNA(VLOOKUP($A692,'Mutasi Neraca'!$A$3:$S$910,9,FALSE)),0,VLOOKUP($A692,'Mutasi Neraca'!$A$3:$S$910,9,FALSE))</f>
        <v>0</v>
      </c>
      <c r="K692" s="42">
        <f>VLOOKUP($A692,'Neraca Unaudited SIMAK'!$A$2:$R$1272,10,FALSE)+IF(ISNA(VLOOKUP($A692,'Mutasi Neraca'!$A$3:$S$910,10,FALSE)),0,VLOOKUP($A692,'Mutasi Neraca'!$A$3:$S$910,10,FALSE))</f>
        <v>0</v>
      </c>
      <c r="L692" s="42">
        <f>VLOOKUP($A692,'Neraca Unaudited SIMAK'!$A$2:$R$1272,11,FALSE)+IF(ISNA(VLOOKUP($A692,'Mutasi Neraca'!$A$3:$S$910,11,FALSE)),0,VLOOKUP($A692,'Mutasi Neraca'!$A$3:$S$910,11,FALSE))</f>
        <v>9295000</v>
      </c>
      <c r="M692" s="42">
        <f>VLOOKUP($A692,'Neraca Unaudited SIMAK'!$A$2:$R$1272,12,FALSE)+IF(ISNA(VLOOKUP($A692,'Mutasi Neraca'!$A$3:$S$910,12,FALSE)),0,VLOOKUP($A692,'Mutasi Neraca'!$A$3:$S$910,12,FALSE))</f>
        <v>4149494911</v>
      </c>
      <c r="N692" s="42">
        <f>VLOOKUP($A692,'Neraca Unaudited SIMAK'!$A$2:$R$1272,13,FALSE)+IF(ISNA(VLOOKUP($A692,'Mutasi Neraca'!$A$3:$S$910,13,FALSE)),0,VLOOKUP($A692,'Mutasi Neraca'!$A$3:$S$910,13,FALSE))</f>
        <v>-1146042830</v>
      </c>
      <c r="O692" s="42">
        <f>VLOOKUP($A692,'Neraca Unaudited SIMAK'!$A$2:$R$1272,14,FALSE)+IF(ISNA(VLOOKUP($A692,'Mutasi Neraca'!$A$3:$S$910,14,FALSE)),0,VLOOKUP($A692,'Mutasi Neraca'!$A$3:$S$910,14,FALSE))</f>
        <v>-616906579</v>
      </c>
      <c r="P692" s="42">
        <f>VLOOKUP($A692,'Neraca Unaudited SIMAK'!$A$2:$R$1272,15,FALSE)+IF(ISNA(VLOOKUP($A692,'Mutasi Neraca'!$A$3:$S$910,15,FALSE)),0,VLOOKUP($A692,'Mutasi Neraca'!$A$3:$S$910,15,FALSE))</f>
        <v>0</v>
      </c>
      <c r="Q692" s="42">
        <f>VLOOKUP($A692,'Neraca Unaudited SIMAK'!$A$2:$R$1272,16,FALSE)+IF(ISNA(VLOOKUP($A692,'Mutasi Neraca'!$A$3:$S$910,16,FALSE)),0,VLOOKUP($A692,'Mutasi Neraca'!$A$3:$S$910,16,FALSE))</f>
        <v>0</v>
      </c>
      <c r="R692" s="42">
        <f>VLOOKUP($A692,'Neraca Unaudited SIMAK'!$A$2:$R$1272,17,FALSE)+IF(ISNA(VLOOKUP($A692,'Mutasi Neraca'!$A$3:$S$910,17,FALSE)),0,VLOOKUP($A692,'Mutasi Neraca'!$A$3:$S$910,17,FALSE))</f>
        <v>-9295000</v>
      </c>
      <c r="S692" s="42">
        <f t="shared" si="63"/>
        <v>2377250502</v>
      </c>
    </row>
    <row r="693" spans="1:19">
      <c r="A693" s="41" t="s">
        <v>700</v>
      </c>
      <c r="B693" s="41" t="str">
        <f t="shared" si="62"/>
        <v>005012400</v>
      </c>
      <c r="D693" s="42">
        <f>VLOOKUP($A693,'Neraca Unaudited SIMAK'!$A$2:$R$1272,3,FALSE)+IF(ISNA(VLOOKUP($A693,'Mutasi Neraca'!$A$3:$S$910,3,FALSE)),0,VLOOKUP($A693,'Mutasi Neraca'!$A$3:$S$910,3,FALSE))</f>
        <v>535000</v>
      </c>
      <c r="E693" s="42">
        <f>VLOOKUP($A693,'Neraca Unaudited SIMAK'!$A$2:$R$1272,4,FALSE)+IF(ISNA(VLOOKUP($A693,'Mutasi Neraca'!$A$3:$S$910,4,FALSE)),0,VLOOKUP($A693,'Mutasi Neraca'!$A$3:$S$910,4,FALSE))</f>
        <v>20729955000</v>
      </c>
      <c r="F693" s="42">
        <f>VLOOKUP($A693,'Neraca Unaudited SIMAK'!$A$2:$R$1272,5,FALSE)+IF(ISNA(VLOOKUP($A693,'Mutasi Neraca'!$A$3:$S$910,5,FALSE)),0,VLOOKUP($A693,'Mutasi Neraca'!$A$3:$S$910,5,FALSE))</f>
        <v>2157789556</v>
      </c>
      <c r="G693" s="42">
        <f>VLOOKUP($A693,'Neraca Unaudited SIMAK'!$A$2:$R$1272,6,FALSE)+IF(ISNA(VLOOKUP($A693,'Mutasi Neraca'!$A$3:$S$910,6,FALSE)),0,VLOOKUP($A693,'Mutasi Neraca'!$A$3:$S$910,6,FALSE))</f>
        <v>3834491080</v>
      </c>
      <c r="H693" s="42">
        <f>VLOOKUP($A693,'Neraca Unaudited SIMAK'!$A$2:$R$1272,7,FALSE)+IF(ISNA(VLOOKUP($A693,'Mutasi Neraca'!$A$3:$S$910,7,FALSE)),0,VLOOKUP($A693,'Mutasi Neraca'!$A$3:$S$910,7,FALSE))</f>
        <v>50000000</v>
      </c>
      <c r="I693" s="42">
        <f>VLOOKUP($A693,'Neraca Unaudited SIMAK'!$A$2:$R$1272,8,FALSE)+IF(ISNA(VLOOKUP($A693,'Mutasi Neraca'!$A$3:$S$910,8,FALSE)),0,VLOOKUP($A693,'Mutasi Neraca'!$A$3:$S$910,8,FALSE))</f>
        <v>109776964</v>
      </c>
      <c r="J693" s="42">
        <f>VLOOKUP($A693,'Neraca Unaudited SIMAK'!$A$2:$R$1272,9,FALSE)+IF(ISNA(VLOOKUP($A693,'Mutasi Neraca'!$A$3:$S$910,9,FALSE)),0,VLOOKUP($A693,'Mutasi Neraca'!$A$3:$S$910,9,FALSE))</f>
        <v>0</v>
      </c>
      <c r="K693" s="42">
        <f>VLOOKUP($A693,'Neraca Unaudited SIMAK'!$A$2:$R$1272,10,FALSE)+IF(ISNA(VLOOKUP($A693,'Mutasi Neraca'!$A$3:$S$910,10,FALSE)),0,VLOOKUP($A693,'Mutasi Neraca'!$A$3:$S$910,10,FALSE))</f>
        <v>0</v>
      </c>
      <c r="L693" s="42">
        <f>VLOOKUP($A693,'Neraca Unaudited SIMAK'!$A$2:$R$1272,11,FALSE)+IF(ISNA(VLOOKUP($A693,'Mutasi Neraca'!$A$3:$S$910,11,FALSE)),0,VLOOKUP($A693,'Mutasi Neraca'!$A$3:$S$910,11,FALSE))</f>
        <v>0</v>
      </c>
      <c r="M693" s="42">
        <f>VLOOKUP($A693,'Neraca Unaudited SIMAK'!$A$2:$R$1272,12,FALSE)+IF(ISNA(VLOOKUP($A693,'Mutasi Neraca'!$A$3:$S$910,12,FALSE)),0,VLOOKUP($A693,'Mutasi Neraca'!$A$3:$S$910,12,FALSE))</f>
        <v>26882547600</v>
      </c>
      <c r="N693" s="42">
        <f>VLOOKUP($A693,'Neraca Unaudited SIMAK'!$A$2:$R$1272,13,FALSE)+IF(ISNA(VLOOKUP($A693,'Mutasi Neraca'!$A$3:$S$910,13,FALSE)),0,VLOOKUP($A693,'Mutasi Neraca'!$A$3:$S$910,13,FALSE))</f>
        <v>-1700668445</v>
      </c>
      <c r="O693" s="42">
        <f>VLOOKUP($A693,'Neraca Unaudited SIMAK'!$A$2:$R$1272,14,FALSE)+IF(ISNA(VLOOKUP($A693,'Mutasi Neraca'!$A$3:$S$910,14,FALSE)),0,VLOOKUP($A693,'Mutasi Neraca'!$A$3:$S$910,14,FALSE))</f>
        <v>-1043742211</v>
      </c>
      <c r="P693" s="42">
        <f>VLOOKUP($A693,'Neraca Unaudited SIMAK'!$A$2:$R$1272,15,FALSE)+IF(ISNA(VLOOKUP($A693,'Mutasi Neraca'!$A$3:$S$910,15,FALSE)),0,VLOOKUP($A693,'Mutasi Neraca'!$A$3:$S$910,15,FALSE))</f>
        <v>-10000000</v>
      </c>
      <c r="Q693" s="42">
        <f>VLOOKUP($A693,'Neraca Unaudited SIMAK'!$A$2:$R$1272,16,FALSE)+IF(ISNA(VLOOKUP($A693,'Mutasi Neraca'!$A$3:$S$910,16,FALSE)),0,VLOOKUP($A693,'Mutasi Neraca'!$A$3:$S$910,16,FALSE))</f>
        <v>0</v>
      </c>
      <c r="R693" s="42">
        <f>VLOOKUP($A693,'Neraca Unaudited SIMAK'!$A$2:$R$1272,17,FALSE)+IF(ISNA(VLOOKUP($A693,'Mutasi Neraca'!$A$3:$S$910,17,FALSE)),0,VLOOKUP($A693,'Mutasi Neraca'!$A$3:$S$910,17,FALSE))</f>
        <v>0</v>
      </c>
      <c r="S693" s="42">
        <f t="shared" si="63"/>
        <v>24128136944</v>
      </c>
    </row>
    <row r="694" spans="1:19">
      <c r="A694" s="41" t="s">
        <v>701</v>
      </c>
      <c r="B694" s="41" t="str">
        <f t="shared" si="62"/>
        <v>005012400</v>
      </c>
      <c r="D694" s="42">
        <f>VLOOKUP($A694,'Neraca Unaudited SIMAK'!$A$2:$R$1272,3,FALSE)+IF(ISNA(VLOOKUP($A694,'Mutasi Neraca'!$A$3:$S$910,3,FALSE)),0,VLOOKUP($A694,'Mutasi Neraca'!$A$3:$S$910,3,FALSE))</f>
        <v>7380500</v>
      </c>
      <c r="E694" s="42">
        <f>VLOOKUP($A694,'Neraca Unaudited SIMAK'!$A$2:$R$1272,4,FALSE)+IF(ISNA(VLOOKUP($A694,'Mutasi Neraca'!$A$3:$S$910,4,FALSE)),0,VLOOKUP($A694,'Mutasi Neraca'!$A$3:$S$910,4,FALSE))</f>
        <v>782832282</v>
      </c>
      <c r="F694" s="42">
        <f>VLOOKUP($A694,'Neraca Unaudited SIMAK'!$A$2:$R$1272,5,FALSE)+IF(ISNA(VLOOKUP($A694,'Mutasi Neraca'!$A$3:$S$910,5,FALSE)),0,VLOOKUP($A694,'Mutasi Neraca'!$A$3:$S$910,5,FALSE))</f>
        <v>1514983063</v>
      </c>
      <c r="G694" s="42">
        <f>VLOOKUP($A694,'Neraca Unaudited SIMAK'!$A$2:$R$1272,6,FALSE)+IF(ISNA(VLOOKUP($A694,'Mutasi Neraca'!$A$3:$S$910,6,FALSE)),0,VLOOKUP($A694,'Mutasi Neraca'!$A$3:$S$910,6,FALSE))</f>
        <v>12457319000</v>
      </c>
      <c r="H694" s="42">
        <f>VLOOKUP($A694,'Neraca Unaudited SIMAK'!$A$2:$R$1272,7,FALSE)+IF(ISNA(VLOOKUP($A694,'Mutasi Neraca'!$A$3:$S$910,7,FALSE)),0,VLOOKUP($A694,'Mutasi Neraca'!$A$3:$S$910,7,FALSE))</f>
        <v>122494000</v>
      </c>
      <c r="I694" s="42">
        <f>VLOOKUP($A694,'Neraca Unaudited SIMAK'!$A$2:$R$1272,8,FALSE)+IF(ISNA(VLOOKUP($A694,'Mutasi Neraca'!$A$3:$S$910,8,FALSE)),0,VLOOKUP($A694,'Mutasi Neraca'!$A$3:$S$910,8,FALSE))</f>
        <v>24455738</v>
      </c>
      <c r="J694" s="42">
        <f>VLOOKUP($A694,'Neraca Unaudited SIMAK'!$A$2:$R$1272,9,FALSE)+IF(ISNA(VLOOKUP($A694,'Mutasi Neraca'!$A$3:$S$910,9,FALSE)),0,VLOOKUP($A694,'Mutasi Neraca'!$A$3:$S$910,9,FALSE))</f>
        <v>0</v>
      </c>
      <c r="K694" s="42">
        <f>VLOOKUP($A694,'Neraca Unaudited SIMAK'!$A$2:$R$1272,10,FALSE)+IF(ISNA(VLOOKUP($A694,'Mutasi Neraca'!$A$3:$S$910,10,FALSE)),0,VLOOKUP($A694,'Mutasi Neraca'!$A$3:$S$910,10,FALSE))</f>
        <v>0</v>
      </c>
      <c r="L694" s="42">
        <f>VLOOKUP($A694,'Neraca Unaudited SIMAK'!$A$2:$R$1272,11,FALSE)+IF(ISNA(VLOOKUP($A694,'Mutasi Neraca'!$A$3:$S$910,11,FALSE)),0,VLOOKUP($A694,'Mutasi Neraca'!$A$3:$S$910,11,FALSE))</f>
        <v>192983000</v>
      </c>
      <c r="M694" s="42">
        <f>VLOOKUP($A694,'Neraca Unaudited SIMAK'!$A$2:$R$1272,12,FALSE)+IF(ISNA(VLOOKUP($A694,'Mutasi Neraca'!$A$3:$S$910,12,FALSE)),0,VLOOKUP($A694,'Mutasi Neraca'!$A$3:$S$910,12,FALSE))</f>
        <v>15102447583</v>
      </c>
      <c r="N694" s="42">
        <f>VLOOKUP($A694,'Neraca Unaudited SIMAK'!$A$2:$R$1272,13,FALSE)+IF(ISNA(VLOOKUP($A694,'Mutasi Neraca'!$A$3:$S$910,13,FALSE)),0,VLOOKUP($A694,'Mutasi Neraca'!$A$3:$S$910,13,FALSE))</f>
        <v>-1239022090</v>
      </c>
      <c r="O694" s="42">
        <f>VLOOKUP($A694,'Neraca Unaudited SIMAK'!$A$2:$R$1272,14,FALSE)+IF(ISNA(VLOOKUP($A694,'Mutasi Neraca'!$A$3:$S$910,14,FALSE)),0,VLOOKUP($A694,'Mutasi Neraca'!$A$3:$S$910,14,FALSE))</f>
        <v>-903269562</v>
      </c>
      <c r="P694" s="42">
        <f>VLOOKUP($A694,'Neraca Unaudited SIMAK'!$A$2:$R$1272,15,FALSE)+IF(ISNA(VLOOKUP($A694,'Mutasi Neraca'!$A$3:$S$910,15,FALSE)),0,VLOOKUP($A694,'Mutasi Neraca'!$A$3:$S$910,15,FALSE))</f>
        <v>-57233911</v>
      </c>
      <c r="Q694" s="42">
        <f>VLOOKUP($A694,'Neraca Unaudited SIMAK'!$A$2:$R$1272,16,FALSE)+IF(ISNA(VLOOKUP($A694,'Mutasi Neraca'!$A$3:$S$910,16,FALSE)),0,VLOOKUP($A694,'Mutasi Neraca'!$A$3:$S$910,16,FALSE))</f>
        <v>0</v>
      </c>
      <c r="R694" s="42">
        <f>VLOOKUP($A694,'Neraca Unaudited SIMAK'!$A$2:$R$1272,17,FALSE)+IF(ISNA(VLOOKUP($A694,'Mutasi Neraca'!$A$3:$S$910,17,FALSE)),0,VLOOKUP($A694,'Mutasi Neraca'!$A$3:$S$910,17,FALSE))</f>
        <v>-50875256</v>
      </c>
      <c r="S694" s="42">
        <f t="shared" si="63"/>
        <v>12852046764</v>
      </c>
    </row>
    <row r="695" spans="1:19">
      <c r="A695" s="41" t="s">
        <v>702</v>
      </c>
      <c r="B695" s="41" t="str">
        <f t="shared" si="62"/>
        <v>005012400</v>
      </c>
      <c r="D695" s="42">
        <f>VLOOKUP($A695,'Neraca Unaudited SIMAK'!$A$2:$R$1272,3,FALSE)+IF(ISNA(VLOOKUP($A695,'Mutasi Neraca'!$A$3:$S$910,3,FALSE)),0,VLOOKUP($A695,'Mutasi Neraca'!$A$3:$S$910,3,FALSE))</f>
        <v>0</v>
      </c>
      <c r="E695" s="42">
        <f>VLOOKUP($A695,'Neraca Unaudited SIMAK'!$A$2:$R$1272,4,FALSE)+IF(ISNA(VLOOKUP($A695,'Mutasi Neraca'!$A$3:$S$910,4,FALSE)),0,VLOOKUP($A695,'Mutasi Neraca'!$A$3:$S$910,4,FALSE))</f>
        <v>5075535000</v>
      </c>
      <c r="F695" s="42">
        <f>VLOOKUP($A695,'Neraca Unaudited SIMAK'!$A$2:$R$1272,5,FALSE)+IF(ISNA(VLOOKUP($A695,'Mutasi Neraca'!$A$3:$S$910,5,FALSE)),0,VLOOKUP($A695,'Mutasi Neraca'!$A$3:$S$910,5,FALSE))</f>
        <v>1471573518</v>
      </c>
      <c r="G695" s="42">
        <f>VLOOKUP($A695,'Neraca Unaudited SIMAK'!$A$2:$R$1272,6,FALSE)+IF(ISNA(VLOOKUP($A695,'Mutasi Neraca'!$A$3:$S$910,6,FALSE)),0,VLOOKUP($A695,'Mutasi Neraca'!$A$3:$S$910,6,FALSE))</f>
        <v>4023881303</v>
      </c>
      <c r="H695" s="42">
        <f>VLOOKUP($A695,'Neraca Unaudited SIMAK'!$A$2:$R$1272,7,FALSE)+IF(ISNA(VLOOKUP($A695,'Mutasi Neraca'!$A$3:$S$910,7,FALSE)),0,VLOOKUP($A695,'Mutasi Neraca'!$A$3:$S$910,7,FALSE))</f>
        <v>0</v>
      </c>
      <c r="I695" s="42">
        <f>VLOOKUP($A695,'Neraca Unaudited SIMAK'!$A$2:$R$1272,8,FALSE)+IF(ISNA(VLOOKUP($A695,'Mutasi Neraca'!$A$3:$S$910,8,FALSE)),0,VLOOKUP($A695,'Mutasi Neraca'!$A$3:$S$910,8,FALSE))</f>
        <v>71412118</v>
      </c>
      <c r="J695" s="42">
        <f>VLOOKUP($A695,'Neraca Unaudited SIMAK'!$A$2:$R$1272,9,FALSE)+IF(ISNA(VLOOKUP($A695,'Mutasi Neraca'!$A$3:$S$910,9,FALSE)),0,VLOOKUP($A695,'Mutasi Neraca'!$A$3:$S$910,9,FALSE))</f>
        <v>0</v>
      </c>
      <c r="K695" s="42">
        <f>VLOOKUP($A695,'Neraca Unaudited SIMAK'!$A$2:$R$1272,10,FALSE)+IF(ISNA(VLOOKUP($A695,'Mutasi Neraca'!$A$3:$S$910,10,FALSE)),0,VLOOKUP($A695,'Mutasi Neraca'!$A$3:$S$910,10,FALSE))</f>
        <v>0</v>
      </c>
      <c r="L695" s="42">
        <f>VLOOKUP($A695,'Neraca Unaudited SIMAK'!$A$2:$R$1272,11,FALSE)+IF(ISNA(VLOOKUP($A695,'Mutasi Neraca'!$A$3:$S$910,11,FALSE)),0,VLOOKUP($A695,'Mutasi Neraca'!$A$3:$S$910,11,FALSE))</f>
        <v>71902243</v>
      </c>
      <c r="M695" s="42">
        <f>VLOOKUP($A695,'Neraca Unaudited SIMAK'!$A$2:$R$1272,12,FALSE)+IF(ISNA(VLOOKUP($A695,'Mutasi Neraca'!$A$3:$S$910,12,FALSE)),0,VLOOKUP($A695,'Mutasi Neraca'!$A$3:$S$910,12,FALSE))</f>
        <v>10714304182</v>
      </c>
      <c r="N695" s="42">
        <f>VLOOKUP($A695,'Neraca Unaudited SIMAK'!$A$2:$R$1272,13,FALSE)+IF(ISNA(VLOOKUP($A695,'Mutasi Neraca'!$A$3:$S$910,13,FALSE)),0,VLOOKUP($A695,'Mutasi Neraca'!$A$3:$S$910,13,FALSE))</f>
        <v>-1383589524</v>
      </c>
      <c r="O695" s="42">
        <f>VLOOKUP($A695,'Neraca Unaudited SIMAK'!$A$2:$R$1272,14,FALSE)+IF(ISNA(VLOOKUP($A695,'Mutasi Neraca'!$A$3:$S$910,14,FALSE)),0,VLOOKUP($A695,'Mutasi Neraca'!$A$3:$S$910,14,FALSE))</f>
        <v>-620920425</v>
      </c>
      <c r="P695" s="42">
        <f>VLOOKUP($A695,'Neraca Unaudited SIMAK'!$A$2:$R$1272,15,FALSE)+IF(ISNA(VLOOKUP($A695,'Mutasi Neraca'!$A$3:$S$910,15,FALSE)),0,VLOOKUP($A695,'Mutasi Neraca'!$A$3:$S$910,15,FALSE))</f>
        <v>0</v>
      </c>
      <c r="Q695" s="42">
        <f>VLOOKUP($A695,'Neraca Unaudited SIMAK'!$A$2:$R$1272,16,FALSE)+IF(ISNA(VLOOKUP($A695,'Mutasi Neraca'!$A$3:$S$910,16,FALSE)),0,VLOOKUP($A695,'Mutasi Neraca'!$A$3:$S$910,16,FALSE))</f>
        <v>0</v>
      </c>
      <c r="R695" s="42">
        <f>VLOOKUP($A695,'Neraca Unaudited SIMAK'!$A$2:$R$1272,17,FALSE)+IF(ISNA(VLOOKUP($A695,'Mutasi Neraca'!$A$3:$S$910,17,FALSE)),0,VLOOKUP($A695,'Mutasi Neraca'!$A$3:$S$910,17,FALSE))</f>
        <v>-71902243</v>
      </c>
      <c r="S695" s="42">
        <f t="shared" si="63"/>
        <v>8637891990</v>
      </c>
    </row>
    <row r="696" spans="1:19">
      <c r="A696" s="41" t="s">
        <v>703</v>
      </c>
      <c r="B696" s="41" t="str">
        <f t="shared" si="62"/>
        <v>005012400</v>
      </c>
      <c r="D696" s="42">
        <f>VLOOKUP($A696,'Neraca Unaudited SIMAK'!$A$2:$R$1272,3,FALSE)+IF(ISNA(VLOOKUP($A696,'Mutasi Neraca'!$A$3:$S$910,3,FALSE)),0,VLOOKUP($A696,'Mutasi Neraca'!$A$3:$S$910,3,FALSE))</f>
        <v>487500</v>
      </c>
      <c r="E696" s="42">
        <f>VLOOKUP($A696,'Neraca Unaudited SIMAK'!$A$2:$R$1272,4,FALSE)+IF(ISNA(VLOOKUP($A696,'Mutasi Neraca'!$A$3:$S$910,4,FALSE)),0,VLOOKUP($A696,'Mutasi Neraca'!$A$3:$S$910,4,FALSE))</f>
        <v>432384000</v>
      </c>
      <c r="F696" s="42">
        <f>VLOOKUP($A696,'Neraca Unaudited SIMAK'!$A$2:$R$1272,5,FALSE)+IF(ISNA(VLOOKUP($A696,'Mutasi Neraca'!$A$3:$S$910,5,FALSE)),0,VLOOKUP($A696,'Mutasi Neraca'!$A$3:$S$910,5,FALSE))</f>
        <v>2206938862</v>
      </c>
      <c r="G696" s="42">
        <f>VLOOKUP($A696,'Neraca Unaudited SIMAK'!$A$2:$R$1272,6,FALSE)+IF(ISNA(VLOOKUP($A696,'Mutasi Neraca'!$A$3:$S$910,6,FALSE)),0,VLOOKUP($A696,'Mutasi Neraca'!$A$3:$S$910,6,FALSE))</f>
        <v>10792056500</v>
      </c>
      <c r="H696" s="42">
        <f>VLOOKUP($A696,'Neraca Unaudited SIMAK'!$A$2:$R$1272,7,FALSE)+IF(ISNA(VLOOKUP($A696,'Mutasi Neraca'!$A$3:$S$910,7,FALSE)),0,VLOOKUP($A696,'Mutasi Neraca'!$A$3:$S$910,7,FALSE))</f>
        <v>65325000</v>
      </c>
      <c r="I696" s="42">
        <f>VLOOKUP($A696,'Neraca Unaudited SIMAK'!$A$2:$R$1272,8,FALSE)+IF(ISNA(VLOOKUP($A696,'Mutasi Neraca'!$A$3:$S$910,8,FALSE)),0,VLOOKUP($A696,'Mutasi Neraca'!$A$3:$S$910,8,FALSE))</f>
        <v>4626840</v>
      </c>
      <c r="J696" s="42">
        <f>VLOOKUP($A696,'Neraca Unaudited SIMAK'!$A$2:$R$1272,9,FALSE)+IF(ISNA(VLOOKUP($A696,'Mutasi Neraca'!$A$3:$S$910,9,FALSE)),0,VLOOKUP($A696,'Mutasi Neraca'!$A$3:$S$910,9,FALSE))</f>
        <v>0</v>
      </c>
      <c r="K696" s="42">
        <f>VLOOKUP($A696,'Neraca Unaudited SIMAK'!$A$2:$R$1272,10,FALSE)+IF(ISNA(VLOOKUP($A696,'Mutasi Neraca'!$A$3:$S$910,10,FALSE)),0,VLOOKUP($A696,'Mutasi Neraca'!$A$3:$S$910,10,FALSE))</f>
        <v>0</v>
      </c>
      <c r="L696" s="42">
        <f>VLOOKUP($A696,'Neraca Unaudited SIMAK'!$A$2:$R$1272,11,FALSE)+IF(ISNA(VLOOKUP($A696,'Mutasi Neraca'!$A$3:$S$910,11,FALSE)),0,VLOOKUP($A696,'Mutasi Neraca'!$A$3:$S$910,11,FALSE))</f>
        <v>2640000</v>
      </c>
      <c r="M696" s="42">
        <f>VLOOKUP($A696,'Neraca Unaudited SIMAK'!$A$2:$R$1272,12,FALSE)+IF(ISNA(VLOOKUP($A696,'Mutasi Neraca'!$A$3:$S$910,12,FALSE)),0,VLOOKUP($A696,'Mutasi Neraca'!$A$3:$S$910,12,FALSE))</f>
        <v>13504458702</v>
      </c>
      <c r="N696" s="42">
        <f>VLOOKUP($A696,'Neraca Unaudited SIMAK'!$A$2:$R$1272,13,FALSE)+IF(ISNA(VLOOKUP($A696,'Mutasi Neraca'!$A$3:$S$910,13,FALSE)),0,VLOOKUP($A696,'Mutasi Neraca'!$A$3:$S$910,13,FALSE))</f>
        <v>-2151521468</v>
      </c>
      <c r="O696" s="42">
        <f>VLOOKUP($A696,'Neraca Unaudited SIMAK'!$A$2:$R$1272,14,FALSE)+IF(ISNA(VLOOKUP($A696,'Mutasi Neraca'!$A$3:$S$910,14,FALSE)),0,VLOOKUP($A696,'Mutasi Neraca'!$A$3:$S$910,14,FALSE))</f>
        <v>-1866535488</v>
      </c>
      <c r="P696" s="42">
        <f>VLOOKUP($A696,'Neraca Unaudited SIMAK'!$A$2:$R$1272,15,FALSE)+IF(ISNA(VLOOKUP($A696,'Mutasi Neraca'!$A$3:$S$910,15,FALSE)),0,VLOOKUP($A696,'Mutasi Neraca'!$A$3:$S$910,15,FALSE))</f>
        <v>-65325000</v>
      </c>
      <c r="Q696" s="42">
        <f>VLOOKUP($A696,'Neraca Unaudited SIMAK'!$A$2:$R$1272,16,FALSE)+IF(ISNA(VLOOKUP($A696,'Mutasi Neraca'!$A$3:$S$910,16,FALSE)),0,VLOOKUP($A696,'Mutasi Neraca'!$A$3:$S$910,16,FALSE))</f>
        <v>0</v>
      </c>
      <c r="R696" s="42">
        <f>VLOOKUP($A696,'Neraca Unaudited SIMAK'!$A$2:$R$1272,17,FALSE)+IF(ISNA(VLOOKUP($A696,'Mutasi Neraca'!$A$3:$S$910,17,FALSE)),0,VLOOKUP($A696,'Mutasi Neraca'!$A$3:$S$910,17,FALSE))</f>
        <v>-1952500</v>
      </c>
      <c r="S696" s="42">
        <f t="shared" si="63"/>
        <v>9419124246</v>
      </c>
    </row>
    <row r="697" spans="1:19">
      <c r="A697" s="41" t="s">
        <v>704</v>
      </c>
      <c r="B697" s="41" t="str">
        <f t="shared" si="62"/>
        <v>005012400</v>
      </c>
      <c r="D697" s="42">
        <f>VLOOKUP($A697,'Neraca Unaudited SIMAK'!$A$2:$R$1272,3,FALSE)+IF(ISNA(VLOOKUP($A697,'Mutasi Neraca'!$A$3:$S$910,3,FALSE)),0,VLOOKUP($A697,'Mutasi Neraca'!$A$3:$S$910,3,FALSE))</f>
        <v>52500</v>
      </c>
      <c r="E697" s="42">
        <f>VLOOKUP($A697,'Neraca Unaudited SIMAK'!$A$2:$R$1272,4,FALSE)+IF(ISNA(VLOOKUP($A697,'Mutasi Neraca'!$A$3:$S$910,4,FALSE)),0,VLOOKUP($A697,'Mutasi Neraca'!$A$3:$S$910,4,FALSE))</f>
        <v>2074200000</v>
      </c>
      <c r="F697" s="42">
        <f>VLOOKUP($A697,'Neraca Unaudited SIMAK'!$A$2:$R$1272,5,FALSE)+IF(ISNA(VLOOKUP($A697,'Mutasi Neraca'!$A$3:$S$910,5,FALSE)),0,VLOOKUP($A697,'Mutasi Neraca'!$A$3:$S$910,5,FALSE))</f>
        <v>774673432</v>
      </c>
      <c r="G697" s="42">
        <f>VLOOKUP($A697,'Neraca Unaudited SIMAK'!$A$2:$R$1272,6,FALSE)+IF(ISNA(VLOOKUP($A697,'Mutasi Neraca'!$A$3:$S$910,6,FALSE)),0,VLOOKUP($A697,'Mutasi Neraca'!$A$3:$S$910,6,FALSE))</f>
        <v>1005345000</v>
      </c>
      <c r="H697" s="42">
        <f>VLOOKUP($A697,'Neraca Unaudited SIMAK'!$A$2:$R$1272,7,FALSE)+IF(ISNA(VLOOKUP($A697,'Mutasi Neraca'!$A$3:$S$910,7,FALSE)),0,VLOOKUP($A697,'Mutasi Neraca'!$A$3:$S$910,7,FALSE))</f>
        <v>28974000</v>
      </c>
      <c r="I697" s="42">
        <f>VLOOKUP($A697,'Neraca Unaudited SIMAK'!$A$2:$R$1272,8,FALSE)+IF(ISNA(VLOOKUP($A697,'Mutasi Neraca'!$A$3:$S$910,8,FALSE)),0,VLOOKUP($A697,'Mutasi Neraca'!$A$3:$S$910,8,FALSE))</f>
        <v>46151000</v>
      </c>
      <c r="J697" s="42">
        <f>VLOOKUP($A697,'Neraca Unaudited SIMAK'!$A$2:$R$1272,9,FALSE)+IF(ISNA(VLOOKUP($A697,'Mutasi Neraca'!$A$3:$S$910,9,FALSE)),0,VLOOKUP($A697,'Mutasi Neraca'!$A$3:$S$910,9,FALSE))</f>
        <v>0</v>
      </c>
      <c r="K697" s="42">
        <f>VLOOKUP($A697,'Neraca Unaudited SIMAK'!$A$2:$R$1272,10,FALSE)+IF(ISNA(VLOOKUP($A697,'Mutasi Neraca'!$A$3:$S$910,10,FALSE)),0,VLOOKUP($A697,'Mutasi Neraca'!$A$3:$S$910,10,FALSE))</f>
        <v>0</v>
      </c>
      <c r="L697" s="42">
        <f>VLOOKUP($A697,'Neraca Unaudited SIMAK'!$A$2:$R$1272,11,FALSE)+IF(ISNA(VLOOKUP($A697,'Mutasi Neraca'!$A$3:$S$910,11,FALSE)),0,VLOOKUP($A697,'Mutasi Neraca'!$A$3:$S$910,11,FALSE))</f>
        <v>233194857</v>
      </c>
      <c r="M697" s="42">
        <f>VLOOKUP($A697,'Neraca Unaudited SIMAK'!$A$2:$R$1272,12,FALSE)+IF(ISNA(VLOOKUP($A697,'Mutasi Neraca'!$A$3:$S$910,12,FALSE)),0,VLOOKUP($A697,'Mutasi Neraca'!$A$3:$S$910,12,FALSE))</f>
        <v>4162590789</v>
      </c>
      <c r="N697" s="42">
        <f>VLOOKUP($A697,'Neraca Unaudited SIMAK'!$A$2:$R$1272,13,FALSE)+IF(ISNA(VLOOKUP($A697,'Mutasi Neraca'!$A$3:$S$910,13,FALSE)),0,VLOOKUP($A697,'Mutasi Neraca'!$A$3:$S$910,13,FALSE))</f>
        <v>-515942439</v>
      </c>
      <c r="O697" s="42">
        <f>VLOOKUP($A697,'Neraca Unaudited SIMAK'!$A$2:$R$1272,14,FALSE)+IF(ISNA(VLOOKUP($A697,'Mutasi Neraca'!$A$3:$S$910,14,FALSE)),0,VLOOKUP($A697,'Mutasi Neraca'!$A$3:$S$910,14,FALSE))</f>
        <v>-220669820</v>
      </c>
      <c r="P697" s="42">
        <f>VLOOKUP($A697,'Neraca Unaudited SIMAK'!$A$2:$R$1272,15,FALSE)+IF(ISNA(VLOOKUP($A697,'Mutasi Neraca'!$A$3:$S$910,15,FALSE)),0,VLOOKUP($A697,'Mutasi Neraca'!$A$3:$S$910,15,FALSE))</f>
        <v>-3259575</v>
      </c>
      <c r="Q697" s="42">
        <f>VLOOKUP($A697,'Neraca Unaudited SIMAK'!$A$2:$R$1272,16,FALSE)+IF(ISNA(VLOOKUP($A697,'Mutasi Neraca'!$A$3:$S$910,16,FALSE)),0,VLOOKUP($A697,'Mutasi Neraca'!$A$3:$S$910,16,FALSE))</f>
        <v>0</v>
      </c>
      <c r="R697" s="42">
        <f>VLOOKUP($A697,'Neraca Unaudited SIMAK'!$A$2:$R$1272,17,FALSE)+IF(ISNA(VLOOKUP($A697,'Mutasi Neraca'!$A$3:$S$910,17,FALSE)),0,VLOOKUP($A697,'Mutasi Neraca'!$A$3:$S$910,17,FALSE))</f>
        <v>-233194857</v>
      </c>
      <c r="S697" s="42">
        <f t="shared" si="63"/>
        <v>3189524098</v>
      </c>
    </row>
    <row r="698" spans="1:19">
      <c r="A698" s="41" t="s">
        <v>705</v>
      </c>
      <c r="B698" s="41" t="str">
        <f t="shared" si="62"/>
        <v>005012400</v>
      </c>
      <c r="D698" s="42">
        <f>VLOOKUP($A698,'Neraca Unaudited SIMAK'!$A$2:$R$1272,3,FALSE)+IF(ISNA(VLOOKUP($A698,'Mutasi Neraca'!$A$3:$S$910,3,FALSE)),0,VLOOKUP($A698,'Mutasi Neraca'!$A$3:$S$910,3,FALSE))</f>
        <v>1858388</v>
      </c>
      <c r="E698" s="42">
        <f>VLOOKUP($A698,'Neraca Unaudited SIMAK'!$A$2:$R$1272,4,FALSE)+IF(ISNA(VLOOKUP($A698,'Mutasi Neraca'!$A$3:$S$910,4,FALSE)),0,VLOOKUP($A698,'Mutasi Neraca'!$A$3:$S$910,4,FALSE))</f>
        <v>1909191000</v>
      </c>
      <c r="F698" s="42">
        <f>VLOOKUP($A698,'Neraca Unaudited SIMAK'!$A$2:$R$1272,5,FALSE)+IF(ISNA(VLOOKUP($A698,'Mutasi Neraca'!$A$3:$S$910,5,FALSE)),0,VLOOKUP($A698,'Mutasi Neraca'!$A$3:$S$910,5,FALSE))</f>
        <v>2149812510</v>
      </c>
      <c r="G698" s="42">
        <f>VLOOKUP($A698,'Neraca Unaudited SIMAK'!$A$2:$R$1272,6,FALSE)+IF(ISNA(VLOOKUP($A698,'Mutasi Neraca'!$A$3:$S$910,6,FALSE)),0,VLOOKUP($A698,'Mutasi Neraca'!$A$3:$S$910,6,FALSE))</f>
        <v>8556456594</v>
      </c>
      <c r="H698" s="42">
        <f>VLOOKUP($A698,'Neraca Unaudited SIMAK'!$A$2:$R$1272,7,FALSE)+IF(ISNA(VLOOKUP($A698,'Mutasi Neraca'!$A$3:$S$910,7,FALSE)),0,VLOOKUP($A698,'Mutasi Neraca'!$A$3:$S$910,7,FALSE))</f>
        <v>0</v>
      </c>
      <c r="I698" s="42">
        <f>VLOOKUP($A698,'Neraca Unaudited SIMAK'!$A$2:$R$1272,8,FALSE)+IF(ISNA(VLOOKUP($A698,'Mutasi Neraca'!$A$3:$S$910,8,FALSE)),0,VLOOKUP($A698,'Mutasi Neraca'!$A$3:$S$910,8,FALSE))</f>
        <v>2902770</v>
      </c>
      <c r="J698" s="42">
        <f>VLOOKUP($A698,'Neraca Unaudited SIMAK'!$A$2:$R$1272,9,FALSE)+IF(ISNA(VLOOKUP($A698,'Mutasi Neraca'!$A$3:$S$910,9,FALSE)),0,VLOOKUP($A698,'Mutasi Neraca'!$A$3:$S$910,9,FALSE))</f>
        <v>0</v>
      </c>
      <c r="K698" s="42">
        <f>VLOOKUP($A698,'Neraca Unaudited SIMAK'!$A$2:$R$1272,10,FALSE)+IF(ISNA(VLOOKUP($A698,'Mutasi Neraca'!$A$3:$S$910,10,FALSE)),0,VLOOKUP($A698,'Mutasi Neraca'!$A$3:$S$910,10,FALSE))</f>
        <v>0</v>
      </c>
      <c r="L698" s="42">
        <f>VLOOKUP($A698,'Neraca Unaudited SIMAK'!$A$2:$R$1272,11,FALSE)+IF(ISNA(VLOOKUP($A698,'Mutasi Neraca'!$A$3:$S$910,11,FALSE)),0,VLOOKUP($A698,'Mutasi Neraca'!$A$3:$S$910,11,FALSE))</f>
        <v>56617120</v>
      </c>
      <c r="M698" s="42">
        <f>VLOOKUP($A698,'Neraca Unaudited SIMAK'!$A$2:$R$1272,12,FALSE)+IF(ISNA(VLOOKUP($A698,'Mutasi Neraca'!$A$3:$S$910,12,FALSE)),0,VLOOKUP($A698,'Mutasi Neraca'!$A$3:$S$910,12,FALSE))</f>
        <v>12676838382</v>
      </c>
      <c r="N698" s="42">
        <f>VLOOKUP($A698,'Neraca Unaudited SIMAK'!$A$2:$R$1272,13,FALSE)+IF(ISNA(VLOOKUP($A698,'Mutasi Neraca'!$A$3:$S$910,13,FALSE)),0,VLOOKUP($A698,'Mutasi Neraca'!$A$3:$S$910,13,FALSE))</f>
        <v>-1922287029</v>
      </c>
      <c r="O698" s="42">
        <f>VLOOKUP($A698,'Neraca Unaudited SIMAK'!$A$2:$R$1272,14,FALSE)+IF(ISNA(VLOOKUP($A698,'Mutasi Neraca'!$A$3:$S$910,14,FALSE)),0,VLOOKUP($A698,'Mutasi Neraca'!$A$3:$S$910,14,FALSE))</f>
        <v>-1157962079</v>
      </c>
      <c r="P698" s="42">
        <f>VLOOKUP($A698,'Neraca Unaudited SIMAK'!$A$2:$R$1272,15,FALSE)+IF(ISNA(VLOOKUP($A698,'Mutasi Neraca'!$A$3:$S$910,15,FALSE)),0,VLOOKUP($A698,'Mutasi Neraca'!$A$3:$S$910,15,FALSE))</f>
        <v>0</v>
      </c>
      <c r="Q698" s="42">
        <f>VLOOKUP($A698,'Neraca Unaudited SIMAK'!$A$2:$R$1272,16,FALSE)+IF(ISNA(VLOOKUP($A698,'Mutasi Neraca'!$A$3:$S$910,16,FALSE)),0,VLOOKUP($A698,'Mutasi Neraca'!$A$3:$S$910,16,FALSE))</f>
        <v>0</v>
      </c>
      <c r="R698" s="42">
        <f>VLOOKUP($A698,'Neraca Unaudited SIMAK'!$A$2:$R$1272,17,FALSE)+IF(ISNA(VLOOKUP($A698,'Mutasi Neraca'!$A$3:$S$910,17,FALSE)),0,VLOOKUP($A698,'Mutasi Neraca'!$A$3:$S$910,17,FALSE))</f>
        <v>-56617120</v>
      </c>
      <c r="S698" s="42">
        <f t="shared" si="63"/>
        <v>9539972154</v>
      </c>
    </row>
    <row r="699" spans="1:19">
      <c r="A699" s="41" t="s">
        <v>706</v>
      </c>
      <c r="B699" s="41" t="str">
        <f t="shared" si="62"/>
        <v>005012400</v>
      </c>
      <c r="D699" s="42">
        <f>VLOOKUP($A699,'Neraca Unaudited SIMAK'!$A$2:$R$1272,3,FALSE)+IF(ISNA(VLOOKUP($A699,'Mutasi Neraca'!$A$3:$S$910,3,FALSE)),0,VLOOKUP($A699,'Mutasi Neraca'!$A$3:$S$910,3,FALSE))</f>
        <v>0</v>
      </c>
      <c r="E699" s="42">
        <f>VLOOKUP($A699,'Neraca Unaudited SIMAK'!$A$2:$R$1272,4,FALSE)+IF(ISNA(VLOOKUP($A699,'Mutasi Neraca'!$A$3:$S$910,4,FALSE)),0,VLOOKUP($A699,'Mutasi Neraca'!$A$3:$S$910,4,FALSE))</f>
        <v>951450000</v>
      </c>
      <c r="F699" s="42">
        <f>VLOOKUP($A699,'Neraca Unaudited SIMAK'!$A$2:$R$1272,5,FALSE)+IF(ISNA(VLOOKUP($A699,'Mutasi Neraca'!$A$3:$S$910,5,FALSE)),0,VLOOKUP($A699,'Mutasi Neraca'!$A$3:$S$910,5,FALSE))</f>
        <v>1367218002</v>
      </c>
      <c r="G699" s="42">
        <f>VLOOKUP($A699,'Neraca Unaudited SIMAK'!$A$2:$R$1272,6,FALSE)+IF(ISNA(VLOOKUP($A699,'Mutasi Neraca'!$A$3:$S$910,6,FALSE)),0,VLOOKUP($A699,'Mutasi Neraca'!$A$3:$S$910,6,FALSE))</f>
        <v>7024569150</v>
      </c>
      <c r="H699" s="42">
        <f>VLOOKUP($A699,'Neraca Unaudited SIMAK'!$A$2:$R$1272,7,FALSE)+IF(ISNA(VLOOKUP($A699,'Mutasi Neraca'!$A$3:$S$910,7,FALSE)),0,VLOOKUP($A699,'Mutasi Neraca'!$A$3:$S$910,7,FALSE))</f>
        <v>18999000</v>
      </c>
      <c r="I699" s="42">
        <f>VLOOKUP($A699,'Neraca Unaudited SIMAK'!$A$2:$R$1272,8,FALSE)+IF(ISNA(VLOOKUP($A699,'Mutasi Neraca'!$A$3:$S$910,8,FALSE)),0,VLOOKUP($A699,'Mutasi Neraca'!$A$3:$S$910,8,FALSE))</f>
        <v>50373000</v>
      </c>
      <c r="J699" s="42">
        <f>VLOOKUP($A699,'Neraca Unaudited SIMAK'!$A$2:$R$1272,9,FALSE)+IF(ISNA(VLOOKUP($A699,'Mutasi Neraca'!$A$3:$S$910,9,FALSE)),0,VLOOKUP($A699,'Mutasi Neraca'!$A$3:$S$910,9,FALSE))</f>
        <v>0</v>
      </c>
      <c r="K699" s="42">
        <f>VLOOKUP($A699,'Neraca Unaudited SIMAK'!$A$2:$R$1272,10,FALSE)+IF(ISNA(VLOOKUP($A699,'Mutasi Neraca'!$A$3:$S$910,10,FALSE)),0,VLOOKUP($A699,'Mutasi Neraca'!$A$3:$S$910,10,FALSE))</f>
        <v>0</v>
      </c>
      <c r="L699" s="42">
        <f>VLOOKUP($A699,'Neraca Unaudited SIMAK'!$A$2:$R$1272,11,FALSE)+IF(ISNA(VLOOKUP($A699,'Mutasi Neraca'!$A$3:$S$910,11,FALSE)),0,VLOOKUP($A699,'Mutasi Neraca'!$A$3:$S$910,11,FALSE))</f>
        <v>92865722</v>
      </c>
      <c r="M699" s="42">
        <f>VLOOKUP($A699,'Neraca Unaudited SIMAK'!$A$2:$R$1272,12,FALSE)+IF(ISNA(VLOOKUP($A699,'Mutasi Neraca'!$A$3:$S$910,12,FALSE)),0,VLOOKUP($A699,'Mutasi Neraca'!$A$3:$S$910,12,FALSE))</f>
        <v>9505474874</v>
      </c>
      <c r="N699" s="42">
        <f>VLOOKUP($A699,'Neraca Unaudited SIMAK'!$A$2:$R$1272,13,FALSE)+IF(ISNA(VLOOKUP($A699,'Mutasi Neraca'!$A$3:$S$910,13,FALSE)),0,VLOOKUP($A699,'Mutasi Neraca'!$A$3:$S$910,13,FALSE))</f>
        <v>-1086233635</v>
      </c>
      <c r="O699" s="42">
        <f>VLOOKUP($A699,'Neraca Unaudited SIMAK'!$A$2:$R$1272,14,FALSE)+IF(ISNA(VLOOKUP($A699,'Mutasi Neraca'!$A$3:$S$910,14,FALSE)),0,VLOOKUP($A699,'Mutasi Neraca'!$A$3:$S$910,14,FALSE))</f>
        <v>-328233912</v>
      </c>
      <c r="P699" s="42">
        <f>VLOOKUP($A699,'Neraca Unaudited SIMAK'!$A$2:$R$1272,15,FALSE)+IF(ISNA(VLOOKUP($A699,'Mutasi Neraca'!$A$3:$S$910,15,FALSE)),0,VLOOKUP($A699,'Mutasi Neraca'!$A$3:$S$910,15,FALSE))</f>
        <v>-1074950</v>
      </c>
      <c r="Q699" s="42">
        <f>VLOOKUP($A699,'Neraca Unaudited SIMAK'!$A$2:$R$1272,16,FALSE)+IF(ISNA(VLOOKUP($A699,'Mutasi Neraca'!$A$3:$S$910,16,FALSE)),0,VLOOKUP($A699,'Mutasi Neraca'!$A$3:$S$910,16,FALSE))</f>
        <v>-11243750</v>
      </c>
      <c r="R699" s="42">
        <f>VLOOKUP($A699,'Neraca Unaudited SIMAK'!$A$2:$R$1272,17,FALSE)+IF(ISNA(VLOOKUP($A699,'Mutasi Neraca'!$A$3:$S$910,17,FALSE)),0,VLOOKUP($A699,'Mutasi Neraca'!$A$3:$S$910,17,FALSE))</f>
        <v>-91379488</v>
      </c>
      <c r="S699" s="42">
        <f t="shared" si="63"/>
        <v>7987309139</v>
      </c>
    </row>
    <row r="700" spans="1:19">
      <c r="A700" s="41" t="s">
        <v>707</v>
      </c>
      <c r="B700" s="41" t="str">
        <f t="shared" si="62"/>
        <v>005012400</v>
      </c>
      <c r="D700" s="42">
        <f>VLOOKUP($A700,'Neraca Unaudited SIMAK'!$A$2:$R$1272,3,FALSE)+IF(ISNA(VLOOKUP($A700,'Mutasi Neraca'!$A$3:$S$910,3,FALSE)),0,VLOOKUP($A700,'Mutasi Neraca'!$A$3:$S$910,3,FALSE))</f>
        <v>2710000</v>
      </c>
      <c r="E700" s="42">
        <f>VLOOKUP($A700,'Neraca Unaudited SIMAK'!$A$2:$R$1272,4,FALSE)+IF(ISNA(VLOOKUP($A700,'Mutasi Neraca'!$A$3:$S$910,4,FALSE)),0,VLOOKUP($A700,'Mutasi Neraca'!$A$3:$S$910,4,FALSE))</f>
        <v>2080945000</v>
      </c>
      <c r="F700" s="42">
        <f>VLOOKUP($A700,'Neraca Unaudited SIMAK'!$A$2:$R$1272,5,FALSE)+IF(ISNA(VLOOKUP($A700,'Mutasi Neraca'!$A$3:$S$910,5,FALSE)),0,VLOOKUP($A700,'Mutasi Neraca'!$A$3:$S$910,5,FALSE))</f>
        <v>1776232287</v>
      </c>
      <c r="G700" s="42">
        <f>VLOOKUP($A700,'Neraca Unaudited SIMAK'!$A$2:$R$1272,6,FALSE)+IF(ISNA(VLOOKUP($A700,'Mutasi Neraca'!$A$3:$S$910,6,FALSE)),0,VLOOKUP($A700,'Mutasi Neraca'!$A$3:$S$910,6,FALSE))</f>
        <v>7374571700</v>
      </c>
      <c r="H700" s="42">
        <f>VLOOKUP($A700,'Neraca Unaudited SIMAK'!$A$2:$R$1272,7,FALSE)+IF(ISNA(VLOOKUP($A700,'Mutasi Neraca'!$A$3:$S$910,7,FALSE)),0,VLOOKUP($A700,'Mutasi Neraca'!$A$3:$S$910,7,FALSE))</f>
        <v>8940910</v>
      </c>
      <c r="I700" s="42">
        <f>VLOOKUP($A700,'Neraca Unaudited SIMAK'!$A$2:$R$1272,8,FALSE)+IF(ISNA(VLOOKUP($A700,'Mutasi Neraca'!$A$3:$S$910,8,FALSE)),0,VLOOKUP($A700,'Mutasi Neraca'!$A$3:$S$910,8,FALSE))</f>
        <v>34664870</v>
      </c>
      <c r="J700" s="42">
        <f>VLOOKUP($A700,'Neraca Unaudited SIMAK'!$A$2:$R$1272,9,FALSE)+IF(ISNA(VLOOKUP($A700,'Mutasi Neraca'!$A$3:$S$910,9,FALSE)),0,VLOOKUP($A700,'Mutasi Neraca'!$A$3:$S$910,9,FALSE))</f>
        <v>0</v>
      </c>
      <c r="K700" s="42">
        <f>VLOOKUP($A700,'Neraca Unaudited SIMAK'!$A$2:$R$1272,10,FALSE)+IF(ISNA(VLOOKUP($A700,'Mutasi Neraca'!$A$3:$S$910,10,FALSE)),0,VLOOKUP($A700,'Mutasi Neraca'!$A$3:$S$910,10,FALSE))</f>
        <v>0</v>
      </c>
      <c r="L700" s="42">
        <f>VLOOKUP($A700,'Neraca Unaudited SIMAK'!$A$2:$R$1272,11,FALSE)+IF(ISNA(VLOOKUP($A700,'Mutasi Neraca'!$A$3:$S$910,11,FALSE)),0,VLOOKUP($A700,'Mutasi Neraca'!$A$3:$S$910,11,FALSE))</f>
        <v>10854000</v>
      </c>
      <c r="M700" s="42">
        <f>VLOOKUP($A700,'Neraca Unaudited SIMAK'!$A$2:$R$1272,12,FALSE)+IF(ISNA(VLOOKUP($A700,'Mutasi Neraca'!$A$3:$S$910,12,FALSE)),0,VLOOKUP($A700,'Mutasi Neraca'!$A$3:$S$910,12,FALSE))</f>
        <v>11288918767</v>
      </c>
      <c r="N700" s="42">
        <f>VLOOKUP($A700,'Neraca Unaudited SIMAK'!$A$2:$R$1272,13,FALSE)+IF(ISNA(VLOOKUP($A700,'Mutasi Neraca'!$A$3:$S$910,13,FALSE)),0,VLOOKUP($A700,'Mutasi Neraca'!$A$3:$S$910,13,FALSE))</f>
        <v>-1257289950</v>
      </c>
      <c r="O700" s="42">
        <f>VLOOKUP($A700,'Neraca Unaudited SIMAK'!$A$2:$R$1272,14,FALSE)+IF(ISNA(VLOOKUP($A700,'Mutasi Neraca'!$A$3:$S$910,14,FALSE)),0,VLOOKUP($A700,'Mutasi Neraca'!$A$3:$S$910,14,FALSE))</f>
        <v>-333899413</v>
      </c>
      <c r="P700" s="42">
        <f>VLOOKUP($A700,'Neraca Unaudited SIMAK'!$A$2:$R$1272,15,FALSE)+IF(ISNA(VLOOKUP($A700,'Mutasi Neraca'!$A$3:$S$910,15,FALSE)),0,VLOOKUP($A700,'Mutasi Neraca'!$A$3:$S$910,15,FALSE))</f>
        <v>-1937195</v>
      </c>
      <c r="Q700" s="42">
        <f>VLOOKUP($A700,'Neraca Unaudited SIMAK'!$A$2:$R$1272,16,FALSE)+IF(ISNA(VLOOKUP($A700,'Mutasi Neraca'!$A$3:$S$910,16,FALSE)),0,VLOOKUP($A700,'Mutasi Neraca'!$A$3:$S$910,16,FALSE))</f>
        <v>0</v>
      </c>
      <c r="R700" s="42">
        <f>VLOOKUP($A700,'Neraca Unaudited SIMAK'!$A$2:$R$1272,17,FALSE)+IF(ISNA(VLOOKUP($A700,'Mutasi Neraca'!$A$3:$S$910,17,FALSE)),0,VLOOKUP($A700,'Mutasi Neraca'!$A$3:$S$910,17,FALSE))</f>
        <v>-10854000</v>
      </c>
      <c r="S700" s="42">
        <f t="shared" si="63"/>
        <v>9684938209</v>
      </c>
    </row>
    <row r="701" spans="1:19">
      <c r="A701" s="41" t="s">
        <v>708</v>
      </c>
      <c r="B701" s="41" t="str">
        <f t="shared" si="62"/>
        <v>005012400</v>
      </c>
      <c r="D701" s="42">
        <f>VLOOKUP($A701,'Neraca Unaudited SIMAK'!$A$2:$R$1272,3,FALSE)+IF(ISNA(VLOOKUP($A701,'Mutasi Neraca'!$A$3:$S$910,3,FALSE)),0,VLOOKUP($A701,'Mutasi Neraca'!$A$3:$S$910,3,FALSE))</f>
        <v>0</v>
      </c>
      <c r="E701" s="42">
        <f>VLOOKUP($A701,'Neraca Unaudited SIMAK'!$A$2:$R$1272,4,FALSE)+IF(ISNA(VLOOKUP($A701,'Mutasi Neraca'!$A$3:$S$910,4,FALSE)),0,VLOOKUP($A701,'Mutasi Neraca'!$A$3:$S$910,4,FALSE))</f>
        <v>1170232000</v>
      </c>
      <c r="F701" s="42">
        <f>VLOOKUP($A701,'Neraca Unaudited SIMAK'!$A$2:$R$1272,5,FALSE)+IF(ISNA(VLOOKUP($A701,'Mutasi Neraca'!$A$3:$S$910,5,FALSE)),0,VLOOKUP($A701,'Mutasi Neraca'!$A$3:$S$910,5,FALSE))</f>
        <v>1357832241</v>
      </c>
      <c r="G701" s="42">
        <f>VLOOKUP($A701,'Neraca Unaudited SIMAK'!$A$2:$R$1272,6,FALSE)+IF(ISNA(VLOOKUP($A701,'Mutasi Neraca'!$A$3:$S$910,6,FALSE)),0,VLOOKUP($A701,'Mutasi Neraca'!$A$3:$S$910,6,FALSE))</f>
        <v>5724742312</v>
      </c>
      <c r="H701" s="42">
        <f>VLOOKUP($A701,'Neraca Unaudited SIMAK'!$A$2:$R$1272,7,FALSE)+IF(ISNA(VLOOKUP($A701,'Mutasi Neraca'!$A$3:$S$910,7,FALSE)),0,VLOOKUP($A701,'Mutasi Neraca'!$A$3:$S$910,7,FALSE))</f>
        <v>41497500</v>
      </c>
      <c r="I701" s="42">
        <f>VLOOKUP($A701,'Neraca Unaudited SIMAK'!$A$2:$R$1272,8,FALSE)+IF(ISNA(VLOOKUP($A701,'Mutasi Neraca'!$A$3:$S$910,8,FALSE)),0,VLOOKUP($A701,'Mutasi Neraca'!$A$3:$S$910,8,FALSE))</f>
        <v>18646320</v>
      </c>
      <c r="J701" s="42">
        <f>VLOOKUP($A701,'Neraca Unaudited SIMAK'!$A$2:$R$1272,9,FALSE)+IF(ISNA(VLOOKUP($A701,'Mutasi Neraca'!$A$3:$S$910,9,FALSE)),0,VLOOKUP($A701,'Mutasi Neraca'!$A$3:$S$910,9,FALSE))</f>
        <v>0</v>
      </c>
      <c r="K701" s="42">
        <f>VLOOKUP($A701,'Neraca Unaudited SIMAK'!$A$2:$R$1272,10,FALSE)+IF(ISNA(VLOOKUP($A701,'Mutasi Neraca'!$A$3:$S$910,10,FALSE)),0,VLOOKUP($A701,'Mutasi Neraca'!$A$3:$S$910,10,FALSE))</f>
        <v>0</v>
      </c>
      <c r="L701" s="42">
        <f>VLOOKUP($A701,'Neraca Unaudited SIMAK'!$A$2:$R$1272,11,FALSE)+IF(ISNA(VLOOKUP($A701,'Mutasi Neraca'!$A$3:$S$910,11,FALSE)),0,VLOOKUP($A701,'Mutasi Neraca'!$A$3:$S$910,11,FALSE))</f>
        <v>1225000</v>
      </c>
      <c r="M701" s="42">
        <f>VLOOKUP($A701,'Neraca Unaudited SIMAK'!$A$2:$R$1272,12,FALSE)+IF(ISNA(VLOOKUP($A701,'Mutasi Neraca'!$A$3:$S$910,12,FALSE)),0,VLOOKUP($A701,'Mutasi Neraca'!$A$3:$S$910,12,FALSE))</f>
        <v>8314175373</v>
      </c>
      <c r="N701" s="42">
        <f>VLOOKUP($A701,'Neraca Unaudited SIMAK'!$A$2:$R$1272,13,FALSE)+IF(ISNA(VLOOKUP($A701,'Mutasi Neraca'!$A$3:$S$910,13,FALSE)),0,VLOOKUP($A701,'Mutasi Neraca'!$A$3:$S$910,13,FALSE))</f>
        <v>-1019079013</v>
      </c>
      <c r="O701" s="42">
        <f>VLOOKUP($A701,'Neraca Unaudited SIMAK'!$A$2:$R$1272,14,FALSE)+IF(ISNA(VLOOKUP($A701,'Mutasi Neraca'!$A$3:$S$910,14,FALSE)),0,VLOOKUP($A701,'Mutasi Neraca'!$A$3:$S$910,14,FALSE))</f>
        <v>-791518892</v>
      </c>
      <c r="P701" s="42">
        <f>VLOOKUP($A701,'Neraca Unaudited SIMAK'!$A$2:$R$1272,15,FALSE)+IF(ISNA(VLOOKUP($A701,'Mutasi Neraca'!$A$3:$S$910,15,FALSE)),0,VLOOKUP($A701,'Mutasi Neraca'!$A$3:$S$910,15,FALSE))</f>
        <v>-3631033</v>
      </c>
      <c r="Q701" s="42">
        <f>VLOOKUP($A701,'Neraca Unaudited SIMAK'!$A$2:$R$1272,16,FALSE)+IF(ISNA(VLOOKUP($A701,'Mutasi Neraca'!$A$3:$S$910,16,FALSE)),0,VLOOKUP($A701,'Mutasi Neraca'!$A$3:$S$910,16,FALSE))</f>
        <v>0</v>
      </c>
      <c r="R701" s="42">
        <f>VLOOKUP($A701,'Neraca Unaudited SIMAK'!$A$2:$R$1272,17,FALSE)+IF(ISNA(VLOOKUP($A701,'Mutasi Neraca'!$A$3:$S$910,17,FALSE)),0,VLOOKUP($A701,'Mutasi Neraca'!$A$3:$S$910,17,FALSE))</f>
        <v>0</v>
      </c>
      <c r="S701" s="42">
        <f t="shared" si="63"/>
        <v>6499946435</v>
      </c>
    </row>
    <row r="702" spans="1:19">
      <c r="A702" s="41" t="s">
        <v>709</v>
      </c>
      <c r="B702" s="41" t="str">
        <f t="shared" si="62"/>
        <v>005012400</v>
      </c>
      <c r="D702" s="42">
        <f>VLOOKUP($A702,'Neraca Unaudited SIMAK'!$A$2:$R$1272,3,FALSE)+IF(ISNA(VLOOKUP($A702,'Mutasi Neraca'!$A$3:$S$910,3,FALSE)),0,VLOOKUP($A702,'Mutasi Neraca'!$A$3:$S$910,3,FALSE))</f>
        <v>316500</v>
      </c>
      <c r="E702" s="42">
        <f>VLOOKUP($A702,'Neraca Unaudited SIMAK'!$A$2:$R$1272,4,FALSE)+IF(ISNA(VLOOKUP($A702,'Mutasi Neraca'!$A$3:$S$910,4,FALSE)),0,VLOOKUP($A702,'Mutasi Neraca'!$A$3:$S$910,4,FALSE))</f>
        <v>2323460386</v>
      </c>
      <c r="F702" s="42">
        <f>VLOOKUP($A702,'Neraca Unaudited SIMAK'!$A$2:$R$1272,5,FALSE)+IF(ISNA(VLOOKUP($A702,'Mutasi Neraca'!$A$3:$S$910,5,FALSE)),0,VLOOKUP($A702,'Mutasi Neraca'!$A$3:$S$910,5,FALSE))</f>
        <v>1469828993</v>
      </c>
      <c r="G702" s="42">
        <f>VLOOKUP($A702,'Neraca Unaudited SIMAK'!$A$2:$R$1272,6,FALSE)+IF(ISNA(VLOOKUP($A702,'Mutasi Neraca'!$A$3:$S$910,6,FALSE)),0,VLOOKUP($A702,'Mutasi Neraca'!$A$3:$S$910,6,FALSE))</f>
        <v>1999229380</v>
      </c>
      <c r="H702" s="42">
        <f>VLOOKUP($A702,'Neraca Unaudited SIMAK'!$A$2:$R$1272,7,FALSE)+IF(ISNA(VLOOKUP($A702,'Mutasi Neraca'!$A$3:$S$910,7,FALSE)),0,VLOOKUP($A702,'Mutasi Neraca'!$A$3:$S$910,7,FALSE))</f>
        <v>0</v>
      </c>
      <c r="I702" s="42">
        <f>VLOOKUP($A702,'Neraca Unaudited SIMAK'!$A$2:$R$1272,8,FALSE)+IF(ISNA(VLOOKUP($A702,'Mutasi Neraca'!$A$3:$S$910,8,FALSE)),0,VLOOKUP($A702,'Mutasi Neraca'!$A$3:$S$910,8,FALSE))</f>
        <v>320529818</v>
      </c>
      <c r="J702" s="42">
        <f>VLOOKUP($A702,'Neraca Unaudited SIMAK'!$A$2:$R$1272,9,FALSE)+IF(ISNA(VLOOKUP($A702,'Mutasi Neraca'!$A$3:$S$910,9,FALSE)),0,VLOOKUP($A702,'Mutasi Neraca'!$A$3:$S$910,9,FALSE))</f>
        <v>0</v>
      </c>
      <c r="K702" s="42">
        <f>VLOOKUP($A702,'Neraca Unaudited SIMAK'!$A$2:$R$1272,10,FALSE)+IF(ISNA(VLOOKUP($A702,'Mutasi Neraca'!$A$3:$S$910,10,FALSE)),0,VLOOKUP($A702,'Mutasi Neraca'!$A$3:$S$910,10,FALSE))</f>
        <v>0</v>
      </c>
      <c r="L702" s="42">
        <f>VLOOKUP($A702,'Neraca Unaudited SIMAK'!$A$2:$R$1272,11,FALSE)+IF(ISNA(VLOOKUP($A702,'Mutasi Neraca'!$A$3:$S$910,11,FALSE)),0,VLOOKUP($A702,'Mutasi Neraca'!$A$3:$S$910,11,FALSE))</f>
        <v>5597000</v>
      </c>
      <c r="M702" s="42">
        <f>VLOOKUP($A702,'Neraca Unaudited SIMAK'!$A$2:$R$1272,12,FALSE)+IF(ISNA(VLOOKUP($A702,'Mutasi Neraca'!$A$3:$S$910,12,FALSE)),0,VLOOKUP($A702,'Mutasi Neraca'!$A$3:$S$910,12,FALSE))</f>
        <v>6118962077</v>
      </c>
      <c r="N702" s="42">
        <f>VLOOKUP($A702,'Neraca Unaudited SIMAK'!$A$2:$R$1272,13,FALSE)+IF(ISNA(VLOOKUP($A702,'Mutasi Neraca'!$A$3:$S$910,13,FALSE)),0,VLOOKUP($A702,'Mutasi Neraca'!$A$3:$S$910,13,FALSE))</f>
        <v>-1406434183</v>
      </c>
      <c r="O702" s="42">
        <f>VLOOKUP($A702,'Neraca Unaudited SIMAK'!$A$2:$R$1272,14,FALSE)+IF(ISNA(VLOOKUP($A702,'Mutasi Neraca'!$A$3:$S$910,14,FALSE)),0,VLOOKUP($A702,'Mutasi Neraca'!$A$3:$S$910,14,FALSE))</f>
        <v>-415093955</v>
      </c>
      <c r="P702" s="42">
        <f>VLOOKUP($A702,'Neraca Unaudited SIMAK'!$A$2:$R$1272,15,FALSE)+IF(ISNA(VLOOKUP($A702,'Mutasi Neraca'!$A$3:$S$910,15,FALSE)),0,VLOOKUP($A702,'Mutasi Neraca'!$A$3:$S$910,15,FALSE))</f>
        <v>0</v>
      </c>
      <c r="Q702" s="42">
        <f>VLOOKUP($A702,'Neraca Unaudited SIMAK'!$A$2:$R$1272,16,FALSE)+IF(ISNA(VLOOKUP($A702,'Mutasi Neraca'!$A$3:$S$910,16,FALSE)),0,VLOOKUP($A702,'Mutasi Neraca'!$A$3:$S$910,16,FALSE))</f>
        <v>0</v>
      </c>
      <c r="R702" s="42">
        <f>VLOOKUP($A702,'Neraca Unaudited SIMAK'!$A$2:$R$1272,17,FALSE)+IF(ISNA(VLOOKUP($A702,'Mutasi Neraca'!$A$3:$S$910,17,FALSE)),0,VLOOKUP($A702,'Mutasi Neraca'!$A$3:$S$910,17,FALSE))</f>
        <v>-5597000</v>
      </c>
      <c r="S702" s="42">
        <f t="shared" si="63"/>
        <v>4291836939</v>
      </c>
    </row>
    <row r="703" spans="1:19">
      <c r="A703" s="41" t="s">
        <v>710</v>
      </c>
      <c r="B703" s="41" t="str">
        <f t="shared" si="62"/>
        <v>005012400</v>
      </c>
      <c r="D703" s="42">
        <f>VLOOKUP($A703,'Neraca Unaudited SIMAK'!$A$2:$R$1272,3,FALSE)+IF(ISNA(VLOOKUP($A703,'Mutasi Neraca'!$A$3:$S$910,3,FALSE)),0,VLOOKUP($A703,'Mutasi Neraca'!$A$3:$S$910,3,FALSE))</f>
        <v>125000</v>
      </c>
      <c r="E703" s="42">
        <f>VLOOKUP($A703,'Neraca Unaudited SIMAK'!$A$2:$R$1272,4,FALSE)+IF(ISNA(VLOOKUP($A703,'Mutasi Neraca'!$A$3:$S$910,4,FALSE)),0,VLOOKUP($A703,'Mutasi Neraca'!$A$3:$S$910,4,FALSE))</f>
        <v>2462830000</v>
      </c>
      <c r="F703" s="42">
        <f>VLOOKUP($A703,'Neraca Unaudited SIMAK'!$A$2:$R$1272,5,FALSE)+IF(ISNA(VLOOKUP($A703,'Mutasi Neraca'!$A$3:$S$910,5,FALSE)),0,VLOOKUP($A703,'Mutasi Neraca'!$A$3:$S$910,5,FALSE))</f>
        <v>1669533722</v>
      </c>
      <c r="G703" s="42">
        <f>VLOOKUP($A703,'Neraca Unaudited SIMAK'!$A$2:$R$1272,6,FALSE)+IF(ISNA(VLOOKUP($A703,'Mutasi Neraca'!$A$3:$S$910,6,FALSE)),0,VLOOKUP($A703,'Mutasi Neraca'!$A$3:$S$910,6,FALSE))</f>
        <v>1262748000</v>
      </c>
      <c r="H703" s="42">
        <f>VLOOKUP($A703,'Neraca Unaudited SIMAK'!$A$2:$R$1272,7,FALSE)+IF(ISNA(VLOOKUP($A703,'Mutasi Neraca'!$A$3:$S$910,7,FALSE)),0,VLOOKUP($A703,'Mutasi Neraca'!$A$3:$S$910,7,FALSE))</f>
        <v>300000</v>
      </c>
      <c r="I703" s="42">
        <f>VLOOKUP($A703,'Neraca Unaudited SIMAK'!$A$2:$R$1272,8,FALSE)+IF(ISNA(VLOOKUP($A703,'Mutasi Neraca'!$A$3:$S$910,8,FALSE)),0,VLOOKUP($A703,'Mutasi Neraca'!$A$3:$S$910,8,FALSE))</f>
        <v>23519490</v>
      </c>
      <c r="J703" s="42">
        <f>VLOOKUP($A703,'Neraca Unaudited SIMAK'!$A$2:$R$1272,9,FALSE)+IF(ISNA(VLOOKUP($A703,'Mutasi Neraca'!$A$3:$S$910,9,FALSE)),0,VLOOKUP($A703,'Mutasi Neraca'!$A$3:$S$910,9,FALSE))</f>
        <v>0</v>
      </c>
      <c r="K703" s="42">
        <f>VLOOKUP($A703,'Neraca Unaudited SIMAK'!$A$2:$R$1272,10,FALSE)+IF(ISNA(VLOOKUP($A703,'Mutasi Neraca'!$A$3:$S$910,10,FALSE)),0,VLOOKUP($A703,'Mutasi Neraca'!$A$3:$S$910,10,FALSE))</f>
        <v>0</v>
      </c>
      <c r="L703" s="42">
        <f>VLOOKUP($A703,'Neraca Unaudited SIMAK'!$A$2:$R$1272,11,FALSE)+IF(ISNA(VLOOKUP($A703,'Mutasi Neraca'!$A$3:$S$910,11,FALSE)),0,VLOOKUP($A703,'Mutasi Neraca'!$A$3:$S$910,11,FALSE))</f>
        <v>0</v>
      </c>
      <c r="M703" s="42">
        <f>VLOOKUP($A703,'Neraca Unaudited SIMAK'!$A$2:$R$1272,12,FALSE)+IF(ISNA(VLOOKUP($A703,'Mutasi Neraca'!$A$3:$S$910,12,FALSE)),0,VLOOKUP($A703,'Mutasi Neraca'!$A$3:$S$910,12,FALSE))</f>
        <v>5419056212</v>
      </c>
      <c r="N703" s="42">
        <f>VLOOKUP($A703,'Neraca Unaudited SIMAK'!$A$2:$R$1272,13,FALSE)+IF(ISNA(VLOOKUP($A703,'Mutasi Neraca'!$A$3:$S$910,13,FALSE)),0,VLOOKUP($A703,'Mutasi Neraca'!$A$3:$S$910,13,FALSE))</f>
        <v>-1505319274</v>
      </c>
      <c r="O703" s="42">
        <f>VLOOKUP($A703,'Neraca Unaudited SIMAK'!$A$2:$R$1272,14,FALSE)+IF(ISNA(VLOOKUP($A703,'Mutasi Neraca'!$A$3:$S$910,14,FALSE)),0,VLOOKUP($A703,'Mutasi Neraca'!$A$3:$S$910,14,FALSE))</f>
        <v>-241981756</v>
      </c>
      <c r="P703" s="42">
        <f>VLOOKUP($A703,'Neraca Unaudited SIMAK'!$A$2:$R$1272,15,FALSE)+IF(ISNA(VLOOKUP($A703,'Mutasi Neraca'!$A$3:$S$910,15,FALSE)),0,VLOOKUP($A703,'Mutasi Neraca'!$A$3:$S$910,15,FALSE))</f>
        <v>-51000</v>
      </c>
      <c r="Q703" s="42">
        <f>VLOOKUP($A703,'Neraca Unaudited SIMAK'!$A$2:$R$1272,16,FALSE)+IF(ISNA(VLOOKUP($A703,'Mutasi Neraca'!$A$3:$S$910,16,FALSE)),0,VLOOKUP($A703,'Mutasi Neraca'!$A$3:$S$910,16,FALSE))</f>
        <v>0</v>
      </c>
      <c r="R703" s="42">
        <f>VLOOKUP($A703,'Neraca Unaudited SIMAK'!$A$2:$R$1272,17,FALSE)+IF(ISNA(VLOOKUP($A703,'Mutasi Neraca'!$A$3:$S$910,17,FALSE)),0,VLOOKUP($A703,'Mutasi Neraca'!$A$3:$S$910,17,FALSE))</f>
        <v>0</v>
      </c>
      <c r="S703" s="42">
        <f t="shared" si="63"/>
        <v>3671704182</v>
      </c>
    </row>
    <row r="704" spans="1:19">
      <c r="A704" s="41" t="s">
        <v>711</v>
      </c>
      <c r="B704" s="41" t="str">
        <f t="shared" si="62"/>
        <v>005012400</v>
      </c>
      <c r="D704" s="42">
        <f>VLOOKUP($A704,'Neraca Unaudited SIMAK'!$A$2:$R$1272,3,FALSE)+IF(ISNA(VLOOKUP($A704,'Mutasi Neraca'!$A$3:$S$910,3,FALSE)),0,VLOOKUP($A704,'Mutasi Neraca'!$A$3:$S$910,3,FALSE))</f>
        <v>11263300</v>
      </c>
      <c r="E704" s="42">
        <f>VLOOKUP($A704,'Neraca Unaudited SIMAK'!$A$2:$R$1272,4,FALSE)+IF(ISNA(VLOOKUP($A704,'Mutasi Neraca'!$A$3:$S$910,4,FALSE)),0,VLOOKUP($A704,'Mutasi Neraca'!$A$3:$S$910,4,FALSE))</f>
        <v>7868667000</v>
      </c>
      <c r="F704" s="42">
        <f>VLOOKUP($A704,'Neraca Unaudited SIMAK'!$A$2:$R$1272,5,FALSE)+IF(ISNA(VLOOKUP($A704,'Mutasi Neraca'!$A$3:$S$910,5,FALSE)),0,VLOOKUP($A704,'Mutasi Neraca'!$A$3:$S$910,5,FALSE))</f>
        <v>1301637809</v>
      </c>
      <c r="G704" s="42">
        <f>VLOOKUP($A704,'Neraca Unaudited SIMAK'!$A$2:$R$1272,6,FALSE)+IF(ISNA(VLOOKUP($A704,'Mutasi Neraca'!$A$3:$S$910,6,FALSE)),0,VLOOKUP($A704,'Mutasi Neraca'!$A$3:$S$910,6,FALSE))</f>
        <v>3461471000</v>
      </c>
      <c r="H704" s="42">
        <f>VLOOKUP($A704,'Neraca Unaudited SIMAK'!$A$2:$R$1272,7,FALSE)+IF(ISNA(VLOOKUP($A704,'Mutasi Neraca'!$A$3:$S$910,7,FALSE)),0,VLOOKUP($A704,'Mutasi Neraca'!$A$3:$S$910,7,FALSE))</f>
        <v>30390000</v>
      </c>
      <c r="I704" s="42">
        <f>VLOOKUP($A704,'Neraca Unaudited SIMAK'!$A$2:$R$1272,8,FALSE)+IF(ISNA(VLOOKUP($A704,'Mutasi Neraca'!$A$3:$S$910,8,FALSE)),0,VLOOKUP($A704,'Mutasi Neraca'!$A$3:$S$910,8,FALSE))</f>
        <v>23443440</v>
      </c>
      <c r="J704" s="42">
        <f>VLOOKUP($A704,'Neraca Unaudited SIMAK'!$A$2:$R$1272,9,FALSE)+IF(ISNA(VLOOKUP($A704,'Mutasi Neraca'!$A$3:$S$910,9,FALSE)),0,VLOOKUP($A704,'Mutasi Neraca'!$A$3:$S$910,9,FALSE))</f>
        <v>0</v>
      </c>
      <c r="K704" s="42">
        <f>VLOOKUP($A704,'Neraca Unaudited SIMAK'!$A$2:$R$1272,10,FALSE)+IF(ISNA(VLOOKUP($A704,'Mutasi Neraca'!$A$3:$S$910,10,FALSE)),0,VLOOKUP($A704,'Mutasi Neraca'!$A$3:$S$910,10,FALSE))</f>
        <v>14830000</v>
      </c>
      <c r="L704" s="42">
        <f>VLOOKUP($A704,'Neraca Unaudited SIMAK'!$A$2:$R$1272,11,FALSE)+IF(ISNA(VLOOKUP($A704,'Mutasi Neraca'!$A$3:$S$910,11,FALSE)),0,VLOOKUP($A704,'Mutasi Neraca'!$A$3:$S$910,11,FALSE))</f>
        <v>2794000</v>
      </c>
      <c r="M704" s="42">
        <f>VLOOKUP($A704,'Neraca Unaudited SIMAK'!$A$2:$R$1272,12,FALSE)+IF(ISNA(VLOOKUP($A704,'Mutasi Neraca'!$A$3:$S$910,12,FALSE)),0,VLOOKUP($A704,'Mutasi Neraca'!$A$3:$S$910,12,FALSE))</f>
        <v>12714496549</v>
      </c>
      <c r="N704" s="42">
        <f>VLOOKUP($A704,'Neraca Unaudited SIMAK'!$A$2:$R$1272,13,FALSE)+IF(ISNA(VLOOKUP($A704,'Mutasi Neraca'!$A$3:$S$910,13,FALSE)),0,VLOOKUP($A704,'Mutasi Neraca'!$A$3:$S$910,13,FALSE))</f>
        <v>-1184076531</v>
      </c>
      <c r="O704" s="42">
        <f>VLOOKUP($A704,'Neraca Unaudited SIMAK'!$A$2:$R$1272,14,FALSE)+IF(ISNA(VLOOKUP($A704,'Mutasi Neraca'!$A$3:$S$910,14,FALSE)),0,VLOOKUP($A704,'Mutasi Neraca'!$A$3:$S$910,14,FALSE))</f>
        <v>-2152230460</v>
      </c>
      <c r="P704" s="42">
        <f>VLOOKUP($A704,'Neraca Unaudited SIMAK'!$A$2:$R$1272,15,FALSE)+IF(ISNA(VLOOKUP($A704,'Mutasi Neraca'!$A$3:$S$910,15,FALSE)),0,VLOOKUP($A704,'Mutasi Neraca'!$A$3:$S$910,15,FALSE))</f>
        <v>-15195000</v>
      </c>
      <c r="Q704" s="42">
        <f>VLOOKUP($A704,'Neraca Unaudited SIMAK'!$A$2:$R$1272,16,FALSE)+IF(ISNA(VLOOKUP($A704,'Mutasi Neraca'!$A$3:$S$910,16,FALSE)),0,VLOOKUP($A704,'Mutasi Neraca'!$A$3:$S$910,16,FALSE))</f>
        <v>0</v>
      </c>
      <c r="R704" s="42">
        <f>VLOOKUP($A704,'Neraca Unaudited SIMAK'!$A$2:$R$1272,17,FALSE)+IF(ISNA(VLOOKUP($A704,'Mutasi Neraca'!$A$3:$S$910,17,FALSE)),0,VLOOKUP($A704,'Mutasi Neraca'!$A$3:$S$910,17,FALSE))</f>
        <v>-2794000</v>
      </c>
      <c r="S704" s="42">
        <f t="shared" si="63"/>
        <v>9360200558</v>
      </c>
    </row>
    <row r="705" spans="1:19">
      <c r="A705" s="41" t="s">
        <v>712</v>
      </c>
      <c r="B705" s="41" t="str">
        <f t="shared" si="62"/>
        <v>005012400</v>
      </c>
      <c r="D705" s="42">
        <f>VLOOKUP($A705,'Neraca Unaudited SIMAK'!$A$2:$R$1272,3,FALSE)+IF(ISNA(VLOOKUP($A705,'Mutasi Neraca'!$A$3:$S$910,3,FALSE)),0,VLOOKUP($A705,'Mutasi Neraca'!$A$3:$S$910,3,FALSE))</f>
        <v>17153000</v>
      </c>
      <c r="E705" s="42">
        <f>VLOOKUP($A705,'Neraca Unaudited SIMAK'!$A$2:$R$1272,4,FALSE)+IF(ISNA(VLOOKUP($A705,'Mutasi Neraca'!$A$3:$S$910,4,FALSE)),0,VLOOKUP($A705,'Mutasi Neraca'!$A$3:$S$910,4,FALSE))</f>
        <v>239885925</v>
      </c>
      <c r="F705" s="42">
        <f>VLOOKUP($A705,'Neraca Unaudited SIMAK'!$A$2:$R$1272,5,FALSE)+IF(ISNA(VLOOKUP($A705,'Mutasi Neraca'!$A$3:$S$910,5,FALSE)),0,VLOOKUP($A705,'Mutasi Neraca'!$A$3:$S$910,5,FALSE))</f>
        <v>1246776574</v>
      </c>
      <c r="G705" s="42">
        <f>VLOOKUP($A705,'Neraca Unaudited SIMAK'!$A$2:$R$1272,6,FALSE)+IF(ISNA(VLOOKUP($A705,'Mutasi Neraca'!$A$3:$S$910,6,FALSE)),0,VLOOKUP($A705,'Mutasi Neraca'!$A$3:$S$910,6,FALSE))</f>
        <v>2556514000</v>
      </c>
      <c r="H705" s="42">
        <f>VLOOKUP($A705,'Neraca Unaudited SIMAK'!$A$2:$R$1272,7,FALSE)+IF(ISNA(VLOOKUP($A705,'Mutasi Neraca'!$A$3:$S$910,7,FALSE)),0,VLOOKUP($A705,'Mutasi Neraca'!$A$3:$S$910,7,FALSE))</f>
        <v>96400000</v>
      </c>
      <c r="I705" s="42">
        <f>VLOOKUP($A705,'Neraca Unaudited SIMAK'!$A$2:$R$1272,8,FALSE)+IF(ISNA(VLOOKUP($A705,'Mutasi Neraca'!$A$3:$S$910,8,FALSE)),0,VLOOKUP($A705,'Mutasi Neraca'!$A$3:$S$910,8,FALSE))</f>
        <v>24738440</v>
      </c>
      <c r="J705" s="42">
        <f>VLOOKUP($A705,'Neraca Unaudited SIMAK'!$A$2:$R$1272,9,FALSE)+IF(ISNA(VLOOKUP($A705,'Mutasi Neraca'!$A$3:$S$910,9,FALSE)),0,VLOOKUP($A705,'Mutasi Neraca'!$A$3:$S$910,9,FALSE))</f>
        <v>7435042492</v>
      </c>
      <c r="K705" s="42">
        <f>VLOOKUP($A705,'Neraca Unaudited SIMAK'!$A$2:$R$1272,10,FALSE)+IF(ISNA(VLOOKUP($A705,'Mutasi Neraca'!$A$3:$S$910,10,FALSE)),0,VLOOKUP($A705,'Mutasi Neraca'!$A$3:$S$910,10,FALSE))</f>
        <v>0</v>
      </c>
      <c r="L705" s="42">
        <f>VLOOKUP($A705,'Neraca Unaudited SIMAK'!$A$2:$R$1272,11,FALSE)+IF(ISNA(VLOOKUP($A705,'Mutasi Neraca'!$A$3:$S$910,11,FALSE)),0,VLOOKUP($A705,'Mutasi Neraca'!$A$3:$S$910,11,FALSE))</f>
        <v>374545754</v>
      </c>
      <c r="M705" s="42">
        <f>VLOOKUP($A705,'Neraca Unaudited SIMAK'!$A$2:$R$1272,12,FALSE)+IF(ISNA(VLOOKUP($A705,'Mutasi Neraca'!$A$3:$S$910,12,FALSE)),0,VLOOKUP($A705,'Mutasi Neraca'!$A$3:$S$910,12,FALSE))</f>
        <v>11991056185</v>
      </c>
      <c r="N705" s="42">
        <f>VLOOKUP($A705,'Neraca Unaudited SIMAK'!$A$2:$R$1272,13,FALSE)+IF(ISNA(VLOOKUP($A705,'Mutasi Neraca'!$A$3:$S$910,13,FALSE)),0,VLOOKUP($A705,'Mutasi Neraca'!$A$3:$S$910,13,FALSE))</f>
        <v>-1143715796</v>
      </c>
      <c r="O705" s="42">
        <f>VLOOKUP($A705,'Neraca Unaudited SIMAK'!$A$2:$R$1272,14,FALSE)+IF(ISNA(VLOOKUP($A705,'Mutasi Neraca'!$A$3:$S$910,14,FALSE)),0,VLOOKUP($A705,'Mutasi Neraca'!$A$3:$S$910,14,FALSE))</f>
        <v>-657314923</v>
      </c>
      <c r="P705" s="42">
        <f>VLOOKUP($A705,'Neraca Unaudited SIMAK'!$A$2:$R$1272,15,FALSE)+IF(ISNA(VLOOKUP($A705,'Mutasi Neraca'!$A$3:$S$910,15,FALSE)),0,VLOOKUP($A705,'Mutasi Neraca'!$A$3:$S$910,15,FALSE))</f>
        <v>-8435000</v>
      </c>
      <c r="Q705" s="42">
        <f>VLOOKUP($A705,'Neraca Unaudited SIMAK'!$A$2:$R$1272,16,FALSE)+IF(ISNA(VLOOKUP($A705,'Mutasi Neraca'!$A$3:$S$910,16,FALSE)),0,VLOOKUP($A705,'Mutasi Neraca'!$A$3:$S$910,16,FALSE))</f>
        <v>0</v>
      </c>
      <c r="R705" s="42">
        <f>VLOOKUP($A705,'Neraca Unaudited SIMAK'!$A$2:$R$1272,17,FALSE)+IF(ISNA(VLOOKUP($A705,'Mutasi Neraca'!$A$3:$S$910,17,FALSE)),0,VLOOKUP($A705,'Mutasi Neraca'!$A$3:$S$910,17,FALSE))</f>
        <v>-374545754</v>
      </c>
      <c r="S705" s="42">
        <f t="shared" si="63"/>
        <v>9807044712</v>
      </c>
    </row>
    <row r="706" spans="1:19">
      <c r="A706" s="41" t="s">
        <v>713</v>
      </c>
      <c r="B706" s="41" t="str">
        <f t="shared" si="62"/>
        <v>005012400</v>
      </c>
      <c r="D706" s="42">
        <f>VLOOKUP($A706,'Neraca Unaudited SIMAK'!$A$2:$R$1272,3,FALSE)+IF(ISNA(VLOOKUP($A706,'Mutasi Neraca'!$A$3:$S$910,3,FALSE)),0,VLOOKUP($A706,'Mutasi Neraca'!$A$3:$S$910,3,FALSE))</f>
        <v>20813060</v>
      </c>
      <c r="E706" s="42">
        <f>VLOOKUP($A706,'Neraca Unaudited SIMAK'!$A$2:$R$1272,4,FALSE)+IF(ISNA(VLOOKUP($A706,'Mutasi Neraca'!$A$3:$S$910,4,FALSE)),0,VLOOKUP($A706,'Mutasi Neraca'!$A$3:$S$910,4,FALSE))</f>
        <v>10133488000</v>
      </c>
      <c r="F706" s="42">
        <f>VLOOKUP($A706,'Neraca Unaudited SIMAK'!$A$2:$R$1272,5,FALSE)+IF(ISNA(VLOOKUP($A706,'Mutasi Neraca'!$A$3:$S$910,5,FALSE)),0,VLOOKUP($A706,'Mutasi Neraca'!$A$3:$S$910,5,FALSE))</f>
        <v>3910196839</v>
      </c>
      <c r="G706" s="42">
        <f>VLOOKUP($A706,'Neraca Unaudited SIMAK'!$A$2:$R$1272,6,FALSE)+IF(ISNA(VLOOKUP($A706,'Mutasi Neraca'!$A$3:$S$910,6,FALSE)),0,VLOOKUP($A706,'Mutasi Neraca'!$A$3:$S$910,6,FALSE))</f>
        <v>10855678555</v>
      </c>
      <c r="H706" s="42">
        <f>VLOOKUP($A706,'Neraca Unaudited SIMAK'!$A$2:$R$1272,7,FALSE)+IF(ISNA(VLOOKUP($A706,'Mutasi Neraca'!$A$3:$S$910,7,FALSE)),0,VLOOKUP($A706,'Mutasi Neraca'!$A$3:$S$910,7,FALSE))</f>
        <v>536016464</v>
      </c>
      <c r="I706" s="42">
        <f>VLOOKUP($A706,'Neraca Unaudited SIMAK'!$A$2:$R$1272,8,FALSE)+IF(ISNA(VLOOKUP($A706,'Mutasi Neraca'!$A$3:$S$910,8,FALSE)),0,VLOOKUP($A706,'Mutasi Neraca'!$A$3:$S$910,8,FALSE))</f>
        <v>8580940</v>
      </c>
      <c r="J706" s="42">
        <f>VLOOKUP($A706,'Neraca Unaudited SIMAK'!$A$2:$R$1272,9,FALSE)+IF(ISNA(VLOOKUP($A706,'Mutasi Neraca'!$A$3:$S$910,9,FALSE)),0,VLOOKUP($A706,'Mutasi Neraca'!$A$3:$S$910,9,FALSE))</f>
        <v>0</v>
      </c>
      <c r="K706" s="42">
        <f>VLOOKUP($A706,'Neraca Unaudited SIMAK'!$A$2:$R$1272,10,FALSE)+IF(ISNA(VLOOKUP($A706,'Mutasi Neraca'!$A$3:$S$910,10,FALSE)),0,VLOOKUP($A706,'Mutasi Neraca'!$A$3:$S$910,10,FALSE))</f>
        <v>0</v>
      </c>
      <c r="L706" s="42">
        <f>VLOOKUP($A706,'Neraca Unaudited SIMAK'!$A$2:$R$1272,11,FALSE)+IF(ISNA(VLOOKUP($A706,'Mutasi Neraca'!$A$3:$S$910,11,FALSE)),0,VLOOKUP($A706,'Mutasi Neraca'!$A$3:$S$910,11,FALSE))</f>
        <v>0</v>
      </c>
      <c r="M706" s="42">
        <f>VLOOKUP($A706,'Neraca Unaudited SIMAK'!$A$2:$R$1272,12,FALSE)+IF(ISNA(VLOOKUP($A706,'Mutasi Neraca'!$A$3:$S$910,12,FALSE)),0,VLOOKUP($A706,'Mutasi Neraca'!$A$3:$S$910,12,FALSE))</f>
        <v>25464773858</v>
      </c>
      <c r="N706" s="42">
        <f>VLOOKUP($A706,'Neraca Unaudited SIMAK'!$A$2:$R$1272,13,FALSE)+IF(ISNA(VLOOKUP($A706,'Mutasi Neraca'!$A$3:$S$910,13,FALSE)),0,VLOOKUP($A706,'Mutasi Neraca'!$A$3:$S$910,13,FALSE))</f>
        <v>-3471110829</v>
      </c>
      <c r="O706" s="42">
        <f>VLOOKUP($A706,'Neraca Unaudited SIMAK'!$A$2:$R$1272,14,FALSE)+IF(ISNA(VLOOKUP($A706,'Mutasi Neraca'!$A$3:$S$910,14,FALSE)),0,VLOOKUP($A706,'Mutasi Neraca'!$A$3:$S$910,14,FALSE))</f>
        <v>-2049819632</v>
      </c>
      <c r="P706" s="42">
        <f>VLOOKUP($A706,'Neraca Unaudited SIMAK'!$A$2:$R$1272,15,FALSE)+IF(ISNA(VLOOKUP($A706,'Mutasi Neraca'!$A$3:$S$910,15,FALSE)),0,VLOOKUP($A706,'Mutasi Neraca'!$A$3:$S$910,15,FALSE))</f>
        <v>-321431770</v>
      </c>
      <c r="Q706" s="42">
        <f>VLOOKUP($A706,'Neraca Unaudited SIMAK'!$A$2:$R$1272,16,FALSE)+IF(ISNA(VLOOKUP($A706,'Mutasi Neraca'!$A$3:$S$910,16,FALSE)),0,VLOOKUP($A706,'Mutasi Neraca'!$A$3:$S$910,16,FALSE))</f>
        <v>-6637500</v>
      </c>
      <c r="R706" s="42">
        <f>VLOOKUP($A706,'Neraca Unaudited SIMAK'!$A$2:$R$1272,17,FALSE)+IF(ISNA(VLOOKUP($A706,'Mutasi Neraca'!$A$3:$S$910,17,FALSE)),0,VLOOKUP($A706,'Mutasi Neraca'!$A$3:$S$910,17,FALSE))</f>
        <v>0</v>
      </c>
      <c r="S706" s="42">
        <f t="shared" si="63"/>
        <v>19615774127</v>
      </c>
    </row>
    <row r="707" spans="1:19">
      <c r="A707" s="41" t="s">
        <v>714</v>
      </c>
      <c r="B707" s="41" t="str">
        <f t="shared" ref="B707:B770" si="64">LEFT(A707,9)</f>
        <v>005012400</v>
      </c>
      <c r="D707" s="42">
        <f>VLOOKUP($A707,'Neraca Unaudited SIMAK'!$A$2:$R$1272,3,FALSE)+IF(ISNA(VLOOKUP($A707,'Mutasi Neraca'!$A$3:$S$910,3,FALSE)),0,VLOOKUP($A707,'Mutasi Neraca'!$A$3:$S$910,3,FALSE))</f>
        <v>25000</v>
      </c>
      <c r="E707" s="42">
        <f>VLOOKUP($A707,'Neraca Unaudited SIMAK'!$A$2:$R$1272,4,FALSE)+IF(ISNA(VLOOKUP($A707,'Mutasi Neraca'!$A$3:$S$910,4,FALSE)),0,VLOOKUP($A707,'Mutasi Neraca'!$A$3:$S$910,4,FALSE))</f>
        <v>1031100000</v>
      </c>
      <c r="F707" s="42">
        <f>VLOOKUP($A707,'Neraca Unaudited SIMAK'!$A$2:$R$1272,5,FALSE)+IF(ISNA(VLOOKUP($A707,'Mutasi Neraca'!$A$3:$S$910,5,FALSE)),0,VLOOKUP($A707,'Mutasi Neraca'!$A$3:$S$910,5,FALSE))</f>
        <v>764534007</v>
      </c>
      <c r="G707" s="42">
        <f>VLOOKUP($A707,'Neraca Unaudited SIMAK'!$A$2:$R$1272,6,FALSE)+IF(ISNA(VLOOKUP($A707,'Mutasi Neraca'!$A$3:$S$910,6,FALSE)),0,VLOOKUP($A707,'Mutasi Neraca'!$A$3:$S$910,6,FALSE))</f>
        <v>764745000</v>
      </c>
      <c r="H707" s="42">
        <f>VLOOKUP($A707,'Neraca Unaudited SIMAK'!$A$2:$R$1272,7,FALSE)+IF(ISNA(VLOOKUP($A707,'Mutasi Neraca'!$A$3:$S$910,7,FALSE)),0,VLOOKUP($A707,'Mutasi Neraca'!$A$3:$S$910,7,FALSE))</f>
        <v>27165000</v>
      </c>
      <c r="I707" s="42">
        <f>VLOOKUP($A707,'Neraca Unaudited SIMAK'!$A$2:$R$1272,8,FALSE)+IF(ISNA(VLOOKUP($A707,'Mutasi Neraca'!$A$3:$S$910,8,FALSE)),0,VLOOKUP($A707,'Mutasi Neraca'!$A$3:$S$910,8,FALSE))</f>
        <v>74704370</v>
      </c>
      <c r="J707" s="42">
        <f>VLOOKUP($A707,'Neraca Unaudited SIMAK'!$A$2:$R$1272,9,FALSE)+IF(ISNA(VLOOKUP($A707,'Mutasi Neraca'!$A$3:$S$910,9,FALSE)),0,VLOOKUP($A707,'Mutasi Neraca'!$A$3:$S$910,9,FALSE))</f>
        <v>0</v>
      </c>
      <c r="K707" s="42">
        <f>VLOOKUP($A707,'Neraca Unaudited SIMAK'!$A$2:$R$1272,10,FALSE)+IF(ISNA(VLOOKUP($A707,'Mutasi Neraca'!$A$3:$S$910,10,FALSE)),0,VLOOKUP($A707,'Mutasi Neraca'!$A$3:$S$910,10,FALSE))</f>
        <v>21800000</v>
      </c>
      <c r="L707" s="42">
        <f>VLOOKUP($A707,'Neraca Unaudited SIMAK'!$A$2:$R$1272,11,FALSE)+IF(ISNA(VLOOKUP($A707,'Mutasi Neraca'!$A$3:$S$910,11,FALSE)),0,VLOOKUP($A707,'Mutasi Neraca'!$A$3:$S$910,11,FALSE))</f>
        <v>7404750</v>
      </c>
      <c r="M707" s="42">
        <f>VLOOKUP($A707,'Neraca Unaudited SIMAK'!$A$2:$R$1272,12,FALSE)+IF(ISNA(VLOOKUP($A707,'Mutasi Neraca'!$A$3:$S$910,12,FALSE)),0,VLOOKUP($A707,'Mutasi Neraca'!$A$3:$S$910,12,FALSE))</f>
        <v>2691478127</v>
      </c>
      <c r="N707" s="42">
        <f>VLOOKUP($A707,'Neraca Unaudited SIMAK'!$A$2:$R$1272,13,FALSE)+IF(ISNA(VLOOKUP($A707,'Mutasi Neraca'!$A$3:$S$910,13,FALSE)),0,VLOOKUP($A707,'Mutasi Neraca'!$A$3:$S$910,13,FALSE))</f>
        <v>-683123229</v>
      </c>
      <c r="O707" s="42">
        <f>VLOOKUP($A707,'Neraca Unaudited SIMAK'!$A$2:$R$1272,14,FALSE)+IF(ISNA(VLOOKUP($A707,'Mutasi Neraca'!$A$3:$S$910,14,FALSE)),0,VLOOKUP($A707,'Mutasi Neraca'!$A$3:$S$910,14,FALSE))</f>
        <v>-109055031</v>
      </c>
      <c r="P707" s="42">
        <f>VLOOKUP($A707,'Neraca Unaudited SIMAK'!$A$2:$R$1272,15,FALSE)+IF(ISNA(VLOOKUP($A707,'Mutasi Neraca'!$A$3:$S$910,15,FALSE)),0,VLOOKUP($A707,'Mutasi Neraca'!$A$3:$S$910,15,FALSE))</f>
        <v>-5916063</v>
      </c>
      <c r="Q707" s="42">
        <f>VLOOKUP($A707,'Neraca Unaudited SIMAK'!$A$2:$R$1272,16,FALSE)+IF(ISNA(VLOOKUP($A707,'Mutasi Neraca'!$A$3:$S$910,16,FALSE)),0,VLOOKUP($A707,'Mutasi Neraca'!$A$3:$S$910,16,FALSE))</f>
        <v>0</v>
      </c>
      <c r="R707" s="42">
        <f>VLOOKUP($A707,'Neraca Unaudited SIMAK'!$A$2:$R$1272,17,FALSE)+IF(ISNA(VLOOKUP($A707,'Mutasi Neraca'!$A$3:$S$910,17,FALSE)),0,VLOOKUP($A707,'Mutasi Neraca'!$A$3:$S$910,17,FALSE))</f>
        <v>-7404750</v>
      </c>
      <c r="S707" s="42">
        <f t="shared" ref="S707:S770" si="65">SUM(M707:R707)</f>
        <v>1885979054</v>
      </c>
    </row>
    <row r="708" spans="1:19">
      <c r="A708" s="41" t="s">
        <v>715</v>
      </c>
      <c r="B708" s="41" t="str">
        <f t="shared" si="64"/>
        <v>005012400</v>
      </c>
      <c r="D708" s="42">
        <f>VLOOKUP($A708,'Neraca Unaudited SIMAK'!$A$2:$R$1272,3,FALSE)+IF(ISNA(VLOOKUP($A708,'Mutasi Neraca'!$A$3:$S$910,3,FALSE)),0,VLOOKUP($A708,'Mutasi Neraca'!$A$3:$S$910,3,FALSE))</f>
        <v>1860000</v>
      </c>
      <c r="E708" s="42">
        <f>VLOOKUP($A708,'Neraca Unaudited SIMAK'!$A$2:$R$1272,4,FALSE)+IF(ISNA(VLOOKUP($A708,'Mutasi Neraca'!$A$3:$S$910,4,FALSE)),0,VLOOKUP($A708,'Mutasi Neraca'!$A$3:$S$910,4,FALSE))</f>
        <v>1165640000</v>
      </c>
      <c r="F708" s="42">
        <f>VLOOKUP($A708,'Neraca Unaudited SIMAK'!$A$2:$R$1272,5,FALSE)+IF(ISNA(VLOOKUP($A708,'Mutasi Neraca'!$A$3:$S$910,5,FALSE)),0,VLOOKUP($A708,'Mutasi Neraca'!$A$3:$S$910,5,FALSE))</f>
        <v>1023766564</v>
      </c>
      <c r="G708" s="42">
        <f>VLOOKUP($A708,'Neraca Unaudited SIMAK'!$A$2:$R$1272,6,FALSE)+IF(ISNA(VLOOKUP($A708,'Mutasi Neraca'!$A$3:$S$910,6,FALSE)),0,VLOOKUP($A708,'Mutasi Neraca'!$A$3:$S$910,6,FALSE))</f>
        <v>9540313243</v>
      </c>
      <c r="H708" s="42">
        <f>VLOOKUP($A708,'Neraca Unaudited SIMAK'!$A$2:$R$1272,7,FALSE)+IF(ISNA(VLOOKUP($A708,'Mutasi Neraca'!$A$3:$S$910,7,FALSE)),0,VLOOKUP($A708,'Mutasi Neraca'!$A$3:$S$910,7,FALSE))</f>
        <v>0</v>
      </c>
      <c r="I708" s="42">
        <f>VLOOKUP($A708,'Neraca Unaudited SIMAK'!$A$2:$R$1272,8,FALSE)+IF(ISNA(VLOOKUP($A708,'Mutasi Neraca'!$A$3:$S$910,8,FALSE)),0,VLOOKUP($A708,'Mutasi Neraca'!$A$3:$S$910,8,FALSE))</f>
        <v>22937762</v>
      </c>
      <c r="J708" s="42">
        <f>VLOOKUP($A708,'Neraca Unaudited SIMAK'!$A$2:$R$1272,9,FALSE)+IF(ISNA(VLOOKUP($A708,'Mutasi Neraca'!$A$3:$S$910,9,FALSE)),0,VLOOKUP($A708,'Mutasi Neraca'!$A$3:$S$910,9,FALSE))</f>
        <v>0</v>
      </c>
      <c r="K708" s="42">
        <f>VLOOKUP($A708,'Neraca Unaudited SIMAK'!$A$2:$R$1272,10,FALSE)+IF(ISNA(VLOOKUP($A708,'Mutasi Neraca'!$A$3:$S$910,10,FALSE)),0,VLOOKUP($A708,'Mutasi Neraca'!$A$3:$S$910,10,FALSE))</f>
        <v>2000000</v>
      </c>
      <c r="L708" s="42">
        <f>VLOOKUP($A708,'Neraca Unaudited SIMAK'!$A$2:$R$1272,11,FALSE)+IF(ISNA(VLOOKUP($A708,'Mutasi Neraca'!$A$3:$S$910,11,FALSE)),0,VLOOKUP($A708,'Mutasi Neraca'!$A$3:$S$910,11,FALSE))</f>
        <v>155480857</v>
      </c>
      <c r="M708" s="42">
        <f>VLOOKUP($A708,'Neraca Unaudited SIMAK'!$A$2:$R$1272,12,FALSE)+IF(ISNA(VLOOKUP($A708,'Mutasi Neraca'!$A$3:$S$910,12,FALSE)),0,VLOOKUP($A708,'Mutasi Neraca'!$A$3:$S$910,12,FALSE))</f>
        <v>11911998426</v>
      </c>
      <c r="N708" s="42">
        <f>VLOOKUP($A708,'Neraca Unaudited SIMAK'!$A$2:$R$1272,13,FALSE)+IF(ISNA(VLOOKUP($A708,'Mutasi Neraca'!$A$3:$S$910,13,FALSE)),0,VLOOKUP($A708,'Mutasi Neraca'!$A$3:$S$910,13,FALSE))</f>
        <v>-865172359</v>
      </c>
      <c r="O708" s="42">
        <f>VLOOKUP($A708,'Neraca Unaudited SIMAK'!$A$2:$R$1272,14,FALSE)+IF(ISNA(VLOOKUP($A708,'Mutasi Neraca'!$A$3:$S$910,14,FALSE)),0,VLOOKUP($A708,'Mutasi Neraca'!$A$3:$S$910,14,FALSE))</f>
        <v>-219774090</v>
      </c>
      <c r="P708" s="42">
        <f>VLOOKUP($A708,'Neraca Unaudited SIMAK'!$A$2:$R$1272,15,FALSE)+IF(ISNA(VLOOKUP($A708,'Mutasi Neraca'!$A$3:$S$910,15,FALSE)),0,VLOOKUP($A708,'Mutasi Neraca'!$A$3:$S$910,15,FALSE))</f>
        <v>0</v>
      </c>
      <c r="Q708" s="42">
        <f>VLOOKUP($A708,'Neraca Unaudited SIMAK'!$A$2:$R$1272,16,FALSE)+IF(ISNA(VLOOKUP($A708,'Mutasi Neraca'!$A$3:$S$910,16,FALSE)),0,VLOOKUP($A708,'Mutasi Neraca'!$A$3:$S$910,16,FALSE))</f>
        <v>0</v>
      </c>
      <c r="R708" s="42">
        <f>VLOOKUP($A708,'Neraca Unaudited SIMAK'!$A$2:$R$1272,17,FALSE)+IF(ISNA(VLOOKUP($A708,'Mutasi Neraca'!$A$3:$S$910,17,FALSE)),0,VLOOKUP($A708,'Mutasi Neraca'!$A$3:$S$910,17,FALSE))</f>
        <v>-155480857</v>
      </c>
      <c r="S708" s="42">
        <f t="shared" si="65"/>
        <v>10671571120</v>
      </c>
    </row>
    <row r="709" spans="1:19">
      <c r="A709" s="41" t="s">
        <v>716</v>
      </c>
      <c r="B709" s="41" t="str">
        <f t="shared" si="64"/>
        <v>005012400</v>
      </c>
      <c r="D709" s="42">
        <f>VLOOKUP($A709,'Neraca Unaudited SIMAK'!$A$2:$R$1272,3,FALSE)+IF(ISNA(VLOOKUP($A709,'Mutasi Neraca'!$A$3:$S$910,3,FALSE)),0,VLOOKUP($A709,'Mutasi Neraca'!$A$3:$S$910,3,FALSE))</f>
        <v>147800</v>
      </c>
      <c r="E709" s="42">
        <f>VLOOKUP($A709,'Neraca Unaudited SIMAK'!$A$2:$R$1272,4,FALSE)+IF(ISNA(VLOOKUP($A709,'Mutasi Neraca'!$A$3:$S$910,4,FALSE)),0,VLOOKUP($A709,'Mutasi Neraca'!$A$3:$S$910,4,FALSE))</f>
        <v>1008750000</v>
      </c>
      <c r="F709" s="42">
        <f>VLOOKUP($A709,'Neraca Unaudited SIMAK'!$A$2:$R$1272,5,FALSE)+IF(ISNA(VLOOKUP($A709,'Mutasi Neraca'!$A$3:$S$910,5,FALSE)),0,VLOOKUP($A709,'Mutasi Neraca'!$A$3:$S$910,5,FALSE))</f>
        <v>1103569376</v>
      </c>
      <c r="G709" s="42">
        <f>VLOOKUP($A709,'Neraca Unaudited SIMAK'!$A$2:$R$1272,6,FALSE)+IF(ISNA(VLOOKUP($A709,'Mutasi Neraca'!$A$3:$S$910,6,FALSE)),0,VLOOKUP($A709,'Mutasi Neraca'!$A$3:$S$910,6,FALSE))</f>
        <v>476365000</v>
      </c>
      <c r="H709" s="42">
        <f>VLOOKUP($A709,'Neraca Unaudited SIMAK'!$A$2:$R$1272,7,FALSE)+IF(ISNA(VLOOKUP($A709,'Mutasi Neraca'!$A$3:$S$910,7,FALSE)),0,VLOOKUP($A709,'Mutasi Neraca'!$A$3:$S$910,7,FALSE))</f>
        <v>37590400</v>
      </c>
      <c r="I709" s="42">
        <f>VLOOKUP($A709,'Neraca Unaudited SIMAK'!$A$2:$R$1272,8,FALSE)+IF(ISNA(VLOOKUP($A709,'Mutasi Neraca'!$A$3:$S$910,8,FALSE)),0,VLOOKUP($A709,'Mutasi Neraca'!$A$3:$S$910,8,FALSE))</f>
        <v>1964870</v>
      </c>
      <c r="J709" s="42">
        <f>VLOOKUP($A709,'Neraca Unaudited SIMAK'!$A$2:$R$1272,9,FALSE)+IF(ISNA(VLOOKUP($A709,'Mutasi Neraca'!$A$3:$S$910,9,FALSE)),0,VLOOKUP($A709,'Mutasi Neraca'!$A$3:$S$910,9,FALSE))</f>
        <v>0</v>
      </c>
      <c r="K709" s="42">
        <f>VLOOKUP($A709,'Neraca Unaudited SIMAK'!$A$2:$R$1272,10,FALSE)+IF(ISNA(VLOOKUP($A709,'Mutasi Neraca'!$A$3:$S$910,10,FALSE)),0,VLOOKUP($A709,'Mutasi Neraca'!$A$3:$S$910,10,FALSE))</f>
        <v>0</v>
      </c>
      <c r="L709" s="42">
        <f>VLOOKUP($A709,'Neraca Unaudited SIMAK'!$A$2:$R$1272,11,FALSE)+IF(ISNA(VLOOKUP($A709,'Mutasi Neraca'!$A$3:$S$910,11,FALSE)),0,VLOOKUP($A709,'Mutasi Neraca'!$A$3:$S$910,11,FALSE))</f>
        <v>38534858</v>
      </c>
      <c r="M709" s="42">
        <f>VLOOKUP($A709,'Neraca Unaudited SIMAK'!$A$2:$R$1272,12,FALSE)+IF(ISNA(VLOOKUP($A709,'Mutasi Neraca'!$A$3:$S$910,12,FALSE)),0,VLOOKUP($A709,'Mutasi Neraca'!$A$3:$S$910,12,FALSE))</f>
        <v>2666922304</v>
      </c>
      <c r="N709" s="42">
        <f>VLOOKUP($A709,'Neraca Unaudited SIMAK'!$A$2:$R$1272,13,FALSE)+IF(ISNA(VLOOKUP($A709,'Mutasi Neraca'!$A$3:$S$910,13,FALSE)),0,VLOOKUP($A709,'Mutasi Neraca'!$A$3:$S$910,13,FALSE))</f>
        <v>-944337969</v>
      </c>
      <c r="O709" s="42">
        <f>VLOOKUP($A709,'Neraca Unaudited SIMAK'!$A$2:$R$1272,14,FALSE)+IF(ISNA(VLOOKUP($A709,'Mutasi Neraca'!$A$3:$S$910,14,FALSE)),0,VLOOKUP($A709,'Mutasi Neraca'!$A$3:$S$910,14,FALSE))</f>
        <v>-151701350</v>
      </c>
      <c r="P709" s="42">
        <f>VLOOKUP($A709,'Neraca Unaudited SIMAK'!$A$2:$R$1272,15,FALSE)+IF(ISNA(VLOOKUP($A709,'Mutasi Neraca'!$A$3:$S$910,15,FALSE)),0,VLOOKUP($A709,'Mutasi Neraca'!$A$3:$S$910,15,FALSE))</f>
        <v>-5535050</v>
      </c>
      <c r="Q709" s="42">
        <f>VLOOKUP($A709,'Neraca Unaudited SIMAK'!$A$2:$R$1272,16,FALSE)+IF(ISNA(VLOOKUP($A709,'Mutasi Neraca'!$A$3:$S$910,16,FALSE)),0,VLOOKUP($A709,'Mutasi Neraca'!$A$3:$S$910,16,FALSE))</f>
        <v>0</v>
      </c>
      <c r="R709" s="42">
        <f>VLOOKUP($A709,'Neraca Unaudited SIMAK'!$A$2:$R$1272,17,FALSE)+IF(ISNA(VLOOKUP($A709,'Mutasi Neraca'!$A$3:$S$910,17,FALSE)),0,VLOOKUP($A709,'Mutasi Neraca'!$A$3:$S$910,17,FALSE))</f>
        <v>-38208921</v>
      </c>
      <c r="S709" s="42">
        <f t="shared" si="65"/>
        <v>1527139014</v>
      </c>
    </row>
    <row r="710" spans="1:19">
      <c r="A710" s="41" t="s">
        <v>717</v>
      </c>
      <c r="B710" s="41" t="str">
        <f t="shared" si="64"/>
        <v>005012400</v>
      </c>
      <c r="D710" s="42">
        <f>VLOOKUP($A710,'Neraca Unaudited SIMAK'!$A$2:$R$1272,3,FALSE)+IF(ISNA(VLOOKUP($A710,'Mutasi Neraca'!$A$3:$S$910,3,FALSE)),0,VLOOKUP($A710,'Mutasi Neraca'!$A$3:$S$910,3,FALSE))</f>
        <v>38500</v>
      </c>
      <c r="E710" s="42">
        <f>VLOOKUP($A710,'Neraca Unaudited SIMAK'!$A$2:$R$1272,4,FALSE)+IF(ISNA(VLOOKUP($A710,'Mutasi Neraca'!$A$3:$S$910,4,FALSE)),0,VLOOKUP($A710,'Mutasi Neraca'!$A$3:$S$910,4,FALSE))</f>
        <v>1207315000</v>
      </c>
      <c r="F710" s="42">
        <f>VLOOKUP($A710,'Neraca Unaudited SIMAK'!$A$2:$R$1272,5,FALSE)+IF(ISNA(VLOOKUP($A710,'Mutasi Neraca'!$A$3:$S$910,5,FALSE)),0,VLOOKUP($A710,'Mutasi Neraca'!$A$3:$S$910,5,FALSE))</f>
        <v>1873528699</v>
      </c>
      <c r="G710" s="42">
        <f>VLOOKUP($A710,'Neraca Unaudited SIMAK'!$A$2:$R$1272,6,FALSE)+IF(ISNA(VLOOKUP($A710,'Mutasi Neraca'!$A$3:$S$910,6,FALSE)),0,VLOOKUP($A710,'Mutasi Neraca'!$A$3:$S$910,6,FALSE))</f>
        <v>9144526025</v>
      </c>
      <c r="H710" s="42">
        <f>VLOOKUP($A710,'Neraca Unaudited SIMAK'!$A$2:$R$1272,7,FALSE)+IF(ISNA(VLOOKUP($A710,'Mutasi Neraca'!$A$3:$S$910,7,FALSE)),0,VLOOKUP($A710,'Mutasi Neraca'!$A$3:$S$910,7,FALSE))</f>
        <v>207000</v>
      </c>
      <c r="I710" s="42">
        <f>VLOOKUP($A710,'Neraca Unaudited SIMAK'!$A$2:$R$1272,8,FALSE)+IF(ISNA(VLOOKUP($A710,'Mutasi Neraca'!$A$3:$S$910,8,FALSE)),0,VLOOKUP($A710,'Mutasi Neraca'!$A$3:$S$910,8,FALSE))</f>
        <v>17479805</v>
      </c>
      <c r="J710" s="42">
        <f>VLOOKUP($A710,'Neraca Unaudited SIMAK'!$A$2:$R$1272,9,FALSE)+IF(ISNA(VLOOKUP($A710,'Mutasi Neraca'!$A$3:$S$910,9,FALSE)),0,VLOOKUP($A710,'Mutasi Neraca'!$A$3:$S$910,9,FALSE))</f>
        <v>0</v>
      </c>
      <c r="K710" s="42">
        <f>VLOOKUP($A710,'Neraca Unaudited SIMAK'!$A$2:$R$1272,10,FALSE)+IF(ISNA(VLOOKUP($A710,'Mutasi Neraca'!$A$3:$S$910,10,FALSE)),0,VLOOKUP($A710,'Mutasi Neraca'!$A$3:$S$910,10,FALSE))</f>
        <v>0</v>
      </c>
      <c r="L710" s="42">
        <f>VLOOKUP($A710,'Neraca Unaudited SIMAK'!$A$2:$R$1272,11,FALSE)+IF(ISNA(VLOOKUP($A710,'Mutasi Neraca'!$A$3:$S$910,11,FALSE)),0,VLOOKUP($A710,'Mutasi Neraca'!$A$3:$S$910,11,FALSE))</f>
        <v>9871000</v>
      </c>
      <c r="M710" s="42">
        <f>VLOOKUP($A710,'Neraca Unaudited SIMAK'!$A$2:$R$1272,12,FALSE)+IF(ISNA(VLOOKUP($A710,'Mutasi Neraca'!$A$3:$S$910,12,FALSE)),0,VLOOKUP($A710,'Mutasi Neraca'!$A$3:$S$910,12,FALSE))</f>
        <v>12252966029</v>
      </c>
      <c r="N710" s="42">
        <f>VLOOKUP($A710,'Neraca Unaudited SIMAK'!$A$2:$R$1272,13,FALSE)+IF(ISNA(VLOOKUP($A710,'Mutasi Neraca'!$A$3:$S$910,13,FALSE)),0,VLOOKUP($A710,'Mutasi Neraca'!$A$3:$S$910,13,FALSE))</f>
        <v>-1346013968</v>
      </c>
      <c r="O710" s="42">
        <f>VLOOKUP($A710,'Neraca Unaudited SIMAK'!$A$2:$R$1272,14,FALSE)+IF(ISNA(VLOOKUP($A710,'Mutasi Neraca'!$A$3:$S$910,14,FALSE)),0,VLOOKUP($A710,'Mutasi Neraca'!$A$3:$S$910,14,FALSE))</f>
        <v>-337928152</v>
      </c>
      <c r="P710" s="42">
        <f>VLOOKUP($A710,'Neraca Unaudited SIMAK'!$A$2:$R$1272,15,FALSE)+IF(ISNA(VLOOKUP($A710,'Mutasi Neraca'!$A$3:$S$910,15,FALSE)),0,VLOOKUP($A710,'Mutasi Neraca'!$A$3:$S$910,15,FALSE))</f>
        <v>-71159</v>
      </c>
      <c r="Q710" s="42">
        <f>VLOOKUP($A710,'Neraca Unaudited SIMAK'!$A$2:$R$1272,16,FALSE)+IF(ISNA(VLOOKUP($A710,'Mutasi Neraca'!$A$3:$S$910,16,FALSE)),0,VLOOKUP($A710,'Mutasi Neraca'!$A$3:$S$910,16,FALSE))</f>
        <v>-14797830</v>
      </c>
      <c r="R710" s="42">
        <f>VLOOKUP($A710,'Neraca Unaudited SIMAK'!$A$2:$R$1272,17,FALSE)+IF(ISNA(VLOOKUP($A710,'Mutasi Neraca'!$A$3:$S$910,17,FALSE)),0,VLOOKUP($A710,'Mutasi Neraca'!$A$3:$S$910,17,FALSE))</f>
        <v>-9871000</v>
      </c>
      <c r="S710" s="42">
        <f t="shared" si="65"/>
        <v>10544283920</v>
      </c>
    </row>
    <row r="711" spans="1:19">
      <c r="A711" s="41" t="s">
        <v>718</v>
      </c>
      <c r="B711" s="41" t="str">
        <f t="shared" si="64"/>
        <v>005012400</v>
      </c>
      <c r="D711" s="42">
        <f>VLOOKUP($A711,'Neraca Unaudited SIMAK'!$A$2:$R$1272,3,FALSE)+IF(ISNA(VLOOKUP($A711,'Mutasi Neraca'!$A$3:$S$910,3,FALSE)),0,VLOOKUP($A711,'Mutasi Neraca'!$A$3:$S$910,3,FALSE))</f>
        <v>0</v>
      </c>
      <c r="E711" s="42">
        <f>VLOOKUP($A711,'Neraca Unaudited SIMAK'!$A$2:$R$1272,4,FALSE)+IF(ISNA(VLOOKUP($A711,'Mutasi Neraca'!$A$3:$S$910,4,FALSE)),0,VLOOKUP($A711,'Mutasi Neraca'!$A$3:$S$910,4,FALSE))</f>
        <v>282653000</v>
      </c>
      <c r="F711" s="42">
        <f>VLOOKUP($A711,'Neraca Unaudited SIMAK'!$A$2:$R$1272,5,FALSE)+IF(ISNA(VLOOKUP($A711,'Mutasi Neraca'!$A$3:$S$910,5,FALSE)),0,VLOOKUP($A711,'Mutasi Neraca'!$A$3:$S$910,5,FALSE))</f>
        <v>1082335400</v>
      </c>
      <c r="G711" s="42">
        <f>VLOOKUP($A711,'Neraca Unaudited SIMAK'!$A$2:$R$1272,6,FALSE)+IF(ISNA(VLOOKUP($A711,'Mutasi Neraca'!$A$3:$S$910,6,FALSE)),0,VLOOKUP($A711,'Mutasi Neraca'!$A$3:$S$910,6,FALSE))</f>
        <v>729132800</v>
      </c>
      <c r="H711" s="42">
        <f>VLOOKUP($A711,'Neraca Unaudited SIMAK'!$A$2:$R$1272,7,FALSE)+IF(ISNA(VLOOKUP($A711,'Mutasi Neraca'!$A$3:$S$910,7,FALSE)),0,VLOOKUP($A711,'Mutasi Neraca'!$A$3:$S$910,7,FALSE))</f>
        <v>0</v>
      </c>
      <c r="I711" s="42">
        <f>VLOOKUP($A711,'Neraca Unaudited SIMAK'!$A$2:$R$1272,8,FALSE)+IF(ISNA(VLOOKUP($A711,'Mutasi Neraca'!$A$3:$S$910,8,FALSE)),0,VLOOKUP($A711,'Mutasi Neraca'!$A$3:$S$910,8,FALSE))</f>
        <v>3955870</v>
      </c>
      <c r="J711" s="42">
        <f>VLOOKUP($A711,'Neraca Unaudited SIMAK'!$A$2:$R$1272,9,FALSE)+IF(ISNA(VLOOKUP($A711,'Mutasi Neraca'!$A$3:$S$910,9,FALSE)),0,VLOOKUP($A711,'Mutasi Neraca'!$A$3:$S$910,9,FALSE))</f>
        <v>0</v>
      </c>
      <c r="K711" s="42">
        <f>VLOOKUP($A711,'Neraca Unaudited SIMAK'!$A$2:$R$1272,10,FALSE)+IF(ISNA(VLOOKUP($A711,'Mutasi Neraca'!$A$3:$S$910,10,FALSE)),0,VLOOKUP($A711,'Mutasi Neraca'!$A$3:$S$910,10,FALSE))</f>
        <v>0</v>
      </c>
      <c r="L711" s="42">
        <f>VLOOKUP($A711,'Neraca Unaudited SIMAK'!$A$2:$R$1272,11,FALSE)+IF(ISNA(VLOOKUP($A711,'Mutasi Neraca'!$A$3:$S$910,11,FALSE)),0,VLOOKUP($A711,'Mutasi Neraca'!$A$3:$S$910,11,FALSE))</f>
        <v>168500</v>
      </c>
      <c r="M711" s="42">
        <f>VLOOKUP($A711,'Neraca Unaudited SIMAK'!$A$2:$R$1272,12,FALSE)+IF(ISNA(VLOOKUP($A711,'Mutasi Neraca'!$A$3:$S$910,12,FALSE)),0,VLOOKUP($A711,'Mutasi Neraca'!$A$3:$S$910,12,FALSE))</f>
        <v>2098245570</v>
      </c>
      <c r="N711" s="42">
        <f>VLOOKUP($A711,'Neraca Unaudited SIMAK'!$A$2:$R$1272,13,FALSE)+IF(ISNA(VLOOKUP($A711,'Mutasi Neraca'!$A$3:$S$910,13,FALSE)),0,VLOOKUP($A711,'Mutasi Neraca'!$A$3:$S$910,13,FALSE))</f>
        <v>-932043437</v>
      </c>
      <c r="O711" s="42">
        <f>VLOOKUP($A711,'Neraca Unaudited SIMAK'!$A$2:$R$1272,14,FALSE)+IF(ISNA(VLOOKUP($A711,'Mutasi Neraca'!$A$3:$S$910,14,FALSE)),0,VLOOKUP($A711,'Mutasi Neraca'!$A$3:$S$910,14,FALSE))</f>
        <v>-129959119</v>
      </c>
      <c r="P711" s="42">
        <f>VLOOKUP($A711,'Neraca Unaudited SIMAK'!$A$2:$R$1272,15,FALSE)+IF(ISNA(VLOOKUP($A711,'Mutasi Neraca'!$A$3:$S$910,15,FALSE)),0,VLOOKUP($A711,'Mutasi Neraca'!$A$3:$S$910,15,FALSE))</f>
        <v>0</v>
      </c>
      <c r="Q711" s="42">
        <f>VLOOKUP($A711,'Neraca Unaudited SIMAK'!$A$2:$R$1272,16,FALSE)+IF(ISNA(VLOOKUP($A711,'Mutasi Neraca'!$A$3:$S$910,16,FALSE)),0,VLOOKUP($A711,'Mutasi Neraca'!$A$3:$S$910,16,FALSE))</f>
        <v>0</v>
      </c>
      <c r="R711" s="42">
        <f>VLOOKUP($A711,'Neraca Unaudited SIMAK'!$A$2:$R$1272,17,FALSE)+IF(ISNA(VLOOKUP($A711,'Mutasi Neraca'!$A$3:$S$910,17,FALSE)),0,VLOOKUP($A711,'Mutasi Neraca'!$A$3:$S$910,17,FALSE))</f>
        <v>-168500</v>
      </c>
      <c r="S711" s="42">
        <f t="shared" si="65"/>
        <v>1036074514</v>
      </c>
    </row>
    <row r="712" spans="1:19">
      <c r="A712" s="41" t="s">
        <v>719</v>
      </c>
      <c r="B712" s="41" t="str">
        <f t="shared" si="64"/>
        <v>005012400</v>
      </c>
      <c r="D712" s="42">
        <f>VLOOKUP($A712,'Neraca Unaudited SIMAK'!$A$2:$R$1272,3,FALSE)+IF(ISNA(VLOOKUP($A712,'Mutasi Neraca'!$A$3:$S$910,3,FALSE)),0,VLOOKUP($A712,'Mutasi Neraca'!$A$3:$S$910,3,FALSE))</f>
        <v>910000</v>
      </c>
      <c r="E712" s="42">
        <f>VLOOKUP($A712,'Neraca Unaudited SIMAK'!$A$2:$R$1272,4,FALSE)+IF(ISNA(VLOOKUP($A712,'Mutasi Neraca'!$A$3:$S$910,4,FALSE)),0,VLOOKUP($A712,'Mutasi Neraca'!$A$3:$S$910,4,FALSE))</f>
        <v>941223920</v>
      </c>
      <c r="F712" s="42">
        <f>VLOOKUP($A712,'Neraca Unaudited SIMAK'!$A$2:$R$1272,5,FALSE)+IF(ISNA(VLOOKUP($A712,'Mutasi Neraca'!$A$3:$S$910,5,FALSE)),0,VLOOKUP($A712,'Mutasi Neraca'!$A$3:$S$910,5,FALSE))</f>
        <v>778998312</v>
      </c>
      <c r="G712" s="42">
        <f>VLOOKUP($A712,'Neraca Unaudited SIMAK'!$A$2:$R$1272,6,FALSE)+IF(ISNA(VLOOKUP($A712,'Mutasi Neraca'!$A$3:$S$910,6,FALSE)),0,VLOOKUP($A712,'Mutasi Neraca'!$A$3:$S$910,6,FALSE))</f>
        <v>779054000</v>
      </c>
      <c r="H712" s="42">
        <f>VLOOKUP($A712,'Neraca Unaudited SIMAK'!$A$2:$R$1272,7,FALSE)+IF(ISNA(VLOOKUP($A712,'Mutasi Neraca'!$A$3:$S$910,7,FALSE)),0,VLOOKUP($A712,'Mutasi Neraca'!$A$3:$S$910,7,FALSE))</f>
        <v>7692000</v>
      </c>
      <c r="I712" s="42">
        <f>VLOOKUP($A712,'Neraca Unaudited SIMAK'!$A$2:$R$1272,8,FALSE)+IF(ISNA(VLOOKUP($A712,'Mutasi Neraca'!$A$3:$S$910,8,FALSE)),0,VLOOKUP($A712,'Mutasi Neraca'!$A$3:$S$910,8,FALSE))</f>
        <v>8914070</v>
      </c>
      <c r="J712" s="42">
        <f>VLOOKUP($A712,'Neraca Unaudited SIMAK'!$A$2:$R$1272,9,FALSE)+IF(ISNA(VLOOKUP($A712,'Mutasi Neraca'!$A$3:$S$910,9,FALSE)),0,VLOOKUP($A712,'Mutasi Neraca'!$A$3:$S$910,9,FALSE))</f>
        <v>0</v>
      </c>
      <c r="K712" s="42">
        <f>VLOOKUP($A712,'Neraca Unaudited SIMAK'!$A$2:$R$1272,10,FALSE)+IF(ISNA(VLOOKUP($A712,'Mutasi Neraca'!$A$3:$S$910,10,FALSE)),0,VLOOKUP($A712,'Mutasi Neraca'!$A$3:$S$910,10,FALSE))</f>
        <v>13000000</v>
      </c>
      <c r="L712" s="42">
        <f>VLOOKUP($A712,'Neraca Unaudited SIMAK'!$A$2:$R$1272,11,FALSE)+IF(ISNA(VLOOKUP($A712,'Mutasi Neraca'!$A$3:$S$910,11,FALSE)),0,VLOOKUP($A712,'Mutasi Neraca'!$A$3:$S$910,11,FALSE))</f>
        <v>17447000</v>
      </c>
      <c r="M712" s="42">
        <f>VLOOKUP($A712,'Neraca Unaudited SIMAK'!$A$2:$R$1272,12,FALSE)+IF(ISNA(VLOOKUP($A712,'Mutasi Neraca'!$A$3:$S$910,12,FALSE)),0,VLOOKUP($A712,'Mutasi Neraca'!$A$3:$S$910,12,FALSE))</f>
        <v>2547239302</v>
      </c>
      <c r="N712" s="42">
        <f>VLOOKUP($A712,'Neraca Unaudited SIMAK'!$A$2:$R$1272,13,FALSE)+IF(ISNA(VLOOKUP($A712,'Mutasi Neraca'!$A$3:$S$910,13,FALSE)),0,VLOOKUP($A712,'Mutasi Neraca'!$A$3:$S$910,13,FALSE))</f>
        <v>-732625034</v>
      </c>
      <c r="O712" s="42">
        <f>VLOOKUP($A712,'Neraca Unaudited SIMAK'!$A$2:$R$1272,14,FALSE)+IF(ISNA(VLOOKUP($A712,'Mutasi Neraca'!$A$3:$S$910,14,FALSE)),0,VLOOKUP($A712,'Mutasi Neraca'!$A$3:$S$910,14,FALSE))</f>
        <v>-81941198</v>
      </c>
      <c r="P712" s="42">
        <f>VLOOKUP($A712,'Neraca Unaudited SIMAK'!$A$2:$R$1272,15,FALSE)+IF(ISNA(VLOOKUP($A712,'Mutasi Neraca'!$A$3:$S$910,15,FALSE)),0,VLOOKUP($A712,'Mutasi Neraca'!$A$3:$S$910,15,FALSE))</f>
        <v>-1442250</v>
      </c>
      <c r="Q712" s="42">
        <f>VLOOKUP($A712,'Neraca Unaudited SIMAK'!$A$2:$R$1272,16,FALSE)+IF(ISNA(VLOOKUP($A712,'Mutasi Neraca'!$A$3:$S$910,16,FALSE)),0,VLOOKUP($A712,'Mutasi Neraca'!$A$3:$S$910,16,FALSE))</f>
        <v>0</v>
      </c>
      <c r="R712" s="42">
        <f>VLOOKUP($A712,'Neraca Unaudited SIMAK'!$A$2:$R$1272,17,FALSE)+IF(ISNA(VLOOKUP($A712,'Mutasi Neraca'!$A$3:$S$910,17,FALSE)),0,VLOOKUP($A712,'Mutasi Neraca'!$A$3:$S$910,17,FALSE))</f>
        <v>-17447000</v>
      </c>
      <c r="S712" s="42">
        <f t="shared" si="65"/>
        <v>1713783820</v>
      </c>
    </row>
    <row r="713" spans="1:19">
      <c r="A713" s="41" t="s">
        <v>720</v>
      </c>
      <c r="B713" s="41" t="str">
        <f t="shared" si="64"/>
        <v>005012400</v>
      </c>
      <c r="D713" s="42">
        <f>VLOOKUP($A713,'Neraca Unaudited SIMAK'!$A$2:$R$1272,3,FALSE)+IF(ISNA(VLOOKUP($A713,'Mutasi Neraca'!$A$3:$S$910,3,FALSE)),0,VLOOKUP($A713,'Mutasi Neraca'!$A$3:$S$910,3,FALSE))</f>
        <v>291000</v>
      </c>
      <c r="E713" s="42">
        <f>VLOOKUP($A713,'Neraca Unaudited SIMAK'!$A$2:$R$1272,4,FALSE)+IF(ISNA(VLOOKUP($A713,'Mutasi Neraca'!$A$3:$S$910,4,FALSE)),0,VLOOKUP($A713,'Mutasi Neraca'!$A$3:$S$910,4,FALSE))</f>
        <v>907216000</v>
      </c>
      <c r="F713" s="42">
        <f>VLOOKUP($A713,'Neraca Unaudited SIMAK'!$A$2:$R$1272,5,FALSE)+IF(ISNA(VLOOKUP($A713,'Mutasi Neraca'!$A$3:$S$910,5,FALSE)),0,VLOOKUP($A713,'Mutasi Neraca'!$A$3:$S$910,5,FALSE))</f>
        <v>2159232756</v>
      </c>
      <c r="G713" s="42">
        <f>VLOOKUP($A713,'Neraca Unaudited SIMAK'!$A$2:$R$1272,6,FALSE)+IF(ISNA(VLOOKUP($A713,'Mutasi Neraca'!$A$3:$S$910,6,FALSE)),0,VLOOKUP($A713,'Mutasi Neraca'!$A$3:$S$910,6,FALSE))</f>
        <v>8496345641</v>
      </c>
      <c r="H713" s="42">
        <f>VLOOKUP($A713,'Neraca Unaudited SIMAK'!$A$2:$R$1272,7,FALSE)+IF(ISNA(VLOOKUP($A713,'Mutasi Neraca'!$A$3:$S$910,7,FALSE)),0,VLOOKUP($A713,'Mutasi Neraca'!$A$3:$S$910,7,FALSE))</f>
        <v>0</v>
      </c>
      <c r="I713" s="42">
        <f>VLOOKUP($A713,'Neraca Unaudited SIMAK'!$A$2:$R$1272,8,FALSE)+IF(ISNA(VLOOKUP($A713,'Mutasi Neraca'!$A$3:$S$910,8,FALSE)),0,VLOOKUP($A713,'Mutasi Neraca'!$A$3:$S$910,8,FALSE))</f>
        <v>24474870</v>
      </c>
      <c r="J713" s="42">
        <f>VLOOKUP($A713,'Neraca Unaudited SIMAK'!$A$2:$R$1272,9,FALSE)+IF(ISNA(VLOOKUP($A713,'Mutasi Neraca'!$A$3:$S$910,9,FALSE)),0,VLOOKUP($A713,'Mutasi Neraca'!$A$3:$S$910,9,FALSE))</f>
        <v>0</v>
      </c>
      <c r="K713" s="42">
        <f>VLOOKUP($A713,'Neraca Unaudited SIMAK'!$A$2:$R$1272,10,FALSE)+IF(ISNA(VLOOKUP($A713,'Mutasi Neraca'!$A$3:$S$910,10,FALSE)),0,VLOOKUP($A713,'Mutasi Neraca'!$A$3:$S$910,10,FALSE))</f>
        <v>0</v>
      </c>
      <c r="L713" s="42">
        <f>VLOOKUP($A713,'Neraca Unaudited SIMAK'!$A$2:$R$1272,11,FALSE)+IF(ISNA(VLOOKUP($A713,'Mutasi Neraca'!$A$3:$S$910,11,FALSE)),0,VLOOKUP($A713,'Mutasi Neraca'!$A$3:$S$910,11,FALSE))</f>
        <v>20822000</v>
      </c>
      <c r="M713" s="42">
        <f>VLOOKUP($A713,'Neraca Unaudited SIMAK'!$A$2:$R$1272,12,FALSE)+IF(ISNA(VLOOKUP($A713,'Mutasi Neraca'!$A$3:$S$910,12,FALSE)),0,VLOOKUP($A713,'Mutasi Neraca'!$A$3:$S$910,12,FALSE))</f>
        <v>11608382267</v>
      </c>
      <c r="N713" s="42">
        <f>VLOOKUP($A713,'Neraca Unaudited SIMAK'!$A$2:$R$1272,13,FALSE)+IF(ISNA(VLOOKUP($A713,'Mutasi Neraca'!$A$3:$S$910,13,FALSE)),0,VLOOKUP($A713,'Mutasi Neraca'!$A$3:$S$910,13,FALSE))</f>
        <v>-1337069991</v>
      </c>
      <c r="O713" s="42">
        <f>VLOOKUP($A713,'Neraca Unaudited SIMAK'!$A$2:$R$1272,14,FALSE)+IF(ISNA(VLOOKUP($A713,'Mutasi Neraca'!$A$3:$S$910,14,FALSE)),0,VLOOKUP($A713,'Mutasi Neraca'!$A$3:$S$910,14,FALSE))</f>
        <v>-572374161</v>
      </c>
      <c r="P713" s="42">
        <f>VLOOKUP($A713,'Neraca Unaudited SIMAK'!$A$2:$R$1272,15,FALSE)+IF(ISNA(VLOOKUP($A713,'Mutasi Neraca'!$A$3:$S$910,15,FALSE)),0,VLOOKUP($A713,'Mutasi Neraca'!$A$3:$S$910,15,FALSE))</f>
        <v>0</v>
      </c>
      <c r="Q713" s="42">
        <f>VLOOKUP($A713,'Neraca Unaudited SIMAK'!$A$2:$R$1272,16,FALSE)+IF(ISNA(VLOOKUP($A713,'Mutasi Neraca'!$A$3:$S$910,16,FALSE)),0,VLOOKUP($A713,'Mutasi Neraca'!$A$3:$S$910,16,FALSE))</f>
        <v>0</v>
      </c>
      <c r="R713" s="42">
        <f>VLOOKUP($A713,'Neraca Unaudited SIMAK'!$A$2:$R$1272,17,FALSE)+IF(ISNA(VLOOKUP($A713,'Mutasi Neraca'!$A$3:$S$910,17,FALSE)),0,VLOOKUP($A713,'Mutasi Neraca'!$A$3:$S$910,17,FALSE))</f>
        <v>-20822000</v>
      </c>
      <c r="S713" s="42">
        <f t="shared" si="65"/>
        <v>9678116115</v>
      </c>
    </row>
    <row r="714" spans="1:19">
      <c r="A714" s="41" t="s">
        <v>721</v>
      </c>
      <c r="B714" s="41" t="str">
        <f t="shared" si="64"/>
        <v>005012400</v>
      </c>
      <c r="D714" s="42">
        <f>VLOOKUP($A714,'Neraca Unaudited SIMAK'!$A$2:$R$1272,3,FALSE)+IF(ISNA(VLOOKUP($A714,'Mutasi Neraca'!$A$3:$S$910,3,FALSE)),0,VLOOKUP($A714,'Mutasi Neraca'!$A$3:$S$910,3,FALSE))</f>
        <v>436000</v>
      </c>
      <c r="E714" s="42">
        <f>VLOOKUP($A714,'Neraca Unaudited SIMAK'!$A$2:$R$1272,4,FALSE)+IF(ISNA(VLOOKUP($A714,'Mutasi Neraca'!$A$3:$S$910,4,FALSE)),0,VLOOKUP($A714,'Mutasi Neraca'!$A$3:$S$910,4,FALSE))</f>
        <v>177250000</v>
      </c>
      <c r="F714" s="42">
        <f>VLOOKUP($A714,'Neraca Unaudited SIMAK'!$A$2:$R$1272,5,FALSE)+IF(ISNA(VLOOKUP($A714,'Mutasi Neraca'!$A$3:$S$910,5,FALSE)),0,VLOOKUP($A714,'Mutasi Neraca'!$A$3:$S$910,5,FALSE))</f>
        <v>1442436747</v>
      </c>
      <c r="G714" s="42">
        <f>VLOOKUP($A714,'Neraca Unaudited SIMAK'!$A$2:$R$1272,6,FALSE)+IF(ISNA(VLOOKUP($A714,'Mutasi Neraca'!$A$3:$S$910,6,FALSE)),0,VLOOKUP($A714,'Mutasi Neraca'!$A$3:$S$910,6,FALSE))</f>
        <v>7218443000</v>
      </c>
      <c r="H714" s="42">
        <f>VLOOKUP($A714,'Neraca Unaudited SIMAK'!$A$2:$R$1272,7,FALSE)+IF(ISNA(VLOOKUP($A714,'Mutasi Neraca'!$A$3:$S$910,7,FALSE)),0,VLOOKUP($A714,'Mutasi Neraca'!$A$3:$S$910,7,FALSE))</f>
        <v>118242251</v>
      </c>
      <c r="I714" s="42">
        <f>VLOOKUP($A714,'Neraca Unaudited SIMAK'!$A$2:$R$1272,8,FALSE)+IF(ISNA(VLOOKUP($A714,'Mutasi Neraca'!$A$3:$S$910,8,FALSE)),0,VLOOKUP($A714,'Mutasi Neraca'!$A$3:$S$910,8,FALSE))</f>
        <v>1943440</v>
      </c>
      <c r="J714" s="42">
        <f>VLOOKUP($A714,'Neraca Unaudited SIMAK'!$A$2:$R$1272,9,FALSE)+IF(ISNA(VLOOKUP($A714,'Mutasi Neraca'!$A$3:$S$910,9,FALSE)),0,VLOOKUP($A714,'Mutasi Neraca'!$A$3:$S$910,9,FALSE))</f>
        <v>0</v>
      </c>
      <c r="K714" s="42">
        <f>VLOOKUP($A714,'Neraca Unaudited SIMAK'!$A$2:$R$1272,10,FALSE)+IF(ISNA(VLOOKUP($A714,'Mutasi Neraca'!$A$3:$S$910,10,FALSE)),0,VLOOKUP($A714,'Mutasi Neraca'!$A$3:$S$910,10,FALSE))</f>
        <v>0</v>
      </c>
      <c r="L714" s="42">
        <f>VLOOKUP($A714,'Neraca Unaudited SIMAK'!$A$2:$R$1272,11,FALSE)+IF(ISNA(VLOOKUP($A714,'Mutasi Neraca'!$A$3:$S$910,11,FALSE)),0,VLOOKUP($A714,'Mutasi Neraca'!$A$3:$S$910,11,FALSE))</f>
        <v>84878303</v>
      </c>
      <c r="M714" s="42">
        <f>VLOOKUP($A714,'Neraca Unaudited SIMAK'!$A$2:$R$1272,12,FALSE)+IF(ISNA(VLOOKUP($A714,'Mutasi Neraca'!$A$3:$S$910,12,FALSE)),0,VLOOKUP($A714,'Mutasi Neraca'!$A$3:$S$910,12,FALSE))</f>
        <v>9043629741</v>
      </c>
      <c r="N714" s="42">
        <f>VLOOKUP($A714,'Neraca Unaudited SIMAK'!$A$2:$R$1272,13,FALSE)+IF(ISNA(VLOOKUP($A714,'Mutasi Neraca'!$A$3:$S$910,13,FALSE)),0,VLOOKUP($A714,'Mutasi Neraca'!$A$3:$S$910,13,FALSE))</f>
        <v>-1019808917</v>
      </c>
      <c r="O714" s="42">
        <f>VLOOKUP($A714,'Neraca Unaudited SIMAK'!$A$2:$R$1272,14,FALSE)+IF(ISNA(VLOOKUP($A714,'Mutasi Neraca'!$A$3:$S$910,14,FALSE)),0,VLOOKUP($A714,'Mutasi Neraca'!$A$3:$S$910,14,FALSE))</f>
        <v>-1098415995</v>
      </c>
      <c r="P714" s="42">
        <f>VLOOKUP($A714,'Neraca Unaudited SIMAK'!$A$2:$R$1272,15,FALSE)+IF(ISNA(VLOOKUP($A714,'Mutasi Neraca'!$A$3:$S$910,15,FALSE)),0,VLOOKUP($A714,'Mutasi Neraca'!$A$3:$S$910,15,FALSE))</f>
        <v>-10927495</v>
      </c>
      <c r="Q714" s="42">
        <f>VLOOKUP($A714,'Neraca Unaudited SIMAK'!$A$2:$R$1272,16,FALSE)+IF(ISNA(VLOOKUP($A714,'Mutasi Neraca'!$A$3:$S$910,16,FALSE)),0,VLOOKUP($A714,'Mutasi Neraca'!$A$3:$S$910,16,FALSE))</f>
        <v>0</v>
      </c>
      <c r="R714" s="42">
        <f>VLOOKUP($A714,'Neraca Unaudited SIMAK'!$A$2:$R$1272,17,FALSE)+IF(ISNA(VLOOKUP($A714,'Mutasi Neraca'!$A$3:$S$910,17,FALSE)),0,VLOOKUP($A714,'Mutasi Neraca'!$A$3:$S$910,17,FALSE))</f>
        <v>-75005978</v>
      </c>
      <c r="S714" s="42">
        <f t="shared" si="65"/>
        <v>6839471356</v>
      </c>
    </row>
    <row r="715" spans="1:19">
      <c r="A715" s="41" t="s">
        <v>722</v>
      </c>
      <c r="B715" s="41" t="str">
        <f t="shared" si="64"/>
        <v>005012400</v>
      </c>
      <c r="D715" s="42">
        <f>VLOOKUP($A715,'Neraca Unaudited SIMAK'!$A$2:$R$1272,3,FALSE)+IF(ISNA(VLOOKUP($A715,'Mutasi Neraca'!$A$3:$S$910,3,FALSE)),0,VLOOKUP($A715,'Mutasi Neraca'!$A$3:$S$910,3,FALSE))</f>
        <v>3865100</v>
      </c>
      <c r="E715" s="42">
        <f>VLOOKUP($A715,'Neraca Unaudited SIMAK'!$A$2:$R$1272,4,FALSE)+IF(ISNA(VLOOKUP($A715,'Mutasi Neraca'!$A$3:$S$910,4,FALSE)),0,VLOOKUP($A715,'Mutasi Neraca'!$A$3:$S$910,4,FALSE))</f>
        <v>1404233860</v>
      </c>
      <c r="F715" s="42">
        <f>VLOOKUP($A715,'Neraca Unaudited SIMAK'!$A$2:$R$1272,5,FALSE)+IF(ISNA(VLOOKUP($A715,'Mutasi Neraca'!$A$3:$S$910,5,FALSE)),0,VLOOKUP($A715,'Mutasi Neraca'!$A$3:$S$910,5,FALSE))</f>
        <v>2457119150</v>
      </c>
      <c r="G715" s="42">
        <f>VLOOKUP($A715,'Neraca Unaudited SIMAK'!$A$2:$R$1272,6,FALSE)+IF(ISNA(VLOOKUP($A715,'Mutasi Neraca'!$A$3:$S$910,6,FALSE)),0,VLOOKUP($A715,'Mutasi Neraca'!$A$3:$S$910,6,FALSE))</f>
        <v>6201028713</v>
      </c>
      <c r="H715" s="42">
        <f>VLOOKUP($A715,'Neraca Unaudited SIMAK'!$A$2:$R$1272,7,FALSE)+IF(ISNA(VLOOKUP($A715,'Mutasi Neraca'!$A$3:$S$910,7,FALSE)),0,VLOOKUP($A715,'Mutasi Neraca'!$A$3:$S$910,7,FALSE))</f>
        <v>320580499</v>
      </c>
      <c r="I715" s="42">
        <f>VLOOKUP($A715,'Neraca Unaudited SIMAK'!$A$2:$R$1272,8,FALSE)+IF(ISNA(VLOOKUP($A715,'Mutasi Neraca'!$A$3:$S$910,8,FALSE)),0,VLOOKUP($A715,'Mutasi Neraca'!$A$3:$S$910,8,FALSE))</f>
        <v>16743940</v>
      </c>
      <c r="J715" s="42">
        <f>VLOOKUP($A715,'Neraca Unaudited SIMAK'!$A$2:$R$1272,9,FALSE)+IF(ISNA(VLOOKUP($A715,'Mutasi Neraca'!$A$3:$S$910,9,FALSE)),0,VLOOKUP($A715,'Mutasi Neraca'!$A$3:$S$910,9,FALSE))</f>
        <v>0</v>
      </c>
      <c r="K715" s="42">
        <f>VLOOKUP($A715,'Neraca Unaudited SIMAK'!$A$2:$R$1272,10,FALSE)+IF(ISNA(VLOOKUP($A715,'Mutasi Neraca'!$A$3:$S$910,10,FALSE)),0,VLOOKUP($A715,'Mutasi Neraca'!$A$3:$S$910,10,FALSE))</f>
        <v>0</v>
      </c>
      <c r="L715" s="42">
        <f>VLOOKUP($A715,'Neraca Unaudited SIMAK'!$A$2:$R$1272,11,FALSE)+IF(ISNA(VLOOKUP($A715,'Mutasi Neraca'!$A$3:$S$910,11,FALSE)),0,VLOOKUP($A715,'Mutasi Neraca'!$A$3:$S$910,11,FALSE))</f>
        <v>950000</v>
      </c>
      <c r="M715" s="42">
        <f>VLOOKUP($A715,'Neraca Unaudited SIMAK'!$A$2:$R$1272,12,FALSE)+IF(ISNA(VLOOKUP($A715,'Mutasi Neraca'!$A$3:$S$910,12,FALSE)),0,VLOOKUP($A715,'Mutasi Neraca'!$A$3:$S$910,12,FALSE))</f>
        <v>10404521262</v>
      </c>
      <c r="N715" s="42">
        <f>VLOOKUP($A715,'Neraca Unaudited SIMAK'!$A$2:$R$1272,13,FALSE)+IF(ISNA(VLOOKUP($A715,'Mutasi Neraca'!$A$3:$S$910,13,FALSE)),0,VLOOKUP($A715,'Mutasi Neraca'!$A$3:$S$910,13,FALSE))</f>
        <v>-2057921652</v>
      </c>
      <c r="O715" s="42">
        <f>VLOOKUP($A715,'Neraca Unaudited SIMAK'!$A$2:$R$1272,14,FALSE)+IF(ISNA(VLOOKUP($A715,'Mutasi Neraca'!$A$3:$S$910,14,FALSE)),0,VLOOKUP($A715,'Mutasi Neraca'!$A$3:$S$910,14,FALSE))</f>
        <v>-975369943</v>
      </c>
      <c r="P715" s="42">
        <f>VLOOKUP($A715,'Neraca Unaudited SIMAK'!$A$2:$R$1272,15,FALSE)+IF(ISNA(VLOOKUP($A715,'Mutasi Neraca'!$A$3:$S$910,15,FALSE)),0,VLOOKUP($A715,'Mutasi Neraca'!$A$3:$S$910,15,FALSE))</f>
        <v>-50581676</v>
      </c>
      <c r="Q715" s="42">
        <f>VLOOKUP($A715,'Neraca Unaudited SIMAK'!$A$2:$R$1272,16,FALSE)+IF(ISNA(VLOOKUP($A715,'Mutasi Neraca'!$A$3:$S$910,16,FALSE)),0,VLOOKUP($A715,'Mutasi Neraca'!$A$3:$S$910,16,FALSE))</f>
        <v>-14800500</v>
      </c>
      <c r="R715" s="42">
        <f>VLOOKUP($A715,'Neraca Unaudited SIMAK'!$A$2:$R$1272,17,FALSE)+IF(ISNA(VLOOKUP($A715,'Mutasi Neraca'!$A$3:$S$910,17,FALSE)),0,VLOOKUP($A715,'Mutasi Neraca'!$A$3:$S$910,17,FALSE))</f>
        <v>-950000</v>
      </c>
      <c r="S715" s="42">
        <f t="shared" si="65"/>
        <v>7304897491</v>
      </c>
    </row>
    <row r="716" spans="1:19">
      <c r="A716" s="41" t="s">
        <v>723</v>
      </c>
      <c r="B716" s="41" t="str">
        <f t="shared" si="64"/>
        <v>005012400</v>
      </c>
      <c r="D716" s="42">
        <f>VLOOKUP($A716,'Neraca Unaudited SIMAK'!$A$2:$R$1272,3,FALSE)+IF(ISNA(VLOOKUP($A716,'Mutasi Neraca'!$A$3:$S$910,3,FALSE)),0,VLOOKUP($A716,'Mutasi Neraca'!$A$3:$S$910,3,FALSE))</f>
        <v>0</v>
      </c>
      <c r="E716" s="42">
        <f>VLOOKUP($A716,'Neraca Unaudited SIMAK'!$A$2:$R$1272,4,FALSE)+IF(ISNA(VLOOKUP($A716,'Mutasi Neraca'!$A$3:$S$910,4,FALSE)),0,VLOOKUP($A716,'Mutasi Neraca'!$A$3:$S$910,4,FALSE))</f>
        <v>1073100000</v>
      </c>
      <c r="F716" s="42">
        <f>VLOOKUP($A716,'Neraca Unaudited SIMAK'!$A$2:$R$1272,5,FALSE)+IF(ISNA(VLOOKUP($A716,'Mutasi Neraca'!$A$3:$S$910,5,FALSE)),0,VLOOKUP($A716,'Mutasi Neraca'!$A$3:$S$910,5,FALSE))</f>
        <v>2122990443</v>
      </c>
      <c r="G716" s="42">
        <f>VLOOKUP($A716,'Neraca Unaudited SIMAK'!$A$2:$R$1272,6,FALSE)+IF(ISNA(VLOOKUP($A716,'Mutasi Neraca'!$A$3:$S$910,6,FALSE)),0,VLOOKUP($A716,'Mutasi Neraca'!$A$3:$S$910,6,FALSE))</f>
        <v>8634728270</v>
      </c>
      <c r="H716" s="42">
        <f>VLOOKUP($A716,'Neraca Unaudited SIMAK'!$A$2:$R$1272,7,FALSE)+IF(ISNA(VLOOKUP($A716,'Mutasi Neraca'!$A$3:$S$910,7,FALSE)),0,VLOOKUP($A716,'Mutasi Neraca'!$A$3:$S$910,7,FALSE))</f>
        <v>204303332</v>
      </c>
      <c r="I716" s="42">
        <f>VLOOKUP($A716,'Neraca Unaudited SIMAK'!$A$2:$R$1272,8,FALSE)+IF(ISNA(VLOOKUP($A716,'Mutasi Neraca'!$A$3:$S$910,8,FALSE)),0,VLOOKUP($A716,'Mutasi Neraca'!$A$3:$S$910,8,FALSE))</f>
        <v>52182750</v>
      </c>
      <c r="J716" s="42">
        <f>VLOOKUP($A716,'Neraca Unaudited SIMAK'!$A$2:$R$1272,9,FALSE)+IF(ISNA(VLOOKUP($A716,'Mutasi Neraca'!$A$3:$S$910,9,FALSE)),0,VLOOKUP($A716,'Mutasi Neraca'!$A$3:$S$910,9,FALSE))</f>
        <v>0</v>
      </c>
      <c r="K716" s="42">
        <f>VLOOKUP($A716,'Neraca Unaudited SIMAK'!$A$2:$R$1272,10,FALSE)+IF(ISNA(VLOOKUP($A716,'Mutasi Neraca'!$A$3:$S$910,10,FALSE)),0,VLOOKUP($A716,'Mutasi Neraca'!$A$3:$S$910,10,FALSE))</f>
        <v>0</v>
      </c>
      <c r="L716" s="42">
        <f>VLOOKUP($A716,'Neraca Unaudited SIMAK'!$A$2:$R$1272,11,FALSE)+IF(ISNA(VLOOKUP($A716,'Mutasi Neraca'!$A$3:$S$910,11,FALSE)),0,VLOOKUP($A716,'Mutasi Neraca'!$A$3:$S$910,11,FALSE))</f>
        <v>81179456</v>
      </c>
      <c r="M716" s="42">
        <f>VLOOKUP($A716,'Neraca Unaudited SIMAK'!$A$2:$R$1272,12,FALSE)+IF(ISNA(VLOOKUP($A716,'Mutasi Neraca'!$A$3:$S$910,12,FALSE)),0,VLOOKUP($A716,'Mutasi Neraca'!$A$3:$S$910,12,FALSE))</f>
        <v>12168484251</v>
      </c>
      <c r="N716" s="42">
        <f>VLOOKUP($A716,'Neraca Unaudited SIMAK'!$A$2:$R$1272,13,FALSE)+IF(ISNA(VLOOKUP($A716,'Mutasi Neraca'!$A$3:$S$910,13,FALSE)),0,VLOOKUP($A716,'Mutasi Neraca'!$A$3:$S$910,13,FALSE))</f>
        <v>-1820264329</v>
      </c>
      <c r="O716" s="42">
        <f>VLOOKUP($A716,'Neraca Unaudited SIMAK'!$A$2:$R$1272,14,FALSE)+IF(ISNA(VLOOKUP($A716,'Mutasi Neraca'!$A$3:$S$910,14,FALSE)),0,VLOOKUP($A716,'Mutasi Neraca'!$A$3:$S$910,14,FALSE))</f>
        <v>-1075132083</v>
      </c>
      <c r="P716" s="42">
        <f>VLOOKUP($A716,'Neraca Unaudited SIMAK'!$A$2:$R$1272,15,FALSE)+IF(ISNA(VLOOKUP($A716,'Mutasi Neraca'!$A$3:$S$910,15,FALSE)),0,VLOOKUP($A716,'Mutasi Neraca'!$A$3:$S$910,15,FALSE))</f>
        <v>-75730743</v>
      </c>
      <c r="Q716" s="42">
        <f>VLOOKUP($A716,'Neraca Unaudited SIMAK'!$A$2:$R$1272,16,FALSE)+IF(ISNA(VLOOKUP($A716,'Mutasi Neraca'!$A$3:$S$910,16,FALSE)),0,VLOOKUP($A716,'Mutasi Neraca'!$A$3:$S$910,16,FALSE))</f>
        <v>0</v>
      </c>
      <c r="R716" s="42">
        <f>VLOOKUP($A716,'Neraca Unaudited SIMAK'!$A$2:$R$1272,17,FALSE)+IF(ISNA(VLOOKUP($A716,'Mutasi Neraca'!$A$3:$S$910,17,FALSE)),0,VLOOKUP($A716,'Mutasi Neraca'!$A$3:$S$910,17,FALSE))</f>
        <v>-81179456</v>
      </c>
      <c r="S716" s="42">
        <f t="shared" si="65"/>
        <v>9116177640</v>
      </c>
    </row>
    <row r="717" spans="1:19">
      <c r="A717" s="41" t="s">
        <v>724</v>
      </c>
      <c r="B717" s="41" t="str">
        <f t="shared" si="64"/>
        <v>005012400</v>
      </c>
      <c r="D717" s="42">
        <f>VLOOKUP($A717,'Neraca Unaudited SIMAK'!$A$2:$R$1272,3,FALSE)+IF(ISNA(VLOOKUP($A717,'Mutasi Neraca'!$A$3:$S$910,3,FALSE)),0,VLOOKUP($A717,'Mutasi Neraca'!$A$3:$S$910,3,FALSE))</f>
        <v>18075355</v>
      </c>
      <c r="E717" s="42">
        <f>VLOOKUP($A717,'Neraca Unaudited SIMAK'!$A$2:$R$1272,4,FALSE)+IF(ISNA(VLOOKUP($A717,'Mutasi Neraca'!$A$3:$S$910,4,FALSE)),0,VLOOKUP($A717,'Mutasi Neraca'!$A$3:$S$910,4,FALSE))</f>
        <v>3748676000</v>
      </c>
      <c r="F717" s="42">
        <f>VLOOKUP($A717,'Neraca Unaudited SIMAK'!$A$2:$R$1272,5,FALSE)+IF(ISNA(VLOOKUP($A717,'Mutasi Neraca'!$A$3:$S$910,5,FALSE)),0,VLOOKUP($A717,'Mutasi Neraca'!$A$3:$S$910,5,FALSE))</f>
        <v>3169411573</v>
      </c>
      <c r="G717" s="42">
        <f>VLOOKUP($A717,'Neraca Unaudited SIMAK'!$A$2:$R$1272,6,FALSE)+IF(ISNA(VLOOKUP($A717,'Mutasi Neraca'!$A$3:$S$910,6,FALSE)),0,VLOOKUP($A717,'Mutasi Neraca'!$A$3:$S$910,6,FALSE))</f>
        <v>8850369706</v>
      </c>
      <c r="H717" s="42">
        <f>VLOOKUP($A717,'Neraca Unaudited SIMAK'!$A$2:$R$1272,7,FALSE)+IF(ISNA(VLOOKUP($A717,'Mutasi Neraca'!$A$3:$S$910,7,FALSE)),0,VLOOKUP($A717,'Mutasi Neraca'!$A$3:$S$910,7,FALSE))</f>
        <v>52021000</v>
      </c>
      <c r="I717" s="42">
        <f>VLOOKUP($A717,'Neraca Unaudited SIMAK'!$A$2:$R$1272,8,FALSE)+IF(ISNA(VLOOKUP($A717,'Mutasi Neraca'!$A$3:$S$910,8,FALSE)),0,VLOOKUP($A717,'Mutasi Neraca'!$A$3:$S$910,8,FALSE))</f>
        <v>13900680</v>
      </c>
      <c r="J717" s="42">
        <f>VLOOKUP($A717,'Neraca Unaudited SIMAK'!$A$2:$R$1272,9,FALSE)+IF(ISNA(VLOOKUP($A717,'Mutasi Neraca'!$A$3:$S$910,9,FALSE)),0,VLOOKUP($A717,'Mutasi Neraca'!$A$3:$S$910,9,FALSE))</f>
        <v>0</v>
      </c>
      <c r="K717" s="42">
        <f>VLOOKUP($A717,'Neraca Unaudited SIMAK'!$A$2:$R$1272,10,FALSE)+IF(ISNA(VLOOKUP($A717,'Mutasi Neraca'!$A$3:$S$910,10,FALSE)),0,VLOOKUP($A717,'Mutasi Neraca'!$A$3:$S$910,10,FALSE))</f>
        <v>13200000</v>
      </c>
      <c r="L717" s="42">
        <f>VLOOKUP($A717,'Neraca Unaudited SIMAK'!$A$2:$R$1272,11,FALSE)+IF(ISNA(VLOOKUP($A717,'Mutasi Neraca'!$A$3:$S$910,11,FALSE)),0,VLOOKUP($A717,'Mutasi Neraca'!$A$3:$S$910,11,FALSE))</f>
        <v>65528000</v>
      </c>
      <c r="M717" s="42">
        <f>VLOOKUP($A717,'Neraca Unaudited SIMAK'!$A$2:$R$1272,12,FALSE)+IF(ISNA(VLOOKUP($A717,'Mutasi Neraca'!$A$3:$S$910,12,FALSE)),0,VLOOKUP($A717,'Mutasi Neraca'!$A$3:$S$910,12,FALSE))</f>
        <v>15931182314</v>
      </c>
      <c r="N717" s="42">
        <f>VLOOKUP($A717,'Neraca Unaudited SIMAK'!$A$2:$R$1272,13,FALSE)+IF(ISNA(VLOOKUP($A717,'Mutasi Neraca'!$A$3:$S$910,13,FALSE)),0,VLOOKUP($A717,'Mutasi Neraca'!$A$3:$S$910,13,FALSE))</f>
        <v>-2876571260</v>
      </c>
      <c r="O717" s="42">
        <f>VLOOKUP($A717,'Neraca Unaudited SIMAK'!$A$2:$R$1272,14,FALSE)+IF(ISNA(VLOOKUP($A717,'Mutasi Neraca'!$A$3:$S$910,14,FALSE)),0,VLOOKUP($A717,'Mutasi Neraca'!$A$3:$S$910,14,FALSE))</f>
        <v>-1289071368</v>
      </c>
      <c r="P717" s="42">
        <f>VLOOKUP($A717,'Neraca Unaudited SIMAK'!$A$2:$R$1272,15,FALSE)+IF(ISNA(VLOOKUP($A717,'Mutasi Neraca'!$A$3:$S$910,15,FALSE)),0,VLOOKUP($A717,'Mutasi Neraca'!$A$3:$S$910,15,FALSE))</f>
        <v>-10983500</v>
      </c>
      <c r="Q717" s="42">
        <f>VLOOKUP($A717,'Neraca Unaudited SIMAK'!$A$2:$R$1272,16,FALSE)+IF(ISNA(VLOOKUP($A717,'Mutasi Neraca'!$A$3:$S$910,16,FALSE)),0,VLOOKUP($A717,'Mutasi Neraca'!$A$3:$S$910,16,FALSE))</f>
        <v>-5000000</v>
      </c>
      <c r="R717" s="42">
        <f>VLOOKUP($A717,'Neraca Unaudited SIMAK'!$A$2:$R$1272,17,FALSE)+IF(ISNA(VLOOKUP($A717,'Mutasi Neraca'!$A$3:$S$910,17,FALSE)),0,VLOOKUP($A717,'Mutasi Neraca'!$A$3:$S$910,17,FALSE))</f>
        <v>-65528000</v>
      </c>
      <c r="S717" s="42">
        <f t="shared" si="65"/>
        <v>11684028186</v>
      </c>
    </row>
    <row r="718" spans="1:19">
      <c r="A718" s="41" t="s">
        <v>725</v>
      </c>
      <c r="B718" s="41" t="str">
        <f t="shared" si="64"/>
        <v>005012400</v>
      </c>
      <c r="D718" s="42">
        <f>VLOOKUP($A718,'Neraca Unaudited SIMAK'!$A$2:$R$1272,3,FALSE)+IF(ISNA(VLOOKUP($A718,'Mutasi Neraca'!$A$3:$S$910,3,FALSE)),0,VLOOKUP($A718,'Mutasi Neraca'!$A$3:$S$910,3,FALSE))</f>
        <v>526000</v>
      </c>
      <c r="E718" s="42">
        <f>VLOOKUP($A718,'Neraca Unaudited SIMAK'!$A$2:$R$1272,4,FALSE)+IF(ISNA(VLOOKUP($A718,'Mutasi Neraca'!$A$3:$S$910,4,FALSE)),0,VLOOKUP($A718,'Mutasi Neraca'!$A$3:$S$910,4,FALSE))</f>
        <v>452450000</v>
      </c>
      <c r="F718" s="42">
        <f>VLOOKUP($A718,'Neraca Unaudited SIMAK'!$A$2:$R$1272,5,FALSE)+IF(ISNA(VLOOKUP($A718,'Mutasi Neraca'!$A$3:$S$910,5,FALSE)),0,VLOOKUP($A718,'Mutasi Neraca'!$A$3:$S$910,5,FALSE))</f>
        <v>1330792833</v>
      </c>
      <c r="G718" s="42">
        <f>VLOOKUP($A718,'Neraca Unaudited SIMAK'!$A$2:$R$1272,6,FALSE)+IF(ISNA(VLOOKUP($A718,'Mutasi Neraca'!$A$3:$S$910,6,FALSE)),0,VLOOKUP($A718,'Mutasi Neraca'!$A$3:$S$910,6,FALSE))</f>
        <v>6950769000</v>
      </c>
      <c r="H718" s="42">
        <f>VLOOKUP($A718,'Neraca Unaudited SIMAK'!$A$2:$R$1272,7,FALSE)+IF(ISNA(VLOOKUP($A718,'Mutasi Neraca'!$A$3:$S$910,7,FALSE)),0,VLOOKUP($A718,'Mutasi Neraca'!$A$3:$S$910,7,FALSE))</f>
        <v>6800000</v>
      </c>
      <c r="I718" s="42">
        <f>VLOOKUP($A718,'Neraca Unaudited SIMAK'!$A$2:$R$1272,8,FALSE)+IF(ISNA(VLOOKUP($A718,'Mutasi Neraca'!$A$3:$S$910,8,FALSE)),0,VLOOKUP($A718,'Mutasi Neraca'!$A$3:$S$910,8,FALSE))</f>
        <v>23662070</v>
      </c>
      <c r="J718" s="42">
        <f>VLOOKUP($A718,'Neraca Unaudited SIMAK'!$A$2:$R$1272,9,FALSE)+IF(ISNA(VLOOKUP($A718,'Mutasi Neraca'!$A$3:$S$910,9,FALSE)),0,VLOOKUP($A718,'Mutasi Neraca'!$A$3:$S$910,9,FALSE))</f>
        <v>0</v>
      </c>
      <c r="K718" s="42">
        <f>VLOOKUP($A718,'Neraca Unaudited SIMAK'!$A$2:$R$1272,10,FALSE)+IF(ISNA(VLOOKUP($A718,'Mutasi Neraca'!$A$3:$S$910,10,FALSE)),0,VLOOKUP($A718,'Mutasi Neraca'!$A$3:$S$910,10,FALSE))</f>
        <v>0</v>
      </c>
      <c r="L718" s="42">
        <f>VLOOKUP($A718,'Neraca Unaudited SIMAK'!$A$2:$R$1272,11,FALSE)+IF(ISNA(VLOOKUP($A718,'Mutasi Neraca'!$A$3:$S$910,11,FALSE)),0,VLOOKUP($A718,'Mutasi Neraca'!$A$3:$S$910,11,FALSE))</f>
        <v>107862000</v>
      </c>
      <c r="M718" s="42">
        <f>VLOOKUP($A718,'Neraca Unaudited SIMAK'!$A$2:$R$1272,12,FALSE)+IF(ISNA(VLOOKUP($A718,'Mutasi Neraca'!$A$3:$S$910,12,FALSE)),0,VLOOKUP($A718,'Mutasi Neraca'!$A$3:$S$910,12,FALSE))</f>
        <v>8872861903</v>
      </c>
      <c r="N718" s="42">
        <f>VLOOKUP($A718,'Neraca Unaudited SIMAK'!$A$2:$R$1272,13,FALSE)+IF(ISNA(VLOOKUP($A718,'Mutasi Neraca'!$A$3:$S$910,13,FALSE)),0,VLOOKUP($A718,'Mutasi Neraca'!$A$3:$S$910,13,FALSE))</f>
        <v>-1000622089</v>
      </c>
      <c r="O718" s="42">
        <f>VLOOKUP($A718,'Neraca Unaudited SIMAK'!$A$2:$R$1272,14,FALSE)+IF(ISNA(VLOOKUP($A718,'Mutasi Neraca'!$A$3:$S$910,14,FALSE)),0,VLOOKUP($A718,'Mutasi Neraca'!$A$3:$S$910,14,FALSE))</f>
        <v>-971684049</v>
      </c>
      <c r="P718" s="42">
        <f>VLOOKUP($A718,'Neraca Unaudited SIMAK'!$A$2:$R$1272,15,FALSE)+IF(ISNA(VLOOKUP($A718,'Mutasi Neraca'!$A$3:$S$910,15,FALSE)),0,VLOOKUP($A718,'Mutasi Neraca'!$A$3:$S$910,15,FALSE))</f>
        <v>-1066660</v>
      </c>
      <c r="Q718" s="42">
        <f>VLOOKUP($A718,'Neraca Unaudited SIMAK'!$A$2:$R$1272,16,FALSE)+IF(ISNA(VLOOKUP($A718,'Mutasi Neraca'!$A$3:$S$910,16,FALSE)),0,VLOOKUP($A718,'Mutasi Neraca'!$A$3:$S$910,16,FALSE))</f>
        <v>-7109375</v>
      </c>
      <c r="R718" s="42">
        <f>VLOOKUP($A718,'Neraca Unaudited SIMAK'!$A$2:$R$1272,17,FALSE)+IF(ISNA(VLOOKUP($A718,'Mutasi Neraca'!$A$3:$S$910,17,FALSE)),0,VLOOKUP($A718,'Mutasi Neraca'!$A$3:$S$910,17,FALSE))</f>
        <v>-107704500</v>
      </c>
      <c r="S718" s="42">
        <f t="shared" si="65"/>
        <v>6784675230</v>
      </c>
    </row>
    <row r="719" spans="1:19">
      <c r="A719" s="41" t="s">
        <v>726</v>
      </c>
      <c r="B719" s="41" t="str">
        <f t="shared" si="64"/>
        <v>005012400</v>
      </c>
      <c r="D719" s="42">
        <f>VLOOKUP($A719,'Neraca Unaudited SIMAK'!$A$2:$R$1272,3,FALSE)+IF(ISNA(VLOOKUP($A719,'Mutasi Neraca'!$A$3:$S$910,3,FALSE)),0,VLOOKUP($A719,'Mutasi Neraca'!$A$3:$S$910,3,FALSE))</f>
        <v>0</v>
      </c>
      <c r="E719" s="42">
        <f>VLOOKUP($A719,'Neraca Unaudited SIMAK'!$A$2:$R$1272,4,FALSE)+IF(ISNA(VLOOKUP($A719,'Mutasi Neraca'!$A$3:$S$910,4,FALSE)),0,VLOOKUP($A719,'Mutasi Neraca'!$A$3:$S$910,4,FALSE))</f>
        <v>1000000000</v>
      </c>
      <c r="F719" s="42">
        <f>VLOOKUP($A719,'Neraca Unaudited SIMAK'!$A$2:$R$1272,5,FALSE)+IF(ISNA(VLOOKUP($A719,'Mutasi Neraca'!$A$3:$S$910,5,FALSE)),0,VLOOKUP($A719,'Mutasi Neraca'!$A$3:$S$910,5,FALSE))</f>
        <v>2886298152</v>
      </c>
      <c r="G719" s="42">
        <f>VLOOKUP($A719,'Neraca Unaudited SIMAK'!$A$2:$R$1272,6,FALSE)+IF(ISNA(VLOOKUP($A719,'Mutasi Neraca'!$A$3:$S$910,6,FALSE)),0,VLOOKUP($A719,'Mutasi Neraca'!$A$3:$S$910,6,FALSE))</f>
        <v>7495130000</v>
      </c>
      <c r="H719" s="42">
        <f>VLOOKUP($A719,'Neraca Unaudited SIMAK'!$A$2:$R$1272,7,FALSE)+IF(ISNA(VLOOKUP($A719,'Mutasi Neraca'!$A$3:$S$910,7,FALSE)),0,VLOOKUP($A719,'Mutasi Neraca'!$A$3:$S$910,7,FALSE))</f>
        <v>145720000</v>
      </c>
      <c r="I719" s="42">
        <f>VLOOKUP($A719,'Neraca Unaudited SIMAK'!$A$2:$R$1272,8,FALSE)+IF(ISNA(VLOOKUP($A719,'Mutasi Neraca'!$A$3:$S$910,8,FALSE)),0,VLOOKUP($A719,'Mutasi Neraca'!$A$3:$S$910,8,FALSE))</f>
        <v>0</v>
      </c>
      <c r="J719" s="42">
        <f>VLOOKUP($A719,'Neraca Unaudited SIMAK'!$A$2:$R$1272,9,FALSE)+IF(ISNA(VLOOKUP($A719,'Mutasi Neraca'!$A$3:$S$910,9,FALSE)),0,VLOOKUP($A719,'Mutasi Neraca'!$A$3:$S$910,9,FALSE))</f>
        <v>0</v>
      </c>
      <c r="K719" s="42">
        <f>VLOOKUP($A719,'Neraca Unaudited SIMAK'!$A$2:$R$1272,10,FALSE)+IF(ISNA(VLOOKUP($A719,'Mutasi Neraca'!$A$3:$S$910,10,FALSE)),0,VLOOKUP($A719,'Mutasi Neraca'!$A$3:$S$910,10,FALSE))</f>
        <v>0</v>
      </c>
      <c r="L719" s="42">
        <f>VLOOKUP($A719,'Neraca Unaudited SIMAK'!$A$2:$R$1272,11,FALSE)+IF(ISNA(VLOOKUP($A719,'Mutasi Neraca'!$A$3:$S$910,11,FALSE)),0,VLOOKUP($A719,'Mutasi Neraca'!$A$3:$S$910,11,FALSE))</f>
        <v>222679719</v>
      </c>
      <c r="M719" s="42">
        <f>VLOOKUP($A719,'Neraca Unaudited SIMAK'!$A$2:$R$1272,12,FALSE)+IF(ISNA(VLOOKUP($A719,'Mutasi Neraca'!$A$3:$S$910,12,FALSE)),0,VLOOKUP($A719,'Mutasi Neraca'!$A$3:$S$910,12,FALSE))</f>
        <v>11749827871</v>
      </c>
      <c r="N719" s="42">
        <f>VLOOKUP($A719,'Neraca Unaudited SIMAK'!$A$2:$R$1272,13,FALSE)+IF(ISNA(VLOOKUP($A719,'Mutasi Neraca'!$A$3:$S$910,13,FALSE)),0,VLOOKUP($A719,'Mutasi Neraca'!$A$3:$S$910,13,FALSE))</f>
        <v>-2122974519</v>
      </c>
      <c r="O719" s="42">
        <f>VLOOKUP($A719,'Neraca Unaudited SIMAK'!$A$2:$R$1272,14,FALSE)+IF(ISNA(VLOOKUP($A719,'Mutasi Neraca'!$A$3:$S$910,14,FALSE)),0,VLOOKUP($A719,'Mutasi Neraca'!$A$3:$S$910,14,FALSE))</f>
        <v>-824464300</v>
      </c>
      <c r="P719" s="42">
        <f>VLOOKUP($A719,'Neraca Unaudited SIMAK'!$A$2:$R$1272,15,FALSE)+IF(ISNA(VLOOKUP($A719,'Mutasi Neraca'!$A$3:$S$910,15,FALSE)),0,VLOOKUP($A719,'Mutasi Neraca'!$A$3:$S$910,15,FALSE))</f>
        <v>-77656770</v>
      </c>
      <c r="Q719" s="42">
        <f>VLOOKUP($A719,'Neraca Unaudited SIMAK'!$A$2:$R$1272,16,FALSE)+IF(ISNA(VLOOKUP($A719,'Mutasi Neraca'!$A$3:$S$910,16,FALSE)),0,VLOOKUP($A719,'Mutasi Neraca'!$A$3:$S$910,16,FALSE))</f>
        <v>0</v>
      </c>
      <c r="R719" s="42">
        <f>VLOOKUP($A719,'Neraca Unaudited SIMAK'!$A$2:$R$1272,17,FALSE)+IF(ISNA(VLOOKUP($A719,'Mutasi Neraca'!$A$3:$S$910,17,FALSE)),0,VLOOKUP($A719,'Mutasi Neraca'!$A$3:$S$910,17,FALSE))</f>
        <v>-222679719</v>
      </c>
      <c r="S719" s="42">
        <f t="shared" si="65"/>
        <v>8502052563</v>
      </c>
    </row>
    <row r="720" spans="1:19">
      <c r="A720" s="41" t="s">
        <v>727</v>
      </c>
      <c r="B720" s="41" t="str">
        <f t="shared" si="64"/>
        <v>005012400</v>
      </c>
      <c r="D720" s="42">
        <f>VLOOKUP($A720,'Neraca Unaudited SIMAK'!$A$2:$R$1272,3,FALSE)+IF(ISNA(VLOOKUP($A720,'Mutasi Neraca'!$A$3:$S$910,3,FALSE)),0,VLOOKUP($A720,'Mutasi Neraca'!$A$3:$S$910,3,FALSE))</f>
        <v>1260032</v>
      </c>
      <c r="E720" s="42">
        <f>VLOOKUP($A720,'Neraca Unaudited SIMAK'!$A$2:$R$1272,4,FALSE)+IF(ISNA(VLOOKUP($A720,'Mutasi Neraca'!$A$3:$S$910,4,FALSE)),0,VLOOKUP($A720,'Mutasi Neraca'!$A$3:$S$910,4,FALSE))</f>
        <v>740270000</v>
      </c>
      <c r="F720" s="42">
        <f>VLOOKUP($A720,'Neraca Unaudited SIMAK'!$A$2:$R$1272,5,FALSE)+IF(ISNA(VLOOKUP($A720,'Mutasi Neraca'!$A$3:$S$910,5,FALSE)),0,VLOOKUP($A720,'Mutasi Neraca'!$A$3:$S$910,5,FALSE))</f>
        <v>953827499</v>
      </c>
      <c r="G720" s="42">
        <f>VLOOKUP($A720,'Neraca Unaudited SIMAK'!$A$2:$R$1272,6,FALSE)+IF(ISNA(VLOOKUP($A720,'Mutasi Neraca'!$A$3:$S$910,6,FALSE)),0,VLOOKUP($A720,'Mutasi Neraca'!$A$3:$S$910,6,FALSE))</f>
        <v>6500130198</v>
      </c>
      <c r="H720" s="42">
        <f>VLOOKUP($A720,'Neraca Unaudited SIMAK'!$A$2:$R$1272,7,FALSE)+IF(ISNA(VLOOKUP($A720,'Mutasi Neraca'!$A$3:$S$910,7,FALSE)),0,VLOOKUP($A720,'Mutasi Neraca'!$A$3:$S$910,7,FALSE))</f>
        <v>0</v>
      </c>
      <c r="I720" s="42">
        <f>VLOOKUP($A720,'Neraca Unaudited SIMAK'!$A$2:$R$1272,8,FALSE)+IF(ISNA(VLOOKUP($A720,'Mutasi Neraca'!$A$3:$S$910,8,FALSE)),0,VLOOKUP($A720,'Mutasi Neraca'!$A$3:$S$910,8,FALSE))</f>
        <v>2530400</v>
      </c>
      <c r="J720" s="42">
        <f>VLOOKUP($A720,'Neraca Unaudited SIMAK'!$A$2:$R$1272,9,FALSE)+IF(ISNA(VLOOKUP($A720,'Mutasi Neraca'!$A$3:$S$910,9,FALSE)),0,VLOOKUP($A720,'Mutasi Neraca'!$A$3:$S$910,9,FALSE))</f>
        <v>639469000</v>
      </c>
      <c r="K720" s="42">
        <f>VLOOKUP($A720,'Neraca Unaudited SIMAK'!$A$2:$R$1272,10,FALSE)+IF(ISNA(VLOOKUP($A720,'Mutasi Neraca'!$A$3:$S$910,10,FALSE)),0,VLOOKUP($A720,'Mutasi Neraca'!$A$3:$S$910,10,FALSE))</f>
        <v>0</v>
      </c>
      <c r="L720" s="42">
        <f>VLOOKUP($A720,'Neraca Unaudited SIMAK'!$A$2:$R$1272,11,FALSE)+IF(ISNA(VLOOKUP($A720,'Mutasi Neraca'!$A$3:$S$910,11,FALSE)),0,VLOOKUP($A720,'Mutasi Neraca'!$A$3:$S$910,11,FALSE))</f>
        <v>0</v>
      </c>
      <c r="M720" s="42">
        <f>VLOOKUP($A720,'Neraca Unaudited SIMAK'!$A$2:$R$1272,12,FALSE)+IF(ISNA(VLOOKUP($A720,'Mutasi Neraca'!$A$3:$S$910,12,FALSE)),0,VLOOKUP($A720,'Mutasi Neraca'!$A$3:$S$910,12,FALSE))</f>
        <v>8837487129</v>
      </c>
      <c r="N720" s="42">
        <f>VLOOKUP($A720,'Neraca Unaudited SIMAK'!$A$2:$R$1272,13,FALSE)+IF(ISNA(VLOOKUP($A720,'Mutasi Neraca'!$A$3:$S$910,13,FALSE)),0,VLOOKUP($A720,'Mutasi Neraca'!$A$3:$S$910,13,FALSE))</f>
        <v>-689099602</v>
      </c>
      <c r="O720" s="42">
        <f>VLOOKUP($A720,'Neraca Unaudited SIMAK'!$A$2:$R$1272,14,FALSE)+IF(ISNA(VLOOKUP($A720,'Mutasi Neraca'!$A$3:$S$910,14,FALSE)),0,VLOOKUP($A720,'Mutasi Neraca'!$A$3:$S$910,14,FALSE))</f>
        <v>-472385844</v>
      </c>
      <c r="P720" s="42">
        <f>VLOOKUP($A720,'Neraca Unaudited SIMAK'!$A$2:$R$1272,15,FALSE)+IF(ISNA(VLOOKUP($A720,'Mutasi Neraca'!$A$3:$S$910,15,FALSE)),0,VLOOKUP($A720,'Mutasi Neraca'!$A$3:$S$910,15,FALSE))</f>
        <v>0</v>
      </c>
      <c r="Q720" s="42">
        <f>VLOOKUP($A720,'Neraca Unaudited SIMAK'!$A$2:$R$1272,16,FALSE)+IF(ISNA(VLOOKUP($A720,'Mutasi Neraca'!$A$3:$S$910,16,FALSE)),0,VLOOKUP($A720,'Mutasi Neraca'!$A$3:$S$910,16,FALSE))</f>
        <v>0</v>
      </c>
      <c r="R720" s="42">
        <f>VLOOKUP($A720,'Neraca Unaudited SIMAK'!$A$2:$R$1272,17,FALSE)+IF(ISNA(VLOOKUP($A720,'Mutasi Neraca'!$A$3:$S$910,17,FALSE)),0,VLOOKUP($A720,'Mutasi Neraca'!$A$3:$S$910,17,FALSE))</f>
        <v>0</v>
      </c>
      <c r="S720" s="42">
        <f t="shared" si="65"/>
        <v>7676001683</v>
      </c>
    </row>
    <row r="721" spans="1:19">
      <c r="A721" s="41" t="s">
        <v>728</v>
      </c>
      <c r="B721" s="41" t="str">
        <f t="shared" si="64"/>
        <v>005012400</v>
      </c>
      <c r="D721" s="42">
        <f>VLOOKUP($A721,'Neraca Unaudited SIMAK'!$A$2:$R$1272,3,FALSE)+IF(ISNA(VLOOKUP($A721,'Mutasi Neraca'!$A$3:$S$910,3,FALSE)),0,VLOOKUP($A721,'Mutasi Neraca'!$A$3:$S$910,3,FALSE))</f>
        <v>2316600</v>
      </c>
      <c r="E721" s="42">
        <f>VLOOKUP($A721,'Neraca Unaudited SIMAK'!$A$2:$R$1272,4,FALSE)+IF(ISNA(VLOOKUP($A721,'Mutasi Neraca'!$A$3:$S$910,4,FALSE)),0,VLOOKUP($A721,'Mutasi Neraca'!$A$3:$S$910,4,FALSE))</f>
        <v>0</v>
      </c>
      <c r="F721" s="42">
        <f>VLOOKUP($A721,'Neraca Unaudited SIMAK'!$A$2:$R$1272,5,FALSE)+IF(ISNA(VLOOKUP($A721,'Mutasi Neraca'!$A$3:$S$910,5,FALSE)),0,VLOOKUP($A721,'Mutasi Neraca'!$A$3:$S$910,5,FALSE))</f>
        <v>2452299500</v>
      </c>
      <c r="G721" s="42">
        <f>VLOOKUP($A721,'Neraca Unaudited SIMAK'!$A$2:$R$1272,6,FALSE)+IF(ISNA(VLOOKUP($A721,'Mutasi Neraca'!$A$3:$S$910,6,FALSE)),0,VLOOKUP($A721,'Mutasi Neraca'!$A$3:$S$910,6,FALSE))</f>
        <v>6849827900</v>
      </c>
      <c r="H721" s="42">
        <f>VLOOKUP($A721,'Neraca Unaudited SIMAK'!$A$2:$R$1272,7,FALSE)+IF(ISNA(VLOOKUP($A721,'Mutasi Neraca'!$A$3:$S$910,7,FALSE)),0,VLOOKUP($A721,'Mutasi Neraca'!$A$3:$S$910,7,FALSE))</f>
        <v>35625000</v>
      </c>
      <c r="I721" s="42">
        <f>VLOOKUP($A721,'Neraca Unaudited SIMAK'!$A$2:$R$1272,8,FALSE)+IF(ISNA(VLOOKUP($A721,'Mutasi Neraca'!$A$3:$S$910,8,FALSE)),0,VLOOKUP($A721,'Mutasi Neraca'!$A$3:$S$910,8,FALSE))</f>
        <v>0</v>
      </c>
      <c r="J721" s="42">
        <f>VLOOKUP($A721,'Neraca Unaudited SIMAK'!$A$2:$R$1272,9,FALSE)+IF(ISNA(VLOOKUP($A721,'Mutasi Neraca'!$A$3:$S$910,9,FALSE)),0,VLOOKUP($A721,'Mutasi Neraca'!$A$3:$S$910,9,FALSE))</f>
        <v>0</v>
      </c>
      <c r="K721" s="42">
        <f>VLOOKUP($A721,'Neraca Unaudited SIMAK'!$A$2:$R$1272,10,FALSE)+IF(ISNA(VLOOKUP($A721,'Mutasi Neraca'!$A$3:$S$910,10,FALSE)),0,VLOOKUP($A721,'Mutasi Neraca'!$A$3:$S$910,10,FALSE))</f>
        <v>0</v>
      </c>
      <c r="L721" s="42">
        <f>VLOOKUP($A721,'Neraca Unaudited SIMAK'!$A$2:$R$1272,11,FALSE)+IF(ISNA(VLOOKUP($A721,'Mutasi Neraca'!$A$3:$S$910,11,FALSE)),0,VLOOKUP($A721,'Mutasi Neraca'!$A$3:$S$910,11,FALSE))</f>
        <v>0</v>
      </c>
      <c r="M721" s="42">
        <f>VLOOKUP($A721,'Neraca Unaudited SIMAK'!$A$2:$R$1272,12,FALSE)+IF(ISNA(VLOOKUP($A721,'Mutasi Neraca'!$A$3:$S$910,12,FALSE)),0,VLOOKUP($A721,'Mutasi Neraca'!$A$3:$S$910,12,FALSE))</f>
        <v>9340069000</v>
      </c>
      <c r="N721" s="42">
        <f>VLOOKUP($A721,'Neraca Unaudited SIMAK'!$A$2:$R$1272,13,FALSE)+IF(ISNA(VLOOKUP($A721,'Mutasi Neraca'!$A$3:$S$910,13,FALSE)),0,VLOOKUP($A721,'Mutasi Neraca'!$A$3:$S$910,13,FALSE))</f>
        <v>-1244013055</v>
      </c>
      <c r="O721" s="42">
        <f>VLOOKUP($A721,'Neraca Unaudited SIMAK'!$A$2:$R$1272,14,FALSE)+IF(ISNA(VLOOKUP($A721,'Mutasi Neraca'!$A$3:$S$910,14,FALSE)),0,VLOOKUP($A721,'Mutasi Neraca'!$A$3:$S$910,14,FALSE))</f>
        <v>-475378055</v>
      </c>
      <c r="P721" s="42">
        <f>VLOOKUP($A721,'Neraca Unaudited SIMAK'!$A$2:$R$1272,15,FALSE)+IF(ISNA(VLOOKUP($A721,'Mutasi Neraca'!$A$3:$S$910,15,FALSE)),0,VLOOKUP($A721,'Mutasi Neraca'!$A$3:$S$910,15,FALSE))</f>
        <v>-2226563</v>
      </c>
      <c r="Q721" s="42">
        <f>VLOOKUP($A721,'Neraca Unaudited SIMAK'!$A$2:$R$1272,16,FALSE)+IF(ISNA(VLOOKUP($A721,'Mutasi Neraca'!$A$3:$S$910,16,FALSE)),0,VLOOKUP($A721,'Mutasi Neraca'!$A$3:$S$910,16,FALSE))</f>
        <v>0</v>
      </c>
      <c r="R721" s="42">
        <f>VLOOKUP($A721,'Neraca Unaudited SIMAK'!$A$2:$R$1272,17,FALSE)+IF(ISNA(VLOOKUP($A721,'Mutasi Neraca'!$A$3:$S$910,17,FALSE)),0,VLOOKUP($A721,'Mutasi Neraca'!$A$3:$S$910,17,FALSE))</f>
        <v>0</v>
      </c>
      <c r="S721" s="42">
        <f t="shared" si="65"/>
        <v>7618451327</v>
      </c>
    </row>
    <row r="722" spans="1:19">
      <c r="A722" s="41" t="s">
        <v>729</v>
      </c>
      <c r="B722" s="41" t="str">
        <f t="shared" si="64"/>
        <v>005012400</v>
      </c>
      <c r="D722" s="42">
        <f>VLOOKUP($A722,'Neraca Unaudited SIMAK'!$A$2:$R$1272,3,FALSE)+IF(ISNA(VLOOKUP($A722,'Mutasi Neraca'!$A$3:$S$910,3,FALSE)),0,VLOOKUP($A722,'Mutasi Neraca'!$A$3:$S$910,3,FALSE))</f>
        <v>407000</v>
      </c>
      <c r="E722" s="42">
        <f>VLOOKUP($A722,'Neraca Unaudited SIMAK'!$A$2:$R$1272,4,FALSE)+IF(ISNA(VLOOKUP($A722,'Mutasi Neraca'!$A$3:$S$910,4,FALSE)),0,VLOOKUP($A722,'Mutasi Neraca'!$A$3:$S$910,4,FALSE))</f>
        <v>1004500000</v>
      </c>
      <c r="F722" s="42">
        <f>VLOOKUP($A722,'Neraca Unaudited SIMAK'!$A$2:$R$1272,5,FALSE)+IF(ISNA(VLOOKUP($A722,'Mutasi Neraca'!$A$3:$S$910,5,FALSE)),0,VLOOKUP($A722,'Mutasi Neraca'!$A$3:$S$910,5,FALSE))</f>
        <v>748315300</v>
      </c>
      <c r="G722" s="42">
        <f>VLOOKUP($A722,'Neraca Unaudited SIMAK'!$A$2:$R$1272,6,FALSE)+IF(ISNA(VLOOKUP($A722,'Mutasi Neraca'!$A$3:$S$910,6,FALSE)),0,VLOOKUP($A722,'Mutasi Neraca'!$A$3:$S$910,6,FALSE))</f>
        <v>9901279316</v>
      </c>
      <c r="H722" s="42">
        <f>VLOOKUP($A722,'Neraca Unaudited SIMAK'!$A$2:$R$1272,7,FALSE)+IF(ISNA(VLOOKUP($A722,'Mutasi Neraca'!$A$3:$S$910,7,FALSE)),0,VLOOKUP($A722,'Mutasi Neraca'!$A$3:$S$910,7,FALSE))</f>
        <v>0</v>
      </c>
      <c r="I722" s="42">
        <f>VLOOKUP($A722,'Neraca Unaudited SIMAK'!$A$2:$R$1272,8,FALSE)+IF(ISNA(VLOOKUP($A722,'Mutasi Neraca'!$A$3:$S$910,8,FALSE)),0,VLOOKUP($A722,'Mutasi Neraca'!$A$3:$S$910,8,FALSE))</f>
        <v>1512570</v>
      </c>
      <c r="J722" s="42">
        <f>VLOOKUP($A722,'Neraca Unaudited SIMAK'!$A$2:$R$1272,9,FALSE)+IF(ISNA(VLOOKUP($A722,'Mutasi Neraca'!$A$3:$S$910,9,FALSE)),0,VLOOKUP($A722,'Mutasi Neraca'!$A$3:$S$910,9,FALSE))</f>
        <v>0</v>
      </c>
      <c r="K722" s="42">
        <f>VLOOKUP($A722,'Neraca Unaudited SIMAK'!$A$2:$R$1272,10,FALSE)+IF(ISNA(VLOOKUP($A722,'Mutasi Neraca'!$A$3:$S$910,10,FALSE)),0,VLOOKUP($A722,'Mutasi Neraca'!$A$3:$S$910,10,FALSE))</f>
        <v>0</v>
      </c>
      <c r="L722" s="42">
        <f>VLOOKUP($A722,'Neraca Unaudited SIMAK'!$A$2:$R$1272,11,FALSE)+IF(ISNA(VLOOKUP($A722,'Mutasi Neraca'!$A$3:$S$910,11,FALSE)),0,VLOOKUP($A722,'Mutasi Neraca'!$A$3:$S$910,11,FALSE))</f>
        <v>12500000</v>
      </c>
      <c r="M722" s="42">
        <f>VLOOKUP($A722,'Neraca Unaudited SIMAK'!$A$2:$R$1272,12,FALSE)+IF(ISNA(VLOOKUP($A722,'Mutasi Neraca'!$A$3:$S$910,12,FALSE)),0,VLOOKUP($A722,'Mutasi Neraca'!$A$3:$S$910,12,FALSE))</f>
        <v>11668514186</v>
      </c>
      <c r="N722" s="42">
        <f>VLOOKUP($A722,'Neraca Unaudited SIMAK'!$A$2:$R$1272,13,FALSE)+IF(ISNA(VLOOKUP($A722,'Mutasi Neraca'!$A$3:$S$910,13,FALSE)),0,VLOOKUP($A722,'Mutasi Neraca'!$A$3:$S$910,13,FALSE))</f>
        <v>-447644492</v>
      </c>
      <c r="O722" s="42">
        <f>VLOOKUP($A722,'Neraca Unaudited SIMAK'!$A$2:$R$1272,14,FALSE)+IF(ISNA(VLOOKUP($A722,'Mutasi Neraca'!$A$3:$S$910,14,FALSE)),0,VLOOKUP($A722,'Mutasi Neraca'!$A$3:$S$910,14,FALSE))</f>
        <v>-105538893</v>
      </c>
      <c r="P722" s="42">
        <f>VLOOKUP($A722,'Neraca Unaudited SIMAK'!$A$2:$R$1272,15,FALSE)+IF(ISNA(VLOOKUP($A722,'Mutasi Neraca'!$A$3:$S$910,15,FALSE)),0,VLOOKUP($A722,'Mutasi Neraca'!$A$3:$S$910,15,FALSE))</f>
        <v>0</v>
      </c>
      <c r="Q722" s="42">
        <f>VLOOKUP($A722,'Neraca Unaudited SIMAK'!$A$2:$R$1272,16,FALSE)+IF(ISNA(VLOOKUP($A722,'Mutasi Neraca'!$A$3:$S$910,16,FALSE)),0,VLOOKUP($A722,'Mutasi Neraca'!$A$3:$S$910,16,FALSE))</f>
        <v>0</v>
      </c>
      <c r="R722" s="42">
        <f>VLOOKUP($A722,'Neraca Unaudited SIMAK'!$A$2:$R$1272,17,FALSE)+IF(ISNA(VLOOKUP($A722,'Mutasi Neraca'!$A$3:$S$910,17,FALSE)),0,VLOOKUP($A722,'Mutasi Neraca'!$A$3:$S$910,17,FALSE))</f>
        <v>-12500000</v>
      </c>
      <c r="S722" s="42">
        <f t="shared" si="65"/>
        <v>11102830801</v>
      </c>
    </row>
    <row r="723" spans="1:19">
      <c r="A723" s="41" t="s">
        <v>730</v>
      </c>
      <c r="B723" s="41" t="str">
        <f t="shared" si="64"/>
        <v>005012500</v>
      </c>
      <c r="D723" s="42">
        <f>VLOOKUP($A723,'Neraca Unaudited SIMAK'!$A$2:$R$1272,3,FALSE)+IF(ISNA(VLOOKUP($A723,'Mutasi Neraca'!$A$3:$S$910,3,FALSE)),0,VLOOKUP($A723,'Mutasi Neraca'!$A$3:$S$910,3,FALSE))</f>
        <v>2525465</v>
      </c>
      <c r="E723" s="42">
        <f>VLOOKUP($A723,'Neraca Unaudited SIMAK'!$A$2:$R$1272,4,FALSE)+IF(ISNA(VLOOKUP($A723,'Mutasi Neraca'!$A$3:$S$910,4,FALSE)),0,VLOOKUP($A723,'Mutasi Neraca'!$A$3:$S$910,4,FALSE))</f>
        <v>2736775000</v>
      </c>
      <c r="F723" s="42">
        <f>VLOOKUP($A723,'Neraca Unaudited SIMAK'!$A$2:$R$1272,5,FALSE)+IF(ISNA(VLOOKUP($A723,'Mutasi Neraca'!$A$3:$S$910,5,FALSE)),0,VLOOKUP($A723,'Mutasi Neraca'!$A$3:$S$910,5,FALSE))</f>
        <v>4517854021</v>
      </c>
      <c r="G723" s="42">
        <f>VLOOKUP($A723,'Neraca Unaudited SIMAK'!$A$2:$R$1272,6,FALSE)+IF(ISNA(VLOOKUP($A723,'Mutasi Neraca'!$A$3:$S$910,6,FALSE)),0,VLOOKUP($A723,'Mutasi Neraca'!$A$3:$S$910,6,FALSE))</f>
        <v>17590253640</v>
      </c>
      <c r="H723" s="42">
        <f>VLOOKUP($A723,'Neraca Unaudited SIMAK'!$A$2:$R$1272,7,FALSE)+IF(ISNA(VLOOKUP($A723,'Mutasi Neraca'!$A$3:$S$910,7,FALSE)),0,VLOOKUP($A723,'Mutasi Neraca'!$A$3:$S$910,7,FALSE))</f>
        <v>124167970</v>
      </c>
      <c r="I723" s="42">
        <f>VLOOKUP($A723,'Neraca Unaudited SIMAK'!$A$2:$R$1272,8,FALSE)+IF(ISNA(VLOOKUP($A723,'Mutasi Neraca'!$A$3:$S$910,8,FALSE)),0,VLOOKUP($A723,'Mutasi Neraca'!$A$3:$S$910,8,FALSE))</f>
        <v>9228465</v>
      </c>
      <c r="J723" s="42">
        <f>VLOOKUP($A723,'Neraca Unaudited SIMAK'!$A$2:$R$1272,9,FALSE)+IF(ISNA(VLOOKUP($A723,'Mutasi Neraca'!$A$3:$S$910,9,FALSE)),0,VLOOKUP($A723,'Mutasi Neraca'!$A$3:$S$910,9,FALSE))</f>
        <v>11610076100</v>
      </c>
      <c r="K723" s="42">
        <f>VLOOKUP($A723,'Neraca Unaudited SIMAK'!$A$2:$R$1272,10,FALSE)+IF(ISNA(VLOOKUP($A723,'Mutasi Neraca'!$A$3:$S$910,10,FALSE)),0,VLOOKUP($A723,'Mutasi Neraca'!$A$3:$S$910,10,FALSE))</f>
        <v>0</v>
      </c>
      <c r="L723" s="42">
        <f>VLOOKUP($A723,'Neraca Unaudited SIMAK'!$A$2:$R$1272,11,FALSE)+IF(ISNA(VLOOKUP($A723,'Mutasi Neraca'!$A$3:$S$910,11,FALSE)),0,VLOOKUP($A723,'Mutasi Neraca'!$A$3:$S$910,11,FALSE))</f>
        <v>375099000</v>
      </c>
      <c r="M723" s="42">
        <f>VLOOKUP($A723,'Neraca Unaudited SIMAK'!$A$2:$R$1272,12,FALSE)+IF(ISNA(VLOOKUP($A723,'Mutasi Neraca'!$A$3:$S$910,12,FALSE)),0,VLOOKUP($A723,'Mutasi Neraca'!$A$3:$S$910,12,FALSE))</f>
        <v>36965979661</v>
      </c>
      <c r="N723" s="42">
        <f>VLOOKUP($A723,'Neraca Unaudited SIMAK'!$A$2:$R$1272,13,FALSE)+IF(ISNA(VLOOKUP($A723,'Mutasi Neraca'!$A$3:$S$910,13,FALSE)),0,VLOOKUP($A723,'Mutasi Neraca'!$A$3:$S$910,13,FALSE))</f>
        <v>-4194190289</v>
      </c>
      <c r="O723" s="42">
        <f>VLOOKUP($A723,'Neraca Unaudited SIMAK'!$A$2:$R$1272,14,FALSE)+IF(ISNA(VLOOKUP($A723,'Mutasi Neraca'!$A$3:$S$910,14,FALSE)),0,VLOOKUP($A723,'Mutasi Neraca'!$A$3:$S$910,14,FALSE))</f>
        <v>-4381889832</v>
      </c>
      <c r="P723" s="42">
        <f>VLOOKUP($A723,'Neraca Unaudited SIMAK'!$A$2:$R$1272,15,FALSE)+IF(ISNA(VLOOKUP($A723,'Mutasi Neraca'!$A$3:$S$910,15,FALSE)),0,VLOOKUP($A723,'Mutasi Neraca'!$A$3:$S$910,15,FALSE))</f>
        <v>-22417721</v>
      </c>
      <c r="Q723" s="42">
        <f>VLOOKUP($A723,'Neraca Unaudited SIMAK'!$A$2:$R$1272,16,FALSE)+IF(ISNA(VLOOKUP($A723,'Mutasi Neraca'!$A$3:$S$910,16,FALSE)),0,VLOOKUP($A723,'Mutasi Neraca'!$A$3:$S$910,16,FALSE))</f>
        <v>0</v>
      </c>
      <c r="R723" s="42">
        <f>VLOOKUP($A723,'Neraca Unaudited SIMAK'!$A$2:$R$1272,17,FALSE)+IF(ISNA(VLOOKUP($A723,'Mutasi Neraca'!$A$3:$S$910,17,FALSE)),0,VLOOKUP($A723,'Mutasi Neraca'!$A$3:$S$910,17,FALSE))</f>
        <v>-374036500</v>
      </c>
      <c r="S723" s="42">
        <f t="shared" si="65"/>
        <v>27993445319</v>
      </c>
    </row>
    <row r="724" spans="1:19">
      <c r="A724" s="41" t="s">
        <v>731</v>
      </c>
      <c r="B724" s="41" t="str">
        <f t="shared" si="64"/>
        <v>005012500</v>
      </c>
      <c r="D724" s="42">
        <f>VLOOKUP($A724,'Neraca Unaudited SIMAK'!$A$2:$R$1272,3,FALSE)+IF(ISNA(VLOOKUP($A724,'Mutasi Neraca'!$A$3:$S$910,3,FALSE)),0,VLOOKUP($A724,'Mutasi Neraca'!$A$3:$S$910,3,FALSE))</f>
        <v>36485080</v>
      </c>
      <c r="E724" s="42">
        <f>VLOOKUP($A724,'Neraca Unaudited SIMAK'!$A$2:$R$1272,4,FALSE)+IF(ISNA(VLOOKUP($A724,'Mutasi Neraca'!$A$3:$S$910,4,FALSE)),0,VLOOKUP($A724,'Mutasi Neraca'!$A$3:$S$910,4,FALSE))</f>
        <v>2978118000</v>
      </c>
      <c r="F724" s="42">
        <f>VLOOKUP($A724,'Neraca Unaudited SIMAK'!$A$2:$R$1272,5,FALSE)+IF(ISNA(VLOOKUP($A724,'Mutasi Neraca'!$A$3:$S$910,5,FALSE)),0,VLOOKUP($A724,'Mutasi Neraca'!$A$3:$S$910,5,FALSE))</f>
        <v>4100148284</v>
      </c>
      <c r="G724" s="42">
        <f>VLOOKUP($A724,'Neraca Unaudited SIMAK'!$A$2:$R$1272,6,FALSE)+IF(ISNA(VLOOKUP($A724,'Mutasi Neraca'!$A$3:$S$910,6,FALSE)),0,VLOOKUP($A724,'Mutasi Neraca'!$A$3:$S$910,6,FALSE))</f>
        <v>12685004600</v>
      </c>
      <c r="H724" s="42">
        <f>VLOOKUP($A724,'Neraca Unaudited SIMAK'!$A$2:$R$1272,7,FALSE)+IF(ISNA(VLOOKUP($A724,'Mutasi Neraca'!$A$3:$S$910,7,FALSE)),0,VLOOKUP($A724,'Mutasi Neraca'!$A$3:$S$910,7,FALSE))</f>
        <v>19020965</v>
      </c>
      <c r="I724" s="42">
        <f>VLOOKUP($A724,'Neraca Unaudited SIMAK'!$A$2:$R$1272,8,FALSE)+IF(ISNA(VLOOKUP($A724,'Mutasi Neraca'!$A$3:$S$910,8,FALSE)),0,VLOOKUP($A724,'Mutasi Neraca'!$A$3:$S$910,8,FALSE))</f>
        <v>7923603</v>
      </c>
      <c r="J724" s="42">
        <f>VLOOKUP($A724,'Neraca Unaudited SIMAK'!$A$2:$R$1272,9,FALSE)+IF(ISNA(VLOOKUP($A724,'Mutasi Neraca'!$A$3:$S$910,9,FALSE)),0,VLOOKUP($A724,'Mutasi Neraca'!$A$3:$S$910,9,FALSE))</f>
        <v>4472783100</v>
      </c>
      <c r="K724" s="42">
        <f>VLOOKUP($A724,'Neraca Unaudited SIMAK'!$A$2:$R$1272,10,FALSE)+IF(ISNA(VLOOKUP($A724,'Mutasi Neraca'!$A$3:$S$910,10,FALSE)),0,VLOOKUP($A724,'Mutasi Neraca'!$A$3:$S$910,10,FALSE))</f>
        <v>0</v>
      </c>
      <c r="L724" s="42">
        <f>VLOOKUP($A724,'Neraca Unaudited SIMAK'!$A$2:$R$1272,11,FALSE)+IF(ISNA(VLOOKUP($A724,'Mutasi Neraca'!$A$3:$S$910,11,FALSE)),0,VLOOKUP($A724,'Mutasi Neraca'!$A$3:$S$910,11,FALSE))</f>
        <v>354088450</v>
      </c>
      <c r="M724" s="42">
        <f>VLOOKUP($A724,'Neraca Unaudited SIMAK'!$A$2:$R$1272,12,FALSE)+IF(ISNA(VLOOKUP($A724,'Mutasi Neraca'!$A$3:$S$910,12,FALSE)),0,VLOOKUP($A724,'Mutasi Neraca'!$A$3:$S$910,12,FALSE))</f>
        <v>24653572082</v>
      </c>
      <c r="N724" s="42">
        <f>VLOOKUP($A724,'Neraca Unaudited SIMAK'!$A$2:$R$1272,13,FALSE)+IF(ISNA(VLOOKUP($A724,'Mutasi Neraca'!$A$3:$S$910,13,FALSE)),0,VLOOKUP($A724,'Mutasi Neraca'!$A$3:$S$910,13,FALSE))</f>
        <v>-3057469463</v>
      </c>
      <c r="O724" s="42">
        <f>VLOOKUP($A724,'Neraca Unaudited SIMAK'!$A$2:$R$1272,14,FALSE)+IF(ISNA(VLOOKUP($A724,'Mutasi Neraca'!$A$3:$S$910,14,FALSE)),0,VLOOKUP($A724,'Mutasi Neraca'!$A$3:$S$910,14,FALSE))</f>
        <v>-1486578521</v>
      </c>
      <c r="P724" s="42">
        <f>VLOOKUP($A724,'Neraca Unaudited SIMAK'!$A$2:$R$1272,15,FALSE)+IF(ISNA(VLOOKUP($A724,'Mutasi Neraca'!$A$3:$S$910,15,FALSE)),0,VLOOKUP($A724,'Mutasi Neraca'!$A$3:$S$910,15,FALSE))</f>
        <v>-19020965</v>
      </c>
      <c r="Q724" s="42">
        <f>VLOOKUP($A724,'Neraca Unaudited SIMAK'!$A$2:$R$1272,16,FALSE)+IF(ISNA(VLOOKUP($A724,'Mutasi Neraca'!$A$3:$S$910,16,FALSE)),0,VLOOKUP($A724,'Mutasi Neraca'!$A$3:$S$910,16,FALSE))</f>
        <v>0</v>
      </c>
      <c r="R724" s="42">
        <f>VLOOKUP($A724,'Neraca Unaudited SIMAK'!$A$2:$R$1272,17,FALSE)+IF(ISNA(VLOOKUP($A724,'Mutasi Neraca'!$A$3:$S$910,17,FALSE)),0,VLOOKUP($A724,'Mutasi Neraca'!$A$3:$S$910,17,FALSE))</f>
        <v>-159219505</v>
      </c>
      <c r="S724" s="42">
        <f t="shared" si="65"/>
        <v>19931283628</v>
      </c>
    </row>
    <row r="725" spans="1:19">
      <c r="A725" s="41" t="s">
        <v>732</v>
      </c>
      <c r="B725" s="41" t="str">
        <f t="shared" si="64"/>
        <v>005012500</v>
      </c>
      <c r="D725" s="42">
        <f>VLOOKUP($A725,'Neraca Unaudited SIMAK'!$A$2:$R$1272,3,FALSE)+IF(ISNA(VLOOKUP($A725,'Mutasi Neraca'!$A$3:$S$910,3,FALSE)),0,VLOOKUP($A725,'Mutasi Neraca'!$A$3:$S$910,3,FALSE))</f>
        <v>10181000</v>
      </c>
      <c r="E725" s="42">
        <f>VLOOKUP($A725,'Neraca Unaudited SIMAK'!$A$2:$R$1272,4,FALSE)+IF(ISNA(VLOOKUP($A725,'Mutasi Neraca'!$A$3:$S$910,4,FALSE)),0,VLOOKUP($A725,'Mutasi Neraca'!$A$3:$S$910,4,FALSE))</f>
        <v>2043800000</v>
      </c>
      <c r="F725" s="42">
        <f>VLOOKUP($A725,'Neraca Unaudited SIMAK'!$A$2:$R$1272,5,FALSE)+IF(ISNA(VLOOKUP($A725,'Mutasi Neraca'!$A$3:$S$910,5,FALSE)),0,VLOOKUP($A725,'Mutasi Neraca'!$A$3:$S$910,5,FALSE))</f>
        <v>1652426628</v>
      </c>
      <c r="G725" s="42">
        <f>VLOOKUP($A725,'Neraca Unaudited SIMAK'!$A$2:$R$1272,6,FALSE)+IF(ISNA(VLOOKUP($A725,'Mutasi Neraca'!$A$3:$S$910,6,FALSE)),0,VLOOKUP($A725,'Mutasi Neraca'!$A$3:$S$910,6,FALSE))</f>
        <v>23770161163</v>
      </c>
      <c r="H725" s="42">
        <f>VLOOKUP($A725,'Neraca Unaudited SIMAK'!$A$2:$R$1272,7,FALSE)+IF(ISNA(VLOOKUP($A725,'Mutasi Neraca'!$A$3:$S$910,7,FALSE)),0,VLOOKUP($A725,'Mutasi Neraca'!$A$3:$S$910,7,FALSE))</f>
        <v>25000000</v>
      </c>
      <c r="I725" s="42">
        <f>VLOOKUP($A725,'Neraca Unaudited SIMAK'!$A$2:$R$1272,8,FALSE)+IF(ISNA(VLOOKUP($A725,'Mutasi Neraca'!$A$3:$S$910,8,FALSE)),0,VLOOKUP($A725,'Mutasi Neraca'!$A$3:$S$910,8,FALSE))</f>
        <v>2328463</v>
      </c>
      <c r="J725" s="42">
        <f>VLOOKUP($A725,'Neraca Unaudited SIMAK'!$A$2:$R$1272,9,FALSE)+IF(ISNA(VLOOKUP($A725,'Mutasi Neraca'!$A$3:$S$910,9,FALSE)),0,VLOOKUP($A725,'Mutasi Neraca'!$A$3:$S$910,9,FALSE))</f>
        <v>0</v>
      </c>
      <c r="K725" s="42">
        <f>VLOOKUP($A725,'Neraca Unaudited SIMAK'!$A$2:$R$1272,10,FALSE)+IF(ISNA(VLOOKUP($A725,'Mutasi Neraca'!$A$3:$S$910,10,FALSE)),0,VLOOKUP($A725,'Mutasi Neraca'!$A$3:$S$910,10,FALSE))</f>
        <v>100000000</v>
      </c>
      <c r="L725" s="42">
        <f>VLOOKUP($A725,'Neraca Unaudited SIMAK'!$A$2:$R$1272,11,FALSE)+IF(ISNA(VLOOKUP($A725,'Mutasi Neraca'!$A$3:$S$910,11,FALSE)),0,VLOOKUP($A725,'Mutasi Neraca'!$A$3:$S$910,11,FALSE))</f>
        <v>655831000</v>
      </c>
      <c r="M725" s="42">
        <f>VLOOKUP($A725,'Neraca Unaudited SIMAK'!$A$2:$R$1272,12,FALSE)+IF(ISNA(VLOOKUP($A725,'Mutasi Neraca'!$A$3:$S$910,12,FALSE)),0,VLOOKUP($A725,'Mutasi Neraca'!$A$3:$S$910,12,FALSE))</f>
        <v>28259728254</v>
      </c>
      <c r="N725" s="42">
        <f>VLOOKUP($A725,'Neraca Unaudited SIMAK'!$A$2:$R$1272,13,FALSE)+IF(ISNA(VLOOKUP($A725,'Mutasi Neraca'!$A$3:$S$910,13,FALSE)),0,VLOOKUP($A725,'Mutasi Neraca'!$A$3:$S$910,13,FALSE))</f>
        <v>-940422634</v>
      </c>
      <c r="O725" s="42">
        <f>VLOOKUP($A725,'Neraca Unaudited SIMAK'!$A$2:$R$1272,14,FALSE)+IF(ISNA(VLOOKUP($A725,'Mutasi Neraca'!$A$3:$S$910,14,FALSE)),0,VLOOKUP($A725,'Mutasi Neraca'!$A$3:$S$910,14,FALSE))</f>
        <v>-2721003435</v>
      </c>
      <c r="P725" s="42">
        <f>VLOOKUP($A725,'Neraca Unaudited SIMAK'!$A$2:$R$1272,15,FALSE)+IF(ISNA(VLOOKUP($A725,'Mutasi Neraca'!$A$3:$S$910,15,FALSE)),0,VLOOKUP($A725,'Mutasi Neraca'!$A$3:$S$910,15,FALSE))</f>
        <v>-25000000</v>
      </c>
      <c r="Q725" s="42">
        <f>VLOOKUP($A725,'Neraca Unaudited SIMAK'!$A$2:$R$1272,16,FALSE)+IF(ISNA(VLOOKUP($A725,'Mutasi Neraca'!$A$3:$S$910,16,FALSE)),0,VLOOKUP($A725,'Mutasi Neraca'!$A$3:$S$910,16,FALSE))</f>
        <v>0</v>
      </c>
      <c r="R725" s="42">
        <f>VLOOKUP($A725,'Neraca Unaudited SIMAK'!$A$2:$R$1272,17,FALSE)+IF(ISNA(VLOOKUP($A725,'Mutasi Neraca'!$A$3:$S$910,17,FALSE)),0,VLOOKUP($A725,'Mutasi Neraca'!$A$3:$S$910,17,FALSE))</f>
        <v>-651071014</v>
      </c>
      <c r="S725" s="42">
        <f t="shared" si="65"/>
        <v>23922231171</v>
      </c>
    </row>
    <row r="726" spans="1:19">
      <c r="A726" s="41" t="s">
        <v>733</v>
      </c>
      <c r="B726" s="41" t="str">
        <f t="shared" si="64"/>
        <v>005012500</v>
      </c>
      <c r="D726" s="42">
        <f>VLOOKUP($A726,'Neraca Unaudited SIMAK'!$A$2:$R$1272,3,FALSE)+IF(ISNA(VLOOKUP($A726,'Mutasi Neraca'!$A$3:$S$910,3,FALSE)),0,VLOOKUP($A726,'Mutasi Neraca'!$A$3:$S$910,3,FALSE))</f>
        <v>4333000</v>
      </c>
      <c r="E726" s="42">
        <f>VLOOKUP($A726,'Neraca Unaudited SIMAK'!$A$2:$R$1272,4,FALSE)+IF(ISNA(VLOOKUP($A726,'Mutasi Neraca'!$A$3:$S$910,4,FALSE)),0,VLOOKUP($A726,'Mutasi Neraca'!$A$3:$S$910,4,FALSE))</f>
        <v>8087750000</v>
      </c>
      <c r="F726" s="42">
        <f>VLOOKUP($A726,'Neraca Unaudited SIMAK'!$A$2:$R$1272,5,FALSE)+IF(ISNA(VLOOKUP($A726,'Mutasi Neraca'!$A$3:$S$910,5,FALSE)),0,VLOOKUP($A726,'Mutasi Neraca'!$A$3:$S$910,5,FALSE))</f>
        <v>1273227500</v>
      </c>
      <c r="G726" s="42">
        <f>VLOOKUP($A726,'Neraca Unaudited SIMAK'!$A$2:$R$1272,6,FALSE)+IF(ISNA(VLOOKUP($A726,'Mutasi Neraca'!$A$3:$S$910,6,FALSE)),0,VLOOKUP($A726,'Mutasi Neraca'!$A$3:$S$910,6,FALSE))</f>
        <v>21792621595</v>
      </c>
      <c r="H726" s="42">
        <f>VLOOKUP($A726,'Neraca Unaudited SIMAK'!$A$2:$R$1272,7,FALSE)+IF(ISNA(VLOOKUP($A726,'Mutasi Neraca'!$A$3:$S$910,7,FALSE)),0,VLOOKUP($A726,'Mutasi Neraca'!$A$3:$S$910,7,FALSE))</f>
        <v>149575000</v>
      </c>
      <c r="I726" s="42">
        <f>VLOOKUP($A726,'Neraca Unaudited SIMAK'!$A$2:$R$1272,8,FALSE)+IF(ISNA(VLOOKUP($A726,'Mutasi Neraca'!$A$3:$S$910,8,FALSE)),0,VLOOKUP($A726,'Mutasi Neraca'!$A$3:$S$910,8,FALSE))</f>
        <v>7943440</v>
      </c>
      <c r="J726" s="42">
        <f>VLOOKUP($A726,'Neraca Unaudited SIMAK'!$A$2:$R$1272,9,FALSE)+IF(ISNA(VLOOKUP($A726,'Mutasi Neraca'!$A$3:$S$910,9,FALSE)),0,VLOOKUP($A726,'Mutasi Neraca'!$A$3:$S$910,9,FALSE))</f>
        <v>0</v>
      </c>
      <c r="K726" s="42">
        <f>VLOOKUP($A726,'Neraca Unaudited SIMAK'!$A$2:$R$1272,10,FALSE)+IF(ISNA(VLOOKUP($A726,'Mutasi Neraca'!$A$3:$S$910,10,FALSE)),0,VLOOKUP($A726,'Mutasi Neraca'!$A$3:$S$910,10,FALSE))</f>
        <v>0</v>
      </c>
      <c r="L726" s="42">
        <f>VLOOKUP($A726,'Neraca Unaudited SIMAK'!$A$2:$R$1272,11,FALSE)+IF(ISNA(VLOOKUP($A726,'Mutasi Neraca'!$A$3:$S$910,11,FALSE)),0,VLOOKUP($A726,'Mutasi Neraca'!$A$3:$S$910,11,FALSE))</f>
        <v>10834578</v>
      </c>
      <c r="M726" s="42">
        <f>VLOOKUP($A726,'Neraca Unaudited SIMAK'!$A$2:$R$1272,12,FALSE)+IF(ISNA(VLOOKUP($A726,'Mutasi Neraca'!$A$3:$S$910,12,FALSE)),0,VLOOKUP($A726,'Mutasi Neraca'!$A$3:$S$910,12,FALSE))</f>
        <v>31326285113</v>
      </c>
      <c r="N726" s="42">
        <f>VLOOKUP($A726,'Neraca Unaudited SIMAK'!$A$2:$R$1272,13,FALSE)+IF(ISNA(VLOOKUP($A726,'Mutasi Neraca'!$A$3:$S$910,13,FALSE)),0,VLOOKUP($A726,'Mutasi Neraca'!$A$3:$S$910,13,FALSE))</f>
        <v>-1105465747</v>
      </c>
      <c r="O726" s="42">
        <f>VLOOKUP($A726,'Neraca Unaudited SIMAK'!$A$2:$R$1272,14,FALSE)+IF(ISNA(VLOOKUP($A726,'Mutasi Neraca'!$A$3:$S$910,14,FALSE)),0,VLOOKUP($A726,'Mutasi Neraca'!$A$3:$S$910,14,FALSE))</f>
        <v>-8771997933</v>
      </c>
      <c r="P726" s="42">
        <f>VLOOKUP($A726,'Neraca Unaudited SIMAK'!$A$2:$R$1272,15,FALSE)+IF(ISNA(VLOOKUP($A726,'Mutasi Neraca'!$A$3:$S$910,15,FALSE)),0,VLOOKUP($A726,'Mutasi Neraca'!$A$3:$S$910,15,FALSE))</f>
        <v>-48611875</v>
      </c>
      <c r="Q726" s="42">
        <f>VLOOKUP($A726,'Neraca Unaudited SIMAK'!$A$2:$R$1272,16,FALSE)+IF(ISNA(VLOOKUP($A726,'Mutasi Neraca'!$A$3:$S$910,16,FALSE)),0,VLOOKUP($A726,'Mutasi Neraca'!$A$3:$S$910,16,FALSE))</f>
        <v>0</v>
      </c>
      <c r="R726" s="42">
        <f>VLOOKUP($A726,'Neraca Unaudited SIMAK'!$A$2:$R$1272,17,FALSE)+IF(ISNA(VLOOKUP($A726,'Mutasi Neraca'!$A$3:$S$910,17,FALSE)),0,VLOOKUP($A726,'Mutasi Neraca'!$A$3:$S$910,17,FALSE))</f>
        <v>-10834578</v>
      </c>
      <c r="S726" s="42">
        <f t="shared" si="65"/>
        <v>21389374980</v>
      </c>
    </row>
    <row r="727" spans="1:19">
      <c r="A727" s="41" t="s">
        <v>734</v>
      </c>
      <c r="B727" s="41" t="str">
        <f t="shared" si="64"/>
        <v>005012500</v>
      </c>
      <c r="D727" s="42">
        <f>VLOOKUP($A727,'Neraca Unaudited SIMAK'!$A$2:$R$1272,3,FALSE)+IF(ISNA(VLOOKUP($A727,'Mutasi Neraca'!$A$3:$S$910,3,FALSE)),0,VLOOKUP($A727,'Mutasi Neraca'!$A$3:$S$910,3,FALSE))</f>
        <v>0</v>
      </c>
      <c r="E727" s="42">
        <f>VLOOKUP($A727,'Neraca Unaudited SIMAK'!$A$2:$R$1272,4,FALSE)+IF(ISNA(VLOOKUP($A727,'Mutasi Neraca'!$A$3:$S$910,4,FALSE)),0,VLOOKUP($A727,'Mutasi Neraca'!$A$3:$S$910,4,FALSE))</f>
        <v>685395000</v>
      </c>
      <c r="F727" s="42">
        <f>VLOOKUP($A727,'Neraca Unaudited SIMAK'!$A$2:$R$1272,5,FALSE)+IF(ISNA(VLOOKUP($A727,'Mutasi Neraca'!$A$3:$S$910,5,FALSE)),0,VLOOKUP($A727,'Mutasi Neraca'!$A$3:$S$910,5,FALSE))</f>
        <v>1496341918</v>
      </c>
      <c r="G727" s="42">
        <f>VLOOKUP($A727,'Neraca Unaudited SIMAK'!$A$2:$R$1272,6,FALSE)+IF(ISNA(VLOOKUP($A727,'Mutasi Neraca'!$A$3:$S$910,6,FALSE)),0,VLOOKUP($A727,'Mutasi Neraca'!$A$3:$S$910,6,FALSE))</f>
        <v>13089454000</v>
      </c>
      <c r="H727" s="42">
        <f>VLOOKUP($A727,'Neraca Unaudited SIMAK'!$A$2:$R$1272,7,FALSE)+IF(ISNA(VLOOKUP($A727,'Mutasi Neraca'!$A$3:$S$910,7,FALSE)),0,VLOOKUP($A727,'Mutasi Neraca'!$A$3:$S$910,7,FALSE))</f>
        <v>0</v>
      </c>
      <c r="I727" s="42">
        <f>VLOOKUP($A727,'Neraca Unaudited SIMAK'!$A$2:$R$1272,8,FALSE)+IF(ISNA(VLOOKUP($A727,'Mutasi Neraca'!$A$3:$S$910,8,FALSE)),0,VLOOKUP($A727,'Mutasi Neraca'!$A$3:$S$910,8,FALSE))</f>
        <v>1943440</v>
      </c>
      <c r="J727" s="42">
        <f>VLOOKUP($A727,'Neraca Unaudited SIMAK'!$A$2:$R$1272,9,FALSE)+IF(ISNA(VLOOKUP($A727,'Mutasi Neraca'!$A$3:$S$910,9,FALSE)),0,VLOOKUP($A727,'Mutasi Neraca'!$A$3:$S$910,9,FALSE))</f>
        <v>0</v>
      </c>
      <c r="K727" s="42">
        <f>VLOOKUP($A727,'Neraca Unaudited SIMAK'!$A$2:$R$1272,10,FALSE)+IF(ISNA(VLOOKUP($A727,'Mutasi Neraca'!$A$3:$S$910,10,FALSE)),0,VLOOKUP($A727,'Mutasi Neraca'!$A$3:$S$910,10,FALSE))</f>
        <v>0</v>
      </c>
      <c r="L727" s="42">
        <f>VLOOKUP($A727,'Neraca Unaudited SIMAK'!$A$2:$R$1272,11,FALSE)+IF(ISNA(VLOOKUP($A727,'Mutasi Neraca'!$A$3:$S$910,11,FALSE)),0,VLOOKUP($A727,'Mutasi Neraca'!$A$3:$S$910,11,FALSE))</f>
        <v>0</v>
      </c>
      <c r="M727" s="42">
        <f>VLOOKUP($A727,'Neraca Unaudited SIMAK'!$A$2:$R$1272,12,FALSE)+IF(ISNA(VLOOKUP($A727,'Mutasi Neraca'!$A$3:$S$910,12,FALSE)),0,VLOOKUP($A727,'Mutasi Neraca'!$A$3:$S$910,12,FALSE))</f>
        <v>15273134358</v>
      </c>
      <c r="N727" s="42">
        <f>VLOOKUP($A727,'Neraca Unaudited SIMAK'!$A$2:$R$1272,13,FALSE)+IF(ISNA(VLOOKUP($A727,'Mutasi Neraca'!$A$3:$S$910,13,FALSE)),0,VLOOKUP($A727,'Mutasi Neraca'!$A$3:$S$910,13,FALSE))</f>
        <v>-1207062513</v>
      </c>
      <c r="O727" s="42">
        <f>VLOOKUP($A727,'Neraca Unaudited SIMAK'!$A$2:$R$1272,14,FALSE)+IF(ISNA(VLOOKUP($A727,'Mutasi Neraca'!$A$3:$S$910,14,FALSE)),0,VLOOKUP($A727,'Mutasi Neraca'!$A$3:$S$910,14,FALSE))</f>
        <v>-5411237060</v>
      </c>
      <c r="P727" s="42">
        <f>VLOOKUP($A727,'Neraca Unaudited SIMAK'!$A$2:$R$1272,15,FALSE)+IF(ISNA(VLOOKUP($A727,'Mutasi Neraca'!$A$3:$S$910,15,FALSE)),0,VLOOKUP($A727,'Mutasi Neraca'!$A$3:$S$910,15,FALSE))</f>
        <v>0</v>
      </c>
      <c r="Q727" s="42">
        <f>VLOOKUP($A727,'Neraca Unaudited SIMAK'!$A$2:$R$1272,16,FALSE)+IF(ISNA(VLOOKUP($A727,'Mutasi Neraca'!$A$3:$S$910,16,FALSE)),0,VLOOKUP($A727,'Mutasi Neraca'!$A$3:$S$910,16,FALSE))</f>
        <v>0</v>
      </c>
      <c r="R727" s="42">
        <f>VLOOKUP($A727,'Neraca Unaudited SIMAK'!$A$2:$R$1272,17,FALSE)+IF(ISNA(VLOOKUP($A727,'Mutasi Neraca'!$A$3:$S$910,17,FALSE)),0,VLOOKUP($A727,'Mutasi Neraca'!$A$3:$S$910,17,FALSE))</f>
        <v>0</v>
      </c>
      <c r="S727" s="42">
        <f t="shared" si="65"/>
        <v>8654834785</v>
      </c>
    </row>
    <row r="728" spans="1:19">
      <c r="A728" s="41" t="s">
        <v>735</v>
      </c>
      <c r="B728" s="41" t="str">
        <f t="shared" si="64"/>
        <v>005012500</v>
      </c>
      <c r="D728" s="42">
        <f>VLOOKUP($A728,'Neraca Unaudited SIMAK'!$A$2:$R$1272,3,FALSE)+IF(ISNA(VLOOKUP($A728,'Mutasi Neraca'!$A$3:$S$910,3,FALSE)),0,VLOOKUP($A728,'Mutasi Neraca'!$A$3:$S$910,3,FALSE))</f>
        <v>1678000</v>
      </c>
      <c r="E728" s="42">
        <f>VLOOKUP($A728,'Neraca Unaudited SIMAK'!$A$2:$R$1272,4,FALSE)+IF(ISNA(VLOOKUP($A728,'Mutasi Neraca'!$A$3:$S$910,4,FALSE)),0,VLOOKUP($A728,'Mutasi Neraca'!$A$3:$S$910,4,FALSE))</f>
        <v>1243109000</v>
      </c>
      <c r="F728" s="42">
        <f>VLOOKUP($A728,'Neraca Unaudited SIMAK'!$A$2:$R$1272,5,FALSE)+IF(ISNA(VLOOKUP($A728,'Mutasi Neraca'!$A$3:$S$910,5,FALSE)),0,VLOOKUP($A728,'Mutasi Neraca'!$A$3:$S$910,5,FALSE))</f>
        <v>1959689328</v>
      </c>
      <c r="G728" s="42">
        <f>VLOOKUP($A728,'Neraca Unaudited SIMAK'!$A$2:$R$1272,6,FALSE)+IF(ISNA(VLOOKUP($A728,'Mutasi Neraca'!$A$3:$S$910,6,FALSE)),0,VLOOKUP($A728,'Mutasi Neraca'!$A$3:$S$910,6,FALSE))</f>
        <v>9201182450</v>
      </c>
      <c r="H728" s="42">
        <f>VLOOKUP($A728,'Neraca Unaudited SIMAK'!$A$2:$R$1272,7,FALSE)+IF(ISNA(VLOOKUP($A728,'Mutasi Neraca'!$A$3:$S$910,7,FALSE)),0,VLOOKUP($A728,'Mutasi Neraca'!$A$3:$S$910,7,FALSE))</f>
        <v>6000000</v>
      </c>
      <c r="I728" s="42">
        <f>VLOOKUP($A728,'Neraca Unaudited SIMAK'!$A$2:$R$1272,8,FALSE)+IF(ISNA(VLOOKUP($A728,'Mutasi Neraca'!$A$3:$S$910,8,FALSE)),0,VLOOKUP($A728,'Mutasi Neraca'!$A$3:$S$910,8,FALSE))</f>
        <v>1943440</v>
      </c>
      <c r="J728" s="42">
        <f>VLOOKUP($A728,'Neraca Unaudited SIMAK'!$A$2:$R$1272,9,FALSE)+IF(ISNA(VLOOKUP($A728,'Mutasi Neraca'!$A$3:$S$910,9,FALSE)),0,VLOOKUP($A728,'Mutasi Neraca'!$A$3:$S$910,9,FALSE))</f>
        <v>0</v>
      </c>
      <c r="K728" s="42">
        <f>VLOOKUP($A728,'Neraca Unaudited SIMAK'!$A$2:$R$1272,10,FALSE)+IF(ISNA(VLOOKUP($A728,'Mutasi Neraca'!$A$3:$S$910,10,FALSE)),0,VLOOKUP($A728,'Mutasi Neraca'!$A$3:$S$910,10,FALSE))</f>
        <v>0</v>
      </c>
      <c r="L728" s="42">
        <f>VLOOKUP($A728,'Neraca Unaudited SIMAK'!$A$2:$R$1272,11,FALSE)+IF(ISNA(VLOOKUP($A728,'Mutasi Neraca'!$A$3:$S$910,11,FALSE)),0,VLOOKUP($A728,'Mutasi Neraca'!$A$3:$S$910,11,FALSE))</f>
        <v>126150000</v>
      </c>
      <c r="M728" s="42">
        <f>VLOOKUP($A728,'Neraca Unaudited SIMAK'!$A$2:$R$1272,12,FALSE)+IF(ISNA(VLOOKUP($A728,'Mutasi Neraca'!$A$3:$S$910,12,FALSE)),0,VLOOKUP($A728,'Mutasi Neraca'!$A$3:$S$910,12,FALSE))</f>
        <v>12539752218</v>
      </c>
      <c r="N728" s="42">
        <f>VLOOKUP($A728,'Neraca Unaudited SIMAK'!$A$2:$R$1272,13,FALSE)+IF(ISNA(VLOOKUP($A728,'Mutasi Neraca'!$A$3:$S$910,13,FALSE)),0,VLOOKUP($A728,'Mutasi Neraca'!$A$3:$S$910,13,FALSE))</f>
        <v>-1442245214</v>
      </c>
      <c r="O728" s="42">
        <f>VLOOKUP($A728,'Neraca Unaudited SIMAK'!$A$2:$R$1272,14,FALSE)+IF(ISNA(VLOOKUP($A728,'Mutasi Neraca'!$A$3:$S$910,14,FALSE)),0,VLOOKUP($A728,'Mutasi Neraca'!$A$3:$S$910,14,FALSE))</f>
        <v>-1591078253</v>
      </c>
      <c r="P728" s="42">
        <f>VLOOKUP($A728,'Neraca Unaudited SIMAK'!$A$2:$R$1272,15,FALSE)+IF(ISNA(VLOOKUP($A728,'Mutasi Neraca'!$A$3:$S$910,15,FALSE)),0,VLOOKUP($A728,'Mutasi Neraca'!$A$3:$S$910,15,FALSE))</f>
        <v>-600000</v>
      </c>
      <c r="Q728" s="42">
        <f>VLOOKUP($A728,'Neraca Unaudited SIMAK'!$A$2:$R$1272,16,FALSE)+IF(ISNA(VLOOKUP($A728,'Mutasi Neraca'!$A$3:$S$910,16,FALSE)),0,VLOOKUP($A728,'Mutasi Neraca'!$A$3:$S$910,16,FALSE))</f>
        <v>0</v>
      </c>
      <c r="R728" s="42">
        <f>VLOOKUP($A728,'Neraca Unaudited SIMAK'!$A$2:$R$1272,17,FALSE)+IF(ISNA(VLOOKUP($A728,'Mutasi Neraca'!$A$3:$S$910,17,FALSE)),0,VLOOKUP($A728,'Mutasi Neraca'!$A$3:$S$910,17,FALSE))</f>
        <v>-123150000</v>
      </c>
      <c r="S728" s="42">
        <f t="shared" si="65"/>
        <v>9382678751</v>
      </c>
    </row>
    <row r="729" spans="1:19">
      <c r="A729" s="41" t="s">
        <v>736</v>
      </c>
      <c r="B729" s="41" t="str">
        <f t="shared" si="64"/>
        <v>005012500</v>
      </c>
      <c r="D729" s="42">
        <f>VLOOKUP($A729,'Neraca Unaudited SIMAK'!$A$2:$R$1272,3,FALSE)+IF(ISNA(VLOOKUP($A729,'Mutasi Neraca'!$A$3:$S$910,3,FALSE)),0,VLOOKUP($A729,'Mutasi Neraca'!$A$3:$S$910,3,FALSE))</f>
        <v>2044300</v>
      </c>
      <c r="E729" s="42">
        <f>VLOOKUP($A729,'Neraca Unaudited SIMAK'!$A$2:$R$1272,4,FALSE)+IF(ISNA(VLOOKUP($A729,'Mutasi Neraca'!$A$3:$S$910,4,FALSE)),0,VLOOKUP($A729,'Mutasi Neraca'!$A$3:$S$910,4,FALSE))</f>
        <v>344280000</v>
      </c>
      <c r="F729" s="42">
        <f>VLOOKUP($A729,'Neraca Unaudited SIMAK'!$A$2:$R$1272,5,FALSE)+IF(ISNA(VLOOKUP($A729,'Mutasi Neraca'!$A$3:$S$910,5,FALSE)),0,VLOOKUP($A729,'Mutasi Neraca'!$A$3:$S$910,5,FALSE))</f>
        <v>1303417234</v>
      </c>
      <c r="G729" s="42">
        <f>VLOOKUP($A729,'Neraca Unaudited SIMAK'!$A$2:$R$1272,6,FALSE)+IF(ISNA(VLOOKUP($A729,'Mutasi Neraca'!$A$3:$S$910,6,FALSE)),0,VLOOKUP($A729,'Mutasi Neraca'!$A$3:$S$910,6,FALSE))</f>
        <v>19966746698</v>
      </c>
      <c r="H729" s="42">
        <f>VLOOKUP($A729,'Neraca Unaudited SIMAK'!$A$2:$R$1272,7,FALSE)+IF(ISNA(VLOOKUP($A729,'Mutasi Neraca'!$A$3:$S$910,7,FALSE)),0,VLOOKUP($A729,'Mutasi Neraca'!$A$3:$S$910,7,FALSE))</f>
        <v>6950000</v>
      </c>
      <c r="I729" s="42">
        <f>VLOOKUP($A729,'Neraca Unaudited SIMAK'!$A$2:$R$1272,8,FALSE)+IF(ISNA(VLOOKUP($A729,'Mutasi Neraca'!$A$3:$S$910,8,FALSE)),0,VLOOKUP($A729,'Mutasi Neraca'!$A$3:$S$910,8,FALSE))</f>
        <v>1943440</v>
      </c>
      <c r="J729" s="42">
        <f>VLOOKUP($A729,'Neraca Unaudited SIMAK'!$A$2:$R$1272,9,FALSE)+IF(ISNA(VLOOKUP($A729,'Mutasi Neraca'!$A$3:$S$910,9,FALSE)),0,VLOOKUP($A729,'Mutasi Neraca'!$A$3:$S$910,9,FALSE))</f>
        <v>0</v>
      </c>
      <c r="K729" s="42">
        <f>VLOOKUP($A729,'Neraca Unaudited SIMAK'!$A$2:$R$1272,10,FALSE)+IF(ISNA(VLOOKUP($A729,'Mutasi Neraca'!$A$3:$S$910,10,FALSE)),0,VLOOKUP($A729,'Mutasi Neraca'!$A$3:$S$910,10,FALSE))</f>
        <v>32500000</v>
      </c>
      <c r="L729" s="42">
        <f>VLOOKUP($A729,'Neraca Unaudited SIMAK'!$A$2:$R$1272,11,FALSE)+IF(ISNA(VLOOKUP($A729,'Mutasi Neraca'!$A$3:$S$910,11,FALSE)),0,VLOOKUP($A729,'Mutasi Neraca'!$A$3:$S$910,11,FALSE))</f>
        <v>128533407</v>
      </c>
      <c r="M729" s="42">
        <f>VLOOKUP($A729,'Neraca Unaudited SIMAK'!$A$2:$R$1272,12,FALSE)+IF(ISNA(VLOOKUP($A729,'Mutasi Neraca'!$A$3:$S$910,12,FALSE)),0,VLOOKUP($A729,'Mutasi Neraca'!$A$3:$S$910,12,FALSE))</f>
        <v>21786415079</v>
      </c>
      <c r="N729" s="42">
        <f>VLOOKUP($A729,'Neraca Unaudited SIMAK'!$A$2:$R$1272,13,FALSE)+IF(ISNA(VLOOKUP($A729,'Mutasi Neraca'!$A$3:$S$910,13,FALSE)),0,VLOOKUP($A729,'Mutasi Neraca'!$A$3:$S$910,13,FALSE))</f>
        <v>-1180103140</v>
      </c>
      <c r="O729" s="42">
        <f>VLOOKUP($A729,'Neraca Unaudited SIMAK'!$A$2:$R$1272,14,FALSE)+IF(ISNA(VLOOKUP($A729,'Mutasi Neraca'!$A$3:$S$910,14,FALSE)),0,VLOOKUP($A729,'Mutasi Neraca'!$A$3:$S$910,14,FALSE))</f>
        <v>-1558330872</v>
      </c>
      <c r="P729" s="42">
        <f>VLOOKUP($A729,'Neraca Unaudited SIMAK'!$A$2:$R$1272,15,FALSE)+IF(ISNA(VLOOKUP($A729,'Mutasi Neraca'!$A$3:$S$910,15,FALSE)),0,VLOOKUP($A729,'Mutasi Neraca'!$A$3:$S$910,15,FALSE))</f>
        <v>-1698887</v>
      </c>
      <c r="Q729" s="42">
        <f>VLOOKUP($A729,'Neraca Unaudited SIMAK'!$A$2:$R$1272,16,FALSE)+IF(ISNA(VLOOKUP($A729,'Mutasi Neraca'!$A$3:$S$910,16,FALSE)),0,VLOOKUP($A729,'Mutasi Neraca'!$A$3:$S$910,16,FALSE))</f>
        <v>0</v>
      </c>
      <c r="R729" s="42">
        <f>VLOOKUP($A729,'Neraca Unaudited SIMAK'!$A$2:$R$1272,17,FALSE)+IF(ISNA(VLOOKUP($A729,'Mutasi Neraca'!$A$3:$S$910,17,FALSE)),0,VLOOKUP($A729,'Mutasi Neraca'!$A$3:$S$910,17,FALSE))</f>
        <v>-128533407</v>
      </c>
      <c r="S729" s="42">
        <f t="shared" si="65"/>
        <v>18917748773</v>
      </c>
    </row>
    <row r="730" spans="1:19">
      <c r="A730" s="41" t="s">
        <v>737</v>
      </c>
      <c r="B730" s="41" t="str">
        <f t="shared" si="64"/>
        <v>005012500</v>
      </c>
      <c r="D730" s="42">
        <f>VLOOKUP($A730,'Neraca Unaudited SIMAK'!$A$2:$R$1272,3,FALSE)+IF(ISNA(VLOOKUP($A730,'Mutasi Neraca'!$A$3:$S$910,3,FALSE)),0,VLOOKUP($A730,'Mutasi Neraca'!$A$3:$S$910,3,FALSE))</f>
        <v>7800450</v>
      </c>
      <c r="E730" s="42">
        <f>VLOOKUP($A730,'Neraca Unaudited SIMAK'!$A$2:$R$1272,4,FALSE)+IF(ISNA(VLOOKUP($A730,'Mutasi Neraca'!$A$3:$S$910,4,FALSE)),0,VLOOKUP($A730,'Mutasi Neraca'!$A$3:$S$910,4,FALSE))</f>
        <v>4765000000</v>
      </c>
      <c r="F730" s="42">
        <f>VLOOKUP($A730,'Neraca Unaudited SIMAK'!$A$2:$R$1272,5,FALSE)+IF(ISNA(VLOOKUP($A730,'Mutasi Neraca'!$A$3:$S$910,5,FALSE)),0,VLOOKUP($A730,'Mutasi Neraca'!$A$3:$S$910,5,FALSE))</f>
        <v>5263745747</v>
      </c>
      <c r="G730" s="42">
        <f>VLOOKUP($A730,'Neraca Unaudited SIMAK'!$A$2:$R$1272,6,FALSE)+IF(ISNA(VLOOKUP($A730,'Mutasi Neraca'!$A$3:$S$910,6,FALSE)),0,VLOOKUP($A730,'Mutasi Neraca'!$A$3:$S$910,6,FALSE))</f>
        <v>26761014758</v>
      </c>
      <c r="H730" s="42">
        <f>VLOOKUP($A730,'Neraca Unaudited SIMAK'!$A$2:$R$1272,7,FALSE)+IF(ISNA(VLOOKUP($A730,'Mutasi Neraca'!$A$3:$S$910,7,FALSE)),0,VLOOKUP($A730,'Mutasi Neraca'!$A$3:$S$910,7,FALSE))</f>
        <v>61145000</v>
      </c>
      <c r="I730" s="42">
        <f>VLOOKUP($A730,'Neraca Unaudited SIMAK'!$A$2:$R$1272,8,FALSE)+IF(ISNA(VLOOKUP($A730,'Mutasi Neraca'!$A$3:$S$910,8,FALSE)),0,VLOOKUP($A730,'Mutasi Neraca'!$A$3:$S$910,8,FALSE))</f>
        <v>15923446</v>
      </c>
      <c r="J730" s="42">
        <f>VLOOKUP($A730,'Neraca Unaudited SIMAK'!$A$2:$R$1272,9,FALSE)+IF(ISNA(VLOOKUP($A730,'Mutasi Neraca'!$A$3:$S$910,9,FALSE)),0,VLOOKUP($A730,'Mutasi Neraca'!$A$3:$S$910,9,FALSE))</f>
        <v>0</v>
      </c>
      <c r="K730" s="42">
        <f>VLOOKUP($A730,'Neraca Unaudited SIMAK'!$A$2:$R$1272,10,FALSE)+IF(ISNA(VLOOKUP($A730,'Mutasi Neraca'!$A$3:$S$910,10,FALSE)),0,VLOOKUP($A730,'Mutasi Neraca'!$A$3:$S$910,10,FALSE))</f>
        <v>0</v>
      </c>
      <c r="L730" s="42">
        <f>VLOOKUP($A730,'Neraca Unaudited SIMAK'!$A$2:$R$1272,11,FALSE)+IF(ISNA(VLOOKUP($A730,'Mutasi Neraca'!$A$3:$S$910,11,FALSE)),0,VLOOKUP($A730,'Mutasi Neraca'!$A$3:$S$910,11,FALSE))</f>
        <v>90627731</v>
      </c>
      <c r="M730" s="42">
        <f>VLOOKUP($A730,'Neraca Unaudited SIMAK'!$A$2:$R$1272,12,FALSE)+IF(ISNA(VLOOKUP($A730,'Mutasi Neraca'!$A$3:$S$910,12,FALSE)),0,VLOOKUP($A730,'Mutasi Neraca'!$A$3:$S$910,12,FALSE))</f>
        <v>36965257132</v>
      </c>
      <c r="N730" s="42">
        <f>VLOOKUP($A730,'Neraca Unaudited SIMAK'!$A$2:$R$1272,13,FALSE)+IF(ISNA(VLOOKUP($A730,'Mutasi Neraca'!$A$3:$S$910,13,FALSE)),0,VLOOKUP($A730,'Mutasi Neraca'!$A$3:$S$910,13,FALSE))</f>
        <v>-4881688709</v>
      </c>
      <c r="O730" s="42">
        <f>VLOOKUP($A730,'Neraca Unaudited SIMAK'!$A$2:$R$1272,14,FALSE)+IF(ISNA(VLOOKUP($A730,'Mutasi Neraca'!$A$3:$S$910,14,FALSE)),0,VLOOKUP($A730,'Mutasi Neraca'!$A$3:$S$910,14,FALSE))</f>
        <v>-3407453960</v>
      </c>
      <c r="P730" s="42">
        <f>VLOOKUP($A730,'Neraca Unaudited SIMAK'!$A$2:$R$1272,15,FALSE)+IF(ISNA(VLOOKUP($A730,'Mutasi Neraca'!$A$3:$S$910,15,FALSE)),0,VLOOKUP($A730,'Mutasi Neraca'!$A$3:$S$910,15,FALSE))</f>
        <v>-14818665</v>
      </c>
      <c r="Q730" s="42">
        <f>VLOOKUP($A730,'Neraca Unaudited SIMAK'!$A$2:$R$1272,16,FALSE)+IF(ISNA(VLOOKUP($A730,'Mutasi Neraca'!$A$3:$S$910,16,FALSE)),0,VLOOKUP($A730,'Mutasi Neraca'!$A$3:$S$910,16,FALSE))</f>
        <v>0</v>
      </c>
      <c r="R730" s="42">
        <f>VLOOKUP($A730,'Neraca Unaudited SIMAK'!$A$2:$R$1272,17,FALSE)+IF(ISNA(VLOOKUP($A730,'Mutasi Neraca'!$A$3:$S$910,17,FALSE)),0,VLOOKUP($A730,'Mutasi Neraca'!$A$3:$S$910,17,FALSE))</f>
        <v>-88002731</v>
      </c>
      <c r="S730" s="42">
        <f t="shared" si="65"/>
        <v>28573293067</v>
      </c>
    </row>
    <row r="731" spans="1:19">
      <c r="A731" s="41" t="s">
        <v>738</v>
      </c>
      <c r="B731" s="41" t="str">
        <f t="shared" si="64"/>
        <v>005012500</v>
      </c>
      <c r="D731" s="42">
        <f>VLOOKUP($A731,'Neraca Unaudited SIMAK'!$A$2:$R$1272,3,FALSE)+IF(ISNA(VLOOKUP($A731,'Mutasi Neraca'!$A$3:$S$910,3,FALSE)),0,VLOOKUP($A731,'Mutasi Neraca'!$A$3:$S$910,3,FALSE))</f>
        <v>2911150</v>
      </c>
      <c r="E731" s="42">
        <f>VLOOKUP($A731,'Neraca Unaudited SIMAK'!$A$2:$R$1272,4,FALSE)+IF(ISNA(VLOOKUP($A731,'Mutasi Neraca'!$A$3:$S$910,4,FALSE)),0,VLOOKUP($A731,'Mutasi Neraca'!$A$3:$S$910,4,FALSE))</f>
        <v>734000000</v>
      </c>
      <c r="F731" s="42">
        <f>VLOOKUP($A731,'Neraca Unaudited SIMAK'!$A$2:$R$1272,5,FALSE)+IF(ISNA(VLOOKUP($A731,'Mutasi Neraca'!$A$3:$S$910,5,FALSE)),0,VLOOKUP($A731,'Mutasi Neraca'!$A$3:$S$910,5,FALSE))</f>
        <v>1679030929</v>
      </c>
      <c r="G731" s="42">
        <f>VLOOKUP($A731,'Neraca Unaudited SIMAK'!$A$2:$R$1272,6,FALSE)+IF(ISNA(VLOOKUP($A731,'Mutasi Neraca'!$A$3:$S$910,6,FALSE)),0,VLOOKUP($A731,'Mutasi Neraca'!$A$3:$S$910,6,FALSE))</f>
        <v>5550177000</v>
      </c>
      <c r="H731" s="42">
        <f>VLOOKUP($A731,'Neraca Unaudited SIMAK'!$A$2:$R$1272,7,FALSE)+IF(ISNA(VLOOKUP($A731,'Mutasi Neraca'!$A$3:$S$910,7,FALSE)),0,VLOOKUP($A731,'Mutasi Neraca'!$A$3:$S$910,7,FALSE))</f>
        <v>39997000</v>
      </c>
      <c r="I731" s="42">
        <f>VLOOKUP($A731,'Neraca Unaudited SIMAK'!$A$2:$R$1272,8,FALSE)+IF(ISNA(VLOOKUP($A731,'Mutasi Neraca'!$A$3:$S$910,8,FALSE)),0,VLOOKUP($A731,'Mutasi Neraca'!$A$3:$S$910,8,FALSE))</f>
        <v>4940470</v>
      </c>
      <c r="J731" s="42">
        <f>VLOOKUP($A731,'Neraca Unaudited SIMAK'!$A$2:$R$1272,9,FALSE)+IF(ISNA(VLOOKUP($A731,'Mutasi Neraca'!$A$3:$S$910,9,FALSE)),0,VLOOKUP($A731,'Mutasi Neraca'!$A$3:$S$910,9,FALSE))</f>
        <v>0</v>
      </c>
      <c r="K731" s="42">
        <f>VLOOKUP($A731,'Neraca Unaudited SIMAK'!$A$2:$R$1272,10,FALSE)+IF(ISNA(VLOOKUP($A731,'Mutasi Neraca'!$A$3:$S$910,10,FALSE)),0,VLOOKUP($A731,'Mutasi Neraca'!$A$3:$S$910,10,FALSE))</f>
        <v>2000000</v>
      </c>
      <c r="L731" s="42">
        <f>VLOOKUP($A731,'Neraca Unaudited SIMAK'!$A$2:$R$1272,11,FALSE)+IF(ISNA(VLOOKUP($A731,'Mutasi Neraca'!$A$3:$S$910,11,FALSE)),0,VLOOKUP($A731,'Mutasi Neraca'!$A$3:$S$910,11,FALSE))</f>
        <v>0</v>
      </c>
      <c r="M731" s="42">
        <f>VLOOKUP($A731,'Neraca Unaudited SIMAK'!$A$2:$R$1272,12,FALSE)+IF(ISNA(VLOOKUP($A731,'Mutasi Neraca'!$A$3:$S$910,12,FALSE)),0,VLOOKUP($A731,'Mutasi Neraca'!$A$3:$S$910,12,FALSE))</f>
        <v>8013056549</v>
      </c>
      <c r="N731" s="42">
        <f>VLOOKUP($A731,'Neraca Unaudited SIMAK'!$A$2:$R$1272,13,FALSE)+IF(ISNA(VLOOKUP($A731,'Mutasi Neraca'!$A$3:$S$910,13,FALSE)),0,VLOOKUP($A731,'Mutasi Neraca'!$A$3:$S$910,13,FALSE))</f>
        <v>-1458063797</v>
      </c>
      <c r="O731" s="42">
        <f>VLOOKUP($A731,'Neraca Unaudited SIMAK'!$A$2:$R$1272,14,FALSE)+IF(ISNA(VLOOKUP($A731,'Mutasi Neraca'!$A$3:$S$910,14,FALSE)),0,VLOOKUP($A731,'Mutasi Neraca'!$A$3:$S$910,14,FALSE))</f>
        <v>-777504088</v>
      </c>
      <c r="P731" s="42">
        <f>VLOOKUP($A731,'Neraca Unaudited SIMAK'!$A$2:$R$1272,15,FALSE)+IF(ISNA(VLOOKUP($A731,'Mutasi Neraca'!$A$3:$S$910,15,FALSE)),0,VLOOKUP($A731,'Mutasi Neraca'!$A$3:$S$910,15,FALSE))</f>
        <v>-3499738</v>
      </c>
      <c r="Q731" s="42">
        <f>VLOOKUP($A731,'Neraca Unaudited SIMAK'!$A$2:$R$1272,16,FALSE)+IF(ISNA(VLOOKUP($A731,'Mutasi Neraca'!$A$3:$S$910,16,FALSE)),0,VLOOKUP($A731,'Mutasi Neraca'!$A$3:$S$910,16,FALSE))</f>
        <v>0</v>
      </c>
      <c r="R731" s="42">
        <f>VLOOKUP($A731,'Neraca Unaudited SIMAK'!$A$2:$R$1272,17,FALSE)+IF(ISNA(VLOOKUP($A731,'Mutasi Neraca'!$A$3:$S$910,17,FALSE)),0,VLOOKUP($A731,'Mutasi Neraca'!$A$3:$S$910,17,FALSE))</f>
        <v>0</v>
      </c>
      <c r="S731" s="42">
        <f t="shared" si="65"/>
        <v>5773988926</v>
      </c>
    </row>
    <row r="732" spans="1:19">
      <c r="A732" s="41" t="s">
        <v>739</v>
      </c>
      <c r="B732" s="41" t="str">
        <f t="shared" si="64"/>
        <v>005012500</v>
      </c>
      <c r="D732" s="42">
        <f>VLOOKUP($A732,'Neraca Unaudited SIMAK'!$A$2:$R$1272,3,FALSE)+IF(ISNA(VLOOKUP($A732,'Mutasi Neraca'!$A$3:$S$910,3,FALSE)),0,VLOOKUP($A732,'Mutasi Neraca'!$A$3:$S$910,3,FALSE))</f>
        <v>91000</v>
      </c>
      <c r="E732" s="42">
        <f>VLOOKUP($A732,'Neraca Unaudited SIMAK'!$A$2:$R$1272,4,FALSE)+IF(ISNA(VLOOKUP($A732,'Mutasi Neraca'!$A$3:$S$910,4,FALSE)),0,VLOOKUP($A732,'Mutasi Neraca'!$A$3:$S$910,4,FALSE))</f>
        <v>206000000</v>
      </c>
      <c r="F732" s="42">
        <f>VLOOKUP($A732,'Neraca Unaudited SIMAK'!$A$2:$R$1272,5,FALSE)+IF(ISNA(VLOOKUP($A732,'Mutasi Neraca'!$A$3:$S$910,5,FALSE)),0,VLOOKUP($A732,'Mutasi Neraca'!$A$3:$S$910,5,FALSE))</f>
        <v>1142397895</v>
      </c>
      <c r="G732" s="42">
        <f>VLOOKUP($A732,'Neraca Unaudited SIMAK'!$A$2:$R$1272,6,FALSE)+IF(ISNA(VLOOKUP($A732,'Mutasi Neraca'!$A$3:$S$910,6,FALSE)),0,VLOOKUP($A732,'Mutasi Neraca'!$A$3:$S$910,6,FALSE))</f>
        <v>1235005665</v>
      </c>
      <c r="H732" s="42">
        <f>VLOOKUP($A732,'Neraca Unaudited SIMAK'!$A$2:$R$1272,7,FALSE)+IF(ISNA(VLOOKUP($A732,'Mutasi Neraca'!$A$3:$S$910,7,FALSE)),0,VLOOKUP($A732,'Mutasi Neraca'!$A$3:$S$910,7,FALSE))</f>
        <v>0</v>
      </c>
      <c r="I732" s="42">
        <f>VLOOKUP($A732,'Neraca Unaudited SIMAK'!$A$2:$R$1272,8,FALSE)+IF(ISNA(VLOOKUP($A732,'Mutasi Neraca'!$A$3:$S$910,8,FALSE)),0,VLOOKUP($A732,'Mutasi Neraca'!$A$3:$S$910,8,FALSE))</f>
        <v>4142670</v>
      </c>
      <c r="J732" s="42">
        <f>VLOOKUP($A732,'Neraca Unaudited SIMAK'!$A$2:$R$1272,9,FALSE)+IF(ISNA(VLOOKUP($A732,'Mutasi Neraca'!$A$3:$S$910,9,FALSE)),0,VLOOKUP($A732,'Mutasi Neraca'!$A$3:$S$910,9,FALSE))</f>
        <v>0</v>
      </c>
      <c r="K732" s="42">
        <f>VLOOKUP($A732,'Neraca Unaudited SIMAK'!$A$2:$R$1272,10,FALSE)+IF(ISNA(VLOOKUP($A732,'Mutasi Neraca'!$A$3:$S$910,10,FALSE)),0,VLOOKUP($A732,'Mutasi Neraca'!$A$3:$S$910,10,FALSE))</f>
        <v>8811000</v>
      </c>
      <c r="L732" s="42">
        <f>VLOOKUP($A732,'Neraca Unaudited SIMAK'!$A$2:$R$1272,11,FALSE)+IF(ISNA(VLOOKUP($A732,'Mutasi Neraca'!$A$3:$S$910,11,FALSE)),0,VLOOKUP($A732,'Mutasi Neraca'!$A$3:$S$910,11,FALSE))</f>
        <v>215260170</v>
      </c>
      <c r="M732" s="42">
        <f>VLOOKUP($A732,'Neraca Unaudited SIMAK'!$A$2:$R$1272,12,FALSE)+IF(ISNA(VLOOKUP($A732,'Mutasi Neraca'!$A$3:$S$910,12,FALSE)),0,VLOOKUP($A732,'Mutasi Neraca'!$A$3:$S$910,12,FALSE))</f>
        <v>2811708400</v>
      </c>
      <c r="N732" s="42">
        <f>VLOOKUP($A732,'Neraca Unaudited SIMAK'!$A$2:$R$1272,13,FALSE)+IF(ISNA(VLOOKUP($A732,'Mutasi Neraca'!$A$3:$S$910,13,FALSE)),0,VLOOKUP($A732,'Mutasi Neraca'!$A$3:$S$910,13,FALSE))</f>
        <v>-865110976</v>
      </c>
      <c r="O732" s="42">
        <f>VLOOKUP($A732,'Neraca Unaudited SIMAK'!$A$2:$R$1272,14,FALSE)+IF(ISNA(VLOOKUP($A732,'Mutasi Neraca'!$A$3:$S$910,14,FALSE)),0,VLOOKUP($A732,'Mutasi Neraca'!$A$3:$S$910,14,FALSE))</f>
        <v>-375059085</v>
      </c>
      <c r="P732" s="42">
        <f>VLOOKUP($A732,'Neraca Unaudited SIMAK'!$A$2:$R$1272,15,FALSE)+IF(ISNA(VLOOKUP($A732,'Mutasi Neraca'!$A$3:$S$910,15,FALSE)),0,VLOOKUP($A732,'Mutasi Neraca'!$A$3:$S$910,15,FALSE))</f>
        <v>0</v>
      </c>
      <c r="Q732" s="42">
        <f>VLOOKUP($A732,'Neraca Unaudited SIMAK'!$A$2:$R$1272,16,FALSE)+IF(ISNA(VLOOKUP($A732,'Mutasi Neraca'!$A$3:$S$910,16,FALSE)),0,VLOOKUP($A732,'Mutasi Neraca'!$A$3:$S$910,16,FALSE))</f>
        <v>0</v>
      </c>
      <c r="R732" s="42">
        <f>VLOOKUP($A732,'Neraca Unaudited SIMAK'!$A$2:$R$1272,17,FALSE)+IF(ISNA(VLOOKUP($A732,'Mutasi Neraca'!$A$3:$S$910,17,FALSE)),0,VLOOKUP($A732,'Mutasi Neraca'!$A$3:$S$910,17,FALSE))</f>
        <v>-215260170</v>
      </c>
      <c r="S732" s="42">
        <f t="shared" si="65"/>
        <v>1356278169</v>
      </c>
    </row>
    <row r="733" spans="1:19">
      <c r="A733" s="41" t="s">
        <v>740</v>
      </c>
      <c r="B733" s="41" t="str">
        <f t="shared" si="64"/>
        <v>005012500</v>
      </c>
      <c r="D733" s="42">
        <f>VLOOKUP($A733,'Neraca Unaudited SIMAK'!$A$2:$R$1272,3,FALSE)+IF(ISNA(VLOOKUP($A733,'Mutasi Neraca'!$A$3:$S$910,3,FALSE)),0,VLOOKUP($A733,'Mutasi Neraca'!$A$3:$S$910,3,FALSE))</f>
        <v>589000</v>
      </c>
      <c r="E733" s="42">
        <f>VLOOKUP($A733,'Neraca Unaudited SIMAK'!$A$2:$R$1272,4,FALSE)+IF(ISNA(VLOOKUP($A733,'Mutasi Neraca'!$A$3:$S$910,4,FALSE)),0,VLOOKUP($A733,'Mutasi Neraca'!$A$3:$S$910,4,FALSE))</f>
        <v>226500000</v>
      </c>
      <c r="F733" s="42">
        <f>VLOOKUP($A733,'Neraca Unaudited SIMAK'!$A$2:$R$1272,5,FALSE)+IF(ISNA(VLOOKUP($A733,'Mutasi Neraca'!$A$3:$S$910,5,FALSE)),0,VLOOKUP($A733,'Mutasi Neraca'!$A$3:$S$910,5,FALSE))</f>
        <v>1120636298</v>
      </c>
      <c r="G733" s="42">
        <f>VLOOKUP($A733,'Neraca Unaudited SIMAK'!$A$2:$R$1272,6,FALSE)+IF(ISNA(VLOOKUP($A733,'Mutasi Neraca'!$A$3:$S$910,6,FALSE)),0,VLOOKUP($A733,'Mutasi Neraca'!$A$3:$S$910,6,FALSE))</f>
        <v>5043910000</v>
      </c>
      <c r="H733" s="42">
        <f>VLOOKUP($A733,'Neraca Unaudited SIMAK'!$A$2:$R$1272,7,FALSE)+IF(ISNA(VLOOKUP($A733,'Mutasi Neraca'!$A$3:$S$910,7,FALSE)),0,VLOOKUP($A733,'Mutasi Neraca'!$A$3:$S$910,7,FALSE))</f>
        <v>0</v>
      </c>
      <c r="I733" s="42">
        <f>VLOOKUP($A733,'Neraca Unaudited SIMAK'!$A$2:$R$1272,8,FALSE)+IF(ISNA(VLOOKUP($A733,'Mutasi Neraca'!$A$3:$S$910,8,FALSE)),0,VLOOKUP($A733,'Mutasi Neraca'!$A$3:$S$910,8,FALSE))</f>
        <v>33671400</v>
      </c>
      <c r="J733" s="42">
        <f>VLOOKUP($A733,'Neraca Unaudited SIMAK'!$A$2:$R$1272,9,FALSE)+IF(ISNA(VLOOKUP($A733,'Mutasi Neraca'!$A$3:$S$910,9,FALSE)),0,VLOOKUP($A733,'Mutasi Neraca'!$A$3:$S$910,9,FALSE))</f>
        <v>0</v>
      </c>
      <c r="K733" s="42">
        <f>VLOOKUP($A733,'Neraca Unaudited SIMAK'!$A$2:$R$1272,10,FALSE)+IF(ISNA(VLOOKUP($A733,'Mutasi Neraca'!$A$3:$S$910,10,FALSE)),0,VLOOKUP($A733,'Mutasi Neraca'!$A$3:$S$910,10,FALSE))</f>
        <v>0</v>
      </c>
      <c r="L733" s="42">
        <f>VLOOKUP($A733,'Neraca Unaudited SIMAK'!$A$2:$R$1272,11,FALSE)+IF(ISNA(VLOOKUP($A733,'Mutasi Neraca'!$A$3:$S$910,11,FALSE)),0,VLOOKUP($A733,'Mutasi Neraca'!$A$3:$S$910,11,FALSE))</f>
        <v>740000</v>
      </c>
      <c r="M733" s="42">
        <f>VLOOKUP($A733,'Neraca Unaudited SIMAK'!$A$2:$R$1272,12,FALSE)+IF(ISNA(VLOOKUP($A733,'Mutasi Neraca'!$A$3:$S$910,12,FALSE)),0,VLOOKUP($A733,'Mutasi Neraca'!$A$3:$S$910,12,FALSE))</f>
        <v>6426046698</v>
      </c>
      <c r="N733" s="42">
        <f>VLOOKUP($A733,'Neraca Unaudited SIMAK'!$A$2:$R$1272,13,FALSE)+IF(ISNA(VLOOKUP($A733,'Mutasi Neraca'!$A$3:$S$910,13,FALSE)),0,VLOOKUP($A733,'Mutasi Neraca'!$A$3:$S$910,13,FALSE))</f>
        <v>-1029577248</v>
      </c>
      <c r="O733" s="42">
        <f>VLOOKUP($A733,'Neraca Unaudited SIMAK'!$A$2:$R$1272,14,FALSE)+IF(ISNA(VLOOKUP($A733,'Mutasi Neraca'!$A$3:$S$910,14,FALSE)),0,VLOOKUP($A733,'Mutasi Neraca'!$A$3:$S$910,14,FALSE))</f>
        <v>-1494450986</v>
      </c>
      <c r="P733" s="42">
        <f>VLOOKUP($A733,'Neraca Unaudited SIMAK'!$A$2:$R$1272,15,FALSE)+IF(ISNA(VLOOKUP($A733,'Mutasi Neraca'!$A$3:$S$910,15,FALSE)),0,VLOOKUP($A733,'Mutasi Neraca'!$A$3:$S$910,15,FALSE))</f>
        <v>0</v>
      </c>
      <c r="Q733" s="42">
        <f>VLOOKUP($A733,'Neraca Unaudited SIMAK'!$A$2:$R$1272,16,FALSE)+IF(ISNA(VLOOKUP($A733,'Mutasi Neraca'!$A$3:$S$910,16,FALSE)),0,VLOOKUP($A733,'Mutasi Neraca'!$A$3:$S$910,16,FALSE))</f>
        <v>0</v>
      </c>
      <c r="R733" s="42">
        <f>VLOOKUP($A733,'Neraca Unaudited SIMAK'!$A$2:$R$1272,17,FALSE)+IF(ISNA(VLOOKUP($A733,'Mutasi Neraca'!$A$3:$S$910,17,FALSE)),0,VLOOKUP($A733,'Mutasi Neraca'!$A$3:$S$910,17,FALSE))</f>
        <v>-740000</v>
      </c>
      <c r="S733" s="42">
        <f t="shared" si="65"/>
        <v>3901278464</v>
      </c>
    </row>
    <row r="734" spans="1:19">
      <c r="A734" s="41" t="s">
        <v>741</v>
      </c>
      <c r="B734" s="41" t="str">
        <f t="shared" si="64"/>
        <v>005012500</v>
      </c>
      <c r="D734" s="42">
        <f>VLOOKUP($A734,'Neraca Unaudited SIMAK'!$A$2:$R$1272,3,FALSE)+IF(ISNA(VLOOKUP($A734,'Mutasi Neraca'!$A$3:$S$910,3,FALSE)),0,VLOOKUP($A734,'Mutasi Neraca'!$A$3:$S$910,3,FALSE))</f>
        <v>8913000</v>
      </c>
      <c r="E734" s="42">
        <f>VLOOKUP($A734,'Neraca Unaudited SIMAK'!$A$2:$R$1272,4,FALSE)+IF(ISNA(VLOOKUP($A734,'Mutasi Neraca'!$A$3:$S$910,4,FALSE)),0,VLOOKUP($A734,'Mutasi Neraca'!$A$3:$S$910,4,FALSE))</f>
        <v>1631775000</v>
      </c>
      <c r="F734" s="42">
        <f>VLOOKUP($A734,'Neraca Unaudited SIMAK'!$A$2:$R$1272,5,FALSE)+IF(ISNA(VLOOKUP($A734,'Mutasi Neraca'!$A$3:$S$910,5,FALSE)),0,VLOOKUP($A734,'Mutasi Neraca'!$A$3:$S$910,5,FALSE))</f>
        <v>853550328</v>
      </c>
      <c r="G734" s="42">
        <f>VLOOKUP($A734,'Neraca Unaudited SIMAK'!$A$2:$R$1272,6,FALSE)+IF(ISNA(VLOOKUP($A734,'Mutasi Neraca'!$A$3:$S$910,6,FALSE)),0,VLOOKUP($A734,'Mutasi Neraca'!$A$3:$S$910,6,FALSE))</f>
        <v>3581127000</v>
      </c>
      <c r="H734" s="42">
        <f>VLOOKUP($A734,'Neraca Unaudited SIMAK'!$A$2:$R$1272,7,FALSE)+IF(ISNA(VLOOKUP($A734,'Mutasi Neraca'!$A$3:$S$910,7,FALSE)),0,VLOOKUP($A734,'Mutasi Neraca'!$A$3:$S$910,7,FALSE))</f>
        <v>0</v>
      </c>
      <c r="I734" s="42">
        <f>VLOOKUP($A734,'Neraca Unaudited SIMAK'!$A$2:$R$1272,8,FALSE)+IF(ISNA(VLOOKUP($A734,'Mutasi Neraca'!$A$3:$S$910,8,FALSE)),0,VLOOKUP($A734,'Mutasi Neraca'!$A$3:$S$910,8,FALSE))</f>
        <v>2828676</v>
      </c>
      <c r="J734" s="42">
        <f>VLOOKUP($A734,'Neraca Unaudited SIMAK'!$A$2:$R$1272,9,FALSE)+IF(ISNA(VLOOKUP($A734,'Mutasi Neraca'!$A$3:$S$910,9,FALSE)),0,VLOOKUP($A734,'Mutasi Neraca'!$A$3:$S$910,9,FALSE))</f>
        <v>997646800</v>
      </c>
      <c r="K734" s="42">
        <f>VLOOKUP($A734,'Neraca Unaudited SIMAK'!$A$2:$R$1272,10,FALSE)+IF(ISNA(VLOOKUP($A734,'Mutasi Neraca'!$A$3:$S$910,10,FALSE)),0,VLOOKUP($A734,'Mutasi Neraca'!$A$3:$S$910,10,FALSE))</f>
        <v>0</v>
      </c>
      <c r="L734" s="42">
        <f>VLOOKUP($A734,'Neraca Unaudited SIMAK'!$A$2:$R$1272,11,FALSE)+IF(ISNA(VLOOKUP($A734,'Mutasi Neraca'!$A$3:$S$910,11,FALSE)),0,VLOOKUP($A734,'Mutasi Neraca'!$A$3:$S$910,11,FALSE))</f>
        <v>0</v>
      </c>
      <c r="M734" s="42">
        <f>VLOOKUP($A734,'Neraca Unaudited SIMAK'!$A$2:$R$1272,12,FALSE)+IF(ISNA(VLOOKUP($A734,'Mutasi Neraca'!$A$3:$S$910,12,FALSE)),0,VLOOKUP($A734,'Mutasi Neraca'!$A$3:$S$910,12,FALSE))</f>
        <v>7075840804</v>
      </c>
      <c r="N734" s="42">
        <f>VLOOKUP($A734,'Neraca Unaudited SIMAK'!$A$2:$R$1272,13,FALSE)+IF(ISNA(VLOOKUP($A734,'Mutasi Neraca'!$A$3:$S$910,13,FALSE)),0,VLOOKUP($A734,'Mutasi Neraca'!$A$3:$S$910,13,FALSE))</f>
        <v>-745524976</v>
      </c>
      <c r="O734" s="42">
        <f>VLOOKUP($A734,'Neraca Unaudited SIMAK'!$A$2:$R$1272,14,FALSE)+IF(ISNA(VLOOKUP($A734,'Mutasi Neraca'!$A$3:$S$910,14,FALSE)),0,VLOOKUP($A734,'Mutasi Neraca'!$A$3:$S$910,14,FALSE))</f>
        <v>-1024057101</v>
      </c>
      <c r="P734" s="42">
        <f>VLOOKUP($A734,'Neraca Unaudited SIMAK'!$A$2:$R$1272,15,FALSE)+IF(ISNA(VLOOKUP($A734,'Mutasi Neraca'!$A$3:$S$910,15,FALSE)),0,VLOOKUP($A734,'Mutasi Neraca'!$A$3:$S$910,15,FALSE))</f>
        <v>0</v>
      </c>
      <c r="Q734" s="42">
        <f>VLOOKUP($A734,'Neraca Unaudited SIMAK'!$A$2:$R$1272,16,FALSE)+IF(ISNA(VLOOKUP($A734,'Mutasi Neraca'!$A$3:$S$910,16,FALSE)),0,VLOOKUP($A734,'Mutasi Neraca'!$A$3:$S$910,16,FALSE))</f>
        <v>0</v>
      </c>
      <c r="R734" s="42">
        <f>VLOOKUP($A734,'Neraca Unaudited SIMAK'!$A$2:$R$1272,17,FALSE)+IF(ISNA(VLOOKUP($A734,'Mutasi Neraca'!$A$3:$S$910,17,FALSE)),0,VLOOKUP($A734,'Mutasi Neraca'!$A$3:$S$910,17,FALSE))</f>
        <v>0</v>
      </c>
      <c r="S734" s="42">
        <f t="shared" si="65"/>
        <v>5306258727</v>
      </c>
    </row>
    <row r="735" spans="1:19">
      <c r="A735" s="41" t="s">
        <v>742</v>
      </c>
      <c r="B735" s="41" t="str">
        <f t="shared" si="64"/>
        <v>005012500</v>
      </c>
      <c r="D735" s="42">
        <f>VLOOKUP($A735,'Neraca Unaudited SIMAK'!$A$2:$R$1272,3,FALSE)+IF(ISNA(VLOOKUP($A735,'Mutasi Neraca'!$A$3:$S$910,3,FALSE)),0,VLOOKUP($A735,'Mutasi Neraca'!$A$3:$S$910,3,FALSE))</f>
        <v>543000</v>
      </c>
      <c r="E735" s="42">
        <f>VLOOKUP($A735,'Neraca Unaudited SIMAK'!$A$2:$R$1272,4,FALSE)+IF(ISNA(VLOOKUP($A735,'Mutasi Neraca'!$A$3:$S$910,4,FALSE)),0,VLOOKUP($A735,'Mutasi Neraca'!$A$3:$S$910,4,FALSE))</f>
        <v>48680000</v>
      </c>
      <c r="F735" s="42">
        <f>VLOOKUP($A735,'Neraca Unaudited SIMAK'!$A$2:$R$1272,5,FALSE)+IF(ISNA(VLOOKUP($A735,'Mutasi Neraca'!$A$3:$S$910,5,FALSE)),0,VLOOKUP($A735,'Mutasi Neraca'!$A$3:$S$910,5,FALSE))</f>
        <v>1627774084</v>
      </c>
      <c r="G735" s="42">
        <f>VLOOKUP($A735,'Neraca Unaudited SIMAK'!$A$2:$R$1272,6,FALSE)+IF(ISNA(VLOOKUP($A735,'Mutasi Neraca'!$A$3:$S$910,6,FALSE)),0,VLOOKUP($A735,'Mutasi Neraca'!$A$3:$S$910,6,FALSE))</f>
        <v>7983759350</v>
      </c>
      <c r="H735" s="42">
        <f>VLOOKUP($A735,'Neraca Unaudited SIMAK'!$A$2:$R$1272,7,FALSE)+IF(ISNA(VLOOKUP($A735,'Mutasi Neraca'!$A$3:$S$910,7,FALSE)),0,VLOOKUP($A735,'Mutasi Neraca'!$A$3:$S$910,7,FALSE))</f>
        <v>0</v>
      </c>
      <c r="I735" s="42">
        <f>VLOOKUP($A735,'Neraca Unaudited SIMAK'!$A$2:$R$1272,8,FALSE)+IF(ISNA(VLOOKUP($A735,'Mutasi Neraca'!$A$3:$S$910,8,FALSE)),0,VLOOKUP($A735,'Mutasi Neraca'!$A$3:$S$910,8,FALSE))</f>
        <v>1459270</v>
      </c>
      <c r="J735" s="42">
        <f>VLOOKUP($A735,'Neraca Unaudited SIMAK'!$A$2:$R$1272,9,FALSE)+IF(ISNA(VLOOKUP($A735,'Mutasi Neraca'!$A$3:$S$910,9,FALSE)),0,VLOOKUP($A735,'Mutasi Neraca'!$A$3:$S$910,9,FALSE))</f>
        <v>0</v>
      </c>
      <c r="K735" s="42">
        <f>VLOOKUP($A735,'Neraca Unaudited SIMAK'!$A$2:$R$1272,10,FALSE)+IF(ISNA(VLOOKUP($A735,'Mutasi Neraca'!$A$3:$S$910,10,FALSE)),0,VLOOKUP($A735,'Mutasi Neraca'!$A$3:$S$910,10,FALSE))</f>
        <v>0</v>
      </c>
      <c r="L735" s="42">
        <f>VLOOKUP($A735,'Neraca Unaudited SIMAK'!$A$2:$R$1272,11,FALSE)+IF(ISNA(VLOOKUP($A735,'Mutasi Neraca'!$A$3:$S$910,11,FALSE)),0,VLOOKUP($A735,'Mutasi Neraca'!$A$3:$S$910,11,FALSE))</f>
        <v>166192000</v>
      </c>
      <c r="M735" s="42">
        <f>VLOOKUP($A735,'Neraca Unaudited SIMAK'!$A$2:$R$1272,12,FALSE)+IF(ISNA(VLOOKUP($A735,'Mutasi Neraca'!$A$3:$S$910,12,FALSE)),0,VLOOKUP($A735,'Mutasi Neraca'!$A$3:$S$910,12,FALSE))</f>
        <v>9828407704</v>
      </c>
      <c r="N735" s="42">
        <f>VLOOKUP($A735,'Neraca Unaudited SIMAK'!$A$2:$R$1272,13,FALSE)+IF(ISNA(VLOOKUP($A735,'Mutasi Neraca'!$A$3:$S$910,13,FALSE)),0,VLOOKUP($A735,'Mutasi Neraca'!$A$3:$S$910,13,FALSE))</f>
        <v>-934632660</v>
      </c>
      <c r="O735" s="42">
        <f>VLOOKUP($A735,'Neraca Unaudited SIMAK'!$A$2:$R$1272,14,FALSE)+IF(ISNA(VLOOKUP($A735,'Mutasi Neraca'!$A$3:$S$910,14,FALSE)),0,VLOOKUP($A735,'Mutasi Neraca'!$A$3:$S$910,14,FALSE))</f>
        <v>-1498778577</v>
      </c>
      <c r="P735" s="42">
        <f>VLOOKUP($A735,'Neraca Unaudited SIMAK'!$A$2:$R$1272,15,FALSE)+IF(ISNA(VLOOKUP($A735,'Mutasi Neraca'!$A$3:$S$910,15,FALSE)),0,VLOOKUP($A735,'Mutasi Neraca'!$A$3:$S$910,15,FALSE))</f>
        <v>0</v>
      </c>
      <c r="Q735" s="42">
        <f>VLOOKUP($A735,'Neraca Unaudited SIMAK'!$A$2:$R$1272,16,FALSE)+IF(ISNA(VLOOKUP($A735,'Mutasi Neraca'!$A$3:$S$910,16,FALSE)),0,VLOOKUP($A735,'Mutasi Neraca'!$A$3:$S$910,16,FALSE))</f>
        <v>0</v>
      </c>
      <c r="R735" s="42">
        <f>VLOOKUP($A735,'Neraca Unaudited SIMAK'!$A$2:$R$1272,17,FALSE)+IF(ISNA(VLOOKUP($A735,'Mutasi Neraca'!$A$3:$S$910,17,FALSE)),0,VLOOKUP($A735,'Mutasi Neraca'!$A$3:$S$910,17,FALSE))</f>
        <v>-140094500</v>
      </c>
      <c r="S735" s="42">
        <f t="shared" si="65"/>
        <v>7254901967</v>
      </c>
    </row>
    <row r="736" spans="1:19">
      <c r="A736" s="41" t="s">
        <v>743</v>
      </c>
      <c r="B736" s="41" t="str">
        <f t="shared" si="64"/>
        <v>005012500</v>
      </c>
      <c r="D736" s="42">
        <f>VLOOKUP($A736,'Neraca Unaudited SIMAK'!$A$2:$R$1272,3,FALSE)+IF(ISNA(VLOOKUP($A736,'Mutasi Neraca'!$A$3:$S$910,3,FALSE)),0,VLOOKUP($A736,'Mutasi Neraca'!$A$3:$S$910,3,FALSE))</f>
        <v>128000</v>
      </c>
      <c r="E736" s="42">
        <f>VLOOKUP($A736,'Neraca Unaudited SIMAK'!$A$2:$R$1272,4,FALSE)+IF(ISNA(VLOOKUP($A736,'Mutasi Neraca'!$A$3:$S$910,4,FALSE)),0,VLOOKUP($A736,'Mutasi Neraca'!$A$3:$S$910,4,FALSE))</f>
        <v>666785000</v>
      </c>
      <c r="F736" s="42">
        <f>VLOOKUP($A736,'Neraca Unaudited SIMAK'!$A$2:$R$1272,5,FALSE)+IF(ISNA(VLOOKUP($A736,'Mutasi Neraca'!$A$3:$S$910,5,FALSE)),0,VLOOKUP($A736,'Mutasi Neraca'!$A$3:$S$910,5,FALSE))</f>
        <v>2069551253</v>
      </c>
      <c r="G736" s="42">
        <f>VLOOKUP($A736,'Neraca Unaudited SIMAK'!$A$2:$R$1272,6,FALSE)+IF(ISNA(VLOOKUP($A736,'Mutasi Neraca'!$A$3:$S$910,6,FALSE)),0,VLOOKUP($A736,'Mutasi Neraca'!$A$3:$S$910,6,FALSE))</f>
        <v>12756665800</v>
      </c>
      <c r="H736" s="42">
        <f>VLOOKUP($A736,'Neraca Unaudited SIMAK'!$A$2:$R$1272,7,FALSE)+IF(ISNA(VLOOKUP($A736,'Mutasi Neraca'!$A$3:$S$910,7,FALSE)),0,VLOOKUP($A736,'Mutasi Neraca'!$A$3:$S$910,7,FALSE))</f>
        <v>0</v>
      </c>
      <c r="I736" s="42">
        <f>VLOOKUP($A736,'Neraca Unaudited SIMAK'!$A$2:$R$1272,8,FALSE)+IF(ISNA(VLOOKUP($A736,'Mutasi Neraca'!$A$3:$S$910,8,FALSE)),0,VLOOKUP($A736,'Mutasi Neraca'!$A$3:$S$910,8,FALSE))</f>
        <v>1585270</v>
      </c>
      <c r="J736" s="42">
        <f>VLOOKUP($A736,'Neraca Unaudited SIMAK'!$A$2:$R$1272,9,FALSE)+IF(ISNA(VLOOKUP($A736,'Mutasi Neraca'!$A$3:$S$910,9,FALSE)),0,VLOOKUP($A736,'Mutasi Neraca'!$A$3:$S$910,9,FALSE))</f>
        <v>0</v>
      </c>
      <c r="K736" s="42">
        <f>VLOOKUP($A736,'Neraca Unaudited SIMAK'!$A$2:$R$1272,10,FALSE)+IF(ISNA(VLOOKUP($A736,'Mutasi Neraca'!$A$3:$S$910,10,FALSE)),0,VLOOKUP($A736,'Mutasi Neraca'!$A$3:$S$910,10,FALSE))</f>
        <v>0</v>
      </c>
      <c r="L736" s="42">
        <f>VLOOKUP($A736,'Neraca Unaudited SIMAK'!$A$2:$R$1272,11,FALSE)+IF(ISNA(VLOOKUP($A736,'Mutasi Neraca'!$A$3:$S$910,11,FALSE)),0,VLOOKUP($A736,'Mutasi Neraca'!$A$3:$S$910,11,FALSE))</f>
        <v>129876000</v>
      </c>
      <c r="M736" s="42">
        <f>VLOOKUP($A736,'Neraca Unaudited SIMAK'!$A$2:$R$1272,12,FALSE)+IF(ISNA(VLOOKUP($A736,'Mutasi Neraca'!$A$3:$S$910,12,FALSE)),0,VLOOKUP($A736,'Mutasi Neraca'!$A$3:$S$910,12,FALSE))</f>
        <v>15624591323</v>
      </c>
      <c r="N736" s="42">
        <f>VLOOKUP($A736,'Neraca Unaudited SIMAK'!$A$2:$R$1272,13,FALSE)+IF(ISNA(VLOOKUP($A736,'Mutasi Neraca'!$A$3:$S$910,13,FALSE)),0,VLOOKUP($A736,'Mutasi Neraca'!$A$3:$S$910,13,FALSE))</f>
        <v>-1028330925</v>
      </c>
      <c r="O736" s="42">
        <f>VLOOKUP($A736,'Neraca Unaudited SIMAK'!$A$2:$R$1272,14,FALSE)+IF(ISNA(VLOOKUP($A736,'Mutasi Neraca'!$A$3:$S$910,14,FALSE)),0,VLOOKUP($A736,'Mutasi Neraca'!$A$3:$S$910,14,FALSE))</f>
        <v>-678742040</v>
      </c>
      <c r="P736" s="42">
        <f>VLOOKUP($A736,'Neraca Unaudited SIMAK'!$A$2:$R$1272,15,FALSE)+IF(ISNA(VLOOKUP($A736,'Mutasi Neraca'!$A$3:$S$910,15,FALSE)),0,VLOOKUP($A736,'Mutasi Neraca'!$A$3:$S$910,15,FALSE))</f>
        <v>0</v>
      </c>
      <c r="Q736" s="42">
        <f>VLOOKUP($A736,'Neraca Unaudited SIMAK'!$A$2:$R$1272,16,FALSE)+IF(ISNA(VLOOKUP($A736,'Mutasi Neraca'!$A$3:$S$910,16,FALSE)),0,VLOOKUP($A736,'Mutasi Neraca'!$A$3:$S$910,16,FALSE))</f>
        <v>0</v>
      </c>
      <c r="R736" s="42">
        <f>VLOOKUP($A736,'Neraca Unaudited SIMAK'!$A$2:$R$1272,17,FALSE)+IF(ISNA(VLOOKUP($A736,'Mutasi Neraca'!$A$3:$S$910,17,FALSE)),0,VLOOKUP($A736,'Mutasi Neraca'!$A$3:$S$910,17,FALSE))</f>
        <v>-129876000</v>
      </c>
      <c r="S736" s="42">
        <f t="shared" si="65"/>
        <v>13787642358</v>
      </c>
    </row>
    <row r="737" spans="1:19">
      <c r="A737" s="41" t="s">
        <v>744</v>
      </c>
      <c r="B737" s="41" t="str">
        <f t="shared" si="64"/>
        <v>005012500</v>
      </c>
      <c r="D737" s="42">
        <f>VLOOKUP($A737,'Neraca Unaudited SIMAK'!$A$2:$R$1272,3,FALSE)+IF(ISNA(VLOOKUP($A737,'Mutasi Neraca'!$A$3:$S$910,3,FALSE)),0,VLOOKUP($A737,'Mutasi Neraca'!$A$3:$S$910,3,FALSE))</f>
        <v>135000</v>
      </c>
      <c r="E737" s="42">
        <f>VLOOKUP($A737,'Neraca Unaudited SIMAK'!$A$2:$R$1272,4,FALSE)+IF(ISNA(VLOOKUP($A737,'Mutasi Neraca'!$A$3:$S$910,4,FALSE)),0,VLOOKUP($A737,'Mutasi Neraca'!$A$3:$S$910,4,FALSE))</f>
        <v>2459200000</v>
      </c>
      <c r="F737" s="42">
        <f>VLOOKUP($A737,'Neraca Unaudited SIMAK'!$A$2:$R$1272,5,FALSE)+IF(ISNA(VLOOKUP($A737,'Mutasi Neraca'!$A$3:$S$910,5,FALSE)),0,VLOOKUP($A737,'Mutasi Neraca'!$A$3:$S$910,5,FALSE))</f>
        <v>2138154138</v>
      </c>
      <c r="G737" s="42">
        <f>VLOOKUP($A737,'Neraca Unaudited SIMAK'!$A$2:$R$1272,6,FALSE)+IF(ISNA(VLOOKUP($A737,'Mutasi Neraca'!$A$3:$S$910,6,FALSE)),0,VLOOKUP($A737,'Mutasi Neraca'!$A$3:$S$910,6,FALSE))</f>
        <v>1051600000</v>
      </c>
      <c r="H737" s="42">
        <f>VLOOKUP($A737,'Neraca Unaudited SIMAK'!$A$2:$R$1272,7,FALSE)+IF(ISNA(VLOOKUP($A737,'Mutasi Neraca'!$A$3:$S$910,7,FALSE)),0,VLOOKUP($A737,'Mutasi Neraca'!$A$3:$S$910,7,FALSE))</f>
        <v>0</v>
      </c>
      <c r="I737" s="42">
        <f>VLOOKUP($A737,'Neraca Unaudited SIMAK'!$A$2:$R$1272,8,FALSE)+IF(ISNA(VLOOKUP($A737,'Mutasi Neraca'!$A$3:$S$910,8,FALSE)),0,VLOOKUP($A737,'Mutasi Neraca'!$A$3:$S$910,8,FALSE))</f>
        <v>2683400</v>
      </c>
      <c r="J737" s="42">
        <f>VLOOKUP($A737,'Neraca Unaudited SIMAK'!$A$2:$R$1272,9,FALSE)+IF(ISNA(VLOOKUP($A737,'Mutasi Neraca'!$A$3:$S$910,9,FALSE)),0,VLOOKUP($A737,'Mutasi Neraca'!$A$3:$S$910,9,FALSE))</f>
        <v>9468936220</v>
      </c>
      <c r="K737" s="42">
        <f>VLOOKUP($A737,'Neraca Unaudited SIMAK'!$A$2:$R$1272,10,FALSE)+IF(ISNA(VLOOKUP($A737,'Mutasi Neraca'!$A$3:$S$910,10,FALSE)),0,VLOOKUP($A737,'Mutasi Neraca'!$A$3:$S$910,10,FALSE))</f>
        <v>68750000</v>
      </c>
      <c r="L737" s="42">
        <f>VLOOKUP($A737,'Neraca Unaudited SIMAK'!$A$2:$R$1272,11,FALSE)+IF(ISNA(VLOOKUP($A737,'Mutasi Neraca'!$A$3:$S$910,11,FALSE)),0,VLOOKUP($A737,'Mutasi Neraca'!$A$3:$S$910,11,FALSE))</f>
        <v>245465500</v>
      </c>
      <c r="M737" s="42">
        <f>VLOOKUP($A737,'Neraca Unaudited SIMAK'!$A$2:$R$1272,12,FALSE)+IF(ISNA(VLOOKUP($A737,'Mutasi Neraca'!$A$3:$S$910,12,FALSE)),0,VLOOKUP($A737,'Mutasi Neraca'!$A$3:$S$910,12,FALSE))</f>
        <v>15434924258</v>
      </c>
      <c r="N737" s="42">
        <f>VLOOKUP($A737,'Neraca Unaudited SIMAK'!$A$2:$R$1272,13,FALSE)+IF(ISNA(VLOOKUP($A737,'Mutasi Neraca'!$A$3:$S$910,13,FALSE)),0,VLOOKUP($A737,'Mutasi Neraca'!$A$3:$S$910,13,FALSE))</f>
        <v>-1772689157</v>
      </c>
      <c r="O737" s="42">
        <f>VLOOKUP($A737,'Neraca Unaudited SIMAK'!$A$2:$R$1272,14,FALSE)+IF(ISNA(VLOOKUP($A737,'Mutasi Neraca'!$A$3:$S$910,14,FALSE)),0,VLOOKUP($A737,'Mutasi Neraca'!$A$3:$S$910,14,FALSE))</f>
        <v>-472844000</v>
      </c>
      <c r="P737" s="42">
        <f>VLOOKUP($A737,'Neraca Unaudited SIMAK'!$A$2:$R$1272,15,FALSE)+IF(ISNA(VLOOKUP($A737,'Mutasi Neraca'!$A$3:$S$910,15,FALSE)),0,VLOOKUP($A737,'Mutasi Neraca'!$A$3:$S$910,15,FALSE))</f>
        <v>0</v>
      </c>
      <c r="Q737" s="42">
        <f>VLOOKUP($A737,'Neraca Unaudited SIMAK'!$A$2:$R$1272,16,FALSE)+IF(ISNA(VLOOKUP($A737,'Mutasi Neraca'!$A$3:$S$910,16,FALSE)),0,VLOOKUP($A737,'Mutasi Neraca'!$A$3:$S$910,16,FALSE))</f>
        <v>0</v>
      </c>
      <c r="R737" s="42">
        <f>VLOOKUP($A737,'Neraca Unaudited SIMAK'!$A$2:$R$1272,17,FALSE)+IF(ISNA(VLOOKUP($A737,'Mutasi Neraca'!$A$3:$S$910,17,FALSE)),0,VLOOKUP($A737,'Mutasi Neraca'!$A$3:$S$910,17,FALSE))</f>
        <v>-236164725</v>
      </c>
      <c r="S737" s="42">
        <f t="shared" si="65"/>
        <v>12953226376</v>
      </c>
    </row>
    <row r="738" spans="1:19">
      <c r="A738" s="41" t="s">
        <v>745</v>
      </c>
      <c r="B738" s="41" t="str">
        <f t="shared" si="64"/>
        <v>005012500</v>
      </c>
      <c r="D738" s="42">
        <f>VLOOKUP($A738,'Neraca Unaudited SIMAK'!$A$2:$R$1272,3,FALSE)+IF(ISNA(VLOOKUP($A738,'Mutasi Neraca'!$A$3:$S$910,3,FALSE)),0,VLOOKUP($A738,'Mutasi Neraca'!$A$3:$S$910,3,FALSE))</f>
        <v>550000</v>
      </c>
      <c r="E738" s="42">
        <f>VLOOKUP($A738,'Neraca Unaudited SIMAK'!$A$2:$R$1272,4,FALSE)+IF(ISNA(VLOOKUP($A738,'Mutasi Neraca'!$A$3:$S$910,4,FALSE)),0,VLOOKUP($A738,'Mutasi Neraca'!$A$3:$S$910,4,FALSE))</f>
        <v>2810600000</v>
      </c>
      <c r="F738" s="42">
        <f>VLOOKUP($A738,'Neraca Unaudited SIMAK'!$A$2:$R$1272,5,FALSE)+IF(ISNA(VLOOKUP($A738,'Mutasi Neraca'!$A$3:$S$910,5,FALSE)),0,VLOOKUP($A738,'Mutasi Neraca'!$A$3:$S$910,5,FALSE))</f>
        <v>2206877677</v>
      </c>
      <c r="G738" s="42">
        <f>VLOOKUP($A738,'Neraca Unaudited SIMAK'!$A$2:$R$1272,6,FALSE)+IF(ISNA(VLOOKUP($A738,'Mutasi Neraca'!$A$3:$S$910,6,FALSE)),0,VLOOKUP($A738,'Mutasi Neraca'!$A$3:$S$910,6,FALSE))</f>
        <v>9668656000</v>
      </c>
      <c r="H738" s="42">
        <f>VLOOKUP($A738,'Neraca Unaudited SIMAK'!$A$2:$R$1272,7,FALSE)+IF(ISNA(VLOOKUP($A738,'Mutasi Neraca'!$A$3:$S$910,7,FALSE)),0,VLOOKUP($A738,'Mutasi Neraca'!$A$3:$S$910,7,FALSE))</f>
        <v>0</v>
      </c>
      <c r="I738" s="42">
        <f>VLOOKUP($A738,'Neraca Unaudited SIMAK'!$A$2:$R$1272,8,FALSE)+IF(ISNA(VLOOKUP($A738,'Mutasi Neraca'!$A$3:$S$910,8,FALSE)),0,VLOOKUP($A738,'Mutasi Neraca'!$A$3:$S$910,8,FALSE))</f>
        <v>4287946</v>
      </c>
      <c r="J738" s="42">
        <f>VLOOKUP($A738,'Neraca Unaudited SIMAK'!$A$2:$R$1272,9,FALSE)+IF(ISNA(VLOOKUP($A738,'Mutasi Neraca'!$A$3:$S$910,9,FALSE)),0,VLOOKUP($A738,'Mutasi Neraca'!$A$3:$S$910,9,FALSE))</f>
        <v>0</v>
      </c>
      <c r="K738" s="42">
        <f>VLOOKUP($A738,'Neraca Unaudited SIMAK'!$A$2:$R$1272,10,FALSE)+IF(ISNA(VLOOKUP($A738,'Mutasi Neraca'!$A$3:$S$910,10,FALSE)),0,VLOOKUP($A738,'Mutasi Neraca'!$A$3:$S$910,10,FALSE))</f>
        <v>0</v>
      </c>
      <c r="L738" s="42">
        <f>VLOOKUP($A738,'Neraca Unaudited SIMAK'!$A$2:$R$1272,11,FALSE)+IF(ISNA(VLOOKUP($A738,'Mutasi Neraca'!$A$3:$S$910,11,FALSE)),0,VLOOKUP($A738,'Mutasi Neraca'!$A$3:$S$910,11,FALSE))</f>
        <v>0</v>
      </c>
      <c r="M738" s="42">
        <f>VLOOKUP($A738,'Neraca Unaudited SIMAK'!$A$2:$R$1272,12,FALSE)+IF(ISNA(VLOOKUP($A738,'Mutasi Neraca'!$A$3:$S$910,12,FALSE)),0,VLOOKUP($A738,'Mutasi Neraca'!$A$3:$S$910,12,FALSE))</f>
        <v>14690971623</v>
      </c>
      <c r="N738" s="42">
        <f>VLOOKUP($A738,'Neraca Unaudited SIMAK'!$A$2:$R$1272,13,FALSE)+IF(ISNA(VLOOKUP($A738,'Mutasi Neraca'!$A$3:$S$910,13,FALSE)),0,VLOOKUP($A738,'Mutasi Neraca'!$A$3:$S$910,13,FALSE))</f>
        <v>-909603316</v>
      </c>
      <c r="O738" s="42">
        <f>VLOOKUP($A738,'Neraca Unaudited SIMAK'!$A$2:$R$1272,14,FALSE)+IF(ISNA(VLOOKUP($A738,'Mutasi Neraca'!$A$3:$S$910,14,FALSE)),0,VLOOKUP($A738,'Mutasi Neraca'!$A$3:$S$910,14,FALSE))</f>
        <v>-539924722</v>
      </c>
      <c r="P738" s="42">
        <f>VLOOKUP($A738,'Neraca Unaudited SIMAK'!$A$2:$R$1272,15,FALSE)+IF(ISNA(VLOOKUP($A738,'Mutasi Neraca'!$A$3:$S$910,15,FALSE)),0,VLOOKUP($A738,'Mutasi Neraca'!$A$3:$S$910,15,FALSE))</f>
        <v>0</v>
      </c>
      <c r="Q738" s="42">
        <f>VLOOKUP($A738,'Neraca Unaudited SIMAK'!$A$2:$R$1272,16,FALSE)+IF(ISNA(VLOOKUP($A738,'Mutasi Neraca'!$A$3:$S$910,16,FALSE)),0,VLOOKUP($A738,'Mutasi Neraca'!$A$3:$S$910,16,FALSE))</f>
        <v>0</v>
      </c>
      <c r="R738" s="42">
        <f>VLOOKUP($A738,'Neraca Unaudited SIMAK'!$A$2:$R$1272,17,FALSE)+IF(ISNA(VLOOKUP($A738,'Mutasi Neraca'!$A$3:$S$910,17,FALSE)),0,VLOOKUP($A738,'Mutasi Neraca'!$A$3:$S$910,17,FALSE))</f>
        <v>0</v>
      </c>
      <c r="S738" s="42">
        <f t="shared" si="65"/>
        <v>13241443585</v>
      </c>
    </row>
    <row r="739" spans="1:19">
      <c r="A739" s="41" t="s">
        <v>746</v>
      </c>
      <c r="B739" s="41" t="str">
        <f t="shared" si="64"/>
        <v>005012500</v>
      </c>
      <c r="D739" s="42">
        <f>VLOOKUP($A739,'Neraca Unaudited SIMAK'!$A$2:$R$1272,3,FALSE)+IF(ISNA(VLOOKUP($A739,'Mutasi Neraca'!$A$3:$S$910,3,FALSE)),0,VLOOKUP($A739,'Mutasi Neraca'!$A$3:$S$910,3,FALSE))</f>
        <v>2452000</v>
      </c>
      <c r="E739" s="42">
        <f>VLOOKUP($A739,'Neraca Unaudited SIMAK'!$A$2:$R$1272,4,FALSE)+IF(ISNA(VLOOKUP($A739,'Mutasi Neraca'!$A$3:$S$910,4,FALSE)),0,VLOOKUP($A739,'Mutasi Neraca'!$A$3:$S$910,4,FALSE))</f>
        <v>2591570000</v>
      </c>
      <c r="F739" s="42">
        <f>VLOOKUP($A739,'Neraca Unaudited SIMAK'!$A$2:$R$1272,5,FALSE)+IF(ISNA(VLOOKUP($A739,'Mutasi Neraca'!$A$3:$S$910,5,FALSE)),0,VLOOKUP($A739,'Mutasi Neraca'!$A$3:$S$910,5,FALSE))</f>
        <v>1160337211</v>
      </c>
      <c r="G739" s="42">
        <f>VLOOKUP($A739,'Neraca Unaudited SIMAK'!$A$2:$R$1272,6,FALSE)+IF(ISNA(VLOOKUP($A739,'Mutasi Neraca'!$A$3:$S$910,6,FALSE)),0,VLOOKUP($A739,'Mutasi Neraca'!$A$3:$S$910,6,FALSE))</f>
        <v>12562774702</v>
      </c>
      <c r="H739" s="42">
        <f>VLOOKUP($A739,'Neraca Unaudited SIMAK'!$A$2:$R$1272,7,FALSE)+IF(ISNA(VLOOKUP($A739,'Mutasi Neraca'!$A$3:$S$910,7,FALSE)),0,VLOOKUP($A739,'Mutasi Neraca'!$A$3:$S$910,7,FALSE))</f>
        <v>25000000</v>
      </c>
      <c r="I739" s="42">
        <f>VLOOKUP($A739,'Neraca Unaudited SIMAK'!$A$2:$R$1272,8,FALSE)+IF(ISNA(VLOOKUP($A739,'Mutasi Neraca'!$A$3:$S$910,8,FALSE)),0,VLOOKUP($A739,'Mutasi Neraca'!$A$3:$S$910,8,FALSE))</f>
        <v>1459270</v>
      </c>
      <c r="J739" s="42">
        <f>VLOOKUP($A739,'Neraca Unaudited SIMAK'!$A$2:$R$1272,9,FALSE)+IF(ISNA(VLOOKUP($A739,'Mutasi Neraca'!$A$3:$S$910,9,FALSE)),0,VLOOKUP($A739,'Mutasi Neraca'!$A$3:$S$910,9,FALSE))</f>
        <v>0</v>
      </c>
      <c r="K739" s="42">
        <f>VLOOKUP($A739,'Neraca Unaudited SIMAK'!$A$2:$R$1272,10,FALSE)+IF(ISNA(VLOOKUP($A739,'Mutasi Neraca'!$A$3:$S$910,10,FALSE)),0,VLOOKUP($A739,'Mutasi Neraca'!$A$3:$S$910,10,FALSE))</f>
        <v>0</v>
      </c>
      <c r="L739" s="42">
        <f>VLOOKUP($A739,'Neraca Unaudited SIMAK'!$A$2:$R$1272,11,FALSE)+IF(ISNA(VLOOKUP($A739,'Mutasi Neraca'!$A$3:$S$910,11,FALSE)),0,VLOOKUP($A739,'Mutasi Neraca'!$A$3:$S$910,11,FALSE))</f>
        <v>22383000</v>
      </c>
      <c r="M739" s="42">
        <f>VLOOKUP($A739,'Neraca Unaudited SIMAK'!$A$2:$R$1272,12,FALSE)+IF(ISNA(VLOOKUP($A739,'Mutasi Neraca'!$A$3:$S$910,12,FALSE)),0,VLOOKUP($A739,'Mutasi Neraca'!$A$3:$S$910,12,FALSE))</f>
        <v>16365976183</v>
      </c>
      <c r="N739" s="42">
        <f>VLOOKUP($A739,'Neraca Unaudited SIMAK'!$A$2:$R$1272,13,FALSE)+IF(ISNA(VLOOKUP($A739,'Mutasi Neraca'!$A$3:$S$910,13,FALSE)),0,VLOOKUP($A739,'Mutasi Neraca'!$A$3:$S$910,13,FALSE))</f>
        <v>-863638097</v>
      </c>
      <c r="O739" s="42">
        <f>VLOOKUP($A739,'Neraca Unaudited SIMAK'!$A$2:$R$1272,14,FALSE)+IF(ISNA(VLOOKUP($A739,'Mutasi Neraca'!$A$3:$S$910,14,FALSE)),0,VLOOKUP($A739,'Mutasi Neraca'!$A$3:$S$910,14,FALSE))</f>
        <v>-349107747</v>
      </c>
      <c r="P739" s="42">
        <f>VLOOKUP($A739,'Neraca Unaudited SIMAK'!$A$2:$R$1272,15,FALSE)+IF(ISNA(VLOOKUP($A739,'Mutasi Neraca'!$A$3:$S$910,15,FALSE)),0,VLOOKUP($A739,'Mutasi Neraca'!$A$3:$S$910,15,FALSE))</f>
        <v>-3750000</v>
      </c>
      <c r="Q739" s="42">
        <f>VLOOKUP($A739,'Neraca Unaudited SIMAK'!$A$2:$R$1272,16,FALSE)+IF(ISNA(VLOOKUP($A739,'Mutasi Neraca'!$A$3:$S$910,16,FALSE)),0,VLOOKUP($A739,'Mutasi Neraca'!$A$3:$S$910,16,FALSE))</f>
        <v>0</v>
      </c>
      <c r="R739" s="42">
        <f>VLOOKUP($A739,'Neraca Unaudited SIMAK'!$A$2:$R$1272,17,FALSE)+IF(ISNA(VLOOKUP($A739,'Mutasi Neraca'!$A$3:$S$910,17,FALSE)),0,VLOOKUP($A739,'Mutasi Neraca'!$A$3:$S$910,17,FALSE))</f>
        <v>-22383000</v>
      </c>
      <c r="S739" s="42">
        <f t="shared" si="65"/>
        <v>15127097339</v>
      </c>
    </row>
    <row r="740" spans="1:19">
      <c r="A740" s="41" t="s">
        <v>747</v>
      </c>
      <c r="B740" s="41" t="str">
        <f t="shared" si="64"/>
        <v>005012500</v>
      </c>
      <c r="D740" s="42">
        <f>VLOOKUP($A740,'Neraca Unaudited SIMAK'!$A$2:$R$1272,3,FALSE)+IF(ISNA(VLOOKUP($A740,'Mutasi Neraca'!$A$3:$S$910,3,FALSE)),0,VLOOKUP($A740,'Mutasi Neraca'!$A$3:$S$910,3,FALSE))</f>
        <v>3724900</v>
      </c>
      <c r="E740" s="42">
        <f>VLOOKUP($A740,'Neraca Unaudited SIMAK'!$A$2:$R$1272,4,FALSE)+IF(ISNA(VLOOKUP($A740,'Mutasi Neraca'!$A$3:$S$910,4,FALSE)),0,VLOOKUP($A740,'Mutasi Neraca'!$A$3:$S$910,4,FALSE))</f>
        <v>1430000000</v>
      </c>
      <c r="F740" s="42">
        <f>VLOOKUP($A740,'Neraca Unaudited SIMAK'!$A$2:$R$1272,5,FALSE)+IF(ISNA(VLOOKUP($A740,'Mutasi Neraca'!$A$3:$S$910,5,FALSE)),0,VLOOKUP($A740,'Mutasi Neraca'!$A$3:$S$910,5,FALSE))</f>
        <v>856704375</v>
      </c>
      <c r="G740" s="42">
        <f>VLOOKUP($A740,'Neraca Unaudited SIMAK'!$A$2:$R$1272,6,FALSE)+IF(ISNA(VLOOKUP($A740,'Mutasi Neraca'!$A$3:$S$910,6,FALSE)),0,VLOOKUP($A740,'Mutasi Neraca'!$A$3:$S$910,6,FALSE))</f>
        <v>0</v>
      </c>
      <c r="H740" s="42">
        <f>VLOOKUP($A740,'Neraca Unaudited SIMAK'!$A$2:$R$1272,7,FALSE)+IF(ISNA(VLOOKUP($A740,'Mutasi Neraca'!$A$3:$S$910,7,FALSE)),0,VLOOKUP($A740,'Mutasi Neraca'!$A$3:$S$910,7,FALSE))</f>
        <v>0</v>
      </c>
      <c r="I740" s="42">
        <f>VLOOKUP($A740,'Neraca Unaudited SIMAK'!$A$2:$R$1272,8,FALSE)+IF(ISNA(VLOOKUP($A740,'Mutasi Neraca'!$A$3:$S$910,8,FALSE)),0,VLOOKUP($A740,'Mutasi Neraca'!$A$3:$S$910,8,FALSE))</f>
        <v>19347520</v>
      </c>
      <c r="J740" s="42">
        <f>VLOOKUP($A740,'Neraca Unaudited SIMAK'!$A$2:$R$1272,9,FALSE)+IF(ISNA(VLOOKUP($A740,'Mutasi Neraca'!$A$3:$S$910,9,FALSE)),0,VLOOKUP($A740,'Mutasi Neraca'!$A$3:$S$910,9,FALSE))</f>
        <v>15172072404</v>
      </c>
      <c r="K740" s="42">
        <f>VLOOKUP($A740,'Neraca Unaudited SIMAK'!$A$2:$R$1272,10,FALSE)+IF(ISNA(VLOOKUP($A740,'Mutasi Neraca'!$A$3:$S$910,10,FALSE)),0,VLOOKUP($A740,'Mutasi Neraca'!$A$3:$S$910,10,FALSE))</f>
        <v>0</v>
      </c>
      <c r="L740" s="42">
        <f>VLOOKUP($A740,'Neraca Unaudited SIMAK'!$A$2:$R$1272,11,FALSE)+IF(ISNA(VLOOKUP($A740,'Mutasi Neraca'!$A$3:$S$910,11,FALSE)),0,VLOOKUP($A740,'Mutasi Neraca'!$A$3:$S$910,11,FALSE))</f>
        <v>178592134</v>
      </c>
      <c r="M740" s="42">
        <f>VLOOKUP($A740,'Neraca Unaudited SIMAK'!$A$2:$R$1272,12,FALSE)+IF(ISNA(VLOOKUP($A740,'Mutasi Neraca'!$A$3:$S$910,12,FALSE)),0,VLOOKUP($A740,'Mutasi Neraca'!$A$3:$S$910,12,FALSE))</f>
        <v>17660441333</v>
      </c>
      <c r="N740" s="42">
        <f>VLOOKUP($A740,'Neraca Unaudited SIMAK'!$A$2:$R$1272,13,FALSE)+IF(ISNA(VLOOKUP($A740,'Mutasi Neraca'!$A$3:$S$910,13,FALSE)),0,VLOOKUP($A740,'Mutasi Neraca'!$A$3:$S$910,13,FALSE))</f>
        <v>-789292364</v>
      </c>
      <c r="O740" s="42">
        <f>VLOOKUP($A740,'Neraca Unaudited SIMAK'!$A$2:$R$1272,14,FALSE)+IF(ISNA(VLOOKUP($A740,'Mutasi Neraca'!$A$3:$S$910,14,FALSE)),0,VLOOKUP($A740,'Mutasi Neraca'!$A$3:$S$910,14,FALSE))</f>
        <v>0</v>
      </c>
      <c r="P740" s="42">
        <f>VLOOKUP($A740,'Neraca Unaudited SIMAK'!$A$2:$R$1272,15,FALSE)+IF(ISNA(VLOOKUP($A740,'Mutasi Neraca'!$A$3:$S$910,15,FALSE)),0,VLOOKUP($A740,'Mutasi Neraca'!$A$3:$S$910,15,FALSE))</f>
        <v>0</v>
      </c>
      <c r="Q740" s="42">
        <f>VLOOKUP($A740,'Neraca Unaudited SIMAK'!$A$2:$R$1272,16,FALSE)+IF(ISNA(VLOOKUP($A740,'Mutasi Neraca'!$A$3:$S$910,16,FALSE)),0,VLOOKUP($A740,'Mutasi Neraca'!$A$3:$S$910,16,FALSE))</f>
        <v>0</v>
      </c>
      <c r="R740" s="42">
        <f>VLOOKUP($A740,'Neraca Unaudited SIMAK'!$A$2:$R$1272,17,FALSE)+IF(ISNA(VLOOKUP($A740,'Mutasi Neraca'!$A$3:$S$910,17,FALSE)),0,VLOOKUP($A740,'Mutasi Neraca'!$A$3:$S$910,17,FALSE))</f>
        <v>-178592134</v>
      </c>
      <c r="S740" s="42">
        <f t="shared" si="65"/>
        <v>16692556835</v>
      </c>
    </row>
    <row r="741" spans="1:19">
      <c r="A741" s="41" t="s">
        <v>748</v>
      </c>
      <c r="B741" s="41" t="str">
        <f t="shared" si="64"/>
        <v>005012500</v>
      </c>
      <c r="D741" s="42">
        <f>VLOOKUP($A741,'Neraca Unaudited SIMAK'!$A$2:$R$1272,3,FALSE)+IF(ISNA(VLOOKUP($A741,'Mutasi Neraca'!$A$3:$S$910,3,FALSE)),0,VLOOKUP($A741,'Mutasi Neraca'!$A$3:$S$910,3,FALSE))</f>
        <v>6862500</v>
      </c>
      <c r="E741" s="42">
        <f>VLOOKUP($A741,'Neraca Unaudited SIMAK'!$A$2:$R$1272,4,FALSE)+IF(ISNA(VLOOKUP($A741,'Mutasi Neraca'!$A$3:$S$910,4,FALSE)),0,VLOOKUP($A741,'Mutasi Neraca'!$A$3:$S$910,4,FALSE))</f>
        <v>1107000000</v>
      </c>
      <c r="F741" s="42">
        <f>VLOOKUP($A741,'Neraca Unaudited SIMAK'!$A$2:$R$1272,5,FALSE)+IF(ISNA(VLOOKUP($A741,'Mutasi Neraca'!$A$3:$S$910,5,FALSE)),0,VLOOKUP($A741,'Mutasi Neraca'!$A$3:$S$910,5,FALSE))</f>
        <v>1696030863</v>
      </c>
      <c r="G741" s="42">
        <f>VLOOKUP($A741,'Neraca Unaudited SIMAK'!$A$2:$R$1272,6,FALSE)+IF(ISNA(VLOOKUP($A741,'Mutasi Neraca'!$A$3:$S$910,6,FALSE)),0,VLOOKUP($A741,'Mutasi Neraca'!$A$3:$S$910,6,FALSE))</f>
        <v>13825518500</v>
      </c>
      <c r="H741" s="42">
        <f>VLOOKUP($A741,'Neraca Unaudited SIMAK'!$A$2:$R$1272,7,FALSE)+IF(ISNA(VLOOKUP($A741,'Mutasi Neraca'!$A$3:$S$910,7,FALSE)),0,VLOOKUP($A741,'Mutasi Neraca'!$A$3:$S$910,7,FALSE))</f>
        <v>0</v>
      </c>
      <c r="I741" s="42">
        <f>VLOOKUP($A741,'Neraca Unaudited SIMAK'!$A$2:$R$1272,8,FALSE)+IF(ISNA(VLOOKUP($A741,'Mutasi Neraca'!$A$3:$S$910,8,FALSE)),0,VLOOKUP($A741,'Mutasi Neraca'!$A$3:$S$910,8,FALSE))</f>
        <v>1943440</v>
      </c>
      <c r="J741" s="42">
        <f>VLOOKUP($A741,'Neraca Unaudited SIMAK'!$A$2:$R$1272,9,FALSE)+IF(ISNA(VLOOKUP($A741,'Mutasi Neraca'!$A$3:$S$910,9,FALSE)),0,VLOOKUP($A741,'Mutasi Neraca'!$A$3:$S$910,9,FALSE))</f>
        <v>5045144100</v>
      </c>
      <c r="K741" s="42">
        <f>VLOOKUP($A741,'Neraca Unaudited SIMAK'!$A$2:$R$1272,10,FALSE)+IF(ISNA(VLOOKUP($A741,'Mutasi Neraca'!$A$3:$S$910,10,FALSE)),0,VLOOKUP($A741,'Mutasi Neraca'!$A$3:$S$910,10,FALSE))</f>
        <v>0</v>
      </c>
      <c r="L741" s="42">
        <f>VLOOKUP($A741,'Neraca Unaudited SIMAK'!$A$2:$R$1272,11,FALSE)+IF(ISNA(VLOOKUP($A741,'Mutasi Neraca'!$A$3:$S$910,11,FALSE)),0,VLOOKUP($A741,'Mutasi Neraca'!$A$3:$S$910,11,FALSE))</f>
        <v>0</v>
      </c>
      <c r="M741" s="42">
        <f>VLOOKUP($A741,'Neraca Unaudited SIMAK'!$A$2:$R$1272,12,FALSE)+IF(ISNA(VLOOKUP($A741,'Mutasi Neraca'!$A$3:$S$910,12,FALSE)),0,VLOOKUP($A741,'Mutasi Neraca'!$A$3:$S$910,12,FALSE))</f>
        <v>21682499403</v>
      </c>
      <c r="N741" s="42">
        <f>VLOOKUP($A741,'Neraca Unaudited SIMAK'!$A$2:$R$1272,13,FALSE)+IF(ISNA(VLOOKUP($A741,'Mutasi Neraca'!$A$3:$S$910,13,FALSE)),0,VLOOKUP($A741,'Mutasi Neraca'!$A$3:$S$910,13,FALSE))</f>
        <v>-1370240585</v>
      </c>
      <c r="O741" s="42">
        <f>VLOOKUP($A741,'Neraca Unaudited SIMAK'!$A$2:$R$1272,14,FALSE)+IF(ISNA(VLOOKUP($A741,'Mutasi Neraca'!$A$3:$S$910,14,FALSE)),0,VLOOKUP($A741,'Mutasi Neraca'!$A$3:$S$910,14,FALSE))</f>
        <v>-3529101115</v>
      </c>
      <c r="P741" s="42">
        <f>VLOOKUP($A741,'Neraca Unaudited SIMAK'!$A$2:$R$1272,15,FALSE)+IF(ISNA(VLOOKUP($A741,'Mutasi Neraca'!$A$3:$S$910,15,FALSE)),0,VLOOKUP($A741,'Mutasi Neraca'!$A$3:$S$910,15,FALSE))</f>
        <v>0</v>
      </c>
      <c r="Q741" s="42">
        <f>VLOOKUP($A741,'Neraca Unaudited SIMAK'!$A$2:$R$1272,16,FALSE)+IF(ISNA(VLOOKUP($A741,'Mutasi Neraca'!$A$3:$S$910,16,FALSE)),0,VLOOKUP($A741,'Mutasi Neraca'!$A$3:$S$910,16,FALSE))</f>
        <v>0</v>
      </c>
      <c r="R741" s="42">
        <f>VLOOKUP($A741,'Neraca Unaudited SIMAK'!$A$2:$R$1272,17,FALSE)+IF(ISNA(VLOOKUP($A741,'Mutasi Neraca'!$A$3:$S$910,17,FALSE)),0,VLOOKUP($A741,'Mutasi Neraca'!$A$3:$S$910,17,FALSE))</f>
        <v>0</v>
      </c>
      <c r="S741" s="42">
        <f t="shared" si="65"/>
        <v>16783157703</v>
      </c>
    </row>
    <row r="742" spans="1:19">
      <c r="A742" s="41" t="s">
        <v>749</v>
      </c>
      <c r="B742" s="41" t="str">
        <f t="shared" si="64"/>
        <v>005012500</v>
      </c>
      <c r="D742" s="42">
        <f>VLOOKUP($A742,'Neraca Unaudited SIMAK'!$A$2:$R$1272,3,FALSE)+IF(ISNA(VLOOKUP($A742,'Mutasi Neraca'!$A$3:$S$910,3,FALSE)),0,VLOOKUP($A742,'Mutasi Neraca'!$A$3:$S$910,3,FALSE))</f>
        <v>0</v>
      </c>
      <c r="E742" s="42">
        <f>VLOOKUP($A742,'Neraca Unaudited SIMAK'!$A$2:$R$1272,4,FALSE)+IF(ISNA(VLOOKUP($A742,'Mutasi Neraca'!$A$3:$S$910,4,FALSE)),0,VLOOKUP($A742,'Mutasi Neraca'!$A$3:$S$910,4,FALSE))</f>
        <v>1299700000</v>
      </c>
      <c r="F742" s="42">
        <f>VLOOKUP($A742,'Neraca Unaudited SIMAK'!$A$2:$R$1272,5,FALSE)+IF(ISNA(VLOOKUP($A742,'Mutasi Neraca'!$A$3:$S$910,5,FALSE)),0,VLOOKUP($A742,'Mutasi Neraca'!$A$3:$S$910,5,FALSE))</f>
        <v>1813534218</v>
      </c>
      <c r="G742" s="42">
        <f>VLOOKUP($A742,'Neraca Unaudited SIMAK'!$A$2:$R$1272,6,FALSE)+IF(ISNA(VLOOKUP($A742,'Mutasi Neraca'!$A$3:$S$910,6,FALSE)),0,VLOOKUP($A742,'Mutasi Neraca'!$A$3:$S$910,6,FALSE))</f>
        <v>0</v>
      </c>
      <c r="H742" s="42">
        <f>VLOOKUP($A742,'Neraca Unaudited SIMAK'!$A$2:$R$1272,7,FALSE)+IF(ISNA(VLOOKUP($A742,'Mutasi Neraca'!$A$3:$S$910,7,FALSE)),0,VLOOKUP($A742,'Mutasi Neraca'!$A$3:$S$910,7,FALSE))</f>
        <v>0</v>
      </c>
      <c r="I742" s="42">
        <f>VLOOKUP($A742,'Neraca Unaudited SIMAK'!$A$2:$R$1272,8,FALSE)+IF(ISNA(VLOOKUP($A742,'Mutasi Neraca'!$A$3:$S$910,8,FALSE)),0,VLOOKUP($A742,'Mutasi Neraca'!$A$3:$S$910,8,FALSE))</f>
        <v>2828678</v>
      </c>
      <c r="J742" s="42">
        <f>VLOOKUP($A742,'Neraca Unaudited SIMAK'!$A$2:$R$1272,9,FALSE)+IF(ISNA(VLOOKUP($A742,'Mutasi Neraca'!$A$3:$S$910,9,FALSE)),0,VLOOKUP($A742,'Mutasi Neraca'!$A$3:$S$910,9,FALSE))</f>
        <v>0</v>
      </c>
      <c r="K742" s="42">
        <f>VLOOKUP($A742,'Neraca Unaudited SIMAK'!$A$2:$R$1272,10,FALSE)+IF(ISNA(VLOOKUP($A742,'Mutasi Neraca'!$A$3:$S$910,10,FALSE)),0,VLOOKUP($A742,'Mutasi Neraca'!$A$3:$S$910,10,FALSE))</f>
        <v>113750000</v>
      </c>
      <c r="L742" s="42">
        <f>VLOOKUP($A742,'Neraca Unaudited SIMAK'!$A$2:$R$1272,11,FALSE)+IF(ISNA(VLOOKUP($A742,'Mutasi Neraca'!$A$3:$S$910,11,FALSE)),0,VLOOKUP($A742,'Mutasi Neraca'!$A$3:$S$910,11,FALSE))</f>
        <v>226752545</v>
      </c>
      <c r="M742" s="42">
        <f>VLOOKUP($A742,'Neraca Unaudited SIMAK'!$A$2:$R$1272,12,FALSE)+IF(ISNA(VLOOKUP($A742,'Mutasi Neraca'!$A$3:$S$910,12,FALSE)),0,VLOOKUP($A742,'Mutasi Neraca'!$A$3:$S$910,12,FALSE))</f>
        <v>3456565441</v>
      </c>
      <c r="N742" s="42">
        <f>VLOOKUP($A742,'Neraca Unaudited SIMAK'!$A$2:$R$1272,13,FALSE)+IF(ISNA(VLOOKUP($A742,'Mutasi Neraca'!$A$3:$S$910,13,FALSE)),0,VLOOKUP($A742,'Mutasi Neraca'!$A$3:$S$910,13,FALSE))</f>
        <v>-1479285809</v>
      </c>
      <c r="O742" s="42">
        <f>VLOOKUP($A742,'Neraca Unaudited SIMAK'!$A$2:$R$1272,14,FALSE)+IF(ISNA(VLOOKUP($A742,'Mutasi Neraca'!$A$3:$S$910,14,FALSE)),0,VLOOKUP($A742,'Mutasi Neraca'!$A$3:$S$910,14,FALSE))</f>
        <v>0</v>
      </c>
      <c r="P742" s="42">
        <f>VLOOKUP($A742,'Neraca Unaudited SIMAK'!$A$2:$R$1272,15,FALSE)+IF(ISNA(VLOOKUP($A742,'Mutasi Neraca'!$A$3:$S$910,15,FALSE)),0,VLOOKUP($A742,'Mutasi Neraca'!$A$3:$S$910,15,FALSE))</f>
        <v>0</v>
      </c>
      <c r="Q742" s="42">
        <f>VLOOKUP($A742,'Neraca Unaudited SIMAK'!$A$2:$R$1272,16,FALSE)+IF(ISNA(VLOOKUP($A742,'Mutasi Neraca'!$A$3:$S$910,16,FALSE)),0,VLOOKUP($A742,'Mutasi Neraca'!$A$3:$S$910,16,FALSE))</f>
        <v>0</v>
      </c>
      <c r="R742" s="42">
        <f>VLOOKUP($A742,'Neraca Unaudited SIMAK'!$A$2:$R$1272,17,FALSE)+IF(ISNA(VLOOKUP($A742,'Mutasi Neraca'!$A$3:$S$910,17,FALSE)),0,VLOOKUP($A742,'Mutasi Neraca'!$A$3:$S$910,17,FALSE))</f>
        <v>-225252545</v>
      </c>
      <c r="S742" s="42">
        <f t="shared" si="65"/>
        <v>1752027087</v>
      </c>
    </row>
    <row r="743" spans="1:19">
      <c r="A743" s="41" t="s">
        <v>750</v>
      </c>
      <c r="B743" s="41" t="str">
        <f t="shared" si="64"/>
        <v>005012500</v>
      </c>
      <c r="D743" s="42">
        <f>VLOOKUP($A743,'Neraca Unaudited SIMAK'!$A$2:$R$1272,3,FALSE)+IF(ISNA(VLOOKUP($A743,'Mutasi Neraca'!$A$3:$S$910,3,FALSE)),0,VLOOKUP($A743,'Mutasi Neraca'!$A$3:$S$910,3,FALSE))</f>
        <v>9841823</v>
      </c>
      <c r="E743" s="42">
        <f>VLOOKUP($A743,'Neraca Unaudited SIMAK'!$A$2:$R$1272,4,FALSE)+IF(ISNA(VLOOKUP($A743,'Mutasi Neraca'!$A$3:$S$910,4,FALSE)),0,VLOOKUP($A743,'Mutasi Neraca'!$A$3:$S$910,4,FALSE))</f>
        <v>364658000</v>
      </c>
      <c r="F743" s="42">
        <f>VLOOKUP($A743,'Neraca Unaudited SIMAK'!$A$2:$R$1272,5,FALSE)+IF(ISNA(VLOOKUP($A743,'Mutasi Neraca'!$A$3:$S$910,5,FALSE)),0,VLOOKUP($A743,'Mutasi Neraca'!$A$3:$S$910,5,FALSE))</f>
        <v>1849769023</v>
      </c>
      <c r="G743" s="42">
        <f>VLOOKUP($A743,'Neraca Unaudited SIMAK'!$A$2:$R$1272,6,FALSE)+IF(ISNA(VLOOKUP($A743,'Mutasi Neraca'!$A$3:$S$910,6,FALSE)),0,VLOOKUP($A743,'Mutasi Neraca'!$A$3:$S$910,6,FALSE))</f>
        <v>0</v>
      </c>
      <c r="H743" s="42">
        <f>VLOOKUP($A743,'Neraca Unaudited SIMAK'!$A$2:$R$1272,7,FALSE)+IF(ISNA(VLOOKUP($A743,'Mutasi Neraca'!$A$3:$S$910,7,FALSE)),0,VLOOKUP($A743,'Mutasi Neraca'!$A$3:$S$910,7,FALSE))</f>
        <v>0</v>
      </c>
      <c r="I743" s="42">
        <f>VLOOKUP($A743,'Neraca Unaudited SIMAK'!$A$2:$R$1272,8,FALSE)+IF(ISNA(VLOOKUP($A743,'Mutasi Neraca'!$A$3:$S$910,8,FALSE)),0,VLOOKUP($A743,'Mutasi Neraca'!$A$3:$S$910,8,FALSE))</f>
        <v>1367820</v>
      </c>
      <c r="J743" s="42">
        <f>VLOOKUP($A743,'Neraca Unaudited SIMAK'!$A$2:$R$1272,9,FALSE)+IF(ISNA(VLOOKUP($A743,'Mutasi Neraca'!$A$3:$S$910,9,FALSE)),0,VLOOKUP($A743,'Mutasi Neraca'!$A$3:$S$910,9,FALSE))</f>
        <v>13737171700</v>
      </c>
      <c r="K743" s="42">
        <f>VLOOKUP($A743,'Neraca Unaudited SIMAK'!$A$2:$R$1272,10,FALSE)+IF(ISNA(VLOOKUP($A743,'Mutasi Neraca'!$A$3:$S$910,10,FALSE)),0,VLOOKUP($A743,'Mutasi Neraca'!$A$3:$S$910,10,FALSE))</f>
        <v>0</v>
      </c>
      <c r="L743" s="42">
        <f>VLOOKUP($A743,'Neraca Unaudited SIMAK'!$A$2:$R$1272,11,FALSE)+IF(ISNA(VLOOKUP($A743,'Mutasi Neraca'!$A$3:$S$910,11,FALSE)),0,VLOOKUP($A743,'Mutasi Neraca'!$A$3:$S$910,11,FALSE))</f>
        <v>0</v>
      </c>
      <c r="M743" s="42">
        <f>VLOOKUP($A743,'Neraca Unaudited SIMAK'!$A$2:$R$1272,12,FALSE)+IF(ISNA(VLOOKUP($A743,'Mutasi Neraca'!$A$3:$S$910,12,FALSE)),0,VLOOKUP($A743,'Mutasi Neraca'!$A$3:$S$910,12,FALSE))</f>
        <v>15962808366</v>
      </c>
      <c r="N743" s="42">
        <f>VLOOKUP($A743,'Neraca Unaudited SIMAK'!$A$2:$R$1272,13,FALSE)+IF(ISNA(VLOOKUP($A743,'Mutasi Neraca'!$A$3:$S$910,13,FALSE)),0,VLOOKUP($A743,'Mutasi Neraca'!$A$3:$S$910,13,FALSE))</f>
        <v>-549471937</v>
      </c>
      <c r="O743" s="42">
        <f>VLOOKUP($A743,'Neraca Unaudited SIMAK'!$A$2:$R$1272,14,FALSE)+IF(ISNA(VLOOKUP($A743,'Mutasi Neraca'!$A$3:$S$910,14,FALSE)),0,VLOOKUP($A743,'Mutasi Neraca'!$A$3:$S$910,14,FALSE))</f>
        <v>0</v>
      </c>
      <c r="P743" s="42">
        <f>VLOOKUP($A743,'Neraca Unaudited SIMAK'!$A$2:$R$1272,15,FALSE)+IF(ISNA(VLOOKUP($A743,'Mutasi Neraca'!$A$3:$S$910,15,FALSE)),0,VLOOKUP($A743,'Mutasi Neraca'!$A$3:$S$910,15,FALSE))</f>
        <v>0</v>
      </c>
      <c r="Q743" s="42">
        <f>VLOOKUP($A743,'Neraca Unaudited SIMAK'!$A$2:$R$1272,16,FALSE)+IF(ISNA(VLOOKUP($A743,'Mutasi Neraca'!$A$3:$S$910,16,FALSE)),0,VLOOKUP($A743,'Mutasi Neraca'!$A$3:$S$910,16,FALSE))</f>
        <v>0</v>
      </c>
      <c r="R743" s="42">
        <f>VLOOKUP($A743,'Neraca Unaudited SIMAK'!$A$2:$R$1272,17,FALSE)+IF(ISNA(VLOOKUP($A743,'Mutasi Neraca'!$A$3:$S$910,17,FALSE)),0,VLOOKUP($A743,'Mutasi Neraca'!$A$3:$S$910,17,FALSE))</f>
        <v>0</v>
      </c>
      <c r="S743" s="42">
        <f t="shared" si="65"/>
        <v>15413336429</v>
      </c>
    </row>
    <row r="744" spans="1:19">
      <c r="A744" s="41" t="s">
        <v>751</v>
      </c>
      <c r="B744" s="41" t="str">
        <f t="shared" si="64"/>
        <v>005012600</v>
      </c>
      <c r="D744" s="42">
        <f>VLOOKUP($A744,'Neraca Unaudited SIMAK'!$A$2:$R$1272,3,FALSE)+IF(ISNA(VLOOKUP($A744,'Mutasi Neraca'!$A$3:$S$910,3,FALSE)),0,VLOOKUP($A744,'Mutasi Neraca'!$A$3:$S$910,3,FALSE))</f>
        <v>12950400</v>
      </c>
      <c r="E744" s="42">
        <f>VLOOKUP($A744,'Neraca Unaudited SIMAK'!$A$2:$R$1272,4,FALSE)+IF(ISNA(VLOOKUP($A744,'Mutasi Neraca'!$A$3:$S$910,4,FALSE)),0,VLOOKUP($A744,'Mutasi Neraca'!$A$3:$S$910,4,FALSE))</f>
        <v>201314000</v>
      </c>
      <c r="F744" s="42">
        <f>VLOOKUP($A744,'Neraca Unaudited SIMAK'!$A$2:$R$1272,5,FALSE)+IF(ISNA(VLOOKUP($A744,'Mutasi Neraca'!$A$3:$S$910,5,FALSE)),0,VLOOKUP($A744,'Mutasi Neraca'!$A$3:$S$910,5,FALSE))</f>
        <v>1248225307</v>
      </c>
      <c r="G744" s="42">
        <f>VLOOKUP($A744,'Neraca Unaudited SIMAK'!$A$2:$R$1272,6,FALSE)+IF(ISNA(VLOOKUP($A744,'Mutasi Neraca'!$A$3:$S$910,6,FALSE)),0,VLOOKUP($A744,'Mutasi Neraca'!$A$3:$S$910,6,FALSE))</f>
        <v>4403338525</v>
      </c>
      <c r="H744" s="42">
        <f>VLOOKUP($A744,'Neraca Unaudited SIMAK'!$A$2:$R$1272,7,FALSE)+IF(ISNA(VLOOKUP($A744,'Mutasi Neraca'!$A$3:$S$910,7,FALSE)),0,VLOOKUP($A744,'Mutasi Neraca'!$A$3:$S$910,7,FALSE))</f>
        <v>0</v>
      </c>
      <c r="I744" s="42">
        <f>VLOOKUP($A744,'Neraca Unaudited SIMAK'!$A$2:$R$1272,8,FALSE)+IF(ISNA(VLOOKUP($A744,'Mutasi Neraca'!$A$3:$S$910,8,FALSE)),0,VLOOKUP($A744,'Mutasi Neraca'!$A$3:$S$910,8,FALSE))</f>
        <v>42242848</v>
      </c>
      <c r="J744" s="42">
        <f>VLOOKUP($A744,'Neraca Unaudited SIMAK'!$A$2:$R$1272,9,FALSE)+IF(ISNA(VLOOKUP($A744,'Mutasi Neraca'!$A$3:$S$910,9,FALSE)),0,VLOOKUP($A744,'Mutasi Neraca'!$A$3:$S$910,9,FALSE))</f>
        <v>0</v>
      </c>
      <c r="K744" s="42">
        <f>VLOOKUP($A744,'Neraca Unaudited SIMAK'!$A$2:$R$1272,10,FALSE)+IF(ISNA(VLOOKUP($A744,'Mutasi Neraca'!$A$3:$S$910,10,FALSE)),0,VLOOKUP($A744,'Mutasi Neraca'!$A$3:$S$910,10,FALSE))</f>
        <v>13000000</v>
      </c>
      <c r="L744" s="42">
        <f>VLOOKUP($A744,'Neraca Unaudited SIMAK'!$A$2:$R$1272,11,FALSE)+IF(ISNA(VLOOKUP($A744,'Mutasi Neraca'!$A$3:$S$910,11,FALSE)),0,VLOOKUP($A744,'Mutasi Neraca'!$A$3:$S$910,11,FALSE))</f>
        <v>112162325</v>
      </c>
      <c r="M744" s="42">
        <f>VLOOKUP($A744,'Neraca Unaudited SIMAK'!$A$2:$R$1272,12,FALSE)+IF(ISNA(VLOOKUP($A744,'Mutasi Neraca'!$A$3:$S$910,12,FALSE)),0,VLOOKUP($A744,'Mutasi Neraca'!$A$3:$S$910,12,FALSE))</f>
        <v>6033233405</v>
      </c>
      <c r="N744" s="42">
        <f>VLOOKUP($A744,'Neraca Unaudited SIMAK'!$A$2:$R$1272,13,FALSE)+IF(ISNA(VLOOKUP($A744,'Mutasi Neraca'!$A$3:$S$910,13,FALSE)),0,VLOOKUP($A744,'Mutasi Neraca'!$A$3:$S$910,13,FALSE))</f>
        <v>-1052513613</v>
      </c>
      <c r="O744" s="42">
        <f>VLOOKUP($A744,'Neraca Unaudited SIMAK'!$A$2:$R$1272,14,FALSE)+IF(ISNA(VLOOKUP($A744,'Mutasi Neraca'!$A$3:$S$910,14,FALSE)),0,VLOOKUP($A744,'Mutasi Neraca'!$A$3:$S$910,14,FALSE))</f>
        <v>-1059664985</v>
      </c>
      <c r="P744" s="42">
        <f>VLOOKUP($A744,'Neraca Unaudited SIMAK'!$A$2:$R$1272,15,FALSE)+IF(ISNA(VLOOKUP($A744,'Mutasi Neraca'!$A$3:$S$910,15,FALSE)),0,VLOOKUP($A744,'Mutasi Neraca'!$A$3:$S$910,15,FALSE))</f>
        <v>0</v>
      </c>
      <c r="Q744" s="42">
        <f>VLOOKUP($A744,'Neraca Unaudited SIMAK'!$A$2:$R$1272,16,FALSE)+IF(ISNA(VLOOKUP($A744,'Mutasi Neraca'!$A$3:$S$910,16,FALSE)),0,VLOOKUP($A744,'Mutasi Neraca'!$A$3:$S$910,16,FALSE))</f>
        <v>0</v>
      </c>
      <c r="R744" s="42">
        <f>VLOOKUP($A744,'Neraca Unaudited SIMAK'!$A$2:$R$1272,17,FALSE)+IF(ISNA(VLOOKUP($A744,'Mutasi Neraca'!$A$3:$S$910,17,FALSE)),0,VLOOKUP($A744,'Mutasi Neraca'!$A$3:$S$910,17,FALSE))</f>
        <v>-112162325</v>
      </c>
      <c r="S744" s="42">
        <f t="shared" si="65"/>
        <v>3808892482</v>
      </c>
    </row>
    <row r="745" spans="1:19">
      <c r="A745" s="41" t="s">
        <v>752</v>
      </c>
      <c r="B745" s="41" t="str">
        <f t="shared" si="64"/>
        <v>005012600</v>
      </c>
      <c r="D745" s="42">
        <f>VLOOKUP($A745,'Neraca Unaudited SIMAK'!$A$2:$R$1272,3,FALSE)+IF(ISNA(VLOOKUP($A745,'Mutasi Neraca'!$A$3:$S$910,3,FALSE)),0,VLOOKUP($A745,'Mutasi Neraca'!$A$3:$S$910,3,FALSE))</f>
        <v>219250</v>
      </c>
      <c r="E745" s="42">
        <f>VLOOKUP($A745,'Neraca Unaudited SIMAK'!$A$2:$R$1272,4,FALSE)+IF(ISNA(VLOOKUP($A745,'Mutasi Neraca'!$A$3:$S$910,4,FALSE)),0,VLOOKUP($A745,'Mutasi Neraca'!$A$3:$S$910,4,FALSE))</f>
        <v>1861261000</v>
      </c>
      <c r="F745" s="42">
        <f>VLOOKUP($A745,'Neraca Unaudited SIMAK'!$A$2:$R$1272,5,FALSE)+IF(ISNA(VLOOKUP($A745,'Mutasi Neraca'!$A$3:$S$910,5,FALSE)),0,VLOOKUP($A745,'Mutasi Neraca'!$A$3:$S$910,5,FALSE))</f>
        <v>1528818023</v>
      </c>
      <c r="G745" s="42">
        <f>VLOOKUP($A745,'Neraca Unaudited SIMAK'!$A$2:$R$1272,6,FALSE)+IF(ISNA(VLOOKUP($A745,'Mutasi Neraca'!$A$3:$S$910,6,FALSE)),0,VLOOKUP($A745,'Mutasi Neraca'!$A$3:$S$910,6,FALSE))</f>
        <v>4391041263</v>
      </c>
      <c r="H745" s="42">
        <f>VLOOKUP($A745,'Neraca Unaudited SIMAK'!$A$2:$R$1272,7,FALSE)+IF(ISNA(VLOOKUP($A745,'Mutasi Neraca'!$A$3:$S$910,7,FALSE)),0,VLOOKUP($A745,'Mutasi Neraca'!$A$3:$S$910,7,FALSE))</f>
        <v>0</v>
      </c>
      <c r="I745" s="42">
        <f>VLOOKUP($A745,'Neraca Unaudited SIMAK'!$A$2:$R$1272,8,FALSE)+IF(ISNA(VLOOKUP($A745,'Mutasi Neraca'!$A$3:$S$910,8,FALSE)),0,VLOOKUP($A745,'Mutasi Neraca'!$A$3:$S$910,8,FALSE))</f>
        <v>5493000</v>
      </c>
      <c r="J745" s="42">
        <f>VLOOKUP($A745,'Neraca Unaudited SIMAK'!$A$2:$R$1272,9,FALSE)+IF(ISNA(VLOOKUP($A745,'Mutasi Neraca'!$A$3:$S$910,9,FALSE)),0,VLOOKUP($A745,'Mutasi Neraca'!$A$3:$S$910,9,FALSE))</f>
        <v>0</v>
      </c>
      <c r="K745" s="42">
        <f>VLOOKUP($A745,'Neraca Unaudited SIMAK'!$A$2:$R$1272,10,FALSE)+IF(ISNA(VLOOKUP($A745,'Mutasi Neraca'!$A$3:$S$910,10,FALSE)),0,VLOOKUP($A745,'Mutasi Neraca'!$A$3:$S$910,10,FALSE))</f>
        <v>15000000</v>
      </c>
      <c r="L745" s="42">
        <f>VLOOKUP($A745,'Neraca Unaudited SIMAK'!$A$2:$R$1272,11,FALSE)+IF(ISNA(VLOOKUP($A745,'Mutasi Neraca'!$A$3:$S$910,11,FALSE)),0,VLOOKUP($A745,'Mutasi Neraca'!$A$3:$S$910,11,FALSE))</f>
        <v>118138580</v>
      </c>
      <c r="M745" s="42">
        <f>VLOOKUP($A745,'Neraca Unaudited SIMAK'!$A$2:$R$1272,12,FALSE)+IF(ISNA(VLOOKUP($A745,'Mutasi Neraca'!$A$3:$S$910,12,FALSE)),0,VLOOKUP($A745,'Mutasi Neraca'!$A$3:$S$910,12,FALSE))</f>
        <v>7919971116</v>
      </c>
      <c r="N745" s="42">
        <f>VLOOKUP($A745,'Neraca Unaudited SIMAK'!$A$2:$R$1272,13,FALSE)+IF(ISNA(VLOOKUP($A745,'Mutasi Neraca'!$A$3:$S$910,13,FALSE)),0,VLOOKUP($A745,'Mutasi Neraca'!$A$3:$S$910,13,FALSE))</f>
        <v>-1071173427</v>
      </c>
      <c r="O745" s="42">
        <f>VLOOKUP($A745,'Neraca Unaudited SIMAK'!$A$2:$R$1272,14,FALSE)+IF(ISNA(VLOOKUP($A745,'Mutasi Neraca'!$A$3:$S$910,14,FALSE)),0,VLOOKUP($A745,'Mutasi Neraca'!$A$3:$S$910,14,FALSE))</f>
        <v>-939229050</v>
      </c>
      <c r="P745" s="42">
        <f>VLOOKUP($A745,'Neraca Unaudited SIMAK'!$A$2:$R$1272,15,FALSE)+IF(ISNA(VLOOKUP($A745,'Mutasi Neraca'!$A$3:$S$910,15,FALSE)),0,VLOOKUP($A745,'Mutasi Neraca'!$A$3:$S$910,15,FALSE))</f>
        <v>0</v>
      </c>
      <c r="Q745" s="42">
        <f>VLOOKUP($A745,'Neraca Unaudited SIMAK'!$A$2:$R$1272,16,FALSE)+IF(ISNA(VLOOKUP($A745,'Mutasi Neraca'!$A$3:$S$910,16,FALSE)),0,VLOOKUP($A745,'Mutasi Neraca'!$A$3:$S$910,16,FALSE))</f>
        <v>0</v>
      </c>
      <c r="R745" s="42">
        <f>VLOOKUP($A745,'Neraca Unaudited SIMAK'!$A$2:$R$1272,17,FALSE)+IF(ISNA(VLOOKUP($A745,'Mutasi Neraca'!$A$3:$S$910,17,FALSE)),0,VLOOKUP($A745,'Mutasi Neraca'!$A$3:$S$910,17,FALSE))</f>
        <v>-117823155</v>
      </c>
      <c r="S745" s="42">
        <f t="shared" si="65"/>
        <v>5791745484</v>
      </c>
    </row>
    <row r="746" spans="1:19">
      <c r="A746" s="41" t="s">
        <v>753</v>
      </c>
      <c r="B746" s="41" t="str">
        <f t="shared" si="64"/>
        <v>005012600</v>
      </c>
      <c r="D746" s="42">
        <f>VLOOKUP($A746,'Neraca Unaudited SIMAK'!$A$2:$R$1272,3,FALSE)+IF(ISNA(VLOOKUP($A746,'Mutasi Neraca'!$A$3:$S$910,3,FALSE)),0,VLOOKUP($A746,'Mutasi Neraca'!$A$3:$S$910,3,FALSE))</f>
        <v>5436550</v>
      </c>
      <c r="E746" s="42">
        <f>VLOOKUP($A746,'Neraca Unaudited SIMAK'!$A$2:$R$1272,4,FALSE)+IF(ISNA(VLOOKUP($A746,'Mutasi Neraca'!$A$3:$S$910,4,FALSE)),0,VLOOKUP($A746,'Mutasi Neraca'!$A$3:$S$910,4,FALSE))</f>
        <v>1846348000</v>
      </c>
      <c r="F746" s="42">
        <f>VLOOKUP($A746,'Neraca Unaudited SIMAK'!$A$2:$R$1272,5,FALSE)+IF(ISNA(VLOOKUP($A746,'Mutasi Neraca'!$A$3:$S$910,5,FALSE)),0,VLOOKUP($A746,'Mutasi Neraca'!$A$3:$S$910,5,FALSE))</f>
        <v>1668777253</v>
      </c>
      <c r="G746" s="42">
        <f>VLOOKUP($A746,'Neraca Unaudited SIMAK'!$A$2:$R$1272,6,FALSE)+IF(ISNA(VLOOKUP($A746,'Mutasi Neraca'!$A$3:$S$910,6,FALSE)),0,VLOOKUP($A746,'Mutasi Neraca'!$A$3:$S$910,6,FALSE))</f>
        <v>3557465600</v>
      </c>
      <c r="H746" s="42">
        <f>VLOOKUP($A746,'Neraca Unaudited SIMAK'!$A$2:$R$1272,7,FALSE)+IF(ISNA(VLOOKUP($A746,'Mutasi Neraca'!$A$3:$S$910,7,FALSE)),0,VLOOKUP($A746,'Mutasi Neraca'!$A$3:$S$910,7,FALSE))</f>
        <v>125623000</v>
      </c>
      <c r="I746" s="42">
        <f>VLOOKUP($A746,'Neraca Unaudited SIMAK'!$A$2:$R$1272,8,FALSE)+IF(ISNA(VLOOKUP($A746,'Mutasi Neraca'!$A$3:$S$910,8,FALSE)),0,VLOOKUP($A746,'Mutasi Neraca'!$A$3:$S$910,8,FALSE))</f>
        <v>29598500</v>
      </c>
      <c r="J746" s="42">
        <f>VLOOKUP($A746,'Neraca Unaudited SIMAK'!$A$2:$R$1272,9,FALSE)+IF(ISNA(VLOOKUP($A746,'Mutasi Neraca'!$A$3:$S$910,9,FALSE)),0,VLOOKUP($A746,'Mutasi Neraca'!$A$3:$S$910,9,FALSE))</f>
        <v>0</v>
      </c>
      <c r="K746" s="42">
        <f>VLOOKUP($A746,'Neraca Unaudited SIMAK'!$A$2:$R$1272,10,FALSE)+IF(ISNA(VLOOKUP($A746,'Mutasi Neraca'!$A$3:$S$910,10,FALSE)),0,VLOOKUP($A746,'Mutasi Neraca'!$A$3:$S$910,10,FALSE))</f>
        <v>26750000</v>
      </c>
      <c r="L746" s="42">
        <f>VLOOKUP($A746,'Neraca Unaudited SIMAK'!$A$2:$R$1272,11,FALSE)+IF(ISNA(VLOOKUP($A746,'Mutasi Neraca'!$A$3:$S$910,11,FALSE)),0,VLOOKUP($A746,'Mutasi Neraca'!$A$3:$S$910,11,FALSE))</f>
        <v>17560750</v>
      </c>
      <c r="M746" s="42">
        <f>VLOOKUP($A746,'Neraca Unaudited SIMAK'!$A$2:$R$1272,12,FALSE)+IF(ISNA(VLOOKUP($A746,'Mutasi Neraca'!$A$3:$S$910,12,FALSE)),0,VLOOKUP($A746,'Mutasi Neraca'!$A$3:$S$910,12,FALSE))</f>
        <v>7277559653</v>
      </c>
      <c r="N746" s="42">
        <f>VLOOKUP($A746,'Neraca Unaudited SIMAK'!$A$2:$R$1272,13,FALSE)+IF(ISNA(VLOOKUP($A746,'Mutasi Neraca'!$A$3:$S$910,13,FALSE)),0,VLOOKUP($A746,'Mutasi Neraca'!$A$3:$S$910,13,FALSE))</f>
        <v>-1541891532</v>
      </c>
      <c r="O746" s="42">
        <f>VLOOKUP($A746,'Neraca Unaudited SIMAK'!$A$2:$R$1272,14,FALSE)+IF(ISNA(VLOOKUP($A746,'Mutasi Neraca'!$A$3:$S$910,14,FALSE)),0,VLOOKUP($A746,'Mutasi Neraca'!$A$3:$S$910,14,FALSE))</f>
        <v>-595037852</v>
      </c>
      <c r="P746" s="42">
        <f>VLOOKUP($A746,'Neraca Unaudited SIMAK'!$A$2:$R$1272,15,FALSE)+IF(ISNA(VLOOKUP($A746,'Mutasi Neraca'!$A$3:$S$910,15,FALSE)),0,VLOOKUP($A746,'Mutasi Neraca'!$A$3:$S$910,15,FALSE))</f>
        <v>-6996825</v>
      </c>
      <c r="Q746" s="42">
        <f>VLOOKUP($A746,'Neraca Unaudited SIMAK'!$A$2:$R$1272,16,FALSE)+IF(ISNA(VLOOKUP($A746,'Mutasi Neraca'!$A$3:$S$910,16,FALSE)),0,VLOOKUP($A746,'Mutasi Neraca'!$A$3:$S$910,16,FALSE))</f>
        <v>0</v>
      </c>
      <c r="R746" s="42">
        <f>VLOOKUP($A746,'Neraca Unaudited SIMAK'!$A$2:$R$1272,17,FALSE)+IF(ISNA(VLOOKUP($A746,'Mutasi Neraca'!$A$3:$S$910,17,FALSE)),0,VLOOKUP($A746,'Mutasi Neraca'!$A$3:$S$910,17,FALSE))</f>
        <v>-17560750</v>
      </c>
      <c r="S746" s="42">
        <f t="shared" si="65"/>
        <v>5116072694</v>
      </c>
    </row>
    <row r="747" spans="1:19">
      <c r="A747" s="41" t="s">
        <v>754</v>
      </c>
      <c r="B747" s="41" t="str">
        <f t="shared" si="64"/>
        <v>005012600</v>
      </c>
      <c r="D747" s="42">
        <f>VLOOKUP($A747,'Neraca Unaudited SIMAK'!$A$2:$R$1272,3,FALSE)+IF(ISNA(VLOOKUP($A747,'Mutasi Neraca'!$A$3:$S$910,3,FALSE)),0,VLOOKUP($A747,'Mutasi Neraca'!$A$3:$S$910,3,FALSE))</f>
        <v>1291650</v>
      </c>
      <c r="E747" s="42">
        <f>VLOOKUP($A747,'Neraca Unaudited SIMAK'!$A$2:$R$1272,4,FALSE)+IF(ISNA(VLOOKUP($A747,'Mutasi Neraca'!$A$3:$S$910,4,FALSE)),0,VLOOKUP($A747,'Mutasi Neraca'!$A$3:$S$910,4,FALSE))</f>
        <v>911070000</v>
      </c>
      <c r="F747" s="42">
        <f>VLOOKUP($A747,'Neraca Unaudited SIMAK'!$A$2:$R$1272,5,FALSE)+IF(ISNA(VLOOKUP($A747,'Mutasi Neraca'!$A$3:$S$910,5,FALSE)),0,VLOOKUP($A747,'Mutasi Neraca'!$A$3:$S$910,5,FALSE))</f>
        <v>2230426829</v>
      </c>
      <c r="G747" s="42">
        <f>VLOOKUP($A747,'Neraca Unaudited SIMAK'!$A$2:$R$1272,6,FALSE)+IF(ISNA(VLOOKUP($A747,'Mutasi Neraca'!$A$3:$S$910,6,FALSE)),0,VLOOKUP($A747,'Mutasi Neraca'!$A$3:$S$910,6,FALSE))</f>
        <v>4105643209</v>
      </c>
      <c r="H747" s="42">
        <f>VLOOKUP($A747,'Neraca Unaudited SIMAK'!$A$2:$R$1272,7,FALSE)+IF(ISNA(VLOOKUP($A747,'Mutasi Neraca'!$A$3:$S$910,7,FALSE)),0,VLOOKUP($A747,'Mutasi Neraca'!$A$3:$S$910,7,FALSE))</f>
        <v>50000000</v>
      </c>
      <c r="I747" s="42">
        <f>VLOOKUP($A747,'Neraca Unaudited SIMAK'!$A$2:$R$1272,8,FALSE)+IF(ISNA(VLOOKUP($A747,'Mutasi Neraca'!$A$3:$S$910,8,FALSE)),0,VLOOKUP($A747,'Mutasi Neraca'!$A$3:$S$910,8,FALSE))</f>
        <v>13418288</v>
      </c>
      <c r="J747" s="42">
        <f>VLOOKUP($A747,'Neraca Unaudited SIMAK'!$A$2:$R$1272,9,FALSE)+IF(ISNA(VLOOKUP($A747,'Mutasi Neraca'!$A$3:$S$910,9,FALSE)),0,VLOOKUP($A747,'Mutasi Neraca'!$A$3:$S$910,9,FALSE))</f>
        <v>0</v>
      </c>
      <c r="K747" s="42">
        <f>VLOOKUP($A747,'Neraca Unaudited SIMAK'!$A$2:$R$1272,10,FALSE)+IF(ISNA(VLOOKUP($A747,'Mutasi Neraca'!$A$3:$S$910,10,FALSE)),0,VLOOKUP($A747,'Mutasi Neraca'!$A$3:$S$910,10,FALSE))</f>
        <v>30650000</v>
      </c>
      <c r="L747" s="42">
        <f>VLOOKUP($A747,'Neraca Unaudited SIMAK'!$A$2:$R$1272,11,FALSE)+IF(ISNA(VLOOKUP($A747,'Mutasi Neraca'!$A$3:$S$910,11,FALSE)),0,VLOOKUP($A747,'Mutasi Neraca'!$A$3:$S$910,11,FALSE))</f>
        <v>215630500</v>
      </c>
      <c r="M747" s="42">
        <f>VLOOKUP($A747,'Neraca Unaudited SIMAK'!$A$2:$R$1272,12,FALSE)+IF(ISNA(VLOOKUP($A747,'Mutasi Neraca'!$A$3:$S$910,12,FALSE)),0,VLOOKUP($A747,'Mutasi Neraca'!$A$3:$S$910,12,FALSE))</f>
        <v>7558130476</v>
      </c>
      <c r="N747" s="42">
        <f>VLOOKUP($A747,'Neraca Unaudited SIMAK'!$A$2:$R$1272,13,FALSE)+IF(ISNA(VLOOKUP($A747,'Mutasi Neraca'!$A$3:$S$910,13,FALSE)),0,VLOOKUP($A747,'Mutasi Neraca'!$A$3:$S$910,13,FALSE))</f>
        <v>-1882160971</v>
      </c>
      <c r="O747" s="42">
        <f>VLOOKUP($A747,'Neraca Unaudited SIMAK'!$A$2:$R$1272,14,FALSE)+IF(ISNA(VLOOKUP($A747,'Mutasi Neraca'!$A$3:$S$910,14,FALSE)),0,VLOOKUP($A747,'Mutasi Neraca'!$A$3:$S$910,14,FALSE))</f>
        <v>-547376760</v>
      </c>
      <c r="P747" s="42">
        <f>VLOOKUP($A747,'Neraca Unaudited SIMAK'!$A$2:$R$1272,15,FALSE)+IF(ISNA(VLOOKUP($A747,'Mutasi Neraca'!$A$3:$S$910,15,FALSE)),0,VLOOKUP($A747,'Mutasi Neraca'!$A$3:$S$910,15,FALSE))</f>
        <v>-1250000</v>
      </c>
      <c r="Q747" s="42">
        <f>VLOOKUP($A747,'Neraca Unaudited SIMAK'!$A$2:$R$1272,16,FALSE)+IF(ISNA(VLOOKUP($A747,'Mutasi Neraca'!$A$3:$S$910,16,FALSE)),0,VLOOKUP($A747,'Mutasi Neraca'!$A$3:$S$910,16,FALSE))</f>
        <v>0</v>
      </c>
      <c r="R747" s="42">
        <f>VLOOKUP($A747,'Neraca Unaudited SIMAK'!$A$2:$R$1272,17,FALSE)+IF(ISNA(VLOOKUP($A747,'Mutasi Neraca'!$A$3:$S$910,17,FALSE)),0,VLOOKUP($A747,'Mutasi Neraca'!$A$3:$S$910,17,FALSE))</f>
        <v>-215630500</v>
      </c>
      <c r="S747" s="42">
        <f t="shared" si="65"/>
        <v>4911712245</v>
      </c>
    </row>
    <row r="748" spans="1:19">
      <c r="A748" s="41" t="s">
        <v>755</v>
      </c>
      <c r="B748" s="41" t="str">
        <f t="shared" si="64"/>
        <v>005012600</v>
      </c>
      <c r="D748" s="42">
        <f>VLOOKUP($A748,'Neraca Unaudited SIMAK'!$A$2:$R$1272,3,FALSE)+IF(ISNA(VLOOKUP($A748,'Mutasi Neraca'!$A$3:$S$910,3,FALSE)),0,VLOOKUP($A748,'Mutasi Neraca'!$A$3:$S$910,3,FALSE))</f>
        <v>7632250</v>
      </c>
      <c r="E748" s="42">
        <f>VLOOKUP($A748,'Neraca Unaudited SIMAK'!$A$2:$R$1272,4,FALSE)+IF(ISNA(VLOOKUP($A748,'Mutasi Neraca'!$A$3:$S$910,4,FALSE)),0,VLOOKUP($A748,'Mutasi Neraca'!$A$3:$S$910,4,FALSE))</f>
        <v>4642487000</v>
      </c>
      <c r="F748" s="42">
        <f>VLOOKUP($A748,'Neraca Unaudited SIMAK'!$A$2:$R$1272,5,FALSE)+IF(ISNA(VLOOKUP($A748,'Mutasi Neraca'!$A$3:$S$910,5,FALSE)),0,VLOOKUP($A748,'Mutasi Neraca'!$A$3:$S$910,5,FALSE))</f>
        <v>3153182407</v>
      </c>
      <c r="G748" s="42">
        <f>VLOOKUP($A748,'Neraca Unaudited SIMAK'!$A$2:$R$1272,6,FALSE)+IF(ISNA(VLOOKUP($A748,'Mutasi Neraca'!$A$3:$S$910,6,FALSE)),0,VLOOKUP($A748,'Mutasi Neraca'!$A$3:$S$910,6,FALSE))</f>
        <v>4920832479</v>
      </c>
      <c r="H748" s="42">
        <f>VLOOKUP($A748,'Neraca Unaudited SIMAK'!$A$2:$R$1272,7,FALSE)+IF(ISNA(VLOOKUP($A748,'Mutasi Neraca'!$A$3:$S$910,7,FALSE)),0,VLOOKUP($A748,'Mutasi Neraca'!$A$3:$S$910,7,FALSE))</f>
        <v>56500000</v>
      </c>
      <c r="I748" s="42">
        <f>VLOOKUP($A748,'Neraca Unaudited SIMAK'!$A$2:$R$1272,8,FALSE)+IF(ISNA(VLOOKUP($A748,'Mutasi Neraca'!$A$3:$S$910,8,FALSE)),0,VLOOKUP($A748,'Mutasi Neraca'!$A$3:$S$910,8,FALSE))</f>
        <v>1943440</v>
      </c>
      <c r="J748" s="42">
        <f>VLOOKUP($A748,'Neraca Unaudited SIMAK'!$A$2:$R$1272,9,FALSE)+IF(ISNA(VLOOKUP($A748,'Mutasi Neraca'!$A$3:$S$910,9,FALSE)),0,VLOOKUP($A748,'Mutasi Neraca'!$A$3:$S$910,9,FALSE))</f>
        <v>0</v>
      </c>
      <c r="K748" s="42">
        <f>VLOOKUP($A748,'Neraca Unaudited SIMAK'!$A$2:$R$1272,10,FALSE)+IF(ISNA(VLOOKUP($A748,'Mutasi Neraca'!$A$3:$S$910,10,FALSE)),0,VLOOKUP($A748,'Mutasi Neraca'!$A$3:$S$910,10,FALSE))</f>
        <v>3300000</v>
      </c>
      <c r="L748" s="42">
        <f>VLOOKUP($A748,'Neraca Unaudited SIMAK'!$A$2:$R$1272,11,FALSE)+IF(ISNA(VLOOKUP($A748,'Mutasi Neraca'!$A$3:$S$910,11,FALSE)),0,VLOOKUP($A748,'Mutasi Neraca'!$A$3:$S$910,11,FALSE))</f>
        <v>220347000</v>
      </c>
      <c r="M748" s="42">
        <f>VLOOKUP($A748,'Neraca Unaudited SIMAK'!$A$2:$R$1272,12,FALSE)+IF(ISNA(VLOOKUP($A748,'Mutasi Neraca'!$A$3:$S$910,12,FALSE)),0,VLOOKUP($A748,'Mutasi Neraca'!$A$3:$S$910,12,FALSE))</f>
        <v>13006224576</v>
      </c>
      <c r="N748" s="42">
        <f>VLOOKUP($A748,'Neraca Unaudited SIMAK'!$A$2:$R$1272,13,FALSE)+IF(ISNA(VLOOKUP($A748,'Mutasi Neraca'!$A$3:$S$910,13,FALSE)),0,VLOOKUP($A748,'Mutasi Neraca'!$A$3:$S$910,13,FALSE))</f>
        <v>-2608257759</v>
      </c>
      <c r="O748" s="42">
        <f>VLOOKUP($A748,'Neraca Unaudited SIMAK'!$A$2:$R$1272,14,FALSE)+IF(ISNA(VLOOKUP($A748,'Mutasi Neraca'!$A$3:$S$910,14,FALSE)),0,VLOOKUP($A748,'Mutasi Neraca'!$A$3:$S$910,14,FALSE))</f>
        <v>-2514769960</v>
      </c>
      <c r="P748" s="42">
        <f>VLOOKUP($A748,'Neraca Unaudited SIMAK'!$A$2:$R$1272,15,FALSE)+IF(ISNA(VLOOKUP($A748,'Mutasi Neraca'!$A$3:$S$910,15,FALSE)),0,VLOOKUP($A748,'Mutasi Neraca'!$A$3:$S$910,15,FALSE))</f>
        <v>-12712500</v>
      </c>
      <c r="Q748" s="42">
        <f>VLOOKUP($A748,'Neraca Unaudited SIMAK'!$A$2:$R$1272,16,FALSE)+IF(ISNA(VLOOKUP($A748,'Mutasi Neraca'!$A$3:$S$910,16,FALSE)),0,VLOOKUP($A748,'Mutasi Neraca'!$A$3:$S$910,16,FALSE))</f>
        <v>0</v>
      </c>
      <c r="R748" s="42">
        <f>VLOOKUP($A748,'Neraca Unaudited SIMAK'!$A$2:$R$1272,17,FALSE)+IF(ISNA(VLOOKUP($A748,'Mutasi Neraca'!$A$3:$S$910,17,FALSE)),0,VLOOKUP($A748,'Mutasi Neraca'!$A$3:$S$910,17,FALSE))</f>
        <v>-220347000</v>
      </c>
      <c r="S748" s="42">
        <f t="shared" si="65"/>
        <v>7650137357</v>
      </c>
    </row>
    <row r="749" spans="1:19">
      <c r="A749" s="41" t="s">
        <v>756</v>
      </c>
      <c r="B749" s="41" t="str">
        <f t="shared" si="64"/>
        <v>005012600</v>
      </c>
      <c r="D749" s="42">
        <f>VLOOKUP($A749,'Neraca Unaudited SIMAK'!$A$2:$R$1272,3,FALSE)+IF(ISNA(VLOOKUP($A749,'Mutasi Neraca'!$A$3:$S$910,3,FALSE)),0,VLOOKUP($A749,'Mutasi Neraca'!$A$3:$S$910,3,FALSE))</f>
        <v>964500</v>
      </c>
      <c r="E749" s="42">
        <f>VLOOKUP($A749,'Neraca Unaudited SIMAK'!$A$2:$R$1272,4,FALSE)+IF(ISNA(VLOOKUP($A749,'Mutasi Neraca'!$A$3:$S$910,4,FALSE)),0,VLOOKUP($A749,'Mutasi Neraca'!$A$3:$S$910,4,FALSE))</f>
        <v>1572670200</v>
      </c>
      <c r="F749" s="42">
        <f>VLOOKUP($A749,'Neraca Unaudited SIMAK'!$A$2:$R$1272,5,FALSE)+IF(ISNA(VLOOKUP($A749,'Mutasi Neraca'!$A$3:$S$910,5,FALSE)),0,VLOOKUP($A749,'Mutasi Neraca'!$A$3:$S$910,5,FALSE))</f>
        <v>1784202713</v>
      </c>
      <c r="G749" s="42">
        <f>VLOOKUP($A749,'Neraca Unaudited SIMAK'!$A$2:$R$1272,6,FALSE)+IF(ISNA(VLOOKUP($A749,'Mutasi Neraca'!$A$3:$S$910,6,FALSE)),0,VLOOKUP($A749,'Mutasi Neraca'!$A$3:$S$910,6,FALSE))</f>
        <v>3553020000</v>
      </c>
      <c r="H749" s="42">
        <f>VLOOKUP($A749,'Neraca Unaudited SIMAK'!$A$2:$R$1272,7,FALSE)+IF(ISNA(VLOOKUP($A749,'Mutasi Neraca'!$A$3:$S$910,7,FALSE)),0,VLOOKUP($A749,'Mutasi Neraca'!$A$3:$S$910,7,FALSE))</f>
        <v>0</v>
      </c>
      <c r="I749" s="42">
        <f>VLOOKUP($A749,'Neraca Unaudited SIMAK'!$A$2:$R$1272,8,FALSE)+IF(ISNA(VLOOKUP($A749,'Mutasi Neraca'!$A$3:$S$910,8,FALSE)),0,VLOOKUP($A749,'Mutasi Neraca'!$A$3:$S$910,8,FALSE))</f>
        <v>1943440</v>
      </c>
      <c r="J749" s="42">
        <f>VLOOKUP($A749,'Neraca Unaudited SIMAK'!$A$2:$R$1272,9,FALSE)+IF(ISNA(VLOOKUP($A749,'Mutasi Neraca'!$A$3:$S$910,9,FALSE)),0,VLOOKUP($A749,'Mutasi Neraca'!$A$3:$S$910,9,FALSE))</f>
        <v>0</v>
      </c>
      <c r="K749" s="42">
        <f>VLOOKUP($A749,'Neraca Unaudited SIMAK'!$A$2:$R$1272,10,FALSE)+IF(ISNA(VLOOKUP($A749,'Mutasi Neraca'!$A$3:$S$910,10,FALSE)),0,VLOOKUP($A749,'Mutasi Neraca'!$A$3:$S$910,10,FALSE))</f>
        <v>0</v>
      </c>
      <c r="L749" s="42">
        <f>VLOOKUP($A749,'Neraca Unaudited SIMAK'!$A$2:$R$1272,11,FALSE)+IF(ISNA(VLOOKUP($A749,'Mutasi Neraca'!$A$3:$S$910,11,FALSE)),0,VLOOKUP($A749,'Mutasi Neraca'!$A$3:$S$910,11,FALSE))</f>
        <v>47430000</v>
      </c>
      <c r="M749" s="42">
        <f>VLOOKUP($A749,'Neraca Unaudited SIMAK'!$A$2:$R$1272,12,FALSE)+IF(ISNA(VLOOKUP($A749,'Mutasi Neraca'!$A$3:$S$910,12,FALSE)),0,VLOOKUP($A749,'Mutasi Neraca'!$A$3:$S$910,12,FALSE))</f>
        <v>6960230853</v>
      </c>
      <c r="N749" s="42">
        <f>VLOOKUP($A749,'Neraca Unaudited SIMAK'!$A$2:$R$1272,13,FALSE)+IF(ISNA(VLOOKUP($A749,'Mutasi Neraca'!$A$3:$S$910,13,FALSE)),0,VLOOKUP($A749,'Mutasi Neraca'!$A$3:$S$910,13,FALSE))</f>
        <v>-1485350628</v>
      </c>
      <c r="O749" s="42">
        <f>VLOOKUP($A749,'Neraca Unaudited SIMAK'!$A$2:$R$1272,14,FALSE)+IF(ISNA(VLOOKUP($A749,'Mutasi Neraca'!$A$3:$S$910,14,FALSE)),0,VLOOKUP($A749,'Mutasi Neraca'!$A$3:$S$910,14,FALSE))</f>
        <v>-2003143045</v>
      </c>
      <c r="P749" s="42">
        <f>VLOOKUP($A749,'Neraca Unaudited SIMAK'!$A$2:$R$1272,15,FALSE)+IF(ISNA(VLOOKUP($A749,'Mutasi Neraca'!$A$3:$S$910,15,FALSE)),0,VLOOKUP($A749,'Mutasi Neraca'!$A$3:$S$910,15,FALSE))</f>
        <v>0</v>
      </c>
      <c r="Q749" s="42">
        <f>VLOOKUP($A749,'Neraca Unaudited SIMAK'!$A$2:$R$1272,16,FALSE)+IF(ISNA(VLOOKUP($A749,'Mutasi Neraca'!$A$3:$S$910,16,FALSE)),0,VLOOKUP($A749,'Mutasi Neraca'!$A$3:$S$910,16,FALSE))</f>
        <v>0</v>
      </c>
      <c r="R749" s="42">
        <f>VLOOKUP($A749,'Neraca Unaudited SIMAK'!$A$2:$R$1272,17,FALSE)+IF(ISNA(VLOOKUP($A749,'Mutasi Neraca'!$A$3:$S$910,17,FALSE)),0,VLOOKUP($A749,'Mutasi Neraca'!$A$3:$S$910,17,FALSE))</f>
        <v>-34048628</v>
      </c>
      <c r="S749" s="42">
        <f t="shared" si="65"/>
        <v>3437688552</v>
      </c>
    </row>
    <row r="750" spans="1:19">
      <c r="A750" s="41" t="s">
        <v>757</v>
      </c>
      <c r="B750" s="41" t="str">
        <f t="shared" si="64"/>
        <v>005012600</v>
      </c>
      <c r="D750" s="42">
        <f>VLOOKUP($A750,'Neraca Unaudited SIMAK'!$A$2:$R$1272,3,FALSE)+IF(ISNA(VLOOKUP($A750,'Mutasi Neraca'!$A$3:$S$910,3,FALSE)),0,VLOOKUP($A750,'Mutasi Neraca'!$A$3:$S$910,3,FALSE))</f>
        <v>178000</v>
      </c>
      <c r="E750" s="42">
        <f>VLOOKUP($A750,'Neraca Unaudited SIMAK'!$A$2:$R$1272,4,FALSE)+IF(ISNA(VLOOKUP($A750,'Mutasi Neraca'!$A$3:$S$910,4,FALSE)),0,VLOOKUP($A750,'Mutasi Neraca'!$A$3:$S$910,4,FALSE))</f>
        <v>1968815000</v>
      </c>
      <c r="F750" s="42">
        <f>VLOOKUP($A750,'Neraca Unaudited SIMAK'!$A$2:$R$1272,5,FALSE)+IF(ISNA(VLOOKUP($A750,'Mutasi Neraca'!$A$3:$S$910,5,FALSE)),0,VLOOKUP($A750,'Mutasi Neraca'!$A$3:$S$910,5,FALSE))</f>
        <v>2004870762</v>
      </c>
      <c r="G750" s="42">
        <f>VLOOKUP($A750,'Neraca Unaudited SIMAK'!$A$2:$R$1272,6,FALSE)+IF(ISNA(VLOOKUP($A750,'Mutasi Neraca'!$A$3:$S$910,6,FALSE)),0,VLOOKUP($A750,'Mutasi Neraca'!$A$3:$S$910,6,FALSE))</f>
        <v>3684518147</v>
      </c>
      <c r="H750" s="42">
        <f>VLOOKUP($A750,'Neraca Unaudited SIMAK'!$A$2:$R$1272,7,FALSE)+IF(ISNA(VLOOKUP($A750,'Mutasi Neraca'!$A$3:$S$910,7,FALSE)),0,VLOOKUP($A750,'Mutasi Neraca'!$A$3:$S$910,7,FALSE))</f>
        <v>0</v>
      </c>
      <c r="I750" s="42">
        <f>VLOOKUP($A750,'Neraca Unaudited SIMAK'!$A$2:$R$1272,8,FALSE)+IF(ISNA(VLOOKUP($A750,'Mutasi Neraca'!$A$3:$S$910,8,FALSE)),0,VLOOKUP($A750,'Mutasi Neraca'!$A$3:$S$910,8,FALSE))</f>
        <v>7455516</v>
      </c>
      <c r="J750" s="42">
        <f>VLOOKUP($A750,'Neraca Unaudited SIMAK'!$A$2:$R$1272,9,FALSE)+IF(ISNA(VLOOKUP($A750,'Mutasi Neraca'!$A$3:$S$910,9,FALSE)),0,VLOOKUP($A750,'Mutasi Neraca'!$A$3:$S$910,9,FALSE))</f>
        <v>0</v>
      </c>
      <c r="K750" s="42">
        <f>VLOOKUP($A750,'Neraca Unaudited SIMAK'!$A$2:$R$1272,10,FALSE)+IF(ISNA(VLOOKUP($A750,'Mutasi Neraca'!$A$3:$S$910,10,FALSE)),0,VLOOKUP($A750,'Mutasi Neraca'!$A$3:$S$910,10,FALSE))</f>
        <v>0</v>
      </c>
      <c r="L750" s="42">
        <f>VLOOKUP($A750,'Neraca Unaudited SIMAK'!$A$2:$R$1272,11,FALSE)+IF(ISNA(VLOOKUP($A750,'Mutasi Neraca'!$A$3:$S$910,11,FALSE)),0,VLOOKUP($A750,'Mutasi Neraca'!$A$3:$S$910,11,FALSE))</f>
        <v>95258000</v>
      </c>
      <c r="M750" s="42">
        <f>VLOOKUP($A750,'Neraca Unaudited SIMAK'!$A$2:$R$1272,12,FALSE)+IF(ISNA(VLOOKUP($A750,'Mutasi Neraca'!$A$3:$S$910,12,FALSE)),0,VLOOKUP($A750,'Mutasi Neraca'!$A$3:$S$910,12,FALSE))</f>
        <v>7761095425</v>
      </c>
      <c r="N750" s="42">
        <f>VLOOKUP($A750,'Neraca Unaudited SIMAK'!$A$2:$R$1272,13,FALSE)+IF(ISNA(VLOOKUP($A750,'Mutasi Neraca'!$A$3:$S$910,13,FALSE)),0,VLOOKUP($A750,'Mutasi Neraca'!$A$3:$S$910,13,FALSE))</f>
        <v>-1493119863</v>
      </c>
      <c r="O750" s="42">
        <f>VLOOKUP($A750,'Neraca Unaudited SIMAK'!$A$2:$R$1272,14,FALSE)+IF(ISNA(VLOOKUP($A750,'Mutasi Neraca'!$A$3:$S$910,14,FALSE)),0,VLOOKUP($A750,'Mutasi Neraca'!$A$3:$S$910,14,FALSE))</f>
        <v>-1708024503</v>
      </c>
      <c r="P750" s="42">
        <f>VLOOKUP($A750,'Neraca Unaudited SIMAK'!$A$2:$R$1272,15,FALSE)+IF(ISNA(VLOOKUP($A750,'Mutasi Neraca'!$A$3:$S$910,15,FALSE)),0,VLOOKUP($A750,'Mutasi Neraca'!$A$3:$S$910,15,FALSE))</f>
        <v>0</v>
      </c>
      <c r="Q750" s="42">
        <f>VLOOKUP($A750,'Neraca Unaudited SIMAK'!$A$2:$R$1272,16,FALSE)+IF(ISNA(VLOOKUP($A750,'Mutasi Neraca'!$A$3:$S$910,16,FALSE)),0,VLOOKUP($A750,'Mutasi Neraca'!$A$3:$S$910,16,FALSE))</f>
        <v>0</v>
      </c>
      <c r="R750" s="42">
        <f>VLOOKUP($A750,'Neraca Unaudited SIMAK'!$A$2:$R$1272,17,FALSE)+IF(ISNA(VLOOKUP($A750,'Mutasi Neraca'!$A$3:$S$910,17,FALSE)),0,VLOOKUP($A750,'Mutasi Neraca'!$A$3:$S$910,17,FALSE))</f>
        <v>-80703000</v>
      </c>
      <c r="S750" s="42">
        <f t="shared" si="65"/>
        <v>4479248059</v>
      </c>
    </row>
    <row r="751" spans="1:19">
      <c r="A751" s="41" t="s">
        <v>758</v>
      </c>
      <c r="B751" s="41" t="str">
        <f t="shared" si="64"/>
        <v>005012600</v>
      </c>
      <c r="D751" s="42">
        <f>VLOOKUP($A751,'Neraca Unaudited SIMAK'!$A$2:$R$1272,3,FALSE)+IF(ISNA(VLOOKUP($A751,'Mutasi Neraca'!$A$3:$S$910,3,FALSE)),0,VLOOKUP($A751,'Mutasi Neraca'!$A$3:$S$910,3,FALSE))</f>
        <v>2526000</v>
      </c>
      <c r="E751" s="42">
        <f>VLOOKUP($A751,'Neraca Unaudited SIMAK'!$A$2:$R$1272,4,FALSE)+IF(ISNA(VLOOKUP($A751,'Mutasi Neraca'!$A$3:$S$910,4,FALSE)),0,VLOOKUP($A751,'Mutasi Neraca'!$A$3:$S$910,4,FALSE))</f>
        <v>4530548000</v>
      </c>
      <c r="F751" s="42">
        <f>VLOOKUP($A751,'Neraca Unaudited SIMAK'!$A$2:$R$1272,5,FALSE)+IF(ISNA(VLOOKUP($A751,'Mutasi Neraca'!$A$3:$S$910,5,FALSE)),0,VLOOKUP($A751,'Mutasi Neraca'!$A$3:$S$910,5,FALSE))</f>
        <v>2923835003</v>
      </c>
      <c r="G751" s="42">
        <f>VLOOKUP($A751,'Neraca Unaudited SIMAK'!$A$2:$R$1272,6,FALSE)+IF(ISNA(VLOOKUP($A751,'Mutasi Neraca'!$A$3:$S$910,6,FALSE)),0,VLOOKUP($A751,'Mutasi Neraca'!$A$3:$S$910,6,FALSE))</f>
        <v>9591829000</v>
      </c>
      <c r="H751" s="42">
        <f>VLOOKUP($A751,'Neraca Unaudited SIMAK'!$A$2:$R$1272,7,FALSE)+IF(ISNA(VLOOKUP($A751,'Mutasi Neraca'!$A$3:$S$910,7,FALSE)),0,VLOOKUP($A751,'Mutasi Neraca'!$A$3:$S$910,7,FALSE))</f>
        <v>0</v>
      </c>
      <c r="I751" s="42">
        <f>VLOOKUP($A751,'Neraca Unaudited SIMAK'!$A$2:$R$1272,8,FALSE)+IF(ISNA(VLOOKUP($A751,'Mutasi Neraca'!$A$3:$S$910,8,FALSE)),0,VLOOKUP($A751,'Mutasi Neraca'!$A$3:$S$910,8,FALSE))</f>
        <v>2843440</v>
      </c>
      <c r="J751" s="42">
        <f>VLOOKUP($A751,'Neraca Unaudited SIMAK'!$A$2:$R$1272,9,FALSE)+IF(ISNA(VLOOKUP($A751,'Mutasi Neraca'!$A$3:$S$910,9,FALSE)),0,VLOOKUP($A751,'Mutasi Neraca'!$A$3:$S$910,9,FALSE))</f>
        <v>0</v>
      </c>
      <c r="K751" s="42">
        <f>VLOOKUP($A751,'Neraca Unaudited SIMAK'!$A$2:$R$1272,10,FALSE)+IF(ISNA(VLOOKUP($A751,'Mutasi Neraca'!$A$3:$S$910,10,FALSE)),0,VLOOKUP($A751,'Mutasi Neraca'!$A$3:$S$910,10,FALSE))</f>
        <v>13860000</v>
      </c>
      <c r="L751" s="42">
        <f>VLOOKUP($A751,'Neraca Unaudited SIMAK'!$A$2:$R$1272,11,FALSE)+IF(ISNA(VLOOKUP($A751,'Mutasi Neraca'!$A$3:$S$910,11,FALSE)),0,VLOOKUP($A751,'Mutasi Neraca'!$A$3:$S$910,11,FALSE))</f>
        <v>404902000</v>
      </c>
      <c r="M751" s="42">
        <f>VLOOKUP($A751,'Neraca Unaudited SIMAK'!$A$2:$R$1272,12,FALSE)+IF(ISNA(VLOOKUP($A751,'Mutasi Neraca'!$A$3:$S$910,12,FALSE)),0,VLOOKUP($A751,'Mutasi Neraca'!$A$3:$S$910,12,FALSE))</f>
        <v>17470343443</v>
      </c>
      <c r="N751" s="42">
        <f>VLOOKUP($A751,'Neraca Unaudited SIMAK'!$A$2:$R$1272,13,FALSE)+IF(ISNA(VLOOKUP($A751,'Mutasi Neraca'!$A$3:$S$910,13,FALSE)),0,VLOOKUP($A751,'Mutasi Neraca'!$A$3:$S$910,13,FALSE))</f>
        <v>-2263609151</v>
      </c>
      <c r="O751" s="42">
        <f>VLOOKUP($A751,'Neraca Unaudited SIMAK'!$A$2:$R$1272,14,FALSE)+IF(ISNA(VLOOKUP($A751,'Mutasi Neraca'!$A$3:$S$910,14,FALSE)),0,VLOOKUP($A751,'Mutasi Neraca'!$A$3:$S$910,14,FALSE))</f>
        <v>-1770327175</v>
      </c>
      <c r="P751" s="42">
        <f>VLOOKUP($A751,'Neraca Unaudited SIMAK'!$A$2:$R$1272,15,FALSE)+IF(ISNA(VLOOKUP($A751,'Mutasi Neraca'!$A$3:$S$910,15,FALSE)),0,VLOOKUP($A751,'Mutasi Neraca'!$A$3:$S$910,15,FALSE))</f>
        <v>0</v>
      </c>
      <c r="Q751" s="42">
        <f>VLOOKUP($A751,'Neraca Unaudited SIMAK'!$A$2:$R$1272,16,FALSE)+IF(ISNA(VLOOKUP($A751,'Mutasi Neraca'!$A$3:$S$910,16,FALSE)),0,VLOOKUP($A751,'Mutasi Neraca'!$A$3:$S$910,16,FALSE))</f>
        <v>0</v>
      </c>
      <c r="R751" s="42">
        <f>VLOOKUP($A751,'Neraca Unaudited SIMAK'!$A$2:$R$1272,17,FALSE)+IF(ISNA(VLOOKUP($A751,'Mutasi Neraca'!$A$3:$S$910,17,FALSE)),0,VLOOKUP($A751,'Mutasi Neraca'!$A$3:$S$910,17,FALSE))</f>
        <v>-294013000</v>
      </c>
      <c r="S751" s="42">
        <f t="shared" si="65"/>
        <v>13142394117</v>
      </c>
    </row>
    <row r="752" spans="1:19">
      <c r="A752" s="41" t="s">
        <v>759</v>
      </c>
      <c r="B752" s="41" t="str">
        <f t="shared" si="64"/>
        <v>005012600</v>
      </c>
      <c r="D752" s="42">
        <f>VLOOKUP($A752,'Neraca Unaudited SIMAK'!$A$2:$R$1272,3,FALSE)+IF(ISNA(VLOOKUP($A752,'Mutasi Neraca'!$A$3:$S$910,3,FALSE)),0,VLOOKUP($A752,'Mutasi Neraca'!$A$3:$S$910,3,FALSE))</f>
        <v>19725100</v>
      </c>
      <c r="E752" s="42">
        <f>VLOOKUP($A752,'Neraca Unaudited SIMAK'!$A$2:$R$1272,4,FALSE)+IF(ISNA(VLOOKUP($A752,'Mutasi Neraca'!$A$3:$S$910,4,FALSE)),0,VLOOKUP($A752,'Mutasi Neraca'!$A$3:$S$910,4,FALSE))</f>
        <v>6623500000</v>
      </c>
      <c r="F752" s="42">
        <f>VLOOKUP($A752,'Neraca Unaudited SIMAK'!$A$2:$R$1272,5,FALSE)+IF(ISNA(VLOOKUP($A752,'Mutasi Neraca'!$A$3:$S$910,5,FALSE)),0,VLOOKUP($A752,'Mutasi Neraca'!$A$3:$S$910,5,FALSE))</f>
        <v>4139085582</v>
      </c>
      <c r="G752" s="42">
        <f>VLOOKUP($A752,'Neraca Unaudited SIMAK'!$A$2:$R$1272,6,FALSE)+IF(ISNA(VLOOKUP($A752,'Mutasi Neraca'!$A$3:$S$910,6,FALSE)),0,VLOOKUP($A752,'Mutasi Neraca'!$A$3:$S$910,6,FALSE))</f>
        <v>18193671978</v>
      </c>
      <c r="H752" s="42">
        <f>VLOOKUP($A752,'Neraca Unaudited SIMAK'!$A$2:$R$1272,7,FALSE)+IF(ISNA(VLOOKUP($A752,'Mutasi Neraca'!$A$3:$S$910,7,FALSE)),0,VLOOKUP($A752,'Mutasi Neraca'!$A$3:$S$910,7,FALSE))</f>
        <v>0</v>
      </c>
      <c r="I752" s="42">
        <f>VLOOKUP($A752,'Neraca Unaudited SIMAK'!$A$2:$R$1272,8,FALSE)+IF(ISNA(VLOOKUP($A752,'Mutasi Neraca'!$A$3:$S$910,8,FALSE)),0,VLOOKUP($A752,'Mutasi Neraca'!$A$3:$S$910,8,FALSE))</f>
        <v>23893440</v>
      </c>
      <c r="J752" s="42">
        <f>VLOOKUP($A752,'Neraca Unaudited SIMAK'!$A$2:$R$1272,9,FALSE)+IF(ISNA(VLOOKUP($A752,'Mutasi Neraca'!$A$3:$S$910,9,FALSE)),0,VLOOKUP($A752,'Mutasi Neraca'!$A$3:$S$910,9,FALSE))</f>
        <v>0</v>
      </c>
      <c r="K752" s="42">
        <f>VLOOKUP($A752,'Neraca Unaudited SIMAK'!$A$2:$R$1272,10,FALSE)+IF(ISNA(VLOOKUP($A752,'Mutasi Neraca'!$A$3:$S$910,10,FALSE)),0,VLOOKUP($A752,'Mutasi Neraca'!$A$3:$S$910,10,FALSE))</f>
        <v>0</v>
      </c>
      <c r="L752" s="42">
        <f>VLOOKUP($A752,'Neraca Unaudited SIMAK'!$A$2:$R$1272,11,FALSE)+IF(ISNA(VLOOKUP($A752,'Mutasi Neraca'!$A$3:$S$910,11,FALSE)),0,VLOOKUP($A752,'Mutasi Neraca'!$A$3:$S$910,11,FALSE))</f>
        <v>92446935</v>
      </c>
      <c r="M752" s="42">
        <f>VLOOKUP($A752,'Neraca Unaudited SIMAK'!$A$2:$R$1272,12,FALSE)+IF(ISNA(VLOOKUP($A752,'Mutasi Neraca'!$A$3:$S$910,12,FALSE)),0,VLOOKUP($A752,'Mutasi Neraca'!$A$3:$S$910,12,FALSE))</f>
        <v>29092323035</v>
      </c>
      <c r="N752" s="42">
        <f>VLOOKUP($A752,'Neraca Unaudited SIMAK'!$A$2:$R$1272,13,FALSE)+IF(ISNA(VLOOKUP($A752,'Mutasi Neraca'!$A$3:$S$910,13,FALSE)),0,VLOOKUP($A752,'Mutasi Neraca'!$A$3:$S$910,13,FALSE))</f>
        <v>-3103084206</v>
      </c>
      <c r="O752" s="42">
        <f>VLOOKUP($A752,'Neraca Unaudited SIMAK'!$A$2:$R$1272,14,FALSE)+IF(ISNA(VLOOKUP($A752,'Mutasi Neraca'!$A$3:$S$910,14,FALSE)),0,VLOOKUP($A752,'Mutasi Neraca'!$A$3:$S$910,14,FALSE))</f>
        <v>-5597180573</v>
      </c>
      <c r="P752" s="42">
        <f>VLOOKUP($A752,'Neraca Unaudited SIMAK'!$A$2:$R$1272,15,FALSE)+IF(ISNA(VLOOKUP($A752,'Mutasi Neraca'!$A$3:$S$910,15,FALSE)),0,VLOOKUP($A752,'Mutasi Neraca'!$A$3:$S$910,15,FALSE))</f>
        <v>0</v>
      </c>
      <c r="Q752" s="42">
        <f>VLOOKUP($A752,'Neraca Unaudited SIMAK'!$A$2:$R$1272,16,FALSE)+IF(ISNA(VLOOKUP($A752,'Mutasi Neraca'!$A$3:$S$910,16,FALSE)),0,VLOOKUP($A752,'Mutasi Neraca'!$A$3:$S$910,16,FALSE))</f>
        <v>0</v>
      </c>
      <c r="R752" s="42">
        <f>VLOOKUP($A752,'Neraca Unaudited SIMAK'!$A$2:$R$1272,17,FALSE)+IF(ISNA(VLOOKUP($A752,'Mutasi Neraca'!$A$3:$S$910,17,FALSE)),0,VLOOKUP($A752,'Mutasi Neraca'!$A$3:$S$910,17,FALSE))</f>
        <v>-92436935</v>
      </c>
      <c r="S752" s="42">
        <f t="shared" si="65"/>
        <v>20299621321</v>
      </c>
    </row>
    <row r="753" spans="1:19">
      <c r="A753" s="41" t="s">
        <v>760</v>
      </c>
      <c r="B753" s="41" t="str">
        <f t="shared" si="64"/>
        <v>005012600</v>
      </c>
      <c r="D753" s="42">
        <f>VLOOKUP($A753,'Neraca Unaudited SIMAK'!$A$2:$R$1272,3,FALSE)+IF(ISNA(VLOOKUP($A753,'Mutasi Neraca'!$A$3:$S$910,3,FALSE)),0,VLOOKUP($A753,'Mutasi Neraca'!$A$3:$S$910,3,FALSE))</f>
        <v>2722054</v>
      </c>
      <c r="E753" s="42">
        <f>VLOOKUP($A753,'Neraca Unaudited SIMAK'!$A$2:$R$1272,4,FALSE)+IF(ISNA(VLOOKUP($A753,'Mutasi Neraca'!$A$3:$S$910,4,FALSE)),0,VLOOKUP($A753,'Mutasi Neraca'!$A$3:$S$910,4,FALSE))</f>
        <v>1241700000</v>
      </c>
      <c r="F753" s="42">
        <f>VLOOKUP($A753,'Neraca Unaudited SIMAK'!$A$2:$R$1272,5,FALSE)+IF(ISNA(VLOOKUP($A753,'Mutasi Neraca'!$A$3:$S$910,5,FALSE)),0,VLOOKUP($A753,'Mutasi Neraca'!$A$3:$S$910,5,FALSE))</f>
        <v>3118124348</v>
      </c>
      <c r="G753" s="42">
        <f>VLOOKUP($A753,'Neraca Unaudited SIMAK'!$A$2:$R$1272,6,FALSE)+IF(ISNA(VLOOKUP($A753,'Mutasi Neraca'!$A$3:$S$910,6,FALSE)),0,VLOOKUP($A753,'Mutasi Neraca'!$A$3:$S$910,6,FALSE))</f>
        <v>8602009309</v>
      </c>
      <c r="H753" s="42">
        <f>VLOOKUP($A753,'Neraca Unaudited SIMAK'!$A$2:$R$1272,7,FALSE)+IF(ISNA(VLOOKUP($A753,'Mutasi Neraca'!$A$3:$S$910,7,FALSE)),0,VLOOKUP($A753,'Mutasi Neraca'!$A$3:$S$910,7,FALSE))</f>
        <v>50000000</v>
      </c>
      <c r="I753" s="42">
        <f>VLOOKUP($A753,'Neraca Unaudited SIMAK'!$A$2:$R$1272,8,FALSE)+IF(ISNA(VLOOKUP($A753,'Mutasi Neraca'!$A$3:$S$910,8,FALSE)),0,VLOOKUP($A753,'Mutasi Neraca'!$A$3:$S$910,8,FALSE))</f>
        <v>76241620</v>
      </c>
      <c r="J753" s="42">
        <f>VLOOKUP($A753,'Neraca Unaudited SIMAK'!$A$2:$R$1272,9,FALSE)+IF(ISNA(VLOOKUP($A753,'Mutasi Neraca'!$A$3:$S$910,9,FALSE)),0,VLOOKUP($A753,'Mutasi Neraca'!$A$3:$S$910,9,FALSE))</f>
        <v>0</v>
      </c>
      <c r="K753" s="42">
        <f>VLOOKUP($A753,'Neraca Unaudited SIMAK'!$A$2:$R$1272,10,FALSE)+IF(ISNA(VLOOKUP($A753,'Mutasi Neraca'!$A$3:$S$910,10,FALSE)),0,VLOOKUP($A753,'Mutasi Neraca'!$A$3:$S$910,10,FALSE))</f>
        <v>20000000</v>
      </c>
      <c r="L753" s="42">
        <f>VLOOKUP($A753,'Neraca Unaudited SIMAK'!$A$2:$R$1272,11,FALSE)+IF(ISNA(VLOOKUP($A753,'Mutasi Neraca'!$A$3:$S$910,11,FALSE)),0,VLOOKUP($A753,'Mutasi Neraca'!$A$3:$S$910,11,FALSE))</f>
        <v>196083237</v>
      </c>
      <c r="M753" s="42">
        <f>VLOOKUP($A753,'Neraca Unaudited SIMAK'!$A$2:$R$1272,12,FALSE)+IF(ISNA(VLOOKUP($A753,'Mutasi Neraca'!$A$3:$S$910,12,FALSE)),0,VLOOKUP($A753,'Mutasi Neraca'!$A$3:$S$910,12,FALSE))</f>
        <v>13306880568</v>
      </c>
      <c r="N753" s="42">
        <f>VLOOKUP($A753,'Neraca Unaudited SIMAK'!$A$2:$R$1272,13,FALSE)+IF(ISNA(VLOOKUP($A753,'Mutasi Neraca'!$A$3:$S$910,13,FALSE)),0,VLOOKUP($A753,'Mutasi Neraca'!$A$3:$S$910,13,FALSE))</f>
        <v>-2630710639</v>
      </c>
      <c r="O753" s="42">
        <f>VLOOKUP($A753,'Neraca Unaudited SIMAK'!$A$2:$R$1272,14,FALSE)+IF(ISNA(VLOOKUP($A753,'Mutasi Neraca'!$A$3:$S$910,14,FALSE)),0,VLOOKUP($A753,'Mutasi Neraca'!$A$3:$S$910,14,FALSE))</f>
        <v>-2047691517</v>
      </c>
      <c r="P753" s="42">
        <f>VLOOKUP($A753,'Neraca Unaudited SIMAK'!$A$2:$R$1272,15,FALSE)+IF(ISNA(VLOOKUP($A753,'Mutasi Neraca'!$A$3:$S$910,15,FALSE)),0,VLOOKUP($A753,'Mutasi Neraca'!$A$3:$S$910,15,FALSE))</f>
        <v>-3750000</v>
      </c>
      <c r="Q753" s="42">
        <f>VLOOKUP($A753,'Neraca Unaudited SIMAK'!$A$2:$R$1272,16,FALSE)+IF(ISNA(VLOOKUP($A753,'Mutasi Neraca'!$A$3:$S$910,16,FALSE)),0,VLOOKUP($A753,'Mutasi Neraca'!$A$3:$S$910,16,FALSE))</f>
        <v>-25000000</v>
      </c>
      <c r="R753" s="42">
        <f>VLOOKUP($A753,'Neraca Unaudited SIMAK'!$A$2:$R$1272,17,FALSE)+IF(ISNA(VLOOKUP($A753,'Mutasi Neraca'!$A$3:$S$910,17,FALSE)),0,VLOOKUP($A753,'Mutasi Neraca'!$A$3:$S$910,17,FALSE))</f>
        <v>-196105112</v>
      </c>
      <c r="S753" s="42">
        <f t="shared" si="65"/>
        <v>8403623300</v>
      </c>
    </row>
    <row r="754" spans="1:19">
      <c r="A754" s="41" t="s">
        <v>761</v>
      </c>
      <c r="B754" s="41" t="str">
        <f t="shared" si="64"/>
        <v>005012600</v>
      </c>
      <c r="D754" s="42">
        <f>VLOOKUP($A754,'Neraca Unaudited SIMAK'!$A$2:$R$1272,3,FALSE)+IF(ISNA(VLOOKUP($A754,'Mutasi Neraca'!$A$3:$S$910,3,FALSE)),0,VLOOKUP($A754,'Mutasi Neraca'!$A$3:$S$910,3,FALSE))</f>
        <v>1624000</v>
      </c>
      <c r="E754" s="42">
        <f>VLOOKUP($A754,'Neraca Unaudited SIMAK'!$A$2:$R$1272,4,FALSE)+IF(ISNA(VLOOKUP($A754,'Mutasi Neraca'!$A$3:$S$910,4,FALSE)),0,VLOOKUP($A754,'Mutasi Neraca'!$A$3:$S$910,4,FALSE))</f>
        <v>1241761000</v>
      </c>
      <c r="F754" s="42">
        <f>VLOOKUP($A754,'Neraca Unaudited SIMAK'!$A$2:$R$1272,5,FALSE)+IF(ISNA(VLOOKUP($A754,'Mutasi Neraca'!$A$3:$S$910,5,FALSE)),0,VLOOKUP($A754,'Mutasi Neraca'!$A$3:$S$910,5,FALSE))</f>
        <v>2297648420</v>
      </c>
      <c r="G754" s="42">
        <f>VLOOKUP($A754,'Neraca Unaudited SIMAK'!$A$2:$R$1272,6,FALSE)+IF(ISNA(VLOOKUP($A754,'Mutasi Neraca'!$A$3:$S$910,6,FALSE)),0,VLOOKUP($A754,'Mutasi Neraca'!$A$3:$S$910,6,FALSE))</f>
        <v>3824311900</v>
      </c>
      <c r="H754" s="42">
        <f>VLOOKUP($A754,'Neraca Unaudited SIMAK'!$A$2:$R$1272,7,FALSE)+IF(ISNA(VLOOKUP($A754,'Mutasi Neraca'!$A$3:$S$910,7,FALSE)),0,VLOOKUP($A754,'Mutasi Neraca'!$A$3:$S$910,7,FALSE))</f>
        <v>22500000</v>
      </c>
      <c r="I754" s="42">
        <f>VLOOKUP($A754,'Neraca Unaudited SIMAK'!$A$2:$R$1272,8,FALSE)+IF(ISNA(VLOOKUP($A754,'Mutasi Neraca'!$A$3:$S$910,8,FALSE)),0,VLOOKUP($A754,'Mutasi Neraca'!$A$3:$S$910,8,FALSE))</f>
        <v>44928680</v>
      </c>
      <c r="J754" s="42">
        <f>VLOOKUP($A754,'Neraca Unaudited SIMAK'!$A$2:$R$1272,9,FALSE)+IF(ISNA(VLOOKUP($A754,'Mutasi Neraca'!$A$3:$S$910,9,FALSE)),0,VLOOKUP($A754,'Mutasi Neraca'!$A$3:$S$910,9,FALSE))</f>
        <v>0</v>
      </c>
      <c r="K754" s="42">
        <f>VLOOKUP($A754,'Neraca Unaudited SIMAK'!$A$2:$R$1272,10,FALSE)+IF(ISNA(VLOOKUP($A754,'Mutasi Neraca'!$A$3:$S$910,10,FALSE)),0,VLOOKUP($A754,'Mutasi Neraca'!$A$3:$S$910,10,FALSE))</f>
        <v>0</v>
      </c>
      <c r="L754" s="42">
        <f>VLOOKUP($A754,'Neraca Unaudited SIMAK'!$A$2:$R$1272,11,FALSE)+IF(ISNA(VLOOKUP($A754,'Mutasi Neraca'!$A$3:$S$910,11,FALSE)),0,VLOOKUP($A754,'Mutasi Neraca'!$A$3:$S$910,11,FALSE))</f>
        <v>111159000</v>
      </c>
      <c r="M754" s="42">
        <f>VLOOKUP($A754,'Neraca Unaudited SIMAK'!$A$2:$R$1272,12,FALSE)+IF(ISNA(VLOOKUP($A754,'Mutasi Neraca'!$A$3:$S$910,12,FALSE)),0,VLOOKUP($A754,'Mutasi Neraca'!$A$3:$S$910,12,FALSE))</f>
        <v>7543933000</v>
      </c>
      <c r="N754" s="42">
        <f>VLOOKUP($A754,'Neraca Unaudited SIMAK'!$A$2:$R$1272,13,FALSE)+IF(ISNA(VLOOKUP($A754,'Mutasi Neraca'!$A$3:$S$910,13,FALSE)),0,VLOOKUP($A754,'Mutasi Neraca'!$A$3:$S$910,13,FALSE))</f>
        <v>-1959579166</v>
      </c>
      <c r="O754" s="42">
        <f>VLOOKUP($A754,'Neraca Unaudited SIMAK'!$A$2:$R$1272,14,FALSE)+IF(ISNA(VLOOKUP($A754,'Mutasi Neraca'!$A$3:$S$910,14,FALSE)),0,VLOOKUP($A754,'Mutasi Neraca'!$A$3:$S$910,14,FALSE))</f>
        <v>-1020506793</v>
      </c>
      <c r="P754" s="42">
        <f>VLOOKUP($A754,'Neraca Unaudited SIMAK'!$A$2:$R$1272,15,FALSE)+IF(ISNA(VLOOKUP($A754,'Mutasi Neraca'!$A$3:$S$910,15,FALSE)),0,VLOOKUP($A754,'Mutasi Neraca'!$A$3:$S$910,15,FALSE))</f>
        <v>-2250000</v>
      </c>
      <c r="Q754" s="42">
        <f>VLOOKUP($A754,'Neraca Unaudited SIMAK'!$A$2:$R$1272,16,FALSE)+IF(ISNA(VLOOKUP($A754,'Mutasi Neraca'!$A$3:$S$910,16,FALSE)),0,VLOOKUP($A754,'Mutasi Neraca'!$A$3:$S$910,16,FALSE))</f>
        <v>0</v>
      </c>
      <c r="R754" s="42">
        <f>VLOOKUP($A754,'Neraca Unaudited SIMAK'!$A$2:$R$1272,17,FALSE)+IF(ISNA(VLOOKUP($A754,'Mutasi Neraca'!$A$3:$S$910,17,FALSE)),0,VLOOKUP($A754,'Mutasi Neraca'!$A$3:$S$910,17,FALSE))</f>
        <v>-110577600</v>
      </c>
      <c r="S754" s="42">
        <f t="shared" si="65"/>
        <v>4451019441</v>
      </c>
    </row>
    <row r="755" spans="1:19">
      <c r="A755" s="41" t="s">
        <v>762</v>
      </c>
      <c r="B755" s="41" t="str">
        <f t="shared" si="64"/>
        <v>005012600</v>
      </c>
      <c r="D755" s="42">
        <f>VLOOKUP($A755,'Neraca Unaudited SIMAK'!$A$2:$R$1272,3,FALSE)+IF(ISNA(VLOOKUP($A755,'Mutasi Neraca'!$A$3:$S$910,3,FALSE)),0,VLOOKUP($A755,'Mutasi Neraca'!$A$3:$S$910,3,FALSE))</f>
        <v>3868000</v>
      </c>
      <c r="E755" s="42">
        <f>VLOOKUP($A755,'Neraca Unaudited SIMAK'!$A$2:$R$1272,4,FALSE)+IF(ISNA(VLOOKUP($A755,'Mutasi Neraca'!$A$3:$S$910,4,FALSE)),0,VLOOKUP($A755,'Mutasi Neraca'!$A$3:$S$910,4,FALSE))</f>
        <v>306034347</v>
      </c>
      <c r="F755" s="42">
        <f>VLOOKUP($A755,'Neraca Unaudited SIMAK'!$A$2:$R$1272,5,FALSE)+IF(ISNA(VLOOKUP($A755,'Mutasi Neraca'!$A$3:$S$910,5,FALSE)),0,VLOOKUP($A755,'Mutasi Neraca'!$A$3:$S$910,5,FALSE))</f>
        <v>1445628368</v>
      </c>
      <c r="G755" s="42">
        <f>VLOOKUP($A755,'Neraca Unaudited SIMAK'!$A$2:$R$1272,6,FALSE)+IF(ISNA(VLOOKUP($A755,'Mutasi Neraca'!$A$3:$S$910,6,FALSE)),0,VLOOKUP($A755,'Mutasi Neraca'!$A$3:$S$910,6,FALSE))</f>
        <v>6066248000</v>
      </c>
      <c r="H755" s="42">
        <f>VLOOKUP($A755,'Neraca Unaudited SIMAK'!$A$2:$R$1272,7,FALSE)+IF(ISNA(VLOOKUP($A755,'Mutasi Neraca'!$A$3:$S$910,7,FALSE)),0,VLOOKUP($A755,'Mutasi Neraca'!$A$3:$S$910,7,FALSE))</f>
        <v>149350000</v>
      </c>
      <c r="I755" s="42">
        <f>VLOOKUP($A755,'Neraca Unaudited SIMAK'!$A$2:$R$1272,8,FALSE)+IF(ISNA(VLOOKUP($A755,'Mutasi Neraca'!$A$3:$S$910,8,FALSE)),0,VLOOKUP($A755,'Mutasi Neraca'!$A$3:$S$910,8,FALSE))</f>
        <v>0</v>
      </c>
      <c r="J755" s="42">
        <f>VLOOKUP($A755,'Neraca Unaudited SIMAK'!$A$2:$R$1272,9,FALSE)+IF(ISNA(VLOOKUP($A755,'Mutasi Neraca'!$A$3:$S$910,9,FALSE)),0,VLOOKUP($A755,'Mutasi Neraca'!$A$3:$S$910,9,FALSE))</f>
        <v>0</v>
      </c>
      <c r="K755" s="42">
        <f>VLOOKUP($A755,'Neraca Unaudited SIMAK'!$A$2:$R$1272,10,FALSE)+IF(ISNA(VLOOKUP($A755,'Mutasi Neraca'!$A$3:$S$910,10,FALSE)),0,VLOOKUP($A755,'Mutasi Neraca'!$A$3:$S$910,10,FALSE))</f>
        <v>0</v>
      </c>
      <c r="L755" s="42">
        <f>VLOOKUP($A755,'Neraca Unaudited SIMAK'!$A$2:$R$1272,11,FALSE)+IF(ISNA(VLOOKUP($A755,'Mutasi Neraca'!$A$3:$S$910,11,FALSE)),0,VLOOKUP($A755,'Mutasi Neraca'!$A$3:$S$910,11,FALSE))</f>
        <v>72773943</v>
      </c>
      <c r="M755" s="42">
        <f>VLOOKUP($A755,'Neraca Unaudited SIMAK'!$A$2:$R$1272,12,FALSE)+IF(ISNA(VLOOKUP($A755,'Mutasi Neraca'!$A$3:$S$910,12,FALSE)),0,VLOOKUP($A755,'Mutasi Neraca'!$A$3:$S$910,12,FALSE))</f>
        <v>8043902658</v>
      </c>
      <c r="N755" s="42">
        <f>VLOOKUP($A755,'Neraca Unaudited SIMAK'!$A$2:$R$1272,13,FALSE)+IF(ISNA(VLOOKUP($A755,'Mutasi Neraca'!$A$3:$S$910,13,FALSE)),0,VLOOKUP($A755,'Mutasi Neraca'!$A$3:$S$910,13,FALSE))</f>
        <v>-989691954</v>
      </c>
      <c r="O755" s="42">
        <f>VLOOKUP($A755,'Neraca Unaudited SIMAK'!$A$2:$R$1272,14,FALSE)+IF(ISNA(VLOOKUP($A755,'Mutasi Neraca'!$A$3:$S$910,14,FALSE)),0,VLOOKUP($A755,'Mutasi Neraca'!$A$3:$S$910,14,FALSE))</f>
        <v>-572202400</v>
      </c>
      <c r="P755" s="42">
        <f>VLOOKUP($A755,'Neraca Unaudited SIMAK'!$A$2:$R$1272,15,FALSE)+IF(ISNA(VLOOKUP($A755,'Mutasi Neraca'!$A$3:$S$910,15,FALSE)),0,VLOOKUP($A755,'Mutasi Neraca'!$A$3:$S$910,15,FALSE))</f>
        <v>-10603750</v>
      </c>
      <c r="Q755" s="42">
        <f>VLOOKUP($A755,'Neraca Unaudited SIMAK'!$A$2:$R$1272,16,FALSE)+IF(ISNA(VLOOKUP($A755,'Mutasi Neraca'!$A$3:$S$910,16,FALSE)),0,VLOOKUP($A755,'Mutasi Neraca'!$A$3:$S$910,16,FALSE))</f>
        <v>0</v>
      </c>
      <c r="R755" s="42">
        <f>VLOOKUP($A755,'Neraca Unaudited SIMAK'!$A$2:$R$1272,17,FALSE)+IF(ISNA(VLOOKUP($A755,'Mutasi Neraca'!$A$3:$S$910,17,FALSE)),0,VLOOKUP($A755,'Mutasi Neraca'!$A$3:$S$910,17,FALSE))</f>
        <v>-64561540</v>
      </c>
      <c r="S755" s="42">
        <f t="shared" si="65"/>
        <v>6406843014</v>
      </c>
    </row>
    <row r="756" spans="1:19">
      <c r="A756" s="41" t="s">
        <v>763</v>
      </c>
      <c r="B756" s="41" t="str">
        <f t="shared" si="64"/>
        <v>005012600</v>
      </c>
      <c r="D756" s="42">
        <f>VLOOKUP($A756,'Neraca Unaudited SIMAK'!$A$2:$R$1272,3,FALSE)+IF(ISNA(VLOOKUP($A756,'Mutasi Neraca'!$A$3:$S$910,3,FALSE)),0,VLOOKUP($A756,'Mutasi Neraca'!$A$3:$S$910,3,FALSE))</f>
        <v>246000</v>
      </c>
      <c r="E756" s="42">
        <f>VLOOKUP($A756,'Neraca Unaudited SIMAK'!$A$2:$R$1272,4,FALSE)+IF(ISNA(VLOOKUP($A756,'Mutasi Neraca'!$A$3:$S$910,4,FALSE)),0,VLOOKUP($A756,'Mutasi Neraca'!$A$3:$S$910,4,FALSE))</f>
        <v>629100000</v>
      </c>
      <c r="F756" s="42">
        <f>VLOOKUP($A756,'Neraca Unaudited SIMAK'!$A$2:$R$1272,5,FALSE)+IF(ISNA(VLOOKUP($A756,'Mutasi Neraca'!$A$3:$S$910,5,FALSE)),0,VLOOKUP($A756,'Mutasi Neraca'!$A$3:$S$910,5,FALSE))</f>
        <v>861867571</v>
      </c>
      <c r="G756" s="42">
        <f>VLOOKUP($A756,'Neraca Unaudited SIMAK'!$A$2:$R$1272,6,FALSE)+IF(ISNA(VLOOKUP($A756,'Mutasi Neraca'!$A$3:$S$910,6,FALSE)),0,VLOOKUP($A756,'Mutasi Neraca'!$A$3:$S$910,6,FALSE))</f>
        <v>6750584000</v>
      </c>
      <c r="H756" s="42">
        <f>VLOOKUP($A756,'Neraca Unaudited SIMAK'!$A$2:$R$1272,7,FALSE)+IF(ISNA(VLOOKUP($A756,'Mutasi Neraca'!$A$3:$S$910,7,FALSE)),0,VLOOKUP($A756,'Mutasi Neraca'!$A$3:$S$910,7,FALSE))</f>
        <v>826546600</v>
      </c>
      <c r="I756" s="42">
        <f>VLOOKUP($A756,'Neraca Unaudited SIMAK'!$A$2:$R$1272,8,FALSE)+IF(ISNA(VLOOKUP($A756,'Mutasi Neraca'!$A$3:$S$910,8,FALSE)),0,VLOOKUP($A756,'Mutasi Neraca'!$A$3:$S$910,8,FALSE))</f>
        <v>0</v>
      </c>
      <c r="J756" s="42">
        <f>VLOOKUP($A756,'Neraca Unaudited SIMAK'!$A$2:$R$1272,9,FALSE)+IF(ISNA(VLOOKUP($A756,'Mutasi Neraca'!$A$3:$S$910,9,FALSE)),0,VLOOKUP($A756,'Mutasi Neraca'!$A$3:$S$910,9,FALSE))</f>
        <v>0</v>
      </c>
      <c r="K756" s="42">
        <f>VLOOKUP($A756,'Neraca Unaudited SIMAK'!$A$2:$R$1272,10,FALSE)+IF(ISNA(VLOOKUP($A756,'Mutasi Neraca'!$A$3:$S$910,10,FALSE)),0,VLOOKUP($A756,'Mutasi Neraca'!$A$3:$S$910,10,FALSE))</f>
        <v>0</v>
      </c>
      <c r="L756" s="42">
        <f>VLOOKUP($A756,'Neraca Unaudited SIMAK'!$A$2:$R$1272,11,FALSE)+IF(ISNA(VLOOKUP($A756,'Mutasi Neraca'!$A$3:$S$910,11,FALSE)),0,VLOOKUP($A756,'Mutasi Neraca'!$A$3:$S$910,11,FALSE))</f>
        <v>123505000</v>
      </c>
      <c r="M756" s="42">
        <f>VLOOKUP($A756,'Neraca Unaudited SIMAK'!$A$2:$R$1272,12,FALSE)+IF(ISNA(VLOOKUP($A756,'Mutasi Neraca'!$A$3:$S$910,12,FALSE)),0,VLOOKUP($A756,'Mutasi Neraca'!$A$3:$S$910,12,FALSE))</f>
        <v>9191849171</v>
      </c>
      <c r="N756" s="42">
        <f>VLOOKUP($A756,'Neraca Unaudited SIMAK'!$A$2:$R$1272,13,FALSE)+IF(ISNA(VLOOKUP($A756,'Mutasi Neraca'!$A$3:$S$910,13,FALSE)),0,VLOOKUP($A756,'Mutasi Neraca'!$A$3:$S$910,13,FALSE))</f>
        <v>-657339781</v>
      </c>
      <c r="O756" s="42">
        <f>VLOOKUP($A756,'Neraca Unaudited SIMAK'!$A$2:$R$1272,14,FALSE)+IF(ISNA(VLOOKUP($A756,'Mutasi Neraca'!$A$3:$S$910,14,FALSE)),0,VLOOKUP($A756,'Mutasi Neraca'!$A$3:$S$910,14,FALSE))</f>
        <v>-563701548</v>
      </c>
      <c r="P756" s="42">
        <f>VLOOKUP($A756,'Neraca Unaudited SIMAK'!$A$2:$R$1272,15,FALSE)+IF(ISNA(VLOOKUP($A756,'Mutasi Neraca'!$A$3:$S$910,15,FALSE)),0,VLOOKUP($A756,'Mutasi Neraca'!$A$3:$S$910,15,FALSE))</f>
        <v>-39830945</v>
      </c>
      <c r="Q756" s="42">
        <f>VLOOKUP($A756,'Neraca Unaudited SIMAK'!$A$2:$R$1272,16,FALSE)+IF(ISNA(VLOOKUP($A756,'Mutasi Neraca'!$A$3:$S$910,16,FALSE)),0,VLOOKUP($A756,'Mutasi Neraca'!$A$3:$S$910,16,FALSE))</f>
        <v>0</v>
      </c>
      <c r="R756" s="42">
        <f>VLOOKUP($A756,'Neraca Unaudited SIMAK'!$A$2:$R$1272,17,FALSE)+IF(ISNA(VLOOKUP($A756,'Mutasi Neraca'!$A$3:$S$910,17,FALSE)),0,VLOOKUP($A756,'Mutasi Neraca'!$A$3:$S$910,17,FALSE))</f>
        <v>-113573500</v>
      </c>
      <c r="S756" s="42">
        <f t="shared" si="65"/>
        <v>7817403397</v>
      </c>
    </row>
    <row r="757" spans="1:19">
      <c r="A757" s="41" t="s">
        <v>764</v>
      </c>
      <c r="B757" s="41" t="str">
        <f t="shared" si="64"/>
        <v>005012600</v>
      </c>
      <c r="D757" s="42">
        <f>VLOOKUP($A757,'Neraca Unaudited SIMAK'!$A$2:$R$1272,3,FALSE)+IF(ISNA(VLOOKUP($A757,'Mutasi Neraca'!$A$3:$S$910,3,FALSE)),0,VLOOKUP($A757,'Mutasi Neraca'!$A$3:$S$910,3,FALSE))</f>
        <v>523000</v>
      </c>
      <c r="E757" s="42">
        <f>VLOOKUP($A757,'Neraca Unaudited SIMAK'!$A$2:$R$1272,4,FALSE)+IF(ISNA(VLOOKUP($A757,'Mutasi Neraca'!$A$3:$S$910,4,FALSE)),0,VLOOKUP($A757,'Mutasi Neraca'!$A$3:$S$910,4,FALSE))</f>
        <v>1217500000</v>
      </c>
      <c r="F757" s="42">
        <f>VLOOKUP($A757,'Neraca Unaudited SIMAK'!$A$2:$R$1272,5,FALSE)+IF(ISNA(VLOOKUP($A757,'Mutasi Neraca'!$A$3:$S$910,5,FALSE)),0,VLOOKUP($A757,'Mutasi Neraca'!$A$3:$S$910,5,FALSE))</f>
        <v>918702291</v>
      </c>
      <c r="G757" s="42">
        <f>VLOOKUP($A757,'Neraca Unaudited SIMAK'!$A$2:$R$1272,6,FALSE)+IF(ISNA(VLOOKUP($A757,'Mutasi Neraca'!$A$3:$S$910,6,FALSE)),0,VLOOKUP($A757,'Mutasi Neraca'!$A$3:$S$910,6,FALSE))</f>
        <v>7035863600</v>
      </c>
      <c r="H757" s="42">
        <f>VLOOKUP($A757,'Neraca Unaudited SIMAK'!$A$2:$R$1272,7,FALSE)+IF(ISNA(VLOOKUP($A757,'Mutasi Neraca'!$A$3:$S$910,7,FALSE)),0,VLOOKUP($A757,'Mutasi Neraca'!$A$3:$S$910,7,FALSE))</f>
        <v>99979000</v>
      </c>
      <c r="I757" s="42">
        <f>VLOOKUP($A757,'Neraca Unaudited SIMAK'!$A$2:$R$1272,8,FALSE)+IF(ISNA(VLOOKUP($A757,'Mutasi Neraca'!$A$3:$S$910,8,FALSE)),0,VLOOKUP($A757,'Mutasi Neraca'!$A$3:$S$910,8,FALSE))</f>
        <v>0</v>
      </c>
      <c r="J757" s="42">
        <f>VLOOKUP($A757,'Neraca Unaudited SIMAK'!$A$2:$R$1272,9,FALSE)+IF(ISNA(VLOOKUP($A757,'Mutasi Neraca'!$A$3:$S$910,9,FALSE)),0,VLOOKUP($A757,'Mutasi Neraca'!$A$3:$S$910,9,FALSE))</f>
        <v>0</v>
      </c>
      <c r="K757" s="42">
        <f>VLOOKUP($A757,'Neraca Unaudited SIMAK'!$A$2:$R$1272,10,FALSE)+IF(ISNA(VLOOKUP($A757,'Mutasi Neraca'!$A$3:$S$910,10,FALSE)),0,VLOOKUP($A757,'Mutasi Neraca'!$A$3:$S$910,10,FALSE))</f>
        <v>0</v>
      </c>
      <c r="L757" s="42">
        <f>VLOOKUP($A757,'Neraca Unaudited SIMAK'!$A$2:$R$1272,11,FALSE)+IF(ISNA(VLOOKUP($A757,'Mutasi Neraca'!$A$3:$S$910,11,FALSE)),0,VLOOKUP($A757,'Mutasi Neraca'!$A$3:$S$910,11,FALSE))</f>
        <v>0</v>
      </c>
      <c r="M757" s="42">
        <f>VLOOKUP($A757,'Neraca Unaudited SIMAK'!$A$2:$R$1272,12,FALSE)+IF(ISNA(VLOOKUP($A757,'Mutasi Neraca'!$A$3:$S$910,12,FALSE)),0,VLOOKUP($A757,'Mutasi Neraca'!$A$3:$S$910,12,FALSE))</f>
        <v>9272567891</v>
      </c>
      <c r="N757" s="42">
        <f>VLOOKUP($A757,'Neraca Unaudited SIMAK'!$A$2:$R$1272,13,FALSE)+IF(ISNA(VLOOKUP($A757,'Mutasi Neraca'!$A$3:$S$910,13,FALSE)),0,VLOOKUP($A757,'Mutasi Neraca'!$A$3:$S$910,13,FALSE))</f>
        <v>-817823754</v>
      </c>
      <c r="O757" s="42">
        <f>VLOOKUP($A757,'Neraca Unaudited SIMAK'!$A$2:$R$1272,14,FALSE)+IF(ISNA(VLOOKUP($A757,'Mutasi Neraca'!$A$3:$S$910,14,FALSE)),0,VLOOKUP($A757,'Mutasi Neraca'!$A$3:$S$910,14,FALSE))</f>
        <v>-549640575</v>
      </c>
      <c r="P757" s="42">
        <f>VLOOKUP($A757,'Neraca Unaudited SIMAK'!$A$2:$R$1272,15,FALSE)+IF(ISNA(VLOOKUP($A757,'Mutasi Neraca'!$A$3:$S$910,15,FALSE)),0,VLOOKUP($A757,'Mutasi Neraca'!$A$3:$S$910,15,FALSE))</f>
        <v>-9997900</v>
      </c>
      <c r="Q757" s="42">
        <f>VLOOKUP($A757,'Neraca Unaudited SIMAK'!$A$2:$R$1272,16,FALSE)+IF(ISNA(VLOOKUP($A757,'Mutasi Neraca'!$A$3:$S$910,16,FALSE)),0,VLOOKUP($A757,'Mutasi Neraca'!$A$3:$S$910,16,FALSE))</f>
        <v>0</v>
      </c>
      <c r="R757" s="42">
        <f>VLOOKUP($A757,'Neraca Unaudited SIMAK'!$A$2:$R$1272,17,FALSE)+IF(ISNA(VLOOKUP($A757,'Mutasi Neraca'!$A$3:$S$910,17,FALSE)),0,VLOOKUP($A757,'Mutasi Neraca'!$A$3:$S$910,17,FALSE))</f>
        <v>0</v>
      </c>
      <c r="S757" s="42">
        <f t="shared" si="65"/>
        <v>7895105662</v>
      </c>
    </row>
    <row r="758" spans="1:19">
      <c r="A758" s="41" t="s">
        <v>765</v>
      </c>
      <c r="B758" s="41" t="str">
        <f t="shared" si="64"/>
        <v>005012600</v>
      </c>
      <c r="D758" s="42">
        <f>VLOOKUP($A758,'Neraca Unaudited SIMAK'!$A$2:$R$1272,3,FALSE)+IF(ISNA(VLOOKUP($A758,'Mutasi Neraca'!$A$3:$S$910,3,FALSE)),0,VLOOKUP($A758,'Mutasi Neraca'!$A$3:$S$910,3,FALSE))</f>
        <v>75000</v>
      </c>
      <c r="E758" s="42">
        <f>VLOOKUP($A758,'Neraca Unaudited SIMAK'!$A$2:$R$1272,4,FALSE)+IF(ISNA(VLOOKUP($A758,'Mutasi Neraca'!$A$3:$S$910,4,FALSE)),0,VLOOKUP($A758,'Mutasi Neraca'!$A$3:$S$910,4,FALSE))</f>
        <v>203600000</v>
      </c>
      <c r="F758" s="42">
        <f>VLOOKUP($A758,'Neraca Unaudited SIMAK'!$A$2:$R$1272,5,FALSE)+IF(ISNA(VLOOKUP($A758,'Mutasi Neraca'!$A$3:$S$910,5,FALSE)),0,VLOOKUP($A758,'Mutasi Neraca'!$A$3:$S$910,5,FALSE))</f>
        <v>1168234517</v>
      </c>
      <c r="G758" s="42">
        <f>VLOOKUP($A758,'Neraca Unaudited SIMAK'!$A$2:$R$1272,6,FALSE)+IF(ISNA(VLOOKUP($A758,'Mutasi Neraca'!$A$3:$S$910,6,FALSE)),0,VLOOKUP($A758,'Mutasi Neraca'!$A$3:$S$910,6,FALSE))</f>
        <v>6431742000</v>
      </c>
      <c r="H758" s="42">
        <f>VLOOKUP($A758,'Neraca Unaudited SIMAK'!$A$2:$R$1272,7,FALSE)+IF(ISNA(VLOOKUP($A758,'Mutasi Neraca'!$A$3:$S$910,7,FALSE)),0,VLOOKUP($A758,'Mutasi Neraca'!$A$3:$S$910,7,FALSE))</f>
        <v>0</v>
      </c>
      <c r="I758" s="42">
        <f>VLOOKUP($A758,'Neraca Unaudited SIMAK'!$A$2:$R$1272,8,FALSE)+IF(ISNA(VLOOKUP($A758,'Mutasi Neraca'!$A$3:$S$910,8,FALSE)),0,VLOOKUP($A758,'Mutasi Neraca'!$A$3:$S$910,8,FALSE))</f>
        <v>68459254</v>
      </c>
      <c r="J758" s="42">
        <f>VLOOKUP($A758,'Neraca Unaudited SIMAK'!$A$2:$R$1272,9,FALSE)+IF(ISNA(VLOOKUP($A758,'Mutasi Neraca'!$A$3:$S$910,9,FALSE)),0,VLOOKUP($A758,'Mutasi Neraca'!$A$3:$S$910,9,FALSE))</f>
        <v>0</v>
      </c>
      <c r="K758" s="42">
        <f>VLOOKUP($A758,'Neraca Unaudited SIMAK'!$A$2:$R$1272,10,FALSE)+IF(ISNA(VLOOKUP($A758,'Mutasi Neraca'!$A$3:$S$910,10,FALSE)),0,VLOOKUP($A758,'Mutasi Neraca'!$A$3:$S$910,10,FALSE))</f>
        <v>0</v>
      </c>
      <c r="L758" s="42">
        <f>VLOOKUP($A758,'Neraca Unaudited SIMAK'!$A$2:$R$1272,11,FALSE)+IF(ISNA(VLOOKUP($A758,'Mutasi Neraca'!$A$3:$S$910,11,FALSE)),0,VLOOKUP($A758,'Mutasi Neraca'!$A$3:$S$910,11,FALSE))</f>
        <v>0</v>
      </c>
      <c r="M758" s="42">
        <f>VLOOKUP($A758,'Neraca Unaudited SIMAK'!$A$2:$R$1272,12,FALSE)+IF(ISNA(VLOOKUP($A758,'Mutasi Neraca'!$A$3:$S$910,12,FALSE)),0,VLOOKUP($A758,'Mutasi Neraca'!$A$3:$S$910,12,FALSE))</f>
        <v>7872110771</v>
      </c>
      <c r="N758" s="42">
        <f>VLOOKUP($A758,'Neraca Unaudited SIMAK'!$A$2:$R$1272,13,FALSE)+IF(ISNA(VLOOKUP($A758,'Mutasi Neraca'!$A$3:$S$910,13,FALSE)),0,VLOOKUP($A758,'Mutasi Neraca'!$A$3:$S$910,13,FALSE))</f>
        <v>-947738771</v>
      </c>
      <c r="O758" s="42">
        <f>VLOOKUP($A758,'Neraca Unaudited SIMAK'!$A$2:$R$1272,14,FALSE)+IF(ISNA(VLOOKUP($A758,'Mutasi Neraca'!$A$3:$S$910,14,FALSE)),0,VLOOKUP($A758,'Mutasi Neraca'!$A$3:$S$910,14,FALSE))</f>
        <v>-678392075</v>
      </c>
      <c r="P758" s="42">
        <f>VLOOKUP($A758,'Neraca Unaudited SIMAK'!$A$2:$R$1272,15,FALSE)+IF(ISNA(VLOOKUP($A758,'Mutasi Neraca'!$A$3:$S$910,15,FALSE)),0,VLOOKUP($A758,'Mutasi Neraca'!$A$3:$S$910,15,FALSE))</f>
        <v>0</v>
      </c>
      <c r="Q758" s="42">
        <f>VLOOKUP($A758,'Neraca Unaudited SIMAK'!$A$2:$R$1272,16,FALSE)+IF(ISNA(VLOOKUP($A758,'Mutasi Neraca'!$A$3:$S$910,16,FALSE)),0,VLOOKUP($A758,'Mutasi Neraca'!$A$3:$S$910,16,FALSE))</f>
        <v>0</v>
      </c>
      <c r="R758" s="42">
        <f>VLOOKUP($A758,'Neraca Unaudited SIMAK'!$A$2:$R$1272,17,FALSE)+IF(ISNA(VLOOKUP($A758,'Mutasi Neraca'!$A$3:$S$910,17,FALSE)),0,VLOOKUP($A758,'Mutasi Neraca'!$A$3:$S$910,17,FALSE))</f>
        <v>0</v>
      </c>
      <c r="S758" s="42">
        <f t="shared" si="65"/>
        <v>6245979925</v>
      </c>
    </row>
    <row r="759" spans="1:19">
      <c r="A759" s="41" t="s">
        <v>766</v>
      </c>
      <c r="B759" s="41" t="str">
        <f t="shared" si="64"/>
        <v>005012600</v>
      </c>
      <c r="D759" s="42">
        <f>VLOOKUP($A759,'Neraca Unaudited SIMAK'!$A$2:$R$1272,3,FALSE)+IF(ISNA(VLOOKUP($A759,'Mutasi Neraca'!$A$3:$S$910,3,FALSE)),0,VLOOKUP($A759,'Mutasi Neraca'!$A$3:$S$910,3,FALSE))</f>
        <v>830000</v>
      </c>
      <c r="E759" s="42">
        <f>VLOOKUP($A759,'Neraca Unaudited SIMAK'!$A$2:$R$1272,4,FALSE)+IF(ISNA(VLOOKUP($A759,'Mutasi Neraca'!$A$3:$S$910,4,FALSE)),0,VLOOKUP($A759,'Mutasi Neraca'!$A$3:$S$910,4,FALSE))</f>
        <v>676035000</v>
      </c>
      <c r="F759" s="42">
        <f>VLOOKUP($A759,'Neraca Unaudited SIMAK'!$A$2:$R$1272,5,FALSE)+IF(ISNA(VLOOKUP($A759,'Mutasi Neraca'!$A$3:$S$910,5,FALSE)),0,VLOOKUP($A759,'Mutasi Neraca'!$A$3:$S$910,5,FALSE))</f>
        <v>1154410400</v>
      </c>
      <c r="G759" s="42">
        <f>VLOOKUP($A759,'Neraca Unaudited SIMAK'!$A$2:$R$1272,6,FALSE)+IF(ISNA(VLOOKUP($A759,'Mutasi Neraca'!$A$3:$S$910,6,FALSE)),0,VLOOKUP($A759,'Mutasi Neraca'!$A$3:$S$910,6,FALSE))</f>
        <v>5690502359</v>
      </c>
      <c r="H759" s="42">
        <f>VLOOKUP($A759,'Neraca Unaudited SIMAK'!$A$2:$R$1272,7,FALSE)+IF(ISNA(VLOOKUP($A759,'Mutasi Neraca'!$A$3:$S$910,7,FALSE)),0,VLOOKUP($A759,'Mutasi Neraca'!$A$3:$S$910,7,FALSE))</f>
        <v>0</v>
      </c>
      <c r="I759" s="42">
        <f>VLOOKUP($A759,'Neraca Unaudited SIMAK'!$A$2:$R$1272,8,FALSE)+IF(ISNA(VLOOKUP($A759,'Mutasi Neraca'!$A$3:$S$910,8,FALSE)),0,VLOOKUP($A759,'Mutasi Neraca'!$A$3:$S$910,8,FALSE))</f>
        <v>18150000</v>
      </c>
      <c r="J759" s="42">
        <f>VLOOKUP($A759,'Neraca Unaudited SIMAK'!$A$2:$R$1272,9,FALSE)+IF(ISNA(VLOOKUP($A759,'Mutasi Neraca'!$A$3:$S$910,9,FALSE)),0,VLOOKUP($A759,'Mutasi Neraca'!$A$3:$S$910,9,FALSE))</f>
        <v>0</v>
      </c>
      <c r="K759" s="42">
        <f>VLOOKUP($A759,'Neraca Unaudited SIMAK'!$A$2:$R$1272,10,FALSE)+IF(ISNA(VLOOKUP($A759,'Mutasi Neraca'!$A$3:$S$910,10,FALSE)),0,VLOOKUP($A759,'Mutasi Neraca'!$A$3:$S$910,10,FALSE))</f>
        <v>0</v>
      </c>
      <c r="L759" s="42">
        <f>VLOOKUP($A759,'Neraca Unaudited SIMAK'!$A$2:$R$1272,11,FALSE)+IF(ISNA(VLOOKUP($A759,'Mutasi Neraca'!$A$3:$S$910,11,FALSE)),0,VLOOKUP($A759,'Mutasi Neraca'!$A$3:$S$910,11,FALSE))</f>
        <v>0</v>
      </c>
      <c r="M759" s="42">
        <f>VLOOKUP($A759,'Neraca Unaudited SIMAK'!$A$2:$R$1272,12,FALSE)+IF(ISNA(VLOOKUP($A759,'Mutasi Neraca'!$A$3:$S$910,12,FALSE)),0,VLOOKUP($A759,'Mutasi Neraca'!$A$3:$S$910,12,FALSE))</f>
        <v>7539927759</v>
      </c>
      <c r="N759" s="42">
        <f>VLOOKUP($A759,'Neraca Unaudited SIMAK'!$A$2:$R$1272,13,FALSE)+IF(ISNA(VLOOKUP($A759,'Mutasi Neraca'!$A$3:$S$910,13,FALSE)),0,VLOOKUP($A759,'Mutasi Neraca'!$A$3:$S$910,13,FALSE))</f>
        <v>-355971171</v>
      </c>
      <c r="O759" s="42">
        <f>VLOOKUP($A759,'Neraca Unaudited SIMAK'!$A$2:$R$1272,14,FALSE)+IF(ISNA(VLOOKUP($A759,'Mutasi Neraca'!$A$3:$S$910,14,FALSE)),0,VLOOKUP($A759,'Mutasi Neraca'!$A$3:$S$910,14,FALSE))</f>
        <v>-256572319</v>
      </c>
      <c r="P759" s="42">
        <f>VLOOKUP($A759,'Neraca Unaudited SIMAK'!$A$2:$R$1272,15,FALSE)+IF(ISNA(VLOOKUP($A759,'Mutasi Neraca'!$A$3:$S$910,15,FALSE)),0,VLOOKUP($A759,'Mutasi Neraca'!$A$3:$S$910,15,FALSE))</f>
        <v>0</v>
      </c>
      <c r="Q759" s="42">
        <f>VLOOKUP($A759,'Neraca Unaudited SIMAK'!$A$2:$R$1272,16,FALSE)+IF(ISNA(VLOOKUP($A759,'Mutasi Neraca'!$A$3:$S$910,16,FALSE)),0,VLOOKUP($A759,'Mutasi Neraca'!$A$3:$S$910,16,FALSE))</f>
        <v>0</v>
      </c>
      <c r="R759" s="42">
        <f>VLOOKUP($A759,'Neraca Unaudited SIMAK'!$A$2:$R$1272,17,FALSE)+IF(ISNA(VLOOKUP($A759,'Mutasi Neraca'!$A$3:$S$910,17,FALSE)),0,VLOOKUP($A759,'Mutasi Neraca'!$A$3:$S$910,17,FALSE))</f>
        <v>0</v>
      </c>
      <c r="S759" s="42">
        <f t="shared" si="65"/>
        <v>6927384269</v>
      </c>
    </row>
    <row r="760" spans="1:19">
      <c r="A760" s="41" t="s">
        <v>767</v>
      </c>
      <c r="B760" s="41" t="str">
        <f t="shared" si="64"/>
        <v>005012800</v>
      </c>
      <c r="D760" s="42">
        <f>VLOOKUP($A760,'Neraca Unaudited SIMAK'!$A$2:$R$1272,3,FALSE)+IF(ISNA(VLOOKUP($A760,'Mutasi Neraca'!$A$3:$S$910,3,FALSE)),0,VLOOKUP($A760,'Mutasi Neraca'!$A$3:$S$910,3,FALSE))</f>
        <v>0</v>
      </c>
      <c r="E760" s="42">
        <f>VLOOKUP($A760,'Neraca Unaudited SIMAK'!$A$2:$R$1272,4,FALSE)+IF(ISNA(VLOOKUP($A760,'Mutasi Neraca'!$A$3:$S$910,4,FALSE)),0,VLOOKUP($A760,'Mutasi Neraca'!$A$3:$S$910,4,FALSE))</f>
        <v>4697762000</v>
      </c>
      <c r="F760" s="42">
        <f>VLOOKUP($A760,'Neraca Unaudited SIMAK'!$A$2:$R$1272,5,FALSE)+IF(ISNA(VLOOKUP($A760,'Mutasi Neraca'!$A$3:$S$910,5,FALSE)),0,VLOOKUP($A760,'Mutasi Neraca'!$A$3:$S$910,5,FALSE))</f>
        <v>5264629916</v>
      </c>
      <c r="G760" s="42">
        <f>VLOOKUP($A760,'Neraca Unaudited SIMAK'!$A$2:$R$1272,6,FALSE)+IF(ISNA(VLOOKUP($A760,'Mutasi Neraca'!$A$3:$S$910,6,FALSE)),0,VLOOKUP($A760,'Mutasi Neraca'!$A$3:$S$910,6,FALSE))</f>
        <v>1067201000</v>
      </c>
      <c r="H760" s="42">
        <f>VLOOKUP($A760,'Neraca Unaudited SIMAK'!$A$2:$R$1272,7,FALSE)+IF(ISNA(VLOOKUP($A760,'Mutasi Neraca'!$A$3:$S$910,7,FALSE)),0,VLOOKUP($A760,'Mutasi Neraca'!$A$3:$S$910,7,FALSE))</f>
        <v>171076312</v>
      </c>
      <c r="I760" s="42">
        <f>VLOOKUP($A760,'Neraca Unaudited SIMAK'!$A$2:$R$1272,8,FALSE)+IF(ISNA(VLOOKUP($A760,'Mutasi Neraca'!$A$3:$S$910,8,FALSE)),0,VLOOKUP($A760,'Mutasi Neraca'!$A$3:$S$910,8,FALSE))</f>
        <v>25262116</v>
      </c>
      <c r="J760" s="42">
        <f>VLOOKUP($A760,'Neraca Unaudited SIMAK'!$A$2:$R$1272,9,FALSE)+IF(ISNA(VLOOKUP($A760,'Mutasi Neraca'!$A$3:$S$910,9,FALSE)),0,VLOOKUP($A760,'Mutasi Neraca'!$A$3:$S$910,9,FALSE))</f>
        <v>20495342274</v>
      </c>
      <c r="K760" s="42">
        <f>VLOOKUP($A760,'Neraca Unaudited SIMAK'!$A$2:$R$1272,10,FALSE)+IF(ISNA(VLOOKUP($A760,'Mutasi Neraca'!$A$3:$S$910,10,FALSE)),0,VLOOKUP($A760,'Mutasi Neraca'!$A$3:$S$910,10,FALSE))</f>
        <v>0</v>
      </c>
      <c r="L760" s="42">
        <f>VLOOKUP($A760,'Neraca Unaudited SIMAK'!$A$2:$R$1272,11,FALSE)+IF(ISNA(VLOOKUP($A760,'Mutasi Neraca'!$A$3:$S$910,11,FALSE)),0,VLOOKUP($A760,'Mutasi Neraca'!$A$3:$S$910,11,FALSE))</f>
        <v>87480000</v>
      </c>
      <c r="M760" s="42">
        <f>VLOOKUP($A760,'Neraca Unaudited SIMAK'!$A$2:$R$1272,12,FALSE)+IF(ISNA(VLOOKUP($A760,'Mutasi Neraca'!$A$3:$S$910,12,FALSE)),0,VLOOKUP($A760,'Mutasi Neraca'!$A$3:$S$910,12,FALSE))</f>
        <v>31808753618</v>
      </c>
      <c r="N760" s="42">
        <f>VLOOKUP($A760,'Neraca Unaudited SIMAK'!$A$2:$R$1272,13,FALSE)+IF(ISNA(VLOOKUP($A760,'Mutasi Neraca'!$A$3:$S$910,13,FALSE)),0,VLOOKUP($A760,'Mutasi Neraca'!$A$3:$S$910,13,FALSE))</f>
        <v>-3314564799</v>
      </c>
      <c r="O760" s="42">
        <f>VLOOKUP($A760,'Neraca Unaudited SIMAK'!$A$2:$R$1272,14,FALSE)+IF(ISNA(VLOOKUP($A760,'Mutasi Neraca'!$A$3:$S$910,14,FALSE)),0,VLOOKUP($A760,'Mutasi Neraca'!$A$3:$S$910,14,FALSE))</f>
        <v>-237746492</v>
      </c>
      <c r="P760" s="42">
        <f>VLOOKUP($A760,'Neraca Unaudited SIMAK'!$A$2:$R$1272,15,FALSE)+IF(ISNA(VLOOKUP($A760,'Mutasi Neraca'!$A$3:$S$910,15,FALSE)),0,VLOOKUP($A760,'Mutasi Neraca'!$A$3:$S$910,15,FALSE))</f>
        <v>-53369735</v>
      </c>
      <c r="Q760" s="42">
        <f>VLOOKUP($A760,'Neraca Unaudited SIMAK'!$A$2:$R$1272,16,FALSE)+IF(ISNA(VLOOKUP($A760,'Mutasi Neraca'!$A$3:$S$910,16,FALSE)),0,VLOOKUP($A760,'Mutasi Neraca'!$A$3:$S$910,16,FALSE))</f>
        <v>-20490000</v>
      </c>
      <c r="R760" s="42">
        <f>VLOOKUP($A760,'Neraca Unaudited SIMAK'!$A$2:$R$1272,17,FALSE)+IF(ISNA(VLOOKUP($A760,'Mutasi Neraca'!$A$3:$S$910,17,FALSE)),0,VLOOKUP($A760,'Mutasi Neraca'!$A$3:$S$910,17,FALSE))</f>
        <v>-87480000</v>
      </c>
      <c r="S760" s="42">
        <f t="shared" si="65"/>
        <v>28095102592</v>
      </c>
    </row>
    <row r="761" spans="1:19">
      <c r="A761" s="41" t="s">
        <v>768</v>
      </c>
      <c r="B761" s="41" t="str">
        <f t="shared" si="64"/>
        <v>005012800</v>
      </c>
      <c r="D761" s="42">
        <f>VLOOKUP($A761,'Neraca Unaudited SIMAK'!$A$2:$R$1272,3,FALSE)+IF(ISNA(VLOOKUP($A761,'Mutasi Neraca'!$A$3:$S$910,3,FALSE)),0,VLOOKUP($A761,'Mutasi Neraca'!$A$3:$S$910,3,FALSE))</f>
        <v>1140000</v>
      </c>
      <c r="E761" s="42">
        <f>VLOOKUP($A761,'Neraca Unaudited SIMAK'!$A$2:$R$1272,4,FALSE)+IF(ISNA(VLOOKUP($A761,'Mutasi Neraca'!$A$3:$S$910,4,FALSE)),0,VLOOKUP($A761,'Mutasi Neraca'!$A$3:$S$910,4,FALSE))</f>
        <v>713347000</v>
      </c>
      <c r="F761" s="42">
        <f>VLOOKUP($A761,'Neraca Unaudited SIMAK'!$A$2:$R$1272,5,FALSE)+IF(ISNA(VLOOKUP($A761,'Mutasi Neraca'!$A$3:$S$910,5,FALSE)),0,VLOOKUP($A761,'Mutasi Neraca'!$A$3:$S$910,5,FALSE))</f>
        <v>1637524357</v>
      </c>
      <c r="G761" s="42">
        <f>VLOOKUP($A761,'Neraca Unaudited SIMAK'!$A$2:$R$1272,6,FALSE)+IF(ISNA(VLOOKUP($A761,'Mutasi Neraca'!$A$3:$S$910,6,FALSE)),0,VLOOKUP($A761,'Mutasi Neraca'!$A$3:$S$910,6,FALSE))</f>
        <v>3280544000</v>
      </c>
      <c r="H761" s="42">
        <f>VLOOKUP($A761,'Neraca Unaudited SIMAK'!$A$2:$R$1272,7,FALSE)+IF(ISNA(VLOOKUP($A761,'Mutasi Neraca'!$A$3:$S$910,7,FALSE)),0,VLOOKUP($A761,'Mutasi Neraca'!$A$3:$S$910,7,FALSE))</f>
        <v>34795000</v>
      </c>
      <c r="I761" s="42">
        <f>VLOOKUP($A761,'Neraca Unaudited SIMAK'!$A$2:$R$1272,8,FALSE)+IF(ISNA(VLOOKUP($A761,'Mutasi Neraca'!$A$3:$S$910,8,FALSE)),0,VLOOKUP($A761,'Mutasi Neraca'!$A$3:$S$910,8,FALSE))</f>
        <v>1943440</v>
      </c>
      <c r="J761" s="42">
        <f>VLOOKUP($A761,'Neraca Unaudited SIMAK'!$A$2:$R$1272,9,FALSE)+IF(ISNA(VLOOKUP($A761,'Mutasi Neraca'!$A$3:$S$910,9,FALSE)),0,VLOOKUP($A761,'Mutasi Neraca'!$A$3:$S$910,9,FALSE))</f>
        <v>7661546000</v>
      </c>
      <c r="K761" s="42">
        <f>VLOOKUP($A761,'Neraca Unaudited SIMAK'!$A$2:$R$1272,10,FALSE)+IF(ISNA(VLOOKUP($A761,'Mutasi Neraca'!$A$3:$S$910,10,FALSE)),0,VLOOKUP($A761,'Mutasi Neraca'!$A$3:$S$910,10,FALSE))</f>
        <v>15000000</v>
      </c>
      <c r="L761" s="42">
        <f>VLOOKUP($A761,'Neraca Unaudited SIMAK'!$A$2:$R$1272,11,FALSE)+IF(ISNA(VLOOKUP($A761,'Mutasi Neraca'!$A$3:$S$910,11,FALSE)),0,VLOOKUP($A761,'Mutasi Neraca'!$A$3:$S$910,11,FALSE))</f>
        <v>213471126</v>
      </c>
      <c r="M761" s="42">
        <f>VLOOKUP($A761,'Neraca Unaudited SIMAK'!$A$2:$R$1272,12,FALSE)+IF(ISNA(VLOOKUP($A761,'Mutasi Neraca'!$A$3:$S$910,12,FALSE)),0,VLOOKUP($A761,'Mutasi Neraca'!$A$3:$S$910,12,FALSE))</f>
        <v>13559310923</v>
      </c>
      <c r="N761" s="42">
        <f>VLOOKUP($A761,'Neraca Unaudited SIMAK'!$A$2:$R$1272,13,FALSE)+IF(ISNA(VLOOKUP($A761,'Mutasi Neraca'!$A$3:$S$910,13,FALSE)),0,VLOOKUP($A761,'Mutasi Neraca'!$A$3:$S$910,13,FALSE))</f>
        <v>-1259942883</v>
      </c>
      <c r="O761" s="42">
        <f>VLOOKUP($A761,'Neraca Unaudited SIMAK'!$A$2:$R$1272,14,FALSE)+IF(ISNA(VLOOKUP($A761,'Mutasi Neraca'!$A$3:$S$910,14,FALSE)),0,VLOOKUP($A761,'Mutasi Neraca'!$A$3:$S$910,14,FALSE))</f>
        <v>-732567151</v>
      </c>
      <c r="P761" s="42">
        <f>VLOOKUP($A761,'Neraca Unaudited SIMAK'!$A$2:$R$1272,15,FALSE)+IF(ISNA(VLOOKUP($A761,'Mutasi Neraca'!$A$3:$S$910,15,FALSE)),0,VLOOKUP($A761,'Mutasi Neraca'!$A$3:$S$910,15,FALSE))</f>
        <v>-34795000</v>
      </c>
      <c r="Q761" s="42">
        <f>VLOOKUP($A761,'Neraca Unaudited SIMAK'!$A$2:$R$1272,16,FALSE)+IF(ISNA(VLOOKUP($A761,'Mutasi Neraca'!$A$3:$S$910,16,FALSE)),0,VLOOKUP($A761,'Mutasi Neraca'!$A$3:$S$910,16,FALSE))</f>
        <v>0</v>
      </c>
      <c r="R761" s="42">
        <f>VLOOKUP($A761,'Neraca Unaudited SIMAK'!$A$2:$R$1272,17,FALSE)+IF(ISNA(VLOOKUP($A761,'Mutasi Neraca'!$A$3:$S$910,17,FALSE)),0,VLOOKUP($A761,'Mutasi Neraca'!$A$3:$S$910,17,FALSE))</f>
        <v>-213471126</v>
      </c>
      <c r="S761" s="42">
        <f t="shared" si="65"/>
        <v>11318534763</v>
      </c>
    </row>
    <row r="762" spans="1:19">
      <c r="A762" s="41" t="s">
        <v>769</v>
      </c>
      <c r="B762" s="41" t="str">
        <f t="shared" si="64"/>
        <v>005012800</v>
      </c>
      <c r="D762" s="42">
        <f>VLOOKUP($A762,'Neraca Unaudited SIMAK'!$A$2:$R$1272,3,FALSE)+IF(ISNA(VLOOKUP($A762,'Mutasi Neraca'!$A$3:$S$910,3,FALSE)),0,VLOOKUP($A762,'Mutasi Neraca'!$A$3:$S$910,3,FALSE))</f>
        <v>695000</v>
      </c>
      <c r="E762" s="42">
        <f>VLOOKUP($A762,'Neraca Unaudited SIMAK'!$A$2:$R$1272,4,FALSE)+IF(ISNA(VLOOKUP($A762,'Mutasi Neraca'!$A$3:$S$910,4,FALSE)),0,VLOOKUP($A762,'Mutasi Neraca'!$A$3:$S$910,4,FALSE))</f>
        <v>1710518000</v>
      </c>
      <c r="F762" s="42">
        <f>VLOOKUP($A762,'Neraca Unaudited SIMAK'!$A$2:$R$1272,5,FALSE)+IF(ISNA(VLOOKUP($A762,'Mutasi Neraca'!$A$3:$S$910,5,FALSE)),0,VLOOKUP($A762,'Mutasi Neraca'!$A$3:$S$910,5,FALSE))</f>
        <v>2798599154</v>
      </c>
      <c r="G762" s="42">
        <f>VLOOKUP($A762,'Neraca Unaudited SIMAK'!$A$2:$R$1272,6,FALSE)+IF(ISNA(VLOOKUP($A762,'Mutasi Neraca'!$A$3:$S$910,6,FALSE)),0,VLOOKUP($A762,'Mutasi Neraca'!$A$3:$S$910,6,FALSE))</f>
        <v>5076700004</v>
      </c>
      <c r="H762" s="42">
        <f>VLOOKUP($A762,'Neraca Unaudited SIMAK'!$A$2:$R$1272,7,FALSE)+IF(ISNA(VLOOKUP($A762,'Mutasi Neraca'!$A$3:$S$910,7,FALSE)),0,VLOOKUP($A762,'Mutasi Neraca'!$A$3:$S$910,7,FALSE))</f>
        <v>20000000</v>
      </c>
      <c r="I762" s="42">
        <f>VLOOKUP($A762,'Neraca Unaudited SIMAK'!$A$2:$R$1272,8,FALSE)+IF(ISNA(VLOOKUP($A762,'Mutasi Neraca'!$A$3:$S$910,8,FALSE)),0,VLOOKUP($A762,'Mutasi Neraca'!$A$3:$S$910,8,FALSE))</f>
        <v>5122120</v>
      </c>
      <c r="J762" s="42">
        <f>VLOOKUP($A762,'Neraca Unaudited SIMAK'!$A$2:$R$1272,9,FALSE)+IF(ISNA(VLOOKUP($A762,'Mutasi Neraca'!$A$3:$S$910,9,FALSE)),0,VLOOKUP($A762,'Mutasi Neraca'!$A$3:$S$910,9,FALSE))</f>
        <v>12219817600</v>
      </c>
      <c r="K762" s="42">
        <f>VLOOKUP($A762,'Neraca Unaudited SIMAK'!$A$2:$R$1272,10,FALSE)+IF(ISNA(VLOOKUP($A762,'Mutasi Neraca'!$A$3:$S$910,10,FALSE)),0,VLOOKUP($A762,'Mutasi Neraca'!$A$3:$S$910,10,FALSE))</f>
        <v>0</v>
      </c>
      <c r="L762" s="42">
        <f>VLOOKUP($A762,'Neraca Unaudited SIMAK'!$A$2:$R$1272,11,FALSE)+IF(ISNA(VLOOKUP($A762,'Mutasi Neraca'!$A$3:$S$910,11,FALSE)),0,VLOOKUP($A762,'Mutasi Neraca'!$A$3:$S$910,11,FALSE))</f>
        <v>0</v>
      </c>
      <c r="M762" s="42">
        <f>VLOOKUP($A762,'Neraca Unaudited SIMAK'!$A$2:$R$1272,12,FALSE)+IF(ISNA(VLOOKUP($A762,'Mutasi Neraca'!$A$3:$S$910,12,FALSE)),0,VLOOKUP($A762,'Mutasi Neraca'!$A$3:$S$910,12,FALSE))</f>
        <v>21831451878</v>
      </c>
      <c r="N762" s="42">
        <f>VLOOKUP($A762,'Neraca Unaudited SIMAK'!$A$2:$R$1272,13,FALSE)+IF(ISNA(VLOOKUP($A762,'Mutasi Neraca'!$A$3:$S$910,13,FALSE)),0,VLOOKUP($A762,'Mutasi Neraca'!$A$3:$S$910,13,FALSE))</f>
        <v>-2351076728</v>
      </c>
      <c r="O762" s="42">
        <f>VLOOKUP($A762,'Neraca Unaudited SIMAK'!$A$2:$R$1272,14,FALSE)+IF(ISNA(VLOOKUP($A762,'Mutasi Neraca'!$A$3:$S$910,14,FALSE)),0,VLOOKUP($A762,'Mutasi Neraca'!$A$3:$S$910,14,FALSE))</f>
        <v>-851662316</v>
      </c>
      <c r="P762" s="42">
        <f>VLOOKUP($A762,'Neraca Unaudited SIMAK'!$A$2:$R$1272,15,FALSE)+IF(ISNA(VLOOKUP($A762,'Mutasi Neraca'!$A$3:$S$910,15,FALSE)),0,VLOOKUP($A762,'Mutasi Neraca'!$A$3:$S$910,15,FALSE))</f>
        <v>-2000000</v>
      </c>
      <c r="Q762" s="42">
        <f>VLOOKUP($A762,'Neraca Unaudited SIMAK'!$A$2:$R$1272,16,FALSE)+IF(ISNA(VLOOKUP($A762,'Mutasi Neraca'!$A$3:$S$910,16,FALSE)),0,VLOOKUP($A762,'Mutasi Neraca'!$A$3:$S$910,16,FALSE))</f>
        <v>0</v>
      </c>
      <c r="R762" s="42">
        <f>VLOOKUP($A762,'Neraca Unaudited SIMAK'!$A$2:$R$1272,17,FALSE)+IF(ISNA(VLOOKUP($A762,'Mutasi Neraca'!$A$3:$S$910,17,FALSE)),0,VLOOKUP($A762,'Mutasi Neraca'!$A$3:$S$910,17,FALSE))</f>
        <v>0</v>
      </c>
      <c r="S762" s="42">
        <f t="shared" si="65"/>
        <v>18626712834</v>
      </c>
    </row>
    <row r="763" spans="1:19">
      <c r="A763" s="41" t="s">
        <v>770</v>
      </c>
      <c r="B763" s="41" t="str">
        <f t="shared" si="64"/>
        <v>005012800</v>
      </c>
      <c r="D763" s="42">
        <f>VLOOKUP($A763,'Neraca Unaudited SIMAK'!$A$2:$R$1272,3,FALSE)+IF(ISNA(VLOOKUP($A763,'Mutasi Neraca'!$A$3:$S$910,3,FALSE)),0,VLOOKUP($A763,'Mutasi Neraca'!$A$3:$S$910,3,FALSE))</f>
        <v>0</v>
      </c>
      <c r="E763" s="42">
        <f>VLOOKUP($A763,'Neraca Unaudited SIMAK'!$A$2:$R$1272,4,FALSE)+IF(ISNA(VLOOKUP($A763,'Mutasi Neraca'!$A$3:$S$910,4,FALSE)),0,VLOOKUP($A763,'Mutasi Neraca'!$A$3:$S$910,4,FALSE))</f>
        <v>882881250</v>
      </c>
      <c r="F763" s="42">
        <f>VLOOKUP($A763,'Neraca Unaudited SIMAK'!$A$2:$R$1272,5,FALSE)+IF(ISNA(VLOOKUP($A763,'Mutasi Neraca'!$A$3:$S$910,5,FALSE)),0,VLOOKUP($A763,'Mutasi Neraca'!$A$3:$S$910,5,FALSE))</f>
        <v>1804898757</v>
      </c>
      <c r="G763" s="42">
        <f>VLOOKUP($A763,'Neraca Unaudited SIMAK'!$A$2:$R$1272,6,FALSE)+IF(ISNA(VLOOKUP($A763,'Mutasi Neraca'!$A$3:$S$910,6,FALSE)),0,VLOOKUP($A763,'Mutasi Neraca'!$A$3:$S$910,6,FALSE))</f>
        <v>2129968000</v>
      </c>
      <c r="H763" s="42">
        <f>VLOOKUP($A763,'Neraca Unaudited SIMAK'!$A$2:$R$1272,7,FALSE)+IF(ISNA(VLOOKUP($A763,'Mutasi Neraca'!$A$3:$S$910,7,FALSE)),0,VLOOKUP($A763,'Mutasi Neraca'!$A$3:$S$910,7,FALSE))</f>
        <v>0</v>
      </c>
      <c r="I763" s="42">
        <f>VLOOKUP($A763,'Neraca Unaudited SIMAK'!$A$2:$R$1272,8,FALSE)+IF(ISNA(VLOOKUP($A763,'Mutasi Neraca'!$A$3:$S$910,8,FALSE)),0,VLOOKUP($A763,'Mutasi Neraca'!$A$3:$S$910,8,FALSE))</f>
        <v>5072116</v>
      </c>
      <c r="J763" s="42">
        <f>VLOOKUP($A763,'Neraca Unaudited SIMAK'!$A$2:$R$1272,9,FALSE)+IF(ISNA(VLOOKUP($A763,'Mutasi Neraca'!$A$3:$S$910,9,FALSE)),0,VLOOKUP($A763,'Mutasi Neraca'!$A$3:$S$910,9,FALSE))</f>
        <v>12755721000</v>
      </c>
      <c r="K763" s="42">
        <f>VLOOKUP($A763,'Neraca Unaudited SIMAK'!$A$2:$R$1272,10,FALSE)+IF(ISNA(VLOOKUP($A763,'Mutasi Neraca'!$A$3:$S$910,10,FALSE)),0,VLOOKUP($A763,'Mutasi Neraca'!$A$3:$S$910,10,FALSE))</f>
        <v>19940000</v>
      </c>
      <c r="L763" s="42">
        <f>VLOOKUP($A763,'Neraca Unaudited SIMAK'!$A$2:$R$1272,11,FALSE)+IF(ISNA(VLOOKUP($A763,'Mutasi Neraca'!$A$3:$S$910,11,FALSE)),0,VLOOKUP($A763,'Mutasi Neraca'!$A$3:$S$910,11,FALSE))</f>
        <v>66232942</v>
      </c>
      <c r="M763" s="42">
        <f>VLOOKUP($A763,'Neraca Unaudited SIMAK'!$A$2:$R$1272,12,FALSE)+IF(ISNA(VLOOKUP($A763,'Mutasi Neraca'!$A$3:$S$910,12,FALSE)),0,VLOOKUP($A763,'Mutasi Neraca'!$A$3:$S$910,12,FALSE))</f>
        <v>17664714065</v>
      </c>
      <c r="N763" s="42">
        <f>VLOOKUP($A763,'Neraca Unaudited SIMAK'!$A$2:$R$1272,13,FALSE)+IF(ISNA(VLOOKUP($A763,'Mutasi Neraca'!$A$3:$S$910,13,FALSE)),0,VLOOKUP($A763,'Mutasi Neraca'!$A$3:$S$910,13,FALSE))</f>
        <v>-1572962311</v>
      </c>
      <c r="O763" s="42">
        <f>VLOOKUP($A763,'Neraca Unaudited SIMAK'!$A$2:$R$1272,14,FALSE)+IF(ISNA(VLOOKUP($A763,'Mutasi Neraca'!$A$3:$S$910,14,FALSE)),0,VLOOKUP($A763,'Mutasi Neraca'!$A$3:$S$910,14,FALSE))</f>
        <v>-566810247</v>
      </c>
      <c r="P763" s="42">
        <f>VLOOKUP($A763,'Neraca Unaudited SIMAK'!$A$2:$R$1272,15,FALSE)+IF(ISNA(VLOOKUP($A763,'Mutasi Neraca'!$A$3:$S$910,15,FALSE)),0,VLOOKUP($A763,'Mutasi Neraca'!$A$3:$S$910,15,FALSE))</f>
        <v>0</v>
      </c>
      <c r="Q763" s="42">
        <f>VLOOKUP($A763,'Neraca Unaudited SIMAK'!$A$2:$R$1272,16,FALSE)+IF(ISNA(VLOOKUP($A763,'Mutasi Neraca'!$A$3:$S$910,16,FALSE)),0,VLOOKUP($A763,'Mutasi Neraca'!$A$3:$S$910,16,FALSE))</f>
        <v>0</v>
      </c>
      <c r="R763" s="42">
        <f>VLOOKUP($A763,'Neraca Unaudited SIMAK'!$A$2:$R$1272,17,FALSE)+IF(ISNA(VLOOKUP($A763,'Mutasi Neraca'!$A$3:$S$910,17,FALSE)),0,VLOOKUP($A763,'Mutasi Neraca'!$A$3:$S$910,17,FALSE))</f>
        <v>-66232942</v>
      </c>
      <c r="S763" s="42">
        <f t="shared" si="65"/>
        <v>15458708565</v>
      </c>
    </row>
    <row r="764" spans="1:19">
      <c r="A764" s="41" t="s">
        <v>771</v>
      </c>
      <c r="B764" s="41" t="str">
        <f t="shared" si="64"/>
        <v>005012800</v>
      </c>
      <c r="D764" s="42">
        <f>VLOOKUP($A764,'Neraca Unaudited SIMAK'!$A$2:$R$1272,3,FALSE)+IF(ISNA(VLOOKUP($A764,'Mutasi Neraca'!$A$3:$S$910,3,FALSE)),0,VLOOKUP($A764,'Mutasi Neraca'!$A$3:$S$910,3,FALSE))</f>
        <v>170000</v>
      </c>
      <c r="E764" s="42">
        <f>VLOOKUP($A764,'Neraca Unaudited SIMAK'!$A$2:$R$1272,4,FALSE)+IF(ISNA(VLOOKUP($A764,'Mutasi Neraca'!$A$3:$S$910,4,FALSE)),0,VLOOKUP($A764,'Mutasi Neraca'!$A$3:$S$910,4,FALSE))</f>
        <v>1101949000</v>
      </c>
      <c r="F764" s="42">
        <f>VLOOKUP($A764,'Neraca Unaudited SIMAK'!$A$2:$R$1272,5,FALSE)+IF(ISNA(VLOOKUP($A764,'Mutasi Neraca'!$A$3:$S$910,5,FALSE)),0,VLOOKUP($A764,'Mutasi Neraca'!$A$3:$S$910,5,FALSE))</f>
        <v>1620998819</v>
      </c>
      <c r="G764" s="42">
        <f>VLOOKUP($A764,'Neraca Unaudited SIMAK'!$A$2:$R$1272,6,FALSE)+IF(ISNA(VLOOKUP($A764,'Mutasi Neraca'!$A$3:$S$910,6,FALSE)),0,VLOOKUP($A764,'Mutasi Neraca'!$A$3:$S$910,6,FALSE))</f>
        <v>9536311117</v>
      </c>
      <c r="H764" s="42">
        <f>VLOOKUP($A764,'Neraca Unaudited SIMAK'!$A$2:$R$1272,7,FALSE)+IF(ISNA(VLOOKUP($A764,'Mutasi Neraca'!$A$3:$S$910,7,FALSE)),0,VLOOKUP($A764,'Mutasi Neraca'!$A$3:$S$910,7,FALSE))</f>
        <v>0</v>
      </c>
      <c r="I764" s="42">
        <f>VLOOKUP($A764,'Neraca Unaudited SIMAK'!$A$2:$R$1272,8,FALSE)+IF(ISNA(VLOOKUP($A764,'Mutasi Neraca'!$A$3:$S$910,8,FALSE)),0,VLOOKUP($A764,'Mutasi Neraca'!$A$3:$S$910,8,FALSE))</f>
        <v>32700000</v>
      </c>
      <c r="J764" s="42">
        <f>VLOOKUP($A764,'Neraca Unaudited SIMAK'!$A$2:$R$1272,9,FALSE)+IF(ISNA(VLOOKUP($A764,'Mutasi Neraca'!$A$3:$S$910,9,FALSE)),0,VLOOKUP($A764,'Mutasi Neraca'!$A$3:$S$910,9,FALSE))</f>
        <v>0</v>
      </c>
      <c r="K764" s="42">
        <f>VLOOKUP($A764,'Neraca Unaudited SIMAK'!$A$2:$R$1272,10,FALSE)+IF(ISNA(VLOOKUP($A764,'Mutasi Neraca'!$A$3:$S$910,10,FALSE)),0,VLOOKUP($A764,'Mutasi Neraca'!$A$3:$S$910,10,FALSE))</f>
        <v>0</v>
      </c>
      <c r="L764" s="42">
        <f>VLOOKUP($A764,'Neraca Unaudited SIMAK'!$A$2:$R$1272,11,FALSE)+IF(ISNA(VLOOKUP($A764,'Mutasi Neraca'!$A$3:$S$910,11,FALSE)),0,VLOOKUP($A764,'Mutasi Neraca'!$A$3:$S$910,11,FALSE))</f>
        <v>0</v>
      </c>
      <c r="M764" s="42">
        <f>VLOOKUP($A764,'Neraca Unaudited SIMAK'!$A$2:$R$1272,12,FALSE)+IF(ISNA(VLOOKUP($A764,'Mutasi Neraca'!$A$3:$S$910,12,FALSE)),0,VLOOKUP($A764,'Mutasi Neraca'!$A$3:$S$910,12,FALSE))</f>
        <v>12292128936</v>
      </c>
      <c r="N764" s="42">
        <f>VLOOKUP($A764,'Neraca Unaudited SIMAK'!$A$2:$R$1272,13,FALSE)+IF(ISNA(VLOOKUP($A764,'Mutasi Neraca'!$A$3:$S$910,13,FALSE)),0,VLOOKUP($A764,'Mutasi Neraca'!$A$3:$S$910,13,FALSE))</f>
        <v>-1332089892</v>
      </c>
      <c r="O764" s="42">
        <f>VLOOKUP($A764,'Neraca Unaudited SIMAK'!$A$2:$R$1272,14,FALSE)+IF(ISNA(VLOOKUP($A764,'Mutasi Neraca'!$A$3:$S$910,14,FALSE)),0,VLOOKUP($A764,'Mutasi Neraca'!$A$3:$S$910,14,FALSE))</f>
        <v>-499499996</v>
      </c>
      <c r="P764" s="42">
        <f>VLOOKUP($A764,'Neraca Unaudited SIMAK'!$A$2:$R$1272,15,FALSE)+IF(ISNA(VLOOKUP($A764,'Mutasi Neraca'!$A$3:$S$910,15,FALSE)),0,VLOOKUP($A764,'Mutasi Neraca'!$A$3:$S$910,15,FALSE))</f>
        <v>0</v>
      </c>
      <c r="Q764" s="42">
        <f>VLOOKUP($A764,'Neraca Unaudited SIMAK'!$A$2:$R$1272,16,FALSE)+IF(ISNA(VLOOKUP($A764,'Mutasi Neraca'!$A$3:$S$910,16,FALSE)),0,VLOOKUP($A764,'Mutasi Neraca'!$A$3:$S$910,16,FALSE))</f>
        <v>0</v>
      </c>
      <c r="R764" s="42">
        <f>VLOOKUP($A764,'Neraca Unaudited SIMAK'!$A$2:$R$1272,17,FALSE)+IF(ISNA(VLOOKUP($A764,'Mutasi Neraca'!$A$3:$S$910,17,FALSE)),0,VLOOKUP($A764,'Mutasi Neraca'!$A$3:$S$910,17,FALSE))</f>
        <v>0</v>
      </c>
      <c r="S764" s="42">
        <f t="shared" si="65"/>
        <v>10460539048</v>
      </c>
    </row>
    <row r="765" spans="1:19">
      <c r="A765" s="41" t="s">
        <v>772</v>
      </c>
      <c r="B765" s="41" t="str">
        <f t="shared" si="64"/>
        <v>005012800</v>
      </c>
      <c r="D765" s="42">
        <f>VLOOKUP($A765,'Neraca Unaudited SIMAK'!$A$2:$R$1272,3,FALSE)+IF(ISNA(VLOOKUP($A765,'Mutasi Neraca'!$A$3:$S$910,3,FALSE)),0,VLOOKUP($A765,'Mutasi Neraca'!$A$3:$S$910,3,FALSE))</f>
        <v>857850</v>
      </c>
      <c r="E765" s="42">
        <f>VLOOKUP($A765,'Neraca Unaudited SIMAK'!$A$2:$R$1272,4,FALSE)+IF(ISNA(VLOOKUP($A765,'Mutasi Neraca'!$A$3:$S$910,4,FALSE)),0,VLOOKUP($A765,'Mutasi Neraca'!$A$3:$S$910,4,FALSE))</f>
        <v>988830000</v>
      </c>
      <c r="F765" s="42">
        <f>VLOOKUP($A765,'Neraca Unaudited SIMAK'!$A$2:$R$1272,5,FALSE)+IF(ISNA(VLOOKUP($A765,'Mutasi Neraca'!$A$3:$S$910,5,FALSE)),0,VLOOKUP($A765,'Mutasi Neraca'!$A$3:$S$910,5,FALSE))</f>
        <v>1361488750</v>
      </c>
      <c r="G765" s="42">
        <f>VLOOKUP($A765,'Neraca Unaudited SIMAK'!$A$2:$R$1272,6,FALSE)+IF(ISNA(VLOOKUP($A765,'Mutasi Neraca'!$A$3:$S$910,6,FALSE)),0,VLOOKUP($A765,'Mutasi Neraca'!$A$3:$S$910,6,FALSE))</f>
        <v>632527000</v>
      </c>
      <c r="H765" s="42">
        <f>VLOOKUP($A765,'Neraca Unaudited SIMAK'!$A$2:$R$1272,7,FALSE)+IF(ISNA(VLOOKUP($A765,'Mutasi Neraca'!$A$3:$S$910,7,FALSE)),0,VLOOKUP($A765,'Mutasi Neraca'!$A$3:$S$910,7,FALSE))</f>
        <v>85000000</v>
      </c>
      <c r="I765" s="42">
        <f>VLOOKUP($A765,'Neraca Unaudited SIMAK'!$A$2:$R$1272,8,FALSE)+IF(ISNA(VLOOKUP($A765,'Mutasi Neraca'!$A$3:$S$910,8,FALSE)),0,VLOOKUP($A765,'Mutasi Neraca'!$A$3:$S$910,8,FALSE))</f>
        <v>0</v>
      </c>
      <c r="J765" s="42">
        <f>VLOOKUP($A765,'Neraca Unaudited SIMAK'!$A$2:$R$1272,9,FALSE)+IF(ISNA(VLOOKUP($A765,'Mutasi Neraca'!$A$3:$S$910,9,FALSE)),0,VLOOKUP($A765,'Mutasi Neraca'!$A$3:$S$910,9,FALSE))</f>
        <v>8382843000</v>
      </c>
      <c r="K765" s="42">
        <f>VLOOKUP($A765,'Neraca Unaudited SIMAK'!$A$2:$R$1272,10,FALSE)+IF(ISNA(VLOOKUP($A765,'Mutasi Neraca'!$A$3:$S$910,10,FALSE)),0,VLOOKUP($A765,'Mutasi Neraca'!$A$3:$S$910,10,FALSE))</f>
        <v>0</v>
      </c>
      <c r="L765" s="42">
        <f>VLOOKUP($A765,'Neraca Unaudited SIMAK'!$A$2:$R$1272,11,FALSE)+IF(ISNA(VLOOKUP($A765,'Mutasi Neraca'!$A$3:$S$910,11,FALSE)),0,VLOOKUP($A765,'Mutasi Neraca'!$A$3:$S$910,11,FALSE))</f>
        <v>24867237</v>
      </c>
      <c r="M765" s="42">
        <f>VLOOKUP($A765,'Neraca Unaudited SIMAK'!$A$2:$R$1272,12,FALSE)+IF(ISNA(VLOOKUP($A765,'Mutasi Neraca'!$A$3:$S$910,12,FALSE)),0,VLOOKUP($A765,'Mutasi Neraca'!$A$3:$S$910,12,FALSE))</f>
        <v>11476413837</v>
      </c>
      <c r="N765" s="42">
        <f>VLOOKUP($A765,'Neraca Unaudited SIMAK'!$A$2:$R$1272,13,FALSE)+IF(ISNA(VLOOKUP($A765,'Mutasi Neraca'!$A$3:$S$910,13,FALSE)),0,VLOOKUP($A765,'Mutasi Neraca'!$A$3:$S$910,13,FALSE))</f>
        <v>-1031174801</v>
      </c>
      <c r="O765" s="42">
        <f>VLOOKUP($A765,'Neraca Unaudited SIMAK'!$A$2:$R$1272,14,FALSE)+IF(ISNA(VLOOKUP($A765,'Mutasi Neraca'!$A$3:$S$910,14,FALSE)),0,VLOOKUP($A765,'Mutasi Neraca'!$A$3:$S$910,14,FALSE))</f>
        <v>-116977897</v>
      </c>
      <c r="P765" s="42">
        <f>VLOOKUP($A765,'Neraca Unaudited SIMAK'!$A$2:$R$1272,15,FALSE)+IF(ISNA(VLOOKUP($A765,'Mutasi Neraca'!$A$3:$S$910,15,FALSE)),0,VLOOKUP($A765,'Mutasi Neraca'!$A$3:$S$910,15,FALSE))</f>
        <v>-4250000</v>
      </c>
      <c r="Q765" s="42">
        <f>VLOOKUP($A765,'Neraca Unaudited SIMAK'!$A$2:$R$1272,16,FALSE)+IF(ISNA(VLOOKUP($A765,'Mutasi Neraca'!$A$3:$S$910,16,FALSE)),0,VLOOKUP($A765,'Mutasi Neraca'!$A$3:$S$910,16,FALSE))</f>
        <v>0</v>
      </c>
      <c r="R765" s="42">
        <f>VLOOKUP($A765,'Neraca Unaudited SIMAK'!$A$2:$R$1272,17,FALSE)+IF(ISNA(VLOOKUP($A765,'Mutasi Neraca'!$A$3:$S$910,17,FALSE)),0,VLOOKUP($A765,'Mutasi Neraca'!$A$3:$S$910,17,FALSE))</f>
        <v>-24492237</v>
      </c>
      <c r="S765" s="42">
        <f t="shared" si="65"/>
        <v>10299518902</v>
      </c>
    </row>
    <row r="766" spans="1:19">
      <c r="A766" s="41" t="s">
        <v>773</v>
      </c>
      <c r="B766" s="41" t="str">
        <f t="shared" si="64"/>
        <v>005012800</v>
      </c>
      <c r="D766" s="42">
        <f>VLOOKUP($A766,'Neraca Unaudited SIMAK'!$A$2:$R$1272,3,FALSE)+IF(ISNA(VLOOKUP($A766,'Mutasi Neraca'!$A$3:$S$910,3,FALSE)),0,VLOOKUP($A766,'Mutasi Neraca'!$A$3:$S$910,3,FALSE))</f>
        <v>0</v>
      </c>
      <c r="E766" s="42">
        <f>VLOOKUP($A766,'Neraca Unaudited SIMAK'!$A$2:$R$1272,4,FALSE)+IF(ISNA(VLOOKUP($A766,'Mutasi Neraca'!$A$3:$S$910,4,FALSE)),0,VLOOKUP($A766,'Mutasi Neraca'!$A$3:$S$910,4,FALSE))</f>
        <v>393300000</v>
      </c>
      <c r="F766" s="42">
        <f>VLOOKUP($A766,'Neraca Unaudited SIMAK'!$A$2:$R$1272,5,FALSE)+IF(ISNA(VLOOKUP($A766,'Mutasi Neraca'!$A$3:$S$910,5,FALSE)),0,VLOOKUP($A766,'Mutasi Neraca'!$A$3:$S$910,5,FALSE))</f>
        <v>1740728671</v>
      </c>
      <c r="G766" s="42">
        <f>VLOOKUP($A766,'Neraca Unaudited SIMAK'!$A$2:$R$1272,6,FALSE)+IF(ISNA(VLOOKUP($A766,'Mutasi Neraca'!$A$3:$S$910,6,FALSE)),0,VLOOKUP($A766,'Mutasi Neraca'!$A$3:$S$910,6,FALSE))</f>
        <v>11011529000</v>
      </c>
      <c r="H766" s="42">
        <f>VLOOKUP($A766,'Neraca Unaudited SIMAK'!$A$2:$R$1272,7,FALSE)+IF(ISNA(VLOOKUP($A766,'Mutasi Neraca'!$A$3:$S$910,7,FALSE)),0,VLOOKUP($A766,'Mutasi Neraca'!$A$3:$S$910,7,FALSE))</f>
        <v>5000000</v>
      </c>
      <c r="I766" s="42">
        <f>VLOOKUP($A766,'Neraca Unaudited SIMAK'!$A$2:$R$1272,8,FALSE)+IF(ISNA(VLOOKUP($A766,'Mutasi Neraca'!$A$3:$S$910,8,FALSE)),0,VLOOKUP($A766,'Mutasi Neraca'!$A$3:$S$910,8,FALSE))</f>
        <v>25000</v>
      </c>
      <c r="J766" s="42">
        <f>VLOOKUP($A766,'Neraca Unaudited SIMAK'!$A$2:$R$1272,9,FALSE)+IF(ISNA(VLOOKUP($A766,'Mutasi Neraca'!$A$3:$S$910,9,FALSE)),0,VLOOKUP($A766,'Mutasi Neraca'!$A$3:$S$910,9,FALSE))</f>
        <v>0</v>
      </c>
      <c r="K766" s="42">
        <f>VLOOKUP($A766,'Neraca Unaudited SIMAK'!$A$2:$R$1272,10,FALSE)+IF(ISNA(VLOOKUP($A766,'Mutasi Neraca'!$A$3:$S$910,10,FALSE)),0,VLOOKUP($A766,'Mutasi Neraca'!$A$3:$S$910,10,FALSE))</f>
        <v>0</v>
      </c>
      <c r="L766" s="42">
        <f>VLOOKUP($A766,'Neraca Unaudited SIMAK'!$A$2:$R$1272,11,FALSE)+IF(ISNA(VLOOKUP($A766,'Mutasi Neraca'!$A$3:$S$910,11,FALSE)),0,VLOOKUP($A766,'Mutasi Neraca'!$A$3:$S$910,11,FALSE))</f>
        <v>0</v>
      </c>
      <c r="M766" s="42">
        <f>VLOOKUP($A766,'Neraca Unaudited SIMAK'!$A$2:$R$1272,12,FALSE)+IF(ISNA(VLOOKUP($A766,'Mutasi Neraca'!$A$3:$S$910,12,FALSE)),0,VLOOKUP($A766,'Mutasi Neraca'!$A$3:$S$910,12,FALSE))</f>
        <v>13150582671</v>
      </c>
      <c r="N766" s="42">
        <f>VLOOKUP($A766,'Neraca Unaudited SIMAK'!$A$2:$R$1272,13,FALSE)+IF(ISNA(VLOOKUP($A766,'Mutasi Neraca'!$A$3:$S$910,13,FALSE)),0,VLOOKUP($A766,'Mutasi Neraca'!$A$3:$S$910,13,FALSE))</f>
        <v>-1396718383</v>
      </c>
      <c r="O766" s="42">
        <f>VLOOKUP($A766,'Neraca Unaudited SIMAK'!$A$2:$R$1272,14,FALSE)+IF(ISNA(VLOOKUP($A766,'Mutasi Neraca'!$A$3:$S$910,14,FALSE)),0,VLOOKUP($A766,'Mutasi Neraca'!$A$3:$S$910,14,FALSE))</f>
        <v>-1136549966</v>
      </c>
      <c r="P766" s="42">
        <f>VLOOKUP($A766,'Neraca Unaudited SIMAK'!$A$2:$R$1272,15,FALSE)+IF(ISNA(VLOOKUP($A766,'Mutasi Neraca'!$A$3:$S$910,15,FALSE)),0,VLOOKUP($A766,'Mutasi Neraca'!$A$3:$S$910,15,FALSE))</f>
        <v>-2000000</v>
      </c>
      <c r="Q766" s="42">
        <f>VLOOKUP($A766,'Neraca Unaudited SIMAK'!$A$2:$R$1272,16,FALSE)+IF(ISNA(VLOOKUP($A766,'Mutasi Neraca'!$A$3:$S$910,16,FALSE)),0,VLOOKUP($A766,'Mutasi Neraca'!$A$3:$S$910,16,FALSE))</f>
        <v>0</v>
      </c>
      <c r="R766" s="42">
        <f>VLOOKUP($A766,'Neraca Unaudited SIMAK'!$A$2:$R$1272,17,FALSE)+IF(ISNA(VLOOKUP($A766,'Mutasi Neraca'!$A$3:$S$910,17,FALSE)),0,VLOOKUP($A766,'Mutasi Neraca'!$A$3:$S$910,17,FALSE))</f>
        <v>0</v>
      </c>
      <c r="S766" s="42">
        <f t="shared" si="65"/>
        <v>10615314322</v>
      </c>
    </row>
    <row r="767" spans="1:19">
      <c r="A767" s="41" t="s">
        <v>774</v>
      </c>
      <c r="B767" s="41" t="str">
        <f t="shared" si="64"/>
        <v>005012800</v>
      </c>
      <c r="D767" s="42">
        <f>VLOOKUP($A767,'Neraca Unaudited SIMAK'!$A$2:$R$1272,3,FALSE)+IF(ISNA(VLOOKUP($A767,'Mutasi Neraca'!$A$3:$S$910,3,FALSE)),0,VLOOKUP($A767,'Mutasi Neraca'!$A$3:$S$910,3,FALSE))</f>
        <v>2587300</v>
      </c>
      <c r="E767" s="42">
        <f>VLOOKUP($A767,'Neraca Unaudited SIMAK'!$A$2:$R$1272,4,FALSE)+IF(ISNA(VLOOKUP($A767,'Mutasi Neraca'!$A$3:$S$910,4,FALSE)),0,VLOOKUP($A767,'Mutasi Neraca'!$A$3:$S$910,4,FALSE))</f>
        <v>660040000</v>
      </c>
      <c r="F767" s="42">
        <f>VLOOKUP($A767,'Neraca Unaudited SIMAK'!$A$2:$R$1272,5,FALSE)+IF(ISNA(VLOOKUP($A767,'Mutasi Neraca'!$A$3:$S$910,5,FALSE)),0,VLOOKUP($A767,'Mutasi Neraca'!$A$3:$S$910,5,FALSE))</f>
        <v>1369553690</v>
      </c>
      <c r="G767" s="42">
        <f>VLOOKUP($A767,'Neraca Unaudited SIMAK'!$A$2:$R$1272,6,FALSE)+IF(ISNA(VLOOKUP($A767,'Mutasi Neraca'!$A$3:$S$910,6,FALSE)),0,VLOOKUP($A767,'Mutasi Neraca'!$A$3:$S$910,6,FALSE))</f>
        <v>410707000</v>
      </c>
      <c r="H767" s="42">
        <f>VLOOKUP($A767,'Neraca Unaudited SIMAK'!$A$2:$R$1272,7,FALSE)+IF(ISNA(VLOOKUP($A767,'Mutasi Neraca'!$A$3:$S$910,7,FALSE)),0,VLOOKUP($A767,'Mutasi Neraca'!$A$3:$S$910,7,FALSE))</f>
        <v>0</v>
      </c>
      <c r="I767" s="42">
        <f>VLOOKUP($A767,'Neraca Unaudited SIMAK'!$A$2:$R$1272,8,FALSE)+IF(ISNA(VLOOKUP($A767,'Mutasi Neraca'!$A$3:$S$910,8,FALSE)),0,VLOOKUP($A767,'Mutasi Neraca'!$A$3:$S$910,8,FALSE))</f>
        <v>951000</v>
      </c>
      <c r="J767" s="42">
        <f>VLOOKUP($A767,'Neraca Unaudited SIMAK'!$A$2:$R$1272,9,FALSE)+IF(ISNA(VLOOKUP($A767,'Mutasi Neraca'!$A$3:$S$910,9,FALSE)),0,VLOOKUP($A767,'Mutasi Neraca'!$A$3:$S$910,9,FALSE))</f>
        <v>9128205700</v>
      </c>
      <c r="K767" s="42">
        <f>VLOOKUP($A767,'Neraca Unaudited SIMAK'!$A$2:$R$1272,10,FALSE)+IF(ISNA(VLOOKUP($A767,'Mutasi Neraca'!$A$3:$S$910,10,FALSE)),0,VLOOKUP($A767,'Mutasi Neraca'!$A$3:$S$910,10,FALSE))</f>
        <v>0</v>
      </c>
      <c r="L767" s="42">
        <f>VLOOKUP($A767,'Neraca Unaudited SIMAK'!$A$2:$R$1272,11,FALSE)+IF(ISNA(VLOOKUP($A767,'Mutasi Neraca'!$A$3:$S$910,11,FALSE)),0,VLOOKUP($A767,'Mutasi Neraca'!$A$3:$S$910,11,FALSE))</f>
        <v>0</v>
      </c>
      <c r="M767" s="42">
        <f>VLOOKUP($A767,'Neraca Unaudited SIMAK'!$A$2:$R$1272,12,FALSE)+IF(ISNA(VLOOKUP($A767,'Mutasi Neraca'!$A$3:$S$910,12,FALSE)),0,VLOOKUP($A767,'Mutasi Neraca'!$A$3:$S$910,12,FALSE))</f>
        <v>11572044690</v>
      </c>
      <c r="N767" s="42">
        <f>VLOOKUP($A767,'Neraca Unaudited SIMAK'!$A$2:$R$1272,13,FALSE)+IF(ISNA(VLOOKUP($A767,'Mutasi Neraca'!$A$3:$S$910,13,FALSE)),0,VLOOKUP($A767,'Mutasi Neraca'!$A$3:$S$910,13,FALSE))</f>
        <v>-1102744619</v>
      </c>
      <c r="O767" s="42">
        <f>VLOOKUP($A767,'Neraca Unaudited SIMAK'!$A$2:$R$1272,14,FALSE)+IF(ISNA(VLOOKUP($A767,'Mutasi Neraca'!$A$3:$S$910,14,FALSE)),0,VLOOKUP($A767,'Mutasi Neraca'!$A$3:$S$910,14,FALSE))</f>
        <v>-90370994</v>
      </c>
      <c r="P767" s="42">
        <f>VLOOKUP($A767,'Neraca Unaudited SIMAK'!$A$2:$R$1272,15,FALSE)+IF(ISNA(VLOOKUP($A767,'Mutasi Neraca'!$A$3:$S$910,15,FALSE)),0,VLOOKUP($A767,'Mutasi Neraca'!$A$3:$S$910,15,FALSE))</f>
        <v>0</v>
      </c>
      <c r="Q767" s="42">
        <f>VLOOKUP($A767,'Neraca Unaudited SIMAK'!$A$2:$R$1272,16,FALSE)+IF(ISNA(VLOOKUP($A767,'Mutasi Neraca'!$A$3:$S$910,16,FALSE)),0,VLOOKUP($A767,'Mutasi Neraca'!$A$3:$S$910,16,FALSE))</f>
        <v>0</v>
      </c>
      <c r="R767" s="42">
        <f>VLOOKUP($A767,'Neraca Unaudited SIMAK'!$A$2:$R$1272,17,FALSE)+IF(ISNA(VLOOKUP($A767,'Mutasi Neraca'!$A$3:$S$910,17,FALSE)),0,VLOOKUP($A767,'Mutasi Neraca'!$A$3:$S$910,17,FALSE))</f>
        <v>0</v>
      </c>
      <c r="S767" s="42">
        <f t="shared" si="65"/>
        <v>10378929077</v>
      </c>
    </row>
    <row r="768" spans="1:19">
      <c r="A768" s="41" t="s">
        <v>775</v>
      </c>
      <c r="B768" s="41" t="str">
        <f t="shared" si="64"/>
        <v>005012800</v>
      </c>
      <c r="D768" s="42">
        <f>VLOOKUP($A768,'Neraca Unaudited SIMAK'!$A$2:$R$1272,3,FALSE)+IF(ISNA(VLOOKUP($A768,'Mutasi Neraca'!$A$3:$S$910,3,FALSE)),0,VLOOKUP($A768,'Mutasi Neraca'!$A$3:$S$910,3,FALSE))</f>
        <v>3407198</v>
      </c>
      <c r="E768" s="42">
        <f>VLOOKUP($A768,'Neraca Unaudited SIMAK'!$A$2:$R$1272,4,FALSE)+IF(ISNA(VLOOKUP($A768,'Mutasi Neraca'!$A$3:$S$910,4,FALSE)),0,VLOOKUP($A768,'Mutasi Neraca'!$A$3:$S$910,4,FALSE))</f>
        <v>598000000</v>
      </c>
      <c r="F768" s="42">
        <f>VLOOKUP($A768,'Neraca Unaudited SIMAK'!$A$2:$R$1272,5,FALSE)+IF(ISNA(VLOOKUP($A768,'Mutasi Neraca'!$A$3:$S$910,5,FALSE)),0,VLOOKUP($A768,'Mutasi Neraca'!$A$3:$S$910,5,FALSE))</f>
        <v>2061145302</v>
      </c>
      <c r="G768" s="42">
        <f>VLOOKUP($A768,'Neraca Unaudited SIMAK'!$A$2:$R$1272,6,FALSE)+IF(ISNA(VLOOKUP($A768,'Mutasi Neraca'!$A$3:$S$910,6,FALSE)),0,VLOOKUP($A768,'Mutasi Neraca'!$A$3:$S$910,6,FALSE))</f>
        <v>14579527122</v>
      </c>
      <c r="H768" s="42">
        <f>VLOOKUP($A768,'Neraca Unaudited SIMAK'!$A$2:$R$1272,7,FALSE)+IF(ISNA(VLOOKUP($A768,'Mutasi Neraca'!$A$3:$S$910,7,FALSE)),0,VLOOKUP($A768,'Mutasi Neraca'!$A$3:$S$910,7,FALSE))</f>
        <v>300000000</v>
      </c>
      <c r="I768" s="42">
        <f>VLOOKUP($A768,'Neraca Unaudited SIMAK'!$A$2:$R$1272,8,FALSE)+IF(ISNA(VLOOKUP($A768,'Mutasi Neraca'!$A$3:$S$910,8,FALSE)),0,VLOOKUP($A768,'Mutasi Neraca'!$A$3:$S$910,8,FALSE))</f>
        <v>35259984</v>
      </c>
      <c r="J768" s="42">
        <f>VLOOKUP($A768,'Neraca Unaudited SIMAK'!$A$2:$R$1272,9,FALSE)+IF(ISNA(VLOOKUP($A768,'Mutasi Neraca'!$A$3:$S$910,9,FALSE)),0,VLOOKUP($A768,'Mutasi Neraca'!$A$3:$S$910,9,FALSE))</f>
        <v>0</v>
      </c>
      <c r="K768" s="42">
        <f>VLOOKUP($A768,'Neraca Unaudited SIMAK'!$A$2:$R$1272,10,FALSE)+IF(ISNA(VLOOKUP($A768,'Mutasi Neraca'!$A$3:$S$910,10,FALSE)),0,VLOOKUP($A768,'Mutasi Neraca'!$A$3:$S$910,10,FALSE))</f>
        <v>0</v>
      </c>
      <c r="L768" s="42">
        <f>VLOOKUP($A768,'Neraca Unaudited SIMAK'!$A$2:$R$1272,11,FALSE)+IF(ISNA(VLOOKUP($A768,'Mutasi Neraca'!$A$3:$S$910,11,FALSE)),0,VLOOKUP($A768,'Mutasi Neraca'!$A$3:$S$910,11,FALSE))</f>
        <v>2520000</v>
      </c>
      <c r="M768" s="42">
        <f>VLOOKUP($A768,'Neraca Unaudited SIMAK'!$A$2:$R$1272,12,FALSE)+IF(ISNA(VLOOKUP($A768,'Mutasi Neraca'!$A$3:$S$910,12,FALSE)),0,VLOOKUP($A768,'Mutasi Neraca'!$A$3:$S$910,12,FALSE))</f>
        <v>17579859606</v>
      </c>
      <c r="N768" s="42">
        <f>VLOOKUP($A768,'Neraca Unaudited SIMAK'!$A$2:$R$1272,13,FALSE)+IF(ISNA(VLOOKUP($A768,'Mutasi Neraca'!$A$3:$S$910,13,FALSE)),0,VLOOKUP($A768,'Mutasi Neraca'!$A$3:$S$910,13,FALSE))</f>
        <v>-1848832209</v>
      </c>
      <c r="O768" s="42">
        <f>VLOOKUP($A768,'Neraca Unaudited SIMAK'!$A$2:$R$1272,14,FALSE)+IF(ISNA(VLOOKUP($A768,'Mutasi Neraca'!$A$3:$S$910,14,FALSE)),0,VLOOKUP($A768,'Mutasi Neraca'!$A$3:$S$910,14,FALSE))</f>
        <v>-1843077768</v>
      </c>
      <c r="P768" s="42">
        <f>VLOOKUP($A768,'Neraca Unaudited SIMAK'!$A$2:$R$1272,15,FALSE)+IF(ISNA(VLOOKUP($A768,'Mutasi Neraca'!$A$3:$S$910,15,FALSE)),0,VLOOKUP($A768,'Mutasi Neraca'!$A$3:$S$910,15,FALSE))</f>
        <v>-26250000</v>
      </c>
      <c r="Q768" s="42">
        <f>VLOOKUP($A768,'Neraca Unaudited SIMAK'!$A$2:$R$1272,16,FALSE)+IF(ISNA(VLOOKUP($A768,'Mutasi Neraca'!$A$3:$S$910,16,FALSE)),0,VLOOKUP($A768,'Mutasi Neraca'!$A$3:$S$910,16,FALSE))</f>
        <v>0</v>
      </c>
      <c r="R768" s="42">
        <f>VLOOKUP($A768,'Neraca Unaudited SIMAK'!$A$2:$R$1272,17,FALSE)+IF(ISNA(VLOOKUP($A768,'Mutasi Neraca'!$A$3:$S$910,17,FALSE)),0,VLOOKUP($A768,'Mutasi Neraca'!$A$3:$S$910,17,FALSE))</f>
        <v>-2520000</v>
      </c>
      <c r="S768" s="42">
        <f t="shared" si="65"/>
        <v>13859179629</v>
      </c>
    </row>
    <row r="769" spans="1:19">
      <c r="A769" s="41" t="s">
        <v>776</v>
      </c>
      <c r="B769" s="41" t="str">
        <f t="shared" si="64"/>
        <v>005012800</v>
      </c>
      <c r="D769" s="42">
        <f>VLOOKUP($A769,'Neraca Unaudited SIMAK'!$A$2:$R$1272,3,FALSE)+IF(ISNA(VLOOKUP($A769,'Mutasi Neraca'!$A$3:$S$910,3,FALSE)),0,VLOOKUP($A769,'Mutasi Neraca'!$A$3:$S$910,3,FALSE))</f>
        <v>547500</v>
      </c>
      <c r="E769" s="42">
        <f>VLOOKUP($A769,'Neraca Unaudited SIMAK'!$A$2:$R$1272,4,FALSE)+IF(ISNA(VLOOKUP($A769,'Mutasi Neraca'!$A$3:$S$910,4,FALSE)),0,VLOOKUP($A769,'Mutasi Neraca'!$A$3:$S$910,4,FALSE))</f>
        <v>4247942000</v>
      </c>
      <c r="F769" s="42">
        <f>VLOOKUP($A769,'Neraca Unaudited SIMAK'!$A$2:$R$1272,5,FALSE)+IF(ISNA(VLOOKUP($A769,'Mutasi Neraca'!$A$3:$S$910,5,FALSE)),0,VLOOKUP($A769,'Mutasi Neraca'!$A$3:$S$910,5,FALSE))</f>
        <v>3849053348</v>
      </c>
      <c r="G769" s="42">
        <f>VLOOKUP($A769,'Neraca Unaudited SIMAK'!$A$2:$R$1272,6,FALSE)+IF(ISNA(VLOOKUP($A769,'Mutasi Neraca'!$A$3:$S$910,6,FALSE)),0,VLOOKUP($A769,'Mutasi Neraca'!$A$3:$S$910,6,FALSE))</f>
        <v>1916800000</v>
      </c>
      <c r="H769" s="42">
        <f>VLOOKUP($A769,'Neraca Unaudited SIMAK'!$A$2:$R$1272,7,FALSE)+IF(ISNA(VLOOKUP($A769,'Mutasi Neraca'!$A$3:$S$910,7,FALSE)),0,VLOOKUP($A769,'Mutasi Neraca'!$A$3:$S$910,7,FALSE))</f>
        <v>1288451500</v>
      </c>
      <c r="I769" s="42">
        <f>VLOOKUP($A769,'Neraca Unaudited SIMAK'!$A$2:$R$1272,8,FALSE)+IF(ISNA(VLOOKUP($A769,'Mutasi Neraca'!$A$3:$S$910,8,FALSE)),0,VLOOKUP($A769,'Mutasi Neraca'!$A$3:$S$910,8,FALSE))</f>
        <v>14988824</v>
      </c>
      <c r="J769" s="42">
        <f>VLOOKUP($A769,'Neraca Unaudited SIMAK'!$A$2:$R$1272,9,FALSE)+IF(ISNA(VLOOKUP($A769,'Mutasi Neraca'!$A$3:$S$910,9,FALSE)),0,VLOOKUP($A769,'Mutasi Neraca'!$A$3:$S$910,9,FALSE))</f>
        <v>16990174661</v>
      </c>
      <c r="K769" s="42">
        <f>VLOOKUP($A769,'Neraca Unaudited SIMAK'!$A$2:$R$1272,10,FALSE)+IF(ISNA(VLOOKUP($A769,'Mutasi Neraca'!$A$3:$S$910,10,FALSE)),0,VLOOKUP($A769,'Mutasi Neraca'!$A$3:$S$910,10,FALSE))</f>
        <v>3095000</v>
      </c>
      <c r="L769" s="42">
        <f>VLOOKUP($A769,'Neraca Unaudited SIMAK'!$A$2:$R$1272,11,FALSE)+IF(ISNA(VLOOKUP($A769,'Mutasi Neraca'!$A$3:$S$910,11,FALSE)),0,VLOOKUP($A769,'Mutasi Neraca'!$A$3:$S$910,11,FALSE))</f>
        <v>2219394005</v>
      </c>
      <c r="M769" s="42">
        <f>VLOOKUP($A769,'Neraca Unaudited SIMAK'!$A$2:$R$1272,12,FALSE)+IF(ISNA(VLOOKUP($A769,'Mutasi Neraca'!$A$3:$S$910,12,FALSE)),0,VLOOKUP($A769,'Mutasi Neraca'!$A$3:$S$910,12,FALSE))</f>
        <v>30530446838</v>
      </c>
      <c r="N769" s="42">
        <f>VLOOKUP($A769,'Neraca Unaudited SIMAK'!$A$2:$R$1272,13,FALSE)+IF(ISNA(VLOOKUP($A769,'Mutasi Neraca'!$A$3:$S$910,13,FALSE)),0,VLOOKUP($A769,'Mutasi Neraca'!$A$3:$S$910,13,FALSE))</f>
        <v>-3278965963</v>
      </c>
      <c r="O769" s="42">
        <f>VLOOKUP($A769,'Neraca Unaudited SIMAK'!$A$2:$R$1272,14,FALSE)+IF(ISNA(VLOOKUP($A769,'Mutasi Neraca'!$A$3:$S$910,14,FALSE)),0,VLOOKUP($A769,'Mutasi Neraca'!$A$3:$S$910,14,FALSE))</f>
        <v>-297316000</v>
      </c>
      <c r="P769" s="42">
        <f>VLOOKUP($A769,'Neraca Unaudited SIMAK'!$A$2:$R$1272,15,FALSE)+IF(ISNA(VLOOKUP($A769,'Mutasi Neraca'!$A$3:$S$910,15,FALSE)),0,VLOOKUP($A769,'Mutasi Neraca'!$A$3:$S$910,15,FALSE))</f>
        <v>-587697041</v>
      </c>
      <c r="Q769" s="42">
        <f>VLOOKUP($A769,'Neraca Unaudited SIMAK'!$A$2:$R$1272,16,FALSE)+IF(ISNA(VLOOKUP($A769,'Mutasi Neraca'!$A$3:$S$910,16,FALSE)),0,VLOOKUP($A769,'Mutasi Neraca'!$A$3:$S$910,16,FALSE))</f>
        <v>0</v>
      </c>
      <c r="R769" s="42">
        <f>VLOOKUP($A769,'Neraca Unaudited SIMAK'!$A$2:$R$1272,17,FALSE)+IF(ISNA(VLOOKUP($A769,'Mutasi Neraca'!$A$3:$S$910,17,FALSE)),0,VLOOKUP($A769,'Mutasi Neraca'!$A$3:$S$910,17,FALSE))</f>
        <v>-624386114</v>
      </c>
      <c r="S769" s="42">
        <f t="shared" si="65"/>
        <v>25742081720</v>
      </c>
    </row>
    <row r="770" spans="1:19">
      <c r="A770" s="41" t="s">
        <v>777</v>
      </c>
      <c r="B770" s="41" t="str">
        <f t="shared" si="64"/>
        <v>005012900</v>
      </c>
      <c r="D770" s="42">
        <f>VLOOKUP($A770,'Neraca Unaudited SIMAK'!$A$2:$R$1272,3,FALSE)+IF(ISNA(VLOOKUP($A770,'Mutasi Neraca'!$A$3:$S$910,3,FALSE)),0,VLOOKUP($A770,'Mutasi Neraca'!$A$3:$S$910,3,FALSE))</f>
        <v>4426050</v>
      </c>
      <c r="E770" s="42">
        <f>VLOOKUP($A770,'Neraca Unaudited SIMAK'!$A$2:$R$1272,4,FALSE)+IF(ISNA(VLOOKUP($A770,'Mutasi Neraca'!$A$3:$S$910,4,FALSE)),0,VLOOKUP($A770,'Mutasi Neraca'!$A$3:$S$910,4,FALSE))</f>
        <v>7430400000</v>
      </c>
      <c r="F770" s="42">
        <f>VLOOKUP($A770,'Neraca Unaudited SIMAK'!$A$2:$R$1272,5,FALSE)+IF(ISNA(VLOOKUP($A770,'Mutasi Neraca'!$A$3:$S$910,5,FALSE)),0,VLOOKUP($A770,'Mutasi Neraca'!$A$3:$S$910,5,FALSE))</f>
        <v>3180258217</v>
      </c>
      <c r="G770" s="42">
        <f>VLOOKUP($A770,'Neraca Unaudited SIMAK'!$A$2:$R$1272,6,FALSE)+IF(ISNA(VLOOKUP($A770,'Mutasi Neraca'!$A$3:$S$910,6,FALSE)),0,VLOOKUP($A770,'Mutasi Neraca'!$A$3:$S$910,6,FALSE))</f>
        <v>3385550648</v>
      </c>
      <c r="H770" s="42">
        <f>VLOOKUP($A770,'Neraca Unaudited SIMAK'!$A$2:$R$1272,7,FALSE)+IF(ISNA(VLOOKUP($A770,'Mutasi Neraca'!$A$3:$S$910,7,FALSE)),0,VLOOKUP($A770,'Mutasi Neraca'!$A$3:$S$910,7,FALSE))</f>
        <v>297169650</v>
      </c>
      <c r="I770" s="42">
        <f>VLOOKUP($A770,'Neraca Unaudited SIMAK'!$A$2:$R$1272,8,FALSE)+IF(ISNA(VLOOKUP($A770,'Mutasi Neraca'!$A$3:$S$910,8,FALSE)),0,VLOOKUP($A770,'Mutasi Neraca'!$A$3:$S$910,8,FALSE))</f>
        <v>12140462</v>
      </c>
      <c r="J770" s="42">
        <f>VLOOKUP($A770,'Neraca Unaudited SIMAK'!$A$2:$R$1272,9,FALSE)+IF(ISNA(VLOOKUP($A770,'Mutasi Neraca'!$A$3:$S$910,9,FALSE)),0,VLOOKUP($A770,'Mutasi Neraca'!$A$3:$S$910,9,FALSE))</f>
        <v>0</v>
      </c>
      <c r="K770" s="42">
        <f>VLOOKUP($A770,'Neraca Unaudited SIMAK'!$A$2:$R$1272,10,FALSE)+IF(ISNA(VLOOKUP($A770,'Mutasi Neraca'!$A$3:$S$910,10,FALSE)),0,VLOOKUP($A770,'Mutasi Neraca'!$A$3:$S$910,10,FALSE))</f>
        <v>24000000</v>
      </c>
      <c r="L770" s="42">
        <f>VLOOKUP($A770,'Neraca Unaudited SIMAK'!$A$2:$R$1272,11,FALSE)+IF(ISNA(VLOOKUP($A770,'Mutasi Neraca'!$A$3:$S$910,11,FALSE)),0,VLOOKUP($A770,'Mutasi Neraca'!$A$3:$S$910,11,FALSE))</f>
        <v>0</v>
      </c>
      <c r="M770" s="42">
        <f>VLOOKUP($A770,'Neraca Unaudited SIMAK'!$A$2:$R$1272,12,FALSE)+IF(ISNA(VLOOKUP($A770,'Mutasi Neraca'!$A$3:$S$910,12,FALSE)),0,VLOOKUP($A770,'Mutasi Neraca'!$A$3:$S$910,12,FALSE))</f>
        <v>14333945027</v>
      </c>
      <c r="N770" s="42">
        <f>VLOOKUP($A770,'Neraca Unaudited SIMAK'!$A$2:$R$1272,13,FALSE)+IF(ISNA(VLOOKUP($A770,'Mutasi Neraca'!$A$3:$S$910,13,FALSE)),0,VLOOKUP($A770,'Mutasi Neraca'!$A$3:$S$910,13,FALSE))</f>
        <v>-2789345278</v>
      </c>
      <c r="O770" s="42">
        <f>VLOOKUP($A770,'Neraca Unaudited SIMAK'!$A$2:$R$1272,14,FALSE)+IF(ISNA(VLOOKUP($A770,'Mutasi Neraca'!$A$3:$S$910,14,FALSE)),0,VLOOKUP($A770,'Mutasi Neraca'!$A$3:$S$910,14,FALSE))</f>
        <v>-1921906226</v>
      </c>
      <c r="P770" s="42">
        <f>VLOOKUP($A770,'Neraca Unaudited SIMAK'!$A$2:$R$1272,15,FALSE)+IF(ISNA(VLOOKUP($A770,'Mutasi Neraca'!$A$3:$S$910,15,FALSE)),0,VLOOKUP($A770,'Mutasi Neraca'!$A$3:$S$910,15,FALSE))</f>
        <v>-37136567</v>
      </c>
      <c r="Q770" s="42">
        <f>VLOOKUP($A770,'Neraca Unaudited SIMAK'!$A$2:$R$1272,16,FALSE)+IF(ISNA(VLOOKUP($A770,'Mutasi Neraca'!$A$3:$S$910,16,FALSE)),0,VLOOKUP($A770,'Mutasi Neraca'!$A$3:$S$910,16,FALSE))</f>
        <v>0</v>
      </c>
      <c r="R770" s="42">
        <f>VLOOKUP($A770,'Neraca Unaudited SIMAK'!$A$2:$R$1272,17,FALSE)+IF(ISNA(VLOOKUP($A770,'Mutasi Neraca'!$A$3:$S$910,17,FALSE)),0,VLOOKUP($A770,'Mutasi Neraca'!$A$3:$S$910,17,FALSE))</f>
        <v>0</v>
      </c>
      <c r="S770" s="42">
        <f t="shared" si="65"/>
        <v>9585556956</v>
      </c>
    </row>
    <row r="771" spans="1:19">
      <c r="A771" s="41" t="s">
        <v>778</v>
      </c>
      <c r="B771" s="41" t="str">
        <f t="shared" ref="B771:B834" si="66">LEFT(A771,9)</f>
        <v>005012900</v>
      </c>
      <c r="D771" s="42">
        <f>VLOOKUP($A771,'Neraca Unaudited SIMAK'!$A$2:$R$1272,3,FALSE)+IF(ISNA(VLOOKUP($A771,'Mutasi Neraca'!$A$3:$S$910,3,FALSE)),0,VLOOKUP($A771,'Mutasi Neraca'!$A$3:$S$910,3,FALSE))</f>
        <v>2073170</v>
      </c>
      <c r="E771" s="42">
        <f>VLOOKUP($A771,'Neraca Unaudited SIMAK'!$A$2:$R$1272,4,FALSE)+IF(ISNA(VLOOKUP($A771,'Mutasi Neraca'!$A$3:$S$910,4,FALSE)),0,VLOOKUP($A771,'Mutasi Neraca'!$A$3:$S$910,4,FALSE))</f>
        <v>3827676000</v>
      </c>
      <c r="F771" s="42">
        <f>VLOOKUP($A771,'Neraca Unaudited SIMAK'!$A$2:$R$1272,5,FALSE)+IF(ISNA(VLOOKUP($A771,'Mutasi Neraca'!$A$3:$S$910,5,FALSE)),0,VLOOKUP($A771,'Mutasi Neraca'!$A$3:$S$910,5,FALSE))</f>
        <v>1914301631</v>
      </c>
      <c r="G771" s="42">
        <f>VLOOKUP($A771,'Neraca Unaudited SIMAK'!$A$2:$R$1272,6,FALSE)+IF(ISNA(VLOOKUP($A771,'Mutasi Neraca'!$A$3:$S$910,6,FALSE)),0,VLOOKUP($A771,'Mutasi Neraca'!$A$3:$S$910,6,FALSE))</f>
        <v>8232694670</v>
      </c>
      <c r="H771" s="42">
        <f>VLOOKUP($A771,'Neraca Unaudited SIMAK'!$A$2:$R$1272,7,FALSE)+IF(ISNA(VLOOKUP($A771,'Mutasi Neraca'!$A$3:$S$910,7,FALSE)),0,VLOOKUP($A771,'Mutasi Neraca'!$A$3:$S$910,7,FALSE))</f>
        <v>114275000</v>
      </c>
      <c r="I771" s="42">
        <f>VLOOKUP($A771,'Neraca Unaudited SIMAK'!$A$2:$R$1272,8,FALSE)+IF(ISNA(VLOOKUP($A771,'Mutasi Neraca'!$A$3:$S$910,8,FALSE)),0,VLOOKUP($A771,'Mutasi Neraca'!$A$3:$S$910,8,FALSE))</f>
        <v>16767140</v>
      </c>
      <c r="J771" s="42">
        <f>VLOOKUP($A771,'Neraca Unaudited SIMAK'!$A$2:$R$1272,9,FALSE)+IF(ISNA(VLOOKUP($A771,'Mutasi Neraca'!$A$3:$S$910,9,FALSE)),0,VLOOKUP($A771,'Mutasi Neraca'!$A$3:$S$910,9,FALSE))</f>
        <v>0</v>
      </c>
      <c r="K771" s="42">
        <f>VLOOKUP($A771,'Neraca Unaudited SIMAK'!$A$2:$R$1272,10,FALSE)+IF(ISNA(VLOOKUP($A771,'Mutasi Neraca'!$A$3:$S$910,10,FALSE)),0,VLOOKUP($A771,'Mutasi Neraca'!$A$3:$S$910,10,FALSE))</f>
        <v>0</v>
      </c>
      <c r="L771" s="42">
        <f>VLOOKUP($A771,'Neraca Unaudited SIMAK'!$A$2:$R$1272,11,FALSE)+IF(ISNA(VLOOKUP($A771,'Mutasi Neraca'!$A$3:$S$910,11,FALSE)),0,VLOOKUP($A771,'Mutasi Neraca'!$A$3:$S$910,11,FALSE))</f>
        <v>294888700</v>
      </c>
      <c r="M771" s="42">
        <f>VLOOKUP($A771,'Neraca Unaudited SIMAK'!$A$2:$R$1272,12,FALSE)+IF(ISNA(VLOOKUP($A771,'Mutasi Neraca'!$A$3:$S$910,12,FALSE)),0,VLOOKUP($A771,'Mutasi Neraca'!$A$3:$S$910,12,FALSE))</f>
        <v>14402676311</v>
      </c>
      <c r="N771" s="42">
        <f>VLOOKUP($A771,'Neraca Unaudited SIMAK'!$A$2:$R$1272,13,FALSE)+IF(ISNA(VLOOKUP($A771,'Mutasi Neraca'!$A$3:$S$910,13,FALSE)),0,VLOOKUP($A771,'Mutasi Neraca'!$A$3:$S$910,13,FALSE))</f>
        <v>-1810444235</v>
      </c>
      <c r="O771" s="42">
        <f>VLOOKUP($A771,'Neraca Unaudited SIMAK'!$A$2:$R$1272,14,FALSE)+IF(ISNA(VLOOKUP($A771,'Mutasi Neraca'!$A$3:$S$910,14,FALSE)),0,VLOOKUP($A771,'Mutasi Neraca'!$A$3:$S$910,14,FALSE))</f>
        <v>-1176038744</v>
      </c>
      <c r="P771" s="42">
        <f>VLOOKUP($A771,'Neraca Unaudited SIMAK'!$A$2:$R$1272,15,FALSE)+IF(ISNA(VLOOKUP($A771,'Mutasi Neraca'!$A$3:$S$910,15,FALSE)),0,VLOOKUP($A771,'Mutasi Neraca'!$A$3:$S$910,15,FALSE))</f>
        <v>-74278750</v>
      </c>
      <c r="Q771" s="42">
        <f>VLOOKUP($A771,'Neraca Unaudited SIMAK'!$A$2:$R$1272,16,FALSE)+IF(ISNA(VLOOKUP($A771,'Mutasi Neraca'!$A$3:$S$910,16,FALSE)),0,VLOOKUP($A771,'Mutasi Neraca'!$A$3:$S$910,16,FALSE))</f>
        <v>0</v>
      </c>
      <c r="R771" s="42">
        <f>VLOOKUP($A771,'Neraca Unaudited SIMAK'!$A$2:$R$1272,17,FALSE)+IF(ISNA(VLOOKUP($A771,'Mutasi Neraca'!$A$3:$S$910,17,FALSE)),0,VLOOKUP($A771,'Mutasi Neraca'!$A$3:$S$910,17,FALSE))</f>
        <v>-294888700</v>
      </c>
      <c r="S771" s="42">
        <f t="shared" ref="S771:S834" si="67">SUM(M771:R771)</f>
        <v>11047025882</v>
      </c>
    </row>
    <row r="772" spans="1:19">
      <c r="A772" s="41" t="s">
        <v>779</v>
      </c>
      <c r="B772" s="41" t="str">
        <f t="shared" si="66"/>
        <v>005012900</v>
      </c>
      <c r="D772" s="42">
        <f>VLOOKUP($A772,'Neraca Unaudited SIMAK'!$A$2:$R$1272,3,FALSE)+IF(ISNA(VLOOKUP($A772,'Mutasi Neraca'!$A$3:$S$910,3,FALSE)),0,VLOOKUP($A772,'Mutasi Neraca'!$A$3:$S$910,3,FALSE))</f>
        <v>2760180</v>
      </c>
      <c r="E772" s="42">
        <f>VLOOKUP($A772,'Neraca Unaudited SIMAK'!$A$2:$R$1272,4,FALSE)+IF(ISNA(VLOOKUP($A772,'Mutasi Neraca'!$A$3:$S$910,4,FALSE)),0,VLOOKUP($A772,'Mutasi Neraca'!$A$3:$S$910,4,FALSE))</f>
        <v>3741300000</v>
      </c>
      <c r="F772" s="42">
        <f>VLOOKUP($A772,'Neraca Unaudited SIMAK'!$A$2:$R$1272,5,FALSE)+IF(ISNA(VLOOKUP($A772,'Mutasi Neraca'!$A$3:$S$910,5,FALSE)),0,VLOOKUP($A772,'Mutasi Neraca'!$A$3:$S$910,5,FALSE))</f>
        <v>2135713532</v>
      </c>
      <c r="G772" s="42">
        <f>VLOOKUP($A772,'Neraca Unaudited SIMAK'!$A$2:$R$1272,6,FALSE)+IF(ISNA(VLOOKUP($A772,'Mutasi Neraca'!$A$3:$S$910,6,FALSE)),0,VLOOKUP($A772,'Mutasi Neraca'!$A$3:$S$910,6,FALSE))</f>
        <v>7050697435</v>
      </c>
      <c r="H772" s="42">
        <f>VLOOKUP($A772,'Neraca Unaudited SIMAK'!$A$2:$R$1272,7,FALSE)+IF(ISNA(VLOOKUP($A772,'Mutasi Neraca'!$A$3:$S$910,7,FALSE)),0,VLOOKUP($A772,'Mutasi Neraca'!$A$3:$S$910,7,FALSE))</f>
        <v>49983000</v>
      </c>
      <c r="I772" s="42">
        <f>VLOOKUP($A772,'Neraca Unaudited SIMAK'!$A$2:$R$1272,8,FALSE)+IF(ISNA(VLOOKUP($A772,'Mutasi Neraca'!$A$3:$S$910,8,FALSE)),0,VLOOKUP($A772,'Mutasi Neraca'!$A$3:$S$910,8,FALSE))</f>
        <v>6355062</v>
      </c>
      <c r="J772" s="42">
        <f>VLOOKUP($A772,'Neraca Unaudited SIMAK'!$A$2:$R$1272,9,FALSE)+IF(ISNA(VLOOKUP($A772,'Mutasi Neraca'!$A$3:$S$910,9,FALSE)),0,VLOOKUP($A772,'Mutasi Neraca'!$A$3:$S$910,9,FALSE))</f>
        <v>0</v>
      </c>
      <c r="K772" s="42">
        <f>VLOOKUP($A772,'Neraca Unaudited SIMAK'!$A$2:$R$1272,10,FALSE)+IF(ISNA(VLOOKUP($A772,'Mutasi Neraca'!$A$3:$S$910,10,FALSE)),0,VLOOKUP($A772,'Mutasi Neraca'!$A$3:$S$910,10,FALSE))</f>
        <v>14700000</v>
      </c>
      <c r="L772" s="42">
        <f>VLOOKUP($A772,'Neraca Unaudited SIMAK'!$A$2:$R$1272,11,FALSE)+IF(ISNA(VLOOKUP($A772,'Mutasi Neraca'!$A$3:$S$910,11,FALSE)),0,VLOOKUP($A772,'Mutasi Neraca'!$A$3:$S$910,11,FALSE))</f>
        <v>97643900</v>
      </c>
      <c r="M772" s="42">
        <f>VLOOKUP($A772,'Neraca Unaudited SIMAK'!$A$2:$R$1272,12,FALSE)+IF(ISNA(VLOOKUP($A772,'Mutasi Neraca'!$A$3:$S$910,12,FALSE)),0,VLOOKUP($A772,'Mutasi Neraca'!$A$3:$S$910,12,FALSE))</f>
        <v>13099153109</v>
      </c>
      <c r="N772" s="42">
        <f>VLOOKUP($A772,'Neraca Unaudited SIMAK'!$A$2:$R$1272,13,FALSE)+IF(ISNA(VLOOKUP($A772,'Mutasi Neraca'!$A$3:$S$910,13,FALSE)),0,VLOOKUP($A772,'Mutasi Neraca'!$A$3:$S$910,13,FALSE))</f>
        <v>-1976909878</v>
      </c>
      <c r="O772" s="42">
        <f>VLOOKUP($A772,'Neraca Unaudited SIMAK'!$A$2:$R$1272,14,FALSE)+IF(ISNA(VLOOKUP($A772,'Mutasi Neraca'!$A$3:$S$910,14,FALSE)),0,VLOOKUP($A772,'Mutasi Neraca'!$A$3:$S$910,14,FALSE))</f>
        <v>-4374956587</v>
      </c>
      <c r="P772" s="42">
        <f>VLOOKUP($A772,'Neraca Unaudited SIMAK'!$A$2:$R$1272,15,FALSE)+IF(ISNA(VLOOKUP($A772,'Mutasi Neraca'!$A$3:$S$910,15,FALSE)),0,VLOOKUP($A772,'Mutasi Neraca'!$A$3:$S$910,15,FALSE))</f>
        <v>-3748725</v>
      </c>
      <c r="Q772" s="42">
        <f>VLOOKUP($A772,'Neraca Unaudited SIMAK'!$A$2:$R$1272,16,FALSE)+IF(ISNA(VLOOKUP($A772,'Mutasi Neraca'!$A$3:$S$910,16,FALSE)),0,VLOOKUP($A772,'Mutasi Neraca'!$A$3:$S$910,16,FALSE))</f>
        <v>0</v>
      </c>
      <c r="R772" s="42">
        <f>VLOOKUP($A772,'Neraca Unaudited SIMAK'!$A$2:$R$1272,17,FALSE)+IF(ISNA(VLOOKUP($A772,'Mutasi Neraca'!$A$3:$S$910,17,FALSE)),0,VLOOKUP($A772,'Mutasi Neraca'!$A$3:$S$910,17,FALSE))</f>
        <v>-97643900</v>
      </c>
      <c r="S772" s="42">
        <f t="shared" si="67"/>
        <v>6645894019</v>
      </c>
    </row>
    <row r="773" spans="1:19">
      <c r="A773" s="41" t="s">
        <v>780</v>
      </c>
      <c r="B773" s="41" t="str">
        <f t="shared" si="66"/>
        <v>005012900</v>
      </c>
      <c r="D773" s="42">
        <f>VLOOKUP($A773,'Neraca Unaudited SIMAK'!$A$2:$R$1272,3,FALSE)+IF(ISNA(VLOOKUP($A773,'Mutasi Neraca'!$A$3:$S$910,3,FALSE)),0,VLOOKUP($A773,'Mutasi Neraca'!$A$3:$S$910,3,FALSE))</f>
        <v>4465200</v>
      </c>
      <c r="E773" s="42">
        <f>VLOOKUP($A773,'Neraca Unaudited SIMAK'!$A$2:$R$1272,4,FALSE)+IF(ISNA(VLOOKUP($A773,'Mutasi Neraca'!$A$3:$S$910,4,FALSE)),0,VLOOKUP($A773,'Mutasi Neraca'!$A$3:$S$910,4,FALSE))</f>
        <v>13488470000</v>
      </c>
      <c r="F773" s="42">
        <f>VLOOKUP($A773,'Neraca Unaudited SIMAK'!$A$2:$R$1272,5,FALSE)+IF(ISNA(VLOOKUP($A773,'Mutasi Neraca'!$A$3:$S$910,5,FALSE)),0,VLOOKUP($A773,'Mutasi Neraca'!$A$3:$S$910,5,FALSE))</f>
        <v>2773934596</v>
      </c>
      <c r="G773" s="42">
        <f>VLOOKUP($A773,'Neraca Unaudited SIMAK'!$A$2:$R$1272,6,FALSE)+IF(ISNA(VLOOKUP($A773,'Mutasi Neraca'!$A$3:$S$910,6,FALSE)),0,VLOOKUP($A773,'Mutasi Neraca'!$A$3:$S$910,6,FALSE))</f>
        <v>4767349000</v>
      </c>
      <c r="H773" s="42">
        <f>VLOOKUP($A773,'Neraca Unaudited SIMAK'!$A$2:$R$1272,7,FALSE)+IF(ISNA(VLOOKUP($A773,'Mutasi Neraca'!$A$3:$S$910,7,FALSE)),0,VLOOKUP($A773,'Mutasi Neraca'!$A$3:$S$910,7,FALSE))</f>
        <v>49610000</v>
      </c>
      <c r="I773" s="42">
        <f>VLOOKUP($A773,'Neraca Unaudited SIMAK'!$A$2:$R$1272,8,FALSE)+IF(ISNA(VLOOKUP($A773,'Mutasi Neraca'!$A$3:$S$910,8,FALSE)),0,VLOOKUP($A773,'Mutasi Neraca'!$A$3:$S$910,8,FALSE))</f>
        <v>12285741</v>
      </c>
      <c r="J773" s="42">
        <f>VLOOKUP($A773,'Neraca Unaudited SIMAK'!$A$2:$R$1272,9,FALSE)+IF(ISNA(VLOOKUP($A773,'Mutasi Neraca'!$A$3:$S$910,9,FALSE)),0,VLOOKUP($A773,'Mutasi Neraca'!$A$3:$S$910,9,FALSE))</f>
        <v>0</v>
      </c>
      <c r="K773" s="42">
        <f>VLOOKUP($A773,'Neraca Unaudited SIMAK'!$A$2:$R$1272,10,FALSE)+IF(ISNA(VLOOKUP($A773,'Mutasi Neraca'!$A$3:$S$910,10,FALSE)),0,VLOOKUP($A773,'Mutasi Neraca'!$A$3:$S$910,10,FALSE))</f>
        <v>0</v>
      </c>
      <c r="L773" s="42">
        <f>VLOOKUP($A773,'Neraca Unaudited SIMAK'!$A$2:$R$1272,11,FALSE)+IF(ISNA(VLOOKUP($A773,'Mutasi Neraca'!$A$3:$S$910,11,FALSE)),0,VLOOKUP($A773,'Mutasi Neraca'!$A$3:$S$910,11,FALSE))</f>
        <v>0</v>
      </c>
      <c r="M773" s="42">
        <f>VLOOKUP($A773,'Neraca Unaudited SIMAK'!$A$2:$R$1272,12,FALSE)+IF(ISNA(VLOOKUP($A773,'Mutasi Neraca'!$A$3:$S$910,12,FALSE)),0,VLOOKUP($A773,'Mutasi Neraca'!$A$3:$S$910,12,FALSE))</f>
        <v>21096114537</v>
      </c>
      <c r="N773" s="42">
        <f>VLOOKUP($A773,'Neraca Unaudited SIMAK'!$A$2:$R$1272,13,FALSE)+IF(ISNA(VLOOKUP($A773,'Mutasi Neraca'!$A$3:$S$910,13,FALSE)),0,VLOOKUP($A773,'Mutasi Neraca'!$A$3:$S$910,13,FALSE))</f>
        <v>-2599079654</v>
      </c>
      <c r="O773" s="42">
        <f>VLOOKUP($A773,'Neraca Unaudited SIMAK'!$A$2:$R$1272,14,FALSE)+IF(ISNA(VLOOKUP($A773,'Mutasi Neraca'!$A$3:$S$910,14,FALSE)),0,VLOOKUP($A773,'Mutasi Neraca'!$A$3:$S$910,14,FALSE))</f>
        <v>-2568557920</v>
      </c>
      <c r="P773" s="42">
        <f>VLOOKUP($A773,'Neraca Unaudited SIMAK'!$A$2:$R$1272,15,FALSE)+IF(ISNA(VLOOKUP($A773,'Mutasi Neraca'!$A$3:$S$910,15,FALSE)),0,VLOOKUP($A773,'Mutasi Neraca'!$A$3:$S$910,15,FALSE))</f>
        <v>-13642750</v>
      </c>
      <c r="Q773" s="42">
        <f>VLOOKUP($A773,'Neraca Unaudited SIMAK'!$A$2:$R$1272,16,FALSE)+IF(ISNA(VLOOKUP($A773,'Mutasi Neraca'!$A$3:$S$910,16,FALSE)),0,VLOOKUP($A773,'Mutasi Neraca'!$A$3:$S$910,16,FALSE))</f>
        <v>0</v>
      </c>
      <c r="R773" s="42">
        <f>VLOOKUP($A773,'Neraca Unaudited SIMAK'!$A$2:$R$1272,17,FALSE)+IF(ISNA(VLOOKUP($A773,'Mutasi Neraca'!$A$3:$S$910,17,FALSE)),0,VLOOKUP($A773,'Mutasi Neraca'!$A$3:$S$910,17,FALSE))</f>
        <v>0</v>
      </c>
      <c r="S773" s="42">
        <f t="shared" si="67"/>
        <v>15914834213</v>
      </c>
    </row>
    <row r="774" spans="1:19">
      <c r="A774" s="41" t="s">
        <v>781</v>
      </c>
      <c r="B774" s="41" t="str">
        <f t="shared" si="66"/>
        <v>005012900</v>
      </c>
      <c r="D774" s="42">
        <f>VLOOKUP($A774,'Neraca Unaudited SIMAK'!$A$2:$R$1272,3,FALSE)+IF(ISNA(VLOOKUP($A774,'Mutasi Neraca'!$A$3:$S$910,3,FALSE)),0,VLOOKUP($A774,'Mutasi Neraca'!$A$3:$S$910,3,FALSE))</f>
        <v>1062500</v>
      </c>
      <c r="E774" s="42">
        <f>VLOOKUP($A774,'Neraca Unaudited SIMAK'!$A$2:$R$1272,4,FALSE)+IF(ISNA(VLOOKUP($A774,'Mutasi Neraca'!$A$3:$S$910,4,FALSE)),0,VLOOKUP($A774,'Mutasi Neraca'!$A$3:$S$910,4,FALSE))</f>
        <v>3351882400</v>
      </c>
      <c r="F774" s="42">
        <f>VLOOKUP($A774,'Neraca Unaudited SIMAK'!$A$2:$R$1272,5,FALSE)+IF(ISNA(VLOOKUP($A774,'Mutasi Neraca'!$A$3:$S$910,5,FALSE)),0,VLOOKUP($A774,'Mutasi Neraca'!$A$3:$S$910,5,FALSE))</f>
        <v>1439278318</v>
      </c>
      <c r="G774" s="42">
        <f>VLOOKUP($A774,'Neraca Unaudited SIMAK'!$A$2:$R$1272,6,FALSE)+IF(ISNA(VLOOKUP($A774,'Mutasi Neraca'!$A$3:$S$910,6,FALSE)),0,VLOOKUP($A774,'Mutasi Neraca'!$A$3:$S$910,6,FALSE))</f>
        <v>1064785818</v>
      </c>
      <c r="H774" s="42">
        <f>VLOOKUP($A774,'Neraca Unaudited SIMAK'!$A$2:$R$1272,7,FALSE)+IF(ISNA(VLOOKUP($A774,'Mutasi Neraca'!$A$3:$S$910,7,FALSE)),0,VLOOKUP($A774,'Mutasi Neraca'!$A$3:$S$910,7,FALSE))</f>
        <v>0</v>
      </c>
      <c r="I774" s="42">
        <f>VLOOKUP($A774,'Neraca Unaudited SIMAK'!$A$2:$R$1272,8,FALSE)+IF(ISNA(VLOOKUP($A774,'Mutasi Neraca'!$A$3:$S$910,8,FALSE)),0,VLOOKUP($A774,'Mutasi Neraca'!$A$3:$S$910,8,FALSE))</f>
        <v>6405745</v>
      </c>
      <c r="J774" s="42">
        <f>VLOOKUP($A774,'Neraca Unaudited SIMAK'!$A$2:$R$1272,9,FALSE)+IF(ISNA(VLOOKUP($A774,'Mutasi Neraca'!$A$3:$S$910,9,FALSE)),0,VLOOKUP($A774,'Mutasi Neraca'!$A$3:$S$910,9,FALSE))</f>
        <v>0</v>
      </c>
      <c r="K774" s="42">
        <f>VLOOKUP($A774,'Neraca Unaudited SIMAK'!$A$2:$R$1272,10,FALSE)+IF(ISNA(VLOOKUP($A774,'Mutasi Neraca'!$A$3:$S$910,10,FALSE)),0,VLOOKUP($A774,'Mutasi Neraca'!$A$3:$S$910,10,FALSE))</f>
        <v>29200000</v>
      </c>
      <c r="L774" s="42">
        <f>VLOOKUP($A774,'Neraca Unaudited SIMAK'!$A$2:$R$1272,11,FALSE)+IF(ISNA(VLOOKUP($A774,'Mutasi Neraca'!$A$3:$S$910,11,FALSE)),0,VLOOKUP($A774,'Mutasi Neraca'!$A$3:$S$910,11,FALSE))</f>
        <v>149039725</v>
      </c>
      <c r="M774" s="42">
        <f>VLOOKUP($A774,'Neraca Unaudited SIMAK'!$A$2:$R$1272,12,FALSE)+IF(ISNA(VLOOKUP($A774,'Mutasi Neraca'!$A$3:$S$910,12,FALSE)),0,VLOOKUP($A774,'Mutasi Neraca'!$A$3:$S$910,12,FALSE))</f>
        <v>6041654506</v>
      </c>
      <c r="N774" s="42">
        <f>VLOOKUP($A774,'Neraca Unaudited SIMAK'!$A$2:$R$1272,13,FALSE)+IF(ISNA(VLOOKUP($A774,'Mutasi Neraca'!$A$3:$S$910,13,FALSE)),0,VLOOKUP($A774,'Mutasi Neraca'!$A$3:$S$910,13,FALSE))</f>
        <v>-1141549828</v>
      </c>
      <c r="O774" s="42">
        <f>VLOOKUP($A774,'Neraca Unaudited SIMAK'!$A$2:$R$1272,14,FALSE)+IF(ISNA(VLOOKUP($A774,'Mutasi Neraca'!$A$3:$S$910,14,FALSE)),0,VLOOKUP($A774,'Mutasi Neraca'!$A$3:$S$910,14,FALSE))</f>
        <v>-187602834</v>
      </c>
      <c r="P774" s="42">
        <f>VLOOKUP($A774,'Neraca Unaudited SIMAK'!$A$2:$R$1272,15,FALSE)+IF(ISNA(VLOOKUP($A774,'Mutasi Neraca'!$A$3:$S$910,15,FALSE)),0,VLOOKUP($A774,'Mutasi Neraca'!$A$3:$S$910,15,FALSE))</f>
        <v>0</v>
      </c>
      <c r="Q774" s="42">
        <f>VLOOKUP($A774,'Neraca Unaudited SIMAK'!$A$2:$R$1272,16,FALSE)+IF(ISNA(VLOOKUP($A774,'Mutasi Neraca'!$A$3:$S$910,16,FALSE)),0,VLOOKUP($A774,'Mutasi Neraca'!$A$3:$S$910,16,FALSE))</f>
        <v>0</v>
      </c>
      <c r="R774" s="42">
        <f>VLOOKUP($A774,'Neraca Unaudited SIMAK'!$A$2:$R$1272,17,FALSE)+IF(ISNA(VLOOKUP($A774,'Mutasi Neraca'!$A$3:$S$910,17,FALSE)),0,VLOOKUP($A774,'Mutasi Neraca'!$A$3:$S$910,17,FALSE))</f>
        <v>-149039725</v>
      </c>
      <c r="S774" s="42">
        <f t="shared" si="67"/>
        <v>4563462119</v>
      </c>
    </row>
    <row r="775" spans="1:19">
      <c r="A775" s="41" t="s">
        <v>782</v>
      </c>
      <c r="B775" s="41" t="str">
        <f t="shared" si="66"/>
        <v>005012900</v>
      </c>
      <c r="D775" s="42">
        <f>VLOOKUP($A775,'Neraca Unaudited SIMAK'!$A$2:$R$1272,3,FALSE)+IF(ISNA(VLOOKUP($A775,'Mutasi Neraca'!$A$3:$S$910,3,FALSE)),0,VLOOKUP($A775,'Mutasi Neraca'!$A$3:$S$910,3,FALSE))</f>
        <v>2302925</v>
      </c>
      <c r="E775" s="42">
        <f>VLOOKUP($A775,'Neraca Unaudited SIMAK'!$A$2:$R$1272,4,FALSE)+IF(ISNA(VLOOKUP($A775,'Mutasi Neraca'!$A$3:$S$910,4,FALSE)),0,VLOOKUP($A775,'Mutasi Neraca'!$A$3:$S$910,4,FALSE))</f>
        <v>200000000</v>
      </c>
      <c r="F775" s="42">
        <f>VLOOKUP($A775,'Neraca Unaudited SIMAK'!$A$2:$R$1272,5,FALSE)+IF(ISNA(VLOOKUP($A775,'Mutasi Neraca'!$A$3:$S$910,5,FALSE)),0,VLOOKUP($A775,'Mutasi Neraca'!$A$3:$S$910,5,FALSE))</f>
        <v>1240287362</v>
      </c>
      <c r="G775" s="42">
        <f>VLOOKUP($A775,'Neraca Unaudited SIMAK'!$A$2:$R$1272,6,FALSE)+IF(ISNA(VLOOKUP($A775,'Mutasi Neraca'!$A$3:$S$910,6,FALSE)),0,VLOOKUP($A775,'Mutasi Neraca'!$A$3:$S$910,6,FALSE))</f>
        <v>2042873000</v>
      </c>
      <c r="H775" s="42">
        <f>VLOOKUP($A775,'Neraca Unaudited SIMAK'!$A$2:$R$1272,7,FALSE)+IF(ISNA(VLOOKUP($A775,'Mutasi Neraca'!$A$3:$S$910,7,FALSE)),0,VLOOKUP($A775,'Mutasi Neraca'!$A$3:$S$910,7,FALSE))</f>
        <v>0</v>
      </c>
      <c r="I775" s="42">
        <f>VLOOKUP($A775,'Neraca Unaudited SIMAK'!$A$2:$R$1272,8,FALSE)+IF(ISNA(VLOOKUP($A775,'Mutasi Neraca'!$A$3:$S$910,8,FALSE)),0,VLOOKUP($A775,'Mutasi Neraca'!$A$3:$S$910,8,FALSE))</f>
        <v>30302346</v>
      </c>
      <c r="J775" s="42">
        <f>VLOOKUP($A775,'Neraca Unaudited SIMAK'!$A$2:$R$1272,9,FALSE)+IF(ISNA(VLOOKUP($A775,'Mutasi Neraca'!$A$3:$S$910,9,FALSE)),0,VLOOKUP($A775,'Mutasi Neraca'!$A$3:$S$910,9,FALSE))</f>
        <v>0</v>
      </c>
      <c r="K775" s="42">
        <f>VLOOKUP($A775,'Neraca Unaudited SIMAK'!$A$2:$R$1272,10,FALSE)+IF(ISNA(VLOOKUP($A775,'Mutasi Neraca'!$A$3:$S$910,10,FALSE)),0,VLOOKUP($A775,'Mutasi Neraca'!$A$3:$S$910,10,FALSE))</f>
        <v>0</v>
      </c>
      <c r="L775" s="42">
        <f>VLOOKUP($A775,'Neraca Unaudited SIMAK'!$A$2:$R$1272,11,FALSE)+IF(ISNA(VLOOKUP($A775,'Mutasi Neraca'!$A$3:$S$910,11,FALSE)),0,VLOOKUP($A775,'Mutasi Neraca'!$A$3:$S$910,11,FALSE))</f>
        <v>0</v>
      </c>
      <c r="M775" s="42">
        <f>VLOOKUP($A775,'Neraca Unaudited SIMAK'!$A$2:$R$1272,12,FALSE)+IF(ISNA(VLOOKUP($A775,'Mutasi Neraca'!$A$3:$S$910,12,FALSE)),0,VLOOKUP($A775,'Mutasi Neraca'!$A$3:$S$910,12,FALSE))</f>
        <v>3515765633</v>
      </c>
      <c r="N775" s="42">
        <f>VLOOKUP($A775,'Neraca Unaudited SIMAK'!$A$2:$R$1272,13,FALSE)+IF(ISNA(VLOOKUP($A775,'Mutasi Neraca'!$A$3:$S$910,13,FALSE)),0,VLOOKUP($A775,'Mutasi Neraca'!$A$3:$S$910,13,FALSE))</f>
        <v>-1153142841</v>
      </c>
      <c r="O775" s="42">
        <f>VLOOKUP($A775,'Neraca Unaudited SIMAK'!$A$2:$R$1272,14,FALSE)+IF(ISNA(VLOOKUP($A775,'Mutasi Neraca'!$A$3:$S$910,14,FALSE)),0,VLOOKUP($A775,'Mutasi Neraca'!$A$3:$S$910,14,FALSE))</f>
        <v>-388145870</v>
      </c>
      <c r="P775" s="42">
        <f>VLOOKUP($A775,'Neraca Unaudited SIMAK'!$A$2:$R$1272,15,FALSE)+IF(ISNA(VLOOKUP($A775,'Mutasi Neraca'!$A$3:$S$910,15,FALSE)),0,VLOOKUP($A775,'Mutasi Neraca'!$A$3:$S$910,15,FALSE))</f>
        <v>0</v>
      </c>
      <c r="Q775" s="42">
        <f>VLOOKUP($A775,'Neraca Unaudited SIMAK'!$A$2:$R$1272,16,FALSE)+IF(ISNA(VLOOKUP($A775,'Mutasi Neraca'!$A$3:$S$910,16,FALSE)),0,VLOOKUP($A775,'Mutasi Neraca'!$A$3:$S$910,16,FALSE))</f>
        <v>0</v>
      </c>
      <c r="R775" s="42">
        <f>VLOOKUP($A775,'Neraca Unaudited SIMAK'!$A$2:$R$1272,17,FALSE)+IF(ISNA(VLOOKUP($A775,'Mutasi Neraca'!$A$3:$S$910,17,FALSE)),0,VLOOKUP($A775,'Mutasi Neraca'!$A$3:$S$910,17,FALSE))</f>
        <v>0</v>
      </c>
      <c r="S775" s="42">
        <f t="shared" si="67"/>
        <v>1974476922</v>
      </c>
    </row>
    <row r="776" spans="1:19">
      <c r="A776" s="41" t="s">
        <v>783</v>
      </c>
      <c r="B776" s="41" t="str">
        <f t="shared" si="66"/>
        <v>005012900</v>
      </c>
      <c r="D776" s="42">
        <f>VLOOKUP($A776,'Neraca Unaudited SIMAK'!$A$2:$R$1272,3,FALSE)+IF(ISNA(VLOOKUP($A776,'Mutasi Neraca'!$A$3:$S$910,3,FALSE)),0,VLOOKUP($A776,'Mutasi Neraca'!$A$3:$S$910,3,FALSE))</f>
        <v>1975400</v>
      </c>
      <c r="E776" s="42">
        <f>VLOOKUP($A776,'Neraca Unaudited SIMAK'!$A$2:$R$1272,4,FALSE)+IF(ISNA(VLOOKUP($A776,'Mutasi Neraca'!$A$3:$S$910,4,FALSE)),0,VLOOKUP($A776,'Mutasi Neraca'!$A$3:$S$910,4,FALSE))</f>
        <v>894000000</v>
      </c>
      <c r="F776" s="42">
        <f>VLOOKUP($A776,'Neraca Unaudited SIMAK'!$A$2:$R$1272,5,FALSE)+IF(ISNA(VLOOKUP($A776,'Mutasi Neraca'!$A$3:$S$910,5,FALSE)),0,VLOOKUP($A776,'Mutasi Neraca'!$A$3:$S$910,5,FALSE))</f>
        <v>1048523980</v>
      </c>
      <c r="G776" s="42">
        <f>VLOOKUP($A776,'Neraca Unaudited SIMAK'!$A$2:$R$1272,6,FALSE)+IF(ISNA(VLOOKUP($A776,'Mutasi Neraca'!$A$3:$S$910,6,FALSE)),0,VLOOKUP($A776,'Mutasi Neraca'!$A$3:$S$910,6,FALSE))</f>
        <v>4671380100</v>
      </c>
      <c r="H776" s="42">
        <f>VLOOKUP($A776,'Neraca Unaudited SIMAK'!$A$2:$R$1272,7,FALSE)+IF(ISNA(VLOOKUP($A776,'Mutasi Neraca'!$A$3:$S$910,7,FALSE)),0,VLOOKUP($A776,'Mutasi Neraca'!$A$3:$S$910,7,FALSE))</f>
        <v>10383240</v>
      </c>
      <c r="I776" s="42">
        <f>VLOOKUP($A776,'Neraca Unaudited SIMAK'!$A$2:$R$1272,8,FALSE)+IF(ISNA(VLOOKUP($A776,'Mutasi Neraca'!$A$3:$S$910,8,FALSE)),0,VLOOKUP($A776,'Mutasi Neraca'!$A$3:$S$910,8,FALSE))</f>
        <v>5667346</v>
      </c>
      <c r="J776" s="42">
        <f>VLOOKUP($A776,'Neraca Unaudited SIMAK'!$A$2:$R$1272,9,FALSE)+IF(ISNA(VLOOKUP($A776,'Mutasi Neraca'!$A$3:$S$910,9,FALSE)),0,VLOOKUP($A776,'Mutasi Neraca'!$A$3:$S$910,9,FALSE))</f>
        <v>0</v>
      </c>
      <c r="K776" s="42">
        <f>VLOOKUP($A776,'Neraca Unaudited SIMAK'!$A$2:$R$1272,10,FALSE)+IF(ISNA(VLOOKUP($A776,'Mutasi Neraca'!$A$3:$S$910,10,FALSE)),0,VLOOKUP($A776,'Mutasi Neraca'!$A$3:$S$910,10,FALSE))</f>
        <v>0</v>
      </c>
      <c r="L776" s="42">
        <f>VLOOKUP($A776,'Neraca Unaudited SIMAK'!$A$2:$R$1272,11,FALSE)+IF(ISNA(VLOOKUP($A776,'Mutasi Neraca'!$A$3:$S$910,11,FALSE)),0,VLOOKUP($A776,'Mutasi Neraca'!$A$3:$S$910,11,FALSE))</f>
        <v>26900000</v>
      </c>
      <c r="M776" s="42">
        <f>VLOOKUP($A776,'Neraca Unaudited SIMAK'!$A$2:$R$1272,12,FALSE)+IF(ISNA(VLOOKUP($A776,'Mutasi Neraca'!$A$3:$S$910,12,FALSE)),0,VLOOKUP($A776,'Mutasi Neraca'!$A$3:$S$910,12,FALSE))</f>
        <v>6658830066</v>
      </c>
      <c r="N776" s="42">
        <f>VLOOKUP($A776,'Neraca Unaudited SIMAK'!$A$2:$R$1272,13,FALSE)+IF(ISNA(VLOOKUP($A776,'Mutasi Neraca'!$A$3:$S$910,13,FALSE)),0,VLOOKUP($A776,'Mutasi Neraca'!$A$3:$S$910,13,FALSE))</f>
        <v>-828214351</v>
      </c>
      <c r="O776" s="42">
        <f>VLOOKUP($A776,'Neraca Unaudited SIMAK'!$A$2:$R$1272,14,FALSE)+IF(ISNA(VLOOKUP($A776,'Mutasi Neraca'!$A$3:$S$910,14,FALSE)),0,VLOOKUP($A776,'Mutasi Neraca'!$A$3:$S$910,14,FALSE))</f>
        <v>-530432041</v>
      </c>
      <c r="P776" s="42">
        <f>VLOOKUP($A776,'Neraca Unaudited SIMAK'!$A$2:$R$1272,15,FALSE)+IF(ISNA(VLOOKUP($A776,'Mutasi Neraca'!$A$3:$S$910,15,FALSE)),0,VLOOKUP($A776,'Mutasi Neraca'!$A$3:$S$910,15,FALSE))</f>
        <v>-5529568</v>
      </c>
      <c r="Q776" s="42">
        <f>VLOOKUP($A776,'Neraca Unaudited SIMAK'!$A$2:$R$1272,16,FALSE)+IF(ISNA(VLOOKUP($A776,'Mutasi Neraca'!$A$3:$S$910,16,FALSE)),0,VLOOKUP($A776,'Mutasi Neraca'!$A$3:$S$910,16,FALSE))</f>
        <v>0</v>
      </c>
      <c r="R776" s="42">
        <f>VLOOKUP($A776,'Neraca Unaudited SIMAK'!$A$2:$R$1272,17,FALSE)+IF(ISNA(VLOOKUP($A776,'Mutasi Neraca'!$A$3:$S$910,17,FALSE)),0,VLOOKUP($A776,'Mutasi Neraca'!$A$3:$S$910,17,FALSE))</f>
        <v>-26900000</v>
      </c>
      <c r="S776" s="42">
        <f t="shared" si="67"/>
        <v>5267754106</v>
      </c>
    </row>
    <row r="777" spans="1:19">
      <c r="A777" s="41" t="s">
        <v>784</v>
      </c>
      <c r="B777" s="41" t="str">
        <f t="shared" si="66"/>
        <v>005012900</v>
      </c>
      <c r="D777" s="42">
        <f>VLOOKUP($A777,'Neraca Unaudited SIMAK'!$A$2:$R$1272,3,FALSE)+IF(ISNA(VLOOKUP($A777,'Mutasi Neraca'!$A$3:$S$910,3,FALSE)),0,VLOOKUP($A777,'Mutasi Neraca'!$A$3:$S$910,3,FALSE))</f>
        <v>0</v>
      </c>
      <c r="E777" s="42">
        <f>VLOOKUP($A777,'Neraca Unaudited SIMAK'!$A$2:$R$1272,4,FALSE)+IF(ISNA(VLOOKUP($A777,'Mutasi Neraca'!$A$3:$S$910,4,FALSE)),0,VLOOKUP($A777,'Mutasi Neraca'!$A$3:$S$910,4,FALSE))</f>
        <v>1457430000</v>
      </c>
      <c r="F777" s="42">
        <f>VLOOKUP($A777,'Neraca Unaudited SIMAK'!$A$2:$R$1272,5,FALSE)+IF(ISNA(VLOOKUP($A777,'Mutasi Neraca'!$A$3:$S$910,5,FALSE)),0,VLOOKUP($A777,'Mutasi Neraca'!$A$3:$S$910,5,FALSE))</f>
        <v>1760818767</v>
      </c>
      <c r="G777" s="42">
        <f>VLOOKUP($A777,'Neraca Unaudited SIMAK'!$A$2:$R$1272,6,FALSE)+IF(ISNA(VLOOKUP($A777,'Mutasi Neraca'!$A$3:$S$910,6,FALSE)),0,VLOOKUP($A777,'Mutasi Neraca'!$A$3:$S$910,6,FALSE))</f>
        <v>4656740167</v>
      </c>
      <c r="H777" s="42">
        <f>VLOOKUP($A777,'Neraca Unaudited SIMAK'!$A$2:$R$1272,7,FALSE)+IF(ISNA(VLOOKUP($A777,'Mutasi Neraca'!$A$3:$S$910,7,FALSE)),0,VLOOKUP($A777,'Mutasi Neraca'!$A$3:$S$910,7,FALSE))</f>
        <v>0</v>
      </c>
      <c r="I777" s="42">
        <f>VLOOKUP($A777,'Neraca Unaudited SIMAK'!$A$2:$R$1272,8,FALSE)+IF(ISNA(VLOOKUP($A777,'Mutasi Neraca'!$A$3:$S$910,8,FALSE)),0,VLOOKUP($A777,'Mutasi Neraca'!$A$3:$S$910,8,FALSE))</f>
        <v>28203470</v>
      </c>
      <c r="J777" s="42">
        <f>VLOOKUP($A777,'Neraca Unaudited SIMAK'!$A$2:$R$1272,9,FALSE)+IF(ISNA(VLOOKUP($A777,'Mutasi Neraca'!$A$3:$S$910,9,FALSE)),0,VLOOKUP($A777,'Mutasi Neraca'!$A$3:$S$910,9,FALSE))</f>
        <v>0</v>
      </c>
      <c r="K777" s="42">
        <f>VLOOKUP($A777,'Neraca Unaudited SIMAK'!$A$2:$R$1272,10,FALSE)+IF(ISNA(VLOOKUP($A777,'Mutasi Neraca'!$A$3:$S$910,10,FALSE)),0,VLOOKUP($A777,'Mutasi Neraca'!$A$3:$S$910,10,FALSE))</f>
        <v>0</v>
      </c>
      <c r="L777" s="42">
        <f>VLOOKUP($A777,'Neraca Unaudited SIMAK'!$A$2:$R$1272,11,FALSE)+IF(ISNA(VLOOKUP($A777,'Mutasi Neraca'!$A$3:$S$910,11,FALSE)),0,VLOOKUP($A777,'Mutasi Neraca'!$A$3:$S$910,11,FALSE))</f>
        <v>0</v>
      </c>
      <c r="M777" s="42">
        <f>VLOOKUP($A777,'Neraca Unaudited SIMAK'!$A$2:$R$1272,12,FALSE)+IF(ISNA(VLOOKUP($A777,'Mutasi Neraca'!$A$3:$S$910,12,FALSE)),0,VLOOKUP($A777,'Mutasi Neraca'!$A$3:$S$910,12,FALSE))</f>
        <v>7903192404</v>
      </c>
      <c r="N777" s="42">
        <f>VLOOKUP($A777,'Neraca Unaudited SIMAK'!$A$2:$R$1272,13,FALSE)+IF(ISNA(VLOOKUP($A777,'Mutasi Neraca'!$A$3:$S$910,13,FALSE)),0,VLOOKUP($A777,'Mutasi Neraca'!$A$3:$S$910,13,FALSE))</f>
        <v>-1612402812</v>
      </c>
      <c r="O777" s="42">
        <f>VLOOKUP($A777,'Neraca Unaudited SIMAK'!$A$2:$R$1272,14,FALSE)+IF(ISNA(VLOOKUP($A777,'Mutasi Neraca'!$A$3:$S$910,14,FALSE)),0,VLOOKUP($A777,'Mutasi Neraca'!$A$3:$S$910,14,FALSE))</f>
        <v>-2889354799</v>
      </c>
      <c r="P777" s="42">
        <f>VLOOKUP($A777,'Neraca Unaudited SIMAK'!$A$2:$R$1272,15,FALSE)+IF(ISNA(VLOOKUP($A777,'Mutasi Neraca'!$A$3:$S$910,15,FALSE)),0,VLOOKUP($A777,'Mutasi Neraca'!$A$3:$S$910,15,FALSE))</f>
        <v>0</v>
      </c>
      <c r="Q777" s="42">
        <f>VLOOKUP($A777,'Neraca Unaudited SIMAK'!$A$2:$R$1272,16,FALSE)+IF(ISNA(VLOOKUP($A777,'Mutasi Neraca'!$A$3:$S$910,16,FALSE)),0,VLOOKUP($A777,'Mutasi Neraca'!$A$3:$S$910,16,FALSE))</f>
        <v>0</v>
      </c>
      <c r="R777" s="42">
        <f>VLOOKUP($A777,'Neraca Unaudited SIMAK'!$A$2:$R$1272,17,FALSE)+IF(ISNA(VLOOKUP($A777,'Mutasi Neraca'!$A$3:$S$910,17,FALSE)),0,VLOOKUP($A777,'Mutasi Neraca'!$A$3:$S$910,17,FALSE))</f>
        <v>0</v>
      </c>
      <c r="S777" s="42">
        <f t="shared" si="67"/>
        <v>3401434793</v>
      </c>
    </row>
    <row r="778" spans="1:19">
      <c r="A778" s="41" t="s">
        <v>785</v>
      </c>
      <c r="B778" s="41" t="str">
        <f t="shared" si="66"/>
        <v>005012900</v>
      </c>
      <c r="D778" s="42">
        <f>VLOOKUP($A778,'Neraca Unaudited SIMAK'!$A$2:$R$1272,3,FALSE)+IF(ISNA(VLOOKUP($A778,'Mutasi Neraca'!$A$3:$S$910,3,FALSE)),0,VLOOKUP($A778,'Mutasi Neraca'!$A$3:$S$910,3,FALSE))</f>
        <v>10657564</v>
      </c>
      <c r="E778" s="42">
        <f>VLOOKUP($A778,'Neraca Unaudited SIMAK'!$A$2:$R$1272,4,FALSE)+IF(ISNA(VLOOKUP($A778,'Mutasi Neraca'!$A$3:$S$910,4,FALSE)),0,VLOOKUP($A778,'Mutasi Neraca'!$A$3:$S$910,4,FALSE))</f>
        <v>1480000000</v>
      </c>
      <c r="F778" s="42">
        <f>VLOOKUP($A778,'Neraca Unaudited SIMAK'!$A$2:$R$1272,5,FALSE)+IF(ISNA(VLOOKUP($A778,'Mutasi Neraca'!$A$3:$S$910,5,FALSE)),0,VLOOKUP($A778,'Mutasi Neraca'!$A$3:$S$910,5,FALSE))</f>
        <v>3886412120</v>
      </c>
      <c r="G778" s="42">
        <f>VLOOKUP($A778,'Neraca Unaudited SIMAK'!$A$2:$R$1272,6,FALSE)+IF(ISNA(VLOOKUP($A778,'Mutasi Neraca'!$A$3:$S$910,6,FALSE)),0,VLOOKUP($A778,'Mutasi Neraca'!$A$3:$S$910,6,FALSE))</f>
        <v>11548237967</v>
      </c>
      <c r="H778" s="42">
        <f>VLOOKUP($A778,'Neraca Unaudited SIMAK'!$A$2:$R$1272,7,FALSE)+IF(ISNA(VLOOKUP($A778,'Mutasi Neraca'!$A$3:$S$910,7,FALSE)),0,VLOOKUP($A778,'Mutasi Neraca'!$A$3:$S$910,7,FALSE))</f>
        <v>525801862</v>
      </c>
      <c r="I778" s="42">
        <f>VLOOKUP($A778,'Neraca Unaudited SIMAK'!$A$2:$R$1272,8,FALSE)+IF(ISNA(VLOOKUP($A778,'Mutasi Neraca'!$A$3:$S$910,8,FALSE)),0,VLOOKUP($A778,'Mutasi Neraca'!$A$3:$S$910,8,FALSE))</f>
        <v>36908507</v>
      </c>
      <c r="J778" s="42">
        <f>VLOOKUP($A778,'Neraca Unaudited SIMAK'!$A$2:$R$1272,9,FALSE)+IF(ISNA(VLOOKUP($A778,'Mutasi Neraca'!$A$3:$S$910,9,FALSE)),0,VLOOKUP($A778,'Mutasi Neraca'!$A$3:$S$910,9,FALSE))</f>
        <v>0</v>
      </c>
      <c r="K778" s="42">
        <f>VLOOKUP($A778,'Neraca Unaudited SIMAK'!$A$2:$R$1272,10,FALSE)+IF(ISNA(VLOOKUP($A778,'Mutasi Neraca'!$A$3:$S$910,10,FALSE)),0,VLOOKUP($A778,'Mutasi Neraca'!$A$3:$S$910,10,FALSE))</f>
        <v>20000000</v>
      </c>
      <c r="L778" s="42">
        <f>VLOOKUP($A778,'Neraca Unaudited SIMAK'!$A$2:$R$1272,11,FALSE)+IF(ISNA(VLOOKUP($A778,'Mutasi Neraca'!$A$3:$S$910,11,FALSE)),0,VLOOKUP($A778,'Mutasi Neraca'!$A$3:$S$910,11,FALSE))</f>
        <v>50228162</v>
      </c>
      <c r="M778" s="42">
        <f>VLOOKUP($A778,'Neraca Unaudited SIMAK'!$A$2:$R$1272,12,FALSE)+IF(ISNA(VLOOKUP($A778,'Mutasi Neraca'!$A$3:$S$910,12,FALSE)),0,VLOOKUP($A778,'Mutasi Neraca'!$A$3:$S$910,12,FALSE))</f>
        <v>17558246182</v>
      </c>
      <c r="N778" s="42">
        <f>VLOOKUP($A778,'Neraca Unaudited SIMAK'!$A$2:$R$1272,13,FALSE)+IF(ISNA(VLOOKUP($A778,'Mutasi Neraca'!$A$3:$S$910,13,FALSE)),0,VLOOKUP($A778,'Mutasi Neraca'!$A$3:$S$910,13,FALSE))</f>
        <v>-3157666518</v>
      </c>
      <c r="O778" s="42">
        <f>VLOOKUP($A778,'Neraca Unaudited SIMAK'!$A$2:$R$1272,14,FALSE)+IF(ISNA(VLOOKUP($A778,'Mutasi Neraca'!$A$3:$S$910,14,FALSE)),0,VLOOKUP($A778,'Mutasi Neraca'!$A$3:$S$910,14,FALSE))</f>
        <v>-1514103338</v>
      </c>
      <c r="P778" s="42">
        <f>VLOOKUP($A778,'Neraca Unaudited SIMAK'!$A$2:$R$1272,15,FALSE)+IF(ISNA(VLOOKUP($A778,'Mutasi Neraca'!$A$3:$S$910,15,FALSE)),0,VLOOKUP($A778,'Mutasi Neraca'!$A$3:$S$910,15,FALSE))</f>
        <v>-341771209</v>
      </c>
      <c r="Q778" s="42">
        <f>VLOOKUP($A778,'Neraca Unaudited SIMAK'!$A$2:$R$1272,16,FALSE)+IF(ISNA(VLOOKUP($A778,'Mutasi Neraca'!$A$3:$S$910,16,FALSE)),0,VLOOKUP($A778,'Mutasi Neraca'!$A$3:$S$910,16,FALSE))</f>
        <v>0</v>
      </c>
      <c r="R778" s="42">
        <f>VLOOKUP($A778,'Neraca Unaudited SIMAK'!$A$2:$R$1272,17,FALSE)+IF(ISNA(VLOOKUP($A778,'Mutasi Neraca'!$A$3:$S$910,17,FALSE)),0,VLOOKUP($A778,'Mutasi Neraca'!$A$3:$S$910,17,FALSE))</f>
        <v>-43765662</v>
      </c>
      <c r="S778" s="42">
        <f t="shared" si="67"/>
        <v>12500939455</v>
      </c>
    </row>
    <row r="779" spans="1:19">
      <c r="A779" s="41" t="s">
        <v>786</v>
      </c>
      <c r="B779" s="41" t="str">
        <f t="shared" si="66"/>
        <v>005012900</v>
      </c>
      <c r="D779" s="42">
        <f>VLOOKUP($A779,'Neraca Unaudited SIMAK'!$A$2:$R$1272,3,FALSE)+IF(ISNA(VLOOKUP($A779,'Mutasi Neraca'!$A$3:$S$910,3,FALSE)),0,VLOOKUP($A779,'Mutasi Neraca'!$A$3:$S$910,3,FALSE))</f>
        <v>58000</v>
      </c>
      <c r="E779" s="42">
        <f>VLOOKUP($A779,'Neraca Unaudited SIMAK'!$A$2:$R$1272,4,FALSE)+IF(ISNA(VLOOKUP($A779,'Mutasi Neraca'!$A$3:$S$910,4,FALSE)),0,VLOOKUP($A779,'Mutasi Neraca'!$A$3:$S$910,4,FALSE))</f>
        <v>483000000</v>
      </c>
      <c r="F779" s="42">
        <f>VLOOKUP($A779,'Neraca Unaudited SIMAK'!$A$2:$R$1272,5,FALSE)+IF(ISNA(VLOOKUP($A779,'Mutasi Neraca'!$A$3:$S$910,5,FALSE)),0,VLOOKUP($A779,'Mutasi Neraca'!$A$3:$S$910,5,FALSE))</f>
        <v>1520820769</v>
      </c>
      <c r="G779" s="42">
        <f>VLOOKUP($A779,'Neraca Unaudited SIMAK'!$A$2:$R$1272,6,FALSE)+IF(ISNA(VLOOKUP($A779,'Mutasi Neraca'!$A$3:$S$910,6,FALSE)),0,VLOOKUP($A779,'Mutasi Neraca'!$A$3:$S$910,6,FALSE))</f>
        <v>7850149400</v>
      </c>
      <c r="H779" s="42">
        <f>VLOOKUP($A779,'Neraca Unaudited SIMAK'!$A$2:$R$1272,7,FALSE)+IF(ISNA(VLOOKUP($A779,'Mutasi Neraca'!$A$3:$S$910,7,FALSE)),0,VLOOKUP($A779,'Mutasi Neraca'!$A$3:$S$910,7,FALSE))</f>
        <v>0</v>
      </c>
      <c r="I779" s="42">
        <f>VLOOKUP($A779,'Neraca Unaudited SIMAK'!$A$2:$R$1272,8,FALSE)+IF(ISNA(VLOOKUP($A779,'Mutasi Neraca'!$A$3:$S$910,8,FALSE)),0,VLOOKUP($A779,'Mutasi Neraca'!$A$3:$S$910,8,FALSE))</f>
        <v>408000</v>
      </c>
      <c r="J779" s="42">
        <f>VLOOKUP($A779,'Neraca Unaudited SIMAK'!$A$2:$R$1272,9,FALSE)+IF(ISNA(VLOOKUP($A779,'Mutasi Neraca'!$A$3:$S$910,9,FALSE)),0,VLOOKUP($A779,'Mutasi Neraca'!$A$3:$S$910,9,FALSE))</f>
        <v>467030000</v>
      </c>
      <c r="K779" s="42">
        <f>VLOOKUP($A779,'Neraca Unaudited SIMAK'!$A$2:$R$1272,10,FALSE)+IF(ISNA(VLOOKUP($A779,'Mutasi Neraca'!$A$3:$S$910,10,FALSE)),0,VLOOKUP($A779,'Mutasi Neraca'!$A$3:$S$910,10,FALSE))</f>
        <v>0</v>
      </c>
      <c r="L779" s="42">
        <f>VLOOKUP($A779,'Neraca Unaudited SIMAK'!$A$2:$R$1272,11,FALSE)+IF(ISNA(VLOOKUP($A779,'Mutasi Neraca'!$A$3:$S$910,11,FALSE)),0,VLOOKUP($A779,'Mutasi Neraca'!$A$3:$S$910,11,FALSE))</f>
        <v>110582910</v>
      </c>
      <c r="M779" s="42">
        <f>VLOOKUP($A779,'Neraca Unaudited SIMAK'!$A$2:$R$1272,12,FALSE)+IF(ISNA(VLOOKUP($A779,'Mutasi Neraca'!$A$3:$S$910,12,FALSE)),0,VLOOKUP($A779,'Mutasi Neraca'!$A$3:$S$910,12,FALSE))</f>
        <v>10432049079</v>
      </c>
      <c r="N779" s="42">
        <f>VLOOKUP($A779,'Neraca Unaudited SIMAK'!$A$2:$R$1272,13,FALSE)+IF(ISNA(VLOOKUP($A779,'Mutasi Neraca'!$A$3:$S$910,13,FALSE)),0,VLOOKUP($A779,'Mutasi Neraca'!$A$3:$S$910,13,FALSE))</f>
        <v>-1191379606</v>
      </c>
      <c r="O779" s="42">
        <f>VLOOKUP($A779,'Neraca Unaudited SIMAK'!$A$2:$R$1272,14,FALSE)+IF(ISNA(VLOOKUP($A779,'Mutasi Neraca'!$A$3:$S$910,14,FALSE)),0,VLOOKUP($A779,'Mutasi Neraca'!$A$3:$S$910,14,FALSE))</f>
        <v>-585159342</v>
      </c>
      <c r="P779" s="42">
        <f>VLOOKUP($A779,'Neraca Unaudited SIMAK'!$A$2:$R$1272,15,FALSE)+IF(ISNA(VLOOKUP($A779,'Mutasi Neraca'!$A$3:$S$910,15,FALSE)),0,VLOOKUP($A779,'Mutasi Neraca'!$A$3:$S$910,15,FALSE))</f>
        <v>0</v>
      </c>
      <c r="Q779" s="42">
        <f>VLOOKUP($A779,'Neraca Unaudited SIMAK'!$A$2:$R$1272,16,FALSE)+IF(ISNA(VLOOKUP($A779,'Mutasi Neraca'!$A$3:$S$910,16,FALSE)),0,VLOOKUP($A779,'Mutasi Neraca'!$A$3:$S$910,16,FALSE))</f>
        <v>0</v>
      </c>
      <c r="R779" s="42">
        <f>VLOOKUP($A779,'Neraca Unaudited SIMAK'!$A$2:$R$1272,17,FALSE)+IF(ISNA(VLOOKUP($A779,'Mutasi Neraca'!$A$3:$S$910,17,FALSE)),0,VLOOKUP($A779,'Mutasi Neraca'!$A$3:$S$910,17,FALSE))</f>
        <v>-110582910</v>
      </c>
      <c r="S779" s="42">
        <f t="shared" si="67"/>
        <v>8544927221</v>
      </c>
    </row>
    <row r="780" spans="1:19">
      <c r="A780" s="41" t="s">
        <v>787</v>
      </c>
      <c r="B780" s="41" t="str">
        <f t="shared" si="66"/>
        <v>005012900</v>
      </c>
      <c r="D780" s="42">
        <f>VLOOKUP($A780,'Neraca Unaudited SIMAK'!$A$2:$R$1272,3,FALSE)+IF(ISNA(VLOOKUP($A780,'Mutasi Neraca'!$A$3:$S$910,3,FALSE)),0,VLOOKUP($A780,'Mutasi Neraca'!$A$3:$S$910,3,FALSE))</f>
        <v>3417060</v>
      </c>
      <c r="E780" s="42">
        <f>VLOOKUP($A780,'Neraca Unaudited SIMAK'!$A$2:$R$1272,4,FALSE)+IF(ISNA(VLOOKUP($A780,'Mutasi Neraca'!$A$3:$S$910,4,FALSE)),0,VLOOKUP($A780,'Mutasi Neraca'!$A$3:$S$910,4,FALSE))</f>
        <v>1992524000</v>
      </c>
      <c r="F780" s="42">
        <f>VLOOKUP($A780,'Neraca Unaudited SIMAK'!$A$2:$R$1272,5,FALSE)+IF(ISNA(VLOOKUP($A780,'Mutasi Neraca'!$A$3:$S$910,5,FALSE)),0,VLOOKUP($A780,'Mutasi Neraca'!$A$3:$S$910,5,FALSE))</f>
        <v>1141205796</v>
      </c>
      <c r="G780" s="42">
        <f>VLOOKUP($A780,'Neraca Unaudited SIMAK'!$A$2:$R$1272,6,FALSE)+IF(ISNA(VLOOKUP($A780,'Mutasi Neraca'!$A$3:$S$910,6,FALSE)),0,VLOOKUP($A780,'Mutasi Neraca'!$A$3:$S$910,6,FALSE))</f>
        <v>2486830008</v>
      </c>
      <c r="H780" s="42">
        <f>VLOOKUP($A780,'Neraca Unaudited SIMAK'!$A$2:$R$1272,7,FALSE)+IF(ISNA(VLOOKUP($A780,'Mutasi Neraca'!$A$3:$S$910,7,FALSE)),0,VLOOKUP($A780,'Mutasi Neraca'!$A$3:$S$910,7,FALSE))</f>
        <v>0</v>
      </c>
      <c r="I780" s="42">
        <f>VLOOKUP($A780,'Neraca Unaudited SIMAK'!$A$2:$R$1272,8,FALSE)+IF(ISNA(VLOOKUP($A780,'Mutasi Neraca'!$A$3:$S$910,8,FALSE)),0,VLOOKUP($A780,'Mutasi Neraca'!$A$3:$S$910,8,FALSE))</f>
        <v>18039148</v>
      </c>
      <c r="J780" s="42">
        <f>VLOOKUP($A780,'Neraca Unaudited SIMAK'!$A$2:$R$1272,9,FALSE)+IF(ISNA(VLOOKUP($A780,'Mutasi Neraca'!$A$3:$S$910,9,FALSE)),0,VLOOKUP($A780,'Mutasi Neraca'!$A$3:$S$910,9,FALSE))</f>
        <v>7608155000</v>
      </c>
      <c r="K780" s="42">
        <f>VLOOKUP($A780,'Neraca Unaudited SIMAK'!$A$2:$R$1272,10,FALSE)+IF(ISNA(VLOOKUP($A780,'Mutasi Neraca'!$A$3:$S$910,10,FALSE)),0,VLOOKUP($A780,'Mutasi Neraca'!$A$3:$S$910,10,FALSE))</f>
        <v>0</v>
      </c>
      <c r="L780" s="42">
        <f>VLOOKUP($A780,'Neraca Unaudited SIMAK'!$A$2:$R$1272,11,FALSE)+IF(ISNA(VLOOKUP($A780,'Mutasi Neraca'!$A$3:$S$910,11,FALSE)),0,VLOOKUP($A780,'Mutasi Neraca'!$A$3:$S$910,11,FALSE))</f>
        <v>34277530</v>
      </c>
      <c r="M780" s="42">
        <f>VLOOKUP($A780,'Neraca Unaudited SIMAK'!$A$2:$R$1272,12,FALSE)+IF(ISNA(VLOOKUP($A780,'Mutasi Neraca'!$A$3:$S$910,12,FALSE)),0,VLOOKUP($A780,'Mutasi Neraca'!$A$3:$S$910,12,FALSE))</f>
        <v>13284448542</v>
      </c>
      <c r="N780" s="42">
        <f>VLOOKUP($A780,'Neraca Unaudited SIMAK'!$A$2:$R$1272,13,FALSE)+IF(ISNA(VLOOKUP($A780,'Mutasi Neraca'!$A$3:$S$910,13,FALSE)),0,VLOOKUP($A780,'Mutasi Neraca'!$A$3:$S$910,13,FALSE))</f>
        <v>-1082684825</v>
      </c>
      <c r="O780" s="42">
        <f>VLOOKUP($A780,'Neraca Unaudited SIMAK'!$A$2:$R$1272,14,FALSE)+IF(ISNA(VLOOKUP($A780,'Mutasi Neraca'!$A$3:$S$910,14,FALSE)),0,VLOOKUP($A780,'Mutasi Neraca'!$A$3:$S$910,14,FALSE))</f>
        <v>-470069101</v>
      </c>
      <c r="P780" s="42">
        <f>VLOOKUP($A780,'Neraca Unaudited SIMAK'!$A$2:$R$1272,15,FALSE)+IF(ISNA(VLOOKUP($A780,'Mutasi Neraca'!$A$3:$S$910,15,FALSE)),0,VLOOKUP($A780,'Mutasi Neraca'!$A$3:$S$910,15,FALSE))</f>
        <v>0</v>
      </c>
      <c r="Q780" s="42">
        <f>VLOOKUP($A780,'Neraca Unaudited SIMAK'!$A$2:$R$1272,16,FALSE)+IF(ISNA(VLOOKUP($A780,'Mutasi Neraca'!$A$3:$S$910,16,FALSE)),0,VLOOKUP($A780,'Mutasi Neraca'!$A$3:$S$910,16,FALSE))</f>
        <v>0</v>
      </c>
      <c r="R780" s="42">
        <f>VLOOKUP($A780,'Neraca Unaudited SIMAK'!$A$2:$R$1272,17,FALSE)+IF(ISNA(VLOOKUP($A780,'Mutasi Neraca'!$A$3:$S$910,17,FALSE)),0,VLOOKUP($A780,'Mutasi Neraca'!$A$3:$S$910,17,FALSE))</f>
        <v>-34277530</v>
      </c>
      <c r="S780" s="42">
        <f t="shared" si="67"/>
        <v>11697417086</v>
      </c>
    </row>
    <row r="781" spans="1:19">
      <c r="A781" s="41" t="s">
        <v>788</v>
      </c>
      <c r="B781" s="41" t="str">
        <f t="shared" si="66"/>
        <v>005012900</v>
      </c>
      <c r="D781" s="42">
        <f>VLOOKUP($A781,'Neraca Unaudited SIMAK'!$A$2:$R$1272,3,FALSE)+IF(ISNA(VLOOKUP($A781,'Mutasi Neraca'!$A$3:$S$910,3,FALSE)),0,VLOOKUP($A781,'Mutasi Neraca'!$A$3:$S$910,3,FALSE))</f>
        <v>11451018</v>
      </c>
      <c r="E781" s="42">
        <f>VLOOKUP($A781,'Neraca Unaudited SIMAK'!$A$2:$R$1272,4,FALSE)+IF(ISNA(VLOOKUP($A781,'Mutasi Neraca'!$A$3:$S$910,4,FALSE)),0,VLOOKUP($A781,'Mutasi Neraca'!$A$3:$S$910,4,FALSE))</f>
        <v>7251444300</v>
      </c>
      <c r="F781" s="42">
        <f>VLOOKUP($A781,'Neraca Unaudited SIMAK'!$A$2:$R$1272,5,FALSE)+IF(ISNA(VLOOKUP($A781,'Mutasi Neraca'!$A$3:$S$910,5,FALSE)),0,VLOOKUP($A781,'Mutasi Neraca'!$A$3:$S$910,5,FALSE))</f>
        <v>4453968746</v>
      </c>
      <c r="G781" s="42">
        <f>VLOOKUP($A781,'Neraca Unaudited SIMAK'!$A$2:$R$1272,6,FALSE)+IF(ISNA(VLOOKUP($A781,'Mutasi Neraca'!$A$3:$S$910,6,FALSE)),0,VLOOKUP($A781,'Mutasi Neraca'!$A$3:$S$910,6,FALSE))</f>
        <v>40715188725</v>
      </c>
      <c r="H781" s="42">
        <f>VLOOKUP($A781,'Neraca Unaudited SIMAK'!$A$2:$R$1272,7,FALSE)+IF(ISNA(VLOOKUP($A781,'Mutasi Neraca'!$A$3:$S$910,7,FALSE)),0,VLOOKUP($A781,'Mutasi Neraca'!$A$3:$S$910,7,FALSE))</f>
        <v>537035000</v>
      </c>
      <c r="I781" s="42">
        <f>VLOOKUP($A781,'Neraca Unaudited SIMAK'!$A$2:$R$1272,8,FALSE)+IF(ISNA(VLOOKUP($A781,'Mutasi Neraca'!$A$3:$S$910,8,FALSE)),0,VLOOKUP($A781,'Mutasi Neraca'!$A$3:$S$910,8,FALSE))</f>
        <v>6355062</v>
      </c>
      <c r="J781" s="42">
        <f>VLOOKUP($A781,'Neraca Unaudited SIMAK'!$A$2:$R$1272,9,FALSE)+IF(ISNA(VLOOKUP($A781,'Mutasi Neraca'!$A$3:$S$910,9,FALSE)),0,VLOOKUP($A781,'Mutasi Neraca'!$A$3:$S$910,9,FALSE))</f>
        <v>49165791825</v>
      </c>
      <c r="K781" s="42">
        <f>VLOOKUP($A781,'Neraca Unaudited SIMAK'!$A$2:$R$1272,10,FALSE)+IF(ISNA(VLOOKUP($A781,'Mutasi Neraca'!$A$3:$S$910,10,FALSE)),0,VLOOKUP($A781,'Mutasi Neraca'!$A$3:$S$910,10,FALSE))</f>
        <v>0</v>
      </c>
      <c r="L781" s="42">
        <f>VLOOKUP($A781,'Neraca Unaudited SIMAK'!$A$2:$R$1272,11,FALSE)+IF(ISNA(VLOOKUP($A781,'Mutasi Neraca'!$A$3:$S$910,11,FALSE)),0,VLOOKUP($A781,'Mutasi Neraca'!$A$3:$S$910,11,FALSE))</f>
        <v>395641850</v>
      </c>
      <c r="M781" s="42">
        <f>VLOOKUP($A781,'Neraca Unaudited SIMAK'!$A$2:$R$1272,12,FALSE)+IF(ISNA(VLOOKUP($A781,'Mutasi Neraca'!$A$3:$S$910,12,FALSE)),0,VLOOKUP($A781,'Mutasi Neraca'!$A$3:$S$910,12,FALSE))</f>
        <v>102536876526</v>
      </c>
      <c r="N781" s="42">
        <f>VLOOKUP($A781,'Neraca Unaudited SIMAK'!$A$2:$R$1272,13,FALSE)+IF(ISNA(VLOOKUP($A781,'Mutasi Neraca'!$A$3:$S$910,13,FALSE)),0,VLOOKUP($A781,'Mutasi Neraca'!$A$3:$S$910,13,FALSE))</f>
        <v>-4000932012</v>
      </c>
      <c r="O781" s="42">
        <f>VLOOKUP($A781,'Neraca Unaudited SIMAK'!$A$2:$R$1272,14,FALSE)+IF(ISNA(VLOOKUP($A781,'Mutasi Neraca'!$A$3:$S$910,14,FALSE)),0,VLOOKUP($A781,'Mutasi Neraca'!$A$3:$S$910,14,FALSE))</f>
        <v>-1863779198</v>
      </c>
      <c r="P781" s="42">
        <f>VLOOKUP($A781,'Neraca Unaudited SIMAK'!$A$2:$R$1272,15,FALSE)+IF(ISNA(VLOOKUP($A781,'Mutasi Neraca'!$A$3:$S$910,15,FALSE)),0,VLOOKUP($A781,'Mutasi Neraca'!$A$3:$S$910,15,FALSE))</f>
        <v>-122546043</v>
      </c>
      <c r="Q781" s="42">
        <f>VLOOKUP($A781,'Neraca Unaudited SIMAK'!$A$2:$R$1272,16,FALSE)+IF(ISNA(VLOOKUP($A781,'Mutasi Neraca'!$A$3:$S$910,16,FALSE)),0,VLOOKUP($A781,'Mutasi Neraca'!$A$3:$S$910,16,FALSE))</f>
        <v>0</v>
      </c>
      <c r="R781" s="42">
        <f>VLOOKUP($A781,'Neraca Unaudited SIMAK'!$A$2:$R$1272,17,FALSE)+IF(ISNA(VLOOKUP($A781,'Mutasi Neraca'!$A$3:$S$910,17,FALSE)),0,VLOOKUP($A781,'Mutasi Neraca'!$A$3:$S$910,17,FALSE))</f>
        <v>-395641850</v>
      </c>
      <c r="S781" s="42">
        <f t="shared" si="67"/>
        <v>96153977423</v>
      </c>
    </row>
    <row r="782" spans="1:19">
      <c r="A782" s="41" t="s">
        <v>789</v>
      </c>
      <c r="B782" s="41" t="str">
        <f t="shared" si="66"/>
        <v>005012900</v>
      </c>
      <c r="D782" s="42">
        <f>VLOOKUP($A782,'Neraca Unaudited SIMAK'!$A$2:$R$1272,3,FALSE)+IF(ISNA(VLOOKUP($A782,'Mutasi Neraca'!$A$3:$S$910,3,FALSE)),0,VLOOKUP($A782,'Mutasi Neraca'!$A$3:$S$910,3,FALSE))</f>
        <v>3095200</v>
      </c>
      <c r="E782" s="42">
        <f>VLOOKUP($A782,'Neraca Unaudited SIMAK'!$A$2:$R$1272,4,FALSE)+IF(ISNA(VLOOKUP($A782,'Mutasi Neraca'!$A$3:$S$910,4,FALSE)),0,VLOOKUP($A782,'Mutasi Neraca'!$A$3:$S$910,4,FALSE))</f>
        <v>3994380000</v>
      </c>
      <c r="F782" s="42">
        <f>VLOOKUP($A782,'Neraca Unaudited SIMAK'!$A$2:$R$1272,5,FALSE)+IF(ISNA(VLOOKUP($A782,'Mutasi Neraca'!$A$3:$S$910,5,FALSE)),0,VLOOKUP($A782,'Mutasi Neraca'!$A$3:$S$910,5,FALSE))</f>
        <v>2527756800</v>
      </c>
      <c r="G782" s="42">
        <f>VLOOKUP($A782,'Neraca Unaudited SIMAK'!$A$2:$R$1272,6,FALSE)+IF(ISNA(VLOOKUP($A782,'Mutasi Neraca'!$A$3:$S$910,6,FALSE)),0,VLOOKUP($A782,'Mutasi Neraca'!$A$3:$S$910,6,FALSE))</f>
        <v>10214622164</v>
      </c>
      <c r="H782" s="42">
        <f>VLOOKUP($A782,'Neraca Unaudited SIMAK'!$A$2:$R$1272,7,FALSE)+IF(ISNA(VLOOKUP($A782,'Mutasi Neraca'!$A$3:$S$910,7,FALSE)),0,VLOOKUP($A782,'Mutasi Neraca'!$A$3:$S$910,7,FALSE))</f>
        <v>0</v>
      </c>
      <c r="I782" s="42">
        <f>VLOOKUP($A782,'Neraca Unaudited SIMAK'!$A$2:$R$1272,8,FALSE)+IF(ISNA(VLOOKUP($A782,'Mutasi Neraca'!$A$3:$S$910,8,FALSE)),0,VLOOKUP($A782,'Mutasi Neraca'!$A$3:$S$910,8,FALSE))</f>
        <v>285000</v>
      </c>
      <c r="J782" s="42">
        <f>VLOOKUP($A782,'Neraca Unaudited SIMAK'!$A$2:$R$1272,9,FALSE)+IF(ISNA(VLOOKUP($A782,'Mutasi Neraca'!$A$3:$S$910,9,FALSE)),0,VLOOKUP($A782,'Mutasi Neraca'!$A$3:$S$910,9,FALSE))</f>
        <v>0</v>
      </c>
      <c r="K782" s="42">
        <f>VLOOKUP($A782,'Neraca Unaudited SIMAK'!$A$2:$R$1272,10,FALSE)+IF(ISNA(VLOOKUP($A782,'Mutasi Neraca'!$A$3:$S$910,10,FALSE)),0,VLOOKUP($A782,'Mutasi Neraca'!$A$3:$S$910,10,FALSE))</f>
        <v>99004550</v>
      </c>
      <c r="L782" s="42">
        <f>VLOOKUP($A782,'Neraca Unaudited SIMAK'!$A$2:$R$1272,11,FALSE)+IF(ISNA(VLOOKUP($A782,'Mutasi Neraca'!$A$3:$S$910,11,FALSE)),0,VLOOKUP($A782,'Mutasi Neraca'!$A$3:$S$910,11,FALSE))</f>
        <v>2902000</v>
      </c>
      <c r="M782" s="42">
        <f>VLOOKUP($A782,'Neraca Unaudited SIMAK'!$A$2:$R$1272,12,FALSE)+IF(ISNA(VLOOKUP($A782,'Mutasi Neraca'!$A$3:$S$910,12,FALSE)),0,VLOOKUP($A782,'Mutasi Neraca'!$A$3:$S$910,12,FALSE))</f>
        <v>16842045714</v>
      </c>
      <c r="N782" s="42">
        <f>VLOOKUP($A782,'Neraca Unaudited SIMAK'!$A$2:$R$1272,13,FALSE)+IF(ISNA(VLOOKUP($A782,'Mutasi Neraca'!$A$3:$S$910,13,FALSE)),0,VLOOKUP($A782,'Mutasi Neraca'!$A$3:$S$910,13,FALSE))</f>
        <v>-1178495030</v>
      </c>
      <c r="O782" s="42">
        <f>VLOOKUP($A782,'Neraca Unaudited SIMAK'!$A$2:$R$1272,14,FALSE)+IF(ISNA(VLOOKUP($A782,'Mutasi Neraca'!$A$3:$S$910,14,FALSE)),0,VLOOKUP($A782,'Mutasi Neraca'!$A$3:$S$910,14,FALSE))</f>
        <v>-295503630</v>
      </c>
      <c r="P782" s="42">
        <f>VLOOKUP($A782,'Neraca Unaudited SIMAK'!$A$2:$R$1272,15,FALSE)+IF(ISNA(VLOOKUP($A782,'Mutasi Neraca'!$A$3:$S$910,15,FALSE)),0,VLOOKUP($A782,'Mutasi Neraca'!$A$3:$S$910,15,FALSE))</f>
        <v>0</v>
      </c>
      <c r="Q782" s="42">
        <f>VLOOKUP($A782,'Neraca Unaudited SIMAK'!$A$2:$R$1272,16,FALSE)+IF(ISNA(VLOOKUP($A782,'Mutasi Neraca'!$A$3:$S$910,16,FALSE)),0,VLOOKUP($A782,'Mutasi Neraca'!$A$3:$S$910,16,FALSE))</f>
        <v>0</v>
      </c>
      <c r="R782" s="42">
        <f>VLOOKUP($A782,'Neraca Unaudited SIMAK'!$A$2:$R$1272,17,FALSE)+IF(ISNA(VLOOKUP($A782,'Mutasi Neraca'!$A$3:$S$910,17,FALSE)),0,VLOOKUP($A782,'Mutasi Neraca'!$A$3:$S$910,17,FALSE))</f>
        <v>-2205040</v>
      </c>
      <c r="S782" s="42">
        <f t="shared" si="67"/>
        <v>15365842014</v>
      </c>
    </row>
    <row r="783" spans="1:19">
      <c r="A783" s="41" t="s">
        <v>790</v>
      </c>
      <c r="B783" s="41" t="str">
        <f t="shared" si="66"/>
        <v>005013000</v>
      </c>
      <c r="D783" s="42">
        <f>VLOOKUP($A783,'Neraca Unaudited SIMAK'!$A$2:$R$1272,3,FALSE)+IF(ISNA(VLOOKUP($A783,'Mutasi Neraca'!$A$3:$S$910,3,FALSE)),0,VLOOKUP($A783,'Mutasi Neraca'!$A$3:$S$910,3,FALSE))</f>
        <v>14742050</v>
      </c>
      <c r="E783" s="42">
        <f>VLOOKUP($A783,'Neraca Unaudited SIMAK'!$A$2:$R$1272,4,FALSE)+IF(ISNA(VLOOKUP($A783,'Mutasi Neraca'!$A$3:$S$910,4,FALSE)),0,VLOOKUP($A783,'Mutasi Neraca'!$A$3:$S$910,4,FALSE))</f>
        <v>5471646700</v>
      </c>
      <c r="F783" s="42">
        <f>VLOOKUP($A783,'Neraca Unaudited SIMAK'!$A$2:$R$1272,5,FALSE)+IF(ISNA(VLOOKUP($A783,'Mutasi Neraca'!$A$3:$S$910,5,FALSE)),0,VLOOKUP($A783,'Mutasi Neraca'!$A$3:$S$910,5,FALSE))</f>
        <v>2225352112</v>
      </c>
      <c r="G783" s="42">
        <f>VLOOKUP($A783,'Neraca Unaudited SIMAK'!$A$2:$R$1272,6,FALSE)+IF(ISNA(VLOOKUP($A783,'Mutasi Neraca'!$A$3:$S$910,6,FALSE)),0,VLOOKUP($A783,'Mutasi Neraca'!$A$3:$S$910,6,FALSE))</f>
        <v>9726773498</v>
      </c>
      <c r="H783" s="42">
        <f>VLOOKUP($A783,'Neraca Unaudited SIMAK'!$A$2:$R$1272,7,FALSE)+IF(ISNA(VLOOKUP($A783,'Mutasi Neraca'!$A$3:$S$910,7,FALSE)),0,VLOOKUP($A783,'Mutasi Neraca'!$A$3:$S$910,7,FALSE))</f>
        <v>0</v>
      </c>
      <c r="I783" s="42">
        <f>VLOOKUP($A783,'Neraca Unaudited SIMAK'!$A$2:$R$1272,8,FALSE)+IF(ISNA(VLOOKUP($A783,'Mutasi Neraca'!$A$3:$S$910,8,FALSE)),0,VLOOKUP($A783,'Mutasi Neraca'!$A$3:$S$910,8,FALSE))</f>
        <v>65209498</v>
      </c>
      <c r="J783" s="42">
        <f>VLOOKUP($A783,'Neraca Unaudited SIMAK'!$A$2:$R$1272,9,FALSE)+IF(ISNA(VLOOKUP($A783,'Mutasi Neraca'!$A$3:$S$910,9,FALSE)),0,VLOOKUP($A783,'Mutasi Neraca'!$A$3:$S$910,9,FALSE))</f>
        <v>0</v>
      </c>
      <c r="K783" s="42">
        <f>VLOOKUP($A783,'Neraca Unaudited SIMAK'!$A$2:$R$1272,10,FALSE)+IF(ISNA(VLOOKUP($A783,'Mutasi Neraca'!$A$3:$S$910,10,FALSE)),0,VLOOKUP($A783,'Mutasi Neraca'!$A$3:$S$910,10,FALSE))</f>
        <v>0</v>
      </c>
      <c r="L783" s="42">
        <f>VLOOKUP($A783,'Neraca Unaudited SIMAK'!$A$2:$R$1272,11,FALSE)+IF(ISNA(VLOOKUP($A783,'Mutasi Neraca'!$A$3:$S$910,11,FALSE)),0,VLOOKUP($A783,'Mutasi Neraca'!$A$3:$S$910,11,FALSE))</f>
        <v>475564655</v>
      </c>
      <c r="M783" s="42">
        <f>VLOOKUP($A783,'Neraca Unaudited SIMAK'!$A$2:$R$1272,12,FALSE)+IF(ISNA(VLOOKUP($A783,'Mutasi Neraca'!$A$3:$S$910,12,FALSE)),0,VLOOKUP($A783,'Mutasi Neraca'!$A$3:$S$910,12,FALSE))</f>
        <v>17979288513</v>
      </c>
      <c r="N783" s="42">
        <f>VLOOKUP($A783,'Neraca Unaudited SIMAK'!$A$2:$R$1272,13,FALSE)+IF(ISNA(VLOOKUP($A783,'Mutasi Neraca'!$A$3:$S$910,13,FALSE)),0,VLOOKUP($A783,'Mutasi Neraca'!$A$3:$S$910,13,FALSE))</f>
        <v>-2030018525</v>
      </c>
      <c r="O783" s="42">
        <f>VLOOKUP($A783,'Neraca Unaudited SIMAK'!$A$2:$R$1272,14,FALSE)+IF(ISNA(VLOOKUP($A783,'Mutasi Neraca'!$A$3:$S$910,14,FALSE)),0,VLOOKUP($A783,'Mutasi Neraca'!$A$3:$S$910,14,FALSE))</f>
        <v>-841200380</v>
      </c>
      <c r="P783" s="42">
        <f>VLOOKUP($A783,'Neraca Unaudited SIMAK'!$A$2:$R$1272,15,FALSE)+IF(ISNA(VLOOKUP($A783,'Mutasi Neraca'!$A$3:$S$910,15,FALSE)),0,VLOOKUP($A783,'Mutasi Neraca'!$A$3:$S$910,15,FALSE))</f>
        <v>0</v>
      </c>
      <c r="Q783" s="42">
        <f>VLOOKUP($A783,'Neraca Unaudited SIMAK'!$A$2:$R$1272,16,FALSE)+IF(ISNA(VLOOKUP($A783,'Mutasi Neraca'!$A$3:$S$910,16,FALSE)),0,VLOOKUP($A783,'Mutasi Neraca'!$A$3:$S$910,16,FALSE))</f>
        <v>0</v>
      </c>
      <c r="R783" s="42">
        <f>VLOOKUP($A783,'Neraca Unaudited SIMAK'!$A$2:$R$1272,17,FALSE)+IF(ISNA(VLOOKUP($A783,'Mutasi Neraca'!$A$3:$S$910,17,FALSE)),0,VLOOKUP($A783,'Mutasi Neraca'!$A$3:$S$910,17,FALSE))</f>
        <v>-475544655</v>
      </c>
      <c r="S783" s="42">
        <f t="shared" si="67"/>
        <v>14632524953</v>
      </c>
    </row>
    <row r="784" spans="1:19">
      <c r="A784" s="41" t="s">
        <v>791</v>
      </c>
      <c r="B784" s="41" t="str">
        <f t="shared" si="66"/>
        <v>005013000</v>
      </c>
      <c r="D784" s="42">
        <f>VLOOKUP($A784,'Neraca Unaudited SIMAK'!$A$2:$R$1272,3,FALSE)+IF(ISNA(VLOOKUP($A784,'Mutasi Neraca'!$A$3:$S$910,3,FALSE)),0,VLOOKUP($A784,'Mutasi Neraca'!$A$3:$S$910,3,FALSE))</f>
        <v>5710000</v>
      </c>
      <c r="E784" s="42">
        <f>VLOOKUP($A784,'Neraca Unaudited SIMAK'!$A$2:$R$1272,4,FALSE)+IF(ISNA(VLOOKUP($A784,'Mutasi Neraca'!$A$3:$S$910,4,FALSE)),0,VLOOKUP($A784,'Mutasi Neraca'!$A$3:$S$910,4,FALSE))</f>
        <v>6063781240</v>
      </c>
      <c r="F784" s="42">
        <f>VLOOKUP($A784,'Neraca Unaudited SIMAK'!$A$2:$R$1272,5,FALSE)+IF(ISNA(VLOOKUP($A784,'Mutasi Neraca'!$A$3:$S$910,5,FALSE)),0,VLOOKUP($A784,'Mutasi Neraca'!$A$3:$S$910,5,FALSE))</f>
        <v>2379200737</v>
      </c>
      <c r="G784" s="42">
        <f>VLOOKUP($A784,'Neraca Unaudited SIMAK'!$A$2:$R$1272,6,FALSE)+IF(ISNA(VLOOKUP($A784,'Mutasi Neraca'!$A$3:$S$910,6,FALSE)),0,VLOOKUP($A784,'Mutasi Neraca'!$A$3:$S$910,6,FALSE))</f>
        <v>12041256000</v>
      </c>
      <c r="H784" s="42">
        <f>VLOOKUP($A784,'Neraca Unaudited SIMAK'!$A$2:$R$1272,7,FALSE)+IF(ISNA(VLOOKUP($A784,'Mutasi Neraca'!$A$3:$S$910,7,FALSE)),0,VLOOKUP($A784,'Mutasi Neraca'!$A$3:$S$910,7,FALSE))</f>
        <v>0</v>
      </c>
      <c r="I784" s="42">
        <f>VLOOKUP($A784,'Neraca Unaudited SIMAK'!$A$2:$R$1272,8,FALSE)+IF(ISNA(VLOOKUP($A784,'Mutasi Neraca'!$A$3:$S$910,8,FALSE)),0,VLOOKUP($A784,'Mutasi Neraca'!$A$3:$S$910,8,FALSE))</f>
        <v>1943440</v>
      </c>
      <c r="J784" s="42">
        <f>VLOOKUP($A784,'Neraca Unaudited SIMAK'!$A$2:$R$1272,9,FALSE)+IF(ISNA(VLOOKUP($A784,'Mutasi Neraca'!$A$3:$S$910,9,FALSE)),0,VLOOKUP($A784,'Mutasi Neraca'!$A$3:$S$910,9,FALSE))</f>
        <v>0</v>
      </c>
      <c r="K784" s="42">
        <f>VLOOKUP($A784,'Neraca Unaudited SIMAK'!$A$2:$R$1272,10,FALSE)+IF(ISNA(VLOOKUP($A784,'Mutasi Neraca'!$A$3:$S$910,10,FALSE)),0,VLOOKUP($A784,'Mutasi Neraca'!$A$3:$S$910,10,FALSE))</f>
        <v>0</v>
      </c>
      <c r="L784" s="42">
        <f>VLOOKUP($A784,'Neraca Unaudited SIMAK'!$A$2:$R$1272,11,FALSE)+IF(ISNA(VLOOKUP($A784,'Mutasi Neraca'!$A$3:$S$910,11,FALSE)),0,VLOOKUP($A784,'Mutasi Neraca'!$A$3:$S$910,11,FALSE))</f>
        <v>0</v>
      </c>
      <c r="M784" s="42">
        <f>VLOOKUP($A784,'Neraca Unaudited SIMAK'!$A$2:$R$1272,12,FALSE)+IF(ISNA(VLOOKUP($A784,'Mutasi Neraca'!$A$3:$S$910,12,FALSE)),0,VLOOKUP($A784,'Mutasi Neraca'!$A$3:$S$910,12,FALSE))</f>
        <v>20491891417</v>
      </c>
      <c r="N784" s="42">
        <f>VLOOKUP($A784,'Neraca Unaudited SIMAK'!$A$2:$R$1272,13,FALSE)+IF(ISNA(VLOOKUP($A784,'Mutasi Neraca'!$A$3:$S$910,13,FALSE)),0,VLOOKUP($A784,'Mutasi Neraca'!$A$3:$S$910,13,FALSE))</f>
        <v>-1193549113</v>
      </c>
      <c r="O784" s="42">
        <f>VLOOKUP($A784,'Neraca Unaudited SIMAK'!$A$2:$R$1272,14,FALSE)+IF(ISNA(VLOOKUP($A784,'Mutasi Neraca'!$A$3:$S$910,14,FALSE)),0,VLOOKUP($A784,'Mutasi Neraca'!$A$3:$S$910,14,FALSE))</f>
        <v>-1285393520</v>
      </c>
      <c r="P784" s="42">
        <f>VLOOKUP($A784,'Neraca Unaudited SIMAK'!$A$2:$R$1272,15,FALSE)+IF(ISNA(VLOOKUP($A784,'Mutasi Neraca'!$A$3:$S$910,15,FALSE)),0,VLOOKUP($A784,'Mutasi Neraca'!$A$3:$S$910,15,FALSE))</f>
        <v>0</v>
      </c>
      <c r="Q784" s="42">
        <f>VLOOKUP($A784,'Neraca Unaudited SIMAK'!$A$2:$R$1272,16,FALSE)+IF(ISNA(VLOOKUP($A784,'Mutasi Neraca'!$A$3:$S$910,16,FALSE)),0,VLOOKUP($A784,'Mutasi Neraca'!$A$3:$S$910,16,FALSE))</f>
        <v>0</v>
      </c>
      <c r="R784" s="42">
        <f>VLOOKUP($A784,'Neraca Unaudited SIMAK'!$A$2:$R$1272,17,FALSE)+IF(ISNA(VLOOKUP($A784,'Mutasi Neraca'!$A$3:$S$910,17,FALSE)),0,VLOOKUP($A784,'Mutasi Neraca'!$A$3:$S$910,17,FALSE))</f>
        <v>0</v>
      </c>
      <c r="S784" s="42">
        <f t="shared" si="67"/>
        <v>18012948784</v>
      </c>
    </row>
    <row r="785" spans="1:19">
      <c r="A785" s="41" t="s">
        <v>792</v>
      </c>
      <c r="B785" s="41" t="str">
        <f t="shared" si="66"/>
        <v>005013000</v>
      </c>
      <c r="D785" s="42">
        <f>VLOOKUP($A785,'Neraca Unaudited SIMAK'!$A$2:$R$1272,3,FALSE)+IF(ISNA(VLOOKUP($A785,'Mutasi Neraca'!$A$3:$S$910,3,FALSE)),0,VLOOKUP($A785,'Mutasi Neraca'!$A$3:$S$910,3,FALSE))</f>
        <v>1883000</v>
      </c>
      <c r="E785" s="42">
        <f>VLOOKUP($A785,'Neraca Unaudited SIMAK'!$A$2:$R$1272,4,FALSE)+IF(ISNA(VLOOKUP($A785,'Mutasi Neraca'!$A$3:$S$910,4,FALSE)),0,VLOOKUP($A785,'Mutasi Neraca'!$A$3:$S$910,4,FALSE))</f>
        <v>585113000</v>
      </c>
      <c r="F785" s="42">
        <f>VLOOKUP($A785,'Neraca Unaudited SIMAK'!$A$2:$R$1272,5,FALSE)+IF(ISNA(VLOOKUP($A785,'Mutasi Neraca'!$A$3:$S$910,5,FALSE)),0,VLOOKUP($A785,'Mutasi Neraca'!$A$3:$S$910,5,FALSE))</f>
        <v>1206446617</v>
      </c>
      <c r="G785" s="42">
        <f>VLOOKUP($A785,'Neraca Unaudited SIMAK'!$A$2:$R$1272,6,FALSE)+IF(ISNA(VLOOKUP($A785,'Mutasi Neraca'!$A$3:$S$910,6,FALSE)),0,VLOOKUP($A785,'Mutasi Neraca'!$A$3:$S$910,6,FALSE))</f>
        <v>3832162000</v>
      </c>
      <c r="H785" s="42">
        <f>VLOOKUP($A785,'Neraca Unaudited SIMAK'!$A$2:$R$1272,7,FALSE)+IF(ISNA(VLOOKUP($A785,'Mutasi Neraca'!$A$3:$S$910,7,FALSE)),0,VLOOKUP($A785,'Mutasi Neraca'!$A$3:$S$910,7,FALSE))</f>
        <v>194610000</v>
      </c>
      <c r="I785" s="42">
        <f>VLOOKUP($A785,'Neraca Unaudited SIMAK'!$A$2:$R$1272,8,FALSE)+IF(ISNA(VLOOKUP($A785,'Mutasi Neraca'!$A$3:$S$910,8,FALSE)),0,VLOOKUP($A785,'Mutasi Neraca'!$A$3:$S$910,8,FALSE))</f>
        <v>4772118</v>
      </c>
      <c r="J785" s="42">
        <f>VLOOKUP($A785,'Neraca Unaudited SIMAK'!$A$2:$R$1272,9,FALSE)+IF(ISNA(VLOOKUP($A785,'Mutasi Neraca'!$A$3:$S$910,9,FALSE)),0,VLOOKUP($A785,'Mutasi Neraca'!$A$3:$S$910,9,FALSE))</f>
        <v>0</v>
      </c>
      <c r="K785" s="42">
        <f>VLOOKUP($A785,'Neraca Unaudited SIMAK'!$A$2:$R$1272,10,FALSE)+IF(ISNA(VLOOKUP($A785,'Mutasi Neraca'!$A$3:$S$910,10,FALSE)),0,VLOOKUP($A785,'Mutasi Neraca'!$A$3:$S$910,10,FALSE))</f>
        <v>0</v>
      </c>
      <c r="L785" s="42">
        <f>VLOOKUP($A785,'Neraca Unaudited SIMAK'!$A$2:$R$1272,11,FALSE)+IF(ISNA(VLOOKUP($A785,'Mutasi Neraca'!$A$3:$S$910,11,FALSE)),0,VLOOKUP($A785,'Mutasi Neraca'!$A$3:$S$910,11,FALSE))</f>
        <v>0</v>
      </c>
      <c r="M785" s="42">
        <f>VLOOKUP($A785,'Neraca Unaudited SIMAK'!$A$2:$R$1272,12,FALSE)+IF(ISNA(VLOOKUP($A785,'Mutasi Neraca'!$A$3:$S$910,12,FALSE)),0,VLOOKUP($A785,'Mutasi Neraca'!$A$3:$S$910,12,FALSE))</f>
        <v>5824986735</v>
      </c>
      <c r="N785" s="42">
        <f>VLOOKUP($A785,'Neraca Unaudited SIMAK'!$A$2:$R$1272,13,FALSE)+IF(ISNA(VLOOKUP($A785,'Mutasi Neraca'!$A$3:$S$910,13,FALSE)),0,VLOOKUP($A785,'Mutasi Neraca'!$A$3:$S$910,13,FALSE))</f>
        <v>-1003988785</v>
      </c>
      <c r="O785" s="42">
        <f>VLOOKUP($A785,'Neraca Unaudited SIMAK'!$A$2:$R$1272,14,FALSE)+IF(ISNA(VLOOKUP($A785,'Mutasi Neraca'!$A$3:$S$910,14,FALSE)),0,VLOOKUP($A785,'Mutasi Neraca'!$A$3:$S$910,14,FALSE))</f>
        <v>-2635501360</v>
      </c>
      <c r="P785" s="42">
        <f>VLOOKUP($A785,'Neraca Unaudited SIMAK'!$A$2:$R$1272,15,FALSE)+IF(ISNA(VLOOKUP($A785,'Mutasi Neraca'!$A$3:$S$910,15,FALSE)),0,VLOOKUP($A785,'Mutasi Neraca'!$A$3:$S$910,15,FALSE))</f>
        <v>-107035500</v>
      </c>
      <c r="Q785" s="42">
        <f>VLOOKUP($A785,'Neraca Unaudited SIMAK'!$A$2:$R$1272,16,FALSE)+IF(ISNA(VLOOKUP($A785,'Mutasi Neraca'!$A$3:$S$910,16,FALSE)),0,VLOOKUP($A785,'Mutasi Neraca'!$A$3:$S$910,16,FALSE))</f>
        <v>0</v>
      </c>
      <c r="R785" s="42">
        <f>VLOOKUP($A785,'Neraca Unaudited SIMAK'!$A$2:$R$1272,17,FALSE)+IF(ISNA(VLOOKUP($A785,'Mutasi Neraca'!$A$3:$S$910,17,FALSE)),0,VLOOKUP($A785,'Mutasi Neraca'!$A$3:$S$910,17,FALSE))</f>
        <v>0</v>
      </c>
      <c r="S785" s="42">
        <f t="shared" si="67"/>
        <v>2078461090</v>
      </c>
    </row>
    <row r="786" spans="1:19">
      <c r="A786" s="41" t="s">
        <v>793</v>
      </c>
      <c r="B786" s="41" t="str">
        <f t="shared" si="66"/>
        <v>005013000</v>
      </c>
      <c r="D786" s="42">
        <f>VLOOKUP($A786,'Neraca Unaudited SIMAK'!$A$2:$R$1272,3,FALSE)+IF(ISNA(VLOOKUP($A786,'Mutasi Neraca'!$A$3:$S$910,3,FALSE)),0,VLOOKUP($A786,'Mutasi Neraca'!$A$3:$S$910,3,FALSE))</f>
        <v>1555600</v>
      </c>
      <c r="E786" s="42">
        <f>VLOOKUP($A786,'Neraca Unaudited SIMAK'!$A$2:$R$1272,4,FALSE)+IF(ISNA(VLOOKUP($A786,'Mutasi Neraca'!$A$3:$S$910,4,FALSE)),0,VLOOKUP($A786,'Mutasi Neraca'!$A$3:$S$910,4,FALSE))</f>
        <v>3050864520</v>
      </c>
      <c r="F786" s="42">
        <f>VLOOKUP($A786,'Neraca Unaudited SIMAK'!$A$2:$R$1272,5,FALSE)+IF(ISNA(VLOOKUP($A786,'Mutasi Neraca'!$A$3:$S$910,5,FALSE)),0,VLOOKUP($A786,'Mutasi Neraca'!$A$3:$S$910,5,FALSE))</f>
        <v>1885199869</v>
      </c>
      <c r="G786" s="42">
        <f>VLOOKUP($A786,'Neraca Unaudited SIMAK'!$A$2:$R$1272,6,FALSE)+IF(ISNA(VLOOKUP($A786,'Mutasi Neraca'!$A$3:$S$910,6,FALSE)),0,VLOOKUP($A786,'Mutasi Neraca'!$A$3:$S$910,6,FALSE))</f>
        <v>7527554429</v>
      </c>
      <c r="H786" s="42">
        <f>VLOOKUP($A786,'Neraca Unaudited SIMAK'!$A$2:$R$1272,7,FALSE)+IF(ISNA(VLOOKUP($A786,'Mutasi Neraca'!$A$3:$S$910,7,FALSE)),0,VLOOKUP($A786,'Mutasi Neraca'!$A$3:$S$910,7,FALSE))</f>
        <v>55119300</v>
      </c>
      <c r="I786" s="42">
        <f>VLOOKUP($A786,'Neraca Unaudited SIMAK'!$A$2:$R$1272,8,FALSE)+IF(ISNA(VLOOKUP($A786,'Mutasi Neraca'!$A$3:$S$910,8,FALSE)),0,VLOOKUP($A786,'Mutasi Neraca'!$A$3:$S$910,8,FALSE))</f>
        <v>20000</v>
      </c>
      <c r="J786" s="42">
        <f>VLOOKUP($A786,'Neraca Unaudited SIMAK'!$A$2:$R$1272,9,FALSE)+IF(ISNA(VLOOKUP($A786,'Mutasi Neraca'!$A$3:$S$910,9,FALSE)),0,VLOOKUP($A786,'Mutasi Neraca'!$A$3:$S$910,9,FALSE))</f>
        <v>0</v>
      </c>
      <c r="K786" s="42">
        <f>VLOOKUP($A786,'Neraca Unaudited SIMAK'!$A$2:$R$1272,10,FALSE)+IF(ISNA(VLOOKUP($A786,'Mutasi Neraca'!$A$3:$S$910,10,FALSE)),0,VLOOKUP($A786,'Mutasi Neraca'!$A$3:$S$910,10,FALSE))</f>
        <v>10650000</v>
      </c>
      <c r="L786" s="42">
        <f>VLOOKUP($A786,'Neraca Unaudited SIMAK'!$A$2:$R$1272,11,FALSE)+IF(ISNA(VLOOKUP($A786,'Mutasi Neraca'!$A$3:$S$910,11,FALSE)),0,VLOOKUP($A786,'Mutasi Neraca'!$A$3:$S$910,11,FALSE))</f>
        <v>19000</v>
      </c>
      <c r="M786" s="42">
        <f>VLOOKUP($A786,'Neraca Unaudited SIMAK'!$A$2:$R$1272,12,FALSE)+IF(ISNA(VLOOKUP($A786,'Mutasi Neraca'!$A$3:$S$910,12,FALSE)),0,VLOOKUP($A786,'Mutasi Neraca'!$A$3:$S$910,12,FALSE))</f>
        <v>12530982718</v>
      </c>
      <c r="N786" s="42">
        <f>VLOOKUP($A786,'Neraca Unaudited SIMAK'!$A$2:$R$1272,13,FALSE)+IF(ISNA(VLOOKUP($A786,'Mutasi Neraca'!$A$3:$S$910,13,FALSE)),0,VLOOKUP($A786,'Mutasi Neraca'!$A$3:$S$910,13,FALSE))</f>
        <v>-1591811876</v>
      </c>
      <c r="O786" s="42">
        <f>VLOOKUP($A786,'Neraca Unaudited SIMAK'!$A$2:$R$1272,14,FALSE)+IF(ISNA(VLOOKUP($A786,'Mutasi Neraca'!$A$3:$S$910,14,FALSE)),0,VLOOKUP($A786,'Mutasi Neraca'!$A$3:$S$910,14,FALSE))</f>
        <v>-1067076165</v>
      </c>
      <c r="P786" s="42">
        <f>VLOOKUP($A786,'Neraca Unaudited SIMAK'!$A$2:$R$1272,15,FALSE)+IF(ISNA(VLOOKUP($A786,'Mutasi Neraca'!$A$3:$S$910,15,FALSE)),0,VLOOKUP($A786,'Mutasi Neraca'!$A$3:$S$910,15,FALSE))</f>
        <v>-10125566</v>
      </c>
      <c r="Q786" s="42">
        <f>VLOOKUP($A786,'Neraca Unaudited SIMAK'!$A$2:$R$1272,16,FALSE)+IF(ISNA(VLOOKUP($A786,'Mutasi Neraca'!$A$3:$S$910,16,FALSE)),0,VLOOKUP($A786,'Mutasi Neraca'!$A$3:$S$910,16,FALSE))</f>
        <v>0</v>
      </c>
      <c r="R786" s="42">
        <f>VLOOKUP($A786,'Neraca Unaudited SIMAK'!$A$2:$R$1272,17,FALSE)+IF(ISNA(VLOOKUP($A786,'Mutasi Neraca'!$A$3:$S$910,17,FALSE)),0,VLOOKUP($A786,'Mutasi Neraca'!$A$3:$S$910,17,FALSE))</f>
        <v>-19000</v>
      </c>
      <c r="S786" s="42">
        <f t="shared" si="67"/>
        <v>9861950111</v>
      </c>
    </row>
    <row r="787" spans="1:19">
      <c r="A787" s="41" t="s">
        <v>794</v>
      </c>
      <c r="B787" s="41" t="str">
        <f t="shared" si="66"/>
        <v>005013000</v>
      </c>
      <c r="D787" s="42">
        <f>VLOOKUP($A787,'Neraca Unaudited SIMAK'!$A$2:$R$1272,3,FALSE)+IF(ISNA(VLOOKUP($A787,'Mutasi Neraca'!$A$3:$S$910,3,FALSE)),0,VLOOKUP($A787,'Mutasi Neraca'!$A$3:$S$910,3,FALSE))</f>
        <v>2455306</v>
      </c>
      <c r="E787" s="42">
        <f>VLOOKUP($A787,'Neraca Unaudited SIMAK'!$A$2:$R$1272,4,FALSE)+IF(ISNA(VLOOKUP($A787,'Mutasi Neraca'!$A$3:$S$910,4,FALSE)),0,VLOOKUP($A787,'Mutasi Neraca'!$A$3:$S$910,4,FALSE))</f>
        <v>167500000</v>
      </c>
      <c r="F787" s="42">
        <f>VLOOKUP($A787,'Neraca Unaudited SIMAK'!$A$2:$R$1272,5,FALSE)+IF(ISNA(VLOOKUP($A787,'Mutasi Neraca'!$A$3:$S$910,5,FALSE)),0,VLOOKUP($A787,'Mutasi Neraca'!$A$3:$S$910,5,FALSE))</f>
        <v>1141870665</v>
      </c>
      <c r="G787" s="42">
        <f>VLOOKUP($A787,'Neraca Unaudited SIMAK'!$A$2:$R$1272,6,FALSE)+IF(ISNA(VLOOKUP($A787,'Mutasi Neraca'!$A$3:$S$910,6,FALSE)),0,VLOOKUP($A787,'Mutasi Neraca'!$A$3:$S$910,6,FALSE))</f>
        <v>1398943179</v>
      </c>
      <c r="H787" s="42">
        <f>VLOOKUP($A787,'Neraca Unaudited SIMAK'!$A$2:$R$1272,7,FALSE)+IF(ISNA(VLOOKUP($A787,'Mutasi Neraca'!$A$3:$S$910,7,FALSE)),0,VLOOKUP($A787,'Mutasi Neraca'!$A$3:$S$910,7,FALSE))</f>
        <v>59395000</v>
      </c>
      <c r="I787" s="42">
        <f>VLOOKUP($A787,'Neraca Unaudited SIMAK'!$A$2:$R$1272,8,FALSE)+IF(ISNA(VLOOKUP($A787,'Mutasi Neraca'!$A$3:$S$910,8,FALSE)),0,VLOOKUP($A787,'Mutasi Neraca'!$A$3:$S$910,8,FALSE))</f>
        <v>0</v>
      </c>
      <c r="J787" s="42">
        <f>VLOOKUP($A787,'Neraca Unaudited SIMAK'!$A$2:$R$1272,9,FALSE)+IF(ISNA(VLOOKUP($A787,'Mutasi Neraca'!$A$3:$S$910,9,FALSE)),0,VLOOKUP($A787,'Mutasi Neraca'!$A$3:$S$910,9,FALSE))</f>
        <v>0</v>
      </c>
      <c r="K787" s="42">
        <f>VLOOKUP($A787,'Neraca Unaudited SIMAK'!$A$2:$R$1272,10,FALSE)+IF(ISNA(VLOOKUP($A787,'Mutasi Neraca'!$A$3:$S$910,10,FALSE)),0,VLOOKUP($A787,'Mutasi Neraca'!$A$3:$S$910,10,FALSE))</f>
        <v>0</v>
      </c>
      <c r="L787" s="42">
        <f>VLOOKUP($A787,'Neraca Unaudited SIMAK'!$A$2:$R$1272,11,FALSE)+IF(ISNA(VLOOKUP($A787,'Mutasi Neraca'!$A$3:$S$910,11,FALSE)),0,VLOOKUP($A787,'Mutasi Neraca'!$A$3:$S$910,11,FALSE))</f>
        <v>357105896</v>
      </c>
      <c r="M787" s="42">
        <f>VLOOKUP($A787,'Neraca Unaudited SIMAK'!$A$2:$R$1272,12,FALSE)+IF(ISNA(VLOOKUP($A787,'Mutasi Neraca'!$A$3:$S$910,12,FALSE)),0,VLOOKUP($A787,'Mutasi Neraca'!$A$3:$S$910,12,FALSE))</f>
        <v>3127270046</v>
      </c>
      <c r="N787" s="42">
        <f>VLOOKUP($A787,'Neraca Unaudited SIMAK'!$A$2:$R$1272,13,FALSE)+IF(ISNA(VLOOKUP($A787,'Mutasi Neraca'!$A$3:$S$910,13,FALSE)),0,VLOOKUP($A787,'Mutasi Neraca'!$A$3:$S$910,13,FALSE))</f>
        <v>-1039032345</v>
      </c>
      <c r="O787" s="42">
        <f>VLOOKUP($A787,'Neraca Unaudited SIMAK'!$A$2:$R$1272,14,FALSE)+IF(ISNA(VLOOKUP($A787,'Mutasi Neraca'!$A$3:$S$910,14,FALSE)),0,VLOOKUP($A787,'Mutasi Neraca'!$A$3:$S$910,14,FALSE))</f>
        <v>-299107333</v>
      </c>
      <c r="P787" s="42">
        <f>VLOOKUP($A787,'Neraca Unaudited SIMAK'!$A$2:$R$1272,15,FALSE)+IF(ISNA(VLOOKUP($A787,'Mutasi Neraca'!$A$3:$S$910,15,FALSE)),0,VLOOKUP($A787,'Mutasi Neraca'!$A$3:$S$910,15,FALSE))</f>
        <v>-9608754</v>
      </c>
      <c r="Q787" s="42">
        <f>VLOOKUP($A787,'Neraca Unaudited SIMAK'!$A$2:$R$1272,16,FALSE)+IF(ISNA(VLOOKUP($A787,'Mutasi Neraca'!$A$3:$S$910,16,FALSE)),0,VLOOKUP($A787,'Mutasi Neraca'!$A$3:$S$910,16,FALSE))</f>
        <v>0</v>
      </c>
      <c r="R787" s="42">
        <f>VLOOKUP($A787,'Neraca Unaudited SIMAK'!$A$2:$R$1272,17,FALSE)+IF(ISNA(VLOOKUP($A787,'Mutasi Neraca'!$A$3:$S$910,17,FALSE)),0,VLOOKUP($A787,'Mutasi Neraca'!$A$3:$S$910,17,FALSE))</f>
        <v>-357105896</v>
      </c>
      <c r="S787" s="42">
        <f t="shared" si="67"/>
        <v>1422415718</v>
      </c>
    </row>
    <row r="788" spans="1:19">
      <c r="A788" s="41" t="s">
        <v>795</v>
      </c>
      <c r="B788" s="41" t="str">
        <f t="shared" si="66"/>
        <v>005013000</v>
      </c>
      <c r="D788" s="42">
        <f>VLOOKUP($A788,'Neraca Unaudited SIMAK'!$A$2:$R$1272,3,FALSE)+IF(ISNA(VLOOKUP($A788,'Mutasi Neraca'!$A$3:$S$910,3,FALSE)),0,VLOOKUP($A788,'Mutasi Neraca'!$A$3:$S$910,3,FALSE))</f>
        <v>4047950</v>
      </c>
      <c r="E788" s="42">
        <f>VLOOKUP($A788,'Neraca Unaudited SIMAK'!$A$2:$R$1272,4,FALSE)+IF(ISNA(VLOOKUP($A788,'Mutasi Neraca'!$A$3:$S$910,4,FALSE)),0,VLOOKUP($A788,'Mutasi Neraca'!$A$3:$S$910,4,FALSE))</f>
        <v>264226400</v>
      </c>
      <c r="F788" s="42">
        <f>VLOOKUP($A788,'Neraca Unaudited SIMAK'!$A$2:$R$1272,5,FALSE)+IF(ISNA(VLOOKUP($A788,'Mutasi Neraca'!$A$3:$S$910,5,FALSE)),0,VLOOKUP($A788,'Mutasi Neraca'!$A$3:$S$910,5,FALSE))</f>
        <v>1606998137</v>
      </c>
      <c r="G788" s="42">
        <f>VLOOKUP($A788,'Neraca Unaudited SIMAK'!$A$2:$R$1272,6,FALSE)+IF(ISNA(VLOOKUP($A788,'Mutasi Neraca'!$A$3:$S$910,6,FALSE)),0,VLOOKUP($A788,'Mutasi Neraca'!$A$3:$S$910,6,FALSE))</f>
        <v>6135564102</v>
      </c>
      <c r="H788" s="42">
        <f>VLOOKUP($A788,'Neraca Unaudited SIMAK'!$A$2:$R$1272,7,FALSE)+IF(ISNA(VLOOKUP($A788,'Mutasi Neraca'!$A$3:$S$910,7,FALSE)),0,VLOOKUP($A788,'Mutasi Neraca'!$A$3:$S$910,7,FALSE))</f>
        <v>18370000</v>
      </c>
      <c r="I788" s="42">
        <f>VLOOKUP($A788,'Neraca Unaudited SIMAK'!$A$2:$R$1272,8,FALSE)+IF(ISNA(VLOOKUP($A788,'Mutasi Neraca'!$A$3:$S$910,8,FALSE)),0,VLOOKUP($A788,'Mutasi Neraca'!$A$3:$S$910,8,FALSE))</f>
        <v>0</v>
      </c>
      <c r="J788" s="42">
        <f>VLOOKUP($A788,'Neraca Unaudited SIMAK'!$A$2:$R$1272,9,FALSE)+IF(ISNA(VLOOKUP($A788,'Mutasi Neraca'!$A$3:$S$910,9,FALSE)),0,VLOOKUP($A788,'Mutasi Neraca'!$A$3:$S$910,9,FALSE))</f>
        <v>0</v>
      </c>
      <c r="K788" s="42">
        <f>VLOOKUP($A788,'Neraca Unaudited SIMAK'!$A$2:$R$1272,10,FALSE)+IF(ISNA(VLOOKUP($A788,'Mutasi Neraca'!$A$3:$S$910,10,FALSE)),0,VLOOKUP($A788,'Mutasi Neraca'!$A$3:$S$910,10,FALSE))</f>
        <v>0</v>
      </c>
      <c r="L788" s="42">
        <f>VLOOKUP($A788,'Neraca Unaudited SIMAK'!$A$2:$R$1272,11,FALSE)+IF(ISNA(VLOOKUP($A788,'Mutasi Neraca'!$A$3:$S$910,11,FALSE)),0,VLOOKUP($A788,'Mutasi Neraca'!$A$3:$S$910,11,FALSE))</f>
        <v>203019600</v>
      </c>
      <c r="M788" s="42">
        <f>VLOOKUP($A788,'Neraca Unaudited SIMAK'!$A$2:$R$1272,12,FALSE)+IF(ISNA(VLOOKUP($A788,'Mutasi Neraca'!$A$3:$S$910,12,FALSE)),0,VLOOKUP($A788,'Mutasi Neraca'!$A$3:$S$910,12,FALSE))</f>
        <v>8232226189</v>
      </c>
      <c r="N788" s="42">
        <f>VLOOKUP($A788,'Neraca Unaudited SIMAK'!$A$2:$R$1272,13,FALSE)+IF(ISNA(VLOOKUP($A788,'Mutasi Neraca'!$A$3:$S$910,13,FALSE)),0,VLOOKUP($A788,'Mutasi Neraca'!$A$3:$S$910,13,FALSE))</f>
        <v>-1344477251</v>
      </c>
      <c r="O788" s="42">
        <f>VLOOKUP($A788,'Neraca Unaudited SIMAK'!$A$2:$R$1272,14,FALSE)+IF(ISNA(VLOOKUP($A788,'Mutasi Neraca'!$A$3:$S$910,14,FALSE)),0,VLOOKUP($A788,'Mutasi Neraca'!$A$3:$S$910,14,FALSE))</f>
        <v>-604473705</v>
      </c>
      <c r="P788" s="42">
        <f>VLOOKUP($A788,'Neraca Unaudited SIMAK'!$A$2:$R$1272,15,FALSE)+IF(ISNA(VLOOKUP($A788,'Mutasi Neraca'!$A$3:$S$910,15,FALSE)),0,VLOOKUP($A788,'Mutasi Neraca'!$A$3:$S$910,15,FALSE))</f>
        <v>-4592500</v>
      </c>
      <c r="Q788" s="42">
        <f>VLOOKUP($A788,'Neraca Unaudited SIMAK'!$A$2:$R$1272,16,FALSE)+IF(ISNA(VLOOKUP($A788,'Mutasi Neraca'!$A$3:$S$910,16,FALSE)),0,VLOOKUP($A788,'Mutasi Neraca'!$A$3:$S$910,16,FALSE))</f>
        <v>0</v>
      </c>
      <c r="R788" s="42">
        <f>VLOOKUP($A788,'Neraca Unaudited SIMAK'!$A$2:$R$1272,17,FALSE)+IF(ISNA(VLOOKUP($A788,'Mutasi Neraca'!$A$3:$S$910,17,FALSE)),0,VLOOKUP($A788,'Mutasi Neraca'!$A$3:$S$910,17,FALSE))</f>
        <v>-202844600</v>
      </c>
      <c r="S788" s="42">
        <f t="shared" si="67"/>
        <v>6075838133</v>
      </c>
    </row>
    <row r="789" spans="1:19">
      <c r="A789" s="41" t="s">
        <v>796</v>
      </c>
      <c r="B789" s="41" t="str">
        <f t="shared" si="66"/>
        <v>005013000</v>
      </c>
      <c r="D789" s="42">
        <f>VLOOKUP($A789,'Neraca Unaudited SIMAK'!$A$2:$R$1272,3,FALSE)+IF(ISNA(VLOOKUP($A789,'Mutasi Neraca'!$A$3:$S$910,3,FALSE)),0,VLOOKUP($A789,'Mutasi Neraca'!$A$3:$S$910,3,FALSE))</f>
        <v>14635211</v>
      </c>
      <c r="E789" s="42">
        <f>VLOOKUP($A789,'Neraca Unaudited SIMAK'!$A$2:$R$1272,4,FALSE)+IF(ISNA(VLOOKUP($A789,'Mutasi Neraca'!$A$3:$S$910,4,FALSE)),0,VLOOKUP($A789,'Mutasi Neraca'!$A$3:$S$910,4,FALSE))</f>
        <v>2795850000</v>
      </c>
      <c r="F789" s="42">
        <f>VLOOKUP($A789,'Neraca Unaudited SIMAK'!$A$2:$R$1272,5,FALSE)+IF(ISNA(VLOOKUP($A789,'Mutasi Neraca'!$A$3:$S$910,5,FALSE)),0,VLOOKUP($A789,'Mutasi Neraca'!$A$3:$S$910,5,FALSE))</f>
        <v>3000202166</v>
      </c>
      <c r="G789" s="42">
        <f>VLOOKUP($A789,'Neraca Unaudited SIMAK'!$A$2:$R$1272,6,FALSE)+IF(ISNA(VLOOKUP($A789,'Mutasi Neraca'!$A$3:$S$910,6,FALSE)),0,VLOOKUP($A789,'Mutasi Neraca'!$A$3:$S$910,6,FALSE))</f>
        <v>7398044817</v>
      </c>
      <c r="H789" s="42">
        <f>VLOOKUP($A789,'Neraca Unaudited SIMAK'!$A$2:$R$1272,7,FALSE)+IF(ISNA(VLOOKUP($A789,'Mutasi Neraca'!$A$3:$S$910,7,FALSE)),0,VLOOKUP($A789,'Mutasi Neraca'!$A$3:$S$910,7,FALSE))</f>
        <v>111348400</v>
      </c>
      <c r="I789" s="42">
        <f>VLOOKUP($A789,'Neraca Unaudited SIMAK'!$A$2:$R$1272,8,FALSE)+IF(ISNA(VLOOKUP($A789,'Mutasi Neraca'!$A$3:$S$910,8,FALSE)),0,VLOOKUP($A789,'Mutasi Neraca'!$A$3:$S$910,8,FALSE))</f>
        <v>5740000</v>
      </c>
      <c r="J789" s="42">
        <f>VLOOKUP($A789,'Neraca Unaudited SIMAK'!$A$2:$R$1272,9,FALSE)+IF(ISNA(VLOOKUP($A789,'Mutasi Neraca'!$A$3:$S$910,9,FALSE)),0,VLOOKUP($A789,'Mutasi Neraca'!$A$3:$S$910,9,FALSE))</f>
        <v>0</v>
      </c>
      <c r="K789" s="42">
        <f>VLOOKUP($A789,'Neraca Unaudited SIMAK'!$A$2:$R$1272,10,FALSE)+IF(ISNA(VLOOKUP($A789,'Mutasi Neraca'!$A$3:$S$910,10,FALSE)),0,VLOOKUP($A789,'Mutasi Neraca'!$A$3:$S$910,10,FALSE))</f>
        <v>0</v>
      </c>
      <c r="L789" s="42">
        <f>VLOOKUP($A789,'Neraca Unaudited SIMAK'!$A$2:$R$1272,11,FALSE)+IF(ISNA(VLOOKUP($A789,'Mutasi Neraca'!$A$3:$S$910,11,FALSE)),0,VLOOKUP($A789,'Mutasi Neraca'!$A$3:$S$910,11,FALSE))</f>
        <v>2170000</v>
      </c>
      <c r="M789" s="42">
        <f>VLOOKUP($A789,'Neraca Unaudited SIMAK'!$A$2:$R$1272,12,FALSE)+IF(ISNA(VLOOKUP($A789,'Mutasi Neraca'!$A$3:$S$910,12,FALSE)),0,VLOOKUP($A789,'Mutasi Neraca'!$A$3:$S$910,12,FALSE))</f>
        <v>13327990594</v>
      </c>
      <c r="N789" s="42">
        <f>VLOOKUP($A789,'Neraca Unaudited SIMAK'!$A$2:$R$1272,13,FALSE)+IF(ISNA(VLOOKUP($A789,'Mutasi Neraca'!$A$3:$S$910,13,FALSE)),0,VLOOKUP($A789,'Mutasi Neraca'!$A$3:$S$910,13,FALSE))</f>
        <v>-2766305309</v>
      </c>
      <c r="O789" s="42">
        <f>VLOOKUP($A789,'Neraca Unaudited SIMAK'!$A$2:$R$1272,14,FALSE)+IF(ISNA(VLOOKUP($A789,'Mutasi Neraca'!$A$3:$S$910,14,FALSE)),0,VLOOKUP($A789,'Mutasi Neraca'!$A$3:$S$910,14,FALSE))</f>
        <v>-1224722611</v>
      </c>
      <c r="P789" s="42">
        <f>VLOOKUP($A789,'Neraca Unaudited SIMAK'!$A$2:$R$1272,15,FALSE)+IF(ISNA(VLOOKUP($A789,'Mutasi Neraca'!$A$3:$S$910,15,FALSE)),0,VLOOKUP($A789,'Mutasi Neraca'!$A$3:$S$910,15,FALSE))</f>
        <v>-14735385</v>
      </c>
      <c r="Q789" s="42">
        <f>VLOOKUP($A789,'Neraca Unaudited SIMAK'!$A$2:$R$1272,16,FALSE)+IF(ISNA(VLOOKUP($A789,'Mutasi Neraca'!$A$3:$S$910,16,FALSE)),0,VLOOKUP($A789,'Mutasi Neraca'!$A$3:$S$910,16,FALSE))</f>
        <v>0</v>
      </c>
      <c r="R789" s="42">
        <f>VLOOKUP($A789,'Neraca Unaudited SIMAK'!$A$2:$R$1272,17,FALSE)+IF(ISNA(VLOOKUP($A789,'Mutasi Neraca'!$A$3:$S$910,17,FALSE)),0,VLOOKUP($A789,'Mutasi Neraca'!$A$3:$S$910,17,FALSE))</f>
        <v>-2170000</v>
      </c>
      <c r="S789" s="42">
        <f t="shared" si="67"/>
        <v>9320057289</v>
      </c>
    </row>
    <row r="790" spans="1:19">
      <c r="A790" s="41" t="s">
        <v>797</v>
      </c>
      <c r="B790" s="41" t="str">
        <f t="shared" si="66"/>
        <v>005013000</v>
      </c>
      <c r="D790" s="42">
        <f>VLOOKUP($A790,'Neraca Unaudited SIMAK'!$A$2:$R$1272,3,FALSE)+IF(ISNA(VLOOKUP($A790,'Mutasi Neraca'!$A$3:$S$910,3,FALSE)),0,VLOOKUP($A790,'Mutasi Neraca'!$A$3:$S$910,3,FALSE))</f>
        <v>37738846</v>
      </c>
      <c r="E790" s="42">
        <f>VLOOKUP($A790,'Neraca Unaudited SIMAK'!$A$2:$R$1272,4,FALSE)+IF(ISNA(VLOOKUP($A790,'Mutasi Neraca'!$A$3:$S$910,4,FALSE)),0,VLOOKUP($A790,'Mutasi Neraca'!$A$3:$S$910,4,FALSE))</f>
        <v>10010136840</v>
      </c>
      <c r="F790" s="42">
        <f>VLOOKUP($A790,'Neraca Unaudited SIMAK'!$A$2:$R$1272,5,FALSE)+IF(ISNA(VLOOKUP($A790,'Mutasi Neraca'!$A$3:$S$910,5,FALSE)),0,VLOOKUP($A790,'Mutasi Neraca'!$A$3:$S$910,5,FALSE))</f>
        <v>3532531235</v>
      </c>
      <c r="G790" s="42">
        <f>VLOOKUP($A790,'Neraca Unaudited SIMAK'!$A$2:$R$1272,6,FALSE)+IF(ISNA(VLOOKUP($A790,'Mutasi Neraca'!$A$3:$S$910,6,FALSE)),0,VLOOKUP($A790,'Mutasi Neraca'!$A$3:$S$910,6,FALSE))</f>
        <v>12189216502</v>
      </c>
      <c r="H790" s="42">
        <f>VLOOKUP($A790,'Neraca Unaudited SIMAK'!$A$2:$R$1272,7,FALSE)+IF(ISNA(VLOOKUP($A790,'Mutasi Neraca'!$A$3:$S$910,7,FALSE)),0,VLOOKUP($A790,'Mutasi Neraca'!$A$3:$S$910,7,FALSE))</f>
        <v>118483400</v>
      </c>
      <c r="I790" s="42">
        <f>VLOOKUP($A790,'Neraca Unaudited SIMAK'!$A$2:$R$1272,8,FALSE)+IF(ISNA(VLOOKUP($A790,'Mutasi Neraca'!$A$3:$S$910,8,FALSE)),0,VLOOKUP($A790,'Mutasi Neraca'!$A$3:$S$910,8,FALSE))</f>
        <v>50331266</v>
      </c>
      <c r="J790" s="42">
        <f>VLOOKUP($A790,'Neraca Unaudited SIMAK'!$A$2:$R$1272,9,FALSE)+IF(ISNA(VLOOKUP($A790,'Mutasi Neraca'!$A$3:$S$910,9,FALSE)),0,VLOOKUP($A790,'Mutasi Neraca'!$A$3:$S$910,9,FALSE))</f>
        <v>0</v>
      </c>
      <c r="K790" s="42">
        <f>VLOOKUP($A790,'Neraca Unaudited SIMAK'!$A$2:$R$1272,10,FALSE)+IF(ISNA(VLOOKUP($A790,'Mutasi Neraca'!$A$3:$S$910,10,FALSE)),0,VLOOKUP($A790,'Mutasi Neraca'!$A$3:$S$910,10,FALSE))</f>
        <v>11678000</v>
      </c>
      <c r="L790" s="42">
        <f>VLOOKUP($A790,'Neraca Unaudited SIMAK'!$A$2:$R$1272,11,FALSE)+IF(ISNA(VLOOKUP($A790,'Mutasi Neraca'!$A$3:$S$910,11,FALSE)),0,VLOOKUP($A790,'Mutasi Neraca'!$A$3:$S$910,11,FALSE))</f>
        <v>198928612</v>
      </c>
      <c r="M790" s="42">
        <f>VLOOKUP($A790,'Neraca Unaudited SIMAK'!$A$2:$R$1272,12,FALSE)+IF(ISNA(VLOOKUP($A790,'Mutasi Neraca'!$A$3:$S$910,12,FALSE)),0,VLOOKUP($A790,'Mutasi Neraca'!$A$3:$S$910,12,FALSE))</f>
        <v>26149044701</v>
      </c>
      <c r="N790" s="42">
        <f>VLOOKUP($A790,'Neraca Unaudited SIMAK'!$A$2:$R$1272,13,FALSE)+IF(ISNA(VLOOKUP($A790,'Mutasi Neraca'!$A$3:$S$910,13,FALSE)),0,VLOOKUP($A790,'Mutasi Neraca'!$A$3:$S$910,13,FALSE))</f>
        <v>-3385580591</v>
      </c>
      <c r="O790" s="42">
        <f>VLOOKUP($A790,'Neraca Unaudited SIMAK'!$A$2:$R$1272,14,FALSE)+IF(ISNA(VLOOKUP($A790,'Mutasi Neraca'!$A$3:$S$910,14,FALSE)),0,VLOOKUP($A790,'Mutasi Neraca'!$A$3:$S$910,14,FALSE))</f>
        <v>-2257185822</v>
      </c>
      <c r="P790" s="42">
        <f>VLOOKUP($A790,'Neraca Unaudited SIMAK'!$A$2:$R$1272,15,FALSE)+IF(ISNA(VLOOKUP($A790,'Mutasi Neraca'!$A$3:$S$910,15,FALSE)),0,VLOOKUP($A790,'Mutasi Neraca'!$A$3:$S$910,15,FALSE))</f>
        <v>-34006468</v>
      </c>
      <c r="Q790" s="42">
        <f>VLOOKUP($A790,'Neraca Unaudited SIMAK'!$A$2:$R$1272,16,FALSE)+IF(ISNA(VLOOKUP($A790,'Mutasi Neraca'!$A$3:$S$910,16,FALSE)),0,VLOOKUP($A790,'Mutasi Neraca'!$A$3:$S$910,16,FALSE))</f>
        <v>0</v>
      </c>
      <c r="R790" s="42">
        <f>VLOOKUP($A790,'Neraca Unaudited SIMAK'!$A$2:$R$1272,17,FALSE)+IF(ISNA(VLOOKUP($A790,'Mutasi Neraca'!$A$3:$S$910,17,FALSE)),0,VLOOKUP($A790,'Mutasi Neraca'!$A$3:$S$910,17,FALSE))</f>
        <v>-113673493</v>
      </c>
      <c r="S790" s="42">
        <f t="shared" si="67"/>
        <v>20358598327</v>
      </c>
    </row>
    <row r="791" spans="1:19">
      <c r="A791" s="41" t="s">
        <v>798</v>
      </c>
      <c r="B791" s="41" t="str">
        <f t="shared" si="66"/>
        <v>005013000</v>
      </c>
      <c r="D791" s="42">
        <f>VLOOKUP($A791,'Neraca Unaudited SIMAK'!$A$2:$R$1272,3,FALSE)+IF(ISNA(VLOOKUP($A791,'Mutasi Neraca'!$A$3:$S$910,3,FALSE)),0,VLOOKUP($A791,'Mutasi Neraca'!$A$3:$S$910,3,FALSE))</f>
        <v>3168050</v>
      </c>
      <c r="E791" s="42">
        <f>VLOOKUP($A791,'Neraca Unaudited SIMAK'!$A$2:$R$1272,4,FALSE)+IF(ISNA(VLOOKUP($A791,'Mutasi Neraca'!$A$3:$S$910,4,FALSE)),0,VLOOKUP($A791,'Mutasi Neraca'!$A$3:$S$910,4,FALSE))</f>
        <v>0</v>
      </c>
      <c r="F791" s="42">
        <f>VLOOKUP($A791,'Neraca Unaudited SIMAK'!$A$2:$R$1272,5,FALSE)+IF(ISNA(VLOOKUP($A791,'Mutasi Neraca'!$A$3:$S$910,5,FALSE)),0,VLOOKUP($A791,'Mutasi Neraca'!$A$3:$S$910,5,FALSE))</f>
        <v>1525965790</v>
      </c>
      <c r="G791" s="42">
        <f>VLOOKUP($A791,'Neraca Unaudited SIMAK'!$A$2:$R$1272,6,FALSE)+IF(ISNA(VLOOKUP($A791,'Mutasi Neraca'!$A$3:$S$910,6,FALSE)),0,VLOOKUP($A791,'Mutasi Neraca'!$A$3:$S$910,6,FALSE))</f>
        <v>6541498542</v>
      </c>
      <c r="H791" s="42">
        <f>VLOOKUP($A791,'Neraca Unaudited SIMAK'!$A$2:$R$1272,7,FALSE)+IF(ISNA(VLOOKUP($A791,'Mutasi Neraca'!$A$3:$S$910,7,FALSE)),0,VLOOKUP($A791,'Mutasi Neraca'!$A$3:$S$910,7,FALSE))</f>
        <v>14200000</v>
      </c>
      <c r="I791" s="42">
        <f>VLOOKUP($A791,'Neraca Unaudited SIMAK'!$A$2:$R$1272,8,FALSE)+IF(ISNA(VLOOKUP($A791,'Mutasi Neraca'!$A$3:$S$910,8,FALSE)),0,VLOOKUP($A791,'Mutasi Neraca'!$A$3:$S$910,8,FALSE))</f>
        <v>0</v>
      </c>
      <c r="J791" s="42">
        <f>VLOOKUP($A791,'Neraca Unaudited SIMAK'!$A$2:$R$1272,9,FALSE)+IF(ISNA(VLOOKUP($A791,'Mutasi Neraca'!$A$3:$S$910,9,FALSE)),0,VLOOKUP($A791,'Mutasi Neraca'!$A$3:$S$910,9,FALSE))</f>
        <v>0</v>
      </c>
      <c r="K791" s="42">
        <f>VLOOKUP($A791,'Neraca Unaudited SIMAK'!$A$2:$R$1272,10,FALSE)+IF(ISNA(VLOOKUP($A791,'Mutasi Neraca'!$A$3:$S$910,10,FALSE)),0,VLOOKUP($A791,'Mutasi Neraca'!$A$3:$S$910,10,FALSE))</f>
        <v>6500000</v>
      </c>
      <c r="L791" s="42">
        <f>VLOOKUP($A791,'Neraca Unaudited SIMAK'!$A$2:$R$1272,11,FALSE)+IF(ISNA(VLOOKUP($A791,'Mutasi Neraca'!$A$3:$S$910,11,FALSE)),0,VLOOKUP($A791,'Mutasi Neraca'!$A$3:$S$910,11,FALSE))</f>
        <v>0</v>
      </c>
      <c r="M791" s="42">
        <f>VLOOKUP($A791,'Neraca Unaudited SIMAK'!$A$2:$R$1272,12,FALSE)+IF(ISNA(VLOOKUP($A791,'Mutasi Neraca'!$A$3:$S$910,12,FALSE)),0,VLOOKUP($A791,'Mutasi Neraca'!$A$3:$S$910,12,FALSE))</f>
        <v>8091332382</v>
      </c>
      <c r="N791" s="42">
        <f>VLOOKUP($A791,'Neraca Unaudited SIMAK'!$A$2:$R$1272,13,FALSE)+IF(ISNA(VLOOKUP($A791,'Mutasi Neraca'!$A$3:$S$910,13,FALSE)),0,VLOOKUP($A791,'Mutasi Neraca'!$A$3:$S$910,13,FALSE))</f>
        <v>-496727535</v>
      </c>
      <c r="O791" s="42">
        <f>VLOOKUP($A791,'Neraca Unaudited SIMAK'!$A$2:$R$1272,14,FALSE)+IF(ISNA(VLOOKUP($A791,'Mutasi Neraca'!$A$3:$S$910,14,FALSE)),0,VLOOKUP($A791,'Mutasi Neraca'!$A$3:$S$910,14,FALSE))</f>
        <v>-196244955</v>
      </c>
      <c r="P791" s="42">
        <f>VLOOKUP($A791,'Neraca Unaudited SIMAK'!$A$2:$R$1272,15,FALSE)+IF(ISNA(VLOOKUP($A791,'Mutasi Neraca'!$A$3:$S$910,15,FALSE)),0,VLOOKUP($A791,'Mutasi Neraca'!$A$3:$S$910,15,FALSE))</f>
        <v>-1420000</v>
      </c>
      <c r="Q791" s="42">
        <f>VLOOKUP($A791,'Neraca Unaudited SIMAK'!$A$2:$R$1272,16,FALSE)+IF(ISNA(VLOOKUP($A791,'Mutasi Neraca'!$A$3:$S$910,16,FALSE)),0,VLOOKUP($A791,'Mutasi Neraca'!$A$3:$S$910,16,FALSE))</f>
        <v>0</v>
      </c>
      <c r="R791" s="42">
        <f>VLOOKUP($A791,'Neraca Unaudited SIMAK'!$A$2:$R$1272,17,FALSE)+IF(ISNA(VLOOKUP($A791,'Mutasi Neraca'!$A$3:$S$910,17,FALSE)),0,VLOOKUP($A791,'Mutasi Neraca'!$A$3:$S$910,17,FALSE))</f>
        <v>0</v>
      </c>
      <c r="S791" s="42">
        <f t="shared" si="67"/>
        <v>7396939892</v>
      </c>
    </row>
    <row r="792" spans="1:19">
      <c r="A792" s="41" t="s">
        <v>799</v>
      </c>
      <c r="B792" s="41" t="str">
        <f t="shared" si="66"/>
        <v>005013100</v>
      </c>
      <c r="D792" s="42">
        <f>VLOOKUP($A792,'Neraca Unaudited SIMAK'!$A$2:$R$1272,3,FALSE)+IF(ISNA(VLOOKUP($A792,'Mutasi Neraca'!$A$3:$S$910,3,FALSE)),0,VLOOKUP($A792,'Mutasi Neraca'!$A$3:$S$910,3,FALSE))</f>
        <v>2857634</v>
      </c>
      <c r="E792" s="42">
        <f>VLOOKUP($A792,'Neraca Unaudited SIMAK'!$A$2:$R$1272,4,FALSE)+IF(ISNA(VLOOKUP($A792,'Mutasi Neraca'!$A$3:$S$910,4,FALSE)),0,VLOOKUP($A792,'Mutasi Neraca'!$A$3:$S$910,4,FALSE))</f>
        <v>4751977360</v>
      </c>
      <c r="F792" s="42">
        <f>VLOOKUP($A792,'Neraca Unaudited SIMAK'!$A$2:$R$1272,5,FALSE)+IF(ISNA(VLOOKUP($A792,'Mutasi Neraca'!$A$3:$S$910,5,FALSE)),0,VLOOKUP($A792,'Mutasi Neraca'!$A$3:$S$910,5,FALSE))</f>
        <v>3070407401</v>
      </c>
      <c r="G792" s="42">
        <f>VLOOKUP($A792,'Neraca Unaudited SIMAK'!$A$2:$R$1272,6,FALSE)+IF(ISNA(VLOOKUP($A792,'Mutasi Neraca'!$A$3:$S$910,6,FALSE)),0,VLOOKUP($A792,'Mutasi Neraca'!$A$3:$S$910,6,FALSE))</f>
        <v>19563615450</v>
      </c>
      <c r="H792" s="42">
        <f>VLOOKUP($A792,'Neraca Unaudited SIMAK'!$A$2:$R$1272,7,FALSE)+IF(ISNA(VLOOKUP($A792,'Mutasi Neraca'!$A$3:$S$910,7,FALSE)),0,VLOOKUP($A792,'Mutasi Neraca'!$A$3:$S$910,7,FALSE))</f>
        <v>206189000</v>
      </c>
      <c r="I792" s="42">
        <f>VLOOKUP($A792,'Neraca Unaudited SIMAK'!$A$2:$R$1272,8,FALSE)+IF(ISNA(VLOOKUP($A792,'Mutasi Neraca'!$A$3:$S$910,8,FALSE)),0,VLOOKUP($A792,'Mutasi Neraca'!$A$3:$S$910,8,FALSE))</f>
        <v>20156440</v>
      </c>
      <c r="J792" s="42">
        <f>VLOOKUP($A792,'Neraca Unaudited SIMAK'!$A$2:$R$1272,9,FALSE)+IF(ISNA(VLOOKUP($A792,'Mutasi Neraca'!$A$3:$S$910,9,FALSE)),0,VLOOKUP($A792,'Mutasi Neraca'!$A$3:$S$910,9,FALSE))</f>
        <v>0</v>
      </c>
      <c r="K792" s="42">
        <f>VLOOKUP($A792,'Neraca Unaudited SIMAK'!$A$2:$R$1272,10,FALSE)+IF(ISNA(VLOOKUP($A792,'Mutasi Neraca'!$A$3:$S$910,10,FALSE)),0,VLOOKUP($A792,'Mutasi Neraca'!$A$3:$S$910,10,FALSE))</f>
        <v>0</v>
      </c>
      <c r="L792" s="42">
        <f>VLOOKUP($A792,'Neraca Unaudited SIMAK'!$A$2:$R$1272,11,FALSE)+IF(ISNA(VLOOKUP($A792,'Mutasi Neraca'!$A$3:$S$910,11,FALSE)),0,VLOOKUP($A792,'Mutasi Neraca'!$A$3:$S$910,11,FALSE))</f>
        <v>4987821000</v>
      </c>
      <c r="M792" s="42">
        <f>VLOOKUP($A792,'Neraca Unaudited SIMAK'!$A$2:$R$1272,12,FALSE)+IF(ISNA(VLOOKUP($A792,'Mutasi Neraca'!$A$3:$S$910,12,FALSE)),0,VLOOKUP($A792,'Mutasi Neraca'!$A$3:$S$910,12,FALSE))</f>
        <v>32603024285</v>
      </c>
      <c r="N792" s="42">
        <f>VLOOKUP($A792,'Neraca Unaudited SIMAK'!$A$2:$R$1272,13,FALSE)+IF(ISNA(VLOOKUP($A792,'Mutasi Neraca'!$A$3:$S$910,13,FALSE)),0,VLOOKUP($A792,'Mutasi Neraca'!$A$3:$S$910,13,FALSE))</f>
        <v>-2770623390</v>
      </c>
      <c r="O792" s="42">
        <f>VLOOKUP($A792,'Neraca Unaudited SIMAK'!$A$2:$R$1272,14,FALSE)+IF(ISNA(VLOOKUP($A792,'Mutasi Neraca'!$A$3:$S$910,14,FALSE)),0,VLOOKUP($A792,'Mutasi Neraca'!$A$3:$S$910,14,FALSE))</f>
        <v>-5044379386</v>
      </c>
      <c r="P792" s="42">
        <f>VLOOKUP($A792,'Neraca Unaudited SIMAK'!$A$2:$R$1272,15,FALSE)+IF(ISNA(VLOOKUP($A792,'Mutasi Neraca'!$A$3:$S$910,15,FALSE)),0,VLOOKUP($A792,'Mutasi Neraca'!$A$3:$S$910,15,FALSE))</f>
        <v>-31728350</v>
      </c>
      <c r="Q792" s="42">
        <f>VLOOKUP($A792,'Neraca Unaudited SIMAK'!$A$2:$R$1272,16,FALSE)+IF(ISNA(VLOOKUP($A792,'Mutasi Neraca'!$A$3:$S$910,16,FALSE)),0,VLOOKUP($A792,'Mutasi Neraca'!$A$3:$S$910,16,FALSE))</f>
        <v>0</v>
      </c>
      <c r="R792" s="42">
        <f>VLOOKUP($A792,'Neraca Unaudited SIMAK'!$A$2:$R$1272,17,FALSE)+IF(ISNA(VLOOKUP($A792,'Mutasi Neraca'!$A$3:$S$910,17,FALSE)),0,VLOOKUP($A792,'Mutasi Neraca'!$A$3:$S$910,17,FALSE))</f>
        <v>-1076000</v>
      </c>
      <c r="S792" s="42">
        <f t="shared" si="67"/>
        <v>24755217159</v>
      </c>
    </row>
    <row r="793" spans="1:19">
      <c r="A793" s="41" t="s">
        <v>800</v>
      </c>
      <c r="B793" s="41" t="str">
        <f t="shared" si="66"/>
        <v>005013100</v>
      </c>
      <c r="D793" s="42">
        <f>VLOOKUP($A793,'Neraca Unaudited SIMAK'!$A$2:$R$1272,3,FALSE)+IF(ISNA(VLOOKUP($A793,'Mutasi Neraca'!$A$3:$S$910,3,FALSE)),0,VLOOKUP($A793,'Mutasi Neraca'!$A$3:$S$910,3,FALSE))</f>
        <v>0</v>
      </c>
      <c r="E793" s="42">
        <f>VLOOKUP($A793,'Neraca Unaudited SIMAK'!$A$2:$R$1272,4,FALSE)+IF(ISNA(VLOOKUP($A793,'Mutasi Neraca'!$A$3:$S$910,4,FALSE)),0,VLOOKUP($A793,'Mutasi Neraca'!$A$3:$S$910,4,FALSE))</f>
        <v>2971471050</v>
      </c>
      <c r="F793" s="42">
        <f>VLOOKUP($A793,'Neraca Unaudited SIMAK'!$A$2:$R$1272,5,FALSE)+IF(ISNA(VLOOKUP($A793,'Mutasi Neraca'!$A$3:$S$910,5,FALSE)),0,VLOOKUP($A793,'Mutasi Neraca'!$A$3:$S$910,5,FALSE))</f>
        <v>1202492642</v>
      </c>
      <c r="G793" s="42">
        <f>VLOOKUP($A793,'Neraca Unaudited SIMAK'!$A$2:$R$1272,6,FALSE)+IF(ISNA(VLOOKUP($A793,'Mutasi Neraca'!$A$3:$S$910,6,FALSE)),0,VLOOKUP($A793,'Mutasi Neraca'!$A$3:$S$910,6,FALSE))</f>
        <v>9502191950</v>
      </c>
      <c r="H793" s="42">
        <f>VLOOKUP($A793,'Neraca Unaudited SIMAK'!$A$2:$R$1272,7,FALSE)+IF(ISNA(VLOOKUP($A793,'Mutasi Neraca'!$A$3:$S$910,7,FALSE)),0,VLOOKUP($A793,'Mutasi Neraca'!$A$3:$S$910,7,FALSE))</f>
        <v>353590357</v>
      </c>
      <c r="I793" s="42">
        <f>VLOOKUP($A793,'Neraca Unaudited SIMAK'!$A$2:$R$1272,8,FALSE)+IF(ISNA(VLOOKUP($A793,'Mutasi Neraca'!$A$3:$S$910,8,FALSE)),0,VLOOKUP($A793,'Mutasi Neraca'!$A$3:$S$910,8,FALSE))</f>
        <v>19563080</v>
      </c>
      <c r="J793" s="42">
        <f>VLOOKUP($A793,'Neraca Unaudited SIMAK'!$A$2:$R$1272,9,FALSE)+IF(ISNA(VLOOKUP($A793,'Mutasi Neraca'!$A$3:$S$910,9,FALSE)),0,VLOOKUP($A793,'Mutasi Neraca'!$A$3:$S$910,9,FALSE))</f>
        <v>0</v>
      </c>
      <c r="K793" s="42">
        <f>VLOOKUP($A793,'Neraca Unaudited SIMAK'!$A$2:$R$1272,10,FALSE)+IF(ISNA(VLOOKUP($A793,'Mutasi Neraca'!$A$3:$S$910,10,FALSE)),0,VLOOKUP($A793,'Mutasi Neraca'!$A$3:$S$910,10,FALSE))</f>
        <v>0</v>
      </c>
      <c r="L793" s="42">
        <f>VLOOKUP($A793,'Neraca Unaudited SIMAK'!$A$2:$R$1272,11,FALSE)+IF(ISNA(VLOOKUP($A793,'Mutasi Neraca'!$A$3:$S$910,11,FALSE)),0,VLOOKUP($A793,'Mutasi Neraca'!$A$3:$S$910,11,FALSE))</f>
        <v>1732000</v>
      </c>
      <c r="M793" s="42">
        <f>VLOOKUP($A793,'Neraca Unaudited SIMAK'!$A$2:$R$1272,12,FALSE)+IF(ISNA(VLOOKUP($A793,'Mutasi Neraca'!$A$3:$S$910,12,FALSE)),0,VLOOKUP($A793,'Mutasi Neraca'!$A$3:$S$910,12,FALSE))</f>
        <v>14051041079</v>
      </c>
      <c r="N793" s="42">
        <f>VLOOKUP($A793,'Neraca Unaudited SIMAK'!$A$2:$R$1272,13,FALSE)+IF(ISNA(VLOOKUP($A793,'Mutasi Neraca'!$A$3:$S$910,13,FALSE)),0,VLOOKUP($A793,'Mutasi Neraca'!$A$3:$S$910,13,FALSE))</f>
        <v>-1038086522</v>
      </c>
      <c r="O793" s="42">
        <f>VLOOKUP($A793,'Neraca Unaudited SIMAK'!$A$2:$R$1272,14,FALSE)+IF(ISNA(VLOOKUP($A793,'Mutasi Neraca'!$A$3:$S$910,14,FALSE)),0,VLOOKUP($A793,'Mutasi Neraca'!$A$3:$S$910,14,FALSE))</f>
        <v>-370449182</v>
      </c>
      <c r="P793" s="42">
        <f>VLOOKUP($A793,'Neraca Unaudited SIMAK'!$A$2:$R$1272,15,FALSE)+IF(ISNA(VLOOKUP($A793,'Mutasi Neraca'!$A$3:$S$910,15,FALSE)),0,VLOOKUP($A793,'Mutasi Neraca'!$A$3:$S$910,15,FALSE))</f>
        <v>-60061693</v>
      </c>
      <c r="Q793" s="42">
        <f>VLOOKUP($A793,'Neraca Unaudited SIMAK'!$A$2:$R$1272,16,FALSE)+IF(ISNA(VLOOKUP($A793,'Mutasi Neraca'!$A$3:$S$910,16,FALSE)),0,VLOOKUP($A793,'Mutasi Neraca'!$A$3:$S$910,16,FALSE))</f>
        <v>0</v>
      </c>
      <c r="R793" s="42">
        <f>VLOOKUP($A793,'Neraca Unaudited SIMAK'!$A$2:$R$1272,17,FALSE)+IF(ISNA(VLOOKUP($A793,'Mutasi Neraca'!$A$3:$S$910,17,FALSE)),0,VLOOKUP($A793,'Mutasi Neraca'!$A$3:$S$910,17,FALSE))</f>
        <v>-1732000</v>
      </c>
      <c r="S793" s="42">
        <f t="shared" si="67"/>
        <v>12580711682</v>
      </c>
    </row>
    <row r="794" spans="1:19">
      <c r="A794" s="41" t="s">
        <v>801</v>
      </c>
      <c r="B794" s="41" t="str">
        <f t="shared" si="66"/>
        <v>005013100</v>
      </c>
      <c r="D794" s="42">
        <f>VLOOKUP($A794,'Neraca Unaudited SIMAK'!$A$2:$R$1272,3,FALSE)+IF(ISNA(VLOOKUP($A794,'Mutasi Neraca'!$A$3:$S$910,3,FALSE)),0,VLOOKUP($A794,'Mutasi Neraca'!$A$3:$S$910,3,FALSE))</f>
        <v>6691147</v>
      </c>
      <c r="E794" s="42">
        <f>VLOOKUP($A794,'Neraca Unaudited SIMAK'!$A$2:$R$1272,4,FALSE)+IF(ISNA(VLOOKUP($A794,'Mutasi Neraca'!$A$3:$S$910,4,FALSE)),0,VLOOKUP($A794,'Mutasi Neraca'!$A$3:$S$910,4,FALSE))</f>
        <v>3553661000</v>
      </c>
      <c r="F794" s="42">
        <f>VLOOKUP($A794,'Neraca Unaudited SIMAK'!$A$2:$R$1272,5,FALSE)+IF(ISNA(VLOOKUP($A794,'Mutasi Neraca'!$A$3:$S$910,5,FALSE)),0,VLOOKUP($A794,'Mutasi Neraca'!$A$3:$S$910,5,FALSE))</f>
        <v>2153843617</v>
      </c>
      <c r="G794" s="42">
        <f>VLOOKUP($A794,'Neraca Unaudited SIMAK'!$A$2:$R$1272,6,FALSE)+IF(ISNA(VLOOKUP($A794,'Mutasi Neraca'!$A$3:$S$910,6,FALSE)),0,VLOOKUP($A794,'Mutasi Neraca'!$A$3:$S$910,6,FALSE))</f>
        <v>8540787200</v>
      </c>
      <c r="H794" s="42">
        <f>VLOOKUP($A794,'Neraca Unaudited SIMAK'!$A$2:$R$1272,7,FALSE)+IF(ISNA(VLOOKUP($A794,'Mutasi Neraca'!$A$3:$S$910,7,FALSE)),0,VLOOKUP($A794,'Mutasi Neraca'!$A$3:$S$910,7,FALSE))</f>
        <v>0</v>
      </c>
      <c r="I794" s="42">
        <f>VLOOKUP($A794,'Neraca Unaudited SIMAK'!$A$2:$R$1272,8,FALSE)+IF(ISNA(VLOOKUP($A794,'Mutasi Neraca'!$A$3:$S$910,8,FALSE)),0,VLOOKUP($A794,'Mutasi Neraca'!$A$3:$S$910,8,FALSE))</f>
        <v>19542584</v>
      </c>
      <c r="J794" s="42">
        <f>VLOOKUP($A794,'Neraca Unaudited SIMAK'!$A$2:$R$1272,9,FALSE)+IF(ISNA(VLOOKUP($A794,'Mutasi Neraca'!$A$3:$S$910,9,FALSE)),0,VLOOKUP($A794,'Mutasi Neraca'!$A$3:$S$910,9,FALSE))</f>
        <v>0</v>
      </c>
      <c r="K794" s="42">
        <f>VLOOKUP($A794,'Neraca Unaudited SIMAK'!$A$2:$R$1272,10,FALSE)+IF(ISNA(VLOOKUP($A794,'Mutasi Neraca'!$A$3:$S$910,10,FALSE)),0,VLOOKUP($A794,'Mutasi Neraca'!$A$3:$S$910,10,FALSE))</f>
        <v>17000000</v>
      </c>
      <c r="L794" s="42">
        <f>VLOOKUP($A794,'Neraca Unaudited SIMAK'!$A$2:$R$1272,11,FALSE)+IF(ISNA(VLOOKUP($A794,'Mutasi Neraca'!$A$3:$S$910,11,FALSE)),0,VLOOKUP($A794,'Mutasi Neraca'!$A$3:$S$910,11,FALSE))</f>
        <v>4776000</v>
      </c>
      <c r="M794" s="42">
        <f>VLOOKUP($A794,'Neraca Unaudited SIMAK'!$A$2:$R$1272,12,FALSE)+IF(ISNA(VLOOKUP($A794,'Mutasi Neraca'!$A$3:$S$910,12,FALSE)),0,VLOOKUP($A794,'Mutasi Neraca'!$A$3:$S$910,12,FALSE))</f>
        <v>14296301548</v>
      </c>
      <c r="N794" s="42">
        <f>VLOOKUP($A794,'Neraca Unaudited SIMAK'!$A$2:$R$1272,13,FALSE)+IF(ISNA(VLOOKUP($A794,'Mutasi Neraca'!$A$3:$S$910,13,FALSE)),0,VLOOKUP($A794,'Mutasi Neraca'!$A$3:$S$910,13,FALSE))</f>
        <v>-1960998882</v>
      </c>
      <c r="O794" s="42">
        <f>VLOOKUP($A794,'Neraca Unaudited SIMAK'!$A$2:$R$1272,14,FALSE)+IF(ISNA(VLOOKUP($A794,'Mutasi Neraca'!$A$3:$S$910,14,FALSE)),0,VLOOKUP($A794,'Mutasi Neraca'!$A$3:$S$910,14,FALSE))</f>
        <v>-4476017523</v>
      </c>
      <c r="P794" s="42">
        <f>VLOOKUP($A794,'Neraca Unaudited SIMAK'!$A$2:$R$1272,15,FALSE)+IF(ISNA(VLOOKUP($A794,'Mutasi Neraca'!$A$3:$S$910,15,FALSE)),0,VLOOKUP($A794,'Mutasi Neraca'!$A$3:$S$910,15,FALSE))</f>
        <v>0</v>
      </c>
      <c r="Q794" s="42">
        <f>VLOOKUP($A794,'Neraca Unaudited SIMAK'!$A$2:$R$1272,16,FALSE)+IF(ISNA(VLOOKUP($A794,'Mutasi Neraca'!$A$3:$S$910,16,FALSE)),0,VLOOKUP($A794,'Mutasi Neraca'!$A$3:$S$910,16,FALSE))</f>
        <v>-14760000</v>
      </c>
      <c r="R794" s="42">
        <f>VLOOKUP($A794,'Neraca Unaudited SIMAK'!$A$2:$R$1272,17,FALSE)+IF(ISNA(VLOOKUP($A794,'Mutasi Neraca'!$A$3:$S$910,17,FALSE)),0,VLOOKUP($A794,'Mutasi Neraca'!$A$3:$S$910,17,FALSE))</f>
        <v>-4776000</v>
      </c>
      <c r="S794" s="42">
        <f t="shared" si="67"/>
        <v>7839749143</v>
      </c>
    </row>
    <row r="795" spans="1:19">
      <c r="A795" s="41" t="s">
        <v>802</v>
      </c>
      <c r="B795" s="41" t="str">
        <f t="shared" si="66"/>
        <v>005013100</v>
      </c>
      <c r="D795" s="42">
        <f>VLOOKUP($A795,'Neraca Unaudited SIMAK'!$A$2:$R$1272,3,FALSE)+IF(ISNA(VLOOKUP($A795,'Mutasi Neraca'!$A$3:$S$910,3,FALSE)),0,VLOOKUP($A795,'Mutasi Neraca'!$A$3:$S$910,3,FALSE))</f>
        <v>0</v>
      </c>
      <c r="E795" s="42">
        <f>VLOOKUP($A795,'Neraca Unaudited SIMAK'!$A$2:$R$1272,4,FALSE)+IF(ISNA(VLOOKUP($A795,'Mutasi Neraca'!$A$3:$S$910,4,FALSE)),0,VLOOKUP($A795,'Mutasi Neraca'!$A$3:$S$910,4,FALSE))</f>
        <v>606800000</v>
      </c>
      <c r="F795" s="42">
        <f>VLOOKUP($A795,'Neraca Unaudited SIMAK'!$A$2:$R$1272,5,FALSE)+IF(ISNA(VLOOKUP($A795,'Mutasi Neraca'!$A$3:$S$910,5,FALSE)),0,VLOOKUP($A795,'Mutasi Neraca'!$A$3:$S$910,5,FALSE))</f>
        <v>1684986216</v>
      </c>
      <c r="G795" s="42">
        <f>VLOOKUP($A795,'Neraca Unaudited SIMAK'!$A$2:$R$1272,6,FALSE)+IF(ISNA(VLOOKUP($A795,'Mutasi Neraca'!$A$3:$S$910,6,FALSE)),0,VLOOKUP($A795,'Mutasi Neraca'!$A$3:$S$910,6,FALSE))</f>
        <v>4954192800</v>
      </c>
      <c r="H795" s="42">
        <f>VLOOKUP($A795,'Neraca Unaudited SIMAK'!$A$2:$R$1272,7,FALSE)+IF(ISNA(VLOOKUP($A795,'Mutasi Neraca'!$A$3:$S$910,7,FALSE)),0,VLOOKUP($A795,'Mutasi Neraca'!$A$3:$S$910,7,FALSE))</f>
        <v>331340000</v>
      </c>
      <c r="I795" s="42">
        <f>VLOOKUP($A795,'Neraca Unaudited SIMAK'!$A$2:$R$1272,8,FALSE)+IF(ISNA(VLOOKUP($A795,'Mutasi Neraca'!$A$3:$S$910,8,FALSE)),0,VLOOKUP($A795,'Mutasi Neraca'!$A$3:$S$910,8,FALSE))</f>
        <v>62926000</v>
      </c>
      <c r="J795" s="42">
        <f>VLOOKUP($A795,'Neraca Unaudited SIMAK'!$A$2:$R$1272,9,FALSE)+IF(ISNA(VLOOKUP($A795,'Mutasi Neraca'!$A$3:$S$910,9,FALSE)),0,VLOOKUP($A795,'Mutasi Neraca'!$A$3:$S$910,9,FALSE))</f>
        <v>0</v>
      </c>
      <c r="K795" s="42">
        <f>VLOOKUP($A795,'Neraca Unaudited SIMAK'!$A$2:$R$1272,10,FALSE)+IF(ISNA(VLOOKUP($A795,'Mutasi Neraca'!$A$3:$S$910,10,FALSE)),0,VLOOKUP($A795,'Mutasi Neraca'!$A$3:$S$910,10,FALSE))</f>
        <v>0</v>
      </c>
      <c r="L795" s="42">
        <f>VLOOKUP($A795,'Neraca Unaudited SIMAK'!$A$2:$R$1272,11,FALSE)+IF(ISNA(VLOOKUP($A795,'Mutasi Neraca'!$A$3:$S$910,11,FALSE)),0,VLOOKUP($A795,'Mutasi Neraca'!$A$3:$S$910,11,FALSE))</f>
        <v>0</v>
      </c>
      <c r="M795" s="42">
        <f>VLOOKUP($A795,'Neraca Unaudited SIMAK'!$A$2:$R$1272,12,FALSE)+IF(ISNA(VLOOKUP($A795,'Mutasi Neraca'!$A$3:$S$910,12,FALSE)),0,VLOOKUP($A795,'Mutasi Neraca'!$A$3:$S$910,12,FALSE))</f>
        <v>7640245016</v>
      </c>
      <c r="N795" s="42">
        <f>VLOOKUP($A795,'Neraca Unaudited SIMAK'!$A$2:$R$1272,13,FALSE)+IF(ISNA(VLOOKUP($A795,'Mutasi Neraca'!$A$3:$S$910,13,FALSE)),0,VLOOKUP($A795,'Mutasi Neraca'!$A$3:$S$910,13,FALSE))</f>
        <v>-1210593955</v>
      </c>
      <c r="O795" s="42">
        <f>VLOOKUP($A795,'Neraca Unaudited SIMAK'!$A$2:$R$1272,14,FALSE)+IF(ISNA(VLOOKUP($A795,'Mutasi Neraca'!$A$3:$S$910,14,FALSE)),0,VLOOKUP($A795,'Mutasi Neraca'!$A$3:$S$910,14,FALSE))</f>
        <v>-378707192</v>
      </c>
      <c r="P795" s="42">
        <f>VLOOKUP($A795,'Neraca Unaudited SIMAK'!$A$2:$R$1272,15,FALSE)+IF(ISNA(VLOOKUP($A795,'Mutasi Neraca'!$A$3:$S$910,15,FALSE)),0,VLOOKUP($A795,'Mutasi Neraca'!$A$3:$S$910,15,FALSE))</f>
        <v>-49822046</v>
      </c>
      <c r="Q795" s="42">
        <f>VLOOKUP($A795,'Neraca Unaudited SIMAK'!$A$2:$R$1272,16,FALSE)+IF(ISNA(VLOOKUP($A795,'Mutasi Neraca'!$A$3:$S$910,16,FALSE)),0,VLOOKUP($A795,'Mutasi Neraca'!$A$3:$S$910,16,FALSE))</f>
        <v>0</v>
      </c>
      <c r="R795" s="42">
        <f>VLOOKUP($A795,'Neraca Unaudited SIMAK'!$A$2:$R$1272,17,FALSE)+IF(ISNA(VLOOKUP($A795,'Mutasi Neraca'!$A$3:$S$910,17,FALSE)),0,VLOOKUP($A795,'Mutasi Neraca'!$A$3:$S$910,17,FALSE))</f>
        <v>0</v>
      </c>
      <c r="S795" s="42">
        <f t="shared" si="67"/>
        <v>6001121823</v>
      </c>
    </row>
    <row r="796" spans="1:19">
      <c r="A796" s="41" t="s">
        <v>803</v>
      </c>
      <c r="B796" s="41" t="str">
        <f t="shared" si="66"/>
        <v>005013100</v>
      </c>
      <c r="D796" s="42">
        <f>VLOOKUP($A796,'Neraca Unaudited SIMAK'!$A$2:$R$1272,3,FALSE)+IF(ISNA(VLOOKUP($A796,'Mutasi Neraca'!$A$3:$S$910,3,FALSE)),0,VLOOKUP($A796,'Mutasi Neraca'!$A$3:$S$910,3,FALSE))</f>
        <v>201500</v>
      </c>
      <c r="E796" s="42">
        <f>VLOOKUP($A796,'Neraca Unaudited SIMAK'!$A$2:$R$1272,4,FALSE)+IF(ISNA(VLOOKUP($A796,'Mutasi Neraca'!$A$3:$S$910,4,FALSE)),0,VLOOKUP($A796,'Mutasi Neraca'!$A$3:$S$910,4,FALSE))</f>
        <v>1796595000</v>
      </c>
      <c r="F796" s="42">
        <f>VLOOKUP($A796,'Neraca Unaudited SIMAK'!$A$2:$R$1272,5,FALSE)+IF(ISNA(VLOOKUP($A796,'Mutasi Neraca'!$A$3:$S$910,5,FALSE)),0,VLOOKUP($A796,'Mutasi Neraca'!$A$3:$S$910,5,FALSE))</f>
        <v>3224219551</v>
      </c>
      <c r="G796" s="42">
        <f>VLOOKUP($A796,'Neraca Unaudited SIMAK'!$A$2:$R$1272,6,FALSE)+IF(ISNA(VLOOKUP($A796,'Mutasi Neraca'!$A$3:$S$910,6,FALSE)),0,VLOOKUP($A796,'Mutasi Neraca'!$A$3:$S$910,6,FALSE))</f>
        <v>13269173212</v>
      </c>
      <c r="H796" s="42">
        <f>VLOOKUP($A796,'Neraca Unaudited SIMAK'!$A$2:$R$1272,7,FALSE)+IF(ISNA(VLOOKUP($A796,'Mutasi Neraca'!$A$3:$S$910,7,FALSE)),0,VLOOKUP($A796,'Mutasi Neraca'!$A$3:$S$910,7,FALSE))</f>
        <v>453550000</v>
      </c>
      <c r="I796" s="42">
        <f>VLOOKUP($A796,'Neraca Unaudited SIMAK'!$A$2:$R$1272,8,FALSE)+IF(ISNA(VLOOKUP($A796,'Mutasi Neraca'!$A$3:$S$910,8,FALSE)),0,VLOOKUP($A796,'Mutasi Neraca'!$A$3:$S$910,8,FALSE))</f>
        <v>44279370</v>
      </c>
      <c r="J796" s="42">
        <f>VLOOKUP($A796,'Neraca Unaudited SIMAK'!$A$2:$R$1272,9,FALSE)+IF(ISNA(VLOOKUP($A796,'Mutasi Neraca'!$A$3:$S$910,9,FALSE)),0,VLOOKUP($A796,'Mutasi Neraca'!$A$3:$S$910,9,FALSE))</f>
        <v>0</v>
      </c>
      <c r="K796" s="42">
        <f>VLOOKUP($A796,'Neraca Unaudited SIMAK'!$A$2:$R$1272,10,FALSE)+IF(ISNA(VLOOKUP($A796,'Mutasi Neraca'!$A$3:$S$910,10,FALSE)),0,VLOOKUP($A796,'Mutasi Neraca'!$A$3:$S$910,10,FALSE))</f>
        <v>19655000</v>
      </c>
      <c r="L796" s="42">
        <f>VLOOKUP($A796,'Neraca Unaudited SIMAK'!$A$2:$R$1272,11,FALSE)+IF(ISNA(VLOOKUP($A796,'Mutasi Neraca'!$A$3:$S$910,11,FALSE)),0,VLOOKUP($A796,'Mutasi Neraca'!$A$3:$S$910,11,FALSE))</f>
        <v>412379000</v>
      </c>
      <c r="M796" s="42">
        <f>VLOOKUP($A796,'Neraca Unaudited SIMAK'!$A$2:$R$1272,12,FALSE)+IF(ISNA(VLOOKUP($A796,'Mutasi Neraca'!$A$3:$S$910,12,FALSE)),0,VLOOKUP($A796,'Mutasi Neraca'!$A$3:$S$910,12,FALSE))</f>
        <v>19220052633</v>
      </c>
      <c r="N796" s="42">
        <f>VLOOKUP($A796,'Neraca Unaudited SIMAK'!$A$2:$R$1272,13,FALSE)+IF(ISNA(VLOOKUP($A796,'Mutasi Neraca'!$A$3:$S$910,13,FALSE)),0,VLOOKUP($A796,'Mutasi Neraca'!$A$3:$S$910,13,FALSE))</f>
        <v>-2736728077</v>
      </c>
      <c r="O796" s="42">
        <f>VLOOKUP($A796,'Neraca Unaudited SIMAK'!$A$2:$R$1272,14,FALSE)+IF(ISNA(VLOOKUP($A796,'Mutasi Neraca'!$A$3:$S$910,14,FALSE)),0,VLOOKUP($A796,'Mutasi Neraca'!$A$3:$S$910,14,FALSE))</f>
        <v>-1609653098</v>
      </c>
      <c r="P796" s="42">
        <f>VLOOKUP($A796,'Neraca Unaudited SIMAK'!$A$2:$R$1272,15,FALSE)+IF(ISNA(VLOOKUP($A796,'Mutasi Neraca'!$A$3:$S$910,15,FALSE)),0,VLOOKUP($A796,'Mutasi Neraca'!$A$3:$S$910,15,FALSE))</f>
        <v>-154945000</v>
      </c>
      <c r="Q796" s="42">
        <f>VLOOKUP($A796,'Neraca Unaudited SIMAK'!$A$2:$R$1272,16,FALSE)+IF(ISNA(VLOOKUP($A796,'Mutasi Neraca'!$A$3:$S$910,16,FALSE)),0,VLOOKUP($A796,'Mutasi Neraca'!$A$3:$S$910,16,FALSE))</f>
        <v>0</v>
      </c>
      <c r="R796" s="42">
        <f>VLOOKUP($A796,'Neraca Unaudited SIMAK'!$A$2:$R$1272,17,FALSE)+IF(ISNA(VLOOKUP($A796,'Mutasi Neraca'!$A$3:$S$910,17,FALSE)),0,VLOOKUP($A796,'Mutasi Neraca'!$A$3:$S$910,17,FALSE))</f>
        <v>-412379000</v>
      </c>
      <c r="S796" s="42">
        <f t="shared" si="67"/>
        <v>14306347458</v>
      </c>
    </row>
    <row r="797" spans="1:19">
      <c r="A797" s="41" t="s">
        <v>804</v>
      </c>
      <c r="B797" s="41" t="str">
        <f t="shared" si="66"/>
        <v>005013100</v>
      </c>
      <c r="D797" s="42">
        <f>VLOOKUP($A797,'Neraca Unaudited SIMAK'!$A$2:$R$1272,3,FALSE)+IF(ISNA(VLOOKUP($A797,'Mutasi Neraca'!$A$3:$S$910,3,FALSE)),0,VLOOKUP($A797,'Mutasi Neraca'!$A$3:$S$910,3,FALSE))</f>
        <v>1066025</v>
      </c>
      <c r="E797" s="42">
        <f>VLOOKUP($A797,'Neraca Unaudited SIMAK'!$A$2:$R$1272,4,FALSE)+IF(ISNA(VLOOKUP($A797,'Mutasi Neraca'!$A$3:$S$910,4,FALSE)),0,VLOOKUP($A797,'Mutasi Neraca'!$A$3:$S$910,4,FALSE))</f>
        <v>310649777</v>
      </c>
      <c r="F797" s="42">
        <f>VLOOKUP($A797,'Neraca Unaudited SIMAK'!$A$2:$R$1272,5,FALSE)+IF(ISNA(VLOOKUP($A797,'Mutasi Neraca'!$A$3:$S$910,5,FALSE)),0,VLOOKUP($A797,'Mutasi Neraca'!$A$3:$S$910,5,FALSE))</f>
        <v>2000430843</v>
      </c>
      <c r="G797" s="42">
        <f>VLOOKUP($A797,'Neraca Unaudited SIMAK'!$A$2:$R$1272,6,FALSE)+IF(ISNA(VLOOKUP($A797,'Mutasi Neraca'!$A$3:$S$910,6,FALSE)),0,VLOOKUP($A797,'Mutasi Neraca'!$A$3:$S$910,6,FALSE))</f>
        <v>5508616063</v>
      </c>
      <c r="H797" s="42">
        <f>VLOOKUP($A797,'Neraca Unaudited SIMAK'!$A$2:$R$1272,7,FALSE)+IF(ISNA(VLOOKUP($A797,'Mutasi Neraca'!$A$3:$S$910,7,FALSE)),0,VLOOKUP($A797,'Mutasi Neraca'!$A$3:$S$910,7,FALSE))</f>
        <v>238712000</v>
      </c>
      <c r="I797" s="42">
        <f>VLOOKUP($A797,'Neraca Unaudited SIMAK'!$A$2:$R$1272,8,FALSE)+IF(ISNA(VLOOKUP($A797,'Mutasi Neraca'!$A$3:$S$910,8,FALSE)),0,VLOOKUP($A797,'Mutasi Neraca'!$A$3:$S$910,8,FALSE))</f>
        <v>5854570</v>
      </c>
      <c r="J797" s="42">
        <f>VLOOKUP($A797,'Neraca Unaudited SIMAK'!$A$2:$R$1272,9,FALSE)+IF(ISNA(VLOOKUP($A797,'Mutasi Neraca'!$A$3:$S$910,9,FALSE)),0,VLOOKUP($A797,'Mutasi Neraca'!$A$3:$S$910,9,FALSE))</f>
        <v>0</v>
      </c>
      <c r="K797" s="42">
        <f>VLOOKUP($A797,'Neraca Unaudited SIMAK'!$A$2:$R$1272,10,FALSE)+IF(ISNA(VLOOKUP($A797,'Mutasi Neraca'!$A$3:$S$910,10,FALSE)),0,VLOOKUP($A797,'Mutasi Neraca'!$A$3:$S$910,10,FALSE))</f>
        <v>0</v>
      </c>
      <c r="L797" s="42">
        <f>VLOOKUP($A797,'Neraca Unaudited SIMAK'!$A$2:$R$1272,11,FALSE)+IF(ISNA(VLOOKUP($A797,'Mutasi Neraca'!$A$3:$S$910,11,FALSE)),0,VLOOKUP($A797,'Mutasi Neraca'!$A$3:$S$910,11,FALSE))</f>
        <v>243526231</v>
      </c>
      <c r="M797" s="42">
        <f>VLOOKUP($A797,'Neraca Unaudited SIMAK'!$A$2:$R$1272,12,FALSE)+IF(ISNA(VLOOKUP($A797,'Mutasi Neraca'!$A$3:$S$910,12,FALSE)),0,VLOOKUP($A797,'Mutasi Neraca'!$A$3:$S$910,12,FALSE))</f>
        <v>8308855509</v>
      </c>
      <c r="N797" s="42">
        <f>VLOOKUP($A797,'Neraca Unaudited SIMAK'!$A$2:$R$1272,13,FALSE)+IF(ISNA(VLOOKUP($A797,'Mutasi Neraca'!$A$3:$S$910,13,FALSE)),0,VLOOKUP($A797,'Mutasi Neraca'!$A$3:$S$910,13,FALSE))</f>
        <v>-1477485506</v>
      </c>
      <c r="O797" s="42">
        <f>VLOOKUP($A797,'Neraca Unaudited SIMAK'!$A$2:$R$1272,14,FALSE)+IF(ISNA(VLOOKUP($A797,'Mutasi Neraca'!$A$3:$S$910,14,FALSE)),0,VLOOKUP($A797,'Mutasi Neraca'!$A$3:$S$910,14,FALSE))</f>
        <v>-843987462</v>
      </c>
      <c r="P797" s="42">
        <f>VLOOKUP($A797,'Neraca Unaudited SIMAK'!$A$2:$R$1272,15,FALSE)+IF(ISNA(VLOOKUP($A797,'Mutasi Neraca'!$A$3:$S$910,15,FALSE)),0,VLOOKUP($A797,'Mutasi Neraca'!$A$3:$S$910,15,FALSE))</f>
        <v>-186381614</v>
      </c>
      <c r="Q797" s="42">
        <f>VLOOKUP($A797,'Neraca Unaudited SIMAK'!$A$2:$R$1272,16,FALSE)+IF(ISNA(VLOOKUP($A797,'Mutasi Neraca'!$A$3:$S$910,16,FALSE)),0,VLOOKUP($A797,'Mutasi Neraca'!$A$3:$S$910,16,FALSE))</f>
        <v>0</v>
      </c>
      <c r="R797" s="42">
        <f>VLOOKUP($A797,'Neraca Unaudited SIMAK'!$A$2:$R$1272,17,FALSE)+IF(ISNA(VLOOKUP($A797,'Mutasi Neraca'!$A$3:$S$910,17,FALSE)),0,VLOOKUP($A797,'Mutasi Neraca'!$A$3:$S$910,17,FALSE))</f>
        <v>-165755926</v>
      </c>
      <c r="S797" s="42">
        <f t="shared" si="67"/>
        <v>5635245001</v>
      </c>
    </row>
    <row r="798" spans="1:19">
      <c r="A798" s="41" t="s">
        <v>805</v>
      </c>
      <c r="B798" s="41" t="str">
        <f t="shared" si="66"/>
        <v>005013100</v>
      </c>
      <c r="D798" s="42">
        <f>VLOOKUP($A798,'Neraca Unaudited SIMAK'!$A$2:$R$1272,3,FALSE)+IF(ISNA(VLOOKUP($A798,'Mutasi Neraca'!$A$3:$S$910,3,FALSE)),0,VLOOKUP($A798,'Mutasi Neraca'!$A$3:$S$910,3,FALSE))</f>
        <v>7523869</v>
      </c>
      <c r="E798" s="42">
        <f>VLOOKUP($A798,'Neraca Unaudited SIMAK'!$A$2:$R$1272,4,FALSE)+IF(ISNA(VLOOKUP($A798,'Mutasi Neraca'!$A$3:$S$910,4,FALSE)),0,VLOOKUP($A798,'Mutasi Neraca'!$A$3:$S$910,4,FALSE))</f>
        <v>148000000</v>
      </c>
      <c r="F798" s="42">
        <f>VLOOKUP($A798,'Neraca Unaudited SIMAK'!$A$2:$R$1272,5,FALSE)+IF(ISNA(VLOOKUP($A798,'Mutasi Neraca'!$A$3:$S$910,5,FALSE)),0,VLOOKUP($A798,'Mutasi Neraca'!$A$3:$S$910,5,FALSE))</f>
        <v>1206264976</v>
      </c>
      <c r="G798" s="42">
        <f>VLOOKUP($A798,'Neraca Unaudited SIMAK'!$A$2:$R$1272,6,FALSE)+IF(ISNA(VLOOKUP($A798,'Mutasi Neraca'!$A$3:$S$910,6,FALSE)),0,VLOOKUP($A798,'Mutasi Neraca'!$A$3:$S$910,6,FALSE))</f>
        <v>5718770399</v>
      </c>
      <c r="H798" s="42">
        <f>VLOOKUP($A798,'Neraca Unaudited SIMAK'!$A$2:$R$1272,7,FALSE)+IF(ISNA(VLOOKUP($A798,'Mutasi Neraca'!$A$3:$S$910,7,FALSE)),0,VLOOKUP($A798,'Mutasi Neraca'!$A$3:$S$910,7,FALSE))</f>
        <v>25370000</v>
      </c>
      <c r="I798" s="42">
        <f>VLOOKUP($A798,'Neraca Unaudited SIMAK'!$A$2:$R$1272,8,FALSE)+IF(ISNA(VLOOKUP($A798,'Mutasi Neraca'!$A$3:$S$910,8,FALSE)),0,VLOOKUP($A798,'Mutasi Neraca'!$A$3:$S$910,8,FALSE))</f>
        <v>438000</v>
      </c>
      <c r="J798" s="42">
        <f>VLOOKUP($A798,'Neraca Unaudited SIMAK'!$A$2:$R$1272,9,FALSE)+IF(ISNA(VLOOKUP($A798,'Mutasi Neraca'!$A$3:$S$910,9,FALSE)),0,VLOOKUP($A798,'Mutasi Neraca'!$A$3:$S$910,9,FALSE))</f>
        <v>0</v>
      </c>
      <c r="K798" s="42">
        <f>VLOOKUP($A798,'Neraca Unaudited SIMAK'!$A$2:$R$1272,10,FALSE)+IF(ISNA(VLOOKUP($A798,'Mutasi Neraca'!$A$3:$S$910,10,FALSE)),0,VLOOKUP($A798,'Mutasi Neraca'!$A$3:$S$910,10,FALSE))</f>
        <v>0</v>
      </c>
      <c r="L798" s="42">
        <f>VLOOKUP($A798,'Neraca Unaudited SIMAK'!$A$2:$R$1272,11,FALSE)+IF(ISNA(VLOOKUP($A798,'Mutasi Neraca'!$A$3:$S$910,11,FALSE)),0,VLOOKUP($A798,'Mutasi Neraca'!$A$3:$S$910,11,FALSE))</f>
        <v>29100000</v>
      </c>
      <c r="M798" s="42">
        <f>VLOOKUP($A798,'Neraca Unaudited SIMAK'!$A$2:$R$1272,12,FALSE)+IF(ISNA(VLOOKUP($A798,'Mutasi Neraca'!$A$3:$S$910,12,FALSE)),0,VLOOKUP($A798,'Mutasi Neraca'!$A$3:$S$910,12,FALSE))</f>
        <v>7135467244</v>
      </c>
      <c r="N798" s="42">
        <f>VLOOKUP($A798,'Neraca Unaudited SIMAK'!$A$2:$R$1272,13,FALSE)+IF(ISNA(VLOOKUP($A798,'Mutasi Neraca'!$A$3:$S$910,13,FALSE)),0,VLOOKUP($A798,'Mutasi Neraca'!$A$3:$S$910,13,FALSE))</f>
        <v>-994837044</v>
      </c>
      <c r="O798" s="42">
        <f>VLOOKUP($A798,'Neraca Unaudited SIMAK'!$A$2:$R$1272,14,FALSE)+IF(ISNA(VLOOKUP($A798,'Mutasi Neraca'!$A$3:$S$910,14,FALSE)),0,VLOOKUP($A798,'Mutasi Neraca'!$A$3:$S$910,14,FALSE))</f>
        <v>-456048923</v>
      </c>
      <c r="P798" s="42">
        <f>VLOOKUP($A798,'Neraca Unaudited SIMAK'!$A$2:$R$1272,15,FALSE)+IF(ISNA(VLOOKUP($A798,'Mutasi Neraca'!$A$3:$S$910,15,FALSE)),0,VLOOKUP($A798,'Mutasi Neraca'!$A$3:$S$910,15,FALSE))</f>
        <v>-25370000</v>
      </c>
      <c r="Q798" s="42">
        <f>VLOOKUP($A798,'Neraca Unaudited SIMAK'!$A$2:$R$1272,16,FALSE)+IF(ISNA(VLOOKUP($A798,'Mutasi Neraca'!$A$3:$S$910,16,FALSE)),0,VLOOKUP($A798,'Mutasi Neraca'!$A$3:$S$910,16,FALSE))</f>
        <v>0</v>
      </c>
      <c r="R798" s="42">
        <f>VLOOKUP($A798,'Neraca Unaudited SIMAK'!$A$2:$R$1272,17,FALSE)+IF(ISNA(VLOOKUP($A798,'Mutasi Neraca'!$A$3:$S$910,17,FALSE)),0,VLOOKUP($A798,'Mutasi Neraca'!$A$3:$S$910,17,FALSE))</f>
        <v>-29100000</v>
      </c>
      <c r="S798" s="42">
        <f t="shared" si="67"/>
        <v>5630111277</v>
      </c>
    </row>
    <row r="799" spans="1:19">
      <c r="A799" s="41" t="s">
        <v>806</v>
      </c>
      <c r="B799" s="41" t="str">
        <f t="shared" si="66"/>
        <v>005013100</v>
      </c>
      <c r="D799" s="42">
        <f>VLOOKUP($A799,'Neraca Unaudited SIMAK'!$A$2:$R$1272,3,FALSE)+IF(ISNA(VLOOKUP($A799,'Mutasi Neraca'!$A$3:$S$910,3,FALSE)),0,VLOOKUP($A799,'Mutasi Neraca'!$A$3:$S$910,3,FALSE))</f>
        <v>6313180</v>
      </c>
      <c r="E799" s="42">
        <f>VLOOKUP($A799,'Neraca Unaudited SIMAK'!$A$2:$R$1272,4,FALSE)+IF(ISNA(VLOOKUP($A799,'Mutasi Neraca'!$A$3:$S$910,4,FALSE)),0,VLOOKUP($A799,'Mutasi Neraca'!$A$3:$S$910,4,FALSE))</f>
        <v>2939867975</v>
      </c>
      <c r="F799" s="42">
        <f>VLOOKUP($A799,'Neraca Unaudited SIMAK'!$A$2:$R$1272,5,FALSE)+IF(ISNA(VLOOKUP($A799,'Mutasi Neraca'!$A$3:$S$910,5,FALSE)),0,VLOOKUP($A799,'Mutasi Neraca'!$A$3:$S$910,5,FALSE))</f>
        <v>3215352101</v>
      </c>
      <c r="G799" s="42">
        <f>VLOOKUP($A799,'Neraca Unaudited SIMAK'!$A$2:$R$1272,6,FALSE)+IF(ISNA(VLOOKUP($A799,'Mutasi Neraca'!$A$3:$S$910,6,FALSE)),0,VLOOKUP($A799,'Mutasi Neraca'!$A$3:$S$910,6,FALSE))</f>
        <v>14551535800</v>
      </c>
      <c r="H799" s="42">
        <f>VLOOKUP($A799,'Neraca Unaudited SIMAK'!$A$2:$R$1272,7,FALSE)+IF(ISNA(VLOOKUP($A799,'Mutasi Neraca'!$A$3:$S$910,7,FALSE)),0,VLOOKUP($A799,'Mutasi Neraca'!$A$3:$S$910,7,FALSE))</f>
        <v>485917000</v>
      </c>
      <c r="I799" s="42">
        <f>VLOOKUP($A799,'Neraca Unaudited SIMAK'!$A$2:$R$1272,8,FALSE)+IF(ISNA(VLOOKUP($A799,'Mutasi Neraca'!$A$3:$S$910,8,FALSE)),0,VLOOKUP($A799,'Mutasi Neraca'!$A$3:$S$910,8,FALSE))</f>
        <v>23086876</v>
      </c>
      <c r="J799" s="42">
        <f>VLOOKUP($A799,'Neraca Unaudited SIMAK'!$A$2:$R$1272,9,FALSE)+IF(ISNA(VLOOKUP($A799,'Mutasi Neraca'!$A$3:$S$910,9,FALSE)),0,VLOOKUP($A799,'Mutasi Neraca'!$A$3:$S$910,9,FALSE))</f>
        <v>0</v>
      </c>
      <c r="K799" s="42">
        <f>VLOOKUP($A799,'Neraca Unaudited SIMAK'!$A$2:$R$1272,10,FALSE)+IF(ISNA(VLOOKUP($A799,'Mutasi Neraca'!$A$3:$S$910,10,FALSE)),0,VLOOKUP($A799,'Mutasi Neraca'!$A$3:$S$910,10,FALSE))</f>
        <v>29985000</v>
      </c>
      <c r="L799" s="42">
        <f>VLOOKUP($A799,'Neraca Unaudited SIMAK'!$A$2:$R$1272,11,FALSE)+IF(ISNA(VLOOKUP($A799,'Mutasi Neraca'!$A$3:$S$910,11,FALSE)),0,VLOOKUP($A799,'Mutasi Neraca'!$A$3:$S$910,11,FALSE))</f>
        <v>0</v>
      </c>
      <c r="M799" s="42">
        <f>VLOOKUP($A799,'Neraca Unaudited SIMAK'!$A$2:$R$1272,12,FALSE)+IF(ISNA(VLOOKUP($A799,'Mutasi Neraca'!$A$3:$S$910,12,FALSE)),0,VLOOKUP($A799,'Mutasi Neraca'!$A$3:$S$910,12,FALSE))</f>
        <v>21252057932</v>
      </c>
      <c r="N799" s="42">
        <f>VLOOKUP($A799,'Neraca Unaudited SIMAK'!$A$2:$R$1272,13,FALSE)+IF(ISNA(VLOOKUP($A799,'Mutasi Neraca'!$A$3:$S$910,13,FALSE)),0,VLOOKUP($A799,'Mutasi Neraca'!$A$3:$S$910,13,FALSE))</f>
        <v>-2914173007</v>
      </c>
      <c r="O799" s="42">
        <f>VLOOKUP($A799,'Neraca Unaudited SIMAK'!$A$2:$R$1272,14,FALSE)+IF(ISNA(VLOOKUP($A799,'Mutasi Neraca'!$A$3:$S$910,14,FALSE)),0,VLOOKUP($A799,'Mutasi Neraca'!$A$3:$S$910,14,FALSE))</f>
        <v>-1694234279</v>
      </c>
      <c r="P799" s="42">
        <f>VLOOKUP($A799,'Neraca Unaudited SIMAK'!$A$2:$R$1272,15,FALSE)+IF(ISNA(VLOOKUP($A799,'Mutasi Neraca'!$A$3:$S$910,15,FALSE)),0,VLOOKUP($A799,'Mutasi Neraca'!$A$3:$S$910,15,FALSE))</f>
        <v>-205460375</v>
      </c>
      <c r="Q799" s="42">
        <f>VLOOKUP($A799,'Neraca Unaudited SIMAK'!$A$2:$R$1272,16,FALSE)+IF(ISNA(VLOOKUP($A799,'Mutasi Neraca'!$A$3:$S$910,16,FALSE)),0,VLOOKUP($A799,'Mutasi Neraca'!$A$3:$S$910,16,FALSE))</f>
        <v>-13552000</v>
      </c>
      <c r="R799" s="42">
        <f>VLOOKUP($A799,'Neraca Unaudited SIMAK'!$A$2:$R$1272,17,FALSE)+IF(ISNA(VLOOKUP($A799,'Mutasi Neraca'!$A$3:$S$910,17,FALSE)),0,VLOOKUP($A799,'Mutasi Neraca'!$A$3:$S$910,17,FALSE))</f>
        <v>0</v>
      </c>
      <c r="S799" s="42">
        <f t="shared" si="67"/>
        <v>16424638271</v>
      </c>
    </row>
    <row r="800" spans="1:19">
      <c r="A800" s="41" t="s">
        <v>807</v>
      </c>
      <c r="B800" s="41" t="str">
        <f t="shared" si="66"/>
        <v>005013100</v>
      </c>
      <c r="D800" s="42">
        <f>VLOOKUP($A800,'Neraca Unaudited SIMAK'!$A$2:$R$1272,3,FALSE)+IF(ISNA(VLOOKUP($A800,'Mutasi Neraca'!$A$3:$S$910,3,FALSE)),0,VLOOKUP($A800,'Mutasi Neraca'!$A$3:$S$910,3,FALSE))</f>
        <v>1810750</v>
      </c>
      <c r="E800" s="42">
        <f>VLOOKUP($A800,'Neraca Unaudited SIMAK'!$A$2:$R$1272,4,FALSE)+IF(ISNA(VLOOKUP($A800,'Mutasi Neraca'!$A$3:$S$910,4,FALSE)),0,VLOOKUP($A800,'Mutasi Neraca'!$A$3:$S$910,4,FALSE))</f>
        <v>1313228000</v>
      </c>
      <c r="F800" s="42">
        <f>VLOOKUP($A800,'Neraca Unaudited SIMAK'!$A$2:$R$1272,5,FALSE)+IF(ISNA(VLOOKUP($A800,'Mutasi Neraca'!$A$3:$S$910,5,FALSE)),0,VLOOKUP($A800,'Mutasi Neraca'!$A$3:$S$910,5,FALSE))</f>
        <v>2509338731</v>
      </c>
      <c r="G800" s="42">
        <f>VLOOKUP($A800,'Neraca Unaudited SIMAK'!$A$2:$R$1272,6,FALSE)+IF(ISNA(VLOOKUP($A800,'Mutasi Neraca'!$A$3:$S$910,6,FALSE)),0,VLOOKUP($A800,'Mutasi Neraca'!$A$3:$S$910,6,FALSE))</f>
        <v>7676043351</v>
      </c>
      <c r="H800" s="42">
        <f>VLOOKUP($A800,'Neraca Unaudited SIMAK'!$A$2:$R$1272,7,FALSE)+IF(ISNA(VLOOKUP($A800,'Mutasi Neraca'!$A$3:$S$910,7,FALSE)),0,VLOOKUP($A800,'Mutasi Neraca'!$A$3:$S$910,7,FALSE))</f>
        <v>25000000</v>
      </c>
      <c r="I800" s="42">
        <f>VLOOKUP($A800,'Neraca Unaudited SIMAK'!$A$2:$R$1272,8,FALSE)+IF(ISNA(VLOOKUP($A800,'Mutasi Neraca'!$A$3:$S$910,8,FALSE)),0,VLOOKUP($A800,'Mutasi Neraca'!$A$3:$S$910,8,FALSE))</f>
        <v>0</v>
      </c>
      <c r="J800" s="42">
        <f>VLOOKUP($A800,'Neraca Unaudited SIMAK'!$A$2:$R$1272,9,FALSE)+IF(ISNA(VLOOKUP($A800,'Mutasi Neraca'!$A$3:$S$910,9,FALSE)),0,VLOOKUP($A800,'Mutasi Neraca'!$A$3:$S$910,9,FALSE))</f>
        <v>0</v>
      </c>
      <c r="K800" s="42">
        <f>VLOOKUP($A800,'Neraca Unaudited SIMAK'!$A$2:$R$1272,10,FALSE)+IF(ISNA(VLOOKUP($A800,'Mutasi Neraca'!$A$3:$S$910,10,FALSE)),0,VLOOKUP($A800,'Mutasi Neraca'!$A$3:$S$910,10,FALSE))</f>
        <v>0</v>
      </c>
      <c r="L800" s="42">
        <f>VLOOKUP($A800,'Neraca Unaudited SIMAK'!$A$2:$R$1272,11,FALSE)+IF(ISNA(VLOOKUP($A800,'Mutasi Neraca'!$A$3:$S$910,11,FALSE)),0,VLOOKUP($A800,'Mutasi Neraca'!$A$3:$S$910,11,FALSE))</f>
        <v>0</v>
      </c>
      <c r="M800" s="42">
        <f>VLOOKUP($A800,'Neraca Unaudited SIMAK'!$A$2:$R$1272,12,FALSE)+IF(ISNA(VLOOKUP($A800,'Mutasi Neraca'!$A$3:$S$910,12,FALSE)),0,VLOOKUP($A800,'Mutasi Neraca'!$A$3:$S$910,12,FALSE))</f>
        <v>11525420832</v>
      </c>
      <c r="N800" s="42">
        <f>VLOOKUP($A800,'Neraca Unaudited SIMAK'!$A$2:$R$1272,13,FALSE)+IF(ISNA(VLOOKUP($A800,'Mutasi Neraca'!$A$3:$S$910,13,FALSE)),0,VLOOKUP($A800,'Mutasi Neraca'!$A$3:$S$910,13,FALSE))</f>
        <v>-2105853960</v>
      </c>
      <c r="O800" s="42">
        <f>VLOOKUP($A800,'Neraca Unaudited SIMAK'!$A$2:$R$1272,14,FALSE)+IF(ISNA(VLOOKUP($A800,'Mutasi Neraca'!$A$3:$S$910,14,FALSE)),0,VLOOKUP($A800,'Mutasi Neraca'!$A$3:$S$910,14,FALSE))</f>
        <v>-794789401</v>
      </c>
      <c r="P800" s="42">
        <f>VLOOKUP($A800,'Neraca Unaudited SIMAK'!$A$2:$R$1272,15,FALSE)+IF(ISNA(VLOOKUP($A800,'Mutasi Neraca'!$A$3:$S$910,15,FALSE)),0,VLOOKUP($A800,'Mutasi Neraca'!$A$3:$S$910,15,FALSE))</f>
        <v>-312500</v>
      </c>
      <c r="Q800" s="42">
        <f>VLOOKUP($A800,'Neraca Unaudited SIMAK'!$A$2:$R$1272,16,FALSE)+IF(ISNA(VLOOKUP($A800,'Mutasi Neraca'!$A$3:$S$910,16,FALSE)),0,VLOOKUP($A800,'Mutasi Neraca'!$A$3:$S$910,16,FALSE))</f>
        <v>0</v>
      </c>
      <c r="R800" s="42">
        <f>VLOOKUP($A800,'Neraca Unaudited SIMAK'!$A$2:$R$1272,17,FALSE)+IF(ISNA(VLOOKUP($A800,'Mutasi Neraca'!$A$3:$S$910,17,FALSE)),0,VLOOKUP($A800,'Mutasi Neraca'!$A$3:$S$910,17,FALSE))</f>
        <v>0</v>
      </c>
      <c r="S800" s="42">
        <f t="shared" si="67"/>
        <v>8624464971</v>
      </c>
    </row>
    <row r="801" spans="1:19">
      <c r="A801" s="41" t="s">
        <v>808</v>
      </c>
      <c r="B801" s="41" t="str">
        <f t="shared" si="66"/>
        <v>005013100</v>
      </c>
      <c r="D801" s="42">
        <f>VLOOKUP($A801,'Neraca Unaudited SIMAK'!$A$2:$R$1272,3,FALSE)+IF(ISNA(VLOOKUP($A801,'Mutasi Neraca'!$A$3:$S$910,3,FALSE)),0,VLOOKUP($A801,'Mutasi Neraca'!$A$3:$S$910,3,FALSE))</f>
        <v>139000</v>
      </c>
      <c r="E801" s="42">
        <f>VLOOKUP($A801,'Neraca Unaudited SIMAK'!$A$2:$R$1272,4,FALSE)+IF(ISNA(VLOOKUP($A801,'Mutasi Neraca'!$A$3:$S$910,4,FALSE)),0,VLOOKUP($A801,'Mutasi Neraca'!$A$3:$S$910,4,FALSE))</f>
        <v>1274434100</v>
      </c>
      <c r="F801" s="42">
        <f>VLOOKUP($A801,'Neraca Unaudited SIMAK'!$A$2:$R$1272,5,FALSE)+IF(ISNA(VLOOKUP($A801,'Mutasi Neraca'!$A$3:$S$910,5,FALSE)),0,VLOOKUP($A801,'Mutasi Neraca'!$A$3:$S$910,5,FALSE))</f>
        <v>1084529309</v>
      </c>
      <c r="G801" s="42">
        <f>VLOOKUP($A801,'Neraca Unaudited SIMAK'!$A$2:$R$1272,6,FALSE)+IF(ISNA(VLOOKUP($A801,'Mutasi Neraca'!$A$3:$S$910,6,FALSE)),0,VLOOKUP($A801,'Mutasi Neraca'!$A$3:$S$910,6,FALSE))</f>
        <v>6740688016</v>
      </c>
      <c r="H801" s="42">
        <f>VLOOKUP($A801,'Neraca Unaudited SIMAK'!$A$2:$R$1272,7,FALSE)+IF(ISNA(VLOOKUP($A801,'Mutasi Neraca'!$A$3:$S$910,7,FALSE)),0,VLOOKUP($A801,'Mutasi Neraca'!$A$3:$S$910,7,FALSE))</f>
        <v>0</v>
      </c>
      <c r="I801" s="42">
        <f>VLOOKUP($A801,'Neraca Unaudited SIMAK'!$A$2:$R$1272,8,FALSE)+IF(ISNA(VLOOKUP($A801,'Mutasi Neraca'!$A$3:$S$910,8,FALSE)),0,VLOOKUP($A801,'Mutasi Neraca'!$A$3:$S$910,8,FALSE))</f>
        <v>1843000</v>
      </c>
      <c r="J801" s="42">
        <f>VLOOKUP($A801,'Neraca Unaudited SIMAK'!$A$2:$R$1272,9,FALSE)+IF(ISNA(VLOOKUP($A801,'Mutasi Neraca'!$A$3:$S$910,9,FALSE)),0,VLOOKUP($A801,'Mutasi Neraca'!$A$3:$S$910,9,FALSE))</f>
        <v>0</v>
      </c>
      <c r="K801" s="42">
        <f>VLOOKUP($A801,'Neraca Unaudited SIMAK'!$A$2:$R$1272,10,FALSE)+IF(ISNA(VLOOKUP($A801,'Mutasi Neraca'!$A$3:$S$910,10,FALSE)),0,VLOOKUP($A801,'Mutasi Neraca'!$A$3:$S$910,10,FALSE))</f>
        <v>0</v>
      </c>
      <c r="L801" s="42">
        <f>VLOOKUP($A801,'Neraca Unaudited SIMAK'!$A$2:$R$1272,11,FALSE)+IF(ISNA(VLOOKUP($A801,'Mutasi Neraca'!$A$3:$S$910,11,FALSE)),0,VLOOKUP($A801,'Mutasi Neraca'!$A$3:$S$910,11,FALSE))</f>
        <v>0</v>
      </c>
      <c r="M801" s="42">
        <f>VLOOKUP($A801,'Neraca Unaudited SIMAK'!$A$2:$R$1272,12,FALSE)+IF(ISNA(VLOOKUP($A801,'Mutasi Neraca'!$A$3:$S$910,12,FALSE)),0,VLOOKUP($A801,'Mutasi Neraca'!$A$3:$S$910,12,FALSE))</f>
        <v>9101633425</v>
      </c>
      <c r="N801" s="42">
        <f>VLOOKUP($A801,'Neraca Unaudited SIMAK'!$A$2:$R$1272,13,FALSE)+IF(ISNA(VLOOKUP($A801,'Mutasi Neraca'!$A$3:$S$910,13,FALSE)),0,VLOOKUP($A801,'Mutasi Neraca'!$A$3:$S$910,13,FALSE))</f>
        <v>-431748374</v>
      </c>
      <c r="O801" s="42">
        <f>VLOOKUP($A801,'Neraca Unaudited SIMAK'!$A$2:$R$1272,14,FALSE)+IF(ISNA(VLOOKUP($A801,'Mutasi Neraca'!$A$3:$S$910,14,FALSE)),0,VLOOKUP($A801,'Mutasi Neraca'!$A$3:$S$910,14,FALSE))</f>
        <v>-67406880</v>
      </c>
      <c r="P801" s="42">
        <f>VLOOKUP($A801,'Neraca Unaudited SIMAK'!$A$2:$R$1272,15,FALSE)+IF(ISNA(VLOOKUP($A801,'Mutasi Neraca'!$A$3:$S$910,15,FALSE)),0,VLOOKUP($A801,'Mutasi Neraca'!$A$3:$S$910,15,FALSE))</f>
        <v>0</v>
      </c>
      <c r="Q801" s="42">
        <f>VLOOKUP($A801,'Neraca Unaudited SIMAK'!$A$2:$R$1272,16,FALSE)+IF(ISNA(VLOOKUP($A801,'Mutasi Neraca'!$A$3:$S$910,16,FALSE)),0,VLOOKUP($A801,'Mutasi Neraca'!$A$3:$S$910,16,FALSE))</f>
        <v>0</v>
      </c>
      <c r="R801" s="42">
        <f>VLOOKUP($A801,'Neraca Unaudited SIMAK'!$A$2:$R$1272,17,FALSE)+IF(ISNA(VLOOKUP($A801,'Mutasi Neraca'!$A$3:$S$910,17,FALSE)),0,VLOOKUP($A801,'Mutasi Neraca'!$A$3:$S$910,17,FALSE))</f>
        <v>0</v>
      </c>
      <c r="S801" s="42">
        <f t="shared" si="67"/>
        <v>8602478171</v>
      </c>
    </row>
    <row r="802" spans="1:19">
      <c r="A802" s="41" t="s">
        <v>809</v>
      </c>
      <c r="B802" s="41" t="str">
        <f t="shared" si="66"/>
        <v>005013200</v>
      </c>
      <c r="D802" s="42">
        <f>VLOOKUP($A802,'Neraca Unaudited SIMAK'!$A$2:$R$1272,3,FALSE)+IF(ISNA(VLOOKUP($A802,'Mutasi Neraca'!$A$3:$S$910,3,FALSE)),0,VLOOKUP($A802,'Mutasi Neraca'!$A$3:$S$910,3,FALSE))</f>
        <v>0</v>
      </c>
      <c r="E802" s="42">
        <f>VLOOKUP($A802,'Neraca Unaudited SIMAK'!$A$2:$R$1272,4,FALSE)+IF(ISNA(VLOOKUP($A802,'Mutasi Neraca'!$A$3:$S$910,4,FALSE)),0,VLOOKUP($A802,'Mutasi Neraca'!$A$3:$S$910,4,FALSE))</f>
        <v>8604672870</v>
      </c>
      <c r="F802" s="42">
        <f>VLOOKUP($A802,'Neraca Unaudited SIMAK'!$A$2:$R$1272,5,FALSE)+IF(ISNA(VLOOKUP($A802,'Mutasi Neraca'!$A$3:$S$910,5,FALSE)),0,VLOOKUP($A802,'Mutasi Neraca'!$A$3:$S$910,5,FALSE))</f>
        <v>1897673045</v>
      </c>
      <c r="G802" s="42">
        <f>VLOOKUP($A802,'Neraca Unaudited SIMAK'!$A$2:$R$1272,6,FALSE)+IF(ISNA(VLOOKUP($A802,'Mutasi Neraca'!$A$3:$S$910,6,FALSE)),0,VLOOKUP($A802,'Mutasi Neraca'!$A$3:$S$910,6,FALSE))</f>
        <v>7338925679</v>
      </c>
      <c r="H802" s="42">
        <f>VLOOKUP($A802,'Neraca Unaudited SIMAK'!$A$2:$R$1272,7,FALSE)+IF(ISNA(VLOOKUP($A802,'Mutasi Neraca'!$A$3:$S$910,7,FALSE)),0,VLOOKUP($A802,'Mutasi Neraca'!$A$3:$S$910,7,FALSE))</f>
        <v>94930000</v>
      </c>
      <c r="I802" s="42">
        <f>VLOOKUP($A802,'Neraca Unaudited SIMAK'!$A$2:$R$1272,8,FALSE)+IF(ISNA(VLOOKUP($A802,'Mutasi Neraca'!$A$3:$S$910,8,FALSE)),0,VLOOKUP($A802,'Mutasi Neraca'!$A$3:$S$910,8,FALSE))</f>
        <v>1943440</v>
      </c>
      <c r="J802" s="42">
        <f>VLOOKUP($A802,'Neraca Unaudited SIMAK'!$A$2:$R$1272,9,FALSE)+IF(ISNA(VLOOKUP($A802,'Mutasi Neraca'!$A$3:$S$910,9,FALSE)),0,VLOOKUP($A802,'Mutasi Neraca'!$A$3:$S$910,9,FALSE))</f>
        <v>0</v>
      </c>
      <c r="K802" s="42">
        <f>VLOOKUP($A802,'Neraca Unaudited SIMAK'!$A$2:$R$1272,10,FALSE)+IF(ISNA(VLOOKUP($A802,'Mutasi Neraca'!$A$3:$S$910,10,FALSE)),0,VLOOKUP($A802,'Mutasi Neraca'!$A$3:$S$910,10,FALSE))</f>
        <v>0</v>
      </c>
      <c r="L802" s="42">
        <f>VLOOKUP($A802,'Neraca Unaudited SIMAK'!$A$2:$R$1272,11,FALSE)+IF(ISNA(VLOOKUP($A802,'Mutasi Neraca'!$A$3:$S$910,11,FALSE)),0,VLOOKUP($A802,'Mutasi Neraca'!$A$3:$S$910,11,FALSE))</f>
        <v>0</v>
      </c>
      <c r="M802" s="42">
        <f>VLOOKUP($A802,'Neraca Unaudited SIMAK'!$A$2:$R$1272,12,FALSE)+IF(ISNA(VLOOKUP($A802,'Mutasi Neraca'!$A$3:$S$910,12,FALSE)),0,VLOOKUP($A802,'Mutasi Neraca'!$A$3:$S$910,12,FALSE))</f>
        <v>17938145034</v>
      </c>
      <c r="N802" s="42">
        <f>VLOOKUP($A802,'Neraca Unaudited SIMAK'!$A$2:$R$1272,13,FALSE)+IF(ISNA(VLOOKUP($A802,'Mutasi Neraca'!$A$3:$S$910,13,FALSE)),0,VLOOKUP($A802,'Mutasi Neraca'!$A$3:$S$910,13,FALSE))</f>
        <v>-1475103920</v>
      </c>
      <c r="O802" s="42">
        <f>VLOOKUP($A802,'Neraca Unaudited SIMAK'!$A$2:$R$1272,14,FALSE)+IF(ISNA(VLOOKUP($A802,'Mutasi Neraca'!$A$3:$S$910,14,FALSE)),0,VLOOKUP($A802,'Mutasi Neraca'!$A$3:$S$910,14,FALSE))</f>
        <v>-810646496</v>
      </c>
      <c r="P802" s="42">
        <f>VLOOKUP($A802,'Neraca Unaudited SIMAK'!$A$2:$R$1272,15,FALSE)+IF(ISNA(VLOOKUP($A802,'Mutasi Neraca'!$A$3:$S$910,15,FALSE)),0,VLOOKUP($A802,'Mutasi Neraca'!$A$3:$S$910,15,FALSE))</f>
        <v>-17799375</v>
      </c>
      <c r="Q802" s="42">
        <f>VLOOKUP($A802,'Neraca Unaudited SIMAK'!$A$2:$R$1272,16,FALSE)+IF(ISNA(VLOOKUP($A802,'Mutasi Neraca'!$A$3:$S$910,16,FALSE)),0,VLOOKUP($A802,'Mutasi Neraca'!$A$3:$S$910,16,FALSE))</f>
        <v>0</v>
      </c>
      <c r="R802" s="42">
        <f>VLOOKUP($A802,'Neraca Unaudited SIMAK'!$A$2:$R$1272,17,FALSE)+IF(ISNA(VLOOKUP($A802,'Mutasi Neraca'!$A$3:$S$910,17,FALSE)),0,VLOOKUP($A802,'Mutasi Neraca'!$A$3:$S$910,17,FALSE))</f>
        <v>0</v>
      </c>
      <c r="S802" s="42">
        <f t="shared" si="67"/>
        <v>15634595243</v>
      </c>
    </row>
    <row r="803" spans="1:19">
      <c r="A803" s="41" t="s">
        <v>810</v>
      </c>
      <c r="B803" s="41" t="str">
        <f t="shared" si="66"/>
        <v>005013200</v>
      </c>
      <c r="D803" s="42">
        <f>VLOOKUP($A803,'Neraca Unaudited SIMAK'!$A$2:$R$1272,3,FALSE)+IF(ISNA(VLOOKUP($A803,'Mutasi Neraca'!$A$3:$S$910,3,FALSE)),0,VLOOKUP($A803,'Mutasi Neraca'!$A$3:$S$910,3,FALSE))</f>
        <v>0</v>
      </c>
      <c r="E803" s="42">
        <f>VLOOKUP($A803,'Neraca Unaudited SIMAK'!$A$2:$R$1272,4,FALSE)+IF(ISNA(VLOOKUP($A803,'Mutasi Neraca'!$A$3:$S$910,4,FALSE)),0,VLOOKUP($A803,'Mutasi Neraca'!$A$3:$S$910,4,FALSE))</f>
        <v>9082060000</v>
      </c>
      <c r="F803" s="42">
        <f>VLOOKUP($A803,'Neraca Unaudited SIMAK'!$A$2:$R$1272,5,FALSE)+IF(ISNA(VLOOKUP($A803,'Mutasi Neraca'!$A$3:$S$910,5,FALSE)),0,VLOOKUP($A803,'Mutasi Neraca'!$A$3:$S$910,5,FALSE))</f>
        <v>3909243432</v>
      </c>
      <c r="G803" s="42">
        <f>VLOOKUP($A803,'Neraca Unaudited SIMAK'!$A$2:$R$1272,6,FALSE)+IF(ISNA(VLOOKUP($A803,'Mutasi Neraca'!$A$3:$S$910,6,FALSE)),0,VLOOKUP($A803,'Mutasi Neraca'!$A$3:$S$910,6,FALSE))</f>
        <v>25640150066</v>
      </c>
      <c r="H803" s="42">
        <f>VLOOKUP($A803,'Neraca Unaudited SIMAK'!$A$2:$R$1272,7,FALSE)+IF(ISNA(VLOOKUP($A803,'Mutasi Neraca'!$A$3:$S$910,7,FALSE)),0,VLOOKUP($A803,'Mutasi Neraca'!$A$3:$S$910,7,FALSE))</f>
        <v>95636010</v>
      </c>
      <c r="I803" s="42">
        <f>VLOOKUP($A803,'Neraca Unaudited SIMAK'!$A$2:$R$1272,8,FALSE)+IF(ISNA(VLOOKUP($A803,'Mutasi Neraca'!$A$3:$S$910,8,FALSE)),0,VLOOKUP($A803,'Mutasi Neraca'!$A$3:$S$910,8,FALSE))</f>
        <v>41943440</v>
      </c>
      <c r="J803" s="42">
        <f>VLOOKUP($A803,'Neraca Unaudited SIMAK'!$A$2:$R$1272,9,FALSE)+IF(ISNA(VLOOKUP($A803,'Mutasi Neraca'!$A$3:$S$910,9,FALSE)),0,VLOOKUP($A803,'Mutasi Neraca'!$A$3:$S$910,9,FALSE))</f>
        <v>0</v>
      </c>
      <c r="K803" s="42">
        <f>VLOOKUP($A803,'Neraca Unaudited SIMAK'!$A$2:$R$1272,10,FALSE)+IF(ISNA(VLOOKUP($A803,'Mutasi Neraca'!$A$3:$S$910,10,FALSE)),0,VLOOKUP($A803,'Mutasi Neraca'!$A$3:$S$910,10,FALSE))</f>
        <v>0</v>
      </c>
      <c r="L803" s="42">
        <f>VLOOKUP($A803,'Neraca Unaudited SIMAK'!$A$2:$R$1272,11,FALSE)+IF(ISNA(VLOOKUP($A803,'Mutasi Neraca'!$A$3:$S$910,11,FALSE)),0,VLOOKUP($A803,'Mutasi Neraca'!$A$3:$S$910,11,FALSE))</f>
        <v>2200000</v>
      </c>
      <c r="M803" s="42">
        <f>VLOOKUP($A803,'Neraca Unaudited SIMAK'!$A$2:$R$1272,12,FALSE)+IF(ISNA(VLOOKUP($A803,'Mutasi Neraca'!$A$3:$S$910,12,FALSE)),0,VLOOKUP($A803,'Mutasi Neraca'!$A$3:$S$910,12,FALSE))</f>
        <v>38771232948</v>
      </c>
      <c r="N803" s="42">
        <f>VLOOKUP($A803,'Neraca Unaudited SIMAK'!$A$2:$R$1272,13,FALSE)+IF(ISNA(VLOOKUP($A803,'Mutasi Neraca'!$A$3:$S$910,13,FALSE)),0,VLOOKUP($A803,'Mutasi Neraca'!$A$3:$S$910,13,FALSE))</f>
        <v>-3041268488</v>
      </c>
      <c r="O803" s="42">
        <f>VLOOKUP($A803,'Neraca Unaudited SIMAK'!$A$2:$R$1272,14,FALSE)+IF(ISNA(VLOOKUP($A803,'Mutasi Neraca'!$A$3:$S$910,14,FALSE)),0,VLOOKUP($A803,'Mutasi Neraca'!$A$3:$S$910,14,FALSE))</f>
        <v>-3436047397</v>
      </c>
      <c r="P803" s="42">
        <f>VLOOKUP($A803,'Neraca Unaudited SIMAK'!$A$2:$R$1272,15,FALSE)+IF(ISNA(VLOOKUP($A803,'Mutasi Neraca'!$A$3:$S$910,15,FALSE)),0,VLOOKUP($A803,'Mutasi Neraca'!$A$3:$S$910,15,FALSE))</f>
        <v>-16720179</v>
      </c>
      <c r="Q803" s="42">
        <f>VLOOKUP($A803,'Neraca Unaudited SIMAK'!$A$2:$R$1272,16,FALSE)+IF(ISNA(VLOOKUP($A803,'Mutasi Neraca'!$A$3:$S$910,16,FALSE)),0,VLOOKUP($A803,'Mutasi Neraca'!$A$3:$S$910,16,FALSE))</f>
        <v>0</v>
      </c>
      <c r="R803" s="42">
        <f>VLOOKUP($A803,'Neraca Unaudited SIMAK'!$A$2:$R$1272,17,FALSE)+IF(ISNA(VLOOKUP($A803,'Mutasi Neraca'!$A$3:$S$910,17,FALSE)),0,VLOOKUP($A803,'Mutasi Neraca'!$A$3:$S$910,17,FALSE))</f>
        <v>-2200000</v>
      </c>
      <c r="S803" s="42">
        <f t="shared" si="67"/>
        <v>32274996884</v>
      </c>
    </row>
    <row r="804" spans="1:19">
      <c r="A804" s="41" t="s">
        <v>811</v>
      </c>
      <c r="B804" s="41" t="str">
        <f t="shared" si="66"/>
        <v>005013200</v>
      </c>
      <c r="D804" s="42">
        <f>VLOOKUP($A804,'Neraca Unaudited SIMAK'!$A$2:$R$1272,3,FALSE)+IF(ISNA(VLOOKUP($A804,'Mutasi Neraca'!$A$3:$S$910,3,FALSE)),0,VLOOKUP($A804,'Mutasi Neraca'!$A$3:$S$910,3,FALSE))</f>
        <v>380500</v>
      </c>
      <c r="E804" s="42">
        <f>VLOOKUP($A804,'Neraca Unaudited SIMAK'!$A$2:$R$1272,4,FALSE)+IF(ISNA(VLOOKUP($A804,'Mutasi Neraca'!$A$3:$S$910,4,FALSE)),0,VLOOKUP($A804,'Mutasi Neraca'!$A$3:$S$910,4,FALSE))</f>
        <v>1354023000</v>
      </c>
      <c r="F804" s="42">
        <f>VLOOKUP($A804,'Neraca Unaudited SIMAK'!$A$2:$R$1272,5,FALSE)+IF(ISNA(VLOOKUP($A804,'Mutasi Neraca'!$A$3:$S$910,5,FALSE)),0,VLOOKUP($A804,'Mutasi Neraca'!$A$3:$S$910,5,FALSE))</f>
        <v>1296421802</v>
      </c>
      <c r="G804" s="42">
        <f>VLOOKUP($A804,'Neraca Unaudited SIMAK'!$A$2:$R$1272,6,FALSE)+IF(ISNA(VLOOKUP($A804,'Mutasi Neraca'!$A$3:$S$910,6,FALSE)),0,VLOOKUP($A804,'Mutasi Neraca'!$A$3:$S$910,6,FALSE))</f>
        <v>7193681912</v>
      </c>
      <c r="H804" s="42">
        <f>VLOOKUP($A804,'Neraca Unaudited SIMAK'!$A$2:$R$1272,7,FALSE)+IF(ISNA(VLOOKUP($A804,'Mutasi Neraca'!$A$3:$S$910,7,FALSE)),0,VLOOKUP($A804,'Mutasi Neraca'!$A$3:$S$910,7,FALSE))</f>
        <v>124000000</v>
      </c>
      <c r="I804" s="42">
        <f>VLOOKUP($A804,'Neraca Unaudited SIMAK'!$A$2:$R$1272,8,FALSE)+IF(ISNA(VLOOKUP($A804,'Mutasi Neraca'!$A$3:$S$910,8,FALSE)),0,VLOOKUP($A804,'Mutasi Neraca'!$A$3:$S$910,8,FALSE))</f>
        <v>11889529</v>
      </c>
      <c r="J804" s="42">
        <f>VLOOKUP($A804,'Neraca Unaudited SIMAK'!$A$2:$R$1272,9,FALSE)+IF(ISNA(VLOOKUP($A804,'Mutasi Neraca'!$A$3:$S$910,9,FALSE)),0,VLOOKUP($A804,'Mutasi Neraca'!$A$3:$S$910,9,FALSE))</f>
        <v>0</v>
      </c>
      <c r="K804" s="42">
        <f>VLOOKUP($A804,'Neraca Unaudited SIMAK'!$A$2:$R$1272,10,FALSE)+IF(ISNA(VLOOKUP($A804,'Mutasi Neraca'!$A$3:$S$910,10,FALSE)),0,VLOOKUP($A804,'Mutasi Neraca'!$A$3:$S$910,10,FALSE))</f>
        <v>0</v>
      </c>
      <c r="L804" s="42">
        <f>VLOOKUP($A804,'Neraca Unaudited SIMAK'!$A$2:$R$1272,11,FALSE)+IF(ISNA(VLOOKUP($A804,'Mutasi Neraca'!$A$3:$S$910,11,FALSE)),0,VLOOKUP($A804,'Mutasi Neraca'!$A$3:$S$910,11,FALSE))</f>
        <v>134190750</v>
      </c>
      <c r="M804" s="42">
        <f>VLOOKUP($A804,'Neraca Unaudited SIMAK'!$A$2:$R$1272,12,FALSE)+IF(ISNA(VLOOKUP($A804,'Mutasi Neraca'!$A$3:$S$910,12,FALSE)),0,VLOOKUP($A804,'Mutasi Neraca'!$A$3:$S$910,12,FALSE))</f>
        <v>10114587493</v>
      </c>
      <c r="N804" s="42">
        <f>VLOOKUP($A804,'Neraca Unaudited SIMAK'!$A$2:$R$1272,13,FALSE)+IF(ISNA(VLOOKUP($A804,'Mutasi Neraca'!$A$3:$S$910,13,FALSE)),0,VLOOKUP($A804,'Mutasi Neraca'!$A$3:$S$910,13,FALSE))</f>
        <v>-1069108307</v>
      </c>
      <c r="O804" s="42">
        <f>VLOOKUP($A804,'Neraca Unaudited SIMAK'!$A$2:$R$1272,14,FALSE)+IF(ISNA(VLOOKUP($A804,'Mutasi Neraca'!$A$3:$S$910,14,FALSE)),0,VLOOKUP($A804,'Mutasi Neraca'!$A$3:$S$910,14,FALSE))</f>
        <v>-1324728693</v>
      </c>
      <c r="P804" s="42">
        <f>VLOOKUP($A804,'Neraca Unaudited SIMAK'!$A$2:$R$1272,15,FALSE)+IF(ISNA(VLOOKUP($A804,'Mutasi Neraca'!$A$3:$S$910,15,FALSE)),0,VLOOKUP($A804,'Mutasi Neraca'!$A$3:$S$910,15,FALSE))</f>
        <v>-9568750</v>
      </c>
      <c r="Q804" s="42">
        <f>VLOOKUP($A804,'Neraca Unaudited SIMAK'!$A$2:$R$1272,16,FALSE)+IF(ISNA(VLOOKUP($A804,'Mutasi Neraca'!$A$3:$S$910,16,FALSE)),0,VLOOKUP($A804,'Mutasi Neraca'!$A$3:$S$910,16,FALSE))</f>
        <v>0</v>
      </c>
      <c r="R804" s="42">
        <f>VLOOKUP($A804,'Neraca Unaudited SIMAK'!$A$2:$R$1272,17,FALSE)+IF(ISNA(VLOOKUP($A804,'Mutasi Neraca'!$A$3:$S$910,17,FALSE)),0,VLOOKUP($A804,'Mutasi Neraca'!$A$3:$S$910,17,FALSE))</f>
        <v>-134190750</v>
      </c>
      <c r="S804" s="42">
        <f t="shared" si="67"/>
        <v>7576990993</v>
      </c>
    </row>
    <row r="805" spans="1:19">
      <c r="A805" s="41" t="s">
        <v>812</v>
      </c>
      <c r="B805" s="41" t="str">
        <f t="shared" si="66"/>
        <v>005013200</v>
      </c>
      <c r="D805" s="42">
        <f>VLOOKUP($A805,'Neraca Unaudited SIMAK'!$A$2:$R$1272,3,FALSE)+IF(ISNA(VLOOKUP($A805,'Mutasi Neraca'!$A$3:$S$910,3,FALSE)),0,VLOOKUP($A805,'Mutasi Neraca'!$A$3:$S$910,3,FALSE))</f>
        <v>399000</v>
      </c>
      <c r="E805" s="42">
        <f>VLOOKUP($A805,'Neraca Unaudited SIMAK'!$A$2:$R$1272,4,FALSE)+IF(ISNA(VLOOKUP($A805,'Mutasi Neraca'!$A$3:$S$910,4,FALSE)),0,VLOOKUP($A805,'Mutasi Neraca'!$A$3:$S$910,4,FALSE))</f>
        <v>490280200</v>
      </c>
      <c r="F805" s="42">
        <f>VLOOKUP($A805,'Neraca Unaudited SIMAK'!$A$2:$R$1272,5,FALSE)+IF(ISNA(VLOOKUP($A805,'Mutasi Neraca'!$A$3:$S$910,5,FALSE)),0,VLOOKUP($A805,'Mutasi Neraca'!$A$3:$S$910,5,FALSE))</f>
        <v>847770397</v>
      </c>
      <c r="G805" s="42">
        <f>VLOOKUP($A805,'Neraca Unaudited SIMAK'!$A$2:$R$1272,6,FALSE)+IF(ISNA(VLOOKUP($A805,'Mutasi Neraca'!$A$3:$S$910,6,FALSE)),0,VLOOKUP($A805,'Mutasi Neraca'!$A$3:$S$910,6,FALSE))</f>
        <v>132178800</v>
      </c>
      <c r="H805" s="42">
        <f>VLOOKUP($A805,'Neraca Unaudited SIMAK'!$A$2:$R$1272,7,FALSE)+IF(ISNA(VLOOKUP($A805,'Mutasi Neraca'!$A$3:$S$910,7,FALSE)),0,VLOOKUP($A805,'Mutasi Neraca'!$A$3:$S$910,7,FALSE))</f>
        <v>0</v>
      </c>
      <c r="I805" s="42">
        <f>VLOOKUP($A805,'Neraca Unaudited SIMAK'!$A$2:$R$1272,8,FALSE)+IF(ISNA(VLOOKUP($A805,'Mutasi Neraca'!$A$3:$S$910,8,FALSE)),0,VLOOKUP($A805,'Mutasi Neraca'!$A$3:$S$910,8,FALSE))</f>
        <v>2328000</v>
      </c>
      <c r="J805" s="42">
        <f>VLOOKUP($A805,'Neraca Unaudited SIMAK'!$A$2:$R$1272,9,FALSE)+IF(ISNA(VLOOKUP($A805,'Mutasi Neraca'!$A$3:$S$910,9,FALSE)),0,VLOOKUP($A805,'Mutasi Neraca'!$A$3:$S$910,9,FALSE))</f>
        <v>0</v>
      </c>
      <c r="K805" s="42">
        <f>VLOOKUP($A805,'Neraca Unaudited SIMAK'!$A$2:$R$1272,10,FALSE)+IF(ISNA(VLOOKUP($A805,'Mutasi Neraca'!$A$3:$S$910,10,FALSE)),0,VLOOKUP($A805,'Mutasi Neraca'!$A$3:$S$910,10,FALSE))</f>
        <v>0</v>
      </c>
      <c r="L805" s="42">
        <f>VLOOKUP($A805,'Neraca Unaudited SIMAK'!$A$2:$R$1272,11,FALSE)+IF(ISNA(VLOOKUP($A805,'Mutasi Neraca'!$A$3:$S$910,11,FALSE)),0,VLOOKUP($A805,'Mutasi Neraca'!$A$3:$S$910,11,FALSE))</f>
        <v>47059</v>
      </c>
      <c r="M805" s="42">
        <f>VLOOKUP($A805,'Neraca Unaudited SIMAK'!$A$2:$R$1272,12,FALSE)+IF(ISNA(VLOOKUP($A805,'Mutasi Neraca'!$A$3:$S$910,12,FALSE)),0,VLOOKUP($A805,'Mutasi Neraca'!$A$3:$S$910,12,FALSE))</f>
        <v>1473003456</v>
      </c>
      <c r="N805" s="42">
        <f>VLOOKUP($A805,'Neraca Unaudited SIMAK'!$A$2:$R$1272,13,FALSE)+IF(ISNA(VLOOKUP($A805,'Mutasi Neraca'!$A$3:$S$910,13,FALSE)),0,VLOOKUP($A805,'Mutasi Neraca'!$A$3:$S$910,13,FALSE))</f>
        <v>-767326904</v>
      </c>
      <c r="O805" s="42">
        <f>VLOOKUP($A805,'Neraca Unaudited SIMAK'!$A$2:$R$1272,14,FALSE)+IF(ISNA(VLOOKUP($A805,'Mutasi Neraca'!$A$3:$S$910,14,FALSE)),0,VLOOKUP($A805,'Mutasi Neraca'!$A$3:$S$910,14,FALSE))</f>
        <v>-57288213</v>
      </c>
      <c r="P805" s="42">
        <f>VLOOKUP($A805,'Neraca Unaudited SIMAK'!$A$2:$R$1272,15,FALSE)+IF(ISNA(VLOOKUP($A805,'Mutasi Neraca'!$A$3:$S$910,15,FALSE)),0,VLOOKUP($A805,'Mutasi Neraca'!$A$3:$S$910,15,FALSE))</f>
        <v>0</v>
      </c>
      <c r="Q805" s="42">
        <f>VLOOKUP($A805,'Neraca Unaudited SIMAK'!$A$2:$R$1272,16,FALSE)+IF(ISNA(VLOOKUP($A805,'Mutasi Neraca'!$A$3:$S$910,16,FALSE)),0,VLOOKUP($A805,'Mutasi Neraca'!$A$3:$S$910,16,FALSE))</f>
        <v>0</v>
      </c>
      <c r="R805" s="42">
        <f>VLOOKUP($A805,'Neraca Unaudited SIMAK'!$A$2:$R$1272,17,FALSE)+IF(ISNA(VLOOKUP($A805,'Mutasi Neraca'!$A$3:$S$910,17,FALSE)),0,VLOOKUP($A805,'Mutasi Neraca'!$A$3:$S$910,17,FALSE))</f>
        <v>-47059</v>
      </c>
      <c r="S805" s="42">
        <f t="shared" si="67"/>
        <v>648341280</v>
      </c>
    </row>
    <row r="806" spans="1:19">
      <c r="A806" s="41" t="s">
        <v>813</v>
      </c>
      <c r="B806" s="41" t="str">
        <f t="shared" si="66"/>
        <v>005013200</v>
      </c>
      <c r="D806" s="42">
        <f>VLOOKUP($A806,'Neraca Unaudited SIMAK'!$A$2:$R$1272,3,FALSE)+IF(ISNA(VLOOKUP($A806,'Mutasi Neraca'!$A$3:$S$910,3,FALSE)),0,VLOOKUP($A806,'Mutasi Neraca'!$A$3:$S$910,3,FALSE))</f>
        <v>0</v>
      </c>
      <c r="E806" s="42">
        <f>VLOOKUP($A806,'Neraca Unaudited SIMAK'!$A$2:$R$1272,4,FALSE)+IF(ISNA(VLOOKUP($A806,'Mutasi Neraca'!$A$3:$S$910,4,FALSE)),0,VLOOKUP($A806,'Mutasi Neraca'!$A$3:$S$910,4,FALSE))</f>
        <v>320384030</v>
      </c>
      <c r="F806" s="42">
        <f>VLOOKUP($A806,'Neraca Unaudited SIMAK'!$A$2:$R$1272,5,FALSE)+IF(ISNA(VLOOKUP($A806,'Mutasi Neraca'!$A$3:$S$910,5,FALSE)),0,VLOOKUP($A806,'Mutasi Neraca'!$A$3:$S$910,5,FALSE))</f>
        <v>1278989345</v>
      </c>
      <c r="G806" s="42">
        <f>VLOOKUP($A806,'Neraca Unaudited SIMAK'!$A$2:$R$1272,6,FALSE)+IF(ISNA(VLOOKUP($A806,'Mutasi Neraca'!$A$3:$S$910,6,FALSE)),0,VLOOKUP($A806,'Mutasi Neraca'!$A$3:$S$910,6,FALSE))</f>
        <v>6663699143</v>
      </c>
      <c r="H806" s="42">
        <f>VLOOKUP($A806,'Neraca Unaudited SIMAK'!$A$2:$R$1272,7,FALSE)+IF(ISNA(VLOOKUP($A806,'Mutasi Neraca'!$A$3:$S$910,7,FALSE)),0,VLOOKUP($A806,'Mutasi Neraca'!$A$3:$S$910,7,FALSE))</f>
        <v>0</v>
      </c>
      <c r="I806" s="42">
        <f>VLOOKUP($A806,'Neraca Unaudited SIMAK'!$A$2:$R$1272,8,FALSE)+IF(ISNA(VLOOKUP($A806,'Mutasi Neraca'!$A$3:$S$910,8,FALSE)),0,VLOOKUP($A806,'Mutasi Neraca'!$A$3:$S$910,8,FALSE))</f>
        <v>2276650</v>
      </c>
      <c r="J806" s="42">
        <f>VLOOKUP($A806,'Neraca Unaudited SIMAK'!$A$2:$R$1272,9,FALSE)+IF(ISNA(VLOOKUP($A806,'Mutasi Neraca'!$A$3:$S$910,9,FALSE)),0,VLOOKUP($A806,'Mutasi Neraca'!$A$3:$S$910,9,FALSE))</f>
        <v>0</v>
      </c>
      <c r="K806" s="42">
        <f>VLOOKUP($A806,'Neraca Unaudited SIMAK'!$A$2:$R$1272,10,FALSE)+IF(ISNA(VLOOKUP($A806,'Mutasi Neraca'!$A$3:$S$910,10,FALSE)),0,VLOOKUP($A806,'Mutasi Neraca'!$A$3:$S$910,10,FALSE))</f>
        <v>4950000</v>
      </c>
      <c r="L806" s="42">
        <f>VLOOKUP($A806,'Neraca Unaudited SIMAK'!$A$2:$R$1272,11,FALSE)+IF(ISNA(VLOOKUP($A806,'Mutasi Neraca'!$A$3:$S$910,11,FALSE)),0,VLOOKUP($A806,'Mutasi Neraca'!$A$3:$S$910,11,FALSE))</f>
        <v>4394701</v>
      </c>
      <c r="M806" s="42">
        <f>VLOOKUP($A806,'Neraca Unaudited SIMAK'!$A$2:$R$1272,12,FALSE)+IF(ISNA(VLOOKUP($A806,'Mutasi Neraca'!$A$3:$S$910,12,FALSE)),0,VLOOKUP($A806,'Mutasi Neraca'!$A$3:$S$910,12,FALSE))</f>
        <v>8274693869</v>
      </c>
      <c r="N806" s="42">
        <f>VLOOKUP($A806,'Neraca Unaudited SIMAK'!$A$2:$R$1272,13,FALSE)+IF(ISNA(VLOOKUP($A806,'Mutasi Neraca'!$A$3:$S$910,13,FALSE)),0,VLOOKUP($A806,'Mutasi Neraca'!$A$3:$S$910,13,FALSE))</f>
        <v>-1147260131</v>
      </c>
      <c r="O806" s="42">
        <f>VLOOKUP($A806,'Neraca Unaudited SIMAK'!$A$2:$R$1272,14,FALSE)+IF(ISNA(VLOOKUP($A806,'Mutasi Neraca'!$A$3:$S$910,14,FALSE)),0,VLOOKUP($A806,'Mutasi Neraca'!$A$3:$S$910,14,FALSE))</f>
        <v>-1153047894</v>
      </c>
      <c r="P806" s="42">
        <f>VLOOKUP($A806,'Neraca Unaudited SIMAK'!$A$2:$R$1272,15,FALSE)+IF(ISNA(VLOOKUP($A806,'Mutasi Neraca'!$A$3:$S$910,15,FALSE)),0,VLOOKUP($A806,'Mutasi Neraca'!$A$3:$S$910,15,FALSE))</f>
        <v>0</v>
      </c>
      <c r="Q806" s="42">
        <f>VLOOKUP($A806,'Neraca Unaudited SIMAK'!$A$2:$R$1272,16,FALSE)+IF(ISNA(VLOOKUP($A806,'Mutasi Neraca'!$A$3:$S$910,16,FALSE)),0,VLOOKUP($A806,'Mutasi Neraca'!$A$3:$S$910,16,FALSE))</f>
        <v>0</v>
      </c>
      <c r="R806" s="42">
        <f>VLOOKUP($A806,'Neraca Unaudited SIMAK'!$A$2:$R$1272,17,FALSE)+IF(ISNA(VLOOKUP($A806,'Mutasi Neraca'!$A$3:$S$910,17,FALSE)),0,VLOOKUP($A806,'Mutasi Neraca'!$A$3:$S$910,17,FALSE))</f>
        <v>-4394701</v>
      </c>
      <c r="S806" s="42">
        <f t="shared" si="67"/>
        <v>5969991143</v>
      </c>
    </row>
    <row r="807" spans="1:19">
      <c r="A807" s="41" t="s">
        <v>814</v>
      </c>
      <c r="B807" s="41" t="str">
        <f t="shared" si="66"/>
        <v>005013200</v>
      </c>
      <c r="D807" s="42">
        <f>VLOOKUP($A807,'Neraca Unaudited SIMAK'!$A$2:$R$1272,3,FALSE)+IF(ISNA(VLOOKUP($A807,'Mutasi Neraca'!$A$3:$S$910,3,FALSE)),0,VLOOKUP($A807,'Mutasi Neraca'!$A$3:$S$910,3,FALSE))</f>
        <v>765000</v>
      </c>
      <c r="E807" s="42">
        <f>VLOOKUP($A807,'Neraca Unaudited SIMAK'!$A$2:$R$1272,4,FALSE)+IF(ISNA(VLOOKUP($A807,'Mutasi Neraca'!$A$3:$S$910,4,FALSE)),0,VLOOKUP($A807,'Mutasi Neraca'!$A$3:$S$910,4,FALSE))</f>
        <v>168375000</v>
      </c>
      <c r="F807" s="42">
        <f>VLOOKUP($A807,'Neraca Unaudited SIMAK'!$A$2:$R$1272,5,FALSE)+IF(ISNA(VLOOKUP($A807,'Mutasi Neraca'!$A$3:$S$910,5,FALSE)),0,VLOOKUP($A807,'Mutasi Neraca'!$A$3:$S$910,5,FALSE))</f>
        <v>614024800</v>
      </c>
      <c r="G807" s="42">
        <f>VLOOKUP($A807,'Neraca Unaudited SIMAK'!$A$2:$R$1272,6,FALSE)+IF(ISNA(VLOOKUP($A807,'Mutasi Neraca'!$A$3:$S$910,6,FALSE)),0,VLOOKUP($A807,'Mutasi Neraca'!$A$3:$S$910,6,FALSE))</f>
        <v>732626700</v>
      </c>
      <c r="H807" s="42">
        <f>VLOOKUP($A807,'Neraca Unaudited SIMAK'!$A$2:$R$1272,7,FALSE)+IF(ISNA(VLOOKUP($A807,'Mutasi Neraca'!$A$3:$S$910,7,FALSE)),0,VLOOKUP($A807,'Mutasi Neraca'!$A$3:$S$910,7,FALSE))</f>
        <v>0</v>
      </c>
      <c r="I807" s="42">
        <f>VLOOKUP($A807,'Neraca Unaudited SIMAK'!$A$2:$R$1272,8,FALSE)+IF(ISNA(VLOOKUP($A807,'Mutasi Neraca'!$A$3:$S$910,8,FALSE)),0,VLOOKUP($A807,'Mutasi Neraca'!$A$3:$S$910,8,FALSE))</f>
        <v>408000</v>
      </c>
      <c r="J807" s="42">
        <f>VLOOKUP($A807,'Neraca Unaudited SIMAK'!$A$2:$R$1272,9,FALSE)+IF(ISNA(VLOOKUP($A807,'Mutasi Neraca'!$A$3:$S$910,9,FALSE)),0,VLOOKUP($A807,'Mutasi Neraca'!$A$3:$S$910,9,FALSE))</f>
        <v>0</v>
      </c>
      <c r="K807" s="42">
        <f>VLOOKUP($A807,'Neraca Unaudited SIMAK'!$A$2:$R$1272,10,FALSE)+IF(ISNA(VLOOKUP($A807,'Mutasi Neraca'!$A$3:$S$910,10,FALSE)),0,VLOOKUP($A807,'Mutasi Neraca'!$A$3:$S$910,10,FALSE))</f>
        <v>0</v>
      </c>
      <c r="L807" s="42">
        <f>VLOOKUP($A807,'Neraca Unaudited SIMAK'!$A$2:$R$1272,11,FALSE)+IF(ISNA(VLOOKUP($A807,'Mutasi Neraca'!$A$3:$S$910,11,FALSE)),0,VLOOKUP($A807,'Mutasi Neraca'!$A$3:$S$910,11,FALSE))</f>
        <v>75029098</v>
      </c>
      <c r="M807" s="42">
        <f>VLOOKUP($A807,'Neraca Unaudited SIMAK'!$A$2:$R$1272,12,FALSE)+IF(ISNA(VLOOKUP($A807,'Mutasi Neraca'!$A$3:$S$910,12,FALSE)),0,VLOOKUP($A807,'Mutasi Neraca'!$A$3:$S$910,12,FALSE))</f>
        <v>1591228598</v>
      </c>
      <c r="N807" s="42">
        <f>VLOOKUP($A807,'Neraca Unaudited SIMAK'!$A$2:$R$1272,13,FALSE)+IF(ISNA(VLOOKUP($A807,'Mutasi Neraca'!$A$3:$S$910,13,FALSE)),0,VLOOKUP($A807,'Mutasi Neraca'!$A$3:$S$910,13,FALSE))</f>
        <v>-548199380</v>
      </c>
      <c r="O807" s="42">
        <f>VLOOKUP($A807,'Neraca Unaudited SIMAK'!$A$2:$R$1272,14,FALSE)+IF(ISNA(VLOOKUP($A807,'Mutasi Neraca'!$A$3:$S$910,14,FALSE)),0,VLOOKUP($A807,'Mutasi Neraca'!$A$3:$S$910,14,FALSE))</f>
        <v>-196558384</v>
      </c>
      <c r="P807" s="42">
        <f>VLOOKUP($A807,'Neraca Unaudited SIMAK'!$A$2:$R$1272,15,FALSE)+IF(ISNA(VLOOKUP($A807,'Mutasi Neraca'!$A$3:$S$910,15,FALSE)),0,VLOOKUP($A807,'Mutasi Neraca'!$A$3:$S$910,15,FALSE))</f>
        <v>0</v>
      </c>
      <c r="Q807" s="42">
        <f>VLOOKUP($A807,'Neraca Unaudited SIMAK'!$A$2:$R$1272,16,FALSE)+IF(ISNA(VLOOKUP($A807,'Mutasi Neraca'!$A$3:$S$910,16,FALSE)),0,VLOOKUP($A807,'Mutasi Neraca'!$A$3:$S$910,16,FALSE))</f>
        <v>0</v>
      </c>
      <c r="R807" s="42">
        <f>VLOOKUP($A807,'Neraca Unaudited SIMAK'!$A$2:$R$1272,17,FALSE)+IF(ISNA(VLOOKUP($A807,'Mutasi Neraca'!$A$3:$S$910,17,FALSE)),0,VLOOKUP($A807,'Mutasi Neraca'!$A$3:$S$910,17,FALSE))</f>
        <v>-75029098</v>
      </c>
      <c r="S807" s="42">
        <f t="shared" si="67"/>
        <v>771441736</v>
      </c>
    </row>
    <row r="808" spans="1:19">
      <c r="A808" s="41" t="s">
        <v>815</v>
      </c>
      <c r="B808" s="41" t="str">
        <f t="shared" si="66"/>
        <v>005013200</v>
      </c>
      <c r="D808" s="42">
        <f>VLOOKUP($A808,'Neraca Unaudited SIMAK'!$A$2:$R$1272,3,FALSE)+IF(ISNA(VLOOKUP($A808,'Mutasi Neraca'!$A$3:$S$910,3,FALSE)),0,VLOOKUP($A808,'Mutasi Neraca'!$A$3:$S$910,3,FALSE))</f>
        <v>0</v>
      </c>
      <c r="E808" s="42">
        <f>VLOOKUP($A808,'Neraca Unaudited SIMAK'!$A$2:$R$1272,4,FALSE)+IF(ISNA(VLOOKUP($A808,'Mutasi Neraca'!$A$3:$S$910,4,FALSE)),0,VLOOKUP($A808,'Mutasi Neraca'!$A$3:$S$910,4,FALSE))</f>
        <v>1916600000</v>
      </c>
      <c r="F808" s="42">
        <f>VLOOKUP($A808,'Neraca Unaudited SIMAK'!$A$2:$R$1272,5,FALSE)+IF(ISNA(VLOOKUP($A808,'Mutasi Neraca'!$A$3:$S$910,5,FALSE)),0,VLOOKUP($A808,'Mutasi Neraca'!$A$3:$S$910,5,FALSE))</f>
        <v>1857087537</v>
      </c>
      <c r="G808" s="42">
        <f>VLOOKUP($A808,'Neraca Unaudited SIMAK'!$A$2:$R$1272,6,FALSE)+IF(ISNA(VLOOKUP($A808,'Mutasi Neraca'!$A$3:$S$910,6,FALSE)),0,VLOOKUP($A808,'Mutasi Neraca'!$A$3:$S$910,6,FALSE))</f>
        <v>821929500</v>
      </c>
      <c r="H808" s="42">
        <f>VLOOKUP($A808,'Neraca Unaudited SIMAK'!$A$2:$R$1272,7,FALSE)+IF(ISNA(VLOOKUP($A808,'Mutasi Neraca'!$A$3:$S$910,7,FALSE)),0,VLOOKUP($A808,'Mutasi Neraca'!$A$3:$S$910,7,FALSE))</f>
        <v>129576800</v>
      </c>
      <c r="I808" s="42">
        <f>VLOOKUP($A808,'Neraca Unaudited SIMAK'!$A$2:$R$1272,8,FALSE)+IF(ISNA(VLOOKUP($A808,'Mutasi Neraca'!$A$3:$S$910,8,FALSE)),0,VLOOKUP($A808,'Mutasi Neraca'!$A$3:$S$910,8,FALSE))</f>
        <v>3867500</v>
      </c>
      <c r="J808" s="42">
        <f>VLOOKUP($A808,'Neraca Unaudited SIMAK'!$A$2:$R$1272,9,FALSE)+IF(ISNA(VLOOKUP($A808,'Mutasi Neraca'!$A$3:$S$910,9,FALSE)),0,VLOOKUP($A808,'Mutasi Neraca'!$A$3:$S$910,9,FALSE))</f>
        <v>9193595700</v>
      </c>
      <c r="K808" s="42">
        <f>VLOOKUP($A808,'Neraca Unaudited SIMAK'!$A$2:$R$1272,10,FALSE)+IF(ISNA(VLOOKUP($A808,'Mutasi Neraca'!$A$3:$S$910,10,FALSE)),0,VLOOKUP($A808,'Mutasi Neraca'!$A$3:$S$910,10,FALSE))</f>
        <v>0</v>
      </c>
      <c r="L808" s="42">
        <f>VLOOKUP($A808,'Neraca Unaudited SIMAK'!$A$2:$R$1272,11,FALSE)+IF(ISNA(VLOOKUP($A808,'Mutasi Neraca'!$A$3:$S$910,11,FALSE)),0,VLOOKUP($A808,'Mutasi Neraca'!$A$3:$S$910,11,FALSE))</f>
        <v>27000000</v>
      </c>
      <c r="M808" s="42">
        <f>VLOOKUP($A808,'Neraca Unaudited SIMAK'!$A$2:$R$1272,12,FALSE)+IF(ISNA(VLOOKUP($A808,'Mutasi Neraca'!$A$3:$S$910,12,FALSE)),0,VLOOKUP($A808,'Mutasi Neraca'!$A$3:$S$910,12,FALSE))</f>
        <v>13949657037</v>
      </c>
      <c r="N808" s="42">
        <f>VLOOKUP($A808,'Neraca Unaudited SIMAK'!$A$2:$R$1272,13,FALSE)+IF(ISNA(VLOOKUP($A808,'Mutasi Neraca'!$A$3:$S$910,13,FALSE)),0,VLOOKUP($A808,'Mutasi Neraca'!$A$3:$S$910,13,FALSE))</f>
        <v>-1250204821</v>
      </c>
      <c r="O808" s="42">
        <f>VLOOKUP($A808,'Neraca Unaudited SIMAK'!$A$2:$R$1272,14,FALSE)+IF(ISNA(VLOOKUP($A808,'Mutasi Neraca'!$A$3:$S$910,14,FALSE)),0,VLOOKUP($A808,'Mutasi Neraca'!$A$3:$S$910,14,FALSE))</f>
        <v>-129437160</v>
      </c>
      <c r="P808" s="42">
        <f>VLOOKUP($A808,'Neraca Unaudited SIMAK'!$A$2:$R$1272,15,FALSE)+IF(ISNA(VLOOKUP($A808,'Mutasi Neraca'!$A$3:$S$910,15,FALSE)),0,VLOOKUP($A808,'Mutasi Neraca'!$A$3:$S$910,15,FALSE))</f>
        <v>-1619710</v>
      </c>
      <c r="Q808" s="42">
        <f>VLOOKUP($A808,'Neraca Unaudited SIMAK'!$A$2:$R$1272,16,FALSE)+IF(ISNA(VLOOKUP($A808,'Mutasi Neraca'!$A$3:$S$910,16,FALSE)),0,VLOOKUP($A808,'Mutasi Neraca'!$A$3:$S$910,16,FALSE))</f>
        <v>0</v>
      </c>
      <c r="R808" s="42">
        <f>VLOOKUP($A808,'Neraca Unaudited SIMAK'!$A$2:$R$1272,17,FALSE)+IF(ISNA(VLOOKUP($A808,'Mutasi Neraca'!$A$3:$S$910,17,FALSE)),0,VLOOKUP($A808,'Mutasi Neraca'!$A$3:$S$910,17,FALSE))</f>
        <v>-27000000</v>
      </c>
      <c r="S808" s="42">
        <f t="shared" si="67"/>
        <v>12541395346</v>
      </c>
    </row>
    <row r="809" spans="1:19">
      <c r="A809" s="41" t="s">
        <v>816</v>
      </c>
      <c r="B809" s="41" t="str">
        <f t="shared" si="66"/>
        <v>005013200</v>
      </c>
      <c r="D809" s="42">
        <f>VLOOKUP($A809,'Neraca Unaudited SIMAK'!$A$2:$R$1272,3,FALSE)+IF(ISNA(VLOOKUP($A809,'Mutasi Neraca'!$A$3:$S$910,3,FALSE)),0,VLOOKUP($A809,'Mutasi Neraca'!$A$3:$S$910,3,FALSE))</f>
        <v>1006400</v>
      </c>
      <c r="E809" s="42">
        <f>VLOOKUP($A809,'Neraca Unaudited SIMAK'!$A$2:$R$1272,4,FALSE)+IF(ISNA(VLOOKUP($A809,'Mutasi Neraca'!$A$3:$S$910,4,FALSE)),0,VLOOKUP($A809,'Mutasi Neraca'!$A$3:$S$910,4,FALSE))</f>
        <v>1615831500</v>
      </c>
      <c r="F809" s="42">
        <f>VLOOKUP($A809,'Neraca Unaudited SIMAK'!$A$2:$R$1272,5,FALSE)+IF(ISNA(VLOOKUP($A809,'Mutasi Neraca'!$A$3:$S$910,5,FALSE)),0,VLOOKUP($A809,'Mutasi Neraca'!$A$3:$S$910,5,FALSE))</f>
        <v>956095133</v>
      </c>
      <c r="G809" s="42">
        <f>VLOOKUP($A809,'Neraca Unaudited SIMAK'!$A$2:$R$1272,6,FALSE)+IF(ISNA(VLOOKUP($A809,'Mutasi Neraca'!$A$3:$S$910,6,FALSE)),0,VLOOKUP($A809,'Mutasi Neraca'!$A$3:$S$910,6,FALSE))</f>
        <v>1076682700</v>
      </c>
      <c r="H809" s="42">
        <f>VLOOKUP($A809,'Neraca Unaudited SIMAK'!$A$2:$R$1272,7,FALSE)+IF(ISNA(VLOOKUP($A809,'Mutasi Neraca'!$A$3:$S$910,7,FALSE)),0,VLOOKUP($A809,'Mutasi Neraca'!$A$3:$S$910,7,FALSE))</f>
        <v>16400000</v>
      </c>
      <c r="I809" s="42">
        <f>VLOOKUP($A809,'Neraca Unaudited SIMAK'!$A$2:$R$1272,8,FALSE)+IF(ISNA(VLOOKUP($A809,'Mutasi Neraca'!$A$3:$S$910,8,FALSE)),0,VLOOKUP($A809,'Mutasi Neraca'!$A$3:$S$910,8,FALSE))</f>
        <v>3920620</v>
      </c>
      <c r="J809" s="42">
        <f>VLOOKUP($A809,'Neraca Unaudited SIMAK'!$A$2:$R$1272,9,FALSE)+IF(ISNA(VLOOKUP($A809,'Mutasi Neraca'!$A$3:$S$910,9,FALSE)),0,VLOOKUP($A809,'Mutasi Neraca'!$A$3:$S$910,9,FALSE))</f>
        <v>5977690750</v>
      </c>
      <c r="K809" s="42">
        <f>VLOOKUP($A809,'Neraca Unaudited SIMAK'!$A$2:$R$1272,10,FALSE)+IF(ISNA(VLOOKUP($A809,'Mutasi Neraca'!$A$3:$S$910,10,FALSE)),0,VLOOKUP($A809,'Mutasi Neraca'!$A$3:$S$910,10,FALSE))</f>
        <v>11550000</v>
      </c>
      <c r="L809" s="42">
        <f>VLOOKUP($A809,'Neraca Unaudited SIMAK'!$A$2:$R$1272,11,FALSE)+IF(ISNA(VLOOKUP($A809,'Mutasi Neraca'!$A$3:$S$910,11,FALSE)),0,VLOOKUP($A809,'Mutasi Neraca'!$A$3:$S$910,11,FALSE))</f>
        <v>75171600</v>
      </c>
      <c r="M809" s="42">
        <f>VLOOKUP($A809,'Neraca Unaudited SIMAK'!$A$2:$R$1272,12,FALSE)+IF(ISNA(VLOOKUP($A809,'Mutasi Neraca'!$A$3:$S$910,12,FALSE)),0,VLOOKUP($A809,'Mutasi Neraca'!$A$3:$S$910,12,FALSE))</f>
        <v>9734348703</v>
      </c>
      <c r="N809" s="42">
        <f>VLOOKUP($A809,'Neraca Unaudited SIMAK'!$A$2:$R$1272,13,FALSE)+IF(ISNA(VLOOKUP($A809,'Mutasi Neraca'!$A$3:$S$910,13,FALSE)),0,VLOOKUP($A809,'Mutasi Neraca'!$A$3:$S$910,13,FALSE))</f>
        <v>-574639710</v>
      </c>
      <c r="O809" s="42">
        <f>VLOOKUP($A809,'Neraca Unaudited SIMAK'!$A$2:$R$1272,14,FALSE)+IF(ISNA(VLOOKUP($A809,'Mutasi Neraca'!$A$3:$S$910,14,FALSE)),0,VLOOKUP($A809,'Mutasi Neraca'!$A$3:$S$910,14,FALSE))</f>
        <v>-152707775</v>
      </c>
      <c r="P809" s="42">
        <f>VLOOKUP($A809,'Neraca Unaudited SIMAK'!$A$2:$R$1272,15,FALSE)+IF(ISNA(VLOOKUP($A809,'Mutasi Neraca'!$A$3:$S$910,15,FALSE)),0,VLOOKUP($A809,'Mutasi Neraca'!$A$3:$S$910,15,FALSE))</f>
        <v>-1640000</v>
      </c>
      <c r="Q809" s="42">
        <f>VLOOKUP($A809,'Neraca Unaudited SIMAK'!$A$2:$R$1272,16,FALSE)+IF(ISNA(VLOOKUP($A809,'Mutasi Neraca'!$A$3:$S$910,16,FALSE)),0,VLOOKUP($A809,'Mutasi Neraca'!$A$3:$S$910,16,FALSE))</f>
        <v>0</v>
      </c>
      <c r="R809" s="42">
        <f>VLOOKUP($A809,'Neraca Unaudited SIMAK'!$A$2:$R$1272,17,FALSE)+IF(ISNA(VLOOKUP($A809,'Mutasi Neraca'!$A$3:$S$910,17,FALSE)),0,VLOOKUP($A809,'Mutasi Neraca'!$A$3:$S$910,17,FALSE))</f>
        <v>-75171600</v>
      </c>
      <c r="S809" s="42">
        <f t="shared" si="67"/>
        <v>8930189618</v>
      </c>
    </row>
    <row r="810" spans="1:19">
      <c r="A810" s="41" t="s">
        <v>817</v>
      </c>
      <c r="B810" s="41" t="str">
        <f t="shared" si="66"/>
        <v>005013200</v>
      </c>
      <c r="D810" s="42">
        <f>VLOOKUP($A810,'Neraca Unaudited SIMAK'!$A$2:$R$1272,3,FALSE)+IF(ISNA(VLOOKUP($A810,'Mutasi Neraca'!$A$3:$S$910,3,FALSE)),0,VLOOKUP($A810,'Mutasi Neraca'!$A$3:$S$910,3,FALSE))</f>
        <v>129000</v>
      </c>
      <c r="E810" s="42">
        <f>VLOOKUP($A810,'Neraca Unaudited SIMAK'!$A$2:$R$1272,4,FALSE)+IF(ISNA(VLOOKUP($A810,'Mutasi Neraca'!$A$3:$S$910,4,FALSE)),0,VLOOKUP($A810,'Mutasi Neraca'!$A$3:$S$910,4,FALSE))</f>
        <v>484000000</v>
      </c>
      <c r="F810" s="42">
        <f>VLOOKUP($A810,'Neraca Unaudited SIMAK'!$A$2:$R$1272,5,FALSE)+IF(ISNA(VLOOKUP($A810,'Mutasi Neraca'!$A$3:$S$910,5,FALSE)),0,VLOOKUP($A810,'Mutasi Neraca'!$A$3:$S$910,5,FALSE))</f>
        <v>1673970417</v>
      </c>
      <c r="G810" s="42">
        <f>VLOOKUP($A810,'Neraca Unaudited SIMAK'!$A$2:$R$1272,6,FALSE)+IF(ISNA(VLOOKUP($A810,'Mutasi Neraca'!$A$3:$S$910,6,FALSE)),0,VLOOKUP($A810,'Mutasi Neraca'!$A$3:$S$910,6,FALSE))</f>
        <v>2441827700</v>
      </c>
      <c r="H810" s="42">
        <f>VLOOKUP($A810,'Neraca Unaudited SIMAK'!$A$2:$R$1272,7,FALSE)+IF(ISNA(VLOOKUP($A810,'Mutasi Neraca'!$A$3:$S$910,7,FALSE)),0,VLOOKUP($A810,'Mutasi Neraca'!$A$3:$S$910,7,FALSE))</f>
        <v>207018168</v>
      </c>
      <c r="I810" s="42">
        <f>VLOOKUP($A810,'Neraca Unaudited SIMAK'!$A$2:$R$1272,8,FALSE)+IF(ISNA(VLOOKUP($A810,'Mutasi Neraca'!$A$3:$S$910,8,FALSE)),0,VLOOKUP($A810,'Mutasi Neraca'!$A$3:$S$910,8,FALSE))</f>
        <v>1943440</v>
      </c>
      <c r="J810" s="42">
        <f>VLOOKUP($A810,'Neraca Unaudited SIMAK'!$A$2:$R$1272,9,FALSE)+IF(ISNA(VLOOKUP($A810,'Mutasi Neraca'!$A$3:$S$910,9,FALSE)),0,VLOOKUP($A810,'Mutasi Neraca'!$A$3:$S$910,9,FALSE))</f>
        <v>0</v>
      </c>
      <c r="K810" s="42">
        <f>VLOOKUP($A810,'Neraca Unaudited SIMAK'!$A$2:$R$1272,10,FALSE)+IF(ISNA(VLOOKUP($A810,'Mutasi Neraca'!$A$3:$S$910,10,FALSE)),0,VLOOKUP($A810,'Mutasi Neraca'!$A$3:$S$910,10,FALSE))</f>
        <v>0</v>
      </c>
      <c r="L810" s="42">
        <f>VLOOKUP($A810,'Neraca Unaudited SIMAK'!$A$2:$R$1272,11,FALSE)+IF(ISNA(VLOOKUP($A810,'Mutasi Neraca'!$A$3:$S$910,11,FALSE)),0,VLOOKUP($A810,'Mutasi Neraca'!$A$3:$S$910,11,FALSE))</f>
        <v>172592900</v>
      </c>
      <c r="M810" s="42">
        <f>VLOOKUP($A810,'Neraca Unaudited SIMAK'!$A$2:$R$1272,12,FALSE)+IF(ISNA(VLOOKUP($A810,'Mutasi Neraca'!$A$3:$S$910,12,FALSE)),0,VLOOKUP($A810,'Mutasi Neraca'!$A$3:$S$910,12,FALSE))</f>
        <v>4981481625</v>
      </c>
      <c r="N810" s="42">
        <f>VLOOKUP($A810,'Neraca Unaudited SIMAK'!$A$2:$R$1272,13,FALSE)+IF(ISNA(VLOOKUP($A810,'Mutasi Neraca'!$A$3:$S$910,13,FALSE)),0,VLOOKUP($A810,'Mutasi Neraca'!$A$3:$S$910,13,FALSE))</f>
        <v>-1415121382</v>
      </c>
      <c r="O810" s="42">
        <f>VLOOKUP($A810,'Neraca Unaudited SIMAK'!$A$2:$R$1272,14,FALSE)+IF(ISNA(VLOOKUP($A810,'Mutasi Neraca'!$A$3:$S$910,14,FALSE)),0,VLOOKUP($A810,'Mutasi Neraca'!$A$3:$S$910,14,FALSE))</f>
        <v>-463881832</v>
      </c>
      <c r="P810" s="42">
        <f>VLOOKUP($A810,'Neraca Unaudited SIMAK'!$A$2:$R$1272,15,FALSE)+IF(ISNA(VLOOKUP($A810,'Mutasi Neraca'!$A$3:$S$910,15,FALSE)),0,VLOOKUP($A810,'Mutasi Neraca'!$A$3:$S$910,15,FALSE))</f>
        <v>-33640451</v>
      </c>
      <c r="Q810" s="42">
        <f>VLOOKUP($A810,'Neraca Unaudited SIMAK'!$A$2:$R$1272,16,FALSE)+IF(ISNA(VLOOKUP($A810,'Mutasi Neraca'!$A$3:$S$910,16,FALSE)),0,VLOOKUP($A810,'Mutasi Neraca'!$A$3:$S$910,16,FALSE))</f>
        <v>0</v>
      </c>
      <c r="R810" s="42">
        <f>VLOOKUP($A810,'Neraca Unaudited SIMAK'!$A$2:$R$1272,17,FALSE)+IF(ISNA(VLOOKUP($A810,'Mutasi Neraca'!$A$3:$S$910,17,FALSE)),0,VLOOKUP($A810,'Mutasi Neraca'!$A$3:$S$910,17,FALSE))</f>
        <v>-172592900</v>
      </c>
      <c r="S810" s="42">
        <f t="shared" si="67"/>
        <v>2896245060</v>
      </c>
    </row>
    <row r="811" spans="1:19">
      <c r="A811" s="41" t="s">
        <v>818</v>
      </c>
      <c r="B811" s="41" t="str">
        <f t="shared" si="66"/>
        <v>005013200</v>
      </c>
      <c r="D811" s="42">
        <f>VLOOKUP($A811,'Neraca Unaudited SIMAK'!$A$2:$R$1272,3,FALSE)+IF(ISNA(VLOOKUP($A811,'Mutasi Neraca'!$A$3:$S$910,3,FALSE)),0,VLOOKUP($A811,'Mutasi Neraca'!$A$3:$S$910,3,FALSE))</f>
        <v>0</v>
      </c>
      <c r="E811" s="42">
        <f>VLOOKUP($A811,'Neraca Unaudited SIMAK'!$A$2:$R$1272,4,FALSE)+IF(ISNA(VLOOKUP($A811,'Mutasi Neraca'!$A$3:$S$910,4,FALSE)),0,VLOOKUP($A811,'Mutasi Neraca'!$A$3:$S$910,4,FALSE))</f>
        <v>1794000000</v>
      </c>
      <c r="F811" s="42">
        <f>VLOOKUP($A811,'Neraca Unaudited SIMAK'!$A$2:$R$1272,5,FALSE)+IF(ISNA(VLOOKUP($A811,'Mutasi Neraca'!$A$3:$S$910,5,FALSE)),0,VLOOKUP($A811,'Mutasi Neraca'!$A$3:$S$910,5,FALSE))</f>
        <v>1586817696</v>
      </c>
      <c r="G811" s="42">
        <f>VLOOKUP($A811,'Neraca Unaudited SIMAK'!$A$2:$R$1272,6,FALSE)+IF(ISNA(VLOOKUP($A811,'Mutasi Neraca'!$A$3:$S$910,6,FALSE)),0,VLOOKUP($A811,'Mutasi Neraca'!$A$3:$S$910,6,FALSE))</f>
        <v>14228339657</v>
      </c>
      <c r="H811" s="42">
        <f>VLOOKUP($A811,'Neraca Unaudited SIMAK'!$A$2:$R$1272,7,FALSE)+IF(ISNA(VLOOKUP($A811,'Mutasi Neraca'!$A$3:$S$910,7,FALSE)),0,VLOOKUP($A811,'Mutasi Neraca'!$A$3:$S$910,7,FALSE))</f>
        <v>0</v>
      </c>
      <c r="I811" s="42">
        <f>VLOOKUP($A811,'Neraca Unaudited SIMAK'!$A$2:$R$1272,8,FALSE)+IF(ISNA(VLOOKUP($A811,'Mutasi Neraca'!$A$3:$S$910,8,FALSE)),0,VLOOKUP($A811,'Mutasi Neraca'!$A$3:$S$910,8,FALSE))</f>
        <v>1943440</v>
      </c>
      <c r="J811" s="42">
        <f>VLOOKUP($A811,'Neraca Unaudited SIMAK'!$A$2:$R$1272,9,FALSE)+IF(ISNA(VLOOKUP($A811,'Mutasi Neraca'!$A$3:$S$910,9,FALSE)),0,VLOOKUP($A811,'Mutasi Neraca'!$A$3:$S$910,9,FALSE))</f>
        <v>0</v>
      </c>
      <c r="K811" s="42">
        <f>VLOOKUP($A811,'Neraca Unaudited SIMAK'!$A$2:$R$1272,10,FALSE)+IF(ISNA(VLOOKUP($A811,'Mutasi Neraca'!$A$3:$S$910,10,FALSE)),0,VLOOKUP($A811,'Mutasi Neraca'!$A$3:$S$910,10,FALSE))</f>
        <v>0</v>
      </c>
      <c r="L811" s="42">
        <f>VLOOKUP($A811,'Neraca Unaudited SIMAK'!$A$2:$R$1272,11,FALSE)+IF(ISNA(VLOOKUP($A811,'Mutasi Neraca'!$A$3:$S$910,11,FALSE)),0,VLOOKUP($A811,'Mutasi Neraca'!$A$3:$S$910,11,FALSE))</f>
        <v>0</v>
      </c>
      <c r="M811" s="42">
        <f>VLOOKUP($A811,'Neraca Unaudited SIMAK'!$A$2:$R$1272,12,FALSE)+IF(ISNA(VLOOKUP($A811,'Mutasi Neraca'!$A$3:$S$910,12,FALSE)),0,VLOOKUP($A811,'Mutasi Neraca'!$A$3:$S$910,12,FALSE))</f>
        <v>17611100793</v>
      </c>
      <c r="N811" s="42">
        <f>VLOOKUP($A811,'Neraca Unaudited SIMAK'!$A$2:$R$1272,13,FALSE)+IF(ISNA(VLOOKUP($A811,'Mutasi Neraca'!$A$3:$S$910,13,FALSE)),0,VLOOKUP($A811,'Mutasi Neraca'!$A$3:$S$910,13,FALSE))</f>
        <v>-988710348</v>
      </c>
      <c r="O811" s="42">
        <f>VLOOKUP($A811,'Neraca Unaudited SIMAK'!$A$2:$R$1272,14,FALSE)+IF(ISNA(VLOOKUP($A811,'Mutasi Neraca'!$A$3:$S$910,14,FALSE)),0,VLOOKUP($A811,'Mutasi Neraca'!$A$3:$S$910,14,FALSE))</f>
        <v>-142283397</v>
      </c>
      <c r="P811" s="42">
        <f>VLOOKUP($A811,'Neraca Unaudited SIMAK'!$A$2:$R$1272,15,FALSE)+IF(ISNA(VLOOKUP($A811,'Mutasi Neraca'!$A$3:$S$910,15,FALSE)),0,VLOOKUP($A811,'Mutasi Neraca'!$A$3:$S$910,15,FALSE))</f>
        <v>0</v>
      </c>
      <c r="Q811" s="42">
        <f>VLOOKUP($A811,'Neraca Unaudited SIMAK'!$A$2:$R$1272,16,FALSE)+IF(ISNA(VLOOKUP($A811,'Mutasi Neraca'!$A$3:$S$910,16,FALSE)),0,VLOOKUP($A811,'Mutasi Neraca'!$A$3:$S$910,16,FALSE))</f>
        <v>0</v>
      </c>
      <c r="R811" s="42">
        <f>VLOOKUP($A811,'Neraca Unaudited SIMAK'!$A$2:$R$1272,17,FALSE)+IF(ISNA(VLOOKUP($A811,'Mutasi Neraca'!$A$3:$S$910,17,FALSE)),0,VLOOKUP($A811,'Mutasi Neraca'!$A$3:$S$910,17,FALSE))</f>
        <v>0</v>
      </c>
      <c r="S811" s="42">
        <f t="shared" si="67"/>
        <v>16480107048</v>
      </c>
    </row>
    <row r="812" spans="1:19">
      <c r="A812" s="41" t="s">
        <v>819</v>
      </c>
      <c r="B812" s="41" t="str">
        <f t="shared" si="66"/>
        <v>005013200</v>
      </c>
      <c r="D812" s="42">
        <f>VLOOKUP($A812,'Neraca Unaudited SIMAK'!$A$2:$R$1272,3,FALSE)+IF(ISNA(VLOOKUP($A812,'Mutasi Neraca'!$A$3:$S$910,3,FALSE)),0,VLOOKUP($A812,'Mutasi Neraca'!$A$3:$S$910,3,FALSE))</f>
        <v>0</v>
      </c>
      <c r="E812" s="42">
        <f>VLOOKUP($A812,'Neraca Unaudited SIMAK'!$A$2:$R$1272,4,FALSE)+IF(ISNA(VLOOKUP($A812,'Mutasi Neraca'!$A$3:$S$910,4,FALSE)),0,VLOOKUP($A812,'Mutasi Neraca'!$A$3:$S$910,4,FALSE))</f>
        <v>0</v>
      </c>
      <c r="F812" s="42">
        <f>VLOOKUP($A812,'Neraca Unaudited SIMAK'!$A$2:$R$1272,5,FALSE)+IF(ISNA(VLOOKUP($A812,'Mutasi Neraca'!$A$3:$S$910,5,FALSE)),0,VLOOKUP($A812,'Mutasi Neraca'!$A$3:$S$910,5,FALSE))</f>
        <v>997333215</v>
      </c>
      <c r="G812" s="42">
        <f>VLOOKUP($A812,'Neraca Unaudited SIMAK'!$A$2:$R$1272,6,FALSE)+IF(ISNA(VLOOKUP($A812,'Mutasi Neraca'!$A$3:$S$910,6,FALSE)),0,VLOOKUP($A812,'Mutasi Neraca'!$A$3:$S$910,6,FALSE))</f>
        <v>0</v>
      </c>
      <c r="H812" s="42">
        <f>VLOOKUP($A812,'Neraca Unaudited SIMAK'!$A$2:$R$1272,7,FALSE)+IF(ISNA(VLOOKUP($A812,'Mutasi Neraca'!$A$3:$S$910,7,FALSE)),0,VLOOKUP($A812,'Mutasi Neraca'!$A$3:$S$910,7,FALSE))</f>
        <v>8614096</v>
      </c>
      <c r="I812" s="42">
        <f>VLOOKUP($A812,'Neraca Unaudited SIMAK'!$A$2:$R$1272,8,FALSE)+IF(ISNA(VLOOKUP($A812,'Mutasi Neraca'!$A$3:$S$910,8,FALSE)),0,VLOOKUP($A812,'Mutasi Neraca'!$A$3:$S$910,8,FALSE))</f>
        <v>0</v>
      </c>
      <c r="J812" s="42">
        <f>VLOOKUP($A812,'Neraca Unaudited SIMAK'!$A$2:$R$1272,9,FALSE)+IF(ISNA(VLOOKUP($A812,'Mutasi Neraca'!$A$3:$S$910,9,FALSE)),0,VLOOKUP($A812,'Mutasi Neraca'!$A$3:$S$910,9,FALSE))</f>
        <v>0</v>
      </c>
      <c r="K812" s="42">
        <f>VLOOKUP($A812,'Neraca Unaudited SIMAK'!$A$2:$R$1272,10,FALSE)+IF(ISNA(VLOOKUP($A812,'Mutasi Neraca'!$A$3:$S$910,10,FALSE)),0,VLOOKUP($A812,'Mutasi Neraca'!$A$3:$S$910,10,FALSE))</f>
        <v>36302544</v>
      </c>
      <c r="L812" s="42">
        <f>VLOOKUP($A812,'Neraca Unaudited SIMAK'!$A$2:$R$1272,11,FALSE)+IF(ISNA(VLOOKUP($A812,'Mutasi Neraca'!$A$3:$S$910,11,FALSE)),0,VLOOKUP($A812,'Mutasi Neraca'!$A$3:$S$910,11,FALSE))</f>
        <v>0</v>
      </c>
      <c r="M812" s="42">
        <f>VLOOKUP($A812,'Neraca Unaudited SIMAK'!$A$2:$R$1272,12,FALSE)+IF(ISNA(VLOOKUP($A812,'Mutasi Neraca'!$A$3:$S$910,12,FALSE)),0,VLOOKUP($A812,'Mutasi Neraca'!$A$3:$S$910,12,FALSE))</f>
        <v>1042249855</v>
      </c>
      <c r="N812" s="42">
        <f>VLOOKUP($A812,'Neraca Unaudited SIMAK'!$A$2:$R$1272,13,FALSE)+IF(ISNA(VLOOKUP($A812,'Mutasi Neraca'!$A$3:$S$910,13,FALSE)),0,VLOOKUP($A812,'Mutasi Neraca'!$A$3:$S$910,13,FALSE))</f>
        <v>-595049774</v>
      </c>
      <c r="O812" s="42">
        <f>VLOOKUP($A812,'Neraca Unaudited SIMAK'!$A$2:$R$1272,14,FALSE)+IF(ISNA(VLOOKUP($A812,'Mutasi Neraca'!$A$3:$S$910,14,FALSE)),0,VLOOKUP($A812,'Mutasi Neraca'!$A$3:$S$910,14,FALSE))</f>
        <v>0</v>
      </c>
      <c r="P812" s="42">
        <f>VLOOKUP($A812,'Neraca Unaudited SIMAK'!$A$2:$R$1272,15,FALSE)+IF(ISNA(VLOOKUP($A812,'Mutasi Neraca'!$A$3:$S$910,15,FALSE)),0,VLOOKUP($A812,'Mutasi Neraca'!$A$3:$S$910,15,FALSE))</f>
        <v>-4307045</v>
      </c>
      <c r="Q812" s="42">
        <f>VLOOKUP($A812,'Neraca Unaudited SIMAK'!$A$2:$R$1272,16,FALSE)+IF(ISNA(VLOOKUP($A812,'Mutasi Neraca'!$A$3:$S$910,16,FALSE)),0,VLOOKUP($A812,'Mutasi Neraca'!$A$3:$S$910,16,FALSE))</f>
        <v>0</v>
      </c>
      <c r="R812" s="42">
        <f>VLOOKUP($A812,'Neraca Unaudited SIMAK'!$A$2:$R$1272,17,FALSE)+IF(ISNA(VLOOKUP($A812,'Mutasi Neraca'!$A$3:$S$910,17,FALSE)),0,VLOOKUP($A812,'Mutasi Neraca'!$A$3:$S$910,17,FALSE))</f>
        <v>0</v>
      </c>
      <c r="S812" s="42">
        <f t="shared" si="67"/>
        <v>442893036</v>
      </c>
    </row>
    <row r="813" spans="1:19">
      <c r="A813" s="41" t="s">
        <v>820</v>
      </c>
      <c r="B813" s="41" t="str">
        <f t="shared" si="66"/>
        <v>005013300</v>
      </c>
      <c r="D813" s="42">
        <f>VLOOKUP($A813,'Neraca Unaudited SIMAK'!$A$2:$R$1272,3,FALSE)+IF(ISNA(VLOOKUP($A813,'Mutasi Neraca'!$A$3:$S$910,3,FALSE)),0,VLOOKUP($A813,'Mutasi Neraca'!$A$3:$S$910,3,FALSE))</f>
        <v>1733500</v>
      </c>
      <c r="E813" s="42">
        <f>VLOOKUP($A813,'Neraca Unaudited SIMAK'!$A$2:$R$1272,4,FALSE)+IF(ISNA(VLOOKUP($A813,'Mutasi Neraca'!$A$3:$S$910,4,FALSE)),0,VLOOKUP($A813,'Mutasi Neraca'!$A$3:$S$910,4,FALSE))</f>
        <v>67915000</v>
      </c>
      <c r="F813" s="42">
        <f>VLOOKUP($A813,'Neraca Unaudited SIMAK'!$A$2:$R$1272,5,FALSE)+IF(ISNA(VLOOKUP($A813,'Mutasi Neraca'!$A$3:$S$910,5,FALSE)),0,VLOOKUP($A813,'Mutasi Neraca'!$A$3:$S$910,5,FALSE))</f>
        <v>2118209328</v>
      </c>
      <c r="G813" s="42">
        <f>VLOOKUP($A813,'Neraca Unaudited SIMAK'!$A$2:$R$1272,6,FALSE)+IF(ISNA(VLOOKUP($A813,'Mutasi Neraca'!$A$3:$S$910,6,FALSE)),0,VLOOKUP($A813,'Mutasi Neraca'!$A$3:$S$910,6,FALSE))</f>
        <v>7416291200</v>
      </c>
      <c r="H813" s="42">
        <f>VLOOKUP($A813,'Neraca Unaudited SIMAK'!$A$2:$R$1272,7,FALSE)+IF(ISNA(VLOOKUP($A813,'Mutasi Neraca'!$A$3:$S$910,7,FALSE)),0,VLOOKUP($A813,'Mutasi Neraca'!$A$3:$S$910,7,FALSE))</f>
        <v>863290000</v>
      </c>
      <c r="I813" s="42">
        <f>VLOOKUP($A813,'Neraca Unaudited SIMAK'!$A$2:$R$1272,8,FALSE)+IF(ISNA(VLOOKUP($A813,'Mutasi Neraca'!$A$3:$S$910,8,FALSE)),0,VLOOKUP($A813,'Mutasi Neraca'!$A$3:$S$910,8,FALSE))</f>
        <v>61176209</v>
      </c>
      <c r="J813" s="42">
        <f>VLOOKUP($A813,'Neraca Unaudited SIMAK'!$A$2:$R$1272,9,FALSE)+IF(ISNA(VLOOKUP($A813,'Mutasi Neraca'!$A$3:$S$910,9,FALSE)),0,VLOOKUP($A813,'Mutasi Neraca'!$A$3:$S$910,9,FALSE))</f>
        <v>199100000</v>
      </c>
      <c r="K813" s="42">
        <f>VLOOKUP($A813,'Neraca Unaudited SIMAK'!$A$2:$R$1272,10,FALSE)+IF(ISNA(VLOOKUP($A813,'Mutasi Neraca'!$A$3:$S$910,10,FALSE)),0,VLOOKUP($A813,'Mutasi Neraca'!$A$3:$S$910,10,FALSE))</f>
        <v>0</v>
      </c>
      <c r="L813" s="42">
        <f>VLOOKUP($A813,'Neraca Unaudited SIMAK'!$A$2:$R$1272,11,FALSE)+IF(ISNA(VLOOKUP($A813,'Mutasi Neraca'!$A$3:$S$910,11,FALSE)),0,VLOOKUP($A813,'Mutasi Neraca'!$A$3:$S$910,11,FALSE))</f>
        <v>0</v>
      </c>
      <c r="M813" s="42">
        <f>VLOOKUP($A813,'Neraca Unaudited SIMAK'!$A$2:$R$1272,12,FALSE)+IF(ISNA(VLOOKUP($A813,'Mutasi Neraca'!$A$3:$S$910,12,FALSE)),0,VLOOKUP($A813,'Mutasi Neraca'!$A$3:$S$910,12,FALSE))</f>
        <v>10727715237</v>
      </c>
      <c r="N813" s="42">
        <f>VLOOKUP($A813,'Neraca Unaudited SIMAK'!$A$2:$R$1272,13,FALSE)+IF(ISNA(VLOOKUP($A813,'Mutasi Neraca'!$A$3:$S$910,13,FALSE)),0,VLOOKUP($A813,'Mutasi Neraca'!$A$3:$S$910,13,FALSE))</f>
        <v>-1655877817</v>
      </c>
      <c r="O813" s="42">
        <f>VLOOKUP($A813,'Neraca Unaudited SIMAK'!$A$2:$R$1272,14,FALSE)+IF(ISNA(VLOOKUP($A813,'Mutasi Neraca'!$A$3:$S$910,14,FALSE)),0,VLOOKUP($A813,'Mutasi Neraca'!$A$3:$S$910,14,FALSE))</f>
        <v>-1634612633</v>
      </c>
      <c r="P813" s="42">
        <f>VLOOKUP($A813,'Neraca Unaudited SIMAK'!$A$2:$R$1272,15,FALSE)+IF(ISNA(VLOOKUP($A813,'Mutasi Neraca'!$A$3:$S$910,15,FALSE)),0,VLOOKUP($A813,'Mutasi Neraca'!$A$3:$S$910,15,FALSE))</f>
        <v>-672030000</v>
      </c>
      <c r="Q813" s="42">
        <f>VLOOKUP($A813,'Neraca Unaudited SIMAK'!$A$2:$R$1272,16,FALSE)+IF(ISNA(VLOOKUP($A813,'Mutasi Neraca'!$A$3:$S$910,16,FALSE)),0,VLOOKUP($A813,'Mutasi Neraca'!$A$3:$S$910,16,FALSE))</f>
        <v>0</v>
      </c>
      <c r="R813" s="42">
        <f>VLOOKUP($A813,'Neraca Unaudited SIMAK'!$A$2:$R$1272,17,FALSE)+IF(ISNA(VLOOKUP($A813,'Mutasi Neraca'!$A$3:$S$910,17,FALSE)),0,VLOOKUP($A813,'Mutasi Neraca'!$A$3:$S$910,17,FALSE))</f>
        <v>0</v>
      </c>
      <c r="S813" s="42">
        <f t="shared" si="67"/>
        <v>6765194787</v>
      </c>
    </row>
    <row r="814" spans="1:19">
      <c r="A814" s="41" t="s">
        <v>821</v>
      </c>
      <c r="B814" s="41" t="str">
        <f t="shared" si="66"/>
        <v>005013300</v>
      </c>
      <c r="D814" s="42">
        <f>VLOOKUP($A814,'Neraca Unaudited SIMAK'!$A$2:$R$1272,3,FALSE)+IF(ISNA(VLOOKUP($A814,'Mutasi Neraca'!$A$3:$S$910,3,FALSE)),0,VLOOKUP($A814,'Mutasi Neraca'!$A$3:$S$910,3,FALSE))</f>
        <v>8855000</v>
      </c>
      <c r="E814" s="42">
        <f>VLOOKUP($A814,'Neraca Unaudited SIMAK'!$A$2:$R$1272,4,FALSE)+IF(ISNA(VLOOKUP($A814,'Mutasi Neraca'!$A$3:$S$910,4,FALSE)),0,VLOOKUP($A814,'Mutasi Neraca'!$A$3:$S$910,4,FALSE))</f>
        <v>19291453000</v>
      </c>
      <c r="F814" s="42">
        <f>VLOOKUP($A814,'Neraca Unaudited SIMAK'!$A$2:$R$1272,5,FALSE)+IF(ISNA(VLOOKUP($A814,'Mutasi Neraca'!$A$3:$S$910,5,FALSE)),0,VLOOKUP($A814,'Mutasi Neraca'!$A$3:$S$910,5,FALSE))</f>
        <v>2320241488</v>
      </c>
      <c r="G814" s="42">
        <f>VLOOKUP($A814,'Neraca Unaudited SIMAK'!$A$2:$R$1272,6,FALSE)+IF(ISNA(VLOOKUP($A814,'Mutasi Neraca'!$A$3:$S$910,6,FALSE)),0,VLOOKUP($A814,'Mutasi Neraca'!$A$3:$S$910,6,FALSE))</f>
        <v>4677825050</v>
      </c>
      <c r="H814" s="42">
        <f>VLOOKUP($A814,'Neraca Unaudited SIMAK'!$A$2:$R$1272,7,FALSE)+IF(ISNA(VLOOKUP($A814,'Mutasi Neraca'!$A$3:$S$910,7,FALSE)),0,VLOOKUP($A814,'Mutasi Neraca'!$A$3:$S$910,7,FALSE))</f>
        <v>0</v>
      </c>
      <c r="I814" s="42">
        <f>VLOOKUP($A814,'Neraca Unaudited SIMAK'!$A$2:$R$1272,8,FALSE)+IF(ISNA(VLOOKUP($A814,'Mutasi Neraca'!$A$3:$S$910,8,FALSE)),0,VLOOKUP($A814,'Mutasi Neraca'!$A$3:$S$910,8,FALSE))</f>
        <v>23743440</v>
      </c>
      <c r="J814" s="42">
        <f>VLOOKUP($A814,'Neraca Unaudited SIMAK'!$A$2:$R$1272,9,FALSE)+IF(ISNA(VLOOKUP($A814,'Mutasi Neraca'!$A$3:$S$910,9,FALSE)),0,VLOOKUP($A814,'Mutasi Neraca'!$A$3:$S$910,9,FALSE))</f>
        <v>0</v>
      </c>
      <c r="K814" s="42">
        <f>VLOOKUP($A814,'Neraca Unaudited SIMAK'!$A$2:$R$1272,10,FALSE)+IF(ISNA(VLOOKUP($A814,'Mutasi Neraca'!$A$3:$S$910,10,FALSE)),0,VLOOKUP($A814,'Mutasi Neraca'!$A$3:$S$910,10,FALSE))</f>
        <v>62065000</v>
      </c>
      <c r="L814" s="42">
        <f>VLOOKUP($A814,'Neraca Unaudited SIMAK'!$A$2:$R$1272,11,FALSE)+IF(ISNA(VLOOKUP($A814,'Mutasi Neraca'!$A$3:$S$910,11,FALSE)),0,VLOOKUP($A814,'Mutasi Neraca'!$A$3:$S$910,11,FALSE))</f>
        <v>0</v>
      </c>
      <c r="M814" s="42">
        <f>VLOOKUP($A814,'Neraca Unaudited SIMAK'!$A$2:$R$1272,12,FALSE)+IF(ISNA(VLOOKUP($A814,'Mutasi Neraca'!$A$3:$S$910,12,FALSE)),0,VLOOKUP($A814,'Mutasi Neraca'!$A$3:$S$910,12,FALSE))</f>
        <v>26384182978</v>
      </c>
      <c r="N814" s="42">
        <f>VLOOKUP($A814,'Neraca Unaudited SIMAK'!$A$2:$R$1272,13,FALSE)+IF(ISNA(VLOOKUP($A814,'Mutasi Neraca'!$A$3:$S$910,13,FALSE)),0,VLOOKUP($A814,'Mutasi Neraca'!$A$3:$S$910,13,FALSE))</f>
        <v>-1796091277</v>
      </c>
      <c r="O814" s="42">
        <f>VLOOKUP($A814,'Neraca Unaudited SIMAK'!$A$2:$R$1272,14,FALSE)+IF(ISNA(VLOOKUP($A814,'Mutasi Neraca'!$A$3:$S$910,14,FALSE)),0,VLOOKUP($A814,'Mutasi Neraca'!$A$3:$S$910,14,FALSE))</f>
        <v>-954950538</v>
      </c>
      <c r="P814" s="42">
        <f>VLOOKUP($A814,'Neraca Unaudited SIMAK'!$A$2:$R$1272,15,FALSE)+IF(ISNA(VLOOKUP($A814,'Mutasi Neraca'!$A$3:$S$910,15,FALSE)),0,VLOOKUP($A814,'Mutasi Neraca'!$A$3:$S$910,15,FALSE))</f>
        <v>0</v>
      </c>
      <c r="Q814" s="42">
        <f>VLOOKUP($A814,'Neraca Unaudited SIMAK'!$A$2:$R$1272,16,FALSE)+IF(ISNA(VLOOKUP($A814,'Mutasi Neraca'!$A$3:$S$910,16,FALSE)),0,VLOOKUP($A814,'Mutasi Neraca'!$A$3:$S$910,16,FALSE))</f>
        <v>0</v>
      </c>
      <c r="R814" s="42">
        <f>VLOOKUP($A814,'Neraca Unaudited SIMAK'!$A$2:$R$1272,17,FALSE)+IF(ISNA(VLOOKUP($A814,'Mutasi Neraca'!$A$3:$S$910,17,FALSE)),0,VLOOKUP($A814,'Mutasi Neraca'!$A$3:$S$910,17,FALSE))</f>
        <v>0</v>
      </c>
      <c r="S814" s="42">
        <f t="shared" si="67"/>
        <v>23633141163</v>
      </c>
    </row>
    <row r="815" spans="1:19">
      <c r="A815" s="41" t="s">
        <v>822</v>
      </c>
      <c r="B815" s="41" t="str">
        <f t="shared" si="66"/>
        <v>005013300</v>
      </c>
      <c r="D815" s="42">
        <f>VLOOKUP($A815,'Neraca Unaudited SIMAK'!$A$2:$R$1272,3,FALSE)+IF(ISNA(VLOOKUP($A815,'Mutasi Neraca'!$A$3:$S$910,3,FALSE)),0,VLOOKUP($A815,'Mutasi Neraca'!$A$3:$S$910,3,FALSE))</f>
        <v>0</v>
      </c>
      <c r="E815" s="42">
        <f>VLOOKUP($A815,'Neraca Unaudited SIMAK'!$A$2:$R$1272,4,FALSE)+IF(ISNA(VLOOKUP($A815,'Mutasi Neraca'!$A$3:$S$910,4,FALSE)),0,VLOOKUP($A815,'Mutasi Neraca'!$A$3:$S$910,4,FALSE))</f>
        <v>2088445000</v>
      </c>
      <c r="F815" s="42">
        <f>VLOOKUP($A815,'Neraca Unaudited SIMAK'!$A$2:$R$1272,5,FALSE)+IF(ISNA(VLOOKUP($A815,'Mutasi Neraca'!$A$3:$S$910,5,FALSE)),0,VLOOKUP($A815,'Mutasi Neraca'!$A$3:$S$910,5,FALSE))</f>
        <v>1990377768</v>
      </c>
      <c r="G815" s="42">
        <f>VLOOKUP($A815,'Neraca Unaudited SIMAK'!$A$2:$R$1272,6,FALSE)+IF(ISNA(VLOOKUP($A815,'Mutasi Neraca'!$A$3:$S$910,6,FALSE)),0,VLOOKUP($A815,'Mutasi Neraca'!$A$3:$S$910,6,FALSE))</f>
        <v>13189784845</v>
      </c>
      <c r="H815" s="42">
        <f>VLOOKUP($A815,'Neraca Unaudited SIMAK'!$A$2:$R$1272,7,FALSE)+IF(ISNA(VLOOKUP($A815,'Mutasi Neraca'!$A$3:$S$910,7,FALSE)),0,VLOOKUP($A815,'Mutasi Neraca'!$A$3:$S$910,7,FALSE))</f>
        <v>66431000</v>
      </c>
      <c r="I815" s="42">
        <f>VLOOKUP($A815,'Neraca Unaudited SIMAK'!$A$2:$R$1272,8,FALSE)+IF(ISNA(VLOOKUP($A815,'Mutasi Neraca'!$A$3:$S$910,8,FALSE)),0,VLOOKUP($A815,'Mutasi Neraca'!$A$3:$S$910,8,FALSE))</f>
        <v>41943444</v>
      </c>
      <c r="J815" s="42">
        <f>VLOOKUP($A815,'Neraca Unaudited SIMAK'!$A$2:$R$1272,9,FALSE)+IF(ISNA(VLOOKUP($A815,'Mutasi Neraca'!$A$3:$S$910,9,FALSE)),0,VLOOKUP($A815,'Mutasi Neraca'!$A$3:$S$910,9,FALSE))</f>
        <v>182763055</v>
      </c>
      <c r="K815" s="42">
        <f>VLOOKUP($A815,'Neraca Unaudited SIMAK'!$A$2:$R$1272,10,FALSE)+IF(ISNA(VLOOKUP($A815,'Mutasi Neraca'!$A$3:$S$910,10,FALSE)),0,VLOOKUP($A815,'Mutasi Neraca'!$A$3:$S$910,10,FALSE))</f>
        <v>0</v>
      </c>
      <c r="L815" s="42">
        <f>VLOOKUP($A815,'Neraca Unaudited SIMAK'!$A$2:$R$1272,11,FALSE)+IF(ISNA(VLOOKUP($A815,'Mutasi Neraca'!$A$3:$S$910,11,FALSE)),0,VLOOKUP($A815,'Mutasi Neraca'!$A$3:$S$910,11,FALSE))</f>
        <v>70258480</v>
      </c>
      <c r="M815" s="42">
        <f>VLOOKUP($A815,'Neraca Unaudited SIMAK'!$A$2:$R$1272,12,FALSE)+IF(ISNA(VLOOKUP($A815,'Mutasi Neraca'!$A$3:$S$910,12,FALSE)),0,VLOOKUP($A815,'Mutasi Neraca'!$A$3:$S$910,12,FALSE))</f>
        <v>17630003592</v>
      </c>
      <c r="N815" s="42">
        <f>VLOOKUP($A815,'Neraca Unaudited SIMAK'!$A$2:$R$1272,13,FALSE)+IF(ISNA(VLOOKUP($A815,'Mutasi Neraca'!$A$3:$S$910,13,FALSE)),0,VLOOKUP($A815,'Mutasi Neraca'!$A$3:$S$910,13,FALSE))</f>
        <v>-1818227249</v>
      </c>
      <c r="O815" s="42">
        <f>VLOOKUP($A815,'Neraca Unaudited SIMAK'!$A$2:$R$1272,14,FALSE)+IF(ISNA(VLOOKUP($A815,'Mutasi Neraca'!$A$3:$S$910,14,FALSE)),0,VLOOKUP($A815,'Mutasi Neraca'!$A$3:$S$910,14,FALSE))</f>
        <v>-2435204306</v>
      </c>
      <c r="P815" s="42">
        <f>VLOOKUP($A815,'Neraca Unaudited SIMAK'!$A$2:$R$1272,15,FALSE)+IF(ISNA(VLOOKUP($A815,'Mutasi Neraca'!$A$3:$S$910,15,FALSE)),0,VLOOKUP($A815,'Mutasi Neraca'!$A$3:$S$910,15,FALSE))</f>
        <v>-55696588</v>
      </c>
      <c r="Q815" s="42">
        <f>VLOOKUP($A815,'Neraca Unaudited SIMAK'!$A$2:$R$1272,16,FALSE)+IF(ISNA(VLOOKUP($A815,'Mutasi Neraca'!$A$3:$S$910,16,FALSE)),0,VLOOKUP($A815,'Mutasi Neraca'!$A$3:$S$910,16,FALSE))</f>
        <v>0</v>
      </c>
      <c r="R815" s="42">
        <f>VLOOKUP($A815,'Neraca Unaudited SIMAK'!$A$2:$R$1272,17,FALSE)+IF(ISNA(VLOOKUP($A815,'Mutasi Neraca'!$A$3:$S$910,17,FALSE)),0,VLOOKUP($A815,'Mutasi Neraca'!$A$3:$S$910,17,FALSE))</f>
        <v>-70258480</v>
      </c>
      <c r="S815" s="42">
        <f t="shared" si="67"/>
        <v>13250616969</v>
      </c>
    </row>
    <row r="816" spans="1:19">
      <c r="A816" s="41" t="s">
        <v>823</v>
      </c>
      <c r="B816" s="41" t="str">
        <f t="shared" si="66"/>
        <v>005013300</v>
      </c>
      <c r="D816" s="42">
        <f>VLOOKUP($A816,'Neraca Unaudited SIMAK'!$A$2:$R$1272,3,FALSE)+IF(ISNA(VLOOKUP($A816,'Mutasi Neraca'!$A$3:$S$910,3,FALSE)),0,VLOOKUP($A816,'Mutasi Neraca'!$A$3:$S$910,3,FALSE))</f>
        <v>1203150</v>
      </c>
      <c r="E816" s="42">
        <f>VLOOKUP($A816,'Neraca Unaudited SIMAK'!$A$2:$R$1272,4,FALSE)+IF(ISNA(VLOOKUP($A816,'Mutasi Neraca'!$A$3:$S$910,4,FALSE)),0,VLOOKUP($A816,'Mutasi Neraca'!$A$3:$S$910,4,FALSE))</f>
        <v>2153400000</v>
      </c>
      <c r="F816" s="42">
        <f>VLOOKUP($A816,'Neraca Unaudited SIMAK'!$A$2:$R$1272,5,FALSE)+IF(ISNA(VLOOKUP($A816,'Mutasi Neraca'!$A$3:$S$910,5,FALSE)),0,VLOOKUP($A816,'Mutasi Neraca'!$A$3:$S$910,5,FALSE))</f>
        <v>1633290023</v>
      </c>
      <c r="G816" s="42">
        <f>VLOOKUP($A816,'Neraca Unaudited SIMAK'!$A$2:$R$1272,6,FALSE)+IF(ISNA(VLOOKUP($A816,'Mutasi Neraca'!$A$3:$S$910,6,FALSE)),0,VLOOKUP($A816,'Mutasi Neraca'!$A$3:$S$910,6,FALSE))</f>
        <v>11199818460</v>
      </c>
      <c r="H816" s="42">
        <f>VLOOKUP($A816,'Neraca Unaudited SIMAK'!$A$2:$R$1272,7,FALSE)+IF(ISNA(VLOOKUP($A816,'Mutasi Neraca'!$A$3:$S$910,7,FALSE)),0,VLOOKUP($A816,'Mutasi Neraca'!$A$3:$S$910,7,FALSE))</f>
        <v>0</v>
      </c>
      <c r="I816" s="42">
        <f>VLOOKUP($A816,'Neraca Unaudited SIMAK'!$A$2:$R$1272,8,FALSE)+IF(ISNA(VLOOKUP($A816,'Mutasi Neraca'!$A$3:$S$910,8,FALSE)),0,VLOOKUP($A816,'Mutasi Neraca'!$A$3:$S$910,8,FALSE))</f>
        <v>1787470</v>
      </c>
      <c r="J816" s="42">
        <f>VLOOKUP($A816,'Neraca Unaudited SIMAK'!$A$2:$R$1272,9,FALSE)+IF(ISNA(VLOOKUP($A816,'Mutasi Neraca'!$A$3:$S$910,9,FALSE)),0,VLOOKUP($A816,'Mutasi Neraca'!$A$3:$S$910,9,FALSE))</f>
        <v>0</v>
      </c>
      <c r="K816" s="42">
        <f>VLOOKUP($A816,'Neraca Unaudited SIMAK'!$A$2:$R$1272,10,FALSE)+IF(ISNA(VLOOKUP($A816,'Mutasi Neraca'!$A$3:$S$910,10,FALSE)),0,VLOOKUP($A816,'Mutasi Neraca'!$A$3:$S$910,10,FALSE))</f>
        <v>20750000</v>
      </c>
      <c r="L816" s="42">
        <f>VLOOKUP($A816,'Neraca Unaudited SIMAK'!$A$2:$R$1272,11,FALSE)+IF(ISNA(VLOOKUP($A816,'Mutasi Neraca'!$A$3:$S$910,11,FALSE)),0,VLOOKUP($A816,'Mutasi Neraca'!$A$3:$S$910,11,FALSE))</f>
        <v>128083958</v>
      </c>
      <c r="M816" s="42">
        <f>VLOOKUP($A816,'Neraca Unaudited SIMAK'!$A$2:$R$1272,12,FALSE)+IF(ISNA(VLOOKUP($A816,'Mutasi Neraca'!$A$3:$S$910,12,FALSE)),0,VLOOKUP($A816,'Mutasi Neraca'!$A$3:$S$910,12,FALSE))</f>
        <v>15138333061</v>
      </c>
      <c r="N816" s="42">
        <f>VLOOKUP($A816,'Neraca Unaudited SIMAK'!$A$2:$R$1272,13,FALSE)+IF(ISNA(VLOOKUP($A816,'Mutasi Neraca'!$A$3:$S$910,13,FALSE)),0,VLOOKUP($A816,'Mutasi Neraca'!$A$3:$S$910,13,FALSE))</f>
        <v>-871946514</v>
      </c>
      <c r="O816" s="42">
        <f>VLOOKUP($A816,'Neraca Unaudited SIMAK'!$A$2:$R$1272,14,FALSE)+IF(ISNA(VLOOKUP($A816,'Mutasi Neraca'!$A$3:$S$910,14,FALSE)),0,VLOOKUP($A816,'Mutasi Neraca'!$A$3:$S$910,14,FALSE))</f>
        <v>-1032496915</v>
      </c>
      <c r="P816" s="42">
        <f>VLOOKUP($A816,'Neraca Unaudited SIMAK'!$A$2:$R$1272,15,FALSE)+IF(ISNA(VLOOKUP($A816,'Mutasi Neraca'!$A$3:$S$910,15,FALSE)),0,VLOOKUP($A816,'Mutasi Neraca'!$A$3:$S$910,15,FALSE))</f>
        <v>0</v>
      </c>
      <c r="Q816" s="42">
        <f>VLOOKUP($A816,'Neraca Unaudited SIMAK'!$A$2:$R$1272,16,FALSE)+IF(ISNA(VLOOKUP($A816,'Mutasi Neraca'!$A$3:$S$910,16,FALSE)),0,VLOOKUP($A816,'Mutasi Neraca'!$A$3:$S$910,16,FALSE))</f>
        <v>0</v>
      </c>
      <c r="R816" s="42">
        <f>VLOOKUP($A816,'Neraca Unaudited SIMAK'!$A$2:$R$1272,17,FALSE)+IF(ISNA(VLOOKUP($A816,'Mutasi Neraca'!$A$3:$S$910,17,FALSE)),0,VLOOKUP($A816,'Mutasi Neraca'!$A$3:$S$910,17,FALSE))</f>
        <v>-128083958</v>
      </c>
      <c r="S816" s="42">
        <f t="shared" si="67"/>
        <v>13105805674</v>
      </c>
    </row>
    <row r="817" spans="1:19">
      <c r="A817" s="41" t="s">
        <v>824</v>
      </c>
      <c r="B817" s="41" t="str">
        <f t="shared" si="66"/>
        <v>005013300</v>
      </c>
      <c r="D817" s="42">
        <f>VLOOKUP($A817,'Neraca Unaudited SIMAK'!$A$2:$R$1272,3,FALSE)+IF(ISNA(VLOOKUP($A817,'Mutasi Neraca'!$A$3:$S$910,3,FALSE)),0,VLOOKUP($A817,'Mutasi Neraca'!$A$3:$S$910,3,FALSE))</f>
        <v>450000</v>
      </c>
      <c r="E817" s="42">
        <f>VLOOKUP($A817,'Neraca Unaudited SIMAK'!$A$2:$R$1272,4,FALSE)+IF(ISNA(VLOOKUP($A817,'Mutasi Neraca'!$A$3:$S$910,4,FALSE)),0,VLOOKUP($A817,'Mutasi Neraca'!$A$3:$S$910,4,FALSE))</f>
        <v>884967000</v>
      </c>
      <c r="F817" s="42">
        <f>VLOOKUP($A817,'Neraca Unaudited SIMAK'!$A$2:$R$1272,5,FALSE)+IF(ISNA(VLOOKUP($A817,'Mutasi Neraca'!$A$3:$S$910,5,FALSE)),0,VLOOKUP($A817,'Mutasi Neraca'!$A$3:$S$910,5,FALSE))</f>
        <v>1949181478</v>
      </c>
      <c r="G817" s="42">
        <f>VLOOKUP($A817,'Neraca Unaudited SIMAK'!$A$2:$R$1272,6,FALSE)+IF(ISNA(VLOOKUP($A817,'Mutasi Neraca'!$A$3:$S$910,6,FALSE)),0,VLOOKUP($A817,'Mutasi Neraca'!$A$3:$S$910,6,FALSE))</f>
        <v>12289822118</v>
      </c>
      <c r="H817" s="42">
        <f>VLOOKUP($A817,'Neraca Unaudited SIMAK'!$A$2:$R$1272,7,FALSE)+IF(ISNA(VLOOKUP($A817,'Mutasi Neraca'!$A$3:$S$910,7,FALSE)),0,VLOOKUP($A817,'Mutasi Neraca'!$A$3:$S$910,7,FALSE))</f>
        <v>15356365</v>
      </c>
      <c r="I817" s="42">
        <f>VLOOKUP($A817,'Neraca Unaudited SIMAK'!$A$2:$R$1272,8,FALSE)+IF(ISNA(VLOOKUP($A817,'Mutasi Neraca'!$A$3:$S$910,8,FALSE)),0,VLOOKUP($A817,'Mutasi Neraca'!$A$3:$S$910,8,FALSE))</f>
        <v>3266678</v>
      </c>
      <c r="J817" s="42">
        <f>VLOOKUP($A817,'Neraca Unaudited SIMAK'!$A$2:$R$1272,9,FALSE)+IF(ISNA(VLOOKUP($A817,'Mutasi Neraca'!$A$3:$S$910,9,FALSE)),0,VLOOKUP($A817,'Mutasi Neraca'!$A$3:$S$910,9,FALSE))</f>
        <v>0</v>
      </c>
      <c r="K817" s="42">
        <f>VLOOKUP($A817,'Neraca Unaudited SIMAK'!$A$2:$R$1272,10,FALSE)+IF(ISNA(VLOOKUP($A817,'Mutasi Neraca'!$A$3:$S$910,10,FALSE)),0,VLOOKUP($A817,'Mutasi Neraca'!$A$3:$S$910,10,FALSE))</f>
        <v>0</v>
      </c>
      <c r="L817" s="42">
        <f>VLOOKUP($A817,'Neraca Unaudited SIMAK'!$A$2:$R$1272,11,FALSE)+IF(ISNA(VLOOKUP($A817,'Mutasi Neraca'!$A$3:$S$910,11,FALSE)),0,VLOOKUP($A817,'Mutasi Neraca'!$A$3:$S$910,11,FALSE))</f>
        <v>54792027</v>
      </c>
      <c r="M817" s="42">
        <f>VLOOKUP($A817,'Neraca Unaudited SIMAK'!$A$2:$R$1272,12,FALSE)+IF(ISNA(VLOOKUP($A817,'Mutasi Neraca'!$A$3:$S$910,12,FALSE)),0,VLOOKUP($A817,'Mutasi Neraca'!$A$3:$S$910,12,FALSE))</f>
        <v>15197835666</v>
      </c>
      <c r="N817" s="42">
        <f>VLOOKUP($A817,'Neraca Unaudited SIMAK'!$A$2:$R$1272,13,FALSE)+IF(ISNA(VLOOKUP($A817,'Mutasi Neraca'!$A$3:$S$910,13,FALSE)),0,VLOOKUP($A817,'Mutasi Neraca'!$A$3:$S$910,13,FALSE))</f>
        <v>-1219672200</v>
      </c>
      <c r="O817" s="42">
        <f>VLOOKUP($A817,'Neraca Unaudited SIMAK'!$A$2:$R$1272,14,FALSE)+IF(ISNA(VLOOKUP($A817,'Mutasi Neraca'!$A$3:$S$910,14,FALSE)),0,VLOOKUP($A817,'Mutasi Neraca'!$A$3:$S$910,14,FALSE))</f>
        <v>-640689483</v>
      </c>
      <c r="P817" s="42">
        <f>VLOOKUP($A817,'Neraca Unaudited SIMAK'!$A$2:$R$1272,15,FALSE)+IF(ISNA(VLOOKUP($A817,'Mutasi Neraca'!$A$3:$S$910,15,FALSE)),0,VLOOKUP($A817,'Mutasi Neraca'!$A$3:$S$910,15,FALSE))</f>
        <v>-2879323</v>
      </c>
      <c r="Q817" s="42">
        <f>VLOOKUP($A817,'Neraca Unaudited SIMAK'!$A$2:$R$1272,16,FALSE)+IF(ISNA(VLOOKUP($A817,'Mutasi Neraca'!$A$3:$S$910,16,FALSE)),0,VLOOKUP($A817,'Mutasi Neraca'!$A$3:$S$910,16,FALSE))</f>
        <v>0</v>
      </c>
      <c r="R817" s="42">
        <f>VLOOKUP($A817,'Neraca Unaudited SIMAK'!$A$2:$R$1272,17,FALSE)+IF(ISNA(VLOOKUP($A817,'Mutasi Neraca'!$A$3:$S$910,17,FALSE)),0,VLOOKUP($A817,'Mutasi Neraca'!$A$3:$S$910,17,FALSE))</f>
        <v>-54792027</v>
      </c>
      <c r="S817" s="42">
        <f t="shared" si="67"/>
        <v>13279802633</v>
      </c>
    </row>
    <row r="818" spans="1:19">
      <c r="A818" s="118" t="s">
        <v>825</v>
      </c>
      <c r="B818" s="41" t="str">
        <f t="shared" si="66"/>
        <v>005013300</v>
      </c>
      <c r="D818" s="42">
        <f>VLOOKUP($A818,'Neraca Unaudited SIMAK'!$A$2:$R$1272,3,FALSE)+IF(ISNA(VLOOKUP($A818,'Mutasi Neraca'!$A$3:$S$910,3,FALSE)),0,VLOOKUP($A818,'Mutasi Neraca'!$A$3:$S$910,3,FALSE))</f>
        <v>2715600</v>
      </c>
      <c r="E818" s="42">
        <f>VLOOKUP($A818,'Neraca Unaudited SIMAK'!$A$2:$R$1272,4,FALSE)+IF(ISNA(VLOOKUP($A818,'Mutasi Neraca'!$A$3:$S$910,4,FALSE)),0,VLOOKUP($A818,'Mutasi Neraca'!$A$3:$S$910,4,FALSE))</f>
        <v>1963750000</v>
      </c>
      <c r="F818" s="42">
        <f>VLOOKUP($A818,'Neraca Unaudited SIMAK'!$A$2:$R$1272,5,FALSE)+IF(ISNA(VLOOKUP($A818,'Mutasi Neraca'!$A$3:$S$910,5,FALSE)),0,VLOOKUP($A818,'Mutasi Neraca'!$A$3:$S$910,5,FALSE))</f>
        <v>1409147332</v>
      </c>
      <c r="G818" s="42">
        <f>VLOOKUP($A818,'Neraca Unaudited SIMAK'!$A$2:$R$1272,6,FALSE)+IF(ISNA(VLOOKUP($A818,'Mutasi Neraca'!$A$3:$S$910,6,FALSE)),0,VLOOKUP($A818,'Mutasi Neraca'!$A$3:$S$910,6,FALSE))</f>
        <v>413540000</v>
      </c>
      <c r="H818" s="42">
        <f>VLOOKUP($A818,'Neraca Unaudited SIMAK'!$A$2:$R$1272,7,FALSE)+IF(ISNA(VLOOKUP($A818,'Mutasi Neraca'!$A$3:$S$910,7,FALSE)),0,VLOOKUP($A818,'Mutasi Neraca'!$A$3:$S$910,7,FALSE))</f>
        <v>0</v>
      </c>
      <c r="I818" s="42">
        <f>VLOOKUP($A818,'Neraca Unaudited SIMAK'!$A$2:$R$1272,8,FALSE)+IF(ISNA(VLOOKUP($A818,'Mutasi Neraca'!$A$3:$S$910,8,FALSE)),0,VLOOKUP($A818,'Mutasi Neraca'!$A$3:$S$910,8,FALSE))</f>
        <v>38755079</v>
      </c>
      <c r="J818" s="42">
        <f>VLOOKUP($A818,'Neraca Unaudited SIMAK'!$A$2:$R$1272,9,FALSE)+IF(ISNA(VLOOKUP($A818,'Mutasi Neraca'!$A$3:$S$910,9,FALSE)),0,VLOOKUP($A818,'Mutasi Neraca'!$A$3:$S$910,9,FALSE))</f>
        <v>8672997900</v>
      </c>
      <c r="K818" s="42">
        <f>VLOOKUP($A818,'Neraca Unaudited SIMAK'!$A$2:$R$1272,10,FALSE)+IF(ISNA(VLOOKUP($A818,'Mutasi Neraca'!$A$3:$S$910,10,FALSE)),0,VLOOKUP($A818,'Mutasi Neraca'!$A$3:$S$910,10,FALSE))</f>
        <v>0</v>
      </c>
      <c r="L818" s="42">
        <f>VLOOKUP($A818,'Neraca Unaudited SIMAK'!$A$2:$R$1272,11,FALSE)+IF(ISNA(VLOOKUP($A818,'Mutasi Neraca'!$A$3:$S$910,11,FALSE)),0,VLOOKUP($A818,'Mutasi Neraca'!$A$3:$S$910,11,FALSE))</f>
        <v>159016000</v>
      </c>
      <c r="M818" s="42">
        <f>VLOOKUP($A818,'Neraca Unaudited SIMAK'!$A$2:$R$1272,12,FALSE)+IF(ISNA(VLOOKUP($A818,'Mutasi Neraca'!$A$3:$S$910,12,FALSE)),0,VLOOKUP($A818,'Mutasi Neraca'!$A$3:$S$910,12,FALSE))</f>
        <v>12659921911</v>
      </c>
      <c r="N818" s="42">
        <f>VLOOKUP($A818,'Neraca Unaudited SIMAK'!$A$2:$R$1272,13,FALSE)+IF(ISNA(VLOOKUP($A818,'Mutasi Neraca'!$A$3:$S$910,13,FALSE)),0,VLOOKUP($A818,'Mutasi Neraca'!$A$3:$S$910,13,FALSE))</f>
        <v>-1092989467</v>
      </c>
      <c r="O818" s="42">
        <f>VLOOKUP($A818,'Neraca Unaudited SIMAK'!$A$2:$R$1272,14,FALSE)+IF(ISNA(VLOOKUP($A818,'Mutasi Neraca'!$A$3:$S$910,14,FALSE)),0,VLOOKUP($A818,'Mutasi Neraca'!$A$3:$S$910,14,FALSE))</f>
        <v>-64792400</v>
      </c>
      <c r="P818" s="42">
        <f>VLOOKUP($A818,'Neraca Unaudited SIMAK'!$A$2:$R$1272,15,FALSE)+IF(ISNA(VLOOKUP($A818,'Mutasi Neraca'!$A$3:$S$910,15,FALSE)),0,VLOOKUP($A818,'Mutasi Neraca'!$A$3:$S$910,15,FALSE))</f>
        <v>0</v>
      </c>
      <c r="Q818" s="42">
        <f>VLOOKUP($A818,'Neraca Unaudited SIMAK'!$A$2:$R$1272,16,FALSE)+IF(ISNA(VLOOKUP($A818,'Mutasi Neraca'!$A$3:$S$910,16,FALSE)),0,VLOOKUP($A818,'Mutasi Neraca'!$A$3:$S$910,16,FALSE))</f>
        <v>0</v>
      </c>
      <c r="R818" s="42">
        <f>VLOOKUP($A818,'Neraca Unaudited SIMAK'!$A$2:$R$1272,17,FALSE)+IF(ISNA(VLOOKUP($A818,'Mutasi Neraca'!$A$3:$S$910,17,FALSE)),0,VLOOKUP($A818,'Mutasi Neraca'!$A$3:$S$910,17,FALSE))</f>
        <v>-159016000</v>
      </c>
      <c r="S818" s="42">
        <f t="shared" si="67"/>
        <v>11343124044</v>
      </c>
    </row>
    <row r="819" spans="1:19">
      <c r="A819" s="41" t="s">
        <v>826</v>
      </c>
      <c r="B819" s="41" t="str">
        <f t="shared" si="66"/>
        <v>005013400</v>
      </c>
      <c r="D819" s="42">
        <f>VLOOKUP($A819,'Neraca Unaudited SIMAK'!$A$2:$R$1272,3,FALSE)+IF(ISNA(VLOOKUP($A819,'Mutasi Neraca'!$A$3:$S$910,3,FALSE)),0,VLOOKUP($A819,'Mutasi Neraca'!$A$3:$S$910,3,FALSE))</f>
        <v>4798200</v>
      </c>
      <c r="E819" s="42">
        <f>VLOOKUP($A819,'Neraca Unaudited SIMAK'!$A$2:$R$1272,4,FALSE)+IF(ISNA(VLOOKUP($A819,'Mutasi Neraca'!$A$3:$S$910,4,FALSE)),0,VLOOKUP($A819,'Mutasi Neraca'!$A$3:$S$910,4,FALSE))</f>
        <v>2140400000</v>
      </c>
      <c r="F819" s="42">
        <f>VLOOKUP($A819,'Neraca Unaudited SIMAK'!$A$2:$R$1272,5,FALSE)+IF(ISNA(VLOOKUP($A819,'Mutasi Neraca'!$A$3:$S$910,5,FALSE)),0,VLOOKUP($A819,'Mutasi Neraca'!$A$3:$S$910,5,FALSE))</f>
        <v>2048647414</v>
      </c>
      <c r="G819" s="42">
        <f>VLOOKUP($A819,'Neraca Unaudited SIMAK'!$A$2:$R$1272,6,FALSE)+IF(ISNA(VLOOKUP($A819,'Mutasi Neraca'!$A$3:$S$910,6,FALSE)),0,VLOOKUP($A819,'Mutasi Neraca'!$A$3:$S$910,6,FALSE))</f>
        <v>2113391750</v>
      </c>
      <c r="H819" s="42">
        <f>VLOOKUP($A819,'Neraca Unaudited SIMAK'!$A$2:$R$1272,7,FALSE)+IF(ISNA(VLOOKUP($A819,'Mutasi Neraca'!$A$3:$S$910,7,FALSE)),0,VLOOKUP($A819,'Mutasi Neraca'!$A$3:$S$910,7,FALSE))</f>
        <v>0</v>
      </c>
      <c r="I819" s="42">
        <f>VLOOKUP($A819,'Neraca Unaudited SIMAK'!$A$2:$R$1272,8,FALSE)+IF(ISNA(VLOOKUP($A819,'Mutasi Neraca'!$A$3:$S$910,8,FALSE)),0,VLOOKUP($A819,'Mutasi Neraca'!$A$3:$S$910,8,FALSE))</f>
        <v>1946526</v>
      </c>
      <c r="J819" s="42">
        <f>VLOOKUP($A819,'Neraca Unaudited SIMAK'!$A$2:$R$1272,9,FALSE)+IF(ISNA(VLOOKUP($A819,'Mutasi Neraca'!$A$3:$S$910,9,FALSE)),0,VLOOKUP($A819,'Mutasi Neraca'!$A$3:$S$910,9,FALSE))</f>
        <v>0</v>
      </c>
      <c r="K819" s="42">
        <f>VLOOKUP($A819,'Neraca Unaudited SIMAK'!$A$2:$R$1272,10,FALSE)+IF(ISNA(VLOOKUP($A819,'Mutasi Neraca'!$A$3:$S$910,10,FALSE)),0,VLOOKUP($A819,'Mutasi Neraca'!$A$3:$S$910,10,FALSE))</f>
        <v>24349000</v>
      </c>
      <c r="L819" s="42">
        <f>VLOOKUP($A819,'Neraca Unaudited SIMAK'!$A$2:$R$1272,11,FALSE)+IF(ISNA(VLOOKUP($A819,'Mutasi Neraca'!$A$3:$S$910,11,FALSE)),0,VLOOKUP($A819,'Mutasi Neraca'!$A$3:$S$910,11,FALSE))</f>
        <v>136126932</v>
      </c>
      <c r="M819" s="42">
        <f>VLOOKUP($A819,'Neraca Unaudited SIMAK'!$A$2:$R$1272,12,FALSE)+IF(ISNA(VLOOKUP($A819,'Mutasi Neraca'!$A$3:$S$910,12,FALSE)),0,VLOOKUP($A819,'Mutasi Neraca'!$A$3:$S$910,12,FALSE))</f>
        <v>6469659822</v>
      </c>
      <c r="N819" s="42">
        <f>VLOOKUP($A819,'Neraca Unaudited SIMAK'!$A$2:$R$1272,13,FALSE)+IF(ISNA(VLOOKUP($A819,'Mutasi Neraca'!$A$3:$S$910,13,FALSE)),0,VLOOKUP($A819,'Mutasi Neraca'!$A$3:$S$910,13,FALSE))</f>
        <v>-1543755992</v>
      </c>
      <c r="O819" s="42">
        <f>VLOOKUP($A819,'Neraca Unaudited SIMAK'!$A$2:$R$1272,14,FALSE)+IF(ISNA(VLOOKUP($A819,'Mutasi Neraca'!$A$3:$S$910,14,FALSE)),0,VLOOKUP($A819,'Mutasi Neraca'!$A$3:$S$910,14,FALSE))</f>
        <v>-440972713</v>
      </c>
      <c r="P819" s="42">
        <f>VLOOKUP($A819,'Neraca Unaudited SIMAK'!$A$2:$R$1272,15,FALSE)+IF(ISNA(VLOOKUP($A819,'Mutasi Neraca'!$A$3:$S$910,15,FALSE)),0,VLOOKUP($A819,'Mutasi Neraca'!$A$3:$S$910,15,FALSE))</f>
        <v>0</v>
      </c>
      <c r="Q819" s="42">
        <f>VLOOKUP($A819,'Neraca Unaudited SIMAK'!$A$2:$R$1272,16,FALSE)+IF(ISNA(VLOOKUP($A819,'Mutasi Neraca'!$A$3:$S$910,16,FALSE)),0,VLOOKUP($A819,'Mutasi Neraca'!$A$3:$S$910,16,FALSE))</f>
        <v>0</v>
      </c>
      <c r="R819" s="42">
        <f>VLOOKUP($A819,'Neraca Unaudited SIMAK'!$A$2:$R$1272,17,FALSE)+IF(ISNA(VLOOKUP($A819,'Mutasi Neraca'!$A$3:$S$910,17,FALSE)),0,VLOOKUP($A819,'Mutasi Neraca'!$A$3:$S$910,17,FALSE))</f>
        <v>-136126932</v>
      </c>
      <c r="S819" s="42">
        <f t="shared" si="67"/>
        <v>4348804185</v>
      </c>
    </row>
    <row r="820" spans="1:19">
      <c r="A820" s="41" t="s">
        <v>827</v>
      </c>
      <c r="B820" s="41" t="str">
        <f t="shared" si="66"/>
        <v>005013400</v>
      </c>
      <c r="D820" s="42">
        <f>VLOOKUP($A820,'Neraca Unaudited SIMAK'!$A$2:$R$1272,3,FALSE)+IF(ISNA(VLOOKUP($A820,'Mutasi Neraca'!$A$3:$S$910,3,FALSE)),0,VLOOKUP($A820,'Mutasi Neraca'!$A$3:$S$910,3,FALSE))</f>
        <v>2888000</v>
      </c>
      <c r="E820" s="42">
        <f>VLOOKUP($A820,'Neraca Unaudited SIMAK'!$A$2:$R$1272,4,FALSE)+IF(ISNA(VLOOKUP($A820,'Mutasi Neraca'!$A$3:$S$910,4,FALSE)),0,VLOOKUP($A820,'Mutasi Neraca'!$A$3:$S$910,4,FALSE))</f>
        <v>5108574881</v>
      </c>
      <c r="F820" s="42">
        <f>VLOOKUP($A820,'Neraca Unaudited SIMAK'!$A$2:$R$1272,5,FALSE)+IF(ISNA(VLOOKUP($A820,'Mutasi Neraca'!$A$3:$S$910,5,FALSE)),0,VLOOKUP($A820,'Mutasi Neraca'!$A$3:$S$910,5,FALSE))</f>
        <v>1937300579</v>
      </c>
      <c r="G820" s="42">
        <f>VLOOKUP($A820,'Neraca Unaudited SIMAK'!$A$2:$R$1272,6,FALSE)+IF(ISNA(VLOOKUP($A820,'Mutasi Neraca'!$A$3:$S$910,6,FALSE)),0,VLOOKUP($A820,'Mutasi Neraca'!$A$3:$S$910,6,FALSE))</f>
        <v>14347354328</v>
      </c>
      <c r="H820" s="42">
        <f>VLOOKUP($A820,'Neraca Unaudited SIMAK'!$A$2:$R$1272,7,FALSE)+IF(ISNA(VLOOKUP($A820,'Mutasi Neraca'!$A$3:$S$910,7,FALSE)),0,VLOOKUP($A820,'Mutasi Neraca'!$A$3:$S$910,7,FALSE))</f>
        <v>131600000</v>
      </c>
      <c r="I820" s="42">
        <f>VLOOKUP($A820,'Neraca Unaudited SIMAK'!$A$2:$R$1272,8,FALSE)+IF(ISNA(VLOOKUP($A820,'Mutasi Neraca'!$A$3:$S$910,8,FALSE)),0,VLOOKUP($A820,'Mutasi Neraca'!$A$3:$S$910,8,FALSE))</f>
        <v>17258440</v>
      </c>
      <c r="J820" s="42">
        <f>VLOOKUP($A820,'Neraca Unaudited SIMAK'!$A$2:$R$1272,9,FALSE)+IF(ISNA(VLOOKUP($A820,'Mutasi Neraca'!$A$3:$S$910,9,FALSE)),0,VLOOKUP($A820,'Mutasi Neraca'!$A$3:$S$910,9,FALSE))</f>
        <v>0</v>
      </c>
      <c r="K820" s="42">
        <f>VLOOKUP($A820,'Neraca Unaudited SIMAK'!$A$2:$R$1272,10,FALSE)+IF(ISNA(VLOOKUP($A820,'Mutasi Neraca'!$A$3:$S$910,10,FALSE)),0,VLOOKUP($A820,'Mutasi Neraca'!$A$3:$S$910,10,FALSE))</f>
        <v>24349000</v>
      </c>
      <c r="L820" s="42">
        <f>VLOOKUP($A820,'Neraca Unaudited SIMAK'!$A$2:$R$1272,11,FALSE)+IF(ISNA(VLOOKUP($A820,'Mutasi Neraca'!$A$3:$S$910,11,FALSE)),0,VLOOKUP($A820,'Mutasi Neraca'!$A$3:$S$910,11,FALSE))</f>
        <v>515221703</v>
      </c>
      <c r="M820" s="42">
        <f>VLOOKUP($A820,'Neraca Unaudited SIMAK'!$A$2:$R$1272,12,FALSE)+IF(ISNA(VLOOKUP($A820,'Mutasi Neraca'!$A$3:$S$910,12,FALSE)),0,VLOOKUP($A820,'Mutasi Neraca'!$A$3:$S$910,12,FALSE))</f>
        <v>22084546931</v>
      </c>
      <c r="N820" s="42">
        <f>VLOOKUP($A820,'Neraca Unaudited SIMAK'!$A$2:$R$1272,13,FALSE)+IF(ISNA(VLOOKUP($A820,'Mutasi Neraca'!$A$3:$S$910,13,FALSE)),0,VLOOKUP($A820,'Mutasi Neraca'!$A$3:$S$910,13,FALSE))</f>
        <v>-1515873804</v>
      </c>
      <c r="O820" s="42">
        <f>VLOOKUP($A820,'Neraca Unaudited SIMAK'!$A$2:$R$1272,14,FALSE)+IF(ISNA(VLOOKUP($A820,'Mutasi Neraca'!$A$3:$S$910,14,FALSE)),0,VLOOKUP($A820,'Mutasi Neraca'!$A$3:$S$910,14,FALSE))</f>
        <v>-1754000899</v>
      </c>
      <c r="P820" s="42">
        <f>VLOOKUP($A820,'Neraca Unaudited SIMAK'!$A$2:$R$1272,15,FALSE)+IF(ISNA(VLOOKUP($A820,'Mutasi Neraca'!$A$3:$S$910,15,FALSE)),0,VLOOKUP($A820,'Mutasi Neraca'!$A$3:$S$910,15,FALSE))</f>
        <v>-33311250</v>
      </c>
      <c r="Q820" s="42">
        <f>VLOOKUP($A820,'Neraca Unaudited SIMAK'!$A$2:$R$1272,16,FALSE)+IF(ISNA(VLOOKUP($A820,'Mutasi Neraca'!$A$3:$S$910,16,FALSE)),0,VLOOKUP($A820,'Mutasi Neraca'!$A$3:$S$910,16,FALSE))</f>
        <v>0</v>
      </c>
      <c r="R820" s="42">
        <f>VLOOKUP($A820,'Neraca Unaudited SIMAK'!$A$2:$R$1272,17,FALSE)+IF(ISNA(VLOOKUP($A820,'Mutasi Neraca'!$A$3:$S$910,17,FALSE)),0,VLOOKUP($A820,'Mutasi Neraca'!$A$3:$S$910,17,FALSE))</f>
        <v>-515259203</v>
      </c>
      <c r="S820" s="42">
        <f t="shared" si="67"/>
        <v>18266101775</v>
      </c>
    </row>
    <row r="821" spans="1:19">
      <c r="A821" s="41" t="s">
        <v>828</v>
      </c>
      <c r="B821" s="41" t="str">
        <f t="shared" si="66"/>
        <v>005013400</v>
      </c>
      <c r="D821" s="42">
        <f>VLOOKUP($A821,'Neraca Unaudited SIMAK'!$A$2:$R$1272,3,FALSE)+IF(ISNA(VLOOKUP($A821,'Mutasi Neraca'!$A$3:$S$910,3,FALSE)),0,VLOOKUP($A821,'Mutasi Neraca'!$A$3:$S$910,3,FALSE))</f>
        <v>74000</v>
      </c>
      <c r="E821" s="42">
        <f>VLOOKUP($A821,'Neraca Unaudited SIMAK'!$A$2:$R$1272,4,FALSE)+IF(ISNA(VLOOKUP($A821,'Mutasi Neraca'!$A$3:$S$910,4,FALSE)),0,VLOOKUP($A821,'Mutasi Neraca'!$A$3:$S$910,4,FALSE))</f>
        <v>1521000000</v>
      </c>
      <c r="F821" s="42">
        <f>VLOOKUP($A821,'Neraca Unaudited SIMAK'!$A$2:$R$1272,5,FALSE)+IF(ISNA(VLOOKUP($A821,'Mutasi Neraca'!$A$3:$S$910,5,FALSE)),0,VLOOKUP($A821,'Mutasi Neraca'!$A$3:$S$910,5,FALSE))</f>
        <v>1559592199</v>
      </c>
      <c r="G821" s="42">
        <f>VLOOKUP($A821,'Neraca Unaudited SIMAK'!$A$2:$R$1272,6,FALSE)+IF(ISNA(VLOOKUP($A821,'Mutasi Neraca'!$A$3:$S$910,6,FALSE)),0,VLOOKUP($A821,'Mutasi Neraca'!$A$3:$S$910,6,FALSE))</f>
        <v>11861283331</v>
      </c>
      <c r="H821" s="42">
        <f>VLOOKUP($A821,'Neraca Unaudited SIMAK'!$A$2:$R$1272,7,FALSE)+IF(ISNA(VLOOKUP($A821,'Mutasi Neraca'!$A$3:$S$910,7,FALSE)),0,VLOOKUP($A821,'Mutasi Neraca'!$A$3:$S$910,7,FALSE))</f>
        <v>260000</v>
      </c>
      <c r="I821" s="42">
        <f>VLOOKUP($A821,'Neraca Unaudited SIMAK'!$A$2:$R$1272,8,FALSE)+IF(ISNA(VLOOKUP($A821,'Mutasi Neraca'!$A$3:$S$910,8,FALSE)),0,VLOOKUP($A821,'Mutasi Neraca'!$A$3:$S$910,8,FALSE))</f>
        <v>17186578</v>
      </c>
      <c r="J821" s="42">
        <f>VLOOKUP($A821,'Neraca Unaudited SIMAK'!$A$2:$R$1272,9,FALSE)+IF(ISNA(VLOOKUP($A821,'Mutasi Neraca'!$A$3:$S$910,9,FALSE)),0,VLOOKUP($A821,'Mutasi Neraca'!$A$3:$S$910,9,FALSE))</f>
        <v>0</v>
      </c>
      <c r="K821" s="42">
        <f>VLOOKUP($A821,'Neraca Unaudited SIMAK'!$A$2:$R$1272,10,FALSE)+IF(ISNA(VLOOKUP($A821,'Mutasi Neraca'!$A$3:$S$910,10,FALSE)),0,VLOOKUP($A821,'Mutasi Neraca'!$A$3:$S$910,10,FALSE))</f>
        <v>38599000</v>
      </c>
      <c r="L821" s="42">
        <f>VLOOKUP($A821,'Neraca Unaudited SIMAK'!$A$2:$R$1272,11,FALSE)+IF(ISNA(VLOOKUP($A821,'Mutasi Neraca'!$A$3:$S$910,11,FALSE)),0,VLOOKUP($A821,'Mutasi Neraca'!$A$3:$S$910,11,FALSE))</f>
        <v>1017010</v>
      </c>
      <c r="M821" s="42">
        <f>VLOOKUP($A821,'Neraca Unaudited SIMAK'!$A$2:$R$1272,12,FALSE)+IF(ISNA(VLOOKUP($A821,'Mutasi Neraca'!$A$3:$S$910,12,FALSE)),0,VLOOKUP($A821,'Mutasi Neraca'!$A$3:$S$910,12,FALSE))</f>
        <v>14999012118</v>
      </c>
      <c r="N821" s="42">
        <f>VLOOKUP($A821,'Neraca Unaudited SIMAK'!$A$2:$R$1272,13,FALSE)+IF(ISNA(VLOOKUP($A821,'Mutasi Neraca'!$A$3:$S$910,13,FALSE)),0,VLOOKUP($A821,'Mutasi Neraca'!$A$3:$S$910,13,FALSE))</f>
        <v>-1216798908</v>
      </c>
      <c r="O821" s="42">
        <f>VLOOKUP($A821,'Neraca Unaudited SIMAK'!$A$2:$R$1272,14,FALSE)+IF(ISNA(VLOOKUP($A821,'Mutasi Neraca'!$A$3:$S$910,14,FALSE)),0,VLOOKUP($A821,'Mutasi Neraca'!$A$3:$S$910,14,FALSE))</f>
        <v>-3891325145</v>
      </c>
      <c r="P821" s="42">
        <f>VLOOKUP($A821,'Neraca Unaudited SIMAK'!$A$2:$R$1272,15,FALSE)+IF(ISNA(VLOOKUP($A821,'Mutasi Neraca'!$A$3:$S$910,15,FALSE)),0,VLOOKUP($A821,'Mutasi Neraca'!$A$3:$S$910,15,FALSE))</f>
        <v>-147331</v>
      </c>
      <c r="Q821" s="42">
        <f>VLOOKUP($A821,'Neraca Unaudited SIMAK'!$A$2:$R$1272,16,FALSE)+IF(ISNA(VLOOKUP($A821,'Mutasi Neraca'!$A$3:$S$910,16,FALSE)),0,VLOOKUP($A821,'Mutasi Neraca'!$A$3:$S$910,16,FALSE))</f>
        <v>0</v>
      </c>
      <c r="R821" s="42">
        <f>VLOOKUP($A821,'Neraca Unaudited SIMAK'!$A$2:$R$1272,17,FALSE)+IF(ISNA(VLOOKUP($A821,'Mutasi Neraca'!$A$3:$S$910,17,FALSE)),0,VLOOKUP($A821,'Mutasi Neraca'!$A$3:$S$910,17,FALSE))</f>
        <v>-1017010</v>
      </c>
      <c r="S821" s="42">
        <f t="shared" si="67"/>
        <v>9889723724</v>
      </c>
    </row>
    <row r="822" spans="1:19">
      <c r="A822" s="41" t="s">
        <v>829</v>
      </c>
      <c r="B822" s="41" t="str">
        <f t="shared" si="66"/>
        <v>005013400</v>
      </c>
      <c r="D822" s="42">
        <f>VLOOKUP($A822,'Neraca Unaudited SIMAK'!$A$2:$R$1272,3,FALSE)+IF(ISNA(VLOOKUP($A822,'Mutasi Neraca'!$A$3:$S$910,3,FALSE)),0,VLOOKUP($A822,'Mutasi Neraca'!$A$3:$S$910,3,FALSE))</f>
        <v>813200</v>
      </c>
      <c r="E822" s="42">
        <f>VLOOKUP($A822,'Neraca Unaudited SIMAK'!$A$2:$R$1272,4,FALSE)+IF(ISNA(VLOOKUP($A822,'Mutasi Neraca'!$A$3:$S$910,4,FALSE)),0,VLOOKUP($A822,'Mutasi Neraca'!$A$3:$S$910,4,FALSE))</f>
        <v>825000000</v>
      </c>
      <c r="F822" s="42">
        <f>VLOOKUP($A822,'Neraca Unaudited SIMAK'!$A$2:$R$1272,5,FALSE)+IF(ISNA(VLOOKUP($A822,'Mutasi Neraca'!$A$3:$S$910,5,FALSE)),0,VLOOKUP($A822,'Mutasi Neraca'!$A$3:$S$910,5,FALSE))</f>
        <v>1357156049</v>
      </c>
      <c r="G822" s="42">
        <f>VLOOKUP($A822,'Neraca Unaudited SIMAK'!$A$2:$R$1272,6,FALSE)+IF(ISNA(VLOOKUP($A822,'Mutasi Neraca'!$A$3:$S$910,6,FALSE)),0,VLOOKUP($A822,'Mutasi Neraca'!$A$3:$S$910,6,FALSE))</f>
        <v>3936171549</v>
      </c>
      <c r="H822" s="42">
        <f>VLOOKUP($A822,'Neraca Unaudited SIMAK'!$A$2:$R$1272,7,FALSE)+IF(ISNA(VLOOKUP($A822,'Mutasi Neraca'!$A$3:$S$910,7,FALSE)),0,VLOOKUP($A822,'Mutasi Neraca'!$A$3:$S$910,7,FALSE))</f>
        <v>9900000</v>
      </c>
      <c r="I822" s="42">
        <f>VLOOKUP($A822,'Neraca Unaudited SIMAK'!$A$2:$R$1272,8,FALSE)+IF(ISNA(VLOOKUP($A822,'Mutasi Neraca'!$A$3:$S$910,8,FALSE)),0,VLOOKUP($A822,'Mutasi Neraca'!$A$3:$S$910,8,FALSE))</f>
        <v>10778000</v>
      </c>
      <c r="J822" s="42">
        <f>VLOOKUP($A822,'Neraca Unaudited SIMAK'!$A$2:$R$1272,9,FALSE)+IF(ISNA(VLOOKUP($A822,'Mutasi Neraca'!$A$3:$S$910,9,FALSE)),0,VLOOKUP($A822,'Mutasi Neraca'!$A$3:$S$910,9,FALSE))</f>
        <v>0</v>
      </c>
      <c r="K822" s="42">
        <f>VLOOKUP($A822,'Neraca Unaudited SIMAK'!$A$2:$R$1272,10,FALSE)+IF(ISNA(VLOOKUP($A822,'Mutasi Neraca'!$A$3:$S$910,10,FALSE)),0,VLOOKUP($A822,'Mutasi Neraca'!$A$3:$S$910,10,FALSE))</f>
        <v>18670000</v>
      </c>
      <c r="L822" s="42">
        <f>VLOOKUP($A822,'Neraca Unaudited SIMAK'!$A$2:$R$1272,11,FALSE)+IF(ISNA(VLOOKUP($A822,'Mutasi Neraca'!$A$3:$S$910,11,FALSE)),0,VLOOKUP($A822,'Mutasi Neraca'!$A$3:$S$910,11,FALSE))</f>
        <v>5861500</v>
      </c>
      <c r="M822" s="42">
        <f>VLOOKUP($A822,'Neraca Unaudited SIMAK'!$A$2:$R$1272,12,FALSE)+IF(ISNA(VLOOKUP($A822,'Mutasi Neraca'!$A$3:$S$910,12,FALSE)),0,VLOOKUP($A822,'Mutasi Neraca'!$A$3:$S$910,12,FALSE))</f>
        <v>6164350298</v>
      </c>
      <c r="N822" s="42">
        <f>VLOOKUP($A822,'Neraca Unaudited SIMAK'!$A$2:$R$1272,13,FALSE)+IF(ISNA(VLOOKUP($A822,'Mutasi Neraca'!$A$3:$S$910,13,FALSE)),0,VLOOKUP($A822,'Mutasi Neraca'!$A$3:$S$910,13,FALSE))</f>
        <v>-917885834</v>
      </c>
      <c r="O822" s="42">
        <f>VLOOKUP($A822,'Neraca Unaudited SIMAK'!$A$2:$R$1272,14,FALSE)+IF(ISNA(VLOOKUP($A822,'Mutasi Neraca'!$A$3:$S$910,14,FALSE)),0,VLOOKUP($A822,'Mutasi Neraca'!$A$3:$S$910,14,FALSE))</f>
        <v>-935912001</v>
      </c>
      <c r="P822" s="42">
        <f>VLOOKUP($A822,'Neraca Unaudited SIMAK'!$A$2:$R$1272,15,FALSE)+IF(ISNA(VLOOKUP($A822,'Mutasi Neraca'!$A$3:$S$910,15,FALSE)),0,VLOOKUP($A822,'Mutasi Neraca'!$A$3:$S$910,15,FALSE))</f>
        <v>-866250</v>
      </c>
      <c r="Q822" s="42">
        <f>VLOOKUP($A822,'Neraca Unaudited SIMAK'!$A$2:$R$1272,16,FALSE)+IF(ISNA(VLOOKUP($A822,'Mutasi Neraca'!$A$3:$S$910,16,FALSE)),0,VLOOKUP($A822,'Mutasi Neraca'!$A$3:$S$910,16,FALSE))</f>
        <v>0</v>
      </c>
      <c r="R822" s="42">
        <f>VLOOKUP($A822,'Neraca Unaudited SIMAK'!$A$2:$R$1272,17,FALSE)+IF(ISNA(VLOOKUP($A822,'Mutasi Neraca'!$A$3:$S$910,17,FALSE)),0,VLOOKUP($A822,'Mutasi Neraca'!$A$3:$S$910,17,FALSE))</f>
        <v>-5861500</v>
      </c>
      <c r="S822" s="42">
        <f t="shared" si="67"/>
        <v>4303824713</v>
      </c>
    </row>
    <row r="823" spans="1:19">
      <c r="A823" s="41" t="s">
        <v>830</v>
      </c>
      <c r="B823" s="41" t="str">
        <f t="shared" si="66"/>
        <v>005013400</v>
      </c>
      <c r="D823" s="42">
        <f>VLOOKUP($A823,'Neraca Unaudited SIMAK'!$A$2:$R$1272,3,FALSE)+IF(ISNA(VLOOKUP($A823,'Mutasi Neraca'!$A$3:$S$910,3,FALSE)),0,VLOOKUP($A823,'Mutasi Neraca'!$A$3:$S$910,3,FALSE))</f>
        <v>0</v>
      </c>
      <c r="E823" s="42">
        <f>VLOOKUP($A823,'Neraca Unaudited SIMAK'!$A$2:$R$1272,4,FALSE)+IF(ISNA(VLOOKUP($A823,'Mutasi Neraca'!$A$3:$S$910,4,FALSE)),0,VLOOKUP($A823,'Mutasi Neraca'!$A$3:$S$910,4,FALSE))</f>
        <v>1469000000</v>
      </c>
      <c r="F823" s="42">
        <f>VLOOKUP($A823,'Neraca Unaudited SIMAK'!$A$2:$R$1272,5,FALSE)+IF(ISNA(VLOOKUP($A823,'Mutasi Neraca'!$A$3:$S$910,5,FALSE)),0,VLOOKUP($A823,'Mutasi Neraca'!$A$3:$S$910,5,FALSE))</f>
        <v>1150824371</v>
      </c>
      <c r="G823" s="42">
        <f>VLOOKUP($A823,'Neraca Unaudited SIMAK'!$A$2:$R$1272,6,FALSE)+IF(ISNA(VLOOKUP($A823,'Mutasi Neraca'!$A$3:$S$910,6,FALSE)),0,VLOOKUP($A823,'Mutasi Neraca'!$A$3:$S$910,6,FALSE))</f>
        <v>5236671600</v>
      </c>
      <c r="H823" s="42">
        <f>VLOOKUP($A823,'Neraca Unaudited SIMAK'!$A$2:$R$1272,7,FALSE)+IF(ISNA(VLOOKUP($A823,'Mutasi Neraca'!$A$3:$S$910,7,FALSE)),0,VLOOKUP($A823,'Mutasi Neraca'!$A$3:$S$910,7,FALSE))</f>
        <v>16126000</v>
      </c>
      <c r="I823" s="42">
        <f>VLOOKUP($A823,'Neraca Unaudited SIMAK'!$A$2:$R$1272,8,FALSE)+IF(ISNA(VLOOKUP($A823,'Mutasi Neraca'!$A$3:$S$910,8,FALSE)),0,VLOOKUP($A823,'Mutasi Neraca'!$A$3:$S$910,8,FALSE))</f>
        <v>23656570</v>
      </c>
      <c r="J823" s="42">
        <f>VLOOKUP($A823,'Neraca Unaudited SIMAK'!$A$2:$R$1272,9,FALSE)+IF(ISNA(VLOOKUP($A823,'Mutasi Neraca'!$A$3:$S$910,9,FALSE)),0,VLOOKUP($A823,'Mutasi Neraca'!$A$3:$S$910,9,FALSE))</f>
        <v>0</v>
      </c>
      <c r="K823" s="42">
        <f>VLOOKUP($A823,'Neraca Unaudited SIMAK'!$A$2:$R$1272,10,FALSE)+IF(ISNA(VLOOKUP($A823,'Mutasi Neraca'!$A$3:$S$910,10,FALSE)),0,VLOOKUP($A823,'Mutasi Neraca'!$A$3:$S$910,10,FALSE))</f>
        <v>0</v>
      </c>
      <c r="L823" s="42">
        <f>VLOOKUP($A823,'Neraca Unaudited SIMAK'!$A$2:$R$1272,11,FALSE)+IF(ISNA(VLOOKUP($A823,'Mutasi Neraca'!$A$3:$S$910,11,FALSE)),0,VLOOKUP($A823,'Mutasi Neraca'!$A$3:$S$910,11,FALSE))</f>
        <v>0</v>
      </c>
      <c r="M823" s="42">
        <f>VLOOKUP($A823,'Neraca Unaudited SIMAK'!$A$2:$R$1272,12,FALSE)+IF(ISNA(VLOOKUP($A823,'Mutasi Neraca'!$A$3:$S$910,12,FALSE)),0,VLOOKUP($A823,'Mutasi Neraca'!$A$3:$S$910,12,FALSE))</f>
        <v>7896278541</v>
      </c>
      <c r="N823" s="42">
        <f>VLOOKUP($A823,'Neraca Unaudited SIMAK'!$A$2:$R$1272,13,FALSE)+IF(ISNA(VLOOKUP($A823,'Mutasi Neraca'!$A$3:$S$910,13,FALSE)),0,VLOOKUP($A823,'Mutasi Neraca'!$A$3:$S$910,13,FALSE))</f>
        <v>-810198510</v>
      </c>
      <c r="O823" s="42">
        <f>VLOOKUP($A823,'Neraca Unaudited SIMAK'!$A$2:$R$1272,14,FALSE)+IF(ISNA(VLOOKUP($A823,'Mutasi Neraca'!$A$3:$S$910,14,FALSE)),0,VLOOKUP($A823,'Mutasi Neraca'!$A$3:$S$910,14,FALSE))</f>
        <v>-379347954</v>
      </c>
      <c r="P823" s="42">
        <f>VLOOKUP($A823,'Neraca Unaudited SIMAK'!$A$2:$R$1272,15,FALSE)+IF(ISNA(VLOOKUP($A823,'Mutasi Neraca'!$A$3:$S$910,15,FALSE)),0,VLOOKUP($A823,'Mutasi Neraca'!$A$3:$S$910,15,FALSE))</f>
        <v>-1612600</v>
      </c>
      <c r="Q823" s="42">
        <f>VLOOKUP($A823,'Neraca Unaudited SIMAK'!$A$2:$R$1272,16,FALSE)+IF(ISNA(VLOOKUP($A823,'Mutasi Neraca'!$A$3:$S$910,16,FALSE)),0,VLOOKUP($A823,'Mutasi Neraca'!$A$3:$S$910,16,FALSE))</f>
        <v>0</v>
      </c>
      <c r="R823" s="42">
        <f>VLOOKUP($A823,'Neraca Unaudited SIMAK'!$A$2:$R$1272,17,FALSE)+IF(ISNA(VLOOKUP($A823,'Mutasi Neraca'!$A$3:$S$910,17,FALSE)),0,VLOOKUP($A823,'Mutasi Neraca'!$A$3:$S$910,17,FALSE))</f>
        <v>0</v>
      </c>
      <c r="S823" s="42">
        <f t="shared" si="67"/>
        <v>6705119477</v>
      </c>
    </row>
    <row r="824" spans="1:19">
      <c r="A824" s="41" t="s">
        <v>831</v>
      </c>
      <c r="B824" s="41" t="str">
        <f t="shared" si="66"/>
        <v>005013400</v>
      </c>
      <c r="D824" s="42">
        <f>VLOOKUP($A824,'Neraca Unaudited SIMAK'!$A$2:$R$1272,3,FALSE)+IF(ISNA(VLOOKUP($A824,'Mutasi Neraca'!$A$3:$S$910,3,FALSE)),0,VLOOKUP($A824,'Mutasi Neraca'!$A$3:$S$910,3,FALSE))</f>
        <v>1813000</v>
      </c>
      <c r="E824" s="42">
        <f>VLOOKUP($A824,'Neraca Unaudited SIMAK'!$A$2:$R$1272,4,FALSE)+IF(ISNA(VLOOKUP($A824,'Mutasi Neraca'!$A$3:$S$910,4,FALSE)),0,VLOOKUP($A824,'Mutasi Neraca'!$A$3:$S$910,4,FALSE))</f>
        <v>476000000</v>
      </c>
      <c r="F824" s="42">
        <f>VLOOKUP($A824,'Neraca Unaudited SIMAK'!$A$2:$R$1272,5,FALSE)+IF(ISNA(VLOOKUP($A824,'Mutasi Neraca'!$A$3:$S$910,5,FALSE)),0,VLOOKUP($A824,'Mutasi Neraca'!$A$3:$S$910,5,FALSE))</f>
        <v>1358815312</v>
      </c>
      <c r="G824" s="42">
        <f>VLOOKUP($A824,'Neraca Unaudited SIMAK'!$A$2:$R$1272,6,FALSE)+IF(ISNA(VLOOKUP($A824,'Mutasi Neraca'!$A$3:$S$910,6,FALSE)),0,VLOOKUP($A824,'Mutasi Neraca'!$A$3:$S$910,6,FALSE))</f>
        <v>2568192000</v>
      </c>
      <c r="H824" s="42">
        <f>VLOOKUP($A824,'Neraca Unaudited SIMAK'!$A$2:$R$1272,7,FALSE)+IF(ISNA(VLOOKUP($A824,'Mutasi Neraca'!$A$3:$S$910,7,FALSE)),0,VLOOKUP($A824,'Mutasi Neraca'!$A$3:$S$910,7,FALSE))</f>
        <v>27566000</v>
      </c>
      <c r="I824" s="42">
        <f>VLOOKUP($A824,'Neraca Unaudited SIMAK'!$A$2:$R$1272,8,FALSE)+IF(ISNA(VLOOKUP($A824,'Mutasi Neraca'!$A$3:$S$910,8,FALSE)),0,VLOOKUP($A824,'Mutasi Neraca'!$A$3:$S$910,8,FALSE))</f>
        <v>13624216</v>
      </c>
      <c r="J824" s="42">
        <f>VLOOKUP($A824,'Neraca Unaudited SIMAK'!$A$2:$R$1272,9,FALSE)+IF(ISNA(VLOOKUP($A824,'Mutasi Neraca'!$A$3:$S$910,9,FALSE)),0,VLOOKUP($A824,'Mutasi Neraca'!$A$3:$S$910,9,FALSE))</f>
        <v>0</v>
      </c>
      <c r="K824" s="42">
        <f>VLOOKUP($A824,'Neraca Unaudited SIMAK'!$A$2:$R$1272,10,FALSE)+IF(ISNA(VLOOKUP($A824,'Mutasi Neraca'!$A$3:$S$910,10,FALSE)),0,VLOOKUP($A824,'Mutasi Neraca'!$A$3:$S$910,10,FALSE))</f>
        <v>0</v>
      </c>
      <c r="L824" s="42">
        <f>VLOOKUP($A824,'Neraca Unaudited SIMAK'!$A$2:$R$1272,11,FALSE)+IF(ISNA(VLOOKUP($A824,'Mutasi Neraca'!$A$3:$S$910,11,FALSE)),0,VLOOKUP($A824,'Mutasi Neraca'!$A$3:$S$910,11,FALSE))</f>
        <v>184328000</v>
      </c>
      <c r="M824" s="42">
        <f>VLOOKUP($A824,'Neraca Unaudited SIMAK'!$A$2:$R$1272,12,FALSE)+IF(ISNA(VLOOKUP($A824,'Mutasi Neraca'!$A$3:$S$910,12,FALSE)),0,VLOOKUP($A824,'Mutasi Neraca'!$A$3:$S$910,12,FALSE))</f>
        <v>4630338528</v>
      </c>
      <c r="N824" s="42">
        <f>VLOOKUP($A824,'Neraca Unaudited SIMAK'!$A$2:$R$1272,13,FALSE)+IF(ISNA(VLOOKUP($A824,'Mutasi Neraca'!$A$3:$S$910,13,FALSE)),0,VLOOKUP($A824,'Mutasi Neraca'!$A$3:$S$910,13,FALSE))</f>
        <v>-1034273972</v>
      </c>
      <c r="O824" s="42">
        <f>VLOOKUP($A824,'Neraca Unaudited SIMAK'!$A$2:$R$1272,14,FALSE)+IF(ISNA(VLOOKUP($A824,'Mutasi Neraca'!$A$3:$S$910,14,FALSE)),0,VLOOKUP($A824,'Mutasi Neraca'!$A$3:$S$910,14,FALSE))</f>
        <v>-407716314</v>
      </c>
      <c r="P824" s="42">
        <f>VLOOKUP($A824,'Neraca Unaudited SIMAK'!$A$2:$R$1272,15,FALSE)+IF(ISNA(VLOOKUP($A824,'Mutasi Neraca'!$A$3:$S$910,15,FALSE)),0,VLOOKUP($A824,'Mutasi Neraca'!$A$3:$S$910,15,FALSE))</f>
        <v>-2483691</v>
      </c>
      <c r="Q824" s="42">
        <f>VLOOKUP($A824,'Neraca Unaudited SIMAK'!$A$2:$R$1272,16,FALSE)+IF(ISNA(VLOOKUP($A824,'Mutasi Neraca'!$A$3:$S$910,16,FALSE)),0,VLOOKUP($A824,'Mutasi Neraca'!$A$3:$S$910,16,FALSE))</f>
        <v>0</v>
      </c>
      <c r="R824" s="42">
        <f>VLOOKUP($A824,'Neraca Unaudited SIMAK'!$A$2:$R$1272,17,FALSE)+IF(ISNA(VLOOKUP($A824,'Mutasi Neraca'!$A$3:$S$910,17,FALSE)),0,VLOOKUP($A824,'Mutasi Neraca'!$A$3:$S$910,17,FALSE))</f>
        <v>-186843000</v>
      </c>
      <c r="S824" s="42">
        <f t="shared" si="67"/>
        <v>2999021551</v>
      </c>
    </row>
    <row r="825" spans="1:19">
      <c r="A825" s="41" t="s">
        <v>832</v>
      </c>
      <c r="B825" s="41" t="str">
        <f t="shared" si="66"/>
        <v>005013400</v>
      </c>
      <c r="D825" s="42">
        <f>VLOOKUP($A825,'Neraca Unaudited SIMAK'!$A$2:$R$1272,3,FALSE)+IF(ISNA(VLOOKUP($A825,'Mutasi Neraca'!$A$3:$S$910,3,FALSE)),0,VLOOKUP($A825,'Mutasi Neraca'!$A$3:$S$910,3,FALSE))</f>
        <v>96000</v>
      </c>
      <c r="E825" s="42">
        <f>VLOOKUP($A825,'Neraca Unaudited SIMAK'!$A$2:$R$1272,4,FALSE)+IF(ISNA(VLOOKUP($A825,'Mutasi Neraca'!$A$3:$S$910,4,FALSE)),0,VLOOKUP($A825,'Mutasi Neraca'!$A$3:$S$910,4,FALSE))</f>
        <v>1335292862</v>
      </c>
      <c r="F825" s="42">
        <f>VLOOKUP($A825,'Neraca Unaudited SIMAK'!$A$2:$R$1272,5,FALSE)+IF(ISNA(VLOOKUP($A825,'Mutasi Neraca'!$A$3:$S$910,5,FALSE)),0,VLOOKUP($A825,'Mutasi Neraca'!$A$3:$S$910,5,FALSE))</f>
        <v>882083934</v>
      </c>
      <c r="G825" s="42">
        <f>VLOOKUP($A825,'Neraca Unaudited SIMAK'!$A$2:$R$1272,6,FALSE)+IF(ISNA(VLOOKUP($A825,'Mutasi Neraca'!$A$3:$S$910,6,FALSE)),0,VLOOKUP($A825,'Mutasi Neraca'!$A$3:$S$910,6,FALSE))</f>
        <v>13611606345</v>
      </c>
      <c r="H825" s="42">
        <f>VLOOKUP($A825,'Neraca Unaudited SIMAK'!$A$2:$R$1272,7,FALSE)+IF(ISNA(VLOOKUP($A825,'Mutasi Neraca'!$A$3:$S$910,7,FALSE)),0,VLOOKUP($A825,'Mutasi Neraca'!$A$3:$S$910,7,FALSE))</f>
        <v>0</v>
      </c>
      <c r="I825" s="42">
        <f>VLOOKUP($A825,'Neraca Unaudited SIMAK'!$A$2:$R$1272,8,FALSE)+IF(ISNA(VLOOKUP($A825,'Mutasi Neraca'!$A$3:$S$910,8,FALSE)),0,VLOOKUP($A825,'Mutasi Neraca'!$A$3:$S$910,8,FALSE))</f>
        <v>0</v>
      </c>
      <c r="J825" s="42">
        <f>VLOOKUP($A825,'Neraca Unaudited SIMAK'!$A$2:$R$1272,9,FALSE)+IF(ISNA(VLOOKUP($A825,'Mutasi Neraca'!$A$3:$S$910,9,FALSE)),0,VLOOKUP($A825,'Mutasi Neraca'!$A$3:$S$910,9,FALSE))</f>
        <v>0</v>
      </c>
      <c r="K825" s="42">
        <f>VLOOKUP($A825,'Neraca Unaudited SIMAK'!$A$2:$R$1272,10,FALSE)+IF(ISNA(VLOOKUP($A825,'Mutasi Neraca'!$A$3:$S$910,10,FALSE)),0,VLOOKUP($A825,'Mutasi Neraca'!$A$3:$S$910,10,FALSE))</f>
        <v>0</v>
      </c>
      <c r="L825" s="42">
        <f>VLOOKUP($A825,'Neraca Unaudited SIMAK'!$A$2:$R$1272,11,FALSE)+IF(ISNA(VLOOKUP($A825,'Mutasi Neraca'!$A$3:$S$910,11,FALSE)),0,VLOOKUP($A825,'Mutasi Neraca'!$A$3:$S$910,11,FALSE))</f>
        <v>0</v>
      </c>
      <c r="M825" s="42">
        <f>VLOOKUP($A825,'Neraca Unaudited SIMAK'!$A$2:$R$1272,12,FALSE)+IF(ISNA(VLOOKUP($A825,'Mutasi Neraca'!$A$3:$S$910,12,FALSE)),0,VLOOKUP($A825,'Mutasi Neraca'!$A$3:$S$910,12,FALSE))</f>
        <v>15829079141</v>
      </c>
      <c r="N825" s="42">
        <f>VLOOKUP($A825,'Neraca Unaudited SIMAK'!$A$2:$R$1272,13,FALSE)+IF(ISNA(VLOOKUP($A825,'Mutasi Neraca'!$A$3:$S$910,13,FALSE)),0,VLOOKUP($A825,'Mutasi Neraca'!$A$3:$S$910,13,FALSE))</f>
        <v>-364717263</v>
      </c>
      <c r="O825" s="42">
        <f>VLOOKUP($A825,'Neraca Unaudited SIMAK'!$A$2:$R$1272,14,FALSE)+IF(ISNA(VLOOKUP($A825,'Mutasi Neraca'!$A$3:$S$910,14,FALSE)),0,VLOOKUP($A825,'Mutasi Neraca'!$A$3:$S$910,14,FALSE))</f>
        <v>-387765741</v>
      </c>
      <c r="P825" s="42">
        <f>VLOOKUP($A825,'Neraca Unaudited SIMAK'!$A$2:$R$1272,15,FALSE)+IF(ISNA(VLOOKUP($A825,'Mutasi Neraca'!$A$3:$S$910,15,FALSE)),0,VLOOKUP($A825,'Mutasi Neraca'!$A$3:$S$910,15,FALSE))</f>
        <v>0</v>
      </c>
      <c r="Q825" s="42">
        <f>VLOOKUP($A825,'Neraca Unaudited SIMAK'!$A$2:$R$1272,16,FALSE)+IF(ISNA(VLOOKUP($A825,'Mutasi Neraca'!$A$3:$S$910,16,FALSE)),0,VLOOKUP($A825,'Mutasi Neraca'!$A$3:$S$910,16,FALSE))</f>
        <v>0</v>
      </c>
      <c r="R825" s="42">
        <f>VLOOKUP($A825,'Neraca Unaudited SIMAK'!$A$2:$R$1272,17,FALSE)+IF(ISNA(VLOOKUP($A825,'Mutasi Neraca'!$A$3:$S$910,17,FALSE)),0,VLOOKUP($A825,'Mutasi Neraca'!$A$3:$S$910,17,FALSE))</f>
        <v>0</v>
      </c>
      <c r="S825" s="42">
        <f t="shared" si="67"/>
        <v>15076596137</v>
      </c>
    </row>
    <row r="826" spans="1:19">
      <c r="A826" s="41" t="s">
        <v>1164</v>
      </c>
      <c r="B826" s="41" t="str">
        <f t="shared" si="66"/>
        <v>005020199</v>
      </c>
      <c r="D826" s="42">
        <f>VLOOKUP($A826,'Neraca Unaudited SIMAK'!$A$2:$R$1272,3,FALSE)+IF(ISNA(VLOOKUP($A826,'Mutasi Neraca'!$A$3:$S$910,3,FALSE)),0,VLOOKUP($A826,'Mutasi Neraca'!$A$3:$S$910,3,FALSE))</f>
        <v>1768600240</v>
      </c>
      <c r="E826" s="42">
        <f>VLOOKUP($A826,'Neraca Unaudited SIMAK'!$A$2:$R$1272,4,FALSE)+IF(ISNA(VLOOKUP($A826,'Mutasi Neraca'!$A$3:$S$910,4,FALSE)),0,VLOOKUP($A826,'Mutasi Neraca'!$A$3:$S$910,4,FALSE))</f>
        <v>0</v>
      </c>
      <c r="F826" s="42">
        <f>VLOOKUP($A826,'Neraca Unaudited SIMAK'!$A$2:$R$1272,5,FALSE)+IF(ISNA(VLOOKUP($A826,'Mutasi Neraca'!$A$3:$S$910,5,FALSE)),0,VLOOKUP($A826,'Mutasi Neraca'!$A$3:$S$910,5,FALSE))</f>
        <v>17185031836</v>
      </c>
      <c r="G826" s="42">
        <f>VLOOKUP($A826,'Neraca Unaudited SIMAK'!$A$2:$R$1272,6,FALSE)+IF(ISNA(VLOOKUP($A826,'Mutasi Neraca'!$A$3:$S$910,6,FALSE)),0,VLOOKUP($A826,'Mutasi Neraca'!$A$3:$S$910,6,FALSE))</f>
        <v>18775680</v>
      </c>
      <c r="H826" s="42">
        <f>VLOOKUP($A826,'Neraca Unaudited SIMAK'!$A$2:$R$1272,7,FALSE)+IF(ISNA(VLOOKUP($A826,'Mutasi Neraca'!$A$3:$S$910,7,FALSE)),0,VLOOKUP($A826,'Mutasi Neraca'!$A$3:$S$910,7,FALSE))</f>
        <v>0</v>
      </c>
      <c r="I826" s="42">
        <f>VLOOKUP($A826,'Neraca Unaudited SIMAK'!$A$2:$R$1272,8,FALSE)+IF(ISNA(VLOOKUP($A826,'Mutasi Neraca'!$A$3:$S$910,8,FALSE)),0,VLOOKUP($A826,'Mutasi Neraca'!$A$3:$S$910,8,FALSE))</f>
        <v>0</v>
      </c>
      <c r="J826" s="42">
        <f>VLOOKUP($A826,'Neraca Unaudited SIMAK'!$A$2:$R$1272,9,FALSE)+IF(ISNA(VLOOKUP($A826,'Mutasi Neraca'!$A$3:$S$910,9,FALSE)),0,VLOOKUP($A826,'Mutasi Neraca'!$A$3:$S$910,9,FALSE))</f>
        <v>0</v>
      </c>
      <c r="K826" s="42">
        <f>VLOOKUP($A826,'Neraca Unaudited SIMAK'!$A$2:$R$1272,10,FALSE)+IF(ISNA(VLOOKUP($A826,'Mutasi Neraca'!$A$3:$S$910,10,FALSE)),0,VLOOKUP($A826,'Mutasi Neraca'!$A$3:$S$910,10,FALSE))</f>
        <v>0</v>
      </c>
      <c r="L826" s="42">
        <f>VLOOKUP($A826,'Neraca Unaudited SIMAK'!$A$2:$R$1272,11,FALSE)+IF(ISNA(VLOOKUP($A826,'Mutasi Neraca'!$A$3:$S$910,11,FALSE)),0,VLOOKUP($A826,'Mutasi Neraca'!$A$3:$S$910,11,FALSE))</f>
        <v>0</v>
      </c>
      <c r="M826" s="42">
        <f>VLOOKUP($A826,'Neraca Unaudited SIMAK'!$A$2:$R$1272,12,FALSE)+IF(ISNA(VLOOKUP($A826,'Mutasi Neraca'!$A$3:$S$910,12,FALSE)),0,VLOOKUP($A826,'Mutasi Neraca'!$A$3:$S$910,12,FALSE))</f>
        <v>18972407756</v>
      </c>
      <c r="N826" s="42">
        <f>VLOOKUP($A826,'Neraca Unaudited SIMAK'!$A$2:$R$1272,13,FALSE)+IF(ISNA(VLOOKUP($A826,'Mutasi Neraca'!$A$3:$S$910,13,FALSE)),0,VLOOKUP($A826,'Mutasi Neraca'!$A$3:$S$910,13,FALSE))</f>
        <v>-15129699605</v>
      </c>
      <c r="O826" s="42">
        <f>VLOOKUP($A826,'Neraca Unaudited SIMAK'!$A$2:$R$1272,14,FALSE)+IF(ISNA(VLOOKUP($A826,'Mutasi Neraca'!$A$3:$S$910,14,FALSE)),0,VLOOKUP($A826,'Mutasi Neraca'!$A$3:$S$910,14,FALSE))</f>
        <v>-2440840</v>
      </c>
      <c r="P826" s="42">
        <f>VLOOKUP($A826,'Neraca Unaudited SIMAK'!$A$2:$R$1272,15,FALSE)+IF(ISNA(VLOOKUP($A826,'Mutasi Neraca'!$A$3:$S$910,15,FALSE)),0,VLOOKUP($A826,'Mutasi Neraca'!$A$3:$S$910,15,FALSE))</f>
        <v>0</v>
      </c>
      <c r="Q826" s="42">
        <f>VLOOKUP($A826,'Neraca Unaudited SIMAK'!$A$2:$R$1272,16,FALSE)+IF(ISNA(VLOOKUP($A826,'Mutasi Neraca'!$A$3:$S$910,16,FALSE)),0,VLOOKUP($A826,'Mutasi Neraca'!$A$3:$S$910,16,FALSE))</f>
        <v>0</v>
      </c>
      <c r="R826" s="42">
        <f>VLOOKUP($A826,'Neraca Unaudited SIMAK'!$A$2:$R$1272,17,FALSE)+IF(ISNA(VLOOKUP($A826,'Mutasi Neraca'!$A$3:$S$910,17,FALSE)),0,VLOOKUP($A826,'Mutasi Neraca'!$A$3:$S$910,17,FALSE))</f>
        <v>0</v>
      </c>
      <c r="S826" s="42">
        <f t="shared" si="67"/>
        <v>3840267311</v>
      </c>
    </row>
    <row r="827" spans="1:19">
      <c r="A827" s="41" t="s">
        <v>833</v>
      </c>
      <c r="B827" s="41" t="str">
        <f t="shared" si="66"/>
        <v>005030100</v>
      </c>
      <c r="D827" s="42">
        <f>VLOOKUP($A827,'Neraca Unaudited SIMAK'!$A$2:$R$1272,3,FALSE)+IF(ISNA(VLOOKUP($A827,'Mutasi Neraca'!$A$3:$S$910,3,FALSE)),0,VLOOKUP($A827,'Mutasi Neraca'!$A$3:$S$910,3,FALSE))</f>
        <v>4188550</v>
      </c>
      <c r="E827" s="42">
        <f>VLOOKUP($A827,'Neraca Unaudited SIMAK'!$A$2:$R$1272,4,FALSE)+IF(ISNA(VLOOKUP($A827,'Mutasi Neraca'!$A$3:$S$910,4,FALSE)),0,VLOOKUP($A827,'Mutasi Neraca'!$A$3:$S$910,4,FALSE))</f>
        <v>0</v>
      </c>
      <c r="F827" s="42">
        <f>VLOOKUP($A827,'Neraca Unaudited SIMAK'!$A$2:$R$1272,5,FALSE)+IF(ISNA(VLOOKUP($A827,'Mutasi Neraca'!$A$3:$S$910,5,FALSE)),0,VLOOKUP($A827,'Mutasi Neraca'!$A$3:$S$910,5,FALSE))</f>
        <v>0</v>
      </c>
      <c r="G827" s="42">
        <f>VLOOKUP($A827,'Neraca Unaudited SIMAK'!$A$2:$R$1272,6,FALSE)+IF(ISNA(VLOOKUP($A827,'Mutasi Neraca'!$A$3:$S$910,6,FALSE)),0,VLOOKUP($A827,'Mutasi Neraca'!$A$3:$S$910,6,FALSE))</f>
        <v>0</v>
      </c>
      <c r="H827" s="42">
        <f>VLOOKUP($A827,'Neraca Unaudited SIMAK'!$A$2:$R$1272,7,FALSE)+IF(ISNA(VLOOKUP($A827,'Mutasi Neraca'!$A$3:$S$910,7,FALSE)),0,VLOOKUP($A827,'Mutasi Neraca'!$A$3:$S$910,7,FALSE))</f>
        <v>0</v>
      </c>
      <c r="I827" s="42">
        <f>VLOOKUP($A827,'Neraca Unaudited SIMAK'!$A$2:$R$1272,8,FALSE)+IF(ISNA(VLOOKUP($A827,'Mutasi Neraca'!$A$3:$S$910,8,FALSE)),0,VLOOKUP($A827,'Mutasi Neraca'!$A$3:$S$910,8,FALSE))</f>
        <v>0</v>
      </c>
      <c r="J827" s="42">
        <f>VLOOKUP($A827,'Neraca Unaudited SIMAK'!$A$2:$R$1272,9,FALSE)+IF(ISNA(VLOOKUP($A827,'Mutasi Neraca'!$A$3:$S$910,9,FALSE)),0,VLOOKUP($A827,'Mutasi Neraca'!$A$3:$S$910,9,FALSE))</f>
        <v>0</v>
      </c>
      <c r="K827" s="42">
        <f>VLOOKUP($A827,'Neraca Unaudited SIMAK'!$A$2:$R$1272,10,FALSE)+IF(ISNA(VLOOKUP($A827,'Mutasi Neraca'!$A$3:$S$910,10,FALSE)),0,VLOOKUP($A827,'Mutasi Neraca'!$A$3:$S$910,10,FALSE))</f>
        <v>0</v>
      </c>
      <c r="L827" s="42">
        <f>VLOOKUP($A827,'Neraca Unaudited SIMAK'!$A$2:$R$1272,11,FALSE)+IF(ISNA(VLOOKUP($A827,'Mutasi Neraca'!$A$3:$S$910,11,FALSE)),0,VLOOKUP($A827,'Mutasi Neraca'!$A$3:$S$910,11,FALSE))</f>
        <v>0</v>
      </c>
      <c r="M827" s="42">
        <f>VLOOKUP($A827,'Neraca Unaudited SIMAK'!$A$2:$R$1272,12,FALSE)+IF(ISNA(VLOOKUP($A827,'Mutasi Neraca'!$A$3:$S$910,12,FALSE)),0,VLOOKUP($A827,'Mutasi Neraca'!$A$3:$S$910,12,FALSE))</f>
        <v>4188550</v>
      </c>
      <c r="N827" s="42">
        <f>VLOOKUP($A827,'Neraca Unaudited SIMAK'!$A$2:$R$1272,13,FALSE)+IF(ISNA(VLOOKUP($A827,'Mutasi Neraca'!$A$3:$S$910,13,FALSE)),0,VLOOKUP($A827,'Mutasi Neraca'!$A$3:$S$910,13,FALSE))</f>
        <v>0</v>
      </c>
      <c r="O827" s="42">
        <f>VLOOKUP($A827,'Neraca Unaudited SIMAK'!$A$2:$R$1272,14,FALSE)+IF(ISNA(VLOOKUP($A827,'Mutasi Neraca'!$A$3:$S$910,14,FALSE)),0,VLOOKUP($A827,'Mutasi Neraca'!$A$3:$S$910,14,FALSE))</f>
        <v>0</v>
      </c>
      <c r="P827" s="42">
        <f>VLOOKUP($A827,'Neraca Unaudited SIMAK'!$A$2:$R$1272,15,FALSE)+IF(ISNA(VLOOKUP($A827,'Mutasi Neraca'!$A$3:$S$910,15,FALSE)),0,VLOOKUP($A827,'Mutasi Neraca'!$A$3:$S$910,15,FALSE))</f>
        <v>0</v>
      </c>
      <c r="Q827" s="42">
        <f>VLOOKUP($A827,'Neraca Unaudited SIMAK'!$A$2:$R$1272,16,FALSE)+IF(ISNA(VLOOKUP($A827,'Mutasi Neraca'!$A$3:$S$910,16,FALSE)),0,VLOOKUP($A827,'Mutasi Neraca'!$A$3:$S$910,16,FALSE))</f>
        <v>0</v>
      </c>
      <c r="R827" s="42">
        <f>VLOOKUP($A827,'Neraca Unaudited SIMAK'!$A$2:$R$1272,17,FALSE)+IF(ISNA(VLOOKUP($A827,'Mutasi Neraca'!$A$3:$S$910,17,FALSE)),0,VLOOKUP($A827,'Mutasi Neraca'!$A$3:$S$910,17,FALSE))</f>
        <v>0</v>
      </c>
      <c r="S827" s="42">
        <f t="shared" si="67"/>
        <v>4188550</v>
      </c>
    </row>
    <row r="828" spans="1:19">
      <c r="A828" s="41" t="s">
        <v>834</v>
      </c>
      <c r="B828" s="41" t="str">
        <f t="shared" si="66"/>
        <v>005030100</v>
      </c>
      <c r="D828" s="42">
        <f>VLOOKUP($A828,'Neraca Unaudited SIMAK'!$A$2:$R$1272,3,FALSE)+IF(ISNA(VLOOKUP($A828,'Mutasi Neraca'!$A$3:$S$910,3,FALSE)),0,VLOOKUP($A828,'Mutasi Neraca'!$A$3:$S$910,3,FALSE))</f>
        <v>34823800</v>
      </c>
      <c r="E828" s="42">
        <f>VLOOKUP($A828,'Neraca Unaudited SIMAK'!$A$2:$R$1272,4,FALSE)+IF(ISNA(VLOOKUP($A828,'Mutasi Neraca'!$A$3:$S$910,4,FALSE)),0,VLOOKUP($A828,'Mutasi Neraca'!$A$3:$S$910,4,FALSE))</f>
        <v>0</v>
      </c>
      <c r="F828" s="42">
        <f>VLOOKUP($A828,'Neraca Unaudited SIMAK'!$A$2:$R$1272,5,FALSE)+IF(ISNA(VLOOKUP($A828,'Mutasi Neraca'!$A$3:$S$910,5,FALSE)),0,VLOOKUP($A828,'Mutasi Neraca'!$A$3:$S$910,5,FALSE))</f>
        <v>0</v>
      </c>
      <c r="G828" s="42">
        <f>VLOOKUP($A828,'Neraca Unaudited SIMAK'!$A$2:$R$1272,6,FALSE)+IF(ISNA(VLOOKUP($A828,'Mutasi Neraca'!$A$3:$S$910,6,FALSE)),0,VLOOKUP($A828,'Mutasi Neraca'!$A$3:$S$910,6,FALSE))</f>
        <v>0</v>
      </c>
      <c r="H828" s="42">
        <f>VLOOKUP($A828,'Neraca Unaudited SIMAK'!$A$2:$R$1272,7,FALSE)+IF(ISNA(VLOOKUP($A828,'Mutasi Neraca'!$A$3:$S$910,7,FALSE)),0,VLOOKUP($A828,'Mutasi Neraca'!$A$3:$S$910,7,FALSE))</f>
        <v>0</v>
      </c>
      <c r="I828" s="42">
        <f>VLOOKUP($A828,'Neraca Unaudited SIMAK'!$A$2:$R$1272,8,FALSE)+IF(ISNA(VLOOKUP($A828,'Mutasi Neraca'!$A$3:$S$910,8,FALSE)),0,VLOOKUP($A828,'Mutasi Neraca'!$A$3:$S$910,8,FALSE))</f>
        <v>0</v>
      </c>
      <c r="J828" s="42">
        <f>VLOOKUP($A828,'Neraca Unaudited SIMAK'!$A$2:$R$1272,9,FALSE)+IF(ISNA(VLOOKUP($A828,'Mutasi Neraca'!$A$3:$S$910,9,FALSE)),0,VLOOKUP($A828,'Mutasi Neraca'!$A$3:$S$910,9,FALSE))</f>
        <v>0</v>
      </c>
      <c r="K828" s="42">
        <f>VLOOKUP($A828,'Neraca Unaudited SIMAK'!$A$2:$R$1272,10,FALSE)+IF(ISNA(VLOOKUP($A828,'Mutasi Neraca'!$A$3:$S$910,10,FALSE)),0,VLOOKUP($A828,'Mutasi Neraca'!$A$3:$S$910,10,FALSE))</f>
        <v>0</v>
      </c>
      <c r="L828" s="42">
        <f>VLOOKUP($A828,'Neraca Unaudited SIMAK'!$A$2:$R$1272,11,FALSE)+IF(ISNA(VLOOKUP($A828,'Mutasi Neraca'!$A$3:$S$910,11,FALSE)),0,VLOOKUP($A828,'Mutasi Neraca'!$A$3:$S$910,11,FALSE))</f>
        <v>0</v>
      </c>
      <c r="M828" s="42">
        <f>VLOOKUP($A828,'Neraca Unaudited SIMAK'!$A$2:$R$1272,12,FALSE)+IF(ISNA(VLOOKUP($A828,'Mutasi Neraca'!$A$3:$S$910,12,FALSE)),0,VLOOKUP($A828,'Mutasi Neraca'!$A$3:$S$910,12,FALSE))</f>
        <v>34823800</v>
      </c>
      <c r="N828" s="42">
        <f>VLOOKUP($A828,'Neraca Unaudited SIMAK'!$A$2:$R$1272,13,FALSE)+IF(ISNA(VLOOKUP($A828,'Mutasi Neraca'!$A$3:$S$910,13,FALSE)),0,VLOOKUP($A828,'Mutasi Neraca'!$A$3:$S$910,13,FALSE))</f>
        <v>0</v>
      </c>
      <c r="O828" s="42">
        <f>VLOOKUP($A828,'Neraca Unaudited SIMAK'!$A$2:$R$1272,14,FALSE)+IF(ISNA(VLOOKUP($A828,'Mutasi Neraca'!$A$3:$S$910,14,FALSE)),0,VLOOKUP($A828,'Mutasi Neraca'!$A$3:$S$910,14,FALSE))</f>
        <v>0</v>
      </c>
      <c r="P828" s="42">
        <f>VLOOKUP($A828,'Neraca Unaudited SIMAK'!$A$2:$R$1272,15,FALSE)+IF(ISNA(VLOOKUP($A828,'Mutasi Neraca'!$A$3:$S$910,15,FALSE)),0,VLOOKUP($A828,'Mutasi Neraca'!$A$3:$S$910,15,FALSE))</f>
        <v>0</v>
      </c>
      <c r="Q828" s="42">
        <f>VLOOKUP($A828,'Neraca Unaudited SIMAK'!$A$2:$R$1272,16,FALSE)+IF(ISNA(VLOOKUP($A828,'Mutasi Neraca'!$A$3:$S$910,16,FALSE)),0,VLOOKUP($A828,'Mutasi Neraca'!$A$3:$S$910,16,FALSE))</f>
        <v>0</v>
      </c>
      <c r="R828" s="42">
        <f>VLOOKUP($A828,'Neraca Unaudited SIMAK'!$A$2:$R$1272,17,FALSE)+IF(ISNA(VLOOKUP($A828,'Mutasi Neraca'!$A$3:$S$910,17,FALSE)),0,VLOOKUP($A828,'Mutasi Neraca'!$A$3:$S$910,17,FALSE))</f>
        <v>0</v>
      </c>
      <c r="S828" s="42">
        <f t="shared" si="67"/>
        <v>34823800</v>
      </c>
    </row>
    <row r="829" spans="1:19">
      <c r="A829" s="41" t="s">
        <v>835</v>
      </c>
      <c r="B829" s="41" t="str">
        <f t="shared" si="66"/>
        <v>005030100</v>
      </c>
      <c r="D829" s="42">
        <f>VLOOKUP($A829,'Neraca Unaudited SIMAK'!$A$2:$R$1272,3,FALSE)+IF(ISNA(VLOOKUP($A829,'Mutasi Neraca'!$A$3:$S$910,3,FALSE)),0,VLOOKUP($A829,'Mutasi Neraca'!$A$3:$S$910,3,FALSE))</f>
        <v>25367500</v>
      </c>
      <c r="E829" s="42">
        <f>VLOOKUP($A829,'Neraca Unaudited SIMAK'!$A$2:$R$1272,4,FALSE)+IF(ISNA(VLOOKUP($A829,'Mutasi Neraca'!$A$3:$S$910,4,FALSE)),0,VLOOKUP($A829,'Mutasi Neraca'!$A$3:$S$910,4,FALSE))</f>
        <v>0</v>
      </c>
      <c r="F829" s="42">
        <f>VLOOKUP($A829,'Neraca Unaudited SIMAK'!$A$2:$R$1272,5,FALSE)+IF(ISNA(VLOOKUP($A829,'Mutasi Neraca'!$A$3:$S$910,5,FALSE)),0,VLOOKUP($A829,'Mutasi Neraca'!$A$3:$S$910,5,FALSE))</f>
        <v>0</v>
      </c>
      <c r="G829" s="42">
        <f>VLOOKUP($A829,'Neraca Unaudited SIMAK'!$A$2:$R$1272,6,FALSE)+IF(ISNA(VLOOKUP($A829,'Mutasi Neraca'!$A$3:$S$910,6,FALSE)),0,VLOOKUP($A829,'Mutasi Neraca'!$A$3:$S$910,6,FALSE))</f>
        <v>0</v>
      </c>
      <c r="H829" s="42">
        <f>VLOOKUP($A829,'Neraca Unaudited SIMAK'!$A$2:$R$1272,7,FALSE)+IF(ISNA(VLOOKUP($A829,'Mutasi Neraca'!$A$3:$S$910,7,FALSE)),0,VLOOKUP($A829,'Mutasi Neraca'!$A$3:$S$910,7,FALSE))</f>
        <v>0</v>
      </c>
      <c r="I829" s="42">
        <f>VLOOKUP($A829,'Neraca Unaudited SIMAK'!$A$2:$R$1272,8,FALSE)+IF(ISNA(VLOOKUP($A829,'Mutasi Neraca'!$A$3:$S$910,8,FALSE)),0,VLOOKUP($A829,'Mutasi Neraca'!$A$3:$S$910,8,FALSE))</f>
        <v>0</v>
      </c>
      <c r="J829" s="42">
        <f>VLOOKUP($A829,'Neraca Unaudited SIMAK'!$A$2:$R$1272,9,FALSE)+IF(ISNA(VLOOKUP($A829,'Mutasi Neraca'!$A$3:$S$910,9,FALSE)),0,VLOOKUP($A829,'Mutasi Neraca'!$A$3:$S$910,9,FALSE))</f>
        <v>0</v>
      </c>
      <c r="K829" s="42">
        <f>VLOOKUP($A829,'Neraca Unaudited SIMAK'!$A$2:$R$1272,10,FALSE)+IF(ISNA(VLOOKUP($A829,'Mutasi Neraca'!$A$3:$S$910,10,FALSE)),0,VLOOKUP($A829,'Mutasi Neraca'!$A$3:$S$910,10,FALSE))</f>
        <v>0</v>
      </c>
      <c r="L829" s="42">
        <f>VLOOKUP($A829,'Neraca Unaudited SIMAK'!$A$2:$R$1272,11,FALSE)+IF(ISNA(VLOOKUP($A829,'Mutasi Neraca'!$A$3:$S$910,11,FALSE)),0,VLOOKUP($A829,'Mutasi Neraca'!$A$3:$S$910,11,FALSE))</f>
        <v>0</v>
      </c>
      <c r="M829" s="42">
        <f>VLOOKUP($A829,'Neraca Unaudited SIMAK'!$A$2:$R$1272,12,FALSE)+IF(ISNA(VLOOKUP($A829,'Mutasi Neraca'!$A$3:$S$910,12,FALSE)),0,VLOOKUP($A829,'Mutasi Neraca'!$A$3:$S$910,12,FALSE))</f>
        <v>25367500</v>
      </c>
      <c r="N829" s="42">
        <f>VLOOKUP($A829,'Neraca Unaudited SIMAK'!$A$2:$R$1272,13,FALSE)+IF(ISNA(VLOOKUP($A829,'Mutasi Neraca'!$A$3:$S$910,13,FALSE)),0,VLOOKUP($A829,'Mutasi Neraca'!$A$3:$S$910,13,FALSE))</f>
        <v>0</v>
      </c>
      <c r="O829" s="42">
        <f>VLOOKUP($A829,'Neraca Unaudited SIMAK'!$A$2:$R$1272,14,FALSE)+IF(ISNA(VLOOKUP($A829,'Mutasi Neraca'!$A$3:$S$910,14,FALSE)),0,VLOOKUP($A829,'Mutasi Neraca'!$A$3:$S$910,14,FALSE))</f>
        <v>0</v>
      </c>
      <c r="P829" s="42">
        <f>VLOOKUP($A829,'Neraca Unaudited SIMAK'!$A$2:$R$1272,15,FALSE)+IF(ISNA(VLOOKUP($A829,'Mutasi Neraca'!$A$3:$S$910,15,FALSE)),0,VLOOKUP($A829,'Mutasi Neraca'!$A$3:$S$910,15,FALSE))</f>
        <v>0</v>
      </c>
      <c r="Q829" s="42">
        <f>VLOOKUP($A829,'Neraca Unaudited SIMAK'!$A$2:$R$1272,16,FALSE)+IF(ISNA(VLOOKUP($A829,'Mutasi Neraca'!$A$3:$S$910,16,FALSE)),0,VLOOKUP($A829,'Mutasi Neraca'!$A$3:$S$910,16,FALSE))</f>
        <v>0</v>
      </c>
      <c r="R829" s="42">
        <f>VLOOKUP($A829,'Neraca Unaudited SIMAK'!$A$2:$R$1272,17,FALSE)+IF(ISNA(VLOOKUP($A829,'Mutasi Neraca'!$A$3:$S$910,17,FALSE)),0,VLOOKUP($A829,'Mutasi Neraca'!$A$3:$S$910,17,FALSE))</f>
        <v>0</v>
      </c>
      <c r="S829" s="42">
        <f t="shared" si="67"/>
        <v>25367500</v>
      </c>
    </row>
    <row r="830" spans="1:19">
      <c r="A830" s="41" t="s">
        <v>836</v>
      </c>
      <c r="B830" s="41" t="str">
        <f t="shared" si="66"/>
        <v>005030100</v>
      </c>
      <c r="D830" s="42">
        <f>VLOOKUP($A830,'Neraca Unaudited SIMAK'!$A$2:$R$1272,3,FALSE)+IF(ISNA(VLOOKUP($A830,'Mutasi Neraca'!$A$3:$S$910,3,FALSE)),0,VLOOKUP($A830,'Mutasi Neraca'!$A$3:$S$910,3,FALSE))</f>
        <v>1181950</v>
      </c>
      <c r="E830" s="42">
        <f>VLOOKUP($A830,'Neraca Unaudited SIMAK'!$A$2:$R$1272,4,FALSE)+IF(ISNA(VLOOKUP($A830,'Mutasi Neraca'!$A$3:$S$910,4,FALSE)),0,VLOOKUP($A830,'Mutasi Neraca'!$A$3:$S$910,4,FALSE))</f>
        <v>0</v>
      </c>
      <c r="F830" s="42">
        <f>VLOOKUP($A830,'Neraca Unaudited SIMAK'!$A$2:$R$1272,5,FALSE)+IF(ISNA(VLOOKUP($A830,'Mutasi Neraca'!$A$3:$S$910,5,FALSE)),0,VLOOKUP($A830,'Mutasi Neraca'!$A$3:$S$910,5,FALSE))</f>
        <v>0</v>
      </c>
      <c r="G830" s="42">
        <f>VLOOKUP($A830,'Neraca Unaudited SIMAK'!$A$2:$R$1272,6,FALSE)+IF(ISNA(VLOOKUP($A830,'Mutasi Neraca'!$A$3:$S$910,6,FALSE)),0,VLOOKUP($A830,'Mutasi Neraca'!$A$3:$S$910,6,FALSE))</f>
        <v>0</v>
      </c>
      <c r="H830" s="42">
        <f>VLOOKUP($A830,'Neraca Unaudited SIMAK'!$A$2:$R$1272,7,FALSE)+IF(ISNA(VLOOKUP($A830,'Mutasi Neraca'!$A$3:$S$910,7,FALSE)),0,VLOOKUP($A830,'Mutasi Neraca'!$A$3:$S$910,7,FALSE))</f>
        <v>0</v>
      </c>
      <c r="I830" s="42">
        <f>VLOOKUP($A830,'Neraca Unaudited SIMAK'!$A$2:$R$1272,8,FALSE)+IF(ISNA(VLOOKUP($A830,'Mutasi Neraca'!$A$3:$S$910,8,FALSE)),0,VLOOKUP($A830,'Mutasi Neraca'!$A$3:$S$910,8,FALSE))</f>
        <v>0</v>
      </c>
      <c r="J830" s="42">
        <f>VLOOKUP($A830,'Neraca Unaudited SIMAK'!$A$2:$R$1272,9,FALSE)+IF(ISNA(VLOOKUP($A830,'Mutasi Neraca'!$A$3:$S$910,9,FALSE)),0,VLOOKUP($A830,'Mutasi Neraca'!$A$3:$S$910,9,FALSE))</f>
        <v>0</v>
      </c>
      <c r="K830" s="42">
        <f>VLOOKUP($A830,'Neraca Unaudited SIMAK'!$A$2:$R$1272,10,FALSE)+IF(ISNA(VLOOKUP($A830,'Mutasi Neraca'!$A$3:$S$910,10,FALSE)),0,VLOOKUP($A830,'Mutasi Neraca'!$A$3:$S$910,10,FALSE))</f>
        <v>0</v>
      </c>
      <c r="L830" s="42">
        <f>VLOOKUP($A830,'Neraca Unaudited SIMAK'!$A$2:$R$1272,11,FALSE)+IF(ISNA(VLOOKUP($A830,'Mutasi Neraca'!$A$3:$S$910,11,FALSE)),0,VLOOKUP($A830,'Mutasi Neraca'!$A$3:$S$910,11,FALSE))</f>
        <v>0</v>
      </c>
      <c r="M830" s="42">
        <f>VLOOKUP($A830,'Neraca Unaudited SIMAK'!$A$2:$R$1272,12,FALSE)+IF(ISNA(VLOOKUP($A830,'Mutasi Neraca'!$A$3:$S$910,12,FALSE)),0,VLOOKUP($A830,'Mutasi Neraca'!$A$3:$S$910,12,FALSE))</f>
        <v>1181950</v>
      </c>
      <c r="N830" s="42">
        <f>VLOOKUP($A830,'Neraca Unaudited SIMAK'!$A$2:$R$1272,13,FALSE)+IF(ISNA(VLOOKUP($A830,'Mutasi Neraca'!$A$3:$S$910,13,FALSE)),0,VLOOKUP($A830,'Mutasi Neraca'!$A$3:$S$910,13,FALSE))</f>
        <v>0</v>
      </c>
      <c r="O830" s="42">
        <f>VLOOKUP($A830,'Neraca Unaudited SIMAK'!$A$2:$R$1272,14,FALSE)+IF(ISNA(VLOOKUP($A830,'Mutasi Neraca'!$A$3:$S$910,14,FALSE)),0,VLOOKUP($A830,'Mutasi Neraca'!$A$3:$S$910,14,FALSE))</f>
        <v>0</v>
      </c>
      <c r="P830" s="42">
        <f>VLOOKUP($A830,'Neraca Unaudited SIMAK'!$A$2:$R$1272,15,FALSE)+IF(ISNA(VLOOKUP($A830,'Mutasi Neraca'!$A$3:$S$910,15,FALSE)),0,VLOOKUP($A830,'Mutasi Neraca'!$A$3:$S$910,15,FALSE))</f>
        <v>0</v>
      </c>
      <c r="Q830" s="42">
        <f>VLOOKUP($A830,'Neraca Unaudited SIMAK'!$A$2:$R$1272,16,FALSE)+IF(ISNA(VLOOKUP($A830,'Mutasi Neraca'!$A$3:$S$910,16,FALSE)),0,VLOOKUP($A830,'Mutasi Neraca'!$A$3:$S$910,16,FALSE))</f>
        <v>0</v>
      </c>
      <c r="R830" s="42">
        <f>VLOOKUP($A830,'Neraca Unaudited SIMAK'!$A$2:$R$1272,17,FALSE)+IF(ISNA(VLOOKUP($A830,'Mutasi Neraca'!$A$3:$S$910,17,FALSE)),0,VLOOKUP($A830,'Mutasi Neraca'!$A$3:$S$910,17,FALSE))</f>
        <v>0</v>
      </c>
      <c r="S830" s="42">
        <f t="shared" si="67"/>
        <v>1181950</v>
      </c>
    </row>
    <row r="831" spans="1:19">
      <c r="A831" s="41" t="s">
        <v>837</v>
      </c>
      <c r="B831" s="41" t="str">
        <f t="shared" si="66"/>
        <v>005030100</v>
      </c>
      <c r="D831" s="42">
        <f>VLOOKUP($A831,'Neraca Unaudited SIMAK'!$A$2:$R$1272,3,FALSE)+IF(ISNA(VLOOKUP($A831,'Mutasi Neraca'!$A$3:$S$910,3,FALSE)),0,VLOOKUP($A831,'Mutasi Neraca'!$A$3:$S$910,3,FALSE))</f>
        <v>32507000</v>
      </c>
      <c r="E831" s="42">
        <f>VLOOKUP($A831,'Neraca Unaudited SIMAK'!$A$2:$R$1272,4,FALSE)+IF(ISNA(VLOOKUP($A831,'Mutasi Neraca'!$A$3:$S$910,4,FALSE)),0,VLOOKUP($A831,'Mutasi Neraca'!$A$3:$S$910,4,FALSE))</f>
        <v>0</v>
      </c>
      <c r="F831" s="42">
        <f>VLOOKUP($A831,'Neraca Unaudited SIMAK'!$A$2:$R$1272,5,FALSE)+IF(ISNA(VLOOKUP($A831,'Mutasi Neraca'!$A$3:$S$910,5,FALSE)),0,VLOOKUP($A831,'Mutasi Neraca'!$A$3:$S$910,5,FALSE))</f>
        <v>0</v>
      </c>
      <c r="G831" s="42">
        <f>VLOOKUP($A831,'Neraca Unaudited SIMAK'!$A$2:$R$1272,6,FALSE)+IF(ISNA(VLOOKUP($A831,'Mutasi Neraca'!$A$3:$S$910,6,FALSE)),0,VLOOKUP($A831,'Mutasi Neraca'!$A$3:$S$910,6,FALSE))</f>
        <v>0</v>
      </c>
      <c r="H831" s="42">
        <f>VLOOKUP($A831,'Neraca Unaudited SIMAK'!$A$2:$R$1272,7,FALSE)+IF(ISNA(VLOOKUP($A831,'Mutasi Neraca'!$A$3:$S$910,7,FALSE)),0,VLOOKUP($A831,'Mutasi Neraca'!$A$3:$S$910,7,FALSE))</f>
        <v>0</v>
      </c>
      <c r="I831" s="42">
        <f>VLOOKUP($A831,'Neraca Unaudited SIMAK'!$A$2:$R$1272,8,FALSE)+IF(ISNA(VLOOKUP($A831,'Mutasi Neraca'!$A$3:$S$910,8,FALSE)),0,VLOOKUP($A831,'Mutasi Neraca'!$A$3:$S$910,8,FALSE))</f>
        <v>0</v>
      </c>
      <c r="J831" s="42">
        <f>VLOOKUP($A831,'Neraca Unaudited SIMAK'!$A$2:$R$1272,9,FALSE)+IF(ISNA(VLOOKUP($A831,'Mutasi Neraca'!$A$3:$S$910,9,FALSE)),0,VLOOKUP($A831,'Mutasi Neraca'!$A$3:$S$910,9,FALSE))</f>
        <v>0</v>
      </c>
      <c r="K831" s="42">
        <f>VLOOKUP($A831,'Neraca Unaudited SIMAK'!$A$2:$R$1272,10,FALSE)+IF(ISNA(VLOOKUP($A831,'Mutasi Neraca'!$A$3:$S$910,10,FALSE)),0,VLOOKUP($A831,'Mutasi Neraca'!$A$3:$S$910,10,FALSE))</f>
        <v>0</v>
      </c>
      <c r="L831" s="42">
        <f>VLOOKUP($A831,'Neraca Unaudited SIMAK'!$A$2:$R$1272,11,FALSE)+IF(ISNA(VLOOKUP($A831,'Mutasi Neraca'!$A$3:$S$910,11,FALSE)),0,VLOOKUP($A831,'Mutasi Neraca'!$A$3:$S$910,11,FALSE))</f>
        <v>0</v>
      </c>
      <c r="M831" s="42">
        <f>VLOOKUP($A831,'Neraca Unaudited SIMAK'!$A$2:$R$1272,12,FALSE)+IF(ISNA(VLOOKUP($A831,'Mutasi Neraca'!$A$3:$S$910,12,FALSE)),0,VLOOKUP($A831,'Mutasi Neraca'!$A$3:$S$910,12,FALSE))</f>
        <v>32507000</v>
      </c>
      <c r="N831" s="42">
        <f>VLOOKUP($A831,'Neraca Unaudited SIMAK'!$A$2:$R$1272,13,FALSE)+IF(ISNA(VLOOKUP($A831,'Mutasi Neraca'!$A$3:$S$910,13,FALSE)),0,VLOOKUP($A831,'Mutasi Neraca'!$A$3:$S$910,13,FALSE))</f>
        <v>0</v>
      </c>
      <c r="O831" s="42">
        <f>VLOOKUP($A831,'Neraca Unaudited SIMAK'!$A$2:$R$1272,14,FALSE)+IF(ISNA(VLOOKUP($A831,'Mutasi Neraca'!$A$3:$S$910,14,FALSE)),0,VLOOKUP($A831,'Mutasi Neraca'!$A$3:$S$910,14,FALSE))</f>
        <v>0</v>
      </c>
      <c r="P831" s="42">
        <f>VLOOKUP($A831,'Neraca Unaudited SIMAK'!$A$2:$R$1272,15,FALSE)+IF(ISNA(VLOOKUP($A831,'Mutasi Neraca'!$A$3:$S$910,15,FALSE)),0,VLOOKUP($A831,'Mutasi Neraca'!$A$3:$S$910,15,FALSE))</f>
        <v>0</v>
      </c>
      <c r="Q831" s="42">
        <f>VLOOKUP($A831,'Neraca Unaudited SIMAK'!$A$2:$R$1272,16,FALSE)+IF(ISNA(VLOOKUP($A831,'Mutasi Neraca'!$A$3:$S$910,16,FALSE)),0,VLOOKUP($A831,'Mutasi Neraca'!$A$3:$S$910,16,FALSE))</f>
        <v>0</v>
      </c>
      <c r="R831" s="42">
        <f>VLOOKUP($A831,'Neraca Unaudited SIMAK'!$A$2:$R$1272,17,FALSE)+IF(ISNA(VLOOKUP($A831,'Mutasi Neraca'!$A$3:$S$910,17,FALSE)),0,VLOOKUP($A831,'Mutasi Neraca'!$A$3:$S$910,17,FALSE))</f>
        <v>0</v>
      </c>
      <c r="S831" s="42">
        <f t="shared" si="67"/>
        <v>32507000</v>
      </c>
    </row>
    <row r="832" spans="1:19">
      <c r="A832" s="41" t="s">
        <v>838</v>
      </c>
      <c r="B832" s="41" t="str">
        <f t="shared" si="66"/>
        <v>005030100</v>
      </c>
      <c r="D832" s="42">
        <f>VLOOKUP($A832,'Neraca Unaudited SIMAK'!$A$2:$R$1272,3,FALSE)+IF(ISNA(VLOOKUP($A832,'Mutasi Neraca'!$A$3:$S$910,3,FALSE)),0,VLOOKUP($A832,'Mutasi Neraca'!$A$3:$S$910,3,FALSE))</f>
        <v>0</v>
      </c>
      <c r="E832" s="42">
        <f>VLOOKUP($A832,'Neraca Unaudited SIMAK'!$A$2:$R$1272,4,FALSE)+IF(ISNA(VLOOKUP($A832,'Mutasi Neraca'!$A$3:$S$910,4,FALSE)),0,VLOOKUP($A832,'Mutasi Neraca'!$A$3:$S$910,4,FALSE))</f>
        <v>0</v>
      </c>
      <c r="F832" s="42">
        <f>VLOOKUP($A832,'Neraca Unaudited SIMAK'!$A$2:$R$1272,5,FALSE)+IF(ISNA(VLOOKUP($A832,'Mutasi Neraca'!$A$3:$S$910,5,FALSE)),0,VLOOKUP($A832,'Mutasi Neraca'!$A$3:$S$910,5,FALSE))</f>
        <v>0</v>
      </c>
      <c r="G832" s="42">
        <f>VLOOKUP($A832,'Neraca Unaudited SIMAK'!$A$2:$R$1272,6,FALSE)+IF(ISNA(VLOOKUP($A832,'Mutasi Neraca'!$A$3:$S$910,6,FALSE)),0,VLOOKUP($A832,'Mutasi Neraca'!$A$3:$S$910,6,FALSE))</f>
        <v>0</v>
      </c>
      <c r="H832" s="42">
        <f>VLOOKUP($A832,'Neraca Unaudited SIMAK'!$A$2:$R$1272,7,FALSE)+IF(ISNA(VLOOKUP($A832,'Mutasi Neraca'!$A$3:$S$910,7,FALSE)),0,VLOOKUP($A832,'Mutasi Neraca'!$A$3:$S$910,7,FALSE))</f>
        <v>0</v>
      </c>
      <c r="I832" s="42">
        <f>VLOOKUP($A832,'Neraca Unaudited SIMAK'!$A$2:$R$1272,8,FALSE)+IF(ISNA(VLOOKUP($A832,'Mutasi Neraca'!$A$3:$S$910,8,FALSE)),0,VLOOKUP($A832,'Mutasi Neraca'!$A$3:$S$910,8,FALSE))</f>
        <v>0</v>
      </c>
      <c r="J832" s="42">
        <f>VLOOKUP($A832,'Neraca Unaudited SIMAK'!$A$2:$R$1272,9,FALSE)+IF(ISNA(VLOOKUP($A832,'Mutasi Neraca'!$A$3:$S$910,9,FALSE)),0,VLOOKUP($A832,'Mutasi Neraca'!$A$3:$S$910,9,FALSE))</f>
        <v>0</v>
      </c>
      <c r="K832" s="42">
        <f>VLOOKUP($A832,'Neraca Unaudited SIMAK'!$A$2:$R$1272,10,FALSE)+IF(ISNA(VLOOKUP($A832,'Mutasi Neraca'!$A$3:$S$910,10,FALSE)),0,VLOOKUP($A832,'Mutasi Neraca'!$A$3:$S$910,10,FALSE))</f>
        <v>0</v>
      </c>
      <c r="L832" s="42">
        <f>VLOOKUP($A832,'Neraca Unaudited SIMAK'!$A$2:$R$1272,11,FALSE)+IF(ISNA(VLOOKUP($A832,'Mutasi Neraca'!$A$3:$S$910,11,FALSE)),0,VLOOKUP($A832,'Mutasi Neraca'!$A$3:$S$910,11,FALSE))</f>
        <v>0</v>
      </c>
      <c r="M832" s="42">
        <f>VLOOKUP($A832,'Neraca Unaudited SIMAK'!$A$2:$R$1272,12,FALSE)+IF(ISNA(VLOOKUP($A832,'Mutasi Neraca'!$A$3:$S$910,12,FALSE)),0,VLOOKUP($A832,'Mutasi Neraca'!$A$3:$S$910,12,FALSE))</f>
        <v>0</v>
      </c>
      <c r="N832" s="42">
        <f>VLOOKUP($A832,'Neraca Unaudited SIMAK'!$A$2:$R$1272,13,FALSE)+IF(ISNA(VLOOKUP($A832,'Mutasi Neraca'!$A$3:$S$910,13,FALSE)),0,VLOOKUP($A832,'Mutasi Neraca'!$A$3:$S$910,13,FALSE))</f>
        <v>0</v>
      </c>
      <c r="O832" s="42">
        <f>VLOOKUP($A832,'Neraca Unaudited SIMAK'!$A$2:$R$1272,14,FALSE)+IF(ISNA(VLOOKUP($A832,'Mutasi Neraca'!$A$3:$S$910,14,FALSE)),0,VLOOKUP($A832,'Mutasi Neraca'!$A$3:$S$910,14,FALSE))</f>
        <v>0</v>
      </c>
      <c r="P832" s="42">
        <f>VLOOKUP($A832,'Neraca Unaudited SIMAK'!$A$2:$R$1272,15,FALSE)+IF(ISNA(VLOOKUP($A832,'Mutasi Neraca'!$A$3:$S$910,15,FALSE)),0,VLOOKUP($A832,'Mutasi Neraca'!$A$3:$S$910,15,FALSE))</f>
        <v>0</v>
      </c>
      <c r="Q832" s="42">
        <f>VLOOKUP($A832,'Neraca Unaudited SIMAK'!$A$2:$R$1272,16,FALSE)+IF(ISNA(VLOOKUP($A832,'Mutasi Neraca'!$A$3:$S$910,16,FALSE)),0,VLOOKUP($A832,'Mutasi Neraca'!$A$3:$S$910,16,FALSE))</f>
        <v>0</v>
      </c>
      <c r="R832" s="42">
        <f>VLOOKUP($A832,'Neraca Unaudited SIMAK'!$A$2:$R$1272,17,FALSE)+IF(ISNA(VLOOKUP($A832,'Mutasi Neraca'!$A$3:$S$910,17,FALSE)),0,VLOOKUP($A832,'Mutasi Neraca'!$A$3:$S$910,17,FALSE))</f>
        <v>0</v>
      </c>
      <c r="S832" s="42">
        <f t="shared" si="67"/>
        <v>0</v>
      </c>
    </row>
    <row r="833" spans="1:19">
      <c r="A833" s="41" t="s">
        <v>1163</v>
      </c>
      <c r="B833" s="41" t="str">
        <f t="shared" si="66"/>
        <v>005030199</v>
      </c>
      <c r="D833" s="42">
        <f>VLOOKUP($A833,'Neraca Unaudited SIMAK'!$A$2:$R$1272,3,FALSE)+IF(ISNA(VLOOKUP($A833,'Mutasi Neraca'!$A$3:$S$910,3,FALSE)),0,VLOOKUP($A833,'Mutasi Neraca'!$A$3:$S$910,3,FALSE))</f>
        <v>767538072</v>
      </c>
      <c r="E833" s="42">
        <f>VLOOKUP($A833,'Neraca Unaudited SIMAK'!$A$2:$R$1272,4,FALSE)+IF(ISNA(VLOOKUP($A833,'Mutasi Neraca'!$A$3:$S$910,4,FALSE)),0,VLOOKUP($A833,'Mutasi Neraca'!$A$3:$S$910,4,FALSE))</f>
        <v>302589935000</v>
      </c>
      <c r="F833" s="42">
        <f>VLOOKUP($A833,'Neraca Unaudited SIMAK'!$A$2:$R$1272,5,FALSE)+IF(ISNA(VLOOKUP($A833,'Mutasi Neraca'!$A$3:$S$910,5,FALSE)),0,VLOOKUP($A833,'Mutasi Neraca'!$A$3:$S$910,5,FALSE))</f>
        <v>21831257576</v>
      </c>
      <c r="G833" s="42">
        <f>VLOOKUP($A833,'Neraca Unaudited SIMAK'!$A$2:$R$1272,6,FALSE)+IF(ISNA(VLOOKUP($A833,'Mutasi Neraca'!$A$3:$S$910,6,FALSE)),0,VLOOKUP($A833,'Mutasi Neraca'!$A$3:$S$910,6,FALSE))</f>
        <v>17602045391</v>
      </c>
      <c r="H833" s="42">
        <f>VLOOKUP($A833,'Neraca Unaudited SIMAK'!$A$2:$R$1272,7,FALSE)+IF(ISNA(VLOOKUP($A833,'Mutasi Neraca'!$A$3:$S$910,7,FALSE)),0,VLOOKUP($A833,'Mutasi Neraca'!$A$3:$S$910,7,FALSE))</f>
        <v>454644146</v>
      </c>
      <c r="I833" s="42">
        <f>VLOOKUP($A833,'Neraca Unaudited SIMAK'!$A$2:$R$1272,8,FALSE)+IF(ISNA(VLOOKUP($A833,'Mutasi Neraca'!$A$3:$S$910,8,FALSE)),0,VLOOKUP($A833,'Mutasi Neraca'!$A$3:$S$910,8,FALSE))</f>
        <v>128459011</v>
      </c>
      <c r="J833" s="42">
        <f>VLOOKUP($A833,'Neraca Unaudited SIMAK'!$A$2:$R$1272,9,FALSE)+IF(ISNA(VLOOKUP($A833,'Mutasi Neraca'!$A$3:$S$910,9,FALSE)),0,VLOOKUP($A833,'Mutasi Neraca'!$A$3:$S$910,9,FALSE))</f>
        <v>0</v>
      </c>
      <c r="K833" s="42">
        <f>VLOOKUP($A833,'Neraca Unaudited SIMAK'!$A$2:$R$1272,10,FALSE)+IF(ISNA(VLOOKUP($A833,'Mutasi Neraca'!$A$3:$S$910,10,FALSE)),0,VLOOKUP($A833,'Mutasi Neraca'!$A$3:$S$910,10,FALSE))</f>
        <v>2075467994</v>
      </c>
      <c r="L833" s="42">
        <f>VLOOKUP($A833,'Neraca Unaudited SIMAK'!$A$2:$R$1272,11,FALSE)+IF(ISNA(VLOOKUP($A833,'Mutasi Neraca'!$A$3:$S$910,11,FALSE)),0,VLOOKUP($A833,'Mutasi Neraca'!$A$3:$S$910,11,FALSE))</f>
        <v>113624276</v>
      </c>
      <c r="M833" s="42">
        <f>VLOOKUP($A833,'Neraca Unaudited SIMAK'!$A$2:$R$1272,12,FALSE)+IF(ISNA(VLOOKUP($A833,'Mutasi Neraca'!$A$3:$S$910,12,FALSE)),0,VLOOKUP($A833,'Mutasi Neraca'!$A$3:$S$910,12,FALSE))</f>
        <v>345562971466</v>
      </c>
      <c r="N833" s="42">
        <f>VLOOKUP($A833,'Neraca Unaudited SIMAK'!$A$2:$R$1272,13,FALSE)+IF(ISNA(VLOOKUP($A833,'Mutasi Neraca'!$A$3:$S$910,13,FALSE)),0,VLOOKUP($A833,'Mutasi Neraca'!$A$3:$S$910,13,FALSE))</f>
        <v>-15406495275</v>
      </c>
      <c r="O833" s="42">
        <f>VLOOKUP($A833,'Neraca Unaudited SIMAK'!$A$2:$R$1272,14,FALSE)+IF(ISNA(VLOOKUP($A833,'Mutasi Neraca'!$A$3:$S$910,14,FALSE)),0,VLOOKUP($A833,'Mutasi Neraca'!$A$3:$S$910,14,FALSE))</f>
        <v>-3875084441</v>
      </c>
      <c r="P833" s="42">
        <f>VLOOKUP($A833,'Neraca Unaudited SIMAK'!$A$2:$R$1272,15,FALSE)+IF(ISNA(VLOOKUP($A833,'Mutasi Neraca'!$A$3:$S$910,15,FALSE)),0,VLOOKUP($A833,'Mutasi Neraca'!$A$3:$S$910,15,FALSE))</f>
        <v>-234826495</v>
      </c>
      <c r="Q833" s="42">
        <f>VLOOKUP($A833,'Neraca Unaudited SIMAK'!$A$2:$R$1272,16,FALSE)+IF(ISNA(VLOOKUP($A833,'Mutasi Neraca'!$A$3:$S$910,16,FALSE)),0,VLOOKUP($A833,'Mutasi Neraca'!$A$3:$S$910,16,FALSE))</f>
        <v>0</v>
      </c>
      <c r="R833" s="42">
        <f>VLOOKUP($A833,'Neraca Unaudited SIMAK'!$A$2:$R$1272,17,FALSE)+IF(ISNA(VLOOKUP($A833,'Mutasi Neraca'!$A$3:$S$910,17,FALSE)),0,VLOOKUP($A833,'Mutasi Neraca'!$A$3:$S$910,17,FALSE))</f>
        <v>-113624276</v>
      </c>
      <c r="S833" s="42">
        <f t="shared" si="67"/>
        <v>325932940979</v>
      </c>
    </row>
    <row r="834" spans="1:19">
      <c r="A834" s="41" t="s">
        <v>839</v>
      </c>
      <c r="B834" s="41" t="str">
        <f t="shared" si="66"/>
        <v>005030200</v>
      </c>
      <c r="D834" s="42">
        <f>VLOOKUP($A834,'Neraca Unaudited SIMAK'!$A$2:$R$1272,3,FALSE)+IF(ISNA(VLOOKUP($A834,'Mutasi Neraca'!$A$3:$S$910,3,FALSE)),0,VLOOKUP($A834,'Mutasi Neraca'!$A$3:$S$910,3,FALSE))</f>
        <v>37877950</v>
      </c>
      <c r="E834" s="42">
        <f>VLOOKUP($A834,'Neraca Unaudited SIMAK'!$A$2:$R$1272,4,FALSE)+IF(ISNA(VLOOKUP($A834,'Mutasi Neraca'!$A$3:$S$910,4,FALSE)),0,VLOOKUP($A834,'Mutasi Neraca'!$A$3:$S$910,4,FALSE))</f>
        <v>0</v>
      </c>
      <c r="F834" s="42">
        <f>VLOOKUP($A834,'Neraca Unaudited SIMAK'!$A$2:$R$1272,5,FALSE)+IF(ISNA(VLOOKUP($A834,'Mutasi Neraca'!$A$3:$S$910,5,FALSE)),0,VLOOKUP($A834,'Mutasi Neraca'!$A$3:$S$910,5,FALSE))</f>
        <v>0</v>
      </c>
      <c r="G834" s="42">
        <f>VLOOKUP($A834,'Neraca Unaudited SIMAK'!$A$2:$R$1272,6,FALSE)+IF(ISNA(VLOOKUP($A834,'Mutasi Neraca'!$A$3:$S$910,6,FALSE)),0,VLOOKUP($A834,'Mutasi Neraca'!$A$3:$S$910,6,FALSE))</f>
        <v>0</v>
      </c>
      <c r="H834" s="42">
        <f>VLOOKUP($A834,'Neraca Unaudited SIMAK'!$A$2:$R$1272,7,FALSE)+IF(ISNA(VLOOKUP($A834,'Mutasi Neraca'!$A$3:$S$910,7,FALSE)),0,VLOOKUP($A834,'Mutasi Neraca'!$A$3:$S$910,7,FALSE))</f>
        <v>0</v>
      </c>
      <c r="I834" s="42">
        <f>VLOOKUP($A834,'Neraca Unaudited SIMAK'!$A$2:$R$1272,8,FALSE)+IF(ISNA(VLOOKUP($A834,'Mutasi Neraca'!$A$3:$S$910,8,FALSE)),0,VLOOKUP($A834,'Mutasi Neraca'!$A$3:$S$910,8,FALSE))</f>
        <v>0</v>
      </c>
      <c r="J834" s="42">
        <f>VLOOKUP($A834,'Neraca Unaudited SIMAK'!$A$2:$R$1272,9,FALSE)+IF(ISNA(VLOOKUP($A834,'Mutasi Neraca'!$A$3:$S$910,9,FALSE)),0,VLOOKUP($A834,'Mutasi Neraca'!$A$3:$S$910,9,FALSE))</f>
        <v>0</v>
      </c>
      <c r="K834" s="42">
        <f>VLOOKUP($A834,'Neraca Unaudited SIMAK'!$A$2:$R$1272,10,FALSE)+IF(ISNA(VLOOKUP($A834,'Mutasi Neraca'!$A$3:$S$910,10,FALSE)),0,VLOOKUP($A834,'Mutasi Neraca'!$A$3:$S$910,10,FALSE))</f>
        <v>0</v>
      </c>
      <c r="L834" s="42">
        <f>VLOOKUP($A834,'Neraca Unaudited SIMAK'!$A$2:$R$1272,11,FALSE)+IF(ISNA(VLOOKUP($A834,'Mutasi Neraca'!$A$3:$S$910,11,FALSE)),0,VLOOKUP($A834,'Mutasi Neraca'!$A$3:$S$910,11,FALSE))</f>
        <v>0</v>
      </c>
      <c r="M834" s="42">
        <f>VLOOKUP($A834,'Neraca Unaudited SIMAK'!$A$2:$R$1272,12,FALSE)+IF(ISNA(VLOOKUP($A834,'Mutasi Neraca'!$A$3:$S$910,12,FALSE)),0,VLOOKUP($A834,'Mutasi Neraca'!$A$3:$S$910,12,FALSE))</f>
        <v>37877950</v>
      </c>
      <c r="N834" s="42">
        <f>VLOOKUP($A834,'Neraca Unaudited SIMAK'!$A$2:$R$1272,13,FALSE)+IF(ISNA(VLOOKUP($A834,'Mutasi Neraca'!$A$3:$S$910,13,FALSE)),0,VLOOKUP($A834,'Mutasi Neraca'!$A$3:$S$910,13,FALSE))</f>
        <v>0</v>
      </c>
      <c r="O834" s="42">
        <f>VLOOKUP($A834,'Neraca Unaudited SIMAK'!$A$2:$R$1272,14,FALSE)+IF(ISNA(VLOOKUP($A834,'Mutasi Neraca'!$A$3:$S$910,14,FALSE)),0,VLOOKUP($A834,'Mutasi Neraca'!$A$3:$S$910,14,FALSE))</f>
        <v>0</v>
      </c>
      <c r="P834" s="42">
        <f>VLOOKUP($A834,'Neraca Unaudited SIMAK'!$A$2:$R$1272,15,FALSE)+IF(ISNA(VLOOKUP($A834,'Mutasi Neraca'!$A$3:$S$910,15,FALSE)),0,VLOOKUP($A834,'Mutasi Neraca'!$A$3:$S$910,15,FALSE))</f>
        <v>0</v>
      </c>
      <c r="Q834" s="42">
        <f>VLOOKUP($A834,'Neraca Unaudited SIMAK'!$A$2:$R$1272,16,FALSE)+IF(ISNA(VLOOKUP($A834,'Mutasi Neraca'!$A$3:$S$910,16,FALSE)),0,VLOOKUP($A834,'Mutasi Neraca'!$A$3:$S$910,16,FALSE))</f>
        <v>0</v>
      </c>
      <c r="R834" s="42">
        <f>VLOOKUP($A834,'Neraca Unaudited SIMAK'!$A$2:$R$1272,17,FALSE)+IF(ISNA(VLOOKUP($A834,'Mutasi Neraca'!$A$3:$S$910,17,FALSE)),0,VLOOKUP($A834,'Mutasi Neraca'!$A$3:$S$910,17,FALSE))</f>
        <v>0</v>
      </c>
      <c r="S834" s="42">
        <f t="shared" si="67"/>
        <v>37877950</v>
      </c>
    </row>
    <row r="835" spans="1:19">
      <c r="A835" s="41" t="s">
        <v>840</v>
      </c>
      <c r="B835" s="41" t="str">
        <f t="shared" ref="B835:B898" si="68">LEFT(A835,9)</f>
        <v>005030200</v>
      </c>
      <c r="D835" s="42">
        <f>VLOOKUP($A835,'Neraca Unaudited SIMAK'!$A$2:$R$1272,3,FALSE)+IF(ISNA(VLOOKUP($A835,'Mutasi Neraca'!$A$3:$S$910,3,FALSE)),0,VLOOKUP($A835,'Mutasi Neraca'!$A$3:$S$910,3,FALSE))</f>
        <v>1836300</v>
      </c>
      <c r="E835" s="42">
        <f>VLOOKUP($A835,'Neraca Unaudited SIMAK'!$A$2:$R$1272,4,FALSE)+IF(ISNA(VLOOKUP($A835,'Mutasi Neraca'!$A$3:$S$910,4,FALSE)),0,VLOOKUP($A835,'Mutasi Neraca'!$A$3:$S$910,4,FALSE))</f>
        <v>0</v>
      </c>
      <c r="F835" s="42">
        <f>VLOOKUP($A835,'Neraca Unaudited SIMAK'!$A$2:$R$1272,5,FALSE)+IF(ISNA(VLOOKUP($A835,'Mutasi Neraca'!$A$3:$S$910,5,FALSE)),0,VLOOKUP($A835,'Mutasi Neraca'!$A$3:$S$910,5,FALSE))</f>
        <v>0</v>
      </c>
      <c r="G835" s="42">
        <f>VLOOKUP($A835,'Neraca Unaudited SIMAK'!$A$2:$R$1272,6,FALSE)+IF(ISNA(VLOOKUP($A835,'Mutasi Neraca'!$A$3:$S$910,6,FALSE)),0,VLOOKUP($A835,'Mutasi Neraca'!$A$3:$S$910,6,FALSE))</f>
        <v>0</v>
      </c>
      <c r="H835" s="42">
        <f>VLOOKUP($A835,'Neraca Unaudited SIMAK'!$A$2:$R$1272,7,FALSE)+IF(ISNA(VLOOKUP($A835,'Mutasi Neraca'!$A$3:$S$910,7,FALSE)),0,VLOOKUP($A835,'Mutasi Neraca'!$A$3:$S$910,7,FALSE))</f>
        <v>0</v>
      </c>
      <c r="I835" s="42">
        <f>VLOOKUP($A835,'Neraca Unaudited SIMAK'!$A$2:$R$1272,8,FALSE)+IF(ISNA(VLOOKUP($A835,'Mutasi Neraca'!$A$3:$S$910,8,FALSE)),0,VLOOKUP($A835,'Mutasi Neraca'!$A$3:$S$910,8,FALSE))</f>
        <v>0</v>
      </c>
      <c r="J835" s="42">
        <f>VLOOKUP($A835,'Neraca Unaudited SIMAK'!$A$2:$R$1272,9,FALSE)+IF(ISNA(VLOOKUP($A835,'Mutasi Neraca'!$A$3:$S$910,9,FALSE)),0,VLOOKUP($A835,'Mutasi Neraca'!$A$3:$S$910,9,FALSE))</f>
        <v>0</v>
      </c>
      <c r="K835" s="42">
        <f>VLOOKUP($A835,'Neraca Unaudited SIMAK'!$A$2:$R$1272,10,FALSE)+IF(ISNA(VLOOKUP($A835,'Mutasi Neraca'!$A$3:$S$910,10,FALSE)),0,VLOOKUP($A835,'Mutasi Neraca'!$A$3:$S$910,10,FALSE))</f>
        <v>0</v>
      </c>
      <c r="L835" s="42">
        <f>VLOOKUP($A835,'Neraca Unaudited SIMAK'!$A$2:$R$1272,11,FALSE)+IF(ISNA(VLOOKUP($A835,'Mutasi Neraca'!$A$3:$S$910,11,FALSE)),0,VLOOKUP($A835,'Mutasi Neraca'!$A$3:$S$910,11,FALSE))</f>
        <v>0</v>
      </c>
      <c r="M835" s="42">
        <f>VLOOKUP($A835,'Neraca Unaudited SIMAK'!$A$2:$R$1272,12,FALSE)+IF(ISNA(VLOOKUP($A835,'Mutasi Neraca'!$A$3:$S$910,12,FALSE)),0,VLOOKUP($A835,'Mutasi Neraca'!$A$3:$S$910,12,FALSE))</f>
        <v>1836300</v>
      </c>
      <c r="N835" s="42">
        <f>VLOOKUP($A835,'Neraca Unaudited SIMAK'!$A$2:$R$1272,13,FALSE)+IF(ISNA(VLOOKUP($A835,'Mutasi Neraca'!$A$3:$S$910,13,FALSE)),0,VLOOKUP($A835,'Mutasi Neraca'!$A$3:$S$910,13,FALSE))</f>
        <v>0</v>
      </c>
      <c r="O835" s="42">
        <f>VLOOKUP($A835,'Neraca Unaudited SIMAK'!$A$2:$R$1272,14,FALSE)+IF(ISNA(VLOOKUP($A835,'Mutasi Neraca'!$A$3:$S$910,14,FALSE)),0,VLOOKUP($A835,'Mutasi Neraca'!$A$3:$S$910,14,FALSE))</f>
        <v>0</v>
      </c>
      <c r="P835" s="42">
        <f>VLOOKUP($A835,'Neraca Unaudited SIMAK'!$A$2:$R$1272,15,FALSE)+IF(ISNA(VLOOKUP($A835,'Mutasi Neraca'!$A$3:$S$910,15,FALSE)),0,VLOOKUP($A835,'Mutasi Neraca'!$A$3:$S$910,15,FALSE))</f>
        <v>0</v>
      </c>
      <c r="Q835" s="42">
        <f>VLOOKUP($A835,'Neraca Unaudited SIMAK'!$A$2:$R$1272,16,FALSE)+IF(ISNA(VLOOKUP($A835,'Mutasi Neraca'!$A$3:$S$910,16,FALSE)),0,VLOOKUP($A835,'Mutasi Neraca'!$A$3:$S$910,16,FALSE))</f>
        <v>0</v>
      </c>
      <c r="R835" s="42">
        <f>VLOOKUP($A835,'Neraca Unaudited SIMAK'!$A$2:$R$1272,17,FALSE)+IF(ISNA(VLOOKUP($A835,'Mutasi Neraca'!$A$3:$S$910,17,FALSE)),0,VLOOKUP($A835,'Mutasi Neraca'!$A$3:$S$910,17,FALSE))</f>
        <v>0</v>
      </c>
      <c r="S835" s="42">
        <f t="shared" ref="S835:S898" si="69">SUM(M835:R835)</f>
        <v>1836300</v>
      </c>
    </row>
    <row r="836" spans="1:19">
      <c r="A836" s="41" t="s">
        <v>841</v>
      </c>
      <c r="B836" s="41" t="str">
        <f t="shared" si="68"/>
        <v>005030200</v>
      </c>
      <c r="D836" s="42">
        <f>VLOOKUP($A836,'Neraca Unaudited SIMAK'!$A$2:$R$1272,3,FALSE)+IF(ISNA(VLOOKUP($A836,'Mutasi Neraca'!$A$3:$S$910,3,FALSE)),0,VLOOKUP($A836,'Mutasi Neraca'!$A$3:$S$910,3,FALSE))</f>
        <v>54000</v>
      </c>
      <c r="E836" s="42">
        <f>VLOOKUP($A836,'Neraca Unaudited SIMAK'!$A$2:$R$1272,4,FALSE)+IF(ISNA(VLOOKUP($A836,'Mutasi Neraca'!$A$3:$S$910,4,FALSE)),0,VLOOKUP($A836,'Mutasi Neraca'!$A$3:$S$910,4,FALSE))</f>
        <v>0</v>
      </c>
      <c r="F836" s="42">
        <f>VLOOKUP($A836,'Neraca Unaudited SIMAK'!$A$2:$R$1272,5,FALSE)+IF(ISNA(VLOOKUP($A836,'Mutasi Neraca'!$A$3:$S$910,5,FALSE)),0,VLOOKUP($A836,'Mutasi Neraca'!$A$3:$S$910,5,FALSE))</f>
        <v>0</v>
      </c>
      <c r="G836" s="42">
        <f>VLOOKUP($A836,'Neraca Unaudited SIMAK'!$A$2:$R$1272,6,FALSE)+IF(ISNA(VLOOKUP($A836,'Mutasi Neraca'!$A$3:$S$910,6,FALSE)),0,VLOOKUP($A836,'Mutasi Neraca'!$A$3:$S$910,6,FALSE))</f>
        <v>0</v>
      </c>
      <c r="H836" s="42">
        <f>VLOOKUP($A836,'Neraca Unaudited SIMAK'!$A$2:$R$1272,7,FALSE)+IF(ISNA(VLOOKUP($A836,'Mutasi Neraca'!$A$3:$S$910,7,FALSE)),0,VLOOKUP($A836,'Mutasi Neraca'!$A$3:$S$910,7,FALSE))</f>
        <v>0</v>
      </c>
      <c r="I836" s="42">
        <f>VLOOKUP($A836,'Neraca Unaudited SIMAK'!$A$2:$R$1272,8,FALSE)+IF(ISNA(VLOOKUP($A836,'Mutasi Neraca'!$A$3:$S$910,8,FALSE)),0,VLOOKUP($A836,'Mutasi Neraca'!$A$3:$S$910,8,FALSE))</f>
        <v>0</v>
      </c>
      <c r="J836" s="42">
        <f>VLOOKUP($A836,'Neraca Unaudited SIMAK'!$A$2:$R$1272,9,FALSE)+IF(ISNA(VLOOKUP($A836,'Mutasi Neraca'!$A$3:$S$910,9,FALSE)),0,VLOOKUP($A836,'Mutasi Neraca'!$A$3:$S$910,9,FALSE))</f>
        <v>0</v>
      </c>
      <c r="K836" s="42">
        <f>VLOOKUP($A836,'Neraca Unaudited SIMAK'!$A$2:$R$1272,10,FALSE)+IF(ISNA(VLOOKUP($A836,'Mutasi Neraca'!$A$3:$S$910,10,FALSE)),0,VLOOKUP($A836,'Mutasi Neraca'!$A$3:$S$910,10,FALSE))</f>
        <v>0</v>
      </c>
      <c r="L836" s="42">
        <f>VLOOKUP($A836,'Neraca Unaudited SIMAK'!$A$2:$R$1272,11,FALSE)+IF(ISNA(VLOOKUP($A836,'Mutasi Neraca'!$A$3:$S$910,11,FALSE)),0,VLOOKUP($A836,'Mutasi Neraca'!$A$3:$S$910,11,FALSE))</f>
        <v>0</v>
      </c>
      <c r="M836" s="42">
        <f>VLOOKUP($A836,'Neraca Unaudited SIMAK'!$A$2:$R$1272,12,FALSE)+IF(ISNA(VLOOKUP($A836,'Mutasi Neraca'!$A$3:$S$910,12,FALSE)),0,VLOOKUP($A836,'Mutasi Neraca'!$A$3:$S$910,12,FALSE))</f>
        <v>54000</v>
      </c>
      <c r="N836" s="42">
        <f>VLOOKUP($A836,'Neraca Unaudited SIMAK'!$A$2:$R$1272,13,FALSE)+IF(ISNA(VLOOKUP($A836,'Mutasi Neraca'!$A$3:$S$910,13,FALSE)),0,VLOOKUP($A836,'Mutasi Neraca'!$A$3:$S$910,13,FALSE))</f>
        <v>0</v>
      </c>
      <c r="O836" s="42">
        <f>VLOOKUP($A836,'Neraca Unaudited SIMAK'!$A$2:$R$1272,14,FALSE)+IF(ISNA(VLOOKUP($A836,'Mutasi Neraca'!$A$3:$S$910,14,FALSE)),0,VLOOKUP($A836,'Mutasi Neraca'!$A$3:$S$910,14,FALSE))</f>
        <v>0</v>
      </c>
      <c r="P836" s="42">
        <f>VLOOKUP($A836,'Neraca Unaudited SIMAK'!$A$2:$R$1272,15,FALSE)+IF(ISNA(VLOOKUP($A836,'Mutasi Neraca'!$A$3:$S$910,15,FALSE)),0,VLOOKUP($A836,'Mutasi Neraca'!$A$3:$S$910,15,FALSE))</f>
        <v>0</v>
      </c>
      <c r="Q836" s="42">
        <f>VLOOKUP($A836,'Neraca Unaudited SIMAK'!$A$2:$R$1272,16,FALSE)+IF(ISNA(VLOOKUP($A836,'Mutasi Neraca'!$A$3:$S$910,16,FALSE)),0,VLOOKUP($A836,'Mutasi Neraca'!$A$3:$S$910,16,FALSE))</f>
        <v>0</v>
      </c>
      <c r="R836" s="42">
        <f>VLOOKUP($A836,'Neraca Unaudited SIMAK'!$A$2:$R$1272,17,FALSE)+IF(ISNA(VLOOKUP($A836,'Mutasi Neraca'!$A$3:$S$910,17,FALSE)),0,VLOOKUP($A836,'Mutasi Neraca'!$A$3:$S$910,17,FALSE))</f>
        <v>0</v>
      </c>
      <c r="S836" s="42">
        <f t="shared" si="69"/>
        <v>54000</v>
      </c>
    </row>
    <row r="837" spans="1:19">
      <c r="A837" s="41" t="s">
        <v>842</v>
      </c>
      <c r="B837" s="41" t="str">
        <f t="shared" si="68"/>
        <v>005030200</v>
      </c>
      <c r="D837" s="42">
        <f>VLOOKUP($A837,'Neraca Unaudited SIMAK'!$A$2:$R$1272,3,FALSE)+IF(ISNA(VLOOKUP($A837,'Mutasi Neraca'!$A$3:$S$910,3,FALSE)),0,VLOOKUP($A837,'Mutasi Neraca'!$A$3:$S$910,3,FALSE))</f>
        <v>148000</v>
      </c>
      <c r="E837" s="42">
        <f>VLOOKUP($A837,'Neraca Unaudited SIMAK'!$A$2:$R$1272,4,FALSE)+IF(ISNA(VLOOKUP($A837,'Mutasi Neraca'!$A$3:$S$910,4,FALSE)),0,VLOOKUP($A837,'Mutasi Neraca'!$A$3:$S$910,4,FALSE))</f>
        <v>0</v>
      </c>
      <c r="F837" s="42">
        <f>VLOOKUP($A837,'Neraca Unaudited SIMAK'!$A$2:$R$1272,5,FALSE)+IF(ISNA(VLOOKUP($A837,'Mutasi Neraca'!$A$3:$S$910,5,FALSE)),0,VLOOKUP($A837,'Mutasi Neraca'!$A$3:$S$910,5,FALSE))</f>
        <v>0</v>
      </c>
      <c r="G837" s="42">
        <f>VLOOKUP($A837,'Neraca Unaudited SIMAK'!$A$2:$R$1272,6,FALSE)+IF(ISNA(VLOOKUP($A837,'Mutasi Neraca'!$A$3:$S$910,6,FALSE)),0,VLOOKUP($A837,'Mutasi Neraca'!$A$3:$S$910,6,FALSE))</f>
        <v>0</v>
      </c>
      <c r="H837" s="42">
        <f>VLOOKUP($A837,'Neraca Unaudited SIMAK'!$A$2:$R$1272,7,FALSE)+IF(ISNA(VLOOKUP($A837,'Mutasi Neraca'!$A$3:$S$910,7,FALSE)),0,VLOOKUP($A837,'Mutasi Neraca'!$A$3:$S$910,7,FALSE))</f>
        <v>0</v>
      </c>
      <c r="I837" s="42">
        <f>VLOOKUP($A837,'Neraca Unaudited SIMAK'!$A$2:$R$1272,8,FALSE)+IF(ISNA(VLOOKUP($A837,'Mutasi Neraca'!$A$3:$S$910,8,FALSE)),0,VLOOKUP($A837,'Mutasi Neraca'!$A$3:$S$910,8,FALSE))</f>
        <v>0</v>
      </c>
      <c r="J837" s="42">
        <f>VLOOKUP($A837,'Neraca Unaudited SIMAK'!$A$2:$R$1272,9,FALSE)+IF(ISNA(VLOOKUP($A837,'Mutasi Neraca'!$A$3:$S$910,9,FALSE)),0,VLOOKUP($A837,'Mutasi Neraca'!$A$3:$S$910,9,FALSE))</f>
        <v>0</v>
      </c>
      <c r="K837" s="42">
        <f>VLOOKUP($A837,'Neraca Unaudited SIMAK'!$A$2:$R$1272,10,FALSE)+IF(ISNA(VLOOKUP($A837,'Mutasi Neraca'!$A$3:$S$910,10,FALSE)),0,VLOOKUP($A837,'Mutasi Neraca'!$A$3:$S$910,10,FALSE))</f>
        <v>0</v>
      </c>
      <c r="L837" s="42">
        <f>VLOOKUP($A837,'Neraca Unaudited SIMAK'!$A$2:$R$1272,11,FALSE)+IF(ISNA(VLOOKUP($A837,'Mutasi Neraca'!$A$3:$S$910,11,FALSE)),0,VLOOKUP($A837,'Mutasi Neraca'!$A$3:$S$910,11,FALSE))</f>
        <v>0</v>
      </c>
      <c r="M837" s="42">
        <f>VLOOKUP($A837,'Neraca Unaudited SIMAK'!$A$2:$R$1272,12,FALSE)+IF(ISNA(VLOOKUP($A837,'Mutasi Neraca'!$A$3:$S$910,12,FALSE)),0,VLOOKUP($A837,'Mutasi Neraca'!$A$3:$S$910,12,FALSE))</f>
        <v>148000</v>
      </c>
      <c r="N837" s="42">
        <f>VLOOKUP($A837,'Neraca Unaudited SIMAK'!$A$2:$R$1272,13,FALSE)+IF(ISNA(VLOOKUP($A837,'Mutasi Neraca'!$A$3:$S$910,13,FALSE)),0,VLOOKUP($A837,'Mutasi Neraca'!$A$3:$S$910,13,FALSE))</f>
        <v>0</v>
      </c>
      <c r="O837" s="42">
        <f>VLOOKUP($A837,'Neraca Unaudited SIMAK'!$A$2:$R$1272,14,FALSE)+IF(ISNA(VLOOKUP($A837,'Mutasi Neraca'!$A$3:$S$910,14,FALSE)),0,VLOOKUP($A837,'Mutasi Neraca'!$A$3:$S$910,14,FALSE))</f>
        <v>0</v>
      </c>
      <c r="P837" s="42">
        <f>VLOOKUP($A837,'Neraca Unaudited SIMAK'!$A$2:$R$1272,15,FALSE)+IF(ISNA(VLOOKUP($A837,'Mutasi Neraca'!$A$3:$S$910,15,FALSE)),0,VLOOKUP($A837,'Mutasi Neraca'!$A$3:$S$910,15,FALSE))</f>
        <v>0</v>
      </c>
      <c r="Q837" s="42">
        <f>VLOOKUP($A837,'Neraca Unaudited SIMAK'!$A$2:$R$1272,16,FALSE)+IF(ISNA(VLOOKUP($A837,'Mutasi Neraca'!$A$3:$S$910,16,FALSE)),0,VLOOKUP($A837,'Mutasi Neraca'!$A$3:$S$910,16,FALSE))</f>
        <v>0</v>
      </c>
      <c r="R837" s="42">
        <f>VLOOKUP($A837,'Neraca Unaudited SIMAK'!$A$2:$R$1272,17,FALSE)+IF(ISNA(VLOOKUP($A837,'Mutasi Neraca'!$A$3:$S$910,17,FALSE)),0,VLOOKUP($A837,'Mutasi Neraca'!$A$3:$S$910,17,FALSE))</f>
        <v>0</v>
      </c>
      <c r="S837" s="42">
        <f t="shared" si="69"/>
        <v>148000</v>
      </c>
    </row>
    <row r="838" spans="1:19">
      <c r="A838" s="41" t="s">
        <v>843</v>
      </c>
      <c r="B838" s="41" t="str">
        <f t="shared" si="68"/>
        <v>005030200</v>
      </c>
      <c r="D838" s="42">
        <f>VLOOKUP($A838,'Neraca Unaudited SIMAK'!$A$2:$R$1272,3,FALSE)+IF(ISNA(VLOOKUP($A838,'Mutasi Neraca'!$A$3:$S$910,3,FALSE)),0,VLOOKUP($A838,'Mutasi Neraca'!$A$3:$S$910,3,FALSE))</f>
        <v>203475</v>
      </c>
      <c r="E838" s="42">
        <f>VLOOKUP($A838,'Neraca Unaudited SIMAK'!$A$2:$R$1272,4,FALSE)+IF(ISNA(VLOOKUP($A838,'Mutasi Neraca'!$A$3:$S$910,4,FALSE)),0,VLOOKUP($A838,'Mutasi Neraca'!$A$3:$S$910,4,FALSE))</f>
        <v>0</v>
      </c>
      <c r="F838" s="42">
        <f>VLOOKUP($A838,'Neraca Unaudited SIMAK'!$A$2:$R$1272,5,FALSE)+IF(ISNA(VLOOKUP($A838,'Mutasi Neraca'!$A$3:$S$910,5,FALSE)),0,VLOOKUP($A838,'Mutasi Neraca'!$A$3:$S$910,5,FALSE))</f>
        <v>0</v>
      </c>
      <c r="G838" s="42">
        <f>VLOOKUP($A838,'Neraca Unaudited SIMAK'!$A$2:$R$1272,6,FALSE)+IF(ISNA(VLOOKUP($A838,'Mutasi Neraca'!$A$3:$S$910,6,FALSE)),0,VLOOKUP($A838,'Mutasi Neraca'!$A$3:$S$910,6,FALSE))</f>
        <v>0</v>
      </c>
      <c r="H838" s="42">
        <f>VLOOKUP($A838,'Neraca Unaudited SIMAK'!$A$2:$R$1272,7,FALSE)+IF(ISNA(VLOOKUP($A838,'Mutasi Neraca'!$A$3:$S$910,7,FALSE)),0,VLOOKUP($A838,'Mutasi Neraca'!$A$3:$S$910,7,FALSE))</f>
        <v>0</v>
      </c>
      <c r="I838" s="42">
        <f>VLOOKUP($A838,'Neraca Unaudited SIMAK'!$A$2:$R$1272,8,FALSE)+IF(ISNA(VLOOKUP($A838,'Mutasi Neraca'!$A$3:$S$910,8,FALSE)),0,VLOOKUP($A838,'Mutasi Neraca'!$A$3:$S$910,8,FALSE))</f>
        <v>0</v>
      </c>
      <c r="J838" s="42">
        <f>VLOOKUP($A838,'Neraca Unaudited SIMAK'!$A$2:$R$1272,9,FALSE)+IF(ISNA(VLOOKUP($A838,'Mutasi Neraca'!$A$3:$S$910,9,FALSE)),0,VLOOKUP($A838,'Mutasi Neraca'!$A$3:$S$910,9,FALSE))</f>
        <v>0</v>
      </c>
      <c r="K838" s="42">
        <f>VLOOKUP($A838,'Neraca Unaudited SIMAK'!$A$2:$R$1272,10,FALSE)+IF(ISNA(VLOOKUP($A838,'Mutasi Neraca'!$A$3:$S$910,10,FALSE)),0,VLOOKUP($A838,'Mutasi Neraca'!$A$3:$S$910,10,FALSE))</f>
        <v>0</v>
      </c>
      <c r="L838" s="42">
        <f>VLOOKUP($A838,'Neraca Unaudited SIMAK'!$A$2:$R$1272,11,FALSE)+IF(ISNA(VLOOKUP($A838,'Mutasi Neraca'!$A$3:$S$910,11,FALSE)),0,VLOOKUP($A838,'Mutasi Neraca'!$A$3:$S$910,11,FALSE))</f>
        <v>0</v>
      </c>
      <c r="M838" s="42">
        <f>VLOOKUP($A838,'Neraca Unaudited SIMAK'!$A$2:$R$1272,12,FALSE)+IF(ISNA(VLOOKUP($A838,'Mutasi Neraca'!$A$3:$S$910,12,FALSE)),0,VLOOKUP($A838,'Mutasi Neraca'!$A$3:$S$910,12,FALSE))</f>
        <v>203475</v>
      </c>
      <c r="N838" s="42">
        <f>VLOOKUP($A838,'Neraca Unaudited SIMAK'!$A$2:$R$1272,13,FALSE)+IF(ISNA(VLOOKUP($A838,'Mutasi Neraca'!$A$3:$S$910,13,FALSE)),0,VLOOKUP($A838,'Mutasi Neraca'!$A$3:$S$910,13,FALSE))</f>
        <v>0</v>
      </c>
      <c r="O838" s="42">
        <f>VLOOKUP($A838,'Neraca Unaudited SIMAK'!$A$2:$R$1272,14,FALSE)+IF(ISNA(VLOOKUP($A838,'Mutasi Neraca'!$A$3:$S$910,14,FALSE)),0,VLOOKUP($A838,'Mutasi Neraca'!$A$3:$S$910,14,FALSE))</f>
        <v>0</v>
      </c>
      <c r="P838" s="42">
        <f>VLOOKUP($A838,'Neraca Unaudited SIMAK'!$A$2:$R$1272,15,FALSE)+IF(ISNA(VLOOKUP($A838,'Mutasi Neraca'!$A$3:$S$910,15,FALSE)),0,VLOOKUP($A838,'Mutasi Neraca'!$A$3:$S$910,15,FALSE))</f>
        <v>0</v>
      </c>
      <c r="Q838" s="42">
        <f>VLOOKUP($A838,'Neraca Unaudited SIMAK'!$A$2:$R$1272,16,FALSE)+IF(ISNA(VLOOKUP($A838,'Mutasi Neraca'!$A$3:$S$910,16,FALSE)),0,VLOOKUP($A838,'Mutasi Neraca'!$A$3:$S$910,16,FALSE))</f>
        <v>0</v>
      </c>
      <c r="R838" s="42">
        <f>VLOOKUP($A838,'Neraca Unaudited SIMAK'!$A$2:$R$1272,17,FALSE)+IF(ISNA(VLOOKUP($A838,'Mutasi Neraca'!$A$3:$S$910,17,FALSE)),0,VLOOKUP($A838,'Mutasi Neraca'!$A$3:$S$910,17,FALSE))</f>
        <v>0</v>
      </c>
      <c r="S838" s="42">
        <f t="shared" si="69"/>
        <v>203475</v>
      </c>
    </row>
    <row r="839" spans="1:19">
      <c r="A839" s="41" t="s">
        <v>844</v>
      </c>
      <c r="B839" s="41" t="str">
        <f t="shared" si="68"/>
        <v>005030200</v>
      </c>
      <c r="D839" s="42">
        <f>VLOOKUP($A839,'Neraca Unaudited SIMAK'!$A$2:$R$1272,3,FALSE)+IF(ISNA(VLOOKUP($A839,'Mutasi Neraca'!$A$3:$S$910,3,FALSE)),0,VLOOKUP($A839,'Mutasi Neraca'!$A$3:$S$910,3,FALSE))</f>
        <v>4514170</v>
      </c>
      <c r="E839" s="42">
        <f>VLOOKUP($A839,'Neraca Unaudited SIMAK'!$A$2:$R$1272,4,FALSE)+IF(ISNA(VLOOKUP($A839,'Mutasi Neraca'!$A$3:$S$910,4,FALSE)),0,VLOOKUP($A839,'Mutasi Neraca'!$A$3:$S$910,4,FALSE))</f>
        <v>0</v>
      </c>
      <c r="F839" s="42">
        <f>VLOOKUP($A839,'Neraca Unaudited SIMAK'!$A$2:$R$1272,5,FALSE)+IF(ISNA(VLOOKUP($A839,'Mutasi Neraca'!$A$3:$S$910,5,FALSE)),0,VLOOKUP($A839,'Mutasi Neraca'!$A$3:$S$910,5,FALSE))</f>
        <v>0</v>
      </c>
      <c r="G839" s="42">
        <f>VLOOKUP($A839,'Neraca Unaudited SIMAK'!$A$2:$R$1272,6,FALSE)+IF(ISNA(VLOOKUP($A839,'Mutasi Neraca'!$A$3:$S$910,6,FALSE)),0,VLOOKUP($A839,'Mutasi Neraca'!$A$3:$S$910,6,FALSE))</f>
        <v>0</v>
      </c>
      <c r="H839" s="42">
        <f>VLOOKUP($A839,'Neraca Unaudited SIMAK'!$A$2:$R$1272,7,FALSE)+IF(ISNA(VLOOKUP($A839,'Mutasi Neraca'!$A$3:$S$910,7,FALSE)),0,VLOOKUP($A839,'Mutasi Neraca'!$A$3:$S$910,7,FALSE))</f>
        <v>0</v>
      </c>
      <c r="I839" s="42">
        <f>VLOOKUP($A839,'Neraca Unaudited SIMAK'!$A$2:$R$1272,8,FALSE)+IF(ISNA(VLOOKUP($A839,'Mutasi Neraca'!$A$3:$S$910,8,FALSE)),0,VLOOKUP($A839,'Mutasi Neraca'!$A$3:$S$910,8,FALSE))</f>
        <v>0</v>
      </c>
      <c r="J839" s="42">
        <f>VLOOKUP($A839,'Neraca Unaudited SIMAK'!$A$2:$R$1272,9,FALSE)+IF(ISNA(VLOOKUP($A839,'Mutasi Neraca'!$A$3:$S$910,9,FALSE)),0,VLOOKUP($A839,'Mutasi Neraca'!$A$3:$S$910,9,FALSE))</f>
        <v>0</v>
      </c>
      <c r="K839" s="42">
        <f>VLOOKUP($A839,'Neraca Unaudited SIMAK'!$A$2:$R$1272,10,FALSE)+IF(ISNA(VLOOKUP($A839,'Mutasi Neraca'!$A$3:$S$910,10,FALSE)),0,VLOOKUP($A839,'Mutasi Neraca'!$A$3:$S$910,10,FALSE))</f>
        <v>0</v>
      </c>
      <c r="L839" s="42">
        <f>VLOOKUP($A839,'Neraca Unaudited SIMAK'!$A$2:$R$1272,11,FALSE)+IF(ISNA(VLOOKUP($A839,'Mutasi Neraca'!$A$3:$S$910,11,FALSE)),0,VLOOKUP($A839,'Mutasi Neraca'!$A$3:$S$910,11,FALSE))</f>
        <v>0</v>
      </c>
      <c r="M839" s="42">
        <f>VLOOKUP($A839,'Neraca Unaudited SIMAK'!$A$2:$R$1272,12,FALSE)+IF(ISNA(VLOOKUP($A839,'Mutasi Neraca'!$A$3:$S$910,12,FALSE)),0,VLOOKUP($A839,'Mutasi Neraca'!$A$3:$S$910,12,FALSE))</f>
        <v>4514170</v>
      </c>
      <c r="N839" s="42">
        <f>VLOOKUP($A839,'Neraca Unaudited SIMAK'!$A$2:$R$1272,13,FALSE)+IF(ISNA(VLOOKUP($A839,'Mutasi Neraca'!$A$3:$S$910,13,FALSE)),0,VLOOKUP($A839,'Mutasi Neraca'!$A$3:$S$910,13,FALSE))</f>
        <v>0</v>
      </c>
      <c r="O839" s="42">
        <f>VLOOKUP($A839,'Neraca Unaudited SIMAK'!$A$2:$R$1272,14,FALSE)+IF(ISNA(VLOOKUP($A839,'Mutasi Neraca'!$A$3:$S$910,14,FALSE)),0,VLOOKUP($A839,'Mutasi Neraca'!$A$3:$S$910,14,FALSE))</f>
        <v>0</v>
      </c>
      <c r="P839" s="42">
        <f>VLOOKUP($A839,'Neraca Unaudited SIMAK'!$A$2:$R$1272,15,FALSE)+IF(ISNA(VLOOKUP($A839,'Mutasi Neraca'!$A$3:$S$910,15,FALSE)),0,VLOOKUP($A839,'Mutasi Neraca'!$A$3:$S$910,15,FALSE))</f>
        <v>0</v>
      </c>
      <c r="Q839" s="42">
        <f>VLOOKUP($A839,'Neraca Unaudited SIMAK'!$A$2:$R$1272,16,FALSE)+IF(ISNA(VLOOKUP($A839,'Mutasi Neraca'!$A$3:$S$910,16,FALSE)),0,VLOOKUP($A839,'Mutasi Neraca'!$A$3:$S$910,16,FALSE))</f>
        <v>0</v>
      </c>
      <c r="R839" s="42">
        <f>VLOOKUP($A839,'Neraca Unaudited SIMAK'!$A$2:$R$1272,17,FALSE)+IF(ISNA(VLOOKUP($A839,'Mutasi Neraca'!$A$3:$S$910,17,FALSE)),0,VLOOKUP($A839,'Mutasi Neraca'!$A$3:$S$910,17,FALSE))</f>
        <v>0</v>
      </c>
      <c r="S839" s="42">
        <f t="shared" si="69"/>
        <v>4514170</v>
      </c>
    </row>
    <row r="840" spans="1:19">
      <c r="A840" s="41" t="s">
        <v>845</v>
      </c>
      <c r="B840" s="41" t="str">
        <f t="shared" si="68"/>
        <v>005030200</v>
      </c>
      <c r="D840" s="42">
        <f>VLOOKUP($A840,'Neraca Unaudited SIMAK'!$A$2:$R$1272,3,FALSE)+IF(ISNA(VLOOKUP($A840,'Mutasi Neraca'!$A$3:$S$910,3,FALSE)),0,VLOOKUP($A840,'Mutasi Neraca'!$A$3:$S$910,3,FALSE))</f>
        <v>6836150</v>
      </c>
      <c r="E840" s="42">
        <f>VLOOKUP($A840,'Neraca Unaudited SIMAK'!$A$2:$R$1272,4,FALSE)+IF(ISNA(VLOOKUP($A840,'Mutasi Neraca'!$A$3:$S$910,4,FALSE)),0,VLOOKUP($A840,'Mutasi Neraca'!$A$3:$S$910,4,FALSE))</f>
        <v>0</v>
      </c>
      <c r="F840" s="42">
        <f>VLOOKUP($A840,'Neraca Unaudited SIMAK'!$A$2:$R$1272,5,FALSE)+IF(ISNA(VLOOKUP($A840,'Mutasi Neraca'!$A$3:$S$910,5,FALSE)),0,VLOOKUP($A840,'Mutasi Neraca'!$A$3:$S$910,5,FALSE))</f>
        <v>0</v>
      </c>
      <c r="G840" s="42">
        <f>VLOOKUP($A840,'Neraca Unaudited SIMAK'!$A$2:$R$1272,6,FALSE)+IF(ISNA(VLOOKUP($A840,'Mutasi Neraca'!$A$3:$S$910,6,FALSE)),0,VLOOKUP($A840,'Mutasi Neraca'!$A$3:$S$910,6,FALSE))</f>
        <v>0</v>
      </c>
      <c r="H840" s="42">
        <f>VLOOKUP($A840,'Neraca Unaudited SIMAK'!$A$2:$R$1272,7,FALSE)+IF(ISNA(VLOOKUP($A840,'Mutasi Neraca'!$A$3:$S$910,7,FALSE)),0,VLOOKUP($A840,'Mutasi Neraca'!$A$3:$S$910,7,FALSE))</f>
        <v>0</v>
      </c>
      <c r="I840" s="42">
        <f>VLOOKUP($A840,'Neraca Unaudited SIMAK'!$A$2:$R$1272,8,FALSE)+IF(ISNA(VLOOKUP($A840,'Mutasi Neraca'!$A$3:$S$910,8,FALSE)),0,VLOOKUP($A840,'Mutasi Neraca'!$A$3:$S$910,8,FALSE))</f>
        <v>0</v>
      </c>
      <c r="J840" s="42">
        <f>VLOOKUP($A840,'Neraca Unaudited SIMAK'!$A$2:$R$1272,9,FALSE)+IF(ISNA(VLOOKUP($A840,'Mutasi Neraca'!$A$3:$S$910,9,FALSE)),0,VLOOKUP($A840,'Mutasi Neraca'!$A$3:$S$910,9,FALSE))</f>
        <v>0</v>
      </c>
      <c r="K840" s="42">
        <f>VLOOKUP($A840,'Neraca Unaudited SIMAK'!$A$2:$R$1272,10,FALSE)+IF(ISNA(VLOOKUP($A840,'Mutasi Neraca'!$A$3:$S$910,10,FALSE)),0,VLOOKUP($A840,'Mutasi Neraca'!$A$3:$S$910,10,FALSE))</f>
        <v>0</v>
      </c>
      <c r="L840" s="42">
        <f>VLOOKUP($A840,'Neraca Unaudited SIMAK'!$A$2:$R$1272,11,FALSE)+IF(ISNA(VLOOKUP($A840,'Mutasi Neraca'!$A$3:$S$910,11,FALSE)),0,VLOOKUP($A840,'Mutasi Neraca'!$A$3:$S$910,11,FALSE))</f>
        <v>0</v>
      </c>
      <c r="M840" s="42">
        <f>VLOOKUP($A840,'Neraca Unaudited SIMAK'!$A$2:$R$1272,12,FALSE)+IF(ISNA(VLOOKUP($A840,'Mutasi Neraca'!$A$3:$S$910,12,FALSE)),0,VLOOKUP($A840,'Mutasi Neraca'!$A$3:$S$910,12,FALSE))</f>
        <v>6836150</v>
      </c>
      <c r="N840" s="42">
        <f>VLOOKUP($A840,'Neraca Unaudited SIMAK'!$A$2:$R$1272,13,FALSE)+IF(ISNA(VLOOKUP($A840,'Mutasi Neraca'!$A$3:$S$910,13,FALSE)),0,VLOOKUP($A840,'Mutasi Neraca'!$A$3:$S$910,13,FALSE))</f>
        <v>0</v>
      </c>
      <c r="O840" s="42">
        <f>VLOOKUP($A840,'Neraca Unaudited SIMAK'!$A$2:$R$1272,14,FALSE)+IF(ISNA(VLOOKUP($A840,'Mutasi Neraca'!$A$3:$S$910,14,FALSE)),0,VLOOKUP($A840,'Mutasi Neraca'!$A$3:$S$910,14,FALSE))</f>
        <v>0</v>
      </c>
      <c r="P840" s="42">
        <f>VLOOKUP($A840,'Neraca Unaudited SIMAK'!$A$2:$R$1272,15,FALSE)+IF(ISNA(VLOOKUP($A840,'Mutasi Neraca'!$A$3:$S$910,15,FALSE)),0,VLOOKUP($A840,'Mutasi Neraca'!$A$3:$S$910,15,FALSE))</f>
        <v>0</v>
      </c>
      <c r="Q840" s="42">
        <f>VLOOKUP($A840,'Neraca Unaudited SIMAK'!$A$2:$R$1272,16,FALSE)+IF(ISNA(VLOOKUP($A840,'Mutasi Neraca'!$A$3:$S$910,16,FALSE)),0,VLOOKUP($A840,'Mutasi Neraca'!$A$3:$S$910,16,FALSE))</f>
        <v>0</v>
      </c>
      <c r="R840" s="42">
        <f>VLOOKUP($A840,'Neraca Unaudited SIMAK'!$A$2:$R$1272,17,FALSE)+IF(ISNA(VLOOKUP($A840,'Mutasi Neraca'!$A$3:$S$910,17,FALSE)),0,VLOOKUP($A840,'Mutasi Neraca'!$A$3:$S$910,17,FALSE))</f>
        <v>0</v>
      </c>
      <c r="S840" s="42">
        <f t="shared" si="69"/>
        <v>6836150</v>
      </c>
    </row>
    <row r="841" spans="1:19">
      <c r="A841" s="41" t="s">
        <v>846</v>
      </c>
      <c r="B841" s="41" t="str">
        <f t="shared" si="68"/>
        <v>005030200</v>
      </c>
      <c r="D841" s="42">
        <f>VLOOKUP($A841,'Neraca Unaudited SIMAK'!$A$2:$R$1272,3,FALSE)+IF(ISNA(VLOOKUP($A841,'Mutasi Neraca'!$A$3:$S$910,3,FALSE)),0,VLOOKUP($A841,'Mutasi Neraca'!$A$3:$S$910,3,FALSE))</f>
        <v>10975000</v>
      </c>
      <c r="E841" s="42">
        <f>VLOOKUP($A841,'Neraca Unaudited SIMAK'!$A$2:$R$1272,4,FALSE)+IF(ISNA(VLOOKUP($A841,'Mutasi Neraca'!$A$3:$S$910,4,FALSE)),0,VLOOKUP($A841,'Mutasi Neraca'!$A$3:$S$910,4,FALSE))</f>
        <v>0</v>
      </c>
      <c r="F841" s="42">
        <f>VLOOKUP($A841,'Neraca Unaudited SIMAK'!$A$2:$R$1272,5,FALSE)+IF(ISNA(VLOOKUP($A841,'Mutasi Neraca'!$A$3:$S$910,5,FALSE)),0,VLOOKUP($A841,'Mutasi Neraca'!$A$3:$S$910,5,FALSE))</f>
        <v>0</v>
      </c>
      <c r="G841" s="42">
        <f>VLOOKUP($A841,'Neraca Unaudited SIMAK'!$A$2:$R$1272,6,FALSE)+IF(ISNA(VLOOKUP($A841,'Mutasi Neraca'!$A$3:$S$910,6,FALSE)),0,VLOOKUP($A841,'Mutasi Neraca'!$A$3:$S$910,6,FALSE))</f>
        <v>0</v>
      </c>
      <c r="H841" s="42">
        <f>VLOOKUP($A841,'Neraca Unaudited SIMAK'!$A$2:$R$1272,7,FALSE)+IF(ISNA(VLOOKUP($A841,'Mutasi Neraca'!$A$3:$S$910,7,FALSE)),0,VLOOKUP($A841,'Mutasi Neraca'!$A$3:$S$910,7,FALSE))</f>
        <v>0</v>
      </c>
      <c r="I841" s="42">
        <f>VLOOKUP($A841,'Neraca Unaudited SIMAK'!$A$2:$R$1272,8,FALSE)+IF(ISNA(VLOOKUP($A841,'Mutasi Neraca'!$A$3:$S$910,8,FALSE)),0,VLOOKUP($A841,'Mutasi Neraca'!$A$3:$S$910,8,FALSE))</f>
        <v>0</v>
      </c>
      <c r="J841" s="42">
        <f>VLOOKUP($A841,'Neraca Unaudited SIMAK'!$A$2:$R$1272,9,FALSE)+IF(ISNA(VLOOKUP($A841,'Mutasi Neraca'!$A$3:$S$910,9,FALSE)),0,VLOOKUP($A841,'Mutasi Neraca'!$A$3:$S$910,9,FALSE))</f>
        <v>0</v>
      </c>
      <c r="K841" s="42">
        <f>VLOOKUP($A841,'Neraca Unaudited SIMAK'!$A$2:$R$1272,10,FALSE)+IF(ISNA(VLOOKUP($A841,'Mutasi Neraca'!$A$3:$S$910,10,FALSE)),0,VLOOKUP($A841,'Mutasi Neraca'!$A$3:$S$910,10,FALSE))</f>
        <v>0</v>
      </c>
      <c r="L841" s="42">
        <f>VLOOKUP($A841,'Neraca Unaudited SIMAK'!$A$2:$R$1272,11,FALSE)+IF(ISNA(VLOOKUP($A841,'Mutasi Neraca'!$A$3:$S$910,11,FALSE)),0,VLOOKUP($A841,'Mutasi Neraca'!$A$3:$S$910,11,FALSE))</f>
        <v>0</v>
      </c>
      <c r="M841" s="42">
        <f>VLOOKUP($A841,'Neraca Unaudited SIMAK'!$A$2:$R$1272,12,FALSE)+IF(ISNA(VLOOKUP($A841,'Mutasi Neraca'!$A$3:$S$910,12,FALSE)),0,VLOOKUP($A841,'Mutasi Neraca'!$A$3:$S$910,12,FALSE))</f>
        <v>10975000</v>
      </c>
      <c r="N841" s="42">
        <f>VLOOKUP($A841,'Neraca Unaudited SIMAK'!$A$2:$R$1272,13,FALSE)+IF(ISNA(VLOOKUP($A841,'Mutasi Neraca'!$A$3:$S$910,13,FALSE)),0,VLOOKUP($A841,'Mutasi Neraca'!$A$3:$S$910,13,FALSE))</f>
        <v>0</v>
      </c>
      <c r="O841" s="42">
        <f>VLOOKUP($A841,'Neraca Unaudited SIMAK'!$A$2:$R$1272,14,FALSE)+IF(ISNA(VLOOKUP($A841,'Mutasi Neraca'!$A$3:$S$910,14,FALSE)),0,VLOOKUP($A841,'Mutasi Neraca'!$A$3:$S$910,14,FALSE))</f>
        <v>0</v>
      </c>
      <c r="P841" s="42">
        <f>VLOOKUP($A841,'Neraca Unaudited SIMAK'!$A$2:$R$1272,15,FALSE)+IF(ISNA(VLOOKUP($A841,'Mutasi Neraca'!$A$3:$S$910,15,FALSE)),0,VLOOKUP($A841,'Mutasi Neraca'!$A$3:$S$910,15,FALSE))</f>
        <v>0</v>
      </c>
      <c r="Q841" s="42">
        <f>VLOOKUP($A841,'Neraca Unaudited SIMAK'!$A$2:$R$1272,16,FALSE)+IF(ISNA(VLOOKUP($A841,'Mutasi Neraca'!$A$3:$S$910,16,FALSE)),0,VLOOKUP($A841,'Mutasi Neraca'!$A$3:$S$910,16,FALSE))</f>
        <v>0</v>
      </c>
      <c r="R841" s="42">
        <f>VLOOKUP($A841,'Neraca Unaudited SIMAK'!$A$2:$R$1272,17,FALSE)+IF(ISNA(VLOOKUP($A841,'Mutasi Neraca'!$A$3:$S$910,17,FALSE)),0,VLOOKUP($A841,'Mutasi Neraca'!$A$3:$S$910,17,FALSE))</f>
        <v>0</v>
      </c>
      <c r="S841" s="42">
        <f t="shared" si="69"/>
        <v>10975000</v>
      </c>
    </row>
    <row r="842" spans="1:19">
      <c r="A842" s="41" t="s">
        <v>847</v>
      </c>
      <c r="B842" s="41" t="str">
        <f t="shared" si="68"/>
        <v>005030200</v>
      </c>
      <c r="D842" s="42">
        <f>VLOOKUP($A842,'Neraca Unaudited SIMAK'!$A$2:$R$1272,3,FALSE)+IF(ISNA(VLOOKUP($A842,'Mutasi Neraca'!$A$3:$S$910,3,FALSE)),0,VLOOKUP($A842,'Mutasi Neraca'!$A$3:$S$910,3,FALSE))</f>
        <v>2087750</v>
      </c>
      <c r="E842" s="42">
        <f>VLOOKUP($A842,'Neraca Unaudited SIMAK'!$A$2:$R$1272,4,FALSE)+IF(ISNA(VLOOKUP($A842,'Mutasi Neraca'!$A$3:$S$910,4,FALSE)),0,VLOOKUP($A842,'Mutasi Neraca'!$A$3:$S$910,4,FALSE))</f>
        <v>0</v>
      </c>
      <c r="F842" s="42">
        <f>VLOOKUP($A842,'Neraca Unaudited SIMAK'!$A$2:$R$1272,5,FALSE)+IF(ISNA(VLOOKUP($A842,'Mutasi Neraca'!$A$3:$S$910,5,FALSE)),0,VLOOKUP($A842,'Mutasi Neraca'!$A$3:$S$910,5,FALSE))</f>
        <v>0</v>
      </c>
      <c r="G842" s="42">
        <f>VLOOKUP($A842,'Neraca Unaudited SIMAK'!$A$2:$R$1272,6,FALSE)+IF(ISNA(VLOOKUP($A842,'Mutasi Neraca'!$A$3:$S$910,6,FALSE)),0,VLOOKUP($A842,'Mutasi Neraca'!$A$3:$S$910,6,FALSE))</f>
        <v>0</v>
      </c>
      <c r="H842" s="42">
        <f>VLOOKUP($A842,'Neraca Unaudited SIMAK'!$A$2:$R$1272,7,FALSE)+IF(ISNA(VLOOKUP($A842,'Mutasi Neraca'!$A$3:$S$910,7,FALSE)),0,VLOOKUP($A842,'Mutasi Neraca'!$A$3:$S$910,7,FALSE))</f>
        <v>0</v>
      </c>
      <c r="I842" s="42">
        <f>VLOOKUP($A842,'Neraca Unaudited SIMAK'!$A$2:$R$1272,8,FALSE)+IF(ISNA(VLOOKUP($A842,'Mutasi Neraca'!$A$3:$S$910,8,FALSE)),0,VLOOKUP($A842,'Mutasi Neraca'!$A$3:$S$910,8,FALSE))</f>
        <v>0</v>
      </c>
      <c r="J842" s="42">
        <f>VLOOKUP($A842,'Neraca Unaudited SIMAK'!$A$2:$R$1272,9,FALSE)+IF(ISNA(VLOOKUP($A842,'Mutasi Neraca'!$A$3:$S$910,9,FALSE)),0,VLOOKUP($A842,'Mutasi Neraca'!$A$3:$S$910,9,FALSE))</f>
        <v>0</v>
      </c>
      <c r="K842" s="42">
        <f>VLOOKUP($A842,'Neraca Unaudited SIMAK'!$A$2:$R$1272,10,FALSE)+IF(ISNA(VLOOKUP($A842,'Mutasi Neraca'!$A$3:$S$910,10,FALSE)),0,VLOOKUP($A842,'Mutasi Neraca'!$A$3:$S$910,10,FALSE))</f>
        <v>0</v>
      </c>
      <c r="L842" s="42">
        <f>VLOOKUP($A842,'Neraca Unaudited SIMAK'!$A$2:$R$1272,11,FALSE)+IF(ISNA(VLOOKUP($A842,'Mutasi Neraca'!$A$3:$S$910,11,FALSE)),0,VLOOKUP($A842,'Mutasi Neraca'!$A$3:$S$910,11,FALSE))</f>
        <v>0</v>
      </c>
      <c r="M842" s="42">
        <f>VLOOKUP($A842,'Neraca Unaudited SIMAK'!$A$2:$R$1272,12,FALSE)+IF(ISNA(VLOOKUP($A842,'Mutasi Neraca'!$A$3:$S$910,12,FALSE)),0,VLOOKUP($A842,'Mutasi Neraca'!$A$3:$S$910,12,FALSE))</f>
        <v>2087750</v>
      </c>
      <c r="N842" s="42">
        <f>VLOOKUP($A842,'Neraca Unaudited SIMAK'!$A$2:$R$1272,13,FALSE)+IF(ISNA(VLOOKUP($A842,'Mutasi Neraca'!$A$3:$S$910,13,FALSE)),0,VLOOKUP($A842,'Mutasi Neraca'!$A$3:$S$910,13,FALSE))</f>
        <v>0</v>
      </c>
      <c r="O842" s="42">
        <f>VLOOKUP($A842,'Neraca Unaudited SIMAK'!$A$2:$R$1272,14,FALSE)+IF(ISNA(VLOOKUP($A842,'Mutasi Neraca'!$A$3:$S$910,14,FALSE)),0,VLOOKUP($A842,'Mutasi Neraca'!$A$3:$S$910,14,FALSE))</f>
        <v>0</v>
      </c>
      <c r="P842" s="42">
        <f>VLOOKUP($A842,'Neraca Unaudited SIMAK'!$A$2:$R$1272,15,FALSE)+IF(ISNA(VLOOKUP($A842,'Mutasi Neraca'!$A$3:$S$910,15,FALSE)),0,VLOOKUP($A842,'Mutasi Neraca'!$A$3:$S$910,15,FALSE))</f>
        <v>0</v>
      </c>
      <c r="Q842" s="42">
        <f>VLOOKUP($A842,'Neraca Unaudited SIMAK'!$A$2:$R$1272,16,FALSE)+IF(ISNA(VLOOKUP($A842,'Mutasi Neraca'!$A$3:$S$910,16,FALSE)),0,VLOOKUP($A842,'Mutasi Neraca'!$A$3:$S$910,16,FALSE))</f>
        <v>0</v>
      </c>
      <c r="R842" s="42">
        <f>VLOOKUP($A842,'Neraca Unaudited SIMAK'!$A$2:$R$1272,17,FALSE)+IF(ISNA(VLOOKUP($A842,'Mutasi Neraca'!$A$3:$S$910,17,FALSE)),0,VLOOKUP($A842,'Mutasi Neraca'!$A$3:$S$910,17,FALSE))</f>
        <v>0</v>
      </c>
      <c r="S842" s="42">
        <f t="shared" si="69"/>
        <v>2087750</v>
      </c>
    </row>
    <row r="843" spans="1:19">
      <c r="A843" s="41" t="s">
        <v>848</v>
      </c>
      <c r="B843" s="41" t="str">
        <f t="shared" si="68"/>
        <v>005030200</v>
      </c>
      <c r="D843" s="42">
        <f>VLOOKUP($A843,'Neraca Unaudited SIMAK'!$A$2:$R$1272,3,FALSE)+IF(ISNA(VLOOKUP($A843,'Mutasi Neraca'!$A$3:$S$910,3,FALSE)),0,VLOOKUP($A843,'Mutasi Neraca'!$A$3:$S$910,3,FALSE))</f>
        <v>349500</v>
      </c>
      <c r="E843" s="42">
        <f>VLOOKUP($A843,'Neraca Unaudited SIMAK'!$A$2:$R$1272,4,FALSE)+IF(ISNA(VLOOKUP($A843,'Mutasi Neraca'!$A$3:$S$910,4,FALSE)),0,VLOOKUP($A843,'Mutasi Neraca'!$A$3:$S$910,4,FALSE))</f>
        <v>0</v>
      </c>
      <c r="F843" s="42">
        <f>VLOOKUP($A843,'Neraca Unaudited SIMAK'!$A$2:$R$1272,5,FALSE)+IF(ISNA(VLOOKUP($A843,'Mutasi Neraca'!$A$3:$S$910,5,FALSE)),0,VLOOKUP($A843,'Mutasi Neraca'!$A$3:$S$910,5,FALSE))</f>
        <v>0</v>
      </c>
      <c r="G843" s="42">
        <f>VLOOKUP($A843,'Neraca Unaudited SIMAK'!$A$2:$R$1272,6,FALSE)+IF(ISNA(VLOOKUP($A843,'Mutasi Neraca'!$A$3:$S$910,6,FALSE)),0,VLOOKUP($A843,'Mutasi Neraca'!$A$3:$S$910,6,FALSE))</f>
        <v>0</v>
      </c>
      <c r="H843" s="42">
        <f>VLOOKUP($A843,'Neraca Unaudited SIMAK'!$A$2:$R$1272,7,FALSE)+IF(ISNA(VLOOKUP($A843,'Mutasi Neraca'!$A$3:$S$910,7,FALSE)),0,VLOOKUP($A843,'Mutasi Neraca'!$A$3:$S$910,7,FALSE))</f>
        <v>0</v>
      </c>
      <c r="I843" s="42">
        <f>VLOOKUP($A843,'Neraca Unaudited SIMAK'!$A$2:$R$1272,8,FALSE)+IF(ISNA(VLOOKUP($A843,'Mutasi Neraca'!$A$3:$S$910,8,FALSE)),0,VLOOKUP($A843,'Mutasi Neraca'!$A$3:$S$910,8,FALSE))</f>
        <v>0</v>
      </c>
      <c r="J843" s="42">
        <f>VLOOKUP($A843,'Neraca Unaudited SIMAK'!$A$2:$R$1272,9,FALSE)+IF(ISNA(VLOOKUP($A843,'Mutasi Neraca'!$A$3:$S$910,9,FALSE)),0,VLOOKUP($A843,'Mutasi Neraca'!$A$3:$S$910,9,FALSE))</f>
        <v>0</v>
      </c>
      <c r="K843" s="42">
        <f>VLOOKUP($A843,'Neraca Unaudited SIMAK'!$A$2:$R$1272,10,FALSE)+IF(ISNA(VLOOKUP($A843,'Mutasi Neraca'!$A$3:$S$910,10,FALSE)),0,VLOOKUP($A843,'Mutasi Neraca'!$A$3:$S$910,10,FALSE))</f>
        <v>0</v>
      </c>
      <c r="L843" s="42">
        <f>VLOOKUP($A843,'Neraca Unaudited SIMAK'!$A$2:$R$1272,11,FALSE)+IF(ISNA(VLOOKUP($A843,'Mutasi Neraca'!$A$3:$S$910,11,FALSE)),0,VLOOKUP($A843,'Mutasi Neraca'!$A$3:$S$910,11,FALSE))</f>
        <v>0</v>
      </c>
      <c r="M843" s="42">
        <f>VLOOKUP($A843,'Neraca Unaudited SIMAK'!$A$2:$R$1272,12,FALSE)+IF(ISNA(VLOOKUP($A843,'Mutasi Neraca'!$A$3:$S$910,12,FALSE)),0,VLOOKUP($A843,'Mutasi Neraca'!$A$3:$S$910,12,FALSE))</f>
        <v>349500</v>
      </c>
      <c r="N843" s="42">
        <f>VLOOKUP($A843,'Neraca Unaudited SIMAK'!$A$2:$R$1272,13,FALSE)+IF(ISNA(VLOOKUP($A843,'Mutasi Neraca'!$A$3:$S$910,13,FALSE)),0,VLOOKUP($A843,'Mutasi Neraca'!$A$3:$S$910,13,FALSE))</f>
        <v>0</v>
      </c>
      <c r="O843" s="42">
        <f>VLOOKUP($A843,'Neraca Unaudited SIMAK'!$A$2:$R$1272,14,FALSE)+IF(ISNA(VLOOKUP($A843,'Mutasi Neraca'!$A$3:$S$910,14,FALSE)),0,VLOOKUP($A843,'Mutasi Neraca'!$A$3:$S$910,14,FALSE))</f>
        <v>0</v>
      </c>
      <c r="P843" s="42">
        <f>VLOOKUP($A843,'Neraca Unaudited SIMAK'!$A$2:$R$1272,15,FALSE)+IF(ISNA(VLOOKUP($A843,'Mutasi Neraca'!$A$3:$S$910,15,FALSE)),0,VLOOKUP($A843,'Mutasi Neraca'!$A$3:$S$910,15,FALSE))</f>
        <v>0</v>
      </c>
      <c r="Q843" s="42">
        <f>VLOOKUP($A843,'Neraca Unaudited SIMAK'!$A$2:$R$1272,16,FALSE)+IF(ISNA(VLOOKUP($A843,'Mutasi Neraca'!$A$3:$S$910,16,FALSE)),0,VLOOKUP($A843,'Mutasi Neraca'!$A$3:$S$910,16,FALSE))</f>
        <v>0</v>
      </c>
      <c r="R843" s="42">
        <f>VLOOKUP($A843,'Neraca Unaudited SIMAK'!$A$2:$R$1272,17,FALSE)+IF(ISNA(VLOOKUP($A843,'Mutasi Neraca'!$A$3:$S$910,17,FALSE)),0,VLOOKUP($A843,'Mutasi Neraca'!$A$3:$S$910,17,FALSE))</f>
        <v>0</v>
      </c>
      <c r="S843" s="42">
        <f t="shared" si="69"/>
        <v>349500</v>
      </c>
    </row>
    <row r="844" spans="1:19">
      <c r="A844" s="41" t="s">
        <v>849</v>
      </c>
      <c r="B844" s="41" t="str">
        <f t="shared" si="68"/>
        <v>005030200</v>
      </c>
      <c r="D844" s="42">
        <f>VLOOKUP($A844,'Neraca Unaudited SIMAK'!$A$2:$R$1272,3,FALSE)+IF(ISNA(VLOOKUP($A844,'Mutasi Neraca'!$A$3:$S$910,3,FALSE)),0,VLOOKUP($A844,'Mutasi Neraca'!$A$3:$S$910,3,FALSE))</f>
        <v>8500</v>
      </c>
      <c r="E844" s="42">
        <f>VLOOKUP($A844,'Neraca Unaudited SIMAK'!$A$2:$R$1272,4,FALSE)+IF(ISNA(VLOOKUP($A844,'Mutasi Neraca'!$A$3:$S$910,4,FALSE)),0,VLOOKUP($A844,'Mutasi Neraca'!$A$3:$S$910,4,FALSE))</f>
        <v>0</v>
      </c>
      <c r="F844" s="42">
        <f>VLOOKUP($A844,'Neraca Unaudited SIMAK'!$A$2:$R$1272,5,FALSE)+IF(ISNA(VLOOKUP($A844,'Mutasi Neraca'!$A$3:$S$910,5,FALSE)),0,VLOOKUP($A844,'Mutasi Neraca'!$A$3:$S$910,5,FALSE))</f>
        <v>0</v>
      </c>
      <c r="G844" s="42">
        <f>VLOOKUP($A844,'Neraca Unaudited SIMAK'!$A$2:$R$1272,6,FALSE)+IF(ISNA(VLOOKUP($A844,'Mutasi Neraca'!$A$3:$S$910,6,FALSE)),0,VLOOKUP($A844,'Mutasi Neraca'!$A$3:$S$910,6,FALSE))</f>
        <v>0</v>
      </c>
      <c r="H844" s="42">
        <f>VLOOKUP($A844,'Neraca Unaudited SIMAK'!$A$2:$R$1272,7,FALSE)+IF(ISNA(VLOOKUP($A844,'Mutasi Neraca'!$A$3:$S$910,7,FALSE)),0,VLOOKUP($A844,'Mutasi Neraca'!$A$3:$S$910,7,FALSE))</f>
        <v>0</v>
      </c>
      <c r="I844" s="42">
        <f>VLOOKUP($A844,'Neraca Unaudited SIMAK'!$A$2:$R$1272,8,FALSE)+IF(ISNA(VLOOKUP($A844,'Mutasi Neraca'!$A$3:$S$910,8,FALSE)),0,VLOOKUP($A844,'Mutasi Neraca'!$A$3:$S$910,8,FALSE))</f>
        <v>0</v>
      </c>
      <c r="J844" s="42">
        <f>VLOOKUP($A844,'Neraca Unaudited SIMAK'!$A$2:$R$1272,9,FALSE)+IF(ISNA(VLOOKUP($A844,'Mutasi Neraca'!$A$3:$S$910,9,FALSE)),0,VLOOKUP($A844,'Mutasi Neraca'!$A$3:$S$910,9,FALSE))</f>
        <v>0</v>
      </c>
      <c r="K844" s="42">
        <f>VLOOKUP($A844,'Neraca Unaudited SIMAK'!$A$2:$R$1272,10,FALSE)+IF(ISNA(VLOOKUP($A844,'Mutasi Neraca'!$A$3:$S$910,10,FALSE)),0,VLOOKUP($A844,'Mutasi Neraca'!$A$3:$S$910,10,FALSE))</f>
        <v>0</v>
      </c>
      <c r="L844" s="42">
        <f>VLOOKUP($A844,'Neraca Unaudited SIMAK'!$A$2:$R$1272,11,FALSE)+IF(ISNA(VLOOKUP($A844,'Mutasi Neraca'!$A$3:$S$910,11,FALSE)),0,VLOOKUP($A844,'Mutasi Neraca'!$A$3:$S$910,11,FALSE))</f>
        <v>0</v>
      </c>
      <c r="M844" s="42">
        <f>VLOOKUP($A844,'Neraca Unaudited SIMAK'!$A$2:$R$1272,12,FALSE)+IF(ISNA(VLOOKUP($A844,'Mutasi Neraca'!$A$3:$S$910,12,FALSE)),0,VLOOKUP($A844,'Mutasi Neraca'!$A$3:$S$910,12,FALSE))</f>
        <v>8500</v>
      </c>
      <c r="N844" s="42">
        <f>VLOOKUP($A844,'Neraca Unaudited SIMAK'!$A$2:$R$1272,13,FALSE)+IF(ISNA(VLOOKUP($A844,'Mutasi Neraca'!$A$3:$S$910,13,FALSE)),0,VLOOKUP($A844,'Mutasi Neraca'!$A$3:$S$910,13,FALSE))</f>
        <v>0</v>
      </c>
      <c r="O844" s="42">
        <f>VLOOKUP($A844,'Neraca Unaudited SIMAK'!$A$2:$R$1272,14,FALSE)+IF(ISNA(VLOOKUP($A844,'Mutasi Neraca'!$A$3:$S$910,14,FALSE)),0,VLOOKUP($A844,'Mutasi Neraca'!$A$3:$S$910,14,FALSE))</f>
        <v>0</v>
      </c>
      <c r="P844" s="42">
        <f>VLOOKUP($A844,'Neraca Unaudited SIMAK'!$A$2:$R$1272,15,FALSE)+IF(ISNA(VLOOKUP($A844,'Mutasi Neraca'!$A$3:$S$910,15,FALSE)),0,VLOOKUP($A844,'Mutasi Neraca'!$A$3:$S$910,15,FALSE))</f>
        <v>0</v>
      </c>
      <c r="Q844" s="42">
        <f>VLOOKUP($A844,'Neraca Unaudited SIMAK'!$A$2:$R$1272,16,FALSE)+IF(ISNA(VLOOKUP($A844,'Mutasi Neraca'!$A$3:$S$910,16,FALSE)),0,VLOOKUP($A844,'Mutasi Neraca'!$A$3:$S$910,16,FALSE))</f>
        <v>0</v>
      </c>
      <c r="R844" s="42">
        <f>VLOOKUP($A844,'Neraca Unaudited SIMAK'!$A$2:$R$1272,17,FALSE)+IF(ISNA(VLOOKUP($A844,'Mutasi Neraca'!$A$3:$S$910,17,FALSE)),0,VLOOKUP($A844,'Mutasi Neraca'!$A$3:$S$910,17,FALSE))</f>
        <v>0</v>
      </c>
      <c r="S844" s="42">
        <f t="shared" si="69"/>
        <v>8500</v>
      </c>
    </row>
    <row r="845" spans="1:19">
      <c r="A845" s="41" t="s">
        <v>850</v>
      </c>
      <c r="B845" s="41" t="str">
        <f t="shared" si="68"/>
        <v>005030200</v>
      </c>
      <c r="D845" s="42">
        <f>VLOOKUP($A845,'Neraca Unaudited SIMAK'!$A$2:$R$1272,3,FALSE)+IF(ISNA(VLOOKUP($A845,'Mutasi Neraca'!$A$3:$S$910,3,FALSE)),0,VLOOKUP($A845,'Mutasi Neraca'!$A$3:$S$910,3,FALSE))</f>
        <v>4634000</v>
      </c>
      <c r="E845" s="42">
        <f>VLOOKUP($A845,'Neraca Unaudited SIMAK'!$A$2:$R$1272,4,FALSE)+IF(ISNA(VLOOKUP($A845,'Mutasi Neraca'!$A$3:$S$910,4,FALSE)),0,VLOOKUP($A845,'Mutasi Neraca'!$A$3:$S$910,4,FALSE))</f>
        <v>0</v>
      </c>
      <c r="F845" s="42">
        <f>VLOOKUP($A845,'Neraca Unaudited SIMAK'!$A$2:$R$1272,5,FALSE)+IF(ISNA(VLOOKUP($A845,'Mutasi Neraca'!$A$3:$S$910,5,FALSE)),0,VLOOKUP($A845,'Mutasi Neraca'!$A$3:$S$910,5,FALSE))</f>
        <v>0</v>
      </c>
      <c r="G845" s="42">
        <f>VLOOKUP($A845,'Neraca Unaudited SIMAK'!$A$2:$R$1272,6,FALSE)+IF(ISNA(VLOOKUP($A845,'Mutasi Neraca'!$A$3:$S$910,6,FALSE)),0,VLOOKUP($A845,'Mutasi Neraca'!$A$3:$S$910,6,FALSE))</f>
        <v>0</v>
      </c>
      <c r="H845" s="42">
        <f>VLOOKUP($A845,'Neraca Unaudited SIMAK'!$A$2:$R$1272,7,FALSE)+IF(ISNA(VLOOKUP($A845,'Mutasi Neraca'!$A$3:$S$910,7,FALSE)),0,VLOOKUP($A845,'Mutasi Neraca'!$A$3:$S$910,7,FALSE))</f>
        <v>0</v>
      </c>
      <c r="I845" s="42">
        <f>VLOOKUP($A845,'Neraca Unaudited SIMAK'!$A$2:$R$1272,8,FALSE)+IF(ISNA(VLOOKUP($A845,'Mutasi Neraca'!$A$3:$S$910,8,FALSE)),0,VLOOKUP($A845,'Mutasi Neraca'!$A$3:$S$910,8,FALSE))</f>
        <v>0</v>
      </c>
      <c r="J845" s="42">
        <f>VLOOKUP($A845,'Neraca Unaudited SIMAK'!$A$2:$R$1272,9,FALSE)+IF(ISNA(VLOOKUP($A845,'Mutasi Neraca'!$A$3:$S$910,9,FALSE)),0,VLOOKUP($A845,'Mutasi Neraca'!$A$3:$S$910,9,FALSE))</f>
        <v>0</v>
      </c>
      <c r="K845" s="42">
        <f>VLOOKUP($A845,'Neraca Unaudited SIMAK'!$A$2:$R$1272,10,FALSE)+IF(ISNA(VLOOKUP($A845,'Mutasi Neraca'!$A$3:$S$910,10,FALSE)),0,VLOOKUP($A845,'Mutasi Neraca'!$A$3:$S$910,10,FALSE))</f>
        <v>0</v>
      </c>
      <c r="L845" s="42">
        <f>VLOOKUP($A845,'Neraca Unaudited SIMAK'!$A$2:$R$1272,11,FALSE)+IF(ISNA(VLOOKUP($A845,'Mutasi Neraca'!$A$3:$S$910,11,FALSE)),0,VLOOKUP($A845,'Mutasi Neraca'!$A$3:$S$910,11,FALSE))</f>
        <v>0</v>
      </c>
      <c r="M845" s="42">
        <f>VLOOKUP($A845,'Neraca Unaudited SIMAK'!$A$2:$R$1272,12,FALSE)+IF(ISNA(VLOOKUP($A845,'Mutasi Neraca'!$A$3:$S$910,12,FALSE)),0,VLOOKUP($A845,'Mutasi Neraca'!$A$3:$S$910,12,FALSE))</f>
        <v>4634000</v>
      </c>
      <c r="N845" s="42">
        <f>VLOOKUP($A845,'Neraca Unaudited SIMAK'!$A$2:$R$1272,13,FALSE)+IF(ISNA(VLOOKUP($A845,'Mutasi Neraca'!$A$3:$S$910,13,FALSE)),0,VLOOKUP($A845,'Mutasi Neraca'!$A$3:$S$910,13,FALSE))</f>
        <v>0</v>
      </c>
      <c r="O845" s="42">
        <f>VLOOKUP($A845,'Neraca Unaudited SIMAK'!$A$2:$R$1272,14,FALSE)+IF(ISNA(VLOOKUP($A845,'Mutasi Neraca'!$A$3:$S$910,14,FALSE)),0,VLOOKUP($A845,'Mutasi Neraca'!$A$3:$S$910,14,FALSE))</f>
        <v>0</v>
      </c>
      <c r="P845" s="42">
        <f>VLOOKUP($A845,'Neraca Unaudited SIMAK'!$A$2:$R$1272,15,FALSE)+IF(ISNA(VLOOKUP($A845,'Mutasi Neraca'!$A$3:$S$910,15,FALSE)),0,VLOOKUP($A845,'Mutasi Neraca'!$A$3:$S$910,15,FALSE))</f>
        <v>0</v>
      </c>
      <c r="Q845" s="42">
        <f>VLOOKUP($A845,'Neraca Unaudited SIMAK'!$A$2:$R$1272,16,FALSE)+IF(ISNA(VLOOKUP($A845,'Mutasi Neraca'!$A$3:$S$910,16,FALSE)),0,VLOOKUP($A845,'Mutasi Neraca'!$A$3:$S$910,16,FALSE))</f>
        <v>0</v>
      </c>
      <c r="R845" s="42">
        <f>VLOOKUP($A845,'Neraca Unaudited SIMAK'!$A$2:$R$1272,17,FALSE)+IF(ISNA(VLOOKUP($A845,'Mutasi Neraca'!$A$3:$S$910,17,FALSE)),0,VLOOKUP($A845,'Mutasi Neraca'!$A$3:$S$910,17,FALSE))</f>
        <v>0</v>
      </c>
      <c r="S845" s="42">
        <f t="shared" si="69"/>
        <v>4634000</v>
      </c>
    </row>
    <row r="846" spans="1:19">
      <c r="A846" s="41" t="s">
        <v>851</v>
      </c>
      <c r="B846" s="41" t="str">
        <f t="shared" si="68"/>
        <v>005030200</v>
      </c>
      <c r="D846" s="42">
        <f>VLOOKUP($A846,'Neraca Unaudited SIMAK'!$A$2:$R$1272,3,FALSE)+IF(ISNA(VLOOKUP($A846,'Mutasi Neraca'!$A$3:$S$910,3,FALSE)),0,VLOOKUP($A846,'Mutasi Neraca'!$A$3:$S$910,3,FALSE))</f>
        <v>7461000</v>
      </c>
      <c r="E846" s="42">
        <f>VLOOKUP($A846,'Neraca Unaudited SIMAK'!$A$2:$R$1272,4,FALSE)+IF(ISNA(VLOOKUP($A846,'Mutasi Neraca'!$A$3:$S$910,4,FALSE)),0,VLOOKUP($A846,'Mutasi Neraca'!$A$3:$S$910,4,FALSE))</f>
        <v>0</v>
      </c>
      <c r="F846" s="42">
        <f>VLOOKUP($A846,'Neraca Unaudited SIMAK'!$A$2:$R$1272,5,FALSE)+IF(ISNA(VLOOKUP($A846,'Mutasi Neraca'!$A$3:$S$910,5,FALSE)),0,VLOOKUP($A846,'Mutasi Neraca'!$A$3:$S$910,5,FALSE))</f>
        <v>0</v>
      </c>
      <c r="G846" s="42">
        <f>VLOOKUP($A846,'Neraca Unaudited SIMAK'!$A$2:$R$1272,6,FALSE)+IF(ISNA(VLOOKUP($A846,'Mutasi Neraca'!$A$3:$S$910,6,FALSE)),0,VLOOKUP($A846,'Mutasi Neraca'!$A$3:$S$910,6,FALSE))</f>
        <v>0</v>
      </c>
      <c r="H846" s="42">
        <f>VLOOKUP($A846,'Neraca Unaudited SIMAK'!$A$2:$R$1272,7,FALSE)+IF(ISNA(VLOOKUP($A846,'Mutasi Neraca'!$A$3:$S$910,7,FALSE)),0,VLOOKUP($A846,'Mutasi Neraca'!$A$3:$S$910,7,FALSE))</f>
        <v>0</v>
      </c>
      <c r="I846" s="42">
        <f>VLOOKUP($A846,'Neraca Unaudited SIMAK'!$A$2:$R$1272,8,FALSE)+IF(ISNA(VLOOKUP($A846,'Mutasi Neraca'!$A$3:$S$910,8,FALSE)),0,VLOOKUP($A846,'Mutasi Neraca'!$A$3:$S$910,8,FALSE))</f>
        <v>0</v>
      </c>
      <c r="J846" s="42">
        <f>VLOOKUP($A846,'Neraca Unaudited SIMAK'!$A$2:$R$1272,9,FALSE)+IF(ISNA(VLOOKUP($A846,'Mutasi Neraca'!$A$3:$S$910,9,FALSE)),0,VLOOKUP($A846,'Mutasi Neraca'!$A$3:$S$910,9,FALSE))</f>
        <v>0</v>
      </c>
      <c r="K846" s="42">
        <f>VLOOKUP($A846,'Neraca Unaudited SIMAK'!$A$2:$R$1272,10,FALSE)+IF(ISNA(VLOOKUP($A846,'Mutasi Neraca'!$A$3:$S$910,10,FALSE)),0,VLOOKUP($A846,'Mutasi Neraca'!$A$3:$S$910,10,FALSE))</f>
        <v>0</v>
      </c>
      <c r="L846" s="42">
        <f>VLOOKUP($A846,'Neraca Unaudited SIMAK'!$A$2:$R$1272,11,FALSE)+IF(ISNA(VLOOKUP($A846,'Mutasi Neraca'!$A$3:$S$910,11,FALSE)),0,VLOOKUP($A846,'Mutasi Neraca'!$A$3:$S$910,11,FALSE))</f>
        <v>0</v>
      </c>
      <c r="M846" s="42">
        <f>VLOOKUP($A846,'Neraca Unaudited SIMAK'!$A$2:$R$1272,12,FALSE)+IF(ISNA(VLOOKUP($A846,'Mutasi Neraca'!$A$3:$S$910,12,FALSE)),0,VLOOKUP($A846,'Mutasi Neraca'!$A$3:$S$910,12,FALSE))</f>
        <v>7461000</v>
      </c>
      <c r="N846" s="42">
        <f>VLOOKUP($A846,'Neraca Unaudited SIMAK'!$A$2:$R$1272,13,FALSE)+IF(ISNA(VLOOKUP($A846,'Mutasi Neraca'!$A$3:$S$910,13,FALSE)),0,VLOOKUP($A846,'Mutasi Neraca'!$A$3:$S$910,13,FALSE))</f>
        <v>0</v>
      </c>
      <c r="O846" s="42">
        <f>VLOOKUP($A846,'Neraca Unaudited SIMAK'!$A$2:$R$1272,14,FALSE)+IF(ISNA(VLOOKUP($A846,'Mutasi Neraca'!$A$3:$S$910,14,FALSE)),0,VLOOKUP($A846,'Mutasi Neraca'!$A$3:$S$910,14,FALSE))</f>
        <v>0</v>
      </c>
      <c r="P846" s="42">
        <f>VLOOKUP($A846,'Neraca Unaudited SIMAK'!$A$2:$R$1272,15,FALSE)+IF(ISNA(VLOOKUP($A846,'Mutasi Neraca'!$A$3:$S$910,15,FALSE)),0,VLOOKUP($A846,'Mutasi Neraca'!$A$3:$S$910,15,FALSE))</f>
        <v>0</v>
      </c>
      <c r="Q846" s="42">
        <f>VLOOKUP($A846,'Neraca Unaudited SIMAK'!$A$2:$R$1272,16,FALSE)+IF(ISNA(VLOOKUP($A846,'Mutasi Neraca'!$A$3:$S$910,16,FALSE)),0,VLOOKUP($A846,'Mutasi Neraca'!$A$3:$S$910,16,FALSE))</f>
        <v>0</v>
      </c>
      <c r="R846" s="42">
        <f>VLOOKUP($A846,'Neraca Unaudited SIMAK'!$A$2:$R$1272,17,FALSE)+IF(ISNA(VLOOKUP($A846,'Mutasi Neraca'!$A$3:$S$910,17,FALSE)),0,VLOOKUP($A846,'Mutasi Neraca'!$A$3:$S$910,17,FALSE))</f>
        <v>0</v>
      </c>
      <c r="S846" s="42">
        <f t="shared" si="69"/>
        <v>7461000</v>
      </c>
    </row>
    <row r="847" spans="1:19">
      <c r="A847" s="41" t="s">
        <v>852</v>
      </c>
      <c r="B847" s="41" t="str">
        <f t="shared" si="68"/>
        <v>005030200</v>
      </c>
      <c r="D847" s="42">
        <f>VLOOKUP($A847,'Neraca Unaudited SIMAK'!$A$2:$R$1272,3,FALSE)+IF(ISNA(VLOOKUP($A847,'Mutasi Neraca'!$A$3:$S$910,3,FALSE)),0,VLOOKUP($A847,'Mutasi Neraca'!$A$3:$S$910,3,FALSE))</f>
        <v>10296650</v>
      </c>
      <c r="E847" s="42">
        <f>VLOOKUP($A847,'Neraca Unaudited SIMAK'!$A$2:$R$1272,4,FALSE)+IF(ISNA(VLOOKUP($A847,'Mutasi Neraca'!$A$3:$S$910,4,FALSE)),0,VLOOKUP($A847,'Mutasi Neraca'!$A$3:$S$910,4,FALSE))</f>
        <v>0</v>
      </c>
      <c r="F847" s="42">
        <f>VLOOKUP($A847,'Neraca Unaudited SIMAK'!$A$2:$R$1272,5,FALSE)+IF(ISNA(VLOOKUP($A847,'Mutasi Neraca'!$A$3:$S$910,5,FALSE)),0,VLOOKUP($A847,'Mutasi Neraca'!$A$3:$S$910,5,FALSE))</f>
        <v>0</v>
      </c>
      <c r="G847" s="42">
        <f>VLOOKUP($A847,'Neraca Unaudited SIMAK'!$A$2:$R$1272,6,FALSE)+IF(ISNA(VLOOKUP($A847,'Mutasi Neraca'!$A$3:$S$910,6,FALSE)),0,VLOOKUP($A847,'Mutasi Neraca'!$A$3:$S$910,6,FALSE))</f>
        <v>0</v>
      </c>
      <c r="H847" s="42">
        <f>VLOOKUP($A847,'Neraca Unaudited SIMAK'!$A$2:$R$1272,7,FALSE)+IF(ISNA(VLOOKUP($A847,'Mutasi Neraca'!$A$3:$S$910,7,FALSE)),0,VLOOKUP($A847,'Mutasi Neraca'!$A$3:$S$910,7,FALSE))</f>
        <v>0</v>
      </c>
      <c r="I847" s="42">
        <f>VLOOKUP($A847,'Neraca Unaudited SIMAK'!$A$2:$R$1272,8,FALSE)+IF(ISNA(VLOOKUP($A847,'Mutasi Neraca'!$A$3:$S$910,8,FALSE)),0,VLOOKUP($A847,'Mutasi Neraca'!$A$3:$S$910,8,FALSE))</f>
        <v>0</v>
      </c>
      <c r="J847" s="42">
        <f>VLOOKUP($A847,'Neraca Unaudited SIMAK'!$A$2:$R$1272,9,FALSE)+IF(ISNA(VLOOKUP($A847,'Mutasi Neraca'!$A$3:$S$910,9,FALSE)),0,VLOOKUP($A847,'Mutasi Neraca'!$A$3:$S$910,9,FALSE))</f>
        <v>0</v>
      </c>
      <c r="K847" s="42">
        <f>VLOOKUP($A847,'Neraca Unaudited SIMAK'!$A$2:$R$1272,10,FALSE)+IF(ISNA(VLOOKUP($A847,'Mutasi Neraca'!$A$3:$S$910,10,FALSE)),0,VLOOKUP($A847,'Mutasi Neraca'!$A$3:$S$910,10,FALSE))</f>
        <v>0</v>
      </c>
      <c r="L847" s="42">
        <f>VLOOKUP($A847,'Neraca Unaudited SIMAK'!$A$2:$R$1272,11,FALSE)+IF(ISNA(VLOOKUP($A847,'Mutasi Neraca'!$A$3:$S$910,11,FALSE)),0,VLOOKUP($A847,'Mutasi Neraca'!$A$3:$S$910,11,FALSE))</f>
        <v>0</v>
      </c>
      <c r="M847" s="42">
        <f>VLOOKUP($A847,'Neraca Unaudited SIMAK'!$A$2:$R$1272,12,FALSE)+IF(ISNA(VLOOKUP($A847,'Mutasi Neraca'!$A$3:$S$910,12,FALSE)),0,VLOOKUP($A847,'Mutasi Neraca'!$A$3:$S$910,12,FALSE))</f>
        <v>10296650</v>
      </c>
      <c r="N847" s="42">
        <f>VLOOKUP($A847,'Neraca Unaudited SIMAK'!$A$2:$R$1272,13,FALSE)+IF(ISNA(VLOOKUP($A847,'Mutasi Neraca'!$A$3:$S$910,13,FALSE)),0,VLOOKUP($A847,'Mutasi Neraca'!$A$3:$S$910,13,FALSE))</f>
        <v>0</v>
      </c>
      <c r="O847" s="42">
        <f>VLOOKUP($A847,'Neraca Unaudited SIMAK'!$A$2:$R$1272,14,FALSE)+IF(ISNA(VLOOKUP($A847,'Mutasi Neraca'!$A$3:$S$910,14,FALSE)),0,VLOOKUP($A847,'Mutasi Neraca'!$A$3:$S$910,14,FALSE))</f>
        <v>0</v>
      </c>
      <c r="P847" s="42">
        <f>VLOOKUP($A847,'Neraca Unaudited SIMAK'!$A$2:$R$1272,15,FALSE)+IF(ISNA(VLOOKUP($A847,'Mutasi Neraca'!$A$3:$S$910,15,FALSE)),0,VLOOKUP($A847,'Mutasi Neraca'!$A$3:$S$910,15,FALSE))</f>
        <v>0</v>
      </c>
      <c r="Q847" s="42">
        <f>VLOOKUP($A847,'Neraca Unaudited SIMAK'!$A$2:$R$1272,16,FALSE)+IF(ISNA(VLOOKUP($A847,'Mutasi Neraca'!$A$3:$S$910,16,FALSE)),0,VLOOKUP($A847,'Mutasi Neraca'!$A$3:$S$910,16,FALSE))</f>
        <v>0</v>
      </c>
      <c r="R847" s="42">
        <f>VLOOKUP($A847,'Neraca Unaudited SIMAK'!$A$2:$R$1272,17,FALSE)+IF(ISNA(VLOOKUP($A847,'Mutasi Neraca'!$A$3:$S$910,17,FALSE)),0,VLOOKUP($A847,'Mutasi Neraca'!$A$3:$S$910,17,FALSE))</f>
        <v>0</v>
      </c>
      <c r="S847" s="42">
        <f t="shared" si="69"/>
        <v>10296650</v>
      </c>
    </row>
    <row r="848" spans="1:19">
      <c r="A848" s="41" t="s">
        <v>853</v>
      </c>
      <c r="B848" s="41" t="str">
        <f t="shared" si="68"/>
        <v>005030200</v>
      </c>
      <c r="D848" s="42">
        <f>VLOOKUP($A848,'Neraca Unaudited SIMAK'!$A$2:$R$1272,3,FALSE)+IF(ISNA(VLOOKUP($A848,'Mutasi Neraca'!$A$3:$S$910,3,FALSE)),0,VLOOKUP($A848,'Mutasi Neraca'!$A$3:$S$910,3,FALSE))</f>
        <v>246800</v>
      </c>
      <c r="E848" s="42">
        <f>VLOOKUP($A848,'Neraca Unaudited SIMAK'!$A$2:$R$1272,4,FALSE)+IF(ISNA(VLOOKUP($A848,'Mutasi Neraca'!$A$3:$S$910,4,FALSE)),0,VLOOKUP($A848,'Mutasi Neraca'!$A$3:$S$910,4,FALSE))</f>
        <v>0</v>
      </c>
      <c r="F848" s="42">
        <f>VLOOKUP($A848,'Neraca Unaudited SIMAK'!$A$2:$R$1272,5,FALSE)+IF(ISNA(VLOOKUP($A848,'Mutasi Neraca'!$A$3:$S$910,5,FALSE)),0,VLOOKUP($A848,'Mutasi Neraca'!$A$3:$S$910,5,FALSE))</f>
        <v>0</v>
      </c>
      <c r="G848" s="42">
        <f>VLOOKUP($A848,'Neraca Unaudited SIMAK'!$A$2:$R$1272,6,FALSE)+IF(ISNA(VLOOKUP($A848,'Mutasi Neraca'!$A$3:$S$910,6,FALSE)),0,VLOOKUP($A848,'Mutasi Neraca'!$A$3:$S$910,6,FALSE))</f>
        <v>0</v>
      </c>
      <c r="H848" s="42">
        <f>VLOOKUP($A848,'Neraca Unaudited SIMAK'!$A$2:$R$1272,7,FALSE)+IF(ISNA(VLOOKUP($A848,'Mutasi Neraca'!$A$3:$S$910,7,FALSE)),0,VLOOKUP($A848,'Mutasi Neraca'!$A$3:$S$910,7,FALSE))</f>
        <v>0</v>
      </c>
      <c r="I848" s="42">
        <f>VLOOKUP($A848,'Neraca Unaudited SIMAK'!$A$2:$R$1272,8,FALSE)+IF(ISNA(VLOOKUP($A848,'Mutasi Neraca'!$A$3:$S$910,8,FALSE)),0,VLOOKUP($A848,'Mutasi Neraca'!$A$3:$S$910,8,FALSE))</f>
        <v>0</v>
      </c>
      <c r="J848" s="42">
        <f>VLOOKUP($A848,'Neraca Unaudited SIMAK'!$A$2:$R$1272,9,FALSE)+IF(ISNA(VLOOKUP($A848,'Mutasi Neraca'!$A$3:$S$910,9,FALSE)),0,VLOOKUP($A848,'Mutasi Neraca'!$A$3:$S$910,9,FALSE))</f>
        <v>0</v>
      </c>
      <c r="K848" s="42">
        <f>VLOOKUP($A848,'Neraca Unaudited SIMAK'!$A$2:$R$1272,10,FALSE)+IF(ISNA(VLOOKUP($A848,'Mutasi Neraca'!$A$3:$S$910,10,FALSE)),0,VLOOKUP($A848,'Mutasi Neraca'!$A$3:$S$910,10,FALSE))</f>
        <v>0</v>
      </c>
      <c r="L848" s="42">
        <f>VLOOKUP($A848,'Neraca Unaudited SIMAK'!$A$2:$R$1272,11,FALSE)+IF(ISNA(VLOOKUP($A848,'Mutasi Neraca'!$A$3:$S$910,11,FALSE)),0,VLOOKUP($A848,'Mutasi Neraca'!$A$3:$S$910,11,FALSE))</f>
        <v>0</v>
      </c>
      <c r="M848" s="42">
        <f>VLOOKUP($A848,'Neraca Unaudited SIMAK'!$A$2:$R$1272,12,FALSE)+IF(ISNA(VLOOKUP($A848,'Mutasi Neraca'!$A$3:$S$910,12,FALSE)),0,VLOOKUP($A848,'Mutasi Neraca'!$A$3:$S$910,12,FALSE))</f>
        <v>246800</v>
      </c>
      <c r="N848" s="42">
        <f>VLOOKUP($A848,'Neraca Unaudited SIMAK'!$A$2:$R$1272,13,FALSE)+IF(ISNA(VLOOKUP($A848,'Mutasi Neraca'!$A$3:$S$910,13,FALSE)),0,VLOOKUP($A848,'Mutasi Neraca'!$A$3:$S$910,13,FALSE))</f>
        <v>0</v>
      </c>
      <c r="O848" s="42">
        <f>VLOOKUP($A848,'Neraca Unaudited SIMAK'!$A$2:$R$1272,14,FALSE)+IF(ISNA(VLOOKUP($A848,'Mutasi Neraca'!$A$3:$S$910,14,FALSE)),0,VLOOKUP($A848,'Mutasi Neraca'!$A$3:$S$910,14,FALSE))</f>
        <v>0</v>
      </c>
      <c r="P848" s="42">
        <f>VLOOKUP($A848,'Neraca Unaudited SIMAK'!$A$2:$R$1272,15,FALSE)+IF(ISNA(VLOOKUP($A848,'Mutasi Neraca'!$A$3:$S$910,15,FALSE)),0,VLOOKUP($A848,'Mutasi Neraca'!$A$3:$S$910,15,FALSE))</f>
        <v>0</v>
      </c>
      <c r="Q848" s="42">
        <f>VLOOKUP($A848,'Neraca Unaudited SIMAK'!$A$2:$R$1272,16,FALSE)+IF(ISNA(VLOOKUP($A848,'Mutasi Neraca'!$A$3:$S$910,16,FALSE)),0,VLOOKUP($A848,'Mutasi Neraca'!$A$3:$S$910,16,FALSE))</f>
        <v>0</v>
      </c>
      <c r="R848" s="42">
        <f>VLOOKUP($A848,'Neraca Unaudited SIMAK'!$A$2:$R$1272,17,FALSE)+IF(ISNA(VLOOKUP($A848,'Mutasi Neraca'!$A$3:$S$910,17,FALSE)),0,VLOOKUP($A848,'Mutasi Neraca'!$A$3:$S$910,17,FALSE))</f>
        <v>0</v>
      </c>
      <c r="S848" s="42">
        <f t="shared" si="69"/>
        <v>246800</v>
      </c>
    </row>
    <row r="849" spans="1:19">
      <c r="A849" s="41" t="s">
        <v>854</v>
      </c>
      <c r="B849" s="41" t="str">
        <f t="shared" si="68"/>
        <v>005030200</v>
      </c>
      <c r="D849" s="42">
        <f>VLOOKUP($A849,'Neraca Unaudited SIMAK'!$A$2:$R$1272,3,FALSE)+IF(ISNA(VLOOKUP($A849,'Mutasi Neraca'!$A$3:$S$910,3,FALSE)),0,VLOOKUP($A849,'Mutasi Neraca'!$A$3:$S$910,3,FALSE))</f>
        <v>518000</v>
      </c>
      <c r="E849" s="42">
        <f>VLOOKUP($A849,'Neraca Unaudited SIMAK'!$A$2:$R$1272,4,FALSE)+IF(ISNA(VLOOKUP($A849,'Mutasi Neraca'!$A$3:$S$910,4,FALSE)),0,VLOOKUP($A849,'Mutasi Neraca'!$A$3:$S$910,4,FALSE))</f>
        <v>0</v>
      </c>
      <c r="F849" s="42">
        <f>VLOOKUP($A849,'Neraca Unaudited SIMAK'!$A$2:$R$1272,5,FALSE)+IF(ISNA(VLOOKUP($A849,'Mutasi Neraca'!$A$3:$S$910,5,FALSE)),0,VLOOKUP($A849,'Mutasi Neraca'!$A$3:$S$910,5,FALSE))</f>
        <v>0</v>
      </c>
      <c r="G849" s="42">
        <f>VLOOKUP($A849,'Neraca Unaudited SIMAK'!$A$2:$R$1272,6,FALSE)+IF(ISNA(VLOOKUP($A849,'Mutasi Neraca'!$A$3:$S$910,6,FALSE)),0,VLOOKUP($A849,'Mutasi Neraca'!$A$3:$S$910,6,FALSE))</f>
        <v>0</v>
      </c>
      <c r="H849" s="42">
        <f>VLOOKUP($A849,'Neraca Unaudited SIMAK'!$A$2:$R$1272,7,FALSE)+IF(ISNA(VLOOKUP($A849,'Mutasi Neraca'!$A$3:$S$910,7,FALSE)),0,VLOOKUP($A849,'Mutasi Neraca'!$A$3:$S$910,7,FALSE))</f>
        <v>0</v>
      </c>
      <c r="I849" s="42">
        <f>VLOOKUP($A849,'Neraca Unaudited SIMAK'!$A$2:$R$1272,8,FALSE)+IF(ISNA(VLOOKUP($A849,'Mutasi Neraca'!$A$3:$S$910,8,FALSE)),0,VLOOKUP($A849,'Mutasi Neraca'!$A$3:$S$910,8,FALSE))</f>
        <v>0</v>
      </c>
      <c r="J849" s="42">
        <f>VLOOKUP($A849,'Neraca Unaudited SIMAK'!$A$2:$R$1272,9,FALSE)+IF(ISNA(VLOOKUP($A849,'Mutasi Neraca'!$A$3:$S$910,9,FALSE)),0,VLOOKUP($A849,'Mutasi Neraca'!$A$3:$S$910,9,FALSE))</f>
        <v>0</v>
      </c>
      <c r="K849" s="42">
        <f>VLOOKUP($A849,'Neraca Unaudited SIMAK'!$A$2:$R$1272,10,FALSE)+IF(ISNA(VLOOKUP($A849,'Mutasi Neraca'!$A$3:$S$910,10,FALSE)),0,VLOOKUP($A849,'Mutasi Neraca'!$A$3:$S$910,10,FALSE))</f>
        <v>0</v>
      </c>
      <c r="L849" s="42">
        <f>VLOOKUP($A849,'Neraca Unaudited SIMAK'!$A$2:$R$1272,11,FALSE)+IF(ISNA(VLOOKUP($A849,'Mutasi Neraca'!$A$3:$S$910,11,FALSE)),0,VLOOKUP($A849,'Mutasi Neraca'!$A$3:$S$910,11,FALSE))</f>
        <v>0</v>
      </c>
      <c r="M849" s="42">
        <f>VLOOKUP($A849,'Neraca Unaudited SIMAK'!$A$2:$R$1272,12,FALSE)+IF(ISNA(VLOOKUP($A849,'Mutasi Neraca'!$A$3:$S$910,12,FALSE)),0,VLOOKUP($A849,'Mutasi Neraca'!$A$3:$S$910,12,FALSE))</f>
        <v>518000</v>
      </c>
      <c r="N849" s="42">
        <f>VLOOKUP($A849,'Neraca Unaudited SIMAK'!$A$2:$R$1272,13,FALSE)+IF(ISNA(VLOOKUP($A849,'Mutasi Neraca'!$A$3:$S$910,13,FALSE)),0,VLOOKUP($A849,'Mutasi Neraca'!$A$3:$S$910,13,FALSE))</f>
        <v>0</v>
      </c>
      <c r="O849" s="42">
        <f>VLOOKUP($A849,'Neraca Unaudited SIMAK'!$A$2:$R$1272,14,FALSE)+IF(ISNA(VLOOKUP($A849,'Mutasi Neraca'!$A$3:$S$910,14,FALSE)),0,VLOOKUP($A849,'Mutasi Neraca'!$A$3:$S$910,14,FALSE))</f>
        <v>0</v>
      </c>
      <c r="P849" s="42">
        <f>VLOOKUP($A849,'Neraca Unaudited SIMAK'!$A$2:$R$1272,15,FALSE)+IF(ISNA(VLOOKUP($A849,'Mutasi Neraca'!$A$3:$S$910,15,FALSE)),0,VLOOKUP($A849,'Mutasi Neraca'!$A$3:$S$910,15,FALSE))</f>
        <v>0</v>
      </c>
      <c r="Q849" s="42">
        <f>VLOOKUP($A849,'Neraca Unaudited SIMAK'!$A$2:$R$1272,16,FALSE)+IF(ISNA(VLOOKUP($A849,'Mutasi Neraca'!$A$3:$S$910,16,FALSE)),0,VLOOKUP($A849,'Mutasi Neraca'!$A$3:$S$910,16,FALSE))</f>
        <v>0</v>
      </c>
      <c r="R849" s="42">
        <f>VLOOKUP($A849,'Neraca Unaudited SIMAK'!$A$2:$R$1272,17,FALSE)+IF(ISNA(VLOOKUP($A849,'Mutasi Neraca'!$A$3:$S$910,17,FALSE)),0,VLOOKUP($A849,'Mutasi Neraca'!$A$3:$S$910,17,FALSE))</f>
        <v>0</v>
      </c>
      <c r="S849" s="42">
        <f t="shared" si="69"/>
        <v>518000</v>
      </c>
    </row>
    <row r="850" spans="1:19">
      <c r="A850" s="41" t="s">
        <v>855</v>
      </c>
      <c r="B850" s="41" t="str">
        <f t="shared" si="68"/>
        <v>005030200</v>
      </c>
      <c r="D850" s="42">
        <f>VLOOKUP($A850,'Neraca Unaudited SIMAK'!$A$2:$R$1272,3,FALSE)+IF(ISNA(VLOOKUP($A850,'Mutasi Neraca'!$A$3:$S$910,3,FALSE)),0,VLOOKUP($A850,'Mutasi Neraca'!$A$3:$S$910,3,FALSE))</f>
        <v>2527300</v>
      </c>
      <c r="E850" s="42">
        <f>VLOOKUP($A850,'Neraca Unaudited SIMAK'!$A$2:$R$1272,4,FALSE)+IF(ISNA(VLOOKUP($A850,'Mutasi Neraca'!$A$3:$S$910,4,FALSE)),0,VLOOKUP($A850,'Mutasi Neraca'!$A$3:$S$910,4,FALSE))</f>
        <v>0</v>
      </c>
      <c r="F850" s="42">
        <f>VLOOKUP($A850,'Neraca Unaudited SIMAK'!$A$2:$R$1272,5,FALSE)+IF(ISNA(VLOOKUP($A850,'Mutasi Neraca'!$A$3:$S$910,5,FALSE)),0,VLOOKUP($A850,'Mutasi Neraca'!$A$3:$S$910,5,FALSE))</f>
        <v>0</v>
      </c>
      <c r="G850" s="42">
        <f>VLOOKUP($A850,'Neraca Unaudited SIMAK'!$A$2:$R$1272,6,FALSE)+IF(ISNA(VLOOKUP($A850,'Mutasi Neraca'!$A$3:$S$910,6,FALSE)),0,VLOOKUP($A850,'Mutasi Neraca'!$A$3:$S$910,6,FALSE))</f>
        <v>0</v>
      </c>
      <c r="H850" s="42">
        <f>VLOOKUP($A850,'Neraca Unaudited SIMAK'!$A$2:$R$1272,7,FALSE)+IF(ISNA(VLOOKUP($A850,'Mutasi Neraca'!$A$3:$S$910,7,FALSE)),0,VLOOKUP($A850,'Mutasi Neraca'!$A$3:$S$910,7,FALSE))</f>
        <v>0</v>
      </c>
      <c r="I850" s="42">
        <f>VLOOKUP($A850,'Neraca Unaudited SIMAK'!$A$2:$R$1272,8,FALSE)+IF(ISNA(VLOOKUP($A850,'Mutasi Neraca'!$A$3:$S$910,8,FALSE)),0,VLOOKUP($A850,'Mutasi Neraca'!$A$3:$S$910,8,FALSE))</f>
        <v>0</v>
      </c>
      <c r="J850" s="42">
        <f>VLOOKUP($A850,'Neraca Unaudited SIMAK'!$A$2:$R$1272,9,FALSE)+IF(ISNA(VLOOKUP($A850,'Mutasi Neraca'!$A$3:$S$910,9,FALSE)),0,VLOOKUP($A850,'Mutasi Neraca'!$A$3:$S$910,9,FALSE))</f>
        <v>0</v>
      </c>
      <c r="K850" s="42">
        <f>VLOOKUP($A850,'Neraca Unaudited SIMAK'!$A$2:$R$1272,10,FALSE)+IF(ISNA(VLOOKUP($A850,'Mutasi Neraca'!$A$3:$S$910,10,FALSE)),0,VLOOKUP($A850,'Mutasi Neraca'!$A$3:$S$910,10,FALSE))</f>
        <v>0</v>
      </c>
      <c r="L850" s="42">
        <f>VLOOKUP($A850,'Neraca Unaudited SIMAK'!$A$2:$R$1272,11,FALSE)+IF(ISNA(VLOOKUP($A850,'Mutasi Neraca'!$A$3:$S$910,11,FALSE)),0,VLOOKUP($A850,'Mutasi Neraca'!$A$3:$S$910,11,FALSE))</f>
        <v>0</v>
      </c>
      <c r="M850" s="42">
        <f>VLOOKUP($A850,'Neraca Unaudited SIMAK'!$A$2:$R$1272,12,FALSE)+IF(ISNA(VLOOKUP($A850,'Mutasi Neraca'!$A$3:$S$910,12,FALSE)),0,VLOOKUP($A850,'Mutasi Neraca'!$A$3:$S$910,12,FALSE))</f>
        <v>2527300</v>
      </c>
      <c r="N850" s="42">
        <f>VLOOKUP($A850,'Neraca Unaudited SIMAK'!$A$2:$R$1272,13,FALSE)+IF(ISNA(VLOOKUP($A850,'Mutasi Neraca'!$A$3:$S$910,13,FALSE)),0,VLOOKUP($A850,'Mutasi Neraca'!$A$3:$S$910,13,FALSE))</f>
        <v>0</v>
      </c>
      <c r="O850" s="42">
        <f>VLOOKUP($A850,'Neraca Unaudited SIMAK'!$A$2:$R$1272,14,FALSE)+IF(ISNA(VLOOKUP($A850,'Mutasi Neraca'!$A$3:$S$910,14,FALSE)),0,VLOOKUP($A850,'Mutasi Neraca'!$A$3:$S$910,14,FALSE))</f>
        <v>0</v>
      </c>
      <c r="P850" s="42">
        <f>VLOOKUP($A850,'Neraca Unaudited SIMAK'!$A$2:$R$1272,15,FALSE)+IF(ISNA(VLOOKUP($A850,'Mutasi Neraca'!$A$3:$S$910,15,FALSE)),0,VLOOKUP($A850,'Mutasi Neraca'!$A$3:$S$910,15,FALSE))</f>
        <v>0</v>
      </c>
      <c r="Q850" s="42">
        <f>VLOOKUP($A850,'Neraca Unaudited SIMAK'!$A$2:$R$1272,16,FALSE)+IF(ISNA(VLOOKUP($A850,'Mutasi Neraca'!$A$3:$S$910,16,FALSE)),0,VLOOKUP($A850,'Mutasi Neraca'!$A$3:$S$910,16,FALSE))</f>
        <v>0</v>
      </c>
      <c r="R850" s="42">
        <f>VLOOKUP($A850,'Neraca Unaudited SIMAK'!$A$2:$R$1272,17,FALSE)+IF(ISNA(VLOOKUP($A850,'Mutasi Neraca'!$A$3:$S$910,17,FALSE)),0,VLOOKUP($A850,'Mutasi Neraca'!$A$3:$S$910,17,FALSE))</f>
        <v>0</v>
      </c>
      <c r="S850" s="42">
        <f t="shared" si="69"/>
        <v>2527300</v>
      </c>
    </row>
    <row r="851" spans="1:19">
      <c r="A851" s="41" t="s">
        <v>856</v>
      </c>
      <c r="B851" s="41" t="str">
        <f t="shared" si="68"/>
        <v>005030200</v>
      </c>
      <c r="D851" s="42">
        <f>VLOOKUP($A851,'Neraca Unaudited SIMAK'!$A$2:$R$1272,3,FALSE)+IF(ISNA(VLOOKUP($A851,'Mutasi Neraca'!$A$3:$S$910,3,FALSE)),0,VLOOKUP($A851,'Mutasi Neraca'!$A$3:$S$910,3,FALSE))</f>
        <v>701550</v>
      </c>
      <c r="E851" s="42">
        <f>VLOOKUP($A851,'Neraca Unaudited SIMAK'!$A$2:$R$1272,4,FALSE)+IF(ISNA(VLOOKUP($A851,'Mutasi Neraca'!$A$3:$S$910,4,FALSE)),0,VLOOKUP($A851,'Mutasi Neraca'!$A$3:$S$910,4,FALSE))</f>
        <v>0</v>
      </c>
      <c r="F851" s="42">
        <f>VLOOKUP($A851,'Neraca Unaudited SIMAK'!$A$2:$R$1272,5,FALSE)+IF(ISNA(VLOOKUP($A851,'Mutasi Neraca'!$A$3:$S$910,5,FALSE)),0,VLOOKUP($A851,'Mutasi Neraca'!$A$3:$S$910,5,FALSE))</f>
        <v>0</v>
      </c>
      <c r="G851" s="42">
        <f>VLOOKUP($A851,'Neraca Unaudited SIMAK'!$A$2:$R$1272,6,FALSE)+IF(ISNA(VLOOKUP($A851,'Mutasi Neraca'!$A$3:$S$910,6,FALSE)),0,VLOOKUP($A851,'Mutasi Neraca'!$A$3:$S$910,6,FALSE))</f>
        <v>0</v>
      </c>
      <c r="H851" s="42">
        <f>VLOOKUP($A851,'Neraca Unaudited SIMAK'!$A$2:$R$1272,7,FALSE)+IF(ISNA(VLOOKUP($A851,'Mutasi Neraca'!$A$3:$S$910,7,FALSE)),0,VLOOKUP($A851,'Mutasi Neraca'!$A$3:$S$910,7,FALSE))</f>
        <v>0</v>
      </c>
      <c r="I851" s="42">
        <f>VLOOKUP($A851,'Neraca Unaudited SIMAK'!$A$2:$R$1272,8,FALSE)+IF(ISNA(VLOOKUP($A851,'Mutasi Neraca'!$A$3:$S$910,8,FALSE)),0,VLOOKUP($A851,'Mutasi Neraca'!$A$3:$S$910,8,FALSE))</f>
        <v>0</v>
      </c>
      <c r="J851" s="42">
        <f>VLOOKUP($A851,'Neraca Unaudited SIMAK'!$A$2:$R$1272,9,FALSE)+IF(ISNA(VLOOKUP($A851,'Mutasi Neraca'!$A$3:$S$910,9,FALSE)),0,VLOOKUP($A851,'Mutasi Neraca'!$A$3:$S$910,9,FALSE))</f>
        <v>0</v>
      </c>
      <c r="K851" s="42">
        <f>VLOOKUP($A851,'Neraca Unaudited SIMAK'!$A$2:$R$1272,10,FALSE)+IF(ISNA(VLOOKUP($A851,'Mutasi Neraca'!$A$3:$S$910,10,FALSE)),0,VLOOKUP($A851,'Mutasi Neraca'!$A$3:$S$910,10,FALSE))</f>
        <v>0</v>
      </c>
      <c r="L851" s="42">
        <f>VLOOKUP($A851,'Neraca Unaudited SIMAK'!$A$2:$R$1272,11,FALSE)+IF(ISNA(VLOOKUP($A851,'Mutasi Neraca'!$A$3:$S$910,11,FALSE)),0,VLOOKUP($A851,'Mutasi Neraca'!$A$3:$S$910,11,FALSE))</f>
        <v>0</v>
      </c>
      <c r="M851" s="42">
        <f>VLOOKUP($A851,'Neraca Unaudited SIMAK'!$A$2:$R$1272,12,FALSE)+IF(ISNA(VLOOKUP($A851,'Mutasi Neraca'!$A$3:$S$910,12,FALSE)),0,VLOOKUP($A851,'Mutasi Neraca'!$A$3:$S$910,12,FALSE))</f>
        <v>701550</v>
      </c>
      <c r="N851" s="42">
        <f>VLOOKUP($A851,'Neraca Unaudited SIMAK'!$A$2:$R$1272,13,FALSE)+IF(ISNA(VLOOKUP($A851,'Mutasi Neraca'!$A$3:$S$910,13,FALSE)),0,VLOOKUP($A851,'Mutasi Neraca'!$A$3:$S$910,13,FALSE))</f>
        <v>0</v>
      </c>
      <c r="O851" s="42">
        <f>VLOOKUP($A851,'Neraca Unaudited SIMAK'!$A$2:$R$1272,14,FALSE)+IF(ISNA(VLOOKUP($A851,'Mutasi Neraca'!$A$3:$S$910,14,FALSE)),0,VLOOKUP($A851,'Mutasi Neraca'!$A$3:$S$910,14,FALSE))</f>
        <v>0</v>
      </c>
      <c r="P851" s="42">
        <f>VLOOKUP($A851,'Neraca Unaudited SIMAK'!$A$2:$R$1272,15,FALSE)+IF(ISNA(VLOOKUP($A851,'Mutasi Neraca'!$A$3:$S$910,15,FALSE)),0,VLOOKUP($A851,'Mutasi Neraca'!$A$3:$S$910,15,FALSE))</f>
        <v>0</v>
      </c>
      <c r="Q851" s="42">
        <f>VLOOKUP($A851,'Neraca Unaudited SIMAK'!$A$2:$R$1272,16,FALSE)+IF(ISNA(VLOOKUP($A851,'Mutasi Neraca'!$A$3:$S$910,16,FALSE)),0,VLOOKUP($A851,'Mutasi Neraca'!$A$3:$S$910,16,FALSE))</f>
        <v>0</v>
      </c>
      <c r="R851" s="42">
        <f>VLOOKUP($A851,'Neraca Unaudited SIMAK'!$A$2:$R$1272,17,FALSE)+IF(ISNA(VLOOKUP($A851,'Mutasi Neraca'!$A$3:$S$910,17,FALSE)),0,VLOOKUP($A851,'Mutasi Neraca'!$A$3:$S$910,17,FALSE))</f>
        <v>0</v>
      </c>
      <c r="S851" s="42">
        <f t="shared" si="69"/>
        <v>701550</v>
      </c>
    </row>
    <row r="852" spans="1:19">
      <c r="A852" s="41" t="s">
        <v>857</v>
      </c>
      <c r="B852" s="41" t="str">
        <f t="shared" si="68"/>
        <v>005030200</v>
      </c>
      <c r="D852" s="42">
        <f>VLOOKUP($A852,'Neraca Unaudited SIMAK'!$A$2:$R$1272,3,FALSE)+IF(ISNA(VLOOKUP($A852,'Mutasi Neraca'!$A$3:$S$910,3,FALSE)),0,VLOOKUP($A852,'Mutasi Neraca'!$A$3:$S$910,3,FALSE))</f>
        <v>15235320</v>
      </c>
      <c r="E852" s="42">
        <f>VLOOKUP($A852,'Neraca Unaudited SIMAK'!$A$2:$R$1272,4,FALSE)+IF(ISNA(VLOOKUP($A852,'Mutasi Neraca'!$A$3:$S$910,4,FALSE)),0,VLOOKUP($A852,'Mutasi Neraca'!$A$3:$S$910,4,FALSE))</f>
        <v>0</v>
      </c>
      <c r="F852" s="42">
        <f>VLOOKUP($A852,'Neraca Unaudited SIMAK'!$A$2:$R$1272,5,FALSE)+IF(ISNA(VLOOKUP($A852,'Mutasi Neraca'!$A$3:$S$910,5,FALSE)),0,VLOOKUP($A852,'Mutasi Neraca'!$A$3:$S$910,5,FALSE))</f>
        <v>0</v>
      </c>
      <c r="G852" s="42">
        <f>VLOOKUP($A852,'Neraca Unaudited SIMAK'!$A$2:$R$1272,6,FALSE)+IF(ISNA(VLOOKUP($A852,'Mutasi Neraca'!$A$3:$S$910,6,FALSE)),0,VLOOKUP($A852,'Mutasi Neraca'!$A$3:$S$910,6,FALSE))</f>
        <v>0</v>
      </c>
      <c r="H852" s="42">
        <f>VLOOKUP($A852,'Neraca Unaudited SIMAK'!$A$2:$R$1272,7,FALSE)+IF(ISNA(VLOOKUP($A852,'Mutasi Neraca'!$A$3:$S$910,7,FALSE)),0,VLOOKUP($A852,'Mutasi Neraca'!$A$3:$S$910,7,FALSE))</f>
        <v>0</v>
      </c>
      <c r="I852" s="42">
        <f>VLOOKUP($A852,'Neraca Unaudited SIMAK'!$A$2:$R$1272,8,FALSE)+IF(ISNA(VLOOKUP($A852,'Mutasi Neraca'!$A$3:$S$910,8,FALSE)),0,VLOOKUP($A852,'Mutasi Neraca'!$A$3:$S$910,8,FALSE))</f>
        <v>0</v>
      </c>
      <c r="J852" s="42">
        <f>VLOOKUP($A852,'Neraca Unaudited SIMAK'!$A$2:$R$1272,9,FALSE)+IF(ISNA(VLOOKUP($A852,'Mutasi Neraca'!$A$3:$S$910,9,FALSE)),0,VLOOKUP($A852,'Mutasi Neraca'!$A$3:$S$910,9,FALSE))</f>
        <v>0</v>
      </c>
      <c r="K852" s="42">
        <f>VLOOKUP($A852,'Neraca Unaudited SIMAK'!$A$2:$R$1272,10,FALSE)+IF(ISNA(VLOOKUP($A852,'Mutasi Neraca'!$A$3:$S$910,10,FALSE)),0,VLOOKUP($A852,'Mutasi Neraca'!$A$3:$S$910,10,FALSE))</f>
        <v>0</v>
      </c>
      <c r="L852" s="42">
        <f>VLOOKUP($A852,'Neraca Unaudited SIMAK'!$A$2:$R$1272,11,FALSE)+IF(ISNA(VLOOKUP($A852,'Mutasi Neraca'!$A$3:$S$910,11,FALSE)),0,VLOOKUP($A852,'Mutasi Neraca'!$A$3:$S$910,11,FALSE))</f>
        <v>0</v>
      </c>
      <c r="M852" s="42">
        <f>VLOOKUP($A852,'Neraca Unaudited SIMAK'!$A$2:$R$1272,12,FALSE)+IF(ISNA(VLOOKUP($A852,'Mutasi Neraca'!$A$3:$S$910,12,FALSE)),0,VLOOKUP($A852,'Mutasi Neraca'!$A$3:$S$910,12,FALSE))</f>
        <v>15235320</v>
      </c>
      <c r="N852" s="42">
        <f>VLOOKUP($A852,'Neraca Unaudited SIMAK'!$A$2:$R$1272,13,FALSE)+IF(ISNA(VLOOKUP($A852,'Mutasi Neraca'!$A$3:$S$910,13,FALSE)),0,VLOOKUP($A852,'Mutasi Neraca'!$A$3:$S$910,13,FALSE))</f>
        <v>0</v>
      </c>
      <c r="O852" s="42">
        <f>VLOOKUP($A852,'Neraca Unaudited SIMAK'!$A$2:$R$1272,14,FALSE)+IF(ISNA(VLOOKUP($A852,'Mutasi Neraca'!$A$3:$S$910,14,FALSE)),0,VLOOKUP($A852,'Mutasi Neraca'!$A$3:$S$910,14,FALSE))</f>
        <v>0</v>
      </c>
      <c r="P852" s="42">
        <f>VLOOKUP($A852,'Neraca Unaudited SIMAK'!$A$2:$R$1272,15,FALSE)+IF(ISNA(VLOOKUP($A852,'Mutasi Neraca'!$A$3:$S$910,15,FALSE)),0,VLOOKUP($A852,'Mutasi Neraca'!$A$3:$S$910,15,FALSE))</f>
        <v>0</v>
      </c>
      <c r="Q852" s="42">
        <f>VLOOKUP($A852,'Neraca Unaudited SIMAK'!$A$2:$R$1272,16,FALSE)+IF(ISNA(VLOOKUP($A852,'Mutasi Neraca'!$A$3:$S$910,16,FALSE)),0,VLOOKUP($A852,'Mutasi Neraca'!$A$3:$S$910,16,FALSE))</f>
        <v>0</v>
      </c>
      <c r="R852" s="42">
        <f>VLOOKUP($A852,'Neraca Unaudited SIMAK'!$A$2:$R$1272,17,FALSE)+IF(ISNA(VLOOKUP($A852,'Mutasi Neraca'!$A$3:$S$910,17,FALSE)),0,VLOOKUP($A852,'Mutasi Neraca'!$A$3:$S$910,17,FALSE))</f>
        <v>0</v>
      </c>
      <c r="S852" s="42">
        <f t="shared" si="69"/>
        <v>15235320</v>
      </c>
    </row>
    <row r="853" spans="1:19">
      <c r="A853" s="41" t="s">
        <v>858</v>
      </c>
      <c r="B853" s="41" t="str">
        <f t="shared" si="68"/>
        <v>005030200</v>
      </c>
      <c r="D853" s="42">
        <f>VLOOKUP($A853,'Neraca Unaudited SIMAK'!$A$2:$R$1272,3,FALSE)+IF(ISNA(VLOOKUP($A853,'Mutasi Neraca'!$A$3:$S$910,3,FALSE)),0,VLOOKUP($A853,'Mutasi Neraca'!$A$3:$S$910,3,FALSE))</f>
        <v>3370000</v>
      </c>
      <c r="E853" s="42">
        <f>VLOOKUP($A853,'Neraca Unaudited SIMAK'!$A$2:$R$1272,4,FALSE)+IF(ISNA(VLOOKUP($A853,'Mutasi Neraca'!$A$3:$S$910,4,FALSE)),0,VLOOKUP($A853,'Mutasi Neraca'!$A$3:$S$910,4,FALSE))</f>
        <v>0</v>
      </c>
      <c r="F853" s="42">
        <f>VLOOKUP($A853,'Neraca Unaudited SIMAK'!$A$2:$R$1272,5,FALSE)+IF(ISNA(VLOOKUP($A853,'Mutasi Neraca'!$A$3:$S$910,5,FALSE)),0,VLOOKUP($A853,'Mutasi Neraca'!$A$3:$S$910,5,FALSE))</f>
        <v>0</v>
      </c>
      <c r="G853" s="42">
        <f>VLOOKUP($A853,'Neraca Unaudited SIMAK'!$A$2:$R$1272,6,FALSE)+IF(ISNA(VLOOKUP($A853,'Mutasi Neraca'!$A$3:$S$910,6,FALSE)),0,VLOOKUP($A853,'Mutasi Neraca'!$A$3:$S$910,6,FALSE))</f>
        <v>0</v>
      </c>
      <c r="H853" s="42">
        <f>VLOOKUP($A853,'Neraca Unaudited SIMAK'!$A$2:$R$1272,7,FALSE)+IF(ISNA(VLOOKUP($A853,'Mutasi Neraca'!$A$3:$S$910,7,FALSE)),0,VLOOKUP($A853,'Mutasi Neraca'!$A$3:$S$910,7,FALSE))</f>
        <v>0</v>
      </c>
      <c r="I853" s="42">
        <f>VLOOKUP($A853,'Neraca Unaudited SIMAK'!$A$2:$R$1272,8,FALSE)+IF(ISNA(VLOOKUP($A853,'Mutasi Neraca'!$A$3:$S$910,8,FALSE)),0,VLOOKUP($A853,'Mutasi Neraca'!$A$3:$S$910,8,FALSE))</f>
        <v>0</v>
      </c>
      <c r="J853" s="42">
        <f>VLOOKUP($A853,'Neraca Unaudited SIMAK'!$A$2:$R$1272,9,FALSE)+IF(ISNA(VLOOKUP($A853,'Mutasi Neraca'!$A$3:$S$910,9,FALSE)),0,VLOOKUP($A853,'Mutasi Neraca'!$A$3:$S$910,9,FALSE))</f>
        <v>0</v>
      </c>
      <c r="K853" s="42">
        <f>VLOOKUP($A853,'Neraca Unaudited SIMAK'!$A$2:$R$1272,10,FALSE)+IF(ISNA(VLOOKUP($A853,'Mutasi Neraca'!$A$3:$S$910,10,FALSE)),0,VLOOKUP($A853,'Mutasi Neraca'!$A$3:$S$910,10,FALSE))</f>
        <v>0</v>
      </c>
      <c r="L853" s="42">
        <f>VLOOKUP($A853,'Neraca Unaudited SIMAK'!$A$2:$R$1272,11,FALSE)+IF(ISNA(VLOOKUP($A853,'Mutasi Neraca'!$A$3:$S$910,11,FALSE)),0,VLOOKUP($A853,'Mutasi Neraca'!$A$3:$S$910,11,FALSE))</f>
        <v>0</v>
      </c>
      <c r="M853" s="42">
        <f>VLOOKUP($A853,'Neraca Unaudited SIMAK'!$A$2:$R$1272,12,FALSE)+IF(ISNA(VLOOKUP($A853,'Mutasi Neraca'!$A$3:$S$910,12,FALSE)),0,VLOOKUP($A853,'Mutasi Neraca'!$A$3:$S$910,12,FALSE))</f>
        <v>3370000</v>
      </c>
      <c r="N853" s="42">
        <f>VLOOKUP($A853,'Neraca Unaudited SIMAK'!$A$2:$R$1272,13,FALSE)+IF(ISNA(VLOOKUP($A853,'Mutasi Neraca'!$A$3:$S$910,13,FALSE)),0,VLOOKUP($A853,'Mutasi Neraca'!$A$3:$S$910,13,FALSE))</f>
        <v>0</v>
      </c>
      <c r="O853" s="42">
        <f>VLOOKUP($A853,'Neraca Unaudited SIMAK'!$A$2:$R$1272,14,FALSE)+IF(ISNA(VLOOKUP($A853,'Mutasi Neraca'!$A$3:$S$910,14,FALSE)),0,VLOOKUP($A853,'Mutasi Neraca'!$A$3:$S$910,14,FALSE))</f>
        <v>0</v>
      </c>
      <c r="P853" s="42">
        <f>VLOOKUP($A853,'Neraca Unaudited SIMAK'!$A$2:$R$1272,15,FALSE)+IF(ISNA(VLOOKUP($A853,'Mutasi Neraca'!$A$3:$S$910,15,FALSE)),0,VLOOKUP($A853,'Mutasi Neraca'!$A$3:$S$910,15,FALSE))</f>
        <v>0</v>
      </c>
      <c r="Q853" s="42">
        <f>VLOOKUP($A853,'Neraca Unaudited SIMAK'!$A$2:$R$1272,16,FALSE)+IF(ISNA(VLOOKUP($A853,'Mutasi Neraca'!$A$3:$S$910,16,FALSE)),0,VLOOKUP($A853,'Mutasi Neraca'!$A$3:$S$910,16,FALSE))</f>
        <v>0</v>
      </c>
      <c r="R853" s="42">
        <f>VLOOKUP($A853,'Neraca Unaudited SIMAK'!$A$2:$R$1272,17,FALSE)+IF(ISNA(VLOOKUP($A853,'Mutasi Neraca'!$A$3:$S$910,17,FALSE)),0,VLOOKUP($A853,'Mutasi Neraca'!$A$3:$S$910,17,FALSE))</f>
        <v>0</v>
      </c>
      <c r="S853" s="42">
        <f t="shared" si="69"/>
        <v>3370000</v>
      </c>
    </row>
    <row r="854" spans="1:19">
      <c r="A854" s="41" t="s">
        <v>859</v>
      </c>
      <c r="B854" s="41" t="str">
        <f t="shared" si="68"/>
        <v>005030200</v>
      </c>
      <c r="D854" s="42">
        <f>VLOOKUP($A854,'Neraca Unaudited SIMAK'!$A$2:$R$1272,3,FALSE)+IF(ISNA(VLOOKUP($A854,'Mutasi Neraca'!$A$3:$S$910,3,FALSE)),0,VLOOKUP($A854,'Mutasi Neraca'!$A$3:$S$910,3,FALSE))</f>
        <v>5969500</v>
      </c>
      <c r="E854" s="42">
        <f>VLOOKUP($A854,'Neraca Unaudited SIMAK'!$A$2:$R$1272,4,FALSE)+IF(ISNA(VLOOKUP($A854,'Mutasi Neraca'!$A$3:$S$910,4,FALSE)),0,VLOOKUP($A854,'Mutasi Neraca'!$A$3:$S$910,4,FALSE))</f>
        <v>0</v>
      </c>
      <c r="F854" s="42">
        <f>VLOOKUP($A854,'Neraca Unaudited SIMAK'!$A$2:$R$1272,5,FALSE)+IF(ISNA(VLOOKUP($A854,'Mutasi Neraca'!$A$3:$S$910,5,FALSE)),0,VLOOKUP($A854,'Mutasi Neraca'!$A$3:$S$910,5,FALSE))</f>
        <v>0</v>
      </c>
      <c r="G854" s="42">
        <f>VLOOKUP($A854,'Neraca Unaudited SIMAK'!$A$2:$R$1272,6,FALSE)+IF(ISNA(VLOOKUP($A854,'Mutasi Neraca'!$A$3:$S$910,6,FALSE)),0,VLOOKUP($A854,'Mutasi Neraca'!$A$3:$S$910,6,FALSE))</f>
        <v>0</v>
      </c>
      <c r="H854" s="42">
        <f>VLOOKUP($A854,'Neraca Unaudited SIMAK'!$A$2:$R$1272,7,FALSE)+IF(ISNA(VLOOKUP($A854,'Mutasi Neraca'!$A$3:$S$910,7,FALSE)),0,VLOOKUP($A854,'Mutasi Neraca'!$A$3:$S$910,7,FALSE))</f>
        <v>0</v>
      </c>
      <c r="I854" s="42">
        <f>VLOOKUP($A854,'Neraca Unaudited SIMAK'!$A$2:$R$1272,8,FALSE)+IF(ISNA(VLOOKUP($A854,'Mutasi Neraca'!$A$3:$S$910,8,FALSE)),0,VLOOKUP($A854,'Mutasi Neraca'!$A$3:$S$910,8,FALSE))</f>
        <v>0</v>
      </c>
      <c r="J854" s="42">
        <f>VLOOKUP($A854,'Neraca Unaudited SIMAK'!$A$2:$R$1272,9,FALSE)+IF(ISNA(VLOOKUP($A854,'Mutasi Neraca'!$A$3:$S$910,9,FALSE)),0,VLOOKUP($A854,'Mutasi Neraca'!$A$3:$S$910,9,FALSE))</f>
        <v>0</v>
      </c>
      <c r="K854" s="42">
        <f>VLOOKUP($A854,'Neraca Unaudited SIMAK'!$A$2:$R$1272,10,FALSE)+IF(ISNA(VLOOKUP($A854,'Mutasi Neraca'!$A$3:$S$910,10,FALSE)),0,VLOOKUP($A854,'Mutasi Neraca'!$A$3:$S$910,10,FALSE))</f>
        <v>0</v>
      </c>
      <c r="L854" s="42">
        <f>VLOOKUP($A854,'Neraca Unaudited SIMAK'!$A$2:$R$1272,11,FALSE)+IF(ISNA(VLOOKUP($A854,'Mutasi Neraca'!$A$3:$S$910,11,FALSE)),0,VLOOKUP($A854,'Mutasi Neraca'!$A$3:$S$910,11,FALSE))</f>
        <v>0</v>
      </c>
      <c r="M854" s="42">
        <f>VLOOKUP($A854,'Neraca Unaudited SIMAK'!$A$2:$R$1272,12,FALSE)+IF(ISNA(VLOOKUP($A854,'Mutasi Neraca'!$A$3:$S$910,12,FALSE)),0,VLOOKUP($A854,'Mutasi Neraca'!$A$3:$S$910,12,FALSE))</f>
        <v>5969500</v>
      </c>
      <c r="N854" s="42">
        <f>VLOOKUP($A854,'Neraca Unaudited SIMAK'!$A$2:$R$1272,13,FALSE)+IF(ISNA(VLOOKUP($A854,'Mutasi Neraca'!$A$3:$S$910,13,FALSE)),0,VLOOKUP($A854,'Mutasi Neraca'!$A$3:$S$910,13,FALSE))</f>
        <v>0</v>
      </c>
      <c r="O854" s="42">
        <f>VLOOKUP($A854,'Neraca Unaudited SIMAK'!$A$2:$R$1272,14,FALSE)+IF(ISNA(VLOOKUP($A854,'Mutasi Neraca'!$A$3:$S$910,14,FALSE)),0,VLOOKUP($A854,'Mutasi Neraca'!$A$3:$S$910,14,FALSE))</f>
        <v>0</v>
      </c>
      <c r="P854" s="42">
        <f>VLOOKUP($A854,'Neraca Unaudited SIMAK'!$A$2:$R$1272,15,FALSE)+IF(ISNA(VLOOKUP($A854,'Mutasi Neraca'!$A$3:$S$910,15,FALSE)),0,VLOOKUP($A854,'Mutasi Neraca'!$A$3:$S$910,15,FALSE))</f>
        <v>0</v>
      </c>
      <c r="Q854" s="42">
        <f>VLOOKUP($A854,'Neraca Unaudited SIMAK'!$A$2:$R$1272,16,FALSE)+IF(ISNA(VLOOKUP($A854,'Mutasi Neraca'!$A$3:$S$910,16,FALSE)),0,VLOOKUP($A854,'Mutasi Neraca'!$A$3:$S$910,16,FALSE))</f>
        <v>0</v>
      </c>
      <c r="R854" s="42">
        <f>VLOOKUP($A854,'Neraca Unaudited SIMAK'!$A$2:$R$1272,17,FALSE)+IF(ISNA(VLOOKUP($A854,'Mutasi Neraca'!$A$3:$S$910,17,FALSE)),0,VLOOKUP($A854,'Mutasi Neraca'!$A$3:$S$910,17,FALSE))</f>
        <v>0</v>
      </c>
      <c r="S854" s="42">
        <f t="shared" si="69"/>
        <v>5969500</v>
      </c>
    </row>
    <row r="855" spans="1:19">
      <c r="A855" s="41" t="s">
        <v>860</v>
      </c>
      <c r="B855" s="41" t="str">
        <f t="shared" si="68"/>
        <v>005030200</v>
      </c>
      <c r="D855" s="42">
        <f>VLOOKUP($A855,'Neraca Unaudited SIMAK'!$A$2:$R$1272,3,FALSE)+IF(ISNA(VLOOKUP($A855,'Mutasi Neraca'!$A$3:$S$910,3,FALSE)),0,VLOOKUP($A855,'Mutasi Neraca'!$A$3:$S$910,3,FALSE))</f>
        <v>31347300</v>
      </c>
      <c r="E855" s="42">
        <f>VLOOKUP($A855,'Neraca Unaudited SIMAK'!$A$2:$R$1272,4,FALSE)+IF(ISNA(VLOOKUP($A855,'Mutasi Neraca'!$A$3:$S$910,4,FALSE)),0,VLOOKUP($A855,'Mutasi Neraca'!$A$3:$S$910,4,FALSE))</f>
        <v>0</v>
      </c>
      <c r="F855" s="42">
        <f>VLOOKUP($A855,'Neraca Unaudited SIMAK'!$A$2:$R$1272,5,FALSE)+IF(ISNA(VLOOKUP($A855,'Mutasi Neraca'!$A$3:$S$910,5,FALSE)),0,VLOOKUP($A855,'Mutasi Neraca'!$A$3:$S$910,5,FALSE))</f>
        <v>0</v>
      </c>
      <c r="G855" s="42">
        <f>VLOOKUP($A855,'Neraca Unaudited SIMAK'!$A$2:$R$1272,6,FALSE)+IF(ISNA(VLOOKUP($A855,'Mutasi Neraca'!$A$3:$S$910,6,FALSE)),0,VLOOKUP($A855,'Mutasi Neraca'!$A$3:$S$910,6,FALSE))</f>
        <v>0</v>
      </c>
      <c r="H855" s="42">
        <f>VLOOKUP($A855,'Neraca Unaudited SIMAK'!$A$2:$R$1272,7,FALSE)+IF(ISNA(VLOOKUP($A855,'Mutasi Neraca'!$A$3:$S$910,7,FALSE)),0,VLOOKUP($A855,'Mutasi Neraca'!$A$3:$S$910,7,FALSE))</f>
        <v>0</v>
      </c>
      <c r="I855" s="42">
        <f>VLOOKUP($A855,'Neraca Unaudited SIMAK'!$A$2:$R$1272,8,FALSE)+IF(ISNA(VLOOKUP($A855,'Mutasi Neraca'!$A$3:$S$910,8,FALSE)),0,VLOOKUP($A855,'Mutasi Neraca'!$A$3:$S$910,8,FALSE))</f>
        <v>0</v>
      </c>
      <c r="J855" s="42">
        <f>VLOOKUP($A855,'Neraca Unaudited SIMAK'!$A$2:$R$1272,9,FALSE)+IF(ISNA(VLOOKUP($A855,'Mutasi Neraca'!$A$3:$S$910,9,FALSE)),0,VLOOKUP($A855,'Mutasi Neraca'!$A$3:$S$910,9,FALSE))</f>
        <v>0</v>
      </c>
      <c r="K855" s="42">
        <f>VLOOKUP($A855,'Neraca Unaudited SIMAK'!$A$2:$R$1272,10,FALSE)+IF(ISNA(VLOOKUP($A855,'Mutasi Neraca'!$A$3:$S$910,10,FALSE)),0,VLOOKUP($A855,'Mutasi Neraca'!$A$3:$S$910,10,FALSE))</f>
        <v>0</v>
      </c>
      <c r="L855" s="42">
        <f>VLOOKUP($A855,'Neraca Unaudited SIMAK'!$A$2:$R$1272,11,FALSE)+IF(ISNA(VLOOKUP($A855,'Mutasi Neraca'!$A$3:$S$910,11,FALSE)),0,VLOOKUP($A855,'Mutasi Neraca'!$A$3:$S$910,11,FALSE))</f>
        <v>0</v>
      </c>
      <c r="M855" s="42">
        <f>VLOOKUP($A855,'Neraca Unaudited SIMAK'!$A$2:$R$1272,12,FALSE)+IF(ISNA(VLOOKUP($A855,'Mutasi Neraca'!$A$3:$S$910,12,FALSE)),0,VLOOKUP($A855,'Mutasi Neraca'!$A$3:$S$910,12,FALSE))</f>
        <v>31347300</v>
      </c>
      <c r="N855" s="42">
        <f>VLOOKUP($A855,'Neraca Unaudited SIMAK'!$A$2:$R$1272,13,FALSE)+IF(ISNA(VLOOKUP($A855,'Mutasi Neraca'!$A$3:$S$910,13,FALSE)),0,VLOOKUP($A855,'Mutasi Neraca'!$A$3:$S$910,13,FALSE))</f>
        <v>0</v>
      </c>
      <c r="O855" s="42">
        <f>VLOOKUP($A855,'Neraca Unaudited SIMAK'!$A$2:$R$1272,14,FALSE)+IF(ISNA(VLOOKUP($A855,'Mutasi Neraca'!$A$3:$S$910,14,FALSE)),0,VLOOKUP($A855,'Mutasi Neraca'!$A$3:$S$910,14,FALSE))</f>
        <v>0</v>
      </c>
      <c r="P855" s="42">
        <f>VLOOKUP($A855,'Neraca Unaudited SIMAK'!$A$2:$R$1272,15,FALSE)+IF(ISNA(VLOOKUP($A855,'Mutasi Neraca'!$A$3:$S$910,15,FALSE)),0,VLOOKUP($A855,'Mutasi Neraca'!$A$3:$S$910,15,FALSE))</f>
        <v>0</v>
      </c>
      <c r="Q855" s="42">
        <f>VLOOKUP($A855,'Neraca Unaudited SIMAK'!$A$2:$R$1272,16,FALSE)+IF(ISNA(VLOOKUP($A855,'Mutasi Neraca'!$A$3:$S$910,16,FALSE)),0,VLOOKUP($A855,'Mutasi Neraca'!$A$3:$S$910,16,FALSE))</f>
        <v>0</v>
      </c>
      <c r="R855" s="42">
        <f>VLOOKUP($A855,'Neraca Unaudited SIMAK'!$A$2:$R$1272,17,FALSE)+IF(ISNA(VLOOKUP($A855,'Mutasi Neraca'!$A$3:$S$910,17,FALSE)),0,VLOOKUP($A855,'Mutasi Neraca'!$A$3:$S$910,17,FALSE))</f>
        <v>0</v>
      </c>
      <c r="S855" s="42">
        <f t="shared" si="69"/>
        <v>31347300</v>
      </c>
    </row>
    <row r="856" spans="1:19">
      <c r="A856" s="41" t="s">
        <v>2022</v>
      </c>
      <c r="B856" s="41" t="str">
        <f t="shared" si="68"/>
        <v>005030300</v>
      </c>
      <c r="D856" s="42">
        <f>VLOOKUP($A856,'Neraca Unaudited SIMAK'!$A$2:$R$1272,3,FALSE)+IF(ISNA(VLOOKUP($A856,'Mutasi Neraca'!$A$3:$S$910,3,FALSE)),0,VLOOKUP($A856,'Mutasi Neraca'!$A$3:$S$910,3,FALSE))</f>
        <v>20177885</v>
      </c>
      <c r="E856" s="42">
        <f>VLOOKUP($A856,'Neraca Unaudited SIMAK'!$A$2:$R$1272,4,FALSE)+IF(ISNA(VLOOKUP($A856,'Mutasi Neraca'!$A$3:$S$910,4,FALSE)),0,VLOOKUP($A856,'Mutasi Neraca'!$A$3:$S$910,4,FALSE))</f>
        <v>0</v>
      </c>
      <c r="F856" s="42">
        <f>VLOOKUP($A856,'Neraca Unaudited SIMAK'!$A$2:$R$1272,5,FALSE)+IF(ISNA(VLOOKUP($A856,'Mutasi Neraca'!$A$3:$S$910,5,FALSE)),0,VLOOKUP($A856,'Mutasi Neraca'!$A$3:$S$910,5,FALSE))</f>
        <v>0</v>
      </c>
      <c r="G856" s="42">
        <f>VLOOKUP($A856,'Neraca Unaudited SIMAK'!$A$2:$R$1272,6,FALSE)+IF(ISNA(VLOOKUP($A856,'Mutasi Neraca'!$A$3:$S$910,6,FALSE)),0,VLOOKUP($A856,'Mutasi Neraca'!$A$3:$S$910,6,FALSE))</f>
        <v>0</v>
      </c>
      <c r="H856" s="42">
        <f>VLOOKUP($A856,'Neraca Unaudited SIMAK'!$A$2:$R$1272,7,FALSE)+IF(ISNA(VLOOKUP($A856,'Mutasi Neraca'!$A$3:$S$910,7,FALSE)),0,VLOOKUP($A856,'Mutasi Neraca'!$A$3:$S$910,7,FALSE))</f>
        <v>0</v>
      </c>
      <c r="I856" s="42">
        <f>VLOOKUP($A856,'Neraca Unaudited SIMAK'!$A$2:$R$1272,8,FALSE)+IF(ISNA(VLOOKUP($A856,'Mutasi Neraca'!$A$3:$S$910,8,FALSE)),0,VLOOKUP($A856,'Mutasi Neraca'!$A$3:$S$910,8,FALSE))</f>
        <v>0</v>
      </c>
      <c r="J856" s="42">
        <f>VLOOKUP($A856,'Neraca Unaudited SIMAK'!$A$2:$R$1272,9,FALSE)+IF(ISNA(VLOOKUP($A856,'Mutasi Neraca'!$A$3:$S$910,9,FALSE)),0,VLOOKUP($A856,'Mutasi Neraca'!$A$3:$S$910,9,FALSE))</f>
        <v>0</v>
      </c>
      <c r="K856" s="42">
        <f>VLOOKUP($A856,'Neraca Unaudited SIMAK'!$A$2:$R$1272,10,FALSE)+IF(ISNA(VLOOKUP($A856,'Mutasi Neraca'!$A$3:$S$910,10,FALSE)),0,VLOOKUP($A856,'Mutasi Neraca'!$A$3:$S$910,10,FALSE))</f>
        <v>0</v>
      </c>
      <c r="L856" s="42">
        <f>VLOOKUP($A856,'Neraca Unaudited SIMAK'!$A$2:$R$1272,11,FALSE)+IF(ISNA(VLOOKUP($A856,'Mutasi Neraca'!$A$3:$S$910,11,FALSE)),0,VLOOKUP($A856,'Mutasi Neraca'!$A$3:$S$910,11,FALSE))</f>
        <v>0</v>
      </c>
      <c r="M856" s="42">
        <f>VLOOKUP($A856,'Neraca Unaudited SIMAK'!$A$2:$R$1272,12,FALSE)+IF(ISNA(VLOOKUP($A856,'Mutasi Neraca'!$A$3:$S$910,12,FALSE)),0,VLOOKUP($A856,'Mutasi Neraca'!$A$3:$S$910,12,FALSE))</f>
        <v>20177885</v>
      </c>
      <c r="N856" s="42">
        <f>VLOOKUP($A856,'Neraca Unaudited SIMAK'!$A$2:$R$1272,13,FALSE)+IF(ISNA(VLOOKUP($A856,'Mutasi Neraca'!$A$3:$S$910,13,FALSE)),0,VLOOKUP($A856,'Mutasi Neraca'!$A$3:$S$910,13,FALSE))</f>
        <v>0</v>
      </c>
      <c r="O856" s="42">
        <f>VLOOKUP($A856,'Neraca Unaudited SIMAK'!$A$2:$R$1272,14,FALSE)+IF(ISNA(VLOOKUP($A856,'Mutasi Neraca'!$A$3:$S$910,14,FALSE)),0,VLOOKUP($A856,'Mutasi Neraca'!$A$3:$S$910,14,FALSE))</f>
        <v>0</v>
      </c>
      <c r="P856" s="42">
        <f>VLOOKUP($A856,'Neraca Unaudited SIMAK'!$A$2:$R$1272,15,FALSE)+IF(ISNA(VLOOKUP($A856,'Mutasi Neraca'!$A$3:$S$910,15,FALSE)),0,VLOOKUP($A856,'Mutasi Neraca'!$A$3:$S$910,15,FALSE))</f>
        <v>0</v>
      </c>
      <c r="Q856" s="42">
        <f>VLOOKUP($A856,'Neraca Unaudited SIMAK'!$A$2:$R$1272,16,FALSE)+IF(ISNA(VLOOKUP($A856,'Mutasi Neraca'!$A$3:$S$910,16,FALSE)),0,VLOOKUP($A856,'Mutasi Neraca'!$A$3:$S$910,16,FALSE))</f>
        <v>0</v>
      </c>
      <c r="R856" s="42">
        <f>VLOOKUP($A856,'Neraca Unaudited SIMAK'!$A$2:$R$1272,17,FALSE)+IF(ISNA(VLOOKUP($A856,'Mutasi Neraca'!$A$3:$S$910,17,FALSE)),0,VLOOKUP($A856,'Mutasi Neraca'!$A$3:$S$910,17,FALSE))</f>
        <v>0</v>
      </c>
      <c r="S856" s="42">
        <f t="shared" si="69"/>
        <v>20177885</v>
      </c>
    </row>
    <row r="857" spans="1:19">
      <c r="A857" s="41" t="s">
        <v>861</v>
      </c>
      <c r="B857" s="41" t="str">
        <f t="shared" si="68"/>
        <v>005030300</v>
      </c>
      <c r="D857" s="42">
        <f>VLOOKUP($A857,'Neraca Unaudited SIMAK'!$A$2:$R$1272,3,FALSE)+IF(ISNA(VLOOKUP($A857,'Mutasi Neraca'!$A$3:$S$910,3,FALSE)),0,VLOOKUP($A857,'Mutasi Neraca'!$A$3:$S$910,3,FALSE))</f>
        <v>1298750</v>
      </c>
      <c r="E857" s="42">
        <f>VLOOKUP($A857,'Neraca Unaudited SIMAK'!$A$2:$R$1272,4,FALSE)+IF(ISNA(VLOOKUP($A857,'Mutasi Neraca'!$A$3:$S$910,4,FALSE)),0,VLOOKUP($A857,'Mutasi Neraca'!$A$3:$S$910,4,FALSE))</f>
        <v>0</v>
      </c>
      <c r="F857" s="42">
        <f>VLOOKUP($A857,'Neraca Unaudited SIMAK'!$A$2:$R$1272,5,FALSE)+IF(ISNA(VLOOKUP($A857,'Mutasi Neraca'!$A$3:$S$910,5,FALSE)),0,VLOOKUP($A857,'Mutasi Neraca'!$A$3:$S$910,5,FALSE))</f>
        <v>0</v>
      </c>
      <c r="G857" s="42">
        <f>VLOOKUP($A857,'Neraca Unaudited SIMAK'!$A$2:$R$1272,6,FALSE)+IF(ISNA(VLOOKUP($A857,'Mutasi Neraca'!$A$3:$S$910,6,FALSE)),0,VLOOKUP($A857,'Mutasi Neraca'!$A$3:$S$910,6,FALSE))</f>
        <v>0</v>
      </c>
      <c r="H857" s="42">
        <f>VLOOKUP($A857,'Neraca Unaudited SIMAK'!$A$2:$R$1272,7,FALSE)+IF(ISNA(VLOOKUP($A857,'Mutasi Neraca'!$A$3:$S$910,7,FALSE)),0,VLOOKUP($A857,'Mutasi Neraca'!$A$3:$S$910,7,FALSE))</f>
        <v>0</v>
      </c>
      <c r="I857" s="42">
        <f>VLOOKUP($A857,'Neraca Unaudited SIMAK'!$A$2:$R$1272,8,FALSE)+IF(ISNA(VLOOKUP($A857,'Mutasi Neraca'!$A$3:$S$910,8,FALSE)),0,VLOOKUP($A857,'Mutasi Neraca'!$A$3:$S$910,8,FALSE))</f>
        <v>0</v>
      </c>
      <c r="J857" s="42">
        <f>VLOOKUP($A857,'Neraca Unaudited SIMAK'!$A$2:$R$1272,9,FALSE)+IF(ISNA(VLOOKUP($A857,'Mutasi Neraca'!$A$3:$S$910,9,FALSE)),0,VLOOKUP($A857,'Mutasi Neraca'!$A$3:$S$910,9,FALSE))</f>
        <v>0</v>
      </c>
      <c r="K857" s="42">
        <f>VLOOKUP($A857,'Neraca Unaudited SIMAK'!$A$2:$R$1272,10,FALSE)+IF(ISNA(VLOOKUP($A857,'Mutasi Neraca'!$A$3:$S$910,10,FALSE)),0,VLOOKUP($A857,'Mutasi Neraca'!$A$3:$S$910,10,FALSE))</f>
        <v>0</v>
      </c>
      <c r="L857" s="42">
        <f>VLOOKUP($A857,'Neraca Unaudited SIMAK'!$A$2:$R$1272,11,FALSE)+IF(ISNA(VLOOKUP($A857,'Mutasi Neraca'!$A$3:$S$910,11,FALSE)),0,VLOOKUP($A857,'Mutasi Neraca'!$A$3:$S$910,11,FALSE))</f>
        <v>0</v>
      </c>
      <c r="M857" s="42">
        <f>VLOOKUP($A857,'Neraca Unaudited SIMAK'!$A$2:$R$1272,12,FALSE)+IF(ISNA(VLOOKUP($A857,'Mutasi Neraca'!$A$3:$S$910,12,FALSE)),0,VLOOKUP($A857,'Mutasi Neraca'!$A$3:$S$910,12,FALSE))</f>
        <v>1298750</v>
      </c>
      <c r="N857" s="42">
        <f>VLOOKUP($A857,'Neraca Unaudited SIMAK'!$A$2:$R$1272,13,FALSE)+IF(ISNA(VLOOKUP($A857,'Mutasi Neraca'!$A$3:$S$910,13,FALSE)),0,VLOOKUP($A857,'Mutasi Neraca'!$A$3:$S$910,13,FALSE))</f>
        <v>0</v>
      </c>
      <c r="O857" s="42">
        <f>VLOOKUP($A857,'Neraca Unaudited SIMAK'!$A$2:$R$1272,14,FALSE)+IF(ISNA(VLOOKUP($A857,'Mutasi Neraca'!$A$3:$S$910,14,FALSE)),0,VLOOKUP($A857,'Mutasi Neraca'!$A$3:$S$910,14,FALSE))</f>
        <v>0</v>
      </c>
      <c r="P857" s="42">
        <f>VLOOKUP($A857,'Neraca Unaudited SIMAK'!$A$2:$R$1272,15,FALSE)+IF(ISNA(VLOOKUP($A857,'Mutasi Neraca'!$A$3:$S$910,15,FALSE)),0,VLOOKUP($A857,'Mutasi Neraca'!$A$3:$S$910,15,FALSE))</f>
        <v>0</v>
      </c>
      <c r="Q857" s="42">
        <f>VLOOKUP($A857,'Neraca Unaudited SIMAK'!$A$2:$R$1272,16,FALSE)+IF(ISNA(VLOOKUP($A857,'Mutasi Neraca'!$A$3:$S$910,16,FALSE)),0,VLOOKUP($A857,'Mutasi Neraca'!$A$3:$S$910,16,FALSE))</f>
        <v>0</v>
      </c>
      <c r="R857" s="42">
        <f>VLOOKUP($A857,'Neraca Unaudited SIMAK'!$A$2:$R$1272,17,FALSE)+IF(ISNA(VLOOKUP($A857,'Mutasi Neraca'!$A$3:$S$910,17,FALSE)),0,VLOOKUP($A857,'Mutasi Neraca'!$A$3:$S$910,17,FALSE))</f>
        <v>0</v>
      </c>
      <c r="S857" s="42">
        <f t="shared" si="69"/>
        <v>1298750</v>
      </c>
    </row>
    <row r="858" spans="1:19">
      <c r="A858" s="41" t="s">
        <v>862</v>
      </c>
      <c r="B858" s="41" t="str">
        <f t="shared" si="68"/>
        <v>005030300</v>
      </c>
      <c r="D858" s="42">
        <f>VLOOKUP($A858,'Neraca Unaudited SIMAK'!$A$2:$R$1272,3,FALSE)+IF(ISNA(VLOOKUP($A858,'Mutasi Neraca'!$A$3:$S$910,3,FALSE)),0,VLOOKUP($A858,'Mutasi Neraca'!$A$3:$S$910,3,FALSE))</f>
        <v>1871250</v>
      </c>
      <c r="E858" s="42">
        <f>VLOOKUP($A858,'Neraca Unaudited SIMAK'!$A$2:$R$1272,4,FALSE)+IF(ISNA(VLOOKUP($A858,'Mutasi Neraca'!$A$3:$S$910,4,FALSE)),0,VLOOKUP($A858,'Mutasi Neraca'!$A$3:$S$910,4,FALSE))</f>
        <v>0</v>
      </c>
      <c r="F858" s="42">
        <f>VLOOKUP($A858,'Neraca Unaudited SIMAK'!$A$2:$R$1272,5,FALSE)+IF(ISNA(VLOOKUP($A858,'Mutasi Neraca'!$A$3:$S$910,5,FALSE)),0,VLOOKUP($A858,'Mutasi Neraca'!$A$3:$S$910,5,FALSE))</f>
        <v>0</v>
      </c>
      <c r="G858" s="42">
        <f>VLOOKUP($A858,'Neraca Unaudited SIMAK'!$A$2:$R$1272,6,FALSE)+IF(ISNA(VLOOKUP($A858,'Mutasi Neraca'!$A$3:$S$910,6,FALSE)),0,VLOOKUP($A858,'Mutasi Neraca'!$A$3:$S$910,6,FALSE))</f>
        <v>0</v>
      </c>
      <c r="H858" s="42">
        <f>VLOOKUP($A858,'Neraca Unaudited SIMAK'!$A$2:$R$1272,7,FALSE)+IF(ISNA(VLOOKUP($A858,'Mutasi Neraca'!$A$3:$S$910,7,FALSE)),0,VLOOKUP($A858,'Mutasi Neraca'!$A$3:$S$910,7,FALSE))</f>
        <v>0</v>
      </c>
      <c r="I858" s="42">
        <f>VLOOKUP($A858,'Neraca Unaudited SIMAK'!$A$2:$R$1272,8,FALSE)+IF(ISNA(VLOOKUP($A858,'Mutasi Neraca'!$A$3:$S$910,8,FALSE)),0,VLOOKUP($A858,'Mutasi Neraca'!$A$3:$S$910,8,FALSE))</f>
        <v>0</v>
      </c>
      <c r="J858" s="42">
        <f>VLOOKUP($A858,'Neraca Unaudited SIMAK'!$A$2:$R$1272,9,FALSE)+IF(ISNA(VLOOKUP($A858,'Mutasi Neraca'!$A$3:$S$910,9,FALSE)),0,VLOOKUP($A858,'Mutasi Neraca'!$A$3:$S$910,9,FALSE))</f>
        <v>0</v>
      </c>
      <c r="K858" s="42">
        <f>VLOOKUP($A858,'Neraca Unaudited SIMAK'!$A$2:$R$1272,10,FALSE)+IF(ISNA(VLOOKUP($A858,'Mutasi Neraca'!$A$3:$S$910,10,FALSE)),0,VLOOKUP($A858,'Mutasi Neraca'!$A$3:$S$910,10,FALSE))</f>
        <v>0</v>
      </c>
      <c r="L858" s="42">
        <f>VLOOKUP($A858,'Neraca Unaudited SIMAK'!$A$2:$R$1272,11,FALSE)+IF(ISNA(VLOOKUP($A858,'Mutasi Neraca'!$A$3:$S$910,11,FALSE)),0,VLOOKUP($A858,'Mutasi Neraca'!$A$3:$S$910,11,FALSE))</f>
        <v>0</v>
      </c>
      <c r="M858" s="42">
        <f>VLOOKUP($A858,'Neraca Unaudited SIMAK'!$A$2:$R$1272,12,FALSE)+IF(ISNA(VLOOKUP($A858,'Mutasi Neraca'!$A$3:$S$910,12,FALSE)),0,VLOOKUP($A858,'Mutasi Neraca'!$A$3:$S$910,12,FALSE))</f>
        <v>1871250</v>
      </c>
      <c r="N858" s="42">
        <f>VLOOKUP($A858,'Neraca Unaudited SIMAK'!$A$2:$R$1272,13,FALSE)+IF(ISNA(VLOOKUP($A858,'Mutasi Neraca'!$A$3:$S$910,13,FALSE)),0,VLOOKUP($A858,'Mutasi Neraca'!$A$3:$S$910,13,FALSE))</f>
        <v>0</v>
      </c>
      <c r="O858" s="42">
        <f>VLOOKUP($A858,'Neraca Unaudited SIMAK'!$A$2:$R$1272,14,FALSE)+IF(ISNA(VLOOKUP($A858,'Mutasi Neraca'!$A$3:$S$910,14,FALSE)),0,VLOOKUP($A858,'Mutasi Neraca'!$A$3:$S$910,14,FALSE))</f>
        <v>0</v>
      </c>
      <c r="P858" s="42">
        <f>VLOOKUP($A858,'Neraca Unaudited SIMAK'!$A$2:$R$1272,15,FALSE)+IF(ISNA(VLOOKUP($A858,'Mutasi Neraca'!$A$3:$S$910,15,FALSE)),0,VLOOKUP($A858,'Mutasi Neraca'!$A$3:$S$910,15,FALSE))</f>
        <v>0</v>
      </c>
      <c r="Q858" s="42">
        <f>VLOOKUP($A858,'Neraca Unaudited SIMAK'!$A$2:$R$1272,16,FALSE)+IF(ISNA(VLOOKUP($A858,'Mutasi Neraca'!$A$3:$S$910,16,FALSE)),0,VLOOKUP($A858,'Mutasi Neraca'!$A$3:$S$910,16,FALSE))</f>
        <v>0</v>
      </c>
      <c r="R858" s="42">
        <f>VLOOKUP($A858,'Neraca Unaudited SIMAK'!$A$2:$R$1272,17,FALSE)+IF(ISNA(VLOOKUP($A858,'Mutasi Neraca'!$A$3:$S$910,17,FALSE)),0,VLOOKUP($A858,'Mutasi Neraca'!$A$3:$S$910,17,FALSE))</f>
        <v>0</v>
      </c>
      <c r="S858" s="42">
        <f t="shared" si="69"/>
        <v>1871250</v>
      </c>
    </row>
    <row r="859" spans="1:19">
      <c r="A859" s="41" t="s">
        <v>863</v>
      </c>
      <c r="B859" s="41" t="str">
        <f t="shared" si="68"/>
        <v>005030300</v>
      </c>
      <c r="D859" s="42">
        <f>VLOOKUP($A859,'Neraca Unaudited SIMAK'!$A$2:$R$1272,3,FALSE)+IF(ISNA(VLOOKUP($A859,'Mutasi Neraca'!$A$3:$S$910,3,FALSE)),0,VLOOKUP($A859,'Mutasi Neraca'!$A$3:$S$910,3,FALSE))</f>
        <v>4189600</v>
      </c>
      <c r="E859" s="42">
        <f>VLOOKUP($A859,'Neraca Unaudited SIMAK'!$A$2:$R$1272,4,FALSE)+IF(ISNA(VLOOKUP($A859,'Mutasi Neraca'!$A$3:$S$910,4,FALSE)),0,VLOOKUP($A859,'Mutasi Neraca'!$A$3:$S$910,4,FALSE))</f>
        <v>0</v>
      </c>
      <c r="F859" s="42">
        <f>VLOOKUP($A859,'Neraca Unaudited SIMAK'!$A$2:$R$1272,5,FALSE)+IF(ISNA(VLOOKUP($A859,'Mutasi Neraca'!$A$3:$S$910,5,FALSE)),0,VLOOKUP($A859,'Mutasi Neraca'!$A$3:$S$910,5,FALSE))</f>
        <v>0</v>
      </c>
      <c r="G859" s="42">
        <f>VLOOKUP($A859,'Neraca Unaudited SIMAK'!$A$2:$R$1272,6,FALSE)+IF(ISNA(VLOOKUP($A859,'Mutasi Neraca'!$A$3:$S$910,6,FALSE)),0,VLOOKUP($A859,'Mutasi Neraca'!$A$3:$S$910,6,FALSE))</f>
        <v>0</v>
      </c>
      <c r="H859" s="42">
        <f>VLOOKUP($A859,'Neraca Unaudited SIMAK'!$A$2:$R$1272,7,FALSE)+IF(ISNA(VLOOKUP($A859,'Mutasi Neraca'!$A$3:$S$910,7,FALSE)),0,VLOOKUP($A859,'Mutasi Neraca'!$A$3:$S$910,7,FALSE))</f>
        <v>0</v>
      </c>
      <c r="I859" s="42">
        <f>VLOOKUP($A859,'Neraca Unaudited SIMAK'!$A$2:$R$1272,8,FALSE)+IF(ISNA(VLOOKUP($A859,'Mutasi Neraca'!$A$3:$S$910,8,FALSE)),0,VLOOKUP($A859,'Mutasi Neraca'!$A$3:$S$910,8,FALSE))</f>
        <v>0</v>
      </c>
      <c r="J859" s="42">
        <f>VLOOKUP($A859,'Neraca Unaudited SIMAK'!$A$2:$R$1272,9,FALSE)+IF(ISNA(VLOOKUP($A859,'Mutasi Neraca'!$A$3:$S$910,9,FALSE)),0,VLOOKUP($A859,'Mutasi Neraca'!$A$3:$S$910,9,FALSE))</f>
        <v>0</v>
      </c>
      <c r="K859" s="42">
        <f>VLOOKUP($A859,'Neraca Unaudited SIMAK'!$A$2:$R$1272,10,FALSE)+IF(ISNA(VLOOKUP($A859,'Mutasi Neraca'!$A$3:$S$910,10,FALSE)),0,VLOOKUP($A859,'Mutasi Neraca'!$A$3:$S$910,10,FALSE))</f>
        <v>0</v>
      </c>
      <c r="L859" s="42">
        <f>VLOOKUP($A859,'Neraca Unaudited SIMAK'!$A$2:$R$1272,11,FALSE)+IF(ISNA(VLOOKUP($A859,'Mutasi Neraca'!$A$3:$S$910,11,FALSE)),0,VLOOKUP($A859,'Mutasi Neraca'!$A$3:$S$910,11,FALSE))</f>
        <v>0</v>
      </c>
      <c r="M859" s="42">
        <f>VLOOKUP($A859,'Neraca Unaudited SIMAK'!$A$2:$R$1272,12,FALSE)+IF(ISNA(VLOOKUP($A859,'Mutasi Neraca'!$A$3:$S$910,12,FALSE)),0,VLOOKUP($A859,'Mutasi Neraca'!$A$3:$S$910,12,FALSE))</f>
        <v>4189600</v>
      </c>
      <c r="N859" s="42">
        <f>VLOOKUP($A859,'Neraca Unaudited SIMAK'!$A$2:$R$1272,13,FALSE)+IF(ISNA(VLOOKUP($A859,'Mutasi Neraca'!$A$3:$S$910,13,FALSE)),0,VLOOKUP($A859,'Mutasi Neraca'!$A$3:$S$910,13,FALSE))</f>
        <v>0</v>
      </c>
      <c r="O859" s="42">
        <f>VLOOKUP($A859,'Neraca Unaudited SIMAK'!$A$2:$R$1272,14,FALSE)+IF(ISNA(VLOOKUP($A859,'Mutasi Neraca'!$A$3:$S$910,14,FALSE)),0,VLOOKUP($A859,'Mutasi Neraca'!$A$3:$S$910,14,FALSE))</f>
        <v>0</v>
      </c>
      <c r="P859" s="42">
        <f>VLOOKUP($A859,'Neraca Unaudited SIMAK'!$A$2:$R$1272,15,FALSE)+IF(ISNA(VLOOKUP($A859,'Mutasi Neraca'!$A$3:$S$910,15,FALSE)),0,VLOOKUP($A859,'Mutasi Neraca'!$A$3:$S$910,15,FALSE))</f>
        <v>0</v>
      </c>
      <c r="Q859" s="42">
        <f>VLOOKUP($A859,'Neraca Unaudited SIMAK'!$A$2:$R$1272,16,FALSE)+IF(ISNA(VLOOKUP($A859,'Mutasi Neraca'!$A$3:$S$910,16,FALSE)),0,VLOOKUP($A859,'Mutasi Neraca'!$A$3:$S$910,16,FALSE))</f>
        <v>0</v>
      </c>
      <c r="R859" s="42">
        <f>VLOOKUP($A859,'Neraca Unaudited SIMAK'!$A$2:$R$1272,17,FALSE)+IF(ISNA(VLOOKUP($A859,'Mutasi Neraca'!$A$3:$S$910,17,FALSE)),0,VLOOKUP($A859,'Mutasi Neraca'!$A$3:$S$910,17,FALSE))</f>
        <v>0</v>
      </c>
      <c r="S859" s="42">
        <f t="shared" si="69"/>
        <v>4189600</v>
      </c>
    </row>
    <row r="860" spans="1:19">
      <c r="A860" s="41" t="s">
        <v>864</v>
      </c>
      <c r="B860" s="41" t="str">
        <f t="shared" si="68"/>
        <v>005030300</v>
      </c>
      <c r="D860" s="42">
        <f>VLOOKUP($A860,'Neraca Unaudited SIMAK'!$A$2:$R$1272,3,FALSE)+IF(ISNA(VLOOKUP($A860,'Mutasi Neraca'!$A$3:$S$910,3,FALSE)),0,VLOOKUP($A860,'Mutasi Neraca'!$A$3:$S$910,3,FALSE))</f>
        <v>2211010</v>
      </c>
      <c r="E860" s="42">
        <f>VLOOKUP($A860,'Neraca Unaudited SIMAK'!$A$2:$R$1272,4,FALSE)+IF(ISNA(VLOOKUP($A860,'Mutasi Neraca'!$A$3:$S$910,4,FALSE)),0,VLOOKUP($A860,'Mutasi Neraca'!$A$3:$S$910,4,FALSE))</f>
        <v>0</v>
      </c>
      <c r="F860" s="42">
        <f>VLOOKUP($A860,'Neraca Unaudited SIMAK'!$A$2:$R$1272,5,FALSE)+IF(ISNA(VLOOKUP($A860,'Mutasi Neraca'!$A$3:$S$910,5,FALSE)),0,VLOOKUP($A860,'Mutasi Neraca'!$A$3:$S$910,5,FALSE))</f>
        <v>0</v>
      </c>
      <c r="G860" s="42">
        <f>VLOOKUP($A860,'Neraca Unaudited SIMAK'!$A$2:$R$1272,6,FALSE)+IF(ISNA(VLOOKUP($A860,'Mutasi Neraca'!$A$3:$S$910,6,FALSE)),0,VLOOKUP($A860,'Mutasi Neraca'!$A$3:$S$910,6,FALSE))</f>
        <v>0</v>
      </c>
      <c r="H860" s="42">
        <f>VLOOKUP($A860,'Neraca Unaudited SIMAK'!$A$2:$R$1272,7,FALSE)+IF(ISNA(VLOOKUP($A860,'Mutasi Neraca'!$A$3:$S$910,7,FALSE)),0,VLOOKUP($A860,'Mutasi Neraca'!$A$3:$S$910,7,FALSE))</f>
        <v>0</v>
      </c>
      <c r="I860" s="42">
        <f>VLOOKUP($A860,'Neraca Unaudited SIMAK'!$A$2:$R$1272,8,FALSE)+IF(ISNA(VLOOKUP($A860,'Mutasi Neraca'!$A$3:$S$910,8,FALSE)),0,VLOOKUP($A860,'Mutasi Neraca'!$A$3:$S$910,8,FALSE))</f>
        <v>0</v>
      </c>
      <c r="J860" s="42">
        <f>VLOOKUP($A860,'Neraca Unaudited SIMAK'!$A$2:$R$1272,9,FALSE)+IF(ISNA(VLOOKUP($A860,'Mutasi Neraca'!$A$3:$S$910,9,FALSE)),0,VLOOKUP($A860,'Mutasi Neraca'!$A$3:$S$910,9,FALSE))</f>
        <v>0</v>
      </c>
      <c r="K860" s="42">
        <f>VLOOKUP($A860,'Neraca Unaudited SIMAK'!$A$2:$R$1272,10,FALSE)+IF(ISNA(VLOOKUP($A860,'Mutasi Neraca'!$A$3:$S$910,10,FALSE)),0,VLOOKUP($A860,'Mutasi Neraca'!$A$3:$S$910,10,FALSE))</f>
        <v>0</v>
      </c>
      <c r="L860" s="42">
        <f>VLOOKUP($A860,'Neraca Unaudited SIMAK'!$A$2:$R$1272,11,FALSE)+IF(ISNA(VLOOKUP($A860,'Mutasi Neraca'!$A$3:$S$910,11,FALSE)),0,VLOOKUP($A860,'Mutasi Neraca'!$A$3:$S$910,11,FALSE))</f>
        <v>0</v>
      </c>
      <c r="M860" s="42">
        <f>VLOOKUP($A860,'Neraca Unaudited SIMAK'!$A$2:$R$1272,12,FALSE)+IF(ISNA(VLOOKUP($A860,'Mutasi Neraca'!$A$3:$S$910,12,FALSE)),0,VLOOKUP($A860,'Mutasi Neraca'!$A$3:$S$910,12,FALSE))</f>
        <v>2211010</v>
      </c>
      <c r="N860" s="42">
        <f>VLOOKUP($A860,'Neraca Unaudited SIMAK'!$A$2:$R$1272,13,FALSE)+IF(ISNA(VLOOKUP($A860,'Mutasi Neraca'!$A$3:$S$910,13,FALSE)),0,VLOOKUP($A860,'Mutasi Neraca'!$A$3:$S$910,13,FALSE))</f>
        <v>0</v>
      </c>
      <c r="O860" s="42">
        <f>VLOOKUP($A860,'Neraca Unaudited SIMAK'!$A$2:$R$1272,14,FALSE)+IF(ISNA(VLOOKUP($A860,'Mutasi Neraca'!$A$3:$S$910,14,FALSE)),0,VLOOKUP($A860,'Mutasi Neraca'!$A$3:$S$910,14,FALSE))</f>
        <v>0</v>
      </c>
      <c r="P860" s="42">
        <f>VLOOKUP($A860,'Neraca Unaudited SIMAK'!$A$2:$R$1272,15,FALSE)+IF(ISNA(VLOOKUP($A860,'Mutasi Neraca'!$A$3:$S$910,15,FALSE)),0,VLOOKUP($A860,'Mutasi Neraca'!$A$3:$S$910,15,FALSE))</f>
        <v>0</v>
      </c>
      <c r="Q860" s="42">
        <f>VLOOKUP($A860,'Neraca Unaudited SIMAK'!$A$2:$R$1272,16,FALSE)+IF(ISNA(VLOOKUP($A860,'Mutasi Neraca'!$A$3:$S$910,16,FALSE)),0,VLOOKUP($A860,'Mutasi Neraca'!$A$3:$S$910,16,FALSE))</f>
        <v>0</v>
      </c>
      <c r="R860" s="42">
        <f>VLOOKUP($A860,'Neraca Unaudited SIMAK'!$A$2:$R$1272,17,FALSE)+IF(ISNA(VLOOKUP($A860,'Mutasi Neraca'!$A$3:$S$910,17,FALSE)),0,VLOOKUP($A860,'Mutasi Neraca'!$A$3:$S$910,17,FALSE))</f>
        <v>0</v>
      </c>
      <c r="S860" s="42">
        <f t="shared" si="69"/>
        <v>2211010</v>
      </c>
    </row>
    <row r="861" spans="1:19">
      <c r="A861" s="41" t="s">
        <v>865</v>
      </c>
      <c r="B861" s="41" t="str">
        <f t="shared" si="68"/>
        <v>005030300</v>
      </c>
      <c r="D861" s="42">
        <f>VLOOKUP($A861,'Neraca Unaudited SIMAK'!$A$2:$R$1272,3,FALSE)+IF(ISNA(VLOOKUP($A861,'Mutasi Neraca'!$A$3:$S$910,3,FALSE)),0,VLOOKUP($A861,'Mutasi Neraca'!$A$3:$S$910,3,FALSE))</f>
        <v>30000</v>
      </c>
      <c r="E861" s="42">
        <f>VLOOKUP($A861,'Neraca Unaudited SIMAK'!$A$2:$R$1272,4,FALSE)+IF(ISNA(VLOOKUP($A861,'Mutasi Neraca'!$A$3:$S$910,4,FALSE)),0,VLOOKUP($A861,'Mutasi Neraca'!$A$3:$S$910,4,FALSE))</f>
        <v>0</v>
      </c>
      <c r="F861" s="42">
        <f>VLOOKUP($A861,'Neraca Unaudited SIMAK'!$A$2:$R$1272,5,FALSE)+IF(ISNA(VLOOKUP($A861,'Mutasi Neraca'!$A$3:$S$910,5,FALSE)),0,VLOOKUP($A861,'Mutasi Neraca'!$A$3:$S$910,5,FALSE))</f>
        <v>0</v>
      </c>
      <c r="G861" s="42">
        <f>VLOOKUP($A861,'Neraca Unaudited SIMAK'!$A$2:$R$1272,6,FALSE)+IF(ISNA(VLOOKUP($A861,'Mutasi Neraca'!$A$3:$S$910,6,FALSE)),0,VLOOKUP($A861,'Mutasi Neraca'!$A$3:$S$910,6,FALSE))</f>
        <v>0</v>
      </c>
      <c r="H861" s="42">
        <f>VLOOKUP($A861,'Neraca Unaudited SIMAK'!$A$2:$R$1272,7,FALSE)+IF(ISNA(VLOOKUP($A861,'Mutasi Neraca'!$A$3:$S$910,7,FALSE)),0,VLOOKUP($A861,'Mutasi Neraca'!$A$3:$S$910,7,FALSE))</f>
        <v>0</v>
      </c>
      <c r="I861" s="42">
        <f>VLOOKUP($A861,'Neraca Unaudited SIMAK'!$A$2:$R$1272,8,FALSE)+IF(ISNA(VLOOKUP($A861,'Mutasi Neraca'!$A$3:$S$910,8,FALSE)),0,VLOOKUP($A861,'Mutasi Neraca'!$A$3:$S$910,8,FALSE))</f>
        <v>0</v>
      </c>
      <c r="J861" s="42">
        <f>VLOOKUP($A861,'Neraca Unaudited SIMAK'!$A$2:$R$1272,9,FALSE)+IF(ISNA(VLOOKUP($A861,'Mutasi Neraca'!$A$3:$S$910,9,FALSE)),0,VLOOKUP($A861,'Mutasi Neraca'!$A$3:$S$910,9,FALSE))</f>
        <v>0</v>
      </c>
      <c r="K861" s="42">
        <f>VLOOKUP($A861,'Neraca Unaudited SIMAK'!$A$2:$R$1272,10,FALSE)+IF(ISNA(VLOOKUP($A861,'Mutasi Neraca'!$A$3:$S$910,10,FALSE)),0,VLOOKUP($A861,'Mutasi Neraca'!$A$3:$S$910,10,FALSE))</f>
        <v>0</v>
      </c>
      <c r="L861" s="42">
        <f>VLOOKUP($A861,'Neraca Unaudited SIMAK'!$A$2:$R$1272,11,FALSE)+IF(ISNA(VLOOKUP($A861,'Mutasi Neraca'!$A$3:$S$910,11,FALSE)),0,VLOOKUP($A861,'Mutasi Neraca'!$A$3:$S$910,11,FALSE))</f>
        <v>0</v>
      </c>
      <c r="M861" s="42">
        <f>VLOOKUP($A861,'Neraca Unaudited SIMAK'!$A$2:$R$1272,12,FALSE)+IF(ISNA(VLOOKUP($A861,'Mutasi Neraca'!$A$3:$S$910,12,FALSE)),0,VLOOKUP($A861,'Mutasi Neraca'!$A$3:$S$910,12,FALSE))</f>
        <v>30000</v>
      </c>
      <c r="N861" s="42">
        <f>VLOOKUP($A861,'Neraca Unaudited SIMAK'!$A$2:$R$1272,13,FALSE)+IF(ISNA(VLOOKUP($A861,'Mutasi Neraca'!$A$3:$S$910,13,FALSE)),0,VLOOKUP($A861,'Mutasi Neraca'!$A$3:$S$910,13,FALSE))</f>
        <v>0</v>
      </c>
      <c r="O861" s="42">
        <f>VLOOKUP($A861,'Neraca Unaudited SIMAK'!$A$2:$R$1272,14,FALSE)+IF(ISNA(VLOOKUP($A861,'Mutasi Neraca'!$A$3:$S$910,14,FALSE)),0,VLOOKUP($A861,'Mutasi Neraca'!$A$3:$S$910,14,FALSE))</f>
        <v>0</v>
      </c>
      <c r="P861" s="42">
        <f>VLOOKUP($A861,'Neraca Unaudited SIMAK'!$A$2:$R$1272,15,FALSE)+IF(ISNA(VLOOKUP($A861,'Mutasi Neraca'!$A$3:$S$910,15,FALSE)),0,VLOOKUP($A861,'Mutasi Neraca'!$A$3:$S$910,15,FALSE))</f>
        <v>0</v>
      </c>
      <c r="Q861" s="42">
        <f>VLOOKUP($A861,'Neraca Unaudited SIMAK'!$A$2:$R$1272,16,FALSE)+IF(ISNA(VLOOKUP($A861,'Mutasi Neraca'!$A$3:$S$910,16,FALSE)),0,VLOOKUP($A861,'Mutasi Neraca'!$A$3:$S$910,16,FALSE))</f>
        <v>0</v>
      </c>
      <c r="R861" s="42">
        <f>VLOOKUP($A861,'Neraca Unaudited SIMAK'!$A$2:$R$1272,17,FALSE)+IF(ISNA(VLOOKUP($A861,'Mutasi Neraca'!$A$3:$S$910,17,FALSE)),0,VLOOKUP($A861,'Mutasi Neraca'!$A$3:$S$910,17,FALSE))</f>
        <v>0</v>
      </c>
      <c r="S861" s="42">
        <f t="shared" si="69"/>
        <v>30000</v>
      </c>
    </row>
    <row r="862" spans="1:19">
      <c r="A862" s="41" t="s">
        <v>866</v>
      </c>
      <c r="B862" s="41" t="str">
        <f t="shared" si="68"/>
        <v>005030300</v>
      </c>
      <c r="D862" s="42">
        <f>VLOOKUP($A862,'Neraca Unaudited SIMAK'!$A$2:$R$1272,3,FALSE)+IF(ISNA(VLOOKUP($A862,'Mutasi Neraca'!$A$3:$S$910,3,FALSE)),0,VLOOKUP($A862,'Mutasi Neraca'!$A$3:$S$910,3,FALSE))</f>
        <v>2728135</v>
      </c>
      <c r="E862" s="42">
        <f>VLOOKUP($A862,'Neraca Unaudited SIMAK'!$A$2:$R$1272,4,FALSE)+IF(ISNA(VLOOKUP($A862,'Mutasi Neraca'!$A$3:$S$910,4,FALSE)),0,VLOOKUP($A862,'Mutasi Neraca'!$A$3:$S$910,4,FALSE))</f>
        <v>0</v>
      </c>
      <c r="F862" s="42">
        <f>VLOOKUP($A862,'Neraca Unaudited SIMAK'!$A$2:$R$1272,5,FALSE)+IF(ISNA(VLOOKUP($A862,'Mutasi Neraca'!$A$3:$S$910,5,FALSE)),0,VLOOKUP($A862,'Mutasi Neraca'!$A$3:$S$910,5,FALSE))</f>
        <v>0</v>
      </c>
      <c r="G862" s="42">
        <f>VLOOKUP($A862,'Neraca Unaudited SIMAK'!$A$2:$R$1272,6,FALSE)+IF(ISNA(VLOOKUP($A862,'Mutasi Neraca'!$A$3:$S$910,6,FALSE)),0,VLOOKUP($A862,'Mutasi Neraca'!$A$3:$S$910,6,FALSE))</f>
        <v>0</v>
      </c>
      <c r="H862" s="42">
        <f>VLOOKUP($A862,'Neraca Unaudited SIMAK'!$A$2:$R$1272,7,FALSE)+IF(ISNA(VLOOKUP($A862,'Mutasi Neraca'!$A$3:$S$910,7,FALSE)),0,VLOOKUP($A862,'Mutasi Neraca'!$A$3:$S$910,7,FALSE))</f>
        <v>0</v>
      </c>
      <c r="I862" s="42">
        <f>VLOOKUP($A862,'Neraca Unaudited SIMAK'!$A$2:$R$1272,8,FALSE)+IF(ISNA(VLOOKUP($A862,'Mutasi Neraca'!$A$3:$S$910,8,FALSE)),0,VLOOKUP($A862,'Mutasi Neraca'!$A$3:$S$910,8,FALSE))</f>
        <v>0</v>
      </c>
      <c r="J862" s="42">
        <f>VLOOKUP($A862,'Neraca Unaudited SIMAK'!$A$2:$R$1272,9,FALSE)+IF(ISNA(VLOOKUP($A862,'Mutasi Neraca'!$A$3:$S$910,9,FALSE)),0,VLOOKUP($A862,'Mutasi Neraca'!$A$3:$S$910,9,FALSE))</f>
        <v>0</v>
      </c>
      <c r="K862" s="42">
        <f>VLOOKUP($A862,'Neraca Unaudited SIMAK'!$A$2:$R$1272,10,FALSE)+IF(ISNA(VLOOKUP($A862,'Mutasi Neraca'!$A$3:$S$910,10,FALSE)),0,VLOOKUP($A862,'Mutasi Neraca'!$A$3:$S$910,10,FALSE))</f>
        <v>0</v>
      </c>
      <c r="L862" s="42">
        <f>VLOOKUP($A862,'Neraca Unaudited SIMAK'!$A$2:$R$1272,11,FALSE)+IF(ISNA(VLOOKUP($A862,'Mutasi Neraca'!$A$3:$S$910,11,FALSE)),0,VLOOKUP($A862,'Mutasi Neraca'!$A$3:$S$910,11,FALSE))</f>
        <v>0</v>
      </c>
      <c r="M862" s="42">
        <f>VLOOKUP($A862,'Neraca Unaudited SIMAK'!$A$2:$R$1272,12,FALSE)+IF(ISNA(VLOOKUP($A862,'Mutasi Neraca'!$A$3:$S$910,12,FALSE)),0,VLOOKUP($A862,'Mutasi Neraca'!$A$3:$S$910,12,FALSE))</f>
        <v>2728135</v>
      </c>
      <c r="N862" s="42">
        <f>VLOOKUP($A862,'Neraca Unaudited SIMAK'!$A$2:$R$1272,13,FALSE)+IF(ISNA(VLOOKUP($A862,'Mutasi Neraca'!$A$3:$S$910,13,FALSE)),0,VLOOKUP($A862,'Mutasi Neraca'!$A$3:$S$910,13,FALSE))</f>
        <v>0</v>
      </c>
      <c r="O862" s="42">
        <f>VLOOKUP($A862,'Neraca Unaudited SIMAK'!$A$2:$R$1272,14,FALSE)+IF(ISNA(VLOOKUP($A862,'Mutasi Neraca'!$A$3:$S$910,14,FALSE)),0,VLOOKUP($A862,'Mutasi Neraca'!$A$3:$S$910,14,FALSE))</f>
        <v>0</v>
      </c>
      <c r="P862" s="42">
        <f>VLOOKUP($A862,'Neraca Unaudited SIMAK'!$A$2:$R$1272,15,FALSE)+IF(ISNA(VLOOKUP($A862,'Mutasi Neraca'!$A$3:$S$910,15,FALSE)),0,VLOOKUP($A862,'Mutasi Neraca'!$A$3:$S$910,15,FALSE))</f>
        <v>0</v>
      </c>
      <c r="Q862" s="42">
        <f>VLOOKUP($A862,'Neraca Unaudited SIMAK'!$A$2:$R$1272,16,FALSE)+IF(ISNA(VLOOKUP($A862,'Mutasi Neraca'!$A$3:$S$910,16,FALSE)),0,VLOOKUP($A862,'Mutasi Neraca'!$A$3:$S$910,16,FALSE))</f>
        <v>0</v>
      </c>
      <c r="R862" s="42">
        <f>VLOOKUP($A862,'Neraca Unaudited SIMAK'!$A$2:$R$1272,17,FALSE)+IF(ISNA(VLOOKUP($A862,'Mutasi Neraca'!$A$3:$S$910,17,FALSE)),0,VLOOKUP($A862,'Mutasi Neraca'!$A$3:$S$910,17,FALSE))</f>
        <v>0</v>
      </c>
      <c r="S862" s="42">
        <f t="shared" si="69"/>
        <v>2728135</v>
      </c>
    </row>
    <row r="863" spans="1:19">
      <c r="A863" s="41" t="s">
        <v>867</v>
      </c>
      <c r="B863" s="41" t="str">
        <f t="shared" si="68"/>
        <v>005030300</v>
      </c>
      <c r="D863" s="42">
        <f>VLOOKUP($A863,'Neraca Unaudited SIMAK'!$A$2:$R$1272,3,FALSE)+IF(ISNA(VLOOKUP($A863,'Mutasi Neraca'!$A$3:$S$910,3,FALSE)),0,VLOOKUP($A863,'Mutasi Neraca'!$A$3:$S$910,3,FALSE))</f>
        <v>2863300</v>
      </c>
      <c r="E863" s="42">
        <f>VLOOKUP($A863,'Neraca Unaudited SIMAK'!$A$2:$R$1272,4,FALSE)+IF(ISNA(VLOOKUP($A863,'Mutasi Neraca'!$A$3:$S$910,4,FALSE)),0,VLOOKUP($A863,'Mutasi Neraca'!$A$3:$S$910,4,FALSE))</f>
        <v>0</v>
      </c>
      <c r="F863" s="42">
        <f>VLOOKUP($A863,'Neraca Unaudited SIMAK'!$A$2:$R$1272,5,FALSE)+IF(ISNA(VLOOKUP($A863,'Mutasi Neraca'!$A$3:$S$910,5,FALSE)),0,VLOOKUP($A863,'Mutasi Neraca'!$A$3:$S$910,5,FALSE))</f>
        <v>0</v>
      </c>
      <c r="G863" s="42">
        <f>VLOOKUP($A863,'Neraca Unaudited SIMAK'!$A$2:$R$1272,6,FALSE)+IF(ISNA(VLOOKUP($A863,'Mutasi Neraca'!$A$3:$S$910,6,FALSE)),0,VLOOKUP($A863,'Mutasi Neraca'!$A$3:$S$910,6,FALSE))</f>
        <v>0</v>
      </c>
      <c r="H863" s="42">
        <f>VLOOKUP($A863,'Neraca Unaudited SIMAK'!$A$2:$R$1272,7,FALSE)+IF(ISNA(VLOOKUP($A863,'Mutasi Neraca'!$A$3:$S$910,7,FALSE)),0,VLOOKUP($A863,'Mutasi Neraca'!$A$3:$S$910,7,FALSE))</f>
        <v>0</v>
      </c>
      <c r="I863" s="42">
        <f>VLOOKUP($A863,'Neraca Unaudited SIMAK'!$A$2:$R$1272,8,FALSE)+IF(ISNA(VLOOKUP($A863,'Mutasi Neraca'!$A$3:$S$910,8,FALSE)),0,VLOOKUP($A863,'Mutasi Neraca'!$A$3:$S$910,8,FALSE))</f>
        <v>0</v>
      </c>
      <c r="J863" s="42">
        <f>VLOOKUP($A863,'Neraca Unaudited SIMAK'!$A$2:$R$1272,9,FALSE)+IF(ISNA(VLOOKUP($A863,'Mutasi Neraca'!$A$3:$S$910,9,FALSE)),0,VLOOKUP($A863,'Mutasi Neraca'!$A$3:$S$910,9,FALSE))</f>
        <v>0</v>
      </c>
      <c r="K863" s="42">
        <f>VLOOKUP($A863,'Neraca Unaudited SIMAK'!$A$2:$R$1272,10,FALSE)+IF(ISNA(VLOOKUP($A863,'Mutasi Neraca'!$A$3:$S$910,10,FALSE)),0,VLOOKUP($A863,'Mutasi Neraca'!$A$3:$S$910,10,FALSE))</f>
        <v>0</v>
      </c>
      <c r="L863" s="42">
        <f>VLOOKUP($A863,'Neraca Unaudited SIMAK'!$A$2:$R$1272,11,FALSE)+IF(ISNA(VLOOKUP($A863,'Mutasi Neraca'!$A$3:$S$910,11,FALSE)),0,VLOOKUP($A863,'Mutasi Neraca'!$A$3:$S$910,11,FALSE))</f>
        <v>0</v>
      </c>
      <c r="M863" s="42">
        <f>VLOOKUP($A863,'Neraca Unaudited SIMAK'!$A$2:$R$1272,12,FALSE)+IF(ISNA(VLOOKUP($A863,'Mutasi Neraca'!$A$3:$S$910,12,FALSE)),0,VLOOKUP($A863,'Mutasi Neraca'!$A$3:$S$910,12,FALSE))</f>
        <v>2863300</v>
      </c>
      <c r="N863" s="42">
        <f>VLOOKUP($A863,'Neraca Unaudited SIMAK'!$A$2:$R$1272,13,FALSE)+IF(ISNA(VLOOKUP($A863,'Mutasi Neraca'!$A$3:$S$910,13,FALSE)),0,VLOOKUP($A863,'Mutasi Neraca'!$A$3:$S$910,13,FALSE))</f>
        <v>0</v>
      </c>
      <c r="O863" s="42">
        <f>VLOOKUP($A863,'Neraca Unaudited SIMAK'!$A$2:$R$1272,14,FALSE)+IF(ISNA(VLOOKUP($A863,'Mutasi Neraca'!$A$3:$S$910,14,FALSE)),0,VLOOKUP($A863,'Mutasi Neraca'!$A$3:$S$910,14,FALSE))</f>
        <v>0</v>
      </c>
      <c r="P863" s="42">
        <f>VLOOKUP($A863,'Neraca Unaudited SIMAK'!$A$2:$R$1272,15,FALSE)+IF(ISNA(VLOOKUP($A863,'Mutasi Neraca'!$A$3:$S$910,15,FALSE)),0,VLOOKUP($A863,'Mutasi Neraca'!$A$3:$S$910,15,FALSE))</f>
        <v>0</v>
      </c>
      <c r="Q863" s="42">
        <f>VLOOKUP($A863,'Neraca Unaudited SIMAK'!$A$2:$R$1272,16,FALSE)+IF(ISNA(VLOOKUP($A863,'Mutasi Neraca'!$A$3:$S$910,16,FALSE)),0,VLOOKUP($A863,'Mutasi Neraca'!$A$3:$S$910,16,FALSE))</f>
        <v>0</v>
      </c>
      <c r="R863" s="42">
        <f>VLOOKUP($A863,'Neraca Unaudited SIMAK'!$A$2:$R$1272,17,FALSE)+IF(ISNA(VLOOKUP($A863,'Mutasi Neraca'!$A$3:$S$910,17,FALSE)),0,VLOOKUP($A863,'Mutasi Neraca'!$A$3:$S$910,17,FALSE))</f>
        <v>0</v>
      </c>
      <c r="S863" s="42">
        <f t="shared" si="69"/>
        <v>2863300</v>
      </c>
    </row>
    <row r="864" spans="1:19">
      <c r="A864" s="41" t="s">
        <v>868</v>
      </c>
      <c r="B864" s="41" t="str">
        <f t="shared" si="68"/>
        <v>005030300</v>
      </c>
      <c r="D864" s="42">
        <f>VLOOKUP($A864,'Neraca Unaudited SIMAK'!$A$2:$R$1272,3,FALSE)+IF(ISNA(VLOOKUP($A864,'Mutasi Neraca'!$A$3:$S$910,3,FALSE)),0,VLOOKUP($A864,'Mutasi Neraca'!$A$3:$S$910,3,FALSE))</f>
        <v>1000000</v>
      </c>
      <c r="E864" s="42">
        <f>VLOOKUP($A864,'Neraca Unaudited SIMAK'!$A$2:$R$1272,4,FALSE)+IF(ISNA(VLOOKUP($A864,'Mutasi Neraca'!$A$3:$S$910,4,FALSE)),0,VLOOKUP($A864,'Mutasi Neraca'!$A$3:$S$910,4,FALSE))</f>
        <v>0</v>
      </c>
      <c r="F864" s="42">
        <f>VLOOKUP($A864,'Neraca Unaudited SIMAK'!$A$2:$R$1272,5,FALSE)+IF(ISNA(VLOOKUP($A864,'Mutasi Neraca'!$A$3:$S$910,5,FALSE)),0,VLOOKUP($A864,'Mutasi Neraca'!$A$3:$S$910,5,FALSE))</f>
        <v>0</v>
      </c>
      <c r="G864" s="42">
        <f>VLOOKUP($A864,'Neraca Unaudited SIMAK'!$A$2:$R$1272,6,FALSE)+IF(ISNA(VLOOKUP($A864,'Mutasi Neraca'!$A$3:$S$910,6,FALSE)),0,VLOOKUP($A864,'Mutasi Neraca'!$A$3:$S$910,6,FALSE))</f>
        <v>0</v>
      </c>
      <c r="H864" s="42">
        <f>VLOOKUP($A864,'Neraca Unaudited SIMAK'!$A$2:$R$1272,7,FALSE)+IF(ISNA(VLOOKUP($A864,'Mutasi Neraca'!$A$3:$S$910,7,FALSE)),0,VLOOKUP($A864,'Mutasi Neraca'!$A$3:$S$910,7,FALSE))</f>
        <v>0</v>
      </c>
      <c r="I864" s="42">
        <f>VLOOKUP($A864,'Neraca Unaudited SIMAK'!$A$2:$R$1272,8,FALSE)+IF(ISNA(VLOOKUP($A864,'Mutasi Neraca'!$A$3:$S$910,8,FALSE)),0,VLOOKUP($A864,'Mutasi Neraca'!$A$3:$S$910,8,FALSE))</f>
        <v>0</v>
      </c>
      <c r="J864" s="42">
        <f>VLOOKUP($A864,'Neraca Unaudited SIMAK'!$A$2:$R$1272,9,FALSE)+IF(ISNA(VLOOKUP($A864,'Mutasi Neraca'!$A$3:$S$910,9,FALSE)),0,VLOOKUP($A864,'Mutasi Neraca'!$A$3:$S$910,9,FALSE))</f>
        <v>0</v>
      </c>
      <c r="K864" s="42">
        <f>VLOOKUP($A864,'Neraca Unaudited SIMAK'!$A$2:$R$1272,10,FALSE)+IF(ISNA(VLOOKUP($A864,'Mutasi Neraca'!$A$3:$S$910,10,FALSE)),0,VLOOKUP($A864,'Mutasi Neraca'!$A$3:$S$910,10,FALSE))</f>
        <v>0</v>
      </c>
      <c r="L864" s="42">
        <f>VLOOKUP($A864,'Neraca Unaudited SIMAK'!$A$2:$R$1272,11,FALSE)+IF(ISNA(VLOOKUP($A864,'Mutasi Neraca'!$A$3:$S$910,11,FALSE)),0,VLOOKUP($A864,'Mutasi Neraca'!$A$3:$S$910,11,FALSE))</f>
        <v>0</v>
      </c>
      <c r="M864" s="42">
        <f>VLOOKUP($A864,'Neraca Unaudited SIMAK'!$A$2:$R$1272,12,FALSE)+IF(ISNA(VLOOKUP($A864,'Mutasi Neraca'!$A$3:$S$910,12,FALSE)),0,VLOOKUP($A864,'Mutasi Neraca'!$A$3:$S$910,12,FALSE))</f>
        <v>1000000</v>
      </c>
      <c r="N864" s="42">
        <f>VLOOKUP($A864,'Neraca Unaudited SIMAK'!$A$2:$R$1272,13,FALSE)+IF(ISNA(VLOOKUP($A864,'Mutasi Neraca'!$A$3:$S$910,13,FALSE)),0,VLOOKUP($A864,'Mutasi Neraca'!$A$3:$S$910,13,FALSE))</f>
        <v>0</v>
      </c>
      <c r="O864" s="42">
        <f>VLOOKUP($A864,'Neraca Unaudited SIMAK'!$A$2:$R$1272,14,FALSE)+IF(ISNA(VLOOKUP($A864,'Mutasi Neraca'!$A$3:$S$910,14,FALSE)),0,VLOOKUP($A864,'Mutasi Neraca'!$A$3:$S$910,14,FALSE))</f>
        <v>0</v>
      </c>
      <c r="P864" s="42">
        <f>VLOOKUP($A864,'Neraca Unaudited SIMAK'!$A$2:$R$1272,15,FALSE)+IF(ISNA(VLOOKUP($A864,'Mutasi Neraca'!$A$3:$S$910,15,FALSE)),0,VLOOKUP($A864,'Mutasi Neraca'!$A$3:$S$910,15,FALSE))</f>
        <v>0</v>
      </c>
      <c r="Q864" s="42">
        <f>VLOOKUP($A864,'Neraca Unaudited SIMAK'!$A$2:$R$1272,16,FALSE)+IF(ISNA(VLOOKUP($A864,'Mutasi Neraca'!$A$3:$S$910,16,FALSE)),0,VLOOKUP($A864,'Mutasi Neraca'!$A$3:$S$910,16,FALSE))</f>
        <v>0</v>
      </c>
      <c r="R864" s="42">
        <f>VLOOKUP($A864,'Neraca Unaudited SIMAK'!$A$2:$R$1272,17,FALSE)+IF(ISNA(VLOOKUP($A864,'Mutasi Neraca'!$A$3:$S$910,17,FALSE)),0,VLOOKUP($A864,'Mutasi Neraca'!$A$3:$S$910,17,FALSE))</f>
        <v>0</v>
      </c>
      <c r="S864" s="42">
        <f t="shared" si="69"/>
        <v>1000000</v>
      </c>
    </row>
    <row r="865" spans="1:19">
      <c r="A865" s="41" t="s">
        <v>869</v>
      </c>
      <c r="B865" s="41" t="str">
        <f t="shared" si="68"/>
        <v>005030300</v>
      </c>
      <c r="D865" s="42">
        <f>VLOOKUP($A865,'Neraca Unaudited SIMAK'!$A$2:$R$1272,3,FALSE)+IF(ISNA(VLOOKUP($A865,'Mutasi Neraca'!$A$3:$S$910,3,FALSE)),0,VLOOKUP($A865,'Mutasi Neraca'!$A$3:$S$910,3,FALSE))</f>
        <v>10000</v>
      </c>
      <c r="E865" s="42">
        <f>VLOOKUP($A865,'Neraca Unaudited SIMAK'!$A$2:$R$1272,4,FALSE)+IF(ISNA(VLOOKUP($A865,'Mutasi Neraca'!$A$3:$S$910,4,FALSE)),0,VLOOKUP($A865,'Mutasi Neraca'!$A$3:$S$910,4,FALSE))</f>
        <v>0</v>
      </c>
      <c r="F865" s="42">
        <f>VLOOKUP($A865,'Neraca Unaudited SIMAK'!$A$2:$R$1272,5,FALSE)+IF(ISNA(VLOOKUP($A865,'Mutasi Neraca'!$A$3:$S$910,5,FALSE)),0,VLOOKUP($A865,'Mutasi Neraca'!$A$3:$S$910,5,FALSE))</f>
        <v>0</v>
      </c>
      <c r="G865" s="42">
        <f>VLOOKUP($A865,'Neraca Unaudited SIMAK'!$A$2:$R$1272,6,FALSE)+IF(ISNA(VLOOKUP($A865,'Mutasi Neraca'!$A$3:$S$910,6,FALSE)),0,VLOOKUP($A865,'Mutasi Neraca'!$A$3:$S$910,6,FALSE))</f>
        <v>0</v>
      </c>
      <c r="H865" s="42">
        <f>VLOOKUP($A865,'Neraca Unaudited SIMAK'!$A$2:$R$1272,7,FALSE)+IF(ISNA(VLOOKUP($A865,'Mutasi Neraca'!$A$3:$S$910,7,FALSE)),0,VLOOKUP($A865,'Mutasi Neraca'!$A$3:$S$910,7,FALSE))</f>
        <v>0</v>
      </c>
      <c r="I865" s="42">
        <f>VLOOKUP($A865,'Neraca Unaudited SIMAK'!$A$2:$R$1272,8,FALSE)+IF(ISNA(VLOOKUP($A865,'Mutasi Neraca'!$A$3:$S$910,8,FALSE)),0,VLOOKUP($A865,'Mutasi Neraca'!$A$3:$S$910,8,FALSE))</f>
        <v>0</v>
      </c>
      <c r="J865" s="42">
        <f>VLOOKUP($A865,'Neraca Unaudited SIMAK'!$A$2:$R$1272,9,FALSE)+IF(ISNA(VLOOKUP($A865,'Mutasi Neraca'!$A$3:$S$910,9,FALSE)),0,VLOOKUP($A865,'Mutasi Neraca'!$A$3:$S$910,9,FALSE))</f>
        <v>0</v>
      </c>
      <c r="K865" s="42">
        <f>VLOOKUP($A865,'Neraca Unaudited SIMAK'!$A$2:$R$1272,10,FALSE)+IF(ISNA(VLOOKUP($A865,'Mutasi Neraca'!$A$3:$S$910,10,FALSE)),0,VLOOKUP($A865,'Mutasi Neraca'!$A$3:$S$910,10,FALSE))</f>
        <v>0</v>
      </c>
      <c r="L865" s="42">
        <f>VLOOKUP($A865,'Neraca Unaudited SIMAK'!$A$2:$R$1272,11,FALSE)+IF(ISNA(VLOOKUP($A865,'Mutasi Neraca'!$A$3:$S$910,11,FALSE)),0,VLOOKUP($A865,'Mutasi Neraca'!$A$3:$S$910,11,FALSE))</f>
        <v>0</v>
      </c>
      <c r="M865" s="42">
        <f>VLOOKUP($A865,'Neraca Unaudited SIMAK'!$A$2:$R$1272,12,FALSE)+IF(ISNA(VLOOKUP($A865,'Mutasi Neraca'!$A$3:$S$910,12,FALSE)),0,VLOOKUP($A865,'Mutasi Neraca'!$A$3:$S$910,12,FALSE))</f>
        <v>10000</v>
      </c>
      <c r="N865" s="42">
        <f>VLOOKUP($A865,'Neraca Unaudited SIMAK'!$A$2:$R$1272,13,FALSE)+IF(ISNA(VLOOKUP($A865,'Mutasi Neraca'!$A$3:$S$910,13,FALSE)),0,VLOOKUP($A865,'Mutasi Neraca'!$A$3:$S$910,13,FALSE))</f>
        <v>0</v>
      </c>
      <c r="O865" s="42">
        <f>VLOOKUP($A865,'Neraca Unaudited SIMAK'!$A$2:$R$1272,14,FALSE)+IF(ISNA(VLOOKUP($A865,'Mutasi Neraca'!$A$3:$S$910,14,FALSE)),0,VLOOKUP($A865,'Mutasi Neraca'!$A$3:$S$910,14,FALSE))</f>
        <v>0</v>
      </c>
      <c r="P865" s="42">
        <f>VLOOKUP($A865,'Neraca Unaudited SIMAK'!$A$2:$R$1272,15,FALSE)+IF(ISNA(VLOOKUP($A865,'Mutasi Neraca'!$A$3:$S$910,15,FALSE)),0,VLOOKUP($A865,'Mutasi Neraca'!$A$3:$S$910,15,FALSE))</f>
        <v>0</v>
      </c>
      <c r="Q865" s="42">
        <f>VLOOKUP($A865,'Neraca Unaudited SIMAK'!$A$2:$R$1272,16,FALSE)+IF(ISNA(VLOOKUP($A865,'Mutasi Neraca'!$A$3:$S$910,16,FALSE)),0,VLOOKUP($A865,'Mutasi Neraca'!$A$3:$S$910,16,FALSE))</f>
        <v>0</v>
      </c>
      <c r="R865" s="42">
        <f>VLOOKUP($A865,'Neraca Unaudited SIMAK'!$A$2:$R$1272,17,FALSE)+IF(ISNA(VLOOKUP($A865,'Mutasi Neraca'!$A$3:$S$910,17,FALSE)),0,VLOOKUP($A865,'Mutasi Neraca'!$A$3:$S$910,17,FALSE))</f>
        <v>0</v>
      </c>
      <c r="S865" s="42">
        <f t="shared" si="69"/>
        <v>10000</v>
      </c>
    </row>
    <row r="866" spans="1:19">
      <c r="A866" s="41" t="s">
        <v>870</v>
      </c>
      <c r="B866" s="41" t="str">
        <f t="shared" si="68"/>
        <v>005030300</v>
      </c>
      <c r="D866" s="42">
        <f>VLOOKUP($A866,'Neraca Unaudited SIMAK'!$A$2:$R$1272,3,FALSE)+IF(ISNA(VLOOKUP($A866,'Mutasi Neraca'!$A$3:$S$910,3,FALSE)),0,VLOOKUP($A866,'Mutasi Neraca'!$A$3:$S$910,3,FALSE))</f>
        <v>0</v>
      </c>
      <c r="E866" s="42">
        <f>VLOOKUP($A866,'Neraca Unaudited SIMAK'!$A$2:$R$1272,4,FALSE)+IF(ISNA(VLOOKUP($A866,'Mutasi Neraca'!$A$3:$S$910,4,FALSE)),0,VLOOKUP($A866,'Mutasi Neraca'!$A$3:$S$910,4,FALSE))</f>
        <v>0</v>
      </c>
      <c r="F866" s="42">
        <f>VLOOKUP($A866,'Neraca Unaudited SIMAK'!$A$2:$R$1272,5,FALSE)+IF(ISNA(VLOOKUP($A866,'Mutasi Neraca'!$A$3:$S$910,5,FALSE)),0,VLOOKUP($A866,'Mutasi Neraca'!$A$3:$S$910,5,FALSE))</f>
        <v>0</v>
      </c>
      <c r="G866" s="42">
        <f>VLOOKUP($A866,'Neraca Unaudited SIMAK'!$A$2:$R$1272,6,FALSE)+IF(ISNA(VLOOKUP($A866,'Mutasi Neraca'!$A$3:$S$910,6,FALSE)),0,VLOOKUP($A866,'Mutasi Neraca'!$A$3:$S$910,6,FALSE))</f>
        <v>0</v>
      </c>
      <c r="H866" s="42">
        <f>VLOOKUP($A866,'Neraca Unaudited SIMAK'!$A$2:$R$1272,7,FALSE)+IF(ISNA(VLOOKUP($A866,'Mutasi Neraca'!$A$3:$S$910,7,FALSE)),0,VLOOKUP($A866,'Mutasi Neraca'!$A$3:$S$910,7,FALSE))</f>
        <v>0</v>
      </c>
      <c r="I866" s="42">
        <f>VLOOKUP($A866,'Neraca Unaudited SIMAK'!$A$2:$R$1272,8,FALSE)+IF(ISNA(VLOOKUP($A866,'Mutasi Neraca'!$A$3:$S$910,8,FALSE)),0,VLOOKUP($A866,'Mutasi Neraca'!$A$3:$S$910,8,FALSE))</f>
        <v>0</v>
      </c>
      <c r="J866" s="42">
        <f>VLOOKUP($A866,'Neraca Unaudited SIMAK'!$A$2:$R$1272,9,FALSE)+IF(ISNA(VLOOKUP($A866,'Mutasi Neraca'!$A$3:$S$910,9,FALSE)),0,VLOOKUP($A866,'Mutasi Neraca'!$A$3:$S$910,9,FALSE))</f>
        <v>0</v>
      </c>
      <c r="K866" s="42">
        <f>VLOOKUP($A866,'Neraca Unaudited SIMAK'!$A$2:$R$1272,10,FALSE)+IF(ISNA(VLOOKUP($A866,'Mutasi Neraca'!$A$3:$S$910,10,FALSE)),0,VLOOKUP($A866,'Mutasi Neraca'!$A$3:$S$910,10,FALSE))</f>
        <v>0</v>
      </c>
      <c r="L866" s="42">
        <f>VLOOKUP($A866,'Neraca Unaudited SIMAK'!$A$2:$R$1272,11,FALSE)+IF(ISNA(VLOOKUP($A866,'Mutasi Neraca'!$A$3:$S$910,11,FALSE)),0,VLOOKUP($A866,'Mutasi Neraca'!$A$3:$S$910,11,FALSE))</f>
        <v>0</v>
      </c>
      <c r="M866" s="42">
        <f>VLOOKUP($A866,'Neraca Unaudited SIMAK'!$A$2:$R$1272,12,FALSE)+IF(ISNA(VLOOKUP($A866,'Mutasi Neraca'!$A$3:$S$910,12,FALSE)),0,VLOOKUP($A866,'Mutasi Neraca'!$A$3:$S$910,12,FALSE))</f>
        <v>0</v>
      </c>
      <c r="N866" s="42">
        <f>VLOOKUP($A866,'Neraca Unaudited SIMAK'!$A$2:$R$1272,13,FALSE)+IF(ISNA(VLOOKUP($A866,'Mutasi Neraca'!$A$3:$S$910,13,FALSE)),0,VLOOKUP($A866,'Mutasi Neraca'!$A$3:$S$910,13,FALSE))</f>
        <v>0</v>
      </c>
      <c r="O866" s="42">
        <f>VLOOKUP($A866,'Neraca Unaudited SIMAK'!$A$2:$R$1272,14,FALSE)+IF(ISNA(VLOOKUP($A866,'Mutasi Neraca'!$A$3:$S$910,14,FALSE)),0,VLOOKUP($A866,'Mutasi Neraca'!$A$3:$S$910,14,FALSE))</f>
        <v>0</v>
      </c>
      <c r="P866" s="42">
        <f>VLOOKUP($A866,'Neraca Unaudited SIMAK'!$A$2:$R$1272,15,FALSE)+IF(ISNA(VLOOKUP($A866,'Mutasi Neraca'!$A$3:$S$910,15,FALSE)),0,VLOOKUP($A866,'Mutasi Neraca'!$A$3:$S$910,15,FALSE))</f>
        <v>0</v>
      </c>
      <c r="Q866" s="42">
        <f>VLOOKUP($A866,'Neraca Unaudited SIMAK'!$A$2:$R$1272,16,FALSE)+IF(ISNA(VLOOKUP($A866,'Mutasi Neraca'!$A$3:$S$910,16,FALSE)),0,VLOOKUP($A866,'Mutasi Neraca'!$A$3:$S$910,16,FALSE))</f>
        <v>0</v>
      </c>
      <c r="R866" s="42">
        <f>VLOOKUP($A866,'Neraca Unaudited SIMAK'!$A$2:$R$1272,17,FALSE)+IF(ISNA(VLOOKUP($A866,'Mutasi Neraca'!$A$3:$S$910,17,FALSE)),0,VLOOKUP($A866,'Mutasi Neraca'!$A$3:$S$910,17,FALSE))</f>
        <v>0</v>
      </c>
      <c r="S866" s="42">
        <f t="shared" si="69"/>
        <v>0</v>
      </c>
    </row>
    <row r="867" spans="1:19">
      <c r="A867" s="41" t="s">
        <v>871</v>
      </c>
      <c r="B867" s="41" t="str">
        <f t="shared" si="68"/>
        <v>005030300</v>
      </c>
      <c r="D867" s="42">
        <f>VLOOKUP($A867,'Neraca Unaudited SIMAK'!$A$2:$R$1272,3,FALSE)+IF(ISNA(VLOOKUP($A867,'Mutasi Neraca'!$A$3:$S$910,3,FALSE)),0,VLOOKUP($A867,'Mutasi Neraca'!$A$3:$S$910,3,FALSE))</f>
        <v>68500</v>
      </c>
      <c r="E867" s="42">
        <f>VLOOKUP($A867,'Neraca Unaudited SIMAK'!$A$2:$R$1272,4,FALSE)+IF(ISNA(VLOOKUP($A867,'Mutasi Neraca'!$A$3:$S$910,4,FALSE)),0,VLOOKUP($A867,'Mutasi Neraca'!$A$3:$S$910,4,FALSE))</f>
        <v>0</v>
      </c>
      <c r="F867" s="42">
        <f>VLOOKUP($A867,'Neraca Unaudited SIMAK'!$A$2:$R$1272,5,FALSE)+IF(ISNA(VLOOKUP($A867,'Mutasi Neraca'!$A$3:$S$910,5,FALSE)),0,VLOOKUP($A867,'Mutasi Neraca'!$A$3:$S$910,5,FALSE))</f>
        <v>0</v>
      </c>
      <c r="G867" s="42">
        <f>VLOOKUP($A867,'Neraca Unaudited SIMAK'!$A$2:$R$1272,6,FALSE)+IF(ISNA(VLOOKUP($A867,'Mutasi Neraca'!$A$3:$S$910,6,FALSE)),0,VLOOKUP($A867,'Mutasi Neraca'!$A$3:$S$910,6,FALSE))</f>
        <v>0</v>
      </c>
      <c r="H867" s="42">
        <f>VLOOKUP($A867,'Neraca Unaudited SIMAK'!$A$2:$R$1272,7,FALSE)+IF(ISNA(VLOOKUP($A867,'Mutasi Neraca'!$A$3:$S$910,7,FALSE)),0,VLOOKUP($A867,'Mutasi Neraca'!$A$3:$S$910,7,FALSE))</f>
        <v>0</v>
      </c>
      <c r="I867" s="42">
        <f>VLOOKUP($A867,'Neraca Unaudited SIMAK'!$A$2:$R$1272,8,FALSE)+IF(ISNA(VLOOKUP($A867,'Mutasi Neraca'!$A$3:$S$910,8,FALSE)),0,VLOOKUP($A867,'Mutasi Neraca'!$A$3:$S$910,8,FALSE))</f>
        <v>0</v>
      </c>
      <c r="J867" s="42">
        <f>VLOOKUP($A867,'Neraca Unaudited SIMAK'!$A$2:$R$1272,9,FALSE)+IF(ISNA(VLOOKUP($A867,'Mutasi Neraca'!$A$3:$S$910,9,FALSE)),0,VLOOKUP($A867,'Mutasi Neraca'!$A$3:$S$910,9,FALSE))</f>
        <v>0</v>
      </c>
      <c r="K867" s="42">
        <f>VLOOKUP($A867,'Neraca Unaudited SIMAK'!$A$2:$R$1272,10,FALSE)+IF(ISNA(VLOOKUP($A867,'Mutasi Neraca'!$A$3:$S$910,10,FALSE)),0,VLOOKUP($A867,'Mutasi Neraca'!$A$3:$S$910,10,FALSE))</f>
        <v>0</v>
      </c>
      <c r="L867" s="42">
        <f>VLOOKUP($A867,'Neraca Unaudited SIMAK'!$A$2:$R$1272,11,FALSE)+IF(ISNA(VLOOKUP($A867,'Mutasi Neraca'!$A$3:$S$910,11,FALSE)),0,VLOOKUP($A867,'Mutasi Neraca'!$A$3:$S$910,11,FALSE))</f>
        <v>0</v>
      </c>
      <c r="M867" s="42">
        <f>VLOOKUP($A867,'Neraca Unaudited SIMAK'!$A$2:$R$1272,12,FALSE)+IF(ISNA(VLOOKUP($A867,'Mutasi Neraca'!$A$3:$S$910,12,FALSE)),0,VLOOKUP($A867,'Mutasi Neraca'!$A$3:$S$910,12,FALSE))</f>
        <v>68500</v>
      </c>
      <c r="N867" s="42">
        <f>VLOOKUP($A867,'Neraca Unaudited SIMAK'!$A$2:$R$1272,13,FALSE)+IF(ISNA(VLOOKUP($A867,'Mutasi Neraca'!$A$3:$S$910,13,FALSE)),0,VLOOKUP($A867,'Mutasi Neraca'!$A$3:$S$910,13,FALSE))</f>
        <v>0</v>
      </c>
      <c r="O867" s="42">
        <f>VLOOKUP($A867,'Neraca Unaudited SIMAK'!$A$2:$R$1272,14,FALSE)+IF(ISNA(VLOOKUP($A867,'Mutasi Neraca'!$A$3:$S$910,14,FALSE)),0,VLOOKUP($A867,'Mutasi Neraca'!$A$3:$S$910,14,FALSE))</f>
        <v>0</v>
      </c>
      <c r="P867" s="42">
        <f>VLOOKUP($A867,'Neraca Unaudited SIMAK'!$A$2:$R$1272,15,FALSE)+IF(ISNA(VLOOKUP($A867,'Mutasi Neraca'!$A$3:$S$910,15,FALSE)),0,VLOOKUP($A867,'Mutasi Neraca'!$A$3:$S$910,15,FALSE))</f>
        <v>0</v>
      </c>
      <c r="Q867" s="42">
        <f>VLOOKUP($A867,'Neraca Unaudited SIMAK'!$A$2:$R$1272,16,FALSE)+IF(ISNA(VLOOKUP($A867,'Mutasi Neraca'!$A$3:$S$910,16,FALSE)),0,VLOOKUP($A867,'Mutasi Neraca'!$A$3:$S$910,16,FALSE))</f>
        <v>0</v>
      </c>
      <c r="R867" s="42">
        <f>VLOOKUP($A867,'Neraca Unaudited SIMAK'!$A$2:$R$1272,17,FALSE)+IF(ISNA(VLOOKUP($A867,'Mutasi Neraca'!$A$3:$S$910,17,FALSE)),0,VLOOKUP($A867,'Mutasi Neraca'!$A$3:$S$910,17,FALSE))</f>
        <v>0</v>
      </c>
      <c r="S867" s="42">
        <f t="shared" si="69"/>
        <v>68500</v>
      </c>
    </row>
    <row r="868" spans="1:19">
      <c r="A868" s="41" t="s">
        <v>872</v>
      </c>
      <c r="B868" s="41" t="str">
        <f t="shared" si="68"/>
        <v>005030300</v>
      </c>
      <c r="D868" s="42">
        <f>VLOOKUP($A868,'Neraca Unaudited SIMAK'!$A$2:$R$1272,3,FALSE)+IF(ISNA(VLOOKUP($A868,'Mutasi Neraca'!$A$3:$S$910,3,FALSE)),0,VLOOKUP($A868,'Mutasi Neraca'!$A$3:$S$910,3,FALSE))</f>
        <v>210000</v>
      </c>
      <c r="E868" s="42">
        <f>VLOOKUP($A868,'Neraca Unaudited SIMAK'!$A$2:$R$1272,4,FALSE)+IF(ISNA(VLOOKUP($A868,'Mutasi Neraca'!$A$3:$S$910,4,FALSE)),0,VLOOKUP($A868,'Mutasi Neraca'!$A$3:$S$910,4,FALSE))</f>
        <v>0</v>
      </c>
      <c r="F868" s="42">
        <f>VLOOKUP($A868,'Neraca Unaudited SIMAK'!$A$2:$R$1272,5,FALSE)+IF(ISNA(VLOOKUP($A868,'Mutasi Neraca'!$A$3:$S$910,5,FALSE)),0,VLOOKUP($A868,'Mutasi Neraca'!$A$3:$S$910,5,FALSE))</f>
        <v>0</v>
      </c>
      <c r="G868" s="42">
        <f>VLOOKUP($A868,'Neraca Unaudited SIMAK'!$A$2:$R$1272,6,FALSE)+IF(ISNA(VLOOKUP($A868,'Mutasi Neraca'!$A$3:$S$910,6,FALSE)),0,VLOOKUP($A868,'Mutasi Neraca'!$A$3:$S$910,6,FALSE))</f>
        <v>0</v>
      </c>
      <c r="H868" s="42">
        <f>VLOOKUP($A868,'Neraca Unaudited SIMAK'!$A$2:$R$1272,7,FALSE)+IF(ISNA(VLOOKUP($A868,'Mutasi Neraca'!$A$3:$S$910,7,FALSE)),0,VLOOKUP($A868,'Mutasi Neraca'!$A$3:$S$910,7,FALSE))</f>
        <v>0</v>
      </c>
      <c r="I868" s="42">
        <f>VLOOKUP($A868,'Neraca Unaudited SIMAK'!$A$2:$R$1272,8,FALSE)+IF(ISNA(VLOOKUP($A868,'Mutasi Neraca'!$A$3:$S$910,8,FALSE)),0,VLOOKUP($A868,'Mutasi Neraca'!$A$3:$S$910,8,FALSE))</f>
        <v>0</v>
      </c>
      <c r="J868" s="42">
        <f>VLOOKUP($A868,'Neraca Unaudited SIMAK'!$A$2:$R$1272,9,FALSE)+IF(ISNA(VLOOKUP($A868,'Mutasi Neraca'!$A$3:$S$910,9,FALSE)),0,VLOOKUP($A868,'Mutasi Neraca'!$A$3:$S$910,9,FALSE))</f>
        <v>0</v>
      </c>
      <c r="K868" s="42">
        <f>VLOOKUP($A868,'Neraca Unaudited SIMAK'!$A$2:$R$1272,10,FALSE)+IF(ISNA(VLOOKUP($A868,'Mutasi Neraca'!$A$3:$S$910,10,FALSE)),0,VLOOKUP($A868,'Mutasi Neraca'!$A$3:$S$910,10,FALSE))</f>
        <v>0</v>
      </c>
      <c r="L868" s="42">
        <f>VLOOKUP($A868,'Neraca Unaudited SIMAK'!$A$2:$R$1272,11,FALSE)+IF(ISNA(VLOOKUP($A868,'Mutasi Neraca'!$A$3:$S$910,11,FALSE)),0,VLOOKUP($A868,'Mutasi Neraca'!$A$3:$S$910,11,FALSE))</f>
        <v>0</v>
      </c>
      <c r="M868" s="42">
        <f>VLOOKUP($A868,'Neraca Unaudited SIMAK'!$A$2:$R$1272,12,FALSE)+IF(ISNA(VLOOKUP($A868,'Mutasi Neraca'!$A$3:$S$910,12,FALSE)),0,VLOOKUP($A868,'Mutasi Neraca'!$A$3:$S$910,12,FALSE))</f>
        <v>210000</v>
      </c>
      <c r="N868" s="42">
        <f>VLOOKUP($A868,'Neraca Unaudited SIMAK'!$A$2:$R$1272,13,FALSE)+IF(ISNA(VLOOKUP($A868,'Mutasi Neraca'!$A$3:$S$910,13,FALSE)),0,VLOOKUP($A868,'Mutasi Neraca'!$A$3:$S$910,13,FALSE))</f>
        <v>0</v>
      </c>
      <c r="O868" s="42">
        <f>VLOOKUP($A868,'Neraca Unaudited SIMAK'!$A$2:$R$1272,14,FALSE)+IF(ISNA(VLOOKUP($A868,'Mutasi Neraca'!$A$3:$S$910,14,FALSE)),0,VLOOKUP($A868,'Mutasi Neraca'!$A$3:$S$910,14,FALSE))</f>
        <v>0</v>
      </c>
      <c r="P868" s="42">
        <f>VLOOKUP($A868,'Neraca Unaudited SIMAK'!$A$2:$R$1272,15,FALSE)+IF(ISNA(VLOOKUP($A868,'Mutasi Neraca'!$A$3:$S$910,15,FALSE)),0,VLOOKUP($A868,'Mutasi Neraca'!$A$3:$S$910,15,FALSE))</f>
        <v>0</v>
      </c>
      <c r="Q868" s="42">
        <f>VLOOKUP($A868,'Neraca Unaudited SIMAK'!$A$2:$R$1272,16,FALSE)+IF(ISNA(VLOOKUP($A868,'Mutasi Neraca'!$A$3:$S$910,16,FALSE)),0,VLOOKUP($A868,'Mutasi Neraca'!$A$3:$S$910,16,FALSE))</f>
        <v>0</v>
      </c>
      <c r="R868" s="42">
        <f>VLOOKUP($A868,'Neraca Unaudited SIMAK'!$A$2:$R$1272,17,FALSE)+IF(ISNA(VLOOKUP($A868,'Mutasi Neraca'!$A$3:$S$910,17,FALSE)),0,VLOOKUP($A868,'Mutasi Neraca'!$A$3:$S$910,17,FALSE))</f>
        <v>0</v>
      </c>
      <c r="S868" s="42">
        <f t="shared" si="69"/>
        <v>210000</v>
      </c>
    </row>
    <row r="869" spans="1:19">
      <c r="A869" s="41" t="s">
        <v>873</v>
      </c>
      <c r="B869" s="41" t="str">
        <f t="shared" si="68"/>
        <v>005030300</v>
      </c>
      <c r="D869" s="42">
        <f>VLOOKUP($A869,'Neraca Unaudited SIMAK'!$A$2:$R$1272,3,FALSE)+IF(ISNA(VLOOKUP($A869,'Mutasi Neraca'!$A$3:$S$910,3,FALSE)),0,VLOOKUP($A869,'Mutasi Neraca'!$A$3:$S$910,3,FALSE))</f>
        <v>0</v>
      </c>
      <c r="E869" s="42">
        <f>VLOOKUP($A869,'Neraca Unaudited SIMAK'!$A$2:$R$1272,4,FALSE)+IF(ISNA(VLOOKUP($A869,'Mutasi Neraca'!$A$3:$S$910,4,FALSE)),0,VLOOKUP($A869,'Mutasi Neraca'!$A$3:$S$910,4,FALSE))</f>
        <v>0</v>
      </c>
      <c r="F869" s="42">
        <f>VLOOKUP($A869,'Neraca Unaudited SIMAK'!$A$2:$R$1272,5,FALSE)+IF(ISNA(VLOOKUP($A869,'Mutasi Neraca'!$A$3:$S$910,5,FALSE)),0,VLOOKUP($A869,'Mutasi Neraca'!$A$3:$S$910,5,FALSE))</f>
        <v>0</v>
      </c>
      <c r="G869" s="42">
        <f>VLOOKUP($A869,'Neraca Unaudited SIMAK'!$A$2:$R$1272,6,FALSE)+IF(ISNA(VLOOKUP($A869,'Mutasi Neraca'!$A$3:$S$910,6,FALSE)),0,VLOOKUP($A869,'Mutasi Neraca'!$A$3:$S$910,6,FALSE))</f>
        <v>0</v>
      </c>
      <c r="H869" s="42">
        <f>VLOOKUP($A869,'Neraca Unaudited SIMAK'!$A$2:$R$1272,7,FALSE)+IF(ISNA(VLOOKUP($A869,'Mutasi Neraca'!$A$3:$S$910,7,FALSE)),0,VLOOKUP($A869,'Mutasi Neraca'!$A$3:$S$910,7,FALSE))</f>
        <v>0</v>
      </c>
      <c r="I869" s="42">
        <f>VLOOKUP($A869,'Neraca Unaudited SIMAK'!$A$2:$R$1272,8,FALSE)+IF(ISNA(VLOOKUP($A869,'Mutasi Neraca'!$A$3:$S$910,8,FALSE)),0,VLOOKUP($A869,'Mutasi Neraca'!$A$3:$S$910,8,FALSE))</f>
        <v>0</v>
      </c>
      <c r="J869" s="42">
        <f>VLOOKUP($A869,'Neraca Unaudited SIMAK'!$A$2:$R$1272,9,FALSE)+IF(ISNA(VLOOKUP($A869,'Mutasi Neraca'!$A$3:$S$910,9,FALSE)),0,VLOOKUP($A869,'Mutasi Neraca'!$A$3:$S$910,9,FALSE))</f>
        <v>0</v>
      </c>
      <c r="K869" s="42">
        <f>VLOOKUP($A869,'Neraca Unaudited SIMAK'!$A$2:$R$1272,10,FALSE)+IF(ISNA(VLOOKUP($A869,'Mutasi Neraca'!$A$3:$S$910,10,FALSE)),0,VLOOKUP($A869,'Mutasi Neraca'!$A$3:$S$910,10,FALSE))</f>
        <v>0</v>
      </c>
      <c r="L869" s="42">
        <f>VLOOKUP($A869,'Neraca Unaudited SIMAK'!$A$2:$R$1272,11,FALSE)+IF(ISNA(VLOOKUP($A869,'Mutasi Neraca'!$A$3:$S$910,11,FALSE)),0,VLOOKUP($A869,'Mutasi Neraca'!$A$3:$S$910,11,FALSE))</f>
        <v>0</v>
      </c>
      <c r="M869" s="42">
        <f>VLOOKUP($A869,'Neraca Unaudited SIMAK'!$A$2:$R$1272,12,FALSE)+IF(ISNA(VLOOKUP($A869,'Mutasi Neraca'!$A$3:$S$910,12,FALSE)),0,VLOOKUP($A869,'Mutasi Neraca'!$A$3:$S$910,12,FALSE))</f>
        <v>0</v>
      </c>
      <c r="N869" s="42">
        <f>VLOOKUP($A869,'Neraca Unaudited SIMAK'!$A$2:$R$1272,13,FALSE)+IF(ISNA(VLOOKUP($A869,'Mutasi Neraca'!$A$3:$S$910,13,FALSE)),0,VLOOKUP($A869,'Mutasi Neraca'!$A$3:$S$910,13,FALSE))</f>
        <v>0</v>
      </c>
      <c r="O869" s="42">
        <f>VLOOKUP($A869,'Neraca Unaudited SIMAK'!$A$2:$R$1272,14,FALSE)+IF(ISNA(VLOOKUP($A869,'Mutasi Neraca'!$A$3:$S$910,14,FALSE)),0,VLOOKUP($A869,'Mutasi Neraca'!$A$3:$S$910,14,FALSE))</f>
        <v>0</v>
      </c>
      <c r="P869" s="42">
        <f>VLOOKUP($A869,'Neraca Unaudited SIMAK'!$A$2:$R$1272,15,FALSE)+IF(ISNA(VLOOKUP($A869,'Mutasi Neraca'!$A$3:$S$910,15,FALSE)),0,VLOOKUP($A869,'Mutasi Neraca'!$A$3:$S$910,15,FALSE))</f>
        <v>0</v>
      </c>
      <c r="Q869" s="42">
        <f>VLOOKUP($A869,'Neraca Unaudited SIMAK'!$A$2:$R$1272,16,FALSE)+IF(ISNA(VLOOKUP($A869,'Mutasi Neraca'!$A$3:$S$910,16,FALSE)),0,VLOOKUP($A869,'Mutasi Neraca'!$A$3:$S$910,16,FALSE))</f>
        <v>0</v>
      </c>
      <c r="R869" s="42">
        <f>VLOOKUP($A869,'Neraca Unaudited SIMAK'!$A$2:$R$1272,17,FALSE)+IF(ISNA(VLOOKUP($A869,'Mutasi Neraca'!$A$3:$S$910,17,FALSE)),0,VLOOKUP($A869,'Mutasi Neraca'!$A$3:$S$910,17,FALSE))</f>
        <v>0</v>
      </c>
      <c r="S869" s="42">
        <f t="shared" si="69"/>
        <v>0</v>
      </c>
    </row>
    <row r="870" spans="1:19">
      <c r="A870" s="41" t="s">
        <v>874</v>
      </c>
      <c r="B870" s="41" t="str">
        <f t="shared" si="68"/>
        <v>005030300</v>
      </c>
      <c r="D870" s="42">
        <f>VLOOKUP($A870,'Neraca Unaudited SIMAK'!$A$2:$R$1272,3,FALSE)+IF(ISNA(VLOOKUP($A870,'Mutasi Neraca'!$A$3:$S$910,3,FALSE)),0,VLOOKUP($A870,'Mutasi Neraca'!$A$3:$S$910,3,FALSE))</f>
        <v>275000</v>
      </c>
      <c r="E870" s="42">
        <f>VLOOKUP($A870,'Neraca Unaudited SIMAK'!$A$2:$R$1272,4,FALSE)+IF(ISNA(VLOOKUP($A870,'Mutasi Neraca'!$A$3:$S$910,4,FALSE)),0,VLOOKUP($A870,'Mutasi Neraca'!$A$3:$S$910,4,FALSE))</f>
        <v>0</v>
      </c>
      <c r="F870" s="42">
        <f>VLOOKUP($A870,'Neraca Unaudited SIMAK'!$A$2:$R$1272,5,FALSE)+IF(ISNA(VLOOKUP($A870,'Mutasi Neraca'!$A$3:$S$910,5,FALSE)),0,VLOOKUP($A870,'Mutasi Neraca'!$A$3:$S$910,5,FALSE))</f>
        <v>0</v>
      </c>
      <c r="G870" s="42">
        <f>VLOOKUP($A870,'Neraca Unaudited SIMAK'!$A$2:$R$1272,6,FALSE)+IF(ISNA(VLOOKUP($A870,'Mutasi Neraca'!$A$3:$S$910,6,FALSE)),0,VLOOKUP($A870,'Mutasi Neraca'!$A$3:$S$910,6,FALSE))</f>
        <v>0</v>
      </c>
      <c r="H870" s="42">
        <f>VLOOKUP($A870,'Neraca Unaudited SIMAK'!$A$2:$R$1272,7,FALSE)+IF(ISNA(VLOOKUP($A870,'Mutasi Neraca'!$A$3:$S$910,7,FALSE)),0,VLOOKUP($A870,'Mutasi Neraca'!$A$3:$S$910,7,FALSE))</f>
        <v>0</v>
      </c>
      <c r="I870" s="42">
        <f>VLOOKUP($A870,'Neraca Unaudited SIMAK'!$A$2:$R$1272,8,FALSE)+IF(ISNA(VLOOKUP($A870,'Mutasi Neraca'!$A$3:$S$910,8,FALSE)),0,VLOOKUP($A870,'Mutasi Neraca'!$A$3:$S$910,8,FALSE))</f>
        <v>0</v>
      </c>
      <c r="J870" s="42">
        <f>VLOOKUP($A870,'Neraca Unaudited SIMAK'!$A$2:$R$1272,9,FALSE)+IF(ISNA(VLOOKUP($A870,'Mutasi Neraca'!$A$3:$S$910,9,FALSE)),0,VLOOKUP($A870,'Mutasi Neraca'!$A$3:$S$910,9,FALSE))</f>
        <v>0</v>
      </c>
      <c r="K870" s="42">
        <f>VLOOKUP($A870,'Neraca Unaudited SIMAK'!$A$2:$R$1272,10,FALSE)+IF(ISNA(VLOOKUP($A870,'Mutasi Neraca'!$A$3:$S$910,10,FALSE)),0,VLOOKUP($A870,'Mutasi Neraca'!$A$3:$S$910,10,FALSE))</f>
        <v>0</v>
      </c>
      <c r="L870" s="42">
        <f>VLOOKUP($A870,'Neraca Unaudited SIMAK'!$A$2:$R$1272,11,FALSE)+IF(ISNA(VLOOKUP($A870,'Mutasi Neraca'!$A$3:$S$910,11,FALSE)),0,VLOOKUP($A870,'Mutasi Neraca'!$A$3:$S$910,11,FALSE))</f>
        <v>0</v>
      </c>
      <c r="M870" s="42">
        <f>VLOOKUP($A870,'Neraca Unaudited SIMAK'!$A$2:$R$1272,12,FALSE)+IF(ISNA(VLOOKUP($A870,'Mutasi Neraca'!$A$3:$S$910,12,FALSE)),0,VLOOKUP($A870,'Mutasi Neraca'!$A$3:$S$910,12,FALSE))</f>
        <v>275000</v>
      </c>
      <c r="N870" s="42">
        <f>VLOOKUP($A870,'Neraca Unaudited SIMAK'!$A$2:$R$1272,13,FALSE)+IF(ISNA(VLOOKUP($A870,'Mutasi Neraca'!$A$3:$S$910,13,FALSE)),0,VLOOKUP($A870,'Mutasi Neraca'!$A$3:$S$910,13,FALSE))</f>
        <v>0</v>
      </c>
      <c r="O870" s="42">
        <f>VLOOKUP($A870,'Neraca Unaudited SIMAK'!$A$2:$R$1272,14,FALSE)+IF(ISNA(VLOOKUP($A870,'Mutasi Neraca'!$A$3:$S$910,14,FALSE)),0,VLOOKUP($A870,'Mutasi Neraca'!$A$3:$S$910,14,FALSE))</f>
        <v>0</v>
      </c>
      <c r="P870" s="42">
        <f>VLOOKUP($A870,'Neraca Unaudited SIMAK'!$A$2:$R$1272,15,FALSE)+IF(ISNA(VLOOKUP($A870,'Mutasi Neraca'!$A$3:$S$910,15,FALSE)),0,VLOOKUP($A870,'Mutasi Neraca'!$A$3:$S$910,15,FALSE))</f>
        <v>0</v>
      </c>
      <c r="Q870" s="42">
        <f>VLOOKUP($A870,'Neraca Unaudited SIMAK'!$A$2:$R$1272,16,FALSE)+IF(ISNA(VLOOKUP($A870,'Mutasi Neraca'!$A$3:$S$910,16,FALSE)),0,VLOOKUP($A870,'Mutasi Neraca'!$A$3:$S$910,16,FALSE))</f>
        <v>0</v>
      </c>
      <c r="R870" s="42">
        <f>VLOOKUP($A870,'Neraca Unaudited SIMAK'!$A$2:$R$1272,17,FALSE)+IF(ISNA(VLOOKUP($A870,'Mutasi Neraca'!$A$3:$S$910,17,FALSE)),0,VLOOKUP($A870,'Mutasi Neraca'!$A$3:$S$910,17,FALSE))</f>
        <v>0</v>
      </c>
      <c r="S870" s="42">
        <f t="shared" si="69"/>
        <v>275000</v>
      </c>
    </row>
    <row r="871" spans="1:19">
      <c r="A871" s="41" t="s">
        <v>875</v>
      </c>
      <c r="B871" s="41" t="str">
        <f t="shared" si="68"/>
        <v>005030300</v>
      </c>
      <c r="D871" s="42">
        <f>VLOOKUP($A871,'Neraca Unaudited SIMAK'!$A$2:$R$1272,3,FALSE)+IF(ISNA(VLOOKUP($A871,'Mutasi Neraca'!$A$3:$S$910,3,FALSE)),0,VLOOKUP($A871,'Mutasi Neraca'!$A$3:$S$910,3,FALSE))</f>
        <v>6770400</v>
      </c>
      <c r="E871" s="42">
        <f>VLOOKUP($A871,'Neraca Unaudited SIMAK'!$A$2:$R$1272,4,FALSE)+IF(ISNA(VLOOKUP($A871,'Mutasi Neraca'!$A$3:$S$910,4,FALSE)),0,VLOOKUP($A871,'Mutasi Neraca'!$A$3:$S$910,4,FALSE))</f>
        <v>0</v>
      </c>
      <c r="F871" s="42">
        <f>VLOOKUP($A871,'Neraca Unaudited SIMAK'!$A$2:$R$1272,5,FALSE)+IF(ISNA(VLOOKUP($A871,'Mutasi Neraca'!$A$3:$S$910,5,FALSE)),0,VLOOKUP($A871,'Mutasi Neraca'!$A$3:$S$910,5,FALSE))</f>
        <v>0</v>
      </c>
      <c r="G871" s="42">
        <f>VLOOKUP($A871,'Neraca Unaudited SIMAK'!$A$2:$R$1272,6,FALSE)+IF(ISNA(VLOOKUP($A871,'Mutasi Neraca'!$A$3:$S$910,6,FALSE)),0,VLOOKUP($A871,'Mutasi Neraca'!$A$3:$S$910,6,FALSE))</f>
        <v>0</v>
      </c>
      <c r="H871" s="42">
        <f>VLOOKUP($A871,'Neraca Unaudited SIMAK'!$A$2:$R$1272,7,FALSE)+IF(ISNA(VLOOKUP($A871,'Mutasi Neraca'!$A$3:$S$910,7,FALSE)),0,VLOOKUP($A871,'Mutasi Neraca'!$A$3:$S$910,7,FALSE))</f>
        <v>0</v>
      </c>
      <c r="I871" s="42">
        <f>VLOOKUP($A871,'Neraca Unaudited SIMAK'!$A$2:$R$1272,8,FALSE)+IF(ISNA(VLOOKUP($A871,'Mutasi Neraca'!$A$3:$S$910,8,FALSE)),0,VLOOKUP($A871,'Mutasi Neraca'!$A$3:$S$910,8,FALSE))</f>
        <v>0</v>
      </c>
      <c r="J871" s="42">
        <f>VLOOKUP($A871,'Neraca Unaudited SIMAK'!$A$2:$R$1272,9,FALSE)+IF(ISNA(VLOOKUP($A871,'Mutasi Neraca'!$A$3:$S$910,9,FALSE)),0,VLOOKUP($A871,'Mutasi Neraca'!$A$3:$S$910,9,FALSE))</f>
        <v>0</v>
      </c>
      <c r="K871" s="42">
        <f>VLOOKUP($A871,'Neraca Unaudited SIMAK'!$A$2:$R$1272,10,FALSE)+IF(ISNA(VLOOKUP($A871,'Mutasi Neraca'!$A$3:$S$910,10,FALSE)),0,VLOOKUP($A871,'Mutasi Neraca'!$A$3:$S$910,10,FALSE))</f>
        <v>0</v>
      </c>
      <c r="L871" s="42">
        <f>VLOOKUP($A871,'Neraca Unaudited SIMAK'!$A$2:$R$1272,11,FALSE)+IF(ISNA(VLOOKUP($A871,'Mutasi Neraca'!$A$3:$S$910,11,FALSE)),0,VLOOKUP($A871,'Mutasi Neraca'!$A$3:$S$910,11,FALSE))</f>
        <v>0</v>
      </c>
      <c r="M871" s="42">
        <f>VLOOKUP($A871,'Neraca Unaudited SIMAK'!$A$2:$R$1272,12,FALSE)+IF(ISNA(VLOOKUP($A871,'Mutasi Neraca'!$A$3:$S$910,12,FALSE)),0,VLOOKUP($A871,'Mutasi Neraca'!$A$3:$S$910,12,FALSE))</f>
        <v>6770400</v>
      </c>
      <c r="N871" s="42">
        <f>VLOOKUP($A871,'Neraca Unaudited SIMAK'!$A$2:$R$1272,13,FALSE)+IF(ISNA(VLOOKUP($A871,'Mutasi Neraca'!$A$3:$S$910,13,FALSE)),0,VLOOKUP($A871,'Mutasi Neraca'!$A$3:$S$910,13,FALSE))</f>
        <v>0</v>
      </c>
      <c r="O871" s="42">
        <f>VLOOKUP($A871,'Neraca Unaudited SIMAK'!$A$2:$R$1272,14,FALSE)+IF(ISNA(VLOOKUP($A871,'Mutasi Neraca'!$A$3:$S$910,14,FALSE)),0,VLOOKUP($A871,'Mutasi Neraca'!$A$3:$S$910,14,FALSE))</f>
        <v>0</v>
      </c>
      <c r="P871" s="42">
        <f>VLOOKUP($A871,'Neraca Unaudited SIMAK'!$A$2:$R$1272,15,FALSE)+IF(ISNA(VLOOKUP($A871,'Mutasi Neraca'!$A$3:$S$910,15,FALSE)),0,VLOOKUP($A871,'Mutasi Neraca'!$A$3:$S$910,15,FALSE))</f>
        <v>0</v>
      </c>
      <c r="Q871" s="42">
        <f>VLOOKUP($A871,'Neraca Unaudited SIMAK'!$A$2:$R$1272,16,FALSE)+IF(ISNA(VLOOKUP($A871,'Mutasi Neraca'!$A$3:$S$910,16,FALSE)),0,VLOOKUP($A871,'Mutasi Neraca'!$A$3:$S$910,16,FALSE))</f>
        <v>0</v>
      </c>
      <c r="R871" s="42">
        <f>VLOOKUP($A871,'Neraca Unaudited SIMAK'!$A$2:$R$1272,17,FALSE)+IF(ISNA(VLOOKUP($A871,'Mutasi Neraca'!$A$3:$S$910,17,FALSE)),0,VLOOKUP($A871,'Mutasi Neraca'!$A$3:$S$910,17,FALSE))</f>
        <v>0</v>
      </c>
      <c r="S871" s="42">
        <f t="shared" si="69"/>
        <v>6770400</v>
      </c>
    </row>
    <row r="872" spans="1:19">
      <c r="A872" s="41" t="s">
        <v>876</v>
      </c>
      <c r="B872" s="41" t="str">
        <f t="shared" si="68"/>
        <v>005030300</v>
      </c>
      <c r="D872" s="42">
        <f>VLOOKUP($A872,'Neraca Unaudited SIMAK'!$A$2:$R$1272,3,FALSE)+IF(ISNA(VLOOKUP($A872,'Mutasi Neraca'!$A$3:$S$910,3,FALSE)),0,VLOOKUP($A872,'Mutasi Neraca'!$A$3:$S$910,3,FALSE))</f>
        <v>2129720</v>
      </c>
      <c r="E872" s="42">
        <f>VLOOKUP($A872,'Neraca Unaudited SIMAK'!$A$2:$R$1272,4,FALSE)+IF(ISNA(VLOOKUP($A872,'Mutasi Neraca'!$A$3:$S$910,4,FALSE)),0,VLOOKUP($A872,'Mutasi Neraca'!$A$3:$S$910,4,FALSE))</f>
        <v>0</v>
      </c>
      <c r="F872" s="42">
        <f>VLOOKUP($A872,'Neraca Unaudited SIMAK'!$A$2:$R$1272,5,FALSE)+IF(ISNA(VLOOKUP($A872,'Mutasi Neraca'!$A$3:$S$910,5,FALSE)),0,VLOOKUP($A872,'Mutasi Neraca'!$A$3:$S$910,5,FALSE))</f>
        <v>0</v>
      </c>
      <c r="G872" s="42">
        <f>VLOOKUP($A872,'Neraca Unaudited SIMAK'!$A$2:$R$1272,6,FALSE)+IF(ISNA(VLOOKUP($A872,'Mutasi Neraca'!$A$3:$S$910,6,FALSE)),0,VLOOKUP($A872,'Mutasi Neraca'!$A$3:$S$910,6,FALSE))</f>
        <v>0</v>
      </c>
      <c r="H872" s="42">
        <f>VLOOKUP($A872,'Neraca Unaudited SIMAK'!$A$2:$R$1272,7,FALSE)+IF(ISNA(VLOOKUP($A872,'Mutasi Neraca'!$A$3:$S$910,7,FALSE)),0,VLOOKUP($A872,'Mutasi Neraca'!$A$3:$S$910,7,FALSE))</f>
        <v>0</v>
      </c>
      <c r="I872" s="42">
        <f>VLOOKUP($A872,'Neraca Unaudited SIMAK'!$A$2:$R$1272,8,FALSE)+IF(ISNA(VLOOKUP($A872,'Mutasi Neraca'!$A$3:$S$910,8,FALSE)),0,VLOOKUP($A872,'Mutasi Neraca'!$A$3:$S$910,8,FALSE))</f>
        <v>0</v>
      </c>
      <c r="J872" s="42">
        <f>VLOOKUP($A872,'Neraca Unaudited SIMAK'!$A$2:$R$1272,9,FALSE)+IF(ISNA(VLOOKUP($A872,'Mutasi Neraca'!$A$3:$S$910,9,FALSE)),0,VLOOKUP($A872,'Mutasi Neraca'!$A$3:$S$910,9,FALSE))</f>
        <v>0</v>
      </c>
      <c r="K872" s="42">
        <f>VLOOKUP($A872,'Neraca Unaudited SIMAK'!$A$2:$R$1272,10,FALSE)+IF(ISNA(VLOOKUP($A872,'Mutasi Neraca'!$A$3:$S$910,10,FALSE)),0,VLOOKUP($A872,'Mutasi Neraca'!$A$3:$S$910,10,FALSE))</f>
        <v>0</v>
      </c>
      <c r="L872" s="42">
        <f>VLOOKUP($A872,'Neraca Unaudited SIMAK'!$A$2:$R$1272,11,FALSE)+IF(ISNA(VLOOKUP($A872,'Mutasi Neraca'!$A$3:$S$910,11,FALSE)),0,VLOOKUP($A872,'Mutasi Neraca'!$A$3:$S$910,11,FALSE))</f>
        <v>0</v>
      </c>
      <c r="M872" s="42">
        <f>VLOOKUP($A872,'Neraca Unaudited SIMAK'!$A$2:$R$1272,12,FALSE)+IF(ISNA(VLOOKUP($A872,'Mutasi Neraca'!$A$3:$S$910,12,FALSE)),0,VLOOKUP($A872,'Mutasi Neraca'!$A$3:$S$910,12,FALSE))</f>
        <v>2129720</v>
      </c>
      <c r="N872" s="42">
        <f>VLOOKUP($A872,'Neraca Unaudited SIMAK'!$A$2:$R$1272,13,FALSE)+IF(ISNA(VLOOKUP($A872,'Mutasi Neraca'!$A$3:$S$910,13,FALSE)),0,VLOOKUP($A872,'Mutasi Neraca'!$A$3:$S$910,13,FALSE))</f>
        <v>0</v>
      </c>
      <c r="O872" s="42">
        <f>VLOOKUP($A872,'Neraca Unaudited SIMAK'!$A$2:$R$1272,14,FALSE)+IF(ISNA(VLOOKUP($A872,'Mutasi Neraca'!$A$3:$S$910,14,FALSE)),0,VLOOKUP($A872,'Mutasi Neraca'!$A$3:$S$910,14,FALSE))</f>
        <v>0</v>
      </c>
      <c r="P872" s="42">
        <f>VLOOKUP($A872,'Neraca Unaudited SIMAK'!$A$2:$R$1272,15,FALSE)+IF(ISNA(VLOOKUP($A872,'Mutasi Neraca'!$A$3:$S$910,15,FALSE)),0,VLOOKUP($A872,'Mutasi Neraca'!$A$3:$S$910,15,FALSE))</f>
        <v>0</v>
      </c>
      <c r="Q872" s="42">
        <f>VLOOKUP($A872,'Neraca Unaudited SIMAK'!$A$2:$R$1272,16,FALSE)+IF(ISNA(VLOOKUP($A872,'Mutasi Neraca'!$A$3:$S$910,16,FALSE)),0,VLOOKUP($A872,'Mutasi Neraca'!$A$3:$S$910,16,FALSE))</f>
        <v>0</v>
      </c>
      <c r="R872" s="42">
        <f>VLOOKUP($A872,'Neraca Unaudited SIMAK'!$A$2:$R$1272,17,FALSE)+IF(ISNA(VLOOKUP($A872,'Mutasi Neraca'!$A$3:$S$910,17,FALSE)),0,VLOOKUP($A872,'Mutasi Neraca'!$A$3:$S$910,17,FALSE))</f>
        <v>0</v>
      </c>
      <c r="S872" s="42">
        <f t="shared" si="69"/>
        <v>2129720</v>
      </c>
    </row>
    <row r="873" spans="1:19">
      <c r="A873" s="41" t="s">
        <v>877</v>
      </c>
      <c r="B873" s="41" t="str">
        <f t="shared" si="68"/>
        <v>005030300</v>
      </c>
      <c r="D873" s="42">
        <f>VLOOKUP($A873,'Neraca Unaudited SIMAK'!$A$2:$R$1272,3,FALSE)+IF(ISNA(VLOOKUP($A873,'Mutasi Neraca'!$A$3:$S$910,3,FALSE)),0,VLOOKUP($A873,'Mutasi Neraca'!$A$3:$S$910,3,FALSE))</f>
        <v>486000</v>
      </c>
      <c r="E873" s="42">
        <f>VLOOKUP($A873,'Neraca Unaudited SIMAK'!$A$2:$R$1272,4,FALSE)+IF(ISNA(VLOOKUP($A873,'Mutasi Neraca'!$A$3:$S$910,4,FALSE)),0,VLOOKUP($A873,'Mutasi Neraca'!$A$3:$S$910,4,FALSE))</f>
        <v>0</v>
      </c>
      <c r="F873" s="42">
        <f>VLOOKUP($A873,'Neraca Unaudited SIMAK'!$A$2:$R$1272,5,FALSE)+IF(ISNA(VLOOKUP($A873,'Mutasi Neraca'!$A$3:$S$910,5,FALSE)),0,VLOOKUP($A873,'Mutasi Neraca'!$A$3:$S$910,5,FALSE))</f>
        <v>0</v>
      </c>
      <c r="G873" s="42">
        <f>VLOOKUP($A873,'Neraca Unaudited SIMAK'!$A$2:$R$1272,6,FALSE)+IF(ISNA(VLOOKUP($A873,'Mutasi Neraca'!$A$3:$S$910,6,FALSE)),0,VLOOKUP($A873,'Mutasi Neraca'!$A$3:$S$910,6,FALSE))</f>
        <v>0</v>
      </c>
      <c r="H873" s="42">
        <f>VLOOKUP($A873,'Neraca Unaudited SIMAK'!$A$2:$R$1272,7,FALSE)+IF(ISNA(VLOOKUP($A873,'Mutasi Neraca'!$A$3:$S$910,7,FALSE)),0,VLOOKUP($A873,'Mutasi Neraca'!$A$3:$S$910,7,FALSE))</f>
        <v>0</v>
      </c>
      <c r="I873" s="42">
        <f>VLOOKUP($A873,'Neraca Unaudited SIMAK'!$A$2:$R$1272,8,FALSE)+IF(ISNA(VLOOKUP($A873,'Mutasi Neraca'!$A$3:$S$910,8,FALSE)),0,VLOOKUP($A873,'Mutasi Neraca'!$A$3:$S$910,8,FALSE))</f>
        <v>0</v>
      </c>
      <c r="J873" s="42">
        <f>VLOOKUP($A873,'Neraca Unaudited SIMAK'!$A$2:$R$1272,9,FALSE)+IF(ISNA(VLOOKUP($A873,'Mutasi Neraca'!$A$3:$S$910,9,FALSE)),0,VLOOKUP($A873,'Mutasi Neraca'!$A$3:$S$910,9,FALSE))</f>
        <v>0</v>
      </c>
      <c r="K873" s="42">
        <f>VLOOKUP($A873,'Neraca Unaudited SIMAK'!$A$2:$R$1272,10,FALSE)+IF(ISNA(VLOOKUP($A873,'Mutasi Neraca'!$A$3:$S$910,10,FALSE)),0,VLOOKUP($A873,'Mutasi Neraca'!$A$3:$S$910,10,FALSE))</f>
        <v>0</v>
      </c>
      <c r="L873" s="42">
        <f>VLOOKUP($A873,'Neraca Unaudited SIMAK'!$A$2:$R$1272,11,FALSE)+IF(ISNA(VLOOKUP($A873,'Mutasi Neraca'!$A$3:$S$910,11,FALSE)),0,VLOOKUP($A873,'Mutasi Neraca'!$A$3:$S$910,11,FALSE))</f>
        <v>0</v>
      </c>
      <c r="M873" s="42">
        <f>VLOOKUP($A873,'Neraca Unaudited SIMAK'!$A$2:$R$1272,12,FALSE)+IF(ISNA(VLOOKUP($A873,'Mutasi Neraca'!$A$3:$S$910,12,FALSE)),0,VLOOKUP($A873,'Mutasi Neraca'!$A$3:$S$910,12,FALSE))</f>
        <v>486000</v>
      </c>
      <c r="N873" s="42">
        <f>VLOOKUP($A873,'Neraca Unaudited SIMAK'!$A$2:$R$1272,13,FALSE)+IF(ISNA(VLOOKUP($A873,'Mutasi Neraca'!$A$3:$S$910,13,FALSE)),0,VLOOKUP($A873,'Mutasi Neraca'!$A$3:$S$910,13,FALSE))</f>
        <v>0</v>
      </c>
      <c r="O873" s="42">
        <f>VLOOKUP($A873,'Neraca Unaudited SIMAK'!$A$2:$R$1272,14,FALSE)+IF(ISNA(VLOOKUP($A873,'Mutasi Neraca'!$A$3:$S$910,14,FALSE)),0,VLOOKUP($A873,'Mutasi Neraca'!$A$3:$S$910,14,FALSE))</f>
        <v>0</v>
      </c>
      <c r="P873" s="42">
        <f>VLOOKUP($A873,'Neraca Unaudited SIMAK'!$A$2:$R$1272,15,FALSE)+IF(ISNA(VLOOKUP($A873,'Mutasi Neraca'!$A$3:$S$910,15,FALSE)),0,VLOOKUP($A873,'Mutasi Neraca'!$A$3:$S$910,15,FALSE))</f>
        <v>0</v>
      </c>
      <c r="Q873" s="42">
        <f>VLOOKUP($A873,'Neraca Unaudited SIMAK'!$A$2:$R$1272,16,FALSE)+IF(ISNA(VLOOKUP($A873,'Mutasi Neraca'!$A$3:$S$910,16,FALSE)),0,VLOOKUP($A873,'Mutasi Neraca'!$A$3:$S$910,16,FALSE))</f>
        <v>0</v>
      </c>
      <c r="R873" s="42">
        <f>VLOOKUP($A873,'Neraca Unaudited SIMAK'!$A$2:$R$1272,17,FALSE)+IF(ISNA(VLOOKUP($A873,'Mutasi Neraca'!$A$3:$S$910,17,FALSE)),0,VLOOKUP($A873,'Mutasi Neraca'!$A$3:$S$910,17,FALSE))</f>
        <v>0</v>
      </c>
      <c r="S873" s="42">
        <f t="shared" si="69"/>
        <v>486000</v>
      </c>
    </row>
    <row r="874" spans="1:19">
      <c r="A874" s="41" t="s">
        <v>878</v>
      </c>
      <c r="B874" s="41" t="str">
        <f t="shared" si="68"/>
        <v>005030300</v>
      </c>
      <c r="D874" s="42">
        <f>VLOOKUP($A874,'Neraca Unaudited SIMAK'!$A$2:$R$1272,3,FALSE)+IF(ISNA(VLOOKUP($A874,'Mutasi Neraca'!$A$3:$S$910,3,FALSE)),0,VLOOKUP($A874,'Mutasi Neraca'!$A$3:$S$910,3,FALSE))</f>
        <v>518900</v>
      </c>
      <c r="E874" s="42">
        <f>VLOOKUP($A874,'Neraca Unaudited SIMAK'!$A$2:$R$1272,4,FALSE)+IF(ISNA(VLOOKUP($A874,'Mutasi Neraca'!$A$3:$S$910,4,FALSE)),0,VLOOKUP($A874,'Mutasi Neraca'!$A$3:$S$910,4,FALSE))</f>
        <v>0</v>
      </c>
      <c r="F874" s="42">
        <f>VLOOKUP($A874,'Neraca Unaudited SIMAK'!$A$2:$R$1272,5,FALSE)+IF(ISNA(VLOOKUP($A874,'Mutasi Neraca'!$A$3:$S$910,5,FALSE)),0,VLOOKUP($A874,'Mutasi Neraca'!$A$3:$S$910,5,FALSE))</f>
        <v>0</v>
      </c>
      <c r="G874" s="42">
        <f>VLOOKUP($A874,'Neraca Unaudited SIMAK'!$A$2:$R$1272,6,FALSE)+IF(ISNA(VLOOKUP($A874,'Mutasi Neraca'!$A$3:$S$910,6,FALSE)),0,VLOOKUP($A874,'Mutasi Neraca'!$A$3:$S$910,6,FALSE))</f>
        <v>0</v>
      </c>
      <c r="H874" s="42">
        <f>VLOOKUP($A874,'Neraca Unaudited SIMAK'!$A$2:$R$1272,7,FALSE)+IF(ISNA(VLOOKUP($A874,'Mutasi Neraca'!$A$3:$S$910,7,FALSE)),0,VLOOKUP($A874,'Mutasi Neraca'!$A$3:$S$910,7,FALSE))</f>
        <v>0</v>
      </c>
      <c r="I874" s="42">
        <f>VLOOKUP($A874,'Neraca Unaudited SIMAK'!$A$2:$R$1272,8,FALSE)+IF(ISNA(VLOOKUP($A874,'Mutasi Neraca'!$A$3:$S$910,8,FALSE)),0,VLOOKUP($A874,'Mutasi Neraca'!$A$3:$S$910,8,FALSE))</f>
        <v>0</v>
      </c>
      <c r="J874" s="42">
        <f>VLOOKUP($A874,'Neraca Unaudited SIMAK'!$A$2:$R$1272,9,FALSE)+IF(ISNA(VLOOKUP($A874,'Mutasi Neraca'!$A$3:$S$910,9,FALSE)),0,VLOOKUP($A874,'Mutasi Neraca'!$A$3:$S$910,9,FALSE))</f>
        <v>0</v>
      </c>
      <c r="K874" s="42">
        <f>VLOOKUP($A874,'Neraca Unaudited SIMAK'!$A$2:$R$1272,10,FALSE)+IF(ISNA(VLOOKUP($A874,'Mutasi Neraca'!$A$3:$S$910,10,FALSE)),0,VLOOKUP($A874,'Mutasi Neraca'!$A$3:$S$910,10,FALSE))</f>
        <v>0</v>
      </c>
      <c r="L874" s="42">
        <f>VLOOKUP($A874,'Neraca Unaudited SIMAK'!$A$2:$R$1272,11,FALSE)+IF(ISNA(VLOOKUP($A874,'Mutasi Neraca'!$A$3:$S$910,11,FALSE)),0,VLOOKUP($A874,'Mutasi Neraca'!$A$3:$S$910,11,FALSE))</f>
        <v>0</v>
      </c>
      <c r="M874" s="42">
        <f>VLOOKUP($A874,'Neraca Unaudited SIMAK'!$A$2:$R$1272,12,FALSE)+IF(ISNA(VLOOKUP($A874,'Mutasi Neraca'!$A$3:$S$910,12,FALSE)),0,VLOOKUP($A874,'Mutasi Neraca'!$A$3:$S$910,12,FALSE))</f>
        <v>518900</v>
      </c>
      <c r="N874" s="42">
        <f>VLOOKUP($A874,'Neraca Unaudited SIMAK'!$A$2:$R$1272,13,FALSE)+IF(ISNA(VLOOKUP($A874,'Mutasi Neraca'!$A$3:$S$910,13,FALSE)),0,VLOOKUP($A874,'Mutasi Neraca'!$A$3:$S$910,13,FALSE))</f>
        <v>0</v>
      </c>
      <c r="O874" s="42">
        <f>VLOOKUP($A874,'Neraca Unaudited SIMAK'!$A$2:$R$1272,14,FALSE)+IF(ISNA(VLOOKUP($A874,'Mutasi Neraca'!$A$3:$S$910,14,FALSE)),0,VLOOKUP($A874,'Mutasi Neraca'!$A$3:$S$910,14,FALSE))</f>
        <v>0</v>
      </c>
      <c r="P874" s="42">
        <f>VLOOKUP($A874,'Neraca Unaudited SIMAK'!$A$2:$R$1272,15,FALSE)+IF(ISNA(VLOOKUP($A874,'Mutasi Neraca'!$A$3:$S$910,15,FALSE)),0,VLOOKUP($A874,'Mutasi Neraca'!$A$3:$S$910,15,FALSE))</f>
        <v>0</v>
      </c>
      <c r="Q874" s="42">
        <f>VLOOKUP($A874,'Neraca Unaudited SIMAK'!$A$2:$R$1272,16,FALSE)+IF(ISNA(VLOOKUP($A874,'Mutasi Neraca'!$A$3:$S$910,16,FALSE)),0,VLOOKUP($A874,'Mutasi Neraca'!$A$3:$S$910,16,FALSE))</f>
        <v>0</v>
      </c>
      <c r="R874" s="42">
        <f>VLOOKUP($A874,'Neraca Unaudited SIMAK'!$A$2:$R$1272,17,FALSE)+IF(ISNA(VLOOKUP($A874,'Mutasi Neraca'!$A$3:$S$910,17,FALSE)),0,VLOOKUP($A874,'Mutasi Neraca'!$A$3:$S$910,17,FALSE))</f>
        <v>0</v>
      </c>
      <c r="S874" s="42">
        <f t="shared" si="69"/>
        <v>518900</v>
      </c>
    </row>
    <row r="875" spans="1:19">
      <c r="A875" s="41" t="s">
        <v>879</v>
      </c>
      <c r="B875" s="41" t="str">
        <f t="shared" si="68"/>
        <v>005030300</v>
      </c>
      <c r="D875" s="42">
        <f>VLOOKUP($A875,'Neraca Unaudited SIMAK'!$A$2:$R$1272,3,FALSE)+IF(ISNA(VLOOKUP($A875,'Mutasi Neraca'!$A$3:$S$910,3,FALSE)),0,VLOOKUP($A875,'Mutasi Neraca'!$A$3:$S$910,3,FALSE))</f>
        <v>0</v>
      </c>
      <c r="E875" s="42">
        <f>VLOOKUP($A875,'Neraca Unaudited SIMAK'!$A$2:$R$1272,4,FALSE)+IF(ISNA(VLOOKUP($A875,'Mutasi Neraca'!$A$3:$S$910,4,FALSE)),0,VLOOKUP($A875,'Mutasi Neraca'!$A$3:$S$910,4,FALSE))</f>
        <v>0</v>
      </c>
      <c r="F875" s="42">
        <f>VLOOKUP($A875,'Neraca Unaudited SIMAK'!$A$2:$R$1272,5,FALSE)+IF(ISNA(VLOOKUP($A875,'Mutasi Neraca'!$A$3:$S$910,5,FALSE)),0,VLOOKUP($A875,'Mutasi Neraca'!$A$3:$S$910,5,FALSE))</f>
        <v>0</v>
      </c>
      <c r="G875" s="42">
        <f>VLOOKUP($A875,'Neraca Unaudited SIMAK'!$A$2:$R$1272,6,FALSE)+IF(ISNA(VLOOKUP($A875,'Mutasi Neraca'!$A$3:$S$910,6,FALSE)),0,VLOOKUP($A875,'Mutasi Neraca'!$A$3:$S$910,6,FALSE))</f>
        <v>0</v>
      </c>
      <c r="H875" s="42">
        <f>VLOOKUP($A875,'Neraca Unaudited SIMAK'!$A$2:$R$1272,7,FALSE)+IF(ISNA(VLOOKUP($A875,'Mutasi Neraca'!$A$3:$S$910,7,FALSE)),0,VLOOKUP($A875,'Mutasi Neraca'!$A$3:$S$910,7,FALSE))</f>
        <v>0</v>
      </c>
      <c r="I875" s="42">
        <f>VLOOKUP($A875,'Neraca Unaudited SIMAK'!$A$2:$R$1272,8,FALSE)+IF(ISNA(VLOOKUP($A875,'Mutasi Neraca'!$A$3:$S$910,8,FALSE)),0,VLOOKUP($A875,'Mutasi Neraca'!$A$3:$S$910,8,FALSE))</f>
        <v>0</v>
      </c>
      <c r="J875" s="42">
        <f>VLOOKUP($A875,'Neraca Unaudited SIMAK'!$A$2:$R$1272,9,FALSE)+IF(ISNA(VLOOKUP($A875,'Mutasi Neraca'!$A$3:$S$910,9,FALSE)),0,VLOOKUP($A875,'Mutasi Neraca'!$A$3:$S$910,9,FALSE))</f>
        <v>0</v>
      </c>
      <c r="K875" s="42">
        <f>VLOOKUP($A875,'Neraca Unaudited SIMAK'!$A$2:$R$1272,10,FALSE)+IF(ISNA(VLOOKUP($A875,'Mutasi Neraca'!$A$3:$S$910,10,FALSE)),0,VLOOKUP($A875,'Mutasi Neraca'!$A$3:$S$910,10,FALSE))</f>
        <v>0</v>
      </c>
      <c r="L875" s="42">
        <f>VLOOKUP($A875,'Neraca Unaudited SIMAK'!$A$2:$R$1272,11,FALSE)+IF(ISNA(VLOOKUP($A875,'Mutasi Neraca'!$A$3:$S$910,11,FALSE)),0,VLOOKUP($A875,'Mutasi Neraca'!$A$3:$S$910,11,FALSE))</f>
        <v>0</v>
      </c>
      <c r="M875" s="42">
        <f>VLOOKUP($A875,'Neraca Unaudited SIMAK'!$A$2:$R$1272,12,FALSE)+IF(ISNA(VLOOKUP($A875,'Mutasi Neraca'!$A$3:$S$910,12,FALSE)),0,VLOOKUP($A875,'Mutasi Neraca'!$A$3:$S$910,12,FALSE))</f>
        <v>0</v>
      </c>
      <c r="N875" s="42">
        <f>VLOOKUP($A875,'Neraca Unaudited SIMAK'!$A$2:$R$1272,13,FALSE)+IF(ISNA(VLOOKUP($A875,'Mutasi Neraca'!$A$3:$S$910,13,FALSE)),0,VLOOKUP($A875,'Mutasi Neraca'!$A$3:$S$910,13,FALSE))</f>
        <v>0</v>
      </c>
      <c r="O875" s="42">
        <f>VLOOKUP($A875,'Neraca Unaudited SIMAK'!$A$2:$R$1272,14,FALSE)+IF(ISNA(VLOOKUP($A875,'Mutasi Neraca'!$A$3:$S$910,14,FALSE)),0,VLOOKUP($A875,'Mutasi Neraca'!$A$3:$S$910,14,FALSE))</f>
        <v>0</v>
      </c>
      <c r="P875" s="42">
        <f>VLOOKUP($A875,'Neraca Unaudited SIMAK'!$A$2:$R$1272,15,FALSE)+IF(ISNA(VLOOKUP($A875,'Mutasi Neraca'!$A$3:$S$910,15,FALSE)),0,VLOOKUP($A875,'Mutasi Neraca'!$A$3:$S$910,15,FALSE))</f>
        <v>0</v>
      </c>
      <c r="Q875" s="42">
        <f>VLOOKUP($A875,'Neraca Unaudited SIMAK'!$A$2:$R$1272,16,FALSE)+IF(ISNA(VLOOKUP($A875,'Mutasi Neraca'!$A$3:$S$910,16,FALSE)),0,VLOOKUP($A875,'Mutasi Neraca'!$A$3:$S$910,16,FALSE))</f>
        <v>0</v>
      </c>
      <c r="R875" s="42">
        <f>VLOOKUP($A875,'Neraca Unaudited SIMAK'!$A$2:$R$1272,17,FALSE)+IF(ISNA(VLOOKUP($A875,'Mutasi Neraca'!$A$3:$S$910,17,FALSE)),0,VLOOKUP($A875,'Mutasi Neraca'!$A$3:$S$910,17,FALSE))</f>
        <v>0</v>
      </c>
      <c r="S875" s="42">
        <f t="shared" si="69"/>
        <v>0</v>
      </c>
    </row>
    <row r="876" spans="1:19">
      <c r="A876" s="41" t="s">
        <v>2023</v>
      </c>
      <c r="B876" s="41" t="str">
        <f t="shared" si="68"/>
        <v>005030300</v>
      </c>
      <c r="D876" s="42">
        <f>VLOOKUP($A876,'Neraca Unaudited SIMAK'!$A$2:$R$1272,3,FALSE)+IF(ISNA(VLOOKUP($A876,'Mutasi Neraca'!$A$3:$S$910,3,FALSE)),0,VLOOKUP($A876,'Mutasi Neraca'!$A$3:$S$910,3,FALSE))</f>
        <v>12304341</v>
      </c>
      <c r="E876" s="42">
        <f>VLOOKUP($A876,'Neraca Unaudited SIMAK'!$A$2:$R$1272,4,FALSE)+IF(ISNA(VLOOKUP($A876,'Mutasi Neraca'!$A$3:$S$910,4,FALSE)),0,VLOOKUP($A876,'Mutasi Neraca'!$A$3:$S$910,4,FALSE))</f>
        <v>0</v>
      </c>
      <c r="F876" s="42">
        <f>VLOOKUP($A876,'Neraca Unaudited SIMAK'!$A$2:$R$1272,5,FALSE)+IF(ISNA(VLOOKUP($A876,'Mutasi Neraca'!$A$3:$S$910,5,FALSE)),0,VLOOKUP($A876,'Mutasi Neraca'!$A$3:$S$910,5,FALSE))</f>
        <v>0</v>
      </c>
      <c r="G876" s="42">
        <f>VLOOKUP($A876,'Neraca Unaudited SIMAK'!$A$2:$R$1272,6,FALSE)+IF(ISNA(VLOOKUP($A876,'Mutasi Neraca'!$A$3:$S$910,6,FALSE)),0,VLOOKUP($A876,'Mutasi Neraca'!$A$3:$S$910,6,FALSE))</f>
        <v>0</v>
      </c>
      <c r="H876" s="42">
        <f>VLOOKUP($A876,'Neraca Unaudited SIMAK'!$A$2:$R$1272,7,FALSE)+IF(ISNA(VLOOKUP($A876,'Mutasi Neraca'!$A$3:$S$910,7,FALSE)),0,VLOOKUP($A876,'Mutasi Neraca'!$A$3:$S$910,7,FALSE))</f>
        <v>0</v>
      </c>
      <c r="I876" s="42">
        <f>VLOOKUP($A876,'Neraca Unaudited SIMAK'!$A$2:$R$1272,8,FALSE)+IF(ISNA(VLOOKUP($A876,'Mutasi Neraca'!$A$3:$S$910,8,FALSE)),0,VLOOKUP($A876,'Mutasi Neraca'!$A$3:$S$910,8,FALSE))</f>
        <v>0</v>
      </c>
      <c r="J876" s="42">
        <f>VLOOKUP($A876,'Neraca Unaudited SIMAK'!$A$2:$R$1272,9,FALSE)+IF(ISNA(VLOOKUP($A876,'Mutasi Neraca'!$A$3:$S$910,9,FALSE)),0,VLOOKUP($A876,'Mutasi Neraca'!$A$3:$S$910,9,FALSE))</f>
        <v>0</v>
      </c>
      <c r="K876" s="42">
        <f>VLOOKUP($A876,'Neraca Unaudited SIMAK'!$A$2:$R$1272,10,FALSE)+IF(ISNA(VLOOKUP($A876,'Mutasi Neraca'!$A$3:$S$910,10,FALSE)),0,VLOOKUP($A876,'Mutasi Neraca'!$A$3:$S$910,10,FALSE))</f>
        <v>0</v>
      </c>
      <c r="L876" s="42">
        <f>VLOOKUP($A876,'Neraca Unaudited SIMAK'!$A$2:$R$1272,11,FALSE)+IF(ISNA(VLOOKUP($A876,'Mutasi Neraca'!$A$3:$S$910,11,FALSE)),0,VLOOKUP($A876,'Mutasi Neraca'!$A$3:$S$910,11,FALSE))</f>
        <v>0</v>
      </c>
      <c r="M876" s="42">
        <f>VLOOKUP($A876,'Neraca Unaudited SIMAK'!$A$2:$R$1272,12,FALSE)+IF(ISNA(VLOOKUP($A876,'Mutasi Neraca'!$A$3:$S$910,12,FALSE)),0,VLOOKUP($A876,'Mutasi Neraca'!$A$3:$S$910,12,FALSE))</f>
        <v>12304341</v>
      </c>
      <c r="N876" s="42">
        <f>VLOOKUP($A876,'Neraca Unaudited SIMAK'!$A$2:$R$1272,13,FALSE)+IF(ISNA(VLOOKUP($A876,'Mutasi Neraca'!$A$3:$S$910,13,FALSE)),0,VLOOKUP($A876,'Mutasi Neraca'!$A$3:$S$910,13,FALSE))</f>
        <v>0</v>
      </c>
      <c r="O876" s="42">
        <f>VLOOKUP($A876,'Neraca Unaudited SIMAK'!$A$2:$R$1272,14,FALSE)+IF(ISNA(VLOOKUP($A876,'Mutasi Neraca'!$A$3:$S$910,14,FALSE)),0,VLOOKUP($A876,'Mutasi Neraca'!$A$3:$S$910,14,FALSE))</f>
        <v>0</v>
      </c>
      <c r="P876" s="42">
        <f>VLOOKUP($A876,'Neraca Unaudited SIMAK'!$A$2:$R$1272,15,FALSE)+IF(ISNA(VLOOKUP($A876,'Mutasi Neraca'!$A$3:$S$910,15,FALSE)),0,VLOOKUP($A876,'Mutasi Neraca'!$A$3:$S$910,15,FALSE))</f>
        <v>0</v>
      </c>
      <c r="Q876" s="42">
        <f>VLOOKUP($A876,'Neraca Unaudited SIMAK'!$A$2:$R$1272,16,FALSE)+IF(ISNA(VLOOKUP($A876,'Mutasi Neraca'!$A$3:$S$910,16,FALSE)),0,VLOOKUP($A876,'Mutasi Neraca'!$A$3:$S$910,16,FALSE))</f>
        <v>0</v>
      </c>
      <c r="R876" s="42">
        <f>VLOOKUP($A876,'Neraca Unaudited SIMAK'!$A$2:$R$1272,17,FALSE)+IF(ISNA(VLOOKUP($A876,'Mutasi Neraca'!$A$3:$S$910,17,FALSE)),0,VLOOKUP($A876,'Mutasi Neraca'!$A$3:$S$910,17,FALSE))</f>
        <v>0</v>
      </c>
      <c r="S876" s="42">
        <f t="shared" si="69"/>
        <v>12304341</v>
      </c>
    </row>
    <row r="877" spans="1:19">
      <c r="A877" s="41" t="s">
        <v>880</v>
      </c>
      <c r="B877" s="41" t="str">
        <f t="shared" si="68"/>
        <v>005030300</v>
      </c>
      <c r="D877" s="42">
        <f>VLOOKUP($A877,'Neraca Unaudited SIMAK'!$A$2:$R$1272,3,FALSE)+IF(ISNA(VLOOKUP($A877,'Mutasi Neraca'!$A$3:$S$910,3,FALSE)),0,VLOOKUP($A877,'Mutasi Neraca'!$A$3:$S$910,3,FALSE))</f>
        <v>201750</v>
      </c>
      <c r="E877" s="42">
        <f>VLOOKUP($A877,'Neraca Unaudited SIMAK'!$A$2:$R$1272,4,FALSE)+IF(ISNA(VLOOKUP($A877,'Mutasi Neraca'!$A$3:$S$910,4,FALSE)),0,VLOOKUP($A877,'Mutasi Neraca'!$A$3:$S$910,4,FALSE))</f>
        <v>0</v>
      </c>
      <c r="F877" s="42">
        <f>VLOOKUP($A877,'Neraca Unaudited SIMAK'!$A$2:$R$1272,5,FALSE)+IF(ISNA(VLOOKUP($A877,'Mutasi Neraca'!$A$3:$S$910,5,FALSE)),0,VLOOKUP($A877,'Mutasi Neraca'!$A$3:$S$910,5,FALSE))</f>
        <v>0</v>
      </c>
      <c r="G877" s="42">
        <f>VLOOKUP($A877,'Neraca Unaudited SIMAK'!$A$2:$R$1272,6,FALSE)+IF(ISNA(VLOOKUP($A877,'Mutasi Neraca'!$A$3:$S$910,6,FALSE)),0,VLOOKUP($A877,'Mutasi Neraca'!$A$3:$S$910,6,FALSE))</f>
        <v>0</v>
      </c>
      <c r="H877" s="42">
        <f>VLOOKUP($A877,'Neraca Unaudited SIMAK'!$A$2:$R$1272,7,FALSE)+IF(ISNA(VLOOKUP($A877,'Mutasi Neraca'!$A$3:$S$910,7,FALSE)),0,VLOOKUP($A877,'Mutasi Neraca'!$A$3:$S$910,7,FALSE))</f>
        <v>0</v>
      </c>
      <c r="I877" s="42">
        <f>VLOOKUP($A877,'Neraca Unaudited SIMAK'!$A$2:$R$1272,8,FALSE)+IF(ISNA(VLOOKUP($A877,'Mutasi Neraca'!$A$3:$S$910,8,FALSE)),0,VLOOKUP($A877,'Mutasi Neraca'!$A$3:$S$910,8,FALSE))</f>
        <v>0</v>
      </c>
      <c r="J877" s="42">
        <f>VLOOKUP($A877,'Neraca Unaudited SIMAK'!$A$2:$R$1272,9,FALSE)+IF(ISNA(VLOOKUP($A877,'Mutasi Neraca'!$A$3:$S$910,9,FALSE)),0,VLOOKUP($A877,'Mutasi Neraca'!$A$3:$S$910,9,FALSE))</f>
        <v>0</v>
      </c>
      <c r="K877" s="42">
        <f>VLOOKUP($A877,'Neraca Unaudited SIMAK'!$A$2:$R$1272,10,FALSE)+IF(ISNA(VLOOKUP($A877,'Mutasi Neraca'!$A$3:$S$910,10,FALSE)),0,VLOOKUP($A877,'Mutasi Neraca'!$A$3:$S$910,10,FALSE))</f>
        <v>0</v>
      </c>
      <c r="L877" s="42">
        <f>VLOOKUP($A877,'Neraca Unaudited SIMAK'!$A$2:$R$1272,11,FALSE)+IF(ISNA(VLOOKUP($A877,'Mutasi Neraca'!$A$3:$S$910,11,FALSE)),0,VLOOKUP($A877,'Mutasi Neraca'!$A$3:$S$910,11,FALSE))</f>
        <v>0</v>
      </c>
      <c r="M877" s="42">
        <f>VLOOKUP($A877,'Neraca Unaudited SIMAK'!$A$2:$R$1272,12,FALSE)+IF(ISNA(VLOOKUP($A877,'Mutasi Neraca'!$A$3:$S$910,12,FALSE)),0,VLOOKUP($A877,'Mutasi Neraca'!$A$3:$S$910,12,FALSE))</f>
        <v>201750</v>
      </c>
      <c r="N877" s="42">
        <f>VLOOKUP($A877,'Neraca Unaudited SIMAK'!$A$2:$R$1272,13,FALSE)+IF(ISNA(VLOOKUP($A877,'Mutasi Neraca'!$A$3:$S$910,13,FALSE)),0,VLOOKUP($A877,'Mutasi Neraca'!$A$3:$S$910,13,FALSE))</f>
        <v>0</v>
      </c>
      <c r="O877" s="42">
        <f>VLOOKUP($A877,'Neraca Unaudited SIMAK'!$A$2:$R$1272,14,FALSE)+IF(ISNA(VLOOKUP($A877,'Mutasi Neraca'!$A$3:$S$910,14,FALSE)),0,VLOOKUP($A877,'Mutasi Neraca'!$A$3:$S$910,14,FALSE))</f>
        <v>0</v>
      </c>
      <c r="P877" s="42">
        <f>VLOOKUP($A877,'Neraca Unaudited SIMAK'!$A$2:$R$1272,15,FALSE)+IF(ISNA(VLOOKUP($A877,'Mutasi Neraca'!$A$3:$S$910,15,FALSE)),0,VLOOKUP($A877,'Mutasi Neraca'!$A$3:$S$910,15,FALSE))</f>
        <v>0</v>
      </c>
      <c r="Q877" s="42">
        <f>VLOOKUP($A877,'Neraca Unaudited SIMAK'!$A$2:$R$1272,16,FALSE)+IF(ISNA(VLOOKUP($A877,'Mutasi Neraca'!$A$3:$S$910,16,FALSE)),0,VLOOKUP($A877,'Mutasi Neraca'!$A$3:$S$910,16,FALSE))</f>
        <v>0</v>
      </c>
      <c r="R877" s="42">
        <f>VLOOKUP($A877,'Neraca Unaudited SIMAK'!$A$2:$R$1272,17,FALSE)+IF(ISNA(VLOOKUP($A877,'Mutasi Neraca'!$A$3:$S$910,17,FALSE)),0,VLOOKUP($A877,'Mutasi Neraca'!$A$3:$S$910,17,FALSE))</f>
        <v>0</v>
      </c>
      <c r="S877" s="42">
        <f t="shared" si="69"/>
        <v>201750</v>
      </c>
    </row>
    <row r="878" spans="1:19">
      <c r="A878" s="41" t="s">
        <v>881</v>
      </c>
      <c r="B878" s="41" t="str">
        <f t="shared" si="68"/>
        <v>005030300</v>
      </c>
      <c r="D878" s="42">
        <f>VLOOKUP($A878,'Neraca Unaudited SIMAK'!$A$2:$R$1272,3,FALSE)+IF(ISNA(VLOOKUP($A878,'Mutasi Neraca'!$A$3:$S$910,3,FALSE)),0,VLOOKUP($A878,'Mutasi Neraca'!$A$3:$S$910,3,FALSE))</f>
        <v>641500</v>
      </c>
      <c r="E878" s="42">
        <f>VLOOKUP($A878,'Neraca Unaudited SIMAK'!$A$2:$R$1272,4,FALSE)+IF(ISNA(VLOOKUP($A878,'Mutasi Neraca'!$A$3:$S$910,4,FALSE)),0,VLOOKUP($A878,'Mutasi Neraca'!$A$3:$S$910,4,FALSE))</f>
        <v>0</v>
      </c>
      <c r="F878" s="42">
        <f>VLOOKUP($A878,'Neraca Unaudited SIMAK'!$A$2:$R$1272,5,FALSE)+IF(ISNA(VLOOKUP($A878,'Mutasi Neraca'!$A$3:$S$910,5,FALSE)),0,VLOOKUP($A878,'Mutasi Neraca'!$A$3:$S$910,5,FALSE))</f>
        <v>0</v>
      </c>
      <c r="G878" s="42">
        <f>VLOOKUP($A878,'Neraca Unaudited SIMAK'!$A$2:$R$1272,6,FALSE)+IF(ISNA(VLOOKUP($A878,'Mutasi Neraca'!$A$3:$S$910,6,FALSE)),0,VLOOKUP($A878,'Mutasi Neraca'!$A$3:$S$910,6,FALSE))</f>
        <v>0</v>
      </c>
      <c r="H878" s="42">
        <f>VLOOKUP($A878,'Neraca Unaudited SIMAK'!$A$2:$R$1272,7,FALSE)+IF(ISNA(VLOOKUP($A878,'Mutasi Neraca'!$A$3:$S$910,7,FALSE)),0,VLOOKUP($A878,'Mutasi Neraca'!$A$3:$S$910,7,FALSE))</f>
        <v>0</v>
      </c>
      <c r="I878" s="42">
        <f>VLOOKUP($A878,'Neraca Unaudited SIMAK'!$A$2:$R$1272,8,FALSE)+IF(ISNA(VLOOKUP($A878,'Mutasi Neraca'!$A$3:$S$910,8,FALSE)),0,VLOOKUP($A878,'Mutasi Neraca'!$A$3:$S$910,8,FALSE))</f>
        <v>0</v>
      </c>
      <c r="J878" s="42">
        <f>VLOOKUP($A878,'Neraca Unaudited SIMAK'!$A$2:$R$1272,9,FALSE)+IF(ISNA(VLOOKUP($A878,'Mutasi Neraca'!$A$3:$S$910,9,FALSE)),0,VLOOKUP($A878,'Mutasi Neraca'!$A$3:$S$910,9,FALSE))</f>
        <v>0</v>
      </c>
      <c r="K878" s="42">
        <f>VLOOKUP($A878,'Neraca Unaudited SIMAK'!$A$2:$R$1272,10,FALSE)+IF(ISNA(VLOOKUP($A878,'Mutasi Neraca'!$A$3:$S$910,10,FALSE)),0,VLOOKUP($A878,'Mutasi Neraca'!$A$3:$S$910,10,FALSE))</f>
        <v>0</v>
      </c>
      <c r="L878" s="42">
        <f>VLOOKUP($A878,'Neraca Unaudited SIMAK'!$A$2:$R$1272,11,FALSE)+IF(ISNA(VLOOKUP($A878,'Mutasi Neraca'!$A$3:$S$910,11,FALSE)),0,VLOOKUP($A878,'Mutasi Neraca'!$A$3:$S$910,11,FALSE))</f>
        <v>0</v>
      </c>
      <c r="M878" s="42">
        <f>VLOOKUP($A878,'Neraca Unaudited SIMAK'!$A$2:$R$1272,12,FALSE)+IF(ISNA(VLOOKUP($A878,'Mutasi Neraca'!$A$3:$S$910,12,FALSE)),0,VLOOKUP($A878,'Mutasi Neraca'!$A$3:$S$910,12,FALSE))</f>
        <v>641500</v>
      </c>
      <c r="N878" s="42">
        <f>VLOOKUP($A878,'Neraca Unaudited SIMAK'!$A$2:$R$1272,13,FALSE)+IF(ISNA(VLOOKUP($A878,'Mutasi Neraca'!$A$3:$S$910,13,FALSE)),0,VLOOKUP($A878,'Mutasi Neraca'!$A$3:$S$910,13,FALSE))</f>
        <v>0</v>
      </c>
      <c r="O878" s="42">
        <f>VLOOKUP($A878,'Neraca Unaudited SIMAK'!$A$2:$R$1272,14,FALSE)+IF(ISNA(VLOOKUP($A878,'Mutasi Neraca'!$A$3:$S$910,14,FALSE)),0,VLOOKUP($A878,'Mutasi Neraca'!$A$3:$S$910,14,FALSE))</f>
        <v>0</v>
      </c>
      <c r="P878" s="42">
        <f>VLOOKUP($A878,'Neraca Unaudited SIMAK'!$A$2:$R$1272,15,FALSE)+IF(ISNA(VLOOKUP($A878,'Mutasi Neraca'!$A$3:$S$910,15,FALSE)),0,VLOOKUP($A878,'Mutasi Neraca'!$A$3:$S$910,15,FALSE))</f>
        <v>0</v>
      </c>
      <c r="Q878" s="42">
        <f>VLOOKUP($A878,'Neraca Unaudited SIMAK'!$A$2:$R$1272,16,FALSE)+IF(ISNA(VLOOKUP($A878,'Mutasi Neraca'!$A$3:$S$910,16,FALSE)),0,VLOOKUP($A878,'Mutasi Neraca'!$A$3:$S$910,16,FALSE))</f>
        <v>0</v>
      </c>
      <c r="R878" s="42">
        <f>VLOOKUP($A878,'Neraca Unaudited SIMAK'!$A$2:$R$1272,17,FALSE)+IF(ISNA(VLOOKUP($A878,'Mutasi Neraca'!$A$3:$S$910,17,FALSE)),0,VLOOKUP($A878,'Mutasi Neraca'!$A$3:$S$910,17,FALSE))</f>
        <v>0</v>
      </c>
      <c r="S878" s="42">
        <f t="shared" si="69"/>
        <v>641500</v>
      </c>
    </row>
    <row r="879" spans="1:19">
      <c r="A879" s="41" t="s">
        <v>882</v>
      </c>
      <c r="B879" s="41" t="str">
        <f t="shared" si="68"/>
        <v>005030300</v>
      </c>
      <c r="D879" s="42">
        <f>VLOOKUP($A879,'Neraca Unaudited SIMAK'!$A$2:$R$1272,3,FALSE)+IF(ISNA(VLOOKUP($A879,'Mutasi Neraca'!$A$3:$S$910,3,FALSE)),0,VLOOKUP($A879,'Mutasi Neraca'!$A$3:$S$910,3,FALSE))</f>
        <v>11459496</v>
      </c>
      <c r="E879" s="42">
        <f>VLOOKUP($A879,'Neraca Unaudited SIMAK'!$A$2:$R$1272,4,FALSE)+IF(ISNA(VLOOKUP($A879,'Mutasi Neraca'!$A$3:$S$910,4,FALSE)),0,VLOOKUP($A879,'Mutasi Neraca'!$A$3:$S$910,4,FALSE))</f>
        <v>0</v>
      </c>
      <c r="F879" s="42">
        <f>VLOOKUP($A879,'Neraca Unaudited SIMAK'!$A$2:$R$1272,5,FALSE)+IF(ISNA(VLOOKUP($A879,'Mutasi Neraca'!$A$3:$S$910,5,FALSE)),0,VLOOKUP($A879,'Mutasi Neraca'!$A$3:$S$910,5,FALSE))</f>
        <v>0</v>
      </c>
      <c r="G879" s="42">
        <f>VLOOKUP($A879,'Neraca Unaudited SIMAK'!$A$2:$R$1272,6,FALSE)+IF(ISNA(VLOOKUP($A879,'Mutasi Neraca'!$A$3:$S$910,6,FALSE)),0,VLOOKUP($A879,'Mutasi Neraca'!$A$3:$S$910,6,FALSE))</f>
        <v>0</v>
      </c>
      <c r="H879" s="42">
        <f>VLOOKUP($A879,'Neraca Unaudited SIMAK'!$A$2:$R$1272,7,FALSE)+IF(ISNA(VLOOKUP($A879,'Mutasi Neraca'!$A$3:$S$910,7,FALSE)),0,VLOOKUP($A879,'Mutasi Neraca'!$A$3:$S$910,7,FALSE))</f>
        <v>0</v>
      </c>
      <c r="I879" s="42">
        <f>VLOOKUP($A879,'Neraca Unaudited SIMAK'!$A$2:$R$1272,8,FALSE)+IF(ISNA(VLOOKUP($A879,'Mutasi Neraca'!$A$3:$S$910,8,FALSE)),0,VLOOKUP($A879,'Mutasi Neraca'!$A$3:$S$910,8,FALSE))</f>
        <v>0</v>
      </c>
      <c r="J879" s="42">
        <f>VLOOKUP($A879,'Neraca Unaudited SIMAK'!$A$2:$R$1272,9,FALSE)+IF(ISNA(VLOOKUP($A879,'Mutasi Neraca'!$A$3:$S$910,9,FALSE)),0,VLOOKUP($A879,'Mutasi Neraca'!$A$3:$S$910,9,FALSE))</f>
        <v>0</v>
      </c>
      <c r="K879" s="42">
        <f>VLOOKUP($A879,'Neraca Unaudited SIMAK'!$A$2:$R$1272,10,FALSE)+IF(ISNA(VLOOKUP($A879,'Mutasi Neraca'!$A$3:$S$910,10,FALSE)),0,VLOOKUP($A879,'Mutasi Neraca'!$A$3:$S$910,10,FALSE))</f>
        <v>0</v>
      </c>
      <c r="L879" s="42">
        <f>VLOOKUP($A879,'Neraca Unaudited SIMAK'!$A$2:$R$1272,11,FALSE)+IF(ISNA(VLOOKUP($A879,'Mutasi Neraca'!$A$3:$S$910,11,FALSE)),0,VLOOKUP($A879,'Mutasi Neraca'!$A$3:$S$910,11,FALSE))</f>
        <v>0</v>
      </c>
      <c r="M879" s="42">
        <f>VLOOKUP($A879,'Neraca Unaudited SIMAK'!$A$2:$R$1272,12,FALSE)+IF(ISNA(VLOOKUP($A879,'Mutasi Neraca'!$A$3:$S$910,12,FALSE)),0,VLOOKUP($A879,'Mutasi Neraca'!$A$3:$S$910,12,FALSE))</f>
        <v>11459496</v>
      </c>
      <c r="N879" s="42">
        <f>VLOOKUP($A879,'Neraca Unaudited SIMAK'!$A$2:$R$1272,13,FALSE)+IF(ISNA(VLOOKUP($A879,'Mutasi Neraca'!$A$3:$S$910,13,FALSE)),0,VLOOKUP($A879,'Mutasi Neraca'!$A$3:$S$910,13,FALSE))</f>
        <v>0</v>
      </c>
      <c r="O879" s="42">
        <f>VLOOKUP($A879,'Neraca Unaudited SIMAK'!$A$2:$R$1272,14,FALSE)+IF(ISNA(VLOOKUP($A879,'Mutasi Neraca'!$A$3:$S$910,14,FALSE)),0,VLOOKUP($A879,'Mutasi Neraca'!$A$3:$S$910,14,FALSE))</f>
        <v>0</v>
      </c>
      <c r="P879" s="42">
        <f>VLOOKUP($A879,'Neraca Unaudited SIMAK'!$A$2:$R$1272,15,FALSE)+IF(ISNA(VLOOKUP($A879,'Mutasi Neraca'!$A$3:$S$910,15,FALSE)),0,VLOOKUP($A879,'Mutasi Neraca'!$A$3:$S$910,15,FALSE))</f>
        <v>0</v>
      </c>
      <c r="Q879" s="42">
        <f>VLOOKUP($A879,'Neraca Unaudited SIMAK'!$A$2:$R$1272,16,FALSE)+IF(ISNA(VLOOKUP($A879,'Mutasi Neraca'!$A$3:$S$910,16,FALSE)),0,VLOOKUP($A879,'Mutasi Neraca'!$A$3:$S$910,16,FALSE))</f>
        <v>0</v>
      </c>
      <c r="R879" s="42">
        <f>VLOOKUP($A879,'Neraca Unaudited SIMAK'!$A$2:$R$1272,17,FALSE)+IF(ISNA(VLOOKUP($A879,'Mutasi Neraca'!$A$3:$S$910,17,FALSE)),0,VLOOKUP($A879,'Mutasi Neraca'!$A$3:$S$910,17,FALSE))</f>
        <v>0</v>
      </c>
      <c r="S879" s="42">
        <f t="shared" si="69"/>
        <v>11459496</v>
      </c>
    </row>
    <row r="880" spans="1:19">
      <c r="A880" s="41" t="s">
        <v>883</v>
      </c>
      <c r="B880" s="41" t="str">
        <f t="shared" si="68"/>
        <v>005030300</v>
      </c>
      <c r="D880" s="42">
        <f>VLOOKUP($A880,'Neraca Unaudited SIMAK'!$A$2:$R$1272,3,FALSE)+IF(ISNA(VLOOKUP($A880,'Mutasi Neraca'!$A$3:$S$910,3,FALSE)),0,VLOOKUP($A880,'Mutasi Neraca'!$A$3:$S$910,3,FALSE))</f>
        <v>8473430</v>
      </c>
      <c r="E880" s="42">
        <f>VLOOKUP($A880,'Neraca Unaudited SIMAK'!$A$2:$R$1272,4,FALSE)+IF(ISNA(VLOOKUP($A880,'Mutasi Neraca'!$A$3:$S$910,4,FALSE)),0,VLOOKUP($A880,'Mutasi Neraca'!$A$3:$S$910,4,FALSE))</f>
        <v>0</v>
      </c>
      <c r="F880" s="42">
        <f>VLOOKUP($A880,'Neraca Unaudited SIMAK'!$A$2:$R$1272,5,FALSE)+IF(ISNA(VLOOKUP($A880,'Mutasi Neraca'!$A$3:$S$910,5,FALSE)),0,VLOOKUP($A880,'Mutasi Neraca'!$A$3:$S$910,5,FALSE))</f>
        <v>0</v>
      </c>
      <c r="G880" s="42">
        <f>VLOOKUP($A880,'Neraca Unaudited SIMAK'!$A$2:$R$1272,6,FALSE)+IF(ISNA(VLOOKUP($A880,'Mutasi Neraca'!$A$3:$S$910,6,FALSE)),0,VLOOKUP($A880,'Mutasi Neraca'!$A$3:$S$910,6,FALSE))</f>
        <v>0</v>
      </c>
      <c r="H880" s="42">
        <f>VLOOKUP($A880,'Neraca Unaudited SIMAK'!$A$2:$R$1272,7,FALSE)+IF(ISNA(VLOOKUP($A880,'Mutasi Neraca'!$A$3:$S$910,7,FALSE)),0,VLOOKUP($A880,'Mutasi Neraca'!$A$3:$S$910,7,FALSE))</f>
        <v>0</v>
      </c>
      <c r="I880" s="42">
        <f>VLOOKUP($A880,'Neraca Unaudited SIMAK'!$A$2:$R$1272,8,FALSE)+IF(ISNA(VLOOKUP($A880,'Mutasi Neraca'!$A$3:$S$910,8,FALSE)),0,VLOOKUP($A880,'Mutasi Neraca'!$A$3:$S$910,8,FALSE))</f>
        <v>0</v>
      </c>
      <c r="J880" s="42">
        <f>VLOOKUP($A880,'Neraca Unaudited SIMAK'!$A$2:$R$1272,9,FALSE)+IF(ISNA(VLOOKUP($A880,'Mutasi Neraca'!$A$3:$S$910,9,FALSE)),0,VLOOKUP($A880,'Mutasi Neraca'!$A$3:$S$910,9,FALSE))</f>
        <v>0</v>
      </c>
      <c r="K880" s="42">
        <f>VLOOKUP($A880,'Neraca Unaudited SIMAK'!$A$2:$R$1272,10,FALSE)+IF(ISNA(VLOOKUP($A880,'Mutasi Neraca'!$A$3:$S$910,10,FALSE)),0,VLOOKUP($A880,'Mutasi Neraca'!$A$3:$S$910,10,FALSE))</f>
        <v>0</v>
      </c>
      <c r="L880" s="42">
        <f>VLOOKUP($A880,'Neraca Unaudited SIMAK'!$A$2:$R$1272,11,FALSE)+IF(ISNA(VLOOKUP($A880,'Mutasi Neraca'!$A$3:$S$910,11,FALSE)),0,VLOOKUP($A880,'Mutasi Neraca'!$A$3:$S$910,11,FALSE))</f>
        <v>0</v>
      </c>
      <c r="M880" s="42">
        <f>VLOOKUP($A880,'Neraca Unaudited SIMAK'!$A$2:$R$1272,12,FALSE)+IF(ISNA(VLOOKUP($A880,'Mutasi Neraca'!$A$3:$S$910,12,FALSE)),0,VLOOKUP($A880,'Mutasi Neraca'!$A$3:$S$910,12,FALSE))</f>
        <v>8473430</v>
      </c>
      <c r="N880" s="42">
        <f>VLOOKUP($A880,'Neraca Unaudited SIMAK'!$A$2:$R$1272,13,FALSE)+IF(ISNA(VLOOKUP($A880,'Mutasi Neraca'!$A$3:$S$910,13,FALSE)),0,VLOOKUP($A880,'Mutasi Neraca'!$A$3:$S$910,13,FALSE))</f>
        <v>0</v>
      </c>
      <c r="O880" s="42">
        <f>VLOOKUP($A880,'Neraca Unaudited SIMAK'!$A$2:$R$1272,14,FALSE)+IF(ISNA(VLOOKUP($A880,'Mutasi Neraca'!$A$3:$S$910,14,FALSE)),0,VLOOKUP($A880,'Mutasi Neraca'!$A$3:$S$910,14,FALSE))</f>
        <v>0</v>
      </c>
      <c r="P880" s="42">
        <f>VLOOKUP($A880,'Neraca Unaudited SIMAK'!$A$2:$R$1272,15,FALSE)+IF(ISNA(VLOOKUP($A880,'Mutasi Neraca'!$A$3:$S$910,15,FALSE)),0,VLOOKUP($A880,'Mutasi Neraca'!$A$3:$S$910,15,FALSE))</f>
        <v>0</v>
      </c>
      <c r="Q880" s="42">
        <f>VLOOKUP($A880,'Neraca Unaudited SIMAK'!$A$2:$R$1272,16,FALSE)+IF(ISNA(VLOOKUP($A880,'Mutasi Neraca'!$A$3:$S$910,16,FALSE)),0,VLOOKUP($A880,'Mutasi Neraca'!$A$3:$S$910,16,FALSE))</f>
        <v>0</v>
      </c>
      <c r="R880" s="42">
        <f>VLOOKUP($A880,'Neraca Unaudited SIMAK'!$A$2:$R$1272,17,FALSE)+IF(ISNA(VLOOKUP($A880,'Mutasi Neraca'!$A$3:$S$910,17,FALSE)),0,VLOOKUP($A880,'Mutasi Neraca'!$A$3:$S$910,17,FALSE))</f>
        <v>0</v>
      </c>
      <c r="S880" s="42">
        <f t="shared" si="69"/>
        <v>8473430</v>
      </c>
    </row>
    <row r="881" spans="1:19">
      <c r="A881" s="41" t="s">
        <v>884</v>
      </c>
      <c r="B881" s="41" t="str">
        <f t="shared" si="68"/>
        <v>005030300</v>
      </c>
      <c r="D881" s="42">
        <f>VLOOKUP($A881,'Neraca Unaudited SIMAK'!$A$2:$R$1272,3,FALSE)+IF(ISNA(VLOOKUP($A881,'Mutasi Neraca'!$A$3:$S$910,3,FALSE)),0,VLOOKUP($A881,'Mutasi Neraca'!$A$3:$S$910,3,FALSE))</f>
        <v>169500</v>
      </c>
      <c r="E881" s="42">
        <f>VLOOKUP($A881,'Neraca Unaudited SIMAK'!$A$2:$R$1272,4,FALSE)+IF(ISNA(VLOOKUP($A881,'Mutasi Neraca'!$A$3:$S$910,4,FALSE)),0,VLOOKUP($A881,'Mutasi Neraca'!$A$3:$S$910,4,FALSE))</f>
        <v>0</v>
      </c>
      <c r="F881" s="42">
        <f>VLOOKUP($A881,'Neraca Unaudited SIMAK'!$A$2:$R$1272,5,FALSE)+IF(ISNA(VLOOKUP($A881,'Mutasi Neraca'!$A$3:$S$910,5,FALSE)),0,VLOOKUP($A881,'Mutasi Neraca'!$A$3:$S$910,5,FALSE))</f>
        <v>0</v>
      </c>
      <c r="G881" s="42">
        <f>VLOOKUP($A881,'Neraca Unaudited SIMAK'!$A$2:$R$1272,6,FALSE)+IF(ISNA(VLOOKUP($A881,'Mutasi Neraca'!$A$3:$S$910,6,FALSE)),0,VLOOKUP($A881,'Mutasi Neraca'!$A$3:$S$910,6,FALSE))</f>
        <v>0</v>
      </c>
      <c r="H881" s="42">
        <f>VLOOKUP($A881,'Neraca Unaudited SIMAK'!$A$2:$R$1272,7,FALSE)+IF(ISNA(VLOOKUP($A881,'Mutasi Neraca'!$A$3:$S$910,7,FALSE)),0,VLOOKUP($A881,'Mutasi Neraca'!$A$3:$S$910,7,FALSE))</f>
        <v>0</v>
      </c>
      <c r="I881" s="42">
        <f>VLOOKUP($A881,'Neraca Unaudited SIMAK'!$A$2:$R$1272,8,FALSE)+IF(ISNA(VLOOKUP($A881,'Mutasi Neraca'!$A$3:$S$910,8,FALSE)),0,VLOOKUP($A881,'Mutasi Neraca'!$A$3:$S$910,8,FALSE))</f>
        <v>0</v>
      </c>
      <c r="J881" s="42">
        <f>VLOOKUP($A881,'Neraca Unaudited SIMAK'!$A$2:$R$1272,9,FALSE)+IF(ISNA(VLOOKUP($A881,'Mutasi Neraca'!$A$3:$S$910,9,FALSE)),0,VLOOKUP($A881,'Mutasi Neraca'!$A$3:$S$910,9,FALSE))</f>
        <v>0</v>
      </c>
      <c r="K881" s="42">
        <f>VLOOKUP($A881,'Neraca Unaudited SIMAK'!$A$2:$R$1272,10,FALSE)+IF(ISNA(VLOOKUP($A881,'Mutasi Neraca'!$A$3:$S$910,10,FALSE)),0,VLOOKUP($A881,'Mutasi Neraca'!$A$3:$S$910,10,FALSE))</f>
        <v>0</v>
      </c>
      <c r="L881" s="42">
        <f>VLOOKUP($A881,'Neraca Unaudited SIMAK'!$A$2:$R$1272,11,FALSE)+IF(ISNA(VLOOKUP($A881,'Mutasi Neraca'!$A$3:$S$910,11,FALSE)),0,VLOOKUP($A881,'Mutasi Neraca'!$A$3:$S$910,11,FALSE))</f>
        <v>0</v>
      </c>
      <c r="M881" s="42">
        <f>VLOOKUP($A881,'Neraca Unaudited SIMAK'!$A$2:$R$1272,12,FALSE)+IF(ISNA(VLOOKUP($A881,'Mutasi Neraca'!$A$3:$S$910,12,FALSE)),0,VLOOKUP($A881,'Mutasi Neraca'!$A$3:$S$910,12,FALSE))</f>
        <v>169500</v>
      </c>
      <c r="N881" s="42">
        <f>VLOOKUP($A881,'Neraca Unaudited SIMAK'!$A$2:$R$1272,13,FALSE)+IF(ISNA(VLOOKUP($A881,'Mutasi Neraca'!$A$3:$S$910,13,FALSE)),0,VLOOKUP($A881,'Mutasi Neraca'!$A$3:$S$910,13,FALSE))</f>
        <v>0</v>
      </c>
      <c r="O881" s="42">
        <f>VLOOKUP($A881,'Neraca Unaudited SIMAK'!$A$2:$R$1272,14,FALSE)+IF(ISNA(VLOOKUP($A881,'Mutasi Neraca'!$A$3:$S$910,14,FALSE)),0,VLOOKUP($A881,'Mutasi Neraca'!$A$3:$S$910,14,FALSE))</f>
        <v>0</v>
      </c>
      <c r="P881" s="42">
        <f>VLOOKUP($A881,'Neraca Unaudited SIMAK'!$A$2:$R$1272,15,FALSE)+IF(ISNA(VLOOKUP($A881,'Mutasi Neraca'!$A$3:$S$910,15,FALSE)),0,VLOOKUP($A881,'Mutasi Neraca'!$A$3:$S$910,15,FALSE))</f>
        <v>0</v>
      </c>
      <c r="Q881" s="42">
        <f>VLOOKUP($A881,'Neraca Unaudited SIMAK'!$A$2:$R$1272,16,FALSE)+IF(ISNA(VLOOKUP($A881,'Mutasi Neraca'!$A$3:$S$910,16,FALSE)),0,VLOOKUP($A881,'Mutasi Neraca'!$A$3:$S$910,16,FALSE))</f>
        <v>0</v>
      </c>
      <c r="R881" s="42">
        <f>VLOOKUP($A881,'Neraca Unaudited SIMAK'!$A$2:$R$1272,17,FALSE)+IF(ISNA(VLOOKUP($A881,'Mutasi Neraca'!$A$3:$S$910,17,FALSE)),0,VLOOKUP($A881,'Mutasi Neraca'!$A$3:$S$910,17,FALSE))</f>
        <v>0</v>
      </c>
      <c r="S881" s="42">
        <f t="shared" si="69"/>
        <v>169500</v>
      </c>
    </row>
    <row r="882" spans="1:19">
      <c r="A882" s="41" t="s">
        <v>885</v>
      </c>
      <c r="B882" s="41" t="str">
        <f t="shared" si="68"/>
        <v>005030300</v>
      </c>
      <c r="D882" s="42">
        <f>VLOOKUP($A882,'Neraca Unaudited SIMAK'!$A$2:$R$1272,3,FALSE)+IF(ISNA(VLOOKUP($A882,'Mutasi Neraca'!$A$3:$S$910,3,FALSE)),0,VLOOKUP($A882,'Mutasi Neraca'!$A$3:$S$910,3,FALSE))</f>
        <v>2956200</v>
      </c>
      <c r="E882" s="42">
        <f>VLOOKUP($A882,'Neraca Unaudited SIMAK'!$A$2:$R$1272,4,FALSE)+IF(ISNA(VLOOKUP($A882,'Mutasi Neraca'!$A$3:$S$910,4,FALSE)),0,VLOOKUP($A882,'Mutasi Neraca'!$A$3:$S$910,4,FALSE))</f>
        <v>0</v>
      </c>
      <c r="F882" s="42">
        <f>VLOOKUP($A882,'Neraca Unaudited SIMAK'!$A$2:$R$1272,5,FALSE)+IF(ISNA(VLOOKUP($A882,'Mutasi Neraca'!$A$3:$S$910,5,FALSE)),0,VLOOKUP($A882,'Mutasi Neraca'!$A$3:$S$910,5,FALSE))</f>
        <v>0</v>
      </c>
      <c r="G882" s="42">
        <f>VLOOKUP($A882,'Neraca Unaudited SIMAK'!$A$2:$R$1272,6,FALSE)+IF(ISNA(VLOOKUP($A882,'Mutasi Neraca'!$A$3:$S$910,6,FALSE)),0,VLOOKUP($A882,'Mutasi Neraca'!$A$3:$S$910,6,FALSE))</f>
        <v>0</v>
      </c>
      <c r="H882" s="42">
        <f>VLOOKUP($A882,'Neraca Unaudited SIMAK'!$A$2:$R$1272,7,FALSE)+IF(ISNA(VLOOKUP($A882,'Mutasi Neraca'!$A$3:$S$910,7,FALSE)),0,VLOOKUP($A882,'Mutasi Neraca'!$A$3:$S$910,7,FALSE))</f>
        <v>0</v>
      </c>
      <c r="I882" s="42">
        <f>VLOOKUP($A882,'Neraca Unaudited SIMAK'!$A$2:$R$1272,8,FALSE)+IF(ISNA(VLOOKUP($A882,'Mutasi Neraca'!$A$3:$S$910,8,FALSE)),0,VLOOKUP($A882,'Mutasi Neraca'!$A$3:$S$910,8,FALSE))</f>
        <v>0</v>
      </c>
      <c r="J882" s="42">
        <f>VLOOKUP($A882,'Neraca Unaudited SIMAK'!$A$2:$R$1272,9,FALSE)+IF(ISNA(VLOOKUP($A882,'Mutasi Neraca'!$A$3:$S$910,9,FALSE)),0,VLOOKUP($A882,'Mutasi Neraca'!$A$3:$S$910,9,FALSE))</f>
        <v>0</v>
      </c>
      <c r="K882" s="42">
        <f>VLOOKUP($A882,'Neraca Unaudited SIMAK'!$A$2:$R$1272,10,FALSE)+IF(ISNA(VLOOKUP($A882,'Mutasi Neraca'!$A$3:$S$910,10,FALSE)),0,VLOOKUP($A882,'Mutasi Neraca'!$A$3:$S$910,10,FALSE))</f>
        <v>0</v>
      </c>
      <c r="L882" s="42">
        <f>VLOOKUP($A882,'Neraca Unaudited SIMAK'!$A$2:$R$1272,11,FALSE)+IF(ISNA(VLOOKUP($A882,'Mutasi Neraca'!$A$3:$S$910,11,FALSE)),0,VLOOKUP($A882,'Mutasi Neraca'!$A$3:$S$910,11,FALSE))</f>
        <v>0</v>
      </c>
      <c r="M882" s="42">
        <f>VLOOKUP($A882,'Neraca Unaudited SIMAK'!$A$2:$R$1272,12,FALSE)+IF(ISNA(VLOOKUP($A882,'Mutasi Neraca'!$A$3:$S$910,12,FALSE)),0,VLOOKUP($A882,'Mutasi Neraca'!$A$3:$S$910,12,FALSE))</f>
        <v>2956200</v>
      </c>
      <c r="N882" s="42">
        <f>VLOOKUP($A882,'Neraca Unaudited SIMAK'!$A$2:$R$1272,13,FALSE)+IF(ISNA(VLOOKUP($A882,'Mutasi Neraca'!$A$3:$S$910,13,FALSE)),0,VLOOKUP($A882,'Mutasi Neraca'!$A$3:$S$910,13,FALSE))</f>
        <v>0</v>
      </c>
      <c r="O882" s="42">
        <f>VLOOKUP($A882,'Neraca Unaudited SIMAK'!$A$2:$R$1272,14,FALSE)+IF(ISNA(VLOOKUP($A882,'Mutasi Neraca'!$A$3:$S$910,14,FALSE)),0,VLOOKUP($A882,'Mutasi Neraca'!$A$3:$S$910,14,FALSE))</f>
        <v>0</v>
      </c>
      <c r="P882" s="42">
        <f>VLOOKUP($A882,'Neraca Unaudited SIMAK'!$A$2:$R$1272,15,FALSE)+IF(ISNA(VLOOKUP($A882,'Mutasi Neraca'!$A$3:$S$910,15,FALSE)),0,VLOOKUP($A882,'Mutasi Neraca'!$A$3:$S$910,15,FALSE))</f>
        <v>0</v>
      </c>
      <c r="Q882" s="42">
        <f>VLOOKUP($A882,'Neraca Unaudited SIMAK'!$A$2:$R$1272,16,FALSE)+IF(ISNA(VLOOKUP($A882,'Mutasi Neraca'!$A$3:$S$910,16,FALSE)),0,VLOOKUP($A882,'Mutasi Neraca'!$A$3:$S$910,16,FALSE))</f>
        <v>0</v>
      </c>
      <c r="R882" s="42">
        <f>VLOOKUP($A882,'Neraca Unaudited SIMAK'!$A$2:$R$1272,17,FALSE)+IF(ISNA(VLOOKUP($A882,'Mutasi Neraca'!$A$3:$S$910,17,FALSE)),0,VLOOKUP($A882,'Mutasi Neraca'!$A$3:$S$910,17,FALSE))</f>
        <v>0</v>
      </c>
      <c r="S882" s="42">
        <f t="shared" si="69"/>
        <v>2956200</v>
      </c>
    </row>
    <row r="883" spans="1:19">
      <c r="A883" s="41" t="s">
        <v>886</v>
      </c>
      <c r="B883" s="41" t="str">
        <f t="shared" si="68"/>
        <v>005030300</v>
      </c>
      <c r="D883" s="42">
        <f>VLOOKUP($A883,'Neraca Unaudited SIMAK'!$A$2:$R$1272,3,FALSE)+IF(ISNA(VLOOKUP($A883,'Mutasi Neraca'!$A$3:$S$910,3,FALSE)),0,VLOOKUP($A883,'Mutasi Neraca'!$A$3:$S$910,3,FALSE))</f>
        <v>256000</v>
      </c>
      <c r="E883" s="42">
        <f>VLOOKUP($A883,'Neraca Unaudited SIMAK'!$A$2:$R$1272,4,FALSE)+IF(ISNA(VLOOKUP($A883,'Mutasi Neraca'!$A$3:$S$910,4,FALSE)),0,VLOOKUP($A883,'Mutasi Neraca'!$A$3:$S$910,4,FALSE))</f>
        <v>0</v>
      </c>
      <c r="F883" s="42">
        <f>VLOOKUP($A883,'Neraca Unaudited SIMAK'!$A$2:$R$1272,5,FALSE)+IF(ISNA(VLOOKUP($A883,'Mutasi Neraca'!$A$3:$S$910,5,FALSE)),0,VLOOKUP($A883,'Mutasi Neraca'!$A$3:$S$910,5,FALSE))</f>
        <v>0</v>
      </c>
      <c r="G883" s="42">
        <f>VLOOKUP($A883,'Neraca Unaudited SIMAK'!$A$2:$R$1272,6,FALSE)+IF(ISNA(VLOOKUP($A883,'Mutasi Neraca'!$A$3:$S$910,6,FALSE)),0,VLOOKUP($A883,'Mutasi Neraca'!$A$3:$S$910,6,FALSE))</f>
        <v>0</v>
      </c>
      <c r="H883" s="42">
        <f>VLOOKUP($A883,'Neraca Unaudited SIMAK'!$A$2:$R$1272,7,FALSE)+IF(ISNA(VLOOKUP($A883,'Mutasi Neraca'!$A$3:$S$910,7,FALSE)),0,VLOOKUP($A883,'Mutasi Neraca'!$A$3:$S$910,7,FALSE))</f>
        <v>0</v>
      </c>
      <c r="I883" s="42">
        <f>VLOOKUP($A883,'Neraca Unaudited SIMAK'!$A$2:$R$1272,8,FALSE)+IF(ISNA(VLOOKUP($A883,'Mutasi Neraca'!$A$3:$S$910,8,FALSE)),0,VLOOKUP($A883,'Mutasi Neraca'!$A$3:$S$910,8,FALSE))</f>
        <v>0</v>
      </c>
      <c r="J883" s="42">
        <f>VLOOKUP($A883,'Neraca Unaudited SIMAK'!$A$2:$R$1272,9,FALSE)+IF(ISNA(VLOOKUP($A883,'Mutasi Neraca'!$A$3:$S$910,9,FALSE)),0,VLOOKUP($A883,'Mutasi Neraca'!$A$3:$S$910,9,FALSE))</f>
        <v>0</v>
      </c>
      <c r="K883" s="42">
        <f>VLOOKUP($A883,'Neraca Unaudited SIMAK'!$A$2:$R$1272,10,FALSE)+IF(ISNA(VLOOKUP($A883,'Mutasi Neraca'!$A$3:$S$910,10,FALSE)),0,VLOOKUP($A883,'Mutasi Neraca'!$A$3:$S$910,10,FALSE))</f>
        <v>0</v>
      </c>
      <c r="L883" s="42">
        <f>VLOOKUP($A883,'Neraca Unaudited SIMAK'!$A$2:$R$1272,11,FALSE)+IF(ISNA(VLOOKUP($A883,'Mutasi Neraca'!$A$3:$S$910,11,FALSE)),0,VLOOKUP($A883,'Mutasi Neraca'!$A$3:$S$910,11,FALSE))</f>
        <v>0</v>
      </c>
      <c r="M883" s="42">
        <f>VLOOKUP($A883,'Neraca Unaudited SIMAK'!$A$2:$R$1272,12,FALSE)+IF(ISNA(VLOOKUP($A883,'Mutasi Neraca'!$A$3:$S$910,12,FALSE)),0,VLOOKUP($A883,'Mutasi Neraca'!$A$3:$S$910,12,FALSE))</f>
        <v>256000</v>
      </c>
      <c r="N883" s="42">
        <f>VLOOKUP($A883,'Neraca Unaudited SIMAK'!$A$2:$R$1272,13,FALSE)+IF(ISNA(VLOOKUP($A883,'Mutasi Neraca'!$A$3:$S$910,13,FALSE)),0,VLOOKUP($A883,'Mutasi Neraca'!$A$3:$S$910,13,FALSE))</f>
        <v>0</v>
      </c>
      <c r="O883" s="42">
        <f>VLOOKUP($A883,'Neraca Unaudited SIMAK'!$A$2:$R$1272,14,FALSE)+IF(ISNA(VLOOKUP($A883,'Mutasi Neraca'!$A$3:$S$910,14,FALSE)),0,VLOOKUP($A883,'Mutasi Neraca'!$A$3:$S$910,14,FALSE))</f>
        <v>0</v>
      </c>
      <c r="P883" s="42">
        <f>VLOOKUP($A883,'Neraca Unaudited SIMAK'!$A$2:$R$1272,15,FALSE)+IF(ISNA(VLOOKUP($A883,'Mutasi Neraca'!$A$3:$S$910,15,FALSE)),0,VLOOKUP($A883,'Mutasi Neraca'!$A$3:$S$910,15,FALSE))</f>
        <v>0</v>
      </c>
      <c r="Q883" s="42">
        <f>VLOOKUP($A883,'Neraca Unaudited SIMAK'!$A$2:$R$1272,16,FALSE)+IF(ISNA(VLOOKUP($A883,'Mutasi Neraca'!$A$3:$S$910,16,FALSE)),0,VLOOKUP($A883,'Mutasi Neraca'!$A$3:$S$910,16,FALSE))</f>
        <v>0</v>
      </c>
      <c r="R883" s="42">
        <f>VLOOKUP($A883,'Neraca Unaudited SIMAK'!$A$2:$R$1272,17,FALSE)+IF(ISNA(VLOOKUP($A883,'Mutasi Neraca'!$A$3:$S$910,17,FALSE)),0,VLOOKUP($A883,'Mutasi Neraca'!$A$3:$S$910,17,FALSE))</f>
        <v>0</v>
      </c>
      <c r="S883" s="42">
        <f t="shared" si="69"/>
        <v>256000</v>
      </c>
    </row>
    <row r="884" spans="1:19">
      <c r="A884" s="41" t="s">
        <v>887</v>
      </c>
      <c r="B884" s="41" t="str">
        <f t="shared" si="68"/>
        <v>005030300</v>
      </c>
      <c r="D884" s="42">
        <f>VLOOKUP($A884,'Neraca Unaudited SIMAK'!$A$2:$R$1272,3,FALSE)+IF(ISNA(VLOOKUP($A884,'Mutasi Neraca'!$A$3:$S$910,3,FALSE)),0,VLOOKUP($A884,'Mutasi Neraca'!$A$3:$S$910,3,FALSE))</f>
        <v>600</v>
      </c>
      <c r="E884" s="42">
        <f>VLOOKUP($A884,'Neraca Unaudited SIMAK'!$A$2:$R$1272,4,FALSE)+IF(ISNA(VLOOKUP($A884,'Mutasi Neraca'!$A$3:$S$910,4,FALSE)),0,VLOOKUP($A884,'Mutasi Neraca'!$A$3:$S$910,4,FALSE))</f>
        <v>0</v>
      </c>
      <c r="F884" s="42">
        <f>VLOOKUP($A884,'Neraca Unaudited SIMAK'!$A$2:$R$1272,5,FALSE)+IF(ISNA(VLOOKUP($A884,'Mutasi Neraca'!$A$3:$S$910,5,FALSE)),0,VLOOKUP($A884,'Mutasi Neraca'!$A$3:$S$910,5,FALSE))</f>
        <v>0</v>
      </c>
      <c r="G884" s="42">
        <f>VLOOKUP($A884,'Neraca Unaudited SIMAK'!$A$2:$R$1272,6,FALSE)+IF(ISNA(VLOOKUP($A884,'Mutasi Neraca'!$A$3:$S$910,6,FALSE)),0,VLOOKUP($A884,'Mutasi Neraca'!$A$3:$S$910,6,FALSE))</f>
        <v>0</v>
      </c>
      <c r="H884" s="42">
        <f>VLOOKUP($A884,'Neraca Unaudited SIMAK'!$A$2:$R$1272,7,FALSE)+IF(ISNA(VLOOKUP($A884,'Mutasi Neraca'!$A$3:$S$910,7,FALSE)),0,VLOOKUP($A884,'Mutasi Neraca'!$A$3:$S$910,7,FALSE))</f>
        <v>0</v>
      </c>
      <c r="I884" s="42">
        <f>VLOOKUP($A884,'Neraca Unaudited SIMAK'!$A$2:$R$1272,8,FALSE)+IF(ISNA(VLOOKUP($A884,'Mutasi Neraca'!$A$3:$S$910,8,FALSE)),0,VLOOKUP($A884,'Mutasi Neraca'!$A$3:$S$910,8,FALSE))</f>
        <v>0</v>
      </c>
      <c r="J884" s="42">
        <f>VLOOKUP($A884,'Neraca Unaudited SIMAK'!$A$2:$R$1272,9,FALSE)+IF(ISNA(VLOOKUP($A884,'Mutasi Neraca'!$A$3:$S$910,9,FALSE)),0,VLOOKUP($A884,'Mutasi Neraca'!$A$3:$S$910,9,FALSE))</f>
        <v>0</v>
      </c>
      <c r="K884" s="42">
        <f>VLOOKUP($A884,'Neraca Unaudited SIMAK'!$A$2:$R$1272,10,FALSE)+IF(ISNA(VLOOKUP($A884,'Mutasi Neraca'!$A$3:$S$910,10,FALSE)),0,VLOOKUP($A884,'Mutasi Neraca'!$A$3:$S$910,10,FALSE))</f>
        <v>0</v>
      </c>
      <c r="L884" s="42">
        <f>VLOOKUP($A884,'Neraca Unaudited SIMAK'!$A$2:$R$1272,11,FALSE)+IF(ISNA(VLOOKUP($A884,'Mutasi Neraca'!$A$3:$S$910,11,FALSE)),0,VLOOKUP($A884,'Mutasi Neraca'!$A$3:$S$910,11,FALSE))</f>
        <v>0</v>
      </c>
      <c r="M884" s="42">
        <f>VLOOKUP($A884,'Neraca Unaudited SIMAK'!$A$2:$R$1272,12,FALSE)+IF(ISNA(VLOOKUP($A884,'Mutasi Neraca'!$A$3:$S$910,12,FALSE)),0,VLOOKUP($A884,'Mutasi Neraca'!$A$3:$S$910,12,FALSE))</f>
        <v>600</v>
      </c>
      <c r="N884" s="42">
        <f>VLOOKUP($A884,'Neraca Unaudited SIMAK'!$A$2:$R$1272,13,FALSE)+IF(ISNA(VLOOKUP($A884,'Mutasi Neraca'!$A$3:$S$910,13,FALSE)),0,VLOOKUP($A884,'Mutasi Neraca'!$A$3:$S$910,13,FALSE))</f>
        <v>0</v>
      </c>
      <c r="O884" s="42">
        <f>VLOOKUP($A884,'Neraca Unaudited SIMAK'!$A$2:$R$1272,14,FALSE)+IF(ISNA(VLOOKUP($A884,'Mutasi Neraca'!$A$3:$S$910,14,FALSE)),0,VLOOKUP($A884,'Mutasi Neraca'!$A$3:$S$910,14,FALSE))</f>
        <v>0</v>
      </c>
      <c r="P884" s="42">
        <f>VLOOKUP($A884,'Neraca Unaudited SIMAK'!$A$2:$R$1272,15,FALSE)+IF(ISNA(VLOOKUP($A884,'Mutasi Neraca'!$A$3:$S$910,15,FALSE)),0,VLOOKUP($A884,'Mutasi Neraca'!$A$3:$S$910,15,FALSE))</f>
        <v>0</v>
      </c>
      <c r="Q884" s="42">
        <f>VLOOKUP($A884,'Neraca Unaudited SIMAK'!$A$2:$R$1272,16,FALSE)+IF(ISNA(VLOOKUP($A884,'Mutasi Neraca'!$A$3:$S$910,16,FALSE)),0,VLOOKUP($A884,'Mutasi Neraca'!$A$3:$S$910,16,FALSE))</f>
        <v>0</v>
      </c>
      <c r="R884" s="42">
        <f>VLOOKUP($A884,'Neraca Unaudited SIMAK'!$A$2:$R$1272,17,FALSE)+IF(ISNA(VLOOKUP($A884,'Mutasi Neraca'!$A$3:$S$910,17,FALSE)),0,VLOOKUP($A884,'Mutasi Neraca'!$A$3:$S$910,17,FALSE))</f>
        <v>0</v>
      </c>
      <c r="S884" s="42">
        <f t="shared" si="69"/>
        <v>600</v>
      </c>
    </row>
    <row r="885" spans="1:19">
      <c r="A885" s="41" t="s">
        <v>888</v>
      </c>
      <c r="B885" s="41" t="str">
        <f t="shared" si="68"/>
        <v>005030300</v>
      </c>
      <c r="D885" s="42">
        <f>VLOOKUP($A885,'Neraca Unaudited SIMAK'!$A$2:$R$1272,3,FALSE)+IF(ISNA(VLOOKUP($A885,'Mutasi Neraca'!$A$3:$S$910,3,FALSE)),0,VLOOKUP($A885,'Mutasi Neraca'!$A$3:$S$910,3,FALSE))</f>
        <v>257500</v>
      </c>
      <c r="E885" s="42">
        <f>VLOOKUP($A885,'Neraca Unaudited SIMAK'!$A$2:$R$1272,4,FALSE)+IF(ISNA(VLOOKUP($A885,'Mutasi Neraca'!$A$3:$S$910,4,FALSE)),0,VLOOKUP($A885,'Mutasi Neraca'!$A$3:$S$910,4,FALSE))</f>
        <v>0</v>
      </c>
      <c r="F885" s="42">
        <f>VLOOKUP($A885,'Neraca Unaudited SIMAK'!$A$2:$R$1272,5,FALSE)+IF(ISNA(VLOOKUP($A885,'Mutasi Neraca'!$A$3:$S$910,5,FALSE)),0,VLOOKUP($A885,'Mutasi Neraca'!$A$3:$S$910,5,FALSE))</f>
        <v>0</v>
      </c>
      <c r="G885" s="42">
        <f>VLOOKUP($A885,'Neraca Unaudited SIMAK'!$A$2:$R$1272,6,FALSE)+IF(ISNA(VLOOKUP($A885,'Mutasi Neraca'!$A$3:$S$910,6,FALSE)),0,VLOOKUP($A885,'Mutasi Neraca'!$A$3:$S$910,6,FALSE))</f>
        <v>0</v>
      </c>
      <c r="H885" s="42">
        <f>VLOOKUP($A885,'Neraca Unaudited SIMAK'!$A$2:$R$1272,7,FALSE)+IF(ISNA(VLOOKUP($A885,'Mutasi Neraca'!$A$3:$S$910,7,FALSE)),0,VLOOKUP($A885,'Mutasi Neraca'!$A$3:$S$910,7,FALSE))</f>
        <v>0</v>
      </c>
      <c r="I885" s="42">
        <f>VLOOKUP($A885,'Neraca Unaudited SIMAK'!$A$2:$R$1272,8,FALSE)+IF(ISNA(VLOOKUP($A885,'Mutasi Neraca'!$A$3:$S$910,8,FALSE)),0,VLOOKUP($A885,'Mutasi Neraca'!$A$3:$S$910,8,FALSE))</f>
        <v>0</v>
      </c>
      <c r="J885" s="42">
        <f>VLOOKUP($A885,'Neraca Unaudited SIMAK'!$A$2:$R$1272,9,FALSE)+IF(ISNA(VLOOKUP($A885,'Mutasi Neraca'!$A$3:$S$910,9,FALSE)),0,VLOOKUP($A885,'Mutasi Neraca'!$A$3:$S$910,9,FALSE))</f>
        <v>0</v>
      </c>
      <c r="K885" s="42">
        <f>VLOOKUP($A885,'Neraca Unaudited SIMAK'!$A$2:$R$1272,10,FALSE)+IF(ISNA(VLOOKUP($A885,'Mutasi Neraca'!$A$3:$S$910,10,FALSE)),0,VLOOKUP($A885,'Mutasi Neraca'!$A$3:$S$910,10,FALSE))</f>
        <v>0</v>
      </c>
      <c r="L885" s="42">
        <f>VLOOKUP($A885,'Neraca Unaudited SIMAK'!$A$2:$R$1272,11,FALSE)+IF(ISNA(VLOOKUP($A885,'Mutasi Neraca'!$A$3:$S$910,11,FALSE)),0,VLOOKUP($A885,'Mutasi Neraca'!$A$3:$S$910,11,FALSE))</f>
        <v>0</v>
      </c>
      <c r="M885" s="42">
        <f>VLOOKUP($A885,'Neraca Unaudited SIMAK'!$A$2:$R$1272,12,FALSE)+IF(ISNA(VLOOKUP($A885,'Mutasi Neraca'!$A$3:$S$910,12,FALSE)),0,VLOOKUP($A885,'Mutasi Neraca'!$A$3:$S$910,12,FALSE))</f>
        <v>257500</v>
      </c>
      <c r="N885" s="42">
        <f>VLOOKUP($A885,'Neraca Unaudited SIMAK'!$A$2:$R$1272,13,FALSE)+IF(ISNA(VLOOKUP($A885,'Mutasi Neraca'!$A$3:$S$910,13,FALSE)),0,VLOOKUP($A885,'Mutasi Neraca'!$A$3:$S$910,13,FALSE))</f>
        <v>0</v>
      </c>
      <c r="O885" s="42">
        <f>VLOOKUP($A885,'Neraca Unaudited SIMAK'!$A$2:$R$1272,14,FALSE)+IF(ISNA(VLOOKUP($A885,'Mutasi Neraca'!$A$3:$S$910,14,FALSE)),0,VLOOKUP($A885,'Mutasi Neraca'!$A$3:$S$910,14,FALSE))</f>
        <v>0</v>
      </c>
      <c r="P885" s="42">
        <f>VLOOKUP($A885,'Neraca Unaudited SIMAK'!$A$2:$R$1272,15,FALSE)+IF(ISNA(VLOOKUP($A885,'Mutasi Neraca'!$A$3:$S$910,15,FALSE)),0,VLOOKUP($A885,'Mutasi Neraca'!$A$3:$S$910,15,FALSE))</f>
        <v>0</v>
      </c>
      <c r="Q885" s="42">
        <f>VLOOKUP($A885,'Neraca Unaudited SIMAK'!$A$2:$R$1272,16,FALSE)+IF(ISNA(VLOOKUP($A885,'Mutasi Neraca'!$A$3:$S$910,16,FALSE)),0,VLOOKUP($A885,'Mutasi Neraca'!$A$3:$S$910,16,FALSE))</f>
        <v>0</v>
      </c>
      <c r="R885" s="42">
        <f>VLOOKUP($A885,'Neraca Unaudited SIMAK'!$A$2:$R$1272,17,FALSE)+IF(ISNA(VLOOKUP($A885,'Mutasi Neraca'!$A$3:$S$910,17,FALSE)),0,VLOOKUP($A885,'Mutasi Neraca'!$A$3:$S$910,17,FALSE))</f>
        <v>0</v>
      </c>
      <c r="S885" s="42">
        <f t="shared" si="69"/>
        <v>257500</v>
      </c>
    </row>
    <row r="886" spans="1:19">
      <c r="A886" s="41" t="s">
        <v>889</v>
      </c>
      <c r="B886" s="41" t="str">
        <f t="shared" si="68"/>
        <v>005030300</v>
      </c>
      <c r="D886" s="42">
        <f>VLOOKUP($A886,'Neraca Unaudited SIMAK'!$A$2:$R$1272,3,FALSE)+IF(ISNA(VLOOKUP($A886,'Mutasi Neraca'!$A$3:$S$910,3,FALSE)),0,VLOOKUP($A886,'Mutasi Neraca'!$A$3:$S$910,3,FALSE))</f>
        <v>1617500</v>
      </c>
      <c r="E886" s="42">
        <f>VLOOKUP($A886,'Neraca Unaudited SIMAK'!$A$2:$R$1272,4,FALSE)+IF(ISNA(VLOOKUP($A886,'Mutasi Neraca'!$A$3:$S$910,4,FALSE)),0,VLOOKUP($A886,'Mutasi Neraca'!$A$3:$S$910,4,FALSE))</f>
        <v>0</v>
      </c>
      <c r="F886" s="42">
        <f>VLOOKUP($A886,'Neraca Unaudited SIMAK'!$A$2:$R$1272,5,FALSE)+IF(ISNA(VLOOKUP($A886,'Mutasi Neraca'!$A$3:$S$910,5,FALSE)),0,VLOOKUP($A886,'Mutasi Neraca'!$A$3:$S$910,5,FALSE))</f>
        <v>0</v>
      </c>
      <c r="G886" s="42">
        <f>VLOOKUP($A886,'Neraca Unaudited SIMAK'!$A$2:$R$1272,6,FALSE)+IF(ISNA(VLOOKUP($A886,'Mutasi Neraca'!$A$3:$S$910,6,FALSE)),0,VLOOKUP($A886,'Mutasi Neraca'!$A$3:$S$910,6,FALSE))</f>
        <v>0</v>
      </c>
      <c r="H886" s="42">
        <f>VLOOKUP($A886,'Neraca Unaudited SIMAK'!$A$2:$R$1272,7,FALSE)+IF(ISNA(VLOOKUP($A886,'Mutasi Neraca'!$A$3:$S$910,7,FALSE)),0,VLOOKUP($A886,'Mutasi Neraca'!$A$3:$S$910,7,FALSE))</f>
        <v>0</v>
      </c>
      <c r="I886" s="42">
        <f>VLOOKUP($A886,'Neraca Unaudited SIMAK'!$A$2:$R$1272,8,FALSE)+IF(ISNA(VLOOKUP($A886,'Mutasi Neraca'!$A$3:$S$910,8,FALSE)),0,VLOOKUP($A886,'Mutasi Neraca'!$A$3:$S$910,8,FALSE))</f>
        <v>0</v>
      </c>
      <c r="J886" s="42">
        <f>VLOOKUP($A886,'Neraca Unaudited SIMAK'!$A$2:$R$1272,9,FALSE)+IF(ISNA(VLOOKUP($A886,'Mutasi Neraca'!$A$3:$S$910,9,FALSE)),0,VLOOKUP($A886,'Mutasi Neraca'!$A$3:$S$910,9,FALSE))</f>
        <v>0</v>
      </c>
      <c r="K886" s="42">
        <f>VLOOKUP($A886,'Neraca Unaudited SIMAK'!$A$2:$R$1272,10,FALSE)+IF(ISNA(VLOOKUP($A886,'Mutasi Neraca'!$A$3:$S$910,10,FALSE)),0,VLOOKUP($A886,'Mutasi Neraca'!$A$3:$S$910,10,FALSE))</f>
        <v>0</v>
      </c>
      <c r="L886" s="42">
        <f>VLOOKUP($A886,'Neraca Unaudited SIMAK'!$A$2:$R$1272,11,FALSE)+IF(ISNA(VLOOKUP($A886,'Mutasi Neraca'!$A$3:$S$910,11,FALSE)),0,VLOOKUP($A886,'Mutasi Neraca'!$A$3:$S$910,11,FALSE))</f>
        <v>0</v>
      </c>
      <c r="M886" s="42">
        <f>VLOOKUP($A886,'Neraca Unaudited SIMAK'!$A$2:$R$1272,12,FALSE)+IF(ISNA(VLOOKUP($A886,'Mutasi Neraca'!$A$3:$S$910,12,FALSE)),0,VLOOKUP($A886,'Mutasi Neraca'!$A$3:$S$910,12,FALSE))</f>
        <v>1617500</v>
      </c>
      <c r="N886" s="42">
        <f>VLOOKUP($A886,'Neraca Unaudited SIMAK'!$A$2:$R$1272,13,FALSE)+IF(ISNA(VLOOKUP($A886,'Mutasi Neraca'!$A$3:$S$910,13,FALSE)),0,VLOOKUP($A886,'Mutasi Neraca'!$A$3:$S$910,13,FALSE))</f>
        <v>0</v>
      </c>
      <c r="O886" s="42">
        <f>VLOOKUP($A886,'Neraca Unaudited SIMAK'!$A$2:$R$1272,14,FALSE)+IF(ISNA(VLOOKUP($A886,'Mutasi Neraca'!$A$3:$S$910,14,FALSE)),0,VLOOKUP($A886,'Mutasi Neraca'!$A$3:$S$910,14,FALSE))</f>
        <v>0</v>
      </c>
      <c r="P886" s="42">
        <f>VLOOKUP($A886,'Neraca Unaudited SIMAK'!$A$2:$R$1272,15,FALSE)+IF(ISNA(VLOOKUP($A886,'Mutasi Neraca'!$A$3:$S$910,15,FALSE)),0,VLOOKUP($A886,'Mutasi Neraca'!$A$3:$S$910,15,FALSE))</f>
        <v>0</v>
      </c>
      <c r="Q886" s="42">
        <f>VLOOKUP($A886,'Neraca Unaudited SIMAK'!$A$2:$R$1272,16,FALSE)+IF(ISNA(VLOOKUP($A886,'Mutasi Neraca'!$A$3:$S$910,16,FALSE)),0,VLOOKUP($A886,'Mutasi Neraca'!$A$3:$S$910,16,FALSE))</f>
        <v>0</v>
      </c>
      <c r="R886" s="42">
        <f>VLOOKUP($A886,'Neraca Unaudited SIMAK'!$A$2:$R$1272,17,FALSE)+IF(ISNA(VLOOKUP($A886,'Mutasi Neraca'!$A$3:$S$910,17,FALSE)),0,VLOOKUP($A886,'Mutasi Neraca'!$A$3:$S$910,17,FALSE))</f>
        <v>0</v>
      </c>
      <c r="S886" s="42">
        <f t="shared" si="69"/>
        <v>1617500</v>
      </c>
    </row>
    <row r="887" spans="1:19">
      <c r="A887" s="41" t="s">
        <v>890</v>
      </c>
      <c r="B887" s="41" t="str">
        <f t="shared" si="68"/>
        <v>005030300</v>
      </c>
      <c r="D887" s="42">
        <f>VLOOKUP($A887,'Neraca Unaudited SIMAK'!$A$2:$R$1272,3,FALSE)+IF(ISNA(VLOOKUP($A887,'Mutasi Neraca'!$A$3:$S$910,3,FALSE)),0,VLOOKUP($A887,'Mutasi Neraca'!$A$3:$S$910,3,FALSE))</f>
        <v>5320450</v>
      </c>
      <c r="E887" s="42">
        <f>VLOOKUP($A887,'Neraca Unaudited SIMAK'!$A$2:$R$1272,4,FALSE)+IF(ISNA(VLOOKUP($A887,'Mutasi Neraca'!$A$3:$S$910,4,FALSE)),0,VLOOKUP($A887,'Mutasi Neraca'!$A$3:$S$910,4,FALSE))</f>
        <v>0</v>
      </c>
      <c r="F887" s="42">
        <f>VLOOKUP($A887,'Neraca Unaudited SIMAK'!$A$2:$R$1272,5,FALSE)+IF(ISNA(VLOOKUP($A887,'Mutasi Neraca'!$A$3:$S$910,5,FALSE)),0,VLOOKUP($A887,'Mutasi Neraca'!$A$3:$S$910,5,FALSE))</f>
        <v>0</v>
      </c>
      <c r="G887" s="42">
        <f>VLOOKUP($A887,'Neraca Unaudited SIMAK'!$A$2:$R$1272,6,FALSE)+IF(ISNA(VLOOKUP($A887,'Mutasi Neraca'!$A$3:$S$910,6,FALSE)),0,VLOOKUP($A887,'Mutasi Neraca'!$A$3:$S$910,6,FALSE))</f>
        <v>0</v>
      </c>
      <c r="H887" s="42">
        <f>VLOOKUP($A887,'Neraca Unaudited SIMAK'!$A$2:$R$1272,7,FALSE)+IF(ISNA(VLOOKUP($A887,'Mutasi Neraca'!$A$3:$S$910,7,FALSE)),0,VLOOKUP($A887,'Mutasi Neraca'!$A$3:$S$910,7,FALSE))</f>
        <v>0</v>
      </c>
      <c r="I887" s="42">
        <f>VLOOKUP($A887,'Neraca Unaudited SIMAK'!$A$2:$R$1272,8,FALSE)+IF(ISNA(VLOOKUP($A887,'Mutasi Neraca'!$A$3:$S$910,8,FALSE)),0,VLOOKUP($A887,'Mutasi Neraca'!$A$3:$S$910,8,FALSE))</f>
        <v>0</v>
      </c>
      <c r="J887" s="42">
        <f>VLOOKUP($A887,'Neraca Unaudited SIMAK'!$A$2:$R$1272,9,FALSE)+IF(ISNA(VLOOKUP($A887,'Mutasi Neraca'!$A$3:$S$910,9,FALSE)),0,VLOOKUP($A887,'Mutasi Neraca'!$A$3:$S$910,9,FALSE))</f>
        <v>0</v>
      </c>
      <c r="K887" s="42">
        <f>VLOOKUP($A887,'Neraca Unaudited SIMAK'!$A$2:$R$1272,10,FALSE)+IF(ISNA(VLOOKUP($A887,'Mutasi Neraca'!$A$3:$S$910,10,FALSE)),0,VLOOKUP($A887,'Mutasi Neraca'!$A$3:$S$910,10,FALSE))</f>
        <v>0</v>
      </c>
      <c r="L887" s="42">
        <f>VLOOKUP($A887,'Neraca Unaudited SIMAK'!$A$2:$R$1272,11,FALSE)+IF(ISNA(VLOOKUP($A887,'Mutasi Neraca'!$A$3:$S$910,11,FALSE)),0,VLOOKUP($A887,'Mutasi Neraca'!$A$3:$S$910,11,FALSE))</f>
        <v>0</v>
      </c>
      <c r="M887" s="42">
        <f>VLOOKUP($A887,'Neraca Unaudited SIMAK'!$A$2:$R$1272,12,FALSE)+IF(ISNA(VLOOKUP($A887,'Mutasi Neraca'!$A$3:$S$910,12,FALSE)),0,VLOOKUP($A887,'Mutasi Neraca'!$A$3:$S$910,12,FALSE))</f>
        <v>5320450</v>
      </c>
      <c r="N887" s="42">
        <f>VLOOKUP($A887,'Neraca Unaudited SIMAK'!$A$2:$R$1272,13,FALSE)+IF(ISNA(VLOOKUP($A887,'Mutasi Neraca'!$A$3:$S$910,13,FALSE)),0,VLOOKUP($A887,'Mutasi Neraca'!$A$3:$S$910,13,FALSE))</f>
        <v>0</v>
      </c>
      <c r="O887" s="42">
        <f>VLOOKUP($A887,'Neraca Unaudited SIMAK'!$A$2:$R$1272,14,FALSE)+IF(ISNA(VLOOKUP($A887,'Mutasi Neraca'!$A$3:$S$910,14,FALSE)),0,VLOOKUP($A887,'Mutasi Neraca'!$A$3:$S$910,14,FALSE))</f>
        <v>0</v>
      </c>
      <c r="P887" s="42">
        <f>VLOOKUP($A887,'Neraca Unaudited SIMAK'!$A$2:$R$1272,15,FALSE)+IF(ISNA(VLOOKUP($A887,'Mutasi Neraca'!$A$3:$S$910,15,FALSE)),0,VLOOKUP($A887,'Mutasi Neraca'!$A$3:$S$910,15,FALSE))</f>
        <v>0</v>
      </c>
      <c r="Q887" s="42">
        <f>VLOOKUP($A887,'Neraca Unaudited SIMAK'!$A$2:$R$1272,16,FALSE)+IF(ISNA(VLOOKUP($A887,'Mutasi Neraca'!$A$3:$S$910,16,FALSE)),0,VLOOKUP($A887,'Mutasi Neraca'!$A$3:$S$910,16,FALSE))</f>
        <v>0</v>
      </c>
      <c r="R887" s="42">
        <f>VLOOKUP($A887,'Neraca Unaudited SIMAK'!$A$2:$R$1272,17,FALSE)+IF(ISNA(VLOOKUP($A887,'Mutasi Neraca'!$A$3:$S$910,17,FALSE)),0,VLOOKUP($A887,'Mutasi Neraca'!$A$3:$S$910,17,FALSE))</f>
        <v>0</v>
      </c>
      <c r="S887" s="42">
        <f t="shared" si="69"/>
        <v>5320450</v>
      </c>
    </row>
    <row r="888" spans="1:19">
      <c r="A888" s="41" t="s">
        <v>2024</v>
      </c>
      <c r="B888" s="41" t="str">
        <f t="shared" si="68"/>
        <v>005030300</v>
      </c>
      <c r="D888" s="42">
        <f>VLOOKUP($A888,'Neraca Unaudited SIMAK'!$A$2:$R$1272,3,FALSE)+IF(ISNA(VLOOKUP($A888,'Mutasi Neraca'!$A$3:$S$910,3,FALSE)),0,VLOOKUP($A888,'Mutasi Neraca'!$A$3:$S$910,3,FALSE))</f>
        <v>7850500</v>
      </c>
      <c r="E888" s="42">
        <f>VLOOKUP($A888,'Neraca Unaudited SIMAK'!$A$2:$R$1272,4,FALSE)+IF(ISNA(VLOOKUP($A888,'Mutasi Neraca'!$A$3:$S$910,4,FALSE)),0,VLOOKUP($A888,'Mutasi Neraca'!$A$3:$S$910,4,FALSE))</f>
        <v>0</v>
      </c>
      <c r="F888" s="42">
        <f>VLOOKUP($A888,'Neraca Unaudited SIMAK'!$A$2:$R$1272,5,FALSE)+IF(ISNA(VLOOKUP($A888,'Mutasi Neraca'!$A$3:$S$910,5,FALSE)),0,VLOOKUP($A888,'Mutasi Neraca'!$A$3:$S$910,5,FALSE))</f>
        <v>0</v>
      </c>
      <c r="G888" s="42">
        <f>VLOOKUP($A888,'Neraca Unaudited SIMAK'!$A$2:$R$1272,6,FALSE)+IF(ISNA(VLOOKUP($A888,'Mutasi Neraca'!$A$3:$S$910,6,FALSE)),0,VLOOKUP($A888,'Mutasi Neraca'!$A$3:$S$910,6,FALSE))</f>
        <v>0</v>
      </c>
      <c r="H888" s="42">
        <f>VLOOKUP($A888,'Neraca Unaudited SIMAK'!$A$2:$R$1272,7,FALSE)+IF(ISNA(VLOOKUP($A888,'Mutasi Neraca'!$A$3:$S$910,7,FALSE)),0,VLOOKUP($A888,'Mutasi Neraca'!$A$3:$S$910,7,FALSE))</f>
        <v>0</v>
      </c>
      <c r="I888" s="42">
        <f>VLOOKUP($A888,'Neraca Unaudited SIMAK'!$A$2:$R$1272,8,FALSE)+IF(ISNA(VLOOKUP($A888,'Mutasi Neraca'!$A$3:$S$910,8,FALSE)),0,VLOOKUP($A888,'Mutasi Neraca'!$A$3:$S$910,8,FALSE))</f>
        <v>0</v>
      </c>
      <c r="J888" s="42">
        <f>VLOOKUP($A888,'Neraca Unaudited SIMAK'!$A$2:$R$1272,9,FALSE)+IF(ISNA(VLOOKUP($A888,'Mutasi Neraca'!$A$3:$S$910,9,FALSE)),0,VLOOKUP($A888,'Mutasi Neraca'!$A$3:$S$910,9,FALSE))</f>
        <v>0</v>
      </c>
      <c r="K888" s="42">
        <f>VLOOKUP($A888,'Neraca Unaudited SIMAK'!$A$2:$R$1272,10,FALSE)+IF(ISNA(VLOOKUP($A888,'Mutasi Neraca'!$A$3:$S$910,10,FALSE)),0,VLOOKUP($A888,'Mutasi Neraca'!$A$3:$S$910,10,FALSE))</f>
        <v>0</v>
      </c>
      <c r="L888" s="42">
        <f>VLOOKUP($A888,'Neraca Unaudited SIMAK'!$A$2:$R$1272,11,FALSE)+IF(ISNA(VLOOKUP($A888,'Mutasi Neraca'!$A$3:$S$910,11,FALSE)),0,VLOOKUP($A888,'Mutasi Neraca'!$A$3:$S$910,11,FALSE))</f>
        <v>0</v>
      </c>
      <c r="M888" s="42">
        <f>VLOOKUP($A888,'Neraca Unaudited SIMAK'!$A$2:$R$1272,12,FALSE)+IF(ISNA(VLOOKUP($A888,'Mutasi Neraca'!$A$3:$S$910,12,FALSE)),0,VLOOKUP($A888,'Mutasi Neraca'!$A$3:$S$910,12,FALSE))</f>
        <v>7850500</v>
      </c>
      <c r="N888" s="42">
        <f>VLOOKUP($A888,'Neraca Unaudited SIMAK'!$A$2:$R$1272,13,FALSE)+IF(ISNA(VLOOKUP($A888,'Mutasi Neraca'!$A$3:$S$910,13,FALSE)),0,VLOOKUP($A888,'Mutasi Neraca'!$A$3:$S$910,13,FALSE))</f>
        <v>0</v>
      </c>
      <c r="O888" s="42">
        <f>VLOOKUP($A888,'Neraca Unaudited SIMAK'!$A$2:$R$1272,14,FALSE)+IF(ISNA(VLOOKUP($A888,'Mutasi Neraca'!$A$3:$S$910,14,FALSE)),0,VLOOKUP($A888,'Mutasi Neraca'!$A$3:$S$910,14,FALSE))</f>
        <v>0</v>
      </c>
      <c r="P888" s="42">
        <f>VLOOKUP($A888,'Neraca Unaudited SIMAK'!$A$2:$R$1272,15,FALSE)+IF(ISNA(VLOOKUP($A888,'Mutasi Neraca'!$A$3:$S$910,15,FALSE)),0,VLOOKUP($A888,'Mutasi Neraca'!$A$3:$S$910,15,FALSE))</f>
        <v>0</v>
      </c>
      <c r="Q888" s="42">
        <f>VLOOKUP($A888,'Neraca Unaudited SIMAK'!$A$2:$R$1272,16,FALSE)+IF(ISNA(VLOOKUP($A888,'Mutasi Neraca'!$A$3:$S$910,16,FALSE)),0,VLOOKUP($A888,'Mutasi Neraca'!$A$3:$S$910,16,FALSE))</f>
        <v>0</v>
      </c>
      <c r="R888" s="42">
        <f>VLOOKUP($A888,'Neraca Unaudited SIMAK'!$A$2:$R$1272,17,FALSE)+IF(ISNA(VLOOKUP($A888,'Mutasi Neraca'!$A$3:$S$910,17,FALSE)),0,VLOOKUP($A888,'Mutasi Neraca'!$A$3:$S$910,17,FALSE))</f>
        <v>0</v>
      </c>
      <c r="S888" s="42">
        <f t="shared" si="69"/>
        <v>7850500</v>
      </c>
    </row>
    <row r="889" spans="1:19">
      <c r="A889" s="41" t="s">
        <v>891</v>
      </c>
      <c r="B889" s="41" t="str">
        <f t="shared" si="68"/>
        <v>005030300</v>
      </c>
      <c r="D889" s="42">
        <f>VLOOKUP($A889,'Neraca Unaudited SIMAK'!$A$2:$R$1272,3,FALSE)+IF(ISNA(VLOOKUP($A889,'Mutasi Neraca'!$A$3:$S$910,3,FALSE)),0,VLOOKUP($A889,'Mutasi Neraca'!$A$3:$S$910,3,FALSE))</f>
        <v>280400</v>
      </c>
      <c r="E889" s="42">
        <f>VLOOKUP($A889,'Neraca Unaudited SIMAK'!$A$2:$R$1272,4,FALSE)+IF(ISNA(VLOOKUP($A889,'Mutasi Neraca'!$A$3:$S$910,4,FALSE)),0,VLOOKUP($A889,'Mutasi Neraca'!$A$3:$S$910,4,FALSE))</f>
        <v>0</v>
      </c>
      <c r="F889" s="42">
        <f>VLOOKUP($A889,'Neraca Unaudited SIMAK'!$A$2:$R$1272,5,FALSE)+IF(ISNA(VLOOKUP($A889,'Mutasi Neraca'!$A$3:$S$910,5,FALSE)),0,VLOOKUP($A889,'Mutasi Neraca'!$A$3:$S$910,5,FALSE))</f>
        <v>0</v>
      </c>
      <c r="G889" s="42">
        <f>VLOOKUP($A889,'Neraca Unaudited SIMAK'!$A$2:$R$1272,6,FALSE)+IF(ISNA(VLOOKUP($A889,'Mutasi Neraca'!$A$3:$S$910,6,FALSE)),0,VLOOKUP($A889,'Mutasi Neraca'!$A$3:$S$910,6,FALSE))</f>
        <v>0</v>
      </c>
      <c r="H889" s="42">
        <f>VLOOKUP($A889,'Neraca Unaudited SIMAK'!$A$2:$R$1272,7,FALSE)+IF(ISNA(VLOOKUP($A889,'Mutasi Neraca'!$A$3:$S$910,7,FALSE)),0,VLOOKUP($A889,'Mutasi Neraca'!$A$3:$S$910,7,FALSE))</f>
        <v>0</v>
      </c>
      <c r="I889" s="42">
        <f>VLOOKUP($A889,'Neraca Unaudited SIMAK'!$A$2:$R$1272,8,FALSE)+IF(ISNA(VLOOKUP($A889,'Mutasi Neraca'!$A$3:$S$910,8,FALSE)),0,VLOOKUP($A889,'Mutasi Neraca'!$A$3:$S$910,8,FALSE))</f>
        <v>0</v>
      </c>
      <c r="J889" s="42">
        <f>VLOOKUP($A889,'Neraca Unaudited SIMAK'!$A$2:$R$1272,9,FALSE)+IF(ISNA(VLOOKUP($A889,'Mutasi Neraca'!$A$3:$S$910,9,FALSE)),0,VLOOKUP($A889,'Mutasi Neraca'!$A$3:$S$910,9,FALSE))</f>
        <v>0</v>
      </c>
      <c r="K889" s="42">
        <f>VLOOKUP($A889,'Neraca Unaudited SIMAK'!$A$2:$R$1272,10,FALSE)+IF(ISNA(VLOOKUP($A889,'Mutasi Neraca'!$A$3:$S$910,10,FALSE)),0,VLOOKUP($A889,'Mutasi Neraca'!$A$3:$S$910,10,FALSE))</f>
        <v>0</v>
      </c>
      <c r="L889" s="42">
        <f>VLOOKUP($A889,'Neraca Unaudited SIMAK'!$A$2:$R$1272,11,FALSE)+IF(ISNA(VLOOKUP($A889,'Mutasi Neraca'!$A$3:$S$910,11,FALSE)),0,VLOOKUP($A889,'Mutasi Neraca'!$A$3:$S$910,11,FALSE))</f>
        <v>0</v>
      </c>
      <c r="M889" s="42">
        <f>VLOOKUP($A889,'Neraca Unaudited SIMAK'!$A$2:$R$1272,12,FALSE)+IF(ISNA(VLOOKUP($A889,'Mutasi Neraca'!$A$3:$S$910,12,FALSE)),0,VLOOKUP($A889,'Mutasi Neraca'!$A$3:$S$910,12,FALSE))</f>
        <v>280400</v>
      </c>
      <c r="N889" s="42">
        <f>VLOOKUP($A889,'Neraca Unaudited SIMAK'!$A$2:$R$1272,13,FALSE)+IF(ISNA(VLOOKUP($A889,'Mutasi Neraca'!$A$3:$S$910,13,FALSE)),0,VLOOKUP($A889,'Mutasi Neraca'!$A$3:$S$910,13,FALSE))</f>
        <v>0</v>
      </c>
      <c r="O889" s="42">
        <f>VLOOKUP($A889,'Neraca Unaudited SIMAK'!$A$2:$R$1272,14,FALSE)+IF(ISNA(VLOOKUP($A889,'Mutasi Neraca'!$A$3:$S$910,14,FALSE)),0,VLOOKUP($A889,'Mutasi Neraca'!$A$3:$S$910,14,FALSE))</f>
        <v>0</v>
      </c>
      <c r="P889" s="42">
        <f>VLOOKUP($A889,'Neraca Unaudited SIMAK'!$A$2:$R$1272,15,FALSE)+IF(ISNA(VLOOKUP($A889,'Mutasi Neraca'!$A$3:$S$910,15,FALSE)),0,VLOOKUP($A889,'Mutasi Neraca'!$A$3:$S$910,15,FALSE))</f>
        <v>0</v>
      </c>
      <c r="Q889" s="42">
        <f>VLOOKUP($A889,'Neraca Unaudited SIMAK'!$A$2:$R$1272,16,FALSE)+IF(ISNA(VLOOKUP($A889,'Mutasi Neraca'!$A$3:$S$910,16,FALSE)),0,VLOOKUP($A889,'Mutasi Neraca'!$A$3:$S$910,16,FALSE))</f>
        <v>0</v>
      </c>
      <c r="R889" s="42">
        <f>VLOOKUP($A889,'Neraca Unaudited SIMAK'!$A$2:$R$1272,17,FALSE)+IF(ISNA(VLOOKUP($A889,'Mutasi Neraca'!$A$3:$S$910,17,FALSE)),0,VLOOKUP($A889,'Mutasi Neraca'!$A$3:$S$910,17,FALSE))</f>
        <v>0</v>
      </c>
      <c r="S889" s="42">
        <f t="shared" si="69"/>
        <v>280400</v>
      </c>
    </row>
    <row r="890" spans="1:19">
      <c r="A890" s="41" t="s">
        <v>892</v>
      </c>
      <c r="B890" s="41" t="str">
        <f t="shared" si="68"/>
        <v>005030300</v>
      </c>
      <c r="D890" s="42">
        <f>VLOOKUP($A890,'Neraca Unaudited SIMAK'!$A$2:$R$1272,3,FALSE)+IF(ISNA(VLOOKUP($A890,'Mutasi Neraca'!$A$3:$S$910,3,FALSE)),0,VLOOKUP($A890,'Mutasi Neraca'!$A$3:$S$910,3,FALSE))</f>
        <v>3921240</v>
      </c>
      <c r="E890" s="42">
        <f>VLOOKUP($A890,'Neraca Unaudited SIMAK'!$A$2:$R$1272,4,FALSE)+IF(ISNA(VLOOKUP($A890,'Mutasi Neraca'!$A$3:$S$910,4,FALSE)),0,VLOOKUP($A890,'Mutasi Neraca'!$A$3:$S$910,4,FALSE))</f>
        <v>0</v>
      </c>
      <c r="F890" s="42">
        <f>VLOOKUP($A890,'Neraca Unaudited SIMAK'!$A$2:$R$1272,5,FALSE)+IF(ISNA(VLOOKUP($A890,'Mutasi Neraca'!$A$3:$S$910,5,FALSE)),0,VLOOKUP($A890,'Mutasi Neraca'!$A$3:$S$910,5,FALSE))</f>
        <v>0</v>
      </c>
      <c r="G890" s="42">
        <f>VLOOKUP($A890,'Neraca Unaudited SIMAK'!$A$2:$R$1272,6,FALSE)+IF(ISNA(VLOOKUP($A890,'Mutasi Neraca'!$A$3:$S$910,6,FALSE)),0,VLOOKUP($A890,'Mutasi Neraca'!$A$3:$S$910,6,FALSE))</f>
        <v>0</v>
      </c>
      <c r="H890" s="42">
        <f>VLOOKUP($A890,'Neraca Unaudited SIMAK'!$A$2:$R$1272,7,FALSE)+IF(ISNA(VLOOKUP($A890,'Mutasi Neraca'!$A$3:$S$910,7,FALSE)),0,VLOOKUP($A890,'Mutasi Neraca'!$A$3:$S$910,7,FALSE))</f>
        <v>0</v>
      </c>
      <c r="I890" s="42">
        <f>VLOOKUP($A890,'Neraca Unaudited SIMAK'!$A$2:$R$1272,8,FALSE)+IF(ISNA(VLOOKUP($A890,'Mutasi Neraca'!$A$3:$S$910,8,FALSE)),0,VLOOKUP($A890,'Mutasi Neraca'!$A$3:$S$910,8,FALSE))</f>
        <v>0</v>
      </c>
      <c r="J890" s="42">
        <f>VLOOKUP($A890,'Neraca Unaudited SIMAK'!$A$2:$R$1272,9,FALSE)+IF(ISNA(VLOOKUP($A890,'Mutasi Neraca'!$A$3:$S$910,9,FALSE)),0,VLOOKUP($A890,'Mutasi Neraca'!$A$3:$S$910,9,FALSE))</f>
        <v>0</v>
      </c>
      <c r="K890" s="42">
        <f>VLOOKUP($A890,'Neraca Unaudited SIMAK'!$A$2:$R$1272,10,FALSE)+IF(ISNA(VLOOKUP($A890,'Mutasi Neraca'!$A$3:$S$910,10,FALSE)),0,VLOOKUP($A890,'Mutasi Neraca'!$A$3:$S$910,10,FALSE))</f>
        <v>0</v>
      </c>
      <c r="L890" s="42">
        <f>VLOOKUP($A890,'Neraca Unaudited SIMAK'!$A$2:$R$1272,11,FALSE)+IF(ISNA(VLOOKUP($A890,'Mutasi Neraca'!$A$3:$S$910,11,FALSE)),0,VLOOKUP($A890,'Mutasi Neraca'!$A$3:$S$910,11,FALSE))</f>
        <v>0</v>
      </c>
      <c r="M890" s="42">
        <f>VLOOKUP($A890,'Neraca Unaudited SIMAK'!$A$2:$R$1272,12,FALSE)+IF(ISNA(VLOOKUP($A890,'Mutasi Neraca'!$A$3:$S$910,12,FALSE)),0,VLOOKUP($A890,'Mutasi Neraca'!$A$3:$S$910,12,FALSE))</f>
        <v>3921240</v>
      </c>
      <c r="N890" s="42">
        <f>VLOOKUP($A890,'Neraca Unaudited SIMAK'!$A$2:$R$1272,13,FALSE)+IF(ISNA(VLOOKUP($A890,'Mutasi Neraca'!$A$3:$S$910,13,FALSE)),0,VLOOKUP($A890,'Mutasi Neraca'!$A$3:$S$910,13,FALSE))</f>
        <v>0</v>
      </c>
      <c r="O890" s="42">
        <f>VLOOKUP($A890,'Neraca Unaudited SIMAK'!$A$2:$R$1272,14,FALSE)+IF(ISNA(VLOOKUP($A890,'Mutasi Neraca'!$A$3:$S$910,14,FALSE)),0,VLOOKUP($A890,'Mutasi Neraca'!$A$3:$S$910,14,FALSE))</f>
        <v>0</v>
      </c>
      <c r="P890" s="42">
        <f>VLOOKUP($A890,'Neraca Unaudited SIMAK'!$A$2:$R$1272,15,FALSE)+IF(ISNA(VLOOKUP($A890,'Mutasi Neraca'!$A$3:$S$910,15,FALSE)),0,VLOOKUP($A890,'Mutasi Neraca'!$A$3:$S$910,15,FALSE))</f>
        <v>0</v>
      </c>
      <c r="Q890" s="42">
        <f>VLOOKUP($A890,'Neraca Unaudited SIMAK'!$A$2:$R$1272,16,FALSE)+IF(ISNA(VLOOKUP($A890,'Mutasi Neraca'!$A$3:$S$910,16,FALSE)),0,VLOOKUP($A890,'Mutasi Neraca'!$A$3:$S$910,16,FALSE))</f>
        <v>0</v>
      </c>
      <c r="R890" s="42">
        <f>VLOOKUP($A890,'Neraca Unaudited SIMAK'!$A$2:$R$1272,17,FALSE)+IF(ISNA(VLOOKUP($A890,'Mutasi Neraca'!$A$3:$S$910,17,FALSE)),0,VLOOKUP($A890,'Mutasi Neraca'!$A$3:$S$910,17,FALSE))</f>
        <v>0</v>
      </c>
      <c r="S890" s="42">
        <f t="shared" si="69"/>
        <v>3921240</v>
      </c>
    </row>
    <row r="891" spans="1:19">
      <c r="A891" s="41" t="s">
        <v>2025</v>
      </c>
      <c r="B891" s="41" t="str">
        <f t="shared" si="68"/>
        <v>005030300</v>
      </c>
      <c r="D891" s="42">
        <f>VLOOKUP($A891,'Neraca Unaudited SIMAK'!$A$2:$R$1272,3,FALSE)+IF(ISNA(VLOOKUP($A891,'Mutasi Neraca'!$A$3:$S$910,3,FALSE)),0,VLOOKUP($A891,'Mutasi Neraca'!$A$3:$S$910,3,FALSE))</f>
        <v>3184750</v>
      </c>
      <c r="E891" s="42">
        <f>VLOOKUP($A891,'Neraca Unaudited SIMAK'!$A$2:$R$1272,4,FALSE)+IF(ISNA(VLOOKUP($A891,'Mutasi Neraca'!$A$3:$S$910,4,FALSE)),0,VLOOKUP($A891,'Mutasi Neraca'!$A$3:$S$910,4,FALSE))</f>
        <v>0</v>
      </c>
      <c r="F891" s="42">
        <f>VLOOKUP($A891,'Neraca Unaudited SIMAK'!$A$2:$R$1272,5,FALSE)+IF(ISNA(VLOOKUP($A891,'Mutasi Neraca'!$A$3:$S$910,5,FALSE)),0,VLOOKUP($A891,'Mutasi Neraca'!$A$3:$S$910,5,FALSE))</f>
        <v>0</v>
      </c>
      <c r="G891" s="42">
        <f>VLOOKUP($A891,'Neraca Unaudited SIMAK'!$A$2:$R$1272,6,FALSE)+IF(ISNA(VLOOKUP($A891,'Mutasi Neraca'!$A$3:$S$910,6,FALSE)),0,VLOOKUP($A891,'Mutasi Neraca'!$A$3:$S$910,6,FALSE))</f>
        <v>0</v>
      </c>
      <c r="H891" s="42">
        <f>VLOOKUP($A891,'Neraca Unaudited SIMAK'!$A$2:$R$1272,7,FALSE)+IF(ISNA(VLOOKUP($A891,'Mutasi Neraca'!$A$3:$S$910,7,FALSE)),0,VLOOKUP($A891,'Mutasi Neraca'!$A$3:$S$910,7,FALSE))</f>
        <v>0</v>
      </c>
      <c r="I891" s="42">
        <f>VLOOKUP($A891,'Neraca Unaudited SIMAK'!$A$2:$R$1272,8,FALSE)+IF(ISNA(VLOOKUP($A891,'Mutasi Neraca'!$A$3:$S$910,8,FALSE)),0,VLOOKUP($A891,'Mutasi Neraca'!$A$3:$S$910,8,FALSE))</f>
        <v>0</v>
      </c>
      <c r="J891" s="42">
        <f>VLOOKUP($A891,'Neraca Unaudited SIMAK'!$A$2:$R$1272,9,FALSE)+IF(ISNA(VLOOKUP($A891,'Mutasi Neraca'!$A$3:$S$910,9,FALSE)),0,VLOOKUP($A891,'Mutasi Neraca'!$A$3:$S$910,9,FALSE))</f>
        <v>0</v>
      </c>
      <c r="K891" s="42">
        <f>VLOOKUP($A891,'Neraca Unaudited SIMAK'!$A$2:$R$1272,10,FALSE)+IF(ISNA(VLOOKUP($A891,'Mutasi Neraca'!$A$3:$S$910,10,FALSE)),0,VLOOKUP($A891,'Mutasi Neraca'!$A$3:$S$910,10,FALSE))</f>
        <v>0</v>
      </c>
      <c r="L891" s="42">
        <f>VLOOKUP($A891,'Neraca Unaudited SIMAK'!$A$2:$R$1272,11,FALSE)+IF(ISNA(VLOOKUP($A891,'Mutasi Neraca'!$A$3:$S$910,11,FALSE)),0,VLOOKUP($A891,'Mutasi Neraca'!$A$3:$S$910,11,FALSE))</f>
        <v>0</v>
      </c>
      <c r="M891" s="42">
        <f>VLOOKUP($A891,'Neraca Unaudited SIMAK'!$A$2:$R$1272,12,FALSE)+IF(ISNA(VLOOKUP($A891,'Mutasi Neraca'!$A$3:$S$910,12,FALSE)),0,VLOOKUP($A891,'Mutasi Neraca'!$A$3:$S$910,12,FALSE))</f>
        <v>3184750</v>
      </c>
      <c r="N891" s="42">
        <f>VLOOKUP($A891,'Neraca Unaudited SIMAK'!$A$2:$R$1272,13,FALSE)+IF(ISNA(VLOOKUP($A891,'Mutasi Neraca'!$A$3:$S$910,13,FALSE)),0,VLOOKUP($A891,'Mutasi Neraca'!$A$3:$S$910,13,FALSE))</f>
        <v>0</v>
      </c>
      <c r="O891" s="42">
        <f>VLOOKUP($A891,'Neraca Unaudited SIMAK'!$A$2:$R$1272,14,FALSE)+IF(ISNA(VLOOKUP($A891,'Mutasi Neraca'!$A$3:$S$910,14,FALSE)),0,VLOOKUP($A891,'Mutasi Neraca'!$A$3:$S$910,14,FALSE))</f>
        <v>0</v>
      </c>
      <c r="P891" s="42">
        <f>VLOOKUP($A891,'Neraca Unaudited SIMAK'!$A$2:$R$1272,15,FALSE)+IF(ISNA(VLOOKUP($A891,'Mutasi Neraca'!$A$3:$S$910,15,FALSE)),0,VLOOKUP($A891,'Mutasi Neraca'!$A$3:$S$910,15,FALSE))</f>
        <v>0</v>
      </c>
      <c r="Q891" s="42">
        <f>VLOOKUP($A891,'Neraca Unaudited SIMAK'!$A$2:$R$1272,16,FALSE)+IF(ISNA(VLOOKUP($A891,'Mutasi Neraca'!$A$3:$S$910,16,FALSE)),0,VLOOKUP($A891,'Mutasi Neraca'!$A$3:$S$910,16,FALSE))</f>
        <v>0</v>
      </c>
      <c r="R891" s="42">
        <f>VLOOKUP($A891,'Neraca Unaudited SIMAK'!$A$2:$R$1272,17,FALSE)+IF(ISNA(VLOOKUP($A891,'Mutasi Neraca'!$A$3:$S$910,17,FALSE)),0,VLOOKUP($A891,'Mutasi Neraca'!$A$3:$S$910,17,FALSE))</f>
        <v>0</v>
      </c>
      <c r="S891" s="42">
        <f t="shared" si="69"/>
        <v>3184750</v>
      </c>
    </row>
    <row r="892" spans="1:19">
      <c r="A892" s="41" t="s">
        <v>893</v>
      </c>
      <c r="B892" s="41" t="str">
        <f t="shared" si="68"/>
        <v>005030400</v>
      </c>
      <c r="D892" s="42">
        <f>VLOOKUP($A892,'Neraca Unaudited SIMAK'!$A$2:$R$1272,3,FALSE)+IF(ISNA(VLOOKUP($A892,'Mutasi Neraca'!$A$3:$S$910,3,FALSE)),0,VLOOKUP($A892,'Mutasi Neraca'!$A$3:$S$910,3,FALSE))</f>
        <v>631000</v>
      </c>
      <c r="E892" s="42">
        <f>VLOOKUP($A892,'Neraca Unaudited SIMAK'!$A$2:$R$1272,4,FALSE)+IF(ISNA(VLOOKUP($A892,'Mutasi Neraca'!$A$3:$S$910,4,FALSE)),0,VLOOKUP($A892,'Mutasi Neraca'!$A$3:$S$910,4,FALSE))</f>
        <v>0</v>
      </c>
      <c r="F892" s="42">
        <f>VLOOKUP($A892,'Neraca Unaudited SIMAK'!$A$2:$R$1272,5,FALSE)+IF(ISNA(VLOOKUP($A892,'Mutasi Neraca'!$A$3:$S$910,5,FALSE)),0,VLOOKUP($A892,'Mutasi Neraca'!$A$3:$S$910,5,FALSE))</f>
        <v>0</v>
      </c>
      <c r="G892" s="42">
        <f>VLOOKUP($A892,'Neraca Unaudited SIMAK'!$A$2:$R$1272,6,FALSE)+IF(ISNA(VLOOKUP($A892,'Mutasi Neraca'!$A$3:$S$910,6,FALSE)),0,VLOOKUP($A892,'Mutasi Neraca'!$A$3:$S$910,6,FALSE))</f>
        <v>0</v>
      </c>
      <c r="H892" s="42">
        <f>VLOOKUP($A892,'Neraca Unaudited SIMAK'!$A$2:$R$1272,7,FALSE)+IF(ISNA(VLOOKUP($A892,'Mutasi Neraca'!$A$3:$S$910,7,FALSE)),0,VLOOKUP($A892,'Mutasi Neraca'!$A$3:$S$910,7,FALSE))</f>
        <v>0</v>
      </c>
      <c r="I892" s="42">
        <f>VLOOKUP($A892,'Neraca Unaudited SIMAK'!$A$2:$R$1272,8,FALSE)+IF(ISNA(VLOOKUP($A892,'Mutasi Neraca'!$A$3:$S$910,8,FALSE)),0,VLOOKUP($A892,'Mutasi Neraca'!$A$3:$S$910,8,FALSE))</f>
        <v>0</v>
      </c>
      <c r="J892" s="42">
        <f>VLOOKUP($A892,'Neraca Unaudited SIMAK'!$A$2:$R$1272,9,FALSE)+IF(ISNA(VLOOKUP($A892,'Mutasi Neraca'!$A$3:$S$910,9,FALSE)),0,VLOOKUP($A892,'Mutasi Neraca'!$A$3:$S$910,9,FALSE))</f>
        <v>0</v>
      </c>
      <c r="K892" s="42">
        <f>VLOOKUP($A892,'Neraca Unaudited SIMAK'!$A$2:$R$1272,10,FALSE)+IF(ISNA(VLOOKUP($A892,'Mutasi Neraca'!$A$3:$S$910,10,FALSE)),0,VLOOKUP($A892,'Mutasi Neraca'!$A$3:$S$910,10,FALSE))</f>
        <v>0</v>
      </c>
      <c r="L892" s="42">
        <f>VLOOKUP($A892,'Neraca Unaudited SIMAK'!$A$2:$R$1272,11,FALSE)+IF(ISNA(VLOOKUP($A892,'Mutasi Neraca'!$A$3:$S$910,11,FALSE)),0,VLOOKUP($A892,'Mutasi Neraca'!$A$3:$S$910,11,FALSE))</f>
        <v>0</v>
      </c>
      <c r="M892" s="42">
        <f>VLOOKUP($A892,'Neraca Unaudited SIMAK'!$A$2:$R$1272,12,FALSE)+IF(ISNA(VLOOKUP($A892,'Mutasi Neraca'!$A$3:$S$910,12,FALSE)),0,VLOOKUP($A892,'Mutasi Neraca'!$A$3:$S$910,12,FALSE))</f>
        <v>631000</v>
      </c>
      <c r="N892" s="42">
        <f>VLOOKUP($A892,'Neraca Unaudited SIMAK'!$A$2:$R$1272,13,FALSE)+IF(ISNA(VLOOKUP($A892,'Mutasi Neraca'!$A$3:$S$910,13,FALSE)),0,VLOOKUP($A892,'Mutasi Neraca'!$A$3:$S$910,13,FALSE))</f>
        <v>0</v>
      </c>
      <c r="O892" s="42">
        <f>VLOOKUP($A892,'Neraca Unaudited SIMAK'!$A$2:$R$1272,14,FALSE)+IF(ISNA(VLOOKUP($A892,'Mutasi Neraca'!$A$3:$S$910,14,FALSE)),0,VLOOKUP($A892,'Mutasi Neraca'!$A$3:$S$910,14,FALSE))</f>
        <v>0</v>
      </c>
      <c r="P892" s="42">
        <f>VLOOKUP($A892,'Neraca Unaudited SIMAK'!$A$2:$R$1272,15,FALSE)+IF(ISNA(VLOOKUP($A892,'Mutasi Neraca'!$A$3:$S$910,15,FALSE)),0,VLOOKUP($A892,'Mutasi Neraca'!$A$3:$S$910,15,FALSE))</f>
        <v>0</v>
      </c>
      <c r="Q892" s="42">
        <f>VLOOKUP($A892,'Neraca Unaudited SIMAK'!$A$2:$R$1272,16,FALSE)+IF(ISNA(VLOOKUP($A892,'Mutasi Neraca'!$A$3:$S$910,16,FALSE)),0,VLOOKUP($A892,'Mutasi Neraca'!$A$3:$S$910,16,FALSE))</f>
        <v>0</v>
      </c>
      <c r="R892" s="42">
        <f>VLOOKUP($A892,'Neraca Unaudited SIMAK'!$A$2:$R$1272,17,FALSE)+IF(ISNA(VLOOKUP($A892,'Mutasi Neraca'!$A$3:$S$910,17,FALSE)),0,VLOOKUP($A892,'Mutasi Neraca'!$A$3:$S$910,17,FALSE))</f>
        <v>0</v>
      </c>
      <c r="S892" s="42">
        <f t="shared" si="69"/>
        <v>631000</v>
      </c>
    </row>
    <row r="893" spans="1:19">
      <c r="A893" s="41" t="s">
        <v>894</v>
      </c>
      <c r="B893" s="41" t="str">
        <f t="shared" si="68"/>
        <v>005030400</v>
      </c>
      <c r="D893" s="42">
        <f>VLOOKUP($A893,'Neraca Unaudited SIMAK'!$A$2:$R$1272,3,FALSE)+IF(ISNA(VLOOKUP($A893,'Mutasi Neraca'!$A$3:$S$910,3,FALSE)),0,VLOOKUP($A893,'Mutasi Neraca'!$A$3:$S$910,3,FALSE))</f>
        <v>12753250</v>
      </c>
      <c r="E893" s="42">
        <f>VLOOKUP($A893,'Neraca Unaudited SIMAK'!$A$2:$R$1272,4,FALSE)+IF(ISNA(VLOOKUP($A893,'Mutasi Neraca'!$A$3:$S$910,4,FALSE)),0,VLOOKUP($A893,'Mutasi Neraca'!$A$3:$S$910,4,FALSE))</f>
        <v>0</v>
      </c>
      <c r="F893" s="42">
        <f>VLOOKUP($A893,'Neraca Unaudited SIMAK'!$A$2:$R$1272,5,FALSE)+IF(ISNA(VLOOKUP($A893,'Mutasi Neraca'!$A$3:$S$910,5,FALSE)),0,VLOOKUP($A893,'Mutasi Neraca'!$A$3:$S$910,5,FALSE))</f>
        <v>0</v>
      </c>
      <c r="G893" s="42">
        <f>VLOOKUP($A893,'Neraca Unaudited SIMAK'!$A$2:$R$1272,6,FALSE)+IF(ISNA(VLOOKUP($A893,'Mutasi Neraca'!$A$3:$S$910,6,FALSE)),0,VLOOKUP($A893,'Mutasi Neraca'!$A$3:$S$910,6,FALSE))</f>
        <v>0</v>
      </c>
      <c r="H893" s="42">
        <f>VLOOKUP($A893,'Neraca Unaudited SIMAK'!$A$2:$R$1272,7,FALSE)+IF(ISNA(VLOOKUP($A893,'Mutasi Neraca'!$A$3:$S$910,7,FALSE)),0,VLOOKUP($A893,'Mutasi Neraca'!$A$3:$S$910,7,FALSE))</f>
        <v>0</v>
      </c>
      <c r="I893" s="42">
        <f>VLOOKUP($A893,'Neraca Unaudited SIMAK'!$A$2:$R$1272,8,FALSE)+IF(ISNA(VLOOKUP($A893,'Mutasi Neraca'!$A$3:$S$910,8,FALSE)),0,VLOOKUP($A893,'Mutasi Neraca'!$A$3:$S$910,8,FALSE))</f>
        <v>0</v>
      </c>
      <c r="J893" s="42">
        <f>VLOOKUP($A893,'Neraca Unaudited SIMAK'!$A$2:$R$1272,9,FALSE)+IF(ISNA(VLOOKUP($A893,'Mutasi Neraca'!$A$3:$S$910,9,FALSE)),0,VLOOKUP($A893,'Mutasi Neraca'!$A$3:$S$910,9,FALSE))</f>
        <v>0</v>
      </c>
      <c r="K893" s="42">
        <f>VLOOKUP($A893,'Neraca Unaudited SIMAK'!$A$2:$R$1272,10,FALSE)+IF(ISNA(VLOOKUP($A893,'Mutasi Neraca'!$A$3:$S$910,10,FALSE)),0,VLOOKUP($A893,'Mutasi Neraca'!$A$3:$S$910,10,FALSE))</f>
        <v>0</v>
      </c>
      <c r="L893" s="42">
        <f>VLOOKUP($A893,'Neraca Unaudited SIMAK'!$A$2:$R$1272,11,FALSE)+IF(ISNA(VLOOKUP($A893,'Mutasi Neraca'!$A$3:$S$910,11,FALSE)),0,VLOOKUP($A893,'Mutasi Neraca'!$A$3:$S$910,11,FALSE))</f>
        <v>0</v>
      </c>
      <c r="M893" s="42">
        <f>VLOOKUP($A893,'Neraca Unaudited SIMAK'!$A$2:$R$1272,12,FALSE)+IF(ISNA(VLOOKUP($A893,'Mutasi Neraca'!$A$3:$S$910,12,FALSE)),0,VLOOKUP($A893,'Mutasi Neraca'!$A$3:$S$910,12,FALSE))</f>
        <v>12753250</v>
      </c>
      <c r="N893" s="42">
        <f>VLOOKUP($A893,'Neraca Unaudited SIMAK'!$A$2:$R$1272,13,FALSE)+IF(ISNA(VLOOKUP($A893,'Mutasi Neraca'!$A$3:$S$910,13,FALSE)),0,VLOOKUP($A893,'Mutasi Neraca'!$A$3:$S$910,13,FALSE))</f>
        <v>0</v>
      </c>
      <c r="O893" s="42">
        <f>VLOOKUP($A893,'Neraca Unaudited SIMAK'!$A$2:$R$1272,14,FALSE)+IF(ISNA(VLOOKUP($A893,'Mutasi Neraca'!$A$3:$S$910,14,FALSE)),0,VLOOKUP($A893,'Mutasi Neraca'!$A$3:$S$910,14,FALSE))</f>
        <v>0</v>
      </c>
      <c r="P893" s="42">
        <f>VLOOKUP($A893,'Neraca Unaudited SIMAK'!$A$2:$R$1272,15,FALSE)+IF(ISNA(VLOOKUP($A893,'Mutasi Neraca'!$A$3:$S$910,15,FALSE)),0,VLOOKUP($A893,'Mutasi Neraca'!$A$3:$S$910,15,FALSE))</f>
        <v>0</v>
      </c>
      <c r="Q893" s="42">
        <f>VLOOKUP($A893,'Neraca Unaudited SIMAK'!$A$2:$R$1272,16,FALSE)+IF(ISNA(VLOOKUP($A893,'Mutasi Neraca'!$A$3:$S$910,16,FALSE)),0,VLOOKUP($A893,'Mutasi Neraca'!$A$3:$S$910,16,FALSE))</f>
        <v>0</v>
      </c>
      <c r="R893" s="42">
        <f>VLOOKUP($A893,'Neraca Unaudited SIMAK'!$A$2:$R$1272,17,FALSE)+IF(ISNA(VLOOKUP($A893,'Mutasi Neraca'!$A$3:$S$910,17,FALSE)),0,VLOOKUP($A893,'Mutasi Neraca'!$A$3:$S$910,17,FALSE))</f>
        <v>0</v>
      </c>
      <c r="S893" s="42">
        <f t="shared" si="69"/>
        <v>12753250</v>
      </c>
    </row>
    <row r="894" spans="1:19">
      <c r="A894" s="41" t="s">
        <v>895</v>
      </c>
      <c r="B894" s="41" t="str">
        <f t="shared" si="68"/>
        <v>005030400</v>
      </c>
      <c r="D894" s="42">
        <f>VLOOKUP($A894,'Neraca Unaudited SIMAK'!$A$2:$R$1272,3,FALSE)+IF(ISNA(VLOOKUP($A894,'Mutasi Neraca'!$A$3:$S$910,3,FALSE)),0,VLOOKUP($A894,'Mutasi Neraca'!$A$3:$S$910,3,FALSE))</f>
        <v>7493700</v>
      </c>
      <c r="E894" s="42">
        <f>VLOOKUP($A894,'Neraca Unaudited SIMAK'!$A$2:$R$1272,4,FALSE)+IF(ISNA(VLOOKUP($A894,'Mutasi Neraca'!$A$3:$S$910,4,FALSE)),0,VLOOKUP($A894,'Mutasi Neraca'!$A$3:$S$910,4,FALSE))</f>
        <v>0</v>
      </c>
      <c r="F894" s="42">
        <f>VLOOKUP($A894,'Neraca Unaudited SIMAK'!$A$2:$R$1272,5,FALSE)+IF(ISNA(VLOOKUP($A894,'Mutasi Neraca'!$A$3:$S$910,5,FALSE)),0,VLOOKUP($A894,'Mutasi Neraca'!$A$3:$S$910,5,FALSE))</f>
        <v>0</v>
      </c>
      <c r="G894" s="42">
        <f>VLOOKUP($A894,'Neraca Unaudited SIMAK'!$A$2:$R$1272,6,FALSE)+IF(ISNA(VLOOKUP($A894,'Mutasi Neraca'!$A$3:$S$910,6,FALSE)),0,VLOOKUP($A894,'Mutasi Neraca'!$A$3:$S$910,6,FALSE))</f>
        <v>0</v>
      </c>
      <c r="H894" s="42">
        <f>VLOOKUP($A894,'Neraca Unaudited SIMAK'!$A$2:$R$1272,7,FALSE)+IF(ISNA(VLOOKUP($A894,'Mutasi Neraca'!$A$3:$S$910,7,FALSE)),0,VLOOKUP($A894,'Mutasi Neraca'!$A$3:$S$910,7,FALSE))</f>
        <v>0</v>
      </c>
      <c r="I894" s="42">
        <f>VLOOKUP($A894,'Neraca Unaudited SIMAK'!$A$2:$R$1272,8,FALSE)+IF(ISNA(VLOOKUP($A894,'Mutasi Neraca'!$A$3:$S$910,8,FALSE)),0,VLOOKUP($A894,'Mutasi Neraca'!$A$3:$S$910,8,FALSE))</f>
        <v>0</v>
      </c>
      <c r="J894" s="42">
        <f>VLOOKUP($A894,'Neraca Unaudited SIMAK'!$A$2:$R$1272,9,FALSE)+IF(ISNA(VLOOKUP($A894,'Mutasi Neraca'!$A$3:$S$910,9,FALSE)),0,VLOOKUP($A894,'Mutasi Neraca'!$A$3:$S$910,9,FALSE))</f>
        <v>0</v>
      </c>
      <c r="K894" s="42">
        <f>VLOOKUP($A894,'Neraca Unaudited SIMAK'!$A$2:$R$1272,10,FALSE)+IF(ISNA(VLOOKUP($A894,'Mutasi Neraca'!$A$3:$S$910,10,FALSE)),0,VLOOKUP($A894,'Mutasi Neraca'!$A$3:$S$910,10,FALSE))</f>
        <v>0</v>
      </c>
      <c r="L894" s="42">
        <f>VLOOKUP($A894,'Neraca Unaudited SIMAK'!$A$2:$R$1272,11,FALSE)+IF(ISNA(VLOOKUP($A894,'Mutasi Neraca'!$A$3:$S$910,11,FALSE)),0,VLOOKUP($A894,'Mutasi Neraca'!$A$3:$S$910,11,FALSE))</f>
        <v>0</v>
      </c>
      <c r="M894" s="42">
        <f>VLOOKUP($A894,'Neraca Unaudited SIMAK'!$A$2:$R$1272,12,FALSE)+IF(ISNA(VLOOKUP($A894,'Mutasi Neraca'!$A$3:$S$910,12,FALSE)),0,VLOOKUP($A894,'Mutasi Neraca'!$A$3:$S$910,12,FALSE))</f>
        <v>7493700</v>
      </c>
      <c r="N894" s="42">
        <f>VLOOKUP($A894,'Neraca Unaudited SIMAK'!$A$2:$R$1272,13,FALSE)+IF(ISNA(VLOOKUP($A894,'Mutasi Neraca'!$A$3:$S$910,13,FALSE)),0,VLOOKUP($A894,'Mutasi Neraca'!$A$3:$S$910,13,FALSE))</f>
        <v>0</v>
      </c>
      <c r="O894" s="42">
        <f>VLOOKUP($A894,'Neraca Unaudited SIMAK'!$A$2:$R$1272,14,FALSE)+IF(ISNA(VLOOKUP($A894,'Mutasi Neraca'!$A$3:$S$910,14,FALSE)),0,VLOOKUP($A894,'Mutasi Neraca'!$A$3:$S$910,14,FALSE))</f>
        <v>0</v>
      </c>
      <c r="P894" s="42">
        <f>VLOOKUP($A894,'Neraca Unaudited SIMAK'!$A$2:$R$1272,15,FALSE)+IF(ISNA(VLOOKUP($A894,'Mutasi Neraca'!$A$3:$S$910,15,FALSE)),0,VLOOKUP($A894,'Mutasi Neraca'!$A$3:$S$910,15,FALSE))</f>
        <v>0</v>
      </c>
      <c r="Q894" s="42">
        <f>VLOOKUP($A894,'Neraca Unaudited SIMAK'!$A$2:$R$1272,16,FALSE)+IF(ISNA(VLOOKUP($A894,'Mutasi Neraca'!$A$3:$S$910,16,FALSE)),0,VLOOKUP($A894,'Mutasi Neraca'!$A$3:$S$910,16,FALSE))</f>
        <v>0</v>
      </c>
      <c r="R894" s="42">
        <f>VLOOKUP($A894,'Neraca Unaudited SIMAK'!$A$2:$R$1272,17,FALSE)+IF(ISNA(VLOOKUP($A894,'Mutasi Neraca'!$A$3:$S$910,17,FALSE)),0,VLOOKUP($A894,'Mutasi Neraca'!$A$3:$S$910,17,FALSE))</f>
        <v>0</v>
      </c>
      <c r="S894" s="42">
        <f t="shared" si="69"/>
        <v>7493700</v>
      </c>
    </row>
    <row r="895" spans="1:19">
      <c r="A895" s="41" t="s">
        <v>896</v>
      </c>
      <c r="B895" s="41" t="str">
        <f t="shared" si="68"/>
        <v>005030400</v>
      </c>
      <c r="D895" s="42">
        <f>VLOOKUP($A895,'Neraca Unaudited SIMAK'!$A$2:$R$1272,3,FALSE)+IF(ISNA(VLOOKUP($A895,'Mutasi Neraca'!$A$3:$S$910,3,FALSE)),0,VLOOKUP($A895,'Mutasi Neraca'!$A$3:$S$910,3,FALSE))</f>
        <v>2514751</v>
      </c>
      <c r="E895" s="42">
        <f>VLOOKUP($A895,'Neraca Unaudited SIMAK'!$A$2:$R$1272,4,FALSE)+IF(ISNA(VLOOKUP($A895,'Mutasi Neraca'!$A$3:$S$910,4,FALSE)),0,VLOOKUP($A895,'Mutasi Neraca'!$A$3:$S$910,4,FALSE))</f>
        <v>0</v>
      </c>
      <c r="F895" s="42">
        <f>VLOOKUP($A895,'Neraca Unaudited SIMAK'!$A$2:$R$1272,5,FALSE)+IF(ISNA(VLOOKUP($A895,'Mutasi Neraca'!$A$3:$S$910,5,FALSE)),0,VLOOKUP($A895,'Mutasi Neraca'!$A$3:$S$910,5,FALSE))</f>
        <v>0</v>
      </c>
      <c r="G895" s="42">
        <f>VLOOKUP($A895,'Neraca Unaudited SIMAK'!$A$2:$R$1272,6,FALSE)+IF(ISNA(VLOOKUP($A895,'Mutasi Neraca'!$A$3:$S$910,6,FALSE)),0,VLOOKUP($A895,'Mutasi Neraca'!$A$3:$S$910,6,FALSE))</f>
        <v>0</v>
      </c>
      <c r="H895" s="42">
        <f>VLOOKUP($A895,'Neraca Unaudited SIMAK'!$A$2:$R$1272,7,FALSE)+IF(ISNA(VLOOKUP($A895,'Mutasi Neraca'!$A$3:$S$910,7,FALSE)),0,VLOOKUP($A895,'Mutasi Neraca'!$A$3:$S$910,7,FALSE))</f>
        <v>0</v>
      </c>
      <c r="I895" s="42">
        <f>VLOOKUP($A895,'Neraca Unaudited SIMAK'!$A$2:$R$1272,8,FALSE)+IF(ISNA(VLOOKUP($A895,'Mutasi Neraca'!$A$3:$S$910,8,FALSE)),0,VLOOKUP($A895,'Mutasi Neraca'!$A$3:$S$910,8,FALSE))</f>
        <v>0</v>
      </c>
      <c r="J895" s="42">
        <f>VLOOKUP($A895,'Neraca Unaudited SIMAK'!$A$2:$R$1272,9,FALSE)+IF(ISNA(VLOOKUP($A895,'Mutasi Neraca'!$A$3:$S$910,9,FALSE)),0,VLOOKUP($A895,'Mutasi Neraca'!$A$3:$S$910,9,FALSE))</f>
        <v>0</v>
      </c>
      <c r="K895" s="42">
        <f>VLOOKUP($A895,'Neraca Unaudited SIMAK'!$A$2:$R$1272,10,FALSE)+IF(ISNA(VLOOKUP($A895,'Mutasi Neraca'!$A$3:$S$910,10,FALSE)),0,VLOOKUP($A895,'Mutasi Neraca'!$A$3:$S$910,10,FALSE))</f>
        <v>0</v>
      </c>
      <c r="L895" s="42">
        <f>VLOOKUP($A895,'Neraca Unaudited SIMAK'!$A$2:$R$1272,11,FALSE)+IF(ISNA(VLOOKUP($A895,'Mutasi Neraca'!$A$3:$S$910,11,FALSE)),0,VLOOKUP($A895,'Mutasi Neraca'!$A$3:$S$910,11,FALSE))</f>
        <v>0</v>
      </c>
      <c r="M895" s="42">
        <f>VLOOKUP($A895,'Neraca Unaudited SIMAK'!$A$2:$R$1272,12,FALSE)+IF(ISNA(VLOOKUP($A895,'Mutasi Neraca'!$A$3:$S$910,12,FALSE)),0,VLOOKUP($A895,'Mutasi Neraca'!$A$3:$S$910,12,FALSE))</f>
        <v>2514751</v>
      </c>
      <c r="N895" s="42">
        <f>VLOOKUP($A895,'Neraca Unaudited SIMAK'!$A$2:$R$1272,13,FALSE)+IF(ISNA(VLOOKUP($A895,'Mutasi Neraca'!$A$3:$S$910,13,FALSE)),0,VLOOKUP($A895,'Mutasi Neraca'!$A$3:$S$910,13,FALSE))</f>
        <v>0</v>
      </c>
      <c r="O895" s="42">
        <f>VLOOKUP($A895,'Neraca Unaudited SIMAK'!$A$2:$R$1272,14,FALSE)+IF(ISNA(VLOOKUP($A895,'Mutasi Neraca'!$A$3:$S$910,14,FALSE)),0,VLOOKUP($A895,'Mutasi Neraca'!$A$3:$S$910,14,FALSE))</f>
        <v>0</v>
      </c>
      <c r="P895" s="42">
        <f>VLOOKUP($A895,'Neraca Unaudited SIMAK'!$A$2:$R$1272,15,FALSE)+IF(ISNA(VLOOKUP($A895,'Mutasi Neraca'!$A$3:$S$910,15,FALSE)),0,VLOOKUP($A895,'Mutasi Neraca'!$A$3:$S$910,15,FALSE))</f>
        <v>0</v>
      </c>
      <c r="Q895" s="42">
        <f>VLOOKUP($A895,'Neraca Unaudited SIMAK'!$A$2:$R$1272,16,FALSE)+IF(ISNA(VLOOKUP($A895,'Mutasi Neraca'!$A$3:$S$910,16,FALSE)),0,VLOOKUP($A895,'Mutasi Neraca'!$A$3:$S$910,16,FALSE))</f>
        <v>0</v>
      </c>
      <c r="R895" s="42">
        <f>VLOOKUP($A895,'Neraca Unaudited SIMAK'!$A$2:$R$1272,17,FALSE)+IF(ISNA(VLOOKUP($A895,'Mutasi Neraca'!$A$3:$S$910,17,FALSE)),0,VLOOKUP($A895,'Mutasi Neraca'!$A$3:$S$910,17,FALSE))</f>
        <v>0</v>
      </c>
      <c r="S895" s="42">
        <f t="shared" si="69"/>
        <v>2514751</v>
      </c>
    </row>
    <row r="896" spans="1:19">
      <c r="A896" s="41" t="s">
        <v>897</v>
      </c>
      <c r="B896" s="41" t="str">
        <f t="shared" si="68"/>
        <v>005030400</v>
      </c>
      <c r="D896" s="42">
        <f>VLOOKUP($A896,'Neraca Unaudited SIMAK'!$A$2:$R$1272,3,FALSE)+IF(ISNA(VLOOKUP($A896,'Mutasi Neraca'!$A$3:$S$910,3,FALSE)),0,VLOOKUP($A896,'Mutasi Neraca'!$A$3:$S$910,3,FALSE))</f>
        <v>5466950</v>
      </c>
      <c r="E896" s="42">
        <f>VLOOKUP($A896,'Neraca Unaudited SIMAK'!$A$2:$R$1272,4,FALSE)+IF(ISNA(VLOOKUP($A896,'Mutasi Neraca'!$A$3:$S$910,4,FALSE)),0,VLOOKUP($A896,'Mutasi Neraca'!$A$3:$S$910,4,FALSE))</f>
        <v>0</v>
      </c>
      <c r="F896" s="42">
        <f>VLOOKUP($A896,'Neraca Unaudited SIMAK'!$A$2:$R$1272,5,FALSE)+IF(ISNA(VLOOKUP($A896,'Mutasi Neraca'!$A$3:$S$910,5,FALSE)),0,VLOOKUP($A896,'Mutasi Neraca'!$A$3:$S$910,5,FALSE))</f>
        <v>0</v>
      </c>
      <c r="G896" s="42">
        <f>VLOOKUP($A896,'Neraca Unaudited SIMAK'!$A$2:$R$1272,6,FALSE)+IF(ISNA(VLOOKUP($A896,'Mutasi Neraca'!$A$3:$S$910,6,FALSE)),0,VLOOKUP($A896,'Mutasi Neraca'!$A$3:$S$910,6,FALSE))</f>
        <v>0</v>
      </c>
      <c r="H896" s="42">
        <f>VLOOKUP($A896,'Neraca Unaudited SIMAK'!$A$2:$R$1272,7,FALSE)+IF(ISNA(VLOOKUP($A896,'Mutasi Neraca'!$A$3:$S$910,7,FALSE)),0,VLOOKUP($A896,'Mutasi Neraca'!$A$3:$S$910,7,FALSE))</f>
        <v>0</v>
      </c>
      <c r="I896" s="42">
        <f>VLOOKUP($A896,'Neraca Unaudited SIMAK'!$A$2:$R$1272,8,FALSE)+IF(ISNA(VLOOKUP($A896,'Mutasi Neraca'!$A$3:$S$910,8,FALSE)),0,VLOOKUP($A896,'Mutasi Neraca'!$A$3:$S$910,8,FALSE))</f>
        <v>0</v>
      </c>
      <c r="J896" s="42">
        <f>VLOOKUP($A896,'Neraca Unaudited SIMAK'!$A$2:$R$1272,9,FALSE)+IF(ISNA(VLOOKUP($A896,'Mutasi Neraca'!$A$3:$S$910,9,FALSE)),0,VLOOKUP($A896,'Mutasi Neraca'!$A$3:$S$910,9,FALSE))</f>
        <v>0</v>
      </c>
      <c r="K896" s="42">
        <f>VLOOKUP($A896,'Neraca Unaudited SIMAK'!$A$2:$R$1272,10,FALSE)+IF(ISNA(VLOOKUP($A896,'Mutasi Neraca'!$A$3:$S$910,10,FALSE)),0,VLOOKUP($A896,'Mutasi Neraca'!$A$3:$S$910,10,FALSE))</f>
        <v>0</v>
      </c>
      <c r="L896" s="42">
        <f>VLOOKUP($A896,'Neraca Unaudited SIMAK'!$A$2:$R$1272,11,FALSE)+IF(ISNA(VLOOKUP($A896,'Mutasi Neraca'!$A$3:$S$910,11,FALSE)),0,VLOOKUP($A896,'Mutasi Neraca'!$A$3:$S$910,11,FALSE))</f>
        <v>0</v>
      </c>
      <c r="M896" s="42">
        <f>VLOOKUP($A896,'Neraca Unaudited SIMAK'!$A$2:$R$1272,12,FALSE)+IF(ISNA(VLOOKUP($A896,'Mutasi Neraca'!$A$3:$S$910,12,FALSE)),0,VLOOKUP($A896,'Mutasi Neraca'!$A$3:$S$910,12,FALSE))</f>
        <v>5466950</v>
      </c>
      <c r="N896" s="42">
        <f>VLOOKUP($A896,'Neraca Unaudited SIMAK'!$A$2:$R$1272,13,FALSE)+IF(ISNA(VLOOKUP($A896,'Mutasi Neraca'!$A$3:$S$910,13,FALSE)),0,VLOOKUP($A896,'Mutasi Neraca'!$A$3:$S$910,13,FALSE))</f>
        <v>0</v>
      </c>
      <c r="O896" s="42">
        <f>VLOOKUP($A896,'Neraca Unaudited SIMAK'!$A$2:$R$1272,14,FALSE)+IF(ISNA(VLOOKUP($A896,'Mutasi Neraca'!$A$3:$S$910,14,FALSE)),0,VLOOKUP($A896,'Mutasi Neraca'!$A$3:$S$910,14,FALSE))</f>
        <v>0</v>
      </c>
      <c r="P896" s="42">
        <f>VLOOKUP($A896,'Neraca Unaudited SIMAK'!$A$2:$R$1272,15,FALSE)+IF(ISNA(VLOOKUP($A896,'Mutasi Neraca'!$A$3:$S$910,15,FALSE)),0,VLOOKUP($A896,'Mutasi Neraca'!$A$3:$S$910,15,FALSE))</f>
        <v>0</v>
      </c>
      <c r="Q896" s="42">
        <f>VLOOKUP($A896,'Neraca Unaudited SIMAK'!$A$2:$R$1272,16,FALSE)+IF(ISNA(VLOOKUP($A896,'Mutasi Neraca'!$A$3:$S$910,16,FALSE)),0,VLOOKUP($A896,'Mutasi Neraca'!$A$3:$S$910,16,FALSE))</f>
        <v>0</v>
      </c>
      <c r="R896" s="42">
        <f>VLOOKUP($A896,'Neraca Unaudited SIMAK'!$A$2:$R$1272,17,FALSE)+IF(ISNA(VLOOKUP($A896,'Mutasi Neraca'!$A$3:$S$910,17,FALSE)),0,VLOOKUP($A896,'Mutasi Neraca'!$A$3:$S$910,17,FALSE))</f>
        <v>0</v>
      </c>
      <c r="S896" s="42">
        <f t="shared" si="69"/>
        <v>5466950</v>
      </c>
    </row>
    <row r="897" spans="1:19">
      <c r="A897" s="41" t="s">
        <v>898</v>
      </c>
      <c r="B897" s="41" t="str">
        <f t="shared" si="68"/>
        <v>005030400</v>
      </c>
      <c r="D897" s="42">
        <f>VLOOKUP($A897,'Neraca Unaudited SIMAK'!$A$2:$R$1272,3,FALSE)+IF(ISNA(VLOOKUP($A897,'Mutasi Neraca'!$A$3:$S$910,3,FALSE)),0,VLOOKUP($A897,'Mutasi Neraca'!$A$3:$S$910,3,FALSE))</f>
        <v>10389750</v>
      </c>
      <c r="E897" s="42">
        <f>VLOOKUP($A897,'Neraca Unaudited SIMAK'!$A$2:$R$1272,4,FALSE)+IF(ISNA(VLOOKUP($A897,'Mutasi Neraca'!$A$3:$S$910,4,FALSE)),0,VLOOKUP($A897,'Mutasi Neraca'!$A$3:$S$910,4,FALSE))</f>
        <v>0</v>
      </c>
      <c r="F897" s="42">
        <f>VLOOKUP($A897,'Neraca Unaudited SIMAK'!$A$2:$R$1272,5,FALSE)+IF(ISNA(VLOOKUP($A897,'Mutasi Neraca'!$A$3:$S$910,5,FALSE)),0,VLOOKUP($A897,'Mutasi Neraca'!$A$3:$S$910,5,FALSE))</f>
        <v>0</v>
      </c>
      <c r="G897" s="42">
        <f>VLOOKUP($A897,'Neraca Unaudited SIMAK'!$A$2:$R$1272,6,FALSE)+IF(ISNA(VLOOKUP($A897,'Mutasi Neraca'!$A$3:$S$910,6,FALSE)),0,VLOOKUP($A897,'Mutasi Neraca'!$A$3:$S$910,6,FALSE))</f>
        <v>0</v>
      </c>
      <c r="H897" s="42">
        <f>VLOOKUP($A897,'Neraca Unaudited SIMAK'!$A$2:$R$1272,7,FALSE)+IF(ISNA(VLOOKUP($A897,'Mutasi Neraca'!$A$3:$S$910,7,FALSE)),0,VLOOKUP($A897,'Mutasi Neraca'!$A$3:$S$910,7,FALSE))</f>
        <v>0</v>
      </c>
      <c r="I897" s="42">
        <f>VLOOKUP($A897,'Neraca Unaudited SIMAK'!$A$2:$R$1272,8,FALSE)+IF(ISNA(VLOOKUP($A897,'Mutasi Neraca'!$A$3:$S$910,8,FALSE)),0,VLOOKUP($A897,'Mutasi Neraca'!$A$3:$S$910,8,FALSE))</f>
        <v>0</v>
      </c>
      <c r="J897" s="42">
        <f>VLOOKUP($A897,'Neraca Unaudited SIMAK'!$A$2:$R$1272,9,FALSE)+IF(ISNA(VLOOKUP($A897,'Mutasi Neraca'!$A$3:$S$910,9,FALSE)),0,VLOOKUP($A897,'Mutasi Neraca'!$A$3:$S$910,9,FALSE))</f>
        <v>0</v>
      </c>
      <c r="K897" s="42">
        <f>VLOOKUP($A897,'Neraca Unaudited SIMAK'!$A$2:$R$1272,10,FALSE)+IF(ISNA(VLOOKUP($A897,'Mutasi Neraca'!$A$3:$S$910,10,FALSE)),0,VLOOKUP($A897,'Mutasi Neraca'!$A$3:$S$910,10,FALSE))</f>
        <v>0</v>
      </c>
      <c r="L897" s="42">
        <f>VLOOKUP($A897,'Neraca Unaudited SIMAK'!$A$2:$R$1272,11,FALSE)+IF(ISNA(VLOOKUP($A897,'Mutasi Neraca'!$A$3:$S$910,11,FALSE)),0,VLOOKUP($A897,'Mutasi Neraca'!$A$3:$S$910,11,FALSE))</f>
        <v>0</v>
      </c>
      <c r="M897" s="42">
        <f>VLOOKUP($A897,'Neraca Unaudited SIMAK'!$A$2:$R$1272,12,FALSE)+IF(ISNA(VLOOKUP($A897,'Mutasi Neraca'!$A$3:$S$910,12,FALSE)),0,VLOOKUP($A897,'Mutasi Neraca'!$A$3:$S$910,12,FALSE))</f>
        <v>10389750</v>
      </c>
      <c r="N897" s="42">
        <f>VLOOKUP($A897,'Neraca Unaudited SIMAK'!$A$2:$R$1272,13,FALSE)+IF(ISNA(VLOOKUP($A897,'Mutasi Neraca'!$A$3:$S$910,13,FALSE)),0,VLOOKUP($A897,'Mutasi Neraca'!$A$3:$S$910,13,FALSE))</f>
        <v>0</v>
      </c>
      <c r="O897" s="42">
        <f>VLOOKUP($A897,'Neraca Unaudited SIMAK'!$A$2:$R$1272,14,FALSE)+IF(ISNA(VLOOKUP($A897,'Mutasi Neraca'!$A$3:$S$910,14,FALSE)),0,VLOOKUP($A897,'Mutasi Neraca'!$A$3:$S$910,14,FALSE))</f>
        <v>0</v>
      </c>
      <c r="P897" s="42">
        <f>VLOOKUP($A897,'Neraca Unaudited SIMAK'!$A$2:$R$1272,15,FALSE)+IF(ISNA(VLOOKUP($A897,'Mutasi Neraca'!$A$3:$S$910,15,FALSE)),0,VLOOKUP($A897,'Mutasi Neraca'!$A$3:$S$910,15,FALSE))</f>
        <v>0</v>
      </c>
      <c r="Q897" s="42">
        <f>VLOOKUP($A897,'Neraca Unaudited SIMAK'!$A$2:$R$1272,16,FALSE)+IF(ISNA(VLOOKUP($A897,'Mutasi Neraca'!$A$3:$S$910,16,FALSE)),0,VLOOKUP($A897,'Mutasi Neraca'!$A$3:$S$910,16,FALSE))</f>
        <v>0</v>
      </c>
      <c r="R897" s="42">
        <f>VLOOKUP($A897,'Neraca Unaudited SIMAK'!$A$2:$R$1272,17,FALSE)+IF(ISNA(VLOOKUP($A897,'Mutasi Neraca'!$A$3:$S$910,17,FALSE)),0,VLOOKUP($A897,'Mutasi Neraca'!$A$3:$S$910,17,FALSE))</f>
        <v>0</v>
      </c>
      <c r="S897" s="42">
        <f t="shared" si="69"/>
        <v>10389750</v>
      </c>
    </row>
    <row r="898" spans="1:19">
      <c r="A898" s="41" t="s">
        <v>899</v>
      </c>
      <c r="B898" s="41" t="str">
        <f t="shared" si="68"/>
        <v>005030500</v>
      </c>
      <c r="D898" s="42">
        <f>VLOOKUP($A898,'Neraca Unaudited SIMAK'!$A$2:$R$1272,3,FALSE)+IF(ISNA(VLOOKUP($A898,'Mutasi Neraca'!$A$3:$S$910,3,FALSE)),0,VLOOKUP($A898,'Mutasi Neraca'!$A$3:$S$910,3,FALSE))</f>
        <v>115000</v>
      </c>
      <c r="E898" s="42">
        <f>VLOOKUP($A898,'Neraca Unaudited SIMAK'!$A$2:$R$1272,4,FALSE)+IF(ISNA(VLOOKUP($A898,'Mutasi Neraca'!$A$3:$S$910,4,FALSE)),0,VLOOKUP($A898,'Mutasi Neraca'!$A$3:$S$910,4,FALSE))</f>
        <v>0</v>
      </c>
      <c r="F898" s="42">
        <f>VLOOKUP($A898,'Neraca Unaudited SIMAK'!$A$2:$R$1272,5,FALSE)+IF(ISNA(VLOOKUP($A898,'Mutasi Neraca'!$A$3:$S$910,5,FALSE)),0,VLOOKUP($A898,'Mutasi Neraca'!$A$3:$S$910,5,FALSE))</f>
        <v>0</v>
      </c>
      <c r="G898" s="42">
        <f>VLOOKUP($A898,'Neraca Unaudited SIMAK'!$A$2:$R$1272,6,FALSE)+IF(ISNA(VLOOKUP($A898,'Mutasi Neraca'!$A$3:$S$910,6,FALSE)),0,VLOOKUP($A898,'Mutasi Neraca'!$A$3:$S$910,6,FALSE))</f>
        <v>0</v>
      </c>
      <c r="H898" s="42">
        <f>VLOOKUP($A898,'Neraca Unaudited SIMAK'!$A$2:$R$1272,7,FALSE)+IF(ISNA(VLOOKUP($A898,'Mutasi Neraca'!$A$3:$S$910,7,FALSE)),0,VLOOKUP($A898,'Mutasi Neraca'!$A$3:$S$910,7,FALSE))</f>
        <v>0</v>
      </c>
      <c r="I898" s="42">
        <f>VLOOKUP($A898,'Neraca Unaudited SIMAK'!$A$2:$R$1272,8,FALSE)+IF(ISNA(VLOOKUP($A898,'Mutasi Neraca'!$A$3:$S$910,8,FALSE)),0,VLOOKUP($A898,'Mutasi Neraca'!$A$3:$S$910,8,FALSE))</f>
        <v>0</v>
      </c>
      <c r="J898" s="42">
        <f>VLOOKUP($A898,'Neraca Unaudited SIMAK'!$A$2:$R$1272,9,FALSE)+IF(ISNA(VLOOKUP($A898,'Mutasi Neraca'!$A$3:$S$910,9,FALSE)),0,VLOOKUP($A898,'Mutasi Neraca'!$A$3:$S$910,9,FALSE))</f>
        <v>0</v>
      </c>
      <c r="K898" s="42">
        <f>VLOOKUP($A898,'Neraca Unaudited SIMAK'!$A$2:$R$1272,10,FALSE)+IF(ISNA(VLOOKUP($A898,'Mutasi Neraca'!$A$3:$S$910,10,FALSE)),0,VLOOKUP($A898,'Mutasi Neraca'!$A$3:$S$910,10,FALSE))</f>
        <v>0</v>
      </c>
      <c r="L898" s="42">
        <f>VLOOKUP($A898,'Neraca Unaudited SIMAK'!$A$2:$R$1272,11,FALSE)+IF(ISNA(VLOOKUP($A898,'Mutasi Neraca'!$A$3:$S$910,11,FALSE)),0,VLOOKUP($A898,'Mutasi Neraca'!$A$3:$S$910,11,FALSE))</f>
        <v>0</v>
      </c>
      <c r="M898" s="42">
        <f>VLOOKUP($A898,'Neraca Unaudited SIMAK'!$A$2:$R$1272,12,FALSE)+IF(ISNA(VLOOKUP($A898,'Mutasi Neraca'!$A$3:$S$910,12,FALSE)),0,VLOOKUP($A898,'Mutasi Neraca'!$A$3:$S$910,12,FALSE))</f>
        <v>115000</v>
      </c>
      <c r="N898" s="42">
        <f>VLOOKUP($A898,'Neraca Unaudited SIMAK'!$A$2:$R$1272,13,FALSE)+IF(ISNA(VLOOKUP($A898,'Mutasi Neraca'!$A$3:$S$910,13,FALSE)),0,VLOOKUP($A898,'Mutasi Neraca'!$A$3:$S$910,13,FALSE))</f>
        <v>0</v>
      </c>
      <c r="O898" s="42">
        <f>VLOOKUP($A898,'Neraca Unaudited SIMAK'!$A$2:$R$1272,14,FALSE)+IF(ISNA(VLOOKUP($A898,'Mutasi Neraca'!$A$3:$S$910,14,FALSE)),0,VLOOKUP($A898,'Mutasi Neraca'!$A$3:$S$910,14,FALSE))</f>
        <v>0</v>
      </c>
      <c r="P898" s="42">
        <f>VLOOKUP($A898,'Neraca Unaudited SIMAK'!$A$2:$R$1272,15,FALSE)+IF(ISNA(VLOOKUP($A898,'Mutasi Neraca'!$A$3:$S$910,15,FALSE)),0,VLOOKUP($A898,'Mutasi Neraca'!$A$3:$S$910,15,FALSE))</f>
        <v>0</v>
      </c>
      <c r="Q898" s="42">
        <f>VLOOKUP($A898,'Neraca Unaudited SIMAK'!$A$2:$R$1272,16,FALSE)+IF(ISNA(VLOOKUP($A898,'Mutasi Neraca'!$A$3:$S$910,16,FALSE)),0,VLOOKUP($A898,'Mutasi Neraca'!$A$3:$S$910,16,FALSE))</f>
        <v>0</v>
      </c>
      <c r="R898" s="42">
        <f>VLOOKUP($A898,'Neraca Unaudited SIMAK'!$A$2:$R$1272,17,FALSE)+IF(ISNA(VLOOKUP($A898,'Mutasi Neraca'!$A$3:$S$910,17,FALSE)),0,VLOOKUP($A898,'Mutasi Neraca'!$A$3:$S$910,17,FALSE))</f>
        <v>0</v>
      </c>
      <c r="S898" s="42">
        <f t="shared" si="69"/>
        <v>115000</v>
      </c>
    </row>
    <row r="899" spans="1:19">
      <c r="A899" s="41" t="s">
        <v>900</v>
      </c>
      <c r="B899" s="41" t="str">
        <f t="shared" ref="B899:B962" si="70">LEFT(A899,9)</f>
        <v>005030500</v>
      </c>
      <c r="D899" s="42">
        <f>VLOOKUP($A899,'Neraca Unaudited SIMAK'!$A$2:$R$1272,3,FALSE)+IF(ISNA(VLOOKUP($A899,'Mutasi Neraca'!$A$3:$S$910,3,FALSE)),0,VLOOKUP($A899,'Mutasi Neraca'!$A$3:$S$910,3,FALSE))</f>
        <v>484000</v>
      </c>
      <c r="E899" s="42">
        <f>VLOOKUP($A899,'Neraca Unaudited SIMAK'!$A$2:$R$1272,4,FALSE)+IF(ISNA(VLOOKUP($A899,'Mutasi Neraca'!$A$3:$S$910,4,FALSE)),0,VLOOKUP($A899,'Mutasi Neraca'!$A$3:$S$910,4,FALSE))</f>
        <v>0</v>
      </c>
      <c r="F899" s="42">
        <f>VLOOKUP($A899,'Neraca Unaudited SIMAK'!$A$2:$R$1272,5,FALSE)+IF(ISNA(VLOOKUP($A899,'Mutasi Neraca'!$A$3:$S$910,5,FALSE)),0,VLOOKUP($A899,'Mutasi Neraca'!$A$3:$S$910,5,FALSE))</f>
        <v>0</v>
      </c>
      <c r="G899" s="42">
        <f>VLOOKUP($A899,'Neraca Unaudited SIMAK'!$A$2:$R$1272,6,FALSE)+IF(ISNA(VLOOKUP($A899,'Mutasi Neraca'!$A$3:$S$910,6,FALSE)),0,VLOOKUP($A899,'Mutasi Neraca'!$A$3:$S$910,6,FALSE))</f>
        <v>0</v>
      </c>
      <c r="H899" s="42">
        <f>VLOOKUP($A899,'Neraca Unaudited SIMAK'!$A$2:$R$1272,7,FALSE)+IF(ISNA(VLOOKUP($A899,'Mutasi Neraca'!$A$3:$S$910,7,FALSE)),0,VLOOKUP($A899,'Mutasi Neraca'!$A$3:$S$910,7,FALSE))</f>
        <v>0</v>
      </c>
      <c r="I899" s="42">
        <f>VLOOKUP($A899,'Neraca Unaudited SIMAK'!$A$2:$R$1272,8,FALSE)+IF(ISNA(VLOOKUP($A899,'Mutasi Neraca'!$A$3:$S$910,8,FALSE)),0,VLOOKUP($A899,'Mutasi Neraca'!$A$3:$S$910,8,FALSE))</f>
        <v>0</v>
      </c>
      <c r="J899" s="42">
        <f>VLOOKUP($A899,'Neraca Unaudited SIMAK'!$A$2:$R$1272,9,FALSE)+IF(ISNA(VLOOKUP($A899,'Mutasi Neraca'!$A$3:$S$910,9,FALSE)),0,VLOOKUP($A899,'Mutasi Neraca'!$A$3:$S$910,9,FALSE))</f>
        <v>0</v>
      </c>
      <c r="K899" s="42">
        <f>VLOOKUP($A899,'Neraca Unaudited SIMAK'!$A$2:$R$1272,10,FALSE)+IF(ISNA(VLOOKUP($A899,'Mutasi Neraca'!$A$3:$S$910,10,FALSE)),0,VLOOKUP($A899,'Mutasi Neraca'!$A$3:$S$910,10,FALSE))</f>
        <v>0</v>
      </c>
      <c r="L899" s="42">
        <f>VLOOKUP($A899,'Neraca Unaudited SIMAK'!$A$2:$R$1272,11,FALSE)+IF(ISNA(VLOOKUP($A899,'Mutasi Neraca'!$A$3:$S$910,11,FALSE)),0,VLOOKUP($A899,'Mutasi Neraca'!$A$3:$S$910,11,FALSE))</f>
        <v>0</v>
      </c>
      <c r="M899" s="42">
        <f>VLOOKUP($A899,'Neraca Unaudited SIMAK'!$A$2:$R$1272,12,FALSE)+IF(ISNA(VLOOKUP($A899,'Mutasi Neraca'!$A$3:$S$910,12,FALSE)),0,VLOOKUP($A899,'Mutasi Neraca'!$A$3:$S$910,12,FALSE))</f>
        <v>484000</v>
      </c>
      <c r="N899" s="42">
        <f>VLOOKUP($A899,'Neraca Unaudited SIMAK'!$A$2:$R$1272,13,FALSE)+IF(ISNA(VLOOKUP($A899,'Mutasi Neraca'!$A$3:$S$910,13,FALSE)),0,VLOOKUP($A899,'Mutasi Neraca'!$A$3:$S$910,13,FALSE))</f>
        <v>0</v>
      </c>
      <c r="O899" s="42">
        <f>VLOOKUP($A899,'Neraca Unaudited SIMAK'!$A$2:$R$1272,14,FALSE)+IF(ISNA(VLOOKUP($A899,'Mutasi Neraca'!$A$3:$S$910,14,FALSE)),0,VLOOKUP($A899,'Mutasi Neraca'!$A$3:$S$910,14,FALSE))</f>
        <v>0</v>
      </c>
      <c r="P899" s="42">
        <f>VLOOKUP($A899,'Neraca Unaudited SIMAK'!$A$2:$R$1272,15,FALSE)+IF(ISNA(VLOOKUP($A899,'Mutasi Neraca'!$A$3:$S$910,15,FALSE)),0,VLOOKUP($A899,'Mutasi Neraca'!$A$3:$S$910,15,FALSE))</f>
        <v>0</v>
      </c>
      <c r="Q899" s="42">
        <f>VLOOKUP($A899,'Neraca Unaudited SIMAK'!$A$2:$R$1272,16,FALSE)+IF(ISNA(VLOOKUP($A899,'Mutasi Neraca'!$A$3:$S$910,16,FALSE)),0,VLOOKUP($A899,'Mutasi Neraca'!$A$3:$S$910,16,FALSE))</f>
        <v>0</v>
      </c>
      <c r="R899" s="42">
        <f>VLOOKUP($A899,'Neraca Unaudited SIMAK'!$A$2:$R$1272,17,FALSE)+IF(ISNA(VLOOKUP($A899,'Mutasi Neraca'!$A$3:$S$910,17,FALSE)),0,VLOOKUP($A899,'Mutasi Neraca'!$A$3:$S$910,17,FALSE))</f>
        <v>0</v>
      </c>
      <c r="S899" s="42">
        <f t="shared" ref="S899:S962" si="71">SUM(M899:R899)</f>
        <v>484000</v>
      </c>
    </row>
    <row r="900" spans="1:19">
      <c r="A900" s="41" t="s">
        <v>901</v>
      </c>
      <c r="B900" s="41" t="str">
        <f t="shared" si="70"/>
        <v>005030500</v>
      </c>
      <c r="D900" s="42">
        <f>VLOOKUP($A900,'Neraca Unaudited SIMAK'!$A$2:$R$1272,3,FALSE)+IF(ISNA(VLOOKUP($A900,'Mutasi Neraca'!$A$3:$S$910,3,FALSE)),0,VLOOKUP($A900,'Mutasi Neraca'!$A$3:$S$910,3,FALSE))</f>
        <v>81000</v>
      </c>
      <c r="E900" s="42">
        <f>VLOOKUP($A900,'Neraca Unaudited SIMAK'!$A$2:$R$1272,4,FALSE)+IF(ISNA(VLOOKUP($A900,'Mutasi Neraca'!$A$3:$S$910,4,FALSE)),0,VLOOKUP($A900,'Mutasi Neraca'!$A$3:$S$910,4,FALSE))</f>
        <v>0</v>
      </c>
      <c r="F900" s="42">
        <f>VLOOKUP($A900,'Neraca Unaudited SIMAK'!$A$2:$R$1272,5,FALSE)+IF(ISNA(VLOOKUP($A900,'Mutasi Neraca'!$A$3:$S$910,5,FALSE)),0,VLOOKUP($A900,'Mutasi Neraca'!$A$3:$S$910,5,FALSE))</f>
        <v>0</v>
      </c>
      <c r="G900" s="42">
        <f>VLOOKUP($A900,'Neraca Unaudited SIMAK'!$A$2:$R$1272,6,FALSE)+IF(ISNA(VLOOKUP($A900,'Mutasi Neraca'!$A$3:$S$910,6,FALSE)),0,VLOOKUP($A900,'Mutasi Neraca'!$A$3:$S$910,6,FALSE))</f>
        <v>0</v>
      </c>
      <c r="H900" s="42">
        <f>VLOOKUP($A900,'Neraca Unaudited SIMAK'!$A$2:$R$1272,7,FALSE)+IF(ISNA(VLOOKUP($A900,'Mutasi Neraca'!$A$3:$S$910,7,FALSE)),0,VLOOKUP($A900,'Mutasi Neraca'!$A$3:$S$910,7,FALSE))</f>
        <v>0</v>
      </c>
      <c r="I900" s="42">
        <f>VLOOKUP($A900,'Neraca Unaudited SIMAK'!$A$2:$R$1272,8,FALSE)+IF(ISNA(VLOOKUP($A900,'Mutasi Neraca'!$A$3:$S$910,8,FALSE)),0,VLOOKUP($A900,'Mutasi Neraca'!$A$3:$S$910,8,FALSE))</f>
        <v>0</v>
      </c>
      <c r="J900" s="42">
        <f>VLOOKUP($A900,'Neraca Unaudited SIMAK'!$A$2:$R$1272,9,FALSE)+IF(ISNA(VLOOKUP($A900,'Mutasi Neraca'!$A$3:$S$910,9,FALSE)),0,VLOOKUP($A900,'Mutasi Neraca'!$A$3:$S$910,9,FALSE))</f>
        <v>0</v>
      </c>
      <c r="K900" s="42">
        <f>VLOOKUP($A900,'Neraca Unaudited SIMAK'!$A$2:$R$1272,10,FALSE)+IF(ISNA(VLOOKUP($A900,'Mutasi Neraca'!$A$3:$S$910,10,FALSE)),0,VLOOKUP($A900,'Mutasi Neraca'!$A$3:$S$910,10,FALSE))</f>
        <v>0</v>
      </c>
      <c r="L900" s="42">
        <f>VLOOKUP($A900,'Neraca Unaudited SIMAK'!$A$2:$R$1272,11,FALSE)+IF(ISNA(VLOOKUP($A900,'Mutasi Neraca'!$A$3:$S$910,11,FALSE)),0,VLOOKUP($A900,'Mutasi Neraca'!$A$3:$S$910,11,FALSE))</f>
        <v>0</v>
      </c>
      <c r="M900" s="42">
        <f>VLOOKUP($A900,'Neraca Unaudited SIMAK'!$A$2:$R$1272,12,FALSE)+IF(ISNA(VLOOKUP($A900,'Mutasi Neraca'!$A$3:$S$910,12,FALSE)),0,VLOOKUP($A900,'Mutasi Neraca'!$A$3:$S$910,12,FALSE))</f>
        <v>81000</v>
      </c>
      <c r="N900" s="42">
        <f>VLOOKUP($A900,'Neraca Unaudited SIMAK'!$A$2:$R$1272,13,FALSE)+IF(ISNA(VLOOKUP($A900,'Mutasi Neraca'!$A$3:$S$910,13,FALSE)),0,VLOOKUP($A900,'Mutasi Neraca'!$A$3:$S$910,13,FALSE))</f>
        <v>0</v>
      </c>
      <c r="O900" s="42">
        <f>VLOOKUP($A900,'Neraca Unaudited SIMAK'!$A$2:$R$1272,14,FALSE)+IF(ISNA(VLOOKUP($A900,'Mutasi Neraca'!$A$3:$S$910,14,FALSE)),0,VLOOKUP($A900,'Mutasi Neraca'!$A$3:$S$910,14,FALSE))</f>
        <v>0</v>
      </c>
      <c r="P900" s="42">
        <f>VLOOKUP($A900,'Neraca Unaudited SIMAK'!$A$2:$R$1272,15,FALSE)+IF(ISNA(VLOOKUP($A900,'Mutasi Neraca'!$A$3:$S$910,15,FALSE)),0,VLOOKUP($A900,'Mutasi Neraca'!$A$3:$S$910,15,FALSE))</f>
        <v>0</v>
      </c>
      <c r="Q900" s="42">
        <f>VLOOKUP($A900,'Neraca Unaudited SIMAK'!$A$2:$R$1272,16,FALSE)+IF(ISNA(VLOOKUP($A900,'Mutasi Neraca'!$A$3:$S$910,16,FALSE)),0,VLOOKUP($A900,'Mutasi Neraca'!$A$3:$S$910,16,FALSE))</f>
        <v>0</v>
      </c>
      <c r="R900" s="42">
        <f>VLOOKUP($A900,'Neraca Unaudited SIMAK'!$A$2:$R$1272,17,FALSE)+IF(ISNA(VLOOKUP($A900,'Mutasi Neraca'!$A$3:$S$910,17,FALSE)),0,VLOOKUP($A900,'Mutasi Neraca'!$A$3:$S$910,17,FALSE))</f>
        <v>0</v>
      </c>
      <c r="S900" s="42">
        <f t="shared" si="71"/>
        <v>81000</v>
      </c>
    </row>
    <row r="901" spans="1:19">
      <c r="A901" s="41" t="s">
        <v>902</v>
      </c>
      <c r="B901" s="41" t="str">
        <f t="shared" si="70"/>
        <v>005030500</v>
      </c>
      <c r="D901" s="42">
        <f>VLOOKUP($A901,'Neraca Unaudited SIMAK'!$A$2:$R$1272,3,FALSE)+IF(ISNA(VLOOKUP($A901,'Mutasi Neraca'!$A$3:$S$910,3,FALSE)),0,VLOOKUP($A901,'Mutasi Neraca'!$A$3:$S$910,3,FALSE))</f>
        <v>0</v>
      </c>
      <c r="E901" s="42">
        <f>VLOOKUP($A901,'Neraca Unaudited SIMAK'!$A$2:$R$1272,4,FALSE)+IF(ISNA(VLOOKUP($A901,'Mutasi Neraca'!$A$3:$S$910,4,FALSE)),0,VLOOKUP($A901,'Mutasi Neraca'!$A$3:$S$910,4,FALSE))</f>
        <v>0</v>
      </c>
      <c r="F901" s="42">
        <f>VLOOKUP($A901,'Neraca Unaudited SIMAK'!$A$2:$R$1272,5,FALSE)+IF(ISNA(VLOOKUP($A901,'Mutasi Neraca'!$A$3:$S$910,5,FALSE)),0,VLOOKUP($A901,'Mutasi Neraca'!$A$3:$S$910,5,FALSE))</f>
        <v>0</v>
      </c>
      <c r="G901" s="42">
        <f>VLOOKUP($A901,'Neraca Unaudited SIMAK'!$A$2:$R$1272,6,FALSE)+IF(ISNA(VLOOKUP($A901,'Mutasi Neraca'!$A$3:$S$910,6,FALSE)),0,VLOOKUP($A901,'Mutasi Neraca'!$A$3:$S$910,6,FALSE))</f>
        <v>0</v>
      </c>
      <c r="H901" s="42">
        <f>VLOOKUP($A901,'Neraca Unaudited SIMAK'!$A$2:$R$1272,7,FALSE)+IF(ISNA(VLOOKUP($A901,'Mutasi Neraca'!$A$3:$S$910,7,FALSE)),0,VLOOKUP($A901,'Mutasi Neraca'!$A$3:$S$910,7,FALSE))</f>
        <v>0</v>
      </c>
      <c r="I901" s="42">
        <f>VLOOKUP($A901,'Neraca Unaudited SIMAK'!$A$2:$R$1272,8,FALSE)+IF(ISNA(VLOOKUP($A901,'Mutasi Neraca'!$A$3:$S$910,8,FALSE)),0,VLOOKUP($A901,'Mutasi Neraca'!$A$3:$S$910,8,FALSE))</f>
        <v>0</v>
      </c>
      <c r="J901" s="42">
        <f>VLOOKUP($A901,'Neraca Unaudited SIMAK'!$A$2:$R$1272,9,FALSE)+IF(ISNA(VLOOKUP($A901,'Mutasi Neraca'!$A$3:$S$910,9,FALSE)),0,VLOOKUP($A901,'Mutasi Neraca'!$A$3:$S$910,9,FALSE))</f>
        <v>0</v>
      </c>
      <c r="K901" s="42">
        <f>VLOOKUP($A901,'Neraca Unaudited SIMAK'!$A$2:$R$1272,10,FALSE)+IF(ISNA(VLOOKUP($A901,'Mutasi Neraca'!$A$3:$S$910,10,FALSE)),0,VLOOKUP($A901,'Mutasi Neraca'!$A$3:$S$910,10,FALSE))</f>
        <v>0</v>
      </c>
      <c r="L901" s="42">
        <f>VLOOKUP($A901,'Neraca Unaudited SIMAK'!$A$2:$R$1272,11,FALSE)+IF(ISNA(VLOOKUP($A901,'Mutasi Neraca'!$A$3:$S$910,11,FALSE)),0,VLOOKUP($A901,'Mutasi Neraca'!$A$3:$S$910,11,FALSE))</f>
        <v>0</v>
      </c>
      <c r="M901" s="42">
        <f>VLOOKUP($A901,'Neraca Unaudited SIMAK'!$A$2:$R$1272,12,FALSE)+IF(ISNA(VLOOKUP($A901,'Mutasi Neraca'!$A$3:$S$910,12,FALSE)),0,VLOOKUP($A901,'Mutasi Neraca'!$A$3:$S$910,12,FALSE))</f>
        <v>0</v>
      </c>
      <c r="N901" s="42">
        <f>VLOOKUP($A901,'Neraca Unaudited SIMAK'!$A$2:$R$1272,13,FALSE)+IF(ISNA(VLOOKUP($A901,'Mutasi Neraca'!$A$3:$S$910,13,FALSE)),0,VLOOKUP($A901,'Mutasi Neraca'!$A$3:$S$910,13,FALSE))</f>
        <v>0</v>
      </c>
      <c r="O901" s="42">
        <f>VLOOKUP($A901,'Neraca Unaudited SIMAK'!$A$2:$R$1272,14,FALSE)+IF(ISNA(VLOOKUP($A901,'Mutasi Neraca'!$A$3:$S$910,14,FALSE)),0,VLOOKUP($A901,'Mutasi Neraca'!$A$3:$S$910,14,FALSE))</f>
        <v>0</v>
      </c>
      <c r="P901" s="42">
        <f>VLOOKUP($A901,'Neraca Unaudited SIMAK'!$A$2:$R$1272,15,FALSE)+IF(ISNA(VLOOKUP($A901,'Mutasi Neraca'!$A$3:$S$910,15,FALSE)),0,VLOOKUP($A901,'Mutasi Neraca'!$A$3:$S$910,15,FALSE))</f>
        <v>0</v>
      </c>
      <c r="Q901" s="42">
        <f>VLOOKUP($A901,'Neraca Unaudited SIMAK'!$A$2:$R$1272,16,FALSE)+IF(ISNA(VLOOKUP($A901,'Mutasi Neraca'!$A$3:$S$910,16,FALSE)),0,VLOOKUP($A901,'Mutasi Neraca'!$A$3:$S$910,16,FALSE))</f>
        <v>0</v>
      </c>
      <c r="R901" s="42">
        <f>VLOOKUP($A901,'Neraca Unaudited SIMAK'!$A$2:$R$1272,17,FALSE)+IF(ISNA(VLOOKUP($A901,'Mutasi Neraca'!$A$3:$S$910,17,FALSE)),0,VLOOKUP($A901,'Mutasi Neraca'!$A$3:$S$910,17,FALSE))</f>
        <v>0</v>
      </c>
      <c r="S901" s="42">
        <f t="shared" si="71"/>
        <v>0</v>
      </c>
    </row>
    <row r="902" spans="1:19">
      <c r="A902" s="41" t="s">
        <v>903</v>
      </c>
      <c r="B902" s="41" t="str">
        <f t="shared" si="70"/>
        <v>005030500</v>
      </c>
      <c r="D902" s="42">
        <f>VLOOKUP($A902,'Neraca Unaudited SIMAK'!$A$2:$R$1272,3,FALSE)+IF(ISNA(VLOOKUP($A902,'Mutasi Neraca'!$A$3:$S$910,3,FALSE)),0,VLOOKUP($A902,'Mutasi Neraca'!$A$3:$S$910,3,FALSE))</f>
        <v>0</v>
      </c>
      <c r="E902" s="42">
        <f>VLOOKUP($A902,'Neraca Unaudited SIMAK'!$A$2:$R$1272,4,FALSE)+IF(ISNA(VLOOKUP($A902,'Mutasi Neraca'!$A$3:$S$910,4,FALSE)),0,VLOOKUP($A902,'Mutasi Neraca'!$A$3:$S$910,4,FALSE))</f>
        <v>0</v>
      </c>
      <c r="F902" s="42">
        <f>VLOOKUP($A902,'Neraca Unaudited SIMAK'!$A$2:$R$1272,5,FALSE)+IF(ISNA(VLOOKUP($A902,'Mutasi Neraca'!$A$3:$S$910,5,FALSE)),0,VLOOKUP($A902,'Mutasi Neraca'!$A$3:$S$910,5,FALSE))</f>
        <v>0</v>
      </c>
      <c r="G902" s="42">
        <f>VLOOKUP($A902,'Neraca Unaudited SIMAK'!$A$2:$R$1272,6,FALSE)+IF(ISNA(VLOOKUP($A902,'Mutasi Neraca'!$A$3:$S$910,6,FALSE)),0,VLOOKUP($A902,'Mutasi Neraca'!$A$3:$S$910,6,FALSE))</f>
        <v>0</v>
      </c>
      <c r="H902" s="42">
        <f>VLOOKUP($A902,'Neraca Unaudited SIMAK'!$A$2:$R$1272,7,FALSE)+IF(ISNA(VLOOKUP($A902,'Mutasi Neraca'!$A$3:$S$910,7,FALSE)),0,VLOOKUP($A902,'Mutasi Neraca'!$A$3:$S$910,7,FALSE))</f>
        <v>0</v>
      </c>
      <c r="I902" s="42">
        <f>VLOOKUP($A902,'Neraca Unaudited SIMAK'!$A$2:$R$1272,8,FALSE)+IF(ISNA(VLOOKUP($A902,'Mutasi Neraca'!$A$3:$S$910,8,FALSE)),0,VLOOKUP($A902,'Mutasi Neraca'!$A$3:$S$910,8,FALSE))</f>
        <v>0</v>
      </c>
      <c r="J902" s="42">
        <f>VLOOKUP($A902,'Neraca Unaudited SIMAK'!$A$2:$R$1272,9,FALSE)+IF(ISNA(VLOOKUP($A902,'Mutasi Neraca'!$A$3:$S$910,9,FALSE)),0,VLOOKUP($A902,'Mutasi Neraca'!$A$3:$S$910,9,FALSE))</f>
        <v>0</v>
      </c>
      <c r="K902" s="42">
        <f>VLOOKUP($A902,'Neraca Unaudited SIMAK'!$A$2:$R$1272,10,FALSE)+IF(ISNA(VLOOKUP($A902,'Mutasi Neraca'!$A$3:$S$910,10,FALSE)),0,VLOOKUP($A902,'Mutasi Neraca'!$A$3:$S$910,10,FALSE))</f>
        <v>0</v>
      </c>
      <c r="L902" s="42">
        <f>VLOOKUP($A902,'Neraca Unaudited SIMAK'!$A$2:$R$1272,11,FALSE)+IF(ISNA(VLOOKUP($A902,'Mutasi Neraca'!$A$3:$S$910,11,FALSE)),0,VLOOKUP($A902,'Mutasi Neraca'!$A$3:$S$910,11,FALSE))</f>
        <v>0</v>
      </c>
      <c r="M902" s="42">
        <f>VLOOKUP($A902,'Neraca Unaudited SIMAK'!$A$2:$R$1272,12,FALSE)+IF(ISNA(VLOOKUP($A902,'Mutasi Neraca'!$A$3:$S$910,12,FALSE)),0,VLOOKUP($A902,'Mutasi Neraca'!$A$3:$S$910,12,FALSE))</f>
        <v>0</v>
      </c>
      <c r="N902" s="42">
        <f>VLOOKUP($A902,'Neraca Unaudited SIMAK'!$A$2:$R$1272,13,FALSE)+IF(ISNA(VLOOKUP($A902,'Mutasi Neraca'!$A$3:$S$910,13,FALSE)),0,VLOOKUP($A902,'Mutasi Neraca'!$A$3:$S$910,13,FALSE))</f>
        <v>0</v>
      </c>
      <c r="O902" s="42">
        <f>VLOOKUP($A902,'Neraca Unaudited SIMAK'!$A$2:$R$1272,14,FALSE)+IF(ISNA(VLOOKUP($A902,'Mutasi Neraca'!$A$3:$S$910,14,FALSE)),0,VLOOKUP($A902,'Mutasi Neraca'!$A$3:$S$910,14,FALSE))</f>
        <v>0</v>
      </c>
      <c r="P902" s="42">
        <f>VLOOKUP($A902,'Neraca Unaudited SIMAK'!$A$2:$R$1272,15,FALSE)+IF(ISNA(VLOOKUP($A902,'Mutasi Neraca'!$A$3:$S$910,15,FALSE)),0,VLOOKUP($A902,'Mutasi Neraca'!$A$3:$S$910,15,FALSE))</f>
        <v>0</v>
      </c>
      <c r="Q902" s="42">
        <f>VLOOKUP($A902,'Neraca Unaudited SIMAK'!$A$2:$R$1272,16,FALSE)+IF(ISNA(VLOOKUP($A902,'Mutasi Neraca'!$A$3:$S$910,16,FALSE)),0,VLOOKUP($A902,'Mutasi Neraca'!$A$3:$S$910,16,FALSE))</f>
        <v>0</v>
      </c>
      <c r="R902" s="42">
        <f>VLOOKUP($A902,'Neraca Unaudited SIMAK'!$A$2:$R$1272,17,FALSE)+IF(ISNA(VLOOKUP($A902,'Mutasi Neraca'!$A$3:$S$910,17,FALSE)),0,VLOOKUP($A902,'Mutasi Neraca'!$A$3:$S$910,17,FALSE))</f>
        <v>0</v>
      </c>
      <c r="S902" s="42">
        <f t="shared" si="71"/>
        <v>0</v>
      </c>
    </row>
    <row r="903" spans="1:19">
      <c r="A903" s="41" t="s">
        <v>904</v>
      </c>
      <c r="B903" s="41" t="str">
        <f t="shared" si="70"/>
        <v>005030500</v>
      </c>
      <c r="D903" s="42">
        <f>VLOOKUP($A903,'Neraca Unaudited SIMAK'!$A$2:$R$1272,3,FALSE)+IF(ISNA(VLOOKUP($A903,'Mutasi Neraca'!$A$3:$S$910,3,FALSE)),0,VLOOKUP($A903,'Mutasi Neraca'!$A$3:$S$910,3,FALSE))</f>
        <v>18000</v>
      </c>
      <c r="E903" s="42">
        <f>VLOOKUP($A903,'Neraca Unaudited SIMAK'!$A$2:$R$1272,4,FALSE)+IF(ISNA(VLOOKUP($A903,'Mutasi Neraca'!$A$3:$S$910,4,FALSE)),0,VLOOKUP($A903,'Mutasi Neraca'!$A$3:$S$910,4,FALSE))</f>
        <v>0</v>
      </c>
      <c r="F903" s="42">
        <f>VLOOKUP($A903,'Neraca Unaudited SIMAK'!$A$2:$R$1272,5,FALSE)+IF(ISNA(VLOOKUP($A903,'Mutasi Neraca'!$A$3:$S$910,5,FALSE)),0,VLOOKUP($A903,'Mutasi Neraca'!$A$3:$S$910,5,FALSE))</f>
        <v>0</v>
      </c>
      <c r="G903" s="42">
        <f>VLOOKUP($A903,'Neraca Unaudited SIMAK'!$A$2:$R$1272,6,FALSE)+IF(ISNA(VLOOKUP($A903,'Mutasi Neraca'!$A$3:$S$910,6,FALSE)),0,VLOOKUP($A903,'Mutasi Neraca'!$A$3:$S$910,6,FALSE))</f>
        <v>0</v>
      </c>
      <c r="H903" s="42">
        <f>VLOOKUP($A903,'Neraca Unaudited SIMAK'!$A$2:$R$1272,7,FALSE)+IF(ISNA(VLOOKUP($A903,'Mutasi Neraca'!$A$3:$S$910,7,FALSE)),0,VLOOKUP($A903,'Mutasi Neraca'!$A$3:$S$910,7,FALSE))</f>
        <v>0</v>
      </c>
      <c r="I903" s="42">
        <f>VLOOKUP($A903,'Neraca Unaudited SIMAK'!$A$2:$R$1272,8,FALSE)+IF(ISNA(VLOOKUP($A903,'Mutasi Neraca'!$A$3:$S$910,8,FALSE)),0,VLOOKUP($A903,'Mutasi Neraca'!$A$3:$S$910,8,FALSE))</f>
        <v>0</v>
      </c>
      <c r="J903" s="42">
        <f>VLOOKUP($A903,'Neraca Unaudited SIMAK'!$A$2:$R$1272,9,FALSE)+IF(ISNA(VLOOKUP($A903,'Mutasi Neraca'!$A$3:$S$910,9,FALSE)),0,VLOOKUP($A903,'Mutasi Neraca'!$A$3:$S$910,9,FALSE))</f>
        <v>0</v>
      </c>
      <c r="K903" s="42">
        <f>VLOOKUP($A903,'Neraca Unaudited SIMAK'!$A$2:$R$1272,10,FALSE)+IF(ISNA(VLOOKUP($A903,'Mutasi Neraca'!$A$3:$S$910,10,FALSE)),0,VLOOKUP($A903,'Mutasi Neraca'!$A$3:$S$910,10,FALSE))</f>
        <v>0</v>
      </c>
      <c r="L903" s="42">
        <f>VLOOKUP($A903,'Neraca Unaudited SIMAK'!$A$2:$R$1272,11,FALSE)+IF(ISNA(VLOOKUP($A903,'Mutasi Neraca'!$A$3:$S$910,11,FALSE)),0,VLOOKUP($A903,'Mutasi Neraca'!$A$3:$S$910,11,FALSE))</f>
        <v>0</v>
      </c>
      <c r="M903" s="42">
        <f>VLOOKUP($A903,'Neraca Unaudited SIMAK'!$A$2:$R$1272,12,FALSE)+IF(ISNA(VLOOKUP($A903,'Mutasi Neraca'!$A$3:$S$910,12,FALSE)),0,VLOOKUP($A903,'Mutasi Neraca'!$A$3:$S$910,12,FALSE))</f>
        <v>18000</v>
      </c>
      <c r="N903" s="42">
        <f>VLOOKUP($A903,'Neraca Unaudited SIMAK'!$A$2:$R$1272,13,FALSE)+IF(ISNA(VLOOKUP($A903,'Mutasi Neraca'!$A$3:$S$910,13,FALSE)),0,VLOOKUP($A903,'Mutasi Neraca'!$A$3:$S$910,13,FALSE))</f>
        <v>0</v>
      </c>
      <c r="O903" s="42">
        <f>VLOOKUP($A903,'Neraca Unaudited SIMAK'!$A$2:$R$1272,14,FALSE)+IF(ISNA(VLOOKUP($A903,'Mutasi Neraca'!$A$3:$S$910,14,FALSE)),0,VLOOKUP($A903,'Mutasi Neraca'!$A$3:$S$910,14,FALSE))</f>
        <v>0</v>
      </c>
      <c r="P903" s="42">
        <f>VLOOKUP($A903,'Neraca Unaudited SIMAK'!$A$2:$R$1272,15,FALSE)+IF(ISNA(VLOOKUP($A903,'Mutasi Neraca'!$A$3:$S$910,15,FALSE)),0,VLOOKUP($A903,'Mutasi Neraca'!$A$3:$S$910,15,FALSE))</f>
        <v>0</v>
      </c>
      <c r="Q903" s="42">
        <f>VLOOKUP($A903,'Neraca Unaudited SIMAK'!$A$2:$R$1272,16,FALSE)+IF(ISNA(VLOOKUP($A903,'Mutasi Neraca'!$A$3:$S$910,16,FALSE)),0,VLOOKUP($A903,'Mutasi Neraca'!$A$3:$S$910,16,FALSE))</f>
        <v>0</v>
      </c>
      <c r="R903" s="42">
        <f>VLOOKUP($A903,'Neraca Unaudited SIMAK'!$A$2:$R$1272,17,FALSE)+IF(ISNA(VLOOKUP($A903,'Mutasi Neraca'!$A$3:$S$910,17,FALSE)),0,VLOOKUP($A903,'Mutasi Neraca'!$A$3:$S$910,17,FALSE))</f>
        <v>0</v>
      </c>
      <c r="S903" s="42">
        <f t="shared" si="71"/>
        <v>18000</v>
      </c>
    </row>
    <row r="904" spans="1:19">
      <c r="A904" s="41" t="s">
        <v>905</v>
      </c>
      <c r="B904" s="41" t="str">
        <f t="shared" si="70"/>
        <v>005030500</v>
      </c>
      <c r="D904" s="42">
        <f>VLOOKUP($A904,'Neraca Unaudited SIMAK'!$A$2:$R$1272,3,FALSE)+IF(ISNA(VLOOKUP($A904,'Mutasi Neraca'!$A$3:$S$910,3,FALSE)),0,VLOOKUP($A904,'Mutasi Neraca'!$A$3:$S$910,3,FALSE))</f>
        <v>40000</v>
      </c>
      <c r="E904" s="42">
        <f>VLOOKUP($A904,'Neraca Unaudited SIMAK'!$A$2:$R$1272,4,FALSE)+IF(ISNA(VLOOKUP($A904,'Mutasi Neraca'!$A$3:$S$910,4,FALSE)),0,VLOOKUP($A904,'Mutasi Neraca'!$A$3:$S$910,4,FALSE))</f>
        <v>0</v>
      </c>
      <c r="F904" s="42">
        <f>VLOOKUP($A904,'Neraca Unaudited SIMAK'!$A$2:$R$1272,5,FALSE)+IF(ISNA(VLOOKUP($A904,'Mutasi Neraca'!$A$3:$S$910,5,FALSE)),0,VLOOKUP($A904,'Mutasi Neraca'!$A$3:$S$910,5,FALSE))</f>
        <v>0</v>
      </c>
      <c r="G904" s="42">
        <f>VLOOKUP($A904,'Neraca Unaudited SIMAK'!$A$2:$R$1272,6,FALSE)+IF(ISNA(VLOOKUP($A904,'Mutasi Neraca'!$A$3:$S$910,6,FALSE)),0,VLOOKUP($A904,'Mutasi Neraca'!$A$3:$S$910,6,FALSE))</f>
        <v>0</v>
      </c>
      <c r="H904" s="42">
        <f>VLOOKUP($A904,'Neraca Unaudited SIMAK'!$A$2:$R$1272,7,FALSE)+IF(ISNA(VLOOKUP($A904,'Mutasi Neraca'!$A$3:$S$910,7,FALSE)),0,VLOOKUP($A904,'Mutasi Neraca'!$A$3:$S$910,7,FALSE))</f>
        <v>0</v>
      </c>
      <c r="I904" s="42">
        <f>VLOOKUP($A904,'Neraca Unaudited SIMAK'!$A$2:$R$1272,8,FALSE)+IF(ISNA(VLOOKUP($A904,'Mutasi Neraca'!$A$3:$S$910,8,FALSE)),0,VLOOKUP($A904,'Mutasi Neraca'!$A$3:$S$910,8,FALSE))</f>
        <v>0</v>
      </c>
      <c r="J904" s="42">
        <f>VLOOKUP($A904,'Neraca Unaudited SIMAK'!$A$2:$R$1272,9,FALSE)+IF(ISNA(VLOOKUP($A904,'Mutasi Neraca'!$A$3:$S$910,9,FALSE)),0,VLOOKUP($A904,'Mutasi Neraca'!$A$3:$S$910,9,FALSE))</f>
        <v>0</v>
      </c>
      <c r="K904" s="42">
        <f>VLOOKUP($A904,'Neraca Unaudited SIMAK'!$A$2:$R$1272,10,FALSE)+IF(ISNA(VLOOKUP($A904,'Mutasi Neraca'!$A$3:$S$910,10,FALSE)),0,VLOOKUP($A904,'Mutasi Neraca'!$A$3:$S$910,10,FALSE))</f>
        <v>0</v>
      </c>
      <c r="L904" s="42">
        <f>VLOOKUP($A904,'Neraca Unaudited SIMAK'!$A$2:$R$1272,11,FALSE)+IF(ISNA(VLOOKUP($A904,'Mutasi Neraca'!$A$3:$S$910,11,FALSE)),0,VLOOKUP($A904,'Mutasi Neraca'!$A$3:$S$910,11,FALSE))</f>
        <v>0</v>
      </c>
      <c r="M904" s="42">
        <f>VLOOKUP($A904,'Neraca Unaudited SIMAK'!$A$2:$R$1272,12,FALSE)+IF(ISNA(VLOOKUP($A904,'Mutasi Neraca'!$A$3:$S$910,12,FALSE)),0,VLOOKUP($A904,'Mutasi Neraca'!$A$3:$S$910,12,FALSE))</f>
        <v>40000</v>
      </c>
      <c r="N904" s="42">
        <f>VLOOKUP($A904,'Neraca Unaudited SIMAK'!$A$2:$R$1272,13,FALSE)+IF(ISNA(VLOOKUP($A904,'Mutasi Neraca'!$A$3:$S$910,13,FALSE)),0,VLOOKUP($A904,'Mutasi Neraca'!$A$3:$S$910,13,FALSE))</f>
        <v>0</v>
      </c>
      <c r="O904" s="42">
        <f>VLOOKUP($A904,'Neraca Unaudited SIMAK'!$A$2:$R$1272,14,FALSE)+IF(ISNA(VLOOKUP($A904,'Mutasi Neraca'!$A$3:$S$910,14,FALSE)),0,VLOOKUP($A904,'Mutasi Neraca'!$A$3:$S$910,14,FALSE))</f>
        <v>0</v>
      </c>
      <c r="P904" s="42">
        <f>VLOOKUP($A904,'Neraca Unaudited SIMAK'!$A$2:$R$1272,15,FALSE)+IF(ISNA(VLOOKUP($A904,'Mutasi Neraca'!$A$3:$S$910,15,FALSE)),0,VLOOKUP($A904,'Mutasi Neraca'!$A$3:$S$910,15,FALSE))</f>
        <v>0</v>
      </c>
      <c r="Q904" s="42">
        <f>VLOOKUP($A904,'Neraca Unaudited SIMAK'!$A$2:$R$1272,16,FALSE)+IF(ISNA(VLOOKUP($A904,'Mutasi Neraca'!$A$3:$S$910,16,FALSE)),0,VLOOKUP($A904,'Mutasi Neraca'!$A$3:$S$910,16,FALSE))</f>
        <v>0</v>
      </c>
      <c r="R904" s="42">
        <f>VLOOKUP($A904,'Neraca Unaudited SIMAK'!$A$2:$R$1272,17,FALSE)+IF(ISNA(VLOOKUP($A904,'Mutasi Neraca'!$A$3:$S$910,17,FALSE)),0,VLOOKUP($A904,'Mutasi Neraca'!$A$3:$S$910,17,FALSE))</f>
        <v>0</v>
      </c>
      <c r="S904" s="42">
        <f t="shared" si="71"/>
        <v>40000</v>
      </c>
    </row>
    <row r="905" spans="1:19">
      <c r="A905" s="41" t="s">
        <v>2185</v>
      </c>
      <c r="B905" s="41" t="str">
        <f t="shared" si="70"/>
        <v>005030500</v>
      </c>
      <c r="D905" s="42">
        <f>VLOOKUP($A905,'Neraca Unaudited SIMAK'!$A$2:$R$1272,3,FALSE)+IF(ISNA(VLOOKUP($A905,'Mutasi Neraca'!$A$3:$S$910,3,FALSE)),0,VLOOKUP($A905,'Mutasi Neraca'!$A$3:$S$910,3,FALSE))</f>
        <v>0</v>
      </c>
      <c r="E905" s="42">
        <f>VLOOKUP($A905,'Neraca Unaudited SIMAK'!$A$2:$R$1272,4,FALSE)+IF(ISNA(VLOOKUP($A905,'Mutasi Neraca'!$A$3:$S$910,4,FALSE)),0,VLOOKUP($A905,'Mutasi Neraca'!$A$3:$S$910,4,FALSE))</f>
        <v>0</v>
      </c>
      <c r="F905" s="42">
        <f>VLOOKUP($A905,'Neraca Unaudited SIMAK'!$A$2:$R$1272,5,FALSE)+IF(ISNA(VLOOKUP($A905,'Mutasi Neraca'!$A$3:$S$910,5,FALSE)),0,VLOOKUP($A905,'Mutasi Neraca'!$A$3:$S$910,5,FALSE))</f>
        <v>0</v>
      </c>
      <c r="G905" s="42">
        <f>VLOOKUP($A905,'Neraca Unaudited SIMAK'!$A$2:$R$1272,6,FALSE)+IF(ISNA(VLOOKUP($A905,'Mutasi Neraca'!$A$3:$S$910,6,FALSE)),0,VLOOKUP($A905,'Mutasi Neraca'!$A$3:$S$910,6,FALSE))</f>
        <v>0</v>
      </c>
      <c r="H905" s="42">
        <f>VLOOKUP($A905,'Neraca Unaudited SIMAK'!$A$2:$R$1272,7,FALSE)+IF(ISNA(VLOOKUP($A905,'Mutasi Neraca'!$A$3:$S$910,7,FALSE)),0,VLOOKUP($A905,'Mutasi Neraca'!$A$3:$S$910,7,FALSE))</f>
        <v>0</v>
      </c>
      <c r="I905" s="42">
        <f>VLOOKUP($A905,'Neraca Unaudited SIMAK'!$A$2:$R$1272,8,FALSE)+IF(ISNA(VLOOKUP($A905,'Mutasi Neraca'!$A$3:$S$910,8,FALSE)),0,VLOOKUP($A905,'Mutasi Neraca'!$A$3:$S$910,8,FALSE))</f>
        <v>0</v>
      </c>
      <c r="J905" s="42">
        <f>VLOOKUP($A905,'Neraca Unaudited SIMAK'!$A$2:$R$1272,9,FALSE)+IF(ISNA(VLOOKUP($A905,'Mutasi Neraca'!$A$3:$S$910,9,FALSE)),0,VLOOKUP($A905,'Mutasi Neraca'!$A$3:$S$910,9,FALSE))</f>
        <v>0</v>
      </c>
      <c r="K905" s="42">
        <f>VLOOKUP($A905,'Neraca Unaudited SIMAK'!$A$2:$R$1272,10,FALSE)+IF(ISNA(VLOOKUP($A905,'Mutasi Neraca'!$A$3:$S$910,10,FALSE)),0,VLOOKUP($A905,'Mutasi Neraca'!$A$3:$S$910,10,FALSE))</f>
        <v>0</v>
      </c>
      <c r="L905" s="42">
        <f>VLOOKUP($A905,'Neraca Unaudited SIMAK'!$A$2:$R$1272,11,FALSE)+IF(ISNA(VLOOKUP($A905,'Mutasi Neraca'!$A$3:$S$910,11,FALSE)),0,VLOOKUP($A905,'Mutasi Neraca'!$A$3:$S$910,11,FALSE))</f>
        <v>0</v>
      </c>
      <c r="M905" s="42">
        <f>VLOOKUP($A905,'Neraca Unaudited SIMAK'!$A$2:$R$1272,12,FALSE)+IF(ISNA(VLOOKUP($A905,'Mutasi Neraca'!$A$3:$S$910,12,FALSE)),0,VLOOKUP($A905,'Mutasi Neraca'!$A$3:$S$910,12,FALSE))</f>
        <v>0</v>
      </c>
      <c r="N905" s="42">
        <f>VLOOKUP($A905,'Neraca Unaudited SIMAK'!$A$2:$R$1272,13,FALSE)+IF(ISNA(VLOOKUP($A905,'Mutasi Neraca'!$A$3:$S$910,13,FALSE)),0,VLOOKUP($A905,'Mutasi Neraca'!$A$3:$S$910,13,FALSE))</f>
        <v>0</v>
      </c>
      <c r="O905" s="42">
        <f>VLOOKUP($A905,'Neraca Unaudited SIMAK'!$A$2:$R$1272,14,FALSE)+IF(ISNA(VLOOKUP($A905,'Mutasi Neraca'!$A$3:$S$910,14,FALSE)),0,VLOOKUP($A905,'Mutasi Neraca'!$A$3:$S$910,14,FALSE))</f>
        <v>0</v>
      </c>
      <c r="P905" s="42">
        <f>VLOOKUP($A905,'Neraca Unaudited SIMAK'!$A$2:$R$1272,15,FALSE)+IF(ISNA(VLOOKUP($A905,'Mutasi Neraca'!$A$3:$S$910,15,FALSE)),0,VLOOKUP($A905,'Mutasi Neraca'!$A$3:$S$910,15,FALSE))</f>
        <v>0</v>
      </c>
      <c r="Q905" s="42">
        <f>VLOOKUP($A905,'Neraca Unaudited SIMAK'!$A$2:$R$1272,16,FALSE)+IF(ISNA(VLOOKUP($A905,'Mutasi Neraca'!$A$3:$S$910,16,FALSE)),0,VLOOKUP($A905,'Mutasi Neraca'!$A$3:$S$910,16,FALSE))</f>
        <v>0</v>
      </c>
      <c r="R905" s="42">
        <f>VLOOKUP($A905,'Neraca Unaudited SIMAK'!$A$2:$R$1272,17,FALSE)+IF(ISNA(VLOOKUP($A905,'Mutasi Neraca'!$A$3:$S$910,17,FALSE)),0,VLOOKUP($A905,'Mutasi Neraca'!$A$3:$S$910,17,FALSE))</f>
        <v>0</v>
      </c>
      <c r="S905" s="42">
        <f t="shared" si="71"/>
        <v>0</v>
      </c>
    </row>
    <row r="906" spans="1:19">
      <c r="A906" s="41" t="s">
        <v>906</v>
      </c>
      <c r="B906" s="41" t="str">
        <f t="shared" si="70"/>
        <v>005030500</v>
      </c>
      <c r="D906" s="42">
        <f>VLOOKUP($A906,'Neraca Unaudited SIMAK'!$A$2:$R$1272,3,FALSE)+IF(ISNA(VLOOKUP($A906,'Mutasi Neraca'!$A$3:$S$910,3,FALSE)),0,VLOOKUP($A906,'Mutasi Neraca'!$A$3:$S$910,3,FALSE))</f>
        <v>14985</v>
      </c>
      <c r="E906" s="42">
        <f>VLOOKUP($A906,'Neraca Unaudited SIMAK'!$A$2:$R$1272,4,FALSE)+IF(ISNA(VLOOKUP($A906,'Mutasi Neraca'!$A$3:$S$910,4,FALSE)),0,VLOOKUP($A906,'Mutasi Neraca'!$A$3:$S$910,4,FALSE))</f>
        <v>0</v>
      </c>
      <c r="F906" s="42">
        <f>VLOOKUP($A906,'Neraca Unaudited SIMAK'!$A$2:$R$1272,5,FALSE)+IF(ISNA(VLOOKUP($A906,'Mutasi Neraca'!$A$3:$S$910,5,FALSE)),0,VLOOKUP($A906,'Mutasi Neraca'!$A$3:$S$910,5,FALSE))</f>
        <v>0</v>
      </c>
      <c r="G906" s="42">
        <f>VLOOKUP($A906,'Neraca Unaudited SIMAK'!$A$2:$R$1272,6,FALSE)+IF(ISNA(VLOOKUP($A906,'Mutasi Neraca'!$A$3:$S$910,6,FALSE)),0,VLOOKUP($A906,'Mutasi Neraca'!$A$3:$S$910,6,FALSE))</f>
        <v>0</v>
      </c>
      <c r="H906" s="42">
        <f>VLOOKUP($A906,'Neraca Unaudited SIMAK'!$A$2:$R$1272,7,FALSE)+IF(ISNA(VLOOKUP($A906,'Mutasi Neraca'!$A$3:$S$910,7,FALSE)),0,VLOOKUP($A906,'Mutasi Neraca'!$A$3:$S$910,7,FALSE))</f>
        <v>0</v>
      </c>
      <c r="I906" s="42">
        <f>VLOOKUP($A906,'Neraca Unaudited SIMAK'!$A$2:$R$1272,8,FALSE)+IF(ISNA(VLOOKUP($A906,'Mutasi Neraca'!$A$3:$S$910,8,FALSE)),0,VLOOKUP($A906,'Mutasi Neraca'!$A$3:$S$910,8,FALSE))</f>
        <v>0</v>
      </c>
      <c r="J906" s="42">
        <f>VLOOKUP($A906,'Neraca Unaudited SIMAK'!$A$2:$R$1272,9,FALSE)+IF(ISNA(VLOOKUP($A906,'Mutasi Neraca'!$A$3:$S$910,9,FALSE)),0,VLOOKUP($A906,'Mutasi Neraca'!$A$3:$S$910,9,FALSE))</f>
        <v>0</v>
      </c>
      <c r="K906" s="42">
        <f>VLOOKUP($A906,'Neraca Unaudited SIMAK'!$A$2:$R$1272,10,FALSE)+IF(ISNA(VLOOKUP($A906,'Mutasi Neraca'!$A$3:$S$910,10,FALSE)),0,VLOOKUP($A906,'Mutasi Neraca'!$A$3:$S$910,10,FALSE))</f>
        <v>0</v>
      </c>
      <c r="L906" s="42">
        <f>VLOOKUP($A906,'Neraca Unaudited SIMAK'!$A$2:$R$1272,11,FALSE)+IF(ISNA(VLOOKUP($A906,'Mutasi Neraca'!$A$3:$S$910,11,FALSE)),0,VLOOKUP($A906,'Mutasi Neraca'!$A$3:$S$910,11,FALSE))</f>
        <v>0</v>
      </c>
      <c r="M906" s="42">
        <f>VLOOKUP($A906,'Neraca Unaudited SIMAK'!$A$2:$R$1272,12,FALSE)+IF(ISNA(VLOOKUP($A906,'Mutasi Neraca'!$A$3:$S$910,12,FALSE)),0,VLOOKUP($A906,'Mutasi Neraca'!$A$3:$S$910,12,FALSE))</f>
        <v>14985</v>
      </c>
      <c r="N906" s="42">
        <f>VLOOKUP($A906,'Neraca Unaudited SIMAK'!$A$2:$R$1272,13,FALSE)+IF(ISNA(VLOOKUP($A906,'Mutasi Neraca'!$A$3:$S$910,13,FALSE)),0,VLOOKUP($A906,'Mutasi Neraca'!$A$3:$S$910,13,FALSE))</f>
        <v>0</v>
      </c>
      <c r="O906" s="42">
        <f>VLOOKUP($A906,'Neraca Unaudited SIMAK'!$A$2:$R$1272,14,FALSE)+IF(ISNA(VLOOKUP($A906,'Mutasi Neraca'!$A$3:$S$910,14,FALSE)),0,VLOOKUP($A906,'Mutasi Neraca'!$A$3:$S$910,14,FALSE))</f>
        <v>0</v>
      </c>
      <c r="P906" s="42">
        <f>VLOOKUP($A906,'Neraca Unaudited SIMAK'!$A$2:$R$1272,15,FALSE)+IF(ISNA(VLOOKUP($A906,'Mutasi Neraca'!$A$3:$S$910,15,FALSE)),0,VLOOKUP($A906,'Mutasi Neraca'!$A$3:$S$910,15,FALSE))</f>
        <v>0</v>
      </c>
      <c r="Q906" s="42">
        <f>VLOOKUP($A906,'Neraca Unaudited SIMAK'!$A$2:$R$1272,16,FALSE)+IF(ISNA(VLOOKUP($A906,'Mutasi Neraca'!$A$3:$S$910,16,FALSE)),0,VLOOKUP($A906,'Mutasi Neraca'!$A$3:$S$910,16,FALSE))</f>
        <v>0</v>
      </c>
      <c r="R906" s="42">
        <f>VLOOKUP($A906,'Neraca Unaudited SIMAK'!$A$2:$R$1272,17,FALSE)+IF(ISNA(VLOOKUP($A906,'Mutasi Neraca'!$A$3:$S$910,17,FALSE)),0,VLOOKUP($A906,'Mutasi Neraca'!$A$3:$S$910,17,FALSE))</f>
        <v>0</v>
      </c>
      <c r="S906" s="42">
        <f t="shared" si="71"/>
        <v>14985</v>
      </c>
    </row>
    <row r="907" spans="1:19">
      <c r="A907" s="41" t="s">
        <v>907</v>
      </c>
      <c r="B907" s="41" t="str">
        <f t="shared" si="70"/>
        <v>005030500</v>
      </c>
      <c r="D907" s="42">
        <f>VLOOKUP($A907,'Neraca Unaudited SIMAK'!$A$2:$R$1272,3,FALSE)+IF(ISNA(VLOOKUP($A907,'Mutasi Neraca'!$A$3:$S$910,3,FALSE)),0,VLOOKUP($A907,'Mutasi Neraca'!$A$3:$S$910,3,FALSE))</f>
        <v>4690500</v>
      </c>
      <c r="E907" s="42">
        <f>VLOOKUP($A907,'Neraca Unaudited SIMAK'!$A$2:$R$1272,4,FALSE)+IF(ISNA(VLOOKUP($A907,'Mutasi Neraca'!$A$3:$S$910,4,FALSE)),0,VLOOKUP($A907,'Mutasi Neraca'!$A$3:$S$910,4,FALSE))</f>
        <v>0</v>
      </c>
      <c r="F907" s="42">
        <f>VLOOKUP($A907,'Neraca Unaudited SIMAK'!$A$2:$R$1272,5,FALSE)+IF(ISNA(VLOOKUP($A907,'Mutasi Neraca'!$A$3:$S$910,5,FALSE)),0,VLOOKUP($A907,'Mutasi Neraca'!$A$3:$S$910,5,FALSE))</f>
        <v>0</v>
      </c>
      <c r="G907" s="42">
        <f>VLOOKUP($A907,'Neraca Unaudited SIMAK'!$A$2:$R$1272,6,FALSE)+IF(ISNA(VLOOKUP($A907,'Mutasi Neraca'!$A$3:$S$910,6,FALSE)),0,VLOOKUP($A907,'Mutasi Neraca'!$A$3:$S$910,6,FALSE))</f>
        <v>0</v>
      </c>
      <c r="H907" s="42">
        <f>VLOOKUP($A907,'Neraca Unaudited SIMAK'!$A$2:$R$1272,7,FALSE)+IF(ISNA(VLOOKUP($A907,'Mutasi Neraca'!$A$3:$S$910,7,FALSE)),0,VLOOKUP($A907,'Mutasi Neraca'!$A$3:$S$910,7,FALSE))</f>
        <v>0</v>
      </c>
      <c r="I907" s="42">
        <f>VLOOKUP($A907,'Neraca Unaudited SIMAK'!$A$2:$R$1272,8,FALSE)+IF(ISNA(VLOOKUP($A907,'Mutasi Neraca'!$A$3:$S$910,8,FALSE)),0,VLOOKUP($A907,'Mutasi Neraca'!$A$3:$S$910,8,FALSE))</f>
        <v>0</v>
      </c>
      <c r="J907" s="42">
        <f>VLOOKUP($A907,'Neraca Unaudited SIMAK'!$A$2:$R$1272,9,FALSE)+IF(ISNA(VLOOKUP($A907,'Mutasi Neraca'!$A$3:$S$910,9,FALSE)),0,VLOOKUP($A907,'Mutasi Neraca'!$A$3:$S$910,9,FALSE))</f>
        <v>0</v>
      </c>
      <c r="K907" s="42">
        <f>VLOOKUP($A907,'Neraca Unaudited SIMAK'!$A$2:$R$1272,10,FALSE)+IF(ISNA(VLOOKUP($A907,'Mutasi Neraca'!$A$3:$S$910,10,FALSE)),0,VLOOKUP($A907,'Mutasi Neraca'!$A$3:$S$910,10,FALSE))</f>
        <v>0</v>
      </c>
      <c r="L907" s="42">
        <f>VLOOKUP($A907,'Neraca Unaudited SIMAK'!$A$2:$R$1272,11,FALSE)+IF(ISNA(VLOOKUP($A907,'Mutasi Neraca'!$A$3:$S$910,11,FALSE)),0,VLOOKUP($A907,'Mutasi Neraca'!$A$3:$S$910,11,FALSE))</f>
        <v>0</v>
      </c>
      <c r="M907" s="42">
        <f>VLOOKUP($A907,'Neraca Unaudited SIMAK'!$A$2:$R$1272,12,FALSE)+IF(ISNA(VLOOKUP($A907,'Mutasi Neraca'!$A$3:$S$910,12,FALSE)),0,VLOOKUP($A907,'Mutasi Neraca'!$A$3:$S$910,12,FALSE))</f>
        <v>4690500</v>
      </c>
      <c r="N907" s="42">
        <f>VLOOKUP($A907,'Neraca Unaudited SIMAK'!$A$2:$R$1272,13,FALSE)+IF(ISNA(VLOOKUP($A907,'Mutasi Neraca'!$A$3:$S$910,13,FALSE)),0,VLOOKUP($A907,'Mutasi Neraca'!$A$3:$S$910,13,FALSE))</f>
        <v>0</v>
      </c>
      <c r="O907" s="42">
        <f>VLOOKUP($A907,'Neraca Unaudited SIMAK'!$A$2:$R$1272,14,FALSE)+IF(ISNA(VLOOKUP($A907,'Mutasi Neraca'!$A$3:$S$910,14,FALSE)),0,VLOOKUP($A907,'Mutasi Neraca'!$A$3:$S$910,14,FALSE))</f>
        <v>0</v>
      </c>
      <c r="P907" s="42">
        <f>VLOOKUP($A907,'Neraca Unaudited SIMAK'!$A$2:$R$1272,15,FALSE)+IF(ISNA(VLOOKUP($A907,'Mutasi Neraca'!$A$3:$S$910,15,FALSE)),0,VLOOKUP($A907,'Mutasi Neraca'!$A$3:$S$910,15,FALSE))</f>
        <v>0</v>
      </c>
      <c r="Q907" s="42">
        <f>VLOOKUP($A907,'Neraca Unaudited SIMAK'!$A$2:$R$1272,16,FALSE)+IF(ISNA(VLOOKUP($A907,'Mutasi Neraca'!$A$3:$S$910,16,FALSE)),0,VLOOKUP($A907,'Mutasi Neraca'!$A$3:$S$910,16,FALSE))</f>
        <v>0</v>
      </c>
      <c r="R907" s="42">
        <f>VLOOKUP($A907,'Neraca Unaudited SIMAK'!$A$2:$R$1272,17,FALSE)+IF(ISNA(VLOOKUP($A907,'Mutasi Neraca'!$A$3:$S$910,17,FALSE)),0,VLOOKUP($A907,'Mutasi Neraca'!$A$3:$S$910,17,FALSE))</f>
        <v>0</v>
      </c>
      <c r="S907" s="42">
        <f t="shared" si="71"/>
        <v>4690500</v>
      </c>
    </row>
    <row r="908" spans="1:19">
      <c r="A908" s="41" t="s">
        <v>908</v>
      </c>
      <c r="B908" s="41" t="str">
        <f t="shared" si="70"/>
        <v>005030500</v>
      </c>
      <c r="D908" s="42">
        <f>VLOOKUP($A908,'Neraca Unaudited SIMAK'!$A$2:$R$1272,3,FALSE)+IF(ISNA(VLOOKUP($A908,'Mutasi Neraca'!$A$3:$S$910,3,FALSE)),0,VLOOKUP($A908,'Mutasi Neraca'!$A$3:$S$910,3,FALSE))</f>
        <v>35000</v>
      </c>
      <c r="E908" s="42">
        <f>VLOOKUP($A908,'Neraca Unaudited SIMAK'!$A$2:$R$1272,4,FALSE)+IF(ISNA(VLOOKUP($A908,'Mutasi Neraca'!$A$3:$S$910,4,FALSE)),0,VLOOKUP($A908,'Mutasi Neraca'!$A$3:$S$910,4,FALSE))</f>
        <v>0</v>
      </c>
      <c r="F908" s="42">
        <f>VLOOKUP($A908,'Neraca Unaudited SIMAK'!$A$2:$R$1272,5,FALSE)+IF(ISNA(VLOOKUP($A908,'Mutasi Neraca'!$A$3:$S$910,5,FALSE)),0,VLOOKUP($A908,'Mutasi Neraca'!$A$3:$S$910,5,FALSE))</f>
        <v>0</v>
      </c>
      <c r="G908" s="42">
        <f>VLOOKUP($A908,'Neraca Unaudited SIMAK'!$A$2:$R$1272,6,FALSE)+IF(ISNA(VLOOKUP($A908,'Mutasi Neraca'!$A$3:$S$910,6,FALSE)),0,VLOOKUP($A908,'Mutasi Neraca'!$A$3:$S$910,6,FALSE))</f>
        <v>0</v>
      </c>
      <c r="H908" s="42">
        <f>VLOOKUP($A908,'Neraca Unaudited SIMAK'!$A$2:$R$1272,7,FALSE)+IF(ISNA(VLOOKUP($A908,'Mutasi Neraca'!$A$3:$S$910,7,FALSE)),0,VLOOKUP($A908,'Mutasi Neraca'!$A$3:$S$910,7,FALSE))</f>
        <v>0</v>
      </c>
      <c r="I908" s="42">
        <f>VLOOKUP($A908,'Neraca Unaudited SIMAK'!$A$2:$R$1272,8,FALSE)+IF(ISNA(VLOOKUP($A908,'Mutasi Neraca'!$A$3:$S$910,8,FALSE)),0,VLOOKUP($A908,'Mutasi Neraca'!$A$3:$S$910,8,FALSE))</f>
        <v>0</v>
      </c>
      <c r="J908" s="42">
        <f>VLOOKUP($A908,'Neraca Unaudited SIMAK'!$A$2:$R$1272,9,FALSE)+IF(ISNA(VLOOKUP($A908,'Mutasi Neraca'!$A$3:$S$910,9,FALSE)),0,VLOOKUP($A908,'Mutasi Neraca'!$A$3:$S$910,9,FALSE))</f>
        <v>0</v>
      </c>
      <c r="K908" s="42">
        <f>VLOOKUP($A908,'Neraca Unaudited SIMAK'!$A$2:$R$1272,10,FALSE)+IF(ISNA(VLOOKUP($A908,'Mutasi Neraca'!$A$3:$S$910,10,FALSE)),0,VLOOKUP($A908,'Mutasi Neraca'!$A$3:$S$910,10,FALSE))</f>
        <v>0</v>
      </c>
      <c r="L908" s="42">
        <f>VLOOKUP($A908,'Neraca Unaudited SIMAK'!$A$2:$R$1272,11,FALSE)+IF(ISNA(VLOOKUP($A908,'Mutasi Neraca'!$A$3:$S$910,11,FALSE)),0,VLOOKUP($A908,'Mutasi Neraca'!$A$3:$S$910,11,FALSE))</f>
        <v>0</v>
      </c>
      <c r="M908" s="42">
        <f>VLOOKUP($A908,'Neraca Unaudited SIMAK'!$A$2:$R$1272,12,FALSE)+IF(ISNA(VLOOKUP($A908,'Mutasi Neraca'!$A$3:$S$910,12,FALSE)),0,VLOOKUP($A908,'Mutasi Neraca'!$A$3:$S$910,12,FALSE))</f>
        <v>35000</v>
      </c>
      <c r="N908" s="42">
        <f>VLOOKUP($A908,'Neraca Unaudited SIMAK'!$A$2:$R$1272,13,FALSE)+IF(ISNA(VLOOKUP($A908,'Mutasi Neraca'!$A$3:$S$910,13,FALSE)),0,VLOOKUP($A908,'Mutasi Neraca'!$A$3:$S$910,13,FALSE))</f>
        <v>0</v>
      </c>
      <c r="O908" s="42">
        <f>VLOOKUP($A908,'Neraca Unaudited SIMAK'!$A$2:$R$1272,14,FALSE)+IF(ISNA(VLOOKUP($A908,'Mutasi Neraca'!$A$3:$S$910,14,FALSE)),0,VLOOKUP($A908,'Mutasi Neraca'!$A$3:$S$910,14,FALSE))</f>
        <v>0</v>
      </c>
      <c r="P908" s="42">
        <f>VLOOKUP($A908,'Neraca Unaudited SIMAK'!$A$2:$R$1272,15,FALSE)+IF(ISNA(VLOOKUP($A908,'Mutasi Neraca'!$A$3:$S$910,15,FALSE)),0,VLOOKUP($A908,'Mutasi Neraca'!$A$3:$S$910,15,FALSE))</f>
        <v>0</v>
      </c>
      <c r="Q908" s="42">
        <f>VLOOKUP($A908,'Neraca Unaudited SIMAK'!$A$2:$R$1272,16,FALSE)+IF(ISNA(VLOOKUP($A908,'Mutasi Neraca'!$A$3:$S$910,16,FALSE)),0,VLOOKUP($A908,'Mutasi Neraca'!$A$3:$S$910,16,FALSE))</f>
        <v>0</v>
      </c>
      <c r="R908" s="42">
        <f>VLOOKUP($A908,'Neraca Unaudited SIMAK'!$A$2:$R$1272,17,FALSE)+IF(ISNA(VLOOKUP($A908,'Mutasi Neraca'!$A$3:$S$910,17,FALSE)),0,VLOOKUP($A908,'Mutasi Neraca'!$A$3:$S$910,17,FALSE))</f>
        <v>0</v>
      </c>
      <c r="S908" s="42">
        <f t="shared" si="71"/>
        <v>35000</v>
      </c>
    </row>
    <row r="909" spans="1:19">
      <c r="A909" s="41" t="s">
        <v>909</v>
      </c>
      <c r="B909" s="41" t="str">
        <f t="shared" si="70"/>
        <v>005030500</v>
      </c>
      <c r="D909" s="42">
        <f>VLOOKUP($A909,'Neraca Unaudited SIMAK'!$A$2:$R$1272,3,FALSE)+IF(ISNA(VLOOKUP($A909,'Mutasi Neraca'!$A$3:$S$910,3,FALSE)),0,VLOOKUP($A909,'Mutasi Neraca'!$A$3:$S$910,3,FALSE))</f>
        <v>0</v>
      </c>
      <c r="E909" s="42">
        <f>VLOOKUP($A909,'Neraca Unaudited SIMAK'!$A$2:$R$1272,4,FALSE)+IF(ISNA(VLOOKUP($A909,'Mutasi Neraca'!$A$3:$S$910,4,FALSE)),0,VLOOKUP($A909,'Mutasi Neraca'!$A$3:$S$910,4,FALSE))</f>
        <v>0</v>
      </c>
      <c r="F909" s="42">
        <f>VLOOKUP($A909,'Neraca Unaudited SIMAK'!$A$2:$R$1272,5,FALSE)+IF(ISNA(VLOOKUP($A909,'Mutasi Neraca'!$A$3:$S$910,5,FALSE)),0,VLOOKUP($A909,'Mutasi Neraca'!$A$3:$S$910,5,FALSE))</f>
        <v>0</v>
      </c>
      <c r="G909" s="42">
        <f>VLOOKUP($A909,'Neraca Unaudited SIMAK'!$A$2:$R$1272,6,FALSE)+IF(ISNA(VLOOKUP($A909,'Mutasi Neraca'!$A$3:$S$910,6,FALSE)),0,VLOOKUP($A909,'Mutasi Neraca'!$A$3:$S$910,6,FALSE))</f>
        <v>0</v>
      </c>
      <c r="H909" s="42">
        <f>VLOOKUP($A909,'Neraca Unaudited SIMAK'!$A$2:$R$1272,7,FALSE)+IF(ISNA(VLOOKUP($A909,'Mutasi Neraca'!$A$3:$S$910,7,FALSE)),0,VLOOKUP($A909,'Mutasi Neraca'!$A$3:$S$910,7,FALSE))</f>
        <v>0</v>
      </c>
      <c r="I909" s="42">
        <f>VLOOKUP($A909,'Neraca Unaudited SIMAK'!$A$2:$R$1272,8,FALSE)+IF(ISNA(VLOOKUP($A909,'Mutasi Neraca'!$A$3:$S$910,8,FALSE)),0,VLOOKUP($A909,'Mutasi Neraca'!$A$3:$S$910,8,FALSE))</f>
        <v>0</v>
      </c>
      <c r="J909" s="42">
        <f>VLOOKUP($A909,'Neraca Unaudited SIMAK'!$A$2:$R$1272,9,FALSE)+IF(ISNA(VLOOKUP($A909,'Mutasi Neraca'!$A$3:$S$910,9,FALSE)),0,VLOOKUP($A909,'Mutasi Neraca'!$A$3:$S$910,9,FALSE))</f>
        <v>0</v>
      </c>
      <c r="K909" s="42">
        <f>VLOOKUP($A909,'Neraca Unaudited SIMAK'!$A$2:$R$1272,10,FALSE)+IF(ISNA(VLOOKUP($A909,'Mutasi Neraca'!$A$3:$S$910,10,FALSE)),0,VLOOKUP($A909,'Mutasi Neraca'!$A$3:$S$910,10,FALSE))</f>
        <v>0</v>
      </c>
      <c r="L909" s="42">
        <f>VLOOKUP($A909,'Neraca Unaudited SIMAK'!$A$2:$R$1272,11,FALSE)+IF(ISNA(VLOOKUP($A909,'Mutasi Neraca'!$A$3:$S$910,11,FALSE)),0,VLOOKUP($A909,'Mutasi Neraca'!$A$3:$S$910,11,FALSE))</f>
        <v>0</v>
      </c>
      <c r="M909" s="42">
        <f>VLOOKUP($A909,'Neraca Unaudited SIMAK'!$A$2:$R$1272,12,FALSE)+IF(ISNA(VLOOKUP($A909,'Mutasi Neraca'!$A$3:$S$910,12,FALSE)),0,VLOOKUP($A909,'Mutasi Neraca'!$A$3:$S$910,12,FALSE))</f>
        <v>0</v>
      </c>
      <c r="N909" s="42">
        <f>VLOOKUP($A909,'Neraca Unaudited SIMAK'!$A$2:$R$1272,13,FALSE)+IF(ISNA(VLOOKUP($A909,'Mutasi Neraca'!$A$3:$S$910,13,FALSE)),0,VLOOKUP($A909,'Mutasi Neraca'!$A$3:$S$910,13,FALSE))</f>
        <v>0</v>
      </c>
      <c r="O909" s="42">
        <f>VLOOKUP($A909,'Neraca Unaudited SIMAK'!$A$2:$R$1272,14,FALSE)+IF(ISNA(VLOOKUP($A909,'Mutasi Neraca'!$A$3:$S$910,14,FALSE)),0,VLOOKUP($A909,'Mutasi Neraca'!$A$3:$S$910,14,FALSE))</f>
        <v>0</v>
      </c>
      <c r="P909" s="42">
        <f>VLOOKUP($A909,'Neraca Unaudited SIMAK'!$A$2:$R$1272,15,FALSE)+IF(ISNA(VLOOKUP($A909,'Mutasi Neraca'!$A$3:$S$910,15,FALSE)),0,VLOOKUP($A909,'Mutasi Neraca'!$A$3:$S$910,15,FALSE))</f>
        <v>0</v>
      </c>
      <c r="Q909" s="42">
        <f>VLOOKUP($A909,'Neraca Unaudited SIMAK'!$A$2:$R$1272,16,FALSE)+IF(ISNA(VLOOKUP($A909,'Mutasi Neraca'!$A$3:$S$910,16,FALSE)),0,VLOOKUP($A909,'Mutasi Neraca'!$A$3:$S$910,16,FALSE))</f>
        <v>0</v>
      </c>
      <c r="R909" s="42">
        <f>VLOOKUP($A909,'Neraca Unaudited SIMAK'!$A$2:$R$1272,17,FALSE)+IF(ISNA(VLOOKUP($A909,'Mutasi Neraca'!$A$3:$S$910,17,FALSE)),0,VLOOKUP($A909,'Mutasi Neraca'!$A$3:$S$910,17,FALSE))</f>
        <v>0</v>
      </c>
      <c r="S909" s="42">
        <f t="shared" si="71"/>
        <v>0</v>
      </c>
    </row>
    <row r="910" spans="1:19">
      <c r="A910" s="41" t="s">
        <v>910</v>
      </c>
      <c r="B910" s="41" t="str">
        <f t="shared" si="70"/>
        <v>005030500</v>
      </c>
      <c r="D910" s="42">
        <f>VLOOKUP($A910,'Neraca Unaudited SIMAK'!$A$2:$R$1272,3,FALSE)+IF(ISNA(VLOOKUP($A910,'Mutasi Neraca'!$A$3:$S$910,3,FALSE)),0,VLOOKUP($A910,'Mutasi Neraca'!$A$3:$S$910,3,FALSE))</f>
        <v>523500</v>
      </c>
      <c r="E910" s="42">
        <f>VLOOKUP($A910,'Neraca Unaudited SIMAK'!$A$2:$R$1272,4,FALSE)+IF(ISNA(VLOOKUP($A910,'Mutasi Neraca'!$A$3:$S$910,4,FALSE)),0,VLOOKUP($A910,'Mutasi Neraca'!$A$3:$S$910,4,FALSE))</f>
        <v>0</v>
      </c>
      <c r="F910" s="42">
        <f>VLOOKUP($A910,'Neraca Unaudited SIMAK'!$A$2:$R$1272,5,FALSE)+IF(ISNA(VLOOKUP($A910,'Mutasi Neraca'!$A$3:$S$910,5,FALSE)),0,VLOOKUP($A910,'Mutasi Neraca'!$A$3:$S$910,5,FALSE))</f>
        <v>0</v>
      </c>
      <c r="G910" s="42">
        <f>VLOOKUP($A910,'Neraca Unaudited SIMAK'!$A$2:$R$1272,6,FALSE)+IF(ISNA(VLOOKUP($A910,'Mutasi Neraca'!$A$3:$S$910,6,FALSE)),0,VLOOKUP($A910,'Mutasi Neraca'!$A$3:$S$910,6,FALSE))</f>
        <v>0</v>
      </c>
      <c r="H910" s="42">
        <f>VLOOKUP($A910,'Neraca Unaudited SIMAK'!$A$2:$R$1272,7,FALSE)+IF(ISNA(VLOOKUP($A910,'Mutasi Neraca'!$A$3:$S$910,7,FALSE)),0,VLOOKUP($A910,'Mutasi Neraca'!$A$3:$S$910,7,FALSE))</f>
        <v>0</v>
      </c>
      <c r="I910" s="42">
        <f>VLOOKUP($A910,'Neraca Unaudited SIMAK'!$A$2:$R$1272,8,FALSE)+IF(ISNA(VLOOKUP($A910,'Mutasi Neraca'!$A$3:$S$910,8,FALSE)),0,VLOOKUP($A910,'Mutasi Neraca'!$A$3:$S$910,8,FALSE))</f>
        <v>0</v>
      </c>
      <c r="J910" s="42">
        <f>VLOOKUP($A910,'Neraca Unaudited SIMAK'!$A$2:$R$1272,9,FALSE)+IF(ISNA(VLOOKUP($A910,'Mutasi Neraca'!$A$3:$S$910,9,FALSE)),0,VLOOKUP($A910,'Mutasi Neraca'!$A$3:$S$910,9,FALSE))</f>
        <v>0</v>
      </c>
      <c r="K910" s="42">
        <f>VLOOKUP($A910,'Neraca Unaudited SIMAK'!$A$2:$R$1272,10,FALSE)+IF(ISNA(VLOOKUP($A910,'Mutasi Neraca'!$A$3:$S$910,10,FALSE)),0,VLOOKUP($A910,'Mutasi Neraca'!$A$3:$S$910,10,FALSE))</f>
        <v>0</v>
      </c>
      <c r="L910" s="42">
        <f>VLOOKUP($A910,'Neraca Unaudited SIMAK'!$A$2:$R$1272,11,FALSE)+IF(ISNA(VLOOKUP($A910,'Mutasi Neraca'!$A$3:$S$910,11,FALSE)),0,VLOOKUP($A910,'Mutasi Neraca'!$A$3:$S$910,11,FALSE))</f>
        <v>0</v>
      </c>
      <c r="M910" s="42">
        <f>VLOOKUP($A910,'Neraca Unaudited SIMAK'!$A$2:$R$1272,12,FALSE)+IF(ISNA(VLOOKUP($A910,'Mutasi Neraca'!$A$3:$S$910,12,FALSE)),0,VLOOKUP($A910,'Mutasi Neraca'!$A$3:$S$910,12,FALSE))</f>
        <v>523500</v>
      </c>
      <c r="N910" s="42">
        <f>VLOOKUP($A910,'Neraca Unaudited SIMAK'!$A$2:$R$1272,13,FALSE)+IF(ISNA(VLOOKUP($A910,'Mutasi Neraca'!$A$3:$S$910,13,FALSE)),0,VLOOKUP($A910,'Mutasi Neraca'!$A$3:$S$910,13,FALSE))</f>
        <v>0</v>
      </c>
      <c r="O910" s="42">
        <f>VLOOKUP($A910,'Neraca Unaudited SIMAK'!$A$2:$R$1272,14,FALSE)+IF(ISNA(VLOOKUP($A910,'Mutasi Neraca'!$A$3:$S$910,14,FALSE)),0,VLOOKUP($A910,'Mutasi Neraca'!$A$3:$S$910,14,FALSE))</f>
        <v>0</v>
      </c>
      <c r="P910" s="42">
        <f>VLOOKUP($A910,'Neraca Unaudited SIMAK'!$A$2:$R$1272,15,FALSE)+IF(ISNA(VLOOKUP($A910,'Mutasi Neraca'!$A$3:$S$910,15,FALSE)),0,VLOOKUP($A910,'Mutasi Neraca'!$A$3:$S$910,15,FALSE))</f>
        <v>0</v>
      </c>
      <c r="Q910" s="42">
        <f>VLOOKUP($A910,'Neraca Unaudited SIMAK'!$A$2:$R$1272,16,FALSE)+IF(ISNA(VLOOKUP($A910,'Mutasi Neraca'!$A$3:$S$910,16,FALSE)),0,VLOOKUP($A910,'Mutasi Neraca'!$A$3:$S$910,16,FALSE))</f>
        <v>0</v>
      </c>
      <c r="R910" s="42">
        <f>VLOOKUP($A910,'Neraca Unaudited SIMAK'!$A$2:$R$1272,17,FALSE)+IF(ISNA(VLOOKUP($A910,'Mutasi Neraca'!$A$3:$S$910,17,FALSE)),0,VLOOKUP($A910,'Mutasi Neraca'!$A$3:$S$910,17,FALSE))</f>
        <v>0</v>
      </c>
      <c r="S910" s="42">
        <f t="shared" si="71"/>
        <v>523500</v>
      </c>
    </row>
    <row r="911" spans="1:19">
      <c r="A911" s="41" t="s">
        <v>2026</v>
      </c>
      <c r="B911" s="41" t="str">
        <f t="shared" si="70"/>
        <v>005030500</v>
      </c>
      <c r="D911" s="42">
        <f>VLOOKUP($A911,'Neraca Unaudited SIMAK'!$A$2:$R$1272,3,FALSE)+IF(ISNA(VLOOKUP($A911,'Mutasi Neraca'!$A$3:$S$910,3,FALSE)),0,VLOOKUP($A911,'Mutasi Neraca'!$A$3:$S$910,3,FALSE))</f>
        <v>0</v>
      </c>
      <c r="E911" s="42">
        <f>VLOOKUP($A911,'Neraca Unaudited SIMAK'!$A$2:$R$1272,4,FALSE)+IF(ISNA(VLOOKUP($A911,'Mutasi Neraca'!$A$3:$S$910,4,FALSE)),0,VLOOKUP($A911,'Mutasi Neraca'!$A$3:$S$910,4,FALSE))</f>
        <v>0</v>
      </c>
      <c r="F911" s="42">
        <f>VLOOKUP($A911,'Neraca Unaudited SIMAK'!$A$2:$R$1272,5,FALSE)+IF(ISNA(VLOOKUP($A911,'Mutasi Neraca'!$A$3:$S$910,5,FALSE)),0,VLOOKUP($A911,'Mutasi Neraca'!$A$3:$S$910,5,FALSE))</f>
        <v>0</v>
      </c>
      <c r="G911" s="42">
        <f>VLOOKUP($A911,'Neraca Unaudited SIMAK'!$A$2:$R$1272,6,FALSE)+IF(ISNA(VLOOKUP($A911,'Mutasi Neraca'!$A$3:$S$910,6,FALSE)),0,VLOOKUP($A911,'Mutasi Neraca'!$A$3:$S$910,6,FALSE))</f>
        <v>0</v>
      </c>
      <c r="H911" s="42">
        <f>VLOOKUP($A911,'Neraca Unaudited SIMAK'!$A$2:$R$1272,7,FALSE)+IF(ISNA(VLOOKUP($A911,'Mutasi Neraca'!$A$3:$S$910,7,FALSE)),0,VLOOKUP($A911,'Mutasi Neraca'!$A$3:$S$910,7,FALSE))</f>
        <v>0</v>
      </c>
      <c r="I911" s="42">
        <f>VLOOKUP($A911,'Neraca Unaudited SIMAK'!$A$2:$R$1272,8,FALSE)+IF(ISNA(VLOOKUP($A911,'Mutasi Neraca'!$A$3:$S$910,8,FALSE)),0,VLOOKUP($A911,'Mutasi Neraca'!$A$3:$S$910,8,FALSE))</f>
        <v>0</v>
      </c>
      <c r="J911" s="42">
        <f>VLOOKUP($A911,'Neraca Unaudited SIMAK'!$A$2:$R$1272,9,FALSE)+IF(ISNA(VLOOKUP($A911,'Mutasi Neraca'!$A$3:$S$910,9,FALSE)),0,VLOOKUP($A911,'Mutasi Neraca'!$A$3:$S$910,9,FALSE))</f>
        <v>0</v>
      </c>
      <c r="K911" s="42">
        <f>VLOOKUP($A911,'Neraca Unaudited SIMAK'!$A$2:$R$1272,10,FALSE)+IF(ISNA(VLOOKUP($A911,'Mutasi Neraca'!$A$3:$S$910,10,FALSE)),0,VLOOKUP($A911,'Mutasi Neraca'!$A$3:$S$910,10,FALSE))</f>
        <v>0</v>
      </c>
      <c r="L911" s="42">
        <f>VLOOKUP($A911,'Neraca Unaudited SIMAK'!$A$2:$R$1272,11,FALSE)+IF(ISNA(VLOOKUP($A911,'Mutasi Neraca'!$A$3:$S$910,11,FALSE)),0,VLOOKUP($A911,'Mutasi Neraca'!$A$3:$S$910,11,FALSE))</f>
        <v>0</v>
      </c>
      <c r="M911" s="42">
        <f>VLOOKUP($A911,'Neraca Unaudited SIMAK'!$A$2:$R$1272,12,FALSE)+IF(ISNA(VLOOKUP($A911,'Mutasi Neraca'!$A$3:$S$910,12,FALSE)),0,VLOOKUP($A911,'Mutasi Neraca'!$A$3:$S$910,12,FALSE))</f>
        <v>0</v>
      </c>
      <c r="N911" s="42">
        <f>VLOOKUP($A911,'Neraca Unaudited SIMAK'!$A$2:$R$1272,13,FALSE)+IF(ISNA(VLOOKUP($A911,'Mutasi Neraca'!$A$3:$S$910,13,FALSE)),0,VLOOKUP($A911,'Mutasi Neraca'!$A$3:$S$910,13,FALSE))</f>
        <v>0</v>
      </c>
      <c r="O911" s="42">
        <f>VLOOKUP($A911,'Neraca Unaudited SIMAK'!$A$2:$R$1272,14,FALSE)+IF(ISNA(VLOOKUP($A911,'Mutasi Neraca'!$A$3:$S$910,14,FALSE)),0,VLOOKUP($A911,'Mutasi Neraca'!$A$3:$S$910,14,FALSE))</f>
        <v>0</v>
      </c>
      <c r="P911" s="42">
        <f>VLOOKUP($A911,'Neraca Unaudited SIMAK'!$A$2:$R$1272,15,FALSE)+IF(ISNA(VLOOKUP($A911,'Mutasi Neraca'!$A$3:$S$910,15,FALSE)),0,VLOOKUP($A911,'Mutasi Neraca'!$A$3:$S$910,15,FALSE))</f>
        <v>0</v>
      </c>
      <c r="Q911" s="42">
        <f>VLOOKUP($A911,'Neraca Unaudited SIMAK'!$A$2:$R$1272,16,FALSE)+IF(ISNA(VLOOKUP($A911,'Mutasi Neraca'!$A$3:$S$910,16,FALSE)),0,VLOOKUP($A911,'Mutasi Neraca'!$A$3:$S$910,16,FALSE))</f>
        <v>0</v>
      </c>
      <c r="R911" s="42">
        <f>VLOOKUP($A911,'Neraca Unaudited SIMAK'!$A$2:$R$1272,17,FALSE)+IF(ISNA(VLOOKUP($A911,'Mutasi Neraca'!$A$3:$S$910,17,FALSE)),0,VLOOKUP($A911,'Mutasi Neraca'!$A$3:$S$910,17,FALSE))</f>
        <v>0</v>
      </c>
      <c r="S911" s="42">
        <f t="shared" si="71"/>
        <v>0</v>
      </c>
    </row>
    <row r="912" spans="1:19">
      <c r="A912" s="41" t="s">
        <v>911</v>
      </c>
      <c r="B912" s="41" t="str">
        <f t="shared" si="70"/>
        <v>005030500</v>
      </c>
      <c r="D912" s="42">
        <f>VLOOKUP($A912,'Neraca Unaudited SIMAK'!$A$2:$R$1272,3,FALSE)+IF(ISNA(VLOOKUP($A912,'Mutasi Neraca'!$A$3:$S$910,3,FALSE)),0,VLOOKUP($A912,'Mutasi Neraca'!$A$3:$S$910,3,FALSE))</f>
        <v>0</v>
      </c>
      <c r="E912" s="42">
        <f>VLOOKUP($A912,'Neraca Unaudited SIMAK'!$A$2:$R$1272,4,FALSE)+IF(ISNA(VLOOKUP($A912,'Mutasi Neraca'!$A$3:$S$910,4,FALSE)),0,VLOOKUP($A912,'Mutasi Neraca'!$A$3:$S$910,4,FALSE))</f>
        <v>0</v>
      </c>
      <c r="F912" s="42">
        <f>VLOOKUP($A912,'Neraca Unaudited SIMAK'!$A$2:$R$1272,5,FALSE)+IF(ISNA(VLOOKUP($A912,'Mutasi Neraca'!$A$3:$S$910,5,FALSE)),0,VLOOKUP($A912,'Mutasi Neraca'!$A$3:$S$910,5,FALSE))</f>
        <v>0</v>
      </c>
      <c r="G912" s="42">
        <f>VLOOKUP($A912,'Neraca Unaudited SIMAK'!$A$2:$R$1272,6,FALSE)+IF(ISNA(VLOOKUP($A912,'Mutasi Neraca'!$A$3:$S$910,6,FALSE)),0,VLOOKUP($A912,'Mutasi Neraca'!$A$3:$S$910,6,FALSE))</f>
        <v>0</v>
      </c>
      <c r="H912" s="42">
        <f>VLOOKUP($A912,'Neraca Unaudited SIMAK'!$A$2:$R$1272,7,FALSE)+IF(ISNA(VLOOKUP($A912,'Mutasi Neraca'!$A$3:$S$910,7,FALSE)),0,VLOOKUP($A912,'Mutasi Neraca'!$A$3:$S$910,7,FALSE))</f>
        <v>0</v>
      </c>
      <c r="I912" s="42">
        <f>VLOOKUP($A912,'Neraca Unaudited SIMAK'!$A$2:$R$1272,8,FALSE)+IF(ISNA(VLOOKUP($A912,'Mutasi Neraca'!$A$3:$S$910,8,FALSE)),0,VLOOKUP($A912,'Mutasi Neraca'!$A$3:$S$910,8,FALSE))</f>
        <v>0</v>
      </c>
      <c r="J912" s="42">
        <f>VLOOKUP($A912,'Neraca Unaudited SIMAK'!$A$2:$R$1272,9,FALSE)+IF(ISNA(VLOOKUP($A912,'Mutasi Neraca'!$A$3:$S$910,9,FALSE)),0,VLOOKUP($A912,'Mutasi Neraca'!$A$3:$S$910,9,FALSE))</f>
        <v>0</v>
      </c>
      <c r="K912" s="42">
        <f>VLOOKUP($A912,'Neraca Unaudited SIMAK'!$A$2:$R$1272,10,FALSE)+IF(ISNA(VLOOKUP($A912,'Mutasi Neraca'!$A$3:$S$910,10,FALSE)),0,VLOOKUP($A912,'Mutasi Neraca'!$A$3:$S$910,10,FALSE))</f>
        <v>0</v>
      </c>
      <c r="L912" s="42">
        <f>VLOOKUP($A912,'Neraca Unaudited SIMAK'!$A$2:$R$1272,11,FALSE)+IF(ISNA(VLOOKUP($A912,'Mutasi Neraca'!$A$3:$S$910,11,FALSE)),0,VLOOKUP($A912,'Mutasi Neraca'!$A$3:$S$910,11,FALSE))</f>
        <v>0</v>
      </c>
      <c r="M912" s="42">
        <f>VLOOKUP($A912,'Neraca Unaudited SIMAK'!$A$2:$R$1272,12,FALSE)+IF(ISNA(VLOOKUP($A912,'Mutasi Neraca'!$A$3:$S$910,12,FALSE)),0,VLOOKUP($A912,'Mutasi Neraca'!$A$3:$S$910,12,FALSE))</f>
        <v>0</v>
      </c>
      <c r="N912" s="42">
        <f>VLOOKUP($A912,'Neraca Unaudited SIMAK'!$A$2:$R$1272,13,FALSE)+IF(ISNA(VLOOKUP($A912,'Mutasi Neraca'!$A$3:$S$910,13,FALSE)),0,VLOOKUP($A912,'Mutasi Neraca'!$A$3:$S$910,13,FALSE))</f>
        <v>0</v>
      </c>
      <c r="O912" s="42">
        <f>VLOOKUP($A912,'Neraca Unaudited SIMAK'!$A$2:$R$1272,14,FALSE)+IF(ISNA(VLOOKUP($A912,'Mutasi Neraca'!$A$3:$S$910,14,FALSE)),0,VLOOKUP($A912,'Mutasi Neraca'!$A$3:$S$910,14,FALSE))</f>
        <v>0</v>
      </c>
      <c r="P912" s="42">
        <f>VLOOKUP($A912,'Neraca Unaudited SIMAK'!$A$2:$R$1272,15,FALSE)+IF(ISNA(VLOOKUP($A912,'Mutasi Neraca'!$A$3:$S$910,15,FALSE)),0,VLOOKUP($A912,'Mutasi Neraca'!$A$3:$S$910,15,FALSE))</f>
        <v>0</v>
      </c>
      <c r="Q912" s="42">
        <f>VLOOKUP($A912,'Neraca Unaudited SIMAK'!$A$2:$R$1272,16,FALSE)+IF(ISNA(VLOOKUP($A912,'Mutasi Neraca'!$A$3:$S$910,16,FALSE)),0,VLOOKUP($A912,'Mutasi Neraca'!$A$3:$S$910,16,FALSE))</f>
        <v>0</v>
      </c>
      <c r="R912" s="42">
        <f>VLOOKUP($A912,'Neraca Unaudited SIMAK'!$A$2:$R$1272,17,FALSE)+IF(ISNA(VLOOKUP($A912,'Mutasi Neraca'!$A$3:$S$910,17,FALSE)),0,VLOOKUP($A912,'Mutasi Neraca'!$A$3:$S$910,17,FALSE))</f>
        <v>0</v>
      </c>
      <c r="S912" s="42">
        <f t="shared" si="71"/>
        <v>0</v>
      </c>
    </row>
    <row r="913" spans="1:19">
      <c r="A913" s="41" t="s">
        <v>912</v>
      </c>
      <c r="B913" s="41" t="str">
        <f t="shared" si="70"/>
        <v>005030500</v>
      </c>
      <c r="D913" s="42">
        <f>VLOOKUP($A913,'Neraca Unaudited SIMAK'!$A$2:$R$1272,3,FALSE)+IF(ISNA(VLOOKUP($A913,'Mutasi Neraca'!$A$3:$S$910,3,FALSE)),0,VLOOKUP($A913,'Mutasi Neraca'!$A$3:$S$910,3,FALSE))</f>
        <v>0</v>
      </c>
      <c r="E913" s="42">
        <f>VLOOKUP($A913,'Neraca Unaudited SIMAK'!$A$2:$R$1272,4,FALSE)+IF(ISNA(VLOOKUP($A913,'Mutasi Neraca'!$A$3:$S$910,4,FALSE)),0,VLOOKUP($A913,'Mutasi Neraca'!$A$3:$S$910,4,FALSE))</f>
        <v>0</v>
      </c>
      <c r="F913" s="42">
        <f>VLOOKUP($A913,'Neraca Unaudited SIMAK'!$A$2:$R$1272,5,FALSE)+IF(ISNA(VLOOKUP($A913,'Mutasi Neraca'!$A$3:$S$910,5,FALSE)),0,VLOOKUP($A913,'Mutasi Neraca'!$A$3:$S$910,5,FALSE))</f>
        <v>0</v>
      </c>
      <c r="G913" s="42">
        <f>VLOOKUP($A913,'Neraca Unaudited SIMAK'!$A$2:$R$1272,6,FALSE)+IF(ISNA(VLOOKUP($A913,'Mutasi Neraca'!$A$3:$S$910,6,FALSE)),0,VLOOKUP($A913,'Mutasi Neraca'!$A$3:$S$910,6,FALSE))</f>
        <v>0</v>
      </c>
      <c r="H913" s="42">
        <f>VLOOKUP($A913,'Neraca Unaudited SIMAK'!$A$2:$R$1272,7,FALSE)+IF(ISNA(VLOOKUP($A913,'Mutasi Neraca'!$A$3:$S$910,7,FALSE)),0,VLOOKUP($A913,'Mutasi Neraca'!$A$3:$S$910,7,FALSE))</f>
        <v>0</v>
      </c>
      <c r="I913" s="42">
        <f>VLOOKUP($A913,'Neraca Unaudited SIMAK'!$A$2:$R$1272,8,FALSE)+IF(ISNA(VLOOKUP($A913,'Mutasi Neraca'!$A$3:$S$910,8,FALSE)),0,VLOOKUP($A913,'Mutasi Neraca'!$A$3:$S$910,8,FALSE))</f>
        <v>0</v>
      </c>
      <c r="J913" s="42">
        <f>VLOOKUP($A913,'Neraca Unaudited SIMAK'!$A$2:$R$1272,9,FALSE)+IF(ISNA(VLOOKUP($A913,'Mutasi Neraca'!$A$3:$S$910,9,FALSE)),0,VLOOKUP($A913,'Mutasi Neraca'!$A$3:$S$910,9,FALSE))</f>
        <v>0</v>
      </c>
      <c r="K913" s="42">
        <f>VLOOKUP($A913,'Neraca Unaudited SIMAK'!$A$2:$R$1272,10,FALSE)+IF(ISNA(VLOOKUP($A913,'Mutasi Neraca'!$A$3:$S$910,10,FALSE)),0,VLOOKUP($A913,'Mutasi Neraca'!$A$3:$S$910,10,FALSE))</f>
        <v>0</v>
      </c>
      <c r="L913" s="42">
        <f>VLOOKUP($A913,'Neraca Unaudited SIMAK'!$A$2:$R$1272,11,FALSE)+IF(ISNA(VLOOKUP($A913,'Mutasi Neraca'!$A$3:$S$910,11,FALSE)),0,VLOOKUP($A913,'Mutasi Neraca'!$A$3:$S$910,11,FALSE))</f>
        <v>0</v>
      </c>
      <c r="M913" s="42">
        <f>VLOOKUP($A913,'Neraca Unaudited SIMAK'!$A$2:$R$1272,12,FALSE)+IF(ISNA(VLOOKUP($A913,'Mutasi Neraca'!$A$3:$S$910,12,FALSE)),0,VLOOKUP($A913,'Mutasi Neraca'!$A$3:$S$910,12,FALSE))</f>
        <v>0</v>
      </c>
      <c r="N913" s="42">
        <f>VLOOKUP($A913,'Neraca Unaudited SIMAK'!$A$2:$R$1272,13,FALSE)+IF(ISNA(VLOOKUP($A913,'Mutasi Neraca'!$A$3:$S$910,13,FALSE)),0,VLOOKUP($A913,'Mutasi Neraca'!$A$3:$S$910,13,FALSE))</f>
        <v>0</v>
      </c>
      <c r="O913" s="42">
        <f>VLOOKUP($A913,'Neraca Unaudited SIMAK'!$A$2:$R$1272,14,FALSE)+IF(ISNA(VLOOKUP($A913,'Mutasi Neraca'!$A$3:$S$910,14,FALSE)),0,VLOOKUP($A913,'Mutasi Neraca'!$A$3:$S$910,14,FALSE))</f>
        <v>0</v>
      </c>
      <c r="P913" s="42">
        <f>VLOOKUP($A913,'Neraca Unaudited SIMAK'!$A$2:$R$1272,15,FALSE)+IF(ISNA(VLOOKUP($A913,'Mutasi Neraca'!$A$3:$S$910,15,FALSE)),0,VLOOKUP($A913,'Mutasi Neraca'!$A$3:$S$910,15,FALSE))</f>
        <v>0</v>
      </c>
      <c r="Q913" s="42">
        <f>VLOOKUP($A913,'Neraca Unaudited SIMAK'!$A$2:$R$1272,16,FALSE)+IF(ISNA(VLOOKUP($A913,'Mutasi Neraca'!$A$3:$S$910,16,FALSE)),0,VLOOKUP($A913,'Mutasi Neraca'!$A$3:$S$910,16,FALSE))</f>
        <v>0</v>
      </c>
      <c r="R913" s="42">
        <f>VLOOKUP($A913,'Neraca Unaudited SIMAK'!$A$2:$R$1272,17,FALSE)+IF(ISNA(VLOOKUP($A913,'Mutasi Neraca'!$A$3:$S$910,17,FALSE)),0,VLOOKUP($A913,'Mutasi Neraca'!$A$3:$S$910,17,FALSE))</f>
        <v>0</v>
      </c>
      <c r="S913" s="42">
        <f t="shared" si="71"/>
        <v>0</v>
      </c>
    </row>
    <row r="914" spans="1:19">
      <c r="A914" s="41" t="s">
        <v>913</v>
      </c>
      <c r="B914" s="41" t="str">
        <f t="shared" si="70"/>
        <v>005030500</v>
      </c>
      <c r="D914" s="42">
        <f>VLOOKUP($A914,'Neraca Unaudited SIMAK'!$A$2:$R$1272,3,FALSE)+IF(ISNA(VLOOKUP($A914,'Mutasi Neraca'!$A$3:$S$910,3,FALSE)),0,VLOOKUP($A914,'Mutasi Neraca'!$A$3:$S$910,3,FALSE))</f>
        <v>2691000</v>
      </c>
      <c r="E914" s="42">
        <f>VLOOKUP($A914,'Neraca Unaudited SIMAK'!$A$2:$R$1272,4,FALSE)+IF(ISNA(VLOOKUP($A914,'Mutasi Neraca'!$A$3:$S$910,4,FALSE)),0,VLOOKUP($A914,'Mutasi Neraca'!$A$3:$S$910,4,FALSE))</f>
        <v>0</v>
      </c>
      <c r="F914" s="42">
        <f>VLOOKUP($A914,'Neraca Unaudited SIMAK'!$A$2:$R$1272,5,FALSE)+IF(ISNA(VLOOKUP($A914,'Mutasi Neraca'!$A$3:$S$910,5,FALSE)),0,VLOOKUP($A914,'Mutasi Neraca'!$A$3:$S$910,5,FALSE))</f>
        <v>0</v>
      </c>
      <c r="G914" s="42">
        <f>VLOOKUP($A914,'Neraca Unaudited SIMAK'!$A$2:$R$1272,6,FALSE)+IF(ISNA(VLOOKUP($A914,'Mutasi Neraca'!$A$3:$S$910,6,FALSE)),0,VLOOKUP($A914,'Mutasi Neraca'!$A$3:$S$910,6,FALSE))</f>
        <v>0</v>
      </c>
      <c r="H914" s="42">
        <f>VLOOKUP($A914,'Neraca Unaudited SIMAK'!$A$2:$R$1272,7,FALSE)+IF(ISNA(VLOOKUP($A914,'Mutasi Neraca'!$A$3:$S$910,7,FALSE)),0,VLOOKUP($A914,'Mutasi Neraca'!$A$3:$S$910,7,FALSE))</f>
        <v>0</v>
      </c>
      <c r="I914" s="42">
        <f>VLOOKUP($A914,'Neraca Unaudited SIMAK'!$A$2:$R$1272,8,FALSE)+IF(ISNA(VLOOKUP($A914,'Mutasi Neraca'!$A$3:$S$910,8,FALSE)),0,VLOOKUP($A914,'Mutasi Neraca'!$A$3:$S$910,8,FALSE))</f>
        <v>0</v>
      </c>
      <c r="J914" s="42">
        <f>VLOOKUP($A914,'Neraca Unaudited SIMAK'!$A$2:$R$1272,9,FALSE)+IF(ISNA(VLOOKUP($A914,'Mutasi Neraca'!$A$3:$S$910,9,FALSE)),0,VLOOKUP($A914,'Mutasi Neraca'!$A$3:$S$910,9,FALSE))</f>
        <v>0</v>
      </c>
      <c r="K914" s="42">
        <f>VLOOKUP($A914,'Neraca Unaudited SIMAK'!$A$2:$R$1272,10,FALSE)+IF(ISNA(VLOOKUP($A914,'Mutasi Neraca'!$A$3:$S$910,10,FALSE)),0,VLOOKUP($A914,'Mutasi Neraca'!$A$3:$S$910,10,FALSE))</f>
        <v>0</v>
      </c>
      <c r="L914" s="42">
        <f>VLOOKUP($A914,'Neraca Unaudited SIMAK'!$A$2:$R$1272,11,FALSE)+IF(ISNA(VLOOKUP($A914,'Mutasi Neraca'!$A$3:$S$910,11,FALSE)),0,VLOOKUP($A914,'Mutasi Neraca'!$A$3:$S$910,11,FALSE))</f>
        <v>0</v>
      </c>
      <c r="M914" s="42">
        <f>VLOOKUP($A914,'Neraca Unaudited SIMAK'!$A$2:$R$1272,12,FALSE)+IF(ISNA(VLOOKUP($A914,'Mutasi Neraca'!$A$3:$S$910,12,FALSE)),0,VLOOKUP($A914,'Mutasi Neraca'!$A$3:$S$910,12,FALSE))</f>
        <v>2691000</v>
      </c>
      <c r="N914" s="42">
        <f>VLOOKUP($A914,'Neraca Unaudited SIMAK'!$A$2:$R$1272,13,FALSE)+IF(ISNA(VLOOKUP($A914,'Mutasi Neraca'!$A$3:$S$910,13,FALSE)),0,VLOOKUP($A914,'Mutasi Neraca'!$A$3:$S$910,13,FALSE))</f>
        <v>0</v>
      </c>
      <c r="O914" s="42">
        <f>VLOOKUP($A914,'Neraca Unaudited SIMAK'!$A$2:$R$1272,14,FALSE)+IF(ISNA(VLOOKUP($A914,'Mutasi Neraca'!$A$3:$S$910,14,FALSE)),0,VLOOKUP($A914,'Mutasi Neraca'!$A$3:$S$910,14,FALSE))</f>
        <v>0</v>
      </c>
      <c r="P914" s="42">
        <f>VLOOKUP($A914,'Neraca Unaudited SIMAK'!$A$2:$R$1272,15,FALSE)+IF(ISNA(VLOOKUP($A914,'Mutasi Neraca'!$A$3:$S$910,15,FALSE)),0,VLOOKUP($A914,'Mutasi Neraca'!$A$3:$S$910,15,FALSE))</f>
        <v>0</v>
      </c>
      <c r="Q914" s="42">
        <f>VLOOKUP($A914,'Neraca Unaudited SIMAK'!$A$2:$R$1272,16,FALSE)+IF(ISNA(VLOOKUP($A914,'Mutasi Neraca'!$A$3:$S$910,16,FALSE)),0,VLOOKUP($A914,'Mutasi Neraca'!$A$3:$S$910,16,FALSE))</f>
        <v>0</v>
      </c>
      <c r="R914" s="42">
        <f>VLOOKUP($A914,'Neraca Unaudited SIMAK'!$A$2:$R$1272,17,FALSE)+IF(ISNA(VLOOKUP($A914,'Mutasi Neraca'!$A$3:$S$910,17,FALSE)),0,VLOOKUP($A914,'Mutasi Neraca'!$A$3:$S$910,17,FALSE))</f>
        <v>0</v>
      </c>
      <c r="S914" s="42">
        <f t="shared" si="71"/>
        <v>2691000</v>
      </c>
    </row>
    <row r="915" spans="1:19">
      <c r="A915" s="41" t="s">
        <v>2186</v>
      </c>
      <c r="B915" s="41" t="str">
        <f t="shared" si="70"/>
        <v>005030500</v>
      </c>
      <c r="D915" s="42">
        <f>VLOOKUP($A915,'Neraca Unaudited SIMAK'!$A$2:$R$1272,3,FALSE)+IF(ISNA(VLOOKUP($A915,'Mutasi Neraca'!$A$3:$S$910,3,FALSE)),0,VLOOKUP($A915,'Mutasi Neraca'!$A$3:$S$910,3,FALSE))</f>
        <v>0</v>
      </c>
      <c r="E915" s="42">
        <f>VLOOKUP($A915,'Neraca Unaudited SIMAK'!$A$2:$R$1272,4,FALSE)+IF(ISNA(VLOOKUP($A915,'Mutasi Neraca'!$A$3:$S$910,4,FALSE)),0,VLOOKUP($A915,'Mutasi Neraca'!$A$3:$S$910,4,FALSE))</f>
        <v>0</v>
      </c>
      <c r="F915" s="42">
        <f>VLOOKUP($A915,'Neraca Unaudited SIMAK'!$A$2:$R$1272,5,FALSE)+IF(ISNA(VLOOKUP($A915,'Mutasi Neraca'!$A$3:$S$910,5,FALSE)),0,VLOOKUP($A915,'Mutasi Neraca'!$A$3:$S$910,5,FALSE))</f>
        <v>0</v>
      </c>
      <c r="G915" s="42">
        <f>VLOOKUP($A915,'Neraca Unaudited SIMAK'!$A$2:$R$1272,6,FALSE)+IF(ISNA(VLOOKUP($A915,'Mutasi Neraca'!$A$3:$S$910,6,FALSE)),0,VLOOKUP($A915,'Mutasi Neraca'!$A$3:$S$910,6,FALSE))</f>
        <v>0</v>
      </c>
      <c r="H915" s="42">
        <f>VLOOKUP($A915,'Neraca Unaudited SIMAK'!$A$2:$R$1272,7,FALSE)+IF(ISNA(VLOOKUP($A915,'Mutasi Neraca'!$A$3:$S$910,7,FALSE)),0,VLOOKUP($A915,'Mutasi Neraca'!$A$3:$S$910,7,FALSE))</f>
        <v>0</v>
      </c>
      <c r="I915" s="42">
        <f>VLOOKUP($A915,'Neraca Unaudited SIMAK'!$A$2:$R$1272,8,FALSE)+IF(ISNA(VLOOKUP($A915,'Mutasi Neraca'!$A$3:$S$910,8,FALSE)),0,VLOOKUP($A915,'Mutasi Neraca'!$A$3:$S$910,8,FALSE))</f>
        <v>0</v>
      </c>
      <c r="J915" s="42">
        <f>VLOOKUP($A915,'Neraca Unaudited SIMAK'!$A$2:$R$1272,9,FALSE)+IF(ISNA(VLOOKUP($A915,'Mutasi Neraca'!$A$3:$S$910,9,FALSE)),0,VLOOKUP($A915,'Mutasi Neraca'!$A$3:$S$910,9,FALSE))</f>
        <v>0</v>
      </c>
      <c r="K915" s="42">
        <f>VLOOKUP($A915,'Neraca Unaudited SIMAK'!$A$2:$R$1272,10,FALSE)+IF(ISNA(VLOOKUP($A915,'Mutasi Neraca'!$A$3:$S$910,10,FALSE)),0,VLOOKUP($A915,'Mutasi Neraca'!$A$3:$S$910,10,FALSE))</f>
        <v>0</v>
      </c>
      <c r="L915" s="42">
        <f>VLOOKUP($A915,'Neraca Unaudited SIMAK'!$A$2:$R$1272,11,FALSE)+IF(ISNA(VLOOKUP($A915,'Mutasi Neraca'!$A$3:$S$910,11,FALSE)),0,VLOOKUP($A915,'Mutasi Neraca'!$A$3:$S$910,11,FALSE))</f>
        <v>0</v>
      </c>
      <c r="M915" s="42">
        <f>VLOOKUP($A915,'Neraca Unaudited SIMAK'!$A$2:$R$1272,12,FALSE)+IF(ISNA(VLOOKUP($A915,'Mutasi Neraca'!$A$3:$S$910,12,FALSE)),0,VLOOKUP($A915,'Mutasi Neraca'!$A$3:$S$910,12,FALSE))</f>
        <v>0</v>
      </c>
      <c r="N915" s="42">
        <f>VLOOKUP($A915,'Neraca Unaudited SIMAK'!$A$2:$R$1272,13,FALSE)+IF(ISNA(VLOOKUP($A915,'Mutasi Neraca'!$A$3:$S$910,13,FALSE)),0,VLOOKUP($A915,'Mutasi Neraca'!$A$3:$S$910,13,FALSE))</f>
        <v>0</v>
      </c>
      <c r="O915" s="42">
        <f>VLOOKUP($A915,'Neraca Unaudited SIMAK'!$A$2:$R$1272,14,FALSE)+IF(ISNA(VLOOKUP($A915,'Mutasi Neraca'!$A$3:$S$910,14,FALSE)),0,VLOOKUP($A915,'Mutasi Neraca'!$A$3:$S$910,14,FALSE))</f>
        <v>0</v>
      </c>
      <c r="P915" s="42">
        <f>VLOOKUP($A915,'Neraca Unaudited SIMAK'!$A$2:$R$1272,15,FALSE)+IF(ISNA(VLOOKUP($A915,'Mutasi Neraca'!$A$3:$S$910,15,FALSE)),0,VLOOKUP($A915,'Mutasi Neraca'!$A$3:$S$910,15,FALSE))</f>
        <v>0</v>
      </c>
      <c r="Q915" s="42">
        <f>VLOOKUP($A915,'Neraca Unaudited SIMAK'!$A$2:$R$1272,16,FALSE)+IF(ISNA(VLOOKUP($A915,'Mutasi Neraca'!$A$3:$S$910,16,FALSE)),0,VLOOKUP($A915,'Mutasi Neraca'!$A$3:$S$910,16,FALSE))</f>
        <v>0</v>
      </c>
      <c r="R915" s="42">
        <f>VLOOKUP($A915,'Neraca Unaudited SIMAK'!$A$2:$R$1272,17,FALSE)+IF(ISNA(VLOOKUP($A915,'Mutasi Neraca'!$A$3:$S$910,17,FALSE)),0,VLOOKUP($A915,'Mutasi Neraca'!$A$3:$S$910,17,FALSE))</f>
        <v>0</v>
      </c>
      <c r="S915" s="42">
        <f t="shared" si="71"/>
        <v>0</v>
      </c>
    </row>
    <row r="916" spans="1:19">
      <c r="A916" s="41" t="s">
        <v>2027</v>
      </c>
      <c r="B916" s="41" t="str">
        <f t="shared" si="70"/>
        <v>005030500</v>
      </c>
      <c r="D916" s="42">
        <f>VLOOKUP($A916,'Neraca Unaudited SIMAK'!$A$2:$R$1272,3,FALSE)+IF(ISNA(VLOOKUP($A916,'Mutasi Neraca'!$A$3:$S$910,3,FALSE)),0,VLOOKUP($A916,'Mutasi Neraca'!$A$3:$S$910,3,FALSE))</f>
        <v>0</v>
      </c>
      <c r="E916" s="42">
        <f>VLOOKUP($A916,'Neraca Unaudited SIMAK'!$A$2:$R$1272,4,FALSE)+IF(ISNA(VLOOKUP($A916,'Mutasi Neraca'!$A$3:$S$910,4,FALSE)),0,VLOOKUP($A916,'Mutasi Neraca'!$A$3:$S$910,4,FALSE))</f>
        <v>0</v>
      </c>
      <c r="F916" s="42">
        <f>VLOOKUP($A916,'Neraca Unaudited SIMAK'!$A$2:$R$1272,5,FALSE)+IF(ISNA(VLOOKUP($A916,'Mutasi Neraca'!$A$3:$S$910,5,FALSE)),0,VLOOKUP($A916,'Mutasi Neraca'!$A$3:$S$910,5,FALSE))</f>
        <v>0</v>
      </c>
      <c r="G916" s="42">
        <f>VLOOKUP($A916,'Neraca Unaudited SIMAK'!$A$2:$R$1272,6,FALSE)+IF(ISNA(VLOOKUP($A916,'Mutasi Neraca'!$A$3:$S$910,6,FALSE)),0,VLOOKUP($A916,'Mutasi Neraca'!$A$3:$S$910,6,FALSE))</f>
        <v>0</v>
      </c>
      <c r="H916" s="42">
        <f>VLOOKUP($A916,'Neraca Unaudited SIMAK'!$A$2:$R$1272,7,FALSE)+IF(ISNA(VLOOKUP($A916,'Mutasi Neraca'!$A$3:$S$910,7,FALSE)),0,VLOOKUP($A916,'Mutasi Neraca'!$A$3:$S$910,7,FALSE))</f>
        <v>0</v>
      </c>
      <c r="I916" s="42">
        <f>VLOOKUP($A916,'Neraca Unaudited SIMAK'!$A$2:$R$1272,8,FALSE)+IF(ISNA(VLOOKUP($A916,'Mutasi Neraca'!$A$3:$S$910,8,FALSE)),0,VLOOKUP($A916,'Mutasi Neraca'!$A$3:$S$910,8,FALSE))</f>
        <v>0</v>
      </c>
      <c r="J916" s="42">
        <f>VLOOKUP($A916,'Neraca Unaudited SIMAK'!$A$2:$R$1272,9,FALSE)+IF(ISNA(VLOOKUP($A916,'Mutasi Neraca'!$A$3:$S$910,9,FALSE)),0,VLOOKUP($A916,'Mutasi Neraca'!$A$3:$S$910,9,FALSE))</f>
        <v>0</v>
      </c>
      <c r="K916" s="42">
        <f>VLOOKUP($A916,'Neraca Unaudited SIMAK'!$A$2:$R$1272,10,FALSE)+IF(ISNA(VLOOKUP($A916,'Mutasi Neraca'!$A$3:$S$910,10,FALSE)),0,VLOOKUP($A916,'Mutasi Neraca'!$A$3:$S$910,10,FALSE))</f>
        <v>0</v>
      </c>
      <c r="L916" s="42">
        <f>VLOOKUP($A916,'Neraca Unaudited SIMAK'!$A$2:$R$1272,11,FALSE)+IF(ISNA(VLOOKUP($A916,'Mutasi Neraca'!$A$3:$S$910,11,FALSE)),0,VLOOKUP($A916,'Mutasi Neraca'!$A$3:$S$910,11,FALSE))</f>
        <v>0</v>
      </c>
      <c r="M916" s="42">
        <f>VLOOKUP($A916,'Neraca Unaudited SIMAK'!$A$2:$R$1272,12,FALSE)+IF(ISNA(VLOOKUP($A916,'Mutasi Neraca'!$A$3:$S$910,12,FALSE)),0,VLOOKUP($A916,'Mutasi Neraca'!$A$3:$S$910,12,FALSE))</f>
        <v>0</v>
      </c>
      <c r="N916" s="42">
        <f>VLOOKUP($A916,'Neraca Unaudited SIMAK'!$A$2:$R$1272,13,FALSE)+IF(ISNA(VLOOKUP($A916,'Mutasi Neraca'!$A$3:$S$910,13,FALSE)),0,VLOOKUP($A916,'Mutasi Neraca'!$A$3:$S$910,13,FALSE))</f>
        <v>0</v>
      </c>
      <c r="O916" s="42">
        <f>VLOOKUP($A916,'Neraca Unaudited SIMAK'!$A$2:$R$1272,14,FALSE)+IF(ISNA(VLOOKUP($A916,'Mutasi Neraca'!$A$3:$S$910,14,FALSE)),0,VLOOKUP($A916,'Mutasi Neraca'!$A$3:$S$910,14,FALSE))</f>
        <v>0</v>
      </c>
      <c r="P916" s="42">
        <f>VLOOKUP($A916,'Neraca Unaudited SIMAK'!$A$2:$R$1272,15,FALSE)+IF(ISNA(VLOOKUP($A916,'Mutasi Neraca'!$A$3:$S$910,15,FALSE)),0,VLOOKUP($A916,'Mutasi Neraca'!$A$3:$S$910,15,FALSE))</f>
        <v>0</v>
      </c>
      <c r="Q916" s="42">
        <f>VLOOKUP($A916,'Neraca Unaudited SIMAK'!$A$2:$R$1272,16,FALSE)+IF(ISNA(VLOOKUP($A916,'Mutasi Neraca'!$A$3:$S$910,16,FALSE)),0,VLOOKUP($A916,'Mutasi Neraca'!$A$3:$S$910,16,FALSE))</f>
        <v>0</v>
      </c>
      <c r="R916" s="42">
        <f>VLOOKUP($A916,'Neraca Unaudited SIMAK'!$A$2:$R$1272,17,FALSE)+IF(ISNA(VLOOKUP($A916,'Mutasi Neraca'!$A$3:$S$910,17,FALSE)),0,VLOOKUP($A916,'Mutasi Neraca'!$A$3:$S$910,17,FALSE))</f>
        <v>0</v>
      </c>
      <c r="S916" s="42">
        <f t="shared" si="71"/>
        <v>0</v>
      </c>
    </row>
    <row r="917" spans="1:19">
      <c r="A917" s="41" t="s">
        <v>914</v>
      </c>
      <c r="B917" s="41" t="str">
        <f t="shared" si="70"/>
        <v>005030500</v>
      </c>
      <c r="D917" s="42">
        <f>VLOOKUP($A917,'Neraca Unaudited SIMAK'!$A$2:$R$1272,3,FALSE)+IF(ISNA(VLOOKUP($A917,'Mutasi Neraca'!$A$3:$S$910,3,FALSE)),0,VLOOKUP($A917,'Mutasi Neraca'!$A$3:$S$910,3,FALSE))</f>
        <v>0</v>
      </c>
      <c r="E917" s="42">
        <f>VLOOKUP($A917,'Neraca Unaudited SIMAK'!$A$2:$R$1272,4,FALSE)+IF(ISNA(VLOOKUP($A917,'Mutasi Neraca'!$A$3:$S$910,4,FALSE)),0,VLOOKUP($A917,'Mutasi Neraca'!$A$3:$S$910,4,FALSE))</f>
        <v>0</v>
      </c>
      <c r="F917" s="42">
        <f>VLOOKUP($A917,'Neraca Unaudited SIMAK'!$A$2:$R$1272,5,FALSE)+IF(ISNA(VLOOKUP($A917,'Mutasi Neraca'!$A$3:$S$910,5,FALSE)),0,VLOOKUP($A917,'Mutasi Neraca'!$A$3:$S$910,5,FALSE))</f>
        <v>0</v>
      </c>
      <c r="G917" s="42">
        <f>VLOOKUP($A917,'Neraca Unaudited SIMAK'!$A$2:$R$1272,6,FALSE)+IF(ISNA(VLOOKUP($A917,'Mutasi Neraca'!$A$3:$S$910,6,FALSE)),0,VLOOKUP($A917,'Mutasi Neraca'!$A$3:$S$910,6,FALSE))</f>
        <v>0</v>
      </c>
      <c r="H917" s="42">
        <f>VLOOKUP($A917,'Neraca Unaudited SIMAK'!$A$2:$R$1272,7,FALSE)+IF(ISNA(VLOOKUP($A917,'Mutasi Neraca'!$A$3:$S$910,7,FALSE)),0,VLOOKUP($A917,'Mutasi Neraca'!$A$3:$S$910,7,FALSE))</f>
        <v>0</v>
      </c>
      <c r="I917" s="42">
        <f>VLOOKUP($A917,'Neraca Unaudited SIMAK'!$A$2:$R$1272,8,FALSE)+IF(ISNA(VLOOKUP($A917,'Mutasi Neraca'!$A$3:$S$910,8,FALSE)),0,VLOOKUP($A917,'Mutasi Neraca'!$A$3:$S$910,8,FALSE))</f>
        <v>0</v>
      </c>
      <c r="J917" s="42">
        <f>VLOOKUP($A917,'Neraca Unaudited SIMAK'!$A$2:$R$1272,9,FALSE)+IF(ISNA(VLOOKUP($A917,'Mutasi Neraca'!$A$3:$S$910,9,FALSE)),0,VLOOKUP($A917,'Mutasi Neraca'!$A$3:$S$910,9,FALSE))</f>
        <v>0</v>
      </c>
      <c r="K917" s="42">
        <f>VLOOKUP($A917,'Neraca Unaudited SIMAK'!$A$2:$R$1272,10,FALSE)+IF(ISNA(VLOOKUP($A917,'Mutasi Neraca'!$A$3:$S$910,10,FALSE)),0,VLOOKUP($A917,'Mutasi Neraca'!$A$3:$S$910,10,FALSE))</f>
        <v>0</v>
      </c>
      <c r="L917" s="42">
        <f>VLOOKUP($A917,'Neraca Unaudited SIMAK'!$A$2:$R$1272,11,FALSE)+IF(ISNA(VLOOKUP($A917,'Mutasi Neraca'!$A$3:$S$910,11,FALSE)),0,VLOOKUP($A917,'Mutasi Neraca'!$A$3:$S$910,11,FALSE))</f>
        <v>0</v>
      </c>
      <c r="M917" s="42">
        <f>VLOOKUP($A917,'Neraca Unaudited SIMAK'!$A$2:$R$1272,12,FALSE)+IF(ISNA(VLOOKUP($A917,'Mutasi Neraca'!$A$3:$S$910,12,FALSE)),0,VLOOKUP($A917,'Mutasi Neraca'!$A$3:$S$910,12,FALSE))</f>
        <v>0</v>
      </c>
      <c r="N917" s="42">
        <f>VLOOKUP($A917,'Neraca Unaudited SIMAK'!$A$2:$R$1272,13,FALSE)+IF(ISNA(VLOOKUP($A917,'Mutasi Neraca'!$A$3:$S$910,13,FALSE)),0,VLOOKUP($A917,'Mutasi Neraca'!$A$3:$S$910,13,FALSE))</f>
        <v>0</v>
      </c>
      <c r="O917" s="42">
        <f>VLOOKUP($A917,'Neraca Unaudited SIMAK'!$A$2:$R$1272,14,FALSE)+IF(ISNA(VLOOKUP($A917,'Mutasi Neraca'!$A$3:$S$910,14,FALSE)),0,VLOOKUP($A917,'Mutasi Neraca'!$A$3:$S$910,14,FALSE))</f>
        <v>0</v>
      </c>
      <c r="P917" s="42">
        <f>VLOOKUP($A917,'Neraca Unaudited SIMAK'!$A$2:$R$1272,15,FALSE)+IF(ISNA(VLOOKUP($A917,'Mutasi Neraca'!$A$3:$S$910,15,FALSE)),0,VLOOKUP($A917,'Mutasi Neraca'!$A$3:$S$910,15,FALSE))</f>
        <v>0</v>
      </c>
      <c r="Q917" s="42">
        <f>VLOOKUP($A917,'Neraca Unaudited SIMAK'!$A$2:$R$1272,16,FALSE)+IF(ISNA(VLOOKUP($A917,'Mutasi Neraca'!$A$3:$S$910,16,FALSE)),0,VLOOKUP($A917,'Mutasi Neraca'!$A$3:$S$910,16,FALSE))</f>
        <v>0</v>
      </c>
      <c r="R917" s="42">
        <f>VLOOKUP($A917,'Neraca Unaudited SIMAK'!$A$2:$R$1272,17,FALSE)+IF(ISNA(VLOOKUP($A917,'Mutasi Neraca'!$A$3:$S$910,17,FALSE)),0,VLOOKUP($A917,'Mutasi Neraca'!$A$3:$S$910,17,FALSE))</f>
        <v>0</v>
      </c>
      <c r="S917" s="42">
        <f t="shared" si="71"/>
        <v>0</v>
      </c>
    </row>
    <row r="918" spans="1:19">
      <c r="A918" s="41" t="s">
        <v>2028</v>
      </c>
      <c r="B918" s="41" t="str">
        <f t="shared" si="70"/>
        <v>005030500</v>
      </c>
      <c r="D918" s="42">
        <f>VLOOKUP($A918,'Neraca Unaudited SIMAK'!$A$2:$R$1272,3,FALSE)+IF(ISNA(VLOOKUP($A918,'Mutasi Neraca'!$A$3:$S$910,3,FALSE)),0,VLOOKUP($A918,'Mutasi Neraca'!$A$3:$S$910,3,FALSE))</f>
        <v>0</v>
      </c>
      <c r="E918" s="42">
        <f>VLOOKUP($A918,'Neraca Unaudited SIMAK'!$A$2:$R$1272,4,FALSE)+IF(ISNA(VLOOKUP($A918,'Mutasi Neraca'!$A$3:$S$910,4,FALSE)),0,VLOOKUP($A918,'Mutasi Neraca'!$A$3:$S$910,4,FALSE))</f>
        <v>0</v>
      </c>
      <c r="F918" s="42">
        <f>VLOOKUP($A918,'Neraca Unaudited SIMAK'!$A$2:$R$1272,5,FALSE)+IF(ISNA(VLOOKUP($A918,'Mutasi Neraca'!$A$3:$S$910,5,FALSE)),0,VLOOKUP($A918,'Mutasi Neraca'!$A$3:$S$910,5,FALSE))</f>
        <v>0</v>
      </c>
      <c r="G918" s="42">
        <f>VLOOKUP($A918,'Neraca Unaudited SIMAK'!$A$2:$R$1272,6,FALSE)+IF(ISNA(VLOOKUP($A918,'Mutasi Neraca'!$A$3:$S$910,6,FALSE)),0,VLOOKUP($A918,'Mutasi Neraca'!$A$3:$S$910,6,FALSE))</f>
        <v>0</v>
      </c>
      <c r="H918" s="42">
        <f>VLOOKUP($A918,'Neraca Unaudited SIMAK'!$A$2:$R$1272,7,FALSE)+IF(ISNA(VLOOKUP($A918,'Mutasi Neraca'!$A$3:$S$910,7,FALSE)),0,VLOOKUP($A918,'Mutasi Neraca'!$A$3:$S$910,7,FALSE))</f>
        <v>0</v>
      </c>
      <c r="I918" s="42">
        <f>VLOOKUP($A918,'Neraca Unaudited SIMAK'!$A$2:$R$1272,8,FALSE)+IF(ISNA(VLOOKUP($A918,'Mutasi Neraca'!$A$3:$S$910,8,FALSE)),0,VLOOKUP($A918,'Mutasi Neraca'!$A$3:$S$910,8,FALSE))</f>
        <v>0</v>
      </c>
      <c r="J918" s="42">
        <f>VLOOKUP($A918,'Neraca Unaudited SIMAK'!$A$2:$R$1272,9,FALSE)+IF(ISNA(VLOOKUP($A918,'Mutasi Neraca'!$A$3:$S$910,9,FALSE)),0,VLOOKUP($A918,'Mutasi Neraca'!$A$3:$S$910,9,FALSE))</f>
        <v>0</v>
      </c>
      <c r="K918" s="42">
        <f>VLOOKUP($A918,'Neraca Unaudited SIMAK'!$A$2:$R$1272,10,FALSE)+IF(ISNA(VLOOKUP($A918,'Mutasi Neraca'!$A$3:$S$910,10,FALSE)),0,VLOOKUP($A918,'Mutasi Neraca'!$A$3:$S$910,10,FALSE))</f>
        <v>0</v>
      </c>
      <c r="L918" s="42">
        <f>VLOOKUP($A918,'Neraca Unaudited SIMAK'!$A$2:$R$1272,11,FALSE)+IF(ISNA(VLOOKUP($A918,'Mutasi Neraca'!$A$3:$S$910,11,FALSE)),0,VLOOKUP($A918,'Mutasi Neraca'!$A$3:$S$910,11,FALSE))</f>
        <v>0</v>
      </c>
      <c r="M918" s="42">
        <f>VLOOKUP($A918,'Neraca Unaudited SIMAK'!$A$2:$R$1272,12,FALSE)+IF(ISNA(VLOOKUP($A918,'Mutasi Neraca'!$A$3:$S$910,12,FALSE)),0,VLOOKUP($A918,'Mutasi Neraca'!$A$3:$S$910,12,FALSE))</f>
        <v>0</v>
      </c>
      <c r="N918" s="42">
        <f>VLOOKUP($A918,'Neraca Unaudited SIMAK'!$A$2:$R$1272,13,FALSE)+IF(ISNA(VLOOKUP($A918,'Mutasi Neraca'!$A$3:$S$910,13,FALSE)),0,VLOOKUP($A918,'Mutasi Neraca'!$A$3:$S$910,13,FALSE))</f>
        <v>0</v>
      </c>
      <c r="O918" s="42">
        <f>VLOOKUP($A918,'Neraca Unaudited SIMAK'!$A$2:$R$1272,14,FALSE)+IF(ISNA(VLOOKUP($A918,'Mutasi Neraca'!$A$3:$S$910,14,FALSE)),0,VLOOKUP($A918,'Mutasi Neraca'!$A$3:$S$910,14,FALSE))</f>
        <v>0</v>
      </c>
      <c r="P918" s="42">
        <f>VLOOKUP($A918,'Neraca Unaudited SIMAK'!$A$2:$R$1272,15,FALSE)+IF(ISNA(VLOOKUP($A918,'Mutasi Neraca'!$A$3:$S$910,15,FALSE)),0,VLOOKUP($A918,'Mutasi Neraca'!$A$3:$S$910,15,FALSE))</f>
        <v>0</v>
      </c>
      <c r="Q918" s="42">
        <f>VLOOKUP($A918,'Neraca Unaudited SIMAK'!$A$2:$R$1272,16,FALSE)+IF(ISNA(VLOOKUP($A918,'Mutasi Neraca'!$A$3:$S$910,16,FALSE)),0,VLOOKUP($A918,'Mutasi Neraca'!$A$3:$S$910,16,FALSE))</f>
        <v>0</v>
      </c>
      <c r="R918" s="42">
        <f>VLOOKUP($A918,'Neraca Unaudited SIMAK'!$A$2:$R$1272,17,FALSE)+IF(ISNA(VLOOKUP($A918,'Mutasi Neraca'!$A$3:$S$910,17,FALSE)),0,VLOOKUP($A918,'Mutasi Neraca'!$A$3:$S$910,17,FALSE))</f>
        <v>0</v>
      </c>
      <c r="S918" s="42">
        <f t="shared" si="71"/>
        <v>0</v>
      </c>
    </row>
    <row r="919" spans="1:19">
      <c r="A919" s="41" t="s">
        <v>2029</v>
      </c>
      <c r="B919" s="41" t="str">
        <f t="shared" si="70"/>
        <v>005030500</v>
      </c>
      <c r="D919" s="42">
        <f>VLOOKUP($A919,'Neraca Unaudited SIMAK'!$A$2:$R$1272,3,FALSE)+IF(ISNA(VLOOKUP($A919,'Mutasi Neraca'!$A$3:$S$910,3,FALSE)),0,VLOOKUP($A919,'Mutasi Neraca'!$A$3:$S$910,3,FALSE))</f>
        <v>0</v>
      </c>
      <c r="E919" s="42">
        <f>VLOOKUP($A919,'Neraca Unaudited SIMAK'!$A$2:$R$1272,4,FALSE)+IF(ISNA(VLOOKUP($A919,'Mutasi Neraca'!$A$3:$S$910,4,FALSE)),0,VLOOKUP($A919,'Mutasi Neraca'!$A$3:$S$910,4,FALSE))</f>
        <v>0</v>
      </c>
      <c r="F919" s="42">
        <f>VLOOKUP($A919,'Neraca Unaudited SIMAK'!$A$2:$R$1272,5,FALSE)+IF(ISNA(VLOOKUP($A919,'Mutasi Neraca'!$A$3:$S$910,5,FALSE)),0,VLOOKUP($A919,'Mutasi Neraca'!$A$3:$S$910,5,FALSE))</f>
        <v>0</v>
      </c>
      <c r="G919" s="42">
        <f>VLOOKUP($A919,'Neraca Unaudited SIMAK'!$A$2:$R$1272,6,FALSE)+IF(ISNA(VLOOKUP($A919,'Mutasi Neraca'!$A$3:$S$910,6,FALSE)),0,VLOOKUP($A919,'Mutasi Neraca'!$A$3:$S$910,6,FALSE))</f>
        <v>0</v>
      </c>
      <c r="H919" s="42">
        <f>VLOOKUP($A919,'Neraca Unaudited SIMAK'!$A$2:$R$1272,7,FALSE)+IF(ISNA(VLOOKUP($A919,'Mutasi Neraca'!$A$3:$S$910,7,FALSE)),0,VLOOKUP($A919,'Mutasi Neraca'!$A$3:$S$910,7,FALSE))</f>
        <v>0</v>
      </c>
      <c r="I919" s="42">
        <f>VLOOKUP($A919,'Neraca Unaudited SIMAK'!$A$2:$R$1272,8,FALSE)+IF(ISNA(VLOOKUP($A919,'Mutasi Neraca'!$A$3:$S$910,8,FALSE)),0,VLOOKUP($A919,'Mutasi Neraca'!$A$3:$S$910,8,FALSE))</f>
        <v>0</v>
      </c>
      <c r="J919" s="42">
        <f>VLOOKUP($A919,'Neraca Unaudited SIMAK'!$A$2:$R$1272,9,FALSE)+IF(ISNA(VLOOKUP($A919,'Mutasi Neraca'!$A$3:$S$910,9,FALSE)),0,VLOOKUP($A919,'Mutasi Neraca'!$A$3:$S$910,9,FALSE))</f>
        <v>0</v>
      </c>
      <c r="K919" s="42">
        <f>VLOOKUP($A919,'Neraca Unaudited SIMAK'!$A$2:$R$1272,10,FALSE)+IF(ISNA(VLOOKUP($A919,'Mutasi Neraca'!$A$3:$S$910,10,FALSE)),0,VLOOKUP($A919,'Mutasi Neraca'!$A$3:$S$910,10,FALSE))</f>
        <v>0</v>
      </c>
      <c r="L919" s="42">
        <f>VLOOKUP($A919,'Neraca Unaudited SIMAK'!$A$2:$R$1272,11,FALSE)+IF(ISNA(VLOOKUP($A919,'Mutasi Neraca'!$A$3:$S$910,11,FALSE)),0,VLOOKUP($A919,'Mutasi Neraca'!$A$3:$S$910,11,FALSE))</f>
        <v>0</v>
      </c>
      <c r="M919" s="42">
        <f>VLOOKUP($A919,'Neraca Unaudited SIMAK'!$A$2:$R$1272,12,FALSE)+IF(ISNA(VLOOKUP($A919,'Mutasi Neraca'!$A$3:$S$910,12,FALSE)),0,VLOOKUP($A919,'Mutasi Neraca'!$A$3:$S$910,12,FALSE))</f>
        <v>0</v>
      </c>
      <c r="N919" s="42">
        <f>VLOOKUP($A919,'Neraca Unaudited SIMAK'!$A$2:$R$1272,13,FALSE)+IF(ISNA(VLOOKUP($A919,'Mutasi Neraca'!$A$3:$S$910,13,FALSE)),0,VLOOKUP($A919,'Mutasi Neraca'!$A$3:$S$910,13,FALSE))</f>
        <v>0</v>
      </c>
      <c r="O919" s="42">
        <f>VLOOKUP($A919,'Neraca Unaudited SIMAK'!$A$2:$R$1272,14,FALSE)+IF(ISNA(VLOOKUP($A919,'Mutasi Neraca'!$A$3:$S$910,14,FALSE)),0,VLOOKUP($A919,'Mutasi Neraca'!$A$3:$S$910,14,FALSE))</f>
        <v>0</v>
      </c>
      <c r="P919" s="42">
        <f>VLOOKUP($A919,'Neraca Unaudited SIMAK'!$A$2:$R$1272,15,FALSE)+IF(ISNA(VLOOKUP($A919,'Mutasi Neraca'!$A$3:$S$910,15,FALSE)),0,VLOOKUP($A919,'Mutasi Neraca'!$A$3:$S$910,15,FALSE))</f>
        <v>0</v>
      </c>
      <c r="Q919" s="42">
        <f>VLOOKUP($A919,'Neraca Unaudited SIMAK'!$A$2:$R$1272,16,FALSE)+IF(ISNA(VLOOKUP($A919,'Mutasi Neraca'!$A$3:$S$910,16,FALSE)),0,VLOOKUP($A919,'Mutasi Neraca'!$A$3:$S$910,16,FALSE))</f>
        <v>0</v>
      </c>
      <c r="R919" s="42">
        <f>VLOOKUP($A919,'Neraca Unaudited SIMAK'!$A$2:$R$1272,17,FALSE)+IF(ISNA(VLOOKUP($A919,'Mutasi Neraca'!$A$3:$S$910,17,FALSE)),0,VLOOKUP($A919,'Mutasi Neraca'!$A$3:$S$910,17,FALSE))</f>
        <v>0</v>
      </c>
      <c r="S919" s="42">
        <f t="shared" si="71"/>
        <v>0</v>
      </c>
    </row>
    <row r="920" spans="1:19">
      <c r="A920" s="41" t="s">
        <v>2187</v>
      </c>
      <c r="B920" s="41" t="str">
        <f t="shared" si="70"/>
        <v>005030500</v>
      </c>
      <c r="D920" s="42">
        <f>VLOOKUP($A920,'Neraca Unaudited SIMAK'!$A$2:$R$1272,3,FALSE)+IF(ISNA(VLOOKUP($A920,'Mutasi Neraca'!$A$3:$S$910,3,FALSE)),0,VLOOKUP($A920,'Mutasi Neraca'!$A$3:$S$910,3,FALSE))</f>
        <v>0</v>
      </c>
      <c r="E920" s="42">
        <f>VLOOKUP($A920,'Neraca Unaudited SIMAK'!$A$2:$R$1272,4,FALSE)+IF(ISNA(VLOOKUP($A920,'Mutasi Neraca'!$A$3:$S$910,4,FALSE)),0,VLOOKUP($A920,'Mutasi Neraca'!$A$3:$S$910,4,FALSE))</f>
        <v>0</v>
      </c>
      <c r="F920" s="42">
        <f>VLOOKUP($A920,'Neraca Unaudited SIMAK'!$A$2:$R$1272,5,FALSE)+IF(ISNA(VLOOKUP($A920,'Mutasi Neraca'!$A$3:$S$910,5,FALSE)),0,VLOOKUP($A920,'Mutasi Neraca'!$A$3:$S$910,5,FALSE))</f>
        <v>0</v>
      </c>
      <c r="G920" s="42">
        <f>VLOOKUP($A920,'Neraca Unaudited SIMAK'!$A$2:$R$1272,6,FALSE)+IF(ISNA(VLOOKUP($A920,'Mutasi Neraca'!$A$3:$S$910,6,FALSE)),0,VLOOKUP($A920,'Mutasi Neraca'!$A$3:$S$910,6,FALSE))</f>
        <v>0</v>
      </c>
      <c r="H920" s="42">
        <f>VLOOKUP($A920,'Neraca Unaudited SIMAK'!$A$2:$R$1272,7,FALSE)+IF(ISNA(VLOOKUP($A920,'Mutasi Neraca'!$A$3:$S$910,7,FALSE)),0,VLOOKUP($A920,'Mutasi Neraca'!$A$3:$S$910,7,FALSE))</f>
        <v>0</v>
      </c>
      <c r="I920" s="42">
        <f>VLOOKUP($A920,'Neraca Unaudited SIMAK'!$A$2:$R$1272,8,FALSE)+IF(ISNA(VLOOKUP($A920,'Mutasi Neraca'!$A$3:$S$910,8,FALSE)),0,VLOOKUP($A920,'Mutasi Neraca'!$A$3:$S$910,8,FALSE))</f>
        <v>0</v>
      </c>
      <c r="J920" s="42">
        <f>VLOOKUP($A920,'Neraca Unaudited SIMAK'!$A$2:$R$1272,9,FALSE)+IF(ISNA(VLOOKUP($A920,'Mutasi Neraca'!$A$3:$S$910,9,FALSE)),0,VLOOKUP($A920,'Mutasi Neraca'!$A$3:$S$910,9,FALSE))</f>
        <v>0</v>
      </c>
      <c r="K920" s="42">
        <f>VLOOKUP($A920,'Neraca Unaudited SIMAK'!$A$2:$R$1272,10,FALSE)+IF(ISNA(VLOOKUP($A920,'Mutasi Neraca'!$A$3:$S$910,10,FALSE)),0,VLOOKUP($A920,'Mutasi Neraca'!$A$3:$S$910,10,FALSE))</f>
        <v>0</v>
      </c>
      <c r="L920" s="42">
        <f>VLOOKUP($A920,'Neraca Unaudited SIMAK'!$A$2:$R$1272,11,FALSE)+IF(ISNA(VLOOKUP($A920,'Mutasi Neraca'!$A$3:$S$910,11,FALSE)),0,VLOOKUP($A920,'Mutasi Neraca'!$A$3:$S$910,11,FALSE))</f>
        <v>0</v>
      </c>
      <c r="M920" s="42">
        <f>VLOOKUP($A920,'Neraca Unaudited SIMAK'!$A$2:$R$1272,12,FALSE)+IF(ISNA(VLOOKUP($A920,'Mutasi Neraca'!$A$3:$S$910,12,FALSE)),0,VLOOKUP($A920,'Mutasi Neraca'!$A$3:$S$910,12,FALSE))</f>
        <v>0</v>
      </c>
      <c r="N920" s="42">
        <f>VLOOKUP($A920,'Neraca Unaudited SIMAK'!$A$2:$R$1272,13,FALSE)+IF(ISNA(VLOOKUP($A920,'Mutasi Neraca'!$A$3:$S$910,13,FALSE)),0,VLOOKUP($A920,'Mutasi Neraca'!$A$3:$S$910,13,FALSE))</f>
        <v>0</v>
      </c>
      <c r="O920" s="42">
        <f>VLOOKUP($A920,'Neraca Unaudited SIMAK'!$A$2:$R$1272,14,FALSE)+IF(ISNA(VLOOKUP($A920,'Mutasi Neraca'!$A$3:$S$910,14,FALSE)),0,VLOOKUP($A920,'Mutasi Neraca'!$A$3:$S$910,14,FALSE))</f>
        <v>0</v>
      </c>
      <c r="P920" s="42">
        <f>VLOOKUP($A920,'Neraca Unaudited SIMAK'!$A$2:$R$1272,15,FALSE)+IF(ISNA(VLOOKUP($A920,'Mutasi Neraca'!$A$3:$S$910,15,FALSE)),0,VLOOKUP($A920,'Mutasi Neraca'!$A$3:$S$910,15,FALSE))</f>
        <v>0</v>
      </c>
      <c r="Q920" s="42">
        <f>VLOOKUP($A920,'Neraca Unaudited SIMAK'!$A$2:$R$1272,16,FALSE)+IF(ISNA(VLOOKUP($A920,'Mutasi Neraca'!$A$3:$S$910,16,FALSE)),0,VLOOKUP($A920,'Mutasi Neraca'!$A$3:$S$910,16,FALSE))</f>
        <v>0</v>
      </c>
      <c r="R920" s="42">
        <f>VLOOKUP($A920,'Neraca Unaudited SIMAK'!$A$2:$R$1272,17,FALSE)+IF(ISNA(VLOOKUP($A920,'Mutasi Neraca'!$A$3:$S$910,17,FALSE)),0,VLOOKUP($A920,'Mutasi Neraca'!$A$3:$S$910,17,FALSE))</f>
        <v>0</v>
      </c>
      <c r="S920" s="42">
        <f t="shared" si="71"/>
        <v>0</v>
      </c>
    </row>
    <row r="921" spans="1:19">
      <c r="A921" s="41" t="s">
        <v>2188</v>
      </c>
      <c r="B921" s="41" t="str">
        <f t="shared" si="70"/>
        <v>005030500</v>
      </c>
      <c r="D921" s="42">
        <f>VLOOKUP($A921,'Neraca Unaudited SIMAK'!$A$2:$R$1272,3,FALSE)+IF(ISNA(VLOOKUP($A921,'Mutasi Neraca'!$A$3:$S$910,3,FALSE)),0,VLOOKUP($A921,'Mutasi Neraca'!$A$3:$S$910,3,FALSE))</f>
        <v>0</v>
      </c>
      <c r="E921" s="42">
        <f>VLOOKUP($A921,'Neraca Unaudited SIMAK'!$A$2:$R$1272,4,FALSE)+IF(ISNA(VLOOKUP($A921,'Mutasi Neraca'!$A$3:$S$910,4,FALSE)),0,VLOOKUP($A921,'Mutasi Neraca'!$A$3:$S$910,4,FALSE))</f>
        <v>0</v>
      </c>
      <c r="F921" s="42">
        <f>VLOOKUP($A921,'Neraca Unaudited SIMAK'!$A$2:$R$1272,5,FALSE)+IF(ISNA(VLOOKUP($A921,'Mutasi Neraca'!$A$3:$S$910,5,FALSE)),0,VLOOKUP($A921,'Mutasi Neraca'!$A$3:$S$910,5,FALSE))</f>
        <v>0</v>
      </c>
      <c r="G921" s="42">
        <f>VLOOKUP($A921,'Neraca Unaudited SIMAK'!$A$2:$R$1272,6,FALSE)+IF(ISNA(VLOOKUP($A921,'Mutasi Neraca'!$A$3:$S$910,6,FALSE)),0,VLOOKUP($A921,'Mutasi Neraca'!$A$3:$S$910,6,FALSE))</f>
        <v>0</v>
      </c>
      <c r="H921" s="42">
        <f>VLOOKUP($A921,'Neraca Unaudited SIMAK'!$A$2:$R$1272,7,FALSE)+IF(ISNA(VLOOKUP($A921,'Mutasi Neraca'!$A$3:$S$910,7,FALSE)),0,VLOOKUP($A921,'Mutasi Neraca'!$A$3:$S$910,7,FALSE))</f>
        <v>0</v>
      </c>
      <c r="I921" s="42">
        <f>VLOOKUP($A921,'Neraca Unaudited SIMAK'!$A$2:$R$1272,8,FALSE)+IF(ISNA(VLOOKUP($A921,'Mutasi Neraca'!$A$3:$S$910,8,FALSE)),0,VLOOKUP($A921,'Mutasi Neraca'!$A$3:$S$910,8,FALSE))</f>
        <v>0</v>
      </c>
      <c r="J921" s="42">
        <f>VLOOKUP($A921,'Neraca Unaudited SIMAK'!$A$2:$R$1272,9,FALSE)+IF(ISNA(VLOOKUP($A921,'Mutasi Neraca'!$A$3:$S$910,9,FALSE)),0,VLOOKUP($A921,'Mutasi Neraca'!$A$3:$S$910,9,FALSE))</f>
        <v>0</v>
      </c>
      <c r="K921" s="42">
        <f>VLOOKUP($A921,'Neraca Unaudited SIMAK'!$A$2:$R$1272,10,FALSE)+IF(ISNA(VLOOKUP($A921,'Mutasi Neraca'!$A$3:$S$910,10,FALSE)),0,VLOOKUP($A921,'Mutasi Neraca'!$A$3:$S$910,10,FALSE))</f>
        <v>0</v>
      </c>
      <c r="L921" s="42">
        <f>VLOOKUP($A921,'Neraca Unaudited SIMAK'!$A$2:$R$1272,11,FALSE)+IF(ISNA(VLOOKUP($A921,'Mutasi Neraca'!$A$3:$S$910,11,FALSE)),0,VLOOKUP($A921,'Mutasi Neraca'!$A$3:$S$910,11,FALSE))</f>
        <v>0</v>
      </c>
      <c r="M921" s="42">
        <f>VLOOKUP($A921,'Neraca Unaudited SIMAK'!$A$2:$R$1272,12,FALSE)+IF(ISNA(VLOOKUP($A921,'Mutasi Neraca'!$A$3:$S$910,12,FALSE)),0,VLOOKUP($A921,'Mutasi Neraca'!$A$3:$S$910,12,FALSE))</f>
        <v>0</v>
      </c>
      <c r="N921" s="42">
        <f>VLOOKUP($A921,'Neraca Unaudited SIMAK'!$A$2:$R$1272,13,FALSE)+IF(ISNA(VLOOKUP($A921,'Mutasi Neraca'!$A$3:$S$910,13,FALSE)),0,VLOOKUP($A921,'Mutasi Neraca'!$A$3:$S$910,13,FALSE))</f>
        <v>0</v>
      </c>
      <c r="O921" s="42">
        <f>VLOOKUP($A921,'Neraca Unaudited SIMAK'!$A$2:$R$1272,14,FALSE)+IF(ISNA(VLOOKUP($A921,'Mutasi Neraca'!$A$3:$S$910,14,FALSE)),0,VLOOKUP($A921,'Mutasi Neraca'!$A$3:$S$910,14,FALSE))</f>
        <v>0</v>
      </c>
      <c r="P921" s="42">
        <f>VLOOKUP($A921,'Neraca Unaudited SIMAK'!$A$2:$R$1272,15,FALSE)+IF(ISNA(VLOOKUP($A921,'Mutasi Neraca'!$A$3:$S$910,15,FALSE)),0,VLOOKUP($A921,'Mutasi Neraca'!$A$3:$S$910,15,FALSE))</f>
        <v>0</v>
      </c>
      <c r="Q921" s="42">
        <f>VLOOKUP($A921,'Neraca Unaudited SIMAK'!$A$2:$R$1272,16,FALSE)+IF(ISNA(VLOOKUP($A921,'Mutasi Neraca'!$A$3:$S$910,16,FALSE)),0,VLOOKUP($A921,'Mutasi Neraca'!$A$3:$S$910,16,FALSE))</f>
        <v>0</v>
      </c>
      <c r="R921" s="42">
        <f>VLOOKUP($A921,'Neraca Unaudited SIMAK'!$A$2:$R$1272,17,FALSE)+IF(ISNA(VLOOKUP($A921,'Mutasi Neraca'!$A$3:$S$910,17,FALSE)),0,VLOOKUP($A921,'Mutasi Neraca'!$A$3:$S$910,17,FALSE))</f>
        <v>0</v>
      </c>
      <c r="S921" s="42">
        <f t="shared" si="71"/>
        <v>0</v>
      </c>
    </row>
    <row r="922" spans="1:19">
      <c r="A922" s="41" t="s">
        <v>915</v>
      </c>
      <c r="B922" s="41" t="str">
        <f t="shared" si="70"/>
        <v>005030500</v>
      </c>
      <c r="D922" s="42">
        <f>VLOOKUP($A922,'Neraca Unaudited SIMAK'!$A$2:$R$1272,3,FALSE)+IF(ISNA(VLOOKUP($A922,'Mutasi Neraca'!$A$3:$S$910,3,FALSE)),0,VLOOKUP($A922,'Mutasi Neraca'!$A$3:$S$910,3,FALSE))</f>
        <v>614000</v>
      </c>
      <c r="E922" s="42">
        <f>VLOOKUP($A922,'Neraca Unaudited SIMAK'!$A$2:$R$1272,4,FALSE)+IF(ISNA(VLOOKUP($A922,'Mutasi Neraca'!$A$3:$S$910,4,FALSE)),0,VLOOKUP($A922,'Mutasi Neraca'!$A$3:$S$910,4,FALSE))</f>
        <v>0</v>
      </c>
      <c r="F922" s="42">
        <f>VLOOKUP($A922,'Neraca Unaudited SIMAK'!$A$2:$R$1272,5,FALSE)+IF(ISNA(VLOOKUP($A922,'Mutasi Neraca'!$A$3:$S$910,5,FALSE)),0,VLOOKUP($A922,'Mutasi Neraca'!$A$3:$S$910,5,FALSE))</f>
        <v>0</v>
      </c>
      <c r="G922" s="42">
        <f>VLOOKUP($A922,'Neraca Unaudited SIMAK'!$A$2:$R$1272,6,FALSE)+IF(ISNA(VLOOKUP($A922,'Mutasi Neraca'!$A$3:$S$910,6,FALSE)),0,VLOOKUP($A922,'Mutasi Neraca'!$A$3:$S$910,6,FALSE))</f>
        <v>0</v>
      </c>
      <c r="H922" s="42">
        <f>VLOOKUP($A922,'Neraca Unaudited SIMAK'!$A$2:$R$1272,7,FALSE)+IF(ISNA(VLOOKUP($A922,'Mutasi Neraca'!$A$3:$S$910,7,FALSE)),0,VLOOKUP($A922,'Mutasi Neraca'!$A$3:$S$910,7,FALSE))</f>
        <v>0</v>
      </c>
      <c r="I922" s="42">
        <f>VLOOKUP($A922,'Neraca Unaudited SIMAK'!$A$2:$R$1272,8,FALSE)+IF(ISNA(VLOOKUP($A922,'Mutasi Neraca'!$A$3:$S$910,8,FALSE)),0,VLOOKUP($A922,'Mutasi Neraca'!$A$3:$S$910,8,FALSE))</f>
        <v>0</v>
      </c>
      <c r="J922" s="42">
        <f>VLOOKUP($A922,'Neraca Unaudited SIMAK'!$A$2:$R$1272,9,FALSE)+IF(ISNA(VLOOKUP($A922,'Mutasi Neraca'!$A$3:$S$910,9,FALSE)),0,VLOOKUP($A922,'Mutasi Neraca'!$A$3:$S$910,9,FALSE))</f>
        <v>0</v>
      </c>
      <c r="K922" s="42">
        <f>VLOOKUP($A922,'Neraca Unaudited SIMAK'!$A$2:$R$1272,10,FALSE)+IF(ISNA(VLOOKUP($A922,'Mutasi Neraca'!$A$3:$S$910,10,FALSE)),0,VLOOKUP($A922,'Mutasi Neraca'!$A$3:$S$910,10,FALSE))</f>
        <v>0</v>
      </c>
      <c r="L922" s="42">
        <f>VLOOKUP($A922,'Neraca Unaudited SIMAK'!$A$2:$R$1272,11,FALSE)+IF(ISNA(VLOOKUP($A922,'Mutasi Neraca'!$A$3:$S$910,11,FALSE)),0,VLOOKUP($A922,'Mutasi Neraca'!$A$3:$S$910,11,FALSE))</f>
        <v>0</v>
      </c>
      <c r="M922" s="42">
        <f>VLOOKUP($A922,'Neraca Unaudited SIMAK'!$A$2:$R$1272,12,FALSE)+IF(ISNA(VLOOKUP($A922,'Mutasi Neraca'!$A$3:$S$910,12,FALSE)),0,VLOOKUP($A922,'Mutasi Neraca'!$A$3:$S$910,12,FALSE))</f>
        <v>614000</v>
      </c>
      <c r="N922" s="42">
        <f>VLOOKUP($A922,'Neraca Unaudited SIMAK'!$A$2:$R$1272,13,FALSE)+IF(ISNA(VLOOKUP($A922,'Mutasi Neraca'!$A$3:$S$910,13,FALSE)),0,VLOOKUP($A922,'Mutasi Neraca'!$A$3:$S$910,13,FALSE))</f>
        <v>0</v>
      </c>
      <c r="O922" s="42">
        <f>VLOOKUP($A922,'Neraca Unaudited SIMAK'!$A$2:$R$1272,14,FALSE)+IF(ISNA(VLOOKUP($A922,'Mutasi Neraca'!$A$3:$S$910,14,FALSE)),0,VLOOKUP($A922,'Mutasi Neraca'!$A$3:$S$910,14,FALSE))</f>
        <v>0</v>
      </c>
      <c r="P922" s="42">
        <f>VLOOKUP($A922,'Neraca Unaudited SIMAK'!$A$2:$R$1272,15,FALSE)+IF(ISNA(VLOOKUP($A922,'Mutasi Neraca'!$A$3:$S$910,15,FALSE)),0,VLOOKUP($A922,'Mutasi Neraca'!$A$3:$S$910,15,FALSE))</f>
        <v>0</v>
      </c>
      <c r="Q922" s="42">
        <f>VLOOKUP($A922,'Neraca Unaudited SIMAK'!$A$2:$R$1272,16,FALSE)+IF(ISNA(VLOOKUP($A922,'Mutasi Neraca'!$A$3:$S$910,16,FALSE)),0,VLOOKUP($A922,'Mutasi Neraca'!$A$3:$S$910,16,FALSE))</f>
        <v>0</v>
      </c>
      <c r="R922" s="42">
        <f>VLOOKUP($A922,'Neraca Unaudited SIMAK'!$A$2:$R$1272,17,FALSE)+IF(ISNA(VLOOKUP($A922,'Mutasi Neraca'!$A$3:$S$910,17,FALSE)),0,VLOOKUP($A922,'Mutasi Neraca'!$A$3:$S$910,17,FALSE))</f>
        <v>0</v>
      </c>
      <c r="S922" s="42">
        <f t="shared" si="71"/>
        <v>614000</v>
      </c>
    </row>
    <row r="923" spans="1:19">
      <c r="A923" s="41" t="s">
        <v>916</v>
      </c>
      <c r="B923" s="41" t="str">
        <f t="shared" si="70"/>
        <v>005030500</v>
      </c>
      <c r="D923" s="42">
        <f>VLOOKUP($A923,'Neraca Unaudited SIMAK'!$A$2:$R$1272,3,FALSE)+IF(ISNA(VLOOKUP($A923,'Mutasi Neraca'!$A$3:$S$910,3,FALSE)),0,VLOOKUP($A923,'Mutasi Neraca'!$A$3:$S$910,3,FALSE))</f>
        <v>0</v>
      </c>
      <c r="E923" s="42">
        <f>VLOOKUP($A923,'Neraca Unaudited SIMAK'!$A$2:$R$1272,4,FALSE)+IF(ISNA(VLOOKUP($A923,'Mutasi Neraca'!$A$3:$S$910,4,FALSE)),0,VLOOKUP($A923,'Mutasi Neraca'!$A$3:$S$910,4,FALSE))</f>
        <v>0</v>
      </c>
      <c r="F923" s="42">
        <f>VLOOKUP($A923,'Neraca Unaudited SIMAK'!$A$2:$R$1272,5,FALSE)+IF(ISNA(VLOOKUP($A923,'Mutasi Neraca'!$A$3:$S$910,5,FALSE)),0,VLOOKUP($A923,'Mutasi Neraca'!$A$3:$S$910,5,FALSE))</f>
        <v>0</v>
      </c>
      <c r="G923" s="42">
        <f>VLOOKUP($A923,'Neraca Unaudited SIMAK'!$A$2:$R$1272,6,FALSE)+IF(ISNA(VLOOKUP($A923,'Mutasi Neraca'!$A$3:$S$910,6,FALSE)),0,VLOOKUP($A923,'Mutasi Neraca'!$A$3:$S$910,6,FALSE))</f>
        <v>0</v>
      </c>
      <c r="H923" s="42">
        <f>VLOOKUP($A923,'Neraca Unaudited SIMAK'!$A$2:$R$1272,7,FALSE)+IF(ISNA(VLOOKUP($A923,'Mutasi Neraca'!$A$3:$S$910,7,FALSE)),0,VLOOKUP($A923,'Mutasi Neraca'!$A$3:$S$910,7,FALSE))</f>
        <v>0</v>
      </c>
      <c r="I923" s="42">
        <f>VLOOKUP($A923,'Neraca Unaudited SIMAK'!$A$2:$R$1272,8,FALSE)+IF(ISNA(VLOOKUP($A923,'Mutasi Neraca'!$A$3:$S$910,8,FALSE)),0,VLOOKUP($A923,'Mutasi Neraca'!$A$3:$S$910,8,FALSE))</f>
        <v>0</v>
      </c>
      <c r="J923" s="42">
        <f>VLOOKUP($A923,'Neraca Unaudited SIMAK'!$A$2:$R$1272,9,FALSE)+IF(ISNA(VLOOKUP($A923,'Mutasi Neraca'!$A$3:$S$910,9,FALSE)),0,VLOOKUP($A923,'Mutasi Neraca'!$A$3:$S$910,9,FALSE))</f>
        <v>0</v>
      </c>
      <c r="K923" s="42">
        <f>VLOOKUP($A923,'Neraca Unaudited SIMAK'!$A$2:$R$1272,10,FALSE)+IF(ISNA(VLOOKUP($A923,'Mutasi Neraca'!$A$3:$S$910,10,FALSE)),0,VLOOKUP($A923,'Mutasi Neraca'!$A$3:$S$910,10,FALSE))</f>
        <v>0</v>
      </c>
      <c r="L923" s="42">
        <f>VLOOKUP($A923,'Neraca Unaudited SIMAK'!$A$2:$R$1272,11,FALSE)+IF(ISNA(VLOOKUP($A923,'Mutasi Neraca'!$A$3:$S$910,11,FALSE)),0,VLOOKUP($A923,'Mutasi Neraca'!$A$3:$S$910,11,FALSE))</f>
        <v>0</v>
      </c>
      <c r="M923" s="42">
        <f>VLOOKUP($A923,'Neraca Unaudited SIMAK'!$A$2:$R$1272,12,FALSE)+IF(ISNA(VLOOKUP($A923,'Mutasi Neraca'!$A$3:$S$910,12,FALSE)),0,VLOOKUP($A923,'Mutasi Neraca'!$A$3:$S$910,12,FALSE))</f>
        <v>0</v>
      </c>
      <c r="N923" s="42">
        <f>VLOOKUP($A923,'Neraca Unaudited SIMAK'!$A$2:$R$1272,13,FALSE)+IF(ISNA(VLOOKUP($A923,'Mutasi Neraca'!$A$3:$S$910,13,FALSE)),0,VLOOKUP($A923,'Mutasi Neraca'!$A$3:$S$910,13,FALSE))</f>
        <v>0</v>
      </c>
      <c r="O923" s="42">
        <f>VLOOKUP($A923,'Neraca Unaudited SIMAK'!$A$2:$R$1272,14,FALSE)+IF(ISNA(VLOOKUP($A923,'Mutasi Neraca'!$A$3:$S$910,14,FALSE)),0,VLOOKUP($A923,'Mutasi Neraca'!$A$3:$S$910,14,FALSE))</f>
        <v>0</v>
      </c>
      <c r="P923" s="42">
        <f>VLOOKUP($A923,'Neraca Unaudited SIMAK'!$A$2:$R$1272,15,FALSE)+IF(ISNA(VLOOKUP($A923,'Mutasi Neraca'!$A$3:$S$910,15,FALSE)),0,VLOOKUP($A923,'Mutasi Neraca'!$A$3:$S$910,15,FALSE))</f>
        <v>0</v>
      </c>
      <c r="Q923" s="42">
        <f>VLOOKUP($A923,'Neraca Unaudited SIMAK'!$A$2:$R$1272,16,FALSE)+IF(ISNA(VLOOKUP($A923,'Mutasi Neraca'!$A$3:$S$910,16,FALSE)),0,VLOOKUP($A923,'Mutasi Neraca'!$A$3:$S$910,16,FALSE))</f>
        <v>0</v>
      </c>
      <c r="R923" s="42">
        <f>VLOOKUP($A923,'Neraca Unaudited SIMAK'!$A$2:$R$1272,17,FALSE)+IF(ISNA(VLOOKUP($A923,'Mutasi Neraca'!$A$3:$S$910,17,FALSE)),0,VLOOKUP($A923,'Mutasi Neraca'!$A$3:$S$910,17,FALSE))</f>
        <v>0</v>
      </c>
      <c r="S923" s="42">
        <f t="shared" si="71"/>
        <v>0</v>
      </c>
    </row>
    <row r="924" spans="1:19">
      <c r="A924" s="41" t="s">
        <v>917</v>
      </c>
      <c r="B924" s="41" t="str">
        <f t="shared" si="70"/>
        <v>005030500</v>
      </c>
      <c r="D924" s="42">
        <f>VLOOKUP($A924,'Neraca Unaudited SIMAK'!$A$2:$R$1272,3,FALSE)+IF(ISNA(VLOOKUP($A924,'Mutasi Neraca'!$A$3:$S$910,3,FALSE)),0,VLOOKUP($A924,'Mutasi Neraca'!$A$3:$S$910,3,FALSE))</f>
        <v>0</v>
      </c>
      <c r="E924" s="42">
        <f>VLOOKUP($A924,'Neraca Unaudited SIMAK'!$A$2:$R$1272,4,FALSE)+IF(ISNA(VLOOKUP($A924,'Mutasi Neraca'!$A$3:$S$910,4,FALSE)),0,VLOOKUP($A924,'Mutasi Neraca'!$A$3:$S$910,4,FALSE))</f>
        <v>0</v>
      </c>
      <c r="F924" s="42">
        <f>VLOOKUP($A924,'Neraca Unaudited SIMAK'!$A$2:$R$1272,5,FALSE)+IF(ISNA(VLOOKUP($A924,'Mutasi Neraca'!$A$3:$S$910,5,FALSE)),0,VLOOKUP($A924,'Mutasi Neraca'!$A$3:$S$910,5,FALSE))</f>
        <v>0</v>
      </c>
      <c r="G924" s="42">
        <f>VLOOKUP($A924,'Neraca Unaudited SIMAK'!$A$2:$R$1272,6,FALSE)+IF(ISNA(VLOOKUP($A924,'Mutasi Neraca'!$A$3:$S$910,6,FALSE)),0,VLOOKUP($A924,'Mutasi Neraca'!$A$3:$S$910,6,FALSE))</f>
        <v>0</v>
      </c>
      <c r="H924" s="42">
        <f>VLOOKUP($A924,'Neraca Unaudited SIMAK'!$A$2:$R$1272,7,FALSE)+IF(ISNA(VLOOKUP($A924,'Mutasi Neraca'!$A$3:$S$910,7,FALSE)),0,VLOOKUP($A924,'Mutasi Neraca'!$A$3:$S$910,7,FALSE))</f>
        <v>0</v>
      </c>
      <c r="I924" s="42">
        <f>VLOOKUP($A924,'Neraca Unaudited SIMAK'!$A$2:$R$1272,8,FALSE)+IF(ISNA(VLOOKUP($A924,'Mutasi Neraca'!$A$3:$S$910,8,FALSE)),0,VLOOKUP($A924,'Mutasi Neraca'!$A$3:$S$910,8,FALSE))</f>
        <v>0</v>
      </c>
      <c r="J924" s="42">
        <f>VLOOKUP($A924,'Neraca Unaudited SIMAK'!$A$2:$R$1272,9,FALSE)+IF(ISNA(VLOOKUP($A924,'Mutasi Neraca'!$A$3:$S$910,9,FALSE)),0,VLOOKUP($A924,'Mutasi Neraca'!$A$3:$S$910,9,FALSE))</f>
        <v>0</v>
      </c>
      <c r="K924" s="42">
        <f>VLOOKUP($A924,'Neraca Unaudited SIMAK'!$A$2:$R$1272,10,FALSE)+IF(ISNA(VLOOKUP($A924,'Mutasi Neraca'!$A$3:$S$910,10,FALSE)),0,VLOOKUP($A924,'Mutasi Neraca'!$A$3:$S$910,10,FALSE))</f>
        <v>0</v>
      </c>
      <c r="L924" s="42">
        <f>VLOOKUP($A924,'Neraca Unaudited SIMAK'!$A$2:$R$1272,11,FALSE)+IF(ISNA(VLOOKUP($A924,'Mutasi Neraca'!$A$3:$S$910,11,FALSE)),0,VLOOKUP($A924,'Mutasi Neraca'!$A$3:$S$910,11,FALSE))</f>
        <v>0</v>
      </c>
      <c r="M924" s="42">
        <f>VLOOKUP($A924,'Neraca Unaudited SIMAK'!$A$2:$R$1272,12,FALSE)+IF(ISNA(VLOOKUP($A924,'Mutasi Neraca'!$A$3:$S$910,12,FALSE)),0,VLOOKUP($A924,'Mutasi Neraca'!$A$3:$S$910,12,FALSE))</f>
        <v>0</v>
      </c>
      <c r="N924" s="42">
        <f>VLOOKUP($A924,'Neraca Unaudited SIMAK'!$A$2:$R$1272,13,FALSE)+IF(ISNA(VLOOKUP($A924,'Mutasi Neraca'!$A$3:$S$910,13,FALSE)),0,VLOOKUP($A924,'Mutasi Neraca'!$A$3:$S$910,13,FALSE))</f>
        <v>0</v>
      </c>
      <c r="O924" s="42">
        <f>VLOOKUP($A924,'Neraca Unaudited SIMAK'!$A$2:$R$1272,14,FALSE)+IF(ISNA(VLOOKUP($A924,'Mutasi Neraca'!$A$3:$S$910,14,FALSE)),0,VLOOKUP($A924,'Mutasi Neraca'!$A$3:$S$910,14,FALSE))</f>
        <v>0</v>
      </c>
      <c r="P924" s="42">
        <f>VLOOKUP($A924,'Neraca Unaudited SIMAK'!$A$2:$R$1272,15,FALSE)+IF(ISNA(VLOOKUP($A924,'Mutasi Neraca'!$A$3:$S$910,15,FALSE)),0,VLOOKUP($A924,'Mutasi Neraca'!$A$3:$S$910,15,FALSE))</f>
        <v>0</v>
      </c>
      <c r="Q924" s="42">
        <f>VLOOKUP($A924,'Neraca Unaudited SIMAK'!$A$2:$R$1272,16,FALSE)+IF(ISNA(VLOOKUP($A924,'Mutasi Neraca'!$A$3:$S$910,16,FALSE)),0,VLOOKUP($A924,'Mutasi Neraca'!$A$3:$S$910,16,FALSE))</f>
        <v>0</v>
      </c>
      <c r="R924" s="42">
        <f>VLOOKUP($A924,'Neraca Unaudited SIMAK'!$A$2:$R$1272,17,FALSE)+IF(ISNA(VLOOKUP($A924,'Mutasi Neraca'!$A$3:$S$910,17,FALSE)),0,VLOOKUP($A924,'Mutasi Neraca'!$A$3:$S$910,17,FALSE))</f>
        <v>0</v>
      </c>
      <c r="S924" s="42">
        <f t="shared" si="71"/>
        <v>0</v>
      </c>
    </row>
    <row r="925" spans="1:19">
      <c r="A925" s="41" t="s">
        <v>2263</v>
      </c>
      <c r="B925" s="41" t="str">
        <f t="shared" si="70"/>
        <v>005030500</v>
      </c>
      <c r="D925" s="42">
        <f>VLOOKUP($A925,'Neraca Unaudited SIMAK'!$A$2:$R$1272,3,FALSE)+IF(ISNA(VLOOKUP($A925,'Mutasi Neraca'!$A$3:$S$910,3,FALSE)),0,VLOOKUP($A925,'Mutasi Neraca'!$A$3:$S$910,3,FALSE))</f>
        <v>0</v>
      </c>
      <c r="E925" s="42">
        <f>VLOOKUP($A925,'Neraca Unaudited SIMAK'!$A$2:$R$1272,4,FALSE)+IF(ISNA(VLOOKUP($A925,'Mutasi Neraca'!$A$3:$S$910,4,FALSE)),0,VLOOKUP($A925,'Mutasi Neraca'!$A$3:$S$910,4,FALSE))</f>
        <v>0</v>
      </c>
      <c r="F925" s="42">
        <f>VLOOKUP($A925,'Neraca Unaudited SIMAK'!$A$2:$R$1272,5,FALSE)+IF(ISNA(VLOOKUP($A925,'Mutasi Neraca'!$A$3:$S$910,5,FALSE)),0,VLOOKUP($A925,'Mutasi Neraca'!$A$3:$S$910,5,FALSE))</f>
        <v>0</v>
      </c>
      <c r="G925" s="42">
        <f>VLOOKUP($A925,'Neraca Unaudited SIMAK'!$A$2:$R$1272,6,FALSE)+IF(ISNA(VLOOKUP($A925,'Mutasi Neraca'!$A$3:$S$910,6,FALSE)),0,VLOOKUP($A925,'Mutasi Neraca'!$A$3:$S$910,6,FALSE))</f>
        <v>0</v>
      </c>
      <c r="H925" s="42">
        <f>VLOOKUP($A925,'Neraca Unaudited SIMAK'!$A$2:$R$1272,7,FALSE)+IF(ISNA(VLOOKUP($A925,'Mutasi Neraca'!$A$3:$S$910,7,FALSE)),0,VLOOKUP($A925,'Mutasi Neraca'!$A$3:$S$910,7,FALSE))</f>
        <v>0</v>
      </c>
      <c r="I925" s="42">
        <f>VLOOKUP($A925,'Neraca Unaudited SIMAK'!$A$2:$R$1272,8,FALSE)+IF(ISNA(VLOOKUP($A925,'Mutasi Neraca'!$A$3:$S$910,8,FALSE)),0,VLOOKUP($A925,'Mutasi Neraca'!$A$3:$S$910,8,FALSE))</f>
        <v>0</v>
      </c>
      <c r="J925" s="42">
        <f>VLOOKUP($A925,'Neraca Unaudited SIMAK'!$A$2:$R$1272,9,FALSE)+IF(ISNA(VLOOKUP($A925,'Mutasi Neraca'!$A$3:$S$910,9,FALSE)),0,VLOOKUP($A925,'Mutasi Neraca'!$A$3:$S$910,9,FALSE))</f>
        <v>0</v>
      </c>
      <c r="K925" s="42">
        <f>VLOOKUP($A925,'Neraca Unaudited SIMAK'!$A$2:$R$1272,10,FALSE)+IF(ISNA(VLOOKUP($A925,'Mutasi Neraca'!$A$3:$S$910,10,FALSE)),0,VLOOKUP($A925,'Mutasi Neraca'!$A$3:$S$910,10,FALSE))</f>
        <v>0</v>
      </c>
      <c r="L925" s="42">
        <f>VLOOKUP($A925,'Neraca Unaudited SIMAK'!$A$2:$R$1272,11,FALSE)+IF(ISNA(VLOOKUP($A925,'Mutasi Neraca'!$A$3:$S$910,11,FALSE)),0,VLOOKUP($A925,'Mutasi Neraca'!$A$3:$S$910,11,FALSE))</f>
        <v>0</v>
      </c>
      <c r="M925" s="42">
        <f>VLOOKUP($A925,'Neraca Unaudited SIMAK'!$A$2:$R$1272,12,FALSE)+IF(ISNA(VLOOKUP($A925,'Mutasi Neraca'!$A$3:$S$910,12,FALSE)),0,VLOOKUP($A925,'Mutasi Neraca'!$A$3:$S$910,12,FALSE))</f>
        <v>0</v>
      </c>
      <c r="N925" s="42">
        <f>VLOOKUP($A925,'Neraca Unaudited SIMAK'!$A$2:$R$1272,13,FALSE)+IF(ISNA(VLOOKUP($A925,'Mutasi Neraca'!$A$3:$S$910,13,FALSE)),0,VLOOKUP($A925,'Mutasi Neraca'!$A$3:$S$910,13,FALSE))</f>
        <v>0</v>
      </c>
      <c r="O925" s="42">
        <f>VLOOKUP($A925,'Neraca Unaudited SIMAK'!$A$2:$R$1272,14,FALSE)+IF(ISNA(VLOOKUP($A925,'Mutasi Neraca'!$A$3:$S$910,14,FALSE)),0,VLOOKUP($A925,'Mutasi Neraca'!$A$3:$S$910,14,FALSE))</f>
        <v>0</v>
      </c>
      <c r="P925" s="42">
        <f>VLOOKUP($A925,'Neraca Unaudited SIMAK'!$A$2:$R$1272,15,FALSE)+IF(ISNA(VLOOKUP($A925,'Mutasi Neraca'!$A$3:$S$910,15,FALSE)),0,VLOOKUP($A925,'Mutasi Neraca'!$A$3:$S$910,15,FALSE))</f>
        <v>0</v>
      </c>
      <c r="Q925" s="42">
        <f>VLOOKUP($A925,'Neraca Unaudited SIMAK'!$A$2:$R$1272,16,FALSE)+IF(ISNA(VLOOKUP($A925,'Mutasi Neraca'!$A$3:$S$910,16,FALSE)),0,VLOOKUP($A925,'Mutasi Neraca'!$A$3:$S$910,16,FALSE))</f>
        <v>0</v>
      </c>
      <c r="R925" s="42">
        <f>VLOOKUP($A925,'Neraca Unaudited SIMAK'!$A$2:$R$1272,17,FALSE)+IF(ISNA(VLOOKUP($A925,'Mutasi Neraca'!$A$3:$S$910,17,FALSE)),0,VLOOKUP($A925,'Mutasi Neraca'!$A$3:$S$910,17,FALSE))</f>
        <v>0</v>
      </c>
      <c r="S925" s="42">
        <f t="shared" si="71"/>
        <v>0</v>
      </c>
    </row>
    <row r="926" spans="1:19">
      <c r="A926" s="41" t="s">
        <v>918</v>
      </c>
      <c r="B926" s="41" t="str">
        <f t="shared" si="70"/>
        <v>005030500</v>
      </c>
      <c r="D926" s="42">
        <f>VLOOKUP($A926,'Neraca Unaudited SIMAK'!$A$2:$R$1272,3,FALSE)+IF(ISNA(VLOOKUP($A926,'Mutasi Neraca'!$A$3:$S$910,3,FALSE)),0,VLOOKUP($A926,'Mutasi Neraca'!$A$3:$S$910,3,FALSE))</f>
        <v>0</v>
      </c>
      <c r="E926" s="42">
        <f>VLOOKUP($A926,'Neraca Unaudited SIMAK'!$A$2:$R$1272,4,FALSE)+IF(ISNA(VLOOKUP($A926,'Mutasi Neraca'!$A$3:$S$910,4,FALSE)),0,VLOOKUP($A926,'Mutasi Neraca'!$A$3:$S$910,4,FALSE))</f>
        <v>0</v>
      </c>
      <c r="F926" s="42">
        <f>VLOOKUP($A926,'Neraca Unaudited SIMAK'!$A$2:$R$1272,5,FALSE)+IF(ISNA(VLOOKUP($A926,'Mutasi Neraca'!$A$3:$S$910,5,FALSE)),0,VLOOKUP($A926,'Mutasi Neraca'!$A$3:$S$910,5,FALSE))</f>
        <v>0</v>
      </c>
      <c r="G926" s="42">
        <f>VLOOKUP($A926,'Neraca Unaudited SIMAK'!$A$2:$R$1272,6,FALSE)+IF(ISNA(VLOOKUP($A926,'Mutasi Neraca'!$A$3:$S$910,6,FALSE)),0,VLOOKUP($A926,'Mutasi Neraca'!$A$3:$S$910,6,FALSE))</f>
        <v>0</v>
      </c>
      <c r="H926" s="42">
        <f>VLOOKUP($A926,'Neraca Unaudited SIMAK'!$A$2:$R$1272,7,FALSE)+IF(ISNA(VLOOKUP($A926,'Mutasi Neraca'!$A$3:$S$910,7,FALSE)),0,VLOOKUP($A926,'Mutasi Neraca'!$A$3:$S$910,7,FALSE))</f>
        <v>0</v>
      </c>
      <c r="I926" s="42">
        <f>VLOOKUP($A926,'Neraca Unaudited SIMAK'!$A$2:$R$1272,8,FALSE)+IF(ISNA(VLOOKUP($A926,'Mutasi Neraca'!$A$3:$S$910,8,FALSE)),0,VLOOKUP($A926,'Mutasi Neraca'!$A$3:$S$910,8,FALSE))</f>
        <v>0</v>
      </c>
      <c r="J926" s="42">
        <f>VLOOKUP($A926,'Neraca Unaudited SIMAK'!$A$2:$R$1272,9,FALSE)+IF(ISNA(VLOOKUP($A926,'Mutasi Neraca'!$A$3:$S$910,9,FALSE)),0,VLOOKUP($A926,'Mutasi Neraca'!$A$3:$S$910,9,FALSE))</f>
        <v>0</v>
      </c>
      <c r="K926" s="42">
        <f>VLOOKUP($A926,'Neraca Unaudited SIMAK'!$A$2:$R$1272,10,FALSE)+IF(ISNA(VLOOKUP($A926,'Mutasi Neraca'!$A$3:$S$910,10,FALSE)),0,VLOOKUP($A926,'Mutasi Neraca'!$A$3:$S$910,10,FALSE))</f>
        <v>0</v>
      </c>
      <c r="L926" s="42">
        <f>VLOOKUP($A926,'Neraca Unaudited SIMAK'!$A$2:$R$1272,11,FALSE)+IF(ISNA(VLOOKUP($A926,'Mutasi Neraca'!$A$3:$S$910,11,FALSE)),0,VLOOKUP($A926,'Mutasi Neraca'!$A$3:$S$910,11,FALSE))</f>
        <v>0</v>
      </c>
      <c r="M926" s="42">
        <f>VLOOKUP($A926,'Neraca Unaudited SIMAK'!$A$2:$R$1272,12,FALSE)+IF(ISNA(VLOOKUP($A926,'Mutasi Neraca'!$A$3:$S$910,12,FALSE)),0,VLOOKUP($A926,'Mutasi Neraca'!$A$3:$S$910,12,FALSE))</f>
        <v>0</v>
      </c>
      <c r="N926" s="42">
        <f>VLOOKUP($A926,'Neraca Unaudited SIMAK'!$A$2:$R$1272,13,FALSE)+IF(ISNA(VLOOKUP($A926,'Mutasi Neraca'!$A$3:$S$910,13,FALSE)),0,VLOOKUP($A926,'Mutasi Neraca'!$A$3:$S$910,13,FALSE))</f>
        <v>0</v>
      </c>
      <c r="O926" s="42">
        <f>VLOOKUP($A926,'Neraca Unaudited SIMAK'!$A$2:$R$1272,14,FALSE)+IF(ISNA(VLOOKUP($A926,'Mutasi Neraca'!$A$3:$S$910,14,FALSE)),0,VLOOKUP($A926,'Mutasi Neraca'!$A$3:$S$910,14,FALSE))</f>
        <v>0</v>
      </c>
      <c r="P926" s="42">
        <f>VLOOKUP($A926,'Neraca Unaudited SIMAK'!$A$2:$R$1272,15,FALSE)+IF(ISNA(VLOOKUP($A926,'Mutasi Neraca'!$A$3:$S$910,15,FALSE)),0,VLOOKUP($A926,'Mutasi Neraca'!$A$3:$S$910,15,FALSE))</f>
        <v>0</v>
      </c>
      <c r="Q926" s="42">
        <f>VLOOKUP($A926,'Neraca Unaudited SIMAK'!$A$2:$R$1272,16,FALSE)+IF(ISNA(VLOOKUP($A926,'Mutasi Neraca'!$A$3:$S$910,16,FALSE)),0,VLOOKUP($A926,'Mutasi Neraca'!$A$3:$S$910,16,FALSE))</f>
        <v>0</v>
      </c>
      <c r="R926" s="42">
        <f>VLOOKUP($A926,'Neraca Unaudited SIMAK'!$A$2:$R$1272,17,FALSE)+IF(ISNA(VLOOKUP($A926,'Mutasi Neraca'!$A$3:$S$910,17,FALSE)),0,VLOOKUP($A926,'Mutasi Neraca'!$A$3:$S$910,17,FALSE))</f>
        <v>0</v>
      </c>
      <c r="S926" s="42">
        <f t="shared" si="71"/>
        <v>0</v>
      </c>
    </row>
    <row r="927" spans="1:19">
      <c r="A927" s="41" t="s">
        <v>919</v>
      </c>
      <c r="B927" s="41" t="str">
        <f t="shared" si="70"/>
        <v>005030500</v>
      </c>
      <c r="D927" s="42">
        <f>VLOOKUP($A927,'Neraca Unaudited SIMAK'!$A$2:$R$1272,3,FALSE)+IF(ISNA(VLOOKUP($A927,'Mutasi Neraca'!$A$3:$S$910,3,FALSE)),0,VLOOKUP($A927,'Mutasi Neraca'!$A$3:$S$910,3,FALSE))</f>
        <v>0</v>
      </c>
      <c r="E927" s="42">
        <f>VLOOKUP($A927,'Neraca Unaudited SIMAK'!$A$2:$R$1272,4,FALSE)+IF(ISNA(VLOOKUP($A927,'Mutasi Neraca'!$A$3:$S$910,4,FALSE)),0,VLOOKUP($A927,'Mutasi Neraca'!$A$3:$S$910,4,FALSE))</f>
        <v>0</v>
      </c>
      <c r="F927" s="42">
        <f>VLOOKUP($A927,'Neraca Unaudited SIMAK'!$A$2:$R$1272,5,FALSE)+IF(ISNA(VLOOKUP($A927,'Mutasi Neraca'!$A$3:$S$910,5,FALSE)),0,VLOOKUP($A927,'Mutasi Neraca'!$A$3:$S$910,5,FALSE))</f>
        <v>0</v>
      </c>
      <c r="G927" s="42">
        <f>VLOOKUP($A927,'Neraca Unaudited SIMAK'!$A$2:$R$1272,6,FALSE)+IF(ISNA(VLOOKUP($A927,'Mutasi Neraca'!$A$3:$S$910,6,FALSE)),0,VLOOKUP($A927,'Mutasi Neraca'!$A$3:$S$910,6,FALSE))</f>
        <v>0</v>
      </c>
      <c r="H927" s="42">
        <f>VLOOKUP($A927,'Neraca Unaudited SIMAK'!$A$2:$R$1272,7,FALSE)+IF(ISNA(VLOOKUP($A927,'Mutasi Neraca'!$A$3:$S$910,7,FALSE)),0,VLOOKUP($A927,'Mutasi Neraca'!$A$3:$S$910,7,FALSE))</f>
        <v>0</v>
      </c>
      <c r="I927" s="42">
        <f>VLOOKUP($A927,'Neraca Unaudited SIMAK'!$A$2:$R$1272,8,FALSE)+IF(ISNA(VLOOKUP($A927,'Mutasi Neraca'!$A$3:$S$910,8,FALSE)),0,VLOOKUP($A927,'Mutasi Neraca'!$A$3:$S$910,8,FALSE))</f>
        <v>0</v>
      </c>
      <c r="J927" s="42">
        <f>VLOOKUP($A927,'Neraca Unaudited SIMAK'!$A$2:$R$1272,9,FALSE)+IF(ISNA(VLOOKUP($A927,'Mutasi Neraca'!$A$3:$S$910,9,FALSE)),0,VLOOKUP($A927,'Mutasi Neraca'!$A$3:$S$910,9,FALSE))</f>
        <v>0</v>
      </c>
      <c r="K927" s="42">
        <f>VLOOKUP($A927,'Neraca Unaudited SIMAK'!$A$2:$R$1272,10,FALSE)+IF(ISNA(VLOOKUP($A927,'Mutasi Neraca'!$A$3:$S$910,10,FALSE)),0,VLOOKUP($A927,'Mutasi Neraca'!$A$3:$S$910,10,FALSE))</f>
        <v>0</v>
      </c>
      <c r="L927" s="42">
        <f>VLOOKUP($A927,'Neraca Unaudited SIMAK'!$A$2:$R$1272,11,FALSE)+IF(ISNA(VLOOKUP($A927,'Mutasi Neraca'!$A$3:$S$910,11,FALSE)),0,VLOOKUP($A927,'Mutasi Neraca'!$A$3:$S$910,11,FALSE))</f>
        <v>0</v>
      </c>
      <c r="M927" s="42">
        <f>VLOOKUP($A927,'Neraca Unaudited SIMAK'!$A$2:$R$1272,12,FALSE)+IF(ISNA(VLOOKUP($A927,'Mutasi Neraca'!$A$3:$S$910,12,FALSE)),0,VLOOKUP($A927,'Mutasi Neraca'!$A$3:$S$910,12,FALSE))</f>
        <v>0</v>
      </c>
      <c r="N927" s="42">
        <f>VLOOKUP($A927,'Neraca Unaudited SIMAK'!$A$2:$R$1272,13,FALSE)+IF(ISNA(VLOOKUP($A927,'Mutasi Neraca'!$A$3:$S$910,13,FALSE)),0,VLOOKUP($A927,'Mutasi Neraca'!$A$3:$S$910,13,FALSE))</f>
        <v>0</v>
      </c>
      <c r="O927" s="42">
        <f>VLOOKUP($A927,'Neraca Unaudited SIMAK'!$A$2:$R$1272,14,FALSE)+IF(ISNA(VLOOKUP($A927,'Mutasi Neraca'!$A$3:$S$910,14,FALSE)),0,VLOOKUP($A927,'Mutasi Neraca'!$A$3:$S$910,14,FALSE))</f>
        <v>0</v>
      </c>
      <c r="P927" s="42">
        <f>VLOOKUP($A927,'Neraca Unaudited SIMAK'!$A$2:$R$1272,15,FALSE)+IF(ISNA(VLOOKUP($A927,'Mutasi Neraca'!$A$3:$S$910,15,FALSE)),0,VLOOKUP($A927,'Mutasi Neraca'!$A$3:$S$910,15,FALSE))</f>
        <v>0</v>
      </c>
      <c r="Q927" s="42">
        <f>VLOOKUP($A927,'Neraca Unaudited SIMAK'!$A$2:$R$1272,16,FALSE)+IF(ISNA(VLOOKUP($A927,'Mutasi Neraca'!$A$3:$S$910,16,FALSE)),0,VLOOKUP($A927,'Mutasi Neraca'!$A$3:$S$910,16,FALSE))</f>
        <v>0</v>
      </c>
      <c r="R927" s="42">
        <f>VLOOKUP($A927,'Neraca Unaudited SIMAK'!$A$2:$R$1272,17,FALSE)+IF(ISNA(VLOOKUP($A927,'Mutasi Neraca'!$A$3:$S$910,17,FALSE)),0,VLOOKUP($A927,'Mutasi Neraca'!$A$3:$S$910,17,FALSE))</f>
        <v>0</v>
      </c>
      <c r="S927" s="42">
        <f t="shared" si="71"/>
        <v>0</v>
      </c>
    </row>
    <row r="928" spans="1:19">
      <c r="A928" s="41" t="s">
        <v>920</v>
      </c>
      <c r="B928" s="41" t="str">
        <f t="shared" si="70"/>
        <v>005030500</v>
      </c>
      <c r="D928" s="42">
        <f>VLOOKUP($A928,'Neraca Unaudited SIMAK'!$A$2:$R$1272,3,FALSE)+IF(ISNA(VLOOKUP($A928,'Mutasi Neraca'!$A$3:$S$910,3,FALSE)),0,VLOOKUP($A928,'Mutasi Neraca'!$A$3:$S$910,3,FALSE))</f>
        <v>152500</v>
      </c>
      <c r="E928" s="42">
        <f>VLOOKUP($A928,'Neraca Unaudited SIMAK'!$A$2:$R$1272,4,FALSE)+IF(ISNA(VLOOKUP($A928,'Mutasi Neraca'!$A$3:$S$910,4,FALSE)),0,VLOOKUP($A928,'Mutasi Neraca'!$A$3:$S$910,4,FALSE))</f>
        <v>0</v>
      </c>
      <c r="F928" s="42">
        <f>VLOOKUP($A928,'Neraca Unaudited SIMAK'!$A$2:$R$1272,5,FALSE)+IF(ISNA(VLOOKUP($A928,'Mutasi Neraca'!$A$3:$S$910,5,FALSE)),0,VLOOKUP($A928,'Mutasi Neraca'!$A$3:$S$910,5,FALSE))</f>
        <v>0</v>
      </c>
      <c r="G928" s="42">
        <f>VLOOKUP($A928,'Neraca Unaudited SIMAK'!$A$2:$R$1272,6,FALSE)+IF(ISNA(VLOOKUP($A928,'Mutasi Neraca'!$A$3:$S$910,6,FALSE)),0,VLOOKUP($A928,'Mutasi Neraca'!$A$3:$S$910,6,FALSE))</f>
        <v>0</v>
      </c>
      <c r="H928" s="42">
        <f>VLOOKUP($A928,'Neraca Unaudited SIMAK'!$A$2:$R$1272,7,FALSE)+IF(ISNA(VLOOKUP($A928,'Mutasi Neraca'!$A$3:$S$910,7,FALSE)),0,VLOOKUP($A928,'Mutasi Neraca'!$A$3:$S$910,7,FALSE))</f>
        <v>0</v>
      </c>
      <c r="I928" s="42">
        <f>VLOOKUP($A928,'Neraca Unaudited SIMAK'!$A$2:$R$1272,8,FALSE)+IF(ISNA(VLOOKUP($A928,'Mutasi Neraca'!$A$3:$S$910,8,FALSE)),0,VLOOKUP($A928,'Mutasi Neraca'!$A$3:$S$910,8,FALSE))</f>
        <v>0</v>
      </c>
      <c r="J928" s="42">
        <f>VLOOKUP($A928,'Neraca Unaudited SIMAK'!$A$2:$R$1272,9,FALSE)+IF(ISNA(VLOOKUP($A928,'Mutasi Neraca'!$A$3:$S$910,9,FALSE)),0,VLOOKUP($A928,'Mutasi Neraca'!$A$3:$S$910,9,FALSE))</f>
        <v>0</v>
      </c>
      <c r="K928" s="42">
        <f>VLOOKUP($A928,'Neraca Unaudited SIMAK'!$A$2:$R$1272,10,FALSE)+IF(ISNA(VLOOKUP($A928,'Mutasi Neraca'!$A$3:$S$910,10,FALSE)),0,VLOOKUP($A928,'Mutasi Neraca'!$A$3:$S$910,10,FALSE))</f>
        <v>0</v>
      </c>
      <c r="L928" s="42">
        <f>VLOOKUP($A928,'Neraca Unaudited SIMAK'!$A$2:$R$1272,11,FALSE)+IF(ISNA(VLOOKUP($A928,'Mutasi Neraca'!$A$3:$S$910,11,FALSE)),0,VLOOKUP($A928,'Mutasi Neraca'!$A$3:$S$910,11,FALSE))</f>
        <v>0</v>
      </c>
      <c r="M928" s="42">
        <f>VLOOKUP($A928,'Neraca Unaudited SIMAK'!$A$2:$R$1272,12,FALSE)+IF(ISNA(VLOOKUP($A928,'Mutasi Neraca'!$A$3:$S$910,12,FALSE)),0,VLOOKUP($A928,'Mutasi Neraca'!$A$3:$S$910,12,FALSE))</f>
        <v>152500</v>
      </c>
      <c r="N928" s="42">
        <f>VLOOKUP($A928,'Neraca Unaudited SIMAK'!$A$2:$R$1272,13,FALSE)+IF(ISNA(VLOOKUP($A928,'Mutasi Neraca'!$A$3:$S$910,13,FALSE)),0,VLOOKUP($A928,'Mutasi Neraca'!$A$3:$S$910,13,FALSE))</f>
        <v>0</v>
      </c>
      <c r="O928" s="42">
        <f>VLOOKUP($A928,'Neraca Unaudited SIMAK'!$A$2:$R$1272,14,FALSE)+IF(ISNA(VLOOKUP($A928,'Mutasi Neraca'!$A$3:$S$910,14,FALSE)),0,VLOOKUP($A928,'Mutasi Neraca'!$A$3:$S$910,14,FALSE))</f>
        <v>0</v>
      </c>
      <c r="P928" s="42">
        <f>VLOOKUP($A928,'Neraca Unaudited SIMAK'!$A$2:$R$1272,15,FALSE)+IF(ISNA(VLOOKUP($A928,'Mutasi Neraca'!$A$3:$S$910,15,FALSE)),0,VLOOKUP($A928,'Mutasi Neraca'!$A$3:$S$910,15,FALSE))</f>
        <v>0</v>
      </c>
      <c r="Q928" s="42">
        <f>VLOOKUP($A928,'Neraca Unaudited SIMAK'!$A$2:$R$1272,16,FALSE)+IF(ISNA(VLOOKUP($A928,'Mutasi Neraca'!$A$3:$S$910,16,FALSE)),0,VLOOKUP($A928,'Mutasi Neraca'!$A$3:$S$910,16,FALSE))</f>
        <v>0</v>
      </c>
      <c r="R928" s="42">
        <f>VLOOKUP($A928,'Neraca Unaudited SIMAK'!$A$2:$R$1272,17,FALSE)+IF(ISNA(VLOOKUP($A928,'Mutasi Neraca'!$A$3:$S$910,17,FALSE)),0,VLOOKUP($A928,'Mutasi Neraca'!$A$3:$S$910,17,FALSE))</f>
        <v>0</v>
      </c>
      <c r="S928" s="42">
        <f t="shared" si="71"/>
        <v>152500</v>
      </c>
    </row>
    <row r="929" spans="1:19">
      <c r="A929" s="41" t="s">
        <v>921</v>
      </c>
      <c r="B929" s="41" t="str">
        <f t="shared" si="70"/>
        <v>005030500</v>
      </c>
      <c r="D929" s="42">
        <f>VLOOKUP($A929,'Neraca Unaudited SIMAK'!$A$2:$R$1272,3,FALSE)+IF(ISNA(VLOOKUP($A929,'Mutasi Neraca'!$A$3:$S$910,3,FALSE)),0,VLOOKUP($A929,'Mutasi Neraca'!$A$3:$S$910,3,FALSE))</f>
        <v>42800</v>
      </c>
      <c r="E929" s="42">
        <f>VLOOKUP($A929,'Neraca Unaudited SIMAK'!$A$2:$R$1272,4,FALSE)+IF(ISNA(VLOOKUP($A929,'Mutasi Neraca'!$A$3:$S$910,4,FALSE)),0,VLOOKUP($A929,'Mutasi Neraca'!$A$3:$S$910,4,FALSE))</f>
        <v>0</v>
      </c>
      <c r="F929" s="42">
        <f>VLOOKUP($A929,'Neraca Unaudited SIMAK'!$A$2:$R$1272,5,FALSE)+IF(ISNA(VLOOKUP($A929,'Mutasi Neraca'!$A$3:$S$910,5,FALSE)),0,VLOOKUP($A929,'Mutasi Neraca'!$A$3:$S$910,5,FALSE))</f>
        <v>0</v>
      </c>
      <c r="G929" s="42">
        <f>VLOOKUP($A929,'Neraca Unaudited SIMAK'!$A$2:$R$1272,6,FALSE)+IF(ISNA(VLOOKUP($A929,'Mutasi Neraca'!$A$3:$S$910,6,FALSE)),0,VLOOKUP($A929,'Mutasi Neraca'!$A$3:$S$910,6,FALSE))</f>
        <v>0</v>
      </c>
      <c r="H929" s="42">
        <f>VLOOKUP($A929,'Neraca Unaudited SIMAK'!$A$2:$R$1272,7,FALSE)+IF(ISNA(VLOOKUP($A929,'Mutasi Neraca'!$A$3:$S$910,7,FALSE)),0,VLOOKUP($A929,'Mutasi Neraca'!$A$3:$S$910,7,FALSE))</f>
        <v>0</v>
      </c>
      <c r="I929" s="42">
        <f>VLOOKUP($A929,'Neraca Unaudited SIMAK'!$A$2:$R$1272,8,FALSE)+IF(ISNA(VLOOKUP($A929,'Mutasi Neraca'!$A$3:$S$910,8,FALSE)),0,VLOOKUP($A929,'Mutasi Neraca'!$A$3:$S$910,8,FALSE))</f>
        <v>0</v>
      </c>
      <c r="J929" s="42">
        <f>VLOOKUP($A929,'Neraca Unaudited SIMAK'!$A$2:$R$1272,9,FALSE)+IF(ISNA(VLOOKUP($A929,'Mutasi Neraca'!$A$3:$S$910,9,FALSE)),0,VLOOKUP($A929,'Mutasi Neraca'!$A$3:$S$910,9,FALSE))</f>
        <v>0</v>
      </c>
      <c r="K929" s="42">
        <f>VLOOKUP($A929,'Neraca Unaudited SIMAK'!$A$2:$R$1272,10,FALSE)+IF(ISNA(VLOOKUP($A929,'Mutasi Neraca'!$A$3:$S$910,10,FALSE)),0,VLOOKUP($A929,'Mutasi Neraca'!$A$3:$S$910,10,FALSE))</f>
        <v>0</v>
      </c>
      <c r="L929" s="42">
        <f>VLOOKUP($A929,'Neraca Unaudited SIMAK'!$A$2:$R$1272,11,FALSE)+IF(ISNA(VLOOKUP($A929,'Mutasi Neraca'!$A$3:$S$910,11,FALSE)),0,VLOOKUP($A929,'Mutasi Neraca'!$A$3:$S$910,11,FALSE))</f>
        <v>0</v>
      </c>
      <c r="M929" s="42">
        <f>VLOOKUP($A929,'Neraca Unaudited SIMAK'!$A$2:$R$1272,12,FALSE)+IF(ISNA(VLOOKUP($A929,'Mutasi Neraca'!$A$3:$S$910,12,FALSE)),0,VLOOKUP($A929,'Mutasi Neraca'!$A$3:$S$910,12,FALSE))</f>
        <v>42800</v>
      </c>
      <c r="N929" s="42">
        <f>VLOOKUP($A929,'Neraca Unaudited SIMAK'!$A$2:$R$1272,13,FALSE)+IF(ISNA(VLOOKUP($A929,'Mutasi Neraca'!$A$3:$S$910,13,FALSE)),0,VLOOKUP($A929,'Mutasi Neraca'!$A$3:$S$910,13,FALSE))</f>
        <v>0</v>
      </c>
      <c r="O929" s="42">
        <f>VLOOKUP($A929,'Neraca Unaudited SIMAK'!$A$2:$R$1272,14,FALSE)+IF(ISNA(VLOOKUP($A929,'Mutasi Neraca'!$A$3:$S$910,14,FALSE)),0,VLOOKUP($A929,'Mutasi Neraca'!$A$3:$S$910,14,FALSE))</f>
        <v>0</v>
      </c>
      <c r="P929" s="42">
        <f>VLOOKUP($A929,'Neraca Unaudited SIMAK'!$A$2:$R$1272,15,FALSE)+IF(ISNA(VLOOKUP($A929,'Mutasi Neraca'!$A$3:$S$910,15,FALSE)),0,VLOOKUP($A929,'Mutasi Neraca'!$A$3:$S$910,15,FALSE))</f>
        <v>0</v>
      </c>
      <c r="Q929" s="42">
        <f>VLOOKUP($A929,'Neraca Unaudited SIMAK'!$A$2:$R$1272,16,FALSE)+IF(ISNA(VLOOKUP($A929,'Mutasi Neraca'!$A$3:$S$910,16,FALSE)),0,VLOOKUP($A929,'Mutasi Neraca'!$A$3:$S$910,16,FALSE))</f>
        <v>0</v>
      </c>
      <c r="R929" s="42">
        <f>VLOOKUP($A929,'Neraca Unaudited SIMAK'!$A$2:$R$1272,17,FALSE)+IF(ISNA(VLOOKUP($A929,'Mutasi Neraca'!$A$3:$S$910,17,FALSE)),0,VLOOKUP($A929,'Mutasi Neraca'!$A$3:$S$910,17,FALSE))</f>
        <v>0</v>
      </c>
      <c r="S929" s="42">
        <f t="shared" si="71"/>
        <v>42800</v>
      </c>
    </row>
    <row r="930" spans="1:19">
      <c r="A930" s="41" t="s">
        <v>922</v>
      </c>
      <c r="B930" s="41" t="str">
        <f t="shared" si="70"/>
        <v>005030500</v>
      </c>
      <c r="D930" s="42">
        <f>VLOOKUP($A930,'Neraca Unaudited SIMAK'!$A$2:$R$1272,3,FALSE)+IF(ISNA(VLOOKUP($A930,'Mutasi Neraca'!$A$3:$S$910,3,FALSE)),0,VLOOKUP($A930,'Mutasi Neraca'!$A$3:$S$910,3,FALSE))</f>
        <v>450000</v>
      </c>
      <c r="E930" s="42">
        <f>VLOOKUP($A930,'Neraca Unaudited SIMAK'!$A$2:$R$1272,4,FALSE)+IF(ISNA(VLOOKUP($A930,'Mutasi Neraca'!$A$3:$S$910,4,FALSE)),0,VLOOKUP($A930,'Mutasi Neraca'!$A$3:$S$910,4,FALSE))</f>
        <v>0</v>
      </c>
      <c r="F930" s="42">
        <f>VLOOKUP($A930,'Neraca Unaudited SIMAK'!$A$2:$R$1272,5,FALSE)+IF(ISNA(VLOOKUP($A930,'Mutasi Neraca'!$A$3:$S$910,5,FALSE)),0,VLOOKUP($A930,'Mutasi Neraca'!$A$3:$S$910,5,FALSE))</f>
        <v>0</v>
      </c>
      <c r="G930" s="42">
        <f>VLOOKUP($A930,'Neraca Unaudited SIMAK'!$A$2:$R$1272,6,FALSE)+IF(ISNA(VLOOKUP($A930,'Mutasi Neraca'!$A$3:$S$910,6,FALSE)),0,VLOOKUP($A930,'Mutasi Neraca'!$A$3:$S$910,6,FALSE))</f>
        <v>0</v>
      </c>
      <c r="H930" s="42">
        <f>VLOOKUP($A930,'Neraca Unaudited SIMAK'!$A$2:$R$1272,7,FALSE)+IF(ISNA(VLOOKUP($A930,'Mutasi Neraca'!$A$3:$S$910,7,FALSE)),0,VLOOKUP($A930,'Mutasi Neraca'!$A$3:$S$910,7,FALSE))</f>
        <v>0</v>
      </c>
      <c r="I930" s="42">
        <f>VLOOKUP($A930,'Neraca Unaudited SIMAK'!$A$2:$R$1272,8,FALSE)+IF(ISNA(VLOOKUP($A930,'Mutasi Neraca'!$A$3:$S$910,8,FALSE)),0,VLOOKUP($A930,'Mutasi Neraca'!$A$3:$S$910,8,FALSE))</f>
        <v>0</v>
      </c>
      <c r="J930" s="42">
        <f>VLOOKUP($A930,'Neraca Unaudited SIMAK'!$A$2:$R$1272,9,FALSE)+IF(ISNA(VLOOKUP($A930,'Mutasi Neraca'!$A$3:$S$910,9,FALSE)),0,VLOOKUP($A930,'Mutasi Neraca'!$A$3:$S$910,9,FALSE))</f>
        <v>0</v>
      </c>
      <c r="K930" s="42">
        <f>VLOOKUP($A930,'Neraca Unaudited SIMAK'!$A$2:$R$1272,10,FALSE)+IF(ISNA(VLOOKUP($A930,'Mutasi Neraca'!$A$3:$S$910,10,FALSE)),0,VLOOKUP($A930,'Mutasi Neraca'!$A$3:$S$910,10,FALSE))</f>
        <v>0</v>
      </c>
      <c r="L930" s="42">
        <f>VLOOKUP($A930,'Neraca Unaudited SIMAK'!$A$2:$R$1272,11,FALSE)+IF(ISNA(VLOOKUP($A930,'Mutasi Neraca'!$A$3:$S$910,11,FALSE)),0,VLOOKUP($A930,'Mutasi Neraca'!$A$3:$S$910,11,FALSE))</f>
        <v>0</v>
      </c>
      <c r="M930" s="42">
        <f>VLOOKUP($A930,'Neraca Unaudited SIMAK'!$A$2:$R$1272,12,FALSE)+IF(ISNA(VLOOKUP($A930,'Mutasi Neraca'!$A$3:$S$910,12,FALSE)),0,VLOOKUP($A930,'Mutasi Neraca'!$A$3:$S$910,12,FALSE))</f>
        <v>450000</v>
      </c>
      <c r="N930" s="42">
        <f>VLOOKUP($A930,'Neraca Unaudited SIMAK'!$A$2:$R$1272,13,FALSE)+IF(ISNA(VLOOKUP($A930,'Mutasi Neraca'!$A$3:$S$910,13,FALSE)),0,VLOOKUP($A930,'Mutasi Neraca'!$A$3:$S$910,13,FALSE))</f>
        <v>0</v>
      </c>
      <c r="O930" s="42">
        <f>VLOOKUP($A930,'Neraca Unaudited SIMAK'!$A$2:$R$1272,14,FALSE)+IF(ISNA(VLOOKUP($A930,'Mutasi Neraca'!$A$3:$S$910,14,FALSE)),0,VLOOKUP($A930,'Mutasi Neraca'!$A$3:$S$910,14,FALSE))</f>
        <v>0</v>
      </c>
      <c r="P930" s="42">
        <f>VLOOKUP($A930,'Neraca Unaudited SIMAK'!$A$2:$R$1272,15,FALSE)+IF(ISNA(VLOOKUP($A930,'Mutasi Neraca'!$A$3:$S$910,15,FALSE)),0,VLOOKUP($A930,'Mutasi Neraca'!$A$3:$S$910,15,FALSE))</f>
        <v>0</v>
      </c>
      <c r="Q930" s="42">
        <f>VLOOKUP($A930,'Neraca Unaudited SIMAK'!$A$2:$R$1272,16,FALSE)+IF(ISNA(VLOOKUP($A930,'Mutasi Neraca'!$A$3:$S$910,16,FALSE)),0,VLOOKUP($A930,'Mutasi Neraca'!$A$3:$S$910,16,FALSE))</f>
        <v>0</v>
      </c>
      <c r="R930" s="42">
        <f>VLOOKUP($A930,'Neraca Unaudited SIMAK'!$A$2:$R$1272,17,FALSE)+IF(ISNA(VLOOKUP($A930,'Mutasi Neraca'!$A$3:$S$910,17,FALSE)),0,VLOOKUP($A930,'Mutasi Neraca'!$A$3:$S$910,17,FALSE))</f>
        <v>0</v>
      </c>
      <c r="S930" s="42">
        <f t="shared" si="71"/>
        <v>450000</v>
      </c>
    </row>
    <row r="931" spans="1:19">
      <c r="A931" s="41" t="s">
        <v>923</v>
      </c>
      <c r="B931" s="41" t="str">
        <f t="shared" si="70"/>
        <v>005030500</v>
      </c>
      <c r="D931" s="42">
        <f>VLOOKUP($A931,'Neraca Unaudited SIMAK'!$A$2:$R$1272,3,FALSE)+IF(ISNA(VLOOKUP($A931,'Mutasi Neraca'!$A$3:$S$910,3,FALSE)),0,VLOOKUP($A931,'Mutasi Neraca'!$A$3:$S$910,3,FALSE))</f>
        <v>0</v>
      </c>
      <c r="E931" s="42">
        <f>VLOOKUP($A931,'Neraca Unaudited SIMAK'!$A$2:$R$1272,4,FALSE)+IF(ISNA(VLOOKUP($A931,'Mutasi Neraca'!$A$3:$S$910,4,FALSE)),0,VLOOKUP($A931,'Mutasi Neraca'!$A$3:$S$910,4,FALSE))</f>
        <v>0</v>
      </c>
      <c r="F931" s="42">
        <f>VLOOKUP($A931,'Neraca Unaudited SIMAK'!$A$2:$R$1272,5,FALSE)+IF(ISNA(VLOOKUP($A931,'Mutasi Neraca'!$A$3:$S$910,5,FALSE)),0,VLOOKUP($A931,'Mutasi Neraca'!$A$3:$S$910,5,FALSE))</f>
        <v>0</v>
      </c>
      <c r="G931" s="42">
        <f>VLOOKUP($A931,'Neraca Unaudited SIMAK'!$A$2:$R$1272,6,FALSE)+IF(ISNA(VLOOKUP($A931,'Mutasi Neraca'!$A$3:$S$910,6,FALSE)),0,VLOOKUP($A931,'Mutasi Neraca'!$A$3:$S$910,6,FALSE))</f>
        <v>0</v>
      </c>
      <c r="H931" s="42">
        <f>VLOOKUP($A931,'Neraca Unaudited SIMAK'!$A$2:$R$1272,7,FALSE)+IF(ISNA(VLOOKUP($A931,'Mutasi Neraca'!$A$3:$S$910,7,FALSE)),0,VLOOKUP($A931,'Mutasi Neraca'!$A$3:$S$910,7,FALSE))</f>
        <v>0</v>
      </c>
      <c r="I931" s="42">
        <f>VLOOKUP($A931,'Neraca Unaudited SIMAK'!$A$2:$R$1272,8,FALSE)+IF(ISNA(VLOOKUP($A931,'Mutasi Neraca'!$A$3:$S$910,8,FALSE)),0,VLOOKUP($A931,'Mutasi Neraca'!$A$3:$S$910,8,FALSE))</f>
        <v>0</v>
      </c>
      <c r="J931" s="42">
        <f>VLOOKUP($A931,'Neraca Unaudited SIMAK'!$A$2:$R$1272,9,FALSE)+IF(ISNA(VLOOKUP($A931,'Mutasi Neraca'!$A$3:$S$910,9,FALSE)),0,VLOOKUP($A931,'Mutasi Neraca'!$A$3:$S$910,9,FALSE))</f>
        <v>0</v>
      </c>
      <c r="K931" s="42">
        <f>VLOOKUP($A931,'Neraca Unaudited SIMAK'!$A$2:$R$1272,10,FALSE)+IF(ISNA(VLOOKUP($A931,'Mutasi Neraca'!$A$3:$S$910,10,FALSE)),0,VLOOKUP($A931,'Mutasi Neraca'!$A$3:$S$910,10,FALSE))</f>
        <v>0</v>
      </c>
      <c r="L931" s="42">
        <f>VLOOKUP($A931,'Neraca Unaudited SIMAK'!$A$2:$R$1272,11,FALSE)+IF(ISNA(VLOOKUP($A931,'Mutasi Neraca'!$A$3:$S$910,11,FALSE)),0,VLOOKUP($A931,'Mutasi Neraca'!$A$3:$S$910,11,FALSE))</f>
        <v>0</v>
      </c>
      <c r="M931" s="42">
        <f>VLOOKUP($A931,'Neraca Unaudited SIMAK'!$A$2:$R$1272,12,FALSE)+IF(ISNA(VLOOKUP($A931,'Mutasi Neraca'!$A$3:$S$910,12,FALSE)),0,VLOOKUP($A931,'Mutasi Neraca'!$A$3:$S$910,12,FALSE))</f>
        <v>0</v>
      </c>
      <c r="N931" s="42">
        <f>VLOOKUP($A931,'Neraca Unaudited SIMAK'!$A$2:$R$1272,13,FALSE)+IF(ISNA(VLOOKUP($A931,'Mutasi Neraca'!$A$3:$S$910,13,FALSE)),0,VLOOKUP($A931,'Mutasi Neraca'!$A$3:$S$910,13,FALSE))</f>
        <v>0</v>
      </c>
      <c r="O931" s="42">
        <f>VLOOKUP($A931,'Neraca Unaudited SIMAK'!$A$2:$R$1272,14,FALSE)+IF(ISNA(VLOOKUP($A931,'Mutasi Neraca'!$A$3:$S$910,14,FALSE)),0,VLOOKUP($A931,'Mutasi Neraca'!$A$3:$S$910,14,FALSE))</f>
        <v>0</v>
      </c>
      <c r="P931" s="42">
        <f>VLOOKUP($A931,'Neraca Unaudited SIMAK'!$A$2:$R$1272,15,FALSE)+IF(ISNA(VLOOKUP($A931,'Mutasi Neraca'!$A$3:$S$910,15,FALSE)),0,VLOOKUP($A931,'Mutasi Neraca'!$A$3:$S$910,15,FALSE))</f>
        <v>0</v>
      </c>
      <c r="Q931" s="42">
        <f>VLOOKUP($A931,'Neraca Unaudited SIMAK'!$A$2:$R$1272,16,FALSE)+IF(ISNA(VLOOKUP($A931,'Mutasi Neraca'!$A$3:$S$910,16,FALSE)),0,VLOOKUP($A931,'Mutasi Neraca'!$A$3:$S$910,16,FALSE))</f>
        <v>0</v>
      </c>
      <c r="R931" s="42">
        <f>VLOOKUP($A931,'Neraca Unaudited SIMAK'!$A$2:$R$1272,17,FALSE)+IF(ISNA(VLOOKUP($A931,'Mutasi Neraca'!$A$3:$S$910,17,FALSE)),0,VLOOKUP($A931,'Mutasi Neraca'!$A$3:$S$910,17,FALSE))</f>
        <v>0</v>
      </c>
      <c r="S931" s="42">
        <f t="shared" si="71"/>
        <v>0</v>
      </c>
    </row>
    <row r="932" spans="1:19">
      <c r="A932" s="41" t="s">
        <v>2264</v>
      </c>
      <c r="B932" s="41" t="str">
        <f t="shared" si="70"/>
        <v>005030500</v>
      </c>
      <c r="D932" s="42">
        <f>VLOOKUP($A932,'Neraca Unaudited SIMAK'!$A$2:$R$1272,3,FALSE)+IF(ISNA(VLOOKUP($A932,'Mutasi Neraca'!$A$3:$S$910,3,FALSE)),0,VLOOKUP($A932,'Mutasi Neraca'!$A$3:$S$910,3,FALSE))</f>
        <v>0</v>
      </c>
      <c r="E932" s="42">
        <f>VLOOKUP($A932,'Neraca Unaudited SIMAK'!$A$2:$R$1272,4,FALSE)+IF(ISNA(VLOOKUP($A932,'Mutasi Neraca'!$A$3:$S$910,4,FALSE)),0,VLOOKUP($A932,'Mutasi Neraca'!$A$3:$S$910,4,FALSE))</f>
        <v>0</v>
      </c>
      <c r="F932" s="42">
        <f>VLOOKUP($A932,'Neraca Unaudited SIMAK'!$A$2:$R$1272,5,FALSE)+IF(ISNA(VLOOKUP($A932,'Mutasi Neraca'!$A$3:$S$910,5,FALSE)),0,VLOOKUP($A932,'Mutasi Neraca'!$A$3:$S$910,5,FALSE))</f>
        <v>0</v>
      </c>
      <c r="G932" s="42">
        <f>VLOOKUP($A932,'Neraca Unaudited SIMAK'!$A$2:$R$1272,6,FALSE)+IF(ISNA(VLOOKUP($A932,'Mutasi Neraca'!$A$3:$S$910,6,FALSE)),0,VLOOKUP($A932,'Mutasi Neraca'!$A$3:$S$910,6,FALSE))</f>
        <v>0</v>
      </c>
      <c r="H932" s="42">
        <f>VLOOKUP($A932,'Neraca Unaudited SIMAK'!$A$2:$R$1272,7,FALSE)+IF(ISNA(VLOOKUP($A932,'Mutasi Neraca'!$A$3:$S$910,7,FALSE)),0,VLOOKUP($A932,'Mutasi Neraca'!$A$3:$S$910,7,FALSE))</f>
        <v>0</v>
      </c>
      <c r="I932" s="42">
        <f>VLOOKUP($A932,'Neraca Unaudited SIMAK'!$A$2:$R$1272,8,FALSE)+IF(ISNA(VLOOKUP($A932,'Mutasi Neraca'!$A$3:$S$910,8,FALSE)),0,VLOOKUP($A932,'Mutasi Neraca'!$A$3:$S$910,8,FALSE))</f>
        <v>0</v>
      </c>
      <c r="J932" s="42">
        <f>VLOOKUP($A932,'Neraca Unaudited SIMAK'!$A$2:$R$1272,9,FALSE)+IF(ISNA(VLOOKUP($A932,'Mutasi Neraca'!$A$3:$S$910,9,FALSE)),0,VLOOKUP($A932,'Mutasi Neraca'!$A$3:$S$910,9,FALSE))</f>
        <v>0</v>
      </c>
      <c r="K932" s="42">
        <f>VLOOKUP($A932,'Neraca Unaudited SIMAK'!$A$2:$R$1272,10,FALSE)+IF(ISNA(VLOOKUP($A932,'Mutasi Neraca'!$A$3:$S$910,10,FALSE)),0,VLOOKUP($A932,'Mutasi Neraca'!$A$3:$S$910,10,FALSE))</f>
        <v>0</v>
      </c>
      <c r="L932" s="42">
        <f>VLOOKUP($A932,'Neraca Unaudited SIMAK'!$A$2:$R$1272,11,FALSE)+IF(ISNA(VLOOKUP($A932,'Mutasi Neraca'!$A$3:$S$910,11,FALSE)),0,VLOOKUP($A932,'Mutasi Neraca'!$A$3:$S$910,11,FALSE))</f>
        <v>0</v>
      </c>
      <c r="M932" s="42">
        <f>VLOOKUP($A932,'Neraca Unaudited SIMAK'!$A$2:$R$1272,12,FALSE)+IF(ISNA(VLOOKUP($A932,'Mutasi Neraca'!$A$3:$S$910,12,FALSE)),0,VLOOKUP($A932,'Mutasi Neraca'!$A$3:$S$910,12,FALSE))</f>
        <v>0</v>
      </c>
      <c r="N932" s="42">
        <f>VLOOKUP($A932,'Neraca Unaudited SIMAK'!$A$2:$R$1272,13,FALSE)+IF(ISNA(VLOOKUP($A932,'Mutasi Neraca'!$A$3:$S$910,13,FALSE)),0,VLOOKUP($A932,'Mutasi Neraca'!$A$3:$S$910,13,FALSE))</f>
        <v>0</v>
      </c>
      <c r="O932" s="42">
        <f>VLOOKUP($A932,'Neraca Unaudited SIMAK'!$A$2:$R$1272,14,FALSE)+IF(ISNA(VLOOKUP($A932,'Mutasi Neraca'!$A$3:$S$910,14,FALSE)),0,VLOOKUP($A932,'Mutasi Neraca'!$A$3:$S$910,14,FALSE))</f>
        <v>0</v>
      </c>
      <c r="P932" s="42">
        <f>VLOOKUP($A932,'Neraca Unaudited SIMAK'!$A$2:$R$1272,15,FALSE)+IF(ISNA(VLOOKUP($A932,'Mutasi Neraca'!$A$3:$S$910,15,FALSE)),0,VLOOKUP($A932,'Mutasi Neraca'!$A$3:$S$910,15,FALSE))</f>
        <v>0</v>
      </c>
      <c r="Q932" s="42">
        <f>VLOOKUP($A932,'Neraca Unaudited SIMAK'!$A$2:$R$1272,16,FALSE)+IF(ISNA(VLOOKUP($A932,'Mutasi Neraca'!$A$3:$S$910,16,FALSE)),0,VLOOKUP($A932,'Mutasi Neraca'!$A$3:$S$910,16,FALSE))</f>
        <v>0</v>
      </c>
      <c r="R932" s="42">
        <f>VLOOKUP($A932,'Neraca Unaudited SIMAK'!$A$2:$R$1272,17,FALSE)+IF(ISNA(VLOOKUP($A932,'Mutasi Neraca'!$A$3:$S$910,17,FALSE)),0,VLOOKUP($A932,'Mutasi Neraca'!$A$3:$S$910,17,FALSE))</f>
        <v>0</v>
      </c>
      <c r="S932" s="42">
        <f t="shared" si="71"/>
        <v>0</v>
      </c>
    </row>
    <row r="933" spans="1:19">
      <c r="A933" s="41" t="s">
        <v>2030</v>
      </c>
      <c r="B933" s="41" t="str">
        <f t="shared" si="70"/>
        <v>005030600</v>
      </c>
      <c r="D933" s="42">
        <f>VLOOKUP($A933,'Neraca Unaudited SIMAK'!$A$2:$R$1272,3,FALSE)+IF(ISNA(VLOOKUP($A933,'Mutasi Neraca'!$A$3:$S$910,3,FALSE)),0,VLOOKUP($A933,'Mutasi Neraca'!$A$3:$S$910,3,FALSE))</f>
        <v>10145250</v>
      </c>
      <c r="E933" s="42">
        <f>VLOOKUP($A933,'Neraca Unaudited SIMAK'!$A$2:$R$1272,4,FALSE)+IF(ISNA(VLOOKUP($A933,'Mutasi Neraca'!$A$3:$S$910,4,FALSE)),0,VLOOKUP($A933,'Mutasi Neraca'!$A$3:$S$910,4,FALSE))</f>
        <v>0</v>
      </c>
      <c r="F933" s="42">
        <f>VLOOKUP($A933,'Neraca Unaudited SIMAK'!$A$2:$R$1272,5,FALSE)+IF(ISNA(VLOOKUP($A933,'Mutasi Neraca'!$A$3:$S$910,5,FALSE)),0,VLOOKUP($A933,'Mutasi Neraca'!$A$3:$S$910,5,FALSE))</f>
        <v>0</v>
      </c>
      <c r="G933" s="42">
        <f>VLOOKUP($A933,'Neraca Unaudited SIMAK'!$A$2:$R$1272,6,FALSE)+IF(ISNA(VLOOKUP($A933,'Mutasi Neraca'!$A$3:$S$910,6,FALSE)),0,VLOOKUP($A933,'Mutasi Neraca'!$A$3:$S$910,6,FALSE))</f>
        <v>0</v>
      </c>
      <c r="H933" s="42">
        <f>VLOOKUP($A933,'Neraca Unaudited SIMAK'!$A$2:$R$1272,7,FALSE)+IF(ISNA(VLOOKUP($A933,'Mutasi Neraca'!$A$3:$S$910,7,FALSE)),0,VLOOKUP($A933,'Mutasi Neraca'!$A$3:$S$910,7,FALSE))</f>
        <v>0</v>
      </c>
      <c r="I933" s="42">
        <f>VLOOKUP($A933,'Neraca Unaudited SIMAK'!$A$2:$R$1272,8,FALSE)+IF(ISNA(VLOOKUP($A933,'Mutasi Neraca'!$A$3:$S$910,8,FALSE)),0,VLOOKUP($A933,'Mutasi Neraca'!$A$3:$S$910,8,FALSE))</f>
        <v>0</v>
      </c>
      <c r="J933" s="42">
        <f>VLOOKUP($A933,'Neraca Unaudited SIMAK'!$A$2:$R$1272,9,FALSE)+IF(ISNA(VLOOKUP($A933,'Mutasi Neraca'!$A$3:$S$910,9,FALSE)),0,VLOOKUP($A933,'Mutasi Neraca'!$A$3:$S$910,9,FALSE))</f>
        <v>0</v>
      </c>
      <c r="K933" s="42">
        <f>VLOOKUP($A933,'Neraca Unaudited SIMAK'!$A$2:$R$1272,10,FALSE)+IF(ISNA(VLOOKUP($A933,'Mutasi Neraca'!$A$3:$S$910,10,FALSE)),0,VLOOKUP($A933,'Mutasi Neraca'!$A$3:$S$910,10,FALSE))</f>
        <v>0</v>
      </c>
      <c r="L933" s="42">
        <f>VLOOKUP($A933,'Neraca Unaudited SIMAK'!$A$2:$R$1272,11,FALSE)+IF(ISNA(VLOOKUP($A933,'Mutasi Neraca'!$A$3:$S$910,11,FALSE)),0,VLOOKUP($A933,'Mutasi Neraca'!$A$3:$S$910,11,FALSE))</f>
        <v>0</v>
      </c>
      <c r="M933" s="42">
        <f>VLOOKUP($A933,'Neraca Unaudited SIMAK'!$A$2:$R$1272,12,FALSE)+IF(ISNA(VLOOKUP($A933,'Mutasi Neraca'!$A$3:$S$910,12,FALSE)),0,VLOOKUP($A933,'Mutasi Neraca'!$A$3:$S$910,12,FALSE))</f>
        <v>10145250</v>
      </c>
      <c r="N933" s="42">
        <f>VLOOKUP($A933,'Neraca Unaudited SIMAK'!$A$2:$R$1272,13,FALSE)+IF(ISNA(VLOOKUP($A933,'Mutasi Neraca'!$A$3:$S$910,13,FALSE)),0,VLOOKUP($A933,'Mutasi Neraca'!$A$3:$S$910,13,FALSE))</f>
        <v>0</v>
      </c>
      <c r="O933" s="42">
        <f>VLOOKUP($A933,'Neraca Unaudited SIMAK'!$A$2:$R$1272,14,FALSE)+IF(ISNA(VLOOKUP($A933,'Mutasi Neraca'!$A$3:$S$910,14,FALSE)),0,VLOOKUP($A933,'Mutasi Neraca'!$A$3:$S$910,14,FALSE))</f>
        <v>0</v>
      </c>
      <c r="P933" s="42">
        <f>VLOOKUP($A933,'Neraca Unaudited SIMAK'!$A$2:$R$1272,15,FALSE)+IF(ISNA(VLOOKUP($A933,'Mutasi Neraca'!$A$3:$S$910,15,FALSE)),0,VLOOKUP($A933,'Mutasi Neraca'!$A$3:$S$910,15,FALSE))</f>
        <v>0</v>
      </c>
      <c r="Q933" s="42">
        <f>VLOOKUP($A933,'Neraca Unaudited SIMAK'!$A$2:$R$1272,16,FALSE)+IF(ISNA(VLOOKUP($A933,'Mutasi Neraca'!$A$3:$S$910,16,FALSE)),0,VLOOKUP($A933,'Mutasi Neraca'!$A$3:$S$910,16,FALSE))</f>
        <v>0</v>
      </c>
      <c r="R933" s="42">
        <f>VLOOKUP($A933,'Neraca Unaudited SIMAK'!$A$2:$R$1272,17,FALSE)+IF(ISNA(VLOOKUP($A933,'Mutasi Neraca'!$A$3:$S$910,17,FALSE)),0,VLOOKUP($A933,'Mutasi Neraca'!$A$3:$S$910,17,FALSE))</f>
        <v>0</v>
      </c>
      <c r="S933" s="42">
        <f t="shared" si="71"/>
        <v>10145250</v>
      </c>
    </row>
    <row r="934" spans="1:19">
      <c r="A934" s="41" t="s">
        <v>2265</v>
      </c>
      <c r="B934" s="41" t="str">
        <f t="shared" si="70"/>
        <v>005030600</v>
      </c>
      <c r="D934" s="42">
        <f>VLOOKUP($A934,'Neraca Unaudited SIMAK'!$A$2:$R$1272,3,FALSE)+IF(ISNA(VLOOKUP($A934,'Mutasi Neraca'!$A$3:$S$910,3,FALSE)),0,VLOOKUP($A934,'Mutasi Neraca'!$A$3:$S$910,3,FALSE))</f>
        <v>0</v>
      </c>
      <c r="E934" s="42">
        <f>VLOOKUP($A934,'Neraca Unaudited SIMAK'!$A$2:$R$1272,4,FALSE)+IF(ISNA(VLOOKUP($A934,'Mutasi Neraca'!$A$3:$S$910,4,FALSE)),0,VLOOKUP($A934,'Mutasi Neraca'!$A$3:$S$910,4,FALSE))</f>
        <v>0</v>
      </c>
      <c r="F934" s="42">
        <f>VLOOKUP($A934,'Neraca Unaudited SIMAK'!$A$2:$R$1272,5,FALSE)+IF(ISNA(VLOOKUP($A934,'Mutasi Neraca'!$A$3:$S$910,5,FALSE)),0,VLOOKUP($A934,'Mutasi Neraca'!$A$3:$S$910,5,FALSE))</f>
        <v>0</v>
      </c>
      <c r="G934" s="42">
        <f>VLOOKUP($A934,'Neraca Unaudited SIMAK'!$A$2:$R$1272,6,FALSE)+IF(ISNA(VLOOKUP($A934,'Mutasi Neraca'!$A$3:$S$910,6,FALSE)),0,VLOOKUP($A934,'Mutasi Neraca'!$A$3:$S$910,6,FALSE))</f>
        <v>0</v>
      </c>
      <c r="H934" s="42">
        <f>VLOOKUP($A934,'Neraca Unaudited SIMAK'!$A$2:$R$1272,7,FALSE)+IF(ISNA(VLOOKUP($A934,'Mutasi Neraca'!$A$3:$S$910,7,FALSE)),0,VLOOKUP($A934,'Mutasi Neraca'!$A$3:$S$910,7,FALSE))</f>
        <v>0</v>
      </c>
      <c r="I934" s="42">
        <f>VLOOKUP($A934,'Neraca Unaudited SIMAK'!$A$2:$R$1272,8,FALSE)+IF(ISNA(VLOOKUP($A934,'Mutasi Neraca'!$A$3:$S$910,8,FALSE)),0,VLOOKUP($A934,'Mutasi Neraca'!$A$3:$S$910,8,FALSE))</f>
        <v>0</v>
      </c>
      <c r="J934" s="42">
        <f>VLOOKUP($A934,'Neraca Unaudited SIMAK'!$A$2:$R$1272,9,FALSE)+IF(ISNA(VLOOKUP($A934,'Mutasi Neraca'!$A$3:$S$910,9,FALSE)),0,VLOOKUP($A934,'Mutasi Neraca'!$A$3:$S$910,9,FALSE))</f>
        <v>0</v>
      </c>
      <c r="K934" s="42">
        <f>VLOOKUP($A934,'Neraca Unaudited SIMAK'!$A$2:$R$1272,10,FALSE)+IF(ISNA(VLOOKUP($A934,'Mutasi Neraca'!$A$3:$S$910,10,FALSE)),0,VLOOKUP($A934,'Mutasi Neraca'!$A$3:$S$910,10,FALSE))</f>
        <v>0</v>
      </c>
      <c r="L934" s="42">
        <f>VLOOKUP($A934,'Neraca Unaudited SIMAK'!$A$2:$R$1272,11,FALSE)+IF(ISNA(VLOOKUP($A934,'Mutasi Neraca'!$A$3:$S$910,11,FALSE)),0,VLOOKUP($A934,'Mutasi Neraca'!$A$3:$S$910,11,FALSE))</f>
        <v>0</v>
      </c>
      <c r="M934" s="42">
        <f>VLOOKUP($A934,'Neraca Unaudited SIMAK'!$A$2:$R$1272,12,FALSE)+IF(ISNA(VLOOKUP($A934,'Mutasi Neraca'!$A$3:$S$910,12,FALSE)),0,VLOOKUP($A934,'Mutasi Neraca'!$A$3:$S$910,12,FALSE))</f>
        <v>0</v>
      </c>
      <c r="N934" s="42">
        <f>VLOOKUP($A934,'Neraca Unaudited SIMAK'!$A$2:$R$1272,13,FALSE)+IF(ISNA(VLOOKUP($A934,'Mutasi Neraca'!$A$3:$S$910,13,FALSE)),0,VLOOKUP($A934,'Mutasi Neraca'!$A$3:$S$910,13,FALSE))</f>
        <v>0</v>
      </c>
      <c r="O934" s="42">
        <f>VLOOKUP($A934,'Neraca Unaudited SIMAK'!$A$2:$R$1272,14,FALSE)+IF(ISNA(VLOOKUP($A934,'Mutasi Neraca'!$A$3:$S$910,14,FALSE)),0,VLOOKUP($A934,'Mutasi Neraca'!$A$3:$S$910,14,FALSE))</f>
        <v>0</v>
      </c>
      <c r="P934" s="42">
        <f>VLOOKUP($A934,'Neraca Unaudited SIMAK'!$A$2:$R$1272,15,FALSE)+IF(ISNA(VLOOKUP($A934,'Mutasi Neraca'!$A$3:$S$910,15,FALSE)),0,VLOOKUP($A934,'Mutasi Neraca'!$A$3:$S$910,15,FALSE))</f>
        <v>0</v>
      </c>
      <c r="Q934" s="42">
        <f>VLOOKUP($A934,'Neraca Unaudited SIMAK'!$A$2:$R$1272,16,FALSE)+IF(ISNA(VLOOKUP($A934,'Mutasi Neraca'!$A$3:$S$910,16,FALSE)),0,VLOOKUP($A934,'Mutasi Neraca'!$A$3:$S$910,16,FALSE))</f>
        <v>0</v>
      </c>
      <c r="R934" s="42">
        <f>VLOOKUP($A934,'Neraca Unaudited SIMAK'!$A$2:$R$1272,17,FALSE)+IF(ISNA(VLOOKUP($A934,'Mutasi Neraca'!$A$3:$S$910,17,FALSE)),0,VLOOKUP($A934,'Mutasi Neraca'!$A$3:$S$910,17,FALSE))</f>
        <v>0</v>
      </c>
      <c r="S934" s="42">
        <f t="shared" si="71"/>
        <v>0</v>
      </c>
    </row>
    <row r="935" spans="1:19">
      <c r="A935" s="41" t="s">
        <v>2031</v>
      </c>
      <c r="B935" s="41" t="str">
        <f t="shared" si="70"/>
        <v>005030600</v>
      </c>
      <c r="D935" s="42">
        <f>VLOOKUP($A935,'Neraca Unaudited SIMAK'!$A$2:$R$1272,3,FALSE)+IF(ISNA(VLOOKUP($A935,'Mutasi Neraca'!$A$3:$S$910,3,FALSE)),0,VLOOKUP($A935,'Mutasi Neraca'!$A$3:$S$910,3,FALSE))</f>
        <v>0</v>
      </c>
      <c r="E935" s="42">
        <f>VLOOKUP($A935,'Neraca Unaudited SIMAK'!$A$2:$R$1272,4,FALSE)+IF(ISNA(VLOOKUP($A935,'Mutasi Neraca'!$A$3:$S$910,4,FALSE)),0,VLOOKUP($A935,'Mutasi Neraca'!$A$3:$S$910,4,FALSE))</f>
        <v>0</v>
      </c>
      <c r="F935" s="42">
        <f>VLOOKUP($A935,'Neraca Unaudited SIMAK'!$A$2:$R$1272,5,FALSE)+IF(ISNA(VLOOKUP($A935,'Mutasi Neraca'!$A$3:$S$910,5,FALSE)),0,VLOOKUP($A935,'Mutasi Neraca'!$A$3:$S$910,5,FALSE))</f>
        <v>0</v>
      </c>
      <c r="G935" s="42">
        <f>VLOOKUP($A935,'Neraca Unaudited SIMAK'!$A$2:$R$1272,6,FALSE)+IF(ISNA(VLOOKUP($A935,'Mutasi Neraca'!$A$3:$S$910,6,FALSE)),0,VLOOKUP($A935,'Mutasi Neraca'!$A$3:$S$910,6,FALSE))</f>
        <v>0</v>
      </c>
      <c r="H935" s="42">
        <f>VLOOKUP($A935,'Neraca Unaudited SIMAK'!$A$2:$R$1272,7,FALSE)+IF(ISNA(VLOOKUP($A935,'Mutasi Neraca'!$A$3:$S$910,7,FALSE)),0,VLOOKUP($A935,'Mutasi Neraca'!$A$3:$S$910,7,FALSE))</f>
        <v>0</v>
      </c>
      <c r="I935" s="42">
        <f>VLOOKUP($A935,'Neraca Unaudited SIMAK'!$A$2:$R$1272,8,FALSE)+IF(ISNA(VLOOKUP($A935,'Mutasi Neraca'!$A$3:$S$910,8,FALSE)),0,VLOOKUP($A935,'Mutasi Neraca'!$A$3:$S$910,8,FALSE))</f>
        <v>0</v>
      </c>
      <c r="J935" s="42">
        <f>VLOOKUP($A935,'Neraca Unaudited SIMAK'!$A$2:$R$1272,9,FALSE)+IF(ISNA(VLOOKUP($A935,'Mutasi Neraca'!$A$3:$S$910,9,FALSE)),0,VLOOKUP($A935,'Mutasi Neraca'!$A$3:$S$910,9,FALSE))</f>
        <v>0</v>
      </c>
      <c r="K935" s="42">
        <f>VLOOKUP($A935,'Neraca Unaudited SIMAK'!$A$2:$R$1272,10,FALSE)+IF(ISNA(VLOOKUP($A935,'Mutasi Neraca'!$A$3:$S$910,10,FALSE)),0,VLOOKUP($A935,'Mutasi Neraca'!$A$3:$S$910,10,FALSE))</f>
        <v>0</v>
      </c>
      <c r="L935" s="42">
        <f>VLOOKUP($A935,'Neraca Unaudited SIMAK'!$A$2:$R$1272,11,FALSE)+IF(ISNA(VLOOKUP($A935,'Mutasi Neraca'!$A$3:$S$910,11,FALSE)),0,VLOOKUP($A935,'Mutasi Neraca'!$A$3:$S$910,11,FALSE))</f>
        <v>0</v>
      </c>
      <c r="M935" s="42">
        <f>VLOOKUP($A935,'Neraca Unaudited SIMAK'!$A$2:$R$1272,12,FALSE)+IF(ISNA(VLOOKUP($A935,'Mutasi Neraca'!$A$3:$S$910,12,FALSE)),0,VLOOKUP($A935,'Mutasi Neraca'!$A$3:$S$910,12,FALSE))</f>
        <v>0</v>
      </c>
      <c r="N935" s="42">
        <f>VLOOKUP($A935,'Neraca Unaudited SIMAK'!$A$2:$R$1272,13,FALSE)+IF(ISNA(VLOOKUP($A935,'Mutasi Neraca'!$A$3:$S$910,13,FALSE)),0,VLOOKUP($A935,'Mutasi Neraca'!$A$3:$S$910,13,FALSE))</f>
        <v>0</v>
      </c>
      <c r="O935" s="42">
        <f>VLOOKUP($A935,'Neraca Unaudited SIMAK'!$A$2:$R$1272,14,FALSE)+IF(ISNA(VLOOKUP($A935,'Mutasi Neraca'!$A$3:$S$910,14,FALSE)),0,VLOOKUP($A935,'Mutasi Neraca'!$A$3:$S$910,14,FALSE))</f>
        <v>0</v>
      </c>
      <c r="P935" s="42">
        <f>VLOOKUP($A935,'Neraca Unaudited SIMAK'!$A$2:$R$1272,15,FALSE)+IF(ISNA(VLOOKUP($A935,'Mutasi Neraca'!$A$3:$S$910,15,FALSE)),0,VLOOKUP($A935,'Mutasi Neraca'!$A$3:$S$910,15,FALSE))</f>
        <v>0</v>
      </c>
      <c r="Q935" s="42">
        <f>VLOOKUP($A935,'Neraca Unaudited SIMAK'!$A$2:$R$1272,16,FALSE)+IF(ISNA(VLOOKUP($A935,'Mutasi Neraca'!$A$3:$S$910,16,FALSE)),0,VLOOKUP($A935,'Mutasi Neraca'!$A$3:$S$910,16,FALSE))</f>
        <v>0</v>
      </c>
      <c r="R935" s="42">
        <f>VLOOKUP($A935,'Neraca Unaudited SIMAK'!$A$2:$R$1272,17,FALSE)+IF(ISNA(VLOOKUP($A935,'Mutasi Neraca'!$A$3:$S$910,17,FALSE)),0,VLOOKUP($A935,'Mutasi Neraca'!$A$3:$S$910,17,FALSE))</f>
        <v>0</v>
      </c>
      <c r="S935" s="42">
        <f t="shared" si="71"/>
        <v>0</v>
      </c>
    </row>
    <row r="936" spans="1:19">
      <c r="A936" s="41" t="s">
        <v>2189</v>
      </c>
      <c r="B936" s="41" t="str">
        <f t="shared" si="70"/>
        <v>005030600</v>
      </c>
      <c r="D936" s="42">
        <f>VLOOKUP($A936,'Neraca Unaudited SIMAK'!$A$2:$R$1272,3,FALSE)+IF(ISNA(VLOOKUP($A936,'Mutasi Neraca'!$A$3:$S$910,3,FALSE)),0,VLOOKUP($A936,'Mutasi Neraca'!$A$3:$S$910,3,FALSE))</f>
        <v>0</v>
      </c>
      <c r="E936" s="42">
        <f>VLOOKUP($A936,'Neraca Unaudited SIMAK'!$A$2:$R$1272,4,FALSE)+IF(ISNA(VLOOKUP($A936,'Mutasi Neraca'!$A$3:$S$910,4,FALSE)),0,VLOOKUP($A936,'Mutasi Neraca'!$A$3:$S$910,4,FALSE))</f>
        <v>0</v>
      </c>
      <c r="F936" s="42">
        <f>VLOOKUP($A936,'Neraca Unaudited SIMAK'!$A$2:$R$1272,5,FALSE)+IF(ISNA(VLOOKUP($A936,'Mutasi Neraca'!$A$3:$S$910,5,FALSE)),0,VLOOKUP($A936,'Mutasi Neraca'!$A$3:$S$910,5,FALSE))</f>
        <v>0</v>
      </c>
      <c r="G936" s="42">
        <f>VLOOKUP($A936,'Neraca Unaudited SIMAK'!$A$2:$R$1272,6,FALSE)+IF(ISNA(VLOOKUP($A936,'Mutasi Neraca'!$A$3:$S$910,6,FALSE)),0,VLOOKUP($A936,'Mutasi Neraca'!$A$3:$S$910,6,FALSE))</f>
        <v>0</v>
      </c>
      <c r="H936" s="42">
        <f>VLOOKUP($A936,'Neraca Unaudited SIMAK'!$A$2:$R$1272,7,FALSE)+IF(ISNA(VLOOKUP($A936,'Mutasi Neraca'!$A$3:$S$910,7,FALSE)),0,VLOOKUP($A936,'Mutasi Neraca'!$A$3:$S$910,7,FALSE))</f>
        <v>0</v>
      </c>
      <c r="I936" s="42">
        <f>VLOOKUP($A936,'Neraca Unaudited SIMAK'!$A$2:$R$1272,8,FALSE)+IF(ISNA(VLOOKUP($A936,'Mutasi Neraca'!$A$3:$S$910,8,FALSE)),0,VLOOKUP($A936,'Mutasi Neraca'!$A$3:$S$910,8,FALSE))</f>
        <v>0</v>
      </c>
      <c r="J936" s="42">
        <f>VLOOKUP($A936,'Neraca Unaudited SIMAK'!$A$2:$R$1272,9,FALSE)+IF(ISNA(VLOOKUP($A936,'Mutasi Neraca'!$A$3:$S$910,9,FALSE)),0,VLOOKUP($A936,'Mutasi Neraca'!$A$3:$S$910,9,FALSE))</f>
        <v>0</v>
      </c>
      <c r="K936" s="42">
        <f>VLOOKUP($A936,'Neraca Unaudited SIMAK'!$A$2:$R$1272,10,FALSE)+IF(ISNA(VLOOKUP($A936,'Mutasi Neraca'!$A$3:$S$910,10,FALSE)),0,VLOOKUP($A936,'Mutasi Neraca'!$A$3:$S$910,10,FALSE))</f>
        <v>0</v>
      </c>
      <c r="L936" s="42">
        <f>VLOOKUP($A936,'Neraca Unaudited SIMAK'!$A$2:$R$1272,11,FALSE)+IF(ISNA(VLOOKUP($A936,'Mutasi Neraca'!$A$3:$S$910,11,FALSE)),0,VLOOKUP($A936,'Mutasi Neraca'!$A$3:$S$910,11,FALSE))</f>
        <v>0</v>
      </c>
      <c r="M936" s="42">
        <f>VLOOKUP($A936,'Neraca Unaudited SIMAK'!$A$2:$R$1272,12,FALSE)+IF(ISNA(VLOOKUP($A936,'Mutasi Neraca'!$A$3:$S$910,12,FALSE)),0,VLOOKUP($A936,'Mutasi Neraca'!$A$3:$S$910,12,FALSE))</f>
        <v>0</v>
      </c>
      <c r="N936" s="42">
        <f>VLOOKUP($A936,'Neraca Unaudited SIMAK'!$A$2:$R$1272,13,FALSE)+IF(ISNA(VLOOKUP($A936,'Mutasi Neraca'!$A$3:$S$910,13,FALSE)),0,VLOOKUP($A936,'Mutasi Neraca'!$A$3:$S$910,13,FALSE))</f>
        <v>0</v>
      </c>
      <c r="O936" s="42">
        <f>VLOOKUP($A936,'Neraca Unaudited SIMAK'!$A$2:$R$1272,14,FALSE)+IF(ISNA(VLOOKUP($A936,'Mutasi Neraca'!$A$3:$S$910,14,FALSE)),0,VLOOKUP($A936,'Mutasi Neraca'!$A$3:$S$910,14,FALSE))</f>
        <v>0</v>
      </c>
      <c r="P936" s="42">
        <f>VLOOKUP($A936,'Neraca Unaudited SIMAK'!$A$2:$R$1272,15,FALSE)+IF(ISNA(VLOOKUP($A936,'Mutasi Neraca'!$A$3:$S$910,15,FALSE)),0,VLOOKUP($A936,'Mutasi Neraca'!$A$3:$S$910,15,FALSE))</f>
        <v>0</v>
      </c>
      <c r="Q936" s="42">
        <f>VLOOKUP($A936,'Neraca Unaudited SIMAK'!$A$2:$R$1272,16,FALSE)+IF(ISNA(VLOOKUP($A936,'Mutasi Neraca'!$A$3:$S$910,16,FALSE)),0,VLOOKUP($A936,'Mutasi Neraca'!$A$3:$S$910,16,FALSE))</f>
        <v>0</v>
      </c>
      <c r="R936" s="42">
        <f>VLOOKUP($A936,'Neraca Unaudited SIMAK'!$A$2:$R$1272,17,FALSE)+IF(ISNA(VLOOKUP($A936,'Mutasi Neraca'!$A$3:$S$910,17,FALSE)),0,VLOOKUP($A936,'Mutasi Neraca'!$A$3:$S$910,17,FALSE))</f>
        <v>0</v>
      </c>
      <c r="S936" s="42">
        <f t="shared" si="71"/>
        <v>0</v>
      </c>
    </row>
    <row r="937" spans="1:19">
      <c r="A937" s="41" t="s">
        <v>2032</v>
      </c>
      <c r="B937" s="41" t="str">
        <f t="shared" si="70"/>
        <v>005030600</v>
      </c>
      <c r="D937" s="42">
        <f>VLOOKUP($A937,'Neraca Unaudited SIMAK'!$A$2:$R$1272,3,FALSE)+IF(ISNA(VLOOKUP($A937,'Mutasi Neraca'!$A$3:$S$910,3,FALSE)),0,VLOOKUP($A937,'Mutasi Neraca'!$A$3:$S$910,3,FALSE))</f>
        <v>3498500</v>
      </c>
      <c r="E937" s="42">
        <f>VLOOKUP($A937,'Neraca Unaudited SIMAK'!$A$2:$R$1272,4,FALSE)+IF(ISNA(VLOOKUP($A937,'Mutasi Neraca'!$A$3:$S$910,4,FALSE)),0,VLOOKUP($A937,'Mutasi Neraca'!$A$3:$S$910,4,FALSE))</f>
        <v>0</v>
      </c>
      <c r="F937" s="42">
        <f>VLOOKUP($A937,'Neraca Unaudited SIMAK'!$A$2:$R$1272,5,FALSE)+IF(ISNA(VLOOKUP($A937,'Mutasi Neraca'!$A$3:$S$910,5,FALSE)),0,VLOOKUP($A937,'Mutasi Neraca'!$A$3:$S$910,5,FALSE))</f>
        <v>0</v>
      </c>
      <c r="G937" s="42">
        <f>VLOOKUP($A937,'Neraca Unaudited SIMAK'!$A$2:$R$1272,6,FALSE)+IF(ISNA(VLOOKUP($A937,'Mutasi Neraca'!$A$3:$S$910,6,FALSE)),0,VLOOKUP($A937,'Mutasi Neraca'!$A$3:$S$910,6,FALSE))</f>
        <v>0</v>
      </c>
      <c r="H937" s="42">
        <f>VLOOKUP($A937,'Neraca Unaudited SIMAK'!$A$2:$R$1272,7,FALSE)+IF(ISNA(VLOOKUP($A937,'Mutasi Neraca'!$A$3:$S$910,7,FALSE)),0,VLOOKUP($A937,'Mutasi Neraca'!$A$3:$S$910,7,FALSE))</f>
        <v>0</v>
      </c>
      <c r="I937" s="42">
        <f>VLOOKUP($A937,'Neraca Unaudited SIMAK'!$A$2:$R$1272,8,FALSE)+IF(ISNA(VLOOKUP($A937,'Mutasi Neraca'!$A$3:$S$910,8,FALSE)),0,VLOOKUP($A937,'Mutasi Neraca'!$A$3:$S$910,8,FALSE))</f>
        <v>0</v>
      </c>
      <c r="J937" s="42">
        <f>VLOOKUP($A937,'Neraca Unaudited SIMAK'!$A$2:$R$1272,9,FALSE)+IF(ISNA(VLOOKUP($A937,'Mutasi Neraca'!$A$3:$S$910,9,FALSE)),0,VLOOKUP($A937,'Mutasi Neraca'!$A$3:$S$910,9,FALSE))</f>
        <v>0</v>
      </c>
      <c r="K937" s="42">
        <f>VLOOKUP($A937,'Neraca Unaudited SIMAK'!$A$2:$R$1272,10,FALSE)+IF(ISNA(VLOOKUP($A937,'Mutasi Neraca'!$A$3:$S$910,10,FALSE)),0,VLOOKUP($A937,'Mutasi Neraca'!$A$3:$S$910,10,FALSE))</f>
        <v>0</v>
      </c>
      <c r="L937" s="42">
        <f>VLOOKUP($A937,'Neraca Unaudited SIMAK'!$A$2:$R$1272,11,FALSE)+IF(ISNA(VLOOKUP($A937,'Mutasi Neraca'!$A$3:$S$910,11,FALSE)),0,VLOOKUP($A937,'Mutasi Neraca'!$A$3:$S$910,11,FALSE))</f>
        <v>0</v>
      </c>
      <c r="M937" s="42">
        <f>VLOOKUP($A937,'Neraca Unaudited SIMAK'!$A$2:$R$1272,12,FALSE)+IF(ISNA(VLOOKUP($A937,'Mutasi Neraca'!$A$3:$S$910,12,FALSE)),0,VLOOKUP($A937,'Mutasi Neraca'!$A$3:$S$910,12,FALSE))</f>
        <v>3498500</v>
      </c>
      <c r="N937" s="42">
        <f>VLOOKUP($A937,'Neraca Unaudited SIMAK'!$A$2:$R$1272,13,FALSE)+IF(ISNA(VLOOKUP($A937,'Mutasi Neraca'!$A$3:$S$910,13,FALSE)),0,VLOOKUP($A937,'Mutasi Neraca'!$A$3:$S$910,13,FALSE))</f>
        <v>0</v>
      </c>
      <c r="O937" s="42">
        <f>VLOOKUP($A937,'Neraca Unaudited SIMAK'!$A$2:$R$1272,14,FALSE)+IF(ISNA(VLOOKUP($A937,'Mutasi Neraca'!$A$3:$S$910,14,FALSE)),0,VLOOKUP($A937,'Mutasi Neraca'!$A$3:$S$910,14,FALSE))</f>
        <v>0</v>
      </c>
      <c r="P937" s="42">
        <f>VLOOKUP($A937,'Neraca Unaudited SIMAK'!$A$2:$R$1272,15,FALSE)+IF(ISNA(VLOOKUP($A937,'Mutasi Neraca'!$A$3:$S$910,15,FALSE)),0,VLOOKUP($A937,'Mutasi Neraca'!$A$3:$S$910,15,FALSE))</f>
        <v>0</v>
      </c>
      <c r="Q937" s="42">
        <f>VLOOKUP($A937,'Neraca Unaudited SIMAK'!$A$2:$R$1272,16,FALSE)+IF(ISNA(VLOOKUP($A937,'Mutasi Neraca'!$A$3:$S$910,16,FALSE)),0,VLOOKUP($A937,'Mutasi Neraca'!$A$3:$S$910,16,FALSE))</f>
        <v>0</v>
      </c>
      <c r="R937" s="42">
        <f>VLOOKUP($A937,'Neraca Unaudited SIMAK'!$A$2:$R$1272,17,FALSE)+IF(ISNA(VLOOKUP($A937,'Mutasi Neraca'!$A$3:$S$910,17,FALSE)),0,VLOOKUP($A937,'Mutasi Neraca'!$A$3:$S$910,17,FALSE))</f>
        <v>0</v>
      </c>
      <c r="S937" s="42">
        <f t="shared" si="71"/>
        <v>3498500</v>
      </c>
    </row>
    <row r="938" spans="1:19">
      <c r="A938" s="41" t="s">
        <v>2033</v>
      </c>
      <c r="B938" s="41" t="str">
        <f t="shared" si="70"/>
        <v>005030600</v>
      </c>
      <c r="D938" s="42">
        <f>VLOOKUP($A938,'Neraca Unaudited SIMAK'!$A$2:$R$1272,3,FALSE)+IF(ISNA(VLOOKUP($A938,'Mutasi Neraca'!$A$3:$S$910,3,FALSE)),0,VLOOKUP($A938,'Mutasi Neraca'!$A$3:$S$910,3,FALSE))</f>
        <v>1214000</v>
      </c>
      <c r="E938" s="42">
        <f>VLOOKUP($A938,'Neraca Unaudited SIMAK'!$A$2:$R$1272,4,FALSE)+IF(ISNA(VLOOKUP($A938,'Mutasi Neraca'!$A$3:$S$910,4,FALSE)),0,VLOOKUP($A938,'Mutasi Neraca'!$A$3:$S$910,4,FALSE))</f>
        <v>0</v>
      </c>
      <c r="F938" s="42">
        <f>VLOOKUP($A938,'Neraca Unaudited SIMAK'!$A$2:$R$1272,5,FALSE)+IF(ISNA(VLOOKUP($A938,'Mutasi Neraca'!$A$3:$S$910,5,FALSE)),0,VLOOKUP($A938,'Mutasi Neraca'!$A$3:$S$910,5,FALSE))</f>
        <v>0</v>
      </c>
      <c r="G938" s="42">
        <f>VLOOKUP($A938,'Neraca Unaudited SIMAK'!$A$2:$R$1272,6,FALSE)+IF(ISNA(VLOOKUP($A938,'Mutasi Neraca'!$A$3:$S$910,6,FALSE)),0,VLOOKUP($A938,'Mutasi Neraca'!$A$3:$S$910,6,FALSE))</f>
        <v>0</v>
      </c>
      <c r="H938" s="42">
        <f>VLOOKUP($A938,'Neraca Unaudited SIMAK'!$A$2:$R$1272,7,FALSE)+IF(ISNA(VLOOKUP($A938,'Mutasi Neraca'!$A$3:$S$910,7,FALSE)),0,VLOOKUP($A938,'Mutasi Neraca'!$A$3:$S$910,7,FALSE))</f>
        <v>0</v>
      </c>
      <c r="I938" s="42">
        <f>VLOOKUP($A938,'Neraca Unaudited SIMAK'!$A$2:$R$1272,8,FALSE)+IF(ISNA(VLOOKUP($A938,'Mutasi Neraca'!$A$3:$S$910,8,FALSE)),0,VLOOKUP($A938,'Mutasi Neraca'!$A$3:$S$910,8,FALSE))</f>
        <v>0</v>
      </c>
      <c r="J938" s="42">
        <f>VLOOKUP($A938,'Neraca Unaudited SIMAK'!$A$2:$R$1272,9,FALSE)+IF(ISNA(VLOOKUP($A938,'Mutasi Neraca'!$A$3:$S$910,9,FALSE)),0,VLOOKUP($A938,'Mutasi Neraca'!$A$3:$S$910,9,FALSE))</f>
        <v>0</v>
      </c>
      <c r="K938" s="42">
        <f>VLOOKUP($A938,'Neraca Unaudited SIMAK'!$A$2:$R$1272,10,FALSE)+IF(ISNA(VLOOKUP($A938,'Mutasi Neraca'!$A$3:$S$910,10,FALSE)),0,VLOOKUP($A938,'Mutasi Neraca'!$A$3:$S$910,10,FALSE))</f>
        <v>0</v>
      </c>
      <c r="L938" s="42">
        <f>VLOOKUP($A938,'Neraca Unaudited SIMAK'!$A$2:$R$1272,11,FALSE)+IF(ISNA(VLOOKUP($A938,'Mutasi Neraca'!$A$3:$S$910,11,FALSE)),0,VLOOKUP($A938,'Mutasi Neraca'!$A$3:$S$910,11,FALSE))</f>
        <v>0</v>
      </c>
      <c r="M938" s="42">
        <f>VLOOKUP($A938,'Neraca Unaudited SIMAK'!$A$2:$R$1272,12,FALSE)+IF(ISNA(VLOOKUP($A938,'Mutasi Neraca'!$A$3:$S$910,12,FALSE)),0,VLOOKUP($A938,'Mutasi Neraca'!$A$3:$S$910,12,FALSE))</f>
        <v>1214000</v>
      </c>
      <c r="N938" s="42">
        <f>VLOOKUP($A938,'Neraca Unaudited SIMAK'!$A$2:$R$1272,13,FALSE)+IF(ISNA(VLOOKUP($A938,'Mutasi Neraca'!$A$3:$S$910,13,FALSE)),0,VLOOKUP($A938,'Mutasi Neraca'!$A$3:$S$910,13,FALSE))</f>
        <v>0</v>
      </c>
      <c r="O938" s="42">
        <f>VLOOKUP($A938,'Neraca Unaudited SIMAK'!$A$2:$R$1272,14,FALSE)+IF(ISNA(VLOOKUP($A938,'Mutasi Neraca'!$A$3:$S$910,14,FALSE)),0,VLOOKUP($A938,'Mutasi Neraca'!$A$3:$S$910,14,FALSE))</f>
        <v>0</v>
      </c>
      <c r="P938" s="42">
        <f>VLOOKUP($A938,'Neraca Unaudited SIMAK'!$A$2:$R$1272,15,FALSE)+IF(ISNA(VLOOKUP($A938,'Mutasi Neraca'!$A$3:$S$910,15,FALSE)),0,VLOOKUP($A938,'Mutasi Neraca'!$A$3:$S$910,15,FALSE))</f>
        <v>0</v>
      </c>
      <c r="Q938" s="42">
        <f>VLOOKUP($A938,'Neraca Unaudited SIMAK'!$A$2:$R$1272,16,FALSE)+IF(ISNA(VLOOKUP($A938,'Mutasi Neraca'!$A$3:$S$910,16,FALSE)),0,VLOOKUP($A938,'Mutasi Neraca'!$A$3:$S$910,16,FALSE))</f>
        <v>0</v>
      </c>
      <c r="R938" s="42">
        <f>VLOOKUP($A938,'Neraca Unaudited SIMAK'!$A$2:$R$1272,17,FALSE)+IF(ISNA(VLOOKUP($A938,'Mutasi Neraca'!$A$3:$S$910,17,FALSE)),0,VLOOKUP($A938,'Mutasi Neraca'!$A$3:$S$910,17,FALSE))</f>
        <v>0</v>
      </c>
      <c r="S938" s="42">
        <f t="shared" si="71"/>
        <v>1214000</v>
      </c>
    </row>
    <row r="939" spans="1:19">
      <c r="A939" s="41" t="s">
        <v>2034</v>
      </c>
      <c r="B939" s="41" t="str">
        <f t="shared" si="70"/>
        <v>005030600</v>
      </c>
      <c r="D939" s="42">
        <f>VLOOKUP($A939,'Neraca Unaudited SIMAK'!$A$2:$R$1272,3,FALSE)+IF(ISNA(VLOOKUP($A939,'Mutasi Neraca'!$A$3:$S$910,3,FALSE)),0,VLOOKUP($A939,'Mutasi Neraca'!$A$3:$S$910,3,FALSE))</f>
        <v>251500</v>
      </c>
      <c r="E939" s="42">
        <f>VLOOKUP($A939,'Neraca Unaudited SIMAK'!$A$2:$R$1272,4,FALSE)+IF(ISNA(VLOOKUP($A939,'Mutasi Neraca'!$A$3:$S$910,4,FALSE)),0,VLOOKUP($A939,'Mutasi Neraca'!$A$3:$S$910,4,FALSE))</f>
        <v>0</v>
      </c>
      <c r="F939" s="42">
        <f>VLOOKUP($A939,'Neraca Unaudited SIMAK'!$A$2:$R$1272,5,FALSE)+IF(ISNA(VLOOKUP($A939,'Mutasi Neraca'!$A$3:$S$910,5,FALSE)),0,VLOOKUP($A939,'Mutasi Neraca'!$A$3:$S$910,5,FALSE))</f>
        <v>0</v>
      </c>
      <c r="G939" s="42">
        <f>VLOOKUP($A939,'Neraca Unaudited SIMAK'!$A$2:$R$1272,6,FALSE)+IF(ISNA(VLOOKUP($A939,'Mutasi Neraca'!$A$3:$S$910,6,FALSE)),0,VLOOKUP($A939,'Mutasi Neraca'!$A$3:$S$910,6,FALSE))</f>
        <v>0</v>
      </c>
      <c r="H939" s="42">
        <f>VLOOKUP($A939,'Neraca Unaudited SIMAK'!$A$2:$R$1272,7,FALSE)+IF(ISNA(VLOOKUP($A939,'Mutasi Neraca'!$A$3:$S$910,7,FALSE)),0,VLOOKUP($A939,'Mutasi Neraca'!$A$3:$S$910,7,FALSE))</f>
        <v>0</v>
      </c>
      <c r="I939" s="42">
        <f>VLOOKUP($A939,'Neraca Unaudited SIMAK'!$A$2:$R$1272,8,FALSE)+IF(ISNA(VLOOKUP($A939,'Mutasi Neraca'!$A$3:$S$910,8,FALSE)),0,VLOOKUP($A939,'Mutasi Neraca'!$A$3:$S$910,8,FALSE))</f>
        <v>0</v>
      </c>
      <c r="J939" s="42">
        <f>VLOOKUP($A939,'Neraca Unaudited SIMAK'!$A$2:$R$1272,9,FALSE)+IF(ISNA(VLOOKUP($A939,'Mutasi Neraca'!$A$3:$S$910,9,FALSE)),0,VLOOKUP($A939,'Mutasi Neraca'!$A$3:$S$910,9,FALSE))</f>
        <v>0</v>
      </c>
      <c r="K939" s="42">
        <f>VLOOKUP($A939,'Neraca Unaudited SIMAK'!$A$2:$R$1272,10,FALSE)+IF(ISNA(VLOOKUP($A939,'Mutasi Neraca'!$A$3:$S$910,10,FALSE)),0,VLOOKUP($A939,'Mutasi Neraca'!$A$3:$S$910,10,FALSE))</f>
        <v>0</v>
      </c>
      <c r="L939" s="42">
        <f>VLOOKUP($A939,'Neraca Unaudited SIMAK'!$A$2:$R$1272,11,FALSE)+IF(ISNA(VLOOKUP($A939,'Mutasi Neraca'!$A$3:$S$910,11,FALSE)),0,VLOOKUP($A939,'Mutasi Neraca'!$A$3:$S$910,11,FALSE))</f>
        <v>0</v>
      </c>
      <c r="M939" s="42">
        <f>VLOOKUP($A939,'Neraca Unaudited SIMAK'!$A$2:$R$1272,12,FALSE)+IF(ISNA(VLOOKUP($A939,'Mutasi Neraca'!$A$3:$S$910,12,FALSE)),0,VLOOKUP($A939,'Mutasi Neraca'!$A$3:$S$910,12,FALSE))</f>
        <v>251500</v>
      </c>
      <c r="N939" s="42">
        <f>VLOOKUP($A939,'Neraca Unaudited SIMAK'!$A$2:$R$1272,13,FALSE)+IF(ISNA(VLOOKUP($A939,'Mutasi Neraca'!$A$3:$S$910,13,FALSE)),0,VLOOKUP($A939,'Mutasi Neraca'!$A$3:$S$910,13,FALSE))</f>
        <v>0</v>
      </c>
      <c r="O939" s="42">
        <f>VLOOKUP($A939,'Neraca Unaudited SIMAK'!$A$2:$R$1272,14,FALSE)+IF(ISNA(VLOOKUP($A939,'Mutasi Neraca'!$A$3:$S$910,14,FALSE)),0,VLOOKUP($A939,'Mutasi Neraca'!$A$3:$S$910,14,FALSE))</f>
        <v>0</v>
      </c>
      <c r="P939" s="42">
        <f>VLOOKUP($A939,'Neraca Unaudited SIMAK'!$A$2:$R$1272,15,FALSE)+IF(ISNA(VLOOKUP($A939,'Mutasi Neraca'!$A$3:$S$910,15,FALSE)),0,VLOOKUP($A939,'Mutasi Neraca'!$A$3:$S$910,15,FALSE))</f>
        <v>0</v>
      </c>
      <c r="Q939" s="42">
        <f>VLOOKUP($A939,'Neraca Unaudited SIMAK'!$A$2:$R$1272,16,FALSE)+IF(ISNA(VLOOKUP($A939,'Mutasi Neraca'!$A$3:$S$910,16,FALSE)),0,VLOOKUP($A939,'Mutasi Neraca'!$A$3:$S$910,16,FALSE))</f>
        <v>0</v>
      </c>
      <c r="R939" s="42">
        <f>VLOOKUP($A939,'Neraca Unaudited SIMAK'!$A$2:$R$1272,17,FALSE)+IF(ISNA(VLOOKUP($A939,'Mutasi Neraca'!$A$3:$S$910,17,FALSE)),0,VLOOKUP($A939,'Mutasi Neraca'!$A$3:$S$910,17,FALSE))</f>
        <v>0</v>
      </c>
      <c r="S939" s="42">
        <f t="shared" si="71"/>
        <v>251500</v>
      </c>
    </row>
    <row r="940" spans="1:19">
      <c r="A940" s="41" t="s">
        <v>2190</v>
      </c>
      <c r="B940" s="41" t="str">
        <f t="shared" si="70"/>
        <v>005030600</v>
      </c>
      <c r="D940" s="42">
        <f>VLOOKUP($A940,'Neraca Unaudited SIMAK'!$A$2:$R$1272,3,FALSE)+IF(ISNA(VLOOKUP($A940,'Mutasi Neraca'!$A$3:$S$910,3,FALSE)),0,VLOOKUP($A940,'Mutasi Neraca'!$A$3:$S$910,3,FALSE))</f>
        <v>508300</v>
      </c>
      <c r="E940" s="42">
        <f>VLOOKUP($A940,'Neraca Unaudited SIMAK'!$A$2:$R$1272,4,FALSE)+IF(ISNA(VLOOKUP($A940,'Mutasi Neraca'!$A$3:$S$910,4,FALSE)),0,VLOOKUP($A940,'Mutasi Neraca'!$A$3:$S$910,4,FALSE))</f>
        <v>0</v>
      </c>
      <c r="F940" s="42">
        <f>VLOOKUP($A940,'Neraca Unaudited SIMAK'!$A$2:$R$1272,5,FALSE)+IF(ISNA(VLOOKUP($A940,'Mutasi Neraca'!$A$3:$S$910,5,FALSE)),0,VLOOKUP($A940,'Mutasi Neraca'!$A$3:$S$910,5,FALSE))</f>
        <v>0</v>
      </c>
      <c r="G940" s="42">
        <f>VLOOKUP($A940,'Neraca Unaudited SIMAK'!$A$2:$R$1272,6,FALSE)+IF(ISNA(VLOOKUP($A940,'Mutasi Neraca'!$A$3:$S$910,6,FALSE)),0,VLOOKUP($A940,'Mutasi Neraca'!$A$3:$S$910,6,FALSE))</f>
        <v>0</v>
      </c>
      <c r="H940" s="42">
        <f>VLOOKUP($A940,'Neraca Unaudited SIMAK'!$A$2:$R$1272,7,FALSE)+IF(ISNA(VLOOKUP($A940,'Mutasi Neraca'!$A$3:$S$910,7,FALSE)),0,VLOOKUP($A940,'Mutasi Neraca'!$A$3:$S$910,7,FALSE))</f>
        <v>0</v>
      </c>
      <c r="I940" s="42">
        <f>VLOOKUP($A940,'Neraca Unaudited SIMAK'!$A$2:$R$1272,8,FALSE)+IF(ISNA(VLOOKUP($A940,'Mutasi Neraca'!$A$3:$S$910,8,FALSE)),0,VLOOKUP($A940,'Mutasi Neraca'!$A$3:$S$910,8,FALSE))</f>
        <v>0</v>
      </c>
      <c r="J940" s="42">
        <f>VLOOKUP($A940,'Neraca Unaudited SIMAK'!$A$2:$R$1272,9,FALSE)+IF(ISNA(VLOOKUP($A940,'Mutasi Neraca'!$A$3:$S$910,9,FALSE)),0,VLOOKUP($A940,'Mutasi Neraca'!$A$3:$S$910,9,FALSE))</f>
        <v>0</v>
      </c>
      <c r="K940" s="42">
        <f>VLOOKUP($A940,'Neraca Unaudited SIMAK'!$A$2:$R$1272,10,FALSE)+IF(ISNA(VLOOKUP($A940,'Mutasi Neraca'!$A$3:$S$910,10,FALSE)),0,VLOOKUP($A940,'Mutasi Neraca'!$A$3:$S$910,10,FALSE))</f>
        <v>0</v>
      </c>
      <c r="L940" s="42">
        <f>VLOOKUP($A940,'Neraca Unaudited SIMAK'!$A$2:$R$1272,11,FALSE)+IF(ISNA(VLOOKUP($A940,'Mutasi Neraca'!$A$3:$S$910,11,FALSE)),0,VLOOKUP($A940,'Mutasi Neraca'!$A$3:$S$910,11,FALSE))</f>
        <v>0</v>
      </c>
      <c r="M940" s="42">
        <f>VLOOKUP($A940,'Neraca Unaudited SIMAK'!$A$2:$R$1272,12,FALSE)+IF(ISNA(VLOOKUP($A940,'Mutasi Neraca'!$A$3:$S$910,12,FALSE)),0,VLOOKUP($A940,'Mutasi Neraca'!$A$3:$S$910,12,FALSE))</f>
        <v>508300</v>
      </c>
      <c r="N940" s="42">
        <f>VLOOKUP($A940,'Neraca Unaudited SIMAK'!$A$2:$R$1272,13,FALSE)+IF(ISNA(VLOOKUP($A940,'Mutasi Neraca'!$A$3:$S$910,13,FALSE)),0,VLOOKUP($A940,'Mutasi Neraca'!$A$3:$S$910,13,FALSE))</f>
        <v>0</v>
      </c>
      <c r="O940" s="42">
        <f>VLOOKUP($A940,'Neraca Unaudited SIMAK'!$A$2:$R$1272,14,FALSE)+IF(ISNA(VLOOKUP($A940,'Mutasi Neraca'!$A$3:$S$910,14,FALSE)),0,VLOOKUP($A940,'Mutasi Neraca'!$A$3:$S$910,14,FALSE))</f>
        <v>0</v>
      </c>
      <c r="P940" s="42">
        <f>VLOOKUP($A940,'Neraca Unaudited SIMAK'!$A$2:$R$1272,15,FALSE)+IF(ISNA(VLOOKUP($A940,'Mutasi Neraca'!$A$3:$S$910,15,FALSE)),0,VLOOKUP($A940,'Mutasi Neraca'!$A$3:$S$910,15,FALSE))</f>
        <v>0</v>
      </c>
      <c r="Q940" s="42">
        <f>VLOOKUP($A940,'Neraca Unaudited SIMAK'!$A$2:$R$1272,16,FALSE)+IF(ISNA(VLOOKUP($A940,'Mutasi Neraca'!$A$3:$S$910,16,FALSE)),0,VLOOKUP($A940,'Mutasi Neraca'!$A$3:$S$910,16,FALSE))</f>
        <v>0</v>
      </c>
      <c r="R940" s="42">
        <f>VLOOKUP($A940,'Neraca Unaudited SIMAK'!$A$2:$R$1272,17,FALSE)+IF(ISNA(VLOOKUP($A940,'Mutasi Neraca'!$A$3:$S$910,17,FALSE)),0,VLOOKUP($A940,'Mutasi Neraca'!$A$3:$S$910,17,FALSE))</f>
        <v>0</v>
      </c>
      <c r="S940" s="42">
        <f t="shared" si="71"/>
        <v>508300</v>
      </c>
    </row>
    <row r="941" spans="1:19">
      <c r="A941" s="41" t="s">
        <v>2035</v>
      </c>
      <c r="B941" s="41" t="str">
        <f t="shared" si="70"/>
        <v>005030600</v>
      </c>
      <c r="D941" s="42">
        <f>VLOOKUP($A941,'Neraca Unaudited SIMAK'!$A$2:$R$1272,3,FALSE)+IF(ISNA(VLOOKUP($A941,'Mutasi Neraca'!$A$3:$S$910,3,FALSE)),0,VLOOKUP($A941,'Mutasi Neraca'!$A$3:$S$910,3,FALSE))</f>
        <v>0</v>
      </c>
      <c r="E941" s="42">
        <f>VLOOKUP($A941,'Neraca Unaudited SIMAK'!$A$2:$R$1272,4,FALSE)+IF(ISNA(VLOOKUP($A941,'Mutasi Neraca'!$A$3:$S$910,4,FALSE)),0,VLOOKUP($A941,'Mutasi Neraca'!$A$3:$S$910,4,FALSE))</f>
        <v>0</v>
      </c>
      <c r="F941" s="42">
        <f>VLOOKUP($A941,'Neraca Unaudited SIMAK'!$A$2:$R$1272,5,FALSE)+IF(ISNA(VLOOKUP($A941,'Mutasi Neraca'!$A$3:$S$910,5,FALSE)),0,VLOOKUP($A941,'Mutasi Neraca'!$A$3:$S$910,5,FALSE))</f>
        <v>0</v>
      </c>
      <c r="G941" s="42">
        <f>VLOOKUP($A941,'Neraca Unaudited SIMAK'!$A$2:$R$1272,6,FALSE)+IF(ISNA(VLOOKUP($A941,'Mutasi Neraca'!$A$3:$S$910,6,FALSE)),0,VLOOKUP($A941,'Mutasi Neraca'!$A$3:$S$910,6,FALSE))</f>
        <v>0</v>
      </c>
      <c r="H941" s="42">
        <f>VLOOKUP($A941,'Neraca Unaudited SIMAK'!$A$2:$R$1272,7,FALSE)+IF(ISNA(VLOOKUP($A941,'Mutasi Neraca'!$A$3:$S$910,7,FALSE)),0,VLOOKUP($A941,'Mutasi Neraca'!$A$3:$S$910,7,FALSE))</f>
        <v>0</v>
      </c>
      <c r="I941" s="42">
        <f>VLOOKUP($A941,'Neraca Unaudited SIMAK'!$A$2:$R$1272,8,FALSE)+IF(ISNA(VLOOKUP($A941,'Mutasi Neraca'!$A$3:$S$910,8,FALSE)),0,VLOOKUP($A941,'Mutasi Neraca'!$A$3:$S$910,8,FALSE))</f>
        <v>0</v>
      </c>
      <c r="J941" s="42">
        <f>VLOOKUP($A941,'Neraca Unaudited SIMAK'!$A$2:$R$1272,9,FALSE)+IF(ISNA(VLOOKUP($A941,'Mutasi Neraca'!$A$3:$S$910,9,FALSE)),0,VLOOKUP($A941,'Mutasi Neraca'!$A$3:$S$910,9,FALSE))</f>
        <v>0</v>
      </c>
      <c r="K941" s="42">
        <f>VLOOKUP($A941,'Neraca Unaudited SIMAK'!$A$2:$R$1272,10,FALSE)+IF(ISNA(VLOOKUP($A941,'Mutasi Neraca'!$A$3:$S$910,10,FALSE)),0,VLOOKUP($A941,'Mutasi Neraca'!$A$3:$S$910,10,FALSE))</f>
        <v>0</v>
      </c>
      <c r="L941" s="42">
        <f>VLOOKUP($A941,'Neraca Unaudited SIMAK'!$A$2:$R$1272,11,FALSE)+IF(ISNA(VLOOKUP($A941,'Mutasi Neraca'!$A$3:$S$910,11,FALSE)),0,VLOOKUP($A941,'Mutasi Neraca'!$A$3:$S$910,11,FALSE))</f>
        <v>0</v>
      </c>
      <c r="M941" s="42">
        <f>VLOOKUP($A941,'Neraca Unaudited SIMAK'!$A$2:$R$1272,12,FALSE)+IF(ISNA(VLOOKUP($A941,'Mutasi Neraca'!$A$3:$S$910,12,FALSE)),0,VLOOKUP($A941,'Mutasi Neraca'!$A$3:$S$910,12,FALSE))</f>
        <v>0</v>
      </c>
      <c r="N941" s="42">
        <f>VLOOKUP($A941,'Neraca Unaudited SIMAK'!$A$2:$R$1272,13,FALSE)+IF(ISNA(VLOOKUP($A941,'Mutasi Neraca'!$A$3:$S$910,13,FALSE)),0,VLOOKUP($A941,'Mutasi Neraca'!$A$3:$S$910,13,FALSE))</f>
        <v>0</v>
      </c>
      <c r="O941" s="42">
        <f>VLOOKUP($A941,'Neraca Unaudited SIMAK'!$A$2:$R$1272,14,FALSE)+IF(ISNA(VLOOKUP($A941,'Mutasi Neraca'!$A$3:$S$910,14,FALSE)),0,VLOOKUP($A941,'Mutasi Neraca'!$A$3:$S$910,14,FALSE))</f>
        <v>0</v>
      </c>
      <c r="P941" s="42">
        <f>VLOOKUP($A941,'Neraca Unaudited SIMAK'!$A$2:$R$1272,15,FALSE)+IF(ISNA(VLOOKUP($A941,'Mutasi Neraca'!$A$3:$S$910,15,FALSE)),0,VLOOKUP($A941,'Mutasi Neraca'!$A$3:$S$910,15,FALSE))</f>
        <v>0</v>
      </c>
      <c r="Q941" s="42">
        <f>VLOOKUP($A941,'Neraca Unaudited SIMAK'!$A$2:$R$1272,16,FALSE)+IF(ISNA(VLOOKUP($A941,'Mutasi Neraca'!$A$3:$S$910,16,FALSE)),0,VLOOKUP($A941,'Mutasi Neraca'!$A$3:$S$910,16,FALSE))</f>
        <v>0</v>
      </c>
      <c r="R941" s="42">
        <f>VLOOKUP($A941,'Neraca Unaudited SIMAK'!$A$2:$R$1272,17,FALSE)+IF(ISNA(VLOOKUP($A941,'Mutasi Neraca'!$A$3:$S$910,17,FALSE)),0,VLOOKUP($A941,'Mutasi Neraca'!$A$3:$S$910,17,FALSE))</f>
        <v>0</v>
      </c>
      <c r="S941" s="42">
        <f t="shared" si="71"/>
        <v>0</v>
      </c>
    </row>
    <row r="942" spans="1:19">
      <c r="A942" s="41" t="s">
        <v>2036</v>
      </c>
      <c r="B942" s="41" t="str">
        <f t="shared" si="70"/>
        <v>005030600</v>
      </c>
      <c r="D942" s="42">
        <f>VLOOKUP($A942,'Neraca Unaudited SIMAK'!$A$2:$R$1272,3,FALSE)+IF(ISNA(VLOOKUP($A942,'Mutasi Neraca'!$A$3:$S$910,3,FALSE)),0,VLOOKUP($A942,'Mutasi Neraca'!$A$3:$S$910,3,FALSE))</f>
        <v>0</v>
      </c>
      <c r="E942" s="42">
        <f>VLOOKUP($A942,'Neraca Unaudited SIMAK'!$A$2:$R$1272,4,FALSE)+IF(ISNA(VLOOKUP($A942,'Mutasi Neraca'!$A$3:$S$910,4,FALSE)),0,VLOOKUP($A942,'Mutasi Neraca'!$A$3:$S$910,4,FALSE))</f>
        <v>0</v>
      </c>
      <c r="F942" s="42">
        <f>VLOOKUP($A942,'Neraca Unaudited SIMAK'!$A$2:$R$1272,5,FALSE)+IF(ISNA(VLOOKUP($A942,'Mutasi Neraca'!$A$3:$S$910,5,FALSE)),0,VLOOKUP($A942,'Mutasi Neraca'!$A$3:$S$910,5,FALSE))</f>
        <v>0</v>
      </c>
      <c r="G942" s="42">
        <f>VLOOKUP($A942,'Neraca Unaudited SIMAK'!$A$2:$R$1272,6,FALSE)+IF(ISNA(VLOOKUP($A942,'Mutasi Neraca'!$A$3:$S$910,6,FALSE)),0,VLOOKUP($A942,'Mutasi Neraca'!$A$3:$S$910,6,FALSE))</f>
        <v>0</v>
      </c>
      <c r="H942" s="42">
        <f>VLOOKUP($A942,'Neraca Unaudited SIMAK'!$A$2:$R$1272,7,FALSE)+IF(ISNA(VLOOKUP($A942,'Mutasi Neraca'!$A$3:$S$910,7,FALSE)),0,VLOOKUP($A942,'Mutasi Neraca'!$A$3:$S$910,7,FALSE))</f>
        <v>0</v>
      </c>
      <c r="I942" s="42">
        <f>VLOOKUP($A942,'Neraca Unaudited SIMAK'!$A$2:$R$1272,8,FALSE)+IF(ISNA(VLOOKUP($A942,'Mutasi Neraca'!$A$3:$S$910,8,FALSE)),0,VLOOKUP($A942,'Mutasi Neraca'!$A$3:$S$910,8,FALSE))</f>
        <v>0</v>
      </c>
      <c r="J942" s="42">
        <f>VLOOKUP($A942,'Neraca Unaudited SIMAK'!$A$2:$R$1272,9,FALSE)+IF(ISNA(VLOOKUP($A942,'Mutasi Neraca'!$A$3:$S$910,9,FALSE)),0,VLOOKUP($A942,'Mutasi Neraca'!$A$3:$S$910,9,FALSE))</f>
        <v>0</v>
      </c>
      <c r="K942" s="42">
        <f>VLOOKUP($A942,'Neraca Unaudited SIMAK'!$A$2:$R$1272,10,FALSE)+IF(ISNA(VLOOKUP($A942,'Mutasi Neraca'!$A$3:$S$910,10,FALSE)),0,VLOOKUP($A942,'Mutasi Neraca'!$A$3:$S$910,10,FALSE))</f>
        <v>0</v>
      </c>
      <c r="L942" s="42">
        <f>VLOOKUP($A942,'Neraca Unaudited SIMAK'!$A$2:$R$1272,11,FALSE)+IF(ISNA(VLOOKUP($A942,'Mutasi Neraca'!$A$3:$S$910,11,FALSE)),0,VLOOKUP($A942,'Mutasi Neraca'!$A$3:$S$910,11,FALSE))</f>
        <v>0</v>
      </c>
      <c r="M942" s="42">
        <f>VLOOKUP($A942,'Neraca Unaudited SIMAK'!$A$2:$R$1272,12,FALSE)+IF(ISNA(VLOOKUP($A942,'Mutasi Neraca'!$A$3:$S$910,12,FALSE)),0,VLOOKUP($A942,'Mutasi Neraca'!$A$3:$S$910,12,FALSE))</f>
        <v>0</v>
      </c>
      <c r="N942" s="42">
        <f>VLOOKUP($A942,'Neraca Unaudited SIMAK'!$A$2:$R$1272,13,FALSE)+IF(ISNA(VLOOKUP($A942,'Mutasi Neraca'!$A$3:$S$910,13,FALSE)),0,VLOOKUP($A942,'Mutasi Neraca'!$A$3:$S$910,13,FALSE))</f>
        <v>0</v>
      </c>
      <c r="O942" s="42">
        <f>VLOOKUP($A942,'Neraca Unaudited SIMAK'!$A$2:$R$1272,14,FALSE)+IF(ISNA(VLOOKUP($A942,'Mutasi Neraca'!$A$3:$S$910,14,FALSE)),0,VLOOKUP($A942,'Mutasi Neraca'!$A$3:$S$910,14,FALSE))</f>
        <v>0</v>
      </c>
      <c r="P942" s="42">
        <f>VLOOKUP($A942,'Neraca Unaudited SIMAK'!$A$2:$R$1272,15,FALSE)+IF(ISNA(VLOOKUP($A942,'Mutasi Neraca'!$A$3:$S$910,15,FALSE)),0,VLOOKUP($A942,'Mutasi Neraca'!$A$3:$S$910,15,FALSE))</f>
        <v>0</v>
      </c>
      <c r="Q942" s="42">
        <f>VLOOKUP($A942,'Neraca Unaudited SIMAK'!$A$2:$R$1272,16,FALSE)+IF(ISNA(VLOOKUP($A942,'Mutasi Neraca'!$A$3:$S$910,16,FALSE)),0,VLOOKUP($A942,'Mutasi Neraca'!$A$3:$S$910,16,FALSE))</f>
        <v>0</v>
      </c>
      <c r="R942" s="42">
        <f>VLOOKUP($A942,'Neraca Unaudited SIMAK'!$A$2:$R$1272,17,FALSE)+IF(ISNA(VLOOKUP($A942,'Mutasi Neraca'!$A$3:$S$910,17,FALSE)),0,VLOOKUP($A942,'Mutasi Neraca'!$A$3:$S$910,17,FALSE))</f>
        <v>0</v>
      </c>
      <c r="S942" s="42">
        <f t="shared" si="71"/>
        <v>0</v>
      </c>
    </row>
    <row r="943" spans="1:19">
      <c r="A943" s="41" t="s">
        <v>924</v>
      </c>
      <c r="B943" s="41" t="str">
        <f t="shared" si="70"/>
        <v>005030600</v>
      </c>
      <c r="D943" s="42">
        <f>VLOOKUP($A943,'Neraca Unaudited SIMAK'!$A$2:$R$1272,3,FALSE)+IF(ISNA(VLOOKUP($A943,'Mutasi Neraca'!$A$3:$S$910,3,FALSE)),0,VLOOKUP($A943,'Mutasi Neraca'!$A$3:$S$910,3,FALSE))</f>
        <v>0</v>
      </c>
      <c r="E943" s="42">
        <f>VLOOKUP($A943,'Neraca Unaudited SIMAK'!$A$2:$R$1272,4,FALSE)+IF(ISNA(VLOOKUP($A943,'Mutasi Neraca'!$A$3:$S$910,4,FALSE)),0,VLOOKUP($A943,'Mutasi Neraca'!$A$3:$S$910,4,FALSE))</f>
        <v>0</v>
      </c>
      <c r="F943" s="42">
        <f>VLOOKUP($A943,'Neraca Unaudited SIMAK'!$A$2:$R$1272,5,FALSE)+IF(ISNA(VLOOKUP($A943,'Mutasi Neraca'!$A$3:$S$910,5,FALSE)),0,VLOOKUP($A943,'Mutasi Neraca'!$A$3:$S$910,5,FALSE))</f>
        <v>0</v>
      </c>
      <c r="G943" s="42">
        <f>VLOOKUP($A943,'Neraca Unaudited SIMAK'!$A$2:$R$1272,6,FALSE)+IF(ISNA(VLOOKUP($A943,'Mutasi Neraca'!$A$3:$S$910,6,FALSE)),0,VLOOKUP($A943,'Mutasi Neraca'!$A$3:$S$910,6,FALSE))</f>
        <v>0</v>
      </c>
      <c r="H943" s="42">
        <f>VLOOKUP($A943,'Neraca Unaudited SIMAK'!$A$2:$R$1272,7,FALSE)+IF(ISNA(VLOOKUP($A943,'Mutasi Neraca'!$A$3:$S$910,7,FALSE)),0,VLOOKUP($A943,'Mutasi Neraca'!$A$3:$S$910,7,FALSE))</f>
        <v>0</v>
      </c>
      <c r="I943" s="42">
        <f>VLOOKUP($A943,'Neraca Unaudited SIMAK'!$A$2:$R$1272,8,FALSE)+IF(ISNA(VLOOKUP($A943,'Mutasi Neraca'!$A$3:$S$910,8,FALSE)),0,VLOOKUP($A943,'Mutasi Neraca'!$A$3:$S$910,8,FALSE))</f>
        <v>0</v>
      </c>
      <c r="J943" s="42">
        <f>VLOOKUP($A943,'Neraca Unaudited SIMAK'!$A$2:$R$1272,9,FALSE)+IF(ISNA(VLOOKUP($A943,'Mutasi Neraca'!$A$3:$S$910,9,FALSE)),0,VLOOKUP($A943,'Mutasi Neraca'!$A$3:$S$910,9,FALSE))</f>
        <v>0</v>
      </c>
      <c r="K943" s="42">
        <f>VLOOKUP($A943,'Neraca Unaudited SIMAK'!$A$2:$R$1272,10,FALSE)+IF(ISNA(VLOOKUP($A943,'Mutasi Neraca'!$A$3:$S$910,10,FALSE)),0,VLOOKUP($A943,'Mutasi Neraca'!$A$3:$S$910,10,FALSE))</f>
        <v>0</v>
      </c>
      <c r="L943" s="42">
        <f>VLOOKUP($A943,'Neraca Unaudited SIMAK'!$A$2:$R$1272,11,FALSE)+IF(ISNA(VLOOKUP($A943,'Mutasi Neraca'!$A$3:$S$910,11,FALSE)),0,VLOOKUP($A943,'Mutasi Neraca'!$A$3:$S$910,11,FALSE))</f>
        <v>0</v>
      </c>
      <c r="M943" s="42">
        <f>VLOOKUP($A943,'Neraca Unaudited SIMAK'!$A$2:$R$1272,12,FALSE)+IF(ISNA(VLOOKUP($A943,'Mutasi Neraca'!$A$3:$S$910,12,FALSE)),0,VLOOKUP($A943,'Mutasi Neraca'!$A$3:$S$910,12,FALSE))</f>
        <v>0</v>
      </c>
      <c r="N943" s="42">
        <f>VLOOKUP($A943,'Neraca Unaudited SIMAK'!$A$2:$R$1272,13,FALSE)+IF(ISNA(VLOOKUP($A943,'Mutasi Neraca'!$A$3:$S$910,13,FALSE)),0,VLOOKUP($A943,'Mutasi Neraca'!$A$3:$S$910,13,FALSE))</f>
        <v>0</v>
      </c>
      <c r="O943" s="42">
        <f>VLOOKUP($A943,'Neraca Unaudited SIMAK'!$A$2:$R$1272,14,FALSE)+IF(ISNA(VLOOKUP($A943,'Mutasi Neraca'!$A$3:$S$910,14,FALSE)),0,VLOOKUP($A943,'Mutasi Neraca'!$A$3:$S$910,14,FALSE))</f>
        <v>0</v>
      </c>
      <c r="P943" s="42">
        <f>VLOOKUP($A943,'Neraca Unaudited SIMAK'!$A$2:$R$1272,15,FALSE)+IF(ISNA(VLOOKUP($A943,'Mutasi Neraca'!$A$3:$S$910,15,FALSE)),0,VLOOKUP($A943,'Mutasi Neraca'!$A$3:$S$910,15,FALSE))</f>
        <v>0</v>
      </c>
      <c r="Q943" s="42">
        <f>VLOOKUP($A943,'Neraca Unaudited SIMAK'!$A$2:$R$1272,16,FALSE)+IF(ISNA(VLOOKUP($A943,'Mutasi Neraca'!$A$3:$S$910,16,FALSE)),0,VLOOKUP($A943,'Mutasi Neraca'!$A$3:$S$910,16,FALSE))</f>
        <v>0</v>
      </c>
      <c r="R943" s="42">
        <f>VLOOKUP($A943,'Neraca Unaudited SIMAK'!$A$2:$R$1272,17,FALSE)+IF(ISNA(VLOOKUP($A943,'Mutasi Neraca'!$A$3:$S$910,17,FALSE)),0,VLOOKUP($A943,'Mutasi Neraca'!$A$3:$S$910,17,FALSE))</f>
        <v>0</v>
      </c>
      <c r="S943" s="42">
        <f t="shared" si="71"/>
        <v>0</v>
      </c>
    </row>
    <row r="944" spans="1:19">
      <c r="A944" s="41" t="s">
        <v>2037</v>
      </c>
      <c r="B944" s="41" t="str">
        <f t="shared" si="70"/>
        <v>005030600</v>
      </c>
      <c r="D944" s="42">
        <f>VLOOKUP($A944,'Neraca Unaudited SIMAK'!$A$2:$R$1272,3,FALSE)+IF(ISNA(VLOOKUP($A944,'Mutasi Neraca'!$A$3:$S$910,3,FALSE)),0,VLOOKUP($A944,'Mutasi Neraca'!$A$3:$S$910,3,FALSE))</f>
        <v>0</v>
      </c>
      <c r="E944" s="42">
        <f>VLOOKUP($A944,'Neraca Unaudited SIMAK'!$A$2:$R$1272,4,FALSE)+IF(ISNA(VLOOKUP($A944,'Mutasi Neraca'!$A$3:$S$910,4,FALSE)),0,VLOOKUP($A944,'Mutasi Neraca'!$A$3:$S$910,4,FALSE))</f>
        <v>0</v>
      </c>
      <c r="F944" s="42">
        <f>VLOOKUP($A944,'Neraca Unaudited SIMAK'!$A$2:$R$1272,5,FALSE)+IF(ISNA(VLOOKUP($A944,'Mutasi Neraca'!$A$3:$S$910,5,FALSE)),0,VLOOKUP($A944,'Mutasi Neraca'!$A$3:$S$910,5,FALSE))</f>
        <v>0</v>
      </c>
      <c r="G944" s="42">
        <f>VLOOKUP($A944,'Neraca Unaudited SIMAK'!$A$2:$R$1272,6,FALSE)+IF(ISNA(VLOOKUP($A944,'Mutasi Neraca'!$A$3:$S$910,6,FALSE)),0,VLOOKUP($A944,'Mutasi Neraca'!$A$3:$S$910,6,FALSE))</f>
        <v>0</v>
      </c>
      <c r="H944" s="42">
        <f>VLOOKUP($A944,'Neraca Unaudited SIMAK'!$A$2:$R$1272,7,FALSE)+IF(ISNA(VLOOKUP($A944,'Mutasi Neraca'!$A$3:$S$910,7,FALSE)),0,VLOOKUP($A944,'Mutasi Neraca'!$A$3:$S$910,7,FALSE))</f>
        <v>0</v>
      </c>
      <c r="I944" s="42">
        <f>VLOOKUP($A944,'Neraca Unaudited SIMAK'!$A$2:$R$1272,8,FALSE)+IF(ISNA(VLOOKUP($A944,'Mutasi Neraca'!$A$3:$S$910,8,FALSE)),0,VLOOKUP($A944,'Mutasi Neraca'!$A$3:$S$910,8,FALSE))</f>
        <v>0</v>
      </c>
      <c r="J944" s="42">
        <f>VLOOKUP($A944,'Neraca Unaudited SIMAK'!$A$2:$R$1272,9,FALSE)+IF(ISNA(VLOOKUP($A944,'Mutasi Neraca'!$A$3:$S$910,9,FALSE)),0,VLOOKUP($A944,'Mutasi Neraca'!$A$3:$S$910,9,FALSE))</f>
        <v>0</v>
      </c>
      <c r="K944" s="42">
        <f>VLOOKUP($A944,'Neraca Unaudited SIMAK'!$A$2:$R$1272,10,FALSE)+IF(ISNA(VLOOKUP($A944,'Mutasi Neraca'!$A$3:$S$910,10,FALSE)),0,VLOOKUP($A944,'Mutasi Neraca'!$A$3:$S$910,10,FALSE))</f>
        <v>0</v>
      </c>
      <c r="L944" s="42">
        <f>VLOOKUP($A944,'Neraca Unaudited SIMAK'!$A$2:$R$1272,11,FALSE)+IF(ISNA(VLOOKUP($A944,'Mutasi Neraca'!$A$3:$S$910,11,FALSE)),0,VLOOKUP($A944,'Mutasi Neraca'!$A$3:$S$910,11,FALSE))</f>
        <v>0</v>
      </c>
      <c r="M944" s="42">
        <f>VLOOKUP($A944,'Neraca Unaudited SIMAK'!$A$2:$R$1272,12,FALSE)+IF(ISNA(VLOOKUP($A944,'Mutasi Neraca'!$A$3:$S$910,12,FALSE)),0,VLOOKUP($A944,'Mutasi Neraca'!$A$3:$S$910,12,FALSE))</f>
        <v>0</v>
      </c>
      <c r="N944" s="42">
        <f>VLOOKUP($A944,'Neraca Unaudited SIMAK'!$A$2:$R$1272,13,FALSE)+IF(ISNA(VLOOKUP($A944,'Mutasi Neraca'!$A$3:$S$910,13,FALSE)),0,VLOOKUP($A944,'Mutasi Neraca'!$A$3:$S$910,13,FALSE))</f>
        <v>0</v>
      </c>
      <c r="O944" s="42">
        <f>VLOOKUP($A944,'Neraca Unaudited SIMAK'!$A$2:$R$1272,14,FALSE)+IF(ISNA(VLOOKUP($A944,'Mutasi Neraca'!$A$3:$S$910,14,FALSE)),0,VLOOKUP($A944,'Mutasi Neraca'!$A$3:$S$910,14,FALSE))</f>
        <v>0</v>
      </c>
      <c r="P944" s="42">
        <f>VLOOKUP($A944,'Neraca Unaudited SIMAK'!$A$2:$R$1272,15,FALSE)+IF(ISNA(VLOOKUP($A944,'Mutasi Neraca'!$A$3:$S$910,15,FALSE)),0,VLOOKUP($A944,'Mutasi Neraca'!$A$3:$S$910,15,FALSE))</f>
        <v>0</v>
      </c>
      <c r="Q944" s="42">
        <f>VLOOKUP($A944,'Neraca Unaudited SIMAK'!$A$2:$R$1272,16,FALSE)+IF(ISNA(VLOOKUP($A944,'Mutasi Neraca'!$A$3:$S$910,16,FALSE)),0,VLOOKUP($A944,'Mutasi Neraca'!$A$3:$S$910,16,FALSE))</f>
        <v>0</v>
      </c>
      <c r="R944" s="42">
        <f>VLOOKUP($A944,'Neraca Unaudited SIMAK'!$A$2:$R$1272,17,FALSE)+IF(ISNA(VLOOKUP($A944,'Mutasi Neraca'!$A$3:$S$910,17,FALSE)),0,VLOOKUP($A944,'Mutasi Neraca'!$A$3:$S$910,17,FALSE))</f>
        <v>0</v>
      </c>
      <c r="S944" s="42">
        <f t="shared" si="71"/>
        <v>0</v>
      </c>
    </row>
    <row r="945" spans="1:19">
      <c r="A945" s="41" t="s">
        <v>2038</v>
      </c>
      <c r="B945" s="41" t="str">
        <f t="shared" si="70"/>
        <v>005030600</v>
      </c>
      <c r="D945" s="42">
        <f>VLOOKUP($A945,'Neraca Unaudited SIMAK'!$A$2:$R$1272,3,FALSE)+IF(ISNA(VLOOKUP($A945,'Mutasi Neraca'!$A$3:$S$910,3,FALSE)),0,VLOOKUP($A945,'Mutasi Neraca'!$A$3:$S$910,3,FALSE))</f>
        <v>1971000</v>
      </c>
      <c r="E945" s="42">
        <f>VLOOKUP($A945,'Neraca Unaudited SIMAK'!$A$2:$R$1272,4,FALSE)+IF(ISNA(VLOOKUP($A945,'Mutasi Neraca'!$A$3:$S$910,4,FALSE)),0,VLOOKUP($A945,'Mutasi Neraca'!$A$3:$S$910,4,FALSE))</f>
        <v>0</v>
      </c>
      <c r="F945" s="42">
        <f>VLOOKUP($A945,'Neraca Unaudited SIMAK'!$A$2:$R$1272,5,FALSE)+IF(ISNA(VLOOKUP($A945,'Mutasi Neraca'!$A$3:$S$910,5,FALSE)),0,VLOOKUP($A945,'Mutasi Neraca'!$A$3:$S$910,5,FALSE))</f>
        <v>0</v>
      </c>
      <c r="G945" s="42">
        <f>VLOOKUP($A945,'Neraca Unaudited SIMAK'!$A$2:$R$1272,6,FALSE)+IF(ISNA(VLOOKUP($A945,'Mutasi Neraca'!$A$3:$S$910,6,FALSE)),0,VLOOKUP($A945,'Mutasi Neraca'!$A$3:$S$910,6,FALSE))</f>
        <v>0</v>
      </c>
      <c r="H945" s="42">
        <f>VLOOKUP($A945,'Neraca Unaudited SIMAK'!$A$2:$R$1272,7,FALSE)+IF(ISNA(VLOOKUP($A945,'Mutasi Neraca'!$A$3:$S$910,7,FALSE)),0,VLOOKUP($A945,'Mutasi Neraca'!$A$3:$S$910,7,FALSE))</f>
        <v>0</v>
      </c>
      <c r="I945" s="42">
        <f>VLOOKUP($A945,'Neraca Unaudited SIMAK'!$A$2:$R$1272,8,FALSE)+IF(ISNA(VLOOKUP($A945,'Mutasi Neraca'!$A$3:$S$910,8,FALSE)),0,VLOOKUP($A945,'Mutasi Neraca'!$A$3:$S$910,8,FALSE))</f>
        <v>0</v>
      </c>
      <c r="J945" s="42">
        <f>VLOOKUP($A945,'Neraca Unaudited SIMAK'!$A$2:$R$1272,9,FALSE)+IF(ISNA(VLOOKUP($A945,'Mutasi Neraca'!$A$3:$S$910,9,FALSE)),0,VLOOKUP($A945,'Mutasi Neraca'!$A$3:$S$910,9,FALSE))</f>
        <v>0</v>
      </c>
      <c r="K945" s="42">
        <f>VLOOKUP($A945,'Neraca Unaudited SIMAK'!$A$2:$R$1272,10,FALSE)+IF(ISNA(VLOOKUP($A945,'Mutasi Neraca'!$A$3:$S$910,10,FALSE)),0,VLOOKUP($A945,'Mutasi Neraca'!$A$3:$S$910,10,FALSE))</f>
        <v>0</v>
      </c>
      <c r="L945" s="42">
        <f>VLOOKUP($A945,'Neraca Unaudited SIMAK'!$A$2:$R$1272,11,FALSE)+IF(ISNA(VLOOKUP($A945,'Mutasi Neraca'!$A$3:$S$910,11,FALSE)),0,VLOOKUP($A945,'Mutasi Neraca'!$A$3:$S$910,11,FALSE))</f>
        <v>0</v>
      </c>
      <c r="M945" s="42">
        <f>VLOOKUP($A945,'Neraca Unaudited SIMAK'!$A$2:$R$1272,12,FALSE)+IF(ISNA(VLOOKUP($A945,'Mutasi Neraca'!$A$3:$S$910,12,FALSE)),0,VLOOKUP($A945,'Mutasi Neraca'!$A$3:$S$910,12,FALSE))</f>
        <v>1971000</v>
      </c>
      <c r="N945" s="42">
        <f>VLOOKUP($A945,'Neraca Unaudited SIMAK'!$A$2:$R$1272,13,FALSE)+IF(ISNA(VLOOKUP($A945,'Mutasi Neraca'!$A$3:$S$910,13,FALSE)),0,VLOOKUP($A945,'Mutasi Neraca'!$A$3:$S$910,13,FALSE))</f>
        <v>0</v>
      </c>
      <c r="O945" s="42">
        <f>VLOOKUP($A945,'Neraca Unaudited SIMAK'!$A$2:$R$1272,14,FALSE)+IF(ISNA(VLOOKUP($A945,'Mutasi Neraca'!$A$3:$S$910,14,FALSE)),0,VLOOKUP($A945,'Mutasi Neraca'!$A$3:$S$910,14,FALSE))</f>
        <v>0</v>
      </c>
      <c r="P945" s="42">
        <f>VLOOKUP($A945,'Neraca Unaudited SIMAK'!$A$2:$R$1272,15,FALSE)+IF(ISNA(VLOOKUP($A945,'Mutasi Neraca'!$A$3:$S$910,15,FALSE)),0,VLOOKUP($A945,'Mutasi Neraca'!$A$3:$S$910,15,FALSE))</f>
        <v>0</v>
      </c>
      <c r="Q945" s="42">
        <f>VLOOKUP($A945,'Neraca Unaudited SIMAK'!$A$2:$R$1272,16,FALSE)+IF(ISNA(VLOOKUP($A945,'Mutasi Neraca'!$A$3:$S$910,16,FALSE)),0,VLOOKUP($A945,'Mutasi Neraca'!$A$3:$S$910,16,FALSE))</f>
        <v>0</v>
      </c>
      <c r="R945" s="42">
        <f>VLOOKUP($A945,'Neraca Unaudited SIMAK'!$A$2:$R$1272,17,FALSE)+IF(ISNA(VLOOKUP($A945,'Mutasi Neraca'!$A$3:$S$910,17,FALSE)),0,VLOOKUP($A945,'Mutasi Neraca'!$A$3:$S$910,17,FALSE))</f>
        <v>0</v>
      </c>
      <c r="S945" s="42">
        <f t="shared" si="71"/>
        <v>1971000</v>
      </c>
    </row>
    <row r="946" spans="1:19">
      <c r="A946" s="41" t="s">
        <v>925</v>
      </c>
      <c r="B946" s="41" t="str">
        <f t="shared" si="70"/>
        <v>005030600</v>
      </c>
      <c r="D946" s="42">
        <f>VLOOKUP($A946,'Neraca Unaudited SIMAK'!$A$2:$R$1272,3,FALSE)+IF(ISNA(VLOOKUP($A946,'Mutasi Neraca'!$A$3:$S$910,3,FALSE)),0,VLOOKUP($A946,'Mutasi Neraca'!$A$3:$S$910,3,FALSE))</f>
        <v>7668000</v>
      </c>
      <c r="E946" s="42">
        <f>VLOOKUP($A946,'Neraca Unaudited SIMAK'!$A$2:$R$1272,4,FALSE)+IF(ISNA(VLOOKUP($A946,'Mutasi Neraca'!$A$3:$S$910,4,FALSE)),0,VLOOKUP($A946,'Mutasi Neraca'!$A$3:$S$910,4,FALSE))</f>
        <v>0</v>
      </c>
      <c r="F946" s="42">
        <f>VLOOKUP($A946,'Neraca Unaudited SIMAK'!$A$2:$R$1272,5,FALSE)+IF(ISNA(VLOOKUP($A946,'Mutasi Neraca'!$A$3:$S$910,5,FALSE)),0,VLOOKUP($A946,'Mutasi Neraca'!$A$3:$S$910,5,FALSE))</f>
        <v>0</v>
      </c>
      <c r="G946" s="42">
        <f>VLOOKUP($A946,'Neraca Unaudited SIMAK'!$A$2:$R$1272,6,FALSE)+IF(ISNA(VLOOKUP($A946,'Mutasi Neraca'!$A$3:$S$910,6,FALSE)),0,VLOOKUP($A946,'Mutasi Neraca'!$A$3:$S$910,6,FALSE))</f>
        <v>0</v>
      </c>
      <c r="H946" s="42">
        <f>VLOOKUP($A946,'Neraca Unaudited SIMAK'!$A$2:$R$1272,7,FALSE)+IF(ISNA(VLOOKUP($A946,'Mutasi Neraca'!$A$3:$S$910,7,FALSE)),0,VLOOKUP($A946,'Mutasi Neraca'!$A$3:$S$910,7,FALSE))</f>
        <v>0</v>
      </c>
      <c r="I946" s="42">
        <f>VLOOKUP($A946,'Neraca Unaudited SIMAK'!$A$2:$R$1272,8,FALSE)+IF(ISNA(VLOOKUP($A946,'Mutasi Neraca'!$A$3:$S$910,8,FALSE)),0,VLOOKUP($A946,'Mutasi Neraca'!$A$3:$S$910,8,FALSE))</f>
        <v>0</v>
      </c>
      <c r="J946" s="42">
        <f>VLOOKUP($A946,'Neraca Unaudited SIMAK'!$A$2:$R$1272,9,FALSE)+IF(ISNA(VLOOKUP($A946,'Mutasi Neraca'!$A$3:$S$910,9,FALSE)),0,VLOOKUP($A946,'Mutasi Neraca'!$A$3:$S$910,9,FALSE))</f>
        <v>0</v>
      </c>
      <c r="K946" s="42">
        <f>VLOOKUP($A946,'Neraca Unaudited SIMAK'!$A$2:$R$1272,10,FALSE)+IF(ISNA(VLOOKUP($A946,'Mutasi Neraca'!$A$3:$S$910,10,FALSE)),0,VLOOKUP($A946,'Mutasi Neraca'!$A$3:$S$910,10,FALSE))</f>
        <v>0</v>
      </c>
      <c r="L946" s="42">
        <f>VLOOKUP($A946,'Neraca Unaudited SIMAK'!$A$2:$R$1272,11,FALSE)+IF(ISNA(VLOOKUP($A946,'Mutasi Neraca'!$A$3:$S$910,11,FALSE)),0,VLOOKUP($A946,'Mutasi Neraca'!$A$3:$S$910,11,FALSE))</f>
        <v>0</v>
      </c>
      <c r="M946" s="42">
        <f>VLOOKUP($A946,'Neraca Unaudited SIMAK'!$A$2:$R$1272,12,FALSE)+IF(ISNA(VLOOKUP($A946,'Mutasi Neraca'!$A$3:$S$910,12,FALSE)),0,VLOOKUP($A946,'Mutasi Neraca'!$A$3:$S$910,12,FALSE))</f>
        <v>7668000</v>
      </c>
      <c r="N946" s="42">
        <f>VLOOKUP($A946,'Neraca Unaudited SIMAK'!$A$2:$R$1272,13,FALSE)+IF(ISNA(VLOOKUP($A946,'Mutasi Neraca'!$A$3:$S$910,13,FALSE)),0,VLOOKUP($A946,'Mutasi Neraca'!$A$3:$S$910,13,FALSE))</f>
        <v>0</v>
      </c>
      <c r="O946" s="42">
        <f>VLOOKUP($A946,'Neraca Unaudited SIMAK'!$A$2:$R$1272,14,FALSE)+IF(ISNA(VLOOKUP($A946,'Mutasi Neraca'!$A$3:$S$910,14,FALSE)),0,VLOOKUP($A946,'Mutasi Neraca'!$A$3:$S$910,14,FALSE))</f>
        <v>0</v>
      </c>
      <c r="P946" s="42">
        <f>VLOOKUP($A946,'Neraca Unaudited SIMAK'!$A$2:$R$1272,15,FALSE)+IF(ISNA(VLOOKUP($A946,'Mutasi Neraca'!$A$3:$S$910,15,FALSE)),0,VLOOKUP($A946,'Mutasi Neraca'!$A$3:$S$910,15,FALSE))</f>
        <v>0</v>
      </c>
      <c r="Q946" s="42">
        <f>VLOOKUP($A946,'Neraca Unaudited SIMAK'!$A$2:$R$1272,16,FALSE)+IF(ISNA(VLOOKUP($A946,'Mutasi Neraca'!$A$3:$S$910,16,FALSE)),0,VLOOKUP($A946,'Mutasi Neraca'!$A$3:$S$910,16,FALSE))</f>
        <v>0</v>
      </c>
      <c r="R946" s="42">
        <f>VLOOKUP($A946,'Neraca Unaudited SIMAK'!$A$2:$R$1272,17,FALSE)+IF(ISNA(VLOOKUP($A946,'Mutasi Neraca'!$A$3:$S$910,17,FALSE)),0,VLOOKUP($A946,'Mutasi Neraca'!$A$3:$S$910,17,FALSE))</f>
        <v>0</v>
      </c>
      <c r="S946" s="42">
        <f t="shared" si="71"/>
        <v>7668000</v>
      </c>
    </row>
    <row r="947" spans="1:19">
      <c r="A947" s="41" t="s">
        <v>2039</v>
      </c>
      <c r="B947" s="41" t="str">
        <f t="shared" si="70"/>
        <v>005030600</v>
      </c>
      <c r="D947" s="42">
        <f>VLOOKUP($A947,'Neraca Unaudited SIMAK'!$A$2:$R$1272,3,FALSE)+IF(ISNA(VLOOKUP($A947,'Mutasi Neraca'!$A$3:$S$910,3,FALSE)),0,VLOOKUP($A947,'Mutasi Neraca'!$A$3:$S$910,3,FALSE))</f>
        <v>0</v>
      </c>
      <c r="E947" s="42">
        <f>VLOOKUP($A947,'Neraca Unaudited SIMAK'!$A$2:$R$1272,4,FALSE)+IF(ISNA(VLOOKUP($A947,'Mutasi Neraca'!$A$3:$S$910,4,FALSE)),0,VLOOKUP($A947,'Mutasi Neraca'!$A$3:$S$910,4,FALSE))</f>
        <v>0</v>
      </c>
      <c r="F947" s="42">
        <f>VLOOKUP($A947,'Neraca Unaudited SIMAK'!$A$2:$R$1272,5,FALSE)+IF(ISNA(VLOOKUP($A947,'Mutasi Neraca'!$A$3:$S$910,5,FALSE)),0,VLOOKUP($A947,'Mutasi Neraca'!$A$3:$S$910,5,FALSE))</f>
        <v>0</v>
      </c>
      <c r="G947" s="42">
        <f>VLOOKUP($A947,'Neraca Unaudited SIMAK'!$A$2:$R$1272,6,FALSE)+IF(ISNA(VLOOKUP($A947,'Mutasi Neraca'!$A$3:$S$910,6,FALSE)),0,VLOOKUP($A947,'Mutasi Neraca'!$A$3:$S$910,6,FALSE))</f>
        <v>0</v>
      </c>
      <c r="H947" s="42">
        <f>VLOOKUP($A947,'Neraca Unaudited SIMAK'!$A$2:$R$1272,7,FALSE)+IF(ISNA(VLOOKUP($A947,'Mutasi Neraca'!$A$3:$S$910,7,FALSE)),0,VLOOKUP($A947,'Mutasi Neraca'!$A$3:$S$910,7,FALSE))</f>
        <v>0</v>
      </c>
      <c r="I947" s="42">
        <f>VLOOKUP($A947,'Neraca Unaudited SIMAK'!$A$2:$R$1272,8,FALSE)+IF(ISNA(VLOOKUP($A947,'Mutasi Neraca'!$A$3:$S$910,8,FALSE)),0,VLOOKUP($A947,'Mutasi Neraca'!$A$3:$S$910,8,FALSE))</f>
        <v>0</v>
      </c>
      <c r="J947" s="42">
        <f>VLOOKUP($A947,'Neraca Unaudited SIMAK'!$A$2:$R$1272,9,FALSE)+IF(ISNA(VLOOKUP($A947,'Mutasi Neraca'!$A$3:$S$910,9,FALSE)),0,VLOOKUP($A947,'Mutasi Neraca'!$A$3:$S$910,9,FALSE))</f>
        <v>0</v>
      </c>
      <c r="K947" s="42">
        <f>VLOOKUP($A947,'Neraca Unaudited SIMAK'!$A$2:$R$1272,10,FALSE)+IF(ISNA(VLOOKUP($A947,'Mutasi Neraca'!$A$3:$S$910,10,FALSE)),0,VLOOKUP($A947,'Mutasi Neraca'!$A$3:$S$910,10,FALSE))</f>
        <v>0</v>
      </c>
      <c r="L947" s="42">
        <f>VLOOKUP($A947,'Neraca Unaudited SIMAK'!$A$2:$R$1272,11,FALSE)+IF(ISNA(VLOOKUP($A947,'Mutasi Neraca'!$A$3:$S$910,11,FALSE)),0,VLOOKUP($A947,'Mutasi Neraca'!$A$3:$S$910,11,FALSE))</f>
        <v>0</v>
      </c>
      <c r="M947" s="42">
        <f>VLOOKUP($A947,'Neraca Unaudited SIMAK'!$A$2:$R$1272,12,FALSE)+IF(ISNA(VLOOKUP($A947,'Mutasi Neraca'!$A$3:$S$910,12,FALSE)),0,VLOOKUP($A947,'Mutasi Neraca'!$A$3:$S$910,12,FALSE))</f>
        <v>0</v>
      </c>
      <c r="N947" s="42">
        <f>VLOOKUP($A947,'Neraca Unaudited SIMAK'!$A$2:$R$1272,13,FALSE)+IF(ISNA(VLOOKUP($A947,'Mutasi Neraca'!$A$3:$S$910,13,FALSE)),0,VLOOKUP($A947,'Mutasi Neraca'!$A$3:$S$910,13,FALSE))</f>
        <v>0</v>
      </c>
      <c r="O947" s="42">
        <f>VLOOKUP($A947,'Neraca Unaudited SIMAK'!$A$2:$R$1272,14,FALSE)+IF(ISNA(VLOOKUP($A947,'Mutasi Neraca'!$A$3:$S$910,14,FALSE)),0,VLOOKUP($A947,'Mutasi Neraca'!$A$3:$S$910,14,FALSE))</f>
        <v>0</v>
      </c>
      <c r="P947" s="42">
        <f>VLOOKUP($A947,'Neraca Unaudited SIMAK'!$A$2:$R$1272,15,FALSE)+IF(ISNA(VLOOKUP($A947,'Mutasi Neraca'!$A$3:$S$910,15,FALSE)),0,VLOOKUP($A947,'Mutasi Neraca'!$A$3:$S$910,15,FALSE))</f>
        <v>0</v>
      </c>
      <c r="Q947" s="42">
        <f>VLOOKUP($A947,'Neraca Unaudited SIMAK'!$A$2:$R$1272,16,FALSE)+IF(ISNA(VLOOKUP($A947,'Mutasi Neraca'!$A$3:$S$910,16,FALSE)),0,VLOOKUP($A947,'Mutasi Neraca'!$A$3:$S$910,16,FALSE))</f>
        <v>0</v>
      </c>
      <c r="R947" s="42">
        <f>VLOOKUP($A947,'Neraca Unaudited SIMAK'!$A$2:$R$1272,17,FALSE)+IF(ISNA(VLOOKUP($A947,'Mutasi Neraca'!$A$3:$S$910,17,FALSE)),0,VLOOKUP($A947,'Mutasi Neraca'!$A$3:$S$910,17,FALSE))</f>
        <v>0</v>
      </c>
      <c r="S947" s="42">
        <f t="shared" si="71"/>
        <v>0</v>
      </c>
    </row>
    <row r="948" spans="1:19">
      <c r="A948" s="41" t="s">
        <v>926</v>
      </c>
      <c r="B948" s="41" t="str">
        <f t="shared" si="70"/>
        <v>005030600</v>
      </c>
      <c r="D948" s="42">
        <f>VLOOKUP($A948,'Neraca Unaudited SIMAK'!$A$2:$R$1272,3,FALSE)+IF(ISNA(VLOOKUP($A948,'Mutasi Neraca'!$A$3:$S$910,3,FALSE)),0,VLOOKUP($A948,'Mutasi Neraca'!$A$3:$S$910,3,FALSE))</f>
        <v>482800</v>
      </c>
      <c r="E948" s="42">
        <f>VLOOKUP($A948,'Neraca Unaudited SIMAK'!$A$2:$R$1272,4,FALSE)+IF(ISNA(VLOOKUP($A948,'Mutasi Neraca'!$A$3:$S$910,4,FALSE)),0,VLOOKUP($A948,'Mutasi Neraca'!$A$3:$S$910,4,FALSE))</f>
        <v>0</v>
      </c>
      <c r="F948" s="42">
        <f>VLOOKUP($A948,'Neraca Unaudited SIMAK'!$A$2:$R$1272,5,FALSE)+IF(ISNA(VLOOKUP($A948,'Mutasi Neraca'!$A$3:$S$910,5,FALSE)),0,VLOOKUP($A948,'Mutasi Neraca'!$A$3:$S$910,5,FALSE))</f>
        <v>0</v>
      </c>
      <c r="G948" s="42">
        <f>VLOOKUP($A948,'Neraca Unaudited SIMAK'!$A$2:$R$1272,6,FALSE)+IF(ISNA(VLOOKUP($A948,'Mutasi Neraca'!$A$3:$S$910,6,FALSE)),0,VLOOKUP($A948,'Mutasi Neraca'!$A$3:$S$910,6,FALSE))</f>
        <v>0</v>
      </c>
      <c r="H948" s="42">
        <f>VLOOKUP($A948,'Neraca Unaudited SIMAK'!$A$2:$R$1272,7,FALSE)+IF(ISNA(VLOOKUP($A948,'Mutasi Neraca'!$A$3:$S$910,7,FALSE)),0,VLOOKUP($A948,'Mutasi Neraca'!$A$3:$S$910,7,FALSE))</f>
        <v>0</v>
      </c>
      <c r="I948" s="42">
        <f>VLOOKUP($A948,'Neraca Unaudited SIMAK'!$A$2:$R$1272,8,FALSE)+IF(ISNA(VLOOKUP($A948,'Mutasi Neraca'!$A$3:$S$910,8,FALSE)),0,VLOOKUP($A948,'Mutasi Neraca'!$A$3:$S$910,8,FALSE))</f>
        <v>0</v>
      </c>
      <c r="J948" s="42">
        <f>VLOOKUP($A948,'Neraca Unaudited SIMAK'!$A$2:$R$1272,9,FALSE)+IF(ISNA(VLOOKUP($A948,'Mutasi Neraca'!$A$3:$S$910,9,FALSE)),0,VLOOKUP($A948,'Mutasi Neraca'!$A$3:$S$910,9,FALSE))</f>
        <v>0</v>
      </c>
      <c r="K948" s="42">
        <f>VLOOKUP($A948,'Neraca Unaudited SIMAK'!$A$2:$R$1272,10,FALSE)+IF(ISNA(VLOOKUP($A948,'Mutasi Neraca'!$A$3:$S$910,10,FALSE)),0,VLOOKUP($A948,'Mutasi Neraca'!$A$3:$S$910,10,FALSE))</f>
        <v>0</v>
      </c>
      <c r="L948" s="42">
        <f>VLOOKUP($A948,'Neraca Unaudited SIMAK'!$A$2:$R$1272,11,FALSE)+IF(ISNA(VLOOKUP($A948,'Mutasi Neraca'!$A$3:$S$910,11,FALSE)),0,VLOOKUP($A948,'Mutasi Neraca'!$A$3:$S$910,11,FALSE))</f>
        <v>0</v>
      </c>
      <c r="M948" s="42">
        <f>VLOOKUP($A948,'Neraca Unaudited SIMAK'!$A$2:$R$1272,12,FALSE)+IF(ISNA(VLOOKUP($A948,'Mutasi Neraca'!$A$3:$S$910,12,FALSE)),0,VLOOKUP($A948,'Mutasi Neraca'!$A$3:$S$910,12,FALSE))</f>
        <v>482800</v>
      </c>
      <c r="N948" s="42">
        <f>VLOOKUP($A948,'Neraca Unaudited SIMAK'!$A$2:$R$1272,13,FALSE)+IF(ISNA(VLOOKUP($A948,'Mutasi Neraca'!$A$3:$S$910,13,FALSE)),0,VLOOKUP($A948,'Mutasi Neraca'!$A$3:$S$910,13,FALSE))</f>
        <v>0</v>
      </c>
      <c r="O948" s="42">
        <f>VLOOKUP($A948,'Neraca Unaudited SIMAK'!$A$2:$R$1272,14,FALSE)+IF(ISNA(VLOOKUP($A948,'Mutasi Neraca'!$A$3:$S$910,14,FALSE)),0,VLOOKUP($A948,'Mutasi Neraca'!$A$3:$S$910,14,FALSE))</f>
        <v>0</v>
      </c>
      <c r="P948" s="42">
        <f>VLOOKUP($A948,'Neraca Unaudited SIMAK'!$A$2:$R$1272,15,FALSE)+IF(ISNA(VLOOKUP($A948,'Mutasi Neraca'!$A$3:$S$910,15,FALSE)),0,VLOOKUP($A948,'Mutasi Neraca'!$A$3:$S$910,15,FALSE))</f>
        <v>0</v>
      </c>
      <c r="Q948" s="42">
        <f>VLOOKUP($A948,'Neraca Unaudited SIMAK'!$A$2:$R$1272,16,FALSE)+IF(ISNA(VLOOKUP($A948,'Mutasi Neraca'!$A$3:$S$910,16,FALSE)),0,VLOOKUP($A948,'Mutasi Neraca'!$A$3:$S$910,16,FALSE))</f>
        <v>0</v>
      </c>
      <c r="R948" s="42">
        <f>VLOOKUP($A948,'Neraca Unaudited SIMAK'!$A$2:$R$1272,17,FALSE)+IF(ISNA(VLOOKUP($A948,'Mutasi Neraca'!$A$3:$S$910,17,FALSE)),0,VLOOKUP($A948,'Mutasi Neraca'!$A$3:$S$910,17,FALSE))</f>
        <v>0</v>
      </c>
      <c r="S948" s="42">
        <f t="shared" si="71"/>
        <v>482800</v>
      </c>
    </row>
    <row r="949" spans="1:19">
      <c r="A949" s="41" t="s">
        <v>2040</v>
      </c>
      <c r="B949" s="41" t="str">
        <f t="shared" si="70"/>
        <v>005030700</v>
      </c>
      <c r="D949" s="42">
        <f>VLOOKUP($A949,'Neraca Unaudited SIMAK'!$A$2:$R$1272,3,FALSE)+IF(ISNA(VLOOKUP($A949,'Mutasi Neraca'!$A$3:$S$910,3,FALSE)),0,VLOOKUP($A949,'Mutasi Neraca'!$A$3:$S$910,3,FALSE))</f>
        <v>4742500</v>
      </c>
      <c r="E949" s="42">
        <f>VLOOKUP($A949,'Neraca Unaudited SIMAK'!$A$2:$R$1272,4,FALSE)+IF(ISNA(VLOOKUP($A949,'Mutasi Neraca'!$A$3:$S$910,4,FALSE)),0,VLOOKUP($A949,'Mutasi Neraca'!$A$3:$S$910,4,FALSE))</f>
        <v>0</v>
      </c>
      <c r="F949" s="42">
        <f>VLOOKUP($A949,'Neraca Unaudited SIMAK'!$A$2:$R$1272,5,FALSE)+IF(ISNA(VLOOKUP($A949,'Mutasi Neraca'!$A$3:$S$910,5,FALSE)),0,VLOOKUP($A949,'Mutasi Neraca'!$A$3:$S$910,5,FALSE))</f>
        <v>0</v>
      </c>
      <c r="G949" s="42">
        <f>VLOOKUP($A949,'Neraca Unaudited SIMAK'!$A$2:$R$1272,6,FALSE)+IF(ISNA(VLOOKUP($A949,'Mutasi Neraca'!$A$3:$S$910,6,FALSE)),0,VLOOKUP($A949,'Mutasi Neraca'!$A$3:$S$910,6,FALSE))</f>
        <v>0</v>
      </c>
      <c r="H949" s="42">
        <f>VLOOKUP($A949,'Neraca Unaudited SIMAK'!$A$2:$R$1272,7,FALSE)+IF(ISNA(VLOOKUP($A949,'Mutasi Neraca'!$A$3:$S$910,7,FALSE)),0,VLOOKUP($A949,'Mutasi Neraca'!$A$3:$S$910,7,FALSE))</f>
        <v>0</v>
      </c>
      <c r="I949" s="42">
        <f>VLOOKUP($A949,'Neraca Unaudited SIMAK'!$A$2:$R$1272,8,FALSE)+IF(ISNA(VLOOKUP($A949,'Mutasi Neraca'!$A$3:$S$910,8,FALSE)),0,VLOOKUP($A949,'Mutasi Neraca'!$A$3:$S$910,8,FALSE))</f>
        <v>0</v>
      </c>
      <c r="J949" s="42">
        <f>VLOOKUP($A949,'Neraca Unaudited SIMAK'!$A$2:$R$1272,9,FALSE)+IF(ISNA(VLOOKUP($A949,'Mutasi Neraca'!$A$3:$S$910,9,FALSE)),0,VLOOKUP($A949,'Mutasi Neraca'!$A$3:$S$910,9,FALSE))</f>
        <v>0</v>
      </c>
      <c r="K949" s="42">
        <f>VLOOKUP($A949,'Neraca Unaudited SIMAK'!$A$2:$R$1272,10,FALSE)+IF(ISNA(VLOOKUP($A949,'Mutasi Neraca'!$A$3:$S$910,10,FALSE)),0,VLOOKUP($A949,'Mutasi Neraca'!$A$3:$S$910,10,FALSE))</f>
        <v>0</v>
      </c>
      <c r="L949" s="42">
        <f>VLOOKUP($A949,'Neraca Unaudited SIMAK'!$A$2:$R$1272,11,FALSE)+IF(ISNA(VLOOKUP($A949,'Mutasi Neraca'!$A$3:$S$910,11,FALSE)),0,VLOOKUP($A949,'Mutasi Neraca'!$A$3:$S$910,11,FALSE))</f>
        <v>0</v>
      </c>
      <c r="M949" s="42">
        <f>VLOOKUP($A949,'Neraca Unaudited SIMAK'!$A$2:$R$1272,12,FALSE)+IF(ISNA(VLOOKUP($A949,'Mutasi Neraca'!$A$3:$S$910,12,FALSE)),0,VLOOKUP($A949,'Mutasi Neraca'!$A$3:$S$910,12,FALSE))</f>
        <v>4742500</v>
      </c>
      <c r="N949" s="42">
        <f>VLOOKUP($A949,'Neraca Unaudited SIMAK'!$A$2:$R$1272,13,FALSE)+IF(ISNA(VLOOKUP($A949,'Mutasi Neraca'!$A$3:$S$910,13,FALSE)),0,VLOOKUP($A949,'Mutasi Neraca'!$A$3:$S$910,13,FALSE))</f>
        <v>0</v>
      </c>
      <c r="O949" s="42">
        <f>VLOOKUP($A949,'Neraca Unaudited SIMAK'!$A$2:$R$1272,14,FALSE)+IF(ISNA(VLOOKUP($A949,'Mutasi Neraca'!$A$3:$S$910,14,FALSE)),0,VLOOKUP($A949,'Mutasi Neraca'!$A$3:$S$910,14,FALSE))</f>
        <v>0</v>
      </c>
      <c r="P949" s="42">
        <f>VLOOKUP($A949,'Neraca Unaudited SIMAK'!$A$2:$R$1272,15,FALSE)+IF(ISNA(VLOOKUP($A949,'Mutasi Neraca'!$A$3:$S$910,15,FALSE)),0,VLOOKUP($A949,'Mutasi Neraca'!$A$3:$S$910,15,FALSE))</f>
        <v>0</v>
      </c>
      <c r="Q949" s="42">
        <f>VLOOKUP($A949,'Neraca Unaudited SIMAK'!$A$2:$R$1272,16,FALSE)+IF(ISNA(VLOOKUP($A949,'Mutasi Neraca'!$A$3:$S$910,16,FALSE)),0,VLOOKUP($A949,'Mutasi Neraca'!$A$3:$S$910,16,FALSE))</f>
        <v>0</v>
      </c>
      <c r="R949" s="42">
        <f>VLOOKUP($A949,'Neraca Unaudited SIMAK'!$A$2:$R$1272,17,FALSE)+IF(ISNA(VLOOKUP($A949,'Mutasi Neraca'!$A$3:$S$910,17,FALSE)),0,VLOOKUP($A949,'Mutasi Neraca'!$A$3:$S$910,17,FALSE))</f>
        <v>0</v>
      </c>
      <c r="S949" s="42">
        <f t="shared" si="71"/>
        <v>4742500</v>
      </c>
    </row>
    <row r="950" spans="1:19">
      <c r="A950" s="41" t="s">
        <v>2191</v>
      </c>
      <c r="B950" s="41" t="str">
        <f t="shared" si="70"/>
        <v>005030700</v>
      </c>
      <c r="D950" s="42">
        <f>VLOOKUP($A950,'Neraca Unaudited SIMAK'!$A$2:$R$1272,3,FALSE)+IF(ISNA(VLOOKUP($A950,'Mutasi Neraca'!$A$3:$S$910,3,FALSE)),0,VLOOKUP($A950,'Mutasi Neraca'!$A$3:$S$910,3,FALSE))</f>
        <v>0</v>
      </c>
      <c r="E950" s="42">
        <f>VLOOKUP($A950,'Neraca Unaudited SIMAK'!$A$2:$R$1272,4,FALSE)+IF(ISNA(VLOOKUP($A950,'Mutasi Neraca'!$A$3:$S$910,4,FALSE)),0,VLOOKUP($A950,'Mutasi Neraca'!$A$3:$S$910,4,FALSE))</f>
        <v>0</v>
      </c>
      <c r="F950" s="42">
        <f>VLOOKUP($A950,'Neraca Unaudited SIMAK'!$A$2:$R$1272,5,FALSE)+IF(ISNA(VLOOKUP($A950,'Mutasi Neraca'!$A$3:$S$910,5,FALSE)),0,VLOOKUP($A950,'Mutasi Neraca'!$A$3:$S$910,5,FALSE))</f>
        <v>0</v>
      </c>
      <c r="G950" s="42">
        <f>VLOOKUP($A950,'Neraca Unaudited SIMAK'!$A$2:$R$1272,6,FALSE)+IF(ISNA(VLOOKUP($A950,'Mutasi Neraca'!$A$3:$S$910,6,FALSE)),0,VLOOKUP($A950,'Mutasi Neraca'!$A$3:$S$910,6,FALSE))</f>
        <v>0</v>
      </c>
      <c r="H950" s="42">
        <f>VLOOKUP($A950,'Neraca Unaudited SIMAK'!$A$2:$R$1272,7,FALSE)+IF(ISNA(VLOOKUP($A950,'Mutasi Neraca'!$A$3:$S$910,7,FALSE)),0,VLOOKUP($A950,'Mutasi Neraca'!$A$3:$S$910,7,FALSE))</f>
        <v>0</v>
      </c>
      <c r="I950" s="42">
        <f>VLOOKUP($A950,'Neraca Unaudited SIMAK'!$A$2:$R$1272,8,FALSE)+IF(ISNA(VLOOKUP($A950,'Mutasi Neraca'!$A$3:$S$910,8,FALSE)),0,VLOOKUP($A950,'Mutasi Neraca'!$A$3:$S$910,8,FALSE))</f>
        <v>0</v>
      </c>
      <c r="J950" s="42">
        <f>VLOOKUP($A950,'Neraca Unaudited SIMAK'!$A$2:$R$1272,9,FALSE)+IF(ISNA(VLOOKUP($A950,'Mutasi Neraca'!$A$3:$S$910,9,FALSE)),0,VLOOKUP($A950,'Mutasi Neraca'!$A$3:$S$910,9,FALSE))</f>
        <v>0</v>
      </c>
      <c r="K950" s="42">
        <f>VLOOKUP($A950,'Neraca Unaudited SIMAK'!$A$2:$R$1272,10,FALSE)+IF(ISNA(VLOOKUP($A950,'Mutasi Neraca'!$A$3:$S$910,10,FALSE)),0,VLOOKUP($A950,'Mutasi Neraca'!$A$3:$S$910,10,FALSE))</f>
        <v>0</v>
      </c>
      <c r="L950" s="42">
        <f>VLOOKUP($A950,'Neraca Unaudited SIMAK'!$A$2:$R$1272,11,FALSE)+IF(ISNA(VLOOKUP($A950,'Mutasi Neraca'!$A$3:$S$910,11,FALSE)),0,VLOOKUP($A950,'Mutasi Neraca'!$A$3:$S$910,11,FALSE))</f>
        <v>0</v>
      </c>
      <c r="M950" s="42">
        <f>VLOOKUP($A950,'Neraca Unaudited SIMAK'!$A$2:$R$1272,12,FALSE)+IF(ISNA(VLOOKUP($A950,'Mutasi Neraca'!$A$3:$S$910,12,FALSE)),0,VLOOKUP($A950,'Mutasi Neraca'!$A$3:$S$910,12,FALSE))</f>
        <v>0</v>
      </c>
      <c r="N950" s="42">
        <f>VLOOKUP($A950,'Neraca Unaudited SIMAK'!$A$2:$R$1272,13,FALSE)+IF(ISNA(VLOOKUP($A950,'Mutasi Neraca'!$A$3:$S$910,13,FALSE)),0,VLOOKUP($A950,'Mutasi Neraca'!$A$3:$S$910,13,FALSE))</f>
        <v>0</v>
      </c>
      <c r="O950" s="42">
        <f>VLOOKUP($A950,'Neraca Unaudited SIMAK'!$A$2:$R$1272,14,FALSE)+IF(ISNA(VLOOKUP($A950,'Mutasi Neraca'!$A$3:$S$910,14,FALSE)),0,VLOOKUP($A950,'Mutasi Neraca'!$A$3:$S$910,14,FALSE))</f>
        <v>0</v>
      </c>
      <c r="P950" s="42">
        <f>VLOOKUP($A950,'Neraca Unaudited SIMAK'!$A$2:$R$1272,15,FALSE)+IF(ISNA(VLOOKUP($A950,'Mutasi Neraca'!$A$3:$S$910,15,FALSE)),0,VLOOKUP($A950,'Mutasi Neraca'!$A$3:$S$910,15,FALSE))</f>
        <v>0</v>
      </c>
      <c r="Q950" s="42">
        <f>VLOOKUP($A950,'Neraca Unaudited SIMAK'!$A$2:$R$1272,16,FALSE)+IF(ISNA(VLOOKUP($A950,'Mutasi Neraca'!$A$3:$S$910,16,FALSE)),0,VLOOKUP($A950,'Mutasi Neraca'!$A$3:$S$910,16,FALSE))</f>
        <v>0</v>
      </c>
      <c r="R950" s="42">
        <f>VLOOKUP($A950,'Neraca Unaudited SIMAK'!$A$2:$R$1272,17,FALSE)+IF(ISNA(VLOOKUP($A950,'Mutasi Neraca'!$A$3:$S$910,17,FALSE)),0,VLOOKUP($A950,'Mutasi Neraca'!$A$3:$S$910,17,FALSE))</f>
        <v>0</v>
      </c>
      <c r="S950" s="42">
        <f t="shared" si="71"/>
        <v>0</v>
      </c>
    </row>
    <row r="951" spans="1:19">
      <c r="A951" s="41" t="s">
        <v>927</v>
      </c>
      <c r="B951" s="41" t="str">
        <f t="shared" si="70"/>
        <v>005030700</v>
      </c>
      <c r="D951" s="42">
        <f>VLOOKUP($A951,'Neraca Unaudited SIMAK'!$A$2:$R$1272,3,FALSE)+IF(ISNA(VLOOKUP($A951,'Mutasi Neraca'!$A$3:$S$910,3,FALSE)),0,VLOOKUP($A951,'Mutasi Neraca'!$A$3:$S$910,3,FALSE))</f>
        <v>63000</v>
      </c>
      <c r="E951" s="42">
        <f>VLOOKUP($A951,'Neraca Unaudited SIMAK'!$A$2:$R$1272,4,FALSE)+IF(ISNA(VLOOKUP($A951,'Mutasi Neraca'!$A$3:$S$910,4,FALSE)),0,VLOOKUP($A951,'Mutasi Neraca'!$A$3:$S$910,4,FALSE))</f>
        <v>0</v>
      </c>
      <c r="F951" s="42">
        <f>VLOOKUP($A951,'Neraca Unaudited SIMAK'!$A$2:$R$1272,5,FALSE)+IF(ISNA(VLOOKUP($A951,'Mutasi Neraca'!$A$3:$S$910,5,FALSE)),0,VLOOKUP($A951,'Mutasi Neraca'!$A$3:$S$910,5,FALSE))</f>
        <v>0</v>
      </c>
      <c r="G951" s="42">
        <f>VLOOKUP($A951,'Neraca Unaudited SIMAK'!$A$2:$R$1272,6,FALSE)+IF(ISNA(VLOOKUP($A951,'Mutasi Neraca'!$A$3:$S$910,6,FALSE)),0,VLOOKUP($A951,'Mutasi Neraca'!$A$3:$S$910,6,FALSE))</f>
        <v>0</v>
      </c>
      <c r="H951" s="42">
        <f>VLOOKUP($A951,'Neraca Unaudited SIMAK'!$A$2:$R$1272,7,FALSE)+IF(ISNA(VLOOKUP($A951,'Mutasi Neraca'!$A$3:$S$910,7,FALSE)),0,VLOOKUP($A951,'Mutasi Neraca'!$A$3:$S$910,7,FALSE))</f>
        <v>0</v>
      </c>
      <c r="I951" s="42">
        <f>VLOOKUP($A951,'Neraca Unaudited SIMAK'!$A$2:$R$1272,8,FALSE)+IF(ISNA(VLOOKUP($A951,'Mutasi Neraca'!$A$3:$S$910,8,FALSE)),0,VLOOKUP($A951,'Mutasi Neraca'!$A$3:$S$910,8,FALSE))</f>
        <v>0</v>
      </c>
      <c r="J951" s="42">
        <f>VLOOKUP($A951,'Neraca Unaudited SIMAK'!$A$2:$R$1272,9,FALSE)+IF(ISNA(VLOOKUP($A951,'Mutasi Neraca'!$A$3:$S$910,9,FALSE)),0,VLOOKUP($A951,'Mutasi Neraca'!$A$3:$S$910,9,FALSE))</f>
        <v>0</v>
      </c>
      <c r="K951" s="42">
        <f>VLOOKUP($A951,'Neraca Unaudited SIMAK'!$A$2:$R$1272,10,FALSE)+IF(ISNA(VLOOKUP($A951,'Mutasi Neraca'!$A$3:$S$910,10,FALSE)),0,VLOOKUP($A951,'Mutasi Neraca'!$A$3:$S$910,10,FALSE))</f>
        <v>0</v>
      </c>
      <c r="L951" s="42">
        <f>VLOOKUP($A951,'Neraca Unaudited SIMAK'!$A$2:$R$1272,11,FALSE)+IF(ISNA(VLOOKUP($A951,'Mutasi Neraca'!$A$3:$S$910,11,FALSE)),0,VLOOKUP($A951,'Mutasi Neraca'!$A$3:$S$910,11,FALSE))</f>
        <v>0</v>
      </c>
      <c r="M951" s="42">
        <f>VLOOKUP($A951,'Neraca Unaudited SIMAK'!$A$2:$R$1272,12,FALSE)+IF(ISNA(VLOOKUP($A951,'Mutasi Neraca'!$A$3:$S$910,12,FALSE)),0,VLOOKUP($A951,'Mutasi Neraca'!$A$3:$S$910,12,FALSE))</f>
        <v>63000</v>
      </c>
      <c r="N951" s="42">
        <f>VLOOKUP($A951,'Neraca Unaudited SIMAK'!$A$2:$R$1272,13,FALSE)+IF(ISNA(VLOOKUP($A951,'Mutasi Neraca'!$A$3:$S$910,13,FALSE)),0,VLOOKUP($A951,'Mutasi Neraca'!$A$3:$S$910,13,FALSE))</f>
        <v>0</v>
      </c>
      <c r="O951" s="42">
        <f>VLOOKUP($A951,'Neraca Unaudited SIMAK'!$A$2:$R$1272,14,FALSE)+IF(ISNA(VLOOKUP($A951,'Mutasi Neraca'!$A$3:$S$910,14,FALSE)),0,VLOOKUP($A951,'Mutasi Neraca'!$A$3:$S$910,14,FALSE))</f>
        <v>0</v>
      </c>
      <c r="P951" s="42">
        <f>VLOOKUP($A951,'Neraca Unaudited SIMAK'!$A$2:$R$1272,15,FALSE)+IF(ISNA(VLOOKUP($A951,'Mutasi Neraca'!$A$3:$S$910,15,FALSE)),0,VLOOKUP($A951,'Mutasi Neraca'!$A$3:$S$910,15,FALSE))</f>
        <v>0</v>
      </c>
      <c r="Q951" s="42">
        <f>VLOOKUP($A951,'Neraca Unaudited SIMAK'!$A$2:$R$1272,16,FALSE)+IF(ISNA(VLOOKUP($A951,'Mutasi Neraca'!$A$3:$S$910,16,FALSE)),0,VLOOKUP($A951,'Mutasi Neraca'!$A$3:$S$910,16,FALSE))</f>
        <v>0</v>
      </c>
      <c r="R951" s="42">
        <f>VLOOKUP($A951,'Neraca Unaudited SIMAK'!$A$2:$R$1272,17,FALSE)+IF(ISNA(VLOOKUP($A951,'Mutasi Neraca'!$A$3:$S$910,17,FALSE)),0,VLOOKUP($A951,'Mutasi Neraca'!$A$3:$S$910,17,FALSE))</f>
        <v>0</v>
      </c>
      <c r="S951" s="42">
        <f t="shared" si="71"/>
        <v>63000</v>
      </c>
    </row>
    <row r="952" spans="1:19">
      <c r="A952" s="41" t="s">
        <v>928</v>
      </c>
      <c r="B952" s="41" t="str">
        <f t="shared" si="70"/>
        <v>005030700</v>
      </c>
      <c r="D952" s="42">
        <f>VLOOKUP($A952,'Neraca Unaudited SIMAK'!$A$2:$R$1272,3,FALSE)+IF(ISNA(VLOOKUP($A952,'Mutasi Neraca'!$A$3:$S$910,3,FALSE)),0,VLOOKUP($A952,'Mutasi Neraca'!$A$3:$S$910,3,FALSE))</f>
        <v>2596000</v>
      </c>
      <c r="E952" s="42">
        <f>VLOOKUP($A952,'Neraca Unaudited SIMAK'!$A$2:$R$1272,4,FALSE)+IF(ISNA(VLOOKUP($A952,'Mutasi Neraca'!$A$3:$S$910,4,FALSE)),0,VLOOKUP($A952,'Mutasi Neraca'!$A$3:$S$910,4,FALSE))</f>
        <v>0</v>
      </c>
      <c r="F952" s="42">
        <f>VLOOKUP($A952,'Neraca Unaudited SIMAK'!$A$2:$R$1272,5,FALSE)+IF(ISNA(VLOOKUP($A952,'Mutasi Neraca'!$A$3:$S$910,5,FALSE)),0,VLOOKUP($A952,'Mutasi Neraca'!$A$3:$S$910,5,FALSE))</f>
        <v>0</v>
      </c>
      <c r="G952" s="42">
        <f>VLOOKUP($A952,'Neraca Unaudited SIMAK'!$A$2:$R$1272,6,FALSE)+IF(ISNA(VLOOKUP($A952,'Mutasi Neraca'!$A$3:$S$910,6,FALSE)),0,VLOOKUP($A952,'Mutasi Neraca'!$A$3:$S$910,6,FALSE))</f>
        <v>0</v>
      </c>
      <c r="H952" s="42">
        <f>VLOOKUP($A952,'Neraca Unaudited SIMAK'!$A$2:$R$1272,7,FALSE)+IF(ISNA(VLOOKUP($A952,'Mutasi Neraca'!$A$3:$S$910,7,FALSE)),0,VLOOKUP($A952,'Mutasi Neraca'!$A$3:$S$910,7,FALSE))</f>
        <v>0</v>
      </c>
      <c r="I952" s="42">
        <f>VLOOKUP($A952,'Neraca Unaudited SIMAK'!$A$2:$R$1272,8,FALSE)+IF(ISNA(VLOOKUP($A952,'Mutasi Neraca'!$A$3:$S$910,8,FALSE)),0,VLOOKUP($A952,'Mutasi Neraca'!$A$3:$S$910,8,FALSE))</f>
        <v>0</v>
      </c>
      <c r="J952" s="42">
        <f>VLOOKUP($A952,'Neraca Unaudited SIMAK'!$A$2:$R$1272,9,FALSE)+IF(ISNA(VLOOKUP($A952,'Mutasi Neraca'!$A$3:$S$910,9,FALSE)),0,VLOOKUP($A952,'Mutasi Neraca'!$A$3:$S$910,9,FALSE))</f>
        <v>0</v>
      </c>
      <c r="K952" s="42">
        <f>VLOOKUP($A952,'Neraca Unaudited SIMAK'!$A$2:$R$1272,10,FALSE)+IF(ISNA(VLOOKUP($A952,'Mutasi Neraca'!$A$3:$S$910,10,FALSE)),0,VLOOKUP($A952,'Mutasi Neraca'!$A$3:$S$910,10,FALSE))</f>
        <v>0</v>
      </c>
      <c r="L952" s="42">
        <f>VLOOKUP($A952,'Neraca Unaudited SIMAK'!$A$2:$R$1272,11,FALSE)+IF(ISNA(VLOOKUP($A952,'Mutasi Neraca'!$A$3:$S$910,11,FALSE)),0,VLOOKUP($A952,'Mutasi Neraca'!$A$3:$S$910,11,FALSE))</f>
        <v>0</v>
      </c>
      <c r="M952" s="42">
        <f>VLOOKUP($A952,'Neraca Unaudited SIMAK'!$A$2:$R$1272,12,FALSE)+IF(ISNA(VLOOKUP($A952,'Mutasi Neraca'!$A$3:$S$910,12,FALSE)),0,VLOOKUP($A952,'Mutasi Neraca'!$A$3:$S$910,12,FALSE))</f>
        <v>2596000</v>
      </c>
      <c r="N952" s="42">
        <f>VLOOKUP($A952,'Neraca Unaudited SIMAK'!$A$2:$R$1272,13,FALSE)+IF(ISNA(VLOOKUP($A952,'Mutasi Neraca'!$A$3:$S$910,13,FALSE)),0,VLOOKUP($A952,'Mutasi Neraca'!$A$3:$S$910,13,FALSE))</f>
        <v>0</v>
      </c>
      <c r="O952" s="42">
        <f>VLOOKUP($A952,'Neraca Unaudited SIMAK'!$A$2:$R$1272,14,FALSE)+IF(ISNA(VLOOKUP($A952,'Mutasi Neraca'!$A$3:$S$910,14,FALSE)),0,VLOOKUP($A952,'Mutasi Neraca'!$A$3:$S$910,14,FALSE))</f>
        <v>0</v>
      </c>
      <c r="P952" s="42">
        <f>VLOOKUP($A952,'Neraca Unaudited SIMAK'!$A$2:$R$1272,15,FALSE)+IF(ISNA(VLOOKUP($A952,'Mutasi Neraca'!$A$3:$S$910,15,FALSE)),0,VLOOKUP($A952,'Mutasi Neraca'!$A$3:$S$910,15,FALSE))</f>
        <v>0</v>
      </c>
      <c r="Q952" s="42">
        <f>VLOOKUP($A952,'Neraca Unaudited SIMAK'!$A$2:$R$1272,16,FALSE)+IF(ISNA(VLOOKUP($A952,'Mutasi Neraca'!$A$3:$S$910,16,FALSE)),0,VLOOKUP($A952,'Mutasi Neraca'!$A$3:$S$910,16,FALSE))</f>
        <v>0</v>
      </c>
      <c r="R952" s="42">
        <f>VLOOKUP($A952,'Neraca Unaudited SIMAK'!$A$2:$R$1272,17,FALSE)+IF(ISNA(VLOOKUP($A952,'Mutasi Neraca'!$A$3:$S$910,17,FALSE)),0,VLOOKUP($A952,'Mutasi Neraca'!$A$3:$S$910,17,FALSE))</f>
        <v>0</v>
      </c>
      <c r="S952" s="42">
        <f t="shared" si="71"/>
        <v>2596000</v>
      </c>
    </row>
    <row r="953" spans="1:19">
      <c r="A953" s="41" t="s">
        <v>2192</v>
      </c>
      <c r="B953" s="41" t="str">
        <f t="shared" si="70"/>
        <v>005030700</v>
      </c>
      <c r="D953" s="42">
        <f>VLOOKUP($A953,'Neraca Unaudited SIMAK'!$A$2:$R$1272,3,FALSE)+IF(ISNA(VLOOKUP($A953,'Mutasi Neraca'!$A$3:$S$910,3,FALSE)),0,VLOOKUP($A953,'Mutasi Neraca'!$A$3:$S$910,3,FALSE))</f>
        <v>1253200</v>
      </c>
      <c r="E953" s="42">
        <f>VLOOKUP($A953,'Neraca Unaudited SIMAK'!$A$2:$R$1272,4,FALSE)+IF(ISNA(VLOOKUP($A953,'Mutasi Neraca'!$A$3:$S$910,4,FALSE)),0,VLOOKUP($A953,'Mutasi Neraca'!$A$3:$S$910,4,FALSE))</f>
        <v>0</v>
      </c>
      <c r="F953" s="42">
        <f>VLOOKUP($A953,'Neraca Unaudited SIMAK'!$A$2:$R$1272,5,FALSE)+IF(ISNA(VLOOKUP($A953,'Mutasi Neraca'!$A$3:$S$910,5,FALSE)),0,VLOOKUP($A953,'Mutasi Neraca'!$A$3:$S$910,5,FALSE))</f>
        <v>0</v>
      </c>
      <c r="G953" s="42">
        <f>VLOOKUP($A953,'Neraca Unaudited SIMAK'!$A$2:$R$1272,6,FALSE)+IF(ISNA(VLOOKUP($A953,'Mutasi Neraca'!$A$3:$S$910,6,FALSE)),0,VLOOKUP($A953,'Mutasi Neraca'!$A$3:$S$910,6,FALSE))</f>
        <v>0</v>
      </c>
      <c r="H953" s="42">
        <f>VLOOKUP($A953,'Neraca Unaudited SIMAK'!$A$2:$R$1272,7,FALSE)+IF(ISNA(VLOOKUP($A953,'Mutasi Neraca'!$A$3:$S$910,7,FALSE)),0,VLOOKUP($A953,'Mutasi Neraca'!$A$3:$S$910,7,FALSE))</f>
        <v>0</v>
      </c>
      <c r="I953" s="42">
        <f>VLOOKUP($A953,'Neraca Unaudited SIMAK'!$A$2:$R$1272,8,FALSE)+IF(ISNA(VLOOKUP($A953,'Mutasi Neraca'!$A$3:$S$910,8,FALSE)),0,VLOOKUP($A953,'Mutasi Neraca'!$A$3:$S$910,8,FALSE))</f>
        <v>0</v>
      </c>
      <c r="J953" s="42">
        <f>VLOOKUP($A953,'Neraca Unaudited SIMAK'!$A$2:$R$1272,9,FALSE)+IF(ISNA(VLOOKUP($A953,'Mutasi Neraca'!$A$3:$S$910,9,FALSE)),0,VLOOKUP($A953,'Mutasi Neraca'!$A$3:$S$910,9,FALSE))</f>
        <v>0</v>
      </c>
      <c r="K953" s="42">
        <f>VLOOKUP($A953,'Neraca Unaudited SIMAK'!$A$2:$R$1272,10,FALSE)+IF(ISNA(VLOOKUP($A953,'Mutasi Neraca'!$A$3:$S$910,10,FALSE)),0,VLOOKUP($A953,'Mutasi Neraca'!$A$3:$S$910,10,FALSE))</f>
        <v>0</v>
      </c>
      <c r="L953" s="42">
        <f>VLOOKUP($A953,'Neraca Unaudited SIMAK'!$A$2:$R$1272,11,FALSE)+IF(ISNA(VLOOKUP($A953,'Mutasi Neraca'!$A$3:$S$910,11,FALSE)),0,VLOOKUP($A953,'Mutasi Neraca'!$A$3:$S$910,11,FALSE))</f>
        <v>0</v>
      </c>
      <c r="M953" s="42">
        <f>VLOOKUP($A953,'Neraca Unaudited SIMAK'!$A$2:$R$1272,12,FALSE)+IF(ISNA(VLOOKUP($A953,'Mutasi Neraca'!$A$3:$S$910,12,FALSE)),0,VLOOKUP($A953,'Mutasi Neraca'!$A$3:$S$910,12,FALSE))</f>
        <v>1253200</v>
      </c>
      <c r="N953" s="42">
        <f>VLOOKUP($A953,'Neraca Unaudited SIMAK'!$A$2:$R$1272,13,FALSE)+IF(ISNA(VLOOKUP($A953,'Mutasi Neraca'!$A$3:$S$910,13,FALSE)),0,VLOOKUP($A953,'Mutasi Neraca'!$A$3:$S$910,13,FALSE))</f>
        <v>0</v>
      </c>
      <c r="O953" s="42">
        <f>VLOOKUP($A953,'Neraca Unaudited SIMAK'!$A$2:$R$1272,14,FALSE)+IF(ISNA(VLOOKUP($A953,'Mutasi Neraca'!$A$3:$S$910,14,FALSE)),0,VLOOKUP($A953,'Mutasi Neraca'!$A$3:$S$910,14,FALSE))</f>
        <v>0</v>
      </c>
      <c r="P953" s="42">
        <f>VLOOKUP($A953,'Neraca Unaudited SIMAK'!$A$2:$R$1272,15,FALSE)+IF(ISNA(VLOOKUP($A953,'Mutasi Neraca'!$A$3:$S$910,15,FALSE)),0,VLOOKUP($A953,'Mutasi Neraca'!$A$3:$S$910,15,FALSE))</f>
        <v>0</v>
      </c>
      <c r="Q953" s="42">
        <f>VLOOKUP($A953,'Neraca Unaudited SIMAK'!$A$2:$R$1272,16,FALSE)+IF(ISNA(VLOOKUP($A953,'Mutasi Neraca'!$A$3:$S$910,16,FALSE)),0,VLOOKUP($A953,'Mutasi Neraca'!$A$3:$S$910,16,FALSE))</f>
        <v>0</v>
      </c>
      <c r="R953" s="42">
        <f>VLOOKUP($A953,'Neraca Unaudited SIMAK'!$A$2:$R$1272,17,FALSE)+IF(ISNA(VLOOKUP($A953,'Mutasi Neraca'!$A$3:$S$910,17,FALSE)),0,VLOOKUP($A953,'Mutasi Neraca'!$A$3:$S$910,17,FALSE))</f>
        <v>0</v>
      </c>
      <c r="S953" s="42">
        <f t="shared" si="71"/>
        <v>1253200</v>
      </c>
    </row>
    <row r="954" spans="1:19">
      <c r="A954" s="41" t="s">
        <v>2041</v>
      </c>
      <c r="B954" s="41" t="str">
        <f t="shared" si="70"/>
        <v>005030700</v>
      </c>
      <c r="D954" s="42">
        <f>VLOOKUP($A954,'Neraca Unaudited SIMAK'!$A$2:$R$1272,3,FALSE)+IF(ISNA(VLOOKUP($A954,'Mutasi Neraca'!$A$3:$S$910,3,FALSE)),0,VLOOKUP($A954,'Mutasi Neraca'!$A$3:$S$910,3,FALSE))</f>
        <v>385000</v>
      </c>
      <c r="E954" s="42">
        <f>VLOOKUP($A954,'Neraca Unaudited SIMAK'!$A$2:$R$1272,4,FALSE)+IF(ISNA(VLOOKUP($A954,'Mutasi Neraca'!$A$3:$S$910,4,FALSE)),0,VLOOKUP($A954,'Mutasi Neraca'!$A$3:$S$910,4,FALSE))</f>
        <v>0</v>
      </c>
      <c r="F954" s="42">
        <f>VLOOKUP($A954,'Neraca Unaudited SIMAK'!$A$2:$R$1272,5,FALSE)+IF(ISNA(VLOOKUP($A954,'Mutasi Neraca'!$A$3:$S$910,5,FALSE)),0,VLOOKUP($A954,'Mutasi Neraca'!$A$3:$S$910,5,FALSE))</f>
        <v>0</v>
      </c>
      <c r="G954" s="42">
        <f>VLOOKUP($A954,'Neraca Unaudited SIMAK'!$A$2:$R$1272,6,FALSE)+IF(ISNA(VLOOKUP($A954,'Mutasi Neraca'!$A$3:$S$910,6,FALSE)),0,VLOOKUP($A954,'Mutasi Neraca'!$A$3:$S$910,6,FALSE))</f>
        <v>0</v>
      </c>
      <c r="H954" s="42">
        <f>VLOOKUP($A954,'Neraca Unaudited SIMAK'!$A$2:$R$1272,7,FALSE)+IF(ISNA(VLOOKUP($A954,'Mutasi Neraca'!$A$3:$S$910,7,FALSE)),0,VLOOKUP($A954,'Mutasi Neraca'!$A$3:$S$910,7,FALSE))</f>
        <v>0</v>
      </c>
      <c r="I954" s="42">
        <f>VLOOKUP($A954,'Neraca Unaudited SIMAK'!$A$2:$R$1272,8,FALSE)+IF(ISNA(VLOOKUP($A954,'Mutasi Neraca'!$A$3:$S$910,8,FALSE)),0,VLOOKUP($A954,'Mutasi Neraca'!$A$3:$S$910,8,FALSE))</f>
        <v>0</v>
      </c>
      <c r="J954" s="42">
        <f>VLOOKUP($A954,'Neraca Unaudited SIMAK'!$A$2:$R$1272,9,FALSE)+IF(ISNA(VLOOKUP($A954,'Mutasi Neraca'!$A$3:$S$910,9,FALSE)),0,VLOOKUP($A954,'Mutasi Neraca'!$A$3:$S$910,9,FALSE))</f>
        <v>0</v>
      </c>
      <c r="K954" s="42">
        <f>VLOOKUP($A954,'Neraca Unaudited SIMAK'!$A$2:$R$1272,10,FALSE)+IF(ISNA(VLOOKUP($A954,'Mutasi Neraca'!$A$3:$S$910,10,FALSE)),0,VLOOKUP($A954,'Mutasi Neraca'!$A$3:$S$910,10,FALSE))</f>
        <v>0</v>
      </c>
      <c r="L954" s="42">
        <f>VLOOKUP($A954,'Neraca Unaudited SIMAK'!$A$2:$R$1272,11,FALSE)+IF(ISNA(VLOOKUP($A954,'Mutasi Neraca'!$A$3:$S$910,11,FALSE)),0,VLOOKUP($A954,'Mutasi Neraca'!$A$3:$S$910,11,FALSE))</f>
        <v>0</v>
      </c>
      <c r="M954" s="42">
        <f>VLOOKUP($A954,'Neraca Unaudited SIMAK'!$A$2:$R$1272,12,FALSE)+IF(ISNA(VLOOKUP($A954,'Mutasi Neraca'!$A$3:$S$910,12,FALSE)),0,VLOOKUP($A954,'Mutasi Neraca'!$A$3:$S$910,12,FALSE))</f>
        <v>385000</v>
      </c>
      <c r="N954" s="42">
        <f>VLOOKUP($A954,'Neraca Unaudited SIMAK'!$A$2:$R$1272,13,FALSE)+IF(ISNA(VLOOKUP($A954,'Mutasi Neraca'!$A$3:$S$910,13,FALSE)),0,VLOOKUP($A954,'Mutasi Neraca'!$A$3:$S$910,13,FALSE))</f>
        <v>0</v>
      </c>
      <c r="O954" s="42">
        <f>VLOOKUP($A954,'Neraca Unaudited SIMAK'!$A$2:$R$1272,14,FALSE)+IF(ISNA(VLOOKUP($A954,'Mutasi Neraca'!$A$3:$S$910,14,FALSE)),0,VLOOKUP($A954,'Mutasi Neraca'!$A$3:$S$910,14,FALSE))</f>
        <v>0</v>
      </c>
      <c r="P954" s="42">
        <f>VLOOKUP($A954,'Neraca Unaudited SIMAK'!$A$2:$R$1272,15,FALSE)+IF(ISNA(VLOOKUP($A954,'Mutasi Neraca'!$A$3:$S$910,15,FALSE)),0,VLOOKUP($A954,'Mutasi Neraca'!$A$3:$S$910,15,FALSE))</f>
        <v>0</v>
      </c>
      <c r="Q954" s="42">
        <f>VLOOKUP($A954,'Neraca Unaudited SIMAK'!$A$2:$R$1272,16,FALSE)+IF(ISNA(VLOOKUP($A954,'Mutasi Neraca'!$A$3:$S$910,16,FALSE)),0,VLOOKUP($A954,'Mutasi Neraca'!$A$3:$S$910,16,FALSE))</f>
        <v>0</v>
      </c>
      <c r="R954" s="42">
        <f>VLOOKUP($A954,'Neraca Unaudited SIMAK'!$A$2:$R$1272,17,FALSE)+IF(ISNA(VLOOKUP($A954,'Mutasi Neraca'!$A$3:$S$910,17,FALSE)),0,VLOOKUP($A954,'Mutasi Neraca'!$A$3:$S$910,17,FALSE))</f>
        <v>0</v>
      </c>
      <c r="S954" s="42">
        <f t="shared" si="71"/>
        <v>385000</v>
      </c>
    </row>
    <row r="955" spans="1:19">
      <c r="A955" s="41" t="s">
        <v>929</v>
      </c>
      <c r="B955" s="41" t="str">
        <f t="shared" si="70"/>
        <v>005030700</v>
      </c>
      <c r="D955" s="42">
        <f>VLOOKUP($A955,'Neraca Unaudited SIMAK'!$A$2:$R$1272,3,FALSE)+IF(ISNA(VLOOKUP($A955,'Mutasi Neraca'!$A$3:$S$910,3,FALSE)),0,VLOOKUP($A955,'Mutasi Neraca'!$A$3:$S$910,3,FALSE))</f>
        <v>1915000</v>
      </c>
      <c r="E955" s="42">
        <f>VLOOKUP($A955,'Neraca Unaudited SIMAK'!$A$2:$R$1272,4,FALSE)+IF(ISNA(VLOOKUP($A955,'Mutasi Neraca'!$A$3:$S$910,4,FALSE)),0,VLOOKUP($A955,'Mutasi Neraca'!$A$3:$S$910,4,FALSE))</f>
        <v>0</v>
      </c>
      <c r="F955" s="42">
        <f>VLOOKUP($A955,'Neraca Unaudited SIMAK'!$A$2:$R$1272,5,FALSE)+IF(ISNA(VLOOKUP($A955,'Mutasi Neraca'!$A$3:$S$910,5,FALSE)),0,VLOOKUP($A955,'Mutasi Neraca'!$A$3:$S$910,5,FALSE))</f>
        <v>0</v>
      </c>
      <c r="G955" s="42">
        <f>VLOOKUP($A955,'Neraca Unaudited SIMAK'!$A$2:$R$1272,6,FALSE)+IF(ISNA(VLOOKUP($A955,'Mutasi Neraca'!$A$3:$S$910,6,FALSE)),0,VLOOKUP($A955,'Mutasi Neraca'!$A$3:$S$910,6,FALSE))</f>
        <v>0</v>
      </c>
      <c r="H955" s="42">
        <f>VLOOKUP($A955,'Neraca Unaudited SIMAK'!$A$2:$R$1272,7,FALSE)+IF(ISNA(VLOOKUP($A955,'Mutasi Neraca'!$A$3:$S$910,7,FALSE)),0,VLOOKUP($A955,'Mutasi Neraca'!$A$3:$S$910,7,FALSE))</f>
        <v>0</v>
      </c>
      <c r="I955" s="42">
        <f>VLOOKUP($A955,'Neraca Unaudited SIMAK'!$A$2:$R$1272,8,FALSE)+IF(ISNA(VLOOKUP($A955,'Mutasi Neraca'!$A$3:$S$910,8,FALSE)),0,VLOOKUP($A955,'Mutasi Neraca'!$A$3:$S$910,8,FALSE))</f>
        <v>0</v>
      </c>
      <c r="J955" s="42">
        <f>VLOOKUP($A955,'Neraca Unaudited SIMAK'!$A$2:$R$1272,9,FALSE)+IF(ISNA(VLOOKUP($A955,'Mutasi Neraca'!$A$3:$S$910,9,FALSE)),0,VLOOKUP($A955,'Mutasi Neraca'!$A$3:$S$910,9,FALSE))</f>
        <v>0</v>
      </c>
      <c r="K955" s="42">
        <f>VLOOKUP($A955,'Neraca Unaudited SIMAK'!$A$2:$R$1272,10,FALSE)+IF(ISNA(VLOOKUP($A955,'Mutasi Neraca'!$A$3:$S$910,10,FALSE)),0,VLOOKUP($A955,'Mutasi Neraca'!$A$3:$S$910,10,FALSE))</f>
        <v>0</v>
      </c>
      <c r="L955" s="42">
        <f>VLOOKUP($A955,'Neraca Unaudited SIMAK'!$A$2:$R$1272,11,FALSE)+IF(ISNA(VLOOKUP($A955,'Mutasi Neraca'!$A$3:$S$910,11,FALSE)),0,VLOOKUP($A955,'Mutasi Neraca'!$A$3:$S$910,11,FALSE))</f>
        <v>0</v>
      </c>
      <c r="M955" s="42">
        <f>VLOOKUP($A955,'Neraca Unaudited SIMAK'!$A$2:$R$1272,12,FALSE)+IF(ISNA(VLOOKUP($A955,'Mutasi Neraca'!$A$3:$S$910,12,FALSE)),0,VLOOKUP($A955,'Mutasi Neraca'!$A$3:$S$910,12,FALSE))</f>
        <v>1915000</v>
      </c>
      <c r="N955" s="42">
        <f>VLOOKUP($A955,'Neraca Unaudited SIMAK'!$A$2:$R$1272,13,FALSE)+IF(ISNA(VLOOKUP($A955,'Mutasi Neraca'!$A$3:$S$910,13,FALSE)),0,VLOOKUP($A955,'Mutasi Neraca'!$A$3:$S$910,13,FALSE))</f>
        <v>0</v>
      </c>
      <c r="O955" s="42">
        <f>VLOOKUP($A955,'Neraca Unaudited SIMAK'!$A$2:$R$1272,14,FALSE)+IF(ISNA(VLOOKUP($A955,'Mutasi Neraca'!$A$3:$S$910,14,FALSE)),0,VLOOKUP($A955,'Mutasi Neraca'!$A$3:$S$910,14,FALSE))</f>
        <v>0</v>
      </c>
      <c r="P955" s="42">
        <f>VLOOKUP($A955,'Neraca Unaudited SIMAK'!$A$2:$R$1272,15,FALSE)+IF(ISNA(VLOOKUP($A955,'Mutasi Neraca'!$A$3:$S$910,15,FALSE)),0,VLOOKUP($A955,'Mutasi Neraca'!$A$3:$S$910,15,FALSE))</f>
        <v>0</v>
      </c>
      <c r="Q955" s="42">
        <f>VLOOKUP($A955,'Neraca Unaudited SIMAK'!$A$2:$R$1272,16,FALSE)+IF(ISNA(VLOOKUP($A955,'Mutasi Neraca'!$A$3:$S$910,16,FALSE)),0,VLOOKUP($A955,'Mutasi Neraca'!$A$3:$S$910,16,FALSE))</f>
        <v>0</v>
      </c>
      <c r="R955" s="42">
        <f>VLOOKUP($A955,'Neraca Unaudited SIMAK'!$A$2:$R$1272,17,FALSE)+IF(ISNA(VLOOKUP($A955,'Mutasi Neraca'!$A$3:$S$910,17,FALSE)),0,VLOOKUP($A955,'Mutasi Neraca'!$A$3:$S$910,17,FALSE))</f>
        <v>0</v>
      </c>
      <c r="S955" s="42">
        <f t="shared" si="71"/>
        <v>1915000</v>
      </c>
    </row>
    <row r="956" spans="1:19">
      <c r="A956" s="41" t="s">
        <v>930</v>
      </c>
      <c r="B956" s="41" t="str">
        <f t="shared" si="70"/>
        <v>005030700</v>
      </c>
      <c r="D956" s="42">
        <f>VLOOKUP($A956,'Neraca Unaudited SIMAK'!$A$2:$R$1272,3,FALSE)+IF(ISNA(VLOOKUP($A956,'Mutasi Neraca'!$A$3:$S$910,3,FALSE)),0,VLOOKUP($A956,'Mutasi Neraca'!$A$3:$S$910,3,FALSE))</f>
        <v>0</v>
      </c>
      <c r="E956" s="42">
        <f>VLOOKUP($A956,'Neraca Unaudited SIMAK'!$A$2:$R$1272,4,FALSE)+IF(ISNA(VLOOKUP($A956,'Mutasi Neraca'!$A$3:$S$910,4,FALSE)),0,VLOOKUP($A956,'Mutasi Neraca'!$A$3:$S$910,4,FALSE))</f>
        <v>0</v>
      </c>
      <c r="F956" s="42">
        <f>VLOOKUP($A956,'Neraca Unaudited SIMAK'!$A$2:$R$1272,5,FALSE)+IF(ISNA(VLOOKUP($A956,'Mutasi Neraca'!$A$3:$S$910,5,FALSE)),0,VLOOKUP($A956,'Mutasi Neraca'!$A$3:$S$910,5,FALSE))</f>
        <v>0</v>
      </c>
      <c r="G956" s="42">
        <f>VLOOKUP($A956,'Neraca Unaudited SIMAK'!$A$2:$R$1272,6,FALSE)+IF(ISNA(VLOOKUP($A956,'Mutasi Neraca'!$A$3:$S$910,6,FALSE)),0,VLOOKUP($A956,'Mutasi Neraca'!$A$3:$S$910,6,FALSE))</f>
        <v>0</v>
      </c>
      <c r="H956" s="42">
        <f>VLOOKUP($A956,'Neraca Unaudited SIMAK'!$A$2:$R$1272,7,FALSE)+IF(ISNA(VLOOKUP($A956,'Mutasi Neraca'!$A$3:$S$910,7,FALSE)),0,VLOOKUP($A956,'Mutasi Neraca'!$A$3:$S$910,7,FALSE))</f>
        <v>0</v>
      </c>
      <c r="I956" s="42">
        <f>VLOOKUP($A956,'Neraca Unaudited SIMAK'!$A$2:$R$1272,8,FALSE)+IF(ISNA(VLOOKUP($A956,'Mutasi Neraca'!$A$3:$S$910,8,FALSE)),0,VLOOKUP($A956,'Mutasi Neraca'!$A$3:$S$910,8,FALSE))</f>
        <v>0</v>
      </c>
      <c r="J956" s="42">
        <f>VLOOKUP($A956,'Neraca Unaudited SIMAK'!$A$2:$R$1272,9,FALSE)+IF(ISNA(VLOOKUP($A956,'Mutasi Neraca'!$A$3:$S$910,9,FALSE)),0,VLOOKUP($A956,'Mutasi Neraca'!$A$3:$S$910,9,FALSE))</f>
        <v>0</v>
      </c>
      <c r="K956" s="42">
        <f>VLOOKUP($A956,'Neraca Unaudited SIMAK'!$A$2:$R$1272,10,FALSE)+IF(ISNA(VLOOKUP($A956,'Mutasi Neraca'!$A$3:$S$910,10,FALSE)),0,VLOOKUP($A956,'Mutasi Neraca'!$A$3:$S$910,10,FALSE))</f>
        <v>0</v>
      </c>
      <c r="L956" s="42">
        <f>VLOOKUP($A956,'Neraca Unaudited SIMAK'!$A$2:$R$1272,11,FALSE)+IF(ISNA(VLOOKUP($A956,'Mutasi Neraca'!$A$3:$S$910,11,FALSE)),0,VLOOKUP($A956,'Mutasi Neraca'!$A$3:$S$910,11,FALSE))</f>
        <v>0</v>
      </c>
      <c r="M956" s="42">
        <f>VLOOKUP($A956,'Neraca Unaudited SIMAK'!$A$2:$R$1272,12,FALSE)+IF(ISNA(VLOOKUP($A956,'Mutasi Neraca'!$A$3:$S$910,12,FALSE)),0,VLOOKUP($A956,'Mutasi Neraca'!$A$3:$S$910,12,FALSE))</f>
        <v>0</v>
      </c>
      <c r="N956" s="42">
        <f>VLOOKUP($A956,'Neraca Unaudited SIMAK'!$A$2:$R$1272,13,FALSE)+IF(ISNA(VLOOKUP($A956,'Mutasi Neraca'!$A$3:$S$910,13,FALSE)),0,VLOOKUP($A956,'Mutasi Neraca'!$A$3:$S$910,13,FALSE))</f>
        <v>0</v>
      </c>
      <c r="O956" s="42">
        <f>VLOOKUP($A956,'Neraca Unaudited SIMAK'!$A$2:$R$1272,14,FALSE)+IF(ISNA(VLOOKUP($A956,'Mutasi Neraca'!$A$3:$S$910,14,FALSE)),0,VLOOKUP($A956,'Mutasi Neraca'!$A$3:$S$910,14,FALSE))</f>
        <v>0</v>
      </c>
      <c r="P956" s="42">
        <f>VLOOKUP($A956,'Neraca Unaudited SIMAK'!$A$2:$R$1272,15,FALSE)+IF(ISNA(VLOOKUP($A956,'Mutasi Neraca'!$A$3:$S$910,15,FALSE)),0,VLOOKUP($A956,'Mutasi Neraca'!$A$3:$S$910,15,FALSE))</f>
        <v>0</v>
      </c>
      <c r="Q956" s="42">
        <f>VLOOKUP($A956,'Neraca Unaudited SIMAK'!$A$2:$R$1272,16,FALSE)+IF(ISNA(VLOOKUP($A956,'Mutasi Neraca'!$A$3:$S$910,16,FALSE)),0,VLOOKUP($A956,'Mutasi Neraca'!$A$3:$S$910,16,FALSE))</f>
        <v>0</v>
      </c>
      <c r="R956" s="42">
        <f>VLOOKUP($A956,'Neraca Unaudited SIMAK'!$A$2:$R$1272,17,FALSE)+IF(ISNA(VLOOKUP($A956,'Mutasi Neraca'!$A$3:$S$910,17,FALSE)),0,VLOOKUP($A956,'Mutasi Neraca'!$A$3:$S$910,17,FALSE))</f>
        <v>0</v>
      </c>
      <c r="S956" s="42">
        <f t="shared" si="71"/>
        <v>0</v>
      </c>
    </row>
    <row r="957" spans="1:19">
      <c r="A957" s="41" t="s">
        <v>2042</v>
      </c>
      <c r="B957" s="41" t="str">
        <f t="shared" si="70"/>
        <v>005030700</v>
      </c>
      <c r="D957" s="42">
        <f>VLOOKUP($A957,'Neraca Unaudited SIMAK'!$A$2:$R$1272,3,FALSE)+IF(ISNA(VLOOKUP($A957,'Mutasi Neraca'!$A$3:$S$910,3,FALSE)),0,VLOOKUP($A957,'Mutasi Neraca'!$A$3:$S$910,3,FALSE))</f>
        <v>0</v>
      </c>
      <c r="E957" s="42">
        <f>VLOOKUP($A957,'Neraca Unaudited SIMAK'!$A$2:$R$1272,4,FALSE)+IF(ISNA(VLOOKUP($A957,'Mutasi Neraca'!$A$3:$S$910,4,FALSE)),0,VLOOKUP($A957,'Mutasi Neraca'!$A$3:$S$910,4,FALSE))</f>
        <v>0</v>
      </c>
      <c r="F957" s="42">
        <f>VLOOKUP($A957,'Neraca Unaudited SIMAK'!$A$2:$R$1272,5,FALSE)+IF(ISNA(VLOOKUP($A957,'Mutasi Neraca'!$A$3:$S$910,5,FALSE)),0,VLOOKUP($A957,'Mutasi Neraca'!$A$3:$S$910,5,FALSE))</f>
        <v>0</v>
      </c>
      <c r="G957" s="42">
        <f>VLOOKUP($A957,'Neraca Unaudited SIMAK'!$A$2:$R$1272,6,FALSE)+IF(ISNA(VLOOKUP($A957,'Mutasi Neraca'!$A$3:$S$910,6,FALSE)),0,VLOOKUP($A957,'Mutasi Neraca'!$A$3:$S$910,6,FALSE))</f>
        <v>0</v>
      </c>
      <c r="H957" s="42">
        <f>VLOOKUP($A957,'Neraca Unaudited SIMAK'!$A$2:$R$1272,7,FALSE)+IF(ISNA(VLOOKUP($A957,'Mutasi Neraca'!$A$3:$S$910,7,FALSE)),0,VLOOKUP($A957,'Mutasi Neraca'!$A$3:$S$910,7,FALSE))</f>
        <v>0</v>
      </c>
      <c r="I957" s="42">
        <f>VLOOKUP($A957,'Neraca Unaudited SIMAK'!$A$2:$R$1272,8,FALSE)+IF(ISNA(VLOOKUP($A957,'Mutasi Neraca'!$A$3:$S$910,8,FALSE)),0,VLOOKUP($A957,'Mutasi Neraca'!$A$3:$S$910,8,FALSE))</f>
        <v>0</v>
      </c>
      <c r="J957" s="42">
        <f>VLOOKUP($A957,'Neraca Unaudited SIMAK'!$A$2:$R$1272,9,FALSE)+IF(ISNA(VLOOKUP($A957,'Mutasi Neraca'!$A$3:$S$910,9,FALSE)),0,VLOOKUP($A957,'Mutasi Neraca'!$A$3:$S$910,9,FALSE))</f>
        <v>0</v>
      </c>
      <c r="K957" s="42">
        <f>VLOOKUP($A957,'Neraca Unaudited SIMAK'!$A$2:$R$1272,10,FALSE)+IF(ISNA(VLOOKUP($A957,'Mutasi Neraca'!$A$3:$S$910,10,FALSE)),0,VLOOKUP($A957,'Mutasi Neraca'!$A$3:$S$910,10,FALSE))</f>
        <v>0</v>
      </c>
      <c r="L957" s="42">
        <f>VLOOKUP($A957,'Neraca Unaudited SIMAK'!$A$2:$R$1272,11,FALSE)+IF(ISNA(VLOOKUP($A957,'Mutasi Neraca'!$A$3:$S$910,11,FALSE)),0,VLOOKUP($A957,'Mutasi Neraca'!$A$3:$S$910,11,FALSE))</f>
        <v>0</v>
      </c>
      <c r="M957" s="42">
        <f>VLOOKUP($A957,'Neraca Unaudited SIMAK'!$A$2:$R$1272,12,FALSE)+IF(ISNA(VLOOKUP($A957,'Mutasi Neraca'!$A$3:$S$910,12,FALSE)),0,VLOOKUP($A957,'Mutasi Neraca'!$A$3:$S$910,12,FALSE))</f>
        <v>0</v>
      </c>
      <c r="N957" s="42">
        <f>VLOOKUP($A957,'Neraca Unaudited SIMAK'!$A$2:$R$1272,13,FALSE)+IF(ISNA(VLOOKUP($A957,'Mutasi Neraca'!$A$3:$S$910,13,FALSE)),0,VLOOKUP($A957,'Mutasi Neraca'!$A$3:$S$910,13,FALSE))</f>
        <v>0</v>
      </c>
      <c r="O957" s="42">
        <f>VLOOKUP($A957,'Neraca Unaudited SIMAK'!$A$2:$R$1272,14,FALSE)+IF(ISNA(VLOOKUP($A957,'Mutasi Neraca'!$A$3:$S$910,14,FALSE)),0,VLOOKUP($A957,'Mutasi Neraca'!$A$3:$S$910,14,FALSE))</f>
        <v>0</v>
      </c>
      <c r="P957" s="42">
        <f>VLOOKUP($A957,'Neraca Unaudited SIMAK'!$A$2:$R$1272,15,FALSE)+IF(ISNA(VLOOKUP($A957,'Mutasi Neraca'!$A$3:$S$910,15,FALSE)),0,VLOOKUP($A957,'Mutasi Neraca'!$A$3:$S$910,15,FALSE))</f>
        <v>0</v>
      </c>
      <c r="Q957" s="42">
        <f>VLOOKUP($A957,'Neraca Unaudited SIMAK'!$A$2:$R$1272,16,FALSE)+IF(ISNA(VLOOKUP($A957,'Mutasi Neraca'!$A$3:$S$910,16,FALSE)),0,VLOOKUP($A957,'Mutasi Neraca'!$A$3:$S$910,16,FALSE))</f>
        <v>0</v>
      </c>
      <c r="R957" s="42">
        <f>VLOOKUP($A957,'Neraca Unaudited SIMAK'!$A$2:$R$1272,17,FALSE)+IF(ISNA(VLOOKUP($A957,'Mutasi Neraca'!$A$3:$S$910,17,FALSE)),0,VLOOKUP($A957,'Mutasi Neraca'!$A$3:$S$910,17,FALSE))</f>
        <v>0</v>
      </c>
      <c r="S957" s="42">
        <f t="shared" si="71"/>
        <v>0</v>
      </c>
    </row>
    <row r="958" spans="1:19">
      <c r="A958" s="41" t="s">
        <v>931</v>
      </c>
      <c r="B958" s="41" t="str">
        <f t="shared" si="70"/>
        <v>005030700</v>
      </c>
      <c r="D958" s="42">
        <f>VLOOKUP($A958,'Neraca Unaudited SIMAK'!$A$2:$R$1272,3,FALSE)+IF(ISNA(VLOOKUP($A958,'Mutasi Neraca'!$A$3:$S$910,3,FALSE)),0,VLOOKUP($A958,'Mutasi Neraca'!$A$3:$S$910,3,FALSE))</f>
        <v>9105000</v>
      </c>
      <c r="E958" s="42">
        <f>VLOOKUP($A958,'Neraca Unaudited SIMAK'!$A$2:$R$1272,4,FALSE)+IF(ISNA(VLOOKUP($A958,'Mutasi Neraca'!$A$3:$S$910,4,FALSE)),0,VLOOKUP($A958,'Mutasi Neraca'!$A$3:$S$910,4,FALSE))</f>
        <v>0</v>
      </c>
      <c r="F958" s="42">
        <f>VLOOKUP($A958,'Neraca Unaudited SIMAK'!$A$2:$R$1272,5,FALSE)+IF(ISNA(VLOOKUP($A958,'Mutasi Neraca'!$A$3:$S$910,5,FALSE)),0,VLOOKUP($A958,'Mutasi Neraca'!$A$3:$S$910,5,FALSE))</f>
        <v>0</v>
      </c>
      <c r="G958" s="42">
        <f>VLOOKUP($A958,'Neraca Unaudited SIMAK'!$A$2:$R$1272,6,FALSE)+IF(ISNA(VLOOKUP($A958,'Mutasi Neraca'!$A$3:$S$910,6,FALSE)),0,VLOOKUP($A958,'Mutasi Neraca'!$A$3:$S$910,6,FALSE))</f>
        <v>0</v>
      </c>
      <c r="H958" s="42">
        <f>VLOOKUP($A958,'Neraca Unaudited SIMAK'!$A$2:$R$1272,7,FALSE)+IF(ISNA(VLOOKUP($A958,'Mutasi Neraca'!$A$3:$S$910,7,FALSE)),0,VLOOKUP($A958,'Mutasi Neraca'!$A$3:$S$910,7,FALSE))</f>
        <v>0</v>
      </c>
      <c r="I958" s="42">
        <f>VLOOKUP($A958,'Neraca Unaudited SIMAK'!$A$2:$R$1272,8,FALSE)+IF(ISNA(VLOOKUP($A958,'Mutasi Neraca'!$A$3:$S$910,8,FALSE)),0,VLOOKUP($A958,'Mutasi Neraca'!$A$3:$S$910,8,FALSE))</f>
        <v>0</v>
      </c>
      <c r="J958" s="42">
        <f>VLOOKUP($A958,'Neraca Unaudited SIMAK'!$A$2:$R$1272,9,FALSE)+IF(ISNA(VLOOKUP($A958,'Mutasi Neraca'!$A$3:$S$910,9,FALSE)),0,VLOOKUP($A958,'Mutasi Neraca'!$A$3:$S$910,9,FALSE))</f>
        <v>0</v>
      </c>
      <c r="K958" s="42">
        <f>VLOOKUP($A958,'Neraca Unaudited SIMAK'!$A$2:$R$1272,10,FALSE)+IF(ISNA(VLOOKUP($A958,'Mutasi Neraca'!$A$3:$S$910,10,FALSE)),0,VLOOKUP($A958,'Mutasi Neraca'!$A$3:$S$910,10,FALSE))</f>
        <v>0</v>
      </c>
      <c r="L958" s="42">
        <f>VLOOKUP($A958,'Neraca Unaudited SIMAK'!$A$2:$R$1272,11,FALSE)+IF(ISNA(VLOOKUP($A958,'Mutasi Neraca'!$A$3:$S$910,11,FALSE)),0,VLOOKUP($A958,'Mutasi Neraca'!$A$3:$S$910,11,FALSE))</f>
        <v>0</v>
      </c>
      <c r="M958" s="42">
        <f>VLOOKUP($A958,'Neraca Unaudited SIMAK'!$A$2:$R$1272,12,FALSE)+IF(ISNA(VLOOKUP($A958,'Mutasi Neraca'!$A$3:$S$910,12,FALSE)),0,VLOOKUP($A958,'Mutasi Neraca'!$A$3:$S$910,12,FALSE))</f>
        <v>9105000</v>
      </c>
      <c r="N958" s="42">
        <f>VLOOKUP($A958,'Neraca Unaudited SIMAK'!$A$2:$R$1272,13,FALSE)+IF(ISNA(VLOOKUP($A958,'Mutasi Neraca'!$A$3:$S$910,13,FALSE)),0,VLOOKUP($A958,'Mutasi Neraca'!$A$3:$S$910,13,FALSE))</f>
        <v>0</v>
      </c>
      <c r="O958" s="42">
        <f>VLOOKUP($A958,'Neraca Unaudited SIMAK'!$A$2:$R$1272,14,FALSE)+IF(ISNA(VLOOKUP($A958,'Mutasi Neraca'!$A$3:$S$910,14,FALSE)),0,VLOOKUP($A958,'Mutasi Neraca'!$A$3:$S$910,14,FALSE))</f>
        <v>0</v>
      </c>
      <c r="P958" s="42">
        <f>VLOOKUP($A958,'Neraca Unaudited SIMAK'!$A$2:$R$1272,15,FALSE)+IF(ISNA(VLOOKUP($A958,'Mutasi Neraca'!$A$3:$S$910,15,FALSE)),0,VLOOKUP($A958,'Mutasi Neraca'!$A$3:$S$910,15,FALSE))</f>
        <v>0</v>
      </c>
      <c r="Q958" s="42">
        <f>VLOOKUP($A958,'Neraca Unaudited SIMAK'!$A$2:$R$1272,16,FALSE)+IF(ISNA(VLOOKUP($A958,'Mutasi Neraca'!$A$3:$S$910,16,FALSE)),0,VLOOKUP($A958,'Mutasi Neraca'!$A$3:$S$910,16,FALSE))</f>
        <v>0</v>
      </c>
      <c r="R958" s="42">
        <f>VLOOKUP($A958,'Neraca Unaudited SIMAK'!$A$2:$R$1272,17,FALSE)+IF(ISNA(VLOOKUP($A958,'Mutasi Neraca'!$A$3:$S$910,17,FALSE)),0,VLOOKUP($A958,'Mutasi Neraca'!$A$3:$S$910,17,FALSE))</f>
        <v>0</v>
      </c>
      <c r="S958" s="42">
        <f t="shared" si="71"/>
        <v>9105000</v>
      </c>
    </row>
    <row r="959" spans="1:19">
      <c r="A959" s="41" t="s">
        <v>932</v>
      </c>
      <c r="B959" s="41" t="str">
        <f t="shared" si="70"/>
        <v>005030700</v>
      </c>
      <c r="D959" s="42">
        <f>VLOOKUP($A959,'Neraca Unaudited SIMAK'!$A$2:$R$1272,3,FALSE)+IF(ISNA(VLOOKUP($A959,'Mutasi Neraca'!$A$3:$S$910,3,FALSE)),0,VLOOKUP($A959,'Mutasi Neraca'!$A$3:$S$910,3,FALSE))</f>
        <v>0</v>
      </c>
      <c r="E959" s="42">
        <f>VLOOKUP($A959,'Neraca Unaudited SIMAK'!$A$2:$R$1272,4,FALSE)+IF(ISNA(VLOOKUP($A959,'Mutasi Neraca'!$A$3:$S$910,4,FALSE)),0,VLOOKUP($A959,'Mutasi Neraca'!$A$3:$S$910,4,FALSE))</f>
        <v>0</v>
      </c>
      <c r="F959" s="42">
        <f>VLOOKUP($A959,'Neraca Unaudited SIMAK'!$A$2:$R$1272,5,FALSE)+IF(ISNA(VLOOKUP($A959,'Mutasi Neraca'!$A$3:$S$910,5,FALSE)),0,VLOOKUP($A959,'Mutasi Neraca'!$A$3:$S$910,5,FALSE))</f>
        <v>0</v>
      </c>
      <c r="G959" s="42">
        <f>VLOOKUP($A959,'Neraca Unaudited SIMAK'!$A$2:$R$1272,6,FALSE)+IF(ISNA(VLOOKUP($A959,'Mutasi Neraca'!$A$3:$S$910,6,FALSE)),0,VLOOKUP($A959,'Mutasi Neraca'!$A$3:$S$910,6,FALSE))</f>
        <v>0</v>
      </c>
      <c r="H959" s="42">
        <f>VLOOKUP($A959,'Neraca Unaudited SIMAK'!$A$2:$R$1272,7,FALSE)+IF(ISNA(VLOOKUP($A959,'Mutasi Neraca'!$A$3:$S$910,7,FALSE)),0,VLOOKUP($A959,'Mutasi Neraca'!$A$3:$S$910,7,FALSE))</f>
        <v>0</v>
      </c>
      <c r="I959" s="42">
        <f>VLOOKUP($A959,'Neraca Unaudited SIMAK'!$A$2:$R$1272,8,FALSE)+IF(ISNA(VLOOKUP($A959,'Mutasi Neraca'!$A$3:$S$910,8,FALSE)),0,VLOOKUP($A959,'Mutasi Neraca'!$A$3:$S$910,8,FALSE))</f>
        <v>0</v>
      </c>
      <c r="J959" s="42">
        <f>VLOOKUP($A959,'Neraca Unaudited SIMAK'!$A$2:$R$1272,9,FALSE)+IF(ISNA(VLOOKUP($A959,'Mutasi Neraca'!$A$3:$S$910,9,FALSE)),0,VLOOKUP($A959,'Mutasi Neraca'!$A$3:$S$910,9,FALSE))</f>
        <v>0</v>
      </c>
      <c r="K959" s="42">
        <f>VLOOKUP($A959,'Neraca Unaudited SIMAK'!$A$2:$R$1272,10,FALSE)+IF(ISNA(VLOOKUP($A959,'Mutasi Neraca'!$A$3:$S$910,10,FALSE)),0,VLOOKUP($A959,'Mutasi Neraca'!$A$3:$S$910,10,FALSE))</f>
        <v>0</v>
      </c>
      <c r="L959" s="42">
        <f>VLOOKUP($A959,'Neraca Unaudited SIMAK'!$A$2:$R$1272,11,FALSE)+IF(ISNA(VLOOKUP($A959,'Mutasi Neraca'!$A$3:$S$910,11,FALSE)),0,VLOOKUP($A959,'Mutasi Neraca'!$A$3:$S$910,11,FALSE))</f>
        <v>0</v>
      </c>
      <c r="M959" s="42">
        <f>VLOOKUP($A959,'Neraca Unaudited SIMAK'!$A$2:$R$1272,12,FALSE)+IF(ISNA(VLOOKUP($A959,'Mutasi Neraca'!$A$3:$S$910,12,FALSE)),0,VLOOKUP($A959,'Mutasi Neraca'!$A$3:$S$910,12,FALSE))</f>
        <v>0</v>
      </c>
      <c r="N959" s="42">
        <f>VLOOKUP($A959,'Neraca Unaudited SIMAK'!$A$2:$R$1272,13,FALSE)+IF(ISNA(VLOOKUP($A959,'Mutasi Neraca'!$A$3:$S$910,13,FALSE)),0,VLOOKUP($A959,'Mutasi Neraca'!$A$3:$S$910,13,FALSE))</f>
        <v>0</v>
      </c>
      <c r="O959" s="42">
        <f>VLOOKUP($A959,'Neraca Unaudited SIMAK'!$A$2:$R$1272,14,FALSE)+IF(ISNA(VLOOKUP($A959,'Mutasi Neraca'!$A$3:$S$910,14,FALSE)),0,VLOOKUP($A959,'Mutasi Neraca'!$A$3:$S$910,14,FALSE))</f>
        <v>0</v>
      </c>
      <c r="P959" s="42">
        <f>VLOOKUP($A959,'Neraca Unaudited SIMAK'!$A$2:$R$1272,15,FALSE)+IF(ISNA(VLOOKUP($A959,'Mutasi Neraca'!$A$3:$S$910,15,FALSE)),0,VLOOKUP($A959,'Mutasi Neraca'!$A$3:$S$910,15,FALSE))</f>
        <v>0</v>
      </c>
      <c r="Q959" s="42">
        <f>VLOOKUP($A959,'Neraca Unaudited SIMAK'!$A$2:$R$1272,16,FALSE)+IF(ISNA(VLOOKUP($A959,'Mutasi Neraca'!$A$3:$S$910,16,FALSE)),0,VLOOKUP($A959,'Mutasi Neraca'!$A$3:$S$910,16,FALSE))</f>
        <v>0</v>
      </c>
      <c r="R959" s="42">
        <f>VLOOKUP($A959,'Neraca Unaudited SIMAK'!$A$2:$R$1272,17,FALSE)+IF(ISNA(VLOOKUP($A959,'Mutasi Neraca'!$A$3:$S$910,17,FALSE)),0,VLOOKUP($A959,'Mutasi Neraca'!$A$3:$S$910,17,FALSE))</f>
        <v>0</v>
      </c>
      <c r="S959" s="42">
        <f t="shared" si="71"/>
        <v>0</v>
      </c>
    </row>
    <row r="960" spans="1:19">
      <c r="A960" s="41" t="s">
        <v>933</v>
      </c>
      <c r="B960" s="41" t="str">
        <f t="shared" si="70"/>
        <v>005030700</v>
      </c>
      <c r="D960" s="42">
        <f>VLOOKUP($A960,'Neraca Unaudited SIMAK'!$A$2:$R$1272,3,FALSE)+IF(ISNA(VLOOKUP($A960,'Mutasi Neraca'!$A$3:$S$910,3,FALSE)),0,VLOOKUP($A960,'Mutasi Neraca'!$A$3:$S$910,3,FALSE))</f>
        <v>0</v>
      </c>
      <c r="E960" s="42">
        <f>VLOOKUP($A960,'Neraca Unaudited SIMAK'!$A$2:$R$1272,4,FALSE)+IF(ISNA(VLOOKUP($A960,'Mutasi Neraca'!$A$3:$S$910,4,FALSE)),0,VLOOKUP($A960,'Mutasi Neraca'!$A$3:$S$910,4,FALSE))</f>
        <v>0</v>
      </c>
      <c r="F960" s="42">
        <f>VLOOKUP($A960,'Neraca Unaudited SIMAK'!$A$2:$R$1272,5,FALSE)+IF(ISNA(VLOOKUP($A960,'Mutasi Neraca'!$A$3:$S$910,5,FALSE)),0,VLOOKUP($A960,'Mutasi Neraca'!$A$3:$S$910,5,FALSE))</f>
        <v>0</v>
      </c>
      <c r="G960" s="42">
        <f>VLOOKUP($A960,'Neraca Unaudited SIMAK'!$A$2:$R$1272,6,FALSE)+IF(ISNA(VLOOKUP($A960,'Mutasi Neraca'!$A$3:$S$910,6,FALSE)),0,VLOOKUP($A960,'Mutasi Neraca'!$A$3:$S$910,6,FALSE))</f>
        <v>0</v>
      </c>
      <c r="H960" s="42">
        <f>VLOOKUP($A960,'Neraca Unaudited SIMAK'!$A$2:$R$1272,7,FALSE)+IF(ISNA(VLOOKUP($A960,'Mutasi Neraca'!$A$3:$S$910,7,FALSE)),0,VLOOKUP($A960,'Mutasi Neraca'!$A$3:$S$910,7,FALSE))</f>
        <v>0</v>
      </c>
      <c r="I960" s="42">
        <f>VLOOKUP($A960,'Neraca Unaudited SIMAK'!$A$2:$R$1272,8,FALSE)+IF(ISNA(VLOOKUP($A960,'Mutasi Neraca'!$A$3:$S$910,8,FALSE)),0,VLOOKUP($A960,'Mutasi Neraca'!$A$3:$S$910,8,FALSE))</f>
        <v>0</v>
      </c>
      <c r="J960" s="42">
        <f>VLOOKUP($A960,'Neraca Unaudited SIMAK'!$A$2:$R$1272,9,FALSE)+IF(ISNA(VLOOKUP($A960,'Mutasi Neraca'!$A$3:$S$910,9,FALSE)),0,VLOOKUP($A960,'Mutasi Neraca'!$A$3:$S$910,9,FALSE))</f>
        <v>0</v>
      </c>
      <c r="K960" s="42">
        <f>VLOOKUP($A960,'Neraca Unaudited SIMAK'!$A$2:$R$1272,10,FALSE)+IF(ISNA(VLOOKUP($A960,'Mutasi Neraca'!$A$3:$S$910,10,FALSE)),0,VLOOKUP($A960,'Mutasi Neraca'!$A$3:$S$910,10,FALSE))</f>
        <v>0</v>
      </c>
      <c r="L960" s="42">
        <f>VLOOKUP($A960,'Neraca Unaudited SIMAK'!$A$2:$R$1272,11,FALSE)+IF(ISNA(VLOOKUP($A960,'Mutasi Neraca'!$A$3:$S$910,11,FALSE)),0,VLOOKUP($A960,'Mutasi Neraca'!$A$3:$S$910,11,FALSE))</f>
        <v>0</v>
      </c>
      <c r="M960" s="42">
        <f>VLOOKUP($A960,'Neraca Unaudited SIMAK'!$A$2:$R$1272,12,FALSE)+IF(ISNA(VLOOKUP($A960,'Mutasi Neraca'!$A$3:$S$910,12,FALSE)),0,VLOOKUP($A960,'Mutasi Neraca'!$A$3:$S$910,12,FALSE))</f>
        <v>0</v>
      </c>
      <c r="N960" s="42">
        <f>VLOOKUP($A960,'Neraca Unaudited SIMAK'!$A$2:$R$1272,13,FALSE)+IF(ISNA(VLOOKUP($A960,'Mutasi Neraca'!$A$3:$S$910,13,FALSE)),0,VLOOKUP($A960,'Mutasi Neraca'!$A$3:$S$910,13,FALSE))</f>
        <v>0</v>
      </c>
      <c r="O960" s="42">
        <f>VLOOKUP($A960,'Neraca Unaudited SIMAK'!$A$2:$R$1272,14,FALSE)+IF(ISNA(VLOOKUP($A960,'Mutasi Neraca'!$A$3:$S$910,14,FALSE)),0,VLOOKUP($A960,'Mutasi Neraca'!$A$3:$S$910,14,FALSE))</f>
        <v>0</v>
      </c>
      <c r="P960" s="42">
        <f>VLOOKUP($A960,'Neraca Unaudited SIMAK'!$A$2:$R$1272,15,FALSE)+IF(ISNA(VLOOKUP($A960,'Mutasi Neraca'!$A$3:$S$910,15,FALSE)),0,VLOOKUP($A960,'Mutasi Neraca'!$A$3:$S$910,15,FALSE))</f>
        <v>0</v>
      </c>
      <c r="Q960" s="42">
        <f>VLOOKUP($A960,'Neraca Unaudited SIMAK'!$A$2:$R$1272,16,FALSE)+IF(ISNA(VLOOKUP($A960,'Mutasi Neraca'!$A$3:$S$910,16,FALSE)),0,VLOOKUP($A960,'Mutasi Neraca'!$A$3:$S$910,16,FALSE))</f>
        <v>0</v>
      </c>
      <c r="R960" s="42">
        <f>VLOOKUP($A960,'Neraca Unaudited SIMAK'!$A$2:$R$1272,17,FALSE)+IF(ISNA(VLOOKUP($A960,'Mutasi Neraca'!$A$3:$S$910,17,FALSE)),0,VLOOKUP($A960,'Mutasi Neraca'!$A$3:$S$910,17,FALSE))</f>
        <v>0</v>
      </c>
      <c r="S960" s="42">
        <f t="shared" si="71"/>
        <v>0</v>
      </c>
    </row>
    <row r="961" spans="1:19">
      <c r="A961" s="41" t="s">
        <v>934</v>
      </c>
      <c r="B961" s="41" t="str">
        <f t="shared" si="70"/>
        <v>005030700</v>
      </c>
      <c r="D961" s="42">
        <f>VLOOKUP($A961,'Neraca Unaudited SIMAK'!$A$2:$R$1272,3,FALSE)+IF(ISNA(VLOOKUP($A961,'Mutasi Neraca'!$A$3:$S$910,3,FALSE)),0,VLOOKUP($A961,'Mutasi Neraca'!$A$3:$S$910,3,FALSE))</f>
        <v>800000</v>
      </c>
      <c r="E961" s="42">
        <f>VLOOKUP($A961,'Neraca Unaudited SIMAK'!$A$2:$R$1272,4,FALSE)+IF(ISNA(VLOOKUP($A961,'Mutasi Neraca'!$A$3:$S$910,4,FALSE)),0,VLOOKUP($A961,'Mutasi Neraca'!$A$3:$S$910,4,FALSE))</f>
        <v>0</v>
      </c>
      <c r="F961" s="42">
        <f>VLOOKUP($A961,'Neraca Unaudited SIMAK'!$A$2:$R$1272,5,FALSE)+IF(ISNA(VLOOKUP($A961,'Mutasi Neraca'!$A$3:$S$910,5,FALSE)),0,VLOOKUP($A961,'Mutasi Neraca'!$A$3:$S$910,5,FALSE))</f>
        <v>0</v>
      </c>
      <c r="G961" s="42">
        <f>VLOOKUP($A961,'Neraca Unaudited SIMAK'!$A$2:$R$1272,6,FALSE)+IF(ISNA(VLOOKUP($A961,'Mutasi Neraca'!$A$3:$S$910,6,FALSE)),0,VLOOKUP($A961,'Mutasi Neraca'!$A$3:$S$910,6,FALSE))</f>
        <v>0</v>
      </c>
      <c r="H961" s="42">
        <f>VLOOKUP($A961,'Neraca Unaudited SIMAK'!$A$2:$R$1272,7,FALSE)+IF(ISNA(VLOOKUP($A961,'Mutasi Neraca'!$A$3:$S$910,7,FALSE)),0,VLOOKUP($A961,'Mutasi Neraca'!$A$3:$S$910,7,FALSE))</f>
        <v>0</v>
      </c>
      <c r="I961" s="42">
        <f>VLOOKUP($A961,'Neraca Unaudited SIMAK'!$A$2:$R$1272,8,FALSE)+IF(ISNA(VLOOKUP($A961,'Mutasi Neraca'!$A$3:$S$910,8,FALSE)),0,VLOOKUP($A961,'Mutasi Neraca'!$A$3:$S$910,8,FALSE))</f>
        <v>0</v>
      </c>
      <c r="J961" s="42">
        <f>VLOOKUP($A961,'Neraca Unaudited SIMAK'!$A$2:$R$1272,9,FALSE)+IF(ISNA(VLOOKUP($A961,'Mutasi Neraca'!$A$3:$S$910,9,FALSE)),0,VLOOKUP($A961,'Mutasi Neraca'!$A$3:$S$910,9,FALSE))</f>
        <v>0</v>
      </c>
      <c r="K961" s="42">
        <f>VLOOKUP($A961,'Neraca Unaudited SIMAK'!$A$2:$R$1272,10,FALSE)+IF(ISNA(VLOOKUP($A961,'Mutasi Neraca'!$A$3:$S$910,10,FALSE)),0,VLOOKUP($A961,'Mutasi Neraca'!$A$3:$S$910,10,FALSE))</f>
        <v>0</v>
      </c>
      <c r="L961" s="42">
        <f>VLOOKUP($A961,'Neraca Unaudited SIMAK'!$A$2:$R$1272,11,FALSE)+IF(ISNA(VLOOKUP($A961,'Mutasi Neraca'!$A$3:$S$910,11,FALSE)),0,VLOOKUP($A961,'Mutasi Neraca'!$A$3:$S$910,11,FALSE))</f>
        <v>0</v>
      </c>
      <c r="M961" s="42">
        <f>VLOOKUP($A961,'Neraca Unaudited SIMAK'!$A$2:$R$1272,12,FALSE)+IF(ISNA(VLOOKUP($A961,'Mutasi Neraca'!$A$3:$S$910,12,FALSE)),0,VLOOKUP($A961,'Mutasi Neraca'!$A$3:$S$910,12,FALSE))</f>
        <v>800000</v>
      </c>
      <c r="N961" s="42">
        <f>VLOOKUP($A961,'Neraca Unaudited SIMAK'!$A$2:$R$1272,13,FALSE)+IF(ISNA(VLOOKUP($A961,'Mutasi Neraca'!$A$3:$S$910,13,FALSE)),0,VLOOKUP($A961,'Mutasi Neraca'!$A$3:$S$910,13,FALSE))</f>
        <v>0</v>
      </c>
      <c r="O961" s="42">
        <f>VLOOKUP($A961,'Neraca Unaudited SIMAK'!$A$2:$R$1272,14,FALSE)+IF(ISNA(VLOOKUP($A961,'Mutasi Neraca'!$A$3:$S$910,14,FALSE)),0,VLOOKUP($A961,'Mutasi Neraca'!$A$3:$S$910,14,FALSE))</f>
        <v>0</v>
      </c>
      <c r="P961" s="42">
        <f>VLOOKUP($A961,'Neraca Unaudited SIMAK'!$A$2:$R$1272,15,FALSE)+IF(ISNA(VLOOKUP($A961,'Mutasi Neraca'!$A$3:$S$910,15,FALSE)),0,VLOOKUP($A961,'Mutasi Neraca'!$A$3:$S$910,15,FALSE))</f>
        <v>0</v>
      </c>
      <c r="Q961" s="42">
        <f>VLOOKUP($A961,'Neraca Unaudited SIMAK'!$A$2:$R$1272,16,FALSE)+IF(ISNA(VLOOKUP($A961,'Mutasi Neraca'!$A$3:$S$910,16,FALSE)),0,VLOOKUP($A961,'Mutasi Neraca'!$A$3:$S$910,16,FALSE))</f>
        <v>0</v>
      </c>
      <c r="R961" s="42">
        <f>VLOOKUP($A961,'Neraca Unaudited SIMAK'!$A$2:$R$1272,17,FALSE)+IF(ISNA(VLOOKUP($A961,'Mutasi Neraca'!$A$3:$S$910,17,FALSE)),0,VLOOKUP($A961,'Mutasi Neraca'!$A$3:$S$910,17,FALSE))</f>
        <v>0</v>
      </c>
      <c r="S961" s="42">
        <f t="shared" si="71"/>
        <v>800000</v>
      </c>
    </row>
    <row r="962" spans="1:19">
      <c r="A962" s="41" t="s">
        <v>935</v>
      </c>
      <c r="B962" s="41" t="str">
        <f t="shared" si="70"/>
        <v>005030700</v>
      </c>
      <c r="D962" s="42">
        <f>VLOOKUP($A962,'Neraca Unaudited SIMAK'!$A$2:$R$1272,3,FALSE)+IF(ISNA(VLOOKUP($A962,'Mutasi Neraca'!$A$3:$S$910,3,FALSE)),0,VLOOKUP($A962,'Mutasi Neraca'!$A$3:$S$910,3,FALSE))</f>
        <v>8000</v>
      </c>
      <c r="E962" s="42">
        <f>VLOOKUP($A962,'Neraca Unaudited SIMAK'!$A$2:$R$1272,4,FALSE)+IF(ISNA(VLOOKUP($A962,'Mutasi Neraca'!$A$3:$S$910,4,FALSE)),0,VLOOKUP($A962,'Mutasi Neraca'!$A$3:$S$910,4,FALSE))</f>
        <v>0</v>
      </c>
      <c r="F962" s="42">
        <f>VLOOKUP($A962,'Neraca Unaudited SIMAK'!$A$2:$R$1272,5,FALSE)+IF(ISNA(VLOOKUP($A962,'Mutasi Neraca'!$A$3:$S$910,5,FALSE)),0,VLOOKUP($A962,'Mutasi Neraca'!$A$3:$S$910,5,FALSE))</f>
        <v>0</v>
      </c>
      <c r="G962" s="42">
        <f>VLOOKUP($A962,'Neraca Unaudited SIMAK'!$A$2:$R$1272,6,FALSE)+IF(ISNA(VLOOKUP($A962,'Mutasi Neraca'!$A$3:$S$910,6,FALSE)),0,VLOOKUP($A962,'Mutasi Neraca'!$A$3:$S$910,6,FALSE))</f>
        <v>0</v>
      </c>
      <c r="H962" s="42">
        <f>VLOOKUP($A962,'Neraca Unaudited SIMAK'!$A$2:$R$1272,7,FALSE)+IF(ISNA(VLOOKUP($A962,'Mutasi Neraca'!$A$3:$S$910,7,FALSE)),0,VLOOKUP($A962,'Mutasi Neraca'!$A$3:$S$910,7,FALSE))</f>
        <v>0</v>
      </c>
      <c r="I962" s="42">
        <f>VLOOKUP($A962,'Neraca Unaudited SIMAK'!$A$2:$R$1272,8,FALSE)+IF(ISNA(VLOOKUP($A962,'Mutasi Neraca'!$A$3:$S$910,8,FALSE)),0,VLOOKUP($A962,'Mutasi Neraca'!$A$3:$S$910,8,FALSE))</f>
        <v>0</v>
      </c>
      <c r="J962" s="42">
        <f>VLOOKUP($A962,'Neraca Unaudited SIMAK'!$A$2:$R$1272,9,FALSE)+IF(ISNA(VLOOKUP($A962,'Mutasi Neraca'!$A$3:$S$910,9,FALSE)),0,VLOOKUP($A962,'Mutasi Neraca'!$A$3:$S$910,9,FALSE))</f>
        <v>0</v>
      </c>
      <c r="K962" s="42">
        <f>VLOOKUP($A962,'Neraca Unaudited SIMAK'!$A$2:$R$1272,10,FALSE)+IF(ISNA(VLOOKUP($A962,'Mutasi Neraca'!$A$3:$S$910,10,FALSE)),0,VLOOKUP($A962,'Mutasi Neraca'!$A$3:$S$910,10,FALSE))</f>
        <v>0</v>
      </c>
      <c r="L962" s="42">
        <f>VLOOKUP($A962,'Neraca Unaudited SIMAK'!$A$2:$R$1272,11,FALSE)+IF(ISNA(VLOOKUP($A962,'Mutasi Neraca'!$A$3:$S$910,11,FALSE)),0,VLOOKUP($A962,'Mutasi Neraca'!$A$3:$S$910,11,FALSE))</f>
        <v>0</v>
      </c>
      <c r="M962" s="42">
        <f>VLOOKUP($A962,'Neraca Unaudited SIMAK'!$A$2:$R$1272,12,FALSE)+IF(ISNA(VLOOKUP($A962,'Mutasi Neraca'!$A$3:$S$910,12,FALSE)),0,VLOOKUP($A962,'Mutasi Neraca'!$A$3:$S$910,12,FALSE))</f>
        <v>8000</v>
      </c>
      <c r="N962" s="42">
        <f>VLOOKUP($A962,'Neraca Unaudited SIMAK'!$A$2:$R$1272,13,FALSE)+IF(ISNA(VLOOKUP($A962,'Mutasi Neraca'!$A$3:$S$910,13,FALSE)),0,VLOOKUP($A962,'Mutasi Neraca'!$A$3:$S$910,13,FALSE))</f>
        <v>0</v>
      </c>
      <c r="O962" s="42">
        <f>VLOOKUP($A962,'Neraca Unaudited SIMAK'!$A$2:$R$1272,14,FALSE)+IF(ISNA(VLOOKUP($A962,'Mutasi Neraca'!$A$3:$S$910,14,FALSE)),0,VLOOKUP($A962,'Mutasi Neraca'!$A$3:$S$910,14,FALSE))</f>
        <v>0</v>
      </c>
      <c r="P962" s="42">
        <f>VLOOKUP($A962,'Neraca Unaudited SIMAK'!$A$2:$R$1272,15,FALSE)+IF(ISNA(VLOOKUP($A962,'Mutasi Neraca'!$A$3:$S$910,15,FALSE)),0,VLOOKUP($A962,'Mutasi Neraca'!$A$3:$S$910,15,FALSE))</f>
        <v>0</v>
      </c>
      <c r="Q962" s="42">
        <f>VLOOKUP($A962,'Neraca Unaudited SIMAK'!$A$2:$R$1272,16,FALSE)+IF(ISNA(VLOOKUP($A962,'Mutasi Neraca'!$A$3:$S$910,16,FALSE)),0,VLOOKUP($A962,'Mutasi Neraca'!$A$3:$S$910,16,FALSE))</f>
        <v>0</v>
      </c>
      <c r="R962" s="42">
        <f>VLOOKUP($A962,'Neraca Unaudited SIMAK'!$A$2:$R$1272,17,FALSE)+IF(ISNA(VLOOKUP($A962,'Mutasi Neraca'!$A$3:$S$910,17,FALSE)),0,VLOOKUP($A962,'Mutasi Neraca'!$A$3:$S$910,17,FALSE))</f>
        <v>0</v>
      </c>
      <c r="S962" s="42">
        <f t="shared" si="71"/>
        <v>8000</v>
      </c>
    </row>
    <row r="963" spans="1:19">
      <c r="A963" s="41" t="s">
        <v>936</v>
      </c>
      <c r="B963" s="41" t="str">
        <f t="shared" ref="B963:B1026" si="72">LEFT(A963,9)</f>
        <v>005030700</v>
      </c>
      <c r="D963" s="42">
        <f>VLOOKUP($A963,'Neraca Unaudited SIMAK'!$A$2:$R$1272,3,FALSE)+IF(ISNA(VLOOKUP($A963,'Mutasi Neraca'!$A$3:$S$910,3,FALSE)),0,VLOOKUP($A963,'Mutasi Neraca'!$A$3:$S$910,3,FALSE))</f>
        <v>226000</v>
      </c>
      <c r="E963" s="42">
        <f>VLOOKUP($A963,'Neraca Unaudited SIMAK'!$A$2:$R$1272,4,FALSE)+IF(ISNA(VLOOKUP($A963,'Mutasi Neraca'!$A$3:$S$910,4,FALSE)),0,VLOOKUP($A963,'Mutasi Neraca'!$A$3:$S$910,4,FALSE))</f>
        <v>0</v>
      </c>
      <c r="F963" s="42">
        <f>VLOOKUP($A963,'Neraca Unaudited SIMAK'!$A$2:$R$1272,5,FALSE)+IF(ISNA(VLOOKUP($A963,'Mutasi Neraca'!$A$3:$S$910,5,FALSE)),0,VLOOKUP($A963,'Mutasi Neraca'!$A$3:$S$910,5,FALSE))</f>
        <v>0</v>
      </c>
      <c r="G963" s="42">
        <f>VLOOKUP($A963,'Neraca Unaudited SIMAK'!$A$2:$R$1272,6,FALSE)+IF(ISNA(VLOOKUP($A963,'Mutasi Neraca'!$A$3:$S$910,6,FALSE)),0,VLOOKUP($A963,'Mutasi Neraca'!$A$3:$S$910,6,FALSE))</f>
        <v>0</v>
      </c>
      <c r="H963" s="42">
        <f>VLOOKUP($A963,'Neraca Unaudited SIMAK'!$A$2:$R$1272,7,FALSE)+IF(ISNA(VLOOKUP($A963,'Mutasi Neraca'!$A$3:$S$910,7,FALSE)),0,VLOOKUP($A963,'Mutasi Neraca'!$A$3:$S$910,7,FALSE))</f>
        <v>0</v>
      </c>
      <c r="I963" s="42">
        <f>VLOOKUP($A963,'Neraca Unaudited SIMAK'!$A$2:$R$1272,8,FALSE)+IF(ISNA(VLOOKUP($A963,'Mutasi Neraca'!$A$3:$S$910,8,FALSE)),0,VLOOKUP($A963,'Mutasi Neraca'!$A$3:$S$910,8,FALSE))</f>
        <v>0</v>
      </c>
      <c r="J963" s="42">
        <f>VLOOKUP($A963,'Neraca Unaudited SIMAK'!$A$2:$R$1272,9,FALSE)+IF(ISNA(VLOOKUP($A963,'Mutasi Neraca'!$A$3:$S$910,9,FALSE)),0,VLOOKUP($A963,'Mutasi Neraca'!$A$3:$S$910,9,FALSE))</f>
        <v>0</v>
      </c>
      <c r="K963" s="42">
        <f>VLOOKUP($A963,'Neraca Unaudited SIMAK'!$A$2:$R$1272,10,FALSE)+IF(ISNA(VLOOKUP($A963,'Mutasi Neraca'!$A$3:$S$910,10,FALSE)),0,VLOOKUP($A963,'Mutasi Neraca'!$A$3:$S$910,10,FALSE))</f>
        <v>0</v>
      </c>
      <c r="L963" s="42">
        <f>VLOOKUP($A963,'Neraca Unaudited SIMAK'!$A$2:$R$1272,11,FALSE)+IF(ISNA(VLOOKUP($A963,'Mutasi Neraca'!$A$3:$S$910,11,FALSE)),0,VLOOKUP($A963,'Mutasi Neraca'!$A$3:$S$910,11,FALSE))</f>
        <v>0</v>
      </c>
      <c r="M963" s="42">
        <f>VLOOKUP($A963,'Neraca Unaudited SIMAK'!$A$2:$R$1272,12,FALSE)+IF(ISNA(VLOOKUP($A963,'Mutasi Neraca'!$A$3:$S$910,12,FALSE)),0,VLOOKUP($A963,'Mutasi Neraca'!$A$3:$S$910,12,FALSE))</f>
        <v>226000</v>
      </c>
      <c r="N963" s="42">
        <f>VLOOKUP($A963,'Neraca Unaudited SIMAK'!$A$2:$R$1272,13,FALSE)+IF(ISNA(VLOOKUP($A963,'Mutasi Neraca'!$A$3:$S$910,13,FALSE)),0,VLOOKUP($A963,'Mutasi Neraca'!$A$3:$S$910,13,FALSE))</f>
        <v>0</v>
      </c>
      <c r="O963" s="42">
        <f>VLOOKUP($A963,'Neraca Unaudited SIMAK'!$A$2:$R$1272,14,FALSE)+IF(ISNA(VLOOKUP($A963,'Mutasi Neraca'!$A$3:$S$910,14,FALSE)),0,VLOOKUP($A963,'Mutasi Neraca'!$A$3:$S$910,14,FALSE))</f>
        <v>0</v>
      </c>
      <c r="P963" s="42">
        <f>VLOOKUP($A963,'Neraca Unaudited SIMAK'!$A$2:$R$1272,15,FALSE)+IF(ISNA(VLOOKUP($A963,'Mutasi Neraca'!$A$3:$S$910,15,FALSE)),0,VLOOKUP($A963,'Mutasi Neraca'!$A$3:$S$910,15,FALSE))</f>
        <v>0</v>
      </c>
      <c r="Q963" s="42">
        <f>VLOOKUP($A963,'Neraca Unaudited SIMAK'!$A$2:$R$1272,16,FALSE)+IF(ISNA(VLOOKUP($A963,'Mutasi Neraca'!$A$3:$S$910,16,FALSE)),0,VLOOKUP($A963,'Mutasi Neraca'!$A$3:$S$910,16,FALSE))</f>
        <v>0</v>
      </c>
      <c r="R963" s="42">
        <f>VLOOKUP($A963,'Neraca Unaudited SIMAK'!$A$2:$R$1272,17,FALSE)+IF(ISNA(VLOOKUP($A963,'Mutasi Neraca'!$A$3:$S$910,17,FALSE)),0,VLOOKUP($A963,'Mutasi Neraca'!$A$3:$S$910,17,FALSE))</f>
        <v>0</v>
      </c>
      <c r="S963" s="42">
        <f t="shared" ref="S963:S1026" si="73">SUM(M963:R963)</f>
        <v>226000</v>
      </c>
    </row>
    <row r="964" spans="1:19">
      <c r="A964" s="41" t="s">
        <v>937</v>
      </c>
      <c r="B964" s="41" t="str">
        <f t="shared" si="72"/>
        <v>005030700</v>
      </c>
      <c r="D964" s="42">
        <f>VLOOKUP($A964,'Neraca Unaudited SIMAK'!$A$2:$R$1272,3,FALSE)+IF(ISNA(VLOOKUP($A964,'Mutasi Neraca'!$A$3:$S$910,3,FALSE)),0,VLOOKUP($A964,'Mutasi Neraca'!$A$3:$S$910,3,FALSE))</f>
        <v>2028500</v>
      </c>
      <c r="E964" s="42">
        <f>VLOOKUP($A964,'Neraca Unaudited SIMAK'!$A$2:$R$1272,4,FALSE)+IF(ISNA(VLOOKUP($A964,'Mutasi Neraca'!$A$3:$S$910,4,FALSE)),0,VLOOKUP($A964,'Mutasi Neraca'!$A$3:$S$910,4,FALSE))</f>
        <v>0</v>
      </c>
      <c r="F964" s="42">
        <f>VLOOKUP($A964,'Neraca Unaudited SIMAK'!$A$2:$R$1272,5,FALSE)+IF(ISNA(VLOOKUP($A964,'Mutasi Neraca'!$A$3:$S$910,5,FALSE)),0,VLOOKUP($A964,'Mutasi Neraca'!$A$3:$S$910,5,FALSE))</f>
        <v>0</v>
      </c>
      <c r="G964" s="42">
        <f>VLOOKUP($A964,'Neraca Unaudited SIMAK'!$A$2:$R$1272,6,FALSE)+IF(ISNA(VLOOKUP($A964,'Mutasi Neraca'!$A$3:$S$910,6,FALSE)),0,VLOOKUP($A964,'Mutasi Neraca'!$A$3:$S$910,6,FALSE))</f>
        <v>0</v>
      </c>
      <c r="H964" s="42">
        <f>VLOOKUP($A964,'Neraca Unaudited SIMAK'!$A$2:$R$1272,7,FALSE)+IF(ISNA(VLOOKUP($A964,'Mutasi Neraca'!$A$3:$S$910,7,FALSE)),0,VLOOKUP($A964,'Mutasi Neraca'!$A$3:$S$910,7,FALSE))</f>
        <v>0</v>
      </c>
      <c r="I964" s="42">
        <f>VLOOKUP($A964,'Neraca Unaudited SIMAK'!$A$2:$R$1272,8,FALSE)+IF(ISNA(VLOOKUP($A964,'Mutasi Neraca'!$A$3:$S$910,8,FALSE)),0,VLOOKUP($A964,'Mutasi Neraca'!$A$3:$S$910,8,FALSE))</f>
        <v>0</v>
      </c>
      <c r="J964" s="42">
        <f>VLOOKUP($A964,'Neraca Unaudited SIMAK'!$A$2:$R$1272,9,FALSE)+IF(ISNA(VLOOKUP($A964,'Mutasi Neraca'!$A$3:$S$910,9,FALSE)),0,VLOOKUP($A964,'Mutasi Neraca'!$A$3:$S$910,9,FALSE))</f>
        <v>0</v>
      </c>
      <c r="K964" s="42">
        <f>VLOOKUP($A964,'Neraca Unaudited SIMAK'!$A$2:$R$1272,10,FALSE)+IF(ISNA(VLOOKUP($A964,'Mutasi Neraca'!$A$3:$S$910,10,FALSE)),0,VLOOKUP($A964,'Mutasi Neraca'!$A$3:$S$910,10,FALSE))</f>
        <v>0</v>
      </c>
      <c r="L964" s="42">
        <f>VLOOKUP($A964,'Neraca Unaudited SIMAK'!$A$2:$R$1272,11,FALSE)+IF(ISNA(VLOOKUP($A964,'Mutasi Neraca'!$A$3:$S$910,11,FALSE)),0,VLOOKUP($A964,'Mutasi Neraca'!$A$3:$S$910,11,FALSE))</f>
        <v>0</v>
      </c>
      <c r="M964" s="42">
        <f>VLOOKUP($A964,'Neraca Unaudited SIMAK'!$A$2:$R$1272,12,FALSE)+IF(ISNA(VLOOKUP($A964,'Mutasi Neraca'!$A$3:$S$910,12,FALSE)),0,VLOOKUP($A964,'Mutasi Neraca'!$A$3:$S$910,12,FALSE))</f>
        <v>2028500</v>
      </c>
      <c r="N964" s="42">
        <f>VLOOKUP($A964,'Neraca Unaudited SIMAK'!$A$2:$R$1272,13,FALSE)+IF(ISNA(VLOOKUP($A964,'Mutasi Neraca'!$A$3:$S$910,13,FALSE)),0,VLOOKUP($A964,'Mutasi Neraca'!$A$3:$S$910,13,FALSE))</f>
        <v>0</v>
      </c>
      <c r="O964" s="42">
        <f>VLOOKUP($A964,'Neraca Unaudited SIMAK'!$A$2:$R$1272,14,FALSE)+IF(ISNA(VLOOKUP($A964,'Mutasi Neraca'!$A$3:$S$910,14,FALSE)),0,VLOOKUP($A964,'Mutasi Neraca'!$A$3:$S$910,14,FALSE))</f>
        <v>0</v>
      </c>
      <c r="P964" s="42">
        <f>VLOOKUP($A964,'Neraca Unaudited SIMAK'!$A$2:$R$1272,15,FALSE)+IF(ISNA(VLOOKUP($A964,'Mutasi Neraca'!$A$3:$S$910,15,FALSE)),0,VLOOKUP($A964,'Mutasi Neraca'!$A$3:$S$910,15,FALSE))</f>
        <v>0</v>
      </c>
      <c r="Q964" s="42">
        <f>VLOOKUP($A964,'Neraca Unaudited SIMAK'!$A$2:$R$1272,16,FALSE)+IF(ISNA(VLOOKUP($A964,'Mutasi Neraca'!$A$3:$S$910,16,FALSE)),0,VLOOKUP($A964,'Mutasi Neraca'!$A$3:$S$910,16,FALSE))</f>
        <v>0</v>
      </c>
      <c r="R964" s="42">
        <f>VLOOKUP($A964,'Neraca Unaudited SIMAK'!$A$2:$R$1272,17,FALSE)+IF(ISNA(VLOOKUP($A964,'Mutasi Neraca'!$A$3:$S$910,17,FALSE)),0,VLOOKUP($A964,'Mutasi Neraca'!$A$3:$S$910,17,FALSE))</f>
        <v>0</v>
      </c>
      <c r="S964" s="42">
        <f t="shared" si="73"/>
        <v>2028500</v>
      </c>
    </row>
    <row r="965" spans="1:19">
      <c r="A965" s="41" t="s">
        <v>938</v>
      </c>
      <c r="B965" s="41" t="str">
        <f t="shared" si="72"/>
        <v>005030700</v>
      </c>
      <c r="D965" s="42">
        <f>VLOOKUP($A965,'Neraca Unaudited SIMAK'!$A$2:$R$1272,3,FALSE)+IF(ISNA(VLOOKUP($A965,'Mutasi Neraca'!$A$3:$S$910,3,FALSE)),0,VLOOKUP($A965,'Mutasi Neraca'!$A$3:$S$910,3,FALSE))</f>
        <v>775000</v>
      </c>
      <c r="E965" s="42">
        <f>VLOOKUP($A965,'Neraca Unaudited SIMAK'!$A$2:$R$1272,4,FALSE)+IF(ISNA(VLOOKUP($A965,'Mutasi Neraca'!$A$3:$S$910,4,FALSE)),0,VLOOKUP($A965,'Mutasi Neraca'!$A$3:$S$910,4,FALSE))</f>
        <v>0</v>
      </c>
      <c r="F965" s="42">
        <f>VLOOKUP($A965,'Neraca Unaudited SIMAK'!$A$2:$R$1272,5,FALSE)+IF(ISNA(VLOOKUP($A965,'Mutasi Neraca'!$A$3:$S$910,5,FALSE)),0,VLOOKUP($A965,'Mutasi Neraca'!$A$3:$S$910,5,FALSE))</f>
        <v>0</v>
      </c>
      <c r="G965" s="42">
        <f>VLOOKUP($A965,'Neraca Unaudited SIMAK'!$A$2:$R$1272,6,FALSE)+IF(ISNA(VLOOKUP($A965,'Mutasi Neraca'!$A$3:$S$910,6,FALSE)),0,VLOOKUP($A965,'Mutasi Neraca'!$A$3:$S$910,6,FALSE))</f>
        <v>0</v>
      </c>
      <c r="H965" s="42">
        <f>VLOOKUP($A965,'Neraca Unaudited SIMAK'!$A$2:$R$1272,7,FALSE)+IF(ISNA(VLOOKUP($A965,'Mutasi Neraca'!$A$3:$S$910,7,FALSE)),0,VLOOKUP($A965,'Mutasi Neraca'!$A$3:$S$910,7,FALSE))</f>
        <v>0</v>
      </c>
      <c r="I965" s="42">
        <f>VLOOKUP($A965,'Neraca Unaudited SIMAK'!$A$2:$R$1272,8,FALSE)+IF(ISNA(VLOOKUP($A965,'Mutasi Neraca'!$A$3:$S$910,8,FALSE)),0,VLOOKUP($A965,'Mutasi Neraca'!$A$3:$S$910,8,FALSE))</f>
        <v>0</v>
      </c>
      <c r="J965" s="42">
        <f>VLOOKUP($A965,'Neraca Unaudited SIMAK'!$A$2:$R$1272,9,FALSE)+IF(ISNA(VLOOKUP($A965,'Mutasi Neraca'!$A$3:$S$910,9,FALSE)),0,VLOOKUP($A965,'Mutasi Neraca'!$A$3:$S$910,9,FALSE))</f>
        <v>0</v>
      </c>
      <c r="K965" s="42">
        <f>VLOOKUP($A965,'Neraca Unaudited SIMAK'!$A$2:$R$1272,10,FALSE)+IF(ISNA(VLOOKUP($A965,'Mutasi Neraca'!$A$3:$S$910,10,FALSE)),0,VLOOKUP($A965,'Mutasi Neraca'!$A$3:$S$910,10,FALSE))</f>
        <v>0</v>
      </c>
      <c r="L965" s="42">
        <f>VLOOKUP($A965,'Neraca Unaudited SIMAK'!$A$2:$R$1272,11,FALSE)+IF(ISNA(VLOOKUP($A965,'Mutasi Neraca'!$A$3:$S$910,11,FALSE)),0,VLOOKUP($A965,'Mutasi Neraca'!$A$3:$S$910,11,FALSE))</f>
        <v>0</v>
      </c>
      <c r="M965" s="42">
        <f>VLOOKUP($A965,'Neraca Unaudited SIMAK'!$A$2:$R$1272,12,FALSE)+IF(ISNA(VLOOKUP($A965,'Mutasi Neraca'!$A$3:$S$910,12,FALSE)),0,VLOOKUP($A965,'Mutasi Neraca'!$A$3:$S$910,12,FALSE))</f>
        <v>775000</v>
      </c>
      <c r="N965" s="42">
        <f>VLOOKUP($A965,'Neraca Unaudited SIMAK'!$A$2:$R$1272,13,FALSE)+IF(ISNA(VLOOKUP($A965,'Mutasi Neraca'!$A$3:$S$910,13,FALSE)),0,VLOOKUP($A965,'Mutasi Neraca'!$A$3:$S$910,13,FALSE))</f>
        <v>0</v>
      </c>
      <c r="O965" s="42">
        <f>VLOOKUP($A965,'Neraca Unaudited SIMAK'!$A$2:$R$1272,14,FALSE)+IF(ISNA(VLOOKUP($A965,'Mutasi Neraca'!$A$3:$S$910,14,FALSE)),0,VLOOKUP($A965,'Mutasi Neraca'!$A$3:$S$910,14,FALSE))</f>
        <v>0</v>
      </c>
      <c r="P965" s="42">
        <f>VLOOKUP($A965,'Neraca Unaudited SIMAK'!$A$2:$R$1272,15,FALSE)+IF(ISNA(VLOOKUP($A965,'Mutasi Neraca'!$A$3:$S$910,15,FALSE)),0,VLOOKUP($A965,'Mutasi Neraca'!$A$3:$S$910,15,FALSE))</f>
        <v>0</v>
      </c>
      <c r="Q965" s="42">
        <f>VLOOKUP($A965,'Neraca Unaudited SIMAK'!$A$2:$R$1272,16,FALSE)+IF(ISNA(VLOOKUP($A965,'Mutasi Neraca'!$A$3:$S$910,16,FALSE)),0,VLOOKUP($A965,'Mutasi Neraca'!$A$3:$S$910,16,FALSE))</f>
        <v>0</v>
      </c>
      <c r="R965" s="42">
        <f>VLOOKUP($A965,'Neraca Unaudited SIMAK'!$A$2:$R$1272,17,FALSE)+IF(ISNA(VLOOKUP($A965,'Mutasi Neraca'!$A$3:$S$910,17,FALSE)),0,VLOOKUP($A965,'Mutasi Neraca'!$A$3:$S$910,17,FALSE))</f>
        <v>0</v>
      </c>
      <c r="S965" s="42">
        <f t="shared" si="73"/>
        <v>775000</v>
      </c>
    </row>
    <row r="966" spans="1:19">
      <c r="A966" s="41" t="s">
        <v>939</v>
      </c>
      <c r="B966" s="41" t="str">
        <f t="shared" si="72"/>
        <v>005030700</v>
      </c>
      <c r="D966" s="42">
        <f>VLOOKUP($A966,'Neraca Unaudited SIMAK'!$A$2:$R$1272,3,FALSE)+IF(ISNA(VLOOKUP($A966,'Mutasi Neraca'!$A$3:$S$910,3,FALSE)),0,VLOOKUP($A966,'Mutasi Neraca'!$A$3:$S$910,3,FALSE))</f>
        <v>0</v>
      </c>
      <c r="E966" s="42">
        <f>VLOOKUP($A966,'Neraca Unaudited SIMAK'!$A$2:$R$1272,4,FALSE)+IF(ISNA(VLOOKUP($A966,'Mutasi Neraca'!$A$3:$S$910,4,FALSE)),0,VLOOKUP($A966,'Mutasi Neraca'!$A$3:$S$910,4,FALSE))</f>
        <v>0</v>
      </c>
      <c r="F966" s="42">
        <f>VLOOKUP($A966,'Neraca Unaudited SIMAK'!$A$2:$R$1272,5,FALSE)+IF(ISNA(VLOOKUP($A966,'Mutasi Neraca'!$A$3:$S$910,5,FALSE)),0,VLOOKUP($A966,'Mutasi Neraca'!$A$3:$S$910,5,FALSE))</f>
        <v>0</v>
      </c>
      <c r="G966" s="42">
        <f>VLOOKUP($A966,'Neraca Unaudited SIMAK'!$A$2:$R$1272,6,FALSE)+IF(ISNA(VLOOKUP($A966,'Mutasi Neraca'!$A$3:$S$910,6,FALSE)),0,VLOOKUP($A966,'Mutasi Neraca'!$A$3:$S$910,6,FALSE))</f>
        <v>0</v>
      </c>
      <c r="H966" s="42">
        <f>VLOOKUP($A966,'Neraca Unaudited SIMAK'!$A$2:$R$1272,7,FALSE)+IF(ISNA(VLOOKUP($A966,'Mutasi Neraca'!$A$3:$S$910,7,FALSE)),0,VLOOKUP($A966,'Mutasi Neraca'!$A$3:$S$910,7,FALSE))</f>
        <v>0</v>
      </c>
      <c r="I966" s="42">
        <f>VLOOKUP($A966,'Neraca Unaudited SIMAK'!$A$2:$R$1272,8,FALSE)+IF(ISNA(VLOOKUP($A966,'Mutasi Neraca'!$A$3:$S$910,8,FALSE)),0,VLOOKUP($A966,'Mutasi Neraca'!$A$3:$S$910,8,FALSE))</f>
        <v>0</v>
      </c>
      <c r="J966" s="42">
        <f>VLOOKUP($A966,'Neraca Unaudited SIMAK'!$A$2:$R$1272,9,FALSE)+IF(ISNA(VLOOKUP($A966,'Mutasi Neraca'!$A$3:$S$910,9,FALSE)),0,VLOOKUP($A966,'Mutasi Neraca'!$A$3:$S$910,9,FALSE))</f>
        <v>0</v>
      </c>
      <c r="K966" s="42">
        <f>VLOOKUP($A966,'Neraca Unaudited SIMAK'!$A$2:$R$1272,10,FALSE)+IF(ISNA(VLOOKUP($A966,'Mutasi Neraca'!$A$3:$S$910,10,FALSE)),0,VLOOKUP($A966,'Mutasi Neraca'!$A$3:$S$910,10,FALSE))</f>
        <v>0</v>
      </c>
      <c r="L966" s="42">
        <f>VLOOKUP($A966,'Neraca Unaudited SIMAK'!$A$2:$R$1272,11,FALSE)+IF(ISNA(VLOOKUP($A966,'Mutasi Neraca'!$A$3:$S$910,11,FALSE)),0,VLOOKUP($A966,'Mutasi Neraca'!$A$3:$S$910,11,FALSE))</f>
        <v>0</v>
      </c>
      <c r="M966" s="42">
        <f>VLOOKUP($A966,'Neraca Unaudited SIMAK'!$A$2:$R$1272,12,FALSE)+IF(ISNA(VLOOKUP($A966,'Mutasi Neraca'!$A$3:$S$910,12,FALSE)),0,VLOOKUP($A966,'Mutasi Neraca'!$A$3:$S$910,12,FALSE))</f>
        <v>0</v>
      </c>
      <c r="N966" s="42">
        <f>VLOOKUP($A966,'Neraca Unaudited SIMAK'!$A$2:$R$1272,13,FALSE)+IF(ISNA(VLOOKUP($A966,'Mutasi Neraca'!$A$3:$S$910,13,FALSE)),0,VLOOKUP($A966,'Mutasi Neraca'!$A$3:$S$910,13,FALSE))</f>
        <v>0</v>
      </c>
      <c r="O966" s="42">
        <f>VLOOKUP($A966,'Neraca Unaudited SIMAK'!$A$2:$R$1272,14,FALSE)+IF(ISNA(VLOOKUP($A966,'Mutasi Neraca'!$A$3:$S$910,14,FALSE)),0,VLOOKUP($A966,'Mutasi Neraca'!$A$3:$S$910,14,FALSE))</f>
        <v>0</v>
      </c>
      <c r="P966" s="42">
        <f>VLOOKUP($A966,'Neraca Unaudited SIMAK'!$A$2:$R$1272,15,FALSE)+IF(ISNA(VLOOKUP($A966,'Mutasi Neraca'!$A$3:$S$910,15,FALSE)),0,VLOOKUP($A966,'Mutasi Neraca'!$A$3:$S$910,15,FALSE))</f>
        <v>0</v>
      </c>
      <c r="Q966" s="42">
        <f>VLOOKUP($A966,'Neraca Unaudited SIMAK'!$A$2:$R$1272,16,FALSE)+IF(ISNA(VLOOKUP($A966,'Mutasi Neraca'!$A$3:$S$910,16,FALSE)),0,VLOOKUP($A966,'Mutasi Neraca'!$A$3:$S$910,16,FALSE))</f>
        <v>0</v>
      </c>
      <c r="R966" s="42">
        <f>VLOOKUP($A966,'Neraca Unaudited SIMAK'!$A$2:$R$1272,17,FALSE)+IF(ISNA(VLOOKUP($A966,'Mutasi Neraca'!$A$3:$S$910,17,FALSE)),0,VLOOKUP($A966,'Mutasi Neraca'!$A$3:$S$910,17,FALSE))</f>
        <v>0</v>
      </c>
      <c r="S966" s="42">
        <f t="shared" si="73"/>
        <v>0</v>
      </c>
    </row>
    <row r="967" spans="1:19">
      <c r="A967" s="41" t="s">
        <v>2043</v>
      </c>
      <c r="B967" s="41" t="str">
        <f t="shared" si="72"/>
        <v>005030700</v>
      </c>
      <c r="D967" s="42">
        <f>VLOOKUP($A967,'Neraca Unaudited SIMAK'!$A$2:$R$1272,3,FALSE)+IF(ISNA(VLOOKUP($A967,'Mutasi Neraca'!$A$3:$S$910,3,FALSE)),0,VLOOKUP($A967,'Mutasi Neraca'!$A$3:$S$910,3,FALSE))</f>
        <v>855000</v>
      </c>
      <c r="E967" s="42">
        <f>VLOOKUP($A967,'Neraca Unaudited SIMAK'!$A$2:$R$1272,4,FALSE)+IF(ISNA(VLOOKUP($A967,'Mutasi Neraca'!$A$3:$S$910,4,FALSE)),0,VLOOKUP($A967,'Mutasi Neraca'!$A$3:$S$910,4,FALSE))</f>
        <v>0</v>
      </c>
      <c r="F967" s="42">
        <f>VLOOKUP($A967,'Neraca Unaudited SIMAK'!$A$2:$R$1272,5,FALSE)+IF(ISNA(VLOOKUP($A967,'Mutasi Neraca'!$A$3:$S$910,5,FALSE)),0,VLOOKUP($A967,'Mutasi Neraca'!$A$3:$S$910,5,FALSE))</f>
        <v>0</v>
      </c>
      <c r="G967" s="42">
        <f>VLOOKUP($A967,'Neraca Unaudited SIMAK'!$A$2:$R$1272,6,FALSE)+IF(ISNA(VLOOKUP($A967,'Mutasi Neraca'!$A$3:$S$910,6,FALSE)),0,VLOOKUP($A967,'Mutasi Neraca'!$A$3:$S$910,6,FALSE))</f>
        <v>0</v>
      </c>
      <c r="H967" s="42">
        <f>VLOOKUP($A967,'Neraca Unaudited SIMAK'!$A$2:$R$1272,7,FALSE)+IF(ISNA(VLOOKUP($A967,'Mutasi Neraca'!$A$3:$S$910,7,FALSE)),0,VLOOKUP($A967,'Mutasi Neraca'!$A$3:$S$910,7,FALSE))</f>
        <v>0</v>
      </c>
      <c r="I967" s="42">
        <f>VLOOKUP($A967,'Neraca Unaudited SIMAK'!$A$2:$R$1272,8,FALSE)+IF(ISNA(VLOOKUP($A967,'Mutasi Neraca'!$A$3:$S$910,8,FALSE)),0,VLOOKUP($A967,'Mutasi Neraca'!$A$3:$S$910,8,FALSE))</f>
        <v>0</v>
      </c>
      <c r="J967" s="42">
        <f>VLOOKUP($A967,'Neraca Unaudited SIMAK'!$A$2:$R$1272,9,FALSE)+IF(ISNA(VLOOKUP($A967,'Mutasi Neraca'!$A$3:$S$910,9,FALSE)),0,VLOOKUP($A967,'Mutasi Neraca'!$A$3:$S$910,9,FALSE))</f>
        <v>0</v>
      </c>
      <c r="K967" s="42">
        <f>VLOOKUP($A967,'Neraca Unaudited SIMAK'!$A$2:$R$1272,10,FALSE)+IF(ISNA(VLOOKUP($A967,'Mutasi Neraca'!$A$3:$S$910,10,FALSE)),0,VLOOKUP($A967,'Mutasi Neraca'!$A$3:$S$910,10,FALSE))</f>
        <v>0</v>
      </c>
      <c r="L967" s="42">
        <f>VLOOKUP($A967,'Neraca Unaudited SIMAK'!$A$2:$R$1272,11,FALSE)+IF(ISNA(VLOOKUP($A967,'Mutasi Neraca'!$A$3:$S$910,11,FALSE)),0,VLOOKUP($A967,'Mutasi Neraca'!$A$3:$S$910,11,FALSE))</f>
        <v>0</v>
      </c>
      <c r="M967" s="42">
        <f>VLOOKUP($A967,'Neraca Unaudited SIMAK'!$A$2:$R$1272,12,FALSE)+IF(ISNA(VLOOKUP($A967,'Mutasi Neraca'!$A$3:$S$910,12,FALSE)),0,VLOOKUP($A967,'Mutasi Neraca'!$A$3:$S$910,12,FALSE))</f>
        <v>855000</v>
      </c>
      <c r="N967" s="42">
        <f>VLOOKUP($A967,'Neraca Unaudited SIMAK'!$A$2:$R$1272,13,FALSE)+IF(ISNA(VLOOKUP($A967,'Mutasi Neraca'!$A$3:$S$910,13,FALSE)),0,VLOOKUP($A967,'Mutasi Neraca'!$A$3:$S$910,13,FALSE))</f>
        <v>0</v>
      </c>
      <c r="O967" s="42">
        <f>VLOOKUP($A967,'Neraca Unaudited SIMAK'!$A$2:$R$1272,14,FALSE)+IF(ISNA(VLOOKUP($A967,'Mutasi Neraca'!$A$3:$S$910,14,FALSE)),0,VLOOKUP($A967,'Mutasi Neraca'!$A$3:$S$910,14,FALSE))</f>
        <v>0</v>
      </c>
      <c r="P967" s="42">
        <f>VLOOKUP($A967,'Neraca Unaudited SIMAK'!$A$2:$R$1272,15,FALSE)+IF(ISNA(VLOOKUP($A967,'Mutasi Neraca'!$A$3:$S$910,15,FALSE)),0,VLOOKUP($A967,'Mutasi Neraca'!$A$3:$S$910,15,FALSE))</f>
        <v>0</v>
      </c>
      <c r="Q967" s="42">
        <f>VLOOKUP($A967,'Neraca Unaudited SIMAK'!$A$2:$R$1272,16,FALSE)+IF(ISNA(VLOOKUP($A967,'Mutasi Neraca'!$A$3:$S$910,16,FALSE)),0,VLOOKUP($A967,'Mutasi Neraca'!$A$3:$S$910,16,FALSE))</f>
        <v>0</v>
      </c>
      <c r="R967" s="42">
        <f>VLOOKUP($A967,'Neraca Unaudited SIMAK'!$A$2:$R$1272,17,FALSE)+IF(ISNA(VLOOKUP($A967,'Mutasi Neraca'!$A$3:$S$910,17,FALSE)),0,VLOOKUP($A967,'Mutasi Neraca'!$A$3:$S$910,17,FALSE))</f>
        <v>0</v>
      </c>
      <c r="S967" s="42">
        <f t="shared" si="73"/>
        <v>855000</v>
      </c>
    </row>
    <row r="968" spans="1:19">
      <c r="A968" s="41" t="s">
        <v>2044</v>
      </c>
      <c r="B968" s="41" t="str">
        <f t="shared" si="72"/>
        <v>005030800</v>
      </c>
      <c r="D968" s="42">
        <f>VLOOKUP($A968,'Neraca Unaudited SIMAK'!$A$2:$R$1272,3,FALSE)+IF(ISNA(VLOOKUP($A968,'Mutasi Neraca'!$A$3:$S$910,3,FALSE)),0,VLOOKUP($A968,'Mutasi Neraca'!$A$3:$S$910,3,FALSE))</f>
        <v>0</v>
      </c>
      <c r="E968" s="42">
        <f>VLOOKUP($A968,'Neraca Unaudited SIMAK'!$A$2:$R$1272,4,FALSE)+IF(ISNA(VLOOKUP($A968,'Mutasi Neraca'!$A$3:$S$910,4,FALSE)),0,VLOOKUP($A968,'Mutasi Neraca'!$A$3:$S$910,4,FALSE))</f>
        <v>0</v>
      </c>
      <c r="F968" s="42">
        <f>VLOOKUP($A968,'Neraca Unaudited SIMAK'!$A$2:$R$1272,5,FALSE)+IF(ISNA(VLOOKUP($A968,'Mutasi Neraca'!$A$3:$S$910,5,FALSE)),0,VLOOKUP($A968,'Mutasi Neraca'!$A$3:$S$910,5,FALSE))</f>
        <v>0</v>
      </c>
      <c r="G968" s="42">
        <f>VLOOKUP($A968,'Neraca Unaudited SIMAK'!$A$2:$R$1272,6,FALSE)+IF(ISNA(VLOOKUP($A968,'Mutasi Neraca'!$A$3:$S$910,6,FALSE)),0,VLOOKUP($A968,'Mutasi Neraca'!$A$3:$S$910,6,FALSE))</f>
        <v>0</v>
      </c>
      <c r="H968" s="42">
        <f>VLOOKUP($A968,'Neraca Unaudited SIMAK'!$A$2:$R$1272,7,FALSE)+IF(ISNA(VLOOKUP($A968,'Mutasi Neraca'!$A$3:$S$910,7,FALSE)),0,VLOOKUP($A968,'Mutasi Neraca'!$A$3:$S$910,7,FALSE))</f>
        <v>0</v>
      </c>
      <c r="I968" s="42">
        <f>VLOOKUP($A968,'Neraca Unaudited SIMAK'!$A$2:$R$1272,8,FALSE)+IF(ISNA(VLOOKUP($A968,'Mutasi Neraca'!$A$3:$S$910,8,FALSE)),0,VLOOKUP($A968,'Mutasi Neraca'!$A$3:$S$910,8,FALSE))</f>
        <v>0</v>
      </c>
      <c r="J968" s="42">
        <f>VLOOKUP($A968,'Neraca Unaudited SIMAK'!$A$2:$R$1272,9,FALSE)+IF(ISNA(VLOOKUP($A968,'Mutasi Neraca'!$A$3:$S$910,9,FALSE)),0,VLOOKUP($A968,'Mutasi Neraca'!$A$3:$S$910,9,FALSE))</f>
        <v>0</v>
      </c>
      <c r="K968" s="42">
        <f>VLOOKUP($A968,'Neraca Unaudited SIMAK'!$A$2:$R$1272,10,FALSE)+IF(ISNA(VLOOKUP($A968,'Mutasi Neraca'!$A$3:$S$910,10,FALSE)),0,VLOOKUP($A968,'Mutasi Neraca'!$A$3:$S$910,10,FALSE))</f>
        <v>0</v>
      </c>
      <c r="L968" s="42">
        <f>VLOOKUP($A968,'Neraca Unaudited SIMAK'!$A$2:$R$1272,11,FALSE)+IF(ISNA(VLOOKUP($A968,'Mutasi Neraca'!$A$3:$S$910,11,FALSE)),0,VLOOKUP($A968,'Mutasi Neraca'!$A$3:$S$910,11,FALSE))</f>
        <v>0</v>
      </c>
      <c r="M968" s="42">
        <f>VLOOKUP($A968,'Neraca Unaudited SIMAK'!$A$2:$R$1272,12,FALSE)+IF(ISNA(VLOOKUP($A968,'Mutasi Neraca'!$A$3:$S$910,12,FALSE)),0,VLOOKUP($A968,'Mutasi Neraca'!$A$3:$S$910,12,FALSE))</f>
        <v>0</v>
      </c>
      <c r="N968" s="42">
        <f>VLOOKUP($A968,'Neraca Unaudited SIMAK'!$A$2:$R$1272,13,FALSE)+IF(ISNA(VLOOKUP($A968,'Mutasi Neraca'!$A$3:$S$910,13,FALSE)),0,VLOOKUP($A968,'Mutasi Neraca'!$A$3:$S$910,13,FALSE))</f>
        <v>0</v>
      </c>
      <c r="O968" s="42">
        <f>VLOOKUP($A968,'Neraca Unaudited SIMAK'!$A$2:$R$1272,14,FALSE)+IF(ISNA(VLOOKUP($A968,'Mutasi Neraca'!$A$3:$S$910,14,FALSE)),0,VLOOKUP($A968,'Mutasi Neraca'!$A$3:$S$910,14,FALSE))</f>
        <v>0</v>
      </c>
      <c r="P968" s="42">
        <f>VLOOKUP($A968,'Neraca Unaudited SIMAK'!$A$2:$R$1272,15,FALSE)+IF(ISNA(VLOOKUP($A968,'Mutasi Neraca'!$A$3:$S$910,15,FALSE)),0,VLOOKUP($A968,'Mutasi Neraca'!$A$3:$S$910,15,FALSE))</f>
        <v>0</v>
      </c>
      <c r="Q968" s="42">
        <f>VLOOKUP($A968,'Neraca Unaudited SIMAK'!$A$2:$R$1272,16,FALSE)+IF(ISNA(VLOOKUP($A968,'Mutasi Neraca'!$A$3:$S$910,16,FALSE)),0,VLOOKUP($A968,'Mutasi Neraca'!$A$3:$S$910,16,FALSE))</f>
        <v>0</v>
      </c>
      <c r="R968" s="42">
        <f>VLOOKUP($A968,'Neraca Unaudited SIMAK'!$A$2:$R$1272,17,FALSE)+IF(ISNA(VLOOKUP($A968,'Mutasi Neraca'!$A$3:$S$910,17,FALSE)),0,VLOOKUP($A968,'Mutasi Neraca'!$A$3:$S$910,17,FALSE))</f>
        <v>0</v>
      </c>
      <c r="S968" s="42">
        <f t="shared" si="73"/>
        <v>0</v>
      </c>
    </row>
    <row r="969" spans="1:19">
      <c r="A969" s="41" t="s">
        <v>940</v>
      </c>
      <c r="B969" s="41" t="str">
        <f t="shared" si="72"/>
        <v>005030800</v>
      </c>
      <c r="D969" s="42">
        <f>VLOOKUP($A969,'Neraca Unaudited SIMAK'!$A$2:$R$1272,3,FALSE)+IF(ISNA(VLOOKUP($A969,'Mutasi Neraca'!$A$3:$S$910,3,FALSE)),0,VLOOKUP($A969,'Mutasi Neraca'!$A$3:$S$910,3,FALSE))</f>
        <v>0</v>
      </c>
      <c r="E969" s="42">
        <f>VLOOKUP($A969,'Neraca Unaudited SIMAK'!$A$2:$R$1272,4,FALSE)+IF(ISNA(VLOOKUP($A969,'Mutasi Neraca'!$A$3:$S$910,4,FALSE)),0,VLOOKUP($A969,'Mutasi Neraca'!$A$3:$S$910,4,FALSE))</f>
        <v>0</v>
      </c>
      <c r="F969" s="42">
        <f>VLOOKUP($A969,'Neraca Unaudited SIMAK'!$A$2:$R$1272,5,FALSE)+IF(ISNA(VLOOKUP($A969,'Mutasi Neraca'!$A$3:$S$910,5,FALSE)),0,VLOOKUP($A969,'Mutasi Neraca'!$A$3:$S$910,5,FALSE))</f>
        <v>0</v>
      </c>
      <c r="G969" s="42">
        <f>VLOOKUP($A969,'Neraca Unaudited SIMAK'!$A$2:$R$1272,6,FALSE)+IF(ISNA(VLOOKUP($A969,'Mutasi Neraca'!$A$3:$S$910,6,FALSE)),0,VLOOKUP($A969,'Mutasi Neraca'!$A$3:$S$910,6,FALSE))</f>
        <v>0</v>
      </c>
      <c r="H969" s="42">
        <f>VLOOKUP($A969,'Neraca Unaudited SIMAK'!$A$2:$R$1272,7,FALSE)+IF(ISNA(VLOOKUP($A969,'Mutasi Neraca'!$A$3:$S$910,7,FALSE)),0,VLOOKUP($A969,'Mutasi Neraca'!$A$3:$S$910,7,FALSE))</f>
        <v>0</v>
      </c>
      <c r="I969" s="42">
        <f>VLOOKUP($A969,'Neraca Unaudited SIMAK'!$A$2:$R$1272,8,FALSE)+IF(ISNA(VLOOKUP($A969,'Mutasi Neraca'!$A$3:$S$910,8,FALSE)),0,VLOOKUP($A969,'Mutasi Neraca'!$A$3:$S$910,8,FALSE))</f>
        <v>0</v>
      </c>
      <c r="J969" s="42">
        <f>VLOOKUP($A969,'Neraca Unaudited SIMAK'!$A$2:$R$1272,9,FALSE)+IF(ISNA(VLOOKUP($A969,'Mutasi Neraca'!$A$3:$S$910,9,FALSE)),0,VLOOKUP($A969,'Mutasi Neraca'!$A$3:$S$910,9,FALSE))</f>
        <v>0</v>
      </c>
      <c r="K969" s="42">
        <f>VLOOKUP($A969,'Neraca Unaudited SIMAK'!$A$2:$R$1272,10,FALSE)+IF(ISNA(VLOOKUP($A969,'Mutasi Neraca'!$A$3:$S$910,10,FALSE)),0,VLOOKUP($A969,'Mutasi Neraca'!$A$3:$S$910,10,FALSE))</f>
        <v>0</v>
      </c>
      <c r="L969" s="42">
        <f>VLOOKUP($A969,'Neraca Unaudited SIMAK'!$A$2:$R$1272,11,FALSE)+IF(ISNA(VLOOKUP($A969,'Mutasi Neraca'!$A$3:$S$910,11,FALSE)),0,VLOOKUP($A969,'Mutasi Neraca'!$A$3:$S$910,11,FALSE))</f>
        <v>0</v>
      </c>
      <c r="M969" s="42">
        <f>VLOOKUP($A969,'Neraca Unaudited SIMAK'!$A$2:$R$1272,12,FALSE)+IF(ISNA(VLOOKUP($A969,'Mutasi Neraca'!$A$3:$S$910,12,FALSE)),0,VLOOKUP($A969,'Mutasi Neraca'!$A$3:$S$910,12,FALSE))</f>
        <v>0</v>
      </c>
      <c r="N969" s="42">
        <f>VLOOKUP($A969,'Neraca Unaudited SIMAK'!$A$2:$R$1272,13,FALSE)+IF(ISNA(VLOOKUP($A969,'Mutasi Neraca'!$A$3:$S$910,13,FALSE)),0,VLOOKUP($A969,'Mutasi Neraca'!$A$3:$S$910,13,FALSE))</f>
        <v>0</v>
      </c>
      <c r="O969" s="42">
        <f>VLOOKUP($A969,'Neraca Unaudited SIMAK'!$A$2:$R$1272,14,FALSE)+IF(ISNA(VLOOKUP($A969,'Mutasi Neraca'!$A$3:$S$910,14,FALSE)),0,VLOOKUP($A969,'Mutasi Neraca'!$A$3:$S$910,14,FALSE))</f>
        <v>0</v>
      </c>
      <c r="P969" s="42">
        <f>VLOOKUP($A969,'Neraca Unaudited SIMAK'!$A$2:$R$1272,15,FALSE)+IF(ISNA(VLOOKUP($A969,'Mutasi Neraca'!$A$3:$S$910,15,FALSE)),0,VLOOKUP($A969,'Mutasi Neraca'!$A$3:$S$910,15,FALSE))</f>
        <v>0</v>
      </c>
      <c r="Q969" s="42">
        <f>VLOOKUP($A969,'Neraca Unaudited SIMAK'!$A$2:$R$1272,16,FALSE)+IF(ISNA(VLOOKUP($A969,'Mutasi Neraca'!$A$3:$S$910,16,FALSE)),0,VLOOKUP($A969,'Mutasi Neraca'!$A$3:$S$910,16,FALSE))</f>
        <v>0</v>
      </c>
      <c r="R969" s="42">
        <f>VLOOKUP($A969,'Neraca Unaudited SIMAK'!$A$2:$R$1272,17,FALSE)+IF(ISNA(VLOOKUP($A969,'Mutasi Neraca'!$A$3:$S$910,17,FALSE)),0,VLOOKUP($A969,'Mutasi Neraca'!$A$3:$S$910,17,FALSE))</f>
        <v>0</v>
      </c>
      <c r="S969" s="42">
        <f t="shared" si="73"/>
        <v>0</v>
      </c>
    </row>
    <row r="970" spans="1:19">
      <c r="A970" s="41" t="s">
        <v>2045</v>
      </c>
      <c r="B970" s="41" t="str">
        <f t="shared" si="72"/>
        <v>005030800</v>
      </c>
      <c r="D970" s="42">
        <f>VLOOKUP($A970,'Neraca Unaudited SIMAK'!$A$2:$R$1272,3,FALSE)+IF(ISNA(VLOOKUP($A970,'Mutasi Neraca'!$A$3:$S$910,3,FALSE)),0,VLOOKUP($A970,'Mutasi Neraca'!$A$3:$S$910,3,FALSE))</f>
        <v>646250</v>
      </c>
      <c r="E970" s="42">
        <f>VLOOKUP($A970,'Neraca Unaudited SIMAK'!$A$2:$R$1272,4,FALSE)+IF(ISNA(VLOOKUP($A970,'Mutasi Neraca'!$A$3:$S$910,4,FALSE)),0,VLOOKUP($A970,'Mutasi Neraca'!$A$3:$S$910,4,FALSE))</f>
        <v>0</v>
      </c>
      <c r="F970" s="42">
        <f>VLOOKUP($A970,'Neraca Unaudited SIMAK'!$A$2:$R$1272,5,FALSE)+IF(ISNA(VLOOKUP($A970,'Mutasi Neraca'!$A$3:$S$910,5,FALSE)),0,VLOOKUP($A970,'Mutasi Neraca'!$A$3:$S$910,5,FALSE))</f>
        <v>0</v>
      </c>
      <c r="G970" s="42">
        <f>VLOOKUP($A970,'Neraca Unaudited SIMAK'!$A$2:$R$1272,6,FALSE)+IF(ISNA(VLOOKUP($A970,'Mutasi Neraca'!$A$3:$S$910,6,FALSE)),0,VLOOKUP($A970,'Mutasi Neraca'!$A$3:$S$910,6,FALSE))</f>
        <v>0</v>
      </c>
      <c r="H970" s="42">
        <f>VLOOKUP($A970,'Neraca Unaudited SIMAK'!$A$2:$R$1272,7,FALSE)+IF(ISNA(VLOOKUP($A970,'Mutasi Neraca'!$A$3:$S$910,7,FALSE)),0,VLOOKUP($A970,'Mutasi Neraca'!$A$3:$S$910,7,FALSE))</f>
        <v>0</v>
      </c>
      <c r="I970" s="42">
        <f>VLOOKUP($A970,'Neraca Unaudited SIMAK'!$A$2:$R$1272,8,FALSE)+IF(ISNA(VLOOKUP($A970,'Mutasi Neraca'!$A$3:$S$910,8,FALSE)),0,VLOOKUP($A970,'Mutasi Neraca'!$A$3:$S$910,8,FALSE))</f>
        <v>0</v>
      </c>
      <c r="J970" s="42">
        <f>VLOOKUP($A970,'Neraca Unaudited SIMAK'!$A$2:$R$1272,9,FALSE)+IF(ISNA(VLOOKUP($A970,'Mutasi Neraca'!$A$3:$S$910,9,FALSE)),0,VLOOKUP($A970,'Mutasi Neraca'!$A$3:$S$910,9,FALSE))</f>
        <v>0</v>
      </c>
      <c r="K970" s="42">
        <f>VLOOKUP($A970,'Neraca Unaudited SIMAK'!$A$2:$R$1272,10,FALSE)+IF(ISNA(VLOOKUP($A970,'Mutasi Neraca'!$A$3:$S$910,10,FALSE)),0,VLOOKUP($A970,'Mutasi Neraca'!$A$3:$S$910,10,FALSE))</f>
        <v>0</v>
      </c>
      <c r="L970" s="42">
        <f>VLOOKUP($A970,'Neraca Unaudited SIMAK'!$A$2:$R$1272,11,FALSE)+IF(ISNA(VLOOKUP($A970,'Mutasi Neraca'!$A$3:$S$910,11,FALSE)),0,VLOOKUP($A970,'Mutasi Neraca'!$A$3:$S$910,11,FALSE))</f>
        <v>0</v>
      </c>
      <c r="M970" s="42">
        <f>VLOOKUP($A970,'Neraca Unaudited SIMAK'!$A$2:$R$1272,12,FALSE)+IF(ISNA(VLOOKUP($A970,'Mutasi Neraca'!$A$3:$S$910,12,FALSE)),0,VLOOKUP($A970,'Mutasi Neraca'!$A$3:$S$910,12,FALSE))</f>
        <v>646250</v>
      </c>
      <c r="N970" s="42">
        <f>VLOOKUP($A970,'Neraca Unaudited SIMAK'!$A$2:$R$1272,13,FALSE)+IF(ISNA(VLOOKUP($A970,'Mutasi Neraca'!$A$3:$S$910,13,FALSE)),0,VLOOKUP($A970,'Mutasi Neraca'!$A$3:$S$910,13,FALSE))</f>
        <v>0</v>
      </c>
      <c r="O970" s="42">
        <f>VLOOKUP($A970,'Neraca Unaudited SIMAK'!$A$2:$R$1272,14,FALSE)+IF(ISNA(VLOOKUP($A970,'Mutasi Neraca'!$A$3:$S$910,14,FALSE)),0,VLOOKUP($A970,'Mutasi Neraca'!$A$3:$S$910,14,FALSE))</f>
        <v>0</v>
      </c>
      <c r="P970" s="42">
        <f>VLOOKUP($A970,'Neraca Unaudited SIMAK'!$A$2:$R$1272,15,FALSE)+IF(ISNA(VLOOKUP($A970,'Mutasi Neraca'!$A$3:$S$910,15,FALSE)),0,VLOOKUP($A970,'Mutasi Neraca'!$A$3:$S$910,15,FALSE))</f>
        <v>0</v>
      </c>
      <c r="Q970" s="42">
        <f>VLOOKUP($A970,'Neraca Unaudited SIMAK'!$A$2:$R$1272,16,FALSE)+IF(ISNA(VLOOKUP($A970,'Mutasi Neraca'!$A$3:$S$910,16,FALSE)),0,VLOOKUP($A970,'Mutasi Neraca'!$A$3:$S$910,16,FALSE))</f>
        <v>0</v>
      </c>
      <c r="R970" s="42">
        <f>VLOOKUP($A970,'Neraca Unaudited SIMAK'!$A$2:$R$1272,17,FALSE)+IF(ISNA(VLOOKUP($A970,'Mutasi Neraca'!$A$3:$S$910,17,FALSE)),0,VLOOKUP($A970,'Mutasi Neraca'!$A$3:$S$910,17,FALSE))</f>
        <v>0</v>
      </c>
      <c r="S970" s="42">
        <f t="shared" si="73"/>
        <v>646250</v>
      </c>
    </row>
    <row r="971" spans="1:19">
      <c r="A971" s="41" t="s">
        <v>941</v>
      </c>
      <c r="B971" s="41" t="str">
        <f t="shared" si="72"/>
        <v>005030800</v>
      </c>
      <c r="D971" s="42">
        <f>VLOOKUP($A971,'Neraca Unaudited SIMAK'!$A$2:$R$1272,3,FALSE)+IF(ISNA(VLOOKUP($A971,'Mutasi Neraca'!$A$3:$S$910,3,FALSE)),0,VLOOKUP($A971,'Mutasi Neraca'!$A$3:$S$910,3,FALSE))</f>
        <v>1006900</v>
      </c>
      <c r="E971" s="42">
        <f>VLOOKUP($A971,'Neraca Unaudited SIMAK'!$A$2:$R$1272,4,FALSE)+IF(ISNA(VLOOKUP($A971,'Mutasi Neraca'!$A$3:$S$910,4,FALSE)),0,VLOOKUP($A971,'Mutasi Neraca'!$A$3:$S$910,4,FALSE))</f>
        <v>0</v>
      </c>
      <c r="F971" s="42">
        <f>VLOOKUP($A971,'Neraca Unaudited SIMAK'!$A$2:$R$1272,5,FALSE)+IF(ISNA(VLOOKUP($A971,'Mutasi Neraca'!$A$3:$S$910,5,FALSE)),0,VLOOKUP($A971,'Mutasi Neraca'!$A$3:$S$910,5,FALSE))</f>
        <v>0</v>
      </c>
      <c r="G971" s="42">
        <f>VLOOKUP($A971,'Neraca Unaudited SIMAK'!$A$2:$R$1272,6,FALSE)+IF(ISNA(VLOOKUP($A971,'Mutasi Neraca'!$A$3:$S$910,6,FALSE)),0,VLOOKUP($A971,'Mutasi Neraca'!$A$3:$S$910,6,FALSE))</f>
        <v>0</v>
      </c>
      <c r="H971" s="42">
        <f>VLOOKUP($A971,'Neraca Unaudited SIMAK'!$A$2:$R$1272,7,FALSE)+IF(ISNA(VLOOKUP($A971,'Mutasi Neraca'!$A$3:$S$910,7,FALSE)),0,VLOOKUP($A971,'Mutasi Neraca'!$A$3:$S$910,7,FALSE))</f>
        <v>0</v>
      </c>
      <c r="I971" s="42">
        <f>VLOOKUP($A971,'Neraca Unaudited SIMAK'!$A$2:$R$1272,8,FALSE)+IF(ISNA(VLOOKUP($A971,'Mutasi Neraca'!$A$3:$S$910,8,FALSE)),0,VLOOKUP($A971,'Mutasi Neraca'!$A$3:$S$910,8,FALSE))</f>
        <v>0</v>
      </c>
      <c r="J971" s="42">
        <f>VLOOKUP($A971,'Neraca Unaudited SIMAK'!$A$2:$R$1272,9,FALSE)+IF(ISNA(VLOOKUP($A971,'Mutasi Neraca'!$A$3:$S$910,9,FALSE)),0,VLOOKUP($A971,'Mutasi Neraca'!$A$3:$S$910,9,FALSE))</f>
        <v>0</v>
      </c>
      <c r="K971" s="42">
        <f>VLOOKUP($A971,'Neraca Unaudited SIMAK'!$A$2:$R$1272,10,FALSE)+IF(ISNA(VLOOKUP($A971,'Mutasi Neraca'!$A$3:$S$910,10,FALSE)),0,VLOOKUP($A971,'Mutasi Neraca'!$A$3:$S$910,10,FALSE))</f>
        <v>0</v>
      </c>
      <c r="L971" s="42">
        <f>VLOOKUP($A971,'Neraca Unaudited SIMAK'!$A$2:$R$1272,11,FALSE)+IF(ISNA(VLOOKUP($A971,'Mutasi Neraca'!$A$3:$S$910,11,FALSE)),0,VLOOKUP($A971,'Mutasi Neraca'!$A$3:$S$910,11,FALSE))</f>
        <v>0</v>
      </c>
      <c r="M971" s="42">
        <f>VLOOKUP($A971,'Neraca Unaudited SIMAK'!$A$2:$R$1272,12,FALSE)+IF(ISNA(VLOOKUP($A971,'Mutasi Neraca'!$A$3:$S$910,12,FALSE)),0,VLOOKUP($A971,'Mutasi Neraca'!$A$3:$S$910,12,FALSE))</f>
        <v>1006900</v>
      </c>
      <c r="N971" s="42">
        <f>VLOOKUP($A971,'Neraca Unaudited SIMAK'!$A$2:$R$1272,13,FALSE)+IF(ISNA(VLOOKUP($A971,'Mutasi Neraca'!$A$3:$S$910,13,FALSE)),0,VLOOKUP($A971,'Mutasi Neraca'!$A$3:$S$910,13,FALSE))</f>
        <v>0</v>
      </c>
      <c r="O971" s="42">
        <f>VLOOKUP($A971,'Neraca Unaudited SIMAK'!$A$2:$R$1272,14,FALSE)+IF(ISNA(VLOOKUP($A971,'Mutasi Neraca'!$A$3:$S$910,14,FALSE)),0,VLOOKUP($A971,'Mutasi Neraca'!$A$3:$S$910,14,FALSE))</f>
        <v>0</v>
      </c>
      <c r="P971" s="42">
        <f>VLOOKUP($A971,'Neraca Unaudited SIMAK'!$A$2:$R$1272,15,FALSE)+IF(ISNA(VLOOKUP($A971,'Mutasi Neraca'!$A$3:$S$910,15,FALSE)),0,VLOOKUP($A971,'Mutasi Neraca'!$A$3:$S$910,15,FALSE))</f>
        <v>0</v>
      </c>
      <c r="Q971" s="42">
        <f>VLOOKUP($A971,'Neraca Unaudited SIMAK'!$A$2:$R$1272,16,FALSE)+IF(ISNA(VLOOKUP($A971,'Mutasi Neraca'!$A$3:$S$910,16,FALSE)),0,VLOOKUP($A971,'Mutasi Neraca'!$A$3:$S$910,16,FALSE))</f>
        <v>0</v>
      </c>
      <c r="R971" s="42">
        <f>VLOOKUP($A971,'Neraca Unaudited SIMAK'!$A$2:$R$1272,17,FALSE)+IF(ISNA(VLOOKUP($A971,'Mutasi Neraca'!$A$3:$S$910,17,FALSE)),0,VLOOKUP($A971,'Mutasi Neraca'!$A$3:$S$910,17,FALSE))</f>
        <v>0</v>
      </c>
      <c r="S971" s="42">
        <f t="shared" si="73"/>
        <v>1006900</v>
      </c>
    </row>
    <row r="972" spans="1:19">
      <c r="A972" s="41" t="s">
        <v>942</v>
      </c>
      <c r="B972" s="41" t="str">
        <f t="shared" si="72"/>
        <v>005030800</v>
      </c>
      <c r="D972" s="42">
        <f>VLOOKUP($A972,'Neraca Unaudited SIMAK'!$A$2:$R$1272,3,FALSE)+IF(ISNA(VLOOKUP($A972,'Mutasi Neraca'!$A$3:$S$910,3,FALSE)),0,VLOOKUP($A972,'Mutasi Neraca'!$A$3:$S$910,3,FALSE))</f>
        <v>1862900</v>
      </c>
      <c r="E972" s="42">
        <f>VLOOKUP($A972,'Neraca Unaudited SIMAK'!$A$2:$R$1272,4,FALSE)+IF(ISNA(VLOOKUP($A972,'Mutasi Neraca'!$A$3:$S$910,4,FALSE)),0,VLOOKUP($A972,'Mutasi Neraca'!$A$3:$S$910,4,FALSE))</f>
        <v>0</v>
      </c>
      <c r="F972" s="42">
        <f>VLOOKUP($A972,'Neraca Unaudited SIMAK'!$A$2:$R$1272,5,FALSE)+IF(ISNA(VLOOKUP($A972,'Mutasi Neraca'!$A$3:$S$910,5,FALSE)),0,VLOOKUP($A972,'Mutasi Neraca'!$A$3:$S$910,5,FALSE))</f>
        <v>0</v>
      </c>
      <c r="G972" s="42">
        <f>VLOOKUP($A972,'Neraca Unaudited SIMAK'!$A$2:$R$1272,6,FALSE)+IF(ISNA(VLOOKUP($A972,'Mutasi Neraca'!$A$3:$S$910,6,FALSE)),0,VLOOKUP($A972,'Mutasi Neraca'!$A$3:$S$910,6,FALSE))</f>
        <v>0</v>
      </c>
      <c r="H972" s="42">
        <f>VLOOKUP($A972,'Neraca Unaudited SIMAK'!$A$2:$R$1272,7,FALSE)+IF(ISNA(VLOOKUP($A972,'Mutasi Neraca'!$A$3:$S$910,7,FALSE)),0,VLOOKUP($A972,'Mutasi Neraca'!$A$3:$S$910,7,FALSE))</f>
        <v>0</v>
      </c>
      <c r="I972" s="42">
        <f>VLOOKUP($A972,'Neraca Unaudited SIMAK'!$A$2:$R$1272,8,FALSE)+IF(ISNA(VLOOKUP($A972,'Mutasi Neraca'!$A$3:$S$910,8,FALSE)),0,VLOOKUP($A972,'Mutasi Neraca'!$A$3:$S$910,8,FALSE))</f>
        <v>0</v>
      </c>
      <c r="J972" s="42">
        <f>VLOOKUP($A972,'Neraca Unaudited SIMAK'!$A$2:$R$1272,9,FALSE)+IF(ISNA(VLOOKUP($A972,'Mutasi Neraca'!$A$3:$S$910,9,FALSE)),0,VLOOKUP($A972,'Mutasi Neraca'!$A$3:$S$910,9,FALSE))</f>
        <v>0</v>
      </c>
      <c r="K972" s="42">
        <f>VLOOKUP($A972,'Neraca Unaudited SIMAK'!$A$2:$R$1272,10,FALSE)+IF(ISNA(VLOOKUP($A972,'Mutasi Neraca'!$A$3:$S$910,10,FALSE)),0,VLOOKUP($A972,'Mutasi Neraca'!$A$3:$S$910,10,FALSE))</f>
        <v>0</v>
      </c>
      <c r="L972" s="42">
        <f>VLOOKUP($A972,'Neraca Unaudited SIMAK'!$A$2:$R$1272,11,FALSE)+IF(ISNA(VLOOKUP($A972,'Mutasi Neraca'!$A$3:$S$910,11,FALSE)),0,VLOOKUP($A972,'Mutasi Neraca'!$A$3:$S$910,11,FALSE))</f>
        <v>0</v>
      </c>
      <c r="M972" s="42">
        <f>VLOOKUP($A972,'Neraca Unaudited SIMAK'!$A$2:$R$1272,12,FALSE)+IF(ISNA(VLOOKUP($A972,'Mutasi Neraca'!$A$3:$S$910,12,FALSE)),0,VLOOKUP($A972,'Mutasi Neraca'!$A$3:$S$910,12,FALSE))</f>
        <v>1862900</v>
      </c>
      <c r="N972" s="42">
        <f>VLOOKUP($A972,'Neraca Unaudited SIMAK'!$A$2:$R$1272,13,FALSE)+IF(ISNA(VLOOKUP($A972,'Mutasi Neraca'!$A$3:$S$910,13,FALSE)),0,VLOOKUP($A972,'Mutasi Neraca'!$A$3:$S$910,13,FALSE))</f>
        <v>0</v>
      </c>
      <c r="O972" s="42">
        <f>VLOOKUP($A972,'Neraca Unaudited SIMAK'!$A$2:$R$1272,14,FALSE)+IF(ISNA(VLOOKUP($A972,'Mutasi Neraca'!$A$3:$S$910,14,FALSE)),0,VLOOKUP($A972,'Mutasi Neraca'!$A$3:$S$910,14,FALSE))</f>
        <v>0</v>
      </c>
      <c r="P972" s="42">
        <f>VLOOKUP($A972,'Neraca Unaudited SIMAK'!$A$2:$R$1272,15,FALSE)+IF(ISNA(VLOOKUP($A972,'Mutasi Neraca'!$A$3:$S$910,15,FALSE)),0,VLOOKUP($A972,'Mutasi Neraca'!$A$3:$S$910,15,FALSE))</f>
        <v>0</v>
      </c>
      <c r="Q972" s="42">
        <f>VLOOKUP($A972,'Neraca Unaudited SIMAK'!$A$2:$R$1272,16,FALSE)+IF(ISNA(VLOOKUP($A972,'Mutasi Neraca'!$A$3:$S$910,16,FALSE)),0,VLOOKUP($A972,'Mutasi Neraca'!$A$3:$S$910,16,FALSE))</f>
        <v>0</v>
      </c>
      <c r="R972" s="42">
        <f>VLOOKUP($A972,'Neraca Unaudited SIMAK'!$A$2:$R$1272,17,FALSE)+IF(ISNA(VLOOKUP($A972,'Mutasi Neraca'!$A$3:$S$910,17,FALSE)),0,VLOOKUP($A972,'Mutasi Neraca'!$A$3:$S$910,17,FALSE))</f>
        <v>0</v>
      </c>
      <c r="S972" s="42">
        <f t="shared" si="73"/>
        <v>1862900</v>
      </c>
    </row>
    <row r="973" spans="1:19">
      <c r="A973" s="41" t="s">
        <v>943</v>
      </c>
      <c r="B973" s="41" t="str">
        <f t="shared" si="72"/>
        <v>005030800</v>
      </c>
      <c r="D973" s="42">
        <f>VLOOKUP($A973,'Neraca Unaudited SIMAK'!$A$2:$R$1272,3,FALSE)+IF(ISNA(VLOOKUP($A973,'Mutasi Neraca'!$A$3:$S$910,3,FALSE)),0,VLOOKUP($A973,'Mutasi Neraca'!$A$3:$S$910,3,FALSE))</f>
        <v>4201780</v>
      </c>
      <c r="E973" s="42">
        <f>VLOOKUP($A973,'Neraca Unaudited SIMAK'!$A$2:$R$1272,4,FALSE)+IF(ISNA(VLOOKUP($A973,'Mutasi Neraca'!$A$3:$S$910,4,FALSE)),0,VLOOKUP($A973,'Mutasi Neraca'!$A$3:$S$910,4,FALSE))</f>
        <v>0</v>
      </c>
      <c r="F973" s="42">
        <f>VLOOKUP($A973,'Neraca Unaudited SIMAK'!$A$2:$R$1272,5,FALSE)+IF(ISNA(VLOOKUP($A973,'Mutasi Neraca'!$A$3:$S$910,5,FALSE)),0,VLOOKUP($A973,'Mutasi Neraca'!$A$3:$S$910,5,FALSE))</f>
        <v>0</v>
      </c>
      <c r="G973" s="42">
        <f>VLOOKUP($A973,'Neraca Unaudited SIMAK'!$A$2:$R$1272,6,FALSE)+IF(ISNA(VLOOKUP($A973,'Mutasi Neraca'!$A$3:$S$910,6,FALSE)),0,VLOOKUP($A973,'Mutasi Neraca'!$A$3:$S$910,6,FALSE))</f>
        <v>0</v>
      </c>
      <c r="H973" s="42">
        <f>VLOOKUP($A973,'Neraca Unaudited SIMAK'!$A$2:$R$1272,7,FALSE)+IF(ISNA(VLOOKUP($A973,'Mutasi Neraca'!$A$3:$S$910,7,FALSE)),0,VLOOKUP($A973,'Mutasi Neraca'!$A$3:$S$910,7,FALSE))</f>
        <v>0</v>
      </c>
      <c r="I973" s="42">
        <f>VLOOKUP($A973,'Neraca Unaudited SIMAK'!$A$2:$R$1272,8,FALSE)+IF(ISNA(VLOOKUP($A973,'Mutasi Neraca'!$A$3:$S$910,8,FALSE)),0,VLOOKUP($A973,'Mutasi Neraca'!$A$3:$S$910,8,FALSE))</f>
        <v>0</v>
      </c>
      <c r="J973" s="42">
        <f>VLOOKUP($A973,'Neraca Unaudited SIMAK'!$A$2:$R$1272,9,FALSE)+IF(ISNA(VLOOKUP($A973,'Mutasi Neraca'!$A$3:$S$910,9,FALSE)),0,VLOOKUP($A973,'Mutasi Neraca'!$A$3:$S$910,9,FALSE))</f>
        <v>0</v>
      </c>
      <c r="K973" s="42">
        <f>VLOOKUP($A973,'Neraca Unaudited SIMAK'!$A$2:$R$1272,10,FALSE)+IF(ISNA(VLOOKUP($A973,'Mutasi Neraca'!$A$3:$S$910,10,FALSE)),0,VLOOKUP($A973,'Mutasi Neraca'!$A$3:$S$910,10,FALSE))</f>
        <v>0</v>
      </c>
      <c r="L973" s="42">
        <f>VLOOKUP($A973,'Neraca Unaudited SIMAK'!$A$2:$R$1272,11,FALSE)+IF(ISNA(VLOOKUP($A973,'Mutasi Neraca'!$A$3:$S$910,11,FALSE)),0,VLOOKUP($A973,'Mutasi Neraca'!$A$3:$S$910,11,FALSE))</f>
        <v>0</v>
      </c>
      <c r="M973" s="42">
        <f>VLOOKUP($A973,'Neraca Unaudited SIMAK'!$A$2:$R$1272,12,FALSE)+IF(ISNA(VLOOKUP($A973,'Mutasi Neraca'!$A$3:$S$910,12,FALSE)),0,VLOOKUP($A973,'Mutasi Neraca'!$A$3:$S$910,12,FALSE))</f>
        <v>4201780</v>
      </c>
      <c r="N973" s="42">
        <f>VLOOKUP($A973,'Neraca Unaudited SIMAK'!$A$2:$R$1272,13,FALSE)+IF(ISNA(VLOOKUP($A973,'Mutasi Neraca'!$A$3:$S$910,13,FALSE)),0,VLOOKUP($A973,'Mutasi Neraca'!$A$3:$S$910,13,FALSE))</f>
        <v>0</v>
      </c>
      <c r="O973" s="42">
        <f>VLOOKUP($A973,'Neraca Unaudited SIMAK'!$A$2:$R$1272,14,FALSE)+IF(ISNA(VLOOKUP($A973,'Mutasi Neraca'!$A$3:$S$910,14,FALSE)),0,VLOOKUP($A973,'Mutasi Neraca'!$A$3:$S$910,14,FALSE))</f>
        <v>0</v>
      </c>
      <c r="P973" s="42">
        <f>VLOOKUP($A973,'Neraca Unaudited SIMAK'!$A$2:$R$1272,15,FALSE)+IF(ISNA(VLOOKUP($A973,'Mutasi Neraca'!$A$3:$S$910,15,FALSE)),0,VLOOKUP($A973,'Mutasi Neraca'!$A$3:$S$910,15,FALSE))</f>
        <v>0</v>
      </c>
      <c r="Q973" s="42">
        <f>VLOOKUP($A973,'Neraca Unaudited SIMAK'!$A$2:$R$1272,16,FALSE)+IF(ISNA(VLOOKUP($A973,'Mutasi Neraca'!$A$3:$S$910,16,FALSE)),0,VLOOKUP($A973,'Mutasi Neraca'!$A$3:$S$910,16,FALSE))</f>
        <v>0</v>
      </c>
      <c r="R973" s="42">
        <f>VLOOKUP($A973,'Neraca Unaudited SIMAK'!$A$2:$R$1272,17,FALSE)+IF(ISNA(VLOOKUP($A973,'Mutasi Neraca'!$A$3:$S$910,17,FALSE)),0,VLOOKUP($A973,'Mutasi Neraca'!$A$3:$S$910,17,FALSE))</f>
        <v>0</v>
      </c>
      <c r="S973" s="42">
        <f t="shared" si="73"/>
        <v>4201780</v>
      </c>
    </row>
    <row r="974" spans="1:19">
      <c r="A974" s="41" t="s">
        <v>944</v>
      </c>
      <c r="B974" s="41" t="str">
        <f t="shared" si="72"/>
        <v>005030800</v>
      </c>
      <c r="D974" s="42">
        <f>VLOOKUP($A974,'Neraca Unaudited SIMAK'!$A$2:$R$1272,3,FALSE)+IF(ISNA(VLOOKUP($A974,'Mutasi Neraca'!$A$3:$S$910,3,FALSE)),0,VLOOKUP($A974,'Mutasi Neraca'!$A$3:$S$910,3,FALSE))</f>
        <v>4100412</v>
      </c>
      <c r="E974" s="42">
        <f>VLOOKUP($A974,'Neraca Unaudited SIMAK'!$A$2:$R$1272,4,FALSE)+IF(ISNA(VLOOKUP($A974,'Mutasi Neraca'!$A$3:$S$910,4,FALSE)),0,VLOOKUP($A974,'Mutasi Neraca'!$A$3:$S$910,4,FALSE))</f>
        <v>0</v>
      </c>
      <c r="F974" s="42">
        <f>VLOOKUP($A974,'Neraca Unaudited SIMAK'!$A$2:$R$1272,5,FALSE)+IF(ISNA(VLOOKUP($A974,'Mutasi Neraca'!$A$3:$S$910,5,FALSE)),0,VLOOKUP($A974,'Mutasi Neraca'!$A$3:$S$910,5,FALSE))</f>
        <v>0</v>
      </c>
      <c r="G974" s="42">
        <f>VLOOKUP($A974,'Neraca Unaudited SIMAK'!$A$2:$R$1272,6,FALSE)+IF(ISNA(VLOOKUP($A974,'Mutasi Neraca'!$A$3:$S$910,6,FALSE)),0,VLOOKUP($A974,'Mutasi Neraca'!$A$3:$S$910,6,FALSE))</f>
        <v>0</v>
      </c>
      <c r="H974" s="42">
        <f>VLOOKUP($A974,'Neraca Unaudited SIMAK'!$A$2:$R$1272,7,FALSE)+IF(ISNA(VLOOKUP($A974,'Mutasi Neraca'!$A$3:$S$910,7,FALSE)),0,VLOOKUP($A974,'Mutasi Neraca'!$A$3:$S$910,7,FALSE))</f>
        <v>0</v>
      </c>
      <c r="I974" s="42">
        <f>VLOOKUP($A974,'Neraca Unaudited SIMAK'!$A$2:$R$1272,8,FALSE)+IF(ISNA(VLOOKUP($A974,'Mutasi Neraca'!$A$3:$S$910,8,FALSE)),0,VLOOKUP($A974,'Mutasi Neraca'!$A$3:$S$910,8,FALSE))</f>
        <v>0</v>
      </c>
      <c r="J974" s="42">
        <f>VLOOKUP($A974,'Neraca Unaudited SIMAK'!$A$2:$R$1272,9,FALSE)+IF(ISNA(VLOOKUP($A974,'Mutasi Neraca'!$A$3:$S$910,9,FALSE)),0,VLOOKUP($A974,'Mutasi Neraca'!$A$3:$S$910,9,FALSE))</f>
        <v>0</v>
      </c>
      <c r="K974" s="42">
        <f>VLOOKUP($A974,'Neraca Unaudited SIMAK'!$A$2:$R$1272,10,FALSE)+IF(ISNA(VLOOKUP($A974,'Mutasi Neraca'!$A$3:$S$910,10,FALSE)),0,VLOOKUP($A974,'Mutasi Neraca'!$A$3:$S$910,10,FALSE))</f>
        <v>0</v>
      </c>
      <c r="L974" s="42">
        <f>VLOOKUP($A974,'Neraca Unaudited SIMAK'!$A$2:$R$1272,11,FALSE)+IF(ISNA(VLOOKUP($A974,'Mutasi Neraca'!$A$3:$S$910,11,FALSE)),0,VLOOKUP($A974,'Mutasi Neraca'!$A$3:$S$910,11,FALSE))</f>
        <v>0</v>
      </c>
      <c r="M974" s="42">
        <f>VLOOKUP($A974,'Neraca Unaudited SIMAK'!$A$2:$R$1272,12,FALSE)+IF(ISNA(VLOOKUP($A974,'Mutasi Neraca'!$A$3:$S$910,12,FALSE)),0,VLOOKUP($A974,'Mutasi Neraca'!$A$3:$S$910,12,FALSE))</f>
        <v>4100412</v>
      </c>
      <c r="N974" s="42">
        <f>VLOOKUP($A974,'Neraca Unaudited SIMAK'!$A$2:$R$1272,13,FALSE)+IF(ISNA(VLOOKUP($A974,'Mutasi Neraca'!$A$3:$S$910,13,FALSE)),0,VLOOKUP($A974,'Mutasi Neraca'!$A$3:$S$910,13,FALSE))</f>
        <v>0</v>
      </c>
      <c r="O974" s="42">
        <f>VLOOKUP($A974,'Neraca Unaudited SIMAK'!$A$2:$R$1272,14,FALSE)+IF(ISNA(VLOOKUP($A974,'Mutasi Neraca'!$A$3:$S$910,14,FALSE)),0,VLOOKUP($A974,'Mutasi Neraca'!$A$3:$S$910,14,FALSE))</f>
        <v>0</v>
      </c>
      <c r="P974" s="42">
        <f>VLOOKUP($A974,'Neraca Unaudited SIMAK'!$A$2:$R$1272,15,FALSE)+IF(ISNA(VLOOKUP($A974,'Mutasi Neraca'!$A$3:$S$910,15,FALSE)),0,VLOOKUP($A974,'Mutasi Neraca'!$A$3:$S$910,15,FALSE))</f>
        <v>0</v>
      </c>
      <c r="Q974" s="42">
        <f>VLOOKUP($A974,'Neraca Unaudited SIMAK'!$A$2:$R$1272,16,FALSE)+IF(ISNA(VLOOKUP($A974,'Mutasi Neraca'!$A$3:$S$910,16,FALSE)),0,VLOOKUP($A974,'Mutasi Neraca'!$A$3:$S$910,16,FALSE))</f>
        <v>0</v>
      </c>
      <c r="R974" s="42">
        <f>VLOOKUP($A974,'Neraca Unaudited SIMAK'!$A$2:$R$1272,17,FALSE)+IF(ISNA(VLOOKUP($A974,'Mutasi Neraca'!$A$3:$S$910,17,FALSE)),0,VLOOKUP($A974,'Mutasi Neraca'!$A$3:$S$910,17,FALSE))</f>
        <v>0</v>
      </c>
      <c r="S974" s="42">
        <f t="shared" si="73"/>
        <v>4100412</v>
      </c>
    </row>
    <row r="975" spans="1:19">
      <c r="A975" s="41" t="s">
        <v>945</v>
      </c>
      <c r="B975" s="41" t="str">
        <f t="shared" si="72"/>
        <v>005030800</v>
      </c>
      <c r="D975" s="42">
        <f>VLOOKUP($A975,'Neraca Unaudited SIMAK'!$A$2:$R$1272,3,FALSE)+IF(ISNA(VLOOKUP($A975,'Mutasi Neraca'!$A$3:$S$910,3,FALSE)),0,VLOOKUP($A975,'Mutasi Neraca'!$A$3:$S$910,3,FALSE))</f>
        <v>29300</v>
      </c>
      <c r="E975" s="42">
        <f>VLOOKUP($A975,'Neraca Unaudited SIMAK'!$A$2:$R$1272,4,FALSE)+IF(ISNA(VLOOKUP($A975,'Mutasi Neraca'!$A$3:$S$910,4,FALSE)),0,VLOOKUP($A975,'Mutasi Neraca'!$A$3:$S$910,4,FALSE))</f>
        <v>0</v>
      </c>
      <c r="F975" s="42">
        <f>VLOOKUP($A975,'Neraca Unaudited SIMAK'!$A$2:$R$1272,5,FALSE)+IF(ISNA(VLOOKUP($A975,'Mutasi Neraca'!$A$3:$S$910,5,FALSE)),0,VLOOKUP($A975,'Mutasi Neraca'!$A$3:$S$910,5,FALSE))</f>
        <v>0</v>
      </c>
      <c r="G975" s="42">
        <f>VLOOKUP($A975,'Neraca Unaudited SIMAK'!$A$2:$R$1272,6,FALSE)+IF(ISNA(VLOOKUP($A975,'Mutasi Neraca'!$A$3:$S$910,6,FALSE)),0,VLOOKUP($A975,'Mutasi Neraca'!$A$3:$S$910,6,FALSE))</f>
        <v>0</v>
      </c>
      <c r="H975" s="42">
        <f>VLOOKUP($A975,'Neraca Unaudited SIMAK'!$A$2:$R$1272,7,FALSE)+IF(ISNA(VLOOKUP($A975,'Mutasi Neraca'!$A$3:$S$910,7,FALSE)),0,VLOOKUP($A975,'Mutasi Neraca'!$A$3:$S$910,7,FALSE))</f>
        <v>0</v>
      </c>
      <c r="I975" s="42">
        <f>VLOOKUP($A975,'Neraca Unaudited SIMAK'!$A$2:$R$1272,8,FALSE)+IF(ISNA(VLOOKUP($A975,'Mutasi Neraca'!$A$3:$S$910,8,FALSE)),0,VLOOKUP($A975,'Mutasi Neraca'!$A$3:$S$910,8,FALSE))</f>
        <v>0</v>
      </c>
      <c r="J975" s="42">
        <f>VLOOKUP($A975,'Neraca Unaudited SIMAK'!$A$2:$R$1272,9,FALSE)+IF(ISNA(VLOOKUP($A975,'Mutasi Neraca'!$A$3:$S$910,9,FALSE)),0,VLOOKUP($A975,'Mutasi Neraca'!$A$3:$S$910,9,FALSE))</f>
        <v>0</v>
      </c>
      <c r="K975" s="42">
        <f>VLOOKUP($A975,'Neraca Unaudited SIMAK'!$A$2:$R$1272,10,FALSE)+IF(ISNA(VLOOKUP($A975,'Mutasi Neraca'!$A$3:$S$910,10,FALSE)),0,VLOOKUP($A975,'Mutasi Neraca'!$A$3:$S$910,10,FALSE))</f>
        <v>0</v>
      </c>
      <c r="L975" s="42">
        <f>VLOOKUP($A975,'Neraca Unaudited SIMAK'!$A$2:$R$1272,11,FALSE)+IF(ISNA(VLOOKUP($A975,'Mutasi Neraca'!$A$3:$S$910,11,FALSE)),0,VLOOKUP($A975,'Mutasi Neraca'!$A$3:$S$910,11,FALSE))</f>
        <v>0</v>
      </c>
      <c r="M975" s="42">
        <f>VLOOKUP($A975,'Neraca Unaudited SIMAK'!$A$2:$R$1272,12,FALSE)+IF(ISNA(VLOOKUP($A975,'Mutasi Neraca'!$A$3:$S$910,12,FALSE)),0,VLOOKUP($A975,'Mutasi Neraca'!$A$3:$S$910,12,FALSE))</f>
        <v>29300</v>
      </c>
      <c r="N975" s="42">
        <f>VLOOKUP($A975,'Neraca Unaudited SIMAK'!$A$2:$R$1272,13,FALSE)+IF(ISNA(VLOOKUP($A975,'Mutasi Neraca'!$A$3:$S$910,13,FALSE)),0,VLOOKUP($A975,'Mutasi Neraca'!$A$3:$S$910,13,FALSE))</f>
        <v>0</v>
      </c>
      <c r="O975" s="42">
        <f>VLOOKUP($A975,'Neraca Unaudited SIMAK'!$A$2:$R$1272,14,FALSE)+IF(ISNA(VLOOKUP($A975,'Mutasi Neraca'!$A$3:$S$910,14,FALSE)),0,VLOOKUP($A975,'Mutasi Neraca'!$A$3:$S$910,14,FALSE))</f>
        <v>0</v>
      </c>
      <c r="P975" s="42">
        <f>VLOOKUP($A975,'Neraca Unaudited SIMAK'!$A$2:$R$1272,15,FALSE)+IF(ISNA(VLOOKUP($A975,'Mutasi Neraca'!$A$3:$S$910,15,FALSE)),0,VLOOKUP($A975,'Mutasi Neraca'!$A$3:$S$910,15,FALSE))</f>
        <v>0</v>
      </c>
      <c r="Q975" s="42">
        <f>VLOOKUP($A975,'Neraca Unaudited SIMAK'!$A$2:$R$1272,16,FALSE)+IF(ISNA(VLOOKUP($A975,'Mutasi Neraca'!$A$3:$S$910,16,FALSE)),0,VLOOKUP($A975,'Mutasi Neraca'!$A$3:$S$910,16,FALSE))</f>
        <v>0</v>
      </c>
      <c r="R975" s="42">
        <f>VLOOKUP($A975,'Neraca Unaudited SIMAK'!$A$2:$R$1272,17,FALSE)+IF(ISNA(VLOOKUP($A975,'Mutasi Neraca'!$A$3:$S$910,17,FALSE)),0,VLOOKUP($A975,'Mutasi Neraca'!$A$3:$S$910,17,FALSE))</f>
        <v>0</v>
      </c>
      <c r="S975" s="42">
        <f t="shared" si="73"/>
        <v>29300</v>
      </c>
    </row>
    <row r="976" spans="1:19">
      <c r="A976" s="41" t="s">
        <v>946</v>
      </c>
      <c r="B976" s="41" t="str">
        <f t="shared" si="72"/>
        <v>005030800</v>
      </c>
      <c r="D976" s="42">
        <f>VLOOKUP($A976,'Neraca Unaudited SIMAK'!$A$2:$R$1272,3,FALSE)+IF(ISNA(VLOOKUP($A976,'Mutasi Neraca'!$A$3:$S$910,3,FALSE)),0,VLOOKUP($A976,'Mutasi Neraca'!$A$3:$S$910,3,FALSE))</f>
        <v>351050</v>
      </c>
      <c r="E976" s="42">
        <f>VLOOKUP($A976,'Neraca Unaudited SIMAK'!$A$2:$R$1272,4,FALSE)+IF(ISNA(VLOOKUP($A976,'Mutasi Neraca'!$A$3:$S$910,4,FALSE)),0,VLOOKUP($A976,'Mutasi Neraca'!$A$3:$S$910,4,FALSE))</f>
        <v>0</v>
      </c>
      <c r="F976" s="42">
        <f>VLOOKUP($A976,'Neraca Unaudited SIMAK'!$A$2:$R$1272,5,FALSE)+IF(ISNA(VLOOKUP($A976,'Mutasi Neraca'!$A$3:$S$910,5,FALSE)),0,VLOOKUP($A976,'Mutasi Neraca'!$A$3:$S$910,5,FALSE))</f>
        <v>0</v>
      </c>
      <c r="G976" s="42">
        <f>VLOOKUP($A976,'Neraca Unaudited SIMAK'!$A$2:$R$1272,6,FALSE)+IF(ISNA(VLOOKUP($A976,'Mutasi Neraca'!$A$3:$S$910,6,FALSE)),0,VLOOKUP($A976,'Mutasi Neraca'!$A$3:$S$910,6,FALSE))</f>
        <v>0</v>
      </c>
      <c r="H976" s="42">
        <f>VLOOKUP($A976,'Neraca Unaudited SIMAK'!$A$2:$R$1272,7,FALSE)+IF(ISNA(VLOOKUP($A976,'Mutasi Neraca'!$A$3:$S$910,7,FALSE)),0,VLOOKUP($A976,'Mutasi Neraca'!$A$3:$S$910,7,FALSE))</f>
        <v>0</v>
      </c>
      <c r="I976" s="42">
        <f>VLOOKUP($A976,'Neraca Unaudited SIMAK'!$A$2:$R$1272,8,FALSE)+IF(ISNA(VLOOKUP($A976,'Mutasi Neraca'!$A$3:$S$910,8,FALSE)),0,VLOOKUP($A976,'Mutasi Neraca'!$A$3:$S$910,8,FALSE))</f>
        <v>0</v>
      </c>
      <c r="J976" s="42">
        <f>VLOOKUP($A976,'Neraca Unaudited SIMAK'!$A$2:$R$1272,9,FALSE)+IF(ISNA(VLOOKUP($A976,'Mutasi Neraca'!$A$3:$S$910,9,FALSE)),0,VLOOKUP($A976,'Mutasi Neraca'!$A$3:$S$910,9,FALSE))</f>
        <v>0</v>
      </c>
      <c r="K976" s="42">
        <f>VLOOKUP($A976,'Neraca Unaudited SIMAK'!$A$2:$R$1272,10,FALSE)+IF(ISNA(VLOOKUP($A976,'Mutasi Neraca'!$A$3:$S$910,10,FALSE)),0,VLOOKUP($A976,'Mutasi Neraca'!$A$3:$S$910,10,FALSE))</f>
        <v>0</v>
      </c>
      <c r="L976" s="42">
        <f>VLOOKUP($A976,'Neraca Unaudited SIMAK'!$A$2:$R$1272,11,FALSE)+IF(ISNA(VLOOKUP($A976,'Mutasi Neraca'!$A$3:$S$910,11,FALSE)),0,VLOOKUP($A976,'Mutasi Neraca'!$A$3:$S$910,11,FALSE))</f>
        <v>0</v>
      </c>
      <c r="M976" s="42">
        <f>VLOOKUP($A976,'Neraca Unaudited SIMAK'!$A$2:$R$1272,12,FALSE)+IF(ISNA(VLOOKUP($A976,'Mutasi Neraca'!$A$3:$S$910,12,FALSE)),0,VLOOKUP($A976,'Mutasi Neraca'!$A$3:$S$910,12,FALSE))</f>
        <v>351050</v>
      </c>
      <c r="N976" s="42">
        <f>VLOOKUP($A976,'Neraca Unaudited SIMAK'!$A$2:$R$1272,13,FALSE)+IF(ISNA(VLOOKUP($A976,'Mutasi Neraca'!$A$3:$S$910,13,FALSE)),0,VLOOKUP($A976,'Mutasi Neraca'!$A$3:$S$910,13,FALSE))</f>
        <v>0</v>
      </c>
      <c r="O976" s="42">
        <f>VLOOKUP($A976,'Neraca Unaudited SIMAK'!$A$2:$R$1272,14,FALSE)+IF(ISNA(VLOOKUP($A976,'Mutasi Neraca'!$A$3:$S$910,14,FALSE)),0,VLOOKUP($A976,'Mutasi Neraca'!$A$3:$S$910,14,FALSE))</f>
        <v>0</v>
      </c>
      <c r="P976" s="42">
        <f>VLOOKUP($A976,'Neraca Unaudited SIMAK'!$A$2:$R$1272,15,FALSE)+IF(ISNA(VLOOKUP($A976,'Mutasi Neraca'!$A$3:$S$910,15,FALSE)),0,VLOOKUP($A976,'Mutasi Neraca'!$A$3:$S$910,15,FALSE))</f>
        <v>0</v>
      </c>
      <c r="Q976" s="42">
        <f>VLOOKUP($A976,'Neraca Unaudited SIMAK'!$A$2:$R$1272,16,FALSE)+IF(ISNA(VLOOKUP($A976,'Mutasi Neraca'!$A$3:$S$910,16,FALSE)),0,VLOOKUP($A976,'Mutasi Neraca'!$A$3:$S$910,16,FALSE))</f>
        <v>0</v>
      </c>
      <c r="R976" s="42">
        <f>VLOOKUP($A976,'Neraca Unaudited SIMAK'!$A$2:$R$1272,17,FALSE)+IF(ISNA(VLOOKUP($A976,'Mutasi Neraca'!$A$3:$S$910,17,FALSE)),0,VLOOKUP($A976,'Mutasi Neraca'!$A$3:$S$910,17,FALSE))</f>
        <v>0</v>
      </c>
      <c r="S976" s="42">
        <f t="shared" si="73"/>
        <v>351050</v>
      </c>
    </row>
    <row r="977" spans="1:19">
      <c r="A977" s="41" t="s">
        <v>947</v>
      </c>
      <c r="B977" s="41" t="str">
        <f t="shared" si="72"/>
        <v>005030800</v>
      </c>
      <c r="D977" s="42">
        <f>VLOOKUP($A977,'Neraca Unaudited SIMAK'!$A$2:$R$1272,3,FALSE)+IF(ISNA(VLOOKUP($A977,'Mutasi Neraca'!$A$3:$S$910,3,FALSE)),0,VLOOKUP($A977,'Mutasi Neraca'!$A$3:$S$910,3,FALSE))</f>
        <v>0</v>
      </c>
      <c r="E977" s="42">
        <f>VLOOKUP($A977,'Neraca Unaudited SIMAK'!$A$2:$R$1272,4,FALSE)+IF(ISNA(VLOOKUP($A977,'Mutasi Neraca'!$A$3:$S$910,4,FALSE)),0,VLOOKUP($A977,'Mutasi Neraca'!$A$3:$S$910,4,FALSE))</f>
        <v>0</v>
      </c>
      <c r="F977" s="42">
        <f>VLOOKUP($A977,'Neraca Unaudited SIMAK'!$A$2:$R$1272,5,FALSE)+IF(ISNA(VLOOKUP($A977,'Mutasi Neraca'!$A$3:$S$910,5,FALSE)),0,VLOOKUP($A977,'Mutasi Neraca'!$A$3:$S$910,5,FALSE))</f>
        <v>0</v>
      </c>
      <c r="G977" s="42">
        <f>VLOOKUP($A977,'Neraca Unaudited SIMAK'!$A$2:$R$1272,6,FALSE)+IF(ISNA(VLOOKUP($A977,'Mutasi Neraca'!$A$3:$S$910,6,FALSE)),0,VLOOKUP($A977,'Mutasi Neraca'!$A$3:$S$910,6,FALSE))</f>
        <v>0</v>
      </c>
      <c r="H977" s="42">
        <f>VLOOKUP($A977,'Neraca Unaudited SIMAK'!$A$2:$R$1272,7,FALSE)+IF(ISNA(VLOOKUP($A977,'Mutasi Neraca'!$A$3:$S$910,7,FALSE)),0,VLOOKUP($A977,'Mutasi Neraca'!$A$3:$S$910,7,FALSE))</f>
        <v>0</v>
      </c>
      <c r="I977" s="42">
        <f>VLOOKUP($A977,'Neraca Unaudited SIMAK'!$A$2:$R$1272,8,FALSE)+IF(ISNA(VLOOKUP($A977,'Mutasi Neraca'!$A$3:$S$910,8,FALSE)),0,VLOOKUP($A977,'Mutasi Neraca'!$A$3:$S$910,8,FALSE))</f>
        <v>0</v>
      </c>
      <c r="J977" s="42">
        <f>VLOOKUP($A977,'Neraca Unaudited SIMAK'!$A$2:$R$1272,9,FALSE)+IF(ISNA(VLOOKUP($A977,'Mutasi Neraca'!$A$3:$S$910,9,FALSE)),0,VLOOKUP($A977,'Mutasi Neraca'!$A$3:$S$910,9,FALSE))</f>
        <v>0</v>
      </c>
      <c r="K977" s="42">
        <f>VLOOKUP($A977,'Neraca Unaudited SIMAK'!$A$2:$R$1272,10,FALSE)+IF(ISNA(VLOOKUP($A977,'Mutasi Neraca'!$A$3:$S$910,10,FALSE)),0,VLOOKUP($A977,'Mutasi Neraca'!$A$3:$S$910,10,FALSE))</f>
        <v>0</v>
      </c>
      <c r="L977" s="42">
        <f>VLOOKUP($A977,'Neraca Unaudited SIMAK'!$A$2:$R$1272,11,FALSE)+IF(ISNA(VLOOKUP($A977,'Mutasi Neraca'!$A$3:$S$910,11,FALSE)),0,VLOOKUP($A977,'Mutasi Neraca'!$A$3:$S$910,11,FALSE))</f>
        <v>0</v>
      </c>
      <c r="M977" s="42">
        <f>VLOOKUP($A977,'Neraca Unaudited SIMAK'!$A$2:$R$1272,12,FALSE)+IF(ISNA(VLOOKUP($A977,'Mutasi Neraca'!$A$3:$S$910,12,FALSE)),0,VLOOKUP($A977,'Mutasi Neraca'!$A$3:$S$910,12,FALSE))</f>
        <v>0</v>
      </c>
      <c r="N977" s="42">
        <f>VLOOKUP($A977,'Neraca Unaudited SIMAK'!$A$2:$R$1272,13,FALSE)+IF(ISNA(VLOOKUP($A977,'Mutasi Neraca'!$A$3:$S$910,13,FALSE)),0,VLOOKUP($A977,'Mutasi Neraca'!$A$3:$S$910,13,FALSE))</f>
        <v>0</v>
      </c>
      <c r="O977" s="42">
        <f>VLOOKUP($A977,'Neraca Unaudited SIMAK'!$A$2:$R$1272,14,FALSE)+IF(ISNA(VLOOKUP($A977,'Mutasi Neraca'!$A$3:$S$910,14,FALSE)),0,VLOOKUP($A977,'Mutasi Neraca'!$A$3:$S$910,14,FALSE))</f>
        <v>0</v>
      </c>
      <c r="P977" s="42">
        <f>VLOOKUP($A977,'Neraca Unaudited SIMAK'!$A$2:$R$1272,15,FALSE)+IF(ISNA(VLOOKUP($A977,'Mutasi Neraca'!$A$3:$S$910,15,FALSE)),0,VLOOKUP($A977,'Mutasi Neraca'!$A$3:$S$910,15,FALSE))</f>
        <v>0</v>
      </c>
      <c r="Q977" s="42">
        <f>VLOOKUP($A977,'Neraca Unaudited SIMAK'!$A$2:$R$1272,16,FALSE)+IF(ISNA(VLOOKUP($A977,'Mutasi Neraca'!$A$3:$S$910,16,FALSE)),0,VLOOKUP($A977,'Mutasi Neraca'!$A$3:$S$910,16,FALSE))</f>
        <v>0</v>
      </c>
      <c r="R977" s="42">
        <f>VLOOKUP($A977,'Neraca Unaudited SIMAK'!$A$2:$R$1272,17,FALSE)+IF(ISNA(VLOOKUP($A977,'Mutasi Neraca'!$A$3:$S$910,17,FALSE)),0,VLOOKUP($A977,'Mutasi Neraca'!$A$3:$S$910,17,FALSE))</f>
        <v>0</v>
      </c>
      <c r="S977" s="42">
        <f t="shared" si="73"/>
        <v>0</v>
      </c>
    </row>
    <row r="978" spans="1:19">
      <c r="A978" s="41" t="s">
        <v>948</v>
      </c>
      <c r="B978" s="41" t="str">
        <f t="shared" si="72"/>
        <v>005030800</v>
      </c>
      <c r="D978" s="42">
        <f>VLOOKUP($A978,'Neraca Unaudited SIMAK'!$A$2:$R$1272,3,FALSE)+IF(ISNA(VLOOKUP($A978,'Mutasi Neraca'!$A$3:$S$910,3,FALSE)),0,VLOOKUP($A978,'Mutasi Neraca'!$A$3:$S$910,3,FALSE))</f>
        <v>0</v>
      </c>
      <c r="E978" s="42">
        <f>VLOOKUP($A978,'Neraca Unaudited SIMAK'!$A$2:$R$1272,4,FALSE)+IF(ISNA(VLOOKUP($A978,'Mutasi Neraca'!$A$3:$S$910,4,FALSE)),0,VLOOKUP($A978,'Mutasi Neraca'!$A$3:$S$910,4,FALSE))</f>
        <v>0</v>
      </c>
      <c r="F978" s="42">
        <f>VLOOKUP($A978,'Neraca Unaudited SIMAK'!$A$2:$R$1272,5,FALSE)+IF(ISNA(VLOOKUP($A978,'Mutasi Neraca'!$A$3:$S$910,5,FALSE)),0,VLOOKUP($A978,'Mutasi Neraca'!$A$3:$S$910,5,FALSE))</f>
        <v>0</v>
      </c>
      <c r="G978" s="42">
        <f>VLOOKUP($A978,'Neraca Unaudited SIMAK'!$A$2:$R$1272,6,FALSE)+IF(ISNA(VLOOKUP($A978,'Mutasi Neraca'!$A$3:$S$910,6,FALSE)),0,VLOOKUP($A978,'Mutasi Neraca'!$A$3:$S$910,6,FALSE))</f>
        <v>0</v>
      </c>
      <c r="H978" s="42">
        <f>VLOOKUP($A978,'Neraca Unaudited SIMAK'!$A$2:$R$1272,7,FALSE)+IF(ISNA(VLOOKUP($A978,'Mutasi Neraca'!$A$3:$S$910,7,FALSE)),0,VLOOKUP($A978,'Mutasi Neraca'!$A$3:$S$910,7,FALSE))</f>
        <v>0</v>
      </c>
      <c r="I978" s="42">
        <f>VLOOKUP($A978,'Neraca Unaudited SIMAK'!$A$2:$R$1272,8,FALSE)+IF(ISNA(VLOOKUP($A978,'Mutasi Neraca'!$A$3:$S$910,8,FALSE)),0,VLOOKUP($A978,'Mutasi Neraca'!$A$3:$S$910,8,FALSE))</f>
        <v>0</v>
      </c>
      <c r="J978" s="42">
        <f>VLOOKUP($A978,'Neraca Unaudited SIMAK'!$A$2:$R$1272,9,FALSE)+IF(ISNA(VLOOKUP($A978,'Mutasi Neraca'!$A$3:$S$910,9,FALSE)),0,VLOOKUP($A978,'Mutasi Neraca'!$A$3:$S$910,9,FALSE))</f>
        <v>0</v>
      </c>
      <c r="K978" s="42">
        <f>VLOOKUP($A978,'Neraca Unaudited SIMAK'!$A$2:$R$1272,10,FALSE)+IF(ISNA(VLOOKUP($A978,'Mutasi Neraca'!$A$3:$S$910,10,FALSE)),0,VLOOKUP($A978,'Mutasi Neraca'!$A$3:$S$910,10,FALSE))</f>
        <v>0</v>
      </c>
      <c r="L978" s="42">
        <f>VLOOKUP($A978,'Neraca Unaudited SIMAK'!$A$2:$R$1272,11,FALSE)+IF(ISNA(VLOOKUP($A978,'Mutasi Neraca'!$A$3:$S$910,11,FALSE)),0,VLOOKUP($A978,'Mutasi Neraca'!$A$3:$S$910,11,FALSE))</f>
        <v>0</v>
      </c>
      <c r="M978" s="42">
        <f>VLOOKUP($A978,'Neraca Unaudited SIMAK'!$A$2:$R$1272,12,FALSE)+IF(ISNA(VLOOKUP($A978,'Mutasi Neraca'!$A$3:$S$910,12,FALSE)),0,VLOOKUP($A978,'Mutasi Neraca'!$A$3:$S$910,12,FALSE))</f>
        <v>0</v>
      </c>
      <c r="N978" s="42">
        <f>VLOOKUP($A978,'Neraca Unaudited SIMAK'!$A$2:$R$1272,13,FALSE)+IF(ISNA(VLOOKUP($A978,'Mutasi Neraca'!$A$3:$S$910,13,FALSE)),0,VLOOKUP($A978,'Mutasi Neraca'!$A$3:$S$910,13,FALSE))</f>
        <v>0</v>
      </c>
      <c r="O978" s="42">
        <f>VLOOKUP($A978,'Neraca Unaudited SIMAK'!$A$2:$R$1272,14,FALSE)+IF(ISNA(VLOOKUP($A978,'Mutasi Neraca'!$A$3:$S$910,14,FALSE)),0,VLOOKUP($A978,'Mutasi Neraca'!$A$3:$S$910,14,FALSE))</f>
        <v>0</v>
      </c>
      <c r="P978" s="42">
        <f>VLOOKUP($A978,'Neraca Unaudited SIMAK'!$A$2:$R$1272,15,FALSE)+IF(ISNA(VLOOKUP($A978,'Mutasi Neraca'!$A$3:$S$910,15,FALSE)),0,VLOOKUP($A978,'Mutasi Neraca'!$A$3:$S$910,15,FALSE))</f>
        <v>0</v>
      </c>
      <c r="Q978" s="42">
        <f>VLOOKUP($A978,'Neraca Unaudited SIMAK'!$A$2:$R$1272,16,FALSE)+IF(ISNA(VLOOKUP($A978,'Mutasi Neraca'!$A$3:$S$910,16,FALSE)),0,VLOOKUP($A978,'Mutasi Neraca'!$A$3:$S$910,16,FALSE))</f>
        <v>0</v>
      </c>
      <c r="R978" s="42">
        <f>VLOOKUP($A978,'Neraca Unaudited SIMAK'!$A$2:$R$1272,17,FALSE)+IF(ISNA(VLOOKUP($A978,'Mutasi Neraca'!$A$3:$S$910,17,FALSE)),0,VLOOKUP($A978,'Mutasi Neraca'!$A$3:$S$910,17,FALSE))</f>
        <v>0</v>
      </c>
      <c r="S978" s="42">
        <f t="shared" si="73"/>
        <v>0</v>
      </c>
    </row>
    <row r="979" spans="1:19">
      <c r="A979" s="41" t="s">
        <v>949</v>
      </c>
      <c r="B979" s="41" t="str">
        <f t="shared" si="72"/>
        <v>005030800</v>
      </c>
      <c r="D979" s="42">
        <f>VLOOKUP($A979,'Neraca Unaudited SIMAK'!$A$2:$R$1272,3,FALSE)+IF(ISNA(VLOOKUP($A979,'Mutasi Neraca'!$A$3:$S$910,3,FALSE)),0,VLOOKUP($A979,'Mutasi Neraca'!$A$3:$S$910,3,FALSE))</f>
        <v>1014035</v>
      </c>
      <c r="E979" s="42">
        <f>VLOOKUP($A979,'Neraca Unaudited SIMAK'!$A$2:$R$1272,4,FALSE)+IF(ISNA(VLOOKUP($A979,'Mutasi Neraca'!$A$3:$S$910,4,FALSE)),0,VLOOKUP($A979,'Mutasi Neraca'!$A$3:$S$910,4,FALSE))</f>
        <v>0</v>
      </c>
      <c r="F979" s="42">
        <f>VLOOKUP($A979,'Neraca Unaudited SIMAK'!$A$2:$R$1272,5,FALSE)+IF(ISNA(VLOOKUP($A979,'Mutasi Neraca'!$A$3:$S$910,5,FALSE)),0,VLOOKUP($A979,'Mutasi Neraca'!$A$3:$S$910,5,FALSE))</f>
        <v>0</v>
      </c>
      <c r="G979" s="42">
        <f>VLOOKUP($A979,'Neraca Unaudited SIMAK'!$A$2:$R$1272,6,FALSE)+IF(ISNA(VLOOKUP($A979,'Mutasi Neraca'!$A$3:$S$910,6,FALSE)),0,VLOOKUP($A979,'Mutasi Neraca'!$A$3:$S$910,6,FALSE))</f>
        <v>0</v>
      </c>
      <c r="H979" s="42">
        <f>VLOOKUP($A979,'Neraca Unaudited SIMAK'!$A$2:$R$1272,7,FALSE)+IF(ISNA(VLOOKUP($A979,'Mutasi Neraca'!$A$3:$S$910,7,FALSE)),0,VLOOKUP($A979,'Mutasi Neraca'!$A$3:$S$910,7,FALSE))</f>
        <v>0</v>
      </c>
      <c r="I979" s="42">
        <f>VLOOKUP($A979,'Neraca Unaudited SIMAK'!$A$2:$R$1272,8,FALSE)+IF(ISNA(VLOOKUP($A979,'Mutasi Neraca'!$A$3:$S$910,8,FALSE)),0,VLOOKUP($A979,'Mutasi Neraca'!$A$3:$S$910,8,FALSE))</f>
        <v>0</v>
      </c>
      <c r="J979" s="42">
        <f>VLOOKUP($A979,'Neraca Unaudited SIMAK'!$A$2:$R$1272,9,FALSE)+IF(ISNA(VLOOKUP($A979,'Mutasi Neraca'!$A$3:$S$910,9,FALSE)),0,VLOOKUP($A979,'Mutasi Neraca'!$A$3:$S$910,9,FALSE))</f>
        <v>0</v>
      </c>
      <c r="K979" s="42">
        <f>VLOOKUP($A979,'Neraca Unaudited SIMAK'!$A$2:$R$1272,10,FALSE)+IF(ISNA(VLOOKUP($A979,'Mutasi Neraca'!$A$3:$S$910,10,FALSE)),0,VLOOKUP($A979,'Mutasi Neraca'!$A$3:$S$910,10,FALSE))</f>
        <v>0</v>
      </c>
      <c r="L979" s="42">
        <f>VLOOKUP($A979,'Neraca Unaudited SIMAK'!$A$2:$R$1272,11,FALSE)+IF(ISNA(VLOOKUP($A979,'Mutasi Neraca'!$A$3:$S$910,11,FALSE)),0,VLOOKUP($A979,'Mutasi Neraca'!$A$3:$S$910,11,FALSE))</f>
        <v>0</v>
      </c>
      <c r="M979" s="42">
        <f>VLOOKUP($A979,'Neraca Unaudited SIMAK'!$A$2:$R$1272,12,FALSE)+IF(ISNA(VLOOKUP($A979,'Mutasi Neraca'!$A$3:$S$910,12,FALSE)),0,VLOOKUP($A979,'Mutasi Neraca'!$A$3:$S$910,12,FALSE))</f>
        <v>1014035</v>
      </c>
      <c r="N979" s="42">
        <f>VLOOKUP($A979,'Neraca Unaudited SIMAK'!$A$2:$R$1272,13,FALSE)+IF(ISNA(VLOOKUP($A979,'Mutasi Neraca'!$A$3:$S$910,13,FALSE)),0,VLOOKUP($A979,'Mutasi Neraca'!$A$3:$S$910,13,FALSE))</f>
        <v>0</v>
      </c>
      <c r="O979" s="42">
        <f>VLOOKUP($A979,'Neraca Unaudited SIMAK'!$A$2:$R$1272,14,FALSE)+IF(ISNA(VLOOKUP($A979,'Mutasi Neraca'!$A$3:$S$910,14,FALSE)),0,VLOOKUP($A979,'Mutasi Neraca'!$A$3:$S$910,14,FALSE))</f>
        <v>0</v>
      </c>
      <c r="P979" s="42">
        <f>VLOOKUP($A979,'Neraca Unaudited SIMAK'!$A$2:$R$1272,15,FALSE)+IF(ISNA(VLOOKUP($A979,'Mutasi Neraca'!$A$3:$S$910,15,FALSE)),0,VLOOKUP($A979,'Mutasi Neraca'!$A$3:$S$910,15,FALSE))</f>
        <v>0</v>
      </c>
      <c r="Q979" s="42">
        <f>VLOOKUP($A979,'Neraca Unaudited SIMAK'!$A$2:$R$1272,16,FALSE)+IF(ISNA(VLOOKUP($A979,'Mutasi Neraca'!$A$3:$S$910,16,FALSE)),0,VLOOKUP($A979,'Mutasi Neraca'!$A$3:$S$910,16,FALSE))</f>
        <v>0</v>
      </c>
      <c r="R979" s="42">
        <f>VLOOKUP($A979,'Neraca Unaudited SIMAK'!$A$2:$R$1272,17,FALSE)+IF(ISNA(VLOOKUP($A979,'Mutasi Neraca'!$A$3:$S$910,17,FALSE)),0,VLOOKUP($A979,'Mutasi Neraca'!$A$3:$S$910,17,FALSE))</f>
        <v>0</v>
      </c>
      <c r="S979" s="42">
        <f t="shared" si="73"/>
        <v>1014035</v>
      </c>
    </row>
    <row r="980" spans="1:19">
      <c r="A980" s="41" t="s">
        <v>950</v>
      </c>
      <c r="B980" s="41" t="str">
        <f t="shared" si="72"/>
        <v>005030800</v>
      </c>
      <c r="D980" s="42">
        <f>VLOOKUP($A980,'Neraca Unaudited SIMAK'!$A$2:$R$1272,3,FALSE)+IF(ISNA(VLOOKUP($A980,'Mutasi Neraca'!$A$3:$S$910,3,FALSE)),0,VLOOKUP($A980,'Mutasi Neraca'!$A$3:$S$910,3,FALSE))</f>
        <v>2333300</v>
      </c>
      <c r="E980" s="42">
        <f>VLOOKUP($A980,'Neraca Unaudited SIMAK'!$A$2:$R$1272,4,FALSE)+IF(ISNA(VLOOKUP($A980,'Mutasi Neraca'!$A$3:$S$910,4,FALSE)),0,VLOOKUP($A980,'Mutasi Neraca'!$A$3:$S$910,4,FALSE))</f>
        <v>0</v>
      </c>
      <c r="F980" s="42">
        <f>VLOOKUP($A980,'Neraca Unaudited SIMAK'!$A$2:$R$1272,5,FALSE)+IF(ISNA(VLOOKUP($A980,'Mutasi Neraca'!$A$3:$S$910,5,FALSE)),0,VLOOKUP($A980,'Mutasi Neraca'!$A$3:$S$910,5,FALSE))</f>
        <v>0</v>
      </c>
      <c r="G980" s="42">
        <f>VLOOKUP($A980,'Neraca Unaudited SIMAK'!$A$2:$R$1272,6,FALSE)+IF(ISNA(VLOOKUP($A980,'Mutasi Neraca'!$A$3:$S$910,6,FALSE)),0,VLOOKUP($A980,'Mutasi Neraca'!$A$3:$S$910,6,FALSE))</f>
        <v>0</v>
      </c>
      <c r="H980" s="42">
        <f>VLOOKUP($A980,'Neraca Unaudited SIMAK'!$A$2:$R$1272,7,FALSE)+IF(ISNA(VLOOKUP($A980,'Mutasi Neraca'!$A$3:$S$910,7,FALSE)),0,VLOOKUP($A980,'Mutasi Neraca'!$A$3:$S$910,7,FALSE))</f>
        <v>0</v>
      </c>
      <c r="I980" s="42">
        <f>VLOOKUP($A980,'Neraca Unaudited SIMAK'!$A$2:$R$1272,8,FALSE)+IF(ISNA(VLOOKUP($A980,'Mutasi Neraca'!$A$3:$S$910,8,FALSE)),0,VLOOKUP($A980,'Mutasi Neraca'!$A$3:$S$910,8,FALSE))</f>
        <v>0</v>
      </c>
      <c r="J980" s="42">
        <f>VLOOKUP($A980,'Neraca Unaudited SIMAK'!$A$2:$R$1272,9,FALSE)+IF(ISNA(VLOOKUP($A980,'Mutasi Neraca'!$A$3:$S$910,9,FALSE)),0,VLOOKUP($A980,'Mutasi Neraca'!$A$3:$S$910,9,FALSE))</f>
        <v>0</v>
      </c>
      <c r="K980" s="42">
        <f>VLOOKUP($A980,'Neraca Unaudited SIMAK'!$A$2:$R$1272,10,FALSE)+IF(ISNA(VLOOKUP($A980,'Mutasi Neraca'!$A$3:$S$910,10,FALSE)),0,VLOOKUP($A980,'Mutasi Neraca'!$A$3:$S$910,10,FALSE))</f>
        <v>0</v>
      </c>
      <c r="L980" s="42">
        <f>VLOOKUP($A980,'Neraca Unaudited SIMAK'!$A$2:$R$1272,11,FALSE)+IF(ISNA(VLOOKUP($A980,'Mutasi Neraca'!$A$3:$S$910,11,FALSE)),0,VLOOKUP($A980,'Mutasi Neraca'!$A$3:$S$910,11,FALSE))</f>
        <v>0</v>
      </c>
      <c r="M980" s="42">
        <f>VLOOKUP($A980,'Neraca Unaudited SIMAK'!$A$2:$R$1272,12,FALSE)+IF(ISNA(VLOOKUP($A980,'Mutasi Neraca'!$A$3:$S$910,12,FALSE)),0,VLOOKUP($A980,'Mutasi Neraca'!$A$3:$S$910,12,FALSE))</f>
        <v>2333300</v>
      </c>
      <c r="N980" s="42">
        <f>VLOOKUP($A980,'Neraca Unaudited SIMAK'!$A$2:$R$1272,13,FALSE)+IF(ISNA(VLOOKUP($A980,'Mutasi Neraca'!$A$3:$S$910,13,FALSE)),0,VLOOKUP($A980,'Mutasi Neraca'!$A$3:$S$910,13,FALSE))</f>
        <v>0</v>
      </c>
      <c r="O980" s="42">
        <f>VLOOKUP($A980,'Neraca Unaudited SIMAK'!$A$2:$R$1272,14,FALSE)+IF(ISNA(VLOOKUP($A980,'Mutasi Neraca'!$A$3:$S$910,14,FALSE)),0,VLOOKUP($A980,'Mutasi Neraca'!$A$3:$S$910,14,FALSE))</f>
        <v>0</v>
      </c>
      <c r="P980" s="42">
        <f>VLOOKUP($A980,'Neraca Unaudited SIMAK'!$A$2:$R$1272,15,FALSE)+IF(ISNA(VLOOKUP($A980,'Mutasi Neraca'!$A$3:$S$910,15,FALSE)),0,VLOOKUP($A980,'Mutasi Neraca'!$A$3:$S$910,15,FALSE))</f>
        <v>0</v>
      </c>
      <c r="Q980" s="42">
        <f>VLOOKUP($A980,'Neraca Unaudited SIMAK'!$A$2:$R$1272,16,FALSE)+IF(ISNA(VLOOKUP($A980,'Mutasi Neraca'!$A$3:$S$910,16,FALSE)),0,VLOOKUP($A980,'Mutasi Neraca'!$A$3:$S$910,16,FALSE))</f>
        <v>0</v>
      </c>
      <c r="R980" s="42">
        <f>VLOOKUP($A980,'Neraca Unaudited SIMAK'!$A$2:$R$1272,17,FALSE)+IF(ISNA(VLOOKUP($A980,'Mutasi Neraca'!$A$3:$S$910,17,FALSE)),0,VLOOKUP($A980,'Mutasi Neraca'!$A$3:$S$910,17,FALSE))</f>
        <v>0</v>
      </c>
      <c r="S980" s="42">
        <f t="shared" si="73"/>
        <v>2333300</v>
      </c>
    </row>
    <row r="981" spans="1:19">
      <c r="A981" s="41" t="s">
        <v>2046</v>
      </c>
      <c r="B981" s="41" t="str">
        <f t="shared" si="72"/>
        <v>005030800</v>
      </c>
      <c r="D981" s="42">
        <f>VLOOKUP($A981,'Neraca Unaudited SIMAK'!$A$2:$R$1272,3,FALSE)+IF(ISNA(VLOOKUP($A981,'Mutasi Neraca'!$A$3:$S$910,3,FALSE)),0,VLOOKUP($A981,'Mutasi Neraca'!$A$3:$S$910,3,FALSE))</f>
        <v>6429300</v>
      </c>
      <c r="E981" s="42">
        <f>VLOOKUP($A981,'Neraca Unaudited SIMAK'!$A$2:$R$1272,4,FALSE)+IF(ISNA(VLOOKUP($A981,'Mutasi Neraca'!$A$3:$S$910,4,FALSE)),0,VLOOKUP($A981,'Mutasi Neraca'!$A$3:$S$910,4,FALSE))</f>
        <v>0</v>
      </c>
      <c r="F981" s="42">
        <f>VLOOKUP($A981,'Neraca Unaudited SIMAK'!$A$2:$R$1272,5,FALSE)+IF(ISNA(VLOOKUP($A981,'Mutasi Neraca'!$A$3:$S$910,5,FALSE)),0,VLOOKUP($A981,'Mutasi Neraca'!$A$3:$S$910,5,FALSE))</f>
        <v>0</v>
      </c>
      <c r="G981" s="42">
        <f>VLOOKUP($A981,'Neraca Unaudited SIMAK'!$A$2:$R$1272,6,FALSE)+IF(ISNA(VLOOKUP($A981,'Mutasi Neraca'!$A$3:$S$910,6,FALSE)),0,VLOOKUP($A981,'Mutasi Neraca'!$A$3:$S$910,6,FALSE))</f>
        <v>0</v>
      </c>
      <c r="H981" s="42">
        <f>VLOOKUP($A981,'Neraca Unaudited SIMAK'!$A$2:$R$1272,7,FALSE)+IF(ISNA(VLOOKUP($A981,'Mutasi Neraca'!$A$3:$S$910,7,FALSE)),0,VLOOKUP($A981,'Mutasi Neraca'!$A$3:$S$910,7,FALSE))</f>
        <v>0</v>
      </c>
      <c r="I981" s="42">
        <f>VLOOKUP($A981,'Neraca Unaudited SIMAK'!$A$2:$R$1272,8,FALSE)+IF(ISNA(VLOOKUP($A981,'Mutasi Neraca'!$A$3:$S$910,8,FALSE)),0,VLOOKUP($A981,'Mutasi Neraca'!$A$3:$S$910,8,FALSE))</f>
        <v>0</v>
      </c>
      <c r="J981" s="42">
        <f>VLOOKUP($A981,'Neraca Unaudited SIMAK'!$A$2:$R$1272,9,FALSE)+IF(ISNA(VLOOKUP($A981,'Mutasi Neraca'!$A$3:$S$910,9,FALSE)),0,VLOOKUP($A981,'Mutasi Neraca'!$A$3:$S$910,9,FALSE))</f>
        <v>0</v>
      </c>
      <c r="K981" s="42">
        <f>VLOOKUP($A981,'Neraca Unaudited SIMAK'!$A$2:$R$1272,10,FALSE)+IF(ISNA(VLOOKUP($A981,'Mutasi Neraca'!$A$3:$S$910,10,FALSE)),0,VLOOKUP($A981,'Mutasi Neraca'!$A$3:$S$910,10,FALSE))</f>
        <v>0</v>
      </c>
      <c r="L981" s="42">
        <f>VLOOKUP($A981,'Neraca Unaudited SIMAK'!$A$2:$R$1272,11,FALSE)+IF(ISNA(VLOOKUP($A981,'Mutasi Neraca'!$A$3:$S$910,11,FALSE)),0,VLOOKUP($A981,'Mutasi Neraca'!$A$3:$S$910,11,FALSE))</f>
        <v>0</v>
      </c>
      <c r="M981" s="42">
        <f>VLOOKUP($A981,'Neraca Unaudited SIMAK'!$A$2:$R$1272,12,FALSE)+IF(ISNA(VLOOKUP($A981,'Mutasi Neraca'!$A$3:$S$910,12,FALSE)),0,VLOOKUP($A981,'Mutasi Neraca'!$A$3:$S$910,12,FALSE))</f>
        <v>6429300</v>
      </c>
      <c r="N981" s="42">
        <f>VLOOKUP($A981,'Neraca Unaudited SIMAK'!$A$2:$R$1272,13,FALSE)+IF(ISNA(VLOOKUP($A981,'Mutasi Neraca'!$A$3:$S$910,13,FALSE)),0,VLOOKUP($A981,'Mutasi Neraca'!$A$3:$S$910,13,FALSE))</f>
        <v>0</v>
      </c>
      <c r="O981" s="42">
        <f>VLOOKUP($A981,'Neraca Unaudited SIMAK'!$A$2:$R$1272,14,FALSE)+IF(ISNA(VLOOKUP($A981,'Mutasi Neraca'!$A$3:$S$910,14,FALSE)),0,VLOOKUP($A981,'Mutasi Neraca'!$A$3:$S$910,14,FALSE))</f>
        <v>0</v>
      </c>
      <c r="P981" s="42">
        <f>VLOOKUP($A981,'Neraca Unaudited SIMAK'!$A$2:$R$1272,15,FALSE)+IF(ISNA(VLOOKUP($A981,'Mutasi Neraca'!$A$3:$S$910,15,FALSE)),0,VLOOKUP($A981,'Mutasi Neraca'!$A$3:$S$910,15,FALSE))</f>
        <v>0</v>
      </c>
      <c r="Q981" s="42">
        <f>VLOOKUP($A981,'Neraca Unaudited SIMAK'!$A$2:$R$1272,16,FALSE)+IF(ISNA(VLOOKUP($A981,'Mutasi Neraca'!$A$3:$S$910,16,FALSE)),0,VLOOKUP($A981,'Mutasi Neraca'!$A$3:$S$910,16,FALSE))</f>
        <v>0</v>
      </c>
      <c r="R981" s="42">
        <f>VLOOKUP($A981,'Neraca Unaudited SIMAK'!$A$2:$R$1272,17,FALSE)+IF(ISNA(VLOOKUP($A981,'Mutasi Neraca'!$A$3:$S$910,17,FALSE)),0,VLOOKUP($A981,'Mutasi Neraca'!$A$3:$S$910,17,FALSE))</f>
        <v>0</v>
      </c>
      <c r="S981" s="42">
        <f t="shared" si="73"/>
        <v>6429300</v>
      </c>
    </row>
    <row r="982" spans="1:19">
      <c r="A982" s="41" t="s">
        <v>951</v>
      </c>
      <c r="B982" s="41" t="str">
        <f t="shared" si="72"/>
        <v>005030800</v>
      </c>
      <c r="D982" s="42">
        <f>VLOOKUP($A982,'Neraca Unaudited SIMAK'!$A$2:$R$1272,3,FALSE)+IF(ISNA(VLOOKUP($A982,'Mutasi Neraca'!$A$3:$S$910,3,FALSE)),0,VLOOKUP($A982,'Mutasi Neraca'!$A$3:$S$910,3,FALSE))</f>
        <v>1576600</v>
      </c>
      <c r="E982" s="42">
        <f>VLOOKUP($A982,'Neraca Unaudited SIMAK'!$A$2:$R$1272,4,FALSE)+IF(ISNA(VLOOKUP($A982,'Mutasi Neraca'!$A$3:$S$910,4,FALSE)),0,VLOOKUP($A982,'Mutasi Neraca'!$A$3:$S$910,4,FALSE))</f>
        <v>0</v>
      </c>
      <c r="F982" s="42">
        <f>VLOOKUP($A982,'Neraca Unaudited SIMAK'!$A$2:$R$1272,5,FALSE)+IF(ISNA(VLOOKUP($A982,'Mutasi Neraca'!$A$3:$S$910,5,FALSE)),0,VLOOKUP($A982,'Mutasi Neraca'!$A$3:$S$910,5,FALSE))</f>
        <v>0</v>
      </c>
      <c r="G982" s="42">
        <f>VLOOKUP($A982,'Neraca Unaudited SIMAK'!$A$2:$R$1272,6,FALSE)+IF(ISNA(VLOOKUP($A982,'Mutasi Neraca'!$A$3:$S$910,6,FALSE)),0,VLOOKUP($A982,'Mutasi Neraca'!$A$3:$S$910,6,FALSE))</f>
        <v>0</v>
      </c>
      <c r="H982" s="42">
        <f>VLOOKUP($A982,'Neraca Unaudited SIMAK'!$A$2:$R$1272,7,FALSE)+IF(ISNA(VLOOKUP($A982,'Mutasi Neraca'!$A$3:$S$910,7,FALSE)),0,VLOOKUP($A982,'Mutasi Neraca'!$A$3:$S$910,7,FALSE))</f>
        <v>0</v>
      </c>
      <c r="I982" s="42">
        <f>VLOOKUP($A982,'Neraca Unaudited SIMAK'!$A$2:$R$1272,8,FALSE)+IF(ISNA(VLOOKUP($A982,'Mutasi Neraca'!$A$3:$S$910,8,FALSE)),0,VLOOKUP($A982,'Mutasi Neraca'!$A$3:$S$910,8,FALSE))</f>
        <v>0</v>
      </c>
      <c r="J982" s="42">
        <f>VLOOKUP($A982,'Neraca Unaudited SIMAK'!$A$2:$R$1272,9,FALSE)+IF(ISNA(VLOOKUP($A982,'Mutasi Neraca'!$A$3:$S$910,9,FALSE)),0,VLOOKUP($A982,'Mutasi Neraca'!$A$3:$S$910,9,FALSE))</f>
        <v>0</v>
      </c>
      <c r="K982" s="42">
        <f>VLOOKUP($A982,'Neraca Unaudited SIMAK'!$A$2:$R$1272,10,FALSE)+IF(ISNA(VLOOKUP($A982,'Mutasi Neraca'!$A$3:$S$910,10,FALSE)),0,VLOOKUP($A982,'Mutasi Neraca'!$A$3:$S$910,10,FALSE))</f>
        <v>0</v>
      </c>
      <c r="L982" s="42">
        <f>VLOOKUP($A982,'Neraca Unaudited SIMAK'!$A$2:$R$1272,11,FALSE)+IF(ISNA(VLOOKUP($A982,'Mutasi Neraca'!$A$3:$S$910,11,FALSE)),0,VLOOKUP($A982,'Mutasi Neraca'!$A$3:$S$910,11,FALSE))</f>
        <v>0</v>
      </c>
      <c r="M982" s="42">
        <f>VLOOKUP($A982,'Neraca Unaudited SIMAK'!$A$2:$R$1272,12,FALSE)+IF(ISNA(VLOOKUP($A982,'Mutasi Neraca'!$A$3:$S$910,12,FALSE)),0,VLOOKUP($A982,'Mutasi Neraca'!$A$3:$S$910,12,FALSE))</f>
        <v>1576600</v>
      </c>
      <c r="N982" s="42">
        <f>VLOOKUP($A982,'Neraca Unaudited SIMAK'!$A$2:$R$1272,13,FALSE)+IF(ISNA(VLOOKUP($A982,'Mutasi Neraca'!$A$3:$S$910,13,FALSE)),0,VLOOKUP($A982,'Mutasi Neraca'!$A$3:$S$910,13,FALSE))</f>
        <v>0</v>
      </c>
      <c r="O982" s="42">
        <f>VLOOKUP($A982,'Neraca Unaudited SIMAK'!$A$2:$R$1272,14,FALSE)+IF(ISNA(VLOOKUP($A982,'Mutasi Neraca'!$A$3:$S$910,14,FALSE)),0,VLOOKUP($A982,'Mutasi Neraca'!$A$3:$S$910,14,FALSE))</f>
        <v>0</v>
      </c>
      <c r="P982" s="42">
        <f>VLOOKUP($A982,'Neraca Unaudited SIMAK'!$A$2:$R$1272,15,FALSE)+IF(ISNA(VLOOKUP($A982,'Mutasi Neraca'!$A$3:$S$910,15,FALSE)),0,VLOOKUP($A982,'Mutasi Neraca'!$A$3:$S$910,15,FALSE))</f>
        <v>0</v>
      </c>
      <c r="Q982" s="42">
        <f>VLOOKUP($A982,'Neraca Unaudited SIMAK'!$A$2:$R$1272,16,FALSE)+IF(ISNA(VLOOKUP($A982,'Mutasi Neraca'!$A$3:$S$910,16,FALSE)),0,VLOOKUP($A982,'Mutasi Neraca'!$A$3:$S$910,16,FALSE))</f>
        <v>0</v>
      </c>
      <c r="R982" s="42">
        <f>VLOOKUP($A982,'Neraca Unaudited SIMAK'!$A$2:$R$1272,17,FALSE)+IF(ISNA(VLOOKUP($A982,'Mutasi Neraca'!$A$3:$S$910,17,FALSE)),0,VLOOKUP($A982,'Mutasi Neraca'!$A$3:$S$910,17,FALSE))</f>
        <v>0</v>
      </c>
      <c r="S982" s="42">
        <f t="shared" si="73"/>
        <v>1576600</v>
      </c>
    </row>
    <row r="983" spans="1:19">
      <c r="A983" s="41" t="s">
        <v>952</v>
      </c>
      <c r="B983" s="41" t="str">
        <f t="shared" si="72"/>
        <v>005030800</v>
      </c>
      <c r="D983" s="42">
        <f>VLOOKUP($A983,'Neraca Unaudited SIMAK'!$A$2:$R$1272,3,FALSE)+IF(ISNA(VLOOKUP($A983,'Mutasi Neraca'!$A$3:$S$910,3,FALSE)),0,VLOOKUP($A983,'Mutasi Neraca'!$A$3:$S$910,3,FALSE))</f>
        <v>6823483</v>
      </c>
      <c r="E983" s="42">
        <f>VLOOKUP($A983,'Neraca Unaudited SIMAK'!$A$2:$R$1272,4,FALSE)+IF(ISNA(VLOOKUP($A983,'Mutasi Neraca'!$A$3:$S$910,4,FALSE)),0,VLOOKUP($A983,'Mutasi Neraca'!$A$3:$S$910,4,FALSE))</f>
        <v>0</v>
      </c>
      <c r="F983" s="42">
        <f>VLOOKUP($A983,'Neraca Unaudited SIMAK'!$A$2:$R$1272,5,FALSE)+IF(ISNA(VLOOKUP($A983,'Mutasi Neraca'!$A$3:$S$910,5,FALSE)),0,VLOOKUP($A983,'Mutasi Neraca'!$A$3:$S$910,5,FALSE))</f>
        <v>0</v>
      </c>
      <c r="G983" s="42">
        <f>VLOOKUP($A983,'Neraca Unaudited SIMAK'!$A$2:$R$1272,6,FALSE)+IF(ISNA(VLOOKUP($A983,'Mutasi Neraca'!$A$3:$S$910,6,FALSE)),0,VLOOKUP($A983,'Mutasi Neraca'!$A$3:$S$910,6,FALSE))</f>
        <v>0</v>
      </c>
      <c r="H983" s="42">
        <f>VLOOKUP($A983,'Neraca Unaudited SIMAK'!$A$2:$R$1272,7,FALSE)+IF(ISNA(VLOOKUP($A983,'Mutasi Neraca'!$A$3:$S$910,7,FALSE)),0,VLOOKUP($A983,'Mutasi Neraca'!$A$3:$S$910,7,FALSE))</f>
        <v>0</v>
      </c>
      <c r="I983" s="42">
        <f>VLOOKUP($A983,'Neraca Unaudited SIMAK'!$A$2:$R$1272,8,FALSE)+IF(ISNA(VLOOKUP($A983,'Mutasi Neraca'!$A$3:$S$910,8,FALSE)),0,VLOOKUP($A983,'Mutasi Neraca'!$A$3:$S$910,8,FALSE))</f>
        <v>0</v>
      </c>
      <c r="J983" s="42">
        <f>VLOOKUP($A983,'Neraca Unaudited SIMAK'!$A$2:$R$1272,9,FALSE)+IF(ISNA(VLOOKUP($A983,'Mutasi Neraca'!$A$3:$S$910,9,FALSE)),0,VLOOKUP($A983,'Mutasi Neraca'!$A$3:$S$910,9,FALSE))</f>
        <v>0</v>
      </c>
      <c r="K983" s="42">
        <f>VLOOKUP($A983,'Neraca Unaudited SIMAK'!$A$2:$R$1272,10,FALSE)+IF(ISNA(VLOOKUP($A983,'Mutasi Neraca'!$A$3:$S$910,10,FALSE)),0,VLOOKUP($A983,'Mutasi Neraca'!$A$3:$S$910,10,FALSE))</f>
        <v>0</v>
      </c>
      <c r="L983" s="42">
        <f>VLOOKUP($A983,'Neraca Unaudited SIMAK'!$A$2:$R$1272,11,FALSE)+IF(ISNA(VLOOKUP($A983,'Mutasi Neraca'!$A$3:$S$910,11,FALSE)),0,VLOOKUP($A983,'Mutasi Neraca'!$A$3:$S$910,11,FALSE))</f>
        <v>0</v>
      </c>
      <c r="M983" s="42">
        <f>VLOOKUP($A983,'Neraca Unaudited SIMAK'!$A$2:$R$1272,12,FALSE)+IF(ISNA(VLOOKUP($A983,'Mutasi Neraca'!$A$3:$S$910,12,FALSE)),0,VLOOKUP($A983,'Mutasi Neraca'!$A$3:$S$910,12,FALSE))</f>
        <v>6823483</v>
      </c>
      <c r="N983" s="42">
        <f>VLOOKUP($A983,'Neraca Unaudited SIMAK'!$A$2:$R$1272,13,FALSE)+IF(ISNA(VLOOKUP($A983,'Mutasi Neraca'!$A$3:$S$910,13,FALSE)),0,VLOOKUP($A983,'Mutasi Neraca'!$A$3:$S$910,13,FALSE))</f>
        <v>0</v>
      </c>
      <c r="O983" s="42">
        <f>VLOOKUP($A983,'Neraca Unaudited SIMAK'!$A$2:$R$1272,14,FALSE)+IF(ISNA(VLOOKUP($A983,'Mutasi Neraca'!$A$3:$S$910,14,FALSE)),0,VLOOKUP($A983,'Mutasi Neraca'!$A$3:$S$910,14,FALSE))</f>
        <v>0</v>
      </c>
      <c r="P983" s="42">
        <f>VLOOKUP($A983,'Neraca Unaudited SIMAK'!$A$2:$R$1272,15,FALSE)+IF(ISNA(VLOOKUP($A983,'Mutasi Neraca'!$A$3:$S$910,15,FALSE)),0,VLOOKUP($A983,'Mutasi Neraca'!$A$3:$S$910,15,FALSE))</f>
        <v>0</v>
      </c>
      <c r="Q983" s="42">
        <f>VLOOKUP($A983,'Neraca Unaudited SIMAK'!$A$2:$R$1272,16,FALSE)+IF(ISNA(VLOOKUP($A983,'Mutasi Neraca'!$A$3:$S$910,16,FALSE)),0,VLOOKUP($A983,'Mutasi Neraca'!$A$3:$S$910,16,FALSE))</f>
        <v>0</v>
      </c>
      <c r="R983" s="42">
        <f>VLOOKUP($A983,'Neraca Unaudited SIMAK'!$A$2:$R$1272,17,FALSE)+IF(ISNA(VLOOKUP($A983,'Mutasi Neraca'!$A$3:$S$910,17,FALSE)),0,VLOOKUP($A983,'Mutasi Neraca'!$A$3:$S$910,17,FALSE))</f>
        <v>0</v>
      </c>
      <c r="S983" s="42">
        <f t="shared" si="73"/>
        <v>6823483</v>
      </c>
    </row>
    <row r="984" spans="1:19">
      <c r="A984" s="41" t="s">
        <v>953</v>
      </c>
      <c r="B984" s="41" t="str">
        <f t="shared" si="72"/>
        <v>005030900</v>
      </c>
      <c r="D984" s="42">
        <f>VLOOKUP($A984,'Neraca Unaudited SIMAK'!$A$2:$R$1272,3,FALSE)+IF(ISNA(VLOOKUP($A984,'Mutasi Neraca'!$A$3:$S$910,3,FALSE)),0,VLOOKUP($A984,'Mutasi Neraca'!$A$3:$S$910,3,FALSE))</f>
        <v>410000</v>
      </c>
      <c r="E984" s="42">
        <f>VLOOKUP($A984,'Neraca Unaudited SIMAK'!$A$2:$R$1272,4,FALSE)+IF(ISNA(VLOOKUP($A984,'Mutasi Neraca'!$A$3:$S$910,4,FALSE)),0,VLOOKUP($A984,'Mutasi Neraca'!$A$3:$S$910,4,FALSE))</f>
        <v>0</v>
      </c>
      <c r="F984" s="42">
        <f>VLOOKUP($A984,'Neraca Unaudited SIMAK'!$A$2:$R$1272,5,FALSE)+IF(ISNA(VLOOKUP($A984,'Mutasi Neraca'!$A$3:$S$910,5,FALSE)),0,VLOOKUP($A984,'Mutasi Neraca'!$A$3:$S$910,5,FALSE))</f>
        <v>0</v>
      </c>
      <c r="G984" s="42">
        <f>VLOOKUP($A984,'Neraca Unaudited SIMAK'!$A$2:$R$1272,6,FALSE)+IF(ISNA(VLOOKUP($A984,'Mutasi Neraca'!$A$3:$S$910,6,FALSE)),0,VLOOKUP($A984,'Mutasi Neraca'!$A$3:$S$910,6,FALSE))</f>
        <v>0</v>
      </c>
      <c r="H984" s="42">
        <f>VLOOKUP($A984,'Neraca Unaudited SIMAK'!$A$2:$R$1272,7,FALSE)+IF(ISNA(VLOOKUP($A984,'Mutasi Neraca'!$A$3:$S$910,7,FALSE)),0,VLOOKUP($A984,'Mutasi Neraca'!$A$3:$S$910,7,FALSE))</f>
        <v>0</v>
      </c>
      <c r="I984" s="42">
        <f>VLOOKUP($A984,'Neraca Unaudited SIMAK'!$A$2:$R$1272,8,FALSE)+IF(ISNA(VLOOKUP($A984,'Mutasi Neraca'!$A$3:$S$910,8,FALSE)),0,VLOOKUP($A984,'Mutasi Neraca'!$A$3:$S$910,8,FALSE))</f>
        <v>0</v>
      </c>
      <c r="J984" s="42">
        <f>VLOOKUP($A984,'Neraca Unaudited SIMAK'!$A$2:$R$1272,9,FALSE)+IF(ISNA(VLOOKUP($A984,'Mutasi Neraca'!$A$3:$S$910,9,FALSE)),0,VLOOKUP($A984,'Mutasi Neraca'!$A$3:$S$910,9,FALSE))</f>
        <v>0</v>
      </c>
      <c r="K984" s="42">
        <f>VLOOKUP($A984,'Neraca Unaudited SIMAK'!$A$2:$R$1272,10,FALSE)+IF(ISNA(VLOOKUP($A984,'Mutasi Neraca'!$A$3:$S$910,10,FALSE)),0,VLOOKUP($A984,'Mutasi Neraca'!$A$3:$S$910,10,FALSE))</f>
        <v>0</v>
      </c>
      <c r="L984" s="42">
        <f>VLOOKUP($A984,'Neraca Unaudited SIMAK'!$A$2:$R$1272,11,FALSE)+IF(ISNA(VLOOKUP($A984,'Mutasi Neraca'!$A$3:$S$910,11,FALSE)),0,VLOOKUP($A984,'Mutasi Neraca'!$A$3:$S$910,11,FALSE))</f>
        <v>0</v>
      </c>
      <c r="M984" s="42">
        <f>VLOOKUP($A984,'Neraca Unaudited SIMAK'!$A$2:$R$1272,12,FALSE)+IF(ISNA(VLOOKUP($A984,'Mutasi Neraca'!$A$3:$S$910,12,FALSE)),0,VLOOKUP($A984,'Mutasi Neraca'!$A$3:$S$910,12,FALSE))</f>
        <v>410000</v>
      </c>
      <c r="N984" s="42">
        <f>VLOOKUP($A984,'Neraca Unaudited SIMAK'!$A$2:$R$1272,13,FALSE)+IF(ISNA(VLOOKUP($A984,'Mutasi Neraca'!$A$3:$S$910,13,FALSE)),0,VLOOKUP($A984,'Mutasi Neraca'!$A$3:$S$910,13,FALSE))</f>
        <v>0</v>
      </c>
      <c r="O984" s="42">
        <f>VLOOKUP($A984,'Neraca Unaudited SIMAK'!$A$2:$R$1272,14,FALSE)+IF(ISNA(VLOOKUP($A984,'Mutasi Neraca'!$A$3:$S$910,14,FALSE)),0,VLOOKUP($A984,'Mutasi Neraca'!$A$3:$S$910,14,FALSE))</f>
        <v>0</v>
      </c>
      <c r="P984" s="42">
        <f>VLOOKUP($A984,'Neraca Unaudited SIMAK'!$A$2:$R$1272,15,FALSE)+IF(ISNA(VLOOKUP($A984,'Mutasi Neraca'!$A$3:$S$910,15,FALSE)),0,VLOOKUP($A984,'Mutasi Neraca'!$A$3:$S$910,15,FALSE))</f>
        <v>0</v>
      </c>
      <c r="Q984" s="42">
        <f>VLOOKUP($A984,'Neraca Unaudited SIMAK'!$A$2:$R$1272,16,FALSE)+IF(ISNA(VLOOKUP($A984,'Mutasi Neraca'!$A$3:$S$910,16,FALSE)),0,VLOOKUP($A984,'Mutasi Neraca'!$A$3:$S$910,16,FALSE))</f>
        <v>0</v>
      </c>
      <c r="R984" s="42">
        <f>VLOOKUP($A984,'Neraca Unaudited SIMAK'!$A$2:$R$1272,17,FALSE)+IF(ISNA(VLOOKUP($A984,'Mutasi Neraca'!$A$3:$S$910,17,FALSE)),0,VLOOKUP($A984,'Mutasi Neraca'!$A$3:$S$910,17,FALSE))</f>
        <v>0</v>
      </c>
      <c r="S984" s="42">
        <f t="shared" si="73"/>
        <v>410000</v>
      </c>
    </row>
    <row r="985" spans="1:19">
      <c r="A985" s="41" t="s">
        <v>954</v>
      </c>
      <c r="B985" s="41" t="str">
        <f t="shared" si="72"/>
        <v>005030900</v>
      </c>
      <c r="D985" s="42">
        <f>VLOOKUP($A985,'Neraca Unaudited SIMAK'!$A$2:$R$1272,3,FALSE)+IF(ISNA(VLOOKUP($A985,'Mutasi Neraca'!$A$3:$S$910,3,FALSE)),0,VLOOKUP($A985,'Mutasi Neraca'!$A$3:$S$910,3,FALSE))</f>
        <v>1302000</v>
      </c>
      <c r="E985" s="42">
        <f>VLOOKUP($A985,'Neraca Unaudited SIMAK'!$A$2:$R$1272,4,FALSE)+IF(ISNA(VLOOKUP($A985,'Mutasi Neraca'!$A$3:$S$910,4,FALSE)),0,VLOOKUP($A985,'Mutasi Neraca'!$A$3:$S$910,4,FALSE))</f>
        <v>0</v>
      </c>
      <c r="F985" s="42">
        <f>VLOOKUP($A985,'Neraca Unaudited SIMAK'!$A$2:$R$1272,5,FALSE)+IF(ISNA(VLOOKUP($A985,'Mutasi Neraca'!$A$3:$S$910,5,FALSE)),0,VLOOKUP($A985,'Mutasi Neraca'!$A$3:$S$910,5,FALSE))</f>
        <v>0</v>
      </c>
      <c r="G985" s="42">
        <f>VLOOKUP($A985,'Neraca Unaudited SIMAK'!$A$2:$R$1272,6,FALSE)+IF(ISNA(VLOOKUP($A985,'Mutasi Neraca'!$A$3:$S$910,6,FALSE)),0,VLOOKUP($A985,'Mutasi Neraca'!$A$3:$S$910,6,FALSE))</f>
        <v>0</v>
      </c>
      <c r="H985" s="42">
        <f>VLOOKUP($A985,'Neraca Unaudited SIMAK'!$A$2:$R$1272,7,FALSE)+IF(ISNA(VLOOKUP($A985,'Mutasi Neraca'!$A$3:$S$910,7,FALSE)),0,VLOOKUP($A985,'Mutasi Neraca'!$A$3:$S$910,7,FALSE))</f>
        <v>0</v>
      </c>
      <c r="I985" s="42">
        <f>VLOOKUP($A985,'Neraca Unaudited SIMAK'!$A$2:$R$1272,8,FALSE)+IF(ISNA(VLOOKUP($A985,'Mutasi Neraca'!$A$3:$S$910,8,FALSE)),0,VLOOKUP($A985,'Mutasi Neraca'!$A$3:$S$910,8,FALSE))</f>
        <v>0</v>
      </c>
      <c r="J985" s="42">
        <f>VLOOKUP($A985,'Neraca Unaudited SIMAK'!$A$2:$R$1272,9,FALSE)+IF(ISNA(VLOOKUP($A985,'Mutasi Neraca'!$A$3:$S$910,9,FALSE)),0,VLOOKUP($A985,'Mutasi Neraca'!$A$3:$S$910,9,FALSE))</f>
        <v>0</v>
      </c>
      <c r="K985" s="42">
        <f>VLOOKUP($A985,'Neraca Unaudited SIMAK'!$A$2:$R$1272,10,FALSE)+IF(ISNA(VLOOKUP($A985,'Mutasi Neraca'!$A$3:$S$910,10,FALSE)),0,VLOOKUP($A985,'Mutasi Neraca'!$A$3:$S$910,10,FALSE))</f>
        <v>0</v>
      </c>
      <c r="L985" s="42">
        <f>VLOOKUP($A985,'Neraca Unaudited SIMAK'!$A$2:$R$1272,11,FALSE)+IF(ISNA(VLOOKUP($A985,'Mutasi Neraca'!$A$3:$S$910,11,FALSE)),0,VLOOKUP($A985,'Mutasi Neraca'!$A$3:$S$910,11,FALSE))</f>
        <v>0</v>
      </c>
      <c r="M985" s="42">
        <f>VLOOKUP($A985,'Neraca Unaudited SIMAK'!$A$2:$R$1272,12,FALSE)+IF(ISNA(VLOOKUP($A985,'Mutasi Neraca'!$A$3:$S$910,12,FALSE)),0,VLOOKUP($A985,'Mutasi Neraca'!$A$3:$S$910,12,FALSE))</f>
        <v>1302000</v>
      </c>
      <c r="N985" s="42">
        <f>VLOOKUP($A985,'Neraca Unaudited SIMAK'!$A$2:$R$1272,13,FALSE)+IF(ISNA(VLOOKUP($A985,'Mutasi Neraca'!$A$3:$S$910,13,FALSE)),0,VLOOKUP($A985,'Mutasi Neraca'!$A$3:$S$910,13,FALSE))</f>
        <v>0</v>
      </c>
      <c r="O985" s="42">
        <f>VLOOKUP($A985,'Neraca Unaudited SIMAK'!$A$2:$R$1272,14,FALSE)+IF(ISNA(VLOOKUP($A985,'Mutasi Neraca'!$A$3:$S$910,14,FALSE)),0,VLOOKUP($A985,'Mutasi Neraca'!$A$3:$S$910,14,FALSE))</f>
        <v>0</v>
      </c>
      <c r="P985" s="42">
        <f>VLOOKUP($A985,'Neraca Unaudited SIMAK'!$A$2:$R$1272,15,FALSE)+IF(ISNA(VLOOKUP($A985,'Mutasi Neraca'!$A$3:$S$910,15,FALSE)),0,VLOOKUP($A985,'Mutasi Neraca'!$A$3:$S$910,15,FALSE))</f>
        <v>0</v>
      </c>
      <c r="Q985" s="42">
        <f>VLOOKUP($A985,'Neraca Unaudited SIMAK'!$A$2:$R$1272,16,FALSE)+IF(ISNA(VLOOKUP($A985,'Mutasi Neraca'!$A$3:$S$910,16,FALSE)),0,VLOOKUP($A985,'Mutasi Neraca'!$A$3:$S$910,16,FALSE))</f>
        <v>0</v>
      </c>
      <c r="R985" s="42">
        <f>VLOOKUP($A985,'Neraca Unaudited SIMAK'!$A$2:$R$1272,17,FALSE)+IF(ISNA(VLOOKUP($A985,'Mutasi Neraca'!$A$3:$S$910,17,FALSE)),0,VLOOKUP($A985,'Mutasi Neraca'!$A$3:$S$910,17,FALSE))</f>
        <v>0</v>
      </c>
      <c r="S985" s="42">
        <f t="shared" si="73"/>
        <v>1302000</v>
      </c>
    </row>
    <row r="986" spans="1:19">
      <c r="A986" s="41" t="s">
        <v>955</v>
      </c>
      <c r="B986" s="41" t="str">
        <f t="shared" si="72"/>
        <v>005030900</v>
      </c>
      <c r="D986" s="42">
        <f>VLOOKUP($A986,'Neraca Unaudited SIMAK'!$A$2:$R$1272,3,FALSE)+IF(ISNA(VLOOKUP($A986,'Mutasi Neraca'!$A$3:$S$910,3,FALSE)),0,VLOOKUP($A986,'Mutasi Neraca'!$A$3:$S$910,3,FALSE))</f>
        <v>1276000</v>
      </c>
      <c r="E986" s="42">
        <f>VLOOKUP($A986,'Neraca Unaudited SIMAK'!$A$2:$R$1272,4,FALSE)+IF(ISNA(VLOOKUP($A986,'Mutasi Neraca'!$A$3:$S$910,4,FALSE)),0,VLOOKUP($A986,'Mutasi Neraca'!$A$3:$S$910,4,FALSE))</f>
        <v>0</v>
      </c>
      <c r="F986" s="42">
        <f>VLOOKUP($A986,'Neraca Unaudited SIMAK'!$A$2:$R$1272,5,FALSE)+IF(ISNA(VLOOKUP($A986,'Mutasi Neraca'!$A$3:$S$910,5,FALSE)),0,VLOOKUP($A986,'Mutasi Neraca'!$A$3:$S$910,5,FALSE))</f>
        <v>0</v>
      </c>
      <c r="G986" s="42">
        <f>VLOOKUP($A986,'Neraca Unaudited SIMAK'!$A$2:$R$1272,6,FALSE)+IF(ISNA(VLOOKUP($A986,'Mutasi Neraca'!$A$3:$S$910,6,FALSE)),0,VLOOKUP($A986,'Mutasi Neraca'!$A$3:$S$910,6,FALSE))</f>
        <v>0</v>
      </c>
      <c r="H986" s="42">
        <f>VLOOKUP($A986,'Neraca Unaudited SIMAK'!$A$2:$R$1272,7,FALSE)+IF(ISNA(VLOOKUP($A986,'Mutasi Neraca'!$A$3:$S$910,7,FALSE)),0,VLOOKUP($A986,'Mutasi Neraca'!$A$3:$S$910,7,FALSE))</f>
        <v>0</v>
      </c>
      <c r="I986" s="42">
        <f>VLOOKUP($A986,'Neraca Unaudited SIMAK'!$A$2:$R$1272,8,FALSE)+IF(ISNA(VLOOKUP($A986,'Mutasi Neraca'!$A$3:$S$910,8,FALSE)),0,VLOOKUP($A986,'Mutasi Neraca'!$A$3:$S$910,8,FALSE))</f>
        <v>0</v>
      </c>
      <c r="J986" s="42">
        <f>VLOOKUP($A986,'Neraca Unaudited SIMAK'!$A$2:$R$1272,9,FALSE)+IF(ISNA(VLOOKUP($A986,'Mutasi Neraca'!$A$3:$S$910,9,FALSE)),0,VLOOKUP($A986,'Mutasi Neraca'!$A$3:$S$910,9,FALSE))</f>
        <v>0</v>
      </c>
      <c r="K986" s="42">
        <f>VLOOKUP($A986,'Neraca Unaudited SIMAK'!$A$2:$R$1272,10,FALSE)+IF(ISNA(VLOOKUP($A986,'Mutasi Neraca'!$A$3:$S$910,10,FALSE)),0,VLOOKUP($A986,'Mutasi Neraca'!$A$3:$S$910,10,FALSE))</f>
        <v>0</v>
      </c>
      <c r="L986" s="42">
        <f>VLOOKUP($A986,'Neraca Unaudited SIMAK'!$A$2:$R$1272,11,FALSE)+IF(ISNA(VLOOKUP($A986,'Mutasi Neraca'!$A$3:$S$910,11,FALSE)),0,VLOOKUP($A986,'Mutasi Neraca'!$A$3:$S$910,11,FALSE))</f>
        <v>0</v>
      </c>
      <c r="M986" s="42">
        <f>VLOOKUP($A986,'Neraca Unaudited SIMAK'!$A$2:$R$1272,12,FALSE)+IF(ISNA(VLOOKUP($A986,'Mutasi Neraca'!$A$3:$S$910,12,FALSE)),0,VLOOKUP($A986,'Mutasi Neraca'!$A$3:$S$910,12,FALSE))</f>
        <v>1276000</v>
      </c>
      <c r="N986" s="42">
        <f>VLOOKUP($A986,'Neraca Unaudited SIMAK'!$A$2:$R$1272,13,FALSE)+IF(ISNA(VLOOKUP($A986,'Mutasi Neraca'!$A$3:$S$910,13,FALSE)),0,VLOOKUP($A986,'Mutasi Neraca'!$A$3:$S$910,13,FALSE))</f>
        <v>0</v>
      </c>
      <c r="O986" s="42">
        <f>VLOOKUP($A986,'Neraca Unaudited SIMAK'!$A$2:$R$1272,14,FALSE)+IF(ISNA(VLOOKUP($A986,'Mutasi Neraca'!$A$3:$S$910,14,FALSE)),0,VLOOKUP($A986,'Mutasi Neraca'!$A$3:$S$910,14,FALSE))</f>
        <v>0</v>
      </c>
      <c r="P986" s="42">
        <f>VLOOKUP($A986,'Neraca Unaudited SIMAK'!$A$2:$R$1272,15,FALSE)+IF(ISNA(VLOOKUP($A986,'Mutasi Neraca'!$A$3:$S$910,15,FALSE)),0,VLOOKUP($A986,'Mutasi Neraca'!$A$3:$S$910,15,FALSE))</f>
        <v>0</v>
      </c>
      <c r="Q986" s="42">
        <f>VLOOKUP($A986,'Neraca Unaudited SIMAK'!$A$2:$R$1272,16,FALSE)+IF(ISNA(VLOOKUP($A986,'Mutasi Neraca'!$A$3:$S$910,16,FALSE)),0,VLOOKUP($A986,'Mutasi Neraca'!$A$3:$S$910,16,FALSE))</f>
        <v>0</v>
      </c>
      <c r="R986" s="42">
        <f>VLOOKUP($A986,'Neraca Unaudited SIMAK'!$A$2:$R$1272,17,FALSE)+IF(ISNA(VLOOKUP($A986,'Mutasi Neraca'!$A$3:$S$910,17,FALSE)),0,VLOOKUP($A986,'Mutasi Neraca'!$A$3:$S$910,17,FALSE))</f>
        <v>0</v>
      </c>
      <c r="S986" s="42">
        <f t="shared" si="73"/>
        <v>1276000</v>
      </c>
    </row>
    <row r="987" spans="1:19">
      <c r="A987" s="41" t="s">
        <v>956</v>
      </c>
      <c r="B987" s="41" t="str">
        <f t="shared" si="72"/>
        <v>005030900</v>
      </c>
      <c r="D987" s="42">
        <f>VLOOKUP($A987,'Neraca Unaudited SIMAK'!$A$2:$R$1272,3,FALSE)+IF(ISNA(VLOOKUP($A987,'Mutasi Neraca'!$A$3:$S$910,3,FALSE)),0,VLOOKUP($A987,'Mutasi Neraca'!$A$3:$S$910,3,FALSE))</f>
        <v>849360</v>
      </c>
      <c r="E987" s="42">
        <f>VLOOKUP($A987,'Neraca Unaudited SIMAK'!$A$2:$R$1272,4,FALSE)+IF(ISNA(VLOOKUP($A987,'Mutasi Neraca'!$A$3:$S$910,4,FALSE)),0,VLOOKUP($A987,'Mutasi Neraca'!$A$3:$S$910,4,FALSE))</f>
        <v>0</v>
      </c>
      <c r="F987" s="42">
        <f>VLOOKUP($A987,'Neraca Unaudited SIMAK'!$A$2:$R$1272,5,FALSE)+IF(ISNA(VLOOKUP($A987,'Mutasi Neraca'!$A$3:$S$910,5,FALSE)),0,VLOOKUP($A987,'Mutasi Neraca'!$A$3:$S$910,5,FALSE))</f>
        <v>0</v>
      </c>
      <c r="G987" s="42">
        <f>VLOOKUP($A987,'Neraca Unaudited SIMAK'!$A$2:$R$1272,6,FALSE)+IF(ISNA(VLOOKUP($A987,'Mutasi Neraca'!$A$3:$S$910,6,FALSE)),0,VLOOKUP($A987,'Mutasi Neraca'!$A$3:$S$910,6,FALSE))</f>
        <v>0</v>
      </c>
      <c r="H987" s="42">
        <f>VLOOKUP($A987,'Neraca Unaudited SIMAK'!$A$2:$R$1272,7,FALSE)+IF(ISNA(VLOOKUP($A987,'Mutasi Neraca'!$A$3:$S$910,7,FALSE)),0,VLOOKUP($A987,'Mutasi Neraca'!$A$3:$S$910,7,FALSE))</f>
        <v>0</v>
      </c>
      <c r="I987" s="42">
        <f>VLOOKUP($A987,'Neraca Unaudited SIMAK'!$A$2:$R$1272,8,FALSE)+IF(ISNA(VLOOKUP($A987,'Mutasi Neraca'!$A$3:$S$910,8,FALSE)),0,VLOOKUP($A987,'Mutasi Neraca'!$A$3:$S$910,8,FALSE))</f>
        <v>0</v>
      </c>
      <c r="J987" s="42">
        <f>VLOOKUP($A987,'Neraca Unaudited SIMAK'!$A$2:$R$1272,9,FALSE)+IF(ISNA(VLOOKUP($A987,'Mutasi Neraca'!$A$3:$S$910,9,FALSE)),0,VLOOKUP($A987,'Mutasi Neraca'!$A$3:$S$910,9,FALSE))</f>
        <v>0</v>
      </c>
      <c r="K987" s="42">
        <f>VLOOKUP($A987,'Neraca Unaudited SIMAK'!$A$2:$R$1272,10,FALSE)+IF(ISNA(VLOOKUP($A987,'Mutasi Neraca'!$A$3:$S$910,10,FALSE)),0,VLOOKUP($A987,'Mutasi Neraca'!$A$3:$S$910,10,FALSE))</f>
        <v>0</v>
      </c>
      <c r="L987" s="42">
        <f>VLOOKUP($A987,'Neraca Unaudited SIMAK'!$A$2:$R$1272,11,FALSE)+IF(ISNA(VLOOKUP($A987,'Mutasi Neraca'!$A$3:$S$910,11,FALSE)),0,VLOOKUP($A987,'Mutasi Neraca'!$A$3:$S$910,11,FALSE))</f>
        <v>0</v>
      </c>
      <c r="M987" s="42">
        <f>VLOOKUP($A987,'Neraca Unaudited SIMAK'!$A$2:$R$1272,12,FALSE)+IF(ISNA(VLOOKUP($A987,'Mutasi Neraca'!$A$3:$S$910,12,FALSE)),0,VLOOKUP($A987,'Mutasi Neraca'!$A$3:$S$910,12,FALSE))</f>
        <v>849360</v>
      </c>
      <c r="N987" s="42">
        <f>VLOOKUP($A987,'Neraca Unaudited SIMAK'!$A$2:$R$1272,13,FALSE)+IF(ISNA(VLOOKUP($A987,'Mutasi Neraca'!$A$3:$S$910,13,FALSE)),0,VLOOKUP($A987,'Mutasi Neraca'!$A$3:$S$910,13,FALSE))</f>
        <v>0</v>
      </c>
      <c r="O987" s="42">
        <f>VLOOKUP($A987,'Neraca Unaudited SIMAK'!$A$2:$R$1272,14,FALSE)+IF(ISNA(VLOOKUP($A987,'Mutasi Neraca'!$A$3:$S$910,14,FALSE)),0,VLOOKUP($A987,'Mutasi Neraca'!$A$3:$S$910,14,FALSE))</f>
        <v>0</v>
      </c>
      <c r="P987" s="42">
        <f>VLOOKUP($A987,'Neraca Unaudited SIMAK'!$A$2:$R$1272,15,FALSE)+IF(ISNA(VLOOKUP($A987,'Mutasi Neraca'!$A$3:$S$910,15,FALSE)),0,VLOOKUP($A987,'Mutasi Neraca'!$A$3:$S$910,15,FALSE))</f>
        <v>0</v>
      </c>
      <c r="Q987" s="42">
        <f>VLOOKUP($A987,'Neraca Unaudited SIMAK'!$A$2:$R$1272,16,FALSE)+IF(ISNA(VLOOKUP($A987,'Mutasi Neraca'!$A$3:$S$910,16,FALSE)),0,VLOOKUP($A987,'Mutasi Neraca'!$A$3:$S$910,16,FALSE))</f>
        <v>0</v>
      </c>
      <c r="R987" s="42">
        <f>VLOOKUP($A987,'Neraca Unaudited SIMAK'!$A$2:$R$1272,17,FALSE)+IF(ISNA(VLOOKUP($A987,'Mutasi Neraca'!$A$3:$S$910,17,FALSE)),0,VLOOKUP($A987,'Mutasi Neraca'!$A$3:$S$910,17,FALSE))</f>
        <v>0</v>
      </c>
      <c r="S987" s="42">
        <f t="shared" si="73"/>
        <v>849360</v>
      </c>
    </row>
    <row r="988" spans="1:19">
      <c r="A988" s="41" t="s">
        <v>957</v>
      </c>
      <c r="B988" s="41" t="str">
        <f t="shared" si="72"/>
        <v>005030900</v>
      </c>
      <c r="D988" s="42">
        <f>VLOOKUP($A988,'Neraca Unaudited SIMAK'!$A$2:$R$1272,3,FALSE)+IF(ISNA(VLOOKUP($A988,'Mutasi Neraca'!$A$3:$S$910,3,FALSE)),0,VLOOKUP($A988,'Mutasi Neraca'!$A$3:$S$910,3,FALSE))</f>
        <v>34110108</v>
      </c>
      <c r="E988" s="42">
        <f>VLOOKUP($A988,'Neraca Unaudited SIMAK'!$A$2:$R$1272,4,FALSE)+IF(ISNA(VLOOKUP($A988,'Mutasi Neraca'!$A$3:$S$910,4,FALSE)),0,VLOOKUP($A988,'Mutasi Neraca'!$A$3:$S$910,4,FALSE))</f>
        <v>0</v>
      </c>
      <c r="F988" s="42">
        <f>VLOOKUP($A988,'Neraca Unaudited SIMAK'!$A$2:$R$1272,5,FALSE)+IF(ISNA(VLOOKUP($A988,'Mutasi Neraca'!$A$3:$S$910,5,FALSE)),0,VLOOKUP($A988,'Mutasi Neraca'!$A$3:$S$910,5,FALSE))</f>
        <v>0</v>
      </c>
      <c r="G988" s="42">
        <f>VLOOKUP($A988,'Neraca Unaudited SIMAK'!$A$2:$R$1272,6,FALSE)+IF(ISNA(VLOOKUP($A988,'Mutasi Neraca'!$A$3:$S$910,6,FALSE)),0,VLOOKUP($A988,'Mutasi Neraca'!$A$3:$S$910,6,FALSE))</f>
        <v>0</v>
      </c>
      <c r="H988" s="42">
        <f>VLOOKUP($A988,'Neraca Unaudited SIMAK'!$A$2:$R$1272,7,FALSE)+IF(ISNA(VLOOKUP($A988,'Mutasi Neraca'!$A$3:$S$910,7,FALSE)),0,VLOOKUP($A988,'Mutasi Neraca'!$A$3:$S$910,7,FALSE))</f>
        <v>0</v>
      </c>
      <c r="I988" s="42">
        <f>VLOOKUP($A988,'Neraca Unaudited SIMAK'!$A$2:$R$1272,8,FALSE)+IF(ISNA(VLOOKUP($A988,'Mutasi Neraca'!$A$3:$S$910,8,FALSE)),0,VLOOKUP($A988,'Mutasi Neraca'!$A$3:$S$910,8,FALSE))</f>
        <v>0</v>
      </c>
      <c r="J988" s="42">
        <f>VLOOKUP($A988,'Neraca Unaudited SIMAK'!$A$2:$R$1272,9,FALSE)+IF(ISNA(VLOOKUP($A988,'Mutasi Neraca'!$A$3:$S$910,9,FALSE)),0,VLOOKUP($A988,'Mutasi Neraca'!$A$3:$S$910,9,FALSE))</f>
        <v>0</v>
      </c>
      <c r="K988" s="42">
        <f>VLOOKUP($A988,'Neraca Unaudited SIMAK'!$A$2:$R$1272,10,FALSE)+IF(ISNA(VLOOKUP($A988,'Mutasi Neraca'!$A$3:$S$910,10,FALSE)),0,VLOOKUP($A988,'Mutasi Neraca'!$A$3:$S$910,10,FALSE))</f>
        <v>0</v>
      </c>
      <c r="L988" s="42">
        <f>VLOOKUP($A988,'Neraca Unaudited SIMAK'!$A$2:$R$1272,11,FALSE)+IF(ISNA(VLOOKUP($A988,'Mutasi Neraca'!$A$3:$S$910,11,FALSE)),0,VLOOKUP($A988,'Mutasi Neraca'!$A$3:$S$910,11,FALSE))</f>
        <v>0</v>
      </c>
      <c r="M988" s="42">
        <f>VLOOKUP($A988,'Neraca Unaudited SIMAK'!$A$2:$R$1272,12,FALSE)+IF(ISNA(VLOOKUP($A988,'Mutasi Neraca'!$A$3:$S$910,12,FALSE)),0,VLOOKUP($A988,'Mutasi Neraca'!$A$3:$S$910,12,FALSE))</f>
        <v>34110108</v>
      </c>
      <c r="N988" s="42">
        <f>VLOOKUP($A988,'Neraca Unaudited SIMAK'!$A$2:$R$1272,13,FALSE)+IF(ISNA(VLOOKUP($A988,'Mutasi Neraca'!$A$3:$S$910,13,FALSE)),0,VLOOKUP($A988,'Mutasi Neraca'!$A$3:$S$910,13,FALSE))</f>
        <v>0</v>
      </c>
      <c r="O988" s="42">
        <f>VLOOKUP($A988,'Neraca Unaudited SIMAK'!$A$2:$R$1272,14,FALSE)+IF(ISNA(VLOOKUP($A988,'Mutasi Neraca'!$A$3:$S$910,14,FALSE)),0,VLOOKUP($A988,'Mutasi Neraca'!$A$3:$S$910,14,FALSE))</f>
        <v>0</v>
      </c>
      <c r="P988" s="42">
        <f>VLOOKUP($A988,'Neraca Unaudited SIMAK'!$A$2:$R$1272,15,FALSE)+IF(ISNA(VLOOKUP($A988,'Mutasi Neraca'!$A$3:$S$910,15,FALSE)),0,VLOOKUP($A988,'Mutasi Neraca'!$A$3:$S$910,15,FALSE))</f>
        <v>0</v>
      </c>
      <c r="Q988" s="42">
        <f>VLOOKUP($A988,'Neraca Unaudited SIMAK'!$A$2:$R$1272,16,FALSE)+IF(ISNA(VLOOKUP($A988,'Mutasi Neraca'!$A$3:$S$910,16,FALSE)),0,VLOOKUP($A988,'Mutasi Neraca'!$A$3:$S$910,16,FALSE))</f>
        <v>0</v>
      </c>
      <c r="R988" s="42">
        <f>VLOOKUP($A988,'Neraca Unaudited SIMAK'!$A$2:$R$1272,17,FALSE)+IF(ISNA(VLOOKUP($A988,'Mutasi Neraca'!$A$3:$S$910,17,FALSE)),0,VLOOKUP($A988,'Mutasi Neraca'!$A$3:$S$910,17,FALSE))</f>
        <v>0</v>
      </c>
      <c r="S988" s="42">
        <f t="shared" si="73"/>
        <v>34110108</v>
      </c>
    </row>
    <row r="989" spans="1:19">
      <c r="A989" s="41" t="s">
        <v>958</v>
      </c>
      <c r="B989" s="41" t="str">
        <f t="shared" si="72"/>
        <v>005030900</v>
      </c>
      <c r="D989" s="42">
        <f>VLOOKUP($A989,'Neraca Unaudited SIMAK'!$A$2:$R$1272,3,FALSE)+IF(ISNA(VLOOKUP($A989,'Mutasi Neraca'!$A$3:$S$910,3,FALSE)),0,VLOOKUP($A989,'Mutasi Neraca'!$A$3:$S$910,3,FALSE))</f>
        <v>259500</v>
      </c>
      <c r="E989" s="42">
        <f>VLOOKUP($A989,'Neraca Unaudited SIMAK'!$A$2:$R$1272,4,FALSE)+IF(ISNA(VLOOKUP($A989,'Mutasi Neraca'!$A$3:$S$910,4,FALSE)),0,VLOOKUP($A989,'Mutasi Neraca'!$A$3:$S$910,4,FALSE))</f>
        <v>0</v>
      </c>
      <c r="F989" s="42">
        <f>VLOOKUP($A989,'Neraca Unaudited SIMAK'!$A$2:$R$1272,5,FALSE)+IF(ISNA(VLOOKUP($A989,'Mutasi Neraca'!$A$3:$S$910,5,FALSE)),0,VLOOKUP($A989,'Mutasi Neraca'!$A$3:$S$910,5,FALSE))</f>
        <v>0</v>
      </c>
      <c r="G989" s="42">
        <f>VLOOKUP($A989,'Neraca Unaudited SIMAK'!$A$2:$R$1272,6,FALSE)+IF(ISNA(VLOOKUP($A989,'Mutasi Neraca'!$A$3:$S$910,6,FALSE)),0,VLOOKUP($A989,'Mutasi Neraca'!$A$3:$S$910,6,FALSE))</f>
        <v>0</v>
      </c>
      <c r="H989" s="42">
        <f>VLOOKUP($A989,'Neraca Unaudited SIMAK'!$A$2:$R$1272,7,FALSE)+IF(ISNA(VLOOKUP($A989,'Mutasi Neraca'!$A$3:$S$910,7,FALSE)),0,VLOOKUP($A989,'Mutasi Neraca'!$A$3:$S$910,7,FALSE))</f>
        <v>0</v>
      </c>
      <c r="I989" s="42">
        <f>VLOOKUP($A989,'Neraca Unaudited SIMAK'!$A$2:$R$1272,8,FALSE)+IF(ISNA(VLOOKUP($A989,'Mutasi Neraca'!$A$3:$S$910,8,FALSE)),0,VLOOKUP($A989,'Mutasi Neraca'!$A$3:$S$910,8,FALSE))</f>
        <v>0</v>
      </c>
      <c r="J989" s="42">
        <f>VLOOKUP($A989,'Neraca Unaudited SIMAK'!$A$2:$R$1272,9,FALSE)+IF(ISNA(VLOOKUP($A989,'Mutasi Neraca'!$A$3:$S$910,9,FALSE)),0,VLOOKUP($A989,'Mutasi Neraca'!$A$3:$S$910,9,FALSE))</f>
        <v>0</v>
      </c>
      <c r="K989" s="42">
        <f>VLOOKUP($A989,'Neraca Unaudited SIMAK'!$A$2:$R$1272,10,FALSE)+IF(ISNA(VLOOKUP($A989,'Mutasi Neraca'!$A$3:$S$910,10,FALSE)),0,VLOOKUP($A989,'Mutasi Neraca'!$A$3:$S$910,10,FALSE))</f>
        <v>0</v>
      </c>
      <c r="L989" s="42">
        <f>VLOOKUP($A989,'Neraca Unaudited SIMAK'!$A$2:$R$1272,11,FALSE)+IF(ISNA(VLOOKUP($A989,'Mutasi Neraca'!$A$3:$S$910,11,FALSE)),0,VLOOKUP($A989,'Mutasi Neraca'!$A$3:$S$910,11,FALSE))</f>
        <v>0</v>
      </c>
      <c r="M989" s="42">
        <f>VLOOKUP($A989,'Neraca Unaudited SIMAK'!$A$2:$R$1272,12,FALSE)+IF(ISNA(VLOOKUP($A989,'Mutasi Neraca'!$A$3:$S$910,12,FALSE)),0,VLOOKUP($A989,'Mutasi Neraca'!$A$3:$S$910,12,FALSE))</f>
        <v>259500</v>
      </c>
      <c r="N989" s="42">
        <f>VLOOKUP($A989,'Neraca Unaudited SIMAK'!$A$2:$R$1272,13,FALSE)+IF(ISNA(VLOOKUP($A989,'Mutasi Neraca'!$A$3:$S$910,13,FALSE)),0,VLOOKUP($A989,'Mutasi Neraca'!$A$3:$S$910,13,FALSE))</f>
        <v>0</v>
      </c>
      <c r="O989" s="42">
        <f>VLOOKUP($A989,'Neraca Unaudited SIMAK'!$A$2:$R$1272,14,FALSE)+IF(ISNA(VLOOKUP($A989,'Mutasi Neraca'!$A$3:$S$910,14,FALSE)),0,VLOOKUP($A989,'Mutasi Neraca'!$A$3:$S$910,14,FALSE))</f>
        <v>0</v>
      </c>
      <c r="P989" s="42">
        <f>VLOOKUP($A989,'Neraca Unaudited SIMAK'!$A$2:$R$1272,15,FALSE)+IF(ISNA(VLOOKUP($A989,'Mutasi Neraca'!$A$3:$S$910,15,FALSE)),0,VLOOKUP($A989,'Mutasi Neraca'!$A$3:$S$910,15,FALSE))</f>
        <v>0</v>
      </c>
      <c r="Q989" s="42">
        <f>VLOOKUP($A989,'Neraca Unaudited SIMAK'!$A$2:$R$1272,16,FALSE)+IF(ISNA(VLOOKUP($A989,'Mutasi Neraca'!$A$3:$S$910,16,FALSE)),0,VLOOKUP($A989,'Mutasi Neraca'!$A$3:$S$910,16,FALSE))</f>
        <v>0</v>
      </c>
      <c r="R989" s="42">
        <f>VLOOKUP($A989,'Neraca Unaudited SIMAK'!$A$2:$R$1272,17,FALSE)+IF(ISNA(VLOOKUP($A989,'Mutasi Neraca'!$A$3:$S$910,17,FALSE)),0,VLOOKUP($A989,'Mutasi Neraca'!$A$3:$S$910,17,FALSE))</f>
        <v>0</v>
      </c>
      <c r="S989" s="42">
        <f t="shared" si="73"/>
        <v>259500</v>
      </c>
    </row>
    <row r="990" spans="1:19">
      <c r="A990" s="41" t="s">
        <v>959</v>
      </c>
      <c r="B990" s="41" t="str">
        <f t="shared" si="72"/>
        <v>005030900</v>
      </c>
      <c r="D990" s="42">
        <f>VLOOKUP($A990,'Neraca Unaudited SIMAK'!$A$2:$R$1272,3,FALSE)+IF(ISNA(VLOOKUP($A990,'Mutasi Neraca'!$A$3:$S$910,3,FALSE)),0,VLOOKUP($A990,'Mutasi Neraca'!$A$3:$S$910,3,FALSE))</f>
        <v>10914682</v>
      </c>
      <c r="E990" s="42">
        <f>VLOOKUP($A990,'Neraca Unaudited SIMAK'!$A$2:$R$1272,4,FALSE)+IF(ISNA(VLOOKUP($A990,'Mutasi Neraca'!$A$3:$S$910,4,FALSE)),0,VLOOKUP($A990,'Mutasi Neraca'!$A$3:$S$910,4,FALSE))</f>
        <v>0</v>
      </c>
      <c r="F990" s="42">
        <f>VLOOKUP($A990,'Neraca Unaudited SIMAK'!$A$2:$R$1272,5,FALSE)+IF(ISNA(VLOOKUP($A990,'Mutasi Neraca'!$A$3:$S$910,5,FALSE)),0,VLOOKUP($A990,'Mutasi Neraca'!$A$3:$S$910,5,FALSE))</f>
        <v>0</v>
      </c>
      <c r="G990" s="42">
        <f>VLOOKUP($A990,'Neraca Unaudited SIMAK'!$A$2:$R$1272,6,FALSE)+IF(ISNA(VLOOKUP($A990,'Mutasi Neraca'!$A$3:$S$910,6,FALSE)),0,VLOOKUP($A990,'Mutasi Neraca'!$A$3:$S$910,6,FALSE))</f>
        <v>0</v>
      </c>
      <c r="H990" s="42">
        <f>VLOOKUP($A990,'Neraca Unaudited SIMAK'!$A$2:$R$1272,7,FALSE)+IF(ISNA(VLOOKUP($A990,'Mutasi Neraca'!$A$3:$S$910,7,FALSE)),0,VLOOKUP($A990,'Mutasi Neraca'!$A$3:$S$910,7,FALSE))</f>
        <v>0</v>
      </c>
      <c r="I990" s="42">
        <f>VLOOKUP($A990,'Neraca Unaudited SIMAK'!$A$2:$R$1272,8,FALSE)+IF(ISNA(VLOOKUP($A990,'Mutasi Neraca'!$A$3:$S$910,8,FALSE)),0,VLOOKUP($A990,'Mutasi Neraca'!$A$3:$S$910,8,FALSE))</f>
        <v>0</v>
      </c>
      <c r="J990" s="42">
        <f>VLOOKUP($A990,'Neraca Unaudited SIMAK'!$A$2:$R$1272,9,FALSE)+IF(ISNA(VLOOKUP($A990,'Mutasi Neraca'!$A$3:$S$910,9,FALSE)),0,VLOOKUP($A990,'Mutasi Neraca'!$A$3:$S$910,9,FALSE))</f>
        <v>0</v>
      </c>
      <c r="K990" s="42">
        <f>VLOOKUP($A990,'Neraca Unaudited SIMAK'!$A$2:$R$1272,10,FALSE)+IF(ISNA(VLOOKUP($A990,'Mutasi Neraca'!$A$3:$S$910,10,FALSE)),0,VLOOKUP($A990,'Mutasi Neraca'!$A$3:$S$910,10,FALSE))</f>
        <v>0</v>
      </c>
      <c r="L990" s="42">
        <f>VLOOKUP($A990,'Neraca Unaudited SIMAK'!$A$2:$R$1272,11,FALSE)+IF(ISNA(VLOOKUP($A990,'Mutasi Neraca'!$A$3:$S$910,11,FALSE)),0,VLOOKUP($A990,'Mutasi Neraca'!$A$3:$S$910,11,FALSE))</f>
        <v>0</v>
      </c>
      <c r="M990" s="42">
        <f>VLOOKUP($A990,'Neraca Unaudited SIMAK'!$A$2:$R$1272,12,FALSE)+IF(ISNA(VLOOKUP($A990,'Mutasi Neraca'!$A$3:$S$910,12,FALSE)),0,VLOOKUP($A990,'Mutasi Neraca'!$A$3:$S$910,12,FALSE))</f>
        <v>10914682</v>
      </c>
      <c r="N990" s="42">
        <f>VLOOKUP($A990,'Neraca Unaudited SIMAK'!$A$2:$R$1272,13,FALSE)+IF(ISNA(VLOOKUP($A990,'Mutasi Neraca'!$A$3:$S$910,13,FALSE)),0,VLOOKUP($A990,'Mutasi Neraca'!$A$3:$S$910,13,FALSE))</f>
        <v>0</v>
      </c>
      <c r="O990" s="42">
        <f>VLOOKUP($A990,'Neraca Unaudited SIMAK'!$A$2:$R$1272,14,FALSE)+IF(ISNA(VLOOKUP($A990,'Mutasi Neraca'!$A$3:$S$910,14,FALSE)),0,VLOOKUP($A990,'Mutasi Neraca'!$A$3:$S$910,14,FALSE))</f>
        <v>0</v>
      </c>
      <c r="P990" s="42">
        <f>VLOOKUP($A990,'Neraca Unaudited SIMAK'!$A$2:$R$1272,15,FALSE)+IF(ISNA(VLOOKUP($A990,'Mutasi Neraca'!$A$3:$S$910,15,FALSE)),0,VLOOKUP($A990,'Mutasi Neraca'!$A$3:$S$910,15,FALSE))</f>
        <v>0</v>
      </c>
      <c r="Q990" s="42">
        <f>VLOOKUP($A990,'Neraca Unaudited SIMAK'!$A$2:$R$1272,16,FALSE)+IF(ISNA(VLOOKUP($A990,'Mutasi Neraca'!$A$3:$S$910,16,FALSE)),0,VLOOKUP($A990,'Mutasi Neraca'!$A$3:$S$910,16,FALSE))</f>
        <v>0</v>
      </c>
      <c r="R990" s="42">
        <f>VLOOKUP($A990,'Neraca Unaudited SIMAK'!$A$2:$R$1272,17,FALSE)+IF(ISNA(VLOOKUP($A990,'Mutasi Neraca'!$A$3:$S$910,17,FALSE)),0,VLOOKUP($A990,'Mutasi Neraca'!$A$3:$S$910,17,FALSE))</f>
        <v>0</v>
      </c>
      <c r="S990" s="42">
        <f t="shared" si="73"/>
        <v>10914682</v>
      </c>
    </row>
    <row r="991" spans="1:19">
      <c r="A991" s="41" t="s">
        <v>960</v>
      </c>
      <c r="B991" s="41" t="str">
        <f t="shared" si="72"/>
        <v>005030900</v>
      </c>
      <c r="D991" s="42">
        <f>VLOOKUP($A991,'Neraca Unaudited SIMAK'!$A$2:$R$1272,3,FALSE)+IF(ISNA(VLOOKUP($A991,'Mutasi Neraca'!$A$3:$S$910,3,FALSE)),0,VLOOKUP($A991,'Mutasi Neraca'!$A$3:$S$910,3,FALSE))</f>
        <v>131200</v>
      </c>
      <c r="E991" s="42">
        <f>VLOOKUP($A991,'Neraca Unaudited SIMAK'!$A$2:$R$1272,4,FALSE)+IF(ISNA(VLOOKUP($A991,'Mutasi Neraca'!$A$3:$S$910,4,FALSE)),0,VLOOKUP($A991,'Mutasi Neraca'!$A$3:$S$910,4,FALSE))</f>
        <v>0</v>
      </c>
      <c r="F991" s="42">
        <f>VLOOKUP($A991,'Neraca Unaudited SIMAK'!$A$2:$R$1272,5,FALSE)+IF(ISNA(VLOOKUP($A991,'Mutasi Neraca'!$A$3:$S$910,5,FALSE)),0,VLOOKUP($A991,'Mutasi Neraca'!$A$3:$S$910,5,FALSE))</f>
        <v>0</v>
      </c>
      <c r="G991" s="42">
        <f>VLOOKUP($A991,'Neraca Unaudited SIMAK'!$A$2:$R$1272,6,FALSE)+IF(ISNA(VLOOKUP($A991,'Mutasi Neraca'!$A$3:$S$910,6,FALSE)),0,VLOOKUP($A991,'Mutasi Neraca'!$A$3:$S$910,6,FALSE))</f>
        <v>0</v>
      </c>
      <c r="H991" s="42">
        <f>VLOOKUP($A991,'Neraca Unaudited SIMAK'!$A$2:$R$1272,7,FALSE)+IF(ISNA(VLOOKUP($A991,'Mutasi Neraca'!$A$3:$S$910,7,FALSE)),0,VLOOKUP($A991,'Mutasi Neraca'!$A$3:$S$910,7,FALSE))</f>
        <v>0</v>
      </c>
      <c r="I991" s="42">
        <f>VLOOKUP($A991,'Neraca Unaudited SIMAK'!$A$2:$R$1272,8,FALSE)+IF(ISNA(VLOOKUP($A991,'Mutasi Neraca'!$A$3:$S$910,8,FALSE)),0,VLOOKUP($A991,'Mutasi Neraca'!$A$3:$S$910,8,FALSE))</f>
        <v>0</v>
      </c>
      <c r="J991" s="42">
        <f>VLOOKUP($A991,'Neraca Unaudited SIMAK'!$A$2:$R$1272,9,FALSE)+IF(ISNA(VLOOKUP($A991,'Mutasi Neraca'!$A$3:$S$910,9,FALSE)),0,VLOOKUP($A991,'Mutasi Neraca'!$A$3:$S$910,9,FALSE))</f>
        <v>0</v>
      </c>
      <c r="K991" s="42">
        <f>VLOOKUP($A991,'Neraca Unaudited SIMAK'!$A$2:$R$1272,10,FALSE)+IF(ISNA(VLOOKUP($A991,'Mutasi Neraca'!$A$3:$S$910,10,FALSE)),0,VLOOKUP($A991,'Mutasi Neraca'!$A$3:$S$910,10,FALSE))</f>
        <v>0</v>
      </c>
      <c r="L991" s="42">
        <f>VLOOKUP($A991,'Neraca Unaudited SIMAK'!$A$2:$R$1272,11,FALSE)+IF(ISNA(VLOOKUP($A991,'Mutasi Neraca'!$A$3:$S$910,11,FALSE)),0,VLOOKUP($A991,'Mutasi Neraca'!$A$3:$S$910,11,FALSE))</f>
        <v>0</v>
      </c>
      <c r="M991" s="42">
        <f>VLOOKUP($A991,'Neraca Unaudited SIMAK'!$A$2:$R$1272,12,FALSE)+IF(ISNA(VLOOKUP($A991,'Mutasi Neraca'!$A$3:$S$910,12,FALSE)),0,VLOOKUP($A991,'Mutasi Neraca'!$A$3:$S$910,12,FALSE))</f>
        <v>131200</v>
      </c>
      <c r="N991" s="42">
        <f>VLOOKUP($A991,'Neraca Unaudited SIMAK'!$A$2:$R$1272,13,FALSE)+IF(ISNA(VLOOKUP($A991,'Mutasi Neraca'!$A$3:$S$910,13,FALSE)),0,VLOOKUP($A991,'Mutasi Neraca'!$A$3:$S$910,13,FALSE))</f>
        <v>0</v>
      </c>
      <c r="O991" s="42">
        <f>VLOOKUP($A991,'Neraca Unaudited SIMAK'!$A$2:$R$1272,14,FALSE)+IF(ISNA(VLOOKUP($A991,'Mutasi Neraca'!$A$3:$S$910,14,FALSE)),0,VLOOKUP($A991,'Mutasi Neraca'!$A$3:$S$910,14,FALSE))</f>
        <v>0</v>
      </c>
      <c r="P991" s="42">
        <f>VLOOKUP($A991,'Neraca Unaudited SIMAK'!$A$2:$R$1272,15,FALSE)+IF(ISNA(VLOOKUP($A991,'Mutasi Neraca'!$A$3:$S$910,15,FALSE)),0,VLOOKUP($A991,'Mutasi Neraca'!$A$3:$S$910,15,FALSE))</f>
        <v>0</v>
      </c>
      <c r="Q991" s="42">
        <f>VLOOKUP($A991,'Neraca Unaudited SIMAK'!$A$2:$R$1272,16,FALSE)+IF(ISNA(VLOOKUP($A991,'Mutasi Neraca'!$A$3:$S$910,16,FALSE)),0,VLOOKUP($A991,'Mutasi Neraca'!$A$3:$S$910,16,FALSE))</f>
        <v>0</v>
      </c>
      <c r="R991" s="42">
        <f>VLOOKUP($A991,'Neraca Unaudited SIMAK'!$A$2:$R$1272,17,FALSE)+IF(ISNA(VLOOKUP($A991,'Mutasi Neraca'!$A$3:$S$910,17,FALSE)),0,VLOOKUP($A991,'Mutasi Neraca'!$A$3:$S$910,17,FALSE))</f>
        <v>0</v>
      </c>
      <c r="S991" s="42">
        <f t="shared" si="73"/>
        <v>131200</v>
      </c>
    </row>
    <row r="992" spans="1:19">
      <c r="A992" s="41" t="s">
        <v>961</v>
      </c>
      <c r="B992" s="41" t="str">
        <f t="shared" si="72"/>
        <v>005030900</v>
      </c>
      <c r="D992" s="42">
        <f>VLOOKUP($A992,'Neraca Unaudited SIMAK'!$A$2:$R$1272,3,FALSE)+IF(ISNA(VLOOKUP($A992,'Mutasi Neraca'!$A$3:$S$910,3,FALSE)),0,VLOOKUP($A992,'Mutasi Neraca'!$A$3:$S$910,3,FALSE))</f>
        <v>213000</v>
      </c>
      <c r="E992" s="42">
        <f>VLOOKUP($A992,'Neraca Unaudited SIMAK'!$A$2:$R$1272,4,FALSE)+IF(ISNA(VLOOKUP($A992,'Mutasi Neraca'!$A$3:$S$910,4,FALSE)),0,VLOOKUP($A992,'Mutasi Neraca'!$A$3:$S$910,4,FALSE))</f>
        <v>0</v>
      </c>
      <c r="F992" s="42">
        <f>VLOOKUP($A992,'Neraca Unaudited SIMAK'!$A$2:$R$1272,5,FALSE)+IF(ISNA(VLOOKUP($A992,'Mutasi Neraca'!$A$3:$S$910,5,FALSE)),0,VLOOKUP($A992,'Mutasi Neraca'!$A$3:$S$910,5,FALSE))</f>
        <v>0</v>
      </c>
      <c r="G992" s="42">
        <f>VLOOKUP($A992,'Neraca Unaudited SIMAK'!$A$2:$R$1272,6,FALSE)+IF(ISNA(VLOOKUP($A992,'Mutasi Neraca'!$A$3:$S$910,6,FALSE)),0,VLOOKUP($A992,'Mutasi Neraca'!$A$3:$S$910,6,FALSE))</f>
        <v>0</v>
      </c>
      <c r="H992" s="42">
        <f>VLOOKUP($A992,'Neraca Unaudited SIMAK'!$A$2:$R$1272,7,FALSE)+IF(ISNA(VLOOKUP($A992,'Mutasi Neraca'!$A$3:$S$910,7,FALSE)),0,VLOOKUP($A992,'Mutasi Neraca'!$A$3:$S$910,7,FALSE))</f>
        <v>0</v>
      </c>
      <c r="I992" s="42">
        <f>VLOOKUP($A992,'Neraca Unaudited SIMAK'!$A$2:$R$1272,8,FALSE)+IF(ISNA(VLOOKUP($A992,'Mutasi Neraca'!$A$3:$S$910,8,FALSE)),0,VLOOKUP($A992,'Mutasi Neraca'!$A$3:$S$910,8,FALSE))</f>
        <v>0</v>
      </c>
      <c r="J992" s="42">
        <f>VLOOKUP($A992,'Neraca Unaudited SIMAK'!$A$2:$R$1272,9,FALSE)+IF(ISNA(VLOOKUP($A992,'Mutasi Neraca'!$A$3:$S$910,9,FALSE)),0,VLOOKUP($A992,'Mutasi Neraca'!$A$3:$S$910,9,FALSE))</f>
        <v>0</v>
      </c>
      <c r="K992" s="42">
        <f>VLOOKUP($A992,'Neraca Unaudited SIMAK'!$A$2:$R$1272,10,FALSE)+IF(ISNA(VLOOKUP($A992,'Mutasi Neraca'!$A$3:$S$910,10,FALSE)),0,VLOOKUP($A992,'Mutasi Neraca'!$A$3:$S$910,10,FALSE))</f>
        <v>0</v>
      </c>
      <c r="L992" s="42">
        <f>VLOOKUP($A992,'Neraca Unaudited SIMAK'!$A$2:$R$1272,11,FALSE)+IF(ISNA(VLOOKUP($A992,'Mutasi Neraca'!$A$3:$S$910,11,FALSE)),0,VLOOKUP($A992,'Mutasi Neraca'!$A$3:$S$910,11,FALSE))</f>
        <v>0</v>
      </c>
      <c r="M992" s="42">
        <f>VLOOKUP($A992,'Neraca Unaudited SIMAK'!$A$2:$R$1272,12,FALSE)+IF(ISNA(VLOOKUP($A992,'Mutasi Neraca'!$A$3:$S$910,12,FALSE)),0,VLOOKUP($A992,'Mutasi Neraca'!$A$3:$S$910,12,FALSE))</f>
        <v>213000</v>
      </c>
      <c r="N992" s="42">
        <f>VLOOKUP($A992,'Neraca Unaudited SIMAK'!$A$2:$R$1272,13,FALSE)+IF(ISNA(VLOOKUP($A992,'Mutasi Neraca'!$A$3:$S$910,13,FALSE)),0,VLOOKUP($A992,'Mutasi Neraca'!$A$3:$S$910,13,FALSE))</f>
        <v>0</v>
      </c>
      <c r="O992" s="42">
        <f>VLOOKUP($A992,'Neraca Unaudited SIMAK'!$A$2:$R$1272,14,FALSE)+IF(ISNA(VLOOKUP($A992,'Mutasi Neraca'!$A$3:$S$910,14,FALSE)),0,VLOOKUP($A992,'Mutasi Neraca'!$A$3:$S$910,14,FALSE))</f>
        <v>0</v>
      </c>
      <c r="P992" s="42">
        <f>VLOOKUP($A992,'Neraca Unaudited SIMAK'!$A$2:$R$1272,15,FALSE)+IF(ISNA(VLOOKUP($A992,'Mutasi Neraca'!$A$3:$S$910,15,FALSE)),0,VLOOKUP($A992,'Mutasi Neraca'!$A$3:$S$910,15,FALSE))</f>
        <v>0</v>
      </c>
      <c r="Q992" s="42">
        <f>VLOOKUP($A992,'Neraca Unaudited SIMAK'!$A$2:$R$1272,16,FALSE)+IF(ISNA(VLOOKUP($A992,'Mutasi Neraca'!$A$3:$S$910,16,FALSE)),0,VLOOKUP($A992,'Mutasi Neraca'!$A$3:$S$910,16,FALSE))</f>
        <v>0</v>
      </c>
      <c r="R992" s="42">
        <f>VLOOKUP($A992,'Neraca Unaudited SIMAK'!$A$2:$R$1272,17,FALSE)+IF(ISNA(VLOOKUP($A992,'Mutasi Neraca'!$A$3:$S$910,17,FALSE)),0,VLOOKUP($A992,'Mutasi Neraca'!$A$3:$S$910,17,FALSE))</f>
        <v>0</v>
      </c>
      <c r="S992" s="42">
        <f t="shared" si="73"/>
        <v>213000</v>
      </c>
    </row>
    <row r="993" spans="1:19">
      <c r="A993" s="41" t="s">
        <v>2047</v>
      </c>
      <c r="B993" s="41" t="str">
        <f t="shared" si="72"/>
        <v>005030900</v>
      </c>
      <c r="D993" s="42">
        <f>VLOOKUP($A993,'Neraca Unaudited SIMAK'!$A$2:$R$1272,3,FALSE)+IF(ISNA(VLOOKUP($A993,'Mutasi Neraca'!$A$3:$S$910,3,FALSE)),0,VLOOKUP($A993,'Mutasi Neraca'!$A$3:$S$910,3,FALSE))</f>
        <v>4638596</v>
      </c>
      <c r="E993" s="42">
        <f>VLOOKUP($A993,'Neraca Unaudited SIMAK'!$A$2:$R$1272,4,FALSE)+IF(ISNA(VLOOKUP($A993,'Mutasi Neraca'!$A$3:$S$910,4,FALSE)),0,VLOOKUP($A993,'Mutasi Neraca'!$A$3:$S$910,4,FALSE))</f>
        <v>0</v>
      </c>
      <c r="F993" s="42">
        <f>VLOOKUP($A993,'Neraca Unaudited SIMAK'!$A$2:$R$1272,5,FALSE)+IF(ISNA(VLOOKUP($A993,'Mutasi Neraca'!$A$3:$S$910,5,FALSE)),0,VLOOKUP($A993,'Mutasi Neraca'!$A$3:$S$910,5,FALSE))</f>
        <v>0</v>
      </c>
      <c r="G993" s="42">
        <f>VLOOKUP($A993,'Neraca Unaudited SIMAK'!$A$2:$R$1272,6,FALSE)+IF(ISNA(VLOOKUP($A993,'Mutasi Neraca'!$A$3:$S$910,6,FALSE)),0,VLOOKUP($A993,'Mutasi Neraca'!$A$3:$S$910,6,FALSE))</f>
        <v>0</v>
      </c>
      <c r="H993" s="42">
        <f>VLOOKUP($A993,'Neraca Unaudited SIMAK'!$A$2:$R$1272,7,FALSE)+IF(ISNA(VLOOKUP($A993,'Mutasi Neraca'!$A$3:$S$910,7,FALSE)),0,VLOOKUP($A993,'Mutasi Neraca'!$A$3:$S$910,7,FALSE))</f>
        <v>0</v>
      </c>
      <c r="I993" s="42">
        <f>VLOOKUP($A993,'Neraca Unaudited SIMAK'!$A$2:$R$1272,8,FALSE)+IF(ISNA(VLOOKUP($A993,'Mutasi Neraca'!$A$3:$S$910,8,FALSE)),0,VLOOKUP($A993,'Mutasi Neraca'!$A$3:$S$910,8,FALSE))</f>
        <v>0</v>
      </c>
      <c r="J993" s="42">
        <f>VLOOKUP($A993,'Neraca Unaudited SIMAK'!$A$2:$R$1272,9,FALSE)+IF(ISNA(VLOOKUP($A993,'Mutasi Neraca'!$A$3:$S$910,9,FALSE)),0,VLOOKUP($A993,'Mutasi Neraca'!$A$3:$S$910,9,FALSE))</f>
        <v>0</v>
      </c>
      <c r="K993" s="42">
        <f>VLOOKUP($A993,'Neraca Unaudited SIMAK'!$A$2:$R$1272,10,FALSE)+IF(ISNA(VLOOKUP($A993,'Mutasi Neraca'!$A$3:$S$910,10,FALSE)),0,VLOOKUP($A993,'Mutasi Neraca'!$A$3:$S$910,10,FALSE))</f>
        <v>0</v>
      </c>
      <c r="L993" s="42">
        <f>VLOOKUP($A993,'Neraca Unaudited SIMAK'!$A$2:$R$1272,11,FALSE)+IF(ISNA(VLOOKUP($A993,'Mutasi Neraca'!$A$3:$S$910,11,FALSE)),0,VLOOKUP($A993,'Mutasi Neraca'!$A$3:$S$910,11,FALSE))</f>
        <v>0</v>
      </c>
      <c r="M993" s="42">
        <f>VLOOKUP($A993,'Neraca Unaudited SIMAK'!$A$2:$R$1272,12,FALSE)+IF(ISNA(VLOOKUP($A993,'Mutasi Neraca'!$A$3:$S$910,12,FALSE)),0,VLOOKUP($A993,'Mutasi Neraca'!$A$3:$S$910,12,FALSE))</f>
        <v>4638596</v>
      </c>
      <c r="N993" s="42">
        <f>VLOOKUP($A993,'Neraca Unaudited SIMAK'!$A$2:$R$1272,13,FALSE)+IF(ISNA(VLOOKUP($A993,'Mutasi Neraca'!$A$3:$S$910,13,FALSE)),0,VLOOKUP($A993,'Mutasi Neraca'!$A$3:$S$910,13,FALSE))</f>
        <v>0</v>
      </c>
      <c r="O993" s="42">
        <f>VLOOKUP($A993,'Neraca Unaudited SIMAK'!$A$2:$R$1272,14,FALSE)+IF(ISNA(VLOOKUP($A993,'Mutasi Neraca'!$A$3:$S$910,14,FALSE)),0,VLOOKUP($A993,'Mutasi Neraca'!$A$3:$S$910,14,FALSE))</f>
        <v>0</v>
      </c>
      <c r="P993" s="42">
        <f>VLOOKUP($A993,'Neraca Unaudited SIMAK'!$A$2:$R$1272,15,FALSE)+IF(ISNA(VLOOKUP($A993,'Mutasi Neraca'!$A$3:$S$910,15,FALSE)),0,VLOOKUP($A993,'Mutasi Neraca'!$A$3:$S$910,15,FALSE))</f>
        <v>0</v>
      </c>
      <c r="Q993" s="42">
        <f>VLOOKUP($A993,'Neraca Unaudited SIMAK'!$A$2:$R$1272,16,FALSE)+IF(ISNA(VLOOKUP($A993,'Mutasi Neraca'!$A$3:$S$910,16,FALSE)),0,VLOOKUP($A993,'Mutasi Neraca'!$A$3:$S$910,16,FALSE))</f>
        <v>0</v>
      </c>
      <c r="R993" s="42">
        <f>VLOOKUP($A993,'Neraca Unaudited SIMAK'!$A$2:$R$1272,17,FALSE)+IF(ISNA(VLOOKUP($A993,'Mutasi Neraca'!$A$3:$S$910,17,FALSE)),0,VLOOKUP($A993,'Mutasi Neraca'!$A$3:$S$910,17,FALSE))</f>
        <v>0</v>
      </c>
      <c r="S993" s="42">
        <f t="shared" si="73"/>
        <v>4638596</v>
      </c>
    </row>
    <row r="994" spans="1:19">
      <c r="A994" s="41" t="s">
        <v>962</v>
      </c>
      <c r="B994" s="41" t="str">
        <f t="shared" si="72"/>
        <v>005030900</v>
      </c>
      <c r="D994" s="42">
        <f>VLOOKUP($A994,'Neraca Unaudited SIMAK'!$A$2:$R$1272,3,FALSE)+IF(ISNA(VLOOKUP($A994,'Mutasi Neraca'!$A$3:$S$910,3,FALSE)),0,VLOOKUP($A994,'Mutasi Neraca'!$A$3:$S$910,3,FALSE))</f>
        <v>0</v>
      </c>
      <c r="E994" s="42">
        <f>VLOOKUP($A994,'Neraca Unaudited SIMAK'!$A$2:$R$1272,4,FALSE)+IF(ISNA(VLOOKUP($A994,'Mutasi Neraca'!$A$3:$S$910,4,FALSE)),0,VLOOKUP($A994,'Mutasi Neraca'!$A$3:$S$910,4,FALSE))</f>
        <v>0</v>
      </c>
      <c r="F994" s="42">
        <f>VLOOKUP($A994,'Neraca Unaudited SIMAK'!$A$2:$R$1272,5,FALSE)+IF(ISNA(VLOOKUP($A994,'Mutasi Neraca'!$A$3:$S$910,5,FALSE)),0,VLOOKUP($A994,'Mutasi Neraca'!$A$3:$S$910,5,FALSE))</f>
        <v>0</v>
      </c>
      <c r="G994" s="42">
        <f>VLOOKUP($A994,'Neraca Unaudited SIMAK'!$A$2:$R$1272,6,FALSE)+IF(ISNA(VLOOKUP($A994,'Mutasi Neraca'!$A$3:$S$910,6,FALSE)),0,VLOOKUP($A994,'Mutasi Neraca'!$A$3:$S$910,6,FALSE))</f>
        <v>0</v>
      </c>
      <c r="H994" s="42">
        <f>VLOOKUP($A994,'Neraca Unaudited SIMAK'!$A$2:$R$1272,7,FALSE)+IF(ISNA(VLOOKUP($A994,'Mutasi Neraca'!$A$3:$S$910,7,FALSE)),0,VLOOKUP($A994,'Mutasi Neraca'!$A$3:$S$910,7,FALSE))</f>
        <v>0</v>
      </c>
      <c r="I994" s="42">
        <f>VLOOKUP($A994,'Neraca Unaudited SIMAK'!$A$2:$R$1272,8,FALSE)+IF(ISNA(VLOOKUP($A994,'Mutasi Neraca'!$A$3:$S$910,8,FALSE)),0,VLOOKUP($A994,'Mutasi Neraca'!$A$3:$S$910,8,FALSE))</f>
        <v>0</v>
      </c>
      <c r="J994" s="42">
        <f>VLOOKUP($A994,'Neraca Unaudited SIMAK'!$A$2:$R$1272,9,FALSE)+IF(ISNA(VLOOKUP($A994,'Mutasi Neraca'!$A$3:$S$910,9,FALSE)),0,VLOOKUP($A994,'Mutasi Neraca'!$A$3:$S$910,9,FALSE))</f>
        <v>0</v>
      </c>
      <c r="K994" s="42">
        <f>VLOOKUP($A994,'Neraca Unaudited SIMAK'!$A$2:$R$1272,10,FALSE)+IF(ISNA(VLOOKUP($A994,'Mutasi Neraca'!$A$3:$S$910,10,FALSE)),0,VLOOKUP($A994,'Mutasi Neraca'!$A$3:$S$910,10,FALSE))</f>
        <v>0</v>
      </c>
      <c r="L994" s="42">
        <f>VLOOKUP($A994,'Neraca Unaudited SIMAK'!$A$2:$R$1272,11,FALSE)+IF(ISNA(VLOOKUP($A994,'Mutasi Neraca'!$A$3:$S$910,11,FALSE)),0,VLOOKUP($A994,'Mutasi Neraca'!$A$3:$S$910,11,FALSE))</f>
        <v>0</v>
      </c>
      <c r="M994" s="42">
        <f>VLOOKUP($A994,'Neraca Unaudited SIMAK'!$A$2:$R$1272,12,FALSE)+IF(ISNA(VLOOKUP($A994,'Mutasi Neraca'!$A$3:$S$910,12,FALSE)),0,VLOOKUP($A994,'Mutasi Neraca'!$A$3:$S$910,12,FALSE))</f>
        <v>0</v>
      </c>
      <c r="N994" s="42">
        <f>VLOOKUP($A994,'Neraca Unaudited SIMAK'!$A$2:$R$1272,13,FALSE)+IF(ISNA(VLOOKUP($A994,'Mutasi Neraca'!$A$3:$S$910,13,FALSE)),0,VLOOKUP($A994,'Mutasi Neraca'!$A$3:$S$910,13,FALSE))</f>
        <v>0</v>
      </c>
      <c r="O994" s="42">
        <f>VLOOKUP($A994,'Neraca Unaudited SIMAK'!$A$2:$R$1272,14,FALSE)+IF(ISNA(VLOOKUP($A994,'Mutasi Neraca'!$A$3:$S$910,14,FALSE)),0,VLOOKUP($A994,'Mutasi Neraca'!$A$3:$S$910,14,FALSE))</f>
        <v>0</v>
      </c>
      <c r="P994" s="42">
        <f>VLOOKUP($A994,'Neraca Unaudited SIMAK'!$A$2:$R$1272,15,FALSE)+IF(ISNA(VLOOKUP($A994,'Mutasi Neraca'!$A$3:$S$910,15,FALSE)),0,VLOOKUP($A994,'Mutasi Neraca'!$A$3:$S$910,15,FALSE))</f>
        <v>0</v>
      </c>
      <c r="Q994" s="42">
        <f>VLOOKUP($A994,'Neraca Unaudited SIMAK'!$A$2:$R$1272,16,FALSE)+IF(ISNA(VLOOKUP($A994,'Mutasi Neraca'!$A$3:$S$910,16,FALSE)),0,VLOOKUP($A994,'Mutasi Neraca'!$A$3:$S$910,16,FALSE))</f>
        <v>0</v>
      </c>
      <c r="R994" s="42">
        <f>VLOOKUP($A994,'Neraca Unaudited SIMAK'!$A$2:$R$1272,17,FALSE)+IF(ISNA(VLOOKUP($A994,'Mutasi Neraca'!$A$3:$S$910,17,FALSE)),0,VLOOKUP($A994,'Mutasi Neraca'!$A$3:$S$910,17,FALSE))</f>
        <v>0</v>
      </c>
      <c r="S994" s="42">
        <f t="shared" si="73"/>
        <v>0</v>
      </c>
    </row>
    <row r="995" spans="1:19">
      <c r="A995" s="41" t="s">
        <v>963</v>
      </c>
      <c r="B995" s="41" t="str">
        <f t="shared" si="72"/>
        <v>005031000</v>
      </c>
      <c r="D995" s="42">
        <f>VLOOKUP($A995,'Neraca Unaudited SIMAK'!$A$2:$R$1272,3,FALSE)+IF(ISNA(VLOOKUP($A995,'Mutasi Neraca'!$A$3:$S$910,3,FALSE)),0,VLOOKUP($A995,'Mutasi Neraca'!$A$3:$S$910,3,FALSE))</f>
        <v>16223270</v>
      </c>
      <c r="E995" s="42">
        <f>VLOOKUP($A995,'Neraca Unaudited SIMAK'!$A$2:$R$1272,4,FALSE)+IF(ISNA(VLOOKUP($A995,'Mutasi Neraca'!$A$3:$S$910,4,FALSE)),0,VLOOKUP($A995,'Mutasi Neraca'!$A$3:$S$910,4,FALSE))</f>
        <v>0</v>
      </c>
      <c r="F995" s="42">
        <f>VLOOKUP($A995,'Neraca Unaudited SIMAK'!$A$2:$R$1272,5,FALSE)+IF(ISNA(VLOOKUP($A995,'Mutasi Neraca'!$A$3:$S$910,5,FALSE)),0,VLOOKUP($A995,'Mutasi Neraca'!$A$3:$S$910,5,FALSE))</f>
        <v>0</v>
      </c>
      <c r="G995" s="42">
        <f>VLOOKUP($A995,'Neraca Unaudited SIMAK'!$A$2:$R$1272,6,FALSE)+IF(ISNA(VLOOKUP($A995,'Mutasi Neraca'!$A$3:$S$910,6,FALSE)),0,VLOOKUP($A995,'Mutasi Neraca'!$A$3:$S$910,6,FALSE))</f>
        <v>0</v>
      </c>
      <c r="H995" s="42">
        <f>VLOOKUP($A995,'Neraca Unaudited SIMAK'!$A$2:$R$1272,7,FALSE)+IF(ISNA(VLOOKUP($A995,'Mutasi Neraca'!$A$3:$S$910,7,FALSE)),0,VLOOKUP($A995,'Mutasi Neraca'!$A$3:$S$910,7,FALSE))</f>
        <v>0</v>
      </c>
      <c r="I995" s="42">
        <f>VLOOKUP($A995,'Neraca Unaudited SIMAK'!$A$2:$R$1272,8,FALSE)+IF(ISNA(VLOOKUP($A995,'Mutasi Neraca'!$A$3:$S$910,8,FALSE)),0,VLOOKUP($A995,'Mutasi Neraca'!$A$3:$S$910,8,FALSE))</f>
        <v>0</v>
      </c>
      <c r="J995" s="42">
        <f>VLOOKUP($A995,'Neraca Unaudited SIMAK'!$A$2:$R$1272,9,FALSE)+IF(ISNA(VLOOKUP($A995,'Mutasi Neraca'!$A$3:$S$910,9,FALSE)),0,VLOOKUP($A995,'Mutasi Neraca'!$A$3:$S$910,9,FALSE))</f>
        <v>0</v>
      </c>
      <c r="K995" s="42">
        <f>VLOOKUP($A995,'Neraca Unaudited SIMAK'!$A$2:$R$1272,10,FALSE)+IF(ISNA(VLOOKUP($A995,'Mutasi Neraca'!$A$3:$S$910,10,FALSE)),0,VLOOKUP($A995,'Mutasi Neraca'!$A$3:$S$910,10,FALSE))</f>
        <v>0</v>
      </c>
      <c r="L995" s="42">
        <f>VLOOKUP($A995,'Neraca Unaudited SIMAK'!$A$2:$R$1272,11,FALSE)+IF(ISNA(VLOOKUP($A995,'Mutasi Neraca'!$A$3:$S$910,11,FALSE)),0,VLOOKUP($A995,'Mutasi Neraca'!$A$3:$S$910,11,FALSE))</f>
        <v>0</v>
      </c>
      <c r="M995" s="42">
        <f>VLOOKUP($A995,'Neraca Unaudited SIMAK'!$A$2:$R$1272,12,FALSE)+IF(ISNA(VLOOKUP($A995,'Mutasi Neraca'!$A$3:$S$910,12,FALSE)),0,VLOOKUP($A995,'Mutasi Neraca'!$A$3:$S$910,12,FALSE))</f>
        <v>16223270</v>
      </c>
      <c r="N995" s="42">
        <f>VLOOKUP($A995,'Neraca Unaudited SIMAK'!$A$2:$R$1272,13,FALSE)+IF(ISNA(VLOOKUP($A995,'Mutasi Neraca'!$A$3:$S$910,13,FALSE)),0,VLOOKUP($A995,'Mutasi Neraca'!$A$3:$S$910,13,FALSE))</f>
        <v>0</v>
      </c>
      <c r="O995" s="42">
        <f>VLOOKUP($A995,'Neraca Unaudited SIMAK'!$A$2:$R$1272,14,FALSE)+IF(ISNA(VLOOKUP($A995,'Mutasi Neraca'!$A$3:$S$910,14,FALSE)),0,VLOOKUP($A995,'Mutasi Neraca'!$A$3:$S$910,14,FALSE))</f>
        <v>0</v>
      </c>
      <c r="P995" s="42">
        <f>VLOOKUP($A995,'Neraca Unaudited SIMAK'!$A$2:$R$1272,15,FALSE)+IF(ISNA(VLOOKUP($A995,'Mutasi Neraca'!$A$3:$S$910,15,FALSE)),0,VLOOKUP($A995,'Mutasi Neraca'!$A$3:$S$910,15,FALSE))</f>
        <v>0</v>
      </c>
      <c r="Q995" s="42">
        <f>VLOOKUP($A995,'Neraca Unaudited SIMAK'!$A$2:$R$1272,16,FALSE)+IF(ISNA(VLOOKUP($A995,'Mutasi Neraca'!$A$3:$S$910,16,FALSE)),0,VLOOKUP($A995,'Mutasi Neraca'!$A$3:$S$910,16,FALSE))</f>
        <v>0</v>
      </c>
      <c r="R995" s="42">
        <f>VLOOKUP($A995,'Neraca Unaudited SIMAK'!$A$2:$R$1272,17,FALSE)+IF(ISNA(VLOOKUP($A995,'Mutasi Neraca'!$A$3:$S$910,17,FALSE)),0,VLOOKUP($A995,'Mutasi Neraca'!$A$3:$S$910,17,FALSE))</f>
        <v>0</v>
      </c>
      <c r="S995" s="42">
        <f t="shared" si="73"/>
        <v>16223270</v>
      </c>
    </row>
    <row r="996" spans="1:19">
      <c r="A996" s="41" t="s">
        <v>964</v>
      </c>
      <c r="B996" s="41" t="str">
        <f t="shared" si="72"/>
        <v>005031000</v>
      </c>
      <c r="D996" s="42">
        <f>VLOOKUP($A996,'Neraca Unaudited SIMAK'!$A$2:$R$1272,3,FALSE)+IF(ISNA(VLOOKUP($A996,'Mutasi Neraca'!$A$3:$S$910,3,FALSE)),0,VLOOKUP($A996,'Mutasi Neraca'!$A$3:$S$910,3,FALSE))</f>
        <v>3719000</v>
      </c>
      <c r="E996" s="42">
        <f>VLOOKUP($A996,'Neraca Unaudited SIMAK'!$A$2:$R$1272,4,FALSE)+IF(ISNA(VLOOKUP($A996,'Mutasi Neraca'!$A$3:$S$910,4,FALSE)),0,VLOOKUP($A996,'Mutasi Neraca'!$A$3:$S$910,4,FALSE))</f>
        <v>0</v>
      </c>
      <c r="F996" s="42">
        <f>VLOOKUP($A996,'Neraca Unaudited SIMAK'!$A$2:$R$1272,5,FALSE)+IF(ISNA(VLOOKUP($A996,'Mutasi Neraca'!$A$3:$S$910,5,FALSE)),0,VLOOKUP($A996,'Mutasi Neraca'!$A$3:$S$910,5,FALSE))</f>
        <v>0</v>
      </c>
      <c r="G996" s="42">
        <f>VLOOKUP($A996,'Neraca Unaudited SIMAK'!$A$2:$R$1272,6,FALSE)+IF(ISNA(VLOOKUP($A996,'Mutasi Neraca'!$A$3:$S$910,6,FALSE)),0,VLOOKUP($A996,'Mutasi Neraca'!$A$3:$S$910,6,FALSE))</f>
        <v>0</v>
      </c>
      <c r="H996" s="42">
        <f>VLOOKUP($A996,'Neraca Unaudited SIMAK'!$A$2:$R$1272,7,FALSE)+IF(ISNA(VLOOKUP($A996,'Mutasi Neraca'!$A$3:$S$910,7,FALSE)),0,VLOOKUP($A996,'Mutasi Neraca'!$A$3:$S$910,7,FALSE))</f>
        <v>0</v>
      </c>
      <c r="I996" s="42">
        <f>VLOOKUP($A996,'Neraca Unaudited SIMAK'!$A$2:$R$1272,8,FALSE)+IF(ISNA(VLOOKUP($A996,'Mutasi Neraca'!$A$3:$S$910,8,FALSE)),0,VLOOKUP($A996,'Mutasi Neraca'!$A$3:$S$910,8,FALSE))</f>
        <v>0</v>
      </c>
      <c r="J996" s="42">
        <f>VLOOKUP($A996,'Neraca Unaudited SIMAK'!$A$2:$R$1272,9,FALSE)+IF(ISNA(VLOOKUP($A996,'Mutasi Neraca'!$A$3:$S$910,9,FALSE)),0,VLOOKUP($A996,'Mutasi Neraca'!$A$3:$S$910,9,FALSE))</f>
        <v>0</v>
      </c>
      <c r="K996" s="42">
        <f>VLOOKUP($A996,'Neraca Unaudited SIMAK'!$A$2:$R$1272,10,FALSE)+IF(ISNA(VLOOKUP($A996,'Mutasi Neraca'!$A$3:$S$910,10,FALSE)),0,VLOOKUP($A996,'Mutasi Neraca'!$A$3:$S$910,10,FALSE))</f>
        <v>0</v>
      </c>
      <c r="L996" s="42">
        <f>VLOOKUP($A996,'Neraca Unaudited SIMAK'!$A$2:$R$1272,11,FALSE)+IF(ISNA(VLOOKUP($A996,'Mutasi Neraca'!$A$3:$S$910,11,FALSE)),0,VLOOKUP($A996,'Mutasi Neraca'!$A$3:$S$910,11,FALSE))</f>
        <v>0</v>
      </c>
      <c r="M996" s="42">
        <f>VLOOKUP($A996,'Neraca Unaudited SIMAK'!$A$2:$R$1272,12,FALSE)+IF(ISNA(VLOOKUP($A996,'Mutasi Neraca'!$A$3:$S$910,12,FALSE)),0,VLOOKUP($A996,'Mutasi Neraca'!$A$3:$S$910,12,FALSE))</f>
        <v>3719000</v>
      </c>
      <c r="N996" s="42">
        <f>VLOOKUP($A996,'Neraca Unaudited SIMAK'!$A$2:$R$1272,13,FALSE)+IF(ISNA(VLOOKUP($A996,'Mutasi Neraca'!$A$3:$S$910,13,FALSE)),0,VLOOKUP($A996,'Mutasi Neraca'!$A$3:$S$910,13,FALSE))</f>
        <v>0</v>
      </c>
      <c r="O996" s="42">
        <f>VLOOKUP($A996,'Neraca Unaudited SIMAK'!$A$2:$R$1272,14,FALSE)+IF(ISNA(VLOOKUP($A996,'Mutasi Neraca'!$A$3:$S$910,14,FALSE)),0,VLOOKUP($A996,'Mutasi Neraca'!$A$3:$S$910,14,FALSE))</f>
        <v>0</v>
      </c>
      <c r="P996" s="42">
        <f>VLOOKUP($A996,'Neraca Unaudited SIMAK'!$A$2:$R$1272,15,FALSE)+IF(ISNA(VLOOKUP($A996,'Mutasi Neraca'!$A$3:$S$910,15,FALSE)),0,VLOOKUP($A996,'Mutasi Neraca'!$A$3:$S$910,15,FALSE))</f>
        <v>0</v>
      </c>
      <c r="Q996" s="42">
        <f>VLOOKUP($A996,'Neraca Unaudited SIMAK'!$A$2:$R$1272,16,FALSE)+IF(ISNA(VLOOKUP($A996,'Mutasi Neraca'!$A$3:$S$910,16,FALSE)),0,VLOOKUP($A996,'Mutasi Neraca'!$A$3:$S$910,16,FALSE))</f>
        <v>0</v>
      </c>
      <c r="R996" s="42">
        <f>VLOOKUP($A996,'Neraca Unaudited SIMAK'!$A$2:$R$1272,17,FALSE)+IF(ISNA(VLOOKUP($A996,'Mutasi Neraca'!$A$3:$S$910,17,FALSE)),0,VLOOKUP($A996,'Mutasi Neraca'!$A$3:$S$910,17,FALSE))</f>
        <v>0</v>
      </c>
      <c r="S996" s="42">
        <f t="shared" si="73"/>
        <v>3719000</v>
      </c>
    </row>
    <row r="997" spans="1:19">
      <c r="A997" s="41" t="s">
        <v>965</v>
      </c>
      <c r="B997" s="41" t="str">
        <f t="shared" si="72"/>
        <v>005031000</v>
      </c>
      <c r="D997" s="42">
        <f>VLOOKUP($A997,'Neraca Unaudited SIMAK'!$A$2:$R$1272,3,FALSE)+IF(ISNA(VLOOKUP($A997,'Mutasi Neraca'!$A$3:$S$910,3,FALSE)),0,VLOOKUP($A997,'Mutasi Neraca'!$A$3:$S$910,3,FALSE))</f>
        <v>683900</v>
      </c>
      <c r="E997" s="42">
        <f>VLOOKUP($A997,'Neraca Unaudited SIMAK'!$A$2:$R$1272,4,FALSE)+IF(ISNA(VLOOKUP($A997,'Mutasi Neraca'!$A$3:$S$910,4,FALSE)),0,VLOOKUP($A997,'Mutasi Neraca'!$A$3:$S$910,4,FALSE))</f>
        <v>0</v>
      </c>
      <c r="F997" s="42">
        <f>VLOOKUP($A997,'Neraca Unaudited SIMAK'!$A$2:$R$1272,5,FALSE)+IF(ISNA(VLOOKUP($A997,'Mutasi Neraca'!$A$3:$S$910,5,FALSE)),0,VLOOKUP($A997,'Mutasi Neraca'!$A$3:$S$910,5,FALSE))</f>
        <v>0</v>
      </c>
      <c r="G997" s="42">
        <f>VLOOKUP($A997,'Neraca Unaudited SIMAK'!$A$2:$R$1272,6,FALSE)+IF(ISNA(VLOOKUP($A997,'Mutasi Neraca'!$A$3:$S$910,6,FALSE)),0,VLOOKUP($A997,'Mutasi Neraca'!$A$3:$S$910,6,FALSE))</f>
        <v>0</v>
      </c>
      <c r="H997" s="42">
        <f>VLOOKUP($A997,'Neraca Unaudited SIMAK'!$A$2:$R$1272,7,FALSE)+IF(ISNA(VLOOKUP($A997,'Mutasi Neraca'!$A$3:$S$910,7,FALSE)),0,VLOOKUP($A997,'Mutasi Neraca'!$A$3:$S$910,7,FALSE))</f>
        <v>0</v>
      </c>
      <c r="I997" s="42">
        <f>VLOOKUP($A997,'Neraca Unaudited SIMAK'!$A$2:$R$1272,8,FALSE)+IF(ISNA(VLOOKUP($A997,'Mutasi Neraca'!$A$3:$S$910,8,FALSE)),0,VLOOKUP($A997,'Mutasi Neraca'!$A$3:$S$910,8,FALSE))</f>
        <v>0</v>
      </c>
      <c r="J997" s="42">
        <f>VLOOKUP($A997,'Neraca Unaudited SIMAK'!$A$2:$R$1272,9,FALSE)+IF(ISNA(VLOOKUP($A997,'Mutasi Neraca'!$A$3:$S$910,9,FALSE)),0,VLOOKUP($A997,'Mutasi Neraca'!$A$3:$S$910,9,FALSE))</f>
        <v>0</v>
      </c>
      <c r="K997" s="42">
        <f>VLOOKUP($A997,'Neraca Unaudited SIMAK'!$A$2:$R$1272,10,FALSE)+IF(ISNA(VLOOKUP($A997,'Mutasi Neraca'!$A$3:$S$910,10,FALSE)),0,VLOOKUP($A997,'Mutasi Neraca'!$A$3:$S$910,10,FALSE))</f>
        <v>0</v>
      </c>
      <c r="L997" s="42">
        <f>VLOOKUP($A997,'Neraca Unaudited SIMAK'!$A$2:$R$1272,11,FALSE)+IF(ISNA(VLOOKUP($A997,'Mutasi Neraca'!$A$3:$S$910,11,FALSE)),0,VLOOKUP($A997,'Mutasi Neraca'!$A$3:$S$910,11,FALSE))</f>
        <v>0</v>
      </c>
      <c r="M997" s="42">
        <f>VLOOKUP($A997,'Neraca Unaudited SIMAK'!$A$2:$R$1272,12,FALSE)+IF(ISNA(VLOOKUP($A997,'Mutasi Neraca'!$A$3:$S$910,12,FALSE)),0,VLOOKUP($A997,'Mutasi Neraca'!$A$3:$S$910,12,FALSE))</f>
        <v>683900</v>
      </c>
      <c r="N997" s="42">
        <f>VLOOKUP($A997,'Neraca Unaudited SIMAK'!$A$2:$R$1272,13,FALSE)+IF(ISNA(VLOOKUP($A997,'Mutasi Neraca'!$A$3:$S$910,13,FALSE)),0,VLOOKUP($A997,'Mutasi Neraca'!$A$3:$S$910,13,FALSE))</f>
        <v>0</v>
      </c>
      <c r="O997" s="42">
        <f>VLOOKUP($A997,'Neraca Unaudited SIMAK'!$A$2:$R$1272,14,FALSE)+IF(ISNA(VLOOKUP($A997,'Mutasi Neraca'!$A$3:$S$910,14,FALSE)),0,VLOOKUP($A997,'Mutasi Neraca'!$A$3:$S$910,14,FALSE))</f>
        <v>0</v>
      </c>
      <c r="P997" s="42">
        <f>VLOOKUP($A997,'Neraca Unaudited SIMAK'!$A$2:$R$1272,15,FALSE)+IF(ISNA(VLOOKUP($A997,'Mutasi Neraca'!$A$3:$S$910,15,FALSE)),0,VLOOKUP($A997,'Mutasi Neraca'!$A$3:$S$910,15,FALSE))</f>
        <v>0</v>
      </c>
      <c r="Q997" s="42">
        <f>VLOOKUP($A997,'Neraca Unaudited SIMAK'!$A$2:$R$1272,16,FALSE)+IF(ISNA(VLOOKUP($A997,'Mutasi Neraca'!$A$3:$S$910,16,FALSE)),0,VLOOKUP($A997,'Mutasi Neraca'!$A$3:$S$910,16,FALSE))</f>
        <v>0</v>
      </c>
      <c r="R997" s="42">
        <f>VLOOKUP($A997,'Neraca Unaudited SIMAK'!$A$2:$R$1272,17,FALSE)+IF(ISNA(VLOOKUP($A997,'Mutasi Neraca'!$A$3:$S$910,17,FALSE)),0,VLOOKUP($A997,'Mutasi Neraca'!$A$3:$S$910,17,FALSE))</f>
        <v>0</v>
      </c>
      <c r="S997" s="42">
        <f t="shared" si="73"/>
        <v>683900</v>
      </c>
    </row>
    <row r="998" spans="1:19">
      <c r="A998" s="41" t="s">
        <v>966</v>
      </c>
      <c r="B998" s="41" t="str">
        <f t="shared" si="72"/>
        <v>005031000</v>
      </c>
      <c r="D998" s="42">
        <f>VLOOKUP($A998,'Neraca Unaudited SIMAK'!$A$2:$R$1272,3,FALSE)+IF(ISNA(VLOOKUP($A998,'Mutasi Neraca'!$A$3:$S$910,3,FALSE)),0,VLOOKUP($A998,'Mutasi Neraca'!$A$3:$S$910,3,FALSE))</f>
        <v>332000</v>
      </c>
      <c r="E998" s="42">
        <f>VLOOKUP($A998,'Neraca Unaudited SIMAK'!$A$2:$R$1272,4,FALSE)+IF(ISNA(VLOOKUP($A998,'Mutasi Neraca'!$A$3:$S$910,4,FALSE)),0,VLOOKUP($A998,'Mutasi Neraca'!$A$3:$S$910,4,FALSE))</f>
        <v>0</v>
      </c>
      <c r="F998" s="42">
        <f>VLOOKUP($A998,'Neraca Unaudited SIMAK'!$A$2:$R$1272,5,FALSE)+IF(ISNA(VLOOKUP($A998,'Mutasi Neraca'!$A$3:$S$910,5,FALSE)),0,VLOOKUP($A998,'Mutasi Neraca'!$A$3:$S$910,5,FALSE))</f>
        <v>0</v>
      </c>
      <c r="G998" s="42">
        <f>VLOOKUP($A998,'Neraca Unaudited SIMAK'!$A$2:$R$1272,6,FALSE)+IF(ISNA(VLOOKUP($A998,'Mutasi Neraca'!$A$3:$S$910,6,FALSE)),0,VLOOKUP($A998,'Mutasi Neraca'!$A$3:$S$910,6,FALSE))</f>
        <v>0</v>
      </c>
      <c r="H998" s="42">
        <f>VLOOKUP($A998,'Neraca Unaudited SIMAK'!$A$2:$R$1272,7,FALSE)+IF(ISNA(VLOOKUP($A998,'Mutasi Neraca'!$A$3:$S$910,7,FALSE)),0,VLOOKUP($A998,'Mutasi Neraca'!$A$3:$S$910,7,FALSE))</f>
        <v>0</v>
      </c>
      <c r="I998" s="42">
        <f>VLOOKUP($A998,'Neraca Unaudited SIMAK'!$A$2:$R$1272,8,FALSE)+IF(ISNA(VLOOKUP($A998,'Mutasi Neraca'!$A$3:$S$910,8,FALSE)),0,VLOOKUP($A998,'Mutasi Neraca'!$A$3:$S$910,8,FALSE))</f>
        <v>0</v>
      </c>
      <c r="J998" s="42">
        <f>VLOOKUP($A998,'Neraca Unaudited SIMAK'!$A$2:$R$1272,9,FALSE)+IF(ISNA(VLOOKUP($A998,'Mutasi Neraca'!$A$3:$S$910,9,FALSE)),0,VLOOKUP($A998,'Mutasi Neraca'!$A$3:$S$910,9,FALSE))</f>
        <v>0</v>
      </c>
      <c r="K998" s="42">
        <f>VLOOKUP($A998,'Neraca Unaudited SIMAK'!$A$2:$R$1272,10,FALSE)+IF(ISNA(VLOOKUP($A998,'Mutasi Neraca'!$A$3:$S$910,10,FALSE)),0,VLOOKUP($A998,'Mutasi Neraca'!$A$3:$S$910,10,FALSE))</f>
        <v>0</v>
      </c>
      <c r="L998" s="42">
        <f>VLOOKUP($A998,'Neraca Unaudited SIMAK'!$A$2:$R$1272,11,FALSE)+IF(ISNA(VLOOKUP($A998,'Mutasi Neraca'!$A$3:$S$910,11,FALSE)),0,VLOOKUP($A998,'Mutasi Neraca'!$A$3:$S$910,11,FALSE))</f>
        <v>0</v>
      </c>
      <c r="M998" s="42">
        <f>VLOOKUP($A998,'Neraca Unaudited SIMAK'!$A$2:$R$1272,12,FALSE)+IF(ISNA(VLOOKUP($A998,'Mutasi Neraca'!$A$3:$S$910,12,FALSE)),0,VLOOKUP($A998,'Mutasi Neraca'!$A$3:$S$910,12,FALSE))</f>
        <v>332000</v>
      </c>
      <c r="N998" s="42">
        <f>VLOOKUP($A998,'Neraca Unaudited SIMAK'!$A$2:$R$1272,13,FALSE)+IF(ISNA(VLOOKUP($A998,'Mutasi Neraca'!$A$3:$S$910,13,FALSE)),0,VLOOKUP($A998,'Mutasi Neraca'!$A$3:$S$910,13,FALSE))</f>
        <v>0</v>
      </c>
      <c r="O998" s="42">
        <f>VLOOKUP($A998,'Neraca Unaudited SIMAK'!$A$2:$R$1272,14,FALSE)+IF(ISNA(VLOOKUP($A998,'Mutasi Neraca'!$A$3:$S$910,14,FALSE)),0,VLOOKUP($A998,'Mutasi Neraca'!$A$3:$S$910,14,FALSE))</f>
        <v>0</v>
      </c>
      <c r="P998" s="42">
        <f>VLOOKUP($A998,'Neraca Unaudited SIMAK'!$A$2:$R$1272,15,FALSE)+IF(ISNA(VLOOKUP($A998,'Mutasi Neraca'!$A$3:$S$910,15,FALSE)),0,VLOOKUP($A998,'Mutasi Neraca'!$A$3:$S$910,15,FALSE))</f>
        <v>0</v>
      </c>
      <c r="Q998" s="42">
        <f>VLOOKUP($A998,'Neraca Unaudited SIMAK'!$A$2:$R$1272,16,FALSE)+IF(ISNA(VLOOKUP($A998,'Mutasi Neraca'!$A$3:$S$910,16,FALSE)),0,VLOOKUP($A998,'Mutasi Neraca'!$A$3:$S$910,16,FALSE))</f>
        <v>0</v>
      </c>
      <c r="R998" s="42">
        <f>VLOOKUP($A998,'Neraca Unaudited SIMAK'!$A$2:$R$1272,17,FALSE)+IF(ISNA(VLOOKUP($A998,'Mutasi Neraca'!$A$3:$S$910,17,FALSE)),0,VLOOKUP($A998,'Mutasi Neraca'!$A$3:$S$910,17,FALSE))</f>
        <v>0</v>
      </c>
      <c r="S998" s="42">
        <f t="shared" si="73"/>
        <v>332000</v>
      </c>
    </row>
    <row r="999" spans="1:19">
      <c r="A999" s="41" t="s">
        <v>967</v>
      </c>
      <c r="B999" s="41" t="str">
        <f t="shared" si="72"/>
        <v>005031000</v>
      </c>
      <c r="D999" s="42">
        <f>VLOOKUP($A999,'Neraca Unaudited SIMAK'!$A$2:$R$1272,3,FALSE)+IF(ISNA(VLOOKUP($A999,'Mutasi Neraca'!$A$3:$S$910,3,FALSE)),0,VLOOKUP($A999,'Mutasi Neraca'!$A$3:$S$910,3,FALSE))</f>
        <v>863500</v>
      </c>
      <c r="E999" s="42">
        <f>VLOOKUP($A999,'Neraca Unaudited SIMAK'!$A$2:$R$1272,4,FALSE)+IF(ISNA(VLOOKUP($A999,'Mutasi Neraca'!$A$3:$S$910,4,FALSE)),0,VLOOKUP($A999,'Mutasi Neraca'!$A$3:$S$910,4,FALSE))</f>
        <v>0</v>
      </c>
      <c r="F999" s="42">
        <f>VLOOKUP($A999,'Neraca Unaudited SIMAK'!$A$2:$R$1272,5,FALSE)+IF(ISNA(VLOOKUP($A999,'Mutasi Neraca'!$A$3:$S$910,5,FALSE)),0,VLOOKUP($A999,'Mutasi Neraca'!$A$3:$S$910,5,FALSE))</f>
        <v>0</v>
      </c>
      <c r="G999" s="42">
        <f>VLOOKUP($A999,'Neraca Unaudited SIMAK'!$A$2:$R$1272,6,FALSE)+IF(ISNA(VLOOKUP($A999,'Mutasi Neraca'!$A$3:$S$910,6,FALSE)),0,VLOOKUP($A999,'Mutasi Neraca'!$A$3:$S$910,6,FALSE))</f>
        <v>0</v>
      </c>
      <c r="H999" s="42">
        <f>VLOOKUP($A999,'Neraca Unaudited SIMAK'!$A$2:$R$1272,7,FALSE)+IF(ISNA(VLOOKUP($A999,'Mutasi Neraca'!$A$3:$S$910,7,FALSE)),0,VLOOKUP($A999,'Mutasi Neraca'!$A$3:$S$910,7,FALSE))</f>
        <v>0</v>
      </c>
      <c r="I999" s="42">
        <f>VLOOKUP($A999,'Neraca Unaudited SIMAK'!$A$2:$R$1272,8,FALSE)+IF(ISNA(VLOOKUP($A999,'Mutasi Neraca'!$A$3:$S$910,8,FALSE)),0,VLOOKUP($A999,'Mutasi Neraca'!$A$3:$S$910,8,FALSE))</f>
        <v>0</v>
      </c>
      <c r="J999" s="42">
        <f>VLOOKUP($A999,'Neraca Unaudited SIMAK'!$A$2:$R$1272,9,FALSE)+IF(ISNA(VLOOKUP($A999,'Mutasi Neraca'!$A$3:$S$910,9,FALSE)),0,VLOOKUP($A999,'Mutasi Neraca'!$A$3:$S$910,9,FALSE))</f>
        <v>0</v>
      </c>
      <c r="K999" s="42">
        <f>VLOOKUP($A999,'Neraca Unaudited SIMAK'!$A$2:$R$1272,10,FALSE)+IF(ISNA(VLOOKUP($A999,'Mutasi Neraca'!$A$3:$S$910,10,FALSE)),0,VLOOKUP($A999,'Mutasi Neraca'!$A$3:$S$910,10,FALSE))</f>
        <v>0</v>
      </c>
      <c r="L999" s="42">
        <f>VLOOKUP($A999,'Neraca Unaudited SIMAK'!$A$2:$R$1272,11,FALSE)+IF(ISNA(VLOOKUP($A999,'Mutasi Neraca'!$A$3:$S$910,11,FALSE)),0,VLOOKUP($A999,'Mutasi Neraca'!$A$3:$S$910,11,FALSE))</f>
        <v>0</v>
      </c>
      <c r="M999" s="42">
        <f>VLOOKUP($A999,'Neraca Unaudited SIMAK'!$A$2:$R$1272,12,FALSE)+IF(ISNA(VLOOKUP($A999,'Mutasi Neraca'!$A$3:$S$910,12,FALSE)),0,VLOOKUP($A999,'Mutasi Neraca'!$A$3:$S$910,12,FALSE))</f>
        <v>863500</v>
      </c>
      <c r="N999" s="42">
        <f>VLOOKUP($A999,'Neraca Unaudited SIMAK'!$A$2:$R$1272,13,FALSE)+IF(ISNA(VLOOKUP($A999,'Mutasi Neraca'!$A$3:$S$910,13,FALSE)),0,VLOOKUP($A999,'Mutasi Neraca'!$A$3:$S$910,13,FALSE))</f>
        <v>0</v>
      </c>
      <c r="O999" s="42">
        <f>VLOOKUP($A999,'Neraca Unaudited SIMAK'!$A$2:$R$1272,14,FALSE)+IF(ISNA(VLOOKUP($A999,'Mutasi Neraca'!$A$3:$S$910,14,FALSE)),0,VLOOKUP($A999,'Mutasi Neraca'!$A$3:$S$910,14,FALSE))</f>
        <v>0</v>
      </c>
      <c r="P999" s="42">
        <f>VLOOKUP($A999,'Neraca Unaudited SIMAK'!$A$2:$R$1272,15,FALSE)+IF(ISNA(VLOOKUP($A999,'Mutasi Neraca'!$A$3:$S$910,15,FALSE)),0,VLOOKUP($A999,'Mutasi Neraca'!$A$3:$S$910,15,FALSE))</f>
        <v>0</v>
      </c>
      <c r="Q999" s="42">
        <f>VLOOKUP($A999,'Neraca Unaudited SIMAK'!$A$2:$R$1272,16,FALSE)+IF(ISNA(VLOOKUP($A999,'Mutasi Neraca'!$A$3:$S$910,16,FALSE)),0,VLOOKUP($A999,'Mutasi Neraca'!$A$3:$S$910,16,FALSE))</f>
        <v>0</v>
      </c>
      <c r="R999" s="42">
        <f>VLOOKUP($A999,'Neraca Unaudited SIMAK'!$A$2:$R$1272,17,FALSE)+IF(ISNA(VLOOKUP($A999,'Mutasi Neraca'!$A$3:$S$910,17,FALSE)),0,VLOOKUP($A999,'Mutasi Neraca'!$A$3:$S$910,17,FALSE))</f>
        <v>0</v>
      </c>
      <c r="S999" s="42">
        <f t="shared" si="73"/>
        <v>863500</v>
      </c>
    </row>
    <row r="1000" spans="1:19">
      <c r="A1000" s="41" t="s">
        <v>968</v>
      </c>
      <c r="B1000" s="41" t="str">
        <f t="shared" si="72"/>
        <v>005031000</v>
      </c>
      <c r="D1000" s="42">
        <f>VLOOKUP($A1000,'Neraca Unaudited SIMAK'!$A$2:$R$1272,3,FALSE)+IF(ISNA(VLOOKUP($A1000,'Mutasi Neraca'!$A$3:$S$910,3,FALSE)),0,VLOOKUP($A1000,'Mutasi Neraca'!$A$3:$S$910,3,FALSE))</f>
        <v>3220541</v>
      </c>
      <c r="E1000" s="42">
        <f>VLOOKUP($A1000,'Neraca Unaudited SIMAK'!$A$2:$R$1272,4,FALSE)+IF(ISNA(VLOOKUP($A1000,'Mutasi Neraca'!$A$3:$S$910,4,FALSE)),0,VLOOKUP($A1000,'Mutasi Neraca'!$A$3:$S$910,4,FALSE))</f>
        <v>0</v>
      </c>
      <c r="F1000" s="42">
        <f>VLOOKUP($A1000,'Neraca Unaudited SIMAK'!$A$2:$R$1272,5,FALSE)+IF(ISNA(VLOOKUP($A1000,'Mutasi Neraca'!$A$3:$S$910,5,FALSE)),0,VLOOKUP($A1000,'Mutasi Neraca'!$A$3:$S$910,5,FALSE))</f>
        <v>0</v>
      </c>
      <c r="G1000" s="42">
        <f>VLOOKUP($A1000,'Neraca Unaudited SIMAK'!$A$2:$R$1272,6,FALSE)+IF(ISNA(VLOOKUP($A1000,'Mutasi Neraca'!$A$3:$S$910,6,FALSE)),0,VLOOKUP($A1000,'Mutasi Neraca'!$A$3:$S$910,6,FALSE))</f>
        <v>0</v>
      </c>
      <c r="H1000" s="42">
        <f>VLOOKUP($A1000,'Neraca Unaudited SIMAK'!$A$2:$R$1272,7,FALSE)+IF(ISNA(VLOOKUP($A1000,'Mutasi Neraca'!$A$3:$S$910,7,FALSE)),0,VLOOKUP($A1000,'Mutasi Neraca'!$A$3:$S$910,7,FALSE))</f>
        <v>0</v>
      </c>
      <c r="I1000" s="42">
        <f>VLOOKUP($A1000,'Neraca Unaudited SIMAK'!$A$2:$R$1272,8,FALSE)+IF(ISNA(VLOOKUP($A1000,'Mutasi Neraca'!$A$3:$S$910,8,FALSE)),0,VLOOKUP($A1000,'Mutasi Neraca'!$A$3:$S$910,8,FALSE))</f>
        <v>0</v>
      </c>
      <c r="J1000" s="42">
        <f>VLOOKUP($A1000,'Neraca Unaudited SIMAK'!$A$2:$R$1272,9,FALSE)+IF(ISNA(VLOOKUP($A1000,'Mutasi Neraca'!$A$3:$S$910,9,FALSE)),0,VLOOKUP($A1000,'Mutasi Neraca'!$A$3:$S$910,9,FALSE))</f>
        <v>0</v>
      </c>
      <c r="K1000" s="42">
        <f>VLOOKUP($A1000,'Neraca Unaudited SIMAK'!$A$2:$R$1272,10,FALSE)+IF(ISNA(VLOOKUP($A1000,'Mutasi Neraca'!$A$3:$S$910,10,FALSE)),0,VLOOKUP($A1000,'Mutasi Neraca'!$A$3:$S$910,10,FALSE))</f>
        <v>0</v>
      </c>
      <c r="L1000" s="42">
        <f>VLOOKUP($A1000,'Neraca Unaudited SIMAK'!$A$2:$R$1272,11,FALSE)+IF(ISNA(VLOOKUP($A1000,'Mutasi Neraca'!$A$3:$S$910,11,FALSE)),0,VLOOKUP($A1000,'Mutasi Neraca'!$A$3:$S$910,11,FALSE))</f>
        <v>0</v>
      </c>
      <c r="M1000" s="42">
        <f>VLOOKUP($A1000,'Neraca Unaudited SIMAK'!$A$2:$R$1272,12,FALSE)+IF(ISNA(VLOOKUP($A1000,'Mutasi Neraca'!$A$3:$S$910,12,FALSE)),0,VLOOKUP($A1000,'Mutasi Neraca'!$A$3:$S$910,12,FALSE))</f>
        <v>3220541</v>
      </c>
      <c r="N1000" s="42">
        <f>VLOOKUP($A1000,'Neraca Unaudited SIMAK'!$A$2:$R$1272,13,FALSE)+IF(ISNA(VLOOKUP($A1000,'Mutasi Neraca'!$A$3:$S$910,13,FALSE)),0,VLOOKUP($A1000,'Mutasi Neraca'!$A$3:$S$910,13,FALSE))</f>
        <v>0</v>
      </c>
      <c r="O1000" s="42">
        <f>VLOOKUP($A1000,'Neraca Unaudited SIMAK'!$A$2:$R$1272,14,FALSE)+IF(ISNA(VLOOKUP($A1000,'Mutasi Neraca'!$A$3:$S$910,14,FALSE)),0,VLOOKUP($A1000,'Mutasi Neraca'!$A$3:$S$910,14,FALSE))</f>
        <v>0</v>
      </c>
      <c r="P1000" s="42">
        <f>VLOOKUP($A1000,'Neraca Unaudited SIMAK'!$A$2:$R$1272,15,FALSE)+IF(ISNA(VLOOKUP($A1000,'Mutasi Neraca'!$A$3:$S$910,15,FALSE)),0,VLOOKUP($A1000,'Mutasi Neraca'!$A$3:$S$910,15,FALSE))</f>
        <v>0</v>
      </c>
      <c r="Q1000" s="42">
        <f>VLOOKUP($A1000,'Neraca Unaudited SIMAK'!$A$2:$R$1272,16,FALSE)+IF(ISNA(VLOOKUP($A1000,'Mutasi Neraca'!$A$3:$S$910,16,FALSE)),0,VLOOKUP($A1000,'Mutasi Neraca'!$A$3:$S$910,16,FALSE))</f>
        <v>0</v>
      </c>
      <c r="R1000" s="42">
        <f>VLOOKUP($A1000,'Neraca Unaudited SIMAK'!$A$2:$R$1272,17,FALSE)+IF(ISNA(VLOOKUP($A1000,'Mutasi Neraca'!$A$3:$S$910,17,FALSE)),0,VLOOKUP($A1000,'Mutasi Neraca'!$A$3:$S$910,17,FALSE))</f>
        <v>0</v>
      </c>
      <c r="S1000" s="42">
        <f t="shared" si="73"/>
        <v>3220541</v>
      </c>
    </row>
    <row r="1001" spans="1:19">
      <c r="A1001" s="41" t="s">
        <v>969</v>
      </c>
      <c r="B1001" s="41" t="str">
        <f t="shared" si="72"/>
        <v>005031000</v>
      </c>
      <c r="D1001" s="42">
        <f>VLOOKUP($A1001,'Neraca Unaudited SIMAK'!$A$2:$R$1272,3,FALSE)+IF(ISNA(VLOOKUP($A1001,'Mutasi Neraca'!$A$3:$S$910,3,FALSE)),0,VLOOKUP($A1001,'Mutasi Neraca'!$A$3:$S$910,3,FALSE))</f>
        <v>36927600</v>
      </c>
      <c r="E1001" s="42">
        <f>VLOOKUP($A1001,'Neraca Unaudited SIMAK'!$A$2:$R$1272,4,FALSE)+IF(ISNA(VLOOKUP($A1001,'Mutasi Neraca'!$A$3:$S$910,4,FALSE)),0,VLOOKUP($A1001,'Mutasi Neraca'!$A$3:$S$910,4,FALSE))</f>
        <v>0</v>
      </c>
      <c r="F1001" s="42">
        <f>VLOOKUP($A1001,'Neraca Unaudited SIMAK'!$A$2:$R$1272,5,FALSE)+IF(ISNA(VLOOKUP($A1001,'Mutasi Neraca'!$A$3:$S$910,5,FALSE)),0,VLOOKUP($A1001,'Mutasi Neraca'!$A$3:$S$910,5,FALSE))</f>
        <v>0</v>
      </c>
      <c r="G1001" s="42">
        <f>VLOOKUP($A1001,'Neraca Unaudited SIMAK'!$A$2:$R$1272,6,FALSE)+IF(ISNA(VLOOKUP($A1001,'Mutasi Neraca'!$A$3:$S$910,6,FALSE)),0,VLOOKUP($A1001,'Mutasi Neraca'!$A$3:$S$910,6,FALSE))</f>
        <v>0</v>
      </c>
      <c r="H1001" s="42">
        <f>VLOOKUP($A1001,'Neraca Unaudited SIMAK'!$A$2:$R$1272,7,FALSE)+IF(ISNA(VLOOKUP($A1001,'Mutasi Neraca'!$A$3:$S$910,7,FALSE)),0,VLOOKUP($A1001,'Mutasi Neraca'!$A$3:$S$910,7,FALSE))</f>
        <v>0</v>
      </c>
      <c r="I1001" s="42">
        <f>VLOOKUP($A1001,'Neraca Unaudited SIMAK'!$A$2:$R$1272,8,FALSE)+IF(ISNA(VLOOKUP($A1001,'Mutasi Neraca'!$A$3:$S$910,8,FALSE)),0,VLOOKUP($A1001,'Mutasi Neraca'!$A$3:$S$910,8,FALSE))</f>
        <v>0</v>
      </c>
      <c r="J1001" s="42">
        <f>VLOOKUP($A1001,'Neraca Unaudited SIMAK'!$A$2:$R$1272,9,FALSE)+IF(ISNA(VLOOKUP($A1001,'Mutasi Neraca'!$A$3:$S$910,9,FALSE)),0,VLOOKUP($A1001,'Mutasi Neraca'!$A$3:$S$910,9,FALSE))</f>
        <v>0</v>
      </c>
      <c r="K1001" s="42">
        <f>VLOOKUP($A1001,'Neraca Unaudited SIMAK'!$A$2:$R$1272,10,FALSE)+IF(ISNA(VLOOKUP($A1001,'Mutasi Neraca'!$A$3:$S$910,10,FALSE)),0,VLOOKUP($A1001,'Mutasi Neraca'!$A$3:$S$910,10,FALSE))</f>
        <v>0</v>
      </c>
      <c r="L1001" s="42">
        <f>VLOOKUP($A1001,'Neraca Unaudited SIMAK'!$A$2:$R$1272,11,FALSE)+IF(ISNA(VLOOKUP($A1001,'Mutasi Neraca'!$A$3:$S$910,11,FALSE)),0,VLOOKUP($A1001,'Mutasi Neraca'!$A$3:$S$910,11,FALSE))</f>
        <v>0</v>
      </c>
      <c r="M1001" s="42">
        <f>VLOOKUP($A1001,'Neraca Unaudited SIMAK'!$A$2:$R$1272,12,FALSE)+IF(ISNA(VLOOKUP($A1001,'Mutasi Neraca'!$A$3:$S$910,12,FALSE)),0,VLOOKUP($A1001,'Mutasi Neraca'!$A$3:$S$910,12,FALSE))</f>
        <v>36927600</v>
      </c>
      <c r="N1001" s="42">
        <f>VLOOKUP($A1001,'Neraca Unaudited SIMAK'!$A$2:$R$1272,13,FALSE)+IF(ISNA(VLOOKUP($A1001,'Mutasi Neraca'!$A$3:$S$910,13,FALSE)),0,VLOOKUP($A1001,'Mutasi Neraca'!$A$3:$S$910,13,FALSE))</f>
        <v>0</v>
      </c>
      <c r="O1001" s="42">
        <f>VLOOKUP($A1001,'Neraca Unaudited SIMAK'!$A$2:$R$1272,14,FALSE)+IF(ISNA(VLOOKUP($A1001,'Mutasi Neraca'!$A$3:$S$910,14,FALSE)),0,VLOOKUP($A1001,'Mutasi Neraca'!$A$3:$S$910,14,FALSE))</f>
        <v>0</v>
      </c>
      <c r="P1001" s="42">
        <f>VLOOKUP($A1001,'Neraca Unaudited SIMAK'!$A$2:$R$1272,15,FALSE)+IF(ISNA(VLOOKUP($A1001,'Mutasi Neraca'!$A$3:$S$910,15,FALSE)),0,VLOOKUP($A1001,'Mutasi Neraca'!$A$3:$S$910,15,FALSE))</f>
        <v>0</v>
      </c>
      <c r="Q1001" s="42">
        <f>VLOOKUP($A1001,'Neraca Unaudited SIMAK'!$A$2:$R$1272,16,FALSE)+IF(ISNA(VLOOKUP($A1001,'Mutasi Neraca'!$A$3:$S$910,16,FALSE)),0,VLOOKUP($A1001,'Mutasi Neraca'!$A$3:$S$910,16,FALSE))</f>
        <v>0</v>
      </c>
      <c r="R1001" s="42">
        <f>VLOOKUP($A1001,'Neraca Unaudited SIMAK'!$A$2:$R$1272,17,FALSE)+IF(ISNA(VLOOKUP($A1001,'Mutasi Neraca'!$A$3:$S$910,17,FALSE)),0,VLOOKUP($A1001,'Mutasi Neraca'!$A$3:$S$910,17,FALSE))</f>
        <v>0</v>
      </c>
      <c r="S1001" s="42">
        <f t="shared" si="73"/>
        <v>36927600</v>
      </c>
    </row>
    <row r="1002" spans="1:19">
      <c r="A1002" s="41" t="s">
        <v>970</v>
      </c>
      <c r="B1002" s="41" t="str">
        <f t="shared" si="72"/>
        <v>005031000</v>
      </c>
      <c r="D1002" s="42">
        <f>VLOOKUP($A1002,'Neraca Unaudited SIMAK'!$A$2:$R$1272,3,FALSE)+IF(ISNA(VLOOKUP($A1002,'Mutasi Neraca'!$A$3:$S$910,3,FALSE)),0,VLOOKUP($A1002,'Mutasi Neraca'!$A$3:$S$910,3,FALSE))</f>
        <v>3703184</v>
      </c>
      <c r="E1002" s="42">
        <f>VLOOKUP($A1002,'Neraca Unaudited SIMAK'!$A$2:$R$1272,4,FALSE)+IF(ISNA(VLOOKUP($A1002,'Mutasi Neraca'!$A$3:$S$910,4,FALSE)),0,VLOOKUP($A1002,'Mutasi Neraca'!$A$3:$S$910,4,FALSE))</f>
        <v>0</v>
      </c>
      <c r="F1002" s="42">
        <f>VLOOKUP($A1002,'Neraca Unaudited SIMAK'!$A$2:$R$1272,5,FALSE)+IF(ISNA(VLOOKUP($A1002,'Mutasi Neraca'!$A$3:$S$910,5,FALSE)),0,VLOOKUP($A1002,'Mutasi Neraca'!$A$3:$S$910,5,FALSE))</f>
        <v>0</v>
      </c>
      <c r="G1002" s="42">
        <f>VLOOKUP($A1002,'Neraca Unaudited SIMAK'!$A$2:$R$1272,6,FALSE)+IF(ISNA(VLOOKUP($A1002,'Mutasi Neraca'!$A$3:$S$910,6,FALSE)),0,VLOOKUP($A1002,'Mutasi Neraca'!$A$3:$S$910,6,FALSE))</f>
        <v>0</v>
      </c>
      <c r="H1002" s="42">
        <f>VLOOKUP($A1002,'Neraca Unaudited SIMAK'!$A$2:$R$1272,7,FALSE)+IF(ISNA(VLOOKUP($A1002,'Mutasi Neraca'!$A$3:$S$910,7,FALSE)),0,VLOOKUP($A1002,'Mutasi Neraca'!$A$3:$S$910,7,FALSE))</f>
        <v>0</v>
      </c>
      <c r="I1002" s="42">
        <f>VLOOKUP($A1002,'Neraca Unaudited SIMAK'!$A$2:$R$1272,8,FALSE)+IF(ISNA(VLOOKUP($A1002,'Mutasi Neraca'!$A$3:$S$910,8,FALSE)),0,VLOOKUP($A1002,'Mutasi Neraca'!$A$3:$S$910,8,FALSE))</f>
        <v>0</v>
      </c>
      <c r="J1002" s="42">
        <f>VLOOKUP($A1002,'Neraca Unaudited SIMAK'!$A$2:$R$1272,9,FALSE)+IF(ISNA(VLOOKUP($A1002,'Mutasi Neraca'!$A$3:$S$910,9,FALSE)),0,VLOOKUP($A1002,'Mutasi Neraca'!$A$3:$S$910,9,FALSE))</f>
        <v>0</v>
      </c>
      <c r="K1002" s="42">
        <f>VLOOKUP($A1002,'Neraca Unaudited SIMAK'!$A$2:$R$1272,10,FALSE)+IF(ISNA(VLOOKUP($A1002,'Mutasi Neraca'!$A$3:$S$910,10,FALSE)),0,VLOOKUP($A1002,'Mutasi Neraca'!$A$3:$S$910,10,FALSE))</f>
        <v>0</v>
      </c>
      <c r="L1002" s="42">
        <f>VLOOKUP($A1002,'Neraca Unaudited SIMAK'!$A$2:$R$1272,11,FALSE)+IF(ISNA(VLOOKUP($A1002,'Mutasi Neraca'!$A$3:$S$910,11,FALSE)),0,VLOOKUP($A1002,'Mutasi Neraca'!$A$3:$S$910,11,FALSE))</f>
        <v>0</v>
      </c>
      <c r="M1002" s="42">
        <f>VLOOKUP($A1002,'Neraca Unaudited SIMAK'!$A$2:$R$1272,12,FALSE)+IF(ISNA(VLOOKUP($A1002,'Mutasi Neraca'!$A$3:$S$910,12,FALSE)),0,VLOOKUP($A1002,'Mutasi Neraca'!$A$3:$S$910,12,FALSE))</f>
        <v>3703184</v>
      </c>
      <c r="N1002" s="42">
        <f>VLOOKUP($A1002,'Neraca Unaudited SIMAK'!$A$2:$R$1272,13,FALSE)+IF(ISNA(VLOOKUP($A1002,'Mutasi Neraca'!$A$3:$S$910,13,FALSE)),0,VLOOKUP($A1002,'Mutasi Neraca'!$A$3:$S$910,13,FALSE))</f>
        <v>0</v>
      </c>
      <c r="O1002" s="42">
        <f>VLOOKUP($A1002,'Neraca Unaudited SIMAK'!$A$2:$R$1272,14,FALSE)+IF(ISNA(VLOOKUP($A1002,'Mutasi Neraca'!$A$3:$S$910,14,FALSE)),0,VLOOKUP($A1002,'Mutasi Neraca'!$A$3:$S$910,14,FALSE))</f>
        <v>0</v>
      </c>
      <c r="P1002" s="42">
        <f>VLOOKUP($A1002,'Neraca Unaudited SIMAK'!$A$2:$R$1272,15,FALSE)+IF(ISNA(VLOOKUP($A1002,'Mutasi Neraca'!$A$3:$S$910,15,FALSE)),0,VLOOKUP($A1002,'Mutasi Neraca'!$A$3:$S$910,15,FALSE))</f>
        <v>0</v>
      </c>
      <c r="Q1002" s="42">
        <f>VLOOKUP($A1002,'Neraca Unaudited SIMAK'!$A$2:$R$1272,16,FALSE)+IF(ISNA(VLOOKUP($A1002,'Mutasi Neraca'!$A$3:$S$910,16,FALSE)),0,VLOOKUP($A1002,'Mutasi Neraca'!$A$3:$S$910,16,FALSE))</f>
        <v>0</v>
      </c>
      <c r="R1002" s="42">
        <f>VLOOKUP($A1002,'Neraca Unaudited SIMAK'!$A$2:$R$1272,17,FALSE)+IF(ISNA(VLOOKUP($A1002,'Mutasi Neraca'!$A$3:$S$910,17,FALSE)),0,VLOOKUP($A1002,'Mutasi Neraca'!$A$3:$S$910,17,FALSE))</f>
        <v>0</v>
      </c>
      <c r="S1002" s="42">
        <f t="shared" si="73"/>
        <v>3703184</v>
      </c>
    </row>
    <row r="1003" spans="1:19">
      <c r="A1003" s="41" t="s">
        <v>971</v>
      </c>
      <c r="B1003" s="41" t="str">
        <f t="shared" si="72"/>
        <v>005031000</v>
      </c>
      <c r="D1003" s="42">
        <f>VLOOKUP($A1003,'Neraca Unaudited SIMAK'!$A$2:$R$1272,3,FALSE)+IF(ISNA(VLOOKUP($A1003,'Mutasi Neraca'!$A$3:$S$910,3,FALSE)),0,VLOOKUP($A1003,'Mutasi Neraca'!$A$3:$S$910,3,FALSE))</f>
        <v>6175050</v>
      </c>
      <c r="E1003" s="42">
        <f>VLOOKUP($A1003,'Neraca Unaudited SIMAK'!$A$2:$R$1272,4,FALSE)+IF(ISNA(VLOOKUP($A1003,'Mutasi Neraca'!$A$3:$S$910,4,FALSE)),0,VLOOKUP($A1003,'Mutasi Neraca'!$A$3:$S$910,4,FALSE))</f>
        <v>0</v>
      </c>
      <c r="F1003" s="42">
        <f>VLOOKUP($A1003,'Neraca Unaudited SIMAK'!$A$2:$R$1272,5,FALSE)+IF(ISNA(VLOOKUP($A1003,'Mutasi Neraca'!$A$3:$S$910,5,FALSE)),0,VLOOKUP($A1003,'Mutasi Neraca'!$A$3:$S$910,5,FALSE))</f>
        <v>0</v>
      </c>
      <c r="G1003" s="42">
        <f>VLOOKUP($A1003,'Neraca Unaudited SIMAK'!$A$2:$R$1272,6,FALSE)+IF(ISNA(VLOOKUP($A1003,'Mutasi Neraca'!$A$3:$S$910,6,FALSE)),0,VLOOKUP($A1003,'Mutasi Neraca'!$A$3:$S$910,6,FALSE))</f>
        <v>0</v>
      </c>
      <c r="H1003" s="42">
        <f>VLOOKUP($A1003,'Neraca Unaudited SIMAK'!$A$2:$R$1272,7,FALSE)+IF(ISNA(VLOOKUP($A1003,'Mutasi Neraca'!$A$3:$S$910,7,FALSE)),0,VLOOKUP($A1003,'Mutasi Neraca'!$A$3:$S$910,7,FALSE))</f>
        <v>0</v>
      </c>
      <c r="I1003" s="42">
        <f>VLOOKUP($A1003,'Neraca Unaudited SIMAK'!$A$2:$R$1272,8,FALSE)+IF(ISNA(VLOOKUP($A1003,'Mutasi Neraca'!$A$3:$S$910,8,FALSE)),0,VLOOKUP($A1003,'Mutasi Neraca'!$A$3:$S$910,8,FALSE))</f>
        <v>0</v>
      </c>
      <c r="J1003" s="42">
        <f>VLOOKUP($A1003,'Neraca Unaudited SIMAK'!$A$2:$R$1272,9,FALSE)+IF(ISNA(VLOOKUP($A1003,'Mutasi Neraca'!$A$3:$S$910,9,FALSE)),0,VLOOKUP($A1003,'Mutasi Neraca'!$A$3:$S$910,9,FALSE))</f>
        <v>0</v>
      </c>
      <c r="K1003" s="42">
        <f>VLOOKUP($A1003,'Neraca Unaudited SIMAK'!$A$2:$R$1272,10,FALSE)+IF(ISNA(VLOOKUP($A1003,'Mutasi Neraca'!$A$3:$S$910,10,FALSE)),0,VLOOKUP($A1003,'Mutasi Neraca'!$A$3:$S$910,10,FALSE))</f>
        <v>0</v>
      </c>
      <c r="L1003" s="42">
        <f>VLOOKUP($A1003,'Neraca Unaudited SIMAK'!$A$2:$R$1272,11,FALSE)+IF(ISNA(VLOOKUP($A1003,'Mutasi Neraca'!$A$3:$S$910,11,FALSE)),0,VLOOKUP($A1003,'Mutasi Neraca'!$A$3:$S$910,11,FALSE))</f>
        <v>0</v>
      </c>
      <c r="M1003" s="42">
        <f>VLOOKUP($A1003,'Neraca Unaudited SIMAK'!$A$2:$R$1272,12,FALSE)+IF(ISNA(VLOOKUP($A1003,'Mutasi Neraca'!$A$3:$S$910,12,FALSE)),0,VLOOKUP($A1003,'Mutasi Neraca'!$A$3:$S$910,12,FALSE))</f>
        <v>6175050</v>
      </c>
      <c r="N1003" s="42">
        <f>VLOOKUP($A1003,'Neraca Unaudited SIMAK'!$A$2:$R$1272,13,FALSE)+IF(ISNA(VLOOKUP($A1003,'Mutasi Neraca'!$A$3:$S$910,13,FALSE)),0,VLOOKUP($A1003,'Mutasi Neraca'!$A$3:$S$910,13,FALSE))</f>
        <v>0</v>
      </c>
      <c r="O1003" s="42">
        <f>VLOOKUP($A1003,'Neraca Unaudited SIMAK'!$A$2:$R$1272,14,FALSE)+IF(ISNA(VLOOKUP($A1003,'Mutasi Neraca'!$A$3:$S$910,14,FALSE)),0,VLOOKUP($A1003,'Mutasi Neraca'!$A$3:$S$910,14,FALSE))</f>
        <v>0</v>
      </c>
      <c r="P1003" s="42">
        <f>VLOOKUP($A1003,'Neraca Unaudited SIMAK'!$A$2:$R$1272,15,FALSE)+IF(ISNA(VLOOKUP($A1003,'Mutasi Neraca'!$A$3:$S$910,15,FALSE)),0,VLOOKUP($A1003,'Mutasi Neraca'!$A$3:$S$910,15,FALSE))</f>
        <v>0</v>
      </c>
      <c r="Q1003" s="42">
        <f>VLOOKUP($A1003,'Neraca Unaudited SIMAK'!$A$2:$R$1272,16,FALSE)+IF(ISNA(VLOOKUP($A1003,'Mutasi Neraca'!$A$3:$S$910,16,FALSE)),0,VLOOKUP($A1003,'Mutasi Neraca'!$A$3:$S$910,16,FALSE))</f>
        <v>0</v>
      </c>
      <c r="R1003" s="42">
        <f>VLOOKUP($A1003,'Neraca Unaudited SIMAK'!$A$2:$R$1272,17,FALSE)+IF(ISNA(VLOOKUP($A1003,'Mutasi Neraca'!$A$3:$S$910,17,FALSE)),0,VLOOKUP($A1003,'Mutasi Neraca'!$A$3:$S$910,17,FALSE))</f>
        <v>0</v>
      </c>
      <c r="S1003" s="42">
        <f t="shared" si="73"/>
        <v>6175050</v>
      </c>
    </row>
    <row r="1004" spans="1:19">
      <c r="A1004" s="41" t="s">
        <v>972</v>
      </c>
      <c r="B1004" s="41" t="str">
        <f t="shared" si="72"/>
        <v>005031000</v>
      </c>
      <c r="D1004" s="42">
        <f>VLOOKUP($A1004,'Neraca Unaudited SIMAK'!$A$2:$R$1272,3,FALSE)+IF(ISNA(VLOOKUP($A1004,'Mutasi Neraca'!$A$3:$S$910,3,FALSE)),0,VLOOKUP($A1004,'Mutasi Neraca'!$A$3:$S$910,3,FALSE))</f>
        <v>1112500</v>
      </c>
      <c r="E1004" s="42">
        <f>VLOOKUP($A1004,'Neraca Unaudited SIMAK'!$A$2:$R$1272,4,FALSE)+IF(ISNA(VLOOKUP($A1004,'Mutasi Neraca'!$A$3:$S$910,4,FALSE)),0,VLOOKUP($A1004,'Mutasi Neraca'!$A$3:$S$910,4,FALSE))</f>
        <v>0</v>
      </c>
      <c r="F1004" s="42">
        <f>VLOOKUP($A1004,'Neraca Unaudited SIMAK'!$A$2:$R$1272,5,FALSE)+IF(ISNA(VLOOKUP($A1004,'Mutasi Neraca'!$A$3:$S$910,5,FALSE)),0,VLOOKUP($A1004,'Mutasi Neraca'!$A$3:$S$910,5,FALSE))</f>
        <v>0</v>
      </c>
      <c r="G1004" s="42">
        <f>VLOOKUP($A1004,'Neraca Unaudited SIMAK'!$A$2:$R$1272,6,FALSE)+IF(ISNA(VLOOKUP($A1004,'Mutasi Neraca'!$A$3:$S$910,6,FALSE)),0,VLOOKUP($A1004,'Mutasi Neraca'!$A$3:$S$910,6,FALSE))</f>
        <v>0</v>
      </c>
      <c r="H1004" s="42">
        <f>VLOOKUP($A1004,'Neraca Unaudited SIMAK'!$A$2:$R$1272,7,FALSE)+IF(ISNA(VLOOKUP($A1004,'Mutasi Neraca'!$A$3:$S$910,7,FALSE)),0,VLOOKUP($A1004,'Mutasi Neraca'!$A$3:$S$910,7,FALSE))</f>
        <v>0</v>
      </c>
      <c r="I1004" s="42">
        <f>VLOOKUP($A1004,'Neraca Unaudited SIMAK'!$A$2:$R$1272,8,FALSE)+IF(ISNA(VLOOKUP($A1004,'Mutasi Neraca'!$A$3:$S$910,8,FALSE)),0,VLOOKUP($A1004,'Mutasi Neraca'!$A$3:$S$910,8,FALSE))</f>
        <v>0</v>
      </c>
      <c r="J1004" s="42">
        <f>VLOOKUP($A1004,'Neraca Unaudited SIMAK'!$A$2:$R$1272,9,FALSE)+IF(ISNA(VLOOKUP($A1004,'Mutasi Neraca'!$A$3:$S$910,9,FALSE)),0,VLOOKUP($A1004,'Mutasi Neraca'!$A$3:$S$910,9,FALSE))</f>
        <v>0</v>
      </c>
      <c r="K1004" s="42">
        <f>VLOOKUP($A1004,'Neraca Unaudited SIMAK'!$A$2:$R$1272,10,FALSE)+IF(ISNA(VLOOKUP($A1004,'Mutasi Neraca'!$A$3:$S$910,10,FALSE)),0,VLOOKUP($A1004,'Mutasi Neraca'!$A$3:$S$910,10,FALSE))</f>
        <v>0</v>
      </c>
      <c r="L1004" s="42">
        <f>VLOOKUP($A1004,'Neraca Unaudited SIMAK'!$A$2:$R$1272,11,FALSE)+IF(ISNA(VLOOKUP($A1004,'Mutasi Neraca'!$A$3:$S$910,11,FALSE)),0,VLOOKUP($A1004,'Mutasi Neraca'!$A$3:$S$910,11,FALSE))</f>
        <v>0</v>
      </c>
      <c r="M1004" s="42">
        <f>VLOOKUP($A1004,'Neraca Unaudited SIMAK'!$A$2:$R$1272,12,FALSE)+IF(ISNA(VLOOKUP($A1004,'Mutasi Neraca'!$A$3:$S$910,12,FALSE)),0,VLOOKUP($A1004,'Mutasi Neraca'!$A$3:$S$910,12,FALSE))</f>
        <v>1112500</v>
      </c>
      <c r="N1004" s="42">
        <f>VLOOKUP($A1004,'Neraca Unaudited SIMAK'!$A$2:$R$1272,13,FALSE)+IF(ISNA(VLOOKUP($A1004,'Mutasi Neraca'!$A$3:$S$910,13,FALSE)),0,VLOOKUP($A1004,'Mutasi Neraca'!$A$3:$S$910,13,FALSE))</f>
        <v>0</v>
      </c>
      <c r="O1004" s="42">
        <f>VLOOKUP($A1004,'Neraca Unaudited SIMAK'!$A$2:$R$1272,14,FALSE)+IF(ISNA(VLOOKUP($A1004,'Mutasi Neraca'!$A$3:$S$910,14,FALSE)),0,VLOOKUP($A1004,'Mutasi Neraca'!$A$3:$S$910,14,FALSE))</f>
        <v>0</v>
      </c>
      <c r="P1004" s="42">
        <f>VLOOKUP($A1004,'Neraca Unaudited SIMAK'!$A$2:$R$1272,15,FALSE)+IF(ISNA(VLOOKUP($A1004,'Mutasi Neraca'!$A$3:$S$910,15,FALSE)),0,VLOOKUP($A1004,'Mutasi Neraca'!$A$3:$S$910,15,FALSE))</f>
        <v>0</v>
      </c>
      <c r="Q1004" s="42">
        <f>VLOOKUP($A1004,'Neraca Unaudited SIMAK'!$A$2:$R$1272,16,FALSE)+IF(ISNA(VLOOKUP($A1004,'Mutasi Neraca'!$A$3:$S$910,16,FALSE)),0,VLOOKUP($A1004,'Mutasi Neraca'!$A$3:$S$910,16,FALSE))</f>
        <v>0</v>
      </c>
      <c r="R1004" s="42">
        <f>VLOOKUP($A1004,'Neraca Unaudited SIMAK'!$A$2:$R$1272,17,FALSE)+IF(ISNA(VLOOKUP($A1004,'Mutasi Neraca'!$A$3:$S$910,17,FALSE)),0,VLOOKUP($A1004,'Mutasi Neraca'!$A$3:$S$910,17,FALSE))</f>
        <v>0</v>
      </c>
      <c r="S1004" s="42">
        <f t="shared" si="73"/>
        <v>1112500</v>
      </c>
    </row>
    <row r="1005" spans="1:19">
      <c r="A1005" s="41" t="s">
        <v>973</v>
      </c>
      <c r="B1005" s="41" t="str">
        <f t="shared" si="72"/>
        <v>005031000</v>
      </c>
      <c r="D1005" s="42">
        <f>VLOOKUP($A1005,'Neraca Unaudited SIMAK'!$A$2:$R$1272,3,FALSE)+IF(ISNA(VLOOKUP($A1005,'Mutasi Neraca'!$A$3:$S$910,3,FALSE)),0,VLOOKUP($A1005,'Mutasi Neraca'!$A$3:$S$910,3,FALSE))</f>
        <v>3042800</v>
      </c>
      <c r="E1005" s="42">
        <f>VLOOKUP($A1005,'Neraca Unaudited SIMAK'!$A$2:$R$1272,4,FALSE)+IF(ISNA(VLOOKUP($A1005,'Mutasi Neraca'!$A$3:$S$910,4,FALSE)),0,VLOOKUP($A1005,'Mutasi Neraca'!$A$3:$S$910,4,FALSE))</f>
        <v>0</v>
      </c>
      <c r="F1005" s="42">
        <f>VLOOKUP($A1005,'Neraca Unaudited SIMAK'!$A$2:$R$1272,5,FALSE)+IF(ISNA(VLOOKUP($A1005,'Mutasi Neraca'!$A$3:$S$910,5,FALSE)),0,VLOOKUP($A1005,'Mutasi Neraca'!$A$3:$S$910,5,FALSE))</f>
        <v>0</v>
      </c>
      <c r="G1005" s="42">
        <f>VLOOKUP($A1005,'Neraca Unaudited SIMAK'!$A$2:$R$1272,6,FALSE)+IF(ISNA(VLOOKUP($A1005,'Mutasi Neraca'!$A$3:$S$910,6,FALSE)),0,VLOOKUP($A1005,'Mutasi Neraca'!$A$3:$S$910,6,FALSE))</f>
        <v>0</v>
      </c>
      <c r="H1005" s="42">
        <f>VLOOKUP($A1005,'Neraca Unaudited SIMAK'!$A$2:$R$1272,7,FALSE)+IF(ISNA(VLOOKUP($A1005,'Mutasi Neraca'!$A$3:$S$910,7,FALSE)),0,VLOOKUP($A1005,'Mutasi Neraca'!$A$3:$S$910,7,FALSE))</f>
        <v>0</v>
      </c>
      <c r="I1005" s="42">
        <f>VLOOKUP($A1005,'Neraca Unaudited SIMAK'!$A$2:$R$1272,8,FALSE)+IF(ISNA(VLOOKUP($A1005,'Mutasi Neraca'!$A$3:$S$910,8,FALSE)),0,VLOOKUP($A1005,'Mutasi Neraca'!$A$3:$S$910,8,FALSE))</f>
        <v>0</v>
      </c>
      <c r="J1005" s="42">
        <f>VLOOKUP($A1005,'Neraca Unaudited SIMAK'!$A$2:$R$1272,9,FALSE)+IF(ISNA(VLOOKUP($A1005,'Mutasi Neraca'!$A$3:$S$910,9,FALSE)),0,VLOOKUP($A1005,'Mutasi Neraca'!$A$3:$S$910,9,FALSE))</f>
        <v>0</v>
      </c>
      <c r="K1005" s="42">
        <f>VLOOKUP($A1005,'Neraca Unaudited SIMAK'!$A$2:$R$1272,10,FALSE)+IF(ISNA(VLOOKUP($A1005,'Mutasi Neraca'!$A$3:$S$910,10,FALSE)),0,VLOOKUP($A1005,'Mutasi Neraca'!$A$3:$S$910,10,FALSE))</f>
        <v>0</v>
      </c>
      <c r="L1005" s="42">
        <f>VLOOKUP($A1005,'Neraca Unaudited SIMAK'!$A$2:$R$1272,11,FALSE)+IF(ISNA(VLOOKUP($A1005,'Mutasi Neraca'!$A$3:$S$910,11,FALSE)),0,VLOOKUP($A1005,'Mutasi Neraca'!$A$3:$S$910,11,FALSE))</f>
        <v>0</v>
      </c>
      <c r="M1005" s="42">
        <f>VLOOKUP($A1005,'Neraca Unaudited SIMAK'!$A$2:$R$1272,12,FALSE)+IF(ISNA(VLOOKUP($A1005,'Mutasi Neraca'!$A$3:$S$910,12,FALSE)),0,VLOOKUP($A1005,'Mutasi Neraca'!$A$3:$S$910,12,FALSE))</f>
        <v>3042800</v>
      </c>
      <c r="N1005" s="42">
        <f>VLOOKUP($A1005,'Neraca Unaudited SIMAK'!$A$2:$R$1272,13,FALSE)+IF(ISNA(VLOOKUP($A1005,'Mutasi Neraca'!$A$3:$S$910,13,FALSE)),0,VLOOKUP($A1005,'Mutasi Neraca'!$A$3:$S$910,13,FALSE))</f>
        <v>0</v>
      </c>
      <c r="O1005" s="42">
        <f>VLOOKUP($A1005,'Neraca Unaudited SIMAK'!$A$2:$R$1272,14,FALSE)+IF(ISNA(VLOOKUP($A1005,'Mutasi Neraca'!$A$3:$S$910,14,FALSE)),0,VLOOKUP($A1005,'Mutasi Neraca'!$A$3:$S$910,14,FALSE))</f>
        <v>0</v>
      </c>
      <c r="P1005" s="42">
        <f>VLOOKUP($A1005,'Neraca Unaudited SIMAK'!$A$2:$R$1272,15,FALSE)+IF(ISNA(VLOOKUP($A1005,'Mutasi Neraca'!$A$3:$S$910,15,FALSE)),0,VLOOKUP($A1005,'Mutasi Neraca'!$A$3:$S$910,15,FALSE))</f>
        <v>0</v>
      </c>
      <c r="Q1005" s="42">
        <f>VLOOKUP($A1005,'Neraca Unaudited SIMAK'!$A$2:$R$1272,16,FALSE)+IF(ISNA(VLOOKUP($A1005,'Mutasi Neraca'!$A$3:$S$910,16,FALSE)),0,VLOOKUP($A1005,'Mutasi Neraca'!$A$3:$S$910,16,FALSE))</f>
        <v>0</v>
      </c>
      <c r="R1005" s="42">
        <f>VLOOKUP($A1005,'Neraca Unaudited SIMAK'!$A$2:$R$1272,17,FALSE)+IF(ISNA(VLOOKUP($A1005,'Mutasi Neraca'!$A$3:$S$910,17,FALSE)),0,VLOOKUP($A1005,'Mutasi Neraca'!$A$3:$S$910,17,FALSE))</f>
        <v>0</v>
      </c>
      <c r="S1005" s="42">
        <f t="shared" si="73"/>
        <v>3042800</v>
      </c>
    </row>
    <row r="1006" spans="1:19">
      <c r="A1006" s="41" t="s">
        <v>974</v>
      </c>
      <c r="B1006" s="41" t="str">
        <f t="shared" si="72"/>
        <v>005031100</v>
      </c>
      <c r="D1006" s="42">
        <f>VLOOKUP($A1006,'Neraca Unaudited SIMAK'!$A$2:$R$1272,3,FALSE)+IF(ISNA(VLOOKUP($A1006,'Mutasi Neraca'!$A$3:$S$910,3,FALSE)),0,VLOOKUP($A1006,'Mutasi Neraca'!$A$3:$S$910,3,FALSE))</f>
        <v>6429894</v>
      </c>
      <c r="E1006" s="42">
        <f>VLOOKUP($A1006,'Neraca Unaudited SIMAK'!$A$2:$R$1272,4,FALSE)+IF(ISNA(VLOOKUP($A1006,'Mutasi Neraca'!$A$3:$S$910,4,FALSE)),0,VLOOKUP($A1006,'Mutasi Neraca'!$A$3:$S$910,4,FALSE))</f>
        <v>0</v>
      </c>
      <c r="F1006" s="42">
        <f>VLOOKUP($A1006,'Neraca Unaudited SIMAK'!$A$2:$R$1272,5,FALSE)+IF(ISNA(VLOOKUP($A1006,'Mutasi Neraca'!$A$3:$S$910,5,FALSE)),0,VLOOKUP($A1006,'Mutasi Neraca'!$A$3:$S$910,5,FALSE))</f>
        <v>0</v>
      </c>
      <c r="G1006" s="42">
        <f>VLOOKUP($A1006,'Neraca Unaudited SIMAK'!$A$2:$R$1272,6,FALSE)+IF(ISNA(VLOOKUP($A1006,'Mutasi Neraca'!$A$3:$S$910,6,FALSE)),0,VLOOKUP($A1006,'Mutasi Neraca'!$A$3:$S$910,6,FALSE))</f>
        <v>0</v>
      </c>
      <c r="H1006" s="42">
        <f>VLOOKUP($A1006,'Neraca Unaudited SIMAK'!$A$2:$R$1272,7,FALSE)+IF(ISNA(VLOOKUP($A1006,'Mutasi Neraca'!$A$3:$S$910,7,FALSE)),0,VLOOKUP($A1006,'Mutasi Neraca'!$A$3:$S$910,7,FALSE))</f>
        <v>0</v>
      </c>
      <c r="I1006" s="42">
        <f>VLOOKUP($A1006,'Neraca Unaudited SIMAK'!$A$2:$R$1272,8,FALSE)+IF(ISNA(VLOOKUP($A1006,'Mutasi Neraca'!$A$3:$S$910,8,FALSE)),0,VLOOKUP($A1006,'Mutasi Neraca'!$A$3:$S$910,8,FALSE))</f>
        <v>0</v>
      </c>
      <c r="J1006" s="42">
        <f>VLOOKUP($A1006,'Neraca Unaudited SIMAK'!$A$2:$R$1272,9,FALSE)+IF(ISNA(VLOOKUP($A1006,'Mutasi Neraca'!$A$3:$S$910,9,FALSE)),0,VLOOKUP($A1006,'Mutasi Neraca'!$A$3:$S$910,9,FALSE))</f>
        <v>0</v>
      </c>
      <c r="K1006" s="42">
        <f>VLOOKUP($A1006,'Neraca Unaudited SIMAK'!$A$2:$R$1272,10,FALSE)+IF(ISNA(VLOOKUP($A1006,'Mutasi Neraca'!$A$3:$S$910,10,FALSE)),0,VLOOKUP($A1006,'Mutasi Neraca'!$A$3:$S$910,10,FALSE))</f>
        <v>0</v>
      </c>
      <c r="L1006" s="42">
        <f>VLOOKUP($A1006,'Neraca Unaudited SIMAK'!$A$2:$R$1272,11,FALSE)+IF(ISNA(VLOOKUP($A1006,'Mutasi Neraca'!$A$3:$S$910,11,FALSE)),0,VLOOKUP($A1006,'Mutasi Neraca'!$A$3:$S$910,11,FALSE))</f>
        <v>0</v>
      </c>
      <c r="M1006" s="42">
        <f>VLOOKUP($A1006,'Neraca Unaudited SIMAK'!$A$2:$R$1272,12,FALSE)+IF(ISNA(VLOOKUP($A1006,'Mutasi Neraca'!$A$3:$S$910,12,FALSE)),0,VLOOKUP($A1006,'Mutasi Neraca'!$A$3:$S$910,12,FALSE))</f>
        <v>6429894</v>
      </c>
      <c r="N1006" s="42">
        <f>VLOOKUP($A1006,'Neraca Unaudited SIMAK'!$A$2:$R$1272,13,FALSE)+IF(ISNA(VLOOKUP($A1006,'Mutasi Neraca'!$A$3:$S$910,13,FALSE)),0,VLOOKUP($A1006,'Mutasi Neraca'!$A$3:$S$910,13,FALSE))</f>
        <v>0</v>
      </c>
      <c r="O1006" s="42">
        <f>VLOOKUP($A1006,'Neraca Unaudited SIMAK'!$A$2:$R$1272,14,FALSE)+IF(ISNA(VLOOKUP($A1006,'Mutasi Neraca'!$A$3:$S$910,14,FALSE)),0,VLOOKUP($A1006,'Mutasi Neraca'!$A$3:$S$910,14,FALSE))</f>
        <v>0</v>
      </c>
      <c r="P1006" s="42">
        <f>VLOOKUP($A1006,'Neraca Unaudited SIMAK'!$A$2:$R$1272,15,FALSE)+IF(ISNA(VLOOKUP($A1006,'Mutasi Neraca'!$A$3:$S$910,15,FALSE)),0,VLOOKUP($A1006,'Mutasi Neraca'!$A$3:$S$910,15,FALSE))</f>
        <v>0</v>
      </c>
      <c r="Q1006" s="42">
        <f>VLOOKUP($A1006,'Neraca Unaudited SIMAK'!$A$2:$R$1272,16,FALSE)+IF(ISNA(VLOOKUP($A1006,'Mutasi Neraca'!$A$3:$S$910,16,FALSE)),0,VLOOKUP($A1006,'Mutasi Neraca'!$A$3:$S$910,16,FALSE))</f>
        <v>0</v>
      </c>
      <c r="R1006" s="42">
        <f>VLOOKUP($A1006,'Neraca Unaudited SIMAK'!$A$2:$R$1272,17,FALSE)+IF(ISNA(VLOOKUP($A1006,'Mutasi Neraca'!$A$3:$S$910,17,FALSE)),0,VLOOKUP($A1006,'Mutasi Neraca'!$A$3:$S$910,17,FALSE))</f>
        <v>0</v>
      </c>
      <c r="S1006" s="42">
        <f t="shared" si="73"/>
        <v>6429894</v>
      </c>
    </row>
    <row r="1007" spans="1:19">
      <c r="A1007" s="41" t="s">
        <v>975</v>
      </c>
      <c r="B1007" s="41" t="str">
        <f t="shared" si="72"/>
        <v>005031100</v>
      </c>
      <c r="D1007" s="42">
        <f>VLOOKUP($A1007,'Neraca Unaudited SIMAK'!$A$2:$R$1272,3,FALSE)+IF(ISNA(VLOOKUP($A1007,'Mutasi Neraca'!$A$3:$S$910,3,FALSE)),0,VLOOKUP($A1007,'Mutasi Neraca'!$A$3:$S$910,3,FALSE))</f>
        <v>935000</v>
      </c>
      <c r="E1007" s="42">
        <f>VLOOKUP($A1007,'Neraca Unaudited SIMAK'!$A$2:$R$1272,4,FALSE)+IF(ISNA(VLOOKUP($A1007,'Mutasi Neraca'!$A$3:$S$910,4,FALSE)),0,VLOOKUP($A1007,'Mutasi Neraca'!$A$3:$S$910,4,FALSE))</f>
        <v>0</v>
      </c>
      <c r="F1007" s="42">
        <f>VLOOKUP($A1007,'Neraca Unaudited SIMAK'!$A$2:$R$1272,5,FALSE)+IF(ISNA(VLOOKUP($A1007,'Mutasi Neraca'!$A$3:$S$910,5,FALSE)),0,VLOOKUP($A1007,'Mutasi Neraca'!$A$3:$S$910,5,FALSE))</f>
        <v>0</v>
      </c>
      <c r="G1007" s="42">
        <f>VLOOKUP($A1007,'Neraca Unaudited SIMAK'!$A$2:$R$1272,6,FALSE)+IF(ISNA(VLOOKUP($A1007,'Mutasi Neraca'!$A$3:$S$910,6,FALSE)),0,VLOOKUP($A1007,'Mutasi Neraca'!$A$3:$S$910,6,FALSE))</f>
        <v>0</v>
      </c>
      <c r="H1007" s="42">
        <f>VLOOKUP($A1007,'Neraca Unaudited SIMAK'!$A$2:$R$1272,7,FALSE)+IF(ISNA(VLOOKUP($A1007,'Mutasi Neraca'!$A$3:$S$910,7,FALSE)),0,VLOOKUP($A1007,'Mutasi Neraca'!$A$3:$S$910,7,FALSE))</f>
        <v>0</v>
      </c>
      <c r="I1007" s="42">
        <f>VLOOKUP($A1007,'Neraca Unaudited SIMAK'!$A$2:$R$1272,8,FALSE)+IF(ISNA(VLOOKUP($A1007,'Mutasi Neraca'!$A$3:$S$910,8,FALSE)),0,VLOOKUP($A1007,'Mutasi Neraca'!$A$3:$S$910,8,FALSE))</f>
        <v>0</v>
      </c>
      <c r="J1007" s="42">
        <f>VLOOKUP($A1007,'Neraca Unaudited SIMAK'!$A$2:$R$1272,9,FALSE)+IF(ISNA(VLOOKUP($A1007,'Mutasi Neraca'!$A$3:$S$910,9,FALSE)),0,VLOOKUP($A1007,'Mutasi Neraca'!$A$3:$S$910,9,FALSE))</f>
        <v>0</v>
      </c>
      <c r="K1007" s="42">
        <f>VLOOKUP($A1007,'Neraca Unaudited SIMAK'!$A$2:$R$1272,10,FALSE)+IF(ISNA(VLOOKUP($A1007,'Mutasi Neraca'!$A$3:$S$910,10,FALSE)),0,VLOOKUP($A1007,'Mutasi Neraca'!$A$3:$S$910,10,FALSE))</f>
        <v>0</v>
      </c>
      <c r="L1007" s="42">
        <f>VLOOKUP($A1007,'Neraca Unaudited SIMAK'!$A$2:$R$1272,11,FALSE)+IF(ISNA(VLOOKUP($A1007,'Mutasi Neraca'!$A$3:$S$910,11,FALSE)),0,VLOOKUP($A1007,'Mutasi Neraca'!$A$3:$S$910,11,FALSE))</f>
        <v>0</v>
      </c>
      <c r="M1007" s="42">
        <f>VLOOKUP($A1007,'Neraca Unaudited SIMAK'!$A$2:$R$1272,12,FALSE)+IF(ISNA(VLOOKUP($A1007,'Mutasi Neraca'!$A$3:$S$910,12,FALSE)),0,VLOOKUP($A1007,'Mutasi Neraca'!$A$3:$S$910,12,FALSE))</f>
        <v>935000</v>
      </c>
      <c r="N1007" s="42">
        <f>VLOOKUP($A1007,'Neraca Unaudited SIMAK'!$A$2:$R$1272,13,FALSE)+IF(ISNA(VLOOKUP($A1007,'Mutasi Neraca'!$A$3:$S$910,13,FALSE)),0,VLOOKUP($A1007,'Mutasi Neraca'!$A$3:$S$910,13,FALSE))</f>
        <v>0</v>
      </c>
      <c r="O1007" s="42">
        <f>VLOOKUP($A1007,'Neraca Unaudited SIMAK'!$A$2:$R$1272,14,FALSE)+IF(ISNA(VLOOKUP($A1007,'Mutasi Neraca'!$A$3:$S$910,14,FALSE)),0,VLOOKUP($A1007,'Mutasi Neraca'!$A$3:$S$910,14,FALSE))</f>
        <v>0</v>
      </c>
      <c r="P1007" s="42">
        <f>VLOOKUP($A1007,'Neraca Unaudited SIMAK'!$A$2:$R$1272,15,FALSE)+IF(ISNA(VLOOKUP($A1007,'Mutasi Neraca'!$A$3:$S$910,15,FALSE)),0,VLOOKUP($A1007,'Mutasi Neraca'!$A$3:$S$910,15,FALSE))</f>
        <v>0</v>
      </c>
      <c r="Q1007" s="42">
        <f>VLOOKUP($A1007,'Neraca Unaudited SIMAK'!$A$2:$R$1272,16,FALSE)+IF(ISNA(VLOOKUP($A1007,'Mutasi Neraca'!$A$3:$S$910,16,FALSE)),0,VLOOKUP($A1007,'Mutasi Neraca'!$A$3:$S$910,16,FALSE))</f>
        <v>0</v>
      </c>
      <c r="R1007" s="42">
        <f>VLOOKUP($A1007,'Neraca Unaudited SIMAK'!$A$2:$R$1272,17,FALSE)+IF(ISNA(VLOOKUP($A1007,'Mutasi Neraca'!$A$3:$S$910,17,FALSE)),0,VLOOKUP($A1007,'Mutasi Neraca'!$A$3:$S$910,17,FALSE))</f>
        <v>0</v>
      </c>
      <c r="S1007" s="42">
        <f t="shared" si="73"/>
        <v>935000</v>
      </c>
    </row>
    <row r="1008" spans="1:19">
      <c r="A1008" s="41" t="s">
        <v>976</v>
      </c>
      <c r="B1008" s="41" t="str">
        <f t="shared" si="72"/>
        <v>005031100</v>
      </c>
      <c r="D1008" s="42">
        <f>VLOOKUP($A1008,'Neraca Unaudited SIMAK'!$A$2:$R$1272,3,FALSE)+IF(ISNA(VLOOKUP($A1008,'Mutasi Neraca'!$A$3:$S$910,3,FALSE)),0,VLOOKUP($A1008,'Mutasi Neraca'!$A$3:$S$910,3,FALSE))</f>
        <v>462500</v>
      </c>
      <c r="E1008" s="42">
        <f>VLOOKUP($A1008,'Neraca Unaudited SIMAK'!$A$2:$R$1272,4,FALSE)+IF(ISNA(VLOOKUP($A1008,'Mutasi Neraca'!$A$3:$S$910,4,FALSE)),0,VLOOKUP($A1008,'Mutasi Neraca'!$A$3:$S$910,4,FALSE))</f>
        <v>0</v>
      </c>
      <c r="F1008" s="42">
        <f>VLOOKUP($A1008,'Neraca Unaudited SIMAK'!$A$2:$R$1272,5,FALSE)+IF(ISNA(VLOOKUP($A1008,'Mutasi Neraca'!$A$3:$S$910,5,FALSE)),0,VLOOKUP($A1008,'Mutasi Neraca'!$A$3:$S$910,5,FALSE))</f>
        <v>0</v>
      </c>
      <c r="G1008" s="42">
        <f>VLOOKUP($A1008,'Neraca Unaudited SIMAK'!$A$2:$R$1272,6,FALSE)+IF(ISNA(VLOOKUP($A1008,'Mutasi Neraca'!$A$3:$S$910,6,FALSE)),0,VLOOKUP($A1008,'Mutasi Neraca'!$A$3:$S$910,6,FALSE))</f>
        <v>0</v>
      </c>
      <c r="H1008" s="42">
        <f>VLOOKUP($A1008,'Neraca Unaudited SIMAK'!$A$2:$R$1272,7,FALSE)+IF(ISNA(VLOOKUP($A1008,'Mutasi Neraca'!$A$3:$S$910,7,FALSE)),0,VLOOKUP($A1008,'Mutasi Neraca'!$A$3:$S$910,7,FALSE))</f>
        <v>0</v>
      </c>
      <c r="I1008" s="42">
        <f>VLOOKUP($A1008,'Neraca Unaudited SIMAK'!$A$2:$R$1272,8,FALSE)+IF(ISNA(VLOOKUP($A1008,'Mutasi Neraca'!$A$3:$S$910,8,FALSE)),0,VLOOKUP($A1008,'Mutasi Neraca'!$A$3:$S$910,8,FALSE))</f>
        <v>0</v>
      </c>
      <c r="J1008" s="42">
        <f>VLOOKUP($A1008,'Neraca Unaudited SIMAK'!$A$2:$R$1272,9,FALSE)+IF(ISNA(VLOOKUP($A1008,'Mutasi Neraca'!$A$3:$S$910,9,FALSE)),0,VLOOKUP($A1008,'Mutasi Neraca'!$A$3:$S$910,9,FALSE))</f>
        <v>0</v>
      </c>
      <c r="K1008" s="42">
        <f>VLOOKUP($A1008,'Neraca Unaudited SIMAK'!$A$2:$R$1272,10,FALSE)+IF(ISNA(VLOOKUP($A1008,'Mutasi Neraca'!$A$3:$S$910,10,FALSE)),0,VLOOKUP($A1008,'Mutasi Neraca'!$A$3:$S$910,10,FALSE))</f>
        <v>0</v>
      </c>
      <c r="L1008" s="42">
        <f>VLOOKUP($A1008,'Neraca Unaudited SIMAK'!$A$2:$R$1272,11,FALSE)+IF(ISNA(VLOOKUP($A1008,'Mutasi Neraca'!$A$3:$S$910,11,FALSE)),0,VLOOKUP($A1008,'Mutasi Neraca'!$A$3:$S$910,11,FALSE))</f>
        <v>0</v>
      </c>
      <c r="M1008" s="42">
        <f>VLOOKUP($A1008,'Neraca Unaudited SIMAK'!$A$2:$R$1272,12,FALSE)+IF(ISNA(VLOOKUP($A1008,'Mutasi Neraca'!$A$3:$S$910,12,FALSE)),0,VLOOKUP($A1008,'Mutasi Neraca'!$A$3:$S$910,12,FALSE))</f>
        <v>462500</v>
      </c>
      <c r="N1008" s="42">
        <f>VLOOKUP($A1008,'Neraca Unaudited SIMAK'!$A$2:$R$1272,13,FALSE)+IF(ISNA(VLOOKUP($A1008,'Mutasi Neraca'!$A$3:$S$910,13,FALSE)),0,VLOOKUP($A1008,'Mutasi Neraca'!$A$3:$S$910,13,FALSE))</f>
        <v>0</v>
      </c>
      <c r="O1008" s="42">
        <f>VLOOKUP($A1008,'Neraca Unaudited SIMAK'!$A$2:$R$1272,14,FALSE)+IF(ISNA(VLOOKUP($A1008,'Mutasi Neraca'!$A$3:$S$910,14,FALSE)),0,VLOOKUP($A1008,'Mutasi Neraca'!$A$3:$S$910,14,FALSE))</f>
        <v>0</v>
      </c>
      <c r="P1008" s="42">
        <f>VLOOKUP($A1008,'Neraca Unaudited SIMAK'!$A$2:$R$1272,15,FALSE)+IF(ISNA(VLOOKUP($A1008,'Mutasi Neraca'!$A$3:$S$910,15,FALSE)),0,VLOOKUP($A1008,'Mutasi Neraca'!$A$3:$S$910,15,FALSE))</f>
        <v>0</v>
      </c>
      <c r="Q1008" s="42">
        <f>VLOOKUP($A1008,'Neraca Unaudited SIMAK'!$A$2:$R$1272,16,FALSE)+IF(ISNA(VLOOKUP($A1008,'Mutasi Neraca'!$A$3:$S$910,16,FALSE)),0,VLOOKUP($A1008,'Mutasi Neraca'!$A$3:$S$910,16,FALSE))</f>
        <v>0</v>
      </c>
      <c r="R1008" s="42">
        <f>VLOOKUP($A1008,'Neraca Unaudited SIMAK'!$A$2:$R$1272,17,FALSE)+IF(ISNA(VLOOKUP($A1008,'Mutasi Neraca'!$A$3:$S$910,17,FALSE)),0,VLOOKUP($A1008,'Mutasi Neraca'!$A$3:$S$910,17,FALSE))</f>
        <v>0</v>
      </c>
      <c r="S1008" s="42">
        <f t="shared" si="73"/>
        <v>462500</v>
      </c>
    </row>
    <row r="1009" spans="1:19">
      <c r="A1009" s="41" t="s">
        <v>977</v>
      </c>
      <c r="B1009" s="41" t="str">
        <f t="shared" si="72"/>
        <v>005031100</v>
      </c>
      <c r="D1009" s="42">
        <f>VLOOKUP($A1009,'Neraca Unaudited SIMAK'!$A$2:$R$1272,3,FALSE)+IF(ISNA(VLOOKUP($A1009,'Mutasi Neraca'!$A$3:$S$910,3,FALSE)),0,VLOOKUP($A1009,'Mutasi Neraca'!$A$3:$S$910,3,FALSE))</f>
        <v>186300</v>
      </c>
      <c r="E1009" s="42">
        <f>VLOOKUP($A1009,'Neraca Unaudited SIMAK'!$A$2:$R$1272,4,FALSE)+IF(ISNA(VLOOKUP($A1009,'Mutasi Neraca'!$A$3:$S$910,4,FALSE)),0,VLOOKUP($A1009,'Mutasi Neraca'!$A$3:$S$910,4,FALSE))</f>
        <v>0</v>
      </c>
      <c r="F1009" s="42">
        <f>VLOOKUP($A1009,'Neraca Unaudited SIMAK'!$A$2:$R$1272,5,FALSE)+IF(ISNA(VLOOKUP($A1009,'Mutasi Neraca'!$A$3:$S$910,5,FALSE)),0,VLOOKUP($A1009,'Mutasi Neraca'!$A$3:$S$910,5,FALSE))</f>
        <v>0</v>
      </c>
      <c r="G1009" s="42">
        <f>VLOOKUP($A1009,'Neraca Unaudited SIMAK'!$A$2:$R$1272,6,FALSE)+IF(ISNA(VLOOKUP($A1009,'Mutasi Neraca'!$A$3:$S$910,6,FALSE)),0,VLOOKUP($A1009,'Mutasi Neraca'!$A$3:$S$910,6,FALSE))</f>
        <v>0</v>
      </c>
      <c r="H1009" s="42">
        <f>VLOOKUP($A1009,'Neraca Unaudited SIMAK'!$A$2:$R$1272,7,FALSE)+IF(ISNA(VLOOKUP($A1009,'Mutasi Neraca'!$A$3:$S$910,7,FALSE)),0,VLOOKUP($A1009,'Mutasi Neraca'!$A$3:$S$910,7,FALSE))</f>
        <v>0</v>
      </c>
      <c r="I1009" s="42">
        <f>VLOOKUP($A1009,'Neraca Unaudited SIMAK'!$A$2:$R$1272,8,FALSE)+IF(ISNA(VLOOKUP($A1009,'Mutasi Neraca'!$A$3:$S$910,8,FALSE)),0,VLOOKUP($A1009,'Mutasi Neraca'!$A$3:$S$910,8,FALSE))</f>
        <v>0</v>
      </c>
      <c r="J1009" s="42">
        <f>VLOOKUP($A1009,'Neraca Unaudited SIMAK'!$A$2:$R$1272,9,FALSE)+IF(ISNA(VLOOKUP($A1009,'Mutasi Neraca'!$A$3:$S$910,9,FALSE)),0,VLOOKUP($A1009,'Mutasi Neraca'!$A$3:$S$910,9,FALSE))</f>
        <v>0</v>
      </c>
      <c r="K1009" s="42">
        <f>VLOOKUP($A1009,'Neraca Unaudited SIMAK'!$A$2:$R$1272,10,FALSE)+IF(ISNA(VLOOKUP($A1009,'Mutasi Neraca'!$A$3:$S$910,10,FALSE)),0,VLOOKUP($A1009,'Mutasi Neraca'!$A$3:$S$910,10,FALSE))</f>
        <v>0</v>
      </c>
      <c r="L1009" s="42">
        <f>VLOOKUP($A1009,'Neraca Unaudited SIMAK'!$A$2:$R$1272,11,FALSE)+IF(ISNA(VLOOKUP($A1009,'Mutasi Neraca'!$A$3:$S$910,11,FALSE)),0,VLOOKUP($A1009,'Mutasi Neraca'!$A$3:$S$910,11,FALSE))</f>
        <v>0</v>
      </c>
      <c r="M1009" s="42">
        <f>VLOOKUP($A1009,'Neraca Unaudited SIMAK'!$A$2:$R$1272,12,FALSE)+IF(ISNA(VLOOKUP($A1009,'Mutasi Neraca'!$A$3:$S$910,12,FALSE)),0,VLOOKUP($A1009,'Mutasi Neraca'!$A$3:$S$910,12,FALSE))</f>
        <v>186300</v>
      </c>
      <c r="N1009" s="42">
        <f>VLOOKUP($A1009,'Neraca Unaudited SIMAK'!$A$2:$R$1272,13,FALSE)+IF(ISNA(VLOOKUP($A1009,'Mutasi Neraca'!$A$3:$S$910,13,FALSE)),0,VLOOKUP($A1009,'Mutasi Neraca'!$A$3:$S$910,13,FALSE))</f>
        <v>0</v>
      </c>
      <c r="O1009" s="42">
        <f>VLOOKUP($A1009,'Neraca Unaudited SIMAK'!$A$2:$R$1272,14,FALSE)+IF(ISNA(VLOOKUP($A1009,'Mutasi Neraca'!$A$3:$S$910,14,FALSE)),0,VLOOKUP($A1009,'Mutasi Neraca'!$A$3:$S$910,14,FALSE))</f>
        <v>0</v>
      </c>
      <c r="P1009" s="42">
        <f>VLOOKUP($A1009,'Neraca Unaudited SIMAK'!$A$2:$R$1272,15,FALSE)+IF(ISNA(VLOOKUP($A1009,'Mutasi Neraca'!$A$3:$S$910,15,FALSE)),0,VLOOKUP($A1009,'Mutasi Neraca'!$A$3:$S$910,15,FALSE))</f>
        <v>0</v>
      </c>
      <c r="Q1009" s="42">
        <f>VLOOKUP($A1009,'Neraca Unaudited SIMAK'!$A$2:$R$1272,16,FALSE)+IF(ISNA(VLOOKUP($A1009,'Mutasi Neraca'!$A$3:$S$910,16,FALSE)),0,VLOOKUP($A1009,'Mutasi Neraca'!$A$3:$S$910,16,FALSE))</f>
        <v>0</v>
      </c>
      <c r="R1009" s="42">
        <f>VLOOKUP($A1009,'Neraca Unaudited SIMAK'!$A$2:$R$1272,17,FALSE)+IF(ISNA(VLOOKUP($A1009,'Mutasi Neraca'!$A$3:$S$910,17,FALSE)),0,VLOOKUP($A1009,'Mutasi Neraca'!$A$3:$S$910,17,FALSE))</f>
        <v>0</v>
      </c>
      <c r="S1009" s="42">
        <f t="shared" si="73"/>
        <v>186300</v>
      </c>
    </row>
    <row r="1010" spans="1:19">
      <c r="A1010" s="41" t="s">
        <v>978</v>
      </c>
      <c r="B1010" s="41" t="str">
        <f t="shared" si="72"/>
        <v>005031100</v>
      </c>
      <c r="D1010" s="42">
        <f>VLOOKUP($A1010,'Neraca Unaudited SIMAK'!$A$2:$R$1272,3,FALSE)+IF(ISNA(VLOOKUP($A1010,'Mutasi Neraca'!$A$3:$S$910,3,FALSE)),0,VLOOKUP($A1010,'Mutasi Neraca'!$A$3:$S$910,3,FALSE))</f>
        <v>931620</v>
      </c>
      <c r="E1010" s="42">
        <f>VLOOKUP($A1010,'Neraca Unaudited SIMAK'!$A$2:$R$1272,4,FALSE)+IF(ISNA(VLOOKUP($A1010,'Mutasi Neraca'!$A$3:$S$910,4,FALSE)),0,VLOOKUP($A1010,'Mutasi Neraca'!$A$3:$S$910,4,FALSE))</f>
        <v>0</v>
      </c>
      <c r="F1010" s="42">
        <f>VLOOKUP($A1010,'Neraca Unaudited SIMAK'!$A$2:$R$1272,5,FALSE)+IF(ISNA(VLOOKUP($A1010,'Mutasi Neraca'!$A$3:$S$910,5,FALSE)),0,VLOOKUP($A1010,'Mutasi Neraca'!$A$3:$S$910,5,FALSE))</f>
        <v>0</v>
      </c>
      <c r="G1010" s="42">
        <f>VLOOKUP($A1010,'Neraca Unaudited SIMAK'!$A$2:$R$1272,6,FALSE)+IF(ISNA(VLOOKUP($A1010,'Mutasi Neraca'!$A$3:$S$910,6,FALSE)),0,VLOOKUP($A1010,'Mutasi Neraca'!$A$3:$S$910,6,FALSE))</f>
        <v>0</v>
      </c>
      <c r="H1010" s="42">
        <f>VLOOKUP($A1010,'Neraca Unaudited SIMAK'!$A$2:$R$1272,7,FALSE)+IF(ISNA(VLOOKUP($A1010,'Mutasi Neraca'!$A$3:$S$910,7,FALSE)),0,VLOOKUP($A1010,'Mutasi Neraca'!$A$3:$S$910,7,FALSE))</f>
        <v>0</v>
      </c>
      <c r="I1010" s="42">
        <f>VLOOKUP($A1010,'Neraca Unaudited SIMAK'!$A$2:$R$1272,8,FALSE)+IF(ISNA(VLOOKUP($A1010,'Mutasi Neraca'!$A$3:$S$910,8,FALSE)),0,VLOOKUP($A1010,'Mutasi Neraca'!$A$3:$S$910,8,FALSE))</f>
        <v>0</v>
      </c>
      <c r="J1010" s="42">
        <f>VLOOKUP($A1010,'Neraca Unaudited SIMAK'!$A$2:$R$1272,9,FALSE)+IF(ISNA(VLOOKUP($A1010,'Mutasi Neraca'!$A$3:$S$910,9,FALSE)),0,VLOOKUP($A1010,'Mutasi Neraca'!$A$3:$S$910,9,FALSE))</f>
        <v>0</v>
      </c>
      <c r="K1010" s="42">
        <f>VLOOKUP($A1010,'Neraca Unaudited SIMAK'!$A$2:$R$1272,10,FALSE)+IF(ISNA(VLOOKUP($A1010,'Mutasi Neraca'!$A$3:$S$910,10,FALSE)),0,VLOOKUP($A1010,'Mutasi Neraca'!$A$3:$S$910,10,FALSE))</f>
        <v>0</v>
      </c>
      <c r="L1010" s="42">
        <f>VLOOKUP($A1010,'Neraca Unaudited SIMAK'!$A$2:$R$1272,11,FALSE)+IF(ISNA(VLOOKUP($A1010,'Mutasi Neraca'!$A$3:$S$910,11,FALSE)),0,VLOOKUP($A1010,'Mutasi Neraca'!$A$3:$S$910,11,FALSE))</f>
        <v>0</v>
      </c>
      <c r="M1010" s="42">
        <f>VLOOKUP($A1010,'Neraca Unaudited SIMAK'!$A$2:$R$1272,12,FALSE)+IF(ISNA(VLOOKUP($A1010,'Mutasi Neraca'!$A$3:$S$910,12,FALSE)),0,VLOOKUP($A1010,'Mutasi Neraca'!$A$3:$S$910,12,FALSE))</f>
        <v>931620</v>
      </c>
      <c r="N1010" s="42">
        <f>VLOOKUP($A1010,'Neraca Unaudited SIMAK'!$A$2:$R$1272,13,FALSE)+IF(ISNA(VLOOKUP($A1010,'Mutasi Neraca'!$A$3:$S$910,13,FALSE)),0,VLOOKUP($A1010,'Mutasi Neraca'!$A$3:$S$910,13,FALSE))</f>
        <v>0</v>
      </c>
      <c r="O1010" s="42">
        <f>VLOOKUP($A1010,'Neraca Unaudited SIMAK'!$A$2:$R$1272,14,FALSE)+IF(ISNA(VLOOKUP($A1010,'Mutasi Neraca'!$A$3:$S$910,14,FALSE)),0,VLOOKUP($A1010,'Mutasi Neraca'!$A$3:$S$910,14,FALSE))</f>
        <v>0</v>
      </c>
      <c r="P1010" s="42">
        <f>VLOOKUP($A1010,'Neraca Unaudited SIMAK'!$A$2:$R$1272,15,FALSE)+IF(ISNA(VLOOKUP($A1010,'Mutasi Neraca'!$A$3:$S$910,15,FALSE)),0,VLOOKUP($A1010,'Mutasi Neraca'!$A$3:$S$910,15,FALSE))</f>
        <v>0</v>
      </c>
      <c r="Q1010" s="42">
        <f>VLOOKUP($A1010,'Neraca Unaudited SIMAK'!$A$2:$R$1272,16,FALSE)+IF(ISNA(VLOOKUP($A1010,'Mutasi Neraca'!$A$3:$S$910,16,FALSE)),0,VLOOKUP($A1010,'Mutasi Neraca'!$A$3:$S$910,16,FALSE))</f>
        <v>0</v>
      </c>
      <c r="R1010" s="42">
        <f>VLOOKUP($A1010,'Neraca Unaudited SIMAK'!$A$2:$R$1272,17,FALSE)+IF(ISNA(VLOOKUP($A1010,'Mutasi Neraca'!$A$3:$S$910,17,FALSE)),0,VLOOKUP($A1010,'Mutasi Neraca'!$A$3:$S$910,17,FALSE))</f>
        <v>0</v>
      </c>
      <c r="S1010" s="42">
        <f t="shared" si="73"/>
        <v>931620</v>
      </c>
    </row>
    <row r="1011" spans="1:19">
      <c r="A1011" s="41" t="s">
        <v>979</v>
      </c>
      <c r="B1011" s="41" t="str">
        <f t="shared" si="72"/>
        <v>005031100</v>
      </c>
      <c r="D1011" s="42">
        <f>VLOOKUP($A1011,'Neraca Unaudited SIMAK'!$A$2:$R$1272,3,FALSE)+IF(ISNA(VLOOKUP($A1011,'Mutasi Neraca'!$A$3:$S$910,3,FALSE)),0,VLOOKUP($A1011,'Mutasi Neraca'!$A$3:$S$910,3,FALSE))</f>
        <v>7936500</v>
      </c>
      <c r="E1011" s="42">
        <f>VLOOKUP($A1011,'Neraca Unaudited SIMAK'!$A$2:$R$1272,4,FALSE)+IF(ISNA(VLOOKUP($A1011,'Mutasi Neraca'!$A$3:$S$910,4,FALSE)),0,VLOOKUP($A1011,'Mutasi Neraca'!$A$3:$S$910,4,FALSE))</f>
        <v>0</v>
      </c>
      <c r="F1011" s="42">
        <f>VLOOKUP($A1011,'Neraca Unaudited SIMAK'!$A$2:$R$1272,5,FALSE)+IF(ISNA(VLOOKUP($A1011,'Mutasi Neraca'!$A$3:$S$910,5,FALSE)),0,VLOOKUP($A1011,'Mutasi Neraca'!$A$3:$S$910,5,FALSE))</f>
        <v>0</v>
      </c>
      <c r="G1011" s="42">
        <f>VLOOKUP($A1011,'Neraca Unaudited SIMAK'!$A$2:$R$1272,6,FALSE)+IF(ISNA(VLOOKUP($A1011,'Mutasi Neraca'!$A$3:$S$910,6,FALSE)),0,VLOOKUP($A1011,'Mutasi Neraca'!$A$3:$S$910,6,FALSE))</f>
        <v>0</v>
      </c>
      <c r="H1011" s="42">
        <f>VLOOKUP($A1011,'Neraca Unaudited SIMAK'!$A$2:$R$1272,7,FALSE)+IF(ISNA(VLOOKUP($A1011,'Mutasi Neraca'!$A$3:$S$910,7,FALSE)),0,VLOOKUP($A1011,'Mutasi Neraca'!$A$3:$S$910,7,FALSE))</f>
        <v>0</v>
      </c>
      <c r="I1011" s="42">
        <f>VLOOKUP($A1011,'Neraca Unaudited SIMAK'!$A$2:$R$1272,8,FALSE)+IF(ISNA(VLOOKUP($A1011,'Mutasi Neraca'!$A$3:$S$910,8,FALSE)),0,VLOOKUP($A1011,'Mutasi Neraca'!$A$3:$S$910,8,FALSE))</f>
        <v>0</v>
      </c>
      <c r="J1011" s="42">
        <f>VLOOKUP($A1011,'Neraca Unaudited SIMAK'!$A$2:$R$1272,9,FALSE)+IF(ISNA(VLOOKUP($A1011,'Mutasi Neraca'!$A$3:$S$910,9,FALSE)),0,VLOOKUP($A1011,'Mutasi Neraca'!$A$3:$S$910,9,FALSE))</f>
        <v>0</v>
      </c>
      <c r="K1011" s="42">
        <f>VLOOKUP($A1011,'Neraca Unaudited SIMAK'!$A$2:$R$1272,10,FALSE)+IF(ISNA(VLOOKUP($A1011,'Mutasi Neraca'!$A$3:$S$910,10,FALSE)),0,VLOOKUP($A1011,'Mutasi Neraca'!$A$3:$S$910,10,FALSE))</f>
        <v>0</v>
      </c>
      <c r="L1011" s="42">
        <f>VLOOKUP($A1011,'Neraca Unaudited SIMAK'!$A$2:$R$1272,11,FALSE)+IF(ISNA(VLOOKUP($A1011,'Mutasi Neraca'!$A$3:$S$910,11,FALSE)),0,VLOOKUP($A1011,'Mutasi Neraca'!$A$3:$S$910,11,FALSE))</f>
        <v>0</v>
      </c>
      <c r="M1011" s="42">
        <f>VLOOKUP($A1011,'Neraca Unaudited SIMAK'!$A$2:$R$1272,12,FALSE)+IF(ISNA(VLOOKUP($A1011,'Mutasi Neraca'!$A$3:$S$910,12,FALSE)),0,VLOOKUP($A1011,'Mutasi Neraca'!$A$3:$S$910,12,FALSE))</f>
        <v>7936500</v>
      </c>
      <c r="N1011" s="42">
        <f>VLOOKUP($A1011,'Neraca Unaudited SIMAK'!$A$2:$R$1272,13,FALSE)+IF(ISNA(VLOOKUP($A1011,'Mutasi Neraca'!$A$3:$S$910,13,FALSE)),0,VLOOKUP($A1011,'Mutasi Neraca'!$A$3:$S$910,13,FALSE))</f>
        <v>0</v>
      </c>
      <c r="O1011" s="42">
        <f>VLOOKUP($A1011,'Neraca Unaudited SIMAK'!$A$2:$R$1272,14,FALSE)+IF(ISNA(VLOOKUP($A1011,'Mutasi Neraca'!$A$3:$S$910,14,FALSE)),0,VLOOKUP($A1011,'Mutasi Neraca'!$A$3:$S$910,14,FALSE))</f>
        <v>0</v>
      </c>
      <c r="P1011" s="42">
        <f>VLOOKUP($A1011,'Neraca Unaudited SIMAK'!$A$2:$R$1272,15,FALSE)+IF(ISNA(VLOOKUP($A1011,'Mutasi Neraca'!$A$3:$S$910,15,FALSE)),0,VLOOKUP($A1011,'Mutasi Neraca'!$A$3:$S$910,15,FALSE))</f>
        <v>0</v>
      </c>
      <c r="Q1011" s="42">
        <f>VLOOKUP($A1011,'Neraca Unaudited SIMAK'!$A$2:$R$1272,16,FALSE)+IF(ISNA(VLOOKUP($A1011,'Mutasi Neraca'!$A$3:$S$910,16,FALSE)),0,VLOOKUP($A1011,'Mutasi Neraca'!$A$3:$S$910,16,FALSE))</f>
        <v>0</v>
      </c>
      <c r="R1011" s="42">
        <f>VLOOKUP($A1011,'Neraca Unaudited SIMAK'!$A$2:$R$1272,17,FALSE)+IF(ISNA(VLOOKUP($A1011,'Mutasi Neraca'!$A$3:$S$910,17,FALSE)),0,VLOOKUP($A1011,'Mutasi Neraca'!$A$3:$S$910,17,FALSE))</f>
        <v>0</v>
      </c>
      <c r="S1011" s="42">
        <f t="shared" si="73"/>
        <v>7936500</v>
      </c>
    </row>
    <row r="1012" spans="1:19">
      <c r="A1012" s="41" t="s">
        <v>980</v>
      </c>
      <c r="B1012" s="41" t="str">
        <f t="shared" si="72"/>
        <v>005031100</v>
      </c>
      <c r="D1012" s="42">
        <f>VLOOKUP($A1012,'Neraca Unaudited SIMAK'!$A$2:$R$1272,3,FALSE)+IF(ISNA(VLOOKUP($A1012,'Mutasi Neraca'!$A$3:$S$910,3,FALSE)),0,VLOOKUP($A1012,'Mutasi Neraca'!$A$3:$S$910,3,FALSE))</f>
        <v>194750</v>
      </c>
      <c r="E1012" s="42">
        <f>VLOOKUP($A1012,'Neraca Unaudited SIMAK'!$A$2:$R$1272,4,FALSE)+IF(ISNA(VLOOKUP($A1012,'Mutasi Neraca'!$A$3:$S$910,4,FALSE)),0,VLOOKUP($A1012,'Mutasi Neraca'!$A$3:$S$910,4,FALSE))</f>
        <v>0</v>
      </c>
      <c r="F1012" s="42">
        <f>VLOOKUP($A1012,'Neraca Unaudited SIMAK'!$A$2:$R$1272,5,FALSE)+IF(ISNA(VLOOKUP($A1012,'Mutasi Neraca'!$A$3:$S$910,5,FALSE)),0,VLOOKUP($A1012,'Mutasi Neraca'!$A$3:$S$910,5,FALSE))</f>
        <v>0</v>
      </c>
      <c r="G1012" s="42">
        <f>VLOOKUP($A1012,'Neraca Unaudited SIMAK'!$A$2:$R$1272,6,FALSE)+IF(ISNA(VLOOKUP($A1012,'Mutasi Neraca'!$A$3:$S$910,6,FALSE)),0,VLOOKUP($A1012,'Mutasi Neraca'!$A$3:$S$910,6,FALSE))</f>
        <v>0</v>
      </c>
      <c r="H1012" s="42">
        <f>VLOOKUP($A1012,'Neraca Unaudited SIMAK'!$A$2:$R$1272,7,FALSE)+IF(ISNA(VLOOKUP($A1012,'Mutasi Neraca'!$A$3:$S$910,7,FALSE)),0,VLOOKUP($A1012,'Mutasi Neraca'!$A$3:$S$910,7,FALSE))</f>
        <v>0</v>
      </c>
      <c r="I1012" s="42">
        <f>VLOOKUP($A1012,'Neraca Unaudited SIMAK'!$A$2:$R$1272,8,FALSE)+IF(ISNA(VLOOKUP($A1012,'Mutasi Neraca'!$A$3:$S$910,8,FALSE)),0,VLOOKUP($A1012,'Mutasi Neraca'!$A$3:$S$910,8,FALSE))</f>
        <v>0</v>
      </c>
      <c r="J1012" s="42">
        <f>VLOOKUP($A1012,'Neraca Unaudited SIMAK'!$A$2:$R$1272,9,FALSE)+IF(ISNA(VLOOKUP($A1012,'Mutasi Neraca'!$A$3:$S$910,9,FALSE)),0,VLOOKUP($A1012,'Mutasi Neraca'!$A$3:$S$910,9,FALSE))</f>
        <v>0</v>
      </c>
      <c r="K1012" s="42">
        <f>VLOOKUP($A1012,'Neraca Unaudited SIMAK'!$A$2:$R$1272,10,FALSE)+IF(ISNA(VLOOKUP($A1012,'Mutasi Neraca'!$A$3:$S$910,10,FALSE)),0,VLOOKUP($A1012,'Mutasi Neraca'!$A$3:$S$910,10,FALSE))</f>
        <v>0</v>
      </c>
      <c r="L1012" s="42">
        <f>VLOOKUP($A1012,'Neraca Unaudited SIMAK'!$A$2:$R$1272,11,FALSE)+IF(ISNA(VLOOKUP($A1012,'Mutasi Neraca'!$A$3:$S$910,11,FALSE)),0,VLOOKUP($A1012,'Mutasi Neraca'!$A$3:$S$910,11,FALSE))</f>
        <v>0</v>
      </c>
      <c r="M1012" s="42">
        <f>VLOOKUP($A1012,'Neraca Unaudited SIMAK'!$A$2:$R$1272,12,FALSE)+IF(ISNA(VLOOKUP($A1012,'Mutasi Neraca'!$A$3:$S$910,12,FALSE)),0,VLOOKUP($A1012,'Mutasi Neraca'!$A$3:$S$910,12,FALSE))</f>
        <v>194750</v>
      </c>
      <c r="N1012" s="42">
        <f>VLOOKUP($A1012,'Neraca Unaudited SIMAK'!$A$2:$R$1272,13,FALSE)+IF(ISNA(VLOOKUP($A1012,'Mutasi Neraca'!$A$3:$S$910,13,FALSE)),0,VLOOKUP($A1012,'Mutasi Neraca'!$A$3:$S$910,13,FALSE))</f>
        <v>0</v>
      </c>
      <c r="O1012" s="42">
        <f>VLOOKUP($A1012,'Neraca Unaudited SIMAK'!$A$2:$R$1272,14,FALSE)+IF(ISNA(VLOOKUP($A1012,'Mutasi Neraca'!$A$3:$S$910,14,FALSE)),0,VLOOKUP($A1012,'Mutasi Neraca'!$A$3:$S$910,14,FALSE))</f>
        <v>0</v>
      </c>
      <c r="P1012" s="42">
        <f>VLOOKUP($A1012,'Neraca Unaudited SIMAK'!$A$2:$R$1272,15,FALSE)+IF(ISNA(VLOOKUP($A1012,'Mutasi Neraca'!$A$3:$S$910,15,FALSE)),0,VLOOKUP($A1012,'Mutasi Neraca'!$A$3:$S$910,15,FALSE))</f>
        <v>0</v>
      </c>
      <c r="Q1012" s="42">
        <f>VLOOKUP($A1012,'Neraca Unaudited SIMAK'!$A$2:$R$1272,16,FALSE)+IF(ISNA(VLOOKUP($A1012,'Mutasi Neraca'!$A$3:$S$910,16,FALSE)),0,VLOOKUP($A1012,'Mutasi Neraca'!$A$3:$S$910,16,FALSE))</f>
        <v>0</v>
      </c>
      <c r="R1012" s="42">
        <f>VLOOKUP($A1012,'Neraca Unaudited SIMAK'!$A$2:$R$1272,17,FALSE)+IF(ISNA(VLOOKUP($A1012,'Mutasi Neraca'!$A$3:$S$910,17,FALSE)),0,VLOOKUP($A1012,'Mutasi Neraca'!$A$3:$S$910,17,FALSE))</f>
        <v>0</v>
      </c>
      <c r="S1012" s="42">
        <f t="shared" si="73"/>
        <v>194750</v>
      </c>
    </row>
    <row r="1013" spans="1:19">
      <c r="A1013" s="41" t="s">
        <v>981</v>
      </c>
      <c r="B1013" s="41" t="str">
        <f t="shared" si="72"/>
        <v>005031100</v>
      </c>
      <c r="D1013" s="42">
        <f>VLOOKUP($A1013,'Neraca Unaudited SIMAK'!$A$2:$R$1272,3,FALSE)+IF(ISNA(VLOOKUP($A1013,'Mutasi Neraca'!$A$3:$S$910,3,FALSE)),0,VLOOKUP($A1013,'Mutasi Neraca'!$A$3:$S$910,3,FALSE))</f>
        <v>100000</v>
      </c>
      <c r="E1013" s="42">
        <f>VLOOKUP($A1013,'Neraca Unaudited SIMAK'!$A$2:$R$1272,4,FALSE)+IF(ISNA(VLOOKUP($A1013,'Mutasi Neraca'!$A$3:$S$910,4,FALSE)),0,VLOOKUP($A1013,'Mutasi Neraca'!$A$3:$S$910,4,FALSE))</f>
        <v>0</v>
      </c>
      <c r="F1013" s="42">
        <f>VLOOKUP($A1013,'Neraca Unaudited SIMAK'!$A$2:$R$1272,5,FALSE)+IF(ISNA(VLOOKUP($A1013,'Mutasi Neraca'!$A$3:$S$910,5,FALSE)),0,VLOOKUP($A1013,'Mutasi Neraca'!$A$3:$S$910,5,FALSE))</f>
        <v>0</v>
      </c>
      <c r="G1013" s="42">
        <f>VLOOKUP($A1013,'Neraca Unaudited SIMAK'!$A$2:$R$1272,6,FALSE)+IF(ISNA(VLOOKUP($A1013,'Mutasi Neraca'!$A$3:$S$910,6,FALSE)),0,VLOOKUP($A1013,'Mutasi Neraca'!$A$3:$S$910,6,FALSE))</f>
        <v>0</v>
      </c>
      <c r="H1013" s="42">
        <f>VLOOKUP($A1013,'Neraca Unaudited SIMAK'!$A$2:$R$1272,7,FALSE)+IF(ISNA(VLOOKUP($A1013,'Mutasi Neraca'!$A$3:$S$910,7,FALSE)),0,VLOOKUP($A1013,'Mutasi Neraca'!$A$3:$S$910,7,FALSE))</f>
        <v>0</v>
      </c>
      <c r="I1013" s="42">
        <f>VLOOKUP($A1013,'Neraca Unaudited SIMAK'!$A$2:$R$1272,8,FALSE)+IF(ISNA(VLOOKUP($A1013,'Mutasi Neraca'!$A$3:$S$910,8,FALSE)),0,VLOOKUP($A1013,'Mutasi Neraca'!$A$3:$S$910,8,FALSE))</f>
        <v>0</v>
      </c>
      <c r="J1013" s="42">
        <f>VLOOKUP($A1013,'Neraca Unaudited SIMAK'!$A$2:$R$1272,9,FALSE)+IF(ISNA(VLOOKUP($A1013,'Mutasi Neraca'!$A$3:$S$910,9,FALSE)),0,VLOOKUP($A1013,'Mutasi Neraca'!$A$3:$S$910,9,FALSE))</f>
        <v>0</v>
      </c>
      <c r="K1013" s="42">
        <f>VLOOKUP($A1013,'Neraca Unaudited SIMAK'!$A$2:$R$1272,10,FALSE)+IF(ISNA(VLOOKUP($A1013,'Mutasi Neraca'!$A$3:$S$910,10,FALSE)),0,VLOOKUP($A1013,'Mutasi Neraca'!$A$3:$S$910,10,FALSE))</f>
        <v>0</v>
      </c>
      <c r="L1013" s="42">
        <f>VLOOKUP($A1013,'Neraca Unaudited SIMAK'!$A$2:$R$1272,11,FALSE)+IF(ISNA(VLOOKUP($A1013,'Mutasi Neraca'!$A$3:$S$910,11,FALSE)),0,VLOOKUP($A1013,'Mutasi Neraca'!$A$3:$S$910,11,FALSE))</f>
        <v>0</v>
      </c>
      <c r="M1013" s="42">
        <f>VLOOKUP($A1013,'Neraca Unaudited SIMAK'!$A$2:$R$1272,12,FALSE)+IF(ISNA(VLOOKUP($A1013,'Mutasi Neraca'!$A$3:$S$910,12,FALSE)),0,VLOOKUP($A1013,'Mutasi Neraca'!$A$3:$S$910,12,FALSE))</f>
        <v>100000</v>
      </c>
      <c r="N1013" s="42">
        <f>VLOOKUP($A1013,'Neraca Unaudited SIMAK'!$A$2:$R$1272,13,FALSE)+IF(ISNA(VLOOKUP($A1013,'Mutasi Neraca'!$A$3:$S$910,13,FALSE)),0,VLOOKUP($A1013,'Mutasi Neraca'!$A$3:$S$910,13,FALSE))</f>
        <v>0</v>
      </c>
      <c r="O1013" s="42">
        <f>VLOOKUP($A1013,'Neraca Unaudited SIMAK'!$A$2:$R$1272,14,FALSE)+IF(ISNA(VLOOKUP($A1013,'Mutasi Neraca'!$A$3:$S$910,14,FALSE)),0,VLOOKUP($A1013,'Mutasi Neraca'!$A$3:$S$910,14,FALSE))</f>
        <v>0</v>
      </c>
      <c r="P1013" s="42">
        <f>VLOOKUP($A1013,'Neraca Unaudited SIMAK'!$A$2:$R$1272,15,FALSE)+IF(ISNA(VLOOKUP($A1013,'Mutasi Neraca'!$A$3:$S$910,15,FALSE)),0,VLOOKUP($A1013,'Mutasi Neraca'!$A$3:$S$910,15,FALSE))</f>
        <v>0</v>
      </c>
      <c r="Q1013" s="42">
        <f>VLOOKUP($A1013,'Neraca Unaudited SIMAK'!$A$2:$R$1272,16,FALSE)+IF(ISNA(VLOOKUP($A1013,'Mutasi Neraca'!$A$3:$S$910,16,FALSE)),0,VLOOKUP($A1013,'Mutasi Neraca'!$A$3:$S$910,16,FALSE))</f>
        <v>0</v>
      </c>
      <c r="R1013" s="42">
        <f>VLOOKUP($A1013,'Neraca Unaudited SIMAK'!$A$2:$R$1272,17,FALSE)+IF(ISNA(VLOOKUP($A1013,'Mutasi Neraca'!$A$3:$S$910,17,FALSE)),0,VLOOKUP($A1013,'Mutasi Neraca'!$A$3:$S$910,17,FALSE))</f>
        <v>0</v>
      </c>
      <c r="S1013" s="42">
        <f t="shared" si="73"/>
        <v>100000</v>
      </c>
    </row>
    <row r="1014" spans="1:19">
      <c r="A1014" s="41" t="s">
        <v>2048</v>
      </c>
      <c r="B1014" s="41" t="str">
        <f t="shared" si="72"/>
        <v>005031100</v>
      </c>
      <c r="D1014" s="42">
        <f>VLOOKUP($A1014,'Neraca Unaudited SIMAK'!$A$2:$R$1272,3,FALSE)+IF(ISNA(VLOOKUP($A1014,'Mutasi Neraca'!$A$3:$S$910,3,FALSE)),0,VLOOKUP($A1014,'Mutasi Neraca'!$A$3:$S$910,3,FALSE))</f>
        <v>46239750</v>
      </c>
      <c r="E1014" s="42">
        <f>VLOOKUP($A1014,'Neraca Unaudited SIMAK'!$A$2:$R$1272,4,FALSE)+IF(ISNA(VLOOKUP($A1014,'Mutasi Neraca'!$A$3:$S$910,4,FALSE)),0,VLOOKUP($A1014,'Mutasi Neraca'!$A$3:$S$910,4,FALSE))</f>
        <v>0</v>
      </c>
      <c r="F1014" s="42">
        <f>VLOOKUP($A1014,'Neraca Unaudited SIMAK'!$A$2:$R$1272,5,FALSE)+IF(ISNA(VLOOKUP($A1014,'Mutasi Neraca'!$A$3:$S$910,5,FALSE)),0,VLOOKUP($A1014,'Mutasi Neraca'!$A$3:$S$910,5,FALSE))</f>
        <v>0</v>
      </c>
      <c r="G1014" s="42">
        <f>VLOOKUP($A1014,'Neraca Unaudited SIMAK'!$A$2:$R$1272,6,FALSE)+IF(ISNA(VLOOKUP($A1014,'Mutasi Neraca'!$A$3:$S$910,6,FALSE)),0,VLOOKUP($A1014,'Mutasi Neraca'!$A$3:$S$910,6,FALSE))</f>
        <v>0</v>
      </c>
      <c r="H1014" s="42">
        <f>VLOOKUP($A1014,'Neraca Unaudited SIMAK'!$A$2:$R$1272,7,FALSE)+IF(ISNA(VLOOKUP($A1014,'Mutasi Neraca'!$A$3:$S$910,7,FALSE)),0,VLOOKUP($A1014,'Mutasi Neraca'!$A$3:$S$910,7,FALSE))</f>
        <v>0</v>
      </c>
      <c r="I1014" s="42">
        <f>VLOOKUP($A1014,'Neraca Unaudited SIMAK'!$A$2:$R$1272,8,FALSE)+IF(ISNA(VLOOKUP($A1014,'Mutasi Neraca'!$A$3:$S$910,8,FALSE)),0,VLOOKUP($A1014,'Mutasi Neraca'!$A$3:$S$910,8,FALSE))</f>
        <v>0</v>
      </c>
      <c r="J1014" s="42">
        <f>VLOOKUP($A1014,'Neraca Unaudited SIMAK'!$A$2:$R$1272,9,FALSE)+IF(ISNA(VLOOKUP($A1014,'Mutasi Neraca'!$A$3:$S$910,9,FALSE)),0,VLOOKUP($A1014,'Mutasi Neraca'!$A$3:$S$910,9,FALSE))</f>
        <v>0</v>
      </c>
      <c r="K1014" s="42">
        <f>VLOOKUP($A1014,'Neraca Unaudited SIMAK'!$A$2:$R$1272,10,FALSE)+IF(ISNA(VLOOKUP($A1014,'Mutasi Neraca'!$A$3:$S$910,10,FALSE)),0,VLOOKUP($A1014,'Mutasi Neraca'!$A$3:$S$910,10,FALSE))</f>
        <v>0</v>
      </c>
      <c r="L1014" s="42">
        <f>VLOOKUP($A1014,'Neraca Unaudited SIMAK'!$A$2:$R$1272,11,FALSE)+IF(ISNA(VLOOKUP($A1014,'Mutasi Neraca'!$A$3:$S$910,11,FALSE)),0,VLOOKUP($A1014,'Mutasi Neraca'!$A$3:$S$910,11,FALSE))</f>
        <v>0</v>
      </c>
      <c r="M1014" s="42">
        <f>VLOOKUP($A1014,'Neraca Unaudited SIMAK'!$A$2:$R$1272,12,FALSE)+IF(ISNA(VLOOKUP($A1014,'Mutasi Neraca'!$A$3:$S$910,12,FALSE)),0,VLOOKUP($A1014,'Mutasi Neraca'!$A$3:$S$910,12,FALSE))</f>
        <v>46239750</v>
      </c>
      <c r="N1014" s="42">
        <f>VLOOKUP($A1014,'Neraca Unaudited SIMAK'!$A$2:$R$1272,13,FALSE)+IF(ISNA(VLOOKUP($A1014,'Mutasi Neraca'!$A$3:$S$910,13,FALSE)),0,VLOOKUP($A1014,'Mutasi Neraca'!$A$3:$S$910,13,FALSE))</f>
        <v>0</v>
      </c>
      <c r="O1014" s="42">
        <f>VLOOKUP($A1014,'Neraca Unaudited SIMAK'!$A$2:$R$1272,14,FALSE)+IF(ISNA(VLOOKUP($A1014,'Mutasi Neraca'!$A$3:$S$910,14,FALSE)),0,VLOOKUP($A1014,'Mutasi Neraca'!$A$3:$S$910,14,FALSE))</f>
        <v>0</v>
      </c>
      <c r="P1014" s="42">
        <f>VLOOKUP($A1014,'Neraca Unaudited SIMAK'!$A$2:$R$1272,15,FALSE)+IF(ISNA(VLOOKUP($A1014,'Mutasi Neraca'!$A$3:$S$910,15,FALSE)),0,VLOOKUP($A1014,'Mutasi Neraca'!$A$3:$S$910,15,FALSE))</f>
        <v>0</v>
      </c>
      <c r="Q1014" s="42">
        <f>VLOOKUP($A1014,'Neraca Unaudited SIMAK'!$A$2:$R$1272,16,FALSE)+IF(ISNA(VLOOKUP($A1014,'Mutasi Neraca'!$A$3:$S$910,16,FALSE)),0,VLOOKUP($A1014,'Mutasi Neraca'!$A$3:$S$910,16,FALSE))</f>
        <v>0</v>
      </c>
      <c r="R1014" s="42">
        <f>VLOOKUP($A1014,'Neraca Unaudited SIMAK'!$A$2:$R$1272,17,FALSE)+IF(ISNA(VLOOKUP($A1014,'Mutasi Neraca'!$A$3:$S$910,17,FALSE)),0,VLOOKUP($A1014,'Mutasi Neraca'!$A$3:$S$910,17,FALSE))</f>
        <v>0</v>
      </c>
      <c r="S1014" s="42">
        <f t="shared" si="73"/>
        <v>46239750</v>
      </c>
    </row>
    <row r="1015" spans="1:19">
      <c r="A1015" s="41" t="s">
        <v>982</v>
      </c>
      <c r="B1015" s="41" t="str">
        <f t="shared" si="72"/>
        <v>005031200</v>
      </c>
      <c r="D1015" s="42">
        <f>VLOOKUP($A1015,'Neraca Unaudited SIMAK'!$A$2:$R$1272,3,FALSE)+IF(ISNA(VLOOKUP($A1015,'Mutasi Neraca'!$A$3:$S$910,3,FALSE)),0,VLOOKUP($A1015,'Mutasi Neraca'!$A$3:$S$910,3,FALSE))</f>
        <v>966000</v>
      </c>
      <c r="E1015" s="42">
        <f>VLOOKUP($A1015,'Neraca Unaudited SIMAK'!$A$2:$R$1272,4,FALSE)+IF(ISNA(VLOOKUP($A1015,'Mutasi Neraca'!$A$3:$S$910,4,FALSE)),0,VLOOKUP($A1015,'Mutasi Neraca'!$A$3:$S$910,4,FALSE))</f>
        <v>0</v>
      </c>
      <c r="F1015" s="42">
        <f>VLOOKUP($A1015,'Neraca Unaudited SIMAK'!$A$2:$R$1272,5,FALSE)+IF(ISNA(VLOOKUP($A1015,'Mutasi Neraca'!$A$3:$S$910,5,FALSE)),0,VLOOKUP($A1015,'Mutasi Neraca'!$A$3:$S$910,5,FALSE))</f>
        <v>0</v>
      </c>
      <c r="G1015" s="42">
        <f>VLOOKUP($A1015,'Neraca Unaudited SIMAK'!$A$2:$R$1272,6,FALSE)+IF(ISNA(VLOOKUP($A1015,'Mutasi Neraca'!$A$3:$S$910,6,FALSE)),0,VLOOKUP($A1015,'Mutasi Neraca'!$A$3:$S$910,6,FALSE))</f>
        <v>0</v>
      </c>
      <c r="H1015" s="42">
        <f>VLOOKUP($A1015,'Neraca Unaudited SIMAK'!$A$2:$R$1272,7,FALSE)+IF(ISNA(VLOOKUP($A1015,'Mutasi Neraca'!$A$3:$S$910,7,FALSE)),0,VLOOKUP($A1015,'Mutasi Neraca'!$A$3:$S$910,7,FALSE))</f>
        <v>0</v>
      </c>
      <c r="I1015" s="42">
        <f>VLOOKUP($A1015,'Neraca Unaudited SIMAK'!$A$2:$R$1272,8,FALSE)+IF(ISNA(VLOOKUP($A1015,'Mutasi Neraca'!$A$3:$S$910,8,FALSE)),0,VLOOKUP($A1015,'Mutasi Neraca'!$A$3:$S$910,8,FALSE))</f>
        <v>0</v>
      </c>
      <c r="J1015" s="42">
        <f>VLOOKUP($A1015,'Neraca Unaudited SIMAK'!$A$2:$R$1272,9,FALSE)+IF(ISNA(VLOOKUP($A1015,'Mutasi Neraca'!$A$3:$S$910,9,FALSE)),0,VLOOKUP($A1015,'Mutasi Neraca'!$A$3:$S$910,9,FALSE))</f>
        <v>0</v>
      </c>
      <c r="K1015" s="42">
        <f>VLOOKUP($A1015,'Neraca Unaudited SIMAK'!$A$2:$R$1272,10,FALSE)+IF(ISNA(VLOOKUP($A1015,'Mutasi Neraca'!$A$3:$S$910,10,FALSE)),0,VLOOKUP($A1015,'Mutasi Neraca'!$A$3:$S$910,10,FALSE))</f>
        <v>0</v>
      </c>
      <c r="L1015" s="42">
        <f>VLOOKUP($A1015,'Neraca Unaudited SIMAK'!$A$2:$R$1272,11,FALSE)+IF(ISNA(VLOOKUP($A1015,'Mutasi Neraca'!$A$3:$S$910,11,FALSE)),0,VLOOKUP($A1015,'Mutasi Neraca'!$A$3:$S$910,11,FALSE))</f>
        <v>0</v>
      </c>
      <c r="M1015" s="42">
        <f>VLOOKUP($A1015,'Neraca Unaudited SIMAK'!$A$2:$R$1272,12,FALSE)+IF(ISNA(VLOOKUP($A1015,'Mutasi Neraca'!$A$3:$S$910,12,FALSE)),0,VLOOKUP($A1015,'Mutasi Neraca'!$A$3:$S$910,12,FALSE))</f>
        <v>966000</v>
      </c>
      <c r="N1015" s="42">
        <f>VLOOKUP($A1015,'Neraca Unaudited SIMAK'!$A$2:$R$1272,13,FALSE)+IF(ISNA(VLOOKUP($A1015,'Mutasi Neraca'!$A$3:$S$910,13,FALSE)),0,VLOOKUP($A1015,'Mutasi Neraca'!$A$3:$S$910,13,FALSE))</f>
        <v>0</v>
      </c>
      <c r="O1015" s="42">
        <f>VLOOKUP($A1015,'Neraca Unaudited SIMAK'!$A$2:$R$1272,14,FALSE)+IF(ISNA(VLOOKUP($A1015,'Mutasi Neraca'!$A$3:$S$910,14,FALSE)),0,VLOOKUP($A1015,'Mutasi Neraca'!$A$3:$S$910,14,FALSE))</f>
        <v>0</v>
      </c>
      <c r="P1015" s="42">
        <f>VLOOKUP($A1015,'Neraca Unaudited SIMAK'!$A$2:$R$1272,15,FALSE)+IF(ISNA(VLOOKUP($A1015,'Mutasi Neraca'!$A$3:$S$910,15,FALSE)),0,VLOOKUP($A1015,'Mutasi Neraca'!$A$3:$S$910,15,FALSE))</f>
        <v>0</v>
      </c>
      <c r="Q1015" s="42">
        <f>VLOOKUP($A1015,'Neraca Unaudited SIMAK'!$A$2:$R$1272,16,FALSE)+IF(ISNA(VLOOKUP($A1015,'Mutasi Neraca'!$A$3:$S$910,16,FALSE)),0,VLOOKUP($A1015,'Mutasi Neraca'!$A$3:$S$910,16,FALSE))</f>
        <v>0</v>
      </c>
      <c r="R1015" s="42">
        <f>VLOOKUP($A1015,'Neraca Unaudited SIMAK'!$A$2:$R$1272,17,FALSE)+IF(ISNA(VLOOKUP($A1015,'Mutasi Neraca'!$A$3:$S$910,17,FALSE)),0,VLOOKUP($A1015,'Mutasi Neraca'!$A$3:$S$910,17,FALSE))</f>
        <v>0</v>
      </c>
      <c r="S1015" s="42">
        <f t="shared" si="73"/>
        <v>966000</v>
      </c>
    </row>
    <row r="1016" spans="1:19">
      <c r="A1016" s="41" t="s">
        <v>2049</v>
      </c>
      <c r="B1016" s="41" t="str">
        <f t="shared" si="72"/>
        <v>005031200</v>
      </c>
      <c r="D1016" s="42">
        <f>VLOOKUP($A1016,'Neraca Unaudited SIMAK'!$A$2:$R$1272,3,FALSE)+IF(ISNA(VLOOKUP($A1016,'Mutasi Neraca'!$A$3:$S$910,3,FALSE)),0,VLOOKUP($A1016,'Mutasi Neraca'!$A$3:$S$910,3,FALSE))</f>
        <v>39000</v>
      </c>
      <c r="E1016" s="42">
        <f>VLOOKUP($A1016,'Neraca Unaudited SIMAK'!$A$2:$R$1272,4,FALSE)+IF(ISNA(VLOOKUP($A1016,'Mutasi Neraca'!$A$3:$S$910,4,FALSE)),0,VLOOKUP($A1016,'Mutasi Neraca'!$A$3:$S$910,4,FALSE))</f>
        <v>0</v>
      </c>
      <c r="F1016" s="42">
        <f>VLOOKUP($A1016,'Neraca Unaudited SIMAK'!$A$2:$R$1272,5,FALSE)+IF(ISNA(VLOOKUP($A1016,'Mutasi Neraca'!$A$3:$S$910,5,FALSE)),0,VLOOKUP($A1016,'Mutasi Neraca'!$A$3:$S$910,5,FALSE))</f>
        <v>0</v>
      </c>
      <c r="G1016" s="42">
        <f>VLOOKUP($A1016,'Neraca Unaudited SIMAK'!$A$2:$R$1272,6,FALSE)+IF(ISNA(VLOOKUP($A1016,'Mutasi Neraca'!$A$3:$S$910,6,FALSE)),0,VLOOKUP($A1016,'Mutasi Neraca'!$A$3:$S$910,6,FALSE))</f>
        <v>0</v>
      </c>
      <c r="H1016" s="42">
        <f>VLOOKUP($A1016,'Neraca Unaudited SIMAK'!$A$2:$R$1272,7,FALSE)+IF(ISNA(VLOOKUP($A1016,'Mutasi Neraca'!$A$3:$S$910,7,FALSE)),0,VLOOKUP($A1016,'Mutasi Neraca'!$A$3:$S$910,7,FALSE))</f>
        <v>0</v>
      </c>
      <c r="I1016" s="42">
        <f>VLOOKUP($A1016,'Neraca Unaudited SIMAK'!$A$2:$R$1272,8,FALSE)+IF(ISNA(VLOOKUP($A1016,'Mutasi Neraca'!$A$3:$S$910,8,FALSE)),0,VLOOKUP($A1016,'Mutasi Neraca'!$A$3:$S$910,8,FALSE))</f>
        <v>0</v>
      </c>
      <c r="J1016" s="42">
        <f>VLOOKUP($A1016,'Neraca Unaudited SIMAK'!$A$2:$R$1272,9,FALSE)+IF(ISNA(VLOOKUP($A1016,'Mutasi Neraca'!$A$3:$S$910,9,FALSE)),0,VLOOKUP($A1016,'Mutasi Neraca'!$A$3:$S$910,9,FALSE))</f>
        <v>0</v>
      </c>
      <c r="K1016" s="42">
        <f>VLOOKUP($A1016,'Neraca Unaudited SIMAK'!$A$2:$R$1272,10,FALSE)+IF(ISNA(VLOOKUP($A1016,'Mutasi Neraca'!$A$3:$S$910,10,FALSE)),0,VLOOKUP($A1016,'Mutasi Neraca'!$A$3:$S$910,10,FALSE))</f>
        <v>0</v>
      </c>
      <c r="L1016" s="42">
        <f>VLOOKUP($A1016,'Neraca Unaudited SIMAK'!$A$2:$R$1272,11,FALSE)+IF(ISNA(VLOOKUP($A1016,'Mutasi Neraca'!$A$3:$S$910,11,FALSE)),0,VLOOKUP($A1016,'Mutasi Neraca'!$A$3:$S$910,11,FALSE))</f>
        <v>0</v>
      </c>
      <c r="M1016" s="42">
        <f>VLOOKUP($A1016,'Neraca Unaudited SIMAK'!$A$2:$R$1272,12,FALSE)+IF(ISNA(VLOOKUP($A1016,'Mutasi Neraca'!$A$3:$S$910,12,FALSE)),0,VLOOKUP($A1016,'Mutasi Neraca'!$A$3:$S$910,12,FALSE))</f>
        <v>39000</v>
      </c>
      <c r="N1016" s="42">
        <f>VLOOKUP($A1016,'Neraca Unaudited SIMAK'!$A$2:$R$1272,13,FALSE)+IF(ISNA(VLOOKUP($A1016,'Mutasi Neraca'!$A$3:$S$910,13,FALSE)),0,VLOOKUP($A1016,'Mutasi Neraca'!$A$3:$S$910,13,FALSE))</f>
        <v>0</v>
      </c>
      <c r="O1016" s="42">
        <f>VLOOKUP($A1016,'Neraca Unaudited SIMAK'!$A$2:$R$1272,14,FALSE)+IF(ISNA(VLOOKUP($A1016,'Mutasi Neraca'!$A$3:$S$910,14,FALSE)),0,VLOOKUP($A1016,'Mutasi Neraca'!$A$3:$S$910,14,FALSE))</f>
        <v>0</v>
      </c>
      <c r="P1016" s="42">
        <f>VLOOKUP($A1016,'Neraca Unaudited SIMAK'!$A$2:$R$1272,15,FALSE)+IF(ISNA(VLOOKUP($A1016,'Mutasi Neraca'!$A$3:$S$910,15,FALSE)),0,VLOOKUP($A1016,'Mutasi Neraca'!$A$3:$S$910,15,FALSE))</f>
        <v>0</v>
      </c>
      <c r="Q1016" s="42">
        <f>VLOOKUP($A1016,'Neraca Unaudited SIMAK'!$A$2:$R$1272,16,FALSE)+IF(ISNA(VLOOKUP($A1016,'Mutasi Neraca'!$A$3:$S$910,16,FALSE)),0,VLOOKUP($A1016,'Mutasi Neraca'!$A$3:$S$910,16,FALSE))</f>
        <v>0</v>
      </c>
      <c r="R1016" s="42">
        <f>VLOOKUP($A1016,'Neraca Unaudited SIMAK'!$A$2:$R$1272,17,FALSE)+IF(ISNA(VLOOKUP($A1016,'Mutasi Neraca'!$A$3:$S$910,17,FALSE)),0,VLOOKUP($A1016,'Mutasi Neraca'!$A$3:$S$910,17,FALSE))</f>
        <v>0</v>
      </c>
      <c r="S1016" s="42">
        <f t="shared" si="73"/>
        <v>39000</v>
      </c>
    </row>
    <row r="1017" spans="1:19">
      <c r="A1017" s="41" t="s">
        <v>983</v>
      </c>
      <c r="B1017" s="41" t="str">
        <f t="shared" si="72"/>
        <v>005031200</v>
      </c>
      <c r="D1017" s="42">
        <f>VLOOKUP($A1017,'Neraca Unaudited SIMAK'!$A$2:$R$1272,3,FALSE)+IF(ISNA(VLOOKUP($A1017,'Mutasi Neraca'!$A$3:$S$910,3,FALSE)),0,VLOOKUP($A1017,'Mutasi Neraca'!$A$3:$S$910,3,FALSE))</f>
        <v>1398000</v>
      </c>
      <c r="E1017" s="42">
        <f>VLOOKUP($A1017,'Neraca Unaudited SIMAK'!$A$2:$R$1272,4,FALSE)+IF(ISNA(VLOOKUP($A1017,'Mutasi Neraca'!$A$3:$S$910,4,FALSE)),0,VLOOKUP($A1017,'Mutasi Neraca'!$A$3:$S$910,4,FALSE))</f>
        <v>0</v>
      </c>
      <c r="F1017" s="42">
        <f>VLOOKUP($A1017,'Neraca Unaudited SIMAK'!$A$2:$R$1272,5,FALSE)+IF(ISNA(VLOOKUP($A1017,'Mutasi Neraca'!$A$3:$S$910,5,FALSE)),0,VLOOKUP($A1017,'Mutasi Neraca'!$A$3:$S$910,5,FALSE))</f>
        <v>0</v>
      </c>
      <c r="G1017" s="42">
        <f>VLOOKUP($A1017,'Neraca Unaudited SIMAK'!$A$2:$R$1272,6,FALSE)+IF(ISNA(VLOOKUP($A1017,'Mutasi Neraca'!$A$3:$S$910,6,FALSE)),0,VLOOKUP($A1017,'Mutasi Neraca'!$A$3:$S$910,6,FALSE))</f>
        <v>0</v>
      </c>
      <c r="H1017" s="42">
        <f>VLOOKUP($A1017,'Neraca Unaudited SIMAK'!$A$2:$R$1272,7,FALSE)+IF(ISNA(VLOOKUP($A1017,'Mutasi Neraca'!$A$3:$S$910,7,FALSE)),0,VLOOKUP($A1017,'Mutasi Neraca'!$A$3:$S$910,7,FALSE))</f>
        <v>0</v>
      </c>
      <c r="I1017" s="42">
        <f>VLOOKUP($A1017,'Neraca Unaudited SIMAK'!$A$2:$R$1272,8,FALSE)+IF(ISNA(VLOOKUP($A1017,'Mutasi Neraca'!$A$3:$S$910,8,FALSE)),0,VLOOKUP($A1017,'Mutasi Neraca'!$A$3:$S$910,8,FALSE))</f>
        <v>0</v>
      </c>
      <c r="J1017" s="42">
        <f>VLOOKUP($A1017,'Neraca Unaudited SIMAK'!$A$2:$R$1272,9,FALSE)+IF(ISNA(VLOOKUP($A1017,'Mutasi Neraca'!$A$3:$S$910,9,FALSE)),0,VLOOKUP($A1017,'Mutasi Neraca'!$A$3:$S$910,9,FALSE))</f>
        <v>0</v>
      </c>
      <c r="K1017" s="42">
        <f>VLOOKUP($A1017,'Neraca Unaudited SIMAK'!$A$2:$R$1272,10,FALSE)+IF(ISNA(VLOOKUP($A1017,'Mutasi Neraca'!$A$3:$S$910,10,FALSE)),0,VLOOKUP($A1017,'Mutasi Neraca'!$A$3:$S$910,10,FALSE))</f>
        <v>0</v>
      </c>
      <c r="L1017" s="42">
        <f>VLOOKUP($A1017,'Neraca Unaudited SIMAK'!$A$2:$R$1272,11,FALSE)+IF(ISNA(VLOOKUP($A1017,'Mutasi Neraca'!$A$3:$S$910,11,FALSE)),0,VLOOKUP($A1017,'Mutasi Neraca'!$A$3:$S$910,11,FALSE))</f>
        <v>0</v>
      </c>
      <c r="M1017" s="42">
        <f>VLOOKUP($A1017,'Neraca Unaudited SIMAK'!$A$2:$R$1272,12,FALSE)+IF(ISNA(VLOOKUP($A1017,'Mutasi Neraca'!$A$3:$S$910,12,FALSE)),0,VLOOKUP($A1017,'Mutasi Neraca'!$A$3:$S$910,12,FALSE))</f>
        <v>1398000</v>
      </c>
      <c r="N1017" s="42">
        <f>VLOOKUP($A1017,'Neraca Unaudited SIMAK'!$A$2:$R$1272,13,FALSE)+IF(ISNA(VLOOKUP($A1017,'Mutasi Neraca'!$A$3:$S$910,13,FALSE)),0,VLOOKUP($A1017,'Mutasi Neraca'!$A$3:$S$910,13,FALSE))</f>
        <v>0</v>
      </c>
      <c r="O1017" s="42">
        <f>VLOOKUP($A1017,'Neraca Unaudited SIMAK'!$A$2:$R$1272,14,FALSE)+IF(ISNA(VLOOKUP($A1017,'Mutasi Neraca'!$A$3:$S$910,14,FALSE)),0,VLOOKUP($A1017,'Mutasi Neraca'!$A$3:$S$910,14,FALSE))</f>
        <v>0</v>
      </c>
      <c r="P1017" s="42">
        <f>VLOOKUP($A1017,'Neraca Unaudited SIMAK'!$A$2:$R$1272,15,FALSE)+IF(ISNA(VLOOKUP($A1017,'Mutasi Neraca'!$A$3:$S$910,15,FALSE)),0,VLOOKUP($A1017,'Mutasi Neraca'!$A$3:$S$910,15,FALSE))</f>
        <v>0</v>
      </c>
      <c r="Q1017" s="42">
        <f>VLOOKUP($A1017,'Neraca Unaudited SIMAK'!$A$2:$R$1272,16,FALSE)+IF(ISNA(VLOOKUP($A1017,'Mutasi Neraca'!$A$3:$S$910,16,FALSE)),0,VLOOKUP($A1017,'Mutasi Neraca'!$A$3:$S$910,16,FALSE))</f>
        <v>0</v>
      </c>
      <c r="R1017" s="42">
        <f>VLOOKUP($A1017,'Neraca Unaudited SIMAK'!$A$2:$R$1272,17,FALSE)+IF(ISNA(VLOOKUP($A1017,'Mutasi Neraca'!$A$3:$S$910,17,FALSE)),0,VLOOKUP($A1017,'Mutasi Neraca'!$A$3:$S$910,17,FALSE))</f>
        <v>0</v>
      </c>
      <c r="S1017" s="42">
        <f t="shared" si="73"/>
        <v>1398000</v>
      </c>
    </row>
    <row r="1018" spans="1:19">
      <c r="A1018" s="41" t="s">
        <v>984</v>
      </c>
      <c r="B1018" s="41" t="str">
        <f t="shared" si="72"/>
        <v>005031200</v>
      </c>
      <c r="D1018" s="42">
        <f>VLOOKUP($A1018,'Neraca Unaudited SIMAK'!$A$2:$R$1272,3,FALSE)+IF(ISNA(VLOOKUP($A1018,'Mutasi Neraca'!$A$3:$S$910,3,FALSE)),0,VLOOKUP($A1018,'Mutasi Neraca'!$A$3:$S$910,3,FALSE))</f>
        <v>2940164</v>
      </c>
      <c r="E1018" s="42">
        <f>VLOOKUP($A1018,'Neraca Unaudited SIMAK'!$A$2:$R$1272,4,FALSE)+IF(ISNA(VLOOKUP($A1018,'Mutasi Neraca'!$A$3:$S$910,4,FALSE)),0,VLOOKUP($A1018,'Mutasi Neraca'!$A$3:$S$910,4,FALSE))</f>
        <v>0</v>
      </c>
      <c r="F1018" s="42">
        <f>VLOOKUP($A1018,'Neraca Unaudited SIMAK'!$A$2:$R$1272,5,FALSE)+IF(ISNA(VLOOKUP($A1018,'Mutasi Neraca'!$A$3:$S$910,5,FALSE)),0,VLOOKUP($A1018,'Mutasi Neraca'!$A$3:$S$910,5,FALSE))</f>
        <v>0</v>
      </c>
      <c r="G1018" s="42">
        <f>VLOOKUP($A1018,'Neraca Unaudited SIMAK'!$A$2:$R$1272,6,FALSE)+IF(ISNA(VLOOKUP($A1018,'Mutasi Neraca'!$A$3:$S$910,6,FALSE)),0,VLOOKUP($A1018,'Mutasi Neraca'!$A$3:$S$910,6,FALSE))</f>
        <v>0</v>
      </c>
      <c r="H1018" s="42">
        <f>VLOOKUP($A1018,'Neraca Unaudited SIMAK'!$A$2:$R$1272,7,FALSE)+IF(ISNA(VLOOKUP($A1018,'Mutasi Neraca'!$A$3:$S$910,7,FALSE)),0,VLOOKUP($A1018,'Mutasi Neraca'!$A$3:$S$910,7,FALSE))</f>
        <v>0</v>
      </c>
      <c r="I1018" s="42">
        <f>VLOOKUP($A1018,'Neraca Unaudited SIMAK'!$A$2:$R$1272,8,FALSE)+IF(ISNA(VLOOKUP($A1018,'Mutasi Neraca'!$A$3:$S$910,8,FALSE)),0,VLOOKUP($A1018,'Mutasi Neraca'!$A$3:$S$910,8,FALSE))</f>
        <v>0</v>
      </c>
      <c r="J1018" s="42">
        <f>VLOOKUP($A1018,'Neraca Unaudited SIMAK'!$A$2:$R$1272,9,FALSE)+IF(ISNA(VLOOKUP($A1018,'Mutasi Neraca'!$A$3:$S$910,9,FALSE)),0,VLOOKUP($A1018,'Mutasi Neraca'!$A$3:$S$910,9,FALSE))</f>
        <v>0</v>
      </c>
      <c r="K1018" s="42">
        <f>VLOOKUP($A1018,'Neraca Unaudited SIMAK'!$A$2:$R$1272,10,FALSE)+IF(ISNA(VLOOKUP($A1018,'Mutasi Neraca'!$A$3:$S$910,10,FALSE)),0,VLOOKUP($A1018,'Mutasi Neraca'!$A$3:$S$910,10,FALSE))</f>
        <v>0</v>
      </c>
      <c r="L1018" s="42">
        <f>VLOOKUP($A1018,'Neraca Unaudited SIMAK'!$A$2:$R$1272,11,FALSE)+IF(ISNA(VLOOKUP($A1018,'Mutasi Neraca'!$A$3:$S$910,11,FALSE)),0,VLOOKUP($A1018,'Mutasi Neraca'!$A$3:$S$910,11,FALSE))</f>
        <v>0</v>
      </c>
      <c r="M1018" s="42">
        <f>VLOOKUP($A1018,'Neraca Unaudited SIMAK'!$A$2:$R$1272,12,FALSE)+IF(ISNA(VLOOKUP($A1018,'Mutasi Neraca'!$A$3:$S$910,12,FALSE)),0,VLOOKUP($A1018,'Mutasi Neraca'!$A$3:$S$910,12,FALSE))</f>
        <v>2940164</v>
      </c>
      <c r="N1018" s="42">
        <f>VLOOKUP($A1018,'Neraca Unaudited SIMAK'!$A$2:$R$1272,13,FALSE)+IF(ISNA(VLOOKUP($A1018,'Mutasi Neraca'!$A$3:$S$910,13,FALSE)),0,VLOOKUP($A1018,'Mutasi Neraca'!$A$3:$S$910,13,FALSE))</f>
        <v>0</v>
      </c>
      <c r="O1018" s="42">
        <f>VLOOKUP($A1018,'Neraca Unaudited SIMAK'!$A$2:$R$1272,14,FALSE)+IF(ISNA(VLOOKUP($A1018,'Mutasi Neraca'!$A$3:$S$910,14,FALSE)),0,VLOOKUP($A1018,'Mutasi Neraca'!$A$3:$S$910,14,FALSE))</f>
        <v>0</v>
      </c>
      <c r="P1018" s="42">
        <f>VLOOKUP($A1018,'Neraca Unaudited SIMAK'!$A$2:$R$1272,15,FALSE)+IF(ISNA(VLOOKUP($A1018,'Mutasi Neraca'!$A$3:$S$910,15,FALSE)),0,VLOOKUP($A1018,'Mutasi Neraca'!$A$3:$S$910,15,FALSE))</f>
        <v>0</v>
      </c>
      <c r="Q1018" s="42">
        <f>VLOOKUP($A1018,'Neraca Unaudited SIMAK'!$A$2:$R$1272,16,FALSE)+IF(ISNA(VLOOKUP($A1018,'Mutasi Neraca'!$A$3:$S$910,16,FALSE)),0,VLOOKUP($A1018,'Mutasi Neraca'!$A$3:$S$910,16,FALSE))</f>
        <v>0</v>
      </c>
      <c r="R1018" s="42">
        <f>VLOOKUP($A1018,'Neraca Unaudited SIMAK'!$A$2:$R$1272,17,FALSE)+IF(ISNA(VLOOKUP($A1018,'Mutasi Neraca'!$A$3:$S$910,17,FALSE)),0,VLOOKUP($A1018,'Mutasi Neraca'!$A$3:$S$910,17,FALSE))</f>
        <v>0</v>
      </c>
      <c r="S1018" s="42">
        <f t="shared" si="73"/>
        <v>2940164</v>
      </c>
    </row>
    <row r="1019" spans="1:19">
      <c r="A1019" s="41" t="s">
        <v>2050</v>
      </c>
      <c r="B1019" s="41" t="str">
        <f t="shared" si="72"/>
        <v>005031200</v>
      </c>
      <c r="D1019" s="42">
        <f>VLOOKUP($A1019,'Neraca Unaudited SIMAK'!$A$2:$R$1272,3,FALSE)+IF(ISNA(VLOOKUP($A1019,'Mutasi Neraca'!$A$3:$S$910,3,FALSE)),0,VLOOKUP($A1019,'Mutasi Neraca'!$A$3:$S$910,3,FALSE))</f>
        <v>5849682</v>
      </c>
      <c r="E1019" s="42">
        <f>VLOOKUP($A1019,'Neraca Unaudited SIMAK'!$A$2:$R$1272,4,FALSE)+IF(ISNA(VLOOKUP($A1019,'Mutasi Neraca'!$A$3:$S$910,4,FALSE)),0,VLOOKUP($A1019,'Mutasi Neraca'!$A$3:$S$910,4,FALSE))</f>
        <v>0</v>
      </c>
      <c r="F1019" s="42">
        <f>VLOOKUP($A1019,'Neraca Unaudited SIMAK'!$A$2:$R$1272,5,FALSE)+IF(ISNA(VLOOKUP($A1019,'Mutasi Neraca'!$A$3:$S$910,5,FALSE)),0,VLOOKUP($A1019,'Mutasi Neraca'!$A$3:$S$910,5,FALSE))</f>
        <v>0</v>
      </c>
      <c r="G1019" s="42">
        <f>VLOOKUP($A1019,'Neraca Unaudited SIMAK'!$A$2:$R$1272,6,FALSE)+IF(ISNA(VLOOKUP($A1019,'Mutasi Neraca'!$A$3:$S$910,6,FALSE)),0,VLOOKUP($A1019,'Mutasi Neraca'!$A$3:$S$910,6,FALSE))</f>
        <v>0</v>
      </c>
      <c r="H1019" s="42">
        <f>VLOOKUP($A1019,'Neraca Unaudited SIMAK'!$A$2:$R$1272,7,FALSE)+IF(ISNA(VLOOKUP($A1019,'Mutasi Neraca'!$A$3:$S$910,7,FALSE)),0,VLOOKUP($A1019,'Mutasi Neraca'!$A$3:$S$910,7,FALSE))</f>
        <v>0</v>
      </c>
      <c r="I1019" s="42">
        <f>VLOOKUP($A1019,'Neraca Unaudited SIMAK'!$A$2:$R$1272,8,FALSE)+IF(ISNA(VLOOKUP($A1019,'Mutasi Neraca'!$A$3:$S$910,8,FALSE)),0,VLOOKUP($A1019,'Mutasi Neraca'!$A$3:$S$910,8,FALSE))</f>
        <v>0</v>
      </c>
      <c r="J1019" s="42">
        <f>VLOOKUP($A1019,'Neraca Unaudited SIMAK'!$A$2:$R$1272,9,FALSE)+IF(ISNA(VLOOKUP($A1019,'Mutasi Neraca'!$A$3:$S$910,9,FALSE)),0,VLOOKUP($A1019,'Mutasi Neraca'!$A$3:$S$910,9,FALSE))</f>
        <v>0</v>
      </c>
      <c r="K1019" s="42">
        <f>VLOOKUP($A1019,'Neraca Unaudited SIMAK'!$A$2:$R$1272,10,FALSE)+IF(ISNA(VLOOKUP($A1019,'Mutasi Neraca'!$A$3:$S$910,10,FALSE)),0,VLOOKUP($A1019,'Mutasi Neraca'!$A$3:$S$910,10,FALSE))</f>
        <v>0</v>
      </c>
      <c r="L1019" s="42">
        <f>VLOOKUP($A1019,'Neraca Unaudited SIMAK'!$A$2:$R$1272,11,FALSE)+IF(ISNA(VLOOKUP($A1019,'Mutasi Neraca'!$A$3:$S$910,11,FALSE)),0,VLOOKUP($A1019,'Mutasi Neraca'!$A$3:$S$910,11,FALSE))</f>
        <v>0</v>
      </c>
      <c r="M1019" s="42">
        <f>VLOOKUP($A1019,'Neraca Unaudited SIMAK'!$A$2:$R$1272,12,FALSE)+IF(ISNA(VLOOKUP($A1019,'Mutasi Neraca'!$A$3:$S$910,12,FALSE)),0,VLOOKUP($A1019,'Mutasi Neraca'!$A$3:$S$910,12,FALSE))</f>
        <v>5849682</v>
      </c>
      <c r="N1019" s="42">
        <f>VLOOKUP($A1019,'Neraca Unaudited SIMAK'!$A$2:$R$1272,13,FALSE)+IF(ISNA(VLOOKUP($A1019,'Mutasi Neraca'!$A$3:$S$910,13,FALSE)),0,VLOOKUP($A1019,'Mutasi Neraca'!$A$3:$S$910,13,FALSE))</f>
        <v>0</v>
      </c>
      <c r="O1019" s="42">
        <f>VLOOKUP($A1019,'Neraca Unaudited SIMAK'!$A$2:$R$1272,14,FALSE)+IF(ISNA(VLOOKUP($A1019,'Mutasi Neraca'!$A$3:$S$910,14,FALSE)),0,VLOOKUP($A1019,'Mutasi Neraca'!$A$3:$S$910,14,FALSE))</f>
        <v>0</v>
      </c>
      <c r="P1019" s="42">
        <f>VLOOKUP($A1019,'Neraca Unaudited SIMAK'!$A$2:$R$1272,15,FALSE)+IF(ISNA(VLOOKUP($A1019,'Mutasi Neraca'!$A$3:$S$910,15,FALSE)),0,VLOOKUP($A1019,'Mutasi Neraca'!$A$3:$S$910,15,FALSE))</f>
        <v>0</v>
      </c>
      <c r="Q1019" s="42">
        <f>VLOOKUP($A1019,'Neraca Unaudited SIMAK'!$A$2:$R$1272,16,FALSE)+IF(ISNA(VLOOKUP($A1019,'Mutasi Neraca'!$A$3:$S$910,16,FALSE)),0,VLOOKUP($A1019,'Mutasi Neraca'!$A$3:$S$910,16,FALSE))</f>
        <v>0</v>
      </c>
      <c r="R1019" s="42">
        <f>VLOOKUP($A1019,'Neraca Unaudited SIMAK'!$A$2:$R$1272,17,FALSE)+IF(ISNA(VLOOKUP($A1019,'Mutasi Neraca'!$A$3:$S$910,17,FALSE)),0,VLOOKUP($A1019,'Mutasi Neraca'!$A$3:$S$910,17,FALSE))</f>
        <v>0</v>
      </c>
      <c r="S1019" s="42">
        <f t="shared" si="73"/>
        <v>5849682</v>
      </c>
    </row>
    <row r="1020" spans="1:19">
      <c r="A1020" s="41" t="s">
        <v>2051</v>
      </c>
      <c r="B1020" s="41" t="str">
        <f t="shared" si="72"/>
        <v>005031200</v>
      </c>
      <c r="D1020" s="42">
        <f>VLOOKUP($A1020,'Neraca Unaudited SIMAK'!$A$2:$R$1272,3,FALSE)+IF(ISNA(VLOOKUP($A1020,'Mutasi Neraca'!$A$3:$S$910,3,FALSE)),0,VLOOKUP($A1020,'Mutasi Neraca'!$A$3:$S$910,3,FALSE))</f>
        <v>177776</v>
      </c>
      <c r="E1020" s="42">
        <f>VLOOKUP($A1020,'Neraca Unaudited SIMAK'!$A$2:$R$1272,4,FALSE)+IF(ISNA(VLOOKUP($A1020,'Mutasi Neraca'!$A$3:$S$910,4,FALSE)),0,VLOOKUP($A1020,'Mutasi Neraca'!$A$3:$S$910,4,FALSE))</f>
        <v>0</v>
      </c>
      <c r="F1020" s="42">
        <f>VLOOKUP($A1020,'Neraca Unaudited SIMAK'!$A$2:$R$1272,5,FALSE)+IF(ISNA(VLOOKUP($A1020,'Mutasi Neraca'!$A$3:$S$910,5,FALSE)),0,VLOOKUP($A1020,'Mutasi Neraca'!$A$3:$S$910,5,FALSE))</f>
        <v>0</v>
      </c>
      <c r="G1020" s="42">
        <f>VLOOKUP($A1020,'Neraca Unaudited SIMAK'!$A$2:$R$1272,6,FALSE)+IF(ISNA(VLOOKUP($A1020,'Mutasi Neraca'!$A$3:$S$910,6,FALSE)),0,VLOOKUP($A1020,'Mutasi Neraca'!$A$3:$S$910,6,FALSE))</f>
        <v>0</v>
      </c>
      <c r="H1020" s="42">
        <f>VLOOKUP($A1020,'Neraca Unaudited SIMAK'!$A$2:$R$1272,7,FALSE)+IF(ISNA(VLOOKUP($A1020,'Mutasi Neraca'!$A$3:$S$910,7,FALSE)),0,VLOOKUP($A1020,'Mutasi Neraca'!$A$3:$S$910,7,FALSE))</f>
        <v>0</v>
      </c>
      <c r="I1020" s="42">
        <f>VLOOKUP($A1020,'Neraca Unaudited SIMAK'!$A$2:$R$1272,8,FALSE)+IF(ISNA(VLOOKUP($A1020,'Mutasi Neraca'!$A$3:$S$910,8,FALSE)),0,VLOOKUP($A1020,'Mutasi Neraca'!$A$3:$S$910,8,FALSE))</f>
        <v>0</v>
      </c>
      <c r="J1020" s="42">
        <f>VLOOKUP($A1020,'Neraca Unaudited SIMAK'!$A$2:$R$1272,9,FALSE)+IF(ISNA(VLOOKUP($A1020,'Mutasi Neraca'!$A$3:$S$910,9,FALSE)),0,VLOOKUP($A1020,'Mutasi Neraca'!$A$3:$S$910,9,FALSE))</f>
        <v>0</v>
      </c>
      <c r="K1020" s="42">
        <f>VLOOKUP($A1020,'Neraca Unaudited SIMAK'!$A$2:$R$1272,10,FALSE)+IF(ISNA(VLOOKUP($A1020,'Mutasi Neraca'!$A$3:$S$910,10,FALSE)),0,VLOOKUP($A1020,'Mutasi Neraca'!$A$3:$S$910,10,FALSE))</f>
        <v>0</v>
      </c>
      <c r="L1020" s="42">
        <f>VLOOKUP($A1020,'Neraca Unaudited SIMAK'!$A$2:$R$1272,11,FALSE)+IF(ISNA(VLOOKUP($A1020,'Mutasi Neraca'!$A$3:$S$910,11,FALSE)),0,VLOOKUP($A1020,'Mutasi Neraca'!$A$3:$S$910,11,FALSE))</f>
        <v>0</v>
      </c>
      <c r="M1020" s="42">
        <f>VLOOKUP($A1020,'Neraca Unaudited SIMAK'!$A$2:$R$1272,12,FALSE)+IF(ISNA(VLOOKUP($A1020,'Mutasi Neraca'!$A$3:$S$910,12,FALSE)),0,VLOOKUP($A1020,'Mutasi Neraca'!$A$3:$S$910,12,FALSE))</f>
        <v>177776</v>
      </c>
      <c r="N1020" s="42">
        <f>VLOOKUP($A1020,'Neraca Unaudited SIMAK'!$A$2:$R$1272,13,FALSE)+IF(ISNA(VLOOKUP($A1020,'Mutasi Neraca'!$A$3:$S$910,13,FALSE)),0,VLOOKUP($A1020,'Mutasi Neraca'!$A$3:$S$910,13,FALSE))</f>
        <v>0</v>
      </c>
      <c r="O1020" s="42">
        <f>VLOOKUP($A1020,'Neraca Unaudited SIMAK'!$A$2:$R$1272,14,FALSE)+IF(ISNA(VLOOKUP($A1020,'Mutasi Neraca'!$A$3:$S$910,14,FALSE)),0,VLOOKUP($A1020,'Mutasi Neraca'!$A$3:$S$910,14,FALSE))</f>
        <v>0</v>
      </c>
      <c r="P1020" s="42">
        <f>VLOOKUP($A1020,'Neraca Unaudited SIMAK'!$A$2:$R$1272,15,FALSE)+IF(ISNA(VLOOKUP($A1020,'Mutasi Neraca'!$A$3:$S$910,15,FALSE)),0,VLOOKUP($A1020,'Mutasi Neraca'!$A$3:$S$910,15,FALSE))</f>
        <v>0</v>
      </c>
      <c r="Q1020" s="42">
        <f>VLOOKUP($A1020,'Neraca Unaudited SIMAK'!$A$2:$R$1272,16,FALSE)+IF(ISNA(VLOOKUP($A1020,'Mutasi Neraca'!$A$3:$S$910,16,FALSE)),0,VLOOKUP($A1020,'Mutasi Neraca'!$A$3:$S$910,16,FALSE))</f>
        <v>0</v>
      </c>
      <c r="R1020" s="42">
        <f>VLOOKUP($A1020,'Neraca Unaudited SIMAK'!$A$2:$R$1272,17,FALSE)+IF(ISNA(VLOOKUP($A1020,'Mutasi Neraca'!$A$3:$S$910,17,FALSE)),0,VLOOKUP($A1020,'Mutasi Neraca'!$A$3:$S$910,17,FALSE))</f>
        <v>0</v>
      </c>
      <c r="S1020" s="42">
        <f t="shared" si="73"/>
        <v>177776</v>
      </c>
    </row>
    <row r="1021" spans="1:19">
      <c r="A1021" s="41" t="s">
        <v>985</v>
      </c>
      <c r="B1021" s="41" t="str">
        <f t="shared" si="72"/>
        <v>005031200</v>
      </c>
      <c r="D1021" s="42">
        <f>VLOOKUP($A1021,'Neraca Unaudited SIMAK'!$A$2:$R$1272,3,FALSE)+IF(ISNA(VLOOKUP($A1021,'Mutasi Neraca'!$A$3:$S$910,3,FALSE)),0,VLOOKUP($A1021,'Mutasi Neraca'!$A$3:$S$910,3,FALSE))</f>
        <v>150000</v>
      </c>
      <c r="E1021" s="42">
        <f>VLOOKUP($A1021,'Neraca Unaudited SIMAK'!$A$2:$R$1272,4,FALSE)+IF(ISNA(VLOOKUP($A1021,'Mutasi Neraca'!$A$3:$S$910,4,FALSE)),0,VLOOKUP($A1021,'Mutasi Neraca'!$A$3:$S$910,4,FALSE))</f>
        <v>0</v>
      </c>
      <c r="F1021" s="42">
        <f>VLOOKUP($A1021,'Neraca Unaudited SIMAK'!$A$2:$R$1272,5,FALSE)+IF(ISNA(VLOOKUP($A1021,'Mutasi Neraca'!$A$3:$S$910,5,FALSE)),0,VLOOKUP($A1021,'Mutasi Neraca'!$A$3:$S$910,5,FALSE))</f>
        <v>0</v>
      </c>
      <c r="G1021" s="42">
        <f>VLOOKUP($A1021,'Neraca Unaudited SIMAK'!$A$2:$R$1272,6,FALSE)+IF(ISNA(VLOOKUP($A1021,'Mutasi Neraca'!$A$3:$S$910,6,FALSE)),0,VLOOKUP($A1021,'Mutasi Neraca'!$A$3:$S$910,6,FALSE))</f>
        <v>0</v>
      </c>
      <c r="H1021" s="42">
        <f>VLOOKUP($A1021,'Neraca Unaudited SIMAK'!$A$2:$R$1272,7,FALSE)+IF(ISNA(VLOOKUP($A1021,'Mutasi Neraca'!$A$3:$S$910,7,FALSE)),0,VLOOKUP($A1021,'Mutasi Neraca'!$A$3:$S$910,7,FALSE))</f>
        <v>0</v>
      </c>
      <c r="I1021" s="42">
        <f>VLOOKUP($A1021,'Neraca Unaudited SIMAK'!$A$2:$R$1272,8,FALSE)+IF(ISNA(VLOOKUP($A1021,'Mutasi Neraca'!$A$3:$S$910,8,FALSE)),0,VLOOKUP($A1021,'Mutasi Neraca'!$A$3:$S$910,8,FALSE))</f>
        <v>0</v>
      </c>
      <c r="J1021" s="42">
        <f>VLOOKUP($A1021,'Neraca Unaudited SIMAK'!$A$2:$R$1272,9,FALSE)+IF(ISNA(VLOOKUP($A1021,'Mutasi Neraca'!$A$3:$S$910,9,FALSE)),0,VLOOKUP($A1021,'Mutasi Neraca'!$A$3:$S$910,9,FALSE))</f>
        <v>0</v>
      </c>
      <c r="K1021" s="42">
        <f>VLOOKUP($A1021,'Neraca Unaudited SIMAK'!$A$2:$R$1272,10,FALSE)+IF(ISNA(VLOOKUP($A1021,'Mutasi Neraca'!$A$3:$S$910,10,FALSE)),0,VLOOKUP($A1021,'Mutasi Neraca'!$A$3:$S$910,10,FALSE))</f>
        <v>0</v>
      </c>
      <c r="L1021" s="42">
        <f>VLOOKUP($A1021,'Neraca Unaudited SIMAK'!$A$2:$R$1272,11,FALSE)+IF(ISNA(VLOOKUP($A1021,'Mutasi Neraca'!$A$3:$S$910,11,FALSE)),0,VLOOKUP($A1021,'Mutasi Neraca'!$A$3:$S$910,11,FALSE))</f>
        <v>0</v>
      </c>
      <c r="M1021" s="42">
        <f>VLOOKUP($A1021,'Neraca Unaudited SIMAK'!$A$2:$R$1272,12,FALSE)+IF(ISNA(VLOOKUP($A1021,'Mutasi Neraca'!$A$3:$S$910,12,FALSE)),0,VLOOKUP($A1021,'Mutasi Neraca'!$A$3:$S$910,12,FALSE))</f>
        <v>150000</v>
      </c>
      <c r="N1021" s="42">
        <f>VLOOKUP($A1021,'Neraca Unaudited SIMAK'!$A$2:$R$1272,13,FALSE)+IF(ISNA(VLOOKUP($A1021,'Mutasi Neraca'!$A$3:$S$910,13,FALSE)),0,VLOOKUP($A1021,'Mutasi Neraca'!$A$3:$S$910,13,FALSE))</f>
        <v>0</v>
      </c>
      <c r="O1021" s="42">
        <f>VLOOKUP($A1021,'Neraca Unaudited SIMAK'!$A$2:$R$1272,14,FALSE)+IF(ISNA(VLOOKUP($A1021,'Mutasi Neraca'!$A$3:$S$910,14,FALSE)),0,VLOOKUP($A1021,'Mutasi Neraca'!$A$3:$S$910,14,FALSE))</f>
        <v>0</v>
      </c>
      <c r="P1021" s="42">
        <f>VLOOKUP($A1021,'Neraca Unaudited SIMAK'!$A$2:$R$1272,15,FALSE)+IF(ISNA(VLOOKUP($A1021,'Mutasi Neraca'!$A$3:$S$910,15,FALSE)),0,VLOOKUP($A1021,'Mutasi Neraca'!$A$3:$S$910,15,FALSE))</f>
        <v>0</v>
      </c>
      <c r="Q1021" s="42">
        <f>VLOOKUP($A1021,'Neraca Unaudited SIMAK'!$A$2:$R$1272,16,FALSE)+IF(ISNA(VLOOKUP($A1021,'Mutasi Neraca'!$A$3:$S$910,16,FALSE)),0,VLOOKUP($A1021,'Mutasi Neraca'!$A$3:$S$910,16,FALSE))</f>
        <v>0</v>
      </c>
      <c r="R1021" s="42">
        <f>VLOOKUP($A1021,'Neraca Unaudited SIMAK'!$A$2:$R$1272,17,FALSE)+IF(ISNA(VLOOKUP($A1021,'Mutasi Neraca'!$A$3:$S$910,17,FALSE)),0,VLOOKUP($A1021,'Mutasi Neraca'!$A$3:$S$910,17,FALSE))</f>
        <v>0</v>
      </c>
      <c r="S1021" s="42">
        <f t="shared" si="73"/>
        <v>150000</v>
      </c>
    </row>
    <row r="1022" spans="1:19">
      <c r="A1022" s="41" t="s">
        <v>986</v>
      </c>
      <c r="B1022" s="41" t="str">
        <f t="shared" si="72"/>
        <v>005031200</v>
      </c>
      <c r="D1022" s="42">
        <f>VLOOKUP($A1022,'Neraca Unaudited SIMAK'!$A$2:$R$1272,3,FALSE)+IF(ISNA(VLOOKUP($A1022,'Mutasi Neraca'!$A$3:$S$910,3,FALSE)),0,VLOOKUP($A1022,'Mutasi Neraca'!$A$3:$S$910,3,FALSE))</f>
        <v>2290000</v>
      </c>
      <c r="E1022" s="42">
        <f>VLOOKUP($A1022,'Neraca Unaudited SIMAK'!$A$2:$R$1272,4,FALSE)+IF(ISNA(VLOOKUP($A1022,'Mutasi Neraca'!$A$3:$S$910,4,FALSE)),0,VLOOKUP($A1022,'Mutasi Neraca'!$A$3:$S$910,4,FALSE))</f>
        <v>0</v>
      </c>
      <c r="F1022" s="42">
        <f>VLOOKUP($A1022,'Neraca Unaudited SIMAK'!$A$2:$R$1272,5,FALSE)+IF(ISNA(VLOOKUP($A1022,'Mutasi Neraca'!$A$3:$S$910,5,FALSE)),0,VLOOKUP($A1022,'Mutasi Neraca'!$A$3:$S$910,5,FALSE))</f>
        <v>0</v>
      </c>
      <c r="G1022" s="42">
        <f>VLOOKUP($A1022,'Neraca Unaudited SIMAK'!$A$2:$R$1272,6,FALSE)+IF(ISNA(VLOOKUP($A1022,'Mutasi Neraca'!$A$3:$S$910,6,FALSE)),0,VLOOKUP($A1022,'Mutasi Neraca'!$A$3:$S$910,6,FALSE))</f>
        <v>0</v>
      </c>
      <c r="H1022" s="42">
        <f>VLOOKUP($A1022,'Neraca Unaudited SIMAK'!$A$2:$R$1272,7,FALSE)+IF(ISNA(VLOOKUP($A1022,'Mutasi Neraca'!$A$3:$S$910,7,FALSE)),0,VLOOKUP($A1022,'Mutasi Neraca'!$A$3:$S$910,7,FALSE))</f>
        <v>0</v>
      </c>
      <c r="I1022" s="42">
        <f>VLOOKUP($A1022,'Neraca Unaudited SIMAK'!$A$2:$R$1272,8,FALSE)+IF(ISNA(VLOOKUP($A1022,'Mutasi Neraca'!$A$3:$S$910,8,FALSE)),0,VLOOKUP($A1022,'Mutasi Neraca'!$A$3:$S$910,8,FALSE))</f>
        <v>0</v>
      </c>
      <c r="J1022" s="42">
        <f>VLOOKUP($A1022,'Neraca Unaudited SIMAK'!$A$2:$R$1272,9,FALSE)+IF(ISNA(VLOOKUP($A1022,'Mutasi Neraca'!$A$3:$S$910,9,FALSE)),0,VLOOKUP($A1022,'Mutasi Neraca'!$A$3:$S$910,9,FALSE))</f>
        <v>0</v>
      </c>
      <c r="K1022" s="42">
        <f>VLOOKUP($A1022,'Neraca Unaudited SIMAK'!$A$2:$R$1272,10,FALSE)+IF(ISNA(VLOOKUP($A1022,'Mutasi Neraca'!$A$3:$S$910,10,FALSE)),0,VLOOKUP($A1022,'Mutasi Neraca'!$A$3:$S$910,10,FALSE))</f>
        <v>0</v>
      </c>
      <c r="L1022" s="42">
        <f>VLOOKUP($A1022,'Neraca Unaudited SIMAK'!$A$2:$R$1272,11,FALSE)+IF(ISNA(VLOOKUP($A1022,'Mutasi Neraca'!$A$3:$S$910,11,FALSE)),0,VLOOKUP($A1022,'Mutasi Neraca'!$A$3:$S$910,11,FALSE))</f>
        <v>0</v>
      </c>
      <c r="M1022" s="42">
        <f>VLOOKUP($A1022,'Neraca Unaudited SIMAK'!$A$2:$R$1272,12,FALSE)+IF(ISNA(VLOOKUP($A1022,'Mutasi Neraca'!$A$3:$S$910,12,FALSE)),0,VLOOKUP($A1022,'Mutasi Neraca'!$A$3:$S$910,12,FALSE))</f>
        <v>2290000</v>
      </c>
      <c r="N1022" s="42">
        <f>VLOOKUP($A1022,'Neraca Unaudited SIMAK'!$A$2:$R$1272,13,FALSE)+IF(ISNA(VLOOKUP($A1022,'Mutasi Neraca'!$A$3:$S$910,13,FALSE)),0,VLOOKUP($A1022,'Mutasi Neraca'!$A$3:$S$910,13,FALSE))</f>
        <v>0</v>
      </c>
      <c r="O1022" s="42">
        <f>VLOOKUP($A1022,'Neraca Unaudited SIMAK'!$A$2:$R$1272,14,FALSE)+IF(ISNA(VLOOKUP($A1022,'Mutasi Neraca'!$A$3:$S$910,14,FALSE)),0,VLOOKUP($A1022,'Mutasi Neraca'!$A$3:$S$910,14,FALSE))</f>
        <v>0</v>
      </c>
      <c r="P1022" s="42">
        <f>VLOOKUP($A1022,'Neraca Unaudited SIMAK'!$A$2:$R$1272,15,FALSE)+IF(ISNA(VLOOKUP($A1022,'Mutasi Neraca'!$A$3:$S$910,15,FALSE)),0,VLOOKUP($A1022,'Mutasi Neraca'!$A$3:$S$910,15,FALSE))</f>
        <v>0</v>
      </c>
      <c r="Q1022" s="42">
        <f>VLOOKUP($A1022,'Neraca Unaudited SIMAK'!$A$2:$R$1272,16,FALSE)+IF(ISNA(VLOOKUP($A1022,'Mutasi Neraca'!$A$3:$S$910,16,FALSE)),0,VLOOKUP($A1022,'Mutasi Neraca'!$A$3:$S$910,16,FALSE))</f>
        <v>0</v>
      </c>
      <c r="R1022" s="42">
        <f>VLOOKUP($A1022,'Neraca Unaudited SIMAK'!$A$2:$R$1272,17,FALSE)+IF(ISNA(VLOOKUP($A1022,'Mutasi Neraca'!$A$3:$S$910,17,FALSE)),0,VLOOKUP($A1022,'Mutasi Neraca'!$A$3:$S$910,17,FALSE))</f>
        <v>0</v>
      </c>
      <c r="S1022" s="42">
        <f t="shared" si="73"/>
        <v>2290000</v>
      </c>
    </row>
    <row r="1023" spans="1:19">
      <c r="A1023" s="41" t="s">
        <v>2052</v>
      </c>
      <c r="B1023" s="41" t="str">
        <f t="shared" si="72"/>
        <v>005031200</v>
      </c>
      <c r="D1023" s="42">
        <f>VLOOKUP($A1023,'Neraca Unaudited SIMAK'!$A$2:$R$1272,3,FALSE)+IF(ISNA(VLOOKUP($A1023,'Mutasi Neraca'!$A$3:$S$910,3,FALSE)),0,VLOOKUP($A1023,'Mutasi Neraca'!$A$3:$S$910,3,FALSE))</f>
        <v>111000</v>
      </c>
      <c r="E1023" s="42">
        <f>VLOOKUP($A1023,'Neraca Unaudited SIMAK'!$A$2:$R$1272,4,FALSE)+IF(ISNA(VLOOKUP($A1023,'Mutasi Neraca'!$A$3:$S$910,4,FALSE)),0,VLOOKUP($A1023,'Mutasi Neraca'!$A$3:$S$910,4,FALSE))</f>
        <v>0</v>
      </c>
      <c r="F1023" s="42">
        <f>VLOOKUP($A1023,'Neraca Unaudited SIMAK'!$A$2:$R$1272,5,FALSE)+IF(ISNA(VLOOKUP($A1023,'Mutasi Neraca'!$A$3:$S$910,5,FALSE)),0,VLOOKUP($A1023,'Mutasi Neraca'!$A$3:$S$910,5,FALSE))</f>
        <v>0</v>
      </c>
      <c r="G1023" s="42">
        <f>VLOOKUP($A1023,'Neraca Unaudited SIMAK'!$A$2:$R$1272,6,FALSE)+IF(ISNA(VLOOKUP($A1023,'Mutasi Neraca'!$A$3:$S$910,6,FALSE)),0,VLOOKUP($A1023,'Mutasi Neraca'!$A$3:$S$910,6,FALSE))</f>
        <v>0</v>
      </c>
      <c r="H1023" s="42">
        <f>VLOOKUP($A1023,'Neraca Unaudited SIMAK'!$A$2:$R$1272,7,FALSE)+IF(ISNA(VLOOKUP($A1023,'Mutasi Neraca'!$A$3:$S$910,7,FALSE)),0,VLOOKUP($A1023,'Mutasi Neraca'!$A$3:$S$910,7,FALSE))</f>
        <v>0</v>
      </c>
      <c r="I1023" s="42">
        <f>VLOOKUP($A1023,'Neraca Unaudited SIMAK'!$A$2:$R$1272,8,FALSE)+IF(ISNA(VLOOKUP($A1023,'Mutasi Neraca'!$A$3:$S$910,8,FALSE)),0,VLOOKUP($A1023,'Mutasi Neraca'!$A$3:$S$910,8,FALSE))</f>
        <v>0</v>
      </c>
      <c r="J1023" s="42">
        <f>VLOOKUP($A1023,'Neraca Unaudited SIMAK'!$A$2:$R$1272,9,FALSE)+IF(ISNA(VLOOKUP($A1023,'Mutasi Neraca'!$A$3:$S$910,9,FALSE)),0,VLOOKUP($A1023,'Mutasi Neraca'!$A$3:$S$910,9,FALSE))</f>
        <v>0</v>
      </c>
      <c r="K1023" s="42">
        <f>VLOOKUP($A1023,'Neraca Unaudited SIMAK'!$A$2:$R$1272,10,FALSE)+IF(ISNA(VLOOKUP($A1023,'Mutasi Neraca'!$A$3:$S$910,10,FALSE)),0,VLOOKUP($A1023,'Mutasi Neraca'!$A$3:$S$910,10,FALSE))</f>
        <v>0</v>
      </c>
      <c r="L1023" s="42">
        <f>VLOOKUP($A1023,'Neraca Unaudited SIMAK'!$A$2:$R$1272,11,FALSE)+IF(ISNA(VLOOKUP($A1023,'Mutasi Neraca'!$A$3:$S$910,11,FALSE)),0,VLOOKUP($A1023,'Mutasi Neraca'!$A$3:$S$910,11,FALSE))</f>
        <v>0</v>
      </c>
      <c r="M1023" s="42">
        <f>VLOOKUP($A1023,'Neraca Unaudited SIMAK'!$A$2:$R$1272,12,FALSE)+IF(ISNA(VLOOKUP($A1023,'Mutasi Neraca'!$A$3:$S$910,12,FALSE)),0,VLOOKUP($A1023,'Mutasi Neraca'!$A$3:$S$910,12,FALSE))</f>
        <v>111000</v>
      </c>
      <c r="N1023" s="42">
        <f>VLOOKUP($A1023,'Neraca Unaudited SIMAK'!$A$2:$R$1272,13,FALSE)+IF(ISNA(VLOOKUP($A1023,'Mutasi Neraca'!$A$3:$S$910,13,FALSE)),0,VLOOKUP($A1023,'Mutasi Neraca'!$A$3:$S$910,13,FALSE))</f>
        <v>0</v>
      </c>
      <c r="O1023" s="42">
        <f>VLOOKUP($A1023,'Neraca Unaudited SIMAK'!$A$2:$R$1272,14,FALSE)+IF(ISNA(VLOOKUP($A1023,'Mutasi Neraca'!$A$3:$S$910,14,FALSE)),0,VLOOKUP($A1023,'Mutasi Neraca'!$A$3:$S$910,14,FALSE))</f>
        <v>0</v>
      </c>
      <c r="P1023" s="42">
        <f>VLOOKUP($A1023,'Neraca Unaudited SIMAK'!$A$2:$R$1272,15,FALSE)+IF(ISNA(VLOOKUP($A1023,'Mutasi Neraca'!$A$3:$S$910,15,FALSE)),0,VLOOKUP($A1023,'Mutasi Neraca'!$A$3:$S$910,15,FALSE))</f>
        <v>0</v>
      </c>
      <c r="Q1023" s="42">
        <f>VLOOKUP($A1023,'Neraca Unaudited SIMAK'!$A$2:$R$1272,16,FALSE)+IF(ISNA(VLOOKUP($A1023,'Mutasi Neraca'!$A$3:$S$910,16,FALSE)),0,VLOOKUP($A1023,'Mutasi Neraca'!$A$3:$S$910,16,FALSE))</f>
        <v>0</v>
      </c>
      <c r="R1023" s="42">
        <f>VLOOKUP($A1023,'Neraca Unaudited SIMAK'!$A$2:$R$1272,17,FALSE)+IF(ISNA(VLOOKUP($A1023,'Mutasi Neraca'!$A$3:$S$910,17,FALSE)),0,VLOOKUP($A1023,'Mutasi Neraca'!$A$3:$S$910,17,FALSE))</f>
        <v>0</v>
      </c>
      <c r="S1023" s="42">
        <f t="shared" si="73"/>
        <v>111000</v>
      </c>
    </row>
    <row r="1024" spans="1:19">
      <c r="A1024" s="41" t="s">
        <v>987</v>
      </c>
      <c r="B1024" s="41" t="str">
        <f t="shared" si="72"/>
        <v>005031200</v>
      </c>
      <c r="D1024" s="42">
        <f>VLOOKUP($A1024,'Neraca Unaudited SIMAK'!$A$2:$R$1272,3,FALSE)+IF(ISNA(VLOOKUP($A1024,'Mutasi Neraca'!$A$3:$S$910,3,FALSE)),0,VLOOKUP($A1024,'Mutasi Neraca'!$A$3:$S$910,3,FALSE))</f>
        <v>349400</v>
      </c>
      <c r="E1024" s="42">
        <f>VLOOKUP($A1024,'Neraca Unaudited SIMAK'!$A$2:$R$1272,4,FALSE)+IF(ISNA(VLOOKUP($A1024,'Mutasi Neraca'!$A$3:$S$910,4,FALSE)),0,VLOOKUP($A1024,'Mutasi Neraca'!$A$3:$S$910,4,FALSE))</f>
        <v>0</v>
      </c>
      <c r="F1024" s="42">
        <f>VLOOKUP($A1024,'Neraca Unaudited SIMAK'!$A$2:$R$1272,5,FALSE)+IF(ISNA(VLOOKUP($A1024,'Mutasi Neraca'!$A$3:$S$910,5,FALSE)),0,VLOOKUP($A1024,'Mutasi Neraca'!$A$3:$S$910,5,FALSE))</f>
        <v>0</v>
      </c>
      <c r="G1024" s="42">
        <f>VLOOKUP($A1024,'Neraca Unaudited SIMAK'!$A$2:$R$1272,6,FALSE)+IF(ISNA(VLOOKUP($A1024,'Mutasi Neraca'!$A$3:$S$910,6,FALSE)),0,VLOOKUP($A1024,'Mutasi Neraca'!$A$3:$S$910,6,FALSE))</f>
        <v>0</v>
      </c>
      <c r="H1024" s="42">
        <f>VLOOKUP($A1024,'Neraca Unaudited SIMAK'!$A$2:$R$1272,7,FALSE)+IF(ISNA(VLOOKUP($A1024,'Mutasi Neraca'!$A$3:$S$910,7,FALSE)),0,VLOOKUP($A1024,'Mutasi Neraca'!$A$3:$S$910,7,FALSE))</f>
        <v>0</v>
      </c>
      <c r="I1024" s="42">
        <f>VLOOKUP($A1024,'Neraca Unaudited SIMAK'!$A$2:$R$1272,8,FALSE)+IF(ISNA(VLOOKUP($A1024,'Mutasi Neraca'!$A$3:$S$910,8,FALSE)),0,VLOOKUP($A1024,'Mutasi Neraca'!$A$3:$S$910,8,FALSE))</f>
        <v>0</v>
      </c>
      <c r="J1024" s="42">
        <f>VLOOKUP($A1024,'Neraca Unaudited SIMAK'!$A$2:$R$1272,9,FALSE)+IF(ISNA(VLOOKUP($A1024,'Mutasi Neraca'!$A$3:$S$910,9,FALSE)),0,VLOOKUP($A1024,'Mutasi Neraca'!$A$3:$S$910,9,FALSE))</f>
        <v>0</v>
      </c>
      <c r="K1024" s="42">
        <f>VLOOKUP($A1024,'Neraca Unaudited SIMAK'!$A$2:$R$1272,10,FALSE)+IF(ISNA(VLOOKUP($A1024,'Mutasi Neraca'!$A$3:$S$910,10,FALSE)),0,VLOOKUP($A1024,'Mutasi Neraca'!$A$3:$S$910,10,FALSE))</f>
        <v>0</v>
      </c>
      <c r="L1024" s="42">
        <f>VLOOKUP($A1024,'Neraca Unaudited SIMAK'!$A$2:$R$1272,11,FALSE)+IF(ISNA(VLOOKUP($A1024,'Mutasi Neraca'!$A$3:$S$910,11,FALSE)),0,VLOOKUP($A1024,'Mutasi Neraca'!$A$3:$S$910,11,FALSE))</f>
        <v>0</v>
      </c>
      <c r="M1024" s="42">
        <f>VLOOKUP($A1024,'Neraca Unaudited SIMAK'!$A$2:$R$1272,12,FALSE)+IF(ISNA(VLOOKUP($A1024,'Mutasi Neraca'!$A$3:$S$910,12,FALSE)),0,VLOOKUP($A1024,'Mutasi Neraca'!$A$3:$S$910,12,FALSE))</f>
        <v>349400</v>
      </c>
      <c r="N1024" s="42">
        <f>VLOOKUP($A1024,'Neraca Unaudited SIMAK'!$A$2:$R$1272,13,FALSE)+IF(ISNA(VLOOKUP($A1024,'Mutasi Neraca'!$A$3:$S$910,13,FALSE)),0,VLOOKUP($A1024,'Mutasi Neraca'!$A$3:$S$910,13,FALSE))</f>
        <v>0</v>
      </c>
      <c r="O1024" s="42">
        <f>VLOOKUP($A1024,'Neraca Unaudited SIMAK'!$A$2:$R$1272,14,FALSE)+IF(ISNA(VLOOKUP($A1024,'Mutasi Neraca'!$A$3:$S$910,14,FALSE)),0,VLOOKUP($A1024,'Mutasi Neraca'!$A$3:$S$910,14,FALSE))</f>
        <v>0</v>
      </c>
      <c r="P1024" s="42">
        <f>VLOOKUP($A1024,'Neraca Unaudited SIMAK'!$A$2:$R$1272,15,FALSE)+IF(ISNA(VLOOKUP($A1024,'Mutasi Neraca'!$A$3:$S$910,15,FALSE)),0,VLOOKUP($A1024,'Mutasi Neraca'!$A$3:$S$910,15,FALSE))</f>
        <v>0</v>
      </c>
      <c r="Q1024" s="42">
        <f>VLOOKUP($A1024,'Neraca Unaudited SIMAK'!$A$2:$R$1272,16,FALSE)+IF(ISNA(VLOOKUP($A1024,'Mutasi Neraca'!$A$3:$S$910,16,FALSE)),0,VLOOKUP($A1024,'Mutasi Neraca'!$A$3:$S$910,16,FALSE))</f>
        <v>0</v>
      </c>
      <c r="R1024" s="42">
        <f>VLOOKUP($A1024,'Neraca Unaudited SIMAK'!$A$2:$R$1272,17,FALSE)+IF(ISNA(VLOOKUP($A1024,'Mutasi Neraca'!$A$3:$S$910,17,FALSE)),0,VLOOKUP($A1024,'Mutasi Neraca'!$A$3:$S$910,17,FALSE))</f>
        <v>0</v>
      </c>
      <c r="S1024" s="42">
        <f t="shared" si="73"/>
        <v>349400</v>
      </c>
    </row>
    <row r="1025" spans="1:19">
      <c r="A1025" s="41" t="s">
        <v>988</v>
      </c>
      <c r="B1025" s="41" t="str">
        <f t="shared" si="72"/>
        <v>005031200</v>
      </c>
      <c r="D1025" s="42">
        <f>VLOOKUP($A1025,'Neraca Unaudited SIMAK'!$A$2:$R$1272,3,FALSE)+IF(ISNA(VLOOKUP($A1025,'Mutasi Neraca'!$A$3:$S$910,3,FALSE)),0,VLOOKUP($A1025,'Mutasi Neraca'!$A$3:$S$910,3,FALSE))</f>
        <v>235000</v>
      </c>
      <c r="E1025" s="42">
        <f>VLOOKUP($A1025,'Neraca Unaudited SIMAK'!$A$2:$R$1272,4,FALSE)+IF(ISNA(VLOOKUP($A1025,'Mutasi Neraca'!$A$3:$S$910,4,FALSE)),0,VLOOKUP($A1025,'Mutasi Neraca'!$A$3:$S$910,4,FALSE))</f>
        <v>0</v>
      </c>
      <c r="F1025" s="42">
        <f>VLOOKUP($A1025,'Neraca Unaudited SIMAK'!$A$2:$R$1272,5,FALSE)+IF(ISNA(VLOOKUP($A1025,'Mutasi Neraca'!$A$3:$S$910,5,FALSE)),0,VLOOKUP($A1025,'Mutasi Neraca'!$A$3:$S$910,5,FALSE))</f>
        <v>0</v>
      </c>
      <c r="G1025" s="42">
        <f>VLOOKUP($A1025,'Neraca Unaudited SIMAK'!$A$2:$R$1272,6,FALSE)+IF(ISNA(VLOOKUP($A1025,'Mutasi Neraca'!$A$3:$S$910,6,FALSE)),0,VLOOKUP($A1025,'Mutasi Neraca'!$A$3:$S$910,6,FALSE))</f>
        <v>0</v>
      </c>
      <c r="H1025" s="42">
        <f>VLOOKUP($A1025,'Neraca Unaudited SIMAK'!$A$2:$R$1272,7,FALSE)+IF(ISNA(VLOOKUP($A1025,'Mutasi Neraca'!$A$3:$S$910,7,FALSE)),0,VLOOKUP($A1025,'Mutasi Neraca'!$A$3:$S$910,7,FALSE))</f>
        <v>0</v>
      </c>
      <c r="I1025" s="42">
        <f>VLOOKUP($A1025,'Neraca Unaudited SIMAK'!$A$2:$R$1272,8,FALSE)+IF(ISNA(VLOOKUP($A1025,'Mutasi Neraca'!$A$3:$S$910,8,FALSE)),0,VLOOKUP($A1025,'Mutasi Neraca'!$A$3:$S$910,8,FALSE))</f>
        <v>0</v>
      </c>
      <c r="J1025" s="42">
        <f>VLOOKUP($A1025,'Neraca Unaudited SIMAK'!$A$2:$R$1272,9,FALSE)+IF(ISNA(VLOOKUP($A1025,'Mutasi Neraca'!$A$3:$S$910,9,FALSE)),0,VLOOKUP($A1025,'Mutasi Neraca'!$A$3:$S$910,9,FALSE))</f>
        <v>0</v>
      </c>
      <c r="K1025" s="42">
        <f>VLOOKUP($A1025,'Neraca Unaudited SIMAK'!$A$2:$R$1272,10,FALSE)+IF(ISNA(VLOOKUP($A1025,'Mutasi Neraca'!$A$3:$S$910,10,FALSE)),0,VLOOKUP($A1025,'Mutasi Neraca'!$A$3:$S$910,10,FALSE))</f>
        <v>0</v>
      </c>
      <c r="L1025" s="42">
        <f>VLOOKUP($A1025,'Neraca Unaudited SIMAK'!$A$2:$R$1272,11,FALSE)+IF(ISNA(VLOOKUP($A1025,'Mutasi Neraca'!$A$3:$S$910,11,FALSE)),0,VLOOKUP($A1025,'Mutasi Neraca'!$A$3:$S$910,11,FALSE))</f>
        <v>0</v>
      </c>
      <c r="M1025" s="42">
        <f>VLOOKUP($A1025,'Neraca Unaudited SIMAK'!$A$2:$R$1272,12,FALSE)+IF(ISNA(VLOOKUP($A1025,'Mutasi Neraca'!$A$3:$S$910,12,FALSE)),0,VLOOKUP($A1025,'Mutasi Neraca'!$A$3:$S$910,12,FALSE))</f>
        <v>235000</v>
      </c>
      <c r="N1025" s="42">
        <f>VLOOKUP($A1025,'Neraca Unaudited SIMAK'!$A$2:$R$1272,13,FALSE)+IF(ISNA(VLOOKUP($A1025,'Mutasi Neraca'!$A$3:$S$910,13,FALSE)),0,VLOOKUP($A1025,'Mutasi Neraca'!$A$3:$S$910,13,FALSE))</f>
        <v>0</v>
      </c>
      <c r="O1025" s="42">
        <f>VLOOKUP($A1025,'Neraca Unaudited SIMAK'!$A$2:$R$1272,14,FALSE)+IF(ISNA(VLOOKUP($A1025,'Mutasi Neraca'!$A$3:$S$910,14,FALSE)),0,VLOOKUP($A1025,'Mutasi Neraca'!$A$3:$S$910,14,FALSE))</f>
        <v>0</v>
      </c>
      <c r="P1025" s="42">
        <f>VLOOKUP($A1025,'Neraca Unaudited SIMAK'!$A$2:$R$1272,15,FALSE)+IF(ISNA(VLOOKUP($A1025,'Mutasi Neraca'!$A$3:$S$910,15,FALSE)),0,VLOOKUP($A1025,'Mutasi Neraca'!$A$3:$S$910,15,FALSE))</f>
        <v>0</v>
      </c>
      <c r="Q1025" s="42">
        <f>VLOOKUP($A1025,'Neraca Unaudited SIMAK'!$A$2:$R$1272,16,FALSE)+IF(ISNA(VLOOKUP($A1025,'Mutasi Neraca'!$A$3:$S$910,16,FALSE)),0,VLOOKUP($A1025,'Mutasi Neraca'!$A$3:$S$910,16,FALSE))</f>
        <v>0</v>
      </c>
      <c r="R1025" s="42">
        <f>VLOOKUP($A1025,'Neraca Unaudited SIMAK'!$A$2:$R$1272,17,FALSE)+IF(ISNA(VLOOKUP($A1025,'Mutasi Neraca'!$A$3:$S$910,17,FALSE)),0,VLOOKUP($A1025,'Mutasi Neraca'!$A$3:$S$910,17,FALSE))</f>
        <v>0</v>
      </c>
      <c r="S1025" s="42">
        <f t="shared" si="73"/>
        <v>235000</v>
      </c>
    </row>
    <row r="1026" spans="1:19">
      <c r="A1026" s="41" t="s">
        <v>2053</v>
      </c>
      <c r="B1026" s="41" t="str">
        <f t="shared" si="72"/>
        <v>005031300</v>
      </c>
      <c r="D1026" s="42">
        <f>VLOOKUP($A1026,'Neraca Unaudited SIMAK'!$A$2:$R$1272,3,FALSE)+IF(ISNA(VLOOKUP($A1026,'Mutasi Neraca'!$A$3:$S$910,3,FALSE)),0,VLOOKUP($A1026,'Mutasi Neraca'!$A$3:$S$910,3,FALSE))</f>
        <v>9819550</v>
      </c>
      <c r="E1026" s="42">
        <f>VLOOKUP($A1026,'Neraca Unaudited SIMAK'!$A$2:$R$1272,4,FALSE)+IF(ISNA(VLOOKUP($A1026,'Mutasi Neraca'!$A$3:$S$910,4,FALSE)),0,VLOOKUP($A1026,'Mutasi Neraca'!$A$3:$S$910,4,FALSE))</f>
        <v>0</v>
      </c>
      <c r="F1026" s="42">
        <f>VLOOKUP($A1026,'Neraca Unaudited SIMAK'!$A$2:$R$1272,5,FALSE)+IF(ISNA(VLOOKUP($A1026,'Mutasi Neraca'!$A$3:$S$910,5,FALSE)),0,VLOOKUP($A1026,'Mutasi Neraca'!$A$3:$S$910,5,FALSE))</f>
        <v>0</v>
      </c>
      <c r="G1026" s="42">
        <f>VLOOKUP($A1026,'Neraca Unaudited SIMAK'!$A$2:$R$1272,6,FALSE)+IF(ISNA(VLOOKUP($A1026,'Mutasi Neraca'!$A$3:$S$910,6,FALSE)),0,VLOOKUP($A1026,'Mutasi Neraca'!$A$3:$S$910,6,FALSE))</f>
        <v>0</v>
      </c>
      <c r="H1026" s="42">
        <f>VLOOKUP($A1026,'Neraca Unaudited SIMAK'!$A$2:$R$1272,7,FALSE)+IF(ISNA(VLOOKUP($A1026,'Mutasi Neraca'!$A$3:$S$910,7,FALSE)),0,VLOOKUP($A1026,'Mutasi Neraca'!$A$3:$S$910,7,FALSE))</f>
        <v>0</v>
      </c>
      <c r="I1026" s="42">
        <f>VLOOKUP($A1026,'Neraca Unaudited SIMAK'!$A$2:$R$1272,8,FALSE)+IF(ISNA(VLOOKUP($A1026,'Mutasi Neraca'!$A$3:$S$910,8,FALSE)),0,VLOOKUP($A1026,'Mutasi Neraca'!$A$3:$S$910,8,FALSE))</f>
        <v>0</v>
      </c>
      <c r="J1026" s="42">
        <f>VLOOKUP($A1026,'Neraca Unaudited SIMAK'!$A$2:$R$1272,9,FALSE)+IF(ISNA(VLOOKUP($A1026,'Mutasi Neraca'!$A$3:$S$910,9,FALSE)),0,VLOOKUP($A1026,'Mutasi Neraca'!$A$3:$S$910,9,FALSE))</f>
        <v>0</v>
      </c>
      <c r="K1026" s="42">
        <f>VLOOKUP($A1026,'Neraca Unaudited SIMAK'!$A$2:$R$1272,10,FALSE)+IF(ISNA(VLOOKUP($A1026,'Mutasi Neraca'!$A$3:$S$910,10,FALSE)),0,VLOOKUP($A1026,'Mutasi Neraca'!$A$3:$S$910,10,FALSE))</f>
        <v>0</v>
      </c>
      <c r="L1026" s="42">
        <f>VLOOKUP($A1026,'Neraca Unaudited SIMAK'!$A$2:$R$1272,11,FALSE)+IF(ISNA(VLOOKUP($A1026,'Mutasi Neraca'!$A$3:$S$910,11,FALSE)),0,VLOOKUP($A1026,'Mutasi Neraca'!$A$3:$S$910,11,FALSE))</f>
        <v>0</v>
      </c>
      <c r="M1026" s="42">
        <f>VLOOKUP($A1026,'Neraca Unaudited SIMAK'!$A$2:$R$1272,12,FALSE)+IF(ISNA(VLOOKUP($A1026,'Mutasi Neraca'!$A$3:$S$910,12,FALSE)),0,VLOOKUP($A1026,'Mutasi Neraca'!$A$3:$S$910,12,FALSE))</f>
        <v>9819550</v>
      </c>
      <c r="N1026" s="42">
        <f>VLOOKUP($A1026,'Neraca Unaudited SIMAK'!$A$2:$R$1272,13,FALSE)+IF(ISNA(VLOOKUP($A1026,'Mutasi Neraca'!$A$3:$S$910,13,FALSE)),0,VLOOKUP($A1026,'Mutasi Neraca'!$A$3:$S$910,13,FALSE))</f>
        <v>0</v>
      </c>
      <c r="O1026" s="42">
        <f>VLOOKUP($A1026,'Neraca Unaudited SIMAK'!$A$2:$R$1272,14,FALSE)+IF(ISNA(VLOOKUP($A1026,'Mutasi Neraca'!$A$3:$S$910,14,FALSE)),0,VLOOKUP($A1026,'Mutasi Neraca'!$A$3:$S$910,14,FALSE))</f>
        <v>0</v>
      </c>
      <c r="P1026" s="42">
        <f>VLOOKUP($A1026,'Neraca Unaudited SIMAK'!$A$2:$R$1272,15,FALSE)+IF(ISNA(VLOOKUP($A1026,'Mutasi Neraca'!$A$3:$S$910,15,FALSE)),0,VLOOKUP($A1026,'Mutasi Neraca'!$A$3:$S$910,15,FALSE))</f>
        <v>0</v>
      </c>
      <c r="Q1026" s="42">
        <f>VLOOKUP($A1026,'Neraca Unaudited SIMAK'!$A$2:$R$1272,16,FALSE)+IF(ISNA(VLOOKUP($A1026,'Mutasi Neraca'!$A$3:$S$910,16,FALSE)),0,VLOOKUP($A1026,'Mutasi Neraca'!$A$3:$S$910,16,FALSE))</f>
        <v>0</v>
      </c>
      <c r="R1026" s="42">
        <f>VLOOKUP($A1026,'Neraca Unaudited SIMAK'!$A$2:$R$1272,17,FALSE)+IF(ISNA(VLOOKUP($A1026,'Mutasi Neraca'!$A$3:$S$910,17,FALSE)),0,VLOOKUP($A1026,'Mutasi Neraca'!$A$3:$S$910,17,FALSE))</f>
        <v>0</v>
      </c>
      <c r="S1026" s="42">
        <f t="shared" si="73"/>
        <v>9819550</v>
      </c>
    </row>
    <row r="1027" spans="1:19">
      <c r="A1027" s="41" t="s">
        <v>2054</v>
      </c>
      <c r="B1027" s="41" t="str">
        <f t="shared" ref="B1027:B1090" si="74">LEFT(A1027,9)</f>
        <v>005031300</v>
      </c>
      <c r="D1027" s="42">
        <f>VLOOKUP($A1027,'Neraca Unaudited SIMAK'!$A$2:$R$1272,3,FALSE)+IF(ISNA(VLOOKUP($A1027,'Mutasi Neraca'!$A$3:$S$910,3,FALSE)),0,VLOOKUP($A1027,'Mutasi Neraca'!$A$3:$S$910,3,FALSE))</f>
        <v>2649500</v>
      </c>
      <c r="E1027" s="42">
        <f>VLOOKUP($A1027,'Neraca Unaudited SIMAK'!$A$2:$R$1272,4,FALSE)+IF(ISNA(VLOOKUP($A1027,'Mutasi Neraca'!$A$3:$S$910,4,FALSE)),0,VLOOKUP($A1027,'Mutasi Neraca'!$A$3:$S$910,4,FALSE))</f>
        <v>0</v>
      </c>
      <c r="F1027" s="42">
        <f>VLOOKUP($A1027,'Neraca Unaudited SIMAK'!$A$2:$R$1272,5,FALSE)+IF(ISNA(VLOOKUP($A1027,'Mutasi Neraca'!$A$3:$S$910,5,FALSE)),0,VLOOKUP($A1027,'Mutasi Neraca'!$A$3:$S$910,5,FALSE))</f>
        <v>0</v>
      </c>
      <c r="G1027" s="42">
        <f>VLOOKUP($A1027,'Neraca Unaudited SIMAK'!$A$2:$R$1272,6,FALSE)+IF(ISNA(VLOOKUP($A1027,'Mutasi Neraca'!$A$3:$S$910,6,FALSE)),0,VLOOKUP($A1027,'Mutasi Neraca'!$A$3:$S$910,6,FALSE))</f>
        <v>0</v>
      </c>
      <c r="H1027" s="42">
        <f>VLOOKUP($A1027,'Neraca Unaudited SIMAK'!$A$2:$R$1272,7,FALSE)+IF(ISNA(VLOOKUP($A1027,'Mutasi Neraca'!$A$3:$S$910,7,FALSE)),0,VLOOKUP($A1027,'Mutasi Neraca'!$A$3:$S$910,7,FALSE))</f>
        <v>0</v>
      </c>
      <c r="I1027" s="42">
        <f>VLOOKUP($A1027,'Neraca Unaudited SIMAK'!$A$2:$R$1272,8,FALSE)+IF(ISNA(VLOOKUP($A1027,'Mutasi Neraca'!$A$3:$S$910,8,FALSE)),0,VLOOKUP($A1027,'Mutasi Neraca'!$A$3:$S$910,8,FALSE))</f>
        <v>0</v>
      </c>
      <c r="J1027" s="42">
        <f>VLOOKUP($A1027,'Neraca Unaudited SIMAK'!$A$2:$R$1272,9,FALSE)+IF(ISNA(VLOOKUP($A1027,'Mutasi Neraca'!$A$3:$S$910,9,FALSE)),0,VLOOKUP($A1027,'Mutasi Neraca'!$A$3:$S$910,9,FALSE))</f>
        <v>0</v>
      </c>
      <c r="K1027" s="42">
        <f>VLOOKUP($A1027,'Neraca Unaudited SIMAK'!$A$2:$R$1272,10,FALSE)+IF(ISNA(VLOOKUP($A1027,'Mutasi Neraca'!$A$3:$S$910,10,FALSE)),0,VLOOKUP($A1027,'Mutasi Neraca'!$A$3:$S$910,10,FALSE))</f>
        <v>0</v>
      </c>
      <c r="L1027" s="42">
        <f>VLOOKUP($A1027,'Neraca Unaudited SIMAK'!$A$2:$R$1272,11,FALSE)+IF(ISNA(VLOOKUP($A1027,'Mutasi Neraca'!$A$3:$S$910,11,FALSE)),0,VLOOKUP($A1027,'Mutasi Neraca'!$A$3:$S$910,11,FALSE))</f>
        <v>0</v>
      </c>
      <c r="M1027" s="42">
        <f>VLOOKUP($A1027,'Neraca Unaudited SIMAK'!$A$2:$R$1272,12,FALSE)+IF(ISNA(VLOOKUP($A1027,'Mutasi Neraca'!$A$3:$S$910,12,FALSE)),0,VLOOKUP($A1027,'Mutasi Neraca'!$A$3:$S$910,12,FALSE))</f>
        <v>2649500</v>
      </c>
      <c r="N1027" s="42">
        <f>VLOOKUP($A1027,'Neraca Unaudited SIMAK'!$A$2:$R$1272,13,FALSE)+IF(ISNA(VLOOKUP($A1027,'Mutasi Neraca'!$A$3:$S$910,13,FALSE)),0,VLOOKUP($A1027,'Mutasi Neraca'!$A$3:$S$910,13,FALSE))</f>
        <v>0</v>
      </c>
      <c r="O1027" s="42">
        <f>VLOOKUP($A1027,'Neraca Unaudited SIMAK'!$A$2:$R$1272,14,FALSE)+IF(ISNA(VLOOKUP($A1027,'Mutasi Neraca'!$A$3:$S$910,14,FALSE)),0,VLOOKUP($A1027,'Mutasi Neraca'!$A$3:$S$910,14,FALSE))</f>
        <v>0</v>
      </c>
      <c r="P1027" s="42">
        <f>VLOOKUP($A1027,'Neraca Unaudited SIMAK'!$A$2:$R$1272,15,FALSE)+IF(ISNA(VLOOKUP($A1027,'Mutasi Neraca'!$A$3:$S$910,15,FALSE)),0,VLOOKUP($A1027,'Mutasi Neraca'!$A$3:$S$910,15,FALSE))</f>
        <v>0</v>
      </c>
      <c r="Q1027" s="42">
        <f>VLOOKUP($A1027,'Neraca Unaudited SIMAK'!$A$2:$R$1272,16,FALSE)+IF(ISNA(VLOOKUP($A1027,'Mutasi Neraca'!$A$3:$S$910,16,FALSE)),0,VLOOKUP($A1027,'Mutasi Neraca'!$A$3:$S$910,16,FALSE))</f>
        <v>0</v>
      </c>
      <c r="R1027" s="42">
        <f>VLOOKUP($A1027,'Neraca Unaudited SIMAK'!$A$2:$R$1272,17,FALSE)+IF(ISNA(VLOOKUP($A1027,'Mutasi Neraca'!$A$3:$S$910,17,FALSE)),0,VLOOKUP($A1027,'Mutasi Neraca'!$A$3:$S$910,17,FALSE))</f>
        <v>0</v>
      </c>
      <c r="S1027" s="42">
        <f t="shared" ref="S1027:S1090" si="75">SUM(M1027:R1027)</f>
        <v>2649500</v>
      </c>
    </row>
    <row r="1028" spans="1:19">
      <c r="A1028" s="41" t="s">
        <v>989</v>
      </c>
      <c r="B1028" s="41" t="str">
        <f t="shared" si="74"/>
        <v>005031300</v>
      </c>
      <c r="D1028" s="42">
        <f>VLOOKUP($A1028,'Neraca Unaudited SIMAK'!$A$2:$R$1272,3,FALSE)+IF(ISNA(VLOOKUP($A1028,'Mutasi Neraca'!$A$3:$S$910,3,FALSE)),0,VLOOKUP($A1028,'Mutasi Neraca'!$A$3:$S$910,3,FALSE))</f>
        <v>50000</v>
      </c>
      <c r="E1028" s="42">
        <f>VLOOKUP($A1028,'Neraca Unaudited SIMAK'!$A$2:$R$1272,4,FALSE)+IF(ISNA(VLOOKUP($A1028,'Mutasi Neraca'!$A$3:$S$910,4,FALSE)),0,VLOOKUP($A1028,'Mutasi Neraca'!$A$3:$S$910,4,FALSE))</f>
        <v>0</v>
      </c>
      <c r="F1028" s="42">
        <f>VLOOKUP($A1028,'Neraca Unaudited SIMAK'!$A$2:$R$1272,5,FALSE)+IF(ISNA(VLOOKUP($A1028,'Mutasi Neraca'!$A$3:$S$910,5,FALSE)),0,VLOOKUP($A1028,'Mutasi Neraca'!$A$3:$S$910,5,FALSE))</f>
        <v>0</v>
      </c>
      <c r="G1028" s="42">
        <f>VLOOKUP($A1028,'Neraca Unaudited SIMAK'!$A$2:$R$1272,6,FALSE)+IF(ISNA(VLOOKUP($A1028,'Mutasi Neraca'!$A$3:$S$910,6,FALSE)),0,VLOOKUP($A1028,'Mutasi Neraca'!$A$3:$S$910,6,FALSE))</f>
        <v>0</v>
      </c>
      <c r="H1028" s="42">
        <f>VLOOKUP($A1028,'Neraca Unaudited SIMAK'!$A$2:$R$1272,7,FALSE)+IF(ISNA(VLOOKUP($A1028,'Mutasi Neraca'!$A$3:$S$910,7,FALSE)),0,VLOOKUP($A1028,'Mutasi Neraca'!$A$3:$S$910,7,FALSE))</f>
        <v>0</v>
      </c>
      <c r="I1028" s="42">
        <f>VLOOKUP($A1028,'Neraca Unaudited SIMAK'!$A$2:$R$1272,8,FALSE)+IF(ISNA(VLOOKUP($A1028,'Mutasi Neraca'!$A$3:$S$910,8,FALSE)),0,VLOOKUP($A1028,'Mutasi Neraca'!$A$3:$S$910,8,FALSE))</f>
        <v>0</v>
      </c>
      <c r="J1028" s="42">
        <f>VLOOKUP($A1028,'Neraca Unaudited SIMAK'!$A$2:$R$1272,9,FALSE)+IF(ISNA(VLOOKUP($A1028,'Mutasi Neraca'!$A$3:$S$910,9,FALSE)),0,VLOOKUP($A1028,'Mutasi Neraca'!$A$3:$S$910,9,FALSE))</f>
        <v>0</v>
      </c>
      <c r="K1028" s="42">
        <f>VLOOKUP($A1028,'Neraca Unaudited SIMAK'!$A$2:$R$1272,10,FALSE)+IF(ISNA(VLOOKUP($A1028,'Mutasi Neraca'!$A$3:$S$910,10,FALSE)),0,VLOOKUP($A1028,'Mutasi Neraca'!$A$3:$S$910,10,FALSE))</f>
        <v>0</v>
      </c>
      <c r="L1028" s="42">
        <f>VLOOKUP($A1028,'Neraca Unaudited SIMAK'!$A$2:$R$1272,11,FALSE)+IF(ISNA(VLOOKUP($A1028,'Mutasi Neraca'!$A$3:$S$910,11,FALSE)),0,VLOOKUP($A1028,'Mutasi Neraca'!$A$3:$S$910,11,FALSE))</f>
        <v>0</v>
      </c>
      <c r="M1028" s="42">
        <f>VLOOKUP($A1028,'Neraca Unaudited SIMAK'!$A$2:$R$1272,12,FALSE)+IF(ISNA(VLOOKUP($A1028,'Mutasi Neraca'!$A$3:$S$910,12,FALSE)),0,VLOOKUP($A1028,'Mutasi Neraca'!$A$3:$S$910,12,FALSE))</f>
        <v>50000</v>
      </c>
      <c r="N1028" s="42">
        <f>VLOOKUP($A1028,'Neraca Unaudited SIMAK'!$A$2:$R$1272,13,FALSE)+IF(ISNA(VLOOKUP($A1028,'Mutasi Neraca'!$A$3:$S$910,13,FALSE)),0,VLOOKUP($A1028,'Mutasi Neraca'!$A$3:$S$910,13,FALSE))</f>
        <v>0</v>
      </c>
      <c r="O1028" s="42">
        <f>VLOOKUP($A1028,'Neraca Unaudited SIMAK'!$A$2:$R$1272,14,FALSE)+IF(ISNA(VLOOKUP($A1028,'Mutasi Neraca'!$A$3:$S$910,14,FALSE)),0,VLOOKUP($A1028,'Mutasi Neraca'!$A$3:$S$910,14,FALSE))</f>
        <v>0</v>
      </c>
      <c r="P1028" s="42">
        <f>VLOOKUP($A1028,'Neraca Unaudited SIMAK'!$A$2:$R$1272,15,FALSE)+IF(ISNA(VLOOKUP($A1028,'Mutasi Neraca'!$A$3:$S$910,15,FALSE)),0,VLOOKUP($A1028,'Mutasi Neraca'!$A$3:$S$910,15,FALSE))</f>
        <v>0</v>
      </c>
      <c r="Q1028" s="42">
        <f>VLOOKUP($A1028,'Neraca Unaudited SIMAK'!$A$2:$R$1272,16,FALSE)+IF(ISNA(VLOOKUP($A1028,'Mutasi Neraca'!$A$3:$S$910,16,FALSE)),0,VLOOKUP($A1028,'Mutasi Neraca'!$A$3:$S$910,16,FALSE))</f>
        <v>0</v>
      </c>
      <c r="R1028" s="42">
        <f>VLOOKUP($A1028,'Neraca Unaudited SIMAK'!$A$2:$R$1272,17,FALSE)+IF(ISNA(VLOOKUP($A1028,'Mutasi Neraca'!$A$3:$S$910,17,FALSE)),0,VLOOKUP($A1028,'Mutasi Neraca'!$A$3:$S$910,17,FALSE))</f>
        <v>0</v>
      </c>
      <c r="S1028" s="42">
        <f t="shared" si="75"/>
        <v>50000</v>
      </c>
    </row>
    <row r="1029" spans="1:19">
      <c r="A1029" s="41" t="s">
        <v>990</v>
      </c>
      <c r="B1029" s="41" t="str">
        <f t="shared" si="74"/>
        <v>005031300</v>
      </c>
      <c r="D1029" s="42">
        <f>VLOOKUP($A1029,'Neraca Unaudited SIMAK'!$A$2:$R$1272,3,FALSE)+IF(ISNA(VLOOKUP($A1029,'Mutasi Neraca'!$A$3:$S$910,3,FALSE)),0,VLOOKUP($A1029,'Mutasi Neraca'!$A$3:$S$910,3,FALSE))</f>
        <v>111000</v>
      </c>
      <c r="E1029" s="42">
        <f>VLOOKUP($A1029,'Neraca Unaudited SIMAK'!$A$2:$R$1272,4,FALSE)+IF(ISNA(VLOOKUP($A1029,'Mutasi Neraca'!$A$3:$S$910,4,FALSE)),0,VLOOKUP($A1029,'Mutasi Neraca'!$A$3:$S$910,4,FALSE))</f>
        <v>0</v>
      </c>
      <c r="F1029" s="42">
        <f>VLOOKUP($A1029,'Neraca Unaudited SIMAK'!$A$2:$R$1272,5,FALSE)+IF(ISNA(VLOOKUP($A1029,'Mutasi Neraca'!$A$3:$S$910,5,FALSE)),0,VLOOKUP($A1029,'Mutasi Neraca'!$A$3:$S$910,5,FALSE))</f>
        <v>0</v>
      </c>
      <c r="G1029" s="42">
        <f>VLOOKUP($A1029,'Neraca Unaudited SIMAK'!$A$2:$R$1272,6,FALSE)+IF(ISNA(VLOOKUP($A1029,'Mutasi Neraca'!$A$3:$S$910,6,FALSE)),0,VLOOKUP($A1029,'Mutasi Neraca'!$A$3:$S$910,6,FALSE))</f>
        <v>0</v>
      </c>
      <c r="H1029" s="42">
        <f>VLOOKUP($A1029,'Neraca Unaudited SIMAK'!$A$2:$R$1272,7,FALSE)+IF(ISNA(VLOOKUP($A1029,'Mutasi Neraca'!$A$3:$S$910,7,FALSE)),0,VLOOKUP($A1029,'Mutasi Neraca'!$A$3:$S$910,7,FALSE))</f>
        <v>0</v>
      </c>
      <c r="I1029" s="42">
        <f>VLOOKUP($A1029,'Neraca Unaudited SIMAK'!$A$2:$R$1272,8,FALSE)+IF(ISNA(VLOOKUP($A1029,'Mutasi Neraca'!$A$3:$S$910,8,FALSE)),0,VLOOKUP($A1029,'Mutasi Neraca'!$A$3:$S$910,8,FALSE))</f>
        <v>0</v>
      </c>
      <c r="J1029" s="42">
        <f>VLOOKUP($A1029,'Neraca Unaudited SIMAK'!$A$2:$R$1272,9,FALSE)+IF(ISNA(VLOOKUP($A1029,'Mutasi Neraca'!$A$3:$S$910,9,FALSE)),0,VLOOKUP($A1029,'Mutasi Neraca'!$A$3:$S$910,9,FALSE))</f>
        <v>0</v>
      </c>
      <c r="K1029" s="42">
        <f>VLOOKUP($A1029,'Neraca Unaudited SIMAK'!$A$2:$R$1272,10,FALSE)+IF(ISNA(VLOOKUP($A1029,'Mutasi Neraca'!$A$3:$S$910,10,FALSE)),0,VLOOKUP($A1029,'Mutasi Neraca'!$A$3:$S$910,10,FALSE))</f>
        <v>0</v>
      </c>
      <c r="L1029" s="42">
        <f>VLOOKUP($A1029,'Neraca Unaudited SIMAK'!$A$2:$R$1272,11,FALSE)+IF(ISNA(VLOOKUP($A1029,'Mutasi Neraca'!$A$3:$S$910,11,FALSE)),0,VLOOKUP($A1029,'Mutasi Neraca'!$A$3:$S$910,11,FALSE))</f>
        <v>0</v>
      </c>
      <c r="M1029" s="42">
        <f>VLOOKUP($A1029,'Neraca Unaudited SIMAK'!$A$2:$R$1272,12,FALSE)+IF(ISNA(VLOOKUP($A1029,'Mutasi Neraca'!$A$3:$S$910,12,FALSE)),0,VLOOKUP($A1029,'Mutasi Neraca'!$A$3:$S$910,12,FALSE))</f>
        <v>111000</v>
      </c>
      <c r="N1029" s="42">
        <f>VLOOKUP($A1029,'Neraca Unaudited SIMAK'!$A$2:$R$1272,13,FALSE)+IF(ISNA(VLOOKUP($A1029,'Mutasi Neraca'!$A$3:$S$910,13,FALSE)),0,VLOOKUP($A1029,'Mutasi Neraca'!$A$3:$S$910,13,FALSE))</f>
        <v>0</v>
      </c>
      <c r="O1029" s="42">
        <f>VLOOKUP($A1029,'Neraca Unaudited SIMAK'!$A$2:$R$1272,14,FALSE)+IF(ISNA(VLOOKUP($A1029,'Mutasi Neraca'!$A$3:$S$910,14,FALSE)),0,VLOOKUP($A1029,'Mutasi Neraca'!$A$3:$S$910,14,FALSE))</f>
        <v>0</v>
      </c>
      <c r="P1029" s="42">
        <f>VLOOKUP($A1029,'Neraca Unaudited SIMAK'!$A$2:$R$1272,15,FALSE)+IF(ISNA(VLOOKUP($A1029,'Mutasi Neraca'!$A$3:$S$910,15,FALSE)),0,VLOOKUP($A1029,'Mutasi Neraca'!$A$3:$S$910,15,FALSE))</f>
        <v>0</v>
      </c>
      <c r="Q1029" s="42">
        <f>VLOOKUP($A1029,'Neraca Unaudited SIMAK'!$A$2:$R$1272,16,FALSE)+IF(ISNA(VLOOKUP($A1029,'Mutasi Neraca'!$A$3:$S$910,16,FALSE)),0,VLOOKUP($A1029,'Mutasi Neraca'!$A$3:$S$910,16,FALSE))</f>
        <v>0</v>
      </c>
      <c r="R1029" s="42">
        <f>VLOOKUP($A1029,'Neraca Unaudited SIMAK'!$A$2:$R$1272,17,FALSE)+IF(ISNA(VLOOKUP($A1029,'Mutasi Neraca'!$A$3:$S$910,17,FALSE)),0,VLOOKUP($A1029,'Mutasi Neraca'!$A$3:$S$910,17,FALSE))</f>
        <v>0</v>
      </c>
      <c r="S1029" s="42">
        <f t="shared" si="75"/>
        <v>111000</v>
      </c>
    </row>
    <row r="1030" spans="1:19">
      <c r="A1030" s="41" t="s">
        <v>991</v>
      </c>
      <c r="B1030" s="41" t="str">
        <f t="shared" si="74"/>
        <v>005031300</v>
      </c>
      <c r="D1030" s="42">
        <f>VLOOKUP($A1030,'Neraca Unaudited SIMAK'!$A$2:$R$1272,3,FALSE)+IF(ISNA(VLOOKUP($A1030,'Mutasi Neraca'!$A$3:$S$910,3,FALSE)),0,VLOOKUP($A1030,'Mutasi Neraca'!$A$3:$S$910,3,FALSE))</f>
        <v>96750</v>
      </c>
      <c r="E1030" s="42">
        <f>VLOOKUP($A1030,'Neraca Unaudited SIMAK'!$A$2:$R$1272,4,FALSE)+IF(ISNA(VLOOKUP($A1030,'Mutasi Neraca'!$A$3:$S$910,4,FALSE)),0,VLOOKUP($A1030,'Mutasi Neraca'!$A$3:$S$910,4,FALSE))</f>
        <v>0</v>
      </c>
      <c r="F1030" s="42">
        <f>VLOOKUP($A1030,'Neraca Unaudited SIMAK'!$A$2:$R$1272,5,FALSE)+IF(ISNA(VLOOKUP($A1030,'Mutasi Neraca'!$A$3:$S$910,5,FALSE)),0,VLOOKUP($A1030,'Mutasi Neraca'!$A$3:$S$910,5,FALSE))</f>
        <v>0</v>
      </c>
      <c r="G1030" s="42">
        <f>VLOOKUP($A1030,'Neraca Unaudited SIMAK'!$A$2:$R$1272,6,FALSE)+IF(ISNA(VLOOKUP($A1030,'Mutasi Neraca'!$A$3:$S$910,6,FALSE)),0,VLOOKUP($A1030,'Mutasi Neraca'!$A$3:$S$910,6,FALSE))</f>
        <v>0</v>
      </c>
      <c r="H1030" s="42">
        <f>VLOOKUP($A1030,'Neraca Unaudited SIMAK'!$A$2:$R$1272,7,FALSE)+IF(ISNA(VLOOKUP($A1030,'Mutasi Neraca'!$A$3:$S$910,7,FALSE)),0,VLOOKUP($A1030,'Mutasi Neraca'!$A$3:$S$910,7,FALSE))</f>
        <v>0</v>
      </c>
      <c r="I1030" s="42">
        <f>VLOOKUP($A1030,'Neraca Unaudited SIMAK'!$A$2:$R$1272,8,FALSE)+IF(ISNA(VLOOKUP($A1030,'Mutasi Neraca'!$A$3:$S$910,8,FALSE)),0,VLOOKUP($A1030,'Mutasi Neraca'!$A$3:$S$910,8,FALSE))</f>
        <v>0</v>
      </c>
      <c r="J1030" s="42">
        <f>VLOOKUP($A1030,'Neraca Unaudited SIMAK'!$A$2:$R$1272,9,FALSE)+IF(ISNA(VLOOKUP($A1030,'Mutasi Neraca'!$A$3:$S$910,9,FALSE)),0,VLOOKUP($A1030,'Mutasi Neraca'!$A$3:$S$910,9,FALSE))</f>
        <v>0</v>
      </c>
      <c r="K1030" s="42">
        <f>VLOOKUP($A1030,'Neraca Unaudited SIMAK'!$A$2:$R$1272,10,FALSE)+IF(ISNA(VLOOKUP($A1030,'Mutasi Neraca'!$A$3:$S$910,10,FALSE)),0,VLOOKUP($A1030,'Mutasi Neraca'!$A$3:$S$910,10,FALSE))</f>
        <v>0</v>
      </c>
      <c r="L1030" s="42">
        <f>VLOOKUP($A1030,'Neraca Unaudited SIMAK'!$A$2:$R$1272,11,FALSE)+IF(ISNA(VLOOKUP($A1030,'Mutasi Neraca'!$A$3:$S$910,11,FALSE)),0,VLOOKUP($A1030,'Mutasi Neraca'!$A$3:$S$910,11,FALSE))</f>
        <v>0</v>
      </c>
      <c r="M1030" s="42">
        <f>VLOOKUP($A1030,'Neraca Unaudited SIMAK'!$A$2:$R$1272,12,FALSE)+IF(ISNA(VLOOKUP($A1030,'Mutasi Neraca'!$A$3:$S$910,12,FALSE)),0,VLOOKUP($A1030,'Mutasi Neraca'!$A$3:$S$910,12,FALSE))</f>
        <v>96750</v>
      </c>
      <c r="N1030" s="42">
        <f>VLOOKUP($A1030,'Neraca Unaudited SIMAK'!$A$2:$R$1272,13,FALSE)+IF(ISNA(VLOOKUP($A1030,'Mutasi Neraca'!$A$3:$S$910,13,FALSE)),0,VLOOKUP($A1030,'Mutasi Neraca'!$A$3:$S$910,13,FALSE))</f>
        <v>0</v>
      </c>
      <c r="O1030" s="42">
        <f>VLOOKUP($A1030,'Neraca Unaudited SIMAK'!$A$2:$R$1272,14,FALSE)+IF(ISNA(VLOOKUP($A1030,'Mutasi Neraca'!$A$3:$S$910,14,FALSE)),0,VLOOKUP($A1030,'Mutasi Neraca'!$A$3:$S$910,14,FALSE))</f>
        <v>0</v>
      </c>
      <c r="P1030" s="42">
        <f>VLOOKUP($A1030,'Neraca Unaudited SIMAK'!$A$2:$R$1272,15,FALSE)+IF(ISNA(VLOOKUP($A1030,'Mutasi Neraca'!$A$3:$S$910,15,FALSE)),0,VLOOKUP($A1030,'Mutasi Neraca'!$A$3:$S$910,15,FALSE))</f>
        <v>0</v>
      </c>
      <c r="Q1030" s="42">
        <f>VLOOKUP($A1030,'Neraca Unaudited SIMAK'!$A$2:$R$1272,16,FALSE)+IF(ISNA(VLOOKUP($A1030,'Mutasi Neraca'!$A$3:$S$910,16,FALSE)),0,VLOOKUP($A1030,'Mutasi Neraca'!$A$3:$S$910,16,FALSE))</f>
        <v>0</v>
      </c>
      <c r="R1030" s="42">
        <f>VLOOKUP($A1030,'Neraca Unaudited SIMAK'!$A$2:$R$1272,17,FALSE)+IF(ISNA(VLOOKUP($A1030,'Mutasi Neraca'!$A$3:$S$910,17,FALSE)),0,VLOOKUP($A1030,'Mutasi Neraca'!$A$3:$S$910,17,FALSE))</f>
        <v>0</v>
      </c>
      <c r="S1030" s="42">
        <f t="shared" si="75"/>
        <v>96750</v>
      </c>
    </row>
    <row r="1031" spans="1:19">
      <c r="A1031" s="41" t="s">
        <v>992</v>
      </c>
      <c r="B1031" s="41" t="str">
        <f t="shared" si="74"/>
        <v>005031300</v>
      </c>
      <c r="D1031" s="42">
        <f>VLOOKUP($A1031,'Neraca Unaudited SIMAK'!$A$2:$R$1272,3,FALSE)+IF(ISNA(VLOOKUP($A1031,'Mutasi Neraca'!$A$3:$S$910,3,FALSE)),0,VLOOKUP($A1031,'Mutasi Neraca'!$A$3:$S$910,3,FALSE))</f>
        <v>76000</v>
      </c>
      <c r="E1031" s="42">
        <f>VLOOKUP($A1031,'Neraca Unaudited SIMAK'!$A$2:$R$1272,4,FALSE)+IF(ISNA(VLOOKUP($A1031,'Mutasi Neraca'!$A$3:$S$910,4,FALSE)),0,VLOOKUP($A1031,'Mutasi Neraca'!$A$3:$S$910,4,FALSE))</f>
        <v>0</v>
      </c>
      <c r="F1031" s="42">
        <f>VLOOKUP($A1031,'Neraca Unaudited SIMAK'!$A$2:$R$1272,5,FALSE)+IF(ISNA(VLOOKUP($A1031,'Mutasi Neraca'!$A$3:$S$910,5,FALSE)),0,VLOOKUP($A1031,'Mutasi Neraca'!$A$3:$S$910,5,FALSE))</f>
        <v>0</v>
      </c>
      <c r="G1031" s="42">
        <f>VLOOKUP($A1031,'Neraca Unaudited SIMAK'!$A$2:$R$1272,6,FALSE)+IF(ISNA(VLOOKUP($A1031,'Mutasi Neraca'!$A$3:$S$910,6,FALSE)),0,VLOOKUP($A1031,'Mutasi Neraca'!$A$3:$S$910,6,FALSE))</f>
        <v>0</v>
      </c>
      <c r="H1031" s="42">
        <f>VLOOKUP($A1031,'Neraca Unaudited SIMAK'!$A$2:$R$1272,7,FALSE)+IF(ISNA(VLOOKUP($A1031,'Mutasi Neraca'!$A$3:$S$910,7,FALSE)),0,VLOOKUP($A1031,'Mutasi Neraca'!$A$3:$S$910,7,FALSE))</f>
        <v>0</v>
      </c>
      <c r="I1031" s="42">
        <f>VLOOKUP($A1031,'Neraca Unaudited SIMAK'!$A$2:$R$1272,8,FALSE)+IF(ISNA(VLOOKUP($A1031,'Mutasi Neraca'!$A$3:$S$910,8,FALSE)),0,VLOOKUP($A1031,'Mutasi Neraca'!$A$3:$S$910,8,FALSE))</f>
        <v>0</v>
      </c>
      <c r="J1031" s="42">
        <f>VLOOKUP($A1031,'Neraca Unaudited SIMAK'!$A$2:$R$1272,9,FALSE)+IF(ISNA(VLOOKUP($A1031,'Mutasi Neraca'!$A$3:$S$910,9,FALSE)),0,VLOOKUP($A1031,'Mutasi Neraca'!$A$3:$S$910,9,FALSE))</f>
        <v>0</v>
      </c>
      <c r="K1031" s="42">
        <f>VLOOKUP($A1031,'Neraca Unaudited SIMAK'!$A$2:$R$1272,10,FALSE)+IF(ISNA(VLOOKUP($A1031,'Mutasi Neraca'!$A$3:$S$910,10,FALSE)),0,VLOOKUP($A1031,'Mutasi Neraca'!$A$3:$S$910,10,FALSE))</f>
        <v>0</v>
      </c>
      <c r="L1031" s="42">
        <f>VLOOKUP($A1031,'Neraca Unaudited SIMAK'!$A$2:$R$1272,11,FALSE)+IF(ISNA(VLOOKUP($A1031,'Mutasi Neraca'!$A$3:$S$910,11,FALSE)),0,VLOOKUP($A1031,'Mutasi Neraca'!$A$3:$S$910,11,FALSE))</f>
        <v>0</v>
      </c>
      <c r="M1031" s="42">
        <f>VLOOKUP($A1031,'Neraca Unaudited SIMAK'!$A$2:$R$1272,12,FALSE)+IF(ISNA(VLOOKUP($A1031,'Mutasi Neraca'!$A$3:$S$910,12,FALSE)),0,VLOOKUP($A1031,'Mutasi Neraca'!$A$3:$S$910,12,FALSE))</f>
        <v>76000</v>
      </c>
      <c r="N1031" s="42">
        <f>VLOOKUP($A1031,'Neraca Unaudited SIMAK'!$A$2:$R$1272,13,FALSE)+IF(ISNA(VLOOKUP($A1031,'Mutasi Neraca'!$A$3:$S$910,13,FALSE)),0,VLOOKUP($A1031,'Mutasi Neraca'!$A$3:$S$910,13,FALSE))</f>
        <v>0</v>
      </c>
      <c r="O1031" s="42">
        <f>VLOOKUP($A1031,'Neraca Unaudited SIMAK'!$A$2:$R$1272,14,FALSE)+IF(ISNA(VLOOKUP($A1031,'Mutasi Neraca'!$A$3:$S$910,14,FALSE)),0,VLOOKUP($A1031,'Mutasi Neraca'!$A$3:$S$910,14,FALSE))</f>
        <v>0</v>
      </c>
      <c r="P1031" s="42">
        <f>VLOOKUP($A1031,'Neraca Unaudited SIMAK'!$A$2:$R$1272,15,FALSE)+IF(ISNA(VLOOKUP($A1031,'Mutasi Neraca'!$A$3:$S$910,15,FALSE)),0,VLOOKUP($A1031,'Mutasi Neraca'!$A$3:$S$910,15,FALSE))</f>
        <v>0</v>
      </c>
      <c r="Q1031" s="42">
        <f>VLOOKUP($A1031,'Neraca Unaudited SIMAK'!$A$2:$R$1272,16,FALSE)+IF(ISNA(VLOOKUP($A1031,'Mutasi Neraca'!$A$3:$S$910,16,FALSE)),0,VLOOKUP($A1031,'Mutasi Neraca'!$A$3:$S$910,16,FALSE))</f>
        <v>0</v>
      </c>
      <c r="R1031" s="42">
        <f>VLOOKUP($A1031,'Neraca Unaudited SIMAK'!$A$2:$R$1272,17,FALSE)+IF(ISNA(VLOOKUP($A1031,'Mutasi Neraca'!$A$3:$S$910,17,FALSE)),0,VLOOKUP($A1031,'Mutasi Neraca'!$A$3:$S$910,17,FALSE))</f>
        <v>0</v>
      </c>
      <c r="S1031" s="42">
        <f t="shared" si="75"/>
        <v>76000</v>
      </c>
    </row>
    <row r="1032" spans="1:19">
      <c r="A1032" s="41" t="s">
        <v>993</v>
      </c>
      <c r="B1032" s="41" t="str">
        <f t="shared" si="74"/>
        <v>005031300</v>
      </c>
      <c r="D1032" s="42">
        <f>VLOOKUP($A1032,'Neraca Unaudited SIMAK'!$A$2:$R$1272,3,FALSE)+IF(ISNA(VLOOKUP($A1032,'Mutasi Neraca'!$A$3:$S$910,3,FALSE)),0,VLOOKUP($A1032,'Mutasi Neraca'!$A$3:$S$910,3,FALSE))</f>
        <v>0</v>
      </c>
      <c r="E1032" s="42">
        <f>VLOOKUP($A1032,'Neraca Unaudited SIMAK'!$A$2:$R$1272,4,FALSE)+IF(ISNA(VLOOKUP($A1032,'Mutasi Neraca'!$A$3:$S$910,4,FALSE)),0,VLOOKUP($A1032,'Mutasi Neraca'!$A$3:$S$910,4,FALSE))</f>
        <v>0</v>
      </c>
      <c r="F1032" s="42">
        <f>VLOOKUP($A1032,'Neraca Unaudited SIMAK'!$A$2:$R$1272,5,FALSE)+IF(ISNA(VLOOKUP($A1032,'Mutasi Neraca'!$A$3:$S$910,5,FALSE)),0,VLOOKUP($A1032,'Mutasi Neraca'!$A$3:$S$910,5,FALSE))</f>
        <v>0</v>
      </c>
      <c r="G1032" s="42">
        <f>VLOOKUP($A1032,'Neraca Unaudited SIMAK'!$A$2:$R$1272,6,FALSE)+IF(ISNA(VLOOKUP($A1032,'Mutasi Neraca'!$A$3:$S$910,6,FALSE)),0,VLOOKUP($A1032,'Mutasi Neraca'!$A$3:$S$910,6,FALSE))</f>
        <v>0</v>
      </c>
      <c r="H1032" s="42">
        <f>VLOOKUP($A1032,'Neraca Unaudited SIMAK'!$A$2:$R$1272,7,FALSE)+IF(ISNA(VLOOKUP($A1032,'Mutasi Neraca'!$A$3:$S$910,7,FALSE)),0,VLOOKUP($A1032,'Mutasi Neraca'!$A$3:$S$910,7,FALSE))</f>
        <v>0</v>
      </c>
      <c r="I1032" s="42">
        <f>VLOOKUP($A1032,'Neraca Unaudited SIMAK'!$A$2:$R$1272,8,FALSE)+IF(ISNA(VLOOKUP($A1032,'Mutasi Neraca'!$A$3:$S$910,8,FALSE)),0,VLOOKUP($A1032,'Mutasi Neraca'!$A$3:$S$910,8,FALSE))</f>
        <v>0</v>
      </c>
      <c r="J1032" s="42">
        <f>VLOOKUP($A1032,'Neraca Unaudited SIMAK'!$A$2:$R$1272,9,FALSE)+IF(ISNA(VLOOKUP($A1032,'Mutasi Neraca'!$A$3:$S$910,9,FALSE)),0,VLOOKUP($A1032,'Mutasi Neraca'!$A$3:$S$910,9,FALSE))</f>
        <v>0</v>
      </c>
      <c r="K1032" s="42">
        <f>VLOOKUP($A1032,'Neraca Unaudited SIMAK'!$A$2:$R$1272,10,FALSE)+IF(ISNA(VLOOKUP($A1032,'Mutasi Neraca'!$A$3:$S$910,10,FALSE)),0,VLOOKUP($A1032,'Mutasi Neraca'!$A$3:$S$910,10,FALSE))</f>
        <v>0</v>
      </c>
      <c r="L1032" s="42">
        <f>VLOOKUP($A1032,'Neraca Unaudited SIMAK'!$A$2:$R$1272,11,FALSE)+IF(ISNA(VLOOKUP($A1032,'Mutasi Neraca'!$A$3:$S$910,11,FALSE)),0,VLOOKUP($A1032,'Mutasi Neraca'!$A$3:$S$910,11,FALSE))</f>
        <v>0</v>
      </c>
      <c r="M1032" s="42">
        <f>VLOOKUP($A1032,'Neraca Unaudited SIMAK'!$A$2:$R$1272,12,FALSE)+IF(ISNA(VLOOKUP($A1032,'Mutasi Neraca'!$A$3:$S$910,12,FALSE)),0,VLOOKUP($A1032,'Mutasi Neraca'!$A$3:$S$910,12,FALSE))</f>
        <v>0</v>
      </c>
      <c r="N1032" s="42">
        <f>VLOOKUP($A1032,'Neraca Unaudited SIMAK'!$A$2:$R$1272,13,FALSE)+IF(ISNA(VLOOKUP($A1032,'Mutasi Neraca'!$A$3:$S$910,13,FALSE)),0,VLOOKUP($A1032,'Mutasi Neraca'!$A$3:$S$910,13,FALSE))</f>
        <v>0</v>
      </c>
      <c r="O1032" s="42">
        <f>VLOOKUP($A1032,'Neraca Unaudited SIMAK'!$A$2:$R$1272,14,FALSE)+IF(ISNA(VLOOKUP($A1032,'Mutasi Neraca'!$A$3:$S$910,14,FALSE)),0,VLOOKUP($A1032,'Mutasi Neraca'!$A$3:$S$910,14,FALSE))</f>
        <v>0</v>
      </c>
      <c r="P1032" s="42">
        <f>VLOOKUP($A1032,'Neraca Unaudited SIMAK'!$A$2:$R$1272,15,FALSE)+IF(ISNA(VLOOKUP($A1032,'Mutasi Neraca'!$A$3:$S$910,15,FALSE)),0,VLOOKUP($A1032,'Mutasi Neraca'!$A$3:$S$910,15,FALSE))</f>
        <v>0</v>
      </c>
      <c r="Q1032" s="42">
        <f>VLOOKUP($A1032,'Neraca Unaudited SIMAK'!$A$2:$R$1272,16,FALSE)+IF(ISNA(VLOOKUP($A1032,'Mutasi Neraca'!$A$3:$S$910,16,FALSE)),0,VLOOKUP($A1032,'Mutasi Neraca'!$A$3:$S$910,16,FALSE))</f>
        <v>0</v>
      </c>
      <c r="R1032" s="42">
        <f>VLOOKUP($A1032,'Neraca Unaudited SIMAK'!$A$2:$R$1272,17,FALSE)+IF(ISNA(VLOOKUP($A1032,'Mutasi Neraca'!$A$3:$S$910,17,FALSE)),0,VLOOKUP($A1032,'Mutasi Neraca'!$A$3:$S$910,17,FALSE))</f>
        <v>0</v>
      </c>
      <c r="S1032" s="42">
        <f t="shared" si="75"/>
        <v>0</v>
      </c>
    </row>
    <row r="1033" spans="1:19">
      <c r="A1033" s="41" t="s">
        <v>994</v>
      </c>
      <c r="B1033" s="41" t="str">
        <f t="shared" si="74"/>
        <v>005031300</v>
      </c>
      <c r="D1033" s="42">
        <f>VLOOKUP($A1033,'Neraca Unaudited SIMAK'!$A$2:$R$1272,3,FALSE)+IF(ISNA(VLOOKUP($A1033,'Mutasi Neraca'!$A$3:$S$910,3,FALSE)),0,VLOOKUP($A1033,'Mutasi Neraca'!$A$3:$S$910,3,FALSE))</f>
        <v>51018150</v>
      </c>
      <c r="E1033" s="42">
        <f>VLOOKUP($A1033,'Neraca Unaudited SIMAK'!$A$2:$R$1272,4,FALSE)+IF(ISNA(VLOOKUP($A1033,'Mutasi Neraca'!$A$3:$S$910,4,FALSE)),0,VLOOKUP($A1033,'Mutasi Neraca'!$A$3:$S$910,4,FALSE))</f>
        <v>0</v>
      </c>
      <c r="F1033" s="42">
        <f>VLOOKUP($A1033,'Neraca Unaudited SIMAK'!$A$2:$R$1272,5,FALSE)+IF(ISNA(VLOOKUP($A1033,'Mutasi Neraca'!$A$3:$S$910,5,FALSE)),0,VLOOKUP($A1033,'Mutasi Neraca'!$A$3:$S$910,5,FALSE))</f>
        <v>0</v>
      </c>
      <c r="G1033" s="42">
        <f>VLOOKUP($A1033,'Neraca Unaudited SIMAK'!$A$2:$R$1272,6,FALSE)+IF(ISNA(VLOOKUP($A1033,'Mutasi Neraca'!$A$3:$S$910,6,FALSE)),0,VLOOKUP($A1033,'Mutasi Neraca'!$A$3:$S$910,6,FALSE))</f>
        <v>0</v>
      </c>
      <c r="H1033" s="42">
        <f>VLOOKUP($A1033,'Neraca Unaudited SIMAK'!$A$2:$R$1272,7,FALSE)+IF(ISNA(VLOOKUP($A1033,'Mutasi Neraca'!$A$3:$S$910,7,FALSE)),0,VLOOKUP($A1033,'Mutasi Neraca'!$A$3:$S$910,7,FALSE))</f>
        <v>0</v>
      </c>
      <c r="I1033" s="42">
        <f>VLOOKUP($A1033,'Neraca Unaudited SIMAK'!$A$2:$R$1272,8,FALSE)+IF(ISNA(VLOOKUP($A1033,'Mutasi Neraca'!$A$3:$S$910,8,FALSE)),0,VLOOKUP($A1033,'Mutasi Neraca'!$A$3:$S$910,8,FALSE))</f>
        <v>0</v>
      </c>
      <c r="J1033" s="42">
        <f>VLOOKUP($A1033,'Neraca Unaudited SIMAK'!$A$2:$R$1272,9,FALSE)+IF(ISNA(VLOOKUP($A1033,'Mutasi Neraca'!$A$3:$S$910,9,FALSE)),0,VLOOKUP($A1033,'Mutasi Neraca'!$A$3:$S$910,9,FALSE))</f>
        <v>0</v>
      </c>
      <c r="K1033" s="42">
        <f>VLOOKUP($A1033,'Neraca Unaudited SIMAK'!$A$2:$R$1272,10,FALSE)+IF(ISNA(VLOOKUP($A1033,'Mutasi Neraca'!$A$3:$S$910,10,FALSE)),0,VLOOKUP($A1033,'Mutasi Neraca'!$A$3:$S$910,10,FALSE))</f>
        <v>0</v>
      </c>
      <c r="L1033" s="42">
        <f>VLOOKUP($A1033,'Neraca Unaudited SIMAK'!$A$2:$R$1272,11,FALSE)+IF(ISNA(VLOOKUP($A1033,'Mutasi Neraca'!$A$3:$S$910,11,FALSE)),0,VLOOKUP($A1033,'Mutasi Neraca'!$A$3:$S$910,11,FALSE))</f>
        <v>0</v>
      </c>
      <c r="M1033" s="42">
        <f>VLOOKUP($A1033,'Neraca Unaudited SIMAK'!$A$2:$R$1272,12,FALSE)+IF(ISNA(VLOOKUP($A1033,'Mutasi Neraca'!$A$3:$S$910,12,FALSE)),0,VLOOKUP($A1033,'Mutasi Neraca'!$A$3:$S$910,12,FALSE))</f>
        <v>51018150</v>
      </c>
      <c r="N1033" s="42">
        <f>VLOOKUP($A1033,'Neraca Unaudited SIMAK'!$A$2:$R$1272,13,FALSE)+IF(ISNA(VLOOKUP($A1033,'Mutasi Neraca'!$A$3:$S$910,13,FALSE)),0,VLOOKUP($A1033,'Mutasi Neraca'!$A$3:$S$910,13,FALSE))</f>
        <v>0</v>
      </c>
      <c r="O1033" s="42">
        <f>VLOOKUP($A1033,'Neraca Unaudited SIMAK'!$A$2:$R$1272,14,FALSE)+IF(ISNA(VLOOKUP($A1033,'Mutasi Neraca'!$A$3:$S$910,14,FALSE)),0,VLOOKUP($A1033,'Mutasi Neraca'!$A$3:$S$910,14,FALSE))</f>
        <v>0</v>
      </c>
      <c r="P1033" s="42">
        <f>VLOOKUP($A1033,'Neraca Unaudited SIMAK'!$A$2:$R$1272,15,FALSE)+IF(ISNA(VLOOKUP($A1033,'Mutasi Neraca'!$A$3:$S$910,15,FALSE)),0,VLOOKUP($A1033,'Mutasi Neraca'!$A$3:$S$910,15,FALSE))</f>
        <v>0</v>
      </c>
      <c r="Q1033" s="42">
        <f>VLOOKUP($A1033,'Neraca Unaudited SIMAK'!$A$2:$R$1272,16,FALSE)+IF(ISNA(VLOOKUP($A1033,'Mutasi Neraca'!$A$3:$S$910,16,FALSE)),0,VLOOKUP($A1033,'Mutasi Neraca'!$A$3:$S$910,16,FALSE))</f>
        <v>0</v>
      </c>
      <c r="R1033" s="42">
        <f>VLOOKUP($A1033,'Neraca Unaudited SIMAK'!$A$2:$R$1272,17,FALSE)+IF(ISNA(VLOOKUP($A1033,'Mutasi Neraca'!$A$3:$S$910,17,FALSE)),0,VLOOKUP($A1033,'Mutasi Neraca'!$A$3:$S$910,17,FALSE))</f>
        <v>0</v>
      </c>
      <c r="S1033" s="42">
        <f t="shared" si="75"/>
        <v>51018150</v>
      </c>
    </row>
    <row r="1034" spans="1:19">
      <c r="A1034" s="41" t="s">
        <v>2055</v>
      </c>
      <c r="B1034" s="41" t="str">
        <f t="shared" si="74"/>
        <v>005031300</v>
      </c>
      <c r="D1034" s="42">
        <f>VLOOKUP($A1034,'Neraca Unaudited SIMAK'!$A$2:$R$1272,3,FALSE)+IF(ISNA(VLOOKUP($A1034,'Mutasi Neraca'!$A$3:$S$910,3,FALSE)),0,VLOOKUP($A1034,'Mutasi Neraca'!$A$3:$S$910,3,FALSE))</f>
        <v>14500</v>
      </c>
      <c r="E1034" s="42">
        <f>VLOOKUP($A1034,'Neraca Unaudited SIMAK'!$A$2:$R$1272,4,FALSE)+IF(ISNA(VLOOKUP($A1034,'Mutasi Neraca'!$A$3:$S$910,4,FALSE)),0,VLOOKUP($A1034,'Mutasi Neraca'!$A$3:$S$910,4,FALSE))</f>
        <v>0</v>
      </c>
      <c r="F1034" s="42">
        <f>VLOOKUP($A1034,'Neraca Unaudited SIMAK'!$A$2:$R$1272,5,FALSE)+IF(ISNA(VLOOKUP($A1034,'Mutasi Neraca'!$A$3:$S$910,5,FALSE)),0,VLOOKUP($A1034,'Mutasi Neraca'!$A$3:$S$910,5,FALSE))</f>
        <v>0</v>
      </c>
      <c r="G1034" s="42">
        <f>VLOOKUP($A1034,'Neraca Unaudited SIMAK'!$A$2:$R$1272,6,FALSE)+IF(ISNA(VLOOKUP($A1034,'Mutasi Neraca'!$A$3:$S$910,6,FALSE)),0,VLOOKUP($A1034,'Mutasi Neraca'!$A$3:$S$910,6,FALSE))</f>
        <v>0</v>
      </c>
      <c r="H1034" s="42">
        <f>VLOOKUP($A1034,'Neraca Unaudited SIMAK'!$A$2:$R$1272,7,FALSE)+IF(ISNA(VLOOKUP($A1034,'Mutasi Neraca'!$A$3:$S$910,7,FALSE)),0,VLOOKUP($A1034,'Mutasi Neraca'!$A$3:$S$910,7,FALSE))</f>
        <v>0</v>
      </c>
      <c r="I1034" s="42">
        <f>VLOOKUP($A1034,'Neraca Unaudited SIMAK'!$A$2:$R$1272,8,FALSE)+IF(ISNA(VLOOKUP($A1034,'Mutasi Neraca'!$A$3:$S$910,8,FALSE)),0,VLOOKUP($A1034,'Mutasi Neraca'!$A$3:$S$910,8,FALSE))</f>
        <v>0</v>
      </c>
      <c r="J1034" s="42">
        <f>VLOOKUP($A1034,'Neraca Unaudited SIMAK'!$A$2:$R$1272,9,FALSE)+IF(ISNA(VLOOKUP($A1034,'Mutasi Neraca'!$A$3:$S$910,9,FALSE)),0,VLOOKUP($A1034,'Mutasi Neraca'!$A$3:$S$910,9,FALSE))</f>
        <v>0</v>
      </c>
      <c r="K1034" s="42">
        <f>VLOOKUP($A1034,'Neraca Unaudited SIMAK'!$A$2:$R$1272,10,FALSE)+IF(ISNA(VLOOKUP($A1034,'Mutasi Neraca'!$A$3:$S$910,10,FALSE)),0,VLOOKUP($A1034,'Mutasi Neraca'!$A$3:$S$910,10,FALSE))</f>
        <v>0</v>
      </c>
      <c r="L1034" s="42">
        <f>VLOOKUP($A1034,'Neraca Unaudited SIMAK'!$A$2:$R$1272,11,FALSE)+IF(ISNA(VLOOKUP($A1034,'Mutasi Neraca'!$A$3:$S$910,11,FALSE)),0,VLOOKUP($A1034,'Mutasi Neraca'!$A$3:$S$910,11,FALSE))</f>
        <v>0</v>
      </c>
      <c r="M1034" s="42">
        <f>VLOOKUP($A1034,'Neraca Unaudited SIMAK'!$A$2:$R$1272,12,FALSE)+IF(ISNA(VLOOKUP($A1034,'Mutasi Neraca'!$A$3:$S$910,12,FALSE)),0,VLOOKUP($A1034,'Mutasi Neraca'!$A$3:$S$910,12,FALSE))</f>
        <v>14500</v>
      </c>
      <c r="N1034" s="42">
        <f>VLOOKUP($A1034,'Neraca Unaudited SIMAK'!$A$2:$R$1272,13,FALSE)+IF(ISNA(VLOOKUP($A1034,'Mutasi Neraca'!$A$3:$S$910,13,FALSE)),0,VLOOKUP($A1034,'Mutasi Neraca'!$A$3:$S$910,13,FALSE))</f>
        <v>0</v>
      </c>
      <c r="O1034" s="42">
        <f>VLOOKUP($A1034,'Neraca Unaudited SIMAK'!$A$2:$R$1272,14,FALSE)+IF(ISNA(VLOOKUP($A1034,'Mutasi Neraca'!$A$3:$S$910,14,FALSE)),0,VLOOKUP($A1034,'Mutasi Neraca'!$A$3:$S$910,14,FALSE))</f>
        <v>0</v>
      </c>
      <c r="P1034" s="42">
        <f>VLOOKUP($A1034,'Neraca Unaudited SIMAK'!$A$2:$R$1272,15,FALSE)+IF(ISNA(VLOOKUP($A1034,'Mutasi Neraca'!$A$3:$S$910,15,FALSE)),0,VLOOKUP($A1034,'Mutasi Neraca'!$A$3:$S$910,15,FALSE))</f>
        <v>0</v>
      </c>
      <c r="Q1034" s="42">
        <f>VLOOKUP($A1034,'Neraca Unaudited SIMAK'!$A$2:$R$1272,16,FALSE)+IF(ISNA(VLOOKUP($A1034,'Mutasi Neraca'!$A$3:$S$910,16,FALSE)),0,VLOOKUP($A1034,'Mutasi Neraca'!$A$3:$S$910,16,FALSE))</f>
        <v>0</v>
      </c>
      <c r="R1034" s="42">
        <f>VLOOKUP($A1034,'Neraca Unaudited SIMAK'!$A$2:$R$1272,17,FALSE)+IF(ISNA(VLOOKUP($A1034,'Mutasi Neraca'!$A$3:$S$910,17,FALSE)),0,VLOOKUP($A1034,'Mutasi Neraca'!$A$3:$S$910,17,FALSE))</f>
        <v>0</v>
      </c>
      <c r="S1034" s="42">
        <f t="shared" si="75"/>
        <v>14500</v>
      </c>
    </row>
    <row r="1035" spans="1:19">
      <c r="A1035" s="41" t="s">
        <v>2056</v>
      </c>
      <c r="B1035" s="41" t="str">
        <f t="shared" si="74"/>
        <v>005031300</v>
      </c>
      <c r="D1035" s="42">
        <f>VLOOKUP($A1035,'Neraca Unaudited SIMAK'!$A$2:$R$1272,3,FALSE)+IF(ISNA(VLOOKUP($A1035,'Mutasi Neraca'!$A$3:$S$910,3,FALSE)),0,VLOOKUP($A1035,'Mutasi Neraca'!$A$3:$S$910,3,FALSE))</f>
        <v>5092449</v>
      </c>
      <c r="E1035" s="42">
        <f>VLOOKUP($A1035,'Neraca Unaudited SIMAK'!$A$2:$R$1272,4,FALSE)+IF(ISNA(VLOOKUP($A1035,'Mutasi Neraca'!$A$3:$S$910,4,FALSE)),0,VLOOKUP($A1035,'Mutasi Neraca'!$A$3:$S$910,4,FALSE))</f>
        <v>0</v>
      </c>
      <c r="F1035" s="42">
        <f>VLOOKUP($A1035,'Neraca Unaudited SIMAK'!$A$2:$R$1272,5,FALSE)+IF(ISNA(VLOOKUP($A1035,'Mutasi Neraca'!$A$3:$S$910,5,FALSE)),0,VLOOKUP($A1035,'Mutasi Neraca'!$A$3:$S$910,5,FALSE))</f>
        <v>0</v>
      </c>
      <c r="G1035" s="42">
        <f>VLOOKUP($A1035,'Neraca Unaudited SIMAK'!$A$2:$R$1272,6,FALSE)+IF(ISNA(VLOOKUP($A1035,'Mutasi Neraca'!$A$3:$S$910,6,FALSE)),0,VLOOKUP($A1035,'Mutasi Neraca'!$A$3:$S$910,6,FALSE))</f>
        <v>0</v>
      </c>
      <c r="H1035" s="42">
        <f>VLOOKUP($A1035,'Neraca Unaudited SIMAK'!$A$2:$R$1272,7,FALSE)+IF(ISNA(VLOOKUP($A1035,'Mutasi Neraca'!$A$3:$S$910,7,FALSE)),0,VLOOKUP($A1035,'Mutasi Neraca'!$A$3:$S$910,7,FALSE))</f>
        <v>0</v>
      </c>
      <c r="I1035" s="42">
        <f>VLOOKUP($A1035,'Neraca Unaudited SIMAK'!$A$2:$R$1272,8,FALSE)+IF(ISNA(VLOOKUP($A1035,'Mutasi Neraca'!$A$3:$S$910,8,FALSE)),0,VLOOKUP($A1035,'Mutasi Neraca'!$A$3:$S$910,8,FALSE))</f>
        <v>0</v>
      </c>
      <c r="J1035" s="42">
        <f>VLOOKUP($A1035,'Neraca Unaudited SIMAK'!$A$2:$R$1272,9,FALSE)+IF(ISNA(VLOOKUP($A1035,'Mutasi Neraca'!$A$3:$S$910,9,FALSE)),0,VLOOKUP($A1035,'Mutasi Neraca'!$A$3:$S$910,9,FALSE))</f>
        <v>0</v>
      </c>
      <c r="K1035" s="42">
        <f>VLOOKUP($A1035,'Neraca Unaudited SIMAK'!$A$2:$R$1272,10,FALSE)+IF(ISNA(VLOOKUP($A1035,'Mutasi Neraca'!$A$3:$S$910,10,FALSE)),0,VLOOKUP($A1035,'Mutasi Neraca'!$A$3:$S$910,10,FALSE))</f>
        <v>0</v>
      </c>
      <c r="L1035" s="42">
        <f>VLOOKUP($A1035,'Neraca Unaudited SIMAK'!$A$2:$R$1272,11,FALSE)+IF(ISNA(VLOOKUP($A1035,'Mutasi Neraca'!$A$3:$S$910,11,FALSE)),0,VLOOKUP($A1035,'Mutasi Neraca'!$A$3:$S$910,11,FALSE))</f>
        <v>0</v>
      </c>
      <c r="M1035" s="42">
        <f>VLOOKUP($A1035,'Neraca Unaudited SIMAK'!$A$2:$R$1272,12,FALSE)+IF(ISNA(VLOOKUP($A1035,'Mutasi Neraca'!$A$3:$S$910,12,FALSE)),0,VLOOKUP($A1035,'Mutasi Neraca'!$A$3:$S$910,12,FALSE))</f>
        <v>5092449</v>
      </c>
      <c r="N1035" s="42">
        <f>VLOOKUP($A1035,'Neraca Unaudited SIMAK'!$A$2:$R$1272,13,FALSE)+IF(ISNA(VLOOKUP($A1035,'Mutasi Neraca'!$A$3:$S$910,13,FALSE)),0,VLOOKUP($A1035,'Mutasi Neraca'!$A$3:$S$910,13,FALSE))</f>
        <v>0</v>
      </c>
      <c r="O1035" s="42">
        <f>VLOOKUP($A1035,'Neraca Unaudited SIMAK'!$A$2:$R$1272,14,FALSE)+IF(ISNA(VLOOKUP($A1035,'Mutasi Neraca'!$A$3:$S$910,14,FALSE)),0,VLOOKUP($A1035,'Mutasi Neraca'!$A$3:$S$910,14,FALSE))</f>
        <v>0</v>
      </c>
      <c r="P1035" s="42">
        <f>VLOOKUP($A1035,'Neraca Unaudited SIMAK'!$A$2:$R$1272,15,FALSE)+IF(ISNA(VLOOKUP($A1035,'Mutasi Neraca'!$A$3:$S$910,15,FALSE)),0,VLOOKUP($A1035,'Mutasi Neraca'!$A$3:$S$910,15,FALSE))</f>
        <v>0</v>
      </c>
      <c r="Q1035" s="42">
        <f>VLOOKUP($A1035,'Neraca Unaudited SIMAK'!$A$2:$R$1272,16,FALSE)+IF(ISNA(VLOOKUP($A1035,'Mutasi Neraca'!$A$3:$S$910,16,FALSE)),0,VLOOKUP($A1035,'Mutasi Neraca'!$A$3:$S$910,16,FALSE))</f>
        <v>0</v>
      </c>
      <c r="R1035" s="42">
        <f>VLOOKUP($A1035,'Neraca Unaudited SIMAK'!$A$2:$R$1272,17,FALSE)+IF(ISNA(VLOOKUP($A1035,'Mutasi Neraca'!$A$3:$S$910,17,FALSE)),0,VLOOKUP($A1035,'Mutasi Neraca'!$A$3:$S$910,17,FALSE))</f>
        <v>0</v>
      </c>
      <c r="S1035" s="42">
        <f t="shared" si="75"/>
        <v>5092449</v>
      </c>
    </row>
    <row r="1036" spans="1:19">
      <c r="A1036" s="41" t="s">
        <v>995</v>
      </c>
      <c r="B1036" s="41" t="str">
        <f t="shared" si="74"/>
        <v>005031400</v>
      </c>
      <c r="D1036" s="42">
        <f>VLOOKUP($A1036,'Neraca Unaudited SIMAK'!$A$2:$R$1272,3,FALSE)+IF(ISNA(VLOOKUP($A1036,'Mutasi Neraca'!$A$3:$S$910,3,FALSE)),0,VLOOKUP($A1036,'Mutasi Neraca'!$A$3:$S$910,3,FALSE))</f>
        <v>8438300</v>
      </c>
      <c r="E1036" s="42">
        <f>VLOOKUP($A1036,'Neraca Unaudited SIMAK'!$A$2:$R$1272,4,FALSE)+IF(ISNA(VLOOKUP($A1036,'Mutasi Neraca'!$A$3:$S$910,4,FALSE)),0,VLOOKUP($A1036,'Mutasi Neraca'!$A$3:$S$910,4,FALSE))</f>
        <v>0</v>
      </c>
      <c r="F1036" s="42">
        <f>VLOOKUP($A1036,'Neraca Unaudited SIMAK'!$A$2:$R$1272,5,FALSE)+IF(ISNA(VLOOKUP($A1036,'Mutasi Neraca'!$A$3:$S$910,5,FALSE)),0,VLOOKUP($A1036,'Mutasi Neraca'!$A$3:$S$910,5,FALSE))</f>
        <v>0</v>
      </c>
      <c r="G1036" s="42">
        <f>VLOOKUP($A1036,'Neraca Unaudited SIMAK'!$A$2:$R$1272,6,FALSE)+IF(ISNA(VLOOKUP($A1036,'Mutasi Neraca'!$A$3:$S$910,6,FALSE)),0,VLOOKUP($A1036,'Mutasi Neraca'!$A$3:$S$910,6,FALSE))</f>
        <v>0</v>
      </c>
      <c r="H1036" s="42">
        <f>VLOOKUP($A1036,'Neraca Unaudited SIMAK'!$A$2:$R$1272,7,FALSE)+IF(ISNA(VLOOKUP($A1036,'Mutasi Neraca'!$A$3:$S$910,7,FALSE)),0,VLOOKUP($A1036,'Mutasi Neraca'!$A$3:$S$910,7,FALSE))</f>
        <v>0</v>
      </c>
      <c r="I1036" s="42">
        <f>VLOOKUP($A1036,'Neraca Unaudited SIMAK'!$A$2:$R$1272,8,FALSE)+IF(ISNA(VLOOKUP($A1036,'Mutasi Neraca'!$A$3:$S$910,8,FALSE)),0,VLOOKUP($A1036,'Mutasi Neraca'!$A$3:$S$910,8,FALSE))</f>
        <v>0</v>
      </c>
      <c r="J1036" s="42">
        <f>VLOOKUP($A1036,'Neraca Unaudited SIMAK'!$A$2:$R$1272,9,FALSE)+IF(ISNA(VLOOKUP($A1036,'Mutasi Neraca'!$A$3:$S$910,9,FALSE)),0,VLOOKUP($A1036,'Mutasi Neraca'!$A$3:$S$910,9,FALSE))</f>
        <v>0</v>
      </c>
      <c r="K1036" s="42">
        <f>VLOOKUP($A1036,'Neraca Unaudited SIMAK'!$A$2:$R$1272,10,FALSE)+IF(ISNA(VLOOKUP($A1036,'Mutasi Neraca'!$A$3:$S$910,10,FALSE)),0,VLOOKUP($A1036,'Mutasi Neraca'!$A$3:$S$910,10,FALSE))</f>
        <v>0</v>
      </c>
      <c r="L1036" s="42">
        <f>VLOOKUP($A1036,'Neraca Unaudited SIMAK'!$A$2:$R$1272,11,FALSE)+IF(ISNA(VLOOKUP($A1036,'Mutasi Neraca'!$A$3:$S$910,11,FALSE)),0,VLOOKUP($A1036,'Mutasi Neraca'!$A$3:$S$910,11,FALSE))</f>
        <v>0</v>
      </c>
      <c r="M1036" s="42">
        <f>VLOOKUP($A1036,'Neraca Unaudited SIMAK'!$A$2:$R$1272,12,FALSE)+IF(ISNA(VLOOKUP($A1036,'Mutasi Neraca'!$A$3:$S$910,12,FALSE)),0,VLOOKUP($A1036,'Mutasi Neraca'!$A$3:$S$910,12,FALSE))</f>
        <v>8438300</v>
      </c>
      <c r="N1036" s="42">
        <f>VLOOKUP($A1036,'Neraca Unaudited SIMAK'!$A$2:$R$1272,13,FALSE)+IF(ISNA(VLOOKUP($A1036,'Mutasi Neraca'!$A$3:$S$910,13,FALSE)),0,VLOOKUP($A1036,'Mutasi Neraca'!$A$3:$S$910,13,FALSE))</f>
        <v>0</v>
      </c>
      <c r="O1036" s="42">
        <f>VLOOKUP($A1036,'Neraca Unaudited SIMAK'!$A$2:$R$1272,14,FALSE)+IF(ISNA(VLOOKUP($A1036,'Mutasi Neraca'!$A$3:$S$910,14,FALSE)),0,VLOOKUP($A1036,'Mutasi Neraca'!$A$3:$S$910,14,FALSE))</f>
        <v>0</v>
      </c>
      <c r="P1036" s="42">
        <f>VLOOKUP($A1036,'Neraca Unaudited SIMAK'!$A$2:$R$1272,15,FALSE)+IF(ISNA(VLOOKUP($A1036,'Mutasi Neraca'!$A$3:$S$910,15,FALSE)),0,VLOOKUP($A1036,'Mutasi Neraca'!$A$3:$S$910,15,FALSE))</f>
        <v>0</v>
      </c>
      <c r="Q1036" s="42">
        <f>VLOOKUP($A1036,'Neraca Unaudited SIMAK'!$A$2:$R$1272,16,FALSE)+IF(ISNA(VLOOKUP($A1036,'Mutasi Neraca'!$A$3:$S$910,16,FALSE)),0,VLOOKUP($A1036,'Mutasi Neraca'!$A$3:$S$910,16,FALSE))</f>
        <v>0</v>
      </c>
      <c r="R1036" s="42">
        <f>VLOOKUP($A1036,'Neraca Unaudited SIMAK'!$A$2:$R$1272,17,FALSE)+IF(ISNA(VLOOKUP($A1036,'Mutasi Neraca'!$A$3:$S$910,17,FALSE)),0,VLOOKUP($A1036,'Mutasi Neraca'!$A$3:$S$910,17,FALSE))</f>
        <v>0</v>
      </c>
      <c r="S1036" s="42">
        <f t="shared" si="75"/>
        <v>8438300</v>
      </c>
    </row>
    <row r="1037" spans="1:19">
      <c r="A1037" s="41" t="s">
        <v>996</v>
      </c>
      <c r="B1037" s="41" t="str">
        <f t="shared" si="74"/>
        <v>005031400</v>
      </c>
      <c r="D1037" s="42">
        <f>VLOOKUP($A1037,'Neraca Unaudited SIMAK'!$A$2:$R$1272,3,FALSE)+IF(ISNA(VLOOKUP($A1037,'Mutasi Neraca'!$A$3:$S$910,3,FALSE)),0,VLOOKUP($A1037,'Mutasi Neraca'!$A$3:$S$910,3,FALSE))</f>
        <v>9951327</v>
      </c>
      <c r="E1037" s="42">
        <f>VLOOKUP($A1037,'Neraca Unaudited SIMAK'!$A$2:$R$1272,4,FALSE)+IF(ISNA(VLOOKUP($A1037,'Mutasi Neraca'!$A$3:$S$910,4,FALSE)),0,VLOOKUP($A1037,'Mutasi Neraca'!$A$3:$S$910,4,FALSE))</f>
        <v>0</v>
      </c>
      <c r="F1037" s="42">
        <f>VLOOKUP($A1037,'Neraca Unaudited SIMAK'!$A$2:$R$1272,5,FALSE)+IF(ISNA(VLOOKUP($A1037,'Mutasi Neraca'!$A$3:$S$910,5,FALSE)),0,VLOOKUP($A1037,'Mutasi Neraca'!$A$3:$S$910,5,FALSE))</f>
        <v>0</v>
      </c>
      <c r="G1037" s="42">
        <f>VLOOKUP($A1037,'Neraca Unaudited SIMAK'!$A$2:$R$1272,6,FALSE)+IF(ISNA(VLOOKUP($A1037,'Mutasi Neraca'!$A$3:$S$910,6,FALSE)),0,VLOOKUP($A1037,'Mutasi Neraca'!$A$3:$S$910,6,FALSE))</f>
        <v>0</v>
      </c>
      <c r="H1037" s="42">
        <f>VLOOKUP($A1037,'Neraca Unaudited SIMAK'!$A$2:$R$1272,7,FALSE)+IF(ISNA(VLOOKUP($A1037,'Mutasi Neraca'!$A$3:$S$910,7,FALSE)),0,VLOOKUP($A1037,'Mutasi Neraca'!$A$3:$S$910,7,FALSE))</f>
        <v>0</v>
      </c>
      <c r="I1037" s="42">
        <f>VLOOKUP($A1037,'Neraca Unaudited SIMAK'!$A$2:$R$1272,8,FALSE)+IF(ISNA(VLOOKUP($A1037,'Mutasi Neraca'!$A$3:$S$910,8,FALSE)),0,VLOOKUP($A1037,'Mutasi Neraca'!$A$3:$S$910,8,FALSE))</f>
        <v>0</v>
      </c>
      <c r="J1037" s="42">
        <f>VLOOKUP($A1037,'Neraca Unaudited SIMAK'!$A$2:$R$1272,9,FALSE)+IF(ISNA(VLOOKUP($A1037,'Mutasi Neraca'!$A$3:$S$910,9,FALSE)),0,VLOOKUP($A1037,'Mutasi Neraca'!$A$3:$S$910,9,FALSE))</f>
        <v>0</v>
      </c>
      <c r="K1037" s="42">
        <f>VLOOKUP($A1037,'Neraca Unaudited SIMAK'!$A$2:$R$1272,10,FALSE)+IF(ISNA(VLOOKUP($A1037,'Mutasi Neraca'!$A$3:$S$910,10,FALSE)),0,VLOOKUP($A1037,'Mutasi Neraca'!$A$3:$S$910,10,FALSE))</f>
        <v>0</v>
      </c>
      <c r="L1037" s="42">
        <f>VLOOKUP($A1037,'Neraca Unaudited SIMAK'!$A$2:$R$1272,11,FALSE)+IF(ISNA(VLOOKUP($A1037,'Mutasi Neraca'!$A$3:$S$910,11,FALSE)),0,VLOOKUP($A1037,'Mutasi Neraca'!$A$3:$S$910,11,FALSE))</f>
        <v>0</v>
      </c>
      <c r="M1037" s="42">
        <f>VLOOKUP($A1037,'Neraca Unaudited SIMAK'!$A$2:$R$1272,12,FALSE)+IF(ISNA(VLOOKUP($A1037,'Mutasi Neraca'!$A$3:$S$910,12,FALSE)),0,VLOOKUP($A1037,'Mutasi Neraca'!$A$3:$S$910,12,FALSE))</f>
        <v>9951327</v>
      </c>
      <c r="N1037" s="42">
        <f>VLOOKUP($A1037,'Neraca Unaudited SIMAK'!$A$2:$R$1272,13,FALSE)+IF(ISNA(VLOOKUP($A1037,'Mutasi Neraca'!$A$3:$S$910,13,FALSE)),0,VLOOKUP($A1037,'Mutasi Neraca'!$A$3:$S$910,13,FALSE))</f>
        <v>0</v>
      </c>
      <c r="O1037" s="42">
        <f>VLOOKUP($A1037,'Neraca Unaudited SIMAK'!$A$2:$R$1272,14,FALSE)+IF(ISNA(VLOOKUP($A1037,'Mutasi Neraca'!$A$3:$S$910,14,FALSE)),0,VLOOKUP($A1037,'Mutasi Neraca'!$A$3:$S$910,14,FALSE))</f>
        <v>0</v>
      </c>
      <c r="P1037" s="42">
        <f>VLOOKUP($A1037,'Neraca Unaudited SIMAK'!$A$2:$R$1272,15,FALSE)+IF(ISNA(VLOOKUP($A1037,'Mutasi Neraca'!$A$3:$S$910,15,FALSE)),0,VLOOKUP($A1037,'Mutasi Neraca'!$A$3:$S$910,15,FALSE))</f>
        <v>0</v>
      </c>
      <c r="Q1037" s="42">
        <f>VLOOKUP($A1037,'Neraca Unaudited SIMAK'!$A$2:$R$1272,16,FALSE)+IF(ISNA(VLOOKUP($A1037,'Mutasi Neraca'!$A$3:$S$910,16,FALSE)),0,VLOOKUP($A1037,'Mutasi Neraca'!$A$3:$S$910,16,FALSE))</f>
        <v>0</v>
      </c>
      <c r="R1037" s="42">
        <f>VLOOKUP($A1037,'Neraca Unaudited SIMAK'!$A$2:$R$1272,17,FALSE)+IF(ISNA(VLOOKUP($A1037,'Mutasi Neraca'!$A$3:$S$910,17,FALSE)),0,VLOOKUP($A1037,'Mutasi Neraca'!$A$3:$S$910,17,FALSE))</f>
        <v>0</v>
      </c>
      <c r="S1037" s="42">
        <f t="shared" si="75"/>
        <v>9951327</v>
      </c>
    </row>
    <row r="1038" spans="1:19">
      <c r="A1038" s="41" t="s">
        <v>997</v>
      </c>
      <c r="B1038" s="41" t="str">
        <f t="shared" si="74"/>
        <v>005031400</v>
      </c>
      <c r="D1038" s="42">
        <f>VLOOKUP($A1038,'Neraca Unaudited SIMAK'!$A$2:$R$1272,3,FALSE)+IF(ISNA(VLOOKUP($A1038,'Mutasi Neraca'!$A$3:$S$910,3,FALSE)),0,VLOOKUP($A1038,'Mutasi Neraca'!$A$3:$S$910,3,FALSE))</f>
        <v>1761430</v>
      </c>
      <c r="E1038" s="42">
        <f>VLOOKUP($A1038,'Neraca Unaudited SIMAK'!$A$2:$R$1272,4,FALSE)+IF(ISNA(VLOOKUP($A1038,'Mutasi Neraca'!$A$3:$S$910,4,FALSE)),0,VLOOKUP($A1038,'Mutasi Neraca'!$A$3:$S$910,4,FALSE))</f>
        <v>0</v>
      </c>
      <c r="F1038" s="42">
        <f>VLOOKUP($A1038,'Neraca Unaudited SIMAK'!$A$2:$R$1272,5,FALSE)+IF(ISNA(VLOOKUP($A1038,'Mutasi Neraca'!$A$3:$S$910,5,FALSE)),0,VLOOKUP($A1038,'Mutasi Neraca'!$A$3:$S$910,5,FALSE))</f>
        <v>0</v>
      </c>
      <c r="G1038" s="42">
        <f>VLOOKUP($A1038,'Neraca Unaudited SIMAK'!$A$2:$R$1272,6,FALSE)+IF(ISNA(VLOOKUP($A1038,'Mutasi Neraca'!$A$3:$S$910,6,FALSE)),0,VLOOKUP($A1038,'Mutasi Neraca'!$A$3:$S$910,6,FALSE))</f>
        <v>0</v>
      </c>
      <c r="H1038" s="42">
        <f>VLOOKUP($A1038,'Neraca Unaudited SIMAK'!$A$2:$R$1272,7,FALSE)+IF(ISNA(VLOOKUP($A1038,'Mutasi Neraca'!$A$3:$S$910,7,FALSE)),0,VLOOKUP($A1038,'Mutasi Neraca'!$A$3:$S$910,7,FALSE))</f>
        <v>0</v>
      </c>
      <c r="I1038" s="42">
        <f>VLOOKUP($A1038,'Neraca Unaudited SIMAK'!$A$2:$R$1272,8,FALSE)+IF(ISNA(VLOOKUP($A1038,'Mutasi Neraca'!$A$3:$S$910,8,FALSE)),0,VLOOKUP($A1038,'Mutasi Neraca'!$A$3:$S$910,8,FALSE))</f>
        <v>0</v>
      </c>
      <c r="J1038" s="42">
        <f>VLOOKUP($A1038,'Neraca Unaudited SIMAK'!$A$2:$R$1272,9,FALSE)+IF(ISNA(VLOOKUP($A1038,'Mutasi Neraca'!$A$3:$S$910,9,FALSE)),0,VLOOKUP($A1038,'Mutasi Neraca'!$A$3:$S$910,9,FALSE))</f>
        <v>0</v>
      </c>
      <c r="K1038" s="42">
        <f>VLOOKUP($A1038,'Neraca Unaudited SIMAK'!$A$2:$R$1272,10,FALSE)+IF(ISNA(VLOOKUP($A1038,'Mutasi Neraca'!$A$3:$S$910,10,FALSE)),0,VLOOKUP($A1038,'Mutasi Neraca'!$A$3:$S$910,10,FALSE))</f>
        <v>0</v>
      </c>
      <c r="L1038" s="42">
        <f>VLOOKUP($A1038,'Neraca Unaudited SIMAK'!$A$2:$R$1272,11,FALSE)+IF(ISNA(VLOOKUP($A1038,'Mutasi Neraca'!$A$3:$S$910,11,FALSE)),0,VLOOKUP($A1038,'Mutasi Neraca'!$A$3:$S$910,11,FALSE))</f>
        <v>0</v>
      </c>
      <c r="M1038" s="42">
        <f>VLOOKUP($A1038,'Neraca Unaudited SIMAK'!$A$2:$R$1272,12,FALSE)+IF(ISNA(VLOOKUP($A1038,'Mutasi Neraca'!$A$3:$S$910,12,FALSE)),0,VLOOKUP($A1038,'Mutasi Neraca'!$A$3:$S$910,12,FALSE))</f>
        <v>1761430</v>
      </c>
      <c r="N1038" s="42">
        <f>VLOOKUP($A1038,'Neraca Unaudited SIMAK'!$A$2:$R$1272,13,FALSE)+IF(ISNA(VLOOKUP($A1038,'Mutasi Neraca'!$A$3:$S$910,13,FALSE)),0,VLOOKUP($A1038,'Mutasi Neraca'!$A$3:$S$910,13,FALSE))</f>
        <v>0</v>
      </c>
      <c r="O1038" s="42">
        <f>VLOOKUP($A1038,'Neraca Unaudited SIMAK'!$A$2:$R$1272,14,FALSE)+IF(ISNA(VLOOKUP($A1038,'Mutasi Neraca'!$A$3:$S$910,14,FALSE)),0,VLOOKUP($A1038,'Mutasi Neraca'!$A$3:$S$910,14,FALSE))</f>
        <v>0</v>
      </c>
      <c r="P1038" s="42">
        <f>VLOOKUP($A1038,'Neraca Unaudited SIMAK'!$A$2:$R$1272,15,FALSE)+IF(ISNA(VLOOKUP($A1038,'Mutasi Neraca'!$A$3:$S$910,15,FALSE)),0,VLOOKUP($A1038,'Mutasi Neraca'!$A$3:$S$910,15,FALSE))</f>
        <v>0</v>
      </c>
      <c r="Q1038" s="42">
        <f>VLOOKUP($A1038,'Neraca Unaudited SIMAK'!$A$2:$R$1272,16,FALSE)+IF(ISNA(VLOOKUP($A1038,'Mutasi Neraca'!$A$3:$S$910,16,FALSE)),0,VLOOKUP($A1038,'Mutasi Neraca'!$A$3:$S$910,16,FALSE))</f>
        <v>0</v>
      </c>
      <c r="R1038" s="42">
        <f>VLOOKUP($A1038,'Neraca Unaudited SIMAK'!$A$2:$R$1272,17,FALSE)+IF(ISNA(VLOOKUP($A1038,'Mutasi Neraca'!$A$3:$S$910,17,FALSE)),0,VLOOKUP($A1038,'Mutasi Neraca'!$A$3:$S$910,17,FALSE))</f>
        <v>0</v>
      </c>
      <c r="S1038" s="42">
        <f t="shared" si="75"/>
        <v>1761430</v>
      </c>
    </row>
    <row r="1039" spans="1:19">
      <c r="A1039" s="41" t="s">
        <v>998</v>
      </c>
      <c r="B1039" s="41" t="str">
        <f t="shared" si="74"/>
        <v>005031400</v>
      </c>
      <c r="D1039" s="42">
        <f>VLOOKUP($A1039,'Neraca Unaudited SIMAK'!$A$2:$R$1272,3,FALSE)+IF(ISNA(VLOOKUP($A1039,'Mutasi Neraca'!$A$3:$S$910,3,FALSE)),0,VLOOKUP($A1039,'Mutasi Neraca'!$A$3:$S$910,3,FALSE))</f>
        <v>709000</v>
      </c>
      <c r="E1039" s="42">
        <f>VLOOKUP($A1039,'Neraca Unaudited SIMAK'!$A$2:$R$1272,4,FALSE)+IF(ISNA(VLOOKUP($A1039,'Mutasi Neraca'!$A$3:$S$910,4,FALSE)),0,VLOOKUP($A1039,'Mutasi Neraca'!$A$3:$S$910,4,FALSE))</f>
        <v>0</v>
      </c>
      <c r="F1039" s="42">
        <f>VLOOKUP($A1039,'Neraca Unaudited SIMAK'!$A$2:$R$1272,5,FALSE)+IF(ISNA(VLOOKUP($A1039,'Mutasi Neraca'!$A$3:$S$910,5,FALSE)),0,VLOOKUP($A1039,'Mutasi Neraca'!$A$3:$S$910,5,FALSE))</f>
        <v>0</v>
      </c>
      <c r="G1039" s="42">
        <f>VLOOKUP($A1039,'Neraca Unaudited SIMAK'!$A$2:$R$1272,6,FALSE)+IF(ISNA(VLOOKUP($A1039,'Mutasi Neraca'!$A$3:$S$910,6,FALSE)),0,VLOOKUP($A1039,'Mutasi Neraca'!$A$3:$S$910,6,FALSE))</f>
        <v>0</v>
      </c>
      <c r="H1039" s="42">
        <f>VLOOKUP($A1039,'Neraca Unaudited SIMAK'!$A$2:$R$1272,7,FALSE)+IF(ISNA(VLOOKUP($A1039,'Mutasi Neraca'!$A$3:$S$910,7,FALSE)),0,VLOOKUP($A1039,'Mutasi Neraca'!$A$3:$S$910,7,FALSE))</f>
        <v>0</v>
      </c>
      <c r="I1039" s="42">
        <f>VLOOKUP($A1039,'Neraca Unaudited SIMAK'!$A$2:$R$1272,8,FALSE)+IF(ISNA(VLOOKUP($A1039,'Mutasi Neraca'!$A$3:$S$910,8,FALSE)),0,VLOOKUP($A1039,'Mutasi Neraca'!$A$3:$S$910,8,FALSE))</f>
        <v>0</v>
      </c>
      <c r="J1039" s="42">
        <f>VLOOKUP($A1039,'Neraca Unaudited SIMAK'!$A$2:$R$1272,9,FALSE)+IF(ISNA(VLOOKUP($A1039,'Mutasi Neraca'!$A$3:$S$910,9,FALSE)),0,VLOOKUP($A1039,'Mutasi Neraca'!$A$3:$S$910,9,FALSE))</f>
        <v>0</v>
      </c>
      <c r="K1039" s="42">
        <f>VLOOKUP($A1039,'Neraca Unaudited SIMAK'!$A$2:$R$1272,10,FALSE)+IF(ISNA(VLOOKUP($A1039,'Mutasi Neraca'!$A$3:$S$910,10,FALSE)),0,VLOOKUP($A1039,'Mutasi Neraca'!$A$3:$S$910,10,FALSE))</f>
        <v>0</v>
      </c>
      <c r="L1039" s="42">
        <f>VLOOKUP($A1039,'Neraca Unaudited SIMAK'!$A$2:$R$1272,11,FALSE)+IF(ISNA(VLOOKUP($A1039,'Mutasi Neraca'!$A$3:$S$910,11,FALSE)),0,VLOOKUP($A1039,'Mutasi Neraca'!$A$3:$S$910,11,FALSE))</f>
        <v>0</v>
      </c>
      <c r="M1039" s="42">
        <f>VLOOKUP($A1039,'Neraca Unaudited SIMAK'!$A$2:$R$1272,12,FALSE)+IF(ISNA(VLOOKUP($A1039,'Mutasi Neraca'!$A$3:$S$910,12,FALSE)),0,VLOOKUP($A1039,'Mutasi Neraca'!$A$3:$S$910,12,FALSE))</f>
        <v>709000</v>
      </c>
      <c r="N1039" s="42">
        <f>VLOOKUP($A1039,'Neraca Unaudited SIMAK'!$A$2:$R$1272,13,FALSE)+IF(ISNA(VLOOKUP($A1039,'Mutasi Neraca'!$A$3:$S$910,13,FALSE)),0,VLOOKUP($A1039,'Mutasi Neraca'!$A$3:$S$910,13,FALSE))</f>
        <v>0</v>
      </c>
      <c r="O1039" s="42">
        <f>VLOOKUP($A1039,'Neraca Unaudited SIMAK'!$A$2:$R$1272,14,FALSE)+IF(ISNA(VLOOKUP($A1039,'Mutasi Neraca'!$A$3:$S$910,14,FALSE)),0,VLOOKUP($A1039,'Mutasi Neraca'!$A$3:$S$910,14,FALSE))</f>
        <v>0</v>
      </c>
      <c r="P1039" s="42">
        <f>VLOOKUP($A1039,'Neraca Unaudited SIMAK'!$A$2:$R$1272,15,FALSE)+IF(ISNA(VLOOKUP($A1039,'Mutasi Neraca'!$A$3:$S$910,15,FALSE)),0,VLOOKUP($A1039,'Mutasi Neraca'!$A$3:$S$910,15,FALSE))</f>
        <v>0</v>
      </c>
      <c r="Q1039" s="42">
        <f>VLOOKUP($A1039,'Neraca Unaudited SIMAK'!$A$2:$R$1272,16,FALSE)+IF(ISNA(VLOOKUP($A1039,'Mutasi Neraca'!$A$3:$S$910,16,FALSE)),0,VLOOKUP($A1039,'Mutasi Neraca'!$A$3:$S$910,16,FALSE))</f>
        <v>0</v>
      </c>
      <c r="R1039" s="42">
        <f>VLOOKUP($A1039,'Neraca Unaudited SIMAK'!$A$2:$R$1272,17,FALSE)+IF(ISNA(VLOOKUP($A1039,'Mutasi Neraca'!$A$3:$S$910,17,FALSE)),0,VLOOKUP($A1039,'Mutasi Neraca'!$A$3:$S$910,17,FALSE))</f>
        <v>0</v>
      </c>
      <c r="S1039" s="42">
        <f t="shared" si="75"/>
        <v>709000</v>
      </c>
    </row>
    <row r="1040" spans="1:19">
      <c r="A1040" s="41" t="s">
        <v>2266</v>
      </c>
      <c r="B1040" s="41" t="str">
        <f t="shared" si="74"/>
        <v>005031400</v>
      </c>
      <c r="D1040" s="42">
        <f>VLOOKUP($A1040,'Neraca Unaudited SIMAK'!$A$2:$R$1272,3,FALSE)+IF(ISNA(VLOOKUP($A1040,'Mutasi Neraca'!$A$3:$S$910,3,FALSE)),0,VLOOKUP($A1040,'Mutasi Neraca'!$A$3:$S$910,3,FALSE))</f>
        <v>44100</v>
      </c>
      <c r="E1040" s="42">
        <f>VLOOKUP($A1040,'Neraca Unaudited SIMAK'!$A$2:$R$1272,4,FALSE)+IF(ISNA(VLOOKUP($A1040,'Mutasi Neraca'!$A$3:$S$910,4,FALSE)),0,VLOOKUP($A1040,'Mutasi Neraca'!$A$3:$S$910,4,FALSE))</f>
        <v>0</v>
      </c>
      <c r="F1040" s="42">
        <f>VLOOKUP($A1040,'Neraca Unaudited SIMAK'!$A$2:$R$1272,5,FALSE)+IF(ISNA(VLOOKUP($A1040,'Mutasi Neraca'!$A$3:$S$910,5,FALSE)),0,VLOOKUP($A1040,'Mutasi Neraca'!$A$3:$S$910,5,FALSE))</f>
        <v>0</v>
      </c>
      <c r="G1040" s="42">
        <f>VLOOKUP($A1040,'Neraca Unaudited SIMAK'!$A$2:$R$1272,6,FALSE)+IF(ISNA(VLOOKUP($A1040,'Mutasi Neraca'!$A$3:$S$910,6,FALSE)),0,VLOOKUP($A1040,'Mutasi Neraca'!$A$3:$S$910,6,FALSE))</f>
        <v>0</v>
      </c>
      <c r="H1040" s="42">
        <f>VLOOKUP($A1040,'Neraca Unaudited SIMAK'!$A$2:$R$1272,7,FALSE)+IF(ISNA(VLOOKUP($A1040,'Mutasi Neraca'!$A$3:$S$910,7,FALSE)),0,VLOOKUP($A1040,'Mutasi Neraca'!$A$3:$S$910,7,FALSE))</f>
        <v>0</v>
      </c>
      <c r="I1040" s="42">
        <f>VLOOKUP($A1040,'Neraca Unaudited SIMAK'!$A$2:$R$1272,8,FALSE)+IF(ISNA(VLOOKUP($A1040,'Mutasi Neraca'!$A$3:$S$910,8,FALSE)),0,VLOOKUP($A1040,'Mutasi Neraca'!$A$3:$S$910,8,FALSE))</f>
        <v>0</v>
      </c>
      <c r="J1040" s="42">
        <f>VLOOKUP($A1040,'Neraca Unaudited SIMAK'!$A$2:$R$1272,9,FALSE)+IF(ISNA(VLOOKUP($A1040,'Mutasi Neraca'!$A$3:$S$910,9,FALSE)),0,VLOOKUP($A1040,'Mutasi Neraca'!$A$3:$S$910,9,FALSE))</f>
        <v>0</v>
      </c>
      <c r="K1040" s="42">
        <f>VLOOKUP($A1040,'Neraca Unaudited SIMAK'!$A$2:$R$1272,10,FALSE)+IF(ISNA(VLOOKUP($A1040,'Mutasi Neraca'!$A$3:$S$910,10,FALSE)),0,VLOOKUP($A1040,'Mutasi Neraca'!$A$3:$S$910,10,FALSE))</f>
        <v>0</v>
      </c>
      <c r="L1040" s="42">
        <f>VLOOKUP($A1040,'Neraca Unaudited SIMAK'!$A$2:$R$1272,11,FALSE)+IF(ISNA(VLOOKUP($A1040,'Mutasi Neraca'!$A$3:$S$910,11,FALSE)),0,VLOOKUP($A1040,'Mutasi Neraca'!$A$3:$S$910,11,FALSE))</f>
        <v>0</v>
      </c>
      <c r="M1040" s="42">
        <f>VLOOKUP($A1040,'Neraca Unaudited SIMAK'!$A$2:$R$1272,12,FALSE)+IF(ISNA(VLOOKUP($A1040,'Mutasi Neraca'!$A$3:$S$910,12,FALSE)),0,VLOOKUP($A1040,'Mutasi Neraca'!$A$3:$S$910,12,FALSE))</f>
        <v>44100</v>
      </c>
      <c r="N1040" s="42">
        <f>VLOOKUP($A1040,'Neraca Unaudited SIMAK'!$A$2:$R$1272,13,FALSE)+IF(ISNA(VLOOKUP($A1040,'Mutasi Neraca'!$A$3:$S$910,13,FALSE)),0,VLOOKUP($A1040,'Mutasi Neraca'!$A$3:$S$910,13,FALSE))</f>
        <v>0</v>
      </c>
      <c r="O1040" s="42">
        <f>VLOOKUP($A1040,'Neraca Unaudited SIMAK'!$A$2:$R$1272,14,FALSE)+IF(ISNA(VLOOKUP($A1040,'Mutasi Neraca'!$A$3:$S$910,14,FALSE)),0,VLOOKUP($A1040,'Mutasi Neraca'!$A$3:$S$910,14,FALSE))</f>
        <v>0</v>
      </c>
      <c r="P1040" s="42">
        <f>VLOOKUP($A1040,'Neraca Unaudited SIMAK'!$A$2:$R$1272,15,FALSE)+IF(ISNA(VLOOKUP($A1040,'Mutasi Neraca'!$A$3:$S$910,15,FALSE)),0,VLOOKUP($A1040,'Mutasi Neraca'!$A$3:$S$910,15,FALSE))</f>
        <v>0</v>
      </c>
      <c r="Q1040" s="42">
        <f>VLOOKUP($A1040,'Neraca Unaudited SIMAK'!$A$2:$R$1272,16,FALSE)+IF(ISNA(VLOOKUP($A1040,'Mutasi Neraca'!$A$3:$S$910,16,FALSE)),0,VLOOKUP($A1040,'Mutasi Neraca'!$A$3:$S$910,16,FALSE))</f>
        <v>0</v>
      </c>
      <c r="R1040" s="42">
        <f>VLOOKUP($A1040,'Neraca Unaudited SIMAK'!$A$2:$R$1272,17,FALSE)+IF(ISNA(VLOOKUP($A1040,'Mutasi Neraca'!$A$3:$S$910,17,FALSE)),0,VLOOKUP($A1040,'Mutasi Neraca'!$A$3:$S$910,17,FALSE))</f>
        <v>0</v>
      </c>
      <c r="S1040" s="42">
        <f t="shared" si="75"/>
        <v>44100</v>
      </c>
    </row>
    <row r="1041" spans="1:19">
      <c r="A1041" s="41" t="s">
        <v>2193</v>
      </c>
      <c r="B1041" s="41" t="str">
        <f t="shared" si="74"/>
        <v>005031400</v>
      </c>
      <c r="D1041" s="42">
        <f>VLOOKUP($A1041,'Neraca Unaudited SIMAK'!$A$2:$R$1272,3,FALSE)+IF(ISNA(VLOOKUP($A1041,'Mutasi Neraca'!$A$3:$S$910,3,FALSE)),0,VLOOKUP($A1041,'Mutasi Neraca'!$A$3:$S$910,3,FALSE))</f>
        <v>17160000</v>
      </c>
      <c r="E1041" s="42">
        <f>VLOOKUP($A1041,'Neraca Unaudited SIMAK'!$A$2:$R$1272,4,FALSE)+IF(ISNA(VLOOKUP($A1041,'Mutasi Neraca'!$A$3:$S$910,4,FALSE)),0,VLOOKUP($A1041,'Mutasi Neraca'!$A$3:$S$910,4,FALSE))</f>
        <v>0</v>
      </c>
      <c r="F1041" s="42">
        <f>VLOOKUP($A1041,'Neraca Unaudited SIMAK'!$A$2:$R$1272,5,FALSE)+IF(ISNA(VLOOKUP($A1041,'Mutasi Neraca'!$A$3:$S$910,5,FALSE)),0,VLOOKUP($A1041,'Mutasi Neraca'!$A$3:$S$910,5,FALSE))</f>
        <v>0</v>
      </c>
      <c r="G1041" s="42">
        <f>VLOOKUP($A1041,'Neraca Unaudited SIMAK'!$A$2:$R$1272,6,FALSE)+IF(ISNA(VLOOKUP($A1041,'Mutasi Neraca'!$A$3:$S$910,6,FALSE)),0,VLOOKUP($A1041,'Mutasi Neraca'!$A$3:$S$910,6,FALSE))</f>
        <v>0</v>
      </c>
      <c r="H1041" s="42">
        <f>VLOOKUP($A1041,'Neraca Unaudited SIMAK'!$A$2:$R$1272,7,FALSE)+IF(ISNA(VLOOKUP($A1041,'Mutasi Neraca'!$A$3:$S$910,7,FALSE)),0,VLOOKUP($A1041,'Mutasi Neraca'!$A$3:$S$910,7,FALSE))</f>
        <v>0</v>
      </c>
      <c r="I1041" s="42">
        <f>VLOOKUP($A1041,'Neraca Unaudited SIMAK'!$A$2:$R$1272,8,FALSE)+IF(ISNA(VLOOKUP($A1041,'Mutasi Neraca'!$A$3:$S$910,8,FALSE)),0,VLOOKUP($A1041,'Mutasi Neraca'!$A$3:$S$910,8,FALSE))</f>
        <v>0</v>
      </c>
      <c r="J1041" s="42">
        <f>VLOOKUP($A1041,'Neraca Unaudited SIMAK'!$A$2:$R$1272,9,FALSE)+IF(ISNA(VLOOKUP($A1041,'Mutasi Neraca'!$A$3:$S$910,9,FALSE)),0,VLOOKUP($A1041,'Mutasi Neraca'!$A$3:$S$910,9,FALSE))</f>
        <v>0</v>
      </c>
      <c r="K1041" s="42">
        <f>VLOOKUP($A1041,'Neraca Unaudited SIMAK'!$A$2:$R$1272,10,FALSE)+IF(ISNA(VLOOKUP($A1041,'Mutasi Neraca'!$A$3:$S$910,10,FALSE)),0,VLOOKUP($A1041,'Mutasi Neraca'!$A$3:$S$910,10,FALSE))</f>
        <v>0</v>
      </c>
      <c r="L1041" s="42">
        <f>VLOOKUP($A1041,'Neraca Unaudited SIMAK'!$A$2:$R$1272,11,FALSE)+IF(ISNA(VLOOKUP($A1041,'Mutasi Neraca'!$A$3:$S$910,11,FALSE)),0,VLOOKUP($A1041,'Mutasi Neraca'!$A$3:$S$910,11,FALSE))</f>
        <v>0</v>
      </c>
      <c r="M1041" s="42">
        <f>VLOOKUP($A1041,'Neraca Unaudited SIMAK'!$A$2:$R$1272,12,FALSE)+IF(ISNA(VLOOKUP($A1041,'Mutasi Neraca'!$A$3:$S$910,12,FALSE)),0,VLOOKUP($A1041,'Mutasi Neraca'!$A$3:$S$910,12,FALSE))</f>
        <v>17160000</v>
      </c>
      <c r="N1041" s="42">
        <f>VLOOKUP($A1041,'Neraca Unaudited SIMAK'!$A$2:$R$1272,13,FALSE)+IF(ISNA(VLOOKUP($A1041,'Mutasi Neraca'!$A$3:$S$910,13,FALSE)),0,VLOOKUP($A1041,'Mutasi Neraca'!$A$3:$S$910,13,FALSE))</f>
        <v>0</v>
      </c>
      <c r="O1041" s="42">
        <f>VLOOKUP($A1041,'Neraca Unaudited SIMAK'!$A$2:$R$1272,14,FALSE)+IF(ISNA(VLOOKUP($A1041,'Mutasi Neraca'!$A$3:$S$910,14,FALSE)),0,VLOOKUP($A1041,'Mutasi Neraca'!$A$3:$S$910,14,FALSE))</f>
        <v>0</v>
      </c>
      <c r="P1041" s="42">
        <f>VLOOKUP($A1041,'Neraca Unaudited SIMAK'!$A$2:$R$1272,15,FALSE)+IF(ISNA(VLOOKUP($A1041,'Mutasi Neraca'!$A$3:$S$910,15,FALSE)),0,VLOOKUP($A1041,'Mutasi Neraca'!$A$3:$S$910,15,FALSE))</f>
        <v>0</v>
      </c>
      <c r="Q1041" s="42">
        <f>VLOOKUP($A1041,'Neraca Unaudited SIMAK'!$A$2:$R$1272,16,FALSE)+IF(ISNA(VLOOKUP($A1041,'Mutasi Neraca'!$A$3:$S$910,16,FALSE)),0,VLOOKUP($A1041,'Mutasi Neraca'!$A$3:$S$910,16,FALSE))</f>
        <v>0</v>
      </c>
      <c r="R1041" s="42">
        <f>VLOOKUP($A1041,'Neraca Unaudited SIMAK'!$A$2:$R$1272,17,FALSE)+IF(ISNA(VLOOKUP($A1041,'Mutasi Neraca'!$A$3:$S$910,17,FALSE)),0,VLOOKUP($A1041,'Mutasi Neraca'!$A$3:$S$910,17,FALSE))</f>
        <v>0</v>
      </c>
      <c r="S1041" s="42">
        <f t="shared" si="75"/>
        <v>17160000</v>
      </c>
    </row>
    <row r="1042" spans="1:19">
      <c r="A1042" s="41" t="s">
        <v>999</v>
      </c>
      <c r="B1042" s="41" t="str">
        <f t="shared" si="74"/>
        <v>005031400</v>
      </c>
      <c r="D1042" s="42">
        <f>VLOOKUP($A1042,'Neraca Unaudited SIMAK'!$A$2:$R$1272,3,FALSE)+IF(ISNA(VLOOKUP($A1042,'Mutasi Neraca'!$A$3:$S$910,3,FALSE)),0,VLOOKUP($A1042,'Mutasi Neraca'!$A$3:$S$910,3,FALSE))</f>
        <v>2640500</v>
      </c>
      <c r="E1042" s="42">
        <f>VLOOKUP($A1042,'Neraca Unaudited SIMAK'!$A$2:$R$1272,4,FALSE)+IF(ISNA(VLOOKUP($A1042,'Mutasi Neraca'!$A$3:$S$910,4,FALSE)),0,VLOOKUP($A1042,'Mutasi Neraca'!$A$3:$S$910,4,FALSE))</f>
        <v>0</v>
      </c>
      <c r="F1042" s="42">
        <f>VLOOKUP($A1042,'Neraca Unaudited SIMAK'!$A$2:$R$1272,5,FALSE)+IF(ISNA(VLOOKUP($A1042,'Mutasi Neraca'!$A$3:$S$910,5,FALSE)),0,VLOOKUP($A1042,'Mutasi Neraca'!$A$3:$S$910,5,FALSE))</f>
        <v>0</v>
      </c>
      <c r="G1042" s="42">
        <f>VLOOKUP($A1042,'Neraca Unaudited SIMAK'!$A$2:$R$1272,6,FALSE)+IF(ISNA(VLOOKUP($A1042,'Mutasi Neraca'!$A$3:$S$910,6,FALSE)),0,VLOOKUP($A1042,'Mutasi Neraca'!$A$3:$S$910,6,FALSE))</f>
        <v>0</v>
      </c>
      <c r="H1042" s="42">
        <f>VLOOKUP($A1042,'Neraca Unaudited SIMAK'!$A$2:$R$1272,7,FALSE)+IF(ISNA(VLOOKUP($A1042,'Mutasi Neraca'!$A$3:$S$910,7,FALSE)),0,VLOOKUP($A1042,'Mutasi Neraca'!$A$3:$S$910,7,FALSE))</f>
        <v>0</v>
      </c>
      <c r="I1042" s="42">
        <f>VLOOKUP($A1042,'Neraca Unaudited SIMAK'!$A$2:$R$1272,8,FALSE)+IF(ISNA(VLOOKUP($A1042,'Mutasi Neraca'!$A$3:$S$910,8,FALSE)),0,VLOOKUP($A1042,'Mutasi Neraca'!$A$3:$S$910,8,FALSE))</f>
        <v>0</v>
      </c>
      <c r="J1042" s="42">
        <f>VLOOKUP($A1042,'Neraca Unaudited SIMAK'!$A$2:$R$1272,9,FALSE)+IF(ISNA(VLOOKUP($A1042,'Mutasi Neraca'!$A$3:$S$910,9,FALSE)),0,VLOOKUP($A1042,'Mutasi Neraca'!$A$3:$S$910,9,FALSE))</f>
        <v>0</v>
      </c>
      <c r="K1042" s="42">
        <f>VLOOKUP($A1042,'Neraca Unaudited SIMAK'!$A$2:$R$1272,10,FALSE)+IF(ISNA(VLOOKUP($A1042,'Mutasi Neraca'!$A$3:$S$910,10,FALSE)),0,VLOOKUP($A1042,'Mutasi Neraca'!$A$3:$S$910,10,FALSE))</f>
        <v>0</v>
      </c>
      <c r="L1042" s="42">
        <f>VLOOKUP($A1042,'Neraca Unaudited SIMAK'!$A$2:$R$1272,11,FALSE)+IF(ISNA(VLOOKUP($A1042,'Mutasi Neraca'!$A$3:$S$910,11,FALSE)),0,VLOOKUP($A1042,'Mutasi Neraca'!$A$3:$S$910,11,FALSE))</f>
        <v>0</v>
      </c>
      <c r="M1042" s="42">
        <f>VLOOKUP($A1042,'Neraca Unaudited SIMAK'!$A$2:$R$1272,12,FALSE)+IF(ISNA(VLOOKUP($A1042,'Mutasi Neraca'!$A$3:$S$910,12,FALSE)),0,VLOOKUP($A1042,'Mutasi Neraca'!$A$3:$S$910,12,FALSE))</f>
        <v>2640500</v>
      </c>
      <c r="N1042" s="42">
        <f>VLOOKUP($A1042,'Neraca Unaudited SIMAK'!$A$2:$R$1272,13,FALSE)+IF(ISNA(VLOOKUP($A1042,'Mutasi Neraca'!$A$3:$S$910,13,FALSE)),0,VLOOKUP($A1042,'Mutasi Neraca'!$A$3:$S$910,13,FALSE))</f>
        <v>0</v>
      </c>
      <c r="O1042" s="42">
        <f>VLOOKUP($A1042,'Neraca Unaudited SIMAK'!$A$2:$R$1272,14,FALSE)+IF(ISNA(VLOOKUP($A1042,'Mutasi Neraca'!$A$3:$S$910,14,FALSE)),0,VLOOKUP($A1042,'Mutasi Neraca'!$A$3:$S$910,14,FALSE))</f>
        <v>0</v>
      </c>
      <c r="P1042" s="42">
        <f>VLOOKUP($A1042,'Neraca Unaudited SIMAK'!$A$2:$R$1272,15,FALSE)+IF(ISNA(VLOOKUP($A1042,'Mutasi Neraca'!$A$3:$S$910,15,FALSE)),0,VLOOKUP($A1042,'Mutasi Neraca'!$A$3:$S$910,15,FALSE))</f>
        <v>0</v>
      </c>
      <c r="Q1042" s="42">
        <f>VLOOKUP($A1042,'Neraca Unaudited SIMAK'!$A$2:$R$1272,16,FALSE)+IF(ISNA(VLOOKUP($A1042,'Mutasi Neraca'!$A$3:$S$910,16,FALSE)),0,VLOOKUP($A1042,'Mutasi Neraca'!$A$3:$S$910,16,FALSE))</f>
        <v>0</v>
      </c>
      <c r="R1042" s="42">
        <f>VLOOKUP($A1042,'Neraca Unaudited SIMAK'!$A$2:$R$1272,17,FALSE)+IF(ISNA(VLOOKUP($A1042,'Mutasi Neraca'!$A$3:$S$910,17,FALSE)),0,VLOOKUP($A1042,'Mutasi Neraca'!$A$3:$S$910,17,FALSE))</f>
        <v>0</v>
      </c>
      <c r="S1042" s="42">
        <f t="shared" si="75"/>
        <v>2640500</v>
      </c>
    </row>
    <row r="1043" spans="1:19">
      <c r="A1043" s="41" t="s">
        <v>1000</v>
      </c>
      <c r="B1043" s="41" t="str">
        <f t="shared" si="74"/>
        <v>005031400</v>
      </c>
      <c r="D1043" s="42">
        <f>VLOOKUP($A1043,'Neraca Unaudited SIMAK'!$A$2:$R$1272,3,FALSE)+IF(ISNA(VLOOKUP($A1043,'Mutasi Neraca'!$A$3:$S$910,3,FALSE)),0,VLOOKUP($A1043,'Mutasi Neraca'!$A$3:$S$910,3,FALSE))</f>
        <v>140000</v>
      </c>
      <c r="E1043" s="42">
        <f>VLOOKUP($A1043,'Neraca Unaudited SIMAK'!$A$2:$R$1272,4,FALSE)+IF(ISNA(VLOOKUP($A1043,'Mutasi Neraca'!$A$3:$S$910,4,FALSE)),0,VLOOKUP($A1043,'Mutasi Neraca'!$A$3:$S$910,4,FALSE))</f>
        <v>0</v>
      </c>
      <c r="F1043" s="42">
        <f>VLOOKUP($A1043,'Neraca Unaudited SIMAK'!$A$2:$R$1272,5,FALSE)+IF(ISNA(VLOOKUP($A1043,'Mutasi Neraca'!$A$3:$S$910,5,FALSE)),0,VLOOKUP($A1043,'Mutasi Neraca'!$A$3:$S$910,5,FALSE))</f>
        <v>0</v>
      </c>
      <c r="G1043" s="42">
        <f>VLOOKUP($A1043,'Neraca Unaudited SIMAK'!$A$2:$R$1272,6,FALSE)+IF(ISNA(VLOOKUP($A1043,'Mutasi Neraca'!$A$3:$S$910,6,FALSE)),0,VLOOKUP($A1043,'Mutasi Neraca'!$A$3:$S$910,6,FALSE))</f>
        <v>0</v>
      </c>
      <c r="H1043" s="42">
        <f>VLOOKUP($A1043,'Neraca Unaudited SIMAK'!$A$2:$R$1272,7,FALSE)+IF(ISNA(VLOOKUP($A1043,'Mutasi Neraca'!$A$3:$S$910,7,FALSE)),0,VLOOKUP($A1043,'Mutasi Neraca'!$A$3:$S$910,7,FALSE))</f>
        <v>0</v>
      </c>
      <c r="I1043" s="42">
        <f>VLOOKUP($A1043,'Neraca Unaudited SIMAK'!$A$2:$R$1272,8,FALSE)+IF(ISNA(VLOOKUP($A1043,'Mutasi Neraca'!$A$3:$S$910,8,FALSE)),0,VLOOKUP($A1043,'Mutasi Neraca'!$A$3:$S$910,8,FALSE))</f>
        <v>0</v>
      </c>
      <c r="J1043" s="42">
        <f>VLOOKUP($A1043,'Neraca Unaudited SIMAK'!$A$2:$R$1272,9,FALSE)+IF(ISNA(VLOOKUP($A1043,'Mutasi Neraca'!$A$3:$S$910,9,FALSE)),0,VLOOKUP($A1043,'Mutasi Neraca'!$A$3:$S$910,9,FALSE))</f>
        <v>0</v>
      </c>
      <c r="K1043" s="42">
        <f>VLOOKUP($A1043,'Neraca Unaudited SIMAK'!$A$2:$R$1272,10,FALSE)+IF(ISNA(VLOOKUP($A1043,'Mutasi Neraca'!$A$3:$S$910,10,FALSE)),0,VLOOKUP($A1043,'Mutasi Neraca'!$A$3:$S$910,10,FALSE))</f>
        <v>0</v>
      </c>
      <c r="L1043" s="42">
        <f>VLOOKUP($A1043,'Neraca Unaudited SIMAK'!$A$2:$R$1272,11,FALSE)+IF(ISNA(VLOOKUP($A1043,'Mutasi Neraca'!$A$3:$S$910,11,FALSE)),0,VLOOKUP($A1043,'Mutasi Neraca'!$A$3:$S$910,11,FALSE))</f>
        <v>0</v>
      </c>
      <c r="M1043" s="42">
        <f>VLOOKUP($A1043,'Neraca Unaudited SIMAK'!$A$2:$R$1272,12,FALSE)+IF(ISNA(VLOOKUP($A1043,'Mutasi Neraca'!$A$3:$S$910,12,FALSE)),0,VLOOKUP($A1043,'Mutasi Neraca'!$A$3:$S$910,12,FALSE))</f>
        <v>140000</v>
      </c>
      <c r="N1043" s="42">
        <f>VLOOKUP($A1043,'Neraca Unaudited SIMAK'!$A$2:$R$1272,13,FALSE)+IF(ISNA(VLOOKUP($A1043,'Mutasi Neraca'!$A$3:$S$910,13,FALSE)),0,VLOOKUP($A1043,'Mutasi Neraca'!$A$3:$S$910,13,FALSE))</f>
        <v>0</v>
      </c>
      <c r="O1043" s="42">
        <f>VLOOKUP($A1043,'Neraca Unaudited SIMAK'!$A$2:$R$1272,14,FALSE)+IF(ISNA(VLOOKUP($A1043,'Mutasi Neraca'!$A$3:$S$910,14,FALSE)),0,VLOOKUP($A1043,'Mutasi Neraca'!$A$3:$S$910,14,FALSE))</f>
        <v>0</v>
      </c>
      <c r="P1043" s="42">
        <f>VLOOKUP($A1043,'Neraca Unaudited SIMAK'!$A$2:$R$1272,15,FALSE)+IF(ISNA(VLOOKUP($A1043,'Mutasi Neraca'!$A$3:$S$910,15,FALSE)),0,VLOOKUP($A1043,'Mutasi Neraca'!$A$3:$S$910,15,FALSE))</f>
        <v>0</v>
      </c>
      <c r="Q1043" s="42">
        <f>VLOOKUP($A1043,'Neraca Unaudited SIMAK'!$A$2:$R$1272,16,FALSE)+IF(ISNA(VLOOKUP($A1043,'Mutasi Neraca'!$A$3:$S$910,16,FALSE)),0,VLOOKUP($A1043,'Mutasi Neraca'!$A$3:$S$910,16,FALSE))</f>
        <v>0</v>
      </c>
      <c r="R1043" s="42">
        <f>VLOOKUP($A1043,'Neraca Unaudited SIMAK'!$A$2:$R$1272,17,FALSE)+IF(ISNA(VLOOKUP($A1043,'Mutasi Neraca'!$A$3:$S$910,17,FALSE)),0,VLOOKUP($A1043,'Mutasi Neraca'!$A$3:$S$910,17,FALSE))</f>
        <v>0</v>
      </c>
      <c r="S1043" s="42">
        <f t="shared" si="75"/>
        <v>140000</v>
      </c>
    </row>
    <row r="1044" spans="1:19">
      <c r="A1044" s="41" t="s">
        <v>2057</v>
      </c>
      <c r="B1044" s="41" t="str">
        <f t="shared" si="74"/>
        <v>005031400</v>
      </c>
      <c r="D1044" s="42">
        <f>VLOOKUP($A1044,'Neraca Unaudited SIMAK'!$A$2:$R$1272,3,FALSE)+IF(ISNA(VLOOKUP($A1044,'Mutasi Neraca'!$A$3:$S$910,3,FALSE)),0,VLOOKUP($A1044,'Mutasi Neraca'!$A$3:$S$910,3,FALSE))</f>
        <v>55000</v>
      </c>
      <c r="E1044" s="42">
        <f>VLOOKUP($A1044,'Neraca Unaudited SIMAK'!$A$2:$R$1272,4,FALSE)+IF(ISNA(VLOOKUP($A1044,'Mutasi Neraca'!$A$3:$S$910,4,FALSE)),0,VLOOKUP($A1044,'Mutasi Neraca'!$A$3:$S$910,4,FALSE))</f>
        <v>0</v>
      </c>
      <c r="F1044" s="42">
        <f>VLOOKUP($A1044,'Neraca Unaudited SIMAK'!$A$2:$R$1272,5,FALSE)+IF(ISNA(VLOOKUP($A1044,'Mutasi Neraca'!$A$3:$S$910,5,FALSE)),0,VLOOKUP($A1044,'Mutasi Neraca'!$A$3:$S$910,5,FALSE))</f>
        <v>0</v>
      </c>
      <c r="G1044" s="42">
        <f>VLOOKUP($A1044,'Neraca Unaudited SIMAK'!$A$2:$R$1272,6,FALSE)+IF(ISNA(VLOOKUP($A1044,'Mutasi Neraca'!$A$3:$S$910,6,FALSE)),0,VLOOKUP($A1044,'Mutasi Neraca'!$A$3:$S$910,6,FALSE))</f>
        <v>0</v>
      </c>
      <c r="H1044" s="42">
        <f>VLOOKUP($A1044,'Neraca Unaudited SIMAK'!$A$2:$R$1272,7,FALSE)+IF(ISNA(VLOOKUP($A1044,'Mutasi Neraca'!$A$3:$S$910,7,FALSE)),0,VLOOKUP($A1044,'Mutasi Neraca'!$A$3:$S$910,7,FALSE))</f>
        <v>0</v>
      </c>
      <c r="I1044" s="42">
        <f>VLOOKUP($A1044,'Neraca Unaudited SIMAK'!$A$2:$R$1272,8,FALSE)+IF(ISNA(VLOOKUP($A1044,'Mutasi Neraca'!$A$3:$S$910,8,FALSE)),0,VLOOKUP($A1044,'Mutasi Neraca'!$A$3:$S$910,8,FALSE))</f>
        <v>0</v>
      </c>
      <c r="J1044" s="42">
        <f>VLOOKUP($A1044,'Neraca Unaudited SIMAK'!$A$2:$R$1272,9,FALSE)+IF(ISNA(VLOOKUP($A1044,'Mutasi Neraca'!$A$3:$S$910,9,FALSE)),0,VLOOKUP($A1044,'Mutasi Neraca'!$A$3:$S$910,9,FALSE))</f>
        <v>0</v>
      </c>
      <c r="K1044" s="42">
        <f>VLOOKUP($A1044,'Neraca Unaudited SIMAK'!$A$2:$R$1272,10,FALSE)+IF(ISNA(VLOOKUP($A1044,'Mutasi Neraca'!$A$3:$S$910,10,FALSE)),0,VLOOKUP($A1044,'Mutasi Neraca'!$A$3:$S$910,10,FALSE))</f>
        <v>0</v>
      </c>
      <c r="L1044" s="42">
        <f>VLOOKUP($A1044,'Neraca Unaudited SIMAK'!$A$2:$R$1272,11,FALSE)+IF(ISNA(VLOOKUP($A1044,'Mutasi Neraca'!$A$3:$S$910,11,FALSE)),0,VLOOKUP($A1044,'Mutasi Neraca'!$A$3:$S$910,11,FALSE))</f>
        <v>0</v>
      </c>
      <c r="M1044" s="42">
        <f>VLOOKUP($A1044,'Neraca Unaudited SIMAK'!$A$2:$R$1272,12,FALSE)+IF(ISNA(VLOOKUP($A1044,'Mutasi Neraca'!$A$3:$S$910,12,FALSE)),0,VLOOKUP($A1044,'Mutasi Neraca'!$A$3:$S$910,12,FALSE))</f>
        <v>55000</v>
      </c>
      <c r="N1044" s="42">
        <f>VLOOKUP($A1044,'Neraca Unaudited SIMAK'!$A$2:$R$1272,13,FALSE)+IF(ISNA(VLOOKUP($A1044,'Mutasi Neraca'!$A$3:$S$910,13,FALSE)),0,VLOOKUP($A1044,'Mutasi Neraca'!$A$3:$S$910,13,FALSE))</f>
        <v>0</v>
      </c>
      <c r="O1044" s="42">
        <f>VLOOKUP($A1044,'Neraca Unaudited SIMAK'!$A$2:$R$1272,14,FALSE)+IF(ISNA(VLOOKUP($A1044,'Mutasi Neraca'!$A$3:$S$910,14,FALSE)),0,VLOOKUP($A1044,'Mutasi Neraca'!$A$3:$S$910,14,FALSE))</f>
        <v>0</v>
      </c>
      <c r="P1044" s="42">
        <f>VLOOKUP($A1044,'Neraca Unaudited SIMAK'!$A$2:$R$1272,15,FALSE)+IF(ISNA(VLOOKUP($A1044,'Mutasi Neraca'!$A$3:$S$910,15,FALSE)),0,VLOOKUP($A1044,'Mutasi Neraca'!$A$3:$S$910,15,FALSE))</f>
        <v>0</v>
      </c>
      <c r="Q1044" s="42">
        <f>VLOOKUP($A1044,'Neraca Unaudited SIMAK'!$A$2:$R$1272,16,FALSE)+IF(ISNA(VLOOKUP($A1044,'Mutasi Neraca'!$A$3:$S$910,16,FALSE)),0,VLOOKUP($A1044,'Mutasi Neraca'!$A$3:$S$910,16,FALSE))</f>
        <v>0</v>
      </c>
      <c r="R1044" s="42">
        <f>VLOOKUP($A1044,'Neraca Unaudited SIMAK'!$A$2:$R$1272,17,FALSE)+IF(ISNA(VLOOKUP($A1044,'Mutasi Neraca'!$A$3:$S$910,17,FALSE)),0,VLOOKUP($A1044,'Mutasi Neraca'!$A$3:$S$910,17,FALSE))</f>
        <v>0</v>
      </c>
      <c r="S1044" s="42">
        <f t="shared" si="75"/>
        <v>55000</v>
      </c>
    </row>
    <row r="1045" spans="1:19">
      <c r="A1045" s="41" t="s">
        <v>1001</v>
      </c>
      <c r="B1045" s="41" t="str">
        <f t="shared" si="74"/>
        <v>005031500</v>
      </c>
      <c r="D1045" s="42">
        <f>VLOOKUP($A1045,'Neraca Unaudited SIMAK'!$A$2:$R$1272,3,FALSE)+IF(ISNA(VLOOKUP($A1045,'Mutasi Neraca'!$A$3:$S$910,3,FALSE)),0,VLOOKUP($A1045,'Mutasi Neraca'!$A$3:$S$910,3,FALSE))</f>
        <v>0</v>
      </c>
      <c r="E1045" s="42">
        <f>VLOOKUP($A1045,'Neraca Unaudited SIMAK'!$A$2:$R$1272,4,FALSE)+IF(ISNA(VLOOKUP($A1045,'Mutasi Neraca'!$A$3:$S$910,4,FALSE)),0,VLOOKUP($A1045,'Mutasi Neraca'!$A$3:$S$910,4,FALSE))</f>
        <v>0</v>
      </c>
      <c r="F1045" s="42">
        <f>VLOOKUP($A1045,'Neraca Unaudited SIMAK'!$A$2:$R$1272,5,FALSE)+IF(ISNA(VLOOKUP($A1045,'Mutasi Neraca'!$A$3:$S$910,5,FALSE)),0,VLOOKUP($A1045,'Mutasi Neraca'!$A$3:$S$910,5,FALSE))</f>
        <v>0</v>
      </c>
      <c r="G1045" s="42">
        <f>VLOOKUP($A1045,'Neraca Unaudited SIMAK'!$A$2:$R$1272,6,FALSE)+IF(ISNA(VLOOKUP($A1045,'Mutasi Neraca'!$A$3:$S$910,6,FALSE)),0,VLOOKUP($A1045,'Mutasi Neraca'!$A$3:$S$910,6,FALSE))</f>
        <v>0</v>
      </c>
      <c r="H1045" s="42">
        <f>VLOOKUP($A1045,'Neraca Unaudited SIMAK'!$A$2:$R$1272,7,FALSE)+IF(ISNA(VLOOKUP($A1045,'Mutasi Neraca'!$A$3:$S$910,7,FALSE)),0,VLOOKUP($A1045,'Mutasi Neraca'!$A$3:$S$910,7,FALSE))</f>
        <v>0</v>
      </c>
      <c r="I1045" s="42">
        <f>VLOOKUP($A1045,'Neraca Unaudited SIMAK'!$A$2:$R$1272,8,FALSE)+IF(ISNA(VLOOKUP($A1045,'Mutasi Neraca'!$A$3:$S$910,8,FALSE)),0,VLOOKUP($A1045,'Mutasi Neraca'!$A$3:$S$910,8,FALSE))</f>
        <v>0</v>
      </c>
      <c r="J1045" s="42">
        <f>VLOOKUP($A1045,'Neraca Unaudited SIMAK'!$A$2:$R$1272,9,FALSE)+IF(ISNA(VLOOKUP($A1045,'Mutasi Neraca'!$A$3:$S$910,9,FALSE)),0,VLOOKUP($A1045,'Mutasi Neraca'!$A$3:$S$910,9,FALSE))</f>
        <v>0</v>
      </c>
      <c r="K1045" s="42">
        <f>VLOOKUP($A1045,'Neraca Unaudited SIMAK'!$A$2:$R$1272,10,FALSE)+IF(ISNA(VLOOKUP($A1045,'Mutasi Neraca'!$A$3:$S$910,10,FALSE)),0,VLOOKUP($A1045,'Mutasi Neraca'!$A$3:$S$910,10,FALSE))</f>
        <v>0</v>
      </c>
      <c r="L1045" s="42">
        <f>VLOOKUP($A1045,'Neraca Unaudited SIMAK'!$A$2:$R$1272,11,FALSE)+IF(ISNA(VLOOKUP($A1045,'Mutasi Neraca'!$A$3:$S$910,11,FALSE)),0,VLOOKUP($A1045,'Mutasi Neraca'!$A$3:$S$910,11,FALSE))</f>
        <v>0</v>
      </c>
      <c r="M1045" s="42">
        <f>VLOOKUP($A1045,'Neraca Unaudited SIMAK'!$A$2:$R$1272,12,FALSE)+IF(ISNA(VLOOKUP($A1045,'Mutasi Neraca'!$A$3:$S$910,12,FALSE)),0,VLOOKUP($A1045,'Mutasi Neraca'!$A$3:$S$910,12,FALSE))</f>
        <v>0</v>
      </c>
      <c r="N1045" s="42">
        <f>VLOOKUP($A1045,'Neraca Unaudited SIMAK'!$A$2:$R$1272,13,FALSE)+IF(ISNA(VLOOKUP($A1045,'Mutasi Neraca'!$A$3:$S$910,13,FALSE)),0,VLOOKUP($A1045,'Mutasi Neraca'!$A$3:$S$910,13,FALSE))</f>
        <v>0</v>
      </c>
      <c r="O1045" s="42">
        <f>VLOOKUP($A1045,'Neraca Unaudited SIMAK'!$A$2:$R$1272,14,FALSE)+IF(ISNA(VLOOKUP($A1045,'Mutasi Neraca'!$A$3:$S$910,14,FALSE)),0,VLOOKUP($A1045,'Mutasi Neraca'!$A$3:$S$910,14,FALSE))</f>
        <v>0</v>
      </c>
      <c r="P1045" s="42">
        <f>VLOOKUP($A1045,'Neraca Unaudited SIMAK'!$A$2:$R$1272,15,FALSE)+IF(ISNA(VLOOKUP($A1045,'Mutasi Neraca'!$A$3:$S$910,15,FALSE)),0,VLOOKUP($A1045,'Mutasi Neraca'!$A$3:$S$910,15,FALSE))</f>
        <v>0</v>
      </c>
      <c r="Q1045" s="42">
        <f>VLOOKUP($A1045,'Neraca Unaudited SIMAK'!$A$2:$R$1272,16,FALSE)+IF(ISNA(VLOOKUP($A1045,'Mutasi Neraca'!$A$3:$S$910,16,FALSE)),0,VLOOKUP($A1045,'Mutasi Neraca'!$A$3:$S$910,16,FALSE))</f>
        <v>0</v>
      </c>
      <c r="R1045" s="42">
        <f>VLOOKUP($A1045,'Neraca Unaudited SIMAK'!$A$2:$R$1272,17,FALSE)+IF(ISNA(VLOOKUP($A1045,'Mutasi Neraca'!$A$3:$S$910,17,FALSE)),0,VLOOKUP($A1045,'Mutasi Neraca'!$A$3:$S$910,17,FALSE))</f>
        <v>0</v>
      </c>
      <c r="S1045" s="42">
        <f t="shared" si="75"/>
        <v>0</v>
      </c>
    </row>
    <row r="1046" spans="1:19">
      <c r="A1046" s="41" t="s">
        <v>1002</v>
      </c>
      <c r="B1046" s="41" t="str">
        <f t="shared" si="74"/>
        <v>005031500</v>
      </c>
      <c r="D1046" s="42">
        <f>VLOOKUP($A1046,'Neraca Unaudited SIMAK'!$A$2:$R$1272,3,FALSE)+IF(ISNA(VLOOKUP($A1046,'Mutasi Neraca'!$A$3:$S$910,3,FALSE)),0,VLOOKUP($A1046,'Mutasi Neraca'!$A$3:$S$910,3,FALSE))</f>
        <v>0</v>
      </c>
      <c r="E1046" s="42">
        <f>VLOOKUP($A1046,'Neraca Unaudited SIMAK'!$A$2:$R$1272,4,FALSE)+IF(ISNA(VLOOKUP($A1046,'Mutasi Neraca'!$A$3:$S$910,4,FALSE)),0,VLOOKUP($A1046,'Mutasi Neraca'!$A$3:$S$910,4,FALSE))</f>
        <v>0</v>
      </c>
      <c r="F1046" s="42">
        <f>VLOOKUP($A1046,'Neraca Unaudited SIMAK'!$A$2:$R$1272,5,FALSE)+IF(ISNA(VLOOKUP($A1046,'Mutasi Neraca'!$A$3:$S$910,5,FALSE)),0,VLOOKUP($A1046,'Mutasi Neraca'!$A$3:$S$910,5,FALSE))</f>
        <v>0</v>
      </c>
      <c r="G1046" s="42">
        <f>VLOOKUP($A1046,'Neraca Unaudited SIMAK'!$A$2:$R$1272,6,FALSE)+IF(ISNA(VLOOKUP($A1046,'Mutasi Neraca'!$A$3:$S$910,6,FALSE)),0,VLOOKUP($A1046,'Mutasi Neraca'!$A$3:$S$910,6,FALSE))</f>
        <v>0</v>
      </c>
      <c r="H1046" s="42">
        <f>VLOOKUP($A1046,'Neraca Unaudited SIMAK'!$A$2:$R$1272,7,FALSE)+IF(ISNA(VLOOKUP($A1046,'Mutasi Neraca'!$A$3:$S$910,7,FALSE)),0,VLOOKUP($A1046,'Mutasi Neraca'!$A$3:$S$910,7,FALSE))</f>
        <v>0</v>
      </c>
      <c r="I1046" s="42">
        <f>VLOOKUP($A1046,'Neraca Unaudited SIMAK'!$A$2:$R$1272,8,FALSE)+IF(ISNA(VLOOKUP($A1046,'Mutasi Neraca'!$A$3:$S$910,8,FALSE)),0,VLOOKUP($A1046,'Mutasi Neraca'!$A$3:$S$910,8,FALSE))</f>
        <v>0</v>
      </c>
      <c r="J1046" s="42">
        <f>VLOOKUP($A1046,'Neraca Unaudited SIMAK'!$A$2:$R$1272,9,FALSE)+IF(ISNA(VLOOKUP($A1046,'Mutasi Neraca'!$A$3:$S$910,9,FALSE)),0,VLOOKUP($A1046,'Mutasi Neraca'!$A$3:$S$910,9,FALSE))</f>
        <v>0</v>
      </c>
      <c r="K1046" s="42">
        <f>VLOOKUP($A1046,'Neraca Unaudited SIMAK'!$A$2:$R$1272,10,FALSE)+IF(ISNA(VLOOKUP($A1046,'Mutasi Neraca'!$A$3:$S$910,10,FALSE)),0,VLOOKUP($A1046,'Mutasi Neraca'!$A$3:$S$910,10,FALSE))</f>
        <v>0</v>
      </c>
      <c r="L1046" s="42">
        <f>VLOOKUP($A1046,'Neraca Unaudited SIMAK'!$A$2:$R$1272,11,FALSE)+IF(ISNA(VLOOKUP($A1046,'Mutasi Neraca'!$A$3:$S$910,11,FALSE)),0,VLOOKUP($A1046,'Mutasi Neraca'!$A$3:$S$910,11,FALSE))</f>
        <v>0</v>
      </c>
      <c r="M1046" s="42">
        <f>VLOOKUP($A1046,'Neraca Unaudited SIMAK'!$A$2:$R$1272,12,FALSE)+IF(ISNA(VLOOKUP($A1046,'Mutasi Neraca'!$A$3:$S$910,12,FALSE)),0,VLOOKUP($A1046,'Mutasi Neraca'!$A$3:$S$910,12,FALSE))</f>
        <v>0</v>
      </c>
      <c r="N1046" s="42">
        <f>VLOOKUP($A1046,'Neraca Unaudited SIMAK'!$A$2:$R$1272,13,FALSE)+IF(ISNA(VLOOKUP($A1046,'Mutasi Neraca'!$A$3:$S$910,13,FALSE)),0,VLOOKUP($A1046,'Mutasi Neraca'!$A$3:$S$910,13,FALSE))</f>
        <v>0</v>
      </c>
      <c r="O1046" s="42">
        <f>VLOOKUP($A1046,'Neraca Unaudited SIMAK'!$A$2:$R$1272,14,FALSE)+IF(ISNA(VLOOKUP($A1046,'Mutasi Neraca'!$A$3:$S$910,14,FALSE)),0,VLOOKUP($A1046,'Mutasi Neraca'!$A$3:$S$910,14,FALSE))</f>
        <v>0</v>
      </c>
      <c r="P1046" s="42">
        <f>VLOOKUP($A1046,'Neraca Unaudited SIMAK'!$A$2:$R$1272,15,FALSE)+IF(ISNA(VLOOKUP($A1046,'Mutasi Neraca'!$A$3:$S$910,15,FALSE)),0,VLOOKUP($A1046,'Mutasi Neraca'!$A$3:$S$910,15,FALSE))</f>
        <v>0</v>
      </c>
      <c r="Q1046" s="42">
        <f>VLOOKUP($A1046,'Neraca Unaudited SIMAK'!$A$2:$R$1272,16,FALSE)+IF(ISNA(VLOOKUP($A1046,'Mutasi Neraca'!$A$3:$S$910,16,FALSE)),0,VLOOKUP($A1046,'Mutasi Neraca'!$A$3:$S$910,16,FALSE))</f>
        <v>0</v>
      </c>
      <c r="R1046" s="42">
        <f>VLOOKUP($A1046,'Neraca Unaudited SIMAK'!$A$2:$R$1272,17,FALSE)+IF(ISNA(VLOOKUP($A1046,'Mutasi Neraca'!$A$3:$S$910,17,FALSE)),0,VLOOKUP($A1046,'Mutasi Neraca'!$A$3:$S$910,17,FALSE))</f>
        <v>0</v>
      </c>
      <c r="S1046" s="42">
        <f t="shared" si="75"/>
        <v>0</v>
      </c>
    </row>
    <row r="1047" spans="1:19">
      <c r="A1047" s="41" t="s">
        <v>1003</v>
      </c>
      <c r="B1047" s="41" t="str">
        <f t="shared" si="74"/>
        <v>005031500</v>
      </c>
      <c r="D1047" s="42">
        <f>VLOOKUP($A1047,'Neraca Unaudited SIMAK'!$A$2:$R$1272,3,FALSE)+IF(ISNA(VLOOKUP($A1047,'Mutasi Neraca'!$A$3:$S$910,3,FALSE)),0,VLOOKUP($A1047,'Mutasi Neraca'!$A$3:$S$910,3,FALSE))</f>
        <v>8553336</v>
      </c>
      <c r="E1047" s="42">
        <f>VLOOKUP($A1047,'Neraca Unaudited SIMAK'!$A$2:$R$1272,4,FALSE)+IF(ISNA(VLOOKUP($A1047,'Mutasi Neraca'!$A$3:$S$910,4,FALSE)),0,VLOOKUP($A1047,'Mutasi Neraca'!$A$3:$S$910,4,FALSE))</f>
        <v>0</v>
      </c>
      <c r="F1047" s="42">
        <f>VLOOKUP($A1047,'Neraca Unaudited SIMAK'!$A$2:$R$1272,5,FALSE)+IF(ISNA(VLOOKUP($A1047,'Mutasi Neraca'!$A$3:$S$910,5,FALSE)),0,VLOOKUP($A1047,'Mutasi Neraca'!$A$3:$S$910,5,FALSE))</f>
        <v>0</v>
      </c>
      <c r="G1047" s="42">
        <f>VLOOKUP($A1047,'Neraca Unaudited SIMAK'!$A$2:$R$1272,6,FALSE)+IF(ISNA(VLOOKUP($A1047,'Mutasi Neraca'!$A$3:$S$910,6,FALSE)),0,VLOOKUP($A1047,'Mutasi Neraca'!$A$3:$S$910,6,FALSE))</f>
        <v>0</v>
      </c>
      <c r="H1047" s="42">
        <f>VLOOKUP($A1047,'Neraca Unaudited SIMAK'!$A$2:$R$1272,7,FALSE)+IF(ISNA(VLOOKUP($A1047,'Mutasi Neraca'!$A$3:$S$910,7,FALSE)),0,VLOOKUP($A1047,'Mutasi Neraca'!$A$3:$S$910,7,FALSE))</f>
        <v>0</v>
      </c>
      <c r="I1047" s="42">
        <f>VLOOKUP($A1047,'Neraca Unaudited SIMAK'!$A$2:$R$1272,8,FALSE)+IF(ISNA(VLOOKUP($A1047,'Mutasi Neraca'!$A$3:$S$910,8,FALSE)),0,VLOOKUP($A1047,'Mutasi Neraca'!$A$3:$S$910,8,FALSE))</f>
        <v>0</v>
      </c>
      <c r="J1047" s="42">
        <f>VLOOKUP($A1047,'Neraca Unaudited SIMAK'!$A$2:$R$1272,9,FALSE)+IF(ISNA(VLOOKUP($A1047,'Mutasi Neraca'!$A$3:$S$910,9,FALSE)),0,VLOOKUP($A1047,'Mutasi Neraca'!$A$3:$S$910,9,FALSE))</f>
        <v>0</v>
      </c>
      <c r="K1047" s="42">
        <f>VLOOKUP($A1047,'Neraca Unaudited SIMAK'!$A$2:$R$1272,10,FALSE)+IF(ISNA(VLOOKUP($A1047,'Mutasi Neraca'!$A$3:$S$910,10,FALSE)),0,VLOOKUP($A1047,'Mutasi Neraca'!$A$3:$S$910,10,FALSE))</f>
        <v>0</v>
      </c>
      <c r="L1047" s="42">
        <f>VLOOKUP($A1047,'Neraca Unaudited SIMAK'!$A$2:$R$1272,11,FALSE)+IF(ISNA(VLOOKUP($A1047,'Mutasi Neraca'!$A$3:$S$910,11,FALSE)),0,VLOOKUP($A1047,'Mutasi Neraca'!$A$3:$S$910,11,FALSE))</f>
        <v>0</v>
      </c>
      <c r="M1047" s="42">
        <f>VLOOKUP($A1047,'Neraca Unaudited SIMAK'!$A$2:$R$1272,12,FALSE)+IF(ISNA(VLOOKUP($A1047,'Mutasi Neraca'!$A$3:$S$910,12,FALSE)),0,VLOOKUP($A1047,'Mutasi Neraca'!$A$3:$S$910,12,FALSE))</f>
        <v>8553336</v>
      </c>
      <c r="N1047" s="42">
        <f>VLOOKUP($A1047,'Neraca Unaudited SIMAK'!$A$2:$R$1272,13,FALSE)+IF(ISNA(VLOOKUP($A1047,'Mutasi Neraca'!$A$3:$S$910,13,FALSE)),0,VLOOKUP($A1047,'Mutasi Neraca'!$A$3:$S$910,13,FALSE))</f>
        <v>0</v>
      </c>
      <c r="O1047" s="42">
        <f>VLOOKUP($A1047,'Neraca Unaudited SIMAK'!$A$2:$R$1272,14,FALSE)+IF(ISNA(VLOOKUP($A1047,'Mutasi Neraca'!$A$3:$S$910,14,FALSE)),0,VLOOKUP($A1047,'Mutasi Neraca'!$A$3:$S$910,14,FALSE))</f>
        <v>0</v>
      </c>
      <c r="P1047" s="42">
        <f>VLOOKUP($A1047,'Neraca Unaudited SIMAK'!$A$2:$R$1272,15,FALSE)+IF(ISNA(VLOOKUP($A1047,'Mutasi Neraca'!$A$3:$S$910,15,FALSE)),0,VLOOKUP($A1047,'Mutasi Neraca'!$A$3:$S$910,15,FALSE))</f>
        <v>0</v>
      </c>
      <c r="Q1047" s="42">
        <f>VLOOKUP($A1047,'Neraca Unaudited SIMAK'!$A$2:$R$1272,16,FALSE)+IF(ISNA(VLOOKUP($A1047,'Mutasi Neraca'!$A$3:$S$910,16,FALSE)),0,VLOOKUP($A1047,'Mutasi Neraca'!$A$3:$S$910,16,FALSE))</f>
        <v>0</v>
      </c>
      <c r="R1047" s="42">
        <f>VLOOKUP($A1047,'Neraca Unaudited SIMAK'!$A$2:$R$1272,17,FALSE)+IF(ISNA(VLOOKUP($A1047,'Mutasi Neraca'!$A$3:$S$910,17,FALSE)),0,VLOOKUP($A1047,'Mutasi Neraca'!$A$3:$S$910,17,FALSE))</f>
        <v>0</v>
      </c>
      <c r="S1047" s="42">
        <f t="shared" si="75"/>
        <v>8553336</v>
      </c>
    </row>
    <row r="1048" spans="1:19">
      <c r="A1048" s="41" t="s">
        <v>2058</v>
      </c>
      <c r="B1048" s="41" t="str">
        <f t="shared" si="74"/>
        <v>005031500</v>
      </c>
      <c r="D1048" s="42">
        <f>VLOOKUP($A1048,'Neraca Unaudited SIMAK'!$A$2:$R$1272,3,FALSE)+IF(ISNA(VLOOKUP($A1048,'Mutasi Neraca'!$A$3:$S$910,3,FALSE)),0,VLOOKUP($A1048,'Mutasi Neraca'!$A$3:$S$910,3,FALSE))</f>
        <v>0</v>
      </c>
      <c r="E1048" s="42">
        <f>VLOOKUP($A1048,'Neraca Unaudited SIMAK'!$A$2:$R$1272,4,FALSE)+IF(ISNA(VLOOKUP($A1048,'Mutasi Neraca'!$A$3:$S$910,4,FALSE)),0,VLOOKUP($A1048,'Mutasi Neraca'!$A$3:$S$910,4,FALSE))</f>
        <v>0</v>
      </c>
      <c r="F1048" s="42">
        <f>VLOOKUP($A1048,'Neraca Unaudited SIMAK'!$A$2:$R$1272,5,FALSE)+IF(ISNA(VLOOKUP($A1048,'Mutasi Neraca'!$A$3:$S$910,5,FALSE)),0,VLOOKUP($A1048,'Mutasi Neraca'!$A$3:$S$910,5,FALSE))</f>
        <v>0</v>
      </c>
      <c r="G1048" s="42">
        <f>VLOOKUP($A1048,'Neraca Unaudited SIMAK'!$A$2:$R$1272,6,FALSE)+IF(ISNA(VLOOKUP($A1048,'Mutasi Neraca'!$A$3:$S$910,6,FALSE)),0,VLOOKUP($A1048,'Mutasi Neraca'!$A$3:$S$910,6,FALSE))</f>
        <v>0</v>
      </c>
      <c r="H1048" s="42">
        <f>VLOOKUP($A1048,'Neraca Unaudited SIMAK'!$A$2:$R$1272,7,FALSE)+IF(ISNA(VLOOKUP($A1048,'Mutasi Neraca'!$A$3:$S$910,7,FALSE)),0,VLOOKUP($A1048,'Mutasi Neraca'!$A$3:$S$910,7,FALSE))</f>
        <v>0</v>
      </c>
      <c r="I1048" s="42">
        <f>VLOOKUP($A1048,'Neraca Unaudited SIMAK'!$A$2:$R$1272,8,FALSE)+IF(ISNA(VLOOKUP($A1048,'Mutasi Neraca'!$A$3:$S$910,8,FALSE)),0,VLOOKUP($A1048,'Mutasi Neraca'!$A$3:$S$910,8,FALSE))</f>
        <v>0</v>
      </c>
      <c r="J1048" s="42">
        <f>VLOOKUP($A1048,'Neraca Unaudited SIMAK'!$A$2:$R$1272,9,FALSE)+IF(ISNA(VLOOKUP($A1048,'Mutasi Neraca'!$A$3:$S$910,9,FALSE)),0,VLOOKUP($A1048,'Mutasi Neraca'!$A$3:$S$910,9,FALSE))</f>
        <v>0</v>
      </c>
      <c r="K1048" s="42">
        <f>VLOOKUP($A1048,'Neraca Unaudited SIMAK'!$A$2:$R$1272,10,FALSE)+IF(ISNA(VLOOKUP($A1048,'Mutasi Neraca'!$A$3:$S$910,10,FALSE)),0,VLOOKUP($A1048,'Mutasi Neraca'!$A$3:$S$910,10,FALSE))</f>
        <v>0</v>
      </c>
      <c r="L1048" s="42">
        <f>VLOOKUP($A1048,'Neraca Unaudited SIMAK'!$A$2:$R$1272,11,FALSE)+IF(ISNA(VLOOKUP($A1048,'Mutasi Neraca'!$A$3:$S$910,11,FALSE)),0,VLOOKUP($A1048,'Mutasi Neraca'!$A$3:$S$910,11,FALSE))</f>
        <v>0</v>
      </c>
      <c r="M1048" s="42">
        <f>VLOOKUP($A1048,'Neraca Unaudited SIMAK'!$A$2:$R$1272,12,FALSE)+IF(ISNA(VLOOKUP($A1048,'Mutasi Neraca'!$A$3:$S$910,12,FALSE)),0,VLOOKUP($A1048,'Mutasi Neraca'!$A$3:$S$910,12,FALSE))</f>
        <v>0</v>
      </c>
      <c r="N1048" s="42">
        <f>VLOOKUP($A1048,'Neraca Unaudited SIMAK'!$A$2:$R$1272,13,FALSE)+IF(ISNA(VLOOKUP($A1048,'Mutasi Neraca'!$A$3:$S$910,13,FALSE)),0,VLOOKUP($A1048,'Mutasi Neraca'!$A$3:$S$910,13,FALSE))</f>
        <v>0</v>
      </c>
      <c r="O1048" s="42">
        <f>VLOOKUP($A1048,'Neraca Unaudited SIMAK'!$A$2:$R$1272,14,FALSE)+IF(ISNA(VLOOKUP($A1048,'Mutasi Neraca'!$A$3:$S$910,14,FALSE)),0,VLOOKUP($A1048,'Mutasi Neraca'!$A$3:$S$910,14,FALSE))</f>
        <v>0</v>
      </c>
      <c r="P1048" s="42">
        <f>VLOOKUP($A1048,'Neraca Unaudited SIMAK'!$A$2:$R$1272,15,FALSE)+IF(ISNA(VLOOKUP($A1048,'Mutasi Neraca'!$A$3:$S$910,15,FALSE)),0,VLOOKUP($A1048,'Mutasi Neraca'!$A$3:$S$910,15,FALSE))</f>
        <v>0</v>
      </c>
      <c r="Q1048" s="42">
        <f>VLOOKUP($A1048,'Neraca Unaudited SIMAK'!$A$2:$R$1272,16,FALSE)+IF(ISNA(VLOOKUP($A1048,'Mutasi Neraca'!$A$3:$S$910,16,FALSE)),0,VLOOKUP($A1048,'Mutasi Neraca'!$A$3:$S$910,16,FALSE))</f>
        <v>0</v>
      </c>
      <c r="R1048" s="42">
        <f>VLOOKUP($A1048,'Neraca Unaudited SIMAK'!$A$2:$R$1272,17,FALSE)+IF(ISNA(VLOOKUP($A1048,'Mutasi Neraca'!$A$3:$S$910,17,FALSE)),0,VLOOKUP($A1048,'Mutasi Neraca'!$A$3:$S$910,17,FALSE))</f>
        <v>0</v>
      </c>
      <c r="S1048" s="42">
        <f t="shared" si="75"/>
        <v>0</v>
      </c>
    </row>
    <row r="1049" spans="1:19">
      <c r="A1049" s="41" t="s">
        <v>1004</v>
      </c>
      <c r="B1049" s="41" t="str">
        <f t="shared" si="74"/>
        <v>005031500</v>
      </c>
      <c r="D1049" s="42">
        <f>VLOOKUP($A1049,'Neraca Unaudited SIMAK'!$A$2:$R$1272,3,FALSE)+IF(ISNA(VLOOKUP($A1049,'Mutasi Neraca'!$A$3:$S$910,3,FALSE)),0,VLOOKUP($A1049,'Mutasi Neraca'!$A$3:$S$910,3,FALSE))</f>
        <v>44550</v>
      </c>
      <c r="E1049" s="42">
        <f>VLOOKUP($A1049,'Neraca Unaudited SIMAK'!$A$2:$R$1272,4,FALSE)+IF(ISNA(VLOOKUP($A1049,'Mutasi Neraca'!$A$3:$S$910,4,FALSE)),0,VLOOKUP($A1049,'Mutasi Neraca'!$A$3:$S$910,4,FALSE))</f>
        <v>0</v>
      </c>
      <c r="F1049" s="42">
        <f>VLOOKUP($A1049,'Neraca Unaudited SIMAK'!$A$2:$R$1272,5,FALSE)+IF(ISNA(VLOOKUP($A1049,'Mutasi Neraca'!$A$3:$S$910,5,FALSE)),0,VLOOKUP($A1049,'Mutasi Neraca'!$A$3:$S$910,5,FALSE))</f>
        <v>0</v>
      </c>
      <c r="G1049" s="42">
        <f>VLOOKUP($A1049,'Neraca Unaudited SIMAK'!$A$2:$R$1272,6,FALSE)+IF(ISNA(VLOOKUP($A1049,'Mutasi Neraca'!$A$3:$S$910,6,FALSE)),0,VLOOKUP($A1049,'Mutasi Neraca'!$A$3:$S$910,6,FALSE))</f>
        <v>0</v>
      </c>
      <c r="H1049" s="42">
        <f>VLOOKUP($A1049,'Neraca Unaudited SIMAK'!$A$2:$R$1272,7,FALSE)+IF(ISNA(VLOOKUP($A1049,'Mutasi Neraca'!$A$3:$S$910,7,FALSE)),0,VLOOKUP($A1049,'Mutasi Neraca'!$A$3:$S$910,7,FALSE))</f>
        <v>0</v>
      </c>
      <c r="I1049" s="42">
        <f>VLOOKUP($A1049,'Neraca Unaudited SIMAK'!$A$2:$R$1272,8,FALSE)+IF(ISNA(VLOOKUP($A1049,'Mutasi Neraca'!$A$3:$S$910,8,FALSE)),0,VLOOKUP($A1049,'Mutasi Neraca'!$A$3:$S$910,8,FALSE))</f>
        <v>0</v>
      </c>
      <c r="J1049" s="42">
        <f>VLOOKUP($A1049,'Neraca Unaudited SIMAK'!$A$2:$R$1272,9,FALSE)+IF(ISNA(VLOOKUP($A1049,'Mutasi Neraca'!$A$3:$S$910,9,FALSE)),0,VLOOKUP($A1049,'Mutasi Neraca'!$A$3:$S$910,9,FALSE))</f>
        <v>0</v>
      </c>
      <c r="K1049" s="42">
        <f>VLOOKUP($A1049,'Neraca Unaudited SIMAK'!$A$2:$R$1272,10,FALSE)+IF(ISNA(VLOOKUP($A1049,'Mutasi Neraca'!$A$3:$S$910,10,FALSE)),0,VLOOKUP($A1049,'Mutasi Neraca'!$A$3:$S$910,10,FALSE))</f>
        <v>0</v>
      </c>
      <c r="L1049" s="42">
        <f>VLOOKUP($A1049,'Neraca Unaudited SIMAK'!$A$2:$R$1272,11,FALSE)+IF(ISNA(VLOOKUP($A1049,'Mutasi Neraca'!$A$3:$S$910,11,FALSE)),0,VLOOKUP($A1049,'Mutasi Neraca'!$A$3:$S$910,11,FALSE))</f>
        <v>0</v>
      </c>
      <c r="M1049" s="42">
        <f>VLOOKUP($A1049,'Neraca Unaudited SIMAK'!$A$2:$R$1272,12,FALSE)+IF(ISNA(VLOOKUP($A1049,'Mutasi Neraca'!$A$3:$S$910,12,FALSE)),0,VLOOKUP($A1049,'Mutasi Neraca'!$A$3:$S$910,12,FALSE))</f>
        <v>44550</v>
      </c>
      <c r="N1049" s="42">
        <f>VLOOKUP($A1049,'Neraca Unaudited SIMAK'!$A$2:$R$1272,13,FALSE)+IF(ISNA(VLOOKUP($A1049,'Mutasi Neraca'!$A$3:$S$910,13,FALSE)),0,VLOOKUP($A1049,'Mutasi Neraca'!$A$3:$S$910,13,FALSE))</f>
        <v>0</v>
      </c>
      <c r="O1049" s="42">
        <f>VLOOKUP($A1049,'Neraca Unaudited SIMAK'!$A$2:$R$1272,14,FALSE)+IF(ISNA(VLOOKUP($A1049,'Mutasi Neraca'!$A$3:$S$910,14,FALSE)),0,VLOOKUP($A1049,'Mutasi Neraca'!$A$3:$S$910,14,FALSE))</f>
        <v>0</v>
      </c>
      <c r="P1049" s="42">
        <f>VLOOKUP($A1049,'Neraca Unaudited SIMAK'!$A$2:$R$1272,15,FALSE)+IF(ISNA(VLOOKUP($A1049,'Mutasi Neraca'!$A$3:$S$910,15,FALSE)),0,VLOOKUP($A1049,'Mutasi Neraca'!$A$3:$S$910,15,FALSE))</f>
        <v>0</v>
      </c>
      <c r="Q1049" s="42">
        <f>VLOOKUP($A1049,'Neraca Unaudited SIMAK'!$A$2:$R$1272,16,FALSE)+IF(ISNA(VLOOKUP($A1049,'Mutasi Neraca'!$A$3:$S$910,16,FALSE)),0,VLOOKUP($A1049,'Mutasi Neraca'!$A$3:$S$910,16,FALSE))</f>
        <v>0</v>
      </c>
      <c r="R1049" s="42">
        <f>VLOOKUP($A1049,'Neraca Unaudited SIMAK'!$A$2:$R$1272,17,FALSE)+IF(ISNA(VLOOKUP($A1049,'Mutasi Neraca'!$A$3:$S$910,17,FALSE)),0,VLOOKUP($A1049,'Mutasi Neraca'!$A$3:$S$910,17,FALSE))</f>
        <v>0</v>
      </c>
      <c r="S1049" s="42">
        <f t="shared" si="75"/>
        <v>44550</v>
      </c>
    </row>
    <row r="1050" spans="1:19">
      <c r="A1050" s="41" t="s">
        <v>1005</v>
      </c>
      <c r="B1050" s="41" t="str">
        <f t="shared" si="74"/>
        <v>005031500</v>
      </c>
      <c r="D1050" s="42">
        <f>VLOOKUP($A1050,'Neraca Unaudited SIMAK'!$A$2:$R$1272,3,FALSE)+IF(ISNA(VLOOKUP($A1050,'Mutasi Neraca'!$A$3:$S$910,3,FALSE)),0,VLOOKUP($A1050,'Mutasi Neraca'!$A$3:$S$910,3,FALSE))</f>
        <v>0</v>
      </c>
      <c r="E1050" s="42">
        <f>VLOOKUP($A1050,'Neraca Unaudited SIMAK'!$A$2:$R$1272,4,FALSE)+IF(ISNA(VLOOKUP($A1050,'Mutasi Neraca'!$A$3:$S$910,4,FALSE)),0,VLOOKUP($A1050,'Mutasi Neraca'!$A$3:$S$910,4,FALSE))</f>
        <v>0</v>
      </c>
      <c r="F1050" s="42">
        <f>VLOOKUP($A1050,'Neraca Unaudited SIMAK'!$A$2:$R$1272,5,FALSE)+IF(ISNA(VLOOKUP($A1050,'Mutasi Neraca'!$A$3:$S$910,5,FALSE)),0,VLOOKUP($A1050,'Mutasi Neraca'!$A$3:$S$910,5,FALSE))</f>
        <v>0</v>
      </c>
      <c r="G1050" s="42">
        <f>VLOOKUP($A1050,'Neraca Unaudited SIMAK'!$A$2:$R$1272,6,FALSE)+IF(ISNA(VLOOKUP($A1050,'Mutasi Neraca'!$A$3:$S$910,6,FALSE)),0,VLOOKUP($A1050,'Mutasi Neraca'!$A$3:$S$910,6,FALSE))</f>
        <v>0</v>
      </c>
      <c r="H1050" s="42">
        <f>VLOOKUP($A1050,'Neraca Unaudited SIMAK'!$A$2:$R$1272,7,FALSE)+IF(ISNA(VLOOKUP($A1050,'Mutasi Neraca'!$A$3:$S$910,7,FALSE)),0,VLOOKUP($A1050,'Mutasi Neraca'!$A$3:$S$910,7,FALSE))</f>
        <v>0</v>
      </c>
      <c r="I1050" s="42">
        <f>VLOOKUP($A1050,'Neraca Unaudited SIMAK'!$A$2:$R$1272,8,FALSE)+IF(ISNA(VLOOKUP($A1050,'Mutasi Neraca'!$A$3:$S$910,8,FALSE)),0,VLOOKUP($A1050,'Mutasi Neraca'!$A$3:$S$910,8,FALSE))</f>
        <v>0</v>
      </c>
      <c r="J1050" s="42">
        <f>VLOOKUP($A1050,'Neraca Unaudited SIMAK'!$A$2:$R$1272,9,FALSE)+IF(ISNA(VLOOKUP($A1050,'Mutasi Neraca'!$A$3:$S$910,9,FALSE)),0,VLOOKUP($A1050,'Mutasi Neraca'!$A$3:$S$910,9,FALSE))</f>
        <v>0</v>
      </c>
      <c r="K1050" s="42">
        <f>VLOOKUP($A1050,'Neraca Unaudited SIMAK'!$A$2:$R$1272,10,FALSE)+IF(ISNA(VLOOKUP($A1050,'Mutasi Neraca'!$A$3:$S$910,10,FALSE)),0,VLOOKUP($A1050,'Mutasi Neraca'!$A$3:$S$910,10,FALSE))</f>
        <v>0</v>
      </c>
      <c r="L1050" s="42">
        <f>VLOOKUP($A1050,'Neraca Unaudited SIMAK'!$A$2:$R$1272,11,FALSE)+IF(ISNA(VLOOKUP($A1050,'Mutasi Neraca'!$A$3:$S$910,11,FALSE)),0,VLOOKUP($A1050,'Mutasi Neraca'!$A$3:$S$910,11,FALSE))</f>
        <v>0</v>
      </c>
      <c r="M1050" s="42">
        <f>VLOOKUP($A1050,'Neraca Unaudited SIMAK'!$A$2:$R$1272,12,FALSE)+IF(ISNA(VLOOKUP($A1050,'Mutasi Neraca'!$A$3:$S$910,12,FALSE)),0,VLOOKUP($A1050,'Mutasi Neraca'!$A$3:$S$910,12,FALSE))</f>
        <v>0</v>
      </c>
      <c r="N1050" s="42">
        <f>VLOOKUP($A1050,'Neraca Unaudited SIMAK'!$A$2:$R$1272,13,FALSE)+IF(ISNA(VLOOKUP($A1050,'Mutasi Neraca'!$A$3:$S$910,13,FALSE)),0,VLOOKUP($A1050,'Mutasi Neraca'!$A$3:$S$910,13,FALSE))</f>
        <v>0</v>
      </c>
      <c r="O1050" s="42">
        <f>VLOOKUP($A1050,'Neraca Unaudited SIMAK'!$A$2:$R$1272,14,FALSE)+IF(ISNA(VLOOKUP($A1050,'Mutasi Neraca'!$A$3:$S$910,14,FALSE)),0,VLOOKUP($A1050,'Mutasi Neraca'!$A$3:$S$910,14,FALSE))</f>
        <v>0</v>
      </c>
      <c r="P1050" s="42">
        <f>VLOOKUP($A1050,'Neraca Unaudited SIMAK'!$A$2:$R$1272,15,FALSE)+IF(ISNA(VLOOKUP($A1050,'Mutasi Neraca'!$A$3:$S$910,15,FALSE)),0,VLOOKUP($A1050,'Mutasi Neraca'!$A$3:$S$910,15,FALSE))</f>
        <v>0</v>
      </c>
      <c r="Q1050" s="42">
        <f>VLOOKUP($A1050,'Neraca Unaudited SIMAK'!$A$2:$R$1272,16,FALSE)+IF(ISNA(VLOOKUP($A1050,'Mutasi Neraca'!$A$3:$S$910,16,FALSE)),0,VLOOKUP($A1050,'Mutasi Neraca'!$A$3:$S$910,16,FALSE))</f>
        <v>0</v>
      </c>
      <c r="R1050" s="42">
        <f>VLOOKUP($A1050,'Neraca Unaudited SIMAK'!$A$2:$R$1272,17,FALSE)+IF(ISNA(VLOOKUP($A1050,'Mutasi Neraca'!$A$3:$S$910,17,FALSE)),0,VLOOKUP($A1050,'Mutasi Neraca'!$A$3:$S$910,17,FALSE))</f>
        <v>0</v>
      </c>
      <c r="S1050" s="42">
        <f t="shared" si="75"/>
        <v>0</v>
      </c>
    </row>
    <row r="1051" spans="1:19">
      <c r="A1051" s="41" t="s">
        <v>1006</v>
      </c>
      <c r="B1051" s="41" t="str">
        <f t="shared" si="74"/>
        <v>005031500</v>
      </c>
      <c r="D1051" s="42">
        <f>VLOOKUP($A1051,'Neraca Unaudited SIMAK'!$A$2:$R$1272,3,FALSE)+IF(ISNA(VLOOKUP($A1051,'Mutasi Neraca'!$A$3:$S$910,3,FALSE)),0,VLOOKUP($A1051,'Mutasi Neraca'!$A$3:$S$910,3,FALSE))</f>
        <v>270000</v>
      </c>
      <c r="E1051" s="42">
        <f>VLOOKUP($A1051,'Neraca Unaudited SIMAK'!$A$2:$R$1272,4,FALSE)+IF(ISNA(VLOOKUP($A1051,'Mutasi Neraca'!$A$3:$S$910,4,FALSE)),0,VLOOKUP($A1051,'Mutasi Neraca'!$A$3:$S$910,4,FALSE))</f>
        <v>0</v>
      </c>
      <c r="F1051" s="42">
        <f>VLOOKUP($A1051,'Neraca Unaudited SIMAK'!$A$2:$R$1272,5,FALSE)+IF(ISNA(VLOOKUP($A1051,'Mutasi Neraca'!$A$3:$S$910,5,FALSE)),0,VLOOKUP($A1051,'Mutasi Neraca'!$A$3:$S$910,5,FALSE))</f>
        <v>0</v>
      </c>
      <c r="G1051" s="42">
        <f>VLOOKUP($A1051,'Neraca Unaudited SIMAK'!$A$2:$R$1272,6,FALSE)+IF(ISNA(VLOOKUP($A1051,'Mutasi Neraca'!$A$3:$S$910,6,FALSE)),0,VLOOKUP($A1051,'Mutasi Neraca'!$A$3:$S$910,6,FALSE))</f>
        <v>0</v>
      </c>
      <c r="H1051" s="42">
        <f>VLOOKUP($A1051,'Neraca Unaudited SIMAK'!$A$2:$R$1272,7,FALSE)+IF(ISNA(VLOOKUP($A1051,'Mutasi Neraca'!$A$3:$S$910,7,FALSE)),0,VLOOKUP($A1051,'Mutasi Neraca'!$A$3:$S$910,7,FALSE))</f>
        <v>0</v>
      </c>
      <c r="I1051" s="42">
        <f>VLOOKUP($A1051,'Neraca Unaudited SIMAK'!$A$2:$R$1272,8,FALSE)+IF(ISNA(VLOOKUP($A1051,'Mutasi Neraca'!$A$3:$S$910,8,FALSE)),0,VLOOKUP($A1051,'Mutasi Neraca'!$A$3:$S$910,8,FALSE))</f>
        <v>0</v>
      </c>
      <c r="J1051" s="42">
        <f>VLOOKUP($A1051,'Neraca Unaudited SIMAK'!$A$2:$R$1272,9,FALSE)+IF(ISNA(VLOOKUP($A1051,'Mutasi Neraca'!$A$3:$S$910,9,FALSE)),0,VLOOKUP($A1051,'Mutasi Neraca'!$A$3:$S$910,9,FALSE))</f>
        <v>0</v>
      </c>
      <c r="K1051" s="42">
        <f>VLOOKUP($A1051,'Neraca Unaudited SIMAK'!$A$2:$R$1272,10,FALSE)+IF(ISNA(VLOOKUP($A1051,'Mutasi Neraca'!$A$3:$S$910,10,FALSE)),0,VLOOKUP($A1051,'Mutasi Neraca'!$A$3:$S$910,10,FALSE))</f>
        <v>0</v>
      </c>
      <c r="L1051" s="42">
        <f>VLOOKUP($A1051,'Neraca Unaudited SIMAK'!$A$2:$R$1272,11,FALSE)+IF(ISNA(VLOOKUP($A1051,'Mutasi Neraca'!$A$3:$S$910,11,FALSE)),0,VLOOKUP($A1051,'Mutasi Neraca'!$A$3:$S$910,11,FALSE))</f>
        <v>0</v>
      </c>
      <c r="M1051" s="42">
        <f>VLOOKUP($A1051,'Neraca Unaudited SIMAK'!$A$2:$R$1272,12,FALSE)+IF(ISNA(VLOOKUP($A1051,'Mutasi Neraca'!$A$3:$S$910,12,FALSE)),0,VLOOKUP($A1051,'Mutasi Neraca'!$A$3:$S$910,12,FALSE))</f>
        <v>270000</v>
      </c>
      <c r="N1051" s="42">
        <f>VLOOKUP($A1051,'Neraca Unaudited SIMAK'!$A$2:$R$1272,13,FALSE)+IF(ISNA(VLOOKUP($A1051,'Mutasi Neraca'!$A$3:$S$910,13,FALSE)),0,VLOOKUP($A1051,'Mutasi Neraca'!$A$3:$S$910,13,FALSE))</f>
        <v>0</v>
      </c>
      <c r="O1051" s="42">
        <f>VLOOKUP($A1051,'Neraca Unaudited SIMAK'!$A$2:$R$1272,14,FALSE)+IF(ISNA(VLOOKUP($A1051,'Mutasi Neraca'!$A$3:$S$910,14,FALSE)),0,VLOOKUP($A1051,'Mutasi Neraca'!$A$3:$S$910,14,FALSE))</f>
        <v>0</v>
      </c>
      <c r="P1051" s="42">
        <f>VLOOKUP($A1051,'Neraca Unaudited SIMAK'!$A$2:$R$1272,15,FALSE)+IF(ISNA(VLOOKUP($A1051,'Mutasi Neraca'!$A$3:$S$910,15,FALSE)),0,VLOOKUP($A1051,'Mutasi Neraca'!$A$3:$S$910,15,FALSE))</f>
        <v>0</v>
      </c>
      <c r="Q1051" s="42">
        <f>VLOOKUP($A1051,'Neraca Unaudited SIMAK'!$A$2:$R$1272,16,FALSE)+IF(ISNA(VLOOKUP($A1051,'Mutasi Neraca'!$A$3:$S$910,16,FALSE)),0,VLOOKUP($A1051,'Mutasi Neraca'!$A$3:$S$910,16,FALSE))</f>
        <v>0</v>
      </c>
      <c r="R1051" s="42">
        <f>VLOOKUP($A1051,'Neraca Unaudited SIMAK'!$A$2:$R$1272,17,FALSE)+IF(ISNA(VLOOKUP($A1051,'Mutasi Neraca'!$A$3:$S$910,17,FALSE)),0,VLOOKUP($A1051,'Mutasi Neraca'!$A$3:$S$910,17,FALSE))</f>
        <v>0</v>
      </c>
      <c r="S1051" s="42">
        <f t="shared" si="75"/>
        <v>270000</v>
      </c>
    </row>
    <row r="1052" spans="1:19">
      <c r="A1052" s="41" t="s">
        <v>2267</v>
      </c>
      <c r="B1052" s="41" t="str">
        <f t="shared" si="74"/>
        <v>005031500</v>
      </c>
      <c r="D1052" s="42">
        <f>VLOOKUP($A1052,'Neraca Unaudited SIMAK'!$A$2:$R$1272,3,FALSE)+IF(ISNA(VLOOKUP($A1052,'Mutasi Neraca'!$A$3:$S$910,3,FALSE)),0,VLOOKUP($A1052,'Mutasi Neraca'!$A$3:$S$910,3,FALSE))</f>
        <v>0</v>
      </c>
      <c r="E1052" s="42">
        <f>VLOOKUP($A1052,'Neraca Unaudited SIMAK'!$A$2:$R$1272,4,FALSE)+IF(ISNA(VLOOKUP($A1052,'Mutasi Neraca'!$A$3:$S$910,4,FALSE)),0,VLOOKUP($A1052,'Mutasi Neraca'!$A$3:$S$910,4,FALSE))</f>
        <v>0</v>
      </c>
      <c r="F1052" s="42">
        <f>VLOOKUP($A1052,'Neraca Unaudited SIMAK'!$A$2:$R$1272,5,FALSE)+IF(ISNA(VLOOKUP($A1052,'Mutasi Neraca'!$A$3:$S$910,5,FALSE)),0,VLOOKUP($A1052,'Mutasi Neraca'!$A$3:$S$910,5,FALSE))</f>
        <v>0</v>
      </c>
      <c r="G1052" s="42">
        <f>VLOOKUP($A1052,'Neraca Unaudited SIMAK'!$A$2:$R$1272,6,FALSE)+IF(ISNA(VLOOKUP($A1052,'Mutasi Neraca'!$A$3:$S$910,6,FALSE)),0,VLOOKUP($A1052,'Mutasi Neraca'!$A$3:$S$910,6,FALSE))</f>
        <v>0</v>
      </c>
      <c r="H1052" s="42">
        <f>VLOOKUP($A1052,'Neraca Unaudited SIMAK'!$A$2:$R$1272,7,FALSE)+IF(ISNA(VLOOKUP($A1052,'Mutasi Neraca'!$A$3:$S$910,7,FALSE)),0,VLOOKUP($A1052,'Mutasi Neraca'!$A$3:$S$910,7,FALSE))</f>
        <v>0</v>
      </c>
      <c r="I1052" s="42">
        <f>VLOOKUP($A1052,'Neraca Unaudited SIMAK'!$A$2:$R$1272,8,FALSE)+IF(ISNA(VLOOKUP($A1052,'Mutasi Neraca'!$A$3:$S$910,8,FALSE)),0,VLOOKUP($A1052,'Mutasi Neraca'!$A$3:$S$910,8,FALSE))</f>
        <v>0</v>
      </c>
      <c r="J1052" s="42">
        <f>VLOOKUP($A1052,'Neraca Unaudited SIMAK'!$A$2:$R$1272,9,FALSE)+IF(ISNA(VLOOKUP($A1052,'Mutasi Neraca'!$A$3:$S$910,9,FALSE)),0,VLOOKUP($A1052,'Mutasi Neraca'!$A$3:$S$910,9,FALSE))</f>
        <v>0</v>
      </c>
      <c r="K1052" s="42">
        <f>VLOOKUP($A1052,'Neraca Unaudited SIMAK'!$A$2:$R$1272,10,FALSE)+IF(ISNA(VLOOKUP($A1052,'Mutasi Neraca'!$A$3:$S$910,10,FALSE)),0,VLOOKUP($A1052,'Mutasi Neraca'!$A$3:$S$910,10,FALSE))</f>
        <v>0</v>
      </c>
      <c r="L1052" s="42">
        <f>VLOOKUP($A1052,'Neraca Unaudited SIMAK'!$A$2:$R$1272,11,FALSE)+IF(ISNA(VLOOKUP($A1052,'Mutasi Neraca'!$A$3:$S$910,11,FALSE)),0,VLOOKUP($A1052,'Mutasi Neraca'!$A$3:$S$910,11,FALSE))</f>
        <v>0</v>
      </c>
      <c r="M1052" s="42">
        <f>VLOOKUP($A1052,'Neraca Unaudited SIMAK'!$A$2:$R$1272,12,FALSE)+IF(ISNA(VLOOKUP($A1052,'Mutasi Neraca'!$A$3:$S$910,12,FALSE)),0,VLOOKUP($A1052,'Mutasi Neraca'!$A$3:$S$910,12,FALSE))</f>
        <v>0</v>
      </c>
      <c r="N1052" s="42">
        <f>VLOOKUP($A1052,'Neraca Unaudited SIMAK'!$A$2:$R$1272,13,FALSE)+IF(ISNA(VLOOKUP($A1052,'Mutasi Neraca'!$A$3:$S$910,13,FALSE)),0,VLOOKUP($A1052,'Mutasi Neraca'!$A$3:$S$910,13,FALSE))</f>
        <v>0</v>
      </c>
      <c r="O1052" s="42">
        <f>VLOOKUP($A1052,'Neraca Unaudited SIMAK'!$A$2:$R$1272,14,FALSE)+IF(ISNA(VLOOKUP($A1052,'Mutasi Neraca'!$A$3:$S$910,14,FALSE)),0,VLOOKUP($A1052,'Mutasi Neraca'!$A$3:$S$910,14,FALSE))</f>
        <v>0</v>
      </c>
      <c r="P1052" s="42">
        <f>VLOOKUP($A1052,'Neraca Unaudited SIMAK'!$A$2:$R$1272,15,FALSE)+IF(ISNA(VLOOKUP($A1052,'Mutasi Neraca'!$A$3:$S$910,15,FALSE)),0,VLOOKUP($A1052,'Mutasi Neraca'!$A$3:$S$910,15,FALSE))</f>
        <v>0</v>
      </c>
      <c r="Q1052" s="42">
        <f>VLOOKUP($A1052,'Neraca Unaudited SIMAK'!$A$2:$R$1272,16,FALSE)+IF(ISNA(VLOOKUP($A1052,'Mutasi Neraca'!$A$3:$S$910,16,FALSE)),0,VLOOKUP($A1052,'Mutasi Neraca'!$A$3:$S$910,16,FALSE))</f>
        <v>0</v>
      </c>
      <c r="R1052" s="42">
        <f>VLOOKUP($A1052,'Neraca Unaudited SIMAK'!$A$2:$R$1272,17,FALSE)+IF(ISNA(VLOOKUP($A1052,'Mutasi Neraca'!$A$3:$S$910,17,FALSE)),0,VLOOKUP($A1052,'Mutasi Neraca'!$A$3:$S$910,17,FALSE))</f>
        <v>0</v>
      </c>
      <c r="S1052" s="42">
        <f t="shared" si="75"/>
        <v>0</v>
      </c>
    </row>
    <row r="1053" spans="1:19">
      <c r="A1053" s="41" t="s">
        <v>1007</v>
      </c>
      <c r="B1053" s="41" t="str">
        <f t="shared" si="74"/>
        <v>005031500</v>
      </c>
      <c r="D1053" s="42">
        <f>VLOOKUP($A1053,'Neraca Unaudited SIMAK'!$A$2:$R$1272,3,FALSE)+IF(ISNA(VLOOKUP($A1053,'Mutasi Neraca'!$A$3:$S$910,3,FALSE)),0,VLOOKUP($A1053,'Mutasi Neraca'!$A$3:$S$910,3,FALSE))</f>
        <v>0</v>
      </c>
      <c r="E1053" s="42">
        <f>VLOOKUP($A1053,'Neraca Unaudited SIMAK'!$A$2:$R$1272,4,FALSE)+IF(ISNA(VLOOKUP($A1053,'Mutasi Neraca'!$A$3:$S$910,4,FALSE)),0,VLOOKUP($A1053,'Mutasi Neraca'!$A$3:$S$910,4,FALSE))</f>
        <v>0</v>
      </c>
      <c r="F1053" s="42">
        <f>VLOOKUP($A1053,'Neraca Unaudited SIMAK'!$A$2:$R$1272,5,FALSE)+IF(ISNA(VLOOKUP($A1053,'Mutasi Neraca'!$A$3:$S$910,5,FALSE)),0,VLOOKUP($A1053,'Mutasi Neraca'!$A$3:$S$910,5,FALSE))</f>
        <v>0</v>
      </c>
      <c r="G1053" s="42">
        <f>VLOOKUP($A1053,'Neraca Unaudited SIMAK'!$A$2:$R$1272,6,FALSE)+IF(ISNA(VLOOKUP($A1053,'Mutasi Neraca'!$A$3:$S$910,6,FALSE)),0,VLOOKUP($A1053,'Mutasi Neraca'!$A$3:$S$910,6,FALSE))</f>
        <v>0</v>
      </c>
      <c r="H1053" s="42">
        <f>VLOOKUP($A1053,'Neraca Unaudited SIMAK'!$A$2:$R$1272,7,FALSE)+IF(ISNA(VLOOKUP($A1053,'Mutasi Neraca'!$A$3:$S$910,7,FALSE)),0,VLOOKUP($A1053,'Mutasi Neraca'!$A$3:$S$910,7,FALSE))</f>
        <v>0</v>
      </c>
      <c r="I1053" s="42">
        <f>VLOOKUP($A1053,'Neraca Unaudited SIMAK'!$A$2:$R$1272,8,FALSE)+IF(ISNA(VLOOKUP($A1053,'Mutasi Neraca'!$A$3:$S$910,8,FALSE)),0,VLOOKUP($A1053,'Mutasi Neraca'!$A$3:$S$910,8,FALSE))</f>
        <v>0</v>
      </c>
      <c r="J1053" s="42">
        <f>VLOOKUP($A1053,'Neraca Unaudited SIMAK'!$A$2:$R$1272,9,FALSE)+IF(ISNA(VLOOKUP($A1053,'Mutasi Neraca'!$A$3:$S$910,9,FALSE)),0,VLOOKUP($A1053,'Mutasi Neraca'!$A$3:$S$910,9,FALSE))</f>
        <v>0</v>
      </c>
      <c r="K1053" s="42">
        <f>VLOOKUP($A1053,'Neraca Unaudited SIMAK'!$A$2:$R$1272,10,FALSE)+IF(ISNA(VLOOKUP($A1053,'Mutasi Neraca'!$A$3:$S$910,10,FALSE)),0,VLOOKUP($A1053,'Mutasi Neraca'!$A$3:$S$910,10,FALSE))</f>
        <v>0</v>
      </c>
      <c r="L1053" s="42">
        <f>VLOOKUP($A1053,'Neraca Unaudited SIMAK'!$A$2:$R$1272,11,FALSE)+IF(ISNA(VLOOKUP($A1053,'Mutasi Neraca'!$A$3:$S$910,11,FALSE)),0,VLOOKUP($A1053,'Mutasi Neraca'!$A$3:$S$910,11,FALSE))</f>
        <v>0</v>
      </c>
      <c r="M1053" s="42">
        <f>VLOOKUP($A1053,'Neraca Unaudited SIMAK'!$A$2:$R$1272,12,FALSE)+IF(ISNA(VLOOKUP($A1053,'Mutasi Neraca'!$A$3:$S$910,12,FALSE)),0,VLOOKUP($A1053,'Mutasi Neraca'!$A$3:$S$910,12,FALSE))</f>
        <v>0</v>
      </c>
      <c r="N1053" s="42">
        <f>VLOOKUP($A1053,'Neraca Unaudited SIMAK'!$A$2:$R$1272,13,FALSE)+IF(ISNA(VLOOKUP($A1053,'Mutasi Neraca'!$A$3:$S$910,13,FALSE)),0,VLOOKUP($A1053,'Mutasi Neraca'!$A$3:$S$910,13,FALSE))</f>
        <v>0</v>
      </c>
      <c r="O1053" s="42">
        <f>VLOOKUP($A1053,'Neraca Unaudited SIMAK'!$A$2:$R$1272,14,FALSE)+IF(ISNA(VLOOKUP($A1053,'Mutasi Neraca'!$A$3:$S$910,14,FALSE)),0,VLOOKUP($A1053,'Mutasi Neraca'!$A$3:$S$910,14,FALSE))</f>
        <v>0</v>
      </c>
      <c r="P1053" s="42">
        <f>VLOOKUP($A1053,'Neraca Unaudited SIMAK'!$A$2:$R$1272,15,FALSE)+IF(ISNA(VLOOKUP($A1053,'Mutasi Neraca'!$A$3:$S$910,15,FALSE)),0,VLOOKUP($A1053,'Mutasi Neraca'!$A$3:$S$910,15,FALSE))</f>
        <v>0</v>
      </c>
      <c r="Q1053" s="42">
        <f>VLOOKUP($A1053,'Neraca Unaudited SIMAK'!$A$2:$R$1272,16,FALSE)+IF(ISNA(VLOOKUP($A1053,'Mutasi Neraca'!$A$3:$S$910,16,FALSE)),0,VLOOKUP($A1053,'Mutasi Neraca'!$A$3:$S$910,16,FALSE))</f>
        <v>0</v>
      </c>
      <c r="R1053" s="42">
        <f>VLOOKUP($A1053,'Neraca Unaudited SIMAK'!$A$2:$R$1272,17,FALSE)+IF(ISNA(VLOOKUP($A1053,'Mutasi Neraca'!$A$3:$S$910,17,FALSE)),0,VLOOKUP($A1053,'Mutasi Neraca'!$A$3:$S$910,17,FALSE))</f>
        <v>0</v>
      </c>
      <c r="S1053" s="42">
        <f t="shared" si="75"/>
        <v>0</v>
      </c>
    </row>
    <row r="1054" spans="1:19">
      <c r="A1054" s="41" t="s">
        <v>2268</v>
      </c>
      <c r="B1054" s="41" t="str">
        <f t="shared" si="74"/>
        <v>005031500</v>
      </c>
      <c r="D1054" s="42">
        <f>VLOOKUP($A1054,'Neraca Unaudited SIMAK'!$A$2:$R$1272,3,FALSE)+IF(ISNA(VLOOKUP($A1054,'Mutasi Neraca'!$A$3:$S$910,3,FALSE)),0,VLOOKUP($A1054,'Mutasi Neraca'!$A$3:$S$910,3,FALSE))</f>
        <v>0</v>
      </c>
      <c r="E1054" s="42">
        <f>VLOOKUP($A1054,'Neraca Unaudited SIMAK'!$A$2:$R$1272,4,FALSE)+IF(ISNA(VLOOKUP($A1054,'Mutasi Neraca'!$A$3:$S$910,4,FALSE)),0,VLOOKUP($A1054,'Mutasi Neraca'!$A$3:$S$910,4,FALSE))</f>
        <v>0</v>
      </c>
      <c r="F1054" s="42">
        <f>VLOOKUP($A1054,'Neraca Unaudited SIMAK'!$A$2:$R$1272,5,FALSE)+IF(ISNA(VLOOKUP($A1054,'Mutasi Neraca'!$A$3:$S$910,5,FALSE)),0,VLOOKUP($A1054,'Mutasi Neraca'!$A$3:$S$910,5,FALSE))</f>
        <v>0</v>
      </c>
      <c r="G1054" s="42">
        <f>VLOOKUP($A1054,'Neraca Unaudited SIMAK'!$A$2:$R$1272,6,FALSE)+IF(ISNA(VLOOKUP($A1054,'Mutasi Neraca'!$A$3:$S$910,6,FALSE)),0,VLOOKUP($A1054,'Mutasi Neraca'!$A$3:$S$910,6,FALSE))</f>
        <v>0</v>
      </c>
      <c r="H1054" s="42">
        <f>VLOOKUP($A1054,'Neraca Unaudited SIMAK'!$A$2:$R$1272,7,FALSE)+IF(ISNA(VLOOKUP($A1054,'Mutasi Neraca'!$A$3:$S$910,7,FALSE)),0,VLOOKUP($A1054,'Mutasi Neraca'!$A$3:$S$910,7,FALSE))</f>
        <v>0</v>
      </c>
      <c r="I1054" s="42">
        <f>VLOOKUP($A1054,'Neraca Unaudited SIMAK'!$A$2:$R$1272,8,FALSE)+IF(ISNA(VLOOKUP($A1054,'Mutasi Neraca'!$A$3:$S$910,8,FALSE)),0,VLOOKUP($A1054,'Mutasi Neraca'!$A$3:$S$910,8,FALSE))</f>
        <v>0</v>
      </c>
      <c r="J1054" s="42">
        <f>VLOOKUP($A1054,'Neraca Unaudited SIMAK'!$A$2:$R$1272,9,FALSE)+IF(ISNA(VLOOKUP($A1054,'Mutasi Neraca'!$A$3:$S$910,9,FALSE)),0,VLOOKUP($A1054,'Mutasi Neraca'!$A$3:$S$910,9,FALSE))</f>
        <v>0</v>
      </c>
      <c r="K1054" s="42">
        <f>VLOOKUP($A1054,'Neraca Unaudited SIMAK'!$A$2:$R$1272,10,FALSE)+IF(ISNA(VLOOKUP($A1054,'Mutasi Neraca'!$A$3:$S$910,10,FALSE)),0,VLOOKUP($A1054,'Mutasi Neraca'!$A$3:$S$910,10,FALSE))</f>
        <v>0</v>
      </c>
      <c r="L1054" s="42">
        <f>VLOOKUP($A1054,'Neraca Unaudited SIMAK'!$A$2:$R$1272,11,FALSE)+IF(ISNA(VLOOKUP($A1054,'Mutasi Neraca'!$A$3:$S$910,11,FALSE)),0,VLOOKUP($A1054,'Mutasi Neraca'!$A$3:$S$910,11,FALSE))</f>
        <v>0</v>
      </c>
      <c r="M1054" s="42">
        <f>VLOOKUP($A1054,'Neraca Unaudited SIMAK'!$A$2:$R$1272,12,FALSE)+IF(ISNA(VLOOKUP($A1054,'Mutasi Neraca'!$A$3:$S$910,12,FALSE)),0,VLOOKUP($A1054,'Mutasi Neraca'!$A$3:$S$910,12,FALSE))</f>
        <v>0</v>
      </c>
      <c r="N1054" s="42">
        <f>VLOOKUP($A1054,'Neraca Unaudited SIMAK'!$A$2:$R$1272,13,FALSE)+IF(ISNA(VLOOKUP($A1054,'Mutasi Neraca'!$A$3:$S$910,13,FALSE)),0,VLOOKUP($A1054,'Mutasi Neraca'!$A$3:$S$910,13,FALSE))</f>
        <v>0</v>
      </c>
      <c r="O1054" s="42">
        <f>VLOOKUP($A1054,'Neraca Unaudited SIMAK'!$A$2:$R$1272,14,FALSE)+IF(ISNA(VLOOKUP($A1054,'Mutasi Neraca'!$A$3:$S$910,14,FALSE)),0,VLOOKUP($A1054,'Mutasi Neraca'!$A$3:$S$910,14,FALSE))</f>
        <v>0</v>
      </c>
      <c r="P1054" s="42">
        <f>VLOOKUP($A1054,'Neraca Unaudited SIMAK'!$A$2:$R$1272,15,FALSE)+IF(ISNA(VLOOKUP($A1054,'Mutasi Neraca'!$A$3:$S$910,15,FALSE)),0,VLOOKUP($A1054,'Mutasi Neraca'!$A$3:$S$910,15,FALSE))</f>
        <v>0</v>
      </c>
      <c r="Q1054" s="42">
        <f>VLOOKUP($A1054,'Neraca Unaudited SIMAK'!$A$2:$R$1272,16,FALSE)+IF(ISNA(VLOOKUP($A1054,'Mutasi Neraca'!$A$3:$S$910,16,FALSE)),0,VLOOKUP($A1054,'Mutasi Neraca'!$A$3:$S$910,16,FALSE))</f>
        <v>0</v>
      </c>
      <c r="R1054" s="42">
        <f>VLOOKUP($A1054,'Neraca Unaudited SIMAK'!$A$2:$R$1272,17,FALSE)+IF(ISNA(VLOOKUP($A1054,'Mutasi Neraca'!$A$3:$S$910,17,FALSE)),0,VLOOKUP($A1054,'Mutasi Neraca'!$A$3:$S$910,17,FALSE))</f>
        <v>0</v>
      </c>
      <c r="S1054" s="42">
        <f t="shared" si="75"/>
        <v>0</v>
      </c>
    </row>
    <row r="1055" spans="1:19">
      <c r="A1055" s="41" t="s">
        <v>2059</v>
      </c>
      <c r="B1055" s="41" t="str">
        <f t="shared" si="74"/>
        <v>005031600</v>
      </c>
      <c r="D1055" s="42">
        <f>VLOOKUP($A1055,'Neraca Unaudited SIMAK'!$A$2:$R$1272,3,FALSE)+IF(ISNA(VLOOKUP($A1055,'Mutasi Neraca'!$A$3:$S$910,3,FALSE)),0,VLOOKUP($A1055,'Mutasi Neraca'!$A$3:$S$910,3,FALSE))</f>
        <v>3894000</v>
      </c>
      <c r="E1055" s="42">
        <f>VLOOKUP($A1055,'Neraca Unaudited SIMAK'!$A$2:$R$1272,4,FALSE)+IF(ISNA(VLOOKUP($A1055,'Mutasi Neraca'!$A$3:$S$910,4,FALSE)),0,VLOOKUP($A1055,'Mutasi Neraca'!$A$3:$S$910,4,FALSE))</f>
        <v>0</v>
      </c>
      <c r="F1055" s="42">
        <f>VLOOKUP($A1055,'Neraca Unaudited SIMAK'!$A$2:$R$1272,5,FALSE)+IF(ISNA(VLOOKUP($A1055,'Mutasi Neraca'!$A$3:$S$910,5,FALSE)),0,VLOOKUP($A1055,'Mutasi Neraca'!$A$3:$S$910,5,FALSE))</f>
        <v>0</v>
      </c>
      <c r="G1055" s="42">
        <f>VLOOKUP($A1055,'Neraca Unaudited SIMAK'!$A$2:$R$1272,6,FALSE)+IF(ISNA(VLOOKUP($A1055,'Mutasi Neraca'!$A$3:$S$910,6,FALSE)),0,VLOOKUP($A1055,'Mutasi Neraca'!$A$3:$S$910,6,FALSE))</f>
        <v>0</v>
      </c>
      <c r="H1055" s="42">
        <f>VLOOKUP($A1055,'Neraca Unaudited SIMAK'!$A$2:$R$1272,7,FALSE)+IF(ISNA(VLOOKUP($A1055,'Mutasi Neraca'!$A$3:$S$910,7,FALSE)),0,VLOOKUP($A1055,'Mutasi Neraca'!$A$3:$S$910,7,FALSE))</f>
        <v>0</v>
      </c>
      <c r="I1055" s="42">
        <f>VLOOKUP($A1055,'Neraca Unaudited SIMAK'!$A$2:$R$1272,8,FALSE)+IF(ISNA(VLOOKUP($A1055,'Mutasi Neraca'!$A$3:$S$910,8,FALSE)),0,VLOOKUP($A1055,'Mutasi Neraca'!$A$3:$S$910,8,FALSE))</f>
        <v>0</v>
      </c>
      <c r="J1055" s="42">
        <f>VLOOKUP($A1055,'Neraca Unaudited SIMAK'!$A$2:$R$1272,9,FALSE)+IF(ISNA(VLOOKUP($A1055,'Mutasi Neraca'!$A$3:$S$910,9,FALSE)),0,VLOOKUP($A1055,'Mutasi Neraca'!$A$3:$S$910,9,FALSE))</f>
        <v>0</v>
      </c>
      <c r="K1055" s="42">
        <f>VLOOKUP($A1055,'Neraca Unaudited SIMAK'!$A$2:$R$1272,10,FALSE)+IF(ISNA(VLOOKUP($A1055,'Mutasi Neraca'!$A$3:$S$910,10,FALSE)),0,VLOOKUP($A1055,'Mutasi Neraca'!$A$3:$S$910,10,FALSE))</f>
        <v>0</v>
      </c>
      <c r="L1055" s="42">
        <f>VLOOKUP($A1055,'Neraca Unaudited SIMAK'!$A$2:$R$1272,11,FALSE)+IF(ISNA(VLOOKUP($A1055,'Mutasi Neraca'!$A$3:$S$910,11,FALSE)),0,VLOOKUP($A1055,'Mutasi Neraca'!$A$3:$S$910,11,FALSE))</f>
        <v>0</v>
      </c>
      <c r="M1055" s="42">
        <f>VLOOKUP($A1055,'Neraca Unaudited SIMAK'!$A$2:$R$1272,12,FALSE)+IF(ISNA(VLOOKUP($A1055,'Mutasi Neraca'!$A$3:$S$910,12,FALSE)),0,VLOOKUP($A1055,'Mutasi Neraca'!$A$3:$S$910,12,FALSE))</f>
        <v>3894000</v>
      </c>
      <c r="N1055" s="42">
        <f>VLOOKUP($A1055,'Neraca Unaudited SIMAK'!$A$2:$R$1272,13,FALSE)+IF(ISNA(VLOOKUP($A1055,'Mutasi Neraca'!$A$3:$S$910,13,FALSE)),0,VLOOKUP($A1055,'Mutasi Neraca'!$A$3:$S$910,13,FALSE))</f>
        <v>0</v>
      </c>
      <c r="O1055" s="42">
        <f>VLOOKUP($A1055,'Neraca Unaudited SIMAK'!$A$2:$R$1272,14,FALSE)+IF(ISNA(VLOOKUP($A1055,'Mutasi Neraca'!$A$3:$S$910,14,FALSE)),0,VLOOKUP($A1055,'Mutasi Neraca'!$A$3:$S$910,14,FALSE))</f>
        <v>0</v>
      </c>
      <c r="P1055" s="42">
        <f>VLOOKUP($A1055,'Neraca Unaudited SIMAK'!$A$2:$R$1272,15,FALSE)+IF(ISNA(VLOOKUP($A1055,'Mutasi Neraca'!$A$3:$S$910,15,FALSE)),0,VLOOKUP($A1055,'Mutasi Neraca'!$A$3:$S$910,15,FALSE))</f>
        <v>0</v>
      </c>
      <c r="Q1055" s="42">
        <f>VLOOKUP($A1055,'Neraca Unaudited SIMAK'!$A$2:$R$1272,16,FALSE)+IF(ISNA(VLOOKUP($A1055,'Mutasi Neraca'!$A$3:$S$910,16,FALSE)),0,VLOOKUP($A1055,'Mutasi Neraca'!$A$3:$S$910,16,FALSE))</f>
        <v>0</v>
      </c>
      <c r="R1055" s="42">
        <f>VLOOKUP($A1055,'Neraca Unaudited SIMAK'!$A$2:$R$1272,17,FALSE)+IF(ISNA(VLOOKUP($A1055,'Mutasi Neraca'!$A$3:$S$910,17,FALSE)),0,VLOOKUP($A1055,'Mutasi Neraca'!$A$3:$S$910,17,FALSE))</f>
        <v>0</v>
      </c>
      <c r="S1055" s="42">
        <f t="shared" si="75"/>
        <v>3894000</v>
      </c>
    </row>
    <row r="1056" spans="1:19">
      <c r="A1056" s="41" t="s">
        <v>1008</v>
      </c>
      <c r="B1056" s="41" t="str">
        <f t="shared" si="74"/>
        <v>005031600</v>
      </c>
      <c r="D1056" s="42">
        <f>VLOOKUP($A1056,'Neraca Unaudited SIMAK'!$A$2:$R$1272,3,FALSE)+IF(ISNA(VLOOKUP($A1056,'Mutasi Neraca'!$A$3:$S$910,3,FALSE)),0,VLOOKUP($A1056,'Mutasi Neraca'!$A$3:$S$910,3,FALSE))</f>
        <v>0</v>
      </c>
      <c r="E1056" s="42">
        <f>VLOOKUP($A1056,'Neraca Unaudited SIMAK'!$A$2:$R$1272,4,FALSE)+IF(ISNA(VLOOKUP($A1056,'Mutasi Neraca'!$A$3:$S$910,4,FALSE)),0,VLOOKUP($A1056,'Mutasi Neraca'!$A$3:$S$910,4,FALSE))</f>
        <v>0</v>
      </c>
      <c r="F1056" s="42">
        <f>VLOOKUP($A1056,'Neraca Unaudited SIMAK'!$A$2:$R$1272,5,FALSE)+IF(ISNA(VLOOKUP($A1056,'Mutasi Neraca'!$A$3:$S$910,5,FALSE)),0,VLOOKUP($A1056,'Mutasi Neraca'!$A$3:$S$910,5,FALSE))</f>
        <v>0</v>
      </c>
      <c r="G1056" s="42">
        <f>VLOOKUP($A1056,'Neraca Unaudited SIMAK'!$A$2:$R$1272,6,FALSE)+IF(ISNA(VLOOKUP($A1056,'Mutasi Neraca'!$A$3:$S$910,6,FALSE)),0,VLOOKUP($A1056,'Mutasi Neraca'!$A$3:$S$910,6,FALSE))</f>
        <v>0</v>
      </c>
      <c r="H1056" s="42">
        <f>VLOOKUP($A1056,'Neraca Unaudited SIMAK'!$A$2:$R$1272,7,FALSE)+IF(ISNA(VLOOKUP($A1056,'Mutasi Neraca'!$A$3:$S$910,7,FALSE)),0,VLOOKUP($A1056,'Mutasi Neraca'!$A$3:$S$910,7,FALSE))</f>
        <v>0</v>
      </c>
      <c r="I1056" s="42">
        <f>VLOOKUP($A1056,'Neraca Unaudited SIMAK'!$A$2:$R$1272,8,FALSE)+IF(ISNA(VLOOKUP($A1056,'Mutasi Neraca'!$A$3:$S$910,8,FALSE)),0,VLOOKUP($A1056,'Mutasi Neraca'!$A$3:$S$910,8,FALSE))</f>
        <v>0</v>
      </c>
      <c r="J1056" s="42">
        <f>VLOOKUP($A1056,'Neraca Unaudited SIMAK'!$A$2:$R$1272,9,FALSE)+IF(ISNA(VLOOKUP($A1056,'Mutasi Neraca'!$A$3:$S$910,9,FALSE)),0,VLOOKUP($A1056,'Mutasi Neraca'!$A$3:$S$910,9,FALSE))</f>
        <v>0</v>
      </c>
      <c r="K1056" s="42">
        <f>VLOOKUP($A1056,'Neraca Unaudited SIMAK'!$A$2:$R$1272,10,FALSE)+IF(ISNA(VLOOKUP($A1056,'Mutasi Neraca'!$A$3:$S$910,10,FALSE)),0,VLOOKUP($A1056,'Mutasi Neraca'!$A$3:$S$910,10,FALSE))</f>
        <v>0</v>
      </c>
      <c r="L1056" s="42">
        <f>VLOOKUP($A1056,'Neraca Unaudited SIMAK'!$A$2:$R$1272,11,FALSE)+IF(ISNA(VLOOKUP($A1056,'Mutasi Neraca'!$A$3:$S$910,11,FALSE)),0,VLOOKUP($A1056,'Mutasi Neraca'!$A$3:$S$910,11,FALSE))</f>
        <v>0</v>
      </c>
      <c r="M1056" s="42">
        <f>VLOOKUP($A1056,'Neraca Unaudited SIMAK'!$A$2:$R$1272,12,FALSE)+IF(ISNA(VLOOKUP($A1056,'Mutasi Neraca'!$A$3:$S$910,12,FALSE)),0,VLOOKUP($A1056,'Mutasi Neraca'!$A$3:$S$910,12,FALSE))</f>
        <v>0</v>
      </c>
      <c r="N1056" s="42">
        <f>VLOOKUP($A1056,'Neraca Unaudited SIMAK'!$A$2:$R$1272,13,FALSE)+IF(ISNA(VLOOKUP($A1056,'Mutasi Neraca'!$A$3:$S$910,13,FALSE)),0,VLOOKUP($A1056,'Mutasi Neraca'!$A$3:$S$910,13,FALSE))</f>
        <v>0</v>
      </c>
      <c r="O1056" s="42">
        <f>VLOOKUP($A1056,'Neraca Unaudited SIMAK'!$A$2:$R$1272,14,FALSE)+IF(ISNA(VLOOKUP($A1056,'Mutasi Neraca'!$A$3:$S$910,14,FALSE)),0,VLOOKUP($A1056,'Mutasi Neraca'!$A$3:$S$910,14,FALSE))</f>
        <v>0</v>
      </c>
      <c r="P1056" s="42">
        <f>VLOOKUP($A1056,'Neraca Unaudited SIMAK'!$A$2:$R$1272,15,FALSE)+IF(ISNA(VLOOKUP($A1056,'Mutasi Neraca'!$A$3:$S$910,15,FALSE)),0,VLOOKUP($A1056,'Mutasi Neraca'!$A$3:$S$910,15,FALSE))</f>
        <v>0</v>
      </c>
      <c r="Q1056" s="42">
        <f>VLOOKUP($A1056,'Neraca Unaudited SIMAK'!$A$2:$R$1272,16,FALSE)+IF(ISNA(VLOOKUP($A1056,'Mutasi Neraca'!$A$3:$S$910,16,FALSE)),0,VLOOKUP($A1056,'Mutasi Neraca'!$A$3:$S$910,16,FALSE))</f>
        <v>0</v>
      </c>
      <c r="R1056" s="42">
        <f>VLOOKUP($A1056,'Neraca Unaudited SIMAK'!$A$2:$R$1272,17,FALSE)+IF(ISNA(VLOOKUP($A1056,'Mutasi Neraca'!$A$3:$S$910,17,FALSE)),0,VLOOKUP($A1056,'Mutasi Neraca'!$A$3:$S$910,17,FALSE))</f>
        <v>0</v>
      </c>
      <c r="S1056" s="42">
        <f t="shared" si="75"/>
        <v>0</v>
      </c>
    </row>
    <row r="1057" spans="1:19">
      <c r="A1057" s="41" t="s">
        <v>2060</v>
      </c>
      <c r="B1057" s="41" t="str">
        <f t="shared" si="74"/>
        <v>005031600</v>
      </c>
      <c r="D1057" s="42">
        <f>VLOOKUP($A1057,'Neraca Unaudited SIMAK'!$A$2:$R$1272,3,FALSE)+IF(ISNA(VLOOKUP($A1057,'Mutasi Neraca'!$A$3:$S$910,3,FALSE)),0,VLOOKUP($A1057,'Mutasi Neraca'!$A$3:$S$910,3,FALSE))</f>
        <v>484000</v>
      </c>
      <c r="E1057" s="42">
        <f>VLOOKUP($A1057,'Neraca Unaudited SIMAK'!$A$2:$R$1272,4,FALSE)+IF(ISNA(VLOOKUP($A1057,'Mutasi Neraca'!$A$3:$S$910,4,FALSE)),0,VLOOKUP($A1057,'Mutasi Neraca'!$A$3:$S$910,4,FALSE))</f>
        <v>0</v>
      </c>
      <c r="F1057" s="42">
        <f>VLOOKUP($A1057,'Neraca Unaudited SIMAK'!$A$2:$R$1272,5,FALSE)+IF(ISNA(VLOOKUP($A1057,'Mutasi Neraca'!$A$3:$S$910,5,FALSE)),0,VLOOKUP($A1057,'Mutasi Neraca'!$A$3:$S$910,5,FALSE))</f>
        <v>0</v>
      </c>
      <c r="G1057" s="42">
        <f>VLOOKUP($A1057,'Neraca Unaudited SIMAK'!$A$2:$R$1272,6,FALSE)+IF(ISNA(VLOOKUP($A1057,'Mutasi Neraca'!$A$3:$S$910,6,FALSE)),0,VLOOKUP($A1057,'Mutasi Neraca'!$A$3:$S$910,6,FALSE))</f>
        <v>0</v>
      </c>
      <c r="H1057" s="42">
        <f>VLOOKUP($A1057,'Neraca Unaudited SIMAK'!$A$2:$R$1272,7,FALSE)+IF(ISNA(VLOOKUP($A1057,'Mutasi Neraca'!$A$3:$S$910,7,FALSE)),0,VLOOKUP($A1057,'Mutasi Neraca'!$A$3:$S$910,7,FALSE))</f>
        <v>0</v>
      </c>
      <c r="I1057" s="42">
        <f>VLOOKUP($A1057,'Neraca Unaudited SIMAK'!$A$2:$R$1272,8,FALSE)+IF(ISNA(VLOOKUP($A1057,'Mutasi Neraca'!$A$3:$S$910,8,FALSE)),0,VLOOKUP($A1057,'Mutasi Neraca'!$A$3:$S$910,8,FALSE))</f>
        <v>0</v>
      </c>
      <c r="J1057" s="42">
        <f>VLOOKUP($A1057,'Neraca Unaudited SIMAK'!$A$2:$R$1272,9,FALSE)+IF(ISNA(VLOOKUP($A1057,'Mutasi Neraca'!$A$3:$S$910,9,FALSE)),0,VLOOKUP($A1057,'Mutasi Neraca'!$A$3:$S$910,9,FALSE))</f>
        <v>0</v>
      </c>
      <c r="K1057" s="42">
        <f>VLOOKUP($A1057,'Neraca Unaudited SIMAK'!$A$2:$R$1272,10,FALSE)+IF(ISNA(VLOOKUP($A1057,'Mutasi Neraca'!$A$3:$S$910,10,FALSE)),0,VLOOKUP($A1057,'Mutasi Neraca'!$A$3:$S$910,10,FALSE))</f>
        <v>0</v>
      </c>
      <c r="L1057" s="42">
        <f>VLOOKUP($A1057,'Neraca Unaudited SIMAK'!$A$2:$R$1272,11,FALSE)+IF(ISNA(VLOOKUP($A1057,'Mutasi Neraca'!$A$3:$S$910,11,FALSE)),0,VLOOKUP($A1057,'Mutasi Neraca'!$A$3:$S$910,11,FALSE))</f>
        <v>0</v>
      </c>
      <c r="M1057" s="42">
        <f>VLOOKUP($A1057,'Neraca Unaudited SIMAK'!$A$2:$R$1272,12,FALSE)+IF(ISNA(VLOOKUP($A1057,'Mutasi Neraca'!$A$3:$S$910,12,FALSE)),0,VLOOKUP($A1057,'Mutasi Neraca'!$A$3:$S$910,12,FALSE))</f>
        <v>484000</v>
      </c>
      <c r="N1057" s="42">
        <f>VLOOKUP($A1057,'Neraca Unaudited SIMAK'!$A$2:$R$1272,13,FALSE)+IF(ISNA(VLOOKUP($A1057,'Mutasi Neraca'!$A$3:$S$910,13,FALSE)),0,VLOOKUP($A1057,'Mutasi Neraca'!$A$3:$S$910,13,FALSE))</f>
        <v>0</v>
      </c>
      <c r="O1057" s="42">
        <f>VLOOKUP($A1057,'Neraca Unaudited SIMAK'!$A$2:$R$1272,14,FALSE)+IF(ISNA(VLOOKUP($A1057,'Mutasi Neraca'!$A$3:$S$910,14,FALSE)),0,VLOOKUP($A1057,'Mutasi Neraca'!$A$3:$S$910,14,FALSE))</f>
        <v>0</v>
      </c>
      <c r="P1057" s="42">
        <f>VLOOKUP($A1057,'Neraca Unaudited SIMAK'!$A$2:$R$1272,15,FALSE)+IF(ISNA(VLOOKUP($A1057,'Mutasi Neraca'!$A$3:$S$910,15,FALSE)),0,VLOOKUP($A1057,'Mutasi Neraca'!$A$3:$S$910,15,FALSE))</f>
        <v>0</v>
      </c>
      <c r="Q1057" s="42">
        <f>VLOOKUP($A1057,'Neraca Unaudited SIMAK'!$A$2:$R$1272,16,FALSE)+IF(ISNA(VLOOKUP($A1057,'Mutasi Neraca'!$A$3:$S$910,16,FALSE)),0,VLOOKUP($A1057,'Mutasi Neraca'!$A$3:$S$910,16,FALSE))</f>
        <v>0</v>
      </c>
      <c r="R1057" s="42">
        <f>VLOOKUP($A1057,'Neraca Unaudited SIMAK'!$A$2:$R$1272,17,FALSE)+IF(ISNA(VLOOKUP($A1057,'Mutasi Neraca'!$A$3:$S$910,17,FALSE)),0,VLOOKUP($A1057,'Mutasi Neraca'!$A$3:$S$910,17,FALSE))</f>
        <v>0</v>
      </c>
      <c r="S1057" s="42">
        <f t="shared" si="75"/>
        <v>484000</v>
      </c>
    </row>
    <row r="1058" spans="1:19">
      <c r="A1058" s="41" t="s">
        <v>2269</v>
      </c>
      <c r="B1058" s="41" t="str">
        <f t="shared" si="74"/>
        <v>005031600</v>
      </c>
      <c r="D1058" s="42">
        <f>VLOOKUP($A1058,'Neraca Unaudited SIMAK'!$A$2:$R$1272,3,FALSE)+IF(ISNA(VLOOKUP($A1058,'Mutasi Neraca'!$A$3:$S$910,3,FALSE)),0,VLOOKUP($A1058,'Mutasi Neraca'!$A$3:$S$910,3,FALSE))</f>
        <v>0</v>
      </c>
      <c r="E1058" s="42">
        <f>VLOOKUP($A1058,'Neraca Unaudited SIMAK'!$A$2:$R$1272,4,FALSE)+IF(ISNA(VLOOKUP($A1058,'Mutasi Neraca'!$A$3:$S$910,4,FALSE)),0,VLOOKUP($A1058,'Mutasi Neraca'!$A$3:$S$910,4,FALSE))</f>
        <v>0</v>
      </c>
      <c r="F1058" s="42">
        <f>VLOOKUP($A1058,'Neraca Unaudited SIMAK'!$A$2:$R$1272,5,FALSE)+IF(ISNA(VLOOKUP($A1058,'Mutasi Neraca'!$A$3:$S$910,5,FALSE)),0,VLOOKUP($A1058,'Mutasi Neraca'!$A$3:$S$910,5,FALSE))</f>
        <v>0</v>
      </c>
      <c r="G1058" s="42">
        <f>VLOOKUP($A1058,'Neraca Unaudited SIMAK'!$A$2:$R$1272,6,FALSE)+IF(ISNA(VLOOKUP($A1058,'Mutasi Neraca'!$A$3:$S$910,6,FALSE)),0,VLOOKUP($A1058,'Mutasi Neraca'!$A$3:$S$910,6,FALSE))</f>
        <v>0</v>
      </c>
      <c r="H1058" s="42">
        <f>VLOOKUP($A1058,'Neraca Unaudited SIMAK'!$A$2:$R$1272,7,FALSE)+IF(ISNA(VLOOKUP($A1058,'Mutasi Neraca'!$A$3:$S$910,7,FALSE)),0,VLOOKUP($A1058,'Mutasi Neraca'!$A$3:$S$910,7,FALSE))</f>
        <v>0</v>
      </c>
      <c r="I1058" s="42">
        <f>VLOOKUP($A1058,'Neraca Unaudited SIMAK'!$A$2:$R$1272,8,FALSE)+IF(ISNA(VLOOKUP($A1058,'Mutasi Neraca'!$A$3:$S$910,8,FALSE)),0,VLOOKUP($A1058,'Mutasi Neraca'!$A$3:$S$910,8,FALSE))</f>
        <v>0</v>
      </c>
      <c r="J1058" s="42">
        <f>VLOOKUP($A1058,'Neraca Unaudited SIMAK'!$A$2:$R$1272,9,FALSE)+IF(ISNA(VLOOKUP($A1058,'Mutasi Neraca'!$A$3:$S$910,9,FALSE)),0,VLOOKUP($A1058,'Mutasi Neraca'!$A$3:$S$910,9,FALSE))</f>
        <v>0</v>
      </c>
      <c r="K1058" s="42">
        <f>VLOOKUP($A1058,'Neraca Unaudited SIMAK'!$A$2:$R$1272,10,FALSE)+IF(ISNA(VLOOKUP($A1058,'Mutasi Neraca'!$A$3:$S$910,10,FALSE)),0,VLOOKUP($A1058,'Mutasi Neraca'!$A$3:$S$910,10,FALSE))</f>
        <v>0</v>
      </c>
      <c r="L1058" s="42">
        <f>VLOOKUP($A1058,'Neraca Unaudited SIMAK'!$A$2:$R$1272,11,FALSE)+IF(ISNA(VLOOKUP($A1058,'Mutasi Neraca'!$A$3:$S$910,11,FALSE)),0,VLOOKUP($A1058,'Mutasi Neraca'!$A$3:$S$910,11,FALSE))</f>
        <v>0</v>
      </c>
      <c r="M1058" s="42">
        <f>VLOOKUP($A1058,'Neraca Unaudited SIMAK'!$A$2:$R$1272,12,FALSE)+IF(ISNA(VLOOKUP($A1058,'Mutasi Neraca'!$A$3:$S$910,12,FALSE)),0,VLOOKUP($A1058,'Mutasi Neraca'!$A$3:$S$910,12,FALSE))</f>
        <v>0</v>
      </c>
      <c r="N1058" s="42">
        <f>VLOOKUP($A1058,'Neraca Unaudited SIMAK'!$A$2:$R$1272,13,FALSE)+IF(ISNA(VLOOKUP($A1058,'Mutasi Neraca'!$A$3:$S$910,13,FALSE)),0,VLOOKUP($A1058,'Mutasi Neraca'!$A$3:$S$910,13,FALSE))</f>
        <v>0</v>
      </c>
      <c r="O1058" s="42">
        <f>VLOOKUP($A1058,'Neraca Unaudited SIMAK'!$A$2:$R$1272,14,FALSE)+IF(ISNA(VLOOKUP($A1058,'Mutasi Neraca'!$A$3:$S$910,14,FALSE)),0,VLOOKUP($A1058,'Mutasi Neraca'!$A$3:$S$910,14,FALSE))</f>
        <v>0</v>
      </c>
      <c r="P1058" s="42">
        <f>VLOOKUP($A1058,'Neraca Unaudited SIMAK'!$A$2:$R$1272,15,FALSE)+IF(ISNA(VLOOKUP($A1058,'Mutasi Neraca'!$A$3:$S$910,15,FALSE)),0,VLOOKUP($A1058,'Mutasi Neraca'!$A$3:$S$910,15,FALSE))</f>
        <v>0</v>
      </c>
      <c r="Q1058" s="42">
        <f>VLOOKUP($A1058,'Neraca Unaudited SIMAK'!$A$2:$R$1272,16,FALSE)+IF(ISNA(VLOOKUP($A1058,'Mutasi Neraca'!$A$3:$S$910,16,FALSE)),0,VLOOKUP($A1058,'Mutasi Neraca'!$A$3:$S$910,16,FALSE))</f>
        <v>0</v>
      </c>
      <c r="R1058" s="42">
        <f>VLOOKUP($A1058,'Neraca Unaudited SIMAK'!$A$2:$R$1272,17,FALSE)+IF(ISNA(VLOOKUP($A1058,'Mutasi Neraca'!$A$3:$S$910,17,FALSE)),0,VLOOKUP($A1058,'Mutasi Neraca'!$A$3:$S$910,17,FALSE))</f>
        <v>0</v>
      </c>
      <c r="S1058" s="42">
        <f t="shared" si="75"/>
        <v>0</v>
      </c>
    </row>
    <row r="1059" spans="1:19">
      <c r="A1059" s="41" t="s">
        <v>2270</v>
      </c>
      <c r="B1059" s="41" t="str">
        <f t="shared" si="74"/>
        <v>005031600</v>
      </c>
      <c r="D1059" s="42">
        <f>VLOOKUP($A1059,'Neraca Unaudited SIMAK'!$A$2:$R$1272,3,FALSE)+IF(ISNA(VLOOKUP($A1059,'Mutasi Neraca'!$A$3:$S$910,3,FALSE)),0,VLOOKUP($A1059,'Mutasi Neraca'!$A$3:$S$910,3,FALSE))</f>
        <v>23127909</v>
      </c>
      <c r="E1059" s="42">
        <f>VLOOKUP($A1059,'Neraca Unaudited SIMAK'!$A$2:$R$1272,4,FALSE)+IF(ISNA(VLOOKUP($A1059,'Mutasi Neraca'!$A$3:$S$910,4,FALSE)),0,VLOOKUP($A1059,'Mutasi Neraca'!$A$3:$S$910,4,FALSE))</f>
        <v>0</v>
      </c>
      <c r="F1059" s="42">
        <f>VLOOKUP($A1059,'Neraca Unaudited SIMAK'!$A$2:$R$1272,5,FALSE)+IF(ISNA(VLOOKUP($A1059,'Mutasi Neraca'!$A$3:$S$910,5,FALSE)),0,VLOOKUP($A1059,'Mutasi Neraca'!$A$3:$S$910,5,FALSE))</f>
        <v>0</v>
      </c>
      <c r="G1059" s="42">
        <f>VLOOKUP($A1059,'Neraca Unaudited SIMAK'!$A$2:$R$1272,6,FALSE)+IF(ISNA(VLOOKUP($A1059,'Mutasi Neraca'!$A$3:$S$910,6,FALSE)),0,VLOOKUP($A1059,'Mutasi Neraca'!$A$3:$S$910,6,FALSE))</f>
        <v>0</v>
      </c>
      <c r="H1059" s="42">
        <f>VLOOKUP($A1059,'Neraca Unaudited SIMAK'!$A$2:$R$1272,7,FALSE)+IF(ISNA(VLOOKUP($A1059,'Mutasi Neraca'!$A$3:$S$910,7,FALSE)),0,VLOOKUP($A1059,'Mutasi Neraca'!$A$3:$S$910,7,FALSE))</f>
        <v>0</v>
      </c>
      <c r="I1059" s="42">
        <f>VLOOKUP($A1059,'Neraca Unaudited SIMAK'!$A$2:$R$1272,8,FALSE)+IF(ISNA(VLOOKUP($A1059,'Mutasi Neraca'!$A$3:$S$910,8,FALSE)),0,VLOOKUP($A1059,'Mutasi Neraca'!$A$3:$S$910,8,FALSE))</f>
        <v>0</v>
      </c>
      <c r="J1059" s="42">
        <f>VLOOKUP($A1059,'Neraca Unaudited SIMAK'!$A$2:$R$1272,9,FALSE)+IF(ISNA(VLOOKUP($A1059,'Mutasi Neraca'!$A$3:$S$910,9,FALSE)),0,VLOOKUP($A1059,'Mutasi Neraca'!$A$3:$S$910,9,FALSE))</f>
        <v>0</v>
      </c>
      <c r="K1059" s="42">
        <f>VLOOKUP($A1059,'Neraca Unaudited SIMAK'!$A$2:$R$1272,10,FALSE)+IF(ISNA(VLOOKUP($A1059,'Mutasi Neraca'!$A$3:$S$910,10,FALSE)),0,VLOOKUP($A1059,'Mutasi Neraca'!$A$3:$S$910,10,FALSE))</f>
        <v>0</v>
      </c>
      <c r="L1059" s="42">
        <f>VLOOKUP($A1059,'Neraca Unaudited SIMAK'!$A$2:$R$1272,11,FALSE)+IF(ISNA(VLOOKUP($A1059,'Mutasi Neraca'!$A$3:$S$910,11,FALSE)),0,VLOOKUP($A1059,'Mutasi Neraca'!$A$3:$S$910,11,FALSE))</f>
        <v>0</v>
      </c>
      <c r="M1059" s="42">
        <f>VLOOKUP($A1059,'Neraca Unaudited SIMAK'!$A$2:$R$1272,12,FALSE)+IF(ISNA(VLOOKUP($A1059,'Mutasi Neraca'!$A$3:$S$910,12,FALSE)),0,VLOOKUP($A1059,'Mutasi Neraca'!$A$3:$S$910,12,FALSE))</f>
        <v>23127909</v>
      </c>
      <c r="N1059" s="42">
        <f>VLOOKUP($A1059,'Neraca Unaudited SIMAK'!$A$2:$R$1272,13,FALSE)+IF(ISNA(VLOOKUP($A1059,'Mutasi Neraca'!$A$3:$S$910,13,FALSE)),0,VLOOKUP($A1059,'Mutasi Neraca'!$A$3:$S$910,13,FALSE))</f>
        <v>0</v>
      </c>
      <c r="O1059" s="42">
        <f>VLOOKUP($A1059,'Neraca Unaudited SIMAK'!$A$2:$R$1272,14,FALSE)+IF(ISNA(VLOOKUP($A1059,'Mutasi Neraca'!$A$3:$S$910,14,FALSE)),0,VLOOKUP($A1059,'Mutasi Neraca'!$A$3:$S$910,14,FALSE))</f>
        <v>0</v>
      </c>
      <c r="P1059" s="42">
        <f>VLOOKUP($A1059,'Neraca Unaudited SIMAK'!$A$2:$R$1272,15,FALSE)+IF(ISNA(VLOOKUP($A1059,'Mutasi Neraca'!$A$3:$S$910,15,FALSE)),0,VLOOKUP($A1059,'Mutasi Neraca'!$A$3:$S$910,15,FALSE))</f>
        <v>0</v>
      </c>
      <c r="Q1059" s="42">
        <f>VLOOKUP($A1059,'Neraca Unaudited SIMAK'!$A$2:$R$1272,16,FALSE)+IF(ISNA(VLOOKUP($A1059,'Mutasi Neraca'!$A$3:$S$910,16,FALSE)),0,VLOOKUP($A1059,'Mutasi Neraca'!$A$3:$S$910,16,FALSE))</f>
        <v>0</v>
      </c>
      <c r="R1059" s="42">
        <f>VLOOKUP($A1059,'Neraca Unaudited SIMAK'!$A$2:$R$1272,17,FALSE)+IF(ISNA(VLOOKUP($A1059,'Mutasi Neraca'!$A$3:$S$910,17,FALSE)),0,VLOOKUP($A1059,'Mutasi Neraca'!$A$3:$S$910,17,FALSE))</f>
        <v>0</v>
      </c>
      <c r="S1059" s="42">
        <f t="shared" si="75"/>
        <v>23127909</v>
      </c>
    </row>
    <row r="1060" spans="1:19">
      <c r="A1060" s="41" t="s">
        <v>1009</v>
      </c>
      <c r="B1060" s="41" t="str">
        <f t="shared" si="74"/>
        <v>005031600</v>
      </c>
      <c r="D1060" s="42">
        <f>VLOOKUP($A1060,'Neraca Unaudited SIMAK'!$A$2:$R$1272,3,FALSE)+IF(ISNA(VLOOKUP($A1060,'Mutasi Neraca'!$A$3:$S$910,3,FALSE)),0,VLOOKUP($A1060,'Mutasi Neraca'!$A$3:$S$910,3,FALSE))</f>
        <v>297000</v>
      </c>
      <c r="E1060" s="42">
        <f>VLOOKUP($A1060,'Neraca Unaudited SIMAK'!$A$2:$R$1272,4,FALSE)+IF(ISNA(VLOOKUP($A1060,'Mutasi Neraca'!$A$3:$S$910,4,FALSE)),0,VLOOKUP($A1060,'Mutasi Neraca'!$A$3:$S$910,4,FALSE))</f>
        <v>0</v>
      </c>
      <c r="F1060" s="42">
        <f>VLOOKUP($A1060,'Neraca Unaudited SIMAK'!$A$2:$R$1272,5,FALSE)+IF(ISNA(VLOOKUP($A1060,'Mutasi Neraca'!$A$3:$S$910,5,FALSE)),0,VLOOKUP($A1060,'Mutasi Neraca'!$A$3:$S$910,5,FALSE))</f>
        <v>0</v>
      </c>
      <c r="G1060" s="42">
        <f>VLOOKUP($A1060,'Neraca Unaudited SIMAK'!$A$2:$R$1272,6,FALSE)+IF(ISNA(VLOOKUP($A1060,'Mutasi Neraca'!$A$3:$S$910,6,FALSE)),0,VLOOKUP($A1060,'Mutasi Neraca'!$A$3:$S$910,6,FALSE))</f>
        <v>0</v>
      </c>
      <c r="H1060" s="42">
        <f>VLOOKUP($A1060,'Neraca Unaudited SIMAK'!$A$2:$R$1272,7,FALSE)+IF(ISNA(VLOOKUP($A1060,'Mutasi Neraca'!$A$3:$S$910,7,FALSE)),0,VLOOKUP($A1060,'Mutasi Neraca'!$A$3:$S$910,7,FALSE))</f>
        <v>0</v>
      </c>
      <c r="I1060" s="42">
        <f>VLOOKUP($A1060,'Neraca Unaudited SIMAK'!$A$2:$R$1272,8,FALSE)+IF(ISNA(VLOOKUP($A1060,'Mutasi Neraca'!$A$3:$S$910,8,FALSE)),0,VLOOKUP($A1060,'Mutasi Neraca'!$A$3:$S$910,8,FALSE))</f>
        <v>0</v>
      </c>
      <c r="J1060" s="42">
        <f>VLOOKUP($A1060,'Neraca Unaudited SIMAK'!$A$2:$R$1272,9,FALSE)+IF(ISNA(VLOOKUP($A1060,'Mutasi Neraca'!$A$3:$S$910,9,FALSE)),0,VLOOKUP($A1060,'Mutasi Neraca'!$A$3:$S$910,9,FALSE))</f>
        <v>0</v>
      </c>
      <c r="K1060" s="42">
        <f>VLOOKUP($A1060,'Neraca Unaudited SIMAK'!$A$2:$R$1272,10,FALSE)+IF(ISNA(VLOOKUP($A1060,'Mutasi Neraca'!$A$3:$S$910,10,FALSE)),0,VLOOKUP($A1060,'Mutasi Neraca'!$A$3:$S$910,10,FALSE))</f>
        <v>0</v>
      </c>
      <c r="L1060" s="42">
        <f>VLOOKUP($A1060,'Neraca Unaudited SIMAK'!$A$2:$R$1272,11,FALSE)+IF(ISNA(VLOOKUP($A1060,'Mutasi Neraca'!$A$3:$S$910,11,FALSE)),0,VLOOKUP($A1060,'Mutasi Neraca'!$A$3:$S$910,11,FALSE))</f>
        <v>0</v>
      </c>
      <c r="M1060" s="42">
        <f>VLOOKUP($A1060,'Neraca Unaudited SIMAK'!$A$2:$R$1272,12,FALSE)+IF(ISNA(VLOOKUP($A1060,'Mutasi Neraca'!$A$3:$S$910,12,FALSE)),0,VLOOKUP($A1060,'Mutasi Neraca'!$A$3:$S$910,12,FALSE))</f>
        <v>297000</v>
      </c>
      <c r="N1060" s="42">
        <f>VLOOKUP($A1060,'Neraca Unaudited SIMAK'!$A$2:$R$1272,13,FALSE)+IF(ISNA(VLOOKUP($A1060,'Mutasi Neraca'!$A$3:$S$910,13,FALSE)),0,VLOOKUP($A1060,'Mutasi Neraca'!$A$3:$S$910,13,FALSE))</f>
        <v>0</v>
      </c>
      <c r="O1060" s="42">
        <f>VLOOKUP($A1060,'Neraca Unaudited SIMAK'!$A$2:$R$1272,14,FALSE)+IF(ISNA(VLOOKUP($A1060,'Mutasi Neraca'!$A$3:$S$910,14,FALSE)),0,VLOOKUP($A1060,'Mutasi Neraca'!$A$3:$S$910,14,FALSE))</f>
        <v>0</v>
      </c>
      <c r="P1060" s="42">
        <f>VLOOKUP($A1060,'Neraca Unaudited SIMAK'!$A$2:$R$1272,15,FALSE)+IF(ISNA(VLOOKUP($A1060,'Mutasi Neraca'!$A$3:$S$910,15,FALSE)),0,VLOOKUP($A1060,'Mutasi Neraca'!$A$3:$S$910,15,FALSE))</f>
        <v>0</v>
      </c>
      <c r="Q1060" s="42">
        <f>VLOOKUP($A1060,'Neraca Unaudited SIMAK'!$A$2:$R$1272,16,FALSE)+IF(ISNA(VLOOKUP($A1060,'Mutasi Neraca'!$A$3:$S$910,16,FALSE)),0,VLOOKUP($A1060,'Mutasi Neraca'!$A$3:$S$910,16,FALSE))</f>
        <v>0</v>
      </c>
      <c r="R1060" s="42">
        <f>VLOOKUP($A1060,'Neraca Unaudited SIMAK'!$A$2:$R$1272,17,FALSE)+IF(ISNA(VLOOKUP($A1060,'Mutasi Neraca'!$A$3:$S$910,17,FALSE)),0,VLOOKUP($A1060,'Mutasi Neraca'!$A$3:$S$910,17,FALSE))</f>
        <v>0</v>
      </c>
      <c r="S1060" s="42">
        <f t="shared" si="75"/>
        <v>297000</v>
      </c>
    </row>
    <row r="1061" spans="1:19">
      <c r="A1061" s="41" t="s">
        <v>2061</v>
      </c>
      <c r="B1061" s="41" t="str">
        <f t="shared" si="74"/>
        <v>005031600</v>
      </c>
      <c r="D1061" s="42">
        <f>VLOOKUP($A1061,'Neraca Unaudited SIMAK'!$A$2:$R$1272,3,FALSE)+IF(ISNA(VLOOKUP($A1061,'Mutasi Neraca'!$A$3:$S$910,3,FALSE)),0,VLOOKUP($A1061,'Mutasi Neraca'!$A$3:$S$910,3,FALSE))</f>
        <v>1211000</v>
      </c>
      <c r="E1061" s="42">
        <f>VLOOKUP($A1061,'Neraca Unaudited SIMAK'!$A$2:$R$1272,4,FALSE)+IF(ISNA(VLOOKUP($A1061,'Mutasi Neraca'!$A$3:$S$910,4,FALSE)),0,VLOOKUP($A1061,'Mutasi Neraca'!$A$3:$S$910,4,FALSE))</f>
        <v>0</v>
      </c>
      <c r="F1061" s="42">
        <f>VLOOKUP($A1061,'Neraca Unaudited SIMAK'!$A$2:$R$1272,5,FALSE)+IF(ISNA(VLOOKUP($A1061,'Mutasi Neraca'!$A$3:$S$910,5,FALSE)),0,VLOOKUP($A1061,'Mutasi Neraca'!$A$3:$S$910,5,FALSE))</f>
        <v>0</v>
      </c>
      <c r="G1061" s="42">
        <f>VLOOKUP($A1061,'Neraca Unaudited SIMAK'!$A$2:$R$1272,6,FALSE)+IF(ISNA(VLOOKUP($A1061,'Mutasi Neraca'!$A$3:$S$910,6,FALSE)),0,VLOOKUP($A1061,'Mutasi Neraca'!$A$3:$S$910,6,FALSE))</f>
        <v>0</v>
      </c>
      <c r="H1061" s="42">
        <f>VLOOKUP($A1061,'Neraca Unaudited SIMAK'!$A$2:$R$1272,7,FALSE)+IF(ISNA(VLOOKUP($A1061,'Mutasi Neraca'!$A$3:$S$910,7,FALSE)),0,VLOOKUP($A1061,'Mutasi Neraca'!$A$3:$S$910,7,FALSE))</f>
        <v>0</v>
      </c>
      <c r="I1061" s="42">
        <f>VLOOKUP($A1061,'Neraca Unaudited SIMAK'!$A$2:$R$1272,8,FALSE)+IF(ISNA(VLOOKUP($A1061,'Mutasi Neraca'!$A$3:$S$910,8,FALSE)),0,VLOOKUP($A1061,'Mutasi Neraca'!$A$3:$S$910,8,FALSE))</f>
        <v>0</v>
      </c>
      <c r="J1061" s="42">
        <f>VLOOKUP($A1061,'Neraca Unaudited SIMAK'!$A$2:$R$1272,9,FALSE)+IF(ISNA(VLOOKUP($A1061,'Mutasi Neraca'!$A$3:$S$910,9,FALSE)),0,VLOOKUP($A1061,'Mutasi Neraca'!$A$3:$S$910,9,FALSE))</f>
        <v>0</v>
      </c>
      <c r="K1061" s="42">
        <f>VLOOKUP($A1061,'Neraca Unaudited SIMAK'!$A$2:$R$1272,10,FALSE)+IF(ISNA(VLOOKUP($A1061,'Mutasi Neraca'!$A$3:$S$910,10,FALSE)),0,VLOOKUP($A1061,'Mutasi Neraca'!$A$3:$S$910,10,FALSE))</f>
        <v>0</v>
      </c>
      <c r="L1061" s="42">
        <f>VLOOKUP($A1061,'Neraca Unaudited SIMAK'!$A$2:$R$1272,11,FALSE)+IF(ISNA(VLOOKUP($A1061,'Mutasi Neraca'!$A$3:$S$910,11,FALSE)),0,VLOOKUP($A1061,'Mutasi Neraca'!$A$3:$S$910,11,FALSE))</f>
        <v>0</v>
      </c>
      <c r="M1061" s="42">
        <f>VLOOKUP($A1061,'Neraca Unaudited SIMAK'!$A$2:$R$1272,12,FALSE)+IF(ISNA(VLOOKUP($A1061,'Mutasi Neraca'!$A$3:$S$910,12,FALSE)),0,VLOOKUP($A1061,'Mutasi Neraca'!$A$3:$S$910,12,FALSE))</f>
        <v>1211000</v>
      </c>
      <c r="N1061" s="42">
        <f>VLOOKUP($A1061,'Neraca Unaudited SIMAK'!$A$2:$R$1272,13,FALSE)+IF(ISNA(VLOOKUP($A1061,'Mutasi Neraca'!$A$3:$S$910,13,FALSE)),0,VLOOKUP($A1061,'Mutasi Neraca'!$A$3:$S$910,13,FALSE))</f>
        <v>0</v>
      </c>
      <c r="O1061" s="42">
        <f>VLOOKUP($A1061,'Neraca Unaudited SIMAK'!$A$2:$R$1272,14,FALSE)+IF(ISNA(VLOOKUP($A1061,'Mutasi Neraca'!$A$3:$S$910,14,FALSE)),0,VLOOKUP($A1061,'Mutasi Neraca'!$A$3:$S$910,14,FALSE))</f>
        <v>0</v>
      </c>
      <c r="P1061" s="42">
        <f>VLOOKUP($A1061,'Neraca Unaudited SIMAK'!$A$2:$R$1272,15,FALSE)+IF(ISNA(VLOOKUP($A1061,'Mutasi Neraca'!$A$3:$S$910,15,FALSE)),0,VLOOKUP($A1061,'Mutasi Neraca'!$A$3:$S$910,15,FALSE))</f>
        <v>0</v>
      </c>
      <c r="Q1061" s="42">
        <f>VLOOKUP($A1061,'Neraca Unaudited SIMAK'!$A$2:$R$1272,16,FALSE)+IF(ISNA(VLOOKUP($A1061,'Mutasi Neraca'!$A$3:$S$910,16,FALSE)),0,VLOOKUP($A1061,'Mutasi Neraca'!$A$3:$S$910,16,FALSE))</f>
        <v>0</v>
      </c>
      <c r="R1061" s="42">
        <f>VLOOKUP($A1061,'Neraca Unaudited SIMAK'!$A$2:$R$1272,17,FALSE)+IF(ISNA(VLOOKUP($A1061,'Mutasi Neraca'!$A$3:$S$910,17,FALSE)),0,VLOOKUP($A1061,'Mutasi Neraca'!$A$3:$S$910,17,FALSE))</f>
        <v>0</v>
      </c>
      <c r="S1061" s="42">
        <f t="shared" si="75"/>
        <v>1211000</v>
      </c>
    </row>
    <row r="1062" spans="1:19">
      <c r="A1062" s="41" t="s">
        <v>2062</v>
      </c>
      <c r="B1062" s="41" t="str">
        <f t="shared" si="74"/>
        <v>005031600</v>
      </c>
      <c r="D1062" s="42">
        <f>VLOOKUP($A1062,'Neraca Unaudited SIMAK'!$A$2:$R$1272,3,FALSE)+IF(ISNA(VLOOKUP($A1062,'Mutasi Neraca'!$A$3:$S$910,3,FALSE)),0,VLOOKUP($A1062,'Mutasi Neraca'!$A$3:$S$910,3,FALSE))</f>
        <v>341000</v>
      </c>
      <c r="E1062" s="42">
        <f>VLOOKUP($A1062,'Neraca Unaudited SIMAK'!$A$2:$R$1272,4,FALSE)+IF(ISNA(VLOOKUP($A1062,'Mutasi Neraca'!$A$3:$S$910,4,FALSE)),0,VLOOKUP($A1062,'Mutasi Neraca'!$A$3:$S$910,4,FALSE))</f>
        <v>0</v>
      </c>
      <c r="F1062" s="42">
        <f>VLOOKUP($A1062,'Neraca Unaudited SIMAK'!$A$2:$R$1272,5,FALSE)+IF(ISNA(VLOOKUP($A1062,'Mutasi Neraca'!$A$3:$S$910,5,FALSE)),0,VLOOKUP($A1062,'Mutasi Neraca'!$A$3:$S$910,5,FALSE))</f>
        <v>0</v>
      </c>
      <c r="G1062" s="42">
        <f>VLOOKUP($A1062,'Neraca Unaudited SIMAK'!$A$2:$R$1272,6,FALSE)+IF(ISNA(VLOOKUP($A1062,'Mutasi Neraca'!$A$3:$S$910,6,FALSE)),0,VLOOKUP($A1062,'Mutasi Neraca'!$A$3:$S$910,6,FALSE))</f>
        <v>0</v>
      </c>
      <c r="H1062" s="42">
        <f>VLOOKUP($A1062,'Neraca Unaudited SIMAK'!$A$2:$R$1272,7,FALSE)+IF(ISNA(VLOOKUP($A1062,'Mutasi Neraca'!$A$3:$S$910,7,FALSE)),0,VLOOKUP($A1062,'Mutasi Neraca'!$A$3:$S$910,7,FALSE))</f>
        <v>0</v>
      </c>
      <c r="I1062" s="42">
        <f>VLOOKUP($A1062,'Neraca Unaudited SIMAK'!$A$2:$R$1272,8,FALSE)+IF(ISNA(VLOOKUP($A1062,'Mutasi Neraca'!$A$3:$S$910,8,FALSE)),0,VLOOKUP($A1062,'Mutasi Neraca'!$A$3:$S$910,8,FALSE))</f>
        <v>0</v>
      </c>
      <c r="J1062" s="42">
        <f>VLOOKUP($A1062,'Neraca Unaudited SIMAK'!$A$2:$R$1272,9,FALSE)+IF(ISNA(VLOOKUP($A1062,'Mutasi Neraca'!$A$3:$S$910,9,FALSE)),0,VLOOKUP($A1062,'Mutasi Neraca'!$A$3:$S$910,9,FALSE))</f>
        <v>0</v>
      </c>
      <c r="K1062" s="42">
        <f>VLOOKUP($A1062,'Neraca Unaudited SIMAK'!$A$2:$R$1272,10,FALSE)+IF(ISNA(VLOOKUP($A1062,'Mutasi Neraca'!$A$3:$S$910,10,FALSE)),0,VLOOKUP($A1062,'Mutasi Neraca'!$A$3:$S$910,10,FALSE))</f>
        <v>0</v>
      </c>
      <c r="L1062" s="42">
        <f>VLOOKUP($A1062,'Neraca Unaudited SIMAK'!$A$2:$R$1272,11,FALSE)+IF(ISNA(VLOOKUP($A1062,'Mutasi Neraca'!$A$3:$S$910,11,FALSE)),0,VLOOKUP($A1062,'Mutasi Neraca'!$A$3:$S$910,11,FALSE))</f>
        <v>0</v>
      </c>
      <c r="M1062" s="42">
        <f>VLOOKUP($A1062,'Neraca Unaudited SIMAK'!$A$2:$R$1272,12,FALSE)+IF(ISNA(VLOOKUP($A1062,'Mutasi Neraca'!$A$3:$S$910,12,FALSE)),0,VLOOKUP($A1062,'Mutasi Neraca'!$A$3:$S$910,12,FALSE))</f>
        <v>341000</v>
      </c>
      <c r="N1062" s="42">
        <f>VLOOKUP($A1062,'Neraca Unaudited SIMAK'!$A$2:$R$1272,13,FALSE)+IF(ISNA(VLOOKUP($A1062,'Mutasi Neraca'!$A$3:$S$910,13,FALSE)),0,VLOOKUP($A1062,'Mutasi Neraca'!$A$3:$S$910,13,FALSE))</f>
        <v>0</v>
      </c>
      <c r="O1062" s="42">
        <f>VLOOKUP($A1062,'Neraca Unaudited SIMAK'!$A$2:$R$1272,14,FALSE)+IF(ISNA(VLOOKUP($A1062,'Mutasi Neraca'!$A$3:$S$910,14,FALSE)),0,VLOOKUP($A1062,'Mutasi Neraca'!$A$3:$S$910,14,FALSE))</f>
        <v>0</v>
      </c>
      <c r="P1062" s="42">
        <f>VLOOKUP($A1062,'Neraca Unaudited SIMAK'!$A$2:$R$1272,15,FALSE)+IF(ISNA(VLOOKUP($A1062,'Mutasi Neraca'!$A$3:$S$910,15,FALSE)),0,VLOOKUP($A1062,'Mutasi Neraca'!$A$3:$S$910,15,FALSE))</f>
        <v>0</v>
      </c>
      <c r="Q1062" s="42">
        <f>VLOOKUP($A1062,'Neraca Unaudited SIMAK'!$A$2:$R$1272,16,FALSE)+IF(ISNA(VLOOKUP($A1062,'Mutasi Neraca'!$A$3:$S$910,16,FALSE)),0,VLOOKUP($A1062,'Mutasi Neraca'!$A$3:$S$910,16,FALSE))</f>
        <v>0</v>
      </c>
      <c r="R1062" s="42">
        <f>VLOOKUP($A1062,'Neraca Unaudited SIMAK'!$A$2:$R$1272,17,FALSE)+IF(ISNA(VLOOKUP($A1062,'Mutasi Neraca'!$A$3:$S$910,17,FALSE)),0,VLOOKUP($A1062,'Mutasi Neraca'!$A$3:$S$910,17,FALSE))</f>
        <v>0</v>
      </c>
      <c r="S1062" s="42">
        <f t="shared" si="75"/>
        <v>341000</v>
      </c>
    </row>
    <row r="1063" spans="1:19">
      <c r="A1063" s="41" t="s">
        <v>1010</v>
      </c>
      <c r="B1063" s="41" t="str">
        <f t="shared" si="74"/>
        <v>005031600</v>
      </c>
      <c r="D1063" s="42">
        <f>VLOOKUP($A1063,'Neraca Unaudited SIMAK'!$A$2:$R$1272,3,FALSE)+IF(ISNA(VLOOKUP($A1063,'Mutasi Neraca'!$A$3:$S$910,3,FALSE)),0,VLOOKUP($A1063,'Mutasi Neraca'!$A$3:$S$910,3,FALSE))</f>
        <v>1006000</v>
      </c>
      <c r="E1063" s="42">
        <f>VLOOKUP($A1063,'Neraca Unaudited SIMAK'!$A$2:$R$1272,4,FALSE)+IF(ISNA(VLOOKUP($A1063,'Mutasi Neraca'!$A$3:$S$910,4,FALSE)),0,VLOOKUP($A1063,'Mutasi Neraca'!$A$3:$S$910,4,FALSE))</f>
        <v>0</v>
      </c>
      <c r="F1063" s="42">
        <f>VLOOKUP($A1063,'Neraca Unaudited SIMAK'!$A$2:$R$1272,5,FALSE)+IF(ISNA(VLOOKUP($A1063,'Mutasi Neraca'!$A$3:$S$910,5,FALSE)),0,VLOOKUP($A1063,'Mutasi Neraca'!$A$3:$S$910,5,FALSE))</f>
        <v>0</v>
      </c>
      <c r="G1063" s="42">
        <f>VLOOKUP($A1063,'Neraca Unaudited SIMAK'!$A$2:$R$1272,6,FALSE)+IF(ISNA(VLOOKUP($A1063,'Mutasi Neraca'!$A$3:$S$910,6,FALSE)),0,VLOOKUP($A1063,'Mutasi Neraca'!$A$3:$S$910,6,FALSE))</f>
        <v>0</v>
      </c>
      <c r="H1063" s="42">
        <f>VLOOKUP($A1063,'Neraca Unaudited SIMAK'!$A$2:$R$1272,7,FALSE)+IF(ISNA(VLOOKUP($A1063,'Mutasi Neraca'!$A$3:$S$910,7,FALSE)),0,VLOOKUP($A1063,'Mutasi Neraca'!$A$3:$S$910,7,FALSE))</f>
        <v>0</v>
      </c>
      <c r="I1063" s="42">
        <f>VLOOKUP($A1063,'Neraca Unaudited SIMAK'!$A$2:$R$1272,8,FALSE)+IF(ISNA(VLOOKUP($A1063,'Mutasi Neraca'!$A$3:$S$910,8,FALSE)),0,VLOOKUP($A1063,'Mutasi Neraca'!$A$3:$S$910,8,FALSE))</f>
        <v>0</v>
      </c>
      <c r="J1063" s="42">
        <f>VLOOKUP($A1063,'Neraca Unaudited SIMAK'!$A$2:$R$1272,9,FALSE)+IF(ISNA(VLOOKUP($A1063,'Mutasi Neraca'!$A$3:$S$910,9,FALSE)),0,VLOOKUP($A1063,'Mutasi Neraca'!$A$3:$S$910,9,FALSE))</f>
        <v>0</v>
      </c>
      <c r="K1063" s="42">
        <f>VLOOKUP($A1063,'Neraca Unaudited SIMAK'!$A$2:$R$1272,10,FALSE)+IF(ISNA(VLOOKUP($A1063,'Mutasi Neraca'!$A$3:$S$910,10,FALSE)),0,VLOOKUP($A1063,'Mutasi Neraca'!$A$3:$S$910,10,FALSE))</f>
        <v>0</v>
      </c>
      <c r="L1063" s="42">
        <f>VLOOKUP($A1063,'Neraca Unaudited SIMAK'!$A$2:$R$1272,11,FALSE)+IF(ISNA(VLOOKUP($A1063,'Mutasi Neraca'!$A$3:$S$910,11,FALSE)),0,VLOOKUP($A1063,'Mutasi Neraca'!$A$3:$S$910,11,FALSE))</f>
        <v>0</v>
      </c>
      <c r="M1063" s="42">
        <f>VLOOKUP($A1063,'Neraca Unaudited SIMAK'!$A$2:$R$1272,12,FALSE)+IF(ISNA(VLOOKUP($A1063,'Mutasi Neraca'!$A$3:$S$910,12,FALSE)),0,VLOOKUP($A1063,'Mutasi Neraca'!$A$3:$S$910,12,FALSE))</f>
        <v>1006000</v>
      </c>
      <c r="N1063" s="42">
        <f>VLOOKUP($A1063,'Neraca Unaudited SIMAK'!$A$2:$R$1272,13,FALSE)+IF(ISNA(VLOOKUP($A1063,'Mutasi Neraca'!$A$3:$S$910,13,FALSE)),0,VLOOKUP($A1063,'Mutasi Neraca'!$A$3:$S$910,13,FALSE))</f>
        <v>0</v>
      </c>
      <c r="O1063" s="42">
        <f>VLOOKUP($A1063,'Neraca Unaudited SIMAK'!$A$2:$R$1272,14,FALSE)+IF(ISNA(VLOOKUP($A1063,'Mutasi Neraca'!$A$3:$S$910,14,FALSE)),0,VLOOKUP($A1063,'Mutasi Neraca'!$A$3:$S$910,14,FALSE))</f>
        <v>0</v>
      </c>
      <c r="P1063" s="42">
        <f>VLOOKUP($A1063,'Neraca Unaudited SIMAK'!$A$2:$R$1272,15,FALSE)+IF(ISNA(VLOOKUP($A1063,'Mutasi Neraca'!$A$3:$S$910,15,FALSE)),0,VLOOKUP($A1063,'Mutasi Neraca'!$A$3:$S$910,15,FALSE))</f>
        <v>0</v>
      </c>
      <c r="Q1063" s="42">
        <f>VLOOKUP($A1063,'Neraca Unaudited SIMAK'!$A$2:$R$1272,16,FALSE)+IF(ISNA(VLOOKUP($A1063,'Mutasi Neraca'!$A$3:$S$910,16,FALSE)),0,VLOOKUP($A1063,'Mutasi Neraca'!$A$3:$S$910,16,FALSE))</f>
        <v>0</v>
      </c>
      <c r="R1063" s="42">
        <f>VLOOKUP($A1063,'Neraca Unaudited SIMAK'!$A$2:$R$1272,17,FALSE)+IF(ISNA(VLOOKUP($A1063,'Mutasi Neraca'!$A$3:$S$910,17,FALSE)),0,VLOOKUP($A1063,'Mutasi Neraca'!$A$3:$S$910,17,FALSE))</f>
        <v>0</v>
      </c>
      <c r="S1063" s="42">
        <f t="shared" si="75"/>
        <v>1006000</v>
      </c>
    </row>
    <row r="1064" spans="1:19">
      <c r="A1064" s="41" t="s">
        <v>2063</v>
      </c>
      <c r="B1064" s="41" t="str">
        <f t="shared" si="74"/>
        <v>005031600</v>
      </c>
      <c r="D1064" s="42">
        <f>VLOOKUP($A1064,'Neraca Unaudited SIMAK'!$A$2:$R$1272,3,FALSE)+IF(ISNA(VLOOKUP($A1064,'Mutasi Neraca'!$A$3:$S$910,3,FALSE)),0,VLOOKUP($A1064,'Mutasi Neraca'!$A$3:$S$910,3,FALSE))</f>
        <v>4035877</v>
      </c>
      <c r="E1064" s="42">
        <f>VLOOKUP($A1064,'Neraca Unaudited SIMAK'!$A$2:$R$1272,4,FALSE)+IF(ISNA(VLOOKUP($A1064,'Mutasi Neraca'!$A$3:$S$910,4,FALSE)),0,VLOOKUP($A1064,'Mutasi Neraca'!$A$3:$S$910,4,FALSE))</f>
        <v>0</v>
      </c>
      <c r="F1064" s="42">
        <f>VLOOKUP($A1064,'Neraca Unaudited SIMAK'!$A$2:$R$1272,5,FALSE)+IF(ISNA(VLOOKUP($A1064,'Mutasi Neraca'!$A$3:$S$910,5,FALSE)),0,VLOOKUP($A1064,'Mutasi Neraca'!$A$3:$S$910,5,FALSE))</f>
        <v>0</v>
      </c>
      <c r="G1064" s="42">
        <f>VLOOKUP($A1064,'Neraca Unaudited SIMAK'!$A$2:$R$1272,6,FALSE)+IF(ISNA(VLOOKUP($A1064,'Mutasi Neraca'!$A$3:$S$910,6,FALSE)),0,VLOOKUP($A1064,'Mutasi Neraca'!$A$3:$S$910,6,FALSE))</f>
        <v>0</v>
      </c>
      <c r="H1064" s="42">
        <f>VLOOKUP($A1064,'Neraca Unaudited SIMAK'!$A$2:$R$1272,7,FALSE)+IF(ISNA(VLOOKUP($A1064,'Mutasi Neraca'!$A$3:$S$910,7,FALSE)),0,VLOOKUP($A1064,'Mutasi Neraca'!$A$3:$S$910,7,FALSE))</f>
        <v>0</v>
      </c>
      <c r="I1064" s="42">
        <f>VLOOKUP($A1064,'Neraca Unaudited SIMAK'!$A$2:$R$1272,8,FALSE)+IF(ISNA(VLOOKUP($A1064,'Mutasi Neraca'!$A$3:$S$910,8,FALSE)),0,VLOOKUP($A1064,'Mutasi Neraca'!$A$3:$S$910,8,FALSE))</f>
        <v>0</v>
      </c>
      <c r="J1064" s="42">
        <f>VLOOKUP($A1064,'Neraca Unaudited SIMAK'!$A$2:$R$1272,9,FALSE)+IF(ISNA(VLOOKUP($A1064,'Mutasi Neraca'!$A$3:$S$910,9,FALSE)),0,VLOOKUP($A1064,'Mutasi Neraca'!$A$3:$S$910,9,FALSE))</f>
        <v>0</v>
      </c>
      <c r="K1064" s="42">
        <f>VLOOKUP($A1064,'Neraca Unaudited SIMAK'!$A$2:$R$1272,10,FALSE)+IF(ISNA(VLOOKUP($A1064,'Mutasi Neraca'!$A$3:$S$910,10,FALSE)),0,VLOOKUP($A1064,'Mutasi Neraca'!$A$3:$S$910,10,FALSE))</f>
        <v>0</v>
      </c>
      <c r="L1064" s="42">
        <f>VLOOKUP($A1064,'Neraca Unaudited SIMAK'!$A$2:$R$1272,11,FALSE)+IF(ISNA(VLOOKUP($A1064,'Mutasi Neraca'!$A$3:$S$910,11,FALSE)),0,VLOOKUP($A1064,'Mutasi Neraca'!$A$3:$S$910,11,FALSE))</f>
        <v>0</v>
      </c>
      <c r="M1064" s="42">
        <f>VLOOKUP($A1064,'Neraca Unaudited SIMAK'!$A$2:$R$1272,12,FALSE)+IF(ISNA(VLOOKUP($A1064,'Mutasi Neraca'!$A$3:$S$910,12,FALSE)),0,VLOOKUP($A1064,'Mutasi Neraca'!$A$3:$S$910,12,FALSE))</f>
        <v>4035877</v>
      </c>
      <c r="N1064" s="42">
        <f>VLOOKUP($A1064,'Neraca Unaudited SIMAK'!$A$2:$R$1272,13,FALSE)+IF(ISNA(VLOOKUP($A1064,'Mutasi Neraca'!$A$3:$S$910,13,FALSE)),0,VLOOKUP($A1064,'Mutasi Neraca'!$A$3:$S$910,13,FALSE))</f>
        <v>0</v>
      </c>
      <c r="O1064" s="42">
        <f>VLOOKUP($A1064,'Neraca Unaudited SIMAK'!$A$2:$R$1272,14,FALSE)+IF(ISNA(VLOOKUP($A1064,'Mutasi Neraca'!$A$3:$S$910,14,FALSE)),0,VLOOKUP($A1064,'Mutasi Neraca'!$A$3:$S$910,14,FALSE))</f>
        <v>0</v>
      </c>
      <c r="P1064" s="42">
        <f>VLOOKUP($A1064,'Neraca Unaudited SIMAK'!$A$2:$R$1272,15,FALSE)+IF(ISNA(VLOOKUP($A1064,'Mutasi Neraca'!$A$3:$S$910,15,FALSE)),0,VLOOKUP($A1064,'Mutasi Neraca'!$A$3:$S$910,15,FALSE))</f>
        <v>0</v>
      </c>
      <c r="Q1064" s="42">
        <f>VLOOKUP($A1064,'Neraca Unaudited SIMAK'!$A$2:$R$1272,16,FALSE)+IF(ISNA(VLOOKUP($A1064,'Mutasi Neraca'!$A$3:$S$910,16,FALSE)),0,VLOOKUP($A1064,'Mutasi Neraca'!$A$3:$S$910,16,FALSE))</f>
        <v>0</v>
      </c>
      <c r="R1064" s="42">
        <f>VLOOKUP($A1064,'Neraca Unaudited SIMAK'!$A$2:$R$1272,17,FALSE)+IF(ISNA(VLOOKUP($A1064,'Mutasi Neraca'!$A$3:$S$910,17,FALSE)),0,VLOOKUP($A1064,'Mutasi Neraca'!$A$3:$S$910,17,FALSE))</f>
        <v>0</v>
      </c>
      <c r="S1064" s="42">
        <f t="shared" si="75"/>
        <v>4035877</v>
      </c>
    </row>
    <row r="1065" spans="1:19">
      <c r="A1065" s="41" t="s">
        <v>2194</v>
      </c>
      <c r="B1065" s="41" t="str">
        <f t="shared" si="74"/>
        <v>005031600</v>
      </c>
      <c r="D1065" s="42">
        <f>VLOOKUP($A1065,'Neraca Unaudited SIMAK'!$A$2:$R$1272,3,FALSE)+IF(ISNA(VLOOKUP($A1065,'Mutasi Neraca'!$A$3:$S$910,3,FALSE)),0,VLOOKUP($A1065,'Mutasi Neraca'!$A$3:$S$910,3,FALSE))</f>
        <v>0</v>
      </c>
      <c r="E1065" s="42">
        <f>VLOOKUP($A1065,'Neraca Unaudited SIMAK'!$A$2:$R$1272,4,FALSE)+IF(ISNA(VLOOKUP($A1065,'Mutasi Neraca'!$A$3:$S$910,4,FALSE)),0,VLOOKUP($A1065,'Mutasi Neraca'!$A$3:$S$910,4,FALSE))</f>
        <v>0</v>
      </c>
      <c r="F1065" s="42">
        <f>VLOOKUP($A1065,'Neraca Unaudited SIMAK'!$A$2:$R$1272,5,FALSE)+IF(ISNA(VLOOKUP($A1065,'Mutasi Neraca'!$A$3:$S$910,5,FALSE)),0,VLOOKUP($A1065,'Mutasi Neraca'!$A$3:$S$910,5,FALSE))</f>
        <v>0</v>
      </c>
      <c r="G1065" s="42">
        <f>VLOOKUP($A1065,'Neraca Unaudited SIMAK'!$A$2:$R$1272,6,FALSE)+IF(ISNA(VLOOKUP($A1065,'Mutasi Neraca'!$A$3:$S$910,6,FALSE)),0,VLOOKUP($A1065,'Mutasi Neraca'!$A$3:$S$910,6,FALSE))</f>
        <v>0</v>
      </c>
      <c r="H1065" s="42">
        <f>VLOOKUP($A1065,'Neraca Unaudited SIMAK'!$A$2:$R$1272,7,FALSE)+IF(ISNA(VLOOKUP($A1065,'Mutasi Neraca'!$A$3:$S$910,7,FALSE)),0,VLOOKUP($A1065,'Mutasi Neraca'!$A$3:$S$910,7,FALSE))</f>
        <v>0</v>
      </c>
      <c r="I1065" s="42">
        <f>VLOOKUP($A1065,'Neraca Unaudited SIMAK'!$A$2:$R$1272,8,FALSE)+IF(ISNA(VLOOKUP($A1065,'Mutasi Neraca'!$A$3:$S$910,8,FALSE)),0,VLOOKUP($A1065,'Mutasi Neraca'!$A$3:$S$910,8,FALSE))</f>
        <v>0</v>
      </c>
      <c r="J1065" s="42">
        <f>VLOOKUP($A1065,'Neraca Unaudited SIMAK'!$A$2:$R$1272,9,FALSE)+IF(ISNA(VLOOKUP($A1065,'Mutasi Neraca'!$A$3:$S$910,9,FALSE)),0,VLOOKUP($A1065,'Mutasi Neraca'!$A$3:$S$910,9,FALSE))</f>
        <v>0</v>
      </c>
      <c r="K1065" s="42">
        <f>VLOOKUP($A1065,'Neraca Unaudited SIMAK'!$A$2:$R$1272,10,FALSE)+IF(ISNA(VLOOKUP($A1065,'Mutasi Neraca'!$A$3:$S$910,10,FALSE)),0,VLOOKUP($A1065,'Mutasi Neraca'!$A$3:$S$910,10,FALSE))</f>
        <v>0</v>
      </c>
      <c r="L1065" s="42">
        <f>VLOOKUP($A1065,'Neraca Unaudited SIMAK'!$A$2:$R$1272,11,FALSE)+IF(ISNA(VLOOKUP($A1065,'Mutasi Neraca'!$A$3:$S$910,11,FALSE)),0,VLOOKUP($A1065,'Mutasi Neraca'!$A$3:$S$910,11,FALSE))</f>
        <v>0</v>
      </c>
      <c r="M1065" s="42">
        <f>VLOOKUP($A1065,'Neraca Unaudited SIMAK'!$A$2:$R$1272,12,FALSE)+IF(ISNA(VLOOKUP($A1065,'Mutasi Neraca'!$A$3:$S$910,12,FALSE)),0,VLOOKUP($A1065,'Mutasi Neraca'!$A$3:$S$910,12,FALSE))</f>
        <v>0</v>
      </c>
      <c r="N1065" s="42">
        <f>VLOOKUP($A1065,'Neraca Unaudited SIMAK'!$A$2:$R$1272,13,FALSE)+IF(ISNA(VLOOKUP($A1065,'Mutasi Neraca'!$A$3:$S$910,13,FALSE)),0,VLOOKUP($A1065,'Mutasi Neraca'!$A$3:$S$910,13,FALSE))</f>
        <v>0</v>
      </c>
      <c r="O1065" s="42">
        <f>VLOOKUP($A1065,'Neraca Unaudited SIMAK'!$A$2:$R$1272,14,FALSE)+IF(ISNA(VLOOKUP($A1065,'Mutasi Neraca'!$A$3:$S$910,14,FALSE)),0,VLOOKUP($A1065,'Mutasi Neraca'!$A$3:$S$910,14,FALSE))</f>
        <v>0</v>
      </c>
      <c r="P1065" s="42">
        <f>VLOOKUP($A1065,'Neraca Unaudited SIMAK'!$A$2:$R$1272,15,FALSE)+IF(ISNA(VLOOKUP($A1065,'Mutasi Neraca'!$A$3:$S$910,15,FALSE)),0,VLOOKUP($A1065,'Mutasi Neraca'!$A$3:$S$910,15,FALSE))</f>
        <v>0</v>
      </c>
      <c r="Q1065" s="42">
        <f>VLOOKUP($A1065,'Neraca Unaudited SIMAK'!$A$2:$R$1272,16,FALSE)+IF(ISNA(VLOOKUP($A1065,'Mutasi Neraca'!$A$3:$S$910,16,FALSE)),0,VLOOKUP($A1065,'Mutasi Neraca'!$A$3:$S$910,16,FALSE))</f>
        <v>0</v>
      </c>
      <c r="R1065" s="42">
        <f>VLOOKUP($A1065,'Neraca Unaudited SIMAK'!$A$2:$R$1272,17,FALSE)+IF(ISNA(VLOOKUP($A1065,'Mutasi Neraca'!$A$3:$S$910,17,FALSE)),0,VLOOKUP($A1065,'Mutasi Neraca'!$A$3:$S$910,17,FALSE))</f>
        <v>0</v>
      </c>
      <c r="S1065" s="42">
        <f t="shared" si="75"/>
        <v>0</v>
      </c>
    </row>
    <row r="1066" spans="1:19">
      <c r="A1066" s="41" t="s">
        <v>1011</v>
      </c>
      <c r="B1066" s="41" t="str">
        <f t="shared" si="74"/>
        <v>005031700</v>
      </c>
      <c r="D1066" s="42">
        <f>VLOOKUP($A1066,'Neraca Unaudited SIMAK'!$A$2:$R$1272,3,FALSE)+IF(ISNA(VLOOKUP($A1066,'Mutasi Neraca'!$A$3:$S$910,3,FALSE)),0,VLOOKUP($A1066,'Mutasi Neraca'!$A$3:$S$910,3,FALSE))</f>
        <v>70000</v>
      </c>
      <c r="E1066" s="42">
        <f>VLOOKUP($A1066,'Neraca Unaudited SIMAK'!$A$2:$R$1272,4,FALSE)+IF(ISNA(VLOOKUP($A1066,'Mutasi Neraca'!$A$3:$S$910,4,FALSE)),0,VLOOKUP($A1066,'Mutasi Neraca'!$A$3:$S$910,4,FALSE))</f>
        <v>0</v>
      </c>
      <c r="F1066" s="42">
        <f>VLOOKUP($A1066,'Neraca Unaudited SIMAK'!$A$2:$R$1272,5,FALSE)+IF(ISNA(VLOOKUP($A1066,'Mutasi Neraca'!$A$3:$S$910,5,FALSE)),0,VLOOKUP($A1066,'Mutasi Neraca'!$A$3:$S$910,5,FALSE))</f>
        <v>0</v>
      </c>
      <c r="G1066" s="42">
        <f>VLOOKUP($A1066,'Neraca Unaudited SIMAK'!$A$2:$R$1272,6,FALSE)+IF(ISNA(VLOOKUP($A1066,'Mutasi Neraca'!$A$3:$S$910,6,FALSE)),0,VLOOKUP($A1066,'Mutasi Neraca'!$A$3:$S$910,6,FALSE))</f>
        <v>0</v>
      </c>
      <c r="H1066" s="42">
        <f>VLOOKUP($A1066,'Neraca Unaudited SIMAK'!$A$2:$R$1272,7,FALSE)+IF(ISNA(VLOOKUP($A1066,'Mutasi Neraca'!$A$3:$S$910,7,FALSE)),0,VLOOKUP($A1066,'Mutasi Neraca'!$A$3:$S$910,7,FALSE))</f>
        <v>0</v>
      </c>
      <c r="I1066" s="42">
        <f>VLOOKUP($A1066,'Neraca Unaudited SIMAK'!$A$2:$R$1272,8,FALSE)+IF(ISNA(VLOOKUP($A1066,'Mutasi Neraca'!$A$3:$S$910,8,FALSE)),0,VLOOKUP($A1066,'Mutasi Neraca'!$A$3:$S$910,8,FALSE))</f>
        <v>0</v>
      </c>
      <c r="J1066" s="42">
        <f>VLOOKUP($A1066,'Neraca Unaudited SIMAK'!$A$2:$R$1272,9,FALSE)+IF(ISNA(VLOOKUP($A1066,'Mutasi Neraca'!$A$3:$S$910,9,FALSE)),0,VLOOKUP($A1066,'Mutasi Neraca'!$A$3:$S$910,9,FALSE))</f>
        <v>0</v>
      </c>
      <c r="K1066" s="42">
        <f>VLOOKUP($A1066,'Neraca Unaudited SIMAK'!$A$2:$R$1272,10,FALSE)+IF(ISNA(VLOOKUP($A1066,'Mutasi Neraca'!$A$3:$S$910,10,FALSE)),0,VLOOKUP($A1066,'Mutasi Neraca'!$A$3:$S$910,10,FALSE))</f>
        <v>0</v>
      </c>
      <c r="L1066" s="42">
        <f>VLOOKUP($A1066,'Neraca Unaudited SIMAK'!$A$2:$R$1272,11,FALSE)+IF(ISNA(VLOOKUP($A1066,'Mutasi Neraca'!$A$3:$S$910,11,FALSE)),0,VLOOKUP($A1066,'Mutasi Neraca'!$A$3:$S$910,11,FALSE))</f>
        <v>0</v>
      </c>
      <c r="M1066" s="42">
        <f>VLOOKUP($A1066,'Neraca Unaudited SIMAK'!$A$2:$R$1272,12,FALSE)+IF(ISNA(VLOOKUP($A1066,'Mutasi Neraca'!$A$3:$S$910,12,FALSE)),0,VLOOKUP($A1066,'Mutasi Neraca'!$A$3:$S$910,12,FALSE))</f>
        <v>70000</v>
      </c>
      <c r="N1066" s="42">
        <f>VLOOKUP($A1066,'Neraca Unaudited SIMAK'!$A$2:$R$1272,13,FALSE)+IF(ISNA(VLOOKUP($A1066,'Mutasi Neraca'!$A$3:$S$910,13,FALSE)),0,VLOOKUP($A1066,'Mutasi Neraca'!$A$3:$S$910,13,FALSE))</f>
        <v>0</v>
      </c>
      <c r="O1066" s="42">
        <f>VLOOKUP($A1066,'Neraca Unaudited SIMAK'!$A$2:$R$1272,14,FALSE)+IF(ISNA(VLOOKUP($A1066,'Mutasi Neraca'!$A$3:$S$910,14,FALSE)),0,VLOOKUP($A1066,'Mutasi Neraca'!$A$3:$S$910,14,FALSE))</f>
        <v>0</v>
      </c>
      <c r="P1066" s="42">
        <f>VLOOKUP($A1066,'Neraca Unaudited SIMAK'!$A$2:$R$1272,15,FALSE)+IF(ISNA(VLOOKUP($A1066,'Mutasi Neraca'!$A$3:$S$910,15,FALSE)),0,VLOOKUP($A1066,'Mutasi Neraca'!$A$3:$S$910,15,FALSE))</f>
        <v>0</v>
      </c>
      <c r="Q1066" s="42">
        <f>VLOOKUP($A1066,'Neraca Unaudited SIMAK'!$A$2:$R$1272,16,FALSE)+IF(ISNA(VLOOKUP($A1066,'Mutasi Neraca'!$A$3:$S$910,16,FALSE)),0,VLOOKUP($A1066,'Mutasi Neraca'!$A$3:$S$910,16,FALSE))</f>
        <v>0</v>
      </c>
      <c r="R1066" s="42">
        <f>VLOOKUP($A1066,'Neraca Unaudited SIMAK'!$A$2:$R$1272,17,FALSE)+IF(ISNA(VLOOKUP($A1066,'Mutasi Neraca'!$A$3:$S$910,17,FALSE)),0,VLOOKUP($A1066,'Mutasi Neraca'!$A$3:$S$910,17,FALSE))</f>
        <v>0</v>
      </c>
      <c r="S1066" s="42">
        <f t="shared" si="75"/>
        <v>70000</v>
      </c>
    </row>
    <row r="1067" spans="1:19">
      <c r="A1067" s="41" t="s">
        <v>1012</v>
      </c>
      <c r="B1067" s="41" t="str">
        <f t="shared" si="74"/>
        <v>005031700</v>
      </c>
      <c r="D1067" s="42">
        <f>VLOOKUP($A1067,'Neraca Unaudited SIMAK'!$A$2:$R$1272,3,FALSE)+IF(ISNA(VLOOKUP($A1067,'Mutasi Neraca'!$A$3:$S$910,3,FALSE)),0,VLOOKUP($A1067,'Mutasi Neraca'!$A$3:$S$910,3,FALSE))</f>
        <v>70987682</v>
      </c>
      <c r="E1067" s="42">
        <f>VLOOKUP($A1067,'Neraca Unaudited SIMAK'!$A$2:$R$1272,4,FALSE)+IF(ISNA(VLOOKUP($A1067,'Mutasi Neraca'!$A$3:$S$910,4,FALSE)),0,VLOOKUP($A1067,'Mutasi Neraca'!$A$3:$S$910,4,FALSE))</f>
        <v>0</v>
      </c>
      <c r="F1067" s="42">
        <f>VLOOKUP($A1067,'Neraca Unaudited SIMAK'!$A$2:$R$1272,5,FALSE)+IF(ISNA(VLOOKUP($A1067,'Mutasi Neraca'!$A$3:$S$910,5,FALSE)),0,VLOOKUP($A1067,'Mutasi Neraca'!$A$3:$S$910,5,FALSE))</f>
        <v>0</v>
      </c>
      <c r="G1067" s="42">
        <f>VLOOKUP($A1067,'Neraca Unaudited SIMAK'!$A$2:$R$1272,6,FALSE)+IF(ISNA(VLOOKUP($A1067,'Mutasi Neraca'!$A$3:$S$910,6,FALSE)),0,VLOOKUP($A1067,'Mutasi Neraca'!$A$3:$S$910,6,FALSE))</f>
        <v>0</v>
      </c>
      <c r="H1067" s="42">
        <f>VLOOKUP($A1067,'Neraca Unaudited SIMAK'!$A$2:$R$1272,7,FALSE)+IF(ISNA(VLOOKUP($A1067,'Mutasi Neraca'!$A$3:$S$910,7,FALSE)),0,VLOOKUP($A1067,'Mutasi Neraca'!$A$3:$S$910,7,FALSE))</f>
        <v>0</v>
      </c>
      <c r="I1067" s="42">
        <f>VLOOKUP($A1067,'Neraca Unaudited SIMAK'!$A$2:$R$1272,8,FALSE)+IF(ISNA(VLOOKUP($A1067,'Mutasi Neraca'!$A$3:$S$910,8,FALSE)),0,VLOOKUP($A1067,'Mutasi Neraca'!$A$3:$S$910,8,FALSE))</f>
        <v>0</v>
      </c>
      <c r="J1067" s="42">
        <f>VLOOKUP($A1067,'Neraca Unaudited SIMAK'!$A$2:$R$1272,9,FALSE)+IF(ISNA(VLOOKUP($A1067,'Mutasi Neraca'!$A$3:$S$910,9,FALSE)),0,VLOOKUP($A1067,'Mutasi Neraca'!$A$3:$S$910,9,FALSE))</f>
        <v>0</v>
      </c>
      <c r="K1067" s="42">
        <f>VLOOKUP($A1067,'Neraca Unaudited SIMAK'!$A$2:$R$1272,10,FALSE)+IF(ISNA(VLOOKUP($A1067,'Mutasi Neraca'!$A$3:$S$910,10,FALSE)),0,VLOOKUP($A1067,'Mutasi Neraca'!$A$3:$S$910,10,FALSE))</f>
        <v>0</v>
      </c>
      <c r="L1067" s="42">
        <f>VLOOKUP($A1067,'Neraca Unaudited SIMAK'!$A$2:$R$1272,11,FALSE)+IF(ISNA(VLOOKUP($A1067,'Mutasi Neraca'!$A$3:$S$910,11,FALSE)),0,VLOOKUP($A1067,'Mutasi Neraca'!$A$3:$S$910,11,FALSE))</f>
        <v>0</v>
      </c>
      <c r="M1067" s="42">
        <f>VLOOKUP($A1067,'Neraca Unaudited SIMAK'!$A$2:$R$1272,12,FALSE)+IF(ISNA(VLOOKUP($A1067,'Mutasi Neraca'!$A$3:$S$910,12,FALSE)),0,VLOOKUP($A1067,'Mutasi Neraca'!$A$3:$S$910,12,FALSE))</f>
        <v>70987682</v>
      </c>
      <c r="N1067" s="42">
        <f>VLOOKUP($A1067,'Neraca Unaudited SIMAK'!$A$2:$R$1272,13,FALSE)+IF(ISNA(VLOOKUP($A1067,'Mutasi Neraca'!$A$3:$S$910,13,FALSE)),0,VLOOKUP($A1067,'Mutasi Neraca'!$A$3:$S$910,13,FALSE))</f>
        <v>0</v>
      </c>
      <c r="O1067" s="42">
        <f>VLOOKUP($A1067,'Neraca Unaudited SIMAK'!$A$2:$R$1272,14,FALSE)+IF(ISNA(VLOOKUP($A1067,'Mutasi Neraca'!$A$3:$S$910,14,FALSE)),0,VLOOKUP($A1067,'Mutasi Neraca'!$A$3:$S$910,14,FALSE))</f>
        <v>0</v>
      </c>
      <c r="P1067" s="42">
        <f>VLOOKUP($A1067,'Neraca Unaudited SIMAK'!$A$2:$R$1272,15,FALSE)+IF(ISNA(VLOOKUP($A1067,'Mutasi Neraca'!$A$3:$S$910,15,FALSE)),0,VLOOKUP($A1067,'Mutasi Neraca'!$A$3:$S$910,15,FALSE))</f>
        <v>0</v>
      </c>
      <c r="Q1067" s="42">
        <f>VLOOKUP($A1067,'Neraca Unaudited SIMAK'!$A$2:$R$1272,16,FALSE)+IF(ISNA(VLOOKUP($A1067,'Mutasi Neraca'!$A$3:$S$910,16,FALSE)),0,VLOOKUP($A1067,'Mutasi Neraca'!$A$3:$S$910,16,FALSE))</f>
        <v>0</v>
      </c>
      <c r="R1067" s="42">
        <f>VLOOKUP($A1067,'Neraca Unaudited SIMAK'!$A$2:$R$1272,17,FALSE)+IF(ISNA(VLOOKUP($A1067,'Mutasi Neraca'!$A$3:$S$910,17,FALSE)),0,VLOOKUP($A1067,'Mutasi Neraca'!$A$3:$S$910,17,FALSE))</f>
        <v>0</v>
      </c>
      <c r="S1067" s="42">
        <f t="shared" si="75"/>
        <v>70987682</v>
      </c>
    </row>
    <row r="1068" spans="1:19">
      <c r="A1068" s="41" t="s">
        <v>1013</v>
      </c>
      <c r="B1068" s="41" t="str">
        <f t="shared" si="74"/>
        <v>005031700</v>
      </c>
      <c r="D1068" s="42">
        <f>VLOOKUP($A1068,'Neraca Unaudited SIMAK'!$A$2:$R$1272,3,FALSE)+IF(ISNA(VLOOKUP($A1068,'Mutasi Neraca'!$A$3:$S$910,3,FALSE)),0,VLOOKUP($A1068,'Mutasi Neraca'!$A$3:$S$910,3,FALSE))</f>
        <v>6585500</v>
      </c>
      <c r="E1068" s="42">
        <f>VLOOKUP($A1068,'Neraca Unaudited SIMAK'!$A$2:$R$1272,4,FALSE)+IF(ISNA(VLOOKUP($A1068,'Mutasi Neraca'!$A$3:$S$910,4,FALSE)),0,VLOOKUP($A1068,'Mutasi Neraca'!$A$3:$S$910,4,FALSE))</f>
        <v>0</v>
      </c>
      <c r="F1068" s="42">
        <f>VLOOKUP($A1068,'Neraca Unaudited SIMAK'!$A$2:$R$1272,5,FALSE)+IF(ISNA(VLOOKUP($A1068,'Mutasi Neraca'!$A$3:$S$910,5,FALSE)),0,VLOOKUP($A1068,'Mutasi Neraca'!$A$3:$S$910,5,FALSE))</f>
        <v>0</v>
      </c>
      <c r="G1068" s="42">
        <f>VLOOKUP($A1068,'Neraca Unaudited SIMAK'!$A$2:$R$1272,6,FALSE)+IF(ISNA(VLOOKUP($A1068,'Mutasi Neraca'!$A$3:$S$910,6,FALSE)),0,VLOOKUP($A1068,'Mutasi Neraca'!$A$3:$S$910,6,FALSE))</f>
        <v>0</v>
      </c>
      <c r="H1068" s="42">
        <f>VLOOKUP($A1068,'Neraca Unaudited SIMAK'!$A$2:$R$1272,7,FALSE)+IF(ISNA(VLOOKUP($A1068,'Mutasi Neraca'!$A$3:$S$910,7,FALSE)),0,VLOOKUP($A1068,'Mutasi Neraca'!$A$3:$S$910,7,FALSE))</f>
        <v>0</v>
      </c>
      <c r="I1068" s="42">
        <f>VLOOKUP($A1068,'Neraca Unaudited SIMAK'!$A$2:$R$1272,8,FALSE)+IF(ISNA(VLOOKUP($A1068,'Mutasi Neraca'!$A$3:$S$910,8,FALSE)),0,VLOOKUP($A1068,'Mutasi Neraca'!$A$3:$S$910,8,FALSE))</f>
        <v>0</v>
      </c>
      <c r="J1068" s="42">
        <f>VLOOKUP($A1068,'Neraca Unaudited SIMAK'!$A$2:$R$1272,9,FALSE)+IF(ISNA(VLOOKUP($A1068,'Mutasi Neraca'!$A$3:$S$910,9,FALSE)),0,VLOOKUP($A1068,'Mutasi Neraca'!$A$3:$S$910,9,FALSE))</f>
        <v>0</v>
      </c>
      <c r="K1068" s="42">
        <f>VLOOKUP($A1068,'Neraca Unaudited SIMAK'!$A$2:$R$1272,10,FALSE)+IF(ISNA(VLOOKUP($A1068,'Mutasi Neraca'!$A$3:$S$910,10,FALSE)),0,VLOOKUP($A1068,'Mutasi Neraca'!$A$3:$S$910,10,FALSE))</f>
        <v>0</v>
      </c>
      <c r="L1068" s="42">
        <f>VLOOKUP($A1068,'Neraca Unaudited SIMAK'!$A$2:$R$1272,11,FALSE)+IF(ISNA(VLOOKUP($A1068,'Mutasi Neraca'!$A$3:$S$910,11,FALSE)),0,VLOOKUP($A1068,'Mutasi Neraca'!$A$3:$S$910,11,FALSE))</f>
        <v>0</v>
      </c>
      <c r="M1068" s="42">
        <f>VLOOKUP($A1068,'Neraca Unaudited SIMAK'!$A$2:$R$1272,12,FALSE)+IF(ISNA(VLOOKUP($A1068,'Mutasi Neraca'!$A$3:$S$910,12,FALSE)),0,VLOOKUP($A1068,'Mutasi Neraca'!$A$3:$S$910,12,FALSE))</f>
        <v>6585500</v>
      </c>
      <c r="N1068" s="42">
        <f>VLOOKUP($A1068,'Neraca Unaudited SIMAK'!$A$2:$R$1272,13,FALSE)+IF(ISNA(VLOOKUP($A1068,'Mutasi Neraca'!$A$3:$S$910,13,FALSE)),0,VLOOKUP($A1068,'Mutasi Neraca'!$A$3:$S$910,13,FALSE))</f>
        <v>0</v>
      </c>
      <c r="O1068" s="42">
        <f>VLOOKUP($A1068,'Neraca Unaudited SIMAK'!$A$2:$R$1272,14,FALSE)+IF(ISNA(VLOOKUP($A1068,'Mutasi Neraca'!$A$3:$S$910,14,FALSE)),0,VLOOKUP($A1068,'Mutasi Neraca'!$A$3:$S$910,14,FALSE))</f>
        <v>0</v>
      </c>
      <c r="P1068" s="42">
        <f>VLOOKUP($A1068,'Neraca Unaudited SIMAK'!$A$2:$R$1272,15,FALSE)+IF(ISNA(VLOOKUP($A1068,'Mutasi Neraca'!$A$3:$S$910,15,FALSE)),0,VLOOKUP($A1068,'Mutasi Neraca'!$A$3:$S$910,15,FALSE))</f>
        <v>0</v>
      </c>
      <c r="Q1068" s="42">
        <f>VLOOKUP($A1068,'Neraca Unaudited SIMAK'!$A$2:$R$1272,16,FALSE)+IF(ISNA(VLOOKUP($A1068,'Mutasi Neraca'!$A$3:$S$910,16,FALSE)),0,VLOOKUP($A1068,'Mutasi Neraca'!$A$3:$S$910,16,FALSE))</f>
        <v>0</v>
      </c>
      <c r="R1068" s="42">
        <f>VLOOKUP($A1068,'Neraca Unaudited SIMAK'!$A$2:$R$1272,17,FALSE)+IF(ISNA(VLOOKUP($A1068,'Mutasi Neraca'!$A$3:$S$910,17,FALSE)),0,VLOOKUP($A1068,'Mutasi Neraca'!$A$3:$S$910,17,FALSE))</f>
        <v>0</v>
      </c>
      <c r="S1068" s="42">
        <f t="shared" si="75"/>
        <v>6585500</v>
      </c>
    </row>
    <row r="1069" spans="1:19">
      <c r="A1069" s="41" t="s">
        <v>2195</v>
      </c>
      <c r="B1069" s="41" t="str">
        <f t="shared" si="74"/>
        <v>005031700</v>
      </c>
      <c r="D1069" s="42">
        <f>VLOOKUP($A1069,'Neraca Unaudited SIMAK'!$A$2:$R$1272,3,FALSE)+IF(ISNA(VLOOKUP($A1069,'Mutasi Neraca'!$A$3:$S$910,3,FALSE)),0,VLOOKUP($A1069,'Mutasi Neraca'!$A$3:$S$910,3,FALSE))</f>
        <v>0</v>
      </c>
      <c r="E1069" s="42">
        <f>VLOOKUP($A1069,'Neraca Unaudited SIMAK'!$A$2:$R$1272,4,FALSE)+IF(ISNA(VLOOKUP($A1069,'Mutasi Neraca'!$A$3:$S$910,4,FALSE)),0,VLOOKUP($A1069,'Mutasi Neraca'!$A$3:$S$910,4,FALSE))</f>
        <v>0</v>
      </c>
      <c r="F1069" s="42">
        <f>VLOOKUP($A1069,'Neraca Unaudited SIMAK'!$A$2:$R$1272,5,FALSE)+IF(ISNA(VLOOKUP($A1069,'Mutasi Neraca'!$A$3:$S$910,5,FALSE)),0,VLOOKUP($A1069,'Mutasi Neraca'!$A$3:$S$910,5,FALSE))</f>
        <v>0</v>
      </c>
      <c r="G1069" s="42">
        <f>VLOOKUP($A1069,'Neraca Unaudited SIMAK'!$A$2:$R$1272,6,FALSE)+IF(ISNA(VLOOKUP($A1069,'Mutasi Neraca'!$A$3:$S$910,6,FALSE)),0,VLOOKUP($A1069,'Mutasi Neraca'!$A$3:$S$910,6,FALSE))</f>
        <v>0</v>
      </c>
      <c r="H1069" s="42">
        <f>VLOOKUP($A1069,'Neraca Unaudited SIMAK'!$A$2:$R$1272,7,FALSE)+IF(ISNA(VLOOKUP($A1069,'Mutasi Neraca'!$A$3:$S$910,7,FALSE)),0,VLOOKUP($A1069,'Mutasi Neraca'!$A$3:$S$910,7,FALSE))</f>
        <v>0</v>
      </c>
      <c r="I1069" s="42">
        <f>VLOOKUP($A1069,'Neraca Unaudited SIMAK'!$A$2:$R$1272,8,FALSE)+IF(ISNA(VLOOKUP($A1069,'Mutasi Neraca'!$A$3:$S$910,8,FALSE)),0,VLOOKUP($A1069,'Mutasi Neraca'!$A$3:$S$910,8,FALSE))</f>
        <v>0</v>
      </c>
      <c r="J1069" s="42">
        <f>VLOOKUP($A1069,'Neraca Unaudited SIMAK'!$A$2:$R$1272,9,FALSE)+IF(ISNA(VLOOKUP($A1069,'Mutasi Neraca'!$A$3:$S$910,9,FALSE)),0,VLOOKUP($A1069,'Mutasi Neraca'!$A$3:$S$910,9,FALSE))</f>
        <v>0</v>
      </c>
      <c r="K1069" s="42">
        <f>VLOOKUP($A1069,'Neraca Unaudited SIMAK'!$A$2:$R$1272,10,FALSE)+IF(ISNA(VLOOKUP($A1069,'Mutasi Neraca'!$A$3:$S$910,10,FALSE)),0,VLOOKUP($A1069,'Mutasi Neraca'!$A$3:$S$910,10,FALSE))</f>
        <v>0</v>
      </c>
      <c r="L1069" s="42">
        <f>VLOOKUP($A1069,'Neraca Unaudited SIMAK'!$A$2:$R$1272,11,FALSE)+IF(ISNA(VLOOKUP($A1069,'Mutasi Neraca'!$A$3:$S$910,11,FALSE)),0,VLOOKUP($A1069,'Mutasi Neraca'!$A$3:$S$910,11,FALSE))</f>
        <v>0</v>
      </c>
      <c r="M1069" s="42">
        <f>VLOOKUP($A1069,'Neraca Unaudited SIMAK'!$A$2:$R$1272,12,FALSE)+IF(ISNA(VLOOKUP($A1069,'Mutasi Neraca'!$A$3:$S$910,12,FALSE)),0,VLOOKUP($A1069,'Mutasi Neraca'!$A$3:$S$910,12,FALSE))</f>
        <v>0</v>
      </c>
      <c r="N1069" s="42">
        <f>VLOOKUP($A1069,'Neraca Unaudited SIMAK'!$A$2:$R$1272,13,FALSE)+IF(ISNA(VLOOKUP($A1069,'Mutasi Neraca'!$A$3:$S$910,13,FALSE)),0,VLOOKUP($A1069,'Mutasi Neraca'!$A$3:$S$910,13,FALSE))</f>
        <v>0</v>
      </c>
      <c r="O1069" s="42">
        <f>VLOOKUP($A1069,'Neraca Unaudited SIMAK'!$A$2:$R$1272,14,FALSE)+IF(ISNA(VLOOKUP($A1069,'Mutasi Neraca'!$A$3:$S$910,14,FALSE)),0,VLOOKUP($A1069,'Mutasi Neraca'!$A$3:$S$910,14,FALSE))</f>
        <v>0</v>
      </c>
      <c r="P1069" s="42">
        <f>VLOOKUP($A1069,'Neraca Unaudited SIMAK'!$A$2:$R$1272,15,FALSE)+IF(ISNA(VLOOKUP($A1069,'Mutasi Neraca'!$A$3:$S$910,15,FALSE)),0,VLOOKUP($A1069,'Mutasi Neraca'!$A$3:$S$910,15,FALSE))</f>
        <v>0</v>
      </c>
      <c r="Q1069" s="42">
        <f>VLOOKUP($A1069,'Neraca Unaudited SIMAK'!$A$2:$R$1272,16,FALSE)+IF(ISNA(VLOOKUP($A1069,'Mutasi Neraca'!$A$3:$S$910,16,FALSE)),0,VLOOKUP($A1069,'Mutasi Neraca'!$A$3:$S$910,16,FALSE))</f>
        <v>0</v>
      </c>
      <c r="R1069" s="42">
        <f>VLOOKUP($A1069,'Neraca Unaudited SIMAK'!$A$2:$R$1272,17,FALSE)+IF(ISNA(VLOOKUP($A1069,'Mutasi Neraca'!$A$3:$S$910,17,FALSE)),0,VLOOKUP($A1069,'Mutasi Neraca'!$A$3:$S$910,17,FALSE))</f>
        <v>0</v>
      </c>
      <c r="S1069" s="42">
        <f t="shared" si="75"/>
        <v>0</v>
      </c>
    </row>
    <row r="1070" spans="1:19">
      <c r="A1070" s="41" t="s">
        <v>1014</v>
      </c>
      <c r="B1070" s="41" t="str">
        <f t="shared" si="74"/>
        <v>005031700</v>
      </c>
      <c r="D1070" s="42">
        <f>VLOOKUP($A1070,'Neraca Unaudited SIMAK'!$A$2:$R$1272,3,FALSE)+IF(ISNA(VLOOKUP($A1070,'Mutasi Neraca'!$A$3:$S$910,3,FALSE)),0,VLOOKUP($A1070,'Mutasi Neraca'!$A$3:$S$910,3,FALSE))</f>
        <v>29233518</v>
      </c>
      <c r="E1070" s="42">
        <f>VLOOKUP($A1070,'Neraca Unaudited SIMAK'!$A$2:$R$1272,4,FALSE)+IF(ISNA(VLOOKUP($A1070,'Mutasi Neraca'!$A$3:$S$910,4,FALSE)),0,VLOOKUP($A1070,'Mutasi Neraca'!$A$3:$S$910,4,FALSE))</f>
        <v>0</v>
      </c>
      <c r="F1070" s="42">
        <f>VLOOKUP($A1070,'Neraca Unaudited SIMAK'!$A$2:$R$1272,5,FALSE)+IF(ISNA(VLOOKUP($A1070,'Mutasi Neraca'!$A$3:$S$910,5,FALSE)),0,VLOOKUP($A1070,'Mutasi Neraca'!$A$3:$S$910,5,FALSE))</f>
        <v>0</v>
      </c>
      <c r="G1070" s="42">
        <f>VLOOKUP($A1070,'Neraca Unaudited SIMAK'!$A$2:$R$1272,6,FALSE)+IF(ISNA(VLOOKUP($A1070,'Mutasi Neraca'!$A$3:$S$910,6,FALSE)),0,VLOOKUP($A1070,'Mutasi Neraca'!$A$3:$S$910,6,FALSE))</f>
        <v>0</v>
      </c>
      <c r="H1070" s="42">
        <f>VLOOKUP($A1070,'Neraca Unaudited SIMAK'!$A$2:$R$1272,7,FALSE)+IF(ISNA(VLOOKUP($A1070,'Mutasi Neraca'!$A$3:$S$910,7,FALSE)),0,VLOOKUP($A1070,'Mutasi Neraca'!$A$3:$S$910,7,FALSE))</f>
        <v>0</v>
      </c>
      <c r="I1070" s="42">
        <f>VLOOKUP($A1070,'Neraca Unaudited SIMAK'!$A$2:$R$1272,8,FALSE)+IF(ISNA(VLOOKUP($A1070,'Mutasi Neraca'!$A$3:$S$910,8,FALSE)),0,VLOOKUP($A1070,'Mutasi Neraca'!$A$3:$S$910,8,FALSE))</f>
        <v>0</v>
      </c>
      <c r="J1070" s="42">
        <f>VLOOKUP($A1070,'Neraca Unaudited SIMAK'!$A$2:$R$1272,9,FALSE)+IF(ISNA(VLOOKUP($A1070,'Mutasi Neraca'!$A$3:$S$910,9,FALSE)),0,VLOOKUP($A1070,'Mutasi Neraca'!$A$3:$S$910,9,FALSE))</f>
        <v>0</v>
      </c>
      <c r="K1070" s="42">
        <f>VLOOKUP($A1070,'Neraca Unaudited SIMAK'!$A$2:$R$1272,10,FALSE)+IF(ISNA(VLOOKUP($A1070,'Mutasi Neraca'!$A$3:$S$910,10,FALSE)),0,VLOOKUP($A1070,'Mutasi Neraca'!$A$3:$S$910,10,FALSE))</f>
        <v>0</v>
      </c>
      <c r="L1070" s="42">
        <f>VLOOKUP($A1070,'Neraca Unaudited SIMAK'!$A$2:$R$1272,11,FALSE)+IF(ISNA(VLOOKUP($A1070,'Mutasi Neraca'!$A$3:$S$910,11,FALSE)),0,VLOOKUP($A1070,'Mutasi Neraca'!$A$3:$S$910,11,FALSE))</f>
        <v>0</v>
      </c>
      <c r="M1070" s="42">
        <f>VLOOKUP($A1070,'Neraca Unaudited SIMAK'!$A$2:$R$1272,12,FALSE)+IF(ISNA(VLOOKUP($A1070,'Mutasi Neraca'!$A$3:$S$910,12,FALSE)),0,VLOOKUP($A1070,'Mutasi Neraca'!$A$3:$S$910,12,FALSE))</f>
        <v>29233518</v>
      </c>
      <c r="N1070" s="42">
        <f>VLOOKUP($A1070,'Neraca Unaudited SIMAK'!$A$2:$R$1272,13,FALSE)+IF(ISNA(VLOOKUP($A1070,'Mutasi Neraca'!$A$3:$S$910,13,FALSE)),0,VLOOKUP($A1070,'Mutasi Neraca'!$A$3:$S$910,13,FALSE))</f>
        <v>0</v>
      </c>
      <c r="O1070" s="42">
        <f>VLOOKUP($A1070,'Neraca Unaudited SIMAK'!$A$2:$R$1272,14,FALSE)+IF(ISNA(VLOOKUP($A1070,'Mutasi Neraca'!$A$3:$S$910,14,FALSE)),0,VLOOKUP($A1070,'Mutasi Neraca'!$A$3:$S$910,14,FALSE))</f>
        <v>0</v>
      </c>
      <c r="P1070" s="42">
        <f>VLOOKUP($A1070,'Neraca Unaudited SIMAK'!$A$2:$R$1272,15,FALSE)+IF(ISNA(VLOOKUP($A1070,'Mutasi Neraca'!$A$3:$S$910,15,FALSE)),0,VLOOKUP($A1070,'Mutasi Neraca'!$A$3:$S$910,15,FALSE))</f>
        <v>0</v>
      </c>
      <c r="Q1070" s="42">
        <f>VLOOKUP($A1070,'Neraca Unaudited SIMAK'!$A$2:$R$1272,16,FALSE)+IF(ISNA(VLOOKUP($A1070,'Mutasi Neraca'!$A$3:$S$910,16,FALSE)),0,VLOOKUP($A1070,'Mutasi Neraca'!$A$3:$S$910,16,FALSE))</f>
        <v>0</v>
      </c>
      <c r="R1070" s="42">
        <f>VLOOKUP($A1070,'Neraca Unaudited SIMAK'!$A$2:$R$1272,17,FALSE)+IF(ISNA(VLOOKUP($A1070,'Mutasi Neraca'!$A$3:$S$910,17,FALSE)),0,VLOOKUP($A1070,'Mutasi Neraca'!$A$3:$S$910,17,FALSE))</f>
        <v>0</v>
      </c>
      <c r="S1070" s="42">
        <f t="shared" si="75"/>
        <v>29233518</v>
      </c>
    </row>
    <row r="1071" spans="1:19">
      <c r="A1071" s="41" t="s">
        <v>1015</v>
      </c>
      <c r="B1071" s="41" t="str">
        <f t="shared" si="74"/>
        <v>005031700</v>
      </c>
      <c r="D1071" s="42">
        <f>VLOOKUP($A1071,'Neraca Unaudited SIMAK'!$A$2:$R$1272,3,FALSE)+IF(ISNA(VLOOKUP($A1071,'Mutasi Neraca'!$A$3:$S$910,3,FALSE)),0,VLOOKUP($A1071,'Mutasi Neraca'!$A$3:$S$910,3,FALSE))</f>
        <v>6181500</v>
      </c>
      <c r="E1071" s="42">
        <f>VLOOKUP($A1071,'Neraca Unaudited SIMAK'!$A$2:$R$1272,4,FALSE)+IF(ISNA(VLOOKUP($A1071,'Mutasi Neraca'!$A$3:$S$910,4,FALSE)),0,VLOOKUP($A1071,'Mutasi Neraca'!$A$3:$S$910,4,FALSE))</f>
        <v>0</v>
      </c>
      <c r="F1071" s="42">
        <f>VLOOKUP($A1071,'Neraca Unaudited SIMAK'!$A$2:$R$1272,5,FALSE)+IF(ISNA(VLOOKUP($A1071,'Mutasi Neraca'!$A$3:$S$910,5,FALSE)),0,VLOOKUP($A1071,'Mutasi Neraca'!$A$3:$S$910,5,FALSE))</f>
        <v>0</v>
      </c>
      <c r="G1071" s="42">
        <f>VLOOKUP($A1071,'Neraca Unaudited SIMAK'!$A$2:$R$1272,6,FALSE)+IF(ISNA(VLOOKUP($A1071,'Mutasi Neraca'!$A$3:$S$910,6,FALSE)),0,VLOOKUP($A1071,'Mutasi Neraca'!$A$3:$S$910,6,FALSE))</f>
        <v>0</v>
      </c>
      <c r="H1071" s="42">
        <f>VLOOKUP($A1071,'Neraca Unaudited SIMAK'!$A$2:$R$1272,7,FALSE)+IF(ISNA(VLOOKUP($A1071,'Mutasi Neraca'!$A$3:$S$910,7,FALSE)),0,VLOOKUP($A1071,'Mutasi Neraca'!$A$3:$S$910,7,FALSE))</f>
        <v>0</v>
      </c>
      <c r="I1071" s="42">
        <f>VLOOKUP($A1071,'Neraca Unaudited SIMAK'!$A$2:$R$1272,8,FALSE)+IF(ISNA(VLOOKUP($A1071,'Mutasi Neraca'!$A$3:$S$910,8,FALSE)),0,VLOOKUP($A1071,'Mutasi Neraca'!$A$3:$S$910,8,FALSE))</f>
        <v>0</v>
      </c>
      <c r="J1071" s="42">
        <f>VLOOKUP($A1071,'Neraca Unaudited SIMAK'!$A$2:$R$1272,9,FALSE)+IF(ISNA(VLOOKUP($A1071,'Mutasi Neraca'!$A$3:$S$910,9,FALSE)),0,VLOOKUP($A1071,'Mutasi Neraca'!$A$3:$S$910,9,FALSE))</f>
        <v>0</v>
      </c>
      <c r="K1071" s="42">
        <f>VLOOKUP($A1071,'Neraca Unaudited SIMAK'!$A$2:$R$1272,10,FALSE)+IF(ISNA(VLOOKUP($A1071,'Mutasi Neraca'!$A$3:$S$910,10,FALSE)),0,VLOOKUP($A1071,'Mutasi Neraca'!$A$3:$S$910,10,FALSE))</f>
        <v>0</v>
      </c>
      <c r="L1071" s="42">
        <f>VLOOKUP($A1071,'Neraca Unaudited SIMAK'!$A$2:$R$1272,11,FALSE)+IF(ISNA(VLOOKUP($A1071,'Mutasi Neraca'!$A$3:$S$910,11,FALSE)),0,VLOOKUP($A1071,'Mutasi Neraca'!$A$3:$S$910,11,FALSE))</f>
        <v>0</v>
      </c>
      <c r="M1071" s="42">
        <f>VLOOKUP($A1071,'Neraca Unaudited SIMAK'!$A$2:$R$1272,12,FALSE)+IF(ISNA(VLOOKUP($A1071,'Mutasi Neraca'!$A$3:$S$910,12,FALSE)),0,VLOOKUP($A1071,'Mutasi Neraca'!$A$3:$S$910,12,FALSE))</f>
        <v>6181500</v>
      </c>
      <c r="N1071" s="42">
        <f>VLOOKUP($A1071,'Neraca Unaudited SIMAK'!$A$2:$R$1272,13,FALSE)+IF(ISNA(VLOOKUP($A1071,'Mutasi Neraca'!$A$3:$S$910,13,FALSE)),0,VLOOKUP($A1071,'Mutasi Neraca'!$A$3:$S$910,13,FALSE))</f>
        <v>0</v>
      </c>
      <c r="O1071" s="42">
        <f>VLOOKUP($A1071,'Neraca Unaudited SIMAK'!$A$2:$R$1272,14,FALSE)+IF(ISNA(VLOOKUP($A1071,'Mutasi Neraca'!$A$3:$S$910,14,FALSE)),0,VLOOKUP($A1071,'Mutasi Neraca'!$A$3:$S$910,14,FALSE))</f>
        <v>0</v>
      </c>
      <c r="P1071" s="42">
        <f>VLOOKUP($A1071,'Neraca Unaudited SIMAK'!$A$2:$R$1272,15,FALSE)+IF(ISNA(VLOOKUP($A1071,'Mutasi Neraca'!$A$3:$S$910,15,FALSE)),0,VLOOKUP($A1071,'Mutasi Neraca'!$A$3:$S$910,15,FALSE))</f>
        <v>0</v>
      </c>
      <c r="Q1071" s="42">
        <f>VLOOKUP($A1071,'Neraca Unaudited SIMAK'!$A$2:$R$1272,16,FALSE)+IF(ISNA(VLOOKUP($A1071,'Mutasi Neraca'!$A$3:$S$910,16,FALSE)),0,VLOOKUP($A1071,'Mutasi Neraca'!$A$3:$S$910,16,FALSE))</f>
        <v>0</v>
      </c>
      <c r="R1071" s="42">
        <f>VLOOKUP($A1071,'Neraca Unaudited SIMAK'!$A$2:$R$1272,17,FALSE)+IF(ISNA(VLOOKUP($A1071,'Mutasi Neraca'!$A$3:$S$910,17,FALSE)),0,VLOOKUP($A1071,'Mutasi Neraca'!$A$3:$S$910,17,FALSE))</f>
        <v>0</v>
      </c>
      <c r="S1071" s="42">
        <f t="shared" si="75"/>
        <v>6181500</v>
      </c>
    </row>
    <row r="1072" spans="1:19">
      <c r="A1072" s="41" t="s">
        <v>1016</v>
      </c>
      <c r="B1072" s="41" t="str">
        <f t="shared" si="74"/>
        <v>005031700</v>
      </c>
      <c r="D1072" s="42">
        <f>VLOOKUP($A1072,'Neraca Unaudited SIMAK'!$A$2:$R$1272,3,FALSE)+IF(ISNA(VLOOKUP($A1072,'Mutasi Neraca'!$A$3:$S$910,3,FALSE)),0,VLOOKUP($A1072,'Mutasi Neraca'!$A$3:$S$910,3,FALSE))</f>
        <v>1483000</v>
      </c>
      <c r="E1072" s="42">
        <f>VLOOKUP($A1072,'Neraca Unaudited SIMAK'!$A$2:$R$1272,4,FALSE)+IF(ISNA(VLOOKUP($A1072,'Mutasi Neraca'!$A$3:$S$910,4,FALSE)),0,VLOOKUP($A1072,'Mutasi Neraca'!$A$3:$S$910,4,FALSE))</f>
        <v>0</v>
      </c>
      <c r="F1072" s="42">
        <f>VLOOKUP($A1072,'Neraca Unaudited SIMAK'!$A$2:$R$1272,5,FALSE)+IF(ISNA(VLOOKUP($A1072,'Mutasi Neraca'!$A$3:$S$910,5,FALSE)),0,VLOOKUP($A1072,'Mutasi Neraca'!$A$3:$S$910,5,FALSE))</f>
        <v>0</v>
      </c>
      <c r="G1072" s="42">
        <f>VLOOKUP($A1072,'Neraca Unaudited SIMAK'!$A$2:$R$1272,6,FALSE)+IF(ISNA(VLOOKUP($A1072,'Mutasi Neraca'!$A$3:$S$910,6,FALSE)),0,VLOOKUP($A1072,'Mutasi Neraca'!$A$3:$S$910,6,FALSE))</f>
        <v>0</v>
      </c>
      <c r="H1072" s="42">
        <f>VLOOKUP($A1072,'Neraca Unaudited SIMAK'!$A$2:$R$1272,7,FALSE)+IF(ISNA(VLOOKUP($A1072,'Mutasi Neraca'!$A$3:$S$910,7,FALSE)),0,VLOOKUP($A1072,'Mutasi Neraca'!$A$3:$S$910,7,FALSE))</f>
        <v>0</v>
      </c>
      <c r="I1072" s="42">
        <f>VLOOKUP($A1072,'Neraca Unaudited SIMAK'!$A$2:$R$1272,8,FALSE)+IF(ISNA(VLOOKUP($A1072,'Mutasi Neraca'!$A$3:$S$910,8,FALSE)),0,VLOOKUP($A1072,'Mutasi Neraca'!$A$3:$S$910,8,FALSE))</f>
        <v>0</v>
      </c>
      <c r="J1072" s="42">
        <f>VLOOKUP($A1072,'Neraca Unaudited SIMAK'!$A$2:$R$1272,9,FALSE)+IF(ISNA(VLOOKUP($A1072,'Mutasi Neraca'!$A$3:$S$910,9,FALSE)),0,VLOOKUP($A1072,'Mutasi Neraca'!$A$3:$S$910,9,FALSE))</f>
        <v>0</v>
      </c>
      <c r="K1072" s="42">
        <f>VLOOKUP($A1072,'Neraca Unaudited SIMAK'!$A$2:$R$1272,10,FALSE)+IF(ISNA(VLOOKUP($A1072,'Mutasi Neraca'!$A$3:$S$910,10,FALSE)),0,VLOOKUP($A1072,'Mutasi Neraca'!$A$3:$S$910,10,FALSE))</f>
        <v>0</v>
      </c>
      <c r="L1072" s="42">
        <f>VLOOKUP($A1072,'Neraca Unaudited SIMAK'!$A$2:$R$1272,11,FALSE)+IF(ISNA(VLOOKUP($A1072,'Mutasi Neraca'!$A$3:$S$910,11,FALSE)),0,VLOOKUP($A1072,'Mutasi Neraca'!$A$3:$S$910,11,FALSE))</f>
        <v>0</v>
      </c>
      <c r="M1072" s="42">
        <f>VLOOKUP($A1072,'Neraca Unaudited SIMAK'!$A$2:$R$1272,12,FALSE)+IF(ISNA(VLOOKUP($A1072,'Mutasi Neraca'!$A$3:$S$910,12,FALSE)),0,VLOOKUP($A1072,'Mutasi Neraca'!$A$3:$S$910,12,FALSE))</f>
        <v>1483000</v>
      </c>
      <c r="N1072" s="42">
        <f>VLOOKUP($A1072,'Neraca Unaudited SIMAK'!$A$2:$R$1272,13,FALSE)+IF(ISNA(VLOOKUP($A1072,'Mutasi Neraca'!$A$3:$S$910,13,FALSE)),0,VLOOKUP($A1072,'Mutasi Neraca'!$A$3:$S$910,13,FALSE))</f>
        <v>0</v>
      </c>
      <c r="O1072" s="42">
        <f>VLOOKUP($A1072,'Neraca Unaudited SIMAK'!$A$2:$R$1272,14,FALSE)+IF(ISNA(VLOOKUP($A1072,'Mutasi Neraca'!$A$3:$S$910,14,FALSE)),0,VLOOKUP($A1072,'Mutasi Neraca'!$A$3:$S$910,14,FALSE))</f>
        <v>0</v>
      </c>
      <c r="P1072" s="42">
        <f>VLOOKUP($A1072,'Neraca Unaudited SIMAK'!$A$2:$R$1272,15,FALSE)+IF(ISNA(VLOOKUP($A1072,'Mutasi Neraca'!$A$3:$S$910,15,FALSE)),0,VLOOKUP($A1072,'Mutasi Neraca'!$A$3:$S$910,15,FALSE))</f>
        <v>0</v>
      </c>
      <c r="Q1072" s="42">
        <f>VLOOKUP($A1072,'Neraca Unaudited SIMAK'!$A$2:$R$1272,16,FALSE)+IF(ISNA(VLOOKUP($A1072,'Mutasi Neraca'!$A$3:$S$910,16,FALSE)),0,VLOOKUP($A1072,'Mutasi Neraca'!$A$3:$S$910,16,FALSE))</f>
        <v>0</v>
      </c>
      <c r="R1072" s="42">
        <f>VLOOKUP($A1072,'Neraca Unaudited SIMAK'!$A$2:$R$1272,17,FALSE)+IF(ISNA(VLOOKUP($A1072,'Mutasi Neraca'!$A$3:$S$910,17,FALSE)),0,VLOOKUP($A1072,'Mutasi Neraca'!$A$3:$S$910,17,FALSE))</f>
        <v>0</v>
      </c>
      <c r="S1072" s="42">
        <f t="shared" si="75"/>
        <v>1483000</v>
      </c>
    </row>
    <row r="1073" spans="1:19">
      <c r="A1073" s="41" t="s">
        <v>1017</v>
      </c>
      <c r="B1073" s="41" t="str">
        <f t="shared" si="74"/>
        <v>005031700</v>
      </c>
      <c r="D1073" s="42">
        <f>VLOOKUP($A1073,'Neraca Unaudited SIMAK'!$A$2:$R$1272,3,FALSE)+IF(ISNA(VLOOKUP($A1073,'Mutasi Neraca'!$A$3:$S$910,3,FALSE)),0,VLOOKUP($A1073,'Mutasi Neraca'!$A$3:$S$910,3,FALSE))</f>
        <v>4521864</v>
      </c>
      <c r="E1073" s="42">
        <f>VLOOKUP($A1073,'Neraca Unaudited SIMAK'!$A$2:$R$1272,4,FALSE)+IF(ISNA(VLOOKUP($A1073,'Mutasi Neraca'!$A$3:$S$910,4,FALSE)),0,VLOOKUP($A1073,'Mutasi Neraca'!$A$3:$S$910,4,FALSE))</f>
        <v>0</v>
      </c>
      <c r="F1073" s="42">
        <f>VLOOKUP($A1073,'Neraca Unaudited SIMAK'!$A$2:$R$1272,5,FALSE)+IF(ISNA(VLOOKUP($A1073,'Mutasi Neraca'!$A$3:$S$910,5,FALSE)),0,VLOOKUP($A1073,'Mutasi Neraca'!$A$3:$S$910,5,FALSE))</f>
        <v>0</v>
      </c>
      <c r="G1073" s="42">
        <f>VLOOKUP($A1073,'Neraca Unaudited SIMAK'!$A$2:$R$1272,6,FALSE)+IF(ISNA(VLOOKUP($A1073,'Mutasi Neraca'!$A$3:$S$910,6,FALSE)),0,VLOOKUP($A1073,'Mutasi Neraca'!$A$3:$S$910,6,FALSE))</f>
        <v>0</v>
      </c>
      <c r="H1073" s="42">
        <f>VLOOKUP($A1073,'Neraca Unaudited SIMAK'!$A$2:$R$1272,7,FALSE)+IF(ISNA(VLOOKUP($A1073,'Mutasi Neraca'!$A$3:$S$910,7,FALSE)),0,VLOOKUP($A1073,'Mutasi Neraca'!$A$3:$S$910,7,FALSE))</f>
        <v>0</v>
      </c>
      <c r="I1073" s="42">
        <f>VLOOKUP($A1073,'Neraca Unaudited SIMAK'!$A$2:$R$1272,8,FALSE)+IF(ISNA(VLOOKUP($A1073,'Mutasi Neraca'!$A$3:$S$910,8,FALSE)),0,VLOOKUP($A1073,'Mutasi Neraca'!$A$3:$S$910,8,FALSE))</f>
        <v>0</v>
      </c>
      <c r="J1073" s="42">
        <f>VLOOKUP($A1073,'Neraca Unaudited SIMAK'!$A$2:$R$1272,9,FALSE)+IF(ISNA(VLOOKUP($A1073,'Mutasi Neraca'!$A$3:$S$910,9,FALSE)),0,VLOOKUP($A1073,'Mutasi Neraca'!$A$3:$S$910,9,FALSE))</f>
        <v>0</v>
      </c>
      <c r="K1073" s="42">
        <f>VLOOKUP($A1073,'Neraca Unaudited SIMAK'!$A$2:$R$1272,10,FALSE)+IF(ISNA(VLOOKUP($A1073,'Mutasi Neraca'!$A$3:$S$910,10,FALSE)),0,VLOOKUP($A1073,'Mutasi Neraca'!$A$3:$S$910,10,FALSE))</f>
        <v>0</v>
      </c>
      <c r="L1073" s="42">
        <f>VLOOKUP($A1073,'Neraca Unaudited SIMAK'!$A$2:$R$1272,11,FALSE)+IF(ISNA(VLOOKUP($A1073,'Mutasi Neraca'!$A$3:$S$910,11,FALSE)),0,VLOOKUP($A1073,'Mutasi Neraca'!$A$3:$S$910,11,FALSE))</f>
        <v>0</v>
      </c>
      <c r="M1073" s="42">
        <f>VLOOKUP($A1073,'Neraca Unaudited SIMAK'!$A$2:$R$1272,12,FALSE)+IF(ISNA(VLOOKUP($A1073,'Mutasi Neraca'!$A$3:$S$910,12,FALSE)),0,VLOOKUP($A1073,'Mutasi Neraca'!$A$3:$S$910,12,FALSE))</f>
        <v>4521864</v>
      </c>
      <c r="N1073" s="42">
        <f>VLOOKUP($A1073,'Neraca Unaudited SIMAK'!$A$2:$R$1272,13,FALSE)+IF(ISNA(VLOOKUP($A1073,'Mutasi Neraca'!$A$3:$S$910,13,FALSE)),0,VLOOKUP($A1073,'Mutasi Neraca'!$A$3:$S$910,13,FALSE))</f>
        <v>0</v>
      </c>
      <c r="O1073" s="42">
        <f>VLOOKUP($A1073,'Neraca Unaudited SIMAK'!$A$2:$R$1272,14,FALSE)+IF(ISNA(VLOOKUP($A1073,'Mutasi Neraca'!$A$3:$S$910,14,FALSE)),0,VLOOKUP($A1073,'Mutasi Neraca'!$A$3:$S$910,14,FALSE))</f>
        <v>0</v>
      </c>
      <c r="P1073" s="42">
        <f>VLOOKUP($A1073,'Neraca Unaudited SIMAK'!$A$2:$R$1272,15,FALSE)+IF(ISNA(VLOOKUP($A1073,'Mutasi Neraca'!$A$3:$S$910,15,FALSE)),0,VLOOKUP($A1073,'Mutasi Neraca'!$A$3:$S$910,15,FALSE))</f>
        <v>0</v>
      </c>
      <c r="Q1073" s="42">
        <f>VLOOKUP($A1073,'Neraca Unaudited SIMAK'!$A$2:$R$1272,16,FALSE)+IF(ISNA(VLOOKUP($A1073,'Mutasi Neraca'!$A$3:$S$910,16,FALSE)),0,VLOOKUP($A1073,'Mutasi Neraca'!$A$3:$S$910,16,FALSE))</f>
        <v>0</v>
      </c>
      <c r="R1073" s="42">
        <f>VLOOKUP($A1073,'Neraca Unaudited SIMAK'!$A$2:$R$1272,17,FALSE)+IF(ISNA(VLOOKUP($A1073,'Mutasi Neraca'!$A$3:$S$910,17,FALSE)),0,VLOOKUP($A1073,'Mutasi Neraca'!$A$3:$S$910,17,FALSE))</f>
        <v>0</v>
      </c>
      <c r="S1073" s="42">
        <f t="shared" si="75"/>
        <v>4521864</v>
      </c>
    </row>
    <row r="1074" spans="1:19">
      <c r="A1074" s="41" t="s">
        <v>1018</v>
      </c>
      <c r="B1074" s="41" t="str">
        <f t="shared" si="74"/>
        <v>005031800</v>
      </c>
      <c r="D1074" s="42">
        <f>VLOOKUP($A1074,'Neraca Unaudited SIMAK'!$A$2:$R$1272,3,FALSE)+IF(ISNA(VLOOKUP($A1074,'Mutasi Neraca'!$A$3:$S$910,3,FALSE)),0,VLOOKUP($A1074,'Mutasi Neraca'!$A$3:$S$910,3,FALSE))</f>
        <v>1374250</v>
      </c>
      <c r="E1074" s="42">
        <f>VLOOKUP($A1074,'Neraca Unaudited SIMAK'!$A$2:$R$1272,4,FALSE)+IF(ISNA(VLOOKUP($A1074,'Mutasi Neraca'!$A$3:$S$910,4,FALSE)),0,VLOOKUP($A1074,'Mutasi Neraca'!$A$3:$S$910,4,FALSE))</f>
        <v>0</v>
      </c>
      <c r="F1074" s="42">
        <f>VLOOKUP($A1074,'Neraca Unaudited SIMAK'!$A$2:$R$1272,5,FALSE)+IF(ISNA(VLOOKUP($A1074,'Mutasi Neraca'!$A$3:$S$910,5,FALSE)),0,VLOOKUP($A1074,'Mutasi Neraca'!$A$3:$S$910,5,FALSE))</f>
        <v>0</v>
      </c>
      <c r="G1074" s="42">
        <f>VLOOKUP($A1074,'Neraca Unaudited SIMAK'!$A$2:$R$1272,6,FALSE)+IF(ISNA(VLOOKUP($A1074,'Mutasi Neraca'!$A$3:$S$910,6,FALSE)),0,VLOOKUP($A1074,'Mutasi Neraca'!$A$3:$S$910,6,FALSE))</f>
        <v>0</v>
      </c>
      <c r="H1074" s="42">
        <f>VLOOKUP($A1074,'Neraca Unaudited SIMAK'!$A$2:$R$1272,7,FALSE)+IF(ISNA(VLOOKUP($A1074,'Mutasi Neraca'!$A$3:$S$910,7,FALSE)),0,VLOOKUP($A1074,'Mutasi Neraca'!$A$3:$S$910,7,FALSE))</f>
        <v>0</v>
      </c>
      <c r="I1074" s="42">
        <f>VLOOKUP($A1074,'Neraca Unaudited SIMAK'!$A$2:$R$1272,8,FALSE)+IF(ISNA(VLOOKUP($A1074,'Mutasi Neraca'!$A$3:$S$910,8,FALSE)),0,VLOOKUP($A1074,'Mutasi Neraca'!$A$3:$S$910,8,FALSE))</f>
        <v>0</v>
      </c>
      <c r="J1074" s="42">
        <f>VLOOKUP($A1074,'Neraca Unaudited SIMAK'!$A$2:$R$1272,9,FALSE)+IF(ISNA(VLOOKUP($A1074,'Mutasi Neraca'!$A$3:$S$910,9,FALSE)),0,VLOOKUP($A1074,'Mutasi Neraca'!$A$3:$S$910,9,FALSE))</f>
        <v>0</v>
      </c>
      <c r="K1074" s="42">
        <f>VLOOKUP($A1074,'Neraca Unaudited SIMAK'!$A$2:$R$1272,10,FALSE)+IF(ISNA(VLOOKUP($A1074,'Mutasi Neraca'!$A$3:$S$910,10,FALSE)),0,VLOOKUP($A1074,'Mutasi Neraca'!$A$3:$S$910,10,FALSE))</f>
        <v>0</v>
      </c>
      <c r="L1074" s="42">
        <f>VLOOKUP($A1074,'Neraca Unaudited SIMAK'!$A$2:$R$1272,11,FALSE)+IF(ISNA(VLOOKUP($A1074,'Mutasi Neraca'!$A$3:$S$910,11,FALSE)),0,VLOOKUP($A1074,'Mutasi Neraca'!$A$3:$S$910,11,FALSE))</f>
        <v>0</v>
      </c>
      <c r="M1074" s="42">
        <f>VLOOKUP($A1074,'Neraca Unaudited SIMAK'!$A$2:$R$1272,12,FALSE)+IF(ISNA(VLOOKUP($A1074,'Mutasi Neraca'!$A$3:$S$910,12,FALSE)),0,VLOOKUP($A1074,'Mutasi Neraca'!$A$3:$S$910,12,FALSE))</f>
        <v>1374250</v>
      </c>
      <c r="N1074" s="42">
        <f>VLOOKUP($A1074,'Neraca Unaudited SIMAK'!$A$2:$R$1272,13,FALSE)+IF(ISNA(VLOOKUP($A1074,'Mutasi Neraca'!$A$3:$S$910,13,FALSE)),0,VLOOKUP($A1074,'Mutasi Neraca'!$A$3:$S$910,13,FALSE))</f>
        <v>0</v>
      </c>
      <c r="O1074" s="42">
        <f>VLOOKUP($A1074,'Neraca Unaudited SIMAK'!$A$2:$R$1272,14,FALSE)+IF(ISNA(VLOOKUP($A1074,'Mutasi Neraca'!$A$3:$S$910,14,FALSE)),0,VLOOKUP($A1074,'Mutasi Neraca'!$A$3:$S$910,14,FALSE))</f>
        <v>0</v>
      </c>
      <c r="P1074" s="42">
        <f>VLOOKUP($A1074,'Neraca Unaudited SIMAK'!$A$2:$R$1272,15,FALSE)+IF(ISNA(VLOOKUP($A1074,'Mutasi Neraca'!$A$3:$S$910,15,FALSE)),0,VLOOKUP($A1074,'Mutasi Neraca'!$A$3:$S$910,15,FALSE))</f>
        <v>0</v>
      </c>
      <c r="Q1074" s="42">
        <f>VLOOKUP($A1074,'Neraca Unaudited SIMAK'!$A$2:$R$1272,16,FALSE)+IF(ISNA(VLOOKUP($A1074,'Mutasi Neraca'!$A$3:$S$910,16,FALSE)),0,VLOOKUP($A1074,'Mutasi Neraca'!$A$3:$S$910,16,FALSE))</f>
        <v>0</v>
      </c>
      <c r="R1074" s="42">
        <f>VLOOKUP($A1074,'Neraca Unaudited SIMAK'!$A$2:$R$1272,17,FALSE)+IF(ISNA(VLOOKUP($A1074,'Mutasi Neraca'!$A$3:$S$910,17,FALSE)),0,VLOOKUP($A1074,'Mutasi Neraca'!$A$3:$S$910,17,FALSE))</f>
        <v>0</v>
      </c>
      <c r="S1074" s="42">
        <f t="shared" si="75"/>
        <v>1374250</v>
      </c>
    </row>
    <row r="1075" spans="1:19">
      <c r="A1075" s="41" t="s">
        <v>1019</v>
      </c>
      <c r="B1075" s="41" t="str">
        <f t="shared" si="74"/>
        <v>005031800</v>
      </c>
      <c r="D1075" s="42">
        <f>VLOOKUP($A1075,'Neraca Unaudited SIMAK'!$A$2:$R$1272,3,FALSE)+IF(ISNA(VLOOKUP($A1075,'Mutasi Neraca'!$A$3:$S$910,3,FALSE)),0,VLOOKUP($A1075,'Mutasi Neraca'!$A$3:$S$910,3,FALSE))</f>
        <v>375300</v>
      </c>
      <c r="E1075" s="42">
        <f>VLOOKUP($A1075,'Neraca Unaudited SIMAK'!$A$2:$R$1272,4,FALSE)+IF(ISNA(VLOOKUP($A1075,'Mutasi Neraca'!$A$3:$S$910,4,FALSE)),0,VLOOKUP($A1075,'Mutasi Neraca'!$A$3:$S$910,4,FALSE))</f>
        <v>0</v>
      </c>
      <c r="F1075" s="42">
        <f>VLOOKUP($A1075,'Neraca Unaudited SIMAK'!$A$2:$R$1272,5,FALSE)+IF(ISNA(VLOOKUP($A1075,'Mutasi Neraca'!$A$3:$S$910,5,FALSE)),0,VLOOKUP($A1075,'Mutasi Neraca'!$A$3:$S$910,5,FALSE))</f>
        <v>0</v>
      </c>
      <c r="G1075" s="42">
        <f>VLOOKUP($A1075,'Neraca Unaudited SIMAK'!$A$2:$R$1272,6,FALSE)+IF(ISNA(VLOOKUP($A1075,'Mutasi Neraca'!$A$3:$S$910,6,FALSE)),0,VLOOKUP($A1075,'Mutasi Neraca'!$A$3:$S$910,6,FALSE))</f>
        <v>0</v>
      </c>
      <c r="H1075" s="42">
        <f>VLOOKUP($A1075,'Neraca Unaudited SIMAK'!$A$2:$R$1272,7,FALSE)+IF(ISNA(VLOOKUP($A1075,'Mutasi Neraca'!$A$3:$S$910,7,FALSE)),0,VLOOKUP($A1075,'Mutasi Neraca'!$A$3:$S$910,7,FALSE))</f>
        <v>0</v>
      </c>
      <c r="I1075" s="42">
        <f>VLOOKUP($A1075,'Neraca Unaudited SIMAK'!$A$2:$R$1272,8,FALSE)+IF(ISNA(VLOOKUP($A1075,'Mutasi Neraca'!$A$3:$S$910,8,FALSE)),0,VLOOKUP($A1075,'Mutasi Neraca'!$A$3:$S$910,8,FALSE))</f>
        <v>0</v>
      </c>
      <c r="J1075" s="42">
        <f>VLOOKUP($A1075,'Neraca Unaudited SIMAK'!$A$2:$R$1272,9,FALSE)+IF(ISNA(VLOOKUP($A1075,'Mutasi Neraca'!$A$3:$S$910,9,FALSE)),0,VLOOKUP($A1075,'Mutasi Neraca'!$A$3:$S$910,9,FALSE))</f>
        <v>0</v>
      </c>
      <c r="K1075" s="42">
        <f>VLOOKUP($A1075,'Neraca Unaudited SIMAK'!$A$2:$R$1272,10,FALSE)+IF(ISNA(VLOOKUP($A1075,'Mutasi Neraca'!$A$3:$S$910,10,FALSE)),0,VLOOKUP($A1075,'Mutasi Neraca'!$A$3:$S$910,10,FALSE))</f>
        <v>0</v>
      </c>
      <c r="L1075" s="42">
        <f>VLOOKUP($A1075,'Neraca Unaudited SIMAK'!$A$2:$R$1272,11,FALSE)+IF(ISNA(VLOOKUP($A1075,'Mutasi Neraca'!$A$3:$S$910,11,FALSE)),0,VLOOKUP($A1075,'Mutasi Neraca'!$A$3:$S$910,11,FALSE))</f>
        <v>0</v>
      </c>
      <c r="M1075" s="42">
        <f>VLOOKUP($A1075,'Neraca Unaudited SIMAK'!$A$2:$R$1272,12,FALSE)+IF(ISNA(VLOOKUP($A1075,'Mutasi Neraca'!$A$3:$S$910,12,FALSE)),0,VLOOKUP($A1075,'Mutasi Neraca'!$A$3:$S$910,12,FALSE))</f>
        <v>375300</v>
      </c>
      <c r="N1075" s="42">
        <f>VLOOKUP($A1075,'Neraca Unaudited SIMAK'!$A$2:$R$1272,13,FALSE)+IF(ISNA(VLOOKUP($A1075,'Mutasi Neraca'!$A$3:$S$910,13,FALSE)),0,VLOOKUP($A1075,'Mutasi Neraca'!$A$3:$S$910,13,FALSE))</f>
        <v>0</v>
      </c>
      <c r="O1075" s="42">
        <f>VLOOKUP($A1075,'Neraca Unaudited SIMAK'!$A$2:$R$1272,14,FALSE)+IF(ISNA(VLOOKUP($A1075,'Mutasi Neraca'!$A$3:$S$910,14,FALSE)),0,VLOOKUP($A1075,'Mutasi Neraca'!$A$3:$S$910,14,FALSE))</f>
        <v>0</v>
      </c>
      <c r="P1075" s="42">
        <f>VLOOKUP($A1075,'Neraca Unaudited SIMAK'!$A$2:$R$1272,15,FALSE)+IF(ISNA(VLOOKUP($A1075,'Mutasi Neraca'!$A$3:$S$910,15,FALSE)),0,VLOOKUP($A1075,'Mutasi Neraca'!$A$3:$S$910,15,FALSE))</f>
        <v>0</v>
      </c>
      <c r="Q1075" s="42">
        <f>VLOOKUP($A1075,'Neraca Unaudited SIMAK'!$A$2:$R$1272,16,FALSE)+IF(ISNA(VLOOKUP($A1075,'Mutasi Neraca'!$A$3:$S$910,16,FALSE)),0,VLOOKUP($A1075,'Mutasi Neraca'!$A$3:$S$910,16,FALSE))</f>
        <v>0</v>
      </c>
      <c r="R1075" s="42">
        <f>VLOOKUP($A1075,'Neraca Unaudited SIMAK'!$A$2:$R$1272,17,FALSE)+IF(ISNA(VLOOKUP($A1075,'Mutasi Neraca'!$A$3:$S$910,17,FALSE)),0,VLOOKUP($A1075,'Mutasi Neraca'!$A$3:$S$910,17,FALSE))</f>
        <v>0</v>
      </c>
      <c r="S1075" s="42">
        <f t="shared" si="75"/>
        <v>375300</v>
      </c>
    </row>
    <row r="1076" spans="1:19">
      <c r="A1076" s="41" t="s">
        <v>1020</v>
      </c>
      <c r="B1076" s="41" t="str">
        <f t="shared" si="74"/>
        <v>005031800</v>
      </c>
      <c r="D1076" s="42">
        <f>VLOOKUP($A1076,'Neraca Unaudited SIMAK'!$A$2:$R$1272,3,FALSE)+IF(ISNA(VLOOKUP($A1076,'Mutasi Neraca'!$A$3:$S$910,3,FALSE)),0,VLOOKUP($A1076,'Mutasi Neraca'!$A$3:$S$910,3,FALSE))</f>
        <v>0</v>
      </c>
      <c r="E1076" s="42">
        <f>VLOOKUP($A1076,'Neraca Unaudited SIMAK'!$A$2:$R$1272,4,FALSE)+IF(ISNA(VLOOKUP($A1076,'Mutasi Neraca'!$A$3:$S$910,4,FALSE)),0,VLOOKUP($A1076,'Mutasi Neraca'!$A$3:$S$910,4,FALSE))</f>
        <v>0</v>
      </c>
      <c r="F1076" s="42">
        <f>VLOOKUP($A1076,'Neraca Unaudited SIMAK'!$A$2:$R$1272,5,FALSE)+IF(ISNA(VLOOKUP($A1076,'Mutasi Neraca'!$A$3:$S$910,5,FALSE)),0,VLOOKUP($A1076,'Mutasi Neraca'!$A$3:$S$910,5,FALSE))</f>
        <v>0</v>
      </c>
      <c r="G1076" s="42">
        <f>VLOOKUP($A1076,'Neraca Unaudited SIMAK'!$A$2:$R$1272,6,FALSE)+IF(ISNA(VLOOKUP($A1076,'Mutasi Neraca'!$A$3:$S$910,6,FALSE)),0,VLOOKUP($A1076,'Mutasi Neraca'!$A$3:$S$910,6,FALSE))</f>
        <v>0</v>
      </c>
      <c r="H1076" s="42">
        <f>VLOOKUP($A1076,'Neraca Unaudited SIMAK'!$A$2:$R$1272,7,FALSE)+IF(ISNA(VLOOKUP($A1076,'Mutasi Neraca'!$A$3:$S$910,7,FALSE)),0,VLOOKUP($A1076,'Mutasi Neraca'!$A$3:$S$910,7,FALSE))</f>
        <v>0</v>
      </c>
      <c r="I1076" s="42">
        <f>VLOOKUP($A1076,'Neraca Unaudited SIMAK'!$A$2:$R$1272,8,FALSE)+IF(ISNA(VLOOKUP($A1076,'Mutasi Neraca'!$A$3:$S$910,8,FALSE)),0,VLOOKUP($A1076,'Mutasi Neraca'!$A$3:$S$910,8,FALSE))</f>
        <v>0</v>
      </c>
      <c r="J1076" s="42">
        <f>VLOOKUP($A1076,'Neraca Unaudited SIMAK'!$A$2:$R$1272,9,FALSE)+IF(ISNA(VLOOKUP($A1076,'Mutasi Neraca'!$A$3:$S$910,9,FALSE)),0,VLOOKUP($A1076,'Mutasi Neraca'!$A$3:$S$910,9,FALSE))</f>
        <v>0</v>
      </c>
      <c r="K1076" s="42">
        <f>VLOOKUP($A1076,'Neraca Unaudited SIMAK'!$A$2:$R$1272,10,FALSE)+IF(ISNA(VLOOKUP($A1076,'Mutasi Neraca'!$A$3:$S$910,10,FALSE)),0,VLOOKUP($A1076,'Mutasi Neraca'!$A$3:$S$910,10,FALSE))</f>
        <v>0</v>
      </c>
      <c r="L1076" s="42">
        <f>VLOOKUP($A1076,'Neraca Unaudited SIMAK'!$A$2:$R$1272,11,FALSE)+IF(ISNA(VLOOKUP($A1076,'Mutasi Neraca'!$A$3:$S$910,11,FALSE)),0,VLOOKUP($A1076,'Mutasi Neraca'!$A$3:$S$910,11,FALSE))</f>
        <v>0</v>
      </c>
      <c r="M1076" s="42">
        <f>VLOOKUP($A1076,'Neraca Unaudited SIMAK'!$A$2:$R$1272,12,FALSE)+IF(ISNA(VLOOKUP($A1076,'Mutasi Neraca'!$A$3:$S$910,12,FALSE)),0,VLOOKUP($A1076,'Mutasi Neraca'!$A$3:$S$910,12,FALSE))</f>
        <v>0</v>
      </c>
      <c r="N1076" s="42">
        <f>VLOOKUP($A1076,'Neraca Unaudited SIMAK'!$A$2:$R$1272,13,FALSE)+IF(ISNA(VLOOKUP($A1076,'Mutasi Neraca'!$A$3:$S$910,13,FALSE)),0,VLOOKUP($A1076,'Mutasi Neraca'!$A$3:$S$910,13,FALSE))</f>
        <v>0</v>
      </c>
      <c r="O1076" s="42">
        <f>VLOOKUP($A1076,'Neraca Unaudited SIMAK'!$A$2:$R$1272,14,FALSE)+IF(ISNA(VLOOKUP($A1076,'Mutasi Neraca'!$A$3:$S$910,14,FALSE)),0,VLOOKUP($A1076,'Mutasi Neraca'!$A$3:$S$910,14,FALSE))</f>
        <v>0</v>
      </c>
      <c r="P1076" s="42">
        <f>VLOOKUP($A1076,'Neraca Unaudited SIMAK'!$A$2:$R$1272,15,FALSE)+IF(ISNA(VLOOKUP($A1076,'Mutasi Neraca'!$A$3:$S$910,15,FALSE)),0,VLOOKUP($A1076,'Mutasi Neraca'!$A$3:$S$910,15,FALSE))</f>
        <v>0</v>
      </c>
      <c r="Q1076" s="42">
        <f>VLOOKUP($A1076,'Neraca Unaudited SIMAK'!$A$2:$R$1272,16,FALSE)+IF(ISNA(VLOOKUP($A1076,'Mutasi Neraca'!$A$3:$S$910,16,FALSE)),0,VLOOKUP($A1076,'Mutasi Neraca'!$A$3:$S$910,16,FALSE))</f>
        <v>0</v>
      </c>
      <c r="R1076" s="42">
        <f>VLOOKUP($A1076,'Neraca Unaudited SIMAK'!$A$2:$R$1272,17,FALSE)+IF(ISNA(VLOOKUP($A1076,'Mutasi Neraca'!$A$3:$S$910,17,FALSE)),0,VLOOKUP($A1076,'Mutasi Neraca'!$A$3:$S$910,17,FALSE))</f>
        <v>0</v>
      </c>
      <c r="S1076" s="42">
        <f t="shared" si="75"/>
        <v>0</v>
      </c>
    </row>
    <row r="1077" spans="1:19">
      <c r="A1077" s="41" t="s">
        <v>2064</v>
      </c>
      <c r="B1077" s="41" t="str">
        <f t="shared" si="74"/>
        <v>005031800</v>
      </c>
      <c r="D1077" s="42">
        <f>VLOOKUP($A1077,'Neraca Unaudited SIMAK'!$A$2:$R$1272,3,FALSE)+IF(ISNA(VLOOKUP($A1077,'Mutasi Neraca'!$A$3:$S$910,3,FALSE)),0,VLOOKUP($A1077,'Mutasi Neraca'!$A$3:$S$910,3,FALSE))</f>
        <v>0</v>
      </c>
      <c r="E1077" s="42">
        <f>VLOOKUP($A1077,'Neraca Unaudited SIMAK'!$A$2:$R$1272,4,FALSE)+IF(ISNA(VLOOKUP($A1077,'Mutasi Neraca'!$A$3:$S$910,4,FALSE)),0,VLOOKUP($A1077,'Mutasi Neraca'!$A$3:$S$910,4,FALSE))</f>
        <v>0</v>
      </c>
      <c r="F1077" s="42">
        <f>VLOOKUP($A1077,'Neraca Unaudited SIMAK'!$A$2:$R$1272,5,FALSE)+IF(ISNA(VLOOKUP($A1077,'Mutasi Neraca'!$A$3:$S$910,5,FALSE)),0,VLOOKUP($A1077,'Mutasi Neraca'!$A$3:$S$910,5,FALSE))</f>
        <v>0</v>
      </c>
      <c r="G1077" s="42">
        <f>VLOOKUP($A1077,'Neraca Unaudited SIMAK'!$A$2:$R$1272,6,FALSE)+IF(ISNA(VLOOKUP($A1077,'Mutasi Neraca'!$A$3:$S$910,6,FALSE)),0,VLOOKUP($A1077,'Mutasi Neraca'!$A$3:$S$910,6,FALSE))</f>
        <v>0</v>
      </c>
      <c r="H1077" s="42">
        <f>VLOOKUP($A1077,'Neraca Unaudited SIMAK'!$A$2:$R$1272,7,FALSE)+IF(ISNA(VLOOKUP($A1077,'Mutasi Neraca'!$A$3:$S$910,7,FALSE)),0,VLOOKUP($A1077,'Mutasi Neraca'!$A$3:$S$910,7,FALSE))</f>
        <v>0</v>
      </c>
      <c r="I1077" s="42">
        <f>VLOOKUP($A1077,'Neraca Unaudited SIMAK'!$A$2:$R$1272,8,FALSE)+IF(ISNA(VLOOKUP($A1077,'Mutasi Neraca'!$A$3:$S$910,8,FALSE)),0,VLOOKUP($A1077,'Mutasi Neraca'!$A$3:$S$910,8,FALSE))</f>
        <v>0</v>
      </c>
      <c r="J1077" s="42">
        <f>VLOOKUP($A1077,'Neraca Unaudited SIMAK'!$A$2:$R$1272,9,FALSE)+IF(ISNA(VLOOKUP($A1077,'Mutasi Neraca'!$A$3:$S$910,9,FALSE)),0,VLOOKUP($A1077,'Mutasi Neraca'!$A$3:$S$910,9,FALSE))</f>
        <v>0</v>
      </c>
      <c r="K1077" s="42">
        <f>VLOOKUP($A1077,'Neraca Unaudited SIMAK'!$A$2:$R$1272,10,FALSE)+IF(ISNA(VLOOKUP($A1077,'Mutasi Neraca'!$A$3:$S$910,10,FALSE)),0,VLOOKUP($A1077,'Mutasi Neraca'!$A$3:$S$910,10,FALSE))</f>
        <v>0</v>
      </c>
      <c r="L1077" s="42">
        <f>VLOOKUP($A1077,'Neraca Unaudited SIMAK'!$A$2:$R$1272,11,FALSE)+IF(ISNA(VLOOKUP($A1077,'Mutasi Neraca'!$A$3:$S$910,11,FALSE)),0,VLOOKUP($A1077,'Mutasi Neraca'!$A$3:$S$910,11,FALSE))</f>
        <v>0</v>
      </c>
      <c r="M1077" s="42">
        <f>VLOOKUP($A1077,'Neraca Unaudited SIMAK'!$A$2:$R$1272,12,FALSE)+IF(ISNA(VLOOKUP($A1077,'Mutasi Neraca'!$A$3:$S$910,12,FALSE)),0,VLOOKUP($A1077,'Mutasi Neraca'!$A$3:$S$910,12,FALSE))</f>
        <v>0</v>
      </c>
      <c r="N1077" s="42">
        <f>VLOOKUP($A1077,'Neraca Unaudited SIMAK'!$A$2:$R$1272,13,FALSE)+IF(ISNA(VLOOKUP($A1077,'Mutasi Neraca'!$A$3:$S$910,13,FALSE)),0,VLOOKUP($A1077,'Mutasi Neraca'!$A$3:$S$910,13,FALSE))</f>
        <v>0</v>
      </c>
      <c r="O1077" s="42">
        <f>VLOOKUP($A1077,'Neraca Unaudited SIMAK'!$A$2:$R$1272,14,FALSE)+IF(ISNA(VLOOKUP($A1077,'Mutasi Neraca'!$A$3:$S$910,14,FALSE)),0,VLOOKUP($A1077,'Mutasi Neraca'!$A$3:$S$910,14,FALSE))</f>
        <v>0</v>
      </c>
      <c r="P1077" s="42">
        <f>VLOOKUP($A1077,'Neraca Unaudited SIMAK'!$A$2:$R$1272,15,FALSE)+IF(ISNA(VLOOKUP($A1077,'Mutasi Neraca'!$A$3:$S$910,15,FALSE)),0,VLOOKUP($A1077,'Mutasi Neraca'!$A$3:$S$910,15,FALSE))</f>
        <v>0</v>
      </c>
      <c r="Q1077" s="42">
        <f>VLOOKUP($A1077,'Neraca Unaudited SIMAK'!$A$2:$R$1272,16,FALSE)+IF(ISNA(VLOOKUP($A1077,'Mutasi Neraca'!$A$3:$S$910,16,FALSE)),0,VLOOKUP($A1077,'Mutasi Neraca'!$A$3:$S$910,16,FALSE))</f>
        <v>0</v>
      </c>
      <c r="R1077" s="42">
        <f>VLOOKUP($A1077,'Neraca Unaudited SIMAK'!$A$2:$R$1272,17,FALSE)+IF(ISNA(VLOOKUP($A1077,'Mutasi Neraca'!$A$3:$S$910,17,FALSE)),0,VLOOKUP($A1077,'Mutasi Neraca'!$A$3:$S$910,17,FALSE))</f>
        <v>0</v>
      </c>
      <c r="S1077" s="42">
        <f t="shared" si="75"/>
        <v>0</v>
      </c>
    </row>
    <row r="1078" spans="1:19">
      <c r="A1078" s="41" t="s">
        <v>1021</v>
      </c>
      <c r="B1078" s="41" t="str">
        <f t="shared" si="74"/>
        <v>005031800</v>
      </c>
      <c r="D1078" s="42">
        <f>VLOOKUP($A1078,'Neraca Unaudited SIMAK'!$A$2:$R$1272,3,FALSE)+IF(ISNA(VLOOKUP($A1078,'Mutasi Neraca'!$A$3:$S$910,3,FALSE)),0,VLOOKUP($A1078,'Mutasi Neraca'!$A$3:$S$910,3,FALSE))</f>
        <v>2330481</v>
      </c>
      <c r="E1078" s="42">
        <f>VLOOKUP($A1078,'Neraca Unaudited SIMAK'!$A$2:$R$1272,4,FALSE)+IF(ISNA(VLOOKUP($A1078,'Mutasi Neraca'!$A$3:$S$910,4,FALSE)),0,VLOOKUP($A1078,'Mutasi Neraca'!$A$3:$S$910,4,FALSE))</f>
        <v>0</v>
      </c>
      <c r="F1078" s="42">
        <f>VLOOKUP($A1078,'Neraca Unaudited SIMAK'!$A$2:$R$1272,5,FALSE)+IF(ISNA(VLOOKUP($A1078,'Mutasi Neraca'!$A$3:$S$910,5,FALSE)),0,VLOOKUP($A1078,'Mutasi Neraca'!$A$3:$S$910,5,FALSE))</f>
        <v>0</v>
      </c>
      <c r="G1078" s="42">
        <f>VLOOKUP($A1078,'Neraca Unaudited SIMAK'!$A$2:$R$1272,6,FALSE)+IF(ISNA(VLOOKUP($A1078,'Mutasi Neraca'!$A$3:$S$910,6,FALSE)),0,VLOOKUP($A1078,'Mutasi Neraca'!$A$3:$S$910,6,FALSE))</f>
        <v>0</v>
      </c>
      <c r="H1078" s="42">
        <f>VLOOKUP($A1078,'Neraca Unaudited SIMAK'!$A$2:$R$1272,7,FALSE)+IF(ISNA(VLOOKUP($A1078,'Mutasi Neraca'!$A$3:$S$910,7,FALSE)),0,VLOOKUP($A1078,'Mutasi Neraca'!$A$3:$S$910,7,FALSE))</f>
        <v>0</v>
      </c>
      <c r="I1078" s="42">
        <f>VLOOKUP($A1078,'Neraca Unaudited SIMAK'!$A$2:$R$1272,8,FALSE)+IF(ISNA(VLOOKUP($A1078,'Mutasi Neraca'!$A$3:$S$910,8,FALSE)),0,VLOOKUP($A1078,'Mutasi Neraca'!$A$3:$S$910,8,FALSE))</f>
        <v>0</v>
      </c>
      <c r="J1078" s="42">
        <f>VLOOKUP($A1078,'Neraca Unaudited SIMAK'!$A$2:$R$1272,9,FALSE)+IF(ISNA(VLOOKUP($A1078,'Mutasi Neraca'!$A$3:$S$910,9,FALSE)),0,VLOOKUP($A1078,'Mutasi Neraca'!$A$3:$S$910,9,FALSE))</f>
        <v>0</v>
      </c>
      <c r="K1078" s="42">
        <f>VLOOKUP($A1078,'Neraca Unaudited SIMAK'!$A$2:$R$1272,10,FALSE)+IF(ISNA(VLOOKUP($A1078,'Mutasi Neraca'!$A$3:$S$910,10,FALSE)),0,VLOOKUP($A1078,'Mutasi Neraca'!$A$3:$S$910,10,FALSE))</f>
        <v>0</v>
      </c>
      <c r="L1078" s="42">
        <f>VLOOKUP($A1078,'Neraca Unaudited SIMAK'!$A$2:$R$1272,11,FALSE)+IF(ISNA(VLOOKUP($A1078,'Mutasi Neraca'!$A$3:$S$910,11,FALSE)),0,VLOOKUP($A1078,'Mutasi Neraca'!$A$3:$S$910,11,FALSE))</f>
        <v>0</v>
      </c>
      <c r="M1078" s="42">
        <f>VLOOKUP($A1078,'Neraca Unaudited SIMAK'!$A$2:$R$1272,12,FALSE)+IF(ISNA(VLOOKUP($A1078,'Mutasi Neraca'!$A$3:$S$910,12,FALSE)),0,VLOOKUP($A1078,'Mutasi Neraca'!$A$3:$S$910,12,FALSE))</f>
        <v>2330481</v>
      </c>
      <c r="N1078" s="42">
        <f>VLOOKUP($A1078,'Neraca Unaudited SIMAK'!$A$2:$R$1272,13,FALSE)+IF(ISNA(VLOOKUP($A1078,'Mutasi Neraca'!$A$3:$S$910,13,FALSE)),0,VLOOKUP($A1078,'Mutasi Neraca'!$A$3:$S$910,13,FALSE))</f>
        <v>0</v>
      </c>
      <c r="O1078" s="42">
        <f>VLOOKUP($A1078,'Neraca Unaudited SIMAK'!$A$2:$R$1272,14,FALSE)+IF(ISNA(VLOOKUP($A1078,'Mutasi Neraca'!$A$3:$S$910,14,FALSE)),0,VLOOKUP($A1078,'Mutasi Neraca'!$A$3:$S$910,14,FALSE))</f>
        <v>0</v>
      </c>
      <c r="P1078" s="42">
        <f>VLOOKUP($A1078,'Neraca Unaudited SIMAK'!$A$2:$R$1272,15,FALSE)+IF(ISNA(VLOOKUP($A1078,'Mutasi Neraca'!$A$3:$S$910,15,FALSE)),0,VLOOKUP($A1078,'Mutasi Neraca'!$A$3:$S$910,15,FALSE))</f>
        <v>0</v>
      </c>
      <c r="Q1078" s="42">
        <f>VLOOKUP($A1078,'Neraca Unaudited SIMAK'!$A$2:$R$1272,16,FALSE)+IF(ISNA(VLOOKUP($A1078,'Mutasi Neraca'!$A$3:$S$910,16,FALSE)),0,VLOOKUP($A1078,'Mutasi Neraca'!$A$3:$S$910,16,FALSE))</f>
        <v>0</v>
      </c>
      <c r="R1078" s="42">
        <f>VLOOKUP($A1078,'Neraca Unaudited SIMAK'!$A$2:$R$1272,17,FALSE)+IF(ISNA(VLOOKUP($A1078,'Mutasi Neraca'!$A$3:$S$910,17,FALSE)),0,VLOOKUP($A1078,'Mutasi Neraca'!$A$3:$S$910,17,FALSE))</f>
        <v>0</v>
      </c>
      <c r="S1078" s="42">
        <f t="shared" si="75"/>
        <v>2330481</v>
      </c>
    </row>
    <row r="1079" spans="1:19">
      <c r="A1079" s="41" t="s">
        <v>2196</v>
      </c>
      <c r="B1079" s="41" t="str">
        <f t="shared" si="74"/>
        <v>005031800</v>
      </c>
      <c r="D1079" s="42">
        <f>VLOOKUP($A1079,'Neraca Unaudited SIMAK'!$A$2:$R$1272,3,FALSE)+IF(ISNA(VLOOKUP($A1079,'Mutasi Neraca'!$A$3:$S$910,3,FALSE)),0,VLOOKUP($A1079,'Mutasi Neraca'!$A$3:$S$910,3,FALSE))</f>
        <v>4000</v>
      </c>
      <c r="E1079" s="42">
        <f>VLOOKUP($A1079,'Neraca Unaudited SIMAK'!$A$2:$R$1272,4,FALSE)+IF(ISNA(VLOOKUP($A1079,'Mutasi Neraca'!$A$3:$S$910,4,FALSE)),0,VLOOKUP($A1079,'Mutasi Neraca'!$A$3:$S$910,4,FALSE))</f>
        <v>0</v>
      </c>
      <c r="F1079" s="42">
        <f>VLOOKUP($A1079,'Neraca Unaudited SIMAK'!$A$2:$R$1272,5,FALSE)+IF(ISNA(VLOOKUP($A1079,'Mutasi Neraca'!$A$3:$S$910,5,FALSE)),0,VLOOKUP($A1079,'Mutasi Neraca'!$A$3:$S$910,5,FALSE))</f>
        <v>0</v>
      </c>
      <c r="G1079" s="42">
        <f>VLOOKUP($A1079,'Neraca Unaudited SIMAK'!$A$2:$R$1272,6,FALSE)+IF(ISNA(VLOOKUP($A1079,'Mutasi Neraca'!$A$3:$S$910,6,FALSE)),0,VLOOKUP($A1079,'Mutasi Neraca'!$A$3:$S$910,6,FALSE))</f>
        <v>0</v>
      </c>
      <c r="H1079" s="42">
        <f>VLOOKUP($A1079,'Neraca Unaudited SIMAK'!$A$2:$R$1272,7,FALSE)+IF(ISNA(VLOOKUP($A1079,'Mutasi Neraca'!$A$3:$S$910,7,FALSE)),0,VLOOKUP($A1079,'Mutasi Neraca'!$A$3:$S$910,7,FALSE))</f>
        <v>0</v>
      </c>
      <c r="I1079" s="42">
        <f>VLOOKUP($A1079,'Neraca Unaudited SIMAK'!$A$2:$R$1272,8,FALSE)+IF(ISNA(VLOOKUP($A1079,'Mutasi Neraca'!$A$3:$S$910,8,FALSE)),0,VLOOKUP($A1079,'Mutasi Neraca'!$A$3:$S$910,8,FALSE))</f>
        <v>0</v>
      </c>
      <c r="J1079" s="42">
        <f>VLOOKUP($A1079,'Neraca Unaudited SIMAK'!$A$2:$R$1272,9,FALSE)+IF(ISNA(VLOOKUP($A1079,'Mutasi Neraca'!$A$3:$S$910,9,FALSE)),0,VLOOKUP($A1079,'Mutasi Neraca'!$A$3:$S$910,9,FALSE))</f>
        <v>0</v>
      </c>
      <c r="K1079" s="42">
        <f>VLOOKUP($A1079,'Neraca Unaudited SIMAK'!$A$2:$R$1272,10,FALSE)+IF(ISNA(VLOOKUP($A1079,'Mutasi Neraca'!$A$3:$S$910,10,FALSE)),0,VLOOKUP($A1079,'Mutasi Neraca'!$A$3:$S$910,10,FALSE))</f>
        <v>0</v>
      </c>
      <c r="L1079" s="42">
        <f>VLOOKUP($A1079,'Neraca Unaudited SIMAK'!$A$2:$R$1272,11,FALSE)+IF(ISNA(VLOOKUP($A1079,'Mutasi Neraca'!$A$3:$S$910,11,FALSE)),0,VLOOKUP($A1079,'Mutasi Neraca'!$A$3:$S$910,11,FALSE))</f>
        <v>0</v>
      </c>
      <c r="M1079" s="42">
        <f>VLOOKUP($A1079,'Neraca Unaudited SIMAK'!$A$2:$R$1272,12,FALSE)+IF(ISNA(VLOOKUP($A1079,'Mutasi Neraca'!$A$3:$S$910,12,FALSE)),0,VLOOKUP($A1079,'Mutasi Neraca'!$A$3:$S$910,12,FALSE))</f>
        <v>4000</v>
      </c>
      <c r="N1079" s="42">
        <f>VLOOKUP($A1079,'Neraca Unaudited SIMAK'!$A$2:$R$1272,13,FALSE)+IF(ISNA(VLOOKUP($A1079,'Mutasi Neraca'!$A$3:$S$910,13,FALSE)),0,VLOOKUP($A1079,'Mutasi Neraca'!$A$3:$S$910,13,FALSE))</f>
        <v>0</v>
      </c>
      <c r="O1079" s="42">
        <f>VLOOKUP($A1079,'Neraca Unaudited SIMAK'!$A$2:$R$1272,14,FALSE)+IF(ISNA(VLOOKUP($A1079,'Mutasi Neraca'!$A$3:$S$910,14,FALSE)),0,VLOOKUP($A1079,'Mutasi Neraca'!$A$3:$S$910,14,FALSE))</f>
        <v>0</v>
      </c>
      <c r="P1079" s="42">
        <f>VLOOKUP($A1079,'Neraca Unaudited SIMAK'!$A$2:$R$1272,15,FALSE)+IF(ISNA(VLOOKUP($A1079,'Mutasi Neraca'!$A$3:$S$910,15,FALSE)),0,VLOOKUP($A1079,'Mutasi Neraca'!$A$3:$S$910,15,FALSE))</f>
        <v>0</v>
      </c>
      <c r="Q1079" s="42">
        <f>VLOOKUP($A1079,'Neraca Unaudited SIMAK'!$A$2:$R$1272,16,FALSE)+IF(ISNA(VLOOKUP($A1079,'Mutasi Neraca'!$A$3:$S$910,16,FALSE)),0,VLOOKUP($A1079,'Mutasi Neraca'!$A$3:$S$910,16,FALSE))</f>
        <v>0</v>
      </c>
      <c r="R1079" s="42">
        <f>VLOOKUP($A1079,'Neraca Unaudited SIMAK'!$A$2:$R$1272,17,FALSE)+IF(ISNA(VLOOKUP($A1079,'Mutasi Neraca'!$A$3:$S$910,17,FALSE)),0,VLOOKUP($A1079,'Mutasi Neraca'!$A$3:$S$910,17,FALSE))</f>
        <v>0</v>
      </c>
      <c r="S1079" s="42">
        <f t="shared" si="75"/>
        <v>4000</v>
      </c>
    </row>
    <row r="1080" spans="1:19">
      <c r="A1080" s="41" t="s">
        <v>1022</v>
      </c>
      <c r="B1080" s="41" t="str">
        <f t="shared" si="74"/>
        <v>005031800</v>
      </c>
      <c r="D1080" s="42">
        <f>VLOOKUP($A1080,'Neraca Unaudited SIMAK'!$A$2:$R$1272,3,FALSE)+IF(ISNA(VLOOKUP($A1080,'Mutasi Neraca'!$A$3:$S$910,3,FALSE)),0,VLOOKUP($A1080,'Mutasi Neraca'!$A$3:$S$910,3,FALSE))</f>
        <v>0</v>
      </c>
      <c r="E1080" s="42">
        <f>VLOOKUP($A1080,'Neraca Unaudited SIMAK'!$A$2:$R$1272,4,FALSE)+IF(ISNA(VLOOKUP($A1080,'Mutasi Neraca'!$A$3:$S$910,4,FALSE)),0,VLOOKUP($A1080,'Mutasi Neraca'!$A$3:$S$910,4,FALSE))</f>
        <v>0</v>
      </c>
      <c r="F1080" s="42">
        <f>VLOOKUP($A1080,'Neraca Unaudited SIMAK'!$A$2:$R$1272,5,FALSE)+IF(ISNA(VLOOKUP($A1080,'Mutasi Neraca'!$A$3:$S$910,5,FALSE)),0,VLOOKUP($A1080,'Mutasi Neraca'!$A$3:$S$910,5,FALSE))</f>
        <v>0</v>
      </c>
      <c r="G1080" s="42">
        <f>VLOOKUP($A1080,'Neraca Unaudited SIMAK'!$A$2:$R$1272,6,FALSE)+IF(ISNA(VLOOKUP($A1080,'Mutasi Neraca'!$A$3:$S$910,6,FALSE)),0,VLOOKUP($A1080,'Mutasi Neraca'!$A$3:$S$910,6,FALSE))</f>
        <v>0</v>
      </c>
      <c r="H1080" s="42">
        <f>VLOOKUP($A1080,'Neraca Unaudited SIMAK'!$A$2:$R$1272,7,FALSE)+IF(ISNA(VLOOKUP($A1080,'Mutasi Neraca'!$A$3:$S$910,7,FALSE)),0,VLOOKUP($A1080,'Mutasi Neraca'!$A$3:$S$910,7,FALSE))</f>
        <v>0</v>
      </c>
      <c r="I1080" s="42">
        <f>VLOOKUP($A1080,'Neraca Unaudited SIMAK'!$A$2:$R$1272,8,FALSE)+IF(ISNA(VLOOKUP($A1080,'Mutasi Neraca'!$A$3:$S$910,8,FALSE)),0,VLOOKUP($A1080,'Mutasi Neraca'!$A$3:$S$910,8,FALSE))</f>
        <v>0</v>
      </c>
      <c r="J1080" s="42">
        <f>VLOOKUP($A1080,'Neraca Unaudited SIMAK'!$A$2:$R$1272,9,FALSE)+IF(ISNA(VLOOKUP($A1080,'Mutasi Neraca'!$A$3:$S$910,9,FALSE)),0,VLOOKUP($A1080,'Mutasi Neraca'!$A$3:$S$910,9,FALSE))</f>
        <v>0</v>
      </c>
      <c r="K1080" s="42">
        <f>VLOOKUP($A1080,'Neraca Unaudited SIMAK'!$A$2:$R$1272,10,FALSE)+IF(ISNA(VLOOKUP($A1080,'Mutasi Neraca'!$A$3:$S$910,10,FALSE)),0,VLOOKUP($A1080,'Mutasi Neraca'!$A$3:$S$910,10,FALSE))</f>
        <v>0</v>
      </c>
      <c r="L1080" s="42">
        <f>VLOOKUP($A1080,'Neraca Unaudited SIMAK'!$A$2:$R$1272,11,FALSE)+IF(ISNA(VLOOKUP($A1080,'Mutasi Neraca'!$A$3:$S$910,11,FALSE)),0,VLOOKUP($A1080,'Mutasi Neraca'!$A$3:$S$910,11,FALSE))</f>
        <v>0</v>
      </c>
      <c r="M1080" s="42">
        <f>VLOOKUP($A1080,'Neraca Unaudited SIMAK'!$A$2:$R$1272,12,FALSE)+IF(ISNA(VLOOKUP($A1080,'Mutasi Neraca'!$A$3:$S$910,12,FALSE)),0,VLOOKUP($A1080,'Mutasi Neraca'!$A$3:$S$910,12,FALSE))</f>
        <v>0</v>
      </c>
      <c r="N1080" s="42">
        <f>VLOOKUP($A1080,'Neraca Unaudited SIMAK'!$A$2:$R$1272,13,FALSE)+IF(ISNA(VLOOKUP($A1080,'Mutasi Neraca'!$A$3:$S$910,13,FALSE)),0,VLOOKUP($A1080,'Mutasi Neraca'!$A$3:$S$910,13,FALSE))</f>
        <v>0</v>
      </c>
      <c r="O1080" s="42">
        <f>VLOOKUP($A1080,'Neraca Unaudited SIMAK'!$A$2:$R$1272,14,FALSE)+IF(ISNA(VLOOKUP($A1080,'Mutasi Neraca'!$A$3:$S$910,14,FALSE)),0,VLOOKUP($A1080,'Mutasi Neraca'!$A$3:$S$910,14,FALSE))</f>
        <v>0</v>
      </c>
      <c r="P1080" s="42">
        <f>VLOOKUP($A1080,'Neraca Unaudited SIMAK'!$A$2:$R$1272,15,FALSE)+IF(ISNA(VLOOKUP($A1080,'Mutasi Neraca'!$A$3:$S$910,15,FALSE)),0,VLOOKUP($A1080,'Mutasi Neraca'!$A$3:$S$910,15,FALSE))</f>
        <v>0</v>
      </c>
      <c r="Q1080" s="42">
        <f>VLOOKUP($A1080,'Neraca Unaudited SIMAK'!$A$2:$R$1272,16,FALSE)+IF(ISNA(VLOOKUP($A1080,'Mutasi Neraca'!$A$3:$S$910,16,FALSE)),0,VLOOKUP($A1080,'Mutasi Neraca'!$A$3:$S$910,16,FALSE))</f>
        <v>0</v>
      </c>
      <c r="R1080" s="42">
        <f>VLOOKUP($A1080,'Neraca Unaudited SIMAK'!$A$2:$R$1272,17,FALSE)+IF(ISNA(VLOOKUP($A1080,'Mutasi Neraca'!$A$3:$S$910,17,FALSE)),0,VLOOKUP($A1080,'Mutasi Neraca'!$A$3:$S$910,17,FALSE))</f>
        <v>0</v>
      </c>
      <c r="S1080" s="42">
        <f t="shared" si="75"/>
        <v>0</v>
      </c>
    </row>
    <row r="1081" spans="1:19">
      <c r="A1081" s="41" t="s">
        <v>1023</v>
      </c>
      <c r="B1081" s="41" t="str">
        <f t="shared" si="74"/>
        <v>005031800</v>
      </c>
      <c r="D1081" s="42">
        <f>VLOOKUP($A1081,'Neraca Unaudited SIMAK'!$A$2:$R$1272,3,FALSE)+IF(ISNA(VLOOKUP($A1081,'Mutasi Neraca'!$A$3:$S$910,3,FALSE)),0,VLOOKUP($A1081,'Mutasi Neraca'!$A$3:$S$910,3,FALSE))</f>
        <v>448000</v>
      </c>
      <c r="E1081" s="42">
        <f>VLOOKUP($A1081,'Neraca Unaudited SIMAK'!$A$2:$R$1272,4,FALSE)+IF(ISNA(VLOOKUP($A1081,'Mutasi Neraca'!$A$3:$S$910,4,FALSE)),0,VLOOKUP($A1081,'Mutasi Neraca'!$A$3:$S$910,4,FALSE))</f>
        <v>0</v>
      </c>
      <c r="F1081" s="42">
        <f>VLOOKUP($A1081,'Neraca Unaudited SIMAK'!$A$2:$R$1272,5,FALSE)+IF(ISNA(VLOOKUP($A1081,'Mutasi Neraca'!$A$3:$S$910,5,FALSE)),0,VLOOKUP($A1081,'Mutasi Neraca'!$A$3:$S$910,5,FALSE))</f>
        <v>0</v>
      </c>
      <c r="G1081" s="42">
        <f>VLOOKUP($A1081,'Neraca Unaudited SIMAK'!$A$2:$R$1272,6,FALSE)+IF(ISNA(VLOOKUP($A1081,'Mutasi Neraca'!$A$3:$S$910,6,FALSE)),0,VLOOKUP($A1081,'Mutasi Neraca'!$A$3:$S$910,6,FALSE))</f>
        <v>0</v>
      </c>
      <c r="H1081" s="42">
        <f>VLOOKUP($A1081,'Neraca Unaudited SIMAK'!$A$2:$R$1272,7,FALSE)+IF(ISNA(VLOOKUP($A1081,'Mutasi Neraca'!$A$3:$S$910,7,FALSE)),0,VLOOKUP($A1081,'Mutasi Neraca'!$A$3:$S$910,7,FALSE))</f>
        <v>0</v>
      </c>
      <c r="I1081" s="42">
        <f>VLOOKUP($A1081,'Neraca Unaudited SIMAK'!$A$2:$R$1272,8,FALSE)+IF(ISNA(VLOOKUP($A1081,'Mutasi Neraca'!$A$3:$S$910,8,FALSE)),0,VLOOKUP($A1081,'Mutasi Neraca'!$A$3:$S$910,8,FALSE))</f>
        <v>0</v>
      </c>
      <c r="J1081" s="42">
        <f>VLOOKUP($A1081,'Neraca Unaudited SIMAK'!$A$2:$R$1272,9,FALSE)+IF(ISNA(VLOOKUP($A1081,'Mutasi Neraca'!$A$3:$S$910,9,FALSE)),0,VLOOKUP($A1081,'Mutasi Neraca'!$A$3:$S$910,9,FALSE))</f>
        <v>0</v>
      </c>
      <c r="K1081" s="42">
        <f>VLOOKUP($A1081,'Neraca Unaudited SIMAK'!$A$2:$R$1272,10,FALSE)+IF(ISNA(VLOOKUP($A1081,'Mutasi Neraca'!$A$3:$S$910,10,FALSE)),0,VLOOKUP($A1081,'Mutasi Neraca'!$A$3:$S$910,10,FALSE))</f>
        <v>0</v>
      </c>
      <c r="L1081" s="42">
        <f>VLOOKUP($A1081,'Neraca Unaudited SIMAK'!$A$2:$R$1272,11,FALSE)+IF(ISNA(VLOOKUP($A1081,'Mutasi Neraca'!$A$3:$S$910,11,FALSE)),0,VLOOKUP($A1081,'Mutasi Neraca'!$A$3:$S$910,11,FALSE))</f>
        <v>0</v>
      </c>
      <c r="M1081" s="42">
        <f>VLOOKUP($A1081,'Neraca Unaudited SIMAK'!$A$2:$R$1272,12,FALSE)+IF(ISNA(VLOOKUP($A1081,'Mutasi Neraca'!$A$3:$S$910,12,FALSE)),0,VLOOKUP($A1081,'Mutasi Neraca'!$A$3:$S$910,12,FALSE))</f>
        <v>448000</v>
      </c>
      <c r="N1081" s="42">
        <f>VLOOKUP($A1081,'Neraca Unaudited SIMAK'!$A$2:$R$1272,13,FALSE)+IF(ISNA(VLOOKUP($A1081,'Mutasi Neraca'!$A$3:$S$910,13,FALSE)),0,VLOOKUP($A1081,'Mutasi Neraca'!$A$3:$S$910,13,FALSE))</f>
        <v>0</v>
      </c>
      <c r="O1081" s="42">
        <f>VLOOKUP($A1081,'Neraca Unaudited SIMAK'!$A$2:$R$1272,14,FALSE)+IF(ISNA(VLOOKUP($A1081,'Mutasi Neraca'!$A$3:$S$910,14,FALSE)),0,VLOOKUP($A1081,'Mutasi Neraca'!$A$3:$S$910,14,FALSE))</f>
        <v>0</v>
      </c>
      <c r="P1081" s="42">
        <f>VLOOKUP($A1081,'Neraca Unaudited SIMAK'!$A$2:$R$1272,15,FALSE)+IF(ISNA(VLOOKUP($A1081,'Mutasi Neraca'!$A$3:$S$910,15,FALSE)),0,VLOOKUP($A1081,'Mutasi Neraca'!$A$3:$S$910,15,FALSE))</f>
        <v>0</v>
      </c>
      <c r="Q1081" s="42">
        <f>VLOOKUP($A1081,'Neraca Unaudited SIMAK'!$A$2:$R$1272,16,FALSE)+IF(ISNA(VLOOKUP($A1081,'Mutasi Neraca'!$A$3:$S$910,16,FALSE)),0,VLOOKUP($A1081,'Mutasi Neraca'!$A$3:$S$910,16,FALSE))</f>
        <v>0</v>
      </c>
      <c r="R1081" s="42">
        <f>VLOOKUP($A1081,'Neraca Unaudited SIMAK'!$A$2:$R$1272,17,FALSE)+IF(ISNA(VLOOKUP($A1081,'Mutasi Neraca'!$A$3:$S$910,17,FALSE)),0,VLOOKUP($A1081,'Mutasi Neraca'!$A$3:$S$910,17,FALSE))</f>
        <v>0</v>
      </c>
      <c r="S1081" s="42">
        <f t="shared" si="75"/>
        <v>448000</v>
      </c>
    </row>
    <row r="1082" spans="1:19">
      <c r="A1082" s="41" t="s">
        <v>1024</v>
      </c>
      <c r="B1082" s="41" t="str">
        <f t="shared" si="74"/>
        <v>005031900</v>
      </c>
      <c r="D1082" s="42">
        <f>VLOOKUP($A1082,'Neraca Unaudited SIMAK'!$A$2:$R$1272,3,FALSE)+IF(ISNA(VLOOKUP($A1082,'Mutasi Neraca'!$A$3:$S$910,3,FALSE)),0,VLOOKUP($A1082,'Mutasi Neraca'!$A$3:$S$910,3,FALSE))</f>
        <v>590000</v>
      </c>
      <c r="E1082" s="42">
        <f>VLOOKUP($A1082,'Neraca Unaudited SIMAK'!$A$2:$R$1272,4,FALSE)+IF(ISNA(VLOOKUP($A1082,'Mutasi Neraca'!$A$3:$S$910,4,FALSE)),0,VLOOKUP($A1082,'Mutasi Neraca'!$A$3:$S$910,4,FALSE))</f>
        <v>0</v>
      </c>
      <c r="F1082" s="42">
        <f>VLOOKUP($A1082,'Neraca Unaudited SIMAK'!$A$2:$R$1272,5,FALSE)+IF(ISNA(VLOOKUP($A1082,'Mutasi Neraca'!$A$3:$S$910,5,FALSE)),0,VLOOKUP($A1082,'Mutasi Neraca'!$A$3:$S$910,5,FALSE))</f>
        <v>0</v>
      </c>
      <c r="G1082" s="42">
        <f>VLOOKUP($A1082,'Neraca Unaudited SIMAK'!$A$2:$R$1272,6,FALSE)+IF(ISNA(VLOOKUP($A1082,'Mutasi Neraca'!$A$3:$S$910,6,FALSE)),0,VLOOKUP($A1082,'Mutasi Neraca'!$A$3:$S$910,6,FALSE))</f>
        <v>0</v>
      </c>
      <c r="H1082" s="42">
        <f>VLOOKUP($A1082,'Neraca Unaudited SIMAK'!$A$2:$R$1272,7,FALSE)+IF(ISNA(VLOOKUP($A1082,'Mutasi Neraca'!$A$3:$S$910,7,FALSE)),0,VLOOKUP($A1082,'Mutasi Neraca'!$A$3:$S$910,7,FALSE))</f>
        <v>0</v>
      </c>
      <c r="I1082" s="42">
        <f>VLOOKUP($A1082,'Neraca Unaudited SIMAK'!$A$2:$R$1272,8,FALSE)+IF(ISNA(VLOOKUP($A1082,'Mutasi Neraca'!$A$3:$S$910,8,FALSE)),0,VLOOKUP($A1082,'Mutasi Neraca'!$A$3:$S$910,8,FALSE))</f>
        <v>0</v>
      </c>
      <c r="J1082" s="42">
        <f>VLOOKUP($A1082,'Neraca Unaudited SIMAK'!$A$2:$R$1272,9,FALSE)+IF(ISNA(VLOOKUP($A1082,'Mutasi Neraca'!$A$3:$S$910,9,FALSE)),0,VLOOKUP($A1082,'Mutasi Neraca'!$A$3:$S$910,9,FALSE))</f>
        <v>0</v>
      </c>
      <c r="K1082" s="42">
        <f>VLOOKUP($A1082,'Neraca Unaudited SIMAK'!$A$2:$R$1272,10,FALSE)+IF(ISNA(VLOOKUP($A1082,'Mutasi Neraca'!$A$3:$S$910,10,FALSE)),0,VLOOKUP($A1082,'Mutasi Neraca'!$A$3:$S$910,10,FALSE))</f>
        <v>0</v>
      </c>
      <c r="L1082" s="42">
        <f>VLOOKUP($A1082,'Neraca Unaudited SIMAK'!$A$2:$R$1272,11,FALSE)+IF(ISNA(VLOOKUP($A1082,'Mutasi Neraca'!$A$3:$S$910,11,FALSE)),0,VLOOKUP($A1082,'Mutasi Neraca'!$A$3:$S$910,11,FALSE))</f>
        <v>0</v>
      </c>
      <c r="M1082" s="42">
        <f>VLOOKUP($A1082,'Neraca Unaudited SIMAK'!$A$2:$R$1272,12,FALSE)+IF(ISNA(VLOOKUP($A1082,'Mutasi Neraca'!$A$3:$S$910,12,FALSE)),0,VLOOKUP($A1082,'Mutasi Neraca'!$A$3:$S$910,12,FALSE))</f>
        <v>590000</v>
      </c>
      <c r="N1082" s="42">
        <f>VLOOKUP($A1082,'Neraca Unaudited SIMAK'!$A$2:$R$1272,13,FALSE)+IF(ISNA(VLOOKUP($A1082,'Mutasi Neraca'!$A$3:$S$910,13,FALSE)),0,VLOOKUP($A1082,'Mutasi Neraca'!$A$3:$S$910,13,FALSE))</f>
        <v>0</v>
      </c>
      <c r="O1082" s="42">
        <f>VLOOKUP($A1082,'Neraca Unaudited SIMAK'!$A$2:$R$1272,14,FALSE)+IF(ISNA(VLOOKUP($A1082,'Mutasi Neraca'!$A$3:$S$910,14,FALSE)),0,VLOOKUP($A1082,'Mutasi Neraca'!$A$3:$S$910,14,FALSE))</f>
        <v>0</v>
      </c>
      <c r="P1082" s="42">
        <f>VLOOKUP($A1082,'Neraca Unaudited SIMAK'!$A$2:$R$1272,15,FALSE)+IF(ISNA(VLOOKUP($A1082,'Mutasi Neraca'!$A$3:$S$910,15,FALSE)),0,VLOOKUP($A1082,'Mutasi Neraca'!$A$3:$S$910,15,FALSE))</f>
        <v>0</v>
      </c>
      <c r="Q1082" s="42">
        <f>VLOOKUP($A1082,'Neraca Unaudited SIMAK'!$A$2:$R$1272,16,FALSE)+IF(ISNA(VLOOKUP($A1082,'Mutasi Neraca'!$A$3:$S$910,16,FALSE)),0,VLOOKUP($A1082,'Mutasi Neraca'!$A$3:$S$910,16,FALSE))</f>
        <v>0</v>
      </c>
      <c r="R1082" s="42">
        <f>VLOOKUP($A1082,'Neraca Unaudited SIMAK'!$A$2:$R$1272,17,FALSE)+IF(ISNA(VLOOKUP($A1082,'Mutasi Neraca'!$A$3:$S$910,17,FALSE)),0,VLOOKUP($A1082,'Mutasi Neraca'!$A$3:$S$910,17,FALSE))</f>
        <v>0</v>
      </c>
      <c r="S1082" s="42">
        <f t="shared" si="75"/>
        <v>590000</v>
      </c>
    </row>
    <row r="1083" spans="1:19">
      <c r="A1083" s="41" t="s">
        <v>1025</v>
      </c>
      <c r="B1083" s="41" t="str">
        <f t="shared" si="74"/>
        <v>005031900</v>
      </c>
      <c r="D1083" s="42">
        <f>VLOOKUP($A1083,'Neraca Unaudited SIMAK'!$A$2:$R$1272,3,FALSE)+IF(ISNA(VLOOKUP($A1083,'Mutasi Neraca'!$A$3:$S$910,3,FALSE)),0,VLOOKUP($A1083,'Mutasi Neraca'!$A$3:$S$910,3,FALSE))</f>
        <v>48290303</v>
      </c>
      <c r="E1083" s="42">
        <f>VLOOKUP($A1083,'Neraca Unaudited SIMAK'!$A$2:$R$1272,4,FALSE)+IF(ISNA(VLOOKUP($A1083,'Mutasi Neraca'!$A$3:$S$910,4,FALSE)),0,VLOOKUP($A1083,'Mutasi Neraca'!$A$3:$S$910,4,FALSE))</f>
        <v>0</v>
      </c>
      <c r="F1083" s="42">
        <f>VLOOKUP($A1083,'Neraca Unaudited SIMAK'!$A$2:$R$1272,5,FALSE)+IF(ISNA(VLOOKUP($A1083,'Mutasi Neraca'!$A$3:$S$910,5,FALSE)),0,VLOOKUP($A1083,'Mutasi Neraca'!$A$3:$S$910,5,FALSE))</f>
        <v>0</v>
      </c>
      <c r="G1083" s="42">
        <f>VLOOKUP($A1083,'Neraca Unaudited SIMAK'!$A$2:$R$1272,6,FALSE)+IF(ISNA(VLOOKUP($A1083,'Mutasi Neraca'!$A$3:$S$910,6,FALSE)),0,VLOOKUP($A1083,'Mutasi Neraca'!$A$3:$S$910,6,FALSE))</f>
        <v>0</v>
      </c>
      <c r="H1083" s="42">
        <f>VLOOKUP($A1083,'Neraca Unaudited SIMAK'!$A$2:$R$1272,7,FALSE)+IF(ISNA(VLOOKUP($A1083,'Mutasi Neraca'!$A$3:$S$910,7,FALSE)),0,VLOOKUP($A1083,'Mutasi Neraca'!$A$3:$S$910,7,FALSE))</f>
        <v>0</v>
      </c>
      <c r="I1083" s="42">
        <f>VLOOKUP($A1083,'Neraca Unaudited SIMAK'!$A$2:$R$1272,8,FALSE)+IF(ISNA(VLOOKUP($A1083,'Mutasi Neraca'!$A$3:$S$910,8,FALSE)),0,VLOOKUP($A1083,'Mutasi Neraca'!$A$3:$S$910,8,FALSE))</f>
        <v>0</v>
      </c>
      <c r="J1083" s="42">
        <f>VLOOKUP($A1083,'Neraca Unaudited SIMAK'!$A$2:$R$1272,9,FALSE)+IF(ISNA(VLOOKUP($A1083,'Mutasi Neraca'!$A$3:$S$910,9,FALSE)),0,VLOOKUP($A1083,'Mutasi Neraca'!$A$3:$S$910,9,FALSE))</f>
        <v>0</v>
      </c>
      <c r="K1083" s="42">
        <f>VLOOKUP($A1083,'Neraca Unaudited SIMAK'!$A$2:$R$1272,10,FALSE)+IF(ISNA(VLOOKUP($A1083,'Mutasi Neraca'!$A$3:$S$910,10,FALSE)),0,VLOOKUP($A1083,'Mutasi Neraca'!$A$3:$S$910,10,FALSE))</f>
        <v>0</v>
      </c>
      <c r="L1083" s="42">
        <f>VLOOKUP($A1083,'Neraca Unaudited SIMAK'!$A$2:$R$1272,11,FALSE)+IF(ISNA(VLOOKUP($A1083,'Mutasi Neraca'!$A$3:$S$910,11,FALSE)),0,VLOOKUP($A1083,'Mutasi Neraca'!$A$3:$S$910,11,FALSE))</f>
        <v>0</v>
      </c>
      <c r="M1083" s="42">
        <f>VLOOKUP($A1083,'Neraca Unaudited SIMAK'!$A$2:$R$1272,12,FALSE)+IF(ISNA(VLOOKUP($A1083,'Mutasi Neraca'!$A$3:$S$910,12,FALSE)),0,VLOOKUP($A1083,'Mutasi Neraca'!$A$3:$S$910,12,FALSE))</f>
        <v>48290303</v>
      </c>
      <c r="N1083" s="42">
        <f>VLOOKUP($A1083,'Neraca Unaudited SIMAK'!$A$2:$R$1272,13,FALSE)+IF(ISNA(VLOOKUP($A1083,'Mutasi Neraca'!$A$3:$S$910,13,FALSE)),0,VLOOKUP($A1083,'Mutasi Neraca'!$A$3:$S$910,13,FALSE))</f>
        <v>0</v>
      </c>
      <c r="O1083" s="42">
        <f>VLOOKUP($A1083,'Neraca Unaudited SIMAK'!$A$2:$R$1272,14,FALSE)+IF(ISNA(VLOOKUP($A1083,'Mutasi Neraca'!$A$3:$S$910,14,FALSE)),0,VLOOKUP($A1083,'Mutasi Neraca'!$A$3:$S$910,14,FALSE))</f>
        <v>0</v>
      </c>
      <c r="P1083" s="42">
        <f>VLOOKUP($A1083,'Neraca Unaudited SIMAK'!$A$2:$R$1272,15,FALSE)+IF(ISNA(VLOOKUP($A1083,'Mutasi Neraca'!$A$3:$S$910,15,FALSE)),0,VLOOKUP($A1083,'Mutasi Neraca'!$A$3:$S$910,15,FALSE))</f>
        <v>0</v>
      </c>
      <c r="Q1083" s="42">
        <f>VLOOKUP($A1083,'Neraca Unaudited SIMAK'!$A$2:$R$1272,16,FALSE)+IF(ISNA(VLOOKUP($A1083,'Mutasi Neraca'!$A$3:$S$910,16,FALSE)),0,VLOOKUP($A1083,'Mutasi Neraca'!$A$3:$S$910,16,FALSE))</f>
        <v>0</v>
      </c>
      <c r="R1083" s="42">
        <f>VLOOKUP($A1083,'Neraca Unaudited SIMAK'!$A$2:$R$1272,17,FALSE)+IF(ISNA(VLOOKUP($A1083,'Mutasi Neraca'!$A$3:$S$910,17,FALSE)),0,VLOOKUP($A1083,'Mutasi Neraca'!$A$3:$S$910,17,FALSE))</f>
        <v>0</v>
      </c>
      <c r="S1083" s="42">
        <f t="shared" si="75"/>
        <v>48290303</v>
      </c>
    </row>
    <row r="1084" spans="1:19">
      <c r="A1084" s="41" t="s">
        <v>1026</v>
      </c>
      <c r="B1084" s="41" t="str">
        <f t="shared" si="74"/>
        <v>005031900</v>
      </c>
      <c r="D1084" s="42">
        <f>VLOOKUP($A1084,'Neraca Unaudited SIMAK'!$A$2:$R$1272,3,FALSE)+IF(ISNA(VLOOKUP($A1084,'Mutasi Neraca'!$A$3:$S$910,3,FALSE)),0,VLOOKUP($A1084,'Mutasi Neraca'!$A$3:$S$910,3,FALSE))</f>
        <v>1017950</v>
      </c>
      <c r="E1084" s="42">
        <f>VLOOKUP($A1084,'Neraca Unaudited SIMAK'!$A$2:$R$1272,4,FALSE)+IF(ISNA(VLOOKUP($A1084,'Mutasi Neraca'!$A$3:$S$910,4,FALSE)),0,VLOOKUP($A1084,'Mutasi Neraca'!$A$3:$S$910,4,FALSE))</f>
        <v>0</v>
      </c>
      <c r="F1084" s="42">
        <f>VLOOKUP($A1084,'Neraca Unaudited SIMAK'!$A$2:$R$1272,5,FALSE)+IF(ISNA(VLOOKUP($A1084,'Mutasi Neraca'!$A$3:$S$910,5,FALSE)),0,VLOOKUP($A1084,'Mutasi Neraca'!$A$3:$S$910,5,FALSE))</f>
        <v>0</v>
      </c>
      <c r="G1084" s="42">
        <f>VLOOKUP($A1084,'Neraca Unaudited SIMAK'!$A$2:$R$1272,6,FALSE)+IF(ISNA(VLOOKUP($A1084,'Mutasi Neraca'!$A$3:$S$910,6,FALSE)),0,VLOOKUP($A1084,'Mutasi Neraca'!$A$3:$S$910,6,FALSE))</f>
        <v>0</v>
      </c>
      <c r="H1084" s="42">
        <f>VLOOKUP($A1084,'Neraca Unaudited SIMAK'!$A$2:$R$1272,7,FALSE)+IF(ISNA(VLOOKUP($A1084,'Mutasi Neraca'!$A$3:$S$910,7,FALSE)),0,VLOOKUP($A1084,'Mutasi Neraca'!$A$3:$S$910,7,FALSE))</f>
        <v>0</v>
      </c>
      <c r="I1084" s="42">
        <f>VLOOKUP($A1084,'Neraca Unaudited SIMAK'!$A$2:$R$1272,8,FALSE)+IF(ISNA(VLOOKUP($A1084,'Mutasi Neraca'!$A$3:$S$910,8,FALSE)),0,VLOOKUP($A1084,'Mutasi Neraca'!$A$3:$S$910,8,FALSE))</f>
        <v>0</v>
      </c>
      <c r="J1084" s="42">
        <f>VLOOKUP($A1084,'Neraca Unaudited SIMAK'!$A$2:$R$1272,9,FALSE)+IF(ISNA(VLOOKUP($A1084,'Mutasi Neraca'!$A$3:$S$910,9,FALSE)),0,VLOOKUP($A1084,'Mutasi Neraca'!$A$3:$S$910,9,FALSE))</f>
        <v>0</v>
      </c>
      <c r="K1084" s="42">
        <f>VLOOKUP($A1084,'Neraca Unaudited SIMAK'!$A$2:$R$1272,10,FALSE)+IF(ISNA(VLOOKUP($A1084,'Mutasi Neraca'!$A$3:$S$910,10,FALSE)),0,VLOOKUP($A1084,'Mutasi Neraca'!$A$3:$S$910,10,FALSE))</f>
        <v>0</v>
      </c>
      <c r="L1084" s="42">
        <f>VLOOKUP($A1084,'Neraca Unaudited SIMAK'!$A$2:$R$1272,11,FALSE)+IF(ISNA(VLOOKUP($A1084,'Mutasi Neraca'!$A$3:$S$910,11,FALSE)),0,VLOOKUP($A1084,'Mutasi Neraca'!$A$3:$S$910,11,FALSE))</f>
        <v>0</v>
      </c>
      <c r="M1084" s="42">
        <f>VLOOKUP($A1084,'Neraca Unaudited SIMAK'!$A$2:$R$1272,12,FALSE)+IF(ISNA(VLOOKUP($A1084,'Mutasi Neraca'!$A$3:$S$910,12,FALSE)),0,VLOOKUP($A1084,'Mutasi Neraca'!$A$3:$S$910,12,FALSE))</f>
        <v>1017950</v>
      </c>
      <c r="N1084" s="42">
        <f>VLOOKUP($A1084,'Neraca Unaudited SIMAK'!$A$2:$R$1272,13,FALSE)+IF(ISNA(VLOOKUP($A1084,'Mutasi Neraca'!$A$3:$S$910,13,FALSE)),0,VLOOKUP($A1084,'Mutasi Neraca'!$A$3:$S$910,13,FALSE))</f>
        <v>0</v>
      </c>
      <c r="O1084" s="42">
        <f>VLOOKUP($A1084,'Neraca Unaudited SIMAK'!$A$2:$R$1272,14,FALSE)+IF(ISNA(VLOOKUP($A1084,'Mutasi Neraca'!$A$3:$S$910,14,FALSE)),0,VLOOKUP($A1084,'Mutasi Neraca'!$A$3:$S$910,14,FALSE))</f>
        <v>0</v>
      </c>
      <c r="P1084" s="42">
        <f>VLOOKUP($A1084,'Neraca Unaudited SIMAK'!$A$2:$R$1272,15,FALSE)+IF(ISNA(VLOOKUP($A1084,'Mutasi Neraca'!$A$3:$S$910,15,FALSE)),0,VLOOKUP($A1084,'Mutasi Neraca'!$A$3:$S$910,15,FALSE))</f>
        <v>0</v>
      </c>
      <c r="Q1084" s="42">
        <f>VLOOKUP($A1084,'Neraca Unaudited SIMAK'!$A$2:$R$1272,16,FALSE)+IF(ISNA(VLOOKUP($A1084,'Mutasi Neraca'!$A$3:$S$910,16,FALSE)),0,VLOOKUP($A1084,'Mutasi Neraca'!$A$3:$S$910,16,FALSE))</f>
        <v>0</v>
      </c>
      <c r="R1084" s="42">
        <f>VLOOKUP($A1084,'Neraca Unaudited SIMAK'!$A$2:$R$1272,17,FALSE)+IF(ISNA(VLOOKUP($A1084,'Mutasi Neraca'!$A$3:$S$910,17,FALSE)),0,VLOOKUP($A1084,'Mutasi Neraca'!$A$3:$S$910,17,FALSE))</f>
        <v>0</v>
      </c>
      <c r="S1084" s="42">
        <f t="shared" si="75"/>
        <v>1017950</v>
      </c>
    </row>
    <row r="1085" spans="1:19">
      <c r="A1085" s="41" t="s">
        <v>1027</v>
      </c>
      <c r="B1085" s="41" t="str">
        <f t="shared" si="74"/>
        <v>005031900</v>
      </c>
      <c r="D1085" s="42">
        <f>VLOOKUP($A1085,'Neraca Unaudited SIMAK'!$A$2:$R$1272,3,FALSE)+IF(ISNA(VLOOKUP($A1085,'Mutasi Neraca'!$A$3:$S$910,3,FALSE)),0,VLOOKUP($A1085,'Mutasi Neraca'!$A$3:$S$910,3,FALSE))</f>
        <v>160000</v>
      </c>
      <c r="E1085" s="42">
        <f>VLOOKUP($A1085,'Neraca Unaudited SIMAK'!$A$2:$R$1272,4,FALSE)+IF(ISNA(VLOOKUP($A1085,'Mutasi Neraca'!$A$3:$S$910,4,FALSE)),0,VLOOKUP($A1085,'Mutasi Neraca'!$A$3:$S$910,4,FALSE))</f>
        <v>0</v>
      </c>
      <c r="F1085" s="42">
        <f>VLOOKUP($A1085,'Neraca Unaudited SIMAK'!$A$2:$R$1272,5,FALSE)+IF(ISNA(VLOOKUP($A1085,'Mutasi Neraca'!$A$3:$S$910,5,FALSE)),0,VLOOKUP($A1085,'Mutasi Neraca'!$A$3:$S$910,5,FALSE))</f>
        <v>0</v>
      </c>
      <c r="G1085" s="42">
        <f>VLOOKUP($A1085,'Neraca Unaudited SIMAK'!$A$2:$R$1272,6,FALSE)+IF(ISNA(VLOOKUP($A1085,'Mutasi Neraca'!$A$3:$S$910,6,FALSE)),0,VLOOKUP($A1085,'Mutasi Neraca'!$A$3:$S$910,6,FALSE))</f>
        <v>0</v>
      </c>
      <c r="H1085" s="42">
        <f>VLOOKUP($A1085,'Neraca Unaudited SIMAK'!$A$2:$R$1272,7,FALSE)+IF(ISNA(VLOOKUP($A1085,'Mutasi Neraca'!$A$3:$S$910,7,FALSE)),0,VLOOKUP($A1085,'Mutasi Neraca'!$A$3:$S$910,7,FALSE))</f>
        <v>0</v>
      </c>
      <c r="I1085" s="42">
        <f>VLOOKUP($A1085,'Neraca Unaudited SIMAK'!$A$2:$R$1272,8,FALSE)+IF(ISNA(VLOOKUP($A1085,'Mutasi Neraca'!$A$3:$S$910,8,FALSE)),0,VLOOKUP($A1085,'Mutasi Neraca'!$A$3:$S$910,8,FALSE))</f>
        <v>0</v>
      </c>
      <c r="J1085" s="42">
        <f>VLOOKUP($A1085,'Neraca Unaudited SIMAK'!$A$2:$R$1272,9,FALSE)+IF(ISNA(VLOOKUP($A1085,'Mutasi Neraca'!$A$3:$S$910,9,FALSE)),0,VLOOKUP($A1085,'Mutasi Neraca'!$A$3:$S$910,9,FALSE))</f>
        <v>0</v>
      </c>
      <c r="K1085" s="42">
        <f>VLOOKUP($A1085,'Neraca Unaudited SIMAK'!$A$2:$R$1272,10,FALSE)+IF(ISNA(VLOOKUP($A1085,'Mutasi Neraca'!$A$3:$S$910,10,FALSE)),0,VLOOKUP($A1085,'Mutasi Neraca'!$A$3:$S$910,10,FALSE))</f>
        <v>0</v>
      </c>
      <c r="L1085" s="42">
        <f>VLOOKUP($A1085,'Neraca Unaudited SIMAK'!$A$2:$R$1272,11,FALSE)+IF(ISNA(VLOOKUP($A1085,'Mutasi Neraca'!$A$3:$S$910,11,FALSE)),0,VLOOKUP($A1085,'Mutasi Neraca'!$A$3:$S$910,11,FALSE))</f>
        <v>0</v>
      </c>
      <c r="M1085" s="42">
        <f>VLOOKUP($A1085,'Neraca Unaudited SIMAK'!$A$2:$R$1272,12,FALSE)+IF(ISNA(VLOOKUP($A1085,'Mutasi Neraca'!$A$3:$S$910,12,FALSE)),0,VLOOKUP($A1085,'Mutasi Neraca'!$A$3:$S$910,12,FALSE))</f>
        <v>160000</v>
      </c>
      <c r="N1085" s="42">
        <f>VLOOKUP($A1085,'Neraca Unaudited SIMAK'!$A$2:$R$1272,13,FALSE)+IF(ISNA(VLOOKUP($A1085,'Mutasi Neraca'!$A$3:$S$910,13,FALSE)),0,VLOOKUP($A1085,'Mutasi Neraca'!$A$3:$S$910,13,FALSE))</f>
        <v>0</v>
      </c>
      <c r="O1085" s="42">
        <f>VLOOKUP($A1085,'Neraca Unaudited SIMAK'!$A$2:$R$1272,14,FALSE)+IF(ISNA(VLOOKUP($A1085,'Mutasi Neraca'!$A$3:$S$910,14,FALSE)),0,VLOOKUP($A1085,'Mutasi Neraca'!$A$3:$S$910,14,FALSE))</f>
        <v>0</v>
      </c>
      <c r="P1085" s="42">
        <f>VLOOKUP($A1085,'Neraca Unaudited SIMAK'!$A$2:$R$1272,15,FALSE)+IF(ISNA(VLOOKUP($A1085,'Mutasi Neraca'!$A$3:$S$910,15,FALSE)),0,VLOOKUP($A1085,'Mutasi Neraca'!$A$3:$S$910,15,FALSE))</f>
        <v>0</v>
      </c>
      <c r="Q1085" s="42">
        <f>VLOOKUP($A1085,'Neraca Unaudited SIMAK'!$A$2:$R$1272,16,FALSE)+IF(ISNA(VLOOKUP($A1085,'Mutasi Neraca'!$A$3:$S$910,16,FALSE)),0,VLOOKUP($A1085,'Mutasi Neraca'!$A$3:$S$910,16,FALSE))</f>
        <v>0</v>
      </c>
      <c r="R1085" s="42">
        <f>VLOOKUP($A1085,'Neraca Unaudited SIMAK'!$A$2:$R$1272,17,FALSE)+IF(ISNA(VLOOKUP($A1085,'Mutasi Neraca'!$A$3:$S$910,17,FALSE)),0,VLOOKUP($A1085,'Mutasi Neraca'!$A$3:$S$910,17,FALSE))</f>
        <v>0</v>
      </c>
      <c r="S1085" s="42">
        <f t="shared" si="75"/>
        <v>160000</v>
      </c>
    </row>
    <row r="1086" spans="1:19">
      <c r="A1086" s="41" t="s">
        <v>1028</v>
      </c>
      <c r="B1086" s="41" t="str">
        <f t="shared" si="74"/>
        <v>005031900</v>
      </c>
      <c r="D1086" s="42">
        <f>VLOOKUP($A1086,'Neraca Unaudited SIMAK'!$A$2:$R$1272,3,FALSE)+IF(ISNA(VLOOKUP($A1086,'Mutasi Neraca'!$A$3:$S$910,3,FALSE)),0,VLOOKUP($A1086,'Mutasi Neraca'!$A$3:$S$910,3,FALSE))</f>
        <v>0</v>
      </c>
      <c r="E1086" s="42">
        <f>VLOOKUP($A1086,'Neraca Unaudited SIMAK'!$A$2:$R$1272,4,FALSE)+IF(ISNA(VLOOKUP($A1086,'Mutasi Neraca'!$A$3:$S$910,4,FALSE)),0,VLOOKUP($A1086,'Mutasi Neraca'!$A$3:$S$910,4,FALSE))</f>
        <v>0</v>
      </c>
      <c r="F1086" s="42">
        <f>VLOOKUP($A1086,'Neraca Unaudited SIMAK'!$A$2:$R$1272,5,FALSE)+IF(ISNA(VLOOKUP($A1086,'Mutasi Neraca'!$A$3:$S$910,5,FALSE)),0,VLOOKUP($A1086,'Mutasi Neraca'!$A$3:$S$910,5,FALSE))</f>
        <v>0</v>
      </c>
      <c r="G1086" s="42">
        <f>VLOOKUP($A1086,'Neraca Unaudited SIMAK'!$A$2:$R$1272,6,FALSE)+IF(ISNA(VLOOKUP($A1086,'Mutasi Neraca'!$A$3:$S$910,6,FALSE)),0,VLOOKUP($A1086,'Mutasi Neraca'!$A$3:$S$910,6,FALSE))</f>
        <v>0</v>
      </c>
      <c r="H1086" s="42">
        <f>VLOOKUP($A1086,'Neraca Unaudited SIMAK'!$A$2:$R$1272,7,FALSE)+IF(ISNA(VLOOKUP($A1086,'Mutasi Neraca'!$A$3:$S$910,7,FALSE)),0,VLOOKUP($A1086,'Mutasi Neraca'!$A$3:$S$910,7,FALSE))</f>
        <v>0</v>
      </c>
      <c r="I1086" s="42">
        <f>VLOOKUP($A1086,'Neraca Unaudited SIMAK'!$A$2:$R$1272,8,FALSE)+IF(ISNA(VLOOKUP($A1086,'Mutasi Neraca'!$A$3:$S$910,8,FALSE)),0,VLOOKUP($A1086,'Mutasi Neraca'!$A$3:$S$910,8,FALSE))</f>
        <v>0</v>
      </c>
      <c r="J1086" s="42">
        <f>VLOOKUP($A1086,'Neraca Unaudited SIMAK'!$A$2:$R$1272,9,FALSE)+IF(ISNA(VLOOKUP($A1086,'Mutasi Neraca'!$A$3:$S$910,9,FALSE)),0,VLOOKUP($A1086,'Mutasi Neraca'!$A$3:$S$910,9,FALSE))</f>
        <v>0</v>
      </c>
      <c r="K1086" s="42">
        <f>VLOOKUP($A1086,'Neraca Unaudited SIMAK'!$A$2:$R$1272,10,FALSE)+IF(ISNA(VLOOKUP($A1086,'Mutasi Neraca'!$A$3:$S$910,10,FALSE)),0,VLOOKUP($A1086,'Mutasi Neraca'!$A$3:$S$910,10,FALSE))</f>
        <v>0</v>
      </c>
      <c r="L1086" s="42">
        <f>VLOOKUP($A1086,'Neraca Unaudited SIMAK'!$A$2:$R$1272,11,FALSE)+IF(ISNA(VLOOKUP($A1086,'Mutasi Neraca'!$A$3:$S$910,11,FALSE)),0,VLOOKUP($A1086,'Mutasi Neraca'!$A$3:$S$910,11,FALSE))</f>
        <v>0</v>
      </c>
      <c r="M1086" s="42">
        <f>VLOOKUP($A1086,'Neraca Unaudited SIMAK'!$A$2:$R$1272,12,FALSE)+IF(ISNA(VLOOKUP($A1086,'Mutasi Neraca'!$A$3:$S$910,12,FALSE)),0,VLOOKUP($A1086,'Mutasi Neraca'!$A$3:$S$910,12,FALSE))</f>
        <v>0</v>
      </c>
      <c r="N1086" s="42">
        <f>VLOOKUP($A1086,'Neraca Unaudited SIMAK'!$A$2:$R$1272,13,FALSE)+IF(ISNA(VLOOKUP($A1086,'Mutasi Neraca'!$A$3:$S$910,13,FALSE)),0,VLOOKUP($A1086,'Mutasi Neraca'!$A$3:$S$910,13,FALSE))</f>
        <v>0</v>
      </c>
      <c r="O1086" s="42">
        <f>VLOOKUP($A1086,'Neraca Unaudited SIMAK'!$A$2:$R$1272,14,FALSE)+IF(ISNA(VLOOKUP($A1086,'Mutasi Neraca'!$A$3:$S$910,14,FALSE)),0,VLOOKUP($A1086,'Mutasi Neraca'!$A$3:$S$910,14,FALSE))</f>
        <v>0</v>
      </c>
      <c r="P1086" s="42">
        <f>VLOOKUP($A1086,'Neraca Unaudited SIMAK'!$A$2:$R$1272,15,FALSE)+IF(ISNA(VLOOKUP($A1086,'Mutasi Neraca'!$A$3:$S$910,15,FALSE)),0,VLOOKUP($A1086,'Mutasi Neraca'!$A$3:$S$910,15,FALSE))</f>
        <v>0</v>
      </c>
      <c r="Q1086" s="42">
        <f>VLOOKUP($A1086,'Neraca Unaudited SIMAK'!$A$2:$R$1272,16,FALSE)+IF(ISNA(VLOOKUP($A1086,'Mutasi Neraca'!$A$3:$S$910,16,FALSE)),0,VLOOKUP($A1086,'Mutasi Neraca'!$A$3:$S$910,16,FALSE))</f>
        <v>0</v>
      </c>
      <c r="R1086" s="42">
        <f>VLOOKUP($A1086,'Neraca Unaudited SIMAK'!$A$2:$R$1272,17,FALSE)+IF(ISNA(VLOOKUP($A1086,'Mutasi Neraca'!$A$3:$S$910,17,FALSE)),0,VLOOKUP($A1086,'Mutasi Neraca'!$A$3:$S$910,17,FALSE))</f>
        <v>0</v>
      </c>
      <c r="S1086" s="42">
        <f t="shared" si="75"/>
        <v>0</v>
      </c>
    </row>
    <row r="1087" spans="1:19">
      <c r="A1087" s="41" t="s">
        <v>1029</v>
      </c>
      <c r="B1087" s="41" t="str">
        <f t="shared" si="74"/>
        <v>005031900</v>
      </c>
      <c r="D1087" s="42">
        <f>VLOOKUP($A1087,'Neraca Unaudited SIMAK'!$A$2:$R$1272,3,FALSE)+IF(ISNA(VLOOKUP($A1087,'Mutasi Neraca'!$A$3:$S$910,3,FALSE)),0,VLOOKUP($A1087,'Mutasi Neraca'!$A$3:$S$910,3,FALSE))</f>
        <v>100350</v>
      </c>
      <c r="E1087" s="42">
        <f>VLOOKUP($A1087,'Neraca Unaudited SIMAK'!$A$2:$R$1272,4,FALSE)+IF(ISNA(VLOOKUP($A1087,'Mutasi Neraca'!$A$3:$S$910,4,FALSE)),0,VLOOKUP($A1087,'Mutasi Neraca'!$A$3:$S$910,4,FALSE))</f>
        <v>0</v>
      </c>
      <c r="F1087" s="42">
        <f>VLOOKUP($A1087,'Neraca Unaudited SIMAK'!$A$2:$R$1272,5,FALSE)+IF(ISNA(VLOOKUP($A1087,'Mutasi Neraca'!$A$3:$S$910,5,FALSE)),0,VLOOKUP($A1087,'Mutasi Neraca'!$A$3:$S$910,5,FALSE))</f>
        <v>0</v>
      </c>
      <c r="G1087" s="42">
        <f>VLOOKUP($A1087,'Neraca Unaudited SIMAK'!$A$2:$R$1272,6,FALSE)+IF(ISNA(VLOOKUP($A1087,'Mutasi Neraca'!$A$3:$S$910,6,FALSE)),0,VLOOKUP($A1087,'Mutasi Neraca'!$A$3:$S$910,6,FALSE))</f>
        <v>0</v>
      </c>
      <c r="H1087" s="42">
        <f>VLOOKUP($A1087,'Neraca Unaudited SIMAK'!$A$2:$R$1272,7,FALSE)+IF(ISNA(VLOOKUP($A1087,'Mutasi Neraca'!$A$3:$S$910,7,FALSE)),0,VLOOKUP($A1087,'Mutasi Neraca'!$A$3:$S$910,7,FALSE))</f>
        <v>0</v>
      </c>
      <c r="I1087" s="42">
        <f>VLOOKUP($A1087,'Neraca Unaudited SIMAK'!$A$2:$R$1272,8,FALSE)+IF(ISNA(VLOOKUP($A1087,'Mutasi Neraca'!$A$3:$S$910,8,FALSE)),0,VLOOKUP($A1087,'Mutasi Neraca'!$A$3:$S$910,8,FALSE))</f>
        <v>0</v>
      </c>
      <c r="J1087" s="42">
        <f>VLOOKUP($A1087,'Neraca Unaudited SIMAK'!$A$2:$R$1272,9,FALSE)+IF(ISNA(VLOOKUP($A1087,'Mutasi Neraca'!$A$3:$S$910,9,FALSE)),0,VLOOKUP($A1087,'Mutasi Neraca'!$A$3:$S$910,9,FALSE))</f>
        <v>0</v>
      </c>
      <c r="K1087" s="42">
        <f>VLOOKUP($A1087,'Neraca Unaudited SIMAK'!$A$2:$R$1272,10,FALSE)+IF(ISNA(VLOOKUP($A1087,'Mutasi Neraca'!$A$3:$S$910,10,FALSE)),0,VLOOKUP($A1087,'Mutasi Neraca'!$A$3:$S$910,10,FALSE))</f>
        <v>0</v>
      </c>
      <c r="L1087" s="42">
        <f>VLOOKUP($A1087,'Neraca Unaudited SIMAK'!$A$2:$R$1272,11,FALSE)+IF(ISNA(VLOOKUP($A1087,'Mutasi Neraca'!$A$3:$S$910,11,FALSE)),0,VLOOKUP($A1087,'Mutasi Neraca'!$A$3:$S$910,11,FALSE))</f>
        <v>0</v>
      </c>
      <c r="M1087" s="42">
        <f>VLOOKUP($A1087,'Neraca Unaudited SIMAK'!$A$2:$R$1272,12,FALSE)+IF(ISNA(VLOOKUP($A1087,'Mutasi Neraca'!$A$3:$S$910,12,FALSE)),0,VLOOKUP($A1087,'Mutasi Neraca'!$A$3:$S$910,12,FALSE))</f>
        <v>100350</v>
      </c>
      <c r="N1087" s="42">
        <f>VLOOKUP($A1087,'Neraca Unaudited SIMAK'!$A$2:$R$1272,13,FALSE)+IF(ISNA(VLOOKUP($A1087,'Mutasi Neraca'!$A$3:$S$910,13,FALSE)),0,VLOOKUP($A1087,'Mutasi Neraca'!$A$3:$S$910,13,FALSE))</f>
        <v>0</v>
      </c>
      <c r="O1087" s="42">
        <f>VLOOKUP($A1087,'Neraca Unaudited SIMAK'!$A$2:$R$1272,14,FALSE)+IF(ISNA(VLOOKUP($A1087,'Mutasi Neraca'!$A$3:$S$910,14,FALSE)),0,VLOOKUP($A1087,'Mutasi Neraca'!$A$3:$S$910,14,FALSE))</f>
        <v>0</v>
      </c>
      <c r="P1087" s="42">
        <f>VLOOKUP($A1087,'Neraca Unaudited SIMAK'!$A$2:$R$1272,15,FALSE)+IF(ISNA(VLOOKUP($A1087,'Mutasi Neraca'!$A$3:$S$910,15,FALSE)),0,VLOOKUP($A1087,'Mutasi Neraca'!$A$3:$S$910,15,FALSE))</f>
        <v>0</v>
      </c>
      <c r="Q1087" s="42">
        <f>VLOOKUP($A1087,'Neraca Unaudited SIMAK'!$A$2:$R$1272,16,FALSE)+IF(ISNA(VLOOKUP($A1087,'Mutasi Neraca'!$A$3:$S$910,16,FALSE)),0,VLOOKUP($A1087,'Mutasi Neraca'!$A$3:$S$910,16,FALSE))</f>
        <v>0</v>
      </c>
      <c r="R1087" s="42">
        <f>VLOOKUP($A1087,'Neraca Unaudited SIMAK'!$A$2:$R$1272,17,FALSE)+IF(ISNA(VLOOKUP($A1087,'Mutasi Neraca'!$A$3:$S$910,17,FALSE)),0,VLOOKUP($A1087,'Mutasi Neraca'!$A$3:$S$910,17,FALSE))</f>
        <v>0</v>
      </c>
      <c r="S1087" s="42">
        <f t="shared" si="75"/>
        <v>100350</v>
      </c>
    </row>
    <row r="1088" spans="1:19">
      <c r="A1088" s="41" t="s">
        <v>1030</v>
      </c>
      <c r="B1088" s="41" t="str">
        <f t="shared" si="74"/>
        <v>005031900</v>
      </c>
      <c r="D1088" s="42">
        <f>VLOOKUP($A1088,'Neraca Unaudited SIMAK'!$A$2:$R$1272,3,FALSE)+IF(ISNA(VLOOKUP($A1088,'Mutasi Neraca'!$A$3:$S$910,3,FALSE)),0,VLOOKUP($A1088,'Mutasi Neraca'!$A$3:$S$910,3,FALSE))</f>
        <v>3500000</v>
      </c>
      <c r="E1088" s="42">
        <f>VLOOKUP($A1088,'Neraca Unaudited SIMAK'!$A$2:$R$1272,4,FALSE)+IF(ISNA(VLOOKUP($A1088,'Mutasi Neraca'!$A$3:$S$910,4,FALSE)),0,VLOOKUP($A1088,'Mutasi Neraca'!$A$3:$S$910,4,FALSE))</f>
        <v>0</v>
      </c>
      <c r="F1088" s="42">
        <f>VLOOKUP($A1088,'Neraca Unaudited SIMAK'!$A$2:$R$1272,5,FALSE)+IF(ISNA(VLOOKUP($A1088,'Mutasi Neraca'!$A$3:$S$910,5,FALSE)),0,VLOOKUP($A1088,'Mutasi Neraca'!$A$3:$S$910,5,FALSE))</f>
        <v>0</v>
      </c>
      <c r="G1088" s="42">
        <f>VLOOKUP($A1088,'Neraca Unaudited SIMAK'!$A$2:$R$1272,6,FALSE)+IF(ISNA(VLOOKUP($A1088,'Mutasi Neraca'!$A$3:$S$910,6,FALSE)),0,VLOOKUP($A1088,'Mutasi Neraca'!$A$3:$S$910,6,FALSE))</f>
        <v>0</v>
      </c>
      <c r="H1088" s="42">
        <f>VLOOKUP($A1088,'Neraca Unaudited SIMAK'!$A$2:$R$1272,7,FALSE)+IF(ISNA(VLOOKUP($A1088,'Mutasi Neraca'!$A$3:$S$910,7,FALSE)),0,VLOOKUP($A1088,'Mutasi Neraca'!$A$3:$S$910,7,FALSE))</f>
        <v>0</v>
      </c>
      <c r="I1088" s="42">
        <f>VLOOKUP($A1088,'Neraca Unaudited SIMAK'!$A$2:$R$1272,8,FALSE)+IF(ISNA(VLOOKUP($A1088,'Mutasi Neraca'!$A$3:$S$910,8,FALSE)),0,VLOOKUP($A1088,'Mutasi Neraca'!$A$3:$S$910,8,FALSE))</f>
        <v>0</v>
      </c>
      <c r="J1088" s="42">
        <f>VLOOKUP($A1088,'Neraca Unaudited SIMAK'!$A$2:$R$1272,9,FALSE)+IF(ISNA(VLOOKUP($A1088,'Mutasi Neraca'!$A$3:$S$910,9,FALSE)),0,VLOOKUP($A1088,'Mutasi Neraca'!$A$3:$S$910,9,FALSE))</f>
        <v>0</v>
      </c>
      <c r="K1088" s="42">
        <f>VLOOKUP($A1088,'Neraca Unaudited SIMAK'!$A$2:$R$1272,10,FALSE)+IF(ISNA(VLOOKUP($A1088,'Mutasi Neraca'!$A$3:$S$910,10,FALSE)),0,VLOOKUP($A1088,'Mutasi Neraca'!$A$3:$S$910,10,FALSE))</f>
        <v>0</v>
      </c>
      <c r="L1088" s="42">
        <f>VLOOKUP($A1088,'Neraca Unaudited SIMAK'!$A$2:$R$1272,11,FALSE)+IF(ISNA(VLOOKUP($A1088,'Mutasi Neraca'!$A$3:$S$910,11,FALSE)),0,VLOOKUP($A1088,'Mutasi Neraca'!$A$3:$S$910,11,FALSE))</f>
        <v>0</v>
      </c>
      <c r="M1088" s="42">
        <f>VLOOKUP($A1088,'Neraca Unaudited SIMAK'!$A$2:$R$1272,12,FALSE)+IF(ISNA(VLOOKUP($A1088,'Mutasi Neraca'!$A$3:$S$910,12,FALSE)),0,VLOOKUP($A1088,'Mutasi Neraca'!$A$3:$S$910,12,FALSE))</f>
        <v>3500000</v>
      </c>
      <c r="N1088" s="42">
        <f>VLOOKUP($A1088,'Neraca Unaudited SIMAK'!$A$2:$R$1272,13,FALSE)+IF(ISNA(VLOOKUP($A1088,'Mutasi Neraca'!$A$3:$S$910,13,FALSE)),0,VLOOKUP($A1088,'Mutasi Neraca'!$A$3:$S$910,13,FALSE))</f>
        <v>0</v>
      </c>
      <c r="O1088" s="42">
        <f>VLOOKUP($A1088,'Neraca Unaudited SIMAK'!$A$2:$R$1272,14,FALSE)+IF(ISNA(VLOOKUP($A1088,'Mutasi Neraca'!$A$3:$S$910,14,FALSE)),0,VLOOKUP($A1088,'Mutasi Neraca'!$A$3:$S$910,14,FALSE))</f>
        <v>0</v>
      </c>
      <c r="P1088" s="42">
        <f>VLOOKUP($A1088,'Neraca Unaudited SIMAK'!$A$2:$R$1272,15,FALSE)+IF(ISNA(VLOOKUP($A1088,'Mutasi Neraca'!$A$3:$S$910,15,FALSE)),0,VLOOKUP($A1088,'Mutasi Neraca'!$A$3:$S$910,15,FALSE))</f>
        <v>0</v>
      </c>
      <c r="Q1088" s="42">
        <f>VLOOKUP($A1088,'Neraca Unaudited SIMAK'!$A$2:$R$1272,16,FALSE)+IF(ISNA(VLOOKUP($A1088,'Mutasi Neraca'!$A$3:$S$910,16,FALSE)),0,VLOOKUP($A1088,'Mutasi Neraca'!$A$3:$S$910,16,FALSE))</f>
        <v>0</v>
      </c>
      <c r="R1088" s="42">
        <f>VLOOKUP($A1088,'Neraca Unaudited SIMAK'!$A$2:$R$1272,17,FALSE)+IF(ISNA(VLOOKUP($A1088,'Mutasi Neraca'!$A$3:$S$910,17,FALSE)),0,VLOOKUP($A1088,'Mutasi Neraca'!$A$3:$S$910,17,FALSE))</f>
        <v>0</v>
      </c>
      <c r="S1088" s="42">
        <f t="shared" si="75"/>
        <v>3500000</v>
      </c>
    </row>
    <row r="1089" spans="1:19">
      <c r="A1089" s="41" t="s">
        <v>1031</v>
      </c>
      <c r="B1089" s="41" t="str">
        <f t="shared" si="74"/>
        <v>005031900</v>
      </c>
      <c r="D1089" s="42">
        <f>VLOOKUP($A1089,'Neraca Unaudited SIMAK'!$A$2:$R$1272,3,FALSE)+IF(ISNA(VLOOKUP($A1089,'Mutasi Neraca'!$A$3:$S$910,3,FALSE)),0,VLOOKUP($A1089,'Mutasi Neraca'!$A$3:$S$910,3,FALSE))</f>
        <v>1930000</v>
      </c>
      <c r="E1089" s="42">
        <f>VLOOKUP($A1089,'Neraca Unaudited SIMAK'!$A$2:$R$1272,4,FALSE)+IF(ISNA(VLOOKUP($A1089,'Mutasi Neraca'!$A$3:$S$910,4,FALSE)),0,VLOOKUP($A1089,'Mutasi Neraca'!$A$3:$S$910,4,FALSE))</f>
        <v>0</v>
      </c>
      <c r="F1089" s="42">
        <f>VLOOKUP($A1089,'Neraca Unaudited SIMAK'!$A$2:$R$1272,5,FALSE)+IF(ISNA(VLOOKUP($A1089,'Mutasi Neraca'!$A$3:$S$910,5,FALSE)),0,VLOOKUP($A1089,'Mutasi Neraca'!$A$3:$S$910,5,FALSE))</f>
        <v>0</v>
      </c>
      <c r="G1089" s="42">
        <f>VLOOKUP($A1089,'Neraca Unaudited SIMAK'!$A$2:$R$1272,6,FALSE)+IF(ISNA(VLOOKUP($A1089,'Mutasi Neraca'!$A$3:$S$910,6,FALSE)),0,VLOOKUP($A1089,'Mutasi Neraca'!$A$3:$S$910,6,FALSE))</f>
        <v>0</v>
      </c>
      <c r="H1089" s="42">
        <f>VLOOKUP($A1089,'Neraca Unaudited SIMAK'!$A$2:$R$1272,7,FALSE)+IF(ISNA(VLOOKUP($A1089,'Mutasi Neraca'!$A$3:$S$910,7,FALSE)),0,VLOOKUP($A1089,'Mutasi Neraca'!$A$3:$S$910,7,FALSE))</f>
        <v>0</v>
      </c>
      <c r="I1089" s="42">
        <f>VLOOKUP($A1089,'Neraca Unaudited SIMAK'!$A$2:$R$1272,8,FALSE)+IF(ISNA(VLOOKUP($A1089,'Mutasi Neraca'!$A$3:$S$910,8,FALSE)),0,VLOOKUP($A1089,'Mutasi Neraca'!$A$3:$S$910,8,FALSE))</f>
        <v>0</v>
      </c>
      <c r="J1089" s="42">
        <f>VLOOKUP($A1089,'Neraca Unaudited SIMAK'!$A$2:$R$1272,9,FALSE)+IF(ISNA(VLOOKUP($A1089,'Mutasi Neraca'!$A$3:$S$910,9,FALSE)),0,VLOOKUP($A1089,'Mutasi Neraca'!$A$3:$S$910,9,FALSE))</f>
        <v>0</v>
      </c>
      <c r="K1089" s="42">
        <f>VLOOKUP($A1089,'Neraca Unaudited SIMAK'!$A$2:$R$1272,10,FALSE)+IF(ISNA(VLOOKUP($A1089,'Mutasi Neraca'!$A$3:$S$910,10,FALSE)),0,VLOOKUP($A1089,'Mutasi Neraca'!$A$3:$S$910,10,FALSE))</f>
        <v>0</v>
      </c>
      <c r="L1089" s="42">
        <f>VLOOKUP($A1089,'Neraca Unaudited SIMAK'!$A$2:$R$1272,11,FALSE)+IF(ISNA(VLOOKUP($A1089,'Mutasi Neraca'!$A$3:$S$910,11,FALSE)),0,VLOOKUP($A1089,'Mutasi Neraca'!$A$3:$S$910,11,FALSE))</f>
        <v>0</v>
      </c>
      <c r="M1089" s="42">
        <f>VLOOKUP($A1089,'Neraca Unaudited SIMAK'!$A$2:$R$1272,12,FALSE)+IF(ISNA(VLOOKUP($A1089,'Mutasi Neraca'!$A$3:$S$910,12,FALSE)),0,VLOOKUP($A1089,'Mutasi Neraca'!$A$3:$S$910,12,FALSE))</f>
        <v>1930000</v>
      </c>
      <c r="N1089" s="42">
        <f>VLOOKUP($A1089,'Neraca Unaudited SIMAK'!$A$2:$R$1272,13,FALSE)+IF(ISNA(VLOOKUP($A1089,'Mutasi Neraca'!$A$3:$S$910,13,FALSE)),0,VLOOKUP($A1089,'Mutasi Neraca'!$A$3:$S$910,13,FALSE))</f>
        <v>0</v>
      </c>
      <c r="O1089" s="42">
        <f>VLOOKUP($A1089,'Neraca Unaudited SIMAK'!$A$2:$R$1272,14,FALSE)+IF(ISNA(VLOOKUP($A1089,'Mutasi Neraca'!$A$3:$S$910,14,FALSE)),0,VLOOKUP($A1089,'Mutasi Neraca'!$A$3:$S$910,14,FALSE))</f>
        <v>0</v>
      </c>
      <c r="P1089" s="42">
        <f>VLOOKUP($A1089,'Neraca Unaudited SIMAK'!$A$2:$R$1272,15,FALSE)+IF(ISNA(VLOOKUP($A1089,'Mutasi Neraca'!$A$3:$S$910,15,FALSE)),0,VLOOKUP($A1089,'Mutasi Neraca'!$A$3:$S$910,15,FALSE))</f>
        <v>0</v>
      </c>
      <c r="Q1089" s="42">
        <f>VLOOKUP($A1089,'Neraca Unaudited SIMAK'!$A$2:$R$1272,16,FALSE)+IF(ISNA(VLOOKUP($A1089,'Mutasi Neraca'!$A$3:$S$910,16,FALSE)),0,VLOOKUP($A1089,'Mutasi Neraca'!$A$3:$S$910,16,FALSE))</f>
        <v>0</v>
      </c>
      <c r="R1089" s="42">
        <f>VLOOKUP($A1089,'Neraca Unaudited SIMAK'!$A$2:$R$1272,17,FALSE)+IF(ISNA(VLOOKUP($A1089,'Mutasi Neraca'!$A$3:$S$910,17,FALSE)),0,VLOOKUP($A1089,'Mutasi Neraca'!$A$3:$S$910,17,FALSE))</f>
        <v>0</v>
      </c>
      <c r="S1089" s="42">
        <f t="shared" si="75"/>
        <v>1930000</v>
      </c>
    </row>
    <row r="1090" spans="1:19">
      <c r="A1090" s="41" t="s">
        <v>1032</v>
      </c>
      <c r="B1090" s="41" t="str">
        <f t="shared" si="74"/>
        <v>005031900</v>
      </c>
      <c r="D1090" s="42">
        <f>VLOOKUP($A1090,'Neraca Unaudited SIMAK'!$A$2:$R$1272,3,FALSE)+IF(ISNA(VLOOKUP($A1090,'Mutasi Neraca'!$A$3:$S$910,3,FALSE)),0,VLOOKUP($A1090,'Mutasi Neraca'!$A$3:$S$910,3,FALSE))</f>
        <v>85001</v>
      </c>
      <c r="E1090" s="42">
        <f>VLOOKUP($A1090,'Neraca Unaudited SIMAK'!$A$2:$R$1272,4,FALSE)+IF(ISNA(VLOOKUP($A1090,'Mutasi Neraca'!$A$3:$S$910,4,FALSE)),0,VLOOKUP($A1090,'Mutasi Neraca'!$A$3:$S$910,4,FALSE))</f>
        <v>0</v>
      </c>
      <c r="F1090" s="42">
        <f>VLOOKUP($A1090,'Neraca Unaudited SIMAK'!$A$2:$R$1272,5,FALSE)+IF(ISNA(VLOOKUP($A1090,'Mutasi Neraca'!$A$3:$S$910,5,FALSE)),0,VLOOKUP($A1090,'Mutasi Neraca'!$A$3:$S$910,5,FALSE))</f>
        <v>0</v>
      </c>
      <c r="G1090" s="42">
        <f>VLOOKUP($A1090,'Neraca Unaudited SIMAK'!$A$2:$R$1272,6,FALSE)+IF(ISNA(VLOOKUP($A1090,'Mutasi Neraca'!$A$3:$S$910,6,FALSE)),0,VLOOKUP($A1090,'Mutasi Neraca'!$A$3:$S$910,6,FALSE))</f>
        <v>0</v>
      </c>
      <c r="H1090" s="42">
        <f>VLOOKUP($A1090,'Neraca Unaudited SIMAK'!$A$2:$R$1272,7,FALSE)+IF(ISNA(VLOOKUP($A1090,'Mutasi Neraca'!$A$3:$S$910,7,FALSE)),0,VLOOKUP($A1090,'Mutasi Neraca'!$A$3:$S$910,7,FALSE))</f>
        <v>0</v>
      </c>
      <c r="I1090" s="42">
        <f>VLOOKUP($A1090,'Neraca Unaudited SIMAK'!$A$2:$R$1272,8,FALSE)+IF(ISNA(VLOOKUP($A1090,'Mutasi Neraca'!$A$3:$S$910,8,FALSE)),0,VLOOKUP($A1090,'Mutasi Neraca'!$A$3:$S$910,8,FALSE))</f>
        <v>0</v>
      </c>
      <c r="J1090" s="42">
        <f>VLOOKUP($A1090,'Neraca Unaudited SIMAK'!$A$2:$R$1272,9,FALSE)+IF(ISNA(VLOOKUP($A1090,'Mutasi Neraca'!$A$3:$S$910,9,FALSE)),0,VLOOKUP($A1090,'Mutasi Neraca'!$A$3:$S$910,9,FALSE))</f>
        <v>0</v>
      </c>
      <c r="K1090" s="42">
        <f>VLOOKUP($A1090,'Neraca Unaudited SIMAK'!$A$2:$R$1272,10,FALSE)+IF(ISNA(VLOOKUP($A1090,'Mutasi Neraca'!$A$3:$S$910,10,FALSE)),0,VLOOKUP($A1090,'Mutasi Neraca'!$A$3:$S$910,10,FALSE))</f>
        <v>0</v>
      </c>
      <c r="L1090" s="42">
        <f>VLOOKUP($A1090,'Neraca Unaudited SIMAK'!$A$2:$R$1272,11,FALSE)+IF(ISNA(VLOOKUP($A1090,'Mutasi Neraca'!$A$3:$S$910,11,FALSE)),0,VLOOKUP($A1090,'Mutasi Neraca'!$A$3:$S$910,11,FALSE))</f>
        <v>0</v>
      </c>
      <c r="M1090" s="42">
        <f>VLOOKUP($A1090,'Neraca Unaudited SIMAK'!$A$2:$R$1272,12,FALSE)+IF(ISNA(VLOOKUP($A1090,'Mutasi Neraca'!$A$3:$S$910,12,FALSE)),0,VLOOKUP($A1090,'Mutasi Neraca'!$A$3:$S$910,12,FALSE))</f>
        <v>85001</v>
      </c>
      <c r="N1090" s="42">
        <f>VLOOKUP($A1090,'Neraca Unaudited SIMAK'!$A$2:$R$1272,13,FALSE)+IF(ISNA(VLOOKUP($A1090,'Mutasi Neraca'!$A$3:$S$910,13,FALSE)),0,VLOOKUP($A1090,'Mutasi Neraca'!$A$3:$S$910,13,FALSE))</f>
        <v>0</v>
      </c>
      <c r="O1090" s="42">
        <f>VLOOKUP($A1090,'Neraca Unaudited SIMAK'!$A$2:$R$1272,14,FALSE)+IF(ISNA(VLOOKUP($A1090,'Mutasi Neraca'!$A$3:$S$910,14,FALSE)),0,VLOOKUP($A1090,'Mutasi Neraca'!$A$3:$S$910,14,FALSE))</f>
        <v>0</v>
      </c>
      <c r="P1090" s="42">
        <f>VLOOKUP($A1090,'Neraca Unaudited SIMAK'!$A$2:$R$1272,15,FALSE)+IF(ISNA(VLOOKUP($A1090,'Mutasi Neraca'!$A$3:$S$910,15,FALSE)),0,VLOOKUP($A1090,'Mutasi Neraca'!$A$3:$S$910,15,FALSE))</f>
        <v>0</v>
      </c>
      <c r="Q1090" s="42">
        <f>VLOOKUP($A1090,'Neraca Unaudited SIMAK'!$A$2:$R$1272,16,FALSE)+IF(ISNA(VLOOKUP($A1090,'Mutasi Neraca'!$A$3:$S$910,16,FALSE)),0,VLOOKUP($A1090,'Mutasi Neraca'!$A$3:$S$910,16,FALSE))</f>
        <v>0</v>
      </c>
      <c r="R1090" s="42">
        <f>VLOOKUP($A1090,'Neraca Unaudited SIMAK'!$A$2:$R$1272,17,FALSE)+IF(ISNA(VLOOKUP($A1090,'Mutasi Neraca'!$A$3:$S$910,17,FALSE)),0,VLOOKUP($A1090,'Mutasi Neraca'!$A$3:$S$910,17,FALSE))</f>
        <v>0</v>
      </c>
      <c r="S1090" s="42">
        <f t="shared" si="75"/>
        <v>85001</v>
      </c>
    </row>
    <row r="1091" spans="1:19">
      <c r="A1091" s="41" t="s">
        <v>1033</v>
      </c>
      <c r="B1091" s="41" t="str">
        <f t="shared" ref="B1091:B1154" si="76">LEFT(A1091,9)</f>
        <v>005031900</v>
      </c>
      <c r="D1091" s="42">
        <f>VLOOKUP($A1091,'Neraca Unaudited SIMAK'!$A$2:$R$1272,3,FALSE)+IF(ISNA(VLOOKUP($A1091,'Mutasi Neraca'!$A$3:$S$910,3,FALSE)),0,VLOOKUP($A1091,'Mutasi Neraca'!$A$3:$S$910,3,FALSE))</f>
        <v>415000</v>
      </c>
      <c r="E1091" s="42">
        <f>VLOOKUP($A1091,'Neraca Unaudited SIMAK'!$A$2:$R$1272,4,FALSE)+IF(ISNA(VLOOKUP($A1091,'Mutasi Neraca'!$A$3:$S$910,4,FALSE)),0,VLOOKUP($A1091,'Mutasi Neraca'!$A$3:$S$910,4,FALSE))</f>
        <v>0</v>
      </c>
      <c r="F1091" s="42">
        <f>VLOOKUP($A1091,'Neraca Unaudited SIMAK'!$A$2:$R$1272,5,FALSE)+IF(ISNA(VLOOKUP($A1091,'Mutasi Neraca'!$A$3:$S$910,5,FALSE)),0,VLOOKUP($A1091,'Mutasi Neraca'!$A$3:$S$910,5,FALSE))</f>
        <v>0</v>
      </c>
      <c r="G1091" s="42">
        <f>VLOOKUP($A1091,'Neraca Unaudited SIMAK'!$A$2:$R$1272,6,FALSE)+IF(ISNA(VLOOKUP($A1091,'Mutasi Neraca'!$A$3:$S$910,6,FALSE)),0,VLOOKUP($A1091,'Mutasi Neraca'!$A$3:$S$910,6,FALSE))</f>
        <v>0</v>
      </c>
      <c r="H1091" s="42">
        <f>VLOOKUP($A1091,'Neraca Unaudited SIMAK'!$A$2:$R$1272,7,FALSE)+IF(ISNA(VLOOKUP($A1091,'Mutasi Neraca'!$A$3:$S$910,7,FALSE)),0,VLOOKUP($A1091,'Mutasi Neraca'!$A$3:$S$910,7,FALSE))</f>
        <v>0</v>
      </c>
      <c r="I1091" s="42">
        <f>VLOOKUP($A1091,'Neraca Unaudited SIMAK'!$A$2:$R$1272,8,FALSE)+IF(ISNA(VLOOKUP($A1091,'Mutasi Neraca'!$A$3:$S$910,8,FALSE)),0,VLOOKUP($A1091,'Mutasi Neraca'!$A$3:$S$910,8,FALSE))</f>
        <v>0</v>
      </c>
      <c r="J1091" s="42">
        <f>VLOOKUP($A1091,'Neraca Unaudited SIMAK'!$A$2:$R$1272,9,FALSE)+IF(ISNA(VLOOKUP($A1091,'Mutasi Neraca'!$A$3:$S$910,9,FALSE)),0,VLOOKUP($A1091,'Mutasi Neraca'!$A$3:$S$910,9,FALSE))</f>
        <v>0</v>
      </c>
      <c r="K1091" s="42">
        <f>VLOOKUP($A1091,'Neraca Unaudited SIMAK'!$A$2:$R$1272,10,FALSE)+IF(ISNA(VLOOKUP($A1091,'Mutasi Neraca'!$A$3:$S$910,10,FALSE)),0,VLOOKUP($A1091,'Mutasi Neraca'!$A$3:$S$910,10,FALSE))</f>
        <v>0</v>
      </c>
      <c r="L1091" s="42">
        <f>VLOOKUP($A1091,'Neraca Unaudited SIMAK'!$A$2:$R$1272,11,FALSE)+IF(ISNA(VLOOKUP($A1091,'Mutasi Neraca'!$A$3:$S$910,11,FALSE)),0,VLOOKUP($A1091,'Mutasi Neraca'!$A$3:$S$910,11,FALSE))</f>
        <v>0</v>
      </c>
      <c r="M1091" s="42">
        <f>VLOOKUP($A1091,'Neraca Unaudited SIMAK'!$A$2:$R$1272,12,FALSE)+IF(ISNA(VLOOKUP($A1091,'Mutasi Neraca'!$A$3:$S$910,12,FALSE)),0,VLOOKUP($A1091,'Mutasi Neraca'!$A$3:$S$910,12,FALSE))</f>
        <v>415000</v>
      </c>
      <c r="N1091" s="42">
        <f>VLOOKUP($A1091,'Neraca Unaudited SIMAK'!$A$2:$R$1272,13,FALSE)+IF(ISNA(VLOOKUP($A1091,'Mutasi Neraca'!$A$3:$S$910,13,FALSE)),0,VLOOKUP($A1091,'Mutasi Neraca'!$A$3:$S$910,13,FALSE))</f>
        <v>0</v>
      </c>
      <c r="O1091" s="42">
        <f>VLOOKUP($A1091,'Neraca Unaudited SIMAK'!$A$2:$R$1272,14,FALSE)+IF(ISNA(VLOOKUP($A1091,'Mutasi Neraca'!$A$3:$S$910,14,FALSE)),0,VLOOKUP($A1091,'Mutasi Neraca'!$A$3:$S$910,14,FALSE))</f>
        <v>0</v>
      </c>
      <c r="P1091" s="42">
        <f>VLOOKUP($A1091,'Neraca Unaudited SIMAK'!$A$2:$R$1272,15,FALSE)+IF(ISNA(VLOOKUP($A1091,'Mutasi Neraca'!$A$3:$S$910,15,FALSE)),0,VLOOKUP($A1091,'Mutasi Neraca'!$A$3:$S$910,15,FALSE))</f>
        <v>0</v>
      </c>
      <c r="Q1091" s="42">
        <f>VLOOKUP($A1091,'Neraca Unaudited SIMAK'!$A$2:$R$1272,16,FALSE)+IF(ISNA(VLOOKUP($A1091,'Mutasi Neraca'!$A$3:$S$910,16,FALSE)),0,VLOOKUP($A1091,'Mutasi Neraca'!$A$3:$S$910,16,FALSE))</f>
        <v>0</v>
      </c>
      <c r="R1091" s="42">
        <f>VLOOKUP($A1091,'Neraca Unaudited SIMAK'!$A$2:$R$1272,17,FALSE)+IF(ISNA(VLOOKUP($A1091,'Mutasi Neraca'!$A$3:$S$910,17,FALSE)),0,VLOOKUP($A1091,'Mutasi Neraca'!$A$3:$S$910,17,FALSE))</f>
        <v>0</v>
      </c>
      <c r="S1091" s="42">
        <f t="shared" ref="S1091:S1154" si="77">SUM(M1091:R1091)</f>
        <v>415000</v>
      </c>
    </row>
    <row r="1092" spans="1:19">
      <c r="A1092" s="41" t="s">
        <v>1034</v>
      </c>
      <c r="B1092" s="41" t="str">
        <f t="shared" si="76"/>
        <v>005031900</v>
      </c>
      <c r="D1092" s="42">
        <f>VLOOKUP($A1092,'Neraca Unaudited SIMAK'!$A$2:$R$1272,3,FALSE)+IF(ISNA(VLOOKUP($A1092,'Mutasi Neraca'!$A$3:$S$910,3,FALSE)),0,VLOOKUP($A1092,'Mutasi Neraca'!$A$3:$S$910,3,FALSE))</f>
        <v>2703160</v>
      </c>
      <c r="E1092" s="42">
        <f>VLOOKUP($A1092,'Neraca Unaudited SIMAK'!$A$2:$R$1272,4,FALSE)+IF(ISNA(VLOOKUP($A1092,'Mutasi Neraca'!$A$3:$S$910,4,FALSE)),0,VLOOKUP($A1092,'Mutasi Neraca'!$A$3:$S$910,4,FALSE))</f>
        <v>0</v>
      </c>
      <c r="F1092" s="42">
        <f>VLOOKUP($A1092,'Neraca Unaudited SIMAK'!$A$2:$R$1272,5,FALSE)+IF(ISNA(VLOOKUP($A1092,'Mutasi Neraca'!$A$3:$S$910,5,FALSE)),0,VLOOKUP($A1092,'Mutasi Neraca'!$A$3:$S$910,5,FALSE))</f>
        <v>0</v>
      </c>
      <c r="G1092" s="42">
        <f>VLOOKUP($A1092,'Neraca Unaudited SIMAK'!$A$2:$R$1272,6,FALSE)+IF(ISNA(VLOOKUP($A1092,'Mutasi Neraca'!$A$3:$S$910,6,FALSE)),0,VLOOKUP($A1092,'Mutasi Neraca'!$A$3:$S$910,6,FALSE))</f>
        <v>0</v>
      </c>
      <c r="H1092" s="42">
        <f>VLOOKUP($A1092,'Neraca Unaudited SIMAK'!$A$2:$R$1272,7,FALSE)+IF(ISNA(VLOOKUP($A1092,'Mutasi Neraca'!$A$3:$S$910,7,FALSE)),0,VLOOKUP($A1092,'Mutasi Neraca'!$A$3:$S$910,7,FALSE))</f>
        <v>0</v>
      </c>
      <c r="I1092" s="42">
        <f>VLOOKUP($A1092,'Neraca Unaudited SIMAK'!$A$2:$R$1272,8,FALSE)+IF(ISNA(VLOOKUP($A1092,'Mutasi Neraca'!$A$3:$S$910,8,FALSE)),0,VLOOKUP($A1092,'Mutasi Neraca'!$A$3:$S$910,8,FALSE))</f>
        <v>0</v>
      </c>
      <c r="J1092" s="42">
        <f>VLOOKUP($A1092,'Neraca Unaudited SIMAK'!$A$2:$R$1272,9,FALSE)+IF(ISNA(VLOOKUP($A1092,'Mutasi Neraca'!$A$3:$S$910,9,FALSE)),0,VLOOKUP($A1092,'Mutasi Neraca'!$A$3:$S$910,9,FALSE))</f>
        <v>0</v>
      </c>
      <c r="K1092" s="42">
        <f>VLOOKUP($A1092,'Neraca Unaudited SIMAK'!$A$2:$R$1272,10,FALSE)+IF(ISNA(VLOOKUP($A1092,'Mutasi Neraca'!$A$3:$S$910,10,FALSE)),0,VLOOKUP($A1092,'Mutasi Neraca'!$A$3:$S$910,10,FALSE))</f>
        <v>0</v>
      </c>
      <c r="L1092" s="42">
        <f>VLOOKUP($A1092,'Neraca Unaudited SIMAK'!$A$2:$R$1272,11,FALSE)+IF(ISNA(VLOOKUP($A1092,'Mutasi Neraca'!$A$3:$S$910,11,FALSE)),0,VLOOKUP($A1092,'Mutasi Neraca'!$A$3:$S$910,11,FALSE))</f>
        <v>0</v>
      </c>
      <c r="M1092" s="42">
        <f>VLOOKUP($A1092,'Neraca Unaudited SIMAK'!$A$2:$R$1272,12,FALSE)+IF(ISNA(VLOOKUP($A1092,'Mutasi Neraca'!$A$3:$S$910,12,FALSE)),0,VLOOKUP($A1092,'Mutasi Neraca'!$A$3:$S$910,12,FALSE))</f>
        <v>2703160</v>
      </c>
      <c r="N1092" s="42">
        <f>VLOOKUP($A1092,'Neraca Unaudited SIMAK'!$A$2:$R$1272,13,FALSE)+IF(ISNA(VLOOKUP($A1092,'Mutasi Neraca'!$A$3:$S$910,13,FALSE)),0,VLOOKUP($A1092,'Mutasi Neraca'!$A$3:$S$910,13,FALSE))</f>
        <v>0</v>
      </c>
      <c r="O1092" s="42">
        <f>VLOOKUP($A1092,'Neraca Unaudited SIMAK'!$A$2:$R$1272,14,FALSE)+IF(ISNA(VLOOKUP($A1092,'Mutasi Neraca'!$A$3:$S$910,14,FALSE)),0,VLOOKUP($A1092,'Mutasi Neraca'!$A$3:$S$910,14,FALSE))</f>
        <v>0</v>
      </c>
      <c r="P1092" s="42">
        <f>VLOOKUP($A1092,'Neraca Unaudited SIMAK'!$A$2:$R$1272,15,FALSE)+IF(ISNA(VLOOKUP($A1092,'Mutasi Neraca'!$A$3:$S$910,15,FALSE)),0,VLOOKUP($A1092,'Mutasi Neraca'!$A$3:$S$910,15,FALSE))</f>
        <v>0</v>
      </c>
      <c r="Q1092" s="42">
        <f>VLOOKUP($A1092,'Neraca Unaudited SIMAK'!$A$2:$R$1272,16,FALSE)+IF(ISNA(VLOOKUP($A1092,'Mutasi Neraca'!$A$3:$S$910,16,FALSE)),0,VLOOKUP($A1092,'Mutasi Neraca'!$A$3:$S$910,16,FALSE))</f>
        <v>0</v>
      </c>
      <c r="R1092" s="42">
        <f>VLOOKUP($A1092,'Neraca Unaudited SIMAK'!$A$2:$R$1272,17,FALSE)+IF(ISNA(VLOOKUP($A1092,'Mutasi Neraca'!$A$3:$S$910,17,FALSE)),0,VLOOKUP($A1092,'Mutasi Neraca'!$A$3:$S$910,17,FALSE))</f>
        <v>0</v>
      </c>
      <c r="S1092" s="42">
        <f t="shared" si="77"/>
        <v>2703160</v>
      </c>
    </row>
    <row r="1093" spans="1:19">
      <c r="A1093" s="41" t="s">
        <v>1035</v>
      </c>
      <c r="B1093" s="41" t="str">
        <f t="shared" si="76"/>
        <v>005031900</v>
      </c>
      <c r="D1093" s="42">
        <f>VLOOKUP($A1093,'Neraca Unaudited SIMAK'!$A$2:$R$1272,3,FALSE)+IF(ISNA(VLOOKUP($A1093,'Mutasi Neraca'!$A$3:$S$910,3,FALSE)),0,VLOOKUP($A1093,'Mutasi Neraca'!$A$3:$S$910,3,FALSE))</f>
        <v>5037732</v>
      </c>
      <c r="E1093" s="42">
        <f>VLOOKUP($A1093,'Neraca Unaudited SIMAK'!$A$2:$R$1272,4,FALSE)+IF(ISNA(VLOOKUP($A1093,'Mutasi Neraca'!$A$3:$S$910,4,FALSE)),0,VLOOKUP($A1093,'Mutasi Neraca'!$A$3:$S$910,4,FALSE))</f>
        <v>0</v>
      </c>
      <c r="F1093" s="42">
        <f>VLOOKUP($A1093,'Neraca Unaudited SIMAK'!$A$2:$R$1272,5,FALSE)+IF(ISNA(VLOOKUP($A1093,'Mutasi Neraca'!$A$3:$S$910,5,FALSE)),0,VLOOKUP($A1093,'Mutasi Neraca'!$A$3:$S$910,5,FALSE))</f>
        <v>0</v>
      </c>
      <c r="G1093" s="42">
        <f>VLOOKUP($A1093,'Neraca Unaudited SIMAK'!$A$2:$R$1272,6,FALSE)+IF(ISNA(VLOOKUP($A1093,'Mutasi Neraca'!$A$3:$S$910,6,FALSE)),0,VLOOKUP($A1093,'Mutasi Neraca'!$A$3:$S$910,6,FALSE))</f>
        <v>0</v>
      </c>
      <c r="H1093" s="42">
        <f>VLOOKUP($A1093,'Neraca Unaudited SIMAK'!$A$2:$R$1272,7,FALSE)+IF(ISNA(VLOOKUP($A1093,'Mutasi Neraca'!$A$3:$S$910,7,FALSE)),0,VLOOKUP($A1093,'Mutasi Neraca'!$A$3:$S$910,7,FALSE))</f>
        <v>0</v>
      </c>
      <c r="I1093" s="42">
        <f>VLOOKUP($A1093,'Neraca Unaudited SIMAK'!$A$2:$R$1272,8,FALSE)+IF(ISNA(VLOOKUP($A1093,'Mutasi Neraca'!$A$3:$S$910,8,FALSE)),0,VLOOKUP($A1093,'Mutasi Neraca'!$A$3:$S$910,8,FALSE))</f>
        <v>0</v>
      </c>
      <c r="J1093" s="42">
        <f>VLOOKUP($A1093,'Neraca Unaudited SIMAK'!$A$2:$R$1272,9,FALSE)+IF(ISNA(VLOOKUP($A1093,'Mutasi Neraca'!$A$3:$S$910,9,FALSE)),0,VLOOKUP($A1093,'Mutasi Neraca'!$A$3:$S$910,9,FALSE))</f>
        <v>0</v>
      </c>
      <c r="K1093" s="42">
        <f>VLOOKUP($A1093,'Neraca Unaudited SIMAK'!$A$2:$R$1272,10,FALSE)+IF(ISNA(VLOOKUP($A1093,'Mutasi Neraca'!$A$3:$S$910,10,FALSE)),0,VLOOKUP($A1093,'Mutasi Neraca'!$A$3:$S$910,10,FALSE))</f>
        <v>0</v>
      </c>
      <c r="L1093" s="42">
        <f>VLOOKUP($A1093,'Neraca Unaudited SIMAK'!$A$2:$R$1272,11,FALSE)+IF(ISNA(VLOOKUP($A1093,'Mutasi Neraca'!$A$3:$S$910,11,FALSE)),0,VLOOKUP($A1093,'Mutasi Neraca'!$A$3:$S$910,11,FALSE))</f>
        <v>0</v>
      </c>
      <c r="M1093" s="42">
        <f>VLOOKUP($A1093,'Neraca Unaudited SIMAK'!$A$2:$R$1272,12,FALSE)+IF(ISNA(VLOOKUP($A1093,'Mutasi Neraca'!$A$3:$S$910,12,FALSE)),0,VLOOKUP($A1093,'Mutasi Neraca'!$A$3:$S$910,12,FALSE))</f>
        <v>5037732</v>
      </c>
      <c r="N1093" s="42">
        <f>VLOOKUP($A1093,'Neraca Unaudited SIMAK'!$A$2:$R$1272,13,FALSE)+IF(ISNA(VLOOKUP($A1093,'Mutasi Neraca'!$A$3:$S$910,13,FALSE)),0,VLOOKUP($A1093,'Mutasi Neraca'!$A$3:$S$910,13,FALSE))</f>
        <v>0</v>
      </c>
      <c r="O1093" s="42">
        <f>VLOOKUP($A1093,'Neraca Unaudited SIMAK'!$A$2:$R$1272,14,FALSE)+IF(ISNA(VLOOKUP($A1093,'Mutasi Neraca'!$A$3:$S$910,14,FALSE)),0,VLOOKUP($A1093,'Mutasi Neraca'!$A$3:$S$910,14,FALSE))</f>
        <v>0</v>
      </c>
      <c r="P1093" s="42">
        <f>VLOOKUP($A1093,'Neraca Unaudited SIMAK'!$A$2:$R$1272,15,FALSE)+IF(ISNA(VLOOKUP($A1093,'Mutasi Neraca'!$A$3:$S$910,15,FALSE)),0,VLOOKUP($A1093,'Mutasi Neraca'!$A$3:$S$910,15,FALSE))</f>
        <v>0</v>
      </c>
      <c r="Q1093" s="42">
        <f>VLOOKUP($A1093,'Neraca Unaudited SIMAK'!$A$2:$R$1272,16,FALSE)+IF(ISNA(VLOOKUP($A1093,'Mutasi Neraca'!$A$3:$S$910,16,FALSE)),0,VLOOKUP($A1093,'Mutasi Neraca'!$A$3:$S$910,16,FALSE))</f>
        <v>0</v>
      </c>
      <c r="R1093" s="42">
        <f>VLOOKUP($A1093,'Neraca Unaudited SIMAK'!$A$2:$R$1272,17,FALSE)+IF(ISNA(VLOOKUP($A1093,'Mutasi Neraca'!$A$3:$S$910,17,FALSE)),0,VLOOKUP($A1093,'Mutasi Neraca'!$A$3:$S$910,17,FALSE))</f>
        <v>0</v>
      </c>
      <c r="S1093" s="42">
        <f t="shared" si="77"/>
        <v>5037732</v>
      </c>
    </row>
    <row r="1094" spans="1:19">
      <c r="A1094" s="41" t="s">
        <v>1036</v>
      </c>
      <c r="B1094" s="41" t="str">
        <f t="shared" si="76"/>
        <v>005031900</v>
      </c>
      <c r="D1094" s="42">
        <f>VLOOKUP($A1094,'Neraca Unaudited SIMAK'!$A$2:$R$1272,3,FALSE)+IF(ISNA(VLOOKUP($A1094,'Mutasi Neraca'!$A$3:$S$910,3,FALSE)),0,VLOOKUP($A1094,'Mutasi Neraca'!$A$3:$S$910,3,FALSE))</f>
        <v>0</v>
      </c>
      <c r="E1094" s="42">
        <f>VLOOKUP($A1094,'Neraca Unaudited SIMAK'!$A$2:$R$1272,4,FALSE)+IF(ISNA(VLOOKUP($A1094,'Mutasi Neraca'!$A$3:$S$910,4,FALSE)),0,VLOOKUP($A1094,'Mutasi Neraca'!$A$3:$S$910,4,FALSE))</f>
        <v>0</v>
      </c>
      <c r="F1094" s="42">
        <f>VLOOKUP($A1094,'Neraca Unaudited SIMAK'!$A$2:$R$1272,5,FALSE)+IF(ISNA(VLOOKUP($A1094,'Mutasi Neraca'!$A$3:$S$910,5,FALSE)),0,VLOOKUP($A1094,'Mutasi Neraca'!$A$3:$S$910,5,FALSE))</f>
        <v>0</v>
      </c>
      <c r="G1094" s="42">
        <f>VLOOKUP($A1094,'Neraca Unaudited SIMAK'!$A$2:$R$1272,6,FALSE)+IF(ISNA(VLOOKUP($A1094,'Mutasi Neraca'!$A$3:$S$910,6,FALSE)),0,VLOOKUP($A1094,'Mutasi Neraca'!$A$3:$S$910,6,FALSE))</f>
        <v>0</v>
      </c>
      <c r="H1094" s="42">
        <f>VLOOKUP($A1094,'Neraca Unaudited SIMAK'!$A$2:$R$1272,7,FALSE)+IF(ISNA(VLOOKUP($A1094,'Mutasi Neraca'!$A$3:$S$910,7,FALSE)),0,VLOOKUP($A1094,'Mutasi Neraca'!$A$3:$S$910,7,FALSE))</f>
        <v>0</v>
      </c>
      <c r="I1094" s="42">
        <f>VLOOKUP($A1094,'Neraca Unaudited SIMAK'!$A$2:$R$1272,8,FALSE)+IF(ISNA(VLOOKUP($A1094,'Mutasi Neraca'!$A$3:$S$910,8,FALSE)),0,VLOOKUP($A1094,'Mutasi Neraca'!$A$3:$S$910,8,FALSE))</f>
        <v>0</v>
      </c>
      <c r="J1094" s="42">
        <f>VLOOKUP($A1094,'Neraca Unaudited SIMAK'!$A$2:$R$1272,9,FALSE)+IF(ISNA(VLOOKUP($A1094,'Mutasi Neraca'!$A$3:$S$910,9,FALSE)),0,VLOOKUP($A1094,'Mutasi Neraca'!$A$3:$S$910,9,FALSE))</f>
        <v>0</v>
      </c>
      <c r="K1094" s="42">
        <f>VLOOKUP($A1094,'Neraca Unaudited SIMAK'!$A$2:$R$1272,10,FALSE)+IF(ISNA(VLOOKUP($A1094,'Mutasi Neraca'!$A$3:$S$910,10,FALSE)),0,VLOOKUP($A1094,'Mutasi Neraca'!$A$3:$S$910,10,FALSE))</f>
        <v>0</v>
      </c>
      <c r="L1094" s="42">
        <f>VLOOKUP($A1094,'Neraca Unaudited SIMAK'!$A$2:$R$1272,11,FALSE)+IF(ISNA(VLOOKUP($A1094,'Mutasi Neraca'!$A$3:$S$910,11,FALSE)),0,VLOOKUP($A1094,'Mutasi Neraca'!$A$3:$S$910,11,FALSE))</f>
        <v>0</v>
      </c>
      <c r="M1094" s="42">
        <f>VLOOKUP($A1094,'Neraca Unaudited SIMAK'!$A$2:$R$1272,12,FALSE)+IF(ISNA(VLOOKUP($A1094,'Mutasi Neraca'!$A$3:$S$910,12,FALSE)),0,VLOOKUP($A1094,'Mutasi Neraca'!$A$3:$S$910,12,FALSE))</f>
        <v>0</v>
      </c>
      <c r="N1094" s="42">
        <f>VLOOKUP($A1094,'Neraca Unaudited SIMAK'!$A$2:$R$1272,13,FALSE)+IF(ISNA(VLOOKUP($A1094,'Mutasi Neraca'!$A$3:$S$910,13,FALSE)),0,VLOOKUP($A1094,'Mutasi Neraca'!$A$3:$S$910,13,FALSE))</f>
        <v>0</v>
      </c>
      <c r="O1094" s="42">
        <f>VLOOKUP($A1094,'Neraca Unaudited SIMAK'!$A$2:$R$1272,14,FALSE)+IF(ISNA(VLOOKUP($A1094,'Mutasi Neraca'!$A$3:$S$910,14,FALSE)),0,VLOOKUP($A1094,'Mutasi Neraca'!$A$3:$S$910,14,FALSE))</f>
        <v>0</v>
      </c>
      <c r="P1094" s="42">
        <f>VLOOKUP($A1094,'Neraca Unaudited SIMAK'!$A$2:$R$1272,15,FALSE)+IF(ISNA(VLOOKUP($A1094,'Mutasi Neraca'!$A$3:$S$910,15,FALSE)),0,VLOOKUP($A1094,'Mutasi Neraca'!$A$3:$S$910,15,FALSE))</f>
        <v>0</v>
      </c>
      <c r="Q1094" s="42">
        <f>VLOOKUP($A1094,'Neraca Unaudited SIMAK'!$A$2:$R$1272,16,FALSE)+IF(ISNA(VLOOKUP($A1094,'Mutasi Neraca'!$A$3:$S$910,16,FALSE)),0,VLOOKUP($A1094,'Mutasi Neraca'!$A$3:$S$910,16,FALSE))</f>
        <v>0</v>
      </c>
      <c r="R1094" s="42">
        <f>VLOOKUP($A1094,'Neraca Unaudited SIMAK'!$A$2:$R$1272,17,FALSE)+IF(ISNA(VLOOKUP($A1094,'Mutasi Neraca'!$A$3:$S$910,17,FALSE)),0,VLOOKUP($A1094,'Mutasi Neraca'!$A$3:$S$910,17,FALSE))</f>
        <v>0</v>
      </c>
      <c r="S1094" s="42">
        <f t="shared" si="77"/>
        <v>0</v>
      </c>
    </row>
    <row r="1095" spans="1:19">
      <c r="A1095" s="41" t="s">
        <v>1037</v>
      </c>
      <c r="B1095" s="41" t="str">
        <f t="shared" si="76"/>
        <v>005031900</v>
      </c>
      <c r="D1095" s="42">
        <f>VLOOKUP($A1095,'Neraca Unaudited SIMAK'!$A$2:$R$1272,3,FALSE)+IF(ISNA(VLOOKUP($A1095,'Mutasi Neraca'!$A$3:$S$910,3,FALSE)),0,VLOOKUP($A1095,'Mutasi Neraca'!$A$3:$S$910,3,FALSE))</f>
        <v>4730000</v>
      </c>
      <c r="E1095" s="42">
        <f>VLOOKUP($A1095,'Neraca Unaudited SIMAK'!$A$2:$R$1272,4,FALSE)+IF(ISNA(VLOOKUP($A1095,'Mutasi Neraca'!$A$3:$S$910,4,FALSE)),0,VLOOKUP($A1095,'Mutasi Neraca'!$A$3:$S$910,4,FALSE))</f>
        <v>0</v>
      </c>
      <c r="F1095" s="42">
        <f>VLOOKUP($A1095,'Neraca Unaudited SIMAK'!$A$2:$R$1272,5,FALSE)+IF(ISNA(VLOOKUP($A1095,'Mutasi Neraca'!$A$3:$S$910,5,FALSE)),0,VLOOKUP($A1095,'Mutasi Neraca'!$A$3:$S$910,5,FALSE))</f>
        <v>0</v>
      </c>
      <c r="G1095" s="42">
        <f>VLOOKUP($A1095,'Neraca Unaudited SIMAK'!$A$2:$R$1272,6,FALSE)+IF(ISNA(VLOOKUP($A1095,'Mutasi Neraca'!$A$3:$S$910,6,FALSE)),0,VLOOKUP($A1095,'Mutasi Neraca'!$A$3:$S$910,6,FALSE))</f>
        <v>0</v>
      </c>
      <c r="H1095" s="42">
        <f>VLOOKUP($A1095,'Neraca Unaudited SIMAK'!$A$2:$R$1272,7,FALSE)+IF(ISNA(VLOOKUP($A1095,'Mutasi Neraca'!$A$3:$S$910,7,FALSE)),0,VLOOKUP($A1095,'Mutasi Neraca'!$A$3:$S$910,7,FALSE))</f>
        <v>0</v>
      </c>
      <c r="I1095" s="42">
        <f>VLOOKUP($A1095,'Neraca Unaudited SIMAK'!$A$2:$R$1272,8,FALSE)+IF(ISNA(VLOOKUP($A1095,'Mutasi Neraca'!$A$3:$S$910,8,FALSE)),0,VLOOKUP($A1095,'Mutasi Neraca'!$A$3:$S$910,8,FALSE))</f>
        <v>0</v>
      </c>
      <c r="J1095" s="42">
        <f>VLOOKUP($A1095,'Neraca Unaudited SIMAK'!$A$2:$R$1272,9,FALSE)+IF(ISNA(VLOOKUP($A1095,'Mutasi Neraca'!$A$3:$S$910,9,FALSE)),0,VLOOKUP($A1095,'Mutasi Neraca'!$A$3:$S$910,9,FALSE))</f>
        <v>0</v>
      </c>
      <c r="K1095" s="42">
        <f>VLOOKUP($A1095,'Neraca Unaudited SIMAK'!$A$2:$R$1272,10,FALSE)+IF(ISNA(VLOOKUP($A1095,'Mutasi Neraca'!$A$3:$S$910,10,FALSE)),0,VLOOKUP($A1095,'Mutasi Neraca'!$A$3:$S$910,10,FALSE))</f>
        <v>0</v>
      </c>
      <c r="L1095" s="42">
        <f>VLOOKUP($A1095,'Neraca Unaudited SIMAK'!$A$2:$R$1272,11,FALSE)+IF(ISNA(VLOOKUP($A1095,'Mutasi Neraca'!$A$3:$S$910,11,FALSE)),0,VLOOKUP($A1095,'Mutasi Neraca'!$A$3:$S$910,11,FALSE))</f>
        <v>0</v>
      </c>
      <c r="M1095" s="42">
        <f>VLOOKUP($A1095,'Neraca Unaudited SIMAK'!$A$2:$R$1272,12,FALSE)+IF(ISNA(VLOOKUP($A1095,'Mutasi Neraca'!$A$3:$S$910,12,FALSE)),0,VLOOKUP($A1095,'Mutasi Neraca'!$A$3:$S$910,12,FALSE))</f>
        <v>4730000</v>
      </c>
      <c r="N1095" s="42">
        <f>VLOOKUP($A1095,'Neraca Unaudited SIMAK'!$A$2:$R$1272,13,FALSE)+IF(ISNA(VLOOKUP($A1095,'Mutasi Neraca'!$A$3:$S$910,13,FALSE)),0,VLOOKUP($A1095,'Mutasi Neraca'!$A$3:$S$910,13,FALSE))</f>
        <v>0</v>
      </c>
      <c r="O1095" s="42">
        <f>VLOOKUP($A1095,'Neraca Unaudited SIMAK'!$A$2:$R$1272,14,FALSE)+IF(ISNA(VLOOKUP($A1095,'Mutasi Neraca'!$A$3:$S$910,14,FALSE)),0,VLOOKUP($A1095,'Mutasi Neraca'!$A$3:$S$910,14,FALSE))</f>
        <v>0</v>
      </c>
      <c r="P1095" s="42">
        <f>VLOOKUP($A1095,'Neraca Unaudited SIMAK'!$A$2:$R$1272,15,FALSE)+IF(ISNA(VLOOKUP($A1095,'Mutasi Neraca'!$A$3:$S$910,15,FALSE)),0,VLOOKUP($A1095,'Mutasi Neraca'!$A$3:$S$910,15,FALSE))</f>
        <v>0</v>
      </c>
      <c r="Q1095" s="42">
        <f>VLOOKUP($A1095,'Neraca Unaudited SIMAK'!$A$2:$R$1272,16,FALSE)+IF(ISNA(VLOOKUP($A1095,'Mutasi Neraca'!$A$3:$S$910,16,FALSE)),0,VLOOKUP($A1095,'Mutasi Neraca'!$A$3:$S$910,16,FALSE))</f>
        <v>0</v>
      </c>
      <c r="R1095" s="42">
        <f>VLOOKUP($A1095,'Neraca Unaudited SIMAK'!$A$2:$R$1272,17,FALSE)+IF(ISNA(VLOOKUP($A1095,'Mutasi Neraca'!$A$3:$S$910,17,FALSE)),0,VLOOKUP($A1095,'Mutasi Neraca'!$A$3:$S$910,17,FALSE))</f>
        <v>0</v>
      </c>
      <c r="S1095" s="42">
        <f t="shared" si="77"/>
        <v>4730000</v>
      </c>
    </row>
    <row r="1096" spans="1:19">
      <c r="A1096" s="41" t="s">
        <v>1038</v>
      </c>
      <c r="B1096" s="41" t="str">
        <f t="shared" si="76"/>
        <v>005031900</v>
      </c>
      <c r="D1096" s="42">
        <f>VLOOKUP($A1096,'Neraca Unaudited SIMAK'!$A$2:$R$1272,3,FALSE)+IF(ISNA(VLOOKUP($A1096,'Mutasi Neraca'!$A$3:$S$910,3,FALSE)),0,VLOOKUP($A1096,'Mutasi Neraca'!$A$3:$S$910,3,FALSE))</f>
        <v>2473000</v>
      </c>
      <c r="E1096" s="42">
        <f>VLOOKUP($A1096,'Neraca Unaudited SIMAK'!$A$2:$R$1272,4,FALSE)+IF(ISNA(VLOOKUP($A1096,'Mutasi Neraca'!$A$3:$S$910,4,FALSE)),0,VLOOKUP($A1096,'Mutasi Neraca'!$A$3:$S$910,4,FALSE))</f>
        <v>0</v>
      </c>
      <c r="F1096" s="42">
        <f>VLOOKUP($A1096,'Neraca Unaudited SIMAK'!$A$2:$R$1272,5,FALSE)+IF(ISNA(VLOOKUP($A1096,'Mutasi Neraca'!$A$3:$S$910,5,FALSE)),0,VLOOKUP($A1096,'Mutasi Neraca'!$A$3:$S$910,5,FALSE))</f>
        <v>0</v>
      </c>
      <c r="G1096" s="42">
        <f>VLOOKUP($A1096,'Neraca Unaudited SIMAK'!$A$2:$R$1272,6,FALSE)+IF(ISNA(VLOOKUP($A1096,'Mutasi Neraca'!$A$3:$S$910,6,FALSE)),0,VLOOKUP($A1096,'Mutasi Neraca'!$A$3:$S$910,6,FALSE))</f>
        <v>0</v>
      </c>
      <c r="H1096" s="42">
        <f>VLOOKUP($A1096,'Neraca Unaudited SIMAK'!$A$2:$R$1272,7,FALSE)+IF(ISNA(VLOOKUP($A1096,'Mutasi Neraca'!$A$3:$S$910,7,FALSE)),0,VLOOKUP($A1096,'Mutasi Neraca'!$A$3:$S$910,7,FALSE))</f>
        <v>0</v>
      </c>
      <c r="I1096" s="42">
        <f>VLOOKUP($A1096,'Neraca Unaudited SIMAK'!$A$2:$R$1272,8,FALSE)+IF(ISNA(VLOOKUP($A1096,'Mutasi Neraca'!$A$3:$S$910,8,FALSE)),0,VLOOKUP($A1096,'Mutasi Neraca'!$A$3:$S$910,8,FALSE))</f>
        <v>0</v>
      </c>
      <c r="J1096" s="42">
        <f>VLOOKUP($A1096,'Neraca Unaudited SIMAK'!$A$2:$R$1272,9,FALSE)+IF(ISNA(VLOOKUP($A1096,'Mutasi Neraca'!$A$3:$S$910,9,FALSE)),0,VLOOKUP($A1096,'Mutasi Neraca'!$A$3:$S$910,9,FALSE))</f>
        <v>0</v>
      </c>
      <c r="K1096" s="42">
        <f>VLOOKUP($A1096,'Neraca Unaudited SIMAK'!$A$2:$R$1272,10,FALSE)+IF(ISNA(VLOOKUP($A1096,'Mutasi Neraca'!$A$3:$S$910,10,FALSE)),0,VLOOKUP($A1096,'Mutasi Neraca'!$A$3:$S$910,10,FALSE))</f>
        <v>0</v>
      </c>
      <c r="L1096" s="42">
        <f>VLOOKUP($A1096,'Neraca Unaudited SIMAK'!$A$2:$R$1272,11,FALSE)+IF(ISNA(VLOOKUP($A1096,'Mutasi Neraca'!$A$3:$S$910,11,FALSE)),0,VLOOKUP($A1096,'Mutasi Neraca'!$A$3:$S$910,11,FALSE))</f>
        <v>0</v>
      </c>
      <c r="M1096" s="42">
        <f>VLOOKUP($A1096,'Neraca Unaudited SIMAK'!$A$2:$R$1272,12,FALSE)+IF(ISNA(VLOOKUP($A1096,'Mutasi Neraca'!$A$3:$S$910,12,FALSE)),0,VLOOKUP($A1096,'Mutasi Neraca'!$A$3:$S$910,12,FALSE))</f>
        <v>2473000</v>
      </c>
      <c r="N1096" s="42">
        <f>VLOOKUP($A1096,'Neraca Unaudited SIMAK'!$A$2:$R$1272,13,FALSE)+IF(ISNA(VLOOKUP($A1096,'Mutasi Neraca'!$A$3:$S$910,13,FALSE)),0,VLOOKUP($A1096,'Mutasi Neraca'!$A$3:$S$910,13,FALSE))</f>
        <v>0</v>
      </c>
      <c r="O1096" s="42">
        <f>VLOOKUP($A1096,'Neraca Unaudited SIMAK'!$A$2:$R$1272,14,FALSE)+IF(ISNA(VLOOKUP($A1096,'Mutasi Neraca'!$A$3:$S$910,14,FALSE)),0,VLOOKUP($A1096,'Mutasi Neraca'!$A$3:$S$910,14,FALSE))</f>
        <v>0</v>
      </c>
      <c r="P1096" s="42">
        <f>VLOOKUP($A1096,'Neraca Unaudited SIMAK'!$A$2:$R$1272,15,FALSE)+IF(ISNA(VLOOKUP($A1096,'Mutasi Neraca'!$A$3:$S$910,15,FALSE)),0,VLOOKUP($A1096,'Mutasi Neraca'!$A$3:$S$910,15,FALSE))</f>
        <v>0</v>
      </c>
      <c r="Q1096" s="42">
        <f>VLOOKUP($A1096,'Neraca Unaudited SIMAK'!$A$2:$R$1272,16,FALSE)+IF(ISNA(VLOOKUP($A1096,'Mutasi Neraca'!$A$3:$S$910,16,FALSE)),0,VLOOKUP($A1096,'Mutasi Neraca'!$A$3:$S$910,16,FALSE))</f>
        <v>0</v>
      </c>
      <c r="R1096" s="42">
        <f>VLOOKUP($A1096,'Neraca Unaudited SIMAK'!$A$2:$R$1272,17,FALSE)+IF(ISNA(VLOOKUP($A1096,'Mutasi Neraca'!$A$3:$S$910,17,FALSE)),0,VLOOKUP($A1096,'Mutasi Neraca'!$A$3:$S$910,17,FALSE))</f>
        <v>0</v>
      </c>
      <c r="S1096" s="42">
        <f t="shared" si="77"/>
        <v>2473000</v>
      </c>
    </row>
    <row r="1097" spans="1:19">
      <c r="A1097" s="41" t="s">
        <v>1039</v>
      </c>
      <c r="B1097" s="41" t="str">
        <f t="shared" si="76"/>
        <v>005031900</v>
      </c>
      <c r="D1097" s="42">
        <f>VLOOKUP($A1097,'Neraca Unaudited SIMAK'!$A$2:$R$1272,3,FALSE)+IF(ISNA(VLOOKUP($A1097,'Mutasi Neraca'!$A$3:$S$910,3,FALSE)),0,VLOOKUP($A1097,'Mutasi Neraca'!$A$3:$S$910,3,FALSE))</f>
        <v>225000</v>
      </c>
      <c r="E1097" s="42">
        <f>VLOOKUP($A1097,'Neraca Unaudited SIMAK'!$A$2:$R$1272,4,FALSE)+IF(ISNA(VLOOKUP($A1097,'Mutasi Neraca'!$A$3:$S$910,4,FALSE)),0,VLOOKUP($A1097,'Mutasi Neraca'!$A$3:$S$910,4,FALSE))</f>
        <v>0</v>
      </c>
      <c r="F1097" s="42">
        <f>VLOOKUP($A1097,'Neraca Unaudited SIMAK'!$A$2:$R$1272,5,FALSE)+IF(ISNA(VLOOKUP($A1097,'Mutasi Neraca'!$A$3:$S$910,5,FALSE)),0,VLOOKUP($A1097,'Mutasi Neraca'!$A$3:$S$910,5,FALSE))</f>
        <v>0</v>
      </c>
      <c r="G1097" s="42">
        <f>VLOOKUP($A1097,'Neraca Unaudited SIMAK'!$A$2:$R$1272,6,FALSE)+IF(ISNA(VLOOKUP($A1097,'Mutasi Neraca'!$A$3:$S$910,6,FALSE)),0,VLOOKUP($A1097,'Mutasi Neraca'!$A$3:$S$910,6,FALSE))</f>
        <v>0</v>
      </c>
      <c r="H1097" s="42">
        <f>VLOOKUP($A1097,'Neraca Unaudited SIMAK'!$A$2:$R$1272,7,FALSE)+IF(ISNA(VLOOKUP($A1097,'Mutasi Neraca'!$A$3:$S$910,7,FALSE)),0,VLOOKUP($A1097,'Mutasi Neraca'!$A$3:$S$910,7,FALSE))</f>
        <v>0</v>
      </c>
      <c r="I1097" s="42">
        <f>VLOOKUP($A1097,'Neraca Unaudited SIMAK'!$A$2:$R$1272,8,FALSE)+IF(ISNA(VLOOKUP($A1097,'Mutasi Neraca'!$A$3:$S$910,8,FALSE)),0,VLOOKUP($A1097,'Mutasi Neraca'!$A$3:$S$910,8,FALSE))</f>
        <v>0</v>
      </c>
      <c r="J1097" s="42">
        <f>VLOOKUP($A1097,'Neraca Unaudited SIMAK'!$A$2:$R$1272,9,FALSE)+IF(ISNA(VLOOKUP($A1097,'Mutasi Neraca'!$A$3:$S$910,9,FALSE)),0,VLOOKUP($A1097,'Mutasi Neraca'!$A$3:$S$910,9,FALSE))</f>
        <v>0</v>
      </c>
      <c r="K1097" s="42">
        <f>VLOOKUP($A1097,'Neraca Unaudited SIMAK'!$A$2:$R$1272,10,FALSE)+IF(ISNA(VLOOKUP($A1097,'Mutasi Neraca'!$A$3:$S$910,10,FALSE)),0,VLOOKUP($A1097,'Mutasi Neraca'!$A$3:$S$910,10,FALSE))</f>
        <v>0</v>
      </c>
      <c r="L1097" s="42">
        <f>VLOOKUP($A1097,'Neraca Unaudited SIMAK'!$A$2:$R$1272,11,FALSE)+IF(ISNA(VLOOKUP($A1097,'Mutasi Neraca'!$A$3:$S$910,11,FALSE)),0,VLOOKUP($A1097,'Mutasi Neraca'!$A$3:$S$910,11,FALSE))</f>
        <v>0</v>
      </c>
      <c r="M1097" s="42">
        <f>VLOOKUP($A1097,'Neraca Unaudited SIMAK'!$A$2:$R$1272,12,FALSE)+IF(ISNA(VLOOKUP($A1097,'Mutasi Neraca'!$A$3:$S$910,12,FALSE)),0,VLOOKUP($A1097,'Mutasi Neraca'!$A$3:$S$910,12,FALSE))</f>
        <v>225000</v>
      </c>
      <c r="N1097" s="42">
        <f>VLOOKUP($A1097,'Neraca Unaudited SIMAK'!$A$2:$R$1272,13,FALSE)+IF(ISNA(VLOOKUP($A1097,'Mutasi Neraca'!$A$3:$S$910,13,FALSE)),0,VLOOKUP($A1097,'Mutasi Neraca'!$A$3:$S$910,13,FALSE))</f>
        <v>0</v>
      </c>
      <c r="O1097" s="42">
        <f>VLOOKUP($A1097,'Neraca Unaudited SIMAK'!$A$2:$R$1272,14,FALSE)+IF(ISNA(VLOOKUP($A1097,'Mutasi Neraca'!$A$3:$S$910,14,FALSE)),0,VLOOKUP($A1097,'Mutasi Neraca'!$A$3:$S$910,14,FALSE))</f>
        <v>0</v>
      </c>
      <c r="P1097" s="42">
        <f>VLOOKUP($A1097,'Neraca Unaudited SIMAK'!$A$2:$R$1272,15,FALSE)+IF(ISNA(VLOOKUP($A1097,'Mutasi Neraca'!$A$3:$S$910,15,FALSE)),0,VLOOKUP($A1097,'Mutasi Neraca'!$A$3:$S$910,15,FALSE))</f>
        <v>0</v>
      </c>
      <c r="Q1097" s="42">
        <f>VLOOKUP($A1097,'Neraca Unaudited SIMAK'!$A$2:$R$1272,16,FALSE)+IF(ISNA(VLOOKUP($A1097,'Mutasi Neraca'!$A$3:$S$910,16,FALSE)),0,VLOOKUP($A1097,'Mutasi Neraca'!$A$3:$S$910,16,FALSE))</f>
        <v>0</v>
      </c>
      <c r="R1097" s="42">
        <f>VLOOKUP($A1097,'Neraca Unaudited SIMAK'!$A$2:$R$1272,17,FALSE)+IF(ISNA(VLOOKUP($A1097,'Mutasi Neraca'!$A$3:$S$910,17,FALSE)),0,VLOOKUP($A1097,'Mutasi Neraca'!$A$3:$S$910,17,FALSE))</f>
        <v>0</v>
      </c>
      <c r="S1097" s="42">
        <f t="shared" si="77"/>
        <v>225000</v>
      </c>
    </row>
    <row r="1098" spans="1:19">
      <c r="A1098" s="41" t="s">
        <v>1040</v>
      </c>
      <c r="B1098" s="41" t="str">
        <f t="shared" si="76"/>
        <v>005031900</v>
      </c>
      <c r="D1098" s="42">
        <f>VLOOKUP($A1098,'Neraca Unaudited SIMAK'!$A$2:$R$1272,3,FALSE)+IF(ISNA(VLOOKUP($A1098,'Mutasi Neraca'!$A$3:$S$910,3,FALSE)),0,VLOOKUP($A1098,'Mutasi Neraca'!$A$3:$S$910,3,FALSE))</f>
        <v>677500</v>
      </c>
      <c r="E1098" s="42">
        <f>VLOOKUP($A1098,'Neraca Unaudited SIMAK'!$A$2:$R$1272,4,FALSE)+IF(ISNA(VLOOKUP($A1098,'Mutasi Neraca'!$A$3:$S$910,4,FALSE)),0,VLOOKUP($A1098,'Mutasi Neraca'!$A$3:$S$910,4,FALSE))</f>
        <v>0</v>
      </c>
      <c r="F1098" s="42">
        <f>VLOOKUP($A1098,'Neraca Unaudited SIMAK'!$A$2:$R$1272,5,FALSE)+IF(ISNA(VLOOKUP($A1098,'Mutasi Neraca'!$A$3:$S$910,5,FALSE)),0,VLOOKUP($A1098,'Mutasi Neraca'!$A$3:$S$910,5,FALSE))</f>
        <v>0</v>
      </c>
      <c r="G1098" s="42">
        <f>VLOOKUP($A1098,'Neraca Unaudited SIMAK'!$A$2:$R$1272,6,FALSE)+IF(ISNA(VLOOKUP($A1098,'Mutasi Neraca'!$A$3:$S$910,6,FALSE)),0,VLOOKUP($A1098,'Mutasi Neraca'!$A$3:$S$910,6,FALSE))</f>
        <v>0</v>
      </c>
      <c r="H1098" s="42">
        <f>VLOOKUP($A1098,'Neraca Unaudited SIMAK'!$A$2:$R$1272,7,FALSE)+IF(ISNA(VLOOKUP($A1098,'Mutasi Neraca'!$A$3:$S$910,7,FALSE)),0,VLOOKUP($A1098,'Mutasi Neraca'!$A$3:$S$910,7,FALSE))</f>
        <v>0</v>
      </c>
      <c r="I1098" s="42">
        <f>VLOOKUP($A1098,'Neraca Unaudited SIMAK'!$A$2:$R$1272,8,FALSE)+IF(ISNA(VLOOKUP($A1098,'Mutasi Neraca'!$A$3:$S$910,8,FALSE)),0,VLOOKUP($A1098,'Mutasi Neraca'!$A$3:$S$910,8,FALSE))</f>
        <v>0</v>
      </c>
      <c r="J1098" s="42">
        <f>VLOOKUP($A1098,'Neraca Unaudited SIMAK'!$A$2:$R$1272,9,FALSE)+IF(ISNA(VLOOKUP($A1098,'Mutasi Neraca'!$A$3:$S$910,9,FALSE)),0,VLOOKUP($A1098,'Mutasi Neraca'!$A$3:$S$910,9,FALSE))</f>
        <v>0</v>
      </c>
      <c r="K1098" s="42">
        <f>VLOOKUP($A1098,'Neraca Unaudited SIMAK'!$A$2:$R$1272,10,FALSE)+IF(ISNA(VLOOKUP($A1098,'Mutasi Neraca'!$A$3:$S$910,10,FALSE)),0,VLOOKUP($A1098,'Mutasi Neraca'!$A$3:$S$910,10,FALSE))</f>
        <v>0</v>
      </c>
      <c r="L1098" s="42">
        <f>VLOOKUP($A1098,'Neraca Unaudited SIMAK'!$A$2:$R$1272,11,FALSE)+IF(ISNA(VLOOKUP($A1098,'Mutasi Neraca'!$A$3:$S$910,11,FALSE)),0,VLOOKUP($A1098,'Mutasi Neraca'!$A$3:$S$910,11,FALSE))</f>
        <v>0</v>
      </c>
      <c r="M1098" s="42">
        <f>VLOOKUP($A1098,'Neraca Unaudited SIMAK'!$A$2:$R$1272,12,FALSE)+IF(ISNA(VLOOKUP($A1098,'Mutasi Neraca'!$A$3:$S$910,12,FALSE)),0,VLOOKUP($A1098,'Mutasi Neraca'!$A$3:$S$910,12,FALSE))</f>
        <v>677500</v>
      </c>
      <c r="N1098" s="42">
        <f>VLOOKUP($A1098,'Neraca Unaudited SIMAK'!$A$2:$R$1272,13,FALSE)+IF(ISNA(VLOOKUP($A1098,'Mutasi Neraca'!$A$3:$S$910,13,FALSE)),0,VLOOKUP($A1098,'Mutasi Neraca'!$A$3:$S$910,13,FALSE))</f>
        <v>0</v>
      </c>
      <c r="O1098" s="42">
        <f>VLOOKUP($A1098,'Neraca Unaudited SIMAK'!$A$2:$R$1272,14,FALSE)+IF(ISNA(VLOOKUP($A1098,'Mutasi Neraca'!$A$3:$S$910,14,FALSE)),0,VLOOKUP($A1098,'Mutasi Neraca'!$A$3:$S$910,14,FALSE))</f>
        <v>0</v>
      </c>
      <c r="P1098" s="42">
        <f>VLOOKUP($A1098,'Neraca Unaudited SIMAK'!$A$2:$R$1272,15,FALSE)+IF(ISNA(VLOOKUP($A1098,'Mutasi Neraca'!$A$3:$S$910,15,FALSE)),0,VLOOKUP($A1098,'Mutasi Neraca'!$A$3:$S$910,15,FALSE))</f>
        <v>0</v>
      </c>
      <c r="Q1098" s="42">
        <f>VLOOKUP($A1098,'Neraca Unaudited SIMAK'!$A$2:$R$1272,16,FALSE)+IF(ISNA(VLOOKUP($A1098,'Mutasi Neraca'!$A$3:$S$910,16,FALSE)),0,VLOOKUP($A1098,'Mutasi Neraca'!$A$3:$S$910,16,FALSE))</f>
        <v>0</v>
      </c>
      <c r="R1098" s="42">
        <f>VLOOKUP($A1098,'Neraca Unaudited SIMAK'!$A$2:$R$1272,17,FALSE)+IF(ISNA(VLOOKUP($A1098,'Mutasi Neraca'!$A$3:$S$910,17,FALSE)),0,VLOOKUP($A1098,'Mutasi Neraca'!$A$3:$S$910,17,FALSE))</f>
        <v>0</v>
      </c>
      <c r="S1098" s="42">
        <f t="shared" si="77"/>
        <v>677500</v>
      </c>
    </row>
    <row r="1099" spans="1:19">
      <c r="A1099" s="41" t="s">
        <v>1041</v>
      </c>
      <c r="B1099" s="41" t="str">
        <f t="shared" si="76"/>
        <v>005031900</v>
      </c>
      <c r="D1099" s="42">
        <f>VLOOKUP($A1099,'Neraca Unaudited SIMAK'!$A$2:$R$1272,3,FALSE)+IF(ISNA(VLOOKUP($A1099,'Mutasi Neraca'!$A$3:$S$910,3,FALSE)),0,VLOOKUP($A1099,'Mutasi Neraca'!$A$3:$S$910,3,FALSE))</f>
        <v>42000</v>
      </c>
      <c r="E1099" s="42">
        <f>VLOOKUP($A1099,'Neraca Unaudited SIMAK'!$A$2:$R$1272,4,FALSE)+IF(ISNA(VLOOKUP($A1099,'Mutasi Neraca'!$A$3:$S$910,4,FALSE)),0,VLOOKUP($A1099,'Mutasi Neraca'!$A$3:$S$910,4,FALSE))</f>
        <v>0</v>
      </c>
      <c r="F1099" s="42">
        <f>VLOOKUP($A1099,'Neraca Unaudited SIMAK'!$A$2:$R$1272,5,FALSE)+IF(ISNA(VLOOKUP($A1099,'Mutasi Neraca'!$A$3:$S$910,5,FALSE)),0,VLOOKUP($A1099,'Mutasi Neraca'!$A$3:$S$910,5,FALSE))</f>
        <v>0</v>
      </c>
      <c r="G1099" s="42">
        <f>VLOOKUP($A1099,'Neraca Unaudited SIMAK'!$A$2:$R$1272,6,FALSE)+IF(ISNA(VLOOKUP($A1099,'Mutasi Neraca'!$A$3:$S$910,6,FALSE)),0,VLOOKUP($A1099,'Mutasi Neraca'!$A$3:$S$910,6,FALSE))</f>
        <v>0</v>
      </c>
      <c r="H1099" s="42">
        <f>VLOOKUP($A1099,'Neraca Unaudited SIMAK'!$A$2:$R$1272,7,FALSE)+IF(ISNA(VLOOKUP($A1099,'Mutasi Neraca'!$A$3:$S$910,7,FALSE)),0,VLOOKUP($A1099,'Mutasi Neraca'!$A$3:$S$910,7,FALSE))</f>
        <v>0</v>
      </c>
      <c r="I1099" s="42">
        <f>VLOOKUP($A1099,'Neraca Unaudited SIMAK'!$A$2:$R$1272,8,FALSE)+IF(ISNA(VLOOKUP($A1099,'Mutasi Neraca'!$A$3:$S$910,8,FALSE)),0,VLOOKUP($A1099,'Mutasi Neraca'!$A$3:$S$910,8,FALSE))</f>
        <v>0</v>
      </c>
      <c r="J1099" s="42">
        <f>VLOOKUP($A1099,'Neraca Unaudited SIMAK'!$A$2:$R$1272,9,FALSE)+IF(ISNA(VLOOKUP($A1099,'Mutasi Neraca'!$A$3:$S$910,9,FALSE)),0,VLOOKUP($A1099,'Mutasi Neraca'!$A$3:$S$910,9,FALSE))</f>
        <v>0</v>
      </c>
      <c r="K1099" s="42">
        <f>VLOOKUP($A1099,'Neraca Unaudited SIMAK'!$A$2:$R$1272,10,FALSE)+IF(ISNA(VLOOKUP($A1099,'Mutasi Neraca'!$A$3:$S$910,10,FALSE)),0,VLOOKUP($A1099,'Mutasi Neraca'!$A$3:$S$910,10,FALSE))</f>
        <v>0</v>
      </c>
      <c r="L1099" s="42">
        <f>VLOOKUP($A1099,'Neraca Unaudited SIMAK'!$A$2:$R$1272,11,FALSE)+IF(ISNA(VLOOKUP($A1099,'Mutasi Neraca'!$A$3:$S$910,11,FALSE)),0,VLOOKUP($A1099,'Mutasi Neraca'!$A$3:$S$910,11,FALSE))</f>
        <v>0</v>
      </c>
      <c r="M1099" s="42">
        <f>VLOOKUP($A1099,'Neraca Unaudited SIMAK'!$A$2:$R$1272,12,FALSE)+IF(ISNA(VLOOKUP($A1099,'Mutasi Neraca'!$A$3:$S$910,12,FALSE)),0,VLOOKUP($A1099,'Mutasi Neraca'!$A$3:$S$910,12,FALSE))</f>
        <v>42000</v>
      </c>
      <c r="N1099" s="42">
        <f>VLOOKUP($A1099,'Neraca Unaudited SIMAK'!$A$2:$R$1272,13,FALSE)+IF(ISNA(VLOOKUP($A1099,'Mutasi Neraca'!$A$3:$S$910,13,FALSE)),0,VLOOKUP($A1099,'Mutasi Neraca'!$A$3:$S$910,13,FALSE))</f>
        <v>0</v>
      </c>
      <c r="O1099" s="42">
        <f>VLOOKUP($A1099,'Neraca Unaudited SIMAK'!$A$2:$R$1272,14,FALSE)+IF(ISNA(VLOOKUP($A1099,'Mutasi Neraca'!$A$3:$S$910,14,FALSE)),0,VLOOKUP($A1099,'Mutasi Neraca'!$A$3:$S$910,14,FALSE))</f>
        <v>0</v>
      </c>
      <c r="P1099" s="42">
        <f>VLOOKUP($A1099,'Neraca Unaudited SIMAK'!$A$2:$R$1272,15,FALSE)+IF(ISNA(VLOOKUP($A1099,'Mutasi Neraca'!$A$3:$S$910,15,FALSE)),0,VLOOKUP($A1099,'Mutasi Neraca'!$A$3:$S$910,15,FALSE))</f>
        <v>0</v>
      </c>
      <c r="Q1099" s="42">
        <f>VLOOKUP($A1099,'Neraca Unaudited SIMAK'!$A$2:$R$1272,16,FALSE)+IF(ISNA(VLOOKUP($A1099,'Mutasi Neraca'!$A$3:$S$910,16,FALSE)),0,VLOOKUP($A1099,'Mutasi Neraca'!$A$3:$S$910,16,FALSE))</f>
        <v>0</v>
      </c>
      <c r="R1099" s="42">
        <f>VLOOKUP($A1099,'Neraca Unaudited SIMAK'!$A$2:$R$1272,17,FALSE)+IF(ISNA(VLOOKUP($A1099,'Mutasi Neraca'!$A$3:$S$910,17,FALSE)),0,VLOOKUP($A1099,'Mutasi Neraca'!$A$3:$S$910,17,FALSE))</f>
        <v>0</v>
      </c>
      <c r="S1099" s="42">
        <f t="shared" si="77"/>
        <v>42000</v>
      </c>
    </row>
    <row r="1100" spans="1:19">
      <c r="A1100" s="41" t="s">
        <v>1042</v>
      </c>
      <c r="B1100" s="41" t="str">
        <f t="shared" si="76"/>
        <v>005031900</v>
      </c>
      <c r="D1100" s="42">
        <f>VLOOKUP($A1100,'Neraca Unaudited SIMAK'!$A$2:$R$1272,3,FALSE)+IF(ISNA(VLOOKUP($A1100,'Mutasi Neraca'!$A$3:$S$910,3,FALSE)),0,VLOOKUP($A1100,'Mutasi Neraca'!$A$3:$S$910,3,FALSE))</f>
        <v>6446100</v>
      </c>
      <c r="E1100" s="42">
        <f>VLOOKUP($A1100,'Neraca Unaudited SIMAK'!$A$2:$R$1272,4,FALSE)+IF(ISNA(VLOOKUP($A1100,'Mutasi Neraca'!$A$3:$S$910,4,FALSE)),0,VLOOKUP($A1100,'Mutasi Neraca'!$A$3:$S$910,4,FALSE))</f>
        <v>0</v>
      </c>
      <c r="F1100" s="42">
        <f>VLOOKUP($A1100,'Neraca Unaudited SIMAK'!$A$2:$R$1272,5,FALSE)+IF(ISNA(VLOOKUP($A1100,'Mutasi Neraca'!$A$3:$S$910,5,FALSE)),0,VLOOKUP($A1100,'Mutasi Neraca'!$A$3:$S$910,5,FALSE))</f>
        <v>0</v>
      </c>
      <c r="G1100" s="42">
        <f>VLOOKUP($A1100,'Neraca Unaudited SIMAK'!$A$2:$R$1272,6,FALSE)+IF(ISNA(VLOOKUP($A1100,'Mutasi Neraca'!$A$3:$S$910,6,FALSE)),0,VLOOKUP($A1100,'Mutasi Neraca'!$A$3:$S$910,6,FALSE))</f>
        <v>0</v>
      </c>
      <c r="H1100" s="42">
        <f>VLOOKUP($A1100,'Neraca Unaudited SIMAK'!$A$2:$R$1272,7,FALSE)+IF(ISNA(VLOOKUP($A1100,'Mutasi Neraca'!$A$3:$S$910,7,FALSE)),0,VLOOKUP($A1100,'Mutasi Neraca'!$A$3:$S$910,7,FALSE))</f>
        <v>0</v>
      </c>
      <c r="I1100" s="42">
        <f>VLOOKUP($A1100,'Neraca Unaudited SIMAK'!$A$2:$R$1272,8,FALSE)+IF(ISNA(VLOOKUP($A1100,'Mutasi Neraca'!$A$3:$S$910,8,FALSE)),0,VLOOKUP($A1100,'Mutasi Neraca'!$A$3:$S$910,8,FALSE))</f>
        <v>0</v>
      </c>
      <c r="J1100" s="42">
        <f>VLOOKUP($A1100,'Neraca Unaudited SIMAK'!$A$2:$R$1272,9,FALSE)+IF(ISNA(VLOOKUP($A1100,'Mutasi Neraca'!$A$3:$S$910,9,FALSE)),0,VLOOKUP($A1100,'Mutasi Neraca'!$A$3:$S$910,9,FALSE))</f>
        <v>0</v>
      </c>
      <c r="K1100" s="42">
        <f>VLOOKUP($A1100,'Neraca Unaudited SIMAK'!$A$2:$R$1272,10,FALSE)+IF(ISNA(VLOOKUP($A1100,'Mutasi Neraca'!$A$3:$S$910,10,FALSE)),0,VLOOKUP($A1100,'Mutasi Neraca'!$A$3:$S$910,10,FALSE))</f>
        <v>0</v>
      </c>
      <c r="L1100" s="42">
        <f>VLOOKUP($A1100,'Neraca Unaudited SIMAK'!$A$2:$R$1272,11,FALSE)+IF(ISNA(VLOOKUP($A1100,'Mutasi Neraca'!$A$3:$S$910,11,FALSE)),0,VLOOKUP($A1100,'Mutasi Neraca'!$A$3:$S$910,11,FALSE))</f>
        <v>0</v>
      </c>
      <c r="M1100" s="42">
        <f>VLOOKUP($A1100,'Neraca Unaudited SIMAK'!$A$2:$R$1272,12,FALSE)+IF(ISNA(VLOOKUP($A1100,'Mutasi Neraca'!$A$3:$S$910,12,FALSE)),0,VLOOKUP($A1100,'Mutasi Neraca'!$A$3:$S$910,12,FALSE))</f>
        <v>6446100</v>
      </c>
      <c r="N1100" s="42">
        <f>VLOOKUP($A1100,'Neraca Unaudited SIMAK'!$A$2:$R$1272,13,FALSE)+IF(ISNA(VLOOKUP($A1100,'Mutasi Neraca'!$A$3:$S$910,13,FALSE)),0,VLOOKUP($A1100,'Mutasi Neraca'!$A$3:$S$910,13,FALSE))</f>
        <v>0</v>
      </c>
      <c r="O1100" s="42">
        <f>VLOOKUP($A1100,'Neraca Unaudited SIMAK'!$A$2:$R$1272,14,FALSE)+IF(ISNA(VLOOKUP($A1100,'Mutasi Neraca'!$A$3:$S$910,14,FALSE)),0,VLOOKUP($A1100,'Mutasi Neraca'!$A$3:$S$910,14,FALSE))</f>
        <v>0</v>
      </c>
      <c r="P1100" s="42">
        <f>VLOOKUP($A1100,'Neraca Unaudited SIMAK'!$A$2:$R$1272,15,FALSE)+IF(ISNA(VLOOKUP($A1100,'Mutasi Neraca'!$A$3:$S$910,15,FALSE)),0,VLOOKUP($A1100,'Mutasi Neraca'!$A$3:$S$910,15,FALSE))</f>
        <v>0</v>
      </c>
      <c r="Q1100" s="42">
        <f>VLOOKUP($A1100,'Neraca Unaudited SIMAK'!$A$2:$R$1272,16,FALSE)+IF(ISNA(VLOOKUP($A1100,'Mutasi Neraca'!$A$3:$S$910,16,FALSE)),0,VLOOKUP($A1100,'Mutasi Neraca'!$A$3:$S$910,16,FALSE))</f>
        <v>0</v>
      </c>
      <c r="R1100" s="42">
        <f>VLOOKUP($A1100,'Neraca Unaudited SIMAK'!$A$2:$R$1272,17,FALSE)+IF(ISNA(VLOOKUP($A1100,'Mutasi Neraca'!$A$3:$S$910,17,FALSE)),0,VLOOKUP($A1100,'Mutasi Neraca'!$A$3:$S$910,17,FALSE))</f>
        <v>0</v>
      </c>
      <c r="S1100" s="42">
        <f t="shared" si="77"/>
        <v>6446100</v>
      </c>
    </row>
    <row r="1101" spans="1:19">
      <c r="A1101" s="41" t="s">
        <v>1043</v>
      </c>
      <c r="B1101" s="41" t="str">
        <f t="shared" si="76"/>
        <v>005031900</v>
      </c>
      <c r="D1101" s="42">
        <f>VLOOKUP($A1101,'Neraca Unaudited SIMAK'!$A$2:$R$1272,3,FALSE)+IF(ISNA(VLOOKUP($A1101,'Mutasi Neraca'!$A$3:$S$910,3,FALSE)),0,VLOOKUP($A1101,'Mutasi Neraca'!$A$3:$S$910,3,FALSE))</f>
        <v>14967160</v>
      </c>
      <c r="E1101" s="42">
        <f>VLOOKUP($A1101,'Neraca Unaudited SIMAK'!$A$2:$R$1272,4,FALSE)+IF(ISNA(VLOOKUP($A1101,'Mutasi Neraca'!$A$3:$S$910,4,FALSE)),0,VLOOKUP($A1101,'Mutasi Neraca'!$A$3:$S$910,4,FALSE))</f>
        <v>0</v>
      </c>
      <c r="F1101" s="42">
        <f>VLOOKUP($A1101,'Neraca Unaudited SIMAK'!$A$2:$R$1272,5,FALSE)+IF(ISNA(VLOOKUP($A1101,'Mutasi Neraca'!$A$3:$S$910,5,FALSE)),0,VLOOKUP($A1101,'Mutasi Neraca'!$A$3:$S$910,5,FALSE))</f>
        <v>0</v>
      </c>
      <c r="G1101" s="42">
        <f>VLOOKUP($A1101,'Neraca Unaudited SIMAK'!$A$2:$R$1272,6,FALSE)+IF(ISNA(VLOOKUP($A1101,'Mutasi Neraca'!$A$3:$S$910,6,FALSE)),0,VLOOKUP($A1101,'Mutasi Neraca'!$A$3:$S$910,6,FALSE))</f>
        <v>0</v>
      </c>
      <c r="H1101" s="42">
        <f>VLOOKUP($A1101,'Neraca Unaudited SIMAK'!$A$2:$R$1272,7,FALSE)+IF(ISNA(VLOOKUP($A1101,'Mutasi Neraca'!$A$3:$S$910,7,FALSE)),0,VLOOKUP($A1101,'Mutasi Neraca'!$A$3:$S$910,7,FALSE))</f>
        <v>0</v>
      </c>
      <c r="I1101" s="42">
        <f>VLOOKUP($A1101,'Neraca Unaudited SIMAK'!$A$2:$R$1272,8,FALSE)+IF(ISNA(VLOOKUP($A1101,'Mutasi Neraca'!$A$3:$S$910,8,FALSE)),0,VLOOKUP($A1101,'Mutasi Neraca'!$A$3:$S$910,8,FALSE))</f>
        <v>0</v>
      </c>
      <c r="J1101" s="42">
        <f>VLOOKUP($A1101,'Neraca Unaudited SIMAK'!$A$2:$R$1272,9,FALSE)+IF(ISNA(VLOOKUP($A1101,'Mutasi Neraca'!$A$3:$S$910,9,FALSE)),0,VLOOKUP($A1101,'Mutasi Neraca'!$A$3:$S$910,9,FALSE))</f>
        <v>0</v>
      </c>
      <c r="K1101" s="42">
        <f>VLOOKUP($A1101,'Neraca Unaudited SIMAK'!$A$2:$R$1272,10,FALSE)+IF(ISNA(VLOOKUP($A1101,'Mutasi Neraca'!$A$3:$S$910,10,FALSE)),0,VLOOKUP($A1101,'Mutasi Neraca'!$A$3:$S$910,10,FALSE))</f>
        <v>0</v>
      </c>
      <c r="L1101" s="42">
        <f>VLOOKUP($A1101,'Neraca Unaudited SIMAK'!$A$2:$R$1272,11,FALSE)+IF(ISNA(VLOOKUP($A1101,'Mutasi Neraca'!$A$3:$S$910,11,FALSE)),0,VLOOKUP($A1101,'Mutasi Neraca'!$A$3:$S$910,11,FALSE))</f>
        <v>0</v>
      </c>
      <c r="M1101" s="42">
        <f>VLOOKUP($A1101,'Neraca Unaudited SIMAK'!$A$2:$R$1272,12,FALSE)+IF(ISNA(VLOOKUP($A1101,'Mutasi Neraca'!$A$3:$S$910,12,FALSE)),0,VLOOKUP($A1101,'Mutasi Neraca'!$A$3:$S$910,12,FALSE))</f>
        <v>14967160</v>
      </c>
      <c r="N1101" s="42">
        <f>VLOOKUP($A1101,'Neraca Unaudited SIMAK'!$A$2:$R$1272,13,FALSE)+IF(ISNA(VLOOKUP($A1101,'Mutasi Neraca'!$A$3:$S$910,13,FALSE)),0,VLOOKUP($A1101,'Mutasi Neraca'!$A$3:$S$910,13,FALSE))</f>
        <v>0</v>
      </c>
      <c r="O1101" s="42">
        <f>VLOOKUP($A1101,'Neraca Unaudited SIMAK'!$A$2:$R$1272,14,FALSE)+IF(ISNA(VLOOKUP($A1101,'Mutasi Neraca'!$A$3:$S$910,14,FALSE)),0,VLOOKUP($A1101,'Mutasi Neraca'!$A$3:$S$910,14,FALSE))</f>
        <v>0</v>
      </c>
      <c r="P1101" s="42">
        <f>VLOOKUP($A1101,'Neraca Unaudited SIMAK'!$A$2:$R$1272,15,FALSE)+IF(ISNA(VLOOKUP($A1101,'Mutasi Neraca'!$A$3:$S$910,15,FALSE)),0,VLOOKUP($A1101,'Mutasi Neraca'!$A$3:$S$910,15,FALSE))</f>
        <v>0</v>
      </c>
      <c r="Q1101" s="42">
        <f>VLOOKUP($A1101,'Neraca Unaudited SIMAK'!$A$2:$R$1272,16,FALSE)+IF(ISNA(VLOOKUP($A1101,'Mutasi Neraca'!$A$3:$S$910,16,FALSE)),0,VLOOKUP($A1101,'Mutasi Neraca'!$A$3:$S$910,16,FALSE))</f>
        <v>0</v>
      </c>
      <c r="R1101" s="42">
        <f>VLOOKUP($A1101,'Neraca Unaudited SIMAK'!$A$2:$R$1272,17,FALSE)+IF(ISNA(VLOOKUP($A1101,'Mutasi Neraca'!$A$3:$S$910,17,FALSE)),0,VLOOKUP($A1101,'Mutasi Neraca'!$A$3:$S$910,17,FALSE))</f>
        <v>0</v>
      </c>
      <c r="S1101" s="42">
        <f t="shared" si="77"/>
        <v>14967160</v>
      </c>
    </row>
    <row r="1102" spans="1:19">
      <c r="A1102" s="41" t="s">
        <v>1044</v>
      </c>
      <c r="B1102" s="41" t="str">
        <f t="shared" si="76"/>
        <v>005031900</v>
      </c>
      <c r="D1102" s="42">
        <f>VLOOKUP($A1102,'Neraca Unaudited SIMAK'!$A$2:$R$1272,3,FALSE)+IF(ISNA(VLOOKUP($A1102,'Mutasi Neraca'!$A$3:$S$910,3,FALSE)),0,VLOOKUP($A1102,'Mutasi Neraca'!$A$3:$S$910,3,FALSE))</f>
        <v>217500</v>
      </c>
      <c r="E1102" s="42">
        <f>VLOOKUP($A1102,'Neraca Unaudited SIMAK'!$A$2:$R$1272,4,FALSE)+IF(ISNA(VLOOKUP($A1102,'Mutasi Neraca'!$A$3:$S$910,4,FALSE)),0,VLOOKUP($A1102,'Mutasi Neraca'!$A$3:$S$910,4,FALSE))</f>
        <v>0</v>
      </c>
      <c r="F1102" s="42">
        <f>VLOOKUP($A1102,'Neraca Unaudited SIMAK'!$A$2:$R$1272,5,FALSE)+IF(ISNA(VLOOKUP($A1102,'Mutasi Neraca'!$A$3:$S$910,5,FALSE)),0,VLOOKUP($A1102,'Mutasi Neraca'!$A$3:$S$910,5,FALSE))</f>
        <v>0</v>
      </c>
      <c r="G1102" s="42">
        <f>VLOOKUP($A1102,'Neraca Unaudited SIMAK'!$A$2:$R$1272,6,FALSE)+IF(ISNA(VLOOKUP($A1102,'Mutasi Neraca'!$A$3:$S$910,6,FALSE)),0,VLOOKUP($A1102,'Mutasi Neraca'!$A$3:$S$910,6,FALSE))</f>
        <v>0</v>
      </c>
      <c r="H1102" s="42">
        <f>VLOOKUP($A1102,'Neraca Unaudited SIMAK'!$A$2:$R$1272,7,FALSE)+IF(ISNA(VLOOKUP($A1102,'Mutasi Neraca'!$A$3:$S$910,7,FALSE)),0,VLOOKUP($A1102,'Mutasi Neraca'!$A$3:$S$910,7,FALSE))</f>
        <v>0</v>
      </c>
      <c r="I1102" s="42">
        <f>VLOOKUP($A1102,'Neraca Unaudited SIMAK'!$A$2:$R$1272,8,FALSE)+IF(ISNA(VLOOKUP($A1102,'Mutasi Neraca'!$A$3:$S$910,8,FALSE)),0,VLOOKUP($A1102,'Mutasi Neraca'!$A$3:$S$910,8,FALSE))</f>
        <v>0</v>
      </c>
      <c r="J1102" s="42">
        <f>VLOOKUP($A1102,'Neraca Unaudited SIMAK'!$A$2:$R$1272,9,FALSE)+IF(ISNA(VLOOKUP($A1102,'Mutasi Neraca'!$A$3:$S$910,9,FALSE)),0,VLOOKUP($A1102,'Mutasi Neraca'!$A$3:$S$910,9,FALSE))</f>
        <v>0</v>
      </c>
      <c r="K1102" s="42">
        <f>VLOOKUP($A1102,'Neraca Unaudited SIMAK'!$A$2:$R$1272,10,FALSE)+IF(ISNA(VLOOKUP($A1102,'Mutasi Neraca'!$A$3:$S$910,10,FALSE)),0,VLOOKUP($A1102,'Mutasi Neraca'!$A$3:$S$910,10,FALSE))</f>
        <v>0</v>
      </c>
      <c r="L1102" s="42">
        <f>VLOOKUP($A1102,'Neraca Unaudited SIMAK'!$A$2:$R$1272,11,FALSE)+IF(ISNA(VLOOKUP($A1102,'Mutasi Neraca'!$A$3:$S$910,11,FALSE)),0,VLOOKUP($A1102,'Mutasi Neraca'!$A$3:$S$910,11,FALSE))</f>
        <v>0</v>
      </c>
      <c r="M1102" s="42">
        <f>VLOOKUP($A1102,'Neraca Unaudited SIMAK'!$A$2:$R$1272,12,FALSE)+IF(ISNA(VLOOKUP($A1102,'Mutasi Neraca'!$A$3:$S$910,12,FALSE)),0,VLOOKUP($A1102,'Mutasi Neraca'!$A$3:$S$910,12,FALSE))</f>
        <v>217500</v>
      </c>
      <c r="N1102" s="42">
        <f>VLOOKUP($A1102,'Neraca Unaudited SIMAK'!$A$2:$R$1272,13,FALSE)+IF(ISNA(VLOOKUP($A1102,'Mutasi Neraca'!$A$3:$S$910,13,FALSE)),0,VLOOKUP($A1102,'Mutasi Neraca'!$A$3:$S$910,13,FALSE))</f>
        <v>0</v>
      </c>
      <c r="O1102" s="42">
        <f>VLOOKUP($A1102,'Neraca Unaudited SIMAK'!$A$2:$R$1272,14,FALSE)+IF(ISNA(VLOOKUP($A1102,'Mutasi Neraca'!$A$3:$S$910,14,FALSE)),0,VLOOKUP($A1102,'Mutasi Neraca'!$A$3:$S$910,14,FALSE))</f>
        <v>0</v>
      </c>
      <c r="P1102" s="42">
        <f>VLOOKUP($A1102,'Neraca Unaudited SIMAK'!$A$2:$R$1272,15,FALSE)+IF(ISNA(VLOOKUP($A1102,'Mutasi Neraca'!$A$3:$S$910,15,FALSE)),0,VLOOKUP($A1102,'Mutasi Neraca'!$A$3:$S$910,15,FALSE))</f>
        <v>0</v>
      </c>
      <c r="Q1102" s="42">
        <f>VLOOKUP($A1102,'Neraca Unaudited SIMAK'!$A$2:$R$1272,16,FALSE)+IF(ISNA(VLOOKUP($A1102,'Mutasi Neraca'!$A$3:$S$910,16,FALSE)),0,VLOOKUP($A1102,'Mutasi Neraca'!$A$3:$S$910,16,FALSE))</f>
        <v>0</v>
      </c>
      <c r="R1102" s="42">
        <f>VLOOKUP($A1102,'Neraca Unaudited SIMAK'!$A$2:$R$1272,17,FALSE)+IF(ISNA(VLOOKUP($A1102,'Mutasi Neraca'!$A$3:$S$910,17,FALSE)),0,VLOOKUP($A1102,'Mutasi Neraca'!$A$3:$S$910,17,FALSE))</f>
        <v>0</v>
      </c>
      <c r="S1102" s="42">
        <f t="shared" si="77"/>
        <v>217500</v>
      </c>
    </row>
    <row r="1103" spans="1:19">
      <c r="A1103" s="41" t="s">
        <v>1045</v>
      </c>
      <c r="B1103" s="41" t="str">
        <f t="shared" si="76"/>
        <v>005031900</v>
      </c>
      <c r="D1103" s="42">
        <f>VLOOKUP($A1103,'Neraca Unaudited SIMAK'!$A$2:$R$1272,3,FALSE)+IF(ISNA(VLOOKUP($A1103,'Mutasi Neraca'!$A$3:$S$910,3,FALSE)),0,VLOOKUP($A1103,'Mutasi Neraca'!$A$3:$S$910,3,FALSE))</f>
        <v>1791000</v>
      </c>
      <c r="E1103" s="42">
        <f>VLOOKUP($A1103,'Neraca Unaudited SIMAK'!$A$2:$R$1272,4,FALSE)+IF(ISNA(VLOOKUP($A1103,'Mutasi Neraca'!$A$3:$S$910,4,FALSE)),0,VLOOKUP($A1103,'Mutasi Neraca'!$A$3:$S$910,4,FALSE))</f>
        <v>0</v>
      </c>
      <c r="F1103" s="42">
        <f>VLOOKUP($A1103,'Neraca Unaudited SIMAK'!$A$2:$R$1272,5,FALSE)+IF(ISNA(VLOOKUP($A1103,'Mutasi Neraca'!$A$3:$S$910,5,FALSE)),0,VLOOKUP($A1103,'Mutasi Neraca'!$A$3:$S$910,5,FALSE))</f>
        <v>0</v>
      </c>
      <c r="G1103" s="42">
        <f>VLOOKUP($A1103,'Neraca Unaudited SIMAK'!$A$2:$R$1272,6,FALSE)+IF(ISNA(VLOOKUP($A1103,'Mutasi Neraca'!$A$3:$S$910,6,FALSE)),0,VLOOKUP($A1103,'Mutasi Neraca'!$A$3:$S$910,6,FALSE))</f>
        <v>0</v>
      </c>
      <c r="H1103" s="42">
        <f>VLOOKUP($A1103,'Neraca Unaudited SIMAK'!$A$2:$R$1272,7,FALSE)+IF(ISNA(VLOOKUP($A1103,'Mutasi Neraca'!$A$3:$S$910,7,FALSE)),0,VLOOKUP($A1103,'Mutasi Neraca'!$A$3:$S$910,7,FALSE))</f>
        <v>0</v>
      </c>
      <c r="I1103" s="42">
        <f>VLOOKUP($A1103,'Neraca Unaudited SIMAK'!$A$2:$R$1272,8,FALSE)+IF(ISNA(VLOOKUP($A1103,'Mutasi Neraca'!$A$3:$S$910,8,FALSE)),0,VLOOKUP($A1103,'Mutasi Neraca'!$A$3:$S$910,8,FALSE))</f>
        <v>0</v>
      </c>
      <c r="J1103" s="42">
        <f>VLOOKUP($A1103,'Neraca Unaudited SIMAK'!$A$2:$R$1272,9,FALSE)+IF(ISNA(VLOOKUP($A1103,'Mutasi Neraca'!$A$3:$S$910,9,FALSE)),0,VLOOKUP($A1103,'Mutasi Neraca'!$A$3:$S$910,9,FALSE))</f>
        <v>0</v>
      </c>
      <c r="K1103" s="42">
        <f>VLOOKUP($A1103,'Neraca Unaudited SIMAK'!$A$2:$R$1272,10,FALSE)+IF(ISNA(VLOOKUP($A1103,'Mutasi Neraca'!$A$3:$S$910,10,FALSE)),0,VLOOKUP($A1103,'Mutasi Neraca'!$A$3:$S$910,10,FALSE))</f>
        <v>0</v>
      </c>
      <c r="L1103" s="42">
        <f>VLOOKUP($A1103,'Neraca Unaudited SIMAK'!$A$2:$R$1272,11,FALSE)+IF(ISNA(VLOOKUP($A1103,'Mutasi Neraca'!$A$3:$S$910,11,FALSE)),0,VLOOKUP($A1103,'Mutasi Neraca'!$A$3:$S$910,11,FALSE))</f>
        <v>0</v>
      </c>
      <c r="M1103" s="42">
        <f>VLOOKUP($A1103,'Neraca Unaudited SIMAK'!$A$2:$R$1272,12,FALSE)+IF(ISNA(VLOOKUP($A1103,'Mutasi Neraca'!$A$3:$S$910,12,FALSE)),0,VLOOKUP($A1103,'Mutasi Neraca'!$A$3:$S$910,12,FALSE))</f>
        <v>1791000</v>
      </c>
      <c r="N1103" s="42">
        <f>VLOOKUP($A1103,'Neraca Unaudited SIMAK'!$A$2:$R$1272,13,FALSE)+IF(ISNA(VLOOKUP($A1103,'Mutasi Neraca'!$A$3:$S$910,13,FALSE)),0,VLOOKUP($A1103,'Mutasi Neraca'!$A$3:$S$910,13,FALSE))</f>
        <v>0</v>
      </c>
      <c r="O1103" s="42">
        <f>VLOOKUP($A1103,'Neraca Unaudited SIMAK'!$A$2:$R$1272,14,FALSE)+IF(ISNA(VLOOKUP($A1103,'Mutasi Neraca'!$A$3:$S$910,14,FALSE)),0,VLOOKUP($A1103,'Mutasi Neraca'!$A$3:$S$910,14,FALSE))</f>
        <v>0</v>
      </c>
      <c r="P1103" s="42">
        <f>VLOOKUP($A1103,'Neraca Unaudited SIMAK'!$A$2:$R$1272,15,FALSE)+IF(ISNA(VLOOKUP($A1103,'Mutasi Neraca'!$A$3:$S$910,15,FALSE)),0,VLOOKUP($A1103,'Mutasi Neraca'!$A$3:$S$910,15,FALSE))</f>
        <v>0</v>
      </c>
      <c r="Q1103" s="42">
        <f>VLOOKUP($A1103,'Neraca Unaudited SIMAK'!$A$2:$R$1272,16,FALSE)+IF(ISNA(VLOOKUP($A1103,'Mutasi Neraca'!$A$3:$S$910,16,FALSE)),0,VLOOKUP($A1103,'Mutasi Neraca'!$A$3:$S$910,16,FALSE))</f>
        <v>0</v>
      </c>
      <c r="R1103" s="42">
        <f>VLOOKUP($A1103,'Neraca Unaudited SIMAK'!$A$2:$R$1272,17,FALSE)+IF(ISNA(VLOOKUP($A1103,'Mutasi Neraca'!$A$3:$S$910,17,FALSE)),0,VLOOKUP($A1103,'Mutasi Neraca'!$A$3:$S$910,17,FALSE))</f>
        <v>0</v>
      </c>
      <c r="S1103" s="42">
        <f t="shared" si="77"/>
        <v>1791000</v>
      </c>
    </row>
    <row r="1104" spans="1:19">
      <c r="A1104" s="41" t="s">
        <v>1046</v>
      </c>
      <c r="B1104" s="41" t="str">
        <f t="shared" si="76"/>
        <v>005031900</v>
      </c>
      <c r="D1104" s="42">
        <f>VLOOKUP($A1104,'Neraca Unaudited SIMAK'!$A$2:$R$1272,3,FALSE)+IF(ISNA(VLOOKUP($A1104,'Mutasi Neraca'!$A$3:$S$910,3,FALSE)),0,VLOOKUP($A1104,'Mutasi Neraca'!$A$3:$S$910,3,FALSE))</f>
        <v>3777300</v>
      </c>
      <c r="E1104" s="42">
        <f>VLOOKUP($A1104,'Neraca Unaudited SIMAK'!$A$2:$R$1272,4,FALSE)+IF(ISNA(VLOOKUP($A1104,'Mutasi Neraca'!$A$3:$S$910,4,FALSE)),0,VLOOKUP($A1104,'Mutasi Neraca'!$A$3:$S$910,4,FALSE))</f>
        <v>0</v>
      </c>
      <c r="F1104" s="42">
        <f>VLOOKUP($A1104,'Neraca Unaudited SIMAK'!$A$2:$R$1272,5,FALSE)+IF(ISNA(VLOOKUP($A1104,'Mutasi Neraca'!$A$3:$S$910,5,FALSE)),0,VLOOKUP($A1104,'Mutasi Neraca'!$A$3:$S$910,5,FALSE))</f>
        <v>0</v>
      </c>
      <c r="G1104" s="42">
        <f>VLOOKUP($A1104,'Neraca Unaudited SIMAK'!$A$2:$R$1272,6,FALSE)+IF(ISNA(VLOOKUP($A1104,'Mutasi Neraca'!$A$3:$S$910,6,FALSE)),0,VLOOKUP($A1104,'Mutasi Neraca'!$A$3:$S$910,6,FALSE))</f>
        <v>0</v>
      </c>
      <c r="H1104" s="42">
        <f>VLOOKUP($A1104,'Neraca Unaudited SIMAK'!$A$2:$R$1272,7,FALSE)+IF(ISNA(VLOOKUP($A1104,'Mutasi Neraca'!$A$3:$S$910,7,FALSE)),0,VLOOKUP($A1104,'Mutasi Neraca'!$A$3:$S$910,7,FALSE))</f>
        <v>0</v>
      </c>
      <c r="I1104" s="42">
        <f>VLOOKUP($A1104,'Neraca Unaudited SIMAK'!$A$2:$R$1272,8,FALSE)+IF(ISNA(VLOOKUP($A1104,'Mutasi Neraca'!$A$3:$S$910,8,FALSE)),0,VLOOKUP($A1104,'Mutasi Neraca'!$A$3:$S$910,8,FALSE))</f>
        <v>0</v>
      </c>
      <c r="J1104" s="42">
        <f>VLOOKUP($A1104,'Neraca Unaudited SIMAK'!$A$2:$R$1272,9,FALSE)+IF(ISNA(VLOOKUP($A1104,'Mutasi Neraca'!$A$3:$S$910,9,FALSE)),0,VLOOKUP($A1104,'Mutasi Neraca'!$A$3:$S$910,9,FALSE))</f>
        <v>0</v>
      </c>
      <c r="K1104" s="42">
        <f>VLOOKUP($A1104,'Neraca Unaudited SIMAK'!$A$2:$R$1272,10,FALSE)+IF(ISNA(VLOOKUP($A1104,'Mutasi Neraca'!$A$3:$S$910,10,FALSE)),0,VLOOKUP($A1104,'Mutasi Neraca'!$A$3:$S$910,10,FALSE))</f>
        <v>0</v>
      </c>
      <c r="L1104" s="42">
        <f>VLOOKUP($A1104,'Neraca Unaudited SIMAK'!$A$2:$R$1272,11,FALSE)+IF(ISNA(VLOOKUP($A1104,'Mutasi Neraca'!$A$3:$S$910,11,FALSE)),0,VLOOKUP($A1104,'Mutasi Neraca'!$A$3:$S$910,11,FALSE))</f>
        <v>0</v>
      </c>
      <c r="M1104" s="42">
        <f>VLOOKUP($A1104,'Neraca Unaudited SIMAK'!$A$2:$R$1272,12,FALSE)+IF(ISNA(VLOOKUP($A1104,'Mutasi Neraca'!$A$3:$S$910,12,FALSE)),0,VLOOKUP($A1104,'Mutasi Neraca'!$A$3:$S$910,12,FALSE))</f>
        <v>3777300</v>
      </c>
      <c r="N1104" s="42">
        <f>VLOOKUP($A1104,'Neraca Unaudited SIMAK'!$A$2:$R$1272,13,FALSE)+IF(ISNA(VLOOKUP($A1104,'Mutasi Neraca'!$A$3:$S$910,13,FALSE)),0,VLOOKUP($A1104,'Mutasi Neraca'!$A$3:$S$910,13,FALSE))</f>
        <v>0</v>
      </c>
      <c r="O1104" s="42">
        <f>VLOOKUP($A1104,'Neraca Unaudited SIMAK'!$A$2:$R$1272,14,FALSE)+IF(ISNA(VLOOKUP($A1104,'Mutasi Neraca'!$A$3:$S$910,14,FALSE)),0,VLOOKUP($A1104,'Mutasi Neraca'!$A$3:$S$910,14,FALSE))</f>
        <v>0</v>
      </c>
      <c r="P1104" s="42">
        <f>VLOOKUP($A1104,'Neraca Unaudited SIMAK'!$A$2:$R$1272,15,FALSE)+IF(ISNA(VLOOKUP($A1104,'Mutasi Neraca'!$A$3:$S$910,15,FALSE)),0,VLOOKUP($A1104,'Mutasi Neraca'!$A$3:$S$910,15,FALSE))</f>
        <v>0</v>
      </c>
      <c r="Q1104" s="42">
        <f>VLOOKUP($A1104,'Neraca Unaudited SIMAK'!$A$2:$R$1272,16,FALSE)+IF(ISNA(VLOOKUP($A1104,'Mutasi Neraca'!$A$3:$S$910,16,FALSE)),0,VLOOKUP($A1104,'Mutasi Neraca'!$A$3:$S$910,16,FALSE))</f>
        <v>0</v>
      </c>
      <c r="R1104" s="42">
        <f>VLOOKUP($A1104,'Neraca Unaudited SIMAK'!$A$2:$R$1272,17,FALSE)+IF(ISNA(VLOOKUP($A1104,'Mutasi Neraca'!$A$3:$S$910,17,FALSE)),0,VLOOKUP($A1104,'Mutasi Neraca'!$A$3:$S$910,17,FALSE))</f>
        <v>0</v>
      </c>
      <c r="S1104" s="42">
        <f t="shared" si="77"/>
        <v>3777300</v>
      </c>
    </row>
    <row r="1105" spans="1:19">
      <c r="A1105" s="41" t="s">
        <v>1047</v>
      </c>
      <c r="B1105" s="41" t="str">
        <f t="shared" si="76"/>
        <v>005032000</v>
      </c>
      <c r="D1105" s="42">
        <f>VLOOKUP($A1105,'Neraca Unaudited SIMAK'!$A$2:$R$1272,3,FALSE)+IF(ISNA(VLOOKUP($A1105,'Mutasi Neraca'!$A$3:$S$910,3,FALSE)),0,VLOOKUP($A1105,'Mutasi Neraca'!$A$3:$S$910,3,FALSE))</f>
        <v>2560000</v>
      </c>
      <c r="E1105" s="42">
        <f>VLOOKUP($A1105,'Neraca Unaudited SIMAK'!$A$2:$R$1272,4,FALSE)+IF(ISNA(VLOOKUP($A1105,'Mutasi Neraca'!$A$3:$S$910,4,FALSE)),0,VLOOKUP($A1105,'Mutasi Neraca'!$A$3:$S$910,4,FALSE))</f>
        <v>0</v>
      </c>
      <c r="F1105" s="42">
        <f>VLOOKUP($A1105,'Neraca Unaudited SIMAK'!$A$2:$R$1272,5,FALSE)+IF(ISNA(VLOOKUP($A1105,'Mutasi Neraca'!$A$3:$S$910,5,FALSE)),0,VLOOKUP($A1105,'Mutasi Neraca'!$A$3:$S$910,5,FALSE))</f>
        <v>0</v>
      </c>
      <c r="G1105" s="42">
        <f>VLOOKUP($A1105,'Neraca Unaudited SIMAK'!$A$2:$R$1272,6,FALSE)+IF(ISNA(VLOOKUP($A1105,'Mutasi Neraca'!$A$3:$S$910,6,FALSE)),0,VLOOKUP($A1105,'Mutasi Neraca'!$A$3:$S$910,6,FALSE))</f>
        <v>0</v>
      </c>
      <c r="H1105" s="42">
        <f>VLOOKUP($A1105,'Neraca Unaudited SIMAK'!$A$2:$R$1272,7,FALSE)+IF(ISNA(VLOOKUP($A1105,'Mutasi Neraca'!$A$3:$S$910,7,FALSE)),0,VLOOKUP($A1105,'Mutasi Neraca'!$A$3:$S$910,7,FALSE))</f>
        <v>0</v>
      </c>
      <c r="I1105" s="42">
        <f>VLOOKUP($A1105,'Neraca Unaudited SIMAK'!$A$2:$R$1272,8,FALSE)+IF(ISNA(VLOOKUP($A1105,'Mutasi Neraca'!$A$3:$S$910,8,FALSE)),0,VLOOKUP($A1105,'Mutasi Neraca'!$A$3:$S$910,8,FALSE))</f>
        <v>0</v>
      </c>
      <c r="J1105" s="42">
        <f>VLOOKUP($A1105,'Neraca Unaudited SIMAK'!$A$2:$R$1272,9,FALSE)+IF(ISNA(VLOOKUP($A1105,'Mutasi Neraca'!$A$3:$S$910,9,FALSE)),0,VLOOKUP($A1105,'Mutasi Neraca'!$A$3:$S$910,9,FALSE))</f>
        <v>0</v>
      </c>
      <c r="K1105" s="42">
        <f>VLOOKUP($A1105,'Neraca Unaudited SIMAK'!$A$2:$R$1272,10,FALSE)+IF(ISNA(VLOOKUP($A1105,'Mutasi Neraca'!$A$3:$S$910,10,FALSE)),0,VLOOKUP($A1105,'Mutasi Neraca'!$A$3:$S$910,10,FALSE))</f>
        <v>0</v>
      </c>
      <c r="L1105" s="42">
        <f>VLOOKUP($A1105,'Neraca Unaudited SIMAK'!$A$2:$R$1272,11,FALSE)+IF(ISNA(VLOOKUP($A1105,'Mutasi Neraca'!$A$3:$S$910,11,FALSE)),0,VLOOKUP($A1105,'Mutasi Neraca'!$A$3:$S$910,11,FALSE))</f>
        <v>0</v>
      </c>
      <c r="M1105" s="42">
        <f>VLOOKUP($A1105,'Neraca Unaudited SIMAK'!$A$2:$R$1272,12,FALSE)+IF(ISNA(VLOOKUP($A1105,'Mutasi Neraca'!$A$3:$S$910,12,FALSE)),0,VLOOKUP($A1105,'Mutasi Neraca'!$A$3:$S$910,12,FALSE))</f>
        <v>2560000</v>
      </c>
      <c r="N1105" s="42">
        <f>VLOOKUP($A1105,'Neraca Unaudited SIMAK'!$A$2:$R$1272,13,FALSE)+IF(ISNA(VLOOKUP($A1105,'Mutasi Neraca'!$A$3:$S$910,13,FALSE)),0,VLOOKUP($A1105,'Mutasi Neraca'!$A$3:$S$910,13,FALSE))</f>
        <v>0</v>
      </c>
      <c r="O1105" s="42">
        <f>VLOOKUP($A1105,'Neraca Unaudited SIMAK'!$A$2:$R$1272,14,FALSE)+IF(ISNA(VLOOKUP($A1105,'Mutasi Neraca'!$A$3:$S$910,14,FALSE)),0,VLOOKUP($A1105,'Mutasi Neraca'!$A$3:$S$910,14,FALSE))</f>
        <v>0</v>
      </c>
      <c r="P1105" s="42">
        <f>VLOOKUP($A1105,'Neraca Unaudited SIMAK'!$A$2:$R$1272,15,FALSE)+IF(ISNA(VLOOKUP($A1105,'Mutasi Neraca'!$A$3:$S$910,15,FALSE)),0,VLOOKUP($A1105,'Mutasi Neraca'!$A$3:$S$910,15,FALSE))</f>
        <v>0</v>
      </c>
      <c r="Q1105" s="42">
        <f>VLOOKUP($A1105,'Neraca Unaudited SIMAK'!$A$2:$R$1272,16,FALSE)+IF(ISNA(VLOOKUP($A1105,'Mutasi Neraca'!$A$3:$S$910,16,FALSE)),0,VLOOKUP($A1105,'Mutasi Neraca'!$A$3:$S$910,16,FALSE))</f>
        <v>0</v>
      </c>
      <c r="R1105" s="42">
        <f>VLOOKUP($A1105,'Neraca Unaudited SIMAK'!$A$2:$R$1272,17,FALSE)+IF(ISNA(VLOOKUP($A1105,'Mutasi Neraca'!$A$3:$S$910,17,FALSE)),0,VLOOKUP($A1105,'Mutasi Neraca'!$A$3:$S$910,17,FALSE))</f>
        <v>0</v>
      </c>
      <c r="S1105" s="42">
        <f t="shared" si="77"/>
        <v>2560000</v>
      </c>
    </row>
    <row r="1106" spans="1:19">
      <c r="A1106" s="41" t="s">
        <v>2065</v>
      </c>
      <c r="B1106" s="41" t="str">
        <f t="shared" si="76"/>
        <v>005032000</v>
      </c>
      <c r="D1106" s="42">
        <f>VLOOKUP($A1106,'Neraca Unaudited SIMAK'!$A$2:$R$1272,3,FALSE)+IF(ISNA(VLOOKUP($A1106,'Mutasi Neraca'!$A$3:$S$910,3,FALSE)),0,VLOOKUP($A1106,'Mutasi Neraca'!$A$3:$S$910,3,FALSE))</f>
        <v>1186500</v>
      </c>
      <c r="E1106" s="42">
        <f>VLOOKUP($A1106,'Neraca Unaudited SIMAK'!$A$2:$R$1272,4,FALSE)+IF(ISNA(VLOOKUP($A1106,'Mutasi Neraca'!$A$3:$S$910,4,FALSE)),0,VLOOKUP($A1106,'Mutasi Neraca'!$A$3:$S$910,4,FALSE))</f>
        <v>0</v>
      </c>
      <c r="F1106" s="42">
        <f>VLOOKUP($A1106,'Neraca Unaudited SIMAK'!$A$2:$R$1272,5,FALSE)+IF(ISNA(VLOOKUP($A1106,'Mutasi Neraca'!$A$3:$S$910,5,FALSE)),0,VLOOKUP($A1106,'Mutasi Neraca'!$A$3:$S$910,5,FALSE))</f>
        <v>0</v>
      </c>
      <c r="G1106" s="42">
        <f>VLOOKUP($A1106,'Neraca Unaudited SIMAK'!$A$2:$R$1272,6,FALSE)+IF(ISNA(VLOOKUP($A1106,'Mutasi Neraca'!$A$3:$S$910,6,FALSE)),0,VLOOKUP($A1106,'Mutasi Neraca'!$A$3:$S$910,6,FALSE))</f>
        <v>0</v>
      </c>
      <c r="H1106" s="42">
        <f>VLOOKUP($A1106,'Neraca Unaudited SIMAK'!$A$2:$R$1272,7,FALSE)+IF(ISNA(VLOOKUP($A1106,'Mutasi Neraca'!$A$3:$S$910,7,FALSE)),0,VLOOKUP($A1106,'Mutasi Neraca'!$A$3:$S$910,7,FALSE))</f>
        <v>0</v>
      </c>
      <c r="I1106" s="42">
        <f>VLOOKUP($A1106,'Neraca Unaudited SIMAK'!$A$2:$R$1272,8,FALSE)+IF(ISNA(VLOOKUP($A1106,'Mutasi Neraca'!$A$3:$S$910,8,FALSE)),0,VLOOKUP($A1106,'Mutasi Neraca'!$A$3:$S$910,8,FALSE))</f>
        <v>0</v>
      </c>
      <c r="J1106" s="42">
        <f>VLOOKUP($A1106,'Neraca Unaudited SIMAK'!$A$2:$R$1272,9,FALSE)+IF(ISNA(VLOOKUP($A1106,'Mutasi Neraca'!$A$3:$S$910,9,FALSE)),0,VLOOKUP($A1106,'Mutasi Neraca'!$A$3:$S$910,9,FALSE))</f>
        <v>0</v>
      </c>
      <c r="K1106" s="42">
        <f>VLOOKUP($A1106,'Neraca Unaudited SIMAK'!$A$2:$R$1272,10,FALSE)+IF(ISNA(VLOOKUP($A1106,'Mutasi Neraca'!$A$3:$S$910,10,FALSE)),0,VLOOKUP($A1106,'Mutasi Neraca'!$A$3:$S$910,10,FALSE))</f>
        <v>0</v>
      </c>
      <c r="L1106" s="42">
        <f>VLOOKUP($A1106,'Neraca Unaudited SIMAK'!$A$2:$R$1272,11,FALSE)+IF(ISNA(VLOOKUP($A1106,'Mutasi Neraca'!$A$3:$S$910,11,FALSE)),0,VLOOKUP($A1106,'Mutasi Neraca'!$A$3:$S$910,11,FALSE))</f>
        <v>0</v>
      </c>
      <c r="M1106" s="42">
        <f>VLOOKUP($A1106,'Neraca Unaudited SIMAK'!$A$2:$R$1272,12,FALSE)+IF(ISNA(VLOOKUP($A1106,'Mutasi Neraca'!$A$3:$S$910,12,FALSE)),0,VLOOKUP($A1106,'Mutasi Neraca'!$A$3:$S$910,12,FALSE))</f>
        <v>1186500</v>
      </c>
      <c r="N1106" s="42">
        <f>VLOOKUP($A1106,'Neraca Unaudited SIMAK'!$A$2:$R$1272,13,FALSE)+IF(ISNA(VLOOKUP($A1106,'Mutasi Neraca'!$A$3:$S$910,13,FALSE)),0,VLOOKUP($A1106,'Mutasi Neraca'!$A$3:$S$910,13,FALSE))</f>
        <v>0</v>
      </c>
      <c r="O1106" s="42">
        <f>VLOOKUP($A1106,'Neraca Unaudited SIMAK'!$A$2:$R$1272,14,FALSE)+IF(ISNA(VLOOKUP($A1106,'Mutasi Neraca'!$A$3:$S$910,14,FALSE)),0,VLOOKUP($A1106,'Mutasi Neraca'!$A$3:$S$910,14,FALSE))</f>
        <v>0</v>
      </c>
      <c r="P1106" s="42">
        <f>VLOOKUP($A1106,'Neraca Unaudited SIMAK'!$A$2:$R$1272,15,FALSE)+IF(ISNA(VLOOKUP($A1106,'Mutasi Neraca'!$A$3:$S$910,15,FALSE)),0,VLOOKUP($A1106,'Mutasi Neraca'!$A$3:$S$910,15,FALSE))</f>
        <v>0</v>
      </c>
      <c r="Q1106" s="42">
        <f>VLOOKUP($A1106,'Neraca Unaudited SIMAK'!$A$2:$R$1272,16,FALSE)+IF(ISNA(VLOOKUP($A1106,'Mutasi Neraca'!$A$3:$S$910,16,FALSE)),0,VLOOKUP($A1106,'Mutasi Neraca'!$A$3:$S$910,16,FALSE))</f>
        <v>0</v>
      </c>
      <c r="R1106" s="42">
        <f>VLOOKUP($A1106,'Neraca Unaudited SIMAK'!$A$2:$R$1272,17,FALSE)+IF(ISNA(VLOOKUP($A1106,'Mutasi Neraca'!$A$3:$S$910,17,FALSE)),0,VLOOKUP($A1106,'Mutasi Neraca'!$A$3:$S$910,17,FALSE))</f>
        <v>0</v>
      </c>
      <c r="S1106" s="42">
        <f t="shared" si="77"/>
        <v>1186500</v>
      </c>
    </row>
    <row r="1107" spans="1:19">
      <c r="A1107" s="41" t="s">
        <v>1048</v>
      </c>
      <c r="B1107" s="41" t="str">
        <f t="shared" si="76"/>
        <v>005032000</v>
      </c>
      <c r="D1107" s="42">
        <f>VLOOKUP($A1107,'Neraca Unaudited SIMAK'!$A$2:$R$1272,3,FALSE)+IF(ISNA(VLOOKUP($A1107,'Mutasi Neraca'!$A$3:$S$910,3,FALSE)),0,VLOOKUP($A1107,'Mutasi Neraca'!$A$3:$S$910,3,FALSE))</f>
        <v>66000</v>
      </c>
      <c r="E1107" s="42">
        <f>VLOOKUP($A1107,'Neraca Unaudited SIMAK'!$A$2:$R$1272,4,FALSE)+IF(ISNA(VLOOKUP($A1107,'Mutasi Neraca'!$A$3:$S$910,4,FALSE)),0,VLOOKUP($A1107,'Mutasi Neraca'!$A$3:$S$910,4,FALSE))</f>
        <v>0</v>
      </c>
      <c r="F1107" s="42">
        <f>VLOOKUP($A1107,'Neraca Unaudited SIMAK'!$A$2:$R$1272,5,FALSE)+IF(ISNA(VLOOKUP($A1107,'Mutasi Neraca'!$A$3:$S$910,5,FALSE)),0,VLOOKUP($A1107,'Mutasi Neraca'!$A$3:$S$910,5,FALSE))</f>
        <v>0</v>
      </c>
      <c r="G1107" s="42">
        <f>VLOOKUP($A1107,'Neraca Unaudited SIMAK'!$A$2:$R$1272,6,FALSE)+IF(ISNA(VLOOKUP($A1107,'Mutasi Neraca'!$A$3:$S$910,6,FALSE)),0,VLOOKUP($A1107,'Mutasi Neraca'!$A$3:$S$910,6,FALSE))</f>
        <v>0</v>
      </c>
      <c r="H1107" s="42">
        <f>VLOOKUP($A1107,'Neraca Unaudited SIMAK'!$A$2:$R$1272,7,FALSE)+IF(ISNA(VLOOKUP($A1107,'Mutasi Neraca'!$A$3:$S$910,7,FALSE)),0,VLOOKUP($A1107,'Mutasi Neraca'!$A$3:$S$910,7,FALSE))</f>
        <v>0</v>
      </c>
      <c r="I1107" s="42">
        <f>VLOOKUP($A1107,'Neraca Unaudited SIMAK'!$A$2:$R$1272,8,FALSE)+IF(ISNA(VLOOKUP($A1107,'Mutasi Neraca'!$A$3:$S$910,8,FALSE)),0,VLOOKUP($A1107,'Mutasi Neraca'!$A$3:$S$910,8,FALSE))</f>
        <v>0</v>
      </c>
      <c r="J1107" s="42">
        <f>VLOOKUP($A1107,'Neraca Unaudited SIMAK'!$A$2:$R$1272,9,FALSE)+IF(ISNA(VLOOKUP($A1107,'Mutasi Neraca'!$A$3:$S$910,9,FALSE)),0,VLOOKUP($A1107,'Mutasi Neraca'!$A$3:$S$910,9,FALSE))</f>
        <v>0</v>
      </c>
      <c r="K1107" s="42">
        <f>VLOOKUP($A1107,'Neraca Unaudited SIMAK'!$A$2:$R$1272,10,FALSE)+IF(ISNA(VLOOKUP($A1107,'Mutasi Neraca'!$A$3:$S$910,10,FALSE)),0,VLOOKUP($A1107,'Mutasi Neraca'!$A$3:$S$910,10,FALSE))</f>
        <v>0</v>
      </c>
      <c r="L1107" s="42">
        <f>VLOOKUP($A1107,'Neraca Unaudited SIMAK'!$A$2:$R$1272,11,FALSE)+IF(ISNA(VLOOKUP($A1107,'Mutasi Neraca'!$A$3:$S$910,11,FALSE)),0,VLOOKUP($A1107,'Mutasi Neraca'!$A$3:$S$910,11,FALSE))</f>
        <v>0</v>
      </c>
      <c r="M1107" s="42">
        <f>VLOOKUP($A1107,'Neraca Unaudited SIMAK'!$A$2:$R$1272,12,FALSE)+IF(ISNA(VLOOKUP($A1107,'Mutasi Neraca'!$A$3:$S$910,12,FALSE)),0,VLOOKUP($A1107,'Mutasi Neraca'!$A$3:$S$910,12,FALSE))</f>
        <v>66000</v>
      </c>
      <c r="N1107" s="42">
        <f>VLOOKUP($A1107,'Neraca Unaudited SIMAK'!$A$2:$R$1272,13,FALSE)+IF(ISNA(VLOOKUP($A1107,'Mutasi Neraca'!$A$3:$S$910,13,FALSE)),0,VLOOKUP($A1107,'Mutasi Neraca'!$A$3:$S$910,13,FALSE))</f>
        <v>0</v>
      </c>
      <c r="O1107" s="42">
        <f>VLOOKUP($A1107,'Neraca Unaudited SIMAK'!$A$2:$R$1272,14,FALSE)+IF(ISNA(VLOOKUP($A1107,'Mutasi Neraca'!$A$3:$S$910,14,FALSE)),0,VLOOKUP($A1107,'Mutasi Neraca'!$A$3:$S$910,14,FALSE))</f>
        <v>0</v>
      </c>
      <c r="P1107" s="42">
        <f>VLOOKUP($A1107,'Neraca Unaudited SIMAK'!$A$2:$R$1272,15,FALSE)+IF(ISNA(VLOOKUP($A1107,'Mutasi Neraca'!$A$3:$S$910,15,FALSE)),0,VLOOKUP($A1107,'Mutasi Neraca'!$A$3:$S$910,15,FALSE))</f>
        <v>0</v>
      </c>
      <c r="Q1107" s="42">
        <f>VLOOKUP($A1107,'Neraca Unaudited SIMAK'!$A$2:$R$1272,16,FALSE)+IF(ISNA(VLOOKUP($A1107,'Mutasi Neraca'!$A$3:$S$910,16,FALSE)),0,VLOOKUP($A1107,'Mutasi Neraca'!$A$3:$S$910,16,FALSE))</f>
        <v>0</v>
      </c>
      <c r="R1107" s="42">
        <f>VLOOKUP($A1107,'Neraca Unaudited SIMAK'!$A$2:$R$1272,17,FALSE)+IF(ISNA(VLOOKUP($A1107,'Mutasi Neraca'!$A$3:$S$910,17,FALSE)),0,VLOOKUP($A1107,'Mutasi Neraca'!$A$3:$S$910,17,FALSE))</f>
        <v>0</v>
      </c>
      <c r="S1107" s="42">
        <f t="shared" si="77"/>
        <v>66000</v>
      </c>
    </row>
    <row r="1108" spans="1:19">
      <c r="A1108" s="41" t="s">
        <v>2197</v>
      </c>
      <c r="B1108" s="41" t="str">
        <f t="shared" si="76"/>
        <v>005032000</v>
      </c>
      <c r="D1108" s="42">
        <f>VLOOKUP($A1108,'Neraca Unaudited SIMAK'!$A$2:$R$1272,3,FALSE)+IF(ISNA(VLOOKUP($A1108,'Mutasi Neraca'!$A$3:$S$910,3,FALSE)),0,VLOOKUP($A1108,'Mutasi Neraca'!$A$3:$S$910,3,FALSE))</f>
        <v>120000</v>
      </c>
      <c r="E1108" s="42">
        <f>VLOOKUP($A1108,'Neraca Unaudited SIMAK'!$A$2:$R$1272,4,FALSE)+IF(ISNA(VLOOKUP($A1108,'Mutasi Neraca'!$A$3:$S$910,4,FALSE)),0,VLOOKUP($A1108,'Mutasi Neraca'!$A$3:$S$910,4,FALSE))</f>
        <v>0</v>
      </c>
      <c r="F1108" s="42">
        <f>VLOOKUP($A1108,'Neraca Unaudited SIMAK'!$A$2:$R$1272,5,FALSE)+IF(ISNA(VLOOKUP($A1108,'Mutasi Neraca'!$A$3:$S$910,5,FALSE)),0,VLOOKUP($A1108,'Mutasi Neraca'!$A$3:$S$910,5,FALSE))</f>
        <v>0</v>
      </c>
      <c r="G1108" s="42">
        <f>VLOOKUP($A1108,'Neraca Unaudited SIMAK'!$A$2:$R$1272,6,FALSE)+IF(ISNA(VLOOKUP($A1108,'Mutasi Neraca'!$A$3:$S$910,6,FALSE)),0,VLOOKUP($A1108,'Mutasi Neraca'!$A$3:$S$910,6,FALSE))</f>
        <v>0</v>
      </c>
      <c r="H1108" s="42">
        <f>VLOOKUP($A1108,'Neraca Unaudited SIMAK'!$A$2:$R$1272,7,FALSE)+IF(ISNA(VLOOKUP($A1108,'Mutasi Neraca'!$A$3:$S$910,7,FALSE)),0,VLOOKUP($A1108,'Mutasi Neraca'!$A$3:$S$910,7,FALSE))</f>
        <v>0</v>
      </c>
      <c r="I1108" s="42">
        <f>VLOOKUP($A1108,'Neraca Unaudited SIMAK'!$A$2:$R$1272,8,FALSE)+IF(ISNA(VLOOKUP($A1108,'Mutasi Neraca'!$A$3:$S$910,8,FALSE)),0,VLOOKUP($A1108,'Mutasi Neraca'!$A$3:$S$910,8,FALSE))</f>
        <v>0</v>
      </c>
      <c r="J1108" s="42">
        <f>VLOOKUP($A1108,'Neraca Unaudited SIMAK'!$A$2:$R$1272,9,FALSE)+IF(ISNA(VLOOKUP($A1108,'Mutasi Neraca'!$A$3:$S$910,9,FALSE)),0,VLOOKUP($A1108,'Mutasi Neraca'!$A$3:$S$910,9,FALSE))</f>
        <v>0</v>
      </c>
      <c r="K1108" s="42">
        <f>VLOOKUP($A1108,'Neraca Unaudited SIMAK'!$A$2:$R$1272,10,FALSE)+IF(ISNA(VLOOKUP($A1108,'Mutasi Neraca'!$A$3:$S$910,10,FALSE)),0,VLOOKUP($A1108,'Mutasi Neraca'!$A$3:$S$910,10,FALSE))</f>
        <v>0</v>
      </c>
      <c r="L1108" s="42">
        <f>VLOOKUP($A1108,'Neraca Unaudited SIMAK'!$A$2:$R$1272,11,FALSE)+IF(ISNA(VLOOKUP($A1108,'Mutasi Neraca'!$A$3:$S$910,11,FALSE)),0,VLOOKUP($A1108,'Mutasi Neraca'!$A$3:$S$910,11,FALSE))</f>
        <v>0</v>
      </c>
      <c r="M1108" s="42">
        <f>VLOOKUP($A1108,'Neraca Unaudited SIMAK'!$A$2:$R$1272,12,FALSE)+IF(ISNA(VLOOKUP($A1108,'Mutasi Neraca'!$A$3:$S$910,12,FALSE)),0,VLOOKUP($A1108,'Mutasi Neraca'!$A$3:$S$910,12,FALSE))</f>
        <v>120000</v>
      </c>
      <c r="N1108" s="42">
        <f>VLOOKUP($A1108,'Neraca Unaudited SIMAK'!$A$2:$R$1272,13,FALSE)+IF(ISNA(VLOOKUP($A1108,'Mutasi Neraca'!$A$3:$S$910,13,FALSE)),0,VLOOKUP($A1108,'Mutasi Neraca'!$A$3:$S$910,13,FALSE))</f>
        <v>0</v>
      </c>
      <c r="O1108" s="42">
        <f>VLOOKUP($A1108,'Neraca Unaudited SIMAK'!$A$2:$R$1272,14,FALSE)+IF(ISNA(VLOOKUP($A1108,'Mutasi Neraca'!$A$3:$S$910,14,FALSE)),0,VLOOKUP($A1108,'Mutasi Neraca'!$A$3:$S$910,14,FALSE))</f>
        <v>0</v>
      </c>
      <c r="P1108" s="42">
        <f>VLOOKUP($A1108,'Neraca Unaudited SIMAK'!$A$2:$R$1272,15,FALSE)+IF(ISNA(VLOOKUP($A1108,'Mutasi Neraca'!$A$3:$S$910,15,FALSE)),0,VLOOKUP($A1108,'Mutasi Neraca'!$A$3:$S$910,15,FALSE))</f>
        <v>0</v>
      </c>
      <c r="Q1108" s="42">
        <f>VLOOKUP($A1108,'Neraca Unaudited SIMAK'!$A$2:$R$1272,16,FALSE)+IF(ISNA(VLOOKUP($A1108,'Mutasi Neraca'!$A$3:$S$910,16,FALSE)),0,VLOOKUP($A1108,'Mutasi Neraca'!$A$3:$S$910,16,FALSE))</f>
        <v>0</v>
      </c>
      <c r="R1108" s="42">
        <f>VLOOKUP($A1108,'Neraca Unaudited SIMAK'!$A$2:$R$1272,17,FALSE)+IF(ISNA(VLOOKUP($A1108,'Mutasi Neraca'!$A$3:$S$910,17,FALSE)),0,VLOOKUP($A1108,'Mutasi Neraca'!$A$3:$S$910,17,FALSE))</f>
        <v>0</v>
      </c>
      <c r="S1108" s="42">
        <f t="shared" si="77"/>
        <v>120000</v>
      </c>
    </row>
    <row r="1109" spans="1:19">
      <c r="A1109" s="41" t="s">
        <v>1049</v>
      </c>
      <c r="B1109" s="41" t="str">
        <f t="shared" si="76"/>
        <v>005032000</v>
      </c>
      <c r="D1109" s="42">
        <f>VLOOKUP($A1109,'Neraca Unaudited SIMAK'!$A$2:$R$1272,3,FALSE)+IF(ISNA(VLOOKUP($A1109,'Mutasi Neraca'!$A$3:$S$910,3,FALSE)),0,VLOOKUP($A1109,'Mutasi Neraca'!$A$3:$S$910,3,FALSE))</f>
        <v>8800</v>
      </c>
      <c r="E1109" s="42">
        <f>VLOOKUP($A1109,'Neraca Unaudited SIMAK'!$A$2:$R$1272,4,FALSE)+IF(ISNA(VLOOKUP($A1109,'Mutasi Neraca'!$A$3:$S$910,4,FALSE)),0,VLOOKUP($A1109,'Mutasi Neraca'!$A$3:$S$910,4,FALSE))</f>
        <v>0</v>
      </c>
      <c r="F1109" s="42">
        <f>VLOOKUP($A1109,'Neraca Unaudited SIMAK'!$A$2:$R$1272,5,FALSE)+IF(ISNA(VLOOKUP($A1109,'Mutasi Neraca'!$A$3:$S$910,5,FALSE)),0,VLOOKUP($A1109,'Mutasi Neraca'!$A$3:$S$910,5,FALSE))</f>
        <v>0</v>
      </c>
      <c r="G1109" s="42">
        <f>VLOOKUP($A1109,'Neraca Unaudited SIMAK'!$A$2:$R$1272,6,FALSE)+IF(ISNA(VLOOKUP($A1109,'Mutasi Neraca'!$A$3:$S$910,6,FALSE)),0,VLOOKUP($A1109,'Mutasi Neraca'!$A$3:$S$910,6,FALSE))</f>
        <v>0</v>
      </c>
      <c r="H1109" s="42">
        <f>VLOOKUP($A1109,'Neraca Unaudited SIMAK'!$A$2:$R$1272,7,FALSE)+IF(ISNA(VLOOKUP($A1109,'Mutasi Neraca'!$A$3:$S$910,7,FALSE)),0,VLOOKUP($A1109,'Mutasi Neraca'!$A$3:$S$910,7,FALSE))</f>
        <v>0</v>
      </c>
      <c r="I1109" s="42">
        <f>VLOOKUP($A1109,'Neraca Unaudited SIMAK'!$A$2:$R$1272,8,FALSE)+IF(ISNA(VLOOKUP($A1109,'Mutasi Neraca'!$A$3:$S$910,8,FALSE)),0,VLOOKUP($A1109,'Mutasi Neraca'!$A$3:$S$910,8,FALSE))</f>
        <v>0</v>
      </c>
      <c r="J1109" s="42">
        <f>VLOOKUP($A1109,'Neraca Unaudited SIMAK'!$A$2:$R$1272,9,FALSE)+IF(ISNA(VLOOKUP($A1109,'Mutasi Neraca'!$A$3:$S$910,9,FALSE)),0,VLOOKUP($A1109,'Mutasi Neraca'!$A$3:$S$910,9,FALSE))</f>
        <v>0</v>
      </c>
      <c r="K1109" s="42">
        <f>VLOOKUP($A1109,'Neraca Unaudited SIMAK'!$A$2:$R$1272,10,FALSE)+IF(ISNA(VLOOKUP($A1109,'Mutasi Neraca'!$A$3:$S$910,10,FALSE)),0,VLOOKUP($A1109,'Mutasi Neraca'!$A$3:$S$910,10,FALSE))</f>
        <v>0</v>
      </c>
      <c r="L1109" s="42">
        <f>VLOOKUP($A1109,'Neraca Unaudited SIMAK'!$A$2:$R$1272,11,FALSE)+IF(ISNA(VLOOKUP($A1109,'Mutasi Neraca'!$A$3:$S$910,11,FALSE)),0,VLOOKUP($A1109,'Mutasi Neraca'!$A$3:$S$910,11,FALSE))</f>
        <v>0</v>
      </c>
      <c r="M1109" s="42">
        <f>VLOOKUP($A1109,'Neraca Unaudited SIMAK'!$A$2:$R$1272,12,FALSE)+IF(ISNA(VLOOKUP($A1109,'Mutasi Neraca'!$A$3:$S$910,12,FALSE)),0,VLOOKUP($A1109,'Mutasi Neraca'!$A$3:$S$910,12,FALSE))</f>
        <v>8800</v>
      </c>
      <c r="N1109" s="42">
        <f>VLOOKUP($A1109,'Neraca Unaudited SIMAK'!$A$2:$R$1272,13,FALSE)+IF(ISNA(VLOOKUP($A1109,'Mutasi Neraca'!$A$3:$S$910,13,FALSE)),0,VLOOKUP($A1109,'Mutasi Neraca'!$A$3:$S$910,13,FALSE))</f>
        <v>0</v>
      </c>
      <c r="O1109" s="42">
        <f>VLOOKUP($A1109,'Neraca Unaudited SIMAK'!$A$2:$R$1272,14,FALSE)+IF(ISNA(VLOOKUP($A1109,'Mutasi Neraca'!$A$3:$S$910,14,FALSE)),0,VLOOKUP($A1109,'Mutasi Neraca'!$A$3:$S$910,14,FALSE))</f>
        <v>0</v>
      </c>
      <c r="P1109" s="42">
        <f>VLOOKUP($A1109,'Neraca Unaudited SIMAK'!$A$2:$R$1272,15,FALSE)+IF(ISNA(VLOOKUP($A1109,'Mutasi Neraca'!$A$3:$S$910,15,FALSE)),0,VLOOKUP($A1109,'Mutasi Neraca'!$A$3:$S$910,15,FALSE))</f>
        <v>0</v>
      </c>
      <c r="Q1109" s="42">
        <f>VLOOKUP($A1109,'Neraca Unaudited SIMAK'!$A$2:$R$1272,16,FALSE)+IF(ISNA(VLOOKUP($A1109,'Mutasi Neraca'!$A$3:$S$910,16,FALSE)),0,VLOOKUP($A1109,'Mutasi Neraca'!$A$3:$S$910,16,FALSE))</f>
        <v>0</v>
      </c>
      <c r="R1109" s="42">
        <f>VLOOKUP($A1109,'Neraca Unaudited SIMAK'!$A$2:$R$1272,17,FALSE)+IF(ISNA(VLOOKUP($A1109,'Mutasi Neraca'!$A$3:$S$910,17,FALSE)),0,VLOOKUP($A1109,'Mutasi Neraca'!$A$3:$S$910,17,FALSE))</f>
        <v>0</v>
      </c>
      <c r="S1109" s="42">
        <f t="shared" si="77"/>
        <v>8800</v>
      </c>
    </row>
    <row r="1110" spans="1:19">
      <c r="A1110" s="41" t="s">
        <v>1050</v>
      </c>
      <c r="B1110" s="41" t="str">
        <f t="shared" si="76"/>
        <v>005032000</v>
      </c>
      <c r="D1110" s="42">
        <f>VLOOKUP($A1110,'Neraca Unaudited SIMAK'!$A$2:$R$1272,3,FALSE)+IF(ISNA(VLOOKUP($A1110,'Mutasi Neraca'!$A$3:$S$910,3,FALSE)),0,VLOOKUP($A1110,'Mutasi Neraca'!$A$3:$S$910,3,FALSE))</f>
        <v>594000</v>
      </c>
      <c r="E1110" s="42">
        <f>VLOOKUP($A1110,'Neraca Unaudited SIMAK'!$A$2:$R$1272,4,FALSE)+IF(ISNA(VLOOKUP($A1110,'Mutasi Neraca'!$A$3:$S$910,4,FALSE)),0,VLOOKUP($A1110,'Mutasi Neraca'!$A$3:$S$910,4,FALSE))</f>
        <v>0</v>
      </c>
      <c r="F1110" s="42">
        <f>VLOOKUP($A1110,'Neraca Unaudited SIMAK'!$A$2:$R$1272,5,FALSE)+IF(ISNA(VLOOKUP($A1110,'Mutasi Neraca'!$A$3:$S$910,5,FALSE)),0,VLOOKUP($A1110,'Mutasi Neraca'!$A$3:$S$910,5,FALSE))</f>
        <v>0</v>
      </c>
      <c r="G1110" s="42">
        <f>VLOOKUP($A1110,'Neraca Unaudited SIMAK'!$A$2:$R$1272,6,FALSE)+IF(ISNA(VLOOKUP($A1110,'Mutasi Neraca'!$A$3:$S$910,6,FALSE)),0,VLOOKUP($A1110,'Mutasi Neraca'!$A$3:$S$910,6,FALSE))</f>
        <v>0</v>
      </c>
      <c r="H1110" s="42">
        <f>VLOOKUP($A1110,'Neraca Unaudited SIMAK'!$A$2:$R$1272,7,FALSE)+IF(ISNA(VLOOKUP($A1110,'Mutasi Neraca'!$A$3:$S$910,7,FALSE)),0,VLOOKUP($A1110,'Mutasi Neraca'!$A$3:$S$910,7,FALSE))</f>
        <v>0</v>
      </c>
      <c r="I1110" s="42">
        <f>VLOOKUP($A1110,'Neraca Unaudited SIMAK'!$A$2:$R$1272,8,FALSE)+IF(ISNA(VLOOKUP($A1110,'Mutasi Neraca'!$A$3:$S$910,8,FALSE)),0,VLOOKUP($A1110,'Mutasi Neraca'!$A$3:$S$910,8,FALSE))</f>
        <v>0</v>
      </c>
      <c r="J1110" s="42">
        <f>VLOOKUP($A1110,'Neraca Unaudited SIMAK'!$A$2:$R$1272,9,FALSE)+IF(ISNA(VLOOKUP($A1110,'Mutasi Neraca'!$A$3:$S$910,9,FALSE)),0,VLOOKUP($A1110,'Mutasi Neraca'!$A$3:$S$910,9,FALSE))</f>
        <v>0</v>
      </c>
      <c r="K1110" s="42">
        <f>VLOOKUP($A1110,'Neraca Unaudited SIMAK'!$A$2:$R$1272,10,FALSE)+IF(ISNA(VLOOKUP($A1110,'Mutasi Neraca'!$A$3:$S$910,10,FALSE)),0,VLOOKUP($A1110,'Mutasi Neraca'!$A$3:$S$910,10,FALSE))</f>
        <v>0</v>
      </c>
      <c r="L1110" s="42">
        <f>VLOOKUP($A1110,'Neraca Unaudited SIMAK'!$A$2:$R$1272,11,FALSE)+IF(ISNA(VLOOKUP($A1110,'Mutasi Neraca'!$A$3:$S$910,11,FALSE)),0,VLOOKUP($A1110,'Mutasi Neraca'!$A$3:$S$910,11,FALSE))</f>
        <v>0</v>
      </c>
      <c r="M1110" s="42">
        <f>VLOOKUP($A1110,'Neraca Unaudited SIMAK'!$A$2:$R$1272,12,FALSE)+IF(ISNA(VLOOKUP($A1110,'Mutasi Neraca'!$A$3:$S$910,12,FALSE)),0,VLOOKUP($A1110,'Mutasi Neraca'!$A$3:$S$910,12,FALSE))</f>
        <v>594000</v>
      </c>
      <c r="N1110" s="42">
        <f>VLOOKUP($A1110,'Neraca Unaudited SIMAK'!$A$2:$R$1272,13,FALSE)+IF(ISNA(VLOOKUP($A1110,'Mutasi Neraca'!$A$3:$S$910,13,FALSE)),0,VLOOKUP($A1110,'Mutasi Neraca'!$A$3:$S$910,13,FALSE))</f>
        <v>0</v>
      </c>
      <c r="O1110" s="42">
        <f>VLOOKUP($A1110,'Neraca Unaudited SIMAK'!$A$2:$R$1272,14,FALSE)+IF(ISNA(VLOOKUP($A1110,'Mutasi Neraca'!$A$3:$S$910,14,FALSE)),0,VLOOKUP($A1110,'Mutasi Neraca'!$A$3:$S$910,14,FALSE))</f>
        <v>0</v>
      </c>
      <c r="P1110" s="42">
        <f>VLOOKUP($A1110,'Neraca Unaudited SIMAK'!$A$2:$R$1272,15,FALSE)+IF(ISNA(VLOOKUP($A1110,'Mutasi Neraca'!$A$3:$S$910,15,FALSE)),0,VLOOKUP($A1110,'Mutasi Neraca'!$A$3:$S$910,15,FALSE))</f>
        <v>0</v>
      </c>
      <c r="Q1110" s="42">
        <f>VLOOKUP($A1110,'Neraca Unaudited SIMAK'!$A$2:$R$1272,16,FALSE)+IF(ISNA(VLOOKUP($A1110,'Mutasi Neraca'!$A$3:$S$910,16,FALSE)),0,VLOOKUP($A1110,'Mutasi Neraca'!$A$3:$S$910,16,FALSE))</f>
        <v>0</v>
      </c>
      <c r="R1110" s="42">
        <f>VLOOKUP($A1110,'Neraca Unaudited SIMAK'!$A$2:$R$1272,17,FALSE)+IF(ISNA(VLOOKUP($A1110,'Mutasi Neraca'!$A$3:$S$910,17,FALSE)),0,VLOOKUP($A1110,'Mutasi Neraca'!$A$3:$S$910,17,FALSE))</f>
        <v>0</v>
      </c>
      <c r="S1110" s="42">
        <f t="shared" si="77"/>
        <v>594000</v>
      </c>
    </row>
    <row r="1111" spans="1:19">
      <c r="A1111" s="41" t="s">
        <v>1051</v>
      </c>
      <c r="B1111" s="41" t="str">
        <f t="shared" si="76"/>
        <v>005032000</v>
      </c>
      <c r="D1111" s="42">
        <f>VLOOKUP($A1111,'Neraca Unaudited SIMAK'!$A$2:$R$1272,3,FALSE)+IF(ISNA(VLOOKUP($A1111,'Mutasi Neraca'!$A$3:$S$910,3,FALSE)),0,VLOOKUP($A1111,'Mutasi Neraca'!$A$3:$S$910,3,FALSE))</f>
        <v>1901040</v>
      </c>
      <c r="E1111" s="42">
        <f>VLOOKUP($A1111,'Neraca Unaudited SIMAK'!$A$2:$R$1272,4,FALSE)+IF(ISNA(VLOOKUP($A1111,'Mutasi Neraca'!$A$3:$S$910,4,FALSE)),0,VLOOKUP($A1111,'Mutasi Neraca'!$A$3:$S$910,4,FALSE))</f>
        <v>0</v>
      </c>
      <c r="F1111" s="42">
        <f>VLOOKUP($A1111,'Neraca Unaudited SIMAK'!$A$2:$R$1272,5,FALSE)+IF(ISNA(VLOOKUP($A1111,'Mutasi Neraca'!$A$3:$S$910,5,FALSE)),0,VLOOKUP($A1111,'Mutasi Neraca'!$A$3:$S$910,5,FALSE))</f>
        <v>0</v>
      </c>
      <c r="G1111" s="42">
        <f>VLOOKUP($A1111,'Neraca Unaudited SIMAK'!$A$2:$R$1272,6,FALSE)+IF(ISNA(VLOOKUP($A1111,'Mutasi Neraca'!$A$3:$S$910,6,FALSE)),0,VLOOKUP($A1111,'Mutasi Neraca'!$A$3:$S$910,6,FALSE))</f>
        <v>0</v>
      </c>
      <c r="H1111" s="42">
        <f>VLOOKUP($A1111,'Neraca Unaudited SIMAK'!$A$2:$R$1272,7,FALSE)+IF(ISNA(VLOOKUP($A1111,'Mutasi Neraca'!$A$3:$S$910,7,FALSE)),0,VLOOKUP($A1111,'Mutasi Neraca'!$A$3:$S$910,7,FALSE))</f>
        <v>0</v>
      </c>
      <c r="I1111" s="42">
        <f>VLOOKUP($A1111,'Neraca Unaudited SIMAK'!$A$2:$R$1272,8,FALSE)+IF(ISNA(VLOOKUP($A1111,'Mutasi Neraca'!$A$3:$S$910,8,FALSE)),0,VLOOKUP($A1111,'Mutasi Neraca'!$A$3:$S$910,8,FALSE))</f>
        <v>0</v>
      </c>
      <c r="J1111" s="42">
        <f>VLOOKUP($A1111,'Neraca Unaudited SIMAK'!$A$2:$R$1272,9,FALSE)+IF(ISNA(VLOOKUP($A1111,'Mutasi Neraca'!$A$3:$S$910,9,FALSE)),0,VLOOKUP($A1111,'Mutasi Neraca'!$A$3:$S$910,9,FALSE))</f>
        <v>0</v>
      </c>
      <c r="K1111" s="42">
        <f>VLOOKUP($A1111,'Neraca Unaudited SIMAK'!$A$2:$R$1272,10,FALSE)+IF(ISNA(VLOOKUP($A1111,'Mutasi Neraca'!$A$3:$S$910,10,FALSE)),0,VLOOKUP($A1111,'Mutasi Neraca'!$A$3:$S$910,10,FALSE))</f>
        <v>0</v>
      </c>
      <c r="L1111" s="42">
        <f>VLOOKUP($A1111,'Neraca Unaudited SIMAK'!$A$2:$R$1272,11,FALSE)+IF(ISNA(VLOOKUP($A1111,'Mutasi Neraca'!$A$3:$S$910,11,FALSE)),0,VLOOKUP($A1111,'Mutasi Neraca'!$A$3:$S$910,11,FALSE))</f>
        <v>0</v>
      </c>
      <c r="M1111" s="42">
        <f>VLOOKUP($A1111,'Neraca Unaudited SIMAK'!$A$2:$R$1272,12,FALSE)+IF(ISNA(VLOOKUP($A1111,'Mutasi Neraca'!$A$3:$S$910,12,FALSE)),0,VLOOKUP($A1111,'Mutasi Neraca'!$A$3:$S$910,12,FALSE))</f>
        <v>1901040</v>
      </c>
      <c r="N1111" s="42">
        <f>VLOOKUP($A1111,'Neraca Unaudited SIMAK'!$A$2:$R$1272,13,FALSE)+IF(ISNA(VLOOKUP($A1111,'Mutasi Neraca'!$A$3:$S$910,13,FALSE)),0,VLOOKUP($A1111,'Mutasi Neraca'!$A$3:$S$910,13,FALSE))</f>
        <v>0</v>
      </c>
      <c r="O1111" s="42">
        <f>VLOOKUP($A1111,'Neraca Unaudited SIMAK'!$A$2:$R$1272,14,FALSE)+IF(ISNA(VLOOKUP($A1111,'Mutasi Neraca'!$A$3:$S$910,14,FALSE)),0,VLOOKUP($A1111,'Mutasi Neraca'!$A$3:$S$910,14,FALSE))</f>
        <v>0</v>
      </c>
      <c r="P1111" s="42">
        <f>VLOOKUP($A1111,'Neraca Unaudited SIMAK'!$A$2:$R$1272,15,FALSE)+IF(ISNA(VLOOKUP($A1111,'Mutasi Neraca'!$A$3:$S$910,15,FALSE)),0,VLOOKUP($A1111,'Mutasi Neraca'!$A$3:$S$910,15,FALSE))</f>
        <v>0</v>
      </c>
      <c r="Q1111" s="42">
        <f>VLOOKUP($A1111,'Neraca Unaudited SIMAK'!$A$2:$R$1272,16,FALSE)+IF(ISNA(VLOOKUP($A1111,'Mutasi Neraca'!$A$3:$S$910,16,FALSE)),0,VLOOKUP($A1111,'Mutasi Neraca'!$A$3:$S$910,16,FALSE))</f>
        <v>0</v>
      </c>
      <c r="R1111" s="42">
        <f>VLOOKUP($A1111,'Neraca Unaudited SIMAK'!$A$2:$R$1272,17,FALSE)+IF(ISNA(VLOOKUP($A1111,'Mutasi Neraca'!$A$3:$S$910,17,FALSE)),0,VLOOKUP($A1111,'Mutasi Neraca'!$A$3:$S$910,17,FALSE))</f>
        <v>0</v>
      </c>
      <c r="S1111" s="42">
        <f t="shared" si="77"/>
        <v>1901040</v>
      </c>
    </row>
    <row r="1112" spans="1:19">
      <c r="A1112" s="41" t="s">
        <v>2066</v>
      </c>
      <c r="B1112" s="41" t="str">
        <f t="shared" si="76"/>
        <v>005032000</v>
      </c>
      <c r="D1112" s="42">
        <f>VLOOKUP($A1112,'Neraca Unaudited SIMAK'!$A$2:$R$1272,3,FALSE)+IF(ISNA(VLOOKUP($A1112,'Mutasi Neraca'!$A$3:$S$910,3,FALSE)),0,VLOOKUP($A1112,'Mutasi Neraca'!$A$3:$S$910,3,FALSE))</f>
        <v>1733500</v>
      </c>
      <c r="E1112" s="42">
        <f>VLOOKUP($A1112,'Neraca Unaudited SIMAK'!$A$2:$R$1272,4,FALSE)+IF(ISNA(VLOOKUP($A1112,'Mutasi Neraca'!$A$3:$S$910,4,FALSE)),0,VLOOKUP($A1112,'Mutasi Neraca'!$A$3:$S$910,4,FALSE))</f>
        <v>0</v>
      </c>
      <c r="F1112" s="42">
        <f>VLOOKUP($A1112,'Neraca Unaudited SIMAK'!$A$2:$R$1272,5,FALSE)+IF(ISNA(VLOOKUP($A1112,'Mutasi Neraca'!$A$3:$S$910,5,FALSE)),0,VLOOKUP($A1112,'Mutasi Neraca'!$A$3:$S$910,5,FALSE))</f>
        <v>0</v>
      </c>
      <c r="G1112" s="42">
        <f>VLOOKUP($A1112,'Neraca Unaudited SIMAK'!$A$2:$R$1272,6,FALSE)+IF(ISNA(VLOOKUP($A1112,'Mutasi Neraca'!$A$3:$S$910,6,FALSE)),0,VLOOKUP($A1112,'Mutasi Neraca'!$A$3:$S$910,6,FALSE))</f>
        <v>0</v>
      </c>
      <c r="H1112" s="42">
        <f>VLOOKUP($A1112,'Neraca Unaudited SIMAK'!$A$2:$R$1272,7,FALSE)+IF(ISNA(VLOOKUP($A1112,'Mutasi Neraca'!$A$3:$S$910,7,FALSE)),0,VLOOKUP($A1112,'Mutasi Neraca'!$A$3:$S$910,7,FALSE))</f>
        <v>0</v>
      </c>
      <c r="I1112" s="42">
        <f>VLOOKUP($A1112,'Neraca Unaudited SIMAK'!$A$2:$R$1272,8,FALSE)+IF(ISNA(VLOOKUP($A1112,'Mutasi Neraca'!$A$3:$S$910,8,FALSE)),0,VLOOKUP($A1112,'Mutasi Neraca'!$A$3:$S$910,8,FALSE))</f>
        <v>0</v>
      </c>
      <c r="J1112" s="42">
        <f>VLOOKUP($A1112,'Neraca Unaudited SIMAK'!$A$2:$R$1272,9,FALSE)+IF(ISNA(VLOOKUP($A1112,'Mutasi Neraca'!$A$3:$S$910,9,FALSE)),0,VLOOKUP($A1112,'Mutasi Neraca'!$A$3:$S$910,9,FALSE))</f>
        <v>0</v>
      </c>
      <c r="K1112" s="42">
        <f>VLOOKUP($A1112,'Neraca Unaudited SIMAK'!$A$2:$R$1272,10,FALSE)+IF(ISNA(VLOOKUP($A1112,'Mutasi Neraca'!$A$3:$S$910,10,FALSE)),0,VLOOKUP($A1112,'Mutasi Neraca'!$A$3:$S$910,10,FALSE))</f>
        <v>0</v>
      </c>
      <c r="L1112" s="42">
        <f>VLOOKUP($A1112,'Neraca Unaudited SIMAK'!$A$2:$R$1272,11,FALSE)+IF(ISNA(VLOOKUP($A1112,'Mutasi Neraca'!$A$3:$S$910,11,FALSE)),0,VLOOKUP($A1112,'Mutasi Neraca'!$A$3:$S$910,11,FALSE))</f>
        <v>0</v>
      </c>
      <c r="M1112" s="42">
        <f>VLOOKUP($A1112,'Neraca Unaudited SIMAK'!$A$2:$R$1272,12,FALSE)+IF(ISNA(VLOOKUP($A1112,'Mutasi Neraca'!$A$3:$S$910,12,FALSE)),0,VLOOKUP($A1112,'Mutasi Neraca'!$A$3:$S$910,12,FALSE))</f>
        <v>1733500</v>
      </c>
      <c r="N1112" s="42">
        <f>VLOOKUP($A1112,'Neraca Unaudited SIMAK'!$A$2:$R$1272,13,FALSE)+IF(ISNA(VLOOKUP($A1112,'Mutasi Neraca'!$A$3:$S$910,13,FALSE)),0,VLOOKUP($A1112,'Mutasi Neraca'!$A$3:$S$910,13,FALSE))</f>
        <v>0</v>
      </c>
      <c r="O1112" s="42">
        <f>VLOOKUP($A1112,'Neraca Unaudited SIMAK'!$A$2:$R$1272,14,FALSE)+IF(ISNA(VLOOKUP($A1112,'Mutasi Neraca'!$A$3:$S$910,14,FALSE)),0,VLOOKUP($A1112,'Mutasi Neraca'!$A$3:$S$910,14,FALSE))</f>
        <v>0</v>
      </c>
      <c r="P1112" s="42">
        <f>VLOOKUP($A1112,'Neraca Unaudited SIMAK'!$A$2:$R$1272,15,FALSE)+IF(ISNA(VLOOKUP($A1112,'Mutasi Neraca'!$A$3:$S$910,15,FALSE)),0,VLOOKUP($A1112,'Mutasi Neraca'!$A$3:$S$910,15,FALSE))</f>
        <v>0</v>
      </c>
      <c r="Q1112" s="42">
        <f>VLOOKUP($A1112,'Neraca Unaudited SIMAK'!$A$2:$R$1272,16,FALSE)+IF(ISNA(VLOOKUP($A1112,'Mutasi Neraca'!$A$3:$S$910,16,FALSE)),0,VLOOKUP($A1112,'Mutasi Neraca'!$A$3:$S$910,16,FALSE))</f>
        <v>0</v>
      </c>
      <c r="R1112" s="42">
        <f>VLOOKUP($A1112,'Neraca Unaudited SIMAK'!$A$2:$R$1272,17,FALSE)+IF(ISNA(VLOOKUP($A1112,'Mutasi Neraca'!$A$3:$S$910,17,FALSE)),0,VLOOKUP($A1112,'Mutasi Neraca'!$A$3:$S$910,17,FALSE))</f>
        <v>0</v>
      </c>
      <c r="S1112" s="42">
        <f t="shared" si="77"/>
        <v>1733500</v>
      </c>
    </row>
    <row r="1113" spans="1:19">
      <c r="A1113" s="41" t="s">
        <v>2067</v>
      </c>
      <c r="B1113" s="41" t="str">
        <f t="shared" si="76"/>
        <v>005032100</v>
      </c>
      <c r="D1113" s="42">
        <f>VLOOKUP($A1113,'Neraca Unaudited SIMAK'!$A$2:$R$1272,3,FALSE)+IF(ISNA(VLOOKUP($A1113,'Mutasi Neraca'!$A$3:$S$910,3,FALSE)),0,VLOOKUP($A1113,'Mutasi Neraca'!$A$3:$S$910,3,FALSE))</f>
        <v>225000</v>
      </c>
      <c r="E1113" s="42">
        <f>VLOOKUP($A1113,'Neraca Unaudited SIMAK'!$A$2:$R$1272,4,FALSE)+IF(ISNA(VLOOKUP($A1113,'Mutasi Neraca'!$A$3:$S$910,4,FALSE)),0,VLOOKUP($A1113,'Mutasi Neraca'!$A$3:$S$910,4,FALSE))</f>
        <v>0</v>
      </c>
      <c r="F1113" s="42">
        <f>VLOOKUP($A1113,'Neraca Unaudited SIMAK'!$A$2:$R$1272,5,FALSE)+IF(ISNA(VLOOKUP($A1113,'Mutasi Neraca'!$A$3:$S$910,5,FALSE)),0,VLOOKUP($A1113,'Mutasi Neraca'!$A$3:$S$910,5,FALSE))</f>
        <v>0</v>
      </c>
      <c r="G1113" s="42">
        <f>VLOOKUP($A1113,'Neraca Unaudited SIMAK'!$A$2:$R$1272,6,FALSE)+IF(ISNA(VLOOKUP($A1113,'Mutasi Neraca'!$A$3:$S$910,6,FALSE)),0,VLOOKUP($A1113,'Mutasi Neraca'!$A$3:$S$910,6,FALSE))</f>
        <v>0</v>
      </c>
      <c r="H1113" s="42">
        <f>VLOOKUP($A1113,'Neraca Unaudited SIMAK'!$A$2:$R$1272,7,FALSE)+IF(ISNA(VLOOKUP($A1113,'Mutasi Neraca'!$A$3:$S$910,7,FALSE)),0,VLOOKUP($A1113,'Mutasi Neraca'!$A$3:$S$910,7,FALSE))</f>
        <v>0</v>
      </c>
      <c r="I1113" s="42">
        <f>VLOOKUP($A1113,'Neraca Unaudited SIMAK'!$A$2:$R$1272,8,FALSE)+IF(ISNA(VLOOKUP($A1113,'Mutasi Neraca'!$A$3:$S$910,8,FALSE)),0,VLOOKUP($A1113,'Mutasi Neraca'!$A$3:$S$910,8,FALSE))</f>
        <v>0</v>
      </c>
      <c r="J1113" s="42">
        <f>VLOOKUP($A1113,'Neraca Unaudited SIMAK'!$A$2:$R$1272,9,FALSE)+IF(ISNA(VLOOKUP($A1113,'Mutasi Neraca'!$A$3:$S$910,9,FALSE)),0,VLOOKUP($A1113,'Mutasi Neraca'!$A$3:$S$910,9,FALSE))</f>
        <v>0</v>
      </c>
      <c r="K1113" s="42">
        <f>VLOOKUP($A1113,'Neraca Unaudited SIMAK'!$A$2:$R$1272,10,FALSE)+IF(ISNA(VLOOKUP($A1113,'Mutasi Neraca'!$A$3:$S$910,10,FALSE)),0,VLOOKUP($A1113,'Mutasi Neraca'!$A$3:$S$910,10,FALSE))</f>
        <v>0</v>
      </c>
      <c r="L1113" s="42">
        <f>VLOOKUP($A1113,'Neraca Unaudited SIMAK'!$A$2:$R$1272,11,FALSE)+IF(ISNA(VLOOKUP($A1113,'Mutasi Neraca'!$A$3:$S$910,11,FALSE)),0,VLOOKUP($A1113,'Mutasi Neraca'!$A$3:$S$910,11,FALSE))</f>
        <v>0</v>
      </c>
      <c r="M1113" s="42">
        <f>VLOOKUP($A1113,'Neraca Unaudited SIMAK'!$A$2:$R$1272,12,FALSE)+IF(ISNA(VLOOKUP($A1113,'Mutasi Neraca'!$A$3:$S$910,12,FALSE)),0,VLOOKUP($A1113,'Mutasi Neraca'!$A$3:$S$910,12,FALSE))</f>
        <v>225000</v>
      </c>
      <c r="N1113" s="42">
        <f>VLOOKUP($A1113,'Neraca Unaudited SIMAK'!$A$2:$R$1272,13,FALSE)+IF(ISNA(VLOOKUP($A1113,'Mutasi Neraca'!$A$3:$S$910,13,FALSE)),0,VLOOKUP($A1113,'Mutasi Neraca'!$A$3:$S$910,13,FALSE))</f>
        <v>0</v>
      </c>
      <c r="O1113" s="42">
        <f>VLOOKUP($A1113,'Neraca Unaudited SIMAK'!$A$2:$R$1272,14,FALSE)+IF(ISNA(VLOOKUP($A1113,'Mutasi Neraca'!$A$3:$S$910,14,FALSE)),0,VLOOKUP($A1113,'Mutasi Neraca'!$A$3:$S$910,14,FALSE))</f>
        <v>0</v>
      </c>
      <c r="P1113" s="42">
        <f>VLOOKUP($A1113,'Neraca Unaudited SIMAK'!$A$2:$R$1272,15,FALSE)+IF(ISNA(VLOOKUP($A1113,'Mutasi Neraca'!$A$3:$S$910,15,FALSE)),0,VLOOKUP($A1113,'Mutasi Neraca'!$A$3:$S$910,15,FALSE))</f>
        <v>0</v>
      </c>
      <c r="Q1113" s="42">
        <f>VLOOKUP($A1113,'Neraca Unaudited SIMAK'!$A$2:$R$1272,16,FALSE)+IF(ISNA(VLOOKUP($A1113,'Mutasi Neraca'!$A$3:$S$910,16,FALSE)),0,VLOOKUP($A1113,'Mutasi Neraca'!$A$3:$S$910,16,FALSE))</f>
        <v>0</v>
      </c>
      <c r="R1113" s="42">
        <f>VLOOKUP($A1113,'Neraca Unaudited SIMAK'!$A$2:$R$1272,17,FALSE)+IF(ISNA(VLOOKUP($A1113,'Mutasi Neraca'!$A$3:$S$910,17,FALSE)),0,VLOOKUP($A1113,'Mutasi Neraca'!$A$3:$S$910,17,FALSE))</f>
        <v>0</v>
      </c>
      <c r="S1113" s="42">
        <f t="shared" si="77"/>
        <v>225000</v>
      </c>
    </row>
    <row r="1114" spans="1:19">
      <c r="A1114" s="41" t="s">
        <v>1052</v>
      </c>
      <c r="B1114" s="41" t="str">
        <f t="shared" si="76"/>
        <v>005032100</v>
      </c>
      <c r="D1114" s="42">
        <f>VLOOKUP($A1114,'Neraca Unaudited SIMAK'!$A$2:$R$1272,3,FALSE)+IF(ISNA(VLOOKUP($A1114,'Mutasi Neraca'!$A$3:$S$910,3,FALSE)),0,VLOOKUP($A1114,'Mutasi Neraca'!$A$3:$S$910,3,FALSE))</f>
        <v>465000</v>
      </c>
      <c r="E1114" s="42">
        <f>VLOOKUP($A1114,'Neraca Unaudited SIMAK'!$A$2:$R$1272,4,FALSE)+IF(ISNA(VLOOKUP($A1114,'Mutasi Neraca'!$A$3:$S$910,4,FALSE)),0,VLOOKUP($A1114,'Mutasi Neraca'!$A$3:$S$910,4,FALSE))</f>
        <v>0</v>
      </c>
      <c r="F1114" s="42">
        <f>VLOOKUP($A1114,'Neraca Unaudited SIMAK'!$A$2:$R$1272,5,FALSE)+IF(ISNA(VLOOKUP($A1114,'Mutasi Neraca'!$A$3:$S$910,5,FALSE)),0,VLOOKUP($A1114,'Mutasi Neraca'!$A$3:$S$910,5,FALSE))</f>
        <v>0</v>
      </c>
      <c r="G1114" s="42">
        <f>VLOOKUP($A1114,'Neraca Unaudited SIMAK'!$A$2:$R$1272,6,FALSE)+IF(ISNA(VLOOKUP($A1114,'Mutasi Neraca'!$A$3:$S$910,6,FALSE)),0,VLOOKUP($A1114,'Mutasi Neraca'!$A$3:$S$910,6,FALSE))</f>
        <v>0</v>
      </c>
      <c r="H1114" s="42">
        <f>VLOOKUP($A1114,'Neraca Unaudited SIMAK'!$A$2:$R$1272,7,FALSE)+IF(ISNA(VLOOKUP($A1114,'Mutasi Neraca'!$A$3:$S$910,7,FALSE)),0,VLOOKUP($A1114,'Mutasi Neraca'!$A$3:$S$910,7,FALSE))</f>
        <v>0</v>
      </c>
      <c r="I1114" s="42">
        <f>VLOOKUP($A1114,'Neraca Unaudited SIMAK'!$A$2:$R$1272,8,FALSE)+IF(ISNA(VLOOKUP($A1114,'Mutasi Neraca'!$A$3:$S$910,8,FALSE)),0,VLOOKUP($A1114,'Mutasi Neraca'!$A$3:$S$910,8,FALSE))</f>
        <v>0</v>
      </c>
      <c r="J1114" s="42">
        <f>VLOOKUP($A1114,'Neraca Unaudited SIMAK'!$A$2:$R$1272,9,FALSE)+IF(ISNA(VLOOKUP($A1114,'Mutasi Neraca'!$A$3:$S$910,9,FALSE)),0,VLOOKUP($A1114,'Mutasi Neraca'!$A$3:$S$910,9,FALSE))</f>
        <v>0</v>
      </c>
      <c r="K1114" s="42">
        <f>VLOOKUP($A1114,'Neraca Unaudited SIMAK'!$A$2:$R$1272,10,FALSE)+IF(ISNA(VLOOKUP($A1114,'Mutasi Neraca'!$A$3:$S$910,10,FALSE)),0,VLOOKUP($A1114,'Mutasi Neraca'!$A$3:$S$910,10,FALSE))</f>
        <v>0</v>
      </c>
      <c r="L1114" s="42">
        <f>VLOOKUP($A1114,'Neraca Unaudited SIMAK'!$A$2:$R$1272,11,FALSE)+IF(ISNA(VLOOKUP($A1114,'Mutasi Neraca'!$A$3:$S$910,11,FALSE)),0,VLOOKUP($A1114,'Mutasi Neraca'!$A$3:$S$910,11,FALSE))</f>
        <v>0</v>
      </c>
      <c r="M1114" s="42">
        <f>VLOOKUP($A1114,'Neraca Unaudited SIMAK'!$A$2:$R$1272,12,FALSE)+IF(ISNA(VLOOKUP($A1114,'Mutasi Neraca'!$A$3:$S$910,12,FALSE)),0,VLOOKUP($A1114,'Mutasi Neraca'!$A$3:$S$910,12,FALSE))</f>
        <v>465000</v>
      </c>
      <c r="N1114" s="42">
        <f>VLOOKUP($A1114,'Neraca Unaudited SIMAK'!$A$2:$R$1272,13,FALSE)+IF(ISNA(VLOOKUP($A1114,'Mutasi Neraca'!$A$3:$S$910,13,FALSE)),0,VLOOKUP($A1114,'Mutasi Neraca'!$A$3:$S$910,13,FALSE))</f>
        <v>0</v>
      </c>
      <c r="O1114" s="42">
        <f>VLOOKUP($A1114,'Neraca Unaudited SIMAK'!$A$2:$R$1272,14,FALSE)+IF(ISNA(VLOOKUP($A1114,'Mutasi Neraca'!$A$3:$S$910,14,FALSE)),0,VLOOKUP($A1114,'Mutasi Neraca'!$A$3:$S$910,14,FALSE))</f>
        <v>0</v>
      </c>
      <c r="P1114" s="42">
        <f>VLOOKUP($A1114,'Neraca Unaudited SIMAK'!$A$2:$R$1272,15,FALSE)+IF(ISNA(VLOOKUP($A1114,'Mutasi Neraca'!$A$3:$S$910,15,FALSE)),0,VLOOKUP($A1114,'Mutasi Neraca'!$A$3:$S$910,15,FALSE))</f>
        <v>0</v>
      </c>
      <c r="Q1114" s="42">
        <f>VLOOKUP($A1114,'Neraca Unaudited SIMAK'!$A$2:$R$1272,16,FALSE)+IF(ISNA(VLOOKUP($A1114,'Mutasi Neraca'!$A$3:$S$910,16,FALSE)),0,VLOOKUP($A1114,'Mutasi Neraca'!$A$3:$S$910,16,FALSE))</f>
        <v>0</v>
      </c>
      <c r="R1114" s="42">
        <f>VLOOKUP($A1114,'Neraca Unaudited SIMAK'!$A$2:$R$1272,17,FALSE)+IF(ISNA(VLOOKUP($A1114,'Mutasi Neraca'!$A$3:$S$910,17,FALSE)),0,VLOOKUP($A1114,'Mutasi Neraca'!$A$3:$S$910,17,FALSE))</f>
        <v>0</v>
      </c>
      <c r="S1114" s="42">
        <f t="shared" si="77"/>
        <v>465000</v>
      </c>
    </row>
    <row r="1115" spans="1:19">
      <c r="A1115" s="41" t="s">
        <v>1053</v>
      </c>
      <c r="B1115" s="41" t="str">
        <f t="shared" si="76"/>
        <v>005032100</v>
      </c>
      <c r="D1115" s="42">
        <f>VLOOKUP($A1115,'Neraca Unaudited SIMAK'!$A$2:$R$1272,3,FALSE)+IF(ISNA(VLOOKUP($A1115,'Mutasi Neraca'!$A$3:$S$910,3,FALSE)),0,VLOOKUP($A1115,'Mutasi Neraca'!$A$3:$S$910,3,FALSE))</f>
        <v>187000</v>
      </c>
      <c r="E1115" s="42">
        <f>VLOOKUP($A1115,'Neraca Unaudited SIMAK'!$A$2:$R$1272,4,FALSE)+IF(ISNA(VLOOKUP($A1115,'Mutasi Neraca'!$A$3:$S$910,4,FALSE)),0,VLOOKUP($A1115,'Mutasi Neraca'!$A$3:$S$910,4,FALSE))</f>
        <v>0</v>
      </c>
      <c r="F1115" s="42">
        <f>VLOOKUP($A1115,'Neraca Unaudited SIMAK'!$A$2:$R$1272,5,FALSE)+IF(ISNA(VLOOKUP($A1115,'Mutasi Neraca'!$A$3:$S$910,5,FALSE)),0,VLOOKUP($A1115,'Mutasi Neraca'!$A$3:$S$910,5,FALSE))</f>
        <v>0</v>
      </c>
      <c r="G1115" s="42">
        <f>VLOOKUP($A1115,'Neraca Unaudited SIMAK'!$A$2:$R$1272,6,FALSE)+IF(ISNA(VLOOKUP($A1115,'Mutasi Neraca'!$A$3:$S$910,6,FALSE)),0,VLOOKUP($A1115,'Mutasi Neraca'!$A$3:$S$910,6,FALSE))</f>
        <v>0</v>
      </c>
      <c r="H1115" s="42">
        <f>VLOOKUP($A1115,'Neraca Unaudited SIMAK'!$A$2:$R$1272,7,FALSE)+IF(ISNA(VLOOKUP($A1115,'Mutasi Neraca'!$A$3:$S$910,7,FALSE)),0,VLOOKUP($A1115,'Mutasi Neraca'!$A$3:$S$910,7,FALSE))</f>
        <v>0</v>
      </c>
      <c r="I1115" s="42">
        <f>VLOOKUP($A1115,'Neraca Unaudited SIMAK'!$A$2:$R$1272,8,FALSE)+IF(ISNA(VLOOKUP($A1115,'Mutasi Neraca'!$A$3:$S$910,8,FALSE)),0,VLOOKUP($A1115,'Mutasi Neraca'!$A$3:$S$910,8,FALSE))</f>
        <v>0</v>
      </c>
      <c r="J1115" s="42">
        <f>VLOOKUP($A1115,'Neraca Unaudited SIMAK'!$A$2:$R$1272,9,FALSE)+IF(ISNA(VLOOKUP($A1115,'Mutasi Neraca'!$A$3:$S$910,9,FALSE)),0,VLOOKUP($A1115,'Mutasi Neraca'!$A$3:$S$910,9,FALSE))</f>
        <v>0</v>
      </c>
      <c r="K1115" s="42">
        <f>VLOOKUP($A1115,'Neraca Unaudited SIMAK'!$A$2:$R$1272,10,FALSE)+IF(ISNA(VLOOKUP($A1115,'Mutasi Neraca'!$A$3:$S$910,10,FALSE)),0,VLOOKUP($A1115,'Mutasi Neraca'!$A$3:$S$910,10,FALSE))</f>
        <v>0</v>
      </c>
      <c r="L1115" s="42">
        <f>VLOOKUP($A1115,'Neraca Unaudited SIMAK'!$A$2:$R$1272,11,FALSE)+IF(ISNA(VLOOKUP($A1115,'Mutasi Neraca'!$A$3:$S$910,11,FALSE)),0,VLOOKUP($A1115,'Mutasi Neraca'!$A$3:$S$910,11,FALSE))</f>
        <v>0</v>
      </c>
      <c r="M1115" s="42">
        <f>VLOOKUP($A1115,'Neraca Unaudited SIMAK'!$A$2:$R$1272,12,FALSE)+IF(ISNA(VLOOKUP($A1115,'Mutasi Neraca'!$A$3:$S$910,12,FALSE)),0,VLOOKUP($A1115,'Mutasi Neraca'!$A$3:$S$910,12,FALSE))</f>
        <v>187000</v>
      </c>
      <c r="N1115" s="42">
        <f>VLOOKUP($A1115,'Neraca Unaudited SIMAK'!$A$2:$R$1272,13,FALSE)+IF(ISNA(VLOOKUP($A1115,'Mutasi Neraca'!$A$3:$S$910,13,FALSE)),0,VLOOKUP($A1115,'Mutasi Neraca'!$A$3:$S$910,13,FALSE))</f>
        <v>0</v>
      </c>
      <c r="O1115" s="42">
        <f>VLOOKUP($A1115,'Neraca Unaudited SIMAK'!$A$2:$R$1272,14,FALSE)+IF(ISNA(VLOOKUP($A1115,'Mutasi Neraca'!$A$3:$S$910,14,FALSE)),0,VLOOKUP($A1115,'Mutasi Neraca'!$A$3:$S$910,14,FALSE))</f>
        <v>0</v>
      </c>
      <c r="P1115" s="42">
        <f>VLOOKUP($A1115,'Neraca Unaudited SIMAK'!$A$2:$R$1272,15,FALSE)+IF(ISNA(VLOOKUP($A1115,'Mutasi Neraca'!$A$3:$S$910,15,FALSE)),0,VLOOKUP($A1115,'Mutasi Neraca'!$A$3:$S$910,15,FALSE))</f>
        <v>0</v>
      </c>
      <c r="Q1115" s="42">
        <f>VLOOKUP($A1115,'Neraca Unaudited SIMAK'!$A$2:$R$1272,16,FALSE)+IF(ISNA(VLOOKUP($A1115,'Mutasi Neraca'!$A$3:$S$910,16,FALSE)),0,VLOOKUP($A1115,'Mutasi Neraca'!$A$3:$S$910,16,FALSE))</f>
        <v>0</v>
      </c>
      <c r="R1115" s="42">
        <f>VLOOKUP($A1115,'Neraca Unaudited SIMAK'!$A$2:$R$1272,17,FALSE)+IF(ISNA(VLOOKUP($A1115,'Mutasi Neraca'!$A$3:$S$910,17,FALSE)),0,VLOOKUP($A1115,'Mutasi Neraca'!$A$3:$S$910,17,FALSE))</f>
        <v>0</v>
      </c>
      <c r="S1115" s="42">
        <f t="shared" si="77"/>
        <v>187000</v>
      </c>
    </row>
    <row r="1116" spans="1:19">
      <c r="A1116" s="41" t="s">
        <v>1054</v>
      </c>
      <c r="B1116" s="41" t="str">
        <f t="shared" si="76"/>
        <v>005032100</v>
      </c>
      <c r="D1116" s="42">
        <f>VLOOKUP($A1116,'Neraca Unaudited SIMAK'!$A$2:$R$1272,3,FALSE)+IF(ISNA(VLOOKUP($A1116,'Mutasi Neraca'!$A$3:$S$910,3,FALSE)),0,VLOOKUP($A1116,'Mutasi Neraca'!$A$3:$S$910,3,FALSE))</f>
        <v>16000</v>
      </c>
      <c r="E1116" s="42">
        <f>VLOOKUP($A1116,'Neraca Unaudited SIMAK'!$A$2:$R$1272,4,FALSE)+IF(ISNA(VLOOKUP($A1116,'Mutasi Neraca'!$A$3:$S$910,4,FALSE)),0,VLOOKUP($A1116,'Mutasi Neraca'!$A$3:$S$910,4,FALSE))</f>
        <v>0</v>
      </c>
      <c r="F1116" s="42">
        <f>VLOOKUP($A1116,'Neraca Unaudited SIMAK'!$A$2:$R$1272,5,FALSE)+IF(ISNA(VLOOKUP($A1116,'Mutasi Neraca'!$A$3:$S$910,5,FALSE)),0,VLOOKUP($A1116,'Mutasi Neraca'!$A$3:$S$910,5,FALSE))</f>
        <v>0</v>
      </c>
      <c r="G1116" s="42">
        <f>VLOOKUP($A1116,'Neraca Unaudited SIMAK'!$A$2:$R$1272,6,FALSE)+IF(ISNA(VLOOKUP($A1116,'Mutasi Neraca'!$A$3:$S$910,6,FALSE)),0,VLOOKUP($A1116,'Mutasi Neraca'!$A$3:$S$910,6,FALSE))</f>
        <v>0</v>
      </c>
      <c r="H1116" s="42">
        <f>VLOOKUP($A1116,'Neraca Unaudited SIMAK'!$A$2:$R$1272,7,FALSE)+IF(ISNA(VLOOKUP($A1116,'Mutasi Neraca'!$A$3:$S$910,7,FALSE)),0,VLOOKUP($A1116,'Mutasi Neraca'!$A$3:$S$910,7,FALSE))</f>
        <v>0</v>
      </c>
      <c r="I1116" s="42">
        <f>VLOOKUP($A1116,'Neraca Unaudited SIMAK'!$A$2:$R$1272,8,FALSE)+IF(ISNA(VLOOKUP($A1116,'Mutasi Neraca'!$A$3:$S$910,8,FALSE)),0,VLOOKUP($A1116,'Mutasi Neraca'!$A$3:$S$910,8,FALSE))</f>
        <v>0</v>
      </c>
      <c r="J1116" s="42">
        <f>VLOOKUP($A1116,'Neraca Unaudited SIMAK'!$A$2:$R$1272,9,FALSE)+IF(ISNA(VLOOKUP($A1116,'Mutasi Neraca'!$A$3:$S$910,9,FALSE)),0,VLOOKUP($A1116,'Mutasi Neraca'!$A$3:$S$910,9,FALSE))</f>
        <v>0</v>
      </c>
      <c r="K1116" s="42">
        <f>VLOOKUP($A1116,'Neraca Unaudited SIMAK'!$A$2:$R$1272,10,FALSE)+IF(ISNA(VLOOKUP($A1116,'Mutasi Neraca'!$A$3:$S$910,10,FALSE)),0,VLOOKUP($A1116,'Mutasi Neraca'!$A$3:$S$910,10,FALSE))</f>
        <v>0</v>
      </c>
      <c r="L1116" s="42">
        <f>VLOOKUP($A1116,'Neraca Unaudited SIMAK'!$A$2:$R$1272,11,FALSE)+IF(ISNA(VLOOKUP($A1116,'Mutasi Neraca'!$A$3:$S$910,11,FALSE)),0,VLOOKUP($A1116,'Mutasi Neraca'!$A$3:$S$910,11,FALSE))</f>
        <v>0</v>
      </c>
      <c r="M1116" s="42">
        <f>VLOOKUP($A1116,'Neraca Unaudited SIMAK'!$A$2:$R$1272,12,FALSE)+IF(ISNA(VLOOKUP($A1116,'Mutasi Neraca'!$A$3:$S$910,12,FALSE)),0,VLOOKUP($A1116,'Mutasi Neraca'!$A$3:$S$910,12,FALSE))</f>
        <v>16000</v>
      </c>
      <c r="N1116" s="42">
        <f>VLOOKUP($A1116,'Neraca Unaudited SIMAK'!$A$2:$R$1272,13,FALSE)+IF(ISNA(VLOOKUP($A1116,'Mutasi Neraca'!$A$3:$S$910,13,FALSE)),0,VLOOKUP($A1116,'Mutasi Neraca'!$A$3:$S$910,13,FALSE))</f>
        <v>0</v>
      </c>
      <c r="O1116" s="42">
        <f>VLOOKUP($A1116,'Neraca Unaudited SIMAK'!$A$2:$R$1272,14,FALSE)+IF(ISNA(VLOOKUP($A1116,'Mutasi Neraca'!$A$3:$S$910,14,FALSE)),0,VLOOKUP($A1116,'Mutasi Neraca'!$A$3:$S$910,14,FALSE))</f>
        <v>0</v>
      </c>
      <c r="P1116" s="42">
        <f>VLOOKUP($A1116,'Neraca Unaudited SIMAK'!$A$2:$R$1272,15,FALSE)+IF(ISNA(VLOOKUP($A1116,'Mutasi Neraca'!$A$3:$S$910,15,FALSE)),0,VLOOKUP($A1116,'Mutasi Neraca'!$A$3:$S$910,15,FALSE))</f>
        <v>0</v>
      </c>
      <c r="Q1116" s="42">
        <f>VLOOKUP($A1116,'Neraca Unaudited SIMAK'!$A$2:$R$1272,16,FALSE)+IF(ISNA(VLOOKUP($A1116,'Mutasi Neraca'!$A$3:$S$910,16,FALSE)),0,VLOOKUP($A1116,'Mutasi Neraca'!$A$3:$S$910,16,FALSE))</f>
        <v>0</v>
      </c>
      <c r="R1116" s="42">
        <f>VLOOKUP($A1116,'Neraca Unaudited SIMAK'!$A$2:$R$1272,17,FALSE)+IF(ISNA(VLOOKUP($A1116,'Mutasi Neraca'!$A$3:$S$910,17,FALSE)),0,VLOOKUP($A1116,'Mutasi Neraca'!$A$3:$S$910,17,FALSE))</f>
        <v>0</v>
      </c>
      <c r="S1116" s="42">
        <f t="shared" si="77"/>
        <v>16000</v>
      </c>
    </row>
    <row r="1117" spans="1:19">
      <c r="A1117" s="41" t="s">
        <v>1055</v>
      </c>
      <c r="B1117" s="41" t="str">
        <f t="shared" si="76"/>
        <v>005032100</v>
      </c>
      <c r="D1117" s="42">
        <f>VLOOKUP($A1117,'Neraca Unaudited SIMAK'!$A$2:$R$1272,3,FALSE)+IF(ISNA(VLOOKUP($A1117,'Mutasi Neraca'!$A$3:$S$910,3,FALSE)),0,VLOOKUP($A1117,'Mutasi Neraca'!$A$3:$S$910,3,FALSE))</f>
        <v>2887000</v>
      </c>
      <c r="E1117" s="42">
        <f>VLOOKUP($A1117,'Neraca Unaudited SIMAK'!$A$2:$R$1272,4,FALSE)+IF(ISNA(VLOOKUP($A1117,'Mutasi Neraca'!$A$3:$S$910,4,FALSE)),0,VLOOKUP($A1117,'Mutasi Neraca'!$A$3:$S$910,4,FALSE))</f>
        <v>0</v>
      </c>
      <c r="F1117" s="42">
        <f>VLOOKUP($A1117,'Neraca Unaudited SIMAK'!$A$2:$R$1272,5,FALSE)+IF(ISNA(VLOOKUP($A1117,'Mutasi Neraca'!$A$3:$S$910,5,FALSE)),0,VLOOKUP($A1117,'Mutasi Neraca'!$A$3:$S$910,5,FALSE))</f>
        <v>0</v>
      </c>
      <c r="G1117" s="42">
        <f>VLOOKUP($A1117,'Neraca Unaudited SIMAK'!$A$2:$R$1272,6,FALSE)+IF(ISNA(VLOOKUP($A1117,'Mutasi Neraca'!$A$3:$S$910,6,FALSE)),0,VLOOKUP($A1117,'Mutasi Neraca'!$A$3:$S$910,6,FALSE))</f>
        <v>0</v>
      </c>
      <c r="H1117" s="42">
        <f>VLOOKUP($A1117,'Neraca Unaudited SIMAK'!$A$2:$R$1272,7,FALSE)+IF(ISNA(VLOOKUP($A1117,'Mutasi Neraca'!$A$3:$S$910,7,FALSE)),0,VLOOKUP($A1117,'Mutasi Neraca'!$A$3:$S$910,7,FALSE))</f>
        <v>0</v>
      </c>
      <c r="I1117" s="42">
        <f>VLOOKUP($A1117,'Neraca Unaudited SIMAK'!$A$2:$R$1272,8,FALSE)+IF(ISNA(VLOOKUP($A1117,'Mutasi Neraca'!$A$3:$S$910,8,FALSE)),0,VLOOKUP($A1117,'Mutasi Neraca'!$A$3:$S$910,8,FALSE))</f>
        <v>0</v>
      </c>
      <c r="J1117" s="42">
        <f>VLOOKUP($A1117,'Neraca Unaudited SIMAK'!$A$2:$R$1272,9,FALSE)+IF(ISNA(VLOOKUP($A1117,'Mutasi Neraca'!$A$3:$S$910,9,FALSE)),0,VLOOKUP($A1117,'Mutasi Neraca'!$A$3:$S$910,9,FALSE))</f>
        <v>0</v>
      </c>
      <c r="K1117" s="42">
        <f>VLOOKUP($A1117,'Neraca Unaudited SIMAK'!$A$2:$R$1272,10,FALSE)+IF(ISNA(VLOOKUP($A1117,'Mutasi Neraca'!$A$3:$S$910,10,FALSE)),0,VLOOKUP($A1117,'Mutasi Neraca'!$A$3:$S$910,10,FALSE))</f>
        <v>0</v>
      </c>
      <c r="L1117" s="42">
        <f>VLOOKUP($A1117,'Neraca Unaudited SIMAK'!$A$2:$R$1272,11,FALSE)+IF(ISNA(VLOOKUP($A1117,'Mutasi Neraca'!$A$3:$S$910,11,FALSE)),0,VLOOKUP($A1117,'Mutasi Neraca'!$A$3:$S$910,11,FALSE))</f>
        <v>0</v>
      </c>
      <c r="M1117" s="42">
        <f>VLOOKUP($A1117,'Neraca Unaudited SIMAK'!$A$2:$R$1272,12,FALSE)+IF(ISNA(VLOOKUP($A1117,'Mutasi Neraca'!$A$3:$S$910,12,FALSE)),0,VLOOKUP($A1117,'Mutasi Neraca'!$A$3:$S$910,12,FALSE))</f>
        <v>2887000</v>
      </c>
      <c r="N1117" s="42">
        <f>VLOOKUP($A1117,'Neraca Unaudited SIMAK'!$A$2:$R$1272,13,FALSE)+IF(ISNA(VLOOKUP($A1117,'Mutasi Neraca'!$A$3:$S$910,13,FALSE)),0,VLOOKUP($A1117,'Mutasi Neraca'!$A$3:$S$910,13,FALSE))</f>
        <v>0</v>
      </c>
      <c r="O1117" s="42">
        <f>VLOOKUP($A1117,'Neraca Unaudited SIMAK'!$A$2:$R$1272,14,FALSE)+IF(ISNA(VLOOKUP($A1117,'Mutasi Neraca'!$A$3:$S$910,14,FALSE)),0,VLOOKUP($A1117,'Mutasi Neraca'!$A$3:$S$910,14,FALSE))</f>
        <v>0</v>
      </c>
      <c r="P1117" s="42">
        <f>VLOOKUP($A1117,'Neraca Unaudited SIMAK'!$A$2:$R$1272,15,FALSE)+IF(ISNA(VLOOKUP($A1117,'Mutasi Neraca'!$A$3:$S$910,15,FALSE)),0,VLOOKUP($A1117,'Mutasi Neraca'!$A$3:$S$910,15,FALSE))</f>
        <v>0</v>
      </c>
      <c r="Q1117" s="42">
        <f>VLOOKUP($A1117,'Neraca Unaudited SIMAK'!$A$2:$R$1272,16,FALSE)+IF(ISNA(VLOOKUP($A1117,'Mutasi Neraca'!$A$3:$S$910,16,FALSE)),0,VLOOKUP($A1117,'Mutasi Neraca'!$A$3:$S$910,16,FALSE))</f>
        <v>0</v>
      </c>
      <c r="R1117" s="42">
        <f>VLOOKUP($A1117,'Neraca Unaudited SIMAK'!$A$2:$R$1272,17,FALSE)+IF(ISNA(VLOOKUP($A1117,'Mutasi Neraca'!$A$3:$S$910,17,FALSE)),0,VLOOKUP($A1117,'Mutasi Neraca'!$A$3:$S$910,17,FALSE))</f>
        <v>0</v>
      </c>
      <c r="S1117" s="42">
        <f t="shared" si="77"/>
        <v>2887000</v>
      </c>
    </row>
    <row r="1118" spans="1:19">
      <c r="A1118" s="41" t="s">
        <v>1056</v>
      </c>
      <c r="B1118" s="41" t="str">
        <f t="shared" si="76"/>
        <v>005032200</v>
      </c>
      <c r="D1118" s="42">
        <f>VLOOKUP($A1118,'Neraca Unaudited SIMAK'!$A$2:$R$1272,3,FALSE)+IF(ISNA(VLOOKUP($A1118,'Mutasi Neraca'!$A$3:$S$910,3,FALSE)),0,VLOOKUP($A1118,'Mutasi Neraca'!$A$3:$S$910,3,FALSE))</f>
        <v>32776009</v>
      </c>
      <c r="E1118" s="42">
        <f>VLOOKUP($A1118,'Neraca Unaudited SIMAK'!$A$2:$R$1272,4,FALSE)+IF(ISNA(VLOOKUP($A1118,'Mutasi Neraca'!$A$3:$S$910,4,FALSE)),0,VLOOKUP($A1118,'Mutasi Neraca'!$A$3:$S$910,4,FALSE))</f>
        <v>0</v>
      </c>
      <c r="F1118" s="42">
        <f>VLOOKUP($A1118,'Neraca Unaudited SIMAK'!$A$2:$R$1272,5,FALSE)+IF(ISNA(VLOOKUP($A1118,'Mutasi Neraca'!$A$3:$S$910,5,FALSE)),0,VLOOKUP($A1118,'Mutasi Neraca'!$A$3:$S$910,5,FALSE))</f>
        <v>0</v>
      </c>
      <c r="G1118" s="42">
        <f>VLOOKUP($A1118,'Neraca Unaudited SIMAK'!$A$2:$R$1272,6,FALSE)+IF(ISNA(VLOOKUP($A1118,'Mutasi Neraca'!$A$3:$S$910,6,FALSE)),0,VLOOKUP($A1118,'Mutasi Neraca'!$A$3:$S$910,6,FALSE))</f>
        <v>0</v>
      </c>
      <c r="H1118" s="42">
        <f>VLOOKUP($A1118,'Neraca Unaudited SIMAK'!$A$2:$R$1272,7,FALSE)+IF(ISNA(VLOOKUP($A1118,'Mutasi Neraca'!$A$3:$S$910,7,FALSE)),0,VLOOKUP($A1118,'Mutasi Neraca'!$A$3:$S$910,7,FALSE))</f>
        <v>0</v>
      </c>
      <c r="I1118" s="42">
        <f>VLOOKUP($A1118,'Neraca Unaudited SIMAK'!$A$2:$R$1272,8,FALSE)+IF(ISNA(VLOOKUP($A1118,'Mutasi Neraca'!$A$3:$S$910,8,FALSE)),0,VLOOKUP($A1118,'Mutasi Neraca'!$A$3:$S$910,8,FALSE))</f>
        <v>0</v>
      </c>
      <c r="J1118" s="42">
        <f>VLOOKUP($A1118,'Neraca Unaudited SIMAK'!$A$2:$R$1272,9,FALSE)+IF(ISNA(VLOOKUP($A1118,'Mutasi Neraca'!$A$3:$S$910,9,FALSE)),0,VLOOKUP($A1118,'Mutasi Neraca'!$A$3:$S$910,9,FALSE))</f>
        <v>0</v>
      </c>
      <c r="K1118" s="42">
        <f>VLOOKUP($A1118,'Neraca Unaudited SIMAK'!$A$2:$R$1272,10,FALSE)+IF(ISNA(VLOOKUP($A1118,'Mutasi Neraca'!$A$3:$S$910,10,FALSE)),0,VLOOKUP($A1118,'Mutasi Neraca'!$A$3:$S$910,10,FALSE))</f>
        <v>0</v>
      </c>
      <c r="L1118" s="42">
        <f>VLOOKUP($A1118,'Neraca Unaudited SIMAK'!$A$2:$R$1272,11,FALSE)+IF(ISNA(VLOOKUP($A1118,'Mutasi Neraca'!$A$3:$S$910,11,FALSE)),0,VLOOKUP($A1118,'Mutasi Neraca'!$A$3:$S$910,11,FALSE))</f>
        <v>0</v>
      </c>
      <c r="M1118" s="42">
        <f>VLOOKUP($A1118,'Neraca Unaudited SIMAK'!$A$2:$R$1272,12,FALSE)+IF(ISNA(VLOOKUP($A1118,'Mutasi Neraca'!$A$3:$S$910,12,FALSE)),0,VLOOKUP($A1118,'Mutasi Neraca'!$A$3:$S$910,12,FALSE))</f>
        <v>32776009</v>
      </c>
      <c r="N1118" s="42">
        <f>VLOOKUP($A1118,'Neraca Unaudited SIMAK'!$A$2:$R$1272,13,FALSE)+IF(ISNA(VLOOKUP($A1118,'Mutasi Neraca'!$A$3:$S$910,13,FALSE)),0,VLOOKUP($A1118,'Mutasi Neraca'!$A$3:$S$910,13,FALSE))</f>
        <v>0</v>
      </c>
      <c r="O1118" s="42">
        <f>VLOOKUP($A1118,'Neraca Unaudited SIMAK'!$A$2:$R$1272,14,FALSE)+IF(ISNA(VLOOKUP($A1118,'Mutasi Neraca'!$A$3:$S$910,14,FALSE)),0,VLOOKUP($A1118,'Mutasi Neraca'!$A$3:$S$910,14,FALSE))</f>
        <v>0</v>
      </c>
      <c r="P1118" s="42">
        <f>VLOOKUP($A1118,'Neraca Unaudited SIMAK'!$A$2:$R$1272,15,FALSE)+IF(ISNA(VLOOKUP($A1118,'Mutasi Neraca'!$A$3:$S$910,15,FALSE)),0,VLOOKUP($A1118,'Mutasi Neraca'!$A$3:$S$910,15,FALSE))</f>
        <v>0</v>
      </c>
      <c r="Q1118" s="42">
        <f>VLOOKUP($A1118,'Neraca Unaudited SIMAK'!$A$2:$R$1272,16,FALSE)+IF(ISNA(VLOOKUP($A1118,'Mutasi Neraca'!$A$3:$S$910,16,FALSE)),0,VLOOKUP($A1118,'Mutasi Neraca'!$A$3:$S$910,16,FALSE))</f>
        <v>0</v>
      </c>
      <c r="R1118" s="42">
        <f>VLOOKUP($A1118,'Neraca Unaudited SIMAK'!$A$2:$R$1272,17,FALSE)+IF(ISNA(VLOOKUP($A1118,'Mutasi Neraca'!$A$3:$S$910,17,FALSE)),0,VLOOKUP($A1118,'Mutasi Neraca'!$A$3:$S$910,17,FALSE))</f>
        <v>0</v>
      </c>
      <c r="S1118" s="42">
        <f t="shared" si="77"/>
        <v>32776009</v>
      </c>
    </row>
    <row r="1119" spans="1:19">
      <c r="A1119" s="41" t="s">
        <v>1057</v>
      </c>
      <c r="B1119" s="41" t="str">
        <f t="shared" si="76"/>
        <v>005032200</v>
      </c>
      <c r="D1119" s="42">
        <f>VLOOKUP($A1119,'Neraca Unaudited SIMAK'!$A$2:$R$1272,3,FALSE)+IF(ISNA(VLOOKUP($A1119,'Mutasi Neraca'!$A$3:$S$910,3,FALSE)),0,VLOOKUP($A1119,'Mutasi Neraca'!$A$3:$S$910,3,FALSE))</f>
        <v>28045000</v>
      </c>
      <c r="E1119" s="42">
        <f>VLOOKUP($A1119,'Neraca Unaudited SIMAK'!$A$2:$R$1272,4,FALSE)+IF(ISNA(VLOOKUP($A1119,'Mutasi Neraca'!$A$3:$S$910,4,FALSE)),0,VLOOKUP($A1119,'Mutasi Neraca'!$A$3:$S$910,4,FALSE))</f>
        <v>0</v>
      </c>
      <c r="F1119" s="42">
        <f>VLOOKUP($A1119,'Neraca Unaudited SIMAK'!$A$2:$R$1272,5,FALSE)+IF(ISNA(VLOOKUP($A1119,'Mutasi Neraca'!$A$3:$S$910,5,FALSE)),0,VLOOKUP($A1119,'Mutasi Neraca'!$A$3:$S$910,5,FALSE))</f>
        <v>0</v>
      </c>
      <c r="G1119" s="42">
        <f>VLOOKUP($A1119,'Neraca Unaudited SIMAK'!$A$2:$R$1272,6,FALSE)+IF(ISNA(VLOOKUP($A1119,'Mutasi Neraca'!$A$3:$S$910,6,FALSE)),0,VLOOKUP($A1119,'Mutasi Neraca'!$A$3:$S$910,6,FALSE))</f>
        <v>0</v>
      </c>
      <c r="H1119" s="42">
        <f>VLOOKUP($A1119,'Neraca Unaudited SIMAK'!$A$2:$R$1272,7,FALSE)+IF(ISNA(VLOOKUP($A1119,'Mutasi Neraca'!$A$3:$S$910,7,FALSE)),0,VLOOKUP($A1119,'Mutasi Neraca'!$A$3:$S$910,7,FALSE))</f>
        <v>0</v>
      </c>
      <c r="I1119" s="42">
        <f>VLOOKUP($A1119,'Neraca Unaudited SIMAK'!$A$2:$R$1272,8,FALSE)+IF(ISNA(VLOOKUP($A1119,'Mutasi Neraca'!$A$3:$S$910,8,FALSE)),0,VLOOKUP($A1119,'Mutasi Neraca'!$A$3:$S$910,8,FALSE))</f>
        <v>0</v>
      </c>
      <c r="J1119" s="42">
        <f>VLOOKUP($A1119,'Neraca Unaudited SIMAK'!$A$2:$R$1272,9,FALSE)+IF(ISNA(VLOOKUP($A1119,'Mutasi Neraca'!$A$3:$S$910,9,FALSE)),0,VLOOKUP($A1119,'Mutasi Neraca'!$A$3:$S$910,9,FALSE))</f>
        <v>0</v>
      </c>
      <c r="K1119" s="42">
        <f>VLOOKUP($A1119,'Neraca Unaudited SIMAK'!$A$2:$R$1272,10,FALSE)+IF(ISNA(VLOOKUP($A1119,'Mutasi Neraca'!$A$3:$S$910,10,FALSE)),0,VLOOKUP($A1119,'Mutasi Neraca'!$A$3:$S$910,10,FALSE))</f>
        <v>0</v>
      </c>
      <c r="L1119" s="42">
        <f>VLOOKUP($A1119,'Neraca Unaudited SIMAK'!$A$2:$R$1272,11,FALSE)+IF(ISNA(VLOOKUP($A1119,'Mutasi Neraca'!$A$3:$S$910,11,FALSE)),0,VLOOKUP($A1119,'Mutasi Neraca'!$A$3:$S$910,11,FALSE))</f>
        <v>0</v>
      </c>
      <c r="M1119" s="42">
        <f>VLOOKUP($A1119,'Neraca Unaudited SIMAK'!$A$2:$R$1272,12,FALSE)+IF(ISNA(VLOOKUP($A1119,'Mutasi Neraca'!$A$3:$S$910,12,FALSE)),0,VLOOKUP($A1119,'Mutasi Neraca'!$A$3:$S$910,12,FALSE))</f>
        <v>28045000</v>
      </c>
      <c r="N1119" s="42">
        <f>VLOOKUP($A1119,'Neraca Unaudited SIMAK'!$A$2:$R$1272,13,FALSE)+IF(ISNA(VLOOKUP($A1119,'Mutasi Neraca'!$A$3:$S$910,13,FALSE)),0,VLOOKUP($A1119,'Mutasi Neraca'!$A$3:$S$910,13,FALSE))</f>
        <v>0</v>
      </c>
      <c r="O1119" s="42">
        <f>VLOOKUP($A1119,'Neraca Unaudited SIMAK'!$A$2:$R$1272,14,FALSE)+IF(ISNA(VLOOKUP($A1119,'Mutasi Neraca'!$A$3:$S$910,14,FALSE)),0,VLOOKUP($A1119,'Mutasi Neraca'!$A$3:$S$910,14,FALSE))</f>
        <v>0</v>
      </c>
      <c r="P1119" s="42">
        <f>VLOOKUP($A1119,'Neraca Unaudited SIMAK'!$A$2:$R$1272,15,FALSE)+IF(ISNA(VLOOKUP($A1119,'Mutasi Neraca'!$A$3:$S$910,15,FALSE)),0,VLOOKUP($A1119,'Mutasi Neraca'!$A$3:$S$910,15,FALSE))</f>
        <v>0</v>
      </c>
      <c r="Q1119" s="42">
        <f>VLOOKUP($A1119,'Neraca Unaudited SIMAK'!$A$2:$R$1272,16,FALSE)+IF(ISNA(VLOOKUP($A1119,'Mutasi Neraca'!$A$3:$S$910,16,FALSE)),0,VLOOKUP($A1119,'Mutasi Neraca'!$A$3:$S$910,16,FALSE))</f>
        <v>0</v>
      </c>
      <c r="R1119" s="42">
        <f>VLOOKUP($A1119,'Neraca Unaudited SIMAK'!$A$2:$R$1272,17,FALSE)+IF(ISNA(VLOOKUP($A1119,'Mutasi Neraca'!$A$3:$S$910,17,FALSE)),0,VLOOKUP($A1119,'Mutasi Neraca'!$A$3:$S$910,17,FALSE))</f>
        <v>0</v>
      </c>
      <c r="S1119" s="42">
        <f t="shared" si="77"/>
        <v>28045000</v>
      </c>
    </row>
    <row r="1120" spans="1:19">
      <c r="A1120" s="41" t="s">
        <v>2198</v>
      </c>
      <c r="B1120" s="41" t="str">
        <f t="shared" si="76"/>
        <v>005032200</v>
      </c>
      <c r="D1120" s="42">
        <f>VLOOKUP($A1120,'Neraca Unaudited SIMAK'!$A$2:$R$1272,3,FALSE)+IF(ISNA(VLOOKUP($A1120,'Mutasi Neraca'!$A$3:$S$910,3,FALSE)),0,VLOOKUP($A1120,'Mutasi Neraca'!$A$3:$S$910,3,FALSE))</f>
        <v>3310400</v>
      </c>
      <c r="E1120" s="42">
        <f>VLOOKUP($A1120,'Neraca Unaudited SIMAK'!$A$2:$R$1272,4,FALSE)+IF(ISNA(VLOOKUP($A1120,'Mutasi Neraca'!$A$3:$S$910,4,FALSE)),0,VLOOKUP($A1120,'Mutasi Neraca'!$A$3:$S$910,4,FALSE))</f>
        <v>0</v>
      </c>
      <c r="F1120" s="42">
        <f>VLOOKUP($A1120,'Neraca Unaudited SIMAK'!$A$2:$R$1272,5,FALSE)+IF(ISNA(VLOOKUP($A1120,'Mutasi Neraca'!$A$3:$S$910,5,FALSE)),0,VLOOKUP($A1120,'Mutasi Neraca'!$A$3:$S$910,5,FALSE))</f>
        <v>0</v>
      </c>
      <c r="G1120" s="42">
        <f>VLOOKUP($A1120,'Neraca Unaudited SIMAK'!$A$2:$R$1272,6,FALSE)+IF(ISNA(VLOOKUP($A1120,'Mutasi Neraca'!$A$3:$S$910,6,FALSE)),0,VLOOKUP($A1120,'Mutasi Neraca'!$A$3:$S$910,6,FALSE))</f>
        <v>0</v>
      </c>
      <c r="H1120" s="42">
        <f>VLOOKUP($A1120,'Neraca Unaudited SIMAK'!$A$2:$R$1272,7,FALSE)+IF(ISNA(VLOOKUP($A1120,'Mutasi Neraca'!$A$3:$S$910,7,FALSE)),0,VLOOKUP($A1120,'Mutasi Neraca'!$A$3:$S$910,7,FALSE))</f>
        <v>0</v>
      </c>
      <c r="I1120" s="42">
        <f>VLOOKUP($A1120,'Neraca Unaudited SIMAK'!$A$2:$R$1272,8,FALSE)+IF(ISNA(VLOOKUP($A1120,'Mutasi Neraca'!$A$3:$S$910,8,FALSE)),0,VLOOKUP($A1120,'Mutasi Neraca'!$A$3:$S$910,8,FALSE))</f>
        <v>0</v>
      </c>
      <c r="J1120" s="42">
        <f>VLOOKUP($A1120,'Neraca Unaudited SIMAK'!$A$2:$R$1272,9,FALSE)+IF(ISNA(VLOOKUP($A1120,'Mutasi Neraca'!$A$3:$S$910,9,FALSE)),0,VLOOKUP($A1120,'Mutasi Neraca'!$A$3:$S$910,9,FALSE))</f>
        <v>0</v>
      </c>
      <c r="K1120" s="42">
        <f>VLOOKUP($A1120,'Neraca Unaudited SIMAK'!$A$2:$R$1272,10,FALSE)+IF(ISNA(VLOOKUP($A1120,'Mutasi Neraca'!$A$3:$S$910,10,FALSE)),0,VLOOKUP($A1120,'Mutasi Neraca'!$A$3:$S$910,10,FALSE))</f>
        <v>0</v>
      </c>
      <c r="L1120" s="42">
        <f>VLOOKUP($A1120,'Neraca Unaudited SIMAK'!$A$2:$R$1272,11,FALSE)+IF(ISNA(VLOOKUP($A1120,'Mutasi Neraca'!$A$3:$S$910,11,FALSE)),0,VLOOKUP($A1120,'Mutasi Neraca'!$A$3:$S$910,11,FALSE))</f>
        <v>0</v>
      </c>
      <c r="M1120" s="42">
        <f>VLOOKUP($A1120,'Neraca Unaudited SIMAK'!$A$2:$R$1272,12,FALSE)+IF(ISNA(VLOOKUP($A1120,'Mutasi Neraca'!$A$3:$S$910,12,FALSE)),0,VLOOKUP($A1120,'Mutasi Neraca'!$A$3:$S$910,12,FALSE))</f>
        <v>3310400</v>
      </c>
      <c r="N1120" s="42">
        <f>VLOOKUP($A1120,'Neraca Unaudited SIMAK'!$A$2:$R$1272,13,FALSE)+IF(ISNA(VLOOKUP($A1120,'Mutasi Neraca'!$A$3:$S$910,13,FALSE)),0,VLOOKUP($A1120,'Mutasi Neraca'!$A$3:$S$910,13,FALSE))</f>
        <v>0</v>
      </c>
      <c r="O1120" s="42">
        <f>VLOOKUP($A1120,'Neraca Unaudited SIMAK'!$A$2:$R$1272,14,FALSE)+IF(ISNA(VLOOKUP($A1120,'Mutasi Neraca'!$A$3:$S$910,14,FALSE)),0,VLOOKUP($A1120,'Mutasi Neraca'!$A$3:$S$910,14,FALSE))</f>
        <v>0</v>
      </c>
      <c r="P1120" s="42">
        <f>VLOOKUP($A1120,'Neraca Unaudited SIMAK'!$A$2:$R$1272,15,FALSE)+IF(ISNA(VLOOKUP($A1120,'Mutasi Neraca'!$A$3:$S$910,15,FALSE)),0,VLOOKUP($A1120,'Mutasi Neraca'!$A$3:$S$910,15,FALSE))</f>
        <v>0</v>
      </c>
      <c r="Q1120" s="42">
        <f>VLOOKUP($A1120,'Neraca Unaudited SIMAK'!$A$2:$R$1272,16,FALSE)+IF(ISNA(VLOOKUP($A1120,'Mutasi Neraca'!$A$3:$S$910,16,FALSE)),0,VLOOKUP($A1120,'Mutasi Neraca'!$A$3:$S$910,16,FALSE))</f>
        <v>0</v>
      </c>
      <c r="R1120" s="42">
        <f>VLOOKUP($A1120,'Neraca Unaudited SIMAK'!$A$2:$R$1272,17,FALSE)+IF(ISNA(VLOOKUP($A1120,'Mutasi Neraca'!$A$3:$S$910,17,FALSE)),0,VLOOKUP($A1120,'Mutasi Neraca'!$A$3:$S$910,17,FALSE))</f>
        <v>0</v>
      </c>
      <c r="S1120" s="42">
        <f t="shared" si="77"/>
        <v>3310400</v>
      </c>
    </row>
    <row r="1121" spans="1:19">
      <c r="A1121" s="41" t="s">
        <v>1058</v>
      </c>
      <c r="B1121" s="41" t="str">
        <f t="shared" si="76"/>
        <v>005032200</v>
      </c>
      <c r="D1121" s="42">
        <f>VLOOKUP($A1121,'Neraca Unaudited SIMAK'!$A$2:$R$1272,3,FALSE)+IF(ISNA(VLOOKUP($A1121,'Mutasi Neraca'!$A$3:$S$910,3,FALSE)),0,VLOOKUP($A1121,'Mutasi Neraca'!$A$3:$S$910,3,FALSE))</f>
        <v>17243144</v>
      </c>
      <c r="E1121" s="42">
        <f>VLOOKUP($A1121,'Neraca Unaudited SIMAK'!$A$2:$R$1272,4,FALSE)+IF(ISNA(VLOOKUP($A1121,'Mutasi Neraca'!$A$3:$S$910,4,FALSE)),0,VLOOKUP($A1121,'Mutasi Neraca'!$A$3:$S$910,4,FALSE))</f>
        <v>0</v>
      </c>
      <c r="F1121" s="42">
        <f>VLOOKUP($A1121,'Neraca Unaudited SIMAK'!$A$2:$R$1272,5,FALSE)+IF(ISNA(VLOOKUP($A1121,'Mutasi Neraca'!$A$3:$S$910,5,FALSE)),0,VLOOKUP($A1121,'Mutasi Neraca'!$A$3:$S$910,5,FALSE))</f>
        <v>0</v>
      </c>
      <c r="G1121" s="42">
        <f>VLOOKUP($A1121,'Neraca Unaudited SIMAK'!$A$2:$R$1272,6,FALSE)+IF(ISNA(VLOOKUP($A1121,'Mutasi Neraca'!$A$3:$S$910,6,FALSE)),0,VLOOKUP($A1121,'Mutasi Neraca'!$A$3:$S$910,6,FALSE))</f>
        <v>0</v>
      </c>
      <c r="H1121" s="42">
        <f>VLOOKUP($A1121,'Neraca Unaudited SIMAK'!$A$2:$R$1272,7,FALSE)+IF(ISNA(VLOOKUP($A1121,'Mutasi Neraca'!$A$3:$S$910,7,FALSE)),0,VLOOKUP($A1121,'Mutasi Neraca'!$A$3:$S$910,7,FALSE))</f>
        <v>0</v>
      </c>
      <c r="I1121" s="42">
        <f>VLOOKUP($A1121,'Neraca Unaudited SIMAK'!$A$2:$R$1272,8,FALSE)+IF(ISNA(VLOOKUP($A1121,'Mutasi Neraca'!$A$3:$S$910,8,FALSE)),0,VLOOKUP($A1121,'Mutasi Neraca'!$A$3:$S$910,8,FALSE))</f>
        <v>0</v>
      </c>
      <c r="J1121" s="42">
        <f>VLOOKUP($A1121,'Neraca Unaudited SIMAK'!$A$2:$R$1272,9,FALSE)+IF(ISNA(VLOOKUP($A1121,'Mutasi Neraca'!$A$3:$S$910,9,FALSE)),0,VLOOKUP($A1121,'Mutasi Neraca'!$A$3:$S$910,9,FALSE))</f>
        <v>0</v>
      </c>
      <c r="K1121" s="42">
        <f>VLOOKUP($A1121,'Neraca Unaudited SIMAK'!$A$2:$R$1272,10,FALSE)+IF(ISNA(VLOOKUP($A1121,'Mutasi Neraca'!$A$3:$S$910,10,FALSE)),0,VLOOKUP($A1121,'Mutasi Neraca'!$A$3:$S$910,10,FALSE))</f>
        <v>0</v>
      </c>
      <c r="L1121" s="42">
        <f>VLOOKUP($A1121,'Neraca Unaudited SIMAK'!$A$2:$R$1272,11,FALSE)+IF(ISNA(VLOOKUP($A1121,'Mutasi Neraca'!$A$3:$S$910,11,FALSE)),0,VLOOKUP($A1121,'Mutasi Neraca'!$A$3:$S$910,11,FALSE))</f>
        <v>0</v>
      </c>
      <c r="M1121" s="42">
        <f>VLOOKUP($A1121,'Neraca Unaudited SIMAK'!$A$2:$R$1272,12,FALSE)+IF(ISNA(VLOOKUP($A1121,'Mutasi Neraca'!$A$3:$S$910,12,FALSE)),0,VLOOKUP($A1121,'Mutasi Neraca'!$A$3:$S$910,12,FALSE))</f>
        <v>17243144</v>
      </c>
      <c r="N1121" s="42">
        <f>VLOOKUP($A1121,'Neraca Unaudited SIMAK'!$A$2:$R$1272,13,FALSE)+IF(ISNA(VLOOKUP($A1121,'Mutasi Neraca'!$A$3:$S$910,13,FALSE)),0,VLOOKUP($A1121,'Mutasi Neraca'!$A$3:$S$910,13,FALSE))</f>
        <v>0</v>
      </c>
      <c r="O1121" s="42">
        <f>VLOOKUP($A1121,'Neraca Unaudited SIMAK'!$A$2:$R$1272,14,FALSE)+IF(ISNA(VLOOKUP($A1121,'Mutasi Neraca'!$A$3:$S$910,14,FALSE)),0,VLOOKUP($A1121,'Mutasi Neraca'!$A$3:$S$910,14,FALSE))</f>
        <v>0</v>
      </c>
      <c r="P1121" s="42">
        <f>VLOOKUP($A1121,'Neraca Unaudited SIMAK'!$A$2:$R$1272,15,FALSE)+IF(ISNA(VLOOKUP($A1121,'Mutasi Neraca'!$A$3:$S$910,15,FALSE)),0,VLOOKUP($A1121,'Mutasi Neraca'!$A$3:$S$910,15,FALSE))</f>
        <v>0</v>
      </c>
      <c r="Q1121" s="42">
        <f>VLOOKUP($A1121,'Neraca Unaudited SIMAK'!$A$2:$R$1272,16,FALSE)+IF(ISNA(VLOOKUP($A1121,'Mutasi Neraca'!$A$3:$S$910,16,FALSE)),0,VLOOKUP($A1121,'Mutasi Neraca'!$A$3:$S$910,16,FALSE))</f>
        <v>0</v>
      </c>
      <c r="R1121" s="42">
        <f>VLOOKUP($A1121,'Neraca Unaudited SIMAK'!$A$2:$R$1272,17,FALSE)+IF(ISNA(VLOOKUP($A1121,'Mutasi Neraca'!$A$3:$S$910,17,FALSE)),0,VLOOKUP($A1121,'Mutasi Neraca'!$A$3:$S$910,17,FALSE))</f>
        <v>0</v>
      </c>
      <c r="S1121" s="42">
        <f t="shared" si="77"/>
        <v>17243144</v>
      </c>
    </row>
    <row r="1122" spans="1:19">
      <c r="A1122" s="41" t="s">
        <v>1059</v>
      </c>
      <c r="B1122" s="41" t="str">
        <f t="shared" si="76"/>
        <v>005032200</v>
      </c>
      <c r="D1122" s="42">
        <f>VLOOKUP($A1122,'Neraca Unaudited SIMAK'!$A$2:$R$1272,3,FALSE)+IF(ISNA(VLOOKUP($A1122,'Mutasi Neraca'!$A$3:$S$910,3,FALSE)),0,VLOOKUP($A1122,'Mutasi Neraca'!$A$3:$S$910,3,FALSE))</f>
        <v>6868000</v>
      </c>
      <c r="E1122" s="42">
        <f>VLOOKUP($A1122,'Neraca Unaudited SIMAK'!$A$2:$R$1272,4,FALSE)+IF(ISNA(VLOOKUP($A1122,'Mutasi Neraca'!$A$3:$S$910,4,FALSE)),0,VLOOKUP($A1122,'Mutasi Neraca'!$A$3:$S$910,4,FALSE))</f>
        <v>0</v>
      </c>
      <c r="F1122" s="42">
        <f>VLOOKUP($A1122,'Neraca Unaudited SIMAK'!$A$2:$R$1272,5,FALSE)+IF(ISNA(VLOOKUP($A1122,'Mutasi Neraca'!$A$3:$S$910,5,FALSE)),0,VLOOKUP($A1122,'Mutasi Neraca'!$A$3:$S$910,5,FALSE))</f>
        <v>0</v>
      </c>
      <c r="G1122" s="42">
        <f>VLOOKUP($A1122,'Neraca Unaudited SIMAK'!$A$2:$R$1272,6,FALSE)+IF(ISNA(VLOOKUP($A1122,'Mutasi Neraca'!$A$3:$S$910,6,FALSE)),0,VLOOKUP($A1122,'Mutasi Neraca'!$A$3:$S$910,6,FALSE))</f>
        <v>0</v>
      </c>
      <c r="H1122" s="42">
        <f>VLOOKUP($A1122,'Neraca Unaudited SIMAK'!$A$2:$R$1272,7,FALSE)+IF(ISNA(VLOOKUP($A1122,'Mutasi Neraca'!$A$3:$S$910,7,FALSE)),0,VLOOKUP($A1122,'Mutasi Neraca'!$A$3:$S$910,7,FALSE))</f>
        <v>0</v>
      </c>
      <c r="I1122" s="42">
        <f>VLOOKUP($A1122,'Neraca Unaudited SIMAK'!$A$2:$R$1272,8,FALSE)+IF(ISNA(VLOOKUP($A1122,'Mutasi Neraca'!$A$3:$S$910,8,FALSE)),0,VLOOKUP($A1122,'Mutasi Neraca'!$A$3:$S$910,8,FALSE))</f>
        <v>0</v>
      </c>
      <c r="J1122" s="42">
        <f>VLOOKUP($A1122,'Neraca Unaudited SIMAK'!$A$2:$R$1272,9,FALSE)+IF(ISNA(VLOOKUP($A1122,'Mutasi Neraca'!$A$3:$S$910,9,FALSE)),0,VLOOKUP($A1122,'Mutasi Neraca'!$A$3:$S$910,9,FALSE))</f>
        <v>0</v>
      </c>
      <c r="K1122" s="42">
        <f>VLOOKUP($A1122,'Neraca Unaudited SIMAK'!$A$2:$R$1272,10,FALSE)+IF(ISNA(VLOOKUP($A1122,'Mutasi Neraca'!$A$3:$S$910,10,FALSE)),0,VLOOKUP($A1122,'Mutasi Neraca'!$A$3:$S$910,10,FALSE))</f>
        <v>0</v>
      </c>
      <c r="L1122" s="42">
        <f>VLOOKUP($A1122,'Neraca Unaudited SIMAK'!$A$2:$R$1272,11,FALSE)+IF(ISNA(VLOOKUP($A1122,'Mutasi Neraca'!$A$3:$S$910,11,FALSE)),0,VLOOKUP($A1122,'Mutasi Neraca'!$A$3:$S$910,11,FALSE))</f>
        <v>0</v>
      </c>
      <c r="M1122" s="42">
        <f>VLOOKUP($A1122,'Neraca Unaudited SIMAK'!$A$2:$R$1272,12,FALSE)+IF(ISNA(VLOOKUP($A1122,'Mutasi Neraca'!$A$3:$S$910,12,FALSE)),0,VLOOKUP($A1122,'Mutasi Neraca'!$A$3:$S$910,12,FALSE))</f>
        <v>6868000</v>
      </c>
      <c r="N1122" s="42">
        <f>VLOOKUP($A1122,'Neraca Unaudited SIMAK'!$A$2:$R$1272,13,FALSE)+IF(ISNA(VLOOKUP($A1122,'Mutasi Neraca'!$A$3:$S$910,13,FALSE)),0,VLOOKUP($A1122,'Mutasi Neraca'!$A$3:$S$910,13,FALSE))</f>
        <v>0</v>
      </c>
      <c r="O1122" s="42">
        <f>VLOOKUP($A1122,'Neraca Unaudited SIMAK'!$A$2:$R$1272,14,FALSE)+IF(ISNA(VLOOKUP($A1122,'Mutasi Neraca'!$A$3:$S$910,14,FALSE)),0,VLOOKUP($A1122,'Mutasi Neraca'!$A$3:$S$910,14,FALSE))</f>
        <v>0</v>
      </c>
      <c r="P1122" s="42">
        <f>VLOOKUP($A1122,'Neraca Unaudited SIMAK'!$A$2:$R$1272,15,FALSE)+IF(ISNA(VLOOKUP($A1122,'Mutasi Neraca'!$A$3:$S$910,15,FALSE)),0,VLOOKUP($A1122,'Mutasi Neraca'!$A$3:$S$910,15,FALSE))</f>
        <v>0</v>
      </c>
      <c r="Q1122" s="42">
        <f>VLOOKUP($A1122,'Neraca Unaudited SIMAK'!$A$2:$R$1272,16,FALSE)+IF(ISNA(VLOOKUP($A1122,'Mutasi Neraca'!$A$3:$S$910,16,FALSE)),0,VLOOKUP($A1122,'Mutasi Neraca'!$A$3:$S$910,16,FALSE))</f>
        <v>0</v>
      </c>
      <c r="R1122" s="42">
        <f>VLOOKUP($A1122,'Neraca Unaudited SIMAK'!$A$2:$R$1272,17,FALSE)+IF(ISNA(VLOOKUP($A1122,'Mutasi Neraca'!$A$3:$S$910,17,FALSE)),0,VLOOKUP($A1122,'Mutasi Neraca'!$A$3:$S$910,17,FALSE))</f>
        <v>0</v>
      </c>
      <c r="S1122" s="42">
        <f t="shared" si="77"/>
        <v>6868000</v>
      </c>
    </row>
    <row r="1123" spans="1:19">
      <c r="A1123" s="41" t="s">
        <v>1060</v>
      </c>
      <c r="B1123" s="41" t="str">
        <f t="shared" si="76"/>
        <v>005032200</v>
      </c>
      <c r="D1123" s="42">
        <f>VLOOKUP($A1123,'Neraca Unaudited SIMAK'!$A$2:$R$1272,3,FALSE)+IF(ISNA(VLOOKUP($A1123,'Mutasi Neraca'!$A$3:$S$910,3,FALSE)),0,VLOOKUP($A1123,'Mutasi Neraca'!$A$3:$S$910,3,FALSE))</f>
        <v>0</v>
      </c>
      <c r="E1123" s="42">
        <f>VLOOKUP($A1123,'Neraca Unaudited SIMAK'!$A$2:$R$1272,4,FALSE)+IF(ISNA(VLOOKUP($A1123,'Mutasi Neraca'!$A$3:$S$910,4,FALSE)),0,VLOOKUP($A1123,'Mutasi Neraca'!$A$3:$S$910,4,FALSE))</f>
        <v>0</v>
      </c>
      <c r="F1123" s="42">
        <f>VLOOKUP($A1123,'Neraca Unaudited SIMAK'!$A$2:$R$1272,5,FALSE)+IF(ISNA(VLOOKUP($A1123,'Mutasi Neraca'!$A$3:$S$910,5,FALSE)),0,VLOOKUP($A1123,'Mutasi Neraca'!$A$3:$S$910,5,FALSE))</f>
        <v>0</v>
      </c>
      <c r="G1123" s="42">
        <f>VLOOKUP($A1123,'Neraca Unaudited SIMAK'!$A$2:$R$1272,6,FALSE)+IF(ISNA(VLOOKUP($A1123,'Mutasi Neraca'!$A$3:$S$910,6,FALSE)),0,VLOOKUP($A1123,'Mutasi Neraca'!$A$3:$S$910,6,FALSE))</f>
        <v>0</v>
      </c>
      <c r="H1123" s="42">
        <f>VLOOKUP($A1123,'Neraca Unaudited SIMAK'!$A$2:$R$1272,7,FALSE)+IF(ISNA(VLOOKUP($A1123,'Mutasi Neraca'!$A$3:$S$910,7,FALSE)),0,VLOOKUP($A1123,'Mutasi Neraca'!$A$3:$S$910,7,FALSE))</f>
        <v>0</v>
      </c>
      <c r="I1123" s="42">
        <f>VLOOKUP($A1123,'Neraca Unaudited SIMAK'!$A$2:$R$1272,8,FALSE)+IF(ISNA(VLOOKUP($A1123,'Mutasi Neraca'!$A$3:$S$910,8,FALSE)),0,VLOOKUP($A1123,'Mutasi Neraca'!$A$3:$S$910,8,FALSE))</f>
        <v>0</v>
      </c>
      <c r="J1123" s="42">
        <f>VLOOKUP($A1123,'Neraca Unaudited SIMAK'!$A$2:$R$1272,9,FALSE)+IF(ISNA(VLOOKUP($A1123,'Mutasi Neraca'!$A$3:$S$910,9,FALSE)),0,VLOOKUP($A1123,'Mutasi Neraca'!$A$3:$S$910,9,FALSE))</f>
        <v>0</v>
      </c>
      <c r="K1123" s="42">
        <f>VLOOKUP($A1123,'Neraca Unaudited SIMAK'!$A$2:$R$1272,10,FALSE)+IF(ISNA(VLOOKUP($A1123,'Mutasi Neraca'!$A$3:$S$910,10,FALSE)),0,VLOOKUP($A1123,'Mutasi Neraca'!$A$3:$S$910,10,FALSE))</f>
        <v>0</v>
      </c>
      <c r="L1123" s="42">
        <f>VLOOKUP($A1123,'Neraca Unaudited SIMAK'!$A$2:$R$1272,11,FALSE)+IF(ISNA(VLOOKUP($A1123,'Mutasi Neraca'!$A$3:$S$910,11,FALSE)),0,VLOOKUP($A1123,'Mutasi Neraca'!$A$3:$S$910,11,FALSE))</f>
        <v>0</v>
      </c>
      <c r="M1123" s="42">
        <f>VLOOKUP($A1123,'Neraca Unaudited SIMAK'!$A$2:$R$1272,12,FALSE)+IF(ISNA(VLOOKUP($A1123,'Mutasi Neraca'!$A$3:$S$910,12,FALSE)),0,VLOOKUP($A1123,'Mutasi Neraca'!$A$3:$S$910,12,FALSE))</f>
        <v>0</v>
      </c>
      <c r="N1123" s="42">
        <f>VLOOKUP($A1123,'Neraca Unaudited SIMAK'!$A$2:$R$1272,13,FALSE)+IF(ISNA(VLOOKUP($A1123,'Mutasi Neraca'!$A$3:$S$910,13,FALSE)),0,VLOOKUP($A1123,'Mutasi Neraca'!$A$3:$S$910,13,FALSE))</f>
        <v>0</v>
      </c>
      <c r="O1123" s="42">
        <f>VLOOKUP($A1123,'Neraca Unaudited SIMAK'!$A$2:$R$1272,14,FALSE)+IF(ISNA(VLOOKUP($A1123,'Mutasi Neraca'!$A$3:$S$910,14,FALSE)),0,VLOOKUP($A1123,'Mutasi Neraca'!$A$3:$S$910,14,FALSE))</f>
        <v>0</v>
      </c>
      <c r="P1123" s="42">
        <f>VLOOKUP($A1123,'Neraca Unaudited SIMAK'!$A$2:$R$1272,15,FALSE)+IF(ISNA(VLOOKUP($A1123,'Mutasi Neraca'!$A$3:$S$910,15,FALSE)),0,VLOOKUP($A1123,'Mutasi Neraca'!$A$3:$S$910,15,FALSE))</f>
        <v>0</v>
      </c>
      <c r="Q1123" s="42">
        <f>VLOOKUP($A1123,'Neraca Unaudited SIMAK'!$A$2:$R$1272,16,FALSE)+IF(ISNA(VLOOKUP($A1123,'Mutasi Neraca'!$A$3:$S$910,16,FALSE)),0,VLOOKUP($A1123,'Mutasi Neraca'!$A$3:$S$910,16,FALSE))</f>
        <v>0</v>
      </c>
      <c r="R1123" s="42">
        <f>VLOOKUP($A1123,'Neraca Unaudited SIMAK'!$A$2:$R$1272,17,FALSE)+IF(ISNA(VLOOKUP($A1123,'Mutasi Neraca'!$A$3:$S$910,17,FALSE)),0,VLOOKUP($A1123,'Mutasi Neraca'!$A$3:$S$910,17,FALSE))</f>
        <v>0</v>
      </c>
      <c r="S1123" s="42">
        <f t="shared" si="77"/>
        <v>0</v>
      </c>
    </row>
    <row r="1124" spans="1:19">
      <c r="A1124" s="41" t="s">
        <v>1061</v>
      </c>
      <c r="B1124" s="41" t="str">
        <f t="shared" si="76"/>
        <v>005032200</v>
      </c>
      <c r="D1124" s="42">
        <f>VLOOKUP($A1124,'Neraca Unaudited SIMAK'!$A$2:$R$1272,3,FALSE)+IF(ISNA(VLOOKUP($A1124,'Mutasi Neraca'!$A$3:$S$910,3,FALSE)),0,VLOOKUP($A1124,'Mutasi Neraca'!$A$3:$S$910,3,FALSE))</f>
        <v>95270</v>
      </c>
      <c r="E1124" s="42">
        <f>VLOOKUP($A1124,'Neraca Unaudited SIMAK'!$A$2:$R$1272,4,FALSE)+IF(ISNA(VLOOKUP($A1124,'Mutasi Neraca'!$A$3:$S$910,4,FALSE)),0,VLOOKUP($A1124,'Mutasi Neraca'!$A$3:$S$910,4,FALSE))</f>
        <v>0</v>
      </c>
      <c r="F1124" s="42">
        <f>VLOOKUP($A1124,'Neraca Unaudited SIMAK'!$A$2:$R$1272,5,FALSE)+IF(ISNA(VLOOKUP($A1124,'Mutasi Neraca'!$A$3:$S$910,5,FALSE)),0,VLOOKUP($A1124,'Mutasi Neraca'!$A$3:$S$910,5,FALSE))</f>
        <v>0</v>
      </c>
      <c r="G1124" s="42">
        <f>VLOOKUP($A1124,'Neraca Unaudited SIMAK'!$A$2:$R$1272,6,FALSE)+IF(ISNA(VLOOKUP($A1124,'Mutasi Neraca'!$A$3:$S$910,6,FALSE)),0,VLOOKUP($A1124,'Mutasi Neraca'!$A$3:$S$910,6,FALSE))</f>
        <v>0</v>
      </c>
      <c r="H1124" s="42">
        <f>VLOOKUP($A1124,'Neraca Unaudited SIMAK'!$A$2:$R$1272,7,FALSE)+IF(ISNA(VLOOKUP($A1124,'Mutasi Neraca'!$A$3:$S$910,7,FALSE)),0,VLOOKUP($A1124,'Mutasi Neraca'!$A$3:$S$910,7,FALSE))</f>
        <v>0</v>
      </c>
      <c r="I1124" s="42">
        <f>VLOOKUP($A1124,'Neraca Unaudited SIMAK'!$A$2:$R$1272,8,FALSE)+IF(ISNA(VLOOKUP($A1124,'Mutasi Neraca'!$A$3:$S$910,8,FALSE)),0,VLOOKUP($A1124,'Mutasi Neraca'!$A$3:$S$910,8,FALSE))</f>
        <v>0</v>
      </c>
      <c r="J1124" s="42">
        <f>VLOOKUP($A1124,'Neraca Unaudited SIMAK'!$A$2:$R$1272,9,FALSE)+IF(ISNA(VLOOKUP($A1124,'Mutasi Neraca'!$A$3:$S$910,9,FALSE)),0,VLOOKUP($A1124,'Mutasi Neraca'!$A$3:$S$910,9,FALSE))</f>
        <v>0</v>
      </c>
      <c r="K1124" s="42">
        <f>VLOOKUP($A1124,'Neraca Unaudited SIMAK'!$A$2:$R$1272,10,FALSE)+IF(ISNA(VLOOKUP($A1124,'Mutasi Neraca'!$A$3:$S$910,10,FALSE)),0,VLOOKUP($A1124,'Mutasi Neraca'!$A$3:$S$910,10,FALSE))</f>
        <v>0</v>
      </c>
      <c r="L1124" s="42">
        <f>VLOOKUP($A1124,'Neraca Unaudited SIMAK'!$A$2:$R$1272,11,FALSE)+IF(ISNA(VLOOKUP($A1124,'Mutasi Neraca'!$A$3:$S$910,11,FALSE)),0,VLOOKUP($A1124,'Mutasi Neraca'!$A$3:$S$910,11,FALSE))</f>
        <v>0</v>
      </c>
      <c r="M1124" s="42">
        <f>VLOOKUP($A1124,'Neraca Unaudited SIMAK'!$A$2:$R$1272,12,FALSE)+IF(ISNA(VLOOKUP($A1124,'Mutasi Neraca'!$A$3:$S$910,12,FALSE)),0,VLOOKUP($A1124,'Mutasi Neraca'!$A$3:$S$910,12,FALSE))</f>
        <v>95270</v>
      </c>
      <c r="N1124" s="42">
        <f>VLOOKUP($A1124,'Neraca Unaudited SIMAK'!$A$2:$R$1272,13,FALSE)+IF(ISNA(VLOOKUP($A1124,'Mutasi Neraca'!$A$3:$S$910,13,FALSE)),0,VLOOKUP($A1124,'Mutasi Neraca'!$A$3:$S$910,13,FALSE))</f>
        <v>0</v>
      </c>
      <c r="O1124" s="42">
        <f>VLOOKUP($A1124,'Neraca Unaudited SIMAK'!$A$2:$R$1272,14,FALSE)+IF(ISNA(VLOOKUP($A1124,'Mutasi Neraca'!$A$3:$S$910,14,FALSE)),0,VLOOKUP($A1124,'Mutasi Neraca'!$A$3:$S$910,14,FALSE))</f>
        <v>0</v>
      </c>
      <c r="P1124" s="42">
        <f>VLOOKUP($A1124,'Neraca Unaudited SIMAK'!$A$2:$R$1272,15,FALSE)+IF(ISNA(VLOOKUP($A1124,'Mutasi Neraca'!$A$3:$S$910,15,FALSE)),0,VLOOKUP($A1124,'Mutasi Neraca'!$A$3:$S$910,15,FALSE))</f>
        <v>0</v>
      </c>
      <c r="Q1124" s="42">
        <f>VLOOKUP($A1124,'Neraca Unaudited SIMAK'!$A$2:$R$1272,16,FALSE)+IF(ISNA(VLOOKUP($A1124,'Mutasi Neraca'!$A$3:$S$910,16,FALSE)),0,VLOOKUP($A1124,'Mutasi Neraca'!$A$3:$S$910,16,FALSE))</f>
        <v>0</v>
      </c>
      <c r="R1124" s="42">
        <f>VLOOKUP($A1124,'Neraca Unaudited SIMAK'!$A$2:$R$1272,17,FALSE)+IF(ISNA(VLOOKUP($A1124,'Mutasi Neraca'!$A$3:$S$910,17,FALSE)),0,VLOOKUP($A1124,'Mutasi Neraca'!$A$3:$S$910,17,FALSE))</f>
        <v>0</v>
      </c>
      <c r="S1124" s="42">
        <f t="shared" si="77"/>
        <v>95270</v>
      </c>
    </row>
    <row r="1125" spans="1:19">
      <c r="A1125" s="41" t="s">
        <v>1062</v>
      </c>
      <c r="B1125" s="41" t="str">
        <f t="shared" si="76"/>
        <v>005032200</v>
      </c>
      <c r="D1125" s="42">
        <f>VLOOKUP($A1125,'Neraca Unaudited SIMAK'!$A$2:$R$1272,3,FALSE)+IF(ISNA(VLOOKUP($A1125,'Mutasi Neraca'!$A$3:$S$910,3,FALSE)),0,VLOOKUP($A1125,'Mutasi Neraca'!$A$3:$S$910,3,FALSE))</f>
        <v>1835000</v>
      </c>
      <c r="E1125" s="42">
        <f>VLOOKUP($A1125,'Neraca Unaudited SIMAK'!$A$2:$R$1272,4,FALSE)+IF(ISNA(VLOOKUP($A1125,'Mutasi Neraca'!$A$3:$S$910,4,FALSE)),0,VLOOKUP($A1125,'Mutasi Neraca'!$A$3:$S$910,4,FALSE))</f>
        <v>0</v>
      </c>
      <c r="F1125" s="42">
        <f>VLOOKUP($A1125,'Neraca Unaudited SIMAK'!$A$2:$R$1272,5,FALSE)+IF(ISNA(VLOOKUP($A1125,'Mutasi Neraca'!$A$3:$S$910,5,FALSE)),0,VLOOKUP($A1125,'Mutasi Neraca'!$A$3:$S$910,5,FALSE))</f>
        <v>0</v>
      </c>
      <c r="G1125" s="42">
        <f>VLOOKUP($A1125,'Neraca Unaudited SIMAK'!$A$2:$R$1272,6,FALSE)+IF(ISNA(VLOOKUP($A1125,'Mutasi Neraca'!$A$3:$S$910,6,FALSE)),0,VLOOKUP($A1125,'Mutasi Neraca'!$A$3:$S$910,6,FALSE))</f>
        <v>0</v>
      </c>
      <c r="H1125" s="42">
        <f>VLOOKUP($A1125,'Neraca Unaudited SIMAK'!$A$2:$R$1272,7,FALSE)+IF(ISNA(VLOOKUP($A1125,'Mutasi Neraca'!$A$3:$S$910,7,FALSE)),0,VLOOKUP($A1125,'Mutasi Neraca'!$A$3:$S$910,7,FALSE))</f>
        <v>0</v>
      </c>
      <c r="I1125" s="42">
        <f>VLOOKUP($A1125,'Neraca Unaudited SIMAK'!$A$2:$R$1272,8,FALSE)+IF(ISNA(VLOOKUP($A1125,'Mutasi Neraca'!$A$3:$S$910,8,FALSE)),0,VLOOKUP($A1125,'Mutasi Neraca'!$A$3:$S$910,8,FALSE))</f>
        <v>0</v>
      </c>
      <c r="J1125" s="42">
        <f>VLOOKUP($A1125,'Neraca Unaudited SIMAK'!$A$2:$R$1272,9,FALSE)+IF(ISNA(VLOOKUP($A1125,'Mutasi Neraca'!$A$3:$S$910,9,FALSE)),0,VLOOKUP($A1125,'Mutasi Neraca'!$A$3:$S$910,9,FALSE))</f>
        <v>0</v>
      </c>
      <c r="K1125" s="42">
        <f>VLOOKUP($A1125,'Neraca Unaudited SIMAK'!$A$2:$R$1272,10,FALSE)+IF(ISNA(VLOOKUP($A1125,'Mutasi Neraca'!$A$3:$S$910,10,FALSE)),0,VLOOKUP($A1125,'Mutasi Neraca'!$A$3:$S$910,10,FALSE))</f>
        <v>0</v>
      </c>
      <c r="L1125" s="42">
        <f>VLOOKUP($A1125,'Neraca Unaudited SIMAK'!$A$2:$R$1272,11,FALSE)+IF(ISNA(VLOOKUP($A1125,'Mutasi Neraca'!$A$3:$S$910,11,FALSE)),0,VLOOKUP($A1125,'Mutasi Neraca'!$A$3:$S$910,11,FALSE))</f>
        <v>0</v>
      </c>
      <c r="M1125" s="42">
        <f>VLOOKUP($A1125,'Neraca Unaudited SIMAK'!$A$2:$R$1272,12,FALSE)+IF(ISNA(VLOOKUP($A1125,'Mutasi Neraca'!$A$3:$S$910,12,FALSE)),0,VLOOKUP($A1125,'Mutasi Neraca'!$A$3:$S$910,12,FALSE))</f>
        <v>1835000</v>
      </c>
      <c r="N1125" s="42">
        <f>VLOOKUP($A1125,'Neraca Unaudited SIMAK'!$A$2:$R$1272,13,FALSE)+IF(ISNA(VLOOKUP($A1125,'Mutasi Neraca'!$A$3:$S$910,13,FALSE)),0,VLOOKUP($A1125,'Mutasi Neraca'!$A$3:$S$910,13,FALSE))</f>
        <v>0</v>
      </c>
      <c r="O1125" s="42">
        <f>VLOOKUP($A1125,'Neraca Unaudited SIMAK'!$A$2:$R$1272,14,FALSE)+IF(ISNA(VLOOKUP($A1125,'Mutasi Neraca'!$A$3:$S$910,14,FALSE)),0,VLOOKUP($A1125,'Mutasi Neraca'!$A$3:$S$910,14,FALSE))</f>
        <v>0</v>
      </c>
      <c r="P1125" s="42">
        <f>VLOOKUP($A1125,'Neraca Unaudited SIMAK'!$A$2:$R$1272,15,FALSE)+IF(ISNA(VLOOKUP($A1125,'Mutasi Neraca'!$A$3:$S$910,15,FALSE)),0,VLOOKUP($A1125,'Mutasi Neraca'!$A$3:$S$910,15,FALSE))</f>
        <v>0</v>
      </c>
      <c r="Q1125" s="42">
        <f>VLOOKUP($A1125,'Neraca Unaudited SIMAK'!$A$2:$R$1272,16,FALSE)+IF(ISNA(VLOOKUP($A1125,'Mutasi Neraca'!$A$3:$S$910,16,FALSE)),0,VLOOKUP($A1125,'Mutasi Neraca'!$A$3:$S$910,16,FALSE))</f>
        <v>0</v>
      </c>
      <c r="R1125" s="42">
        <f>VLOOKUP($A1125,'Neraca Unaudited SIMAK'!$A$2:$R$1272,17,FALSE)+IF(ISNA(VLOOKUP($A1125,'Mutasi Neraca'!$A$3:$S$910,17,FALSE)),0,VLOOKUP($A1125,'Mutasi Neraca'!$A$3:$S$910,17,FALSE))</f>
        <v>0</v>
      </c>
      <c r="S1125" s="42">
        <f t="shared" si="77"/>
        <v>1835000</v>
      </c>
    </row>
    <row r="1126" spans="1:19">
      <c r="A1126" s="41" t="s">
        <v>1063</v>
      </c>
      <c r="B1126" s="41" t="str">
        <f t="shared" si="76"/>
        <v>005032200</v>
      </c>
      <c r="D1126" s="42">
        <f>VLOOKUP($A1126,'Neraca Unaudited SIMAK'!$A$2:$R$1272,3,FALSE)+IF(ISNA(VLOOKUP($A1126,'Mutasi Neraca'!$A$3:$S$910,3,FALSE)),0,VLOOKUP($A1126,'Mutasi Neraca'!$A$3:$S$910,3,FALSE))</f>
        <v>1230000</v>
      </c>
      <c r="E1126" s="42">
        <f>VLOOKUP($A1126,'Neraca Unaudited SIMAK'!$A$2:$R$1272,4,FALSE)+IF(ISNA(VLOOKUP($A1126,'Mutasi Neraca'!$A$3:$S$910,4,FALSE)),0,VLOOKUP($A1126,'Mutasi Neraca'!$A$3:$S$910,4,FALSE))</f>
        <v>0</v>
      </c>
      <c r="F1126" s="42">
        <f>VLOOKUP($A1126,'Neraca Unaudited SIMAK'!$A$2:$R$1272,5,FALSE)+IF(ISNA(VLOOKUP($A1126,'Mutasi Neraca'!$A$3:$S$910,5,FALSE)),0,VLOOKUP($A1126,'Mutasi Neraca'!$A$3:$S$910,5,FALSE))</f>
        <v>0</v>
      </c>
      <c r="G1126" s="42">
        <f>VLOOKUP($A1126,'Neraca Unaudited SIMAK'!$A$2:$R$1272,6,FALSE)+IF(ISNA(VLOOKUP($A1126,'Mutasi Neraca'!$A$3:$S$910,6,FALSE)),0,VLOOKUP($A1126,'Mutasi Neraca'!$A$3:$S$910,6,FALSE))</f>
        <v>0</v>
      </c>
      <c r="H1126" s="42">
        <f>VLOOKUP($A1126,'Neraca Unaudited SIMAK'!$A$2:$R$1272,7,FALSE)+IF(ISNA(VLOOKUP($A1126,'Mutasi Neraca'!$A$3:$S$910,7,FALSE)),0,VLOOKUP($A1126,'Mutasi Neraca'!$A$3:$S$910,7,FALSE))</f>
        <v>0</v>
      </c>
      <c r="I1126" s="42">
        <f>VLOOKUP($A1126,'Neraca Unaudited SIMAK'!$A$2:$R$1272,8,FALSE)+IF(ISNA(VLOOKUP($A1126,'Mutasi Neraca'!$A$3:$S$910,8,FALSE)),0,VLOOKUP($A1126,'Mutasi Neraca'!$A$3:$S$910,8,FALSE))</f>
        <v>0</v>
      </c>
      <c r="J1126" s="42">
        <f>VLOOKUP($A1126,'Neraca Unaudited SIMAK'!$A$2:$R$1272,9,FALSE)+IF(ISNA(VLOOKUP($A1126,'Mutasi Neraca'!$A$3:$S$910,9,FALSE)),0,VLOOKUP($A1126,'Mutasi Neraca'!$A$3:$S$910,9,FALSE))</f>
        <v>0</v>
      </c>
      <c r="K1126" s="42">
        <f>VLOOKUP($A1126,'Neraca Unaudited SIMAK'!$A$2:$R$1272,10,FALSE)+IF(ISNA(VLOOKUP($A1126,'Mutasi Neraca'!$A$3:$S$910,10,FALSE)),0,VLOOKUP($A1126,'Mutasi Neraca'!$A$3:$S$910,10,FALSE))</f>
        <v>0</v>
      </c>
      <c r="L1126" s="42">
        <f>VLOOKUP($A1126,'Neraca Unaudited SIMAK'!$A$2:$R$1272,11,FALSE)+IF(ISNA(VLOOKUP($A1126,'Mutasi Neraca'!$A$3:$S$910,11,FALSE)),0,VLOOKUP($A1126,'Mutasi Neraca'!$A$3:$S$910,11,FALSE))</f>
        <v>0</v>
      </c>
      <c r="M1126" s="42">
        <f>VLOOKUP($A1126,'Neraca Unaudited SIMAK'!$A$2:$R$1272,12,FALSE)+IF(ISNA(VLOOKUP($A1126,'Mutasi Neraca'!$A$3:$S$910,12,FALSE)),0,VLOOKUP($A1126,'Mutasi Neraca'!$A$3:$S$910,12,FALSE))</f>
        <v>1230000</v>
      </c>
      <c r="N1126" s="42">
        <f>VLOOKUP($A1126,'Neraca Unaudited SIMAK'!$A$2:$R$1272,13,FALSE)+IF(ISNA(VLOOKUP($A1126,'Mutasi Neraca'!$A$3:$S$910,13,FALSE)),0,VLOOKUP($A1126,'Mutasi Neraca'!$A$3:$S$910,13,FALSE))</f>
        <v>0</v>
      </c>
      <c r="O1126" s="42">
        <f>VLOOKUP($A1126,'Neraca Unaudited SIMAK'!$A$2:$R$1272,14,FALSE)+IF(ISNA(VLOOKUP($A1126,'Mutasi Neraca'!$A$3:$S$910,14,FALSE)),0,VLOOKUP($A1126,'Mutasi Neraca'!$A$3:$S$910,14,FALSE))</f>
        <v>0</v>
      </c>
      <c r="P1126" s="42">
        <f>VLOOKUP($A1126,'Neraca Unaudited SIMAK'!$A$2:$R$1272,15,FALSE)+IF(ISNA(VLOOKUP($A1126,'Mutasi Neraca'!$A$3:$S$910,15,FALSE)),0,VLOOKUP($A1126,'Mutasi Neraca'!$A$3:$S$910,15,FALSE))</f>
        <v>0</v>
      </c>
      <c r="Q1126" s="42">
        <f>VLOOKUP($A1126,'Neraca Unaudited SIMAK'!$A$2:$R$1272,16,FALSE)+IF(ISNA(VLOOKUP($A1126,'Mutasi Neraca'!$A$3:$S$910,16,FALSE)),0,VLOOKUP($A1126,'Mutasi Neraca'!$A$3:$S$910,16,FALSE))</f>
        <v>0</v>
      </c>
      <c r="R1126" s="42">
        <f>VLOOKUP($A1126,'Neraca Unaudited SIMAK'!$A$2:$R$1272,17,FALSE)+IF(ISNA(VLOOKUP($A1126,'Mutasi Neraca'!$A$3:$S$910,17,FALSE)),0,VLOOKUP($A1126,'Mutasi Neraca'!$A$3:$S$910,17,FALSE))</f>
        <v>0</v>
      </c>
      <c r="S1126" s="42">
        <f t="shared" si="77"/>
        <v>1230000</v>
      </c>
    </row>
    <row r="1127" spans="1:19">
      <c r="A1127" s="41" t="s">
        <v>1064</v>
      </c>
      <c r="B1127" s="41" t="str">
        <f t="shared" si="76"/>
        <v>005032300</v>
      </c>
      <c r="D1127" s="42">
        <f>VLOOKUP($A1127,'Neraca Unaudited SIMAK'!$A$2:$R$1272,3,FALSE)+IF(ISNA(VLOOKUP($A1127,'Mutasi Neraca'!$A$3:$S$910,3,FALSE)),0,VLOOKUP($A1127,'Mutasi Neraca'!$A$3:$S$910,3,FALSE))</f>
        <v>2532500</v>
      </c>
      <c r="E1127" s="42">
        <f>VLOOKUP($A1127,'Neraca Unaudited SIMAK'!$A$2:$R$1272,4,FALSE)+IF(ISNA(VLOOKUP($A1127,'Mutasi Neraca'!$A$3:$S$910,4,FALSE)),0,VLOOKUP($A1127,'Mutasi Neraca'!$A$3:$S$910,4,FALSE))</f>
        <v>0</v>
      </c>
      <c r="F1127" s="42">
        <f>VLOOKUP($A1127,'Neraca Unaudited SIMAK'!$A$2:$R$1272,5,FALSE)+IF(ISNA(VLOOKUP($A1127,'Mutasi Neraca'!$A$3:$S$910,5,FALSE)),0,VLOOKUP($A1127,'Mutasi Neraca'!$A$3:$S$910,5,FALSE))</f>
        <v>0</v>
      </c>
      <c r="G1127" s="42">
        <f>VLOOKUP($A1127,'Neraca Unaudited SIMAK'!$A$2:$R$1272,6,FALSE)+IF(ISNA(VLOOKUP($A1127,'Mutasi Neraca'!$A$3:$S$910,6,FALSE)),0,VLOOKUP($A1127,'Mutasi Neraca'!$A$3:$S$910,6,FALSE))</f>
        <v>0</v>
      </c>
      <c r="H1127" s="42">
        <f>VLOOKUP($A1127,'Neraca Unaudited SIMAK'!$A$2:$R$1272,7,FALSE)+IF(ISNA(VLOOKUP($A1127,'Mutasi Neraca'!$A$3:$S$910,7,FALSE)),0,VLOOKUP($A1127,'Mutasi Neraca'!$A$3:$S$910,7,FALSE))</f>
        <v>0</v>
      </c>
      <c r="I1127" s="42">
        <f>VLOOKUP($A1127,'Neraca Unaudited SIMAK'!$A$2:$R$1272,8,FALSE)+IF(ISNA(VLOOKUP($A1127,'Mutasi Neraca'!$A$3:$S$910,8,FALSE)),0,VLOOKUP($A1127,'Mutasi Neraca'!$A$3:$S$910,8,FALSE))</f>
        <v>0</v>
      </c>
      <c r="J1127" s="42">
        <f>VLOOKUP($A1127,'Neraca Unaudited SIMAK'!$A$2:$R$1272,9,FALSE)+IF(ISNA(VLOOKUP($A1127,'Mutasi Neraca'!$A$3:$S$910,9,FALSE)),0,VLOOKUP($A1127,'Mutasi Neraca'!$A$3:$S$910,9,FALSE))</f>
        <v>0</v>
      </c>
      <c r="K1127" s="42">
        <f>VLOOKUP($A1127,'Neraca Unaudited SIMAK'!$A$2:$R$1272,10,FALSE)+IF(ISNA(VLOOKUP($A1127,'Mutasi Neraca'!$A$3:$S$910,10,FALSE)),0,VLOOKUP($A1127,'Mutasi Neraca'!$A$3:$S$910,10,FALSE))</f>
        <v>0</v>
      </c>
      <c r="L1127" s="42">
        <f>VLOOKUP($A1127,'Neraca Unaudited SIMAK'!$A$2:$R$1272,11,FALSE)+IF(ISNA(VLOOKUP($A1127,'Mutasi Neraca'!$A$3:$S$910,11,FALSE)),0,VLOOKUP($A1127,'Mutasi Neraca'!$A$3:$S$910,11,FALSE))</f>
        <v>0</v>
      </c>
      <c r="M1127" s="42">
        <f>VLOOKUP($A1127,'Neraca Unaudited SIMAK'!$A$2:$R$1272,12,FALSE)+IF(ISNA(VLOOKUP($A1127,'Mutasi Neraca'!$A$3:$S$910,12,FALSE)),0,VLOOKUP($A1127,'Mutasi Neraca'!$A$3:$S$910,12,FALSE))</f>
        <v>2532500</v>
      </c>
      <c r="N1127" s="42">
        <f>VLOOKUP($A1127,'Neraca Unaudited SIMAK'!$A$2:$R$1272,13,FALSE)+IF(ISNA(VLOOKUP($A1127,'Mutasi Neraca'!$A$3:$S$910,13,FALSE)),0,VLOOKUP($A1127,'Mutasi Neraca'!$A$3:$S$910,13,FALSE))</f>
        <v>0</v>
      </c>
      <c r="O1127" s="42">
        <f>VLOOKUP($A1127,'Neraca Unaudited SIMAK'!$A$2:$R$1272,14,FALSE)+IF(ISNA(VLOOKUP($A1127,'Mutasi Neraca'!$A$3:$S$910,14,FALSE)),0,VLOOKUP($A1127,'Mutasi Neraca'!$A$3:$S$910,14,FALSE))</f>
        <v>0</v>
      </c>
      <c r="P1127" s="42">
        <f>VLOOKUP($A1127,'Neraca Unaudited SIMAK'!$A$2:$R$1272,15,FALSE)+IF(ISNA(VLOOKUP($A1127,'Mutasi Neraca'!$A$3:$S$910,15,FALSE)),0,VLOOKUP($A1127,'Mutasi Neraca'!$A$3:$S$910,15,FALSE))</f>
        <v>0</v>
      </c>
      <c r="Q1127" s="42">
        <f>VLOOKUP($A1127,'Neraca Unaudited SIMAK'!$A$2:$R$1272,16,FALSE)+IF(ISNA(VLOOKUP($A1127,'Mutasi Neraca'!$A$3:$S$910,16,FALSE)),0,VLOOKUP($A1127,'Mutasi Neraca'!$A$3:$S$910,16,FALSE))</f>
        <v>0</v>
      </c>
      <c r="R1127" s="42">
        <f>VLOOKUP($A1127,'Neraca Unaudited SIMAK'!$A$2:$R$1272,17,FALSE)+IF(ISNA(VLOOKUP($A1127,'Mutasi Neraca'!$A$3:$S$910,17,FALSE)),0,VLOOKUP($A1127,'Mutasi Neraca'!$A$3:$S$910,17,FALSE))</f>
        <v>0</v>
      </c>
      <c r="S1127" s="42">
        <f t="shared" si="77"/>
        <v>2532500</v>
      </c>
    </row>
    <row r="1128" spans="1:19">
      <c r="A1128" s="41" t="s">
        <v>1065</v>
      </c>
      <c r="B1128" s="41" t="str">
        <f t="shared" si="76"/>
        <v>005032300</v>
      </c>
      <c r="D1128" s="42">
        <f>VLOOKUP($A1128,'Neraca Unaudited SIMAK'!$A$2:$R$1272,3,FALSE)+IF(ISNA(VLOOKUP($A1128,'Mutasi Neraca'!$A$3:$S$910,3,FALSE)),0,VLOOKUP($A1128,'Mutasi Neraca'!$A$3:$S$910,3,FALSE))</f>
        <v>4788443</v>
      </c>
      <c r="E1128" s="42">
        <f>VLOOKUP($A1128,'Neraca Unaudited SIMAK'!$A$2:$R$1272,4,FALSE)+IF(ISNA(VLOOKUP($A1128,'Mutasi Neraca'!$A$3:$S$910,4,FALSE)),0,VLOOKUP($A1128,'Mutasi Neraca'!$A$3:$S$910,4,FALSE))</f>
        <v>0</v>
      </c>
      <c r="F1128" s="42">
        <f>VLOOKUP($A1128,'Neraca Unaudited SIMAK'!$A$2:$R$1272,5,FALSE)+IF(ISNA(VLOOKUP($A1128,'Mutasi Neraca'!$A$3:$S$910,5,FALSE)),0,VLOOKUP($A1128,'Mutasi Neraca'!$A$3:$S$910,5,FALSE))</f>
        <v>0</v>
      </c>
      <c r="G1128" s="42">
        <f>VLOOKUP($A1128,'Neraca Unaudited SIMAK'!$A$2:$R$1272,6,FALSE)+IF(ISNA(VLOOKUP($A1128,'Mutasi Neraca'!$A$3:$S$910,6,FALSE)),0,VLOOKUP($A1128,'Mutasi Neraca'!$A$3:$S$910,6,FALSE))</f>
        <v>0</v>
      </c>
      <c r="H1128" s="42">
        <f>VLOOKUP($A1128,'Neraca Unaudited SIMAK'!$A$2:$R$1272,7,FALSE)+IF(ISNA(VLOOKUP($A1128,'Mutasi Neraca'!$A$3:$S$910,7,FALSE)),0,VLOOKUP($A1128,'Mutasi Neraca'!$A$3:$S$910,7,FALSE))</f>
        <v>0</v>
      </c>
      <c r="I1128" s="42">
        <f>VLOOKUP($A1128,'Neraca Unaudited SIMAK'!$A$2:$R$1272,8,FALSE)+IF(ISNA(VLOOKUP($A1128,'Mutasi Neraca'!$A$3:$S$910,8,FALSE)),0,VLOOKUP($A1128,'Mutasi Neraca'!$A$3:$S$910,8,FALSE))</f>
        <v>0</v>
      </c>
      <c r="J1128" s="42">
        <f>VLOOKUP($A1128,'Neraca Unaudited SIMAK'!$A$2:$R$1272,9,FALSE)+IF(ISNA(VLOOKUP($A1128,'Mutasi Neraca'!$A$3:$S$910,9,FALSE)),0,VLOOKUP($A1128,'Mutasi Neraca'!$A$3:$S$910,9,FALSE))</f>
        <v>0</v>
      </c>
      <c r="K1128" s="42">
        <f>VLOOKUP($A1128,'Neraca Unaudited SIMAK'!$A$2:$R$1272,10,FALSE)+IF(ISNA(VLOOKUP($A1128,'Mutasi Neraca'!$A$3:$S$910,10,FALSE)),0,VLOOKUP($A1128,'Mutasi Neraca'!$A$3:$S$910,10,FALSE))</f>
        <v>0</v>
      </c>
      <c r="L1128" s="42">
        <f>VLOOKUP($A1128,'Neraca Unaudited SIMAK'!$A$2:$R$1272,11,FALSE)+IF(ISNA(VLOOKUP($A1128,'Mutasi Neraca'!$A$3:$S$910,11,FALSE)),0,VLOOKUP($A1128,'Mutasi Neraca'!$A$3:$S$910,11,FALSE))</f>
        <v>0</v>
      </c>
      <c r="M1128" s="42">
        <f>VLOOKUP($A1128,'Neraca Unaudited SIMAK'!$A$2:$R$1272,12,FALSE)+IF(ISNA(VLOOKUP($A1128,'Mutasi Neraca'!$A$3:$S$910,12,FALSE)),0,VLOOKUP($A1128,'Mutasi Neraca'!$A$3:$S$910,12,FALSE))</f>
        <v>4788443</v>
      </c>
      <c r="N1128" s="42">
        <f>VLOOKUP($A1128,'Neraca Unaudited SIMAK'!$A$2:$R$1272,13,FALSE)+IF(ISNA(VLOOKUP($A1128,'Mutasi Neraca'!$A$3:$S$910,13,FALSE)),0,VLOOKUP($A1128,'Mutasi Neraca'!$A$3:$S$910,13,FALSE))</f>
        <v>0</v>
      </c>
      <c r="O1128" s="42">
        <f>VLOOKUP($A1128,'Neraca Unaudited SIMAK'!$A$2:$R$1272,14,FALSE)+IF(ISNA(VLOOKUP($A1128,'Mutasi Neraca'!$A$3:$S$910,14,FALSE)),0,VLOOKUP($A1128,'Mutasi Neraca'!$A$3:$S$910,14,FALSE))</f>
        <v>0</v>
      </c>
      <c r="P1128" s="42">
        <f>VLOOKUP($A1128,'Neraca Unaudited SIMAK'!$A$2:$R$1272,15,FALSE)+IF(ISNA(VLOOKUP($A1128,'Mutasi Neraca'!$A$3:$S$910,15,FALSE)),0,VLOOKUP($A1128,'Mutasi Neraca'!$A$3:$S$910,15,FALSE))</f>
        <v>0</v>
      </c>
      <c r="Q1128" s="42">
        <f>VLOOKUP($A1128,'Neraca Unaudited SIMAK'!$A$2:$R$1272,16,FALSE)+IF(ISNA(VLOOKUP($A1128,'Mutasi Neraca'!$A$3:$S$910,16,FALSE)),0,VLOOKUP($A1128,'Mutasi Neraca'!$A$3:$S$910,16,FALSE))</f>
        <v>0</v>
      </c>
      <c r="R1128" s="42">
        <f>VLOOKUP($A1128,'Neraca Unaudited SIMAK'!$A$2:$R$1272,17,FALSE)+IF(ISNA(VLOOKUP($A1128,'Mutasi Neraca'!$A$3:$S$910,17,FALSE)),0,VLOOKUP($A1128,'Mutasi Neraca'!$A$3:$S$910,17,FALSE))</f>
        <v>0</v>
      </c>
      <c r="S1128" s="42">
        <f t="shared" si="77"/>
        <v>4788443</v>
      </c>
    </row>
    <row r="1129" spans="1:19">
      <c r="A1129" s="41" t="s">
        <v>1066</v>
      </c>
      <c r="B1129" s="41" t="str">
        <f t="shared" si="76"/>
        <v>005032300</v>
      </c>
      <c r="D1129" s="42">
        <f>VLOOKUP($A1129,'Neraca Unaudited SIMAK'!$A$2:$R$1272,3,FALSE)+IF(ISNA(VLOOKUP($A1129,'Mutasi Neraca'!$A$3:$S$910,3,FALSE)),0,VLOOKUP($A1129,'Mutasi Neraca'!$A$3:$S$910,3,FALSE))</f>
        <v>11084500</v>
      </c>
      <c r="E1129" s="42">
        <f>VLOOKUP($A1129,'Neraca Unaudited SIMAK'!$A$2:$R$1272,4,FALSE)+IF(ISNA(VLOOKUP($A1129,'Mutasi Neraca'!$A$3:$S$910,4,FALSE)),0,VLOOKUP($A1129,'Mutasi Neraca'!$A$3:$S$910,4,FALSE))</f>
        <v>0</v>
      </c>
      <c r="F1129" s="42">
        <f>VLOOKUP($A1129,'Neraca Unaudited SIMAK'!$A$2:$R$1272,5,FALSE)+IF(ISNA(VLOOKUP($A1129,'Mutasi Neraca'!$A$3:$S$910,5,FALSE)),0,VLOOKUP($A1129,'Mutasi Neraca'!$A$3:$S$910,5,FALSE))</f>
        <v>0</v>
      </c>
      <c r="G1129" s="42">
        <f>VLOOKUP($A1129,'Neraca Unaudited SIMAK'!$A$2:$R$1272,6,FALSE)+IF(ISNA(VLOOKUP($A1129,'Mutasi Neraca'!$A$3:$S$910,6,FALSE)),0,VLOOKUP($A1129,'Mutasi Neraca'!$A$3:$S$910,6,FALSE))</f>
        <v>0</v>
      </c>
      <c r="H1129" s="42">
        <f>VLOOKUP($A1129,'Neraca Unaudited SIMAK'!$A$2:$R$1272,7,FALSE)+IF(ISNA(VLOOKUP($A1129,'Mutasi Neraca'!$A$3:$S$910,7,FALSE)),0,VLOOKUP($A1129,'Mutasi Neraca'!$A$3:$S$910,7,FALSE))</f>
        <v>0</v>
      </c>
      <c r="I1129" s="42">
        <f>VLOOKUP($A1129,'Neraca Unaudited SIMAK'!$A$2:$R$1272,8,FALSE)+IF(ISNA(VLOOKUP($A1129,'Mutasi Neraca'!$A$3:$S$910,8,FALSE)),0,VLOOKUP($A1129,'Mutasi Neraca'!$A$3:$S$910,8,FALSE))</f>
        <v>0</v>
      </c>
      <c r="J1129" s="42">
        <f>VLOOKUP($A1129,'Neraca Unaudited SIMAK'!$A$2:$R$1272,9,FALSE)+IF(ISNA(VLOOKUP($A1129,'Mutasi Neraca'!$A$3:$S$910,9,FALSE)),0,VLOOKUP($A1129,'Mutasi Neraca'!$A$3:$S$910,9,FALSE))</f>
        <v>0</v>
      </c>
      <c r="K1129" s="42">
        <f>VLOOKUP($A1129,'Neraca Unaudited SIMAK'!$A$2:$R$1272,10,FALSE)+IF(ISNA(VLOOKUP($A1129,'Mutasi Neraca'!$A$3:$S$910,10,FALSE)),0,VLOOKUP($A1129,'Mutasi Neraca'!$A$3:$S$910,10,FALSE))</f>
        <v>0</v>
      </c>
      <c r="L1129" s="42">
        <f>VLOOKUP($A1129,'Neraca Unaudited SIMAK'!$A$2:$R$1272,11,FALSE)+IF(ISNA(VLOOKUP($A1129,'Mutasi Neraca'!$A$3:$S$910,11,FALSE)),0,VLOOKUP($A1129,'Mutasi Neraca'!$A$3:$S$910,11,FALSE))</f>
        <v>0</v>
      </c>
      <c r="M1129" s="42">
        <f>VLOOKUP($A1129,'Neraca Unaudited SIMAK'!$A$2:$R$1272,12,FALSE)+IF(ISNA(VLOOKUP($A1129,'Mutasi Neraca'!$A$3:$S$910,12,FALSE)),0,VLOOKUP($A1129,'Mutasi Neraca'!$A$3:$S$910,12,FALSE))</f>
        <v>11084500</v>
      </c>
      <c r="N1129" s="42">
        <f>VLOOKUP($A1129,'Neraca Unaudited SIMAK'!$A$2:$R$1272,13,FALSE)+IF(ISNA(VLOOKUP($A1129,'Mutasi Neraca'!$A$3:$S$910,13,FALSE)),0,VLOOKUP($A1129,'Mutasi Neraca'!$A$3:$S$910,13,FALSE))</f>
        <v>0</v>
      </c>
      <c r="O1129" s="42">
        <f>VLOOKUP($A1129,'Neraca Unaudited SIMAK'!$A$2:$R$1272,14,FALSE)+IF(ISNA(VLOOKUP($A1129,'Mutasi Neraca'!$A$3:$S$910,14,FALSE)),0,VLOOKUP($A1129,'Mutasi Neraca'!$A$3:$S$910,14,FALSE))</f>
        <v>0</v>
      </c>
      <c r="P1129" s="42">
        <f>VLOOKUP($A1129,'Neraca Unaudited SIMAK'!$A$2:$R$1272,15,FALSE)+IF(ISNA(VLOOKUP($A1129,'Mutasi Neraca'!$A$3:$S$910,15,FALSE)),0,VLOOKUP($A1129,'Mutasi Neraca'!$A$3:$S$910,15,FALSE))</f>
        <v>0</v>
      </c>
      <c r="Q1129" s="42">
        <f>VLOOKUP($A1129,'Neraca Unaudited SIMAK'!$A$2:$R$1272,16,FALSE)+IF(ISNA(VLOOKUP($A1129,'Mutasi Neraca'!$A$3:$S$910,16,FALSE)),0,VLOOKUP($A1129,'Mutasi Neraca'!$A$3:$S$910,16,FALSE))</f>
        <v>0</v>
      </c>
      <c r="R1129" s="42">
        <f>VLOOKUP($A1129,'Neraca Unaudited SIMAK'!$A$2:$R$1272,17,FALSE)+IF(ISNA(VLOOKUP($A1129,'Mutasi Neraca'!$A$3:$S$910,17,FALSE)),0,VLOOKUP($A1129,'Mutasi Neraca'!$A$3:$S$910,17,FALSE))</f>
        <v>0</v>
      </c>
      <c r="S1129" s="42">
        <f t="shared" si="77"/>
        <v>11084500</v>
      </c>
    </row>
    <row r="1130" spans="1:19">
      <c r="A1130" s="41" t="s">
        <v>1067</v>
      </c>
      <c r="B1130" s="41" t="str">
        <f t="shared" si="76"/>
        <v>005032300</v>
      </c>
      <c r="D1130" s="42">
        <f>VLOOKUP($A1130,'Neraca Unaudited SIMAK'!$A$2:$R$1272,3,FALSE)+IF(ISNA(VLOOKUP($A1130,'Mutasi Neraca'!$A$3:$S$910,3,FALSE)),0,VLOOKUP($A1130,'Mutasi Neraca'!$A$3:$S$910,3,FALSE))</f>
        <v>1931000</v>
      </c>
      <c r="E1130" s="42">
        <f>VLOOKUP($A1130,'Neraca Unaudited SIMAK'!$A$2:$R$1272,4,FALSE)+IF(ISNA(VLOOKUP($A1130,'Mutasi Neraca'!$A$3:$S$910,4,FALSE)),0,VLOOKUP($A1130,'Mutasi Neraca'!$A$3:$S$910,4,FALSE))</f>
        <v>0</v>
      </c>
      <c r="F1130" s="42">
        <f>VLOOKUP($A1130,'Neraca Unaudited SIMAK'!$A$2:$R$1272,5,FALSE)+IF(ISNA(VLOOKUP($A1130,'Mutasi Neraca'!$A$3:$S$910,5,FALSE)),0,VLOOKUP($A1130,'Mutasi Neraca'!$A$3:$S$910,5,FALSE))</f>
        <v>0</v>
      </c>
      <c r="G1130" s="42">
        <f>VLOOKUP($A1130,'Neraca Unaudited SIMAK'!$A$2:$R$1272,6,FALSE)+IF(ISNA(VLOOKUP($A1130,'Mutasi Neraca'!$A$3:$S$910,6,FALSE)),0,VLOOKUP($A1130,'Mutasi Neraca'!$A$3:$S$910,6,FALSE))</f>
        <v>0</v>
      </c>
      <c r="H1130" s="42">
        <f>VLOOKUP($A1130,'Neraca Unaudited SIMAK'!$A$2:$R$1272,7,FALSE)+IF(ISNA(VLOOKUP($A1130,'Mutasi Neraca'!$A$3:$S$910,7,FALSE)),0,VLOOKUP($A1130,'Mutasi Neraca'!$A$3:$S$910,7,FALSE))</f>
        <v>0</v>
      </c>
      <c r="I1130" s="42">
        <f>VLOOKUP($A1130,'Neraca Unaudited SIMAK'!$A$2:$R$1272,8,FALSE)+IF(ISNA(VLOOKUP($A1130,'Mutasi Neraca'!$A$3:$S$910,8,FALSE)),0,VLOOKUP($A1130,'Mutasi Neraca'!$A$3:$S$910,8,FALSE))</f>
        <v>0</v>
      </c>
      <c r="J1130" s="42">
        <f>VLOOKUP($A1130,'Neraca Unaudited SIMAK'!$A$2:$R$1272,9,FALSE)+IF(ISNA(VLOOKUP($A1130,'Mutasi Neraca'!$A$3:$S$910,9,FALSE)),0,VLOOKUP($A1130,'Mutasi Neraca'!$A$3:$S$910,9,FALSE))</f>
        <v>0</v>
      </c>
      <c r="K1130" s="42">
        <f>VLOOKUP($A1130,'Neraca Unaudited SIMAK'!$A$2:$R$1272,10,FALSE)+IF(ISNA(VLOOKUP($A1130,'Mutasi Neraca'!$A$3:$S$910,10,FALSE)),0,VLOOKUP($A1130,'Mutasi Neraca'!$A$3:$S$910,10,FALSE))</f>
        <v>0</v>
      </c>
      <c r="L1130" s="42">
        <f>VLOOKUP($A1130,'Neraca Unaudited SIMAK'!$A$2:$R$1272,11,FALSE)+IF(ISNA(VLOOKUP($A1130,'Mutasi Neraca'!$A$3:$S$910,11,FALSE)),0,VLOOKUP($A1130,'Mutasi Neraca'!$A$3:$S$910,11,FALSE))</f>
        <v>0</v>
      </c>
      <c r="M1130" s="42">
        <f>VLOOKUP($A1130,'Neraca Unaudited SIMAK'!$A$2:$R$1272,12,FALSE)+IF(ISNA(VLOOKUP($A1130,'Mutasi Neraca'!$A$3:$S$910,12,FALSE)),0,VLOOKUP($A1130,'Mutasi Neraca'!$A$3:$S$910,12,FALSE))</f>
        <v>1931000</v>
      </c>
      <c r="N1130" s="42">
        <f>VLOOKUP($A1130,'Neraca Unaudited SIMAK'!$A$2:$R$1272,13,FALSE)+IF(ISNA(VLOOKUP($A1130,'Mutasi Neraca'!$A$3:$S$910,13,FALSE)),0,VLOOKUP($A1130,'Mutasi Neraca'!$A$3:$S$910,13,FALSE))</f>
        <v>0</v>
      </c>
      <c r="O1130" s="42">
        <f>VLOOKUP($A1130,'Neraca Unaudited SIMAK'!$A$2:$R$1272,14,FALSE)+IF(ISNA(VLOOKUP($A1130,'Mutasi Neraca'!$A$3:$S$910,14,FALSE)),0,VLOOKUP($A1130,'Mutasi Neraca'!$A$3:$S$910,14,FALSE))</f>
        <v>0</v>
      </c>
      <c r="P1130" s="42">
        <f>VLOOKUP($A1130,'Neraca Unaudited SIMAK'!$A$2:$R$1272,15,FALSE)+IF(ISNA(VLOOKUP($A1130,'Mutasi Neraca'!$A$3:$S$910,15,FALSE)),0,VLOOKUP($A1130,'Mutasi Neraca'!$A$3:$S$910,15,FALSE))</f>
        <v>0</v>
      </c>
      <c r="Q1130" s="42">
        <f>VLOOKUP($A1130,'Neraca Unaudited SIMAK'!$A$2:$R$1272,16,FALSE)+IF(ISNA(VLOOKUP($A1130,'Mutasi Neraca'!$A$3:$S$910,16,FALSE)),0,VLOOKUP($A1130,'Mutasi Neraca'!$A$3:$S$910,16,FALSE))</f>
        <v>0</v>
      </c>
      <c r="R1130" s="42">
        <f>VLOOKUP($A1130,'Neraca Unaudited SIMAK'!$A$2:$R$1272,17,FALSE)+IF(ISNA(VLOOKUP($A1130,'Mutasi Neraca'!$A$3:$S$910,17,FALSE)),0,VLOOKUP($A1130,'Mutasi Neraca'!$A$3:$S$910,17,FALSE))</f>
        <v>0</v>
      </c>
      <c r="S1130" s="42">
        <f t="shared" si="77"/>
        <v>1931000</v>
      </c>
    </row>
    <row r="1131" spans="1:19">
      <c r="A1131" s="41" t="s">
        <v>1068</v>
      </c>
      <c r="B1131" s="41" t="str">
        <f t="shared" si="76"/>
        <v>005032300</v>
      </c>
      <c r="D1131" s="42">
        <f>VLOOKUP($A1131,'Neraca Unaudited SIMAK'!$A$2:$R$1272,3,FALSE)+IF(ISNA(VLOOKUP($A1131,'Mutasi Neraca'!$A$3:$S$910,3,FALSE)),0,VLOOKUP($A1131,'Mutasi Neraca'!$A$3:$S$910,3,FALSE))</f>
        <v>1810500</v>
      </c>
      <c r="E1131" s="42">
        <f>VLOOKUP($A1131,'Neraca Unaudited SIMAK'!$A$2:$R$1272,4,FALSE)+IF(ISNA(VLOOKUP($A1131,'Mutasi Neraca'!$A$3:$S$910,4,FALSE)),0,VLOOKUP($A1131,'Mutasi Neraca'!$A$3:$S$910,4,FALSE))</f>
        <v>0</v>
      </c>
      <c r="F1131" s="42">
        <f>VLOOKUP($A1131,'Neraca Unaudited SIMAK'!$A$2:$R$1272,5,FALSE)+IF(ISNA(VLOOKUP($A1131,'Mutasi Neraca'!$A$3:$S$910,5,FALSE)),0,VLOOKUP($A1131,'Mutasi Neraca'!$A$3:$S$910,5,FALSE))</f>
        <v>0</v>
      </c>
      <c r="G1131" s="42">
        <f>VLOOKUP($A1131,'Neraca Unaudited SIMAK'!$A$2:$R$1272,6,FALSE)+IF(ISNA(VLOOKUP($A1131,'Mutasi Neraca'!$A$3:$S$910,6,FALSE)),0,VLOOKUP($A1131,'Mutasi Neraca'!$A$3:$S$910,6,FALSE))</f>
        <v>0</v>
      </c>
      <c r="H1131" s="42">
        <f>VLOOKUP($A1131,'Neraca Unaudited SIMAK'!$A$2:$R$1272,7,FALSE)+IF(ISNA(VLOOKUP($A1131,'Mutasi Neraca'!$A$3:$S$910,7,FALSE)),0,VLOOKUP($A1131,'Mutasi Neraca'!$A$3:$S$910,7,FALSE))</f>
        <v>0</v>
      </c>
      <c r="I1131" s="42">
        <f>VLOOKUP($A1131,'Neraca Unaudited SIMAK'!$A$2:$R$1272,8,FALSE)+IF(ISNA(VLOOKUP($A1131,'Mutasi Neraca'!$A$3:$S$910,8,FALSE)),0,VLOOKUP($A1131,'Mutasi Neraca'!$A$3:$S$910,8,FALSE))</f>
        <v>0</v>
      </c>
      <c r="J1131" s="42">
        <f>VLOOKUP($A1131,'Neraca Unaudited SIMAK'!$A$2:$R$1272,9,FALSE)+IF(ISNA(VLOOKUP($A1131,'Mutasi Neraca'!$A$3:$S$910,9,FALSE)),0,VLOOKUP($A1131,'Mutasi Neraca'!$A$3:$S$910,9,FALSE))</f>
        <v>0</v>
      </c>
      <c r="K1131" s="42">
        <f>VLOOKUP($A1131,'Neraca Unaudited SIMAK'!$A$2:$R$1272,10,FALSE)+IF(ISNA(VLOOKUP($A1131,'Mutasi Neraca'!$A$3:$S$910,10,FALSE)),0,VLOOKUP($A1131,'Mutasi Neraca'!$A$3:$S$910,10,FALSE))</f>
        <v>0</v>
      </c>
      <c r="L1131" s="42">
        <f>VLOOKUP($A1131,'Neraca Unaudited SIMAK'!$A$2:$R$1272,11,FALSE)+IF(ISNA(VLOOKUP($A1131,'Mutasi Neraca'!$A$3:$S$910,11,FALSE)),0,VLOOKUP($A1131,'Mutasi Neraca'!$A$3:$S$910,11,FALSE))</f>
        <v>0</v>
      </c>
      <c r="M1131" s="42">
        <f>VLOOKUP($A1131,'Neraca Unaudited SIMAK'!$A$2:$R$1272,12,FALSE)+IF(ISNA(VLOOKUP($A1131,'Mutasi Neraca'!$A$3:$S$910,12,FALSE)),0,VLOOKUP($A1131,'Mutasi Neraca'!$A$3:$S$910,12,FALSE))</f>
        <v>1810500</v>
      </c>
      <c r="N1131" s="42">
        <f>VLOOKUP($A1131,'Neraca Unaudited SIMAK'!$A$2:$R$1272,13,FALSE)+IF(ISNA(VLOOKUP($A1131,'Mutasi Neraca'!$A$3:$S$910,13,FALSE)),0,VLOOKUP($A1131,'Mutasi Neraca'!$A$3:$S$910,13,FALSE))</f>
        <v>0</v>
      </c>
      <c r="O1131" s="42">
        <f>VLOOKUP($A1131,'Neraca Unaudited SIMAK'!$A$2:$R$1272,14,FALSE)+IF(ISNA(VLOOKUP($A1131,'Mutasi Neraca'!$A$3:$S$910,14,FALSE)),0,VLOOKUP($A1131,'Mutasi Neraca'!$A$3:$S$910,14,FALSE))</f>
        <v>0</v>
      </c>
      <c r="P1131" s="42">
        <f>VLOOKUP($A1131,'Neraca Unaudited SIMAK'!$A$2:$R$1272,15,FALSE)+IF(ISNA(VLOOKUP($A1131,'Mutasi Neraca'!$A$3:$S$910,15,FALSE)),0,VLOOKUP($A1131,'Mutasi Neraca'!$A$3:$S$910,15,FALSE))</f>
        <v>0</v>
      </c>
      <c r="Q1131" s="42">
        <f>VLOOKUP($A1131,'Neraca Unaudited SIMAK'!$A$2:$R$1272,16,FALSE)+IF(ISNA(VLOOKUP($A1131,'Mutasi Neraca'!$A$3:$S$910,16,FALSE)),0,VLOOKUP($A1131,'Mutasi Neraca'!$A$3:$S$910,16,FALSE))</f>
        <v>0</v>
      </c>
      <c r="R1131" s="42">
        <f>VLOOKUP($A1131,'Neraca Unaudited SIMAK'!$A$2:$R$1272,17,FALSE)+IF(ISNA(VLOOKUP($A1131,'Mutasi Neraca'!$A$3:$S$910,17,FALSE)),0,VLOOKUP($A1131,'Mutasi Neraca'!$A$3:$S$910,17,FALSE))</f>
        <v>0</v>
      </c>
      <c r="S1131" s="42">
        <f t="shared" si="77"/>
        <v>1810500</v>
      </c>
    </row>
    <row r="1132" spans="1:19">
      <c r="A1132" s="41" t="s">
        <v>1069</v>
      </c>
      <c r="B1132" s="41" t="str">
        <f t="shared" si="76"/>
        <v>005032300</v>
      </c>
      <c r="D1132" s="42">
        <f>VLOOKUP($A1132,'Neraca Unaudited SIMAK'!$A$2:$R$1272,3,FALSE)+IF(ISNA(VLOOKUP($A1132,'Mutasi Neraca'!$A$3:$S$910,3,FALSE)),0,VLOOKUP($A1132,'Mutasi Neraca'!$A$3:$S$910,3,FALSE))</f>
        <v>1692810</v>
      </c>
      <c r="E1132" s="42">
        <f>VLOOKUP($A1132,'Neraca Unaudited SIMAK'!$A$2:$R$1272,4,FALSE)+IF(ISNA(VLOOKUP($A1132,'Mutasi Neraca'!$A$3:$S$910,4,FALSE)),0,VLOOKUP($A1132,'Mutasi Neraca'!$A$3:$S$910,4,FALSE))</f>
        <v>0</v>
      </c>
      <c r="F1132" s="42">
        <f>VLOOKUP($A1132,'Neraca Unaudited SIMAK'!$A$2:$R$1272,5,FALSE)+IF(ISNA(VLOOKUP($A1132,'Mutasi Neraca'!$A$3:$S$910,5,FALSE)),0,VLOOKUP($A1132,'Mutasi Neraca'!$A$3:$S$910,5,FALSE))</f>
        <v>0</v>
      </c>
      <c r="G1132" s="42">
        <f>VLOOKUP($A1132,'Neraca Unaudited SIMAK'!$A$2:$R$1272,6,FALSE)+IF(ISNA(VLOOKUP($A1132,'Mutasi Neraca'!$A$3:$S$910,6,FALSE)),0,VLOOKUP($A1132,'Mutasi Neraca'!$A$3:$S$910,6,FALSE))</f>
        <v>0</v>
      </c>
      <c r="H1132" s="42">
        <f>VLOOKUP($A1132,'Neraca Unaudited SIMAK'!$A$2:$R$1272,7,FALSE)+IF(ISNA(VLOOKUP($A1132,'Mutasi Neraca'!$A$3:$S$910,7,FALSE)),0,VLOOKUP($A1132,'Mutasi Neraca'!$A$3:$S$910,7,FALSE))</f>
        <v>0</v>
      </c>
      <c r="I1132" s="42">
        <f>VLOOKUP($A1132,'Neraca Unaudited SIMAK'!$A$2:$R$1272,8,FALSE)+IF(ISNA(VLOOKUP($A1132,'Mutasi Neraca'!$A$3:$S$910,8,FALSE)),0,VLOOKUP($A1132,'Mutasi Neraca'!$A$3:$S$910,8,FALSE))</f>
        <v>0</v>
      </c>
      <c r="J1132" s="42">
        <f>VLOOKUP($A1132,'Neraca Unaudited SIMAK'!$A$2:$R$1272,9,FALSE)+IF(ISNA(VLOOKUP($A1132,'Mutasi Neraca'!$A$3:$S$910,9,FALSE)),0,VLOOKUP($A1132,'Mutasi Neraca'!$A$3:$S$910,9,FALSE))</f>
        <v>0</v>
      </c>
      <c r="K1132" s="42">
        <f>VLOOKUP($A1132,'Neraca Unaudited SIMAK'!$A$2:$R$1272,10,FALSE)+IF(ISNA(VLOOKUP($A1132,'Mutasi Neraca'!$A$3:$S$910,10,FALSE)),0,VLOOKUP($A1132,'Mutasi Neraca'!$A$3:$S$910,10,FALSE))</f>
        <v>0</v>
      </c>
      <c r="L1132" s="42">
        <f>VLOOKUP($A1132,'Neraca Unaudited SIMAK'!$A$2:$R$1272,11,FALSE)+IF(ISNA(VLOOKUP($A1132,'Mutasi Neraca'!$A$3:$S$910,11,FALSE)),0,VLOOKUP($A1132,'Mutasi Neraca'!$A$3:$S$910,11,FALSE))</f>
        <v>0</v>
      </c>
      <c r="M1132" s="42">
        <f>VLOOKUP($A1132,'Neraca Unaudited SIMAK'!$A$2:$R$1272,12,FALSE)+IF(ISNA(VLOOKUP($A1132,'Mutasi Neraca'!$A$3:$S$910,12,FALSE)),0,VLOOKUP($A1132,'Mutasi Neraca'!$A$3:$S$910,12,FALSE))</f>
        <v>1692810</v>
      </c>
      <c r="N1132" s="42">
        <f>VLOOKUP($A1132,'Neraca Unaudited SIMAK'!$A$2:$R$1272,13,FALSE)+IF(ISNA(VLOOKUP($A1132,'Mutasi Neraca'!$A$3:$S$910,13,FALSE)),0,VLOOKUP($A1132,'Mutasi Neraca'!$A$3:$S$910,13,FALSE))</f>
        <v>0</v>
      </c>
      <c r="O1132" s="42">
        <f>VLOOKUP($A1132,'Neraca Unaudited SIMAK'!$A$2:$R$1272,14,FALSE)+IF(ISNA(VLOOKUP($A1132,'Mutasi Neraca'!$A$3:$S$910,14,FALSE)),0,VLOOKUP($A1132,'Mutasi Neraca'!$A$3:$S$910,14,FALSE))</f>
        <v>0</v>
      </c>
      <c r="P1132" s="42">
        <f>VLOOKUP($A1132,'Neraca Unaudited SIMAK'!$A$2:$R$1272,15,FALSE)+IF(ISNA(VLOOKUP($A1132,'Mutasi Neraca'!$A$3:$S$910,15,FALSE)),0,VLOOKUP($A1132,'Mutasi Neraca'!$A$3:$S$910,15,FALSE))</f>
        <v>0</v>
      </c>
      <c r="Q1132" s="42">
        <f>VLOOKUP($A1132,'Neraca Unaudited SIMAK'!$A$2:$R$1272,16,FALSE)+IF(ISNA(VLOOKUP($A1132,'Mutasi Neraca'!$A$3:$S$910,16,FALSE)),0,VLOOKUP($A1132,'Mutasi Neraca'!$A$3:$S$910,16,FALSE))</f>
        <v>0</v>
      </c>
      <c r="R1132" s="42">
        <f>VLOOKUP($A1132,'Neraca Unaudited SIMAK'!$A$2:$R$1272,17,FALSE)+IF(ISNA(VLOOKUP($A1132,'Mutasi Neraca'!$A$3:$S$910,17,FALSE)),0,VLOOKUP($A1132,'Mutasi Neraca'!$A$3:$S$910,17,FALSE))</f>
        <v>0</v>
      </c>
      <c r="S1132" s="42">
        <f t="shared" si="77"/>
        <v>1692810</v>
      </c>
    </row>
    <row r="1133" spans="1:19">
      <c r="A1133" s="41" t="s">
        <v>1070</v>
      </c>
      <c r="B1133" s="41" t="str">
        <f t="shared" si="76"/>
        <v>005032300</v>
      </c>
      <c r="D1133" s="42">
        <f>VLOOKUP($A1133,'Neraca Unaudited SIMAK'!$A$2:$R$1272,3,FALSE)+IF(ISNA(VLOOKUP($A1133,'Mutasi Neraca'!$A$3:$S$910,3,FALSE)),0,VLOOKUP($A1133,'Mutasi Neraca'!$A$3:$S$910,3,FALSE))</f>
        <v>18790844</v>
      </c>
      <c r="E1133" s="42">
        <f>VLOOKUP($A1133,'Neraca Unaudited SIMAK'!$A$2:$R$1272,4,FALSE)+IF(ISNA(VLOOKUP($A1133,'Mutasi Neraca'!$A$3:$S$910,4,FALSE)),0,VLOOKUP($A1133,'Mutasi Neraca'!$A$3:$S$910,4,FALSE))</f>
        <v>0</v>
      </c>
      <c r="F1133" s="42">
        <f>VLOOKUP($A1133,'Neraca Unaudited SIMAK'!$A$2:$R$1272,5,FALSE)+IF(ISNA(VLOOKUP($A1133,'Mutasi Neraca'!$A$3:$S$910,5,FALSE)),0,VLOOKUP($A1133,'Mutasi Neraca'!$A$3:$S$910,5,FALSE))</f>
        <v>0</v>
      </c>
      <c r="G1133" s="42">
        <f>VLOOKUP($A1133,'Neraca Unaudited SIMAK'!$A$2:$R$1272,6,FALSE)+IF(ISNA(VLOOKUP($A1133,'Mutasi Neraca'!$A$3:$S$910,6,FALSE)),0,VLOOKUP($A1133,'Mutasi Neraca'!$A$3:$S$910,6,FALSE))</f>
        <v>0</v>
      </c>
      <c r="H1133" s="42">
        <f>VLOOKUP($A1133,'Neraca Unaudited SIMAK'!$A$2:$R$1272,7,FALSE)+IF(ISNA(VLOOKUP($A1133,'Mutasi Neraca'!$A$3:$S$910,7,FALSE)),0,VLOOKUP($A1133,'Mutasi Neraca'!$A$3:$S$910,7,FALSE))</f>
        <v>0</v>
      </c>
      <c r="I1133" s="42">
        <f>VLOOKUP($A1133,'Neraca Unaudited SIMAK'!$A$2:$R$1272,8,FALSE)+IF(ISNA(VLOOKUP($A1133,'Mutasi Neraca'!$A$3:$S$910,8,FALSE)),0,VLOOKUP($A1133,'Mutasi Neraca'!$A$3:$S$910,8,FALSE))</f>
        <v>0</v>
      </c>
      <c r="J1133" s="42">
        <f>VLOOKUP($A1133,'Neraca Unaudited SIMAK'!$A$2:$R$1272,9,FALSE)+IF(ISNA(VLOOKUP($A1133,'Mutasi Neraca'!$A$3:$S$910,9,FALSE)),0,VLOOKUP($A1133,'Mutasi Neraca'!$A$3:$S$910,9,FALSE))</f>
        <v>0</v>
      </c>
      <c r="K1133" s="42">
        <f>VLOOKUP($A1133,'Neraca Unaudited SIMAK'!$A$2:$R$1272,10,FALSE)+IF(ISNA(VLOOKUP($A1133,'Mutasi Neraca'!$A$3:$S$910,10,FALSE)),0,VLOOKUP($A1133,'Mutasi Neraca'!$A$3:$S$910,10,FALSE))</f>
        <v>0</v>
      </c>
      <c r="L1133" s="42">
        <f>VLOOKUP($A1133,'Neraca Unaudited SIMAK'!$A$2:$R$1272,11,FALSE)+IF(ISNA(VLOOKUP($A1133,'Mutasi Neraca'!$A$3:$S$910,11,FALSE)),0,VLOOKUP($A1133,'Mutasi Neraca'!$A$3:$S$910,11,FALSE))</f>
        <v>0</v>
      </c>
      <c r="M1133" s="42">
        <f>VLOOKUP($A1133,'Neraca Unaudited SIMAK'!$A$2:$R$1272,12,FALSE)+IF(ISNA(VLOOKUP($A1133,'Mutasi Neraca'!$A$3:$S$910,12,FALSE)),0,VLOOKUP($A1133,'Mutasi Neraca'!$A$3:$S$910,12,FALSE))</f>
        <v>18790844</v>
      </c>
      <c r="N1133" s="42">
        <f>VLOOKUP($A1133,'Neraca Unaudited SIMAK'!$A$2:$R$1272,13,FALSE)+IF(ISNA(VLOOKUP($A1133,'Mutasi Neraca'!$A$3:$S$910,13,FALSE)),0,VLOOKUP($A1133,'Mutasi Neraca'!$A$3:$S$910,13,FALSE))</f>
        <v>0</v>
      </c>
      <c r="O1133" s="42">
        <f>VLOOKUP($A1133,'Neraca Unaudited SIMAK'!$A$2:$R$1272,14,FALSE)+IF(ISNA(VLOOKUP($A1133,'Mutasi Neraca'!$A$3:$S$910,14,FALSE)),0,VLOOKUP($A1133,'Mutasi Neraca'!$A$3:$S$910,14,FALSE))</f>
        <v>0</v>
      </c>
      <c r="P1133" s="42">
        <f>VLOOKUP($A1133,'Neraca Unaudited SIMAK'!$A$2:$R$1272,15,FALSE)+IF(ISNA(VLOOKUP($A1133,'Mutasi Neraca'!$A$3:$S$910,15,FALSE)),0,VLOOKUP($A1133,'Mutasi Neraca'!$A$3:$S$910,15,FALSE))</f>
        <v>0</v>
      </c>
      <c r="Q1133" s="42">
        <f>VLOOKUP($A1133,'Neraca Unaudited SIMAK'!$A$2:$R$1272,16,FALSE)+IF(ISNA(VLOOKUP($A1133,'Mutasi Neraca'!$A$3:$S$910,16,FALSE)),0,VLOOKUP($A1133,'Mutasi Neraca'!$A$3:$S$910,16,FALSE))</f>
        <v>0</v>
      </c>
      <c r="R1133" s="42">
        <f>VLOOKUP($A1133,'Neraca Unaudited SIMAK'!$A$2:$R$1272,17,FALSE)+IF(ISNA(VLOOKUP($A1133,'Mutasi Neraca'!$A$3:$S$910,17,FALSE)),0,VLOOKUP($A1133,'Mutasi Neraca'!$A$3:$S$910,17,FALSE))</f>
        <v>0</v>
      </c>
      <c r="S1133" s="42">
        <f t="shared" si="77"/>
        <v>18790844</v>
      </c>
    </row>
    <row r="1134" spans="1:19">
      <c r="A1134" s="41" t="s">
        <v>1071</v>
      </c>
      <c r="B1134" s="41" t="str">
        <f t="shared" si="76"/>
        <v>005032400</v>
      </c>
      <c r="D1134" s="42">
        <f>VLOOKUP($A1134,'Neraca Unaudited SIMAK'!$A$2:$R$1272,3,FALSE)+IF(ISNA(VLOOKUP($A1134,'Mutasi Neraca'!$A$3:$S$910,3,FALSE)),0,VLOOKUP($A1134,'Mutasi Neraca'!$A$3:$S$910,3,FALSE))</f>
        <v>0</v>
      </c>
      <c r="E1134" s="42">
        <f>VLOOKUP($A1134,'Neraca Unaudited SIMAK'!$A$2:$R$1272,4,FALSE)+IF(ISNA(VLOOKUP($A1134,'Mutasi Neraca'!$A$3:$S$910,4,FALSE)),0,VLOOKUP($A1134,'Mutasi Neraca'!$A$3:$S$910,4,FALSE))</f>
        <v>0</v>
      </c>
      <c r="F1134" s="42">
        <f>VLOOKUP($A1134,'Neraca Unaudited SIMAK'!$A$2:$R$1272,5,FALSE)+IF(ISNA(VLOOKUP($A1134,'Mutasi Neraca'!$A$3:$S$910,5,FALSE)),0,VLOOKUP($A1134,'Mutasi Neraca'!$A$3:$S$910,5,FALSE))</f>
        <v>0</v>
      </c>
      <c r="G1134" s="42">
        <f>VLOOKUP($A1134,'Neraca Unaudited SIMAK'!$A$2:$R$1272,6,FALSE)+IF(ISNA(VLOOKUP($A1134,'Mutasi Neraca'!$A$3:$S$910,6,FALSE)),0,VLOOKUP($A1134,'Mutasi Neraca'!$A$3:$S$910,6,FALSE))</f>
        <v>0</v>
      </c>
      <c r="H1134" s="42">
        <f>VLOOKUP($A1134,'Neraca Unaudited SIMAK'!$A$2:$R$1272,7,FALSE)+IF(ISNA(VLOOKUP($A1134,'Mutasi Neraca'!$A$3:$S$910,7,FALSE)),0,VLOOKUP($A1134,'Mutasi Neraca'!$A$3:$S$910,7,FALSE))</f>
        <v>0</v>
      </c>
      <c r="I1134" s="42">
        <f>VLOOKUP($A1134,'Neraca Unaudited SIMAK'!$A$2:$R$1272,8,FALSE)+IF(ISNA(VLOOKUP($A1134,'Mutasi Neraca'!$A$3:$S$910,8,FALSE)),0,VLOOKUP($A1134,'Mutasi Neraca'!$A$3:$S$910,8,FALSE))</f>
        <v>0</v>
      </c>
      <c r="J1134" s="42">
        <f>VLOOKUP($A1134,'Neraca Unaudited SIMAK'!$A$2:$R$1272,9,FALSE)+IF(ISNA(VLOOKUP($A1134,'Mutasi Neraca'!$A$3:$S$910,9,FALSE)),0,VLOOKUP($A1134,'Mutasi Neraca'!$A$3:$S$910,9,FALSE))</f>
        <v>0</v>
      </c>
      <c r="K1134" s="42">
        <f>VLOOKUP($A1134,'Neraca Unaudited SIMAK'!$A$2:$R$1272,10,FALSE)+IF(ISNA(VLOOKUP($A1134,'Mutasi Neraca'!$A$3:$S$910,10,FALSE)),0,VLOOKUP($A1134,'Mutasi Neraca'!$A$3:$S$910,10,FALSE))</f>
        <v>0</v>
      </c>
      <c r="L1134" s="42">
        <f>VLOOKUP($A1134,'Neraca Unaudited SIMAK'!$A$2:$R$1272,11,FALSE)+IF(ISNA(VLOOKUP($A1134,'Mutasi Neraca'!$A$3:$S$910,11,FALSE)),0,VLOOKUP($A1134,'Mutasi Neraca'!$A$3:$S$910,11,FALSE))</f>
        <v>0</v>
      </c>
      <c r="M1134" s="42">
        <f>VLOOKUP($A1134,'Neraca Unaudited SIMAK'!$A$2:$R$1272,12,FALSE)+IF(ISNA(VLOOKUP($A1134,'Mutasi Neraca'!$A$3:$S$910,12,FALSE)),0,VLOOKUP($A1134,'Mutasi Neraca'!$A$3:$S$910,12,FALSE))</f>
        <v>0</v>
      </c>
      <c r="N1134" s="42">
        <f>VLOOKUP($A1134,'Neraca Unaudited SIMAK'!$A$2:$R$1272,13,FALSE)+IF(ISNA(VLOOKUP($A1134,'Mutasi Neraca'!$A$3:$S$910,13,FALSE)),0,VLOOKUP($A1134,'Mutasi Neraca'!$A$3:$S$910,13,FALSE))</f>
        <v>0</v>
      </c>
      <c r="O1134" s="42">
        <f>VLOOKUP($A1134,'Neraca Unaudited SIMAK'!$A$2:$R$1272,14,FALSE)+IF(ISNA(VLOOKUP($A1134,'Mutasi Neraca'!$A$3:$S$910,14,FALSE)),0,VLOOKUP($A1134,'Mutasi Neraca'!$A$3:$S$910,14,FALSE))</f>
        <v>0</v>
      </c>
      <c r="P1134" s="42">
        <f>VLOOKUP($A1134,'Neraca Unaudited SIMAK'!$A$2:$R$1272,15,FALSE)+IF(ISNA(VLOOKUP($A1134,'Mutasi Neraca'!$A$3:$S$910,15,FALSE)),0,VLOOKUP($A1134,'Mutasi Neraca'!$A$3:$S$910,15,FALSE))</f>
        <v>0</v>
      </c>
      <c r="Q1134" s="42">
        <f>VLOOKUP($A1134,'Neraca Unaudited SIMAK'!$A$2:$R$1272,16,FALSE)+IF(ISNA(VLOOKUP($A1134,'Mutasi Neraca'!$A$3:$S$910,16,FALSE)),0,VLOOKUP($A1134,'Mutasi Neraca'!$A$3:$S$910,16,FALSE))</f>
        <v>0</v>
      </c>
      <c r="R1134" s="42">
        <f>VLOOKUP($A1134,'Neraca Unaudited SIMAK'!$A$2:$R$1272,17,FALSE)+IF(ISNA(VLOOKUP($A1134,'Mutasi Neraca'!$A$3:$S$910,17,FALSE)),0,VLOOKUP($A1134,'Mutasi Neraca'!$A$3:$S$910,17,FALSE))</f>
        <v>0</v>
      </c>
      <c r="S1134" s="42">
        <f t="shared" si="77"/>
        <v>0</v>
      </c>
    </row>
    <row r="1135" spans="1:19">
      <c r="A1135" s="41" t="s">
        <v>2271</v>
      </c>
      <c r="B1135" s="41" t="str">
        <f t="shared" si="76"/>
        <v>005032400</v>
      </c>
      <c r="D1135" s="42">
        <f>VLOOKUP($A1135,'Neraca Unaudited SIMAK'!$A$2:$R$1272,3,FALSE)+IF(ISNA(VLOOKUP($A1135,'Mutasi Neraca'!$A$3:$S$910,3,FALSE)),0,VLOOKUP($A1135,'Mutasi Neraca'!$A$3:$S$910,3,FALSE))</f>
        <v>0</v>
      </c>
      <c r="E1135" s="42">
        <f>VLOOKUP($A1135,'Neraca Unaudited SIMAK'!$A$2:$R$1272,4,FALSE)+IF(ISNA(VLOOKUP($A1135,'Mutasi Neraca'!$A$3:$S$910,4,FALSE)),0,VLOOKUP($A1135,'Mutasi Neraca'!$A$3:$S$910,4,FALSE))</f>
        <v>0</v>
      </c>
      <c r="F1135" s="42">
        <f>VLOOKUP($A1135,'Neraca Unaudited SIMAK'!$A$2:$R$1272,5,FALSE)+IF(ISNA(VLOOKUP($A1135,'Mutasi Neraca'!$A$3:$S$910,5,FALSE)),0,VLOOKUP($A1135,'Mutasi Neraca'!$A$3:$S$910,5,FALSE))</f>
        <v>0</v>
      </c>
      <c r="G1135" s="42">
        <f>VLOOKUP($A1135,'Neraca Unaudited SIMAK'!$A$2:$R$1272,6,FALSE)+IF(ISNA(VLOOKUP($A1135,'Mutasi Neraca'!$A$3:$S$910,6,FALSE)),0,VLOOKUP($A1135,'Mutasi Neraca'!$A$3:$S$910,6,FALSE))</f>
        <v>0</v>
      </c>
      <c r="H1135" s="42">
        <f>VLOOKUP($A1135,'Neraca Unaudited SIMAK'!$A$2:$R$1272,7,FALSE)+IF(ISNA(VLOOKUP($A1135,'Mutasi Neraca'!$A$3:$S$910,7,FALSE)),0,VLOOKUP($A1135,'Mutasi Neraca'!$A$3:$S$910,7,FALSE))</f>
        <v>0</v>
      </c>
      <c r="I1135" s="42">
        <f>VLOOKUP($A1135,'Neraca Unaudited SIMAK'!$A$2:$R$1272,8,FALSE)+IF(ISNA(VLOOKUP($A1135,'Mutasi Neraca'!$A$3:$S$910,8,FALSE)),0,VLOOKUP($A1135,'Mutasi Neraca'!$A$3:$S$910,8,FALSE))</f>
        <v>0</v>
      </c>
      <c r="J1135" s="42">
        <f>VLOOKUP($A1135,'Neraca Unaudited SIMAK'!$A$2:$R$1272,9,FALSE)+IF(ISNA(VLOOKUP($A1135,'Mutasi Neraca'!$A$3:$S$910,9,FALSE)),0,VLOOKUP($A1135,'Mutasi Neraca'!$A$3:$S$910,9,FALSE))</f>
        <v>0</v>
      </c>
      <c r="K1135" s="42">
        <f>VLOOKUP($A1135,'Neraca Unaudited SIMAK'!$A$2:$R$1272,10,FALSE)+IF(ISNA(VLOOKUP($A1135,'Mutasi Neraca'!$A$3:$S$910,10,FALSE)),0,VLOOKUP($A1135,'Mutasi Neraca'!$A$3:$S$910,10,FALSE))</f>
        <v>0</v>
      </c>
      <c r="L1135" s="42">
        <f>VLOOKUP($A1135,'Neraca Unaudited SIMAK'!$A$2:$R$1272,11,FALSE)+IF(ISNA(VLOOKUP($A1135,'Mutasi Neraca'!$A$3:$S$910,11,FALSE)),0,VLOOKUP($A1135,'Mutasi Neraca'!$A$3:$S$910,11,FALSE))</f>
        <v>0</v>
      </c>
      <c r="M1135" s="42">
        <f>VLOOKUP($A1135,'Neraca Unaudited SIMAK'!$A$2:$R$1272,12,FALSE)+IF(ISNA(VLOOKUP($A1135,'Mutasi Neraca'!$A$3:$S$910,12,FALSE)),0,VLOOKUP($A1135,'Mutasi Neraca'!$A$3:$S$910,12,FALSE))</f>
        <v>0</v>
      </c>
      <c r="N1135" s="42">
        <f>VLOOKUP($A1135,'Neraca Unaudited SIMAK'!$A$2:$R$1272,13,FALSE)+IF(ISNA(VLOOKUP($A1135,'Mutasi Neraca'!$A$3:$S$910,13,FALSE)),0,VLOOKUP($A1135,'Mutasi Neraca'!$A$3:$S$910,13,FALSE))</f>
        <v>0</v>
      </c>
      <c r="O1135" s="42">
        <f>VLOOKUP($A1135,'Neraca Unaudited SIMAK'!$A$2:$R$1272,14,FALSE)+IF(ISNA(VLOOKUP($A1135,'Mutasi Neraca'!$A$3:$S$910,14,FALSE)),0,VLOOKUP($A1135,'Mutasi Neraca'!$A$3:$S$910,14,FALSE))</f>
        <v>0</v>
      </c>
      <c r="P1135" s="42">
        <f>VLOOKUP($A1135,'Neraca Unaudited SIMAK'!$A$2:$R$1272,15,FALSE)+IF(ISNA(VLOOKUP($A1135,'Mutasi Neraca'!$A$3:$S$910,15,FALSE)),0,VLOOKUP($A1135,'Mutasi Neraca'!$A$3:$S$910,15,FALSE))</f>
        <v>0</v>
      </c>
      <c r="Q1135" s="42">
        <f>VLOOKUP($A1135,'Neraca Unaudited SIMAK'!$A$2:$R$1272,16,FALSE)+IF(ISNA(VLOOKUP($A1135,'Mutasi Neraca'!$A$3:$S$910,16,FALSE)),0,VLOOKUP($A1135,'Mutasi Neraca'!$A$3:$S$910,16,FALSE))</f>
        <v>0</v>
      </c>
      <c r="R1135" s="42">
        <f>VLOOKUP($A1135,'Neraca Unaudited SIMAK'!$A$2:$R$1272,17,FALSE)+IF(ISNA(VLOOKUP($A1135,'Mutasi Neraca'!$A$3:$S$910,17,FALSE)),0,VLOOKUP($A1135,'Mutasi Neraca'!$A$3:$S$910,17,FALSE))</f>
        <v>0</v>
      </c>
      <c r="S1135" s="42">
        <f t="shared" si="77"/>
        <v>0</v>
      </c>
    </row>
    <row r="1136" spans="1:19">
      <c r="A1136" s="41" t="s">
        <v>1072</v>
      </c>
      <c r="B1136" s="41" t="str">
        <f t="shared" si="76"/>
        <v>005032400</v>
      </c>
      <c r="D1136" s="42">
        <f>VLOOKUP($A1136,'Neraca Unaudited SIMAK'!$A$2:$R$1272,3,FALSE)+IF(ISNA(VLOOKUP($A1136,'Mutasi Neraca'!$A$3:$S$910,3,FALSE)),0,VLOOKUP($A1136,'Mutasi Neraca'!$A$3:$S$910,3,FALSE))</f>
        <v>710000</v>
      </c>
      <c r="E1136" s="42">
        <f>VLOOKUP($A1136,'Neraca Unaudited SIMAK'!$A$2:$R$1272,4,FALSE)+IF(ISNA(VLOOKUP($A1136,'Mutasi Neraca'!$A$3:$S$910,4,FALSE)),0,VLOOKUP($A1136,'Mutasi Neraca'!$A$3:$S$910,4,FALSE))</f>
        <v>0</v>
      </c>
      <c r="F1136" s="42">
        <f>VLOOKUP($A1136,'Neraca Unaudited SIMAK'!$A$2:$R$1272,5,FALSE)+IF(ISNA(VLOOKUP($A1136,'Mutasi Neraca'!$A$3:$S$910,5,FALSE)),0,VLOOKUP($A1136,'Mutasi Neraca'!$A$3:$S$910,5,FALSE))</f>
        <v>0</v>
      </c>
      <c r="G1136" s="42">
        <f>VLOOKUP($A1136,'Neraca Unaudited SIMAK'!$A$2:$R$1272,6,FALSE)+IF(ISNA(VLOOKUP($A1136,'Mutasi Neraca'!$A$3:$S$910,6,FALSE)),0,VLOOKUP($A1136,'Mutasi Neraca'!$A$3:$S$910,6,FALSE))</f>
        <v>0</v>
      </c>
      <c r="H1136" s="42">
        <f>VLOOKUP($A1136,'Neraca Unaudited SIMAK'!$A$2:$R$1272,7,FALSE)+IF(ISNA(VLOOKUP($A1136,'Mutasi Neraca'!$A$3:$S$910,7,FALSE)),0,VLOOKUP($A1136,'Mutasi Neraca'!$A$3:$S$910,7,FALSE))</f>
        <v>0</v>
      </c>
      <c r="I1136" s="42">
        <f>VLOOKUP($A1136,'Neraca Unaudited SIMAK'!$A$2:$R$1272,8,FALSE)+IF(ISNA(VLOOKUP($A1136,'Mutasi Neraca'!$A$3:$S$910,8,FALSE)),0,VLOOKUP($A1136,'Mutasi Neraca'!$A$3:$S$910,8,FALSE))</f>
        <v>0</v>
      </c>
      <c r="J1136" s="42">
        <f>VLOOKUP($A1136,'Neraca Unaudited SIMAK'!$A$2:$R$1272,9,FALSE)+IF(ISNA(VLOOKUP($A1136,'Mutasi Neraca'!$A$3:$S$910,9,FALSE)),0,VLOOKUP($A1136,'Mutasi Neraca'!$A$3:$S$910,9,FALSE))</f>
        <v>0</v>
      </c>
      <c r="K1136" s="42">
        <f>VLOOKUP($A1136,'Neraca Unaudited SIMAK'!$A$2:$R$1272,10,FALSE)+IF(ISNA(VLOOKUP($A1136,'Mutasi Neraca'!$A$3:$S$910,10,FALSE)),0,VLOOKUP($A1136,'Mutasi Neraca'!$A$3:$S$910,10,FALSE))</f>
        <v>0</v>
      </c>
      <c r="L1136" s="42">
        <f>VLOOKUP($A1136,'Neraca Unaudited SIMAK'!$A$2:$R$1272,11,FALSE)+IF(ISNA(VLOOKUP($A1136,'Mutasi Neraca'!$A$3:$S$910,11,FALSE)),0,VLOOKUP($A1136,'Mutasi Neraca'!$A$3:$S$910,11,FALSE))</f>
        <v>0</v>
      </c>
      <c r="M1136" s="42">
        <f>VLOOKUP($A1136,'Neraca Unaudited SIMAK'!$A$2:$R$1272,12,FALSE)+IF(ISNA(VLOOKUP($A1136,'Mutasi Neraca'!$A$3:$S$910,12,FALSE)),0,VLOOKUP($A1136,'Mutasi Neraca'!$A$3:$S$910,12,FALSE))</f>
        <v>710000</v>
      </c>
      <c r="N1136" s="42">
        <f>VLOOKUP($A1136,'Neraca Unaudited SIMAK'!$A$2:$R$1272,13,FALSE)+IF(ISNA(VLOOKUP($A1136,'Mutasi Neraca'!$A$3:$S$910,13,FALSE)),0,VLOOKUP($A1136,'Mutasi Neraca'!$A$3:$S$910,13,FALSE))</f>
        <v>0</v>
      </c>
      <c r="O1136" s="42">
        <f>VLOOKUP($A1136,'Neraca Unaudited SIMAK'!$A$2:$R$1272,14,FALSE)+IF(ISNA(VLOOKUP($A1136,'Mutasi Neraca'!$A$3:$S$910,14,FALSE)),0,VLOOKUP($A1136,'Mutasi Neraca'!$A$3:$S$910,14,FALSE))</f>
        <v>0</v>
      </c>
      <c r="P1136" s="42">
        <f>VLOOKUP($A1136,'Neraca Unaudited SIMAK'!$A$2:$R$1272,15,FALSE)+IF(ISNA(VLOOKUP($A1136,'Mutasi Neraca'!$A$3:$S$910,15,FALSE)),0,VLOOKUP($A1136,'Mutasi Neraca'!$A$3:$S$910,15,FALSE))</f>
        <v>0</v>
      </c>
      <c r="Q1136" s="42">
        <f>VLOOKUP($A1136,'Neraca Unaudited SIMAK'!$A$2:$R$1272,16,FALSE)+IF(ISNA(VLOOKUP($A1136,'Mutasi Neraca'!$A$3:$S$910,16,FALSE)),0,VLOOKUP($A1136,'Mutasi Neraca'!$A$3:$S$910,16,FALSE))</f>
        <v>0</v>
      </c>
      <c r="R1136" s="42">
        <f>VLOOKUP($A1136,'Neraca Unaudited SIMAK'!$A$2:$R$1272,17,FALSE)+IF(ISNA(VLOOKUP($A1136,'Mutasi Neraca'!$A$3:$S$910,17,FALSE)),0,VLOOKUP($A1136,'Mutasi Neraca'!$A$3:$S$910,17,FALSE))</f>
        <v>0</v>
      </c>
      <c r="S1136" s="42">
        <f t="shared" si="77"/>
        <v>710000</v>
      </c>
    </row>
    <row r="1137" spans="1:19">
      <c r="A1137" s="41" t="s">
        <v>1073</v>
      </c>
      <c r="B1137" s="41" t="str">
        <f t="shared" si="76"/>
        <v>005032400</v>
      </c>
      <c r="D1137" s="42">
        <f>VLOOKUP($A1137,'Neraca Unaudited SIMAK'!$A$2:$R$1272,3,FALSE)+IF(ISNA(VLOOKUP($A1137,'Mutasi Neraca'!$A$3:$S$910,3,FALSE)),0,VLOOKUP($A1137,'Mutasi Neraca'!$A$3:$S$910,3,FALSE))</f>
        <v>200000</v>
      </c>
      <c r="E1137" s="42">
        <f>VLOOKUP($A1137,'Neraca Unaudited SIMAK'!$A$2:$R$1272,4,FALSE)+IF(ISNA(VLOOKUP($A1137,'Mutasi Neraca'!$A$3:$S$910,4,FALSE)),0,VLOOKUP($A1137,'Mutasi Neraca'!$A$3:$S$910,4,FALSE))</f>
        <v>0</v>
      </c>
      <c r="F1137" s="42">
        <f>VLOOKUP($A1137,'Neraca Unaudited SIMAK'!$A$2:$R$1272,5,FALSE)+IF(ISNA(VLOOKUP($A1137,'Mutasi Neraca'!$A$3:$S$910,5,FALSE)),0,VLOOKUP($A1137,'Mutasi Neraca'!$A$3:$S$910,5,FALSE))</f>
        <v>0</v>
      </c>
      <c r="G1137" s="42">
        <f>VLOOKUP($A1137,'Neraca Unaudited SIMAK'!$A$2:$R$1272,6,FALSE)+IF(ISNA(VLOOKUP($A1137,'Mutasi Neraca'!$A$3:$S$910,6,FALSE)),0,VLOOKUP($A1137,'Mutasi Neraca'!$A$3:$S$910,6,FALSE))</f>
        <v>0</v>
      </c>
      <c r="H1137" s="42">
        <f>VLOOKUP($A1137,'Neraca Unaudited SIMAK'!$A$2:$R$1272,7,FALSE)+IF(ISNA(VLOOKUP($A1137,'Mutasi Neraca'!$A$3:$S$910,7,FALSE)),0,VLOOKUP($A1137,'Mutasi Neraca'!$A$3:$S$910,7,FALSE))</f>
        <v>0</v>
      </c>
      <c r="I1137" s="42">
        <f>VLOOKUP($A1137,'Neraca Unaudited SIMAK'!$A$2:$R$1272,8,FALSE)+IF(ISNA(VLOOKUP($A1137,'Mutasi Neraca'!$A$3:$S$910,8,FALSE)),0,VLOOKUP($A1137,'Mutasi Neraca'!$A$3:$S$910,8,FALSE))</f>
        <v>0</v>
      </c>
      <c r="J1137" s="42">
        <f>VLOOKUP($A1137,'Neraca Unaudited SIMAK'!$A$2:$R$1272,9,FALSE)+IF(ISNA(VLOOKUP($A1137,'Mutasi Neraca'!$A$3:$S$910,9,FALSE)),0,VLOOKUP($A1137,'Mutasi Neraca'!$A$3:$S$910,9,FALSE))</f>
        <v>0</v>
      </c>
      <c r="K1137" s="42">
        <f>VLOOKUP($A1137,'Neraca Unaudited SIMAK'!$A$2:$R$1272,10,FALSE)+IF(ISNA(VLOOKUP($A1137,'Mutasi Neraca'!$A$3:$S$910,10,FALSE)),0,VLOOKUP($A1137,'Mutasi Neraca'!$A$3:$S$910,10,FALSE))</f>
        <v>0</v>
      </c>
      <c r="L1137" s="42">
        <f>VLOOKUP($A1137,'Neraca Unaudited SIMAK'!$A$2:$R$1272,11,FALSE)+IF(ISNA(VLOOKUP($A1137,'Mutasi Neraca'!$A$3:$S$910,11,FALSE)),0,VLOOKUP($A1137,'Mutasi Neraca'!$A$3:$S$910,11,FALSE))</f>
        <v>0</v>
      </c>
      <c r="M1137" s="42">
        <f>VLOOKUP($A1137,'Neraca Unaudited SIMAK'!$A$2:$R$1272,12,FALSE)+IF(ISNA(VLOOKUP($A1137,'Mutasi Neraca'!$A$3:$S$910,12,FALSE)),0,VLOOKUP($A1137,'Mutasi Neraca'!$A$3:$S$910,12,FALSE))</f>
        <v>200000</v>
      </c>
      <c r="N1137" s="42">
        <f>VLOOKUP($A1137,'Neraca Unaudited SIMAK'!$A$2:$R$1272,13,FALSE)+IF(ISNA(VLOOKUP($A1137,'Mutasi Neraca'!$A$3:$S$910,13,FALSE)),0,VLOOKUP($A1137,'Mutasi Neraca'!$A$3:$S$910,13,FALSE))</f>
        <v>0</v>
      </c>
      <c r="O1137" s="42">
        <f>VLOOKUP($A1137,'Neraca Unaudited SIMAK'!$A$2:$R$1272,14,FALSE)+IF(ISNA(VLOOKUP($A1137,'Mutasi Neraca'!$A$3:$S$910,14,FALSE)),0,VLOOKUP($A1137,'Mutasi Neraca'!$A$3:$S$910,14,FALSE))</f>
        <v>0</v>
      </c>
      <c r="P1137" s="42">
        <f>VLOOKUP($A1137,'Neraca Unaudited SIMAK'!$A$2:$R$1272,15,FALSE)+IF(ISNA(VLOOKUP($A1137,'Mutasi Neraca'!$A$3:$S$910,15,FALSE)),0,VLOOKUP($A1137,'Mutasi Neraca'!$A$3:$S$910,15,FALSE))</f>
        <v>0</v>
      </c>
      <c r="Q1137" s="42">
        <f>VLOOKUP($A1137,'Neraca Unaudited SIMAK'!$A$2:$R$1272,16,FALSE)+IF(ISNA(VLOOKUP($A1137,'Mutasi Neraca'!$A$3:$S$910,16,FALSE)),0,VLOOKUP($A1137,'Mutasi Neraca'!$A$3:$S$910,16,FALSE))</f>
        <v>0</v>
      </c>
      <c r="R1137" s="42">
        <f>VLOOKUP($A1137,'Neraca Unaudited SIMAK'!$A$2:$R$1272,17,FALSE)+IF(ISNA(VLOOKUP($A1137,'Mutasi Neraca'!$A$3:$S$910,17,FALSE)),0,VLOOKUP($A1137,'Mutasi Neraca'!$A$3:$S$910,17,FALSE))</f>
        <v>0</v>
      </c>
      <c r="S1137" s="42">
        <f t="shared" si="77"/>
        <v>200000</v>
      </c>
    </row>
    <row r="1138" spans="1:19">
      <c r="A1138" s="41" t="s">
        <v>1074</v>
      </c>
      <c r="B1138" s="41" t="str">
        <f t="shared" si="76"/>
        <v>005032400</v>
      </c>
      <c r="D1138" s="42">
        <f>VLOOKUP($A1138,'Neraca Unaudited SIMAK'!$A$2:$R$1272,3,FALSE)+IF(ISNA(VLOOKUP($A1138,'Mutasi Neraca'!$A$3:$S$910,3,FALSE)),0,VLOOKUP($A1138,'Mutasi Neraca'!$A$3:$S$910,3,FALSE))</f>
        <v>415000</v>
      </c>
      <c r="E1138" s="42">
        <f>VLOOKUP($A1138,'Neraca Unaudited SIMAK'!$A$2:$R$1272,4,FALSE)+IF(ISNA(VLOOKUP($A1138,'Mutasi Neraca'!$A$3:$S$910,4,FALSE)),0,VLOOKUP($A1138,'Mutasi Neraca'!$A$3:$S$910,4,FALSE))</f>
        <v>0</v>
      </c>
      <c r="F1138" s="42">
        <f>VLOOKUP($A1138,'Neraca Unaudited SIMAK'!$A$2:$R$1272,5,FALSE)+IF(ISNA(VLOOKUP($A1138,'Mutasi Neraca'!$A$3:$S$910,5,FALSE)),0,VLOOKUP($A1138,'Mutasi Neraca'!$A$3:$S$910,5,FALSE))</f>
        <v>0</v>
      </c>
      <c r="G1138" s="42">
        <f>VLOOKUP($A1138,'Neraca Unaudited SIMAK'!$A$2:$R$1272,6,FALSE)+IF(ISNA(VLOOKUP($A1138,'Mutasi Neraca'!$A$3:$S$910,6,FALSE)),0,VLOOKUP($A1138,'Mutasi Neraca'!$A$3:$S$910,6,FALSE))</f>
        <v>0</v>
      </c>
      <c r="H1138" s="42">
        <f>VLOOKUP($A1138,'Neraca Unaudited SIMAK'!$A$2:$R$1272,7,FALSE)+IF(ISNA(VLOOKUP($A1138,'Mutasi Neraca'!$A$3:$S$910,7,FALSE)),0,VLOOKUP($A1138,'Mutasi Neraca'!$A$3:$S$910,7,FALSE))</f>
        <v>0</v>
      </c>
      <c r="I1138" s="42">
        <f>VLOOKUP($A1138,'Neraca Unaudited SIMAK'!$A$2:$R$1272,8,FALSE)+IF(ISNA(VLOOKUP($A1138,'Mutasi Neraca'!$A$3:$S$910,8,FALSE)),0,VLOOKUP($A1138,'Mutasi Neraca'!$A$3:$S$910,8,FALSE))</f>
        <v>0</v>
      </c>
      <c r="J1138" s="42">
        <f>VLOOKUP($A1138,'Neraca Unaudited SIMAK'!$A$2:$R$1272,9,FALSE)+IF(ISNA(VLOOKUP($A1138,'Mutasi Neraca'!$A$3:$S$910,9,FALSE)),0,VLOOKUP($A1138,'Mutasi Neraca'!$A$3:$S$910,9,FALSE))</f>
        <v>0</v>
      </c>
      <c r="K1138" s="42">
        <f>VLOOKUP($A1138,'Neraca Unaudited SIMAK'!$A$2:$R$1272,10,FALSE)+IF(ISNA(VLOOKUP($A1138,'Mutasi Neraca'!$A$3:$S$910,10,FALSE)),0,VLOOKUP($A1138,'Mutasi Neraca'!$A$3:$S$910,10,FALSE))</f>
        <v>0</v>
      </c>
      <c r="L1138" s="42">
        <f>VLOOKUP($A1138,'Neraca Unaudited SIMAK'!$A$2:$R$1272,11,FALSE)+IF(ISNA(VLOOKUP($A1138,'Mutasi Neraca'!$A$3:$S$910,11,FALSE)),0,VLOOKUP($A1138,'Mutasi Neraca'!$A$3:$S$910,11,FALSE))</f>
        <v>0</v>
      </c>
      <c r="M1138" s="42">
        <f>VLOOKUP($A1138,'Neraca Unaudited SIMAK'!$A$2:$R$1272,12,FALSE)+IF(ISNA(VLOOKUP($A1138,'Mutasi Neraca'!$A$3:$S$910,12,FALSE)),0,VLOOKUP($A1138,'Mutasi Neraca'!$A$3:$S$910,12,FALSE))</f>
        <v>415000</v>
      </c>
      <c r="N1138" s="42">
        <f>VLOOKUP($A1138,'Neraca Unaudited SIMAK'!$A$2:$R$1272,13,FALSE)+IF(ISNA(VLOOKUP($A1138,'Mutasi Neraca'!$A$3:$S$910,13,FALSE)),0,VLOOKUP($A1138,'Mutasi Neraca'!$A$3:$S$910,13,FALSE))</f>
        <v>0</v>
      </c>
      <c r="O1138" s="42">
        <f>VLOOKUP($A1138,'Neraca Unaudited SIMAK'!$A$2:$R$1272,14,FALSE)+IF(ISNA(VLOOKUP($A1138,'Mutasi Neraca'!$A$3:$S$910,14,FALSE)),0,VLOOKUP($A1138,'Mutasi Neraca'!$A$3:$S$910,14,FALSE))</f>
        <v>0</v>
      </c>
      <c r="P1138" s="42">
        <f>VLOOKUP($A1138,'Neraca Unaudited SIMAK'!$A$2:$R$1272,15,FALSE)+IF(ISNA(VLOOKUP($A1138,'Mutasi Neraca'!$A$3:$S$910,15,FALSE)),0,VLOOKUP($A1138,'Mutasi Neraca'!$A$3:$S$910,15,FALSE))</f>
        <v>0</v>
      </c>
      <c r="Q1138" s="42">
        <f>VLOOKUP($A1138,'Neraca Unaudited SIMAK'!$A$2:$R$1272,16,FALSE)+IF(ISNA(VLOOKUP($A1138,'Mutasi Neraca'!$A$3:$S$910,16,FALSE)),0,VLOOKUP($A1138,'Mutasi Neraca'!$A$3:$S$910,16,FALSE))</f>
        <v>0</v>
      </c>
      <c r="R1138" s="42">
        <f>VLOOKUP($A1138,'Neraca Unaudited SIMAK'!$A$2:$R$1272,17,FALSE)+IF(ISNA(VLOOKUP($A1138,'Mutasi Neraca'!$A$3:$S$910,17,FALSE)),0,VLOOKUP($A1138,'Mutasi Neraca'!$A$3:$S$910,17,FALSE))</f>
        <v>0</v>
      </c>
      <c r="S1138" s="42">
        <f t="shared" si="77"/>
        <v>415000</v>
      </c>
    </row>
    <row r="1139" spans="1:19">
      <c r="A1139" s="41" t="s">
        <v>1075</v>
      </c>
      <c r="B1139" s="41" t="str">
        <f t="shared" si="76"/>
        <v>005032400</v>
      </c>
      <c r="D1139" s="42">
        <f>VLOOKUP($A1139,'Neraca Unaudited SIMAK'!$A$2:$R$1272,3,FALSE)+IF(ISNA(VLOOKUP($A1139,'Mutasi Neraca'!$A$3:$S$910,3,FALSE)),0,VLOOKUP($A1139,'Mutasi Neraca'!$A$3:$S$910,3,FALSE))</f>
        <v>700500</v>
      </c>
      <c r="E1139" s="42">
        <f>VLOOKUP($A1139,'Neraca Unaudited SIMAK'!$A$2:$R$1272,4,FALSE)+IF(ISNA(VLOOKUP($A1139,'Mutasi Neraca'!$A$3:$S$910,4,FALSE)),0,VLOOKUP($A1139,'Mutasi Neraca'!$A$3:$S$910,4,FALSE))</f>
        <v>0</v>
      </c>
      <c r="F1139" s="42">
        <f>VLOOKUP($A1139,'Neraca Unaudited SIMAK'!$A$2:$R$1272,5,FALSE)+IF(ISNA(VLOOKUP($A1139,'Mutasi Neraca'!$A$3:$S$910,5,FALSE)),0,VLOOKUP($A1139,'Mutasi Neraca'!$A$3:$S$910,5,FALSE))</f>
        <v>0</v>
      </c>
      <c r="G1139" s="42">
        <f>VLOOKUP($A1139,'Neraca Unaudited SIMAK'!$A$2:$R$1272,6,FALSE)+IF(ISNA(VLOOKUP($A1139,'Mutasi Neraca'!$A$3:$S$910,6,FALSE)),0,VLOOKUP($A1139,'Mutasi Neraca'!$A$3:$S$910,6,FALSE))</f>
        <v>0</v>
      </c>
      <c r="H1139" s="42">
        <f>VLOOKUP($A1139,'Neraca Unaudited SIMAK'!$A$2:$R$1272,7,FALSE)+IF(ISNA(VLOOKUP($A1139,'Mutasi Neraca'!$A$3:$S$910,7,FALSE)),0,VLOOKUP($A1139,'Mutasi Neraca'!$A$3:$S$910,7,FALSE))</f>
        <v>0</v>
      </c>
      <c r="I1139" s="42">
        <f>VLOOKUP($A1139,'Neraca Unaudited SIMAK'!$A$2:$R$1272,8,FALSE)+IF(ISNA(VLOOKUP($A1139,'Mutasi Neraca'!$A$3:$S$910,8,FALSE)),0,VLOOKUP($A1139,'Mutasi Neraca'!$A$3:$S$910,8,FALSE))</f>
        <v>0</v>
      </c>
      <c r="J1139" s="42">
        <f>VLOOKUP($A1139,'Neraca Unaudited SIMAK'!$A$2:$R$1272,9,FALSE)+IF(ISNA(VLOOKUP($A1139,'Mutasi Neraca'!$A$3:$S$910,9,FALSE)),0,VLOOKUP($A1139,'Mutasi Neraca'!$A$3:$S$910,9,FALSE))</f>
        <v>0</v>
      </c>
      <c r="K1139" s="42">
        <f>VLOOKUP($A1139,'Neraca Unaudited SIMAK'!$A$2:$R$1272,10,FALSE)+IF(ISNA(VLOOKUP($A1139,'Mutasi Neraca'!$A$3:$S$910,10,FALSE)),0,VLOOKUP($A1139,'Mutasi Neraca'!$A$3:$S$910,10,FALSE))</f>
        <v>0</v>
      </c>
      <c r="L1139" s="42">
        <f>VLOOKUP($A1139,'Neraca Unaudited SIMAK'!$A$2:$R$1272,11,FALSE)+IF(ISNA(VLOOKUP($A1139,'Mutasi Neraca'!$A$3:$S$910,11,FALSE)),0,VLOOKUP($A1139,'Mutasi Neraca'!$A$3:$S$910,11,FALSE))</f>
        <v>0</v>
      </c>
      <c r="M1139" s="42">
        <f>VLOOKUP($A1139,'Neraca Unaudited SIMAK'!$A$2:$R$1272,12,FALSE)+IF(ISNA(VLOOKUP($A1139,'Mutasi Neraca'!$A$3:$S$910,12,FALSE)),0,VLOOKUP($A1139,'Mutasi Neraca'!$A$3:$S$910,12,FALSE))</f>
        <v>700500</v>
      </c>
      <c r="N1139" s="42">
        <f>VLOOKUP($A1139,'Neraca Unaudited SIMAK'!$A$2:$R$1272,13,FALSE)+IF(ISNA(VLOOKUP($A1139,'Mutasi Neraca'!$A$3:$S$910,13,FALSE)),0,VLOOKUP($A1139,'Mutasi Neraca'!$A$3:$S$910,13,FALSE))</f>
        <v>0</v>
      </c>
      <c r="O1139" s="42">
        <f>VLOOKUP($A1139,'Neraca Unaudited SIMAK'!$A$2:$R$1272,14,FALSE)+IF(ISNA(VLOOKUP($A1139,'Mutasi Neraca'!$A$3:$S$910,14,FALSE)),0,VLOOKUP($A1139,'Mutasi Neraca'!$A$3:$S$910,14,FALSE))</f>
        <v>0</v>
      </c>
      <c r="P1139" s="42">
        <f>VLOOKUP($A1139,'Neraca Unaudited SIMAK'!$A$2:$R$1272,15,FALSE)+IF(ISNA(VLOOKUP($A1139,'Mutasi Neraca'!$A$3:$S$910,15,FALSE)),0,VLOOKUP($A1139,'Mutasi Neraca'!$A$3:$S$910,15,FALSE))</f>
        <v>0</v>
      </c>
      <c r="Q1139" s="42">
        <f>VLOOKUP($A1139,'Neraca Unaudited SIMAK'!$A$2:$R$1272,16,FALSE)+IF(ISNA(VLOOKUP($A1139,'Mutasi Neraca'!$A$3:$S$910,16,FALSE)),0,VLOOKUP($A1139,'Mutasi Neraca'!$A$3:$S$910,16,FALSE))</f>
        <v>0</v>
      </c>
      <c r="R1139" s="42">
        <f>VLOOKUP($A1139,'Neraca Unaudited SIMAK'!$A$2:$R$1272,17,FALSE)+IF(ISNA(VLOOKUP($A1139,'Mutasi Neraca'!$A$3:$S$910,17,FALSE)),0,VLOOKUP($A1139,'Mutasi Neraca'!$A$3:$S$910,17,FALSE))</f>
        <v>0</v>
      </c>
      <c r="S1139" s="42">
        <f t="shared" si="77"/>
        <v>700500</v>
      </c>
    </row>
    <row r="1140" spans="1:19">
      <c r="A1140" s="41" t="s">
        <v>1076</v>
      </c>
      <c r="B1140" s="41" t="str">
        <f t="shared" si="76"/>
        <v>005032400</v>
      </c>
      <c r="D1140" s="42">
        <f>VLOOKUP($A1140,'Neraca Unaudited SIMAK'!$A$2:$R$1272,3,FALSE)+IF(ISNA(VLOOKUP($A1140,'Mutasi Neraca'!$A$3:$S$910,3,FALSE)),0,VLOOKUP($A1140,'Mutasi Neraca'!$A$3:$S$910,3,FALSE))</f>
        <v>0</v>
      </c>
      <c r="E1140" s="42">
        <f>VLOOKUP($A1140,'Neraca Unaudited SIMAK'!$A$2:$R$1272,4,FALSE)+IF(ISNA(VLOOKUP($A1140,'Mutasi Neraca'!$A$3:$S$910,4,FALSE)),0,VLOOKUP($A1140,'Mutasi Neraca'!$A$3:$S$910,4,FALSE))</f>
        <v>0</v>
      </c>
      <c r="F1140" s="42">
        <f>VLOOKUP($A1140,'Neraca Unaudited SIMAK'!$A$2:$R$1272,5,FALSE)+IF(ISNA(VLOOKUP($A1140,'Mutasi Neraca'!$A$3:$S$910,5,FALSE)),0,VLOOKUP($A1140,'Mutasi Neraca'!$A$3:$S$910,5,FALSE))</f>
        <v>0</v>
      </c>
      <c r="G1140" s="42">
        <f>VLOOKUP($A1140,'Neraca Unaudited SIMAK'!$A$2:$R$1272,6,FALSE)+IF(ISNA(VLOOKUP($A1140,'Mutasi Neraca'!$A$3:$S$910,6,FALSE)),0,VLOOKUP($A1140,'Mutasi Neraca'!$A$3:$S$910,6,FALSE))</f>
        <v>0</v>
      </c>
      <c r="H1140" s="42">
        <f>VLOOKUP($A1140,'Neraca Unaudited SIMAK'!$A$2:$R$1272,7,FALSE)+IF(ISNA(VLOOKUP($A1140,'Mutasi Neraca'!$A$3:$S$910,7,FALSE)),0,VLOOKUP($A1140,'Mutasi Neraca'!$A$3:$S$910,7,FALSE))</f>
        <v>0</v>
      </c>
      <c r="I1140" s="42">
        <f>VLOOKUP($A1140,'Neraca Unaudited SIMAK'!$A$2:$R$1272,8,FALSE)+IF(ISNA(VLOOKUP($A1140,'Mutasi Neraca'!$A$3:$S$910,8,FALSE)),0,VLOOKUP($A1140,'Mutasi Neraca'!$A$3:$S$910,8,FALSE))</f>
        <v>0</v>
      </c>
      <c r="J1140" s="42">
        <f>VLOOKUP($A1140,'Neraca Unaudited SIMAK'!$A$2:$R$1272,9,FALSE)+IF(ISNA(VLOOKUP($A1140,'Mutasi Neraca'!$A$3:$S$910,9,FALSE)),0,VLOOKUP($A1140,'Mutasi Neraca'!$A$3:$S$910,9,FALSE))</f>
        <v>0</v>
      </c>
      <c r="K1140" s="42">
        <f>VLOOKUP($A1140,'Neraca Unaudited SIMAK'!$A$2:$R$1272,10,FALSE)+IF(ISNA(VLOOKUP($A1140,'Mutasi Neraca'!$A$3:$S$910,10,FALSE)),0,VLOOKUP($A1140,'Mutasi Neraca'!$A$3:$S$910,10,FALSE))</f>
        <v>0</v>
      </c>
      <c r="L1140" s="42">
        <f>VLOOKUP($A1140,'Neraca Unaudited SIMAK'!$A$2:$R$1272,11,FALSE)+IF(ISNA(VLOOKUP($A1140,'Mutasi Neraca'!$A$3:$S$910,11,FALSE)),0,VLOOKUP($A1140,'Mutasi Neraca'!$A$3:$S$910,11,FALSE))</f>
        <v>0</v>
      </c>
      <c r="M1140" s="42">
        <f>VLOOKUP($A1140,'Neraca Unaudited SIMAK'!$A$2:$R$1272,12,FALSE)+IF(ISNA(VLOOKUP($A1140,'Mutasi Neraca'!$A$3:$S$910,12,FALSE)),0,VLOOKUP($A1140,'Mutasi Neraca'!$A$3:$S$910,12,FALSE))</f>
        <v>0</v>
      </c>
      <c r="N1140" s="42">
        <f>VLOOKUP($A1140,'Neraca Unaudited SIMAK'!$A$2:$R$1272,13,FALSE)+IF(ISNA(VLOOKUP($A1140,'Mutasi Neraca'!$A$3:$S$910,13,FALSE)),0,VLOOKUP($A1140,'Mutasi Neraca'!$A$3:$S$910,13,FALSE))</f>
        <v>0</v>
      </c>
      <c r="O1140" s="42">
        <f>VLOOKUP($A1140,'Neraca Unaudited SIMAK'!$A$2:$R$1272,14,FALSE)+IF(ISNA(VLOOKUP($A1140,'Mutasi Neraca'!$A$3:$S$910,14,FALSE)),0,VLOOKUP($A1140,'Mutasi Neraca'!$A$3:$S$910,14,FALSE))</f>
        <v>0</v>
      </c>
      <c r="P1140" s="42">
        <f>VLOOKUP($A1140,'Neraca Unaudited SIMAK'!$A$2:$R$1272,15,FALSE)+IF(ISNA(VLOOKUP($A1140,'Mutasi Neraca'!$A$3:$S$910,15,FALSE)),0,VLOOKUP($A1140,'Mutasi Neraca'!$A$3:$S$910,15,FALSE))</f>
        <v>0</v>
      </c>
      <c r="Q1140" s="42">
        <f>VLOOKUP($A1140,'Neraca Unaudited SIMAK'!$A$2:$R$1272,16,FALSE)+IF(ISNA(VLOOKUP($A1140,'Mutasi Neraca'!$A$3:$S$910,16,FALSE)),0,VLOOKUP($A1140,'Mutasi Neraca'!$A$3:$S$910,16,FALSE))</f>
        <v>0</v>
      </c>
      <c r="R1140" s="42">
        <f>VLOOKUP($A1140,'Neraca Unaudited SIMAK'!$A$2:$R$1272,17,FALSE)+IF(ISNA(VLOOKUP($A1140,'Mutasi Neraca'!$A$3:$S$910,17,FALSE)),0,VLOOKUP($A1140,'Mutasi Neraca'!$A$3:$S$910,17,FALSE))</f>
        <v>0</v>
      </c>
      <c r="S1140" s="42">
        <f t="shared" si="77"/>
        <v>0</v>
      </c>
    </row>
    <row r="1141" spans="1:19">
      <c r="A1141" s="41" t="s">
        <v>1077</v>
      </c>
      <c r="B1141" s="41" t="str">
        <f t="shared" si="76"/>
        <v>005032400</v>
      </c>
      <c r="D1141" s="42">
        <f>VLOOKUP($A1141,'Neraca Unaudited SIMAK'!$A$2:$R$1272,3,FALSE)+IF(ISNA(VLOOKUP($A1141,'Mutasi Neraca'!$A$3:$S$910,3,FALSE)),0,VLOOKUP($A1141,'Mutasi Neraca'!$A$3:$S$910,3,FALSE))</f>
        <v>1067500</v>
      </c>
      <c r="E1141" s="42">
        <f>VLOOKUP($A1141,'Neraca Unaudited SIMAK'!$A$2:$R$1272,4,FALSE)+IF(ISNA(VLOOKUP($A1141,'Mutasi Neraca'!$A$3:$S$910,4,FALSE)),0,VLOOKUP($A1141,'Mutasi Neraca'!$A$3:$S$910,4,FALSE))</f>
        <v>0</v>
      </c>
      <c r="F1141" s="42">
        <f>VLOOKUP($A1141,'Neraca Unaudited SIMAK'!$A$2:$R$1272,5,FALSE)+IF(ISNA(VLOOKUP($A1141,'Mutasi Neraca'!$A$3:$S$910,5,FALSE)),0,VLOOKUP($A1141,'Mutasi Neraca'!$A$3:$S$910,5,FALSE))</f>
        <v>0</v>
      </c>
      <c r="G1141" s="42">
        <f>VLOOKUP($A1141,'Neraca Unaudited SIMAK'!$A$2:$R$1272,6,FALSE)+IF(ISNA(VLOOKUP($A1141,'Mutasi Neraca'!$A$3:$S$910,6,FALSE)),0,VLOOKUP($A1141,'Mutasi Neraca'!$A$3:$S$910,6,FALSE))</f>
        <v>0</v>
      </c>
      <c r="H1141" s="42">
        <f>VLOOKUP($A1141,'Neraca Unaudited SIMAK'!$A$2:$R$1272,7,FALSE)+IF(ISNA(VLOOKUP($A1141,'Mutasi Neraca'!$A$3:$S$910,7,FALSE)),0,VLOOKUP($A1141,'Mutasi Neraca'!$A$3:$S$910,7,FALSE))</f>
        <v>0</v>
      </c>
      <c r="I1141" s="42">
        <f>VLOOKUP($A1141,'Neraca Unaudited SIMAK'!$A$2:$R$1272,8,FALSE)+IF(ISNA(VLOOKUP($A1141,'Mutasi Neraca'!$A$3:$S$910,8,FALSE)),0,VLOOKUP($A1141,'Mutasi Neraca'!$A$3:$S$910,8,FALSE))</f>
        <v>0</v>
      </c>
      <c r="J1141" s="42">
        <f>VLOOKUP($A1141,'Neraca Unaudited SIMAK'!$A$2:$R$1272,9,FALSE)+IF(ISNA(VLOOKUP($A1141,'Mutasi Neraca'!$A$3:$S$910,9,FALSE)),0,VLOOKUP($A1141,'Mutasi Neraca'!$A$3:$S$910,9,FALSE))</f>
        <v>0</v>
      </c>
      <c r="K1141" s="42">
        <f>VLOOKUP($A1141,'Neraca Unaudited SIMAK'!$A$2:$R$1272,10,FALSE)+IF(ISNA(VLOOKUP($A1141,'Mutasi Neraca'!$A$3:$S$910,10,FALSE)),0,VLOOKUP($A1141,'Mutasi Neraca'!$A$3:$S$910,10,FALSE))</f>
        <v>0</v>
      </c>
      <c r="L1141" s="42">
        <f>VLOOKUP($A1141,'Neraca Unaudited SIMAK'!$A$2:$R$1272,11,FALSE)+IF(ISNA(VLOOKUP($A1141,'Mutasi Neraca'!$A$3:$S$910,11,FALSE)),0,VLOOKUP($A1141,'Mutasi Neraca'!$A$3:$S$910,11,FALSE))</f>
        <v>0</v>
      </c>
      <c r="M1141" s="42">
        <f>VLOOKUP($A1141,'Neraca Unaudited SIMAK'!$A$2:$R$1272,12,FALSE)+IF(ISNA(VLOOKUP($A1141,'Mutasi Neraca'!$A$3:$S$910,12,FALSE)),0,VLOOKUP($A1141,'Mutasi Neraca'!$A$3:$S$910,12,FALSE))</f>
        <v>1067500</v>
      </c>
      <c r="N1141" s="42">
        <f>VLOOKUP($A1141,'Neraca Unaudited SIMAK'!$A$2:$R$1272,13,FALSE)+IF(ISNA(VLOOKUP($A1141,'Mutasi Neraca'!$A$3:$S$910,13,FALSE)),0,VLOOKUP($A1141,'Mutasi Neraca'!$A$3:$S$910,13,FALSE))</f>
        <v>0</v>
      </c>
      <c r="O1141" s="42">
        <f>VLOOKUP($A1141,'Neraca Unaudited SIMAK'!$A$2:$R$1272,14,FALSE)+IF(ISNA(VLOOKUP($A1141,'Mutasi Neraca'!$A$3:$S$910,14,FALSE)),0,VLOOKUP($A1141,'Mutasi Neraca'!$A$3:$S$910,14,FALSE))</f>
        <v>0</v>
      </c>
      <c r="P1141" s="42">
        <f>VLOOKUP($A1141,'Neraca Unaudited SIMAK'!$A$2:$R$1272,15,FALSE)+IF(ISNA(VLOOKUP($A1141,'Mutasi Neraca'!$A$3:$S$910,15,FALSE)),0,VLOOKUP($A1141,'Mutasi Neraca'!$A$3:$S$910,15,FALSE))</f>
        <v>0</v>
      </c>
      <c r="Q1141" s="42">
        <f>VLOOKUP($A1141,'Neraca Unaudited SIMAK'!$A$2:$R$1272,16,FALSE)+IF(ISNA(VLOOKUP($A1141,'Mutasi Neraca'!$A$3:$S$910,16,FALSE)),0,VLOOKUP($A1141,'Mutasi Neraca'!$A$3:$S$910,16,FALSE))</f>
        <v>0</v>
      </c>
      <c r="R1141" s="42">
        <f>VLOOKUP($A1141,'Neraca Unaudited SIMAK'!$A$2:$R$1272,17,FALSE)+IF(ISNA(VLOOKUP($A1141,'Mutasi Neraca'!$A$3:$S$910,17,FALSE)),0,VLOOKUP($A1141,'Mutasi Neraca'!$A$3:$S$910,17,FALSE))</f>
        <v>0</v>
      </c>
      <c r="S1141" s="42">
        <f t="shared" si="77"/>
        <v>1067500</v>
      </c>
    </row>
    <row r="1142" spans="1:19">
      <c r="A1142" s="41" t="s">
        <v>2199</v>
      </c>
      <c r="B1142" s="41" t="str">
        <f t="shared" si="76"/>
        <v>005032400</v>
      </c>
      <c r="D1142" s="42">
        <f>VLOOKUP($A1142,'Neraca Unaudited SIMAK'!$A$2:$R$1272,3,FALSE)+IF(ISNA(VLOOKUP($A1142,'Mutasi Neraca'!$A$3:$S$910,3,FALSE)),0,VLOOKUP($A1142,'Mutasi Neraca'!$A$3:$S$910,3,FALSE))</f>
        <v>642900</v>
      </c>
      <c r="E1142" s="42">
        <f>VLOOKUP($A1142,'Neraca Unaudited SIMAK'!$A$2:$R$1272,4,FALSE)+IF(ISNA(VLOOKUP($A1142,'Mutasi Neraca'!$A$3:$S$910,4,FALSE)),0,VLOOKUP($A1142,'Mutasi Neraca'!$A$3:$S$910,4,FALSE))</f>
        <v>0</v>
      </c>
      <c r="F1142" s="42">
        <f>VLOOKUP($A1142,'Neraca Unaudited SIMAK'!$A$2:$R$1272,5,FALSE)+IF(ISNA(VLOOKUP($A1142,'Mutasi Neraca'!$A$3:$S$910,5,FALSE)),0,VLOOKUP($A1142,'Mutasi Neraca'!$A$3:$S$910,5,FALSE))</f>
        <v>0</v>
      </c>
      <c r="G1142" s="42">
        <f>VLOOKUP($A1142,'Neraca Unaudited SIMAK'!$A$2:$R$1272,6,FALSE)+IF(ISNA(VLOOKUP($A1142,'Mutasi Neraca'!$A$3:$S$910,6,FALSE)),0,VLOOKUP($A1142,'Mutasi Neraca'!$A$3:$S$910,6,FALSE))</f>
        <v>0</v>
      </c>
      <c r="H1142" s="42">
        <f>VLOOKUP($A1142,'Neraca Unaudited SIMAK'!$A$2:$R$1272,7,FALSE)+IF(ISNA(VLOOKUP($A1142,'Mutasi Neraca'!$A$3:$S$910,7,FALSE)),0,VLOOKUP($A1142,'Mutasi Neraca'!$A$3:$S$910,7,FALSE))</f>
        <v>0</v>
      </c>
      <c r="I1142" s="42">
        <f>VLOOKUP($A1142,'Neraca Unaudited SIMAK'!$A$2:$R$1272,8,FALSE)+IF(ISNA(VLOOKUP($A1142,'Mutasi Neraca'!$A$3:$S$910,8,FALSE)),0,VLOOKUP($A1142,'Mutasi Neraca'!$A$3:$S$910,8,FALSE))</f>
        <v>0</v>
      </c>
      <c r="J1142" s="42">
        <f>VLOOKUP($A1142,'Neraca Unaudited SIMAK'!$A$2:$R$1272,9,FALSE)+IF(ISNA(VLOOKUP($A1142,'Mutasi Neraca'!$A$3:$S$910,9,FALSE)),0,VLOOKUP($A1142,'Mutasi Neraca'!$A$3:$S$910,9,FALSE))</f>
        <v>0</v>
      </c>
      <c r="K1142" s="42">
        <f>VLOOKUP($A1142,'Neraca Unaudited SIMAK'!$A$2:$R$1272,10,FALSE)+IF(ISNA(VLOOKUP($A1142,'Mutasi Neraca'!$A$3:$S$910,10,FALSE)),0,VLOOKUP($A1142,'Mutasi Neraca'!$A$3:$S$910,10,FALSE))</f>
        <v>0</v>
      </c>
      <c r="L1142" s="42">
        <f>VLOOKUP($A1142,'Neraca Unaudited SIMAK'!$A$2:$R$1272,11,FALSE)+IF(ISNA(VLOOKUP($A1142,'Mutasi Neraca'!$A$3:$S$910,11,FALSE)),0,VLOOKUP($A1142,'Mutasi Neraca'!$A$3:$S$910,11,FALSE))</f>
        <v>0</v>
      </c>
      <c r="M1142" s="42">
        <f>VLOOKUP($A1142,'Neraca Unaudited SIMAK'!$A$2:$R$1272,12,FALSE)+IF(ISNA(VLOOKUP($A1142,'Mutasi Neraca'!$A$3:$S$910,12,FALSE)),0,VLOOKUP($A1142,'Mutasi Neraca'!$A$3:$S$910,12,FALSE))</f>
        <v>642900</v>
      </c>
      <c r="N1142" s="42">
        <f>VLOOKUP($A1142,'Neraca Unaudited SIMAK'!$A$2:$R$1272,13,FALSE)+IF(ISNA(VLOOKUP($A1142,'Mutasi Neraca'!$A$3:$S$910,13,FALSE)),0,VLOOKUP($A1142,'Mutasi Neraca'!$A$3:$S$910,13,FALSE))</f>
        <v>0</v>
      </c>
      <c r="O1142" s="42">
        <f>VLOOKUP($A1142,'Neraca Unaudited SIMAK'!$A$2:$R$1272,14,FALSE)+IF(ISNA(VLOOKUP($A1142,'Mutasi Neraca'!$A$3:$S$910,14,FALSE)),0,VLOOKUP($A1142,'Mutasi Neraca'!$A$3:$S$910,14,FALSE))</f>
        <v>0</v>
      </c>
      <c r="P1142" s="42">
        <f>VLOOKUP($A1142,'Neraca Unaudited SIMAK'!$A$2:$R$1272,15,FALSE)+IF(ISNA(VLOOKUP($A1142,'Mutasi Neraca'!$A$3:$S$910,15,FALSE)),0,VLOOKUP($A1142,'Mutasi Neraca'!$A$3:$S$910,15,FALSE))</f>
        <v>0</v>
      </c>
      <c r="Q1142" s="42">
        <f>VLOOKUP($A1142,'Neraca Unaudited SIMAK'!$A$2:$R$1272,16,FALSE)+IF(ISNA(VLOOKUP($A1142,'Mutasi Neraca'!$A$3:$S$910,16,FALSE)),0,VLOOKUP($A1142,'Mutasi Neraca'!$A$3:$S$910,16,FALSE))</f>
        <v>0</v>
      </c>
      <c r="R1142" s="42">
        <f>VLOOKUP($A1142,'Neraca Unaudited SIMAK'!$A$2:$R$1272,17,FALSE)+IF(ISNA(VLOOKUP($A1142,'Mutasi Neraca'!$A$3:$S$910,17,FALSE)),0,VLOOKUP($A1142,'Mutasi Neraca'!$A$3:$S$910,17,FALSE))</f>
        <v>0</v>
      </c>
      <c r="S1142" s="42">
        <f t="shared" si="77"/>
        <v>642900</v>
      </c>
    </row>
    <row r="1143" spans="1:19">
      <c r="A1143" s="41" t="s">
        <v>1078</v>
      </c>
      <c r="B1143" s="41" t="str">
        <f t="shared" si="76"/>
        <v>005032400</v>
      </c>
      <c r="D1143" s="42">
        <f>VLOOKUP($A1143,'Neraca Unaudited SIMAK'!$A$2:$R$1272,3,FALSE)+IF(ISNA(VLOOKUP($A1143,'Mutasi Neraca'!$A$3:$S$910,3,FALSE)),0,VLOOKUP($A1143,'Mutasi Neraca'!$A$3:$S$910,3,FALSE))</f>
        <v>1222492</v>
      </c>
      <c r="E1143" s="42">
        <f>VLOOKUP($A1143,'Neraca Unaudited SIMAK'!$A$2:$R$1272,4,FALSE)+IF(ISNA(VLOOKUP($A1143,'Mutasi Neraca'!$A$3:$S$910,4,FALSE)),0,VLOOKUP($A1143,'Mutasi Neraca'!$A$3:$S$910,4,FALSE))</f>
        <v>0</v>
      </c>
      <c r="F1143" s="42">
        <f>VLOOKUP($A1143,'Neraca Unaudited SIMAK'!$A$2:$R$1272,5,FALSE)+IF(ISNA(VLOOKUP($A1143,'Mutasi Neraca'!$A$3:$S$910,5,FALSE)),0,VLOOKUP($A1143,'Mutasi Neraca'!$A$3:$S$910,5,FALSE))</f>
        <v>0</v>
      </c>
      <c r="G1143" s="42">
        <f>VLOOKUP($A1143,'Neraca Unaudited SIMAK'!$A$2:$R$1272,6,FALSE)+IF(ISNA(VLOOKUP($A1143,'Mutasi Neraca'!$A$3:$S$910,6,FALSE)),0,VLOOKUP($A1143,'Mutasi Neraca'!$A$3:$S$910,6,FALSE))</f>
        <v>0</v>
      </c>
      <c r="H1143" s="42">
        <f>VLOOKUP($A1143,'Neraca Unaudited SIMAK'!$A$2:$R$1272,7,FALSE)+IF(ISNA(VLOOKUP($A1143,'Mutasi Neraca'!$A$3:$S$910,7,FALSE)),0,VLOOKUP($A1143,'Mutasi Neraca'!$A$3:$S$910,7,FALSE))</f>
        <v>0</v>
      </c>
      <c r="I1143" s="42">
        <f>VLOOKUP($A1143,'Neraca Unaudited SIMAK'!$A$2:$R$1272,8,FALSE)+IF(ISNA(VLOOKUP($A1143,'Mutasi Neraca'!$A$3:$S$910,8,FALSE)),0,VLOOKUP($A1143,'Mutasi Neraca'!$A$3:$S$910,8,FALSE))</f>
        <v>0</v>
      </c>
      <c r="J1143" s="42">
        <f>VLOOKUP($A1143,'Neraca Unaudited SIMAK'!$A$2:$R$1272,9,FALSE)+IF(ISNA(VLOOKUP($A1143,'Mutasi Neraca'!$A$3:$S$910,9,FALSE)),0,VLOOKUP($A1143,'Mutasi Neraca'!$A$3:$S$910,9,FALSE))</f>
        <v>0</v>
      </c>
      <c r="K1143" s="42">
        <f>VLOOKUP($A1143,'Neraca Unaudited SIMAK'!$A$2:$R$1272,10,FALSE)+IF(ISNA(VLOOKUP($A1143,'Mutasi Neraca'!$A$3:$S$910,10,FALSE)),0,VLOOKUP($A1143,'Mutasi Neraca'!$A$3:$S$910,10,FALSE))</f>
        <v>0</v>
      </c>
      <c r="L1143" s="42">
        <f>VLOOKUP($A1143,'Neraca Unaudited SIMAK'!$A$2:$R$1272,11,FALSE)+IF(ISNA(VLOOKUP($A1143,'Mutasi Neraca'!$A$3:$S$910,11,FALSE)),0,VLOOKUP($A1143,'Mutasi Neraca'!$A$3:$S$910,11,FALSE))</f>
        <v>0</v>
      </c>
      <c r="M1143" s="42">
        <f>VLOOKUP($A1143,'Neraca Unaudited SIMAK'!$A$2:$R$1272,12,FALSE)+IF(ISNA(VLOOKUP($A1143,'Mutasi Neraca'!$A$3:$S$910,12,FALSE)),0,VLOOKUP($A1143,'Mutasi Neraca'!$A$3:$S$910,12,FALSE))</f>
        <v>1222492</v>
      </c>
      <c r="N1143" s="42">
        <f>VLOOKUP($A1143,'Neraca Unaudited SIMAK'!$A$2:$R$1272,13,FALSE)+IF(ISNA(VLOOKUP($A1143,'Mutasi Neraca'!$A$3:$S$910,13,FALSE)),0,VLOOKUP($A1143,'Mutasi Neraca'!$A$3:$S$910,13,FALSE))</f>
        <v>0</v>
      </c>
      <c r="O1143" s="42">
        <f>VLOOKUP($A1143,'Neraca Unaudited SIMAK'!$A$2:$R$1272,14,FALSE)+IF(ISNA(VLOOKUP($A1143,'Mutasi Neraca'!$A$3:$S$910,14,FALSE)),0,VLOOKUP($A1143,'Mutasi Neraca'!$A$3:$S$910,14,FALSE))</f>
        <v>0</v>
      </c>
      <c r="P1143" s="42">
        <f>VLOOKUP($A1143,'Neraca Unaudited SIMAK'!$A$2:$R$1272,15,FALSE)+IF(ISNA(VLOOKUP($A1143,'Mutasi Neraca'!$A$3:$S$910,15,FALSE)),0,VLOOKUP($A1143,'Mutasi Neraca'!$A$3:$S$910,15,FALSE))</f>
        <v>0</v>
      </c>
      <c r="Q1143" s="42">
        <f>VLOOKUP($A1143,'Neraca Unaudited SIMAK'!$A$2:$R$1272,16,FALSE)+IF(ISNA(VLOOKUP($A1143,'Mutasi Neraca'!$A$3:$S$910,16,FALSE)),0,VLOOKUP($A1143,'Mutasi Neraca'!$A$3:$S$910,16,FALSE))</f>
        <v>0</v>
      </c>
      <c r="R1143" s="42">
        <f>VLOOKUP($A1143,'Neraca Unaudited SIMAK'!$A$2:$R$1272,17,FALSE)+IF(ISNA(VLOOKUP($A1143,'Mutasi Neraca'!$A$3:$S$910,17,FALSE)),0,VLOOKUP($A1143,'Mutasi Neraca'!$A$3:$S$910,17,FALSE))</f>
        <v>0</v>
      </c>
      <c r="S1143" s="42">
        <f t="shared" si="77"/>
        <v>1222492</v>
      </c>
    </row>
    <row r="1144" spans="1:19">
      <c r="A1144" s="41" t="s">
        <v>1079</v>
      </c>
      <c r="B1144" s="41" t="str">
        <f t="shared" si="76"/>
        <v>005032400</v>
      </c>
      <c r="D1144" s="42">
        <f>VLOOKUP($A1144,'Neraca Unaudited SIMAK'!$A$2:$R$1272,3,FALSE)+IF(ISNA(VLOOKUP($A1144,'Mutasi Neraca'!$A$3:$S$910,3,FALSE)),0,VLOOKUP($A1144,'Mutasi Neraca'!$A$3:$S$910,3,FALSE))</f>
        <v>617000</v>
      </c>
      <c r="E1144" s="42">
        <f>VLOOKUP($A1144,'Neraca Unaudited SIMAK'!$A$2:$R$1272,4,FALSE)+IF(ISNA(VLOOKUP($A1144,'Mutasi Neraca'!$A$3:$S$910,4,FALSE)),0,VLOOKUP($A1144,'Mutasi Neraca'!$A$3:$S$910,4,FALSE))</f>
        <v>0</v>
      </c>
      <c r="F1144" s="42">
        <f>VLOOKUP($A1144,'Neraca Unaudited SIMAK'!$A$2:$R$1272,5,FALSE)+IF(ISNA(VLOOKUP($A1144,'Mutasi Neraca'!$A$3:$S$910,5,FALSE)),0,VLOOKUP($A1144,'Mutasi Neraca'!$A$3:$S$910,5,FALSE))</f>
        <v>0</v>
      </c>
      <c r="G1144" s="42">
        <f>VLOOKUP($A1144,'Neraca Unaudited SIMAK'!$A$2:$R$1272,6,FALSE)+IF(ISNA(VLOOKUP($A1144,'Mutasi Neraca'!$A$3:$S$910,6,FALSE)),0,VLOOKUP($A1144,'Mutasi Neraca'!$A$3:$S$910,6,FALSE))</f>
        <v>0</v>
      </c>
      <c r="H1144" s="42">
        <f>VLOOKUP($A1144,'Neraca Unaudited SIMAK'!$A$2:$R$1272,7,FALSE)+IF(ISNA(VLOOKUP($A1144,'Mutasi Neraca'!$A$3:$S$910,7,FALSE)),0,VLOOKUP($A1144,'Mutasi Neraca'!$A$3:$S$910,7,FALSE))</f>
        <v>0</v>
      </c>
      <c r="I1144" s="42">
        <f>VLOOKUP($A1144,'Neraca Unaudited SIMAK'!$A$2:$R$1272,8,FALSE)+IF(ISNA(VLOOKUP($A1144,'Mutasi Neraca'!$A$3:$S$910,8,FALSE)),0,VLOOKUP($A1144,'Mutasi Neraca'!$A$3:$S$910,8,FALSE))</f>
        <v>0</v>
      </c>
      <c r="J1144" s="42">
        <f>VLOOKUP($A1144,'Neraca Unaudited SIMAK'!$A$2:$R$1272,9,FALSE)+IF(ISNA(VLOOKUP($A1144,'Mutasi Neraca'!$A$3:$S$910,9,FALSE)),0,VLOOKUP($A1144,'Mutasi Neraca'!$A$3:$S$910,9,FALSE))</f>
        <v>0</v>
      </c>
      <c r="K1144" s="42">
        <f>VLOOKUP($A1144,'Neraca Unaudited SIMAK'!$A$2:$R$1272,10,FALSE)+IF(ISNA(VLOOKUP($A1144,'Mutasi Neraca'!$A$3:$S$910,10,FALSE)),0,VLOOKUP($A1144,'Mutasi Neraca'!$A$3:$S$910,10,FALSE))</f>
        <v>0</v>
      </c>
      <c r="L1144" s="42">
        <f>VLOOKUP($A1144,'Neraca Unaudited SIMAK'!$A$2:$R$1272,11,FALSE)+IF(ISNA(VLOOKUP($A1144,'Mutasi Neraca'!$A$3:$S$910,11,FALSE)),0,VLOOKUP($A1144,'Mutasi Neraca'!$A$3:$S$910,11,FALSE))</f>
        <v>0</v>
      </c>
      <c r="M1144" s="42">
        <f>VLOOKUP($A1144,'Neraca Unaudited SIMAK'!$A$2:$R$1272,12,FALSE)+IF(ISNA(VLOOKUP($A1144,'Mutasi Neraca'!$A$3:$S$910,12,FALSE)),0,VLOOKUP($A1144,'Mutasi Neraca'!$A$3:$S$910,12,FALSE))</f>
        <v>617000</v>
      </c>
      <c r="N1144" s="42">
        <f>VLOOKUP($A1144,'Neraca Unaudited SIMAK'!$A$2:$R$1272,13,FALSE)+IF(ISNA(VLOOKUP($A1144,'Mutasi Neraca'!$A$3:$S$910,13,FALSE)),0,VLOOKUP($A1144,'Mutasi Neraca'!$A$3:$S$910,13,FALSE))</f>
        <v>0</v>
      </c>
      <c r="O1144" s="42">
        <f>VLOOKUP($A1144,'Neraca Unaudited SIMAK'!$A$2:$R$1272,14,FALSE)+IF(ISNA(VLOOKUP($A1144,'Mutasi Neraca'!$A$3:$S$910,14,FALSE)),0,VLOOKUP($A1144,'Mutasi Neraca'!$A$3:$S$910,14,FALSE))</f>
        <v>0</v>
      </c>
      <c r="P1144" s="42">
        <f>VLOOKUP($A1144,'Neraca Unaudited SIMAK'!$A$2:$R$1272,15,FALSE)+IF(ISNA(VLOOKUP($A1144,'Mutasi Neraca'!$A$3:$S$910,15,FALSE)),0,VLOOKUP($A1144,'Mutasi Neraca'!$A$3:$S$910,15,FALSE))</f>
        <v>0</v>
      </c>
      <c r="Q1144" s="42">
        <f>VLOOKUP($A1144,'Neraca Unaudited SIMAK'!$A$2:$R$1272,16,FALSE)+IF(ISNA(VLOOKUP($A1144,'Mutasi Neraca'!$A$3:$S$910,16,FALSE)),0,VLOOKUP($A1144,'Mutasi Neraca'!$A$3:$S$910,16,FALSE))</f>
        <v>0</v>
      </c>
      <c r="R1144" s="42">
        <f>VLOOKUP($A1144,'Neraca Unaudited SIMAK'!$A$2:$R$1272,17,FALSE)+IF(ISNA(VLOOKUP($A1144,'Mutasi Neraca'!$A$3:$S$910,17,FALSE)),0,VLOOKUP($A1144,'Mutasi Neraca'!$A$3:$S$910,17,FALSE))</f>
        <v>0</v>
      </c>
      <c r="S1144" s="42">
        <f t="shared" si="77"/>
        <v>617000</v>
      </c>
    </row>
    <row r="1145" spans="1:19">
      <c r="A1145" s="41" t="s">
        <v>2068</v>
      </c>
      <c r="B1145" s="41" t="str">
        <f t="shared" si="76"/>
        <v>005032400</v>
      </c>
      <c r="D1145" s="42">
        <f>VLOOKUP($A1145,'Neraca Unaudited SIMAK'!$A$2:$R$1272,3,FALSE)+IF(ISNA(VLOOKUP($A1145,'Mutasi Neraca'!$A$3:$S$910,3,FALSE)),0,VLOOKUP($A1145,'Mutasi Neraca'!$A$3:$S$910,3,FALSE))</f>
        <v>3698828</v>
      </c>
      <c r="E1145" s="42">
        <f>VLOOKUP($A1145,'Neraca Unaudited SIMAK'!$A$2:$R$1272,4,FALSE)+IF(ISNA(VLOOKUP($A1145,'Mutasi Neraca'!$A$3:$S$910,4,FALSE)),0,VLOOKUP($A1145,'Mutasi Neraca'!$A$3:$S$910,4,FALSE))</f>
        <v>0</v>
      </c>
      <c r="F1145" s="42">
        <f>VLOOKUP($A1145,'Neraca Unaudited SIMAK'!$A$2:$R$1272,5,FALSE)+IF(ISNA(VLOOKUP($A1145,'Mutasi Neraca'!$A$3:$S$910,5,FALSE)),0,VLOOKUP($A1145,'Mutasi Neraca'!$A$3:$S$910,5,FALSE))</f>
        <v>0</v>
      </c>
      <c r="G1145" s="42">
        <f>VLOOKUP($A1145,'Neraca Unaudited SIMAK'!$A$2:$R$1272,6,FALSE)+IF(ISNA(VLOOKUP($A1145,'Mutasi Neraca'!$A$3:$S$910,6,FALSE)),0,VLOOKUP($A1145,'Mutasi Neraca'!$A$3:$S$910,6,FALSE))</f>
        <v>0</v>
      </c>
      <c r="H1145" s="42">
        <f>VLOOKUP($A1145,'Neraca Unaudited SIMAK'!$A$2:$R$1272,7,FALSE)+IF(ISNA(VLOOKUP($A1145,'Mutasi Neraca'!$A$3:$S$910,7,FALSE)),0,VLOOKUP($A1145,'Mutasi Neraca'!$A$3:$S$910,7,FALSE))</f>
        <v>0</v>
      </c>
      <c r="I1145" s="42">
        <f>VLOOKUP($A1145,'Neraca Unaudited SIMAK'!$A$2:$R$1272,8,FALSE)+IF(ISNA(VLOOKUP($A1145,'Mutasi Neraca'!$A$3:$S$910,8,FALSE)),0,VLOOKUP($A1145,'Mutasi Neraca'!$A$3:$S$910,8,FALSE))</f>
        <v>0</v>
      </c>
      <c r="J1145" s="42">
        <f>VLOOKUP($A1145,'Neraca Unaudited SIMAK'!$A$2:$R$1272,9,FALSE)+IF(ISNA(VLOOKUP($A1145,'Mutasi Neraca'!$A$3:$S$910,9,FALSE)),0,VLOOKUP($A1145,'Mutasi Neraca'!$A$3:$S$910,9,FALSE))</f>
        <v>0</v>
      </c>
      <c r="K1145" s="42">
        <f>VLOOKUP($A1145,'Neraca Unaudited SIMAK'!$A$2:$R$1272,10,FALSE)+IF(ISNA(VLOOKUP($A1145,'Mutasi Neraca'!$A$3:$S$910,10,FALSE)),0,VLOOKUP($A1145,'Mutasi Neraca'!$A$3:$S$910,10,FALSE))</f>
        <v>0</v>
      </c>
      <c r="L1145" s="42">
        <f>VLOOKUP($A1145,'Neraca Unaudited SIMAK'!$A$2:$R$1272,11,FALSE)+IF(ISNA(VLOOKUP($A1145,'Mutasi Neraca'!$A$3:$S$910,11,FALSE)),0,VLOOKUP($A1145,'Mutasi Neraca'!$A$3:$S$910,11,FALSE))</f>
        <v>0</v>
      </c>
      <c r="M1145" s="42">
        <f>VLOOKUP($A1145,'Neraca Unaudited SIMAK'!$A$2:$R$1272,12,FALSE)+IF(ISNA(VLOOKUP($A1145,'Mutasi Neraca'!$A$3:$S$910,12,FALSE)),0,VLOOKUP($A1145,'Mutasi Neraca'!$A$3:$S$910,12,FALSE))</f>
        <v>3698828</v>
      </c>
      <c r="N1145" s="42">
        <f>VLOOKUP($A1145,'Neraca Unaudited SIMAK'!$A$2:$R$1272,13,FALSE)+IF(ISNA(VLOOKUP($A1145,'Mutasi Neraca'!$A$3:$S$910,13,FALSE)),0,VLOOKUP($A1145,'Mutasi Neraca'!$A$3:$S$910,13,FALSE))</f>
        <v>0</v>
      </c>
      <c r="O1145" s="42">
        <f>VLOOKUP($A1145,'Neraca Unaudited SIMAK'!$A$2:$R$1272,14,FALSE)+IF(ISNA(VLOOKUP($A1145,'Mutasi Neraca'!$A$3:$S$910,14,FALSE)),0,VLOOKUP($A1145,'Mutasi Neraca'!$A$3:$S$910,14,FALSE))</f>
        <v>0</v>
      </c>
      <c r="P1145" s="42">
        <f>VLOOKUP($A1145,'Neraca Unaudited SIMAK'!$A$2:$R$1272,15,FALSE)+IF(ISNA(VLOOKUP($A1145,'Mutasi Neraca'!$A$3:$S$910,15,FALSE)),0,VLOOKUP($A1145,'Mutasi Neraca'!$A$3:$S$910,15,FALSE))</f>
        <v>0</v>
      </c>
      <c r="Q1145" s="42">
        <f>VLOOKUP($A1145,'Neraca Unaudited SIMAK'!$A$2:$R$1272,16,FALSE)+IF(ISNA(VLOOKUP($A1145,'Mutasi Neraca'!$A$3:$S$910,16,FALSE)),0,VLOOKUP($A1145,'Mutasi Neraca'!$A$3:$S$910,16,FALSE))</f>
        <v>0</v>
      </c>
      <c r="R1145" s="42">
        <f>VLOOKUP($A1145,'Neraca Unaudited SIMAK'!$A$2:$R$1272,17,FALSE)+IF(ISNA(VLOOKUP($A1145,'Mutasi Neraca'!$A$3:$S$910,17,FALSE)),0,VLOOKUP($A1145,'Mutasi Neraca'!$A$3:$S$910,17,FALSE))</f>
        <v>0</v>
      </c>
      <c r="S1145" s="42">
        <f t="shared" si="77"/>
        <v>3698828</v>
      </c>
    </row>
    <row r="1146" spans="1:19">
      <c r="A1146" s="41" t="s">
        <v>2272</v>
      </c>
      <c r="B1146" s="41" t="str">
        <f t="shared" si="76"/>
        <v>005032400</v>
      </c>
      <c r="D1146" s="42">
        <f>VLOOKUP($A1146,'Neraca Unaudited SIMAK'!$A$2:$R$1272,3,FALSE)+IF(ISNA(VLOOKUP($A1146,'Mutasi Neraca'!$A$3:$S$910,3,FALSE)),0,VLOOKUP($A1146,'Mutasi Neraca'!$A$3:$S$910,3,FALSE))</f>
        <v>15838000</v>
      </c>
      <c r="E1146" s="42">
        <f>VLOOKUP($A1146,'Neraca Unaudited SIMAK'!$A$2:$R$1272,4,FALSE)+IF(ISNA(VLOOKUP($A1146,'Mutasi Neraca'!$A$3:$S$910,4,FALSE)),0,VLOOKUP($A1146,'Mutasi Neraca'!$A$3:$S$910,4,FALSE))</f>
        <v>0</v>
      </c>
      <c r="F1146" s="42">
        <f>VLOOKUP($A1146,'Neraca Unaudited SIMAK'!$A$2:$R$1272,5,FALSE)+IF(ISNA(VLOOKUP($A1146,'Mutasi Neraca'!$A$3:$S$910,5,FALSE)),0,VLOOKUP($A1146,'Mutasi Neraca'!$A$3:$S$910,5,FALSE))</f>
        <v>0</v>
      </c>
      <c r="G1146" s="42">
        <f>VLOOKUP($A1146,'Neraca Unaudited SIMAK'!$A$2:$R$1272,6,FALSE)+IF(ISNA(VLOOKUP($A1146,'Mutasi Neraca'!$A$3:$S$910,6,FALSE)),0,VLOOKUP($A1146,'Mutasi Neraca'!$A$3:$S$910,6,FALSE))</f>
        <v>0</v>
      </c>
      <c r="H1146" s="42">
        <f>VLOOKUP($A1146,'Neraca Unaudited SIMAK'!$A$2:$R$1272,7,FALSE)+IF(ISNA(VLOOKUP($A1146,'Mutasi Neraca'!$A$3:$S$910,7,FALSE)),0,VLOOKUP($A1146,'Mutasi Neraca'!$A$3:$S$910,7,FALSE))</f>
        <v>0</v>
      </c>
      <c r="I1146" s="42">
        <f>VLOOKUP($A1146,'Neraca Unaudited SIMAK'!$A$2:$R$1272,8,FALSE)+IF(ISNA(VLOOKUP($A1146,'Mutasi Neraca'!$A$3:$S$910,8,FALSE)),0,VLOOKUP($A1146,'Mutasi Neraca'!$A$3:$S$910,8,FALSE))</f>
        <v>0</v>
      </c>
      <c r="J1146" s="42">
        <f>VLOOKUP($A1146,'Neraca Unaudited SIMAK'!$A$2:$R$1272,9,FALSE)+IF(ISNA(VLOOKUP($A1146,'Mutasi Neraca'!$A$3:$S$910,9,FALSE)),0,VLOOKUP($A1146,'Mutasi Neraca'!$A$3:$S$910,9,FALSE))</f>
        <v>0</v>
      </c>
      <c r="K1146" s="42">
        <f>VLOOKUP($A1146,'Neraca Unaudited SIMAK'!$A$2:$R$1272,10,FALSE)+IF(ISNA(VLOOKUP($A1146,'Mutasi Neraca'!$A$3:$S$910,10,FALSE)),0,VLOOKUP($A1146,'Mutasi Neraca'!$A$3:$S$910,10,FALSE))</f>
        <v>0</v>
      </c>
      <c r="L1146" s="42">
        <f>VLOOKUP($A1146,'Neraca Unaudited SIMAK'!$A$2:$R$1272,11,FALSE)+IF(ISNA(VLOOKUP($A1146,'Mutasi Neraca'!$A$3:$S$910,11,FALSE)),0,VLOOKUP($A1146,'Mutasi Neraca'!$A$3:$S$910,11,FALSE))</f>
        <v>0</v>
      </c>
      <c r="M1146" s="42">
        <f>VLOOKUP($A1146,'Neraca Unaudited SIMAK'!$A$2:$R$1272,12,FALSE)+IF(ISNA(VLOOKUP($A1146,'Mutasi Neraca'!$A$3:$S$910,12,FALSE)),0,VLOOKUP($A1146,'Mutasi Neraca'!$A$3:$S$910,12,FALSE))</f>
        <v>15838000</v>
      </c>
      <c r="N1146" s="42">
        <f>VLOOKUP($A1146,'Neraca Unaudited SIMAK'!$A$2:$R$1272,13,FALSE)+IF(ISNA(VLOOKUP($A1146,'Mutasi Neraca'!$A$3:$S$910,13,FALSE)),0,VLOOKUP($A1146,'Mutasi Neraca'!$A$3:$S$910,13,FALSE))</f>
        <v>0</v>
      </c>
      <c r="O1146" s="42">
        <f>VLOOKUP($A1146,'Neraca Unaudited SIMAK'!$A$2:$R$1272,14,FALSE)+IF(ISNA(VLOOKUP($A1146,'Mutasi Neraca'!$A$3:$S$910,14,FALSE)),0,VLOOKUP($A1146,'Mutasi Neraca'!$A$3:$S$910,14,FALSE))</f>
        <v>0</v>
      </c>
      <c r="P1146" s="42">
        <f>VLOOKUP($A1146,'Neraca Unaudited SIMAK'!$A$2:$R$1272,15,FALSE)+IF(ISNA(VLOOKUP($A1146,'Mutasi Neraca'!$A$3:$S$910,15,FALSE)),0,VLOOKUP($A1146,'Mutasi Neraca'!$A$3:$S$910,15,FALSE))</f>
        <v>0</v>
      </c>
      <c r="Q1146" s="42">
        <f>VLOOKUP($A1146,'Neraca Unaudited SIMAK'!$A$2:$R$1272,16,FALSE)+IF(ISNA(VLOOKUP($A1146,'Mutasi Neraca'!$A$3:$S$910,16,FALSE)),0,VLOOKUP($A1146,'Mutasi Neraca'!$A$3:$S$910,16,FALSE))</f>
        <v>0</v>
      </c>
      <c r="R1146" s="42">
        <f>VLOOKUP($A1146,'Neraca Unaudited SIMAK'!$A$2:$R$1272,17,FALSE)+IF(ISNA(VLOOKUP($A1146,'Mutasi Neraca'!$A$3:$S$910,17,FALSE)),0,VLOOKUP($A1146,'Mutasi Neraca'!$A$3:$S$910,17,FALSE))</f>
        <v>0</v>
      </c>
      <c r="S1146" s="42">
        <f t="shared" si="77"/>
        <v>15838000</v>
      </c>
    </row>
    <row r="1147" spans="1:19">
      <c r="A1147" s="41" t="s">
        <v>1080</v>
      </c>
      <c r="B1147" s="41" t="str">
        <f t="shared" si="76"/>
        <v>005032400</v>
      </c>
      <c r="D1147" s="42">
        <f>VLOOKUP($A1147,'Neraca Unaudited SIMAK'!$A$2:$R$1272,3,FALSE)+IF(ISNA(VLOOKUP($A1147,'Mutasi Neraca'!$A$3:$S$910,3,FALSE)),0,VLOOKUP($A1147,'Mutasi Neraca'!$A$3:$S$910,3,FALSE))</f>
        <v>17664775</v>
      </c>
      <c r="E1147" s="42">
        <f>VLOOKUP($A1147,'Neraca Unaudited SIMAK'!$A$2:$R$1272,4,FALSE)+IF(ISNA(VLOOKUP($A1147,'Mutasi Neraca'!$A$3:$S$910,4,FALSE)),0,VLOOKUP($A1147,'Mutasi Neraca'!$A$3:$S$910,4,FALSE))</f>
        <v>0</v>
      </c>
      <c r="F1147" s="42">
        <f>VLOOKUP($A1147,'Neraca Unaudited SIMAK'!$A$2:$R$1272,5,FALSE)+IF(ISNA(VLOOKUP($A1147,'Mutasi Neraca'!$A$3:$S$910,5,FALSE)),0,VLOOKUP($A1147,'Mutasi Neraca'!$A$3:$S$910,5,FALSE))</f>
        <v>0</v>
      </c>
      <c r="G1147" s="42">
        <f>VLOOKUP($A1147,'Neraca Unaudited SIMAK'!$A$2:$R$1272,6,FALSE)+IF(ISNA(VLOOKUP($A1147,'Mutasi Neraca'!$A$3:$S$910,6,FALSE)),0,VLOOKUP($A1147,'Mutasi Neraca'!$A$3:$S$910,6,FALSE))</f>
        <v>0</v>
      </c>
      <c r="H1147" s="42">
        <f>VLOOKUP($A1147,'Neraca Unaudited SIMAK'!$A$2:$R$1272,7,FALSE)+IF(ISNA(VLOOKUP($A1147,'Mutasi Neraca'!$A$3:$S$910,7,FALSE)),0,VLOOKUP($A1147,'Mutasi Neraca'!$A$3:$S$910,7,FALSE))</f>
        <v>0</v>
      </c>
      <c r="I1147" s="42">
        <f>VLOOKUP($A1147,'Neraca Unaudited SIMAK'!$A$2:$R$1272,8,FALSE)+IF(ISNA(VLOOKUP($A1147,'Mutasi Neraca'!$A$3:$S$910,8,FALSE)),0,VLOOKUP($A1147,'Mutasi Neraca'!$A$3:$S$910,8,FALSE))</f>
        <v>0</v>
      </c>
      <c r="J1147" s="42">
        <f>VLOOKUP($A1147,'Neraca Unaudited SIMAK'!$A$2:$R$1272,9,FALSE)+IF(ISNA(VLOOKUP($A1147,'Mutasi Neraca'!$A$3:$S$910,9,FALSE)),0,VLOOKUP($A1147,'Mutasi Neraca'!$A$3:$S$910,9,FALSE))</f>
        <v>0</v>
      </c>
      <c r="K1147" s="42">
        <f>VLOOKUP($A1147,'Neraca Unaudited SIMAK'!$A$2:$R$1272,10,FALSE)+IF(ISNA(VLOOKUP($A1147,'Mutasi Neraca'!$A$3:$S$910,10,FALSE)),0,VLOOKUP($A1147,'Mutasi Neraca'!$A$3:$S$910,10,FALSE))</f>
        <v>0</v>
      </c>
      <c r="L1147" s="42">
        <f>VLOOKUP($A1147,'Neraca Unaudited SIMAK'!$A$2:$R$1272,11,FALSE)+IF(ISNA(VLOOKUP($A1147,'Mutasi Neraca'!$A$3:$S$910,11,FALSE)),0,VLOOKUP($A1147,'Mutasi Neraca'!$A$3:$S$910,11,FALSE))</f>
        <v>0</v>
      </c>
      <c r="M1147" s="42">
        <f>VLOOKUP($A1147,'Neraca Unaudited SIMAK'!$A$2:$R$1272,12,FALSE)+IF(ISNA(VLOOKUP($A1147,'Mutasi Neraca'!$A$3:$S$910,12,FALSE)),0,VLOOKUP($A1147,'Mutasi Neraca'!$A$3:$S$910,12,FALSE))</f>
        <v>17664775</v>
      </c>
      <c r="N1147" s="42">
        <f>VLOOKUP($A1147,'Neraca Unaudited SIMAK'!$A$2:$R$1272,13,FALSE)+IF(ISNA(VLOOKUP($A1147,'Mutasi Neraca'!$A$3:$S$910,13,FALSE)),0,VLOOKUP($A1147,'Mutasi Neraca'!$A$3:$S$910,13,FALSE))</f>
        <v>0</v>
      </c>
      <c r="O1147" s="42">
        <f>VLOOKUP($A1147,'Neraca Unaudited SIMAK'!$A$2:$R$1272,14,FALSE)+IF(ISNA(VLOOKUP($A1147,'Mutasi Neraca'!$A$3:$S$910,14,FALSE)),0,VLOOKUP($A1147,'Mutasi Neraca'!$A$3:$S$910,14,FALSE))</f>
        <v>0</v>
      </c>
      <c r="P1147" s="42">
        <f>VLOOKUP($A1147,'Neraca Unaudited SIMAK'!$A$2:$R$1272,15,FALSE)+IF(ISNA(VLOOKUP($A1147,'Mutasi Neraca'!$A$3:$S$910,15,FALSE)),0,VLOOKUP($A1147,'Mutasi Neraca'!$A$3:$S$910,15,FALSE))</f>
        <v>0</v>
      </c>
      <c r="Q1147" s="42">
        <f>VLOOKUP($A1147,'Neraca Unaudited SIMAK'!$A$2:$R$1272,16,FALSE)+IF(ISNA(VLOOKUP($A1147,'Mutasi Neraca'!$A$3:$S$910,16,FALSE)),0,VLOOKUP($A1147,'Mutasi Neraca'!$A$3:$S$910,16,FALSE))</f>
        <v>0</v>
      </c>
      <c r="R1147" s="42">
        <f>VLOOKUP($A1147,'Neraca Unaudited SIMAK'!$A$2:$R$1272,17,FALSE)+IF(ISNA(VLOOKUP($A1147,'Mutasi Neraca'!$A$3:$S$910,17,FALSE)),0,VLOOKUP($A1147,'Mutasi Neraca'!$A$3:$S$910,17,FALSE))</f>
        <v>0</v>
      </c>
      <c r="S1147" s="42">
        <f t="shared" si="77"/>
        <v>17664775</v>
      </c>
    </row>
    <row r="1148" spans="1:19">
      <c r="A1148" s="41" t="s">
        <v>1081</v>
      </c>
      <c r="B1148" s="41" t="str">
        <f t="shared" si="76"/>
        <v>005032400</v>
      </c>
      <c r="D1148" s="42">
        <f>VLOOKUP($A1148,'Neraca Unaudited SIMAK'!$A$2:$R$1272,3,FALSE)+IF(ISNA(VLOOKUP($A1148,'Mutasi Neraca'!$A$3:$S$910,3,FALSE)),0,VLOOKUP($A1148,'Mutasi Neraca'!$A$3:$S$910,3,FALSE))</f>
        <v>237000</v>
      </c>
      <c r="E1148" s="42">
        <f>VLOOKUP($A1148,'Neraca Unaudited SIMAK'!$A$2:$R$1272,4,FALSE)+IF(ISNA(VLOOKUP($A1148,'Mutasi Neraca'!$A$3:$S$910,4,FALSE)),0,VLOOKUP($A1148,'Mutasi Neraca'!$A$3:$S$910,4,FALSE))</f>
        <v>0</v>
      </c>
      <c r="F1148" s="42">
        <f>VLOOKUP($A1148,'Neraca Unaudited SIMAK'!$A$2:$R$1272,5,FALSE)+IF(ISNA(VLOOKUP($A1148,'Mutasi Neraca'!$A$3:$S$910,5,FALSE)),0,VLOOKUP($A1148,'Mutasi Neraca'!$A$3:$S$910,5,FALSE))</f>
        <v>0</v>
      </c>
      <c r="G1148" s="42">
        <f>VLOOKUP($A1148,'Neraca Unaudited SIMAK'!$A$2:$R$1272,6,FALSE)+IF(ISNA(VLOOKUP($A1148,'Mutasi Neraca'!$A$3:$S$910,6,FALSE)),0,VLOOKUP($A1148,'Mutasi Neraca'!$A$3:$S$910,6,FALSE))</f>
        <v>0</v>
      </c>
      <c r="H1148" s="42">
        <f>VLOOKUP($A1148,'Neraca Unaudited SIMAK'!$A$2:$R$1272,7,FALSE)+IF(ISNA(VLOOKUP($A1148,'Mutasi Neraca'!$A$3:$S$910,7,FALSE)),0,VLOOKUP($A1148,'Mutasi Neraca'!$A$3:$S$910,7,FALSE))</f>
        <v>0</v>
      </c>
      <c r="I1148" s="42">
        <f>VLOOKUP($A1148,'Neraca Unaudited SIMAK'!$A$2:$R$1272,8,FALSE)+IF(ISNA(VLOOKUP($A1148,'Mutasi Neraca'!$A$3:$S$910,8,FALSE)),0,VLOOKUP($A1148,'Mutasi Neraca'!$A$3:$S$910,8,FALSE))</f>
        <v>0</v>
      </c>
      <c r="J1148" s="42">
        <f>VLOOKUP($A1148,'Neraca Unaudited SIMAK'!$A$2:$R$1272,9,FALSE)+IF(ISNA(VLOOKUP($A1148,'Mutasi Neraca'!$A$3:$S$910,9,FALSE)),0,VLOOKUP($A1148,'Mutasi Neraca'!$A$3:$S$910,9,FALSE))</f>
        <v>0</v>
      </c>
      <c r="K1148" s="42">
        <f>VLOOKUP($A1148,'Neraca Unaudited SIMAK'!$A$2:$R$1272,10,FALSE)+IF(ISNA(VLOOKUP($A1148,'Mutasi Neraca'!$A$3:$S$910,10,FALSE)),0,VLOOKUP($A1148,'Mutasi Neraca'!$A$3:$S$910,10,FALSE))</f>
        <v>0</v>
      </c>
      <c r="L1148" s="42">
        <f>VLOOKUP($A1148,'Neraca Unaudited SIMAK'!$A$2:$R$1272,11,FALSE)+IF(ISNA(VLOOKUP($A1148,'Mutasi Neraca'!$A$3:$S$910,11,FALSE)),0,VLOOKUP($A1148,'Mutasi Neraca'!$A$3:$S$910,11,FALSE))</f>
        <v>0</v>
      </c>
      <c r="M1148" s="42">
        <f>VLOOKUP($A1148,'Neraca Unaudited SIMAK'!$A$2:$R$1272,12,FALSE)+IF(ISNA(VLOOKUP($A1148,'Mutasi Neraca'!$A$3:$S$910,12,FALSE)),0,VLOOKUP($A1148,'Mutasi Neraca'!$A$3:$S$910,12,FALSE))</f>
        <v>237000</v>
      </c>
      <c r="N1148" s="42">
        <f>VLOOKUP($A1148,'Neraca Unaudited SIMAK'!$A$2:$R$1272,13,FALSE)+IF(ISNA(VLOOKUP($A1148,'Mutasi Neraca'!$A$3:$S$910,13,FALSE)),0,VLOOKUP($A1148,'Mutasi Neraca'!$A$3:$S$910,13,FALSE))</f>
        <v>0</v>
      </c>
      <c r="O1148" s="42">
        <f>VLOOKUP($A1148,'Neraca Unaudited SIMAK'!$A$2:$R$1272,14,FALSE)+IF(ISNA(VLOOKUP($A1148,'Mutasi Neraca'!$A$3:$S$910,14,FALSE)),0,VLOOKUP($A1148,'Mutasi Neraca'!$A$3:$S$910,14,FALSE))</f>
        <v>0</v>
      </c>
      <c r="P1148" s="42">
        <f>VLOOKUP($A1148,'Neraca Unaudited SIMAK'!$A$2:$R$1272,15,FALSE)+IF(ISNA(VLOOKUP($A1148,'Mutasi Neraca'!$A$3:$S$910,15,FALSE)),0,VLOOKUP($A1148,'Mutasi Neraca'!$A$3:$S$910,15,FALSE))</f>
        <v>0</v>
      </c>
      <c r="Q1148" s="42">
        <f>VLOOKUP($A1148,'Neraca Unaudited SIMAK'!$A$2:$R$1272,16,FALSE)+IF(ISNA(VLOOKUP($A1148,'Mutasi Neraca'!$A$3:$S$910,16,FALSE)),0,VLOOKUP($A1148,'Mutasi Neraca'!$A$3:$S$910,16,FALSE))</f>
        <v>0</v>
      </c>
      <c r="R1148" s="42">
        <f>VLOOKUP($A1148,'Neraca Unaudited SIMAK'!$A$2:$R$1272,17,FALSE)+IF(ISNA(VLOOKUP($A1148,'Mutasi Neraca'!$A$3:$S$910,17,FALSE)),0,VLOOKUP($A1148,'Mutasi Neraca'!$A$3:$S$910,17,FALSE))</f>
        <v>0</v>
      </c>
      <c r="S1148" s="42">
        <f t="shared" si="77"/>
        <v>237000</v>
      </c>
    </row>
    <row r="1149" spans="1:19">
      <c r="A1149" s="41" t="s">
        <v>2069</v>
      </c>
      <c r="B1149" s="41" t="str">
        <f t="shared" si="76"/>
        <v>005032400</v>
      </c>
      <c r="D1149" s="42">
        <f>VLOOKUP($A1149,'Neraca Unaudited SIMAK'!$A$2:$R$1272,3,FALSE)+IF(ISNA(VLOOKUP($A1149,'Mutasi Neraca'!$A$3:$S$910,3,FALSE)),0,VLOOKUP($A1149,'Mutasi Neraca'!$A$3:$S$910,3,FALSE))</f>
        <v>0</v>
      </c>
      <c r="E1149" s="42">
        <f>VLOOKUP($A1149,'Neraca Unaudited SIMAK'!$A$2:$R$1272,4,FALSE)+IF(ISNA(VLOOKUP($A1149,'Mutasi Neraca'!$A$3:$S$910,4,FALSE)),0,VLOOKUP($A1149,'Mutasi Neraca'!$A$3:$S$910,4,FALSE))</f>
        <v>0</v>
      </c>
      <c r="F1149" s="42">
        <f>VLOOKUP($A1149,'Neraca Unaudited SIMAK'!$A$2:$R$1272,5,FALSE)+IF(ISNA(VLOOKUP($A1149,'Mutasi Neraca'!$A$3:$S$910,5,FALSE)),0,VLOOKUP($A1149,'Mutasi Neraca'!$A$3:$S$910,5,FALSE))</f>
        <v>0</v>
      </c>
      <c r="G1149" s="42">
        <f>VLOOKUP($A1149,'Neraca Unaudited SIMAK'!$A$2:$R$1272,6,FALSE)+IF(ISNA(VLOOKUP($A1149,'Mutasi Neraca'!$A$3:$S$910,6,FALSE)),0,VLOOKUP($A1149,'Mutasi Neraca'!$A$3:$S$910,6,FALSE))</f>
        <v>0</v>
      </c>
      <c r="H1149" s="42">
        <f>VLOOKUP($A1149,'Neraca Unaudited SIMAK'!$A$2:$R$1272,7,FALSE)+IF(ISNA(VLOOKUP($A1149,'Mutasi Neraca'!$A$3:$S$910,7,FALSE)),0,VLOOKUP($A1149,'Mutasi Neraca'!$A$3:$S$910,7,FALSE))</f>
        <v>0</v>
      </c>
      <c r="I1149" s="42">
        <f>VLOOKUP($A1149,'Neraca Unaudited SIMAK'!$A$2:$R$1272,8,FALSE)+IF(ISNA(VLOOKUP($A1149,'Mutasi Neraca'!$A$3:$S$910,8,FALSE)),0,VLOOKUP($A1149,'Mutasi Neraca'!$A$3:$S$910,8,FALSE))</f>
        <v>0</v>
      </c>
      <c r="J1149" s="42">
        <f>VLOOKUP($A1149,'Neraca Unaudited SIMAK'!$A$2:$R$1272,9,FALSE)+IF(ISNA(VLOOKUP($A1149,'Mutasi Neraca'!$A$3:$S$910,9,FALSE)),0,VLOOKUP($A1149,'Mutasi Neraca'!$A$3:$S$910,9,FALSE))</f>
        <v>0</v>
      </c>
      <c r="K1149" s="42">
        <f>VLOOKUP($A1149,'Neraca Unaudited SIMAK'!$A$2:$R$1272,10,FALSE)+IF(ISNA(VLOOKUP($A1149,'Mutasi Neraca'!$A$3:$S$910,10,FALSE)),0,VLOOKUP($A1149,'Mutasi Neraca'!$A$3:$S$910,10,FALSE))</f>
        <v>0</v>
      </c>
      <c r="L1149" s="42">
        <f>VLOOKUP($A1149,'Neraca Unaudited SIMAK'!$A$2:$R$1272,11,FALSE)+IF(ISNA(VLOOKUP($A1149,'Mutasi Neraca'!$A$3:$S$910,11,FALSE)),0,VLOOKUP($A1149,'Mutasi Neraca'!$A$3:$S$910,11,FALSE))</f>
        <v>0</v>
      </c>
      <c r="M1149" s="42">
        <f>VLOOKUP($A1149,'Neraca Unaudited SIMAK'!$A$2:$R$1272,12,FALSE)+IF(ISNA(VLOOKUP($A1149,'Mutasi Neraca'!$A$3:$S$910,12,FALSE)),0,VLOOKUP($A1149,'Mutasi Neraca'!$A$3:$S$910,12,FALSE))</f>
        <v>0</v>
      </c>
      <c r="N1149" s="42">
        <f>VLOOKUP($A1149,'Neraca Unaudited SIMAK'!$A$2:$R$1272,13,FALSE)+IF(ISNA(VLOOKUP($A1149,'Mutasi Neraca'!$A$3:$S$910,13,FALSE)),0,VLOOKUP($A1149,'Mutasi Neraca'!$A$3:$S$910,13,FALSE))</f>
        <v>0</v>
      </c>
      <c r="O1149" s="42">
        <f>VLOOKUP($A1149,'Neraca Unaudited SIMAK'!$A$2:$R$1272,14,FALSE)+IF(ISNA(VLOOKUP($A1149,'Mutasi Neraca'!$A$3:$S$910,14,FALSE)),0,VLOOKUP($A1149,'Mutasi Neraca'!$A$3:$S$910,14,FALSE))</f>
        <v>0</v>
      </c>
      <c r="P1149" s="42">
        <f>VLOOKUP($A1149,'Neraca Unaudited SIMAK'!$A$2:$R$1272,15,FALSE)+IF(ISNA(VLOOKUP($A1149,'Mutasi Neraca'!$A$3:$S$910,15,FALSE)),0,VLOOKUP($A1149,'Mutasi Neraca'!$A$3:$S$910,15,FALSE))</f>
        <v>0</v>
      </c>
      <c r="Q1149" s="42">
        <f>VLOOKUP($A1149,'Neraca Unaudited SIMAK'!$A$2:$R$1272,16,FALSE)+IF(ISNA(VLOOKUP($A1149,'Mutasi Neraca'!$A$3:$S$910,16,FALSE)),0,VLOOKUP($A1149,'Mutasi Neraca'!$A$3:$S$910,16,FALSE))</f>
        <v>0</v>
      </c>
      <c r="R1149" s="42">
        <f>VLOOKUP($A1149,'Neraca Unaudited SIMAK'!$A$2:$R$1272,17,FALSE)+IF(ISNA(VLOOKUP($A1149,'Mutasi Neraca'!$A$3:$S$910,17,FALSE)),0,VLOOKUP($A1149,'Mutasi Neraca'!$A$3:$S$910,17,FALSE))</f>
        <v>0</v>
      </c>
      <c r="S1149" s="42">
        <f t="shared" si="77"/>
        <v>0</v>
      </c>
    </row>
    <row r="1150" spans="1:19">
      <c r="A1150" s="41" t="s">
        <v>2070</v>
      </c>
      <c r="B1150" s="41" t="str">
        <f t="shared" si="76"/>
        <v>005032400</v>
      </c>
      <c r="D1150" s="42">
        <f>VLOOKUP($A1150,'Neraca Unaudited SIMAK'!$A$2:$R$1272,3,FALSE)+IF(ISNA(VLOOKUP($A1150,'Mutasi Neraca'!$A$3:$S$910,3,FALSE)),0,VLOOKUP($A1150,'Mutasi Neraca'!$A$3:$S$910,3,FALSE))</f>
        <v>8197738</v>
      </c>
      <c r="E1150" s="42">
        <f>VLOOKUP($A1150,'Neraca Unaudited SIMAK'!$A$2:$R$1272,4,FALSE)+IF(ISNA(VLOOKUP($A1150,'Mutasi Neraca'!$A$3:$S$910,4,FALSE)),0,VLOOKUP($A1150,'Mutasi Neraca'!$A$3:$S$910,4,FALSE))</f>
        <v>0</v>
      </c>
      <c r="F1150" s="42">
        <f>VLOOKUP($A1150,'Neraca Unaudited SIMAK'!$A$2:$R$1272,5,FALSE)+IF(ISNA(VLOOKUP($A1150,'Mutasi Neraca'!$A$3:$S$910,5,FALSE)),0,VLOOKUP($A1150,'Mutasi Neraca'!$A$3:$S$910,5,FALSE))</f>
        <v>0</v>
      </c>
      <c r="G1150" s="42">
        <f>VLOOKUP($A1150,'Neraca Unaudited SIMAK'!$A$2:$R$1272,6,FALSE)+IF(ISNA(VLOOKUP($A1150,'Mutasi Neraca'!$A$3:$S$910,6,FALSE)),0,VLOOKUP($A1150,'Mutasi Neraca'!$A$3:$S$910,6,FALSE))</f>
        <v>0</v>
      </c>
      <c r="H1150" s="42">
        <f>VLOOKUP($A1150,'Neraca Unaudited SIMAK'!$A$2:$R$1272,7,FALSE)+IF(ISNA(VLOOKUP($A1150,'Mutasi Neraca'!$A$3:$S$910,7,FALSE)),0,VLOOKUP($A1150,'Mutasi Neraca'!$A$3:$S$910,7,FALSE))</f>
        <v>0</v>
      </c>
      <c r="I1150" s="42">
        <f>VLOOKUP($A1150,'Neraca Unaudited SIMAK'!$A$2:$R$1272,8,FALSE)+IF(ISNA(VLOOKUP($A1150,'Mutasi Neraca'!$A$3:$S$910,8,FALSE)),0,VLOOKUP($A1150,'Mutasi Neraca'!$A$3:$S$910,8,FALSE))</f>
        <v>0</v>
      </c>
      <c r="J1150" s="42">
        <f>VLOOKUP($A1150,'Neraca Unaudited SIMAK'!$A$2:$R$1272,9,FALSE)+IF(ISNA(VLOOKUP($A1150,'Mutasi Neraca'!$A$3:$S$910,9,FALSE)),0,VLOOKUP($A1150,'Mutasi Neraca'!$A$3:$S$910,9,FALSE))</f>
        <v>0</v>
      </c>
      <c r="K1150" s="42">
        <f>VLOOKUP($A1150,'Neraca Unaudited SIMAK'!$A$2:$R$1272,10,FALSE)+IF(ISNA(VLOOKUP($A1150,'Mutasi Neraca'!$A$3:$S$910,10,FALSE)),0,VLOOKUP($A1150,'Mutasi Neraca'!$A$3:$S$910,10,FALSE))</f>
        <v>0</v>
      </c>
      <c r="L1150" s="42">
        <f>VLOOKUP($A1150,'Neraca Unaudited SIMAK'!$A$2:$R$1272,11,FALSE)+IF(ISNA(VLOOKUP($A1150,'Mutasi Neraca'!$A$3:$S$910,11,FALSE)),0,VLOOKUP($A1150,'Mutasi Neraca'!$A$3:$S$910,11,FALSE))</f>
        <v>0</v>
      </c>
      <c r="M1150" s="42">
        <f>VLOOKUP($A1150,'Neraca Unaudited SIMAK'!$A$2:$R$1272,12,FALSE)+IF(ISNA(VLOOKUP($A1150,'Mutasi Neraca'!$A$3:$S$910,12,FALSE)),0,VLOOKUP($A1150,'Mutasi Neraca'!$A$3:$S$910,12,FALSE))</f>
        <v>8197738</v>
      </c>
      <c r="N1150" s="42">
        <f>VLOOKUP($A1150,'Neraca Unaudited SIMAK'!$A$2:$R$1272,13,FALSE)+IF(ISNA(VLOOKUP($A1150,'Mutasi Neraca'!$A$3:$S$910,13,FALSE)),0,VLOOKUP($A1150,'Mutasi Neraca'!$A$3:$S$910,13,FALSE))</f>
        <v>0</v>
      </c>
      <c r="O1150" s="42">
        <f>VLOOKUP($A1150,'Neraca Unaudited SIMAK'!$A$2:$R$1272,14,FALSE)+IF(ISNA(VLOOKUP($A1150,'Mutasi Neraca'!$A$3:$S$910,14,FALSE)),0,VLOOKUP($A1150,'Mutasi Neraca'!$A$3:$S$910,14,FALSE))</f>
        <v>0</v>
      </c>
      <c r="P1150" s="42">
        <f>VLOOKUP($A1150,'Neraca Unaudited SIMAK'!$A$2:$R$1272,15,FALSE)+IF(ISNA(VLOOKUP($A1150,'Mutasi Neraca'!$A$3:$S$910,15,FALSE)),0,VLOOKUP($A1150,'Mutasi Neraca'!$A$3:$S$910,15,FALSE))</f>
        <v>0</v>
      </c>
      <c r="Q1150" s="42">
        <f>VLOOKUP($A1150,'Neraca Unaudited SIMAK'!$A$2:$R$1272,16,FALSE)+IF(ISNA(VLOOKUP($A1150,'Mutasi Neraca'!$A$3:$S$910,16,FALSE)),0,VLOOKUP($A1150,'Mutasi Neraca'!$A$3:$S$910,16,FALSE))</f>
        <v>0</v>
      </c>
      <c r="R1150" s="42">
        <f>VLOOKUP($A1150,'Neraca Unaudited SIMAK'!$A$2:$R$1272,17,FALSE)+IF(ISNA(VLOOKUP($A1150,'Mutasi Neraca'!$A$3:$S$910,17,FALSE)),0,VLOOKUP($A1150,'Mutasi Neraca'!$A$3:$S$910,17,FALSE))</f>
        <v>0</v>
      </c>
      <c r="S1150" s="42">
        <f t="shared" si="77"/>
        <v>8197738</v>
      </c>
    </row>
    <row r="1151" spans="1:19">
      <c r="A1151" s="41" t="s">
        <v>2071</v>
      </c>
      <c r="B1151" s="41" t="str">
        <f t="shared" si="76"/>
        <v>005032500</v>
      </c>
      <c r="D1151" s="42">
        <f>VLOOKUP($A1151,'Neraca Unaudited SIMAK'!$A$2:$R$1272,3,FALSE)+IF(ISNA(VLOOKUP($A1151,'Mutasi Neraca'!$A$3:$S$910,3,FALSE)),0,VLOOKUP($A1151,'Mutasi Neraca'!$A$3:$S$910,3,FALSE))</f>
        <v>22658470</v>
      </c>
      <c r="E1151" s="42">
        <f>VLOOKUP($A1151,'Neraca Unaudited SIMAK'!$A$2:$R$1272,4,FALSE)+IF(ISNA(VLOOKUP($A1151,'Mutasi Neraca'!$A$3:$S$910,4,FALSE)),0,VLOOKUP($A1151,'Mutasi Neraca'!$A$3:$S$910,4,FALSE))</f>
        <v>0</v>
      </c>
      <c r="F1151" s="42">
        <f>VLOOKUP($A1151,'Neraca Unaudited SIMAK'!$A$2:$R$1272,5,FALSE)+IF(ISNA(VLOOKUP($A1151,'Mutasi Neraca'!$A$3:$S$910,5,FALSE)),0,VLOOKUP($A1151,'Mutasi Neraca'!$A$3:$S$910,5,FALSE))</f>
        <v>0</v>
      </c>
      <c r="G1151" s="42">
        <f>VLOOKUP($A1151,'Neraca Unaudited SIMAK'!$A$2:$R$1272,6,FALSE)+IF(ISNA(VLOOKUP($A1151,'Mutasi Neraca'!$A$3:$S$910,6,FALSE)),0,VLOOKUP($A1151,'Mutasi Neraca'!$A$3:$S$910,6,FALSE))</f>
        <v>0</v>
      </c>
      <c r="H1151" s="42">
        <f>VLOOKUP($A1151,'Neraca Unaudited SIMAK'!$A$2:$R$1272,7,FALSE)+IF(ISNA(VLOOKUP($A1151,'Mutasi Neraca'!$A$3:$S$910,7,FALSE)),0,VLOOKUP($A1151,'Mutasi Neraca'!$A$3:$S$910,7,FALSE))</f>
        <v>0</v>
      </c>
      <c r="I1151" s="42">
        <f>VLOOKUP($A1151,'Neraca Unaudited SIMAK'!$A$2:$R$1272,8,FALSE)+IF(ISNA(VLOOKUP($A1151,'Mutasi Neraca'!$A$3:$S$910,8,FALSE)),0,VLOOKUP($A1151,'Mutasi Neraca'!$A$3:$S$910,8,FALSE))</f>
        <v>0</v>
      </c>
      <c r="J1151" s="42">
        <f>VLOOKUP($A1151,'Neraca Unaudited SIMAK'!$A$2:$R$1272,9,FALSE)+IF(ISNA(VLOOKUP($A1151,'Mutasi Neraca'!$A$3:$S$910,9,FALSE)),0,VLOOKUP($A1151,'Mutasi Neraca'!$A$3:$S$910,9,FALSE))</f>
        <v>0</v>
      </c>
      <c r="K1151" s="42">
        <f>VLOOKUP($A1151,'Neraca Unaudited SIMAK'!$A$2:$R$1272,10,FALSE)+IF(ISNA(VLOOKUP($A1151,'Mutasi Neraca'!$A$3:$S$910,10,FALSE)),0,VLOOKUP($A1151,'Mutasi Neraca'!$A$3:$S$910,10,FALSE))</f>
        <v>0</v>
      </c>
      <c r="L1151" s="42">
        <f>VLOOKUP($A1151,'Neraca Unaudited SIMAK'!$A$2:$R$1272,11,FALSE)+IF(ISNA(VLOOKUP($A1151,'Mutasi Neraca'!$A$3:$S$910,11,FALSE)),0,VLOOKUP($A1151,'Mutasi Neraca'!$A$3:$S$910,11,FALSE))</f>
        <v>0</v>
      </c>
      <c r="M1151" s="42">
        <f>VLOOKUP($A1151,'Neraca Unaudited SIMAK'!$A$2:$R$1272,12,FALSE)+IF(ISNA(VLOOKUP($A1151,'Mutasi Neraca'!$A$3:$S$910,12,FALSE)),0,VLOOKUP($A1151,'Mutasi Neraca'!$A$3:$S$910,12,FALSE))</f>
        <v>22658470</v>
      </c>
      <c r="N1151" s="42">
        <f>VLOOKUP($A1151,'Neraca Unaudited SIMAK'!$A$2:$R$1272,13,FALSE)+IF(ISNA(VLOOKUP($A1151,'Mutasi Neraca'!$A$3:$S$910,13,FALSE)),0,VLOOKUP($A1151,'Mutasi Neraca'!$A$3:$S$910,13,FALSE))</f>
        <v>0</v>
      </c>
      <c r="O1151" s="42">
        <f>VLOOKUP($A1151,'Neraca Unaudited SIMAK'!$A$2:$R$1272,14,FALSE)+IF(ISNA(VLOOKUP($A1151,'Mutasi Neraca'!$A$3:$S$910,14,FALSE)),0,VLOOKUP($A1151,'Mutasi Neraca'!$A$3:$S$910,14,FALSE))</f>
        <v>0</v>
      </c>
      <c r="P1151" s="42">
        <f>VLOOKUP($A1151,'Neraca Unaudited SIMAK'!$A$2:$R$1272,15,FALSE)+IF(ISNA(VLOOKUP($A1151,'Mutasi Neraca'!$A$3:$S$910,15,FALSE)),0,VLOOKUP($A1151,'Mutasi Neraca'!$A$3:$S$910,15,FALSE))</f>
        <v>0</v>
      </c>
      <c r="Q1151" s="42">
        <f>VLOOKUP($A1151,'Neraca Unaudited SIMAK'!$A$2:$R$1272,16,FALSE)+IF(ISNA(VLOOKUP($A1151,'Mutasi Neraca'!$A$3:$S$910,16,FALSE)),0,VLOOKUP($A1151,'Mutasi Neraca'!$A$3:$S$910,16,FALSE))</f>
        <v>0</v>
      </c>
      <c r="R1151" s="42">
        <f>VLOOKUP($A1151,'Neraca Unaudited SIMAK'!$A$2:$R$1272,17,FALSE)+IF(ISNA(VLOOKUP($A1151,'Mutasi Neraca'!$A$3:$S$910,17,FALSE)),0,VLOOKUP($A1151,'Mutasi Neraca'!$A$3:$S$910,17,FALSE))</f>
        <v>0</v>
      </c>
      <c r="S1151" s="42">
        <f t="shared" si="77"/>
        <v>22658470</v>
      </c>
    </row>
    <row r="1152" spans="1:19">
      <c r="A1152" s="41" t="s">
        <v>1082</v>
      </c>
      <c r="B1152" s="41" t="str">
        <f t="shared" si="76"/>
        <v>005032500</v>
      </c>
      <c r="D1152" s="42">
        <f>VLOOKUP($A1152,'Neraca Unaudited SIMAK'!$A$2:$R$1272,3,FALSE)+IF(ISNA(VLOOKUP($A1152,'Mutasi Neraca'!$A$3:$S$910,3,FALSE)),0,VLOOKUP($A1152,'Mutasi Neraca'!$A$3:$S$910,3,FALSE))</f>
        <v>32464846</v>
      </c>
      <c r="E1152" s="42">
        <f>VLOOKUP($A1152,'Neraca Unaudited SIMAK'!$A$2:$R$1272,4,FALSE)+IF(ISNA(VLOOKUP($A1152,'Mutasi Neraca'!$A$3:$S$910,4,FALSE)),0,VLOOKUP($A1152,'Mutasi Neraca'!$A$3:$S$910,4,FALSE))</f>
        <v>0</v>
      </c>
      <c r="F1152" s="42">
        <f>VLOOKUP($A1152,'Neraca Unaudited SIMAK'!$A$2:$R$1272,5,FALSE)+IF(ISNA(VLOOKUP($A1152,'Mutasi Neraca'!$A$3:$S$910,5,FALSE)),0,VLOOKUP($A1152,'Mutasi Neraca'!$A$3:$S$910,5,FALSE))</f>
        <v>0</v>
      </c>
      <c r="G1152" s="42">
        <f>VLOOKUP($A1152,'Neraca Unaudited SIMAK'!$A$2:$R$1272,6,FALSE)+IF(ISNA(VLOOKUP($A1152,'Mutasi Neraca'!$A$3:$S$910,6,FALSE)),0,VLOOKUP($A1152,'Mutasi Neraca'!$A$3:$S$910,6,FALSE))</f>
        <v>0</v>
      </c>
      <c r="H1152" s="42">
        <f>VLOOKUP($A1152,'Neraca Unaudited SIMAK'!$A$2:$R$1272,7,FALSE)+IF(ISNA(VLOOKUP($A1152,'Mutasi Neraca'!$A$3:$S$910,7,FALSE)),0,VLOOKUP($A1152,'Mutasi Neraca'!$A$3:$S$910,7,FALSE))</f>
        <v>0</v>
      </c>
      <c r="I1152" s="42">
        <f>VLOOKUP($A1152,'Neraca Unaudited SIMAK'!$A$2:$R$1272,8,FALSE)+IF(ISNA(VLOOKUP($A1152,'Mutasi Neraca'!$A$3:$S$910,8,FALSE)),0,VLOOKUP($A1152,'Mutasi Neraca'!$A$3:$S$910,8,FALSE))</f>
        <v>0</v>
      </c>
      <c r="J1152" s="42">
        <f>VLOOKUP($A1152,'Neraca Unaudited SIMAK'!$A$2:$R$1272,9,FALSE)+IF(ISNA(VLOOKUP($A1152,'Mutasi Neraca'!$A$3:$S$910,9,FALSE)),0,VLOOKUP($A1152,'Mutasi Neraca'!$A$3:$S$910,9,FALSE))</f>
        <v>0</v>
      </c>
      <c r="K1152" s="42">
        <f>VLOOKUP($A1152,'Neraca Unaudited SIMAK'!$A$2:$R$1272,10,FALSE)+IF(ISNA(VLOOKUP($A1152,'Mutasi Neraca'!$A$3:$S$910,10,FALSE)),0,VLOOKUP($A1152,'Mutasi Neraca'!$A$3:$S$910,10,FALSE))</f>
        <v>0</v>
      </c>
      <c r="L1152" s="42">
        <f>VLOOKUP($A1152,'Neraca Unaudited SIMAK'!$A$2:$R$1272,11,FALSE)+IF(ISNA(VLOOKUP($A1152,'Mutasi Neraca'!$A$3:$S$910,11,FALSE)),0,VLOOKUP($A1152,'Mutasi Neraca'!$A$3:$S$910,11,FALSE))</f>
        <v>0</v>
      </c>
      <c r="M1152" s="42">
        <f>VLOOKUP($A1152,'Neraca Unaudited SIMAK'!$A$2:$R$1272,12,FALSE)+IF(ISNA(VLOOKUP($A1152,'Mutasi Neraca'!$A$3:$S$910,12,FALSE)),0,VLOOKUP($A1152,'Mutasi Neraca'!$A$3:$S$910,12,FALSE))</f>
        <v>32464846</v>
      </c>
      <c r="N1152" s="42">
        <f>VLOOKUP($A1152,'Neraca Unaudited SIMAK'!$A$2:$R$1272,13,FALSE)+IF(ISNA(VLOOKUP($A1152,'Mutasi Neraca'!$A$3:$S$910,13,FALSE)),0,VLOOKUP($A1152,'Mutasi Neraca'!$A$3:$S$910,13,FALSE))</f>
        <v>0</v>
      </c>
      <c r="O1152" s="42">
        <f>VLOOKUP($A1152,'Neraca Unaudited SIMAK'!$A$2:$R$1272,14,FALSE)+IF(ISNA(VLOOKUP($A1152,'Mutasi Neraca'!$A$3:$S$910,14,FALSE)),0,VLOOKUP($A1152,'Mutasi Neraca'!$A$3:$S$910,14,FALSE))</f>
        <v>0</v>
      </c>
      <c r="P1152" s="42">
        <f>VLOOKUP($A1152,'Neraca Unaudited SIMAK'!$A$2:$R$1272,15,FALSE)+IF(ISNA(VLOOKUP($A1152,'Mutasi Neraca'!$A$3:$S$910,15,FALSE)),0,VLOOKUP($A1152,'Mutasi Neraca'!$A$3:$S$910,15,FALSE))</f>
        <v>0</v>
      </c>
      <c r="Q1152" s="42">
        <f>VLOOKUP($A1152,'Neraca Unaudited SIMAK'!$A$2:$R$1272,16,FALSE)+IF(ISNA(VLOOKUP($A1152,'Mutasi Neraca'!$A$3:$S$910,16,FALSE)),0,VLOOKUP($A1152,'Mutasi Neraca'!$A$3:$S$910,16,FALSE))</f>
        <v>0</v>
      </c>
      <c r="R1152" s="42">
        <f>VLOOKUP($A1152,'Neraca Unaudited SIMAK'!$A$2:$R$1272,17,FALSE)+IF(ISNA(VLOOKUP($A1152,'Mutasi Neraca'!$A$3:$S$910,17,FALSE)),0,VLOOKUP($A1152,'Mutasi Neraca'!$A$3:$S$910,17,FALSE))</f>
        <v>0</v>
      </c>
      <c r="S1152" s="42">
        <f t="shared" si="77"/>
        <v>32464846</v>
      </c>
    </row>
    <row r="1153" spans="1:19">
      <c r="A1153" s="41" t="s">
        <v>2072</v>
      </c>
      <c r="B1153" s="41" t="str">
        <f t="shared" si="76"/>
        <v>005032500</v>
      </c>
      <c r="D1153" s="42">
        <f>VLOOKUP($A1153,'Neraca Unaudited SIMAK'!$A$2:$R$1272,3,FALSE)+IF(ISNA(VLOOKUP($A1153,'Mutasi Neraca'!$A$3:$S$910,3,FALSE)),0,VLOOKUP($A1153,'Mutasi Neraca'!$A$3:$S$910,3,FALSE))</f>
        <v>2239000</v>
      </c>
      <c r="E1153" s="42">
        <f>VLOOKUP($A1153,'Neraca Unaudited SIMAK'!$A$2:$R$1272,4,FALSE)+IF(ISNA(VLOOKUP($A1153,'Mutasi Neraca'!$A$3:$S$910,4,FALSE)),0,VLOOKUP($A1153,'Mutasi Neraca'!$A$3:$S$910,4,FALSE))</f>
        <v>0</v>
      </c>
      <c r="F1153" s="42">
        <f>VLOOKUP($A1153,'Neraca Unaudited SIMAK'!$A$2:$R$1272,5,FALSE)+IF(ISNA(VLOOKUP($A1153,'Mutasi Neraca'!$A$3:$S$910,5,FALSE)),0,VLOOKUP($A1153,'Mutasi Neraca'!$A$3:$S$910,5,FALSE))</f>
        <v>0</v>
      </c>
      <c r="G1153" s="42">
        <f>VLOOKUP($A1153,'Neraca Unaudited SIMAK'!$A$2:$R$1272,6,FALSE)+IF(ISNA(VLOOKUP($A1153,'Mutasi Neraca'!$A$3:$S$910,6,FALSE)),0,VLOOKUP($A1153,'Mutasi Neraca'!$A$3:$S$910,6,FALSE))</f>
        <v>0</v>
      </c>
      <c r="H1153" s="42">
        <f>VLOOKUP($A1153,'Neraca Unaudited SIMAK'!$A$2:$R$1272,7,FALSE)+IF(ISNA(VLOOKUP($A1153,'Mutasi Neraca'!$A$3:$S$910,7,FALSE)),0,VLOOKUP($A1153,'Mutasi Neraca'!$A$3:$S$910,7,FALSE))</f>
        <v>0</v>
      </c>
      <c r="I1153" s="42">
        <f>VLOOKUP($A1153,'Neraca Unaudited SIMAK'!$A$2:$R$1272,8,FALSE)+IF(ISNA(VLOOKUP($A1153,'Mutasi Neraca'!$A$3:$S$910,8,FALSE)),0,VLOOKUP($A1153,'Mutasi Neraca'!$A$3:$S$910,8,FALSE))</f>
        <v>0</v>
      </c>
      <c r="J1153" s="42">
        <f>VLOOKUP($A1153,'Neraca Unaudited SIMAK'!$A$2:$R$1272,9,FALSE)+IF(ISNA(VLOOKUP($A1153,'Mutasi Neraca'!$A$3:$S$910,9,FALSE)),0,VLOOKUP($A1153,'Mutasi Neraca'!$A$3:$S$910,9,FALSE))</f>
        <v>0</v>
      </c>
      <c r="K1153" s="42">
        <f>VLOOKUP($A1153,'Neraca Unaudited SIMAK'!$A$2:$R$1272,10,FALSE)+IF(ISNA(VLOOKUP($A1153,'Mutasi Neraca'!$A$3:$S$910,10,FALSE)),0,VLOOKUP($A1153,'Mutasi Neraca'!$A$3:$S$910,10,FALSE))</f>
        <v>0</v>
      </c>
      <c r="L1153" s="42">
        <f>VLOOKUP($A1153,'Neraca Unaudited SIMAK'!$A$2:$R$1272,11,FALSE)+IF(ISNA(VLOOKUP($A1153,'Mutasi Neraca'!$A$3:$S$910,11,FALSE)),0,VLOOKUP($A1153,'Mutasi Neraca'!$A$3:$S$910,11,FALSE))</f>
        <v>0</v>
      </c>
      <c r="M1153" s="42">
        <f>VLOOKUP($A1153,'Neraca Unaudited SIMAK'!$A$2:$R$1272,12,FALSE)+IF(ISNA(VLOOKUP($A1153,'Mutasi Neraca'!$A$3:$S$910,12,FALSE)),0,VLOOKUP($A1153,'Mutasi Neraca'!$A$3:$S$910,12,FALSE))</f>
        <v>2239000</v>
      </c>
      <c r="N1153" s="42">
        <f>VLOOKUP($A1153,'Neraca Unaudited SIMAK'!$A$2:$R$1272,13,FALSE)+IF(ISNA(VLOOKUP($A1153,'Mutasi Neraca'!$A$3:$S$910,13,FALSE)),0,VLOOKUP($A1153,'Mutasi Neraca'!$A$3:$S$910,13,FALSE))</f>
        <v>0</v>
      </c>
      <c r="O1153" s="42">
        <f>VLOOKUP($A1153,'Neraca Unaudited SIMAK'!$A$2:$R$1272,14,FALSE)+IF(ISNA(VLOOKUP($A1153,'Mutasi Neraca'!$A$3:$S$910,14,FALSE)),0,VLOOKUP($A1153,'Mutasi Neraca'!$A$3:$S$910,14,FALSE))</f>
        <v>0</v>
      </c>
      <c r="P1153" s="42">
        <f>VLOOKUP($A1153,'Neraca Unaudited SIMAK'!$A$2:$R$1272,15,FALSE)+IF(ISNA(VLOOKUP($A1153,'Mutasi Neraca'!$A$3:$S$910,15,FALSE)),0,VLOOKUP($A1153,'Mutasi Neraca'!$A$3:$S$910,15,FALSE))</f>
        <v>0</v>
      </c>
      <c r="Q1153" s="42">
        <f>VLOOKUP($A1153,'Neraca Unaudited SIMAK'!$A$2:$R$1272,16,FALSE)+IF(ISNA(VLOOKUP($A1153,'Mutasi Neraca'!$A$3:$S$910,16,FALSE)),0,VLOOKUP($A1153,'Mutasi Neraca'!$A$3:$S$910,16,FALSE))</f>
        <v>0</v>
      </c>
      <c r="R1153" s="42">
        <f>VLOOKUP($A1153,'Neraca Unaudited SIMAK'!$A$2:$R$1272,17,FALSE)+IF(ISNA(VLOOKUP($A1153,'Mutasi Neraca'!$A$3:$S$910,17,FALSE)),0,VLOOKUP($A1153,'Mutasi Neraca'!$A$3:$S$910,17,FALSE))</f>
        <v>0</v>
      </c>
      <c r="S1153" s="42">
        <f t="shared" si="77"/>
        <v>2239000</v>
      </c>
    </row>
    <row r="1154" spans="1:19">
      <c r="A1154" s="41" t="s">
        <v>2200</v>
      </c>
      <c r="B1154" s="41" t="str">
        <f t="shared" si="76"/>
        <v>005032500</v>
      </c>
      <c r="D1154" s="42">
        <f>VLOOKUP($A1154,'Neraca Unaudited SIMAK'!$A$2:$R$1272,3,FALSE)+IF(ISNA(VLOOKUP($A1154,'Mutasi Neraca'!$A$3:$S$910,3,FALSE)),0,VLOOKUP($A1154,'Mutasi Neraca'!$A$3:$S$910,3,FALSE))</f>
        <v>1175840</v>
      </c>
      <c r="E1154" s="42">
        <f>VLOOKUP($A1154,'Neraca Unaudited SIMAK'!$A$2:$R$1272,4,FALSE)+IF(ISNA(VLOOKUP($A1154,'Mutasi Neraca'!$A$3:$S$910,4,FALSE)),0,VLOOKUP($A1154,'Mutasi Neraca'!$A$3:$S$910,4,FALSE))</f>
        <v>0</v>
      </c>
      <c r="F1154" s="42">
        <f>VLOOKUP($A1154,'Neraca Unaudited SIMAK'!$A$2:$R$1272,5,FALSE)+IF(ISNA(VLOOKUP($A1154,'Mutasi Neraca'!$A$3:$S$910,5,FALSE)),0,VLOOKUP($A1154,'Mutasi Neraca'!$A$3:$S$910,5,FALSE))</f>
        <v>0</v>
      </c>
      <c r="G1154" s="42">
        <f>VLOOKUP($A1154,'Neraca Unaudited SIMAK'!$A$2:$R$1272,6,FALSE)+IF(ISNA(VLOOKUP($A1154,'Mutasi Neraca'!$A$3:$S$910,6,FALSE)),0,VLOOKUP($A1154,'Mutasi Neraca'!$A$3:$S$910,6,FALSE))</f>
        <v>0</v>
      </c>
      <c r="H1154" s="42">
        <f>VLOOKUP($A1154,'Neraca Unaudited SIMAK'!$A$2:$R$1272,7,FALSE)+IF(ISNA(VLOOKUP($A1154,'Mutasi Neraca'!$A$3:$S$910,7,FALSE)),0,VLOOKUP($A1154,'Mutasi Neraca'!$A$3:$S$910,7,FALSE))</f>
        <v>0</v>
      </c>
      <c r="I1154" s="42">
        <f>VLOOKUP($A1154,'Neraca Unaudited SIMAK'!$A$2:$R$1272,8,FALSE)+IF(ISNA(VLOOKUP($A1154,'Mutasi Neraca'!$A$3:$S$910,8,FALSE)),0,VLOOKUP($A1154,'Mutasi Neraca'!$A$3:$S$910,8,FALSE))</f>
        <v>0</v>
      </c>
      <c r="J1154" s="42">
        <f>VLOOKUP($A1154,'Neraca Unaudited SIMAK'!$A$2:$R$1272,9,FALSE)+IF(ISNA(VLOOKUP($A1154,'Mutasi Neraca'!$A$3:$S$910,9,FALSE)),0,VLOOKUP($A1154,'Mutasi Neraca'!$A$3:$S$910,9,FALSE))</f>
        <v>0</v>
      </c>
      <c r="K1154" s="42">
        <f>VLOOKUP($A1154,'Neraca Unaudited SIMAK'!$A$2:$R$1272,10,FALSE)+IF(ISNA(VLOOKUP($A1154,'Mutasi Neraca'!$A$3:$S$910,10,FALSE)),0,VLOOKUP($A1154,'Mutasi Neraca'!$A$3:$S$910,10,FALSE))</f>
        <v>0</v>
      </c>
      <c r="L1154" s="42">
        <f>VLOOKUP($A1154,'Neraca Unaudited SIMAK'!$A$2:$R$1272,11,FALSE)+IF(ISNA(VLOOKUP($A1154,'Mutasi Neraca'!$A$3:$S$910,11,FALSE)),0,VLOOKUP($A1154,'Mutasi Neraca'!$A$3:$S$910,11,FALSE))</f>
        <v>0</v>
      </c>
      <c r="M1154" s="42">
        <f>VLOOKUP($A1154,'Neraca Unaudited SIMAK'!$A$2:$R$1272,12,FALSE)+IF(ISNA(VLOOKUP($A1154,'Mutasi Neraca'!$A$3:$S$910,12,FALSE)),0,VLOOKUP($A1154,'Mutasi Neraca'!$A$3:$S$910,12,FALSE))</f>
        <v>1175840</v>
      </c>
      <c r="N1154" s="42">
        <f>VLOOKUP($A1154,'Neraca Unaudited SIMAK'!$A$2:$R$1272,13,FALSE)+IF(ISNA(VLOOKUP($A1154,'Mutasi Neraca'!$A$3:$S$910,13,FALSE)),0,VLOOKUP($A1154,'Mutasi Neraca'!$A$3:$S$910,13,FALSE))</f>
        <v>0</v>
      </c>
      <c r="O1154" s="42">
        <f>VLOOKUP($A1154,'Neraca Unaudited SIMAK'!$A$2:$R$1272,14,FALSE)+IF(ISNA(VLOOKUP($A1154,'Mutasi Neraca'!$A$3:$S$910,14,FALSE)),0,VLOOKUP($A1154,'Mutasi Neraca'!$A$3:$S$910,14,FALSE))</f>
        <v>0</v>
      </c>
      <c r="P1154" s="42">
        <f>VLOOKUP($A1154,'Neraca Unaudited SIMAK'!$A$2:$R$1272,15,FALSE)+IF(ISNA(VLOOKUP($A1154,'Mutasi Neraca'!$A$3:$S$910,15,FALSE)),0,VLOOKUP($A1154,'Mutasi Neraca'!$A$3:$S$910,15,FALSE))</f>
        <v>0</v>
      </c>
      <c r="Q1154" s="42">
        <f>VLOOKUP($A1154,'Neraca Unaudited SIMAK'!$A$2:$R$1272,16,FALSE)+IF(ISNA(VLOOKUP($A1154,'Mutasi Neraca'!$A$3:$S$910,16,FALSE)),0,VLOOKUP($A1154,'Mutasi Neraca'!$A$3:$S$910,16,FALSE))</f>
        <v>0</v>
      </c>
      <c r="R1154" s="42">
        <f>VLOOKUP($A1154,'Neraca Unaudited SIMAK'!$A$2:$R$1272,17,FALSE)+IF(ISNA(VLOOKUP($A1154,'Mutasi Neraca'!$A$3:$S$910,17,FALSE)),0,VLOOKUP($A1154,'Mutasi Neraca'!$A$3:$S$910,17,FALSE))</f>
        <v>0</v>
      </c>
      <c r="S1154" s="42">
        <f t="shared" si="77"/>
        <v>1175840</v>
      </c>
    </row>
    <row r="1155" spans="1:19">
      <c r="A1155" s="41" t="s">
        <v>2201</v>
      </c>
      <c r="B1155" s="41" t="str">
        <f t="shared" ref="B1155:B1218" si="78">LEFT(A1155,9)</f>
        <v>005032500</v>
      </c>
      <c r="D1155" s="42">
        <f>VLOOKUP($A1155,'Neraca Unaudited SIMAK'!$A$2:$R$1272,3,FALSE)+IF(ISNA(VLOOKUP($A1155,'Mutasi Neraca'!$A$3:$S$910,3,FALSE)),0,VLOOKUP($A1155,'Mutasi Neraca'!$A$3:$S$910,3,FALSE))</f>
        <v>2612700</v>
      </c>
      <c r="E1155" s="42">
        <f>VLOOKUP($A1155,'Neraca Unaudited SIMAK'!$A$2:$R$1272,4,FALSE)+IF(ISNA(VLOOKUP($A1155,'Mutasi Neraca'!$A$3:$S$910,4,FALSE)),0,VLOOKUP($A1155,'Mutasi Neraca'!$A$3:$S$910,4,FALSE))</f>
        <v>0</v>
      </c>
      <c r="F1155" s="42">
        <f>VLOOKUP($A1155,'Neraca Unaudited SIMAK'!$A$2:$R$1272,5,FALSE)+IF(ISNA(VLOOKUP($A1155,'Mutasi Neraca'!$A$3:$S$910,5,FALSE)),0,VLOOKUP($A1155,'Mutasi Neraca'!$A$3:$S$910,5,FALSE))</f>
        <v>0</v>
      </c>
      <c r="G1155" s="42">
        <f>VLOOKUP($A1155,'Neraca Unaudited SIMAK'!$A$2:$R$1272,6,FALSE)+IF(ISNA(VLOOKUP($A1155,'Mutasi Neraca'!$A$3:$S$910,6,FALSE)),0,VLOOKUP($A1155,'Mutasi Neraca'!$A$3:$S$910,6,FALSE))</f>
        <v>0</v>
      </c>
      <c r="H1155" s="42">
        <f>VLOOKUP($A1155,'Neraca Unaudited SIMAK'!$A$2:$R$1272,7,FALSE)+IF(ISNA(VLOOKUP($A1155,'Mutasi Neraca'!$A$3:$S$910,7,FALSE)),0,VLOOKUP($A1155,'Mutasi Neraca'!$A$3:$S$910,7,FALSE))</f>
        <v>0</v>
      </c>
      <c r="I1155" s="42">
        <f>VLOOKUP($A1155,'Neraca Unaudited SIMAK'!$A$2:$R$1272,8,FALSE)+IF(ISNA(VLOOKUP($A1155,'Mutasi Neraca'!$A$3:$S$910,8,FALSE)),0,VLOOKUP($A1155,'Mutasi Neraca'!$A$3:$S$910,8,FALSE))</f>
        <v>0</v>
      </c>
      <c r="J1155" s="42">
        <f>VLOOKUP($A1155,'Neraca Unaudited SIMAK'!$A$2:$R$1272,9,FALSE)+IF(ISNA(VLOOKUP($A1155,'Mutasi Neraca'!$A$3:$S$910,9,FALSE)),0,VLOOKUP($A1155,'Mutasi Neraca'!$A$3:$S$910,9,FALSE))</f>
        <v>0</v>
      </c>
      <c r="K1155" s="42">
        <f>VLOOKUP($A1155,'Neraca Unaudited SIMAK'!$A$2:$R$1272,10,FALSE)+IF(ISNA(VLOOKUP($A1155,'Mutasi Neraca'!$A$3:$S$910,10,FALSE)),0,VLOOKUP($A1155,'Mutasi Neraca'!$A$3:$S$910,10,FALSE))</f>
        <v>0</v>
      </c>
      <c r="L1155" s="42">
        <f>VLOOKUP($A1155,'Neraca Unaudited SIMAK'!$A$2:$R$1272,11,FALSE)+IF(ISNA(VLOOKUP($A1155,'Mutasi Neraca'!$A$3:$S$910,11,FALSE)),0,VLOOKUP($A1155,'Mutasi Neraca'!$A$3:$S$910,11,FALSE))</f>
        <v>0</v>
      </c>
      <c r="M1155" s="42">
        <f>VLOOKUP($A1155,'Neraca Unaudited SIMAK'!$A$2:$R$1272,12,FALSE)+IF(ISNA(VLOOKUP($A1155,'Mutasi Neraca'!$A$3:$S$910,12,FALSE)),0,VLOOKUP($A1155,'Mutasi Neraca'!$A$3:$S$910,12,FALSE))</f>
        <v>2612700</v>
      </c>
      <c r="N1155" s="42">
        <f>VLOOKUP($A1155,'Neraca Unaudited SIMAK'!$A$2:$R$1272,13,FALSE)+IF(ISNA(VLOOKUP($A1155,'Mutasi Neraca'!$A$3:$S$910,13,FALSE)),0,VLOOKUP($A1155,'Mutasi Neraca'!$A$3:$S$910,13,FALSE))</f>
        <v>0</v>
      </c>
      <c r="O1155" s="42">
        <f>VLOOKUP($A1155,'Neraca Unaudited SIMAK'!$A$2:$R$1272,14,FALSE)+IF(ISNA(VLOOKUP($A1155,'Mutasi Neraca'!$A$3:$S$910,14,FALSE)),0,VLOOKUP($A1155,'Mutasi Neraca'!$A$3:$S$910,14,FALSE))</f>
        <v>0</v>
      </c>
      <c r="P1155" s="42">
        <f>VLOOKUP($A1155,'Neraca Unaudited SIMAK'!$A$2:$R$1272,15,FALSE)+IF(ISNA(VLOOKUP($A1155,'Mutasi Neraca'!$A$3:$S$910,15,FALSE)),0,VLOOKUP($A1155,'Mutasi Neraca'!$A$3:$S$910,15,FALSE))</f>
        <v>0</v>
      </c>
      <c r="Q1155" s="42">
        <f>VLOOKUP($A1155,'Neraca Unaudited SIMAK'!$A$2:$R$1272,16,FALSE)+IF(ISNA(VLOOKUP($A1155,'Mutasi Neraca'!$A$3:$S$910,16,FALSE)),0,VLOOKUP($A1155,'Mutasi Neraca'!$A$3:$S$910,16,FALSE))</f>
        <v>0</v>
      </c>
      <c r="R1155" s="42">
        <f>VLOOKUP($A1155,'Neraca Unaudited SIMAK'!$A$2:$R$1272,17,FALSE)+IF(ISNA(VLOOKUP($A1155,'Mutasi Neraca'!$A$3:$S$910,17,FALSE)),0,VLOOKUP($A1155,'Mutasi Neraca'!$A$3:$S$910,17,FALSE))</f>
        <v>0</v>
      </c>
      <c r="S1155" s="42">
        <f t="shared" ref="S1155:S1218" si="79">SUM(M1155:R1155)</f>
        <v>2612700</v>
      </c>
    </row>
    <row r="1156" spans="1:19">
      <c r="A1156" s="41" t="s">
        <v>2073</v>
      </c>
      <c r="B1156" s="41" t="str">
        <f t="shared" si="78"/>
        <v>005032500</v>
      </c>
      <c r="D1156" s="42">
        <f>VLOOKUP($A1156,'Neraca Unaudited SIMAK'!$A$2:$R$1272,3,FALSE)+IF(ISNA(VLOOKUP($A1156,'Mutasi Neraca'!$A$3:$S$910,3,FALSE)),0,VLOOKUP($A1156,'Mutasi Neraca'!$A$3:$S$910,3,FALSE))</f>
        <v>540000</v>
      </c>
      <c r="E1156" s="42">
        <f>VLOOKUP($A1156,'Neraca Unaudited SIMAK'!$A$2:$R$1272,4,FALSE)+IF(ISNA(VLOOKUP($A1156,'Mutasi Neraca'!$A$3:$S$910,4,FALSE)),0,VLOOKUP($A1156,'Mutasi Neraca'!$A$3:$S$910,4,FALSE))</f>
        <v>0</v>
      </c>
      <c r="F1156" s="42">
        <f>VLOOKUP($A1156,'Neraca Unaudited SIMAK'!$A$2:$R$1272,5,FALSE)+IF(ISNA(VLOOKUP($A1156,'Mutasi Neraca'!$A$3:$S$910,5,FALSE)),0,VLOOKUP($A1156,'Mutasi Neraca'!$A$3:$S$910,5,FALSE))</f>
        <v>0</v>
      </c>
      <c r="G1156" s="42">
        <f>VLOOKUP($A1156,'Neraca Unaudited SIMAK'!$A$2:$R$1272,6,FALSE)+IF(ISNA(VLOOKUP($A1156,'Mutasi Neraca'!$A$3:$S$910,6,FALSE)),0,VLOOKUP($A1156,'Mutasi Neraca'!$A$3:$S$910,6,FALSE))</f>
        <v>0</v>
      </c>
      <c r="H1156" s="42">
        <f>VLOOKUP($A1156,'Neraca Unaudited SIMAK'!$A$2:$R$1272,7,FALSE)+IF(ISNA(VLOOKUP($A1156,'Mutasi Neraca'!$A$3:$S$910,7,FALSE)),0,VLOOKUP($A1156,'Mutasi Neraca'!$A$3:$S$910,7,FALSE))</f>
        <v>0</v>
      </c>
      <c r="I1156" s="42">
        <f>VLOOKUP($A1156,'Neraca Unaudited SIMAK'!$A$2:$R$1272,8,FALSE)+IF(ISNA(VLOOKUP($A1156,'Mutasi Neraca'!$A$3:$S$910,8,FALSE)),0,VLOOKUP($A1156,'Mutasi Neraca'!$A$3:$S$910,8,FALSE))</f>
        <v>0</v>
      </c>
      <c r="J1156" s="42">
        <f>VLOOKUP($A1156,'Neraca Unaudited SIMAK'!$A$2:$R$1272,9,FALSE)+IF(ISNA(VLOOKUP($A1156,'Mutasi Neraca'!$A$3:$S$910,9,FALSE)),0,VLOOKUP($A1156,'Mutasi Neraca'!$A$3:$S$910,9,FALSE))</f>
        <v>0</v>
      </c>
      <c r="K1156" s="42">
        <f>VLOOKUP($A1156,'Neraca Unaudited SIMAK'!$A$2:$R$1272,10,FALSE)+IF(ISNA(VLOOKUP($A1156,'Mutasi Neraca'!$A$3:$S$910,10,FALSE)),0,VLOOKUP($A1156,'Mutasi Neraca'!$A$3:$S$910,10,FALSE))</f>
        <v>0</v>
      </c>
      <c r="L1156" s="42">
        <f>VLOOKUP($A1156,'Neraca Unaudited SIMAK'!$A$2:$R$1272,11,FALSE)+IF(ISNA(VLOOKUP($A1156,'Mutasi Neraca'!$A$3:$S$910,11,FALSE)),0,VLOOKUP($A1156,'Mutasi Neraca'!$A$3:$S$910,11,FALSE))</f>
        <v>0</v>
      </c>
      <c r="M1156" s="42">
        <f>VLOOKUP($A1156,'Neraca Unaudited SIMAK'!$A$2:$R$1272,12,FALSE)+IF(ISNA(VLOOKUP($A1156,'Mutasi Neraca'!$A$3:$S$910,12,FALSE)),0,VLOOKUP($A1156,'Mutasi Neraca'!$A$3:$S$910,12,FALSE))</f>
        <v>540000</v>
      </c>
      <c r="N1156" s="42">
        <f>VLOOKUP($A1156,'Neraca Unaudited SIMAK'!$A$2:$R$1272,13,FALSE)+IF(ISNA(VLOOKUP($A1156,'Mutasi Neraca'!$A$3:$S$910,13,FALSE)),0,VLOOKUP($A1156,'Mutasi Neraca'!$A$3:$S$910,13,FALSE))</f>
        <v>0</v>
      </c>
      <c r="O1156" s="42">
        <f>VLOOKUP($A1156,'Neraca Unaudited SIMAK'!$A$2:$R$1272,14,FALSE)+IF(ISNA(VLOOKUP($A1156,'Mutasi Neraca'!$A$3:$S$910,14,FALSE)),0,VLOOKUP($A1156,'Mutasi Neraca'!$A$3:$S$910,14,FALSE))</f>
        <v>0</v>
      </c>
      <c r="P1156" s="42">
        <f>VLOOKUP($A1156,'Neraca Unaudited SIMAK'!$A$2:$R$1272,15,FALSE)+IF(ISNA(VLOOKUP($A1156,'Mutasi Neraca'!$A$3:$S$910,15,FALSE)),0,VLOOKUP($A1156,'Mutasi Neraca'!$A$3:$S$910,15,FALSE))</f>
        <v>0</v>
      </c>
      <c r="Q1156" s="42">
        <f>VLOOKUP($A1156,'Neraca Unaudited SIMAK'!$A$2:$R$1272,16,FALSE)+IF(ISNA(VLOOKUP($A1156,'Mutasi Neraca'!$A$3:$S$910,16,FALSE)),0,VLOOKUP($A1156,'Mutasi Neraca'!$A$3:$S$910,16,FALSE))</f>
        <v>0</v>
      </c>
      <c r="R1156" s="42">
        <f>VLOOKUP($A1156,'Neraca Unaudited SIMAK'!$A$2:$R$1272,17,FALSE)+IF(ISNA(VLOOKUP($A1156,'Mutasi Neraca'!$A$3:$S$910,17,FALSE)),0,VLOOKUP($A1156,'Mutasi Neraca'!$A$3:$S$910,17,FALSE))</f>
        <v>0</v>
      </c>
      <c r="S1156" s="42">
        <f t="shared" si="79"/>
        <v>540000</v>
      </c>
    </row>
    <row r="1157" spans="1:19">
      <c r="A1157" s="41" t="s">
        <v>2074</v>
      </c>
      <c r="B1157" s="41" t="str">
        <f t="shared" si="78"/>
        <v>005032500</v>
      </c>
      <c r="D1157" s="42">
        <f>VLOOKUP($A1157,'Neraca Unaudited SIMAK'!$A$2:$R$1272,3,FALSE)+IF(ISNA(VLOOKUP($A1157,'Mutasi Neraca'!$A$3:$S$910,3,FALSE)),0,VLOOKUP($A1157,'Mutasi Neraca'!$A$3:$S$910,3,FALSE))</f>
        <v>2731960</v>
      </c>
      <c r="E1157" s="42">
        <f>VLOOKUP($A1157,'Neraca Unaudited SIMAK'!$A$2:$R$1272,4,FALSE)+IF(ISNA(VLOOKUP($A1157,'Mutasi Neraca'!$A$3:$S$910,4,FALSE)),0,VLOOKUP($A1157,'Mutasi Neraca'!$A$3:$S$910,4,FALSE))</f>
        <v>0</v>
      </c>
      <c r="F1157" s="42">
        <f>VLOOKUP($A1157,'Neraca Unaudited SIMAK'!$A$2:$R$1272,5,FALSE)+IF(ISNA(VLOOKUP($A1157,'Mutasi Neraca'!$A$3:$S$910,5,FALSE)),0,VLOOKUP($A1157,'Mutasi Neraca'!$A$3:$S$910,5,FALSE))</f>
        <v>0</v>
      </c>
      <c r="G1157" s="42">
        <f>VLOOKUP($A1157,'Neraca Unaudited SIMAK'!$A$2:$R$1272,6,FALSE)+IF(ISNA(VLOOKUP($A1157,'Mutasi Neraca'!$A$3:$S$910,6,FALSE)),0,VLOOKUP($A1157,'Mutasi Neraca'!$A$3:$S$910,6,FALSE))</f>
        <v>0</v>
      </c>
      <c r="H1157" s="42">
        <f>VLOOKUP($A1157,'Neraca Unaudited SIMAK'!$A$2:$R$1272,7,FALSE)+IF(ISNA(VLOOKUP($A1157,'Mutasi Neraca'!$A$3:$S$910,7,FALSE)),0,VLOOKUP($A1157,'Mutasi Neraca'!$A$3:$S$910,7,FALSE))</f>
        <v>0</v>
      </c>
      <c r="I1157" s="42">
        <f>VLOOKUP($A1157,'Neraca Unaudited SIMAK'!$A$2:$R$1272,8,FALSE)+IF(ISNA(VLOOKUP($A1157,'Mutasi Neraca'!$A$3:$S$910,8,FALSE)),0,VLOOKUP($A1157,'Mutasi Neraca'!$A$3:$S$910,8,FALSE))</f>
        <v>0</v>
      </c>
      <c r="J1157" s="42">
        <f>VLOOKUP($A1157,'Neraca Unaudited SIMAK'!$A$2:$R$1272,9,FALSE)+IF(ISNA(VLOOKUP($A1157,'Mutasi Neraca'!$A$3:$S$910,9,FALSE)),0,VLOOKUP($A1157,'Mutasi Neraca'!$A$3:$S$910,9,FALSE))</f>
        <v>0</v>
      </c>
      <c r="K1157" s="42">
        <f>VLOOKUP($A1157,'Neraca Unaudited SIMAK'!$A$2:$R$1272,10,FALSE)+IF(ISNA(VLOOKUP($A1157,'Mutasi Neraca'!$A$3:$S$910,10,FALSE)),0,VLOOKUP($A1157,'Mutasi Neraca'!$A$3:$S$910,10,FALSE))</f>
        <v>0</v>
      </c>
      <c r="L1157" s="42">
        <f>VLOOKUP($A1157,'Neraca Unaudited SIMAK'!$A$2:$R$1272,11,FALSE)+IF(ISNA(VLOOKUP($A1157,'Mutasi Neraca'!$A$3:$S$910,11,FALSE)),0,VLOOKUP($A1157,'Mutasi Neraca'!$A$3:$S$910,11,FALSE))</f>
        <v>0</v>
      </c>
      <c r="M1157" s="42">
        <f>VLOOKUP($A1157,'Neraca Unaudited SIMAK'!$A$2:$R$1272,12,FALSE)+IF(ISNA(VLOOKUP($A1157,'Mutasi Neraca'!$A$3:$S$910,12,FALSE)),0,VLOOKUP($A1157,'Mutasi Neraca'!$A$3:$S$910,12,FALSE))</f>
        <v>2731960</v>
      </c>
      <c r="N1157" s="42">
        <f>VLOOKUP($A1157,'Neraca Unaudited SIMAK'!$A$2:$R$1272,13,FALSE)+IF(ISNA(VLOOKUP($A1157,'Mutasi Neraca'!$A$3:$S$910,13,FALSE)),0,VLOOKUP($A1157,'Mutasi Neraca'!$A$3:$S$910,13,FALSE))</f>
        <v>0</v>
      </c>
      <c r="O1157" s="42">
        <f>VLOOKUP($A1157,'Neraca Unaudited SIMAK'!$A$2:$R$1272,14,FALSE)+IF(ISNA(VLOOKUP($A1157,'Mutasi Neraca'!$A$3:$S$910,14,FALSE)),0,VLOOKUP($A1157,'Mutasi Neraca'!$A$3:$S$910,14,FALSE))</f>
        <v>0</v>
      </c>
      <c r="P1157" s="42">
        <f>VLOOKUP($A1157,'Neraca Unaudited SIMAK'!$A$2:$R$1272,15,FALSE)+IF(ISNA(VLOOKUP($A1157,'Mutasi Neraca'!$A$3:$S$910,15,FALSE)),0,VLOOKUP($A1157,'Mutasi Neraca'!$A$3:$S$910,15,FALSE))</f>
        <v>0</v>
      </c>
      <c r="Q1157" s="42">
        <f>VLOOKUP($A1157,'Neraca Unaudited SIMAK'!$A$2:$R$1272,16,FALSE)+IF(ISNA(VLOOKUP($A1157,'Mutasi Neraca'!$A$3:$S$910,16,FALSE)),0,VLOOKUP($A1157,'Mutasi Neraca'!$A$3:$S$910,16,FALSE))</f>
        <v>0</v>
      </c>
      <c r="R1157" s="42">
        <f>VLOOKUP($A1157,'Neraca Unaudited SIMAK'!$A$2:$R$1272,17,FALSE)+IF(ISNA(VLOOKUP($A1157,'Mutasi Neraca'!$A$3:$S$910,17,FALSE)),0,VLOOKUP($A1157,'Mutasi Neraca'!$A$3:$S$910,17,FALSE))</f>
        <v>0</v>
      </c>
      <c r="S1157" s="42">
        <f t="shared" si="79"/>
        <v>2731960</v>
      </c>
    </row>
    <row r="1158" spans="1:19">
      <c r="A1158" s="41" t="s">
        <v>1083</v>
      </c>
      <c r="B1158" s="41" t="str">
        <f t="shared" si="78"/>
        <v>005032500</v>
      </c>
      <c r="D1158" s="42">
        <f>VLOOKUP($A1158,'Neraca Unaudited SIMAK'!$A$2:$R$1272,3,FALSE)+IF(ISNA(VLOOKUP($A1158,'Mutasi Neraca'!$A$3:$S$910,3,FALSE)),0,VLOOKUP($A1158,'Mutasi Neraca'!$A$3:$S$910,3,FALSE))</f>
        <v>30184500</v>
      </c>
      <c r="E1158" s="42">
        <f>VLOOKUP($A1158,'Neraca Unaudited SIMAK'!$A$2:$R$1272,4,FALSE)+IF(ISNA(VLOOKUP($A1158,'Mutasi Neraca'!$A$3:$S$910,4,FALSE)),0,VLOOKUP($A1158,'Mutasi Neraca'!$A$3:$S$910,4,FALSE))</f>
        <v>0</v>
      </c>
      <c r="F1158" s="42">
        <f>VLOOKUP($A1158,'Neraca Unaudited SIMAK'!$A$2:$R$1272,5,FALSE)+IF(ISNA(VLOOKUP($A1158,'Mutasi Neraca'!$A$3:$S$910,5,FALSE)),0,VLOOKUP($A1158,'Mutasi Neraca'!$A$3:$S$910,5,FALSE))</f>
        <v>0</v>
      </c>
      <c r="G1158" s="42">
        <f>VLOOKUP($A1158,'Neraca Unaudited SIMAK'!$A$2:$R$1272,6,FALSE)+IF(ISNA(VLOOKUP($A1158,'Mutasi Neraca'!$A$3:$S$910,6,FALSE)),0,VLOOKUP($A1158,'Mutasi Neraca'!$A$3:$S$910,6,FALSE))</f>
        <v>0</v>
      </c>
      <c r="H1158" s="42">
        <f>VLOOKUP($A1158,'Neraca Unaudited SIMAK'!$A$2:$R$1272,7,FALSE)+IF(ISNA(VLOOKUP($A1158,'Mutasi Neraca'!$A$3:$S$910,7,FALSE)),0,VLOOKUP($A1158,'Mutasi Neraca'!$A$3:$S$910,7,FALSE))</f>
        <v>0</v>
      </c>
      <c r="I1158" s="42">
        <f>VLOOKUP($A1158,'Neraca Unaudited SIMAK'!$A$2:$R$1272,8,FALSE)+IF(ISNA(VLOOKUP($A1158,'Mutasi Neraca'!$A$3:$S$910,8,FALSE)),0,VLOOKUP($A1158,'Mutasi Neraca'!$A$3:$S$910,8,FALSE))</f>
        <v>0</v>
      </c>
      <c r="J1158" s="42">
        <f>VLOOKUP($A1158,'Neraca Unaudited SIMAK'!$A$2:$R$1272,9,FALSE)+IF(ISNA(VLOOKUP($A1158,'Mutasi Neraca'!$A$3:$S$910,9,FALSE)),0,VLOOKUP($A1158,'Mutasi Neraca'!$A$3:$S$910,9,FALSE))</f>
        <v>0</v>
      </c>
      <c r="K1158" s="42">
        <f>VLOOKUP($A1158,'Neraca Unaudited SIMAK'!$A$2:$R$1272,10,FALSE)+IF(ISNA(VLOOKUP($A1158,'Mutasi Neraca'!$A$3:$S$910,10,FALSE)),0,VLOOKUP($A1158,'Mutasi Neraca'!$A$3:$S$910,10,FALSE))</f>
        <v>0</v>
      </c>
      <c r="L1158" s="42">
        <f>VLOOKUP($A1158,'Neraca Unaudited SIMAK'!$A$2:$R$1272,11,FALSE)+IF(ISNA(VLOOKUP($A1158,'Mutasi Neraca'!$A$3:$S$910,11,FALSE)),0,VLOOKUP($A1158,'Mutasi Neraca'!$A$3:$S$910,11,FALSE))</f>
        <v>0</v>
      </c>
      <c r="M1158" s="42">
        <f>VLOOKUP($A1158,'Neraca Unaudited SIMAK'!$A$2:$R$1272,12,FALSE)+IF(ISNA(VLOOKUP($A1158,'Mutasi Neraca'!$A$3:$S$910,12,FALSE)),0,VLOOKUP($A1158,'Mutasi Neraca'!$A$3:$S$910,12,FALSE))</f>
        <v>30184500</v>
      </c>
      <c r="N1158" s="42">
        <f>VLOOKUP($A1158,'Neraca Unaudited SIMAK'!$A$2:$R$1272,13,FALSE)+IF(ISNA(VLOOKUP($A1158,'Mutasi Neraca'!$A$3:$S$910,13,FALSE)),0,VLOOKUP($A1158,'Mutasi Neraca'!$A$3:$S$910,13,FALSE))</f>
        <v>0</v>
      </c>
      <c r="O1158" s="42">
        <f>VLOOKUP($A1158,'Neraca Unaudited SIMAK'!$A$2:$R$1272,14,FALSE)+IF(ISNA(VLOOKUP($A1158,'Mutasi Neraca'!$A$3:$S$910,14,FALSE)),0,VLOOKUP($A1158,'Mutasi Neraca'!$A$3:$S$910,14,FALSE))</f>
        <v>0</v>
      </c>
      <c r="P1158" s="42">
        <f>VLOOKUP($A1158,'Neraca Unaudited SIMAK'!$A$2:$R$1272,15,FALSE)+IF(ISNA(VLOOKUP($A1158,'Mutasi Neraca'!$A$3:$S$910,15,FALSE)),0,VLOOKUP($A1158,'Mutasi Neraca'!$A$3:$S$910,15,FALSE))</f>
        <v>0</v>
      </c>
      <c r="Q1158" s="42">
        <f>VLOOKUP($A1158,'Neraca Unaudited SIMAK'!$A$2:$R$1272,16,FALSE)+IF(ISNA(VLOOKUP($A1158,'Mutasi Neraca'!$A$3:$S$910,16,FALSE)),0,VLOOKUP($A1158,'Mutasi Neraca'!$A$3:$S$910,16,FALSE))</f>
        <v>0</v>
      </c>
      <c r="R1158" s="42">
        <f>VLOOKUP($A1158,'Neraca Unaudited SIMAK'!$A$2:$R$1272,17,FALSE)+IF(ISNA(VLOOKUP($A1158,'Mutasi Neraca'!$A$3:$S$910,17,FALSE)),0,VLOOKUP($A1158,'Mutasi Neraca'!$A$3:$S$910,17,FALSE))</f>
        <v>0</v>
      </c>
      <c r="S1158" s="42">
        <f t="shared" si="79"/>
        <v>30184500</v>
      </c>
    </row>
    <row r="1159" spans="1:19">
      <c r="A1159" s="41" t="s">
        <v>1084</v>
      </c>
      <c r="B1159" s="41" t="str">
        <f t="shared" si="78"/>
        <v>005032600</v>
      </c>
      <c r="D1159" s="42">
        <f>VLOOKUP($A1159,'Neraca Unaudited SIMAK'!$A$2:$R$1272,3,FALSE)+IF(ISNA(VLOOKUP($A1159,'Mutasi Neraca'!$A$3:$S$910,3,FALSE)),0,VLOOKUP($A1159,'Mutasi Neraca'!$A$3:$S$910,3,FALSE))</f>
        <v>13012523</v>
      </c>
      <c r="E1159" s="42">
        <f>VLOOKUP($A1159,'Neraca Unaudited SIMAK'!$A$2:$R$1272,4,FALSE)+IF(ISNA(VLOOKUP($A1159,'Mutasi Neraca'!$A$3:$S$910,4,FALSE)),0,VLOOKUP($A1159,'Mutasi Neraca'!$A$3:$S$910,4,FALSE))</f>
        <v>0</v>
      </c>
      <c r="F1159" s="42">
        <f>VLOOKUP($A1159,'Neraca Unaudited SIMAK'!$A$2:$R$1272,5,FALSE)+IF(ISNA(VLOOKUP($A1159,'Mutasi Neraca'!$A$3:$S$910,5,FALSE)),0,VLOOKUP($A1159,'Mutasi Neraca'!$A$3:$S$910,5,FALSE))</f>
        <v>0</v>
      </c>
      <c r="G1159" s="42">
        <f>VLOOKUP($A1159,'Neraca Unaudited SIMAK'!$A$2:$R$1272,6,FALSE)+IF(ISNA(VLOOKUP($A1159,'Mutasi Neraca'!$A$3:$S$910,6,FALSE)),0,VLOOKUP($A1159,'Mutasi Neraca'!$A$3:$S$910,6,FALSE))</f>
        <v>0</v>
      </c>
      <c r="H1159" s="42">
        <f>VLOOKUP($A1159,'Neraca Unaudited SIMAK'!$A$2:$R$1272,7,FALSE)+IF(ISNA(VLOOKUP($A1159,'Mutasi Neraca'!$A$3:$S$910,7,FALSE)),0,VLOOKUP($A1159,'Mutasi Neraca'!$A$3:$S$910,7,FALSE))</f>
        <v>0</v>
      </c>
      <c r="I1159" s="42">
        <f>VLOOKUP($A1159,'Neraca Unaudited SIMAK'!$A$2:$R$1272,8,FALSE)+IF(ISNA(VLOOKUP($A1159,'Mutasi Neraca'!$A$3:$S$910,8,FALSE)),0,VLOOKUP($A1159,'Mutasi Neraca'!$A$3:$S$910,8,FALSE))</f>
        <v>0</v>
      </c>
      <c r="J1159" s="42">
        <f>VLOOKUP($A1159,'Neraca Unaudited SIMAK'!$A$2:$R$1272,9,FALSE)+IF(ISNA(VLOOKUP($A1159,'Mutasi Neraca'!$A$3:$S$910,9,FALSE)),0,VLOOKUP($A1159,'Mutasi Neraca'!$A$3:$S$910,9,FALSE))</f>
        <v>0</v>
      </c>
      <c r="K1159" s="42">
        <f>VLOOKUP($A1159,'Neraca Unaudited SIMAK'!$A$2:$R$1272,10,FALSE)+IF(ISNA(VLOOKUP($A1159,'Mutasi Neraca'!$A$3:$S$910,10,FALSE)),0,VLOOKUP($A1159,'Mutasi Neraca'!$A$3:$S$910,10,FALSE))</f>
        <v>0</v>
      </c>
      <c r="L1159" s="42">
        <f>VLOOKUP($A1159,'Neraca Unaudited SIMAK'!$A$2:$R$1272,11,FALSE)+IF(ISNA(VLOOKUP($A1159,'Mutasi Neraca'!$A$3:$S$910,11,FALSE)),0,VLOOKUP($A1159,'Mutasi Neraca'!$A$3:$S$910,11,FALSE))</f>
        <v>0</v>
      </c>
      <c r="M1159" s="42">
        <f>VLOOKUP($A1159,'Neraca Unaudited SIMAK'!$A$2:$R$1272,12,FALSE)+IF(ISNA(VLOOKUP($A1159,'Mutasi Neraca'!$A$3:$S$910,12,FALSE)),0,VLOOKUP($A1159,'Mutasi Neraca'!$A$3:$S$910,12,FALSE))</f>
        <v>13012523</v>
      </c>
      <c r="N1159" s="42">
        <f>VLOOKUP($A1159,'Neraca Unaudited SIMAK'!$A$2:$R$1272,13,FALSE)+IF(ISNA(VLOOKUP($A1159,'Mutasi Neraca'!$A$3:$S$910,13,FALSE)),0,VLOOKUP($A1159,'Mutasi Neraca'!$A$3:$S$910,13,FALSE))</f>
        <v>0</v>
      </c>
      <c r="O1159" s="42">
        <f>VLOOKUP($A1159,'Neraca Unaudited SIMAK'!$A$2:$R$1272,14,FALSE)+IF(ISNA(VLOOKUP($A1159,'Mutasi Neraca'!$A$3:$S$910,14,FALSE)),0,VLOOKUP($A1159,'Mutasi Neraca'!$A$3:$S$910,14,FALSE))</f>
        <v>0</v>
      </c>
      <c r="P1159" s="42">
        <f>VLOOKUP($A1159,'Neraca Unaudited SIMAK'!$A$2:$R$1272,15,FALSE)+IF(ISNA(VLOOKUP($A1159,'Mutasi Neraca'!$A$3:$S$910,15,FALSE)),0,VLOOKUP($A1159,'Mutasi Neraca'!$A$3:$S$910,15,FALSE))</f>
        <v>0</v>
      </c>
      <c r="Q1159" s="42">
        <f>VLOOKUP($A1159,'Neraca Unaudited SIMAK'!$A$2:$R$1272,16,FALSE)+IF(ISNA(VLOOKUP($A1159,'Mutasi Neraca'!$A$3:$S$910,16,FALSE)),0,VLOOKUP($A1159,'Mutasi Neraca'!$A$3:$S$910,16,FALSE))</f>
        <v>0</v>
      </c>
      <c r="R1159" s="42">
        <f>VLOOKUP($A1159,'Neraca Unaudited SIMAK'!$A$2:$R$1272,17,FALSE)+IF(ISNA(VLOOKUP($A1159,'Mutasi Neraca'!$A$3:$S$910,17,FALSE)),0,VLOOKUP($A1159,'Mutasi Neraca'!$A$3:$S$910,17,FALSE))</f>
        <v>0</v>
      </c>
      <c r="S1159" s="42">
        <f t="shared" si="79"/>
        <v>13012523</v>
      </c>
    </row>
    <row r="1160" spans="1:19">
      <c r="A1160" s="41" t="s">
        <v>1085</v>
      </c>
      <c r="B1160" s="41" t="str">
        <f t="shared" si="78"/>
        <v>005032600</v>
      </c>
      <c r="D1160" s="42">
        <f>VLOOKUP($A1160,'Neraca Unaudited SIMAK'!$A$2:$R$1272,3,FALSE)+IF(ISNA(VLOOKUP($A1160,'Mutasi Neraca'!$A$3:$S$910,3,FALSE)),0,VLOOKUP($A1160,'Mutasi Neraca'!$A$3:$S$910,3,FALSE))</f>
        <v>1913500</v>
      </c>
      <c r="E1160" s="42">
        <f>VLOOKUP($A1160,'Neraca Unaudited SIMAK'!$A$2:$R$1272,4,FALSE)+IF(ISNA(VLOOKUP($A1160,'Mutasi Neraca'!$A$3:$S$910,4,FALSE)),0,VLOOKUP($A1160,'Mutasi Neraca'!$A$3:$S$910,4,FALSE))</f>
        <v>0</v>
      </c>
      <c r="F1160" s="42">
        <f>VLOOKUP($A1160,'Neraca Unaudited SIMAK'!$A$2:$R$1272,5,FALSE)+IF(ISNA(VLOOKUP($A1160,'Mutasi Neraca'!$A$3:$S$910,5,FALSE)),0,VLOOKUP($A1160,'Mutasi Neraca'!$A$3:$S$910,5,FALSE))</f>
        <v>0</v>
      </c>
      <c r="G1160" s="42">
        <f>VLOOKUP($A1160,'Neraca Unaudited SIMAK'!$A$2:$R$1272,6,FALSE)+IF(ISNA(VLOOKUP($A1160,'Mutasi Neraca'!$A$3:$S$910,6,FALSE)),0,VLOOKUP($A1160,'Mutasi Neraca'!$A$3:$S$910,6,FALSE))</f>
        <v>0</v>
      </c>
      <c r="H1160" s="42">
        <f>VLOOKUP($A1160,'Neraca Unaudited SIMAK'!$A$2:$R$1272,7,FALSE)+IF(ISNA(VLOOKUP($A1160,'Mutasi Neraca'!$A$3:$S$910,7,FALSE)),0,VLOOKUP($A1160,'Mutasi Neraca'!$A$3:$S$910,7,FALSE))</f>
        <v>0</v>
      </c>
      <c r="I1160" s="42">
        <f>VLOOKUP($A1160,'Neraca Unaudited SIMAK'!$A$2:$R$1272,8,FALSE)+IF(ISNA(VLOOKUP($A1160,'Mutasi Neraca'!$A$3:$S$910,8,FALSE)),0,VLOOKUP($A1160,'Mutasi Neraca'!$A$3:$S$910,8,FALSE))</f>
        <v>0</v>
      </c>
      <c r="J1160" s="42">
        <f>VLOOKUP($A1160,'Neraca Unaudited SIMAK'!$A$2:$R$1272,9,FALSE)+IF(ISNA(VLOOKUP($A1160,'Mutasi Neraca'!$A$3:$S$910,9,FALSE)),0,VLOOKUP($A1160,'Mutasi Neraca'!$A$3:$S$910,9,FALSE))</f>
        <v>0</v>
      </c>
      <c r="K1160" s="42">
        <f>VLOOKUP($A1160,'Neraca Unaudited SIMAK'!$A$2:$R$1272,10,FALSE)+IF(ISNA(VLOOKUP($A1160,'Mutasi Neraca'!$A$3:$S$910,10,FALSE)),0,VLOOKUP($A1160,'Mutasi Neraca'!$A$3:$S$910,10,FALSE))</f>
        <v>0</v>
      </c>
      <c r="L1160" s="42">
        <f>VLOOKUP($A1160,'Neraca Unaudited SIMAK'!$A$2:$R$1272,11,FALSE)+IF(ISNA(VLOOKUP($A1160,'Mutasi Neraca'!$A$3:$S$910,11,FALSE)),0,VLOOKUP($A1160,'Mutasi Neraca'!$A$3:$S$910,11,FALSE))</f>
        <v>0</v>
      </c>
      <c r="M1160" s="42">
        <f>VLOOKUP($A1160,'Neraca Unaudited SIMAK'!$A$2:$R$1272,12,FALSE)+IF(ISNA(VLOOKUP($A1160,'Mutasi Neraca'!$A$3:$S$910,12,FALSE)),0,VLOOKUP($A1160,'Mutasi Neraca'!$A$3:$S$910,12,FALSE))</f>
        <v>1913500</v>
      </c>
      <c r="N1160" s="42">
        <f>VLOOKUP($A1160,'Neraca Unaudited SIMAK'!$A$2:$R$1272,13,FALSE)+IF(ISNA(VLOOKUP($A1160,'Mutasi Neraca'!$A$3:$S$910,13,FALSE)),0,VLOOKUP($A1160,'Mutasi Neraca'!$A$3:$S$910,13,FALSE))</f>
        <v>0</v>
      </c>
      <c r="O1160" s="42">
        <f>VLOOKUP($A1160,'Neraca Unaudited SIMAK'!$A$2:$R$1272,14,FALSE)+IF(ISNA(VLOOKUP($A1160,'Mutasi Neraca'!$A$3:$S$910,14,FALSE)),0,VLOOKUP($A1160,'Mutasi Neraca'!$A$3:$S$910,14,FALSE))</f>
        <v>0</v>
      </c>
      <c r="P1160" s="42">
        <f>VLOOKUP($A1160,'Neraca Unaudited SIMAK'!$A$2:$R$1272,15,FALSE)+IF(ISNA(VLOOKUP($A1160,'Mutasi Neraca'!$A$3:$S$910,15,FALSE)),0,VLOOKUP($A1160,'Mutasi Neraca'!$A$3:$S$910,15,FALSE))</f>
        <v>0</v>
      </c>
      <c r="Q1160" s="42">
        <f>VLOOKUP($A1160,'Neraca Unaudited SIMAK'!$A$2:$R$1272,16,FALSE)+IF(ISNA(VLOOKUP($A1160,'Mutasi Neraca'!$A$3:$S$910,16,FALSE)),0,VLOOKUP($A1160,'Mutasi Neraca'!$A$3:$S$910,16,FALSE))</f>
        <v>0</v>
      </c>
      <c r="R1160" s="42">
        <f>VLOOKUP($A1160,'Neraca Unaudited SIMAK'!$A$2:$R$1272,17,FALSE)+IF(ISNA(VLOOKUP($A1160,'Mutasi Neraca'!$A$3:$S$910,17,FALSE)),0,VLOOKUP($A1160,'Mutasi Neraca'!$A$3:$S$910,17,FALSE))</f>
        <v>0</v>
      </c>
      <c r="S1160" s="42">
        <f t="shared" si="79"/>
        <v>1913500</v>
      </c>
    </row>
    <row r="1161" spans="1:19">
      <c r="A1161" s="41" t="s">
        <v>1086</v>
      </c>
      <c r="B1161" s="41" t="str">
        <f t="shared" si="78"/>
        <v>005032600</v>
      </c>
      <c r="D1161" s="42">
        <f>VLOOKUP($A1161,'Neraca Unaudited SIMAK'!$A$2:$R$1272,3,FALSE)+IF(ISNA(VLOOKUP($A1161,'Mutasi Neraca'!$A$3:$S$910,3,FALSE)),0,VLOOKUP($A1161,'Mutasi Neraca'!$A$3:$S$910,3,FALSE))</f>
        <v>2051000</v>
      </c>
      <c r="E1161" s="42">
        <f>VLOOKUP($A1161,'Neraca Unaudited SIMAK'!$A$2:$R$1272,4,FALSE)+IF(ISNA(VLOOKUP($A1161,'Mutasi Neraca'!$A$3:$S$910,4,FALSE)),0,VLOOKUP($A1161,'Mutasi Neraca'!$A$3:$S$910,4,FALSE))</f>
        <v>0</v>
      </c>
      <c r="F1161" s="42">
        <f>VLOOKUP($A1161,'Neraca Unaudited SIMAK'!$A$2:$R$1272,5,FALSE)+IF(ISNA(VLOOKUP($A1161,'Mutasi Neraca'!$A$3:$S$910,5,FALSE)),0,VLOOKUP($A1161,'Mutasi Neraca'!$A$3:$S$910,5,FALSE))</f>
        <v>0</v>
      </c>
      <c r="G1161" s="42">
        <f>VLOOKUP($A1161,'Neraca Unaudited SIMAK'!$A$2:$R$1272,6,FALSE)+IF(ISNA(VLOOKUP($A1161,'Mutasi Neraca'!$A$3:$S$910,6,FALSE)),0,VLOOKUP($A1161,'Mutasi Neraca'!$A$3:$S$910,6,FALSE))</f>
        <v>0</v>
      </c>
      <c r="H1161" s="42">
        <f>VLOOKUP($A1161,'Neraca Unaudited SIMAK'!$A$2:$R$1272,7,FALSE)+IF(ISNA(VLOOKUP($A1161,'Mutasi Neraca'!$A$3:$S$910,7,FALSE)),0,VLOOKUP($A1161,'Mutasi Neraca'!$A$3:$S$910,7,FALSE))</f>
        <v>0</v>
      </c>
      <c r="I1161" s="42">
        <f>VLOOKUP($A1161,'Neraca Unaudited SIMAK'!$A$2:$R$1272,8,FALSE)+IF(ISNA(VLOOKUP($A1161,'Mutasi Neraca'!$A$3:$S$910,8,FALSE)),0,VLOOKUP($A1161,'Mutasi Neraca'!$A$3:$S$910,8,FALSE))</f>
        <v>0</v>
      </c>
      <c r="J1161" s="42">
        <f>VLOOKUP($A1161,'Neraca Unaudited SIMAK'!$A$2:$R$1272,9,FALSE)+IF(ISNA(VLOOKUP($A1161,'Mutasi Neraca'!$A$3:$S$910,9,FALSE)),0,VLOOKUP($A1161,'Mutasi Neraca'!$A$3:$S$910,9,FALSE))</f>
        <v>0</v>
      </c>
      <c r="K1161" s="42">
        <f>VLOOKUP($A1161,'Neraca Unaudited SIMAK'!$A$2:$R$1272,10,FALSE)+IF(ISNA(VLOOKUP($A1161,'Mutasi Neraca'!$A$3:$S$910,10,FALSE)),0,VLOOKUP($A1161,'Mutasi Neraca'!$A$3:$S$910,10,FALSE))</f>
        <v>0</v>
      </c>
      <c r="L1161" s="42">
        <f>VLOOKUP($A1161,'Neraca Unaudited SIMAK'!$A$2:$R$1272,11,FALSE)+IF(ISNA(VLOOKUP($A1161,'Mutasi Neraca'!$A$3:$S$910,11,FALSE)),0,VLOOKUP($A1161,'Mutasi Neraca'!$A$3:$S$910,11,FALSE))</f>
        <v>0</v>
      </c>
      <c r="M1161" s="42">
        <f>VLOOKUP($A1161,'Neraca Unaudited SIMAK'!$A$2:$R$1272,12,FALSE)+IF(ISNA(VLOOKUP($A1161,'Mutasi Neraca'!$A$3:$S$910,12,FALSE)),0,VLOOKUP($A1161,'Mutasi Neraca'!$A$3:$S$910,12,FALSE))</f>
        <v>2051000</v>
      </c>
      <c r="N1161" s="42">
        <f>VLOOKUP($A1161,'Neraca Unaudited SIMAK'!$A$2:$R$1272,13,FALSE)+IF(ISNA(VLOOKUP($A1161,'Mutasi Neraca'!$A$3:$S$910,13,FALSE)),0,VLOOKUP($A1161,'Mutasi Neraca'!$A$3:$S$910,13,FALSE))</f>
        <v>0</v>
      </c>
      <c r="O1161" s="42">
        <f>VLOOKUP($A1161,'Neraca Unaudited SIMAK'!$A$2:$R$1272,14,FALSE)+IF(ISNA(VLOOKUP($A1161,'Mutasi Neraca'!$A$3:$S$910,14,FALSE)),0,VLOOKUP($A1161,'Mutasi Neraca'!$A$3:$S$910,14,FALSE))</f>
        <v>0</v>
      </c>
      <c r="P1161" s="42">
        <f>VLOOKUP($A1161,'Neraca Unaudited SIMAK'!$A$2:$R$1272,15,FALSE)+IF(ISNA(VLOOKUP($A1161,'Mutasi Neraca'!$A$3:$S$910,15,FALSE)),0,VLOOKUP($A1161,'Mutasi Neraca'!$A$3:$S$910,15,FALSE))</f>
        <v>0</v>
      </c>
      <c r="Q1161" s="42">
        <f>VLOOKUP($A1161,'Neraca Unaudited SIMAK'!$A$2:$R$1272,16,FALSE)+IF(ISNA(VLOOKUP($A1161,'Mutasi Neraca'!$A$3:$S$910,16,FALSE)),0,VLOOKUP($A1161,'Mutasi Neraca'!$A$3:$S$910,16,FALSE))</f>
        <v>0</v>
      </c>
      <c r="R1161" s="42">
        <f>VLOOKUP($A1161,'Neraca Unaudited SIMAK'!$A$2:$R$1272,17,FALSE)+IF(ISNA(VLOOKUP($A1161,'Mutasi Neraca'!$A$3:$S$910,17,FALSE)),0,VLOOKUP($A1161,'Mutasi Neraca'!$A$3:$S$910,17,FALSE))</f>
        <v>0</v>
      </c>
      <c r="S1161" s="42">
        <f t="shared" si="79"/>
        <v>2051000</v>
      </c>
    </row>
    <row r="1162" spans="1:19">
      <c r="A1162" s="41" t="s">
        <v>1087</v>
      </c>
      <c r="B1162" s="41" t="str">
        <f t="shared" si="78"/>
        <v>005032600</v>
      </c>
      <c r="D1162" s="42">
        <f>VLOOKUP($A1162,'Neraca Unaudited SIMAK'!$A$2:$R$1272,3,FALSE)+IF(ISNA(VLOOKUP($A1162,'Mutasi Neraca'!$A$3:$S$910,3,FALSE)),0,VLOOKUP($A1162,'Mutasi Neraca'!$A$3:$S$910,3,FALSE))</f>
        <v>7455400</v>
      </c>
      <c r="E1162" s="42">
        <f>VLOOKUP($A1162,'Neraca Unaudited SIMAK'!$A$2:$R$1272,4,FALSE)+IF(ISNA(VLOOKUP($A1162,'Mutasi Neraca'!$A$3:$S$910,4,FALSE)),0,VLOOKUP($A1162,'Mutasi Neraca'!$A$3:$S$910,4,FALSE))</f>
        <v>0</v>
      </c>
      <c r="F1162" s="42">
        <f>VLOOKUP($A1162,'Neraca Unaudited SIMAK'!$A$2:$R$1272,5,FALSE)+IF(ISNA(VLOOKUP($A1162,'Mutasi Neraca'!$A$3:$S$910,5,FALSE)),0,VLOOKUP($A1162,'Mutasi Neraca'!$A$3:$S$910,5,FALSE))</f>
        <v>0</v>
      </c>
      <c r="G1162" s="42">
        <f>VLOOKUP($A1162,'Neraca Unaudited SIMAK'!$A$2:$R$1272,6,FALSE)+IF(ISNA(VLOOKUP($A1162,'Mutasi Neraca'!$A$3:$S$910,6,FALSE)),0,VLOOKUP($A1162,'Mutasi Neraca'!$A$3:$S$910,6,FALSE))</f>
        <v>0</v>
      </c>
      <c r="H1162" s="42">
        <f>VLOOKUP($A1162,'Neraca Unaudited SIMAK'!$A$2:$R$1272,7,FALSE)+IF(ISNA(VLOOKUP($A1162,'Mutasi Neraca'!$A$3:$S$910,7,FALSE)),0,VLOOKUP($A1162,'Mutasi Neraca'!$A$3:$S$910,7,FALSE))</f>
        <v>0</v>
      </c>
      <c r="I1162" s="42">
        <f>VLOOKUP($A1162,'Neraca Unaudited SIMAK'!$A$2:$R$1272,8,FALSE)+IF(ISNA(VLOOKUP($A1162,'Mutasi Neraca'!$A$3:$S$910,8,FALSE)),0,VLOOKUP($A1162,'Mutasi Neraca'!$A$3:$S$910,8,FALSE))</f>
        <v>0</v>
      </c>
      <c r="J1162" s="42">
        <f>VLOOKUP($A1162,'Neraca Unaudited SIMAK'!$A$2:$R$1272,9,FALSE)+IF(ISNA(VLOOKUP($A1162,'Mutasi Neraca'!$A$3:$S$910,9,FALSE)),0,VLOOKUP($A1162,'Mutasi Neraca'!$A$3:$S$910,9,FALSE))</f>
        <v>0</v>
      </c>
      <c r="K1162" s="42">
        <f>VLOOKUP($A1162,'Neraca Unaudited SIMAK'!$A$2:$R$1272,10,FALSE)+IF(ISNA(VLOOKUP($A1162,'Mutasi Neraca'!$A$3:$S$910,10,FALSE)),0,VLOOKUP($A1162,'Mutasi Neraca'!$A$3:$S$910,10,FALSE))</f>
        <v>0</v>
      </c>
      <c r="L1162" s="42">
        <f>VLOOKUP($A1162,'Neraca Unaudited SIMAK'!$A$2:$R$1272,11,FALSE)+IF(ISNA(VLOOKUP($A1162,'Mutasi Neraca'!$A$3:$S$910,11,FALSE)),0,VLOOKUP($A1162,'Mutasi Neraca'!$A$3:$S$910,11,FALSE))</f>
        <v>0</v>
      </c>
      <c r="M1162" s="42">
        <f>VLOOKUP($A1162,'Neraca Unaudited SIMAK'!$A$2:$R$1272,12,FALSE)+IF(ISNA(VLOOKUP($A1162,'Mutasi Neraca'!$A$3:$S$910,12,FALSE)),0,VLOOKUP($A1162,'Mutasi Neraca'!$A$3:$S$910,12,FALSE))</f>
        <v>7455400</v>
      </c>
      <c r="N1162" s="42">
        <f>VLOOKUP($A1162,'Neraca Unaudited SIMAK'!$A$2:$R$1272,13,FALSE)+IF(ISNA(VLOOKUP($A1162,'Mutasi Neraca'!$A$3:$S$910,13,FALSE)),0,VLOOKUP($A1162,'Mutasi Neraca'!$A$3:$S$910,13,FALSE))</f>
        <v>0</v>
      </c>
      <c r="O1162" s="42">
        <f>VLOOKUP($A1162,'Neraca Unaudited SIMAK'!$A$2:$R$1272,14,FALSE)+IF(ISNA(VLOOKUP($A1162,'Mutasi Neraca'!$A$3:$S$910,14,FALSE)),0,VLOOKUP($A1162,'Mutasi Neraca'!$A$3:$S$910,14,FALSE))</f>
        <v>0</v>
      </c>
      <c r="P1162" s="42">
        <f>VLOOKUP($A1162,'Neraca Unaudited SIMAK'!$A$2:$R$1272,15,FALSE)+IF(ISNA(VLOOKUP($A1162,'Mutasi Neraca'!$A$3:$S$910,15,FALSE)),0,VLOOKUP($A1162,'Mutasi Neraca'!$A$3:$S$910,15,FALSE))</f>
        <v>0</v>
      </c>
      <c r="Q1162" s="42">
        <f>VLOOKUP($A1162,'Neraca Unaudited SIMAK'!$A$2:$R$1272,16,FALSE)+IF(ISNA(VLOOKUP($A1162,'Mutasi Neraca'!$A$3:$S$910,16,FALSE)),0,VLOOKUP($A1162,'Mutasi Neraca'!$A$3:$S$910,16,FALSE))</f>
        <v>0</v>
      </c>
      <c r="R1162" s="42">
        <f>VLOOKUP($A1162,'Neraca Unaudited SIMAK'!$A$2:$R$1272,17,FALSE)+IF(ISNA(VLOOKUP($A1162,'Mutasi Neraca'!$A$3:$S$910,17,FALSE)),0,VLOOKUP($A1162,'Mutasi Neraca'!$A$3:$S$910,17,FALSE))</f>
        <v>0</v>
      </c>
      <c r="S1162" s="42">
        <f t="shared" si="79"/>
        <v>7455400</v>
      </c>
    </row>
    <row r="1163" spans="1:19">
      <c r="A1163" s="41" t="s">
        <v>1088</v>
      </c>
      <c r="B1163" s="41" t="str">
        <f t="shared" si="78"/>
        <v>005032600</v>
      </c>
      <c r="D1163" s="42">
        <f>VLOOKUP($A1163,'Neraca Unaudited SIMAK'!$A$2:$R$1272,3,FALSE)+IF(ISNA(VLOOKUP($A1163,'Mutasi Neraca'!$A$3:$S$910,3,FALSE)),0,VLOOKUP($A1163,'Mutasi Neraca'!$A$3:$S$910,3,FALSE))</f>
        <v>10680080</v>
      </c>
      <c r="E1163" s="42">
        <f>VLOOKUP($A1163,'Neraca Unaudited SIMAK'!$A$2:$R$1272,4,FALSE)+IF(ISNA(VLOOKUP($A1163,'Mutasi Neraca'!$A$3:$S$910,4,FALSE)),0,VLOOKUP($A1163,'Mutasi Neraca'!$A$3:$S$910,4,FALSE))</f>
        <v>0</v>
      </c>
      <c r="F1163" s="42">
        <f>VLOOKUP($A1163,'Neraca Unaudited SIMAK'!$A$2:$R$1272,5,FALSE)+IF(ISNA(VLOOKUP($A1163,'Mutasi Neraca'!$A$3:$S$910,5,FALSE)),0,VLOOKUP($A1163,'Mutasi Neraca'!$A$3:$S$910,5,FALSE))</f>
        <v>0</v>
      </c>
      <c r="G1163" s="42">
        <f>VLOOKUP($A1163,'Neraca Unaudited SIMAK'!$A$2:$R$1272,6,FALSE)+IF(ISNA(VLOOKUP($A1163,'Mutasi Neraca'!$A$3:$S$910,6,FALSE)),0,VLOOKUP($A1163,'Mutasi Neraca'!$A$3:$S$910,6,FALSE))</f>
        <v>0</v>
      </c>
      <c r="H1163" s="42">
        <f>VLOOKUP($A1163,'Neraca Unaudited SIMAK'!$A$2:$R$1272,7,FALSE)+IF(ISNA(VLOOKUP($A1163,'Mutasi Neraca'!$A$3:$S$910,7,FALSE)),0,VLOOKUP($A1163,'Mutasi Neraca'!$A$3:$S$910,7,FALSE))</f>
        <v>0</v>
      </c>
      <c r="I1163" s="42">
        <f>VLOOKUP($A1163,'Neraca Unaudited SIMAK'!$A$2:$R$1272,8,FALSE)+IF(ISNA(VLOOKUP($A1163,'Mutasi Neraca'!$A$3:$S$910,8,FALSE)),0,VLOOKUP($A1163,'Mutasi Neraca'!$A$3:$S$910,8,FALSE))</f>
        <v>0</v>
      </c>
      <c r="J1163" s="42">
        <f>VLOOKUP($A1163,'Neraca Unaudited SIMAK'!$A$2:$R$1272,9,FALSE)+IF(ISNA(VLOOKUP($A1163,'Mutasi Neraca'!$A$3:$S$910,9,FALSE)),0,VLOOKUP($A1163,'Mutasi Neraca'!$A$3:$S$910,9,FALSE))</f>
        <v>0</v>
      </c>
      <c r="K1163" s="42">
        <f>VLOOKUP($A1163,'Neraca Unaudited SIMAK'!$A$2:$R$1272,10,FALSE)+IF(ISNA(VLOOKUP($A1163,'Mutasi Neraca'!$A$3:$S$910,10,FALSE)),0,VLOOKUP($A1163,'Mutasi Neraca'!$A$3:$S$910,10,FALSE))</f>
        <v>0</v>
      </c>
      <c r="L1163" s="42">
        <f>VLOOKUP($A1163,'Neraca Unaudited SIMAK'!$A$2:$R$1272,11,FALSE)+IF(ISNA(VLOOKUP($A1163,'Mutasi Neraca'!$A$3:$S$910,11,FALSE)),0,VLOOKUP($A1163,'Mutasi Neraca'!$A$3:$S$910,11,FALSE))</f>
        <v>0</v>
      </c>
      <c r="M1163" s="42">
        <f>VLOOKUP($A1163,'Neraca Unaudited SIMAK'!$A$2:$R$1272,12,FALSE)+IF(ISNA(VLOOKUP($A1163,'Mutasi Neraca'!$A$3:$S$910,12,FALSE)),0,VLOOKUP($A1163,'Mutasi Neraca'!$A$3:$S$910,12,FALSE))</f>
        <v>10680080</v>
      </c>
      <c r="N1163" s="42">
        <f>VLOOKUP($A1163,'Neraca Unaudited SIMAK'!$A$2:$R$1272,13,FALSE)+IF(ISNA(VLOOKUP($A1163,'Mutasi Neraca'!$A$3:$S$910,13,FALSE)),0,VLOOKUP($A1163,'Mutasi Neraca'!$A$3:$S$910,13,FALSE))</f>
        <v>0</v>
      </c>
      <c r="O1163" s="42">
        <f>VLOOKUP($A1163,'Neraca Unaudited SIMAK'!$A$2:$R$1272,14,FALSE)+IF(ISNA(VLOOKUP($A1163,'Mutasi Neraca'!$A$3:$S$910,14,FALSE)),0,VLOOKUP($A1163,'Mutasi Neraca'!$A$3:$S$910,14,FALSE))</f>
        <v>0</v>
      </c>
      <c r="P1163" s="42">
        <f>VLOOKUP($A1163,'Neraca Unaudited SIMAK'!$A$2:$R$1272,15,FALSE)+IF(ISNA(VLOOKUP($A1163,'Mutasi Neraca'!$A$3:$S$910,15,FALSE)),0,VLOOKUP($A1163,'Mutasi Neraca'!$A$3:$S$910,15,FALSE))</f>
        <v>0</v>
      </c>
      <c r="Q1163" s="42">
        <f>VLOOKUP($A1163,'Neraca Unaudited SIMAK'!$A$2:$R$1272,16,FALSE)+IF(ISNA(VLOOKUP($A1163,'Mutasi Neraca'!$A$3:$S$910,16,FALSE)),0,VLOOKUP($A1163,'Mutasi Neraca'!$A$3:$S$910,16,FALSE))</f>
        <v>0</v>
      </c>
      <c r="R1163" s="42">
        <f>VLOOKUP($A1163,'Neraca Unaudited SIMAK'!$A$2:$R$1272,17,FALSE)+IF(ISNA(VLOOKUP($A1163,'Mutasi Neraca'!$A$3:$S$910,17,FALSE)),0,VLOOKUP($A1163,'Mutasi Neraca'!$A$3:$S$910,17,FALSE))</f>
        <v>0</v>
      </c>
      <c r="S1163" s="42">
        <f t="shared" si="79"/>
        <v>10680080</v>
      </c>
    </row>
    <row r="1164" spans="1:19">
      <c r="A1164" s="41" t="s">
        <v>1089</v>
      </c>
      <c r="B1164" s="41" t="str">
        <f t="shared" si="78"/>
        <v>005032600</v>
      </c>
      <c r="D1164" s="42">
        <f>VLOOKUP($A1164,'Neraca Unaudited SIMAK'!$A$2:$R$1272,3,FALSE)+IF(ISNA(VLOOKUP($A1164,'Mutasi Neraca'!$A$3:$S$910,3,FALSE)),0,VLOOKUP($A1164,'Mutasi Neraca'!$A$3:$S$910,3,FALSE))</f>
        <v>489500</v>
      </c>
      <c r="E1164" s="42">
        <f>VLOOKUP($A1164,'Neraca Unaudited SIMAK'!$A$2:$R$1272,4,FALSE)+IF(ISNA(VLOOKUP($A1164,'Mutasi Neraca'!$A$3:$S$910,4,FALSE)),0,VLOOKUP($A1164,'Mutasi Neraca'!$A$3:$S$910,4,FALSE))</f>
        <v>0</v>
      </c>
      <c r="F1164" s="42">
        <f>VLOOKUP($A1164,'Neraca Unaudited SIMAK'!$A$2:$R$1272,5,FALSE)+IF(ISNA(VLOOKUP($A1164,'Mutasi Neraca'!$A$3:$S$910,5,FALSE)),0,VLOOKUP($A1164,'Mutasi Neraca'!$A$3:$S$910,5,FALSE))</f>
        <v>0</v>
      </c>
      <c r="G1164" s="42">
        <f>VLOOKUP($A1164,'Neraca Unaudited SIMAK'!$A$2:$R$1272,6,FALSE)+IF(ISNA(VLOOKUP($A1164,'Mutasi Neraca'!$A$3:$S$910,6,FALSE)),0,VLOOKUP($A1164,'Mutasi Neraca'!$A$3:$S$910,6,FALSE))</f>
        <v>0</v>
      </c>
      <c r="H1164" s="42">
        <f>VLOOKUP($A1164,'Neraca Unaudited SIMAK'!$A$2:$R$1272,7,FALSE)+IF(ISNA(VLOOKUP($A1164,'Mutasi Neraca'!$A$3:$S$910,7,FALSE)),0,VLOOKUP($A1164,'Mutasi Neraca'!$A$3:$S$910,7,FALSE))</f>
        <v>0</v>
      </c>
      <c r="I1164" s="42">
        <f>VLOOKUP($A1164,'Neraca Unaudited SIMAK'!$A$2:$R$1272,8,FALSE)+IF(ISNA(VLOOKUP($A1164,'Mutasi Neraca'!$A$3:$S$910,8,FALSE)),0,VLOOKUP($A1164,'Mutasi Neraca'!$A$3:$S$910,8,FALSE))</f>
        <v>0</v>
      </c>
      <c r="J1164" s="42">
        <f>VLOOKUP($A1164,'Neraca Unaudited SIMAK'!$A$2:$R$1272,9,FALSE)+IF(ISNA(VLOOKUP($A1164,'Mutasi Neraca'!$A$3:$S$910,9,FALSE)),0,VLOOKUP($A1164,'Mutasi Neraca'!$A$3:$S$910,9,FALSE))</f>
        <v>0</v>
      </c>
      <c r="K1164" s="42">
        <f>VLOOKUP($A1164,'Neraca Unaudited SIMAK'!$A$2:$R$1272,10,FALSE)+IF(ISNA(VLOOKUP($A1164,'Mutasi Neraca'!$A$3:$S$910,10,FALSE)),0,VLOOKUP($A1164,'Mutasi Neraca'!$A$3:$S$910,10,FALSE))</f>
        <v>0</v>
      </c>
      <c r="L1164" s="42">
        <f>VLOOKUP($A1164,'Neraca Unaudited SIMAK'!$A$2:$R$1272,11,FALSE)+IF(ISNA(VLOOKUP($A1164,'Mutasi Neraca'!$A$3:$S$910,11,FALSE)),0,VLOOKUP($A1164,'Mutasi Neraca'!$A$3:$S$910,11,FALSE))</f>
        <v>0</v>
      </c>
      <c r="M1164" s="42">
        <f>VLOOKUP($A1164,'Neraca Unaudited SIMAK'!$A$2:$R$1272,12,FALSE)+IF(ISNA(VLOOKUP($A1164,'Mutasi Neraca'!$A$3:$S$910,12,FALSE)),0,VLOOKUP($A1164,'Mutasi Neraca'!$A$3:$S$910,12,FALSE))</f>
        <v>489500</v>
      </c>
      <c r="N1164" s="42">
        <f>VLOOKUP($A1164,'Neraca Unaudited SIMAK'!$A$2:$R$1272,13,FALSE)+IF(ISNA(VLOOKUP($A1164,'Mutasi Neraca'!$A$3:$S$910,13,FALSE)),0,VLOOKUP($A1164,'Mutasi Neraca'!$A$3:$S$910,13,FALSE))</f>
        <v>0</v>
      </c>
      <c r="O1164" s="42">
        <f>VLOOKUP($A1164,'Neraca Unaudited SIMAK'!$A$2:$R$1272,14,FALSE)+IF(ISNA(VLOOKUP($A1164,'Mutasi Neraca'!$A$3:$S$910,14,FALSE)),0,VLOOKUP($A1164,'Mutasi Neraca'!$A$3:$S$910,14,FALSE))</f>
        <v>0</v>
      </c>
      <c r="P1164" s="42">
        <f>VLOOKUP($A1164,'Neraca Unaudited SIMAK'!$A$2:$R$1272,15,FALSE)+IF(ISNA(VLOOKUP($A1164,'Mutasi Neraca'!$A$3:$S$910,15,FALSE)),0,VLOOKUP($A1164,'Mutasi Neraca'!$A$3:$S$910,15,FALSE))</f>
        <v>0</v>
      </c>
      <c r="Q1164" s="42">
        <f>VLOOKUP($A1164,'Neraca Unaudited SIMAK'!$A$2:$R$1272,16,FALSE)+IF(ISNA(VLOOKUP($A1164,'Mutasi Neraca'!$A$3:$S$910,16,FALSE)),0,VLOOKUP($A1164,'Mutasi Neraca'!$A$3:$S$910,16,FALSE))</f>
        <v>0</v>
      </c>
      <c r="R1164" s="42">
        <f>VLOOKUP($A1164,'Neraca Unaudited SIMAK'!$A$2:$R$1272,17,FALSE)+IF(ISNA(VLOOKUP($A1164,'Mutasi Neraca'!$A$3:$S$910,17,FALSE)),0,VLOOKUP($A1164,'Mutasi Neraca'!$A$3:$S$910,17,FALSE))</f>
        <v>0</v>
      </c>
      <c r="S1164" s="42">
        <f t="shared" si="79"/>
        <v>489500</v>
      </c>
    </row>
    <row r="1165" spans="1:19">
      <c r="A1165" s="41" t="s">
        <v>1090</v>
      </c>
      <c r="B1165" s="41" t="str">
        <f t="shared" si="78"/>
        <v>005032600</v>
      </c>
      <c r="D1165" s="42">
        <f>VLOOKUP($A1165,'Neraca Unaudited SIMAK'!$A$2:$R$1272,3,FALSE)+IF(ISNA(VLOOKUP($A1165,'Mutasi Neraca'!$A$3:$S$910,3,FALSE)),0,VLOOKUP($A1165,'Mutasi Neraca'!$A$3:$S$910,3,FALSE))</f>
        <v>104250</v>
      </c>
      <c r="E1165" s="42">
        <f>VLOOKUP($A1165,'Neraca Unaudited SIMAK'!$A$2:$R$1272,4,FALSE)+IF(ISNA(VLOOKUP($A1165,'Mutasi Neraca'!$A$3:$S$910,4,FALSE)),0,VLOOKUP($A1165,'Mutasi Neraca'!$A$3:$S$910,4,FALSE))</f>
        <v>0</v>
      </c>
      <c r="F1165" s="42">
        <f>VLOOKUP($A1165,'Neraca Unaudited SIMAK'!$A$2:$R$1272,5,FALSE)+IF(ISNA(VLOOKUP($A1165,'Mutasi Neraca'!$A$3:$S$910,5,FALSE)),0,VLOOKUP($A1165,'Mutasi Neraca'!$A$3:$S$910,5,FALSE))</f>
        <v>0</v>
      </c>
      <c r="G1165" s="42">
        <f>VLOOKUP($A1165,'Neraca Unaudited SIMAK'!$A$2:$R$1272,6,FALSE)+IF(ISNA(VLOOKUP($A1165,'Mutasi Neraca'!$A$3:$S$910,6,FALSE)),0,VLOOKUP($A1165,'Mutasi Neraca'!$A$3:$S$910,6,FALSE))</f>
        <v>0</v>
      </c>
      <c r="H1165" s="42">
        <f>VLOOKUP($A1165,'Neraca Unaudited SIMAK'!$A$2:$R$1272,7,FALSE)+IF(ISNA(VLOOKUP($A1165,'Mutasi Neraca'!$A$3:$S$910,7,FALSE)),0,VLOOKUP($A1165,'Mutasi Neraca'!$A$3:$S$910,7,FALSE))</f>
        <v>0</v>
      </c>
      <c r="I1165" s="42">
        <f>VLOOKUP($A1165,'Neraca Unaudited SIMAK'!$A$2:$R$1272,8,FALSE)+IF(ISNA(VLOOKUP($A1165,'Mutasi Neraca'!$A$3:$S$910,8,FALSE)),0,VLOOKUP($A1165,'Mutasi Neraca'!$A$3:$S$910,8,FALSE))</f>
        <v>0</v>
      </c>
      <c r="J1165" s="42">
        <f>VLOOKUP($A1165,'Neraca Unaudited SIMAK'!$A$2:$R$1272,9,FALSE)+IF(ISNA(VLOOKUP($A1165,'Mutasi Neraca'!$A$3:$S$910,9,FALSE)),0,VLOOKUP($A1165,'Mutasi Neraca'!$A$3:$S$910,9,FALSE))</f>
        <v>0</v>
      </c>
      <c r="K1165" s="42">
        <f>VLOOKUP($A1165,'Neraca Unaudited SIMAK'!$A$2:$R$1272,10,FALSE)+IF(ISNA(VLOOKUP($A1165,'Mutasi Neraca'!$A$3:$S$910,10,FALSE)),0,VLOOKUP($A1165,'Mutasi Neraca'!$A$3:$S$910,10,FALSE))</f>
        <v>0</v>
      </c>
      <c r="L1165" s="42">
        <f>VLOOKUP($A1165,'Neraca Unaudited SIMAK'!$A$2:$R$1272,11,FALSE)+IF(ISNA(VLOOKUP($A1165,'Mutasi Neraca'!$A$3:$S$910,11,FALSE)),0,VLOOKUP($A1165,'Mutasi Neraca'!$A$3:$S$910,11,FALSE))</f>
        <v>0</v>
      </c>
      <c r="M1165" s="42">
        <f>VLOOKUP($A1165,'Neraca Unaudited SIMAK'!$A$2:$R$1272,12,FALSE)+IF(ISNA(VLOOKUP($A1165,'Mutasi Neraca'!$A$3:$S$910,12,FALSE)),0,VLOOKUP($A1165,'Mutasi Neraca'!$A$3:$S$910,12,FALSE))</f>
        <v>104250</v>
      </c>
      <c r="N1165" s="42">
        <f>VLOOKUP($A1165,'Neraca Unaudited SIMAK'!$A$2:$R$1272,13,FALSE)+IF(ISNA(VLOOKUP($A1165,'Mutasi Neraca'!$A$3:$S$910,13,FALSE)),0,VLOOKUP($A1165,'Mutasi Neraca'!$A$3:$S$910,13,FALSE))</f>
        <v>0</v>
      </c>
      <c r="O1165" s="42">
        <f>VLOOKUP($A1165,'Neraca Unaudited SIMAK'!$A$2:$R$1272,14,FALSE)+IF(ISNA(VLOOKUP($A1165,'Mutasi Neraca'!$A$3:$S$910,14,FALSE)),0,VLOOKUP($A1165,'Mutasi Neraca'!$A$3:$S$910,14,FALSE))</f>
        <v>0</v>
      </c>
      <c r="P1165" s="42">
        <f>VLOOKUP($A1165,'Neraca Unaudited SIMAK'!$A$2:$R$1272,15,FALSE)+IF(ISNA(VLOOKUP($A1165,'Mutasi Neraca'!$A$3:$S$910,15,FALSE)),0,VLOOKUP($A1165,'Mutasi Neraca'!$A$3:$S$910,15,FALSE))</f>
        <v>0</v>
      </c>
      <c r="Q1165" s="42">
        <f>VLOOKUP($A1165,'Neraca Unaudited SIMAK'!$A$2:$R$1272,16,FALSE)+IF(ISNA(VLOOKUP($A1165,'Mutasi Neraca'!$A$3:$S$910,16,FALSE)),0,VLOOKUP($A1165,'Mutasi Neraca'!$A$3:$S$910,16,FALSE))</f>
        <v>0</v>
      </c>
      <c r="R1165" s="42">
        <f>VLOOKUP($A1165,'Neraca Unaudited SIMAK'!$A$2:$R$1272,17,FALSE)+IF(ISNA(VLOOKUP($A1165,'Mutasi Neraca'!$A$3:$S$910,17,FALSE)),0,VLOOKUP($A1165,'Mutasi Neraca'!$A$3:$S$910,17,FALSE))</f>
        <v>0</v>
      </c>
      <c r="S1165" s="42">
        <f t="shared" si="79"/>
        <v>104250</v>
      </c>
    </row>
    <row r="1166" spans="1:19">
      <c r="A1166" s="41" t="s">
        <v>1091</v>
      </c>
      <c r="B1166" s="41" t="str">
        <f t="shared" si="78"/>
        <v>005032600</v>
      </c>
      <c r="D1166" s="42">
        <f>VLOOKUP($A1166,'Neraca Unaudited SIMAK'!$A$2:$R$1272,3,FALSE)+IF(ISNA(VLOOKUP($A1166,'Mutasi Neraca'!$A$3:$S$910,3,FALSE)),0,VLOOKUP($A1166,'Mutasi Neraca'!$A$3:$S$910,3,FALSE))</f>
        <v>345000</v>
      </c>
      <c r="E1166" s="42">
        <f>VLOOKUP($A1166,'Neraca Unaudited SIMAK'!$A$2:$R$1272,4,FALSE)+IF(ISNA(VLOOKUP($A1166,'Mutasi Neraca'!$A$3:$S$910,4,FALSE)),0,VLOOKUP($A1166,'Mutasi Neraca'!$A$3:$S$910,4,FALSE))</f>
        <v>0</v>
      </c>
      <c r="F1166" s="42">
        <f>VLOOKUP($A1166,'Neraca Unaudited SIMAK'!$A$2:$R$1272,5,FALSE)+IF(ISNA(VLOOKUP($A1166,'Mutasi Neraca'!$A$3:$S$910,5,FALSE)),0,VLOOKUP($A1166,'Mutasi Neraca'!$A$3:$S$910,5,FALSE))</f>
        <v>0</v>
      </c>
      <c r="G1166" s="42">
        <f>VLOOKUP($A1166,'Neraca Unaudited SIMAK'!$A$2:$R$1272,6,FALSE)+IF(ISNA(VLOOKUP($A1166,'Mutasi Neraca'!$A$3:$S$910,6,FALSE)),0,VLOOKUP($A1166,'Mutasi Neraca'!$A$3:$S$910,6,FALSE))</f>
        <v>0</v>
      </c>
      <c r="H1166" s="42">
        <f>VLOOKUP($A1166,'Neraca Unaudited SIMAK'!$A$2:$R$1272,7,FALSE)+IF(ISNA(VLOOKUP($A1166,'Mutasi Neraca'!$A$3:$S$910,7,FALSE)),0,VLOOKUP($A1166,'Mutasi Neraca'!$A$3:$S$910,7,FALSE))</f>
        <v>0</v>
      </c>
      <c r="I1166" s="42">
        <f>VLOOKUP($A1166,'Neraca Unaudited SIMAK'!$A$2:$R$1272,8,FALSE)+IF(ISNA(VLOOKUP($A1166,'Mutasi Neraca'!$A$3:$S$910,8,FALSE)),0,VLOOKUP($A1166,'Mutasi Neraca'!$A$3:$S$910,8,FALSE))</f>
        <v>0</v>
      </c>
      <c r="J1166" s="42">
        <f>VLOOKUP($A1166,'Neraca Unaudited SIMAK'!$A$2:$R$1272,9,FALSE)+IF(ISNA(VLOOKUP($A1166,'Mutasi Neraca'!$A$3:$S$910,9,FALSE)),0,VLOOKUP($A1166,'Mutasi Neraca'!$A$3:$S$910,9,FALSE))</f>
        <v>0</v>
      </c>
      <c r="K1166" s="42">
        <f>VLOOKUP($A1166,'Neraca Unaudited SIMAK'!$A$2:$R$1272,10,FALSE)+IF(ISNA(VLOOKUP($A1166,'Mutasi Neraca'!$A$3:$S$910,10,FALSE)),0,VLOOKUP($A1166,'Mutasi Neraca'!$A$3:$S$910,10,FALSE))</f>
        <v>0</v>
      </c>
      <c r="L1166" s="42">
        <f>VLOOKUP($A1166,'Neraca Unaudited SIMAK'!$A$2:$R$1272,11,FALSE)+IF(ISNA(VLOOKUP($A1166,'Mutasi Neraca'!$A$3:$S$910,11,FALSE)),0,VLOOKUP($A1166,'Mutasi Neraca'!$A$3:$S$910,11,FALSE))</f>
        <v>0</v>
      </c>
      <c r="M1166" s="42">
        <f>VLOOKUP($A1166,'Neraca Unaudited SIMAK'!$A$2:$R$1272,12,FALSE)+IF(ISNA(VLOOKUP($A1166,'Mutasi Neraca'!$A$3:$S$910,12,FALSE)),0,VLOOKUP($A1166,'Mutasi Neraca'!$A$3:$S$910,12,FALSE))</f>
        <v>345000</v>
      </c>
      <c r="N1166" s="42">
        <f>VLOOKUP($A1166,'Neraca Unaudited SIMAK'!$A$2:$R$1272,13,FALSE)+IF(ISNA(VLOOKUP($A1166,'Mutasi Neraca'!$A$3:$S$910,13,FALSE)),0,VLOOKUP($A1166,'Mutasi Neraca'!$A$3:$S$910,13,FALSE))</f>
        <v>0</v>
      </c>
      <c r="O1166" s="42">
        <f>VLOOKUP($A1166,'Neraca Unaudited SIMAK'!$A$2:$R$1272,14,FALSE)+IF(ISNA(VLOOKUP($A1166,'Mutasi Neraca'!$A$3:$S$910,14,FALSE)),0,VLOOKUP($A1166,'Mutasi Neraca'!$A$3:$S$910,14,FALSE))</f>
        <v>0</v>
      </c>
      <c r="P1166" s="42">
        <f>VLOOKUP($A1166,'Neraca Unaudited SIMAK'!$A$2:$R$1272,15,FALSE)+IF(ISNA(VLOOKUP($A1166,'Mutasi Neraca'!$A$3:$S$910,15,FALSE)),0,VLOOKUP($A1166,'Mutasi Neraca'!$A$3:$S$910,15,FALSE))</f>
        <v>0</v>
      </c>
      <c r="Q1166" s="42">
        <f>VLOOKUP($A1166,'Neraca Unaudited SIMAK'!$A$2:$R$1272,16,FALSE)+IF(ISNA(VLOOKUP($A1166,'Mutasi Neraca'!$A$3:$S$910,16,FALSE)),0,VLOOKUP($A1166,'Mutasi Neraca'!$A$3:$S$910,16,FALSE))</f>
        <v>0</v>
      </c>
      <c r="R1166" s="42">
        <f>VLOOKUP($A1166,'Neraca Unaudited SIMAK'!$A$2:$R$1272,17,FALSE)+IF(ISNA(VLOOKUP($A1166,'Mutasi Neraca'!$A$3:$S$910,17,FALSE)),0,VLOOKUP($A1166,'Mutasi Neraca'!$A$3:$S$910,17,FALSE))</f>
        <v>0</v>
      </c>
      <c r="S1166" s="42">
        <f t="shared" si="79"/>
        <v>345000</v>
      </c>
    </row>
    <row r="1167" spans="1:19">
      <c r="A1167" s="41" t="s">
        <v>1092</v>
      </c>
      <c r="B1167" s="41" t="str">
        <f t="shared" si="78"/>
        <v>005032600</v>
      </c>
      <c r="D1167" s="42">
        <f>VLOOKUP($A1167,'Neraca Unaudited SIMAK'!$A$2:$R$1272,3,FALSE)+IF(ISNA(VLOOKUP($A1167,'Mutasi Neraca'!$A$3:$S$910,3,FALSE)),0,VLOOKUP($A1167,'Mutasi Neraca'!$A$3:$S$910,3,FALSE))</f>
        <v>85000</v>
      </c>
      <c r="E1167" s="42">
        <f>VLOOKUP($A1167,'Neraca Unaudited SIMAK'!$A$2:$R$1272,4,FALSE)+IF(ISNA(VLOOKUP($A1167,'Mutasi Neraca'!$A$3:$S$910,4,FALSE)),0,VLOOKUP($A1167,'Mutasi Neraca'!$A$3:$S$910,4,FALSE))</f>
        <v>0</v>
      </c>
      <c r="F1167" s="42">
        <f>VLOOKUP($A1167,'Neraca Unaudited SIMAK'!$A$2:$R$1272,5,FALSE)+IF(ISNA(VLOOKUP($A1167,'Mutasi Neraca'!$A$3:$S$910,5,FALSE)),0,VLOOKUP($A1167,'Mutasi Neraca'!$A$3:$S$910,5,FALSE))</f>
        <v>0</v>
      </c>
      <c r="G1167" s="42">
        <f>VLOOKUP($A1167,'Neraca Unaudited SIMAK'!$A$2:$R$1272,6,FALSE)+IF(ISNA(VLOOKUP($A1167,'Mutasi Neraca'!$A$3:$S$910,6,FALSE)),0,VLOOKUP($A1167,'Mutasi Neraca'!$A$3:$S$910,6,FALSE))</f>
        <v>0</v>
      </c>
      <c r="H1167" s="42">
        <f>VLOOKUP($A1167,'Neraca Unaudited SIMAK'!$A$2:$R$1272,7,FALSE)+IF(ISNA(VLOOKUP($A1167,'Mutasi Neraca'!$A$3:$S$910,7,FALSE)),0,VLOOKUP($A1167,'Mutasi Neraca'!$A$3:$S$910,7,FALSE))</f>
        <v>0</v>
      </c>
      <c r="I1167" s="42">
        <f>VLOOKUP($A1167,'Neraca Unaudited SIMAK'!$A$2:$R$1272,8,FALSE)+IF(ISNA(VLOOKUP($A1167,'Mutasi Neraca'!$A$3:$S$910,8,FALSE)),0,VLOOKUP($A1167,'Mutasi Neraca'!$A$3:$S$910,8,FALSE))</f>
        <v>0</v>
      </c>
      <c r="J1167" s="42">
        <f>VLOOKUP($A1167,'Neraca Unaudited SIMAK'!$A$2:$R$1272,9,FALSE)+IF(ISNA(VLOOKUP($A1167,'Mutasi Neraca'!$A$3:$S$910,9,FALSE)),0,VLOOKUP($A1167,'Mutasi Neraca'!$A$3:$S$910,9,FALSE))</f>
        <v>0</v>
      </c>
      <c r="K1167" s="42">
        <f>VLOOKUP($A1167,'Neraca Unaudited SIMAK'!$A$2:$R$1272,10,FALSE)+IF(ISNA(VLOOKUP($A1167,'Mutasi Neraca'!$A$3:$S$910,10,FALSE)),0,VLOOKUP($A1167,'Mutasi Neraca'!$A$3:$S$910,10,FALSE))</f>
        <v>0</v>
      </c>
      <c r="L1167" s="42">
        <f>VLOOKUP($A1167,'Neraca Unaudited SIMAK'!$A$2:$R$1272,11,FALSE)+IF(ISNA(VLOOKUP($A1167,'Mutasi Neraca'!$A$3:$S$910,11,FALSE)),0,VLOOKUP($A1167,'Mutasi Neraca'!$A$3:$S$910,11,FALSE))</f>
        <v>0</v>
      </c>
      <c r="M1167" s="42">
        <f>VLOOKUP($A1167,'Neraca Unaudited SIMAK'!$A$2:$R$1272,12,FALSE)+IF(ISNA(VLOOKUP($A1167,'Mutasi Neraca'!$A$3:$S$910,12,FALSE)),0,VLOOKUP($A1167,'Mutasi Neraca'!$A$3:$S$910,12,FALSE))</f>
        <v>85000</v>
      </c>
      <c r="N1167" s="42">
        <f>VLOOKUP($A1167,'Neraca Unaudited SIMAK'!$A$2:$R$1272,13,FALSE)+IF(ISNA(VLOOKUP($A1167,'Mutasi Neraca'!$A$3:$S$910,13,FALSE)),0,VLOOKUP($A1167,'Mutasi Neraca'!$A$3:$S$910,13,FALSE))</f>
        <v>0</v>
      </c>
      <c r="O1167" s="42">
        <f>VLOOKUP($A1167,'Neraca Unaudited SIMAK'!$A$2:$R$1272,14,FALSE)+IF(ISNA(VLOOKUP($A1167,'Mutasi Neraca'!$A$3:$S$910,14,FALSE)),0,VLOOKUP($A1167,'Mutasi Neraca'!$A$3:$S$910,14,FALSE))</f>
        <v>0</v>
      </c>
      <c r="P1167" s="42">
        <f>VLOOKUP($A1167,'Neraca Unaudited SIMAK'!$A$2:$R$1272,15,FALSE)+IF(ISNA(VLOOKUP($A1167,'Mutasi Neraca'!$A$3:$S$910,15,FALSE)),0,VLOOKUP($A1167,'Mutasi Neraca'!$A$3:$S$910,15,FALSE))</f>
        <v>0</v>
      </c>
      <c r="Q1167" s="42">
        <f>VLOOKUP($A1167,'Neraca Unaudited SIMAK'!$A$2:$R$1272,16,FALSE)+IF(ISNA(VLOOKUP($A1167,'Mutasi Neraca'!$A$3:$S$910,16,FALSE)),0,VLOOKUP($A1167,'Mutasi Neraca'!$A$3:$S$910,16,FALSE))</f>
        <v>0</v>
      </c>
      <c r="R1167" s="42">
        <f>VLOOKUP($A1167,'Neraca Unaudited SIMAK'!$A$2:$R$1272,17,FALSE)+IF(ISNA(VLOOKUP($A1167,'Mutasi Neraca'!$A$3:$S$910,17,FALSE)),0,VLOOKUP($A1167,'Mutasi Neraca'!$A$3:$S$910,17,FALSE))</f>
        <v>0</v>
      </c>
      <c r="S1167" s="42">
        <f t="shared" si="79"/>
        <v>85000</v>
      </c>
    </row>
    <row r="1168" spans="1:19">
      <c r="A1168" s="41" t="s">
        <v>1093</v>
      </c>
      <c r="B1168" s="41" t="str">
        <f t="shared" si="78"/>
        <v>005032800</v>
      </c>
      <c r="D1168" s="42">
        <f>VLOOKUP($A1168,'Neraca Unaudited SIMAK'!$A$2:$R$1272,3,FALSE)+IF(ISNA(VLOOKUP($A1168,'Mutasi Neraca'!$A$3:$S$910,3,FALSE)),0,VLOOKUP($A1168,'Mutasi Neraca'!$A$3:$S$910,3,FALSE))</f>
        <v>25000</v>
      </c>
      <c r="E1168" s="42">
        <f>VLOOKUP($A1168,'Neraca Unaudited SIMAK'!$A$2:$R$1272,4,FALSE)+IF(ISNA(VLOOKUP($A1168,'Mutasi Neraca'!$A$3:$S$910,4,FALSE)),0,VLOOKUP($A1168,'Mutasi Neraca'!$A$3:$S$910,4,FALSE))</f>
        <v>0</v>
      </c>
      <c r="F1168" s="42">
        <f>VLOOKUP($A1168,'Neraca Unaudited SIMAK'!$A$2:$R$1272,5,FALSE)+IF(ISNA(VLOOKUP($A1168,'Mutasi Neraca'!$A$3:$S$910,5,FALSE)),0,VLOOKUP($A1168,'Mutasi Neraca'!$A$3:$S$910,5,FALSE))</f>
        <v>0</v>
      </c>
      <c r="G1168" s="42">
        <f>VLOOKUP($A1168,'Neraca Unaudited SIMAK'!$A$2:$R$1272,6,FALSE)+IF(ISNA(VLOOKUP($A1168,'Mutasi Neraca'!$A$3:$S$910,6,FALSE)),0,VLOOKUP($A1168,'Mutasi Neraca'!$A$3:$S$910,6,FALSE))</f>
        <v>0</v>
      </c>
      <c r="H1168" s="42">
        <f>VLOOKUP($A1168,'Neraca Unaudited SIMAK'!$A$2:$R$1272,7,FALSE)+IF(ISNA(VLOOKUP($A1168,'Mutasi Neraca'!$A$3:$S$910,7,FALSE)),0,VLOOKUP($A1168,'Mutasi Neraca'!$A$3:$S$910,7,FALSE))</f>
        <v>0</v>
      </c>
      <c r="I1168" s="42">
        <f>VLOOKUP($A1168,'Neraca Unaudited SIMAK'!$A$2:$R$1272,8,FALSE)+IF(ISNA(VLOOKUP($A1168,'Mutasi Neraca'!$A$3:$S$910,8,FALSE)),0,VLOOKUP($A1168,'Mutasi Neraca'!$A$3:$S$910,8,FALSE))</f>
        <v>0</v>
      </c>
      <c r="J1168" s="42">
        <f>VLOOKUP($A1168,'Neraca Unaudited SIMAK'!$A$2:$R$1272,9,FALSE)+IF(ISNA(VLOOKUP($A1168,'Mutasi Neraca'!$A$3:$S$910,9,FALSE)),0,VLOOKUP($A1168,'Mutasi Neraca'!$A$3:$S$910,9,FALSE))</f>
        <v>0</v>
      </c>
      <c r="K1168" s="42">
        <f>VLOOKUP($A1168,'Neraca Unaudited SIMAK'!$A$2:$R$1272,10,FALSE)+IF(ISNA(VLOOKUP($A1168,'Mutasi Neraca'!$A$3:$S$910,10,FALSE)),0,VLOOKUP($A1168,'Mutasi Neraca'!$A$3:$S$910,10,FALSE))</f>
        <v>0</v>
      </c>
      <c r="L1168" s="42">
        <f>VLOOKUP($A1168,'Neraca Unaudited SIMAK'!$A$2:$R$1272,11,FALSE)+IF(ISNA(VLOOKUP($A1168,'Mutasi Neraca'!$A$3:$S$910,11,FALSE)),0,VLOOKUP($A1168,'Mutasi Neraca'!$A$3:$S$910,11,FALSE))</f>
        <v>0</v>
      </c>
      <c r="M1168" s="42">
        <f>VLOOKUP($A1168,'Neraca Unaudited SIMAK'!$A$2:$R$1272,12,FALSE)+IF(ISNA(VLOOKUP($A1168,'Mutasi Neraca'!$A$3:$S$910,12,FALSE)),0,VLOOKUP($A1168,'Mutasi Neraca'!$A$3:$S$910,12,FALSE))</f>
        <v>25000</v>
      </c>
      <c r="N1168" s="42">
        <f>VLOOKUP($A1168,'Neraca Unaudited SIMAK'!$A$2:$R$1272,13,FALSE)+IF(ISNA(VLOOKUP($A1168,'Mutasi Neraca'!$A$3:$S$910,13,FALSE)),0,VLOOKUP($A1168,'Mutasi Neraca'!$A$3:$S$910,13,FALSE))</f>
        <v>0</v>
      </c>
      <c r="O1168" s="42">
        <f>VLOOKUP($A1168,'Neraca Unaudited SIMAK'!$A$2:$R$1272,14,FALSE)+IF(ISNA(VLOOKUP($A1168,'Mutasi Neraca'!$A$3:$S$910,14,FALSE)),0,VLOOKUP($A1168,'Mutasi Neraca'!$A$3:$S$910,14,FALSE))</f>
        <v>0</v>
      </c>
      <c r="P1168" s="42">
        <f>VLOOKUP($A1168,'Neraca Unaudited SIMAK'!$A$2:$R$1272,15,FALSE)+IF(ISNA(VLOOKUP($A1168,'Mutasi Neraca'!$A$3:$S$910,15,FALSE)),0,VLOOKUP($A1168,'Mutasi Neraca'!$A$3:$S$910,15,FALSE))</f>
        <v>0</v>
      </c>
      <c r="Q1168" s="42">
        <f>VLOOKUP($A1168,'Neraca Unaudited SIMAK'!$A$2:$R$1272,16,FALSE)+IF(ISNA(VLOOKUP($A1168,'Mutasi Neraca'!$A$3:$S$910,16,FALSE)),0,VLOOKUP($A1168,'Mutasi Neraca'!$A$3:$S$910,16,FALSE))</f>
        <v>0</v>
      </c>
      <c r="R1168" s="42">
        <f>VLOOKUP($A1168,'Neraca Unaudited SIMAK'!$A$2:$R$1272,17,FALSE)+IF(ISNA(VLOOKUP($A1168,'Mutasi Neraca'!$A$3:$S$910,17,FALSE)),0,VLOOKUP($A1168,'Mutasi Neraca'!$A$3:$S$910,17,FALSE))</f>
        <v>0</v>
      </c>
      <c r="S1168" s="42">
        <f t="shared" si="79"/>
        <v>25000</v>
      </c>
    </row>
    <row r="1169" spans="1:19">
      <c r="A1169" s="41" t="s">
        <v>1094</v>
      </c>
      <c r="B1169" s="41" t="str">
        <f t="shared" si="78"/>
        <v>005032800</v>
      </c>
      <c r="D1169" s="42">
        <f>VLOOKUP($A1169,'Neraca Unaudited SIMAK'!$A$2:$R$1272,3,FALSE)+IF(ISNA(VLOOKUP($A1169,'Mutasi Neraca'!$A$3:$S$910,3,FALSE)),0,VLOOKUP($A1169,'Mutasi Neraca'!$A$3:$S$910,3,FALSE))</f>
        <v>1045000</v>
      </c>
      <c r="E1169" s="42">
        <f>VLOOKUP($A1169,'Neraca Unaudited SIMAK'!$A$2:$R$1272,4,FALSE)+IF(ISNA(VLOOKUP($A1169,'Mutasi Neraca'!$A$3:$S$910,4,FALSE)),0,VLOOKUP($A1169,'Mutasi Neraca'!$A$3:$S$910,4,FALSE))</f>
        <v>0</v>
      </c>
      <c r="F1169" s="42">
        <f>VLOOKUP($A1169,'Neraca Unaudited SIMAK'!$A$2:$R$1272,5,FALSE)+IF(ISNA(VLOOKUP($A1169,'Mutasi Neraca'!$A$3:$S$910,5,FALSE)),0,VLOOKUP($A1169,'Mutasi Neraca'!$A$3:$S$910,5,FALSE))</f>
        <v>0</v>
      </c>
      <c r="G1169" s="42">
        <f>VLOOKUP($A1169,'Neraca Unaudited SIMAK'!$A$2:$R$1272,6,FALSE)+IF(ISNA(VLOOKUP($A1169,'Mutasi Neraca'!$A$3:$S$910,6,FALSE)),0,VLOOKUP($A1169,'Mutasi Neraca'!$A$3:$S$910,6,FALSE))</f>
        <v>0</v>
      </c>
      <c r="H1169" s="42">
        <f>VLOOKUP($A1169,'Neraca Unaudited SIMAK'!$A$2:$R$1272,7,FALSE)+IF(ISNA(VLOOKUP($A1169,'Mutasi Neraca'!$A$3:$S$910,7,FALSE)),0,VLOOKUP($A1169,'Mutasi Neraca'!$A$3:$S$910,7,FALSE))</f>
        <v>0</v>
      </c>
      <c r="I1169" s="42">
        <f>VLOOKUP($A1169,'Neraca Unaudited SIMAK'!$A$2:$R$1272,8,FALSE)+IF(ISNA(VLOOKUP($A1169,'Mutasi Neraca'!$A$3:$S$910,8,FALSE)),0,VLOOKUP($A1169,'Mutasi Neraca'!$A$3:$S$910,8,FALSE))</f>
        <v>0</v>
      </c>
      <c r="J1169" s="42">
        <f>VLOOKUP($A1169,'Neraca Unaudited SIMAK'!$A$2:$R$1272,9,FALSE)+IF(ISNA(VLOOKUP($A1169,'Mutasi Neraca'!$A$3:$S$910,9,FALSE)),0,VLOOKUP($A1169,'Mutasi Neraca'!$A$3:$S$910,9,FALSE))</f>
        <v>0</v>
      </c>
      <c r="K1169" s="42">
        <f>VLOOKUP($A1169,'Neraca Unaudited SIMAK'!$A$2:$R$1272,10,FALSE)+IF(ISNA(VLOOKUP($A1169,'Mutasi Neraca'!$A$3:$S$910,10,FALSE)),0,VLOOKUP($A1169,'Mutasi Neraca'!$A$3:$S$910,10,FALSE))</f>
        <v>0</v>
      </c>
      <c r="L1169" s="42">
        <f>VLOOKUP($A1169,'Neraca Unaudited SIMAK'!$A$2:$R$1272,11,FALSE)+IF(ISNA(VLOOKUP($A1169,'Mutasi Neraca'!$A$3:$S$910,11,FALSE)),0,VLOOKUP($A1169,'Mutasi Neraca'!$A$3:$S$910,11,FALSE))</f>
        <v>0</v>
      </c>
      <c r="M1169" s="42">
        <f>VLOOKUP($A1169,'Neraca Unaudited SIMAK'!$A$2:$R$1272,12,FALSE)+IF(ISNA(VLOOKUP($A1169,'Mutasi Neraca'!$A$3:$S$910,12,FALSE)),0,VLOOKUP($A1169,'Mutasi Neraca'!$A$3:$S$910,12,FALSE))</f>
        <v>1045000</v>
      </c>
      <c r="N1169" s="42">
        <f>VLOOKUP($A1169,'Neraca Unaudited SIMAK'!$A$2:$R$1272,13,FALSE)+IF(ISNA(VLOOKUP($A1169,'Mutasi Neraca'!$A$3:$S$910,13,FALSE)),0,VLOOKUP($A1169,'Mutasi Neraca'!$A$3:$S$910,13,FALSE))</f>
        <v>0</v>
      </c>
      <c r="O1169" s="42">
        <f>VLOOKUP($A1169,'Neraca Unaudited SIMAK'!$A$2:$R$1272,14,FALSE)+IF(ISNA(VLOOKUP($A1169,'Mutasi Neraca'!$A$3:$S$910,14,FALSE)),0,VLOOKUP($A1169,'Mutasi Neraca'!$A$3:$S$910,14,FALSE))</f>
        <v>0</v>
      </c>
      <c r="P1169" s="42">
        <f>VLOOKUP($A1169,'Neraca Unaudited SIMAK'!$A$2:$R$1272,15,FALSE)+IF(ISNA(VLOOKUP($A1169,'Mutasi Neraca'!$A$3:$S$910,15,FALSE)),0,VLOOKUP($A1169,'Mutasi Neraca'!$A$3:$S$910,15,FALSE))</f>
        <v>0</v>
      </c>
      <c r="Q1169" s="42">
        <f>VLOOKUP($A1169,'Neraca Unaudited SIMAK'!$A$2:$R$1272,16,FALSE)+IF(ISNA(VLOOKUP($A1169,'Mutasi Neraca'!$A$3:$S$910,16,FALSE)),0,VLOOKUP($A1169,'Mutasi Neraca'!$A$3:$S$910,16,FALSE))</f>
        <v>0</v>
      </c>
      <c r="R1169" s="42">
        <f>VLOOKUP($A1169,'Neraca Unaudited SIMAK'!$A$2:$R$1272,17,FALSE)+IF(ISNA(VLOOKUP($A1169,'Mutasi Neraca'!$A$3:$S$910,17,FALSE)),0,VLOOKUP($A1169,'Mutasi Neraca'!$A$3:$S$910,17,FALSE))</f>
        <v>0</v>
      </c>
      <c r="S1169" s="42">
        <f t="shared" si="79"/>
        <v>1045000</v>
      </c>
    </row>
    <row r="1170" spans="1:19">
      <c r="A1170" s="41" t="s">
        <v>2202</v>
      </c>
      <c r="B1170" s="41" t="str">
        <f t="shared" si="78"/>
        <v>005032800</v>
      </c>
      <c r="D1170" s="42">
        <f>VLOOKUP($A1170,'Neraca Unaudited SIMAK'!$A$2:$R$1272,3,FALSE)+IF(ISNA(VLOOKUP($A1170,'Mutasi Neraca'!$A$3:$S$910,3,FALSE)),0,VLOOKUP($A1170,'Mutasi Neraca'!$A$3:$S$910,3,FALSE))</f>
        <v>1650000</v>
      </c>
      <c r="E1170" s="42">
        <f>VLOOKUP($A1170,'Neraca Unaudited SIMAK'!$A$2:$R$1272,4,FALSE)+IF(ISNA(VLOOKUP($A1170,'Mutasi Neraca'!$A$3:$S$910,4,FALSE)),0,VLOOKUP($A1170,'Mutasi Neraca'!$A$3:$S$910,4,FALSE))</f>
        <v>0</v>
      </c>
      <c r="F1170" s="42">
        <f>VLOOKUP($A1170,'Neraca Unaudited SIMAK'!$A$2:$R$1272,5,FALSE)+IF(ISNA(VLOOKUP($A1170,'Mutasi Neraca'!$A$3:$S$910,5,FALSE)),0,VLOOKUP($A1170,'Mutasi Neraca'!$A$3:$S$910,5,FALSE))</f>
        <v>0</v>
      </c>
      <c r="G1170" s="42">
        <f>VLOOKUP($A1170,'Neraca Unaudited SIMAK'!$A$2:$R$1272,6,FALSE)+IF(ISNA(VLOOKUP($A1170,'Mutasi Neraca'!$A$3:$S$910,6,FALSE)),0,VLOOKUP($A1170,'Mutasi Neraca'!$A$3:$S$910,6,FALSE))</f>
        <v>0</v>
      </c>
      <c r="H1170" s="42">
        <f>VLOOKUP($A1170,'Neraca Unaudited SIMAK'!$A$2:$R$1272,7,FALSE)+IF(ISNA(VLOOKUP($A1170,'Mutasi Neraca'!$A$3:$S$910,7,FALSE)),0,VLOOKUP($A1170,'Mutasi Neraca'!$A$3:$S$910,7,FALSE))</f>
        <v>0</v>
      </c>
      <c r="I1170" s="42">
        <f>VLOOKUP($A1170,'Neraca Unaudited SIMAK'!$A$2:$R$1272,8,FALSE)+IF(ISNA(VLOOKUP($A1170,'Mutasi Neraca'!$A$3:$S$910,8,FALSE)),0,VLOOKUP($A1170,'Mutasi Neraca'!$A$3:$S$910,8,FALSE))</f>
        <v>0</v>
      </c>
      <c r="J1170" s="42">
        <f>VLOOKUP($A1170,'Neraca Unaudited SIMAK'!$A$2:$R$1272,9,FALSE)+IF(ISNA(VLOOKUP($A1170,'Mutasi Neraca'!$A$3:$S$910,9,FALSE)),0,VLOOKUP($A1170,'Mutasi Neraca'!$A$3:$S$910,9,FALSE))</f>
        <v>0</v>
      </c>
      <c r="K1170" s="42">
        <f>VLOOKUP($A1170,'Neraca Unaudited SIMAK'!$A$2:$R$1272,10,FALSE)+IF(ISNA(VLOOKUP($A1170,'Mutasi Neraca'!$A$3:$S$910,10,FALSE)),0,VLOOKUP($A1170,'Mutasi Neraca'!$A$3:$S$910,10,FALSE))</f>
        <v>0</v>
      </c>
      <c r="L1170" s="42">
        <f>VLOOKUP($A1170,'Neraca Unaudited SIMAK'!$A$2:$R$1272,11,FALSE)+IF(ISNA(VLOOKUP($A1170,'Mutasi Neraca'!$A$3:$S$910,11,FALSE)),0,VLOOKUP($A1170,'Mutasi Neraca'!$A$3:$S$910,11,FALSE))</f>
        <v>0</v>
      </c>
      <c r="M1170" s="42">
        <f>VLOOKUP($A1170,'Neraca Unaudited SIMAK'!$A$2:$R$1272,12,FALSE)+IF(ISNA(VLOOKUP($A1170,'Mutasi Neraca'!$A$3:$S$910,12,FALSE)),0,VLOOKUP($A1170,'Mutasi Neraca'!$A$3:$S$910,12,FALSE))</f>
        <v>1650000</v>
      </c>
      <c r="N1170" s="42">
        <f>VLOOKUP($A1170,'Neraca Unaudited SIMAK'!$A$2:$R$1272,13,FALSE)+IF(ISNA(VLOOKUP($A1170,'Mutasi Neraca'!$A$3:$S$910,13,FALSE)),0,VLOOKUP($A1170,'Mutasi Neraca'!$A$3:$S$910,13,FALSE))</f>
        <v>0</v>
      </c>
      <c r="O1170" s="42">
        <f>VLOOKUP($A1170,'Neraca Unaudited SIMAK'!$A$2:$R$1272,14,FALSE)+IF(ISNA(VLOOKUP($A1170,'Mutasi Neraca'!$A$3:$S$910,14,FALSE)),0,VLOOKUP($A1170,'Mutasi Neraca'!$A$3:$S$910,14,FALSE))</f>
        <v>0</v>
      </c>
      <c r="P1170" s="42">
        <f>VLOOKUP($A1170,'Neraca Unaudited SIMAK'!$A$2:$R$1272,15,FALSE)+IF(ISNA(VLOOKUP($A1170,'Mutasi Neraca'!$A$3:$S$910,15,FALSE)),0,VLOOKUP($A1170,'Mutasi Neraca'!$A$3:$S$910,15,FALSE))</f>
        <v>0</v>
      </c>
      <c r="Q1170" s="42">
        <f>VLOOKUP($A1170,'Neraca Unaudited SIMAK'!$A$2:$R$1272,16,FALSE)+IF(ISNA(VLOOKUP($A1170,'Mutasi Neraca'!$A$3:$S$910,16,FALSE)),0,VLOOKUP($A1170,'Mutasi Neraca'!$A$3:$S$910,16,FALSE))</f>
        <v>0</v>
      </c>
      <c r="R1170" s="42">
        <f>VLOOKUP($A1170,'Neraca Unaudited SIMAK'!$A$2:$R$1272,17,FALSE)+IF(ISNA(VLOOKUP($A1170,'Mutasi Neraca'!$A$3:$S$910,17,FALSE)),0,VLOOKUP($A1170,'Mutasi Neraca'!$A$3:$S$910,17,FALSE))</f>
        <v>0</v>
      </c>
      <c r="S1170" s="42">
        <f t="shared" si="79"/>
        <v>1650000</v>
      </c>
    </row>
    <row r="1171" spans="1:19">
      <c r="A1171" s="41" t="s">
        <v>1095</v>
      </c>
      <c r="B1171" s="41" t="str">
        <f t="shared" si="78"/>
        <v>005032800</v>
      </c>
      <c r="D1171" s="42">
        <f>VLOOKUP($A1171,'Neraca Unaudited SIMAK'!$A$2:$R$1272,3,FALSE)+IF(ISNA(VLOOKUP($A1171,'Mutasi Neraca'!$A$3:$S$910,3,FALSE)),0,VLOOKUP($A1171,'Mutasi Neraca'!$A$3:$S$910,3,FALSE))</f>
        <v>0</v>
      </c>
      <c r="E1171" s="42">
        <f>VLOOKUP($A1171,'Neraca Unaudited SIMAK'!$A$2:$R$1272,4,FALSE)+IF(ISNA(VLOOKUP($A1171,'Mutasi Neraca'!$A$3:$S$910,4,FALSE)),0,VLOOKUP($A1171,'Mutasi Neraca'!$A$3:$S$910,4,FALSE))</f>
        <v>0</v>
      </c>
      <c r="F1171" s="42">
        <f>VLOOKUP($A1171,'Neraca Unaudited SIMAK'!$A$2:$R$1272,5,FALSE)+IF(ISNA(VLOOKUP($A1171,'Mutasi Neraca'!$A$3:$S$910,5,FALSE)),0,VLOOKUP($A1171,'Mutasi Neraca'!$A$3:$S$910,5,FALSE))</f>
        <v>0</v>
      </c>
      <c r="G1171" s="42">
        <f>VLOOKUP($A1171,'Neraca Unaudited SIMAK'!$A$2:$R$1272,6,FALSE)+IF(ISNA(VLOOKUP($A1171,'Mutasi Neraca'!$A$3:$S$910,6,FALSE)),0,VLOOKUP($A1171,'Mutasi Neraca'!$A$3:$S$910,6,FALSE))</f>
        <v>0</v>
      </c>
      <c r="H1171" s="42">
        <f>VLOOKUP($A1171,'Neraca Unaudited SIMAK'!$A$2:$R$1272,7,FALSE)+IF(ISNA(VLOOKUP($A1171,'Mutasi Neraca'!$A$3:$S$910,7,FALSE)),0,VLOOKUP($A1171,'Mutasi Neraca'!$A$3:$S$910,7,FALSE))</f>
        <v>0</v>
      </c>
      <c r="I1171" s="42">
        <f>VLOOKUP($A1171,'Neraca Unaudited SIMAK'!$A$2:$R$1272,8,FALSE)+IF(ISNA(VLOOKUP($A1171,'Mutasi Neraca'!$A$3:$S$910,8,FALSE)),0,VLOOKUP($A1171,'Mutasi Neraca'!$A$3:$S$910,8,FALSE))</f>
        <v>0</v>
      </c>
      <c r="J1171" s="42">
        <f>VLOOKUP($A1171,'Neraca Unaudited SIMAK'!$A$2:$R$1272,9,FALSE)+IF(ISNA(VLOOKUP($A1171,'Mutasi Neraca'!$A$3:$S$910,9,FALSE)),0,VLOOKUP($A1171,'Mutasi Neraca'!$A$3:$S$910,9,FALSE))</f>
        <v>0</v>
      </c>
      <c r="K1171" s="42">
        <f>VLOOKUP($A1171,'Neraca Unaudited SIMAK'!$A$2:$R$1272,10,FALSE)+IF(ISNA(VLOOKUP($A1171,'Mutasi Neraca'!$A$3:$S$910,10,FALSE)),0,VLOOKUP($A1171,'Mutasi Neraca'!$A$3:$S$910,10,FALSE))</f>
        <v>0</v>
      </c>
      <c r="L1171" s="42">
        <f>VLOOKUP($A1171,'Neraca Unaudited SIMAK'!$A$2:$R$1272,11,FALSE)+IF(ISNA(VLOOKUP($A1171,'Mutasi Neraca'!$A$3:$S$910,11,FALSE)),0,VLOOKUP($A1171,'Mutasi Neraca'!$A$3:$S$910,11,FALSE))</f>
        <v>0</v>
      </c>
      <c r="M1171" s="42">
        <f>VLOOKUP($A1171,'Neraca Unaudited SIMAK'!$A$2:$R$1272,12,FALSE)+IF(ISNA(VLOOKUP($A1171,'Mutasi Neraca'!$A$3:$S$910,12,FALSE)),0,VLOOKUP($A1171,'Mutasi Neraca'!$A$3:$S$910,12,FALSE))</f>
        <v>0</v>
      </c>
      <c r="N1171" s="42">
        <f>VLOOKUP($A1171,'Neraca Unaudited SIMAK'!$A$2:$R$1272,13,FALSE)+IF(ISNA(VLOOKUP($A1171,'Mutasi Neraca'!$A$3:$S$910,13,FALSE)),0,VLOOKUP($A1171,'Mutasi Neraca'!$A$3:$S$910,13,FALSE))</f>
        <v>0</v>
      </c>
      <c r="O1171" s="42">
        <f>VLOOKUP($A1171,'Neraca Unaudited SIMAK'!$A$2:$R$1272,14,FALSE)+IF(ISNA(VLOOKUP($A1171,'Mutasi Neraca'!$A$3:$S$910,14,FALSE)),0,VLOOKUP($A1171,'Mutasi Neraca'!$A$3:$S$910,14,FALSE))</f>
        <v>0</v>
      </c>
      <c r="P1171" s="42">
        <f>VLOOKUP($A1171,'Neraca Unaudited SIMAK'!$A$2:$R$1272,15,FALSE)+IF(ISNA(VLOOKUP($A1171,'Mutasi Neraca'!$A$3:$S$910,15,FALSE)),0,VLOOKUP($A1171,'Mutasi Neraca'!$A$3:$S$910,15,FALSE))</f>
        <v>0</v>
      </c>
      <c r="Q1171" s="42">
        <f>VLOOKUP($A1171,'Neraca Unaudited SIMAK'!$A$2:$R$1272,16,FALSE)+IF(ISNA(VLOOKUP($A1171,'Mutasi Neraca'!$A$3:$S$910,16,FALSE)),0,VLOOKUP($A1171,'Mutasi Neraca'!$A$3:$S$910,16,FALSE))</f>
        <v>0</v>
      </c>
      <c r="R1171" s="42">
        <f>VLOOKUP($A1171,'Neraca Unaudited SIMAK'!$A$2:$R$1272,17,FALSE)+IF(ISNA(VLOOKUP($A1171,'Mutasi Neraca'!$A$3:$S$910,17,FALSE)),0,VLOOKUP($A1171,'Mutasi Neraca'!$A$3:$S$910,17,FALSE))</f>
        <v>0</v>
      </c>
      <c r="S1171" s="42">
        <f t="shared" si="79"/>
        <v>0</v>
      </c>
    </row>
    <row r="1172" spans="1:19">
      <c r="A1172" s="41" t="s">
        <v>1096</v>
      </c>
      <c r="B1172" s="41" t="str">
        <f t="shared" si="78"/>
        <v>005032900</v>
      </c>
      <c r="D1172" s="42">
        <f>VLOOKUP($A1172,'Neraca Unaudited SIMAK'!$A$2:$R$1272,3,FALSE)+IF(ISNA(VLOOKUP($A1172,'Mutasi Neraca'!$A$3:$S$910,3,FALSE)),0,VLOOKUP($A1172,'Mutasi Neraca'!$A$3:$S$910,3,FALSE))</f>
        <v>6552575</v>
      </c>
      <c r="E1172" s="42">
        <f>VLOOKUP($A1172,'Neraca Unaudited SIMAK'!$A$2:$R$1272,4,FALSE)+IF(ISNA(VLOOKUP($A1172,'Mutasi Neraca'!$A$3:$S$910,4,FALSE)),0,VLOOKUP($A1172,'Mutasi Neraca'!$A$3:$S$910,4,FALSE))</f>
        <v>0</v>
      </c>
      <c r="F1172" s="42">
        <f>VLOOKUP($A1172,'Neraca Unaudited SIMAK'!$A$2:$R$1272,5,FALSE)+IF(ISNA(VLOOKUP($A1172,'Mutasi Neraca'!$A$3:$S$910,5,FALSE)),0,VLOOKUP($A1172,'Mutasi Neraca'!$A$3:$S$910,5,FALSE))</f>
        <v>0</v>
      </c>
      <c r="G1172" s="42">
        <f>VLOOKUP($A1172,'Neraca Unaudited SIMAK'!$A$2:$R$1272,6,FALSE)+IF(ISNA(VLOOKUP($A1172,'Mutasi Neraca'!$A$3:$S$910,6,FALSE)),0,VLOOKUP($A1172,'Mutasi Neraca'!$A$3:$S$910,6,FALSE))</f>
        <v>0</v>
      </c>
      <c r="H1172" s="42">
        <f>VLOOKUP($A1172,'Neraca Unaudited SIMAK'!$A$2:$R$1272,7,FALSE)+IF(ISNA(VLOOKUP($A1172,'Mutasi Neraca'!$A$3:$S$910,7,FALSE)),0,VLOOKUP($A1172,'Mutasi Neraca'!$A$3:$S$910,7,FALSE))</f>
        <v>0</v>
      </c>
      <c r="I1172" s="42">
        <f>VLOOKUP($A1172,'Neraca Unaudited SIMAK'!$A$2:$R$1272,8,FALSE)+IF(ISNA(VLOOKUP($A1172,'Mutasi Neraca'!$A$3:$S$910,8,FALSE)),0,VLOOKUP($A1172,'Mutasi Neraca'!$A$3:$S$910,8,FALSE))</f>
        <v>0</v>
      </c>
      <c r="J1172" s="42">
        <f>VLOOKUP($A1172,'Neraca Unaudited SIMAK'!$A$2:$R$1272,9,FALSE)+IF(ISNA(VLOOKUP($A1172,'Mutasi Neraca'!$A$3:$S$910,9,FALSE)),0,VLOOKUP($A1172,'Mutasi Neraca'!$A$3:$S$910,9,FALSE))</f>
        <v>0</v>
      </c>
      <c r="K1172" s="42">
        <f>VLOOKUP($A1172,'Neraca Unaudited SIMAK'!$A$2:$R$1272,10,FALSE)+IF(ISNA(VLOOKUP($A1172,'Mutasi Neraca'!$A$3:$S$910,10,FALSE)),0,VLOOKUP($A1172,'Mutasi Neraca'!$A$3:$S$910,10,FALSE))</f>
        <v>0</v>
      </c>
      <c r="L1172" s="42">
        <f>VLOOKUP($A1172,'Neraca Unaudited SIMAK'!$A$2:$R$1272,11,FALSE)+IF(ISNA(VLOOKUP($A1172,'Mutasi Neraca'!$A$3:$S$910,11,FALSE)),0,VLOOKUP($A1172,'Mutasi Neraca'!$A$3:$S$910,11,FALSE))</f>
        <v>0</v>
      </c>
      <c r="M1172" s="42">
        <f>VLOOKUP($A1172,'Neraca Unaudited SIMAK'!$A$2:$R$1272,12,FALSE)+IF(ISNA(VLOOKUP($A1172,'Mutasi Neraca'!$A$3:$S$910,12,FALSE)),0,VLOOKUP($A1172,'Mutasi Neraca'!$A$3:$S$910,12,FALSE))</f>
        <v>6552575</v>
      </c>
      <c r="N1172" s="42">
        <f>VLOOKUP($A1172,'Neraca Unaudited SIMAK'!$A$2:$R$1272,13,FALSE)+IF(ISNA(VLOOKUP($A1172,'Mutasi Neraca'!$A$3:$S$910,13,FALSE)),0,VLOOKUP($A1172,'Mutasi Neraca'!$A$3:$S$910,13,FALSE))</f>
        <v>0</v>
      </c>
      <c r="O1172" s="42">
        <f>VLOOKUP($A1172,'Neraca Unaudited SIMAK'!$A$2:$R$1272,14,FALSE)+IF(ISNA(VLOOKUP($A1172,'Mutasi Neraca'!$A$3:$S$910,14,FALSE)),0,VLOOKUP($A1172,'Mutasi Neraca'!$A$3:$S$910,14,FALSE))</f>
        <v>0</v>
      </c>
      <c r="P1172" s="42">
        <f>VLOOKUP($A1172,'Neraca Unaudited SIMAK'!$A$2:$R$1272,15,FALSE)+IF(ISNA(VLOOKUP($A1172,'Mutasi Neraca'!$A$3:$S$910,15,FALSE)),0,VLOOKUP($A1172,'Mutasi Neraca'!$A$3:$S$910,15,FALSE))</f>
        <v>0</v>
      </c>
      <c r="Q1172" s="42">
        <f>VLOOKUP($A1172,'Neraca Unaudited SIMAK'!$A$2:$R$1272,16,FALSE)+IF(ISNA(VLOOKUP($A1172,'Mutasi Neraca'!$A$3:$S$910,16,FALSE)),0,VLOOKUP($A1172,'Mutasi Neraca'!$A$3:$S$910,16,FALSE))</f>
        <v>0</v>
      </c>
      <c r="R1172" s="42">
        <f>VLOOKUP($A1172,'Neraca Unaudited SIMAK'!$A$2:$R$1272,17,FALSE)+IF(ISNA(VLOOKUP($A1172,'Mutasi Neraca'!$A$3:$S$910,17,FALSE)),0,VLOOKUP($A1172,'Mutasi Neraca'!$A$3:$S$910,17,FALSE))</f>
        <v>0</v>
      </c>
      <c r="S1172" s="42">
        <f t="shared" si="79"/>
        <v>6552575</v>
      </c>
    </row>
    <row r="1173" spans="1:19">
      <c r="A1173" s="41" t="s">
        <v>1097</v>
      </c>
      <c r="B1173" s="41" t="str">
        <f t="shared" si="78"/>
        <v>005032900</v>
      </c>
      <c r="D1173" s="42">
        <f>VLOOKUP($A1173,'Neraca Unaudited SIMAK'!$A$2:$R$1272,3,FALSE)+IF(ISNA(VLOOKUP($A1173,'Mutasi Neraca'!$A$3:$S$910,3,FALSE)),0,VLOOKUP($A1173,'Mutasi Neraca'!$A$3:$S$910,3,FALSE))</f>
        <v>548550</v>
      </c>
      <c r="E1173" s="42">
        <f>VLOOKUP($A1173,'Neraca Unaudited SIMAK'!$A$2:$R$1272,4,FALSE)+IF(ISNA(VLOOKUP($A1173,'Mutasi Neraca'!$A$3:$S$910,4,FALSE)),0,VLOOKUP($A1173,'Mutasi Neraca'!$A$3:$S$910,4,FALSE))</f>
        <v>0</v>
      </c>
      <c r="F1173" s="42">
        <f>VLOOKUP($A1173,'Neraca Unaudited SIMAK'!$A$2:$R$1272,5,FALSE)+IF(ISNA(VLOOKUP($A1173,'Mutasi Neraca'!$A$3:$S$910,5,FALSE)),0,VLOOKUP($A1173,'Mutasi Neraca'!$A$3:$S$910,5,FALSE))</f>
        <v>0</v>
      </c>
      <c r="G1173" s="42">
        <f>VLOOKUP($A1173,'Neraca Unaudited SIMAK'!$A$2:$R$1272,6,FALSE)+IF(ISNA(VLOOKUP($A1173,'Mutasi Neraca'!$A$3:$S$910,6,FALSE)),0,VLOOKUP($A1173,'Mutasi Neraca'!$A$3:$S$910,6,FALSE))</f>
        <v>0</v>
      </c>
      <c r="H1173" s="42">
        <f>VLOOKUP($A1173,'Neraca Unaudited SIMAK'!$A$2:$R$1272,7,FALSE)+IF(ISNA(VLOOKUP($A1173,'Mutasi Neraca'!$A$3:$S$910,7,FALSE)),0,VLOOKUP($A1173,'Mutasi Neraca'!$A$3:$S$910,7,FALSE))</f>
        <v>0</v>
      </c>
      <c r="I1173" s="42">
        <f>VLOOKUP($A1173,'Neraca Unaudited SIMAK'!$A$2:$R$1272,8,FALSE)+IF(ISNA(VLOOKUP($A1173,'Mutasi Neraca'!$A$3:$S$910,8,FALSE)),0,VLOOKUP($A1173,'Mutasi Neraca'!$A$3:$S$910,8,FALSE))</f>
        <v>0</v>
      </c>
      <c r="J1173" s="42">
        <f>VLOOKUP($A1173,'Neraca Unaudited SIMAK'!$A$2:$R$1272,9,FALSE)+IF(ISNA(VLOOKUP($A1173,'Mutasi Neraca'!$A$3:$S$910,9,FALSE)),0,VLOOKUP($A1173,'Mutasi Neraca'!$A$3:$S$910,9,FALSE))</f>
        <v>0</v>
      </c>
      <c r="K1173" s="42">
        <f>VLOOKUP($A1173,'Neraca Unaudited SIMAK'!$A$2:$R$1272,10,FALSE)+IF(ISNA(VLOOKUP($A1173,'Mutasi Neraca'!$A$3:$S$910,10,FALSE)),0,VLOOKUP($A1173,'Mutasi Neraca'!$A$3:$S$910,10,FALSE))</f>
        <v>0</v>
      </c>
      <c r="L1173" s="42">
        <f>VLOOKUP($A1173,'Neraca Unaudited SIMAK'!$A$2:$R$1272,11,FALSE)+IF(ISNA(VLOOKUP($A1173,'Mutasi Neraca'!$A$3:$S$910,11,FALSE)),0,VLOOKUP($A1173,'Mutasi Neraca'!$A$3:$S$910,11,FALSE))</f>
        <v>0</v>
      </c>
      <c r="M1173" s="42">
        <f>VLOOKUP($A1173,'Neraca Unaudited SIMAK'!$A$2:$R$1272,12,FALSE)+IF(ISNA(VLOOKUP($A1173,'Mutasi Neraca'!$A$3:$S$910,12,FALSE)),0,VLOOKUP($A1173,'Mutasi Neraca'!$A$3:$S$910,12,FALSE))</f>
        <v>548550</v>
      </c>
      <c r="N1173" s="42">
        <f>VLOOKUP($A1173,'Neraca Unaudited SIMAK'!$A$2:$R$1272,13,FALSE)+IF(ISNA(VLOOKUP($A1173,'Mutasi Neraca'!$A$3:$S$910,13,FALSE)),0,VLOOKUP($A1173,'Mutasi Neraca'!$A$3:$S$910,13,FALSE))</f>
        <v>0</v>
      </c>
      <c r="O1173" s="42">
        <f>VLOOKUP($A1173,'Neraca Unaudited SIMAK'!$A$2:$R$1272,14,FALSE)+IF(ISNA(VLOOKUP($A1173,'Mutasi Neraca'!$A$3:$S$910,14,FALSE)),0,VLOOKUP($A1173,'Mutasi Neraca'!$A$3:$S$910,14,FALSE))</f>
        <v>0</v>
      </c>
      <c r="P1173" s="42">
        <f>VLOOKUP($A1173,'Neraca Unaudited SIMAK'!$A$2:$R$1272,15,FALSE)+IF(ISNA(VLOOKUP($A1173,'Mutasi Neraca'!$A$3:$S$910,15,FALSE)),0,VLOOKUP($A1173,'Mutasi Neraca'!$A$3:$S$910,15,FALSE))</f>
        <v>0</v>
      </c>
      <c r="Q1173" s="42">
        <f>VLOOKUP($A1173,'Neraca Unaudited SIMAK'!$A$2:$R$1272,16,FALSE)+IF(ISNA(VLOOKUP($A1173,'Mutasi Neraca'!$A$3:$S$910,16,FALSE)),0,VLOOKUP($A1173,'Mutasi Neraca'!$A$3:$S$910,16,FALSE))</f>
        <v>0</v>
      </c>
      <c r="R1173" s="42">
        <f>VLOOKUP($A1173,'Neraca Unaudited SIMAK'!$A$2:$R$1272,17,FALSE)+IF(ISNA(VLOOKUP($A1173,'Mutasi Neraca'!$A$3:$S$910,17,FALSE)),0,VLOOKUP($A1173,'Mutasi Neraca'!$A$3:$S$910,17,FALSE))</f>
        <v>0</v>
      </c>
      <c r="S1173" s="42">
        <f t="shared" si="79"/>
        <v>548550</v>
      </c>
    </row>
    <row r="1174" spans="1:19">
      <c r="A1174" s="41" t="s">
        <v>1098</v>
      </c>
      <c r="B1174" s="41" t="str">
        <f t="shared" si="78"/>
        <v>005032900</v>
      </c>
      <c r="D1174" s="42">
        <f>VLOOKUP($A1174,'Neraca Unaudited SIMAK'!$A$2:$R$1272,3,FALSE)+IF(ISNA(VLOOKUP($A1174,'Mutasi Neraca'!$A$3:$S$910,3,FALSE)),0,VLOOKUP($A1174,'Mutasi Neraca'!$A$3:$S$910,3,FALSE))</f>
        <v>949000</v>
      </c>
      <c r="E1174" s="42">
        <f>VLOOKUP($A1174,'Neraca Unaudited SIMAK'!$A$2:$R$1272,4,FALSE)+IF(ISNA(VLOOKUP($A1174,'Mutasi Neraca'!$A$3:$S$910,4,FALSE)),0,VLOOKUP($A1174,'Mutasi Neraca'!$A$3:$S$910,4,FALSE))</f>
        <v>0</v>
      </c>
      <c r="F1174" s="42">
        <f>VLOOKUP($A1174,'Neraca Unaudited SIMAK'!$A$2:$R$1272,5,FALSE)+IF(ISNA(VLOOKUP($A1174,'Mutasi Neraca'!$A$3:$S$910,5,FALSE)),0,VLOOKUP($A1174,'Mutasi Neraca'!$A$3:$S$910,5,FALSE))</f>
        <v>0</v>
      </c>
      <c r="G1174" s="42">
        <f>VLOOKUP($A1174,'Neraca Unaudited SIMAK'!$A$2:$R$1272,6,FALSE)+IF(ISNA(VLOOKUP($A1174,'Mutasi Neraca'!$A$3:$S$910,6,FALSE)),0,VLOOKUP($A1174,'Mutasi Neraca'!$A$3:$S$910,6,FALSE))</f>
        <v>0</v>
      </c>
      <c r="H1174" s="42">
        <f>VLOOKUP($A1174,'Neraca Unaudited SIMAK'!$A$2:$R$1272,7,FALSE)+IF(ISNA(VLOOKUP($A1174,'Mutasi Neraca'!$A$3:$S$910,7,FALSE)),0,VLOOKUP($A1174,'Mutasi Neraca'!$A$3:$S$910,7,FALSE))</f>
        <v>0</v>
      </c>
      <c r="I1174" s="42">
        <f>VLOOKUP($A1174,'Neraca Unaudited SIMAK'!$A$2:$R$1272,8,FALSE)+IF(ISNA(VLOOKUP($A1174,'Mutasi Neraca'!$A$3:$S$910,8,FALSE)),0,VLOOKUP($A1174,'Mutasi Neraca'!$A$3:$S$910,8,FALSE))</f>
        <v>0</v>
      </c>
      <c r="J1174" s="42">
        <f>VLOOKUP($A1174,'Neraca Unaudited SIMAK'!$A$2:$R$1272,9,FALSE)+IF(ISNA(VLOOKUP($A1174,'Mutasi Neraca'!$A$3:$S$910,9,FALSE)),0,VLOOKUP($A1174,'Mutasi Neraca'!$A$3:$S$910,9,FALSE))</f>
        <v>0</v>
      </c>
      <c r="K1174" s="42">
        <f>VLOOKUP($A1174,'Neraca Unaudited SIMAK'!$A$2:$R$1272,10,FALSE)+IF(ISNA(VLOOKUP($A1174,'Mutasi Neraca'!$A$3:$S$910,10,FALSE)),0,VLOOKUP($A1174,'Mutasi Neraca'!$A$3:$S$910,10,FALSE))</f>
        <v>0</v>
      </c>
      <c r="L1174" s="42">
        <f>VLOOKUP($A1174,'Neraca Unaudited SIMAK'!$A$2:$R$1272,11,FALSE)+IF(ISNA(VLOOKUP($A1174,'Mutasi Neraca'!$A$3:$S$910,11,FALSE)),0,VLOOKUP($A1174,'Mutasi Neraca'!$A$3:$S$910,11,FALSE))</f>
        <v>0</v>
      </c>
      <c r="M1174" s="42">
        <f>VLOOKUP($A1174,'Neraca Unaudited SIMAK'!$A$2:$R$1272,12,FALSE)+IF(ISNA(VLOOKUP($A1174,'Mutasi Neraca'!$A$3:$S$910,12,FALSE)),0,VLOOKUP($A1174,'Mutasi Neraca'!$A$3:$S$910,12,FALSE))</f>
        <v>949000</v>
      </c>
      <c r="N1174" s="42">
        <f>VLOOKUP($A1174,'Neraca Unaudited SIMAK'!$A$2:$R$1272,13,FALSE)+IF(ISNA(VLOOKUP($A1174,'Mutasi Neraca'!$A$3:$S$910,13,FALSE)),0,VLOOKUP($A1174,'Mutasi Neraca'!$A$3:$S$910,13,FALSE))</f>
        <v>0</v>
      </c>
      <c r="O1174" s="42">
        <f>VLOOKUP($A1174,'Neraca Unaudited SIMAK'!$A$2:$R$1272,14,FALSE)+IF(ISNA(VLOOKUP($A1174,'Mutasi Neraca'!$A$3:$S$910,14,FALSE)),0,VLOOKUP($A1174,'Mutasi Neraca'!$A$3:$S$910,14,FALSE))</f>
        <v>0</v>
      </c>
      <c r="P1174" s="42">
        <f>VLOOKUP($A1174,'Neraca Unaudited SIMAK'!$A$2:$R$1272,15,FALSE)+IF(ISNA(VLOOKUP($A1174,'Mutasi Neraca'!$A$3:$S$910,15,FALSE)),0,VLOOKUP($A1174,'Mutasi Neraca'!$A$3:$S$910,15,FALSE))</f>
        <v>0</v>
      </c>
      <c r="Q1174" s="42">
        <f>VLOOKUP($A1174,'Neraca Unaudited SIMAK'!$A$2:$R$1272,16,FALSE)+IF(ISNA(VLOOKUP($A1174,'Mutasi Neraca'!$A$3:$S$910,16,FALSE)),0,VLOOKUP($A1174,'Mutasi Neraca'!$A$3:$S$910,16,FALSE))</f>
        <v>0</v>
      </c>
      <c r="R1174" s="42">
        <f>VLOOKUP($A1174,'Neraca Unaudited SIMAK'!$A$2:$R$1272,17,FALSE)+IF(ISNA(VLOOKUP($A1174,'Mutasi Neraca'!$A$3:$S$910,17,FALSE)),0,VLOOKUP($A1174,'Mutasi Neraca'!$A$3:$S$910,17,FALSE))</f>
        <v>0</v>
      </c>
      <c r="S1174" s="42">
        <f t="shared" si="79"/>
        <v>949000</v>
      </c>
    </row>
    <row r="1175" spans="1:19">
      <c r="A1175" s="41" t="s">
        <v>1099</v>
      </c>
      <c r="B1175" s="41" t="str">
        <f t="shared" si="78"/>
        <v>005032900</v>
      </c>
      <c r="D1175" s="42">
        <f>VLOOKUP($A1175,'Neraca Unaudited SIMAK'!$A$2:$R$1272,3,FALSE)+IF(ISNA(VLOOKUP($A1175,'Mutasi Neraca'!$A$3:$S$910,3,FALSE)),0,VLOOKUP($A1175,'Mutasi Neraca'!$A$3:$S$910,3,FALSE))</f>
        <v>4157400</v>
      </c>
      <c r="E1175" s="42">
        <f>VLOOKUP($A1175,'Neraca Unaudited SIMAK'!$A$2:$R$1272,4,FALSE)+IF(ISNA(VLOOKUP($A1175,'Mutasi Neraca'!$A$3:$S$910,4,FALSE)),0,VLOOKUP($A1175,'Mutasi Neraca'!$A$3:$S$910,4,FALSE))</f>
        <v>0</v>
      </c>
      <c r="F1175" s="42">
        <f>VLOOKUP($A1175,'Neraca Unaudited SIMAK'!$A$2:$R$1272,5,FALSE)+IF(ISNA(VLOOKUP($A1175,'Mutasi Neraca'!$A$3:$S$910,5,FALSE)),0,VLOOKUP($A1175,'Mutasi Neraca'!$A$3:$S$910,5,FALSE))</f>
        <v>0</v>
      </c>
      <c r="G1175" s="42">
        <f>VLOOKUP($A1175,'Neraca Unaudited SIMAK'!$A$2:$R$1272,6,FALSE)+IF(ISNA(VLOOKUP($A1175,'Mutasi Neraca'!$A$3:$S$910,6,FALSE)),0,VLOOKUP($A1175,'Mutasi Neraca'!$A$3:$S$910,6,FALSE))</f>
        <v>0</v>
      </c>
      <c r="H1175" s="42">
        <f>VLOOKUP($A1175,'Neraca Unaudited SIMAK'!$A$2:$R$1272,7,FALSE)+IF(ISNA(VLOOKUP($A1175,'Mutasi Neraca'!$A$3:$S$910,7,FALSE)),0,VLOOKUP($A1175,'Mutasi Neraca'!$A$3:$S$910,7,FALSE))</f>
        <v>0</v>
      </c>
      <c r="I1175" s="42">
        <f>VLOOKUP($A1175,'Neraca Unaudited SIMAK'!$A$2:$R$1272,8,FALSE)+IF(ISNA(VLOOKUP($A1175,'Mutasi Neraca'!$A$3:$S$910,8,FALSE)),0,VLOOKUP($A1175,'Mutasi Neraca'!$A$3:$S$910,8,FALSE))</f>
        <v>0</v>
      </c>
      <c r="J1175" s="42">
        <f>VLOOKUP($A1175,'Neraca Unaudited SIMAK'!$A$2:$R$1272,9,FALSE)+IF(ISNA(VLOOKUP($A1175,'Mutasi Neraca'!$A$3:$S$910,9,FALSE)),0,VLOOKUP($A1175,'Mutasi Neraca'!$A$3:$S$910,9,FALSE))</f>
        <v>0</v>
      </c>
      <c r="K1175" s="42">
        <f>VLOOKUP($A1175,'Neraca Unaudited SIMAK'!$A$2:$R$1272,10,FALSE)+IF(ISNA(VLOOKUP($A1175,'Mutasi Neraca'!$A$3:$S$910,10,FALSE)),0,VLOOKUP($A1175,'Mutasi Neraca'!$A$3:$S$910,10,FALSE))</f>
        <v>0</v>
      </c>
      <c r="L1175" s="42">
        <f>VLOOKUP($A1175,'Neraca Unaudited SIMAK'!$A$2:$R$1272,11,FALSE)+IF(ISNA(VLOOKUP($A1175,'Mutasi Neraca'!$A$3:$S$910,11,FALSE)),0,VLOOKUP($A1175,'Mutasi Neraca'!$A$3:$S$910,11,FALSE))</f>
        <v>0</v>
      </c>
      <c r="M1175" s="42">
        <f>VLOOKUP($A1175,'Neraca Unaudited SIMAK'!$A$2:$R$1272,12,FALSE)+IF(ISNA(VLOOKUP($A1175,'Mutasi Neraca'!$A$3:$S$910,12,FALSE)),0,VLOOKUP($A1175,'Mutasi Neraca'!$A$3:$S$910,12,FALSE))</f>
        <v>4157400</v>
      </c>
      <c r="N1175" s="42">
        <f>VLOOKUP($A1175,'Neraca Unaudited SIMAK'!$A$2:$R$1272,13,FALSE)+IF(ISNA(VLOOKUP($A1175,'Mutasi Neraca'!$A$3:$S$910,13,FALSE)),0,VLOOKUP($A1175,'Mutasi Neraca'!$A$3:$S$910,13,FALSE))</f>
        <v>0</v>
      </c>
      <c r="O1175" s="42">
        <f>VLOOKUP($A1175,'Neraca Unaudited SIMAK'!$A$2:$R$1272,14,FALSE)+IF(ISNA(VLOOKUP($A1175,'Mutasi Neraca'!$A$3:$S$910,14,FALSE)),0,VLOOKUP($A1175,'Mutasi Neraca'!$A$3:$S$910,14,FALSE))</f>
        <v>0</v>
      </c>
      <c r="P1175" s="42">
        <f>VLOOKUP($A1175,'Neraca Unaudited SIMAK'!$A$2:$R$1272,15,FALSE)+IF(ISNA(VLOOKUP($A1175,'Mutasi Neraca'!$A$3:$S$910,15,FALSE)),0,VLOOKUP($A1175,'Mutasi Neraca'!$A$3:$S$910,15,FALSE))</f>
        <v>0</v>
      </c>
      <c r="Q1175" s="42">
        <f>VLOOKUP($A1175,'Neraca Unaudited SIMAK'!$A$2:$R$1272,16,FALSE)+IF(ISNA(VLOOKUP($A1175,'Mutasi Neraca'!$A$3:$S$910,16,FALSE)),0,VLOOKUP($A1175,'Mutasi Neraca'!$A$3:$S$910,16,FALSE))</f>
        <v>0</v>
      </c>
      <c r="R1175" s="42">
        <f>VLOOKUP($A1175,'Neraca Unaudited SIMAK'!$A$2:$R$1272,17,FALSE)+IF(ISNA(VLOOKUP($A1175,'Mutasi Neraca'!$A$3:$S$910,17,FALSE)),0,VLOOKUP($A1175,'Mutasi Neraca'!$A$3:$S$910,17,FALSE))</f>
        <v>0</v>
      </c>
      <c r="S1175" s="42">
        <f t="shared" si="79"/>
        <v>4157400</v>
      </c>
    </row>
    <row r="1176" spans="1:19">
      <c r="A1176" s="41" t="s">
        <v>1100</v>
      </c>
      <c r="B1176" s="41" t="str">
        <f t="shared" si="78"/>
        <v>005032900</v>
      </c>
      <c r="D1176" s="42">
        <f>VLOOKUP($A1176,'Neraca Unaudited SIMAK'!$A$2:$R$1272,3,FALSE)+IF(ISNA(VLOOKUP($A1176,'Mutasi Neraca'!$A$3:$S$910,3,FALSE)),0,VLOOKUP($A1176,'Mutasi Neraca'!$A$3:$S$910,3,FALSE))</f>
        <v>3217094</v>
      </c>
      <c r="E1176" s="42">
        <f>VLOOKUP($A1176,'Neraca Unaudited SIMAK'!$A$2:$R$1272,4,FALSE)+IF(ISNA(VLOOKUP($A1176,'Mutasi Neraca'!$A$3:$S$910,4,FALSE)),0,VLOOKUP($A1176,'Mutasi Neraca'!$A$3:$S$910,4,FALSE))</f>
        <v>0</v>
      </c>
      <c r="F1176" s="42">
        <f>VLOOKUP($A1176,'Neraca Unaudited SIMAK'!$A$2:$R$1272,5,FALSE)+IF(ISNA(VLOOKUP($A1176,'Mutasi Neraca'!$A$3:$S$910,5,FALSE)),0,VLOOKUP($A1176,'Mutasi Neraca'!$A$3:$S$910,5,FALSE))</f>
        <v>0</v>
      </c>
      <c r="G1176" s="42">
        <f>VLOOKUP($A1176,'Neraca Unaudited SIMAK'!$A$2:$R$1272,6,FALSE)+IF(ISNA(VLOOKUP($A1176,'Mutasi Neraca'!$A$3:$S$910,6,FALSE)),0,VLOOKUP($A1176,'Mutasi Neraca'!$A$3:$S$910,6,FALSE))</f>
        <v>0</v>
      </c>
      <c r="H1176" s="42">
        <f>VLOOKUP($A1176,'Neraca Unaudited SIMAK'!$A$2:$R$1272,7,FALSE)+IF(ISNA(VLOOKUP($A1176,'Mutasi Neraca'!$A$3:$S$910,7,FALSE)),0,VLOOKUP($A1176,'Mutasi Neraca'!$A$3:$S$910,7,FALSE))</f>
        <v>0</v>
      </c>
      <c r="I1176" s="42">
        <f>VLOOKUP($A1176,'Neraca Unaudited SIMAK'!$A$2:$R$1272,8,FALSE)+IF(ISNA(VLOOKUP($A1176,'Mutasi Neraca'!$A$3:$S$910,8,FALSE)),0,VLOOKUP($A1176,'Mutasi Neraca'!$A$3:$S$910,8,FALSE))</f>
        <v>0</v>
      </c>
      <c r="J1176" s="42">
        <f>VLOOKUP($A1176,'Neraca Unaudited SIMAK'!$A$2:$R$1272,9,FALSE)+IF(ISNA(VLOOKUP($A1176,'Mutasi Neraca'!$A$3:$S$910,9,FALSE)),0,VLOOKUP($A1176,'Mutasi Neraca'!$A$3:$S$910,9,FALSE))</f>
        <v>0</v>
      </c>
      <c r="K1176" s="42">
        <f>VLOOKUP($A1176,'Neraca Unaudited SIMAK'!$A$2:$R$1272,10,FALSE)+IF(ISNA(VLOOKUP($A1176,'Mutasi Neraca'!$A$3:$S$910,10,FALSE)),0,VLOOKUP($A1176,'Mutasi Neraca'!$A$3:$S$910,10,FALSE))</f>
        <v>0</v>
      </c>
      <c r="L1176" s="42">
        <f>VLOOKUP($A1176,'Neraca Unaudited SIMAK'!$A$2:$R$1272,11,FALSE)+IF(ISNA(VLOOKUP($A1176,'Mutasi Neraca'!$A$3:$S$910,11,FALSE)),0,VLOOKUP($A1176,'Mutasi Neraca'!$A$3:$S$910,11,FALSE))</f>
        <v>0</v>
      </c>
      <c r="M1176" s="42">
        <f>VLOOKUP($A1176,'Neraca Unaudited SIMAK'!$A$2:$R$1272,12,FALSE)+IF(ISNA(VLOOKUP($A1176,'Mutasi Neraca'!$A$3:$S$910,12,FALSE)),0,VLOOKUP($A1176,'Mutasi Neraca'!$A$3:$S$910,12,FALSE))</f>
        <v>3217094</v>
      </c>
      <c r="N1176" s="42">
        <f>VLOOKUP($A1176,'Neraca Unaudited SIMAK'!$A$2:$R$1272,13,FALSE)+IF(ISNA(VLOOKUP($A1176,'Mutasi Neraca'!$A$3:$S$910,13,FALSE)),0,VLOOKUP($A1176,'Mutasi Neraca'!$A$3:$S$910,13,FALSE))</f>
        <v>0</v>
      </c>
      <c r="O1176" s="42">
        <f>VLOOKUP($A1176,'Neraca Unaudited SIMAK'!$A$2:$R$1272,14,FALSE)+IF(ISNA(VLOOKUP($A1176,'Mutasi Neraca'!$A$3:$S$910,14,FALSE)),0,VLOOKUP($A1176,'Mutasi Neraca'!$A$3:$S$910,14,FALSE))</f>
        <v>0</v>
      </c>
      <c r="P1176" s="42">
        <f>VLOOKUP($A1176,'Neraca Unaudited SIMAK'!$A$2:$R$1272,15,FALSE)+IF(ISNA(VLOOKUP($A1176,'Mutasi Neraca'!$A$3:$S$910,15,FALSE)),0,VLOOKUP($A1176,'Mutasi Neraca'!$A$3:$S$910,15,FALSE))</f>
        <v>0</v>
      </c>
      <c r="Q1176" s="42">
        <f>VLOOKUP($A1176,'Neraca Unaudited SIMAK'!$A$2:$R$1272,16,FALSE)+IF(ISNA(VLOOKUP($A1176,'Mutasi Neraca'!$A$3:$S$910,16,FALSE)),0,VLOOKUP($A1176,'Mutasi Neraca'!$A$3:$S$910,16,FALSE))</f>
        <v>0</v>
      </c>
      <c r="R1176" s="42">
        <f>VLOOKUP($A1176,'Neraca Unaudited SIMAK'!$A$2:$R$1272,17,FALSE)+IF(ISNA(VLOOKUP($A1176,'Mutasi Neraca'!$A$3:$S$910,17,FALSE)),0,VLOOKUP($A1176,'Mutasi Neraca'!$A$3:$S$910,17,FALSE))</f>
        <v>0</v>
      </c>
      <c r="S1176" s="42">
        <f t="shared" si="79"/>
        <v>3217094</v>
      </c>
    </row>
    <row r="1177" spans="1:19">
      <c r="A1177" s="41" t="s">
        <v>1101</v>
      </c>
      <c r="B1177" s="41" t="str">
        <f t="shared" si="78"/>
        <v>005033000</v>
      </c>
      <c r="D1177" s="42">
        <f>VLOOKUP($A1177,'Neraca Unaudited SIMAK'!$A$2:$R$1272,3,FALSE)+IF(ISNA(VLOOKUP($A1177,'Mutasi Neraca'!$A$3:$S$910,3,FALSE)),0,VLOOKUP($A1177,'Mutasi Neraca'!$A$3:$S$910,3,FALSE))</f>
        <v>20973775</v>
      </c>
      <c r="E1177" s="42">
        <f>VLOOKUP($A1177,'Neraca Unaudited SIMAK'!$A$2:$R$1272,4,FALSE)+IF(ISNA(VLOOKUP($A1177,'Mutasi Neraca'!$A$3:$S$910,4,FALSE)),0,VLOOKUP($A1177,'Mutasi Neraca'!$A$3:$S$910,4,FALSE))</f>
        <v>0</v>
      </c>
      <c r="F1177" s="42">
        <f>VLOOKUP($A1177,'Neraca Unaudited SIMAK'!$A$2:$R$1272,5,FALSE)+IF(ISNA(VLOOKUP($A1177,'Mutasi Neraca'!$A$3:$S$910,5,FALSE)),0,VLOOKUP($A1177,'Mutasi Neraca'!$A$3:$S$910,5,FALSE))</f>
        <v>0</v>
      </c>
      <c r="G1177" s="42">
        <f>VLOOKUP($A1177,'Neraca Unaudited SIMAK'!$A$2:$R$1272,6,FALSE)+IF(ISNA(VLOOKUP($A1177,'Mutasi Neraca'!$A$3:$S$910,6,FALSE)),0,VLOOKUP($A1177,'Mutasi Neraca'!$A$3:$S$910,6,FALSE))</f>
        <v>0</v>
      </c>
      <c r="H1177" s="42">
        <f>VLOOKUP($A1177,'Neraca Unaudited SIMAK'!$A$2:$R$1272,7,FALSE)+IF(ISNA(VLOOKUP($A1177,'Mutasi Neraca'!$A$3:$S$910,7,FALSE)),0,VLOOKUP($A1177,'Mutasi Neraca'!$A$3:$S$910,7,FALSE))</f>
        <v>0</v>
      </c>
      <c r="I1177" s="42">
        <f>VLOOKUP($A1177,'Neraca Unaudited SIMAK'!$A$2:$R$1272,8,FALSE)+IF(ISNA(VLOOKUP($A1177,'Mutasi Neraca'!$A$3:$S$910,8,FALSE)),0,VLOOKUP($A1177,'Mutasi Neraca'!$A$3:$S$910,8,FALSE))</f>
        <v>0</v>
      </c>
      <c r="J1177" s="42">
        <f>VLOOKUP($A1177,'Neraca Unaudited SIMAK'!$A$2:$R$1272,9,FALSE)+IF(ISNA(VLOOKUP($A1177,'Mutasi Neraca'!$A$3:$S$910,9,FALSE)),0,VLOOKUP($A1177,'Mutasi Neraca'!$A$3:$S$910,9,FALSE))</f>
        <v>0</v>
      </c>
      <c r="K1177" s="42">
        <f>VLOOKUP($A1177,'Neraca Unaudited SIMAK'!$A$2:$R$1272,10,FALSE)+IF(ISNA(VLOOKUP($A1177,'Mutasi Neraca'!$A$3:$S$910,10,FALSE)),0,VLOOKUP($A1177,'Mutasi Neraca'!$A$3:$S$910,10,FALSE))</f>
        <v>0</v>
      </c>
      <c r="L1177" s="42">
        <f>VLOOKUP($A1177,'Neraca Unaudited SIMAK'!$A$2:$R$1272,11,FALSE)+IF(ISNA(VLOOKUP($A1177,'Mutasi Neraca'!$A$3:$S$910,11,FALSE)),0,VLOOKUP($A1177,'Mutasi Neraca'!$A$3:$S$910,11,FALSE))</f>
        <v>0</v>
      </c>
      <c r="M1177" s="42">
        <f>VLOOKUP($A1177,'Neraca Unaudited SIMAK'!$A$2:$R$1272,12,FALSE)+IF(ISNA(VLOOKUP($A1177,'Mutasi Neraca'!$A$3:$S$910,12,FALSE)),0,VLOOKUP($A1177,'Mutasi Neraca'!$A$3:$S$910,12,FALSE))</f>
        <v>20973775</v>
      </c>
      <c r="N1177" s="42">
        <f>VLOOKUP($A1177,'Neraca Unaudited SIMAK'!$A$2:$R$1272,13,FALSE)+IF(ISNA(VLOOKUP($A1177,'Mutasi Neraca'!$A$3:$S$910,13,FALSE)),0,VLOOKUP($A1177,'Mutasi Neraca'!$A$3:$S$910,13,FALSE))</f>
        <v>0</v>
      </c>
      <c r="O1177" s="42">
        <f>VLOOKUP($A1177,'Neraca Unaudited SIMAK'!$A$2:$R$1272,14,FALSE)+IF(ISNA(VLOOKUP($A1177,'Mutasi Neraca'!$A$3:$S$910,14,FALSE)),0,VLOOKUP($A1177,'Mutasi Neraca'!$A$3:$S$910,14,FALSE))</f>
        <v>0</v>
      </c>
      <c r="P1177" s="42">
        <f>VLOOKUP($A1177,'Neraca Unaudited SIMAK'!$A$2:$R$1272,15,FALSE)+IF(ISNA(VLOOKUP($A1177,'Mutasi Neraca'!$A$3:$S$910,15,FALSE)),0,VLOOKUP($A1177,'Mutasi Neraca'!$A$3:$S$910,15,FALSE))</f>
        <v>0</v>
      </c>
      <c r="Q1177" s="42">
        <f>VLOOKUP($A1177,'Neraca Unaudited SIMAK'!$A$2:$R$1272,16,FALSE)+IF(ISNA(VLOOKUP($A1177,'Mutasi Neraca'!$A$3:$S$910,16,FALSE)),0,VLOOKUP($A1177,'Mutasi Neraca'!$A$3:$S$910,16,FALSE))</f>
        <v>0</v>
      </c>
      <c r="R1177" s="42">
        <f>VLOOKUP($A1177,'Neraca Unaudited SIMAK'!$A$2:$R$1272,17,FALSE)+IF(ISNA(VLOOKUP($A1177,'Mutasi Neraca'!$A$3:$S$910,17,FALSE)),0,VLOOKUP($A1177,'Mutasi Neraca'!$A$3:$S$910,17,FALSE))</f>
        <v>0</v>
      </c>
      <c r="S1177" s="42">
        <f t="shared" si="79"/>
        <v>20973775</v>
      </c>
    </row>
    <row r="1178" spans="1:19">
      <c r="A1178" s="41" t="s">
        <v>1102</v>
      </c>
      <c r="B1178" s="41" t="str">
        <f t="shared" si="78"/>
        <v>005033000</v>
      </c>
      <c r="D1178" s="42">
        <f>VLOOKUP($A1178,'Neraca Unaudited SIMAK'!$A$2:$R$1272,3,FALSE)+IF(ISNA(VLOOKUP($A1178,'Mutasi Neraca'!$A$3:$S$910,3,FALSE)),0,VLOOKUP($A1178,'Mutasi Neraca'!$A$3:$S$910,3,FALSE))</f>
        <v>2539000</v>
      </c>
      <c r="E1178" s="42">
        <f>VLOOKUP($A1178,'Neraca Unaudited SIMAK'!$A$2:$R$1272,4,FALSE)+IF(ISNA(VLOOKUP($A1178,'Mutasi Neraca'!$A$3:$S$910,4,FALSE)),0,VLOOKUP($A1178,'Mutasi Neraca'!$A$3:$S$910,4,FALSE))</f>
        <v>0</v>
      </c>
      <c r="F1178" s="42">
        <f>VLOOKUP($A1178,'Neraca Unaudited SIMAK'!$A$2:$R$1272,5,FALSE)+IF(ISNA(VLOOKUP($A1178,'Mutasi Neraca'!$A$3:$S$910,5,FALSE)),0,VLOOKUP($A1178,'Mutasi Neraca'!$A$3:$S$910,5,FALSE))</f>
        <v>0</v>
      </c>
      <c r="G1178" s="42">
        <f>VLOOKUP($A1178,'Neraca Unaudited SIMAK'!$A$2:$R$1272,6,FALSE)+IF(ISNA(VLOOKUP($A1178,'Mutasi Neraca'!$A$3:$S$910,6,FALSE)),0,VLOOKUP($A1178,'Mutasi Neraca'!$A$3:$S$910,6,FALSE))</f>
        <v>0</v>
      </c>
      <c r="H1178" s="42">
        <f>VLOOKUP($A1178,'Neraca Unaudited SIMAK'!$A$2:$R$1272,7,FALSE)+IF(ISNA(VLOOKUP($A1178,'Mutasi Neraca'!$A$3:$S$910,7,FALSE)),0,VLOOKUP($A1178,'Mutasi Neraca'!$A$3:$S$910,7,FALSE))</f>
        <v>0</v>
      </c>
      <c r="I1178" s="42">
        <f>VLOOKUP($A1178,'Neraca Unaudited SIMAK'!$A$2:$R$1272,8,FALSE)+IF(ISNA(VLOOKUP($A1178,'Mutasi Neraca'!$A$3:$S$910,8,FALSE)),0,VLOOKUP($A1178,'Mutasi Neraca'!$A$3:$S$910,8,FALSE))</f>
        <v>0</v>
      </c>
      <c r="J1178" s="42">
        <f>VLOOKUP($A1178,'Neraca Unaudited SIMAK'!$A$2:$R$1272,9,FALSE)+IF(ISNA(VLOOKUP($A1178,'Mutasi Neraca'!$A$3:$S$910,9,FALSE)),0,VLOOKUP($A1178,'Mutasi Neraca'!$A$3:$S$910,9,FALSE))</f>
        <v>0</v>
      </c>
      <c r="K1178" s="42">
        <f>VLOOKUP($A1178,'Neraca Unaudited SIMAK'!$A$2:$R$1272,10,FALSE)+IF(ISNA(VLOOKUP($A1178,'Mutasi Neraca'!$A$3:$S$910,10,FALSE)),0,VLOOKUP($A1178,'Mutasi Neraca'!$A$3:$S$910,10,FALSE))</f>
        <v>0</v>
      </c>
      <c r="L1178" s="42">
        <f>VLOOKUP($A1178,'Neraca Unaudited SIMAK'!$A$2:$R$1272,11,FALSE)+IF(ISNA(VLOOKUP($A1178,'Mutasi Neraca'!$A$3:$S$910,11,FALSE)),0,VLOOKUP($A1178,'Mutasi Neraca'!$A$3:$S$910,11,FALSE))</f>
        <v>0</v>
      </c>
      <c r="M1178" s="42">
        <f>VLOOKUP($A1178,'Neraca Unaudited SIMAK'!$A$2:$R$1272,12,FALSE)+IF(ISNA(VLOOKUP($A1178,'Mutasi Neraca'!$A$3:$S$910,12,FALSE)),0,VLOOKUP($A1178,'Mutasi Neraca'!$A$3:$S$910,12,FALSE))</f>
        <v>2539000</v>
      </c>
      <c r="N1178" s="42">
        <f>VLOOKUP($A1178,'Neraca Unaudited SIMAK'!$A$2:$R$1272,13,FALSE)+IF(ISNA(VLOOKUP($A1178,'Mutasi Neraca'!$A$3:$S$910,13,FALSE)),0,VLOOKUP($A1178,'Mutasi Neraca'!$A$3:$S$910,13,FALSE))</f>
        <v>0</v>
      </c>
      <c r="O1178" s="42">
        <f>VLOOKUP($A1178,'Neraca Unaudited SIMAK'!$A$2:$R$1272,14,FALSE)+IF(ISNA(VLOOKUP($A1178,'Mutasi Neraca'!$A$3:$S$910,14,FALSE)),0,VLOOKUP($A1178,'Mutasi Neraca'!$A$3:$S$910,14,FALSE))</f>
        <v>0</v>
      </c>
      <c r="P1178" s="42">
        <f>VLOOKUP($A1178,'Neraca Unaudited SIMAK'!$A$2:$R$1272,15,FALSE)+IF(ISNA(VLOOKUP($A1178,'Mutasi Neraca'!$A$3:$S$910,15,FALSE)),0,VLOOKUP($A1178,'Mutasi Neraca'!$A$3:$S$910,15,FALSE))</f>
        <v>0</v>
      </c>
      <c r="Q1178" s="42">
        <f>VLOOKUP($A1178,'Neraca Unaudited SIMAK'!$A$2:$R$1272,16,FALSE)+IF(ISNA(VLOOKUP($A1178,'Mutasi Neraca'!$A$3:$S$910,16,FALSE)),0,VLOOKUP($A1178,'Mutasi Neraca'!$A$3:$S$910,16,FALSE))</f>
        <v>0</v>
      </c>
      <c r="R1178" s="42">
        <f>VLOOKUP($A1178,'Neraca Unaudited SIMAK'!$A$2:$R$1272,17,FALSE)+IF(ISNA(VLOOKUP($A1178,'Mutasi Neraca'!$A$3:$S$910,17,FALSE)),0,VLOOKUP($A1178,'Mutasi Neraca'!$A$3:$S$910,17,FALSE))</f>
        <v>0</v>
      </c>
      <c r="S1178" s="42">
        <f t="shared" si="79"/>
        <v>2539000</v>
      </c>
    </row>
    <row r="1179" spans="1:19">
      <c r="A1179" s="41" t="s">
        <v>1103</v>
      </c>
      <c r="B1179" s="41" t="str">
        <f t="shared" si="78"/>
        <v>005033000</v>
      </c>
      <c r="D1179" s="42">
        <f>VLOOKUP($A1179,'Neraca Unaudited SIMAK'!$A$2:$R$1272,3,FALSE)+IF(ISNA(VLOOKUP($A1179,'Mutasi Neraca'!$A$3:$S$910,3,FALSE)),0,VLOOKUP($A1179,'Mutasi Neraca'!$A$3:$S$910,3,FALSE))</f>
        <v>1103800</v>
      </c>
      <c r="E1179" s="42">
        <f>VLOOKUP($A1179,'Neraca Unaudited SIMAK'!$A$2:$R$1272,4,FALSE)+IF(ISNA(VLOOKUP($A1179,'Mutasi Neraca'!$A$3:$S$910,4,FALSE)),0,VLOOKUP($A1179,'Mutasi Neraca'!$A$3:$S$910,4,FALSE))</f>
        <v>0</v>
      </c>
      <c r="F1179" s="42">
        <f>VLOOKUP($A1179,'Neraca Unaudited SIMAK'!$A$2:$R$1272,5,FALSE)+IF(ISNA(VLOOKUP($A1179,'Mutasi Neraca'!$A$3:$S$910,5,FALSE)),0,VLOOKUP($A1179,'Mutasi Neraca'!$A$3:$S$910,5,FALSE))</f>
        <v>0</v>
      </c>
      <c r="G1179" s="42">
        <f>VLOOKUP($A1179,'Neraca Unaudited SIMAK'!$A$2:$R$1272,6,FALSE)+IF(ISNA(VLOOKUP($A1179,'Mutasi Neraca'!$A$3:$S$910,6,FALSE)),0,VLOOKUP($A1179,'Mutasi Neraca'!$A$3:$S$910,6,FALSE))</f>
        <v>0</v>
      </c>
      <c r="H1179" s="42">
        <f>VLOOKUP($A1179,'Neraca Unaudited SIMAK'!$A$2:$R$1272,7,FALSE)+IF(ISNA(VLOOKUP($A1179,'Mutasi Neraca'!$A$3:$S$910,7,FALSE)),0,VLOOKUP($A1179,'Mutasi Neraca'!$A$3:$S$910,7,FALSE))</f>
        <v>0</v>
      </c>
      <c r="I1179" s="42">
        <f>VLOOKUP($A1179,'Neraca Unaudited SIMAK'!$A$2:$R$1272,8,FALSE)+IF(ISNA(VLOOKUP($A1179,'Mutasi Neraca'!$A$3:$S$910,8,FALSE)),0,VLOOKUP($A1179,'Mutasi Neraca'!$A$3:$S$910,8,FALSE))</f>
        <v>0</v>
      </c>
      <c r="J1179" s="42">
        <f>VLOOKUP($A1179,'Neraca Unaudited SIMAK'!$A$2:$R$1272,9,FALSE)+IF(ISNA(VLOOKUP($A1179,'Mutasi Neraca'!$A$3:$S$910,9,FALSE)),0,VLOOKUP($A1179,'Mutasi Neraca'!$A$3:$S$910,9,FALSE))</f>
        <v>0</v>
      </c>
      <c r="K1179" s="42">
        <f>VLOOKUP($A1179,'Neraca Unaudited SIMAK'!$A$2:$R$1272,10,FALSE)+IF(ISNA(VLOOKUP($A1179,'Mutasi Neraca'!$A$3:$S$910,10,FALSE)),0,VLOOKUP($A1179,'Mutasi Neraca'!$A$3:$S$910,10,FALSE))</f>
        <v>0</v>
      </c>
      <c r="L1179" s="42">
        <f>VLOOKUP($A1179,'Neraca Unaudited SIMAK'!$A$2:$R$1272,11,FALSE)+IF(ISNA(VLOOKUP($A1179,'Mutasi Neraca'!$A$3:$S$910,11,FALSE)),0,VLOOKUP($A1179,'Mutasi Neraca'!$A$3:$S$910,11,FALSE))</f>
        <v>0</v>
      </c>
      <c r="M1179" s="42">
        <f>VLOOKUP($A1179,'Neraca Unaudited SIMAK'!$A$2:$R$1272,12,FALSE)+IF(ISNA(VLOOKUP($A1179,'Mutasi Neraca'!$A$3:$S$910,12,FALSE)),0,VLOOKUP($A1179,'Mutasi Neraca'!$A$3:$S$910,12,FALSE))</f>
        <v>1103800</v>
      </c>
      <c r="N1179" s="42">
        <f>VLOOKUP($A1179,'Neraca Unaudited SIMAK'!$A$2:$R$1272,13,FALSE)+IF(ISNA(VLOOKUP($A1179,'Mutasi Neraca'!$A$3:$S$910,13,FALSE)),0,VLOOKUP($A1179,'Mutasi Neraca'!$A$3:$S$910,13,FALSE))</f>
        <v>0</v>
      </c>
      <c r="O1179" s="42">
        <f>VLOOKUP($A1179,'Neraca Unaudited SIMAK'!$A$2:$R$1272,14,FALSE)+IF(ISNA(VLOOKUP($A1179,'Mutasi Neraca'!$A$3:$S$910,14,FALSE)),0,VLOOKUP($A1179,'Mutasi Neraca'!$A$3:$S$910,14,FALSE))</f>
        <v>0</v>
      </c>
      <c r="P1179" s="42">
        <f>VLOOKUP($A1179,'Neraca Unaudited SIMAK'!$A$2:$R$1272,15,FALSE)+IF(ISNA(VLOOKUP($A1179,'Mutasi Neraca'!$A$3:$S$910,15,FALSE)),0,VLOOKUP($A1179,'Mutasi Neraca'!$A$3:$S$910,15,FALSE))</f>
        <v>0</v>
      </c>
      <c r="Q1179" s="42">
        <f>VLOOKUP($A1179,'Neraca Unaudited SIMAK'!$A$2:$R$1272,16,FALSE)+IF(ISNA(VLOOKUP($A1179,'Mutasi Neraca'!$A$3:$S$910,16,FALSE)),0,VLOOKUP($A1179,'Mutasi Neraca'!$A$3:$S$910,16,FALSE))</f>
        <v>0</v>
      </c>
      <c r="R1179" s="42">
        <f>VLOOKUP($A1179,'Neraca Unaudited SIMAK'!$A$2:$R$1272,17,FALSE)+IF(ISNA(VLOOKUP($A1179,'Mutasi Neraca'!$A$3:$S$910,17,FALSE)),0,VLOOKUP($A1179,'Mutasi Neraca'!$A$3:$S$910,17,FALSE))</f>
        <v>0</v>
      </c>
      <c r="S1179" s="42">
        <f t="shared" si="79"/>
        <v>1103800</v>
      </c>
    </row>
    <row r="1180" spans="1:19">
      <c r="A1180" s="41" t="s">
        <v>1104</v>
      </c>
      <c r="B1180" s="41" t="str">
        <f t="shared" si="78"/>
        <v>005033000</v>
      </c>
      <c r="D1180" s="42">
        <f>VLOOKUP($A1180,'Neraca Unaudited SIMAK'!$A$2:$R$1272,3,FALSE)+IF(ISNA(VLOOKUP($A1180,'Mutasi Neraca'!$A$3:$S$910,3,FALSE)),0,VLOOKUP($A1180,'Mutasi Neraca'!$A$3:$S$910,3,FALSE))</f>
        <v>12155600</v>
      </c>
      <c r="E1180" s="42">
        <f>VLOOKUP($A1180,'Neraca Unaudited SIMAK'!$A$2:$R$1272,4,FALSE)+IF(ISNA(VLOOKUP($A1180,'Mutasi Neraca'!$A$3:$S$910,4,FALSE)),0,VLOOKUP($A1180,'Mutasi Neraca'!$A$3:$S$910,4,FALSE))</f>
        <v>0</v>
      </c>
      <c r="F1180" s="42">
        <f>VLOOKUP($A1180,'Neraca Unaudited SIMAK'!$A$2:$R$1272,5,FALSE)+IF(ISNA(VLOOKUP($A1180,'Mutasi Neraca'!$A$3:$S$910,5,FALSE)),0,VLOOKUP($A1180,'Mutasi Neraca'!$A$3:$S$910,5,FALSE))</f>
        <v>0</v>
      </c>
      <c r="G1180" s="42">
        <f>VLOOKUP($A1180,'Neraca Unaudited SIMAK'!$A$2:$R$1272,6,FALSE)+IF(ISNA(VLOOKUP($A1180,'Mutasi Neraca'!$A$3:$S$910,6,FALSE)),0,VLOOKUP($A1180,'Mutasi Neraca'!$A$3:$S$910,6,FALSE))</f>
        <v>0</v>
      </c>
      <c r="H1180" s="42">
        <f>VLOOKUP($A1180,'Neraca Unaudited SIMAK'!$A$2:$R$1272,7,FALSE)+IF(ISNA(VLOOKUP($A1180,'Mutasi Neraca'!$A$3:$S$910,7,FALSE)),0,VLOOKUP($A1180,'Mutasi Neraca'!$A$3:$S$910,7,FALSE))</f>
        <v>0</v>
      </c>
      <c r="I1180" s="42">
        <f>VLOOKUP($A1180,'Neraca Unaudited SIMAK'!$A$2:$R$1272,8,FALSE)+IF(ISNA(VLOOKUP($A1180,'Mutasi Neraca'!$A$3:$S$910,8,FALSE)),0,VLOOKUP($A1180,'Mutasi Neraca'!$A$3:$S$910,8,FALSE))</f>
        <v>0</v>
      </c>
      <c r="J1180" s="42">
        <f>VLOOKUP($A1180,'Neraca Unaudited SIMAK'!$A$2:$R$1272,9,FALSE)+IF(ISNA(VLOOKUP($A1180,'Mutasi Neraca'!$A$3:$S$910,9,FALSE)),0,VLOOKUP($A1180,'Mutasi Neraca'!$A$3:$S$910,9,FALSE))</f>
        <v>0</v>
      </c>
      <c r="K1180" s="42">
        <f>VLOOKUP($A1180,'Neraca Unaudited SIMAK'!$A$2:$R$1272,10,FALSE)+IF(ISNA(VLOOKUP($A1180,'Mutasi Neraca'!$A$3:$S$910,10,FALSE)),0,VLOOKUP($A1180,'Mutasi Neraca'!$A$3:$S$910,10,FALSE))</f>
        <v>0</v>
      </c>
      <c r="L1180" s="42">
        <f>VLOOKUP($A1180,'Neraca Unaudited SIMAK'!$A$2:$R$1272,11,FALSE)+IF(ISNA(VLOOKUP($A1180,'Mutasi Neraca'!$A$3:$S$910,11,FALSE)),0,VLOOKUP($A1180,'Mutasi Neraca'!$A$3:$S$910,11,FALSE))</f>
        <v>0</v>
      </c>
      <c r="M1180" s="42">
        <f>VLOOKUP($A1180,'Neraca Unaudited SIMAK'!$A$2:$R$1272,12,FALSE)+IF(ISNA(VLOOKUP($A1180,'Mutasi Neraca'!$A$3:$S$910,12,FALSE)),0,VLOOKUP($A1180,'Mutasi Neraca'!$A$3:$S$910,12,FALSE))</f>
        <v>12155600</v>
      </c>
      <c r="N1180" s="42">
        <f>VLOOKUP($A1180,'Neraca Unaudited SIMAK'!$A$2:$R$1272,13,FALSE)+IF(ISNA(VLOOKUP($A1180,'Mutasi Neraca'!$A$3:$S$910,13,FALSE)),0,VLOOKUP($A1180,'Mutasi Neraca'!$A$3:$S$910,13,FALSE))</f>
        <v>0</v>
      </c>
      <c r="O1180" s="42">
        <f>VLOOKUP($A1180,'Neraca Unaudited SIMAK'!$A$2:$R$1272,14,FALSE)+IF(ISNA(VLOOKUP($A1180,'Mutasi Neraca'!$A$3:$S$910,14,FALSE)),0,VLOOKUP($A1180,'Mutasi Neraca'!$A$3:$S$910,14,FALSE))</f>
        <v>0</v>
      </c>
      <c r="P1180" s="42">
        <f>VLOOKUP($A1180,'Neraca Unaudited SIMAK'!$A$2:$R$1272,15,FALSE)+IF(ISNA(VLOOKUP($A1180,'Mutasi Neraca'!$A$3:$S$910,15,FALSE)),0,VLOOKUP($A1180,'Mutasi Neraca'!$A$3:$S$910,15,FALSE))</f>
        <v>0</v>
      </c>
      <c r="Q1180" s="42">
        <f>VLOOKUP($A1180,'Neraca Unaudited SIMAK'!$A$2:$R$1272,16,FALSE)+IF(ISNA(VLOOKUP($A1180,'Mutasi Neraca'!$A$3:$S$910,16,FALSE)),0,VLOOKUP($A1180,'Mutasi Neraca'!$A$3:$S$910,16,FALSE))</f>
        <v>0</v>
      </c>
      <c r="R1180" s="42">
        <f>VLOOKUP($A1180,'Neraca Unaudited SIMAK'!$A$2:$R$1272,17,FALSE)+IF(ISNA(VLOOKUP($A1180,'Mutasi Neraca'!$A$3:$S$910,17,FALSE)),0,VLOOKUP($A1180,'Mutasi Neraca'!$A$3:$S$910,17,FALSE))</f>
        <v>0</v>
      </c>
      <c r="S1180" s="42">
        <f t="shared" si="79"/>
        <v>12155600</v>
      </c>
    </row>
    <row r="1181" spans="1:19">
      <c r="A1181" s="41" t="s">
        <v>1105</v>
      </c>
      <c r="B1181" s="41" t="str">
        <f t="shared" si="78"/>
        <v>005033100</v>
      </c>
      <c r="D1181" s="42">
        <f>VLOOKUP($A1181,'Neraca Unaudited SIMAK'!$A$2:$R$1272,3,FALSE)+IF(ISNA(VLOOKUP($A1181,'Mutasi Neraca'!$A$3:$S$910,3,FALSE)),0,VLOOKUP($A1181,'Mutasi Neraca'!$A$3:$S$910,3,FALSE))</f>
        <v>16844563</v>
      </c>
      <c r="E1181" s="42">
        <f>VLOOKUP($A1181,'Neraca Unaudited SIMAK'!$A$2:$R$1272,4,FALSE)+IF(ISNA(VLOOKUP($A1181,'Mutasi Neraca'!$A$3:$S$910,4,FALSE)),0,VLOOKUP($A1181,'Mutasi Neraca'!$A$3:$S$910,4,FALSE))</f>
        <v>0</v>
      </c>
      <c r="F1181" s="42">
        <f>VLOOKUP($A1181,'Neraca Unaudited SIMAK'!$A$2:$R$1272,5,FALSE)+IF(ISNA(VLOOKUP($A1181,'Mutasi Neraca'!$A$3:$S$910,5,FALSE)),0,VLOOKUP($A1181,'Mutasi Neraca'!$A$3:$S$910,5,FALSE))</f>
        <v>0</v>
      </c>
      <c r="G1181" s="42">
        <f>VLOOKUP($A1181,'Neraca Unaudited SIMAK'!$A$2:$R$1272,6,FALSE)+IF(ISNA(VLOOKUP($A1181,'Mutasi Neraca'!$A$3:$S$910,6,FALSE)),0,VLOOKUP($A1181,'Mutasi Neraca'!$A$3:$S$910,6,FALSE))</f>
        <v>0</v>
      </c>
      <c r="H1181" s="42">
        <f>VLOOKUP($A1181,'Neraca Unaudited SIMAK'!$A$2:$R$1272,7,FALSE)+IF(ISNA(VLOOKUP($A1181,'Mutasi Neraca'!$A$3:$S$910,7,FALSE)),0,VLOOKUP($A1181,'Mutasi Neraca'!$A$3:$S$910,7,FALSE))</f>
        <v>0</v>
      </c>
      <c r="I1181" s="42">
        <f>VLOOKUP($A1181,'Neraca Unaudited SIMAK'!$A$2:$R$1272,8,FALSE)+IF(ISNA(VLOOKUP($A1181,'Mutasi Neraca'!$A$3:$S$910,8,FALSE)),0,VLOOKUP($A1181,'Mutasi Neraca'!$A$3:$S$910,8,FALSE))</f>
        <v>0</v>
      </c>
      <c r="J1181" s="42">
        <f>VLOOKUP($A1181,'Neraca Unaudited SIMAK'!$A$2:$R$1272,9,FALSE)+IF(ISNA(VLOOKUP($A1181,'Mutasi Neraca'!$A$3:$S$910,9,FALSE)),0,VLOOKUP($A1181,'Mutasi Neraca'!$A$3:$S$910,9,FALSE))</f>
        <v>0</v>
      </c>
      <c r="K1181" s="42">
        <f>VLOOKUP($A1181,'Neraca Unaudited SIMAK'!$A$2:$R$1272,10,FALSE)+IF(ISNA(VLOOKUP($A1181,'Mutasi Neraca'!$A$3:$S$910,10,FALSE)),0,VLOOKUP($A1181,'Mutasi Neraca'!$A$3:$S$910,10,FALSE))</f>
        <v>0</v>
      </c>
      <c r="L1181" s="42">
        <f>VLOOKUP($A1181,'Neraca Unaudited SIMAK'!$A$2:$R$1272,11,FALSE)+IF(ISNA(VLOOKUP($A1181,'Mutasi Neraca'!$A$3:$S$910,11,FALSE)),0,VLOOKUP($A1181,'Mutasi Neraca'!$A$3:$S$910,11,FALSE))</f>
        <v>0</v>
      </c>
      <c r="M1181" s="42">
        <f>VLOOKUP($A1181,'Neraca Unaudited SIMAK'!$A$2:$R$1272,12,FALSE)+IF(ISNA(VLOOKUP($A1181,'Mutasi Neraca'!$A$3:$S$910,12,FALSE)),0,VLOOKUP($A1181,'Mutasi Neraca'!$A$3:$S$910,12,FALSE))</f>
        <v>16844563</v>
      </c>
      <c r="N1181" s="42">
        <f>VLOOKUP($A1181,'Neraca Unaudited SIMAK'!$A$2:$R$1272,13,FALSE)+IF(ISNA(VLOOKUP($A1181,'Mutasi Neraca'!$A$3:$S$910,13,FALSE)),0,VLOOKUP($A1181,'Mutasi Neraca'!$A$3:$S$910,13,FALSE))</f>
        <v>0</v>
      </c>
      <c r="O1181" s="42">
        <f>VLOOKUP($A1181,'Neraca Unaudited SIMAK'!$A$2:$R$1272,14,FALSE)+IF(ISNA(VLOOKUP($A1181,'Mutasi Neraca'!$A$3:$S$910,14,FALSE)),0,VLOOKUP($A1181,'Mutasi Neraca'!$A$3:$S$910,14,FALSE))</f>
        <v>0</v>
      </c>
      <c r="P1181" s="42">
        <f>VLOOKUP($A1181,'Neraca Unaudited SIMAK'!$A$2:$R$1272,15,FALSE)+IF(ISNA(VLOOKUP($A1181,'Mutasi Neraca'!$A$3:$S$910,15,FALSE)),0,VLOOKUP($A1181,'Mutasi Neraca'!$A$3:$S$910,15,FALSE))</f>
        <v>0</v>
      </c>
      <c r="Q1181" s="42">
        <f>VLOOKUP($A1181,'Neraca Unaudited SIMAK'!$A$2:$R$1272,16,FALSE)+IF(ISNA(VLOOKUP($A1181,'Mutasi Neraca'!$A$3:$S$910,16,FALSE)),0,VLOOKUP($A1181,'Mutasi Neraca'!$A$3:$S$910,16,FALSE))</f>
        <v>0</v>
      </c>
      <c r="R1181" s="42">
        <f>VLOOKUP($A1181,'Neraca Unaudited SIMAK'!$A$2:$R$1272,17,FALSE)+IF(ISNA(VLOOKUP($A1181,'Mutasi Neraca'!$A$3:$S$910,17,FALSE)),0,VLOOKUP($A1181,'Mutasi Neraca'!$A$3:$S$910,17,FALSE))</f>
        <v>0</v>
      </c>
      <c r="S1181" s="42">
        <f t="shared" si="79"/>
        <v>16844563</v>
      </c>
    </row>
    <row r="1182" spans="1:19">
      <c r="A1182" s="41" t="s">
        <v>1106</v>
      </c>
      <c r="B1182" s="41" t="str">
        <f t="shared" si="78"/>
        <v>005033100</v>
      </c>
      <c r="D1182" s="42">
        <f>VLOOKUP($A1182,'Neraca Unaudited SIMAK'!$A$2:$R$1272,3,FALSE)+IF(ISNA(VLOOKUP($A1182,'Mutasi Neraca'!$A$3:$S$910,3,FALSE)),0,VLOOKUP($A1182,'Mutasi Neraca'!$A$3:$S$910,3,FALSE))</f>
        <v>6126000</v>
      </c>
      <c r="E1182" s="42">
        <f>VLOOKUP($A1182,'Neraca Unaudited SIMAK'!$A$2:$R$1272,4,FALSE)+IF(ISNA(VLOOKUP($A1182,'Mutasi Neraca'!$A$3:$S$910,4,FALSE)),0,VLOOKUP($A1182,'Mutasi Neraca'!$A$3:$S$910,4,FALSE))</f>
        <v>0</v>
      </c>
      <c r="F1182" s="42">
        <f>VLOOKUP($A1182,'Neraca Unaudited SIMAK'!$A$2:$R$1272,5,FALSE)+IF(ISNA(VLOOKUP($A1182,'Mutasi Neraca'!$A$3:$S$910,5,FALSE)),0,VLOOKUP($A1182,'Mutasi Neraca'!$A$3:$S$910,5,FALSE))</f>
        <v>0</v>
      </c>
      <c r="G1182" s="42">
        <f>VLOOKUP($A1182,'Neraca Unaudited SIMAK'!$A$2:$R$1272,6,FALSE)+IF(ISNA(VLOOKUP($A1182,'Mutasi Neraca'!$A$3:$S$910,6,FALSE)),0,VLOOKUP($A1182,'Mutasi Neraca'!$A$3:$S$910,6,FALSE))</f>
        <v>0</v>
      </c>
      <c r="H1182" s="42">
        <f>VLOOKUP($A1182,'Neraca Unaudited SIMAK'!$A$2:$R$1272,7,FALSE)+IF(ISNA(VLOOKUP($A1182,'Mutasi Neraca'!$A$3:$S$910,7,FALSE)),0,VLOOKUP($A1182,'Mutasi Neraca'!$A$3:$S$910,7,FALSE))</f>
        <v>0</v>
      </c>
      <c r="I1182" s="42">
        <f>VLOOKUP($A1182,'Neraca Unaudited SIMAK'!$A$2:$R$1272,8,FALSE)+IF(ISNA(VLOOKUP($A1182,'Mutasi Neraca'!$A$3:$S$910,8,FALSE)),0,VLOOKUP($A1182,'Mutasi Neraca'!$A$3:$S$910,8,FALSE))</f>
        <v>0</v>
      </c>
      <c r="J1182" s="42">
        <f>VLOOKUP($A1182,'Neraca Unaudited SIMAK'!$A$2:$R$1272,9,FALSE)+IF(ISNA(VLOOKUP($A1182,'Mutasi Neraca'!$A$3:$S$910,9,FALSE)),0,VLOOKUP($A1182,'Mutasi Neraca'!$A$3:$S$910,9,FALSE))</f>
        <v>0</v>
      </c>
      <c r="K1182" s="42">
        <f>VLOOKUP($A1182,'Neraca Unaudited SIMAK'!$A$2:$R$1272,10,FALSE)+IF(ISNA(VLOOKUP($A1182,'Mutasi Neraca'!$A$3:$S$910,10,FALSE)),0,VLOOKUP($A1182,'Mutasi Neraca'!$A$3:$S$910,10,FALSE))</f>
        <v>0</v>
      </c>
      <c r="L1182" s="42">
        <f>VLOOKUP($A1182,'Neraca Unaudited SIMAK'!$A$2:$R$1272,11,FALSE)+IF(ISNA(VLOOKUP($A1182,'Mutasi Neraca'!$A$3:$S$910,11,FALSE)),0,VLOOKUP($A1182,'Mutasi Neraca'!$A$3:$S$910,11,FALSE))</f>
        <v>0</v>
      </c>
      <c r="M1182" s="42">
        <f>VLOOKUP($A1182,'Neraca Unaudited SIMAK'!$A$2:$R$1272,12,FALSE)+IF(ISNA(VLOOKUP($A1182,'Mutasi Neraca'!$A$3:$S$910,12,FALSE)),0,VLOOKUP($A1182,'Mutasi Neraca'!$A$3:$S$910,12,FALSE))</f>
        <v>6126000</v>
      </c>
      <c r="N1182" s="42">
        <f>VLOOKUP($A1182,'Neraca Unaudited SIMAK'!$A$2:$R$1272,13,FALSE)+IF(ISNA(VLOOKUP($A1182,'Mutasi Neraca'!$A$3:$S$910,13,FALSE)),0,VLOOKUP($A1182,'Mutasi Neraca'!$A$3:$S$910,13,FALSE))</f>
        <v>0</v>
      </c>
      <c r="O1182" s="42">
        <f>VLOOKUP($A1182,'Neraca Unaudited SIMAK'!$A$2:$R$1272,14,FALSE)+IF(ISNA(VLOOKUP($A1182,'Mutasi Neraca'!$A$3:$S$910,14,FALSE)),0,VLOOKUP($A1182,'Mutasi Neraca'!$A$3:$S$910,14,FALSE))</f>
        <v>0</v>
      </c>
      <c r="P1182" s="42">
        <f>VLOOKUP($A1182,'Neraca Unaudited SIMAK'!$A$2:$R$1272,15,FALSE)+IF(ISNA(VLOOKUP($A1182,'Mutasi Neraca'!$A$3:$S$910,15,FALSE)),0,VLOOKUP($A1182,'Mutasi Neraca'!$A$3:$S$910,15,FALSE))</f>
        <v>0</v>
      </c>
      <c r="Q1182" s="42">
        <f>VLOOKUP($A1182,'Neraca Unaudited SIMAK'!$A$2:$R$1272,16,FALSE)+IF(ISNA(VLOOKUP($A1182,'Mutasi Neraca'!$A$3:$S$910,16,FALSE)),0,VLOOKUP($A1182,'Mutasi Neraca'!$A$3:$S$910,16,FALSE))</f>
        <v>0</v>
      </c>
      <c r="R1182" s="42">
        <f>VLOOKUP($A1182,'Neraca Unaudited SIMAK'!$A$2:$R$1272,17,FALSE)+IF(ISNA(VLOOKUP($A1182,'Mutasi Neraca'!$A$3:$S$910,17,FALSE)),0,VLOOKUP($A1182,'Mutasi Neraca'!$A$3:$S$910,17,FALSE))</f>
        <v>0</v>
      </c>
      <c r="S1182" s="42">
        <f t="shared" si="79"/>
        <v>6126000</v>
      </c>
    </row>
    <row r="1183" spans="1:19">
      <c r="A1183" s="41" t="s">
        <v>1107</v>
      </c>
      <c r="B1183" s="41" t="str">
        <f t="shared" si="78"/>
        <v>005033100</v>
      </c>
      <c r="D1183" s="42">
        <f>VLOOKUP($A1183,'Neraca Unaudited SIMAK'!$A$2:$R$1272,3,FALSE)+IF(ISNA(VLOOKUP($A1183,'Mutasi Neraca'!$A$3:$S$910,3,FALSE)),0,VLOOKUP($A1183,'Mutasi Neraca'!$A$3:$S$910,3,FALSE))</f>
        <v>325600</v>
      </c>
      <c r="E1183" s="42">
        <f>VLOOKUP($A1183,'Neraca Unaudited SIMAK'!$A$2:$R$1272,4,FALSE)+IF(ISNA(VLOOKUP($A1183,'Mutasi Neraca'!$A$3:$S$910,4,FALSE)),0,VLOOKUP($A1183,'Mutasi Neraca'!$A$3:$S$910,4,FALSE))</f>
        <v>0</v>
      </c>
      <c r="F1183" s="42">
        <f>VLOOKUP($A1183,'Neraca Unaudited SIMAK'!$A$2:$R$1272,5,FALSE)+IF(ISNA(VLOOKUP($A1183,'Mutasi Neraca'!$A$3:$S$910,5,FALSE)),0,VLOOKUP($A1183,'Mutasi Neraca'!$A$3:$S$910,5,FALSE))</f>
        <v>0</v>
      </c>
      <c r="G1183" s="42">
        <f>VLOOKUP($A1183,'Neraca Unaudited SIMAK'!$A$2:$R$1272,6,FALSE)+IF(ISNA(VLOOKUP($A1183,'Mutasi Neraca'!$A$3:$S$910,6,FALSE)),0,VLOOKUP($A1183,'Mutasi Neraca'!$A$3:$S$910,6,FALSE))</f>
        <v>0</v>
      </c>
      <c r="H1183" s="42">
        <f>VLOOKUP($A1183,'Neraca Unaudited SIMAK'!$A$2:$R$1272,7,FALSE)+IF(ISNA(VLOOKUP($A1183,'Mutasi Neraca'!$A$3:$S$910,7,FALSE)),0,VLOOKUP($A1183,'Mutasi Neraca'!$A$3:$S$910,7,FALSE))</f>
        <v>0</v>
      </c>
      <c r="I1183" s="42">
        <f>VLOOKUP($A1183,'Neraca Unaudited SIMAK'!$A$2:$R$1272,8,FALSE)+IF(ISNA(VLOOKUP($A1183,'Mutasi Neraca'!$A$3:$S$910,8,FALSE)),0,VLOOKUP($A1183,'Mutasi Neraca'!$A$3:$S$910,8,FALSE))</f>
        <v>0</v>
      </c>
      <c r="J1183" s="42">
        <f>VLOOKUP($A1183,'Neraca Unaudited SIMAK'!$A$2:$R$1272,9,FALSE)+IF(ISNA(VLOOKUP($A1183,'Mutasi Neraca'!$A$3:$S$910,9,FALSE)),0,VLOOKUP($A1183,'Mutasi Neraca'!$A$3:$S$910,9,FALSE))</f>
        <v>0</v>
      </c>
      <c r="K1183" s="42">
        <f>VLOOKUP($A1183,'Neraca Unaudited SIMAK'!$A$2:$R$1272,10,FALSE)+IF(ISNA(VLOOKUP($A1183,'Mutasi Neraca'!$A$3:$S$910,10,FALSE)),0,VLOOKUP($A1183,'Mutasi Neraca'!$A$3:$S$910,10,FALSE))</f>
        <v>0</v>
      </c>
      <c r="L1183" s="42">
        <f>VLOOKUP($A1183,'Neraca Unaudited SIMAK'!$A$2:$R$1272,11,FALSE)+IF(ISNA(VLOOKUP($A1183,'Mutasi Neraca'!$A$3:$S$910,11,FALSE)),0,VLOOKUP($A1183,'Mutasi Neraca'!$A$3:$S$910,11,FALSE))</f>
        <v>0</v>
      </c>
      <c r="M1183" s="42">
        <f>VLOOKUP($A1183,'Neraca Unaudited SIMAK'!$A$2:$R$1272,12,FALSE)+IF(ISNA(VLOOKUP($A1183,'Mutasi Neraca'!$A$3:$S$910,12,FALSE)),0,VLOOKUP($A1183,'Mutasi Neraca'!$A$3:$S$910,12,FALSE))</f>
        <v>325600</v>
      </c>
      <c r="N1183" s="42">
        <f>VLOOKUP($A1183,'Neraca Unaudited SIMAK'!$A$2:$R$1272,13,FALSE)+IF(ISNA(VLOOKUP($A1183,'Mutasi Neraca'!$A$3:$S$910,13,FALSE)),0,VLOOKUP($A1183,'Mutasi Neraca'!$A$3:$S$910,13,FALSE))</f>
        <v>0</v>
      </c>
      <c r="O1183" s="42">
        <f>VLOOKUP($A1183,'Neraca Unaudited SIMAK'!$A$2:$R$1272,14,FALSE)+IF(ISNA(VLOOKUP($A1183,'Mutasi Neraca'!$A$3:$S$910,14,FALSE)),0,VLOOKUP($A1183,'Mutasi Neraca'!$A$3:$S$910,14,FALSE))</f>
        <v>0</v>
      </c>
      <c r="P1183" s="42">
        <f>VLOOKUP($A1183,'Neraca Unaudited SIMAK'!$A$2:$R$1272,15,FALSE)+IF(ISNA(VLOOKUP($A1183,'Mutasi Neraca'!$A$3:$S$910,15,FALSE)),0,VLOOKUP($A1183,'Mutasi Neraca'!$A$3:$S$910,15,FALSE))</f>
        <v>0</v>
      </c>
      <c r="Q1183" s="42">
        <f>VLOOKUP($A1183,'Neraca Unaudited SIMAK'!$A$2:$R$1272,16,FALSE)+IF(ISNA(VLOOKUP($A1183,'Mutasi Neraca'!$A$3:$S$910,16,FALSE)),0,VLOOKUP($A1183,'Mutasi Neraca'!$A$3:$S$910,16,FALSE))</f>
        <v>0</v>
      </c>
      <c r="R1183" s="42">
        <f>VLOOKUP($A1183,'Neraca Unaudited SIMAK'!$A$2:$R$1272,17,FALSE)+IF(ISNA(VLOOKUP($A1183,'Mutasi Neraca'!$A$3:$S$910,17,FALSE)),0,VLOOKUP($A1183,'Mutasi Neraca'!$A$3:$S$910,17,FALSE))</f>
        <v>0</v>
      </c>
      <c r="S1183" s="42">
        <f t="shared" si="79"/>
        <v>325600</v>
      </c>
    </row>
    <row r="1184" spans="1:19">
      <c r="A1184" s="41" t="s">
        <v>1108</v>
      </c>
      <c r="B1184" s="41" t="str">
        <f t="shared" si="78"/>
        <v>005033100</v>
      </c>
      <c r="D1184" s="42">
        <f>VLOOKUP($A1184,'Neraca Unaudited SIMAK'!$A$2:$R$1272,3,FALSE)+IF(ISNA(VLOOKUP($A1184,'Mutasi Neraca'!$A$3:$S$910,3,FALSE)),0,VLOOKUP($A1184,'Mutasi Neraca'!$A$3:$S$910,3,FALSE))</f>
        <v>2921000</v>
      </c>
      <c r="E1184" s="42">
        <f>VLOOKUP($A1184,'Neraca Unaudited SIMAK'!$A$2:$R$1272,4,FALSE)+IF(ISNA(VLOOKUP($A1184,'Mutasi Neraca'!$A$3:$S$910,4,FALSE)),0,VLOOKUP($A1184,'Mutasi Neraca'!$A$3:$S$910,4,FALSE))</f>
        <v>0</v>
      </c>
      <c r="F1184" s="42">
        <f>VLOOKUP($A1184,'Neraca Unaudited SIMAK'!$A$2:$R$1272,5,FALSE)+IF(ISNA(VLOOKUP($A1184,'Mutasi Neraca'!$A$3:$S$910,5,FALSE)),0,VLOOKUP($A1184,'Mutasi Neraca'!$A$3:$S$910,5,FALSE))</f>
        <v>0</v>
      </c>
      <c r="G1184" s="42">
        <f>VLOOKUP($A1184,'Neraca Unaudited SIMAK'!$A$2:$R$1272,6,FALSE)+IF(ISNA(VLOOKUP($A1184,'Mutasi Neraca'!$A$3:$S$910,6,FALSE)),0,VLOOKUP($A1184,'Mutasi Neraca'!$A$3:$S$910,6,FALSE))</f>
        <v>0</v>
      </c>
      <c r="H1184" s="42">
        <f>VLOOKUP($A1184,'Neraca Unaudited SIMAK'!$A$2:$R$1272,7,FALSE)+IF(ISNA(VLOOKUP($A1184,'Mutasi Neraca'!$A$3:$S$910,7,FALSE)),0,VLOOKUP($A1184,'Mutasi Neraca'!$A$3:$S$910,7,FALSE))</f>
        <v>0</v>
      </c>
      <c r="I1184" s="42">
        <f>VLOOKUP($A1184,'Neraca Unaudited SIMAK'!$A$2:$R$1272,8,FALSE)+IF(ISNA(VLOOKUP($A1184,'Mutasi Neraca'!$A$3:$S$910,8,FALSE)),0,VLOOKUP($A1184,'Mutasi Neraca'!$A$3:$S$910,8,FALSE))</f>
        <v>0</v>
      </c>
      <c r="J1184" s="42">
        <f>VLOOKUP($A1184,'Neraca Unaudited SIMAK'!$A$2:$R$1272,9,FALSE)+IF(ISNA(VLOOKUP($A1184,'Mutasi Neraca'!$A$3:$S$910,9,FALSE)),0,VLOOKUP($A1184,'Mutasi Neraca'!$A$3:$S$910,9,FALSE))</f>
        <v>0</v>
      </c>
      <c r="K1184" s="42">
        <f>VLOOKUP($A1184,'Neraca Unaudited SIMAK'!$A$2:$R$1272,10,FALSE)+IF(ISNA(VLOOKUP($A1184,'Mutasi Neraca'!$A$3:$S$910,10,FALSE)),0,VLOOKUP($A1184,'Mutasi Neraca'!$A$3:$S$910,10,FALSE))</f>
        <v>0</v>
      </c>
      <c r="L1184" s="42">
        <f>VLOOKUP($A1184,'Neraca Unaudited SIMAK'!$A$2:$R$1272,11,FALSE)+IF(ISNA(VLOOKUP($A1184,'Mutasi Neraca'!$A$3:$S$910,11,FALSE)),0,VLOOKUP($A1184,'Mutasi Neraca'!$A$3:$S$910,11,FALSE))</f>
        <v>0</v>
      </c>
      <c r="M1184" s="42">
        <f>VLOOKUP($A1184,'Neraca Unaudited SIMAK'!$A$2:$R$1272,12,FALSE)+IF(ISNA(VLOOKUP($A1184,'Mutasi Neraca'!$A$3:$S$910,12,FALSE)),0,VLOOKUP($A1184,'Mutasi Neraca'!$A$3:$S$910,12,FALSE))</f>
        <v>2921000</v>
      </c>
      <c r="N1184" s="42">
        <f>VLOOKUP($A1184,'Neraca Unaudited SIMAK'!$A$2:$R$1272,13,FALSE)+IF(ISNA(VLOOKUP($A1184,'Mutasi Neraca'!$A$3:$S$910,13,FALSE)),0,VLOOKUP($A1184,'Mutasi Neraca'!$A$3:$S$910,13,FALSE))</f>
        <v>0</v>
      </c>
      <c r="O1184" s="42">
        <f>VLOOKUP($A1184,'Neraca Unaudited SIMAK'!$A$2:$R$1272,14,FALSE)+IF(ISNA(VLOOKUP($A1184,'Mutasi Neraca'!$A$3:$S$910,14,FALSE)),0,VLOOKUP($A1184,'Mutasi Neraca'!$A$3:$S$910,14,FALSE))</f>
        <v>0</v>
      </c>
      <c r="P1184" s="42">
        <f>VLOOKUP($A1184,'Neraca Unaudited SIMAK'!$A$2:$R$1272,15,FALSE)+IF(ISNA(VLOOKUP($A1184,'Mutasi Neraca'!$A$3:$S$910,15,FALSE)),0,VLOOKUP($A1184,'Mutasi Neraca'!$A$3:$S$910,15,FALSE))</f>
        <v>0</v>
      </c>
      <c r="Q1184" s="42">
        <f>VLOOKUP($A1184,'Neraca Unaudited SIMAK'!$A$2:$R$1272,16,FALSE)+IF(ISNA(VLOOKUP($A1184,'Mutasi Neraca'!$A$3:$S$910,16,FALSE)),0,VLOOKUP($A1184,'Mutasi Neraca'!$A$3:$S$910,16,FALSE))</f>
        <v>0</v>
      </c>
      <c r="R1184" s="42">
        <f>VLOOKUP($A1184,'Neraca Unaudited SIMAK'!$A$2:$R$1272,17,FALSE)+IF(ISNA(VLOOKUP($A1184,'Mutasi Neraca'!$A$3:$S$910,17,FALSE)),0,VLOOKUP($A1184,'Mutasi Neraca'!$A$3:$S$910,17,FALSE))</f>
        <v>0</v>
      </c>
      <c r="S1184" s="42">
        <f t="shared" si="79"/>
        <v>2921000</v>
      </c>
    </row>
    <row r="1185" spans="1:19">
      <c r="A1185" s="41" t="s">
        <v>1109</v>
      </c>
      <c r="B1185" s="41" t="str">
        <f t="shared" si="78"/>
        <v>005033100</v>
      </c>
      <c r="D1185" s="42">
        <f>VLOOKUP($A1185,'Neraca Unaudited SIMAK'!$A$2:$R$1272,3,FALSE)+IF(ISNA(VLOOKUP($A1185,'Mutasi Neraca'!$A$3:$S$910,3,FALSE)),0,VLOOKUP($A1185,'Mutasi Neraca'!$A$3:$S$910,3,FALSE))</f>
        <v>4422342</v>
      </c>
      <c r="E1185" s="42">
        <f>VLOOKUP($A1185,'Neraca Unaudited SIMAK'!$A$2:$R$1272,4,FALSE)+IF(ISNA(VLOOKUP($A1185,'Mutasi Neraca'!$A$3:$S$910,4,FALSE)),0,VLOOKUP($A1185,'Mutasi Neraca'!$A$3:$S$910,4,FALSE))</f>
        <v>0</v>
      </c>
      <c r="F1185" s="42">
        <f>VLOOKUP($A1185,'Neraca Unaudited SIMAK'!$A$2:$R$1272,5,FALSE)+IF(ISNA(VLOOKUP($A1185,'Mutasi Neraca'!$A$3:$S$910,5,FALSE)),0,VLOOKUP($A1185,'Mutasi Neraca'!$A$3:$S$910,5,FALSE))</f>
        <v>0</v>
      </c>
      <c r="G1185" s="42">
        <f>VLOOKUP($A1185,'Neraca Unaudited SIMAK'!$A$2:$R$1272,6,FALSE)+IF(ISNA(VLOOKUP($A1185,'Mutasi Neraca'!$A$3:$S$910,6,FALSE)),0,VLOOKUP($A1185,'Mutasi Neraca'!$A$3:$S$910,6,FALSE))</f>
        <v>0</v>
      </c>
      <c r="H1185" s="42">
        <f>VLOOKUP($A1185,'Neraca Unaudited SIMAK'!$A$2:$R$1272,7,FALSE)+IF(ISNA(VLOOKUP($A1185,'Mutasi Neraca'!$A$3:$S$910,7,FALSE)),0,VLOOKUP($A1185,'Mutasi Neraca'!$A$3:$S$910,7,FALSE))</f>
        <v>0</v>
      </c>
      <c r="I1185" s="42">
        <f>VLOOKUP($A1185,'Neraca Unaudited SIMAK'!$A$2:$R$1272,8,FALSE)+IF(ISNA(VLOOKUP($A1185,'Mutasi Neraca'!$A$3:$S$910,8,FALSE)),0,VLOOKUP($A1185,'Mutasi Neraca'!$A$3:$S$910,8,FALSE))</f>
        <v>0</v>
      </c>
      <c r="J1185" s="42">
        <f>VLOOKUP($A1185,'Neraca Unaudited SIMAK'!$A$2:$R$1272,9,FALSE)+IF(ISNA(VLOOKUP($A1185,'Mutasi Neraca'!$A$3:$S$910,9,FALSE)),0,VLOOKUP($A1185,'Mutasi Neraca'!$A$3:$S$910,9,FALSE))</f>
        <v>0</v>
      </c>
      <c r="K1185" s="42">
        <f>VLOOKUP($A1185,'Neraca Unaudited SIMAK'!$A$2:$R$1272,10,FALSE)+IF(ISNA(VLOOKUP($A1185,'Mutasi Neraca'!$A$3:$S$910,10,FALSE)),0,VLOOKUP($A1185,'Mutasi Neraca'!$A$3:$S$910,10,FALSE))</f>
        <v>0</v>
      </c>
      <c r="L1185" s="42">
        <f>VLOOKUP($A1185,'Neraca Unaudited SIMAK'!$A$2:$R$1272,11,FALSE)+IF(ISNA(VLOOKUP($A1185,'Mutasi Neraca'!$A$3:$S$910,11,FALSE)),0,VLOOKUP($A1185,'Mutasi Neraca'!$A$3:$S$910,11,FALSE))</f>
        <v>0</v>
      </c>
      <c r="M1185" s="42">
        <f>VLOOKUP($A1185,'Neraca Unaudited SIMAK'!$A$2:$R$1272,12,FALSE)+IF(ISNA(VLOOKUP($A1185,'Mutasi Neraca'!$A$3:$S$910,12,FALSE)),0,VLOOKUP($A1185,'Mutasi Neraca'!$A$3:$S$910,12,FALSE))</f>
        <v>4422342</v>
      </c>
      <c r="N1185" s="42">
        <f>VLOOKUP($A1185,'Neraca Unaudited SIMAK'!$A$2:$R$1272,13,FALSE)+IF(ISNA(VLOOKUP($A1185,'Mutasi Neraca'!$A$3:$S$910,13,FALSE)),0,VLOOKUP($A1185,'Mutasi Neraca'!$A$3:$S$910,13,FALSE))</f>
        <v>0</v>
      </c>
      <c r="O1185" s="42">
        <f>VLOOKUP($A1185,'Neraca Unaudited SIMAK'!$A$2:$R$1272,14,FALSE)+IF(ISNA(VLOOKUP($A1185,'Mutasi Neraca'!$A$3:$S$910,14,FALSE)),0,VLOOKUP($A1185,'Mutasi Neraca'!$A$3:$S$910,14,FALSE))</f>
        <v>0</v>
      </c>
      <c r="P1185" s="42">
        <f>VLOOKUP($A1185,'Neraca Unaudited SIMAK'!$A$2:$R$1272,15,FALSE)+IF(ISNA(VLOOKUP($A1185,'Mutasi Neraca'!$A$3:$S$910,15,FALSE)),0,VLOOKUP($A1185,'Mutasi Neraca'!$A$3:$S$910,15,FALSE))</f>
        <v>0</v>
      </c>
      <c r="Q1185" s="42">
        <f>VLOOKUP($A1185,'Neraca Unaudited SIMAK'!$A$2:$R$1272,16,FALSE)+IF(ISNA(VLOOKUP($A1185,'Mutasi Neraca'!$A$3:$S$910,16,FALSE)),0,VLOOKUP($A1185,'Mutasi Neraca'!$A$3:$S$910,16,FALSE))</f>
        <v>0</v>
      </c>
      <c r="R1185" s="42">
        <f>VLOOKUP($A1185,'Neraca Unaudited SIMAK'!$A$2:$R$1272,17,FALSE)+IF(ISNA(VLOOKUP($A1185,'Mutasi Neraca'!$A$3:$S$910,17,FALSE)),0,VLOOKUP($A1185,'Mutasi Neraca'!$A$3:$S$910,17,FALSE))</f>
        <v>0</v>
      </c>
      <c r="S1185" s="42">
        <f t="shared" si="79"/>
        <v>4422342</v>
      </c>
    </row>
    <row r="1186" spans="1:19">
      <c r="A1186" s="41" t="s">
        <v>2203</v>
      </c>
      <c r="B1186" s="41" t="str">
        <f t="shared" si="78"/>
        <v>005033200</v>
      </c>
      <c r="D1186" s="42">
        <f>VLOOKUP($A1186,'Neraca Unaudited SIMAK'!$A$2:$R$1272,3,FALSE)+IF(ISNA(VLOOKUP($A1186,'Mutasi Neraca'!$A$3:$S$910,3,FALSE)),0,VLOOKUP($A1186,'Mutasi Neraca'!$A$3:$S$910,3,FALSE))</f>
        <v>0</v>
      </c>
      <c r="E1186" s="42">
        <f>VLOOKUP($A1186,'Neraca Unaudited SIMAK'!$A$2:$R$1272,4,FALSE)+IF(ISNA(VLOOKUP($A1186,'Mutasi Neraca'!$A$3:$S$910,4,FALSE)),0,VLOOKUP($A1186,'Mutasi Neraca'!$A$3:$S$910,4,FALSE))</f>
        <v>0</v>
      </c>
      <c r="F1186" s="42">
        <f>VLOOKUP($A1186,'Neraca Unaudited SIMAK'!$A$2:$R$1272,5,FALSE)+IF(ISNA(VLOOKUP($A1186,'Mutasi Neraca'!$A$3:$S$910,5,FALSE)),0,VLOOKUP($A1186,'Mutasi Neraca'!$A$3:$S$910,5,FALSE))</f>
        <v>0</v>
      </c>
      <c r="G1186" s="42">
        <f>VLOOKUP($A1186,'Neraca Unaudited SIMAK'!$A$2:$R$1272,6,FALSE)+IF(ISNA(VLOOKUP($A1186,'Mutasi Neraca'!$A$3:$S$910,6,FALSE)),0,VLOOKUP($A1186,'Mutasi Neraca'!$A$3:$S$910,6,FALSE))</f>
        <v>0</v>
      </c>
      <c r="H1186" s="42">
        <f>VLOOKUP($A1186,'Neraca Unaudited SIMAK'!$A$2:$R$1272,7,FALSE)+IF(ISNA(VLOOKUP($A1186,'Mutasi Neraca'!$A$3:$S$910,7,FALSE)),0,VLOOKUP($A1186,'Mutasi Neraca'!$A$3:$S$910,7,FALSE))</f>
        <v>0</v>
      </c>
      <c r="I1186" s="42">
        <f>VLOOKUP($A1186,'Neraca Unaudited SIMAK'!$A$2:$R$1272,8,FALSE)+IF(ISNA(VLOOKUP($A1186,'Mutasi Neraca'!$A$3:$S$910,8,FALSE)),0,VLOOKUP($A1186,'Mutasi Neraca'!$A$3:$S$910,8,FALSE))</f>
        <v>0</v>
      </c>
      <c r="J1186" s="42">
        <f>VLOOKUP($A1186,'Neraca Unaudited SIMAK'!$A$2:$R$1272,9,FALSE)+IF(ISNA(VLOOKUP($A1186,'Mutasi Neraca'!$A$3:$S$910,9,FALSE)),0,VLOOKUP($A1186,'Mutasi Neraca'!$A$3:$S$910,9,FALSE))</f>
        <v>0</v>
      </c>
      <c r="K1186" s="42">
        <f>VLOOKUP($A1186,'Neraca Unaudited SIMAK'!$A$2:$R$1272,10,FALSE)+IF(ISNA(VLOOKUP($A1186,'Mutasi Neraca'!$A$3:$S$910,10,FALSE)),0,VLOOKUP($A1186,'Mutasi Neraca'!$A$3:$S$910,10,FALSE))</f>
        <v>0</v>
      </c>
      <c r="L1186" s="42">
        <f>VLOOKUP($A1186,'Neraca Unaudited SIMAK'!$A$2:$R$1272,11,FALSE)+IF(ISNA(VLOOKUP($A1186,'Mutasi Neraca'!$A$3:$S$910,11,FALSE)),0,VLOOKUP($A1186,'Mutasi Neraca'!$A$3:$S$910,11,FALSE))</f>
        <v>0</v>
      </c>
      <c r="M1186" s="42">
        <f>VLOOKUP($A1186,'Neraca Unaudited SIMAK'!$A$2:$R$1272,12,FALSE)+IF(ISNA(VLOOKUP($A1186,'Mutasi Neraca'!$A$3:$S$910,12,FALSE)),0,VLOOKUP($A1186,'Mutasi Neraca'!$A$3:$S$910,12,FALSE))</f>
        <v>0</v>
      </c>
      <c r="N1186" s="42">
        <f>VLOOKUP($A1186,'Neraca Unaudited SIMAK'!$A$2:$R$1272,13,FALSE)+IF(ISNA(VLOOKUP($A1186,'Mutasi Neraca'!$A$3:$S$910,13,FALSE)),0,VLOOKUP($A1186,'Mutasi Neraca'!$A$3:$S$910,13,FALSE))</f>
        <v>0</v>
      </c>
      <c r="O1186" s="42">
        <f>VLOOKUP($A1186,'Neraca Unaudited SIMAK'!$A$2:$R$1272,14,FALSE)+IF(ISNA(VLOOKUP($A1186,'Mutasi Neraca'!$A$3:$S$910,14,FALSE)),0,VLOOKUP($A1186,'Mutasi Neraca'!$A$3:$S$910,14,FALSE))</f>
        <v>0</v>
      </c>
      <c r="P1186" s="42">
        <f>VLOOKUP($A1186,'Neraca Unaudited SIMAK'!$A$2:$R$1272,15,FALSE)+IF(ISNA(VLOOKUP($A1186,'Mutasi Neraca'!$A$3:$S$910,15,FALSE)),0,VLOOKUP($A1186,'Mutasi Neraca'!$A$3:$S$910,15,FALSE))</f>
        <v>0</v>
      </c>
      <c r="Q1186" s="42">
        <f>VLOOKUP($A1186,'Neraca Unaudited SIMAK'!$A$2:$R$1272,16,FALSE)+IF(ISNA(VLOOKUP($A1186,'Mutasi Neraca'!$A$3:$S$910,16,FALSE)),0,VLOOKUP($A1186,'Mutasi Neraca'!$A$3:$S$910,16,FALSE))</f>
        <v>0</v>
      </c>
      <c r="R1186" s="42">
        <f>VLOOKUP($A1186,'Neraca Unaudited SIMAK'!$A$2:$R$1272,17,FALSE)+IF(ISNA(VLOOKUP($A1186,'Mutasi Neraca'!$A$3:$S$910,17,FALSE)),0,VLOOKUP($A1186,'Mutasi Neraca'!$A$3:$S$910,17,FALSE))</f>
        <v>0</v>
      </c>
      <c r="S1186" s="42">
        <f t="shared" si="79"/>
        <v>0</v>
      </c>
    </row>
    <row r="1187" spans="1:19">
      <c r="A1187" s="41" t="s">
        <v>1110</v>
      </c>
      <c r="B1187" s="41" t="str">
        <f t="shared" si="78"/>
        <v>005033200</v>
      </c>
      <c r="D1187" s="42">
        <f>VLOOKUP($A1187,'Neraca Unaudited SIMAK'!$A$2:$R$1272,3,FALSE)+IF(ISNA(VLOOKUP($A1187,'Mutasi Neraca'!$A$3:$S$910,3,FALSE)),0,VLOOKUP($A1187,'Mutasi Neraca'!$A$3:$S$910,3,FALSE))</f>
        <v>125400</v>
      </c>
      <c r="E1187" s="42">
        <f>VLOOKUP($A1187,'Neraca Unaudited SIMAK'!$A$2:$R$1272,4,FALSE)+IF(ISNA(VLOOKUP($A1187,'Mutasi Neraca'!$A$3:$S$910,4,FALSE)),0,VLOOKUP($A1187,'Mutasi Neraca'!$A$3:$S$910,4,FALSE))</f>
        <v>0</v>
      </c>
      <c r="F1187" s="42">
        <f>VLOOKUP($A1187,'Neraca Unaudited SIMAK'!$A$2:$R$1272,5,FALSE)+IF(ISNA(VLOOKUP($A1187,'Mutasi Neraca'!$A$3:$S$910,5,FALSE)),0,VLOOKUP($A1187,'Mutasi Neraca'!$A$3:$S$910,5,FALSE))</f>
        <v>0</v>
      </c>
      <c r="G1187" s="42">
        <f>VLOOKUP($A1187,'Neraca Unaudited SIMAK'!$A$2:$R$1272,6,FALSE)+IF(ISNA(VLOOKUP($A1187,'Mutasi Neraca'!$A$3:$S$910,6,FALSE)),0,VLOOKUP($A1187,'Mutasi Neraca'!$A$3:$S$910,6,FALSE))</f>
        <v>0</v>
      </c>
      <c r="H1187" s="42">
        <f>VLOOKUP($A1187,'Neraca Unaudited SIMAK'!$A$2:$R$1272,7,FALSE)+IF(ISNA(VLOOKUP($A1187,'Mutasi Neraca'!$A$3:$S$910,7,FALSE)),0,VLOOKUP($A1187,'Mutasi Neraca'!$A$3:$S$910,7,FALSE))</f>
        <v>0</v>
      </c>
      <c r="I1187" s="42">
        <f>VLOOKUP($A1187,'Neraca Unaudited SIMAK'!$A$2:$R$1272,8,FALSE)+IF(ISNA(VLOOKUP($A1187,'Mutasi Neraca'!$A$3:$S$910,8,FALSE)),0,VLOOKUP($A1187,'Mutasi Neraca'!$A$3:$S$910,8,FALSE))</f>
        <v>0</v>
      </c>
      <c r="J1187" s="42">
        <f>VLOOKUP($A1187,'Neraca Unaudited SIMAK'!$A$2:$R$1272,9,FALSE)+IF(ISNA(VLOOKUP($A1187,'Mutasi Neraca'!$A$3:$S$910,9,FALSE)),0,VLOOKUP($A1187,'Mutasi Neraca'!$A$3:$S$910,9,FALSE))</f>
        <v>0</v>
      </c>
      <c r="K1187" s="42">
        <f>VLOOKUP($A1187,'Neraca Unaudited SIMAK'!$A$2:$R$1272,10,FALSE)+IF(ISNA(VLOOKUP($A1187,'Mutasi Neraca'!$A$3:$S$910,10,FALSE)),0,VLOOKUP($A1187,'Mutasi Neraca'!$A$3:$S$910,10,FALSE))</f>
        <v>0</v>
      </c>
      <c r="L1187" s="42">
        <f>VLOOKUP($A1187,'Neraca Unaudited SIMAK'!$A$2:$R$1272,11,FALSE)+IF(ISNA(VLOOKUP($A1187,'Mutasi Neraca'!$A$3:$S$910,11,FALSE)),0,VLOOKUP($A1187,'Mutasi Neraca'!$A$3:$S$910,11,FALSE))</f>
        <v>0</v>
      </c>
      <c r="M1187" s="42">
        <f>VLOOKUP($A1187,'Neraca Unaudited SIMAK'!$A$2:$R$1272,12,FALSE)+IF(ISNA(VLOOKUP($A1187,'Mutasi Neraca'!$A$3:$S$910,12,FALSE)),0,VLOOKUP($A1187,'Mutasi Neraca'!$A$3:$S$910,12,FALSE))</f>
        <v>125400</v>
      </c>
      <c r="N1187" s="42">
        <f>VLOOKUP($A1187,'Neraca Unaudited SIMAK'!$A$2:$R$1272,13,FALSE)+IF(ISNA(VLOOKUP($A1187,'Mutasi Neraca'!$A$3:$S$910,13,FALSE)),0,VLOOKUP($A1187,'Mutasi Neraca'!$A$3:$S$910,13,FALSE))</f>
        <v>0</v>
      </c>
      <c r="O1187" s="42">
        <f>VLOOKUP($A1187,'Neraca Unaudited SIMAK'!$A$2:$R$1272,14,FALSE)+IF(ISNA(VLOOKUP($A1187,'Mutasi Neraca'!$A$3:$S$910,14,FALSE)),0,VLOOKUP($A1187,'Mutasi Neraca'!$A$3:$S$910,14,FALSE))</f>
        <v>0</v>
      </c>
      <c r="P1187" s="42">
        <f>VLOOKUP($A1187,'Neraca Unaudited SIMAK'!$A$2:$R$1272,15,FALSE)+IF(ISNA(VLOOKUP($A1187,'Mutasi Neraca'!$A$3:$S$910,15,FALSE)),0,VLOOKUP($A1187,'Mutasi Neraca'!$A$3:$S$910,15,FALSE))</f>
        <v>0</v>
      </c>
      <c r="Q1187" s="42">
        <f>VLOOKUP($A1187,'Neraca Unaudited SIMAK'!$A$2:$R$1272,16,FALSE)+IF(ISNA(VLOOKUP($A1187,'Mutasi Neraca'!$A$3:$S$910,16,FALSE)),0,VLOOKUP($A1187,'Mutasi Neraca'!$A$3:$S$910,16,FALSE))</f>
        <v>0</v>
      </c>
      <c r="R1187" s="42">
        <f>VLOOKUP($A1187,'Neraca Unaudited SIMAK'!$A$2:$R$1272,17,FALSE)+IF(ISNA(VLOOKUP($A1187,'Mutasi Neraca'!$A$3:$S$910,17,FALSE)),0,VLOOKUP($A1187,'Mutasi Neraca'!$A$3:$S$910,17,FALSE))</f>
        <v>0</v>
      </c>
      <c r="S1187" s="42">
        <f t="shared" si="79"/>
        <v>125400</v>
      </c>
    </row>
    <row r="1188" spans="1:19">
      <c r="A1188" s="41" t="s">
        <v>1111</v>
      </c>
      <c r="B1188" s="41" t="str">
        <f t="shared" si="78"/>
        <v>005033300</v>
      </c>
      <c r="D1188" s="42">
        <f>VLOOKUP($A1188,'Neraca Unaudited SIMAK'!$A$2:$R$1272,3,FALSE)+IF(ISNA(VLOOKUP($A1188,'Mutasi Neraca'!$A$3:$S$910,3,FALSE)),0,VLOOKUP($A1188,'Mutasi Neraca'!$A$3:$S$910,3,FALSE))</f>
        <v>1813500</v>
      </c>
      <c r="E1188" s="42">
        <f>VLOOKUP($A1188,'Neraca Unaudited SIMAK'!$A$2:$R$1272,4,FALSE)+IF(ISNA(VLOOKUP($A1188,'Mutasi Neraca'!$A$3:$S$910,4,FALSE)),0,VLOOKUP($A1188,'Mutasi Neraca'!$A$3:$S$910,4,FALSE))</f>
        <v>0</v>
      </c>
      <c r="F1188" s="42">
        <f>VLOOKUP($A1188,'Neraca Unaudited SIMAK'!$A$2:$R$1272,5,FALSE)+IF(ISNA(VLOOKUP($A1188,'Mutasi Neraca'!$A$3:$S$910,5,FALSE)),0,VLOOKUP($A1188,'Mutasi Neraca'!$A$3:$S$910,5,FALSE))</f>
        <v>0</v>
      </c>
      <c r="G1188" s="42">
        <f>VLOOKUP($A1188,'Neraca Unaudited SIMAK'!$A$2:$R$1272,6,FALSE)+IF(ISNA(VLOOKUP($A1188,'Mutasi Neraca'!$A$3:$S$910,6,FALSE)),0,VLOOKUP($A1188,'Mutasi Neraca'!$A$3:$S$910,6,FALSE))</f>
        <v>0</v>
      </c>
      <c r="H1188" s="42">
        <f>VLOOKUP($A1188,'Neraca Unaudited SIMAK'!$A$2:$R$1272,7,FALSE)+IF(ISNA(VLOOKUP($A1188,'Mutasi Neraca'!$A$3:$S$910,7,FALSE)),0,VLOOKUP($A1188,'Mutasi Neraca'!$A$3:$S$910,7,FALSE))</f>
        <v>0</v>
      </c>
      <c r="I1188" s="42">
        <f>VLOOKUP($A1188,'Neraca Unaudited SIMAK'!$A$2:$R$1272,8,FALSE)+IF(ISNA(VLOOKUP($A1188,'Mutasi Neraca'!$A$3:$S$910,8,FALSE)),0,VLOOKUP($A1188,'Mutasi Neraca'!$A$3:$S$910,8,FALSE))</f>
        <v>0</v>
      </c>
      <c r="J1188" s="42">
        <f>VLOOKUP($A1188,'Neraca Unaudited SIMAK'!$A$2:$R$1272,9,FALSE)+IF(ISNA(VLOOKUP($A1188,'Mutasi Neraca'!$A$3:$S$910,9,FALSE)),0,VLOOKUP($A1188,'Mutasi Neraca'!$A$3:$S$910,9,FALSE))</f>
        <v>0</v>
      </c>
      <c r="K1188" s="42">
        <f>VLOOKUP($A1188,'Neraca Unaudited SIMAK'!$A$2:$R$1272,10,FALSE)+IF(ISNA(VLOOKUP($A1188,'Mutasi Neraca'!$A$3:$S$910,10,FALSE)),0,VLOOKUP($A1188,'Mutasi Neraca'!$A$3:$S$910,10,FALSE))</f>
        <v>0</v>
      </c>
      <c r="L1188" s="42">
        <f>VLOOKUP($A1188,'Neraca Unaudited SIMAK'!$A$2:$R$1272,11,FALSE)+IF(ISNA(VLOOKUP($A1188,'Mutasi Neraca'!$A$3:$S$910,11,FALSE)),0,VLOOKUP($A1188,'Mutasi Neraca'!$A$3:$S$910,11,FALSE))</f>
        <v>0</v>
      </c>
      <c r="M1188" s="42">
        <f>VLOOKUP($A1188,'Neraca Unaudited SIMAK'!$A$2:$R$1272,12,FALSE)+IF(ISNA(VLOOKUP($A1188,'Mutasi Neraca'!$A$3:$S$910,12,FALSE)),0,VLOOKUP($A1188,'Mutasi Neraca'!$A$3:$S$910,12,FALSE))</f>
        <v>1813500</v>
      </c>
      <c r="N1188" s="42">
        <f>VLOOKUP($A1188,'Neraca Unaudited SIMAK'!$A$2:$R$1272,13,FALSE)+IF(ISNA(VLOOKUP($A1188,'Mutasi Neraca'!$A$3:$S$910,13,FALSE)),0,VLOOKUP($A1188,'Mutasi Neraca'!$A$3:$S$910,13,FALSE))</f>
        <v>0</v>
      </c>
      <c r="O1188" s="42">
        <f>VLOOKUP($A1188,'Neraca Unaudited SIMAK'!$A$2:$R$1272,14,FALSE)+IF(ISNA(VLOOKUP($A1188,'Mutasi Neraca'!$A$3:$S$910,14,FALSE)),0,VLOOKUP($A1188,'Mutasi Neraca'!$A$3:$S$910,14,FALSE))</f>
        <v>0</v>
      </c>
      <c r="P1188" s="42">
        <f>VLOOKUP($A1188,'Neraca Unaudited SIMAK'!$A$2:$R$1272,15,FALSE)+IF(ISNA(VLOOKUP($A1188,'Mutasi Neraca'!$A$3:$S$910,15,FALSE)),0,VLOOKUP($A1188,'Mutasi Neraca'!$A$3:$S$910,15,FALSE))</f>
        <v>0</v>
      </c>
      <c r="Q1188" s="42">
        <f>VLOOKUP($A1188,'Neraca Unaudited SIMAK'!$A$2:$R$1272,16,FALSE)+IF(ISNA(VLOOKUP($A1188,'Mutasi Neraca'!$A$3:$S$910,16,FALSE)),0,VLOOKUP($A1188,'Mutasi Neraca'!$A$3:$S$910,16,FALSE))</f>
        <v>0</v>
      </c>
      <c r="R1188" s="42">
        <f>VLOOKUP($A1188,'Neraca Unaudited SIMAK'!$A$2:$R$1272,17,FALSE)+IF(ISNA(VLOOKUP($A1188,'Mutasi Neraca'!$A$3:$S$910,17,FALSE)),0,VLOOKUP($A1188,'Mutasi Neraca'!$A$3:$S$910,17,FALSE))</f>
        <v>0</v>
      </c>
      <c r="S1188" s="42">
        <f t="shared" si="79"/>
        <v>1813500</v>
      </c>
    </row>
    <row r="1189" spans="1:19">
      <c r="A1189" s="41" t="s">
        <v>1112</v>
      </c>
      <c r="B1189" s="41" t="str">
        <f t="shared" si="78"/>
        <v>005033300</v>
      </c>
      <c r="D1189" s="42">
        <f>VLOOKUP($A1189,'Neraca Unaudited SIMAK'!$A$2:$R$1272,3,FALSE)+IF(ISNA(VLOOKUP($A1189,'Mutasi Neraca'!$A$3:$S$910,3,FALSE)),0,VLOOKUP($A1189,'Mutasi Neraca'!$A$3:$S$910,3,FALSE))</f>
        <v>9719000</v>
      </c>
      <c r="E1189" s="42">
        <f>VLOOKUP($A1189,'Neraca Unaudited SIMAK'!$A$2:$R$1272,4,FALSE)+IF(ISNA(VLOOKUP($A1189,'Mutasi Neraca'!$A$3:$S$910,4,FALSE)),0,VLOOKUP($A1189,'Mutasi Neraca'!$A$3:$S$910,4,FALSE))</f>
        <v>0</v>
      </c>
      <c r="F1189" s="42">
        <f>VLOOKUP($A1189,'Neraca Unaudited SIMAK'!$A$2:$R$1272,5,FALSE)+IF(ISNA(VLOOKUP($A1189,'Mutasi Neraca'!$A$3:$S$910,5,FALSE)),0,VLOOKUP($A1189,'Mutasi Neraca'!$A$3:$S$910,5,FALSE))</f>
        <v>0</v>
      </c>
      <c r="G1189" s="42">
        <f>VLOOKUP($A1189,'Neraca Unaudited SIMAK'!$A$2:$R$1272,6,FALSE)+IF(ISNA(VLOOKUP($A1189,'Mutasi Neraca'!$A$3:$S$910,6,FALSE)),0,VLOOKUP($A1189,'Mutasi Neraca'!$A$3:$S$910,6,FALSE))</f>
        <v>0</v>
      </c>
      <c r="H1189" s="42">
        <f>VLOOKUP($A1189,'Neraca Unaudited SIMAK'!$A$2:$R$1272,7,FALSE)+IF(ISNA(VLOOKUP($A1189,'Mutasi Neraca'!$A$3:$S$910,7,FALSE)),0,VLOOKUP($A1189,'Mutasi Neraca'!$A$3:$S$910,7,FALSE))</f>
        <v>0</v>
      </c>
      <c r="I1189" s="42">
        <f>VLOOKUP($A1189,'Neraca Unaudited SIMAK'!$A$2:$R$1272,8,FALSE)+IF(ISNA(VLOOKUP($A1189,'Mutasi Neraca'!$A$3:$S$910,8,FALSE)),0,VLOOKUP($A1189,'Mutasi Neraca'!$A$3:$S$910,8,FALSE))</f>
        <v>0</v>
      </c>
      <c r="J1189" s="42">
        <f>VLOOKUP($A1189,'Neraca Unaudited SIMAK'!$A$2:$R$1272,9,FALSE)+IF(ISNA(VLOOKUP($A1189,'Mutasi Neraca'!$A$3:$S$910,9,FALSE)),0,VLOOKUP($A1189,'Mutasi Neraca'!$A$3:$S$910,9,FALSE))</f>
        <v>0</v>
      </c>
      <c r="K1189" s="42">
        <f>VLOOKUP($A1189,'Neraca Unaudited SIMAK'!$A$2:$R$1272,10,FALSE)+IF(ISNA(VLOOKUP($A1189,'Mutasi Neraca'!$A$3:$S$910,10,FALSE)),0,VLOOKUP($A1189,'Mutasi Neraca'!$A$3:$S$910,10,FALSE))</f>
        <v>0</v>
      </c>
      <c r="L1189" s="42">
        <f>VLOOKUP($A1189,'Neraca Unaudited SIMAK'!$A$2:$R$1272,11,FALSE)+IF(ISNA(VLOOKUP($A1189,'Mutasi Neraca'!$A$3:$S$910,11,FALSE)),0,VLOOKUP($A1189,'Mutasi Neraca'!$A$3:$S$910,11,FALSE))</f>
        <v>0</v>
      </c>
      <c r="M1189" s="42">
        <f>VLOOKUP($A1189,'Neraca Unaudited SIMAK'!$A$2:$R$1272,12,FALSE)+IF(ISNA(VLOOKUP($A1189,'Mutasi Neraca'!$A$3:$S$910,12,FALSE)),0,VLOOKUP($A1189,'Mutasi Neraca'!$A$3:$S$910,12,FALSE))</f>
        <v>9719000</v>
      </c>
      <c r="N1189" s="42">
        <f>VLOOKUP($A1189,'Neraca Unaudited SIMAK'!$A$2:$R$1272,13,FALSE)+IF(ISNA(VLOOKUP($A1189,'Mutasi Neraca'!$A$3:$S$910,13,FALSE)),0,VLOOKUP($A1189,'Mutasi Neraca'!$A$3:$S$910,13,FALSE))</f>
        <v>0</v>
      </c>
      <c r="O1189" s="42">
        <f>VLOOKUP($A1189,'Neraca Unaudited SIMAK'!$A$2:$R$1272,14,FALSE)+IF(ISNA(VLOOKUP($A1189,'Mutasi Neraca'!$A$3:$S$910,14,FALSE)),0,VLOOKUP($A1189,'Mutasi Neraca'!$A$3:$S$910,14,FALSE))</f>
        <v>0</v>
      </c>
      <c r="P1189" s="42">
        <f>VLOOKUP($A1189,'Neraca Unaudited SIMAK'!$A$2:$R$1272,15,FALSE)+IF(ISNA(VLOOKUP($A1189,'Mutasi Neraca'!$A$3:$S$910,15,FALSE)),0,VLOOKUP($A1189,'Mutasi Neraca'!$A$3:$S$910,15,FALSE))</f>
        <v>0</v>
      </c>
      <c r="Q1189" s="42">
        <f>VLOOKUP($A1189,'Neraca Unaudited SIMAK'!$A$2:$R$1272,16,FALSE)+IF(ISNA(VLOOKUP($A1189,'Mutasi Neraca'!$A$3:$S$910,16,FALSE)),0,VLOOKUP($A1189,'Mutasi Neraca'!$A$3:$S$910,16,FALSE))</f>
        <v>0</v>
      </c>
      <c r="R1189" s="42">
        <f>VLOOKUP($A1189,'Neraca Unaudited SIMAK'!$A$2:$R$1272,17,FALSE)+IF(ISNA(VLOOKUP($A1189,'Mutasi Neraca'!$A$3:$S$910,17,FALSE)),0,VLOOKUP($A1189,'Mutasi Neraca'!$A$3:$S$910,17,FALSE))</f>
        <v>0</v>
      </c>
      <c r="S1189" s="42">
        <f t="shared" si="79"/>
        <v>9719000</v>
      </c>
    </row>
    <row r="1190" spans="1:19">
      <c r="A1190" s="41" t="s">
        <v>1113</v>
      </c>
      <c r="B1190" s="41" t="str">
        <f t="shared" si="78"/>
        <v>005033300</v>
      </c>
      <c r="D1190" s="42">
        <f>VLOOKUP($A1190,'Neraca Unaudited SIMAK'!$A$2:$R$1272,3,FALSE)+IF(ISNA(VLOOKUP($A1190,'Mutasi Neraca'!$A$3:$S$910,3,FALSE)),0,VLOOKUP($A1190,'Mutasi Neraca'!$A$3:$S$910,3,FALSE))</f>
        <v>0</v>
      </c>
      <c r="E1190" s="42">
        <f>VLOOKUP($A1190,'Neraca Unaudited SIMAK'!$A$2:$R$1272,4,FALSE)+IF(ISNA(VLOOKUP($A1190,'Mutasi Neraca'!$A$3:$S$910,4,FALSE)),0,VLOOKUP($A1190,'Mutasi Neraca'!$A$3:$S$910,4,FALSE))</f>
        <v>0</v>
      </c>
      <c r="F1190" s="42">
        <f>VLOOKUP($A1190,'Neraca Unaudited SIMAK'!$A$2:$R$1272,5,FALSE)+IF(ISNA(VLOOKUP($A1190,'Mutasi Neraca'!$A$3:$S$910,5,FALSE)),0,VLOOKUP($A1190,'Mutasi Neraca'!$A$3:$S$910,5,FALSE))</f>
        <v>0</v>
      </c>
      <c r="G1190" s="42">
        <f>VLOOKUP($A1190,'Neraca Unaudited SIMAK'!$A$2:$R$1272,6,FALSE)+IF(ISNA(VLOOKUP($A1190,'Mutasi Neraca'!$A$3:$S$910,6,FALSE)),0,VLOOKUP($A1190,'Mutasi Neraca'!$A$3:$S$910,6,FALSE))</f>
        <v>0</v>
      </c>
      <c r="H1190" s="42">
        <f>VLOOKUP($A1190,'Neraca Unaudited SIMAK'!$A$2:$R$1272,7,FALSE)+IF(ISNA(VLOOKUP($A1190,'Mutasi Neraca'!$A$3:$S$910,7,FALSE)),0,VLOOKUP($A1190,'Mutasi Neraca'!$A$3:$S$910,7,FALSE))</f>
        <v>0</v>
      </c>
      <c r="I1190" s="42">
        <f>VLOOKUP($A1190,'Neraca Unaudited SIMAK'!$A$2:$R$1272,8,FALSE)+IF(ISNA(VLOOKUP($A1190,'Mutasi Neraca'!$A$3:$S$910,8,FALSE)),0,VLOOKUP($A1190,'Mutasi Neraca'!$A$3:$S$910,8,FALSE))</f>
        <v>0</v>
      </c>
      <c r="J1190" s="42">
        <f>VLOOKUP($A1190,'Neraca Unaudited SIMAK'!$A$2:$R$1272,9,FALSE)+IF(ISNA(VLOOKUP($A1190,'Mutasi Neraca'!$A$3:$S$910,9,FALSE)),0,VLOOKUP($A1190,'Mutasi Neraca'!$A$3:$S$910,9,FALSE))</f>
        <v>0</v>
      </c>
      <c r="K1190" s="42">
        <f>VLOOKUP($A1190,'Neraca Unaudited SIMAK'!$A$2:$R$1272,10,FALSE)+IF(ISNA(VLOOKUP($A1190,'Mutasi Neraca'!$A$3:$S$910,10,FALSE)),0,VLOOKUP($A1190,'Mutasi Neraca'!$A$3:$S$910,10,FALSE))</f>
        <v>0</v>
      </c>
      <c r="L1190" s="42">
        <f>VLOOKUP($A1190,'Neraca Unaudited SIMAK'!$A$2:$R$1272,11,FALSE)+IF(ISNA(VLOOKUP($A1190,'Mutasi Neraca'!$A$3:$S$910,11,FALSE)),0,VLOOKUP($A1190,'Mutasi Neraca'!$A$3:$S$910,11,FALSE))</f>
        <v>0</v>
      </c>
      <c r="M1190" s="42">
        <f>VLOOKUP($A1190,'Neraca Unaudited SIMAK'!$A$2:$R$1272,12,FALSE)+IF(ISNA(VLOOKUP($A1190,'Mutasi Neraca'!$A$3:$S$910,12,FALSE)),0,VLOOKUP($A1190,'Mutasi Neraca'!$A$3:$S$910,12,FALSE))</f>
        <v>0</v>
      </c>
      <c r="N1190" s="42">
        <f>VLOOKUP($A1190,'Neraca Unaudited SIMAK'!$A$2:$R$1272,13,FALSE)+IF(ISNA(VLOOKUP($A1190,'Mutasi Neraca'!$A$3:$S$910,13,FALSE)),0,VLOOKUP($A1190,'Mutasi Neraca'!$A$3:$S$910,13,FALSE))</f>
        <v>0</v>
      </c>
      <c r="O1190" s="42">
        <f>VLOOKUP($A1190,'Neraca Unaudited SIMAK'!$A$2:$R$1272,14,FALSE)+IF(ISNA(VLOOKUP($A1190,'Mutasi Neraca'!$A$3:$S$910,14,FALSE)),0,VLOOKUP($A1190,'Mutasi Neraca'!$A$3:$S$910,14,FALSE))</f>
        <v>0</v>
      </c>
      <c r="P1190" s="42">
        <f>VLOOKUP($A1190,'Neraca Unaudited SIMAK'!$A$2:$R$1272,15,FALSE)+IF(ISNA(VLOOKUP($A1190,'Mutasi Neraca'!$A$3:$S$910,15,FALSE)),0,VLOOKUP($A1190,'Mutasi Neraca'!$A$3:$S$910,15,FALSE))</f>
        <v>0</v>
      </c>
      <c r="Q1190" s="42">
        <f>VLOOKUP($A1190,'Neraca Unaudited SIMAK'!$A$2:$R$1272,16,FALSE)+IF(ISNA(VLOOKUP($A1190,'Mutasi Neraca'!$A$3:$S$910,16,FALSE)),0,VLOOKUP($A1190,'Mutasi Neraca'!$A$3:$S$910,16,FALSE))</f>
        <v>0</v>
      </c>
      <c r="R1190" s="42">
        <f>VLOOKUP($A1190,'Neraca Unaudited SIMAK'!$A$2:$R$1272,17,FALSE)+IF(ISNA(VLOOKUP($A1190,'Mutasi Neraca'!$A$3:$S$910,17,FALSE)),0,VLOOKUP($A1190,'Mutasi Neraca'!$A$3:$S$910,17,FALSE))</f>
        <v>0</v>
      </c>
      <c r="S1190" s="42">
        <f t="shared" si="79"/>
        <v>0</v>
      </c>
    </row>
    <row r="1191" spans="1:19">
      <c r="A1191" s="41" t="s">
        <v>1114</v>
      </c>
      <c r="B1191" s="41" t="str">
        <f t="shared" si="78"/>
        <v>005033400</v>
      </c>
      <c r="D1191" s="42">
        <f>VLOOKUP($A1191,'Neraca Unaudited SIMAK'!$A$2:$R$1272,3,FALSE)+IF(ISNA(VLOOKUP($A1191,'Mutasi Neraca'!$A$3:$S$910,3,FALSE)),0,VLOOKUP($A1191,'Mutasi Neraca'!$A$3:$S$910,3,FALSE))</f>
        <v>2027500</v>
      </c>
      <c r="E1191" s="42">
        <f>VLOOKUP($A1191,'Neraca Unaudited SIMAK'!$A$2:$R$1272,4,FALSE)+IF(ISNA(VLOOKUP($A1191,'Mutasi Neraca'!$A$3:$S$910,4,FALSE)),0,VLOOKUP($A1191,'Mutasi Neraca'!$A$3:$S$910,4,FALSE))</f>
        <v>0</v>
      </c>
      <c r="F1191" s="42">
        <f>VLOOKUP($A1191,'Neraca Unaudited SIMAK'!$A$2:$R$1272,5,FALSE)+IF(ISNA(VLOOKUP($A1191,'Mutasi Neraca'!$A$3:$S$910,5,FALSE)),0,VLOOKUP($A1191,'Mutasi Neraca'!$A$3:$S$910,5,FALSE))</f>
        <v>0</v>
      </c>
      <c r="G1191" s="42">
        <f>VLOOKUP($A1191,'Neraca Unaudited SIMAK'!$A$2:$R$1272,6,FALSE)+IF(ISNA(VLOOKUP($A1191,'Mutasi Neraca'!$A$3:$S$910,6,FALSE)),0,VLOOKUP($A1191,'Mutasi Neraca'!$A$3:$S$910,6,FALSE))</f>
        <v>0</v>
      </c>
      <c r="H1191" s="42">
        <f>VLOOKUP($A1191,'Neraca Unaudited SIMAK'!$A$2:$R$1272,7,FALSE)+IF(ISNA(VLOOKUP($A1191,'Mutasi Neraca'!$A$3:$S$910,7,FALSE)),0,VLOOKUP($A1191,'Mutasi Neraca'!$A$3:$S$910,7,FALSE))</f>
        <v>0</v>
      </c>
      <c r="I1191" s="42">
        <f>VLOOKUP($A1191,'Neraca Unaudited SIMAK'!$A$2:$R$1272,8,FALSE)+IF(ISNA(VLOOKUP($A1191,'Mutasi Neraca'!$A$3:$S$910,8,FALSE)),0,VLOOKUP($A1191,'Mutasi Neraca'!$A$3:$S$910,8,FALSE))</f>
        <v>0</v>
      </c>
      <c r="J1191" s="42">
        <f>VLOOKUP($A1191,'Neraca Unaudited SIMAK'!$A$2:$R$1272,9,FALSE)+IF(ISNA(VLOOKUP($A1191,'Mutasi Neraca'!$A$3:$S$910,9,FALSE)),0,VLOOKUP($A1191,'Mutasi Neraca'!$A$3:$S$910,9,FALSE))</f>
        <v>0</v>
      </c>
      <c r="K1191" s="42">
        <f>VLOOKUP($A1191,'Neraca Unaudited SIMAK'!$A$2:$R$1272,10,FALSE)+IF(ISNA(VLOOKUP($A1191,'Mutasi Neraca'!$A$3:$S$910,10,FALSE)),0,VLOOKUP($A1191,'Mutasi Neraca'!$A$3:$S$910,10,FALSE))</f>
        <v>0</v>
      </c>
      <c r="L1191" s="42">
        <f>VLOOKUP($A1191,'Neraca Unaudited SIMAK'!$A$2:$R$1272,11,FALSE)+IF(ISNA(VLOOKUP($A1191,'Mutasi Neraca'!$A$3:$S$910,11,FALSE)),0,VLOOKUP($A1191,'Mutasi Neraca'!$A$3:$S$910,11,FALSE))</f>
        <v>0</v>
      </c>
      <c r="M1191" s="42">
        <f>VLOOKUP($A1191,'Neraca Unaudited SIMAK'!$A$2:$R$1272,12,FALSE)+IF(ISNA(VLOOKUP($A1191,'Mutasi Neraca'!$A$3:$S$910,12,FALSE)),0,VLOOKUP($A1191,'Mutasi Neraca'!$A$3:$S$910,12,FALSE))</f>
        <v>2027500</v>
      </c>
      <c r="N1191" s="42">
        <f>VLOOKUP($A1191,'Neraca Unaudited SIMAK'!$A$2:$R$1272,13,FALSE)+IF(ISNA(VLOOKUP($A1191,'Mutasi Neraca'!$A$3:$S$910,13,FALSE)),0,VLOOKUP($A1191,'Mutasi Neraca'!$A$3:$S$910,13,FALSE))</f>
        <v>0</v>
      </c>
      <c r="O1191" s="42">
        <f>VLOOKUP($A1191,'Neraca Unaudited SIMAK'!$A$2:$R$1272,14,FALSE)+IF(ISNA(VLOOKUP($A1191,'Mutasi Neraca'!$A$3:$S$910,14,FALSE)),0,VLOOKUP($A1191,'Mutasi Neraca'!$A$3:$S$910,14,FALSE))</f>
        <v>0</v>
      </c>
      <c r="P1191" s="42">
        <f>VLOOKUP($A1191,'Neraca Unaudited SIMAK'!$A$2:$R$1272,15,FALSE)+IF(ISNA(VLOOKUP($A1191,'Mutasi Neraca'!$A$3:$S$910,15,FALSE)),0,VLOOKUP($A1191,'Mutasi Neraca'!$A$3:$S$910,15,FALSE))</f>
        <v>0</v>
      </c>
      <c r="Q1191" s="42">
        <f>VLOOKUP($A1191,'Neraca Unaudited SIMAK'!$A$2:$R$1272,16,FALSE)+IF(ISNA(VLOOKUP($A1191,'Mutasi Neraca'!$A$3:$S$910,16,FALSE)),0,VLOOKUP($A1191,'Mutasi Neraca'!$A$3:$S$910,16,FALSE))</f>
        <v>0</v>
      </c>
      <c r="R1191" s="42">
        <f>VLOOKUP($A1191,'Neraca Unaudited SIMAK'!$A$2:$R$1272,17,FALSE)+IF(ISNA(VLOOKUP($A1191,'Mutasi Neraca'!$A$3:$S$910,17,FALSE)),0,VLOOKUP($A1191,'Mutasi Neraca'!$A$3:$S$910,17,FALSE))</f>
        <v>0</v>
      </c>
      <c r="S1191" s="42">
        <f t="shared" si="79"/>
        <v>2027500</v>
      </c>
    </row>
    <row r="1192" spans="1:19">
      <c r="A1192" s="41" t="s">
        <v>1115</v>
      </c>
      <c r="B1192" s="41" t="str">
        <f t="shared" si="78"/>
        <v>005033400</v>
      </c>
      <c r="D1192" s="42">
        <f>VLOOKUP($A1192,'Neraca Unaudited SIMAK'!$A$2:$R$1272,3,FALSE)+IF(ISNA(VLOOKUP($A1192,'Mutasi Neraca'!$A$3:$S$910,3,FALSE)),0,VLOOKUP($A1192,'Mutasi Neraca'!$A$3:$S$910,3,FALSE))</f>
        <v>4484000</v>
      </c>
      <c r="E1192" s="42">
        <f>VLOOKUP($A1192,'Neraca Unaudited SIMAK'!$A$2:$R$1272,4,FALSE)+IF(ISNA(VLOOKUP($A1192,'Mutasi Neraca'!$A$3:$S$910,4,FALSE)),0,VLOOKUP($A1192,'Mutasi Neraca'!$A$3:$S$910,4,FALSE))</f>
        <v>0</v>
      </c>
      <c r="F1192" s="42">
        <f>VLOOKUP($A1192,'Neraca Unaudited SIMAK'!$A$2:$R$1272,5,FALSE)+IF(ISNA(VLOOKUP($A1192,'Mutasi Neraca'!$A$3:$S$910,5,FALSE)),0,VLOOKUP($A1192,'Mutasi Neraca'!$A$3:$S$910,5,FALSE))</f>
        <v>0</v>
      </c>
      <c r="G1192" s="42">
        <f>VLOOKUP($A1192,'Neraca Unaudited SIMAK'!$A$2:$R$1272,6,FALSE)+IF(ISNA(VLOOKUP($A1192,'Mutasi Neraca'!$A$3:$S$910,6,FALSE)),0,VLOOKUP($A1192,'Mutasi Neraca'!$A$3:$S$910,6,FALSE))</f>
        <v>0</v>
      </c>
      <c r="H1192" s="42">
        <f>VLOOKUP($A1192,'Neraca Unaudited SIMAK'!$A$2:$R$1272,7,FALSE)+IF(ISNA(VLOOKUP($A1192,'Mutasi Neraca'!$A$3:$S$910,7,FALSE)),0,VLOOKUP($A1192,'Mutasi Neraca'!$A$3:$S$910,7,FALSE))</f>
        <v>0</v>
      </c>
      <c r="I1192" s="42">
        <f>VLOOKUP($A1192,'Neraca Unaudited SIMAK'!$A$2:$R$1272,8,FALSE)+IF(ISNA(VLOOKUP($A1192,'Mutasi Neraca'!$A$3:$S$910,8,FALSE)),0,VLOOKUP($A1192,'Mutasi Neraca'!$A$3:$S$910,8,FALSE))</f>
        <v>0</v>
      </c>
      <c r="J1192" s="42">
        <f>VLOOKUP($A1192,'Neraca Unaudited SIMAK'!$A$2:$R$1272,9,FALSE)+IF(ISNA(VLOOKUP($A1192,'Mutasi Neraca'!$A$3:$S$910,9,FALSE)),0,VLOOKUP($A1192,'Mutasi Neraca'!$A$3:$S$910,9,FALSE))</f>
        <v>0</v>
      </c>
      <c r="K1192" s="42">
        <f>VLOOKUP($A1192,'Neraca Unaudited SIMAK'!$A$2:$R$1272,10,FALSE)+IF(ISNA(VLOOKUP($A1192,'Mutasi Neraca'!$A$3:$S$910,10,FALSE)),0,VLOOKUP($A1192,'Mutasi Neraca'!$A$3:$S$910,10,FALSE))</f>
        <v>0</v>
      </c>
      <c r="L1192" s="42">
        <f>VLOOKUP($A1192,'Neraca Unaudited SIMAK'!$A$2:$R$1272,11,FALSE)+IF(ISNA(VLOOKUP($A1192,'Mutasi Neraca'!$A$3:$S$910,11,FALSE)),0,VLOOKUP($A1192,'Mutasi Neraca'!$A$3:$S$910,11,FALSE))</f>
        <v>0</v>
      </c>
      <c r="M1192" s="42">
        <f>VLOOKUP($A1192,'Neraca Unaudited SIMAK'!$A$2:$R$1272,12,FALSE)+IF(ISNA(VLOOKUP($A1192,'Mutasi Neraca'!$A$3:$S$910,12,FALSE)),0,VLOOKUP($A1192,'Mutasi Neraca'!$A$3:$S$910,12,FALSE))</f>
        <v>4484000</v>
      </c>
      <c r="N1192" s="42">
        <f>VLOOKUP($A1192,'Neraca Unaudited SIMAK'!$A$2:$R$1272,13,FALSE)+IF(ISNA(VLOOKUP($A1192,'Mutasi Neraca'!$A$3:$S$910,13,FALSE)),0,VLOOKUP($A1192,'Mutasi Neraca'!$A$3:$S$910,13,FALSE))</f>
        <v>0</v>
      </c>
      <c r="O1192" s="42">
        <f>VLOOKUP($A1192,'Neraca Unaudited SIMAK'!$A$2:$R$1272,14,FALSE)+IF(ISNA(VLOOKUP($A1192,'Mutasi Neraca'!$A$3:$S$910,14,FALSE)),0,VLOOKUP($A1192,'Mutasi Neraca'!$A$3:$S$910,14,FALSE))</f>
        <v>0</v>
      </c>
      <c r="P1192" s="42">
        <f>VLOOKUP($A1192,'Neraca Unaudited SIMAK'!$A$2:$R$1272,15,FALSE)+IF(ISNA(VLOOKUP($A1192,'Mutasi Neraca'!$A$3:$S$910,15,FALSE)),0,VLOOKUP($A1192,'Mutasi Neraca'!$A$3:$S$910,15,FALSE))</f>
        <v>0</v>
      </c>
      <c r="Q1192" s="42">
        <f>VLOOKUP($A1192,'Neraca Unaudited SIMAK'!$A$2:$R$1272,16,FALSE)+IF(ISNA(VLOOKUP($A1192,'Mutasi Neraca'!$A$3:$S$910,16,FALSE)),0,VLOOKUP($A1192,'Mutasi Neraca'!$A$3:$S$910,16,FALSE))</f>
        <v>0</v>
      </c>
      <c r="R1192" s="42">
        <f>VLOOKUP($A1192,'Neraca Unaudited SIMAK'!$A$2:$R$1272,17,FALSE)+IF(ISNA(VLOOKUP($A1192,'Mutasi Neraca'!$A$3:$S$910,17,FALSE)),0,VLOOKUP($A1192,'Mutasi Neraca'!$A$3:$S$910,17,FALSE))</f>
        <v>0</v>
      </c>
      <c r="S1192" s="42">
        <f t="shared" si="79"/>
        <v>4484000</v>
      </c>
    </row>
    <row r="1193" spans="1:19">
      <c r="A1193" s="41" t="s">
        <v>1116</v>
      </c>
      <c r="B1193" s="41" t="str">
        <f t="shared" si="78"/>
        <v>005033400</v>
      </c>
      <c r="D1193" s="42">
        <f>VLOOKUP($A1193,'Neraca Unaudited SIMAK'!$A$2:$R$1272,3,FALSE)+IF(ISNA(VLOOKUP($A1193,'Mutasi Neraca'!$A$3:$S$910,3,FALSE)),0,VLOOKUP($A1193,'Mutasi Neraca'!$A$3:$S$910,3,FALSE))</f>
        <v>24000</v>
      </c>
      <c r="E1193" s="42">
        <f>VLOOKUP($A1193,'Neraca Unaudited SIMAK'!$A$2:$R$1272,4,FALSE)+IF(ISNA(VLOOKUP($A1193,'Mutasi Neraca'!$A$3:$S$910,4,FALSE)),0,VLOOKUP($A1193,'Mutasi Neraca'!$A$3:$S$910,4,FALSE))</f>
        <v>0</v>
      </c>
      <c r="F1193" s="42">
        <f>VLOOKUP($A1193,'Neraca Unaudited SIMAK'!$A$2:$R$1272,5,FALSE)+IF(ISNA(VLOOKUP($A1193,'Mutasi Neraca'!$A$3:$S$910,5,FALSE)),0,VLOOKUP($A1193,'Mutasi Neraca'!$A$3:$S$910,5,FALSE))</f>
        <v>0</v>
      </c>
      <c r="G1193" s="42">
        <f>VLOOKUP($A1193,'Neraca Unaudited SIMAK'!$A$2:$R$1272,6,FALSE)+IF(ISNA(VLOOKUP($A1193,'Mutasi Neraca'!$A$3:$S$910,6,FALSE)),0,VLOOKUP($A1193,'Mutasi Neraca'!$A$3:$S$910,6,FALSE))</f>
        <v>0</v>
      </c>
      <c r="H1193" s="42">
        <f>VLOOKUP($A1193,'Neraca Unaudited SIMAK'!$A$2:$R$1272,7,FALSE)+IF(ISNA(VLOOKUP($A1193,'Mutasi Neraca'!$A$3:$S$910,7,FALSE)),0,VLOOKUP($A1193,'Mutasi Neraca'!$A$3:$S$910,7,FALSE))</f>
        <v>0</v>
      </c>
      <c r="I1193" s="42">
        <f>VLOOKUP($A1193,'Neraca Unaudited SIMAK'!$A$2:$R$1272,8,FALSE)+IF(ISNA(VLOOKUP($A1193,'Mutasi Neraca'!$A$3:$S$910,8,FALSE)),0,VLOOKUP($A1193,'Mutasi Neraca'!$A$3:$S$910,8,FALSE))</f>
        <v>0</v>
      </c>
      <c r="J1193" s="42">
        <f>VLOOKUP($A1193,'Neraca Unaudited SIMAK'!$A$2:$R$1272,9,FALSE)+IF(ISNA(VLOOKUP($A1193,'Mutasi Neraca'!$A$3:$S$910,9,FALSE)),0,VLOOKUP($A1193,'Mutasi Neraca'!$A$3:$S$910,9,FALSE))</f>
        <v>0</v>
      </c>
      <c r="K1193" s="42">
        <f>VLOOKUP($A1193,'Neraca Unaudited SIMAK'!$A$2:$R$1272,10,FALSE)+IF(ISNA(VLOOKUP($A1193,'Mutasi Neraca'!$A$3:$S$910,10,FALSE)),0,VLOOKUP($A1193,'Mutasi Neraca'!$A$3:$S$910,10,FALSE))</f>
        <v>0</v>
      </c>
      <c r="L1193" s="42">
        <f>VLOOKUP($A1193,'Neraca Unaudited SIMAK'!$A$2:$R$1272,11,FALSE)+IF(ISNA(VLOOKUP($A1193,'Mutasi Neraca'!$A$3:$S$910,11,FALSE)),0,VLOOKUP($A1193,'Mutasi Neraca'!$A$3:$S$910,11,FALSE))</f>
        <v>0</v>
      </c>
      <c r="M1193" s="42">
        <f>VLOOKUP($A1193,'Neraca Unaudited SIMAK'!$A$2:$R$1272,12,FALSE)+IF(ISNA(VLOOKUP($A1193,'Mutasi Neraca'!$A$3:$S$910,12,FALSE)),0,VLOOKUP($A1193,'Mutasi Neraca'!$A$3:$S$910,12,FALSE))</f>
        <v>24000</v>
      </c>
      <c r="N1193" s="42">
        <f>VLOOKUP($A1193,'Neraca Unaudited SIMAK'!$A$2:$R$1272,13,FALSE)+IF(ISNA(VLOOKUP($A1193,'Mutasi Neraca'!$A$3:$S$910,13,FALSE)),0,VLOOKUP($A1193,'Mutasi Neraca'!$A$3:$S$910,13,FALSE))</f>
        <v>0</v>
      </c>
      <c r="O1193" s="42">
        <f>VLOOKUP($A1193,'Neraca Unaudited SIMAK'!$A$2:$R$1272,14,FALSE)+IF(ISNA(VLOOKUP($A1193,'Mutasi Neraca'!$A$3:$S$910,14,FALSE)),0,VLOOKUP($A1193,'Mutasi Neraca'!$A$3:$S$910,14,FALSE))</f>
        <v>0</v>
      </c>
      <c r="P1193" s="42">
        <f>VLOOKUP($A1193,'Neraca Unaudited SIMAK'!$A$2:$R$1272,15,FALSE)+IF(ISNA(VLOOKUP($A1193,'Mutasi Neraca'!$A$3:$S$910,15,FALSE)),0,VLOOKUP($A1193,'Mutasi Neraca'!$A$3:$S$910,15,FALSE))</f>
        <v>0</v>
      </c>
      <c r="Q1193" s="42">
        <f>VLOOKUP($A1193,'Neraca Unaudited SIMAK'!$A$2:$R$1272,16,FALSE)+IF(ISNA(VLOOKUP($A1193,'Mutasi Neraca'!$A$3:$S$910,16,FALSE)),0,VLOOKUP($A1193,'Mutasi Neraca'!$A$3:$S$910,16,FALSE))</f>
        <v>0</v>
      </c>
      <c r="R1193" s="42">
        <f>VLOOKUP($A1193,'Neraca Unaudited SIMAK'!$A$2:$R$1272,17,FALSE)+IF(ISNA(VLOOKUP($A1193,'Mutasi Neraca'!$A$3:$S$910,17,FALSE)),0,VLOOKUP($A1193,'Mutasi Neraca'!$A$3:$S$910,17,FALSE))</f>
        <v>0</v>
      </c>
      <c r="S1193" s="42">
        <f t="shared" si="79"/>
        <v>24000</v>
      </c>
    </row>
    <row r="1194" spans="1:19">
      <c r="A1194" s="41" t="s">
        <v>2075</v>
      </c>
      <c r="B1194" s="41" t="str">
        <f t="shared" si="78"/>
        <v>005033400</v>
      </c>
      <c r="D1194" s="42">
        <f>VLOOKUP($A1194,'Neraca Unaudited SIMAK'!$A$2:$R$1272,3,FALSE)+IF(ISNA(VLOOKUP($A1194,'Mutasi Neraca'!$A$3:$S$910,3,FALSE)),0,VLOOKUP($A1194,'Mutasi Neraca'!$A$3:$S$910,3,FALSE))</f>
        <v>66000</v>
      </c>
      <c r="E1194" s="42">
        <f>VLOOKUP($A1194,'Neraca Unaudited SIMAK'!$A$2:$R$1272,4,FALSE)+IF(ISNA(VLOOKUP($A1194,'Mutasi Neraca'!$A$3:$S$910,4,FALSE)),0,VLOOKUP($A1194,'Mutasi Neraca'!$A$3:$S$910,4,FALSE))</f>
        <v>0</v>
      </c>
      <c r="F1194" s="42">
        <f>VLOOKUP($A1194,'Neraca Unaudited SIMAK'!$A$2:$R$1272,5,FALSE)+IF(ISNA(VLOOKUP($A1194,'Mutasi Neraca'!$A$3:$S$910,5,FALSE)),0,VLOOKUP($A1194,'Mutasi Neraca'!$A$3:$S$910,5,FALSE))</f>
        <v>0</v>
      </c>
      <c r="G1194" s="42">
        <f>VLOOKUP($A1194,'Neraca Unaudited SIMAK'!$A$2:$R$1272,6,FALSE)+IF(ISNA(VLOOKUP($A1194,'Mutasi Neraca'!$A$3:$S$910,6,FALSE)),0,VLOOKUP($A1194,'Mutasi Neraca'!$A$3:$S$910,6,FALSE))</f>
        <v>0</v>
      </c>
      <c r="H1194" s="42">
        <f>VLOOKUP($A1194,'Neraca Unaudited SIMAK'!$A$2:$R$1272,7,FALSE)+IF(ISNA(VLOOKUP($A1194,'Mutasi Neraca'!$A$3:$S$910,7,FALSE)),0,VLOOKUP($A1194,'Mutasi Neraca'!$A$3:$S$910,7,FALSE))</f>
        <v>0</v>
      </c>
      <c r="I1194" s="42">
        <f>VLOOKUP($A1194,'Neraca Unaudited SIMAK'!$A$2:$R$1272,8,FALSE)+IF(ISNA(VLOOKUP($A1194,'Mutasi Neraca'!$A$3:$S$910,8,FALSE)),0,VLOOKUP($A1194,'Mutasi Neraca'!$A$3:$S$910,8,FALSE))</f>
        <v>0</v>
      </c>
      <c r="J1194" s="42">
        <f>VLOOKUP($A1194,'Neraca Unaudited SIMAK'!$A$2:$R$1272,9,FALSE)+IF(ISNA(VLOOKUP($A1194,'Mutasi Neraca'!$A$3:$S$910,9,FALSE)),0,VLOOKUP($A1194,'Mutasi Neraca'!$A$3:$S$910,9,FALSE))</f>
        <v>0</v>
      </c>
      <c r="K1194" s="42">
        <f>VLOOKUP($A1194,'Neraca Unaudited SIMAK'!$A$2:$R$1272,10,FALSE)+IF(ISNA(VLOOKUP($A1194,'Mutasi Neraca'!$A$3:$S$910,10,FALSE)),0,VLOOKUP($A1194,'Mutasi Neraca'!$A$3:$S$910,10,FALSE))</f>
        <v>0</v>
      </c>
      <c r="L1194" s="42">
        <f>VLOOKUP($A1194,'Neraca Unaudited SIMAK'!$A$2:$R$1272,11,FALSE)+IF(ISNA(VLOOKUP($A1194,'Mutasi Neraca'!$A$3:$S$910,11,FALSE)),0,VLOOKUP($A1194,'Mutasi Neraca'!$A$3:$S$910,11,FALSE))</f>
        <v>0</v>
      </c>
      <c r="M1194" s="42">
        <f>VLOOKUP($A1194,'Neraca Unaudited SIMAK'!$A$2:$R$1272,12,FALSE)+IF(ISNA(VLOOKUP($A1194,'Mutasi Neraca'!$A$3:$S$910,12,FALSE)),0,VLOOKUP($A1194,'Mutasi Neraca'!$A$3:$S$910,12,FALSE))</f>
        <v>66000</v>
      </c>
      <c r="N1194" s="42">
        <f>VLOOKUP($A1194,'Neraca Unaudited SIMAK'!$A$2:$R$1272,13,FALSE)+IF(ISNA(VLOOKUP($A1194,'Mutasi Neraca'!$A$3:$S$910,13,FALSE)),0,VLOOKUP($A1194,'Mutasi Neraca'!$A$3:$S$910,13,FALSE))</f>
        <v>0</v>
      </c>
      <c r="O1194" s="42">
        <f>VLOOKUP($A1194,'Neraca Unaudited SIMAK'!$A$2:$R$1272,14,FALSE)+IF(ISNA(VLOOKUP($A1194,'Mutasi Neraca'!$A$3:$S$910,14,FALSE)),0,VLOOKUP($A1194,'Mutasi Neraca'!$A$3:$S$910,14,FALSE))</f>
        <v>0</v>
      </c>
      <c r="P1194" s="42">
        <f>VLOOKUP($A1194,'Neraca Unaudited SIMAK'!$A$2:$R$1272,15,FALSE)+IF(ISNA(VLOOKUP($A1194,'Mutasi Neraca'!$A$3:$S$910,15,FALSE)),0,VLOOKUP($A1194,'Mutasi Neraca'!$A$3:$S$910,15,FALSE))</f>
        <v>0</v>
      </c>
      <c r="Q1194" s="42">
        <f>VLOOKUP($A1194,'Neraca Unaudited SIMAK'!$A$2:$R$1272,16,FALSE)+IF(ISNA(VLOOKUP($A1194,'Mutasi Neraca'!$A$3:$S$910,16,FALSE)),0,VLOOKUP($A1194,'Mutasi Neraca'!$A$3:$S$910,16,FALSE))</f>
        <v>0</v>
      </c>
      <c r="R1194" s="42">
        <f>VLOOKUP($A1194,'Neraca Unaudited SIMAK'!$A$2:$R$1272,17,FALSE)+IF(ISNA(VLOOKUP($A1194,'Mutasi Neraca'!$A$3:$S$910,17,FALSE)),0,VLOOKUP($A1194,'Mutasi Neraca'!$A$3:$S$910,17,FALSE))</f>
        <v>0</v>
      </c>
      <c r="S1194" s="42">
        <f t="shared" si="79"/>
        <v>66000</v>
      </c>
    </row>
    <row r="1195" spans="1:19">
      <c r="A1195" s="41" t="s">
        <v>1117</v>
      </c>
      <c r="B1195" s="41" t="str">
        <f t="shared" si="78"/>
        <v>005040100</v>
      </c>
      <c r="D1195" s="42">
        <f>VLOOKUP($A1195,'Neraca Unaudited SIMAK'!$A$2:$R$1272,3,FALSE)+IF(ISNA(VLOOKUP($A1195,'Mutasi Neraca'!$A$3:$S$910,3,FALSE)),0,VLOOKUP($A1195,'Mutasi Neraca'!$A$3:$S$910,3,FALSE))</f>
        <v>31000</v>
      </c>
      <c r="E1195" s="42">
        <f>VLOOKUP($A1195,'Neraca Unaudited SIMAK'!$A$2:$R$1272,4,FALSE)+IF(ISNA(VLOOKUP($A1195,'Mutasi Neraca'!$A$3:$S$910,4,FALSE)),0,VLOOKUP($A1195,'Mutasi Neraca'!$A$3:$S$910,4,FALSE))</f>
        <v>0</v>
      </c>
      <c r="F1195" s="42">
        <f>VLOOKUP($A1195,'Neraca Unaudited SIMAK'!$A$2:$R$1272,5,FALSE)+IF(ISNA(VLOOKUP($A1195,'Mutasi Neraca'!$A$3:$S$910,5,FALSE)),0,VLOOKUP($A1195,'Mutasi Neraca'!$A$3:$S$910,5,FALSE))</f>
        <v>0</v>
      </c>
      <c r="G1195" s="42">
        <f>VLOOKUP($A1195,'Neraca Unaudited SIMAK'!$A$2:$R$1272,6,FALSE)+IF(ISNA(VLOOKUP($A1195,'Mutasi Neraca'!$A$3:$S$910,6,FALSE)),0,VLOOKUP($A1195,'Mutasi Neraca'!$A$3:$S$910,6,FALSE))</f>
        <v>0</v>
      </c>
      <c r="H1195" s="42">
        <f>VLOOKUP($A1195,'Neraca Unaudited SIMAK'!$A$2:$R$1272,7,FALSE)+IF(ISNA(VLOOKUP($A1195,'Mutasi Neraca'!$A$3:$S$910,7,FALSE)),0,VLOOKUP($A1195,'Mutasi Neraca'!$A$3:$S$910,7,FALSE))</f>
        <v>0</v>
      </c>
      <c r="I1195" s="42">
        <f>VLOOKUP($A1195,'Neraca Unaudited SIMAK'!$A$2:$R$1272,8,FALSE)+IF(ISNA(VLOOKUP($A1195,'Mutasi Neraca'!$A$3:$S$910,8,FALSE)),0,VLOOKUP($A1195,'Mutasi Neraca'!$A$3:$S$910,8,FALSE))</f>
        <v>0</v>
      </c>
      <c r="J1195" s="42">
        <f>VLOOKUP($A1195,'Neraca Unaudited SIMAK'!$A$2:$R$1272,9,FALSE)+IF(ISNA(VLOOKUP($A1195,'Mutasi Neraca'!$A$3:$S$910,9,FALSE)),0,VLOOKUP($A1195,'Mutasi Neraca'!$A$3:$S$910,9,FALSE))</f>
        <v>0</v>
      </c>
      <c r="K1195" s="42">
        <f>VLOOKUP($A1195,'Neraca Unaudited SIMAK'!$A$2:$R$1272,10,FALSE)+IF(ISNA(VLOOKUP($A1195,'Mutasi Neraca'!$A$3:$S$910,10,FALSE)),0,VLOOKUP($A1195,'Mutasi Neraca'!$A$3:$S$910,10,FALSE))</f>
        <v>0</v>
      </c>
      <c r="L1195" s="42">
        <f>VLOOKUP($A1195,'Neraca Unaudited SIMAK'!$A$2:$R$1272,11,FALSE)+IF(ISNA(VLOOKUP($A1195,'Mutasi Neraca'!$A$3:$S$910,11,FALSE)),0,VLOOKUP($A1195,'Mutasi Neraca'!$A$3:$S$910,11,FALSE))</f>
        <v>0</v>
      </c>
      <c r="M1195" s="42">
        <f>VLOOKUP($A1195,'Neraca Unaudited SIMAK'!$A$2:$R$1272,12,FALSE)+IF(ISNA(VLOOKUP($A1195,'Mutasi Neraca'!$A$3:$S$910,12,FALSE)),0,VLOOKUP($A1195,'Mutasi Neraca'!$A$3:$S$910,12,FALSE))</f>
        <v>31000</v>
      </c>
      <c r="N1195" s="42">
        <f>VLOOKUP($A1195,'Neraca Unaudited SIMAK'!$A$2:$R$1272,13,FALSE)+IF(ISNA(VLOOKUP($A1195,'Mutasi Neraca'!$A$3:$S$910,13,FALSE)),0,VLOOKUP($A1195,'Mutasi Neraca'!$A$3:$S$910,13,FALSE))</f>
        <v>0</v>
      </c>
      <c r="O1195" s="42">
        <f>VLOOKUP($A1195,'Neraca Unaudited SIMAK'!$A$2:$R$1272,14,FALSE)+IF(ISNA(VLOOKUP($A1195,'Mutasi Neraca'!$A$3:$S$910,14,FALSE)),0,VLOOKUP($A1195,'Mutasi Neraca'!$A$3:$S$910,14,FALSE))</f>
        <v>0</v>
      </c>
      <c r="P1195" s="42">
        <f>VLOOKUP($A1195,'Neraca Unaudited SIMAK'!$A$2:$R$1272,15,FALSE)+IF(ISNA(VLOOKUP($A1195,'Mutasi Neraca'!$A$3:$S$910,15,FALSE)),0,VLOOKUP($A1195,'Mutasi Neraca'!$A$3:$S$910,15,FALSE))</f>
        <v>0</v>
      </c>
      <c r="Q1195" s="42">
        <f>VLOOKUP($A1195,'Neraca Unaudited SIMAK'!$A$2:$R$1272,16,FALSE)+IF(ISNA(VLOOKUP($A1195,'Mutasi Neraca'!$A$3:$S$910,16,FALSE)),0,VLOOKUP($A1195,'Mutasi Neraca'!$A$3:$S$910,16,FALSE))</f>
        <v>0</v>
      </c>
      <c r="R1195" s="42">
        <f>VLOOKUP($A1195,'Neraca Unaudited SIMAK'!$A$2:$R$1272,17,FALSE)+IF(ISNA(VLOOKUP($A1195,'Mutasi Neraca'!$A$3:$S$910,17,FALSE)),0,VLOOKUP($A1195,'Mutasi Neraca'!$A$3:$S$910,17,FALSE))</f>
        <v>0</v>
      </c>
      <c r="S1195" s="42">
        <f t="shared" si="79"/>
        <v>31000</v>
      </c>
    </row>
    <row r="1196" spans="1:19">
      <c r="A1196" s="41" t="s">
        <v>1162</v>
      </c>
      <c r="B1196" s="41" t="str">
        <f t="shared" si="78"/>
        <v>005040199</v>
      </c>
      <c r="D1196" s="42">
        <f>VLOOKUP($A1196,'Neraca Unaudited SIMAK'!$A$2:$R$1272,3,FALSE)+IF(ISNA(VLOOKUP($A1196,'Mutasi Neraca'!$A$3:$S$910,3,FALSE)),0,VLOOKUP($A1196,'Mutasi Neraca'!$A$3:$S$910,3,FALSE))</f>
        <v>425901204</v>
      </c>
      <c r="E1196" s="42">
        <f>VLOOKUP($A1196,'Neraca Unaudited SIMAK'!$A$2:$R$1272,4,FALSE)+IF(ISNA(VLOOKUP($A1196,'Mutasi Neraca'!$A$3:$S$910,4,FALSE)),0,VLOOKUP($A1196,'Mutasi Neraca'!$A$3:$S$910,4,FALSE))</f>
        <v>0</v>
      </c>
      <c r="F1196" s="42">
        <f>VLOOKUP($A1196,'Neraca Unaudited SIMAK'!$A$2:$R$1272,5,FALSE)+IF(ISNA(VLOOKUP($A1196,'Mutasi Neraca'!$A$3:$S$910,5,FALSE)),0,VLOOKUP($A1196,'Mutasi Neraca'!$A$3:$S$910,5,FALSE))</f>
        <v>25119527124</v>
      </c>
      <c r="G1196" s="42">
        <f>VLOOKUP($A1196,'Neraca Unaudited SIMAK'!$A$2:$R$1272,6,FALSE)+IF(ISNA(VLOOKUP($A1196,'Mutasi Neraca'!$A$3:$S$910,6,FALSE)),0,VLOOKUP($A1196,'Mutasi Neraca'!$A$3:$S$910,6,FALSE))</f>
        <v>0</v>
      </c>
      <c r="H1196" s="42">
        <f>VLOOKUP($A1196,'Neraca Unaudited SIMAK'!$A$2:$R$1272,7,FALSE)+IF(ISNA(VLOOKUP($A1196,'Mutasi Neraca'!$A$3:$S$910,7,FALSE)),0,VLOOKUP($A1196,'Mutasi Neraca'!$A$3:$S$910,7,FALSE))</f>
        <v>0</v>
      </c>
      <c r="I1196" s="42">
        <f>VLOOKUP($A1196,'Neraca Unaudited SIMAK'!$A$2:$R$1272,8,FALSE)+IF(ISNA(VLOOKUP($A1196,'Mutasi Neraca'!$A$3:$S$910,8,FALSE)),0,VLOOKUP($A1196,'Mutasi Neraca'!$A$3:$S$910,8,FALSE))</f>
        <v>480364250</v>
      </c>
      <c r="J1196" s="42">
        <f>VLOOKUP($A1196,'Neraca Unaudited SIMAK'!$A$2:$R$1272,9,FALSE)+IF(ISNA(VLOOKUP($A1196,'Mutasi Neraca'!$A$3:$S$910,9,FALSE)),0,VLOOKUP($A1196,'Mutasi Neraca'!$A$3:$S$910,9,FALSE))</f>
        <v>0</v>
      </c>
      <c r="K1196" s="42">
        <f>VLOOKUP($A1196,'Neraca Unaudited SIMAK'!$A$2:$R$1272,10,FALSE)+IF(ISNA(VLOOKUP($A1196,'Mutasi Neraca'!$A$3:$S$910,10,FALSE)),0,VLOOKUP($A1196,'Mutasi Neraca'!$A$3:$S$910,10,FALSE))</f>
        <v>976591725</v>
      </c>
      <c r="L1196" s="42">
        <f>VLOOKUP($A1196,'Neraca Unaudited SIMAK'!$A$2:$R$1272,11,FALSE)+IF(ISNA(VLOOKUP($A1196,'Mutasi Neraca'!$A$3:$S$910,11,FALSE)),0,VLOOKUP($A1196,'Mutasi Neraca'!$A$3:$S$910,11,FALSE))</f>
        <v>116460000</v>
      </c>
      <c r="M1196" s="42">
        <f>VLOOKUP($A1196,'Neraca Unaudited SIMAK'!$A$2:$R$1272,12,FALSE)+IF(ISNA(VLOOKUP($A1196,'Mutasi Neraca'!$A$3:$S$910,12,FALSE)),0,VLOOKUP($A1196,'Mutasi Neraca'!$A$3:$S$910,12,FALSE))</f>
        <v>27118844303</v>
      </c>
      <c r="N1196" s="42">
        <f>VLOOKUP($A1196,'Neraca Unaudited SIMAK'!$A$2:$R$1272,13,FALSE)+IF(ISNA(VLOOKUP($A1196,'Mutasi Neraca'!$A$3:$S$910,13,FALSE)),0,VLOOKUP($A1196,'Mutasi Neraca'!$A$3:$S$910,13,FALSE))</f>
        <v>-17008554091</v>
      </c>
      <c r="O1196" s="42">
        <f>VLOOKUP($A1196,'Neraca Unaudited SIMAK'!$A$2:$R$1272,14,FALSE)+IF(ISNA(VLOOKUP($A1196,'Mutasi Neraca'!$A$3:$S$910,14,FALSE)),0,VLOOKUP($A1196,'Mutasi Neraca'!$A$3:$S$910,14,FALSE))</f>
        <v>0</v>
      </c>
      <c r="P1196" s="42">
        <f>VLOOKUP($A1196,'Neraca Unaudited SIMAK'!$A$2:$R$1272,15,FALSE)+IF(ISNA(VLOOKUP($A1196,'Mutasi Neraca'!$A$3:$S$910,15,FALSE)),0,VLOOKUP($A1196,'Mutasi Neraca'!$A$3:$S$910,15,FALSE))</f>
        <v>0</v>
      </c>
      <c r="Q1196" s="42">
        <f>VLOOKUP($A1196,'Neraca Unaudited SIMAK'!$A$2:$R$1272,16,FALSE)+IF(ISNA(VLOOKUP($A1196,'Mutasi Neraca'!$A$3:$S$910,16,FALSE)),0,VLOOKUP($A1196,'Mutasi Neraca'!$A$3:$S$910,16,FALSE))</f>
        <v>0</v>
      </c>
      <c r="R1196" s="42">
        <f>VLOOKUP($A1196,'Neraca Unaudited SIMAK'!$A$2:$R$1272,17,FALSE)+IF(ISNA(VLOOKUP($A1196,'Mutasi Neraca'!$A$3:$S$910,17,FALSE)),0,VLOOKUP($A1196,'Mutasi Neraca'!$A$3:$S$910,17,FALSE))</f>
        <v>-116460000</v>
      </c>
      <c r="S1196" s="42">
        <f t="shared" si="79"/>
        <v>9993830212</v>
      </c>
    </row>
    <row r="1197" spans="1:19">
      <c r="A1197" s="41" t="s">
        <v>2204</v>
      </c>
      <c r="B1197" s="41" t="str">
        <f t="shared" si="78"/>
        <v>005040300</v>
      </c>
      <c r="D1197" s="42">
        <f>VLOOKUP($A1197,'Neraca Unaudited SIMAK'!$A$2:$R$1272,3,FALSE)+IF(ISNA(VLOOKUP($A1197,'Mutasi Neraca'!$A$3:$S$910,3,FALSE)),0,VLOOKUP($A1197,'Mutasi Neraca'!$A$3:$S$910,3,FALSE))</f>
        <v>0</v>
      </c>
      <c r="E1197" s="42">
        <f>VLOOKUP($A1197,'Neraca Unaudited SIMAK'!$A$2:$R$1272,4,FALSE)+IF(ISNA(VLOOKUP($A1197,'Mutasi Neraca'!$A$3:$S$910,4,FALSE)),0,VLOOKUP($A1197,'Mutasi Neraca'!$A$3:$S$910,4,FALSE))</f>
        <v>0</v>
      </c>
      <c r="F1197" s="42">
        <f>VLOOKUP($A1197,'Neraca Unaudited SIMAK'!$A$2:$R$1272,5,FALSE)+IF(ISNA(VLOOKUP($A1197,'Mutasi Neraca'!$A$3:$S$910,5,FALSE)),0,VLOOKUP($A1197,'Mutasi Neraca'!$A$3:$S$910,5,FALSE))</f>
        <v>0</v>
      </c>
      <c r="G1197" s="42">
        <f>VLOOKUP($A1197,'Neraca Unaudited SIMAK'!$A$2:$R$1272,6,FALSE)+IF(ISNA(VLOOKUP($A1197,'Mutasi Neraca'!$A$3:$S$910,6,FALSE)),0,VLOOKUP($A1197,'Mutasi Neraca'!$A$3:$S$910,6,FALSE))</f>
        <v>0</v>
      </c>
      <c r="H1197" s="42">
        <f>VLOOKUP($A1197,'Neraca Unaudited SIMAK'!$A$2:$R$1272,7,FALSE)+IF(ISNA(VLOOKUP($A1197,'Mutasi Neraca'!$A$3:$S$910,7,FALSE)),0,VLOOKUP($A1197,'Mutasi Neraca'!$A$3:$S$910,7,FALSE))</f>
        <v>0</v>
      </c>
      <c r="I1197" s="42">
        <f>VLOOKUP($A1197,'Neraca Unaudited SIMAK'!$A$2:$R$1272,8,FALSE)+IF(ISNA(VLOOKUP($A1197,'Mutasi Neraca'!$A$3:$S$910,8,FALSE)),0,VLOOKUP($A1197,'Mutasi Neraca'!$A$3:$S$910,8,FALSE))</f>
        <v>0</v>
      </c>
      <c r="J1197" s="42">
        <f>VLOOKUP($A1197,'Neraca Unaudited SIMAK'!$A$2:$R$1272,9,FALSE)+IF(ISNA(VLOOKUP($A1197,'Mutasi Neraca'!$A$3:$S$910,9,FALSE)),0,VLOOKUP($A1197,'Mutasi Neraca'!$A$3:$S$910,9,FALSE))</f>
        <v>0</v>
      </c>
      <c r="K1197" s="42">
        <f>VLOOKUP($A1197,'Neraca Unaudited SIMAK'!$A$2:$R$1272,10,FALSE)+IF(ISNA(VLOOKUP($A1197,'Mutasi Neraca'!$A$3:$S$910,10,FALSE)),0,VLOOKUP($A1197,'Mutasi Neraca'!$A$3:$S$910,10,FALSE))</f>
        <v>0</v>
      </c>
      <c r="L1197" s="42">
        <f>VLOOKUP($A1197,'Neraca Unaudited SIMAK'!$A$2:$R$1272,11,FALSE)+IF(ISNA(VLOOKUP($A1197,'Mutasi Neraca'!$A$3:$S$910,11,FALSE)),0,VLOOKUP($A1197,'Mutasi Neraca'!$A$3:$S$910,11,FALSE))</f>
        <v>0</v>
      </c>
      <c r="M1197" s="42">
        <f>VLOOKUP($A1197,'Neraca Unaudited SIMAK'!$A$2:$R$1272,12,FALSE)+IF(ISNA(VLOOKUP($A1197,'Mutasi Neraca'!$A$3:$S$910,12,FALSE)),0,VLOOKUP($A1197,'Mutasi Neraca'!$A$3:$S$910,12,FALSE))</f>
        <v>0</v>
      </c>
      <c r="N1197" s="42">
        <f>VLOOKUP($A1197,'Neraca Unaudited SIMAK'!$A$2:$R$1272,13,FALSE)+IF(ISNA(VLOOKUP($A1197,'Mutasi Neraca'!$A$3:$S$910,13,FALSE)),0,VLOOKUP($A1197,'Mutasi Neraca'!$A$3:$S$910,13,FALSE))</f>
        <v>0</v>
      </c>
      <c r="O1197" s="42">
        <f>VLOOKUP($A1197,'Neraca Unaudited SIMAK'!$A$2:$R$1272,14,FALSE)+IF(ISNA(VLOOKUP($A1197,'Mutasi Neraca'!$A$3:$S$910,14,FALSE)),0,VLOOKUP($A1197,'Mutasi Neraca'!$A$3:$S$910,14,FALSE))</f>
        <v>0</v>
      </c>
      <c r="P1197" s="42">
        <f>VLOOKUP($A1197,'Neraca Unaudited SIMAK'!$A$2:$R$1272,15,FALSE)+IF(ISNA(VLOOKUP($A1197,'Mutasi Neraca'!$A$3:$S$910,15,FALSE)),0,VLOOKUP($A1197,'Mutasi Neraca'!$A$3:$S$910,15,FALSE))</f>
        <v>0</v>
      </c>
      <c r="Q1197" s="42">
        <f>VLOOKUP($A1197,'Neraca Unaudited SIMAK'!$A$2:$R$1272,16,FALSE)+IF(ISNA(VLOOKUP($A1197,'Mutasi Neraca'!$A$3:$S$910,16,FALSE)),0,VLOOKUP($A1197,'Mutasi Neraca'!$A$3:$S$910,16,FALSE))</f>
        <v>0</v>
      </c>
      <c r="R1197" s="42">
        <f>VLOOKUP($A1197,'Neraca Unaudited SIMAK'!$A$2:$R$1272,17,FALSE)+IF(ISNA(VLOOKUP($A1197,'Mutasi Neraca'!$A$3:$S$910,17,FALSE)),0,VLOOKUP($A1197,'Mutasi Neraca'!$A$3:$S$910,17,FALSE))</f>
        <v>0</v>
      </c>
      <c r="S1197" s="42">
        <f t="shared" si="79"/>
        <v>0</v>
      </c>
    </row>
    <row r="1198" spans="1:19">
      <c r="A1198" s="41" t="s">
        <v>2273</v>
      </c>
      <c r="B1198" s="41" t="str">
        <f t="shared" si="78"/>
        <v>005040800</v>
      </c>
      <c r="D1198" s="42">
        <f>VLOOKUP($A1198,'Neraca Unaudited SIMAK'!$A$2:$R$1272,3,FALSE)+IF(ISNA(VLOOKUP($A1198,'Mutasi Neraca'!$A$3:$S$910,3,FALSE)),0,VLOOKUP($A1198,'Mutasi Neraca'!$A$3:$S$910,3,FALSE))</f>
        <v>0</v>
      </c>
      <c r="E1198" s="42">
        <f>VLOOKUP($A1198,'Neraca Unaudited SIMAK'!$A$2:$R$1272,4,FALSE)+IF(ISNA(VLOOKUP($A1198,'Mutasi Neraca'!$A$3:$S$910,4,FALSE)),0,VLOOKUP($A1198,'Mutasi Neraca'!$A$3:$S$910,4,FALSE))</f>
        <v>0</v>
      </c>
      <c r="F1198" s="42">
        <f>VLOOKUP($A1198,'Neraca Unaudited SIMAK'!$A$2:$R$1272,5,FALSE)+IF(ISNA(VLOOKUP($A1198,'Mutasi Neraca'!$A$3:$S$910,5,FALSE)),0,VLOOKUP($A1198,'Mutasi Neraca'!$A$3:$S$910,5,FALSE))</f>
        <v>0</v>
      </c>
      <c r="G1198" s="42">
        <f>VLOOKUP($A1198,'Neraca Unaudited SIMAK'!$A$2:$R$1272,6,FALSE)+IF(ISNA(VLOOKUP($A1198,'Mutasi Neraca'!$A$3:$S$910,6,FALSE)),0,VLOOKUP($A1198,'Mutasi Neraca'!$A$3:$S$910,6,FALSE))</f>
        <v>0</v>
      </c>
      <c r="H1198" s="42">
        <f>VLOOKUP($A1198,'Neraca Unaudited SIMAK'!$A$2:$R$1272,7,FALSE)+IF(ISNA(VLOOKUP($A1198,'Mutasi Neraca'!$A$3:$S$910,7,FALSE)),0,VLOOKUP($A1198,'Mutasi Neraca'!$A$3:$S$910,7,FALSE))</f>
        <v>0</v>
      </c>
      <c r="I1198" s="42">
        <f>VLOOKUP($A1198,'Neraca Unaudited SIMAK'!$A$2:$R$1272,8,FALSE)+IF(ISNA(VLOOKUP($A1198,'Mutasi Neraca'!$A$3:$S$910,8,FALSE)),0,VLOOKUP($A1198,'Mutasi Neraca'!$A$3:$S$910,8,FALSE))</f>
        <v>0</v>
      </c>
      <c r="J1198" s="42">
        <f>VLOOKUP($A1198,'Neraca Unaudited SIMAK'!$A$2:$R$1272,9,FALSE)+IF(ISNA(VLOOKUP($A1198,'Mutasi Neraca'!$A$3:$S$910,9,FALSE)),0,VLOOKUP($A1198,'Mutasi Neraca'!$A$3:$S$910,9,FALSE))</f>
        <v>0</v>
      </c>
      <c r="K1198" s="42">
        <f>VLOOKUP($A1198,'Neraca Unaudited SIMAK'!$A$2:$R$1272,10,FALSE)+IF(ISNA(VLOOKUP($A1198,'Mutasi Neraca'!$A$3:$S$910,10,FALSE)),0,VLOOKUP($A1198,'Mutasi Neraca'!$A$3:$S$910,10,FALSE))</f>
        <v>0</v>
      </c>
      <c r="L1198" s="42">
        <f>VLOOKUP($A1198,'Neraca Unaudited SIMAK'!$A$2:$R$1272,11,FALSE)+IF(ISNA(VLOOKUP($A1198,'Mutasi Neraca'!$A$3:$S$910,11,FALSE)),0,VLOOKUP($A1198,'Mutasi Neraca'!$A$3:$S$910,11,FALSE))</f>
        <v>0</v>
      </c>
      <c r="M1198" s="42">
        <f>VLOOKUP($A1198,'Neraca Unaudited SIMAK'!$A$2:$R$1272,12,FALSE)+IF(ISNA(VLOOKUP($A1198,'Mutasi Neraca'!$A$3:$S$910,12,FALSE)),0,VLOOKUP($A1198,'Mutasi Neraca'!$A$3:$S$910,12,FALSE))</f>
        <v>0</v>
      </c>
      <c r="N1198" s="42">
        <f>VLOOKUP($A1198,'Neraca Unaudited SIMAK'!$A$2:$R$1272,13,FALSE)+IF(ISNA(VLOOKUP($A1198,'Mutasi Neraca'!$A$3:$S$910,13,FALSE)),0,VLOOKUP($A1198,'Mutasi Neraca'!$A$3:$S$910,13,FALSE))</f>
        <v>0</v>
      </c>
      <c r="O1198" s="42">
        <f>VLOOKUP($A1198,'Neraca Unaudited SIMAK'!$A$2:$R$1272,14,FALSE)+IF(ISNA(VLOOKUP($A1198,'Mutasi Neraca'!$A$3:$S$910,14,FALSE)),0,VLOOKUP($A1198,'Mutasi Neraca'!$A$3:$S$910,14,FALSE))</f>
        <v>0</v>
      </c>
      <c r="P1198" s="42">
        <f>VLOOKUP($A1198,'Neraca Unaudited SIMAK'!$A$2:$R$1272,15,FALSE)+IF(ISNA(VLOOKUP($A1198,'Mutasi Neraca'!$A$3:$S$910,15,FALSE)),0,VLOOKUP($A1198,'Mutasi Neraca'!$A$3:$S$910,15,FALSE))</f>
        <v>0</v>
      </c>
      <c r="Q1198" s="42">
        <f>VLOOKUP($A1198,'Neraca Unaudited SIMAK'!$A$2:$R$1272,16,FALSE)+IF(ISNA(VLOOKUP($A1198,'Mutasi Neraca'!$A$3:$S$910,16,FALSE)),0,VLOOKUP($A1198,'Mutasi Neraca'!$A$3:$S$910,16,FALSE))</f>
        <v>0</v>
      </c>
      <c r="R1198" s="42">
        <f>VLOOKUP($A1198,'Neraca Unaudited SIMAK'!$A$2:$R$1272,17,FALSE)+IF(ISNA(VLOOKUP($A1198,'Mutasi Neraca'!$A$3:$S$910,17,FALSE)),0,VLOOKUP($A1198,'Mutasi Neraca'!$A$3:$S$910,17,FALSE))</f>
        <v>0</v>
      </c>
      <c r="S1198" s="42">
        <f t="shared" si="79"/>
        <v>0</v>
      </c>
    </row>
    <row r="1199" spans="1:19">
      <c r="A1199" s="41" t="s">
        <v>1118</v>
      </c>
      <c r="B1199" s="41" t="str">
        <f t="shared" si="78"/>
        <v>005040800</v>
      </c>
      <c r="D1199" s="42">
        <f>VLOOKUP($A1199,'Neraca Unaudited SIMAK'!$A$2:$R$1272,3,FALSE)+IF(ISNA(VLOOKUP($A1199,'Mutasi Neraca'!$A$3:$S$910,3,FALSE)),0,VLOOKUP($A1199,'Mutasi Neraca'!$A$3:$S$910,3,FALSE))</f>
        <v>0</v>
      </c>
      <c r="E1199" s="42">
        <f>VLOOKUP($A1199,'Neraca Unaudited SIMAK'!$A$2:$R$1272,4,FALSE)+IF(ISNA(VLOOKUP($A1199,'Mutasi Neraca'!$A$3:$S$910,4,FALSE)),0,VLOOKUP($A1199,'Mutasi Neraca'!$A$3:$S$910,4,FALSE))</f>
        <v>0</v>
      </c>
      <c r="F1199" s="42">
        <f>VLOOKUP($A1199,'Neraca Unaudited SIMAK'!$A$2:$R$1272,5,FALSE)+IF(ISNA(VLOOKUP($A1199,'Mutasi Neraca'!$A$3:$S$910,5,FALSE)),0,VLOOKUP($A1199,'Mutasi Neraca'!$A$3:$S$910,5,FALSE))</f>
        <v>0</v>
      </c>
      <c r="G1199" s="42">
        <f>VLOOKUP($A1199,'Neraca Unaudited SIMAK'!$A$2:$R$1272,6,FALSE)+IF(ISNA(VLOOKUP($A1199,'Mutasi Neraca'!$A$3:$S$910,6,FALSE)),0,VLOOKUP($A1199,'Mutasi Neraca'!$A$3:$S$910,6,FALSE))</f>
        <v>0</v>
      </c>
      <c r="H1199" s="42">
        <f>VLOOKUP($A1199,'Neraca Unaudited SIMAK'!$A$2:$R$1272,7,FALSE)+IF(ISNA(VLOOKUP($A1199,'Mutasi Neraca'!$A$3:$S$910,7,FALSE)),0,VLOOKUP($A1199,'Mutasi Neraca'!$A$3:$S$910,7,FALSE))</f>
        <v>0</v>
      </c>
      <c r="I1199" s="42">
        <f>VLOOKUP($A1199,'Neraca Unaudited SIMAK'!$A$2:$R$1272,8,FALSE)+IF(ISNA(VLOOKUP($A1199,'Mutasi Neraca'!$A$3:$S$910,8,FALSE)),0,VLOOKUP($A1199,'Mutasi Neraca'!$A$3:$S$910,8,FALSE))</f>
        <v>0</v>
      </c>
      <c r="J1199" s="42">
        <f>VLOOKUP($A1199,'Neraca Unaudited SIMAK'!$A$2:$R$1272,9,FALSE)+IF(ISNA(VLOOKUP($A1199,'Mutasi Neraca'!$A$3:$S$910,9,FALSE)),0,VLOOKUP($A1199,'Mutasi Neraca'!$A$3:$S$910,9,FALSE))</f>
        <v>0</v>
      </c>
      <c r="K1199" s="42">
        <f>VLOOKUP($A1199,'Neraca Unaudited SIMAK'!$A$2:$R$1272,10,FALSE)+IF(ISNA(VLOOKUP($A1199,'Mutasi Neraca'!$A$3:$S$910,10,FALSE)),0,VLOOKUP($A1199,'Mutasi Neraca'!$A$3:$S$910,10,FALSE))</f>
        <v>0</v>
      </c>
      <c r="L1199" s="42">
        <f>VLOOKUP($A1199,'Neraca Unaudited SIMAK'!$A$2:$R$1272,11,FALSE)+IF(ISNA(VLOOKUP($A1199,'Mutasi Neraca'!$A$3:$S$910,11,FALSE)),0,VLOOKUP($A1199,'Mutasi Neraca'!$A$3:$S$910,11,FALSE))</f>
        <v>0</v>
      </c>
      <c r="M1199" s="42">
        <f>VLOOKUP($A1199,'Neraca Unaudited SIMAK'!$A$2:$R$1272,12,FALSE)+IF(ISNA(VLOOKUP($A1199,'Mutasi Neraca'!$A$3:$S$910,12,FALSE)),0,VLOOKUP($A1199,'Mutasi Neraca'!$A$3:$S$910,12,FALSE))</f>
        <v>0</v>
      </c>
      <c r="N1199" s="42">
        <f>VLOOKUP($A1199,'Neraca Unaudited SIMAK'!$A$2:$R$1272,13,FALSE)+IF(ISNA(VLOOKUP($A1199,'Mutasi Neraca'!$A$3:$S$910,13,FALSE)),0,VLOOKUP($A1199,'Mutasi Neraca'!$A$3:$S$910,13,FALSE))</f>
        <v>0</v>
      </c>
      <c r="O1199" s="42">
        <f>VLOOKUP($A1199,'Neraca Unaudited SIMAK'!$A$2:$R$1272,14,FALSE)+IF(ISNA(VLOOKUP($A1199,'Mutasi Neraca'!$A$3:$S$910,14,FALSE)),0,VLOOKUP($A1199,'Mutasi Neraca'!$A$3:$S$910,14,FALSE))</f>
        <v>0</v>
      </c>
      <c r="P1199" s="42">
        <f>VLOOKUP($A1199,'Neraca Unaudited SIMAK'!$A$2:$R$1272,15,FALSE)+IF(ISNA(VLOOKUP($A1199,'Mutasi Neraca'!$A$3:$S$910,15,FALSE)),0,VLOOKUP($A1199,'Mutasi Neraca'!$A$3:$S$910,15,FALSE))</f>
        <v>0</v>
      </c>
      <c r="Q1199" s="42">
        <f>VLOOKUP($A1199,'Neraca Unaudited SIMAK'!$A$2:$R$1272,16,FALSE)+IF(ISNA(VLOOKUP($A1199,'Mutasi Neraca'!$A$3:$S$910,16,FALSE)),0,VLOOKUP($A1199,'Mutasi Neraca'!$A$3:$S$910,16,FALSE))</f>
        <v>0</v>
      </c>
      <c r="R1199" s="42">
        <f>VLOOKUP($A1199,'Neraca Unaudited SIMAK'!$A$2:$R$1272,17,FALSE)+IF(ISNA(VLOOKUP($A1199,'Mutasi Neraca'!$A$3:$S$910,17,FALSE)),0,VLOOKUP($A1199,'Mutasi Neraca'!$A$3:$S$910,17,FALSE))</f>
        <v>0</v>
      </c>
      <c r="S1199" s="42">
        <f t="shared" si="79"/>
        <v>0</v>
      </c>
    </row>
    <row r="1200" spans="1:19">
      <c r="A1200" s="41" t="s">
        <v>1119</v>
      </c>
      <c r="B1200" s="41" t="str">
        <f t="shared" si="78"/>
        <v>005040900</v>
      </c>
      <c r="D1200" s="42">
        <f>VLOOKUP($A1200,'Neraca Unaudited SIMAK'!$A$2:$R$1272,3,FALSE)+IF(ISNA(VLOOKUP($A1200,'Mutasi Neraca'!$A$3:$S$910,3,FALSE)),0,VLOOKUP($A1200,'Mutasi Neraca'!$A$3:$S$910,3,FALSE))</f>
        <v>0</v>
      </c>
      <c r="E1200" s="42">
        <f>VLOOKUP($A1200,'Neraca Unaudited SIMAK'!$A$2:$R$1272,4,FALSE)+IF(ISNA(VLOOKUP($A1200,'Mutasi Neraca'!$A$3:$S$910,4,FALSE)),0,VLOOKUP($A1200,'Mutasi Neraca'!$A$3:$S$910,4,FALSE))</f>
        <v>0</v>
      </c>
      <c r="F1200" s="42">
        <f>VLOOKUP($A1200,'Neraca Unaudited SIMAK'!$A$2:$R$1272,5,FALSE)+IF(ISNA(VLOOKUP($A1200,'Mutasi Neraca'!$A$3:$S$910,5,FALSE)),0,VLOOKUP($A1200,'Mutasi Neraca'!$A$3:$S$910,5,FALSE))</f>
        <v>0</v>
      </c>
      <c r="G1200" s="42">
        <f>VLOOKUP($A1200,'Neraca Unaudited SIMAK'!$A$2:$R$1272,6,FALSE)+IF(ISNA(VLOOKUP($A1200,'Mutasi Neraca'!$A$3:$S$910,6,FALSE)),0,VLOOKUP($A1200,'Mutasi Neraca'!$A$3:$S$910,6,FALSE))</f>
        <v>0</v>
      </c>
      <c r="H1200" s="42">
        <f>VLOOKUP($A1200,'Neraca Unaudited SIMAK'!$A$2:$R$1272,7,FALSE)+IF(ISNA(VLOOKUP($A1200,'Mutasi Neraca'!$A$3:$S$910,7,FALSE)),0,VLOOKUP($A1200,'Mutasi Neraca'!$A$3:$S$910,7,FALSE))</f>
        <v>0</v>
      </c>
      <c r="I1200" s="42">
        <f>VLOOKUP($A1200,'Neraca Unaudited SIMAK'!$A$2:$R$1272,8,FALSE)+IF(ISNA(VLOOKUP($A1200,'Mutasi Neraca'!$A$3:$S$910,8,FALSE)),0,VLOOKUP($A1200,'Mutasi Neraca'!$A$3:$S$910,8,FALSE))</f>
        <v>0</v>
      </c>
      <c r="J1200" s="42">
        <f>VLOOKUP($A1200,'Neraca Unaudited SIMAK'!$A$2:$R$1272,9,FALSE)+IF(ISNA(VLOOKUP($A1200,'Mutasi Neraca'!$A$3:$S$910,9,FALSE)),0,VLOOKUP($A1200,'Mutasi Neraca'!$A$3:$S$910,9,FALSE))</f>
        <v>0</v>
      </c>
      <c r="K1200" s="42">
        <f>VLOOKUP($A1200,'Neraca Unaudited SIMAK'!$A$2:$R$1272,10,FALSE)+IF(ISNA(VLOOKUP($A1200,'Mutasi Neraca'!$A$3:$S$910,10,FALSE)),0,VLOOKUP($A1200,'Mutasi Neraca'!$A$3:$S$910,10,FALSE))</f>
        <v>0</v>
      </c>
      <c r="L1200" s="42">
        <f>VLOOKUP($A1200,'Neraca Unaudited SIMAK'!$A$2:$R$1272,11,FALSE)+IF(ISNA(VLOOKUP($A1200,'Mutasi Neraca'!$A$3:$S$910,11,FALSE)),0,VLOOKUP($A1200,'Mutasi Neraca'!$A$3:$S$910,11,FALSE))</f>
        <v>0</v>
      </c>
      <c r="M1200" s="42">
        <f>VLOOKUP($A1200,'Neraca Unaudited SIMAK'!$A$2:$R$1272,12,FALSE)+IF(ISNA(VLOOKUP($A1200,'Mutasi Neraca'!$A$3:$S$910,12,FALSE)),0,VLOOKUP($A1200,'Mutasi Neraca'!$A$3:$S$910,12,FALSE))</f>
        <v>0</v>
      </c>
      <c r="N1200" s="42">
        <f>VLOOKUP($A1200,'Neraca Unaudited SIMAK'!$A$2:$R$1272,13,FALSE)+IF(ISNA(VLOOKUP($A1200,'Mutasi Neraca'!$A$3:$S$910,13,FALSE)),0,VLOOKUP($A1200,'Mutasi Neraca'!$A$3:$S$910,13,FALSE))</f>
        <v>0</v>
      </c>
      <c r="O1200" s="42">
        <f>VLOOKUP($A1200,'Neraca Unaudited SIMAK'!$A$2:$R$1272,14,FALSE)+IF(ISNA(VLOOKUP($A1200,'Mutasi Neraca'!$A$3:$S$910,14,FALSE)),0,VLOOKUP($A1200,'Mutasi Neraca'!$A$3:$S$910,14,FALSE))</f>
        <v>0</v>
      </c>
      <c r="P1200" s="42">
        <f>VLOOKUP($A1200,'Neraca Unaudited SIMAK'!$A$2:$R$1272,15,FALSE)+IF(ISNA(VLOOKUP($A1200,'Mutasi Neraca'!$A$3:$S$910,15,FALSE)),0,VLOOKUP($A1200,'Mutasi Neraca'!$A$3:$S$910,15,FALSE))</f>
        <v>0</v>
      </c>
      <c r="Q1200" s="42">
        <f>VLOOKUP($A1200,'Neraca Unaudited SIMAK'!$A$2:$R$1272,16,FALSE)+IF(ISNA(VLOOKUP($A1200,'Mutasi Neraca'!$A$3:$S$910,16,FALSE)),0,VLOOKUP($A1200,'Mutasi Neraca'!$A$3:$S$910,16,FALSE))</f>
        <v>0</v>
      </c>
      <c r="R1200" s="42">
        <f>VLOOKUP($A1200,'Neraca Unaudited SIMAK'!$A$2:$R$1272,17,FALSE)+IF(ISNA(VLOOKUP($A1200,'Mutasi Neraca'!$A$3:$S$910,17,FALSE)),0,VLOOKUP($A1200,'Mutasi Neraca'!$A$3:$S$910,17,FALSE))</f>
        <v>0</v>
      </c>
      <c r="S1200" s="42">
        <f t="shared" si="79"/>
        <v>0</v>
      </c>
    </row>
    <row r="1201" spans="1:19">
      <c r="A1201" s="41" t="s">
        <v>2274</v>
      </c>
      <c r="B1201" s="41" t="str">
        <f t="shared" si="78"/>
        <v>005040900</v>
      </c>
      <c r="D1201" s="42">
        <f>VLOOKUP($A1201,'Neraca Unaudited SIMAK'!$A$2:$R$1272,3,FALSE)+IF(ISNA(VLOOKUP($A1201,'Mutasi Neraca'!$A$3:$S$910,3,FALSE)),0,VLOOKUP($A1201,'Mutasi Neraca'!$A$3:$S$910,3,FALSE))</f>
        <v>0</v>
      </c>
      <c r="E1201" s="42">
        <f>VLOOKUP($A1201,'Neraca Unaudited SIMAK'!$A$2:$R$1272,4,FALSE)+IF(ISNA(VLOOKUP($A1201,'Mutasi Neraca'!$A$3:$S$910,4,FALSE)),0,VLOOKUP($A1201,'Mutasi Neraca'!$A$3:$S$910,4,FALSE))</f>
        <v>0</v>
      </c>
      <c r="F1201" s="42">
        <f>VLOOKUP($A1201,'Neraca Unaudited SIMAK'!$A$2:$R$1272,5,FALSE)+IF(ISNA(VLOOKUP($A1201,'Mutasi Neraca'!$A$3:$S$910,5,FALSE)),0,VLOOKUP($A1201,'Mutasi Neraca'!$A$3:$S$910,5,FALSE))</f>
        <v>0</v>
      </c>
      <c r="G1201" s="42">
        <f>VLOOKUP($A1201,'Neraca Unaudited SIMAK'!$A$2:$R$1272,6,FALSE)+IF(ISNA(VLOOKUP($A1201,'Mutasi Neraca'!$A$3:$S$910,6,FALSE)),0,VLOOKUP($A1201,'Mutasi Neraca'!$A$3:$S$910,6,FALSE))</f>
        <v>0</v>
      </c>
      <c r="H1201" s="42">
        <f>VLOOKUP($A1201,'Neraca Unaudited SIMAK'!$A$2:$R$1272,7,FALSE)+IF(ISNA(VLOOKUP($A1201,'Mutasi Neraca'!$A$3:$S$910,7,FALSE)),0,VLOOKUP($A1201,'Mutasi Neraca'!$A$3:$S$910,7,FALSE))</f>
        <v>0</v>
      </c>
      <c r="I1201" s="42">
        <f>VLOOKUP($A1201,'Neraca Unaudited SIMAK'!$A$2:$R$1272,8,FALSE)+IF(ISNA(VLOOKUP($A1201,'Mutasi Neraca'!$A$3:$S$910,8,FALSE)),0,VLOOKUP($A1201,'Mutasi Neraca'!$A$3:$S$910,8,FALSE))</f>
        <v>0</v>
      </c>
      <c r="J1201" s="42">
        <f>VLOOKUP($A1201,'Neraca Unaudited SIMAK'!$A$2:$R$1272,9,FALSE)+IF(ISNA(VLOOKUP($A1201,'Mutasi Neraca'!$A$3:$S$910,9,FALSE)),0,VLOOKUP($A1201,'Mutasi Neraca'!$A$3:$S$910,9,FALSE))</f>
        <v>0</v>
      </c>
      <c r="K1201" s="42">
        <f>VLOOKUP($A1201,'Neraca Unaudited SIMAK'!$A$2:$R$1272,10,FALSE)+IF(ISNA(VLOOKUP($A1201,'Mutasi Neraca'!$A$3:$S$910,10,FALSE)),0,VLOOKUP($A1201,'Mutasi Neraca'!$A$3:$S$910,10,FALSE))</f>
        <v>0</v>
      </c>
      <c r="L1201" s="42">
        <f>VLOOKUP($A1201,'Neraca Unaudited SIMAK'!$A$2:$R$1272,11,FALSE)+IF(ISNA(VLOOKUP($A1201,'Mutasi Neraca'!$A$3:$S$910,11,FALSE)),0,VLOOKUP($A1201,'Mutasi Neraca'!$A$3:$S$910,11,FALSE))</f>
        <v>0</v>
      </c>
      <c r="M1201" s="42">
        <f>VLOOKUP($A1201,'Neraca Unaudited SIMAK'!$A$2:$R$1272,12,FALSE)+IF(ISNA(VLOOKUP($A1201,'Mutasi Neraca'!$A$3:$S$910,12,FALSE)),0,VLOOKUP($A1201,'Mutasi Neraca'!$A$3:$S$910,12,FALSE))</f>
        <v>0</v>
      </c>
      <c r="N1201" s="42">
        <f>VLOOKUP($A1201,'Neraca Unaudited SIMAK'!$A$2:$R$1272,13,FALSE)+IF(ISNA(VLOOKUP($A1201,'Mutasi Neraca'!$A$3:$S$910,13,FALSE)),0,VLOOKUP($A1201,'Mutasi Neraca'!$A$3:$S$910,13,FALSE))</f>
        <v>0</v>
      </c>
      <c r="O1201" s="42">
        <f>VLOOKUP($A1201,'Neraca Unaudited SIMAK'!$A$2:$R$1272,14,FALSE)+IF(ISNA(VLOOKUP($A1201,'Mutasi Neraca'!$A$3:$S$910,14,FALSE)),0,VLOOKUP($A1201,'Mutasi Neraca'!$A$3:$S$910,14,FALSE))</f>
        <v>0</v>
      </c>
      <c r="P1201" s="42">
        <f>VLOOKUP($A1201,'Neraca Unaudited SIMAK'!$A$2:$R$1272,15,FALSE)+IF(ISNA(VLOOKUP($A1201,'Mutasi Neraca'!$A$3:$S$910,15,FALSE)),0,VLOOKUP($A1201,'Mutasi Neraca'!$A$3:$S$910,15,FALSE))</f>
        <v>0</v>
      </c>
      <c r="Q1201" s="42">
        <f>VLOOKUP($A1201,'Neraca Unaudited SIMAK'!$A$2:$R$1272,16,FALSE)+IF(ISNA(VLOOKUP($A1201,'Mutasi Neraca'!$A$3:$S$910,16,FALSE)),0,VLOOKUP($A1201,'Mutasi Neraca'!$A$3:$S$910,16,FALSE))</f>
        <v>0</v>
      </c>
      <c r="R1201" s="42">
        <f>VLOOKUP($A1201,'Neraca Unaudited SIMAK'!$A$2:$R$1272,17,FALSE)+IF(ISNA(VLOOKUP($A1201,'Mutasi Neraca'!$A$3:$S$910,17,FALSE)),0,VLOOKUP($A1201,'Mutasi Neraca'!$A$3:$S$910,17,FALSE))</f>
        <v>0</v>
      </c>
      <c r="S1201" s="42">
        <f t="shared" si="79"/>
        <v>0</v>
      </c>
    </row>
    <row r="1202" spans="1:19">
      <c r="A1202" s="41" t="s">
        <v>2205</v>
      </c>
      <c r="B1202" s="41" t="str">
        <f t="shared" si="78"/>
        <v>005040900</v>
      </c>
      <c r="D1202" s="42">
        <f>VLOOKUP($A1202,'Neraca Unaudited SIMAK'!$A$2:$R$1272,3,FALSE)+IF(ISNA(VLOOKUP($A1202,'Mutasi Neraca'!$A$3:$S$910,3,FALSE)),0,VLOOKUP($A1202,'Mutasi Neraca'!$A$3:$S$910,3,FALSE))</f>
        <v>48500</v>
      </c>
      <c r="E1202" s="42">
        <f>VLOOKUP($A1202,'Neraca Unaudited SIMAK'!$A$2:$R$1272,4,FALSE)+IF(ISNA(VLOOKUP($A1202,'Mutasi Neraca'!$A$3:$S$910,4,FALSE)),0,VLOOKUP($A1202,'Mutasi Neraca'!$A$3:$S$910,4,FALSE))</f>
        <v>0</v>
      </c>
      <c r="F1202" s="42">
        <f>VLOOKUP($A1202,'Neraca Unaudited SIMAK'!$A$2:$R$1272,5,FALSE)+IF(ISNA(VLOOKUP($A1202,'Mutasi Neraca'!$A$3:$S$910,5,FALSE)),0,VLOOKUP($A1202,'Mutasi Neraca'!$A$3:$S$910,5,FALSE))</f>
        <v>0</v>
      </c>
      <c r="G1202" s="42">
        <f>VLOOKUP($A1202,'Neraca Unaudited SIMAK'!$A$2:$R$1272,6,FALSE)+IF(ISNA(VLOOKUP($A1202,'Mutasi Neraca'!$A$3:$S$910,6,FALSE)),0,VLOOKUP($A1202,'Mutasi Neraca'!$A$3:$S$910,6,FALSE))</f>
        <v>0</v>
      </c>
      <c r="H1202" s="42">
        <f>VLOOKUP($A1202,'Neraca Unaudited SIMAK'!$A$2:$R$1272,7,FALSE)+IF(ISNA(VLOOKUP($A1202,'Mutasi Neraca'!$A$3:$S$910,7,FALSE)),0,VLOOKUP($A1202,'Mutasi Neraca'!$A$3:$S$910,7,FALSE))</f>
        <v>0</v>
      </c>
      <c r="I1202" s="42">
        <f>VLOOKUP($A1202,'Neraca Unaudited SIMAK'!$A$2:$R$1272,8,FALSE)+IF(ISNA(VLOOKUP($A1202,'Mutasi Neraca'!$A$3:$S$910,8,FALSE)),0,VLOOKUP($A1202,'Mutasi Neraca'!$A$3:$S$910,8,FALSE))</f>
        <v>0</v>
      </c>
      <c r="J1202" s="42">
        <f>VLOOKUP($A1202,'Neraca Unaudited SIMAK'!$A$2:$R$1272,9,FALSE)+IF(ISNA(VLOOKUP($A1202,'Mutasi Neraca'!$A$3:$S$910,9,FALSE)),0,VLOOKUP($A1202,'Mutasi Neraca'!$A$3:$S$910,9,FALSE))</f>
        <v>0</v>
      </c>
      <c r="K1202" s="42">
        <f>VLOOKUP($A1202,'Neraca Unaudited SIMAK'!$A$2:$R$1272,10,FALSE)+IF(ISNA(VLOOKUP($A1202,'Mutasi Neraca'!$A$3:$S$910,10,FALSE)),0,VLOOKUP($A1202,'Mutasi Neraca'!$A$3:$S$910,10,FALSE))</f>
        <v>0</v>
      </c>
      <c r="L1202" s="42">
        <f>VLOOKUP($A1202,'Neraca Unaudited SIMAK'!$A$2:$R$1272,11,FALSE)+IF(ISNA(VLOOKUP($A1202,'Mutasi Neraca'!$A$3:$S$910,11,FALSE)),0,VLOOKUP($A1202,'Mutasi Neraca'!$A$3:$S$910,11,FALSE))</f>
        <v>0</v>
      </c>
      <c r="M1202" s="42">
        <f>VLOOKUP($A1202,'Neraca Unaudited SIMAK'!$A$2:$R$1272,12,FALSE)+IF(ISNA(VLOOKUP($A1202,'Mutasi Neraca'!$A$3:$S$910,12,FALSE)),0,VLOOKUP($A1202,'Mutasi Neraca'!$A$3:$S$910,12,FALSE))</f>
        <v>48500</v>
      </c>
      <c r="N1202" s="42">
        <f>VLOOKUP($A1202,'Neraca Unaudited SIMAK'!$A$2:$R$1272,13,FALSE)+IF(ISNA(VLOOKUP($A1202,'Mutasi Neraca'!$A$3:$S$910,13,FALSE)),0,VLOOKUP($A1202,'Mutasi Neraca'!$A$3:$S$910,13,FALSE))</f>
        <v>0</v>
      </c>
      <c r="O1202" s="42">
        <f>VLOOKUP($A1202,'Neraca Unaudited SIMAK'!$A$2:$R$1272,14,FALSE)+IF(ISNA(VLOOKUP($A1202,'Mutasi Neraca'!$A$3:$S$910,14,FALSE)),0,VLOOKUP($A1202,'Mutasi Neraca'!$A$3:$S$910,14,FALSE))</f>
        <v>0</v>
      </c>
      <c r="P1202" s="42">
        <f>VLOOKUP($A1202,'Neraca Unaudited SIMAK'!$A$2:$R$1272,15,FALSE)+IF(ISNA(VLOOKUP($A1202,'Mutasi Neraca'!$A$3:$S$910,15,FALSE)),0,VLOOKUP($A1202,'Mutasi Neraca'!$A$3:$S$910,15,FALSE))</f>
        <v>0</v>
      </c>
      <c r="Q1202" s="42">
        <f>VLOOKUP($A1202,'Neraca Unaudited SIMAK'!$A$2:$R$1272,16,FALSE)+IF(ISNA(VLOOKUP($A1202,'Mutasi Neraca'!$A$3:$S$910,16,FALSE)),0,VLOOKUP($A1202,'Mutasi Neraca'!$A$3:$S$910,16,FALSE))</f>
        <v>0</v>
      </c>
      <c r="R1202" s="42">
        <f>VLOOKUP($A1202,'Neraca Unaudited SIMAK'!$A$2:$R$1272,17,FALSE)+IF(ISNA(VLOOKUP($A1202,'Mutasi Neraca'!$A$3:$S$910,17,FALSE)),0,VLOOKUP($A1202,'Mutasi Neraca'!$A$3:$S$910,17,FALSE))</f>
        <v>0</v>
      </c>
      <c r="S1202" s="42">
        <f t="shared" si="79"/>
        <v>48500</v>
      </c>
    </row>
    <row r="1203" spans="1:19">
      <c r="A1203" s="41" t="s">
        <v>2206</v>
      </c>
      <c r="B1203" s="41" t="str">
        <f t="shared" si="78"/>
        <v>005040900</v>
      </c>
      <c r="D1203" s="42">
        <f>VLOOKUP($A1203,'Neraca Unaudited SIMAK'!$A$2:$R$1272,3,FALSE)+IF(ISNA(VLOOKUP($A1203,'Mutasi Neraca'!$A$3:$S$910,3,FALSE)),0,VLOOKUP($A1203,'Mutasi Neraca'!$A$3:$S$910,3,FALSE))</f>
        <v>291000</v>
      </c>
      <c r="E1203" s="42">
        <f>VLOOKUP($A1203,'Neraca Unaudited SIMAK'!$A$2:$R$1272,4,FALSE)+IF(ISNA(VLOOKUP($A1203,'Mutasi Neraca'!$A$3:$S$910,4,FALSE)),0,VLOOKUP($A1203,'Mutasi Neraca'!$A$3:$S$910,4,FALSE))</f>
        <v>0</v>
      </c>
      <c r="F1203" s="42">
        <f>VLOOKUP($A1203,'Neraca Unaudited SIMAK'!$A$2:$R$1272,5,FALSE)+IF(ISNA(VLOOKUP($A1203,'Mutasi Neraca'!$A$3:$S$910,5,FALSE)),0,VLOOKUP($A1203,'Mutasi Neraca'!$A$3:$S$910,5,FALSE))</f>
        <v>0</v>
      </c>
      <c r="G1203" s="42">
        <f>VLOOKUP($A1203,'Neraca Unaudited SIMAK'!$A$2:$R$1272,6,FALSE)+IF(ISNA(VLOOKUP($A1203,'Mutasi Neraca'!$A$3:$S$910,6,FALSE)),0,VLOOKUP($A1203,'Mutasi Neraca'!$A$3:$S$910,6,FALSE))</f>
        <v>0</v>
      </c>
      <c r="H1203" s="42">
        <f>VLOOKUP($A1203,'Neraca Unaudited SIMAK'!$A$2:$R$1272,7,FALSE)+IF(ISNA(VLOOKUP($A1203,'Mutasi Neraca'!$A$3:$S$910,7,FALSE)),0,VLOOKUP($A1203,'Mutasi Neraca'!$A$3:$S$910,7,FALSE))</f>
        <v>0</v>
      </c>
      <c r="I1203" s="42">
        <f>VLOOKUP($A1203,'Neraca Unaudited SIMAK'!$A$2:$R$1272,8,FALSE)+IF(ISNA(VLOOKUP($A1203,'Mutasi Neraca'!$A$3:$S$910,8,FALSE)),0,VLOOKUP($A1203,'Mutasi Neraca'!$A$3:$S$910,8,FALSE))</f>
        <v>0</v>
      </c>
      <c r="J1203" s="42">
        <f>VLOOKUP($A1203,'Neraca Unaudited SIMAK'!$A$2:$R$1272,9,FALSE)+IF(ISNA(VLOOKUP($A1203,'Mutasi Neraca'!$A$3:$S$910,9,FALSE)),0,VLOOKUP($A1203,'Mutasi Neraca'!$A$3:$S$910,9,FALSE))</f>
        <v>0</v>
      </c>
      <c r="K1203" s="42">
        <f>VLOOKUP($A1203,'Neraca Unaudited SIMAK'!$A$2:$R$1272,10,FALSE)+IF(ISNA(VLOOKUP($A1203,'Mutasi Neraca'!$A$3:$S$910,10,FALSE)),0,VLOOKUP($A1203,'Mutasi Neraca'!$A$3:$S$910,10,FALSE))</f>
        <v>0</v>
      </c>
      <c r="L1203" s="42">
        <f>VLOOKUP($A1203,'Neraca Unaudited SIMAK'!$A$2:$R$1272,11,FALSE)+IF(ISNA(VLOOKUP($A1203,'Mutasi Neraca'!$A$3:$S$910,11,FALSE)),0,VLOOKUP($A1203,'Mutasi Neraca'!$A$3:$S$910,11,FALSE))</f>
        <v>0</v>
      </c>
      <c r="M1203" s="42">
        <f>VLOOKUP($A1203,'Neraca Unaudited SIMAK'!$A$2:$R$1272,12,FALSE)+IF(ISNA(VLOOKUP($A1203,'Mutasi Neraca'!$A$3:$S$910,12,FALSE)),0,VLOOKUP($A1203,'Mutasi Neraca'!$A$3:$S$910,12,FALSE))</f>
        <v>291000</v>
      </c>
      <c r="N1203" s="42">
        <f>VLOOKUP($A1203,'Neraca Unaudited SIMAK'!$A$2:$R$1272,13,FALSE)+IF(ISNA(VLOOKUP($A1203,'Mutasi Neraca'!$A$3:$S$910,13,FALSE)),0,VLOOKUP($A1203,'Mutasi Neraca'!$A$3:$S$910,13,FALSE))</f>
        <v>0</v>
      </c>
      <c r="O1203" s="42">
        <f>VLOOKUP($A1203,'Neraca Unaudited SIMAK'!$A$2:$R$1272,14,FALSE)+IF(ISNA(VLOOKUP($A1203,'Mutasi Neraca'!$A$3:$S$910,14,FALSE)),0,VLOOKUP($A1203,'Mutasi Neraca'!$A$3:$S$910,14,FALSE))</f>
        <v>0</v>
      </c>
      <c r="P1203" s="42">
        <f>VLOOKUP($A1203,'Neraca Unaudited SIMAK'!$A$2:$R$1272,15,FALSE)+IF(ISNA(VLOOKUP($A1203,'Mutasi Neraca'!$A$3:$S$910,15,FALSE)),0,VLOOKUP($A1203,'Mutasi Neraca'!$A$3:$S$910,15,FALSE))</f>
        <v>0</v>
      </c>
      <c r="Q1203" s="42">
        <f>VLOOKUP($A1203,'Neraca Unaudited SIMAK'!$A$2:$R$1272,16,FALSE)+IF(ISNA(VLOOKUP($A1203,'Mutasi Neraca'!$A$3:$S$910,16,FALSE)),0,VLOOKUP($A1203,'Mutasi Neraca'!$A$3:$S$910,16,FALSE))</f>
        <v>0</v>
      </c>
      <c r="R1203" s="42">
        <f>VLOOKUP($A1203,'Neraca Unaudited SIMAK'!$A$2:$R$1272,17,FALSE)+IF(ISNA(VLOOKUP($A1203,'Mutasi Neraca'!$A$3:$S$910,17,FALSE)),0,VLOOKUP($A1203,'Mutasi Neraca'!$A$3:$S$910,17,FALSE))</f>
        <v>0</v>
      </c>
      <c r="S1203" s="42">
        <f t="shared" si="79"/>
        <v>291000</v>
      </c>
    </row>
    <row r="1204" spans="1:19">
      <c r="A1204" s="41" t="s">
        <v>1120</v>
      </c>
      <c r="B1204" s="41" t="str">
        <f t="shared" si="78"/>
        <v>005041400</v>
      </c>
      <c r="D1204" s="42">
        <f>VLOOKUP($A1204,'Neraca Unaudited SIMAK'!$A$2:$R$1272,3,FALSE)+IF(ISNA(VLOOKUP($A1204,'Mutasi Neraca'!$A$3:$S$910,3,FALSE)),0,VLOOKUP($A1204,'Mutasi Neraca'!$A$3:$S$910,3,FALSE))</f>
        <v>0</v>
      </c>
      <c r="E1204" s="42">
        <f>VLOOKUP($A1204,'Neraca Unaudited SIMAK'!$A$2:$R$1272,4,FALSE)+IF(ISNA(VLOOKUP($A1204,'Mutasi Neraca'!$A$3:$S$910,4,FALSE)),0,VLOOKUP($A1204,'Mutasi Neraca'!$A$3:$S$910,4,FALSE))</f>
        <v>0</v>
      </c>
      <c r="F1204" s="42">
        <f>VLOOKUP($A1204,'Neraca Unaudited SIMAK'!$A$2:$R$1272,5,FALSE)+IF(ISNA(VLOOKUP($A1204,'Mutasi Neraca'!$A$3:$S$910,5,FALSE)),0,VLOOKUP($A1204,'Mutasi Neraca'!$A$3:$S$910,5,FALSE))</f>
        <v>0</v>
      </c>
      <c r="G1204" s="42">
        <f>VLOOKUP($A1204,'Neraca Unaudited SIMAK'!$A$2:$R$1272,6,FALSE)+IF(ISNA(VLOOKUP($A1204,'Mutasi Neraca'!$A$3:$S$910,6,FALSE)),0,VLOOKUP($A1204,'Mutasi Neraca'!$A$3:$S$910,6,FALSE))</f>
        <v>0</v>
      </c>
      <c r="H1204" s="42">
        <f>VLOOKUP($A1204,'Neraca Unaudited SIMAK'!$A$2:$R$1272,7,FALSE)+IF(ISNA(VLOOKUP($A1204,'Mutasi Neraca'!$A$3:$S$910,7,FALSE)),0,VLOOKUP($A1204,'Mutasi Neraca'!$A$3:$S$910,7,FALSE))</f>
        <v>0</v>
      </c>
      <c r="I1204" s="42">
        <f>VLOOKUP($A1204,'Neraca Unaudited SIMAK'!$A$2:$R$1272,8,FALSE)+IF(ISNA(VLOOKUP($A1204,'Mutasi Neraca'!$A$3:$S$910,8,FALSE)),0,VLOOKUP($A1204,'Mutasi Neraca'!$A$3:$S$910,8,FALSE))</f>
        <v>0</v>
      </c>
      <c r="J1204" s="42">
        <f>VLOOKUP($A1204,'Neraca Unaudited SIMAK'!$A$2:$R$1272,9,FALSE)+IF(ISNA(VLOOKUP($A1204,'Mutasi Neraca'!$A$3:$S$910,9,FALSE)),0,VLOOKUP($A1204,'Mutasi Neraca'!$A$3:$S$910,9,FALSE))</f>
        <v>0</v>
      </c>
      <c r="K1204" s="42">
        <f>VLOOKUP($A1204,'Neraca Unaudited SIMAK'!$A$2:$R$1272,10,FALSE)+IF(ISNA(VLOOKUP($A1204,'Mutasi Neraca'!$A$3:$S$910,10,FALSE)),0,VLOOKUP($A1204,'Mutasi Neraca'!$A$3:$S$910,10,FALSE))</f>
        <v>0</v>
      </c>
      <c r="L1204" s="42">
        <f>VLOOKUP($A1204,'Neraca Unaudited SIMAK'!$A$2:$R$1272,11,FALSE)+IF(ISNA(VLOOKUP($A1204,'Mutasi Neraca'!$A$3:$S$910,11,FALSE)),0,VLOOKUP($A1204,'Mutasi Neraca'!$A$3:$S$910,11,FALSE))</f>
        <v>0</v>
      </c>
      <c r="M1204" s="42">
        <f>VLOOKUP($A1204,'Neraca Unaudited SIMAK'!$A$2:$R$1272,12,FALSE)+IF(ISNA(VLOOKUP($A1204,'Mutasi Neraca'!$A$3:$S$910,12,FALSE)),0,VLOOKUP($A1204,'Mutasi Neraca'!$A$3:$S$910,12,FALSE))</f>
        <v>0</v>
      </c>
      <c r="N1204" s="42">
        <f>VLOOKUP($A1204,'Neraca Unaudited SIMAK'!$A$2:$R$1272,13,FALSE)+IF(ISNA(VLOOKUP($A1204,'Mutasi Neraca'!$A$3:$S$910,13,FALSE)),0,VLOOKUP($A1204,'Mutasi Neraca'!$A$3:$S$910,13,FALSE))</f>
        <v>0</v>
      </c>
      <c r="O1204" s="42">
        <f>VLOOKUP($A1204,'Neraca Unaudited SIMAK'!$A$2:$R$1272,14,FALSE)+IF(ISNA(VLOOKUP($A1204,'Mutasi Neraca'!$A$3:$S$910,14,FALSE)),0,VLOOKUP($A1204,'Mutasi Neraca'!$A$3:$S$910,14,FALSE))</f>
        <v>0</v>
      </c>
      <c r="P1204" s="42">
        <f>VLOOKUP($A1204,'Neraca Unaudited SIMAK'!$A$2:$R$1272,15,FALSE)+IF(ISNA(VLOOKUP($A1204,'Mutasi Neraca'!$A$3:$S$910,15,FALSE)),0,VLOOKUP($A1204,'Mutasi Neraca'!$A$3:$S$910,15,FALSE))</f>
        <v>0</v>
      </c>
      <c r="Q1204" s="42">
        <f>VLOOKUP($A1204,'Neraca Unaudited SIMAK'!$A$2:$R$1272,16,FALSE)+IF(ISNA(VLOOKUP($A1204,'Mutasi Neraca'!$A$3:$S$910,16,FALSE)),0,VLOOKUP($A1204,'Mutasi Neraca'!$A$3:$S$910,16,FALSE))</f>
        <v>0</v>
      </c>
      <c r="R1204" s="42">
        <f>VLOOKUP($A1204,'Neraca Unaudited SIMAK'!$A$2:$R$1272,17,FALSE)+IF(ISNA(VLOOKUP($A1204,'Mutasi Neraca'!$A$3:$S$910,17,FALSE)),0,VLOOKUP($A1204,'Mutasi Neraca'!$A$3:$S$910,17,FALSE))</f>
        <v>0</v>
      </c>
      <c r="S1204" s="42">
        <f t="shared" si="79"/>
        <v>0</v>
      </c>
    </row>
    <row r="1205" spans="1:19">
      <c r="A1205" s="41" t="s">
        <v>2275</v>
      </c>
      <c r="B1205" s="41" t="str">
        <f t="shared" si="78"/>
        <v>005041400</v>
      </c>
      <c r="D1205" s="42">
        <f>VLOOKUP($A1205,'Neraca Unaudited SIMAK'!$A$2:$R$1272,3,FALSE)+IF(ISNA(VLOOKUP($A1205,'Mutasi Neraca'!$A$3:$S$910,3,FALSE)),0,VLOOKUP($A1205,'Mutasi Neraca'!$A$3:$S$910,3,FALSE))</f>
        <v>0</v>
      </c>
      <c r="E1205" s="42">
        <f>VLOOKUP($A1205,'Neraca Unaudited SIMAK'!$A$2:$R$1272,4,FALSE)+IF(ISNA(VLOOKUP($A1205,'Mutasi Neraca'!$A$3:$S$910,4,FALSE)),0,VLOOKUP($A1205,'Mutasi Neraca'!$A$3:$S$910,4,FALSE))</f>
        <v>0</v>
      </c>
      <c r="F1205" s="42">
        <f>VLOOKUP($A1205,'Neraca Unaudited SIMAK'!$A$2:$R$1272,5,FALSE)+IF(ISNA(VLOOKUP($A1205,'Mutasi Neraca'!$A$3:$S$910,5,FALSE)),0,VLOOKUP($A1205,'Mutasi Neraca'!$A$3:$S$910,5,FALSE))</f>
        <v>0</v>
      </c>
      <c r="G1205" s="42">
        <f>VLOOKUP($A1205,'Neraca Unaudited SIMAK'!$A$2:$R$1272,6,FALSE)+IF(ISNA(VLOOKUP($A1205,'Mutasi Neraca'!$A$3:$S$910,6,FALSE)),0,VLOOKUP($A1205,'Mutasi Neraca'!$A$3:$S$910,6,FALSE))</f>
        <v>0</v>
      </c>
      <c r="H1205" s="42">
        <f>VLOOKUP($A1205,'Neraca Unaudited SIMAK'!$A$2:$R$1272,7,FALSE)+IF(ISNA(VLOOKUP($A1205,'Mutasi Neraca'!$A$3:$S$910,7,FALSE)),0,VLOOKUP($A1205,'Mutasi Neraca'!$A$3:$S$910,7,FALSE))</f>
        <v>0</v>
      </c>
      <c r="I1205" s="42">
        <f>VLOOKUP($A1205,'Neraca Unaudited SIMAK'!$A$2:$R$1272,8,FALSE)+IF(ISNA(VLOOKUP($A1205,'Mutasi Neraca'!$A$3:$S$910,8,FALSE)),0,VLOOKUP($A1205,'Mutasi Neraca'!$A$3:$S$910,8,FALSE))</f>
        <v>0</v>
      </c>
      <c r="J1205" s="42">
        <f>VLOOKUP($A1205,'Neraca Unaudited SIMAK'!$A$2:$R$1272,9,FALSE)+IF(ISNA(VLOOKUP($A1205,'Mutasi Neraca'!$A$3:$S$910,9,FALSE)),0,VLOOKUP($A1205,'Mutasi Neraca'!$A$3:$S$910,9,FALSE))</f>
        <v>0</v>
      </c>
      <c r="K1205" s="42">
        <f>VLOOKUP($A1205,'Neraca Unaudited SIMAK'!$A$2:$R$1272,10,FALSE)+IF(ISNA(VLOOKUP($A1205,'Mutasi Neraca'!$A$3:$S$910,10,FALSE)),0,VLOOKUP($A1205,'Mutasi Neraca'!$A$3:$S$910,10,FALSE))</f>
        <v>0</v>
      </c>
      <c r="L1205" s="42">
        <f>VLOOKUP($A1205,'Neraca Unaudited SIMAK'!$A$2:$R$1272,11,FALSE)+IF(ISNA(VLOOKUP($A1205,'Mutasi Neraca'!$A$3:$S$910,11,FALSE)),0,VLOOKUP($A1205,'Mutasi Neraca'!$A$3:$S$910,11,FALSE))</f>
        <v>0</v>
      </c>
      <c r="M1205" s="42">
        <f>VLOOKUP($A1205,'Neraca Unaudited SIMAK'!$A$2:$R$1272,12,FALSE)+IF(ISNA(VLOOKUP($A1205,'Mutasi Neraca'!$A$3:$S$910,12,FALSE)),0,VLOOKUP($A1205,'Mutasi Neraca'!$A$3:$S$910,12,FALSE))</f>
        <v>0</v>
      </c>
      <c r="N1205" s="42">
        <f>VLOOKUP($A1205,'Neraca Unaudited SIMAK'!$A$2:$R$1272,13,FALSE)+IF(ISNA(VLOOKUP($A1205,'Mutasi Neraca'!$A$3:$S$910,13,FALSE)),0,VLOOKUP($A1205,'Mutasi Neraca'!$A$3:$S$910,13,FALSE))</f>
        <v>0</v>
      </c>
      <c r="O1205" s="42">
        <f>VLOOKUP($A1205,'Neraca Unaudited SIMAK'!$A$2:$R$1272,14,FALSE)+IF(ISNA(VLOOKUP($A1205,'Mutasi Neraca'!$A$3:$S$910,14,FALSE)),0,VLOOKUP($A1205,'Mutasi Neraca'!$A$3:$S$910,14,FALSE))</f>
        <v>0</v>
      </c>
      <c r="P1205" s="42">
        <f>VLOOKUP($A1205,'Neraca Unaudited SIMAK'!$A$2:$R$1272,15,FALSE)+IF(ISNA(VLOOKUP($A1205,'Mutasi Neraca'!$A$3:$S$910,15,FALSE)),0,VLOOKUP($A1205,'Mutasi Neraca'!$A$3:$S$910,15,FALSE))</f>
        <v>0</v>
      </c>
      <c r="Q1205" s="42">
        <f>VLOOKUP($A1205,'Neraca Unaudited SIMAK'!$A$2:$R$1272,16,FALSE)+IF(ISNA(VLOOKUP($A1205,'Mutasi Neraca'!$A$3:$S$910,16,FALSE)),0,VLOOKUP($A1205,'Mutasi Neraca'!$A$3:$S$910,16,FALSE))</f>
        <v>0</v>
      </c>
      <c r="R1205" s="42">
        <f>VLOOKUP($A1205,'Neraca Unaudited SIMAK'!$A$2:$R$1272,17,FALSE)+IF(ISNA(VLOOKUP($A1205,'Mutasi Neraca'!$A$3:$S$910,17,FALSE)),0,VLOOKUP($A1205,'Mutasi Neraca'!$A$3:$S$910,17,FALSE))</f>
        <v>0</v>
      </c>
      <c r="S1205" s="42">
        <f t="shared" si="79"/>
        <v>0</v>
      </c>
    </row>
    <row r="1206" spans="1:19">
      <c r="A1206" s="41" t="s">
        <v>2207</v>
      </c>
      <c r="B1206" s="41" t="str">
        <f t="shared" si="78"/>
        <v>005041700</v>
      </c>
      <c r="D1206" s="42">
        <f>VLOOKUP($A1206,'Neraca Unaudited SIMAK'!$A$2:$R$1272,3,FALSE)+IF(ISNA(VLOOKUP($A1206,'Mutasi Neraca'!$A$3:$S$910,3,FALSE)),0,VLOOKUP($A1206,'Mutasi Neraca'!$A$3:$S$910,3,FALSE))</f>
        <v>0</v>
      </c>
      <c r="E1206" s="42">
        <f>VLOOKUP($A1206,'Neraca Unaudited SIMAK'!$A$2:$R$1272,4,FALSE)+IF(ISNA(VLOOKUP($A1206,'Mutasi Neraca'!$A$3:$S$910,4,FALSE)),0,VLOOKUP($A1206,'Mutasi Neraca'!$A$3:$S$910,4,FALSE))</f>
        <v>0</v>
      </c>
      <c r="F1206" s="42">
        <f>VLOOKUP($A1206,'Neraca Unaudited SIMAK'!$A$2:$R$1272,5,FALSE)+IF(ISNA(VLOOKUP($A1206,'Mutasi Neraca'!$A$3:$S$910,5,FALSE)),0,VLOOKUP($A1206,'Mutasi Neraca'!$A$3:$S$910,5,FALSE))</f>
        <v>0</v>
      </c>
      <c r="G1206" s="42">
        <f>VLOOKUP($A1206,'Neraca Unaudited SIMAK'!$A$2:$R$1272,6,FALSE)+IF(ISNA(VLOOKUP($A1206,'Mutasi Neraca'!$A$3:$S$910,6,FALSE)),0,VLOOKUP($A1206,'Mutasi Neraca'!$A$3:$S$910,6,FALSE))</f>
        <v>0</v>
      </c>
      <c r="H1206" s="42">
        <f>VLOOKUP($A1206,'Neraca Unaudited SIMAK'!$A$2:$R$1272,7,FALSE)+IF(ISNA(VLOOKUP($A1206,'Mutasi Neraca'!$A$3:$S$910,7,FALSE)),0,VLOOKUP($A1206,'Mutasi Neraca'!$A$3:$S$910,7,FALSE))</f>
        <v>0</v>
      </c>
      <c r="I1206" s="42">
        <f>VLOOKUP($A1206,'Neraca Unaudited SIMAK'!$A$2:$R$1272,8,FALSE)+IF(ISNA(VLOOKUP($A1206,'Mutasi Neraca'!$A$3:$S$910,8,FALSE)),0,VLOOKUP($A1206,'Mutasi Neraca'!$A$3:$S$910,8,FALSE))</f>
        <v>0</v>
      </c>
      <c r="J1206" s="42">
        <f>VLOOKUP($A1206,'Neraca Unaudited SIMAK'!$A$2:$R$1272,9,FALSE)+IF(ISNA(VLOOKUP($A1206,'Mutasi Neraca'!$A$3:$S$910,9,FALSE)),0,VLOOKUP($A1206,'Mutasi Neraca'!$A$3:$S$910,9,FALSE))</f>
        <v>0</v>
      </c>
      <c r="K1206" s="42">
        <f>VLOOKUP($A1206,'Neraca Unaudited SIMAK'!$A$2:$R$1272,10,FALSE)+IF(ISNA(VLOOKUP($A1206,'Mutasi Neraca'!$A$3:$S$910,10,FALSE)),0,VLOOKUP($A1206,'Mutasi Neraca'!$A$3:$S$910,10,FALSE))</f>
        <v>0</v>
      </c>
      <c r="L1206" s="42">
        <f>VLOOKUP($A1206,'Neraca Unaudited SIMAK'!$A$2:$R$1272,11,FALSE)+IF(ISNA(VLOOKUP($A1206,'Mutasi Neraca'!$A$3:$S$910,11,FALSE)),0,VLOOKUP($A1206,'Mutasi Neraca'!$A$3:$S$910,11,FALSE))</f>
        <v>0</v>
      </c>
      <c r="M1206" s="42">
        <f>VLOOKUP($A1206,'Neraca Unaudited SIMAK'!$A$2:$R$1272,12,FALSE)+IF(ISNA(VLOOKUP($A1206,'Mutasi Neraca'!$A$3:$S$910,12,FALSE)),0,VLOOKUP($A1206,'Mutasi Neraca'!$A$3:$S$910,12,FALSE))</f>
        <v>0</v>
      </c>
      <c r="N1206" s="42">
        <f>VLOOKUP($A1206,'Neraca Unaudited SIMAK'!$A$2:$R$1272,13,FALSE)+IF(ISNA(VLOOKUP($A1206,'Mutasi Neraca'!$A$3:$S$910,13,FALSE)),0,VLOOKUP($A1206,'Mutasi Neraca'!$A$3:$S$910,13,FALSE))</f>
        <v>0</v>
      </c>
      <c r="O1206" s="42">
        <f>VLOOKUP($A1206,'Neraca Unaudited SIMAK'!$A$2:$R$1272,14,FALSE)+IF(ISNA(VLOOKUP($A1206,'Mutasi Neraca'!$A$3:$S$910,14,FALSE)),0,VLOOKUP($A1206,'Mutasi Neraca'!$A$3:$S$910,14,FALSE))</f>
        <v>0</v>
      </c>
      <c r="P1206" s="42">
        <f>VLOOKUP($A1206,'Neraca Unaudited SIMAK'!$A$2:$R$1272,15,FALSE)+IF(ISNA(VLOOKUP($A1206,'Mutasi Neraca'!$A$3:$S$910,15,FALSE)),0,VLOOKUP($A1206,'Mutasi Neraca'!$A$3:$S$910,15,FALSE))</f>
        <v>0</v>
      </c>
      <c r="Q1206" s="42">
        <f>VLOOKUP($A1206,'Neraca Unaudited SIMAK'!$A$2:$R$1272,16,FALSE)+IF(ISNA(VLOOKUP($A1206,'Mutasi Neraca'!$A$3:$S$910,16,FALSE)),0,VLOOKUP($A1206,'Mutasi Neraca'!$A$3:$S$910,16,FALSE))</f>
        <v>0</v>
      </c>
      <c r="R1206" s="42">
        <f>VLOOKUP($A1206,'Neraca Unaudited SIMAK'!$A$2:$R$1272,17,FALSE)+IF(ISNA(VLOOKUP($A1206,'Mutasi Neraca'!$A$3:$S$910,17,FALSE)),0,VLOOKUP($A1206,'Mutasi Neraca'!$A$3:$S$910,17,FALSE))</f>
        <v>0</v>
      </c>
      <c r="S1206" s="42">
        <f t="shared" si="79"/>
        <v>0</v>
      </c>
    </row>
    <row r="1207" spans="1:19">
      <c r="A1207" s="41" t="s">
        <v>2076</v>
      </c>
      <c r="B1207" s="41" t="str">
        <f t="shared" si="78"/>
        <v>005041800</v>
      </c>
      <c r="D1207" s="42">
        <f>VLOOKUP($A1207,'Neraca Unaudited SIMAK'!$A$2:$R$1272,3,FALSE)+IF(ISNA(VLOOKUP($A1207,'Mutasi Neraca'!$A$3:$S$910,3,FALSE)),0,VLOOKUP($A1207,'Mutasi Neraca'!$A$3:$S$910,3,FALSE))</f>
        <v>0</v>
      </c>
      <c r="E1207" s="42">
        <f>VLOOKUP($A1207,'Neraca Unaudited SIMAK'!$A$2:$R$1272,4,FALSE)+IF(ISNA(VLOOKUP($A1207,'Mutasi Neraca'!$A$3:$S$910,4,FALSE)),0,VLOOKUP($A1207,'Mutasi Neraca'!$A$3:$S$910,4,FALSE))</f>
        <v>0</v>
      </c>
      <c r="F1207" s="42">
        <f>VLOOKUP($A1207,'Neraca Unaudited SIMAK'!$A$2:$R$1272,5,FALSE)+IF(ISNA(VLOOKUP($A1207,'Mutasi Neraca'!$A$3:$S$910,5,FALSE)),0,VLOOKUP($A1207,'Mutasi Neraca'!$A$3:$S$910,5,FALSE))</f>
        <v>0</v>
      </c>
      <c r="G1207" s="42">
        <f>VLOOKUP($A1207,'Neraca Unaudited SIMAK'!$A$2:$R$1272,6,FALSE)+IF(ISNA(VLOOKUP($A1207,'Mutasi Neraca'!$A$3:$S$910,6,FALSE)),0,VLOOKUP($A1207,'Mutasi Neraca'!$A$3:$S$910,6,FALSE))</f>
        <v>0</v>
      </c>
      <c r="H1207" s="42">
        <f>VLOOKUP($A1207,'Neraca Unaudited SIMAK'!$A$2:$R$1272,7,FALSE)+IF(ISNA(VLOOKUP($A1207,'Mutasi Neraca'!$A$3:$S$910,7,FALSE)),0,VLOOKUP($A1207,'Mutasi Neraca'!$A$3:$S$910,7,FALSE))</f>
        <v>0</v>
      </c>
      <c r="I1207" s="42">
        <f>VLOOKUP($A1207,'Neraca Unaudited SIMAK'!$A$2:$R$1272,8,FALSE)+IF(ISNA(VLOOKUP($A1207,'Mutasi Neraca'!$A$3:$S$910,8,FALSE)),0,VLOOKUP($A1207,'Mutasi Neraca'!$A$3:$S$910,8,FALSE))</f>
        <v>0</v>
      </c>
      <c r="J1207" s="42">
        <f>VLOOKUP($A1207,'Neraca Unaudited SIMAK'!$A$2:$R$1272,9,FALSE)+IF(ISNA(VLOOKUP($A1207,'Mutasi Neraca'!$A$3:$S$910,9,FALSE)),0,VLOOKUP($A1207,'Mutasi Neraca'!$A$3:$S$910,9,FALSE))</f>
        <v>0</v>
      </c>
      <c r="K1207" s="42">
        <f>VLOOKUP($A1207,'Neraca Unaudited SIMAK'!$A$2:$R$1272,10,FALSE)+IF(ISNA(VLOOKUP($A1207,'Mutasi Neraca'!$A$3:$S$910,10,FALSE)),0,VLOOKUP($A1207,'Mutasi Neraca'!$A$3:$S$910,10,FALSE))</f>
        <v>0</v>
      </c>
      <c r="L1207" s="42">
        <f>VLOOKUP($A1207,'Neraca Unaudited SIMAK'!$A$2:$R$1272,11,FALSE)+IF(ISNA(VLOOKUP($A1207,'Mutasi Neraca'!$A$3:$S$910,11,FALSE)),0,VLOOKUP($A1207,'Mutasi Neraca'!$A$3:$S$910,11,FALSE))</f>
        <v>0</v>
      </c>
      <c r="M1207" s="42">
        <f>VLOOKUP($A1207,'Neraca Unaudited SIMAK'!$A$2:$R$1272,12,FALSE)+IF(ISNA(VLOOKUP($A1207,'Mutasi Neraca'!$A$3:$S$910,12,FALSE)),0,VLOOKUP($A1207,'Mutasi Neraca'!$A$3:$S$910,12,FALSE))</f>
        <v>0</v>
      </c>
      <c r="N1207" s="42">
        <f>VLOOKUP($A1207,'Neraca Unaudited SIMAK'!$A$2:$R$1272,13,FALSE)+IF(ISNA(VLOOKUP($A1207,'Mutasi Neraca'!$A$3:$S$910,13,FALSE)),0,VLOOKUP($A1207,'Mutasi Neraca'!$A$3:$S$910,13,FALSE))</f>
        <v>0</v>
      </c>
      <c r="O1207" s="42">
        <f>VLOOKUP($A1207,'Neraca Unaudited SIMAK'!$A$2:$R$1272,14,FALSE)+IF(ISNA(VLOOKUP($A1207,'Mutasi Neraca'!$A$3:$S$910,14,FALSE)),0,VLOOKUP($A1207,'Mutasi Neraca'!$A$3:$S$910,14,FALSE))</f>
        <v>0</v>
      </c>
      <c r="P1207" s="42">
        <f>VLOOKUP($A1207,'Neraca Unaudited SIMAK'!$A$2:$R$1272,15,FALSE)+IF(ISNA(VLOOKUP($A1207,'Mutasi Neraca'!$A$3:$S$910,15,FALSE)),0,VLOOKUP($A1207,'Mutasi Neraca'!$A$3:$S$910,15,FALSE))</f>
        <v>0</v>
      </c>
      <c r="Q1207" s="42">
        <f>VLOOKUP($A1207,'Neraca Unaudited SIMAK'!$A$2:$R$1272,16,FALSE)+IF(ISNA(VLOOKUP($A1207,'Mutasi Neraca'!$A$3:$S$910,16,FALSE)),0,VLOOKUP($A1207,'Mutasi Neraca'!$A$3:$S$910,16,FALSE))</f>
        <v>0</v>
      </c>
      <c r="R1207" s="42">
        <f>VLOOKUP($A1207,'Neraca Unaudited SIMAK'!$A$2:$R$1272,17,FALSE)+IF(ISNA(VLOOKUP($A1207,'Mutasi Neraca'!$A$3:$S$910,17,FALSE)),0,VLOOKUP($A1207,'Mutasi Neraca'!$A$3:$S$910,17,FALSE))</f>
        <v>0</v>
      </c>
      <c r="S1207" s="42">
        <f t="shared" si="79"/>
        <v>0</v>
      </c>
    </row>
    <row r="1208" spans="1:19">
      <c r="A1208" s="41" t="s">
        <v>1121</v>
      </c>
      <c r="B1208" s="41" t="str">
        <f t="shared" si="78"/>
        <v>005041800</v>
      </c>
      <c r="D1208" s="42">
        <f>VLOOKUP($A1208,'Neraca Unaudited SIMAK'!$A$2:$R$1272,3,FALSE)+IF(ISNA(VLOOKUP($A1208,'Mutasi Neraca'!$A$3:$S$910,3,FALSE)),0,VLOOKUP($A1208,'Mutasi Neraca'!$A$3:$S$910,3,FALSE))</f>
        <v>0</v>
      </c>
      <c r="E1208" s="42">
        <f>VLOOKUP($A1208,'Neraca Unaudited SIMAK'!$A$2:$R$1272,4,FALSE)+IF(ISNA(VLOOKUP($A1208,'Mutasi Neraca'!$A$3:$S$910,4,FALSE)),0,VLOOKUP($A1208,'Mutasi Neraca'!$A$3:$S$910,4,FALSE))</f>
        <v>0</v>
      </c>
      <c r="F1208" s="42">
        <f>VLOOKUP($A1208,'Neraca Unaudited SIMAK'!$A$2:$R$1272,5,FALSE)+IF(ISNA(VLOOKUP($A1208,'Mutasi Neraca'!$A$3:$S$910,5,FALSE)),0,VLOOKUP($A1208,'Mutasi Neraca'!$A$3:$S$910,5,FALSE))</f>
        <v>0</v>
      </c>
      <c r="G1208" s="42">
        <f>VLOOKUP($A1208,'Neraca Unaudited SIMAK'!$A$2:$R$1272,6,FALSE)+IF(ISNA(VLOOKUP($A1208,'Mutasi Neraca'!$A$3:$S$910,6,FALSE)),0,VLOOKUP($A1208,'Mutasi Neraca'!$A$3:$S$910,6,FALSE))</f>
        <v>0</v>
      </c>
      <c r="H1208" s="42">
        <f>VLOOKUP($A1208,'Neraca Unaudited SIMAK'!$A$2:$R$1272,7,FALSE)+IF(ISNA(VLOOKUP($A1208,'Mutasi Neraca'!$A$3:$S$910,7,FALSE)),0,VLOOKUP($A1208,'Mutasi Neraca'!$A$3:$S$910,7,FALSE))</f>
        <v>0</v>
      </c>
      <c r="I1208" s="42">
        <f>VLOOKUP($A1208,'Neraca Unaudited SIMAK'!$A$2:$R$1272,8,FALSE)+IF(ISNA(VLOOKUP($A1208,'Mutasi Neraca'!$A$3:$S$910,8,FALSE)),0,VLOOKUP($A1208,'Mutasi Neraca'!$A$3:$S$910,8,FALSE))</f>
        <v>0</v>
      </c>
      <c r="J1208" s="42">
        <f>VLOOKUP($A1208,'Neraca Unaudited SIMAK'!$A$2:$R$1272,9,FALSE)+IF(ISNA(VLOOKUP($A1208,'Mutasi Neraca'!$A$3:$S$910,9,FALSE)),0,VLOOKUP($A1208,'Mutasi Neraca'!$A$3:$S$910,9,FALSE))</f>
        <v>0</v>
      </c>
      <c r="K1208" s="42">
        <f>VLOOKUP($A1208,'Neraca Unaudited SIMAK'!$A$2:$R$1272,10,FALSE)+IF(ISNA(VLOOKUP($A1208,'Mutasi Neraca'!$A$3:$S$910,10,FALSE)),0,VLOOKUP($A1208,'Mutasi Neraca'!$A$3:$S$910,10,FALSE))</f>
        <v>0</v>
      </c>
      <c r="L1208" s="42">
        <f>VLOOKUP($A1208,'Neraca Unaudited SIMAK'!$A$2:$R$1272,11,FALSE)+IF(ISNA(VLOOKUP($A1208,'Mutasi Neraca'!$A$3:$S$910,11,FALSE)),0,VLOOKUP($A1208,'Mutasi Neraca'!$A$3:$S$910,11,FALSE))</f>
        <v>0</v>
      </c>
      <c r="M1208" s="42">
        <f>VLOOKUP($A1208,'Neraca Unaudited SIMAK'!$A$2:$R$1272,12,FALSE)+IF(ISNA(VLOOKUP($A1208,'Mutasi Neraca'!$A$3:$S$910,12,FALSE)),0,VLOOKUP($A1208,'Mutasi Neraca'!$A$3:$S$910,12,FALSE))</f>
        <v>0</v>
      </c>
      <c r="N1208" s="42">
        <f>VLOOKUP($A1208,'Neraca Unaudited SIMAK'!$A$2:$R$1272,13,FALSE)+IF(ISNA(VLOOKUP($A1208,'Mutasi Neraca'!$A$3:$S$910,13,FALSE)),0,VLOOKUP($A1208,'Mutasi Neraca'!$A$3:$S$910,13,FALSE))</f>
        <v>0</v>
      </c>
      <c r="O1208" s="42">
        <f>VLOOKUP($A1208,'Neraca Unaudited SIMAK'!$A$2:$R$1272,14,FALSE)+IF(ISNA(VLOOKUP($A1208,'Mutasi Neraca'!$A$3:$S$910,14,FALSE)),0,VLOOKUP($A1208,'Mutasi Neraca'!$A$3:$S$910,14,FALSE))</f>
        <v>0</v>
      </c>
      <c r="P1208" s="42">
        <f>VLOOKUP($A1208,'Neraca Unaudited SIMAK'!$A$2:$R$1272,15,FALSE)+IF(ISNA(VLOOKUP($A1208,'Mutasi Neraca'!$A$3:$S$910,15,FALSE)),0,VLOOKUP($A1208,'Mutasi Neraca'!$A$3:$S$910,15,FALSE))</f>
        <v>0</v>
      </c>
      <c r="Q1208" s="42">
        <f>VLOOKUP($A1208,'Neraca Unaudited SIMAK'!$A$2:$R$1272,16,FALSE)+IF(ISNA(VLOOKUP($A1208,'Mutasi Neraca'!$A$3:$S$910,16,FALSE)),0,VLOOKUP($A1208,'Mutasi Neraca'!$A$3:$S$910,16,FALSE))</f>
        <v>0</v>
      </c>
      <c r="R1208" s="42">
        <f>VLOOKUP($A1208,'Neraca Unaudited SIMAK'!$A$2:$R$1272,17,FALSE)+IF(ISNA(VLOOKUP($A1208,'Mutasi Neraca'!$A$3:$S$910,17,FALSE)),0,VLOOKUP($A1208,'Mutasi Neraca'!$A$3:$S$910,17,FALSE))</f>
        <v>0</v>
      </c>
      <c r="S1208" s="42">
        <f t="shared" si="79"/>
        <v>0</v>
      </c>
    </row>
    <row r="1209" spans="1:19">
      <c r="A1209" s="41" t="s">
        <v>1122</v>
      </c>
      <c r="B1209" s="41" t="str">
        <f t="shared" si="78"/>
        <v>005041800</v>
      </c>
      <c r="D1209" s="42">
        <f>VLOOKUP($A1209,'Neraca Unaudited SIMAK'!$A$2:$R$1272,3,FALSE)+IF(ISNA(VLOOKUP($A1209,'Mutasi Neraca'!$A$3:$S$910,3,FALSE)),0,VLOOKUP($A1209,'Mutasi Neraca'!$A$3:$S$910,3,FALSE))</f>
        <v>0</v>
      </c>
      <c r="E1209" s="42">
        <f>VLOOKUP($A1209,'Neraca Unaudited SIMAK'!$A$2:$R$1272,4,FALSE)+IF(ISNA(VLOOKUP($A1209,'Mutasi Neraca'!$A$3:$S$910,4,FALSE)),0,VLOOKUP($A1209,'Mutasi Neraca'!$A$3:$S$910,4,FALSE))</f>
        <v>0</v>
      </c>
      <c r="F1209" s="42">
        <f>VLOOKUP($A1209,'Neraca Unaudited SIMAK'!$A$2:$R$1272,5,FALSE)+IF(ISNA(VLOOKUP($A1209,'Mutasi Neraca'!$A$3:$S$910,5,FALSE)),0,VLOOKUP($A1209,'Mutasi Neraca'!$A$3:$S$910,5,FALSE))</f>
        <v>0</v>
      </c>
      <c r="G1209" s="42">
        <f>VLOOKUP($A1209,'Neraca Unaudited SIMAK'!$A$2:$R$1272,6,FALSE)+IF(ISNA(VLOOKUP($A1209,'Mutasi Neraca'!$A$3:$S$910,6,FALSE)),0,VLOOKUP($A1209,'Mutasi Neraca'!$A$3:$S$910,6,FALSE))</f>
        <v>0</v>
      </c>
      <c r="H1209" s="42">
        <f>VLOOKUP($A1209,'Neraca Unaudited SIMAK'!$A$2:$R$1272,7,FALSE)+IF(ISNA(VLOOKUP($A1209,'Mutasi Neraca'!$A$3:$S$910,7,FALSE)),0,VLOOKUP($A1209,'Mutasi Neraca'!$A$3:$S$910,7,FALSE))</f>
        <v>0</v>
      </c>
      <c r="I1209" s="42">
        <f>VLOOKUP($A1209,'Neraca Unaudited SIMAK'!$A$2:$R$1272,8,FALSE)+IF(ISNA(VLOOKUP($A1209,'Mutasi Neraca'!$A$3:$S$910,8,FALSE)),0,VLOOKUP($A1209,'Mutasi Neraca'!$A$3:$S$910,8,FALSE))</f>
        <v>0</v>
      </c>
      <c r="J1209" s="42">
        <f>VLOOKUP($A1209,'Neraca Unaudited SIMAK'!$A$2:$R$1272,9,FALSE)+IF(ISNA(VLOOKUP($A1209,'Mutasi Neraca'!$A$3:$S$910,9,FALSE)),0,VLOOKUP($A1209,'Mutasi Neraca'!$A$3:$S$910,9,FALSE))</f>
        <v>0</v>
      </c>
      <c r="K1209" s="42">
        <f>VLOOKUP($A1209,'Neraca Unaudited SIMAK'!$A$2:$R$1272,10,FALSE)+IF(ISNA(VLOOKUP($A1209,'Mutasi Neraca'!$A$3:$S$910,10,FALSE)),0,VLOOKUP($A1209,'Mutasi Neraca'!$A$3:$S$910,10,FALSE))</f>
        <v>0</v>
      </c>
      <c r="L1209" s="42">
        <f>VLOOKUP($A1209,'Neraca Unaudited SIMAK'!$A$2:$R$1272,11,FALSE)+IF(ISNA(VLOOKUP($A1209,'Mutasi Neraca'!$A$3:$S$910,11,FALSE)),0,VLOOKUP($A1209,'Mutasi Neraca'!$A$3:$S$910,11,FALSE))</f>
        <v>0</v>
      </c>
      <c r="M1209" s="42">
        <f>VLOOKUP($A1209,'Neraca Unaudited SIMAK'!$A$2:$R$1272,12,FALSE)+IF(ISNA(VLOOKUP($A1209,'Mutasi Neraca'!$A$3:$S$910,12,FALSE)),0,VLOOKUP($A1209,'Mutasi Neraca'!$A$3:$S$910,12,FALSE))</f>
        <v>0</v>
      </c>
      <c r="N1209" s="42">
        <f>VLOOKUP($A1209,'Neraca Unaudited SIMAK'!$A$2:$R$1272,13,FALSE)+IF(ISNA(VLOOKUP($A1209,'Mutasi Neraca'!$A$3:$S$910,13,FALSE)),0,VLOOKUP($A1209,'Mutasi Neraca'!$A$3:$S$910,13,FALSE))</f>
        <v>0</v>
      </c>
      <c r="O1209" s="42">
        <f>VLOOKUP($A1209,'Neraca Unaudited SIMAK'!$A$2:$R$1272,14,FALSE)+IF(ISNA(VLOOKUP($A1209,'Mutasi Neraca'!$A$3:$S$910,14,FALSE)),0,VLOOKUP($A1209,'Mutasi Neraca'!$A$3:$S$910,14,FALSE))</f>
        <v>0</v>
      </c>
      <c r="P1209" s="42">
        <f>VLOOKUP($A1209,'Neraca Unaudited SIMAK'!$A$2:$R$1272,15,FALSE)+IF(ISNA(VLOOKUP($A1209,'Mutasi Neraca'!$A$3:$S$910,15,FALSE)),0,VLOOKUP($A1209,'Mutasi Neraca'!$A$3:$S$910,15,FALSE))</f>
        <v>0</v>
      </c>
      <c r="Q1209" s="42">
        <f>VLOOKUP($A1209,'Neraca Unaudited SIMAK'!$A$2:$R$1272,16,FALSE)+IF(ISNA(VLOOKUP($A1209,'Mutasi Neraca'!$A$3:$S$910,16,FALSE)),0,VLOOKUP($A1209,'Mutasi Neraca'!$A$3:$S$910,16,FALSE))</f>
        <v>0</v>
      </c>
      <c r="R1209" s="42">
        <f>VLOOKUP($A1209,'Neraca Unaudited SIMAK'!$A$2:$R$1272,17,FALSE)+IF(ISNA(VLOOKUP($A1209,'Mutasi Neraca'!$A$3:$S$910,17,FALSE)),0,VLOOKUP($A1209,'Mutasi Neraca'!$A$3:$S$910,17,FALSE))</f>
        <v>0</v>
      </c>
      <c r="S1209" s="42">
        <f t="shared" si="79"/>
        <v>0</v>
      </c>
    </row>
    <row r="1210" spans="1:19">
      <c r="A1210" s="41" t="s">
        <v>1123</v>
      </c>
      <c r="B1210" s="41" t="str">
        <f t="shared" si="78"/>
        <v>005041800</v>
      </c>
      <c r="D1210" s="42">
        <f>VLOOKUP($A1210,'Neraca Unaudited SIMAK'!$A$2:$R$1272,3,FALSE)+IF(ISNA(VLOOKUP($A1210,'Mutasi Neraca'!$A$3:$S$910,3,FALSE)),0,VLOOKUP($A1210,'Mutasi Neraca'!$A$3:$S$910,3,FALSE))</f>
        <v>0</v>
      </c>
      <c r="E1210" s="42">
        <f>VLOOKUP($A1210,'Neraca Unaudited SIMAK'!$A$2:$R$1272,4,FALSE)+IF(ISNA(VLOOKUP($A1210,'Mutasi Neraca'!$A$3:$S$910,4,FALSE)),0,VLOOKUP($A1210,'Mutasi Neraca'!$A$3:$S$910,4,FALSE))</f>
        <v>0</v>
      </c>
      <c r="F1210" s="42">
        <f>VLOOKUP($A1210,'Neraca Unaudited SIMAK'!$A$2:$R$1272,5,FALSE)+IF(ISNA(VLOOKUP($A1210,'Mutasi Neraca'!$A$3:$S$910,5,FALSE)),0,VLOOKUP($A1210,'Mutasi Neraca'!$A$3:$S$910,5,FALSE))</f>
        <v>0</v>
      </c>
      <c r="G1210" s="42">
        <f>VLOOKUP($A1210,'Neraca Unaudited SIMAK'!$A$2:$R$1272,6,FALSE)+IF(ISNA(VLOOKUP($A1210,'Mutasi Neraca'!$A$3:$S$910,6,FALSE)),0,VLOOKUP($A1210,'Mutasi Neraca'!$A$3:$S$910,6,FALSE))</f>
        <v>0</v>
      </c>
      <c r="H1210" s="42">
        <f>VLOOKUP($A1210,'Neraca Unaudited SIMAK'!$A$2:$R$1272,7,FALSE)+IF(ISNA(VLOOKUP($A1210,'Mutasi Neraca'!$A$3:$S$910,7,FALSE)),0,VLOOKUP($A1210,'Mutasi Neraca'!$A$3:$S$910,7,FALSE))</f>
        <v>0</v>
      </c>
      <c r="I1210" s="42">
        <f>VLOOKUP($A1210,'Neraca Unaudited SIMAK'!$A$2:$R$1272,8,FALSE)+IF(ISNA(VLOOKUP($A1210,'Mutasi Neraca'!$A$3:$S$910,8,FALSE)),0,VLOOKUP($A1210,'Mutasi Neraca'!$A$3:$S$910,8,FALSE))</f>
        <v>0</v>
      </c>
      <c r="J1210" s="42">
        <f>VLOOKUP($A1210,'Neraca Unaudited SIMAK'!$A$2:$R$1272,9,FALSE)+IF(ISNA(VLOOKUP($A1210,'Mutasi Neraca'!$A$3:$S$910,9,FALSE)),0,VLOOKUP($A1210,'Mutasi Neraca'!$A$3:$S$910,9,FALSE))</f>
        <v>0</v>
      </c>
      <c r="K1210" s="42">
        <f>VLOOKUP($A1210,'Neraca Unaudited SIMAK'!$A$2:$R$1272,10,FALSE)+IF(ISNA(VLOOKUP($A1210,'Mutasi Neraca'!$A$3:$S$910,10,FALSE)),0,VLOOKUP($A1210,'Mutasi Neraca'!$A$3:$S$910,10,FALSE))</f>
        <v>0</v>
      </c>
      <c r="L1210" s="42">
        <f>VLOOKUP($A1210,'Neraca Unaudited SIMAK'!$A$2:$R$1272,11,FALSE)+IF(ISNA(VLOOKUP($A1210,'Mutasi Neraca'!$A$3:$S$910,11,FALSE)),0,VLOOKUP($A1210,'Mutasi Neraca'!$A$3:$S$910,11,FALSE))</f>
        <v>0</v>
      </c>
      <c r="M1210" s="42">
        <f>VLOOKUP($A1210,'Neraca Unaudited SIMAK'!$A$2:$R$1272,12,FALSE)+IF(ISNA(VLOOKUP($A1210,'Mutasi Neraca'!$A$3:$S$910,12,FALSE)),0,VLOOKUP($A1210,'Mutasi Neraca'!$A$3:$S$910,12,FALSE))</f>
        <v>0</v>
      </c>
      <c r="N1210" s="42">
        <f>VLOOKUP($A1210,'Neraca Unaudited SIMAK'!$A$2:$R$1272,13,FALSE)+IF(ISNA(VLOOKUP($A1210,'Mutasi Neraca'!$A$3:$S$910,13,FALSE)),0,VLOOKUP($A1210,'Mutasi Neraca'!$A$3:$S$910,13,FALSE))</f>
        <v>0</v>
      </c>
      <c r="O1210" s="42">
        <f>VLOOKUP($A1210,'Neraca Unaudited SIMAK'!$A$2:$R$1272,14,FALSE)+IF(ISNA(VLOOKUP($A1210,'Mutasi Neraca'!$A$3:$S$910,14,FALSE)),0,VLOOKUP($A1210,'Mutasi Neraca'!$A$3:$S$910,14,FALSE))</f>
        <v>0</v>
      </c>
      <c r="P1210" s="42">
        <f>VLOOKUP($A1210,'Neraca Unaudited SIMAK'!$A$2:$R$1272,15,FALSE)+IF(ISNA(VLOOKUP($A1210,'Mutasi Neraca'!$A$3:$S$910,15,FALSE)),0,VLOOKUP($A1210,'Mutasi Neraca'!$A$3:$S$910,15,FALSE))</f>
        <v>0</v>
      </c>
      <c r="Q1210" s="42">
        <f>VLOOKUP($A1210,'Neraca Unaudited SIMAK'!$A$2:$R$1272,16,FALSE)+IF(ISNA(VLOOKUP($A1210,'Mutasi Neraca'!$A$3:$S$910,16,FALSE)),0,VLOOKUP($A1210,'Mutasi Neraca'!$A$3:$S$910,16,FALSE))</f>
        <v>0</v>
      </c>
      <c r="R1210" s="42">
        <f>VLOOKUP($A1210,'Neraca Unaudited SIMAK'!$A$2:$R$1272,17,FALSE)+IF(ISNA(VLOOKUP($A1210,'Mutasi Neraca'!$A$3:$S$910,17,FALSE)),0,VLOOKUP($A1210,'Mutasi Neraca'!$A$3:$S$910,17,FALSE))</f>
        <v>0</v>
      </c>
      <c r="S1210" s="42">
        <f t="shared" si="79"/>
        <v>0</v>
      </c>
    </row>
    <row r="1211" spans="1:19">
      <c r="A1211" s="41" t="s">
        <v>1124</v>
      </c>
      <c r="B1211" s="41" t="str">
        <f t="shared" si="78"/>
        <v>005041800</v>
      </c>
      <c r="D1211" s="42">
        <f>VLOOKUP($A1211,'Neraca Unaudited SIMAK'!$A$2:$R$1272,3,FALSE)+IF(ISNA(VLOOKUP($A1211,'Mutasi Neraca'!$A$3:$S$910,3,FALSE)),0,VLOOKUP($A1211,'Mutasi Neraca'!$A$3:$S$910,3,FALSE))</f>
        <v>0</v>
      </c>
      <c r="E1211" s="42">
        <f>VLOOKUP($A1211,'Neraca Unaudited SIMAK'!$A$2:$R$1272,4,FALSE)+IF(ISNA(VLOOKUP($A1211,'Mutasi Neraca'!$A$3:$S$910,4,FALSE)),0,VLOOKUP($A1211,'Mutasi Neraca'!$A$3:$S$910,4,FALSE))</f>
        <v>0</v>
      </c>
      <c r="F1211" s="42">
        <f>VLOOKUP($A1211,'Neraca Unaudited SIMAK'!$A$2:$R$1272,5,FALSE)+IF(ISNA(VLOOKUP($A1211,'Mutasi Neraca'!$A$3:$S$910,5,FALSE)),0,VLOOKUP($A1211,'Mutasi Neraca'!$A$3:$S$910,5,FALSE))</f>
        <v>0</v>
      </c>
      <c r="G1211" s="42">
        <f>VLOOKUP($A1211,'Neraca Unaudited SIMAK'!$A$2:$R$1272,6,FALSE)+IF(ISNA(VLOOKUP($A1211,'Mutasi Neraca'!$A$3:$S$910,6,FALSE)),0,VLOOKUP($A1211,'Mutasi Neraca'!$A$3:$S$910,6,FALSE))</f>
        <v>0</v>
      </c>
      <c r="H1211" s="42">
        <f>VLOOKUP($A1211,'Neraca Unaudited SIMAK'!$A$2:$R$1272,7,FALSE)+IF(ISNA(VLOOKUP($A1211,'Mutasi Neraca'!$A$3:$S$910,7,FALSE)),0,VLOOKUP($A1211,'Mutasi Neraca'!$A$3:$S$910,7,FALSE))</f>
        <v>0</v>
      </c>
      <c r="I1211" s="42">
        <f>VLOOKUP($A1211,'Neraca Unaudited SIMAK'!$A$2:$R$1272,8,FALSE)+IF(ISNA(VLOOKUP($A1211,'Mutasi Neraca'!$A$3:$S$910,8,FALSE)),0,VLOOKUP($A1211,'Mutasi Neraca'!$A$3:$S$910,8,FALSE))</f>
        <v>0</v>
      </c>
      <c r="J1211" s="42">
        <f>VLOOKUP($A1211,'Neraca Unaudited SIMAK'!$A$2:$R$1272,9,FALSE)+IF(ISNA(VLOOKUP($A1211,'Mutasi Neraca'!$A$3:$S$910,9,FALSE)),0,VLOOKUP($A1211,'Mutasi Neraca'!$A$3:$S$910,9,FALSE))</f>
        <v>0</v>
      </c>
      <c r="K1211" s="42">
        <f>VLOOKUP($A1211,'Neraca Unaudited SIMAK'!$A$2:$R$1272,10,FALSE)+IF(ISNA(VLOOKUP($A1211,'Mutasi Neraca'!$A$3:$S$910,10,FALSE)),0,VLOOKUP($A1211,'Mutasi Neraca'!$A$3:$S$910,10,FALSE))</f>
        <v>0</v>
      </c>
      <c r="L1211" s="42">
        <f>VLOOKUP($A1211,'Neraca Unaudited SIMAK'!$A$2:$R$1272,11,FALSE)+IF(ISNA(VLOOKUP($A1211,'Mutasi Neraca'!$A$3:$S$910,11,FALSE)),0,VLOOKUP($A1211,'Mutasi Neraca'!$A$3:$S$910,11,FALSE))</f>
        <v>0</v>
      </c>
      <c r="M1211" s="42">
        <f>VLOOKUP($A1211,'Neraca Unaudited SIMAK'!$A$2:$R$1272,12,FALSE)+IF(ISNA(VLOOKUP($A1211,'Mutasi Neraca'!$A$3:$S$910,12,FALSE)),0,VLOOKUP($A1211,'Mutasi Neraca'!$A$3:$S$910,12,FALSE))</f>
        <v>0</v>
      </c>
      <c r="N1211" s="42">
        <f>VLOOKUP($A1211,'Neraca Unaudited SIMAK'!$A$2:$R$1272,13,FALSE)+IF(ISNA(VLOOKUP($A1211,'Mutasi Neraca'!$A$3:$S$910,13,FALSE)),0,VLOOKUP($A1211,'Mutasi Neraca'!$A$3:$S$910,13,FALSE))</f>
        <v>0</v>
      </c>
      <c r="O1211" s="42">
        <f>VLOOKUP($A1211,'Neraca Unaudited SIMAK'!$A$2:$R$1272,14,FALSE)+IF(ISNA(VLOOKUP($A1211,'Mutasi Neraca'!$A$3:$S$910,14,FALSE)),0,VLOOKUP($A1211,'Mutasi Neraca'!$A$3:$S$910,14,FALSE))</f>
        <v>0</v>
      </c>
      <c r="P1211" s="42">
        <f>VLOOKUP($A1211,'Neraca Unaudited SIMAK'!$A$2:$R$1272,15,FALSE)+IF(ISNA(VLOOKUP($A1211,'Mutasi Neraca'!$A$3:$S$910,15,FALSE)),0,VLOOKUP($A1211,'Mutasi Neraca'!$A$3:$S$910,15,FALSE))</f>
        <v>0</v>
      </c>
      <c r="Q1211" s="42">
        <f>VLOOKUP($A1211,'Neraca Unaudited SIMAK'!$A$2:$R$1272,16,FALSE)+IF(ISNA(VLOOKUP($A1211,'Mutasi Neraca'!$A$3:$S$910,16,FALSE)),0,VLOOKUP($A1211,'Mutasi Neraca'!$A$3:$S$910,16,FALSE))</f>
        <v>0</v>
      </c>
      <c r="R1211" s="42">
        <f>VLOOKUP($A1211,'Neraca Unaudited SIMAK'!$A$2:$R$1272,17,FALSE)+IF(ISNA(VLOOKUP($A1211,'Mutasi Neraca'!$A$3:$S$910,17,FALSE)),0,VLOOKUP($A1211,'Mutasi Neraca'!$A$3:$S$910,17,FALSE))</f>
        <v>0</v>
      </c>
      <c r="S1211" s="42">
        <f t="shared" si="79"/>
        <v>0</v>
      </c>
    </row>
    <row r="1212" spans="1:19">
      <c r="A1212" s="41" t="s">
        <v>2208</v>
      </c>
      <c r="B1212" s="41" t="str">
        <f t="shared" si="78"/>
        <v>005041800</v>
      </c>
      <c r="D1212" s="42">
        <f>VLOOKUP($A1212,'Neraca Unaudited SIMAK'!$A$2:$R$1272,3,FALSE)+IF(ISNA(VLOOKUP($A1212,'Mutasi Neraca'!$A$3:$S$910,3,FALSE)),0,VLOOKUP($A1212,'Mutasi Neraca'!$A$3:$S$910,3,FALSE))</f>
        <v>0</v>
      </c>
      <c r="E1212" s="42">
        <f>VLOOKUP($A1212,'Neraca Unaudited SIMAK'!$A$2:$R$1272,4,FALSE)+IF(ISNA(VLOOKUP($A1212,'Mutasi Neraca'!$A$3:$S$910,4,FALSE)),0,VLOOKUP($A1212,'Mutasi Neraca'!$A$3:$S$910,4,FALSE))</f>
        <v>0</v>
      </c>
      <c r="F1212" s="42">
        <f>VLOOKUP($A1212,'Neraca Unaudited SIMAK'!$A$2:$R$1272,5,FALSE)+IF(ISNA(VLOOKUP($A1212,'Mutasi Neraca'!$A$3:$S$910,5,FALSE)),0,VLOOKUP($A1212,'Mutasi Neraca'!$A$3:$S$910,5,FALSE))</f>
        <v>0</v>
      </c>
      <c r="G1212" s="42">
        <f>VLOOKUP($A1212,'Neraca Unaudited SIMAK'!$A$2:$R$1272,6,FALSE)+IF(ISNA(VLOOKUP($A1212,'Mutasi Neraca'!$A$3:$S$910,6,FALSE)),0,VLOOKUP($A1212,'Mutasi Neraca'!$A$3:$S$910,6,FALSE))</f>
        <v>0</v>
      </c>
      <c r="H1212" s="42">
        <f>VLOOKUP($A1212,'Neraca Unaudited SIMAK'!$A$2:$R$1272,7,FALSE)+IF(ISNA(VLOOKUP($A1212,'Mutasi Neraca'!$A$3:$S$910,7,FALSE)),0,VLOOKUP($A1212,'Mutasi Neraca'!$A$3:$S$910,7,FALSE))</f>
        <v>0</v>
      </c>
      <c r="I1212" s="42">
        <f>VLOOKUP($A1212,'Neraca Unaudited SIMAK'!$A$2:$R$1272,8,FALSE)+IF(ISNA(VLOOKUP($A1212,'Mutasi Neraca'!$A$3:$S$910,8,FALSE)),0,VLOOKUP($A1212,'Mutasi Neraca'!$A$3:$S$910,8,FALSE))</f>
        <v>0</v>
      </c>
      <c r="J1212" s="42">
        <f>VLOOKUP($A1212,'Neraca Unaudited SIMAK'!$A$2:$R$1272,9,FALSE)+IF(ISNA(VLOOKUP($A1212,'Mutasi Neraca'!$A$3:$S$910,9,FALSE)),0,VLOOKUP($A1212,'Mutasi Neraca'!$A$3:$S$910,9,FALSE))</f>
        <v>0</v>
      </c>
      <c r="K1212" s="42">
        <f>VLOOKUP($A1212,'Neraca Unaudited SIMAK'!$A$2:$R$1272,10,FALSE)+IF(ISNA(VLOOKUP($A1212,'Mutasi Neraca'!$A$3:$S$910,10,FALSE)),0,VLOOKUP($A1212,'Mutasi Neraca'!$A$3:$S$910,10,FALSE))</f>
        <v>0</v>
      </c>
      <c r="L1212" s="42">
        <f>VLOOKUP($A1212,'Neraca Unaudited SIMAK'!$A$2:$R$1272,11,FALSE)+IF(ISNA(VLOOKUP($A1212,'Mutasi Neraca'!$A$3:$S$910,11,FALSE)),0,VLOOKUP($A1212,'Mutasi Neraca'!$A$3:$S$910,11,FALSE))</f>
        <v>0</v>
      </c>
      <c r="M1212" s="42">
        <f>VLOOKUP($A1212,'Neraca Unaudited SIMAK'!$A$2:$R$1272,12,FALSE)+IF(ISNA(VLOOKUP($A1212,'Mutasi Neraca'!$A$3:$S$910,12,FALSE)),0,VLOOKUP($A1212,'Mutasi Neraca'!$A$3:$S$910,12,FALSE))</f>
        <v>0</v>
      </c>
      <c r="N1212" s="42">
        <f>VLOOKUP($A1212,'Neraca Unaudited SIMAK'!$A$2:$R$1272,13,FALSE)+IF(ISNA(VLOOKUP($A1212,'Mutasi Neraca'!$A$3:$S$910,13,FALSE)),0,VLOOKUP($A1212,'Mutasi Neraca'!$A$3:$S$910,13,FALSE))</f>
        <v>0</v>
      </c>
      <c r="O1212" s="42">
        <f>VLOOKUP($A1212,'Neraca Unaudited SIMAK'!$A$2:$R$1272,14,FALSE)+IF(ISNA(VLOOKUP($A1212,'Mutasi Neraca'!$A$3:$S$910,14,FALSE)),0,VLOOKUP($A1212,'Mutasi Neraca'!$A$3:$S$910,14,FALSE))</f>
        <v>0</v>
      </c>
      <c r="P1212" s="42">
        <f>VLOOKUP($A1212,'Neraca Unaudited SIMAK'!$A$2:$R$1272,15,FALSE)+IF(ISNA(VLOOKUP($A1212,'Mutasi Neraca'!$A$3:$S$910,15,FALSE)),0,VLOOKUP($A1212,'Mutasi Neraca'!$A$3:$S$910,15,FALSE))</f>
        <v>0</v>
      </c>
      <c r="Q1212" s="42">
        <f>VLOOKUP($A1212,'Neraca Unaudited SIMAK'!$A$2:$R$1272,16,FALSE)+IF(ISNA(VLOOKUP($A1212,'Mutasi Neraca'!$A$3:$S$910,16,FALSE)),0,VLOOKUP($A1212,'Mutasi Neraca'!$A$3:$S$910,16,FALSE))</f>
        <v>0</v>
      </c>
      <c r="R1212" s="42">
        <f>VLOOKUP($A1212,'Neraca Unaudited SIMAK'!$A$2:$R$1272,17,FALSE)+IF(ISNA(VLOOKUP($A1212,'Mutasi Neraca'!$A$3:$S$910,17,FALSE)),0,VLOOKUP($A1212,'Mutasi Neraca'!$A$3:$S$910,17,FALSE))</f>
        <v>0</v>
      </c>
      <c r="S1212" s="42">
        <f t="shared" si="79"/>
        <v>0</v>
      </c>
    </row>
    <row r="1213" spans="1:19">
      <c r="A1213" s="41" t="s">
        <v>1125</v>
      </c>
      <c r="B1213" s="41" t="str">
        <f t="shared" si="78"/>
        <v>005042100</v>
      </c>
      <c r="D1213" s="42">
        <f>VLOOKUP($A1213,'Neraca Unaudited SIMAK'!$A$2:$R$1272,3,FALSE)+IF(ISNA(VLOOKUP($A1213,'Mutasi Neraca'!$A$3:$S$910,3,FALSE)),0,VLOOKUP($A1213,'Mutasi Neraca'!$A$3:$S$910,3,FALSE))</f>
        <v>0</v>
      </c>
      <c r="E1213" s="42">
        <f>VLOOKUP($A1213,'Neraca Unaudited SIMAK'!$A$2:$R$1272,4,FALSE)+IF(ISNA(VLOOKUP($A1213,'Mutasi Neraca'!$A$3:$S$910,4,FALSE)),0,VLOOKUP($A1213,'Mutasi Neraca'!$A$3:$S$910,4,FALSE))</f>
        <v>0</v>
      </c>
      <c r="F1213" s="42">
        <f>VLOOKUP($A1213,'Neraca Unaudited SIMAK'!$A$2:$R$1272,5,FALSE)+IF(ISNA(VLOOKUP($A1213,'Mutasi Neraca'!$A$3:$S$910,5,FALSE)),0,VLOOKUP($A1213,'Mutasi Neraca'!$A$3:$S$910,5,FALSE))</f>
        <v>0</v>
      </c>
      <c r="G1213" s="42">
        <f>VLOOKUP($A1213,'Neraca Unaudited SIMAK'!$A$2:$R$1272,6,FALSE)+IF(ISNA(VLOOKUP($A1213,'Mutasi Neraca'!$A$3:$S$910,6,FALSE)),0,VLOOKUP($A1213,'Mutasi Neraca'!$A$3:$S$910,6,FALSE))</f>
        <v>0</v>
      </c>
      <c r="H1213" s="42">
        <f>VLOOKUP($A1213,'Neraca Unaudited SIMAK'!$A$2:$R$1272,7,FALSE)+IF(ISNA(VLOOKUP($A1213,'Mutasi Neraca'!$A$3:$S$910,7,FALSE)),0,VLOOKUP($A1213,'Mutasi Neraca'!$A$3:$S$910,7,FALSE))</f>
        <v>0</v>
      </c>
      <c r="I1213" s="42">
        <f>VLOOKUP($A1213,'Neraca Unaudited SIMAK'!$A$2:$R$1272,8,FALSE)+IF(ISNA(VLOOKUP($A1213,'Mutasi Neraca'!$A$3:$S$910,8,FALSE)),0,VLOOKUP($A1213,'Mutasi Neraca'!$A$3:$S$910,8,FALSE))</f>
        <v>0</v>
      </c>
      <c r="J1213" s="42">
        <f>VLOOKUP($A1213,'Neraca Unaudited SIMAK'!$A$2:$R$1272,9,FALSE)+IF(ISNA(VLOOKUP($A1213,'Mutasi Neraca'!$A$3:$S$910,9,FALSE)),0,VLOOKUP($A1213,'Mutasi Neraca'!$A$3:$S$910,9,FALSE))</f>
        <v>0</v>
      </c>
      <c r="K1213" s="42">
        <f>VLOOKUP($A1213,'Neraca Unaudited SIMAK'!$A$2:$R$1272,10,FALSE)+IF(ISNA(VLOOKUP($A1213,'Mutasi Neraca'!$A$3:$S$910,10,FALSE)),0,VLOOKUP($A1213,'Mutasi Neraca'!$A$3:$S$910,10,FALSE))</f>
        <v>0</v>
      </c>
      <c r="L1213" s="42">
        <f>VLOOKUP($A1213,'Neraca Unaudited SIMAK'!$A$2:$R$1272,11,FALSE)+IF(ISNA(VLOOKUP($A1213,'Mutasi Neraca'!$A$3:$S$910,11,FALSE)),0,VLOOKUP($A1213,'Mutasi Neraca'!$A$3:$S$910,11,FALSE))</f>
        <v>0</v>
      </c>
      <c r="M1213" s="42">
        <f>VLOOKUP($A1213,'Neraca Unaudited SIMAK'!$A$2:$R$1272,12,FALSE)+IF(ISNA(VLOOKUP($A1213,'Mutasi Neraca'!$A$3:$S$910,12,FALSE)),0,VLOOKUP($A1213,'Mutasi Neraca'!$A$3:$S$910,12,FALSE))</f>
        <v>0</v>
      </c>
      <c r="N1213" s="42">
        <f>VLOOKUP($A1213,'Neraca Unaudited SIMAK'!$A$2:$R$1272,13,FALSE)+IF(ISNA(VLOOKUP($A1213,'Mutasi Neraca'!$A$3:$S$910,13,FALSE)),0,VLOOKUP($A1213,'Mutasi Neraca'!$A$3:$S$910,13,FALSE))</f>
        <v>0</v>
      </c>
      <c r="O1213" s="42">
        <f>VLOOKUP($A1213,'Neraca Unaudited SIMAK'!$A$2:$R$1272,14,FALSE)+IF(ISNA(VLOOKUP($A1213,'Mutasi Neraca'!$A$3:$S$910,14,FALSE)),0,VLOOKUP($A1213,'Mutasi Neraca'!$A$3:$S$910,14,FALSE))</f>
        <v>0</v>
      </c>
      <c r="P1213" s="42">
        <f>VLOOKUP($A1213,'Neraca Unaudited SIMAK'!$A$2:$R$1272,15,FALSE)+IF(ISNA(VLOOKUP($A1213,'Mutasi Neraca'!$A$3:$S$910,15,FALSE)),0,VLOOKUP($A1213,'Mutasi Neraca'!$A$3:$S$910,15,FALSE))</f>
        <v>0</v>
      </c>
      <c r="Q1213" s="42">
        <f>VLOOKUP($A1213,'Neraca Unaudited SIMAK'!$A$2:$R$1272,16,FALSE)+IF(ISNA(VLOOKUP($A1213,'Mutasi Neraca'!$A$3:$S$910,16,FALSE)),0,VLOOKUP($A1213,'Mutasi Neraca'!$A$3:$S$910,16,FALSE))</f>
        <v>0</v>
      </c>
      <c r="R1213" s="42">
        <f>VLOOKUP($A1213,'Neraca Unaudited SIMAK'!$A$2:$R$1272,17,FALSE)+IF(ISNA(VLOOKUP($A1213,'Mutasi Neraca'!$A$3:$S$910,17,FALSE)),0,VLOOKUP($A1213,'Mutasi Neraca'!$A$3:$S$910,17,FALSE))</f>
        <v>0</v>
      </c>
      <c r="S1213" s="42">
        <f t="shared" si="79"/>
        <v>0</v>
      </c>
    </row>
    <row r="1214" spans="1:19">
      <c r="A1214" s="41" t="s">
        <v>2276</v>
      </c>
      <c r="B1214" s="41" t="str">
        <f t="shared" si="78"/>
        <v>005042100</v>
      </c>
      <c r="D1214" s="42">
        <f>VLOOKUP($A1214,'Neraca Unaudited SIMAK'!$A$2:$R$1272,3,FALSE)+IF(ISNA(VLOOKUP($A1214,'Mutasi Neraca'!$A$3:$S$910,3,FALSE)),0,VLOOKUP($A1214,'Mutasi Neraca'!$A$3:$S$910,3,FALSE))</f>
        <v>0</v>
      </c>
      <c r="E1214" s="42">
        <f>VLOOKUP($A1214,'Neraca Unaudited SIMAK'!$A$2:$R$1272,4,FALSE)+IF(ISNA(VLOOKUP($A1214,'Mutasi Neraca'!$A$3:$S$910,4,FALSE)),0,VLOOKUP($A1214,'Mutasi Neraca'!$A$3:$S$910,4,FALSE))</f>
        <v>0</v>
      </c>
      <c r="F1214" s="42">
        <f>VLOOKUP($A1214,'Neraca Unaudited SIMAK'!$A$2:$R$1272,5,FALSE)+IF(ISNA(VLOOKUP($A1214,'Mutasi Neraca'!$A$3:$S$910,5,FALSE)),0,VLOOKUP($A1214,'Mutasi Neraca'!$A$3:$S$910,5,FALSE))</f>
        <v>0</v>
      </c>
      <c r="G1214" s="42">
        <f>VLOOKUP($A1214,'Neraca Unaudited SIMAK'!$A$2:$R$1272,6,FALSE)+IF(ISNA(VLOOKUP($A1214,'Mutasi Neraca'!$A$3:$S$910,6,FALSE)),0,VLOOKUP($A1214,'Mutasi Neraca'!$A$3:$S$910,6,FALSE))</f>
        <v>0</v>
      </c>
      <c r="H1214" s="42">
        <f>VLOOKUP($A1214,'Neraca Unaudited SIMAK'!$A$2:$R$1272,7,FALSE)+IF(ISNA(VLOOKUP($A1214,'Mutasi Neraca'!$A$3:$S$910,7,FALSE)),0,VLOOKUP($A1214,'Mutasi Neraca'!$A$3:$S$910,7,FALSE))</f>
        <v>0</v>
      </c>
      <c r="I1214" s="42">
        <f>VLOOKUP($A1214,'Neraca Unaudited SIMAK'!$A$2:$R$1272,8,FALSE)+IF(ISNA(VLOOKUP($A1214,'Mutasi Neraca'!$A$3:$S$910,8,FALSE)),0,VLOOKUP($A1214,'Mutasi Neraca'!$A$3:$S$910,8,FALSE))</f>
        <v>0</v>
      </c>
      <c r="J1214" s="42">
        <f>VLOOKUP($A1214,'Neraca Unaudited SIMAK'!$A$2:$R$1272,9,FALSE)+IF(ISNA(VLOOKUP($A1214,'Mutasi Neraca'!$A$3:$S$910,9,FALSE)),0,VLOOKUP($A1214,'Mutasi Neraca'!$A$3:$S$910,9,FALSE))</f>
        <v>0</v>
      </c>
      <c r="K1214" s="42">
        <f>VLOOKUP($A1214,'Neraca Unaudited SIMAK'!$A$2:$R$1272,10,FALSE)+IF(ISNA(VLOOKUP($A1214,'Mutasi Neraca'!$A$3:$S$910,10,FALSE)),0,VLOOKUP($A1214,'Mutasi Neraca'!$A$3:$S$910,10,FALSE))</f>
        <v>0</v>
      </c>
      <c r="L1214" s="42">
        <f>VLOOKUP($A1214,'Neraca Unaudited SIMAK'!$A$2:$R$1272,11,FALSE)+IF(ISNA(VLOOKUP($A1214,'Mutasi Neraca'!$A$3:$S$910,11,FALSE)),0,VLOOKUP($A1214,'Mutasi Neraca'!$A$3:$S$910,11,FALSE))</f>
        <v>0</v>
      </c>
      <c r="M1214" s="42">
        <f>VLOOKUP($A1214,'Neraca Unaudited SIMAK'!$A$2:$R$1272,12,FALSE)+IF(ISNA(VLOOKUP($A1214,'Mutasi Neraca'!$A$3:$S$910,12,FALSE)),0,VLOOKUP($A1214,'Mutasi Neraca'!$A$3:$S$910,12,FALSE))</f>
        <v>0</v>
      </c>
      <c r="N1214" s="42">
        <f>VLOOKUP($A1214,'Neraca Unaudited SIMAK'!$A$2:$R$1272,13,FALSE)+IF(ISNA(VLOOKUP($A1214,'Mutasi Neraca'!$A$3:$S$910,13,FALSE)),0,VLOOKUP($A1214,'Mutasi Neraca'!$A$3:$S$910,13,FALSE))</f>
        <v>0</v>
      </c>
      <c r="O1214" s="42">
        <f>VLOOKUP($A1214,'Neraca Unaudited SIMAK'!$A$2:$R$1272,14,FALSE)+IF(ISNA(VLOOKUP($A1214,'Mutasi Neraca'!$A$3:$S$910,14,FALSE)),0,VLOOKUP($A1214,'Mutasi Neraca'!$A$3:$S$910,14,FALSE))</f>
        <v>0</v>
      </c>
      <c r="P1214" s="42">
        <f>VLOOKUP($A1214,'Neraca Unaudited SIMAK'!$A$2:$R$1272,15,FALSE)+IF(ISNA(VLOOKUP($A1214,'Mutasi Neraca'!$A$3:$S$910,15,FALSE)),0,VLOOKUP($A1214,'Mutasi Neraca'!$A$3:$S$910,15,FALSE))</f>
        <v>0</v>
      </c>
      <c r="Q1214" s="42">
        <f>VLOOKUP($A1214,'Neraca Unaudited SIMAK'!$A$2:$R$1272,16,FALSE)+IF(ISNA(VLOOKUP($A1214,'Mutasi Neraca'!$A$3:$S$910,16,FALSE)),0,VLOOKUP($A1214,'Mutasi Neraca'!$A$3:$S$910,16,FALSE))</f>
        <v>0</v>
      </c>
      <c r="R1214" s="42">
        <f>VLOOKUP($A1214,'Neraca Unaudited SIMAK'!$A$2:$R$1272,17,FALSE)+IF(ISNA(VLOOKUP($A1214,'Mutasi Neraca'!$A$3:$S$910,17,FALSE)),0,VLOOKUP($A1214,'Mutasi Neraca'!$A$3:$S$910,17,FALSE))</f>
        <v>0</v>
      </c>
      <c r="S1214" s="42">
        <f t="shared" si="79"/>
        <v>0</v>
      </c>
    </row>
    <row r="1215" spans="1:19">
      <c r="A1215" s="41" t="s">
        <v>2277</v>
      </c>
      <c r="B1215" s="41" t="str">
        <f t="shared" si="78"/>
        <v>005042200</v>
      </c>
      <c r="D1215" s="42">
        <f>VLOOKUP($A1215,'Neraca Unaudited SIMAK'!$A$2:$R$1272,3,FALSE)+IF(ISNA(VLOOKUP($A1215,'Mutasi Neraca'!$A$3:$S$910,3,FALSE)),0,VLOOKUP($A1215,'Mutasi Neraca'!$A$3:$S$910,3,FALSE))</f>
        <v>0</v>
      </c>
      <c r="E1215" s="42">
        <f>VLOOKUP($A1215,'Neraca Unaudited SIMAK'!$A$2:$R$1272,4,FALSE)+IF(ISNA(VLOOKUP($A1215,'Mutasi Neraca'!$A$3:$S$910,4,FALSE)),0,VLOOKUP($A1215,'Mutasi Neraca'!$A$3:$S$910,4,FALSE))</f>
        <v>0</v>
      </c>
      <c r="F1215" s="42">
        <f>VLOOKUP($A1215,'Neraca Unaudited SIMAK'!$A$2:$R$1272,5,FALSE)+IF(ISNA(VLOOKUP($A1215,'Mutasi Neraca'!$A$3:$S$910,5,FALSE)),0,VLOOKUP($A1215,'Mutasi Neraca'!$A$3:$S$910,5,FALSE))</f>
        <v>0</v>
      </c>
      <c r="G1215" s="42">
        <f>VLOOKUP($A1215,'Neraca Unaudited SIMAK'!$A$2:$R$1272,6,FALSE)+IF(ISNA(VLOOKUP($A1215,'Mutasi Neraca'!$A$3:$S$910,6,FALSE)),0,VLOOKUP($A1215,'Mutasi Neraca'!$A$3:$S$910,6,FALSE))</f>
        <v>0</v>
      </c>
      <c r="H1215" s="42">
        <f>VLOOKUP($A1215,'Neraca Unaudited SIMAK'!$A$2:$R$1272,7,FALSE)+IF(ISNA(VLOOKUP($A1215,'Mutasi Neraca'!$A$3:$S$910,7,FALSE)),0,VLOOKUP($A1215,'Mutasi Neraca'!$A$3:$S$910,7,FALSE))</f>
        <v>0</v>
      </c>
      <c r="I1215" s="42">
        <f>VLOOKUP($A1215,'Neraca Unaudited SIMAK'!$A$2:$R$1272,8,FALSE)+IF(ISNA(VLOOKUP($A1215,'Mutasi Neraca'!$A$3:$S$910,8,FALSE)),0,VLOOKUP($A1215,'Mutasi Neraca'!$A$3:$S$910,8,FALSE))</f>
        <v>0</v>
      </c>
      <c r="J1215" s="42">
        <f>VLOOKUP($A1215,'Neraca Unaudited SIMAK'!$A$2:$R$1272,9,FALSE)+IF(ISNA(VLOOKUP($A1215,'Mutasi Neraca'!$A$3:$S$910,9,FALSE)),0,VLOOKUP($A1215,'Mutasi Neraca'!$A$3:$S$910,9,FALSE))</f>
        <v>0</v>
      </c>
      <c r="K1215" s="42">
        <f>VLOOKUP($A1215,'Neraca Unaudited SIMAK'!$A$2:$R$1272,10,FALSE)+IF(ISNA(VLOOKUP($A1215,'Mutasi Neraca'!$A$3:$S$910,10,FALSE)),0,VLOOKUP($A1215,'Mutasi Neraca'!$A$3:$S$910,10,FALSE))</f>
        <v>0</v>
      </c>
      <c r="L1215" s="42">
        <f>VLOOKUP($A1215,'Neraca Unaudited SIMAK'!$A$2:$R$1272,11,FALSE)+IF(ISNA(VLOOKUP($A1215,'Mutasi Neraca'!$A$3:$S$910,11,FALSE)),0,VLOOKUP($A1215,'Mutasi Neraca'!$A$3:$S$910,11,FALSE))</f>
        <v>0</v>
      </c>
      <c r="M1215" s="42">
        <f>VLOOKUP($A1215,'Neraca Unaudited SIMAK'!$A$2:$R$1272,12,FALSE)+IF(ISNA(VLOOKUP($A1215,'Mutasi Neraca'!$A$3:$S$910,12,FALSE)),0,VLOOKUP($A1215,'Mutasi Neraca'!$A$3:$S$910,12,FALSE))</f>
        <v>0</v>
      </c>
      <c r="N1215" s="42">
        <f>VLOOKUP($A1215,'Neraca Unaudited SIMAK'!$A$2:$R$1272,13,FALSE)+IF(ISNA(VLOOKUP($A1215,'Mutasi Neraca'!$A$3:$S$910,13,FALSE)),0,VLOOKUP($A1215,'Mutasi Neraca'!$A$3:$S$910,13,FALSE))</f>
        <v>0</v>
      </c>
      <c r="O1215" s="42">
        <f>VLOOKUP($A1215,'Neraca Unaudited SIMAK'!$A$2:$R$1272,14,FALSE)+IF(ISNA(VLOOKUP($A1215,'Mutasi Neraca'!$A$3:$S$910,14,FALSE)),0,VLOOKUP($A1215,'Mutasi Neraca'!$A$3:$S$910,14,FALSE))</f>
        <v>0</v>
      </c>
      <c r="P1215" s="42">
        <f>VLOOKUP($A1215,'Neraca Unaudited SIMAK'!$A$2:$R$1272,15,FALSE)+IF(ISNA(VLOOKUP($A1215,'Mutasi Neraca'!$A$3:$S$910,15,FALSE)),0,VLOOKUP($A1215,'Mutasi Neraca'!$A$3:$S$910,15,FALSE))</f>
        <v>0</v>
      </c>
      <c r="Q1215" s="42">
        <f>VLOOKUP($A1215,'Neraca Unaudited SIMAK'!$A$2:$R$1272,16,FALSE)+IF(ISNA(VLOOKUP($A1215,'Mutasi Neraca'!$A$3:$S$910,16,FALSE)),0,VLOOKUP($A1215,'Mutasi Neraca'!$A$3:$S$910,16,FALSE))</f>
        <v>0</v>
      </c>
      <c r="R1215" s="42">
        <f>VLOOKUP($A1215,'Neraca Unaudited SIMAK'!$A$2:$R$1272,17,FALSE)+IF(ISNA(VLOOKUP($A1215,'Mutasi Neraca'!$A$3:$S$910,17,FALSE)),0,VLOOKUP($A1215,'Mutasi Neraca'!$A$3:$S$910,17,FALSE))</f>
        <v>0</v>
      </c>
      <c r="S1215" s="42">
        <f t="shared" si="79"/>
        <v>0</v>
      </c>
    </row>
    <row r="1216" spans="1:19">
      <c r="A1216" s="41" t="s">
        <v>1126</v>
      </c>
      <c r="B1216" s="41" t="str">
        <f t="shared" si="78"/>
        <v>005042300</v>
      </c>
      <c r="D1216" s="42">
        <f>VLOOKUP($A1216,'Neraca Unaudited SIMAK'!$A$2:$R$1272,3,FALSE)+IF(ISNA(VLOOKUP($A1216,'Mutasi Neraca'!$A$3:$S$910,3,FALSE)),0,VLOOKUP($A1216,'Mutasi Neraca'!$A$3:$S$910,3,FALSE))</f>
        <v>0</v>
      </c>
      <c r="E1216" s="42">
        <f>VLOOKUP($A1216,'Neraca Unaudited SIMAK'!$A$2:$R$1272,4,FALSE)+IF(ISNA(VLOOKUP($A1216,'Mutasi Neraca'!$A$3:$S$910,4,FALSE)),0,VLOOKUP($A1216,'Mutasi Neraca'!$A$3:$S$910,4,FALSE))</f>
        <v>0</v>
      </c>
      <c r="F1216" s="42">
        <f>VLOOKUP($A1216,'Neraca Unaudited SIMAK'!$A$2:$R$1272,5,FALSE)+IF(ISNA(VLOOKUP($A1216,'Mutasi Neraca'!$A$3:$S$910,5,FALSE)),0,VLOOKUP($A1216,'Mutasi Neraca'!$A$3:$S$910,5,FALSE))</f>
        <v>0</v>
      </c>
      <c r="G1216" s="42">
        <f>VLOOKUP($A1216,'Neraca Unaudited SIMAK'!$A$2:$R$1272,6,FALSE)+IF(ISNA(VLOOKUP($A1216,'Mutasi Neraca'!$A$3:$S$910,6,FALSE)),0,VLOOKUP($A1216,'Mutasi Neraca'!$A$3:$S$910,6,FALSE))</f>
        <v>0</v>
      </c>
      <c r="H1216" s="42">
        <f>VLOOKUP($A1216,'Neraca Unaudited SIMAK'!$A$2:$R$1272,7,FALSE)+IF(ISNA(VLOOKUP($A1216,'Mutasi Neraca'!$A$3:$S$910,7,FALSE)),0,VLOOKUP($A1216,'Mutasi Neraca'!$A$3:$S$910,7,FALSE))</f>
        <v>0</v>
      </c>
      <c r="I1216" s="42">
        <f>VLOOKUP($A1216,'Neraca Unaudited SIMAK'!$A$2:$R$1272,8,FALSE)+IF(ISNA(VLOOKUP($A1216,'Mutasi Neraca'!$A$3:$S$910,8,FALSE)),0,VLOOKUP($A1216,'Mutasi Neraca'!$A$3:$S$910,8,FALSE))</f>
        <v>0</v>
      </c>
      <c r="J1216" s="42">
        <f>VLOOKUP($A1216,'Neraca Unaudited SIMAK'!$A$2:$R$1272,9,FALSE)+IF(ISNA(VLOOKUP($A1216,'Mutasi Neraca'!$A$3:$S$910,9,FALSE)),0,VLOOKUP($A1216,'Mutasi Neraca'!$A$3:$S$910,9,FALSE))</f>
        <v>0</v>
      </c>
      <c r="K1216" s="42">
        <f>VLOOKUP($A1216,'Neraca Unaudited SIMAK'!$A$2:$R$1272,10,FALSE)+IF(ISNA(VLOOKUP($A1216,'Mutasi Neraca'!$A$3:$S$910,10,FALSE)),0,VLOOKUP($A1216,'Mutasi Neraca'!$A$3:$S$910,10,FALSE))</f>
        <v>0</v>
      </c>
      <c r="L1216" s="42">
        <f>VLOOKUP($A1216,'Neraca Unaudited SIMAK'!$A$2:$R$1272,11,FALSE)+IF(ISNA(VLOOKUP($A1216,'Mutasi Neraca'!$A$3:$S$910,11,FALSE)),0,VLOOKUP($A1216,'Mutasi Neraca'!$A$3:$S$910,11,FALSE))</f>
        <v>0</v>
      </c>
      <c r="M1216" s="42">
        <f>VLOOKUP($A1216,'Neraca Unaudited SIMAK'!$A$2:$R$1272,12,FALSE)+IF(ISNA(VLOOKUP($A1216,'Mutasi Neraca'!$A$3:$S$910,12,FALSE)),0,VLOOKUP($A1216,'Mutasi Neraca'!$A$3:$S$910,12,FALSE))</f>
        <v>0</v>
      </c>
      <c r="N1216" s="42">
        <f>VLOOKUP($A1216,'Neraca Unaudited SIMAK'!$A$2:$R$1272,13,FALSE)+IF(ISNA(VLOOKUP($A1216,'Mutasi Neraca'!$A$3:$S$910,13,FALSE)),0,VLOOKUP($A1216,'Mutasi Neraca'!$A$3:$S$910,13,FALSE))</f>
        <v>0</v>
      </c>
      <c r="O1216" s="42">
        <f>VLOOKUP($A1216,'Neraca Unaudited SIMAK'!$A$2:$R$1272,14,FALSE)+IF(ISNA(VLOOKUP($A1216,'Mutasi Neraca'!$A$3:$S$910,14,FALSE)),0,VLOOKUP($A1216,'Mutasi Neraca'!$A$3:$S$910,14,FALSE))</f>
        <v>0</v>
      </c>
      <c r="P1216" s="42">
        <f>VLOOKUP($A1216,'Neraca Unaudited SIMAK'!$A$2:$R$1272,15,FALSE)+IF(ISNA(VLOOKUP($A1216,'Mutasi Neraca'!$A$3:$S$910,15,FALSE)),0,VLOOKUP($A1216,'Mutasi Neraca'!$A$3:$S$910,15,FALSE))</f>
        <v>0</v>
      </c>
      <c r="Q1216" s="42">
        <f>VLOOKUP($A1216,'Neraca Unaudited SIMAK'!$A$2:$R$1272,16,FALSE)+IF(ISNA(VLOOKUP($A1216,'Mutasi Neraca'!$A$3:$S$910,16,FALSE)),0,VLOOKUP($A1216,'Mutasi Neraca'!$A$3:$S$910,16,FALSE))</f>
        <v>0</v>
      </c>
      <c r="R1216" s="42">
        <f>VLOOKUP($A1216,'Neraca Unaudited SIMAK'!$A$2:$R$1272,17,FALSE)+IF(ISNA(VLOOKUP($A1216,'Mutasi Neraca'!$A$3:$S$910,17,FALSE)),0,VLOOKUP($A1216,'Mutasi Neraca'!$A$3:$S$910,17,FALSE))</f>
        <v>0</v>
      </c>
      <c r="S1216" s="42">
        <f t="shared" si="79"/>
        <v>0</v>
      </c>
    </row>
    <row r="1217" spans="1:19">
      <c r="A1217" s="41" t="s">
        <v>2209</v>
      </c>
      <c r="B1217" s="41" t="str">
        <f t="shared" si="78"/>
        <v>005042300</v>
      </c>
      <c r="D1217" s="42">
        <f>VLOOKUP($A1217,'Neraca Unaudited SIMAK'!$A$2:$R$1272,3,FALSE)+IF(ISNA(VLOOKUP($A1217,'Mutasi Neraca'!$A$3:$S$910,3,FALSE)),0,VLOOKUP($A1217,'Mutasi Neraca'!$A$3:$S$910,3,FALSE))</f>
        <v>0</v>
      </c>
      <c r="E1217" s="42">
        <f>VLOOKUP($A1217,'Neraca Unaudited SIMAK'!$A$2:$R$1272,4,FALSE)+IF(ISNA(VLOOKUP($A1217,'Mutasi Neraca'!$A$3:$S$910,4,FALSE)),0,VLOOKUP($A1217,'Mutasi Neraca'!$A$3:$S$910,4,FALSE))</f>
        <v>0</v>
      </c>
      <c r="F1217" s="42">
        <f>VLOOKUP($A1217,'Neraca Unaudited SIMAK'!$A$2:$R$1272,5,FALSE)+IF(ISNA(VLOOKUP($A1217,'Mutasi Neraca'!$A$3:$S$910,5,FALSE)),0,VLOOKUP($A1217,'Mutasi Neraca'!$A$3:$S$910,5,FALSE))</f>
        <v>0</v>
      </c>
      <c r="G1217" s="42">
        <f>VLOOKUP($A1217,'Neraca Unaudited SIMAK'!$A$2:$R$1272,6,FALSE)+IF(ISNA(VLOOKUP($A1217,'Mutasi Neraca'!$A$3:$S$910,6,FALSE)),0,VLOOKUP($A1217,'Mutasi Neraca'!$A$3:$S$910,6,FALSE))</f>
        <v>0</v>
      </c>
      <c r="H1217" s="42">
        <f>VLOOKUP($A1217,'Neraca Unaudited SIMAK'!$A$2:$R$1272,7,FALSE)+IF(ISNA(VLOOKUP($A1217,'Mutasi Neraca'!$A$3:$S$910,7,FALSE)),0,VLOOKUP($A1217,'Mutasi Neraca'!$A$3:$S$910,7,FALSE))</f>
        <v>0</v>
      </c>
      <c r="I1217" s="42">
        <f>VLOOKUP($A1217,'Neraca Unaudited SIMAK'!$A$2:$R$1272,8,FALSE)+IF(ISNA(VLOOKUP($A1217,'Mutasi Neraca'!$A$3:$S$910,8,FALSE)),0,VLOOKUP($A1217,'Mutasi Neraca'!$A$3:$S$910,8,FALSE))</f>
        <v>0</v>
      </c>
      <c r="J1217" s="42">
        <f>VLOOKUP($A1217,'Neraca Unaudited SIMAK'!$A$2:$R$1272,9,FALSE)+IF(ISNA(VLOOKUP($A1217,'Mutasi Neraca'!$A$3:$S$910,9,FALSE)),0,VLOOKUP($A1217,'Mutasi Neraca'!$A$3:$S$910,9,FALSE))</f>
        <v>0</v>
      </c>
      <c r="K1217" s="42">
        <f>VLOOKUP($A1217,'Neraca Unaudited SIMAK'!$A$2:$R$1272,10,FALSE)+IF(ISNA(VLOOKUP($A1217,'Mutasi Neraca'!$A$3:$S$910,10,FALSE)),0,VLOOKUP($A1217,'Mutasi Neraca'!$A$3:$S$910,10,FALSE))</f>
        <v>0</v>
      </c>
      <c r="L1217" s="42">
        <f>VLOOKUP($A1217,'Neraca Unaudited SIMAK'!$A$2:$R$1272,11,FALSE)+IF(ISNA(VLOOKUP($A1217,'Mutasi Neraca'!$A$3:$S$910,11,FALSE)),0,VLOOKUP($A1217,'Mutasi Neraca'!$A$3:$S$910,11,FALSE))</f>
        <v>0</v>
      </c>
      <c r="M1217" s="42">
        <f>VLOOKUP($A1217,'Neraca Unaudited SIMAK'!$A$2:$R$1272,12,FALSE)+IF(ISNA(VLOOKUP($A1217,'Mutasi Neraca'!$A$3:$S$910,12,FALSE)),0,VLOOKUP($A1217,'Mutasi Neraca'!$A$3:$S$910,12,FALSE))</f>
        <v>0</v>
      </c>
      <c r="N1217" s="42">
        <f>VLOOKUP($A1217,'Neraca Unaudited SIMAK'!$A$2:$R$1272,13,FALSE)+IF(ISNA(VLOOKUP($A1217,'Mutasi Neraca'!$A$3:$S$910,13,FALSE)),0,VLOOKUP($A1217,'Mutasi Neraca'!$A$3:$S$910,13,FALSE))</f>
        <v>0</v>
      </c>
      <c r="O1217" s="42">
        <f>VLOOKUP($A1217,'Neraca Unaudited SIMAK'!$A$2:$R$1272,14,FALSE)+IF(ISNA(VLOOKUP($A1217,'Mutasi Neraca'!$A$3:$S$910,14,FALSE)),0,VLOOKUP($A1217,'Mutasi Neraca'!$A$3:$S$910,14,FALSE))</f>
        <v>0</v>
      </c>
      <c r="P1217" s="42">
        <f>VLOOKUP($A1217,'Neraca Unaudited SIMAK'!$A$2:$R$1272,15,FALSE)+IF(ISNA(VLOOKUP($A1217,'Mutasi Neraca'!$A$3:$S$910,15,FALSE)),0,VLOOKUP($A1217,'Mutasi Neraca'!$A$3:$S$910,15,FALSE))</f>
        <v>0</v>
      </c>
      <c r="Q1217" s="42">
        <f>VLOOKUP($A1217,'Neraca Unaudited SIMAK'!$A$2:$R$1272,16,FALSE)+IF(ISNA(VLOOKUP($A1217,'Mutasi Neraca'!$A$3:$S$910,16,FALSE)),0,VLOOKUP($A1217,'Mutasi Neraca'!$A$3:$S$910,16,FALSE))</f>
        <v>0</v>
      </c>
      <c r="R1217" s="42">
        <f>VLOOKUP($A1217,'Neraca Unaudited SIMAK'!$A$2:$R$1272,17,FALSE)+IF(ISNA(VLOOKUP($A1217,'Mutasi Neraca'!$A$3:$S$910,17,FALSE)),0,VLOOKUP($A1217,'Mutasi Neraca'!$A$3:$S$910,17,FALSE))</f>
        <v>0</v>
      </c>
      <c r="S1217" s="42">
        <f t="shared" si="79"/>
        <v>0</v>
      </c>
    </row>
    <row r="1218" spans="1:19">
      <c r="A1218" s="41" t="s">
        <v>1127</v>
      </c>
      <c r="B1218" s="41" t="str">
        <f t="shared" si="78"/>
        <v>005042300</v>
      </c>
      <c r="D1218" s="42">
        <f>VLOOKUP($A1218,'Neraca Unaudited SIMAK'!$A$2:$R$1272,3,FALSE)+IF(ISNA(VLOOKUP($A1218,'Mutasi Neraca'!$A$3:$S$910,3,FALSE)),0,VLOOKUP($A1218,'Mutasi Neraca'!$A$3:$S$910,3,FALSE))</f>
        <v>0</v>
      </c>
      <c r="E1218" s="42">
        <f>VLOOKUP($A1218,'Neraca Unaudited SIMAK'!$A$2:$R$1272,4,FALSE)+IF(ISNA(VLOOKUP($A1218,'Mutasi Neraca'!$A$3:$S$910,4,FALSE)),0,VLOOKUP($A1218,'Mutasi Neraca'!$A$3:$S$910,4,FALSE))</f>
        <v>0</v>
      </c>
      <c r="F1218" s="42">
        <f>VLOOKUP($A1218,'Neraca Unaudited SIMAK'!$A$2:$R$1272,5,FALSE)+IF(ISNA(VLOOKUP($A1218,'Mutasi Neraca'!$A$3:$S$910,5,FALSE)),0,VLOOKUP($A1218,'Mutasi Neraca'!$A$3:$S$910,5,FALSE))</f>
        <v>0</v>
      </c>
      <c r="G1218" s="42">
        <f>VLOOKUP($A1218,'Neraca Unaudited SIMAK'!$A$2:$R$1272,6,FALSE)+IF(ISNA(VLOOKUP($A1218,'Mutasi Neraca'!$A$3:$S$910,6,FALSE)),0,VLOOKUP($A1218,'Mutasi Neraca'!$A$3:$S$910,6,FALSE))</f>
        <v>0</v>
      </c>
      <c r="H1218" s="42">
        <f>VLOOKUP($A1218,'Neraca Unaudited SIMAK'!$A$2:$R$1272,7,FALSE)+IF(ISNA(VLOOKUP($A1218,'Mutasi Neraca'!$A$3:$S$910,7,FALSE)),0,VLOOKUP($A1218,'Mutasi Neraca'!$A$3:$S$910,7,FALSE))</f>
        <v>0</v>
      </c>
      <c r="I1218" s="42">
        <f>VLOOKUP($A1218,'Neraca Unaudited SIMAK'!$A$2:$R$1272,8,FALSE)+IF(ISNA(VLOOKUP($A1218,'Mutasi Neraca'!$A$3:$S$910,8,FALSE)),0,VLOOKUP($A1218,'Mutasi Neraca'!$A$3:$S$910,8,FALSE))</f>
        <v>0</v>
      </c>
      <c r="J1218" s="42">
        <f>VLOOKUP($A1218,'Neraca Unaudited SIMAK'!$A$2:$R$1272,9,FALSE)+IF(ISNA(VLOOKUP($A1218,'Mutasi Neraca'!$A$3:$S$910,9,FALSE)),0,VLOOKUP($A1218,'Mutasi Neraca'!$A$3:$S$910,9,FALSE))</f>
        <v>0</v>
      </c>
      <c r="K1218" s="42">
        <f>VLOOKUP($A1218,'Neraca Unaudited SIMAK'!$A$2:$R$1272,10,FALSE)+IF(ISNA(VLOOKUP($A1218,'Mutasi Neraca'!$A$3:$S$910,10,FALSE)),0,VLOOKUP($A1218,'Mutasi Neraca'!$A$3:$S$910,10,FALSE))</f>
        <v>0</v>
      </c>
      <c r="L1218" s="42">
        <f>VLOOKUP($A1218,'Neraca Unaudited SIMAK'!$A$2:$R$1272,11,FALSE)+IF(ISNA(VLOOKUP($A1218,'Mutasi Neraca'!$A$3:$S$910,11,FALSE)),0,VLOOKUP($A1218,'Mutasi Neraca'!$A$3:$S$910,11,FALSE))</f>
        <v>0</v>
      </c>
      <c r="M1218" s="42">
        <f>VLOOKUP($A1218,'Neraca Unaudited SIMAK'!$A$2:$R$1272,12,FALSE)+IF(ISNA(VLOOKUP($A1218,'Mutasi Neraca'!$A$3:$S$910,12,FALSE)),0,VLOOKUP($A1218,'Mutasi Neraca'!$A$3:$S$910,12,FALSE))</f>
        <v>0</v>
      </c>
      <c r="N1218" s="42">
        <f>VLOOKUP($A1218,'Neraca Unaudited SIMAK'!$A$2:$R$1272,13,FALSE)+IF(ISNA(VLOOKUP($A1218,'Mutasi Neraca'!$A$3:$S$910,13,FALSE)),0,VLOOKUP($A1218,'Mutasi Neraca'!$A$3:$S$910,13,FALSE))</f>
        <v>0</v>
      </c>
      <c r="O1218" s="42">
        <f>VLOOKUP($A1218,'Neraca Unaudited SIMAK'!$A$2:$R$1272,14,FALSE)+IF(ISNA(VLOOKUP($A1218,'Mutasi Neraca'!$A$3:$S$910,14,FALSE)),0,VLOOKUP($A1218,'Mutasi Neraca'!$A$3:$S$910,14,FALSE))</f>
        <v>0</v>
      </c>
      <c r="P1218" s="42">
        <f>VLOOKUP($A1218,'Neraca Unaudited SIMAK'!$A$2:$R$1272,15,FALSE)+IF(ISNA(VLOOKUP($A1218,'Mutasi Neraca'!$A$3:$S$910,15,FALSE)),0,VLOOKUP($A1218,'Mutasi Neraca'!$A$3:$S$910,15,FALSE))</f>
        <v>0</v>
      </c>
      <c r="Q1218" s="42">
        <f>VLOOKUP($A1218,'Neraca Unaudited SIMAK'!$A$2:$R$1272,16,FALSE)+IF(ISNA(VLOOKUP($A1218,'Mutasi Neraca'!$A$3:$S$910,16,FALSE)),0,VLOOKUP($A1218,'Mutasi Neraca'!$A$3:$S$910,16,FALSE))</f>
        <v>0</v>
      </c>
      <c r="R1218" s="42">
        <f>VLOOKUP($A1218,'Neraca Unaudited SIMAK'!$A$2:$R$1272,17,FALSE)+IF(ISNA(VLOOKUP($A1218,'Mutasi Neraca'!$A$3:$S$910,17,FALSE)),0,VLOOKUP($A1218,'Mutasi Neraca'!$A$3:$S$910,17,FALSE))</f>
        <v>0</v>
      </c>
      <c r="S1218" s="42">
        <f t="shared" si="79"/>
        <v>0</v>
      </c>
    </row>
    <row r="1219" spans="1:19">
      <c r="A1219" s="41" t="s">
        <v>2077</v>
      </c>
      <c r="B1219" s="41" t="str">
        <f t="shared" ref="B1219:B1270" si="80">LEFT(A1219,9)</f>
        <v>005042300</v>
      </c>
      <c r="D1219" s="42">
        <f>VLOOKUP($A1219,'Neraca Unaudited SIMAK'!$A$2:$R$1272,3,FALSE)+IF(ISNA(VLOOKUP($A1219,'Mutasi Neraca'!$A$3:$S$910,3,FALSE)),0,VLOOKUP($A1219,'Mutasi Neraca'!$A$3:$S$910,3,FALSE))</f>
        <v>0</v>
      </c>
      <c r="E1219" s="42">
        <f>VLOOKUP($A1219,'Neraca Unaudited SIMAK'!$A$2:$R$1272,4,FALSE)+IF(ISNA(VLOOKUP($A1219,'Mutasi Neraca'!$A$3:$S$910,4,FALSE)),0,VLOOKUP($A1219,'Mutasi Neraca'!$A$3:$S$910,4,FALSE))</f>
        <v>0</v>
      </c>
      <c r="F1219" s="42">
        <f>VLOOKUP($A1219,'Neraca Unaudited SIMAK'!$A$2:$R$1272,5,FALSE)+IF(ISNA(VLOOKUP($A1219,'Mutasi Neraca'!$A$3:$S$910,5,FALSE)),0,VLOOKUP($A1219,'Mutasi Neraca'!$A$3:$S$910,5,FALSE))</f>
        <v>0</v>
      </c>
      <c r="G1219" s="42">
        <f>VLOOKUP($A1219,'Neraca Unaudited SIMAK'!$A$2:$R$1272,6,FALSE)+IF(ISNA(VLOOKUP($A1219,'Mutasi Neraca'!$A$3:$S$910,6,FALSE)),0,VLOOKUP($A1219,'Mutasi Neraca'!$A$3:$S$910,6,FALSE))</f>
        <v>0</v>
      </c>
      <c r="H1219" s="42">
        <f>VLOOKUP($A1219,'Neraca Unaudited SIMAK'!$A$2:$R$1272,7,FALSE)+IF(ISNA(VLOOKUP($A1219,'Mutasi Neraca'!$A$3:$S$910,7,FALSE)),0,VLOOKUP($A1219,'Mutasi Neraca'!$A$3:$S$910,7,FALSE))</f>
        <v>0</v>
      </c>
      <c r="I1219" s="42">
        <f>VLOOKUP($A1219,'Neraca Unaudited SIMAK'!$A$2:$R$1272,8,FALSE)+IF(ISNA(VLOOKUP($A1219,'Mutasi Neraca'!$A$3:$S$910,8,FALSE)),0,VLOOKUP($A1219,'Mutasi Neraca'!$A$3:$S$910,8,FALSE))</f>
        <v>0</v>
      </c>
      <c r="J1219" s="42">
        <f>VLOOKUP($A1219,'Neraca Unaudited SIMAK'!$A$2:$R$1272,9,FALSE)+IF(ISNA(VLOOKUP($A1219,'Mutasi Neraca'!$A$3:$S$910,9,FALSE)),0,VLOOKUP($A1219,'Mutasi Neraca'!$A$3:$S$910,9,FALSE))</f>
        <v>0</v>
      </c>
      <c r="K1219" s="42">
        <f>VLOOKUP($A1219,'Neraca Unaudited SIMAK'!$A$2:$R$1272,10,FALSE)+IF(ISNA(VLOOKUP($A1219,'Mutasi Neraca'!$A$3:$S$910,10,FALSE)),0,VLOOKUP($A1219,'Mutasi Neraca'!$A$3:$S$910,10,FALSE))</f>
        <v>0</v>
      </c>
      <c r="L1219" s="42">
        <f>VLOOKUP($A1219,'Neraca Unaudited SIMAK'!$A$2:$R$1272,11,FALSE)+IF(ISNA(VLOOKUP($A1219,'Mutasi Neraca'!$A$3:$S$910,11,FALSE)),0,VLOOKUP($A1219,'Mutasi Neraca'!$A$3:$S$910,11,FALSE))</f>
        <v>0</v>
      </c>
      <c r="M1219" s="42">
        <f>VLOOKUP($A1219,'Neraca Unaudited SIMAK'!$A$2:$R$1272,12,FALSE)+IF(ISNA(VLOOKUP($A1219,'Mutasi Neraca'!$A$3:$S$910,12,FALSE)),0,VLOOKUP($A1219,'Mutasi Neraca'!$A$3:$S$910,12,FALSE))</f>
        <v>0</v>
      </c>
      <c r="N1219" s="42">
        <f>VLOOKUP($A1219,'Neraca Unaudited SIMAK'!$A$2:$R$1272,13,FALSE)+IF(ISNA(VLOOKUP($A1219,'Mutasi Neraca'!$A$3:$S$910,13,FALSE)),0,VLOOKUP($A1219,'Mutasi Neraca'!$A$3:$S$910,13,FALSE))</f>
        <v>0</v>
      </c>
      <c r="O1219" s="42">
        <f>VLOOKUP($A1219,'Neraca Unaudited SIMAK'!$A$2:$R$1272,14,FALSE)+IF(ISNA(VLOOKUP($A1219,'Mutasi Neraca'!$A$3:$S$910,14,FALSE)),0,VLOOKUP($A1219,'Mutasi Neraca'!$A$3:$S$910,14,FALSE))</f>
        <v>0</v>
      </c>
      <c r="P1219" s="42">
        <f>VLOOKUP($A1219,'Neraca Unaudited SIMAK'!$A$2:$R$1272,15,FALSE)+IF(ISNA(VLOOKUP($A1219,'Mutasi Neraca'!$A$3:$S$910,15,FALSE)),0,VLOOKUP($A1219,'Mutasi Neraca'!$A$3:$S$910,15,FALSE))</f>
        <v>0</v>
      </c>
      <c r="Q1219" s="42">
        <f>VLOOKUP($A1219,'Neraca Unaudited SIMAK'!$A$2:$R$1272,16,FALSE)+IF(ISNA(VLOOKUP($A1219,'Mutasi Neraca'!$A$3:$S$910,16,FALSE)),0,VLOOKUP($A1219,'Mutasi Neraca'!$A$3:$S$910,16,FALSE))</f>
        <v>0</v>
      </c>
      <c r="R1219" s="42">
        <f>VLOOKUP($A1219,'Neraca Unaudited SIMAK'!$A$2:$R$1272,17,FALSE)+IF(ISNA(VLOOKUP($A1219,'Mutasi Neraca'!$A$3:$S$910,17,FALSE)),0,VLOOKUP($A1219,'Mutasi Neraca'!$A$3:$S$910,17,FALSE))</f>
        <v>0</v>
      </c>
      <c r="S1219" s="42">
        <f t="shared" ref="S1219:S1249" si="81">SUM(M1219:R1219)</f>
        <v>0</v>
      </c>
    </row>
    <row r="1220" spans="1:19">
      <c r="A1220" s="41" t="s">
        <v>2210</v>
      </c>
      <c r="B1220" s="41" t="str">
        <f t="shared" si="80"/>
        <v>005042300</v>
      </c>
      <c r="D1220" s="42">
        <f>VLOOKUP($A1220,'Neraca Unaudited SIMAK'!$A$2:$R$1272,3,FALSE)+IF(ISNA(VLOOKUP($A1220,'Mutasi Neraca'!$A$3:$S$910,3,FALSE)),0,VLOOKUP($A1220,'Mutasi Neraca'!$A$3:$S$910,3,FALSE))</f>
        <v>0</v>
      </c>
      <c r="E1220" s="42">
        <f>VLOOKUP($A1220,'Neraca Unaudited SIMAK'!$A$2:$R$1272,4,FALSE)+IF(ISNA(VLOOKUP($A1220,'Mutasi Neraca'!$A$3:$S$910,4,FALSE)),0,VLOOKUP($A1220,'Mutasi Neraca'!$A$3:$S$910,4,FALSE))</f>
        <v>0</v>
      </c>
      <c r="F1220" s="42">
        <f>VLOOKUP($A1220,'Neraca Unaudited SIMAK'!$A$2:$R$1272,5,FALSE)+IF(ISNA(VLOOKUP($A1220,'Mutasi Neraca'!$A$3:$S$910,5,FALSE)),0,VLOOKUP($A1220,'Mutasi Neraca'!$A$3:$S$910,5,FALSE))</f>
        <v>0</v>
      </c>
      <c r="G1220" s="42">
        <f>VLOOKUP($A1220,'Neraca Unaudited SIMAK'!$A$2:$R$1272,6,FALSE)+IF(ISNA(VLOOKUP($A1220,'Mutasi Neraca'!$A$3:$S$910,6,FALSE)),0,VLOOKUP($A1220,'Mutasi Neraca'!$A$3:$S$910,6,FALSE))</f>
        <v>0</v>
      </c>
      <c r="H1220" s="42">
        <f>VLOOKUP($A1220,'Neraca Unaudited SIMAK'!$A$2:$R$1272,7,FALSE)+IF(ISNA(VLOOKUP($A1220,'Mutasi Neraca'!$A$3:$S$910,7,FALSE)),0,VLOOKUP($A1220,'Mutasi Neraca'!$A$3:$S$910,7,FALSE))</f>
        <v>0</v>
      </c>
      <c r="I1220" s="42">
        <f>VLOOKUP($A1220,'Neraca Unaudited SIMAK'!$A$2:$R$1272,8,FALSE)+IF(ISNA(VLOOKUP($A1220,'Mutasi Neraca'!$A$3:$S$910,8,FALSE)),0,VLOOKUP($A1220,'Mutasi Neraca'!$A$3:$S$910,8,FALSE))</f>
        <v>0</v>
      </c>
      <c r="J1220" s="42">
        <f>VLOOKUP($A1220,'Neraca Unaudited SIMAK'!$A$2:$R$1272,9,FALSE)+IF(ISNA(VLOOKUP($A1220,'Mutasi Neraca'!$A$3:$S$910,9,FALSE)),0,VLOOKUP($A1220,'Mutasi Neraca'!$A$3:$S$910,9,FALSE))</f>
        <v>0</v>
      </c>
      <c r="K1220" s="42">
        <f>VLOOKUP($A1220,'Neraca Unaudited SIMAK'!$A$2:$R$1272,10,FALSE)+IF(ISNA(VLOOKUP($A1220,'Mutasi Neraca'!$A$3:$S$910,10,FALSE)),0,VLOOKUP($A1220,'Mutasi Neraca'!$A$3:$S$910,10,FALSE))</f>
        <v>0</v>
      </c>
      <c r="L1220" s="42">
        <f>VLOOKUP($A1220,'Neraca Unaudited SIMAK'!$A$2:$R$1272,11,FALSE)+IF(ISNA(VLOOKUP($A1220,'Mutasi Neraca'!$A$3:$S$910,11,FALSE)),0,VLOOKUP($A1220,'Mutasi Neraca'!$A$3:$S$910,11,FALSE))</f>
        <v>0</v>
      </c>
      <c r="M1220" s="42">
        <f>VLOOKUP($A1220,'Neraca Unaudited SIMAK'!$A$2:$R$1272,12,FALSE)+IF(ISNA(VLOOKUP($A1220,'Mutasi Neraca'!$A$3:$S$910,12,FALSE)),0,VLOOKUP($A1220,'Mutasi Neraca'!$A$3:$S$910,12,FALSE))</f>
        <v>0</v>
      </c>
      <c r="N1220" s="42">
        <f>VLOOKUP($A1220,'Neraca Unaudited SIMAK'!$A$2:$R$1272,13,FALSE)+IF(ISNA(VLOOKUP($A1220,'Mutasi Neraca'!$A$3:$S$910,13,FALSE)),0,VLOOKUP($A1220,'Mutasi Neraca'!$A$3:$S$910,13,FALSE))</f>
        <v>0</v>
      </c>
      <c r="O1220" s="42">
        <f>VLOOKUP($A1220,'Neraca Unaudited SIMAK'!$A$2:$R$1272,14,FALSE)+IF(ISNA(VLOOKUP($A1220,'Mutasi Neraca'!$A$3:$S$910,14,FALSE)),0,VLOOKUP($A1220,'Mutasi Neraca'!$A$3:$S$910,14,FALSE))</f>
        <v>0</v>
      </c>
      <c r="P1220" s="42">
        <f>VLOOKUP($A1220,'Neraca Unaudited SIMAK'!$A$2:$R$1272,15,FALSE)+IF(ISNA(VLOOKUP($A1220,'Mutasi Neraca'!$A$3:$S$910,15,FALSE)),0,VLOOKUP($A1220,'Mutasi Neraca'!$A$3:$S$910,15,FALSE))</f>
        <v>0</v>
      </c>
      <c r="Q1220" s="42">
        <f>VLOOKUP($A1220,'Neraca Unaudited SIMAK'!$A$2:$R$1272,16,FALSE)+IF(ISNA(VLOOKUP($A1220,'Mutasi Neraca'!$A$3:$S$910,16,FALSE)),0,VLOOKUP($A1220,'Mutasi Neraca'!$A$3:$S$910,16,FALSE))</f>
        <v>0</v>
      </c>
      <c r="R1220" s="42">
        <f>VLOOKUP($A1220,'Neraca Unaudited SIMAK'!$A$2:$R$1272,17,FALSE)+IF(ISNA(VLOOKUP($A1220,'Mutasi Neraca'!$A$3:$S$910,17,FALSE)),0,VLOOKUP($A1220,'Mutasi Neraca'!$A$3:$S$910,17,FALSE))</f>
        <v>0</v>
      </c>
      <c r="S1220" s="42">
        <f t="shared" si="81"/>
        <v>0</v>
      </c>
    </row>
    <row r="1221" spans="1:19">
      <c r="A1221" s="41" t="s">
        <v>2211</v>
      </c>
      <c r="B1221" s="41" t="str">
        <f t="shared" si="80"/>
        <v>005042300</v>
      </c>
      <c r="D1221" s="42">
        <f>VLOOKUP($A1221,'Neraca Unaudited SIMAK'!$A$2:$R$1272,3,FALSE)+IF(ISNA(VLOOKUP($A1221,'Mutasi Neraca'!$A$3:$S$910,3,FALSE)),0,VLOOKUP($A1221,'Mutasi Neraca'!$A$3:$S$910,3,FALSE))</f>
        <v>0</v>
      </c>
      <c r="E1221" s="42">
        <f>VLOOKUP($A1221,'Neraca Unaudited SIMAK'!$A$2:$R$1272,4,FALSE)+IF(ISNA(VLOOKUP($A1221,'Mutasi Neraca'!$A$3:$S$910,4,FALSE)),0,VLOOKUP($A1221,'Mutasi Neraca'!$A$3:$S$910,4,FALSE))</f>
        <v>0</v>
      </c>
      <c r="F1221" s="42">
        <f>VLOOKUP($A1221,'Neraca Unaudited SIMAK'!$A$2:$R$1272,5,FALSE)+IF(ISNA(VLOOKUP($A1221,'Mutasi Neraca'!$A$3:$S$910,5,FALSE)),0,VLOOKUP($A1221,'Mutasi Neraca'!$A$3:$S$910,5,FALSE))</f>
        <v>0</v>
      </c>
      <c r="G1221" s="42">
        <f>VLOOKUP($A1221,'Neraca Unaudited SIMAK'!$A$2:$R$1272,6,FALSE)+IF(ISNA(VLOOKUP($A1221,'Mutasi Neraca'!$A$3:$S$910,6,FALSE)),0,VLOOKUP($A1221,'Mutasi Neraca'!$A$3:$S$910,6,FALSE))</f>
        <v>0</v>
      </c>
      <c r="H1221" s="42">
        <f>VLOOKUP($A1221,'Neraca Unaudited SIMAK'!$A$2:$R$1272,7,FALSE)+IF(ISNA(VLOOKUP($A1221,'Mutasi Neraca'!$A$3:$S$910,7,FALSE)),0,VLOOKUP($A1221,'Mutasi Neraca'!$A$3:$S$910,7,FALSE))</f>
        <v>0</v>
      </c>
      <c r="I1221" s="42">
        <f>VLOOKUP($A1221,'Neraca Unaudited SIMAK'!$A$2:$R$1272,8,FALSE)+IF(ISNA(VLOOKUP($A1221,'Mutasi Neraca'!$A$3:$S$910,8,FALSE)),0,VLOOKUP($A1221,'Mutasi Neraca'!$A$3:$S$910,8,FALSE))</f>
        <v>0</v>
      </c>
      <c r="J1221" s="42">
        <f>VLOOKUP($A1221,'Neraca Unaudited SIMAK'!$A$2:$R$1272,9,FALSE)+IF(ISNA(VLOOKUP($A1221,'Mutasi Neraca'!$A$3:$S$910,9,FALSE)),0,VLOOKUP($A1221,'Mutasi Neraca'!$A$3:$S$910,9,FALSE))</f>
        <v>0</v>
      </c>
      <c r="K1221" s="42">
        <f>VLOOKUP($A1221,'Neraca Unaudited SIMAK'!$A$2:$R$1272,10,FALSE)+IF(ISNA(VLOOKUP($A1221,'Mutasi Neraca'!$A$3:$S$910,10,FALSE)),0,VLOOKUP($A1221,'Mutasi Neraca'!$A$3:$S$910,10,FALSE))</f>
        <v>0</v>
      </c>
      <c r="L1221" s="42">
        <f>VLOOKUP($A1221,'Neraca Unaudited SIMAK'!$A$2:$R$1272,11,FALSE)+IF(ISNA(VLOOKUP($A1221,'Mutasi Neraca'!$A$3:$S$910,11,FALSE)),0,VLOOKUP($A1221,'Mutasi Neraca'!$A$3:$S$910,11,FALSE))</f>
        <v>0</v>
      </c>
      <c r="M1221" s="42">
        <f>VLOOKUP($A1221,'Neraca Unaudited SIMAK'!$A$2:$R$1272,12,FALSE)+IF(ISNA(VLOOKUP($A1221,'Mutasi Neraca'!$A$3:$S$910,12,FALSE)),0,VLOOKUP($A1221,'Mutasi Neraca'!$A$3:$S$910,12,FALSE))</f>
        <v>0</v>
      </c>
      <c r="N1221" s="42">
        <f>VLOOKUP($A1221,'Neraca Unaudited SIMAK'!$A$2:$R$1272,13,FALSE)+IF(ISNA(VLOOKUP($A1221,'Mutasi Neraca'!$A$3:$S$910,13,FALSE)),0,VLOOKUP($A1221,'Mutasi Neraca'!$A$3:$S$910,13,FALSE))</f>
        <v>0</v>
      </c>
      <c r="O1221" s="42">
        <f>VLOOKUP($A1221,'Neraca Unaudited SIMAK'!$A$2:$R$1272,14,FALSE)+IF(ISNA(VLOOKUP($A1221,'Mutasi Neraca'!$A$3:$S$910,14,FALSE)),0,VLOOKUP($A1221,'Mutasi Neraca'!$A$3:$S$910,14,FALSE))</f>
        <v>0</v>
      </c>
      <c r="P1221" s="42">
        <f>VLOOKUP($A1221,'Neraca Unaudited SIMAK'!$A$2:$R$1272,15,FALSE)+IF(ISNA(VLOOKUP($A1221,'Mutasi Neraca'!$A$3:$S$910,15,FALSE)),0,VLOOKUP($A1221,'Mutasi Neraca'!$A$3:$S$910,15,FALSE))</f>
        <v>0</v>
      </c>
      <c r="Q1221" s="42">
        <f>VLOOKUP($A1221,'Neraca Unaudited SIMAK'!$A$2:$R$1272,16,FALSE)+IF(ISNA(VLOOKUP($A1221,'Mutasi Neraca'!$A$3:$S$910,16,FALSE)),0,VLOOKUP($A1221,'Mutasi Neraca'!$A$3:$S$910,16,FALSE))</f>
        <v>0</v>
      </c>
      <c r="R1221" s="42">
        <f>VLOOKUP($A1221,'Neraca Unaudited SIMAK'!$A$2:$R$1272,17,FALSE)+IF(ISNA(VLOOKUP($A1221,'Mutasi Neraca'!$A$3:$S$910,17,FALSE)),0,VLOOKUP($A1221,'Mutasi Neraca'!$A$3:$S$910,17,FALSE))</f>
        <v>0</v>
      </c>
      <c r="S1221" s="42">
        <f t="shared" si="81"/>
        <v>0</v>
      </c>
    </row>
    <row r="1222" spans="1:19">
      <c r="A1222" s="41" t="s">
        <v>1128</v>
      </c>
      <c r="B1222" s="41" t="str">
        <f t="shared" si="80"/>
        <v>005042900</v>
      </c>
      <c r="D1222" s="42">
        <f>VLOOKUP($A1222,'Neraca Unaudited SIMAK'!$A$2:$R$1272,3,FALSE)+IF(ISNA(VLOOKUP($A1222,'Mutasi Neraca'!$A$3:$S$910,3,FALSE)),0,VLOOKUP($A1222,'Mutasi Neraca'!$A$3:$S$910,3,FALSE))</f>
        <v>0</v>
      </c>
      <c r="E1222" s="42">
        <f>VLOOKUP($A1222,'Neraca Unaudited SIMAK'!$A$2:$R$1272,4,FALSE)+IF(ISNA(VLOOKUP($A1222,'Mutasi Neraca'!$A$3:$S$910,4,FALSE)),0,VLOOKUP($A1222,'Mutasi Neraca'!$A$3:$S$910,4,FALSE))</f>
        <v>0</v>
      </c>
      <c r="F1222" s="42">
        <f>VLOOKUP($A1222,'Neraca Unaudited SIMAK'!$A$2:$R$1272,5,FALSE)+IF(ISNA(VLOOKUP($A1222,'Mutasi Neraca'!$A$3:$S$910,5,FALSE)),0,VLOOKUP($A1222,'Mutasi Neraca'!$A$3:$S$910,5,FALSE))</f>
        <v>0</v>
      </c>
      <c r="G1222" s="42">
        <f>VLOOKUP($A1222,'Neraca Unaudited SIMAK'!$A$2:$R$1272,6,FALSE)+IF(ISNA(VLOOKUP($A1222,'Mutasi Neraca'!$A$3:$S$910,6,FALSE)),0,VLOOKUP($A1222,'Mutasi Neraca'!$A$3:$S$910,6,FALSE))</f>
        <v>0</v>
      </c>
      <c r="H1222" s="42">
        <f>VLOOKUP($A1222,'Neraca Unaudited SIMAK'!$A$2:$R$1272,7,FALSE)+IF(ISNA(VLOOKUP($A1222,'Mutasi Neraca'!$A$3:$S$910,7,FALSE)),0,VLOOKUP($A1222,'Mutasi Neraca'!$A$3:$S$910,7,FALSE))</f>
        <v>0</v>
      </c>
      <c r="I1222" s="42">
        <f>VLOOKUP($A1222,'Neraca Unaudited SIMAK'!$A$2:$R$1272,8,FALSE)+IF(ISNA(VLOOKUP($A1222,'Mutasi Neraca'!$A$3:$S$910,8,FALSE)),0,VLOOKUP($A1222,'Mutasi Neraca'!$A$3:$S$910,8,FALSE))</f>
        <v>0</v>
      </c>
      <c r="J1222" s="42">
        <f>VLOOKUP($A1222,'Neraca Unaudited SIMAK'!$A$2:$R$1272,9,FALSE)+IF(ISNA(VLOOKUP($A1222,'Mutasi Neraca'!$A$3:$S$910,9,FALSE)),0,VLOOKUP($A1222,'Mutasi Neraca'!$A$3:$S$910,9,FALSE))</f>
        <v>0</v>
      </c>
      <c r="K1222" s="42">
        <f>VLOOKUP($A1222,'Neraca Unaudited SIMAK'!$A$2:$R$1272,10,FALSE)+IF(ISNA(VLOOKUP($A1222,'Mutasi Neraca'!$A$3:$S$910,10,FALSE)),0,VLOOKUP($A1222,'Mutasi Neraca'!$A$3:$S$910,10,FALSE))</f>
        <v>0</v>
      </c>
      <c r="L1222" s="42">
        <f>VLOOKUP($A1222,'Neraca Unaudited SIMAK'!$A$2:$R$1272,11,FALSE)+IF(ISNA(VLOOKUP($A1222,'Mutasi Neraca'!$A$3:$S$910,11,FALSE)),0,VLOOKUP($A1222,'Mutasi Neraca'!$A$3:$S$910,11,FALSE))</f>
        <v>0</v>
      </c>
      <c r="M1222" s="42">
        <f>VLOOKUP($A1222,'Neraca Unaudited SIMAK'!$A$2:$R$1272,12,FALSE)+IF(ISNA(VLOOKUP($A1222,'Mutasi Neraca'!$A$3:$S$910,12,FALSE)),0,VLOOKUP($A1222,'Mutasi Neraca'!$A$3:$S$910,12,FALSE))</f>
        <v>0</v>
      </c>
      <c r="N1222" s="42">
        <f>VLOOKUP($A1222,'Neraca Unaudited SIMAK'!$A$2:$R$1272,13,FALSE)+IF(ISNA(VLOOKUP($A1222,'Mutasi Neraca'!$A$3:$S$910,13,FALSE)),0,VLOOKUP($A1222,'Mutasi Neraca'!$A$3:$S$910,13,FALSE))</f>
        <v>0</v>
      </c>
      <c r="O1222" s="42">
        <f>VLOOKUP($A1222,'Neraca Unaudited SIMAK'!$A$2:$R$1272,14,FALSE)+IF(ISNA(VLOOKUP($A1222,'Mutasi Neraca'!$A$3:$S$910,14,FALSE)),0,VLOOKUP($A1222,'Mutasi Neraca'!$A$3:$S$910,14,FALSE))</f>
        <v>0</v>
      </c>
      <c r="P1222" s="42">
        <f>VLOOKUP($A1222,'Neraca Unaudited SIMAK'!$A$2:$R$1272,15,FALSE)+IF(ISNA(VLOOKUP($A1222,'Mutasi Neraca'!$A$3:$S$910,15,FALSE)),0,VLOOKUP($A1222,'Mutasi Neraca'!$A$3:$S$910,15,FALSE))</f>
        <v>0</v>
      </c>
      <c r="Q1222" s="42">
        <f>VLOOKUP($A1222,'Neraca Unaudited SIMAK'!$A$2:$R$1272,16,FALSE)+IF(ISNA(VLOOKUP($A1222,'Mutasi Neraca'!$A$3:$S$910,16,FALSE)),0,VLOOKUP($A1222,'Mutasi Neraca'!$A$3:$S$910,16,FALSE))</f>
        <v>0</v>
      </c>
      <c r="R1222" s="42">
        <f>VLOOKUP($A1222,'Neraca Unaudited SIMAK'!$A$2:$R$1272,17,FALSE)+IF(ISNA(VLOOKUP($A1222,'Mutasi Neraca'!$A$3:$S$910,17,FALSE)),0,VLOOKUP($A1222,'Mutasi Neraca'!$A$3:$S$910,17,FALSE))</f>
        <v>0</v>
      </c>
      <c r="S1222" s="42">
        <f t="shared" si="81"/>
        <v>0</v>
      </c>
    </row>
    <row r="1223" spans="1:19">
      <c r="A1223" s="41" t="s">
        <v>1129</v>
      </c>
      <c r="B1223" s="41" t="str">
        <f t="shared" si="80"/>
        <v>005043200</v>
      </c>
      <c r="D1223" s="42">
        <f>VLOOKUP($A1223,'Neraca Unaudited SIMAK'!$A$2:$R$1272,3,FALSE)+IF(ISNA(VLOOKUP($A1223,'Mutasi Neraca'!$A$3:$S$910,3,FALSE)),0,VLOOKUP($A1223,'Mutasi Neraca'!$A$3:$S$910,3,FALSE))</f>
        <v>0</v>
      </c>
      <c r="E1223" s="42">
        <f>VLOOKUP($A1223,'Neraca Unaudited SIMAK'!$A$2:$R$1272,4,FALSE)+IF(ISNA(VLOOKUP($A1223,'Mutasi Neraca'!$A$3:$S$910,4,FALSE)),0,VLOOKUP($A1223,'Mutasi Neraca'!$A$3:$S$910,4,FALSE))</f>
        <v>0</v>
      </c>
      <c r="F1223" s="42">
        <f>VLOOKUP($A1223,'Neraca Unaudited SIMAK'!$A$2:$R$1272,5,FALSE)+IF(ISNA(VLOOKUP($A1223,'Mutasi Neraca'!$A$3:$S$910,5,FALSE)),0,VLOOKUP($A1223,'Mutasi Neraca'!$A$3:$S$910,5,FALSE))</f>
        <v>0</v>
      </c>
      <c r="G1223" s="42">
        <f>VLOOKUP($A1223,'Neraca Unaudited SIMAK'!$A$2:$R$1272,6,FALSE)+IF(ISNA(VLOOKUP($A1223,'Mutasi Neraca'!$A$3:$S$910,6,FALSE)),0,VLOOKUP($A1223,'Mutasi Neraca'!$A$3:$S$910,6,FALSE))</f>
        <v>0</v>
      </c>
      <c r="H1223" s="42">
        <f>VLOOKUP($A1223,'Neraca Unaudited SIMAK'!$A$2:$R$1272,7,FALSE)+IF(ISNA(VLOOKUP($A1223,'Mutasi Neraca'!$A$3:$S$910,7,FALSE)),0,VLOOKUP($A1223,'Mutasi Neraca'!$A$3:$S$910,7,FALSE))</f>
        <v>0</v>
      </c>
      <c r="I1223" s="42">
        <f>VLOOKUP($A1223,'Neraca Unaudited SIMAK'!$A$2:$R$1272,8,FALSE)+IF(ISNA(VLOOKUP($A1223,'Mutasi Neraca'!$A$3:$S$910,8,FALSE)),0,VLOOKUP($A1223,'Mutasi Neraca'!$A$3:$S$910,8,FALSE))</f>
        <v>0</v>
      </c>
      <c r="J1223" s="42">
        <f>VLOOKUP($A1223,'Neraca Unaudited SIMAK'!$A$2:$R$1272,9,FALSE)+IF(ISNA(VLOOKUP($A1223,'Mutasi Neraca'!$A$3:$S$910,9,FALSE)),0,VLOOKUP($A1223,'Mutasi Neraca'!$A$3:$S$910,9,FALSE))</f>
        <v>0</v>
      </c>
      <c r="K1223" s="42">
        <f>VLOOKUP($A1223,'Neraca Unaudited SIMAK'!$A$2:$R$1272,10,FALSE)+IF(ISNA(VLOOKUP($A1223,'Mutasi Neraca'!$A$3:$S$910,10,FALSE)),0,VLOOKUP($A1223,'Mutasi Neraca'!$A$3:$S$910,10,FALSE))</f>
        <v>0</v>
      </c>
      <c r="L1223" s="42">
        <f>VLOOKUP($A1223,'Neraca Unaudited SIMAK'!$A$2:$R$1272,11,FALSE)+IF(ISNA(VLOOKUP($A1223,'Mutasi Neraca'!$A$3:$S$910,11,FALSE)),0,VLOOKUP($A1223,'Mutasi Neraca'!$A$3:$S$910,11,FALSE))</f>
        <v>0</v>
      </c>
      <c r="M1223" s="42">
        <f>VLOOKUP($A1223,'Neraca Unaudited SIMAK'!$A$2:$R$1272,12,FALSE)+IF(ISNA(VLOOKUP($A1223,'Mutasi Neraca'!$A$3:$S$910,12,FALSE)),0,VLOOKUP($A1223,'Mutasi Neraca'!$A$3:$S$910,12,FALSE))</f>
        <v>0</v>
      </c>
      <c r="N1223" s="42">
        <f>VLOOKUP($A1223,'Neraca Unaudited SIMAK'!$A$2:$R$1272,13,FALSE)+IF(ISNA(VLOOKUP($A1223,'Mutasi Neraca'!$A$3:$S$910,13,FALSE)),0,VLOOKUP($A1223,'Mutasi Neraca'!$A$3:$S$910,13,FALSE))</f>
        <v>0</v>
      </c>
      <c r="O1223" s="42">
        <f>VLOOKUP($A1223,'Neraca Unaudited SIMAK'!$A$2:$R$1272,14,FALSE)+IF(ISNA(VLOOKUP($A1223,'Mutasi Neraca'!$A$3:$S$910,14,FALSE)),0,VLOOKUP($A1223,'Mutasi Neraca'!$A$3:$S$910,14,FALSE))</f>
        <v>0</v>
      </c>
      <c r="P1223" s="42">
        <f>VLOOKUP($A1223,'Neraca Unaudited SIMAK'!$A$2:$R$1272,15,FALSE)+IF(ISNA(VLOOKUP($A1223,'Mutasi Neraca'!$A$3:$S$910,15,FALSE)),0,VLOOKUP($A1223,'Mutasi Neraca'!$A$3:$S$910,15,FALSE))</f>
        <v>0</v>
      </c>
      <c r="Q1223" s="42">
        <f>VLOOKUP($A1223,'Neraca Unaudited SIMAK'!$A$2:$R$1272,16,FALSE)+IF(ISNA(VLOOKUP($A1223,'Mutasi Neraca'!$A$3:$S$910,16,FALSE)),0,VLOOKUP($A1223,'Mutasi Neraca'!$A$3:$S$910,16,FALSE))</f>
        <v>0</v>
      </c>
      <c r="R1223" s="42">
        <f>VLOOKUP($A1223,'Neraca Unaudited SIMAK'!$A$2:$R$1272,17,FALSE)+IF(ISNA(VLOOKUP($A1223,'Mutasi Neraca'!$A$3:$S$910,17,FALSE)),0,VLOOKUP($A1223,'Mutasi Neraca'!$A$3:$S$910,17,FALSE))</f>
        <v>0</v>
      </c>
      <c r="S1223" s="42">
        <f t="shared" si="81"/>
        <v>0</v>
      </c>
    </row>
    <row r="1224" spans="1:19">
      <c r="A1224" s="41" t="s">
        <v>1130</v>
      </c>
      <c r="B1224" s="41" t="str">
        <f t="shared" si="80"/>
        <v>005043200</v>
      </c>
      <c r="D1224" s="42">
        <f>VLOOKUP($A1224,'Neraca Unaudited SIMAK'!$A$2:$R$1272,3,FALSE)+IF(ISNA(VLOOKUP($A1224,'Mutasi Neraca'!$A$3:$S$910,3,FALSE)),0,VLOOKUP($A1224,'Mutasi Neraca'!$A$3:$S$910,3,FALSE))</f>
        <v>0</v>
      </c>
      <c r="E1224" s="42">
        <f>VLOOKUP($A1224,'Neraca Unaudited SIMAK'!$A$2:$R$1272,4,FALSE)+IF(ISNA(VLOOKUP($A1224,'Mutasi Neraca'!$A$3:$S$910,4,FALSE)),0,VLOOKUP($A1224,'Mutasi Neraca'!$A$3:$S$910,4,FALSE))</f>
        <v>0</v>
      </c>
      <c r="F1224" s="42">
        <f>VLOOKUP($A1224,'Neraca Unaudited SIMAK'!$A$2:$R$1272,5,FALSE)+IF(ISNA(VLOOKUP($A1224,'Mutasi Neraca'!$A$3:$S$910,5,FALSE)),0,VLOOKUP($A1224,'Mutasi Neraca'!$A$3:$S$910,5,FALSE))</f>
        <v>0</v>
      </c>
      <c r="G1224" s="42">
        <f>VLOOKUP($A1224,'Neraca Unaudited SIMAK'!$A$2:$R$1272,6,FALSE)+IF(ISNA(VLOOKUP($A1224,'Mutasi Neraca'!$A$3:$S$910,6,FALSE)),0,VLOOKUP($A1224,'Mutasi Neraca'!$A$3:$S$910,6,FALSE))</f>
        <v>0</v>
      </c>
      <c r="H1224" s="42">
        <f>VLOOKUP($A1224,'Neraca Unaudited SIMAK'!$A$2:$R$1272,7,FALSE)+IF(ISNA(VLOOKUP($A1224,'Mutasi Neraca'!$A$3:$S$910,7,FALSE)),0,VLOOKUP($A1224,'Mutasi Neraca'!$A$3:$S$910,7,FALSE))</f>
        <v>0</v>
      </c>
      <c r="I1224" s="42">
        <f>VLOOKUP($A1224,'Neraca Unaudited SIMAK'!$A$2:$R$1272,8,FALSE)+IF(ISNA(VLOOKUP($A1224,'Mutasi Neraca'!$A$3:$S$910,8,FALSE)),0,VLOOKUP($A1224,'Mutasi Neraca'!$A$3:$S$910,8,FALSE))</f>
        <v>0</v>
      </c>
      <c r="J1224" s="42">
        <f>VLOOKUP($A1224,'Neraca Unaudited SIMAK'!$A$2:$R$1272,9,FALSE)+IF(ISNA(VLOOKUP($A1224,'Mutasi Neraca'!$A$3:$S$910,9,FALSE)),0,VLOOKUP($A1224,'Mutasi Neraca'!$A$3:$S$910,9,FALSE))</f>
        <v>0</v>
      </c>
      <c r="K1224" s="42">
        <f>VLOOKUP($A1224,'Neraca Unaudited SIMAK'!$A$2:$R$1272,10,FALSE)+IF(ISNA(VLOOKUP($A1224,'Mutasi Neraca'!$A$3:$S$910,10,FALSE)),0,VLOOKUP($A1224,'Mutasi Neraca'!$A$3:$S$910,10,FALSE))</f>
        <v>0</v>
      </c>
      <c r="L1224" s="42">
        <f>VLOOKUP($A1224,'Neraca Unaudited SIMAK'!$A$2:$R$1272,11,FALSE)+IF(ISNA(VLOOKUP($A1224,'Mutasi Neraca'!$A$3:$S$910,11,FALSE)),0,VLOOKUP($A1224,'Mutasi Neraca'!$A$3:$S$910,11,FALSE))</f>
        <v>0</v>
      </c>
      <c r="M1224" s="42">
        <f>VLOOKUP($A1224,'Neraca Unaudited SIMAK'!$A$2:$R$1272,12,FALSE)+IF(ISNA(VLOOKUP($A1224,'Mutasi Neraca'!$A$3:$S$910,12,FALSE)),0,VLOOKUP($A1224,'Mutasi Neraca'!$A$3:$S$910,12,FALSE))</f>
        <v>0</v>
      </c>
      <c r="N1224" s="42">
        <f>VLOOKUP($A1224,'Neraca Unaudited SIMAK'!$A$2:$R$1272,13,FALSE)+IF(ISNA(VLOOKUP($A1224,'Mutasi Neraca'!$A$3:$S$910,13,FALSE)),0,VLOOKUP($A1224,'Mutasi Neraca'!$A$3:$S$910,13,FALSE))</f>
        <v>0</v>
      </c>
      <c r="O1224" s="42">
        <f>VLOOKUP($A1224,'Neraca Unaudited SIMAK'!$A$2:$R$1272,14,FALSE)+IF(ISNA(VLOOKUP($A1224,'Mutasi Neraca'!$A$3:$S$910,14,FALSE)),0,VLOOKUP($A1224,'Mutasi Neraca'!$A$3:$S$910,14,FALSE))</f>
        <v>0</v>
      </c>
      <c r="P1224" s="42">
        <f>VLOOKUP($A1224,'Neraca Unaudited SIMAK'!$A$2:$R$1272,15,FALSE)+IF(ISNA(VLOOKUP($A1224,'Mutasi Neraca'!$A$3:$S$910,15,FALSE)),0,VLOOKUP($A1224,'Mutasi Neraca'!$A$3:$S$910,15,FALSE))</f>
        <v>0</v>
      </c>
      <c r="Q1224" s="42">
        <f>VLOOKUP($A1224,'Neraca Unaudited SIMAK'!$A$2:$R$1272,16,FALSE)+IF(ISNA(VLOOKUP($A1224,'Mutasi Neraca'!$A$3:$S$910,16,FALSE)),0,VLOOKUP($A1224,'Mutasi Neraca'!$A$3:$S$910,16,FALSE))</f>
        <v>0</v>
      </c>
      <c r="R1224" s="42">
        <f>VLOOKUP($A1224,'Neraca Unaudited SIMAK'!$A$2:$R$1272,17,FALSE)+IF(ISNA(VLOOKUP($A1224,'Mutasi Neraca'!$A$3:$S$910,17,FALSE)),0,VLOOKUP($A1224,'Mutasi Neraca'!$A$3:$S$910,17,FALSE))</f>
        <v>0</v>
      </c>
      <c r="S1224" s="42">
        <f t="shared" si="81"/>
        <v>0</v>
      </c>
    </row>
    <row r="1225" spans="1:19">
      <c r="A1225" s="41" t="s">
        <v>2078</v>
      </c>
      <c r="B1225" s="41" t="str">
        <f t="shared" si="80"/>
        <v>005050100</v>
      </c>
      <c r="D1225" s="42">
        <f>VLOOKUP($A1225,'Neraca Unaudited SIMAK'!$A$2:$R$1272,3,FALSE)+IF(ISNA(VLOOKUP($A1225,'Mutasi Neraca'!$A$3:$S$910,3,FALSE)),0,VLOOKUP($A1225,'Mutasi Neraca'!$A$3:$S$910,3,FALSE))</f>
        <v>0</v>
      </c>
      <c r="E1225" s="42">
        <f>VLOOKUP($A1225,'Neraca Unaudited SIMAK'!$A$2:$R$1272,4,FALSE)+IF(ISNA(VLOOKUP($A1225,'Mutasi Neraca'!$A$3:$S$910,4,FALSE)),0,VLOOKUP($A1225,'Mutasi Neraca'!$A$3:$S$910,4,FALSE))</f>
        <v>0</v>
      </c>
      <c r="F1225" s="42">
        <f>VLOOKUP($A1225,'Neraca Unaudited SIMAK'!$A$2:$R$1272,5,FALSE)+IF(ISNA(VLOOKUP($A1225,'Mutasi Neraca'!$A$3:$S$910,5,FALSE)),0,VLOOKUP($A1225,'Mutasi Neraca'!$A$3:$S$910,5,FALSE))</f>
        <v>0</v>
      </c>
      <c r="G1225" s="42">
        <f>VLOOKUP($A1225,'Neraca Unaudited SIMAK'!$A$2:$R$1272,6,FALSE)+IF(ISNA(VLOOKUP($A1225,'Mutasi Neraca'!$A$3:$S$910,6,FALSE)),0,VLOOKUP($A1225,'Mutasi Neraca'!$A$3:$S$910,6,FALSE))</f>
        <v>0</v>
      </c>
      <c r="H1225" s="42">
        <f>VLOOKUP($A1225,'Neraca Unaudited SIMAK'!$A$2:$R$1272,7,FALSE)+IF(ISNA(VLOOKUP($A1225,'Mutasi Neraca'!$A$3:$S$910,7,FALSE)),0,VLOOKUP($A1225,'Mutasi Neraca'!$A$3:$S$910,7,FALSE))</f>
        <v>0</v>
      </c>
      <c r="I1225" s="42">
        <f>VLOOKUP($A1225,'Neraca Unaudited SIMAK'!$A$2:$R$1272,8,FALSE)+IF(ISNA(VLOOKUP($A1225,'Mutasi Neraca'!$A$3:$S$910,8,FALSE)),0,VLOOKUP($A1225,'Mutasi Neraca'!$A$3:$S$910,8,FALSE))</f>
        <v>0</v>
      </c>
      <c r="J1225" s="42">
        <f>VLOOKUP($A1225,'Neraca Unaudited SIMAK'!$A$2:$R$1272,9,FALSE)+IF(ISNA(VLOOKUP($A1225,'Mutasi Neraca'!$A$3:$S$910,9,FALSE)),0,VLOOKUP($A1225,'Mutasi Neraca'!$A$3:$S$910,9,FALSE))</f>
        <v>0</v>
      </c>
      <c r="K1225" s="42">
        <f>VLOOKUP($A1225,'Neraca Unaudited SIMAK'!$A$2:$R$1272,10,FALSE)+IF(ISNA(VLOOKUP($A1225,'Mutasi Neraca'!$A$3:$S$910,10,FALSE)),0,VLOOKUP($A1225,'Mutasi Neraca'!$A$3:$S$910,10,FALSE))</f>
        <v>0</v>
      </c>
      <c r="L1225" s="42">
        <f>VLOOKUP($A1225,'Neraca Unaudited SIMAK'!$A$2:$R$1272,11,FALSE)+IF(ISNA(VLOOKUP($A1225,'Mutasi Neraca'!$A$3:$S$910,11,FALSE)),0,VLOOKUP($A1225,'Mutasi Neraca'!$A$3:$S$910,11,FALSE))</f>
        <v>0</v>
      </c>
      <c r="M1225" s="42">
        <f>VLOOKUP($A1225,'Neraca Unaudited SIMAK'!$A$2:$R$1272,12,FALSE)+IF(ISNA(VLOOKUP($A1225,'Mutasi Neraca'!$A$3:$S$910,12,FALSE)),0,VLOOKUP($A1225,'Mutasi Neraca'!$A$3:$S$910,12,FALSE))</f>
        <v>0</v>
      </c>
      <c r="N1225" s="42">
        <f>VLOOKUP($A1225,'Neraca Unaudited SIMAK'!$A$2:$R$1272,13,FALSE)+IF(ISNA(VLOOKUP($A1225,'Mutasi Neraca'!$A$3:$S$910,13,FALSE)),0,VLOOKUP($A1225,'Mutasi Neraca'!$A$3:$S$910,13,FALSE))</f>
        <v>0</v>
      </c>
      <c r="O1225" s="42">
        <f>VLOOKUP($A1225,'Neraca Unaudited SIMAK'!$A$2:$R$1272,14,FALSE)+IF(ISNA(VLOOKUP($A1225,'Mutasi Neraca'!$A$3:$S$910,14,FALSE)),0,VLOOKUP($A1225,'Mutasi Neraca'!$A$3:$S$910,14,FALSE))</f>
        <v>0</v>
      </c>
      <c r="P1225" s="42">
        <f>VLOOKUP($A1225,'Neraca Unaudited SIMAK'!$A$2:$R$1272,15,FALSE)+IF(ISNA(VLOOKUP($A1225,'Mutasi Neraca'!$A$3:$S$910,15,FALSE)),0,VLOOKUP($A1225,'Mutasi Neraca'!$A$3:$S$910,15,FALSE))</f>
        <v>0</v>
      </c>
      <c r="Q1225" s="42">
        <f>VLOOKUP($A1225,'Neraca Unaudited SIMAK'!$A$2:$R$1272,16,FALSE)+IF(ISNA(VLOOKUP($A1225,'Mutasi Neraca'!$A$3:$S$910,16,FALSE)),0,VLOOKUP($A1225,'Mutasi Neraca'!$A$3:$S$910,16,FALSE))</f>
        <v>0</v>
      </c>
      <c r="R1225" s="42">
        <f>VLOOKUP($A1225,'Neraca Unaudited SIMAK'!$A$2:$R$1272,17,FALSE)+IF(ISNA(VLOOKUP($A1225,'Mutasi Neraca'!$A$3:$S$910,17,FALSE)),0,VLOOKUP($A1225,'Mutasi Neraca'!$A$3:$S$910,17,FALSE))</f>
        <v>0</v>
      </c>
      <c r="S1225" s="42">
        <f t="shared" si="81"/>
        <v>0</v>
      </c>
    </row>
    <row r="1226" spans="1:19">
      <c r="A1226" s="41" t="s">
        <v>1131</v>
      </c>
      <c r="B1226" s="41" t="str">
        <f t="shared" si="80"/>
        <v>005050100</v>
      </c>
      <c r="D1226" s="42">
        <f>VLOOKUP($A1226,'Neraca Unaudited SIMAK'!$A$2:$R$1272,3,FALSE)+IF(ISNA(VLOOKUP($A1226,'Mutasi Neraca'!$A$3:$S$910,3,FALSE)),0,VLOOKUP($A1226,'Mutasi Neraca'!$A$3:$S$910,3,FALSE))</f>
        <v>2050000</v>
      </c>
      <c r="E1226" s="42">
        <f>VLOOKUP($A1226,'Neraca Unaudited SIMAK'!$A$2:$R$1272,4,FALSE)+IF(ISNA(VLOOKUP($A1226,'Mutasi Neraca'!$A$3:$S$910,4,FALSE)),0,VLOOKUP($A1226,'Mutasi Neraca'!$A$3:$S$910,4,FALSE))</f>
        <v>0</v>
      </c>
      <c r="F1226" s="42">
        <f>VLOOKUP($A1226,'Neraca Unaudited SIMAK'!$A$2:$R$1272,5,FALSE)+IF(ISNA(VLOOKUP($A1226,'Mutasi Neraca'!$A$3:$S$910,5,FALSE)),0,VLOOKUP($A1226,'Mutasi Neraca'!$A$3:$S$910,5,FALSE))</f>
        <v>0</v>
      </c>
      <c r="G1226" s="42">
        <f>VLOOKUP($A1226,'Neraca Unaudited SIMAK'!$A$2:$R$1272,6,FALSE)+IF(ISNA(VLOOKUP($A1226,'Mutasi Neraca'!$A$3:$S$910,6,FALSE)),0,VLOOKUP($A1226,'Mutasi Neraca'!$A$3:$S$910,6,FALSE))</f>
        <v>0</v>
      </c>
      <c r="H1226" s="42">
        <f>VLOOKUP($A1226,'Neraca Unaudited SIMAK'!$A$2:$R$1272,7,FALSE)+IF(ISNA(VLOOKUP($A1226,'Mutasi Neraca'!$A$3:$S$910,7,FALSE)),0,VLOOKUP($A1226,'Mutasi Neraca'!$A$3:$S$910,7,FALSE))</f>
        <v>0</v>
      </c>
      <c r="I1226" s="42">
        <f>VLOOKUP($A1226,'Neraca Unaudited SIMAK'!$A$2:$R$1272,8,FALSE)+IF(ISNA(VLOOKUP($A1226,'Mutasi Neraca'!$A$3:$S$910,8,FALSE)),0,VLOOKUP($A1226,'Mutasi Neraca'!$A$3:$S$910,8,FALSE))</f>
        <v>0</v>
      </c>
      <c r="J1226" s="42">
        <f>VLOOKUP($A1226,'Neraca Unaudited SIMAK'!$A$2:$R$1272,9,FALSE)+IF(ISNA(VLOOKUP($A1226,'Mutasi Neraca'!$A$3:$S$910,9,FALSE)),0,VLOOKUP($A1226,'Mutasi Neraca'!$A$3:$S$910,9,FALSE))</f>
        <v>0</v>
      </c>
      <c r="K1226" s="42">
        <f>VLOOKUP($A1226,'Neraca Unaudited SIMAK'!$A$2:$R$1272,10,FALSE)+IF(ISNA(VLOOKUP($A1226,'Mutasi Neraca'!$A$3:$S$910,10,FALSE)),0,VLOOKUP($A1226,'Mutasi Neraca'!$A$3:$S$910,10,FALSE))</f>
        <v>0</v>
      </c>
      <c r="L1226" s="42">
        <f>VLOOKUP($A1226,'Neraca Unaudited SIMAK'!$A$2:$R$1272,11,FALSE)+IF(ISNA(VLOOKUP($A1226,'Mutasi Neraca'!$A$3:$S$910,11,FALSE)),0,VLOOKUP($A1226,'Mutasi Neraca'!$A$3:$S$910,11,FALSE))</f>
        <v>0</v>
      </c>
      <c r="M1226" s="42">
        <f>VLOOKUP($A1226,'Neraca Unaudited SIMAK'!$A$2:$R$1272,12,FALSE)+IF(ISNA(VLOOKUP($A1226,'Mutasi Neraca'!$A$3:$S$910,12,FALSE)),0,VLOOKUP($A1226,'Mutasi Neraca'!$A$3:$S$910,12,FALSE))</f>
        <v>2050000</v>
      </c>
      <c r="N1226" s="42">
        <f>VLOOKUP($A1226,'Neraca Unaudited SIMAK'!$A$2:$R$1272,13,FALSE)+IF(ISNA(VLOOKUP($A1226,'Mutasi Neraca'!$A$3:$S$910,13,FALSE)),0,VLOOKUP($A1226,'Mutasi Neraca'!$A$3:$S$910,13,FALSE))</f>
        <v>0</v>
      </c>
      <c r="O1226" s="42">
        <f>VLOOKUP($A1226,'Neraca Unaudited SIMAK'!$A$2:$R$1272,14,FALSE)+IF(ISNA(VLOOKUP($A1226,'Mutasi Neraca'!$A$3:$S$910,14,FALSE)),0,VLOOKUP($A1226,'Mutasi Neraca'!$A$3:$S$910,14,FALSE))</f>
        <v>0</v>
      </c>
      <c r="P1226" s="42">
        <f>VLOOKUP($A1226,'Neraca Unaudited SIMAK'!$A$2:$R$1272,15,FALSE)+IF(ISNA(VLOOKUP($A1226,'Mutasi Neraca'!$A$3:$S$910,15,FALSE)),0,VLOOKUP($A1226,'Mutasi Neraca'!$A$3:$S$910,15,FALSE))</f>
        <v>0</v>
      </c>
      <c r="Q1226" s="42">
        <f>VLOOKUP($A1226,'Neraca Unaudited SIMAK'!$A$2:$R$1272,16,FALSE)+IF(ISNA(VLOOKUP($A1226,'Mutasi Neraca'!$A$3:$S$910,16,FALSE)),0,VLOOKUP($A1226,'Mutasi Neraca'!$A$3:$S$910,16,FALSE))</f>
        <v>0</v>
      </c>
      <c r="R1226" s="42">
        <f>VLOOKUP($A1226,'Neraca Unaudited SIMAK'!$A$2:$R$1272,17,FALSE)+IF(ISNA(VLOOKUP($A1226,'Mutasi Neraca'!$A$3:$S$910,17,FALSE)),0,VLOOKUP($A1226,'Mutasi Neraca'!$A$3:$S$910,17,FALSE))</f>
        <v>0</v>
      </c>
      <c r="S1226" s="42">
        <f t="shared" si="81"/>
        <v>2050000</v>
      </c>
    </row>
    <row r="1227" spans="1:19">
      <c r="A1227" s="41" t="s">
        <v>1132</v>
      </c>
      <c r="B1227" s="41" t="str">
        <f t="shared" si="80"/>
        <v>005050100</v>
      </c>
      <c r="D1227" s="42">
        <f>VLOOKUP($A1227,'Neraca Unaudited SIMAK'!$A$2:$R$1272,3,FALSE)+IF(ISNA(VLOOKUP($A1227,'Mutasi Neraca'!$A$3:$S$910,3,FALSE)),0,VLOOKUP($A1227,'Mutasi Neraca'!$A$3:$S$910,3,FALSE))</f>
        <v>7000000</v>
      </c>
      <c r="E1227" s="42">
        <f>VLOOKUP($A1227,'Neraca Unaudited SIMAK'!$A$2:$R$1272,4,FALSE)+IF(ISNA(VLOOKUP($A1227,'Mutasi Neraca'!$A$3:$S$910,4,FALSE)),0,VLOOKUP($A1227,'Mutasi Neraca'!$A$3:$S$910,4,FALSE))</f>
        <v>0</v>
      </c>
      <c r="F1227" s="42">
        <f>VLOOKUP($A1227,'Neraca Unaudited SIMAK'!$A$2:$R$1272,5,FALSE)+IF(ISNA(VLOOKUP($A1227,'Mutasi Neraca'!$A$3:$S$910,5,FALSE)),0,VLOOKUP($A1227,'Mutasi Neraca'!$A$3:$S$910,5,FALSE))</f>
        <v>0</v>
      </c>
      <c r="G1227" s="42">
        <f>VLOOKUP($A1227,'Neraca Unaudited SIMAK'!$A$2:$R$1272,6,FALSE)+IF(ISNA(VLOOKUP($A1227,'Mutasi Neraca'!$A$3:$S$910,6,FALSE)),0,VLOOKUP($A1227,'Mutasi Neraca'!$A$3:$S$910,6,FALSE))</f>
        <v>0</v>
      </c>
      <c r="H1227" s="42">
        <f>VLOOKUP($A1227,'Neraca Unaudited SIMAK'!$A$2:$R$1272,7,FALSE)+IF(ISNA(VLOOKUP($A1227,'Mutasi Neraca'!$A$3:$S$910,7,FALSE)),0,VLOOKUP($A1227,'Mutasi Neraca'!$A$3:$S$910,7,FALSE))</f>
        <v>0</v>
      </c>
      <c r="I1227" s="42">
        <f>VLOOKUP($A1227,'Neraca Unaudited SIMAK'!$A$2:$R$1272,8,FALSE)+IF(ISNA(VLOOKUP($A1227,'Mutasi Neraca'!$A$3:$S$910,8,FALSE)),0,VLOOKUP($A1227,'Mutasi Neraca'!$A$3:$S$910,8,FALSE))</f>
        <v>0</v>
      </c>
      <c r="J1227" s="42">
        <f>VLOOKUP($A1227,'Neraca Unaudited SIMAK'!$A$2:$R$1272,9,FALSE)+IF(ISNA(VLOOKUP($A1227,'Mutasi Neraca'!$A$3:$S$910,9,FALSE)),0,VLOOKUP($A1227,'Mutasi Neraca'!$A$3:$S$910,9,FALSE))</f>
        <v>0</v>
      </c>
      <c r="K1227" s="42">
        <f>VLOOKUP($A1227,'Neraca Unaudited SIMAK'!$A$2:$R$1272,10,FALSE)+IF(ISNA(VLOOKUP($A1227,'Mutasi Neraca'!$A$3:$S$910,10,FALSE)),0,VLOOKUP($A1227,'Mutasi Neraca'!$A$3:$S$910,10,FALSE))</f>
        <v>0</v>
      </c>
      <c r="L1227" s="42">
        <f>VLOOKUP($A1227,'Neraca Unaudited SIMAK'!$A$2:$R$1272,11,FALSE)+IF(ISNA(VLOOKUP($A1227,'Mutasi Neraca'!$A$3:$S$910,11,FALSE)),0,VLOOKUP($A1227,'Mutasi Neraca'!$A$3:$S$910,11,FALSE))</f>
        <v>0</v>
      </c>
      <c r="M1227" s="42">
        <f>VLOOKUP($A1227,'Neraca Unaudited SIMAK'!$A$2:$R$1272,12,FALSE)+IF(ISNA(VLOOKUP($A1227,'Mutasi Neraca'!$A$3:$S$910,12,FALSE)),0,VLOOKUP($A1227,'Mutasi Neraca'!$A$3:$S$910,12,FALSE))</f>
        <v>7000000</v>
      </c>
      <c r="N1227" s="42">
        <f>VLOOKUP($A1227,'Neraca Unaudited SIMAK'!$A$2:$R$1272,13,FALSE)+IF(ISNA(VLOOKUP($A1227,'Mutasi Neraca'!$A$3:$S$910,13,FALSE)),0,VLOOKUP($A1227,'Mutasi Neraca'!$A$3:$S$910,13,FALSE))</f>
        <v>0</v>
      </c>
      <c r="O1227" s="42">
        <f>VLOOKUP($A1227,'Neraca Unaudited SIMAK'!$A$2:$R$1272,14,FALSE)+IF(ISNA(VLOOKUP($A1227,'Mutasi Neraca'!$A$3:$S$910,14,FALSE)),0,VLOOKUP($A1227,'Mutasi Neraca'!$A$3:$S$910,14,FALSE))</f>
        <v>0</v>
      </c>
      <c r="P1227" s="42">
        <f>VLOOKUP($A1227,'Neraca Unaudited SIMAK'!$A$2:$R$1272,15,FALSE)+IF(ISNA(VLOOKUP($A1227,'Mutasi Neraca'!$A$3:$S$910,15,FALSE)),0,VLOOKUP($A1227,'Mutasi Neraca'!$A$3:$S$910,15,FALSE))</f>
        <v>0</v>
      </c>
      <c r="Q1227" s="42">
        <f>VLOOKUP($A1227,'Neraca Unaudited SIMAK'!$A$2:$R$1272,16,FALSE)+IF(ISNA(VLOOKUP($A1227,'Mutasi Neraca'!$A$3:$S$910,16,FALSE)),0,VLOOKUP($A1227,'Mutasi Neraca'!$A$3:$S$910,16,FALSE))</f>
        <v>0</v>
      </c>
      <c r="R1227" s="42">
        <f>VLOOKUP($A1227,'Neraca Unaudited SIMAK'!$A$2:$R$1272,17,FALSE)+IF(ISNA(VLOOKUP($A1227,'Mutasi Neraca'!$A$3:$S$910,17,FALSE)),0,VLOOKUP($A1227,'Mutasi Neraca'!$A$3:$S$910,17,FALSE))</f>
        <v>0</v>
      </c>
      <c r="S1227" s="42">
        <f t="shared" si="81"/>
        <v>7000000</v>
      </c>
    </row>
    <row r="1228" spans="1:19">
      <c r="A1228" s="41" t="s">
        <v>1133</v>
      </c>
      <c r="B1228" s="41" t="str">
        <f t="shared" si="80"/>
        <v>005050100</v>
      </c>
      <c r="D1228" s="42">
        <f>VLOOKUP($A1228,'Neraca Unaudited SIMAK'!$A$2:$R$1272,3,FALSE)+IF(ISNA(VLOOKUP($A1228,'Mutasi Neraca'!$A$3:$S$910,3,FALSE)),0,VLOOKUP($A1228,'Mutasi Neraca'!$A$3:$S$910,3,FALSE))</f>
        <v>0</v>
      </c>
      <c r="E1228" s="42">
        <f>VLOOKUP($A1228,'Neraca Unaudited SIMAK'!$A$2:$R$1272,4,FALSE)+IF(ISNA(VLOOKUP($A1228,'Mutasi Neraca'!$A$3:$S$910,4,FALSE)),0,VLOOKUP($A1228,'Mutasi Neraca'!$A$3:$S$910,4,FALSE))</f>
        <v>0</v>
      </c>
      <c r="F1228" s="42">
        <f>VLOOKUP($A1228,'Neraca Unaudited SIMAK'!$A$2:$R$1272,5,FALSE)+IF(ISNA(VLOOKUP($A1228,'Mutasi Neraca'!$A$3:$S$910,5,FALSE)),0,VLOOKUP($A1228,'Mutasi Neraca'!$A$3:$S$910,5,FALSE))</f>
        <v>0</v>
      </c>
      <c r="G1228" s="42">
        <f>VLOOKUP($A1228,'Neraca Unaudited SIMAK'!$A$2:$R$1272,6,FALSE)+IF(ISNA(VLOOKUP($A1228,'Mutasi Neraca'!$A$3:$S$910,6,FALSE)),0,VLOOKUP($A1228,'Mutasi Neraca'!$A$3:$S$910,6,FALSE))</f>
        <v>0</v>
      </c>
      <c r="H1228" s="42">
        <f>VLOOKUP($A1228,'Neraca Unaudited SIMAK'!$A$2:$R$1272,7,FALSE)+IF(ISNA(VLOOKUP($A1228,'Mutasi Neraca'!$A$3:$S$910,7,FALSE)),0,VLOOKUP($A1228,'Mutasi Neraca'!$A$3:$S$910,7,FALSE))</f>
        <v>0</v>
      </c>
      <c r="I1228" s="42">
        <f>VLOOKUP($A1228,'Neraca Unaudited SIMAK'!$A$2:$R$1272,8,FALSE)+IF(ISNA(VLOOKUP($A1228,'Mutasi Neraca'!$A$3:$S$910,8,FALSE)),0,VLOOKUP($A1228,'Mutasi Neraca'!$A$3:$S$910,8,FALSE))</f>
        <v>0</v>
      </c>
      <c r="J1228" s="42">
        <f>VLOOKUP($A1228,'Neraca Unaudited SIMAK'!$A$2:$R$1272,9,FALSE)+IF(ISNA(VLOOKUP($A1228,'Mutasi Neraca'!$A$3:$S$910,9,FALSE)),0,VLOOKUP($A1228,'Mutasi Neraca'!$A$3:$S$910,9,FALSE))</f>
        <v>0</v>
      </c>
      <c r="K1228" s="42">
        <f>VLOOKUP($A1228,'Neraca Unaudited SIMAK'!$A$2:$R$1272,10,FALSE)+IF(ISNA(VLOOKUP($A1228,'Mutasi Neraca'!$A$3:$S$910,10,FALSE)),0,VLOOKUP($A1228,'Mutasi Neraca'!$A$3:$S$910,10,FALSE))</f>
        <v>0</v>
      </c>
      <c r="L1228" s="42">
        <f>VLOOKUP($A1228,'Neraca Unaudited SIMAK'!$A$2:$R$1272,11,FALSE)+IF(ISNA(VLOOKUP($A1228,'Mutasi Neraca'!$A$3:$S$910,11,FALSE)),0,VLOOKUP($A1228,'Mutasi Neraca'!$A$3:$S$910,11,FALSE))</f>
        <v>0</v>
      </c>
      <c r="M1228" s="42">
        <f>VLOOKUP($A1228,'Neraca Unaudited SIMAK'!$A$2:$R$1272,12,FALSE)+IF(ISNA(VLOOKUP($A1228,'Mutasi Neraca'!$A$3:$S$910,12,FALSE)),0,VLOOKUP($A1228,'Mutasi Neraca'!$A$3:$S$910,12,FALSE))</f>
        <v>0</v>
      </c>
      <c r="N1228" s="42">
        <f>VLOOKUP($A1228,'Neraca Unaudited SIMAK'!$A$2:$R$1272,13,FALSE)+IF(ISNA(VLOOKUP($A1228,'Mutasi Neraca'!$A$3:$S$910,13,FALSE)),0,VLOOKUP($A1228,'Mutasi Neraca'!$A$3:$S$910,13,FALSE))</f>
        <v>0</v>
      </c>
      <c r="O1228" s="42">
        <f>VLOOKUP($A1228,'Neraca Unaudited SIMAK'!$A$2:$R$1272,14,FALSE)+IF(ISNA(VLOOKUP($A1228,'Mutasi Neraca'!$A$3:$S$910,14,FALSE)),0,VLOOKUP($A1228,'Mutasi Neraca'!$A$3:$S$910,14,FALSE))</f>
        <v>0</v>
      </c>
      <c r="P1228" s="42">
        <f>VLOOKUP($A1228,'Neraca Unaudited SIMAK'!$A$2:$R$1272,15,FALSE)+IF(ISNA(VLOOKUP($A1228,'Mutasi Neraca'!$A$3:$S$910,15,FALSE)),0,VLOOKUP($A1228,'Mutasi Neraca'!$A$3:$S$910,15,FALSE))</f>
        <v>0</v>
      </c>
      <c r="Q1228" s="42">
        <f>VLOOKUP($A1228,'Neraca Unaudited SIMAK'!$A$2:$R$1272,16,FALSE)+IF(ISNA(VLOOKUP($A1228,'Mutasi Neraca'!$A$3:$S$910,16,FALSE)),0,VLOOKUP($A1228,'Mutasi Neraca'!$A$3:$S$910,16,FALSE))</f>
        <v>0</v>
      </c>
      <c r="R1228" s="42">
        <f>VLOOKUP($A1228,'Neraca Unaudited SIMAK'!$A$2:$R$1272,17,FALSE)+IF(ISNA(VLOOKUP($A1228,'Mutasi Neraca'!$A$3:$S$910,17,FALSE)),0,VLOOKUP($A1228,'Mutasi Neraca'!$A$3:$S$910,17,FALSE))</f>
        <v>0</v>
      </c>
      <c r="S1228" s="42">
        <f t="shared" si="81"/>
        <v>0</v>
      </c>
    </row>
    <row r="1229" spans="1:19">
      <c r="A1229" s="41" t="s">
        <v>1161</v>
      </c>
      <c r="B1229" s="41" t="str">
        <f t="shared" si="80"/>
        <v>005050199</v>
      </c>
      <c r="D1229" s="42">
        <f>VLOOKUP($A1229,'Neraca Unaudited SIMAK'!$A$2:$R$1272,3,FALSE)+IF(ISNA(VLOOKUP($A1229,'Mutasi Neraca'!$A$3:$S$910,3,FALSE)),0,VLOOKUP($A1229,'Mutasi Neraca'!$A$3:$S$910,3,FALSE))</f>
        <v>14892848</v>
      </c>
      <c r="E1229" s="42">
        <f>VLOOKUP($A1229,'Neraca Unaudited SIMAK'!$A$2:$R$1272,4,FALSE)+IF(ISNA(VLOOKUP($A1229,'Mutasi Neraca'!$A$3:$S$910,4,FALSE)),0,VLOOKUP($A1229,'Mutasi Neraca'!$A$3:$S$910,4,FALSE))</f>
        <v>24381940000</v>
      </c>
      <c r="F1229" s="42">
        <f>VLOOKUP($A1229,'Neraca Unaudited SIMAK'!$A$2:$R$1272,5,FALSE)+IF(ISNA(VLOOKUP($A1229,'Mutasi Neraca'!$A$3:$S$910,5,FALSE)),0,VLOOKUP($A1229,'Mutasi Neraca'!$A$3:$S$910,5,FALSE))</f>
        <v>12001840776</v>
      </c>
      <c r="G1229" s="42">
        <f>VLOOKUP($A1229,'Neraca Unaudited SIMAK'!$A$2:$R$1272,6,FALSE)+IF(ISNA(VLOOKUP($A1229,'Mutasi Neraca'!$A$3:$S$910,6,FALSE)),0,VLOOKUP($A1229,'Mutasi Neraca'!$A$3:$S$910,6,FALSE))</f>
        <v>0</v>
      </c>
      <c r="H1229" s="42">
        <f>VLOOKUP($A1229,'Neraca Unaudited SIMAK'!$A$2:$R$1272,7,FALSE)+IF(ISNA(VLOOKUP($A1229,'Mutasi Neraca'!$A$3:$S$910,7,FALSE)),0,VLOOKUP($A1229,'Mutasi Neraca'!$A$3:$S$910,7,FALSE))</f>
        <v>0</v>
      </c>
      <c r="I1229" s="42">
        <f>VLOOKUP($A1229,'Neraca Unaudited SIMAK'!$A$2:$R$1272,8,FALSE)+IF(ISNA(VLOOKUP($A1229,'Mutasi Neraca'!$A$3:$S$910,8,FALSE)),0,VLOOKUP($A1229,'Mutasi Neraca'!$A$3:$S$910,8,FALSE))</f>
        <v>0</v>
      </c>
      <c r="J1229" s="42">
        <f>VLOOKUP($A1229,'Neraca Unaudited SIMAK'!$A$2:$R$1272,9,FALSE)+IF(ISNA(VLOOKUP($A1229,'Mutasi Neraca'!$A$3:$S$910,9,FALSE)),0,VLOOKUP($A1229,'Mutasi Neraca'!$A$3:$S$910,9,FALSE))</f>
        <v>0</v>
      </c>
      <c r="K1229" s="42">
        <f>VLOOKUP($A1229,'Neraca Unaudited SIMAK'!$A$2:$R$1272,10,FALSE)+IF(ISNA(VLOOKUP($A1229,'Mutasi Neraca'!$A$3:$S$910,10,FALSE)),0,VLOOKUP($A1229,'Mutasi Neraca'!$A$3:$S$910,10,FALSE))</f>
        <v>1383280130</v>
      </c>
      <c r="L1229" s="42">
        <f>VLOOKUP($A1229,'Neraca Unaudited SIMAK'!$A$2:$R$1272,11,FALSE)+IF(ISNA(VLOOKUP($A1229,'Mutasi Neraca'!$A$3:$S$910,11,FALSE)),0,VLOOKUP($A1229,'Mutasi Neraca'!$A$3:$S$910,11,FALSE))</f>
        <v>0</v>
      </c>
      <c r="M1229" s="42">
        <f>VLOOKUP($A1229,'Neraca Unaudited SIMAK'!$A$2:$R$1272,12,FALSE)+IF(ISNA(VLOOKUP($A1229,'Mutasi Neraca'!$A$3:$S$910,12,FALSE)),0,VLOOKUP($A1229,'Mutasi Neraca'!$A$3:$S$910,12,FALSE))</f>
        <v>37781953754</v>
      </c>
      <c r="N1229" s="42">
        <f>VLOOKUP($A1229,'Neraca Unaudited SIMAK'!$A$2:$R$1272,13,FALSE)+IF(ISNA(VLOOKUP($A1229,'Mutasi Neraca'!$A$3:$S$910,13,FALSE)),0,VLOOKUP($A1229,'Mutasi Neraca'!$A$3:$S$910,13,FALSE))</f>
        <v>-8600879582</v>
      </c>
      <c r="O1229" s="42">
        <f>VLOOKUP($A1229,'Neraca Unaudited SIMAK'!$A$2:$R$1272,14,FALSE)+IF(ISNA(VLOOKUP($A1229,'Mutasi Neraca'!$A$3:$S$910,14,FALSE)),0,VLOOKUP($A1229,'Mutasi Neraca'!$A$3:$S$910,14,FALSE))</f>
        <v>0</v>
      </c>
      <c r="P1229" s="42">
        <f>VLOOKUP($A1229,'Neraca Unaudited SIMAK'!$A$2:$R$1272,15,FALSE)+IF(ISNA(VLOOKUP($A1229,'Mutasi Neraca'!$A$3:$S$910,15,FALSE)),0,VLOOKUP($A1229,'Mutasi Neraca'!$A$3:$S$910,15,FALSE))</f>
        <v>0</v>
      </c>
      <c r="Q1229" s="42">
        <f>VLOOKUP($A1229,'Neraca Unaudited SIMAK'!$A$2:$R$1272,16,FALSE)+IF(ISNA(VLOOKUP($A1229,'Mutasi Neraca'!$A$3:$S$910,16,FALSE)),0,VLOOKUP($A1229,'Mutasi Neraca'!$A$3:$S$910,16,FALSE))</f>
        <v>0</v>
      </c>
      <c r="R1229" s="42">
        <f>VLOOKUP($A1229,'Neraca Unaudited SIMAK'!$A$2:$R$1272,17,FALSE)+IF(ISNA(VLOOKUP($A1229,'Mutasi Neraca'!$A$3:$S$910,17,FALSE)),0,VLOOKUP($A1229,'Mutasi Neraca'!$A$3:$S$910,17,FALSE))</f>
        <v>0</v>
      </c>
      <c r="S1229" s="42">
        <f t="shared" si="81"/>
        <v>29181074172</v>
      </c>
    </row>
    <row r="1230" spans="1:19">
      <c r="A1230" s="41" t="s">
        <v>1134</v>
      </c>
      <c r="B1230" s="41" t="str">
        <f t="shared" si="80"/>
        <v>005050200</v>
      </c>
      <c r="D1230" s="42">
        <f>VLOOKUP($A1230,'Neraca Unaudited SIMAK'!$A$2:$R$1272,3,FALSE)+IF(ISNA(VLOOKUP($A1230,'Mutasi Neraca'!$A$3:$S$910,3,FALSE)),0,VLOOKUP($A1230,'Mutasi Neraca'!$A$3:$S$910,3,FALSE))</f>
        <v>125000</v>
      </c>
      <c r="E1230" s="42">
        <f>VLOOKUP($A1230,'Neraca Unaudited SIMAK'!$A$2:$R$1272,4,FALSE)+IF(ISNA(VLOOKUP($A1230,'Mutasi Neraca'!$A$3:$S$910,4,FALSE)),0,VLOOKUP($A1230,'Mutasi Neraca'!$A$3:$S$910,4,FALSE))</f>
        <v>0</v>
      </c>
      <c r="F1230" s="42">
        <f>VLOOKUP($A1230,'Neraca Unaudited SIMAK'!$A$2:$R$1272,5,FALSE)+IF(ISNA(VLOOKUP($A1230,'Mutasi Neraca'!$A$3:$S$910,5,FALSE)),0,VLOOKUP($A1230,'Mutasi Neraca'!$A$3:$S$910,5,FALSE))</f>
        <v>0</v>
      </c>
      <c r="G1230" s="42">
        <f>VLOOKUP($A1230,'Neraca Unaudited SIMAK'!$A$2:$R$1272,6,FALSE)+IF(ISNA(VLOOKUP($A1230,'Mutasi Neraca'!$A$3:$S$910,6,FALSE)),0,VLOOKUP($A1230,'Mutasi Neraca'!$A$3:$S$910,6,FALSE))</f>
        <v>0</v>
      </c>
      <c r="H1230" s="42">
        <f>VLOOKUP($A1230,'Neraca Unaudited SIMAK'!$A$2:$R$1272,7,FALSE)+IF(ISNA(VLOOKUP($A1230,'Mutasi Neraca'!$A$3:$S$910,7,FALSE)),0,VLOOKUP($A1230,'Mutasi Neraca'!$A$3:$S$910,7,FALSE))</f>
        <v>0</v>
      </c>
      <c r="I1230" s="42">
        <f>VLOOKUP($A1230,'Neraca Unaudited SIMAK'!$A$2:$R$1272,8,FALSE)+IF(ISNA(VLOOKUP($A1230,'Mutasi Neraca'!$A$3:$S$910,8,FALSE)),0,VLOOKUP($A1230,'Mutasi Neraca'!$A$3:$S$910,8,FALSE))</f>
        <v>0</v>
      </c>
      <c r="J1230" s="42">
        <f>VLOOKUP($A1230,'Neraca Unaudited SIMAK'!$A$2:$R$1272,9,FALSE)+IF(ISNA(VLOOKUP($A1230,'Mutasi Neraca'!$A$3:$S$910,9,FALSE)),0,VLOOKUP($A1230,'Mutasi Neraca'!$A$3:$S$910,9,FALSE))</f>
        <v>0</v>
      </c>
      <c r="K1230" s="42">
        <f>VLOOKUP($A1230,'Neraca Unaudited SIMAK'!$A$2:$R$1272,10,FALSE)+IF(ISNA(VLOOKUP($A1230,'Mutasi Neraca'!$A$3:$S$910,10,FALSE)),0,VLOOKUP($A1230,'Mutasi Neraca'!$A$3:$S$910,10,FALSE))</f>
        <v>0</v>
      </c>
      <c r="L1230" s="42">
        <f>VLOOKUP($A1230,'Neraca Unaudited SIMAK'!$A$2:$R$1272,11,FALSE)+IF(ISNA(VLOOKUP($A1230,'Mutasi Neraca'!$A$3:$S$910,11,FALSE)),0,VLOOKUP($A1230,'Mutasi Neraca'!$A$3:$S$910,11,FALSE))</f>
        <v>0</v>
      </c>
      <c r="M1230" s="42">
        <f>VLOOKUP($A1230,'Neraca Unaudited SIMAK'!$A$2:$R$1272,12,FALSE)+IF(ISNA(VLOOKUP($A1230,'Mutasi Neraca'!$A$3:$S$910,12,FALSE)),0,VLOOKUP($A1230,'Mutasi Neraca'!$A$3:$S$910,12,FALSE))</f>
        <v>125000</v>
      </c>
      <c r="N1230" s="42">
        <f>VLOOKUP($A1230,'Neraca Unaudited SIMAK'!$A$2:$R$1272,13,FALSE)+IF(ISNA(VLOOKUP($A1230,'Mutasi Neraca'!$A$3:$S$910,13,FALSE)),0,VLOOKUP($A1230,'Mutasi Neraca'!$A$3:$S$910,13,FALSE))</f>
        <v>0</v>
      </c>
      <c r="O1230" s="42">
        <f>VLOOKUP($A1230,'Neraca Unaudited SIMAK'!$A$2:$R$1272,14,FALSE)+IF(ISNA(VLOOKUP($A1230,'Mutasi Neraca'!$A$3:$S$910,14,FALSE)),0,VLOOKUP($A1230,'Mutasi Neraca'!$A$3:$S$910,14,FALSE))</f>
        <v>0</v>
      </c>
      <c r="P1230" s="42">
        <f>VLOOKUP($A1230,'Neraca Unaudited SIMAK'!$A$2:$R$1272,15,FALSE)+IF(ISNA(VLOOKUP($A1230,'Mutasi Neraca'!$A$3:$S$910,15,FALSE)),0,VLOOKUP($A1230,'Mutasi Neraca'!$A$3:$S$910,15,FALSE))</f>
        <v>0</v>
      </c>
      <c r="Q1230" s="42">
        <f>VLOOKUP($A1230,'Neraca Unaudited SIMAK'!$A$2:$R$1272,16,FALSE)+IF(ISNA(VLOOKUP($A1230,'Mutasi Neraca'!$A$3:$S$910,16,FALSE)),0,VLOOKUP($A1230,'Mutasi Neraca'!$A$3:$S$910,16,FALSE))</f>
        <v>0</v>
      </c>
      <c r="R1230" s="42">
        <f>VLOOKUP($A1230,'Neraca Unaudited SIMAK'!$A$2:$R$1272,17,FALSE)+IF(ISNA(VLOOKUP($A1230,'Mutasi Neraca'!$A$3:$S$910,17,FALSE)),0,VLOOKUP($A1230,'Mutasi Neraca'!$A$3:$S$910,17,FALSE))</f>
        <v>0</v>
      </c>
      <c r="S1230" s="42">
        <f t="shared" si="81"/>
        <v>125000</v>
      </c>
    </row>
    <row r="1231" spans="1:19">
      <c r="A1231" s="41" t="s">
        <v>1135</v>
      </c>
      <c r="B1231" s="41" t="str">
        <f t="shared" si="80"/>
        <v>005050300</v>
      </c>
      <c r="D1231" s="42">
        <f>VLOOKUP($A1231,'Neraca Unaudited SIMAK'!$A$2:$R$1272,3,FALSE)+IF(ISNA(VLOOKUP($A1231,'Mutasi Neraca'!$A$3:$S$910,3,FALSE)),0,VLOOKUP($A1231,'Mutasi Neraca'!$A$3:$S$910,3,FALSE))</f>
        <v>42000</v>
      </c>
      <c r="E1231" s="42">
        <f>VLOOKUP($A1231,'Neraca Unaudited SIMAK'!$A$2:$R$1272,4,FALSE)+IF(ISNA(VLOOKUP($A1231,'Mutasi Neraca'!$A$3:$S$910,4,FALSE)),0,VLOOKUP($A1231,'Mutasi Neraca'!$A$3:$S$910,4,FALSE))</f>
        <v>0</v>
      </c>
      <c r="F1231" s="42">
        <f>VLOOKUP($A1231,'Neraca Unaudited SIMAK'!$A$2:$R$1272,5,FALSE)+IF(ISNA(VLOOKUP($A1231,'Mutasi Neraca'!$A$3:$S$910,5,FALSE)),0,VLOOKUP($A1231,'Mutasi Neraca'!$A$3:$S$910,5,FALSE))</f>
        <v>0</v>
      </c>
      <c r="G1231" s="42">
        <f>VLOOKUP($A1231,'Neraca Unaudited SIMAK'!$A$2:$R$1272,6,FALSE)+IF(ISNA(VLOOKUP($A1231,'Mutasi Neraca'!$A$3:$S$910,6,FALSE)),0,VLOOKUP($A1231,'Mutasi Neraca'!$A$3:$S$910,6,FALSE))</f>
        <v>0</v>
      </c>
      <c r="H1231" s="42">
        <f>VLOOKUP($A1231,'Neraca Unaudited SIMAK'!$A$2:$R$1272,7,FALSE)+IF(ISNA(VLOOKUP($A1231,'Mutasi Neraca'!$A$3:$S$910,7,FALSE)),0,VLOOKUP($A1231,'Mutasi Neraca'!$A$3:$S$910,7,FALSE))</f>
        <v>0</v>
      </c>
      <c r="I1231" s="42">
        <f>VLOOKUP($A1231,'Neraca Unaudited SIMAK'!$A$2:$R$1272,8,FALSE)+IF(ISNA(VLOOKUP($A1231,'Mutasi Neraca'!$A$3:$S$910,8,FALSE)),0,VLOOKUP($A1231,'Mutasi Neraca'!$A$3:$S$910,8,FALSE))</f>
        <v>0</v>
      </c>
      <c r="J1231" s="42">
        <f>VLOOKUP($A1231,'Neraca Unaudited SIMAK'!$A$2:$R$1272,9,FALSE)+IF(ISNA(VLOOKUP($A1231,'Mutasi Neraca'!$A$3:$S$910,9,FALSE)),0,VLOOKUP($A1231,'Mutasi Neraca'!$A$3:$S$910,9,FALSE))</f>
        <v>0</v>
      </c>
      <c r="K1231" s="42">
        <f>VLOOKUP($A1231,'Neraca Unaudited SIMAK'!$A$2:$R$1272,10,FALSE)+IF(ISNA(VLOOKUP($A1231,'Mutasi Neraca'!$A$3:$S$910,10,FALSE)),0,VLOOKUP($A1231,'Mutasi Neraca'!$A$3:$S$910,10,FALSE))</f>
        <v>0</v>
      </c>
      <c r="L1231" s="42">
        <f>VLOOKUP($A1231,'Neraca Unaudited SIMAK'!$A$2:$R$1272,11,FALSE)+IF(ISNA(VLOOKUP($A1231,'Mutasi Neraca'!$A$3:$S$910,11,FALSE)),0,VLOOKUP($A1231,'Mutasi Neraca'!$A$3:$S$910,11,FALSE))</f>
        <v>0</v>
      </c>
      <c r="M1231" s="42">
        <f>VLOOKUP($A1231,'Neraca Unaudited SIMAK'!$A$2:$R$1272,12,FALSE)+IF(ISNA(VLOOKUP($A1231,'Mutasi Neraca'!$A$3:$S$910,12,FALSE)),0,VLOOKUP($A1231,'Mutasi Neraca'!$A$3:$S$910,12,FALSE))</f>
        <v>42000</v>
      </c>
      <c r="N1231" s="42">
        <f>VLOOKUP($A1231,'Neraca Unaudited SIMAK'!$A$2:$R$1272,13,FALSE)+IF(ISNA(VLOOKUP($A1231,'Mutasi Neraca'!$A$3:$S$910,13,FALSE)),0,VLOOKUP($A1231,'Mutasi Neraca'!$A$3:$S$910,13,FALSE))</f>
        <v>0</v>
      </c>
      <c r="O1231" s="42">
        <f>VLOOKUP($A1231,'Neraca Unaudited SIMAK'!$A$2:$R$1272,14,FALSE)+IF(ISNA(VLOOKUP($A1231,'Mutasi Neraca'!$A$3:$S$910,14,FALSE)),0,VLOOKUP($A1231,'Mutasi Neraca'!$A$3:$S$910,14,FALSE))</f>
        <v>0</v>
      </c>
      <c r="P1231" s="42">
        <f>VLOOKUP($A1231,'Neraca Unaudited SIMAK'!$A$2:$R$1272,15,FALSE)+IF(ISNA(VLOOKUP($A1231,'Mutasi Neraca'!$A$3:$S$910,15,FALSE)),0,VLOOKUP($A1231,'Mutasi Neraca'!$A$3:$S$910,15,FALSE))</f>
        <v>0</v>
      </c>
      <c r="Q1231" s="42">
        <f>VLOOKUP($A1231,'Neraca Unaudited SIMAK'!$A$2:$R$1272,16,FALSE)+IF(ISNA(VLOOKUP($A1231,'Mutasi Neraca'!$A$3:$S$910,16,FALSE)),0,VLOOKUP($A1231,'Mutasi Neraca'!$A$3:$S$910,16,FALSE))</f>
        <v>0</v>
      </c>
      <c r="R1231" s="42">
        <f>VLOOKUP($A1231,'Neraca Unaudited SIMAK'!$A$2:$R$1272,17,FALSE)+IF(ISNA(VLOOKUP($A1231,'Mutasi Neraca'!$A$3:$S$910,17,FALSE)),0,VLOOKUP($A1231,'Mutasi Neraca'!$A$3:$S$910,17,FALSE))</f>
        <v>0</v>
      </c>
      <c r="S1231" s="42">
        <f t="shared" si="81"/>
        <v>42000</v>
      </c>
    </row>
    <row r="1232" spans="1:19">
      <c r="A1232" s="41" t="s">
        <v>1136</v>
      </c>
      <c r="B1232" s="41" t="str">
        <f t="shared" si="80"/>
        <v>005050300</v>
      </c>
      <c r="D1232" s="42">
        <f>VLOOKUP($A1232,'Neraca Unaudited SIMAK'!$A$2:$R$1272,3,FALSE)+IF(ISNA(VLOOKUP($A1232,'Mutasi Neraca'!$A$3:$S$910,3,FALSE)),0,VLOOKUP($A1232,'Mutasi Neraca'!$A$3:$S$910,3,FALSE))</f>
        <v>96700</v>
      </c>
      <c r="E1232" s="42">
        <f>VLOOKUP($A1232,'Neraca Unaudited SIMAK'!$A$2:$R$1272,4,FALSE)+IF(ISNA(VLOOKUP($A1232,'Mutasi Neraca'!$A$3:$S$910,4,FALSE)),0,VLOOKUP($A1232,'Mutasi Neraca'!$A$3:$S$910,4,FALSE))</f>
        <v>0</v>
      </c>
      <c r="F1232" s="42">
        <f>VLOOKUP($A1232,'Neraca Unaudited SIMAK'!$A$2:$R$1272,5,FALSE)+IF(ISNA(VLOOKUP($A1232,'Mutasi Neraca'!$A$3:$S$910,5,FALSE)),0,VLOOKUP($A1232,'Mutasi Neraca'!$A$3:$S$910,5,FALSE))</f>
        <v>0</v>
      </c>
      <c r="G1232" s="42">
        <f>VLOOKUP($A1232,'Neraca Unaudited SIMAK'!$A$2:$R$1272,6,FALSE)+IF(ISNA(VLOOKUP($A1232,'Mutasi Neraca'!$A$3:$S$910,6,FALSE)),0,VLOOKUP($A1232,'Mutasi Neraca'!$A$3:$S$910,6,FALSE))</f>
        <v>0</v>
      </c>
      <c r="H1232" s="42">
        <f>VLOOKUP($A1232,'Neraca Unaudited SIMAK'!$A$2:$R$1272,7,FALSE)+IF(ISNA(VLOOKUP($A1232,'Mutasi Neraca'!$A$3:$S$910,7,FALSE)),0,VLOOKUP($A1232,'Mutasi Neraca'!$A$3:$S$910,7,FALSE))</f>
        <v>0</v>
      </c>
      <c r="I1232" s="42">
        <f>VLOOKUP($A1232,'Neraca Unaudited SIMAK'!$A$2:$R$1272,8,FALSE)+IF(ISNA(VLOOKUP($A1232,'Mutasi Neraca'!$A$3:$S$910,8,FALSE)),0,VLOOKUP($A1232,'Mutasi Neraca'!$A$3:$S$910,8,FALSE))</f>
        <v>0</v>
      </c>
      <c r="J1232" s="42">
        <f>VLOOKUP($A1232,'Neraca Unaudited SIMAK'!$A$2:$R$1272,9,FALSE)+IF(ISNA(VLOOKUP($A1232,'Mutasi Neraca'!$A$3:$S$910,9,FALSE)),0,VLOOKUP($A1232,'Mutasi Neraca'!$A$3:$S$910,9,FALSE))</f>
        <v>0</v>
      </c>
      <c r="K1232" s="42">
        <f>VLOOKUP($A1232,'Neraca Unaudited SIMAK'!$A$2:$R$1272,10,FALSE)+IF(ISNA(VLOOKUP($A1232,'Mutasi Neraca'!$A$3:$S$910,10,FALSE)),0,VLOOKUP($A1232,'Mutasi Neraca'!$A$3:$S$910,10,FALSE))</f>
        <v>0</v>
      </c>
      <c r="L1232" s="42">
        <f>VLOOKUP($A1232,'Neraca Unaudited SIMAK'!$A$2:$R$1272,11,FALSE)+IF(ISNA(VLOOKUP($A1232,'Mutasi Neraca'!$A$3:$S$910,11,FALSE)),0,VLOOKUP($A1232,'Mutasi Neraca'!$A$3:$S$910,11,FALSE))</f>
        <v>0</v>
      </c>
      <c r="M1232" s="42">
        <f>VLOOKUP($A1232,'Neraca Unaudited SIMAK'!$A$2:$R$1272,12,FALSE)+IF(ISNA(VLOOKUP($A1232,'Mutasi Neraca'!$A$3:$S$910,12,FALSE)),0,VLOOKUP($A1232,'Mutasi Neraca'!$A$3:$S$910,12,FALSE))</f>
        <v>96700</v>
      </c>
      <c r="N1232" s="42">
        <f>VLOOKUP($A1232,'Neraca Unaudited SIMAK'!$A$2:$R$1272,13,FALSE)+IF(ISNA(VLOOKUP($A1232,'Mutasi Neraca'!$A$3:$S$910,13,FALSE)),0,VLOOKUP($A1232,'Mutasi Neraca'!$A$3:$S$910,13,FALSE))</f>
        <v>0</v>
      </c>
      <c r="O1232" s="42">
        <f>VLOOKUP($A1232,'Neraca Unaudited SIMAK'!$A$2:$R$1272,14,FALSE)+IF(ISNA(VLOOKUP($A1232,'Mutasi Neraca'!$A$3:$S$910,14,FALSE)),0,VLOOKUP($A1232,'Mutasi Neraca'!$A$3:$S$910,14,FALSE))</f>
        <v>0</v>
      </c>
      <c r="P1232" s="42">
        <f>VLOOKUP($A1232,'Neraca Unaudited SIMAK'!$A$2:$R$1272,15,FALSE)+IF(ISNA(VLOOKUP($A1232,'Mutasi Neraca'!$A$3:$S$910,15,FALSE)),0,VLOOKUP($A1232,'Mutasi Neraca'!$A$3:$S$910,15,FALSE))</f>
        <v>0</v>
      </c>
      <c r="Q1232" s="42">
        <f>VLOOKUP($A1232,'Neraca Unaudited SIMAK'!$A$2:$R$1272,16,FALSE)+IF(ISNA(VLOOKUP($A1232,'Mutasi Neraca'!$A$3:$S$910,16,FALSE)),0,VLOOKUP($A1232,'Mutasi Neraca'!$A$3:$S$910,16,FALSE))</f>
        <v>0</v>
      </c>
      <c r="R1232" s="42">
        <f>VLOOKUP($A1232,'Neraca Unaudited SIMAK'!$A$2:$R$1272,17,FALSE)+IF(ISNA(VLOOKUP($A1232,'Mutasi Neraca'!$A$3:$S$910,17,FALSE)),0,VLOOKUP($A1232,'Mutasi Neraca'!$A$3:$S$910,17,FALSE))</f>
        <v>0</v>
      </c>
      <c r="S1232" s="42">
        <f t="shared" si="81"/>
        <v>96700</v>
      </c>
    </row>
    <row r="1233" spans="1:19">
      <c r="A1233" s="41" t="s">
        <v>1137</v>
      </c>
      <c r="B1233" s="41" t="str">
        <f t="shared" si="80"/>
        <v>005050400</v>
      </c>
      <c r="D1233" s="42">
        <f>VLOOKUP($A1233,'Neraca Unaudited SIMAK'!$A$2:$R$1272,3,FALSE)+IF(ISNA(VLOOKUP($A1233,'Mutasi Neraca'!$A$3:$S$910,3,FALSE)),0,VLOOKUP($A1233,'Mutasi Neraca'!$A$3:$S$910,3,FALSE))</f>
        <v>612875</v>
      </c>
      <c r="E1233" s="42">
        <f>VLOOKUP($A1233,'Neraca Unaudited SIMAK'!$A$2:$R$1272,4,FALSE)+IF(ISNA(VLOOKUP($A1233,'Mutasi Neraca'!$A$3:$S$910,4,FALSE)),0,VLOOKUP($A1233,'Mutasi Neraca'!$A$3:$S$910,4,FALSE))</f>
        <v>0</v>
      </c>
      <c r="F1233" s="42">
        <f>VLOOKUP($A1233,'Neraca Unaudited SIMAK'!$A$2:$R$1272,5,FALSE)+IF(ISNA(VLOOKUP($A1233,'Mutasi Neraca'!$A$3:$S$910,5,FALSE)),0,VLOOKUP($A1233,'Mutasi Neraca'!$A$3:$S$910,5,FALSE))</f>
        <v>0</v>
      </c>
      <c r="G1233" s="42">
        <f>VLOOKUP($A1233,'Neraca Unaudited SIMAK'!$A$2:$R$1272,6,FALSE)+IF(ISNA(VLOOKUP($A1233,'Mutasi Neraca'!$A$3:$S$910,6,FALSE)),0,VLOOKUP($A1233,'Mutasi Neraca'!$A$3:$S$910,6,FALSE))</f>
        <v>0</v>
      </c>
      <c r="H1233" s="42">
        <f>VLOOKUP($A1233,'Neraca Unaudited SIMAK'!$A$2:$R$1272,7,FALSE)+IF(ISNA(VLOOKUP($A1233,'Mutasi Neraca'!$A$3:$S$910,7,FALSE)),0,VLOOKUP($A1233,'Mutasi Neraca'!$A$3:$S$910,7,FALSE))</f>
        <v>0</v>
      </c>
      <c r="I1233" s="42">
        <f>VLOOKUP($A1233,'Neraca Unaudited SIMAK'!$A$2:$R$1272,8,FALSE)+IF(ISNA(VLOOKUP($A1233,'Mutasi Neraca'!$A$3:$S$910,8,FALSE)),0,VLOOKUP($A1233,'Mutasi Neraca'!$A$3:$S$910,8,FALSE))</f>
        <v>0</v>
      </c>
      <c r="J1233" s="42">
        <f>VLOOKUP($A1233,'Neraca Unaudited SIMAK'!$A$2:$R$1272,9,FALSE)+IF(ISNA(VLOOKUP($A1233,'Mutasi Neraca'!$A$3:$S$910,9,FALSE)),0,VLOOKUP($A1233,'Mutasi Neraca'!$A$3:$S$910,9,FALSE))</f>
        <v>0</v>
      </c>
      <c r="K1233" s="42">
        <f>VLOOKUP($A1233,'Neraca Unaudited SIMAK'!$A$2:$R$1272,10,FALSE)+IF(ISNA(VLOOKUP($A1233,'Mutasi Neraca'!$A$3:$S$910,10,FALSE)),0,VLOOKUP($A1233,'Mutasi Neraca'!$A$3:$S$910,10,FALSE))</f>
        <v>0</v>
      </c>
      <c r="L1233" s="42">
        <f>VLOOKUP($A1233,'Neraca Unaudited SIMAK'!$A$2:$R$1272,11,FALSE)+IF(ISNA(VLOOKUP($A1233,'Mutasi Neraca'!$A$3:$S$910,11,FALSE)),0,VLOOKUP($A1233,'Mutasi Neraca'!$A$3:$S$910,11,FALSE))</f>
        <v>0</v>
      </c>
      <c r="M1233" s="42">
        <f>VLOOKUP($A1233,'Neraca Unaudited SIMAK'!$A$2:$R$1272,12,FALSE)+IF(ISNA(VLOOKUP($A1233,'Mutasi Neraca'!$A$3:$S$910,12,FALSE)),0,VLOOKUP($A1233,'Mutasi Neraca'!$A$3:$S$910,12,FALSE))</f>
        <v>612875</v>
      </c>
      <c r="N1233" s="42">
        <f>VLOOKUP($A1233,'Neraca Unaudited SIMAK'!$A$2:$R$1272,13,FALSE)+IF(ISNA(VLOOKUP($A1233,'Mutasi Neraca'!$A$3:$S$910,13,FALSE)),0,VLOOKUP($A1233,'Mutasi Neraca'!$A$3:$S$910,13,FALSE))</f>
        <v>0</v>
      </c>
      <c r="O1233" s="42">
        <f>VLOOKUP($A1233,'Neraca Unaudited SIMAK'!$A$2:$R$1272,14,FALSE)+IF(ISNA(VLOOKUP($A1233,'Mutasi Neraca'!$A$3:$S$910,14,FALSE)),0,VLOOKUP($A1233,'Mutasi Neraca'!$A$3:$S$910,14,FALSE))</f>
        <v>0</v>
      </c>
      <c r="P1233" s="42">
        <f>VLOOKUP($A1233,'Neraca Unaudited SIMAK'!$A$2:$R$1272,15,FALSE)+IF(ISNA(VLOOKUP($A1233,'Mutasi Neraca'!$A$3:$S$910,15,FALSE)),0,VLOOKUP($A1233,'Mutasi Neraca'!$A$3:$S$910,15,FALSE))</f>
        <v>0</v>
      </c>
      <c r="Q1233" s="42">
        <f>VLOOKUP($A1233,'Neraca Unaudited SIMAK'!$A$2:$R$1272,16,FALSE)+IF(ISNA(VLOOKUP($A1233,'Mutasi Neraca'!$A$3:$S$910,16,FALSE)),0,VLOOKUP($A1233,'Mutasi Neraca'!$A$3:$S$910,16,FALSE))</f>
        <v>0</v>
      </c>
      <c r="R1233" s="42">
        <f>VLOOKUP($A1233,'Neraca Unaudited SIMAK'!$A$2:$R$1272,17,FALSE)+IF(ISNA(VLOOKUP($A1233,'Mutasi Neraca'!$A$3:$S$910,17,FALSE)),0,VLOOKUP($A1233,'Mutasi Neraca'!$A$3:$S$910,17,FALSE))</f>
        <v>0</v>
      </c>
      <c r="S1233" s="42">
        <f t="shared" si="81"/>
        <v>612875</v>
      </c>
    </row>
    <row r="1234" spans="1:19">
      <c r="A1234" s="41" t="s">
        <v>1138</v>
      </c>
      <c r="B1234" s="41" t="str">
        <f t="shared" si="80"/>
        <v>005050500</v>
      </c>
      <c r="D1234" s="42">
        <f>VLOOKUP($A1234,'Neraca Unaudited SIMAK'!$A$2:$R$1272,3,FALSE)+IF(ISNA(VLOOKUP($A1234,'Mutasi Neraca'!$A$3:$S$910,3,FALSE)),0,VLOOKUP($A1234,'Mutasi Neraca'!$A$3:$S$910,3,FALSE))</f>
        <v>0</v>
      </c>
      <c r="E1234" s="42">
        <f>VLOOKUP($A1234,'Neraca Unaudited SIMAK'!$A$2:$R$1272,4,FALSE)+IF(ISNA(VLOOKUP($A1234,'Mutasi Neraca'!$A$3:$S$910,4,FALSE)),0,VLOOKUP($A1234,'Mutasi Neraca'!$A$3:$S$910,4,FALSE))</f>
        <v>0</v>
      </c>
      <c r="F1234" s="42">
        <f>VLOOKUP($A1234,'Neraca Unaudited SIMAK'!$A$2:$R$1272,5,FALSE)+IF(ISNA(VLOOKUP($A1234,'Mutasi Neraca'!$A$3:$S$910,5,FALSE)),0,VLOOKUP($A1234,'Mutasi Neraca'!$A$3:$S$910,5,FALSE))</f>
        <v>0</v>
      </c>
      <c r="G1234" s="42">
        <f>VLOOKUP($A1234,'Neraca Unaudited SIMAK'!$A$2:$R$1272,6,FALSE)+IF(ISNA(VLOOKUP($A1234,'Mutasi Neraca'!$A$3:$S$910,6,FALSE)),0,VLOOKUP($A1234,'Mutasi Neraca'!$A$3:$S$910,6,FALSE))</f>
        <v>0</v>
      </c>
      <c r="H1234" s="42">
        <f>VLOOKUP($A1234,'Neraca Unaudited SIMAK'!$A$2:$R$1272,7,FALSE)+IF(ISNA(VLOOKUP($A1234,'Mutasi Neraca'!$A$3:$S$910,7,FALSE)),0,VLOOKUP($A1234,'Mutasi Neraca'!$A$3:$S$910,7,FALSE))</f>
        <v>0</v>
      </c>
      <c r="I1234" s="42">
        <f>VLOOKUP($A1234,'Neraca Unaudited SIMAK'!$A$2:$R$1272,8,FALSE)+IF(ISNA(VLOOKUP($A1234,'Mutasi Neraca'!$A$3:$S$910,8,FALSE)),0,VLOOKUP($A1234,'Mutasi Neraca'!$A$3:$S$910,8,FALSE))</f>
        <v>0</v>
      </c>
      <c r="J1234" s="42">
        <f>VLOOKUP($A1234,'Neraca Unaudited SIMAK'!$A$2:$R$1272,9,FALSE)+IF(ISNA(VLOOKUP($A1234,'Mutasi Neraca'!$A$3:$S$910,9,FALSE)),0,VLOOKUP($A1234,'Mutasi Neraca'!$A$3:$S$910,9,FALSE))</f>
        <v>0</v>
      </c>
      <c r="K1234" s="42">
        <f>VLOOKUP($A1234,'Neraca Unaudited SIMAK'!$A$2:$R$1272,10,FALSE)+IF(ISNA(VLOOKUP($A1234,'Mutasi Neraca'!$A$3:$S$910,10,FALSE)),0,VLOOKUP($A1234,'Mutasi Neraca'!$A$3:$S$910,10,FALSE))</f>
        <v>0</v>
      </c>
      <c r="L1234" s="42">
        <f>VLOOKUP($A1234,'Neraca Unaudited SIMAK'!$A$2:$R$1272,11,FALSE)+IF(ISNA(VLOOKUP($A1234,'Mutasi Neraca'!$A$3:$S$910,11,FALSE)),0,VLOOKUP($A1234,'Mutasi Neraca'!$A$3:$S$910,11,FALSE))</f>
        <v>0</v>
      </c>
      <c r="M1234" s="42">
        <f>VLOOKUP($A1234,'Neraca Unaudited SIMAK'!$A$2:$R$1272,12,FALSE)+IF(ISNA(VLOOKUP($A1234,'Mutasi Neraca'!$A$3:$S$910,12,FALSE)),0,VLOOKUP($A1234,'Mutasi Neraca'!$A$3:$S$910,12,FALSE))</f>
        <v>0</v>
      </c>
      <c r="N1234" s="42">
        <f>VLOOKUP($A1234,'Neraca Unaudited SIMAK'!$A$2:$R$1272,13,FALSE)+IF(ISNA(VLOOKUP($A1234,'Mutasi Neraca'!$A$3:$S$910,13,FALSE)),0,VLOOKUP($A1234,'Mutasi Neraca'!$A$3:$S$910,13,FALSE))</f>
        <v>0</v>
      </c>
      <c r="O1234" s="42">
        <f>VLOOKUP($A1234,'Neraca Unaudited SIMAK'!$A$2:$R$1272,14,FALSE)+IF(ISNA(VLOOKUP($A1234,'Mutasi Neraca'!$A$3:$S$910,14,FALSE)),0,VLOOKUP($A1234,'Mutasi Neraca'!$A$3:$S$910,14,FALSE))</f>
        <v>0</v>
      </c>
      <c r="P1234" s="42">
        <f>VLOOKUP($A1234,'Neraca Unaudited SIMAK'!$A$2:$R$1272,15,FALSE)+IF(ISNA(VLOOKUP($A1234,'Mutasi Neraca'!$A$3:$S$910,15,FALSE)),0,VLOOKUP($A1234,'Mutasi Neraca'!$A$3:$S$910,15,FALSE))</f>
        <v>0</v>
      </c>
      <c r="Q1234" s="42">
        <f>VLOOKUP($A1234,'Neraca Unaudited SIMAK'!$A$2:$R$1272,16,FALSE)+IF(ISNA(VLOOKUP($A1234,'Mutasi Neraca'!$A$3:$S$910,16,FALSE)),0,VLOOKUP($A1234,'Mutasi Neraca'!$A$3:$S$910,16,FALSE))</f>
        <v>0</v>
      </c>
      <c r="R1234" s="42">
        <f>VLOOKUP($A1234,'Neraca Unaudited SIMAK'!$A$2:$R$1272,17,FALSE)+IF(ISNA(VLOOKUP($A1234,'Mutasi Neraca'!$A$3:$S$910,17,FALSE)),0,VLOOKUP($A1234,'Mutasi Neraca'!$A$3:$S$910,17,FALSE))</f>
        <v>0</v>
      </c>
      <c r="S1234" s="42">
        <f t="shared" si="81"/>
        <v>0</v>
      </c>
    </row>
    <row r="1235" spans="1:19">
      <c r="A1235" s="41" t="s">
        <v>2278</v>
      </c>
      <c r="B1235" s="41" t="str">
        <f t="shared" si="80"/>
        <v>005050500</v>
      </c>
      <c r="D1235" s="42">
        <f>VLOOKUP($A1235,'Neraca Unaudited SIMAK'!$A$2:$R$1272,3,FALSE)+IF(ISNA(VLOOKUP($A1235,'Mutasi Neraca'!$A$3:$S$910,3,FALSE)),0,VLOOKUP($A1235,'Mutasi Neraca'!$A$3:$S$910,3,FALSE))</f>
        <v>0</v>
      </c>
      <c r="E1235" s="42">
        <f>VLOOKUP($A1235,'Neraca Unaudited SIMAK'!$A$2:$R$1272,4,FALSE)+IF(ISNA(VLOOKUP($A1235,'Mutasi Neraca'!$A$3:$S$910,4,FALSE)),0,VLOOKUP($A1235,'Mutasi Neraca'!$A$3:$S$910,4,FALSE))</f>
        <v>0</v>
      </c>
      <c r="F1235" s="42">
        <f>VLOOKUP($A1235,'Neraca Unaudited SIMAK'!$A$2:$R$1272,5,FALSE)+IF(ISNA(VLOOKUP($A1235,'Mutasi Neraca'!$A$3:$S$910,5,FALSE)),0,VLOOKUP($A1235,'Mutasi Neraca'!$A$3:$S$910,5,FALSE))</f>
        <v>0</v>
      </c>
      <c r="G1235" s="42">
        <f>VLOOKUP($A1235,'Neraca Unaudited SIMAK'!$A$2:$R$1272,6,FALSE)+IF(ISNA(VLOOKUP($A1235,'Mutasi Neraca'!$A$3:$S$910,6,FALSE)),0,VLOOKUP($A1235,'Mutasi Neraca'!$A$3:$S$910,6,FALSE))</f>
        <v>0</v>
      </c>
      <c r="H1235" s="42">
        <f>VLOOKUP($A1235,'Neraca Unaudited SIMAK'!$A$2:$R$1272,7,FALSE)+IF(ISNA(VLOOKUP($A1235,'Mutasi Neraca'!$A$3:$S$910,7,FALSE)),0,VLOOKUP($A1235,'Mutasi Neraca'!$A$3:$S$910,7,FALSE))</f>
        <v>0</v>
      </c>
      <c r="I1235" s="42">
        <f>VLOOKUP($A1235,'Neraca Unaudited SIMAK'!$A$2:$R$1272,8,FALSE)+IF(ISNA(VLOOKUP($A1235,'Mutasi Neraca'!$A$3:$S$910,8,FALSE)),0,VLOOKUP($A1235,'Mutasi Neraca'!$A$3:$S$910,8,FALSE))</f>
        <v>0</v>
      </c>
      <c r="J1235" s="42">
        <f>VLOOKUP($A1235,'Neraca Unaudited SIMAK'!$A$2:$R$1272,9,FALSE)+IF(ISNA(VLOOKUP($A1235,'Mutasi Neraca'!$A$3:$S$910,9,FALSE)),0,VLOOKUP($A1235,'Mutasi Neraca'!$A$3:$S$910,9,FALSE))</f>
        <v>0</v>
      </c>
      <c r="K1235" s="42">
        <f>VLOOKUP($A1235,'Neraca Unaudited SIMAK'!$A$2:$R$1272,10,FALSE)+IF(ISNA(VLOOKUP($A1235,'Mutasi Neraca'!$A$3:$S$910,10,FALSE)),0,VLOOKUP($A1235,'Mutasi Neraca'!$A$3:$S$910,10,FALSE))</f>
        <v>0</v>
      </c>
      <c r="L1235" s="42">
        <f>VLOOKUP($A1235,'Neraca Unaudited SIMAK'!$A$2:$R$1272,11,FALSE)+IF(ISNA(VLOOKUP($A1235,'Mutasi Neraca'!$A$3:$S$910,11,FALSE)),0,VLOOKUP($A1235,'Mutasi Neraca'!$A$3:$S$910,11,FALSE))</f>
        <v>0</v>
      </c>
      <c r="M1235" s="42">
        <f>VLOOKUP($A1235,'Neraca Unaudited SIMAK'!$A$2:$R$1272,12,FALSE)+IF(ISNA(VLOOKUP($A1235,'Mutasi Neraca'!$A$3:$S$910,12,FALSE)),0,VLOOKUP($A1235,'Mutasi Neraca'!$A$3:$S$910,12,FALSE))</f>
        <v>0</v>
      </c>
      <c r="N1235" s="42">
        <f>VLOOKUP($A1235,'Neraca Unaudited SIMAK'!$A$2:$R$1272,13,FALSE)+IF(ISNA(VLOOKUP($A1235,'Mutasi Neraca'!$A$3:$S$910,13,FALSE)),0,VLOOKUP($A1235,'Mutasi Neraca'!$A$3:$S$910,13,FALSE))</f>
        <v>0</v>
      </c>
      <c r="O1235" s="42">
        <f>VLOOKUP($A1235,'Neraca Unaudited SIMAK'!$A$2:$R$1272,14,FALSE)+IF(ISNA(VLOOKUP($A1235,'Mutasi Neraca'!$A$3:$S$910,14,FALSE)),0,VLOOKUP($A1235,'Mutasi Neraca'!$A$3:$S$910,14,FALSE))</f>
        <v>0</v>
      </c>
      <c r="P1235" s="42">
        <f>VLOOKUP($A1235,'Neraca Unaudited SIMAK'!$A$2:$R$1272,15,FALSE)+IF(ISNA(VLOOKUP($A1235,'Mutasi Neraca'!$A$3:$S$910,15,FALSE)),0,VLOOKUP($A1235,'Mutasi Neraca'!$A$3:$S$910,15,FALSE))</f>
        <v>0</v>
      </c>
      <c r="Q1235" s="42">
        <f>VLOOKUP($A1235,'Neraca Unaudited SIMAK'!$A$2:$R$1272,16,FALSE)+IF(ISNA(VLOOKUP($A1235,'Mutasi Neraca'!$A$3:$S$910,16,FALSE)),0,VLOOKUP($A1235,'Mutasi Neraca'!$A$3:$S$910,16,FALSE))</f>
        <v>0</v>
      </c>
      <c r="R1235" s="42">
        <f>VLOOKUP($A1235,'Neraca Unaudited SIMAK'!$A$2:$R$1272,17,FALSE)+IF(ISNA(VLOOKUP($A1235,'Mutasi Neraca'!$A$3:$S$910,17,FALSE)),0,VLOOKUP($A1235,'Mutasi Neraca'!$A$3:$S$910,17,FALSE))</f>
        <v>0</v>
      </c>
      <c r="S1235" s="42">
        <f t="shared" si="81"/>
        <v>0</v>
      </c>
    </row>
    <row r="1236" spans="1:19">
      <c r="A1236" s="41" t="s">
        <v>2079</v>
      </c>
      <c r="B1236" s="41" t="str">
        <f t="shared" si="80"/>
        <v>005050500</v>
      </c>
      <c r="D1236" s="42">
        <f>VLOOKUP($A1236,'Neraca Unaudited SIMAK'!$A$2:$R$1272,3,FALSE)+IF(ISNA(VLOOKUP($A1236,'Mutasi Neraca'!$A$3:$S$910,3,FALSE)),0,VLOOKUP($A1236,'Mutasi Neraca'!$A$3:$S$910,3,FALSE))</f>
        <v>0</v>
      </c>
      <c r="E1236" s="42">
        <f>VLOOKUP($A1236,'Neraca Unaudited SIMAK'!$A$2:$R$1272,4,FALSE)+IF(ISNA(VLOOKUP($A1236,'Mutasi Neraca'!$A$3:$S$910,4,FALSE)),0,VLOOKUP($A1236,'Mutasi Neraca'!$A$3:$S$910,4,FALSE))</f>
        <v>0</v>
      </c>
      <c r="F1236" s="42">
        <f>VLOOKUP($A1236,'Neraca Unaudited SIMAK'!$A$2:$R$1272,5,FALSE)+IF(ISNA(VLOOKUP($A1236,'Mutasi Neraca'!$A$3:$S$910,5,FALSE)),0,VLOOKUP($A1236,'Mutasi Neraca'!$A$3:$S$910,5,FALSE))</f>
        <v>0</v>
      </c>
      <c r="G1236" s="42">
        <f>VLOOKUP($A1236,'Neraca Unaudited SIMAK'!$A$2:$R$1272,6,FALSE)+IF(ISNA(VLOOKUP($A1236,'Mutasi Neraca'!$A$3:$S$910,6,FALSE)),0,VLOOKUP($A1236,'Mutasi Neraca'!$A$3:$S$910,6,FALSE))</f>
        <v>0</v>
      </c>
      <c r="H1236" s="42">
        <f>VLOOKUP($A1236,'Neraca Unaudited SIMAK'!$A$2:$R$1272,7,FALSE)+IF(ISNA(VLOOKUP($A1236,'Mutasi Neraca'!$A$3:$S$910,7,FALSE)),0,VLOOKUP($A1236,'Mutasi Neraca'!$A$3:$S$910,7,FALSE))</f>
        <v>0</v>
      </c>
      <c r="I1236" s="42">
        <f>VLOOKUP($A1236,'Neraca Unaudited SIMAK'!$A$2:$R$1272,8,FALSE)+IF(ISNA(VLOOKUP($A1236,'Mutasi Neraca'!$A$3:$S$910,8,FALSE)),0,VLOOKUP($A1236,'Mutasi Neraca'!$A$3:$S$910,8,FALSE))</f>
        <v>0</v>
      </c>
      <c r="J1236" s="42">
        <f>VLOOKUP($A1236,'Neraca Unaudited SIMAK'!$A$2:$R$1272,9,FALSE)+IF(ISNA(VLOOKUP($A1236,'Mutasi Neraca'!$A$3:$S$910,9,FALSE)),0,VLOOKUP($A1236,'Mutasi Neraca'!$A$3:$S$910,9,FALSE))</f>
        <v>0</v>
      </c>
      <c r="K1236" s="42">
        <f>VLOOKUP($A1236,'Neraca Unaudited SIMAK'!$A$2:$R$1272,10,FALSE)+IF(ISNA(VLOOKUP($A1236,'Mutasi Neraca'!$A$3:$S$910,10,FALSE)),0,VLOOKUP($A1236,'Mutasi Neraca'!$A$3:$S$910,10,FALSE))</f>
        <v>0</v>
      </c>
      <c r="L1236" s="42">
        <f>VLOOKUP($A1236,'Neraca Unaudited SIMAK'!$A$2:$R$1272,11,FALSE)+IF(ISNA(VLOOKUP($A1236,'Mutasi Neraca'!$A$3:$S$910,11,FALSE)),0,VLOOKUP($A1236,'Mutasi Neraca'!$A$3:$S$910,11,FALSE))</f>
        <v>0</v>
      </c>
      <c r="M1236" s="42">
        <f>VLOOKUP($A1236,'Neraca Unaudited SIMAK'!$A$2:$R$1272,12,FALSE)+IF(ISNA(VLOOKUP($A1236,'Mutasi Neraca'!$A$3:$S$910,12,FALSE)),0,VLOOKUP($A1236,'Mutasi Neraca'!$A$3:$S$910,12,FALSE))</f>
        <v>0</v>
      </c>
      <c r="N1236" s="42">
        <f>VLOOKUP($A1236,'Neraca Unaudited SIMAK'!$A$2:$R$1272,13,FALSE)+IF(ISNA(VLOOKUP($A1236,'Mutasi Neraca'!$A$3:$S$910,13,FALSE)),0,VLOOKUP($A1236,'Mutasi Neraca'!$A$3:$S$910,13,FALSE))</f>
        <v>0</v>
      </c>
      <c r="O1236" s="42">
        <f>VLOOKUP($A1236,'Neraca Unaudited SIMAK'!$A$2:$R$1272,14,FALSE)+IF(ISNA(VLOOKUP($A1236,'Mutasi Neraca'!$A$3:$S$910,14,FALSE)),0,VLOOKUP($A1236,'Mutasi Neraca'!$A$3:$S$910,14,FALSE))</f>
        <v>0</v>
      </c>
      <c r="P1236" s="42">
        <f>VLOOKUP($A1236,'Neraca Unaudited SIMAK'!$A$2:$R$1272,15,FALSE)+IF(ISNA(VLOOKUP($A1236,'Mutasi Neraca'!$A$3:$S$910,15,FALSE)),0,VLOOKUP($A1236,'Mutasi Neraca'!$A$3:$S$910,15,FALSE))</f>
        <v>0</v>
      </c>
      <c r="Q1236" s="42">
        <f>VLOOKUP($A1236,'Neraca Unaudited SIMAK'!$A$2:$R$1272,16,FALSE)+IF(ISNA(VLOOKUP($A1236,'Mutasi Neraca'!$A$3:$S$910,16,FALSE)),0,VLOOKUP($A1236,'Mutasi Neraca'!$A$3:$S$910,16,FALSE))</f>
        <v>0</v>
      </c>
      <c r="R1236" s="42">
        <f>VLOOKUP($A1236,'Neraca Unaudited SIMAK'!$A$2:$R$1272,17,FALSE)+IF(ISNA(VLOOKUP($A1236,'Mutasi Neraca'!$A$3:$S$910,17,FALSE)),0,VLOOKUP($A1236,'Mutasi Neraca'!$A$3:$S$910,17,FALSE))</f>
        <v>0</v>
      </c>
      <c r="S1236" s="42">
        <f t="shared" si="81"/>
        <v>0</v>
      </c>
    </row>
    <row r="1237" spans="1:19">
      <c r="A1237" s="41" t="s">
        <v>2080</v>
      </c>
      <c r="B1237" s="41" t="str">
        <f t="shared" si="80"/>
        <v>005050600</v>
      </c>
      <c r="D1237" s="42">
        <f>VLOOKUP($A1237,'Neraca Unaudited SIMAK'!$A$2:$R$1272,3,FALSE)+IF(ISNA(VLOOKUP($A1237,'Mutasi Neraca'!$A$3:$S$910,3,FALSE)),0,VLOOKUP($A1237,'Mutasi Neraca'!$A$3:$S$910,3,FALSE))</f>
        <v>94300</v>
      </c>
      <c r="E1237" s="42">
        <f>VLOOKUP($A1237,'Neraca Unaudited SIMAK'!$A$2:$R$1272,4,FALSE)+IF(ISNA(VLOOKUP($A1237,'Mutasi Neraca'!$A$3:$S$910,4,FALSE)),0,VLOOKUP($A1237,'Mutasi Neraca'!$A$3:$S$910,4,FALSE))</f>
        <v>0</v>
      </c>
      <c r="F1237" s="42">
        <f>VLOOKUP($A1237,'Neraca Unaudited SIMAK'!$A$2:$R$1272,5,FALSE)+IF(ISNA(VLOOKUP($A1237,'Mutasi Neraca'!$A$3:$S$910,5,FALSE)),0,VLOOKUP($A1237,'Mutasi Neraca'!$A$3:$S$910,5,FALSE))</f>
        <v>0</v>
      </c>
      <c r="G1237" s="42">
        <f>VLOOKUP($A1237,'Neraca Unaudited SIMAK'!$A$2:$R$1272,6,FALSE)+IF(ISNA(VLOOKUP($A1237,'Mutasi Neraca'!$A$3:$S$910,6,FALSE)),0,VLOOKUP($A1237,'Mutasi Neraca'!$A$3:$S$910,6,FALSE))</f>
        <v>0</v>
      </c>
      <c r="H1237" s="42">
        <f>VLOOKUP($A1237,'Neraca Unaudited SIMAK'!$A$2:$R$1272,7,FALSE)+IF(ISNA(VLOOKUP($A1237,'Mutasi Neraca'!$A$3:$S$910,7,FALSE)),0,VLOOKUP($A1237,'Mutasi Neraca'!$A$3:$S$910,7,FALSE))</f>
        <v>0</v>
      </c>
      <c r="I1237" s="42">
        <f>VLOOKUP($A1237,'Neraca Unaudited SIMAK'!$A$2:$R$1272,8,FALSE)+IF(ISNA(VLOOKUP($A1237,'Mutasi Neraca'!$A$3:$S$910,8,FALSE)),0,VLOOKUP($A1237,'Mutasi Neraca'!$A$3:$S$910,8,FALSE))</f>
        <v>0</v>
      </c>
      <c r="J1237" s="42">
        <f>VLOOKUP($A1237,'Neraca Unaudited SIMAK'!$A$2:$R$1272,9,FALSE)+IF(ISNA(VLOOKUP($A1237,'Mutasi Neraca'!$A$3:$S$910,9,FALSE)),0,VLOOKUP($A1237,'Mutasi Neraca'!$A$3:$S$910,9,FALSE))</f>
        <v>0</v>
      </c>
      <c r="K1237" s="42">
        <f>VLOOKUP($A1237,'Neraca Unaudited SIMAK'!$A$2:$R$1272,10,FALSE)+IF(ISNA(VLOOKUP($A1237,'Mutasi Neraca'!$A$3:$S$910,10,FALSE)),0,VLOOKUP($A1237,'Mutasi Neraca'!$A$3:$S$910,10,FALSE))</f>
        <v>0</v>
      </c>
      <c r="L1237" s="42">
        <f>VLOOKUP($A1237,'Neraca Unaudited SIMAK'!$A$2:$R$1272,11,FALSE)+IF(ISNA(VLOOKUP($A1237,'Mutasi Neraca'!$A$3:$S$910,11,FALSE)),0,VLOOKUP($A1237,'Mutasi Neraca'!$A$3:$S$910,11,FALSE))</f>
        <v>0</v>
      </c>
      <c r="M1237" s="42">
        <f>VLOOKUP($A1237,'Neraca Unaudited SIMAK'!$A$2:$R$1272,12,FALSE)+IF(ISNA(VLOOKUP($A1237,'Mutasi Neraca'!$A$3:$S$910,12,FALSE)),0,VLOOKUP($A1237,'Mutasi Neraca'!$A$3:$S$910,12,FALSE))</f>
        <v>94300</v>
      </c>
      <c r="N1237" s="42">
        <f>VLOOKUP($A1237,'Neraca Unaudited SIMAK'!$A$2:$R$1272,13,FALSE)+IF(ISNA(VLOOKUP($A1237,'Mutasi Neraca'!$A$3:$S$910,13,FALSE)),0,VLOOKUP($A1237,'Mutasi Neraca'!$A$3:$S$910,13,FALSE))</f>
        <v>0</v>
      </c>
      <c r="O1237" s="42">
        <f>VLOOKUP($A1237,'Neraca Unaudited SIMAK'!$A$2:$R$1272,14,FALSE)+IF(ISNA(VLOOKUP($A1237,'Mutasi Neraca'!$A$3:$S$910,14,FALSE)),0,VLOOKUP($A1237,'Mutasi Neraca'!$A$3:$S$910,14,FALSE))</f>
        <v>0</v>
      </c>
      <c r="P1237" s="42">
        <f>VLOOKUP($A1237,'Neraca Unaudited SIMAK'!$A$2:$R$1272,15,FALSE)+IF(ISNA(VLOOKUP($A1237,'Mutasi Neraca'!$A$3:$S$910,15,FALSE)),0,VLOOKUP($A1237,'Mutasi Neraca'!$A$3:$S$910,15,FALSE))</f>
        <v>0</v>
      </c>
      <c r="Q1237" s="42">
        <f>VLOOKUP($A1237,'Neraca Unaudited SIMAK'!$A$2:$R$1272,16,FALSE)+IF(ISNA(VLOOKUP($A1237,'Mutasi Neraca'!$A$3:$S$910,16,FALSE)),0,VLOOKUP($A1237,'Mutasi Neraca'!$A$3:$S$910,16,FALSE))</f>
        <v>0</v>
      </c>
      <c r="R1237" s="42">
        <f>VLOOKUP($A1237,'Neraca Unaudited SIMAK'!$A$2:$R$1272,17,FALSE)+IF(ISNA(VLOOKUP($A1237,'Mutasi Neraca'!$A$3:$S$910,17,FALSE)),0,VLOOKUP($A1237,'Mutasi Neraca'!$A$3:$S$910,17,FALSE))</f>
        <v>0</v>
      </c>
      <c r="S1237" s="42">
        <f t="shared" si="81"/>
        <v>94300</v>
      </c>
    </row>
    <row r="1238" spans="1:19">
      <c r="A1238" s="41" t="s">
        <v>1139</v>
      </c>
      <c r="B1238" s="41" t="str">
        <f t="shared" si="80"/>
        <v>005050600</v>
      </c>
      <c r="D1238" s="42">
        <f>VLOOKUP($A1238,'Neraca Unaudited SIMAK'!$A$2:$R$1272,3,FALSE)+IF(ISNA(VLOOKUP($A1238,'Mutasi Neraca'!$A$3:$S$910,3,FALSE)),0,VLOOKUP($A1238,'Mutasi Neraca'!$A$3:$S$910,3,FALSE))</f>
        <v>5508450</v>
      </c>
      <c r="E1238" s="42">
        <f>VLOOKUP($A1238,'Neraca Unaudited SIMAK'!$A$2:$R$1272,4,FALSE)+IF(ISNA(VLOOKUP($A1238,'Mutasi Neraca'!$A$3:$S$910,4,FALSE)),0,VLOOKUP($A1238,'Mutasi Neraca'!$A$3:$S$910,4,FALSE))</f>
        <v>0</v>
      </c>
      <c r="F1238" s="42">
        <f>VLOOKUP($A1238,'Neraca Unaudited SIMAK'!$A$2:$R$1272,5,FALSE)+IF(ISNA(VLOOKUP($A1238,'Mutasi Neraca'!$A$3:$S$910,5,FALSE)),0,VLOOKUP($A1238,'Mutasi Neraca'!$A$3:$S$910,5,FALSE))</f>
        <v>0</v>
      </c>
      <c r="G1238" s="42">
        <f>VLOOKUP($A1238,'Neraca Unaudited SIMAK'!$A$2:$R$1272,6,FALSE)+IF(ISNA(VLOOKUP($A1238,'Mutasi Neraca'!$A$3:$S$910,6,FALSE)),0,VLOOKUP($A1238,'Mutasi Neraca'!$A$3:$S$910,6,FALSE))</f>
        <v>0</v>
      </c>
      <c r="H1238" s="42">
        <f>VLOOKUP($A1238,'Neraca Unaudited SIMAK'!$A$2:$R$1272,7,FALSE)+IF(ISNA(VLOOKUP($A1238,'Mutasi Neraca'!$A$3:$S$910,7,FALSE)),0,VLOOKUP($A1238,'Mutasi Neraca'!$A$3:$S$910,7,FALSE))</f>
        <v>0</v>
      </c>
      <c r="I1238" s="42">
        <f>VLOOKUP($A1238,'Neraca Unaudited SIMAK'!$A$2:$R$1272,8,FALSE)+IF(ISNA(VLOOKUP($A1238,'Mutasi Neraca'!$A$3:$S$910,8,FALSE)),0,VLOOKUP($A1238,'Mutasi Neraca'!$A$3:$S$910,8,FALSE))</f>
        <v>0</v>
      </c>
      <c r="J1238" s="42">
        <f>VLOOKUP($A1238,'Neraca Unaudited SIMAK'!$A$2:$R$1272,9,FALSE)+IF(ISNA(VLOOKUP($A1238,'Mutasi Neraca'!$A$3:$S$910,9,FALSE)),0,VLOOKUP($A1238,'Mutasi Neraca'!$A$3:$S$910,9,FALSE))</f>
        <v>0</v>
      </c>
      <c r="K1238" s="42">
        <f>VLOOKUP($A1238,'Neraca Unaudited SIMAK'!$A$2:$R$1272,10,FALSE)+IF(ISNA(VLOOKUP($A1238,'Mutasi Neraca'!$A$3:$S$910,10,FALSE)),0,VLOOKUP($A1238,'Mutasi Neraca'!$A$3:$S$910,10,FALSE))</f>
        <v>0</v>
      </c>
      <c r="L1238" s="42">
        <f>VLOOKUP($A1238,'Neraca Unaudited SIMAK'!$A$2:$R$1272,11,FALSE)+IF(ISNA(VLOOKUP($A1238,'Mutasi Neraca'!$A$3:$S$910,11,FALSE)),0,VLOOKUP($A1238,'Mutasi Neraca'!$A$3:$S$910,11,FALSE))</f>
        <v>0</v>
      </c>
      <c r="M1238" s="42">
        <f>VLOOKUP($A1238,'Neraca Unaudited SIMAK'!$A$2:$R$1272,12,FALSE)+IF(ISNA(VLOOKUP($A1238,'Mutasi Neraca'!$A$3:$S$910,12,FALSE)),0,VLOOKUP($A1238,'Mutasi Neraca'!$A$3:$S$910,12,FALSE))</f>
        <v>5508450</v>
      </c>
      <c r="N1238" s="42">
        <f>VLOOKUP($A1238,'Neraca Unaudited SIMAK'!$A$2:$R$1272,13,FALSE)+IF(ISNA(VLOOKUP($A1238,'Mutasi Neraca'!$A$3:$S$910,13,FALSE)),0,VLOOKUP($A1238,'Mutasi Neraca'!$A$3:$S$910,13,FALSE))</f>
        <v>0</v>
      </c>
      <c r="O1238" s="42">
        <f>VLOOKUP($A1238,'Neraca Unaudited SIMAK'!$A$2:$R$1272,14,FALSE)+IF(ISNA(VLOOKUP($A1238,'Mutasi Neraca'!$A$3:$S$910,14,FALSE)),0,VLOOKUP($A1238,'Mutasi Neraca'!$A$3:$S$910,14,FALSE))</f>
        <v>0</v>
      </c>
      <c r="P1238" s="42">
        <f>VLOOKUP($A1238,'Neraca Unaudited SIMAK'!$A$2:$R$1272,15,FALSE)+IF(ISNA(VLOOKUP($A1238,'Mutasi Neraca'!$A$3:$S$910,15,FALSE)),0,VLOOKUP($A1238,'Mutasi Neraca'!$A$3:$S$910,15,FALSE))</f>
        <v>0</v>
      </c>
      <c r="Q1238" s="42">
        <f>VLOOKUP($A1238,'Neraca Unaudited SIMAK'!$A$2:$R$1272,16,FALSE)+IF(ISNA(VLOOKUP($A1238,'Mutasi Neraca'!$A$3:$S$910,16,FALSE)),0,VLOOKUP($A1238,'Mutasi Neraca'!$A$3:$S$910,16,FALSE))</f>
        <v>0</v>
      </c>
      <c r="R1238" s="42">
        <f>VLOOKUP($A1238,'Neraca Unaudited SIMAK'!$A$2:$R$1272,17,FALSE)+IF(ISNA(VLOOKUP($A1238,'Mutasi Neraca'!$A$3:$S$910,17,FALSE)),0,VLOOKUP($A1238,'Mutasi Neraca'!$A$3:$S$910,17,FALSE))</f>
        <v>0</v>
      </c>
      <c r="S1238" s="42">
        <f t="shared" si="81"/>
        <v>5508450</v>
      </c>
    </row>
    <row r="1239" spans="1:19">
      <c r="A1239" s="41" t="s">
        <v>1140</v>
      </c>
      <c r="B1239" s="41" t="str">
        <f t="shared" si="80"/>
        <v>005050700</v>
      </c>
      <c r="D1239" s="42">
        <f>VLOOKUP($A1239,'Neraca Unaudited SIMAK'!$A$2:$R$1272,3,FALSE)+IF(ISNA(VLOOKUP($A1239,'Mutasi Neraca'!$A$3:$S$910,3,FALSE)),0,VLOOKUP($A1239,'Mutasi Neraca'!$A$3:$S$910,3,FALSE))</f>
        <v>0</v>
      </c>
      <c r="E1239" s="42">
        <f>VLOOKUP($A1239,'Neraca Unaudited SIMAK'!$A$2:$R$1272,4,FALSE)+IF(ISNA(VLOOKUP($A1239,'Mutasi Neraca'!$A$3:$S$910,4,FALSE)),0,VLOOKUP($A1239,'Mutasi Neraca'!$A$3:$S$910,4,FALSE))</f>
        <v>0</v>
      </c>
      <c r="F1239" s="42">
        <f>VLOOKUP($A1239,'Neraca Unaudited SIMAK'!$A$2:$R$1272,5,FALSE)+IF(ISNA(VLOOKUP($A1239,'Mutasi Neraca'!$A$3:$S$910,5,FALSE)),0,VLOOKUP($A1239,'Mutasi Neraca'!$A$3:$S$910,5,FALSE))</f>
        <v>0</v>
      </c>
      <c r="G1239" s="42">
        <f>VLOOKUP($A1239,'Neraca Unaudited SIMAK'!$A$2:$R$1272,6,FALSE)+IF(ISNA(VLOOKUP($A1239,'Mutasi Neraca'!$A$3:$S$910,6,FALSE)),0,VLOOKUP($A1239,'Mutasi Neraca'!$A$3:$S$910,6,FALSE))</f>
        <v>0</v>
      </c>
      <c r="H1239" s="42">
        <f>VLOOKUP($A1239,'Neraca Unaudited SIMAK'!$A$2:$R$1272,7,FALSE)+IF(ISNA(VLOOKUP($A1239,'Mutasi Neraca'!$A$3:$S$910,7,FALSE)),0,VLOOKUP($A1239,'Mutasi Neraca'!$A$3:$S$910,7,FALSE))</f>
        <v>0</v>
      </c>
      <c r="I1239" s="42">
        <f>VLOOKUP($A1239,'Neraca Unaudited SIMAK'!$A$2:$R$1272,8,FALSE)+IF(ISNA(VLOOKUP($A1239,'Mutasi Neraca'!$A$3:$S$910,8,FALSE)),0,VLOOKUP($A1239,'Mutasi Neraca'!$A$3:$S$910,8,FALSE))</f>
        <v>0</v>
      </c>
      <c r="J1239" s="42">
        <f>VLOOKUP($A1239,'Neraca Unaudited SIMAK'!$A$2:$R$1272,9,FALSE)+IF(ISNA(VLOOKUP($A1239,'Mutasi Neraca'!$A$3:$S$910,9,FALSE)),0,VLOOKUP($A1239,'Mutasi Neraca'!$A$3:$S$910,9,FALSE))</f>
        <v>0</v>
      </c>
      <c r="K1239" s="42">
        <f>VLOOKUP($A1239,'Neraca Unaudited SIMAK'!$A$2:$R$1272,10,FALSE)+IF(ISNA(VLOOKUP($A1239,'Mutasi Neraca'!$A$3:$S$910,10,FALSE)),0,VLOOKUP($A1239,'Mutasi Neraca'!$A$3:$S$910,10,FALSE))</f>
        <v>0</v>
      </c>
      <c r="L1239" s="42">
        <f>VLOOKUP($A1239,'Neraca Unaudited SIMAK'!$A$2:$R$1272,11,FALSE)+IF(ISNA(VLOOKUP($A1239,'Mutasi Neraca'!$A$3:$S$910,11,FALSE)),0,VLOOKUP($A1239,'Mutasi Neraca'!$A$3:$S$910,11,FALSE))</f>
        <v>0</v>
      </c>
      <c r="M1239" s="42">
        <f>VLOOKUP($A1239,'Neraca Unaudited SIMAK'!$A$2:$R$1272,12,FALSE)+IF(ISNA(VLOOKUP($A1239,'Mutasi Neraca'!$A$3:$S$910,12,FALSE)),0,VLOOKUP($A1239,'Mutasi Neraca'!$A$3:$S$910,12,FALSE))</f>
        <v>0</v>
      </c>
      <c r="N1239" s="42">
        <f>VLOOKUP($A1239,'Neraca Unaudited SIMAK'!$A$2:$R$1272,13,FALSE)+IF(ISNA(VLOOKUP($A1239,'Mutasi Neraca'!$A$3:$S$910,13,FALSE)),0,VLOOKUP($A1239,'Mutasi Neraca'!$A$3:$S$910,13,FALSE))</f>
        <v>0</v>
      </c>
      <c r="O1239" s="42">
        <f>VLOOKUP($A1239,'Neraca Unaudited SIMAK'!$A$2:$R$1272,14,FALSE)+IF(ISNA(VLOOKUP($A1239,'Mutasi Neraca'!$A$3:$S$910,14,FALSE)),0,VLOOKUP($A1239,'Mutasi Neraca'!$A$3:$S$910,14,FALSE))</f>
        <v>0</v>
      </c>
      <c r="P1239" s="42">
        <f>VLOOKUP($A1239,'Neraca Unaudited SIMAK'!$A$2:$R$1272,15,FALSE)+IF(ISNA(VLOOKUP($A1239,'Mutasi Neraca'!$A$3:$S$910,15,FALSE)),0,VLOOKUP($A1239,'Mutasi Neraca'!$A$3:$S$910,15,FALSE))</f>
        <v>0</v>
      </c>
      <c r="Q1239" s="42">
        <f>VLOOKUP($A1239,'Neraca Unaudited SIMAK'!$A$2:$R$1272,16,FALSE)+IF(ISNA(VLOOKUP($A1239,'Mutasi Neraca'!$A$3:$S$910,16,FALSE)),0,VLOOKUP($A1239,'Mutasi Neraca'!$A$3:$S$910,16,FALSE))</f>
        <v>0</v>
      </c>
      <c r="R1239" s="42">
        <f>VLOOKUP($A1239,'Neraca Unaudited SIMAK'!$A$2:$R$1272,17,FALSE)+IF(ISNA(VLOOKUP($A1239,'Mutasi Neraca'!$A$3:$S$910,17,FALSE)),0,VLOOKUP($A1239,'Mutasi Neraca'!$A$3:$S$910,17,FALSE))</f>
        <v>0</v>
      </c>
      <c r="S1239" s="42">
        <f t="shared" si="81"/>
        <v>0</v>
      </c>
    </row>
    <row r="1240" spans="1:19">
      <c r="A1240" s="41" t="s">
        <v>2279</v>
      </c>
      <c r="B1240" s="41" t="str">
        <f t="shared" si="80"/>
        <v>005050700</v>
      </c>
      <c r="D1240" s="42">
        <f>VLOOKUP($A1240,'Neraca Unaudited SIMAK'!$A$2:$R$1272,3,FALSE)+IF(ISNA(VLOOKUP($A1240,'Mutasi Neraca'!$A$3:$S$910,3,FALSE)),0,VLOOKUP($A1240,'Mutasi Neraca'!$A$3:$S$910,3,FALSE))</f>
        <v>1647500</v>
      </c>
      <c r="E1240" s="42">
        <f>VLOOKUP($A1240,'Neraca Unaudited SIMAK'!$A$2:$R$1272,4,FALSE)+IF(ISNA(VLOOKUP($A1240,'Mutasi Neraca'!$A$3:$S$910,4,FALSE)),0,VLOOKUP($A1240,'Mutasi Neraca'!$A$3:$S$910,4,FALSE))</f>
        <v>0</v>
      </c>
      <c r="F1240" s="42">
        <f>VLOOKUP($A1240,'Neraca Unaudited SIMAK'!$A$2:$R$1272,5,FALSE)+IF(ISNA(VLOOKUP($A1240,'Mutasi Neraca'!$A$3:$S$910,5,FALSE)),0,VLOOKUP($A1240,'Mutasi Neraca'!$A$3:$S$910,5,FALSE))</f>
        <v>0</v>
      </c>
      <c r="G1240" s="42">
        <f>VLOOKUP($A1240,'Neraca Unaudited SIMAK'!$A$2:$R$1272,6,FALSE)+IF(ISNA(VLOOKUP($A1240,'Mutasi Neraca'!$A$3:$S$910,6,FALSE)),0,VLOOKUP($A1240,'Mutasi Neraca'!$A$3:$S$910,6,FALSE))</f>
        <v>0</v>
      </c>
      <c r="H1240" s="42">
        <f>VLOOKUP($A1240,'Neraca Unaudited SIMAK'!$A$2:$R$1272,7,FALSE)+IF(ISNA(VLOOKUP($A1240,'Mutasi Neraca'!$A$3:$S$910,7,FALSE)),0,VLOOKUP($A1240,'Mutasi Neraca'!$A$3:$S$910,7,FALSE))</f>
        <v>0</v>
      </c>
      <c r="I1240" s="42">
        <f>VLOOKUP($A1240,'Neraca Unaudited SIMAK'!$A$2:$R$1272,8,FALSE)+IF(ISNA(VLOOKUP($A1240,'Mutasi Neraca'!$A$3:$S$910,8,FALSE)),0,VLOOKUP($A1240,'Mutasi Neraca'!$A$3:$S$910,8,FALSE))</f>
        <v>0</v>
      </c>
      <c r="J1240" s="42">
        <f>VLOOKUP($A1240,'Neraca Unaudited SIMAK'!$A$2:$R$1272,9,FALSE)+IF(ISNA(VLOOKUP($A1240,'Mutasi Neraca'!$A$3:$S$910,9,FALSE)),0,VLOOKUP($A1240,'Mutasi Neraca'!$A$3:$S$910,9,FALSE))</f>
        <v>0</v>
      </c>
      <c r="K1240" s="42">
        <f>VLOOKUP($A1240,'Neraca Unaudited SIMAK'!$A$2:$R$1272,10,FALSE)+IF(ISNA(VLOOKUP($A1240,'Mutasi Neraca'!$A$3:$S$910,10,FALSE)),0,VLOOKUP($A1240,'Mutasi Neraca'!$A$3:$S$910,10,FALSE))</f>
        <v>0</v>
      </c>
      <c r="L1240" s="42">
        <f>VLOOKUP($A1240,'Neraca Unaudited SIMAK'!$A$2:$R$1272,11,FALSE)+IF(ISNA(VLOOKUP($A1240,'Mutasi Neraca'!$A$3:$S$910,11,FALSE)),0,VLOOKUP($A1240,'Mutasi Neraca'!$A$3:$S$910,11,FALSE))</f>
        <v>0</v>
      </c>
      <c r="M1240" s="42">
        <f>VLOOKUP($A1240,'Neraca Unaudited SIMAK'!$A$2:$R$1272,12,FALSE)+IF(ISNA(VLOOKUP($A1240,'Mutasi Neraca'!$A$3:$S$910,12,FALSE)),0,VLOOKUP($A1240,'Mutasi Neraca'!$A$3:$S$910,12,FALSE))</f>
        <v>1647500</v>
      </c>
      <c r="N1240" s="42">
        <f>VLOOKUP($A1240,'Neraca Unaudited SIMAK'!$A$2:$R$1272,13,FALSE)+IF(ISNA(VLOOKUP($A1240,'Mutasi Neraca'!$A$3:$S$910,13,FALSE)),0,VLOOKUP($A1240,'Mutasi Neraca'!$A$3:$S$910,13,FALSE))</f>
        <v>0</v>
      </c>
      <c r="O1240" s="42">
        <f>VLOOKUP($A1240,'Neraca Unaudited SIMAK'!$A$2:$R$1272,14,FALSE)+IF(ISNA(VLOOKUP($A1240,'Mutasi Neraca'!$A$3:$S$910,14,FALSE)),0,VLOOKUP($A1240,'Mutasi Neraca'!$A$3:$S$910,14,FALSE))</f>
        <v>0</v>
      </c>
      <c r="P1240" s="42">
        <f>VLOOKUP($A1240,'Neraca Unaudited SIMAK'!$A$2:$R$1272,15,FALSE)+IF(ISNA(VLOOKUP($A1240,'Mutasi Neraca'!$A$3:$S$910,15,FALSE)),0,VLOOKUP($A1240,'Mutasi Neraca'!$A$3:$S$910,15,FALSE))</f>
        <v>0</v>
      </c>
      <c r="Q1240" s="42">
        <f>VLOOKUP($A1240,'Neraca Unaudited SIMAK'!$A$2:$R$1272,16,FALSE)+IF(ISNA(VLOOKUP($A1240,'Mutasi Neraca'!$A$3:$S$910,16,FALSE)),0,VLOOKUP($A1240,'Mutasi Neraca'!$A$3:$S$910,16,FALSE))</f>
        <v>0</v>
      </c>
      <c r="R1240" s="42">
        <f>VLOOKUP($A1240,'Neraca Unaudited SIMAK'!$A$2:$R$1272,17,FALSE)+IF(ISNA(VLOOKUP($A1240,'Mutasi Neraca'!$A$3:$S$910,17,FALSE)),0,VLOOKUP($A1240,'Mutasi Neraca'!$A$3:$S$910,17,FALSE))</f>
        <v>0</v>
      </c>
      <c r="S1240" s="42">
        <f t="shared" si="81"/>
        <v>1647500</v>
      </c>
    </row>
    <row r="1241" spans="1:19">
      <c r="A1241" s="41" t="s">
        <v>2081</v>
      </c>
      <c r="B1241" s="41" t="str">
        <f t="shared" si="80"/>
        <v>005050700</v>
      </c>
      <c r="D1241" s="42">
        <f>VLOOKUP($A1241,'Neraca Unaudited SIMAK'!$A$2:$R$1272,3,FALSE)+IF(ISNA(VLOOKUP($A1241,'Mutasi Neraca'!$A$3:$S$910,3,FALSE)),0,VLOOKUP($A1241,'Mutasi Neraca'!$A$3:$S$910,3,FALSE))</f>
        <v>0</v>
      </c>
      <c r="E1241" s="42">
        <f>VLOOKUP($A1241,'Neraca Unaudited SIMAK'!$A$2:$R$1272,4,FALSE)+IF(ISNA(VLOOKUP($A1241,'Mutasi Neraca'!$A$3:$S$910,4,FALSE)),0,VLOOKUP($A1241,'Mutasi Neraca'!$A$3:$S$910,4,FALSE))</f>
        <v>0</v>
      </c>
      <c r="F1241" s="42">
        <f>VLOOKUP($A1241,'Neraca Unaudited SIMAK'!$A$2:$R$1272,5,FALSE)+IF(ISNA(VLOOKUP($A1241,'Mutasi Neraca'!$A$3:$S$910,5,FALSE)),0,VLOOKUP($A1241,'Mutasi Neraca'!$A$3:$S$910,5,FALSE))</f>
        <v>0</v>
      </c>
      <c r="G1241" s="42">
        <f>VLOOKUP($A1241,'Neraca Unaudited SIMAK'!$A$2:$R$1272,6,FALSE)+IF(ISNA(VLOOKUP($A1241,'Mutasi Neraca'!$A$3:$S$910,6,FALSE)),0,VLOOKUP($A1241,'Mutasi Neraca'!$A$3:$S$910,6,FALSE))</f>
        <v>0</v>
      </c>
      <c r="H1241" s="42">
        <f>VLOOKUP($A1241,'Neraca Unaudited SIMAK'!$A$2:$R$1272,7,FALSE)+IF(ISNA(VLOOKUP($A1241,'Mutasi Neraca'!$A$3:$S$910,7,FALSE)),0,VLOOKUP($A1241,'Mutasi Neraca'!$A$3:$S$910,7,FALSE))</f>
        <v>0</v>
      </c>
      <c r="I1241" s="42">
        <f>VLOOKUP($A1241,'Neraca Unaudited SIMAK'!$A$2:$R$1272,8,FALSE)+IF(ISNA(VLOOKUP($A1241,'Mutasi Neraca'!$A$3:$S$910,8,FALSE)),0,VLOOKUP($A1241,'Mutasi Neraca'!$A$3:$S$910,8,FALSE))</f>
        <v>0</v>
      </c>
      <c r="J1241" s="42">
        <f>VLOOKUP($A1241,'Neraca Unaudited SIMAK'!$A$2:$R$1272,9,FALSE)+IF(ISNA(VLOOKUP($A1241,'Mutasi Neraca'!$A$3:$S$910,9,FALSE)),0,VLOOKUP($A1241,'Mutasi Neraca'!$A$3:$S$910,9,FALSE))</f>
        <v>0</v>
      </c>
      <c r="K1241" s="42">
        <f>VLOOKUP($A1241,'Neraca Unaudited SIMAK'!$A$2:$R$1272,10,FALSE)+IF(ISNA(VLOOKUP($A1241,'Mutasi Neraca'!$A$3:$S$910,10,FALSE)),0,VLOOKUP($A1241,'Mutasi Neraca'!$A$3:$S$910,10,FALSE))</f>
        <v>0</v>
      </c>
      <c r="L1241" s="42">
        <f>VLOOKUP($A1241,'Neraca Unaudited SIMAK'!$A$2:$R$1272,11,FALSE)+IF(ISNA(VLOOKUP($A1241,'Mutasi Neraca'!$A$3:$S$910,11,FALSE)),0,VLOOKUP($A1241,'Mutasi Neraca'!$A$3:$S$910,11,FALSE))</f>
        <v>0</v>
      </c>
      <c r="M1241" s="42">
        <f>VLOOKUP($A1241,'Neraca Unaudited SIMAK'!$A$2:$R$1272,12,FALSE)+IF(ISNA(VLOOKUP($A1241,'Mutasi Neraca'!$A$3:$S$910,12,FALSE)),0,VLOOKUP($A1241,'Mutasi Neraca'!$A$3:$S$910,12,FALSE))</f>
        <v>0</v>
      </c>
      <c r="N1241" s="42">
        <f>VLOOKUP($A1241,'Neraca Unaudited SIMAK'!$A$2:$R$1272,13,FALSE)+IF(ISNA(VLOOKUP($A1241,'Mutasi Neraca'!$A$3:$S$910,13,FALSE)),0,VLOOKUP($A1241,'Mutasi Neraca'!$A$3:$S$910,13,FALSE))</f>
        <v>0</v>
      </c>
      <c r="O1241" s="42">
        <f>VLOOKUP($A1241,'Neraca Unaudited SIMAK'!$A$2:$R$1272,14,FALSE)+IF(ISNA(VLOOKUP($A1241,'Mutasi Neraca'!$A$3:$S$910,14,FALSE)),0,VLOOKUP($A1241,'Mutasi Neraca'!$A$3:$S$910,14,FALSE))</f>
        <v>0</v>
      </c>
      <c r="P1241" s="42">
        <f>VLOOKUP($A1241,'Neraca Unaudited SIMAK'!$A$2:$R$1272,15,FALSE)+IF(ISNA(VLOOKUP($A1241,'Mutasi Neraca'!$A$3:$S$910,15,FALSE)),0,VLOOKUP($A1241,'Mutasi Neraca'!$A$3:$S$910,15,FALSE))</f>
        <v>0</v>
      </c>
      <c r="Q1241" s="42">
        <f>VLOOKUP($A1241,'Neraca Unaudited SIMAK'!$A$2:$R$1272,16,FALSE)+IF(ISNA(VLOOKUP($A1241,'Mutasi Neraca'!$A$3:$S$910,16,FALSE)),0,VLOOKUP($A1241,'Mutasi Neraca'!$A$3:$S$910,16,FALSE))</f>
        <v>0</v>
      </c>
      <c r="R1241" s="42">
        <f>VLOOKUP($A1241,'Neraca Unaudited SIMAK'!$A$2:$R$1272,17,FALSE)+IF(ISNA(VLOOKUP($A1241,'Mutasi Neraca'!$A$3:$S$910,17,FALSE)),0,VLOOKUP($A1241,'Mutasi Neraca'!$A$3:$S$910,17,FALSE))</f>
        <v>0</v>
      </c>
      <c r="S1241" s="42">
        <f t="shared" si="81"/>
        <v>0</v>
      </c>
    </row>
    <row r="1242" spans="1:19">
      <c r="A1242" s="41" t="s">
        <v>1141</v>
      </c>
      <c r="B1242" s="41" t="str">
        <f t="shared" si="80"/>
        <v>005050700</v>
      </c>
      <c r="D1242" s="42">
        <f>VLOOKUP($A1242,'Neraca Unaudited SIMAK'!$A$2:$R$1272,3,FALSE)+IF(ISNA(VLOOKUP($A1242,'Mutasi Neraca'!$A$3:$S$910,3,FALSE)),0,VLOOKUP($A1242,'Mutasi Neraca'!$A$3:$S$910,3,FALSE))</f>
        <v>337000</v>
      </c>
      <c r="E1242" s="42">
        <f>VLOOKUP($A1242,'Neraca Unaudited SIMAK'!$A$2:$R$1272,4,FALSE)+IF(ISNA(VLOOKUP($A1242,'Mutasi Neraca'!$A$3:$S$910,4,FALSE)),0,VLOOKUP($A1242,'Mutasi Neraca'!$A$3:$S$910,4,FALSE))</f>
        <v>0</v>
      </c>
      <c r="F1242" s="42">
        <f>VLOOKUP($A1242,'Neraca Unaudited SIMAK'!$A$2:$R$1272,5,FALSE)+IF(ISNA(VLOOKUP($A1242,'Mutasi Neraca'!$A$3:$S$910,5,FALSE)),0,VLOOKUP($A1242,'Mutasi Neraca'!$A$3:$S$910,5,FALSE))</f>
        <v>0</v>
      </c>
      <c r="G1242" s="42">
        <f>VLOOKUP($A1242,'Neraca Unaudited SIMAK'!$A$2:$R$1272,6,FALSE)+IF(ISNA(VLOOKUP($A1242,'Mutasi Neraca'!$A$3:$S$910,6,FALSE)),0,VLOOKUP($A1242,'Mutasi Neraca'!$A$3:$S$910,6,FALSE))</f>
        <v>0</v>
      </c>
      <c r="H1242" s="42">
        <f>VLOOKUP($A1242,'Neraca Unaudited SIMAK'!$A$2:$R$1272,7,FALSE)+IF(ISNA(VLOOKUP($A1242,'Mutasi Neraca'!$A$3:$S$910,7,FALSE)),0,VLOOKUP($A1242,'Mutasi Neraca'!$A$3:$S$910,7,FALSE))</f>
        <v>0</v>
      </c>
      <c r="I1242" s="42">
        <f>VLOOKUP($A1242,'Neraca Unaudited SIMAK'!$A$2:$R$1272,8,FALSE)+IF(ISNA(VLOOKUP($A1242,'Mutasi Neraca'!$A$3:$S$910,8,FALSE)),0,VLOOKUP($A1242,'Mutasi Neraca'!$A$3:$S$910,8,FALSE))</f>
        <v>0</v>
      </c>
      <c r="J1242" s="42">
        <f>VLOOKUP($A1242,'Neraca Unaudited SIMAK'!$A$2:$R$1272,9,FALSE)+IF(ISNA(VLOOKUP($A1242,'Mutasi Neraca'!$A$3:$S$910,9,FALSE)),0,VLOOKUP($A1242,'Mutasi Neraca'!$A$3:$S$910,9,FALSE))</f>
        <v>0</v>
      </c>
      <c r="K1242" s="42">
        <f>VLOOKUP($A1242,'Neraca Unaudited SIMAK'!$A$2:$R$1272,10,FALSE)+IF(ISNA(VLOOKUP($A1242,'Mutasi Neraca'!$A$3:$S$910,10,FALSE)),0,VLOOKUP($A1242,'Mutasi Neraca'!$A$3:$S$910,10,FALSE))</f>
        <v>0</v>
      </c>
      <c r="L1242" s="42">
        <f>VLOOKUP($A1242,'Neraca Unaudited SIMAK'!$A$2:$R$1272,11,FALSE)+IF(ISNA(VLOOKUP($A1242,'Mutasi Neraca'!$A$3:$S$910,11,FALSE)),0,VLOOKUP($A1242,'Mutasi Neraca'!$A$3:$S$910,11,FALSE))</f>
        <v>0</v>
      </c>
      <c r="M1242" s="42">
        <f>VLOOKUP($A1242,'Neraca Unaudited SIMAK'!$A$2:$R$1272,12,FALSE)+IF(ISNA(VLOOKUP($A1242,'Mutasi Neraca'!$A$3:$S$910,12,FALSE)),0,VLOOKUP($A1242,'Mutasi Neraca'!$A$3:$S$910,12,FALSE))</f>
        <v>337000</v>
      </c>
      <c r="N1242" s="42">
        <f>VLOOKUP($A1242,'Neraca Unaudited SIMAK'!$A$2:$R$1272,13,FALSE)+IF(ISNA(VLOOKUP($A1242,'Mutasi Neraca'!$A$3:$S$910,13,FALSE)),0,VLOOKUP($A1242,'Mutasi Neraca'!$A$3:$S$910,13,FALSE))</f>
        <v>0</v>
      </c>
      <c r="O1242" s="42">
        <f>VLOOKUP($A1242,'Neraca Unaudited SIMAK'!$A$2:$R$1272,14,FALSE)+IF(ISNA(VLOOKUP($A1242,'Mutasi Neraca'!$A$3:$S$910,14,FALSE)),0,VLOOKUP($A1242,'Mutasi Neraca'!$A$3:$S$910,14,FALSE))</f>
        <v>0</v>
      </c>
      <c r="P1242" s="42">
        <f>VLOOKUP($A1242,'Neraca Unaudited SIMAK'!$A$2:$R$1272,15,FALSE)+IF(ISNA(VLOOKUP($A1242,'Mutasi Neraca'!$A$3:$S$910,15,FALSE)),0,VLOOKUP($A1242,'Mutasi Neraca'!$A$3:$S$910,15,FALSE))</f>
        <v>0</v>
      </c>
      <c r="Q1242" s="42">
        <f>VLOOKUP($A1242,'Neraca Unaudited SIMAK'!$A$2:$R$1272,16,FALSE)+IF(ISNA(VLOOKUP($A1242,'Mutasi Neraca'!$A$3:$S$910,16,FALSE)),0,VLOOKUP($A1242,'Mutasi Neraca'!$A$3:$S$910,16,FALSE))</f>
        <v>0</v>
      </c>
      <c r="R1242" s="42">
        <f>VLOOKUP($A1242,'Neraca Unaudited SIMAK'!$A$2:$R$1272,17,FALSE)+IF(ISNA(VLOOKUP($A1242,'Mutasi Neraca'!$A$3:$S$910,17,FALSE)),0,VLOOKUP($A1242,'Mutasi Neraca'!$A$3:$S$910,17,FALSE))</f>
        <v>0</v>
      </c>
      <c r="S1242" s="42">
        <f t="shared" si="81"/>
        <v>337000</v>
      </c>
    </row>
    <row r="1243" spans="1:19">
      <c r="A1243" s="41" t="s">
        <v>1142</v>
      </c>
      <c r="B1243" s="41" t="str">
        <f t="shared" si="80"/>
        <v>005050800</v>
      </c>
      <c r="D1243" s="42">
        <f>VLOOKUP($A1243,'Neraca Unaudited SIMAK'!$A$2:$R$1272,3,FALSE)+IF(ISNA(VLOOKUP($A1243,'Mutasi Neraca'!$A$3:$S$910,3,FALSE)),0,VLOOKUP($A1243,'Mutasi Neraca'!$A$3:$S$910,3,FALSE))</f>
        <v>260000</v>
      </c>
      <c r="E1243" s="42">
        <f>VLOOKUP($A1243,'Neraca Unaudited SIMAK'!$A$2:$R$1272,4,FALSE)+IF(ISNA(VLOOKUP($A1243,'Mutasi Neraca'!$A$3:$S$910,4,FALSE)),0,VLOOKUP($A1243,'Mutasi Neraca'!$A$3:$S$910,4,FALSE))</f>
        <v>0</v>
      </c>
      <c r="F1243" s="42">
        <f>VLOOKUP($A1243,'Neraca Unaudited SIMAK'!$A$2:$R$1272,5,FALSE)+IF(ISNA(VLOOKUP($A1243,'Mutasi Neraca'!$A$3:$S$910,5,FALSE)),0,VLOOKUP($A1243,'Mutasi Neraca'!$A$3:$S$910,5,FALSE))</f>
        <v>0</v>
      </c>
      <c r="G1243" s="42">
        <f>VLOOKUP($A1243,'Neraca Unaudited SIMAK'!$A$2:$R$1272,6,FALSE)+IF(ISNA(VLOOKUP($A1243,'Mutasi Neraca'!$A$3:$S$910,6,FALSE)),0,VLOOKUP($A1243,'Mutasi Neraca'!$A$3:$S$910,6,FALSE))</f>
        <v>0</v>
      </c>
      <c r="H1243" s="42">
        <f>VLOOKUP($A1243,'Neraca Unaudited SIMAK'!$A$2:$R$1272,7,FALSE)+IF(ISNA(VLOOKUP($A1243,'Mutasi Neraca'!$A$3:$S$910,7,FALSE)),0,VLOOKUP($A1243,'Mutasi Neraca'!$A$3:$S$910,7,FALSE))</f>
        <v>0</v>
      </c>
      <c r="I1243" s="42">
        <f>VLOOKUP($A1243,'Neraca Unaudited SIMAK'!$A$2:$R$1272,8,FALSE)+IF(ISNA(VLOOKUP($A1243,'Mutasi Neraca'!$A$3:$S$910,8,FALSE)),0,VLOOKUP($A1243,'Mutasi Neraca'!$A$3:$S$910,8,FALSE))</f>
        <v>0</v>
      </c>
      <c r="J1243" s="42">
        <f>VLOOKUP($A1243,'Neraca Unaudited SIMAK'!$A$2:$R$1272,9,FALSE)+IF(ISNA(VLOOKUP($A1243,'Mutasi Neraca'!$A$3:$S$910,9,FALSE)),0,VLOOKUP($A1243,'Mutasi Neraca'!$A$3:$S$910,9,FALSE))</f>
        <v>0</v>
      </c>
      <c r="K1243" s="42">
        <f>VLOOKUP($A1243,'Neraca Unaudited SIMAK'!$A$2:$R$1272,10,FALSE)+IF(ISNA(VLOOKUP($A1243,'Mutasi Neraca'!$A$3:$S$910,10,FALSE)),0,VLOOKUP($A1243,'Mutasi Neraca'!$A$3:$S$910,10,FALSE))</f>
        <v>0</v>
      </c>
      <c r="L1243" s="42">
        <f>VLOOKUP($A1243,'Neraca Unaudited SIMAK'!$A$2:$R$1272,11,FALSE)+IF(ISNA(VLOOKUP($A1243,'Mutasi Neraca'!$A$3:$S$910,11,FALSE)),0,VLOOKUP($A1243,'Mutasi Neraca'!$A$3:$S$910,11,FALSE))</f>
        <v>0</v>
      </c>
      <c r="M1243" s="42">
        <f>VLOOKUP($A1243,'Neraca Unaudited SIMAK'!$A$2:$R$1272,12,FALSE)+IF(ISNA(VLOOKUP($A1243,'Mutasi Neraca'!$A$3:$S$910,12,FALSE)),0,VLOOKUP($A1243,'Mutasi Neraca'!$A$3:$S$910,12,FALSE))</f>
        <v>260000</v>
      </c>
      <c r="N1243" s="42">
        <f>VLOOKUP($A1243,'Neraca Unaudited SIMAK'!$A$2:$R$1272,13,FALSE)+IF(ISNA(VLOOKUP($A1243,'Mutasi Neraca'!$A$3:$S$910,13,FALSE)),0,VLOOKUP($A1243,'Mutasi Neraca'!$A$3:$S$910,13,FALSE))</f>
        <v>0</v>
      </c>
      <c r="O1243" s="42">
        <f>VLOOKUP($A1243,'Neraca Unaudited SIMAK'!$A$2:$R$1272,14,FALSE)+IF(ISNA(VLOOKUP($A1243,'Mutasi Neraca'!$A$3:$S$910,14,FALSE)),0,VLOOKUP($A1243,'Mutasi Neraca'!$A$3:$S$910,14,FALSE))</f>
        <v>0</v>
      </c>
      <c r="P1243" s="42">
        <f>VLOOKUP($A1243,'Neraca Unaudited SIMAK'!$A$2:$R$1272,15,FALSE)+IF(ISNA(VLOOKUP($A1243,'Mutasi Neraca'!$A$3:$S$910,15,FALSE)),0,VLOOKUP($A1243,'Mutasi Neraca'!$A$3:$S$910,15,FALSE))</f>
        <v>0</v>
      </c>
      <c r="Q1243" s="42">
        <f>VLOOKUP($A1243,'Neraca Unaudited SIMAK'!$A$2:$R$1272,16,FALSE)+IF(ISNA(VLOOKUP($A1243,'Mutasi Neraca'!$A$3:$S$910,16,FALSE)),0,VLOOKUP($A1243,'Mutasi Neraca'!$A$3:$S$910,16,FALSE))</f>
        <v>0</v>
      </c>
      <c r="R1243" s="42">
        <f>VLOOKUP($A1243,'Neraca Unaudited SIMAK'!$A$2:$R$1272,17,FALSE)+IF(ISNA(VLOOKUP($A1243,'Mutasi Neraca'!$A$3:$S$910,17,FALSE)),0,VLOOKUP($A1243,'Mutasi Neraca'!$A$3:$S$910,17,FALSE))</f>
        <v>0</v>
      </c>
      <c r="S1243" s="42">
        <f t="shared" si="81"/>
        <v>260000</v>
      </c>
    </row>
    <row r="1244" spans="1:19">
      <c r="A1244" s="41" t="s">
        <v>1143</v>
      </c>
      <c r="B1244" s="41" t="str">
        <f t="shared" si="80"/>
        <v>005050900</v>
      </c>
      <c r="D1244" s="42">
        <f>VLOOKUP($A1244,'Neraca Unaudited SIMAK'!$A$2:$R$1272,3,FALSE)+IF(ISNA(VLOOKUP($A1244,'Mutasi Neraca'!$A$3:$S$910,3,FALSE)),0,VLOOKUP($A1244,'Mutasi Neraca'!$A$3:$S$910,3,FALSE))</f>
        <v>0</v>
      </c>
      <c r="E1244" s="42">
        <f>VLOOKUP($A1244,'Neraca Unaudited SIMAK'!$A$2:$R$1272,4,FALSE)+IF(ISNA(VLOOKUP($A1244,'Mutasi Neraca'!$A$3:$S$910,4,FALSE)),0,VLOOKUP($A1244,'Mutasi Neraca'!$A$3:$S$910,4,FALSE))</f>
        <v>0</v>
      </c>
      <c r="F1244" s="42">
        <f>VLOOKUP($A1244,'Neraca Unaudited SIMAK'!$A$2:$R$1272,5,FALSE)+IF(ISNA(VLOOKUP($A1244,'Mutasi Neraca'!$A$3:$S$910,5,FALSE)),0,VLOOKUP($A1244,'Mutasi Neraca'!$A$3:$S$910,5,FALSE))</f>
        <v>0</v>
      </c>
      <c r="G1244" s="42">
        <f>VLOOKUP($A1244,'Neraca Unaudited SIMAK'!$A$2:$R$1272,6,FALSE)+IF(ISNA(VLOOKUP($A1244,'Mutasi Neraca'!$A$3:$S$910,6,FALSE)),0,VLOOKUP($A1244,'Mutasi Neraca'!$A$3:$S$910,6,FALSE))</f>
        <v>0</v>
      </c>
      <c r="H1244" s="42">
        <f>VLOOKUP($A1244,'Neraca Unaudited SIMAK'!$A$2:$R$1272,7,FALSE)+IF(ISNA(VLOOKUP($A1244,'Mutasi Neraca'!$A$3:$S$910,7,FALSE)),0,VLOOKUP($A1244,'Mutasi Neraca'!$A$3:$S$910,7,FALSE))</f>
        <v>0</v>
      </c>
      <c r="I1244" s="42">
        <f>VLOOKUP($A1244,'Neraca Unaudited SIMAK'!$A$2:$R$1272,8,FALSE)+IF(ISNA(VLOOKUP($A1244,'Mutasi Neraca'!$A$3:$S$910,8,FALSE)),0,VLOOKUP($A1244,'Mutasi Neraca'!$A$3:$S$910,8,FALSE))</f>
        <v>0</v>
      </c>
      <c r="J1244" s="42">
        <f>VLOOKUP($A1244,'Neraca Unaudited SIMAK'!$A$2:$R$1272,9,FALSE)+IF(ISNA(VLOOKUP($A1244,'Mutasi Neraca'!$A$3:$S$910,9,FALSE)),0,VLOOKUP($A1244,'Mutasi Neraca'!$A$3:$S$910,9,FALSE))</f>
        <v>0</v>
      </c>
      <c r="K1244" s="42">
        <f>VLOOKUP($A1244,'Neraca Unaudited SIMAK'!$A$2:$R$1272,10,FALSE)+IF(ISNA(VLOOKUP($A1244,'Mutasi Neraca'!$A$3:$S$910,10,FALSE)),0,VLOOKUP($A1244,'Mutasi Neraca'!$A$3:$S$910,10,FALSE))</f>
        <v>0</v>
      </c>
      <c r="L1244" s="42">
        <f>VLOOKUP($A1244,'Neraca Unaudited SIMAK'!$A$2:$R$1272,11,FALSE)+IF(ISNA(VLOOKUP($A1244,'Mutasi Neraca'!$A$3:$S$910,11,FALSE)),0,VLOOKUP($A1244,'Mutasi Neraca'!$A$3:$S$910,11,FALSE))</f>
        <v>0</v>
      </c>
      <c r="M1244" s="42">
        <f>VLOOKUP($A1244,'Neraca Unaudited SIMAK'!$A$2:$R$1272,12,FALSE)+IF(ISNA(VLOOKUP($A1244,'Mutasi Neraca'!$A$3:$S$910,12,FALSE)),0,VLOOKUP($A1244,'Mutasi Neraca'!$A$3:$S$910,12,FALSE))</f>
        <v>0</v>
      </c>
      <c r="N1244" s="42">
        <f>VLOOKUP($A1244,'Neraca Unaudited SIMAK'!$A$2:$R$1272,13,FALSE)+IF(ISNA(VLOOKUP($A1244,'Mutasi Neraca'!$A$3:$S$910,13,FALSE)),0,VLOOKUP($A1244,'Mutasi Neraca'!$A$3:$S$910,13,FALSE))</f>
        <v>0</v>
      </c>
      <c r="O1244" s="42">
        <f>VLOOKUP($A1244,'Neraca Unaudited SIMAK'!$A$2:$R$1272,14,FALSE)+IF(ISNA(VLOOKUP($A1244,'Mutasi Neraca'!$A$3:$S$910,14,FALSE)),0,VLOOKUP($A1244,'Mutasi Neraca'!$A$3:$S$910,14,FALSE))</f>
        <v>0</v>
      </c>
      <c r="P1244" s="42">
        <f>VLOOKUP($A1244,'Neraca Unaudited SIMAK'!$A$2:$R$1272,15,FALSE)+IF(ISNA(VLOOKUP($A1244,'Mutasi Neraca'!$A$3:$S$910,15,FALSE)),0,VLOOKUP($A1244,'Mutasi Neraca'!$A$3:$S$910,15,FALSE))</f>
        <v>0</v>
      </c>
      <c r="Q1244" s="42">
        <f>VLOOKUP($A1244,'Neraca Unaudited SIMAK'!$A$2:$R$1272,16,FALSE)+IF(ISNA(VLOOKUP($A1244,'Mutasi Neraca'!$A$3:$S$910,16,FALSE)),0,VLOOKUP($A1244,'Mutasi Neraca'!$A$3:$S$910,16,FALSE))</f>
        <v>0</v>
      </c>
      <c r="R1244" s="42">
        <f>VLOOKUP($A1244,'Neraca Unaudited SIMAK'!$A$2:$R$1272,17,FALSE)+IF(ISNA(VLOOKUP($A1244,'Mutasi Neraca'!$A$3:$S$910,17,FALSE)),0,VLOOKUP($A1244,'Mutasi Neraca'!$A$3:$S$910,17,FALSE))</f>
        <v>0</v>
      </c>
      <c r="S1244" s="42">
        <f t="shared" si="81"/>
        <v>0</v>
      </c>
    </row>
    <row r="1245" spans="1:19">
      <c r="A1245" s="41" t="s">
        <v>2280</v>
      </c>
      <c r="B1245" s="41" t="str">
        <f t="shared" si="80"/>
        <v>005051100</v>
      </c>
      <c r="D1245" s="42">
        <f>VLOOKUP($A1245,'Neraca Unaudited SIMAK'!$A$2:$R$1272,3,FALSE)+IF(ISNA(VLOOKUP($A1245,'Mutasi Neraca'!$A$3:$S$910,3,FALSE)),0,VLOOKUP($A1245,'Mutasi Neraca'!$A$3:$S$910,3,FALSE))</f>
        <v>0</v>
      </c>
      <c r="E1245" s="42">
        <f>VLOOKUP($A1245,'Neraca Unaudited SIMAK'!$A$2:$R$1272,4,FALSE)+IF(ISNA(VLOOKUP($A1245,'Mutasi Neraca'!$A$3:$S$910,4,FALSE)),0,VLOOKUP($A1245,'Mutasi Neraca'!$A$3:$S$910,4,FALSE))</f>
        <v>0</v>
      </c>
      <c r="F1245" s="42">
        <f>VLOOKUP($A1245,'Neraca Unaudited SIMAK'!$A$2:$R$1272,5,FALSE)+IF(ISNA(VLOOKUP($A1245,'Mutasi Neraca'!$A$3:$S$910,5,FALSE)),0,VLOOKUP($A1245,'Mutasi Neraca'!$A$3:$S$910,5,FALSE))</f>
        <v>0</v>
      </c>
      <c r="G1245" s="42">
        <f>VLOOKUP($A1245,'Neraca Unaudited SIMAK'!$A$2:$R$1272,6,FALSE)+IF(ISNA(VLOOKUP($A1245,'Mutasi Neraca'!$A$3:$S$910,6,FALSE)),0,VLOOKUP($A1245,'Mutasi Neraca'!$A$3:$S$910,6,FALSE))</f>
        <v>0</v>
      </c>
      <c r="H1245" s="42">
        <f>VLOOKUP($A1245,'Neraca Unaudited SIMAK'!$A$2:$R$1272,7,FALSE)+IF(ISNA(VLOOKUP($A1245,'Mutasi Neraca'!$A$3:$S$910,7,FALSE)),0,VLOOKUP($A1245,'Mutasi Neraca'!$A$3:$S$910,7,FALSE))</f>
        <v>0</v>
      </c>
      <c r="I1245" s="42">
        <f>VLOOKUP($A1245,'Neraca Unaudited SIMAK'!$A$2:$R$1272,8,FALSE)+IF(ISNA(VLOOKUP($A1245,'Mutasi Neraca'!$A$3:$S$910,8,FALSE)),0,VLOOKUP($A1245,'Mutasi Neraca'!$A$3:$S$910,8,FALSE))</f>
        <v>0</v>
      </c>
      <c r="J1245" s="42">
        <f>VLOOKUP($A1245,'Neraca Unaudited SIMAK'!$A$2:$R$1272,9,FALSE)+IF(ISNA(VLOOKUP($A1245,'Mutasi Neraca'!$A$3:$S$910,9,FALSE)),0,VLOOKUP($A1245,'Mutasi Neraca'!$A$3:$S$910,9,FALSE))</f>
        <v>0</v>
      </c>
      <c r="K1245" s="42">
        <f>VLOOKUP($A1245,'Neraca Unaudited SIMAK'!$A$2:$R$1272,10,FALSE)+IF(ISNA(VLOOKUP($A1245,'Mutasi Neraca'!$A$3:$S$910,10,FALSE)),0,VLOOKUP($A1245,'Mutasi Neraca'!$A$3:$S$910,10,FALSE))</f>
        <v>0</v>
      </c>
      <c r="L1245" s="42">
        <f>VLOOKUP($A1245,'Neraca Unaudited SIMAK'!$A$2:$R$1272,11,FALSE)+IF(ISNA(VLOOKUP($A1245,'Mutasi Neraca'!$A$3:$S$910,11,FALSE)),0,VLOOKUP($A1245,'Mutasi Neraca'!$A$3:$S$910,11,FALSE))</f>
        <v>0</v>
      </c>
      <c r="M1245" s="42">
        <f>VLOOKUP($A1245,'Neraca Unaudited SIMAK'!$A$2:$R$1272,12,FALSE)+IF(ISNA(VLOOKUP($A1245,'Mutasi Neraca'!$A$3:$S$910,12,FALSE)),0,VLOOKUP($A1245,'Mutasi Neraca'!$A$3:$S$910,12,FALSE))</f>
        <v>0</v>
      </c>
      <c r="N1245" s="42">
        <f>VLOOKUP($A1245,'Neraca Unaudited SIMAK'!$A$2:$R$1272,13,FALSE)+IF(ISNA(VLOOKUP($A1245,'Mutasi Neraca'!$A$3:$S$910,13,FALSE)),0,VLOOKUP($A1245,'Mutasi Neraca'!$A$3:$S$910,13,FALSE))</f>
        <v>0</v>
      </c>
      <c r="O1245" s="42">
        <f>VLOOKUP($A1245,'Neraca Unaudited SIMAK'!$A$2:$R$1272,14,FALSE)+IF(ISNA(VLOOKUP($A1245,'Mutasi Neraca'!$A$3:$S$910,14,FALSE)),0,VLOOKUP($A1245,'Mutasi Neraca'!$A$3:$S$910,14,FALSE))</f>
        <v>0</v>
      </c>
      <c r="P1245" s="42">
        <f>VLOOKUP($A1245,'Neraca Unaudited SIMAK'!$A$2:$R$1272,15,FALSE)+IF(ISNA(VLOOKUP($A1245,'Mutasi Neraca'!$A$3:$S$910,15,FALSE)),0,VLOOKUP($A1245,'Mutasi Neraca'!$A$3:$S$910,15,FALSE))</f>
        <v>0</v>
      </c>
      <c r="Q1245" s="42">
        <f>VLOOKUP($A1245,'Neraca Unaudited SIMAK'!$A$2:$R$1272,16,FALSE)+IF(ISNA(VLOOKUP($A1245,'Mutasi Neraca'!$A$3:$S$910,16,FALSE)),0,VLOOKUP($A1245,'Mutasi Neraca'!$A$3:$S$910,16,FALSE))</f>
        <v>0</v>
      </c>
      <c r="R1245" s="42">
        <f>VLOOKUP($A1245,'Neraca Unaudited SIMAK'!$A$2:$R$1272,17,FALSE)+IF(ISNA(VLOOKUP($A1245,'Mutasi Neraca'!$A$3:$S$910,17,FALSE)),0,VLOOKUP($A1245,'Mutasi Neraca'!$A$3:$S$910,17,FALSE))</f>
        <v>0</v>
      </c>
      <c r="S1245" s="42">
        <f t="shared" si="81"/>
        <v>0</v>
      </c>
    </row>
    <row r="1246" spans="1:19">
      <c r="A1246" s="41" t="s">
        <v>1144</v>
      </c>
      <c r="B1246" s="41" t="str">
        <f t="shared" si="80"/>
        <v>005051100</v>
      </c>
      <c r="D1246" s="42">
        <f>VLOOKUP($A1246,'Neraca Unaudited SIMAK'!$A$2:$R$1272,3,FALSE)+IF(ISNA(VLOOKUP($A1246,'Mutasi Neraca'!$A$3:$S$910,3,FALSE)),0,VLOOKUP($A1246,'Mutasi Neraca'!$A$3:$S$910,3,FALSE))</f>
        <v>325000</v>
      </c>
      <c r="E1246" s="42">
        <f>VLOOKUP($A1246,'Neraca Unaudited SIMAK'!$A$2:$R$1272,4,FALSE)+IF(ISNA(VLOOKUP($A1246,'Mutasi Neraca'!$A$3:$S$910,4,FALSE)),0,VLOOKUP($A1246,'Mutasi Neraca'!$A$3:$S$910,4,FALSE))</f>
        <v>0</v>
      </c>
      <c r="F1246" s="42">
        <f>VLOOKUP($A1246,'Neraca Unaudited SIMAK'!$A$2:$R$1272,5,FALSE)+IF(ISNA(VLOOKUP($A1246,'Mutasi Neraca'!$A$3:$S$910,5,FALSE)),0,VLOOKUP($A1246,'Mutasi Neraca'!$A$3:$S$910,5,FALSE))</f>
        <v>0</v>
      </c>
      <c r="G1246" s="42">
        <f>VLOOKUP($A1246,'Neraca Unaudited SIMAK'!$A$2:$R$1272,6,FALSE)+IF(ISNA(VLOOKUP($A1246,'Mutasi Neraca'!$A$3:$S$910,6,FALSE)),0,VLOOKUP($A1246,'Mutasi Neraca'!$A$3:$S$910,6,FALSE))</f>
        <v>0</v>
      </c>
      <c r="H1246" s="42">
        <f>VLOOKUP($A1246,'Neraca Unaudited SIMAK'!$A$2:$R$1272,7,FALSE)+IF(ISNA(VLOOKUP($A1246,'Mutasi Neraca'!$A$3:$S$910,7,FALSE)),0,VLOOKUP($A1246,'Mutasi Neraca'!$A$3:$S$910,7,FALSE))</f>
        <v>0</v>
      </c>
      <c r="I1246" s="42">
        <f>VLOOKUP($A1246,'Neraca Unaudited SIMAK'!$A$2:$R$1272,8,FALSE)+IF(ISNA(VLOOKUP($A1246,'Mutasi Neraca'!$A$3:$S$910,8,FALSE)),0,VLOOKUP($A1246,'Mutasi Neraca'!$A$3:$S$910,8,FALSE))</f>
        <v>0</v>
      </c>
      <c r="J1246" s="42">
        <f>VLOOKUP($A1246,'Neraca Unaudited SIMAK'!$A$2:$R$1272,9,FALSE)+IF(ISNA(VLOOKUP($A1246,'Mutasi Neraca'!$A$3:$S$910,9,FALSE)),0,VLOOKUP($A1246,'Mutasi Neraca'!$A$3:$S$910,9,FALSE))</f>
        <v>0</v>
      </c>
      <c r="K1246" s="42">
        <f>VLOOKUP($A1246,'Neraca Unaudited SIMAK'!$A$2:$R$1272,10,FALSE)+IF(ISNA(VLOOKUP($A1246,'Mutasi Neraca'!$A$3:$S$910,10,FALSE)),0,VLOOKUP($A1246,'Mutasi Neraca'!$A$3:$S$910,10,FALSE))</f>
        <v>0</v>
      </c>
      <c r="L1246" s="42">
        <f>VLOOKUP($A1246,'Neraca Unaudited SIMAK'!$A$2:$R$1272,11,FALSE)+IF(ISNA(VLOOKUP($A1246,'Mutasi Neraca'!$A$3:$S$910,11,FALSE)),0,VLOOKUP($A1246,'Mutasi Neraca'!$A$3:$S$910,11,FALSE))</f>
        <v>0</v>
      </c>
      <c r="M1246" s="42">
        <f>VLOOKUP($A1246,'Neraca Unaudited SIMAK'!$A$2:$R$1272,12,FALSE)+IF(ISNA(VLOOKUP($A1246,'Mutasi Neraca'!$A$3:$S$910,12,FALSE)),0,VLOOKUP($A1246,'Mutasi Neraca'!$A$3:$S$910,12,FALSE))</f>
        <v>325000</v>
      </c>
      <c r="N1246" s="42">
        <f>VLOOKUP($A1246,'Neraca Unaudited SIMAK'!$A$2:$R$1272,13,FALSE)+IF(ISNA(VLOOKUP($A1246,'Mutasi Neraca'!$A$3:$S$910,13,FALSE)),0,VLOOKUP($A1246,'Mutasi Neraca'!$A$3:$S$910,13,FALSE))</f>
        <v>0</v>
      </c>
      <c r="O1246" s="42">
        <f>VLOOKUP($A1246,'Neraca Unaudited SIMAK'!$A$2:$R$1272,14,FALSE)+IF(ISNA(VLOOKUP($A1246,'Mutasi Neraca'!$A$3:$S$910,14,FALSE)),0,VLOOKUP($A1246,'Mutasi Neraca'!$A$3:$S$910,14,FALSE))</f>
        <v>0</v>
      </c>
      <c r="P1246" s="42">
        <f>VLOOKUP($A1246,'Neraca Unaudited SIMAK'!$A$2:$R$1272,15,FALSE)+IF(ISNA(VLOOKUP($A1246,'Mutasi Neraca'!$A$3:$S$910,15,FALSE)),0,VLOOKUP($A1246,'Mutasi Neraca'!$A$3:$S$910,15,FALSE))</f>
        <v>0</v>
      </c>
      <c r="Q1246" s="42">
        <f>VLOOKUP($A1246,'Neraca Unaudited SIMAK'!$A$2:$R$1272,16,FALSE)+IF(ISNA(VLOOKUP($A1246,'Mutasi Neraca'!$A$3:$S$910,16,FALSE)),0,VLOOKUP($A1246,'Mutasi Neraca'!$A$3:$S$910,16,FALSE))</f>
        <v>0</v>
      </c>
      <c r="R1246" s="42">
        <f>VLOOKUP($A1246,'Neraca Unaudited SIMAK'!$A$2:$R$1272,17,FALSE)+IF(ISNA(VLOOKUP($A1246,'Mutasi Neraca'!$A$3:$S$910,17,FALSE)),0,VLOOKUP($A1246,'Mutasi Neraca'!$A$3:$S$910,17,FALSE))</f>
        <v>0</v>
      </c>
      <c r="S1246" s="42">
        <f t="shared" si="81"/>
        <v>325000</v>
      </c>
    </row>
    <row r="1247" spans="1:19">
      <c r="A1247" s="41" t="s">
        <v>1145</v>
      </c>
      <c r="B1247" s="41" t="str">
        <f t="shared" si="80"/>
        <v>005051200</v>
      </c>
      <c r="D1247" s="42">
        <f>VLOOKUP($A1247,'Neraca Unaudited SIMAK'!$A$2:$R$1272,3,FALSE)+IF(ISNA(VLOOKUP($A1247,'Mutasi Neraca'!$A$3:$S$910,3,FALSE)),0,VLOOKUP($A1247,'Mutasi Neraca'!$A$3:$S$910,3,FALSE))</f>
        <v>3071700</v>
      </c>
      <c r="E1247" s="42">
        <f>VLOOKUP($A1247,'Neraca Unaudited SIMAK'!$A$2:$R$1272,4,FALSE)+IF(ISNA(VLOOKUP($A1247,'Mutasi Neraca'!$A$3:$S$910,4,FALSE)),0,VLOOKUP($A1247,'Mutasi Neraca'!$A$3:$S$910,4,FALSE))</f>
        <v>0</v>
      </c>
      <c r="F1247" s="42">
        <f>VLOOKUP($A1247,'Neraca Unaudited SIMAK'!$A$2:$R$1272,5,FALSE)+IF(ISNA(VLOOKUP($A1247,'Mutasi Neraca'!$A$3:$S$910,5,FALSE)),0,VLOOKUP($A1247,'Mutasi Neraca'!$A$3:$S$910,5,FALSE))</f>
        <v>0</v>
      </c>
      <c r="G1247" s="42">
        <f>VLOOKUP($A1247,'Neraca Unaudited SIMAK'!$A$2:$R$1272,6,FALSE)+IF(ISNA(VLOOKUP($A1247,'Mutasi Neraca'!$A$3:$S$910,6,FALSE)),0,VLOOKUP($A1247,'Mutasi Neraca'!$A$3:$S$910,6,FALSE))</f>
        <v>0</v>
      </c>
      <c r="H1247" s="42">
        <f>VLOOKUP($A1247,'Neraca Unaudited SIMAK'!$A$2:$R$1272,7,FALSE)+IF(ISNA(VLOOKUP($A1247,'Mutasi Neraca'!$A$3:$S$910,7,FALSE)),0,VLOOKUP($A1247,'Mutasi Neraca'!$A$3:$S$910,7,FALSE))</f>
        <v>0</v>
      </c>
      <c r="I1247" s="42">
        <f>VLOOKUP($A1247,'Neraca Unaudited SIMAK'!$A$2:$R$1272,8,FALSE)+IF(ISNA(VLOOKUP($A1247,'Mutasi Neraca'!$A$3:$S$910,8,FALSE)),0,VLOOKUP($A1247,'Mutasi Neraca'!$A$3:$S$910,8,FALSE))</f>
        <v>0</v>
      </c>
      <c r="J1247" s="42">
        <f>VLOOKUP($A1247,'Neraca Unaudited SIMAK'!$A$2:$R$1272,9,FALSE)+IF(ISNA(VLOOKUP($A1247,'Mutasi Neraca'!$A$3:$S$910,9,FALSE)),0,VLOOKUP($A1247,'Mutasi Neraca'!$A$3:$S$910,9,FALSE))</f>
        <v>0</v>
      </c>
      <c r="K1247" s="42">
        <f>VLOOKUP($A1247,'Neraca Unaudited SIMAK'!$A$2:$R$1272,10,FALSE)+IF(ISNA(VLOOKUP($A1247,'Mutasi Neraca'!$A$3:$S$910,10,FALSE)),0,VLOOKUP($A1247,'Mutasi Neraca'!$A$3:$S$910,10,FALSE))</f>
        <v>0</v>
      </c>
      <c r="L1247" s="42">
        <f>VLOOKUP($A1247,'Neraca Unaudited SIMAK'!$A$2:$R$1272,11,FALSE)+IF(ISNA(VLOOKUP($A1247,'Mutasi Neraca'!$A$3:$S$910,11,FALSE)),0,VLOOKUP($A1247,'Mutasi Neraca'!$A$3:$S$910,11,FALSE))</f>
        <v>0</v>
      </c>
      <c r="M1247" s="42">
        <f>VLOOKUP($A1247,'Neraca Unaudited SIMAK'!$A$2:$R$1272,12,FALSE)+IF(ISNA(VLOOKUP($A1247,'Mutasi Neraca'!$A$3:$S$910,12,FALSE)),0,VLOOKUP($A1247,'Mutasi Neraca'!$A$3:$S$910,12,FALSE))</f>
        <v>3071700</v>
      </c>
      <c r="N1247" s="42">
        <f>VLOOKUP($A1247,'Neraca Unaudited SIMAK'!$A$2:$R$1272,13,FALSE)+IF(ISNA(VLOOKUP($A1247,'Mutasi Neraca'!$A$3:$S$910,13,FALSE)),0,VLOOKUP($A1247,'Mutasi Neraca'!$A$3:$S$910,13,FALSE))</f>
        <v>0</v>
      </c>
      <c r="O1247" s="42">
        <f>VLOOKUP($A1247,'Neraca Unaudited SIMAK'!$A$2:$R$1272,14,FALSE)+IF(ISNA(VLOOKUP($A1247,'Mutasi Neraca'!$A$3:$S$910,14,FALSE)),0,VLOOKUP($A1247,'Mutasi Neraca'!$A$3:$S$910,14,FALSE))</f>
        <v>0</v>
      </c>
      <c r="P1247" s="42">
        <f>VLOOKUP($A1247,'Neraca Unaudited SIMAK'!$A$2:$R$1272,15,FALSE)+IF(ISNA(VLOOKUP($A1247,'Mutasi Neraca'!$A$3:$S$910,15,FALSE)),0,VLOOKUP($A1247,'Mutasi Neraca'!$A$3:$S$910,15,FALSE))</f>
        <v>0</v>
      </c>
      <c r="Q1247" s="42">
        <f>VLOOKUP($A1247,'Neraca Unaudited SIMAK'!$A$2:$R$1272,16,FALSE)+IF(ISNA(VLOOKUP($A1247,'Mutasi Neraca'!$A$3:$S$910,16,FALSE)),0,VLOOKUP($A1247,'Mutasi Neraca'!$A$3:$S$910,16,FALSE))</f>
        <v>0</v>
      </c>
      <c r="R1247" s="42">
        <f>VLOOKUP($A1247,'Neraca Unaudited SIMAK'!$A$2:$R$1272,17,FALSE)+IF(ISNA(VLOOKUP($A1247,'Mutasi Neraca'!$A$3:$S$910,17,FALSE)),0,VLOOKUP($A1247,'Mutasi Neraca'!$A$3:$S$910,17,FALSE))</f>
        <v>0</v>
      </c>
      <c r="S1247" s="42">
        <f t="shared" si="81"/>
        <v>3071700</v>
      </c>
    </row>
    <row r="1248" spans="1:19">
      <c r="A1248" s="41" t="s">
        <v>1146</v>
      </c>
      <c r="B1248" s="41" t="str">
        <f t="shared" si="80"/>
        <v>005051300</v>
      </c>
      <c r="D1248" s="42">
        <f>VLOOKUP($A1248,'Neraca Unaudited SIMAK'!$A$2:$R$1272,3,FALSE)+IF(ISNA(VLOOKUP($A1248,'Mutasi Neraca'!$A$3:$S$910,3,FALSE)),0,VLOOKUP($A1248,'Mutasi Neraca'!$A$3:$S$910,3,FALSE))</f>
        <v>0</v>
      </c>
      <c r="E1248" s="42">
        <f>VLOOKUP($A1248,'Neraca Unaudited SIMAK'!$A$2:$R$1272,4,FALSE)+IF(ISNA(VLOOKUP($A1248,'Mutasi Neraca'!$A$3:$S$910,4,FALSE)),0,VLOOKUP($A1248,'Mutasi Neraca'!$A$3:$S$910,4,FALSE))</f>
        <v>0</v>
      </c>
      <c r="F1248" s="42">
        <f>VLOOKUP($A1248,'Neraca Unaudited SIMAK'!$A$2:$R$1272,5,FALSE)+IF(ISNA(VLOOKUP($A1248,'Mutasi Neraca'!$A$3:$S$910,5,FALSE)),0,VLOOKUP($A1248,'Mutasi Neraca'!$A$3:$S$910,5,FALSE))</f>
        <v>0</v>
      </c>
      <c r="G1248" s="42">
        <f>VLOOKUP($A1248,'Neraca Unaudited SIMAK'!$A$2:$R$1272,6,FALSE)+IF(ISNA(VLOOKUP($A1248,'Mutasi Neraca'!$A$3:$S$910,6,FALSE)),0,VLOOKUP($A1248,'Mutasi Neraca'!$A$3:$S$910,6,FALSE))</f>
        <v>0</v>
      </c>
      <c r="H1248" s="42">
        <f>VLOOKUP($A1248,'Neraca Unaudited SIMAK'!$A$2:$R$1272,7,FALSE)+IF(ISNA(VLOOKUP($A1248,'Mutasi Neraca'!$A$3:$S$910,7,FALSE)),0,VLOOKUP($A1248,'Mutasi Neraca'!$A$3:$S$910,7,FALSE))</f>
        <v>0</v>
      </c>
      <c r="I1248" s="42">
        <f>VLOOKUP($A1248,'Neraca Unaudited SIMAK'!$A$2:$R$1272,8,FALSE)+IF(ISNA(VLOOKUP($A1248,'Mutasi Neraca'!$A$3:$S$910,8,FALSE)),0,VLOOKUP($A1248,'Mutasi Neraca'!$A$3:$S$910,8,FALSE))</f>
        <v>0</v>
      </c>
      <c r="J1248" s="42">
        <f>VLOOKUP($A1248,'Neraca Unaudited SIMAK'!$A$2:$R$1272,9,FALSE)+IF(ISNA(VLOOKUP($A1248,'Mutasi Neraca'!$A$3:$S$910,9,FALSE)),0,VLOOKUP($A1248,'Mutasi Neraca'!$A$3:$S$910,9,FALSE))</f>
        <v>0</v>
      </c>
      <c r="K1248" s="42">
        <f>VLOOKUP($A1248,'Neraca Unaudited SIMAK'!$A$2:$R$1272,10,FALSE)+IF(ISNA(VLOOKUP($A1248,'Mutasi Neraca'!$A$3:$S$910,10,FALSE)),0,VLOOKUP($A1248,'Mutasi Neraca'!$A$3:$S$910,10,FALSE))</f>
        <v>0</v>
      </c>
      <c r="L1248" s="42">
        <f>VLOOKUP($A1248,'Neraca Unaudited SIMAK'!$A$2:$R$1272,11,FALSE)+IF(ISNA(VLOOKUP($A1248,'Mutasi Neraca'!$A$3:$S$910,11,FALSE)),0,VLOOKUP($A1248,'Mutasi Neraca'!$A$3:$S$910,11,FALSE))</f>
        <v>0</v>
      </c>
      <c r="M1248" s="42">
        <f>VLOOKUP($A1248,'Neraca Unaudited SIMAK'!$A$2:$R$1272,12,FALSE)+IF(ISNA(VLOOKUP($A1248,'Mutasi Neraca'!$A$3:$S$910,12,FALSE)),0,VLOOKUP($A1248,'Mutasi Neraca'!$A$3:$S$910,12,FALSE))</f>
        <v>0</v>
      </c>
      <c r="N1248" s="42">
        <f>VLOOKUP($A1248,'Neraca Unaudited SIMAK'!$A$2:$R$1272,13,FALSE)+IF(ISNA(VLOOKUP($A1248,'Mutasi Neraca'!$A$3:$S$910,13,FALSE)),0,VLOOKUP($A1248,'Mutasi Neraca'!$A$3:$S$910,13,FALSE))</f>
        <v>0</v>
      </c>
      <c r="O1248" s="42">
        <f>VLOOKUP($A1248,'Neraca Unaudited SIMAK'!$A$2:$R$1272,14,FALSE)+IF(ISNA(VLOOKUP($A1248,'Mutasi Neraca'!$A$3:$S$910,14,FALSE)),0,VLOOKUP($A1248,'Mutasi Neraca'!$A$3:$S$910,14,FALSE))</f>
        <v>0</v>
      </c>
      <c r="P1248" s="42">
        <f>VLOOKUP($A1248,'Neraca Unaudited SIMAK'!$A$2:$R$1272,15,FALSE)+IF(ISNA(VLOOKUP($A1248,'Mutasi Neraca'!$A$3:$S$910,15,FALSE)),0,VLOOKUP($A1248,'Mutasi Neraca'!$A$3:$S$910,15,FALSE))</f>
        <v>0</v>
      </c>
      <c r="Q1248" s="42">
        <f>VLOOKUP($A1248,'Neraca Unaudited SIMAK'!$A$2:$R$1272,16,FALSE)+IF(ISNA(VLOOKUP($A1248,'Mutasi Neraca'!$A$3:$S$910,16,FALSE)),0,VLOOKUP($A1248,'Mutasi Neraca'!$A$3:$S$910,16,FALSE))</f>
        <v>0</v>
      </c>
      <c r="R1248" s="42">
        <f>VLOOKUP($A1248,'Neraca Unaudited SIMAK'!$A$2:$R$1272,17,FALSE)+IF(ISNA(VLOOKUP($A1248,'Mutasi Neraca'!$A$3:$S$910,17,FALSE)),0,VLOOKUP($A1248,'Mutasi Neraca'!$A$3:$S$910,17,FALSE))</f>
        <v>0</v>
      </c>
      <c r="S1248" s="42">
        <f t="shared" si="81"/>
        <v>0</v>
      </c>
    </row>
    <row r="1249" spans="1:19">
      <c r="A1249" s="41" t="s">
        <v>2281</v>
      </c>
      <c r="B1249" s="41" t="str">
        <f t="shared" si="80"/>
        <v>005051300</v>
      </c>
      <c r="D1249" s="42">
        <f>VLOOKUP($A1249,'Neraca Unaudited SIMAK'!$A$2:$R$1272,3,FALSE)+IF(ISNA(VLOOKUP($A1249,'Mutasi Neraca'!$A$3:$S$910,3,FALSE)),0,VLOOKUP($A1249,'Mutasi Neraca'!$A$3:$S$910,3,FALSE))</f>
        <v>0</v>
      </c>
      <c r="E1249" s="42">
        <f>VLOOKUP($A1249,'Neraca Unaudited SIMAK'!$A$2:$R$1272,4,FALSE)+IF(ISNA(VLOOKUP($A1249,'Mutasi Neraca'!$A$3:$S$910,4,FALSE)),0,VLOOKUP($A1249,'Mutasi Neraca'!$A$3:$S$910,4,FALSE))</f>
        <v>0</v>
      </c>
      <c r="F1249" s="42">
        <f>VLOOKUP($A1249,'Neraca Unaudited SIMAK'!$A$2:$R$1272,5,FALSE)+IF(ISNA(VLOOKUP($A1249,'Mutasi Neraca'!$A$3:$S$910,5,FALSE)),0,VLOOKUP($A1249,'Mutasi Neraca'!$A$3:$S$910,5,FALSE))</f>
        <v>0</v>
      </c>
      <c r="G1249" s="42">
        <f>VLOOKUP($A1249,'Neraca Unaudited SIMAK'!$A$2:$R$1272,6,FALSE)+IF(ISNA(VLOOKUP($A1249,'Mutasi Neraca'!$A$3:$S$910,6,FALSE)),0,VLOOKUP($A1249,'Mutasi Neraca'!$A$3:$S$910,6,FALSE))</f>
        <v>0</v>
      </c>
      <c r="H1249" s="42">
        <f>VLOOKUP($A1249,'Neraca Unaudited SIMAK'!$A$2:$R$1272,7,FALSE)+IF(ISNA(VLOOKUP($A1249,'Mutasi Neraca'!$A$3:$S$910,7,FALSE)),0,VLOOKUP($A1249,'Mutasi Neraca'!$A$3:$S$910,7,FALSE))</f>
        <v>0</v>
      </c>
      <c r="I1249" s="42">
        <f>VLOOKUP($A1249,'Neraca Unaudited SIMAK'!$A$2:$R$1272,8,FALSE)+IF(ISNA(VLOOKUP($A1249,'Mutasi Neraca'!$A$3:$S$910,8,FALSE)),0,VLOOKUP($A1249,'Mutasi Neraca'!$A$3:$S$910,8,FALSE))</f>
        <v>0</v>
      </c>
      <c r="J1249" s="42">
        <f>VLOOKUP($A1249,'Neraca Unaudited SIMAK'!$A$2:$R$1272,9,FALSE)+IF(ISNA(VLOOKUP($A1249,'Mutasi Neraca'!$A$3:$S$910,9,FALSE)),0,VLOOKUP($A1249,'Mutasi Neraca'!$A$3:$S$910,9,FALSE))</f>
        <v>0</v>
      </c>
      <c r="K1249" s="42">
        <f>VLOOKUP($A1249,'Neraca Unaudited SIMAK'!$A$2:$R$1272,10,FALSE)+IF(ISNA(VLOOKUP($A1249,'Mutasi Neraca'!$A$3:$S$910,10,FALSE)),0,VLOOKUP($A1249,'Mutasi Neraca'!$A$3:$S$910,10,FALSE))</f>
        <v>0</v>
      </c>
      <c r="L1249" s="42">
        <f>VLOOKUP($A1249,'Neraca Unaudited SIMAK'!$A$2:$R$1272,11,FALSE)+IF(ISNA(VLOOKUP($A1249,'Mutasi Neraca'!$A$3:$S$910,11,FALSE)),0,VLOOKUP($A1249,'Mutasi Neraca'!$A$3:$S$910,11,FALSE))</f>
        <v>0</v>
      </c>
      <c r="M1249" s="42">
        <f>VLOOKUP($A1249,'Neraca Unaudited SIMAK'!$A$2:$R$1272,12,FALSE)+IF(ISNA(VLOOKUP($A1249,'Mutasi Neraca'!$A$3:$S$910,12,FALSE)),0,VLOOKUP($A1249,'Mutasi Neraca'!$A$3:$S$910,12,FALSE))</f>
        <v>0</v>
      </c>
      <c r="N1249" s="42">
        <f>VLOOKUP($A1249,'Neraca Unaudited SIMAK'!$A$2:$R$1272,13,FALSE)+IF(ISNA(VLOOKUP($A1249,'Mutasi Neraca'!$A$3:$S$910,13,FALSE)),0,VLOOKUP($A1249,'Mutasi Neraca'!$A$3:$S$910,13,FALSE))</f>
        <v>0</v>
      </c>
      <c r="O1249" s="42">
        <f>VLOOKUP($A1249,'Neraca Unaudited SIMAK'!$A$2:$R$1272,14,FALSE)+IF(ISNA(VLOOKUP($A1249,'Mutasi Neraca'!$A$3:$S$910,14,FALSE)),0,VLOOKUP($A1249,'Mutasi Neraca'!$A$3:$S$910,14,FALSE))</f>
        <v>0</v>
      </c>
      <c r="P1249" s="42">
        <f>VLOOKUP($A1249,'Neraca Unaudited SIMAK'!$A$2:$R$1272,15,FALSE)+IF(ISNA(VLOOKUP($A1249,'Mutasi Neraca'!$A$3:$S$910,15,FALSE)),0,VLOOKUP($A1249,'Mutasi Neraca'!$A$3:$S$910,15,FALSE))</f>
        <v>0</v>
      </c>
      <c r="Q1249" s="42">
        <f>VLOOKUP($A1249,'Neraca Unaudited SIMAK'!$A$2:$R$1272,16,FALSE)+IF(ISNA(VLOOKUP($A1249,'Mutasi Neraca'!$A$3:$S$910,16,FALSE)),0,VLOOKUP($A1249,'Mutasi Neraca'!$A$3:$S$910,16,FALSE))</f>
        <v>0</v>
      </c>
      <c r="R1249" s="42">
        <f>VLOOKUP($A1249,'Neraca Unaudited SIMAK'!$A$2:$R$1272,17,FALSE)+IF(ISNA(VLOOKUP($A1249,'Mutasi Neraca'!$A$3:$S$910,17,FALSE)),0,VLOOKUP($A1249,'Mutasi Neraca'!$A$3:$S$910,17,FALSE))</f>
        <v>0</v>
      </c>
      <c r="S1249" s="42">
        <f t="shared" si="81"/>
        <v>0</v>
      </c>
    </row>
    <row r="1250" spans="1:19">
      <c r="A1250" s="41" t="s">
        <v>2082</v>
      </c>
      <c r="B1250" s="41" t="str">
        <f t="shared" si="80"/>
        <v>005051500</v>
      </c>
      <c r="D1250" s="42">
        <f>VLOOKUP($A1250,'Neraca Unaudited SIMAK'!$A$2:$R$1272,3,FALSE)+IF(ISNA(VLOOKUP($A1250,'Mutasi Neraca'!$A$3:$S$910,3,FALSE)),0,VLOOKUP($A1250,'Mutasi Neraca'!$A$3:$S$910,3,FALSE))</f>
        <v>0</v>
      </c>
      <c r="E1250" s="42">
        <f>VLOOKUP($A1250,'Neraca Unaudited SIMAK'!$A$2:$R$1272,4,FALSE)+IF(ISNA(VLOOKUP($A1250,'Mutasi Neraca'!$A$3:$S$910,4,FALSE)),0,VLOOKUP($A1250,'Mutasi Neraca'!$A$3:$S$910,4,FALSE))</f>
        <v>0</v>
      </c>
      <c r="F1250" s="42">
        <f>VLOOKUP($A1250,'Neraca Unaudited SIMAK'!$A$2:$R$1272,5,FALSE)+IF(ISNA(VLOOKUP($A1250,'Mutasi Neraca'!$A$3:$S$910,5,FALSE)),0,VLOOKUP($A1250,'Mutasi Neraca'!$A$3:$S$910,5,FALSE))</f>
        <v>0</v>
      </c>
      <c r="G1250" s="42">
        <f>VLOOKUP($A1250,'Neraca Unaudited SIMAK'!$A$2:$R$1272,6,FALSE)+IF(ISNA(VLOOKUP($A1250,'Mutasi Neraca'!$A$3:$S$910,6,FALSE)),0,VLOOKUP($A1250,'Mutasi Neraca'!$A$3:$S$910,6,FALSE))</f>
        <v>0</v>
      </c>
      <c r="H1250" s="42">
        <f>VLOOKUP($A1250,'Neraca Unaudited SIMAK'!$A$2:$R$1272,7,FALSE)+IF(ISNA(VLOOKUP($A1250,'Mutasi Neraca'!$A$3:$S$910,7,FALSE)),0,VLOOKUP($A1250,'Mutasi Neraca'!$A$3:$S$910,7,FALSE))</f>
        <v>0</v>
      </c>
      <c r="I1250" s="42">
        <f>VLOOKUP($A1250,'Neraca Unaudited SIMAK'!$A$2:$R$1272,8,FALSE)+IF(ISNA(VLOOKUP($A1250,'Mutasi Neraca'!$A$3:$S$910,8,FALSE)),0,VLOOKUP($A1250,'Mutasi Neraca'!$A$3:$S$910,8,FALSE))</f>
        <v>0</v>
      </c>
      <c r="J1250" s="42">
        <f>VLOOKUP($A1250,'Neraca Unaudited SIMAK'!$A$2:$R$1272,9,FALSE)+IF(ISNA(VLOOKUP($A1250,'Mutasi Neraca'!$A$3:$S$910,9,FALSE)),0,VLOOKUP($A1250,'Mutasi Neraca'!$A$3:$S$910,9,FALSE))</f>
        <v>0</v>
      </c>
      <c r="K1250" s="42">
        <f>VLOOKUP($A1250,'Neraca Unaudited SIMAK'!$A$2:$R$1272,10,FALSE)+IF(ISNA(VLOOKUP($A1250,'Mutasi Neraca'!$A$3:$S$910,10,FALSE)),0,VLOOKUP($A1250,'Mutasi Neraca'!$A$3:$S$910,10,FALSE))</f>
        <v>0</v>
      </c>
      <c r="L1250" s="42">
        <f>VLOOKUP($A1250,'Neraca Unaudited SIMAK'!$A$2:$R$1272,11,FALSE)+IF(ISNA(VLOOKUP($A1250,'Mutasi Neraca'!$A$3:$S$910,11,FALSE)),0,VLOOKUP($A1250,'Mutasi Neraca'!$A$3:$S$910,11,FALSE))</f>
        <v>0</v>
      </c>
      <c r="M1250" s="42">
        <f>VLOOKUP($A1250,'Neraca Unaudited SIMAK'!$A$2:$R$1272,12,FALSE)+IF(ISNA(VLOOKUP($A1250,'Mutasi Neraca'!$A$3:$S$910,12,FALSE)),0,VLOOKUP($A1250,'Mutasi Neraca'!$A$3:$S$910,12,FALSE))</f>
        <v>0</v>
      </c>
      <c r="N1250" s="42">
        <f>VLOOKUP($A1250,'Neraca Unaudited SIMAK'!$A$2:$R$1272,13,FALSE)+IF(ISNA(VLOOKUP($A1250,'Mutasi Neraca'!$A$3:$S$910,13,FALSE)),0,VLOOKUP($A1250,'Mutasi Neraca'!$A$3:$S$910,13,FALSE))</f>
        <v>0</v>
      </c>
      <c r="O1250" s="42">
        <f>VLOOKUP($A1250,'Neraca Unaudited SIMAK'!$A$2:$R$1272,14,FALSE)+IF(ISNA(VLOOKUP($A1250,'Mutasi Neraca'!$A$3:$S$910,14,FALSE)),0,VLOOKUP($A1250,'Mutasi Neraca'!$A$3:$S$910,14,FALSE))</f>
        <v>0</v>
      </c>
      <c r="P1250" s="42">
        <f>VLOOKUP($A1250,'Neraca Unaudited SIMAK'!$A$2:$R$1272,15,FALSE)+IF(ISNA(VLOOKUP($A1250,'Mutasi Neraca'!$A$3:$S$910,15,FALSE)),0,VLOOKUP($A1250,'Mutasi Neraca'!$A$3:$S$910,15,FALSE))</f>
        <v>0</v>
      </c>
      <c r="Q1250" s="42">
        <f>VLOOKUP($A1250,'Neraca Unaudited SIMAK'!$A$2:$R$1272,16,FALSE)+IF(ISNA(VLOOKUP($A1250,'Mutasi Neraca'!$A$3:$S$910,16,FALSE)),0,VLOOKUP($A1250,'Mutasi Neraca'!$A$3:$S$910,16,FALSE))</f>
        <v>0</v>
      </c>
      <c r="R1250" s="42">
        <f>VLOOKUP($A1250,'Neraca Unaudited SIMAK'!$A$2:$R$1272,17,FALSE)+IF(ISNA(VLOOKUP($A1250,'Mutasi Neraca'!$A$3:$S$910,17,FALSE)),0,VLOOKUP($A1250,'Mutasi Neraca'!$A$3:$S$910,17,FALSE))</f>
        <v>0</v>
      </c>
      <c r="S1250" s="42">
        <f t="shared" ref="S1250:S1270" si="82">SUM(M1250:R1250)</f>
        <v>0</v>
      </c>
    </row>
    <row r="1251" spans="1:19">
      <c r="A1251" s="41" t="s">
        <v>2083</v>
      </c>
      <c r="B1251" s="41" t="str">
        <f t="shared" si="80"/>
        <v>005051500</v>
      </c>
      <c r="D1251" s="42">
        <f>VLOOKUP($A1251,'Neraca Unaudited SIMAK'!$A$2:$R$1272,3,FALSE)+IF(ISNA(VLOOKUP($A1251,'Mutasi Neraca'!$A$3:$S$910,3,FALSE)),0,VLOOKUP($A1251,'Mutasi Neraca'!$A$3:$S$910,3,FALSE))</f>
        <v>0</v>
      </c>
      <c r="E1251" s="42">
        <f>VLOOKUP($A1251,'Neraca Unaudited SIMAK'!$A$2:$R$1272,4,FALSE)+IF(ISNA(VLOOKUP($A1251,'Mutasi Neraca'!$A$3:$S$910,4,FALSE)),0,VLOOKUP($A1251,'Mutasi Neraca'!$A$3:$S$910,4,FALSE))</f>
        <v>0</v>
      </c>
      <c r="F1251" s="42">
        <f>VLOOKUP($A1251,'Neraca Unaudited SIMAK'!$A$2:$R$1272,5,FALSE)+IF(ISNA(VLOOKUP($A1251,'Mutasi Neraca'!$A$3:$S$910,5,FALSE)),0,VLOOKUP($A1251,'Mutasi Neraca'!$A$3:$S$910,5,FALSE))</f>
        <v>0</v>
      </c>
      <c r="G1251" s="42">
        <f>VLOOKUP($A1251,'Neraca Unaudited SIMAK'!$A$2:$R$1272,6,FALSE)+IF(ISNA(VLOOKUP($A1251,'Mutasi Neraca'!$A$3:$S$910,6,FALSE)),0,VLOOKUP($A1251,'Mutasi Neraca'!$A$3:$S$910,6,FALSE))</f>
        <v>0</v>
      </c>
      <c r="H1251" s="42">
        <f>VLOOKUP($A1251,'Neraca Unaudited SIMAK'!$A$2:$R$1272,7,FALSE)+IF(ISNA(VLOOKUP($A1251,'Mutasi Neraca'!$A$3:$S$910,7,FALSE)),0,VLOOKUP($A1251,'Mutasi Neraca'!$A$3:$S$910,7,FALSE))</f>
        <v>0</v>
      </c>
      <c r="I1251" s="42">
        <f>VLOOKUP($A1251,'Neraca Unaudited SIMAK'!$A$2:$R$1272,8,FALSE)+IF(ISNA(VLOOKUP($A1251,'Mutasi Neraca'!$A$3:$S$910,8,FALSE)),0,VLOOKUP($A1251,'Mutasi Neraca'!$A$3:$S$910,8,FALSE))</f>
        <v>0</v>
      </c>
      <c r="J1251" s="42">
        <f>VLOOKUP($A1251,'Neraca Unaudited SIMAK'!$A$2:$R$1272,9,FALSE)+IF(ISNA(VLOOKUP($A1251,'Mutasi Neraca'!$A$3:$S$910,9,FALSE)),0,VLOOKUP($A1251,'Mutasi Neraca'!$A$3:$S$910,9,FALSE))</f>
        <v>0</v>
      </c>
      <c r="K1251" s="42">
        <f>VLOOKUP($A1251,'Neraca Unaudited SIMAK'!$A$2:$R$1272,10,FALSE)+IF(ISNA(VLOOKUP($A1251,'Mutasi Neraca'!$A$3:$S$910,10,FALSE)),0,VLOOKUP($A1251,'Mutasi Neraca'!$A$3:$S$910,10,FALSE))</f>
        <v>0</v>
      </c>
      <c r="L1251" s="42">
        <f>VLOOKUP($A1251,'Neraca Unaudited SIMAK'!$A$2:$R$1272,11,FALSE)+IF(ISNA(VLOOKUP($A1251,'Mutasi Neraca'!$A$3:$S$910,11,FALSE)),0,VLOOKUP($A1251,'Mutasi Neraca'!$A$3:$S$910,11,FALSE))</f>
        <v>0</v>
      </c>
      <c r="M1251" s="42">
        <f>VLOOKUP($A1251,'Neraca Unaudited SIMAK'!$A$2:$R$1272,12,FALSE)+IF(ISNA(VLOOKUP($A1251,'Mutasi Neraca'!$A$3:$S$910,12,FALSE)),0,VLOOKUP($A1251,'Mutasi Neraca'!$A$3:$S$910,12,FALSE))</f>
        <v>0</v>
      </c>
      <c r="N1251" s="42">
        <f>VLOOKUP($A1251,'Neraca Unaudited SIMAK'!$A$2:$R$1272,13,FALSE)+IF(ISNA(VLOOKUP($A1251,'Mutasi Neraca'!$A$3:$S$910,13,FALSE)),0,VLOOKUP($A1251,'Mutasi Neraca'!$A$3:$S$910,13,FALSE))</f>
        <v>0</v>
      </c>
      <c r="O1251" s="42">
        <f>VLOOKUP($A1251,'Neraca Unaudited SIMAK'!$A$2:$R$1272,14,FALSE)+IF(ISNA(VLOOKUP($A1251,'Mutasi Neraca'!$A$3:$S$910,14,FALSE)),0,VLOOKUP($A1251,'Mutasi Neraca'!$A$3:$S$910,14,FALSE))</f>
        <v>0</v>
      </c>
      <c r="P1251" s="42">
        <f>VLOOKUP($A1251,'Neraca Unaudited SIMAK'!$A$2:$R$1272,15,FALSE)+IF(ISNA(VLOOKUP($A1251,'Mutasi Neraca'!$A$3:$S$910,15,FALSE)),0,VLOOKUP($A1251,'Mutasi Neraca'!$A$3:$S$910,15,FALSE))</f>
        <v>0</v>
      </c>
      <c r="Q1251" s="42">
        <f>VLOOKUP($A1251,'Neraca Unaudited SIMAK'!$A$2:$R$1272,16,FALSE)+IF(ISNA(VLOOKUP($A1251,'Mutasi Neraca'!$A$3:$S$910,16,FALSE)),0,VLOOKUP($A1251,'Mutasi Neraca'!$A$3:$S$910,16,FALSE))</f>
        <v>0</v>
      </c>
      <c r="R1251" s="42">
        <f>VLOOKUP($A1251,'Neraca Unaudited SIMAK'!$A$2:$R$1272,17,FALSE)+IF(ISNA(VLOOKUP($A1251,'Mutasi Neraca'!$A$3:$S$910,17,FALSE)),0,VLOOKUP($A1251,'Mutasi Neraca'!$A$3:$S$910,17,FALSE))</f>
        <v>0</v>
      </c>
      <c r="S1251" s="42">
        <f t="shared" si="82"/>
        <v>0</v>
      </c>
    </row>
    <row r="1252" spans="1:19">
      <c r="A1252" s="41" t="s">
        <v>1147</v>
      </c>
      <c r="B1252" s="41" t="str">
        <f t="shared" si="80"/>
        <v>005051600</v>
      </c>
      <c r="D1252" s="42">
        <f>VLOOKUP($A1252,'Neraca Unaudited SIMAK'!$A$2:$R$1272,3,FALSE)+IF(ISNA(VLOOKUP($A1252,'Mutasi Neraca'!$A$3:$S$910,3,FALSE)),0,VLOOKUP($A1252,'Mutasi Neraca'!$A$3:$S$910,3,FALSE))</f>
        <v>0</v>
      </c>
      <c r="E1252" s="42">
        <f>VLOOKUP($A1252,'Neraca Unaudited SIMAK'!$A$2:$R$1272,4,FALSE)+IF(ISNA(VLOOKUP($A1252,'Mutasi Neraca'!$A$3:$S$910,4,FALSE)),0,VLOOKUP($A1252,'Mutasi Neraca'!$A$3:$S$910,4,FALSE))</f>
        <v>0</v>
      </c>
      <c r="F1252" s="42">
        <f>VLOOKUP($A1252,'Neraca Unaudited SIMAK'!$A$2:$R$1272,5,FALSE)+IF(ISNA(VLOOKUP($A1252,'Mutasi Neraca'!$A$3:$S$910,5,FALSE)),0,VLOOKUP($A1252,'Mutasi Neraca'!$A$3:$S$910,5,FALSE))</f>
        <v>0</v>
      </c>
      <c r="G1252" s="42">
        <f>VLOOKUP($A1252,'Neraca Unaudited SIMAK'!$A$2:$R$1272,6,FALSE)+IF(ISNA(VLOOKUP($A1252,'Mutasi Neraca'!$A$3:$S$910,6,FALSE)),0,VLOOKUP($A1252,'Mutasi Neraca'!$A$3:$S$910,6,FALSE))</f>
        <v>0</v>
      </c>
      <c r="H1252" s="42">
        <f>VLOOKUP($A1252,'Neraca Unaudited SIMAK'!$A$2:$R$1272,7,FALSE)+IF(ISNA(VLOOKUP($A1252,'Mutasi Neraca'!$A$3:$S$910,7,FALSE)),0,VLOOKUP($A1252,'Mutasi Neraca'!$A$3:$S$910,7,FALSE))</f>
        <v>0</v>
      </c>
      <c r="I1252" s="42">
        <f>VLOOKUP($A1252,'Neraca Unaudited SIMAK'!$A$2:$R$1272,8,FALSE)+IF(ISNA(VLOOKUP($A1252,'Mutasi Neraca'!$A$3:$S$910,8,FALSE)),0,VLOOKUP($A1252,'Mutasi Neraca'!$A$3:$S$910,8,FALSE))</f>
        <v>0</v>
      </c>
      <c r="J1252" s="42">
        <f>VLOOKUP($A1252,'Neraca Unaudited SIMAK'!$A$2:$R$1272,9,FALSE)+IF(ISNA(VLOOKUP($A1252,'Mutasi Neraca'!$A$3:$S$910,9,FALSE)),0,VLOOKUP($A1252,'Mutasi Neraca'!$A$3:$S$910,9,FALSE))</f>
        <v>0</v>
      </c>
      <c r="K1252" s="42">
        <f>VLOOKUP($A1252,'Neraca Unaudited SIMAK'!$A$2:$R$1272,10,FALSE)+IF(ISNA(VLOOKUP($A1252,'Mutasi Neraca'!$A$3:$S$910,10,FALSE)),0,VLOOKUP($A1252,'Mutasi Neraca'!$A$3:$S$910,10,FALSE))</f>
        <v>0</v>
      </c>
      <c r="L1252" s="42">
        <f>VLOOKUP($A1252,'Neraca Unaudited SIMAK'!$A$2:$R$1272,11,FALSE)+IF(ISNA(VLOOKUP($A1252,'Mutasi Neraca'!$A$3:$S$910,11,FALSE)),0,VLOOKUP($A1252,'Mutasi Neraca'!$A$3:$S$910,11,FALSE))</f>
        <v>0</v>
      </c>
      <c r="M1252" s="42">
        <f>VLOOKUP($A1252,'Neraca Unaudited SIMAK'!$A$2:$R$1272,12,FALSE)+IF(ISNA(VLOOKUP($A1252,'Mutasi Neraca'!$A$3:$S$910,12,FALSE)),0,VLOOKUP($A1252,'Mutasi Neraca'!$A$3:$S$910,12,FALSE))</f>
        <v>0</v>
      </c>
      <c r="N1252" s="42">
        <f>VLOOKUP($A1252,'Neraca Unaudited SIMAK'!$A$2:$R$1272,13,FALSE)+IF(ISNA(VLOOKUP($A1252,'Mutasi Neraca'!$A$3:$S$910,13,FALSE)),0,VLOOKUP($A1252,'Mutasi Neraca'!$A$3:$S$910,13,FALSE))</f>
        <v>0</v>
      </c>
      <c r="O1252" s="42">
        <f>VLOOKUP($A1252,'Neraca Unaudited SIMAK'!$A$2:$R$1272,14,FALSE)+IF(ISNA(VLOOKUP($A1252,'Mutasi Neraca'!$A$3:$S$910,14,FALSE)),0,VLOOKUP($A1252,'Mutasi Neraca'!$A$3:$S$910,14,FALSE))</f>
        <v>0</v>
      </c>
      <c r="P1252" s="42">
        <f>VLOOKUP($A1252,'Neraca Unaudited SIMAK'!$A$2:$R$1272,15,FALSE)+IF(ISNA(VLOOKUP($A1252,'Mutasi Neraca'!$A$3:$S$910,15,FALSE)),0,VLOOKUP($A1252,'Mutasi Neraca'!$A$3:$S$910,15,FALSE))</f>
        <v>0</v>
      </c>
      <c r="Q1252" s="42">
        <f>VLOOKUP($A1252,'Neraca Unaudited SIMAK'!$A$2:$R$1272,16,FALSE)+IF(ISNA(VLOOKUP($A1252,'Mutasi Neraca'!$A$3:$S$910,16,FALSE)),0,VLOOKUP($A1252,'Mutasi Neraca'!$A$3:$S$910,16,FALSE))</f>
        <v>0</v>
      </c>
      <c r="R1252" s="42">
        <f>VLOOKUP($A1252,'Neraca Unaudited SIMAK'!$A$2:$R$1272,17,FALSE)+IF(ISNA(VLOOKUP($A1252,'Mutasi Neraca'!$A$3:$S$910,17,FALSE)),0,VLOOKUP($A1252,'Mutasi Neraca'!$A$3:$S$910,17,FALSE))</f>
        <v>0</v>
      </c>
      <c r="S1252" s="42">
        <f t="shared" si="82"/>
        <v>0</v>
      </c>
    </row>
    <row r="1253" spans="1:19">
      <c r="A1253" s="41" t="s">
        <v>1148</v>
      </c>
      <c r="B1253" s="41" t="str">
        <f t="shared" si="80"/>
        <v>005051700</v>
      </c>
      <c r="D1253" s="42">
        <f>VLOOKUP($A1253,'Neraca Unaudited SIMAK'!$A$2:$R$1272,3,FALSE)+IF(ISNA(VLOOKUP($A1253,'Mutasi Neraca'!$A$3:$S$910,3,FALSE)),0,VLOOKUP($A1253,'Mutasi Neraca'!$A$3:$S$910,3,FALSE))</f>
        <v>2808000</v>
      </c>
      <c r="E1253" s="42">
        <f>VLOOKUP($A1253,'Neraca Unaudited SIMAK'!$A$2:$R$1272,4,FALSE)+IF(ISNA(VLOOKUP($A1253,'Mutasi Neraca'!$A$3:$S$910,4,FALSE)),0,VLOOKUP($A1253,'Mutasi Neraca'!$A$3:$S$910,4,FALSE))</f>
        <v>0</v>
      </c>
      <c r="F1253" s="42">
        <f>VLOOKUP($A1253,'Neraca Unaudited SIMAK'!$A$2:$R$1272,5,FALSE)+IF(ISNA(VLOOKUP($A1253,'Mutasi Neraca'!$A$3:$S$910,5,FALSE)),0,VLOOKUP($A1253,'Mutasi Neraca'!$A$3:$S$910,5,FALSE))</f>
        <v>0</v>
      </c>
      <c r="G1253" s="42">
        <f>VLOOKUP($A1253,'Neraca Unaudited SIMAK'!$A$2:$R$1272,6,FALSE)+IF(ISNA(VLOOKUP($A1253,'Mutasi Neraca'!$A$3:$S$910,6,FALSE)),0,VLOOKUP($A1253,'Mutasi Neraca'!$A$3:$S$910,6,FALSE))</f>
        <v>0</v>
      </c>
      <c r="H1253" s="42">
        <f>VLOOKUP($A1253,'Neraca Unaudited SIMAK'!$A$2:$R$1272,7,FALSE)+IF(ISNA(VLOOKUP($A1253,'Mutasi Neraca'!$A$3:$S$910,7,FALSE)),0,VLOOKUP($A1253,'Mutasi Neraca'!$A$3:$S$910,7,FALSE))</f>
        <v>0</v>
      </c>
      <c r="I1253" s="42">
        <f>VLOOKUP($A1253,'Neraca Unaudited SIMAK'!$A$2:$R$1272,8,FALSE)+IF(ISNA(VLOOKUP($A1253,'Mutasi Neraca'!$A$3:$S$910,8,FALSE)),0,VLOOKUP($A1253,'Mutasi Neraca'!$A$3:$S$910,8,FALSE))</f>
        <v>0</v>
      </c>
      <c r="J1253" s="42">
        <f>VLOOKUP($A1253,'Neraca Unaudited SIMAK'!$A$2:$R$1272,9,FALSE)+IF(ISNA(VLOOKUP($A1253,'Mutasi Neraca'!$A$3:$S$910,9,FALSE)),0,VLOOKUP($A1253,'Mutasi Neraca'!$A$3:$S$910,9,FALSE))</f>
        <v>0</v>
      </c>
      <c r="K1253" s="42">
        <f>VLOOKUP($A1253,'Neraca Unaudited SIMAK'!$A$2:$R$1272,10,FALSE)+IF(ISNA(VLOOKUP($A1253,'Mutasi Neraca'!$A$3:$S$910,10,FALSE)),0,VLOOKUP($A1253,'Mutasi Neraca'!$A$3:$S$910,10,FALSE))</f>
        <v>0</v>
      </c>
      <c r="L1253" s="42">
        <f>VLOOKUP($A1253,'Neraca Unaudited SIMAK'!$A$2:$R$1272,11,FALSE)+IF(ISNA(VLOOKUP($A1253,'Mutasi Neraca'!$A$3:$S$910,11,FALSE)),0,VLOOKUP($A1253,'Mutasi Neraca'!$A$3:$S$910,11,FALSE))</f>
        <v>0</v>
      </c>
      <c r="M1253" s="42">
        <f>VLOOKUP($A1253,'Neraca Unaudited SIMAK'!$A$2:$R$1272,12,FALSE)+IF(ISNA(VLOOKUP($A1253,'Mutasi Neraca'!$A$3:$S$910,12,FALSE)),0,VLOOKUP($A1253,'Mutasi Neraca'!$A$3:$S$910,12,FALSE))</f>
        <v>2808000</v>
      </c>
      <c r="N1253" s="42">
        <f>VLOOKUP($A1253,'Neraca Unaudited SIMAK'!$A$2:$R$1272,13,FALSE)+IF(ISNA(VLOOKUP($A1253,'Mutasi Neraca'!$A$3:$S$910,13,FALSE)),0,VLOOKUP($A1253,'Mutasi Neraca'!$A$3:$S$910,13,FALSE))</f>
        <v>0</v>
      </c>
      <c r="O1253" s="42">
        <f>VLOOKUP($A1253,'Neraca Unaudited SIMAK'!$A$2:$R$1272,14,FALSE)+IF(ISNA(VLOOKUP($A1253,'Mutasi Neraca'!$A$3:$S$910,14,FALSE)),0,VLOOKUP($A1253,'Mutasi Neraca'!$A$3:$S$910,14,FALSE))</f>
        <v>0</v>
      </c>
      <c r="P1253" s="42">
        <f>VLOOKUP($A1253,'Neraca Unaudited SIMAK'!$A$2:$R$1272,15,FALSE)+IF(ISNA(VLOOKUP($A1253,'Mutasi Neraca'!$A$3:$S$910,15,FALSE)),0,VLOOKUP($A1253,'Mutasi Neraca'!$A$3:$S$910,15,FALSE))</f>
        <v>0</v>
      </c>
      <c r="Q1253" s="42">
        <f>VLOOKUP($A1253,'Neraca Unaudited SIMAK'!$A$2:$R$1272,16,FALSE)+IF(ISNA(VLOOKUP($A1253,'Mutasi Neraca'!$A$3:$S$910,16,FALSE)),0,VLOOKUP($A1253,'Mutasi Neraca'!$A$3:$S$910,16,FALSE))</f>
        <v>0</v>
      </c>
      <c r="R1253" s="42">
        <f>VLOOKUP($A1253,'Neraca Unaudited SIMAK'!$A$2:$R$1272,17,FALSE)+IF(ISNA(VLOOKUP($A1253,'Mutasi Neraca'!$A$3:$S$910,17,FALSE)),0,VLOOKUP($A1253,'Mutasi Neraca'!$A$3:$S$910,17,FALSE))</f>
        <v>0</v>
      </c>
      <c r="S1253" s="42">
        <f t="shared" si="82"/>
        <v>2808000</v>
      </c>
    </row>
    <row r="1254" spans="1:19">
      <c r="A1254" s="41" t="s">
        <v>1149</v>
      </c>
      <c r="B1254" s="41" t="str">
        <f t="shared" si="80"/>
        <v>005051700</v>
      </c>
      <c r="D1254" s="42">
        <f>VLOOKUP($A1254,'Neraca Unaudited SIMAK'!$A$2:$R$1272,3,FALSE)+IF(ISNA(VLOOKUP($A1254,'Mutasi Neraca'!$A$3:$S$910,3,FALSE)),0,VLOOKUP($A1254,'Mutasi Neraca'!$A$3:$S$910,3,FALSE))</f>
        <v>3922220</v>
      </c>
      <c r="E1254" s="42">
        <f>VLOOKUP($A1254,'Neraca Unaudited SIMAK'!$A$2:$R$1272,4,FALSE)+IF(ISNA(VLOOKUP($A1254,'Mutasi Neraca'!$A$3:$S$910,4,FALSE)),0,VLOOKUP($A1254,'Mutasi Neraca'!$A$3:$S$910,4,FALSE))</f>
        <v>0</v>
      </c>
      <c r="F1254" s="42">
        <f>VLOOKUP($A1254,'Neraca Unaudited SIMAK'!$A$2:$R$1272,5,FALSE)+IF(ISNA(VLOOKUP($A1254,'Mutasi Neraca'!$A$3:$S$910,5,FALSE)),0,VLOOKUP($A1254,'Mutasi Neraca'!$A$3:$S$910,5,FALSE))</f>
        <v>0</v>
      </c>
      <c r="G1254" s="42">
        <f>VLOOKUP($A1254,'Neraca Unaudited SIMAK'!$A$2:$R$1272,6,FALSE)+IF(ISNA(VLOOKUP($A1254,'Mutasi Neraca'!$A$3:$S$910,6,FALSE)),0,VLOOKUP($A1254,'Mutasi Neraca'!$A$3:$S$910,6,FALSE))</f>
        <v>0</v>
      </c>
      <c r="H1254" s="42">
        <f>VLOOKUP($A1254,'Neraca Unaudited SIMAK'!$A$2:$R$1272,7,FALSE)+IF(ISNA(VLOOKUP($A1254,'Mutasi Neraca'!$A$3:$S$910,7,FALSE)),0,VLOOKUP($A1254,'Mutasi Neraca'!$A$3:$S$910,7,FALSE))</f>
        <v>0</v>
      </c>
      <c r="I1254" s="42">
        <f>VLOOKUP($A1254,'Neraca Unaudited SIMAK'!$A$2:$R$1272,8,FALSE)+IF(ISNA(VLOOKUP($A1254,'Mutasi Neraca'!$A$3:$S$910,8,FALSE)),0,VLOOKUP($A1254,'Mutasi Neraca'!$A$3:$S$910,8,FALSE))</f>
        <v>0</v>
      </c>
      <c r="J1254" s="42">
        <f>VLOOKUP($A1254,'Neraca Unaudited SIMAK'!$A$2:$R$1272,9,FALSE)+IF(ISNA(VLOOKUP($A1254,'Mutasi Neraca'!$A$3:$S$910,9,FALSE)),0,VLOOKUP($A1254,'Mutasi Neraca'!$A$3:$S$910,9,FALSE))</f>
        <v>0</v>
      </c>
      <c r="K1254" s="42">
        <f>VLOOKUP($A1254,'Neraca Unaudited SIMAK'!$A$2:$R$1272,10,FALSE)+IF(ISNA(VLOOKUP($A1254,'Mutasi Neraca'!$A$3:$S$910,10,FALSE)),0,VLOOKUP($A1254,'Mutasi Neraca'!$A$3:$S$910,10,FALSE))</f>
        <v>0</v>
      </c>
      <c r="L1254" s="42">
        <f>VLOOKUP($A1254,'Neraca Unaudited SIMAK'!$A$2:$R$1272,11,FALSE)+IF(ISNA(VLOOKUP($A1254,'Mutasi Neraca'!$A$3:$S$910,11,FALSE)),0,VLOOKUP($A1254,'Mutasi Neraca'!$A$3:$S$910,11,FALSE))</f>
        <v>0</v>
      </c>
      <c r="M1254" s="42">
        <f>VLOOKUP($A1254,'Neraca Unaudited SIMAK'!$A$2:$R$1272,12,FALSE)+IF(ISNA(VLOOKUP($A1254,'Mutasi Neraca'!$A$3:$S$910,12,FALSE)),0,VLOOKUP($A1254,'Mutasi Neraca'!$A$3:$S$910,12,FALSE))</f>
        <v>3922220</v>
      </c>
      <c r="N1254" s="42">
        <f>VLOOKUP($A1254,'Neraca Unaudited SIMAK'!$A$2:$R$1272,13,FALSE)+IF(ISNA(VLOOKUP($A1254,'Mutasi Neraca'!$A$3:$S$910,13,FALSE)),0,VLOOKUP($A1254,'Mutasi Neraca'!$A$3:$S$910,13,FALSE))</f>
        <v>0</v>
      </c>
      <c r="O1254" s="42">
        <f>VLOOKUP($A1254,'Neraca Unaudited SIMAK'!$A$2:$R$1272,14,FALSE)+IF(ISNA(VLOOKUP($A1254,'Mutasi Neraca'!$A$3:$S$910,14,FALSE)),0,VLOOKUP($A1254,'Mutasi Neraca'!$A$3:$S$910,14,FALSE))</f>
        <v>0</v>
      </c>
      <c r="P1254" s="42">
        <f>VLOOKUP($A1254,'Neraca Unaudited SIMAK'!$A$2:$R$1272,15,FALSE)+IF(ISNA(VLOOKUP($A1254,'Mutasi Neraca'!$A$3:$S$910,15,FALSE)),0,VLOOKUP($A1254,'Mutasi Neraca'!$A$3:$S$910,15,FALSE))</f>
        <v>0</v>
      </c>
      <c r="Q1254" s="42">
        <f>VLOOKUP($A1254,'Neraca Unaudited SIMAK'!$A$2:$R$1272,16,FALSE)+IF(ISNA(VLOOKUP($A1254,'Mutasi Neraca'!$A$3:$S$910,16,FALSE)),0,VLOOKUP($A1254,'Mutasi Neraca'!$A$3:$S$910,16,FALSE))</f>
        <v>0</v>
      </c>
      <c r="R1254" s="42">
        <f>VLOOKUP($A1254,'Neraca Unaudited SIMAK'!$A$2:$R$1272,17,FALSE)+IF(ISNA(VLOOKUP($A1254,'Mutasi Neraca'!$A$3:$S$910,17,FALSE)),0,VLOOKUP($A1254,'Mutasi Neraca'!$A$3:$S$910,17,FALSE))</f>
        <v>0</v>
      </c>
      <c r="S1254" s="42">
        <f t="shared" si="82"/>
        <v>3922220</v>
      </c>
    </row>
    <row r="1255" spans="1:19">
      <c r="A1255" s="41" t="s">
        <v>2084</v>
      </c>
      <c r="B1255" s="41" t="str">
        <f t="shared" si="80"/>
        <v>005051800</v>
      </c>
      <c r="D1255" s="42">
        <f>VLOOKUP($A1255,'Neraca Unaudited SIMAK'!$A$2:$R$1272,3,FALSE)+IF(ISNA(VLOOKUP($A1255,'Mutasi Neraca'!$A$3:$S$910,3,FALSE)),0,VLOOKUP($A1255,'Mutasi Neraca'!$A$3:$S$910,3,FALSE))</f>
        <v>0</v>
      </c>
      <c r="E1255" s="42">
        <f>VLOOKUP($A1255,'Neraca Unaudited SIMAK'!$A$2:$R$1272,4,FALSE)+IF(ISNA(VLOOKUP($A1255,'Mutasi Neraca'!$A$3:$S$910,4,FALSE)),0,VLOOKUP($A1255,'Mutasi Neraca'!$A$3:$S$910,4,FALSE))</f>
        <v>0</v>
      </c>
      <c r="F1255" s="42">
        <f>VLOOKUP($A1255,'Neraca Unaudited SIMAK'!$A$2:$R$1272,5,FALSE)+IF(ISNA(VLOOKUP($A1255,'Mutasi Neraca'!$A$3:$S$910,5,FALSE)),0,VLOOKUP($A1255,'Mutasi Neraca'!$A$3:$S$910,5,FALSE))</f>
        <v>0</v>
      </c>
      <c r="G1255" s="42">
        <f>VLOOKUP($A1255,'Neraca Unaudited SIMAK'!$A$2:$R$1272,6,FALSE)+IF(ISNA(VLOOKUP($A1255,'Mutasi Neraca'!$A$3:$S$910,6,FALSE)),0,VLOOKUP($A1255,'Mutasi Neraca'!$A$3:$S$910,6,FALSE))</f>
        <v>0</v>
      </c>
      <c r="H1255" s="42">
        <f>VLOOKUP($A1255,'Neraca Unaudited SIMAK'!$A$2:$R$1272,7,FALSE)+IF(ISNA(VLOOKUP($A1255,'Mutasi Neraca'!$A$3:$S$910,7,FALSE)),0,VLOOKUP($A1255,'Mutasi Neraca'!$A$3:$S$910,7,FALSE))</f>
        <v>0</v>
      </c>
      <c r="I1255" s="42">
        <f>VLOOKUP($A1255,'Neraca Unaudited SIMAK'!$A$2:$R$1272,8,FALSE)+IF(ISNA(VLOOKUP($A1255,'Mutasi Neraca'!$A$3:$S$910,8,FALSE)),0,VLOOKUP($A1255,'Mutasi Neraca'!$A$3:$S$910,8,FALSE))</f>
        <v>0</v>
      </c>
      <c r="J1255" s="42">
        <f>VLOOKUP($A1255,'Neraca Unaudited SIMAK'!$A$2:$R$1272,9,FALSE)+IF(ISNA(VLOOKUP($A1255,'Mutasi Neraca'!$A$3:$S$910,9,FALSE)),0,VLOOKUP($A1255,'Mutasi Neraca'!$A$3:$S$910,9,FALSE))</f>
        <v>0</v>
      </c>
      <c r="K1255" s="42">
        <f>VLOOKUP($A1255,'Neraca Unaudited SIMAK'!$A$2:$R$1272,10,FALSE)+IF(ISNA(VLOOKUP($A1255,'Mutasi Neraca'!$A$3:$S$910,10,FALSE)),0,VLOOKUP($A1255,'Mutasi Neraca'!$A$3:$S$910,10,FALSE))</f>
        <v>0</v>
      </c>
      <c r="L1255" s="42">
        <f>VLOOKUP($A1255,'Neraca Unaudited SIMAK'!$A$2:$R$1272,11,FALSE)+IF(ISNA(VLOOKUP($A1255,'Mutasi Neraca'!$A$3:$S$910,11,FALSE)),0,VLOOKUP($A1255,'Mutasi Neraca'!$A$3:$S$910,11,FALSE))</f>
        <v>0</v>
      </c>
      <c r="M1255" s="42">
        <f>VLOOKUP($A1255,'Neraca Unaudited SIMAK'!$A$2:$R$1272,12,FALSE)+IF(ISNA(VLOOKUP($A1255,'Mutasi Neraca'!$A$3:$S$910,12,FALSE)),0,VLOOKUP($A1255,'Mutasi Neraca'!$A$3:$S$910,12,FALSE))</f>
        <v>0</v>
      </c>
      <c r="N1255" s="42">
        <f>VLOOKUP($A1255,'Neraca Unaudited SIMAK'!$A$2:$R$1272,13,FALSE)+IF(ISNA(VLOOKUP($A1255,'Mutasi Neraca'!$A$3:$S$910,13,FALSE)),0,VLOOKUP($A1255,'Mutasi Neraca'!$A$3:$S$910,13,FALSE))</f>
        <v>0</v>
      </c>
      <c r="O1255" s="42">
        <f>VLOOKUP($A1255,'Neraca Unaudited SIMAK'!$A$2:$R$1272,14,FALSE)+IF(ISNA(VLOOKUP($A1255,'Mutasi Neraca'!$A$3:$S$910,14,FALSE)),0,VLOOKUP($A1255,'Mutasi Neraca'!$A$3:$S$910,14,FALSE))</f>
        <v>0</v>
      </c>
      <c r="P1255" s="42">
        <f>VLOOKUP($A1255,'Neraca Unaudited SIMAK'!$A$2:$R$1272,15,FALSE)+IF(ISNA(VLOOKUP($A1255,'Mutasi Neraca'!$A$3:$S$910,15,FALSE)),0,VLOOKUP($A1255,'Mutasi Neraca'!$A$3:$S$910,15,FALSE))</f>
        <v>0</v>
      </c>
      <c r="Q1255" s="42">
        <f>VLOOKUP($A1255,'Neraca Unaudited SIMAK'!$A$2:$R$1272,16,FALSE)+IF(ISNA(VLOOKUP($A1255,'Mutasi Neraca'!$A$3:$S$910,16,FALSE)),0,VLOOKUP($A1255,'Mutasi Neraca'!$A$3:$S$910,16,FALSE))</f>
        <v>0</v>
      </c>
      <c r="R1255" s="42">
        <f>VLOOKUP($A1255,'Neraca Unaudited SIMAK'!$A$2:$R$1272,17,FALSE)+IF(ISNA(VLOOKUP($A1255,'Mutasi Neraca'!$A$3:$S$910,17,FALSE)),0,VLOOKUP($A1255,'Mutasi Neraca'!$A$3:$S$910,17,FALSE))</f>
        <v>0</v>
      </c>
      <c r="S1255" s="42">
        <f t="shared" si="82"/>
        <v>0</v>
      </c>
    </row>
    <row r="1256" spans="1:19">
      <c r="A1256" s="41" t="s">
        <v>2085</v>
      </c>
      <c r="B1256" s="41" t="str">
        <f t="shared" si="80"/>
        <v>005051900</v>
      </c>
      <c r="D1256" s="42">
        <f>VLOOKUP($A1256,'Neraca Unaudited SIMAK'!$A$2:$R$1272,3,FALSE)+IF(ISNA(VLOOKUP($A1256,'Mutasi Neraca'!$A$3:$S$910,3,FALSE)),0,VLOOKUP($A1256,'Mutasi Neraca'!$A$3:$S$910,3,FALSE))</f>
        <v>0</v>
      </c>
      <c r="E1256" s="42">
        <f>VLOOKUP($A1256,'Neraca Unaudited SIMAK'!$A$2:$R$1272,4,FALSE)+IF(ISNA(VLOOKUP($A1256,'Mutasi Neraca'!$A$3:$S$910,4,FALSE)),0,VLOOKUP($A1256,'Mutasi Neraca'!$A$3:$S$910,4,FALSE))</f>
        <v>0</v>
      </c>
      <c r="F1256" s="42">
        <f>VLOOKUP($A1256,'Neraca Unaudited SIMAK'!$A$2:$R$1272,5,FALSE)+IF(ISNA(VLOOKUP($A1256,'Mutasi Neraca'!$A$3:$S$910,5,FALSE)),0,VLOOKUP($A1256,'Mutasi Neraca'!$A$3:$S$910,5,FALSE))</f>
        <v>0</v>
      </c>
      <c r="G1256" s="42">
        <f>VLOOKUP($A1256,'Neraca Unaudited SIMAK'!$A$2:$R$1272,6,FALSE)+IF(ISNA(VLOOKUP($A1256,'Mutasi Neraca'!$A$3:$S$910,6,FALSE)),0,VLOOKUP($A1256,'Mutasi Neraca'!$A$3:$S$910,6,FALSE))</f>
        <v>0</v>
      </c>
      <c r="H1256" s="42">
        <f>VLOOKUP($A1256,'Neraca Unaudited SIMAK'!$A$2:$R$1272,7,FALSE)+IF(ISNA(VLOOKUP($A1256,'Mutasi Neraca'!$A$3:$S$910,7,FALSE)),0,VLOOKUP($A1256,'Mutasi Neraca'!$A$3:$S$910,7,FALSE))</f>
        <v>0</v>
      </c>
      <c r="I1256" s="42">
        <f>VLOOKUP($A1256,'Neraca Unaudited SIMAK'!$A$2:$R$1272,8,FALSE)+IF(ISNA(VLOOKUP($A1256,'Mutasi Neraca'!$A$3:$S$910,8,FALSE)),0,VLOOKUP($A1256,'Mutasi Neraca'!$A$3:$S$910,8,FALSE))</f>
        <v>0</v>
      </c>
      <c r="J1256" s="42">
        <f>VLOOKUP($A1256,'Neraca Unaudited SIMAK'!$A$2:$R$1272,9,FALSE)+IF(ISNA(VLOOKUP($A1256,'Mutasi Neraca'!$A$3:$S$910,9,FALSE)),0,VLOOKUP($A1256,'Mutasi Neraca'!$A$3:$S$910,9,FALSE))</f>
        <v>0</v>
      </c>
      <c r="K1256" s="42">
        <f>VLOOKUP($A1256,'Neraca Unaudited SIMAK'!$A$2:$R$1272,10,FALSE)+IF(ISNA(VLOOKUP($A1256,'Mutasi Neraca'!$A$3:$S$910,10,FALSE)),0,VLOOKUP($A1256,'Mutasi Neraca'!$A$3:$S$910,10,FALSE))</f>
        <v>0</v>
      </c>
      <c r="L1256" s="42">
        <f>VLOOKUP($A1256,'Neraca Unaudited SIMAK'!$A$2:$R$1272,11,FALSE)+IF(ISNA(VLOOKUP($A1256,'Mutasi Neraca'!$A$3:$S$910,11,FALSE)),0,VLOOKUP($A1256,'Mutasi Neraca'!$A$3:$S$910,11,FALSE))</f>
        <v>0</v>
      </c>
      <c r="M1256" s="42">
        <f>VLOOKUP($A1256,'Neraca Unaudited SIMAK'!$A$2:$R$1272,12,FALSE)+IF(ISNA(VLOOKUP($A1256,'Mutasi Neraca'!$A$3:$S$910,12,FALSE)),0,VLOOKUP($A1256,'Mutasi Neraca'!$A$3:$S$910,12,FALSE))</f>
        <v>0</v>
      </c>
      <c r="N1256" s="42">
        <f>VLOOKUP($A1256,'Neraca Unaudited SIMAK'!$A$2:$R$1272,13,FALSE)+IF(ISNA(VLOOKUP($A1256,'Mutasi Neraca'!$A$3:$S$910,13,FALSE)),0,VLOOKUP($A1256,'Mutasi Neraca'!$A$3:$S$910,13,FALSE))</f>
        <v>0</v>
      </c>
      <c r="O1256" s="42">
        <f>VLOOKUP($A1256,'Neraca Unaudited SIMAK'!$A$2:$R$1272,14,FALSE)+IF(ISNA(VLOOKUP($A1256,'Mutasi Neraca'!$A$3:$S$910,14,FALSE)),0,VLOOKUP($A1256,'Mutasi Neraca'!$A$3:$S$910,14,FALSE))</f>
        <v>0</v>
      </c>
      <c r="P1256" s="42">
        <f>VLOOKUP($A1256,'Neraca Unaudited SIMAK'!$A$2:$R$1272,15,FALSE)+IF(ISNA(VLOOKUP($A1256,'Mutasi Neraca'!$A$3:$S$910,15,FALSE)),0,VLOOKUP($A1256,'Mutasi Neraca'!$A$3:$S$910,15,FALSE))</f>
        <v>0</v>
      </c>
      <c r="Q1256" s="42">
        <f>VLOOKUP($A1256,'Neraca Unaudited SIMAK'!$A$2:$R$1272,16,FALSE)+IF(ISNA(VLOOKUP($A1256,'Mutasi Neraca'!$A$3:$S$910,16,FALSE)),0,VLOOKUP($A1256,'Mutasi Neraca'!$A$3:$S$910,16,FALSE))</f>
        <v>0</v>
      </c>
      <c r="R1256" s="42">
        <f>VLOOKUP($A1256,'Neraca Unaudited SIMAK'!$A$2:$R$1272,17,FALSE)+IF(ISNA(VLOOKUP($A1256,'Mutasi Neraca'!$A$3:$S$910,17,FALSE)),0,VLOOKUP($A1256,'Mutasi Neraca'!$A$3:$S$910,17,FALSE))</f>
        <v>0</v>
      </c>
      <c r="S1256" s="42">
        <f t="shared" si="82"/>
        <v>0</v>
      </c>
    </row>
    <row r="1257" spans="1:19">
      <c r="A1257" s="41" t="s">
        <v>1150</v>
      </c>
      <c r="B1257" s="41" t="str">
        <f t="shared" si="80"/>
        <v>005051900</v>
      </c>
      <c r="D1257" s="42">
        <f>VLOOKUP($A1257,'Neraca Unaudited SIMAK'!$A$2:$R$1272,3,FALSE)+IF(ISNA(VLOOKUP($A1257,'Mutasi Neraca'!$A$3:$S$910,3,FALSE)),0,VLOOKUP($A1257,'Mutasi Neraca'!$A$3:$S$910,3,FALSE))</f>
        <v>96000</v>
      </c>
      <c r="E1257" s="42">
        <f>VLOOKUP($A1257,'Neraca Unaudited SIMAK'!$A$2:$R$1272,4,FALSE)+IF(ISNA(VLOOKUP($A1257,'Mutasi Neraca'!$A$3:$S$910,4,FALSE)),0,VLOOKUP($A1257,'Mutasi Neraca'!$A$3:$S$910,4,FALSE))</f>
        <v>0</v>
      </c>
      <c r="F1257" s="42">
        <f>VLOOKUP($A1257,'Neraca Unaudited SIMAK'!$A$2:$R$1272,5,FALSE)+IF(ISNA(VLOOKUP($A1257,'Mutasi Neraca'!$A$3:$S$910,5,FALSE)),0,VLOOKUP($A1257,'Mutasi Neraca'!$A$3:$S$910,5,FALSE))</f>
        <v>0</v>
      </c>
      <c r="G1257" s="42">
        <f>VLOOKUP($A1257,'Neraca Unaudited SIMAK'!$A$2:$R$1272,6,FALSE)+IF(ISNA(VLOOKUP($A1257,'Mutasi Neraca'!$A$3:$S$910,6,FALSE)),0,VLOOKUP($A1257,'Mutasi Neraca'!$A$3:$S$910,6,FALSE))</f>
        <v>0</v>
      </c>
      <c r="H1257" s="42">
        <f>VLOOKUP($A1257,'Neraca Unaudited SIMAK'!$A$2:$R$1272,7,FALSE)+IF(ISNA(VLOOKUP($A1257,'Mutasi Neraca'!$A$3:$S$910,7,FALSE)),0,VLOOKUP($A1257,'Mutasi Neraca'!$A$3:$S$910,7,FALSE))</f>
        <v>0</v>
      </c>
      <c r="I1257" s="42">
        <f>VLOOKUP($A1257,'Neraca Unaudited SIMAK'!$A$2:$R$1272,8,FALSE)+IF(ISNA(VLOOKUP($A1257,'Mutasi Neraca'!$A$3:$S$910,8,FALSE)),0,VLOOKUP($A1257,'Mutasi Neraca'!$A$3:$S$910,8,FALSE))</f>
        <v>0</v>
      </c>
      <c r="J1257" s="42">
        <f>VLOOKUP($A1257,'Neraca Unaudited SIMAK'!$A$2:$R$1272,9,FALSE)+IF(ISNA(VLOOKUP($A1257,'Mutasi Neraca'!$A$3:$S$910,9,FALSE)),0,VLOOKUP($A1257,'Mutasi Neraca'!$A$3:$S$910,9,FALSE))</f>
        <v>0</v>
      </c>
      <c r="K1257" s="42">
        <f>VLOOKUP($A1257,'Neraca Unaudited SIMAK'!$A$2:$R$1272,10,FALSE)+IF(ISNA(VLOOKUP($A1257,'Mutasi Neraca'!$A$3:$S$910,10,FALSE)),0,VLOOKUP($A1257,'Mutasi Neraca'!$A$3:$S$910,10,FALSE))</f>
        <v>0</v>
      </c>
      <c r="L1257" s="42">
        <f>VLOOKUP($A1257,'Neraca Unaudited SIMAK'!$A$2:$R$1272,11,FALSE)+IF(ISNA(VLOOKUP($A1257,'Mutasi Neraca'!$A$3:$S$910,11,FALSE)),0,VLOOKUP($A1257,'Mutasi Neraca'!$A$3:$S$910,11,FALSE))</f>
        <v>0</v>
      </c>
      <c r="M1257" s="42">
        <f>VLOOKUP($A1257,'Neraca Unaudited SIMAK'!$A$2:$R$1272,12,FALSE)+IF(ISNA(VLOOKUP($A1257,'Mutasi Neraca'!$A$3:$S$910,12,FALSE)),0,VLOOKUP($A1257,'Mutasi Neraca'!$A$3:$S$910,12,FALSE))</f>
        <v>96000</v>
      </c>
      <c r="N1257" s="42">
        <f>VLOOKUP($A1257,'Neraca Unaudited SIMAK'!$A$2:$R$1272,13,FALSE)+IF(ISNA(VLOOKUP($A1257,'Mutasi Neraca'!$A$3:$S$910,13,FALSE)),0,VLOOKUP($A1257,'Mutasi Neraca'!$A$3:$S$910,13,FALSE))</f>
        <v>0</v>
      </c>
      <c r="O1257" s="42">
        <f>VLOOKUP($A1257,'Neraca Unaudited SIMAK'!$A$2:$R$1272,14,FALSE)+IF(ISNA(VLOOKUP($A1257,'Mutasi Neraca'!$A$3:$S$910,14,FALSE)),0,VLOOKUP($A1257,'Mutasi Neraca'!$A$3:$S$910,14,FALSE))</f>
        <v>0</v>
      </c>
      <c r="P1257" s="42">
        <f>VLOOKUP($A1257,'Neraca Unaudited SIMAK'!$A$2:$R$1272,15,FALSE)+IF(ISNA(VLOOKUP($A1257,'Mutasi Neraca'!$A$3:$S$910,15,FALSE)),0,VLOOKUP($A1257,'Mutasi Neraca'!$A$3:$S$910,15,FALSE))</f>
        <v>0</v>
      </c>
      <c r="Q1257" s="42">
        <f>VLOOKUP($A1257,'Neraca Unaudited SIMAK'!$A$2:$R$1272,16,FALSE)+IF(ISNA(VLOOKUP($A1257,'Mutasi Neraca'!$A$3:$S$910,16,FALSE)),0,VLOOKUP($A1257,'Mutasi Neraca'!$A$3:$S$910,16,FALSE))</f>
        <v>0</v>
      </c>
      <c r="R1257" s="42">
        <f>VLOOKUP($A1257,'Neraca Unaudited SIMAK'!$A$2:$R$1272,17,FALSE)+IF(ISNA(VLOOKUP($A1257,'Mutasi Neraca'!$A$3:$S$910,17,FALSE)),0,VLOOKUP($A1257,'Mutasi Neraca'!$A$3:$S$910,17,FALSE))</f>
        <v>0</v>
      </c>
      <c r="S1257" s="42">
        <f t="shared" si="82"/>
        <v>96000</v>
      </c>
    </row>
    <row r="1258" spans="1:19">
      <c r="A1258" s="41" t="s">
        <v>1151</v>
      </c>
      <c r="B1258" s="41" t="str">
        <f t="shared" si="80"/>
        <v>005051900</v>
      </c>
      <c r="D1258" s="42">
        <f>VLOOKUP($A1258,'Neraca Unaudited SIMAK'!$A$2:$R$1272,3,FALSE)+IF(ISNA(VLOOKUP($A1258,'Mutasi Neraca'!$A$3:$S$910,3,FALSE)),0,VLOOKUP($A1258,'Mutasi Neraca'!$A$3:$S$910,3,FALSE))</f>
        <v>0</v>
      </c>
      <c r="E1258" s="42">
        <f>VLOOKUP($A1258,'Neraca Unaudited SIMAK'!$A$2:$R$1272,4,FALSE)+IF(ISNA(VLOOKUP($A1258,'Mutasi Neraca'!$A$3:$S$910,4,FALSE)),0,VLOOKUP($A1258,'Mutasi Neraca'!$A$3:$S$910,4,FALSE))</f>
        <v>0</v>
      </c>
      <c r="F1258" s="42">
        <f>VLOOKUP($A1258,'Neraca Unaudited SIMAK'!$A$2:$R$1272,5,FALSE)+IF(ISNA(VLOOKUP($A1258,'Mutasi Neraca'!$A$3:$S$910,5,FALSE)),0,VLOOKUP($A1258,'Mutasi Neraca'!$A$3:$S$910,5,FALSE))</f>
        <v>0</v>
      </c>
      <c r="G1258" s="42">
        <f>VLOOKUP($A1258,'Neraca Unaudited SIMAK'!$A$2:$R$1272,6,FALSE)+IF(ISNA(VLOOKUP($A1258,'Mutasi Neraca'!$A$3:$S$910,6,FALSE)),0,VLOOKUP($A1258,'Mutasi Neraca'!$A$3:$S$910,6,FALSE))</f>
        <v>0</v>
      </c>
      <c r="H1258" s="42">
        <f>VLOOKUP($A1258,'Neraca Unaudited SIMAK'!$A$2:$R$1272,7,FALSE)+IF(ISNA(VLOOKUP($A1258,'Mutasi Neraca'!$A$3:$S$910,7,FALSE)),0,VLOOKUP($A1258,'Mutasi Neraca'!$A$3:$S$910,7,FALSE))</f>
        <v>0</v>
      </c>
      <c r="I1258" s="42">
        <f>VLOOKUP($A1258,'Neraca Unaudited SIMAK'!$A$2:$R$1272,8,FALSE)+IF(ISNA(VLOOKUP($A1258,'Mutasi Neraca'!$A$3:$S$910,8,FALSE)),0,VLOOKUP($A1258,'Mutasi Neraca'!$A$3:$S$910,8,FALSE))</f>
        <v>0</v>
      </c>
      <c r="J1258" s="42">
        <f>VLOOKUP($A1258,'Neraca Unaudited SIMAK'!$A$2:$R$1272,9,FALSE)+IF(ISNA(VLOOKUP($A1258,'Mutasi Neraca'!$A$3:$S$910,9,FALSE)),0,VLOOKUP($A1258,'Mutasi Neraca'!$A$3:$S$910,9,FALSE))</f>
        <v>0</v>
      </c>
      <c r="K1258" s="42">
        <f>VLOOKUP($A1258,'Neraca Unaudited SIMAK'!$A$2:$R$1272,10,FALSE)+IF(ISNA(VLOOKUP($A1258,'Mutasi Neraca'!$A$3:$S$910,10,FALSE)),0,VLOOKUP($A1258,'Mutasi Neraca'!$A$3:$S$910,10,FALSE))</f>
        <v>0</v>
      </c>
      <c r="L1258" s="42">
        <f>VLOOKUP($A1258,'Neraca Unaudited SIMAK'!$A$2:$R$1272,11,FALSE)+IF(ISNA(VLOOKUP($A1258,'Mutasi Neraca'!$A$3:$S$910,11,FALSE)),0,VLOOKUP($A1258,'Mutasi Neraca'!$A$3:$S$910,11,FALSE))</f>
        <v>0</v>
      </c>
      <c r="M1258" s="42">
        <f>VLOOKUP($A1258,'Neraca Unaudited SIMAK'!$A$2:$R$1272,12,FALSE)+IF(ISNA(VLOOKUP($A1258,'Mutasi Neraca'!$A$3:$S$910,12,FALSE)),0,VLOOKUP($A1258,'Mutasi Neraca'!$A$3:$S$910,12,FALSE))</f>
        <v>0</v>
      </c>
      <c r="N1258" s="42">
        <f>VLOOKUP($A1258,'Neraca Unaudited SIMAK'!$A$2:$R$1272,13,FALSE)+IF(ISNA(VLOOKUP($A1258,'Mutasi Neraca'!$A$3:$S$910,13,FALSE)),0,VLOOKUP($A1258,'Mutasi Neraca'!$A$3:$S$910,13,FALSE))</f>
        <v>0</v>
      </c>
      <c r="O1258" s="42">
        <f>VLOOKUP($A1258,'Neraca Unaudited SIMAK'!$A$2:$R$1272,14,FALSE)+IF(ISNA(VLOOKUP($A1258,'Mutasi Neraca'!$A$3:$S$910,14,FALSE)),0,VLOOKUP($A1258,'Mutasi Neraca'!$A$3:$S$910,14,FALSE))</f>
        <v>0</v>
      </c>
      <c r="P1258" s="42">
        <f>VLOOKUP($A1258,'Neraca Unaudited SIMAK'!$A$2:$R$1272,15,FALSE)+IF(ISNA(VLOOKUP($A1258,'Mutasi Neraca'!$A$3:$S$910,15,FALSE)),0,VLOOKUP($A1258,'Mutasi Neraca'!$A$3:$S$910,15,FALSE))</f>
        <v>0</v>
      </c>
      <c r="Q1258" s="42">
        <f>VLOOKUP($A1258,'Neraca Unaudited SIMAK'!$A$2:$R$1272,16,FALSE)+IF(ISNA(VLOOKUP($A1258,'Mutasi Neraca'!$A$3:$S$910,16,FALSE)),0,VLOOKUP($A1258,'Mutasi Neraca'!$A$3:$S$910,16,FALSE))</f>
        <v>0</v>
      </c>
      <c r="R1258" s="42">
        <f>VLOOKUP($A1258,'Neraca Unaudited SIMAK'!$A$2:$R$1272,17,FALSE)+IF(ISNA(VLOOKUP($A1258,'Mutasi Neraca'!$A$3:$S$910,17,FALSE)),0,VLOOKUP($A1258,'Mutasi Neraca'!$A$3:$S$910,17,FALSE))</f>
        <v>0</v>
      </c>
      <c r="S1258" s="42">
        <f t="shared" si="82"/>
        <v>0</v>
      </c>
    </row>
    <row r="1259" spans="1:19">
      <c r="A1259" s="41" t="s">
        <v>1152</v>
      </c>
      <c r="B1259" s="41" t="str">
        <f t="shared" si="80"/>
        <v>005052000</v>
      </c>
      <c r="D1259" s="42">
        <f>VLOOKUP($A1259,'Neraca Unaudited SIMAK'!$A$2:$R$1272,3,FALSE)+IF(ISNA(VLOOKUP($A1259,'Mutasi Neraca'!$A$3:$S$910,3,FALSE)),0,VLOOKUP($A1259,'Mutasi Neraca'!$A$3:$S$910,3,FALSE))</f>
        <v>0</v>
      </c>
      <c r="E1259" s="42">
        <f>VLOOKUP($A1259,'Neraca Unaudited SIMAK'!$A$2:$R$1272,4,FALSE)+IF(ISNA(VLOOKUP($A1259,'Mutasi Neraca'!$A$3:$S$910,4,FALSE)),0,VLOOKUP($A1259,'Mutasi Neraca'!$A$3:$S$910,4,FALSE))</f>
        <v>0</v>
      </c>
      <c r="F1259" s="42">
        <f>VLOOKUP($A1259,'Neraca Unaudited SIMAK'!$A$2:$R$1272,5,FALSE)+IF(ISNA(VLOOKUP($A1259,'Mutasi Neraca'!$A$3:$S$910,5,FALSE)),0,VLOOKUP($A1259,'Mutasi Neraca'!$A$3:$S$910,5,FALSE))</f>
        <v>0</v>
      </c>
      <c r="G1259" s="42">
        <f>VLOOKUP($A1259,'Neraca Unaudited SIMAK'!$A$2:$R$1272,6,FALSE)+IF(ISNA(VLOOKUP($A1259,'Mutasi Neraca'!$A$3:$S$910,6,FALSE)),0,VLOOKUP($A1259,'Mutasi Neraca'!$A$3:$S$910,6,FALSE))</f>
        <v>0</v>
      </c>
      <c r="H1259" s="42">
        <f>VLOOKUP($A1259,'Neraca Unaudited SIMAK'!$A$2:$R$1272,7,FALSE)+IF(ISNA(VLOOKUP($A1259,'Mutasi Neraca'!$A$3:$S$910,7,FALSE)),0,VLOOKUP($A1259,'Mutasi Neraca'!$A$3:$S$910,7,FALSE))</f>
        <v>0</v>
      </c>
      <c r="I1259" s="42">
        <f>VLOOKUP($A1259,'Neraca Unaudited SIMAK'!$A$2:$R$1272,8,FALSE)+IF(ISNA(VLOOKUP($A1259,'Mutasi Neraca'!$A$3:$S$910,8,FALSE)),0,VLOOKUP($A1259,'Mutasi Neraca'!$A$3:$S$910,8,FALSE))</f>
        <v>0</v>
      </c>
      <c r="J1259" s="42">
        <f>VLOOKUP($A1259,'Neraca Unaudited SIMAK'!$A$2:$R$1272,9,FALSE)+IF(ISNA(VLOOKUP($A1259,'Mutasi Neraca'!$A$3:$S$910,9,FALSE)),0,VLOOKUP($A1259,'Mutasi Neraca'!$A$3:$S$910,9,FALSE))</f>
        <v>0</v>
      </c>
      <c r="K1259" s="42">
        <f>VLOOKUP($A1259,'Neraca Unaudited SIMAK'!$A$2:$R$1272,10,FALSE)+IF(ISNA(VLOOKUP($A1259,'Mutasi Neraca'!$A$3:$S$910,10,FALSE)),0,VLOOKUP($A1259,'Mutasi Neraca'!$A$3:$S$910,10,FALSE))</f>
        <v>0</v>
      </c>
      <c r="L1259" s="42">
        <f>VLOOKUP($A1259,'Neraca Unaudited SIMAK'!$A$2:$R$1272,11,FALSE)+IF(ISNA(VLOOKUP($A1259,'Mutasi Neraca'!$A$3:$S$910,11,FALSE)),0,VLOOKUP($A1259,'Mutasi Neraca'!$A$3:$S$910,11,FALSE))</f>
        <v>0</v>
      </c>
      <c r="M1259" s="42">
        <f>VLOOKUP($A1259,'Neraca Unaudited SIMAK'!$A$2:$R$1272,12,FALSE)+IF(ISNA(VLOOKUP($A1259,'Mutasi Neraca'!$A$3:$S$910,12,FALSE)),0,VLOOKUP($A1259,'Mutasi Neraca'!$A$3:$S$910,12,FALSE))</f>
        <v>0</v>
      </c>
      <c r="N1259" s="42">
        <f>VLOOKUP($A1259,'Neraca Unaudited SIMAK'!$A$2:$R$1272,13,FALSE)+IF(ISNA(VLOOKUP($A1259,'Mutasi Neraca'!$A$3:$S$910,13,FALSE)),0,VLOOKUP($A1259,'Mutasi Neraca'!$A$3:$S$910,13,FALSE))</f>
        <v>0</v>
      </c>
      <c r="O1259" s="42">
        <f>VLOOKUP($A1259,'Neraca Unaudited SIMAK'!$A$2:$R$1272,14,FALSE)+IF(ISNA(VLOOKUP($A1259,'Mutasi Neraca'!$A$3:$S$910,14,FALSE)),0,VLOOKUP($A1259,'Mutasi Neraca'!$A$3:$S$910,14,FALSE))</f>
        <v>0</v>
      </c>
      <c r="P1259" s="42">
        <f>VLOOKUP($A1259,'Neraca Unaudited SIMAK'!$A$2:$R$1272,15,FALSE)+IF(ISNA(VLOOKUP($A1259,'Mutasi Neraca'!$A$3:$S$910,15,FALSE)),0,VLOOKUP($A1259,'Mutasi Neraca'!$A$3:$S$910,15,FALSE))</f>
        <v>0</v>
      </c>
      <c r="Q1259" s="42">
        <f>VLOOKUP($A1259,'Neraca Unaudited SIMAK'!$A$2:$R$1272,16,FALSE)+IF(ISNA(VLOOKUP($A1259,'Mutasi Neraca'!$A$3:$S$910,16,FALSE)),0,VLOOKUP($A1259,'Mutasi Neraca'!$A$3:$S$910,16,FALSE))</f>
        <v>0</v>
      </c>
      <c r="R1259" s="42">
        <f>VLOOKUP($A1259,'Neraca Unaudited SIMAK'!$A$2:$R$1272,17,FALSE)+IF(ISNA(VLOOKUP($A1259,'Mutasi Neraca'!$A$3:$S$910,17,FALSE)),0,VLOOKUP($A1259,'Mutasi Neraca'!$A$3:$S$910,17,FALSE))</f>
        <v>0</v>
      </c>
      <c r="S1259" s="42">
        <f t="shared" si="82"/>
        <v>0</v>
      </c>
    </row>
    <row r="1260" spans="1:19">
      <c r="A1260" s="41" t="s">
        <v>1153</v>
      </c>
      <c r="B1260" s="41" t="str">
        <f t="shared" si="80"/>
        <v>005052100</v>
      </c>
      <c r="D1260" s="42">
        <f>VLOOKUP($A1260,'Neraca Unaudited SIMAK'!$A$2:$R$1272,3,FALSE)+IF(ISNA(VLOOKUP($A1260,'Mutasi Neraca'!$A$3:$S$910,3,FALSE)),0,VLOOKUP($A1260,'Mutasi Neraca'!$A$3:$S$910,3,FALSE))</f>
        <v>90000</v>
      </c>
      <c r="E1260" s="42">
        <f>VLOOKUP($A1260,'Neraca Unaudited SIMAK'!$A$2:$R$1272,4,FALSE)+IF(ISNA(VLOOKUP($A1260,'Mutasi Neraca'!$A$3:$S$910,4,FALSE)),0,VLOOKUP($A1260,'Mutasi Neraca'!$A$3:$S$910,4,FALSE))</f>
        <v>0</v>
      </c>
      <c r="F1260" s="42">
        <f>VLOOKUP($A1260,'Neraca Unaudited SIMAK'!$A$2:$R$1272,5,FALSE)+IF(ISNA(VLOOKUP($A1260,'Mutasi Neraca'!$A$3:$S$910,5,FALSE)),0,VLOOKUP($A1260,'Mutasi Neraca'!$A$3:$S$910,5,FALSE))</f>
        <v>0</v>
      </c>
      <c r="G1260" s="42">
        <f>VLOOKUP($A1260,'Neraca Unaudited SIMAK'!$A$2:$R$1272,6,FALSE)+IF(ISNA(VLOOKUP($A1260,'Mutasi Neraca'!$A$3:$S$910,6,FALSE)),0,VLOOKUP($A1260,'Mutasi Neraca'!$A$3:$S$910,6,FALSE))</f>
        <v>0</v>
      </c>
      <c r="H1260" s="42">
        <f>VLOOKUP($A1260,'Neraca Unaudited SIMAK'!$A$2:$R$1272,7,FALSE)+IF(ISNA(VLOOKUP($A1260,'Mutasi Neraca'!$A$3:$S$910,7,FALSE)),0,VLOOKUP($A1260,'Mutasi Neraca'!$A$3:$S$910,7,FALSE))</f>
        <v>0</v>
      </c>
      <c r="I1260" s="42">
        <f>VLOOKUP($A1260,'Neraca Unaudited SIMAK'!$A$2:$R$1272,8,FALSE)+IF(ISNA(VLOOKUP($A1260,'Mutasi Neraca'!$A$3:$S$910,8,FALSE)),0,VLOOKUP($A1260,'Mutasi Neraca'!$A$3:$S$910,8,FALSE))</f>
        <v>0</v>
      </c>
      <c r="J1260" s="42">
        <f>VLOOKUP($A1260,'Neraca Unaudited SIMAK'!$A$2:$R$1272,9,FALSE)+IF(ISNA(VLOOKUP($A1260,'Mutasi Neraca'!$A$3:$S$910,9,FALSE)),0,VLOOKUP($A1260,'Mutasi Neraca'!$A$3:$S$910,9,FALSE))</f>
        <v>0</v>
      </c>
      <c r="K1260" s="42">
        <f>VLOOKUP($A1260,'Neraca Unaudited SIMAK'!$A$2:$R$1272,10,FALSE)+IF(ISNA(VLOOKUP($A1260,'Mutasi Neraca'!$A$3:$S$910,10,FALSE)),0,VLOOKUP($A1260,'Mutasi Neraca'!$A$3:$S$910,10,FALSE))</f>
        <v>0</v>
      </c>
      <c r="L1260" s="42">
        <f>VLOOKUP($A1260,'Neraca Unaudited SIMAK'!$A$2:$R$1272,11,FALSE)+IF(ISNA(VLOOKUP($A1260,'Mutasi Neraca'!$A$3:$S$910,11,FALSE)),0,VLOOKUP($A1260,'Mutasi Neraca'!$A$3:$S$910,11,FALSE))</f>
        <v>0</v>
      </c>
      <c r="M1260" s="42">
        <f>VLOOKUP($A1260,'Neraca Unaudited SIMAK'!$A$2:$R$1272,12,FALSE)+IF(ISNA(VLOOKUP($A1260,'Mutasi Neraca'!$A$3:$S$910,12,FALSE)),0,VLOOKUP($A1260,'Mutasi Neraca'!$A$3:$S$910,12,FALSE))</f>
        <v>90000</v>
      </c>
      <c r="N1260" s="42">
        <f>VLOOKUP($A1260,'Neraca Unaudited SIMAK'!$A$2:$R$1272,13,FALSE)+IF(ISNA(VLOOKUP($A1260,'Mutasi Neraca'!$A$3:$S$910,13,FALSE)),0,VLOOKUP($A1260,'Mutasi Neraca'!$A$3:$S$910,13,FALSE))</f>
        <v>0</v>
      </c>
      <c r="O1260" s="42">
        <f>VLOOKUP($A1260,'Neraca Unaudited SIMAK'!$A$2:$R$1272,14,FALSE)+IF(ISNA(VLOOKUP($A1260,'Mutasi Neraca'!$A$3:$S$910,14,FALSE)),0,VLOOKUP($A1260,'Mutasi Neraca'!$A$3:$S$910,14,FALSE))</f>
        <v>0</v>
      </c>
      <c r="P1260" s="42">
        <f>VLOOKUP($A1260,'Neraca Unaudited SIMAK'!$A$2:$R$1272,15,FALSE)+IF(ISNA(VLOOKUP($A1260,'Mutasi Neraca'!$A$3:$S$910,15,FALSE)),0,VLOOKUP($A1260,'Mutasi Neraca'!$A$3:$S$910,15,FALSE))</f>
        <v>0</v>
      </c>
      <c r="Q1260" s="42">
        <f>VLOOKUP($A1260,'Neraca Unaudited SIMAK'!$A$2:$R$1272,16,FALSE)+IF(ISNA(VLOOKUP($A1260,'Mutasi Neraca'!$A$3:$S$910,16,FALSE)),0,VLOOKUP($A1260,'Mutasi Neraca'!$A$3:$S$910,16,FALSE))</f>
        <v>0</v>
      </c>
      <c r="R1260" s="42">
        <f>VLOOKUP($A1260,'Neraca Unaudited SIMAK'!$A$2:$R$1272,17,FALSE)+IF(ISNA(VLOOKUP($A1260,'Mutasi Neraca'!$A$3:$S$910,17,FALSE)),0,VLOOKUP($A1260,'Mutasi Neraca'!$A$3:$S$910,17,FALSE))</f>
        <v>0</v>
      </c>
      <c r="S1260" s="42">
        <f t="shared" si="82"/>
        <v>90000</v>
      </c>
    </row>
    <row r="1261" spans="1:19">
      <c r="A1261" s="41" t="s">
        <v>1154</v>
      </c>
      <c r="B1261" s="41" t="str">
        <f t="shared" si="80"/>
        <v>005052100</v>
      </c>
      <c r="D1261" s="42">
        <f>VLOOKUP($A1261,'Neraca Unaudited SIMAK'!$A$2:$R$1272,3,FALSE)+IF(ISNA(VLOOKUP($A1261,'Mutasi Neraca'!$A$3:$S$910,3,FALSE)),0,VLOOKUP($A1261,'Mutasi Neraca'!$A$3:$S$910,3,FALSE))</f>
        <v>245000</v>
      </c>
      <c r="E1261" s="42">
        <f>VLOOKUP($A1261,'Neraca Unaudited SIMAK'!$A$2:$R$1272,4,FALSE)+IF(ISNA(VLOOKUP($A1261,'Mutasi Neraca'!$A$3:$S$910,4,FALSE)),0,VLOOKUP($A1261,'Mutasi Neraca'!$A$3:$S$910,4,FALSE))</f>
        <v>0</v>
      </c>
      <c r="F1261" s="42">
        <f>VLOOKUP($A1261,'Neraca Unaudited SIMAK'!$A$2:$R$1272,5,FALSE)+IF(ISNA(VLOOKUP($A1261,'Mutasi Neraca'!$A$3:$S$910,5,FALSE)),0,VLOOKUP($A1261,'Mutasi Neraca'!$A$3:$S$910,5,FALSE))</f>
        <v>0</v>
      </c>
      <c r="G1261" s="42">
        <f>VLOOKUP($A1261,'Neraca Unaudited SIMAK'!$A$2:$R$1272,6,FALSE)+IF(ISNA(VLOOKUP($A1261,'Mutasi Neraca'!$A$3:$S$910,6,FALSE)),0,VLOOKUP($A1261,'Mutasi Neraca'!$A$3:$S$910,6,FALSE))</f>
        <v>0</v>
      </c>
      <c r="H1261" s="42">
        <f>VLOOKUP($A1261,'Neraca Unaudited SIMAK'!$A$2:$R$1272,7,FALSE)+IF(ISNA(VLOOKUP($A1261,'Mutasi Neraca'!$A$3:$S$910,7,FALSE)),0,VLOOKUP($A1261,'Mutasi Neraca'!$A$3:$S$910,7,FALSE))</f>
        <v>0</v>
      </c>
      <c r="I1261" s="42">
        <f>VLOOKUP($A1261,'Neraca Unaudited SIMAK'!$A$2:$R$1272,8,FALSE)+IF(ISNA(VLOOKUP($A1261,'Mutasi Neraca'!$A$3:$S$910,8,FALSE)),0,VLOOKUP($A1261,'Mutasi Neraca'!$A$3:$S$910,8,FALSE))</f>
        <v>0</v>
      </c>
      <c r="J1261" s="42">
        <f>VLOOKUP($A1261,'Neraca Unaudited SIMAK'!$A$2:$R$1272,9,FALSE)+IF(ISNA(VLOOKUP($A1261,'Mutasi Neraca'!$A$3:$S$910,9,FALSE)),0,VLOOKUP($A1261,'Mutasi Neraca'!$A$3:$S$910,9,FALSE))</f>
        <v>0</v>
      </c>
      <c r="K1261" s="42">
        <f>VLOOKUP($A1261,'Neraca Unaudited SIMAK'!$A$2:$R$1272,10,FALSE)+IF(ISNA(VLOOKUP($A1261,'Mutasi Neraca'!$A$3:$S$910,10,FALSE)),0,VLOOKUP($A1261,'Mutasi Neraca'!$A$3:$S$910,10,FALSE))</f>
        <v>0</v>
      </c>
      <c r="L1261" s="42">
        <f>VLOOKUP($A1261,'Neraca Unaudited SIMAK'!$A$2:$R$1272,11,FALSE)+IF(ISNA(VLOOKUP($A1261,'Mutasi Neraca'!$A$3:$S$910,11,FALSE)),0,VLOOKUP($A1261,'Mutasi Neraca'!$A$3:$S$910,11,FALSE))</f>
        <v>0</v>
      </c>
      <c r="M1261" s="42">
        <f>VLOOKUP($A1261,'Neraca Unaudited SIMAK'!$A$2:$R$1272,12,FALSE)+IF(ISNA(VLOOKUP($A1261,'Mutasi Neraca'!$A$3:$S$910,12,FALSE)),0,VLOOKUP($A1261,'Mutasi Neraca'!$A$3:$S$910,12,FALSE))</f>
        <v>245000</v>
      </c>
      <c r="N1261" s="42">
        <f>VLOOKUP($A1261,'Neraca Unaudited SIMAK'!$A$2:$R$1272,13,FALSE)+IF(ISNA(VLOOKUP($A1261,'Mutasi Neraca'!$A$3:$S$910,13,FALSE)),0,VLOOKUP($A1261,'Mutasi Neraca'!$A$3:$S$910,13,FALSE))</f>
        <v>0</v>
      </c>
      <c r="O1261" s="42">
        <f>VLOOKUP($A1261,'Neraca Unaudited SIMAK'!$A$2:$R$1272,14,FALSE)+IF(ISNA(VLOOKUP($A1261,'Mutasi Neraca'!$A$3:$S$910,14,FALSE)),0,VLOOKUP($A1261,'Mutasi Neraca'!$A$3:$S$910,14,FALSE))</f>
        <v>0</v>
      </c>
      <c r="P1261" s="42">
        <f>VLOOKUP($A1261,'Neraca Unaudited SIMAK'!$A$2:$R$1272,15,FALSE)+IF(ISNA(VLOOKUP($A1261,'Mutasi Neraca'!$A$3:$S$910,15,FALSE)),0,VLOOKUP($A1261,'Mutasi Neraca'!$A$3:$S$910,15,FALSE))</f>
        <v>0</v>
      </c>
      <c r="Q1261" s="42">
        <f>VLOOKUP($A1261,'Neraca Unaudited SIMAK'!$A$2:$R$1272,16,FALSE)+IF(ISNA(VLOOKUP($A1261,'Mutasi Neraca'!$A$3:$S$910,16,FALSE)),0,VLOOKUP($A1261,'Mutasi Neraca'!$A$3:$S$910,16,FALSE))</f>
        <v>0</v>
      </c>
      <c r="R1261" s="42">
        <f>VLOOKUP($A1261,'Neraca Unaudited SIMAK'!$A$2:$R$1272,17,FALSE)+IF(ISNA(VLOOKUP($A1261,'Mutasi Neraca'!$A$3:$S$910,17,FALSE)),0,VLOOKUP($A1261,'Mutasi Neraca'!$A$3:$S$910,17,FALSE))</f>
        <v>0</v>
      </c>
      <c r="S1261" s="42">
        <f t="shared" si="82"/>
        <v>245000</v>
      </c>
    </row>
    <row r="1262" spans="1:19">
      <c r="A1262" s="41" t="s">
        <v>1155</v>
      </c>
      <c r="B1262" s="41" t="str">
        <f t="shared" si="80"/>
        <v>005052200</v>
      </c>
      <c r="D1262" s="42">
        <f>VLOOKUP($A1262,'Neraca Unaudited SIMAK'!$A$2:$R$1272,3,FALSE)+IF(ISNA(VLOOKUP($A1262,'Mutasi Neraca'!$A$3:$S$910,3,FALSE)),0,VLOOKUP($A1262,'Mutasi Neraca'!$A$3:$S$910,3,FALSE))</f>
        <v>0</v>
      </c>
      <c r="E1262" s="42">
        <f>VLOOKUP($A1262,'Neraca Unaudited SIMAK'!$A$2:$R$1272,4,FALSE)+IF(ISNA(VLOOKUP($A1262,'Mutasi Neraca'!$A$3:$S$910,4,FALSE)),0,VLOOKUP($A1262,'Mutasi Neraca'!$A$3:$S$910,4,FALSE))</f>
        <v>0</v>
      </c>
      <c r="F1262" s="42">
        <f>VLOOKUP($A1262,'Neraca Unaudited SIMAK'!$A$2:$R$1272,5,FALSE)+IF(ISNA(VLOOKUP($A1262,'Mutasi Neraca'!$A$3:$S$910,5,FALSE)),0,VLOOKUP($A1262,'Mutasi Neraca'!$A$3:$S$910,5,FALSE))</f>
        <v>0</v>
      </c>
      <c r="G1262" s="42">
        <f>VLOOKUP($A1262,'Neraca Unaudited SIMAK'!$A$2:$R$1272,6,FALSE)+IF(ISNA(VLOOKUP($A1262,'Mutasi Neraca'!$A$3:$S$910,6,FALSE)),0,VLOOKUP($A1262,'Mutasi Neraca'!$A$3:$S$910,6,FALSE))</f>
        <v>0</v>
      </c>
      <c r="H1262" s="42">
        <f>VLOOKUP($A1262,'Neraca Unaudited SIMAK'!$A$2:$R$1272,7,FALSE)+IF(ISNA(VLOOKUP($A1262,'Mutasi Neraca'!$A$3:$S$910,7,FALSE)),0,VLOOKUP($A1262,'Mutasi Neraca'!$A$3:$S$910,7,FALSE))</f>
        <v>0</v>
      </c>
      <c r="I1262" s="42">
        <f>VLOOKUP($A1262,'Neraca Unaudited SIMAK'!$A$2:$R$1272,8,FALSE)+IF(ISNA(VLOOKUP($A1262,'Mutasi Neraca'!$A$3:$S$910,8,FALSE)),0,VLOOKUP($A1262,'Mutasi Neraca'!$A$3:$S$910,8,FALSE))</f>
        <v>0</v>
      </c>
      <c r="J1262" s="42">
        <f>VLOOKUP($A1262,'Neraca Unaudited SIMAK'!$A$2:$R$1272,9,FALSE)+IF(ISNA(VLOOKUP($A1262,'Mutasi Neraca'!$A$3:$S$910,9,FALSE)),0,VLOOKUP($A1262,'Mutasi Neraca'!$A$3:$S$910,9,FALSE))</f>
        <v>0</v>
      </c>
      <c r="K1262" s="42">
        <f>VLOOKUP($A1262,'Neraca Unaudited SIMAK'!$A$2:$R$1272,10,FALSE)+IF(ISNA(VLOOKUP($A1262,'Mutasi Neraca'!$A$3:$S$910,10,FALSE)),0,VLOOKUP($A1262,'Mutasi Neraca'!$A$3:$S$910,10,FALSE))</f>
        <v>0</v>
      </c>
      <c r="L1262" s="42">
        <f>VLOOKUP($A1262,'Neraca Unaudited SIMAK'!$A$2:$R$1272,11,FALSE)+IF(ISNA(VLOOKUP($A1262,'Mutasi Neraca'!$A$3:$S$910,11,FALSE)),0,VLOOKUP($A1262,'Mutasi Neraca'!$A$3:$S$910,11,FALSE))</f>
        <v>0</v>
      </c>
      <c r="M1262" s="42">
        <f>VLOOKUP($A1262,'Neraca Unaudited SIMAK'!$A$2:$R$1272,12,FALSE)+IF(ISNA(VLOOKUP($A1262,'Mutasi Neraca'!$A$3:$S$910,12,FALSE)),0,VLOOKUP($A1262,'Mutasi Neraca'!$A$3:$S$910,12,FALSE))</f>
        <v>0</v>
      </c>
      <c r="N1262" s="42">
        <f>VLOOKUP($A1262,'Neraca Unaudited SIMAK'!$A$2:$R$1272,13,FALSE)+IF(ISNA(VLOOKUP($A1262,'Mutasi Neraca'!$A$3:$S$910,13,FALSE)),0,VLOOKUP($A1262,'Mutasi Neraca'!$A$3:$S$910,13,FALSE))</f>
        <v>0</v>
      </c>
      <c r="O1262" s="42">
        <f>VLOOKUP($A1262,'Neraca Unaudited SIMAK'!$A$2:$R$1272,14,FALSE)+IF(ISNA(VLOOKUP($A1262,'Mutasi Neraca'!$A$3:$S$910,14,FALSE)),0,VLOOKUP($A1262,'Mutasi Neraca'!$A$3:$S$910,14,FALSE))</f>
        <v>0</v>
      </c>
      <c r="P1262" s="42">
        <f>VLOOKUP($A1262,'Neraca Unaudited SIMAK'!$A$2:$R$1272,15,FALSE)+IF(ISNA(VLOOKUP($A1262,'Mutasi Neraca'!$A$3:$S$910,15,FALSE)),0,VLOOKUP($A1262,'Mutasi Neraca'!$A$3:$S$910,15,FALSE))</f>
        <v>0</v>
      </c>
      <c r="Q1262" s="42">
        <f>VLOOKUP($A1262,'Neraca Unaudited SIMAK'!$A$2:$R$1272,16,FALSE)+IF(ISNA(VLOOKUP($A1262,'Mutasi Neraca'!$A$3:$S$910,16,FALSE)),0,VLOOKUP($A1262,'Mutasi Neraca'!$A$3:$S$910,16,FALSE))</f>
        <v>0</v>
      </c>
      <c r="R1262" s="42">
        <f>VLOOKUP($A1262,'Neraca Unaudited SIMAK'!$A$2:$R$1272,17,FALSE)+IF(ISNA(VLOOKUP($A1262,'Mutasi Neraca'!$A$3:$S$910,17,FALSE)),0,VLOOKUP($A1262,'Mutasi Neraca'!$A$3:$S$910,17,FALSE))</f>
        <v>0</v>
      </c>
      <c r="S1262" s="42">
        <f t="shared" si="82"/>
        <v>0</v>
      </c>
    </row>
    <row r="1263" spans="1:19">
      <c r="A1263" s="41" t="s">
        <v>2212</v>
      </c>
      <c r="B1263" s="41" t="str">
        <f t="shared" si="80"/>
        <v>005052200</v>
      </c>
      <c r="D1263" s="42">
        <f>VLOOKUP($A1263,'Neraca Unaudited SIMAK'!$A$2:$R$1272,3,FALSE)+IF(ISNA(VLOOKUP($A1263,'Mutasi Neraca'!$A$3:$S$910,3,FALSE)),0,VLOOKUP($A1263,'Mutasi Neraca'!$A$3:$S$910,3,FALSE))</f>
        <v>18000</v>
      </c>
      <c r="E1263" s="42">
        <f>VLOOKUP($A1263,'Neraca Unaudited SIMAK'!$A$2:$R$1272,4,FALSE)+IF(ISNA(VLOOKUP($A1263,'Mutasi Neraca'!$A$3:$S$910,4,FALSE)),0,VLOOKUP($A1263,'Mutasi Neraca'!$A$3:$S$910,4,FALSE))</f>
        <v>0</v>
      </c>
      <c r="F1263" s="42">
        <f>VLOOKUP($A1263,'Neraca Unaudited SIMAK'!$A$2:$R$1272,5,FALSE)+IF(ISNA(VLOOKUP($A1263,'Mutasi Neraca'!$A$3:$S$910,5,FALSE)),0,VLOOKUP($A1263,'Mutasi Neraca'!$A$3:$S$910,5,FALSE))</f>
        <v>0</v>
      </c>
      <c r="G1263" s="42">
        <f>VLOOKUP($A1263,'Neraca Unaudited SIMAK'!$A$2:$R$1272,6,FALSE)+IF(ISNA(VLOOKUP($A1263,'Mutasi Neraca'!$A$3:$S$910,6,FALSE)),0,VLOOKUP($A1263,'Mutasi Neraca'!$A$3:$S$910,6,FALSE))</f>
        <v>0</v>
      </c>
      <c r="H1263" s="42">
        <f>VLOOKUP($A1263,'Neraca Unaudited SIMAK'!$A$2:$R$1272,7,FALSE)+IF(ISNA(VLOOKUP($A1263,'Mutasi Neraca'!$A$3:$S$910,7,FALSE)),0,VLOOKUP($A1263,'Mutasi Neraca'!$A$3:$S$910,7,FALSE))</f>
        <v>0</v>
      </c>
      <c r="I1263" s="42">
        <f>VLOOKUP($A1263,'Neraca Unaudited SIMAK'!$A$2:$R$1272,8,FALSE)+IF(ISNA(VLOOKUP($A1263,'Mutasi Neraca'!$A$3:$S$910,8,FALSE)),0,VLOOKUP($A1263,'Mutasi Neraca'!$A$3:$S$910,8,FALSE))</f>
        <v>0</v>
      </c>
      <c r="J1263" s="42">
        <f>VLOOKUP($A1263,'Neraca Unaudited SIMAK'!$A$2:$R$1272,9,FALSE)+IF(ISNA(VLOOKUP($A1263,'Mutasi Neraca'!$A$3:$S$910,9,FALSE)),0,VLOOKUP($A1263,'Mutasi Neraca'!$A$3:$S$910,9,FALSE))</f>
        <v>0</v>
      </c>
      <c r="K1263" s="42">
        <f>VLOOKUP($A1263,'Neraca Unaudited SIMAK'!$A$2:$R$1272,10,FALSE)+IF(ISNA(VLOOKUP($A1263,'Mutasi Neraca'!$A$3:$S$910,10,FALSE)),0,VLOOKUP($A1263,'Mutasi Neraca'!$A$3:$S$910,10,FALSE))</f>
        <v>0</v>
      </c>
      <c r="L1263" s="42">
        <f>VLOOKUP($A1263,'Neraca Unaudited SIMAK'!$A$2:$R$1272,11,FALSE)+IF(ISNA(VLOOKUP($A1263,'Mutasi Neraca'!$A$3:$S$910,11,FALSE)),0,VLOOKUP($A1263,'Mutasi Neraca'!$A$3:$S$910,11,FALSE))</f>
        <v>0</v>
      </c>
      <c r="M1263" s="42">
        <f>VLOOKUP($A1263,'Neraca Unaudited SIMAK'!$A$2:$R$1272,12,FALSE)+IF(ISNA(VLOOKUP($A1263,'Mutasi Neraca'!$A$3:$S$910,12,FALSE)),0,VLOOKUP($A1263,'Mutasi Neraca'!$A$3:$S$910,12,FALSE))</f>
        <v>18000</v>
      </c>
      <c r="N1263" s="42">
        <f>VLOOKUP($A1263,'Neraca Unaudited SIMAK'!$A$2:$R$1272,13,FALSE)+IF(ISNA(VLOOKUP($A1263,'Mutasi Neraca'!$A$3:$S$910,13,FALSE)),0,VLOOKUP($A1263,'Mutasi Neraca'!$A$3:$S$910,13,FALSE))</f>
        <v>0</v>
      </c>
      <c r="O1263" s="42">
        <f>VLOOKUP($A1263,'Neraca Unaudited SIMAK'!$A$2:$R$1272,14,FALSE)+IF(ISNA(VLOOKUP($A1263,'Mutasi Neraca'!$A$3:$S$910,14,FALSE)),0,VLOOKUP($A1263,'Mutasi Neraca'!$A$3:$S$910,14,FALSE))</f>
        <v>0</v>
      </c>
      <c r="P1263" s="42">
        <f>VLOOKUP($A1263,'Neraca Unaudited SIMAK'!$A$2:$R$1272,15,FALSE)+IF(ISNA(VLOOKUP($A1263,'Mutasi Neraca'!$A$3:$S$910,15,FALSE)),0,VLOOKUP($A1263,'Mutasi Neraca'!$A$3:$S$910,15,FALSE))</f>
        <v>0</v>
      </c>
      <c r="Q1263" s="42">
        <f>VLOOKUP($A1263,'Neraca Unaudited SIMAK'!$A$2:$R$1272,16,FALSE)+IF(ISNA(VLOOKUP($A1263,'Mutasi Neraca'!$A$3:$S$910,16,FALSE)),0,VLOOKUP($A1263,'Mutasi Neraca'!$A$3:$S$910,16,FALSE))</f>
        <v>0</v>
      </c>
      <c r="R1263" s="42">
        <f>VLOOKUP($A1263,'Neraca Unaudited SIMAK'!$A$2:$R$1272,17,FALSE)+IF(ISNA(VLOOKUP($A1263,'Mutasi Neraca'!$A$3:$S$910,17,FALSE)),0,VLOOKUP($A1263,'Mutasi Neraca'!$A$3:$S$910,17,FALSE))</f>
        <v>0</v>
      </c>
      <c r="S1263" s="42">
        <f t="shared" si="82"/>
        <v>18000</v>
      </c>
    </row>
    <row r="1264" spans="1:19">
      <c r="A1264" s="41" t="s">
        <v>2213</v>
      </c>
      <c r="B1264" s="41" t="str">
        <f t="shared" si="80"/>
        <v>005052300</v>
      </c>
      <c r="D1264" s="42">
        <f>VLOOKUP($A1264,'Neraca Unaudited SIMAK'!$A$2:$R$1272,3,FALSE)+IF(ISNA(VLOOKUP($A1264,'Mutasi Neraca'!$A$3:$S$910,3,FALSE)),0,VLOOKUP($A1264,'Mutasi Neraca'!$A$3:$S$910,3,FALSE))</f>
        <v>1279125</v>
      </c>
      <c r="E1264" s="42">
        <f>VLOOKUP($A1264,'Neraca Unaudited SIMAK'!$A$2:$R$1272,4,FALSE)+IF(ISNA(VLOOKUP($A1264,'Mutasi Neraca'!$A$3:$S$910,4,FALSE)),0,VLOOKUP($A1264,'Mutasi Neraca'!$A$3:$S$910,4,FALSE))</f>
        <v>0</v>
      </c>
      <c r="F1264" s="42">
        <f>VLOOKUP($A1264,'Neraca Unaudited SIMAK'!$A$2:$R$1272,5,FALSE)+IF(ISNA(VLOOKUP($A1264,'Mutasi Neraca'!$A$3:$S$910,5,FALSE)),0,VLOOKUP($A1264,'Mutasi Neraca'!$A$3:$S$910,5,FALSE))</f>
        <v>0</v>
      </c>
      <c r="G1264" s="42">
        <f>VLOOKUP($A1264,'Neraca Unaudited SIMAK'!$A$2:$R$1272,6,FALSE)+IF(ISNA(VLOOKUP($A1264,'Mutasi Neraca'!$A$3:$S$910,6,FALSE)),0,VLOOKUP($A1264,'Mutasi Neraca'!$A$3:$S$910,6,FALSE))</f>
        <v>0</v>
      </c>
      <c r="H1264" s="42">
        <f>VLOOKUP($A1264,'Neraca Unaudited SIMAK'!$A$2:$R$1272,7,FALSE)+IF(ISNA(VLOOKUP($A1264,'Mutasi Neraca'!$A$3:$S$910,7,FALSE)),0,VLOOKUP($A1264,'Mutasi Neraca'!$A$3:$S$910,7,FALSE))</f>
        <v>0</v>
      </c>
      <c r="I1264" s="42">
        <f>VLOOKUP($A1264,'Neraca Unaudited SIMAK'!$A$2:$R$1272,8,FALSE)+IF(ISNA(VLOOKUP($A1264,'Mutasi Neraca'!$A$3:$S$910,8,FALSE)),0,VLOOKUP($A1264,'Mutasi Neraca'!$A$3:$S$910,8,FALSE))</f>
        <v>0</v>
      </c>
      <c r="J1264" s="42">
        <f>VLOOKUP($A1264,'Neraca Unaudited SIMAK'!$A$2:$R$1272,9,FALSE)+IF(ISNA(VLOOKUP($A1264,'Mutasi Neraca'!$A$3:$S$910,9,FALSE)),0,VLOOKUP($A1264,'Mutasi Neraca'!$A$3:$S$910,9,FALSE))</f>
        <v>0</v>
      </c>
      <c r="K1264" s="42">
        <f>VLOOKUP($A1264,'Neraca Unaudited SIMAK'!$A$2:$R$1272,10,FALSE)+IF(ISNA(VLOOKUP($A1264,'Mutasi Neraca'!$A$3:$S$910,10,FALSE)),0,VLOOKUP($A1264,'Mutasi Neraca'!$A$3:$S$910,10,FALSE))</f>
        <v>0</v>
      </c>
      <c r="L1264" s="42">
        <f>VLOOKUP($A1264,'Neraca Unaudited SIMAK'!$A$2:$R$1272,11,FALSE)+IF(ISNA(VLOOKUP($A1264,'Mutasi Neraca'!$A$3:$S$910,11,FALSE)),0,VLOOKUP($A1264,'Mutasi Neraca'!$A$3:$S$910,11,FALSE))</f>
        <v>0</v>
      </c>
      <c r="M1264" s="42">
        <f>VLOOKUP($A1264,'Neraca Unaudited SIMAK'!$A$2:$R$1272,12,FALSE)+IF(ISNA(VLOOKUP($A1264,'Mutasi Neraca'!$A$3:$S$910,12,FALSE)),0,VLOOKUP($A1264,'Mutasi Neraca'!$A$3:$S$910,12,FALSE))</f>
        <v>1279125</v>
      </c>
      <c r="N1264" s="42">
        <f>VLOOKUP($A1264,'Neraca Unaudited SIMAK'!$A$2:$R$1272,13,FALSE)+IF(ISNA(VLOOKUP($A1264,'Mutasi Neraca'!$A$3:$S$910,13,FALSE)),0,VLOOKUP($A1264,'Mutasi Neraca'!$A$3:$S$910,13,FALSE))</f>
        <v>0</v>
      </c>
      <c r="O1264" s="42">
        <f>VLOOKUP($A1264,'Neraca Unaudited SIMAK'!$A$2:$R$1272,14,FALSE)+IF(ISNA(VLOOKUP($A1264,'Mutasi Neraca'!$A$3:$S$910,14,FALSE)),0,VLOOKUP($A1264,'Mutasi Neraca'!$A$3:$S$910,14,FALSE))</f>
        <v>0</v>
      </c>
      <c r="P1264" s="42">
        <f>VLOOKUP($A1264,'Neraca Unaudited SIMAK'!$A$2:$R$1272,15,FALSE)+IF(ISNA(VLOOKUP($A1264,'Mutasi Neraca'!$A$3:$S$910,15,FALSE)),0,VLOOKUP($A1264,'Mutasi Neraca'!$A$3:$S$910,15,FALSE))</f>
        <v>0</v>
      </c>
      <c r="Q1264" s="42">
        <f>VLOOKUP($A1264,'Neraca Unaudited SIMAK'!$A$2:$R$1272,16,FALSE)+IF(ISNA(VLOOKUP($A1264,'Mutasi Neraca'!$A$3:$S$910,16,FALSE)),0,VLOOKUP($A1264,'Mutasi Neraca'!$A$3:$S$910,16,FALSE))</f>
        <v>0</v>
      </c>
      <c r="R1264" s="42">
        <f>VLOOKUP($A1264,'Neraca Unaudited SIMAK'!$A$2:$R$1272,17,FALSE)+IF(ISNA(VLOOKUP($A1264,'Mutasi Neraca'!$A$3:$S$910,17,FALSE)),0,VLOOKUP($A1264,'Mutasi Neraca'!$A$3:$S$910,17,FALSE))</f>
        <v>0</v>
      </c>
      <c r="S1264" s="42">
        <f t="shared" si="82"/>
        <v>1279125</v>
      </c>
    </row>
    <row r="1265" spans="1:19">
      <c r="A1265" s="41" t="s">
        <v>1156</v>
      </c>
      <c r="B1265" s="41" t="str">
        <f t="shared" si="80"/>
        <v>005052500</v>
      </c>
      <c r="D1265" s="42">
        <f>VLOOKUP($A1265,'Neraca Unaudited SIMAK'!$A$2:$R$1272,3,FALSE)+IF(ISNA(VLOOKUP($A1265,'Mutasi Neraca'!$A$3:$S$910,3,FALSE)),0,VLOOKUP($A1265,'Mutasi Neraca'!$A$3:$S$910,3,FALSE))</f>
        <v>0</v>
      </c>
      <c r="E1265" s="42">
        <f>VLOOKUP($A1265,'Neraca Unaudited SIMAK'!$A$2:$R$1272,4,FALSE)+IF(ISNA(VLOOKUP($A1265,'Mutasi Neraca'!$A$3:$S$910,4,FALSE)),0,VLOOKUP($A1265,'Mutasi Neraca'!$A$3:$S$910,4,FALSE))</f>
        <v>0</v>
      </c>
      <c r="F1265" s="42">
        <f>VLOOKUP($A1265,'Neraca Unaudited SIMAK'!$A$2:$R$1272,5,FALSE)+IF(ISNA(VLOOKUP($A1265,'Mutasi Neraca'!$A$3:$S$910,5,FALSE)),0,VLOOKUP($A1265,'Mutasi Neraca'!$A$3:$S$910,5,FALSE))</f>
        <v>0</v>
      </c>
      <c r="G1265" s="42">
        <f>VLOOKUP($A1265,'Neraca Unaudited SIMAK'!$A$2:$R$1272,6,FALSE)+IF(ISNA(VLOOKUP($A1265,'Mutasi Neraca'!$A$3:$S$910,6,FALSE)),0,VLOOKUP($A1265,'Mutasi Neraca'!$A$3:$S$910,6,FALSE))</f>
        <v>0</v>
      </c>
      <c r="H1265" s="42">
        <f>VLOOKUP($A1265,'Neraca Unaudited SIMAK'!$A$2:$R$1272,7,FALSE)+IF(ISNA(VLOOKUP($A1265,'Mutasi Neraca'!$A$3:$S$910,7,FALSE)),0,VLOOKUP($A1265,'Mutasi Neraca'!$A$3:$S$910,7,FALSE))</f>
        <v>0</v>
      </c>
      <c r="I1265" s="42">
        <f>VLOOKUP($A1265,'Neraca Unaudited SIMAK'!$A$2:$R$1272,8,FALSE)+IF(ISNA(VLOOKUP($A1265,'Mutasi Neraca'!$A$3:$S$910,8,FALSE)),0,VLOOKUP($A1265,'Mutasi Neraca'!$A$3:$S$910,8,FALSE))</f>
        <v>0</v>
      </c>
      <c r="J1265" s="42">
        <f>VLOOKUP($A1265,'Neraca Unaudited SIMAK'!$A$2:$R$1272,9,FALSE)+IF(ISNA(VLOOKUP($A1265,'Mutasi Neraca'!$A$3:$S$910,9,FALSE)),0,VLOOKUP($A1265,'Mutasi Neraca'!$A$3:$S$910,9,FALSE))</f>
        <v>0</v>
      </c>
      <c r="K1265" s="42">
        <f>VLOOKUP($A1265,'Neraca Unaudited SIMAK'!$A$2:$R$1272,10,FALSE)+IF(ISNA(VLOOKUP($A1265,'Mutasi Neraca'!$A$3:$S$910,10,FALSE)),0,VLOOKUP($A1265,'Mutasi Neraca'!$A$3:$S$910,10,FALSE))</f>
        <v>0</v>
      </c>
      <c r="L1265" s="42">
        <f>VLOOKUP($A1265,'Neraca Unaudited SIMAK'!$A$2:$R$1272,11,FALSE)+IF(ISNA(VLOOKUP($A1265,'Mutasi Neraca'!$A$3:$S$910,11,FALSE)),0,VLOOKUP($A1265,'Mutasi Neraca'!$A$3:$S$910,11,FALSE))</f>
        <v>0</v>
      </c>
      <c r="M1265" s="42">
        <f>VLOOKUP($A1265,'Neraca Unaudited SIMAK'!$A$2:$R$1272,12,FALSE)+IF(ISNA(VLOOKUP($A1265,'Mutasi Neraca'!$A$3:$S$910,12,FALSE)),0,VLOOKUP($A1265,'Mutasi Neraca'!$A$3:$S$910,12,FALSE))</f>
        <v>0</v>
      </c>
      <c r="N1265" s="42">
        <f>VLOOKUP($A1265,'Neraca Unaudited SIMAK'!$A$2:$R$1272,13,FALSE)+IF(ISNA(VLOOKUP($A1265,'Mutasi Neraca'!$A$3:$S$910,13,FALSE)),0,VLOOKUP($A1265,'Mutasi Neraca'!$A$3:$S$910,13,FALSE))</f>
        <v>0</v>
      </c>
      <c r="O1265" s="42">
        <f>VLOOKUP($A1265,'Neraca Unaudited SIMAK'!$A$2:$R$1272,14,FALSE)+IF(ISNA(VLOOKUP($A1265,'Mutasi Neraca'!$A$3:$S$910,14,FALSE)),0,VLOOKUP($A1265,'Mutasi Neraca'!$A$3:$S$910,14,FALSE))</f>
        <v>0</v>
      </c>
      <c r="P1265" s="42">
        <f>VLOOKUP($A1265,'Neraca Unaudited SIMAK'!$A$2:$R$1272,15,FALSE)+IF(ISNA(VLOOKUP($A1265,'Mutasi Neraca'!$A$3:$S$910,15,FALSE)),0,VLOOKUP($A1265,'Mutasi Neraca'!$A$3:$S$910,15,FALSE))</f>
        <v>0</v>
      </c>
      <c r="Q1265" s="42">
        <f>VLOOKUP($A1265,'Neraca Unaudited SIMAK'!$A$2:$R$1272,16,FALSE)+IF(ISNA(VLOOKUP($A1265,'Mutasi Neraca'!$A$3:$S$910,16,FALSE)),0,VLOOKUP($A1265,'Mutasi Neraca'!$A$3:$S$910,16,FALSE))</f>
        <v>0</v>
      </c>
      <c r="R1265" s="42">
        <f>VLOOKUP($A1265,'Neraca Unaudited SIMAK'!$A$2:$R$1272,17,FALSE)+IF(ISNA(VLOOKUP($A1265,'Mutasi Neraca'!$A$3:$S$910,17,FALSE)),0,VLOOKUP($A1265,'Mutasi Neraca'!$A$3:$S$910,17,FALSE))</f>
        <v>0</v>
      </c>
      <c r="S1265" s="42">
        <f t="shared" si="82"/>
        <v>0</v>
      </c>
    </row>
    <row r="1266" spans="1:19">
      <c r="A1266" s="41" t="s">
        <v>2282</v>
      </c>
      <c r="B1266" s="41" t="str">
        <f t="shared" si="80"/>
        <v>005052500</v>
      </c>
      <c r="D1266" s="42">
        <f>VLOOKUP($A1266,'Neraca Unaudited SIMAK'!$A$2:$R$1272,3,FALSE)+IF(ISNA(VLOOKUP($A1266,'Mutasi Neraca'!$A$3:$S$910,3,FALSE)),0,VLOOKUP($A1266,'Mutasi Neraca'!$A$3:$S$910,3,FALSE))</f>
        <v>0</v>
      </c>
      <c r="E1266" s="42">
        <f>VLOOKUP($A1266,'Neraca Unaudited SIMAK'!$A$2:$R$1272,4,FALSE)+IF(ISNA(VLOOKUP($A1266,'Mutasi Neraca'!$A$3:$S$910,4,FALSE)),0,VLOOKUP($A1266,'Mutasi Neraca'!$A$3:$S$910,4,FALSE))</f>
        <v>0</v>
      </c>
      <c r="F1266" s="42">
        <f>VLOOKUP($A1266,'Neraca Unaudited SIMAK'!$A$2:$R$1272,5,FALSE)+IF(ISNA(VLOOKUP($A1266,'Mutasi Neraca'!$A$3:$S$910,5,FALSE)),0,VLOOKUP($A1266,'Mutasi Neraca'!$A$3:$S$910,5,FALSE))</f>
        <v>0</v>
      </c>
      <c r="G1266" s="42">
        <f>VLOOKUP($A1266,'Neraca Unaudited SIMAK'!$A$2:$R$1272,6,FALSE)+IF(ISNA(VLOOKUP($A1266,'Mutasi Neraca'!$A$3:$S$910,6,FALSE)),0,VLOOKUP($A1266,'Mutasi Neraca'!$A$3:$S$910,6,FALSE))</f>
        <v>0</v>
      </c>
      <c r="H1266" s="42">
        <f>VLOOKUP($A1266,'Neraca Unaudited SIMAK'!$A$2:$R$1272,7,FALSE)+IF(ISNA(VLOOKUP($A1266,'Mutasi Neraca'!$A$3:$S$910,7,FALSE)),0,VLOOKUP($A1266,'Mutasi Neraca'!$A$3:$S$910,7,FALSE))</f>
        <v>0</v>
      </c>
      <c r="I1266" s="42">
        <f>VLOOKUP($A1266,'Neraca Unaudited SIMAK'!$A$2:$R$1272,8,FALSE)+IF(ISNA(VLOOKUP($A1266,'Mutasi Neraca'!$A$3:$S$910,8,FALSE)),0,VLOOKUP($A1266,'Mutasi Neraca'!$A$3:$S$910,8,FALSE))</f>
        <v>0</v>
      </c>
      <c r="J1266" s="42">
        <f>VLOOKUP($A1266,'Neraca Unaudited SIMAK'!$A$2:$R$1272,9,FALSE)+IF(ISNA(VLOOKUP($A1266,'Mutasi Neraca'!$A$3:$S$910,9,FALSE)),0,VLOOKUP($A1266,'Mutasi Neraca'!$A$3:$S$910,9,FALSE))</f>
        <v>0</v>
      </c>
      <c r="K1266" s="42">
        <f>VLOOKUP($A1266,'Neraca Unaudited SIMAK'!$A$2:$R$1272,10,FALSE)+IF(ISNA(VLOOKUP($A1266,'Mutasi Neraca'!$A$3:$S$910,10,FALSE)),0,VLOOKUP($A1266,'Mutasi Neraca'!$A$3:$S$910,10,FALSE))</f>
        <v>0</v>
      </c>
      <c r="L1266" s="42">
        <f>VLOOKUP($A1266,'Neraca Unaudited SIMAK'!$A$2:$R$1272,11,FALSE)+IF(ISNA(VLOOKUP($A1266,'Mutasi Neraca'!$A$3:$S$910,11,FALSE)),0,VLOOKUP($A1266,'Mutasi Neraca'!$A$3:$S$910,11,FALSE))</f>
        <v>0</v>
      </c>
      <c r="M1266" s="42">
        <f>VLOOKUP($A1266,'Neraca Unaudited SIMAK'!$A$2:$R$1272,12,FALSE)+IF(ISNA(VLOOKUP($A1266,'Mutasi Neraca'!$A$3:$S$910,12,FALSE)),0,VLOOKUP($A1266,'Mutasi Neraca'!$A$3:$S$910,12,FALSE))</f>
        <v>0</v>
      </c>
      <c r="N1266" s="42">
        <f>VLOOKUP($A1266,'Neraca Unaudited SIMAK'!$A$2:$R$1272,13,FALSE)+IF(ISNA(VLOOKUP($A1266,'Mutasi Neraca'!$A$3:$S$910,13,FALSE)),0,VLOOKUP($A1266,'Mutasi Neraca'!$A$3:$S$910,13,FALSE))</f>
        <v>0</v>
      </c>
      <c r="O1266" s="42">
        <f>VLOOKUP($A1266,'Neraca Unaudited SIMAK'!$A$2:$R$1272,14,FALSE)+IF(ISNA(VLOOKUP($A1266,'Mutasi Neraca'!$A$3:$S$910,14,FALSE)),0,VLOOKUP($A1266,'Mutasi Neraca'!$A$3:$S$910,14,FALSE))</f>
        <v>0</v>
      </c>
      <c r="P1266" s="42">
        <f>VLOOKUP($A1266,'Neraca Unaudited SIMAK'!$A$2:$R$1272,15,FALSE)+IF(ISNA(VLOOKUP($A1266,'Mutasi Neraca'!$A$3:$S$910,15,FALSE)),0,VLOOKUP($A1266,'Mutasi Neraca'!$A$3:$S$910,15,FALSE))</f>
        <v>0</v>
      </c>
      <c r="Q1266" s="42">
        <f>VLOOKUP($A1266,'Neraca Unaudited SIMAK'!$A$2:$R$1272,16,FALSE)+IF(ISNA(VLOOKUP($A1266,'Mutasi Neraca'!$A$3:$S$910,16,FALSE)),0,VLOOKUP($A1266,'Mutasi Neraca'!$A$3:$S$910,16,FALSE))</f>
        <v>0</v>
      </c>
      <c r="R1266" s="42">
        <f>VLOOKUP($A1266,'Neraca Unaudited SIMAK'!$A$2:$R$1272,17,FALSE)+IF(ISNA(VLOOKUP($A1266,'Mutasi Neraca'!$A$3:$S$910,17,FALSE)),0,VLOOKUP($A1266,'Mutasi Neraca'!$A$3:$S$910,17,FALSE))</f>
        <v>0</v>
      </c>
      <c r="S1266" s="42">
        <f t="shared" si="82"/>
        <v>0</v>
      </c>
    </row>
    <row r="1267" spans="1:19">
      <c r="A1267" s="41" t="s">
        <v>2086</v>
      </c>
      <c r="B1267" s="41" t="str">
        <f t="shared" si="80"/>
        <v>005052900</v>
      </c>
      <c r="D1267" s="42">
        <f>VLOOKUP($A1267,'Neraca Unaudited SIMAK'!$A$2:$R$1272,3,FALSE)+IF(ISNA(VLOOKUP($A1267,'Mutasi Neraca'!$A$3:$S$910,3,FALSE)),0,VLOOKUP($A1267,'Mutasi Neraca'!$A$3:$S$910,3,FALSE))</f>
        <v>0</v>
      </c>
      <c r="E1267" s="42">
        <f>VLOOKUP($A1267,'Neraca Unaudited SIMAK'!$A$2:$R$1272,4,FALSE)+IF(ISNA(VLOOKUP($A1267,'Mutasi Neraca'!$A$3:$S$910,4,FALSE)),0,VLOOKUP($A1267,'Mutasi Neraca'!$A$3:$S$910,4,FALSE))</f>
        <v>0</v>
      </c>
      <c r="F1267" s="42">
        <f>VLOOKUP($A1267,'Neraca Unaudited SIMAK'!$A$2:$R$1272,5,FALSE)+IF(ISNA(VLOOKUP($A1267,'Mutasi Neraca'!$A$3:$S$910,5,FALSE)),0,VLOOKUP($A1267,'Mutasi Neraca'!$A$3:$S$910,5,FALSE))</f>
        <v>0</v>
      </c>
      <c r="G1267" s="42">
        <f>VLOOKUP($A1267,'Neraca Unaudited SIMAK'!$A$2:$R$1272,6,FALSE)+IF(ISNA(VLOOKUP($A1267,'Mutasi Neraca'!$A$3:$S$910,6,FALSE)),0,VLOOKUP($A1267,'Mutasi Neraca'!$A$3:$S$910,6,FALSE))</f>
        <v>0</v>
      </c>
      <c r="H1267" s="42">
        <f>VLOOKUP($A1267,'Neraca Unaudited SIMAK'!$A$2:$R$1272,7,FALSE)+IF(ISNA(VLOOKUP($A1267,'Mutasi Neraca'!$A$3:$S$910,7,FALSE)),0,VLOOKUP($A1267,'Mutasi Neraca'!$A$3:$S$910,7,FALSE))</f>
        <v>0</v>
      </c>
      <c r="I1267" s="42">
        <f>VLOOKUP($A1267,'Neraca Unaudited SIMAK'!$A$2:$R$1272,8,FALSE)+IF(ISNA(VLOOKUP($A1267,'Mutasi Neraca'!$A$3:$S$910,8,FALSE)),0,VLOOKUP($A1267,'Mutasi Neraca'!$A$3:$S$910,8,FALSE))</f>
        <v>0</v>
      </c>
      <c r="J1267" s="42">
        <f>VLOOKUP($A1267,'Neraca Unaudited SIMAK'!$A$2:$R$1272,9,FALSE)+IF(ISNA(VLOOKUP($A1267,'Mutasi Neraca'!$A$3:$S$910,9,FALSE)),0,VLOOKUP($A1267,'Mutasi Neraca'!$A$3:$S$910,9,FALSE))</f>
        <v>0</v>
      </c>
      <c r="K1267" s="42">
        <f>VLOOKUP($A1267,'Neraca Unaudited SIMAK'!$A$2:$R$1272,10,FALSE)+IF(ISNA(VLOOKUP($A1267,'Mutasi Neraca'!$A$3:$S$910,10,FALSE)),0,VLOOKUP($A1267,'Mutasi Neraca'!$A$3:$S$910,10,FALSE))</f>
        <v>0</v>
      </c>
      <c r="L1267" s="42">
        <f>VLOOKUP($A1267,'Neraca Unaudited SIMAK'!$A$2:$R$1272,11,FALSE)+IF(ISNA(VLOOKUP($A1267,'Mutasi Neraca'!$A$3:$S$910,11,FALSE)),0,VLOOKUP($A1267,'Mutasi Neraca'!$A$3:$S$910,11,FALSE))</f>
        <v>0</v>
      </c>
      <c r="M1267" s="42">
        <f>VLOOKUP($A1267,'Neraca Unaudited SIMAK'!$A$2:$R$1272,12,FALSE)+IF(ISNA(VLOOKUP($A1267,'Mutasi Neraca'!$A$3:$S$910,12,FALSE)),0,VLOOKUP($A1267,'Mutasi Neraca'!$A$3:$S$910,12,FALSE))</f>
        <v>0</v>
      </c>
      <c r="N1267" s="42">
        <f>VLOOKUP($A1267,'Neraca Unaudited SIMAK'!$A$2:$R$1272,13,FALSE)+IF(ISNA(VLOOKUP($A1267,'Mutasi Neraca'!$A$3:$S$910,13,FALSE)),0,VLOOKUP($A1267,'Mutasi Neraca'!$A$3:$S$910,13,FALSE))</f>
        <v>0</v>
      </c>
      <c r="O1267" s="42">
        <f>VLOOKUP($A1267,'Neraca Unaudited SIMAK'!$A$2:$R$1272,14,FALSE)+IF(ISNA(VLOOKUP($A1267,'Mutasi Neraca'!$A$3:$S$910,14,FALSE)),0,VLOOKUP($A1267,'Mutasi Neraca'!$A$3:$S$910,14,FALSE))</f>
        <v>0</v>
      </c>
      <c r="P1267" s="42">
        <f>VLOOKUP($A1267,'Neraca Unaudited SIMAK'!$A$2:$R$1272,15,FALSE)+IF(ISNA(VLOOKUP($A1267,'Mutasi Neraca'!$A$3:$S$910,15,FALSE)),0,VLOOKUP($A1267,'Mutasi Neraca'!$A$3:$S$910,15,FALSE))</f>
        <v>0</v>
      </c>
      <c r="Q1267" s="42">
        <f>VLOOKUP($A1267,'Neraca Unaudited SIMAK'!$A$2:$R$1272,16,FALSE)+IF(ISNA(VLOOKUP($A1267,'Mutasi Neraca'!$A$3:$S$910,16,FALSE)),0,VLOOKUP($A1267,'Mutasi Neraca'!$A$3:$S$910,16,FALSE))</f>
        <v>0</v>
      </c>
      <c r="R1267" s="42">
        <f>VLOOKUP($A1267,'Neraca Unaudited SIMAK'!$A$2:$R$1272,17,FALSE)+IF(ISNA(VLOOKUP($A1267,'Mutasi Neraca'!$A$3:$S$910,17,FALSE)),0,VLOOKUP($A1267,'Mutasi Neraca'!$A$3:$S$910,17,FALSE))</f>
        <v>0</v>
      </c>
      <c r="S1267" s="42">
        <f t="shared" si="82"/>
        <v>0</v>
      </c>
    </row>
    <row r="1268" spans="1:19">
      <c r="A1268" s="41" t="s">
        <v>2283</v>
      </c>
      <c r="B1268" s="41" t="str">
        <f t="shared" si="80"/>
        <v>005053200</v>
      </c>
      <c r="D1268" s="42">
        <f>VLOOKUP($A1268,'Neraca Unaudited SIMAK'!$A$2:$R$1272,3,FALSE)+IF(ISNA(VLOOKUP($A1268,'Mutasi Neraca'!$A$3:$S$910,3,FALSE)),0,VLOOKUP($A1268,'Mutasi Neraca'!$A$3:$S$910,3,FALSE))</f>
        <v>40000</v>
      </c>
      <c r="E1268" s="42">
        <f>VLOOKUP($A1268,'Neraca Unaudited SIMAK'!$A$2:$R$1272,4,FALSE)+IF(ISNA(VLOOKUP($A1268,'Mutasi Neraca'!$A$3:$S$910,4,FALSE)),0,VLOOKUP($A1268,'Mutasi Neraca'!$A$3:$S$910,4,FALSE))</f>
        <v>0</v>
      </c>
      <c r="F1268" s="42">
        <f>VLOOKUP($A1268,'Neraca Unaudited SIMAK'!$A$2:$R$1272,5,FALSE)+IF(ISNA(VLOOKUP($A1268,'Mutasi Neraca'!$A$3:$S$910,5,FALSE)),0,VLOOKUP($A1268,'Mutasi Neraca'!$A$3:$S$910,5,FALSE))</f>
        <v>0</v>
      </c>
      <c r="G1268" s="42">
        <f>VLOOKUP($A1268,'Neraca Unaudited SIMAK'!$A$2:$R$1272,6,FALSE)+IF(ISNA(VLOOKUP($A1268,'Mutasi Neraca'!$A$3:$S$910,6,FALSE)),0,VLOOKUP($A1268,'Mutasi Neraca'!$A$3:$S$910,6,FALSE))</f>
        <v>0</v>
      </c>
      <c r="H1268" s="42">
        <f>VLOOKUP($A1268,'Neraca Unaudited SIMAK'!$A$2:$R$1272,7,FALSE)+IF(ISNA(VLOOKUP($A1268,'Mutasi Neraca'!$A$3:$S$910,7,FALSE)),0,VLOOKUP($A1268,'Mutasi Neraca'!$A$3:$S$910,7,FALSE))</f>
        <v>0</v>
      </c>
      <c r="I1268" s="42">
        <f>VLOOKUP($A1268,'Neraca Unaudited SIMAK'!$A$2:$R$1272,8,FALSE)+IF(ISNA(VLOOKUP($A1268,'Mutasi Neraca'!$A$3:$S$910,8,FALSE)),0,VLOOKUP($A1268,'Mutasi Neraca'!$A$3:$S$910,8,FALSE))</f>
        <v>0</v>
      </c>
      <c r="J1268" s="42">
        <f>VLOOKUP($A1268,'Neraca Unaudited SIMAK'!$A$2:$R$1272,9,FALSE)+IF(ISNA(VLOOKUP($A1268,'Mutasi Neraca'!$A$3:$S$910,9,FALSE)),0,VLOOKUP($A1268,'Mutasi Neraca'!$A$3:$S$910,9,FALSE))</f>
        <v>0</v>
      </c>
      <c r="K1268" s="42">
        <f>VLOOKUP($A1268,'Neraca Unaudited SIMAK'!$A$2:$R$1272,10,FALSE)+IF(ISNA(VLOOKUP($A1268,'Mutasi Neraca'!$A$3:$S$910,10,FALSE)),0,VLOOKUP($A1268,'Mutasi Neraca'!$A$3:$S$910,10,FALSE))</f>
        <v>0</v>
      </c>
      <c r="L1268" s="42">
        <f>VLOOKUP($A1268,'Neraca Unaudited SIMAK'!$A$2:$R$1272,11,FALSE)+IF(ISNA(VLOOKUP($A1268,'Mutasi Neraca'!$A$3:$S$910,11,FALSE)),0,VLOOKUP($A1268,'Mutasi Neraca'!$A$3:$S$910,11,FALSE))</f>
        <v>0</v>
      </c>
      <c r="M1268" s="42">
        <f>VLOOKUP($A1268,'Neraca Unaudited SIMAK'!$A$2:$R$1272,12,FALSE)+IF(ISNA(VLOOKUP($A1268,'Mutasi Neraca'!$A$3:$S$910,12,FALSE)),0,VLOOKUP($A1268,'Mutasi Neraca'!$A$3:$S$910,12,FALSE))</f>
        <v>40000</v>
      </c>
      <c r="N1268" s="42">
        <f>VLOOKUP($A1268,'Neraca Unaudited SIMAK'!$A$2:$R$1272,13,FALSE)+IF(ISNA(VLOOKUP($A1268,'Mutasi Neraca'!$A$3:$S$910,13,FALSE)),0,VLOOKUP($A1268,'Mutasi Neraca'!$A$3:$S$910,13,FALSE))</f>
        <v>0</v>
      </c>
      <c r="O1268" s="42">
        <f>VLOOKUP($A1268,'Neraca Unaudited SIMAK'!$A$2:$R$1272,14,FALSE)+IF(ISNA(VLOOKUP($A1268,'Mutasi Neraca'!$A$3:$S$910,14,FALSE)),0,VLOOKUP($A1268,'Mutasi Neraca'!$A$3:$S$910,14,FALSE))</f>
        <v>0</v>
      </c>
      <c r="P1268" s="42">
        <f>VLOOKUP($A1268,'Neraca Unaudited SIMAK'!$A$2:$R$1272,15,FALSE)+IF(ISNA(VLOOKUP($A1268,'Mutasi Neraca'!$A$3:$S$910,15,FALSE)),0,VLOOKUP($A1268,'Mutasi Neraca'!$A$3:$S$910,15,FALSE))</f>
        <v>0</v>
      </c>
      <c r="Q1268" s="42">
        <f>VLOOKUP($A1268,'Neraca Unaudited SIMAK'!$A$2:$R$1272,16,FALSE)+IF(ISNA(VLOOKUP($A1268,'Mutasi Neraca'!$A$3:$S$910,16,FALSE)),0,VLOOKUP($A1268,'Mutasi Neraca'!$A$3:$S$910,16,FALSE))</f>
        <v>0</v>
      </c>
      <c r="R1268" s="42">
        <f>VLOOKUP($A1268,'Neraca Unaudited SIMAK'!$A$2:$R$1272,17,FALSE)+IF(ISNA(VLOOKUP($A1268,'Mutasi Neraca'!$A$3:$S$910,17,FALSE)),0,VLOOKUP($A1268,'Mutasi Neraca'!$A$3:$S$910,17,FALSE))</f>
        <v>0</v>
      </c>
      <c r="S1268" s="42">
        <f t="shared" si="82"/>
        <v>40000</v>
      </c>
    </row>
    <row r="1269" spans="1:19">
      <c r="A1269" s="41" t="s">
        <v>1159</v>
      </c>
      <c r="B1269" s="41" t="str">
        <f t="shared" si="80"/>
        <v>005060199</v>
      </c>
      <c r="D1269" s="42">
        <f>VLOOKUP($A1269,'Neraca Unaudited SIMAK'!$A$2:$R$1272,3,FALSE)+IF(ISNA(VLOOKUP($A1269,'Mutasi Neraca'!$A$3:$S$910,3,FALSE)),0,VLOOKUP($A1269,'Mutasi Neraca'!$A$3:$S$910,3,FALSE))</f>
        <v>70859014</v>
      </c>
      <c r="E1269" s="42">
        <f>VLOOKUP($A1269,'Neraca Unaudited SIMAK'!$A$2:$R$1272,4,FALSE)+IF(ISNA(VLOOKUP($A1269,'Mutasi Neraca'!$A$3:$S$910,4,FALSE)),0,VLOOKUP($A1269,'Mutasi Neraca'!$A$3:$S$910,4,FALSE))</f>
        <v>15198558000</v>
      </c>
      <c r="F1269" s="42">
        <f>VLOOKUP($A1269,'Neraca Unaudited SIMAK'!$A$2:$R$1272,5,FALSE)+IF(ISNA(VLOOKUP($A1269,'Mutasi Neraca'!$A$3:$S$910,5,FALSE)),0,VLOOKUP($A1269,'Mutasi Neraca'!$A$3:$S$910,5,FALSE))</f>
        <v>80552204704</v>
      </c>
      <c r="G1269" s="42">
        <f>VLOOKUP($A1269,'Neraca Unaudited SIMAK'!$A$2:$R$1272,6,FALSE)+IF(ISNA(VLOOKUP($A1269,'Mutasi Neraca'!$A$3:$S$910,6,FALSE)),0,VLOOKUP($A1269,'Mutasi Neraca'!$A$3:$S$910,6,FALSE))</f>
        <v>118367878880</v>
      </c>
      <c r="H1269" s="42">
        <f>VLOOKUP($A1269,'Neraca Unaudited SIMAK'!$A$2:$R$1272,7,FALSE)+IF(ISNA(VLOOKUP($A1269,'Mutasi Neraca'!$A$3:$S$910,7,FALSE)),0,VLOOKUP($A1269,'Mutasi Neraca'!$A$3:$S$910,7,FALSE))</f>
        <v>44016220236</v>
      </c>
      <c r="I1269" s="42">
        <f>VLOOKUP($A1269,'Neraca Unaudited SIMAK'!$A$2:$R$1272,8,FALSE)+IF(ISNA(VLOOKUP($A1269,'Mutasi Neraca'!$A$3:$S$910,8,FALSE)),0,VLOOKUP($A1269,'Mutasi Neraca'!$A$3:$S$910,8,FALSE))</f>
        <v>1777076600</v>
      </c>
      <c r="J1269" s="42">
        <f>VLOOKUP($A1269,'Neraca Unaudited SIMAK'!$A$2:$R$1272,9,FALSE)+IF(ISNA(VLOOKUP($A1269,'Mutasi Neraca'!$A$3:$S$910,9,FALSE)),0,VLOOKUP($A1269,'Mutasi Neraca'!$A$3:$S$910,9,FALSE))</f>
        <v>0</v>
      </c>
      <c r="K1269" s="42">
        <f>VLOOKUP($A1269,'Neraca Unaudited SIMAK'!$A$2:$R$1272,10,FALSE)+IF(ISNA(VLOOKUP($A1269,'Mutasi Neraca'!$A$3:$S$910,10,FALSE)),0,VLOOKUP($A1269,'Mutasi Neraca'!$A$3:$S$910,10,FALSE))</f>
        <v>358616471</v>
      </c>
      <c r="L1269" s="42">
        <f>VLOOKUP($A1269,'Neraca Unaudited SIMAK'!$A$2:$R$1272,11,FALSE)+IF(ISNA(VLOOKUP($A1269,'Mutasi Neraca'!$A$3:$S$910,11,FALSE)),0,VLOOKUP($A1269,'Mutasi Neraca'!$A$3:$S$910,11,FALSE))</f>
        <v>0</v>
      </c>
      <c r="M1269" s="42">
        <f>VLOOKUP($A1269,'Neraca Unaudited SIMAK'!$A$2:$R$1272,12,FALSE)+IF(ISNA(VLOOKUP($A1269,'Mutasi Neraca'!$A$3:$S$910,12,FALSE)),0,VLOOKUP($A1269,'Mutasi Neraca'!$A$3:$S$910,12,FALSE))</f>
        <v>260341413905</v>
      </c>
      <c r="N1269" s="42">
        <f>VLOOKUP($A1269,'Neraca Unaudited SIMAK'!$A$2:$R$1272,13,FALSE)+IF(ISNA(VLOOKUP($A1269,'Mutasi Neraca'!$A$3:$S$910,13,FALSE)),0,VLOOKUP($A1269,'Mutasi Neraca'!$A$3:$S$910,13,FALSE))</f>
        <v>-62930181040</v>
      </c>
      <c r="O1269" s="42">
        <f>VLOOKUP($A1269,'Neraca Unaudited SIMAK'!$A$2:$R$1272,14,FALSE)+IF(ISNA(VLOOKUP($A1269,'Mutasi Neraca'!$A$3:$S$910,14,FALSE)),0,VLOOKUP($A1269,'Mutasi Neraca'!$A$3:$S$910,14,FALSE))</f>
        <v>-9479345689</v>
      </c>
      <c r="P1269" s="42">
        <f>VLOOKUP($A1269,'Neraca Unaudited SIMAK'!$A$2:$R$1272,15,FALSE)+IF(ISNA(VLOOKUP($A1269,'Mutasi Neraca'!$A$3:$S$910,15,FALSE)),0,VLOOKUP($A1269,'Mutasi Neraca'!$A$3:$S$910,15,FALSE))</f>
        <v>-10414327233</v>
      </c>
      <c r="Q1269" s="42">
        <f>VLOOKUP($A1269,'Neraca Unaudited SIMAK'!$A$2:$R$1272,16,FALSE)+IF(ISNA(VLOOKUP($A1269,'Mutasi Neraca'!$A$3:$S$910,16,FALSE)),0,VLOOKUP($A1269,'Mutasi Neraca'!$A$3:$S$910,16,FALSE))</f>
        <v>0</v>
      </c>
      <c r="R1269" s="42">
        <f>VLOOKUP($A1269,'Neraca Unaudited SIMAK'!$A$2:$R$1272,17,FALSE)+IF(ISNA(VLOOKUP($A1269,'Mutasi Neraca'!$A$3:$S$910,17,FALSE)),0,VLOOKUP($A1269,'Mutasi Neraca'!$A$3:$S$910,17,FALSE))</f>
        <v>0</v>
      </c>
      <c r="S1269" s="42">
        <f t="shared" si="82"/>
        <v>177517559943</v>
      </c>
    </row>
    <row r="1270" spans="1:19">
      <c r="A1270" s="41" t="s">
        <v>1160</v>
      </c>
      <c r="B1270" s="41" t="str">
        <f t="shared" si="80"/>
        <v>005070199</v>
      </c>
      <c r="D1270" s="42">
        <f>VLOOKUP($A1270,'Neraca Unaudited SIMAK'!$A$2:$R$1272,3,FALSE)+IF(ISNA(VLOOKUP($A1270,'Mutasi Neraca'!$A$3:$S$910,3,FALSE)),0,VLOOKUP($A1270,'Mutasi Neraca'!$A$3:$S$910,3,FALSE))</f>
        <v>326548278</v>
      </c>
      <c r="E1270" s="42">
        <f>VLOOKUP($A1270,'Neraca Unaudited SIMAK'!$A$2:$R$1272,4,FALSE)+IF(ISNA(VLOOKUP($A1270,'Mutasi Neraca'!$A$3:$S$910,4,FALSE)),0,VLOOKUP($A1270,'Mutasi Neraca'!$A$3:$S$910,4,FALSE))</f>
        <v>0</v>
      </c>
      <c r="F1270" s="42">
        <f>VLOOKUP($A1270,'Neraca Unaudited SIMAK'!$A$2:$R$1272,5,FALSE)+IF(ISNA(VLOOKUP($A1270,'Mutasi Neraca'!$A$3:$S$910,5,FALSE)),0,VLOOKUP($A1270,'Mutasi Neraca'!$A$3:$S$910,5,FALSE))</f>
        <v>12866232081</v>
      </c>
      <c r="G1270" s="42">
        <f>VLOOKUP($A1270,'Neraca Unaudited SIMAK'!$A$2:$R$1272,6,FALSE)+IF(ISNA(VLOOKUP($A1270,'Mutasi Neraca'!$A$3:$S$910,6,FALSE)),0,VLOOKUP($A1270,'Mutasi Neraca'!$A$3:$S$910,6,FALSE))</f>
        <v>0</v>
      </c>
      <c r="H1270" s="42">
        <f>VLOOKUP($A1270,'Neraca Unaudited SIMAK'!$A$2:$R$1272,7,FALSE)+IF(ISNA(VLOOKUP($A1270,'Mutasi Neraca'!$A$3:$S$910,7,FALSE)),0,VLOOKUP($A1270,'Mutasi Neraca'!$A$3:$S$910,7,FALSE))</f>
        <v>0</v>
      </c>
      <c r="I1270" s="42">
        <f>VLOOKUP($A1270,'Neraca Unaudited SIMAK'!$A$2:$R$1272,8,FALSE)+IF(ISNA(VLOOKUP($A1270,'Mutasi Neraca'!$A$3:$S$910,8,FALSE)),0,VLOOKUP($A1270,'Mutasi Neraca'!$A$3:$S$910,8,FALSE))</f>
        <v>485972140</v>
      </c>
      <c r="J1270" s="42">
        <f>VLOOKUP($A1270,'Neraca Unaudited SIMAK'!$A$2:$R$1272,9,FALSE)+IF(ISNA(VLOOKUP($A1270,'Mutasi Neraca'!$A$3:$S$910,9,FALSE)),0,VLOOKUP($A1270,'Mutasi Neraca'!$A$3:$S$910,9,FALSE))</f>
        <v>0</v>
      </c>
      <c r="K1270" s="42">
        <f>VLOOKUP($A1270,'Neraca Unaudited SIMAK'!$A$2:$R$1272,10,FALSE)+IF(ISNA(VLOOKUP($A1270,'Mutasi Neraca'!$A$3:$S$910,10,FALSE)),0,VLOOKUP($A1270,'Mutasi Neraca'!$A$3:$S$910,10,FALSE))</f>
        <v>1352133171</v>
      </c>
      <c r="L1270" s="42">
        <f>VLOOKUP($A1270,'Neraca Unaudited SIMAK'!$A$2:$R$1272,11,FALSE)+IF(ISNA(VLOOKUP($A1270,'Mutasi Neraca'!$A$3:$S$910,11,FALSE)),0,VLOOKUP($A1270,'Mutasi Neraca'!$A$3:$S$910,11,FALSE))</f>
        <v>0</v>
      </c>
      <c r="M1270" s="42">
        <f>VLOOKUP($A1270,'Neraca Unaudited SIMAK'!$A$2:$R$1272,12,FALSE)+IF(ISNA(VLOOKUP($A1270,'Mutasi Neraca'!$A$3:$S$910,12,FALSE)),0,VLOOKUP($A1270,'Mutasi Neraca'!$A$3:$S$910,12,FALSE))</f>
        <v>15030885670</v>
      </c>
      <c r="N1270" s="42">
        <f>VLOOKUP($A1270,'Neraca Unaudited SIMAK'!$A$2:$R$1272,13,FALSE)+IF(ISNA(VLOOKUP($A1270,'Mutasi Neraca'!$A$3:$S$910,13,FALSE)),0,VLOOKUP($A1270,'Mutasi Neraca'!$A$3:$S$910,13,FALSE))</f>
        <v>-11421501530</v>
      </c>
      <c r="O1270" s="42">
        <f>VLOOKUP($A1270,'Neraca Unaudited SIMAK'!$A$2:$R$1272,14,FALSE)+IF(ISNA(VLOOKUP($A1270,'Mutasi Neraca'!$A$3:$S$910,14,FALSE)),0,VLOOKUP($A1270,'Mutasi Neraca'!$A$3:$S$910,14,FALSE))</f>
        <v>0</v>
      </c>
      <c r="P1270" s="42">
        <f>VLOOKUP($A1270,'Neraca Unaudited SIMAK'!$A$2:$R$1272,15,FALSE)+IF(ISNA(VLOOKUP($A1270,'Mutasi Neraca'!$A$3:$S$910,15,FALSE)),0,VLOOKUP($A1270,'Mutasi Neraca'!$A$3:$S$910,15,FALSE))</f>
        <v>0</v>
      </c>
      <c r="Q1270" s="42">
        <f>VLOOKUP($A1270,'Neraca Unaudited SIMAK'!$A$2:$R$1272,16,FALSE)+IF(ISNA(VLOOKUP($A1270,'Mutasi Neraca'!$A$3:$S$910,16,FALSE)),0,VLOOKUP($A1270,'Mutasi Neraca'!$A$3:$S$910,16,FALSE))</f>
        <v>0</v>
      </c>
      <c r="R1270" s="42">
        <f>VLOOKUP($A1270,'Neraca Unaudited SIMAK'!$A$2:$R$1272,17,FALSE)+IF(ISNA(VLOOKUP($A1270,'Mutasi Neraca'!$A$3:$S$910,17,FALSE)),0,VLOOKUP($A1270,'Mutasi Neraca'!$A$3:$S$910,17,FALSE))</f>
        <v>0</v>
      </c>
      <c r="S1270" s="42">
        <f t="shared" si="82"/>
        <v>3609384140</v>
      </c>
    </row>
    <row r="1272" spans="1:19">
      <c r="D1272" s="42">
        <f t="shared" ref="D1272:S1272" si="83">SUM(D2:D1271)</f>
        <v>11081339762</v>
      </c>
      <c r="E1272" s="42">
        <f t="shared" si="83"/>
        <v>4624834414552</v>
      </c>
      <c r="F1272" s="42">
        <f t="shared" si="83"/>
        <v>2157751530832</v>
      </c>
      <c r="G1272" s="42">
        <f t="shared" si="83"/>
        <v>6350164102238</v>
      </c>
      <c r="H1272" s="42">
        <f t="shared" si="83"/>
        <v>213986828068</v>
      </c>
      <c r="I1272" s="42">
        <f t="shared" si="83"/>
        <v>60534358721</v>
      </c>
      <c r="J1272" s="42">
        <f t="shared" si="83"/>
        <v>510061458167</v>
      </c>
      <c r="K1272" s="42">
        <f t="shared" si="83"/>
        <v>29089394629</v>
      </c>
      <c r="L1272" s="42">
        <f t="shared" si="83"/>
        <v>85881409268</v>
      </c>
      <c r="M1272" s="42">
        <f t="shared" si="83"/>
        <v>14043384836237</v>
      </c>
      <c r="N1272" s="42">
        <f t="shared" si="83"/>
        <v>-1731356757914</v>
      </c>
      <c r="O1272" s="42">
        <f t="shared" si="83"/>
        <v>-1182466618507</v>
      </c>
      <c r="P1272" s="42">
        <f t="shared" si="83"/>
        <v>-72404028615</v>
      </c>
      <c r="Q1272" s="42">
        <f t="shared" si="83"/>
        <v>-535543605</v>
      </c>
      <c r="R1272" s="42">
        <f t="shared" si="83"/>
        <v>-67260884867</v>
      </c>
      <c r="S1272" s="42">
        <f t="shared" si="83"/>
        <v>10989361002729</v>
      </c>
    </row>
    <row r="1274" spans="1:19">
      <c r="F1274" s="4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P750"/>
  <sheetViews>
    <sheetView view="pageBreakPreview" topLeftCell="C20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696</v>
      </c>
      <c r="P1" s="8" t="s">
        <v>1833</v>
      </c>
    </row>
    <row r="2" spans="1:16" ht="19.5" customHeight="1">
      <c r="C2" s="9" t="s">
        <v>2120</v>
      </c>
      <c r="O2" s="8" t="s">
        <v>697</v>
      </c>
      <c r="P2" s="8" t="s">
        <v>1834</v>
      </c>
    </row>
    <row r="3" spans="1:16" ht="19.5" customHeight="1">
      <c r="O3" s="8" t="s">
        <v>698</v>
      </c>
      <c r="P3" s="8" t="s">
        <v>1835</v>
      </c>
    </row>
    <row r="4" spans="1:16" ht="19.5" customHeight="1">
      <c r="A4" s="11" t="str">
        <f>O1</f>
        <v>005012400099926000KD</v>
      </c>
      <c r="B4" s="11" t="str">
        <f>P1</f>
        <v>PN. Kupang</v>
      </c>
      <c r="C4" s="12" t="str">
        <f>A4&amp;" "&amp;B4</f>
        <v>005012400099926000KD PN. Kupang</v>
      </c>
      <c r="D4" s="13"/>
      <c r="E4" s="13"/>
      <c r="F4" s="13"/>
      <c r="G4" s="13"/>
      <c r="H4" s="11"/>
      <c r="O4" s="8" t="s">
        <v>699</v>
      </c>
      <c r="P4" s="8" t="s">
        <v>1836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700</v>
      </c>
      <c r="P5" s="8" t="s">
        <v>1837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701</v>
      </c>
      <c r="P6" s="8" t="s">
        <v>1838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0</v>
      </c>
      <c r="E7" s="25">
        <f>SUMIFS('Daftar Koreksi'!$H$5:$H$92,'Daftar Koreksi'!$D$5:$D$92,'2400'!A4,'Daftar Koreksi'!$G$5:$G$92,"Persediaan",'Daftar Koreksi'!$H$5:$H$92,"&gt;0")</f>
        <v>0</v>
      </c>
      <c r="F7" s="25">
        <f>SUMIFS('Daftar Koreksi'!$H$5:$H$92,'Daftar Koreksi'!$D$5:$D$92,'2400'!A4,'Daftar Koreksi'!$G$5:$G$92,"Persediaan",'Daftar Koreksi'!$H$5:$H$92,"&lt;0")-SUMIFS('Daftar Koreksi'!$H$5:$H$92,'Daftar Koreksi'!$D$5:$D$92,'2400'!A4,'Daftar Koreksi'!$G$5:$G$92,"Persediaan",'Daftar Koreksi'!$H$5:$H$92,"&lt;0")-SUMIFS('Daftar Koreksi'!$H$5:$H$92,'Daftar Koreksi'!$D$5:$D$92,'2400'!A4,'Daftar Koreksi'!$G$5:$G$92,"Persediaan",'Daftar Koreksi'!$H$5:$H$92,"&lt;0")</f>
        <v>0</v>
      </c>
      <c r="G7" s="17">
        <f>D7+E7-F7</f>
        <v>0</v>
      </c>
      <c r="H7" s="121" t="str">
        <f>IF(ISNA(VLOOKUP(A4,'Mutasi Neraca'!$A$3:$S$914,19,FALSE)),"-",VLOOKUP(A4,'Mutasi Neraca'!$A$3:$S$914,19,FALSE))</f>
        <v>-</v>
      </c>
      <c r="O7" s="8" t="s">
        <v>702</v>
      </c>
      <c r="P7" s="8" t="s">
        <v>1839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29155241820</v>
      </c>
      <c r="E8" s="25">
        <f>SUMIFS('Daftar Koreksi'!$H$5:$H$92,'Daftar Koreksi'!$D$5:$D$92,'2400'!A4,'Daftar Koreksi'!$G$5:$G$92,"Tanah",'Daftar Koreksi'!$H$5:$H$92,"&gt;0")</f>
        <v>0</v>
      </c>
      <c r="F8" s="25">
        <f>SUMIFS('Daftar Koreksi'!$H$5:$H$92,'Daftar Koreksi'!$D$5:$D$92,'2400'!A4,'Daftar Koreksi'!$G$5:$G$92,"Tanah",'Daftar Koreksi'!$H$5:$H$92,"&lt;0")-SUMIFS('Daftar Koreksi'!$H$5:$H$92,'Daftar Koreksi'!$D$5:$D$92,'2400'!A4,'Daftar Koreksi'!$G$5:$G$92,"Tanah",'Daftar Koreksi'!$H$5:$H$92,"&lt;0")-SUMIFS('Daftar Koreksi'!$H$5:$H$92,'Daftar Koreksi'!$D$5:$D$92,'2400'!A4,'Daftar Koreksi'!$G$5:$G$92,"Tanah",'Daftar Koreksi'!$H$5:$H$92,"&lt;0")</f>
        <v>0</v>
      </c>
      <c r="G8" s="17">
        <f t="shared" ref="G8:G24" si="0">D8+E8-F8</f>
        <v>29155241820</v>
      </c>
      <c r="H8" s="122"/>
      <c r="O8" s="8" t="s">
        <v>703</v>
      </c>
      <c r="P8" s="8" t="s">
        <v>1840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4279058372</v>
      </c>
      <c r="E9" s="25">
        <f>SUMIFS('Daftar Koreksi'!$H$5:$H$92,'Daftar Koreksi'!$D$5:$D$92,'2400'!A4,'Daftar Koreksi'!$G$5:$G$92,"Peralatan dan mesin",'Daftar Koreksi'!$H$5:$H$92,"&gt;0")</f>
        <v>0</v>
      </c>
      <c r="F9" s="25">
        <f>SUMIFS('Daftar Koreksi'!$H$5:$H$92,'Daftar Koreksi'!$D$5:$D$92,'2400'!A4,'Daftar Koreksi'!$G$5:$G$92,"Peralatan dan mesin",'Daftar Koreksi'!$H$5:$H$92,"&lt;0")-SUMIFS('Daftar Koreksi'!$H$5:$H$92,'Daftar Koreksi'!$D$5:$D$92,'2400'!A4,'Daftar Koreksi'!$G$5:$G$92,"Peralatan dan mesin",'Daftar Koreksi'!$H$5:$H$92,"&lt;0")-SUMIFS('Daftar Koreksi'!$H$5:$H$92,'Daftar Koreksi'!$D$5:$D$92,'2400'!A4,'Daftar Koreksi'!$G$5:$G$92,"Peralatan dan mesin",'Daftar Koreksi'!$H$5:$H$92,"&lt;0")</f>
        <v>0</v>
      </c>
      <c r="G9" s="17">
        <f t="shared" si="0"/>
        <v>4279058372</v>
      </c>
      <c r="H9" s="122"/>
      <c r="O9" s="8" t="s">
        <v>704</v>
      </c>
      <c r="P9" s="8" t="s">
        <v>1841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17613511083</v>
      </c>
      <c r="E10" s="25">
        <f>SUMIFS('Daftar Koreksi'!$H$5:$H$92,'Daftar Koreksi'!$D$5:$D$92,'2400'!A4,'Daftar Koreksi'!$G$5:$G$92,"Gedung dan Bangunan",'Daftar Koreksi'!$H$5:$H$92,"&gt;0")</f>
        <v>0</v>
      </c>
      <c r="F10" s="25">
        <f>SUMIFS('Daftar Koreksi'!$H$5:$H$92,'Daftar Koreksi'!$D$5:$D$92,'2400'!A4,'Daftar Koreksi'!$G$5:$G$92,"Gedung dan Bangunan",'Daftar Koreksi'!$H$5:$H$92,"&lt;0")-SUMIFS('Daftar Koreksi'!$H$5:$H$92,'Daftar Koreksi'!$D$5:$D$92,'2400'!A4,'Daftar Koreksi'!$G$5:$G$92,"Gedung dan Bangunan",'Daftar Koreksi'!$H$5:$H$92,"&lt;0")-SUMIFS('Daftar Koreksi'!$H$5:$H$92,'Daftar Koreksi'!$D$5:$D$92,'2400'!A4,'Daftar Koreksi'!$G$5:$G$92,"Gedung dan Bangunan",'Daftar Koreksi'!$H$5:$H$92,"&lt;0")</f>
        <v>0</v>
      </c>
      <c r="G10" s="17">
        <f t="shared" si="0"/>
        <v>17613511083</v>
      </c>
      <c r="H10" s="122"/>
      <c r="O10" s="8" t="s">
        <v>705</v>
      </c>
      <c r="P10" s="8" t="s">
        <v>1842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46855000</v>
      </c>
      <c r="E11" s="25">
        <f>SUMIFS('Daftar Koreksi'!$H$5:$H$92,'Daftar Koreksi'!$D$5:$D$92,'2400'!A4,'Daftar Koreksi'!$G$5:$G$92,"Jalan Irigasi Jaringan",'Daftar Koreksi'!$H$5:$H$92,"&gt;0")</f>
        <v>0</v>
      </c>
      <c r="F11" s="25">
        <f>SUMIFS('Daftar Koreksi'!$H$5:$H$92,'Daftar Koreksi'!$D$5:$D$92,'2400'!A4,'Daftar Koreksi'!$G$5:$G$92,"Jalan Irigasi Jaringan",'Daftar Koreksi'!$H$5:$H$92,"&lt;0")-SUMIFS('Daftar Koreksi'!$H$5:$H$92,'Daftar Koreksi'!$D$5:$D$92,'2400'!A4,'Daftar Koreksi'!$G$5:$G$92,"Jalan Irigasi Jaringan",'Daftar Koreksi'!$H$5:$H$92,"&lt;0")-SUMIFS('Daftar Koreksi'!$H$5:$H$92,'Daftar Koreksi'!$D$5:$D$92,'2400'!A4,'Daftar Koreksi'!$G$5:$G$92,"Jalan Irigasi Jaringan",'Daftar Koreksi'!$H$5:$H$92,"&lt;0")</f>
        <v>0</v>
      </c>
      <c r="G11" s="17">
        <f t="shared" si="0"/>
        <v>46855000</v>
      </c>
      <c r="H11" s="122"/>
      <c r="O11" s="8" t="s">
        <v>706</v>
      </c>
      <c r="P11" s="8" t="s">
        <v>1843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27143440</v>
      </c>
      <c r="E12" s="25">
        <f>SUMIFS('Daftar Koreksi'!$H$5:$H$92,'Daftar Koreksi'!$D$5:$D$92,'2400'!A4,'Daftar Koreksi'!$G$5:$G$92,"Aset Tetap Lainnya",'Daftar Koreksi'!$H$5:$H$92,"&gt;0")</f>
        <v>0</v>
      </c>
      <c r="F12" s="25">
        <f>SUMIFS('Daftar Koreksi'!$H$5:$H$92,'Daftar Koreksi'!$D$5:$D$92,'2400'!A4,'Daftar Koreksi'!$G$5:$G$92,"Aset Tetap Lainnya",'Daftar Koreksi'!$H$5:$H$92,"&lt;0")-SUMIFS('Daftar Koreksi'!$H$5:$H$92,'Daftar Koreksi'!$D$5:$D$92,'2400'!A4,'Daftar Koreksi'!$G$5:$G$92,"Aset Tetap Lainnya",'Daftar Koreksi'!$H$5:$H$92,"&lt;0")-SUMIFS('Daftar Koreksi'!$H$5:$H$92,'Daftar Koreksi'!$D$5:$D$92,'2400'!A4,'Daftar Koreksi'!$G$5:$G$92,"Aset Tetap Lainnya",'Daftar Koreksi'!$H$5:$H$92,"&lt;0")</f>
        <v>0</v>
      </c>
      <c r="G12" s="17">
        <f t="shared" si="0"/>
        <v>27143440</v>
      </c>
      <c r="H12" s="122"/>
      <c r="O12" s="8" t="s">
        <v>707</v>
      </c>
      <c r="P12" s="8" t="s">
        <v>1844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Koreksi'!$D$5:$D$92,'2400'!A4,'Daftar Koreksi'!$G$5:$G$92,"Kontruksi Dalam Pengerjaan",'Daftar Koreksi'!$H$5:$H$92,"&gt;0")</f>
        <v>0</v>
      </c>
      <c r="F13" s="25">
        <f>SUMIFS('Daftar Koreksi'!$H$5:$H$92,'Daftar Koreksi'!$D$5:$D$92,'2400'!A4,'Daftar Koreksi'!$G$5:$G$92,"Kontruksi Dalam Pengerjaan",'Daftar Koreksi'!$H$5:$H$92,"&lt;0")-SUMIFS('Daftar Koreksi'!$H$5:$H$92,'Daftar Koreksi'!$D$5:$D$92,'2400'!A4,'Daftar Koreksi'!$G$5:$G$92,"Kontruksi Dalam Pengerjaan",'Daftar Koreksi'!$H$5:$H$92,"&lt;0")-SUMIFS('Daftar Koreksi'!$H$5:$H$92,'Daftar Koreksi'!$D$5:$D$92,'2400'!A4,'Daftar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708</v>
      </c>
      <c r="P13" s="8" t="s">
        <v>1845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9757000</v>
      </c>
      <c r="E14" s="25">
        <f>SUMIFS('Daftar Koreksi'!$H$5:$H$92,'Daftar Koreksi'!$D$5:$D$92,'2400'!A4,'Daftar Koreksi'!$G$5:$G$92,"Aset Tak Berwujud",'Daftar Koreksi'!$H$5:$H$92,"&gt;0")</f>
        <v>0</v>
      </c>
      <c r="F14" s="25">
        <f>SUMIFS('Daftar Koreksi'!$H$5:$H$92,'Daftar Koreksi'!$D$5:$D$92,'2400'!A4,'Daftar Koreksi'!$G$5:$G$92,"Aset Tak Berwujud",'Daftar Koreksi'!$H$5:$H$92,"&lt;0")-SUMIFS('Daftar Koreksi'!$H$5:$H$92,'Daftar Koreksi'!$D$5:$D$92,'2400'!A4,'Daftar Koreksi'!$G$5:$G$92,"Aset Tak Berwujud",'Daftar Koreksi'!$H$5:$H$92,"&lt;0")-SUMIFS('Daftar Koreksi'!$H$5:$H$92,'Daftar Koreksi'!$D$5:$D$92,'2400'!A4,'Daftar Koreksi'!$G$5:$G$92,"Aset Tak Berwujud",'Daftar Koreksi'!$H$5:$H$92,"&lt;0")</f>
        <v>0</v>
      </c>
      <c r="G14" s="17">
        <f t="shared" si="0"/>
        <v>9757000</v>
      </c>
      <c r="H14" s="122"/>
      <c r="O14" s="8" t="s">
        <v>709</v>
      </c>
      <c r="P14" s="8" t="s">
        <v>1846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177876200</v>
      </c>
      <c r="E15" s="25">
        <f>SUMIFS('Daftar Koreksi'!$H$5:$H$92,'Daftar Koreksi'!$D$5:$D$92,'2400'!A4,'Daftar Koreksi'!$G$5:$G$92,"Aset Henti Guna",'Daftar Koreksi'!$H$5:$H$92,"&gt;0")</f>
        <v>0</v>
      </c>
      <c r="F15" s="25">
        <f>SUMIFS('Daftar Koreksi'!$H$5:$H$92,'Daftar Koreksi'!$D$5:$D$92,'2400'!A4,'Daftar Koreksi'!$G$5:$G$92,"Aset Henti Guna",'Daftar Koreksi'!$H$5:$H$92,"&lt;0")-SUMIFS('Daftar Koreksi'!$H$5:$H$92,'Daftar Koreksi'!$D$5:$D$92,'2400'!A4,'Daftar Koreksi'!$G$5:$G$92,"Aset Henti Guna",'Daftar Koreksi'!$H$5:$H$92,"&lt;0")-SUMIFS('Daftar Koreksi'!$H$5:$H$92,'Daftar Koreksi'!$D$5:$D$92,'2400'!A4,'Daftar Koreksi'!$G$5:$G$92,"Aset Henti Guna",'Daftar Koreksi'!$H$5:$H$92,"&lt;0")</f>
        <v>0</v>
      </c>
      <c r="G15" s="17">
        <f t="shared" si="0"/>
        <v>177876200</v>
      </c>
      <c r="H15" s="122"/>
      <c r="O15" s="8" t="s">
        <v>710</v>
      </c>
      <c r="P15" s="8" t="s">
        <v>1847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51309442915</v>
      </c>
      <c r="E16" s="19">
        <f>SUM(E7:E15)</f>
        <v>0</v>
      </c>
      <c r="F16" s="19">
        <f>SUM(F7:F15)</f>
        <v>0</v>
      </c>
      <c r="G16" s="19">
        <f t="shared" si="0"/>
        <v>51309442915</v>
      </c>
      <c r="H16" s="122"/>
      <c r="O16" s="8" t="s">
        <v>711</v>
      </c>
      <c r="P16" s="8" t="s">
        <v>1848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-3228672185</v>
      </c>
      <c r="E17" s="25">
        <f>SUMIFS('Daftar Koreksi'!$I$5:$I$92,'Daftar Koreksi'!$D$5:$D$92,'2400'!A4,'Daftar Koreksi'!$G$5:$G$92,"Peralatan dan mesin",'Daftar Koreksi'!$I$5:$I$92,"&gt;0")</f>
        <v>0</v>
      </c>
      <c r="F17" s="25">
        <f>SUMIFS('Daftar Koreksi'!$I$5:$I$92,'Daftar Koreksi'!$D$5:$D$92,'2400'!A4,'Daftar Koreksi'!$G$5:$G$92,"Peralatan dan mesin",'Daftar Koreksi'!$I$5:$I$92,"&lt;0")-SUMIFS('Daftar Koreksi'!$I$5:$I$92,'Daftar Koreksi'!$D$5:$D$92,'2400'!A4,'Daftar Koreksi'!$G$5:$G$92,"Peralatan dan mesin",'Daftar Koreksi'!$I$5:$I$92,"&lt;0")-SUMIFS('Daftar Koreksi'!$I$5:$I$92,'Daftar Koreksi'!$D$5:$D$92,'2400'!A4,'Daftar Koreksi'!$G$5:$G$92,"Peralatan dan mesin",'Daftar Koreksi'!$I$5:$I$92,"&lt;0")</f>
        <v>0</v>
      </c>
      <c r="G17" s="17">
        <f t="shared" si="0"/>
        <v>-3228672185</v>
      </c>
      <c r="H17" s="122"/>
      <c r="O17" s="8" t="s">
        <v>712</v>
      </c>
      <c r="P17" s="8" t="s">
        <v>1849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-1211253088</v>
      </c>
      <c r="E18" s="25">
        <f>SUMIFS('Daftar Koreksi'!$I$5:$I$92,'Daftar Koreksi'!$D$5:$D$92,'2400'!A4,'Daftar Koreksi'!$G$5:$G$92,"Gedung dan Bangunan",'Daftar Koreksi'!$I$5:$I$92,"&gt;0")</f>
        <v>0</v>
      </c>
      <c r="F18" s="25">
        <f>SUMIFS('Daftar Koreksi'!$I$5:$I$92,'Daftar Koreksi'!$D$5:$D$92,'2400'!A4,'Daftar Koreksi'!$G$5:$G$92,"Gedung dan Bangunan",'Daftar Koreksi'!$I$5:$I$92,"&lt;0")-SUMIFS('Daftar Koreksi'!$I$5:$I$92,'Daftar Koreksi'!$D$5:$D$92,'2400'!A4,'Daftar Koreksi'!$G$5:$G$92,"Gedung dan Bangunan",'Daftar Koreksi'!$I$5:$I$92,"&lt;0")-SUMIFS('Daftar Koreksi'!$I$5:$I$92,'Daftar Koreksi'!$D$5:$D$92,'2400'!A4,'Daftar Koreksi'!$G$5:$G$92,"Gedung dan Bangunan",'Daftar Koreksi'!$I$5:$I$92,"&lt;0")</f>
        <v>0</v>
      </c>
      <c r="G18" s="17">
        <f t="shared" si="0"/>
        <v>-1211253088</v>
      </c>
      <c r="H18" s="122"/>
      <c r="O18" s="8" t="s">
        <v>713</v>
      </c>
      <c r="P18" s="8" t="s">
        <v>1850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-17023194</v>
      </c>
      <c r="E19" s="25">
        <f>SUMIFS('Daftar Koreksi'!$I$5:$I$92,'Daftar Koreksi'!$D$5:$D$92,'2400'!A4,'Daftar Koreksi'!$G$5:$G$92,"Jalan Irigasi Jaringan",'Daftar Koreksi'!$I$5:$I$92,"&gt;0")</f>
        <v>0</v>
      </c>
      <c r="F19" s="25">
        <f>SUMIFS('Daftar Koreksi'!$I$5:$I$92,'Daftar Koreksi'!$D$5:$D$92,'2400'!A4,'Daftar Koreksi'!$G$5:$G$92,"Jalan Irigasi Jaringan",'Daftar Koreksi'!$I$5:$I$92,"&lt;0")-SUMIFS('Daftar Koreksi'!$I$5:$I$92,'Daftar Koreksi'!$D$5:$D$92,'2400'!A4,'Daftar Koreksi'!$G$5:$G$92,"Jalan Irigasi Jaringan",'Daftar Koreksi'!$I$5:$I$92,"&lt;0")-SUMIFS('Daftar Koreksi'!$I$5:$I$92,'Daftar Koreksi'!$D$5:$D$92,'2400'!A4,'Daftar Koreksi'!$G$5:$G$92,"Jalan Irigasi Jaringan",'Daftar Koreksi'!$I$5:$I$92,"&lt;0")</f>
        <v>0</v>
      </c>
      <c r="G19" s="17">
        <f t="shared" si="0"/>
        <v>-17023194</v>
      </c>
      <c r="H19" s="122"/>
      <c r="O19" s="8" t="s">
        <v>714</v>
      </c>
      <c r="P19" s="8" t="s">
        <v>1851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Koreksi'!$D$5:$D$92,'2400'!A4,'Daftar Koreksi'!$G$5:$G$92,"Aset Tetap Lainnya",'Daftar Koreksi'!$I$5:$I$92,"&gt;0")</f>
        <v>0</v>
      </c>
      <c r="F20" s="25">
        <f>SUMIFS('Daftar Koreksi'!$I$5:$I$92,'Daftar Koreksi'!$D$5:$D$92,'2400'!A4,'Daftar Koreksi'!$G$5:$G$92,"Aset Tetap Lainnya",'Daftar Koreksi'!$I$5:$I$92,"&lt;0")-SUMIFS('Daftar Koreksi'!$I$5:$I$92,'Daftar Koreksi'!$D$5:$D$92,'2400'!A4,'Daftar Koreksi'!$G$5:$G$92,"Aset Tetap Lainnya",'Daftar Koreksi'!$I$5:$I$92,"&lt;0")-SUMIFS('Daftar Koreksi'!$I$5:$I$92,'Daftar Koreksi'!$D$5:$D$92,'2400'!A4,'Daftar Koreksi'!$G$5:$G$92,"Aset Tetap Lainnya",'Daftar Koreksi'!$I$5:$I$92,"&lt;0")</f>
        <v>0</v>
      </c>
      <c r="G20" s="17">
        <f t="shared" si="0"/>
        <v>0</v>
      </c>
      <c r="H20" s="122"/>
      <c r="O20" s="8" t="s">
        <v>715</v>
      </c>
      <c r="P20" s="8" t="s">
        <v>1852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-42908071</v>
      </c>
      <c r="E21" s="25">
        <f>SUMIFS('Daftar Koreksi'!$I$5:$I$92,'Daftar Koreksi'!$D$5:$D$92,'2400'!A4,'Daftar Koreksi'!$G$5:$G$92,"Aset Henti Guna",'Daftar Koreksi'!$I$5:$I$92,"&gt;0")</f>
        <v>0</v>
      </c>
      <c r="F21" s="25">
        <f>SUMIFS('Daftar Koreksi'!$I$5:$I$92,'Daftar Koreksi'!$D$5:$D$92,'2400'!A4,'Daftar Koreksi'!$G$5:$G$92,"Aset Henti Guna",'Daftar Koreksi'!$I$5:$I$92,"&lt;0")-SUMIFS('Daftar Koreksi'!$I$5:$I$92,'Daftar Koreksi'!$D$5:$D$92,'2400'!A4,'Daftar Koreksi'!$G$5:$G$92,"Aset Henti Guna",'Daftar Koreksi'!$I$5:$I$92,"&lt;0")-SUMIFS('Daftar Koreksi'!$I$5:$I$92,'Daftar Koreksi'!$D$5:$D$92,'2400'!A4,'Daftar Koreksi'!$G$5:$G$92,"Aset Henti Guna",'Daftar Koreksi'!$I$5:$I$92,"&lt;0")</f>
        <v>0</v>
      </c>
      <c r="G21" s="17">
        <f t="shared" si="0"/>
        <v>-42908071</v>
      </c>
      <c r="H21" s="122"/>
      <c r="O21" s="8" t="s">
        <v>716</v>
      </c>
      <c r="P21" s="8" t="s">
        <v>1853</v>
      </c>
    </row>
    <row r="22" spans="1:16" ht="21.95" customHeight="1">
      <c r="A22" s="14"/>
      <c r="B22" s="14"/>
      <c r="C22" s="18" t="s">
        <v>2094</v>
      </c>
      <c r="D22" s="19">
        <f>SUM(D17:D21)</f>
        <v>-4499856538</v>
      </c>
      <c r="E22" s="19">
        <f>SUM(E17:E21)</f>
        <v>0</v>
      </c>
      <c r="F22" s="19">
        <f>SUM(F17:F21)</f>
        <v>0</v>
      </c>
      <c r="G22" s="19">
        <f t="shared" si="0"/>
        <v>-4499856538</v>
      </c>
      <c r="H22" s="122"/>
      <c r="O22" s="8" t="s">
        <v>717</v>
      </c>
      <c r="P22" s="8" t="s">
        <v>1854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46809586377</v>
      </c>
      <c r="E23" s="19">
        <f>E22+E16</f>
        <v>0</v>
      </c>
      <c r="F23" s="19">
        <f>F22+F16</f>
        <v>0</v>
      </c>
      <c r="G23" s="19">
        <f t="shared" si="0"/>
        <v>46809586377</v>
      </c>
      <c r="H23" s="122"/>
      <c r="O23" s="8" t="s">
        <v>718</v>
      </c>
      <c r="P23" s="8" t="s">
        <v>1855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719</v>
      </c>
      <c r="P24" s="8" t="s">
        <v>1856</v>
      </c>
    </row>
    <row r="25" spans="1:16" ht="19.5" customHeight="1">
      <c r="O25" s="8" t="s">
        <v>720</v>
      </c>
      <c r="P25" s="8" t="s">
        <v>1857</v>
      </c>
    </row>
    <row r="26" spans="1:16" ht="19.5" customHeight="1">
      <c r="A26" s="11" t="str">
        <f>O2</f>
        <v>005012400099930000KD</v>
      </c>
      <c r="B26" s="11" t="str">
        <f>P2</f>
        <v>PN. Atambua</v>
      </c>
      <c r="C26" s="12" t="str">
        <f>A26&amp;" "&amp;B26</f>
        <v>005012400099930000KD PN. Atambua</v>
      </c>
      <c r="D26" s="13"/>
      <c r="E26" s="13"/>
      <c r="F26" s="13"/>
      <c r="G26" s="13"/>
      <c r="H26" s="11"/>
      <c r="O26" s="8" t="s">
        <v>721</v>
      </c>
      <c r="P26" s="8" t="s">
        <v>1858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722</v>
      </c>
      <c r="P27" s="8" t="s">
        <v>1859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723</v>
      </c>
      <c r="P28" s="8" t="s">
        <v>1860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Koreksi'!$D$5:$D$92,'2400'!A26,'Daftar Koreksi'!$G$5:$G$92,"Persediaan",'Daftar Koreksi'!$H$5:$H$92,"&gt;0")</f>
        <v>0</v>
      </c>
      <c r="F29" s="25">
        <f>SUMIFS('Daftar Koreksi'!$H$5:$H$92,'Daftar Koreksi'!$D$5:$D$92,'2400'!A26,'Daftar Koreksi'!$G$5:$G$92,"Persediaan",'Daftar Koreksi'!$H$5:$H$92,"&lt;0")-SUMIFS('Daftar Koreksi'!$H$5:$H$92,'Daftar Koreksi'!$D$5:$D$92,'2400'!A26,'Daftar Koreksi'!$G$5:$G$92,"Persediaan",'Daftar Koreksi'!$H$5:$H$92,"&lt;0")-SUMIFS('Daftar Koreksi'!$H$5:$H$92,'Daftar Koreksi'!$D$5:$D$92,'2400'!A26,'Daftar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  <c r="O29" s="8" t="s">
        <v>724</v>
      </c>
      <c r="P29" s="8" t="s">
        <v>1861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3333268000</v>
      </c>
      <c r="E30" s="25">
        <f>SUMIFS('Daftar Koreksi'!$H$5:$H$92,'Daftar Koreksi'!$D$5:$D$92,'2400'!A26,'Daftar Koreksi'!$G$5:$G$92,"Tanah",'Daftar Koreksi'!$H$5:$H$92,"&gt;0")</f>
        <v>0</v>
      </c>
      <c r="F30" s="25">
        <f>SUMIFS('Daftar Koreksi'!$H$5:$H$92,'Daftar Koreksi'!$D$5:$D$92,'2400'!A26,'Daftar Koreksi'!$G$5:$G$92,"Tanah",'Daftar Koreksi'!$H$5:$H$92,"&lt;0")-SUMIFS('Daftar Koreksi'!$H$5:$H$92,'Daftar Koreksi'!$D$5:$D$92,'2400'!A26,'Daftar Koreksi'!$G$5:$G$92,"Tanah",'Daftar Koreksi'!$H$5:$H$92,"&lt;0")-SUMIFS('Daftar Koreksi'!$H$5:$H$92,'Daftar Koreksi'!$D$5:$D$92,'2400'!A26,'Daftar Koreksi'!$G$5:$G$92,"Tanah",'Daftar Koreksi'!$H$5:$H$92,"&lt;0")</f>
        <v>0</v>
      </c>
      <c r="G30" s="17">
        <f t="shared" ref="G30:G46" si="1">D30+E30-F30</f>
        <v>3333268000</v>
      </c>
      <c r="H30" s="122"/>
      <c r="I30" s="28"/>
      <c r="J30" s="28"/>
      <c r="O30" s="8" t="s">
        <v>725</v>
      </c>
      <c r="P30" s="8" t="s">
        <v>1862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1571284629</v>
      </c>
      <c r="E31" s="25">
        <f>SUMIFS('Daftar Koreksi'!$H$5:$H$92,'Daftar Koreksi'!$D$5:$D$92,'2400'!A26,'Daftar Koreksi'!$G$5:$G$92,"Peralatan dan mesin",'Daftar Koreksi'!$H$5:$H$92,"&gt;0")</f>
        <v>0</v>
      </c>
      <c r="F31" s="25">
        <f>SUMIFS('Daftar Koreksi'!$H$5:$H$92,'Daftar Koreksi'!$D$5:$D$92,'2400'!A26,'Daftar Koreksi'!$G$5:$G$92,"Peralatan dan mesin",'Daftar Koreksi'!$H$5:$H$92,"&lt;0")-SUMIFS('Daftar Koreksi'!$H$5:$H$92,'Daftar Koreksi'!$D$5:$D$92,'2400'!A26,'Daftar Koreksi'!$G$5:$G$92,"Peralatan dan mesin",'Daftar Koreksi'!$H$5:$H$92,"&lt;0")-SUMIFS('Daftar Koreksi'!$H$5:$H$92,'Daftar Koreksi'!$D$5:$D$92,'2400'!A26,'Daftar Koreksi'!$G$5:$G$92,"Peralatan dan mesin",'Daftar Koreksi'!$H$5:$H$92,"&lt;0")</f>
        <v>0</v>
      </c>
      <c r="G31" s="17">
        <f t="shared" si="1"/>
        <v>1571284629</v>
      </c>
      <c r="H31" s="122"/>
      <c r="I31" s="28"/>
      <c r="J31" s="28"/>
      <c r="O31" s="8" t="s">
        <v>726</v>
      </c>
      <c r="P31" s="8" t="s">
        <v>1863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10458188456</v>
      </c>
      <c r="E32" s="25">
        <f>SUMIFS('Daftar Koreksi'!$H$5:$H$92,'Daftar Koreksi'!$D$5:$D$92,'2400'!A26,'Daftar Koreksi'!$G$5:$G$92,"Gedung dan Bangunan",'Daftar Koreksi'!$H$5:$H$92,"&gt;0")</f>
        <v>0</v>
      </c>
      <c r="F32" s="25">
        <f>SUMIFS('Daftar Koreksi'!$H$5:$H$92,'Daftar Koreksi'!$D$5:$D$92,'2400'!A26,'Daftar Koreksi'!$G$5:$G$92,"Gedung dan Bangunan",'Daftar Koreksi'!$H$5:$H$92,"&lt;0")-SUMIFS('Daftar Koreksi'!$H$5:$H$92,'Daftar Koreksi'!$D$5:$D$92,'2400'!A26,'Daftar Koreksi'!$G$5:$G$92,"Gedung dan Bangunan",'Daftar Koreksi'!$H$5:$H$92,"&lt;0")-SUMIFS('Daftar Koreksi'!$H$5:$H$92,'Daftar Koreksi'!$D$5:$D$92,'2400'!A26,'Daftar Koreksi'!$G$5:$G$92,"Gedung dan Bangunan",'Daftar Koreksi'!$H$5:$H$92,"&lt;0")</f>
        <v>0</v>
      </c>
      <c r="G32" s="17">
        <f t="shared" si="1"/>
        <v>10458188456</v>
      </c>
      <c r="H32" s="122"/>
      <c r="I32" s="28"/>
      <c r="J32" s="28"/>
      <c r="O32" s="8" t="s">
        <v>727</v>
      </c>
      <c r="P32" s="8" t="s">
        <v>1864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104725000</v>
      </c>
      <c r="E33" s="25">
        <f>SUMIFS('Daftar Koreksi'!$H$5:$H$92,'Daftar Koreksi'!$D$5:$D$92,'2400'!A26,'Daftar Koreksi'!$G$5:$G$92,"Jalan Irigasi Jaringan",'Daftar Koreksi'!$H$5:$H$92,"&gt;0")</f>
        <v>0</v>
      </c>
      <c r="F33" s="25">
        <f>SUMIFS('Daftar Koreksi'!$H$5:$H$92,'Daftar Koreksi'!$D$5:$D$92,'2400'!A26,'Daftar Koreksi'!$G$5:$G$92,"Jalan Irigasi Jaringan",'Daftar Koreksi'!$H$5:$H$92,"&lt;0")-SUMIFS('Daftar Koreksi'!$H$5:$H$92,'Daftar Koreksi'!$D$5:$D$92,'2400'!A26,'Daftar Koreksi'!$G$5:$G$92,"Jalan Irigasi Jaringan",'Daftar Koreksi'!$H$5:$H$92,"&lt;0")-SUMIFS('Daftar Koreksi'!$H$5:$H$92,'Daftar Koreksi'!$D$5:$D$92,'2400'!A26,'Daftar Koreksi'!$G$5:$G$92,"Jalan Irigasi Jaringan",'Daftar Koreksi'!$H$5:$H$92,"&lt;0")</f>
        <v>0</v>
      </c>
      <c r="G33" s="17">
        <f t="shared" si="1"/>
        <v>104725000</v>
      </c>
      <c r="H33" s="122"/>
      <c r="I33" s="28"/>
      <c r="J33" s="28"/>
      <c r="O33" s="8" t="s">
        <v>728</v>
      </c>
      <c r="P33" s="8" t="s">
        <v>1864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3718440</v>
      </c>
      <c r="E34" s="25">
        <f>SUMIFS('Daftar Koreksi'!$H$5:$H$92,'Daftar Koreksi'!$D$5:$D$92,'2400'!A26,'Daftar Koreksi'!$G$5:$G$92,"Aset Tetap Lainnya",'Daftar Koreksi'!$H$5:$H$92,"&gt;0")</f>
        <v>0</v>
      </c>
      <c r="F34" s="25">
        <f>SUMIFS('Daftar Koreksi'!$H$5:$H$92,'Daftar Koreksi'!$D$5:$D$92,'2400'!A26,'Daftar Koreksi'!$G$5:$G$92,"Aset Tetap Lainnya",'Daftar Koreksi'!$H$5:$H$92,"&lt;0")-SUMIFS('Daftar Koreksi'!$H$5:$H$92,'Daftar Koreksi'!$D$5:$D$92,'2400'!A26,'Daftar Koreksi'!$G$5:$G$92,"Aset Tetap Lainnya",'Daftar Koreksi'!$H$5:$H$92,"&lt;0")-SUMIFS('Daftar Koreksi'!$H$5:$H$92,'Daftar Koreksi'!$D$5:$D$92,'2400'!A26,'Daftar Koreksi'!$G$5:$G$92,"Aset Tetap Lainnya",'Daftar Koreksi'!$H$5:$H$92,"&lt;0")</f>
        <v>0</v>
      </c>
      <c r="G34" s="17">
        <f t="shared" si="1"/>
        <v>3718440</v>
      </c>
      <c r="H34" s="122"/>
      <c r="I34" s="28"/>
      <c r="J34" s="28"/>
      <c r="O34" s="8" t="s">
        <v>729</v>
      </c>
      <c r="P34" s="8" t="s">
        <v>1865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Koreksi'!$D$5:$D$92,'2400'!A26,'Daftar Koreksi'!$G$5:$G$92,"Kontruksi Dalam Pengerjaan",'Daftar Koreksi'!$H$5:$H$92,"&gt;0")</f>
        <v>0</v>
      </c>
      <c r="F35" s="25">
        <f>SUMIFS('Daftar Koreksi'!$H$5:$H$92,'Daftar Koreksi'!$D$5:$D$92,'2400'!A26,'Daftar Koreksi'!$G$5:$G$92,"Kontruksi Dalam Pengerjaan",'Daftar Koreksi'!$H$5:$H$92,"&lt;0")-SUMIFS('Daftar Koreksi'!$H$5:$H$92,'Daftar Koreksi'!$D$5:$D$92,'2400'!A26,'Daftar Koreksi'!$G$5:$G$92,"Kontruksi Dalam Pengerjaan",'Daftar Koreksi'!$H$5:$H$92,"&lt;0")-SUMIFS('Daftar Koreksi'!$H$5:$H$92,'Daftar Koreksi'!$D$5:$D$92,'2400'!A26,'Daftar Koreksi'!$G$5:$G$92,"Kontruksi Dalam Pengerjaan",'Daftar Koreksi'!$H$5:$H$92,"&lt;0")</f>
        <v>0</v>
      </c>
      <c r="G35" s="17">
        <f t="shared" si="1"/>
        <v>0</v>
      </c>
      <c r="H35" s="122"/>
      <c r="I35" s="28"/>
      <c r="J35" s="28"/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Koreksi'!$D$5:$D$92,'2400'!A26,'Daftar Koreksi'!$G$5:$G$92,"Aset Tak Berwujud",'Daftar Koreksi'!$H$5:$H$92,"&gt;0")</f>
        <v>0</v>
      </c>
      <c r="F36" s="25">
        <f>SUMIFS('Daftar Koreksi'!$H$5:$H$92,'Daftar Koreksi'!$D$5:$D$92,'2400'!A26,'Daftar Koreksi'!$G$5:$G$92,"Aset Tak Berwujud",'Daftar Koreksi'!$H$5:$H$92,"&lt;0")-SUMIFS('Daftar Koreksi'!$H$5:$H$92,'Daftar Koreksi'!$D$5:$D$92,'2400'!A26,'Daftar Koreksi'!$G$5:$G$92,"Aset Tak Berwujud",'Daftar Koreksi'!$H$5:$H$92,"&lt;0")-SUMIFS('Daftar Koreksi'!$H$5:$H$92,'Daftar Koreksi'!$D$5:$D$92,'2400'!A26,'Daftar Koreksi'!$G$5:$G$92,"Aset Tak Berwujud",'Daftar Koreksi'!$H$5:$H$92,"&lt;0")</f>
        <v>0</v>
      </c>
      <c r="G36" s="17">
        <f t="shared" si="1"/>
        <v>0</v>
      </c>
      <c r="H36" s="122"/>
      <c r="I36" s="28"/>
      <c r="J36" s="28"/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59871311</v>
      </c>
      <c r="E37" s="25">
        <f>SUMIFS('Daftar Koreksi'!$H$5:$H$92,'Daftar Koreksi'!$D$5:$D$92,'2400'!A26,'Daftar Koreksi'!$G$5:$G$92,"Aset Henti Guna",'Daftar Koreksi'!$H$5:$H$92,"&gt;0")</f>
        <v>0</v>
      </c>
      <c r="F37" s="25">
        <f>SUMIFS('Daftar Koreksi'!$H$5:$H$92,'Daftar Koreksi'!$D$5:$D$92,'2400'!A26,'Daftar Koreksi'!$G$5:$G$92,"Aset Henti Guna",'Daftar Koreksi'!$H$5:$H$92,"&lt;0")-SUMIFS('Daftar Koreksi'!$H$5:$H$92,'Daftar Koreksi'!$D$5:$D$92,'2400'!A26,'Daftar Koreksi'!$G$5:$G$92,"Aset Henti Guna",'Daftar Koreksi'!$H$5:$H$92,"&lt;0")-SUMIFS('Daftar Koreksi'!$H$5:$H$92,'Daftar Koreksi'!$D$5:$D$92,'2400'!A26,'Daftar Koreksi'!$G$5:$G$92,"Aset Henti Guna",'Daftar Koreksi'!$H$5:$H$92,"&lt;0")</f>
        <v>0</v>
      </c>
      <c r="G37" s="17">
        <f t="shared" si="1"/>
        <v>59871311</v>
      </c>
      <c r="H37" s="122"/>
      <c r="I37" s="28"/>
      <c r="J37" s="28"/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15531055836</v>
      </c>
      <c r="E38" s="19">
        <f>SUM(E29:E37)</f>
        <v>0</v>
      </c>
      <c r="F38" s="19">
        <f>SUM(F29:F37)</f>
        <v>0</v>
      </c>
      <c r="G38" s="19">
        <f t="shared" si="1"/>
        <v>15531055836</v>
      </c>
      <c r="H38" s="122"/>
      <c r="I38" s="28"/>
      <c r="J38" s="28"/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-1445338192</v>
      </c>
      <c r="E39" s="25">
        <f>SUMIFS('Daftar Koreksi'!$I$5:$I$92,'Daftar Koreksi'!$D$5:$D$92,'2400'!A26,'Daftar Koreksi'!$G$5:$G$92,"Peralatan dan mesin",'Daftar Koreksi'!$I$5:$I$92,"&gt;0")</f>
        <v>0</v>
      </c>
      <c r="F39" s="25">
        <f>SUMIFS('Daftar Koreksi'!$I$5:$I$92,'Daftar Koreksi'!$D$5:$D$92,'2400'!A26,'Daftar Koreksi'!$G$5:$G$92,"Peralatan dan mesin",'Daftar Koreksi'!$I$5:$I$92,"&lt;0")-SUMIFS('Daftar Koreksi'!$I$5:$I$92,'Daftar Koreksi'!$D$5:$D$92,'2400'!A26,'Daftar Koreksi'!$G$5:$G$92,"Peralatan dan mesin",'Daftar Koreksi'!$I$5:$I$92,"&lt;0")-SUMIFS('Daftar Koreksi'!$I$5:$I$92,'Daftar Koreksi'!$D$5:$D$92,'2400'!A26,'Daftar Koreksi'!$G$5:$G$92,"Peralatan dan mesin",'Daftar Koreksi'!$I$5:$I$92,"&lt;0")</f>
        <v>0</v>
      </c>
      <c r="G39" s="17">
        <f t="shared" si="1"/>
        <v>-1445338192</v>
      </c>
      <c r="H39" s="122"/>
      <c r="I39" s="28"/>
      <c r="J39" s="28"/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-1903564947</v>
      </c>
      <c r="E40" s="25">
        <f>SUMIFS('Daftar Koreksi'!$I$5:$I$92,'Daftar Koreksi'!$D$5:$D$92,'2400'!A26,'Daftar Koreksi'!$G$5:$G$92,"Gedung dan Bangunan",'Daftar Koreksi'!$I$5:$I$92,"&gt;0")</f>
        <v>0</v>
      </c>
      <c r="F40" s="25">
        <f>SUMIFS('Daftar Koreksi'!$I$5:$I$92,'Daftar Koreksi'!$D$5:$D$92,'2400'!A26,'Daftar Koreksi'!$G$5:$G$92,"Gedung dan Bangunan",'Daftar Koreksi'!$I$5:$I$92,"&lt;0")-SUMIFS('Daftar Koreksi'!$I$5:$I$92,'Daftar Koreksi'!$D$5:$D$92,'2400'!A26,'Daftar Koreksi'!$G$5:$G$92,"Gedung dan Bangunan",'Daftar Koreksi'!$I$5:$I$92,"&lt;0")-SUMIFS('Daftar Koreksi'!$I$5:$I$92,'Daftar Koreksi'!$D$5:$D$92,'2400'!A26,'Daftar Koreksi'!$G$5:$G$92,"Gedung dan Bangunan",'Daftar Koreksi'!$I$5:$I$92,"&lt;0")</f>
        <v>0</v>
      </c>
      <c r="G40" s="17">
        <f t="shared" si="1"/>
        <v>-1903564947</v>
      </c>
      <c r="H40" s="122"/>
      <c r="I40" s="28"/>
      <c r="J40" s="28"/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-37258750</v>
      </c>
      <c r="E41" s="25">
        <f>SUMIFS('Daftar Koreksi'!$I$5:$I$92,'Daftar Koreksi'!$D$5:$D$92,'2400'!A26,'Daftar Koreksi'!$G$5:$G$92,"Jalan Irigasi Jaringan",'Daftar Koreksi'!$I$5:$I$92,"&gt;0")</f>
        <v>0</v>
      </c>
      <c r="F41" s="25">
        <f>SUMIFS('Daftar Koreksi'!$I$5:$I$92,'Daftar Koreksi'!$D$5:$D$92,'2400'!A26,'Daftar Koreksi'!$G$5:$G$92,"Jalan Irigasi Jaringan",'Daftar Koreksi'!$I$5:$I$92,"&lt;0")-SUMIFS('Daftar Koreksi'!$I$5:$I$92,'Daftar Koreksi'!$D$5:$D$92,'2400'!A26,'Daftar Koreksi'!$G$5:$G$92,"Jalan Irigasi Jaringan",'Daftar Koreksi'!$I$5:$I$92,"&lt;0")-SUMIFS('Daftar Koreksi'!$I$5:$I$92,'Daftar Koreksi'!$D$5:$D$92,'2400'!A26,'Daftar Koreksi'!$G$5:$G$92,"Jalan Irigasi Jaringan",'Daftar Koreksi'!$I$5:$I$92,"&lt;0")</f>
        <v>0</v>
      </c>
      <c r="G41" s="17">
        <f t="shared" si="1"/>
        <v>-37258750</v>
      </c>
      <c r="H41" s="122"/>
      <c r="I41" s="28"/>
      <c r="J41" s="28"/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Koreksi'!$D$5:$D$92,'2400'!A26,'Daftar Koreksi'!$G$5:$G$92,"Aset Tetap Lainnya",'Daftar Koreksi'!$I$5:$I$92,"&gt;0")</f>
        <v>0</v>
      </c>
      <c r="F42" s="25">
        <f>SUMIFS('Daftar Koreksi'!$I$5:$I$92,'Daftar Koreksi'!$D$5:$D$92,'2400'!A26,'Daftar Koreksi'!$G$5:$G$92,"Aset Tetap Lainnya",'Daftar Koreksi'!$I$5:$I$92,"&lt;0")-SUMIFS('Daftar Koreksi'!$I$5:$I$92,'Daftar Koreksi'!$D$5:$D$92,'2400'!A26,'Daftar Koreksi'!$G$5:$G$92,"Aset Tetap Lainnya",'Daftar Koreksi'!$I$5:$I$92,"&lt;0")-SUMIFS('Daftar Koreksi'!$I$5:$I$92,'Daftar Koreksi'!$D$5:$D$92,'2400'!A26,'Daftar Koreksi'!$G$5:$G$92,"Aset Tetap Lainnya",'Daftar Koreksi'!$I$5:$I$92,"&lt;0")</f>
        <v>0</v>
      </c>
      <c r="G42" s="17">
        <f t="shared" si="1"/>
        <v>0</v>
      </c>
      <c r="H42" s="122"/>
      <c r="I42" s="28"/>
      <c r="J42" s="28"/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-59871311</v>
      </c>
      <c r="E43" s="25">
        <f>SUMIFS('Daftar Koreksi'!$I$5:$I$92,'Daftar Koreksi'!$D$5:$D$92,'2400'!A26,'Daftar Koreksi'!$G$5:$G$92,"Aset Henti Guna",'Daftar Koreksi'!$I$5:$I$92,"&gt;0")</f>
        <v>0</v>
      </c>
      <c r="F43" s="25">
        <f>SUMIFS('Daftar Koreksi'!$I$5:$I$92,'Daftar Koreksi'!$D$5:$D$92,'2400'!A26,'Daftar Koreksi'!$G$5:$G$92,"Aset Henti Guna",'Daftar Koreksi'!$I$5:$I$92,"&lt;0")-SUMIFS('Daftar Koreksi'!$I$5:$I$92,'Daftar Koreksi'!$D$5:$D$92,'2400'!A26,'Daftar Koreksi'!$G$5:$G$92,"Aset Henti Guna",'Daftar Koreksi'!$I$5:$I$92,"&lt;0")-SUMIFS('Daftar Koreksi'!$I$5:$I$92,'Daftar Koreksi'!$D$5:$D$92,'2400'!A26,'Daftar Koreksi'!$G$5:$G$92,"Aset Henti Guna",'Daftar Koreksi'!$I$5:$I$92,"&lt;0")</f>
        <v>0</v>
      </c>
      <c r="G43" s="17">
        <f t="shared" si="1"/>
        <v>-59871311</v>
      </c>
      <c r="H43" s="122"/>
      <c r="I43" s="28"/>
      <c r="J43" s="28"/>
    </row>
    <row r="44" spans="1:16" ht="21.95" customHeight="1">
      <c r="A44" s="14"/>
      <c r="B44" s="14"/>
      <c r="C44" s="18" t="s">
        <v>2094</v>
      </c>
      <c r="D44" s="19">
        <f>SUM(D39:D43)</f>
        <v>-3446033200</v>
      </c>
      <c r="E44" s="19">
        <f>SUM(E39:E43)</f>
        <v>0</v>
      </c>
      <c r="F44" s="19">
        <f>SUM(F39:F43)</f>
        <v>0</v>
      </c>
      <c r="G44" s="19">
        <f t="shared" si="1"/>
        <v>-3446033200</v>
      </c>
      <c r="H44" s="122"/>
      <c r="I44" s="28"/>
      <c r="J44" s="28"/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12085022636</v>
      </c>
      <c r="E45" s="19">
        <f>E44+E38</f>
        <v>0</v>
      </c>
      <c r="F45" s="19">
        <f>F44+F38</f>
        <v>0</v>
      </c>
      <c r="G45" s="19">
        <f t="shared" si="1"/>
        <v>12085022636</v>
      </c>
      <c r="H45" s="122"/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16" ht="19.5" customHeight="1">
      <c r="A48" s="11" t="str">
        <f>O3</f>
        <v>005012400099947000KD</v>
      </c>
      <c r="B48" s="11" t="str">
        <f>P3</f>
        <v>PN. So'e</v>
      </c>
      <c r="C48" s="12" t="str">
        <f>A48&amp;" "&amp;B48</f>
        <v>005012400099947000KD PN. So'e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6547000</v>
      </c>
      <c r="E51" s="25">
        <f>SUMIFS('Daftar Koreksi'!$H$5:$H$92,'Daftar Koreksi'!$D$5:$D$92,'2400'!A48,'Daftar Koreksi'!$G$5:$G$92,"Persediaan",'Daftar Koreksi'!$H$5:$H$92,"&gt;0")</f>
        <v>0</v>
      </c>
      <c r="F51" s="25">
        <f>SUMIFS('Daftar Koreksi'!$H$5:$H$92,'Daftar Koreksi'!$D$5:$D$92,'2400'!A48,'Daftar Koreksi'!$G$5:$G$92,"Persediaan",'Daftar Koreksi'!$H$5:$H$92,"&lt;0")-SUMIFS('Daftar Koreksi'!$H$5:$H$92,'Daftar Koreksi'!$D$5:$D$92,'2400'!A48,'Daftar Koreksi'!$G$5:$G$92,"Persediaan",'Daftar Koreksi'!$H$5:$H$92,"&lt;0")-SUMIFS('Daftar Koreksi'!$H$5:$H$92,'Daftar Koreksi'!$D$5:$D$92,'2400'!A48,'Daftar Koreksi'!$G$5:$G$92,"Persediaan",'Daftar Koreksi'!$H$5:$H$92,"&lt;0")</f>
        <v>0</v>
      </c>
      <c r="G51" s="17">
        <f>D51+E51-F51</f>
        <v>6547000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366540000</v>
      </c>
      <c r="E52" s="25">
        <f>SUMIFS('Daftar Koreksi'!$H$5:$H$92,'Daftar Koreksi'!$D$5:$D$92,'2400'!A48,'Daftar Koreksi'!$G$5:$G$92,"Tanah",'Daftar Koreksi'!$H$5:$H$92,"&gt;0")</f>
        <v>0</v>
      </c>
      <c r="F52" s="25">
        <f>SUMIFS('Daftar Koreksi'!$H$5:$H$92,'Daftar Koreksi'!$D$5:$D$92,'2400'!A48,'Daftar Koreksi'!$G$5:$G$92,"Tanah",'Daftar Koreksi'!$H$5:$H$92,"&lt;0")-SUMIFS('Daftar Koreksi'!$H$5:$H$92,'Daftar Koreksi'!$D$5:$D$92,'2400'!A48,'Daftar Koreksi'!$G$5:$G$92,"Tanah",'Daftar Koreksi'!$H$5:$H$92,"&lt;0")-SUMIFS('Daftar Koreksi'!$H$5:$H$92,'Daftar Koreksi'!$D$5:$D$92,'2400'!A48,'Daftar Koreksi'!$G$5:$G$92,"Tanah",'Daftar Koreksi'!$H$5:$H$92,"&lt;0")</f>
        <v>0</v>
      </c>
      <c r="G52" s="17">
        <f t="shared" ref="G52:G68" si="2">D52+E52-F52</f>
        <v>366540000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1246232609</v>
      </c>
      <c r="E53" s="25">
        <f>SUMIFS('Daftar Koreksi'!$H$5:$H$92,'Daftar Koreksi'!$D$5:$D$92,'2400'!A48,'Daftar Koreksi'!$G$5:$G$92,"Peralatan dan mesin",'Daftar Koreksi'!$H$5:$H$92,"&gt;0")</f>
        <v>0</v>
      </c>
      <c r="F53" s="25">
        <f>SUMIFS('Daftar Koreksi'!$H$5:$H$92,'Daftar Koreksi'!$D$5:$D$92,'2400'!A48,'Daftar Koreksi'!$G$5:$G$92,"Peralatan dan mesin",'Daftar Koreksi'!$H$5:$H$92,"&lt;0")-SUMIFS('Daftar Koreksi'!$H$5:$H$92,'Daftar Koreksi'!$D$5:$D$92,'2400'!A48,'Daftar Koreksi'!$G$5:$G$92,"Peralatan dan mesin",'Daftar Koreksi'!$H$5:$H$92,"&lt;0")-SUMIFS('Daftar Koreksi'!$H$5:$H$92,'Daftar Koreksi'!$D$5:$D$92,'2400'!A48,'Daftar Koreksi'!$G$5:$G$92,"Peralatan dan mesin",'Daftar Koreksi'!$H$5:$H$92,"&lt;0")</f>
        <v>0</v>
      </c>
      <c r="G53" s="17">
        <f t="shared" si="2"/>
        <v>1246232609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3075589999</v>
      </c>
      <c r="E54" s="25">
        <f>SUMIFS('Daftar Koreksi'!$H$5:$H$92,'Daftar Koreksi'!$D$5:$D$92,'2400'!A48,'Daftar Koreksi'!$G$5:$G$92,"Gedung dan Bangunan",'Daftar Koreksi'!$H$5:$H$92,"&gt;0")</f>
        <v>0</v>
      </c>
      <c r="F54" s="25">
        <f>SUMIFS('Daftar Koreksi'!$H$5:$H$92,'Daftar Koreksi'!$D$5:$D$92,'2400'!A48,'Daftar Koreksi'!$G$5:$G$92,"Gedung dan Bangunan",'Daftar Koreksi'!$H$5:$H$92,"&lt;0")-SUMIFS('Daftar Koreksi'!$H$5:$H$92,'Daftar Koreksi'!$D$5:$D$92,'2400'!A48,'Daftar Koreksi'!$G$5:$G$92,"Gedung dan Bangunan",'Daftar Koreksi'!$H$5:$H$92,"&lt;0")-SUMIFS('Daftar Koreksi'!$H$5:$H$92,'Daftar Koreksi'!$D$5:$D$92,'2400'!A48,'Daftar Koreksi'!$G$5:$G$92,"Gedung dan Bangunan",'Daftar Koreksi'!$H$5:$H$92,"&lt;0")</f>
        <v>0</v>
      </c>
      <c r="G54" s="17">
        <f t="shared" si="2"/>
        <v>3075589999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Koreksi'!$D$5:$D$92,'2400'!A48,'Daftar Koreksi'!$G$5:$G$92,"Jalan Irigasi Jaringan",'Daftar Koreksi'!$H$5:$H$92,"&gt;0")</f>
        <v>0</v>
      </c>
      <c r="F55" s="25">
        <f>SUMIFS('Daftar Koreksi'!$H$5:$H$92,'Daftar Koreksi'!$D$5:$D$92,'2400'!A48,'Daftar Koreksi'!$G$5:$G$92,"Jalan Irigasi Jaringan",'Daftar Koreksi'!$H$5:$H$92,"&lt;0")-SUMIFS('Daftar Koreksi'!$H$5:$H$92,'Daftar Koreksi'!$D$5:$D$92,'2400'!A48,'Daftar Koreksi'!$G$5:$G$92,"Jalan Irigasi Jaringan",'Daftar Koreksi'!$H$5:$H$92,"&lt;0")-SUMIFS('Daftar Koreksi'!$H$5:$H$92,'Daftar Koreksi'!$D$5:$D$92,'2400'!A48,'Daftar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5787440</v>
      </c>
      <c r="E56" s="25">
        <f>SUMIFS('Daftar Koreksi'!$H$5:$H$92,'Daftar Koreksi'!$D$5:$D$92,'2400'!A48,'Daftar Koreksi'!$G$5:$G$92,"Aset Tetap Lainnya",'Daftar Koreksi'!$H$5:$H$92,"&gt;0")</f>
        <v>0</v>
      </c>
      <c r="F56" s="25">
        <f>SUMIFS('Daftar Koreksi'!$H$5:$H$92,'Daftar Koreksi'!$D$5:$D$92,'2400'!A48,'Daftar Koreksi'!$G$5:$G$92,"Aset Tetap Lainnya",'Daftar Koreksi'!$H$5:$H$92,"&lt;0")-SUMIFS('Daftar Koreksi'!$H$5:$H$92,'Daftar Koreksi'!$D$5:$D$92,'2400'!A48,'Daftar Koreksi'!$G$5:$G$92,"Aset Tetap Lainnya",'Daftar Koreksi'!$H$5:$H$92,"&lt;0")-SUMIFS('Daftar Koreksi'!$H$5:$H$92,'Daftar Koreksi'!$D$5:$D$92,'2400'!A48,'Daftar Koreksi'!$G$5:$G$92,"Aset Tetap Lainnya",'Daftar Koreksi'!$H$5:$H$92,"&lt;0")</f>
        <v>0</v>
      </c>
      <c r="G56" s="17">
        <f t="shared" si="2"/>
        <v>5787440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Koreksi'!$D$5:$D$92,'2400'!A48,'Daftar Koreksi'!$G$5:$G$92,"Kontruksi Dalam Pengerjaan",'Daftar Koreksi'!$H$5:$H$92,"&gt;0")</f>
        <v>0</v>
      </c>
      <c r="F57" s="25">
        <f>SUMIFS('Daftar Koreksi'!$H$5:$H$92,'Daftar Koreksi'!$D$5:$D$92,'2400'!A48,'Daftar Koreksi'!$G$5:$G$92,"Kontruksi Dalam Pengerjaan",'Daftar Koreksi'!$H$5:$H$92,"&lt;0")-SUMIFS('Daftar Koreksi'!$H$5:$H$92,'Daftar Koreksi'!$D$5:$D$92,'2400'!A48,'Daftar Koreksi'!$G$5:$G$92,"Kontruksi Dalam Pengerjaan",'Daftar Koreksi'!$H$5:$H$92,"&lt;0")-SUMIFS('Daftar Koreksi'!$H$5:$H$92,'Daftar Koreksi'!$D$5:$D$92,'2400'!A48,'Daftar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34000000</v>
      </c>
      <c r="E58" s="25">
        <f>SUMIFS('Daftar Koreksi'!$H$5:$H$92,'Daftar Koreksi'!$D$5:$D$92,'2400'!A48,'Daftar Koreksi'!$G$5:$G$92,"Aset Tak Berwujud",'Daftar Koreksi'!$H$5:$H$92,"&gt;0")</f>
        <v>0</v>
      </c>
      <c r="F58" s="25">
        <f>SUMIFS('Daftar Koreksi'!$H$5:$H$92,'Daftar Koreksi'!$D$5:$D$92,'2400'!A48,'Daftar Koreksi'!$G$5:$G$92,"Aset Tak Berwujud",'Daftar Koreksi'!$H$5:$H$92,"&lt;0")-SUMIFS('Daftar Koreksi'!$H$5:$H$92,'Daftar Koreksi'!$D$5:$D$92,'2400'!A48,'Daftar Koreksi'!$G$5:$G$92,"Aset Tak Berwujud",'Daftar Koreksi'!$H$5:$H$92,"&lt;0")-SUMIFS('Daftar Koreksi'!$H$5:$H$92,'Daftar Koreksi'!$D$5:$D$92,'2400'!A48,'Daftar Koreksi'!$G$5:$G$92,"Aset Tak Berwujud",'Daftar Koreksi'!$H$5:$H$92,"&lt;0")</f>
        <v>0</v>
      </c>
      <c r="G58" s="17">
        <f t="shared" si="2"/>
        <v>34000000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970000</v>
      </c>
      <c r="E59" s="25">
        <f>SUMIFS('Daftar Koreksi'!$H$5:$H$92,'Daftar Koreksi'!$D$5:$D$92,'2400'!A48,'Daftar Koreksi'!$G$5:$G$92,"Aset Henti Guna",'Daftar Koreksi'!$H$5:$H$92,"&gt;0")</f>
        <v>0</v>
      </c>
      <c r="F59" s="25">
        <f>SUMIFS('Daftar Koreksi'!$H$5:$H$92,'Daftar Koreksi'!$D$5:$D$92,'2400'!A48,'Daftar Koreksi'!$G$5:$G$92,"Aset Henti Guna",'Daftar Koreksi'!$H$5:$H$92,"&lt;0")-SUMIFS('Daftar Koreksi'!$H$5:$H$92,'Daftar Koreksi'!$D$5:$D$92,'2400'!A48,'Daftar Koreksi'!$G$5:$G$92,"Aset Henti Guna",'Daftar Koreksi'!$H$5:$H$92,"&lt;0")-SUMIFS('Daftar Koreksi'!$H$5:$H$92,'Daftar Koreksi'!$D$5:$D$92,'2400'!A48,'Daftar Koreksi'!$G$5:$G$92,"Aset Henti Guna",'Daftar Koreksi'!$H$5:$H$92,"&lt;0")</f>
        <v>0</v>
      </c>
      <c r="G59" s="17">
        <f t="shared" si="2"/>
        <v>970000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4735667048</v>
      </c>
      <c r="E60" s="19">
        <f>SUM(E51:E59)</f>
        <v>0</v>
      </c>
      <c r="F60" s="19">
        <f>SUM(F51:F59)</f>
        <v>0</v>
      </c>
      <c r="G60" s="19">
        <f t="shared" si="2"/>
        <v>4735667048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-1111822174</v>
      </c>
      <c r="E61" s="25">
        <f>SUMIFS('Daftar Koreksi'!$I$5:$I$92,'Daftar Koreksi'!$D$5:$D$92,'2400'!A48,'Daftar Koreksi'!$G$5:$G$92,"Peralatan dan mesin",'Daftar Koreksi'!$I$5:$I$92,"&gt;0")</f>
        <v>0</v>
      </c>
      <c r="F61" s="25">
        <f>SUMIFS('Daftar Koreksi'!$I$5:$I$92,'Daftar Koreksi'!$D$5:$D$92,'2400'!A48,'Daftar Koreksi'!$G$5:$G$92,"Peralatan dan mesin",'Daftar Koreksi'!$I$5:$I$92,"&lt;0")-SUMIFS('Daftar Koreksi'!$I$5:$I$92,'Daftar Koreksi'!$D$5:$D$92,'2400'!A48,'Daftar Koreksi'!$G$5:$G$92,"Peralatan dan mesin",'Daftar Koreksi'!$I$5:$I$92,"&lt;0")-SUMIFS('Daftar Koreksi'!$I$5:$I$92,'Daftar Koreksi'!$D$5:$D$92,'2400'!A48,'Daftar Koreksi'!$G$5:$G$92,"Peralatan dan mesin",'Daftar Koreksi'!$I$5:$I$92,"&lt;0")</f>
        <v>0</v>
      </c>
      <c r="G61" s="17">
        <f t="shared" si="2"/>
        <v>-1111822174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-905786363</v>
      </c>
      <c r="E62" s="25">
        <f>SUMIFS('Daftar Koreksi'!$I$5:$I$92,'Daftar Koreksi'!$D$5:$D$92,'2400'!A48,'Daftar Koreksi'!$G$5:$G$92,"Gedung dan Bangunan",'Daftar Koreksi'!$I$5:$I$92,"&gt;0")</f>
        <v>0</v>
      </c>
      <c r="F62" s="25">
        <f>SUMIFS('Daftar Koreksi'!$I$5:$I$92,'Daftar Koreksi'!$D$5:$D$92,'2400'!A48,'Daftar Koreksi'!$G$5:$G$92,"Gedung dan Bangunan",'Daftar Koreksi'!$I$5:$I$92,"&lt;0")-SUMIFS('Daftar Koreksi'!$I$5:$I$92,'Daftar Koreksi'!$D$5:$D$92,'2400'!A48,'Daftar Koreksi'!$G$5:$G$92,"Gedung dan Bangunan",'Daftar Koreksi'!$I$5:$I$92,"&lt;0")-SUMIFS('Daftar Koreksi'!$I$5:$I$92,'Daftar Koreksi'!$D$5:$D$92,'2400'!A48,'Daftar Koreksi'!$G$5:$G$92,"Gedung dan Bangunan",'Daftar Koreksi'!$I$5:$I$92,"&lt;0")</f>
        <v>0</v>
      </c>
      <c r="G62" s="17">
        <f t="shared" si="2"/>
        <v>-905786363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Koreksi'!$D$5:$D$92,'2400'!A48,'Daftar Koreksi'!$G$5:$G$92,"Jalan Irigasi Jaringan",'Daftar Koreksi'!$I$5:$I$92,"&gt;0")</f>
        <v>0</v>
      </c>
      <c r="F63" s="25">
        <f>SUMIFS('Daftar Koreksi'!$I$5:$I$92,'Daftar Koreksi'!$D$5:$D$92,'2400'!A48,'Daftar Koreksi'!$G$5:$G$92,"Jalan Irigasi Jaringan",'Daftar Koreksi'!$I$5:$I$92,"&lt;0")-SUMIFS('Daftar Koreksi'!$I$5:$I$92,'Daftar Koreksi'!$D$5:$D$92,'2400'!A48,'Daftar Koreksi'!$G$5:$G$92,"Jalan Irigasi Jaringan",'Daftar Koreksi'!$I$5:$I$92,"&lt;0")-SUMIFS('Daftar Koreksi'!$I$5:$I$92,'Daftar Koreksi'!$D$5:$D$92,'2400'!A48,'Daftar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Koreksi'!$D$5:$D$92,'2400'!A48,'Daftar Koreksi'!$G$5:$G$92,"Aset Tetap Lainnya",'Daftar Koreksi'!$I$5:$I$92,"&gt;0")</f>
        <v>0</v>
      </c>
      <c r="F64" s="25">
        <f>SUMIFS('Daftar Koreksi'!$I$5:$I$92,'Daftar Koreksi'!$D$5:$D$92,'2400'!A48,'Daftar Koreksi'!$G$5:$G$92,"Aset Tetap Lainnya",'Daftar Koreksi'!$I$5:$I$92,"&lt;0")-SUMIFS('Daftar Koreksi'!$I$5:$I$92,'Daftar Koreksi'!$D$5:$D$92,'2400'!A48,'Daftar Koreksi'!$G$5:$G$92,"Aset Tetap Lainnya",'Daftar Koreksi'!$I$5:$I$92,"&lt;0")-SUMIFS('Daftar Koreksi'!$I$5:$I$92,'Daftar Koreksi'!$D$5:$D$92,'2400'!A48,'Daftar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-970000</v>
      </c>
      <c r="E65" s="25">
        <f>SUMIFS('Daftar Koreksi'!$I$5:$I$92,'Daftar Koreksi'!$D$5:$D$92,'2400'!A48,'Daftar Koreksi'!$G$5:$G$92,"Aset Henti Guna",'Daftar Koreksi'!$I$5:$I$92,"&gt;0")</f>
        <v>0</v>
      </c>
      <c r="F65" s="25">
        <f>SUMIFS('Daftar Koreksi'!$I$5:$I$92,'Daftar Koreksi'!$D$5:$D$92,'2400'!A48,'Daftar Koreksi'!$G$5:$G$92,"Aset Henti Guna",'Daftar Koreksi'!$I$5:$I$92,"&lt;0")-SUMIFS('Daftar Koreksi'!$I$5:$I$92,'Daftar Koreksi'!$D$5:$D$92,'2400'!A48,'Daftar Koreksi'!$G$5:$G$92,"Aset Henti Guna",'Daftar Koreksi'!$I$5:$I$92,"&lt;0")-SUMIFS('Daftar Koreksi'!$I$5:$I$92,'Daftar Koreksi'!$D$5:$D$92,'2400'!A48,'Daftar Koreksi'!$G$5:$G$92,"Aset Henti Guna",'Daftar Koreksi'!$I$5:$I$92,"&lt;0")</f>
        <v>0</v>
      </c>
      <c r="G65" s="17">
        <f t="shared" si="2"/>
        <v>-970000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-2018578537</v>
      </c>
      <c r="E66" s="19">
        <f>SUM(E61:E65)</f>
        <v>0</v>
      </c>
      <c r="F66" s="19">
        <f>SUM(F61:F65)</f>
        <v>0</v>
      </c>
      <c r="G66" s="19">
        <f t="shared" si="2"/>
        <v>-2018578537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2717088511</v>
      </c>
      <c r="E67" s="19">
        <f>E66+E60</f>
        <v>0</v>
      </c>
      <c r="F67" s="19">
        <f>F66+F60</f>
        <v>0</v>
      </c>
      <c r="G67" s="19">
        <f t="shared" si="2"/>
        <v>2717088511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005012400099951000KD</v>
      </c>
      <c r="B70" s="11" t="str">
        <f>P4</f>
        <v>PN. Kefamenanu</v>
      </c>
      <c r="C70" s="12" t="str">
        <f>A70&amp;" "&amp;B70</f>
        <v>005012400099951000KD PN. Kefamenanu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131000</v>
      </c>
      <c r="E73" s="25">
        <f>SUMIFS('Daftar Koreksi'!$H$5:$H$92,'Daftar Koreksi'!$D$5:$D$92,'2400'!A70,'Daftar Koreksi'!$G$5:$G$92,"Persediaan",'Daftar Koreksi'!$H$5:$H$92,"&gt;0")</f>
        <v>0</v>
      </c>
      <c r="F73" s="25">
        <f>SUMIFS('Daftar Koreksi'!$H$5:$H$92,'Daftar Koreksi'!$D$5:$D$92,'2400'!A70,'Daftar Koreksi'!$G$5:$G$92,"Persediaan",'Daftar Koreksi'!$H$5:$H$92,"&lt;0")-SUMIFS('Daftar Koreksi'!$H$5:$H$92,'Daftar Koreksi'!$D$5:$D$92,'2400'!A70,'Daftar Koreksi'!$G$5:$G$92,"Persediaan",'Daftar Koreksi'!$H$5:$H$92,"&lt;0")-SUMIFS('Daftar Koreksi'!$H$5:$H$92,'Daftar Koreksi'!$D$5:$D$92,'2400'!A70,'Daftar Koreksi'!$G$5:$G$92,"Persediaan",'Daftar Koreksi'!$H$5:$H$92,"&lt;0")</f>
        <v>0</v>
      </c>
      <c r="G73" s="17">
        <f>D73+E73-F73</f>
        <v>131000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372624000</v>
      </c>
      <c r="E74" s="25">
        <f>SUMIFS('Daftar Koreksi'!$H$5:$H$92,'Daftar Koreksi'!$D$5:$D$92,'2400'!A70,'Daftar Koreksi'!$G$5:$G$92,"Tanah",'Daftar Koreksi'!$H$5:$H$92,"&gt;0")</f>
        <v>0</v>
      </c>
      <c r="F74" s="25">
        <f>SUMIFS('Daftar Koreksi'!$H$5:$H$92,'Daftar Koreksi'!$D$5:$D$92,'2400'!A70,'Daftar Koreksi'!$G$5:$G$92,"Tanah",'Daftar Koreksi'!$H$5:$H$92,"&lt;0")-SUMIFS('Daftar Koreksi'!$H$5:$H$92,'Daftar Koreksi'!$D$5:$D$92,'2400'!A70,'Daftar Koreksi'!$G$5:$G$92,"Tanah",'Daftar Koreksi'!$H$5:$H$92,"&lt;0")-SUMIFS('Daftar Koreksi'!$H$5:$H$92,'Daftar Koreksi'!$D$5:$D$92,'2400'!A70,'Daftar Koreksi'!$G$5:$G$92,"Tanah",'Daftar Koreksi'!$H$5:$H$92,"&lt;0")</f>
        <v>0</v>
      </c>
      <c r="G74" s="17">
        <f t="shared" ref="G74:G90" si="3">D74+E74-F74</f>
        <v>372624000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1449611543</v>
      </c>
      <c r="E75" s="25">
        <f>SUMIFS('Daftar Koreksi'!$H$5:$H$92,'Daftar Koreksi'!$D$5:$D$92,'2400'!A70,'Daftar Koreksi'!$G$5:$G$92,"Peralatan dan mesin",'Daftar Koreksi'!$H$5:$H$92,"&gt;0")</f>
        <v>0</v>
      </c>
      <c r="F75" s="25">
        <f>SUMIFS('Daftar Koreksi'!$H$5:$H$92,'Daftar Koreksi'!$D$5:$D$92,'2400'!A70,'Daftar Koreksi'!$G$5:$G$92,"Peralatan dan mesin",'Daftar Koreksi'!$H$5:$H$92,"&lt;0")-SUMIFS('Daftar Koreksi'!$H$5:$H$92,'Daftar Koreksi'!$D$5:$D$92,'2400'!A70,'Daftar Koreksi'!$G$5:$G$92,"Peralatan dan mesin",'Daftar Koreksi'!$H$5:$H$92,"&lt;0")-SUMIFS('Daftar Koreksi'!$H$5:$H$92,'Daftar Koreksi'!$D$5:$D$92,'2400'!A70,'Daftar Koreksi'!$G$5:$G$92,"Peralatan dan mesin",'Daftar Koreksi'!$H$5:$H$92,"&lt;0")</f>
        <v>0</v>
      </c>
      <c r="G75" s="17">
        <f t="shared" si="3"/>
        <v>1449611543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2313674000</v>
      </c>
      <c r="E76" s="25">
        <f>SUMIFS('Daftar Koreksi'!$H$5:$H$92,'Daftar Koreksi'!$D$5:$D$92,'2400'!A70,'Daftar Koreksi'!$G$5:$G$92,"Gedung dan Bangunan",'Daftar Koreksi'!$H$5:$H$92,"&gt;0")</f>
        <v>0</v>
      </c>
      <c r="F76" s="25">
        <f>SUMIFS('Daftar Koreksi'!$H$5:$H$92,'Daftar Koreksi'!$D$5:$D$92,'2400'!A70,'Daftar Koreksi'!$G$5:$G$92,"Gedung dan Bangunan",'Daftar Koreksi'!$H$5:$H$92,"&lt;0")-SUMIFS('Daftar Koreksi'!$H$5:$H$92,'Daftar Koreksi'!$D$5:$D$92,'2400'!A70,'Daftar Koreksi'!$G$5:$G$92,"Gedung dan Bangunan",'Daftar Koreksi'!$H$5:$H$92,"&lt;0")-SUMIFS('Daftar Koreksi'!$H$5:$H$92,'Daftar Koreksi'!$D$5:$D$92,'2400'!A70,'Daftar Koreksi'!$G$5:$G$92,"Gedung dan Bangunan",'Daftar Koreksi'!$H$5:$H$92,"&lt;0")</f>
        <v>0</v>
      </c>
      <c r="G76" s="17">
        <f t="shared" si="3"/>
        <v>2313674000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Koreksi'!$D$5:$D$92,'2400'!A70,'Daftar Koreksi'!$G$5:$G$92,"Jalan Irigasi Jaringan",'Daftar Koreksi'!$H$5:$H$92,"&gt;0")</f>
        <v>0</v>
      </c>
      <c r="F77" s="25">
        <f>SUMIFS('Daftar Koreksi'!$H$5:$H$92,'Daftar Koreksi'!$D$5:$D$92,'2400'!A70,'Daftar Koreksi'!$G$5:$G$92,"Jalan Irigasi Jaringan",'Daftar Koreksi'!$H$5:$H$92,"&lt;0")-SUMIFS('Daftar Koreksi'!$H$5:$H$92,'Daftar Koreksi'!$D$5:$D$92,'2400'!A70,'Daftar Koreksi'!$G$5:$G$92,"Jalan Irigasi Jaringan",'Daftar Koreksi'!$H$5:$H$92,"&lt;0")-SUMIFS('Daftar Koreksi'!$H$5:$H$92,'Daftar Koreksi'!$D$5:$D$92,'2400'!A70,'Daftar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4159368</v>
      </c>
      <c r="E78" s="25">
        <f>SUMIFS('Daftar Koreksi'!$H$5:$H$92,'Daftar Koreksi'!$D$5:$D$92,'2400'!A70,'Daftar Koreksi'!$G$5:$G$92,"Aset Tetap Lainnya",'Daftar Koreksi'!$H$5:$H$92,"&gt;0")</f>
        <v>0</v>
      </c>
      <c r="F78" s="25">
        <f>SUMIFS('Daftar Koreksi'!$H$5:$H$92,'Daftar Koreksi'!$D$5:$D$92,'2400'!A70,'Daftar Koreksi'!$G$5:$G$92,"Aset Tetap Lainnya",'Daftar Koreksi'!$H$5:$H$92,"&lt;0")-SUMIFS('Daftar Koreksi'!$H$5:$H$92,'Daftar Koreksi'!$D$5:$D$92,'2400'!A70,'Daftar Koreksi'!$G$5:$G$92,"Aset Tetap Lainnya",'Daftar Koreksi'!$H$5:$H$92,"&lt;0")-SUMIFS('Daftar Koreksi'!$H$5:$H$92,'Daftar Koreksi'!$D$5:$D$92,'2400'!A70,'Daftar Koreksi'!$G$5:$G$92,"Aset Tetap Lainnya",'Daftar Koreksi'!$H$5:$H$92,"&lt;0")</f>
        <v>0</v>
      </c>
      <c r="G78" s="17">
        <f t="shared" si="3"/>
        <v>4159368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Koreksi'!$D$5:$D$92,'2400'!A70,'Daftar Koreksi'!$G$5:$G$92,"Kontruksi Dalam Pengerjaan",'Daftar Koreksi'!$H$5:$H$92,"&gt;0")</f>
        <v>0</v>
      </c>
      <c r="F79" s="25">
        <f>SUMIFS('Daftar Koreksi'!$H$5:$H$92,'Daftar Koreksi'!$D$5:$D$92,'2400'!A70,'Daftar Koreksi'!$G$5:$G$92,"Kontruksi Dalam Pengerjaan",'Daftar Koreksi'!$H$5:$H$92,"&lt;0")-SUMIFS('Daftar Koreksi'!$H$5:$H$92,'Daftar Koreksi'!$D$5:$D$92,'2400'!A70,'Daftar Koreksi'!$G$5:$G$92,"Kontruksi Dalam Pengerjaan",'Daftar Koreksi'!$H$5:$H$92,"&lt;0")-SUMIFS('Daftar Koreksi'!$H$5:$H$92,'Daftar Koreksi'!$D$5:$D$92,'2400'!A70,'Daftar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Koreksi'!$D$5:$D$92,'2400'!A70,'Daftar Koreksi'!$G$5:$G$92,"Aset Tak Berwujud",'Daftar Koreksi'!$H$5:$H$92,"&gt;0")</f>
        <v>0</v>
      </c>
      <c r="F80" s="25">
        <f>SUMIFS('Daftar Koreksi'!$H$5:$H$92,'Daftar Koreksi'!$D$5:$D$92,'2400'!A70,'Daftar Koreksi'!$G$5:$G$92,"Aset Tak Berwujud",'Daftar Koreksi'!$H$5:$H$92,"&lt;0")-SUMIFS('Daftar Koreksi'!$H$5:$H$92,'Daftar Koreksi'!$D$5:$D$92,'2400'!A70,'Daftar Koreksi'!$G$5:$G$92,"Aset Tak Berwujud",'Daftar Koreksi'!$H$5:$H$92,"&lt;0")-SUMIFS('Daftar Koreksi'!$H$5:$H$92,'Daftar Koreksi'!$D$5:$D$92,'2400'!A70,'Daftar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9295000</v>
      </c>
      <c r="E81" s="25">
        <f>SUMIFS('Daftar Koreksi'!$H$5:$H$92,'Daftar Koreksi'!$D$5:$D$92,'2400'!A70,'Daftar Koreksi'!$G$5:$G$92,"Aset Henti Guna",'Daftar Koreksi'!$H$5:$H$92,"&gt;0")</f>
        <v>0</v>
      </c>
      <c r="F81" s="25">
        <f>SUMIFS('Daftar Koreksi'!$H$5:$H$92,'Daftar Koreksi'!$D$5:$D$92,'2400'!A70,'Daftar Koreksi'!$G$5:$G$92,"Aset Henti Guna",'Daftar Koreksi'!$H$5:$H$92,"&lt;0")-SUMIFS('Daftar Koreksi'!$H$5:$H$92,'Daftar Koreksi'!$D$5:$D$92,'2400'!A70,'Daftar Koreksi'!$G$5:$G$92,"Aset Henti Guna",'Daftar Koreksi'!$H$5:$H$92,"&lt;0")-SUMIFS('Daftar Koreksi'!$H$5:$H$92,'Daftar Koreksi'!$D$5:$D$92,'2400'!A70,'Daftar Koreksi'!$G$5:$G$92,"Aset Henti Guna",'Daftar Koreksi'!$H$5:$H$92,"&lt;0")</f>
        <v>0</v>
      </c>
      <c r="G81" s="17">
        <f t="shared" si="3"/>
        <v>9295000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4149494911</v>
      </c>
      <c r="E82" s="19">
        <f>SUM(E73:E81)</f>
        <v>0</v>
      </c>
      <c r="F82" s="19">
        <f>SUM(F73:F81)</f>
        <v>0</v>
      </c>
      <c r="G82" s="19">
        <f t="shared" si="3"/>
        <v>4149494911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-1146042830</v>
      </c>
      <c r="E83" s="25">
        <f>SUMIFS('Daftar Koreksi'!$I$5:$I$92,'Daftar Koreksi'!$D$5:$D$92,'2400'!A70,'Daftar Koreksi'!$G$5:$G$92,"Peralatan dan mesin",'Daftar Koreksi'!$I$5:$I$92,"&gt;0")</f>
        <v>0</v>
      </c>
      <c r="F83" s="25">
        <f>SUMIFS('Daftar Koreksi'!$I$5:$I$92,'Daftar Koreksi'!$D$5:$D$92,'2400'!A70,'Daftar Koreksi'!$G$5:$G$92,"Peralatan dan mesin",'Daftar Koreksi'!$I$5:$I$92,"&lt;0")-SUMIFS('Daftar Koreksi'!$I$5:$I$92,'Daftar Koreksi'!$D$5:$D$92,'2400'!A70,'Daftar Koreksi'!$G$5:$G$92,"Peralatan dan mesin",'Daftar Koreksi'!$I$5:$I$92,"&lt;0")-SUMIFS('Daftar Koreksi'!$I$5:$I$92,'Daftar Koreksi'!$D$5:$D$92,'2400'!A70,'Daftar Koreksi'!$G$5:$G$92,"Peralatan dan mesin",'Daftar Koreksi'!$I$5:$I$92,"&lt;0")</f>
        <v>0</v>
      </c>
      <c r="G83" s="17">
        <f t="shared" si="3"/>
        <v>-1146042830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-616906579</v>
      </c>
      <c r="E84" s="25">
        <f>SUMIFS('Daftar Koreksi'!$I$5:$I$92,'Daftar Koreksi'!$D$5:$D$92,'2400'!A70,'Daftar Koreksi'!$G$5:$G$92,"Gedung dan Bangunan",'Daftar Koreksi'!$I$5:$I$92,"&gt;0")</f>
        <v>0</v>
      </c>
      <c r="F84" s="25">
        <f>SUMIFS('Daftar Koreksi'!$I$5:$I$92,'Daftar Koreksi'!$D$5:$D$92,'2400'!A70,'Daftar Koreksi'!$G$5:$G$92,"Gedung dan Bangunan",'Daftar Koreksi'!$I$5:$I$92,"&lt;0")-SUMIFS('Daftar Koreksi'!$I$5:$I$92,'Daftar Koreksi'!$D$5:$D$92,'2400'!A70,'Daftar Koreksi'!$G$5:$G$92,"Gedung dan Bangunan",'Daftar Koreksi'!$I$5:$I$92,"&lt;0")-SUMIFS('Daftar Koreksi'!$I$5:$I$92,'Daftar Koreksi'!$D$5:$D$92,'2400'!A70,'Daftar Koreksi'!$G$5:$G$92,"Gedung dan Bangunan",'Daftar Koreksi'!$I$5:$I$92,"&lt;0")</f>
        <v>0</v>
      </c>
      <c r="G84" s="17">
        <f t="shared" si="3"/>
        <v>-616906579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Koreksi'!$D$5:$D$92,'2400'!A70,'Daftar Koreksi'!$G$5:$G$92,"Jalan Irigasi Jaringan",'Daftar Koreksi'!$I$5:$I$92,"&gt;0")</f>
        <v>0</v>
      </c>
      <c r="F85" s="25">
        <f>SUMIFS('Daftar Koreksi'!$I$5:$I$92,'Daftar Koreksi'!$D$5:$D$92,'2400'!A70,'Daftar Koreksi'!$G$5:$G$92,"Jalan Irigasi Jaringan",'Daftar Koreksi'!$I$5:$I$92,"&lt;0")-SUMIFS('Daftar Koreksi'!$I$5:$I$92,'Daftar Koreksi'!$D$5:$D$92,'2400'!A70,'Daftar Koreksi'!$G$5:$G$92,"Jalan Irigasi Jaringan",'Daftar Koreksi'!$I$5:$I$92,"&lt;0")-SUMIFS('Daftar Koreksi'!$I$5:$I$92,'Daftar Koreksi'!$D$5:$D$92,'2400'!A70,'Daftar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Koreksi'!$D$5:$D$92,'2400'!A70,'Daftar Koreksi'!$G$5:$G$92,"Aset Tetap Lainnya",'Daftar Koreksi'!$I$5:$I$92,"&gt;0")</f>
        <v>0</v>
      </c>
      <c r="F86" s="25">
        <f>SUMIFS('Daftar Koreksi'!$I$5:$I$92,'Daftar Koreksi'!$D$5:$D$92,'2400'!A70,'Daftar Koreksi'!$G$5:$G$92,"Aset Tetap Lainnya",'Daftar Koreksi'!$I$5:$I$92,"&lt;0")-SUMIFS('Daftar Koreksi'!$I$5:$I$92,'Daftar Koreksi'!$D$5:$D$92,'2400'!A70,'Daftar Koreksi'!$G$5:$G$92,"Aset Tetap Lainnya",'Daftar Koreksi'!$I$5:$I$92,"&lt;0")-SUMIFS('Daftar Koreksi'!$I$5:$I$92,'Daftar Koreksi'!$D$5:$D$92,'2400'!A70,'Daftar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-9295000</v>
      </c>
      <c r="E87" s="25">
        <f>SUMIFS('Daftar Koreksi'!$I$5:$I$92,'Daftar Koreksi'!$D$5:$D$92,'2400'!A70,'Daftar Koreksi'!$G$5:$G$92,"Aset Henti Guna",'Daftar Koreksi'!$I$5:$I$92,"&gt;0")</f>
        <v>0</v>
      </c>
      <c r="F87" s="25">
        <f>SUMIFS('Daftar Koreksi'!$I$5:$I$92,'Daftar Koreksi'!$D$5:$D$92,'2400'!A70,'Daftar Koreksi'!$G$5:$G$92,"Aset Henti Guna",'Daftar Koreksi'!$I$5:$I$92,"&lt;0")-SUMIFS('Daftar Koreksi'!$I$5:$I$92,'Daftar Koreksi'!$D$5:$D$92,'2400'!A70,'Daftar Koreksi'!$G$5:$G$92,"Aset Henti Guna",'Daftar Koreksi'!$I$5:$I$92,"&lt;0")-SUMIFS('Daftar Koreksi'!$I$5:$I$92,'Daftar Koreksi'!$D$5:$D$92,'2400'!A70,'Daftar Koreksi'!$G$5:$G$92,"Aset Henti Guna",'Daftar Koreksi'!$I$5:$I$92,"&lt;0")</f>
        <v>0</v>
      </c>
      <c r="G87" s="17">
        <f t="shared" si="3"/>
        <v>-9295000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-1772244409</v>
      </c>
      <c r="E88" s="19">
        <f>SUM(E83:E87)</f>
        <v>0</v>
      </c>
      <c r="F88" s="19">
        <f>SUM(F83:F87)</f>
        <v>0</v>
      </c>
      <c r="G88" s="19">
        <f t="shared" si="3"/>
        <v>-1772244409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2377250502</v>
      </c>
      <c r="E89" s="19">
        <f>E88+E82</f>
        <v>0</v>
      </c>
      <c r="F89" s="19">
        <f>F88+F82</f>
        <v>0</v>
      </c>
      <c r="G89" s="19">
        <f t="shared" si="3"/>
        <v>2377250502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005012400099968000KD</v>
      </c>
      <c r="B92" s="11" t="str">
        <f>P5</f>
        <v>PN. Waingapu</v>
      </c>
      <c r="C92" s="12" t="str">
        <f>A92&amp;" "&amp;B92</f>
        <v>005012400099968000KD PN. Waingapu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535000</v>
      </c>
      <c r="E95" s="25">
        <f>SUMIFS('Daftar Koreksi'!$H$5:$H$92,'Daftar Koreksi'!$D$5:$D$92,'2400'!A92,'Daftar Koreksi'!$G$5:$G$92,"Persediaan",'Daftar Koreksi'!$H$5:$H$92,"&gt;0")</f>
        <v>0</v>
      </c>
      <c r="F95" s="25">
        <f>SUMIFS('Daftar Koreksi'!$H$5:$H$92,'Daftar Koreksi'!$D$5:$D$92,'2400'!A92,'Daftar Koreksi'!$G$5:$G$92,"Persediaan",'Daftar Koreksi'!$H$5:$H$92,"&lt;0")-SUMIFS('Daftar Koreksi'!$H$5:$H$92,'Daftar Koreksi'!$D$5:$D$92,'2400'!A92,'Daftar Koreksi'!$G$5:$G$92,"Persediaan",'Daftar Koreksi'!$H$5:$H$92,"&lt;0")-SUMIFS('Daftar Koreksi'!$H$5:$H$92,'Daftar Koreksi'!$D$5:$D$92,'2400'!A92,'Daftar Koreksi'!$G$5:$G$92,"Persediaan",'Daftar Koreksi'!$H$5:$H$92,"&lt;0")</f>
        <v>0</v>
      </c>
      <c r="G95" s="17">
        <f>D95+E95-F95</f>
        <v>535000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20729955000</v>
      </c>
      <c r="E96" s="25">
        <f>SUMIFS('Daftar Koreksi'!$H$5:$H$92,'Daftar Koreksi'!$D$5:$D$92,'2400'!A92,'Daftar Koreksi'!$G$5:$G$92,"Tanah",'Daftar Koreksi'!$H$5:$H$92,"&gt;0")</f>
        <v>0</v>
      </c>
      <c r="F96" s="25">
        <f>SUMIFS('Daftar Koreksi'!$H$5:$H$92,'Daftar Koreksi'!$D$5:$D$92,'2400'!A92,'Daftar Koreksi'!$G$5:$G$92,"Tanah",'Daftar Koreksi'!$H$5:$H$92,"&lt;0")-SUMIFS('Daftar Koreksi'!$H$5:$H$92,'Daftar Koreksi'!$D$5:$D$92,'2400'!A92,'Daftar Koreksi'!$G$5:$G$92,"Tanah",'Daftar Koreksi'!$H$5:$H$92,"&lt;0")-SUMIFS('Daftar Koreksi'!$H$5:$H$92,'Daftar Koreksi'!$D$5:$D$92,'2400'!A92,'Daftar Koreksi'!$G$5:$G$92,"Tanah",'Daftar Koreksi'!$H$5:$H$92,"&lt;0")</f>
        <v>0</v>
      </c>
      <c r="G96" s="17">
        <f t="shared" ref="G96:G112" si="4">D96+E96-F96</f>
        <v>20729955000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2157789556</v>
      </c>
      <c r="E97" s="25">
        <f>SUMIFS('Daftar Koreksi'!$H$5:$H$92,'Daftar Koreksi'!$D$5:$D$92,'2400'!A92,'Daftar Koreksi'!$G$5:$G$92,"Peralatan dan mesin",'Daftar Koreksi'!$H$5:$H$92,"&gt;0")</f>
        <v>0</v>
      </c>
      <c r="F97" s="25">
        <f>SUMIFS('Daftar Koreksi'!$H$5:$H$92,'Daftar Koreksi'!$D$5:$D$92,'2400'!A92,'Daftar Koreksi'!$G$5:$G$92,"Peralatan dan mesin",'Daftar Koreksi'!$H$5:$H$92,"&lt;0")-SUMIFS('Daftar Koreksi'!$H$5:$H$92,'Daftar Koreksi'!$D$5:$D$92,'2400'!A92,'Daftar Koreksi'!$G$5:$G$92,"Peralatan dan mesin",'Daftar Koreksi'!$H$5:$H$92,"&lt;0")-SUMIFS('Daftar Koreksi'!$H$5:$H$92,'Daftar Koreksi'!$D$5:$D$92,'2400'!A92,'Daftar Koreksi'!$G$5:$G$92,"Peralatan dan mesin",'Daftar Koreksi'!$H$5:$H$92,"&lt;0")</f>
        <v>0</v>
      </c>
      <c r="G97" s="17">
        <f t="shared" si="4"/>
        <v>2157789556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3834491080</v>
      </c>
      <c r="E98" s="25">
        <f>SUMIFS('Daftar Koreksi'!$H$5:$H$92,'Daftar Koreksi'!$D$5:$D$92,'2400'!A92,'Daftar Koreksi'!$G$5:$G$92,"Gedung dan Bangunan",'Daftar Koreksi'!$H$5:$H$92,"&gt;0")</f>
        <v>0</v>
      </c>
      <c r="F98" s="25">
        <f>SUMIFS('Daftar Koreksi'!$H$5:$H$92,'Daftar Koreksi'!$D$5:$D$92,'2400'!A92,'Daftar Koreksi'!$G$5:$G$92,"Gedung dan Bangunan",'Daftar Koreksi'!$H$5:$H$92,"&lt;0")-SUMIFS('Daftar Koreksi'!$H$5:$H$92,'Daftar Koreksi'!$D$5:$D$92,'2400'!A92,'Daftar Koreksi'!$G$5:$G$92,"Gedung dan Bangunan",'Daftar Koreksi'!$H$5:$H$92,"&lt;0")-SUMIFS('Daftar Koreksi'!$H$5:$H$92,'Daftar Koreksi'!$D$5:$D$92,'2400'!A92,'Daftar Koreksi'!$G$5:$G$92,"Gedung dan Bangunan",'Daftar Koreksi'!$H$5:$H$92,"&lt;0")</f>
        <v>0</v>
      </c>
      <c r="G98" s="17">
        <f t="shared" si="4"/>
        <v>3834491080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50000000</v>
      </c>
      <c r="E99" s="25">
        <f>SUMIFS('Daftar Koreksi'!$H$5:$H$92,'Daftar Koreksi'!$D$5:$D$92,'2400'!A92,'Daftar Koreksi'!$G$5:$G$92,"Jalan Irigasi Jaringan",'Daftar Koreksi'!$H$5:$H$92,"&gt;0")</f>
        <v>0</v>
      </c>
      <c r="F99" s="25">
        <f>SUMIFS('Daftar Koreksi'!$H$5:$H$92,'Daftar Koreksi'!$D$5:$D$92,'2400'!A92,'Daftar Koreksi'!$G$5:$G$92,"Jalan Irigasi Jaringan",'Daftar Koreksi'!$H$5:$H$92,"&lt;0")-SUMIFS('Daftar Koreksi'!$H$5:$H$92,'Daftar Koreksi'!$D$5:$D$92,'2400'!A92,'Daftar Koreksi'!$G$5:$G$92,"Jalan Irigasi Jaringan",'Daftar Koreksi'!$H$5:$H$92,"&lt;0")-SUMIFS('Daftar Koreksi'!$H$5:$H$92,'Daftar Koreksi'!$D$5:$D$92,'2400'!A92,'Daftar Koreksi'!$G$5:$G$92,"Jalan Irigasi Jaringan",'Daftar Koreksi'!$H$5:$H$92,"&lt;0")</f>
        <v>0</v>
      </c>
      <c r="G99" s="17">
        <f t="shared" si="4"/>
        <v>50000000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109776964</v>
      </c>
      <c r="E100" s="25">
        <f>SUMIFS('Daftar Koreksi'!$H$5:$H$92,'Daftar Koreksi'!$D$5:$D$92,'2400'!A92,'Daftar Koreksi'!$G$5:$G$92,"Aset Tetap Lainnya",'Daftar Koreksi'!$H$5:$H$92,"&gt;0")</f>
        <v>0</v>
      </c>
      <c r="F100" s="25">
        <f>SUMIFS('Daftar Koreksi'!$H$5:$H$92,'Daftar Koreksi'!$D$5:$D$92,'2400'!A92,'Daftar Koreksi'!$G$5:$G$92,"Aset Tetap Lainnya",'Daftar Koreksi'!$H$5:$H$92,"&lt;0")-SUMIFS('Daftar Koreksi'!$H$5:$H$92,'Daftar Koreksi'!$D$5:$D$92,'2400'!A92,'Daftar Koreksi'!$G$5:$G$92,"Aset Tetap Lainnya",'Daftar Koreksi'!$H$5:$H$92,"&lt;0")-SUMIFS('Daftar Koreksi'!$H$5:$H$92,'Daftar Koreksi'!$D$5:$D$92,'2400'!A92,'Daftar Koreksi'!$G$5:$G$92,"Aset Tetap Lainnya",'Daftar Koreksi'!$H$5:$H$92,"&lt;0")</f>
        <v>0</v>
      </c>
      <c r="G100" s="17">
        <f t="shared" si="4"/>
        <v>109776964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Koreksi'!$D$5:$D$92,'2400'!A92,'Daftar Koreksi'!$G$5:$G$92,"Kontruksi Dalam Pengerjaan",'Daftar Koreksi'!$H$5:$H$92,"&gt;0")</f>
        <v>0</v>
      </c>
      <c r="F101" s="25">
        <f>SUMIFS('Daftar Koreksi'!$H$5:$H$92,'Daftar Koreksi'!$D$5:$D$92,'2400'!A92,'Daftar Koreksi'!$G$5:$G$92,"Kontruksi Dalam Pengerjaan",'Daftar Koreksi'!$H$5:$H$92,"&lt;0")-SUMIFS('Daftar Koreksi'!$H$5:$H$92,'Daftar Koreksi'!$D$5:$D$92,'2400'!A92,'Daftar Koreksi'!$G$5:$G$92,"Kontruksi Dalam Pengerjaan",'Daftar Koreksi'!$H$5:$H$92,"&lt;0")-SUMIFS('Daftar Koreksi'!$H$5:$H$92,'Daftar Koreksi'!$D$5:$D$92,'2400'!A92,'Daftar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Koreksi'!$D$5:$D$92,'2400'!A92,'Daftar Koreksi'!$G$5:$G$92,"Aset Tak Berwujud",'Daftar Koreksi'!$H$5:$H$92,"&gt;0")</f>
        <v>0</v>
      </c>
      <c r="F102" s="25">
        <f>SUMIFS('Daftar Koreksi'!$H$5:$H$92,'Daftar Koreksi'!$D$5:$D$92,'2400'!A92,'Daftar Koreksi'!$G$5:$G$92,"Aset Tak Berwujud",'Daftar Koreksi'!$H$5:$H$92,"&lt;0")-SUMIFS('Daftar Koreksi'!$H$5:$H$92,'Daftar Koreksi'!$D$5:$D$92,'2400'!A92,'Daftar Koreksi'!$G$5:$G$92,"Aset Tak Berwujud",'Daftar Koreksi'!$H$5:$H$92,"&lt;0")-SUMIFS('Daftar Koreksi'!$H$5:$H$92,'Daftar Koreksi'!$D$5:$D$92,'2400'!A92,'Daftar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Koreksi'!$D$5:$D$92,'2400'!A92,'Daftar Koreksi'!$G$5:$G$92,"Aset Henti Guna",'Daftar Koreksi'!$H$5:$H$92,"&gt;0")</f>
        <v>0</v>
      </c>
      <c r="F103" s="25">
        <f>SUMIFS('Daftar Koreksi'!$H$5:$H$92,'Daftar Koreksi'!$D$5:$D$92,'2400'!A92,'Daftar Koreksi'!$G$5:$G$92,"Aset Henti Guna",'Daftar Koreksi'!$H$5:$H$92,"&lt;0")-SUMIFS('Daftar Koreksi'!$H$5:$H$92,'Daftar Koreksi'!$D$5:$D$92,'2400'!A92,'Daftar Koreksi'!$G$5:$G$92,"Aset Henti Guna",'Daftar Koreksi'!$H$5:$H$92,"&lt;0")-SUMIFS('Daftar Koreksi'!$H$5:$H$92,'Daftar Koreksi'!$D$5:$D$92,'2400'!A92,'Daftar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26882547600</v>
      </c>
      <c r="E104" s="19">
        <f>SUM(E95:E103)</f>
        <v>0</v>
      </c>
      <c r="F104" s="19">
        <f>SUM(F95:F103)</f>
        <v>0</v>
      </c>
      <c r="G104" s="19">
        <f t="shared" si="4"/>
        <v>26882547600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-1700668445</v>
      </c>
      <c r="E105" s="25">
        <f>SUMIFS('Daftar Koreksi'!$I$5:$I$92,'Daftar Koreksi'!$D$5:$D$92,'2400'!A92,'Daftar Koreksi'!$G$5:$G$92,"Peralatan dan mesin",'Daftar Koreksi'!$I$5:$I$92,"&gt;0")</f>
        <v>0</v>
      </c>
      <c r="F105" s="25">
        <f>SUMIFS('Daftar Koreksi'!$I$5:$I$92,'Daftar Koreksi'!$D$5:$D$92,'2400'!A92,'Daftar Koreksi'!$G$5:$G$92,"Peralatan dan mesin",'Daftar Koreksi'!$I$5:$I$92,"&lt;0")-SUMIFS('Daftar Koreksi'!$I$5:$I$92,'Daftar Koreksi'!$D$5:$D$92,'2400'!A92,'Daftar Koreksi'!$G$5:$G$92,"Peralatan dan mesin",'Daftar Koreksi'!$I$5:$I$92,"&lt;0")-SUMIFS('Daftar Koreksi'!$I$5:$I$92,'Daftar Koreksi'!$D$5:$D$92,'2400'!A92,'Daftar Koreksi'!$G$5:$G$92,"Peralatan dan mesin",'Daftar Koreksi'!$I$5:$I$92,"&lt;0")</f>
        <v>0</v>
      </c>
      <c r="G105" s="17">
        <f t="shared" si="4"/>
        <v>-1700668445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-1043742211</v>
      </c>
      <c r="E106" s="25">
        <f>SUMIFS('Daftar Koreksi'!$I$5:$I$92,'Daftar Koreksi'!$D$5:$D$92,'2400'!A92,'Daftar Koreksi'!$G$5:$G$92,"Gedung dan Bangunan",'Daftar Koreksi'!$I$5:$I$92,"&gt;0")</f>
        <v>0</v>
      </c>
      <c r="F106" s="25">
        <f>SUMIFS('Daftar Koreksi'!$I$5:$I$92,'Daftar Koreksi'!$D$5:$D$92,'2400'!A92,'Daftar Koreksi'!$G$5:$G$92,"Gedung dan Bangunan",'Daftar Koreksi'!$I$5:$I$92,"&lt;0")-SUMIFS('Daftar Koreksi'!$I$5:$I$92,'Daftar Koreksi'!$D$5:$D$92,'2400'!A92,'Daftar Koreksi'!$G$5:$G$92,"Gedung dan Bangunan",'Daftar Koreksi'!$I$5:$I$92,"&lt;0")-SUMIFS('Daftar Koreksi'!$I$5:$I$92,'Daftar Koreksi'!$D$5:$D$92,'2400'!A92,'Daftar Koreksi'!$G$5:$G$92,"Gedung dan Bangunan",'Daftar Koreksi'!$I$5:$I$92,"&lt;0")</f>
        <v>0</v>
      </c>
      <c r="G106" s="17">
        <f t="shared" si="4"/>
        <v>-1043742211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-10000000</v>
      </c>
      <c r="E107" s="25">
        <f>SUMIFS('Daftar Koreksi'!$I$5:$I$92,'Daftar Koreksi'!$D$5:$D$92,'2400'!A92,'Daftar Koreksi'!$G$5:$G$92,"Jalan Irigasi Jaringan",'Daftar Koreksi'!$I$5:$I$92,"&gt;0")</f>
        <v>0</v>
      </c>
      <c r="F107" s="25">
        <f>SUMIFS('Daftar Koreksi'!$I$5:$I$92,'Daftar Koreksi'!$D$5:$D$92,'2400'!A92,'Daftar Koreksi'!$G$5:$G$92,"Jalan Irigasi Jaringan",'Daftar Koreksi'!$I$5:$I$92,"&lt;0")-SUMIFS('Daftar Koreksi'!$I$5:$I$92,'Daftar Koreksi'!$D$5:$D$92,'2400'!A92,'Daftar Koreksi'!$G$5:$G$92,"Jalan Irigasi Jaringan",'Daftar Koreksi'!$I$5:$I$92,"&lt;0")-SUMIFS('Daftar Koreksi'!$I$5:$I$92,'Daftar Koreksi'!$D$5:$D$92,'2400'!A92,'Daftar Koreksi'!$G$5:$G$92,"Jalan Irigasi Jaringan",'Daftar Koreksi'!$I$5:$I$92,"&lt;0")</f>
        <v>0</v>
      </c>
      <c r="G107" s="17">
        <f t="shared" si="4"/>
        <v>-10000000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Koreksi'!$D$5:$D$92,'2400'!A92,'Daftar Koreksi'!$G$5:$G$92,"Aset Tetap Lainnya",'Daftar Koreksi'!$I$5:$I$92,"&gt;0")</f>
        <v>0</v>
      </c>
      <c r="F108" s="25">
        <f>SUMIFS('Daftar Koreksi'!$I$5:$I$92,'Daftar Koreksi'!$D$5:$D$92,'2400'!A92,'Daftar Koreksi'!$G$5:$G$92,"Aset Tetap Lainnya",'Daftar Koreksi'!$I$5:$I$92,"&lt;0")-SUMIFS('Daftar Koreksi'!$I$5:$I$92,'Daftar Koreksi'!$D$5:$D$92,'2400'!A92,'Daftar Koreksi'!$G$5:$G$92,"Aset Tetap Lainnya",'Daftar Koreksi'!$I$5:$I$92,"&lt;0")-SUMIFS('Daftar Koreksi'!$I$5:$I$92,'Daftar Koreksi'!$D$5:$D$92,'2400'!A92,'Daftar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Koreksi'!$D$5:$D$92,'2400'!A92,'Daftar Koreksi'!$G$5:$G$92,"Aset Henti Guna",'Daftar Koreksi'!$I$5:$I$92,"&gt;0")</f>
        <v>0</v>
      </c>
      <c r="F109" s="25">
        <f>SUMIFS('Daftar Koreksi'!$I$5:$I$92,'Daftar Koreksi'!$D$5:$D$92,'2400'!A92,'Daftar Koreksi'!$G$5:$G$92,"Aset Henti Guna",'Daftar Koreksi'!$I$5:$I$92,"&lt;0")-SUMIFS('Daftar Koreksi'!$I$5:$I$92,'Daftar Koreksi'!$D$5:$D$92,'2400'!A92,'Daftar Koreksi'!$G$5:$G$92,"Aset Henti Guna",'Daftar Koreksi'!$I$5:$I$92,"&lt;0")-SUMIFS('Daftar Koreksi'!$I$5:$I$92,'Daftar Koreksi'!$D$5:$D$92,'2400'!A92,'Daftar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-2754410656</v>
      </c>
      <c r="E110" s="19">
        <f>SUM(E105:E109)</f>
        <v>0</v>
      </c>
      <c r="F110" s="19">
        <f>SUM(F105:F109)</f>
        <v>0</v>
      </c>
      <c r="G110" s="19">
        <f t="shared" si="4"/>
        <v>-2754410656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24128136944</v>
      </c>
      <c r="E111" s="19">
        <f>E110+E104</f>
        <v>0</v>
      </c>
      <c r="F111" s="19">
        <f>F110+F104</f>
        <v>0</v>
      </c>
      <c r="G111" s="19">
        <f t="shared" si="4"/>
        <v>24128136944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005012400099972000KD</v>
      </c>
      <c r="B114" s="11" t="str">
        <f>P6</f>
        <v>PN. Waikabubak</v>
      </c>
      <c r="C114" s="12" t="str">
        <f>A114&amp;" "&amp;B114</f>
        <v>005012400099972000KD PN. Waikabubak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7380500</v>
      </c>
      <c r="E117" s="25">
        <f>SUMIFS('Daftar Koreksi'!$H$5:$H$92,'Daftar Koreksi'!$D$5:$D$92,'2400'!A114,'Daftar Koreksi'!$G$5:$G$92,"Persediaan",'Daftar Koreksi'!$H$5:$H$92,"&gt;0")</f>
        <v>0</v>
      </c>
      <c r="F117" s="25">
        <f>SUMIFS('Daftar Koreksi'!$H$5:$H$92,'Daftar Koreksi'!$D$5:$D$92,'2400'!A114,'Daftar Koreksi'!$G$5:$G$92,"Persediaan",'Daftar Koreksi'!$H$5:$H$92,"&lt;0")-SUMIFS('Daftar Koreksi'!$H$5:$H$92,'Daftar Koreksi'!$D$5:$D$92,'2400'!A114,'Daftar Koreksi'!$G$5:$G$92,"Persediaan",'Daftar Koreksi'!$H$5:$H$92,"&lt;0")-SUMIFS('Daftar Koreksi'!$H$5:$H$92,'Daftar Koreksi'!$D$5:$D$92,'2400'!A114,'Daftar Koreksi'!$G$5:$G$92,"Persediaan",'Daftar Koreksi'!$H$5:$H$92,"&lt;0")</f>
        <v>0</v>
      </c>
      <c r="G117" s="17">
        <f>D117+E117-F117</f>
        <v>7380500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782832282</v>
      </c>
      <c r="E118" s="25">
        <f>SUMIFS('Daftar Koreksi'!$H$5:$H$92,'Daftar Koreksi'!$D$5:$D$92,'2400'!A114,'Daftar Koreksi'!$G$5:$G$92,"Tanah",'Daftar Koreksi'!$H$5:$H$92,"&gt;0")</f>
        <v>0</v>
      </c>
      <c r="F118" s="25">
        <f>SUMIFS('Daftar Koreksi'!$H$5:$H$92,'Daftar Koreksi'!$D$5:$D$92,'2400'!A114,'Daftar Koreksi'!$G$5:$G$92,"Tanah",'Daftar Koreksi'!$H$5:$H$92,"&lt;0")-SUMIFS('Daftar Koreksi'!$H$5:$H$92,'Daftar Koreksi'!$D$5:$D$92,'2400'!A114,'Daftar Koreksi'!$G$5:$G$92,"Tanah",'Daftar Koreksi'!$H$5:$H$92,"&lt;0")-SUMIFS('Daftar Koreksi'!$H$5:$H$92,'Daftar Koreksi'!$D$5:$D$92,'2400'!A114,'Daftar Koreksi'!$G$5:$G$92,"Tanah",'Daftar Koreksi'!$H$5:$H$92,"&lt;0")</f>
        <v>0</v>
      </c>
      <c r="G118" s="17">
        <f t="shared" ref="G118:G134" si="5">D118+E118-F118</f>
        <v>782832282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1514983063</v>
      </c>
      <c r="E119" s="25">
        <f>SUMIFS('Daftar Koreksi'!$H$5:$H$92,'Daftar Koreksi'!$D$5:$D$92,'2400'!A114,'Daftar Koreksi'!$G$5:$G$92,"Peralatan dan mesin",'Daftar Koreksi'!$H$5:$H$92,"&gt;0")</f>
        <v>0</v>
      </c>
      <c r="F119" s="25">
        <f>SUMIFS('Daftar Koreksi'!$H$5:$H$92,'Daftar Koreksi'!$D$5:$D$92,'2400'!A114,'Daftar Koreksi'!$G$5:$G$92,"Peralatan dan mesin",'Daftar Koreksi'!$H$5:$H$92,"&lt;0")-SUMIFS('Daftar Koreksi'!$H$5:$H$92,'Daftar Koreksi'!$D$5:$D$92,'2400'!A114,'Daftar Koreksi'!$G$5:$G$92,"Peralatan dan mesin",'Daftar Koreksi'!$H$5:$H$92,"&lt;0")-SUMIFS('Daftar Koreksi'!$H$5:$H$92,'Daftar Koreksi'!$D$5:$D$92,'2400'!A114,'Daftar Koreksi'!$G$5:$G$92,"Peralatan dan mesin",'Daftar Koreksi'!$H$5:$H$92,"&lt;0")</f>
        <v>0</v>
      </c>
      <c r="G119" s="17">
        <f t="shared" si="5"/>
        <v>1514983063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12457319000</v>
      </c>
      <c r="E120" s="25">
        <f>SUMIFS('Daftar Koreksi'!$H$5:$H$92,'Daftar Koreksi'!$D$5:$D$92,'2400'!A114,'Daftar Koreksi'!$G$5:$G$92,"Gedung dan Bangunan",'Daftar Koreksi'!$H$5:$H$92,"&gt;0")</f>
        <v>0</v>
      </c>
      <c r="F120" s="25">
        <f>SUMIFS('Daftar Koreksi'!$H$5:$H$92,'Daftar Koreksi'!$D$5:$D$92,'2400'!A114,'Daftar Koreksi'!$G$5:$G$92,"Gedung dan Bangunan",'Daftar Koreksi'!$H$5:$H$92,"&lt;0")-SUMIFS('Daftar Koreksi'!$H$5:$H$92,'Daftar Koreksi'!$D$5:$D$92,'2400'!A114,'Daftar Koreksi'!$G$5:$G$92,"Gedung dan Bangunan",'Daftar Koreksi'!$H$5:$H$92,"&lt;0")-SUMIFS('Daftar Koreksi'!$H$5:$H$92,'Daftar Koreksi'!$D$5:$D$92,'2400'!A114,'Daftar Koreksi'!$G$5:$G$92,"Gedung dan Bangunan",'Daftar Koreksi'!$H$5:$H$92,"&lt;0")</f>
        <v>0</v>
      </c>
      <c r="G120" s="17">
        <f t="shared" si="5"/>
        <v>12457319000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122494000</v>
      </c>
      <c r="E121" s="25">
        <f>SUMIFS('Daftar Koreksi'!$H$5:$H$92,'Daftar Koreksi'!$D$5:$D$92,'2400'!A114,'Daftar Koreksi'!$G$5:$G$92,"Jalan Irigasi Jaringan",'Daftar Koreksi'!$H$5:$H$92,"&gt;0")</f>
        <v>0</v>
      </c>
      <c r="F121" s="25">
        <f>SUMIFS('Daftar Koreksi'!$H$5:$H$92,'Daftar Koreksi'!$D$5:$D$92,'2400'!A114,'Daftar Koreksi'!$G$5:$G$92,"Jalan Irigasi Jaringan",'Daftar Koreksi'!$H$5:$H$92,"&lt;0")-SUMIFS('Daftar Koreksi'!$H$5:$H$92,'Daftar Koreksi'!$D$5:$D$92,'2400'!A114,'Daftar Koreksi'!$G$5:$G$92,"Jalan Irigasi Jaringan",'Daftar Koreksi'!$H$5:$H$92,"&lt;0")-SUMIFS('Daftar Koreksi'!$H$5:$H$92,'Daftar Koreksi'!$D$5:$D$92,'2400'!A114,'Daftar Koreksi'!$G$5:$G$92,"Jalan Irigasi Jaringan",'Daftar Koreksi'!$H$5:$H$92,"&lt;0")</f>
        <v>0</v>
      </c>
      <c r="G121" s="17">
        <f t="shared" si="5"/>
        <v>122494000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24455738</v>
      </c>
      <c r="E122" s="25">
        <f>SUMIFS('Daftar Koreksi'!$H$5:$H$92,'Daftar Koreksi'!$D$5:$D$92,'2400'!A114,'Daftar Koreksi'!$G$5:$G$92,"Aset Tetap Lainnya",'Daftar Koreksi'!$H$5:$H$92,"&gt;0")</f>
        <v>0</v>
      </c>
      <c r="F122" s="25">
        <f>SUMIFS('Daftar Koreksi'!$H$5:$H$92,'Daftar Koreksi'!$D$5:$D$92,'2400'!A114,'Daftar Koreksi'!$G$5:$G$92,"Aset Tetap Lainnya",'Daftar Koreksi'!$H$5:$H$92,"&lt;0")-SUMIFS('Daftar Koreksi'!$H$5:$H$92,'Daftar Koreksi'!$D$5:$D$92,'2400'!A114,'Daftar Koreksi'!$G$5:$G$92,"Aset Tetap Lainnya",'Daftar Koreksi'!$H$5:$H$92,"&lt;0")-SUMIFS('Daftar Koreksi'!$H$5:$H$92,'Daftar Koreksi'!$D$5:$D$92,'2400'!A114,'Daftar Koreksi'!$G$5:$G$92,"Aset Tetap Lainnya",'Daftar Koreksi'!$H$5:$H$92,"&lt;0")</f>
        <v>0</v>
      </c>
      <c r="G122" s="17">
        <f t="shared" si="5"/>
        <v>24455738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Koreksi'!$D$5:$D$92,'2400'!A114,'Daftar Koreksi'!$G$5:$G$92,"Kontruksi Dalam Pengerjaan",'Daftar Koreksi'!$H$5:$H$92,"&gt;0")</f>
        <v>0</v>
      </c>
      <c r="F123" s="25">
        <f>SUMIFS('Daftar Koreksi'!$H$5:$H$92,'Daftar Koreksi'!$D$5:$D$92,'2400'!A114,'Daftar Koreksi'!$G$5:$G$92,"Kontruksi Dalam Pengerjaan",'Daftar Koreksi'!$H$5:$H$92,"&lt;0")-SUMIFS('Daftar Koreksi'!$H$5:$H$92,'Daftar Koreksi'!$D$5:$D$92,'2400'!A114,'Daftar Koreksi'!$G$5:$G$92,"Kontruksi Dalam Pengerjaan",'Daftar Koreksi'!$H$5:$H$92,"&lt;0")-SUMIFS('Daftar Koreksi'!$H$5:$H$92,'Daftar Koreksi'!$D$5:$D$92,'2400'!A114,'Daftar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Koreksi'!$D$5:$D$92,'2400'!A114,'Daftar Koreksi'!$G$5:$G$92,"Aset Tak Berwujud",'Daftar Koreksi'!$H$5:$H$92,"&gt;0")</f>
        <v>0</v>
      </c>
      <c r="F124" s="25">
        <f>SUMIFS('Daftar Koreksi'!$H$5:$H$92,'Daftar Koreksi'!$D$5:$D$92,'2400'!A114,'Daftar Koreksi'!$G$5:$G$92,"Aset Tak Berwujud",'Daftar Koreksi'!$H$5:$H$92,"&lt;0")-SUMIFS('Daftar Koreksi'!$H$5:$H$92,'Daftar Koreksi'!$D$5:$D$92,'2400'!A114,'Daftar Koreksi'!$G$5:$G$92,"Aset Tak Berwujud",'Daftar Koreksi'!$H$5:$H$92,"&lt;0")-SUMIFS('Daftar Koreksi'!$H$5:$H$92,'Daftar Koreksi'!$D$5:$D$92,'2400'!A114,'Daftar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192983000</v>
      </c>
      <c r="E125" s="25">
        <f>SUMIFS('Daftar Koreksi'!$H$5:$H$92,'Daftar Koreksi'!$D$5:$D$92,'2400'!A114,'Daftar Koreksi'!$G$5:$G$92,"Aset Henti Guna",'Daftar Koreksi'!$H$5:$H$92,"&gt;0")</f>
        <v>0</v>
      </c>
      <c r="F125" s="25">
        <f>SUMIFS('Daftar Koreksi'!$H$5:$H$92,'Daftar Koreksi'!$D$5:$D$92,'2400'!A114,'Daftar Koreksi'!$G$5:$G$92,"Aset Henti Guna",'Daftar Koreksi'!$H$5:$H$92,"&lt;0")-SUMIFS('Daftar Koreksi'!$H$5:$H$92,'Daftar Koreksi'!$D$5:$D$92,'2400'!A114,'Daftar Koreksi'!$G$5:$G$92,"Aset Henti Guna",'Daftar Koreksi'!$H$5:$H$92,"&lt;0")-SUMIFS('Daftar Koreksi'!$H$5:$H$92,'Daftar Koreksi'!$D$5:$D$92,'2400'!A114,'Daftar Koreksi'!$G$5:$G$92,"Aset Henti Guna",'Daftar Koreksi'!$H$5:$H$92,"&lt;0")</f>
        <v>0</v>
      </c>
      <c r="G125" s="17">
        <f t="shared" si="5"/>
        <v>192983000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15102447583</v>
      </c>
      <c r="E126" s="19">
        <f>SUM(E117:E125)</f>
        <v>0</v>
      </c>
      <c r="F126" s="19">
        <f>SUM(F117:F125)</f>
        <v>0</v>
      </c>
      <c r="G126" s="19">
        <f t="shared" si="5"/>
        <v>15102447583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-1239022090</v>
      </c>
      <c r="E127" s="25">
        <f>SUMIFS('Daftar Koreksi'!$I$5:$I$92,'Daftar Koreksi'!$D$5:$D$92,'2400'!A114,'Daftar Koreksi'!$G$5:$G$92,"Peralatan dan mesin",'Daftar Koreksi'!$I$5:$I$92,"&gt;0")</f>
        <v>0</v>
      </c>
      <c r="F127" s="25">
        <f>SUMIFS('Daftar Koreksi'!$I$5:$I$92,'Daftar Koreksi'!$D$5:$D$92,'2400'!A114,'Daftar Koreksi'!$G$5:$G$92,"Peralatan dan mesin",'Daftar Koreksi'!$I$5:$I$92,"&lt;0")-SUMIFS('Daftar Koreksi'!$I$5:$I$92,'Daftar Koreksi'!$D$5:$D$92,'2400'!A114,'Daftar Koreksi'!$G$5:$G$92,"Peralatan dan mesin",'Daftar Koreksi'!$I$5:$I$92,"&lt;0")-SUMIFS('Daftar Koreksi'!$I$5:$I$92,'Daftar Koreksi'!$D$5:$D$92,'2400'!A114,'Daftar Koreksi'!$G$5:$G$92,"Peralatan dan mesin",'Daftar Koreksi'!$I$5:$I$92,"&lt;0")</f>
        <v>0</v>
      </c>
      <c r="G127" s="17">
        <f t="shared" si="5"/>
        <v>-1239022090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-903269562</v>
      </c>
      <c r="E128" s="25">
        <f>SUMIFS('Daftar Koreksi'!$I$5:$I$92,'Daftar Koreksi'!$D$5:$D$92,'2400'!A114,'Daftar Koreksi'!$G$5:$G$92,"Gedung dan Bangunan",'Daftar Koreksi'!$I$5:$I$92,"&gt;0")</f>
        <v>0</v>
      </c>
      <c r="F128" s="25">
        <f>SUMIFS('Daftar Koreksi'!$I$5:$I$92,'Daftar Koreksi'!$D$5:$D$92,'2400'!A114,'Daftar Koreksi'!$G$5:$G$92,"Gedung dan Bangunan",'Daftar Koreksi'!$I$5:$I$92,"&lt;0")-SUMIFS('Daftar Koreksi'!$I$5:$I$92,'Daftar Koreksi'!$D$5:$D$92,'2400'!A114,'Daftar Koreksi'!$G$5:$G$92,"Gedung dan Bangunan",'Daftar Koreksi'!$I$5:$I$92,"&lt;0")-SUMIFS('Daftar Koreksi'!$I$5:$I$92,'Daftar Koreksi'!$D$5:$D$92,'2400'!A114,'Daftar Koreksi'!$G$5:$G$92,"Gedung dan Bangunan",'Daftar Koreksi'!$I$5:$I$92,"&lt;0")</f>
        <v>0</v>
      </c>
      <c r="G128" s="17">
        <f t="shared" si="5"/>
        <v>-903269562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-57233911</v>
      </c>
      <c r="E129" s="25">
        <f>SUMIFS('Daftar Koreksi'!$I$5:$I$92,'Daftar Koreksi'!$D$5:$D$92,'2400'!A114,'Daftar Koreksi'!$G$5:$G$92,"Jalan Irigasi Jaringan",'Daftar Koreksi'!$I$5:$I$92,"&gt;0")</f>
        <v>0</v>
      </c>
      <c r="F129" s="25">
        <f>SUMIFS('Daftar Koreksi'!$I$5:$I$92,'Daftar Koreksi'!$D$5:$D$92,'2400'!A114,'Daftar Koreksi'!$G$5:$G$92,"Jalan Irigasi Jaringan",'Daftar Koreksi'!$I$5:$I$92,"&lt;0")-SUMIFS('Daftar Koreksi'!$I$5:$I$92,'Daftar Koreksi'!$D$5:$D$92,'2400'!A114,'Daftar Koreksi'!$G$5:$G$92,"Jalan Irigasi Jaringan",'Daftar Koreksi'!$I$5:$I$92,"&lt;0")-SUMIFS('Daftar Koreksi'!$I$5:$I$92,'Daftar Koreksi'!$D$5:$D$92,'2400'!A114,'Daftar Koreksi'!$G$5:$G$92,"Jalan Irigasi Jaringan",'Daftar Koreksi'!$I$5:$I$92,"&lt;0")</f>
        <v>0</v>
      </c>
      <c r="G129" s="17">
        <f t="shared" si="5"/>
        <v>-57233911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Koreksi'!$D$5:$D$92,'2400'!A114,'Daftar Koreksi'!$G$5:$G$92,"Aset Tetap Lainnya",'Daftar Koreksi'!$I$5:$I$92,"&gt;0")</f>
        <v>0</v>
      </c>
      <c r="F130" s="25">
        <f>SUMIFS('Daftar Koreksi'!$I$5:$I$92,'Daftar Koreksi'!$D$5:$D$92,'2400'!A114,'Daftar Koreksi'!$G$5:$G$92,"Aset Tetap Lainnya",'Daftar Koreksi'!$I$5:$I$92,"&lt;0")-SUMIFS('Daftar Koreksi'!$I$5:$I$92,'Daftar Koreksi'!$D$5:$D$92,'2400'!A114,'Daftar Koreksi'!$G$5:$G$92,"Aset Tetap Lainnya",'Daftar Koreksi'!$I$5:$I$92,"&lt;0")-SUMIFS('Daftar Koreksi'!$I$5:$I$92,'Daftar Koreksi'!$D$5:$D$92,'2400'!A114,'Daftar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-50875256</v>
      </c>
      <c r="E131" s="25">
        <f>SUMIFS('Daftar Koreksi'!$I$5:$I$92,'Daftar Koreksi'!$D$5:$D$92,'2400'!A114,'Daftar Koreksi'!$G$5:$G$92,"Aset Henti Guna",'Daftar Koreksi'!$I$5:$I$92,"&gt;0")</f>
        <v>0</v>
      </c>
      <c r="F131" s="25">
        <f>SUMIFS('Daftar Koreksi'!$I$5:$I$92,'Daftar Koreksi'!$D$5:$D$92,'2400'!A114,'Daftar Koreksi'!$G$5:$G$92,"Aset Henti Guna",'Daftar Koreksi'!$I$5:$I$92,"&lt;0")-SUMIFS('Daftar Koreksi'!$I$5:$I$92,'Daftar Koreksi'!$D$5:$D$92,'2400'!A114,'Daftar Koreksi'!$G$5:$G$92,"Aset Henti Guna",'Daftar Koreksi'!$I$5:$I$92,"&lt;0")-SUMIFS('Daftar Koreksi'!$I$5:$I$92,'Daftar Koreksi'!$D$5:$D$92,'2400'!A114,'Daftar Koreksi'!$G$5:$G$92,"Aset Henti Guna",'Daftar Koreksi'!$I$5:$I$92,"&lt;0")</f>
        <v>0</v>
      </c>
      <c r="G131" s="17">
        <f t="shared" si="5"/>
        <v>-50875256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-2250400819</v>
      </c>
      <c r="E132" s="19">
        <f>SUM(E127:E131)</f>
        <v>0</v>
      </c>
      <c r="F132" s="19">
        <f>SUM(F127:F131)</f>
        <v>0</v>
      </c>
      <c r="G132" s="19">
        <f t="shared" si="5"/>
        <v>-2250400819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12852046764</v>
      </c>
      <c r="E133" s="19">
        <f>E132+E126</f>
        <v>0</v>
      </c>
      <c r="F133" s="19">
        <f>F132+F126</f>
        <v>0</v>
      </c>
      <c r="G133" s="19">
        <f t="shared" si="5"/>
        <v>12852046764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005012400099989000KD</v>
      </c>
      <c r="B136" s="11" t="str">
        <f>P7</f>
        <v>PN. Ende</v>
      </c>
      <c r="C136" s="12" t="str">
        <f>A136&amp;" "&amp;B136</f>
        <v>005012400099989000KD PN. Ende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Koreksi'!$D$5:$D$92,'2400'!A136,'Daftar Koreksi'!$G$5:$G$92,"Persediaan",'Daftar Koreksi'!$H$5:$H$92,"&gt;0")</f>
        <v>0</v>
      </c>
      <c r="F139" s="25">
        <f>SUMIFS('Daftar Koreksi'!$H$5:$H$92,'Daftar Koreksi'!$D$5:$D$92,'2400'!A136,'Daftar Koreksi'!$G$5:$G$92,"Persediaan",'Daftar Koreksi'!$H$5:$H$92,"&lt;0")-SUMIFS('Daftar Koreksi'!$H$5:$H$92,'Daftar Koreksi'!$D$5:$D$92,'2400'!A136,'Daftar Koreksi'!$G$5:$G$92,"Persediaan",'Daftar Koreksi'!$H$5:$H$92,"&lt;0")-SUMIFS('Daftar Koreksi'!$H$5:$H$92,'Daftar Koreksi'!$D$5:$D$92,'2400'!A136,'Daftar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TP. No 4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5075535000</v>
      </c>
      <c r="E140" s="25">
        <f>SUMIFS('Daftar Koreksi'!$H$5:$H$92,'Daftar Koreksi'!$D$5:$D$92,'2400'!A136,'Daftar Koreksi'!$G$5:$G$92,"Tanah",'Daftar Koreksi'!$H$5:$H$92,"&gt;0")</f>
        <v>0</v>
      </c>
      <c r="F140" s="25">
        <f>SUMIFS('Daftar Koreksi'!$H$5:$H$92,'Daftar Koreksi'!$D$5:$D$92,'2400'!A136,'Daftar Koreksi'!$G$5:$G$92,"Tanah",'Daftar Koreksi'!$H$5:$H$92,"&lt;0")-SUMIFS('Daftar Koreksi'!$H$5:$H$92,'Daftar Koreksi'!$D$5:$D$92,'2400'!A136,'Daftar Koreksi'!$G$5:$G$92,"Tanah",'Daftar Koreksi'!$H$5:$H$92,"&lt;0")-SUMIFS('Daftar Koreksi'!$H$5:$H$92,'Daftar Koreksi'!$D$5:$D$92,'2400'!A136,'Daftar Koreksi'!$G$5:$G$92,"Tanah",'Daftar Koreksi'!$H$5:$H$92,"&lt;0")</f>
        <v>0</v>
      </c>
      <c r="G140" s="17">
        <f t="shared" ref="G140:G156" si="6">D140+E140-F140</f>
        <v>5075535000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1467678209</v>
      </c>
      <c r="E141" s="25">
        <f>SUMIFS('Daftar Koreksi'!$H$5:$H$92,'Daftar Koreksi'!$D$5:$D$92,'2400'!A136,'Daftar Koreksi'!$G$5:$G$92,"Peralatan dan mesin",'Daftar Koreksi'!$H$5:$H$92,"&gt;0")</f>
        <v>3895309</v>
      </c>
      <c r="F141" s="25">
        <f>SUMIFS('Daftar Koreksi'!$H$5:$H$92,'Daftar Koreksi'!$D$5:$D$92,'2400'!A136,'Daftar Koreksi'!$G$5:$G$92,"Peralatan dan mesin",'Daftar Koreksi'!$H$5:$H$92,"&lt;0")-SUMIFS('Daftar Koreksi'!$H$5:$H$92,'Daftar Koreksi'!$D$5:$D$92,'2400'!A136,'Daftar Koreksi'!$G$5:$G$92,"Peralatan dan mesin",'Daftar Koreksi'!$H$5:$H$92,"&lt;0")-SUMIFS('Daftar Koreksi'!$H$5:$H$92,'Daftar Koreksi'!$D$5:$D$92,'2400'!A136,'Daftar Koreksi'!$G$5:$G$92,"Peralatan dan mesin",'Daftar Koreksi'!$H$5:$H$92,"&lt;0")</f>
        <v>0</v>
      </c>
      <c r="G141" s="17">
        <f t="shared" si="6"/>
        <v>1471573518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4023881303</v>
      </c>
      <c r="E142" s="25">
        <f>SUMIFS('Daftar Koreksi'!$H$5:$H$92,'Daftar Koreksi'!$D$5:$D$92,'2400'!A136,'Daftar Koreksi'!$G$5:$G$92,"Gedung dan Bangunan",'Daftar Koreksi'!$H$5:$H$92,"&gt;0")</f>
        <v>0</v>
      </c>
      <c r="F142" s="25">
        <f>SUMIFS('Daftar Koreksi'!$H$5:$H$92,'Daftar Koreksi'!$D$5:$D$92,'2400'!A136,'Daftar Koreksi'!$G$5:$G$92,"Gedung dan Bangunan",'Daftar Koreksi'!$H$5:$H$92,"&lt;0")-SUMIFS('Daftar Koreksi'!$H$5:$H$92,'Daftar Koreksi'!$D$5:$D$92,'2400'!A136,'Daftar Koreksi'!$G$5:$G$92,"Gedung dan Bangunan",'Daftar Koreksi'!$H$5:$H$92,"&lt;0")-SUMIFS('Daftar Koreksi'!$H$5:$H$92,'Daftar Koreksi'!$D$5:$D$92,'2400'!A136,'Daftar Koreksi'!$G$5:$G$92,"Gedung dan Bangunan",'Daftar Koreksi'!$H$5:$H$92,"&lt;0")</f>
        <v>0</v>
      </c>
      <c r="G142" s="17">
        <f t="shared" si="6"/>
        <v>4023881303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Koreksi'!$D$5:$D$92,'2400'!A136,'Daftar Koreksi'!$G$5:$G$92,"Jalan Irigasi Jaringan",'Daftar Koreksi'!$H$5:$H$92,"&gt;0")</f>
        <v>0</v>
      </c>
      <c r="F143" s="25">
        <f>SUMIFS('Daftar Koreksi'!$H$5:$H$92,'Daftar Koreksi'!$D$5:$D$92,'2400'!A136,'Daftar Koreksi'!$G$5:$G$92,"Jalan Irigasi Jaringan",'Daftar Koreksi'!$H$5:$H$92,"&lt;0")-SUMIFS('Daftar Koreksi'!$H$5:$H$92,'Daftar Koreksi'!$D$5:$D$92,'2400'!A136,'Daftar Koreksi'!$G$5:$G$92,"Jalan Irigasi Jaringan",'Daftar Koreksi'!$H$5:$H$92,"&lt;0")-SUMIFS('Daftar Koreksi'!$H$5:$H$92,'Daftar Koreksi'!$D$5:$D$92,'2400'!A136,'Daftar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71412118</v>
      </c>
      <c r="E144" s="25">
        <f>SUMIFS('Daftar Koreksi'!$H$5:$H$92,'Daftar Koreksi'!$D$5:$D$92,'2400'!A136,'Daftar Koreksi'!$G$5:$G$92,"Aset Tetap Lainnya",'Daftar Koreksi'!$H$5:$H$92,"&gt;0")</f>
        <v>0</v>
      </c>
      <c r="F144" s="25">
        <f>SUMIFS('Daftar Koreksi'!$H$5:$H$92,'Daftar Koreksi'!$D$5:$D$92,'2400'!A136,'Daftar Koreksi'!$G$5:$G$92,"Aset Tetap Lainnya",'Daftar Koreksi'!$H$5:$H$92,"&lt;0")-SUMIFS('Daftar Koreksi'!$H$5:$H$92,'Daftar Koreksi'!$D$5:$D$92,'2400'!A136,'Daftar Koreksi'!$G$5:$G$92,"Aset Tetap Lainnya",'Daftar Koreksi'!$H$5:$H$92,"&lt;0")-SUMIFS('Daftar Koreksi'!$H$5:$H$92,'Daftar Koreksi'!$D$5:$D$92,'2400'!A136,'Daftar Koreksi'!$G$5:$G$92,"Aset Tetap Lainnya",'Daftar Koreksi'!$H$5:$H$92,"&lt;0")</f>
        <v>0</v>
      </c>
      <c r="G144" s="17">
        <f t="shared" si="6"/>
        <v>71412118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Koreksi'!$D$5:$D$92,'2400'!A136,'Daftar Koreksi'!$G$5:$G$92,"Kontruksi Dalam Pengerjaan",'Daftar Koreksi'!$H$5:$H$92,"&gt;0")</f>
        <v>0</v>
      </c>
      <c r="F145" s="25">
        <f>SUMIFS('Daftar Koreksi'!$H$5:$H$92,'Daftar Koreksi'!$D$5:$D$92,'2400'!A136,'Daftar Koreksi'!$G$5:$G$92,"Kontruksi Dalam Pengerjaan",'Daftar Koreksi'!$H$5:$H$92,"&lt;0")-SUMIFS('Daftar Koreksi'!$H$5:$H$92,'Daftar Koreksi'!$D$5:$D$92,'2400'!A136,'Daftar Koreksi'!$G$5:$G$92,"Kontruksi Dalam Pengerjaan",'Daftar Koreksi'!$H$5:$H$92,"&lt;0")-SUMIFS('Daftar Koreksi'!$H$5:$H$92,'Daftar Koreksi'!$D$5:$D$92,'2400'!A136,'Daftar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Koreksi'!$D$5:$D$92,'2400'!A136,'Daftar Koreksi'!$G$5:$G$92,"Aset Tak Berwujud",'Daftar Koreksi'!$H$5:$H$92,"&gt;0")</f>
        <v>0</v>
      </c>
      <c r="F146" s="25">
        <f>SUMIFS('Daftar Koreksi'!$H$5:$H$92,'Daftar Koreksi'!$D$5:$D$92,'2400'!A136,'Daftar Koreksi'!$G$5:$G$92,"Aset Tak Berwujud",'Daftar Koreksi'!$H$5:$H$92,"&lt;0")-SUMIFS('Daftar Koreksi'!$H$5:$H$92,'Daftar Koreksi'!$D$5:$D$92,'2400'!A136,'Daftar Koreksi'!$G$5:$G$92,"Aset Tak Berwujud",'Daftar Koreksi'!$H$5:$H$92,"&lt;0")-SUMIFS('Daftar Koreksi'!$H$5:$H$92,'Daftar Koreksi'!$D$5:$D$92,'2400'!A136,'Daftar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71902243</v>
      </c>
      <c r="E147" s="25">
        <f>SUMIFS('Daftar Koreksi'!$H$5:$H$92,'Daftar Koreksi'!$D$5:$D$92,'2400'!A136,'Daftar Koreksi'!$G$5:$G$92,"Aset Henti Guna",'Daftar Koreksi'!$H$5:$H$92,"&gt;0")</f>
        <v>0</v>
      </c>
      <c r="F147" s="25">
        <f>SUMIFS('Daftar Koreksi'!$H$5:$H$92,'Daftar Koreksi'!$D$5:$D$92,'2400'!A136,'Daftar Koreksi'!$G$5:$G$92,"Aset Henti Guna",'Daftar Koreksi'!$H$5:$H$92,"&lt;0")-SUMIFS('Daftar Koreksi'!$H$5:$H$92,'Daftar Koreksi'!$D$5:$D$92,'2400'!A136,'Daftar Koreksi'!$G$5:$G$92,"Aset Henti Guna",'Daftar Koreksi'!$H$5:$H$92,"&lt;0")-SUMIFS('Daftar Koreksi'!$H$5:$H$92,'Daftar Koreksi'!$D$5:$D$92,'2400'!A136,'Daftar Koreksi'!$G$5:$G$92,"Aset Henti Guna",'Daftar Koreksi'!$H$5:$H$92,"&lt;0")</f>
        <v>0</v>
      </c>
      <c r="G147" s="17">
        <f t="shared" si="6"/>
        <v>71902243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10710408873</v>
      </c>
      <c r="E148" s="19">
        <f>SUM(E139:E147)</f>
        <v>3895309</v>
      </c>
      <c r="F148" s="19">
        <f>SUM(F139:F147)</f>
        <v>0</v>
      </c>
      <c r="G148" s="19">
        <f t="shared" si="6"/>
        <v>10714304182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-1383199993</v>
      </c>
      <c r="E149" s="25">
        <f>SUMIFS('Daftar Koreksi'!$I$5:$I$92,'Daftar Koreksi'!$D$5:$D$92,'2400'!A136,'Daftar Koreksi'!$G$5:$G$92,"Peralatan dan mesin",'Daftar Koreksi'!$I$5:$I$92,"&gt;0")</f>
        <v>0</v>
      </c>
      <c r="F149" s="25">
        <f>SUMIFS('Daftar Koreksi'!$I$5:$I$92,'Daftar Koreksi'!$D$5:$D$92,'2400'!A136,'Daftar Koreksi'!$G$5:$G$92,"Peralatan dan mesin",'Daftar Koreksi'!$I$5:$I$92,"&lt;0")-SUMIFS('Daftar Koreksi'!$I$5:$I$92,'Daftar Koreksi'!$D$5:$D$92,'2400'!A136,'Daftar Koreksi'!$G$5:$G$92,"Peralatan dan mesin",'Daftar Koreksi'!$I$5:$I$92,"&lt;0")-SUMIFS('Daftar Koreksi'!$I$5:$I$92,'Daftar Koreksi'!$D$5:$D$92,'2400'!A136,'Daftar Koreksi'!$G$5:$G$92,"Peralatan dan mesin",'Daftar Koreksi'!$I$5:$I$92,"&lt;0")</f>
        <v>389531</v>
      </c>
      <c r="G149" s="17">
        <f t="shared" si="6"/>
        <v>-1383589524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-620920425</v>
      </c>
      <c r="E150" s="25">
        <f>SUMIFS('Daftar Koreksi'!$I$5:$I$92,'Daftar Koreksi'!$D$5:$D$92,'2400'!A136,'Daftar Koreksi'!$G$5:$G$92,"Gedung dan Bangunan",'Daftar Koreksi'!$I$5:$I$92,"&gt;0")</f>
        <v>0</v>
      </c>
      <c r="F150" s="25">
        <f>SUMIFS('Daftar Koreksi'!$I$5:$I$92,'Daftar Koreksi'!$D$5:$D$92,'2400'!A136,'Daftar Koreksi'!$G$5:$G$92,"Gedung dan Bangunan",'Daftar Koreksi'!$I$5:$I$92,"&lt;0")-SUMIFS('Daftar Koreksi'!$I$5:$I$92,'Daftar Koreksi'!$D$5:$D$92,'2400'!A136,'Daftar Koreksi'!$G$5:$G$92,"Gedung dan Bangunan",'Daftar Koreksi'!$I$5:$I$92,"&lt;0")-SUMIFS('Daftar Koreksi'!$I$5:$I$92,'Daftar Koreksi'!$D$5:$D$92,'2400'!A136,'Daftar Koreksi'!$G$5:$G$92,"Gedung dan Bangunan",'Daftar Koreksi'!$I$5:$I$92,"&lt;0")</f>
        <v>0</v>
      </c>
      <c r="G150" s="17">
        <f t="shared" si="6"/>
        <v>-620920425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Koreksi'!$D$5:$D$92,'2400'!A136,'Daftar Koreksi'!$G$5:$G$92,"Jalan Irigasi Jaringan",'Daftar Koreksi'!$I$5:$I$92,"&gt;0")</f>
        <v>0</v>
      </c>
      <c r="F151" s="25">
        <f>SUMIFS('Daftar Koreksi'!$I$5:$I$92,'Daftar Koreksi'!$D$5:$D$92,'2400'!A136,'Daftar Koreksi'!$G$5:$G$92,"Jalan Irigasi Jaringan",'Daftar Koreksi'!$I$5:$I$92,"&lt;0")-SUMIFS('Daftar Koreksi'!$I$5:$I$92,'Daftar Koreksi'!$D$5:$D$92,'2400'!A136,'Daftar Koreksi'!$G$5:$G$92,"Jalan Irigasi Jaringan",'Daftar Koreksi'!$I$5:$I$92,"&lt;0")-SUMIFS('Daftar Koreksi'!$I$5:$I$92,'Daftar Koreksi'!$D$5:$D$92,'2400'!A136,'Daftar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Koreksi'!$D$5:$D$92,'2400'!A136,'Daftar Koreksi'!$G$5:$G$92,"Aset Tetap Lainnya",'Daftar Koreksi'!$I$5:$I$92,"&gt;0")</f>
        <v>0</v>
      </c>
      <c r="F152" s="25">
        <f>SUMIFS('Daftar Koreksi'!$I$5:$I$92,'Daftar Koreksi'!$D$5:$D$92,'2400'!A136,'Daftar Koreksi'!$G$5:$G$92,"Aset Tetap Lainnya",'Daftar Koreksi'!$I$5:$I$92,"&lt;0")-SUMIFS('Daftar Koreksi'!$I$5:$I$92,'Daftar Koreksi'!$D$5:$D$92,'2400'!A136,'Daftar Koreksi'!$G$5:$G$92,"Aset Tetap Lainnya",'Daftar Koreksi'!$I$5:$I$92,"&lt;0")-SUMIFS('Daftar Koreksi'!$I$5:$I$92,'Daftar Koreksi'!$D$5:$D$92,'2400'!A136,'Daftar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-71902243</v>
      </c>
      <c r="E153" s="25">
        <f>SUMIFS('Daftar Koreksi'!$I$5:$I$92,'Daftar Koreksi'!$D$5:$D$92,'2400'!A136,'Daftar Koreksi'!$G$5:$G$92,"Aset Henti Guna",'Daftar Koreksi'!$I$5:$I$92,"&gt;0")</f>
        <v>0</v>
      </c>
      <c r="F153" s="25">
        <f>SUMIFS('Daftar Koreksi'!$I$5:$I$92,'Daftar Koreksi'!$D$5:$D$92,'2400'!A136,'Daftar Koreksi'!$G$5:$G$92,"Aset Henti Guna",'Daftar Koreksi'!$I$5:$I$92,"&lt;0")-SUMIFS('Daftar Koreksi'!$I$5:$I$92,'Daftar Koreksi'!$D$5:$D$92,'2400'!A136,'Daftar Koreksi'!$G$5:$G$92,"Aset Henti Guna",'Daftar Koreksi'!$I$5:$I$92,"&lt;0")-SUMIFS('Daftar Koreksi'!$I$5:$I$92,'Daftar Koreksi'!$D$5:$D$92,'2400'!A136,'Daftar Koreksi'!$G$5:$G$92,"Aset Henti Guna",'Daftar Koreksi'!$I$5:$I$92,"&lt;0")</f>
        <v>0</v>
      </c>
      <c r="G153" s="17">
        <f t="shared" si="6"/>
        <v>-71902243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-2076022661</v>
      </c>
      <c r="E154" s="19">
        <f>SUM(E149:E153)</f>
        <v>0</v>
      </c>
      <c r="F154" s="19">
        <f>SUM(F149:F153)</f>
        <v>389531</v>
      </c>
      <c r="G154" s="19">
        <f t="shared" si="6"/>
        <v>-2076412192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8634386212</v>
      </c>
      <c r="E155" s="19">
        <f>E154+E148</f>
        <v>3895309</v>
      </c>
      <c r="F155" s="19">
        <f>F154+F148</f>
        <v>389531</v>
      </c>
      <c r="G155" s="19">
        <f t="shared" si="6"/>
        <v>8637891990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005012400099993000KD</v>
      </c>
      <c r="B158" s="11" t="str">
        <f>P8</f>
        <v>PN. Maumere</v>
      </c>
      <c r="C158" s="12" t="str">
        <f>A158&amp;" "&amp;B158</f>
        <v>005012400099993000KD PN. Maumere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487500</v>
      </c>
      <c r="E161" s="25">
        <f>SUMIFS('Daftar Koreksi'!$H$5:$H$92,'Daftar Koreksi'!$D$5:$D$92,'2400'!A158,'Daftar Koreksi'!$G$5:$G$92,"Persediaan",'Daftar Koreksi'!$H$5:$H$92,"&gt;0")</f>
        <v>0</v>
      </c>
      <c r="F161" s="25">
        <f>SUMIFS('Daftar Koreksi'!$H$5:$H$92,'Daftar Koreksi'!$D$5:$D$92,'2400'!A158,'Daftar Koreksi'!$G$5:$G$92,"Persediaan",'Daftar Koreksi'!$H$5:$H$92,"&lt;0")-SUMIFS('Daftar Koreksi'!$H$5:$H$92,'Daftar Koreksi'!$D$5:$D$92,'2400'!A158,'Daftar Koreksi'!$G$5:$G$92,"Persediaan",'Daftar Koreksi'!$H$5:$H$92,"&lt;0")-SUMIFS('Daftar Koreksi'!$H$5:$H$92,'Daftar Koreksi'!$D$5:$D$92,'2400'!A158,'Daftar Koreksi'!$G$5:$G$92,"Persediaan",'Daftar Koreksi'!$H$5:$H$92,"&lt;0")</f>
        <v>0</v>
      </c>
      <c r="G161" s="17">
        <f>D161+E161-F161</f>
        <v>487500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432384000</v>
      </c>
      <c r="E162" s="25">
        <f>SUMIFS('Daftar Koreksi'!$H$5:$H$92,'Daftar Koreksi'!$D$5:$D$92,'2400'!A158,'Daftar Koreksi'!$G$5:$G$92,"Tanah",'Daftar Koreksi'!$H$5:$H$92,"&gt;0")</f>
        <v>0</v>
      </c>
      <c r="F162" s="25">
        <f>SUMIFS('Daftar Koreksi'!$H$5:$H$92,'Daftar Koreksi'!$D$5:$D$92,'2400'!A158,'Daftar Koreksi'!$G$5:$G$92,"Tanah",'Daftar Koreksi'!$H$5:$H$92,"&lt;0")-SUMIFS('Daftar Koreksi'!$H$5:$H$92,'Daftar Koreksi'!$D$5:$D$92,'2400'!A158,'Daftar Koreksi'!$G$5:$G$92,"Tanah",'Daftar Koreksi'!$H$5:$H$92,"&lt;0")-SUMIFS('Daftar Koreksi'!$H$5:$H$92,'Daftar Koreksi'!$D$5:$D$92,'2400'!A158,'Daftar Koreksi'!$G$5:$G$92,"Tanah",'Daftar Koreksi'!$H$5:$H$92,"&lt;0")</f>
        <v>0</v>
      </c>
      <c r="G162" s="17">
        <f t="shared" ref="G162:G178" si="7">D162+E162-F162</f>
        <v>432384000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2206938862</v>
      </c>
      <c r="E163" s="25">
        <f>SUMIFS('Daftar Koreksi'!$H$5:$H$92,'Daftar Koreksi'!$D$5:$D$92,'2400'!A158,'Daftar Koreksi'!$G$5:$G$92,"Peralatan dan mesin",'Daftar Koreksi'!$H$5:$H$92,"&gt;0")</f>
        <v>0</v>
      </c>
      <c r="F163" s="25">
        <f>SUMIFS('Daftar Koreksi'!$H$5:$H$92,'Daftar Koreksi'!$D$5:$D$92,'2400'!A158,'Daftar Koreksi'!$G$5:$G$92,"Peralatan dan mesin",'Daftar Koreksi'!$H$5:$H$92,"&lt;0")-SUMIFS('Daftar Koreksi'!$H$5:$H$92,'Daftar Koreksi'!$D$5:$D$92,'2400'!A158,'Daftar Koreksi'!$G$5:$G$92,"Peralatan dan mesin",'Daftar Koreksi'!$H$5:$H$92,"&lt;0")-SUMIFS('Daftar Koreksi'!$H$5:$H$92,'Daftar Koreksi'!$D$5:$D$92,'2400'!A158,'Daftar Koreksi'!$G$5:$G$92,"Peralatan dan mesin",'Daftar Koreksi'!$H$5:$H$92,"&lt;0")</f>
        <v>0</v>
      </c>
      <c r="G163" s="17">
        <f t="shared" si="7"/>
        <v>2206938862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10792056500</v>
      </c>
      <c r="E164" s="25">
        <f>SUMIFS('Daftar Koreksi'!$H$5:$H$92,'Daftar Koreksi'!$D$5:$D$92,'2400'!A158,'Daftar Koreksi'!$G$5:$G$92,"Gedung dan Bangunan",'Daftar Koreksi'!$H$5:$H$92,"&gt;0")</f>
        <v>0</v>
      </c>
      <c r="F164" s="25">
        <f>SUMIFS('Daftar Koreksi'!$H$5:$H$92,'Daftar Koreksi'!$D$5:$D$92,'2400'!A158,'Daftar Koreksi'!$G$5:$G$92,"Gedung dan Bangunan",'Daftar Koreksi'!$H$5:$H$92,"&lt;0")-SUMIFS('Daftar Koreksi'!$H$5:$H$92,'Daftar Koreksi'!$D$5:$D$92,'2400'!A158,'Daftar Koreksi'!$G$5:$G$92,"Gedung dan Bangunan",'Daftar Koreksi'!$H$5:$H$92,"&lt;0")-SUMIFS('Daftar Koreksi'!$H$5:$H$92,'Daftar Koreksi'!$D$5:$D$92,'2400'!A158,'Daftar Koreksi'!$G$5:$G$92,"Gedung dan Bangunan",'Daftar Koreksi'!$H$5:$H$92,"&lt;0")</f>
        <v>0</v>
      </c>
      <c r="G164" s="17">
        <f t="shared" si="7"/>
        <v>10792056500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65325000</v>
      </c>
      <c r="E165" s="25">
        <f>SUMIFS('Daftar Koreksi'!$H$5:$H$92,'Daftar Koreksi'!$D$5:$D$92,'2400'!A158,'Daftar Koreksi'!$G$5:$G$92,"Jalan Irigasi Jaringan",'Daftar Koreksi'!$H$5:$H$92,"&gt;0")</f>
        <v>0</v>
      </c>
      <c r="F165" s="25">
        <f>SUMIFS('Daftar Koreksi'!$H$5:$H$92,'Daftar Koreksi'!$D$5:$D$92,'2400'!A158,'Daftar Koreksi'!$G$5:$G$92,"Jalan Irigasi Jaringan",'Daftar Koreksi'!$H$5:$H$92,"&lt;0")-SUMIFS('Daftar Koreksi'!$H$5:$H$92,'Daftar Koreksi'!$D$5:$D$92,'2400'!A158,'Daftar Koreksi'!$G$5:$G$92,"Jalan Irigasi Jaringan",'Daftar Koreksi'!$H$5:$H$92,"&lt;0")-SUMIFS('Daftar Koreksi'!$H$5:$H$92,'Daftar Koreksi'!$D$5:$D$92,'2400'!A158,'Daftar Koreksi'!$G$5:$G$92,"Jalan Irigasi Jaringan",'Daftar Koreksi'!$H$5:$H$92,"&lt;0")</f>
        <v>0</v>
      </c>
      <c r="G165" s="17">
        <f t="shared" si="7"/>
        <v>65325000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4626840</v>
      </c>
      <c r="E166" s="25">
        <f>SUMIFS('Daftar Koreksi'!$H$5:$H$92,'Daftar Koreksi'!$D$5:$D$92,'2400'!A158,'Daftar Koreksi'!$G$5:$G$92,"Aset Tetap Lainnya",'Daftar Koreksi'!$H$5:$H$92,"&gt;0")</f>
        <v>0</v>
      </c>
      <c r="F166" s="25">
        <f>SUMIFS('Daftar Koreksi'!$H$5:$H$92,'Daftar Koreksi'!$D$5:$D$92,'2400'!A158,'Daftar Koreksi'!$G$5:$G$92,"Aset Tetap Lainnya",'Daftar Koreksi'!$H$5:$H$92,"&lt;0")-SUMIFS('Daftar Koreksi'!$H$5:$H$92,'Daftar Koreksi'!$D$5:$D$92,'2400'!A158,'Daftar Koreksi'!$G$5:$G$92,"Aset Tetap Lainnya",'Daftar Koreksi'!$H$5:$H$92,"&lt;0")-SUMIFS('Daftar Koreksi'!$H$5:$H$92,'Daftar Koreksi'!$D$5:$D$92,'2400'!A158,'Daftar Koreksi'!$G$5:$G$92,"Aset Tetap Lainnya",'Daftar Koreksi'!$H$5:$H$92,"&lt;0")</f>
        <v>0</v>
      </c>
      <c r="G166" s="17">
        <f t="shared" si="7"/>
        <v>4626840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Koreksi'!$D$5:$D$92,'2400'!A158,'Daftar Koreksi'!$G$5:$G$92,"Kontruksi Dalam Pengerjaan",'Daftar Koreksi'!$H$5:$H$92,"&gt;0")</f>
        <v>0</v>
      </c>
      <c r="F167" s="25">
        <f>SUMIFS('Daftar Koreksi'!$H$5:$H$92,'Daftar Koreksi'!$D$5:$D$92,'2400'!A158,'Daftar Koreksi'!$G$5:$G$92,"Kontruksi Dalam Pengerjaan",'Daftar Koreksi'!$H$5:$H$92,"&lt;0")-SUMIFS('Daftar Koreksi'!$H$5:$H$92,'Daftar Koreksi'!$D$5:$D$92,'2400'!A158,'Daftar Koreksi'!$G$5:$G$92,"Kontruksi Dalam Pengerjaan",'Daftar Koreksi'!$H$5:$H$92,"&lt;0")-SUMIFS('Daftar Koreksi'!$H$5:$H$92,'Daftar Koreksi'!$D$5:$D$92,'2400'!A158,'Daftar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Koreksi'!$D$5:$D$92,'2400'!A158,'Daftar Koreksi'!$G$5:$G$92,"Aset Tak Berwujud",'Daftar Koreksi'!$H$5:$H$92,"&gt;0")</f>
        <v>0</v>
      </c>
      <c r="F168" s="25">
        <f>SUMIFS('Daftar Koreksi'!$H$5:$H$92,'Daftar Koreksi'!$D$5:$D$92,'2400'!A158,'Daftar Koreksi'!$G$5:$G$92,"Aset Tak Berwujud",'Daftar Koreksi'!$H$5:$H$92,"&lt;0")-SUMIFS('Daftar Koreksi'!$H$5:$H$92,'Daftar Koreksi'!$D$5:$D$92,'2400'!A158,'Daftar Koreksi'!$G$5:$G$92,"Aset Tak Berwujud",'Daftar Koreksi'!$H$5:$H$92,"&lt;0")-SUMIFS('Daftar Koreksi'!$H$5:$H$92,'Daftar Koreksi'!$D$5:$D$92,'2400'!A158,'Daftar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2640000</v>
      </c>
      <c r="E169" s="25">
        <f>SUMIFS('Daftar Koreksi'!$H$5:$H$92,'Daftar Koreksi'!$D$5:$D$92,'2400'!A158,'Daftar Koreksi'!$G$5:$G$92,"Aset Henti Guna",'Daftar Koreksi'!$H$5:$H$92,"&gt;0")</f>
        <v>0</v>
      </c>
      <c r="F169" s="25">
        <f>SUMIFS('Daftar Koreksi'!$H$5:$H$92,'Daftar Koreksi'!$D$5:$D$92,'2400'!A158,'Daftar Koreksi'!$G$5:$G$92,"Aset Henti Guna",'Daftar Koreksi'!$H$5:$H$92,"&lt;0")-SUMIFS('Daftar Koreksi'!$H$5:$H$92,'Daftar Koreksi'!$D$5:$D$92,'2400'!A158,'Daftar Koreksi'!$G$5:$G$92,"Aset Henti Guna",'Daftar Koreksi'!$H$5:$H$92,"&lt;0")-SUMIFS('Daftar Koreksi'!$H$5:$H$92,'Daftar Koreksi'!$D$5:$D$92,'2400'!A158,'Daftar Koreksi'!$G$5:$G$92,"Aset Henti Guna",'Daftar Koreksi'!$H$5:$H$92,"&lt;0")</f>
        <v>0</v>
      </c>
      <c r="G169" s="17">
        <f t="shared" si="7"/>
        <v>2640000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13504458702</v>
      </c>
      <c r="E170" s="19">
        <f>SUM(E161:E169)</f>
        <v>0</v>
      </c>
      <c r="F170" s="19">
        <f>SUM(F161:F169)</f>
        <v>0</v>
      </c>
      <c r="G170" s="19">
        <f t="shared" si="7"/>
        <v>13504458702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-2151521468</v>
      </c>
      <c r="E171" s="25">
        <f>SUMIFS('Daftar Koreksi'!$I$5:$I$92,'Daftar Koreksi'!$D$5:$D$92,'2400'!A158,'Daftar Koreksi'!$G$5:$G$92,"Peralatan dan mesin",'Daftar Koreksi'!$I$5:$I$92,"&gt;0")</f>
        <v>0</v>
      </c>
      <c r="F171" s="25">
        <f>SUMIFS('Daftar Koreksi'!$I$5:$I$92,'Daftar Koreksi'!$D$5:$D$92,'2400'!A158,'Daftar Koreksi'!$G$5:$G$92,"Peralatan dan mesin",'Daftar Koreksi'!$I$5:$I$92,"&lt;0")-SUMIFS('Daftar Koreksi'!$I$5:$I$92,'Daftar Koreksi'!$D$5:$D$92,'2400'!A158,'Daftar Koreksi'!$G$5:$G$92,"Peralatan dan mesin",'Daftar Koreksi'!$I$5:$I$92,"&lt;0")-SUMIFS('Daftar Koreksi'!$I$5:$I$92,'Daftar Koreksi'!$D$5:$D$92,'2400'!A158,'Daftar Koreksi'!$G$5:$G$92,"Peralatan dan mesin",'Daftar Koreksi'!$I$5:$I$92,"&lt;0")</f>
        <v>0</v>
      </c>
      <c r="G171" s="17">
        <f t="shared" si="7"/>
        <v>-2151521468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-1866535488</v>
      </c>
      <c r="E172" s="25">
        <f>SUMIFS('Daftar Koreksi'!$I$5:$I$92,'Daftar Koreksi'!$D$5:$D$92,'2400'!A158,'Daftar Koreksi'!$G$5:$G$92,"Gedung dan Bangunan",'Daftar Koreksi'!$I$5:$I$92,"&gt;0")</f>
        <v>0</v>
      </c>
      <c r="F172" s="25">
        <f>SUMIFS('Daftar Koreksi'!$I$5:$I$92,'Daftar Koreksi'!$D$5:$D$92,'2400'!A158,'Daftar Koreksi'!$G$5:$G$92,"Gedung dan Bangunan",'Daftar Koreksi'!$I$5:$I$92,"&lt;0")-SUMIFS('Daftar Koreksi'!$I$5:$I$92,'Daftar Koreksi'!$D$5:$D$92,'2400'!A158,'Daftar Koreksi'!$G$5:$G$92,"Gedung dan Bangunan",'Daftar Koreksi'!$I$5:$I$92,"&lt;0")-SUMIFS('Daftar Koreksi'!$I$5:$I$92,'Daftar Koreksi'!$D$5:$D$92,'2400'!A158,'Daftar Koreksi'!$G$5:$G$92,"Gedung dan Bangunan",'Daftar Koreksi'!$I$5:$I$92,"&lt;0")</f>
        <v>0</v>
      </c>
      <c r="G172" s="17">
        <f t="shared" si="7"/>
        <v>-1866535488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-65325000</v>
      </c>
      <c r="E173" s="25">
        <f>SUMIFS('Daftar Koreksi'!$I$5:$I$92,'Daftar Koreksi'!$D$5:$D$92,'2400'!A158,'Daftar Koreksi'!$G$5:$G$92,"Jalan Irigasi Jaringan",'Daftar Koreksi'!$I$5:$I$92,"&gt;0")</f>
        <v>0</v>
      </c>
      <c r="F173" s="25">
        <f>SUMIFS('Daftar Koreksi'!$I$5:$I$92,'Daftar Koreksi'!$D$5:$D$92,'2400'!A158,'Daftar Koreksi'!$G$5:$G$92,"Jalan Irigasi Jaringan",'Daftar Koreksi'!$I$5:$I$92,"&lt;0")-SUMIFS('Daftar Koreksi'!$I$5:$I$92,'Daftar Koreksi'!$D$5:$D$92,'2400'!A158,'Daftar Koreksi'!$G$5:$G$92,"Jalan Irigasi Jaringan",'Daftar Koreksi'!$I$5:$I$92,"&lt;0")-SUMIFS('Daftar Koreksi'!$I$5:$I$92,'Daftar Koreksi'!$D$5:$D$92,'2400'!A158,'Daftar Koreksi'!$G$5:$G$92,"Jalan Irigasi Jaringan",'Daftar Koreksi'!$I$5:$I$92,"&lt;0")</f>
        <v>0</v>
      </c>
      <c r="G173" s="17">
        <f t="shared" si="7"/>
        <v>-65325000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Koreksi'!$D$5:$D$92,'2400'!A158,'Daftar Koreksi'!$G$5:$G$92,"Aset Tetap Lainnya",'Daftar Koreksi'!$I$5:$I$92,"&gt;0")</f>
        <v>0</v>
      </c>
      <c r="F174" s="25">
        <f>SUMIFS('Daftar Koreksi'!$I$5:$I$92,'Daftar Koreksi'!$D$5:$D$92,'2400'!A158,'Daftar Koreksi'!$G$5:$G$92,"Aset Tetap Lainnya",'Daftar Koreksi'!$I$5:$I$92,"&lt;0")-SUMIFS('Daftar Koreksi'!$I$5:$I$92,'Daftar Koreksi'!$D$5:$D$92,'2400'!A158,'Daftar Koreksi'!$G$5:$G$92,"Aset Tetap Lainnya",'Daftar Koreksi'!$I$5:$I$92,"&lt;0")-SUMIFS('Daftar Koreksi'!$I$5:$I$92,'Daftar Koreksi'!$D$5:$D$92,'2400'!A158,'Daftar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-1952500</v>
      </c>
      <c r="E175" s="25">
        <f>SUMIFS('Daftar Koreksi'!$I$5:$I$92,'Daftar Koreksi'!$D$5:$D$92,'2400'!A158,'Daftar Koreksi'!$G$5:$G$92,"Aset Henti Guna",'Daftar Koreksi'!$I$5:$I$92,"&gt;0")</f>
        <v>0</v>
      </c>
      <c r="F175" s="25">
        <f>SUMIFS('Daftar Koreksi'!$I$5:$I$92,'Daftar Koreksi'!$D$5:$D$92,'2400'!A158,'Daftar Koreksi'!$G$5:$G$92,"Aset Henti Guna",'Daftar Koreksi'!$I$5:$I$92,"&lt;0")-SUMIFS('Daftar Koreksi'!$I$5:$I$92,'Daftar Koreksi'!$D$5:$D$92,'2400'!A158,'Daftar Koreksi'!$G$5:$G$92,"Aset Henti Guna",'Daftar Koreksi'!$I$5:$I$92,"&lt;0")-SUMIFS('Daftar Koreksi'!$I$5:$I$92,'Daftar Koreksi'!$D$5:$D$92,'2400'!A158,'Daftar Koreksi'!$G$5:$G$92,"Aset Henti Guna",'Daftar Koreksi'!$I$5:$I$92,"&lt;0")</f>
        <v>0</v>
      </c>
      <c r="G175" s="17">
        <f t="shared" si="7"/>
        <v>-1952500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-4085334456</v>
      </c>
      <c r="E176" s="19">
        <f>SUM(E171:E175)</f>
        <v>0</v>
      </c>
      <c r="F176" s="19">
        <f>SUM(F171:F175)</f>
        <v>0</v>
      </c>
      <c r="G176" s="19">
        <f t="shared" si="7"/>
        <v>-4085334456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9419124246</v>
      </c>
      <c r="E177" s="19">
        <f>E176+E170</f>
        <v>0</v>
      </c>
      <c r="F177" s="19">
        <f>F176+F170</f>
        <v>0</v>
      </c>
      <c r="G177" s="19">
        <f t="shared" si="7"/>
        <v>9419124246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005012400307949000KD</v>
      </c>
      <c r="B180" s="11" t="str">
        <f>P9</f>
        <v>PA. Waikabubak</v>
      </c>
      <c r="C180" s="12" t="str">
        <f>A180&amp;" "&amp;B180</f>
        <v>005012400307949000KD PA. Waikabubak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52500</v>
      </c>
      <c r="E183" s="25">
        <f>SUMIFS('Daftar Koreksi'!$H$5:$H$92,'Daftar Koreksi'!$D$5:$D$92,'2400'!A180,'Daftar Koreksi'!$G$5:$G$92,"Persediaan",'Daftar Koreksi'!$H$5:$H$92,"&gt;0")</f>
        <v>0</v>
      </c>
      <c r="F183" s="25">
        <f>SUMIFS('Daftar Koreksi'!$H$5:$H$92,'Daftar Koreksi'!$D$5:$D$92,'2400'!A180,'Daftar Koreksi'!$G$5:$G$92,"Persediaan",'Daftar Koreksi'!$H$5:$H$92,"&lt;0")-SUMIFS('Daftar Koreksi'!$H$5:$H$92,'Daftar Koreksi'!$D$5:$D$92,'2400'!A180,'Daftar Koreksi'!$G$5:$G$92,"Persediaan",'Daftar Koreksi'!$H$5:$H$92,"&lt;0")-SUMIFS('Daftar Koreksi'!$H$5:$H$92,'Daftar Koreksi'!$D$5:$D$92,'2400'!A180,'Daftar Koreksi'!$G$5:$G$92,"Persediaan",'Daftar Koreksi'!$H$5:$H$92,"&lt;0")</f>
        <v>0</v>
      </c>
      <c r="G183" s="17">
        <f>D183+E183-F183</f>
        <v>52500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2074200000</v>
      </c>
      <c r="E184" s="25">
        <f>SUMIFS('Daftar Koreksi'!$H$5:$H$92,'Daftar Koreksi'!$D$5:$D$92,'2400'!A180,'Daftar Koreksi'!$G$5:$G$92,"Tanah",'Daftar Koreksi'!$H$5:$H$92,"&gt;0")</f>
        <v>0</v>
      </c>
      <c r="F184" s="25">
        <f>SUMIFS('Daftar Koreksi'!$H$5:$H$92,'Daftar Koreksi'!$D$5:$D$92,'2400'!A180,'Daftar Koreksi'!$G$5:$G$92,"Tanah",'Daftar Koreksi'!$H$5:$H$92,"&lt;0")-SUMIFS('Daftar Koreksi'!$H$5:$H$92,'Daftar Koreksi'!$D$5:$D$92,'2400'!A180,'Daftar Koreksi'!$G$5:$G$92,"Tanah",'Daftar Koreksi'!$H$5:$H$92,"&lt;0")-SUMIFS('Daftar Koreksi'!$H$5:$H$92,'Daftar Koreksi'!$D$5:$D$92,'2400'!A180,'Daftar Koreksi'!$G$5:$G$92,"Tanah",'Daftar Koreksi'!$H$5:$H$92,"&lt;0")</f>
        <v>0</v>
      </c>
      <c r="G184" s="17">
        <f t="shared" ref="G184:G200" si="8">D184+E184-F184</f>
        <v>2074200000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774673432</v>
      </c>
      <c r="E185" s="25">
        <f>SUMIFS('Daftar Koreksi'!$H$5:$H$92,'Daftar Koreksi'!$D$5:$D$92,'2400'!A180,'Daftar Koreksi'!$G$5:$G$92,"Peralatan dan mesin",'Daftar Koreksi'!$H$5:$H$92,"&gt;0")</f>
        <v>0</v>
      </c>
      <c r="F185" s="25">
        <f>SUMIFS('Daftar Koreksi'!$H$5:$H$92,'Daftar Koreksi'!$D$5:$D$92,'2400'!A180,'Daftar Koreksi'!$G$5:$G$92,"Peralatan dan mesin",'Daftar Koreksi'!$H$5:$H$92,"&lt;0")-SUMIFS('Daftar Koreksi'!$H$5:$H$92,'Daftar Koreksi'!$D$5:$D$92,'2400'!A180,'Daftar Koreksi'!$G$5:$G$92,"Peralatan dan mesin",'Daftar Koreksi'!$H$5:$H$92,"&lt;0")-SUMIFS('Daftar Koreksi'!$H$5:$H$92,'Daftar Koreksi'!$D$5:$D$92,'2400'!A180,'Daftar Koreksi'!$G$5:$G$92,"Peralatan dan mesin",'Daftar Koreksi'!$H$5:$H$92,"&lt;0")</f>
        <v>0</v>
      </c>
      <c r="G185" s="17">
        <f t="shared" si="8"/>
        <v>774673432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1005345000</v>
      </c>
      <c r="E186" s="25">
        <f>SUMIFS('Daftar Koreksi'!$H$5:$H$92,'Daftar Koreksi'!$D$5:$D$92,'2400'!A180,'Daftar Koreksi'!$G$5:$G$92,"Gedung dan Bangunan",'Daftar Koreksi'!$H$5:$H$92,"&gt;0")</f>
        <v>0</v>
      </c>
      <c r="F186" s="25">
        <f>SUMIFS('Daftar Koreksi'!$H$5:$H$92,'Daftar Koreksi'!$D$5:$D$92,'2400'!A180,'Daftar Koreksi'!$G$5:$G$92,"Gedung dan Bangunan",'Daftar Koreksi'!$H$5:$H$92,"&lt;0")-SUMIFS('Daftar Koreksi'!$H$5:$H$92,'Daftar Koreksi'!$D$5:$D$92,'2400'!A180,'Daftar Koreksi'!$G$5:$G$92,"Gedung dan Bangunan",'Daftar Koreksi'!$H$5:$H$92,"&lt;0")-SUMIFS('Daftar Koreksi'!$H$5:$H$92,'Daftar Koreksi'!$D$5:$D$92,'2400'!A180,'Daftar Koreksi'!$G$5:$G$92,"Gedung dan Bangunan",'Daftar Koreksi'!$H$5:$H$92,"&lt;0")</f>
        <v>0</v>
      </c>
      <c r="G186" s="17">
        <f t="shared" si="8"/>
        <v>1005345000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28974000</v>
      </c>
      <c r="E187" s="25">
        <f>SUMIFS('Daftar Koreksi'!$H$5:$H$92,'Daftar Koreksi'!$D$5:$D$92,'2400'!A180,'Daftar Koreksi'!$G$5:$G$92,"Jalan Irigasi Jaringan",'Daftar Koreksi'!$H$5:$H$92,"&gt;0")</f>
        <v>0</v>
      </c>
      <c r="F187" s="25">
        <f>SUMIFS('Daftar Koreksi'!$H$5:$H$92,'Daftar Koreksi'!$D$5:$D$92,'2400'!A180,'Daftar Koreksi'!$G$5:$G$92,"Jalan Irigasi Jaringan",'Daftar Koreksi'!$H$5:$H$92,"&lt;0")-SUMIFS('Daftar Koreksi'!$H$5:$H$92,'Daftar Koreksi'!$D$5:$D$92,'2400'!A180,'Daftar Koreksi'!$G$5:$G$92,"Jalan Irigasi Jaringan",'Daftar Koreksi'!$H$5:$H$92,"&lt;0")-SUMIFS('Daftar Koreksi'!$H$5:$H$92,'Daftar Koreksi'!$D$5:$D$92,'2400'!A180,'Daftar Koreksi'!$G$5:$G$92,"Jalan Irigasi Jaringan",'Daftar Koreksi'!$H$5:$H$92,"&lt;0")</f>
        <v>0</v>
      </c>
      <c r="G187" s="17">
        <f t="shared" si="8"/>
        <v>28974000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46151000</v>
      </c>
      <c r="E188" s="25">
        <f>SUMIFS('Daftar Koreksi'!$H$5:$H$92,'Daftar Koreksi'!$D$5:$D$92,'2400'!A180,'Daftar Koreksi'!$G$5:$G$92,"Aset Tetap Lainnya",'Daftar Koreksi'!$H$5:$H$92,"&gt;0")</f>
        <v>0</v>
      </c>
      <c r="F188" s="25">
        <f>SUMIFS('Daftar Koreksi'!$H$5:$H$92,'Daftar Koreksi'!$D$5:$D$92,'2400'!A180,'Daftar Koreksi'!$G$5:$G$92,"Aset Tetap Lainnya",'Daftar Koreksi'!$H$5:$H$92,"&lt;0")-SUMIFS('Daftar Koreksi'!$H$5:$H$92,'Daftar Koreksi'!$D$5:$D$92,'2400'!A180,'Daftar Koreksi'!$G$5:$G$92,"Aset Tetap Lainnya",'Daftar Koreksi'!$H$5:$H$92,"&lt;0")-SUMIFS('Daftar Koreksi'!$H$5:$H$92,'Daftar Koreksi'!$D$5:$D$92,'2400'!A180,'Daftar Koreksi'!$G$5:$G$92,"Aset Tetap Lainnya",'Daftar Koreksi'!$H$5:$H$92,"&lt;0")</f>
        <v>0</v>
      </c>
      <c r="G188" s="17">
        <f t="shared" si="8"/>
        <v>46151000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Koreksi'!$D$5:$D$92,'2400'!A180,'Daftar Koreksi'!$G$5:$G$92,"Kontruksi Dalam Pengerjaan",'Daftar Koreksi'!$H$5:$H$92,"&gt;0")</f>
        <v>0</v>
      </c>
      <c r="F189" s="25">
        <f>SUMIFS('Daftar Koreksi'!$H$5:$H$92,'Daftar Koreksi'!$D$5:$D$92,'2400'!A180,'Daftar Koreksi'!$G$5:$G$92,"Kontruksi Dalam Pengerjaan",'Daftar Koreksi'!$H$5:$H$92,"&lt;0")-SUMIFS('Daftar Koreksi'!$H$5:$H$92,'Daftar Koreksi'!$D$5:$D$92,'2400'!A180,'Daftar Koreksi'!$G$5:$G$92,"Kontruksi Dalam Pengerjaan",'Daftar Koreksi'!$H$5:$H$92,"&lt;0")-SUMIFS('Daftar Koreksi'!$H$5:$H$92,'Daftar Koreksi'!$D$5:$D$92,'2400'!A180,'Daftar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Koreksi'!$D$5:$D$92,'2400'!A180,'Daftar Koreksi'!$G$5:$G$92,"Aset Tak Berwujud",'Daftar Koreksi'!$H$5:$H$92,"&gt;0")</f>
        <v>0</v>
      </c>
      <c r="F190" s="25">
        <f>SUMIFS('Daftar Koreksi'!$H$5:$H$92,'Daftar Koreksi'!$D$5:$D$92,'2400'!A180,'Daftar Koreksi'!$G$5:$G$92,"Aset Tak Berwujud",'Daftar Koreksi'!$H$5:$H$92,"&lt;0")-SUMIFS('Daftar Koreksi'!$H$5:$H$92,'Daftar Koreksi'!$D$5:$D$92,'2400'!A180,'Daftar Koreksi'!$G$5:$G$92,"Aset Tak Berwujud",'Daftar Koreksi'!$H$5:$H$92,"&lt;0")-SUMIFS('Daftar Koreksi'!$H$5:$H$92,'Daftar Koreksi'!$D$5:$D$92,'2400'!A180,'Daftar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233194857</v>
      </c>
      <c r="E191" s="25">
        <f>SUMIFS('Daftar Koreksi'!$H$5:$H$92,'Daftar Koreksi'!$D$5:$D$92,'2400'!A180,'Daftar Koreksi'!$G$5:$G$92,"Aset Henti Guna",'Daftar Koreksi'!$H$5:$H$92,"&gt;0")</f>
        <v>0</v>
      </c>
      <c r="F191" s="25">
        <f>SUMIFS('Daftar Koreksi'!$H$5:$H$92,'Daftar Koreksi'!$D$5:$D$92,'2400'!A180,'Daftar Koreksi'!$G$5:$G$92,"Aset Henti Guna",'Daftar Koreksi'!$H$5:$H$92,"&lt;0")-SUMIFS('Daftar Koreksi'!$H$5:$H$92,'Daftar Koreksi'!$D$5:$D$92,'2400'!A180,'Daftar Koreksi'!$G$5:$G$92,"Aset Henti Guna",'Daftar Koreksi'!$H$5:$H$92,"&lt;0")-SUMIFS('Daftar Koreksi'!$H$5:$H$92,'Daftar Koreksi'!$D$5:$D$92,'2400'!A180,'Daftar Koreksi'!$G$5:$G$92,"Aset Henti Guna",'Daftar Koreksi'!$H$5:$H$92,"&lt;0")</f>
        <v>0</v>
      </c>
      <c r="G191" s="17">
        <f t="shared" si="8"/>
        <v>233194857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4162590789</v>
      </c>
      <c r="E192" s="19">
        <f>SUM(E183:E191)</f>
        <v>0</v>
      </c>
      <c r="F192" s="19">
        <f>SUM(F183:F191)</f>
        <v>0</v>
      </c>
      <c r="G192" s="19">
        <f t="shared" si="8"/>
        <v>4162590789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-515942439</v>
      </c>
      <c r="E193" s="25">
        <f>SUMIFS('Daftar Koreksi'!$I$5:$I$92,'Daftar Koreksi'!$D$5:$D$92,'2400'!A180,'Daftar Koreksi'!$G$5:$G$92,"Peralatan dan mesin",'Daftar Koreksi'!$I$5:$I$92,"&gt;0")</f>
        <v>0</v>
      </c>
      <c r="F193" s="25">
        <f>SUMIFS('Daftar Koreksi'!$I$5:$I$92,'Daftar Koreksi'!$D$5:$D$92,'2400'!A180,'Daftar Koreksi'!$G$5:$G$92,"Peralatan dan mesin",'Daftar Koreksi'!$I$5:$I$92,"&lt;0")-SUMIFS('Daftar Koreksi'!$I$5:$I$92,'Daftar Koreksi'!$D$5:$D$92,'2400'!A180,'Daftar Koreksi'!$G$5:$G$92,"Peralatan dan mesin",'Daftar Koreksi'!$I$5:$I$92,"&lt;0")-SUMIFS('Daftar Koreksi'!$I$5:$I$92,'Daftar Koreksi'!$D$5:$D$92,'2400'!A180,'Daftar Koreksi'!$G$5:$G$92,"Peralatan dan mesin",'Daftar Koreksi'!$I$5:$I$92,"&lt;0")</f>
        <v>0</v>
      </c>
      <c r="G193" s="17">
        <f t="shared" si="8"/>
        <v>-515942439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-220669820</v>
      </c>
      <c r="E194" s="25">
        <f>SUMIFS('Daftar Koreksi'!$I$5:$I$92,'Daftar Koreksi'!$D$5:$D$92,'2400'!A180,'Daftar Koreksi'!$G$5:$G$92,"Gedung dan Bangunan",'Daftar Koreksi'!$I$5:$I$92,"&gt;0")</f>
        <v>0</v>
      </c>
      <c r="F194" s="25">
        <f>SUMIFS('Daftar Koreksi'!$I$5:$I$92,'Daftar Koreksi'!$D$5:$D$92,'2400'!A180,'Daftar Koreksi'!$G$5:$G$92,"Gedung dan Bangunan",'Daftar Koreksi'!$I$5:$I$92,"&lt;0")-SUMIFS('Daftar Koreksi'!$I$5:$I$92,'Daftar Koreksi'!$D$5:$D$92,'2400'!A180,'Daftar Koreksi'!$G$5:$G$92,"Gedung dan Bangunan",'Daftar Koreksi'!$I$5:$I$92,"&lt;0")-SUMIFS('Daftar Koreksi'!$I$5:$I$92,'Daftar Koreksi'!$D$5:$D$92,'2400'!A180,'Daftar Koreksi'!$G$5:$G$92,"Gedung dan Bangunan",'Daftar Koreksi'!$I$5:$I$92,"&lt;0")</f>
        <v>0</v>
      </c>
      <c r="G194" s="17">
        <f t="shared" si="8"/>
        <v>-220669820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-3259575</v>
      </c>
      <c r="E195" s="25">
        <f>SUMIFS('Daftar Koreksi'!$I$5:$I$92,'Daftar Koreksi'!$D$5:$D$92,'2400'!A180,'Daftar Koreksi'!$G$5:$G$92,"Jalan Irigasi Jaringan",'Daftar Koreksi'!$I$5:$I$92,"&gt;0")</f>
        <v>0</v>
      </c>
      <c r="F195" s="25">
        <f>SUMIFS('Daftar Koreksi'!$I$5:$I$92,'Daftar Koreksi'!$D$5:$D$92,'2400'!A180,'Daftar Koreksi'!$G$5:$G$92,"Jalan Irigasi Jaringan",'Daftar Koreksi'!$I$5:$I$92,"&lt;0")-SUMIFS('Daftar Koreksi'!$I$5:$I$92,'Daftar Koreksi'!$D$5:$D$92,'2400'!A180,'Daftar Koreksi'!$G$5:$G$92,"Jalan Irigasi Jaringan",'Daftar Koreksi'!$I$5:$I$92,"&lt;0")-SUMIFS('Daftar Koreksi'!$I$5:$I$92,'Daftar Koreksi'!$D$5:$D$92,'2400'!A180,'Daftar Koreksi'!$G$5:$G$92,"Jalan Irigasi Jaringan",'Daftar Koreksi'!$I$5:$I$92,"&lt;0")</f>
        <v>0</v>
      </c>
      <c r="G195" s="17">
        <f t="shared" si="8"/>
        <v>-3259575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Koreksi'!$D$5:$D$92,'2400'!A180,'Daftar Koreksi'!$G$5:$G$92,"Aset Tetap Lainnya",'Daftar Koreksi'!$I$5:$I$92,"&gt;0")</f>
        <v>0</v>
      </c>
      <c r="F196" s="25">
        <f>SUMIFS('Daftar Koreksi'!$I$5:$I$92,'Daftar Koreksi'!$D$5:$D$92,'2400'!A180,'Daftar Koreksi'!$G$5:$G$92,"Aset Tetap Lainnya",'Daftar Koreksi'!$I$5:$I$92,"&lt;0")-SUMIFS('Daftar Koreksi'!$I$5:$I$92,'Daftar Koreksi'!$D$5:$D$92,'2400'!A180,'Daftar Koreksi'!$G$5:$G$92,"Aset Tetap Lainnya",'Daftar Koreksi'!$I$5:$I$92,"&lt;0")-SUMIFS('Daftar Koreksi'!$I$5:$I$92,'Daftar Koreksi'!$D$5:$D$92,'2400'!A180,'Daftar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-233194857</v>
      </c>
      <c r="E197" s="25">
        <f>SUMIFS('Daftar Koreksi'!$I$5:$I$92,'Daftar Koreksi'!$D$5:$D$92,'2400'!A180,'Daftar Koreksi'!$G$5:$G$92,"Aset Henti Guna",'Daftar Koreksi'!$I$5:$I$92,"&gt;0")</f>
        <v>0</v>
      </c>
      <c r="F197" s="25">
        <f>SUMIFS('Daftar Koreksi'!$I$5:$I$92,'Daftar Koreksi'!$D$5:$D$92,'2400'!A180,'Daftar Koreksi'!$G$5:$G$92,"Aset Henti Guna",'Daftar Koreksi'!$I$5:$I$92,"&lt;0")-SUMIFS('Daftar Koreksi'!$I$5:$I$92,'Daftar Koreksi'!$D$5:$D$92,'2400'!A180,'Daftar Koreksi'!$G$5:$G$92,"Aset Henti Guna",'Daftar Koreksi'!$I$5:$I$92,"&lt;0")-SUMIFS('Daftar Koreksi'!$I$5:$I$92,'Daftar Koreksi'!$D$5:$D$92,'2400'!A180,'Daftar Koreksi'!$G$5:$G$92,"Aset Henti Guna",'Daftar Koreksi'!$I$5:$I$92,"&lt;0")</f>
        <v>0</v>
      </c>
      <c r="G197" s="17">
        <f t="shared" si="8"/>
        <v>-233194857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-973066691</v>
      </c>
      <c r="E198" s="19">
        <f>SUM(E193:E197)</f>
        <v>0</v>
      </c>
      <c r="F198" s="19">
        <f>SUM(F193:F197)</f>
        <v>0</v>
      </c>
      <c r="G198" s="19">
        <f t="shared" si="8"/>
        <v>-973066691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3189524098</v>
      </c>
      <c r="E199" s="19">
        <f>E198+E192</f>
        <v>0</v>
      </c>
      <c r="F199" s="19">
        <f>F198+F192</f>
        <v>0</v>
      </c>
      <c r="G199" s="19">
        <f t="shared" si="8"/>
        <v>3189524098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005012400307953000KD</v>
      </c>
      <c r="B202" s="11" t="str">
        <f>P10</f>
        <v>PA. Kupang</v>
      </c>
      <c r="C202" s="12" t="str">
        <f>A202&amp;" "&amp;B202</f>
        <v>005012400307953000KD PA. Kupang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1858388</v>
      </c>
      <c r="E205" s="25">
        <f>SUMIFS('Daftar Koreksi'!$H$5:$H$92,'Daftar Koreksi'!$D$5:$D$92,'2400'!A202,'Daftar Koreksi'!$G$5:$G$92,"Persediaan",'Daftar Koreksi'!$H$5:$H$92,"&gt;0")</f>
        <v>0</v>
      </c>
      <c r="F205" s="25">
        <f>SUMIFS('Daftar Koreksi'!$H$5:$H$92,'Daftar Koreksi'!$D$5:$D$92,'2400'!A202,'Daftar Koreksi'!$G$5:$G$92,"Persediaan",'Daftar Koreksi'!$H$5:$H$92,"&lt;0")-SUMIFS('Daftar Koreksi'!$H$5:$H$92,'Daftar Koreksi'!$D$5:$D$92,'2400'!A202,'Daftar Koreksi'!$G$5:$G$92,"Persediaan",'Daftar Koreksi'!$H$5:$H$92,"&lt;0")-SUMIFS('Daftar Koreksi'!$H$5:$H$92,'Daftar Koreksi'!$D$5:$D$92,'2400'!A202,'Daftar Koreksi'!$G$5:$G$92,"Persediaan",'Daftar Koreksi'!$H$5:$H$92,"&lt;0")</f>
        <v>0</v>
      </c>
      <c r="G205" s="17">
        <f>D205+E205-F205</f>
        <v>1858388</v>
      </c>
      <c r="H205" s="121" t="str">
        <f>IF(ISNA(VLOOKUP(A202,'Mutasi Neraca'!$A$3:$S$914,19,FALSE)),"-",VLOOKUP(A202,'Mutasi Neraca'!$A$3:$S$914,19,FALSE))</f>
        <v>TP. No 4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1909191000</v>
      </c>
      <c r="E206" s="25">
        <f>SUMIFS('Daftar Koreksi'!$H$5:$H$92,'Daftar Koreksi'!$D$5:$D$92,'2400'!A202,'Daftar Koreksi'!$G$5:$G$92,"Tanah",'Daftar Koreksi'!$H$5:$H$92,"&gt;0")</f>
        <v>0</v>
      </c>
      <c r="F206" s="25">
        <f>SUMIFS('Daftar Koreksi'!$H$5:$H$92,'Daftar Koreksi'!$D$5:$D$92,'2400'!A202,'Daftar Koreksi'!$G$5:$G$92,"Tanah",'Daftar Koreksi'!$H$5:$H$92,"&lt;0")-SUMIFS('Daftar Koreksi'!$H$5:$H$92,'Daftar Koreksi'!$D$5:$D$92,'2400'!A202,'Daftar Koreksi'!$G$5:$G$92,"Tanah",'Daftar Koreksi'!$H$5:$H$92,"&lt;0")-SUMIFS('Daftar Koreksi'!$H$5:$H$92,'Daftar Koreksi'!$D$5:$D$92,'2400'!A202,'Daftar Koreksi'!$G$5:$G$92,"Tanah",'Daftar Koreksi'!$H$5:$H$92,"&lt;0")</f>
        <v>0</v>
      </c>
      <c r="G206" s="17">
        <f t="shared" ref="G206:G222" si="9">D206+E206-F206</f>
        <v>1909191000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2145917201</v>
      </c>
      <c r="E207" s="25">
        <f>SUMIFS('Daftar Koreksi'!$H$5:$H$92,'Daftar Koreksi'!$D$5:$D$92,'2400'!A202,'Daftar Koreksi'!$G$5:$G$92,"Peralatan dan mesin",'Daftar Koreksi'!$H$5:$H$92,"&gt;0")</f>
        <v>3895309</v>
      </c>
      <c r="F207" s="25">
        <f>SUMIFS('Daftar Koreksi'!$H$5:$H$92,'Daftar Koreksi'!$D$5:$D$92,'2400'!A202,'Daftar Koreksi'!$G$5:$G$92,"Peralatan dan mesin",'Daftar Koreksi'!$H$5:$H$92,"&lt;0")-SUMIFS('Daftar Koreksi'!$H$5:$H$92,'Daftar Koreksi'!$D$5:$D$92,'2400'!A202,'Daftar Koreksi'!$G$5:$G$92,"Peralatan dan mesin",'Daftar Koreksi'!$H$5:$H$92,"&lt;0")-SUMIFS('Daftar Koreksi'!$H$5:$H$92,'Daftar Koreksi'!$D$5:$D$92,'2400'!A202,'Daftar Koreksi'!$G$5:$G$92,"Peralatan dan mesin",'Daftar Koreksi'!$H$5:$H$92,"&lt;0")</f>
        <v>0</v>
      </c>
      <c r="G207" s="17">
        <f t="shared" si="9"/>
        <v>2149812510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8556456594</v>
      </c>
      <c r="E208" s="25">
        <f>SUMIFS('Daftar Koreksi'!$H$5:$H$92,'Daftar Koreksi'!$D$5:$D$92,'2400'!A202,'Daftar Koreksi'!$G$5:$G$92,"Gedung dan Bangunan",'Daftar Koreksi'!$H$5:$H$92,"&gt;0")</f>
        <v>0</v>
      </c>
      <c r="F208" s="25">
        <f>SUMIFS('Daftar Koreksi'!$H$5:$H$92,'Daftar Koreksi'!$D$5:$D$92,'2400'!A202,'Daftar Koreksi'!$G$5:$G$92,"Gedung dan Bangunan",'Daftar Koreksi'!$H$5:$H$92,"&lt;0")-SUMIFS('Daftar Koreksi'!$H$5:$H$92,'Daftar Koreksi'!$D$5:$D$92,'2400'!A202,'Daftar Koreksi'!$G$5:$G$92,"Gedung dan Bangunan",'Daftar Koreksi'!$H$5:$H$92,"&lt;0")-SUMIFS('Daftar Koreksi'!$H$5:$H$92,'Daftar Koreksi'!$D$5:$D$92,'2400'!A202,'Daftar Koreksi'!$G$5:$G$92,"Gedung dan Bangunan",'Daftar Koreksi'!$H$5:$H$92,"&lt;0")</f>
        <v>0</v>
      </c>
      <c r="G208" s="17">
        <f t="shared" si="9"/>
        <v>8556456594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Koreksi'!$D$5:$D$92,'2400'!A202,'Daftar Koreksi'!$G$5:$G$92,"Jalan Irigasi Jaringan",'Daftar Koreksi'!$H$5:$H$92,"&gt;0")</f>
        <v>0</v>
      </c>
      <c r="F209" s="25">
        <f>SUMIFS('Daftar Koreksi'!$H$5:$H$92,'Daftar Koreksi'!$D$5:$D$92,'2400'!A202,'Daftar Koreksi'!$G$5:$G$92,"Jalan Irigasi Jaringan",'Daftar Koreksi'!$H$5:$H$92,"&lt;0")-SUMIFS('Daftar Koreksi'!$H$5:$H$92,'Daftar Koreksi'!$D$5:$D$92,'2400'!A202,'Daftar Koreksi'!$G$5:$G$92,"Jalan Irigasi Jaringan",'Daftar Koreksi'!$H$5:$H$92,"&lt;0")-SUMIFS('Daftar Koreksi'!$H$5:$H$92,'Daftar Koreksi'!$D$5:$D$92,'2400'!A202,'Daftar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2902770</v>
      </c>
      <c r="E210" s="25">
        <f>SUMIFS('Daftar Koreksi'!$H$5:$H$92,'Daftar Koreksi'!$D$5:$D$92,'2400'!A202,'Daftar Koreksi'!$G$5:$G$92,"Aset Tetap Lainnya",'Daftar Koreksi'!$H$5:$H$92,"&gt;0")</f>
        <v>0</v>
      </c>
      <c r="F210" s="25">
        <f>SUMIFS('Daftar Koreksi'!$H$5:$H$92,'Daftar Koreksi'!$D$5:$D$92,'2400'!A202,'Daftar Koreksi'!$G$5:$G$92,"Aset Tetap Lainnya",'Daftar Koreksi'!$H$5:$H$92,"&lt;0")-SUMIFS('Daftar Koreksi'!$H$5:$H$92,'Daftar Koreksi'!$D$5:$D$92,'2400'!A202,'Daftar Koreksi'!$G$5:$G$92,"Aset Tetap Lainnya",'Daftar Koreksi'!$H$5:$H$92,"&lt;0")-SUMIFS('Daftar Koreksi'!$H$5:$H$92,'Daftar Koreksi'!$D$5:$D$92,'2400'!A202,'Daftar Koreksi'!$G$5:$G$92,"Aset Tetap Lainnya",'Daftar Koreksi'!$H$5:$H$92,"&lt;0")</f>
        <v>0</v>
      </c>
      <c r="G210" s="17">
        <f t="shared" si="9"/>
        <v>2902770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Koreksi'!$D$5:$D$92,'2400'!A202,'Daftar Koreksi'!$G$5:$G$92,"Kontruksi Dalam Pengerjaan",'Daftar Koreksi'!$H$5:$H$92,"&gt;0")</f>
        <v>0</v>
      </c>
      <c r="F211" s="25">
        <f>SUMIFS('Daftar Koreksi'!$H$5:$H$92,'Daftar Koreksi'!$D$5:$D$92,'2400'!A202,'Daftar Koreksi'!$G$5:$G$92,"Kontruksi Dalam Pengerjaan",'Daftar Koreksi'!$H$5:$H$92,"&lt;0")-SUMIFS('Daftar Koreksi'!$H$5:$H$92,'Daftar Koreksi'!$D$5:$D$92,'2400'!A202,'Daftar Koreksi'!$G$5:$G$92,"Kontruksi Dalam Pengerjaan",'Daftar Koreksi'!$H$5:$H$92,"&lt;0")-SUMIFS('Daftar Koreksi'!$H$5:$H$92,'Daftar Koreksi'!$D$5:$D$92,'2400'!A202,'Daftar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Koreksi'!$D$5:$D$92,'2400'!A202,'Daftar Koreksi'!$G$5:$G$92,"Aset Tak Berwujud",'Daftar Koreksi'!$H$5:$H$92,"&gt;0")</f>
        <v>0</v>
      </c>
      <c r="F212" s="25">
        <f>SUMIFS('Daftar Koreksi'!$H$5:$H$92,'Daftar Koreksi'!$D$5:$D$92,'2400'!A202,'Daftar Koreksi'!$G$5:$G$92,"Aset Tak Berwujud",'Daftar Koreksi'!$H$5:$H$92,"&lt;0")-SUMIFS('Daftar Koreksi'!$H$5:$H$92,'Daftar Koreksi'!$D$5:$D$92,'2400'!A202,'Daftar Koreksi'!$G$5:$G$92,"Aset Tak Berwujud",'Daftar Koreksi'!$H$5:$H$92,"&lt;0")-SUMIFS('Daftar Koreksi'!$H$5:$H$92,'Daftar Koreksi'!$D$5:$D$92,'2400'!A202,'Daftar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56617120</v>
      </c>
      <c r="E213" s="25">
        <f>SUMIFS('Daftar Koreksi'!$H$5:$H$92,'Daftar Koreksi'!$D$5:$D$92,'2400'!A202,'Daftar Koreksi'!$G$5:$G$92,"Aset Henti Guna",'Daftar Koreksi'!$H$5:$H$92,"&gt;0")</f>
        <v>0</v>
      </c>
      <c r="F213" s="25">
        <f>SUMIFS('Daftar Koreksi'!$H$5:$H$92,'Daftar Koreksi'!$D$5:$D$92,'2400'!A202,'Daftar Koreksi'!$G$5:$G$92,"Aset Henti Guna",'Daftar Koreksi'!$H$5:$H$92,"&lt;0")-SUMIFS('Daftar Koreksi'!$H$5:$H$92,'Daftar Koreksi'!$D$5:$D$92,'2400'!A202,'Daftar Koreksi'!$G$5:$G$92,"Aset Henti Guna",'Daftar Koreksi'!$H$5:$H$92,"&lt;0")-SUMIFS('Daftar Koreksi'!$H$5:$H$92,'Daftar Koreksi'!$D$5:$D$92,'2400'!A202,'Daftar Koreksi'!$G$5:$G$92,"Aset Henti Guna",'Daftar Koreksi'!$H$5:$H$92,"&lt;0")</f>
        <v>0</v>
      </c>
      <c r="G213" s="17">
        <f t="shared" si="9"/>
        <v>56617120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12672943073</v>
      </c>
      <c r="E214" s="19">
        <f>SUM(E205:E213)</f>
        <v>3895309</v>
      </c>
      <c r="F214" s="19">
        <f>SUM(F205:F213)</f>
        <v>0</v>
      </c>
      <c r="G214" s="19">
        <f t="shared" si="9"/>
        <v>12676838382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-1921897498</v>
      </c>
      <c r="E215" s="25">
        <f>SUMIFS('Daftar Koreksi'!$I$5:$I$92,'Daftar Koreksi'!$D$5:$D$92,'2400'!A202,'Daftar Koreksi'!$G$5:$G$92,"Peralatan dan mesin",'Daftar Koreksi'!$I$5:$I$92,"&gt;0")</f>
        <v>0</v>
      </c>
      <c r="F215" s="25">
        <f>SUMIFS('Daftar Koreksi'!$I$5:$I$92,'Daftar Koreksi'!$D$5:$D$92,'2400'!A202,'Daftar Koreksi'!$G$5:$G$92,"Peralatan dan mesin",'Daftar Koreksi'!$I$5:$I$92,"&lt;0")-SUMIFS('Daftar Koreksi'!$I$5:$I$92,'Daftar Koreksi'!$D$5:$D$92,'2400'!A202,'Daftar Koreksi'!$G$5:$G$92,"Peralatan dan mesin",'Daftar Koreksi'!$I$5:$I$92,"&lt;0")-SUMIFS('Daftar Koreksi'!$I$5:$I$92,'Daftar Koreksi'!$D$5:$D$92,'2400'!A202,'Daftar Koreksi'!$G$5:$G$92,"Peralatan dan mesin",'Daftar Koreksi'!$I$5:$I$92,"&lt;0")</f>
        <v>389531</v>
      </c>
      <c r="G215" s="17">
        <f t="shared" si="9"/>
        <v>-1922287029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-1157962079</v>
      </c>
      <c r="E216" s="25">
        <f>SUMIFS('Daftar Koreksi'!$I$5:$I$92,'Daftar Koreksi'!$D$5:$D$92,'2400'!A202,'Daftar Koreksi'!$G$5:$G$92,"Gedung dan Bangunan",'Daftar Koreksi'!$I$5:$I$92,"&gt;0")</f>
        <v>0</v>
      </c>
      <c r="F216" s="25">
        <f>SUMIFS('Daftar Koreksi'!$I$5:$I$92,'Daftar Koreksi'!$D$5:$D$92,'2400'!A202,'Daftar Koreksi'!$G$5:$G$92,"Gedung dan Bangunan",'Daftar Koreksi'!$I$5:$I$92,"&lt;0")-SUMIFS('Daftar Koreksi'!$I$5:$I$92,'Daftar Koreksi'!$D$5:$D$92,'2400'!A202,'Daftar Koreksi'!$G$5:$G$92,"Gedung dan Bangunan",'Daftar Koreksi'!$I$5:$I$92,"&lt;0")-SUMIFS('Daftar Koreksi'!$I$5:$I$92,'Daftar Koreksi'!$D$5:$D$92,'2400'!A202,'Daftar Koreksi'!$G$5:$G$92,"Gedung dan Bangunan",'Daftar Koreksi'!$I$5:$I$92,"&lt;0")</f>
        <v>0</v>
      </c>
      <c r="G216" s="17">
        <f t="shared" si="9"/>
        <v>-1157962079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Koreksi'!$D$5:$D$92,'2400'!A202,'Daftar Koreksi'!$G$5:$G$92,"Jalan Irigasi Jaringan",'Daftar Koreksi'!$I$5:$I$92,"&gt;0")</f>
        <v>0</v>
      </c>
      <c r="F217" s="25">
        <f>SUMIFS('Daftar Koreksi'!$I$5:$I$92,'Daftar Koreksi'!$D$5:$D$92,'2400'!A202,'Daftar Koreksi'!$G$5:$G$92,"Jalan Irigasi Jaringan",'Daftar Koreksi'!$I$5:$I$92,"&lt;0")-SUMIFS('Daftar Koreksi'!$I$5:$I$92,'Daftar Koreksi'!$D$5:$D$92,'2400'!A202,'Daftar Koreksi'!$G$5:$G$92,"Jalan Irigasi Jaringan",'Daftar Koreksi'!$I$5:$I$92,"&lt;0")-SUMIFS('Daftar Koreksi'!$I$5:$I$92,'Daftar Koreksi'!$D$5:$D$92,'2400'!A202,'Daftar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Koreksi'!$D$5:$D$92,'2400'!A202,'Daftar Koreksi'!$G$5:$G$92,"Aset Tetap Lainnya",'Daftar Koreksi'!$I$5:$I$92,"&gt;0")</f>
        <v>0</v>
      </c>
      <c r="F218" s="25">
        <f>SUMIFS('Daftar Koreksi'!$I$5:$I$92,'Daftar Koreksi'!$D$5:$D$92,'2400'!A202,'Daftar Koreksi'!$G$5:$G$92,"Aset Tetap Lainnya",'Daftar Koreksi'!$I$5:$I$92,"&lt;0")-SUMIFS('Daftar Koreksi'!$I$5:$I$92,'Daftar Koreksi'!$D$5:$D$92,'2400'!A202,'Daftar Koreksi'!$G$5:$G$92,"Aset Tetap Lainnya",'Daftar Koreksi'!$I$5:$I$92,"&lt;0")-SUMIFS('Daftar Koreksi'!$I$5:$I$92,'Daftar Koreksi'!$D$5:$D$92,'2400'!A202,'Daftar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-56617120</v>
      </c>
      <c r="E219" s="25">
        <f>SUMIFS('Daftar Koreksi'!$I$5:$I$92,'Daftar Koreksi'!$D$5:$D$92,'2400'!A202,'Daftar Koreksi'!$G$5:$G$92,"Aset Henti Guna",'Daftar Koreksi'!$I$5:$I$92,"&gt;0")</f>
        <v>0</v>
      </c>
      <c r="F219" s="25">
        <f>SUMIFS('Daftar Koreksi'!$I$5:$I$92,'Daftar Koreksi'!$D$5:$D$92,'2400'!A202,'Daftar Koreksi'!$G$5:$G$92,"Aset Henti Guna",'Daftar Koreksi'!$I$5:$I$92,"&lt;0")-SUMIFS('Daftar Koreksi'!$I$5:$I$92,'Daftar Koreksi'!$D$5:$D$92,'2400'!A202,'Daftar Koreksi'!$G$5:$G$92,"Aset Henti Guna",'Daftar Koreksi'!$I$5:$I$92,"&lt;0")-SUMIFS('Daftar Koreksi'!$I$5:$I$92,'Daftar Koreksi'!$D$5:$D$92,'2400'!A202,'Daftar Koreksi'!$G$5:$G$92,"Aset Henti Guna",'Daftar Koreksi'!$I$5:$I$92,"&lt;0")</f>
        <v>0</v>
      </c>
      <c r="G219" s="17">
        <f t="shared" si="9"/>
        <v>-56617120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-3136476697</v>
      </c>
      <c r="E220" s="19">
        <f>SUM(E215:E219)</f>
        <v>0</v>
      </c>
      <c r="F220" s="19">
        <f>SUM(F215:F219)</f>
        <v>389531</v>
      </c>
      <c r="G220" s="19">
        <f t="shared" si="9"/>
        <v>-3136866228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9536466376</v>
      </c>
      <c r="E221" s="19">
        <f>E220+E214</f>
        <v>3895309</v>
      </c>
      <c r="F221" s="19">
        <f>F220+F214</f>
        <v>389531</v>
      </c>
      <c r="G221" s="19">
        <f t="shared" si="9"/>
        <v>9539972154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005012400307960000KD</v>
      </c>
      <c r="B224" s="11" t="str">
        <f>P11</f>
        <v>PA. Kalabahi</v>
      </c>
      <c r="C224" s="12" t="str">
        <f>A224&amp;" "&amp;B224</f>
        <v>005012400307960000KD PA. Kalabahi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0</v>
      </c>
      <c r="E227" s="25">
        <f>SUMIFS('Daftar Koreksi'!$H$5:$H$92,'Daftar Koreksi'!$D$5:$D$92,'2400'!A224,'Daftar Koreksi'!$G$5:$G$92,"Persediaan",'Daftar Koreksi'!$H$5:$H$92,"&gt;0")</f>
        <v>0</v>
      </c>
      <c r="F227" s="25">
        <f>SUMIFS('Daftar Koreksi'!$H$5:$H$92,'Daftar Koreksi'!$D$5:$D$92,'2400'!A224,'Daftar Koreksi'!$G$5:$G$92,"Persediaan",'Daftar Koreksi'!$H$5:$H$92,"&lt;0")-SUMIFS('Daftar Koreksi'!$H$5:$H$92,'Daftar Koreksi'!$D$5:$D$92,'2400'!A224,'Daftar Koreksi'!$G$5:$G$92,"Persediaan",'Daftar Koreksi'!$H$5:$H$92,"&lt;0")-SUMIFS('Daftar Koreksi'!$H$5:$H$92,'Daftar Koreksi'!$D$5:$D$92,'2400'!A224,'Daftar Koreksi'!$G$5:$G$92,"Persediaan",'Daftar Koreksi'!$H$5:$H$92,"&lt;0")</f>
        <v>0</v>
      </c>
      <c r="G227" s="17">
        <f>D227+E227-F227</f>
        <v>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951450000</v>
      </c>
      <c r="E228" s="25">
        <f>SUMIFS('Daftar Koreksi'!$H$5:$H$92,'Daftar Koreksi'!$D$5:$D$92,'2400'!A224,'Daftar Koreksi'!$G$5:$G$92,"Tanah",'Daftar Koreksi'!$H$5:$H$92,"&gt;0")</f>
        <v>0</v>
      </c>
      <c r="F228" s="25">
        <f>SUMIFS('Daftar Koreksi'!$H$5:$H$92,'Daftar Koreksi'!$D$5:$D$92,'2400'!A224,'Daftar Koreksi'!$G$5:$G$92,"Tanah",'Daftar Koreksi'!$H$5:$H$92,"&lt;0")-SUMIFS('Daftar Koreksi'!$H$5:$H$92,'Daftar Koreksi'!$D$5:$D$92,'2400'!A224,'Daftar Koreksi'!$G$5:$G$92,"Tanah",'Daftar Koreksi'!$H$5:$H$92,"&lt;0")-SUMIFS('Daftar Koreksi'!$H$5:$H$92,'Daftar Koreksi'!$D$5:$D$92,'2400'!A224,'Daftar Koreksi'!$G$5:$G$92,"Tanah",'Daftar Koreksi'!$H$5:$H$92,"&lt;0")</f>
        <v>0</v>
      </c>
      <c r="G228" s="17">
        <f t="shared" ref="G228:G244" si="10">D228+E228-F228</f>
        <v>951450000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1367218002</v>
      </c>
      <c r="E229" s="25">
        <f>SUMIFS('Daftar Koreksi'!$H$5:$H$92,'Daftar Koreksi'!$D$5:$D$92,'2400'!A224,'Daftar Koreksi'!$G$5:$G$92,"Peralatan dan mesin",'Daftar Koreksi'!$H$5:$H$92,"&gt;0")</f>
        <v>0</v>
      </c>
      <c r="F229" s="25">
        <f>SUMIFS('Daftar Koreksi'!$H$5:$H$92,'Daftar Koreksi'!$D$5:$D$92,'2400'!A224,'Daftar Koreksi'!$G$5:$G$92,"Peralatan dan mesin",'Daftar Koreksi'!$H$5:$H$92,"&lt;0")-SUMIFS('Daftar Koreksi'!$H$5:$H$92,'Daftar Koreksi'!$D$5:$D$92,'2400'!A224,'Daftar Koreksi'!$G$5:$G$92,"Peralatan dan mesin",'Daftar Koreksi'!$H$5:$H$92,"&lt;0")-SUMIFS('Daftar Koreksi'!$H$5:$H$92,'Daftar Koreksi'!$D$5:$D$92,'2400'!A224,'Daftar Koreksi'!$G$5:$G$92,"Peralatan dan mesin",'Daftar Koreksi'!$H$5:$H$92,"&lt;0")</f>
        <v>0</v>
      </c>
      <c r="G229" s="17">
        <f t="shared" si="10"/>
        <v>1367218002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7024569150</v>
      </c>
      <c r="E230" s="25">
        <f>SUMIFS('Daftar Koreksi'!$H$5:$H$92,'Daftar Koreksi'!$D$5:$D$92,'2400'!A224,'Daftar Koreksi'!$G$5:$G$92,"Gedung dan Bangunan",'Daftar Koreksi'!$H$5:$H$92,"&gt;0")</f>
        <v>0</v>
      </c>
      <c r="F230" s="25">
        <f>SUMIFS('Daftar Koreksi'!$H$5:$H$92,'Daftar Koreksi'!$D$5:$D$92,'2400'!A224,'Daftar Koreksi'!$G$5:$G$92,"Gedung dan Bangunan",'Daftar Koreksi'!$H$5:$H$92,"&lt;0")-SUMIFS('Daftar Koreksi'!$H$5:$H$92,'Daftar Koreksi'!$D$5:$D$92,'2400'!A224,'Daftar Koreksi'!$G$5:$G$92,"Gedung dan Bangunan",'Daftar Koreksi'!$H$5:$H$92,"&lt;0")-SUMIFS('Daftar Koreksi'!$H$5:$H$92,'Daftar Koreksi'!$D$5:$D$92,'2400'!A224,'Daftar Koreksi'!$G$5:$G$92,"Gedung dan Bangunan",'Daftar Koreksi'!$H$5:$H$92,"&lt;0")</f>
        <v>0</v>
      </c>
      <c r="G230" s="17">
        <f t="shared" si="10"/>
        <v>7024569150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18999000</v>
      </c>
      <c r="E231" s="25">
        <f>SUMIFS('Daftar Koreksi'!$H$5:$H$92,'Daftar Koreksi'!$D$5:$D$92,'2400'!A224,'Daftar Koreksi'!$G$5:$G$92,"Jalan Irigasi Jaringan",'Daftar Koreksi'!$H$5:$H$92,"&gt;0")</f>
        <v>0</v>
      </c>
      <c r="F231" s="25">
        <f>SUMIFS('Daftar Koreksi'!$H$5:$H$92,'Daftar Koreksi'!$D$5:$D$92,'2400'!A224,'Daftar Koreksi'!$G$5:$G$92,"Jalan Irigasi Jaringan",'Daftar Koreksi'!$H$5:$H$92,"&lt;0")-SUMIFS('Daftar Koreksi'!$H$5:$H$92,'Daftar Koreksi'!$D$5:$D$92,'2400'!A224,'Daftar Koreksi'!$G$5:$G$92,"Jalan Irigasi Jaringan",'Daftar Koreksi'!$H$5:$H$92,"&lt;0")-SUMIFS('Daftar Koreksi'!$H$5:$H$92,'Daftar Koreksi'!$D$5:$D$92,'2400'!A224,'Daftar Koreksi'!$G$5:$G$92,"Jalan Irigasi Jaringan",'Daftar Koreksi'!$H$5:$H$92,"&lt;0")</f>
        <v>0</v>
      </c>
      <c r="G231" s="17">
        <f t="shared" si="10"/>
        <v>18999000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50373000</v>
      </c>
      <c r="E232" s="25">
        <f>SUMIFS('Daftar Koreksi'!$H$5:$H$92,'Daftar Koreksi'!$D$5:$D$92,'2400'!A224,'Daftar Koreksi'!$G$5:$G$92,"Aset Tetap Lainnya",'Daftar Koreksi'!$H$5:$H$92,"&gt;0")</f>
        <v>0</v>
      </c>
      <c r="F232" s="25">
        <f>SUMIFS('Daftar Koreksi'!$H$5:$H$92,'Daftar Koreksi'!$D$5:$D$92,'2400'!A224,'Daftar Koreksi'!$G$5:$G$92,"Aset Tetap Lainnya",'Daftar Koreksi'!$H$5:$H$92,"&lt;0")-SUMIFS('Daftar Koreksi'!$H$5:$H$92,'Daftar Koreksi'!$D$5:$D$92,'2400'!A224,'Daftar Koreksi'!$G$5:$G$92,"Aset Tetap Lainnya",'Daftar Koreksi'!$H$5:$H$92,"&lt;0")-SUMIFS('Daftar Koreksi'!$H$5:$H$92,'Daftar Koreksi'!$D$5:$D$92,'2400'!A224,'Daftar Koreksi'!$G$5:$G$92,"Aset Tetap Lainnya",'Daftar Koreksi'!$H$5:$H$92,"&lt;0")</f>
        <v>0</v>
      </c>
      <c r="G232" s="17">
        <f t="shared" si="10"/>
        <v>50373000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Koreksi'!$D$5:$D$92,'2400'!A224,'Daftar Koreksi'!$G$5:$G$92,"Kontruksi Dalam Pengerjaan",'Daftar Koreksi'!$H$5:$H$92,"&gt;0")</f>
        <v>0</v>
      </c>
      <c r="F233" s="25">
        <f>SUMIFS('Daftar Koreksi'!$H$5:$H$92,'Daftar Koreksi'!$D$5:$D$92,'2400'!A224,'Daftar Koreksi'!$G$5:$G$92,"Kontruksi Dalam Pengerjaan",'Daftar Koreksi'!$H$5:$H$92,"&lt;0")-SUMIFS('Daftar Koreksi'!$H$5:$H$92,'Daftar Koreksi'!$D$5:$D$92,'2400'!A224,'Daftar Koreksi'!$G$5:$G$92,"Kontruksi Dalam Pengerjaan",'Daftar Koreksi'!$H$5:$H$92,"&lt;0")-SUMIFS('Daftar Koreksi'!$H$5:$H$92,'Daftar Koreksi'!$D$5:$D$92,'2400'!A224,'Daftar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Koreksi'!$D$5:$D$92,'2400'!A224,'Daftar Koreksi'!$G$5:$G$92,"Aset Tak Berwujud",'Daftar Koreksi'!$H$5:$H$92,"&gt;0")</f>
        <v>0</v>
      </c>
      <c r="F234" s="25">
        <f>SUMIFS('Daftar Koreksi'!$H$5:$H$92,'Daftar Koreksi'!$D$5:$D$92,'2400'!A224,'Daftar Koreksi'!$G$5:$G$92,"Aset Tak Berwujud",'Daftar Koreksi'!$H$5:$H$92,"&lt;0")-SUMIFS('Daftar Koreksi'!$H$5:$H$92,'Daftar Koreksi'!$D$5:$D$92,'2400'!A224,'Daftar Koreksi'!$G$5:$G$92,"Aset Tak Berwujud",'Daftar Koreksi'!$H$5:$H$92,"&lt;0")-SUMIFS('Daftar Koreksi'!$H$5:$H$92,'Daftar Koreksi'!$D$5:$D$92,'2400'!A224,'Daftar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92865722</v>
      </c>
      <c r="E235" s="25">
        <f>SUMIFS('Daftar Koreksi'!$H$5:$H$92,'Daftar Koreksi'!$D$5:$D$92,'2400'!A224,'Daftar Koreksi'!$G$5:$G$92,"Aset Henti Guna",'Daftar Koreksi'!$H$5:$H$92,"&gt;0")</f>
        <v>0</v>
      </c>
      <c r="F235" s="25">
        <f>SUMIFS('Daftar Koreksi'!$H$5:$H$92,'Daftar Koreksi'!$D$5:$D$92,'2400'!A224,'Daftar Koreksi'!$G$5:$G$92,"Aset Henti Guna",'Daftar Koreksi'!$H$5:$H$92,"&lt;0")-SUMIFS('Daftar Koreksi'!$H$5:$H$92,'Daftar Koreksi'!$D$5:$D$92,'2400'!A224,'Daftar Koreksi'!$G$5:$G$92,"Aset Henti Guna",'Daftar Koreksi'!$H$5:$H$92,"&lt;0")-SUMIFS('Daftar Koreksi'!$H$5:$H$92,'Daftar Koreksi'!$D$5:$D$92,'2400'!A224,'Daftar Koreksi'!$G$5:$G$92,"Aset Henti Guna",'Daftar Koreksi'!$H$5:$H$92,"&lt;0")</f>
        <v>0</v>
      </c>
      <c r="G235" s="17">
        <f t="shared" si="10"/>
        <v>92865722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9505474874</v>
      </c>
      <c r="E236" s="19">
        <f>SUM(E227:E235)</f>
        <v>0</v>
      </c>
      <c r="F236" s="19">
        <f>SUM(F227:F235)</f>
        <v>0</v>
      </c>
      <c r="G236" s="19">
        <f t="shared" si="10"/>
        <v>9505474874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-1086233635</v>
      </c>
      <c r="E237" s="25">
        <f>SUMIFS('Daftar Koreksi'!$I$5:$I$92,'Daftar Koreksi'!$D$5:$D$92,'2400'!A224,'Daftar Koreksi'!$G$5:$G$92,"Peralatan dan mesin",'Daftar Koreksi'!$I$5:$I$92,"&gt;0")</f>
        <v>0</v>
      </c>
      <c r="F237" s="25">
        <f>SUMIFS('Daftar Koreksi'!$I$5:$I$92,'Daftar Koreksi'!$D$5:$D$92,'2400'!A224,'Daftar Koreksi'!$G$5:$G$92,"Peralatan dan mesin",'Daftar Koreksi'!$I$5:$I$92,"&lt;0")-SUMIFS('Daftar Koreksi'!$I$5:$I$92,'Daftar Koreksi'!$D$5:$D$92,'2400'!A224,'Daftar Koreksi'!$G$5:$G$92,"Peralatan dan mesin",'Daftar Koreksi'!$I$5:$I$92,"&lt;0")-SUMIFS('Daftar Koreksi'!$I$5:$I$92,'Daftar Koreksi'!$D$5:$D$92,'2400'!A224,'Daftar Koreksi'!$G$5:$G$92,"Peralatan dan mesin",'Daftar Koreksi'!$I$5:$I$92,"&lt;0")</f>
        <v>0</v>
      </c>
      <c r="G237" s="17">
        <f t="shared" si="10"/>
        <v>-1086233635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-328233912</v>
      </c>
      <c r="E238" s="25">
        <f>SUMIFS('Daftar Koreksi'!$I$5:$I$92,'Daftar Koreksi'!$D$5:$D$92,'2400'!A224,'Daftar Koreksi'!$G$5:$G$92,"Gedung dan Bangunan",'Daftar Koreksi'!$I$5:$I$92,"&gt;0")</f>
        <v>0</v>
      </c>
      <c r="F238" s="25">
        <f>SUMIFS('Daftar Koreksi'!$I$5:$I$92,'Daftar Koreksi'!$D$5:$D$92,'2400'!A224,'Daftar Koreksi'!$G$5:$G$92,"Gedung dan Bangunan",'Daftar Koreksi'!$I$5:$I$92,"&lt;0")-SUMIFS('Daftar Koreksi'!$I$5:$I$92,'Daftar Koreksi'!$D$5:$D$92,'2400'!A224,'Daftar Koreksi'!$G$5:$G$92,"Gedung dan Bangunan",'Daftar Koreksi'!$I$5:$I$92,"&lt;0")-SUMIFS('Daftar Koreksi'!$I$5:$I$92,'Daftar Koreksi'!$D$5:$D$92,'2400'!A224,'Daftar Koreksi'!$G$5:$G$92,"Gedung dan Bangunan",'Daftar Koreksi'!$I$5:$I$92,"&lt;0")</f>
        <v>0</v>
      </c>
      <c r="G238" s="17">
        <f t="shared" si="10"/>
        <v>-328233912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-1074950</v>
      </c>
      <c r="E239" s="25">
        <f>SUMIFS('Daftar Koreksi'!$I$5:$I$92,'Daftar Koreksi'!$D$5:$D$92,'2400'!A224,'Daftar Koreksi'!$G$5:$G$92,"Jalan Irigasi Jaringan",'Daftar Koreksi'!$I$5:$I$92,"&gt;0")</f>
        <v>0</v>
      </c>
      <c r="F239" s="25">
        <f>SUMIFS('Daftar Koreksi'!$I$5:$I$92,'Daftar Koreksi'!$D$5:$D$92,'2400'!A224,'Daftar Koreksi'!$G$5:$G$92,"Jalan Irigasi Jaringan",'Daftar Koreksi'!$I$5:$I$92,"&lt;0")-SUMIFS('Daftar Koreksi'!$I$5:$I$92,'Daftar Koreksi'!$D$5:$D$92,'2400'!A224,'Daftar Koreksi'!$G$5:$G$92,"Jalan Irigasi Jaringan",'Daftar Koreksi'!$I$5:$I$92,"&lt;0")-SUMIFS('Daftar Koreksi'!$I$5:$I$92,'Daftar Koreksi'!$D$5:$D$92,'2400'!A224,'Daftar Koreksi'!$G$5:$G$92,"Jalan Irigasi Jaringan",'Daftar Koreksi'!$I$5:$I$92,"&lt;0")</f>
        <v>0</v>
      </c>
      <c r="G239" s="17">
        <f t="shared" si="10"/>
        <v>-1074950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-11243750</v>
      </c>
      <c r="E240" s="25">
        <f>SUMIFS('Daftar Koreksi'!$I$5:$I$92,'Daftar Koreksi'!$D$5:$D$92,'2400'!A224,'Daftar Koreksi'!$G$5:$G$92,"Aset Tetap Lainnya",'Daftar Koreksi'!$I$5:$I$92,"&gt;0")</f>
        <v>0</v>
      </c>
      <c r="F240" s="25">
        <f>SUMIFS('Daftar Koreksi'!$I$5:$I$92,'Daftar Koreksi'!$D$5:$D$92,'2400'!A224,'Daftar Koreksi'!$G$5:$G$92,"Aset Tetap Lainnya",'Daftar Koreksi'!$I$5:$I$92,"&lt;0")-SUMIFS('Daftar Koreksi'!$I$5:$I$92,'Daftar Koreksi'!$D$5:$D$92,'2400'!A224,'Daftar Koreksi'!$G$5:$G$92,"Aset Tetap Lainnya",'Daftar Koreksi'!$I$5:$I$92,"&lt;0")-SUMIFS('Daftar Koreksi'!$I$5:$I$92,'Daftar Koreksi'!$D$5:$D$92,'2400'!A224,'Daftar Koreksi'!$G$5:$G$92,"Aset Tetap Lainnya",'Daftar Koreksi'!$I$5:$I$92,"&lt;0")</f>
        <v>0</v>
      </c>
      <c r="G240" s="17">
        <f t="shared" si="10"/>
        <v>-11243750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-91379488</v>
      </c>
      <c r="E241" s="25">
        <f>SUMIFS('Daftar Koreksi'!$I$5:$I$92,'Daftar Koreksi'!$D$5:$D$92,'2400'!A224,'Daftar Koreksi'!$G$5:$G$92,"Aset Henti Guna",'Daftar Koreksi'!$I$5:$I$92,"&gt;0")</f>
        <v>0</v>
      </c>
      <c r="F241" s="25">
        <f>SUMIFS('Daftar Koreksi'!$I$5:$I$92,'Daftar Koreksi'!$D$5:$D$92,'2400'!A224,'Daftar Koreksi'!$G$5:$G$92,"Aset Henti Guna",'Daftar Koreksi'!$I$5:$I$92,"&lt;0")-SUMIFS('Daftar Koreksi'!$I$5:$I$92,'Daftar Koreksi'!$D$5:$D$92,'2400'!A224,'Daftar Koreksi'!$G$5:$G$92,"Aset Henti Guna",'Daftar Koreksi'!$I$5:$I$92,"&lt;0")-SUMIFS('Daftar Koreksi'!$I$5:$I$92,'Daftar Koreksi'!$D$5:$D$92,'2400'!A224,'Daftar Koreksi'!$G$5:$G$92,"Aset Henti Guna",'Daftar Koreksi'!$I$5:$I$92,"&lt;0")</f>
        <v>0</v>
      </c>
      <c r="G241" s="17">
        <f t="shared" si="10"/>
        <v>-91379488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-1518165735</v>
      </c>
      <c r="E242" s="19">
        <f>SUM(E237:E241)</f>
        <v>0</v>
      </c>
      <c r="F242" s="19">
        <f>SUM(F237:F241)</f>
        <v>0</v>
      </c>
      <c r="G242" s="19">
        <f t="shared" si="10"/>
        <v>-1518165735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7987309139</v>
      </c>
      <c r="E243" s="19">
        <f>E242+E236</f>
        <v>0</v>
      </c>
      <c r="F243" s="19">
        <f>F242+F236</f>
        <v>0</v>
      </c>
      <c r="G243" s="19">
        <f t="shared" si="10"/>
        <v>7987309139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005012400307974000KD</v>
      </c>
      <c r="B246" s="11" t="str">
        <f>P12</f>
        <v>PA. Ende</v>
      </c>
      <c r="C246" s="12" t="str">
        <f>A246&amp;" "&amp;B246</f>
        <v>005012400307974000KD PA. Ende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2710000</v>
      </c>
      <c r="E249" s="25">
        <f>SUMIFS('Daftar Koreksi'!$H$5:$H$92,'Daftar Koreksi'!$D$5:$D$92,'2400'!A246,'Daftar Koreksi'!$G$5:$G$92,"Persediaan",'Daftar Koreksi'!$H$5:$H$92,"&gt;0")</f>
        <v>0</v>
      </c>
      <c r="F249" s="25">
        <f>SUMIFS('Daftar Koreksi'!$H$5:$H$92,'Daftar Koreksi'!$D$5:$D$92,'2400'!A246,'Daftar Koreksi'!$G$5:$G$92,"Persediaan",'Daftar Koreksi'!$H$5:$H$92,"&lt;0")-SUMIFS('Daftar Koreksi'!$H$5:$H$92,'Daftar Koreksi'!$D$5:$D$92,'2400'!A246,'Daftar Koreksi'!$G$5:$G$92,"Persediaan",'Daftar Koreksi'!$H$5:$H$92,"&lt;0")-SUMIFS('Daftar Koreksi'!$H$5:$H$92,'Daftar Koreksi'!$D$5:$D$92,'2400'!A246,'Daftar Koreksi'!$G$5:$G$92,"Persediaan",'Daftar Koreksi'!$H$5:$H$92,"&lt;0")</f>
        <v>0</v>
      </c>
      <c r="G249" s="17">
        <f>D249+E249-F249</f>
        <v>2710000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2080945000</v>
      </c>
      <c r="E250" s="25">
        <f>SUMIFS('Daftar Koreksi'!$H$5:$H$92,'Daftar Koreksi'!$D$5:$D$92,'2400'!A246,'Daftar Koreksi'!$G$5:$G$92,"Tanah",'Daftar Koreksi'!$H$5:$H$92,"&gt;0")</f>
        <v>0</v>
      </c>
      <c r="F250" s="25">
        <f>SUMIFS('Daftar Koreksi'!$H$5:$H$92,'Daftar Koreksi'!$D$5:$D$92,'2400'!A246,'Daftar Koreksi'!$G$5:$G$92,"Tanah",'Daftar Koreksi'!$H$5:$H$92,"&lt;0")-SUMIFS('Daftar Koreksi'!$H$5:$H$92,'Daftar Koreksi'!$D$5:$D$92,'2400'!A246,'Daftar Koreksi'!$G$5:$G$92,"Tanah",'Daftar Koreksi'!$H$5:$H$92,"&lt;0")-SUMIFS('Daftar Koreksi'!$H$5:$H$92,'Daftar Koreksi'!$D$5:$D$92,'2400'!A246,'Daftar Koreksi'!$G$5:$G$92,"Tanah",'Daftar Koreksi'!$H$5:$H$92,"&lt;0")</f>
        <v>0</v>
      </c>
      <c r="G250" s="17">
        <f t="shared" ref="G250:G266" si="11">D250+E250-F250</f>
        <v>2080945000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1776232287</v>
      </c>
      <c r="E251" s="25">
        <f>SUMIFS('Daftar Koreksi'!$H$5:$H$92,'Daftar Koreksi'!$D$5:$D$92,'2400'!A246,'Daftar Koreksi'!$G$5:$G$92,"Peralatan dan mesin",'Daftar Koreksi'!$H$5:$H$92,"&gt;0")</f>
        <v>0</v>
      </c>
      <c r="F251" s="25">
        <f>SUMIFS('Daftar Koreksi'!$H$5:$H$92,'Daftar Koreksi'!$D$5:$D$92,'2400'!A246,'Daftar Koreksi'!$G$5:$G$92,"Peralatan dan mesin",'Daftar Koreksi'!$H$5:$H$92,"&lt;0")-SUMIFS('Daftar Koreksi'!$H$5:$H$92,'Daftar Koreksi'!$D$5:$D$92,'2400'!A246,'Daftar Koreksi'!$G$5:$G$92,"Peralatan dan mesin",'Daftar Koreksi'!$H$5:$H$92,"&lt;0")-SUMIFS('Daftar Koreksi'!$H$5:$H$92,'Daftar Koreksi'!$D$5:$D$92,'2400'!A246,'Daftar Koreksi'!$G$5:$G$92,"Peralatan dan mesin",'Daftar Koreksi'!$H$5:$H$92,"&lt;0")</f>
        <v>0</v>
      </c>
      <c r="G251" s="17">
        <f t="shared" si="11"/>
        <v>1776232287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7374571700</v>
      </c>
      <c r="E252" s="25">
        <f>SUMIFS('Daftar Koreksi'!$H$5:$H$92,'Daftar Koreksi'!$D$5:$D$92,'2400'!A246,'Daftar Koreksi'!$G$5:$G$92,"Gedung dan Bangunan",'Daftar Koreksi'!$H$5:$H$92,"&gt;0")</f>
        <v>0</v>
      </c>
      <c r="F252" s="25">
        <f>SUMIFS('Daftar Koreksi'!$H$5:$H$92,'Daftar Koreksi'!$D$5:$D$92,'2400'!A246,'Daftar Koreksi'!$G$5:$G$92,"Gedung dan Bangunan",'Daftar Koreksi'!$H$5:$H$92,"&lt;0")-SUMIFS('Daftar Koreksi'!$H$5:$H$92,'Daftar Koreksi'!$D$5:$D$92,'2400'!A246,'Daftar Koreksi'!$G$5:$G$92,"Gedung dan Bangunan",'Daftar Koreksi'!$H$5:$H$92,"&lt;0")-SUMIFS('Daftar Koreksi'!$H$5:$H$92,'Daftar Koreksi'!$D$5:$D$92,'2400'!A246,'Daftar Koreksi'!$G$5:$G$92,"Gedung dan Bangunan",'Daftar Koreksi'!$H$5:$H$92,"&lt;0")</f>
        <v>0</v>
      </c>
      <c r="G252" s="17">
        <f t="shared" si="11"/>
        <v>7374571700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8940910</v>
      </c>
      <c r="E253" s="25">
        <f>SUMIFS('Daftar Koreksi'!$H$5:$H$92,'Daftar Koreksi'!$D$5:$D$92,'2400'!A246,'Daftar Koreksi'!$G$5:$G$92,"Jalan Irigasi Jaringan",'Daftar Koreksi'!$H$5:$H$92,"&gt;0")</f>
        <v>0</v>
      </c>
      <c r="F253" s="25">
        <f>SUMIFS('Daftar Koreksi'!$H$5:$H$92,'Daftar Koreksi'!$D$5:$D$92,'2400'!A246,'Daftar Koreksi'!$G$5:$G$92,"Jalan Irigasi Jaringan",'Daftar Koreksi'!$H$5:$H$92,"&lt;0")-SUMIFS('Daftar Koreksi'!$H$5:$H$92,'Daftar Koreksi'!$D$5:$D$92,'2400'!A246,'Daftar Koreksi'!$G$5:$G$92,"Jalan Irigasi Jaringan",'Daftar Koreksi'!$H$5:$H$92,"&lt;0")-SUMIFS('Daftar Koreksi'!$H$5:$H$92,'Daftar Koreksi'!$D$5:$D$92,'2400'!A246,'Daftar Koreksi'!$G$5:$G$92,"Jalan Irigasi Jaringan",'Daftar Koreksi'!$H$5:$H$92,"&lt;0")</f>
        <v>0</v>
      </c>
      <c r="G253" s="17">
        <f t="shared" si="11"/>
        <v>8940910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34664870</v>
      </c>
      <c r="E254" s="25">
        <f>SUMIFS('Daftar Koreksi'!$H$5:$H$92,'Daftar Koreksi'!$D$5:$D$92,'2400'!A246,'Daftar Koreksi'!$G$5:$G$92,"Aset Tetap Lainnya",'Daftar Koreksi'!$H$5:$H$92,"&gt;0")</f>
        <v>0</v>
      </c>
      <c r="F254" s="25">
        <f>SUMIFS('Daftar Koreksi'!$H$5:$H$92,'Daftar Koreksi'!$D$5:$D$92,'2400'!A246,'Daftar Koreksi'!$G$5:$G$92,"Aset Tetap Lainnya",'Daftar Koreksi'!$H$5:$H$92,"&lt;0")-SUMIFS('Daftar Koreksi'!$H$5:$H$92,'Daftar Koreksi'!$D$5:$D$92,'2400'!A246,'Daftar Koreksi'!$G$5:$G$92,"Aset Tetap Lainnya",'Daftar Koreksi'!$H$5:$H$92,"&lt;0")-SUMIFS('Daftar Koreksi'!$H$5:$H$92,'Daftar Koreksi'!$D$5:$D$92,'2400'!A246,'Daftar Koreksi'!$G$5:$G$92,"Aset Tetap Lainnya",'Daftar Koreksi'!$H$5:$H$92,"&lt;0")</f>
        <v>0</v>
      </c>
      <c r="G254" s="17">
        <f t="shared" si="11"/>
        <v>34664870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Koreksi'!$D$5:$D$92,'2400'!A246,'Daftar Koreksi'!$G$5:$G$92,"Kontruksi Dalam Pengerjaan",'Daftar Koreksi'!$H$5:$H$92,"&gt;0")</f>
        <v>0</v>
      </c>
      <c r="F255" s="25">
        <f>SUMIFS('Daftar Koreksi'!$H$5:$H$92,'Daftar Koreksi'!$D$5:$D$92,'2400'!A246,'Daftar Koreksi'!$G$5:$G$92,"Kontruksi Dalam Pengerjaan",'Daftar Koreksi'!$H$5:$H$92,"&lt;0")-SUMIFS('Daftar Koreksi'!$H$5:$H$92,'Daftar Koreksi'!$D$5:$D$92,'2400'!A246,'Daftar Koreksi'!$G$5:$G$92,"Kontruksi Dalam Pengerjaan",'Daftar Koreksi'!$H$5:$H$92,"&lt;0")-SUMIFS('Daftar Koreksi'!$H$5:$H$92,'Daftar Koreksi'!$D$5:$D$92,'2400'!A246,'Daftar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Koreksi'!$D$5:$D$92,'2400'!A246,'Daftar Koreksi'!$G$5:$G$92,"Aset Tak Berwujud",'Daftar Koreksi'!$H$5:$H$92,"&gt;0")</f>
        <v>0</v>
      </c>
      <c r="F256" s="25">
        <f>SUMIFS('Daftar Koreksi'!$H$5:$H$92,'Daftar Koreksi'!$D$5:$D$92,'2400'!A246,'Daftar Koreksi'!$G$5:$G$92,"Aset Tak Berwujud",'Daftar Koreksi'!$H$5:$H$92,"&lt;0")-SUMIFS('Daftar Koreksi'!$H$5:$H$92,'Daftar Koreksi'!$D$5:$D$92,'2400'!A246,'Daftar Koreksi'!$G$5:$G$92,"Aset Tak Berwujud",'Daftar Koreksi'!$H$5:$H$92,"&lt;0")-SUMIFS('Daftar Koreksi'!$H$5:$H$92,'Daftar Koreksi'!$D$5:$D$92,'2400'!A246,'Daftar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10854000</v>
      </c>
      <c r="E257" s="25">
        <f>SUMIFS('Daftar Koreksi'!$H$5:$H$92,'Daftar Koreksi'!$D$5:$D$92,'2400'!A246,'Daftar Koreksi'!$G$5:$G$92,"Aset Henti Guna",'Daftar Koreksi'!$H$5:$H$92,"&gt;0")</f>
        <v>0</v>
      </c>
      <c r="F257" s="25">
        <f>SUMIFS('Daftar Koreksi'!$H$5:$H$92,'Daftar Koreksi'!$D$5:$D$92,'2400'!A246,'Daftar Koreksi'!$G$5:$G$92,"Aset Henti Guna",'Daftar Koreksi'!$H$5:$H$92,"&lt;0")-SUMIFS('Daftar Koreksi'!$H$5:$H$92,'Daftar Koreksi'!$D$5:$D$92,'2400'!A246,'Daftar Koreksi'!$G$5:$G$92,"Aset Henti Guna",'Daftar Koreksi'!$H$5:$H$92,"&lt;0")-SUMIFS('Daftar Koreksi'!$H$5:$H$92,'Daftar Koreksi'!$D$5:$D$92,'2400'!A246,'Daftar Koreksi'!$G$5:$G$92,"Aset Henti Guna",'Daftar Koreksi'!$H$5:$H$92,"&lt;0")</f>
        <v>0</v>
      </c>
      <c r="G257" s="17">
        <f t="shared" si="11"/>
        <v>10854000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11288918767</v>
      </c>
      <c r="E258" s="19">
        <f>SUM(E249:E257)</f>
        <v>0</v>
      </c>
      <c r="F258" s="19">
        <f>SUM(F249:F257)</f>
        <v>0</v>
      </c>
      <c r="G258" s="19">
        <f t="shared" si="11"/>
        <v>11288918767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-1257289950</v>
      </c>
      <c r="E259" s="25">
        <f>SUMIFS('Daftar Koreksi'!$I$5:$I$92,'Daftar Koreksi'!$D$5:$D$92,'2400'!A246,'Daftar Koreksi'!$G$5:$G$92,"Peralatan dan mesin",'Daftar Koreksi'!$I$5:$I$92,"&gt;0")</f>
        <v>0</v>
      </c>
      <c r="F259" s="25">
        <f>SUMIFS('Daftar Koreksi'!$I$5:$I$92,'Daftar Koreksi'!$D$5:$D$92,'2400'!A246,'Daftar Koreksi'!$G$5:$G$92,"Peralatan dan mesin",'Daftar Koreksi'!$I$5:$I$92,"&lt;0")-SUMIFS('Daftar Koreksi'!$I$5:$I$92,'Daftar Koreksi'!$D$5:$D$92,'2400'!A246,'Daftar Koreksi'!$G$5:$G$92,"Peralatan dan mesin",'Daftar Koreksi'!$I$5:$I$92,"&lt;0")-SUMIFS('Daftar Koreksi'!$I$5:$I$92,'Daftar Koreksi'!$D$5:$D$92,'2400'!A246,'Daftar Koreksi'!$G$5:$G$92,"Peralatan dan mesin",'Daftar Koreksi'!$I$5:$I$92,"&lt;0")</f>
        <v>0</v>
      </c>
      <c r="G259" s="17">
        <f t="shared" si="11"/>
        <v>-1257289950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-333899413</v>
      </c>
      <c r="E260" s="25">
        <f>SUMIFS('Daftar Koreksi'!$I$5:$I$92,'Daftar Koreksi'!$D$5:$D$92,'2400'!A246,'Daftar Koreksi'!$G$5:$G$92,"Gedung dan Bangunan",'Daftar Koreksi'!$I$5:$I$92,"&gt;0")</f>
        <v>0</v>
      </c>
      <c r="F260" s="25">
        <f>SUMIFS('Daftar Koreksi'!$I$5:$I$92,'Daftar Koreksi'!$D$5:$D$92,'2400'!A246,'Daftar Koreksi'!$G$5:$G$92,"Gedung dan Bangunan",'Daftar Koreksi'!$I$5:$I$92,"&lt;0")-SUMIFS('Daftar Koreksi'!$I$5:$I$92,'Daftar Koreksi'!$D$5:$D$92,'2400'!A246,'Daftar Koreksi'!$G$5:$G$92,"Gedung dan Bangunan",'Daftar Koreksi'!$I$5:$I$92,"&lt;0")-SUMIFS('Daftar Koreksi'!$I$5:$I$92,'Daftar Koreksi'!$D$5:$D$92,'2400'!A246,'Daftar Koreksi'!$G$5:$G$92,"Gedung dan Bangunan",'Daftar Koreksi'!$I$5:$I$92,"&lt;0")</f>
        <v>0</v>
      </c>
      <c r="G260" s="17">
        <f t="shared" si="11"/>
        <v>-333899413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-1937195</v>
      </c>
      <c r="E261" s="25">
        <f>SUMIFS('Daftar Koreksi'!$I$5:$I$92,'Daftar Koreksi'!$D$5:$D$92,'2400'!A246,'Daftar Koreksi'!$G$5:$G$92,"Jalan Irigasi Jaringan",'Daftar Koreksi'!$I$5:$I$92,"&gt;0")</f>
        <v>0</v>
      </c>
      <c r="F261" s="25">
        <f>SUMIFS('Daftar Koreksi'!$I$5:$I$92,'Daftar Koreksi'!$D$5:$D$92,'2400'!A246,'Daftar Koreksi'!$G$5:$G$92,"Jalan Irigasi Jaringan",'Daftar Koreksi'!$I$5:$I$92,"&lt;0")-SUMIFS('Daftar Koreksi'!$I$5:$I$92,'Daftar Koreksi'!$D$5:$D$92,'2400'!A246,'Daftar Koreksi'!$G$5:$G$92,"Jalan Irigasi Jaringan",'Daftar Koreksi'!$I$5:$I$92,"&lt;0")-SUMIFS('Daftar Koreksi'!$I$5:$I$92,'Daftar Koreksi'!$D$5:$D$92,'2400'!A246,'Daftar Koreksi'!$G$5:$G$92,"Jalan Irigasi Jaringan",'Daftar Koreksi'!$I$5:$I$92,"&lt;0")</f>
        <v>0</v>
      </c>
      <c r="G261" s="17">
        <f t="shared" si="11"/>
        <v>-1937195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Koreksi'!$D$5:$D$92,'2400'!A246,'Daftar Koreksi'!$G$5:$G$92,"Aset Tetap Lainnya",'Daftar Koreksi'!$I$5:$I$92,"&gt;0")</f>
        <v>0</v>
      </c>
      <c r="F262" s="25">
        <f>SUMIFS('Daftar Koreksi'!$I$5:$I$92,'Daftar Koreksi'!$D$5:$D$92,'2400'!A246,'Daftar Koreksi'!$G$5:$G$92,"Aset Tetap Lainnya",'Daftar Koreksi'!$I$5:$I$92,"&lt;0")-SUMIFS('Daftar Koreksi'!$I$5:$I$92,'Daftar Koreksi'!$D$5:$D$92,'2400'!A246,'Daftar Koreksi'!$G$5:$G$92,"Aset Tetap Lainnya",'Daftar Koreksi'!$I$5:$I$92,"&lt;0")-SUMIFS('Daftar Koreksi'!$I$5:$I$92,'Daftar Koreksi'!$D$5:$D$92,'2400'!A246,'Daftar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-10854000</v>
      </c>
      <c r="E263" s="25">
        <f>SUMIFS('Daftar Koreksi'!$I$5:$I$92,'Daftar Koreksi'!$D$5:$D$92,'2400'!A246,'Daftar Koreksi'!$G$5:$G$92,"Aset Henti Guna",'Daftar Koreksi'!$I$5:$I$92,"&gt;0")</f>
        <v>0</v>
      </c>
      <c r="F263" s="25">
        <f>SUMIFS('Daftar Koreksi'!$I$5:$I$92,'Daftar Koreksi'!$D$5:$D$92,'2400'!A246,'Daftar Koreksi'!$G$5:$G$92,"Aset Henti Guna",'Daftar Koreksi'!$I$5:$I$92,"&lt;0")-SUMIFS('Daftar Koreksi'!$I$5:$I$92,'Daftar Koreksi'!$D$5:$D$92,'2400'!A246,'Daftar Koreksi'!$G$5:$G$92,"Aset Henti Guna",'Daftar Koreksi'!$I$5:$I$92,"&lt;0")-SUMIFS('Daftar Koreksi'!$I$5:$I$92,'Daftar Koreksi'!$D$5:$D$92,'2400'!A246,'Daftar Koreksi'!$G$5:$G$92,"Aset Henti Guna",'Daftar Koreksi'!$I$5:$I$92,"&lt;0")</f>
        <v>0</v>
      </c>
      <c r="G263" s="17">
        <f t="shared" si="11"/>
        <v>-10854000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-1603980558</v>
      </c>
      <c r="E264" s="19">
        <f>SUM(E259:E263)</f>
        <v>0</v>
      </c>
      <c r="F264" s="19">
        <f>SUM(F259:F263)</f>
        <v>0</v>
      </c>
      <c r="G264" s="19">
        <f t="shared" si="11"/>
        <v>-1603980558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9684938209</v>
      </c>
      <c r="E265" s="19">
        <f>E264+E258</f>
        <v>0</v>
      </c>
      <c r="F265" s="19">
        <f>F264+F258</f>
        <v>0</v>
      </c>
      <c r="G265" s="19">
        <f t="shared" si="11"/>
        <v>9684938209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005012400307981000KD</v>
      </c>
      <c r="B268" s="11" t="str">
        <f>P13</f>
        <v>PA. Waingapu</v>
      </c>
      <c r="C268" s="12" t="str">
        <f>A268&amp;" "&amp;B268</f>
        <v>005012400307981000KD PA. Waingapu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0</v>
      </c>
      <c r="E271" s="25">
        <f>SUMIFS('Daftar Koreksi'!$H$5:$H$92,'Daftar Koreksi'!$D$5:$D$92,'2400'!A268,'Daftar Koreksi'!$G$5:$G$92,"Persediaan",'Daftar Koreksi'!$H$5:$H$92,"&gt;0")</f>
        <v>0</v>
      </c>
      <c r="F271" s="25">
        <f>SUMIFS('Daftar Koreksi'!$H$5:$H$92,'Daftar Koreksi'!$D$5:$D$92,'2400'!A268,'Daftar Koreksi'!$G$5:$G$92,"Persediaan",'Daftar Koreksi'!$H$5:$H$92,"&lt;0")-SUMIFS('Daftar Koreksi'!$H$5:$H$92,'Daftar Koreksi'!$D$5:$D$92,'2400'!A268,'Daftar Koreksi'!$G$5:$G$92,"Persediaan",'Daftar Koreksi'!$H$5:$H$92,"&lt;0")-SUMIFS('Daftar Koreksi'!$H$5:$H$92,'Daftar Koreksi'!$D$5:$D$92,'2400'!A268,'Daftar Koreksi'!$G$5:$G$92,"Persediaan",'Daftar Koreksi'!$H$5:$H$92,"&lt;0")</f>
        <v>0</v>
      </c>
      <c r="G271" s="17">
        <f>D271+E271-F271</f>
        <v>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1170232000</v>
      </c>
      <c r="E272" s="25">
        <f>SUMIFS('Daftar Koreksi'!$H$5:$H$92,'Daftar Koreksi'!$D$5:$D$92,'2400'!A268,'Daftar Koreksi'!$G$5:$G$92,"Tanah",'Daftar Koreksi'!$H$5:$H$92,"&gt;0")</f>
        <v>0</v>
      </c>
      <c r="F272" s="25">
        <f>SUMIFS('Daftar Koreksi'!$H$5:$H$92,'Daftar Koreksi'!$D$5:$D$92,'2400'!A268,'Daftar Koreksi'!$G$5:$G$92,"Tanah",'Daftar Koreksi'!$H$5:$H$92,"&lt;0")-SUMIFS('Daftar Koreksi'!$H$5:$H$92,'Daftar Koreksi'!$D$5:$D$92,'2400'!A268,'Daftar Koreksi'!$G$5:$G$92,"Tanah",'Daftar Koreksi'!$H$5:$H$92,"&lt;0")-SUMIFS('Daftar Koreksi'!$H$5:$H$92,'Daftar Koreksi'!$D$5:$D$92,'2400'!A268,'Daftar Koreksi'!$G$5:$G$92,"Tanah",'Daftar Koreksi'!$H$5:$H$92,"&lt;0")</f>
        <v>0</v>
      </c>
      <c r="G272" s="17">
        <f t="shared" ref="G272:G288" si="12">D272+E272-F272</f>
        <v>1170232000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1357832241</v>
      </c>
      <c r="E273" s="25">
        <f>SUMIFS('Daftar Koreksi'!$H$5:$H$92,'Daftar Koreksi'!$D$5:$D$92,'2400'!A268,'Daftar Koreksi'!$G$5:$G$92,"Peralatan dan mesin",'Daftar Koreksi'!$H$5:$H$92,"&gt;0")</f>
        <v>0</v>
      </c>
      <c r="F273" s="25">
        <f>SUMIFS('Daftar Koreksi'!$H$5:$H$92,'Daftar Koreksi'!$D$5:$D$92,'2400'!A268,'Daftar Koreksi'!$G$5:$G$92,"Peralatan dan mesin",'Daftar Koreksi'!$H$5:$H$92,"&lt;0")-SUMIFS('Daftar Koreksi'!$H$5:$H$92,'Daftar Koreksi'!$D$5:$D$92,'2400'!A268,'Daftar Koreksi'!$G$5:$G$92,"Peralatan dan mesin",'Daftar Koreksi'!$H$5:$H$92,"&lt;0")-SUMIFS('Daftar Koreksi'!$H$5:$H$92,'Daftar Koreksi'!$D$5:$D$92,'2400'!A268,'Daftar Koreksi'!$G$5:$G$92,"Peralatan dan mesin",'Daftar Koreksi'!$H$5:$H$92,"&lt;0")</f>
        <v>0</v>
      </c>
      <c r="G273" s="17">
        <f t="shared" si="12"/>
        <v>1357832241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5724742312</v>
      </c>
      <c r="E274" s="25">
        <f>SUMIFS('Daftar Koreksi'!$H$5:$H$92,'Daftar Koreksi'!$D$5:$D$92,'2400'!A268,'Daftar Koreksi'!$G$5:$G$92,"Gedung dan Bangunan",'Daftar Koreksi'!$H$5:$H$92,"&gt;0")</f>
        <v>0</v>
      </c>
      <c r="F274" s="25">
        <f>SUMIFS('Daftar Koreksi'!$H$5:$H$92,'Daftar Koreksi'!$D$5:$D$92,'2400'!A268,'Daftar Koreksi'!$G$5:$G$92,"Gedung dan Bangunan",'Daftar Koreksi'!$H$5:$H$92,"&lt;0")-SUMIFS('Daftar Koreksi'!$H$5:$H$92,'Daftar Koreksi'!$D$5:$D$92,'2400'!A268,'Daftar Koreksi'!$G$5:$G$92,"Gedung dan Bangunan",'Daftar Koreksi'!$H$5:$H$92,"&lt;0")-SUMIFS('Daftar Koreksi'!$H$5:$H$92,'Daftar Koreksi'!$D$5:$D$92,'2400'!A268,'Daftar Koreksi'!$G$5:$G$92,"Gedung dan Bangunan",'Daftar Koreksi'!$H$5:$H$92,"&lt;0")</f>
        <v>0</v>
      </c>
      <c r="G274" s="17">
        <f t="shared" si="12"/>
        <v>5724742312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41497500</v>
      </c>
      <c r="E275" s="25">
        <f>SUMIFS('Daftar Koreksi'!$H$5:$H$92,'Daftar Koreksi'!$D$5:$D$92,'2400'!A268,'Daftar Koreksi'!$G$5:$G$92,"Jalan Irigasi Jaringan",'Daftar Koreksi'!$H$5:$H$92,"&gt;0")</f>
        <v>0</v>
      </c>
      <c r="F275" s="25">
        <f>SUMIFS('Daftar Koreksi'!$H$5:$H$92,'Daftar Koreksi'!$D$5:$D$92,'2400'!A268,'Daftar Koreksi'!$G$5:$G$92,"Jalan Irigasi Jaringan",'Daftar Koreksi'!$H$5:$H$92,"&lt;0")-SUMIFS('Daftar Koreksi'!$H$5:$H$92,'Daftar Koreksi'!$D$5:$D$92,'2400'!A268,'Daftar Koreksi'!$G$5:$G$92,"Jalan Irigasi Jaringan",'Daftar Koreksi'!$H$5:$H$92,"&lt;0")-SUMIFS('Daftar Koreksi'!$H$5:$H$92,'Daftar Koreksi'!$D$5:$D$92,'2400'!A268,'Daftar Koreksi'!$G$5:$G$92,"Jalan Irigasi Jaringan",'Daftar Koreksi'!$H$5:$H$92,"&lt;0")</f>
        <v>0</v>
      </c>
      <c r="G275" s="17">
        <f t="shared" si="12"/>
        <v>41497500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18646320</v>
      </c>
      <c r="E276" s="25">
        <f>SUMIFS('Daftar Koreksi'!$H$5:$H$92,'Daftar Koreksi'!$D$5:$D$92,'2400'!A268,'Daftar Koreksi'!$G$5:$G$92,"Aset Tetap Lainnya",'Daftar Koreksi'!$H$5:$H$92,"&gt;0")</f>
        <v>0</v>
      </c>
      <c r="F276" s="25">
        <f>SUMIFS('Daftar Koreksi'!$H$5:$H$92,'Daftar Koreksi'!$D$5:$D$92,'2400'!A268,'Daftar Koreksi'!$G$5:$G$92,"Aset Tetap Lainnya",'Daftar Koreksi'!$H$5:$H$92,"&lt;0")-SUMIFS('Daftar Koreksi'!$H$5:$H$92,'Daftar Koreksi'!$D$5:$D$92,'2400'!A268,'Daftar Koreksi'!$G$5:$G$92,"Aset Tetap Lainnya",'Daftar Koreksi'!$H$5:$H$92,"&lt;0")-SUMIFS('Daftar Koreksi'!$H$5:$H$92,'Daftar Koreksi'!$D$5:$D$92,'2400'!A268,'Daftar Koreksi'!$G$5:$G$92,"Aset Tetap Lainnya",'Daftar Koreksi'!$H$5:$H$92,"&lt;0")</f>
        <v>0</v>
      </c>
      <c r="G276" s="17">
        <f t="shared" si="12"/>
        <v>18646320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Koreksi'!$D$5:$D$92,'2400'!A268,'Daftar Koreksi'!$G$5:$G$92,"Kontruksi Dalam Pengerjaan",'Daftar Koreksi'!$H$5:$H$92,"&gt;0")</f>
        <v>0</v>
      </c>
      <c r="F277" s="25">
        <f>SUMIFS('Daftar Koreksi'!$H$5:$H$92,'Daftar Koreksi'!$D$5:$D$92,'2400'!A268,'Daftar Koreksi'!$G$5:$G$92,"Kontruksi Dalam Pengerjaan",'Daftar Koreksi'!$H$5:$H$92,"&lt;0")-SUMIFS('Daftar Koreksi'!$H$5:$H$92,'Daftar Koreksi'!$D$5:$D$92,'2400'!A268,'Daftar Koreksi'!$G$5:$G$92,"Kontruksi Dalam Pengerjaan",'Daftar Koreksi'!$H$5:$H$92,"&lt;0")-SUMIFS('Daftar Koreksi'!$H$5:$H$92,'Daftar Koreksi'!$D$5:$D$92,'2400'!A268,'Daftar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Koreksi'!$D$5:$D$92,'2400'!A268,'Daftar Koreksi'!$G$5:$G$92,"Aset Tak Berwujud",'Daftar Koreksi'!$H$5:$H$92,"&gt;0")</f>
        <v>0</v>
      </c>
      <c r="F278" s="25">
        <f>SUMIFS('Daftar Koreksi'!$H$5:$H$92,'Daftar Koreksi'!$D$5:$D$92,'2400'!A268,'Daftar Koreksi'!$G$5:$G$92,"Aset Tak Berwujud",'Daftar Koreksi'!$H$5:$H$92,"&lt;0")-SUMIFS('Daftar Koreksi'!$H$5:$H$92,'Daftar Koreksi'!$D$5:$D$92,'2400'!A268,'Daftar Koreksi'!$G$5:$G$92,"Aset Tak Berwujud",'Daftar Koreksi'!$H$5:$H$92,"&lt;0")-SUMIFS('Daftar Koreksi'!$H$5:$H$92,'Daftar Koreksi'!$D$5:$D$92,'2400'!A268,'Daftar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1225000</v>
      </c>
      <c r="E279" s="25">
        <f>SUMIFS('Daftar Koreksi'!$H$5:$H$92,'Daftar Koreksi'!$D$5:$D$92,'2400'!A268,'Daftar Koreksi'!$G$5:$G$92,"Aset Henti Guna",'Daftar Koreksi'!$H$5:$H$92,"&gt;0")</f>
        <v>0</v>
      </c>
      <c r="F279" s="25">
        <f>SUMIFS('Daftar Koreksi'!$H$5:$H$92,'Daftar Koreksi'!$D$5:$D$92,'2400'!A268,'Daftar Koreksi'!$G$5:$G$92,"Aset Henti Guna",'Daftar Koreksi'!$H$5:$H$92,"&lt;0")-SUMIFS('Daftar Koreksi'!$H$5:$H$92,'Daftar Koreksi'!$D$5:$D$92,'2400'!A268,'Daftar Koreksi'!$G$5:$G$92,"Aset Henti Guna",'Daftar Koreksi'!$H$5:$H$92,"&lt;0")-SUMIFS('Daftar Koreksi'!$H$5:$H$92,'Daftar Koreksi'!$D$5:$D$92,'2400'!A268,'Daftar Koreksi'!$G$5:$G$92,"Aset Henti Guna",'Daftar Koreksi'!$H$5:$H$92,"&lt;0")</f>
        <v>0</v>
      </c>
      <c r="G279" s="17">
        <f t="shared" si="12"/>
        <v>1225000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8314175373</v>
      </c>
      <c r="E280" s="19">
        <f>SUM(E271:E279)</f>
        <v>0</v>
      </c>
      <c r="F280" s="19">
        <f>SUM(F271:F279)</f>
        <v>0</v>
      </c>
      <c r="G280" s="19">
        <f t="shared" si="12"/>
        <v>8314175373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-1019079013</v>
      </c>
      <c r="E281" s="25">
        <f>SUMIFS('Daftar Koreksi'!$I$5:$I$92,'Daftar Koreksi'!$D$5:$D$92,'2400'!A268,'Daftar Koreksi'!$G$5:$G$92,"Peralatan dan mesin",'Daftar Koreksi'!$I$5:$I$92,"&gt;0")</f>
        <v>0</v>
      </c>
      <c r="F281" s="25">
        <f>SUMIFS('Daftar Koreksi'!$I$5:$I$92,'Daftar Koreksi'!$D$5:$D$92,'2400'!A268,'Daftar Koreksi'!$G$5:$G$92,"Peralatan dan mesin",'Daftar Koreksi'!$I$5:$I$92,"&lt;0")-SUMIFS('Daftar Koreksi'!$I$5:$I$92,'Daftar Koreksi'!$D$5:$D$92,'2400'!A268,'Daftar Koreksi'!$G$5:$G$92,"Peralatan dan mesin",'Daftar Koreksi'!$I$5:$I$92,"&lt;0")-SUMIFS('Daftar Koreksi'!$I$5:$I$92,'Daftar Koreksi'!$D$5:$D$92,'2400'!A268,'Daftar Koreksi'!$G$5:$G$92,"Peralatan dan mesin",'Daftar Koreksi'!$I$5:$I$92,"&lt;0")</f>
        <v>0</v>
      </c>
      <c r="G281" s="17">
        <f t="shared" si="12"/>
        <v>-1019079013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-791518892</v>
      </c>
      <c r="E282" s="25">
        <f>SUMIFS('Daftar Koreksi'!$I$5:$I$92,'Daftar Koreksi'!$D$5:$D$92,'2400'!A268,'Daftar Koreksi'!$G$5:$G$92,"Gedung dan Bangunan",'Daftar Koreksi'!$I$5:$I$92,"&gt;0")</f>
        <v>0</v>
      </c>
      <c r="F282" s="25">
        <f>SUMIFS('Daftar Koreksi'!$I$5:$I$92,'Daftar Koreksi'!$D$5:$D$92,'2400'!A268,'Daftar Koreksi'!$G$5:$G$92,"Gedung dan Bangunan",'Daftar Koreksi'!$I$5:$I$92,"&lt;0")-SUMIFS('Daftar Koreksi'!$I$5:$I$92,'Daftar Koreksi'!$D$5:$D$92,'2400'!A268,'Daftar Koreksi'!$G$5:$G$92,"Gedung dan Bangunan",'Daftar Koreksi'!$I$5:$I$92,"&lt;0")-SUMIFS('Daftar Koreksi'!$I$5:$I$92,'Daftar Koreksi'!$D$5:$D$92,'2400'!A268,'Daftar Koreksi'!$G$5:$G$92,"Gedung dan Bangunan",'Daftar Koreksi'!$I$5:$I$92,"&lt;0")</f>
        <v>0</v>
      </c>
      <c r="G282" s="17">
        <f t="shared" si="12"/>
        <v>-791518892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-3631033</v>
      </c>
      <c r="E283" s="25">
        <f>SUMIFS('Daftar Koreksi'!$I$5:$I$92,'Daftar Koreksi'!$D$5:$D$92,'2400'!A268,'Daftar Koreksi'!$G$5:$G$92,"Jalan Irigasi Jaringan",'Daftar Koreksi'!$I$5:$I$92,"&gt;0")</f>
        <v>0</v>
      </c>
      <c r="F283" s="25">
        <f>SUMIFS('Daftar Koreksi'!$I$5:$I$92,'Daftar Koreksi'!$D$5:$D$92,'2400'!A268,'Daftar Koreksi'!$G$5:$G$92,"Jalan Irigasi Jaringan",'Daftar Koreksi'!$I$5:$I$92,"&lt;0")-SUMIFS('Daftar Koreksi'!$I$5:$I$92,'Daftar Koreksi'!$D$5:$D$92,'2400'!A268,'Daftar Koreksi'!$G$5:$G$92,"Jalan Irigasi Jaringan",'Daftar Koreksi'!$I$5:$I$92,"&lt;0")-SUMIFS('Daftar Koreksi'!$I$5:$I$92,'Daftar Koreksi'!$D$5:$D$92,'2400'!A268,'Daftar Koreksi'!$G$5:$G$92,"Jalan Irigasi Jaringan",'Daftar Koreksi'!$I$5:$I$92,"&lt;0")</f>
        <v>0</v>
      </c>
      <c r="G283" s="17">
        <f t="shared" si="12"/>
        <v>-3631033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Koreksi'!$D$5:$D$92,'2400'!A268,'Daftar Koreksi'!$G$5:$G$92,"Aset Tetap Lainnya",'Daftar Koreksi'!$I$5:$I$92,"&gt;0")</f>
        <v>0</v>
      </c>
      <c r="F284" s="25">
        <f>SUMIFS('Daftar Koreksi'!$I$5:$I$92,'Daftar Koreksi'!$D$5:$D$92,'2400'!A268,'Daftar Koreksi'!$G$5:$G$92,"Aset Tetap Lainnya",'Daftar Koreksi'!$I$5:$I$92,"&lt;0")-SUMIFS('Daftar Koreksi'!$I$5:$I$92,'Daftar Koreksi'!$D$5:$D$92,'2400'!A268,'Daftar Koreksi'!$G$5:$G$92,"Aset Tetap Lainnya",'Daftar Koreksi'!$I$5:$I$92,"&lt;0")-SUMIFS('Daftar Koreksi'!$I$5:$I$92,'Daftar Koreksi'!$D$5:$D$92,'2400'!A268,'Daftar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Koreksi'!$D$5:$D$92,'2400'!A268,'Daftar Koreksi'!$G$5:$G$92,"Aset Henti Guna",'Daftar Koreksi'!$I$5:$I$92,"&gt;0")</f>
        <v>0</v>
      </c>
      <c r="F285" s="25">
        <f>SUMIFS('Daftar Koreksi'!$I$5:$I$92,'Daftar Koreksi'!$D$5:$D$92,'2400'!A268,'Daftar Koreksi'!$G$5:$G$92,"Aset Henti Guna",'Daftar Koreksi'!$I$5:$I$92,"&lt;0")-SUMIFS('Daftar Koreksi'!$I$5:$I$92,'Daftar Koreksi'!$D$5:$D$92,'2400'!A268,'Daftar Koreksi'!$G$5:$G$92,"Aset Henti Guna",'Daftar Koreksi'!$I$5:$I$92,"&lt;0")-SUMIFS('Daftar Koreksi'!$I$5:$I$92,'Daftar Koreksi'!$D$5:$D$92,'2400'!A268,'Daftar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-1814228938</v>
      </c>
      <c r="E286" s="19">
        <f>SUM(E281:E285)</f>
        <v>0</v>
      </c>
      <c r="F286" s="19">
        <f>SUM(F281:F285)</f>
        <v>0</v>
      </c>
      <c r="G286" s="19">
        <f t="shared" si="12"/>
        <v>-1814228938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6499946435</v>
      </c>
      <c r="E287" s="19">
        <f>E286+E280</f>
        <v>0</v>
      </c>
      <c r="F287" s="19">
        <f>F286+F280</f>
        <v>0</v>
      </c>
      <c r="G287" s="19">
        <f t="shared" si="12"/>
        <v>6499946435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005012400400007000KD</v>
      </c>
      <c r="B290" s="11" t="str">
        <f>P14</f>
        <v>PN. Larantuka</v>
      </c>
      <c r="C290" s="12" t="str">
        <f>A290&amp;" "&amp;B290</f>
        <v>005012400400007000KD PN. Larantuka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316500</v>
      </c>
      <c r="E293" s="25">
        <f>SUMIFS('Daftar Koreksi'!$H$5:$H$92,'Daftar Koreksi'!$D$5:$D$92,'2400'!A290,'Daftar Koreksi'!$G$5:$G$92,"Persediaan",'Daftar Koreksi'!$H$5:$H$92,"&gt;0")</f>
        <v>0</v>
      </c>
      <c r="F293" s="25">
        <f>SUMIFS('Daftar Koreksi'!$H$5:$H$92,'Daftar Koreksi'!$D$5:$D$92,'2400'!A290,'Daftar Koreksi'!$G$5:$G$92,"Persediaan",'Daftar Koreksi'!$H$5:$H$92,"&lt;0")-SUMIFS('Daftar Koreksi'!$H$5:$H$92,'Daftar Koreksi'!$D$5:$D$92,'2400'!A290,'Daftar Koreksi'!$G$5:$G$92,"Persediaan",'Daftar Koreksi'!$H$5:$H$92,"&lt;0")-SUMIFS('Daftar Koreksi'!$H$5:$H$92,'Daftar Koreksi'!$D$5:$D$92,'2400'!A290,'Daftar Koreksi'!$G$5:$G$92,"Persediaan",'Daftar Koreksi'!$H$5:$H$92,"&lt;0")</f>
        <v>0</v>
      </c>
      <c r="G293" s="17">
        <f>D293+E293-F293</f>
        <v>316500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2323460386</v>
      </c>
      <c r="E294" s="25">
        <f>SUMIFS('Daftar Koreksi'!$H$5:$H$92,'Daftar Koreksi'!$D$5:$D$92,'2400'!A290,'Daftar Koreksi'!$G$5:$G$92,"Tanah",'Daftar Koreksi'!$H$5:$H$92,"&gt;0")</f>
        <v>0</v>
      </c>
      <c r="F294" s="25">
        <f>SUMIFS('Daftar Koreksi'!$H$5:$H$92,'Daftar Koreksi'!$D$5:$D$92,'2400'!A290,'Daftar Koreksi'!$G$5:$G$92,"Tanah",'Daftar Koreksi'!$H$5:$H$92,"&lt;0")-SUMIFS('Daftar Koreksi'!$H$5:$H$92,'Daftar Koreksi'!$D$5:$D$92,'2400'!A290,'Daftar Koreksi'!$G$5:$G$92,"Tanah",'Daftar Koreksi'!$H$5:$H$92,"&lt;0")-SUMIFS('Daftar Koreksi'!$H$5:$H$92,'Daftar Koreksi'!$D$5:$D$92,'2400'!A290,'Daftar Koreksi'!$G$5:$G$92,"Tanah",'Daftar Koreksi'!$H$5:$H$92,"&lt;0")</f>
        <v>0</v>
      </c>
      <c r="G294" s="17">
        <f t="shared" ref="G294:G310" si="13">D294+E294-F294</f>
        <v>2323460386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1469828993</v>
      </c>
      <c r="E295" s="25">
        <f>SUMIFS('Daftar Koreksi'!$H$5:$H$92,'Daftar Koreksi'!$D$5:$D$92,'2400'!A290,'Daftar Koreksi'!$G$5:$G$92,"Peralatan dan mesin",'Daftar Koreksi'!$H$5:$H$92,"&gt;0")</f>
        <v>0</v>
      </c>
      <c r="F295" s="25">
        <f>SUMIFS('Daftar Koreksi'!$H$5:$H$92,'Daftar Koreksi'!$D$5:$D$92,'2400'!A290,'Daftar Koreksi'!$G$5:$G$92,"Peralatan dan mesin",'Daftar Koreksi'!$H$5:$H$92,"&lt;0")-SUMIFS('Daftar Koreksi'!$H$5:$H$92,'Daftar Koreksi'!$D$5:$D$92,'2400'!A290,'Daftar Koreksi'!$G$5:$G$92,"Peralatan dan mesin",'Daftar Koreksi'!$H$5:$H$92,"&lt;0")-SUMIFS('Daftar Koreksi'!$H$5:$H$92,'Daftar Koreksi'!$D$5:$D$92,'2400'!A290,'Daftar Koreksi'!$G$5:$G$92,"Peralatan dan mesin",'Daftar Koreksi'!$H$5:$H$92,"&lt;0")</f>
        <v>0</v>
      </c>
      <c r="G295" s="17">
        <f t="shared" si="13"/>
        <v>1469828993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1999229380</v>
      </c>
      <c r="E296" s="25">
        <f>SUMIFS('Daftar Koreksi'!$H$5:$H$92,'Daftar Koreksi'!$D$5:$D$92,'2400'!A290,'Daftar Koreksi'!$G$5:$G$92,"Gedung dan Bangunan",'Daftar Koreksi'!$H$5:$H$92,"&gt;0")</f>
        <v>0</v>
      </c>
      <c r="F296" s="25">
        <f>SUMIFS('Daftar Koreksi'!$H$5:$H$92,'Daftar Koreksi'!$D$5:$D$92,'2400'!A290,'Daftar Koreksi'!$G$5:$G$92,"Gedung dan Bangunan",'Daftar Koreksi'!$H$5:$H$92,"&lt;0")-SUMIFS('Daftar Koreksi'!$H$5:$H$92,'Daftar Koreksi'!$D$5:$D$92,'2400'!A290,'Daftar Koreksi'!$G$5:$G$92,"Gedung dan Bangunan",'Daftar Koreksi'!$H$5:$H$92,"&lt;0")-SUMIFS('Daftar Koreksi'!$H$5:$H$92,'Daftar Koreksi'!$D$5:$D$92,'2400'!A290,'Daftar Koreksi'!$G$5:$G$92,"Gedung dan Bangunan",'Daftar Koreksi'!$H$5:$H$92,"&lt;0")</f>
        <v>0</v>
      </c>
      <c r="G296" s="17">
        <f t="shared" si="13"/>
        <v>1999229380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Koreksi'!$D$5:$D$92,'2400'!A290,'Daftar Koreksi'!$G$5:$G$92,"Jalan Irigasi Jaringan",'Daftar Koreksi'!$H$5:$H$92,"&gt;0")</f>
        <v>0</v>
      </c>
      <c r="F297" s="25">
        <f>SUMIFS('Daftar Koreksi'!$H$5:$H$92,'Daftar Koreksi'!$D$5:$D$92,'2400'!A290,'Daftar Koreksi'!$G$5:$G$92,"Jalan Irigasi Jaringan",'Daftar Koreksi'!$H$5:$H$92,"&lt;0")-SUMIFS('Daftar Koreksi'!$H$5:$H$92,'Daftar Koreksi'!$D$5:$D$92,'2400'!A290,'Daftar Koreksi'!$G$5:$G$92,"Jalan Irigasi Jaringan",'Daftar Koreksi'!$H$5:$H$92,"&lt;0")-SUMIFS('Daftar Koreksi'!$H$5:$H$92,'Daftar Koreksi'!$D$5:$D$92,'2400'!A290,'Daftar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320529818</v>
      </c>
      <c r="E298" s="25">
        <f>SUMIFS('Daftar Koreksi'!$H$5:$H$92,'Daftar Koreksi'!$D$5:$D$92,'2400'!A290,'Daftar Koreksi'!$G$5:$G$92,"Aset Tetap Lainnya",'Daftar Koreksi'!$H$5:$H$92,"&gt;0")</f>
        <v>0</v>
      </c>
      <c r="F298" s="25">
        <f>SUMIFS('Daftar Koreksi'!$H$5:$H$92,'Daftar Koreksi'!$D$5:$D$92,'2400'!A290,'Daftar Koreksi'!$G$5:$G$92,"Aset Tetap Lainnya",'Daftar Koreksi'!$H$5:$H$92,"&lt;0")-SUMIFS('Daftar Koreksi'!$H$5:$H$92,'Daftar Koreksi'!$D$5:$D$92,'2400'!A290,'Daftar Koreksi'!$G$5:$G$92,"Aset Tetap Lainnya",'Daftar Koreksi'!$H$5:$H$92,"&lt;0")-SUMIFS('Daftar Koreksi'!$H$5:$H$92,'Daftar Koreksi'!$D$5:$D$92,'2400'!A290,'Daftar Koreksi'!$G$5:$G$92,"Aset Tetap Lainnya",'Daftar Koreksi'!$H$5:$H$92,"&lt;0")</f>
        <v>0</v>
      </c>
      <c r="G298" s="17">
        <f t="shared" si="13"/>
        <v>320529818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Koreksi'!$D$5:$D$92,'2400'!A290,'Daftar Koreksi'!$G$5:$G$92,"Kontruksi Dalam Pengerjaan",'Daftar Koreksi'!$H$5:$H$92,"&gt;0")</f>
        <v>0</v>
      </c>
      <c r="F299" s="25">
        <f>SUMIFS('Daftar Koreksi'!$H$5:$H$92,'Daftar Koreksi'!$D$5:$D$92,'2400'!A290,'Daftar Koreksi'!$G$5:$G$92,"Kontruksi Dalam Pengerjaan",'Daftar Koreksi'!$H$5:$H$92,"&lt;0")-SUMIFS('Daftar Koreksi'!$H$5:$H$92,'Daftar Koreksi'!$D$5:$D$92,'2400'!A290,'Daftar Koreksi'!$G$5:$G$92,"Kontruksi Dalam Pengerjaan",'Daftar Koreksi'!$H$5:$H$92,"&lt;0")-SUMIFS('Daftar Koreksi'!$H$5:$H$92,'Daftar Koreksi'!$D$5:$D$92,'2400'!A290,'Daftar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Koreksi'!$D$5:$D$92,'2400'!A290,'Daftar Koreksi'!$G$5:$G$92,"Aset Tak Berwujud",'Daftar Koreksi'!$H$5:$H$92,"&gt;0")</f>
        <v>0</v>
      </c>
      <c r="F300" s="25">
        <f>SUMIFS('Daftar Koreksi'!$H$5:$H$92,'Daftar Koreksi'!$D$5:$D$92,'2400'!A290,'Daftar Koreksi'!$G$5:$G$92,"Aset Tak Berwujud",'Daftar Koreksi'!$H$5:$H$92,"&lt;0")-SUMIFS('Daftar Koreksi'!$H$5:$H$92,'Daftar Koreksi'!$D$5:$D$92,'2400'!A290,'Daftar Koreksi'!$G$5:$G$92,"Aset Tak Berwujud",'Daftar Koreksi'!$H$5:$H$92,"&lt;0")-SUMIFS('Daftar Koreksi'!$H$5:$H$92,'Daftar Koreksi'!$D$5:$D$92,'2400'!A290,'Daftar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5597000</v>
      </c>
      <c r="E301" s="25">
        <f>SUMIFS('Daftar Koreksi'!$H$5:$H$92,'Daftar Koreksi'!$D$5:$D$92,'2400'!A290,'Daftar Koreksi'!$G$5:$G$92,"Aset Henti Guna",'Daftar Koreksi'!$H$5:$H$92,"&gt;0")</f>
        <v>0</v>
      </c>
      <c r="F301" s="25">
        <f>SUMIFS('Daftar Koreksi'!$H$5:$H$92,'Daftar Koreksi'!$D$5:$D$92,'2400'!A290,'Daftar Koreksi'!$G$5:$G$92,"Aset Henti Guna",'Daftar Koreksi'!$H$5:$H$92,"&lt;0")-SUMIFS('Daftar Koreksi'!$H$5:$H$92,'Daftar Koreksi'!$D$5:$D$92,'2400'!A290,'Daftar Koreksi'!$G$5:$G$92,"Aset Henti Guna",'Daftar Koreksi'!$H$5:$H$92,"&lt;0")-SUMIFS('Daftar Koreksi'!$H$5:$H$92,'Daftar Koreksi'!$D$5:$D$92,'2400'!A290,'Daftar Koreksi'!$G$5:$G$92,"Aset Henti Guna",'Daftar Koreksi'!$H$5:$H$92,"&lt;0")</f>
        <v>0</v>
      </c>
      <c r="G301" s="17">
        <f t="shared" si="13"/>
        <v>5597000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6118962077</v>
      </c>
      <c r="E302" s="19">
        <f>SUM(E293:E301)</f>
        <v>0</v>
      </c>
      <c r="F302" s="19">
        <f>SUM(F293:F301)</f>
        <v>0</v>
      </c>
      <c r="G302" s="19">
        <f t="shared" si="13"/>
        <v>6118962077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-1406434183</v>
      </c>
      <c r="E303" s="25">
        <f>SUMIFS('Daftar Koreksi'!$I$5:$I$92,'Daftar Koreksi'!$D$5:$D$92,'2400'!A290,'Daftar Koreksi'!$G$5:$G$92,"Peralatan dan mesin",'Daftar Koreksi'!$I$5:$I$92,"&gt;0")</f>
        <v>0</v>
      </c>
      <c r="F303" s="25">
        <f>SUMIFS('Daftar Koreksi'!$I$5:$I$92,'Daftar Koreksi'!$D$5:$D$92,'2400'!A290,'Daftar Koreksi'!$G$5:$G$92,"Peralatan dan mesin",'Daftar Koreksi'!$I$5:$I$92,"&lt;0")-SUMIFS('Daftar Koreksi'!$I$5:$I$92,'Daftar Koreksi'!$D$5:$D$92,'2400'!A290,'Daftar Koreksi'!$G$5:$G$92,"Peralatan dan mesin",'Daftar Koreksi'!$I$5:$I$92,"&lt;0")-SUMIFS('Daftar Koreksi'!$I$5:$I$92,'Daftar Koreksi'!$D$5:$D$92,'2400'!A290,'Daftar Koreksi'!$G$5:$G$92,"Peralatan dan mesin",'Daftar Koreksi'!$I$5:$I$92,"&lt;0")</f>
        <v>0</v>
      </c>
      <c r="G303" s="17">
        <f t="shared" si="13"/>
        <v>-1406434183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-415093955</v>
      </c>
      <c r="E304" s="25">
        <f>SUMIFS('Daftar Koreksi'!$I$5:$I$92,'Daftar Koreksi'!$D$5:$D$92,'2400'!A290,'Daftar Koreksi'!$G$5:$G$92,"Gedung dan Bangunan",'Daftar Koreksi'!$I$5:$I$92,"&gt;0")</f>
        <v>0</v>
      </c>
      <c r="F304" s="25">
        <f>SUMIFS('Daftar Koreksi'!$I$5:$I$92,'Daftar Koreksi'!$D$5:$D$92,'2400'!A290,'Daftar Koreksi'!$G$5:$G$92,"Gedung dan Bangunan",'Daftar Koreksi'!$I$5:$I$92,"&lt;0")-SUMIFS('Daftar Koreksi'!$I$5:$I$92,'Daftar Koreksi'!$D$5:$D$92,'2400'!A290,'Daftar Koreksi'!$G$5:$G$92,"Gedung dan Bangunan",'Daftar Koreksi'!$I$5:$I$92,"&lt;0")-SUMIFS('Daftar Koreksi'!$I$5:$I$92,'Daftar Koreksi'!$D$5:$D$92,'2400'!A290,'Daftar Koreksi'!$G$5:$G$92,"Gedung dan Bangunan",'Daftar Koreksi'!$I$5:$I$92,"&lt;0")</f>
        <v>0</v>
      </c>
      <c r="G304" s="17">
        <f t="shared" si="13"/>
        <v>-415093955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Koreksi'!$D$5:$D$92,'2400'!A290,'Daftar Koreksi'!$G$5:$G$92,"Jalan Irigasi Jaringan",'Daftar Koreksi'!$I$5:$I$92,"&gt;0")</f>
        <v>0</v>
      </c>
      <c r="F305" s="25">
        <f>SUMIFS('Daftar Koreksi'!$I$5:$I$92,'Daftar Koreksi'!$D$5:$D$92,'2400'!A290,'Daftar Koreksi'!$G$5:$G$92,"Jalan Irigasi Jaringan",'Daftar Koreksi'!$I$5:$I$92,"&lt;0")-SUMIFS('Daftar Koreksi'!$I$5:$I$92,'Daftar Koreksi'!$D$5:$D$92,'2400'!A290,'Daftar Koreksi'!$G$5:$G$92,"Jalan Irigasi Jaringan",'Daftar Koreksi'!$I$5:$I$92,"&lt;0")-SUMIFS('Daftar Koreksi'!$I$5:$I$92,'Daftar Koreksi'!$D$5:$D$92,'2400'!A290,'Daftar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Koreksi'!$D$5:$D$92,'2400'!A290,'Daftar Koreksi'!$G$5:$G$92,"Aset Tetap Lainnya",'Daftar Koreksi'!$I$5:$I$92,"&gt;0")</f>
        <v>0</v>
      </c>
      <c r="F306" s="25">
        <f>SUMIFS('Daftar Koreksi'!$I$5:$I$92,'Daftar Koreksi'!$D$5:$D$92,'2400'!A290,'Daftar Koreksi'!$G$5:$G$92,"Aset Tetap Lainnya",'Daftar Koreksi'!$I$5:$I$92,"&lt;0")-SUMIFS('Daftar Koreksi'!$I$5:$I$92,'Daftar Koreksi'!$D$5:$D$92,'2400'!A290,'Daftar Koreksi'!$G$5:$G$92,"Aset Tetap Lainnya",'Daftar Koreksi'!$I$5:$I$92,"&lt;0")-SUMIFS('Daftar Koreksi'!$I$5:$I$92,'Daftar Koreksi'!$D$5:$D$92,'2400'!A290,'Daftar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-5597000</v>
      </c>
      <c r="E307" s="25">
        <f>SUMIFS('Daftar Koreksi'!$I$5:$I$92,'Daftar Koreksi'!$D$5:$D$92,'2400'!A290,'Daftar Koreksi'!$G$5:$G$92,"Aset Henti Guna",'Daftar Koreksi'!$I$5:$I$92,"&gt;0")</f>
        <v>0</v>
      </c>
      <c r="F307" s="25">
        <f>SUMIFS('Daftar Koreksi'!$I$5:$I$92,'Daftar Koreksi'!$D$5:$D$92,'2400'!A290,'Daftar Koreksi'!$G$5:$G$92,"Aset Henti Guna",'Daftar Koreksi'!$I$5:$I$92,"&lt;0")-SUMIFS('Daftar Koreksi'!$I$5:$I$92,'Daftar Koreksi'!$D$5:$D$92,'2400'!A290,'Daftar Koreksi'!$G$5:$G$92,"Aset Henti Guna",'Daftar Koreksi'!$I$5:$I$92,"&lt;0")-SUMIFS('Daftar Koreksi'!$I$5:$I$92,'Daftar Koreksi'!$D$5:$D$92,'2400'!A290,'Daftar Koreksi'!$G$5:$G$92,"Aset Henti Guna",'Daftar Koreksi'!$I$5:$I$92,"&lt;0")</f>
        <v>0</v>
      </c>
      <c r="G307" s="17">
        <f t="shared" si="13"/>
        <v>-5597000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-1827125138</v>
      </c>
      <c r="E308" s="19">
        <f>SUM(E303:E307)</f>
        <v>0</v>
      </c>
      <c r="F308" s="19">
        <f>SUM(F303:F307)</f>
        <v>0</v>
      </c>
      <c r="G308" s="19">
        <f t="shared" si="13"/>
        <v>-1827125138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4291836939</v>
      </c>
      <c r="E309" s="19">
        <f>E308+E302</f>
        <v>0</v>
      </c>
      <c r="F309" s="19">
        <f>F308+F302</f>
        <v>0</v>
      </c>
      <c r="G309" s="19">
        <f t="shared" si="13"/>
        <v>4291836939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005012400400013000KD</v>
      </c>
      <c r="B312" s="11" t="str">
        <f>P15</f>
        <v>PN. Ruteng</v>
      </c>
      <c r="C312" s="12" t="str">
        <f>A312&amp;" "&amp;B312</f>
        <v>005012400400013000KD PN. Ruteng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125000</v>
      </c>
      <c r="E315" s="25">
        <f>SUMIFS('Daftar Koreksi'!$H$5:$H$92,'Daftar Koreksi'!$D$5:$D$92,'2400'!A312,'Daftar Koreksi'!$G$5:$G$92,"Persediaan",'Daftar Koreksi'!$H$5:$H$92,"&gt;0")</f>
        <v>0</v>
      </c>
      <c r="F315" s="25">
        <f>SUMIFS('Daftar Koreksi'!$H$5:$H$92,'Daftar Koreksi'!$D$5:$D$92,'2400'!A312,'Daftar Koreksi'!$G$5:$G$92,"Persediaan",'Daftar Koreksi'!$H$5:$H$92,"&lt;0")-SUMIFS('Daftar Koreksi'!$H$5:$H$92,'Daftar Koreksi'!$D$5:$D$92,'2400'!A312,'Daftar Koreksi'!$G$5:$G$92,"Persediaan",'Daftar Koreksi'!$H$5:$H$92,"&lt;0")-SUMIFS('Daftar Koreksi'!$H$5:$H$92,'Daftar Koreksi'!$D$5:$D$92,'2400'!A312,'Daftar Koreksi'!$G$5:$G$92,"Persediaan",'Daftar Koreksi'!$H$5:$H$92,"&lt;0")</f>
        <v>0</v>
      </c>
      <c r="G315" s="17">
        <f>D315+E315-F315</f>
        <v>125000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2462830000</v>
      </c>
      <c r="E316" s="25">
        <f>SUMIFS('Daftar Koreksi'!$H$5:$H$92,'Daftar Koreksi'!$D$5:$D$92,'2400'!A312,'Daftar Koreksi'!$G$5:$G$92,"Tanah",'Daftar Koreksi'!$H$5:$H$92,"&gt;0")</f>
        <v>0</v>
      </c>
      <c r="F316" s="25">
        <f>SUMIFS('Daftar Koreksi'!$H$5:$H$92,'Daftar Koreksi'!$D$5:$D$92,'2400'!A312,'Daftar Koreksi'!$G$5:$G$92,"Tanah",'Daftar Koreksi'!$H$5:$H$92,"&lt;0")-SUMIFS('Daftar Koreksi'!$H$5:$H$92,'Daftar Koreksi'!$D$5:$D$92,'2400'!A312,'Daftar Koreksi'!$G$5:$G$92,"Tanah",'Daftar Koreksi'!$H$5:$H$92,"&lt;0")-SUMIFS('Daftar Koreksi'!$H$5:$H$92,'Daftar Koreksi'!$D$5:$D$92,'2400'!A312,'Daftar Koreksi'!$G$5:$G$92,"Tanah",'Daftar Koreksi'!$H$5:$H$92,"&lt;0")</f>
        <v>0</v>
      </c>
      <c r="G316" s="17">
        <f t="shared" ref="G316:G332" si="14">D316+E316-F316</f>
        <v>2462830000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1669533722</v>
      </c>
      <c r="E317" s="25">
        <f>SUMIFS('Daftar Koreksi'!$H$5:$H$92,'Daftar Koreksi'!$D$5:$D$92,'2400'!A312,'Daftar Koreksi'!$G$5:$G$92,"Peralatan dan mesin",'Daftar Koreksi'!$H$5:$H$92,"&gt;0")</f>
        <v>0</v>
      </c>
      <c r="F317" s="25">
        <f>SUMIFS('Daftar Koreksi'!$H$5:$H$92,'Daftar Koreksi'!$D$5:$D$92,'2400'!A312,'Daftar Koreksi'!$G$5:$G$92,"Peralatan dan mesin",'Daftar Koreksi'!$H$5:$H$92,"&lt;0")-SUMIFS('Daftar Koreksi'!$H$5:$H$92,'Daftar Koreksi'!$D$5:$D$92,'2400'!A312,'Daftar Koreksi'!$G$5:$G$92,"Peralatan dan mesin",'Daftar Koreksi'!$H$5:$H$92,"&lt;0")-SUMIFS('Daftar Koreksi'!$H$5:$H$92,'Daftar Koreksi'!$D$5:$D$92,'2400'!A312,'Daftar Koreksi'!$G$5:$G$92,"Peralatan dan mesin",'Daftar Koreksi'!$H$5:$H$92,"&lt;0")</f>
        <v>0</v>
      </c>
      <c r="G317" s="17">
        <f t="shared" si="14"/>
        <v>1669533722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1262748000</v>
      </c>
      <c r="E318" s="25">
        <f>SUMIFS('Daftar Koreksi'!$H$5:$H$92,'Daftar Koreksi'!$D$5:$D$92,'2400'!A312,'Daftar Koreksi'!$G$5:$G$92,"Gedung dan Bangunan",'Daftar Koreksi'!$H$5:$H$92,"&gt;0")</f>
        <v>0</v>
      </c>
      <c r="F318" s="25">
        <f>SUMIFS('Daftar Koreksi'!$H$5:$H$92,'Daftar Koreksi'!$D$5:$D$92,'2400'!A312,'Daftar Koreksi'!$G$5:$G$92,"Gedung dan Bangunan",'Daftar Koreksi'!$H$5:$H$92,"&lt;0")-SUMIFS('Daftar Koreksi'!$H$5:$H$92,'Daftar Koreksi'!$D$5:$D$92,'2400'!A312,'Daftar Koreksi'!$G$5:$G$92,"Gedung dan Bangunan",'Daftar Koreksi'!$H$5:$H$92,"&lt;0")-SUMIFS('Daftar Koreksi'!$H$5:$H$92,'Daftar Koreksi'!$D$5:$D$92,'2400'!A312,'Daftar Koreksi'!$G$5:$G$92,"Gedung dan Bangunan",'Daftar Koreksi'!$H$5:$H$92,"&lt;0")</f>
        <v>0</v>
      </c>
      <c r="G318" s="17">
        <f t="shared" si="14"/>
        <v>1262748000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300000</v>
      </c>
      <c r="E319" s="25">
        <f>SUMIFS('Daftar Koreksi'!$H$5:$H$92,'Daftar Koreksi'!$D$5:$D$92,'2400'!A312,'Daftar Koreksi'!$G$5:$G$92,"Jalan Irigasi Jaringan",'Daftar Koreksi'!$H$5:$H$92,"&gt;0")</f>
        <v>0</v>
      </c>
      <c r="F319" s="25">
        <f>SUMIFS('Daftar Koreksi'!$H$5:$H$92,'Daftar Koreksi'!$D$5:$D$92,'2400'!A312,'Daftar Koreksi'!$G$5:$G$92,"Jalan Irigasi Jaringan",'Daftar Koreksi'!$H$5:$H$92,"&lt;0")-SUMIFS('Daftar Koreksi'!$H$5:$H$92,'Daftar Koreksi'!$D$5:$D$92,'2400'!A312,'Daftar Koreksi'!$G$5:$G$92,"Jalan Irigasi Jaringan",'Daftar Koreksi'!$H$5:$H$92,"&lt;0")-SUMIFS('Daftar Koreksi'!$H$5:$H$92,'Daftar Koreksi'!$D$5:$D$92,'2400'!A312,'Daftar Koreksi'!$G$5:$G$92,"Jalan Irigasi Jaringan",'Daftar Koreksi'!$H$5:$H$92,"&lt;0")</f>
        <v>0</v>
      </c>
      <c r="G319" s="17">
        <f t="shared" si="14"/>
        <v>300000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23519490</v>
      </c>
      <c r="E320" s="25">
        <f>SUMIFS('Daftar Koreksi'!$H$5:$H$92,'Daftar Koreksi'!$D$5:$D$92,'2400'!A312,'Daftar Koreksi'!$G$5:$G$92,"Aset Tetap Lainnya",'Daftar Koreksi'!$H$5:$H$92,"&gt;0")</f>
        <v>0</v>
      </c>
      <c r="F320" s="25">
        <f>SUMIFS('Daftar Koreksi'!$H$5:$H$92,'Daftar Koreksi'!$D$5:$D$92,'2400'!A312,'Daftar Koreksi'!$G$5:$G$92,"Aset Tetap Lainnya",'Daftar Koreksi'!$H$5:$H$92,"&lt;0")-SUMIFS('Daftar Koreksi'!$H$5:$H$92,'Daftar Koreksi'!$D$5:$D$92,'2400'!A312,'Daftar Koreksi'!$G$5:$G$92,"Aset Tetap Lainnya",'Daftar Koreksi'!$H$5:$H$92,"&lt;0")-SUMIFS('Daftar Koreksi'!$H$5:$H$92,'Daftar Koreksi'!$D$5:$D$92,'2400'!A312,'Daftar Koreksi'!$G$5:$G$92,"Aset Tetap Lainnya",'Daftar Koreksi'!$H$5:$H$92,"&lt;0")</f>
        <v>0</v>
      </c>
      <c r="G320" s="17">
        <f t="shared" si="14"/>
        <v>23519490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Koreksi'!$D$5:$D$92,'2400'!A312,'Daftar Koreksi'!$G$5:$G$92,"Kontruksi Dalam Pengerjaan",'Daftar Koreksi'!$H$5:$H$92,"&gt;0")</f>
        <v>0</v>
      </c>
      <c r="F321" s="25">
        <f>SUMIFS('Daftar Koreksi'!$H$5:$H$92,'Daftar Koreksi'!$D$5:$D$92,'2400'!A312,'Daftar Koreksi'!$G$5:$G$92,"Kontruksi Dalam Pengerjaan",'Daftar Koreksi'!$H$5:$H$92,"&lt;0")-SUMIFS('Daftar Koreksi'!$H$5:$H$92,'Daftar Koreksi'!$D$5:$D$92,'2400'!A312,'Daftar Koreksi'!$G$5:$G$92,"Kontruksi Dalam Pengerjaan",'Daftar Koreksi'!$H$5:$H$92,"&lt;0")-SUMIFS('Daftar Koreksi'!$H$5:$H$92,'Daftar Koreksi'!$D$5:$D$92,'2400'!A312,'Daftar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Koreksi'!$D$5:$D$92,'2400'!A312,'Daftar Koreksi'!$G$5:$G$92,"Aset Tak Berwujud",'Daftar Koreksi'!$H$5:$H$92,"&gt;0")</f>
        <v>0</v>
      </c>
      <c r="F322" s="25">
        <f>SUMIFS('Daftar Koreksi'!$H$5:$H$92,'Daftar Koreksi'!$D$5:$D$92,'2400'!A312,'Daftar Koreksi'!$G$5:$G$92,"Aset Tak Berwujud",'Daftar Koreksi'!$H$5:$H$92,"&lt;0")-SUMIFS('Daftar Koreksi'!$H$5:$H$92,'Daftar Koreksi'!$D$5:$D$92,'2400'!A312,'Daftar Koreksi'!$G$5:$G$92,"Aset Tak Berwujud",'Daftar Koreksi'!$H$5:$H$92,"&lt;0")-SUMIFS('Daftar Koreksi'!$H$5:$H$92,'Daftar Koreksi'!$D$5:$D$92,'2400'!A312,'Daftar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Koreksi'!$D$5:$D$92,'2400'!A312,'Daftar Koreksi'!$G$5:$G$92,"Aset Henti Guna",'Daftar Koreksi'!$H$5:$H$92,"&gt;0")</f>
        <v>0</v>
      </c>
      <c r="F323" s="25">
        <f>SUMIFS('Daftar Koreksi'!$H$5:$H$92,'Daftar Koreksi'!$D$5:$D$92,'2400'!A312,'Daftar Koreksi'!$G$5:$G$92,"Aset Henti Guna",'Daftar Koreksi'!$H$5:$H$92,"&lt;0")-SUMIFS('Daftar Koreksi'!$H$5:$H$92,'Daftar Koreksi'!$D$5:$D$92,'2400'!A312,'Daftar Koreksi'!$G$5:$G$92,"Aset Henti Guna",'Daftar Koreksi'!$H$5:$H$92,"&lt;0")-SUMIFS('Daftar Koreksi'!$H$5:$H$92,'Daftar Koreksi'!$D$5:$D$92,'2400'!A312,'Daftar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5419056212</v>
      </c>
      <c r="E324" s="19">
        <f>SUM(E315:E323)</f>
        <v>0</v>
      </c>
      <c r="F324" s="19">
        <f>SUM(F315:F323)</f>
        <v>0</v>
      </c>
      <c r="G324" s="19">
        <f t="shared" si="14"/>
        <v>5419056212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-1505319274</v>
      </c>
      <c r="E325" s="25">
        <f>SUMIFS('Daftar Koreksi'!$I$5:$I$92,'Daftar Koreksi'!$D$5:$D$92,'2400'!A312,'Daftar Koreksi'!$G$5:$G$92,"Peralatan dan mesin",'Daftar Koreksi'!$I$5:$I$92,"&gt;0")</f>
        <v>0</v>
      </c>
      <c r="F325" s="25">
        <f>SUMIFS('Daftar Koreksi'!$I$5:$I$92,'Daftar Koreksi'!$D$5:$D$92,'2400'!A312,'Daftar Koreksi'!$G$5:$G$92,"Peralatan dan mesin",'Daftar Koreksi'!$I$5:$I$92,"&lt;0")-SUMIFS('Daftar Koreksi'!$I$5:$I$92,'Daftar Koreksi'!$D$5:$D$92,'2400'!A312,'Daftar Koreksi'!$G$5:$G$92,"Peralatan dan mesin",'Daftar Koreksi'!$I$5:$I$92,"&lt;0")-SUMIFS('Daftar Koreksi'!$I$5:$I$92,'Daftar Koreksi'!$D$5:$D$92,'2400'!A312,'Daftar Koreksi'!$G$5:$G$92,"Peralatan dan mesin",'Daftar Koreksi'!$I$5:$I$92,"&lt;0")</f>
        <v>0</v>
      </c>
      <c r="G325" s="17">
        <f t="shared" si="14"/>
        <v>-1505319274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-241981756</v>
      </c>
      <c r="E326" s="25">
        <f>SUMIFS('Daftar Koreksi'!$I$5:$I$92,'Daftar Koreksi'!$D$5:$D$92,'2400'!A312,'Daftar Koreksi'!$G$5:$G$92,"Gedung dan Bangunan",'Daftar Koreksi'!$I$5:$I$92,"&gt;0")</f>
        <v>0</v>
      </c>
      <c r="F326" s="25">
        <f>SUMIFS('Daftar Koreksi'!$I$5:$I$92,'Daftar Koreksi'!$D$5:$D$92,'2400'!A312,'Daftar Koreksi'!$G$5:$G$92,"Gedung dan Bangunan",'Daftar Koreksi'!$I$5:$I$92,"&lt;0")-SUMIFS('Daftar Koreksi'!$I$5:$I$92,'Daftar Koreksi'!$D$5:$D$92,'2400'!A312,'Daftar Koreksi'!$G$5:$G$92,"Gedung dan Bangunan",'Daftar Koreksi'!$I$5:$I$92,"&lt;0")-SUMIFS('Daftar Koreksi'!$I$5:$I$92,'Daftar Koreksi'!$D$5:$D$92,'2400'!A312,'Daftar Koreksi'!$G$5:$G$92,"Gedung dan Bangunan",'Daftar Koreksi'!$I$5:$I$92,"&lt;0")</f>
        <v>0</v>
      </c>
      <c r="G326" s="17">
        <f t="shared" si="14"/>
        <v>-241981756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-51000</v>
      </c>
      <c r="E327" s="25">
        <f>SUMIFS('Daftar Koreksi'!$I$5:$I$92,'Daftar Koreksi'!$D$5:$D$92,'2400'!A312,'Daftar Koreksi'!$G$5:$G$92,"Jalan Irigasi Jaringan",'Daftar Koreksi'!$I$5:$I$92,"&gt;0")</f>
        <v>0</v>
      </c>
      <c r="F327" s="25">
        <f>SUMIFS('Daftar Koreksi'!$I$5:$I$92,'Daftar Koreksi'!$D$5:$D$92,'2400'!A312,'Daftar Koreksi'!$G$5:$G$92,"Jalan Irigasi Jaringan",'Daftar Koreksi'!$I$5:$I$92,"&lt;0")-SUMIFS('Daftar Koreksi'!$I$5:$I$92,'Daftar Koreksi'!$D$5:$D$92,'2400'!A312,'Daftar Koreksi'!$G$5:$G$92,"Jalan Irigasi Jaringan",'Daftar Koreksi'!$I$5:$I$92,"&lt;0")-SUMIFS('Daftar Koreksi'!$I$5:$I$92,'Daftar Koreksi'!$D$5:$D$92,'2400'!A312,'Daftar Koreksi'!$G$5:$G$92,"Jalan Irigasi Jaringan",'Daftar Koreksi'!$I$5:$I$92,"&lt;0")</f>
        <v>0</v>
      </c>
      <c r="G327" s="17">
        <f t="shared" si="14"/>
        <v>-51000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Koreksi'!$D$5:$D$92,'2400'!A312,'Daftar Koreksi'!$G$5:$G$92,"Aset Tetap Lainnya",'Daftar Koreksi'!$I$5:$I$92,"&gt;0")</f>
        <v>0</v>
      </c>
      <c r="F328" s="25">
        <f>SUMIFS('Daftar Koreksi'!$I$5:$I$92,'Daftar Koreksi'!$D$5:$D$92,'2400'!A312,'Daftar Koreksi'!$G$5:$G$92,"Aset Tetap Lainnya",'Daftar Koreksi'!$I$5:$I$92,"&lt;0")-SUMIFS('Daftar Koreksi'!$I$5:$I$92,'Daftar Koreksi'!$D$5:$D$92,'2400'!A312,'Daftar Koreksi'!$G$5:$G$92,"Aset Tetap Lainnya",'Daftar Koreksi'!$I$5:$I$92,"&lt;0")-SUMIFS('Daftar Koreksi'!$I$5:$I$92,'Daftar Koreksi'!$D$5:$D$92,'2400'!A312,'Daftar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Koreksi'!$D$5:$D$92,'2400'!A312,'Daftar Koreksi'!$G$5:$G$92,"Aset Henti Guna",'Daftar Koreksi'!$I$5:$I$92,"&gt;0")</f>
        <v>0</v>
      </c>
      <c r="F329" s="25">
        <f>SUMIFS('Daftar Koreksi'!$I$5:$I$92,'Daftar Koreksi'!$D$5:$D$92,'2400'!A312,'Daftar Koreksi'!$G$5:$G$92,"Aset Henti Guna",'Daftar Koreksi'!$I$5:$I$92,"&lt;0")-SUMIFS('Daftar Koreksi'!$I$5:$I$92,'Daftar Koreksi'!$D$5:$D$92,'2400'!A312,'Daftar Koreksi'!$G$5:$G$92,"Aset Henti Guna",'Daftar Koreksi'!$I$5:$I$92,"&lt;0")-SUMIFS('Daftar Koreksi'!$I$5:$I$92,'Daftar Koreksi'!$D$5:$D$92,'2400'!A312,'Daftar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-1747352030</v>
      </c>
      <c r="E330" s="19">
        <f>SUM(E325:E329)</f>
        <v>0</v>
      </c>
      <c r="F330" s="19">
        <f>SUM(F325:F329)</f>
        <v>0</v>
      </c>
      <c r="G330" s="19">
        <f t="shared" si="14"/>
        <v>-1747352030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3671704182</v>
      </c>
      <c r="E331" s="19">
        <f>E330+E324</f>
        <v>0</v>
      </c>
      <c r="F331" s="19">
        <f>F330+F324</f>
        <v>0</v>
      </c>
      <c r="G331" s="19">
        <f t="shared" si="14"/>
        <v>3671704182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005012400400157000KD</v>
      </c>
      <c r="B334" s="11" t="str">
        <f>P16</f>
        <v>PN. Bajawa</v>
      </c>
      <c r="C334" s="12" t="str">
        <f>A334&amp;" "&amp;B334</f>
        <v>005012400400157000KD PN. Bajawa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11263300</v>
      </c>
      <c r="E337" s="25">
        <f>SUMIFS('Daftar Koreksi'!$H$5:$H$92,'Daftar Koreksi'!$D$5:$D$92,'2400'!A334,'Daftar Koreksi'!$G$5:$G$92,"Persediaan",'Daftar Koreksi'!$H$5:$H$92,"&gt;0")</f>
        <v>0</v>
      </c>
      <c r="F337" s="25">
        <f>SUMIFS('Daftar Koreksi'!$H$5:$H$92,'Daftar Koreksi'!$D$5:$D$92,'2400'!A334,'Daftar Koreksi'!$G$5:$G$92,"Persediaan",'Daftar Koreksi'!$H$5:$H$92,"&lt;0")-SUMIFS('Daftar Koreksi'!$H$5:$H$92,'Daftar Koreksi'!$D$5:$D$92,'2400'!A334,'Daftar Koreksi'!$G$5:$G$92,"Persediaan",'Daftar Koreksi'!$H$5:$H$92,"&lt;0")-SUMIFS('Daftar Koreksi'!$H$5:$H$92,'Daftar Koreksi'!$D$5:$D$92,'2400'!A334,'Daftar Koreksi'!$G$5:$G$92,"Persediaan",'Daftar Koreksi'!$H$5:$H$92,"&lt;0")</f>
        <v>0</v>
      </c>
      <c r="G337" s="17">
        <f>D337+E337-F337</f>
        <v>11263300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7868667000</v>
      </c>
      <c r="E338" s="25">
        <f>SUMIFS('Daftar Koreksi'!$H$5:$H$92,'Daftar Koreksi'!$D$5:$D$92,'2400'!A334,'Daftar Koreksi'!$G$5:$G$92,"Tanah",'Daftar Koreksi'!$H$5:$H$92,"&gt;0")</f>
        <v>0</v>
      </c>
      <c r="F338" s="25">
        <f>SUMIFS('Daftar Koreksi'!$H$5:$H$92,'Daftar Koreksi'!$D$5:$D$92,'2400'!A334,'Daftar Koreksi'!$G$5:$G$92,"Tanah",'Daftar Koreksi'!$H$5:$H$92,"&lt;0")-SUMIFS('Daftar Koreksi'!$H$5:$H$92,'Daftar Koreksi'!$D$5:$D$92,'2400'!A334,'Daftar Koreksi'!$G$5:$G$92,"Tanah",'Daftar Koreksi'!$H$5:$H$92,"&lt;0")-SUMIFS('Daftar Koreksi'!$H$5:$H$92,'Daftar Koreksi'!$D$5:$D$92,'2400'!A334,'Daftar Koreksi'!$G$5:$G$92,"Tanah",'Daftar Koreksi'!$H$5:$H$92,"&lt;0")</f>
        <v>0</v>
      </c>
      <c r="G338" s="17">
        <f t="shared" ref="G338:G354" si="15">D338+E338-F338</f>
        <v>7868667000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1301637809</v>
      </c>
      <c r="E339" s="25">
        <f>SUMIFS('Daftar Koreksi'!$H$5:$H$92,'Daftar Koreksi'!$D$5:$D$92,'2400'!A334,'Daftar Koreksi'!$G$5:$G$92,"Peralatan dan mesin",'Daftar Koreksi'!$H$5:$H$92,"&gt;0")</f>
        <v>0</v>
      </c>
      <c r="F339" s="25">
        <f>SUMIFS('Daftar Koreksi'!$H$5:$H$92,'Daftar Koreksi'!$D$5:$D$92,'2400'!A334,'Daftar Koreksi'!$G$5:$G$92,"Peralatan dan mesin",'Daftar Koreksi'!$H$5:$H$92,"&lt;0")-SUMIFS('Daftar Koreksi'!$H$5:$H$92,'Daftar Koreksi'!$D$5:$D$92,'2400'!A334,'Daftar Koreksi'!$G$5:$G$92,"Peralatan dan mesin",'Daftar Koreksi'!$H$5:$H$92,"&lt;0")-SUMIFS('Daftar Koreksi'!$H$5:$H$92,'Daftar Koreksi'!$D$5:$D$92,'2400'!A334,'Daftar Koreksi'!$G$5:$G$92,"Peralatan dan mesin",'Daftar Koreksi'!$H$5:$H$92,"&lt;0")</f>
        <v>0</v>
      </c>
      <c r="G339" s="17">
        <f t="shared" si="15"/>
        <v>1301637809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3461471000</v>
      </c>
      <c r="E340" s="25">
        <f>SUMIFS('Daftar Koreksi'!$H$5:$H$92,'Daftar Koreksi'!$D$5:$D$92,'2400'!A334,'Daftar Koreksi'!$G$5:$G$92,"Gedung dan Bangunan",'Daftar Koreksi'!$H$5:$H$92,"&gt;0")</f>
        <v>0</v>
      </c>
      <c r="F340" s="25">
        <f>SUMIFS('Daftar Koreksi'!$H$5:$H$92,'Daftar Koreksi'!$D$5:$D$92,'2400'!A334,'Daftar Koreksi'!$G$5:$G$92,"Gedung dan Bangunan",'Daftar Koreksi'!$H$5:$H$92,"&lt;0")-SUMIFS('Daftar Koreksi'!$H$5:$H$92,'Daftar Koreksi'!$D$5:$D$92,'2400'!A334,'Daftar Koreksi'!$G$5:$G$92,"Gedung dan Bangunan",'Daftar Koreksi'!$H$5:$H$92,"&lt;0")-SUMIFS('Daftar Koreksi'!$H$5:$H$92,'Daftar Koreksi'!$D$5:$D$92,'2400'!A334,'Daftar Koreksi'!$G$5:$G$92,"Gedung dan Bangunan",'Daftar Koreksi'!$H$5:$H$92,"&lt;0")</f>
        <v>0</v>
      </c>
      <c r="G340" s="17">
        <f t="shared" si="15"/>
        <v>3461471000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30390000</v>
      </c>
      <c r="E341" s="25">
        <f>SUMIFS('Daftar Koreksi'!$H$5:$H$92,'Daftar Koreksi'!$D$5:$D$92,'2400'!A334,'Daftar Koreksi'!$G$5:$G$92,"Jalan Irigasi Jaringan",'Daftar Koreksi'!$H$5:$H$92,"&gt;0")</f>
        <v>0</v>
      </c>
      <c r="F341" s="25">
        <f>SUMIFS('Daftar Koreksi'!$H$5:$H$92,'Daftar Koreksi'!$D$5:$D$92,'2400'!A334,'Daftar Koreksi'!$G$5:$G$92,"Jalan Irigasi Jaringan",'Daftar Koreksi'!$H$5:$H$92,"&lt;0")-SUMIFS('Daftar Koreksi'!$H$5:$H$92,'Daftar Koreksi'!$D$5:$D$92,'2400'!A334,'Daftar Koreksi'!$G$5:$G$92,"Jalan Irigasi Jaringan",'Daftar Koreksi'!$H$5:$H$92,"&lt;0")-SUMIFS('Daftar Koreksi'!$H$5:$H$92,'Daftar Koreksi'!$D$5:$D$92,'2400'!A334,'Daftar Koreksi'!$G$5:$G$92,"Jalan Irigasi Jaringan",'Daftar Koreksi'!$H$5:$H$92,"&lt;0")</f>
        <v>0</v>
      </c>
      <c r="G341" s="17">
        <f t="shared" si="15"/>
        <v>30390000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23443440</v>
      </c>
      <c r="E342" s="25">
        <f>SUMIFS('Daftar Koreksi'!$H$5:$H$92,'Daftar Koreksi'!$D$5:$D$92,'2400'!A334,'Daftar Koreksi'!$G$5:$G$92,"Aset Tetap Lainnya",'Daftar Koreksi'!$H$5:$H$92,"&gt;0")</f>
        <v>0</v>
      </c>
      <c r="F342" s="25">
        <f>SUMIFS('Daftar Koreksi'!$H$5:$H$92,'Daftar Koreksi'!$D$5:$D$92,'2400'!A334,'Daftar Koreksi'!$G$5:$G$92,"Aset Tetap Lainnya",'Daftar Koreksi'!$H$5:$H$92,"&lt;0")-SUMIFS('Daftar Koreksi'!$H$5:$H$92,'Daftar Koreksi'!$D$5:$D$92,'2400'!A334,'Daftar Koreksi'!$G$5:$G$92,"Aset Tetap Lainnya",'Daftar Koreksi'!$H$5:$H$92,"&lt;0")-SUMIFS('Daftar Koreksi'!$H$5:$H$92,'Daftar Koreksi'!$D$5:$D$92,'2400'!A334,'Daftar Koreksi'!$G$5:$G$92,"Aset Tetap Lainnya",'Daftar Koreksi'!$H$5:$H$92,"&lt;0")</f>
        <v>0</v>
      </c>
      <c r="G342" s="17">
        <f t="shared" si="15"/>
        <v>23443440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Koreksi'!$D$5:$D$92,'2400'!A334,'Daftar Koreksi'!$G$5:$G$92,"Kontruksi Dalam Pengerjaan",'Daftar Koreksi'!$H$5:$H$92,"&gt;0")</f>
        <v>0</v>
      </c>
      <c r="F343" s="25">
        <f>SUMIFS('Daftar Koreksi'!$H$5:$H$92,'Daftar Koreksi'!$D$5:$D$92,'2400'!A334,'Daftar Koreksi'!$G$5:$G$92,"Kontruksi Dalam Pengerjaan",'Daftar Koreksi'!$H$5:$H$92,"&lt;0")-SUMIFS('Daftar Koreksi'!$H$5:$H$92,'Daftar Koreksi'!$D$5:$D$92,'2400'!A334,'Daftar Koreksi'!$G$5:$G$92,"Kontruksi Dalam Pengerjaan",'Daftar Koreksi'!$H$5:$H$92,"&lt;0")-SUMIFS('Daftar Koreksi'!$H$5:$H$92,'Daftar Koreksi'!$D$5:$D$92,'2400'!A334,'Daftar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14830000</v>
      </c>
      <c r="E344" s="25">
        <f>SUMIFS('Daftar Koreksi'!$H$5:$H$92,'Daftar Koreksi'!$D$5:$D$92,'2400'!A334,'Daftar Koreksi'!$G$5:$G$92,"Aset Tak Berwujud",'Daftar Koreksi'!$H$5:$H$92,"&gt;0")</f>
        <v>0</v>
      </c>
      <c r="F344" s="25">
        <f>SUMIFS('Daftar Koreksi'!$H$5:$H$92,'Daftar Koreksi'!$D$5:$D$92,'2400'!A334,'Daftar Koreksi'!$G$5:$G$92,"Aset Tak Berwujud",'Daftar Koreksi'!$H$5:$H$92,"&lt;0")-SUMIFS('Daftar Koreksi'!$H$5:$H$92,'Daftar Koreksi'!$D$5:$D$92,'2400'!A334,'Daftar Koreksi'!$G$5:$G$92,"Aset Tak Berwujud",'Daftar Koreksi'!$H$5:$H$92,"&lt;0")-SUMIFS('Daftar Koreksi'!$H$5:$H$92,'Daftar Koreksi'!$D$5:$D$92,'2400'!A334,'Daftar Koreksi'!$G$5:$G$92,"Aset Tak Berwujud",'Daftar Koreksi'!$H$5:$H$92,"&lt;0")</f>
        <v>0</v>
      </c>
      <c r="G344" s="17">
        <f t="shared" si="15"/>
        <v>14830000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2794000</v>
      </c>
      <c r="E345" s="25">
        <f>SUMIFS('Daftar Koreksi'!$H$5:$H$92,'Daftar Koreksi'!$D$5:$D$92,'2400'!A334,'Daftar Koreksi'!$G$5:$G$92,"Aset Henti Guna",'Daftar Koreksi'!$H$5:$H$92,"&gt;0")</f>
        <v>0</v>
      </c>
      <c r="F345" s="25">
        <f>SUMIFS('Daftar Koreksi'!$H$5:$H$92,'Daftar Koreksi'!$D$5:$D$92,'2400'!A334,'Daftar Koreksi'!$G$5:$G$92,"Aset Henti Guna",'Daftar Koreksi'!$H$5:$H$92,"&lt;0")-SUMIFS('Daftar Koreksi'!$H$5:$H$92,'Daftar Koreksi'!$D$5:$D$92,'2400'!A334,'Daftar Koreksi'!$G$5:$G$92,"Aset Henti Guna",'Daftar Koreksi'!$H$5:$H$92,"&lt;0")-SUMIFS('Daftar Koreksi'!$H$5:$H$92,'Daftar Koreksi'!$D$5:$D$92,'2400'!A334,'Daftar Koreksi'!$G$5:$G$92,"Aset Henti Guna",'Daftar Koreksi'!$H$5:$H$92,"&lt;0")</f>
        <v>0</v>
      </c>
      <c r="G345" s="17">
        <f t="shared" si="15"/>
        <v>2794000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12714496549</v>
      </c>
      <c r="E346" s="19">
        <f>SUM(E337:E345)</f>
        <v>0</v>
      </c>
      <c r="F346" s="19">
        <f>SUM(F337:F345)</f>
        <v>0</v>
      </c>
      <c r="G346" s="19">
        <f t="shared" si="15"/>
        <v>12714496549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-1184076531</v>
      </c>
      <c r="E347" s="25">
        <f>SUMIFS('Daftar Koreksi'!$I$5:$I$92,'Daftar Koreksi'!$D$5:$D$92,'2400'!A334,'Daftar Koreksi'!$G$5:$G$92,"Peralatan dan mesin",'Daftar Koreksi'!$I$5:$I$92,"&gt;0")</f>
        <v>0</v>
      </c>
      <c r="F347" s="25">
        <f>SUMIFS('Daftar Koreksi'!$I$5:$I$92,'Daftar Koreksi'!$D$5:$D$92,'2400'!A334,'Daftar Koreksi'!$G$5:$G$92,"Peralatan dan mesin",'Daftar Koreksi'!$I$5:$I$92,"&lt;0")-SUMIFS('Daftar Koreksi'!$I$5:$I$92,'Daftar Koreksi'!$D$5:$D$92,'2400'!A334,'Daftar Koreksi'!$G$5:$G$92,"Peralatan dan mesin",'Daftar Koreksi'!$I$5:$I$92,"&lt;0")-SUMIFS('Daftar Koreksi'!$I$5:$I$92,'Daftar Koreksi'!$D$5:$D$92,'2400'!A334,'Daftar Koreksi'!$G$5:$G$92,"Peralatan dan mesin",'Daftar Koreksi'!$I$5:$I$92,"&lt;0")</f>
        <v>0</v>
      </c>
      <c r="G347" s="17">
        <f t="shared" si="15"/>
        <v>-1184076531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-2152230460</v>
      </c>
      <c r="E348" s="25">
        <f>SUMIFS('Daftar Koreksi'!$I$5:$I$92,'Daftar Koreksi'!$D$5:$D$92,'2400'!A334,'Daftar Koreksi'!$G$5:$G$92,"Gedung dan Bangunan",'Daftar Koreksi'!$I$5:$I$92,"&gt;0")</f>
        <v>0</v>
      </c>
      <c r="F348" s="25">
        <f>SUMIFS('Daftar Koreksi'!$I$5:$I$92,'Daftar Koreksi'!$D$5:$D$92,'2400'!A334,'Daftar Koreksi'!$G$5:$G$92,"Gedung dan Bangunan",'Daftar Koreksi'!$I$5:$I$92,"&lt;0")-SUMIFS('Daftar Koreksi'!$I$5:$I$92,'Daftar Koreksi'!$D$5:$D$92,'2400'!A334,'Daftar Koreksi'!$G$5:$G$92,"Gedung dan Bangunan",'Daftar Koreksi'!$I$5:$I$92,"&lt;0")-SUMIFS('Daftar Koreksi'!$I$5:$I$92,'Daftar Koreksi'!$D$5:$D$92,'2400'!A334,'Daftar Koreksi'!$G$5:$G$92,"Gedung dan Bangunan",'Daftar Koreksi'!$I$5:$I$92,"&lt;0")</f>
        <v>0</v>
      </c>
      <c r="G348" s="17">
        <f t="shared" si="15"/>
        <v>-2152230460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-15195000</v>
      </c>
      <c r="E349" s="25">
        <f>SUMIFS('Daftar Koreksi'!$I$5:$I$92,'Daftar Koreksi'!$D$5:$D$92,'2400'!A334,'Daftar Koreksi'!$G$5:$G$92,"Jalan Irigasi Jaringan",'Daftar Koreksi'!$I$5:$I$92,"&gt;0")</f>
        <v>0</v>
      </c>
      <c r="F349" s="25">
        <f>SUMIFS('Daftar Koreksi'!$I$5:$I$92,'Daftar Koreksi'!$D$5:$D$92,'2400'!A334,'Daftar Koreksi'!$G$5:$G$92,"Jalan Irigasi Jaringan",'Daftar Koreksi'!$I$5:$I$92,"&lt;0")-SUMIFS('Daftar Koreksi'!$I$5:$I$92,'Daftar Koreksi'!$D$5:$D$92,'2400'!A334,'Daftar Koreksi'!$G$5:$G$92,"Jalan Irigasi Jaringan",'Daftar Koreksi'!$I$5:$I$92,"&lt;0")-SUMIFS('Daftar Koreksi'!$I$5:$I$92,'Daftar Koreksi'!$D$5:$D$92,'2400'!A334,'Daftar Koreksi'!$G$5:$G$92,"Jalan Irigasi Jaringan",'Daftar Koreksi'!$I$5:$I$92,"&lt;0")</f>
        <v>0</v>
      </c>
      <c r="G349" s="17">
        <f t="shared" si="15"/>
        <v>-15195000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Koreksi'!$D$5:$D$92,'2400'!A334,'Daftar Koreksi'!$G$5:$G$92,"Aset Tetap Lainnya",'Daftar Koreksi'!$I$5:$I$92,"&gt;0")</f>
        <v>0</v>
      </c>
      <c r="F350" s="25">
        <f>SUMIFS('Daftar Koreksi'!$I$5:$I$92,'Daftar Koreksi'!$D$5:$D$92,'2400'!A334,'Daftar Koreksi'!$G$5:$G$92,"Aset Tetap Lainnya",'Daftar Koreksi'!$I$5:$I$92,"&lt;0")-SUMIFS('Daftar Koreksi'!$I$5:$I$92,'Daftar Koreksi'!$D$5:$D$92,'2400'!A334,'Daftar Koreksi'!$G$5:$G$92,"Aset Tetap Lainnya",'Daftar Koreksi'!$I$5:$I$92,"&lt;0")-SUMIFS('Daftar Koreksi'!$I$5:$I$92,'Daftar Koreksi'!$D$5:$D$92,'2400'!A334,'Daftar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-2794000</v>
      </c>
      <c r="E351" s="25">
        <f>SUMIFS('Daftar Koreksi'!$I$5:$I$92,'Daftar Koreksi'!$D$5:$D$92,'2400'!A334,'Daftar Koreksi'!$G$5:$G$92,"Aset Henti Guna",'Daftar Koreksi'!$I$5:$I$92,"&gt;0")</f>
        <v>0</v>
      </c>
      <c r="F351" s="25">
        <f>SUMIFS('Daftar Koreksi'!$I$5:$I$92,'Daftar Koreksi'!$D$5:$D$92,'2400'!A334,'Daftar Koreksi'!$G$5:$G$92,"Aset Henti Guna",'Daftar Koreksi'!$I$5:$I$92,"&lt;0")-SUMIFS('Daftar Koreksi'!$I$5:$I$92,'Daftar Koreksi'!$D$5:$D$92,'2400'!A334,'Daftar Koreksi'!$G$5:$G$92,"Aset Henti Guna",'Daftar Koreksi'!$I$5:$I$92,"&lt;0")-SUMIFS('Daftar Koreksi'!$I$5:$I$92,'Daftar Koreksi'!$D$5:$D$92,'2400'!A334,'Daftar Koreksi'!$G$5:$G$92,"Aset Henti Guna",'Daftar Koreksi'!$I$5:$I$92,"&lt;0")</f>
        <v>0</v>
      </c>
      <c r="G351" s="17">
        <f t="shared" si="15"/>
        <v>-2794000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-3354295991</v>
      </c>
      <c r="E352" s="19">
        <f>SUM(E347:E351)</f>
        <v>0</v>
      </c>
      <c r="F352" s="19">
        <f>SUM(F347:F351)</f>
        <v>0</v>
      </c>
      <c r="G352" s="19">
        <f t="shared" si="15"/>
        <v>-3354295991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9360200558</v>
      </c>
      <c r="E353" s="19">
        <f>E352+E346</f>
        <v>0</v>
      </c>
      <c r="F353" s="19">
        <f>F352+F346</f>
        <v>0</v>
      </c>
      <c r="G353" s="19">
        <f t="shared" si="15"/>
        <v>9360200558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005012400400163000KD</v>
      </c>
      <c r="B356" s="11" t="str">
        <f>P17</f>
        <v>PN. Kalabahi</v>
      </c>
      <c r="C356" s="12" t="str">
        <f>A356&amp;" "&amp;B356</f>
        <v>005012400400163000KD PN. Kalabahi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17153000</v>
      </c>
      <c r="E359" s="25">
        <f>SUMIFS('Daftar Koreksi'!$H$5:$H$92,'Daftar Koreksi'!$D$5:$D$92,'2400'!A356,'Daftar Koreksi'!$G$5:$G$92,"Persediaan",'Daftar Koreksi'!$H$5:$H$92,"&gt;0")</f>
        <v>0</v>
      </c>
      <c r="F359" s="25">
        <f>SUMIFS('Daftar Koreksi'!$H$5:$H$92,'Daftar Koreksi'!$D$5:$D$92,'2400'!A356,'Daftar Koreksi'!$G$5:$G$92,"Persediaan",'Daftar Koreksi'!$H$5:$H$92,"&lt;0")-SUMIFS('Daftar Koreksi'!$H$5:$H$92,'Daftar Koreksi'!$D$5:$D$92,'2400'!A356,'Daftar Koreksi'!$G$5:$G$92,"Persediaan",'Daftar Koreksi'!$H$5:$H$92,"&lt;0")-SUMIFS('Daftar Koreksi'!$H$5:$H$92,'Daftar Koreksi'!$D$5:$D$92,'2400'!A356,'Daftar Koreksi'!$G$5:$G$92,"Persediaan",'Daftar Koreksi'!$H$5:$H$92,"&lt;0")</f>
        <v>0</v>
      </c>
      <c r="G359" s="17">
        <f>D359+E359-F359</f>
        <v>17153000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239885925</v>
      </c>
      <c r="E360" s="25">
        <f>SUMIFS('Daftar Koreksi'!$H$5:$H$92,'Daftar Koreksi'!$D$5:$D$92,'2400'!A356,'Daftar Koreksi'!$G$5:$G$92,"Tanah",'Daftar Koreksi'!$H$5:$H$92,"&gt;0")</f>
        <v>0</v>
      </c>
      <c r="F360" s="25">
        <f>SUMIFS('Daftar Koreksi'!$H$5:$H$92,'Daftar Koreksi'!$D$5:$D$92,'2400'!A356,'Daftar Koreksi'!$G$5:$G$92,"Tanah",'Daftar Koreksi'!$H$5:$H$92,"&lt;0")-SUMIFS('Daftar Koreksi'!$H$5:$H$92,'Daftar Koreksi'!$D$5:$D$92,'2400'!A356,'Daftar Koreksi'!$G$5:$G$92,"Tanah",'Daftar Koreksi'!$H$5:$H$92,"&lt;0")-SUMIFS('Daftar Koreksi'!$H$5:$H$92,'Daftar Koreksi'!$D$5:$D$92,'2400'!A356,'Daftar Koreksi'!$G$5:$G$92,"Tanah",'Daftar Koreksi'!$H$5:$H$92,"&lt;0")</f>
        <v>0</v>
      </c>
      <c r="G360" s="17">
        <f t="shared" ref="G360:G376" si="16">D360+E360-F360</f>
        <v>239885925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1246776574</v>
      </c>
      <c r="E361" s="25">
        <f>SUMIFS('Daftar Koreksi'!$H$5:$H$92,'Daftar Koreksi'!$D$5:$D$92,'2400'!A356,'Daftar Koreksi'!$G$5:$G$92,"Peralatan dan mesin",'Daftar Koreksi'!$H$5:$H$92,"&gt;0")</f>
        <v>0</v>
      </c>
      <c r="F361" s="25">
        <f>SUMIFS('Daftar Koreksi'!$H$5:$H$92,'Daftar Koreksi'!$D$5:$D$92,'2400'!A356,'Daftar Koreksi'!$G$5:$G$92,"Peralatan dan mesin",'Daftar Koreksi'!$H$5:$H$92,"&lt;0")-SUMIFS('Daftar Koreksi'!$H$5:$H$92,'Daftar Koreksi'!$D$5:$D$92,'2400'!A356,'Daftar Koreksi'!$G$5:$G$92,"Peralatan dan mesin",'Daftar Koreksi'!$H$5:$H$92,"&lt;0")-SUMIFS('Daftar Koreksi'!$H$5:$H$92,'Daftar Koreksi'!$D$5:$D$92,'2400'!A356,'Daftar Koreksi'!$G$5:$G$92,"Peralatan dan mesin",'Daftar Koreksi'!$H$5:$H$92,"&lt;0")</f>
        <v>0</v>
      </c>
      <c r="G361" s="17">
        <f t="shared" si="16"/>
        <v>1246776574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2556514000</v>
      </c>
      <c r="E362" s="25">
        <f>SUMIFS('Daftar Koreksi'!$H$5:$H$92,'Daftar Koreksi'!$D$5:$D$92,'2400'!A356,'Daftar Koreksi'!$G$5:$G$92,"Gedung dan Bangunan",'Daftar Koreksi'!$H$5:$H$92,"&gt;0")</f>
        <v>0</v>
      </c>
      <c r="F362" s="25">
        <f>SUMIFS('Daftar Koreksi'!$H$5:$H$92,'Daftar Koreksi'!$D$5:$D$92,'2400'!A356,'Daftar Koreksi'!$G$5:$G$92,"Gedung dan Bangunan",'Daftar Koreksi'!$H$5:$H$92,"&lt;0")-SUMIFS('Daftar Koreksi'!$H$5:$H$92,'Daftar Koreksi'!$D$5:$D$92,'2400'!A356,'Daftar Koreksi'!$G$5:$G$92,"Gedung dan Bangunan",'Daftar Koreksi'!$H$5:$H$92,"&lt;0")-SUMIFS('Daftar Koreksi'!$H$5:$H$92,'Daftar Koreksi'!$D$5:$D$92,'2400'!A356,'Daftar Koreksi'!$G$5:$G$92,"Gedung dan Bangunan",'Daftar Koreksi'!$H$5:$H$92,"&lt;0")</f>
        <v>0</v>
      </c>
      <c r="G362" s="17">
        <f t="shared" si="16"/>
        <v>2556514000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96400000</v>
      </c>
      <c r="E363" s="25">
        <f>SUMIFS('Daftar Koreksi'!$H$5:$H$92,'Daftar Koreksi'!$D$5:$D$92,'2400'!A356,'Daftar Koreksi'!$G$5:$G$92,"Jalan Irigasi Jaringan",'Daftar Koreksi'!$H$5:$H$92,"&gt;0")</f>
        <v>0</v>
      </c>
      <c r="F363" s="25">
        <f>SUMIFS('Daftar Koreksi'!$H$5:$H$92,'Daftar Koreksi'!$D$5:$D$92,'2400'!A356,'Daftar Koreksi'!$G$5:$G$92,"Jalan Irigasi Jaringan",'Daftar Koreksi'!$H$5:$H$92,"&lt;0")-SUMIFS('Daftar Koreksi'!$H$5:$H$92,'Daftar Koreksi'!$D$5:$D$92,'2400'!A356,'Daftar Koreksi'!$G$5:$G$92,"Jalan Irigasi Jaringan",'Daftar Koreksi'!$H$5:$H$92,"&lt;0")-SUMIFS('Daftar Koreksi'!$H$5:$H$92,'Daftar Koreksi'!$D$5:$D$92,'2400'!A356,'Daftar Koreksi'!$G$5:$G$92,"Jalan Irigasi Jaringan",'Daftar Koreksi'!$H$5:$H$92,"&lt;0")</f>
        <v>0</v>
      </c>
      <c r="G363" s="17">
        <f t="shared" si="16"/>
        <v>96400000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24738440</v>
      </c>
      <c r="E364" s="25">
        <f>SUMIFS('Daftar Koreksi'!$H$5:$H$92,'Daftar Koreksi'!$D$5:$D$92,'2400'!A356,'Daftar Koreksi'!$G$5:$G$92,"Aset Tetap Lainnya",'Daftar Koreksi'!$H$5:$H$92,"&gt;0")</f>
        <v>0</v>
      </c>
      <c r="F364" s="25">
        <f>SUMIFS('Daftar Koreksi'!$H$5:$H$92,'Daftar Koreksi'!$D$5:$D$92,'2400'!A356,'Daftar Koreksi'!$G$5:$G$92,"Aset Tetap Lainnya",'Daftar Koreksi'!$H$5:$H$92,"&lt;0")-SUMIFS('Daftar Koreksi'!$H$5:$H$92,'Daftar Koreksi'!$D$5:$D$92,'2400'!A356,'Daftar Koreksi'!$G$5:$G$92,"Aset Tetap Lainnya",'Daftar Koreksi'!$H$5:$H$92,"&lt;0")-SUMIFS('Daftar Koreksi'!$H$5:$H$92,'Daftar Koreksi'!$D$5:$D$92,'2400'!A356,'Daftar Koreksi'!$G$5:$G$92,"Aset Tetap Lainnya",'Daftar Koreksi'!$H$5:$H$92,"&lt;0")</f>
        <v>0</v>
      </c>
      <c r="G364" s="17">
        <f t="shared" si="16"/>
        <v>24738440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7435042492</v>
      </c>
      <c r="E365" s="25">
        <f>SUMIFS('Daftar Koreksi'!$H$5:$H$92,'Daftar Koreksi'!$D$5:$D$92,'2400'!A356,'Daftar Koreksi'!$G$5:$G$92,"Kontruksi Dalam Pengerjaan",'Daftar Koreksi'!$H$5:$H$92,"&gt;0")</f>
        <v>0</v>
      </c>
      <c r="F365" s="25">
        <f>SUMIFS('Daftar Koreksi'!$H$5:$H$92,'Daftar Koreksi'!$D$5:$D$92,'2400'!A356,'Daftar Koreksi'!$G$5:$G$92,"Kontruksi Dalam Pengerjaan",'Daftar Koreksi'!$H$5:$H$92,"&lt;0")-SUMIFS('Daftar Koreksi'!$H$5:$H$92,'Daftar Koreksi'!$D$5:$D$92,'2400'!A356,'Daftar Koreksi'!$G$5:$G$92,"Kontruksi Dalam Pengerjaan",'Daftar Koreksi'!$H$5:$H$92,"&lt;0")-SUMIFS('Daftar Koreksi'!$H$5:$H$92,'Daftar Koreksi'!$D$5:$D$92,'2400'!A356,'Daftar Koreksi'!$G$5:$G$92,"Kontruksi Dalam Pengerjaan",'Daftar Koreksi'!$H$5:$H$92,"&lt;0")</f>
        <v>0</v>
      </c>
      <c r="G365" s="17">
        <f t="shared" si="16"/>
        <v>7435042492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Koreksi'!$D$5:$D$92,'2400'!A356,'Daftar Koreksi'!$G$5:$G$92,"Aset Tak Berwujud",'Daftar Koreksi'!$H$5:$H$92,"&gt;0")</f>
        <v>0</v>
      </c>
      <c r="F366" s="25">
        <f>SUMIFS('Daftar Koreksi'!$H$5:$H$92,'Daftar Koreksi'!$D$5:$D$92,'2400'!A356,'Daftar Koreksi'!$G$5:$G$92,"Aset Tak Berwujud",'Daftar Koreksi'!$H$5:$H$92,"&lt;0")-SUMIFS('Daftar Koreksi'!$H$5:$H$92,'Daftar Koreksi'!$D$5:$D$92,'2400'!A356,'Daftar Koreksi'!$G$5:$G$92,"Aset Tak Berwujud",'Daftar Koreksi'!$H$5:$H$92,"&lt;0")-SUMIFS('Daftar Koreksi'!$H$5:$H$92,'Daftar Koreksi'!$D$5:$D$92,'2400'!A356,'Daftar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374545754</v>
      </c>
      <c r="E367" s="25">
        <f>SUMIFS('Daftar Koreksi'!$H$5:$H$92,'Daftar Koreksi'!$D$5:$D$92,'2400'!A356,'Daftar Koreksi'!$G$5:$G$92,"Aset Henti Guna",'Daftar Koreksi'!$H$5:$H$92,"&gt;0")</f>
        <v>0</v>
      </c>
      <c r="F367" s="25">
        <f>SUMIFS('Daftar Koreksi'!$H$5:$H$92,'Daftar Koreksi'!$D$5:$D$92,'2400'!A356,'Daftar Koreksi'!$G$5:$G$92,"Aset Henti Guna",'Daftar Koreksi'!$H$5:$H$92,"&lt;0")-SUMIFS('Daftar Koreksi'!$H$5:$H$92,'Daftar Koreksi'!$D$5:$D$92,'2400'!A356,'Daftar Koreksi'!$G$5:$G$92,"Aset Henti Guna",'Daftar Koreksi'!$H$5:$H$92,"&lt;0")-SUMIFS('Daftar Koreksi'!$H$5:$H$92,'Daftar Koreksi'!$D$5:$D$92,'2400'!A356,'Daftar Koreksi'!$G$5:$G$92,"Aset Henti Guna",'Daftar Koreksi'!$H$5:$H$92,"&lt;0")</f>
        <v>0</v>
      </c>
      <c r="G367" s="17">
        <f t="shared" si="16"/>
        <v>374545754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11991056185</v>
      </c>
      <c r="E368" s="19">
        <f>SUM(E359:E367)</f>
        <v>0</v>
      </c>
      <c r="F368" s="19">
        <f>SUM(F359:F367)</f>
        <v>0</v>
      </c>
      <c r="G368" s="19">
        <f t="shared" si="16"/>
        <v>11991056185</v>
      </c>
      <c r="H368" s="122"/>
    </row>
    <row r="369" spans="1:10" ht="21.95" customHeight="1">
      <c r="A369" s="14"/>
      <c r="B369" s="14"/>
      <c r="C369" s="16" t="s">
        <v>2087</v>
      </c>
      <c r="D369" s="17">
        <f>VLOOKUP(A356,'Neraca Unaudited SIMAK'!$A$2:$S$10004,13,FALSE)</f>
        <v>-1143715796</v>
      </c>
      <c r="E369" s="25">
        <f>SUMIFS('Daftar Koreksi'!$I$5:$I$92,'Daftar Koreksi'!$D$5:$D$92,'2400'!A356,'Daftar Koreksi'!$G$5:$G$92,"Peralatan dan mesin",'Daftar Koreksi'!$I$5:$I$92,"&gt;0")</f>
        <v>0</v>
      </c>
      <c r="F369" s="25">
        <f>SUMIFS('Daftar Koreksi'!$I$5:$I$92,'Daftar Koreksi'!$D$5:$D$92,'2400'!A356,'Daftar Koreksi'!$G$5:$G$92,"Peralatan dan mesin",'Daftar Koreksi'!$I$5:$I$92,"&lt;0")-SUMIFS('Daftar Koreksi'!$I$5:$I$92,'Daftar Koreksi'!$D$5:$D$92,'2400'!A356,'Daftar Koreksi'!$G$5:$G$92,"Peralatan dan mesin",'Daftar Koreksi'!$I$5:$I$92,"&lt;0")-SUMIFS('Daftar Koreksi'!$I$5:$I$92,'Daftar Koreksi'!$D$5:$D$92,'2400'!A356,'Daftar Koreksi'!$G$5:$G$92,"Peralatan dan mesin",'Daftar Koreksi'!$I$5:$I$92,"&lt;0")</f>
        <v>0</v>
      </c>
      <c r="G369" s="17">
        <f t="shared" si="16"/>
        <v>-1143715796</v>
      </c>
      <c r="H369" s="122"/>
    </row>
    <row r="370" spans="1:10" ht="21.95" customHeight="1">
      <c r="A370" s="14"/>
      <c r="B370" s="14"/>
      <c r="C370" s="16" t="s">
        <v>2088</v>
      </c>
      <c r="D370" s="17">
        <f>VLOOKUP(A356,'Neraca Unaudited SIMAK'!$A$2:$S$10004,14,FALSE)</f>
        <v>-657314923</v>
      </c>
      <c r="E370" s="25">
        <f>SUMIFS('Daftar Koreksi'!$I$5:$I$92,'Daftar Koreksi'!$D$5:$D$92,'2400'!A356,'Daftar Koreksi'!$G$5:$G$92,"Gedung dan Bangunan",'Daftar Koreksi'!$I$5:$I$92,"&gt;0")</f>
        <v>0</v>
      </c>
      <c r="F370" s="25">
        <f>SUMIFS('Daftar Koreksi'!$I$5:$I$92,'Daftar Koreksi'!$D$5:$D$92,'2400'!A356,'Daftar Koreksi'!$G$5:$G$92,"Gedung dan Bangunan",'Daftar Koreksi'!$I$5:$I$92,"&lt;0")-SUMIFS('Daftar Koreksi'!$I$5:$I$92,'Daftar Koreksi'!$D$5:$D$92,'2400'!A356,'Daftar Koreksi'!$G$5:$G$92,"Gedung dan Bangunan",'Daftar Koreksi'!$I$5:$I$92,"&lt;0")-SUMIFS('Daftar Koreksi'!$I$5:$I$92,'Daftar Koreksi'!$D$5:$D$92,'2400'!A356,'Daftar Koreksi'!$G$5:$G$92,"Gedung dan Bangunan",'Daftar Koreksi'!$I$5:$I$92,"&lt;0")</f>
        <v>0</v>
      </c>
      <c r="G370" s="17">
        <f t="shared" si="16"/>
        <v>-657314923</v>
      </c>
      <c r="H370" s="122"/>
    </row>
    <row r="371" spans="1:10" ht="21.95" customHeight="1">
      <c r="A371" s="14"/>
      <c r="B371" s="14"/>
      <c r="C371" s="16" t="s">
        <v>2089</v>
      </c>
      <c r="D371" s="17">
        <f>VLOOKUP(A356,'Neraca Unaudited SIMAK'!$A$2:$S$10004,15,FALSE)</f>
        <v>-8435000</v>
      </c>
      <c r="E371" s="25">
        <f>SUMIFS('Daftar Koreksi'!$I$5:$I$92,'Daftar Koreksi'!$D$5:$D$92,'2400'!A356,'Daftar Koreksi'!$G$5:$G$92,"Jalan Irigasi Jaringan",'Daftar Koreksi'!$I$5:$I$92,"&gt;0")</f>
        <v>0</v>
      </c>
      <c r="F371" s="25">
        <f>SUMIFS('Daftar Koreksi'!$I$5:$I$92,'Daftar Koreksi'!$D$5:$D$92,'2400'!A356,'Daftar Koreksi'!$G$5:$G$92,"Jalan Irigasi Jaringan",'Daftar Koreksi'!$I$5:$I$92,"&lt;0")-SUMIFS('Daftar Koreksi'!$I$5:$I$92,'Daftar Koreksi'!$D$5:$D$92,'2400'!A356,'Daftar Koreksi'!$G$5:$G$92,"Jalan Irigasi Jaringan",'Daftar Koreksi'!$I$5:$I$92,"&lt;0")-SUMIFS('Daftar Koreksi'!$I$5:$I$92,'Daftar Koreksi'!$D$5:$D$92,'2400'!A356,'Daftar Koreksi'!$G$5:$G$92,"Jalan Irigasi Jaringan",'Daftar Koreksi'!$I$5:$I$92,"&lt;0")</f>
        <v>0</v>
      </c>
      <c r="G371" s="17">
        <f t="shared" si="16"/>
        <v>-8435000</v>
      </c>
      <c r="H371" s="122"/>
    </row>
    <row r="372" spans="1:10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Koreksi'!$D$5:$D$92,'2400'!A356,'Daftar Koreksi'!$G$5:$G$92,"Aset Tetap Lainnya",'Daftar Koreksi'!$I$5:$I$92,"&gt;0")</f>
        <v>0</v>
      </c>
      <c r="F372" s="25">
        <f>SUMIFS('Daftar Koreksi'!$I$5:$I$92,'Daftar Koreksi'!$D$5:$D$92,'2400'!A356,'Daftar Koreksi'!$G$5:$G$92,"Aset Tetap Lainnya",'Daftar Koreksi'!$I$5:$I$92,"&lt;0")-SUMIFS('Daftar Koreksi'!$I$5:$I$92,'Daftar Koreksi'!$D$5:$D$92,'2400'!A356,'Daftar Koreksi'!$G$5:$G$92,"Aset Tetap Lainnya",'Daftar Koreksi'!$I$5:$I$92,"&lt;0")-SUMIFS('Daftar Koreksi'!$I$5:$I$92,'Daftar Koreksi'!$D$5:$D$92,'2400'!A356,'Daftar Koreksi'!$G$5:$G$92,"Aset Tetap Lainnya",'Daftar Koreksi'!$I$5:$I$92,"&lt;0")</f>
        <v>0</v>
      </c>
      <c r="G372" s="17">
        <f t="shared" si="16"/>
        <v>0</v>
      </c>
      <c r="H372" s="122"/>
    </row>
    <row r="373" spans="1:10" ht="21.95" customHeight="1">
      <c r="A373" s="14"/>
      <c r="B373" s="14"/>
      <c r="C373" s="16" t="s">
        <v>2020</v>
      </c>
      <c r="D373" s="17">
        <f>VLOOKUP(A356,'Neraca Unaudited SIMAK'!$A$2:$S$10004,17,FALSE)</f>
        <v>-374545754</v>
      </c>
      <c r="E373" s="25">
        <f>SUMIFS('Daftar Koreksi'!$I$5:$I$92,'Daftar Koreksi'!$D$5:$D$92,'2400'!A356,'Daftar Koreksi'!$G$5:$G$92,"Aset Henti Guna",'Daftar Koreksi'!$I$5:$I$92,"&gt;0")</f>
        <v>0</v>
      </c>
      <c r="F373" s="25">
        <f>SUMIFS('Daftar Koreksi'!$I$5:$I$92,'Daftar Koreksi'!$D$5:$D$92,'2400'!A356,'Daftar Koreksi'!$G$5:$G$92,"Aset Henti Guna",'Daftar Koreksi'!$I$5:$I$92,"&lt;0")-SUMIFS('Daftar Koreksi'!$I$5:$I$92,'Daftar Koreksi'!$D$5:$D$92,'2400'!A356,'Daftar Koreksi'!$G$5:$G$92,"Aset Henti Guna",'Daftar Koreksi'!$I$5:$I$92,"&lt;0")-SUMIFS('Daftar Koreksi'!$I$5:$I$92,'Daftar Koreksi'!$D$5:$D$92,'2400'!A356,'Daftar Koreksi'!$G$5:$G$92,"Aset Henti Guna",'Daftar Koreksi'!$I$5:$I$92,"&lt;0")</f>
        <v>0</v>
      </c>
      <c r="G373" s="17">
        <f t="shared" si="16"/>
        <v>-374545754</v>
      </c>
      <c r="H373" s="122"/>
    </row>
    <row r="374" spans="1:10" ht="21.95" customHeight="1">
      <c r="A374" s="14"/>
      <c r="B374" s="14"/>
      <c r="C374" s="18" t="s">
        <v>2094</v>
      </c>
      <c r="D374" s="19">
        <f>SUM(D369:D373)</f>
        <v>-2184011473</v>
      </c>
      <c r="E374" s="19">
        <f>SUM(E369:E373)</f>
        <v>0</v>
      </c>
      <c r="F374" s="19">
        <f>SUM(F369:F373)</f>
        <v>0</v>
      </c>
      <c r="G374" s="19">
        <f t="shared" si="16"/>
        <v>-2184011473</v>
      </c>
      <c r="H374" s="122"/>
    </row>
    <row r="375" spans="1:10" ht="21.95" customHeight="1">
      <c r="A375" s="14"/>
      <c r="B375" s="14"/>
      <c r="C375" s="18" t="s">
        <v>2095</v>
      </c>
      <c r="D375" s="19">
        <f>VLOOKUP(A356,'Neraca Unaudited SIMAK'!$A$2:$S$10004,18,FALSE)</f>
        <v>9807044712</v>
      </c>
      <c r="E375" s="19">
        <f>E374+E368</f>
        <v>0</v>
      </c>
      <c r="F375" s="19">
        <f>F374+F368</f>
        <v>0</v>
      </c>
      <c r="G375" s="19">
        <f t="shared" si="16"/>
        <v>9807044712</v>
      </c>
      <c r="H375" s="122"/>
    </row>
    <row r="376" spans="1:10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10" ht="19.5" customHeight="1">
      <c r="A378" s="11" t="str">
        <f>O18</f>
        <v>005012400400245000KD</v>
      </c>
      <c r="B378" s="11" t="str">
        <f>P18</f>
        <v>PT. Kupang</v>
      </c>
      <c r="C378" s="12" t="str">
        <f>A378&amp;" "&amp;B378</f>
        <v>005012400400245000KD PT. Kupang</v>
      </c>
      <c r="D378" s="13"/>
      <c r="E378" s="13"/>
      <c r="F378" s="13"/>
      <c r="G378" s="13"/>
      <c r="H378" s="11"/>
    </row>
    <row r="379" spans="1:10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10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10" ht="21.95" customHeight="1">
      <c r="A381" s="14"/>
      <c r="B381" s="14"/>
      <c r="C381" s="16" t="s">
        <v>1165</v>
      </c>
      <c r="D381" s="17">
        <f>VLOOKUP(A378,'Neraca Unaudited SIMAK'!$A$2:$S$10004,3,FALSE)</f>
        <v>20813060</v>
      </c>
      <c r="E381" s="25">
        <f>SUMIFS('Daftar Koreksi'!$H$5:$H$92,'Daftar Koreksi'!$D$5:$D$92,'2400'!A378,'Daftar Koreksi'!$G$5:$G$92,"Persediaan",'Daftar Koreksi'!$H$5:$H$92,"&gt;0")</f>
        <v>0</v>
      </c>
      <c r="F381" s="25">
        <f>SUMIFS('Daftar Koreksi'!$H$5:$H$92,'Daftar Koreksi'!$D$5:$D$92,'2400'!A378,'Daftar Koreksi'!$G$5:$G$92,"Persediaan",'Daftar Koreksi'!$H$5:$H$92,"&lt;0")-SUMIFS('Daftar Koreksi'!$H$5:$H$92,'Daftar Koreksi'!$D$5:$D$92,'2400'!A378,'Daftar Koreksi'!$G$5:$G$92,"Persediaan",'Daftar Koreksi'!$H$5:$H$92,"&lt;0")-SUMIFS('Daftar Koreksi'!$H$5:$H$92,'Daftar Koreksi'!$D$5:$D$92,'2400'!A378,'Daftar Koreksi'!$G$5:$G$92,"Persediaan",'Daftar Koreksi'!$H$5:$H$92,"&lt;0")</f>
        <v>0</v>
      </c>
      <c r="G381" s="17">
        <f>D381+E381-F381</f>
        <v>20813060</v>
      </c>
      <c r="H381" s="121" t="str">
        <f>IF(ISNA(VLOOKUP(A378,'Mutasi Neraca'!$A$3:$S$914,19,FALSE)),"-",VLOOKUP(A378,'Mutasi Neraca'!$A$3:$S$914,19,FALSE))</f>
        <v>-</v>
      </c>
      <c r="I381" s="28"/>
      <c r="J381" s="28"/>
    </row>
    <row r="382" spans="1:10" ht="21.95" customHeight="1">
      <c r="A382" s="14"/>
      <c r="B382" s="14"/>
      <c r="C382" s="16" t="s">
        <v>1166</v>
      </c>
      <c r="D382" s="17">
        <f>VLOOKUP(A378,'Neraca Unaudited SIMAK'!$A$2:$S$10004,4,FALSE)</f>
        <v>10133488000</v>
      </c>
      <c r="E382" s="25">
        <f>SUMIFS('Daftar Koreksi'!$H$5:$H$92,'Daftar Koreksi'!$D$5:$D$92,'2400'!A378,'Daftar Koreksi'!$G$5:$G$92,"Tanah",'Daftar Koreksi'!$H$5:$H$92,"&gt;0")</f>
        <v>0</v>
      </c>
      <c r="F382" s="25">
        <f>SUMIFS('Daftar Koreksi'!$H$5:$H$92,'Daftar Koreksi'!$D$5:$D$92,'2400'!A378,'Daftar Koreksi'!$G$5:$G$92,"Tanah",'Daftar Koreksi'!$H$5:$H$92,"&lt;0")-SUMIFS('Daftar Koreksi'!$H$5:$H$92,'Daftar Koreksi'!$D$5:$D$92,'2400'!A378,'Daftar Koreksi'!$G$5:$G$92,"Tanah",'Daftar Koreksi'!$H$5:$H$92,"&lt;0")-SUMIFS('Daftar Koreksi'!$H$5:$H$92,'Daftar Koreksi'!$D$5:$D$92,'2400'!A378,'Daftar Koreksi'!$G$5:$G$92,"Tanah",'Daftar Koreksi'!$H$5:$H$92,"&lt;0")</f>
        <v>0</v>
      </c>
      <c r="G382" s="17">
        <f t="shared" ref="G382:G398" si="17">D382+E382-F382</f>
        <v>10133488000</v>
      </c>
      <c r="H382" s="122"/>
      <c r="I382" s="28"/>
      <c r="J382" s="28"/>
    </row>
    <row r="383" spans="1:10" ht="21.95" customHeight="1">
      <c r="A383" s="14"/>
      <c r="B383" s="14"/>
      <c r="C383" s="16" t="s">
        <v>1167</v>
      </c>
      <c r="D383" s="17">
        <f>VLOOKUP(A378,'Neraca Unaudited SIMAK'!$A$2:$S$10004,5,FALSE)</f>
        <v>3910196839</v>
      </c>
      <c r="E383" s="25">
        <f>SUMIFS('Daftar Koreksi'!$H$5:$H$92,'Daftar Koreksi'!$D$5:$D$92,'2400'!A378,'Daftar Koreksi'!$G$5:$G$92,"Peralatan dan mesin",'Daftar Koreksi'!$H$5:$H$92,"&gt;0")</f>
        <v>0</v>
      </c>
      <c r="F383" s="25">
        <f>SUMIFS('Daftar Koreksi'!$H$5:$H$92,'Daftar Koreksi'!$D$5:$D$92,'2400'!A378,'Daftar Koreksi'!$G$5:$G$92,"Peralatan dan mesin",'Daftar Koreksi'!$H$5:$H$92,"&lt;0")-SUMIFS('Daftar Koreksi'!$H$5:$H$92,'Daftar Koreksi'!$D$5:$D$92,'2400'!A378,'Daftar Koreksi'!$G$5:$G$92,"Peralatan dan mesin",'Daftar Koreksi'!$H$5:$H$92,"&lt;0")-SUMIFS('Daftar Koreksi'!$H$5:$H$92,'Daftar Koreksi'!$D$5:$D$92,'2400'!A378,'Daftar Koreksi'!$G$5:$G$92,"Peralatan dan mesin",'Daftar Koreksi'!$H$5:$H$92,"&lt;0")</f>
        <v>0</v>
      </c>
      <c r="G383" s="17">
        <f t="shared" si="17"/>
        <v>3910196839</v>
      </c>
      <c r="H383" s="122"/>
      <c r="I383" s="28"/>
      <c r="J383" s="28"/>
    </row>
    <row r="384" spans="1:10" ht="21.95" customHeight="1">
      <c r="A384" s="14"/>
      <c r="B384" s="14"/>
      <c r="C384" s="16" t="s">
        <v>1168</v>
      </c>
      <c r="D384" s="17">
        <f>VLOOKUP(A378,'Neraca Unaudited SIMAK'!$A$2:$S$10004,6,FALSE)</f>
        <v>10855678555</v>
      </c>
      <c r="E384" s="25">
        <f>SUMIFS('Daftar Koreksi'!$H$5:$H$92,'Daftar Koreksi'!$D$5:$D$92,'2400'!A378,'Daftar Koreksi'!$G$5:$G$92,"Gedung dan Bangunan",'Daftar Koreksi'!$H$5:$H$92,"&gt;0")</f>
        <v>0</v>
      </c>
      <c r="F384" s="25">
        <f>SUMIFS('Daftar Koreksi'!$H$5:$H$92,'Daftar Koreksi'!$D$5:$D$92,'2400'!A378,'Daftar Koreksi'!$G$5:$G$92,"Gedung dan Bangunan",'Daftar Koreksi'!$H$5:$H$92,"&lt;0")-SUMIFS('Daftar Koreksi'!$H$5:$H$92,'Daftar Koreksi'!$D$5:$D$92,'2400'!A378,'Daftar Koreksi'!$G$5:$G$92,"Gedung dan Bangunan",'Daftar Koreksi'!$H$5:$H$92,"&lt;0")-SUMIFS('Daftar Koreksi'!$H$5:$H$92,'Daftar Koreksi'!$D$5:$D$92,'2400'!A378,'Daftar Koreksi'!$G$5:$G$92,"Gedung dan Bangunan",'Daftar Koreksi'!$H$5:$H$92,"&lt;0")</f>
        <v>0</v>
      </c>
      <c r="G384" s="17">
        <f t="shared" si="17"/>
        <v>10855678555</v>
      </c>
      <c r="H384" s="122"/>
      <c r="I384" s="28"/>
      <c r="J384" s="28"/>
    </row>
    <row r="385" spans="1:10" ht="21.95" customHeight="1">
      <c r="A385" s="14"/>
      <c r="B385" s="14"/>
      <c r="C385" s="16" t="s">
        <v>1169</v>
      </c>
      <c r="D385" s="17">
        <f>VLOOKUP(A378,'Neraca Unaudited SIMAK'!$A$2:$S$10004,7,FALSE)</f>
        <v>536016464</v>
      </c>
      <c r="E385" s="25">
        <f>SUMIFS('Daftar Koreksi'!$H$5:$H$92,'Daftar Koreksi'!$D$5:$D$92,'2400'!A378,'Daftar Koreksi'!$G$5:$G$92,"Jalan Irigasi Jaringan",'Daftar Koreksi'!$H$5:$H$92,"&gt;0")</f>
        <v>0</v>
      </c>
      <c r="F385" s="25">
        <f>SUMIFS('Daftar Koreksi'!$H$5:$H$92,'Daftar Koreksi'!$D$5:$D$92,'2400'!A378,'Daftar Koreksi'!$G$5:$G$92,"Jalan Irigasi Jaringan",'Daftar Koreksi'!$H$5:$H$92,"&lt;0")-SUMIFS('Daftar Koreksi'!$H$5:$H$92,'Daftar Koreksi'!$D$5:$D$92,'2400'!A378,'Daftar Koreksi'!$G$5:$G$92,"Jalan Irigasi Jaringan",'Daftar Koreksi'!$H$5:$H$92,"&lt;0")-SUMIFS('Daftar Koreksi'!$H$5:$H$92,'Daftar Koreksi'!$D$5:$D$92,'2400'!A378,'Daftar Koreksi'!$G$5:$G$92,"Jalan Irigasi Jaringan",'Daftar Koreksi'!$H$5:$H$92,"&lt;0")</f>
        <v>0</v>
      </c>
      <c r="G385" s="17">
        <f t="shared" si="17"/>
        <v>536016464</v>
      </c>
      <c r="H385" s="122"/>
      <c r="I385" s="28"/>
      <c r="J385" s="28"/>
    </row>
    <row r="386" spans="1:10" ht="21.95" customHeight="1">
      <c r="A386" s="14"/>
      <c r="B386" s="14"/>
      <c r="C386" s="16" t="s">
        <v>1170</v>
      </c>
      <c r="D386" s="17">
        <f>VLOOKUP(A378,'Neraca Unaudited SIMAK'!$A$2:$S$10004,8,FALSE)</f>
        <v>8580940</v>
      </c>
      <c r="E386" s="25">
        <f>SUMIFS('Daftar Koreksi'!$H$5:$H$92,'Daftar Koreksi'!$D$5:$D$92,'2400'!A378,'Daftar Koreksi'!$G$5:$G$92,"Aset Tetap Lainnya",'Daftar Koreksi'!$H$5:$H$92,"&gt;0")</f>
        <v>0</v>
      </c>
      <c r="F386" s="25">
        <f>SUMIFS('Daftar Koreksi'!$H$5:$H$92,'Daftar Koreksi'!$D$5:$D$92,'2400'!A378,'Daftar Koreksi'!$G$5:$G$92,"Aset Tetap Lainnya",'Daftar Koreksi'!$H$5:$H$92,"&lt;0")-SUMIFS('Daftar Koreksi'!$H$5:$H$92,'Daftar Koreksi'!$D$5:$D$92,'2400'!A378,'Daftar Koreksi'!$G$5:$G$92,"Aset Tetap Lainnya",'Daftar Koreksi'!$H$5:$H$92,"&lt;0")-SUMIFS('Daftar Koreksi'!$H$5:$H$92,'Daftar Koreksi'!$D$5:$D$92,'2400'!A378,'Daftar Koreksi'!$G$5:$G$92,"Aset Tetap Lainnya",'Daftar Koreksi'!$H$5:$H$92,"&lt;0")</f>
        <v>0</v>
      </c>
      <c r="G386" s="17">
        <f t="shared" si="17"/>
        <v>8580940</v>
      </c>
      <c r="H386" s="122"/>
      <c r="I386" s="28"/>
      <c r="J386" s="28"/>
    </row>
    <row r="387" spans="1:10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Koreksi'!$D$5:$D$92,'2400'!A378,'Daftar Koreksi'!$G$5:$G$92,"Kontruksi Dalam Pengerjaan",'Daftar Koreksi'!$H$5:$H$92,"&gt;0")</f>
        <v>0</v>
      </c>
      <c r="F387" s="25">
        <f>SUMIFS('Daftar Koreksi'!$H$5:$H$92,'Daftar Koreksi'!$D$5:$D$92,'2400'!A378,'Daftar Koreksi'!$G$5:$G$92,"Kontruksi Dalam Pengerjaan",'Daftar Koreksi'!$H$5:$H$92,"&lt;0")-SUMIFS('Daftar Koreksi'!$H$5:$H$92,'Daftar Koreksi'!$D$5:$D$92,'2400'!A378,'Daftar Koreksi'!$G$5:$G$92,"Kontruksi Dalam Pengerjaan",'Daftar Koreksi'!$H$5:$H$92,"&lt;0")-SUMIFS('Daftar Koreksi'!$H$5:$H$92,'Daftar Koreksi'!$D$5:$D$92,'2400'!A378,'Daftar Koreksi'!$G$5:$G$92,"Kontruksi Dalam Pengerjaan",'Daftar Koreksi'!$H$5:$H$92,"&lt;0")</f>
        <v>0</v>
      </c>
      <c r="G387" s="17">
        <f t="shared" si="17"/>
        <v>0</v>
      </c>
      <c r="H387" s="122"/>
      <c r="I387" s="28"/>
      <c r="J387" s="28"/>
    </row>
    <row r="388" spans="1:10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Koreksi'!$D$5:$D$92,'2400'!A378,'Daftar Koreksi'!$G$5:$G$92,"Aset Tak Berwujud",'Daftar Koreksi'!$H$5:$H$92,"&gt;0")</f>
        <v>0</v>
      </c>
      <c r="F388" s="25">
        <f>SUMIFS('Daftar Koreksi'!$H$5:$H$92,'Daftar Koreksi'!$D$5:$D$92,'2400'!A378,'Daftar Koreksi'!$G$5:$G$92,"Aset Tak Berwujud",'Daftar Koreksi'!$H$5:$H$92,"&lt;0")-SUMIFS('Daftar Koreksi'!$H$5:$H$92,'Daftar Koreksi'!$D$5:$D$92,'2400'!A378,'Daftar Koreksi'!$G$5:$G$92,"Aset Tak Berwujud",'Daftar Koreksi'!$H$5:$H$92,"&lt;0")-SUMIFS('Daftar Koreksi'!$H$5:$H$92,'Daftar Koreksi'!$D$5:$D$92,'2400'!A378,'Daftar Koreksi'!$G$5:$G$92,"Aset Tak Berwujud",'Daftar Koreksi'!$H$5:$H$92,"&lt;0")</f>
        <v>0</v>
      </c>
      <c r="G388" s="17">
        <f t="shared" si="17"/>
        <v>0</v>
      </c>
      <c r="H388" s="122"/>
      <c r="I388" s="28"/>
      <c r="J388" s="28"/>
    </row>
    <row r="389" spans="1:10" ht="21.95" customHeight="1">
      <c r="A389" s="14"/>
      <c r="B389" s="14"/>
      <c r="C389" s="16" t="s">
        <v>1173</v>
      </c>
      <c r="D389" s="17">
        <f>VLOOKUP(A378,'Neraca Unaudited SIMAK'!$A$2:$S$10004,11,FALSE)</f>
        <v>0</v>
      </c>
      <c r="E389" s="25">
        <f>SUMIFS('Daftar Koreksi'!$H$5:$H$92,'Daftar Koreksi'!$D$5:$D$92,'2400'!A378,'Daftar Koreksi'!$G$5:$G$92,"Aset Henti Guna",'Daftar Koreksi'!$H$5:$H$92,"&gt;0")</f>
        <v>0</v>
      </c>
      <c r="F389" s="25">
        <f>SUMIFS('Daftar Koreksi'!$H$5:$H$92,'Daftar Koreksi'!$D$5:$D$92,'2400'!A378,'Daftar Koreksi'!$G$5:$G$92,"Aset Henti Guna",'Daftar Koreksi'!$H$5:$H$92,"&lt;0")-SUMIFS('Daftar Koreksi'!$H$5:$H$92,'Daftar Koreksi'!$D$5:$D$92,'2400'!A378,'Daftar Koreksi'!$G$5:$G$92,"Aset Henti Guna",'Daftar Koreksi'!$H$5:$H$92,"&lt;0")-SUMIFS('Daftar Koreksi'!$H$5:$H$92,'Daftar Koreksi'!$D$5:$D$92,'2400'!A378,'Daftar Koreksi'!$G$5:$G$92,"Aset Henti Guna",'Daftar Koreksi'!$H$5:$H$92,"&lt;0")</f>
        <v>0</v>
      </c>
      <c r="G389" s="17">
        <f t="shared" si="17"/>
        <v>0</v>
      </c>
      <c r="H389" s="122"/>
      <c r="I389" s="28"/>
      <c r="J389" s="28"/>
    </row>
    <row r="390" spans="1:10" ht="21.95" customHeight="1">
      <c r="A390" s="14"/>
      <c r="B390" s="14"/>
      <c r="C390" s="18" t="s">
        <v>2093</v>
      </c>
      <c r="D390" s="19">
        <f>VLOOKUP(A378,'Neraca Unaudited SIMAK'!$A$2:$S$10004,12,FALSE)</f>
        <v>25464773858</v>
      </c>
      <c r="E390" s="19">
        <f>SUM(E381:E389)</f>
        <v>0</v>
      </c>
      <c r="F390" s="19">
        <f>SUM(F381:F389)</f>
        <v>0</v>
      </c>
      <c r="G390" s="19">
        <f t="shared" si="17"/>
        <v>25464773858</v>
      </c>
      <c r="H390" s="122"/>
      <c r="I390" s="28"/>
      <c r="J390" s="28"/>
    </row>
    <row r="391" spans="1:10" ht="21.95" customHeight="1">
      <c r="A391" s="14"/>
      <c r="B391" s="14"/>
      <c r="C391" s="16" t="s">
        <v>2087</v>
      </c>
      <c r="D391" s="17">
        <f>VLOOKUP(A378,'Neraca Unaudited SIMAK'!$A$2:$S$10004,13,FALSE)</f>
        <v>-3471110829</v>
      </c>
      <c r="E391" s="25">
        <f>SUMIFS('Daftar Koreksi'!$I$5:$I$92,'Daftar Koreksi'!$D$5:$D$92,'2400'!A378,'Daftar Koreksi'!$G$5:$G$92,"Peralatan dan mesin",'Daftar Koreksi'!$I$5:$I$92,"&gt;0")</f>
        <v>0</v>
      </c>
      <c r="F391" s="25">
        <f>SUMIFS('Daftar Koreksi'!$I$5:$I$92,'Daftar Koreksi'!$D$5:$D$92,'2400'!A378,'Daftar Koreksi'!$G$5:$G$92,"Peralatan dan mesin",'Daftar Koreksi'!$I$5:$I$92,"&lt;0")-SUMIFS('Daftar Koreksi'!$I$5:$I$92,'Daftar Koreksi'!$D$5:$D$92,'2400'!A378,'Daftar Koreksi'!$G$5:$G$92,"Peralatan dan mesin",'Daftar Koreksi'!$I$5:$I$92,"&lt;0")-SUMIFS('Daftar Koreksi'!$I$5:$I$92,'Daftar Koreksi'!$D$5:$D$92,'2400'!A378,'Daftar Koreksi'!$G$5:$G$92,"Peralatan dan mesin",'Daftar Koreksi'!$I$5:$I$92,"&lt;0")</f>
        <v>0</v>
      </c>
      <c r="G391" s="17">
        <f t="shared" si="17"/>
        <v>-3471110829</v>
      </c>
      <c r="H391" s="122"/>
      <c r="I391" s="28"/>
      <c r="J391" s="28"/>
    </row>
    <row r="392" spans="1:10" ht="21.95" customHeight="1">
      <c r="A392" s="14"/>
      <c r="B392" s="14"/>
      <c r="C392" s="16" t="s">
        <v>2088</v>
      </c>
      <c r="D392" s="17">
        <f>VLOOKUP(A378,'Neraca Unaudited SIMAK'!$A$2:$S$10004,14,FALSE)</f>
        <v>-2049819632</v>
      </c>
      <c r="E392" s="25">
        <f>SUMIFS('Daftar Koreksi'!$I$5:$I$92,'Daftar Koreksi'!$D$5:$D$92,'2400'!A378,'Daftar Koreksi'!$G$5:$G$92,"Gedung dan Bangunan",'Daftar Koreksi'!$I$5:$I$92,"&gt;0")</f>
        <v>0</v>
      </c>
      <c r="F392" s="25">
        <f>SUMIFS('Daftar Koreksi'!$I$5:$I$92,'Daftar Koreksi'!$D$5:$D$92,'2400'!A378,'Daftar Koreksi'!$G$5:$G$92,"Gedung dan Bangunan",'Daftar Koreksi'!$I$5:$I$92,"&lt;0")-SUMIFS('Daftar Koreksi'!$I$5:$I$92,'Daftar Koreksi'!$D$5:$D$92,'2400'!A378,'Daftar Koreksi'!$G$5:$G$92,"Gedung dan Bangunan",'Daftar Koreksi'!$I$5:$I$92,"&lt;0")-SUMIFS('Daftar Koreksi'!$I$5:$I$92,'Daftar Koreksi'!$D$5:$D$92,'2400'!A378,'Daftar Koreksi'!$G$5:$G$92,"Gedung dan Bangunan",'Daftar Koreksi'!$I$5:$I$92,"&lt;0")</f>
        <v>0</v>
      </c>
      <c r="G392" s="17">
        <f t="shared" si="17"/>
        <v>-2049819632</v>
      </c>
      <c r="H392" s="122"/>
      <c r="I392" s="28"/>
      <c r="J392" s="28"/>
    </row>
    <row r="393" spans="1:10" ht="21.95" customHeight="1">
      <c r="A393" s="14"/>
      <c r="B393" s="14"/>
      <c r="C393" s="16" t="s">
        <v>2089</v>
      </c>
      <c r="D393" s="17">
        <f>VLOOKUP(A378,'Neraca Unaudited SIMAK'!$A$2:$S$10004,15,FALSE)</f>
        <v>-321431770</v>
      </c>
      <c r="E393" s="25">
        <f>SUMIFS('Daftar Koreksi'!$I$5:$I$92,'Daftar Koreksi'!$D$5:$D$92,'2400'!A378,'Daftar Koreksi'!$G$5:$G$92,"Jalan Irigasi Jaringan",'Daftar Koreksi'!$I$5:$I$92,"&gt;0")</f>
        <v>0</v>
      </c>
      <c r="F393" s="25">
        <f>SUMIFS('Daftar Koreksi'!$I$5:$I$92,'Daftar Koreksi'!$D$5:$D$92,'2400'!A378,'Daftar Koreksi'!$G$5:$G$92,"Jalan Irigasi Jaringan",'Daftar Koreksi'!$I$5:$I$92,"&lt;0")-SUMIFS('Daftar Koreksi'!$I$5:$I$92,'Daftar Koreksi'!$D$5:$D$92,'2400'!A378,'Daftar Koreksi'!$G$5:$G$92,"Jalan Irigasi Jaringan",'Daftar Koreksi'!$I$5:$I$92,"&lt;0")-SUMIFS('Daftar Koreksi'!$I$5:$I$92,'Daftar Koreksi'!$D$5:$D$92,'2400'!A378,'Daftar Koreksi'!$G$5:$G$92,"Jalan Irigasi Jaringan",'Daftar Koreksi'!$I$5:$I$92,"&lt;0")</f>
        <v>0</v>
      </c>
      <c r="G393" s="17">
        <f t="shared" si="17"/>
        <v>-321431770</v>
      </c>
      <c r="H393" s="122"/>
      <c r="I393" s="28"/>
      <c r="J393" s="28"/>
    </row>
    <row r="394" spans="1:10" ht="21.95" customHeight="1">
      <c r="A394" s="14"/>
      <c r="B394" s="14"/>
      <c r="C394" s="16" t="s">
        <v>2090</v>
      </c>
      <c r="D394" s="17">
        <f>VLOOKUP(A378,'Neraca Unaudited SIMAK'!$A$2:$S$10004,16,FALSE)</f>
        <v>-6637500</v>
      </c>
      <c r="E394" s="25">
        <f>SUMIFS('Daftar Koreksi'!$I$5:$I$92,'Daftar Koreksi'!$D$5:$D$92,'2400'!A378,'Daftar Koreksi'!$G$5:$G$92,"Aset Tetap Lainnya",'Daftar Koreksi'!$I$5:$I$92,"&gt;0")</f>
        <v>0</v>
      </c>
      <c r="F394" s="25">
        <f>SUMIFS('Daftar Koreksi'!$I$5:$I$92,'Daftar Koreksi'!$D$5:$D$92,'2400'!A378,'Daftar Koreksi'!$G$5:$G$92,"Aset Tetap Lainnya",'Daftar Koreksi'!$I$5:$I$92,"&lt;0")-SUMIFS('Daftar Koreksi'!$I$5:$I$92,'Daftar Koreksi'!$D$5:$D$92,'2400'!A378,'Daftar Koreksi'!$G$5:$G$92,"Aset Tetap Lainnya",'Daftar Koreksi'!$I$5:$I$92,"&lt;0")-SUMIFS('Daftar Koreksi'!$I$5:$I$92,'Daftar Koreksi'!$D$5:$D$92,'2400'!A378,'Daftar Koreksi'!$G$5:$G$92,"Aset Tetap Lainnya",'Daftar Koreksi'!$I$5:$I$92,"&lt;0")</f>
        <v>0</v>
      </c>
      <c r="G394" s="17">
        <f t="shared" si="17"/>
        <v>-6637500</v>
      </c>
      <c r="H394" s="122"/>
      <c r="I394" s="28"/>
      <c r="J394" s="28"/>
    </row>
    <row r="395" spans="1:10" ht="21.95" customHeight="1">
      <c r="A395" s="14"/>
      <c r="B395" s="14"/>
      <c r="C395" s="16" t="s">
        <v>2020</v>
      </c>
      <c r="D395" s="17">
        <f>VLOOKUP(A378,'Neraca Unaudited SIMAK'!$A$2:$S$10004,17,FALSE)</f>
        <v>0</v>
      </c>
      <c r="E395" s="25">
        <f>SUMIFS('Daftar Koreksi'!$I$5:$I$92,'Daftar Koreksi'!$D$5:$D$92,'2400'!A378,'Daftar Koreksi'!$G$5:$G$92,"Aset Henti Guna",'Daftar Koreksi'!$I$5:$I$92,"&gt;0")</f>
        <v>0</v>
      </c>
      <c r="F395" s="25">
        <f>SUMIFS('Daftar Koreksi'!$I$5:$I$92,'Daftar Koreksi'!$D$5:$D$92,'2400'!A378,'Daftar Koreksi'!$G$5:$G$92,"Aset Henti Guna",'Daftar Koreksi'!$I$5:$I$92,"&lt;0")-SUMIFS('Daftar Koreksi'!$I$5:$I$92,'Daftar Koreksi'!$D$5:$D$92,'2400'!A378,'Daftar Koreksi'!$G$5:$G$92,"Aset Henti Guna",'Daftar Koreksi'!$I$5:$I$92,"&lt;0")-SUMIFS('Daftar Koreksi'!$I$5:$I$92,'Daftar Koreksi'!$D$5:$D$92,'2400'!A378,'Daftar Koreksi'!$G$5:$G$92,"Aset Henti Guna",'Daftar Koreksi'!$I$5:$I$92,"&lt;0")</f>
        <v>0</v>
      </c>
      <c r="G395" s="17">
        <f t="shared" si="17"/>
        <v>0</v>
      </c>
      <c r="H395" s="122"/>
      <c r="I395" s="28"/>
      <c r="J395" s="28"/>
    </row>
    <row r="396" spans="1:10" ht="21.95" customHeight="1">
      <c r="A396" s="14"/>
      <c r="B396" s="14"/>
      <c r="C396" s="18" t="s">
        <v>2094</v>
      </c>
      <c r="D396" s="19">
        <f>SUM(D391:D395)</f>
        <v>-5848999731</v>
      </c>
      <c r="E396" s="19">
        <f>SUM(E391:E395)</f>
        <v>0</v>
      </c>
      <c r="F396" s="19">
        <f>SUM(F391:F395)</f>
        <v>0</v>
      </c>
      <c r="G396" s="19">
        <f t="shared" si="17"/>
        <v>-5848999731</v>
      </c>
      <c r="H396" s="122"/>
      <c r="I396" s="28"/>
      <c r="J396" s="28"/>
    </row>
    <row r="397" spans="1:10" ht="21.95" customHeight="1">
      <c r="A397" s="14"/>
      <c r="B397" s="14"/>
      <c r="C397" s="18" t="s">
        <v>2095</v>
      </c>
      <c r="D397" s="19">
        <f>VLOOKUP(A378,'Neraca Unaudited SIMAK'!$A$2:$S$10004,18,FALSE)</f>
        <v>19615774127</v>
      </c>
      <c r="E397" s="19">
        <f>E396+E390</f>
        <v>0</v>
      </c>
      <c r="F397" s="19">
        <f>F396+F390</f>
        <v>0</v>
      </c>
      <c r="G397" s="19">
        <f t="shared" si="17"/>
        <v>19615774127</v>
      </c>
      <c r="H397" s="122"/>
      <c r="I397" s="28"/>
      <c r="J397" s="28"/>
    </row>
    <row r="398" spans="1:10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  <c r="I398" s="28"/>
      <c r="J398" s="28"/>
    </row>
    <row r="400" spans="1:10" ht="19.5" customHeight="1">
      <c r="A400" s="11" t="str">
        <f>O19</f>
        <v>005012400402794000KD</v>
      </c>
      <c r="B400" s="11" t="str">
        <f>P19</f>
        <v>PA. Larantuka</v>
      </c>
      <c r="C400" s="12" t="str">
        <f>A400&amp;" "&amp;B400</f>
        <v>005012400402794000KD PA. Larantuka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25000</v>
      </c>
      <c r="E403" s="25">
        <f>SUMIFS('Daftar Koreksi'!$H$5:$H$92,'Daftar Koreksi'!$D$5:$D$92,'2400'!A400,'Daftar Koreksi'!$G$5:$G$92,"Persediaan",'Daftar Koreksi'!$H$5:$H$92,"&gt;0")</f>
        <v>0</v>
      </c>
      <c r="F403" s="25">
        <f>SUMIFS('Daftar Koreksi'!$H$5:$H$92,'Daftar Koreksi'!$D$5:$D$92,'2400'!A400,'Daftar Koreksi'!$G$5:$G$92,"Persediaan",'Daftar Koreksi'!$H$5:$H$92,"&lt;0")-SUMIFS('Daftar Koreksi'!$H$5:$H$92,'Daftar Koreksi'!$D$5:$D$92,'2400'!A400,'Daftar Koreksi'!$G$5:$G$92,"Persediaan",'Daftar Koreksi'!$H$5:$H$92,"&lt;0")-SUMIFS('Daftar Koreksi'!$H$5:$H$92,'Daftar Koreksi'!$D$5:$D$92,'2400'!A400,'Daftar Koreksi'!$G$5:$G$92,"Persediaan",'Daftar Koreksi'!$H$5:$H$92,"&lt;0")</f>
        <v>0</v>
      </c>
      <c r="G403" s="17">
        <f>D403+E403-F403</f>
        <v>25000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1031100000</v>
      </c>
      <c r="E404" s="25">
        <f>SUMIFS('Daftar Koreksi'!$H$5:$H$92,'Daftar Koreksi'!$D$5:$D$92,'2400'!A400,'Daftar Koreksi'!$G$5:$G$92,"Tanah",'Daftar Koreksi'!$H$5:$H$92,"&gt;0")</f>
        <v>0</v>
      </c>
      <c r="F404" s="25">
        <f>SUMIFS('Daftar Koreksi'!$H$5:$H$92,'Daftar Koreksi'!$D$5:$D$92,'2400'!A400,'Daftar Koreksi'!$G$5:$G$92,"Tanah",'Daftar Koreksi'!$H$5:$H$92,"&lt;0")-SUMIFS('Daftar Koreksi'!$H$5:$H$92,'Daftar Koreksi'!$D$5:$D$92,'2400'!A400,'Daftar Koreksi'!$G$5:$G$92,"Tanah",'Daftar Koreksi'!$H$5:$H$92,"&lt;0")-SUMIFS('Daftar Koreksi'!$H$5:$H$92,'Daftar Koreksi'!$D$5:$D$92,'2400'!A400,'Daftar Koreksi'!$G$5:$G$92,"Tanah",'Daftar Koreksi'!$H$5:$H$92,"&lt;0")</f>
        <v>0</v>
      </c>
      <c r="G404" s="17">
        <f t="shared" ref="G404:G420" si="18">D404+E404-F404</f>
        <v>1031100000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764534007</v>
      </c>
      <c r="E405" s="25">
        <f>SUMIFS('Daftar Koreksi'!$H$5:$H$92,'Daftar Koreksi'!$D$5:$D$92,'2400'!A400,'Daftar Koreksi'!$G$5:$G$92,"Peralatan dan mesin",'Daftar Koreksi'!$H$5:$H$92,"&gt;0")</f>
        <v>0</v>
      </c>
      <c r="F405" s="25">
        <f>SUMIFS('Daftar Koreksi'!$H$5:$H$92,'Daftar Koreksi'!$D$5:$D$92,'2400'!A400,'Daftar Koreksi'!$G$5:$G$92,"Peralatan dan mesin",'Daftar Koreksi'!$H$5:$H$92,"&lt;0")-SUMIFS('Daftar Koreksi'!$H$5:$H$92,'Daftar Koreksi'!$D$5:$D$92,'2400'!A400,'Daftar Koreksi'!$G$5:$G$92,"Peralatan dan mesin",'Daftar Koreksi'!$H$5:$H$92,"&lt;0")-SUMIFS('Daftar Koreksi'!$H$5:$H$92,'Daftar Koreksi'!$D$5:$D$92,'2400'!A400,'Daftar Koreksi'!$G$5:$G$92,"Peralatan dan mesin",'Daftar Koreksi'!$H$5:$H$92,"&lt;0")</f>
        <v>0</v>
      </c>
      <c r="G405" s="17">
        <f t="shared" si="18"/>
        <v>764534007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764745000</v>
      </c>
      <c r="E406" s="25">
        <f>SUMIFS('Daftar Koreksi'!$H$5:$H$92,'Daftar Koreksi'!$D$5:$D$92,'2400'!A400,'Daftar Koreksi'!$G$5:$G$92,"Gedung dan Bangunan",'Daftar Koreksi'!$H$5:$H$92,"&gt;0")</f>
        <v>0</v>
      </c>
      <c r="F406" s="25">
        <f>SUMIFS('Daftar Koreksi'!$H$5:$H$92,'Daftar Koreksi'!$D$5:$D$92,'2400'!A400,'Daftar Koreksi'!$G$5:$G$92,"Gedung dan Bangunan",'Daftar Koreksi'!$H$5:$H$92,"&lt;0")-SUMIFS('Daftar Koreksi'!$H$5:$H$92,'Daftar Koreksi'!$D$5:$D$92,'2400'!A400,'Daftar Koreksi'!$G$5:$G$92,"Gedung dan Bangunan",'Daftar Koreksi'!$H$5:$H$92,"&lt;0")-SUMIFS('Daftar Koreksi'!$H$5:$H$92,'Daftar Koreksi'!$D$5:$D$92,'2400'!A400,'Daftar Koreksi'!$G$5:$G$92,"Gedung dan Bangunan",'Daftar Koreksi'!$H$5:$H$92,"&lt;0")</f>
        <v>0</v>
      </c>
      <c r="G406" s="17">
        <f t="shared" si="18"/>
        <v>764745000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27165000</v>
      </c>
      <c r="E407" s="25">
        <f>SUMIFS('Daftar Koreksi'!$H$5:$H$92,'Daftar Koreksi'!$D$5:$D$92,'2400'!A400,'Daftar Koreksi'!$G$5:$G$92,"Jalan Irigasi Jaringan",'Daftar Koreksi'!$H$5:$H$92,"&gt;0")</f>
        <v>0</v>
      </c>
      <c r="F407" s="25">
        <f>SUMIFS('Daftar Koreksi'!$H$5:$H$92,'Daftar Koreksi'!$D$5:$D$92,'2400'!A400,'Daftar Koreksi'!$G$5:$G$92,"Jalan Irigasi Jaringan",'Daftar Koreksi'!$H$5:$H$92,"&lt;0")-SUMIFS('Daftar Koreksi'!$H$5:$H$92,'Daftar Koreksi'!$D$5:$D$92,'2400'!A400,'Daftar Koreksi'!$G$5:$G$92,"Jalan Irigasi Jaringan",'Daftar Koreksi'!$H$5:$H$92,"&lt;0")-SUMIFS('Daftar Koreksi'!$H$5:$H$92,'Daftar Koreksi'!$D$5:$D$92,'2400'!A400,'Daftar Koreksi'!$G$5:$G$92,"Jalan Irigasi Jaringan",'Daftar Koreksi'!$H$5:$H$92,"&lt;0")</f>
        <v>0</v>
      </c>
      <c r="G407" s="17">
        <f t="shared" si="18"/>
        <v>27165000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74704370</v>
      </c>
      <c r="E408" s="25">
        <f>SUMIFS('Daftar Koreksi'!$H$5:$H$92,'Daftar Koreksi'!$D$5:$D$92,'2400'!A400,'Daftar Koreksi'!$G$5:$G$92,"Aset Tetap Lainnya",'Daftar Koreksi'!$H$5:$H$92,"&gt;0")</f>
        <v>0</v>
      </c>
      <c r="F408" s="25">
        <f>SUMIFS('Daftar Koreksi'!$H$5:$H$92,'Daftar Koreksi'!$D$5:$D$92,'2400'!A400,'Daftar Koreksi'!$G$5:$G$92,"Aset Tetap Lainnya",'Daftar Koreksi'!$H$5:$H$92,"&lt;0")-SUMIFS('Daftar Koreksi'!$H$5:$H$92,'Daftar Koreksi'!$D$5:$D$92,'2400'!A400,'Daftar Koreksi'!$G$5:$G$92,"Aset Tetap Lainnya",'Daftar Koreksi'!$H$5:$H$92,"&lt;0")-SUMIFS('Daftar Koreksi'!$H$5:$H$92,'Daftar Koreksi'!$D$5:$D$92,'2400'!A400,'Daftar Koreksi'!$G$5:$G$92,"Aset Tetap Lainnya",'Daftar Koreksi'!$H$5:$H$92,"&lt;0")</f>
        <v>0</v>
      </c>
      <c r="G408" s="17">
        <f t="shared" si="18"/>
        <v>74704370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Koreksi'!$D$5:$D$92,'2400'!A400,'Daftar Koreksi'!$G$5:$G$92,"Kontruksi Dalam Pengerjaan",'Daftar Koreksi'!$H$5:$H$92,"&gt;0")</f>
        <v>0</v>
      </c>
      <c r="F409" s="25">
        <f>SUMIFS('Daftar Koreksi'!$H$5:$H$92,'Daftar Koreksi'!$D$5:$D$92,'2400'!A400,'Daftar Koreksi'!$G$5:$G$92,"Kontruksi Dalam Pengerjaan",'Daftar Koreksi'!$H$5:$H$92,"&lt;0")-SUMIFS('Daftar Koreksi'!$H$5:$H$92,'Daftar Koreksi'!$D$5:$D$92,'2400'!A400,'Daftar Koreksi'!$G$5:$G$92,"Kontruksi Dalam Pengerjaan",'Daftar Koreksi'!$H$5:$H$92,"&lt;0")-SUMIFS('Daftar Koreksi'!$H$5:$H$92,'Daftar Koreksi'!$D$5:$D$92,'2400'!A400,'Daftar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21800000</v>
      </c>
      <c r="E410" s="25">
        <f>SUMIFS('Daftar Koreksi'!$H$5:$H$92,'Daftar Koreksi'!$D$5:$D$92,'2400'!A400,'Daftar Koreksi'!$G$5:$G$92,"Aset Tak Berwujud",'Daftar Koreksi'!$H$5:$H$92,"&gt;0")</f>
        <v>0</v>
      </c>
      <c r="F410" s="25">
        <f>SUMIFS('Daftar Koreksi'!$H$5:$H$92,'Daftar Koreksi'!$D$5:$D$92,'2400'!A400,'Daftar Koreksi'!$G$5:$G$92,"Aset Tak Berwujud",'Daftar Koreksi'!$H$5:$H$92,"&lt;0")-SUMIFS('Daftar Koreksi'!$H$5:$H$92,'Daftar Koreksi'!$D$5:$D$92,'2400'!A400,'Daftar Koreksi'!$G$5:$G$92,"Aset Tak Berwujud",'Daftar Koreksi'!$H$5:$H$92,"&lt;0")-SUMIFS('Daftar Koreksi'!$H$5:$H$92,'Daftar Koreksi'!$D$5:$D$92,'2400'!A400,'Daftar Koreksi'!$G$5:$G$92,"Aset Tak Berwujud",'Daftar Koreksi'!$H$5:$H$92,"&lt;0")</f>
        <v>0</v>
      </c>
      <c r="G410" s="17">
        <f t="shared" si="18"/>
        <v>21800000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7404750</v>
      </c>
      <c r="E411" s="25">
        <f>SUMIFS('Daftar Koreksi'!$H$5:$H$92,'Daftar Koreksi'!$D$5:$D$92,'2400'!A400,'Daftar Koreksi'!$G$5:$G$92,"Aset Henti Guna",'Daftar Koreksi'!$H$5:$H$92,"&gt;0")</f>
        <v>0</v>
      </c>
      <c r="F411" s="25">
        <f>SUMIFS('Daftar Koreksi'!$H$5:$H$92,'Daftar Koreksi'!$D$5:$D$92,'2400'!A400,'Daftar Koreksi'!$G$5:$G$92,"Aset Henti Guna",'Daftar Koreksi'!$H$5:$H$92,"&lt;0")-SUMIFS('Daftar Koreksi'!$H$5:$H$92,'Daftar Koreksi'!$D$5:$D$92,'2400'!A400,'Daftar Koreksi'!$G$5:$G$92,"Aset Henti Guna",'Daftar Koreksi'!$H$5:$H$92,"&lt;0")-SUMIFS('Daftar Koreksi'!$H$5:$H$92,'Daftar Koreksi'!$D$5:$D$92,'2400'!A400,'Daftar Koreksi'!$G$5:$G$92,"Aset Henti Guna",'Daftar Koreksi'!$H$5:$H$92,"&lt;0")</f>
        <v>0</v>
      </c>
      <c r="G411" s="17">
        <f t="shared" si="18"/>
        <v>7404750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2691478127</v>
      </c>
      <c r="E412" s="19">
        <f>SUM(E403:E411)</f>
        <v>0</v>
      </c>
      <c r="F412" s="19">
        <f>SUM(F403:F411)</f>
        <v>0</v>
      </c>
      <c r="G412" s="19">
        <f t="shared" si="18"/>
        <v>2691478127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-683123229</v>
      </c>
      <c r="E413" s="25">
        <f>SUMIFS('Daftar Koreksi'!$I$5:$I$92,'Daftar Koreksi'!$D$5:$D$92,'2400'!A400,'Daftar Koreksi'!$G$5:$G$92,"Peralatan dan mesin",'Daftar Koreksi'!$I$5:$I$92,"&gt;0")</f>
        <v>0</v>
      </c>
      <c r="F413" s="25">
        <f>SUMIFS('Daftar Koreksi'!$I$5:$I$92,'Daftar Koreksi'!$D$5:$D$92,'2400'!A400,'Daftar Koreksi'!$G$5:$G$92,"Peralatan dan mesin",'Daftar Koreksi'!$I$5:$I$92,"&lt;0")-SUMIFS('Daftar Koreksi'!$I$5:$I$92,'Daftar Koreksi'!$D$5:$D$92,'2400'!A400,'Daftar Koreksi'!$G$5:$G$92,"Peralatan dan mesin",'Daftar Koreksi'!$I$5:$I$92,"&lt;0")-SUMIFS('Daftar Koreksi'!$I$5:$I$92,'Daftar Koreksi'!$D$5:$D$92,'2400'!A400,'Daftar Koreksi'!$G$5:$G$92,"Peralatan dan mesin",'Daftar Koreksi'!$I$5:$I$92,"&lt;0")</f>
        <v>0</v>
      </c>
      <c r="G413" s="17">
        <f t="shared" si="18"/>
        <v>-683123229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-109055031</v>
      </c>
      <c r="E414" s="25">
        <f>SUMIFS('Daftar Koreksi'!$I$5:$I$92,'Daftar Koreksi'!$D$5:$D$92,'2400'!A400,'Daftar Koreksi'!$G$5:$G$92,"Gedung dan Bangunan",'Daftar Koreksi'!$I$5:$I$92,"&gt;0")</f>
        <v>0</v>
      </c>
      <c r="F414" s="25">
        <f>SUMIFS('Daftar Koreksi'!$I$5:$I$92,'Daftar Koreksi'!$D$5:$D$92,'2400'!A400,'Daftar Koreksi'!$G$5:$G$92,"Gedung dan Bangunan",'Daftar Koreksi'!$I$5:$I$92,"&lt;0")-SUMIFS('Daftar Koreksi'!$I$5:$I$92,'Daftar Koreksi'!$D$5:$D$92,'2400'!A400,'Daftar Koreksi'!$G$5:$G$92,"Gedung dan Bangunan",'Daftar Koreksi'!$I$5:$I$92,"&lt;0")-SUMIFS('Daftar Koreksi'!$I$5:$I$92,'Daftar Koreksi'!$D$5:$D$92,'2400'!A400,'Daftar Koreksi'!$G$5:$G$92,"Gedung dan Bangunan",'Daftar Koreksi'!$I$5:$I$92,"&lt;0")</f>
        <v>0</v>
      </c>
      <c r="G414" s="17">
        <f t="shared" si="18"/>
        <v>-109055031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-5916063</v>
      </c>
      <c r="E415" s="25">
        <f>SUMIFS('Daftar Koreksi'!$I$5:$I$92,'Daftar Koreksi'!$D$5:$D$92,'2400'!A400,'Daftar Koreksi'!$G$5:$G$92,"Jalan Irigasi Jaringan",'Daftar Koreksi'!$I$5:$I$92,"&gt;0")</f>
        <v>0</v>
      </c>
      <c r="F415" s="25">
        <f>SUMIFS('Daftar Koreksi'!$I$5:$I$92,'Daftar Koreksi'!$D$5:$D$92,'2400'!A400,'Daftar Koreksi'!$G$5:$G$92,"Jalan Irigasi Jaringan",'Daftar Koreksi'!$I$5:$I$92,"&lt;0")-SUMIFS('Daftar Koreksi'!$I$5:$I$92,'Daftar Koreksi'!$D$5:$D$92,'2400'!A400,'Daftar Koreksi'!$G$5:$G$92,"Jalan Irigasi Jaringan",'Daftar Koreksi'!$I$5:$I$92,"&lt;0")-SUMIFS('Daftar Koreksi'!$I$5:$I$92,'Daftar Koreksi'!$D$5:$D$92,'2400'!A400,'Daftar Koreksi'!$G$5:$G$92,"Jalan Irigasi Jaringan",'Daftar Koreksi'!$I$5:$I$92,"&lt;0")</f>
        <v>0</v>
      </c>
      <c r="G415" s="17">
        <f t="shared" si="18"/>
        <v>-5916063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Koreksi'!$D$5:$D$92,'2400'!A400,'Daftar Koreksi'!$G$5:$G$92,"Aset Tetap Lainnya",'Daftar Koreksi'!$I$5:$I$92,"&gt;0")</f>
        <v>0</v>
      </c>
      <c r="F416" s="25">
        <f>SUMIFS('Daftar Koreksi'!$I$5:$I$92,'Daftar Koreksi'!$D$5:$D$92,'2400'!A400,'Daftar Koreksi'!$G$5:$G$92,"Aset Tetap Lainnya",'Daftar Koreksi'!$I$5:$I$92,"&lt;0")-SUMIFS('Daftar Koreksi'!$I$5:$I$92,'Daftar Koreksi'!$D$5:$D$92,'2400'!A400,'Daftar Koreksi'!$G$5:$G$92,"Aset Tetap Lainnya",'Daftar Koreksi'!$I$5:$I$92,"&lt;0")-SUMIFS('Daftar Koreksi'!$I$5:$I$92,'Daftar Koreksi'!$D$5:$D$92,'2400'!A400,'Daftar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-7404750</v>
      </c>
      <c r="E417" s="25">
        <f>SUMIFS('Daftar Koreksi'!$I$5:$I$92,'Daftar Koreksi'!$D$5:$D$92,'2400'!A400,'Daftar Koreksi'!$G$5:$G$92,"Aset Henti Guna",'Daftar Koreksi'!$I$5:$I$92,"&gt;0")</f>
        <v>0</v>
      </c>
      <c r="F417" s="25">
        <f>SUMIFS('Daftar Koreksi'!$I$5:$I$92,'Daftar Koreksi'!$D$5:$D$92,'2400'!A400,'Daftar Koreksi'!$G$5:$G$92,"Aset Henti Guna",'Daftar Koreksi'!$I$5:$I$92,"&lt;0")-SUMIFS('Daftar Koreksi'!$I$5:$I$92,'Daftar Koreksi'!$D$5:$D$92,'2400'!A400,'Daftar Koreksi'!$G$5:$G$92,"Aset Henti Guna",'Daftar Koreksi'!$I$5:$I$92,"&lt;0")-SUMIFS('Daftar Koreksi'!$I$5:$I$92,'Daftar Koreksi'!$D$5:$D$92,'2400'!A400,'Daftar Koreksi'!$G$5:$G$92,"Aset Henti Guna",'Daftar Koreksi'!$I$5:$I$92,"&lt;0")</f>
        <v>0</v>
      </c>
      <c r="G417" s="17">
        <f t="shared" si="18"/>
        <v>-7404750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-805499073</v>
      </c>
      <c r="E418" s="19">
        <f>SUM(E413:E417)</f>
        <v>0</v>
      </c>
      <c r="F418" s="19">
        <f>SUM(F413:F417)</f>
        <v>0</v>
      </c>
      <c r="G418" s="19">
        <f t="shared" si="18"/>
        <v>-805499073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1885979054</v>
      </c>
      <c r="E419" s="19">
        <f>E418+E412</f>
        <v>0</v>
      </c>
      <c r="F419" s="19">
        <f>F418+F412</f>
        <v>0</v>
      </c>
      <c r="G419" s="19">
        <f t="shared" si="18"/>
        <v>1885979054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005012400402808000KD</v>
      </c>
      <c r="B422" s="11" t="str">
        <f>P20</f>
        <v>PA. Ruteng</v>
      </c>
      <c r="C422" s="12" t="str">
        <f>A422&amp;" "&amp;B422</f>
        <v>005012400402808000KD PA. Ruteng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1860000</v>
      </c>
      <c r="E425" s="25">
        <f>SUMIFS('Daftar Koreksi'!$H$5:$H$92,'Daftar Koreksi'!$D$5:$D$92,'2400'!A422,'Daftar Koreksi'!$G$5:$G$92,"Persediaan",'Daftar Koreksi'!$H$5:$H$92,"&gt;0")</f>
        <v>0</v>
      </c>
      <c r="F425" s="25">
        <f>SUMIFS('Daftar Koreksi'!$H$5:$H$92,'Daftar Koreksi'!$D$5:$D$92,'2400'!A422,'Daftar Koreksi'!$G$5:$G$92,"Persediaan",'Daftar Koreksi'!$H$5:$H$92,"&lt;0")-SUMIFS('Daftar Koreksi'!$H$5:$H$92,'Daftar Koreksi'!$D$5:$D$92,'2400'!A422,'Daftar Koreksi'!$G$5:$G$92,"Persediaan",'Daftar Koreksi'!$H$5:$H$92,"&lt;0")-SUMIFS('Daftar Koreksi'!$H$5:$H$92,'Daftar Koreksi'!$D$5:$D$92,'2400'!A422,'Daftar Koreksi'!$G$5:$G$92,"Persediaan",'Daftar Koreksi'!$H$5:$H$92,"&lt;0")</f>
        <v>0</v>
      </c>
      <c r="G425" s="17">
        <f>D425+E425-F425</f>
        <v>1860000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1165640000</v>
      </c>
      <c r="E426" s="25">
        <f>SUMIFS('Daftar Koreksi'!$H$5:$H$92,'Daftar Koreksi'!$D$5:$D$92,'2400'!A422,'Daftar Koreksi'!$G$5:$G$92,"Tanah",'Daftar Koreksi'!$H$5:$H$92,"&gt;0")</f>
        <v>0</v>
      </c>
      <c r="F426" s="25">
        <f>SUMIFS('Daftar Koreksi'!$H$5:$H$92,'Daftar Koreksi'!$D$5:$D$92,'2400'!A422,'Daftar Koreksi'!$G$5:$G$92,"Tanah",'Daftar Koreksi'!$H$5:$H$92,"&lt;0")-SUMIFS('Daftar Koreksi'!$H$5:$H$92,'Daftar Koreksi'!$D$5:$D$92,'2400'!A422,'Daftar Koreksi'!$G$5:$G$92,"Tanah",'Daftar Koreksi'!$H$5:$H$92,"&lt;0")-SUMIFS('Daftar Koreksi'!$H$5:$H$92,'Daftar Koreksi'!$D$5:$D$92,'2400'!A422,'Daftar Koreksi'!$G$5:$G$92,"Tanah",'Daftar Koreksi'!$H$5:$H$92,"&lt;0")</f>
        <v>0</v>
      </c>
      <c r="G426" s="17">
        <f t="shared" ref="G426:G442" si="19">D426+E426-F426</f>
        <v>1165640000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1023766564</v>
      </c>
      <c r="E427" s="25">
        <f>SUMIFS('Daftar Koreksi'!$H$5:$H$92,'Daftar Koreksi'!$D$5:$D$92,'2400'!A422,'Daftar Koreksi'!$G$5:$G$92,"Peralatan dan mesin",'Daftar Koreksi'!$H$5:$H$92,"&gt;0")</f>
        <v>0</v>
      </c>
      <c r="F427" s="25">
        <f>SUMIFS('Daftar Koreksi'!$H$5:$H$92,'Daftar Koreksi'!$D$5:$D$92,'2400'!A422,'Daftar Koreksi'!$G$5:$G$92,"Peralatan dan mesin",'Daftar Koreksi'!$H$5:$H$92,"&lt;0")-SUMIFS('Daftar Koreksi'!$H$5:$H$92,'Daftar Koreksi'!$D$5:$D$92,'2400'!A422,'Daftar Koreksi'!$G$5:$G$92,"Peralatan dan mesin",'Daftar Koreksi'!$H$5:$H$92,"&lt;0")-SUMIFS('Daftar Koreksi'!$H$5:$H$92,'Daftar Koreksi'!$D$5:$D$92,'2400'!A422,'Daftar Koreksi'!$G$5:$G$92,"Peralatan dan mesin",'Daftar Koreksi'!$H$5:$H$92,"&lt;0")</f>
        <v>0</v>
      </c>
      <c r="G427" s="17">
        <f t="shared" si="19"/>
        <v>1023766564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9540313243</v>
      </c>
      <c r="E428" s="25">
        <f>SUMIFS('Daftar Koreksi'!$H$5:$H$92,'Daftar Koreksi'!$D$5:$D$92,'2400'!A422,'Daftar Koreksi'!$G$5:$G$92,"Gedung dan Bangunan",'Daftar Koreksi'!$H$5:$H$92,"&gt;0")</f>
        <v>0</v>
      </c>
      <c r="F428" s="25">
        <f>SUMIFS('Daftar Koreksi'!$H$5:$H$92,'Daftar Koreksi'!$D$5:$D$92,'2400'!A422,'Daftar Koreksi'!$G$5:$G$92,"Gedung dan Bangunan",'Daftar Koreksi'!$H$5:$H$92,"&lt;0")-SUMIFS('Daftar Koreksi'!$H$5:$H$92,'Daftar Koreksi'!$D$5:$D$92,'2400'!A422,'Daftar Koreksi'!$G$5:$G$92,"Gedung dan Bangunan",'Daftar Koreksi'!$H$5:$H$92,"&lt;0")-SUMIFS('Daftar Koreksi'!$H$5:$H$92,'Daftar Koreksi'!$D$5:$D$92,'2400'!A422,'Daftar Koreksi'!$G$5:$G$92,"Gedung dan Bangunan",'Daftar Koreksi'!$H$5:$H$92,"&lt;0")</f>
        <v>0</v>
      </c>
      <c r="G428" s="17">
        <f t="shared" si="19"/>
        <v>9540313243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Koreksi'!$D$5:$D$92,'2400'!A422,'Daftar Koreksi'!$G$5:$G$92,"Jalan Irigasi Jaringan",'Daftar Koreksi'!$H$5:$H$92,"&gt;0")</f>
        <v>0</v>
      </c>
      <c r="F429" s="25">
        <f>SUMIFS('Daftar Koreksi'!$H$5:$H$92,'Daftar Koreksi'!$D$5:$D$92,'2400'!A422,'Daftar Koreksi'!$G$5:$G$92,"Jalan Irigasi Jaringan",'Daftar Koreksi'!$H$5:$H$92,"&lt;0")-SUMIFS('Daftar Koreksi'!$H$5:$H$92,'Daftar Koreksi'!$D$5:$D$92,'2400'!A422,'Daftar Koreksi'!$G$5:$G$92,"Jalan Irigasi Jaringan",'Daftar Koreksi'!$H$5:$H$92,"&lt;0")-SUMIFS('Daftar Koreksi'!$H$5:$H$92,'Daftar Koreksi'!$D$5:$D$92,'2400'!A422,'Daftar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22937762</v>
      </c>
      <c r="E430" s="25">
        <f>SUMIFS('Daftar Koreksi'!$H$5:$H$92,'Daftar Koreksi'!$D$5:$D$92,'2400'!A422,'Daftar Koreksi'!$G$5:$G$92,"Aset Tetap Lainnya",'Daftar Koreksi'!$H$5:$H$92,"&gt;0")</f>
        <v>0</v>
      </c>
      <c r="F430" s="25">
        <f>SUMIFS('Daftar Koreksi'!$H$5:$H$92,'Daftar Koreksi'!$D$5:$D$92,'2400'!A422,'Daftar Koreksi'!$G$5:$G$92,"Aset Tetap Lainnya",'Daftar Koreksi'!$H$5:$H$92,"&lt;0")-SUMIFS('Daftar Koreksi'!$H$5:$H$92,'Daftar Koreksi'!$D$5:$D$92,'2400'!A422,'Daftar Koreksi'!$G$5:$G$92,"Aset Tetap Lainnya",'Daftar Koreksi'!$H$5:$H$92,"&lt;0")-SUMIFS('Daftar Koreksi'!$H$5:$H$92,'Daftar Koreksi'!$D$5:$D$92,'2400'!A422,'Daftar Koreksi'!$G$5:$G$92,"Aset Tetap Lainnya",'Daftar Koreksi'!$H$5:$H$92,"&lt;0")</f>
        <v>0</v>
      </c>
      <c r="G430" s="17">
        <f t="shared" si="19"/>
        <v>22937762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Koreksi'!$D$5:$D$92,'2400'!A422,'Daftar Koreksi'!$G$5:$G$92,"Kontruksi Dalam Pengerjaan",'Daftar Koreksi'!$H$5:$H$92,"&gt;0")</f>
        <v>0</v>
      </c>
      <c r="F431" s="25">
        <f>SUMIFS('Daftar Koreksi'!$H$5:$H$92,'Daftar Koreksi'!$D$5:$D$92,'2400'!A422,'Daftar Koreksi'!$G$5:$G$92,"Kontruksi Dalam Pengerjaan",'Daftar Koreksi'!$H$5:$H$92,"&lt;0")-SUMIFS('Daftar Koreksi'!$H$5:$H$92,'Daftar Koreksi'!$D$5:$D$92,'2400'!A422,'Daftar Koreksi'!$G$5:$G$92,"Kontruksi Dalam Pengerjaan",'Daftar Koreksi'!$H$5:$H$92,"&lt;0")-SUMIFS('Daftar Koreksi'!$H$5:$H$92,'Daftar Koreksi'!$D$5:$D$92,'2400'!A422,'Daftar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2000000</v>
      </c>
      <c r="E432" s="25">
        <f>SUMIFS('Daftar Koreksi'!$H$5:$H$92,'Daftar Koreksi'!$D$5:$D$92,'2400'!A422,'Daftar Koreksi'!$G$5:$G$92,"Aset Tak Berwujud",'Daftar Koreksi'!$H$5:$H$92,"&gt;0")</f>
        <v>0</v>
      </c>
      <c r="F432" s="25">
        <f>SUMIFS('Daftar Koreksi'!$H$5:$H$92,'Daftar Koreksi'!$D$5:$D$92,'2400'!A422,'Daftar Koreksi'!$G$5:$G$92,"Aset Tak Berwujud",'Daftar Koreksi'!$H$5:$H$92,"&lt;0")-SUMIFS('Daftar Koreksi'!$H$5:$H$92,'Daftar Koreksi'!$D$5:$D$92,'2400'!A422,'Daftar Koreksi'!$G$5:$G$92,"Aset Tak Berwujud",'Daftar Koreksi'!$H$5:$H$92,"&lt;0")-SUMIFS('Daftar Koreksi'!$H$5:$H$92,'Daftar Koreksi'!$D$5:$D$92,'2400'!A422,'Daftar Koreksi'!$G$5:$G$92,"Aset Tak Berwujud",'Daftar Koreksi'!$H$5:$H$92,"&lt;0")</f>
        <v>0</v>
      </c>
      <c r="G432" s="17">
        <f t="shared" si="19"/>
        <v>2000000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155480857</v>
      </c>
      <c r="E433" s="25">
        <f>SUMIFS('Daftar Koreksi'!$H$5:$H$92,'Daftar Koreksi'!$D$5:$D$92,'2400'!A422,'Daftar Koreksi'!$G$5:$G$92,"Aset Henti Guna",'Daftar Koreksi'!$H$5:$H$92,"&gt;0")</f>
        <v>0</v>
      </c>
      <c r="F433" s="25">
        <f>SUMIFS('Daftar Koreksi'!$H$5:$H$92,'Daftar Koreksi'!$D$5:$D$92,'2400'!A422,'Daftar Koreksi'!$G$5:$G$92,"Aset Henti Guna",'Daftar Koreksi'!$H$5:$H$92,"&lt;0")-SUMIFS('Daftar Koreksi'!$H$5:$H$92,'Daftar Koreksi'!$D$5:$D$92,'2400'!A422,'Daftar Koreksi'!$G$5:$G$92,"Aset Henti Guna",'Daftar Koreksi'!$H$5:$H$92,"&lt;0")-SUMIFS('Daftar Koreksi'!$H$5:$H$92,'Daftar Koreksi'!$D$5:$D$92,'2400'!A422,'Daftar Koreksi'!$G$5:$G$92,"Aset Henti Guna",'Daftar Koreksi'!$H$5:$H$92,"&lt;0")</f>
        <v>0</v>
      </c>
      <c r="G433" s="17">
        <f t="shared" si="19"/>
        <v>155480857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11911998426</v>
      </c>
      <c r="E434" s="19">
        <f>SUM(E425:E433)</f>
        <v>0</v>
      </c>
      <c r="F434" s="19">
        <f>SUM(F425:F433)</f>
        <v>0</v>
      </c>
      <c r="G434" s="19">
        <f t="shared" si="19"/>
        <v>11911998426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-865172359</v>
      </c>
      <c r="E435" s="25">
        <f>SUMIFS('Daftar Koreksi'!$I$5:$I$92,'Daftar Koreksi'!$D$5:$D$92,'2400'!A422,'Daftar Koreksi'!$G$5:$G$92,"Peralatan dan mesin",'Daftar Koreksi'!$I$5:$I$92,"&gt;0")</f>
        <v>0</v>
      </c>
      <c r="F435" s="25">
        <f>SUMIFS('Daftar Koreksi'!$I$5:$I$92,'Daftar Koreksi'!$D$5:$D$92,'2400'!A422,'Daftar Koreksi'!$G$5:$G$92,"Peralatan dan mesin",'Daftar Koreksi'!$I$5:$I$92,"&lt;0")-SUMIFS('Daftar Koreksi'!$I$5:$I$92,'Daftar Koreksi'!$D$5:$D$92,'2400'!A422,'Daftar Koreksi'!$G$5:$G$92,"Peralatan dan mesin",'Daftar Koreksi'!$I$5:$I$92,"&lt;0")-SUMIFS('Daftar Koreksi'!$I$5:$I$92,'Daftar Koreksi'!$D$5:$D$92,'2400'!A422,'Daftar Koreksi'!$G$5:$G$92,"Peralatan dan mesin",'Daftar Koreksi'!$I$5:$I$92,"&lt;0")</f>
        <v>0</v>
      </c>
      <c r="G435" s="17">
        <f t="shared" si="19"/>
        <v>-865172359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-219774090</v>
      </c>
      <c r="E436" s="25">
        <f>SUMIFS('Daftar Koreksi'!$I$5:$I$92,'Daftar Koreksi'!$D$5:$D$92,'2400'!A422,'Daftar Koreksi'!$G$5:$G$92,"Gedung dan Bangunan",'Daftar Koreksi'!$I$5:$I$92,"&gt;0")</f>
        <v>0</v>
      </c>
      <c r="F436" s="25">
        <f>SUMIFS('Daftar Koreksi'!$I$5:$I$92,'Daftar Koreksi'!$D$5:$D$92,'2400'!A422,'Daftar Koreksi'!$G$5:$G$92,"Gedung dan Bangunan",'Daftar Koreksi'!$I$5:$I$92,"&lt;0")-SUMIFS('Daftar Koreksi'!$I$5:$I$92,'Daftar Koreksi'!$D$5:$D$92,'2400'!A422,'Daftar Koreksi'!$G$5:$G$92,"Gedung dan Bangunan",'Daftar Koreksi'!$I$5:$I$92,"&lt;0")-SUMIFS('Daftar Koreksi'!$I$5:$I$92,'Daftar Koreksi'!$D$5:$D$92,'2400'!A422,'Daftar Koreksi'!$G$5:$G$92,"Gedung dan Bangunan",'Daftar Koreksi'!$I$5:$I$92,"&lt;0")</f>
        <v>0</v>
      </c>
      <c r="G436" s="17">
        <f t="shared" si="19"/>
        <v>-219774090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Koreksi'!$D$5:$D$92,'2400'!A422,'Daftar Koreksi'!$G$5:$G$92,"Jalan Irigasi Jaringan",'Daftar Koreksi'!$I$5:$I$92,"&gt;0")</f>
        <v>0</v>
      </c>
      <c r="F437" s="25">
        <f>SUMIFS('Daftar Koreksi'!$I$5:$I$92,'Daftar Koreksi'!$D$5:$D$92,'2400'!A422,'Daftar Koreksi'!$G$5:$G$92,"Jalan Irigasi Jaringan",'Daftar Koreksi'!$I$5:$I$92,"&lt;0")-SUMIFS('Daftar Koreksi'!$I$5:$I$92,'Daftar Koreksi'!$D$5:$D$92,'2400'!A422,'Daftar Koreksi'!$G$5:$G$92,"Jalan Irigasi Jaringan",'Daftar Koreksi'!$I$5:$I$92,"&lt;0")-SUMIFS('Daftar Koreksi'!$I$5:$I$92,'Daftar Koreksi'!$D$5:$D$92,'2400'!A422,'Daftar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Koreksi'!$D$5:$D$92,'2400'!A422,'Daftar Koreksi'!$G$5:$G$92,"Aset Tetap Lainnya",'Daftar Koreksi'!$I$5:$I$92,"&gt;0")</f>
        <v>0</v>
      </c>
      <c r="F438" s="25">
        <f>SUMIFS('Daftar Koreksi'!$I$5:$I$92,'Daftar Koreksi'!$D$5:$D$92,'2400'!A422,'Daftar Koreksi'!$G$5:$G$92,"Aset Tetap Lainnya",'Daftar Koreksi'!$I$5:$I$92,"&lt;0")-SUMIFS('Daftar Koreksi'!$I$5:$I$92,'Daftar Koreksi'!$D$5:$D$92,'2400'!A422,'Daftar Koreksi'!$G$5:$G$92,"Aset Tetap Lainnya",'Daftar Koreksi'!$I$5:$I$92,"&lt;0")-SUMIFS('Daftar Koreksi'!$I$5:$I$92,'Daftar Koreksi'!$D$5:$D$92,'2400'!A422,'Daftar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-155480857</v>
      </c>
      <c r="E439" s="25">
        <f>SUMIFS('Daftar Koreksi'!$I$5:$I$92,'Daftar Koreksi'!$D$5:$D$92,'2400'!A422,'Daftar Koreksi'!$G$5:$G$92,"Aset Henti Guna",'Daftar Koreksi'!$I$5:$I$92,"&gt;0")</f>
        <v>0</v>
      </c>
      <c r="F439" s="25">
        <f>SUMIFS('Daftar Koreksi'!$I$5:$I$92,'Daftar Koreksi'!$D$5:$D$92,'2400'!A422,'Daftar Koreksi'!$G$5:$G$92,"Aset Henti Guna",'Daftar Koreksi'!$I$5:$I$92,"&lt;0")-SUMIFS('Daftar Koreksi'!$I$5:$I$92,'Daftar Koreksi'!$D$5:$D$92,'2400'!A422,'Daftar Koreksi'!$G$5:$G$92,"Aset Henti Guna",'Daftar Koreksi'!$I$5:$I$92,"&lt;0")-SUMIFS('Daftar Koreksi'!$I$5:$I$92,'Daftar Koreksi'!$D$5:$D$92,'2400'!A422,'Daftar Koreksi'!$G$5:$G$92,"Aset Henti Guna",'Daftar Koreksi'!$I$5:$I$92,"&lt;0")</f>
        <v>0</v>
      </c>
      <c r="G439" s="17">
        <f t="shared" si="19"/>
        <v>-155480857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-1240427306</v>
      </c>
      <c r="E440" s="19">
        <f>SUM(E435:E439)</f>
        <v>0</v>
      </c>
      <c r="F440" s="19">
        <f>SUM(F435:F439)</f>
        <v>0</v>
      </c>
      <c r="G440" s="19">
        <f t="shared" si="19"/>
        <v>-1240427306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10671571120</v>
      </c>
      <c r="E441" s="19">
        <f>E440+E434</f>
        <v>0</v>
      </c>
      <c r="F441" s="19">
        <f>F440+F434</f>
        <v>0</v>
      </c>
      <c r="G441" s="19">
        <f t="shared" si="19"/>
        <v>10671571120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005012400402814000KD</v>
      </c>
      <c r="B444" s="11" t="str">
        <f>P21</f>
        <v>PA. Atambua</v>
      </c>
      <c r="C444" s="12" t="str">
        <f>A444&amp;" "&amp;B444</f>
        <v>005012400402814000KD PA. Atambua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147800</v>
      </c>
      <c r="E447" s="25">
        <f>SUMIFS('Daftar Koreksi'!$H$5:$H$92,'Daftar Koreksi'!$D$5:$D$92,'2400'!A444,'Daftar Koreksi'!$G$5:$G$92,"Persediaan",'Daftar Koreksi'!$H$5:$H$92,"&gt;0")</f>
        <v>0</v>
      </c>
      <c r="F447" s="25">
        <f>SUMIFS('Daftar Koreksi'!$H$5:$H$92,'Daftar Koreksi'!$D$5:$D$92,'2400'!A444,'Daftar Koreksi'!$G$5:$G$92,"Persediaan",'Daftar Koreksi'!$H$5:$H$92,"&lt;0")-SUMIFS('Daftar Koreksi'!$H$5:$H$92,'Daftar Koreksi'!$D$5:$D$92,'2400'!A444,'Daftar Koreksi'!$G$5:$G$92,"Persediaan",'Daftar Koreksi'!$H$5:$H$92,"&lt;0")-SUMIFS('Daftar Koreksi'!$H$5:$H$92,'Daftar Koreksi'!$D$5:$D$92,'2400'!A444,'Daftar Koreksi'!$G$5:$G$92,"Persediaan",'Daftar Koreksi'!$H$5:$H$92,"&lt;0")</f>
        <v>0</v>
      </c>
      <c r="G447" s="17">
        <f>D447+E447-F447</f>
        <v>147800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1008750000</v>
      </c>
      <c r="E448" s="25">
        <f>SUMIFS('Daftar Koreksi'!$H$5:$H$92,'Daftar Koreksi'!$D$5:$D$92,'2400'!A444,'Daftar Koreksi'!$G$5:$G$92,"Tanah",'Daftar Koreksi'!$H$5:$H$92,"&gt;0")</f>
        <v>0</v>
      </c>
      <c r="F448" s="25">
        <f>SUMIFS('Daftar Koreksi'!$H$5:$H$92,'Daftar Koreksi'!$D$5:$D$92,'2400'!A444,'Daftar Koreksi'!$G$5:$G$92,"Tanah",'Daftar Koreksi'!$H$5:$H$92,"&lt;0")-SUMIFS('Daftar Koreksi'!$H$5:$H$92,'Daftar Koreksi'!$D$5:$D$92,'2400'!A444,'Daftar Koreksi'!$G$5:$G$92,"Tanah",'Daftar Koreksi'!$H$5:$H$92,"&lt;0")-SUMIFS('Daftar Koreksi'!$H$5:$H$92,'Daftar Koreksi'!$D$5:$D$92,'2400'!A444,'Daftar Koreksi'!$G$5:$G$92,"Tanah",'Daftar Koreksi'!$H$5:$H$92,"&lt;0")</f>
        <v>0</v>
      </c>
      <c r="G448" s="17">
        <f t="shared" ref="G448:G464" si="20">D448+E448-F448</f>
        <v>1008750000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1103569376</v>
      </c>
      <c r="E449" s="25">
        <f>SUMIFS('Daftar Koreksi'!$H$5:$H$92,'Daftar Koreksi'!$D$5:$D$92,'2400'!A444,'Daftar Koreksi'!$G$5:$G$92,"Peralatan dan mesin",'Daftar Koreksi'!$H$5:$H$92,"&gt;0")</f>
        <v>0</v>
      </c>
      <c r="F449" s="25">
        <f>SUMIFS('Daftar Koreksi'!$H$5:$H$92,'Daftar Koreksi'!$D$5:$D$92,'2400'!A444,'Daftar Koreksi'!$G$5:$G$92,"Peralatan dan mesin",'Daftar Koreksi'!$H$5:$H$92,"&lt;0")-SUMIFS('Daftar Koreksi'!$H$5:$H$92,'Daftar Koreksi'!$D$5:$D$92,'2400'!A444,'Daftar Koreksi'!$G$5:$G$92,"Peralatan dan mesin",'Daftar Koreksi'!$H$5:$H$92,"&lt;0")-SUMIFS('Daftar Koreksi'!$H$5:$H$92,'Daftar Koreksi'!$D$5:$D$92,'2400'!A444,'Daftar Koreksi'!$G$5:$G$92,"Peralatan dan mesin",'Daftar Koreksi'!$H$5:$H$92,"&lt;0")</f>
        <v>0</v>
      </c>
      <c r="G449" s="17">
        <f t="shared" si="20"/>
        <v>1103569376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476365000</v>
      </c>
      <c r="E450" s="25">
        <f>SUMIFS('Daftar Koreksi'!$H$5:$H$92,'Daftar Koreksi'!$D$5:$D$92,'2400'!A444,'Daftar Koreksi'!$G$5:$G$92,"Gedung dan Bangunan",'Daftar Koreksi'!$H$5:$H$92,"&gt;0")</f>
        <v>0</v>
      </c>
      <c r="F450" s="25">
        <f>SUMIFS('Daftar Koreksi'!$H$5:$H$92,'Daftar Koreksi'!$D$5:$D$92,'2400'!A444,'Daftar Koreksi'!$G$5:$G$92,"Gedung dan Bangunan",'Daftar Koreksi'!$H$5:$H$92,"&lt;0")-SUMIFS('Daftar Koreksi'!$H$5:$H$92,'Daftar Koreksi'!$D$5:$D$92,'2400'!A444,'Daftar Koreksi'!$G$5:$G$92,"Gedung dan Bangunan",'Daftar Koreksi'!$H$5:$H$92,"&lt;0")-SUMIFS('Daftar Koreksi'!$H$5:$H$92,'Daftar Koreksi'!$D$5:$D$92,'2400'!A444,'Daftar Koreksi'!$G$5:$G$92,"Gedung dan Bangunan",'Daftar Koreksi'!$H$5:$H$92,"&lt;0")</f>
        <v>0</v>
      </c>
      <c r="G450" s="17">
        <f t="shared" si="20"/>
        <v>476365000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37590400</v>
      </c>
      <c r="E451" s="25">
        <f>SUMIFS('Daftar Koreksi'!$H$5:$H$92,'Daftar Koreksi'!$D$5:$D$92,'2400'!A444,'Daftar Koreksi'!$G$5:$G$92,"Jalan Irigasi Jaringan",'Daftar Koreksi'!$H$5:$H$92,"&gt;0")</f>
        <v>0</v>
      </c>
      <c r="F451" s="25">
        <f>SUMIFS('Daftar Koreksi'!$H$5:$H$92,'Daftar Koreksi'!$D$5:$D$92,'2400'!A444,'Daftar Koreksi'!$G$5:$G$92,"Jalan Irigasi Jaringan",'Daftar Koreksi'!$H$5:$H$92,"&lt;0")-SUMIFS('Daftar Koreksi'!$H$5:$H$92,'Daftar Koreksi'!$D$5:$D$92,'2400'!A444,'Daftar Koreksi'!$G$5:$G$92,"Jalan Irigasi Jaringan",'Daftar Koreksi'!$H$5:$H$92,"&lt;0")-SUMIFS('Daftar Koreksi'!$H$5:$H$92,'Daftar Koreksi'!$D$5:$D$92,'2400'!A444,'Daftar Koreksi'!$G$5:$G$92,"Jalan Irigasi Jaringan",'Daftar Koreksi'!$H$5:$H$92,"&lt;0")</f>
        <v>0</v>
      </c>
      <c r="G451" s="17">
        <f t="shared" si="20"/>
        <v>37590400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1964870</v>
      </c>
      <c r="E452" s="25">
        <f>SUMIFS('Daftar Koreksi'!$H$5:$H$92,'Daftar Koreksi'!$D$5:$D$92,'2400'!A444,'Daftar Koreksi'!$G$5:$G$92,"Aset Tetap Lainnya",'Daftar Koreksi'!$H$5:$H$92,"&gt;0")</f>
        <v>0</v>
      </c>
      <c r="F452" s="25">
        <f>SUMIFS('Daftar Koreksi'!$H$5:$H$92,'Daftar Koreksi'!$D$5:$D$92,'2400'!A444,'Daftar Koreksi'!$G$5:$G$92,"Aset Tetap Lainnya",'Daftar Koreksi'!$H$5:$H$92,"&lt;0")-SUMIFS('Daftar Koreksi'!$H$5:$H$92,'Daftar Koreksi'!$D$5:$D$92,'2400'!A444,'Daftar Koreksi'!$G$5:$G$92,"Aset Tetap Lainnya",'Daftar Koreksi'!$H$5:$H$92,"&lt;0")-SUMIFS('Daftar Koreksi'!$H$5:$H$92,'Daftar Koreksi'!$D$5:$D$92,'2400'!A444,'Daftar Koreksi'!$G$5:$G$92,"Aset Tetap Lainnya",'Daftar Koreksi'!$H$5:$H$92,"&lt;0")</f>
        <v>0</v>
      </c>
      <c r="G452" s="17">
        <f t="shared" si="20"/>
        <v>1964870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Koreksi'!$D$5:$D$92,'2400'!A444,'Daftar Koreksi'!$G$5:$G$92,"Kontruksi Dalam Pengerjaan",'Daftar Koreksi'!$H$5:$H$92,"&gt;0")</f>
        <v>0</v>
      </c>
      <c r="F453" s="25">
        <f>SUMIFS('Daftar Koreksi'!$H$5:$H$92,'Daftar Koreksi'!$D$5:$D$92,'2400'!A444,'Daftar Koreksi'!$G$5:$G$92,"Kontruksi Dalam Pengerjaan",'Daftar Koreksi'!$H$5:$H$92,"&lt;0")-SUMIFS('Daftar Koreksi'!$H$5:$H$92,'Daftar Koreksi'!$D$5:$D$92,'2400'!A444,'Daftar Koreksi'!$G$5:$G$92,"Kontruksi Dalam Pengerjaan",'Daftar Koreksi'!$H$5:$H$92,"&lt;0")-SUMIFS('Daftar Koreksi'!$H$5:$H$92,'Daftar Koreksi'!$D$5:$D$92,'2400'!A444,'Daftar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Koreksi'!$D$5:$D$92,'2400'!A444,'Daftar Koreksi'!$G$5:$G$92,"Aset Tak Berwujud",'Daftar Koreksi'!$H$5:$H$92,"&gt;0")</f>
        <v>0</v>
      </c>
      <c r="F454" s="25">
        <f>SUMIFS('Daftar Koreksi'!$H$5:$H$92,'Daftar Koreksi'!$D$5:$D$92,'2400'!A444,'Daftar Koreksi'!$G$5:$G$92,"Aset Tak Berwujud",'Daftar Koreksi'!$H$5:$H$92,"&lt;0")-SUMIFS('Daftar Koreksi'!$H$5:$H$92,'Daftar Koreksi'!$D$5:$D$92,'2400'!A444,'Daftar Koreksi'!$G$5:$G$92,"Aset Tak Berwujud",'Daftar Koreksi'!$H$5:$H$92,"&lt;0")-SUMIFS('Daftar Koreksi'!$H$5:$H$92,'Daftar Koreksi'!$D$5:$D$92,'2400'!A444,'Daftar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38534858</v>
      </c>
      <c r="E455" s="25">
        <f>SUMIFS('Daftar Koreksi'!$H$5:$H$92,'Daftar Koreksi'!$D$5:$D$92,'2400'!A444,'Daftar Koreksi'!$G$5:$G$92,"Aset Henti Guna",'Daftar Koreksi'!$H$5:$H$92,"&gt;0")</f>
        <v>0</v>
      </c>
      <c r="F455" s="25">
        <f>SUMIFS('Daftar Koreksi'!$H$5:$H$92,'Daftar Koreksi'!$D$5:$D$92,'2400'!A444,'Daftar Koreksi'!$G$5:$G$92,"Aset Henti Guna",'Daftar Koreksi'!$H$5:$H$92,"&lt;0")-SUMIFS('Daftar Koreksi'!$H$5:$H$92,'Daftar Koreksi'!$D$5:$D$92,'2400'!A444,'Daftar Koreksi'!$G$5:$G$92,"Aset Henti Guna",'Daftar Koreksi'!$H$5:$H$92,"&lt;0")-SUMIFS('Daftar Koreksi'!$H$5:$H$92,'Daftar Koreksi'!$D$5:$D$92,'2400'!A444,'Daftar Koreksi'!$G$5:$G$92,"Aset Henti Guna",'Daftar Koreksi'!$H$5:$H$92,"&lt;0")</f>
        <v>0</v>
      </c>
      <c r="G455" s="17">
        <f t="shared" si="20"/>
        <v>38534858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2666922304</v>
      </c>
      <c r="E456" s="19">
        <f>SUM(E447:E455)</f>
        <v>0</v>
      </c>
      <c r="F456" s="19">
        <f>SUM(F447:F455)</f>
        <v>0</v>
      </c>
      <c r="G456" s="19">
        <f t="shared" si="20"/>
        <v>2666922304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-944337969</v>
      </c>
      <c r="E457" s="25">
        <f>SUMIFS('Daftar Koreksi'!$I$5:$I$92,'Daftar Koreksi'!$D$5:$D$92,'2400'!A444,'Daftar Koreksi'!$G$5:$G$92,"Peralatan dan mesin",'Daftar Koreksi'!$I$5:$I$92,"&gt;0")</f>
        <v>0</v>
      </c>
      <c r="F457" s="25">
        <f>SUMIFS('Daftar Koreksi'!$I$5:$I$92,'Daftar Koreksi'!$D$5:$D$92,'2400'!A444,'Daftar Koreksi'!$G$5:$G$92,"Peralatan dan mesin",'Daftar Koreksi'!$I$5:$I$92,"&lt;0")-SUMIFS('Daftar Koreksi'!$I$5:$I$92,'Daftar Koreksi'!$D$5:$D$92,'2400'!A444,'Daftar Koreksi'!$G$5:$G$92,"Peralatan dan mesin",'Daftar Koreksi'!$I$5:$I$92,"&lt;0")-SUMIFS('Daftar Koreksi'!$I$5:$I$92,'Daftar Koreksi'!$D$5:$D$92,'2400'!A444,'Daftar Koreksi'!$G$5:$G$92,"Peralatan dan mesin",'Daftar Koreksi'!$I$5:$I$92,"&lt;0")</f>
        <v>0</v>
      </c>
      <c r="G457" s="17">
        <f t="shared" si="20"/>
        <v>-944337969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-151701350</v>
      </c>
      <c r="E458" s="25">
        <f>SUMIFS('Daftar Koreksi'!$I$5:$I$92,'Daftar Koreksi'!$D$5:$D$92,'2400'!A444,'Daftar Koreksi'!$G$5:$G$92,"Gedung dan Bangunan",'Daftar Koreksi'!$I$5:$I$92,"&gt;0")</f>
        <v>0</v>
      </c>
      <c r="F458" s="25">
        <f>SUMIFS('Daftar Koreksi'!$I$5:$I$92,'Daftar Koreksi'!$D$5:$D$92,'2400'!A444,'Daftar Koreksi'!$G$5:$G$92,"Gedung dan Bangunan",'Daftar Koreksi'!$I$5:$I$92,"&lt;0")-SUMIFS('Daftar Koreksi'!$I$5:$I$92,'Daftar Koreksi'!$D$5:$D$92,'2400'!A444,'Daftar Koreksi'!$G$5:$G$92,"Gedung dan Bangunan",'Daftar Koreksi'!$I$5:$I$92,"&lt;0")-SUMIFS('Daftar Koreksi'!$I$5:$I$92,'Daftar Koreksi'!$D$5:$D$92,'2400'!A444,'Daftar Koreksi'!$G$5:$G$92,"Gedung dan Bangunan",'Daftar Koreksi'!$I$5:$I$92,"&lt;0")</f>
        <v>0</v>
      </c>
      <c r="G458" s="17">
        <f t="shared" si="20"/>
        <v>-151701350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-5535050</v>
      </c>
      <c r="E459" s="25">
        <f>SUMIFS('Daftar Koreksi'!$I$5:$I$92,'Daftar Koreksi'!$D$5:$D$92,'2400'!A444,'Daftar Koreksi'!$G$5:$G$92,"Jalan Irigasi Jaringan",'Daftar Koreksi'!$I$5:$I$92,"&gt;0")</f>
        <v>0</v>
      </c>
      <c r="F459" s="25">
        <f>SUMIFS('Daftar Koreksi'!$I$5:$I$92,'Daftar Koreksi'!$D$5:$D$92,'2400'!A444,'Daftar Koreksi'!$G$5:$G$92,"Jalan Irigasi Jaringan",'Daftar Koreksi'!$I$5:$I$92,"&lt;0")-SUMIFS('Daftar Koreksi'!$I$5:$I$92,'Daftar Koreksi'!$D$5:$D$92,'2400'!A444,'Daftar Koreksi'!$G$5:$G$92,"Jalan Irigasi Jaringan",'Daftar Koreksi'!$I$5:$I$92,"&lt;0")-SUMIFS('Daftar Koreksi'!$I$5:$I$92,'Daftar Koreksi'!$D$5:$D$92,'2400'!A444,'Daftar Koreksi'!$G$5:$G$92,"Jalan Irigasi Jaringan",'Daftar Koreksi'!$I$5:$I$92,"&lt;0")</f>
        <v>0</v>
      </c>
      <c r="G459" s="17">
        <f t="shared" si="20"/>
        <v>-5535050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Koreksi'!$D$5:$D$92,'2400'!A444,'Daftar Koreksi'!$G$5:$G$92,"Aset Tetap Lainnya",'Daftar Koreksi'!$I$5:$I$92,"&gt;0")</f>
        <v>0</v>
      </c>
      <c r="F460" s="25">
        <f>SUMIFS('Daftar Koreksi'!$I$5:$I$92,'Daftar Koreksi'!$D$5:$D$92,'2400'!A444,'Daftar Koreksi'!$G$5:$G$92,"Aset Tetap Lainnya",'Daftar Koreksi'!$I$5:$I$92,"&lt;0")-SUMIFS('Daftar Koreksi'!$I$5:$I$92,'Daftar Koreksi'!$D$5:$D$92,'2400'!A444,'Daftar Koreksi'!$G$5:$G$92,"Aset Tetap Lainnya",'Daftar Koreksi'!$I$5:$I$92,"&lt;0")-SUMIFS('Daftar Koreksi'!$I$5:$I$92,'Daftar Koreksi'!$D$5:$D$92,'2400'!A444,'Daftar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-38208921</v>
      </c>
      <c r="E461" s="25">
        <f>SUMIFS('Daftar Koreksi'!$I$5:$I$92,'Daftar Koreksi'!$D$5:$D$92,'2400'!A444,'Daftar Koreksi'!$G$5:$G$92,"Aset Henti Guna",'Daftar Koreksi'!$I$5:$I$92,"&gt;0")</f>
        <v>0</v>
      </c>
      <c r="F461" s="25">
        <f>SUMIFS('Daftar Koreksi'!$I$5:$I$92,'Daftar Koreksi'!$D$5:$D$92,'2400'!A444,'Daftar Koreksi'!$G$5:$G$92,"Aset Henti Guna",'Daftar Koreksi'!$I$5:$I$92,"&lt;0")-SUMIFS('Daftar Koreksi'!$I$5:$I$92,'Daftar Koreksi'!$D$5:$D$92,'2400'!A444,'Daftar Koreksi'!$G$5:$G$92,"Aset Henti Guna",'Daftar Koreksi'!$I$5:$I$92,"&lt;0")-SUMIFS('Daftar Koreksi'!$I$5:$I$92,'Daftar Koreksi'!$D$5:$D$92,'2400'!A444,'Daftar Koreksi'!$G$5:$G$92,"Aset Henti Guna",'Daftar Koreksi'!$I$5:$I$92,"&lt;0")</f>
        <v>0</v>
      </c>
      <c r="G461" s="17">
        <f t="shared" si="20"/>
        <v>-38208921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-1139783290</v>
      </c>
      <c r="E462" s="19">
        <f>SUM(E457:E461)</f>
        <v>0</v>
      </c>
      <c r="F462" s="19">
        <f>SUM(F457:F461)</f>
        <v>0</v>
      </c>
      <c r="G462" s="19">
        <f t="shared" si="20"/>
        <v>-1139783290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1527139014</v>
      </c>
      <c r="E463" s="19">
        <f>E462+E456</f>
        <v>0</v>
      </c>
      <c r="F463" s="19">
        <f>F462+F456</f>
        <v>0</v>
      </c>
      <c r="G463" s="19">
        <f t="shared" si="20"/>
        <v>1527139014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005012400402820000KD</v>
      </c>
      <c r="B466" s="11" t="str">
        <f>P22</f>
        <v>PA. Soe</v>
      </c>
      <c r="C466" s="12" t="str">
        <f>A466&amp;" "&amp;B466</f>
        <v>005012400402820000KD PA. Soe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38500</v>
      </c>
      <c r="E469" s="25">
        <f>SUMIFS('Daftar Koreksi'!$H$5:$H$92,'Daftar Koreksi'!$D$5:$D$92,'2400'!A466,'Daftar Koreksi'!$G$5:$G$92,"Persediaan",'Daftar Koreksi'!$H$5:$H$92,"&gt;0")</f>
        <v>0</v>
      </c>
      <c r="F469" s="25">
        <f>SUMIFS('Daftar Koreksi'!$H$5:$H$92,'Daftar Koreksi'!$D$5:$D$92,'2400'!A466,'Daftar Koreksi'!$G$5:$G$92,"Persediaan",'Daftar Koreksi'!$H$5:$H$92,"&lt;0")-SUMIFS('Daftar Koreksi'!$H$5:$H$92,'Daftar Koreksi'!$D$5:$D$92,'2400'!A466,'Daftar Koreksi'!$G$5:$G$92,"Persediaan",'Daftar Koreksi'!$H$5:$H$92,"&lt;0")-SUMIFS('Daftar Koreksi'!$H$5:$H$92,'Daftar Koreksi'!$D$5:$D$92,'2400'!A466,'Daftar Koreksi'!$G$5:$G$92,"Persediaan",'Daftar Koreksi'!$H$5:$H$92,"&lt;0")</f>
        <v>0</v>
      </c>
      <c r="G469" s="17">
        <f>D469+E469-F469</f>
        <v>38500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1207315000</v>
      </c>
      <c r="E470" s="25">
        <f>SUMIFS('Daftar Koreksi'!$H$5:$H$92,'Daftar Koreksi'!$D$5:$D$92,'2400'!A466,'Daftar Koreksi'!$G$5:$G$92,"Tanah",'Daftar Koreksi'!$H$5:$H$92,"&gt;0")</f>
        <v>0</v>
      </c>
      <c r="F470" s="25">
        <f>SUMIFS('Daftar Koreksi'!$H$5:$H$92,'Daftar Koreksi'!$D$5:$D$92,'2400'!A466,'Daftar Koreksi'!$G$5:$G$92,"Tanah",'Daftar Koreksi'!$H$5:$H$92,"&lt;0")-SUMIFS('Daftar Koreksi'!$H$5:$H$92,'Daftar Koreksi'!$D$5:$D$92,'2400'!A466,'Daftar Koreksi'!$G$5:$G$92,"Tanah",'Daftar Koreksi'!$H$5:$H$92,"&lt;0")-SUMIFS('Daftar Koreksi'!$H$5:$H$92,'Daftar Koreksi'!$D$5:$D$92,'2400'!A466,'Daftar Koreksi'!$G$5:$G$92,"Tanah",'Daftar Koreksi'!$H$5:$H$92,"&lt;0")</f>
        <v>0</v>
      </c>
      <c r="G470" s="17">
        <f t="shared" ref="G470:G486" si="21">D470+E470-F470</f>
        <v>1207315000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1873528699</v>
      </c>
      <c r="E471" s="25">
        <f>SUMIFS('Daftar Koreksi'!$H$5:$H$92,'Daftar Koreksi'!$D$5:$D$92,'2400'!A466,'Daftar Koreksi'!$G$5:$G$92,"Peralatan dan mesin",'Daftar Koreksi'!$H$5:$H$92,"&gt;0")</f>
        <v>0</v>
      </c>
      <c r="F471" s="25">
        <f>SUMIFS('Daftar Koreksi'!$H$5:$H$92,'Daftar Koreksi'!$D$5:$D$92,'2400'!A466,'Daftar Koreksi'!$G$5:$G$92,"Peralatan dan mesin",'Daftar Koreksi'!$H$5:$H$92,"&lt;0")-SUMIFS('Daftar Koreksi'!$H$5:$H$92,'Daftar Koreksi'!$D$5:$D$92,'2400'!A466,'Daftar Koreksi'!$G$5:$G$92,"Peralatan dan mesin",'Daftar Koreksi'!$H$5:$H$92,"&lt;0")-SUMIFS('Daftar Koreksi'!$H$5:$H$92,'Daftar Koreksi'!$D$5:$D$92,'2400'!A466,'Daftar Koreksi'!$G$5:$G$92,"Peralatan dan mesin",'Daftar Koreksi'!$H$5:$H$92,"&lt;0")</f>
        <v>0</v>
      </c>
      <c r="G471" s="17">
        <f t="shared" si="21"/>
        <v>1873528699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9144526025</v>
      </c>
      <c r="E472" s="25">
        <f>SUMIFS('Daftar Koreksi'!$H$5:$H$92,'Daftar Koreksi'!$D$5:$D$92,'2400'!A466,'Daftar Koreksi'!$G$5:$G$92,"Gedung dan Bangunan",'Daftar Koreksi'!$H$5:$H$92,"&gt;0")</f>
        <v>0</v>
      </c>
      <c r="F472" s="25">
        <f>SUMIFS('Daftar Koreksi'!$H$5:$H$92,'Daftar Koreksi'!$D$5:$D$92,'2400'!A466,'Daftar Koreksi'!$G$5:$G$92,"Gedung dan Bangunan",'Daftar Koreksi'!$H$5:$H$92,"&lt;0")-SUMIFS('Daftar Koreksi'!$H$5:$H$92,'Daftar Koreksi'!$D$5:$D$92,'2400'!A466,'Daftar Koreksi'!$G$5:$G$92,"Gedung dan Bangunan",'Daftar Koreksi'!$H$5:$H$92,"&lt;0")-SUMIFS('Daftar Koreksi'!$H$5:$H$92,'Daftar Koreksi'!$D$5:$D$92,'2400'!A466,'Daftar Koreksi'!$G$5:$G$92,"Gedung dan Bangunan",'Daftar Koreksi'!$H$5:$H$92,"&lt;0")</f>
        <v>0</v>
      </c>
      <c r="G472" s="17">
        <f t="shared" si="21"/>
        <v>9144526025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207000</v>
      </c>
      <c r="E473" s="25">
        <f>SUMIFS('Daftar Koreksi'!$H$5:$H$92,'Daftar Koreksi'!$D$5:$D$92,'2400'!A466,'Daftar Koreksi'!$G$5:$G$92,"Jalan Irigasi Jaringan",'Daftar Koreksi'!$H$5:$H$92,"&gt;0")</f>
        <v>0</v>
      </c>
      <c r="F473" s="25">
        <f>SUMIFS('Daftar Koreksi'!$H$5:$H$92,'Daftar Koreksi'!$D$5:$D$92,'2400'!A466,'Daftar Koreksi'!$G$5:$G$92,"Jalan Irigasi Jaringan",'Daftar Koreksi'!$H$5:$H$92,"&lt;0")-SUMIFS('Daftar Koreksi'!$H$5:$H$92,'Daftar Koreksi'!$D$5:$D$92,'2400'!A466,'Daftar Koreksi'!$G$5:$G$92,"Jalan Irigasi Jaringan",'Daftar Koreksi'!$H$5:$H$92,"&lt;0")-SUMIFS('Daftar Koreksi'!$H$5:$H$92,'Daftar Koreksi'!$D$5:$D$92,'2400'!A466,'Daftar Koreksi'!$G$5:$G$92,"Jalan Irigasi Jaringan",'Daftar Koreksi'!$H$5:$H$92,"&lt;0")</f>
        <v>0</v>
      </c>
      <c r="G473" s="17">
        <f t="shared" si="21"/>
        <v>207000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17479805</v>
      </c>
      <c r="E474" s="25">
        <f>SUMIFS('Daftar Koreksi'!$H$5:$H$92,'Daftar Koreksi'!$D$5:$D$92,'2400'!A466,'Daftar Koreksi'!$G$5:$G$92,"Aset Tetap Lainnya",'Daftar Koreksi'!$H$5:$H$92,"&gt;0")</f>
        <v>0</v>
      </c>
      <c r="F474" s="25">
        <f>SUMIFS('Daftar Koreksi'!$H$5:$H$92,'Daftar Koreksi'!$D$5:$D$92,'2400'!A466,'Daftar Koreksi'!$G$5:$G$92,"Aset Tetap Lainnya",'Daftar Koreksi'!$H$5:$H$92,"&lt;0")-SUMIFS('Daftar Koreksi'!$H$5:$H$92,'Daftar Koreksi'!$D$5:$D$92,'2400'!A466,'Daftar Koreksi'!$G$5:$G$92,"Aset Tetap Lainnya",'Daftar Koreksi'!$H$5:$H$92,"&lt;0")-SUMIFS('Daftar Koreksi'!$H$5:$H$92,'Daftar Koreksi'!$D$5:$D$92,'2400'!A466,'Daftar Koreksi'!$G$5:$G$92,"Aset Tetap Lainnya",'Daftar Koreksi'!$H$5:$H$92,"&lt;0")</f>
        <v>0</v>
      </c>
      <c r="G474" s="17">
        <f t="shared" si="21"/>
        <v>17479805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Koreksi'!$D$5:$D$92,'2400'!A466,'Daftar Koreksi'!$G$5:$G$92,"Kontruksi Dalam Pengerjaan",'Daftar Koreksi'!$H$5:$H$92,"&gt;0")</f>
        <v>0</v>
      </c>
      <c r="F475" s="25">
        <f>SUMIFS('Daftar Koreksi'!$H$5:$H$92,'Daftar Koreksi'!$D$5:$D$92,'2400'!A466,'Daftar Koreksi'!$G$5:$G$92,"Kontruksi Dalam Pengerjaan",'Daftar Koreksi'!$H$5:$H$92,"&lt;0")-SUMIFS('Daftar Koreksi'!$H$5:$H$92,'Daftar Koreksi'!$D$5:$D$92,'2400'!A466,'Daftar Koreksi'!$G$5:$G$92,"Kontruksi Dalam Pengerjaan",'Daftar Koreksi'!$H$5:$H$92,"&lt;0")-SUMIFS('Daftar Koreksi'!$H$5:$H$92,'Daftar Koreksi'!$D$5:$D$92,'2400'!A466,'Daftar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Koreksi'!$D$5:$D$92,'2400'!A466,'Daftar Koreksi'!$G$5:$G$92,"Aset Tak Berwujud",'Daftar Koreksi'!$H$5:$H$92,"&gt;0")</f>
        <v>0</v>
      </c>
      <c r="F476" s="25">
        <f>SUMIFS('Daftar Koreksi'!$H$5:$H$92,'Daftar Koreksi'!$D$5:$D$92,'2400'!A466,'Daftar Koreksi'!$G$5:$G$92,"Aset Tak Berwujud",'Daftar Koreksi'!$H$5:$H$92,"&lt;0")-SUMIFS('Daftar Koreksi'!$H$5:$H$92,'Daftar Koreksi'!$D$5:$D$92,'2400'!A466,'Daftar Koreksi'!$G$5:$G$92,"Aset Tak Berwujud",'Daftar Koreksi'!$H$5:$H$92,"&lt;0")-SUMIFS('Daftar Koreksi'!$H$5:$H$92,'Daftar Koreksi'!$D$5:$D$92,'2400'!A466,'Daftar Koreksi'!$G$5:$G$92,"Aset Tak Berwujud",'Daftar Koreksi'!$H$5:$H$92,"&lt;0")</f>
        <v>0</v>
      </c>
      <c r="G476" s="17">
        <f t="shared" si="21"/>
        <v>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9871000</v>
      </c>
      <c r="E477" s="25">
        <f>SUMIFS('Daftar Koreksi'!$H$5:$H$92,'Daftar Koreksi'!$D$5:$D$92,'2400'!A466,'Daftar Koreksi'!$G$5:$G$92,"Aset Henti Guna",'Daftar Koreksi'!$H$5:$H$92,"&gt;0")</f>
        <v>0</v>
      </c>
      <c r="F477" s="25">
        <f>SUMIFS('Daftar Koreksi'!$H$5:$H$92,'Daftar Koreksi'!$D$5:$D$92,'2400'!A466,'Daftar Koreksi'!$G$5:$G$92,"Aset Henti Guna",'Daftar Koreksi'!$H$5:$H$92,"&lt;0")-SUMIFS('Daftar Koreksi'!$H$5:$H$92,'Daftar Koreksi'!$D$5:$D$92,'2400'!A466,'Daftar Koreksi'!$G$5:$G$92,"Aset Henti Guna",'Daftar Koreksi'!$H$5:$H$92,"&lt;0")-SUMIFS('Daftar Koreksi'!$H$5:$H$92,'Daftar Koreksi'!$D$5:$D$92,'2400'!A466,'Daftar Koreksi'!$G$5:$G$92,"Aset Henti Guna",'Daftar Koreksi'!$H$5:$H$92,"&lt;0")</f>
        <v>0</v>
      </c>
      <c r="G477" s="17">
        <f t="shared" si="21"/>
        <v>9871000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12252966029</v>
      </c>
      <c r="E478" s="19">
        <f>SUM(E469:E477)</f>
        <v>0</v>
      </c>
      <c r="F478" s="19">
        <f>SUM(F469:F477)</f>
        <v>0</v>
      </c>
      <c r="G478" s="19">
        <f t="shared" si="21"/>
        <v>12252966029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-1346013968</v>
      </c>
      <c r="E479" s="25">
        <f>SUMIFS('Daftar Koreksi'!$I$5:$I$92,'Daftar Koreksi'!$D$5:$D$92,'2400'!A466,'Daftar Koreksi'!$G$5:$G$92,"Peralatan dan mesin",'Daftar Koreksi'!$I$5:$I$92,"&gt;0")</f>
        <v>0</v>
      </c>
      <c r="F479" s="25">
        <f>SUMIFS('Daftar Koreksi'!$I$5:$I$92,'Daftar Koreksi'!$D$5:$D$92,'2400'!A466,'Daftar Koreksi'!$G$5:$G$92,"Peralatan dan mesin",'Daftar Koreksi'!$I$5:$I$92,"&lt;0")-SUMIFS('Daftar Koreksi'!$I$5:$I$92,'Daftar Koreksi'!$D$5:$D$92,'2400'!A466,'Daftar Koreksi'!$G$5:$G$92,"Peralatan dan mesin",'Daftar Koreksi'!$I$5:$I$92,"&lt;0")-SUMIFS('Daftar Koreksi'!$I$5:$I$92,'Daftar Koreksi'!$D$5:$D$92,'2400'!A466,'Daftar Koreksi'!$G$5:$G$92,"Peralatan dan mesin",'Daftar Koreksi'!$I$5:$I$92,"&lt;0")</f>
        <v>0</v>
      </c>
      <c r="G479" s="17">
        <f t="shared" si="21"/>
        <v>-1346013968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-337928152</v>
      </c>
      <c r="E480" s="25">
        <f>SUMIFS('Daftar Koreksi'!$I$5:$I$92,'Daftar Koreksi'!$D$5:$D$92,'2400'!A466,'Daftar Koreksi'!$G$5:$G$92,"Gedung dan Bangunan",'Daftar Koreksi'!$I$5:$I$92,"&gt;0")</f>
        <v>0</v>
      </c>
      <c r="F480" s="25">
        <f>SUMIFS('Daftar Koreksi'!$I$5:$I$92,'Daftar Koreksi'!$D$5:$D$92,'2400'!A466,'Daftar Koreksi'!$G$5:$G$92,"Gedung dan Bangunan",'Daftar Koreksi'!$I$5:$I$92,"&lt;0")-SUMIFS('Daftar Koreksi'!$I$5:$I$92,'Daftar Koreksi'!$D$5:$D$92,'2400'!A466,'Daftar Koreksi'!$G$5:$G$92,"Gedung dan Bangunan",'Daftar Koreksi'!$I$5:$I$92,"&lt;0")-SUMIFS('Daftar Koreksi'!$I$5:$I$92,'Daftar Koreksi'!$D$5:$D$92,'2400'!A466,'Daftar Koreksi'!$G$5:$G$92,"Gedung dan Bangunan",'Daftar Koreksi'!$I$5:$I$92,"&lt;0")</f>
        <v>0</v>
      </c>
      <c r="G480" s="17">
        <f t="shared" si="21"/>
        <v>-337928152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-71159</v>
      </c>
      <c r="E481" s="25">
        <f>SUMIFS('Daftar Koreksi'!$I$5:$I$92,'Daftar Koreksi'!$D$5:$D$92,'2400'!A466,'Daftar Koreksi'!$G$5:$G$92,"Jalan Irigasi Jaringan",'Daftar Koreksi'!$I$5:$I$92,"&gt;0")</f>
        <v>0</v>
      </c>
      <c r="F481" s="25">
        <f>SUMIFS('Daftar Koreksi'!$I$5:$I$92,'Daftar Koreksi'!$D$5:$D$92,'2400'!A466,'Daftar Koreksi'!$G$5:$G$92,"Jalan Irigasi Jaringan",'Daftar Koreksi'!$I$5:$I$92,"&lt;0")-SUMIFS('Daftar Koreksi'!$I$5:$I$92,'Daftar Koreksi'!$D$5:$D$92,'2400'!A466,'Daftar Koreksi'!$G$5:$G$92,"Jalan Irigasi Jaringan",'Daftar Koreksi'!$I$5:$I$92,"&lt;0")-SUMIFS('Daftar Koreksi'!$I$5:$I$92,'Daftar Koreksi'!$D$5:$D$92,'2400'!A466,'Daftar Koreksi'!$G$5:$G$92,"Jalan Irigasi Jaringan",'Daftar Koreksi'!$I$5:$I$92,"&lt;0")</f>
        <v>0</v>
      </c>
      <c r="G481" s="17">
        <f t="shared" si="21"/>
        <v>-71159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-14797830</v>
      </c>
      <c r="E482" s="25">
        <f>SUMIFS('Daftar Koreksi'!$I$5:$I$92,'Daftar Koreksi'!$D$5:$D$92,'2400'!A466,'Daftar Koreksi'!$G$5:$G$92,"Aset Tetap Lainnya",'Daftar Koreksi'!$I$5:$I$92,"&gt;0")</f>
        <v>0</v>
      </c>
      <c r="F482" s="25">
        <f>SUMIFS('Daftar Koreksi'!$I$5:$I$92,'Daftar Koreksi'!$D$5:$D$92,'2400'!A466,'Daftar Koreksi'!$G$5:$G$92,"Aset Tetap Lainnya",'Daftar Koreksi'!$I$5:$I$92,"&lt;0")-SUMIFS('Daftar Koreksi'!$I$5:$I$92,'Daftar Koreksi'!$D$5:$D$92,'2400'!A466,'Daftar Koreksi'!$G$5:$G$92,"Aset Tetap Lainnya",'Daftar Koreksi'!$I$5:$I$92,"&lt;0")-SUMIFS('Daftar Koreksi'!$I$5:$I$92,'Daftar Koreksi'!$D$5:$D$92,'2400'!A466,'Daftar Koreksi'!$G$5:$G$92,"Aset Tetap Lainnya",'Daftar Koreksi'!$I$5:$I$92,"&lt;0")</f>
        <v>0</v>
      </c>
      <c r="G482" s="17">
        <f t="shared" si="21"/>
        <v>-14797830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-9871000</v>
      </c>
      <c r="E483" s="25">
        <f>SUMIFS('Daftar Koreksi'!$I$5:$I$92,'Daftar Koreksi'!$D$5:$D$92,'2400'!A466,'Daftar Koreksi'!$G$5:$G$92,"Aset Henti Guna",'Daftar Koreksi'!$I$5:$I$92,"&gt;0")</f>
        <v>0</v>
      </c>
      <c r="F483" s="25">
        <f>SUMIFS('Daftar Koreksi'!$I$5:$I$92,'Daftar Koreksi'!$D$5:$D$92,'2400'!A466,'Daftar Koreksi'!$G$5:$G$92,"Aset Henti Guna",'Daftar Koreksi'!$I$5:$I$92,"&lt;0")-SUMIFS('Daftar Koreksi'!$I$5:$I$92,'Daftar Koreksi'!$D$5:$D$92,'2400'!A466,'Daftar Koreksi'!$G$5:$G$92,"Aset Henti Guna",'Daftar Koreksi'!$I$5:$I$92,"&lt;0")-SUMIFS('Daftar Koreksi'!$I$5:$I$92,'Daftar Koreksi'!$D$5:$D$92,'2400'!A466,'Daftar Koreksi'!$G$5:$G$92,"Aset Henti Guna",'Daftar Koreksi'!$I$5:$I$92,"&lt;0")</f>
        <v>0</v>
      </c>
      <c r="G483" s="17">
        <f t="shared" si="21"/>
        <v>-9871000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-1708682109</v>
      </c>
      <c r="E484" s="19">
        <f>SUM(E479:E483)</f>
        <v>0</v>
      </c>
      <c r="F484" s="19">
        <f>SUM(F479:F483)</f>
        <v>0</v>
      </c>
      <c r="G484" s="19">
        <f t="shared" si="21"/>
        <v>-1708682109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10544283920</v>
      </c>
      <c r="E485" s="19">
        <f>E484+E478</f>
        <v>0</v>
      </c>
      <c r="F485" s="19">
        <f>F484+F478</f>
        <v>0</v>
      </c>
      <c r="G485" s="19">
        <f t="shared" si="21"/>
        <v>10544283920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005012400402839000KD</v>
      </c>
      <c r="B488" s="11" t="str">
        <f>P23</f>
        <v>PA. Kefamenanu</v>
      </c>
      <c r="C488" s="12" t="str">
        <f>A488&amp;" "&amp;B488</f>
        <v>005012400402839000KD PA. Kefamenanu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0</v>
      </c>
      <c r="E491" s="25">
        <f>SUMIFS('Daftar Koreksi'!$H$5:$H$92,'Daftar Koreksi'!$D$5:$D$92,'2400'!A488,'Daftar Koreksi'!$G$5:$G$92,"Persediaan",'Daftar Koreksi'!$H$5:$H$92,"&gt;0")</f>
        <v>0</v>
      </c>
      <c r="F491" s="25">
        <f>SUMIFS('Daftar Koreksi'!$H$5:$H$92,'Daftar Koreksi'!$D$5:$D$92,'2400'!A488,'Daftar Koreksi'!$G$5:$G$92,"Persediaan",'Daftar Koreksi'!$H$5:$H$92,"&lt;0")-SUMIFS('Daftar Koreksi'!$H$5:$H$92,'Daftar Koreksi'!$D$5:$D$92,'2400'!A488,'Daftar Koreksi'!$G$5:$G$92,"Persediaan",'Daftar Koreksi'!$H$5:$H$92,"&lt;0")-SUMIFS('Daftar Koreksi'!$H$5:$H$92,'Daftar Koreksi'!$D$5:$D$92,'2400'!A488,'Daftar Koreksi'!$G$5:$G$92,"Persediaan",'Daftar Koreksi'!$H$5:$H$92,"&lt;0")</f>
        <v>0</v>
      </c>
      <c r="G491" s="17">
        <f>D491+E491-F491</f>
        <v>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282653000</v>
      </c>
      <c r="E492" s="25">
        <f>SUMIFS('Daftar Koreksi'!$H$5:$H$92,'Daftar Koreksi'!$D$5:$D$92,'2400'!A488,'Daftar Koreksi'!$G$5:$G$92,"Tanah",'Daftar Koreksi'!$H$5:$H$92,"&gt;0")</f>
        <v>0</v>
      </c>
      <c r="F492" s="25">
        <f>SUMIFS('Daftar Koreksi'!$H$5:$H$92,'Daftar Koreksi'!$D$5:$D$92,'2400'!A488,'Daftar Koreksi'!$G$5:$G$92,"Tanah",'Daftar Koreksi'!$H$5:$H$92,"&lt;0")-SUMIFS('Daftar Koreksi'!$H$5:$H$92,'Daftar Koreksi'!$D$5:$D$92,'2400'!A488,'Daftar Koreksi'!$G$5:$G$92,"Tanah",'Daftar Koreksi'!$H$5:$H$92,"&lt;0")-SUMIFS('Daftar Koreksi'!$H$5:$H$92,'Daftar Koreksi'!$D$5:$D$92,'2400'!A488,'Daftar Koreksi'!$G$5:$G$92,"Tanah",'Daftar Koreksi'!$H$5:$H$92,"&lt;0")</f>
        <v>0</v>
      </c>
      <c r="G492" s="17">
        <f t="shared" ref="G492:G508" si="22">D492+E492-F492</f>
        <v>282653000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1082335400</v>
      </c>
      <c r="E493" s="25">
        <f>SUMIFS('Daftar Koreksi'!$H$5:$H$92,'Daftar Koreksi'!$D$5:$D$92,'2400'!A488,'Daftar Koreksi'!$G$5:$G$92,"Peralatan dan mesin",'Daftar Koreksi'!$H$5:$H$92,"&gt;0")</f>
        <v>0</v>
      </c>
      <c r="F493" s="25">
        <f>SUMIFS('Daftar Koreksi'!$H$5:$H$92,'Daftar Koreksi'!$D$5:$D$92,'2400'!A488,'Daftar Koreksi'!$G$5:$G$92,"Peralatan dan mesin",'Daftar Koreksi'!$H$5:$H$92,"&lt;0")-SUMIFS('Daftar Koreksi'!$H$5:$H$92,'Daftar Koreksi'!$D$5:$D$92,'2400'!A488,'Daftar Koreksi'!$G$5:$G$92,"Peralatan dan mesin",'Daftar Koreksi'!$H$5:$H$92,"&lt;0")-SUMIFS('Daftar Koreksi'!$H$5:$H$92,'Daftar Koreksi'!$D$5:$D$92,'2400'!A488,'Daftar Koreksi'!$G$5:$G$92,"Peralatan dan mesin",'Daftar Koreksi'!$H$5:$H$92,"&lt;0")</f>
        <v>0</v>
      </c>
      <c r="G493" s="17">
        <f t="shared" si="22"/>
        <v>1082335400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729132800</v>
      </c>
      <c r="E494" s="25">
        <f>SUMIFS('Daftar Koreksi'!$H$5:$H$92,'Daftar Koreksi'!$D$5:$D$92,'2400'!A488,'Daftar Koreksi'!$G$5:$G$92,"Gedung dan Bangunan",'Daftar Koreksi'!$H$5:$H$92,"&gt;0")</f>
        <v>0</v>
      </c>
      <c r="F494" s="25">
        <f>SUMIFS('Daftar Koreksi'!$H$5:$H$92,'Daftar Koreksi'!$D$5:$D$92,'2400'!A488,'Daftar Koreksi'!$G$5:$G$92,"Gedung dan Bangunan",'Daftar Koreksi'!$H$5:$H$92,"&lt;0")-SUMIFS('Daftar Koreksi'!$H$5:$H$92,'Daftar Koreksi'!$D$5:$D$92,'2400'!A488,'Daftar Koreksi'!$G$5:$G$92,"Gedung dan Bangunan",'Daftar Koreksi'!$H$5:$H$92,"&lt;0")-SUMIFS('Daftar Koreksi'!$H$5:$H$92,'Daftar Koreksi'!$D$5:$D$92,'2400'!A488,'Daftar Koreksi'!$G$5:$G$92,"Gedung dan Bangunan",'Daftar Koreksi'!$H$5:$H$92,"&lt;0")</f>
        <v>0</v>
      </c>
      <c r="G494" s="17">
        <f t="shared" si="22"/>
        <v>729132800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0</v>
      </c>
      <c r="E495" s="25">
        <f>SUMIFS('Daftar Koreksi'!$H$5:$H$92,'Daftar Koreksi'!$D$5:$D$92,'2400'!A488,'Daftar Koreksi'!$G$5:$G$92,"Jalan Irigasi Jaringan",'Daftar Koreksi'!$H$5:$H$92,"&gt;0")</f>
        <v>0</v>
      </c>
      <c r="F495" s="25">
        <f>SUMIFS('Daftar Koreksi'!$H$5:$H$92,'Daftar Koreksi'!$D$5:$D$92,'2400'!A488,'Daftar Koreksi'!$G$5:$G$92,"Jalan Irigasi Jaringan",'Daftar Koreksi'!$H$5:$H$92,"&lt;0")-SUMIFS('Daftar Koreksi'!$H$5:$H$92,'Daftar Koreksi'!$D$5:$D$92,'2400'!A488,'Daftar Koreksi'!$G$5:$G$92,"Jalan Irigasi Jaringan",'Daftar Koreksi'!$H$5:$H$92,"&lt;0")-SUMIFS('Daftar Koreksi'!$H$5:$H$92,'Daftar Koreksi'!$D$5:$D$92,'2400'!A488,'Daftar Koreksi'!$G$5:$G$92,"Jalan Irigasi Jaringan",'Daftar Koreksi'!$H$5:$H$92,"&lt;0")</f>
        <v>0</v>
      </c>
      <c r="G495" s="17">
        <f t="shared" si="22"/>
        <v>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3955870</v>
      </c>
      <c r="E496" s="25">
        <f>SUMIFS('Daftar Koreksi'!$H$5:$H$92,'Daftar Koreksi'!$D$5:$D$92,'2400'!A488,'Daftar Koreksi'!$G$5:$G$92,"Aset Tetap Lainnya",'Daftar Koreksi'!$H$5:$H$92,"&gt;0")</f>
        <v>0</v>
      </c>
      <c r="F496" s="25">
        <f>SUMIFS('Daftar Koreksi'!$H$5:$H$92,'Daftar Koreksi'!$D$5:$D$92,'2400'!A488,'Daftar Koreksi'!$G$5:$G$92,"Aset Tetap Lainnya",'Daftar Koreksi'!$H$5:$H$92,"&lt;0")-SUMIFS('Daftar Koreksi'!$H$5:$H$92,'Daftar Koreksi'!$D$5:$D$92,'2400'!A488,'Daftar Koreksi'!$G$5:$G$92,"Aset Tetap Lainnya",'Daftar Koreksi'!$H$5:$H$92,"&lt;0")-SUMIFS('Daftar Koreksi'!$H$5:$H$92,'Daftar Koreksi'!$D$5:$D$92,'2400'!A488,'Daftar Koreksi'!$G$5:$G$92,"Aset Tetap Lainnya",'Daftar Koreksi'!$H$5:$H$92,"&lt;0")</f>
        <v>0</v>
      </c>
      <c r="G496" s="17">
        <f t="shared" si="22"/>
        <v>3955870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Koreksi'!$D$5:$D$92,'2400'!A488,'Daftar Koreksi'!$G$5:$G$92,"Kontruksi Dalam Pengerjaan",'Daftar Koreksi'!$H$5:$H$92,"&gt;0")</f>
        <v>0</v>
      </c>
      <c r="F497" s="25">
        <f>SUMIFS('Daftar Koreksi'!$H$5:$H$92,'Daftar Koreksi'!$D$5:$D$92,'2400'!A488,'Daftar Koreksi'!$G$5:$G$92,"Kontruksi Dalam Pengerjaan",'Daftar Koreksi'!$H$5:$H$92,"&lt;0")-SUMIFS('Daftar Koreksi'!$H$5:$H$92,'Daftar Koreksi'!$D$5:$D$92,'2400'!A488,'Daftar Koreksi'!$G$5:$G$92,"Kontruksi Dalam Pengerjaan",'Daftar Koreksi'!$H$5:$H$92,"&lt;0")-SUMIFS('Daftar Koreksi'!$H$5:$H$92,'Daftar Koreksi'!$D$5:$D$92,'2400'!A488,'Daftar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Koreksi'!$D$5:$D$92,'2400'!A488,'Daftar Koreksi'!$G$5:$G$92,"Aset Tak Berwujud",'Daftar Koreksi'!$H$5:$H$92,"&gt;0")</f>
        <v>0</v>
      </c>
      <c r="F498" s="25">
        <f>SUMIFS('Daftar Koreksi'!$H$5:$H$92,'Daftar Koreksi'!$D$5:$D$92,'2400'!A488,'Daftar Koreksi'!$G$5:$G$92,"Aset Tak Berwujud",'Daftar Koreksi'!$H$5:$H$92,"&lt;0")-SUMIFS('Daftar Koreksi'!$H$5:$H$92,'Daftar Koreksi'!$D$5:$D$92,'2400'!A488,'Daftar Koreksi'!$G$5:$G$92,"Aset Tak Berwujud",'Daftar Koreksi'!$H$5:$H$92,"&lt;0")-SUMIFS('Daftar Koreksi'!$H$5:$H$92,'Daftar Koreksi'!$D$5:$D$92,'2400'!A488,'Daftar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168500</v>
      </c>
      <c r="E499" s="25">
        <f>SUMIFS('Daftar Koreksi'!$H$5:$H$92,'Daftar Koreksi'!$D$5:$D$92,'2400'!A488,'Daftar Koreksi'!$G$5:$G$92,"Aset Henti Guna",'Daftar Koreksi'!$H$5:$H$92,"&gt;0")</f>
        <v>0</v>
      </c>
      <c r="F499" s="25">
        <f>SUMIFS('Daftar Koreksi'!$H$5:$H$92,'Daftar Koreksi'!$D$5:$D$92,'2400'!A488,'Daftar Koreksi'!$G$5:$G$92,"Aset Henti Guna",'Daftar Koreksi'!$H$5:$H$92,"&lt;0")-SUMIFS('Daftar Koreksi'!$H$5:$H$92,'Daftar Koreksi'!$D$5:$D$92,'2400'!A488,'Daftar Koreksi'!$G$5:$G$92,"Aset Henti Guna",'Daftar Koreksi'!$H$5:$H$92,"&lt;0")-SUMIFS('Daftar Koreksi'!$H$5:$H$92,'Daftar Koreksi'!$D$5:$D$92,'2400'!A488,'Daftar Koreksi'!$G$5:$G$92,"Aset Henti Guna",'Daftar Koreksi'!$H$5:$H$92,"&lt;0")</f>
        <v>0</v>
      </c>
      <c r="G499" s="17">
        <f t="shared" si="22"/>
        <v>168500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2098245570</v>
      </c>
      <c r="E500" s="19">
        <f>SUM(E491:E499)</f>
        <v>0</v>
      </c>
      <c r="F500" s="19">
        <f>SUM(F491:F499)</f>
        <v>0</v>
      </c>
      <c r="G500" s="19">
        <f t="shared" si="22"/>
        <v>2098245570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-932043437</v>
      </c>
      <c r="E501" s="25">
        <f>SUMIFS('Daftar Koreksi'!$I$5:$I$92,'Daftar Koreksi'!$D$5:$D$92,'2400'!A488,'Daftar Koreksi'!$G$5:$G$92,"Peralatan dan mesin",'Daftar Koreksi'!$I$5:$I$92,"&gt;0")</f>
        <v>0</v>
      </c>
      <c r="F501" s="25">
        <f>SUMIFS('Daftar Koreksi'!$I$5:$I$92,'Daftar Koreksi'!$D$5:$D$92,'2400'!A488,'Daftar Koreksi'!$G$5:$G$92,"Peralatan dan mesin",'Daftar Koreksi'!$I$5:$I$92,"&lt;0")-SUMIFS('Daftar Koreksi'!$I$5:$I$92,'Daftar Koreksi'!$D$5:$D$92,'2400'!A488,'Daftar Koreksi'!$G$5:$G$92,"Peralatan dan mesin",'Daftar Koreksi'!$I$5:$I$92,"&lt;0")-SUMIFS('Daftar Koreksi'!$I$5:$I$92,'Daftar Koreksi'!$D$5:$D$92,'2400'!A488,'Daftar Koreksi'!$G$5:$G$92,"Peralatan dan mesin",'Daftar Koreksi'!$I$5:$I$92,"&lt;0")</f>
        <v>0</v>
      </c>
      <c r="G501" s="17">
        <f t="shared" si="22"/>
        <v>-932043437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-129959119</v>
      </c>
      <c r="E502" s="25">
        <f>SUMIFS('Daftar Koreksi'!$I$5:$I$92,'Daftar Koreksi'!$D$5:$D$92,'2400'!A488,'Daftar Koreksi'!$G$5:$G$92,"Gedung dan Bangunan",'Daftar Koreksi'!$I$5:$I$92,"&gt;0")</f>
        <v>0</v>
      </c>
      <c r="F502" s="25">
        <f>SUMIFS('Daftar Koreksi'!$I$5:$I$92,'Daftar Koreksi'!$D$5:$D$92,'2400'!A488,'Daftar Koreksi'!$G$5:$G$92,"Gedung dan Bangunan",'Daftar Koreksi'!$I$5:$I$92,"&lt;0")-SUMIFS('Daftar Koreksi'!$I$5:$I$92,'Daftar Koreksi'!$D$5:$D$92,'2400'!A488,'Daftar Koreksi'!$G$5:$G$92,"Gedung dan Bangunan",'Daftar Koreksi'!$I$5:$I$92,"&lt;0")-SUMIFS('Daftar Koreksi'!$I$5:$I$92,'Daftar Koreksi'!$D$5:$D$92,'2400'!A488,'Daftar Koreksi'!$G$5:$G$92,"Gedung dan Bangunan",'Daftar Koreksi'!$I$5:$I$92,"&lt;0")</f>
        <v>0</v>
      </c>
      <c r="G502" s="17">
        <f t="shared" si="22"/>
        <v>-129959119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0</v>
      </c>
      <c r="E503" s="25">
        <f>SUMIFS('Daftar Koreksi'!$I$5:$I$92,'Daftar Koreksi'!$D$5:$D$92,'2400'!A488,'Daftar Koreksi'!$G$5:$G$92,"Jalan Irigasi Jaringan",'Daftar Koreksi'!$I$5:$I$92,"&gt;0")</f>
        <v>0</v>
      </c>
      <c r="F503" s="25">
        <f>SUMIFS('Daftar Koreksi'!$I$5:$I$92,'Daftar Koreksi'!$D$5:$D$92,'2400'!A488,'Daftar Koreksi'!$G$5:$G$92,"Jalan Irigasi Jaringan",'Daftar Koreksi'!$I$5:$I$92,"&lt;0")-SUMIFS('Daftar Koreksi'!$I$5:$I$92,'Daftar Koreksi'!$D$5:$D$92,'2400'!A488,'Daftar Koreksi'!$G$5:$G$92,"Jalan Irigasi Jaringan",'Daftar Koreksi'!$I$5:$I$92,"&lt;0")-SUMIFS('Daftar Koreksi'!$I$5:$I$92,'Daftar Koreksi'!$D$5:$D$92,'2400'!A488,'Daftar Koreksi'!$G$5:$G$92,"Jalan Irigasi Jaringan",'Daftar Koreksi'!$I$5:$I$92,"&lt;0")</f>
        <v>0</v>
      </c>
      <c r="G503" s="17">
        <f t="shared" si="22"/>
        <v>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Koreksi'!$D$5:$D$92,'2400'!A488,'Daftar Koreksi'!$G$5:$G$92,"Aset Tetap Lainnya",'Daftar Koreksi'!$I$5:$I$92,"&gt;0")</f>
        <v>0</v>
      </c>
      <c r="F504" s="25">
        <f>SUMIFS('Daftar Koreksi'!$I$5:$I$92,'Daftar Koreksi'!$D$5:$D$92,'2400'!A488,'Daftar Koreksi'!$G$5:$G$92,"Aset Tetap Lainnya",'Daftar Koreksi'!$I$5:$I$92,"&lt;0")-SUMIFS('Daftar Koreksi'!$I$5:$I$92,'Daftar Koreksi'!$D$5:$D$92,'2400'!A488,'Daftar Koreksi'!$G$5:$G$92,"Aset Tetap Lainnya",'Daftar Koreksi'!$I$5:$I$92,"&lt;0")-SUMIFS('Daftar Koreksi'!$I$5:$I$92,'Daftar Koreksi'!$D$5:$D$92,'2400'!A488,'Daftar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-168500</v>
      </c>
      <c r="E505" s="25">
        <f>SUMIFS('Daftar Koreksi'!$I$5:$I$92,'Daftar Koreksi'!$D$5:$D$92,'2400'!A488,'Daftar Koreksi'!$G$5:$G$92,"Aset Henti Guna",'Daftar Koreksi'!$I$5:$I$92,"&gt;0")</f>
        <v>0</v>
      </c>
      <c r="F505" s="25">
        <f>SUMIFS('Daftar Koreksi'!$I$5:$I$92,'Daftar Koreksi'!$D$5:$D$92,'2400'!A488,'Daftar Koreksi'!$G$5:$G$92,"Aset Henti Guna",'Daftar Koreksi'!$I$5:$I$92,"&lt;0")-SUMIFS('Daftar Koreksi'!$I$5:$I$92,'Daftar Koreksi'!$D$5:$D$92,'2400'!A488,'Daftar Koreksi'!$G$5:$G$92,"Aset Henti Guna",'Daftar Koreksi'!$I$5:$I$92,"&lt;0")-SUMIFS('Daftar Koreksi'!$I$5:$I$92,'Daftar Koreksi'!$D$5:$D$92,'2400'!A488,'Daftar Koreksi'!$G$5:$G$92,"Aset Henti Guna",'Daftar Koreksi'!$I$5:$I$92,"&lt;0")</f>
        <v>0</v>
      </c>
      <c r="G505" s="17">
        <f t="shared" si="22"/>
        <v>-168500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-1062171056</v>
      </c>
      <c r="E506" s="19">
        <f>SUM(E501:E505)</f>
        <v>0</v>
      </c>
      <c r="F506" s="19">
        <f>SUM(F501:F505)</f>
        <v>0</v>
      </c>
      <c r="G506" s="19">
        <f t="shared" si="22"/>
        <v>-1062171056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1036074514</v>
      </c>
      <c r="E507" s="19">
        <f>E506+E500</f>
        <v>0</v>
      </c>
      <c r="F507" s="19">
        <f>F506+F500</f>
        <v>0</v>
      </c>
      <c r="G507" s="19">
        <f t="shared" si="22"/>
        <v>1036074514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005012400402845000KD</v>
      </c>
      <c r="B510" s="11" t="str">
        <f>P24</f>
        <v>PA. Bajawa</v>
      </c>
      <c r="C510" s="12" t="str">
        <f>A510&amp;" "&amp;B510</f>
        <v>005012400402845000KD PA. Bajawa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910000</v>
      </c>
      <c r="E513" s="25">
        <f>SUMIFS('Daftar Koreksi'!$H$5:$H$92,'Daftar Koreksi'!$D$5:$D$92,'2400'!A510,'Daftar Koreksi'!$G$5:$G$92,"Persediaan",'Daftar Koreksi'!$H$5:$H$92,"&gt;0")</f>
        <v>0</v>
      </c>
      <c r="F513" s="25">
        <f>SUMIFS('Daftar Koreksi'!$H$5:$H$92,'Daftar Koreksi'!$D$5:$D$92,'2400'!A510,'Daftar Koreksi'!$G$5:$G$92,"Persediaan",'Daftar Koreksi'!$H$5:$H$92,"&lt;0")-SUMIFS('Daftar Koreksi'!$H$5:$H$92,'Daftar Koreksi'!$D$5:$D$92,'2400'!A510,'Daftar Koreksi'!$G$5:$G$92,"Persediaan",'Daftar Koreksi'!$H$5:$H$92,"&lt;0")-SUMIFS('Daftar Koreksi'!$H$5:$H$92,'Daftar Koreksi'!$D$5:$D$92,'2400'!A510,'Daftar Koreksi'!$G$5:$G$92,"Persediaan",'Daftar Koreksi'!$H$5:$H$92,"&lt;0")</f>
        <v>0</v>
      </c>
      <c r="G513" s="17">
        <f>D513+E513-F513</f>
        <v>910000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941223920</v>
      </c>
      <c r="E514" s="25">
        <f>SUMIFS('Daftar Koreksi'!$H$5:$H$92,'Daftar Koreksi'!$D$5:$D$92,'2400'!A510,'Daftar Koreksi'!$G$5:$G$92,"Tanah",'Daftar Koreksi'!$H$5:$H$92,"&gt;0")</f>
        <v>0</v>
      </c>
      <c r="F514" s="25">
        <f>SUMIFS('Daftar Koreksi'!$H$5:$H$92,'Daftar Koreksi'!$D$5:$D$92,'2400'!A510,'Daftar Koreksi'!$G$5:$G$92,"Tanah",'Daftar Koreksi'!$H$5:$H$92,"&lt;0")-SUMIFS('Daftar Koreksi'!$H$5:$H$92,'Daftar Koreksi'!$D$5:$D$92,'2400'!A510,'Daftar Koreksi'!$G$5:$G$92,"Tanah",'Daftar Koreksi'!$H$5:$H$92,"&lt;0")-SUMIFS('Daftar Koreksi'!$H$5:$H$92,'Daftar Koreksi'!$D$5:$D$92,'2400'!A510,'Daftar Koreksi'!$G$5:$G$92,"Tanah",'Daftar Koreksi'!$H$5:$H$92,"&lt;0")</f>
        <v>0</v>
      </c>
      <c r="G514" s="17">
        <f t="shared" ref="G514:G530" si="23">D514+E514-F514</f>
        <v>941223920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778998312</v>
      </c>
      <c r="E515" s="25">
        <f>SUMIFS('Daftar Koreksi'!$H$5:$H$92,'Daftar Koreksi'!$D$5:$D$92,'2400'!A510,'Daftar Koreksi'!$G$5:$G$92,"Peralatan dan mesin",'Daftar Koreksi'!$H$5:$H$92,"&gt;0")</f>
        <v>0</v>
      </c>
      <c r="F515" s="25">
        <f>SUMIFS('Daftar Koreksi'!$H$5:$H$92,'Daftar Koreksi'!$D$5:$D$92,'2400'!A510,'Daftar Koreksi'!$G$5:$G$92,"Peralatan dan mesin",'Daftar Koreksi'!$H$5:$H$92,"&lt;0")-SUMIFS('Daftar Koreksi'!$H$5:$H$92,'Daftar Koreksi'!$D$5:$D$92,'2400'!A510,'Daftar Koreksi'!$G$5:$G$92,"Peralatan dan mesin",'Daftar Koreksi'!$H$5:$H$92,"&lt;0")-SUMIFS('Daftar Koreksi'!$H$5:$H$92,'Daftar Koreksi'!$D$5:$D$92,'2400'!A510,'Daftar Koreksi'!$G$5:$G$92,"Peralatan dan mesin",'Daftar Koreksi'!$H$5:$H$92,"&lt;0")</f>
        <v>0</v>
      </c>
      <c r="G515" s="17">
        <f t="shared" si="23"/>
        <v>778998312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779054000</v>
      </c>
      <c r="E516" s="25">
        <f>SUMIFS('Daftar Koreksi'!$H$5:$H$92,'Daftar Koreksi'!$D$5:$D$92,'2400'!A510,'Daftar Koreksi'!$G$5:$G$92,"Gedung dan Bangunan",'Daftar Koreksi'!$H$5:$H$92,"&gt;0")</f>
        <v>0</v>
      </c>
      <c r="F516" s="25">
        <f>SUMIFS('Daftar Koreksi'!$H$5:$H$92,'Daftar Koreksi'!$D$5:$D$92,'2400'!A510,'Daftar Koreksi'!$G$5:$G$92,"Gedung dan Bangunan",'Daftar Koreksi'!$H$5:$H$92,"&lt;0")-SUMIFS('Daftar Koreksi'!$H$5:$H$92,'Daftar Koreksi'!$D$5:$D$92,'2400'!A510,'Daftar Koreksi'!$G$5:$G$92,"Gedung dan Bangunan",'Daftar Koreksi'!$H$5:$H$92,"&lt;0")-SUMIFS('Daftar Koreksi'!$H$5:$H$92,'Daftar Koreksi'!$D$5:$D$92,'2400'!A510,'Daftar Koreksi'!$G$5:$G$92,"Gedung dan Bangunan",'Daftar Koreksi'!$H$5:$H$92,"&lt;0")</f>
        <v>0</v>
      </c>
      <c r="G516" s="17">
        <f t="shared" si="23"/>
        <v>779054000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7692000</v>
      </c>
      <c r="E517" s="25">
        <f>SUMIFS('Daftar Koreksi'!$H$5:$H$92,'Daftar Koreksi'!$D$5:$D$92,'2400'!A510,'Daftar Koreksi'!$G$5:$G$92,"Jalan Irigasi Jaringan",'Daftar Koreksi'!$H$5:$H$92,"&gt;0")</f>
        <v>0</v>
      </c>
      <c r="F517" s="25">
        <f>SUMIFS('Daftar Koreksi'!$H$5:$H$92,'Daftar Koreksi'!$D$5:$D$92,'2400'!A510,'Daftar Koreksi'!$G$5:$G$92,"Jalan Irigasi Jaringan",'Daftar Koreksi'!$H$5:$H$92,"&lt;0")-SUMIFS('Daftar Koreksi'!$H$5:$H$92,'Daftar Koreksi'!$D$5:$D$92,'2400'!A510,'Daftar Koreksi'!$G$5:$G$92,"Jalan Irigasi Jaringan",'Daftar Koreksi'!$H$5:$H$92,"&lt;0")-SUMIFS('Daftar Koreksi'!$H$5:$H$92,'Daftar Koreksi'!$D$5:$D$92,'2400'!A510,'Daftar Koreksi'!$G$5:$G$92,"Jalan Irigasi Jaringan",'Daftar Koreksi'!$H$5:$H$92,"&lt;0")</f>
        <v>0</v>
      </c>
      <c r="G517" s="17">
        <f t="shared" si="23"/>
        <v>7692000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8914070</v>
      </c>
      <c r="E518" s="25">
        <f>SUMIFS('Daftar Koreksi'!$H$5:$H$92,'Daftar Koreksi'!$D$5:$D$92,'2400'!A510,'Daftar Koreksi'!$G$5:$G$92,"Aset Tetap Lainnya",'Daftar Koreksi'!$H$5:$H$92,"&gt;0")</f>
        <v>0</v>
      </c>
      <c r="F518" s="25">
        <f>SUMIFS('Daftar Koreksi'!$H$5:$H$92,'Daftar Koreksi'!$D$5:$D$92,'2400'!A510,'Daftar Koreksi'!$G$5:$G$92,"Aset Tetap Lainnya",'Daftar Koreksi'!$H$5:$H$92,"&lt;0")-SUMIFS('Daftar Koreksi'!$H$5:$H$92,'Daftar Koreksi'!$D$5:$D$92,'2400'!A510,'Daftar Koreksi'!$G$5:$G$92,"Aset Tetap Lainnya",'Daftar Koreksi'!$H$5:$H$92,"&lt;0")-SUMIFS('Daftar Koreksi'!$H$5:$H$92,'Daftar Koreksi'!$D$5:$D$92,'2400'!A510,'Daftar Koreksi'!$G$5:$G$92,"Aset Tetap Lainnya",'Daftar Koreksi'!$H$5:$H$92,"&lt;0")</f>
        <v>0</v>
      </c>
      <c r="G518" s="17">
        <f t="shared" si="23"/>
        <v>8914070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Koreksi'!$D$5:$D$92,'2400'!A510,'Daftar Koreksi'!$G$5:$G$92,"Kontruksi Dalam Pengerjaan",'Daftar Koreksi'!$H$5:$H$92,"&gt;0")</f>
        <v>0</v>
      </c>
      <c r="F519" s="25">
        <f>SUMIFS('Daftar Koreksi'!$H$5:$H$92,'Daftar Koreksi'!$D$5:$D$92,'2400'!A510,'Daftar Koreksi'!$G$5:$G$92,"Kontruksi Dalam Pengerjaan",'Daftar Koreksi'!$H$5:$H$92,"&lt;0")-SUMIFS('Daftar Koreksi'!$H$5:$H$92,'Daftar Koreksi'!$D$5:$D$92,'2400'!A510,'Daftar Koreksi'!$G$5:$G$92,"Kontruksi Dalam Pengerjaan",'Daftar Koreksi'!$H$5:$H$92,"&lt;0")-SUMIFS('Daftar Koreksi'!$H$5:$H$92,'Daftar Koreksi'!$D$5:$D$92,'2400'!A510,'Daftar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13000000</v>
      </c>
      <c r="E520" s="25">
        <f>SUMIFS('Daftar Koreksi'!$H$5:$H$92,'Daftar Koreksi'!$D$5:$D$92,'2400'!A510,'Daftar Koreksi'!$G$5:$G$92,"Aset Tak Berwujud",'Daftar Koreksi'!$H$5:$H$92,"&gt;0")</f>
        <v>0</v>
      </c>
      <c r="F520" s="25">
        <f>SUMIFS('Daftar Koreksi'!$H$5:$H$92,'Daftar Koreksi'!$D$5:$D$92,'2400'!A510,'Daftar Koreksi'!$G$5:$G$92,"Aset Tak Berwujud",'Daftar Koreksi'!$H$5:$H$92,"&lt;0")-SUMIFS('Daftar Koreksi'!$H$5:$H$92,'Daftar Koreksi'!$D$5:$D$92,'2400'!A510,'Daftar Koreksi'!$G$5:$G$92,"Aset Tak Berwujud",'Daftar Koreksi'!$H$5:$H$92,"&lt;0")-SUMIFS('Daftar Koreksi'!$H$5:$H$92,'Daftar Koreksi'!$D$5:$D$92,'2400'!A510,'Daftar Koreksi'!$G$5:$G$92,"Aset Tak Berwujud",'Daftar Koreksi'!$H$5:$H$92,"&lt;0")</f>
        <v>0</v>
      </c>
      <c r="G520" s="17">
        <f t="shared" si="23"/>
        <v>13000000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17447000</v>
      </c>
      <c r="E521" s="25">
        <f>SUMIFS('Daftar Koreksi'!$H$5:$H$92,'Daftar Koreksi'!$D$5:$D$92,'2400'!A510,'Daftar Koreksi'!$G$5:$G$92,"Aset Henti Guna",'Daftar Koreksi'!$H$5:$H$92,"&gt;0")</f>
        <v>0</v>
      </c>
      <c r="F521" s="25">
        <f>SUMIFS('Daftar Koreksi'!$H$5:$H$92,'Daftar Koreksi'!$D$5:$D$92,'2400'!A510,'Daftar Koreksi'!$G$5:$G$92,"Aset Henti Guna",'Daftar Koreksi'!$H$5:$H$92,"&lt;0")-SUMIFS('Daftar Koreksi'!$H$5:$H$92,'Daftar Koreksi'!$D$5:$D$92,'2400'!A510,'Daftar Koreksi'!$G$5:$G$92,"Aset Henti Guna",'Daftar Koreksi'!$H$5:$H$92,"&lt;0")-SUMIFS('Daftar Koreksi'!$H$5:$H$92,'Daftar Koreksi'!$D$5:$D$92,'2400'!A510,'Daftar Koreksi'!$G$5:$G$92,"Aset Henti Guna",'Daftar Koreksi'!$H$5:$H$92,"&lt;0")</f>
        <v>0</v>
      </c>
      <c r="G521" s="17">
        <f t="shared" si="23"/>
        <v>17447000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2547239302</v>
      </c>
      <c r="E522" s="19">
        <f>SUM(E513:E521)</f>
        <v>0</v>
      </c>
      <c r="F522" s="19">
        <f>SUM(F513:F521)</f>
        <v>0</v>
      </c>
      <c r="G522" s="19">
        <f t="shared" si="23"/>
        <v>2547239302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-732625034</v>
      </c>
      <c r="E523" s="25">
        <f>SUMIFS('Daftar Koreksi'!$I$5:$I$92,'Daftar Koreksi'!$D$5:$D$92,'2400'!A510,'Daftar Koreksi'!$G$5:$G$92,"Peralatan dan mesin",'Daftar Koreksi'!$I$5:$I$92,"&gt;0")</f>
        <v>0</v>
      </c>
      <c r="F523" s="25">
        <f>SUMIFS('Daftar Koreksi'!$I$5:$I$92,'Daftar Koreksi'!$D$5:$D$92,'2400'!A510,'Daftar Koreksi'!$G$5:$G$92,"Peralatan dan mesin",'Daftar Koreksi'!$I$5:$I$92,"&lt;0")-SUMIFS('Daftar Koreksi'!$I$5:$I$92,'Daftar Koreksi'!$D$5:$D$92,'2400'!A510,'Daftar Koreksi'!$G$5:$G$92,"Peralatan dan mesin",'Daftar Koreksi'!$I$5:$I$92,"&lt;0")-SUMIFS('Daftar Koreksi'!$I$5:$I$92,'Daftar Koreksi'!$D$5:$D$92,'2400'!A510,'Daftar Koreksi'!$G$5:$G$92,"Peralatan dan mesin",'Daftar Koreksi'!$I$5:$I$92,"&lt;0")</f>
        <v>0</v>
      </c>
      <c r="G523" s="17">
        <f t="shared" si="23"/>
        <v>-732625034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-81941198</v>
      </c>
      <c r="E524" s="25">
        <f>SUMIFS('Daftar Koreksi'!$I$5:$I$92,'Daftar Koreksi'!$D$5:$D$92,'2400'!A510,'Daftar Koreksi'!$G$5:$G$92,"Gedung dan Bangunan",'Daftar Koreksi'!$I$5:$I$92,"&gt;0")</f>
        <v>0</v>
      </c>
      <c r="F524" s="25">
        <f>SUMIFS('Daftar Koreksi'!$I$5:$I$92,'Daftar Koreksi'!$D$5:$D$92,'2400'!A510,'Daftar Koreksi'!$G$5:$G$92,"Gedung dan Bangunan",'Daftar Koreksi'!$I$5:$I$92,"&lt;0")-SUMIFS('Daftar Koreksi'!$I$5:$I$92,'Daftar Koreksi'!$D$5:$D$92,'2400'!A510,'Daftar Koreksi'!$G$5:$G$92,"Gedung dan Bangunan",'Daftar Koreksi'!$I$5:$I$92,"&lt;0")-SUMIFS('Daftar Koreksi'!$I$5:$I$92,'Daftar Koreksi'!$D$5:$D$92,'2400'!A510,'Daftar Koreksi'!$G$5:$G$92,"Gedung dan Bangunan",'Daftar Koreksi'!$I$5:$I$92,"&lt;0")</f>
        <v>0</v>
      </c>
      <c r="G524" s="17">
        <f t="shared" si="23"/>
        <v>-81941198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-1442250</v>
      </c>
      <c r="E525" s="25">
        <f>SUMIFS('Daftar Koreksi'!$I$5:$I$92,'Daftar Koreksi'!$D$5:$D$92,'2400'!A510,'Daftar Koreksi'!$G$5:$G$92,"Jalan Irigasi Jaringan",'Daftar Koreksi'!$I$5:$I$92,"&gt;0")</f>
        <v>0</v>
      </c>
      <c r="F525" s="25">
        <f>SUMIFS('Daftar Koreksi'!$I$5:$I$92,'Daftar Koreksi'!$D$5:$D$92,'2400'!A510,'Daftar Koreksi'!$G$5:$G$92,"Jalan Irigasi Jaringan",'Daftar Koreksi'!$I$5:$I$92,"&lt;0")-SUMIFS('Daftar Koreksi'!$I$5:$I$92,'Daftar Koreksi'!$D$5:$D$92,'2400'!A510,'Daftar Koreksi'!$G$5:$G$92,"Jalan Irigasi Jaringan",'Daftar Koreksi'!$I$5:$I$92,"&lt;0")-SUMIFS('Daftar Koreksi'!$I$5:$I$92,'Daftar Koreksi'!$D$5:$D$92,'2400'!A510,'Daftar Koreksi'!$G$5:$G$92,"Jalan Irigasi Jaringan",'Daftar Koreksi'!$I$5:$I$92,"&lt;0")</f>
        <v>0</v>
      </c>
      <c r="G525" s="17">
        <f t="shared" si="23"/>
        <v>-1442250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Koreksi'!$D$5:$D$92,'2400'!A510,'Daftar Koreksi'!$G$5:$G$92,"Aset Tetap Lainnya",'Daftar Koreksi'!$I$5:$I$92,"&gt;0")</f>
        <v>0</v>
      </c>
      <c r="F526" s="25">
        <f>SUMIFS('Daftar Koreksi'!$I$5:$I$92,'Daftar Koreksi'!$D$5:$D$92,'2400'!A510,'Daftar Koreksi'!$G$5:$G$92,"Aset Tetap Lainnya",'Daftar Koreksi'!$I$5:$I$92,"&lt;0")-SUMIFS('Daftar Koreksi'!$I$5:$I$92,'Daftar Koreksi'!$D$5:$D$92,'2400'!A510,'Daftar Koreksi'!$G$5:$G$92,"Aset Tetap Lainnya",'Daftar Koreksi'!$I$5:$I$92,"&lt;0")-SUMIFS('Daftar Koreksi'!$I$5:$I$92,'Daftar Koreksi'!$D$5:$D$92,'2400'!A510,'Daftar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-17447000</v>
      </c>
      <c r="E527" s="25">
        <f>SUMIFS('Daftar Koreksi'!$I$5:$I$92,'Daftar Koreksi'!$D$5:$D$92,'2400'!A510,'Daftar Koreksi'!$G$5:$G$92,"Aset Henti Guna",'Daftar Koreksi'!$I$5:$I$92,"&gt;0")</f>
        <v>0</v>
      </c>
      <c r="F527" s="25">
        <f>SUMIFS('Daftar Koreksi'!$I$5:$I$92,'Daftar Koreksi'!$D$5:$D$92,'2400'!A510,'Daftar Koreksi'!$G$5:$G$92,"Aset Henti Guna",'Daftar Koreksi'!$I$5:$I$92,"&lt;0")-SUMIFS('Daftar Koreksi'!$I$5:$I$92,'Daftar Koreksi'!$D$5:$D$92,'2400'!A510,'Daftar Koreksi'!$G$5:$G$92,"Aset Henti Guna",'Daftar Koreksi'!$I$5:$I$92,"&lt;0")-SUMIFS('Daftar Koreksi'!$I$5:$I$92,'Daftar Koreksi'!$D$5:$D$92,'2400'!A510,'Daftar Koreksi'!$G$5:$G$92,"Aset Henti Guna",'Daftar Koreksi'!$I$5:$I$92,"&lt;0")</f>
        <v>0</v>
      </c>
      <c r="G527" s="17">
        <f t="shared" si="23"/>
        <v>-17447000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-833455482</v>
      </c>
      <c r="E528" s="19">
        <f>SUM(E523:E527)</f>
        <v>0</v>
      </c>
      <c r="F528" s="19">
        <f>SUM(F523:F527)</f>
        <v>0</v>
      </c>
      <c r="G528" s="19">
        <f t="shared" si="23"/>
        <v>-833455482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1713783820</v>
      </c>
      <c r="E529" s="19">
        <f>E528+E522</f>
        <v>0</v>
      </c>
      <c r="F529" s="19">
        <f>F528+F522</f>
        <v>0</v>
      </c>
      <c r="G529" s="19">
        <f t="shared" si="23"/>
        <v>1713783820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005012400402851000KD</v>
      </c>
      <c r="B532" s="11" t="str">
        <f>P25</f>
        <v>PA. Maumere</v>
      </c>
      <c r="C532" s="12" t="str">
        <f>A532&amp;" "&amp;B532</f>
        <v>005012400402851000KD PA. Maumere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291000</v>
      </c>
      <c r="E535" s="25">
        <f>SUMIFS('Daftar Koreksi'!$H$5:$H$92,'Daftar Koreksi'!$D$5:$D$92,'2400'!A532,'Daftar Koreksi'!$G$5:$G$92,"Persediaan",'Daftar Koreksi'!$H$5:$H$92,"&gt;0")</f>
        <v>0</v>
      </c>
      <c r="F535" s="25">
        <f>SUMIFS('Daftar Koreksi'!$H$5:$H$92,'Daftar Koreksi'!$D$5:$D$92,'2400'!A532,'Daftar Koreksi'!$G$5:$G$92,"Persediaan",'Daftar Koreksi'!$H$5:$H$92,"&lt;0")-SUMIFS('Daftar Koreksi'!$H$5:$H$92,'Daftar Koreksi'!$D$5:$D$92,'2400'!A532,'Daftar Koreksi'!$G$5:$G$92,"Persediaan",'Daftar Koreksi'!$H$5:$H$92,"&lt;0")-SUMIFS('Daftar Koreksi'!$H$5:$H$92,'Daftar Koreksi'!$D$5:$D$92,'2400'!A532,'Daftar Koreksi'!$G$5:$G$92,"Persediaan",'Daftar Koreksi'!$H$5:$H$92,"&lt;0")</f>
        <v>0</v>
      </c>
      <c r="G535" s="17">
        <f>D535+E535-F535</f>
        <v>291000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907216000</v>
      </c>
      <c r="E536" s="25">
        <f>SUMIFS('Daftar Koreksi'!$H$5:$H$92,'Daftar Koreksi'!$D$5:$D$92,'2400'!A532,'Daftar Koreksi'!$G$5:$G$92,"Tanah",'Daftar Koreksi'!$H$5:$H$92,"&gt;0")</f>
        <v>0</v>
      </c>
      <c r="F536" s="25">
        <f>SUMIFS('Daftar Koreksi'!$H$5:$H$92,'Daftar Koreksi'!$D$5:$D$92,'2400'!A532,'Daftar Koreksi'!$G$5:$G$92,"Tanah",'Daftar Koreksi'!$H$5:$H$92,"&lt;0")-SUMIFS('Daftar Koreksi'!$H$5:$H$92,'Daftar Koreksi'!$D$5:$D$92,'2400'!A532,'Daftar Koreksi'!$G$5:$G$92,"Tanah",'Daftar Koreksi'!$H$5:$H$92,"&lt;0")-SUMIFS('Daftar Koreksi'!$H$5:$H$92,'Daftar Koreksi'!$D$5:$D$92,'2400'!A532,'Daftar Koreksi'!$G$5:$G$92,"Tanah",'Daftar Koreksi'!$H$5:$H$92,"&lt;0")</f>
        <v>0</v>
      </c>
      <c r="G536" s="17">
        <f t="shared" ref="G536:G552" si="24">D536+E536-F536</f>
        <v>907216000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2159232756</v>
      </c>
      <c r="E537" s="25">
        <f>SUMIFS('Daftar Koreksi'!$H$5:$H$92,'Daftar Koreksi'!$D$5:$D$92,'2400'!A532,'Daftar Koreksi'!$G$5:$G$92,"Peralatan dan mesin",'Daftar Koreksi'!$H$5:$H$92,"&gt;0")</f>
        <v>0</v>
      </c>
      <c r="F537" s="25">
        <f>SUMIFS('Daftar Koreksi'!$H$5:$H$92,'Daftar Koreksi'!$D$5:$D$92,'2400'!A532,'Daftar Koreksi'!$G$5:$G$92,"Peralatan dan mesin",'Daftar Koreksi'!$H$5:$H$92,"&lt;0")-SUMIFS('Daftar Koreksi'!$H$5:$H$92,'Daftar Koreksi'!$D$5:$D$92,'2400'!A532,'Daftar Koreksi'!$G$5:$G$92,"Peralatan dan mesin",'Daftar Koreksi'!$H$5:$H$92,"&lt;0")-SUMIFS('Daftar Koreksi'!$H$5:$H$92,'Daftar Koreksi'!$D$5:$D$92,'2400'!A532,'Daftar Koreksi'!$G$5:$G$92,"Peralatan dan mesin",'Daftar Koreksi'!$H$5:$H$92,"&lt;0")</f>
        <v>0</v>
      </c>
      <c r="G537" s="17">
        <f t="shared" si="24"/>
        <v>2159232756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8496345641</v>
      </c>
      <c r="E538" s="25">
        <f>SUMIFS('Daftar Koreksi'!$H$5:$H$92,'Daftar Koreksi'!$D$5:$D$92,'2400'!A532,'Daftar Koreksi'!$G$5:$G$92,"Gedung dan Bangunan",'Daftar Koreksi'!$H$5:$H$92,"&gt;0")</f>
        <v>0</v>
      </c>
      <c r="F538" s="25">
        <f>SUMIFS('Daftar Koreksi'!$H$5:$H$92,'Daftar Koreksi'!$D$5:$D$92,'2400'!A532,'Daftar Koreksi'!$G$5:$G$92,"Gedung dan Bangunan",'Daftar Koreksi'!$H$5:$H$92,"&lt;0")-SUMIFS('Daftar Koreksi'!$H$5:$H$92,'Daftar Koreksi'!$D$5:$D$92,'2400'!A532,'Daftar Koreksi'!$G$5:$G$92,"Gedung dan Bangunan",'Daftar Koreksi'!$H$5:$H$92,"&lt;0")-SUMIFS('Daftar Koreksi'!$H$5:$H$92,'Daftar Koreksi'!$D$5:$D$92,'2400'!A532,'Daftar Koreksi'!$G$5:$G$92,"Gedung dan Bangunan",'Daftar Koreksi'!$H$5:$H$92,"&lt;0")</f>
        <v>0</v>
      </c>
      <c r="G538" s="17">
        <f t="shared" si="24"/>
        <v>8496345641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0</v>
      </c>
      <c r="E539" s="25">
        <f>SUMIFS('Daftar Koreksi'!$H$5:$H$92,'Daftar Koreksi'!$D$5:$D$92,'2400'!A532,'Daftar Koreksi'!$G$5:$G$92,"Jalan Irigasi Jaringan",'Daftar Koreksi'!$H$5:$H$92,"&gt;0")</f>
        <v>0</v>
      </c>
      <c r="F539" s="25">
        <f>SUMIFS('Daftar Koreksi'!$H$5:$H$92,'Daftar Koreksi'!$D$5:$D$92,'2400'!A532,'Daftar Koreksi'!$G$5:$G$92,"Jalan Irigasi Jaringan",'Daftar Koreksi'!$H$5:$H$92,"&lt;0")-SUMIFS('Daftar Koreksi'!$H$5:$H$92,'Daftar Koreksi'!$D$5:$D$92,'2400'!A532,'Daftar Koreksi'!$G$5:$G$92,"Jalan Irigasi Jaringan",'Daftar Koreksi'!$H$5:$H$92,"&lt;0")-SUMIFS('Daftar Koreksi'!$H$5:$H$92,'Daftar Koreksi'!$D$5:$D$92,'2400'!A532,'Daftar Koreksi'!$G$5:$G$92,"Jalan Irigasi Jaringan",'Daftar Koreksi'!$H$5:$H$92,"&lt;0")</f>
        <v>0</v>
      </c>
      <c r="G539" s="17">
        <f t="shared" si="24"/>
        <v>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24474870</v>
      </c>
      <c r="E540" s="25">
        <f>SUMIFS('Daftar Koreksi'!$H$5:$H$92,'Daftar Koreksi'!$D$5:$D$92,'2400'!A532,'Daftar Koreksi'!$G$5:$G$92,"Aset Tetap Lainnya",'Daftar Koreksi'!$H$5:$H$92,"&gt;0")</f>
        <v>0</v>
      </c>
      <c r="F540" s="25">
        <f>SUMIFS('Daftar Koreksi'!$H$5:$H$92,'Daftar Koreksi'!$D$5:$D$92,'2400'!A532,'Daftar Koreksi'!$G$5:$G$92,"Aset Tetap Lainnya",'Daftar Koreksi'!$H$5:$H$92,"&lt;0")-SUMIFS('Daftar Koreksi'!$H$5:$H$92,'Daftar Koreksi'!$D$5:$D$92,'2400'!A532,'Daftar Koreksi'!$G$5:$G$92,"Aset Tetap Lainnya",'Daftar Koreksi'!$H$5:$H$92,"&lt;0")-SUMIFS('Daftar Koreksi'!$H$5:$H$92,'Daftar Koreksi'!$D$5:$D$92,'2400'!A532,'Daftar Koreksi'!$G$5:$G$92,"Aset Tetap Lainnya",'Daftar Koreksi'!$H$5:$H$92,"&lt;0")</f>
        <v>0</v>
      </c>
      <c r="G540" s="17">
        <f t="shared" si="24"/>
        <v>24474870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Koreksi'!$D$5:$D$92,'2400'!A532,'Daftar Koreksi'!$G$5:$G$92,"Kontruksi Dalam Pengerjaan",'Daftar Koreksi'!$H$5:$H$92,"&gt;0")</f>
        <v>0</v>
      </c>
      <c r="F541" s="25">
        <f>SUMIFS('Daftar Koreksi'!$H$5:$H$92,'Daftar Koreksi'!$D$5:$D$92,'2400'!A532,'Daftar Koreksi'!$G$5:$G$92,"Kontruksi Dalam Pengerjaan",'Daftar Koreksi'!$H$5:$H$92,"&lt;0")-SUMIFS('Daftar Koreksi'!$H$5:$H$92,'Daftar Koreksi'!$D$5:$D$92,'2400'!A532,'Daftar Koreksi'!$G$5:$G$92,"Kontruksi Dalam Pengerjaan",'Daftar Koreksi'!$H$5:$H$92,"&lt;0")-SUMIFS('Daftar Koreksi'!$H$5:$H$92,'Daftar Koreksi'!$D$5:$D$92,'2400'!A532,'Daftar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Koreksi'!$D$5:$D$92,'2400'!A532,'Daftar Koreksi'!$G$5:$G$92,"Aset Tak Berwujud",'Daftar Koreksi'!$H$5:$H$92,"&gt;0")</f>
        <v>0</v>
      </c>
      <c r="F542" s="25">
        <f>SUMIFS('Daftar Koreksi'!$H$5:$H$92,'Daftar Koreksi'!$D$5:$D$92,'2400'!A532,'Daftar Koreksi'!$G$5:$G$92,"Aset Tak Berwujud",'Daftar Koreksi'!$H$5:$H$92,"&lt;0")-SUMIFS('Daftar Koreksi'!$H$5:$H$92,'Daftar Koreksi'!$D$5:$D$92,'2400'!A532,'Daftar Koreksi'!$G$5:$G$92,"Aset Tak Berwujud",'Daftar Koreksi'!$H$5:$H$92,"&lt;0")-SUMIFS('Daftar Koreksi'!$H$5:$H$92,'Daftar Koreksi'!$D$5:$D$92,'2400'!A532,'Daftar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20822000</v>
      </c>
      <c r="E543" s="25">
        <f>SUMIFS('Daftar Koreksi'!$H$5:$H$92,'Daftar Koreksi'!$D$5:$D$92,'2400'!A532,'Daftar Koreksi'!$G$5:$G$92,"Aset Henti Guna",'Daftar Koreksi'!$H$5:$H$92,"&gt;0")</f>
        <v>0</v>
      </c>
      <c r="F543" s="25">
        <f>SUMIFS('Daftar Koreksi'!$H$5:$H$92,'Daftar Koreksi'!$D$5:$D$92,'2400'!A532,'Daftar Koreksi'!$G$5:$G$92,"Aset Henti Guna",'Daftar Koreksi'!$H$5:$H$92,"&lt;0")-SUMIFS('Daftar Koreksi'!$H$5:$H$92,'Daftar Koreksi'!$D$5:$D$92,'2400'!A532,'Daftar Koreksi'!$G$5:$G$92,"Aset Henti Guna",'Daftar Koreksi'!$H$5:$H$92,"&lt;0")-SUMIFS('Daftar Koreksi'!$H$5:$H$92,'Daftar Koreksi'!$D$5:$D$92,'2400'!A532,'Daftar Koreksi'!$G$5:$G$92,"Aset Henti Guna",'Daftar Koreksi'!$H$5:$H$92,"&lt;0")</f>
        <v>0</v>
      </c>
      <c r="G543" s="17">
        <f t="shared" si="24"/>
        <v>20822000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11608382267</v>
      </c>
      <c r="E544" s="19">
        <f>SUM(E535:E543)</f>
        <v>0</v>
      </c>
      <c r="F544" s="19">
        <f>SUM(F535:F543)</f>
        <v>0</v>
      </c>
      <c r="G544" s="19">
        <f t="shared" si="24"/>
        <v>11608382267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-1337069991</v>
      </c>
      <c r="E545" s="25">
        <f>SUMIFS('Daftar Koreksi'!$I$5:$I$92,'Daftar Koreksi'!$D$5:$D$92,'2400'!A532,'Daftar Koreksi'!$G$5:$G$92,"Peralatan dan mesin",'Daftar Koreksi'!$I$5:$I$92,"&gt;0")</f>
        <v>0</v>
      </c>
      <c r="F545" s="25">
        <f>SUMIFS('Daftar Koreksi'!$I$5:$I$92,'Daftar Koreksi'!$D$5:$D$92,'2400'!A532,'Daftar Koreksi'!$G$5:$G$92,"Peralatan dan mesin",'Daftar Koreksi'!$I$5:$I$92,"&lt;0")-SUMIFS('Daftar Koreksi'!$I$5:$I$92,'Daftar Koreksi'!$D$5:$D$92,'2400'!A532,'Daftar Koreksi'!$G$5:$G$92,"Peralatan dan mesin",'Daftar Koreksi'!$I$5:$I$92,"&lt;0")-SUMIFS('Daftar Koreksi'!$I$5:$I$92,'Daftar Koreksi'!$D$5:$D$92,'2400'!A532,'Daftar Koreksi'!$G$5:$G$92,"Peralatan dan mesin",'Daftar Koreksi'!$I$5:$I$92,"&lt;0")</f>
        <v>0</v>
      </c>
      <c r="G545" s="17">
        <f t="shared" si="24"/>
        <v>-1337069991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-572374161</v>
      </c>
      <c r="E546" s="25">
        <f>SUMIFS('Daftar Koreksi'!$I$5:$I$92,'Daftar Koreksi'!$D$5:$D$92,'2400'!A532,'Daftar Koreksi'!$G$5:$G$92,"Gedung dan Bangunan",'Daftar Koreksi'!$I$5:$I$92,"&gt;0")</f>
        <v>0</v>
      </c>
      <c r="F546" s="25">
        <f>SUMIFS('Daftar Koreksi'!$I$5:$I$92,'Daftar Koreksi'!$D$5:$D$92,'2400'!A532,'Daftar Koreksi'!$G$5:$G$92,"Gedung dan Bangunan",'Daftar Koreksi'!$I$5:$I$92,"&lt;0")-SUMIFS('Daftar Koreksi'!$I$5:$I$92,'Daftar Koreksi'!$D$5:$D$92,'2400'!A532,'Daftar Koreksi'!$G$5:$G$92,"Gedung dan Bangunan",'Daftar Koreksi'!$I$5:$I$92,"&lt;0")-SUMIFS('Daftar Koreksi'!$I$5:$I$92,'Daftar Koreksi'!$D$5:$D$92,'2400'!A532,'Daftar Koreksi'!$G$5:$G$92,"Gedung dan Bangunan",'Daftar Koreksi'!$I$5:$I$92,"&lt;0")</f>
        <v>0</v>
      </c>
      <c r="G546" s="17">
        <f t="shared" si="24"/>
        <v>-572374161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0</v>
      </c>
      <c r="E547" s="25">
        <f>SUMIFS('Daftar Koreksi'!$I$5:$I$92,'Daftar Koreksi'!$D$5:$D$92,'2400'!A532,'Daftar Koreksi'!$G$5:$G$92,"Jalan Irigasi Jaringan",'Daftar Koreksi'!$I$5:$I$92,"&gt;0")</f>
        <v>0</v>
      </c>
      <c r="F547" s="25">
        <f>SUMIFS('Daftar Koreksi'!$I$5:$I$92,'Daftar Koreksi'!$D$5:$D$92,'2400'!A532,'Daftar Koreksi'!$G$5:$G$92,"Jalan Irigasi Jaringan",'Daftar Koreksi'!$I$5:$I$92,"&lt;0")-SUMIFS('Daftar Koreksi'!$I$5:$I$92,'Daftar Koreksi'!$D$5:$D$92,'2400'!A532,'Daftar Koreksi'!$G$5:$G$92,"Jalan Irigasi Jaringan",'Daftar Koreksi'!$I$5:$I$92,"&lt;0")-SUMIFS('Daftar Koreksi'!$I$5:$I$92,'Daftar Koreksi'!$D$5:$D$92,'2400'!A532,'Daftar Koreksi'!$G$5:$G$92,"Jalan Irigasi Jaringan",'Daftar Koreksi'!$I$5:$I$92,"&lt;0")</f>
        <v>0</v>
      </c>
      <c r="G547" s="17">
        <f t="shared" si="24"/>
        <v>0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Koreksi'!$D$5:$D$92,'2400'!A532,'Daftar Koreksi'!$G$5:$G$92,"Aset Tetap Lainnya",'Daftar Koreksi'!$I$5:$I$92,"&gt;0")</f>
        <v>0</v>
      </c>
      <c r="F548" s="25">
        <f>SUMIFS('Daftar Koreksi'!$I$5:$I$92,'Daftar Koreksi'!$D$5:$D$92,'2400'!A532,'Daftar Koreksi'!$G$5:$G$92,"Aset Tetap Lainnya",'Daftar Koreksi'!$I$5:$I$92,"&lt;0")-SUMIFS('Daftar Koreksi'!$I$5:$I$92,'Daftar Koreksi'!$D$5:$D$92,'2400'!A532,'Daftar Koreksi'!$G$5:$G$92,"Aset Tetap Lainnya",'Daftar Koreksi'!$I$5:$I$92,"&lt;0")-SUMIFS('Daftar Koreksi'!$I$5:$I$92,'Daftar Koreksi'!$D$5:$D$92,'2400'!A532,'Daftar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-20822000</v>
      </c>
      <c r="E549" s="25">
        <f>SUMIFS('Daftar Koreksi'!$I$5:$I$92,'Daftar Koreksi'!$D$5:$D$92,'2400'!A532,'Daftar Koreksi'!$G$5:$G$92,"Aset Henti Guna",'Daftar Koreksi'!$I$5:$I$92,"&gt;0")</f>
        <v>0</v>
      </c>
      <c r="F549" s="25">
        <f>SUMIFS('Daftar Koreksi'!$I$5:$I$92,'Daftar Koreksi'!$D$5:$D$92,'2400'!A532,'Daftar Koreksi'!$G$5:$G$92,"Aset Henti Guna",'Daftar Koreksi'!$I$5:$I$92,"&lt;0")-SUMIFS('Daftar Koreksi'!$I$5:$I$92,'Daftar Koreksi'!$D$5:$D$92,'2400'!A532,'Daftar Koreksi'!$G$5:$G$92,"Aset Henti Guna",'Daftar Koreksi'!$I$5:$I$92,"&lt;0")-SUMIFS('Daftar Koreksi'!$I$5:$I$92,'Daftar Koreksi'!$D$5:$D$92,'2400'!A532,'Daftar Koreksi'!$G$5:$G$92,"Aset Henti Guna",'Daftar Koreksi'!$I$5:$I$92,"&lt;0")</f>
        <v>0</v>
      </c>
      <c r="G549" s="17">
        <f t="shared" si="24"/>
        <v>-20822000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-1930266152</v>
      </c>
      <c r="E550" s="19">
        <f>SUM(E545:E549)</f>
        <v>0</v>
      </c>
      <c r="F550" s="19">
        <f>SUM(F545:F549)</f>
        <v>0</v>
      </c>
      <c r="G550" s="19">
        <f t="shared" si="24"/>
        <v>-1930266152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9678116115</v>
      </c>
      <c r="E551" s="19">
        <f>E550+E544</f>
        <v>0</v>
      </c>
      <c r="F551" s="19">
        <f>F550+F544</f>
        <v>0</v>
      </c>
      <c r="G551" s="19">
        <f t="shared" si="24"/>
        <v>9678116115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005012400477230000KD</v>
      </c>
      <c r="B554" s="11" t="str">
        <f>P26</f>
        <v>PN. Lembata</v>
      </c>
      <c r="C554" s="12" t="str">
        <f>A554&amp;" "&amp;B554</f>
        <v>005012400477230000KD PN. Lembata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436000</v>
      </c>
      <c r="E557" s="25">
        <f>SUMIFS('Daftar Koreksi'!$H$5:$H$92,'Daftar Koreksi'!$D$5:$D$92,'2400'!A554,'Daftar Koreksi'!$G$5:$G$92,"Persediaan",'Daftar Koreksi'!$H$5:$H$92,"&gt;0")</f>
        <v>0</v>
      </c>
      <c r="F557" s="25">
        <f>SUMIFS('Daftar Koreksi'!$H$5:$H$92,'Daftar Koreksi'!$D$5:$D$92,'2400'!A554,'Daftar Koreksi'!$G$5:$G$92,"Persediaan",'Daftar Koreksi'!$H$5:$H$92,"&lt;0")-SUMIFS('Daftar Koreksi'!$H$5:$H$92,'Daftar Koreksi'!$D$5:$D$92,'2400'!A554,'Daftar Koreksi'!$G$5:$G$92,"Persediaan",'Daftar Koreksi'!$H$5:$H$92,"&lt;0")-SUMIFS('Daftar Koreksi'!$H$5:$H$92,'Daftar Koreksi'!$D$5:$D$92,'2400'!A554,'Daftar Koreksi'!$G$5:$G$92,"Persediaan",'Daftar Koreksi'!$H$5:$H$92,"&lt;0")</f>
        <v>0</v>
      </c>
      <c r="G557" s="17">
        <f>D557+E557-F557</f>
        <v>436000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177250000</v>
      </c>
      <c r="E558" s="25">
        <f>SUMIFS('Daftar Koreksi'!$H$5:$H$92,'Daftar Koreksi'!$D$5:$D$92,'2400'!A554,'Daftar Koreksi'!$G$5:$G$92,"Tanah",'Daftar Koreksi'!$H$5:$H$92,"&gt;0")</f>
        <v>0</v>
      </c>
      <c r="F558" s="25">
        <f>SUMIFS('Daftar Koreksi'!$H$5:$H$92,'Daftar Koreksi'!$D$5:$D$92,'2400'!A554,'Daftar Koreksi'!$G$5:$G$92,"Tanah",'Daftar Koreksi'!$H$5:$H$92,"&lt;0")-SUMIFS('Daftar Koreksi'!$H$5:$H$92,'Daftar Koreksi'!$D$5:$D$92,'2400'!A554,'Daftar Koreksi'!$G$5:$G$92,"Tanah",'Daftar Koreksi'!$H$5:$H$92,"&lt;0")-SUMIFS('Daftar Koreksi'!$H$5:$H$92,'Daftar Koreksi'!$D$5:$D$92,'2400'!A554,'Daftar Koreksi'!$G$5:$G$92,"Tanah",'Daftar Koreksi'!$H$5:$H$92,"&lt;0")</f>
        <v>0</v>
      </c>
      <c r="G558" s="17">
        <f t="shared" ref="G558:G574" si="25">D558+E558-F558</f>
        <v>177250000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1442436747</v>
      </c>
      <c r="E559" s="25">
        <f>SUMIFS('Daftar Koreksi'!$H$5:$H$92,'Daftar Koreksi'!$D$5:$D$92,'2400'!A554,'Daftar Koreksi'!$G$5:$G$92,"Peralatan dan mesin",'Daftar Koreksi'!$H$5:$H$92,"&gt;0")</f>
        <v>0</v>
      </c>
      <c r="F559" s="25">
        <f>SUMIFS('Daftar Koreksi'!$H$5:$H$92,'Daftar Koreksi'!$D$5:$D$92,'2400'!A554,'Daftar Koreksi'!$G$5:$G$92,"Peralatan dan mesin",'Daftar Koreksi'!$H$5:$H$92,"&lt;0")-SUMIFS('Daftar Koreksi'!$H$5:$H$92,'Daftar Koreksi'!$D$5:$D$92,'2400'!A554,'Daftar Koreksi'!$G$5:$G$92,"Peralatan dan mesin",'Daftar Koreksi'!$H$5:$H$92,"&lt;0")-SUMIFS('Daftar Koreksi'!$H$5:$H$92,'Daftar Koreksi'!$D$5:$D$92,'2400'!A554,'Daftar Koreksi'!$G$5:$G$92,"Peralatan dan mesin",'Daftar Koreksi'!$H$5:$H$92,"&lt;0")</f>
        <v>0</v>
      </c>
      <c r="G559" s="17">
        <f t="shared" si="25"/>
        <v>1442436747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7218443000</v>
      </c>
      <c r="E560" s="25">
        <f>SUMIFS('Daftar Koreksi'!$H$5:$H$92,'Daftar Koreksi'!$D$5:$D$92,'2400'!A554,'Daftar Koreksi'!$G$5:$G$92,"Gedung dan Bangunan",'Daftar Koreksi'!$H$5:$H$92,"&gt;0")</f>
        <v>0</v>
      </c>
      <c r="F560" s="25">
        <f>SUMIFS('Daftar Koreksi'!$H$5:$H$92,'Daftar Koreksi'!$D$5:$D$92,'2400'!A554,'Daftar Koreksi'!$G$5:$G$92,"Gedung dan Bangunan",'Daftar Koreksi'!$H$5:$H$92,"&lt;0")-SUMIFS('Daftar Koreksi'!$H$5:$H$92,'Daftar Koreksi'!$D$5:$D$92,'2400'!A554,'Daftar Koreksi'!$G$5:$G$92,"Gedung dan Bangunan",'Daftar Koreksi'!$H$5:$H$92,"&lt;0")-SUMIFS('Daftar Koreksi'!$H$5:$H$92,'Daftar Koreksi'!$D$5:$D$92,'2400'!A554,'Daftar Koreksi'!$G$5:$G$92,"Gedung dan Bangunan",'Daftar Koreksi'!$H$5:$H$92,"&lt;0")</f>
        <v>0</v>
      </c>
      <c r="G560" s="17">
        <f t="shared" si="25"/>
        <v>7218443000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118242251</v>
      </c>
      <c r="E561" s="25">
        <f>SUMIFS('Daftar Koreksi'!$H$5:$H$92,'Daftar Koreksi'!$D$5:$D$92,'2400'!A554,'Daftar Koreksi'!$G$5:$G$92,"Jalan Irigasi Jaringan",'Daftar Koreksi'!$H$5:$H$92,"&gt;0")</f>
        <v>0</v>
      </c>
      <c r="F561" s="25">
        <f>SUMIFS('Daftar Koreksi'!$H$5:$H$92,'Daftar Koreksi'!$D$5:$D$92,'2400'!A554,'Daftar Koreksi'!$G$5:$G$92,"Jalan Irigasi Jaringan",'Daftar Koreksi'!$H$5:$H$92,"&lt;0")-SUMIFS('Daftar Koreksi'!$H$5:$H$92,'Daftar Koreksi'!$D$5:$D$92,'2400'!A554,'Daftar Koreksi'!$G$5:$G$92,"Jalan Irigasi Jaringan",'Daftar Koreksi'!$H$5:$H$92,"&lt;0")-SUMIFS('Daftar Koreksi'!$H$5:$H$92,'Daftar Koreksi'!$D$5:$D$92,'2400'!A554,'Daftar Koreksi'!$G$5:$G$92,"Jalan Irigasi Jaringan",'Daftar Koreksi'!$H$5:$H$92,"&lt;0")</f>
        <v>0</v>
      </c>
      <c r="G561" s="17">
        <f t="shared" si="25"/>
        <v>118242251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1943440</v>
      </c>
      <c r="E562" s="25">
        <f>SUMIFS('Daftar Koreksi'!$H$5:$H$92,'Daftar Koreksi'!$D$5:$D$92,'2400'!A554,'Daftar Koreksi'!$G$5:$G$92,"Aset Tetap Lainnya",'Daftar Koreksi'!$H$5:$H$92,"&gt;0")</f>
        <v>0</v>
      </c>
      <c r="F562" s="25">
        <f>SUMIFS('Daftar Koreksi'!$H$5:$H$92,'Daftar Koreksi'!$D$5:$D$92,'2400'!A554,'Daftar Koreksi'!$G$5:$G$92,"Aset Tetap Lainnya",'Daftar Koreksi'!$H$5:$H$92,"&lt;0")-SUMIFS('Daftar Koreksi'!$H$5:$H$92,'Daftar Koreksi'!$D$5:$D$92,'2400'!A554,'Daftar Koreksi'!$G$5:$G$92,"Aset Tetap Lainnya",'Daftar Koreksi'!$H$5:$H$92,"&lt;0")-SUMIFS('Daftar Koreksi'!$H$5:$H$92,'Daftar Koreksi'!$D$5:$D$92,'2400'!A554,'Daftar Koreksi'!$G$5:$G$92,"Aset Tetap Lainnya",'Daftar Koreksi'!$H$5:$H$92,"&lt;0")</f>
        <v>0</v>
      </c>
      <c r="G562" s="17">
        <f t="shared" si="25"/>
        <v>1943440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Koreksi'!$D$5:$D$92,'2400'!A554,'Daftar Koreksi'!$G$5:$G$92,"Kontruksi Dalam Pengerjaan",'Daftar Koreksi'!$H$5:$H$92,"&gt;0")</f>
        <v>0</v>
      </c>
      <c r="F563" s="25">
        <f>SUMIFS('Daftar Koreksi'!$H$5:$H$92,'Daftar Koreksi'!$D$5:$D$92,'2400'!A554,'Daftar Koreksi'!$G$5:$G$92,"Kontruksi Dalam Pengerjaan",'Daftar Koreksi'!$H$5:$H$92,"&lt;0")-SUMIFS('Daftar Koreksi'!$H$5:$H$92,'Daftar Koreksi'!$D$5:$D$92,'2400'!A554,'Daftar Koreksi'!$G$5:$G$92,"Kontruksi Dalam Pengerjaan",'Daftar Koreksi'!$H$5:$H$92,"&lt;0")-SUMIFS('Daftar Koreksi'!$H$5:$H$92,'Daftar Koreksi'!$D$5:$D$92,'2400'!A554,'Daftar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Koreksi'!$D$5:$D$92,'2400'!A554,'Daftar Koreksi'!$G$5:$G$92,"Aset Tak Berwujud",'Daftar Koreksi'!$H$5:$H$92,"&gt;0")</f>
        <v>0</v>
      </c>
      <c r="F564" s="25">
        <f>SUMIFS('Daftar Koreksi'!$H$5:$H$92,'Daftar Koreksi'!$D$5:$D$92,'2400'!A554,'Daftar Koreksi'!$G$5:$G$92,"Aset Tak Berwujud",'Daftar Koreksi'!$H$5:$H$92,"&lt;0")-SUMIFS('Daftar Koreksi'!$H$5:$H$92,'Daftar Koreksi'!$D$5:$D$92,'2400'!A554,'Daftar Koreksi'!$G$5:$G$92,"Aset Tak Berwujud",'Daftar Koreksi'!$H$5:$H$92,"&lt;0")-SUMIFS('Daftar Koreksi'!$H$5:$H$92,'Daftar Koreksi'!$D$5:$D$92,'2400'!A554,'Daftar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84878303</v>
      </c>
      <c r="E565" s="25">
        <f>SUMIFS('Daftar Koreksi'!$H$5:$H$92,'Daftar Koreksi'!$D$5:$D$92,'2400'!A554,'Daftar Koreksi'!$G$5:$G$92,"Aset Henti Guna",'Daftar Koreksi'!$H$5:$H$92,"&gt;0")</f>
        <v>0</v>
      </c>
      <c r="F565" s="25">
        <f>SUMIFS('Daftar Koreksi'!$H$5:$H$92,'Daftar Koreksi'!$D$5:$D$92,'2400'!A554,'Daftar Koreksi'!$G$5:$G$92,"Aset Henti Guna",'Daftar Koreksi'!$H$5:$H$92,"&lt;0")-SUMIFS('Daftar Koreksi'!$H$5:$H$92,'Daftar Koreksi'!$D$5:$D$92,'2400'!A554,'Daftar Koreksi'!$G$5:$G$92,"Aset Henti Guna",'Daftar Koreksi'!$H$5:$H$92,"&lt;0")-SUMIFS('Daftar Koreksi'!$H$5:$H$92,'Daftar Koreksi'!$D$5:$D$92,'2400'!A554,'Daftar Koreksi'!$G$5:$G$92,"Aset Henti Guna",'Daftar Koreksi'!$H$5:$H$92,"&lt;0")</f>
        <v>0</v>
      </c>
      <c r="G565" s="17">
        <f t="shared" si="25"/>
        <v>84878303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9043629741</v>
      </c>
      <c r="E566" s="19">
        <f>SUM(E557:E565)</f>
        <v>0</v>
      </c>
      <c r="F566" s="19">
        <f>SUM(F557:F565)</f>
        <v>0</v>
      </c>
      <c r="G566" s="19">
        <f t="shared" si="25"/>
        <v>9043629741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-1019808917</v>
      </c>
      <c r="E567" s="25">
        <f>SUMIFS('Daftar Koreksi'!$I$5:$I$92,'Daftar Koreksi'!$D$5:$D$92,'2400'!A554,'Daftar Koreksi'!$G$5:$G$92,"Peralatan dan mesin",'Daftar Koreksi'!$I$5:$I$92,"&gt;0")</f>
        <v>0</v>
      </c>
      <c r="F567" s="25">
        <f>SUMIFS('Daftar Koreksi'!$I$5:$I$92,'Daftar Koreksi'!$D$5:$D$92,'2400'!A554,'Daftar Koreksi'!$G$5:$G$92,"Peralatan dan mesin",'Daftar Koreksi'!$I$5:$I$92,"&lt;0")-SUMIFS('Daftar Koreksi'!$I$5:$I$92,'Daftar Koreksi'!$D$5:$D$92,'2400'!A554,'Daftar Koreksi'!$G$5:$G$92,"Peralatan dan mesin",'Daftar Koreksi'!$I$5:$I$92,"&lt;0")-SUMIFS('Daftar Koreksi'!$I$5:$I$92,'Daftar Koreksi'!$D$5:$D$92,'2400'!A554,'Daftar Koreksi'!$G$5:$G$92,"Peralatan dan mesin",'Daftar Koreksi'!$I$5:$I$92,"&lt;0")</f>
        <v>0</v>
      </c>
      <c r="G567" s="17">
        <f t="shared" si="25"/>
        <v>-1019808917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-1098415995</v>
      </c>
      <c r="E568" s="25">
        <f>SUMIFS('Daftar Koreksi'!$I$5:$I$92,'Daftar Koreksi'!$D$5:$D$92,'2400'!A554,'Daftar Koreksi'!$G$5:$G$92,"Gedung dan Bangunan",'Daftar Koreksi'!$I$5:$I$92,"&gt;0")</f>
        <v>0</v>
      </c>
      <c r="F568" s="25">
        <f>SUMIFS('Daftar Koreksi'!$I$5:$I$92,'Daftar Koreksi'!$D$5:$D$92,'2400'!A554,'Daftar Koreksi'!$G$5:$G$92,"Gedung dan Bangunan",'Daftar Koreksi'!$I$5:$I$92,"&lt;0")-SUMIFS('Daftar Koreksi'!$I$5:$I$92,'Daftar Koreksi'!$D$5:$D$92,'2400'!A554,'Daftar Koreksi'!$G$5:$G$92,"Gedung dan Bangunan",'Daftar Koreksi'!$I$5:$I$92,"&lt;0")-SUMIFS('Daftar Koreksi'!$I$5:$I$92,'Daftar Koreksi'!$D$5:$D$92,'2400'!A554,'Daftar Koreksi'!$G$5:$G$92,"Gedung dan Bangunan",'Daftar Koreksi'!$I$5:$I$92,"&lt;0")</f>
        <v>0</v>
      </c>
      <c r="G568" s="17">
        <f t="shared" si="25"/>
        <v>-1098415995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-10927495</v>
      </c>
      <c r="E569" s="25">
        <f>SUMIFS('Daftar Koreksi'!$I$5:$I$92,'Daftar Koreksi'!$D$5:$D$92,'2400'!A554,'Daftar Koreksi'!$G$5:$G$92,"Jalan Irigasi Jaringan",'Daftar Koreksi'!$I$5:$I$92,"&gt;0")</f>
        <v>0</v>
      </c>
      <c r="F569" s="25">
        <f>SUMIFS('Daftar Koreksi'!$I$5:$I$92,'Daftar Koreksi'!$D$5:$D$92,'2400'!A554,'Daftar Koreksi'!$G$5:$G$92,"Jalan Irigasi Jaringan",'Daftar Koreksi'!$I$5:$I$92,"&lt;0")-SUMIFS('Daftar Koreksi'!$I$5:$I$92,'Daftar Koreksi'!$D$5:$D$92,'2400'!A554,'Daftar Koreksi'!$G$5:$G$92,"Jalan Irigasi Jaringan",'Daftar Koreksi'!$I$5:$I$92,"&lt;0")-SUMIFS('Daftar Koreksi'!$I$5:$I$92,'Daftar Koreksi'!$D$5:$D$92,'2400'!A554,'Daftar Koreksi'!$G$5:$G$92,"Jalan Irigasi Jaringan",'Daftar Koreksi'!$I$5:$I$92,"&lt;0")</f>
        <v>0</v>
      </c>
      <c r="G569" s="17">
        <f t="shared" si="25"/>
        <v>-10927495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Koreksi'!$D$5:$D$92,'2400'!A554,'Daftar Koreksi'!$G$5:$G$92,"Aset Tetap Lainnya",'Daftar Koreksi'!$I$5:$I$92,"&gt;0")</f>
        <v>0</v>
      </c>
      <c r="F570" s="25">
        <f>SUMIFS('Daftar Koreksi'!$I$5:$I$92,'Daftar Koreksi'!$D$5:$D$92,'2400'!A554,'Daftar Koreksi'!$G$5:$G$92,"Aset Tetap Lainnya",'Daftar Koreksi'!$I$5:$I$92,"&lt;0")-SUMIFS('Daftar Koreksi'!$I$5:$I$92,'Daftar Koreksi'!$D$5:$D$92,'2400'!A554,'Daftar Koreksi'!$G$5:$G$92,"Aset Tetap Lainnya",'Daftar Koreksi'!$I$5:$I$92,"&lt;0")-SUMIFS('Daftar Koreksi'!$I$5:$I$92,'Daftar Koreksi'!$D$5:$D$92,'2400'!A554,'Daftar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-75005978</v>
      </c>
      <c r="E571" s="25">
        <f>SUMIFS('Daftar Koreksi'!$I$5:$I$92,'Daftar Koreksi'!$D$5:$D$92,'2400'!A554,'Daftar Koreksi'!$G$5:$G$92,"Aset Henti Guna",'Daftar Koreksi'!$I$5:$I$92,"&gt;0")</f>
        <v>0</v>
      </c>
      <c r="F571" s="25">
        <f>SUMIFS('Daftar Koreksi'!$I$5:$I$92,'Daftar Koreksi'!$D$5:$D$92,'2400'!A554,'Daftar Koreksi'!$G$5:$G$92,"Aset Henti Guna",'Daftar Koreksi'!$I$5:$I$92,"&lt;0")-SUMIFS('Daftar Koreksi'!$I$5:$I$92,'Daftar Koreksi'!$D$5:$D$92,'2400'!A554,'Daftar Koreksi'!$G$5:$G$92,"Aset Henti Guna",'Daftar Koreksi'!$I$5:$I$92,"&lt;0")-SUMIFS('Daftar Koreksi'!$I$5:$I$92,'Daftar Koreksi'!$D$5:$D$92,'2400'!A554,'Daftar Koreksi'!$G$5:$G$92,"Aset Henti Guna",'Daftar Koreksi'!$I$5:$I$92,"&lt;0")</f>
        <v>0</v>
      </c>
      <c r="G571" s="17">
        <f t="shared" si="25"/>
        <v>-75005978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-2204158385</v>
      </c>
      <c r="E572" s="19">
        <f>SUM(E567:E571)</f>
        <v>0</v>
      </c>
      <c r="F572" s="19">
        <f>SUM(F567:F571)</f>
        <v>0</v>
      </c>
      <c r="G572" s="19">
        <f t="shared" si="25"/>
        <v>-2204158385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6839471356</v>
      </c>
      <c r="E573" s="19">
        <f>E572+E566</f>
        <v>0</v>
      </c>
      <c r="F573" s="19">
        <f>F572+F566</f>
        <v>0</v>
      </c>
      <c r="G573" s="19">
        <f t="shared" si="25"/>
        <v>6839471356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005012400477249000KD</v>
      </c>
      <c r="B576" s="11" t="str">
        <f>P27</f>
        <v>PN. Rote Ndao</v>
      </c>
      <c r="C576" s="12" t="str">
        <f>A576&amp;" "&amp;B576</f>
        <v>005012400477249000KD PN. Rote Ndao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3865100</v>
      </c>
      <c r="E579" s="25">
        <f>SUMIFS('Daftar Koreksi'!$H$5:$H$92,'Daftar Koreksi'!$D$5:$D$92,'2400'!A576,'Daftar Koreksi'!$G$5:$G$92,"Persediaan",'Daftar Koreksi'!$H$5:$H$92,"&gt;0")</f>
        <v>0</v>
      </c>
      <c r="F579" s="25">
        <f>SUMIFS('Daftar Koreksi'!$H$5:$H$92,'Daftar Koreksi'!$D$5:$D$92,'2400'!A576,'Daftar Koreksi'!$G$5:$G$92,"Persediaan",'Daftar Koreksi'!$H$5:$H$92,"&lt;0")-SUMIFS('Daftar Koreksi'!$H$5:$H$92,'Daftar Koreksi'!$D$5:$D$92,'2400'!A576,'Daftar Koreksi'!$G$5:$G$92,"Persediaan",'Daftar Koreksi'!$H$5:$H$92,"&lt;0")-SUMIFS('Daftar Koreksi'!$H$5:$H$92,'Daftar Koreksi'!$D$5:$D$92,'2400'!A576,'Daftar Koreksi'!$G$5:$G$92,"Persediaan",'Daftar Koreksi'!$H$5:$H$92,"&lt;0")</f>
        <v>0</v>
      </c>
      <c r="G579" s="17">
        <f>D579+E579-F579</f>
        <v>3865100</v>
      </c>
      <c r="H579" s="121" t="str">
        <f>IF(ISNA(VLOOKUP(A576,'Mutasi Neraca'!$A$3:$S$914,19,FALSE)),"-",VLOOKUP(A576,'Mutasi Neraca'!$A$3:$S$914,19,FALSE))</f>
        <v>TP. No 4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1404233860</v>
      </c>
      <c r="E580" s="25">
        <f>SUMIFS('Daftar Koreksi'!$H$5:$H$92,'Daftar Koreksi'!$D$5:$D$92,'2400'!A576,'Daftar Koreksi'!$G$5:$G$92,"Tanah",'Daftar Koreksi'!$H$5:$H$92,"&gt;0")</f>
        <v>0</v>
      </c>
      <c r="F580" s="25">
        <f>SUMIFS('Daftar Koreksi'!$H$5:$H$92,'Daftar Koreksi'!$D$5:$D$92,'2400'!A576,'Daftar Koreksi'!$G$5:$G$92,"Tanah",'Daftar Koreksi'!$H$5:$H$92,"&lt;0")-SUMIFS('Daftar Koreksi'!$H$5:$H$92,'Daftar Koreksi'!$D$5:$D$92,'2400'!A576,'Daftar Koreksi'!$G$5:$G$92,"Tanah",'Daftar Koreksi'!$H$5:$H$92,"&lt;0")-SUMIFS('Daftar Koreksi'!$H$5:$H$92,'Daftar Koreksi'!$D$5:$D$92,'2400'!A576,'Daftar Koreksi'!$G$5:$G$92,"Tanah",'Daftar Koreksi'!$H$5:$H$92,"&lt;0")</f>
        <v>0</v>
      </c>
      <c r="G580" s="17">
        <f t="shared" ref="G580:G596" si="26">D580+E580-F580</f>
        <v>1404233860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2453223841</v>
      </c>
      <c r="E581" s="25">
        <f>SUMIFS('Daftar Koreksi'!$H$5:$H$92,'Daftar Koreksi'!$D$5:$D$92,'2400'!A576,'Daftar Koreksi'!$G$5:$G$92,"Peralatan dan mesin",'Daftar Koreksi'!$H$5:$H$92,"&gt;0")</f>
        <v>3895309</v>
      </c>
      <c r="F581" s="25">
        <f>SUMIFS('Daftar Koreksi'!$H$5:$H$92,'Daftar Koreksi'!$D$5:$D$92,'2400'!A576,'Daftar Koreksi'!$G$5:$G$92,"Peralatan dan mesin",'Daftar Koreksi'!$H$5:$H$92,"&lt;0")-SUMIFS('Daftar Koreksi'!$H$5:$H$92,'Daftar Koreksi'!$D$5:$D$92,'2400'!A576,'Daftar Koreksi'!$G$5:$G$92,"Peralatan dan mesin",'Daftar Koreksi'!$H$5:$H$92,"&lt;0")-SUMIFS('Daftar Koreksi'!$H$5:$H$92,'Daftar Koreksi'!$D$5:$D$92,'2400'!A576,'Daftar Koreksi'!$G$5:$G$92,"Peralatan dan mesin",'Daftar Koreksi'!$H$5:$H$92,"&lt;0")</f>
        <v>0</v>
      </c>
      <c r="G581" s="17">
        <f t="shared" si="26"/>
        <v>2457119150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6201028713</v>
      </c>
      <c r="E582" s="25">
        <f>SUMIFS('Daftar Koreksi'!$H$5:$H$92,'Daftar Koreksi'!$D$5:$D$92,'2400'!A576,'Daftar Koreksi'!$G$5:$G$92,"Gedung dan Bangunan",'Daftar Koreksi'!$H$5:$H$92,"&gt;0")</f>
        <v>0</v>
      </c>
      <c r="F582" s="25">
        <f>SUMIFS('Daftar Koreksi'!$H$5:$H$92,'Daftar Koreksi'!$D$5:$D$92,'2400'!A576,'Daftar Koreksi'!$G$5:$G$92,"Gedung dan Bangunan",'Daftar Koreksi'!$H$5:$H$92,"&lt;0")-SUMIFS('Daftar Koreksi'!$H$5:$H$92,'Daftar Koreksi'!$D$5:$D$92,'2400'!A576,'Daftar Koreksi'!$G$5:$G$92,"Gedung dan Bangunan",'Daftar Koreksi'!$H$5:$H$92,"&lt;0")-SUMIFS('Daftar Koreksi'!$H$5:$H$92,'Daftar Koreksi'!$D$5:$D$92,'2400'!A576,'Daftar Koreksi'!$G$5:$G$92,"Gedung dan Bangunan",'Daftar Koreksi'!$H$5:$H$92,"&lt;0")</f>
        <v>0</v>
      </c>
      <c r="G582" s="17">
        <f t="shared" si="26"/>
        <v>6201028713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320580499</v>
      </c>
      <c r="E583" s="25">
        <f>SUMIFS('Daftar Koreksi'!$H$5:$H$92,'Daftar Koreksi'!$D$5:$D$92,'2400'!A576,'Daftar Koreksi'!$G$5:$G$92,"Jalan Irigasi Jaringan",'Daftar Koreksi'!$H$5:$H$92,"&gt;0")</f>
        <v>0</v>
      </c>
      <c r="F583" s="25">
        <f>SUMIFS('Daftar Koreksi'!$H$5:$H$92,'Daftar Koreksi'!$D$5:$D$92,'2400'!A576,'Daftar Koreksi'!$G$5:$G$92,"Jalan Irigasi Jaringan",'Daftar Koreksi'!$H$5:$H$92,"&lt;0")-SUMIFS('Daftar Koreksi'!$H$5:$H$92,'Daftar Koreksi'!$D$5:$D$92,'2400'!A576,'Daftar Koreksi'!$G$5:$G$92,"Jalan Irigasi Jaringan",'Daftar Koreksi'!$H$5:$H$92,"&lt;0")-SUMIFS('Daftar Koreksi'!$H$5:$H$92,'Daftar Koreksi'!$D$5:$D$92,'2400'!A576,'Daftar Koreksi'!$G$5:$G$92,"Jalan Irigasi Jaringan",'Daftar Koreksi'!$H$5:$H$92,"&lt;0")</f>
        <v>0</v>
      </c>
      <c r="G583" s="17">
        <f t="shared" si="26"/>
        <v>320580499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16743940</v>
      </c>
      <c r="E584" s="25">
        <f>SUMIFS('Daftar Koreksi'!$H$5:$H$92,'Daftar Koreksi'!$D$5:$D$92,'2400'!A576,'Daftar Koreksi'!$G$5:$G$92,"Aset Tetap Lainnya",'Daftar Koreksi'!$H$5:$H$92,"&gt;0")</f>
        <v>0</v>
      </c>
      <c r="F584" s="25">
        <f>SUMIFS('Daftar Koreksi'!$H$5:$H$92,'Daftar Koreksi'!$D$5:$D$92,'2400'!A576,'Daftar Koreksi'!$G$5:$G$92,"Aset Tetap Lainnya",'Daftar Koreksi'!$H$5:$H$92,"&lt;0")-SUMIFS('Daftar Koreksi'!$H$5:$H$92,'Daftar Koreksi'!$D$5:$D$92,'2400'!A576,'Daftar Koreksi'!$G$5:$G$92,"Aset Tetap Lainnya",'Daftar Koreksi'!$H$5:$H$92,"&lt;0")-SUMIFS('Daftar Koreksi'!$H$5:$H$92,'Daftar Koreksi'!$D$5:$D$92,'2400'!A576,'Daftar Koreksi'!$G$5:$G$92,"Aset Tetap Lainnya",'Daftar Koreksi'!$H$5:$H$92,"&lt;0")</f>
        <v>0</v>
      </c>
      <c r="G584" s="17">
        <f t="shared" si="26"/>
        <v>16743940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Koreksi'!$D$5:$D$92,'2400'!A576,'Daftar Koreksi'!$G$5:$G$92,"Kontruksi Dalam Pengerjaan",'Daftar Koreksi'!$H$5:$H$92,"&gt;0")</f>
        <v>0</v>
      </c>
      <c r="F585" s="25">
        <f>SUMIFS('Daftar Koreksi'!$H$5:$H$92,'Daftar Koreksi'!$D$5:$D$92,'2400'!A576,'Daftar Koreksi'!$G$5:$G$92,"Kontruksi Dalam Pengerjaan",'Daftar Koreksi'!$H$5:$H$92,"&lt;0")-SUMIFS('Daftar Koreksi'!$H$5:$H$92,'Daftar Koreksi'!$D$5:$D$92,'2400'!A576,'Daftar Koreksi'!$G$5:$G$92,"Kontruksi Dalam Pengerjaan",'Daftar Koreksi'!$H$5:$H$92,"&lt;0")-SUMIFS('Daftar Koreksi'!$H$5:$H$92,'Daftar Koreksi'!$D$5:$D$92,'2400'!A576,'Daftar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0</v>
      </c>
      <c r="E586" s="25">
        <f>SUMIFS('Daftar Koreksi'!$H$5:$H$92,'Daftar Koreksi'!$D$5:$D$92,'2400'!A576,'Daftar Koreksi'!$G$5:$G$92,"Aset Tak Berwujud",'Daftar Koreksi'!$H$5:$H$92,"&gt;0")</f>
        <v>0</v>
      </c>
      <c r="F586" s="25">
        <f>SUMIFS('Daftar Koreksi'!$H$5:$H$92,'Daftar Koreksi'!$D$5:$D$92,'2400'!A576,'Daftar Koreksi'!$G$5:$G$92,"Aset Tak Berwujud",'Daftar Koreksi'!$H$5:$H$92,"&lt;0")-SUMIFS('Daftar Koreksi'!$H$5:$H$92,'Daftar Koreksi'!$D$5:$D$92,'2400'!A576,'Daftar Koreksi'!$G$5:$G$92,"Aset Tak Berwujud",'Daftar Koreksi'!$H$5:$H$92,"&lt;0")-SUMIFS('Daftar Koreksi'!$H$5:$H$92,'Daftar Koreksi'!$D$5:$D$92,'2400'!A576,'Daftar Koreksi'!$G$5:$G$92,"Aset Tak Berwujud",'Daftar Koreksi'!$H$5:$H$92,"&lt;0")</f>
        <v>0</v>
      </c>
      <c r="G586" s="17">
        <f t="shared" si="26"/>
        <v>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950000</v>
      </c>
      <c r="E587" s="25">
        <f>SUMIFS('Daftar Koreksi'!$H$5:$H$92,'Daftar Koreksi'!$D$5:$D$92,'2400'!A576,'Daftar Koreksi'!$G$5:$G$92,"Aset Henti Guna",'Daftar Koreksi'!$H$5:$H$92,"&gt;0")</f>
        <v>0</v>
      </c>
      <c r="F587" s="25">
        <f>SUMIFS('Daftar Koreksi'!$H$5:$H$92,'Daftar Koreksi'!$D$5:$D$92,'2400'!A576,'Daftar Koreksi'!$G$5:$G$92,"Aset Henti Guna",'Daftar Koreksi'!$H$5:$H$92,"&lt;0")-SUMIFS('Daftar Koreksi'!$H$5:$H$92,'Daftar Koreksi'!$D$5:$D$92,'2400'!A576,'Daftar Koreksi'!$G$5:$G$92,"Aset Henti Guna",'Daftar Koreksi'!$H$5:$H$92,"&lt;0")-SUMIFS('Daftar Koreksi'!$H$5:$H$92,'Daftar Koreksi'!$D$5:$D$92,'2400'!A576,'Daftar Koreksi'!$G$5:$G$92,"Aset Henti Guna",'Daftar Koreksi'!$H$5:$H$92,"&lt;0")</f>
        <v>0</v>
      </c>
      <c r="G587" s="17">
        <f t="shared" si="26"/>
        <v>950000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10400625953</v>
      </c>
      <c r="E588" s="19">
        <f>SUM(E579:E587)</f>
        <v>3895309</v>
      </c>
      <c r="F588" s="19">
        <f>SUM(F579:F587)</f>
        <v>0</v>
      </c>
      <c r="G588" s="19">
        <f t="shared" si="26"/>
        <v>10404521262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-2057532121</v>
      </c>
      <c r="E589" s="25">
        <f>SUMIFS('Daftar Koreksi'!$I$5:$I$92,'Daftar Koreksi'!$D$5:$D$92,'2400'!A576,'Daftar Koreksi'!$G$5:$G$92,"Peralatan dan mesin",'Daftar Koreksi'!$I$5:$I$92,"&gt;0")</f>
        <v>0</v>
      </c>
      <c r="F589" s="25">
        <f>SUMIFS('Daftar Koreksi'!$I$5:$I$92,'Daftar Koreksi'!$D$5:$D$92,'2400'!A576,'Daftar Koreksi'!$G$5:$G$92,"Peralatan dan mesin",'Daftar Koreksi'!$I$5:$I$92,"&lt;0")-SUMIFS('Daftar Koreksi'!$I$5:$I$92,'Daftar Koreksi'!$D$5:$D$92,'2400'!A576,'Daftar Koreksi'!$G$5:$G$92,"Peralatan dan mesin",'Daftar Koreksi'!$I$5:$I$92,"&lt;0")-SUMIFS('Daftar Koreksi'!$I$5:$I$92,'Daftar Koreksi'!$D$5:$D$92,'2400'!A576,'Daftar Koreksi'!$G$5:$G$92,"Peralatan dan mesin",'Daftar Koreksi'!$I$5:$I$92,"&lt;0")</f>
        <v>389531</v>
      </c>
      <c r="G589" s="17">
        <f t="shared" si="26"/>
        <v>-2057921652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-975369943</v>
      </c>
      <c r="E590" s="25">
        <f>SUMIFS('Daftar Koreksi'!$I$5:$I$92,'Daftar Koreksi'!$D$5:$D$92,'2400'!A576,'Daftar Koreksi'!$G$5:$G$92,"Gedung dan Bangunan",'Daftar Koreksi'!$I$5:$I$92,"&gt;0")</f>
        <v>0</v>
      </c>
      <c r="F590" s="25">
        <f>SUMIFS('Daftar Koreksi'!$I$5:$I$92,'Daftar Koreksi'!$D$5:$D$92,'2400'!A576,'Daftar Koreksi'!$G$5:$G$92,"Gedung dan Bangunan",'Daftar Koreksi'!$I$5:$I$92,"&lt;0")-SUMIFS('Daftar Koreksi'!$I$5:$I$92,'Daftar Koreksi'!$D$5:$D$92,'2400'!A576,'Daftar Koreksi'!$G$5:$G$92,"Gedung dan Bangunan",'Daftar Koreksi'!$I$5:$I$92,"&lt;0")-SUMIFS('Daftar Koreksi'!$I$5:$I$92,'Daftar Koreksi'!$D$5:$D$92,'2400'!A576,'Daftar Koreksi'!$G$5:$G$92,"Gedung dan Bangunan",'Daftar Koreksi'!$I$5:$I$92,"&lt;0")</f>
        <v>0</v>
      </c>
      <c r="G590" s="17">
        <f t="shared" si="26"/>
        <v>-975369943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-50581676</v>
      </c>
      <c r="E591" s="25">
        <f>SUMIFS('Daftar Koreksi'!$I$5:$I$92,'Daftar Koreksi'!$D$5:$D$92,'2400'!A576,'Daftar Koreksi'!$G$5:$G$92,"Jalan Irigasi Jaringan",'Daftar Koreksi'!$I$5:$I$92,"&gt;0")</f>
        <v>0</v>
      </c>
      <c r="F591" s="25">
        <f>SUMIFS('Daftar Koreksi'!$I$5:$I$92,'Daftar Koreksi'!$D$5:$D$92,'2400'!A576,'Daftar Koreksi'!$G$5:$G$92,"Jalan Irigasi Jaringan",'Daftar Koreksi'!$I$5:$I$92,"&lt;0")-SUMIFS('Daftar Koreksi'!$I$5:$I$92,'Daftar Koreksi'!$D$5:$D$92,'2400'!A576,'Daftar Koreksi'!$G$5:$G$92,"Jalan Irigasi Jaringan",'Daftar Koreksi'!$I$5:$I$92,"&lt;0")-SUMIFS('Daftar Koreksi'!$I$5:$I$92,'Daftar Koreksi'!$D$5:$D$92,'2400'!A576,'Daftar Koreksi'!$G$5:$G$92,"Jalan Irigasi Jaringan",'Daftar Koreksi'!$I$5:$I$92,"&lt;0")</f>
        <v>0</v>
      </c>
      <c r="G591" s="17">
        <f t="shared" si="26"/>
        <v>-50581676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-14800500</v>
      </c>
      <c r="E592" s="25">
        <f>SUMIFS('Daftar Koreksi'!$I$5:$I$92,'Daftar Koreksi'!$D$5:$D$92,'2400'!A576,'Daftar Koreksi'!$G$5:$G$92,"Aset Tetap Lainnya",'Daftar Koreksi'!$I$5:$I$92,"&gt;0")</f>
        <v>0</v>
      </c>
      <c r="F592" s="25">
        <f>SUMIFS('Daftar Koreksi'!$I$5:$I$92,'Daftar Koreksi'!$D$5:$D$92,'2400'!A576,'Daftar Koreksi'!$G$5:$G$92,"Aset Tetap Lainnya",'Daftar Koreksi'!$I$5:$I$92,"&lt;0")-SUMIFS('Daftar Koreksi'!$I$5:$I$92,'Daftar Koreksi'!$D$5:$D$92,'2400'!A576,'Daftar Koreksi'!$G$5:$G$92,"Aset Tetap Lainnya",'Daftar Koreksi'!$I$5:$I$92,"&lt;0")-SUMIFS('Daftar Koreksi'!$I$5:$I$92,'Daftar Koreksi'!$D$5:$D$92,'2400'!A576,'Daftar Koreksi'!$G$5:$G$92,"Aset Tetap Lainnya",'Daftar Koreksi'!$I$5:$I$92,"&lt;0")</f>
        <v>0</v>
      </c>
      <c r="G592" s="17">
        <f t="shared" si="26"/>
        <v>-14800500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-950000</v>
      </c>
      <c r="E593" s="25">
        <f>SUMIFS('Daftar Koreksi'!$I$5:$I$92,'Daftar Koreksi'!$D$5:$D$92,'2400'!A576,'Daftar Koreksi'!$G$5:$G$92,"Aset Henti Guna",'Daftar Koreksi'!$I$5:$I$92,"&gt;0")</f>
        <v>0</v>
      </c>
      <c r="F593" s="25">
        <f>SUMIFS('Daftar Koreksi'!$I$5:$I$92,'Daftar Koreksi'!$D$5:$D$92,'2400'!A576,'Daftar Koreksi'!$G$5:$G$92,"Aset Henti Guna",'Daftar Koreksi'!$I$5:$I$92,"&lt;0")-SUMIFS('Daftar Koreksi'!$I$5:$I$92,'Daftar Koreksi'!$D$5:$D$92,'2400'!A576,'Daftar Koreksi'!$G$5:$G$92,"Aset Henti Guna",'Daftar Koreksi'!$I$5:$I$92,"&lt;0")-SUMIFS('Daftar Koreksi'!$I$5:$I$92,'Daftar Koreksi'!$D$5:$D$92,'2400'!A576,'Daftar Koreksi'!$G$5:$G$92,"Aset Henti Guna",'Daftar Koreksi'!$I$5:$I$92,"&lt;0")</f>
        <v>0</v>
      </c>
      <c r="G593" s="17">
        <f t="shared" si="26"/>
        <v>-950000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-3099234240</v>
      </c>
      <c r="E594" s="19">
        <f>SUM(E589:E593)</f>
        <v>0</v>
      </c>
      <c r="F594" s="19">
        <f>SUM(F589:F593)</f>
        <v>389531</v>
      </c>
      <c r="G594" s="19">
        <f t="shared" si="26"/>
        <v>-3099623771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7301391713</v>
      </c>
      <c r="E595" s="19">
        <f>E594+E588</f>
        <v>3895309</v>
      </c>
      <c r="F595" s="19">
        <f>F594+F588</f>
        <v>389531</v>
      </c>
      <c r="G595" s="19">
        <f t="shared" si="26"/>
        <v>7304897491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005012400539121000KD</v>
      </c>
      <c r="B598" s="11" t="str">
        <f>P28</f>
        <v>PTUN. Kupang</v>
      </c>
      <c r="C598" s="12" t="str">
        <f>A598&amp;" "&amp;B598</f>
        <v>005012400539121000KD PTUN. Kupang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0</v>
      </c>
      <c r="E601" s="25">
        <f>SUMIFS('Daftar Koreksi'!$H$5:$H$92,'Daftar Koreksi'!$D$5:$D$92,'2400'!A598,'Daftar Koreksi'!$G$5:$G$92,"Persediaan",'Daftar Koreksi'!$H$5:$H$92,"&gt;0")</f>
        <v>0</v>
      </c>
      <c r="F601" s="25">
        <f>SUMIFS('Daftar Koreksi'!$H$5:$H$92,'Daftar Koreksi'!$D$5:$D$92,'2400'!A598,'Daftar Koreksi'!$G$5:$G$92,"Persediaan",'Daftar Koreksi'!$H$5:$H$92,"&lt;0")-SUMIFS('Daftar Koreksi'!$H$5:$H$92,'Daftar Koreksi'!$D$5:$D$92,'2400'!A598,'Daftar Koreksi'!$G$5:$G$92,"Persediaan",'Daftar Koreksi'!$H$5:$H$92,"&lt;0")-SUMIFS('Daftar Koreksi'!$H$5:$H$92,'Daftar Koreksi'!$D$5:$D$92,'2400'!A598,'Daftar Koreksi'!$G$5:$G$92,"Persediaan",'Daftar Koreksi'!$H$5:$H$92,"&lt;0")</f>
        <v>0</v>
      </c>
      <c r="G601" s="17">
        <f>D601+E601-F601</f>
        <v>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1073100000</v>
      </c>
      <c r="E602" s="25">
        <f>SUMIFS('Daftar Koreksi'!$H$5:$H$92,'Daftar Koreksi'!$D$5:$D$92,'2400'!A598,'Daftar Koreksi'!$G$5:$G$92,"Tanah",'Daftar Koreksi'!$H$5:$H$92,"&gt;0")</f>
        <v>0</v>
      </c>
      <c r="F602" s="25">
        <f>SUMIFS('Daftar Koreksi'!$H$5:$H$92,'Daftar Koreksi'!$D$5:$D$92,'2400'!A598,'Daftar Koreksi'!$G$5:$G$92,"Tanah",'Daftar Koreksi'!$H$5:$H$92,"&lt;0")-SUMIFS('Daftar Koreksi'!$H$5:$H$92,'Daftar Koreksi'!$D$5:$D$92,'2400'!A598,'Daftar Koreksi'!$G$5:$G$92,"Tanah",'Daftar Koreksi'!$H$5:$H$92,"&lt;0")-SUMIFS('Daftar Koreksi'!$H$5:$H$92,'Daftar Koreksi'!$D$5:$D$92,'2400'!A598,'Daftar Koreksi'!$G$5:$G$92,"Tanah",'Daftar Koreksi'!$H$5:$H$92,"&lt;0")</f>
        <v>0</v>
      </c>
      <c r="G602" s="17">
        <f t="shared" ref="G602:G618" si="27">D602+E602-F602</f>
        <v>1073100000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2122990443</v>
      </c>
      <c r="E603" s="25">
        <f>SUMIFS('Daftar Koreksi'!$H$5:$H$92,'Daftar Koreksi'!$D$5:$D$92,'2400'!A598,'Daftar Koreksi'!$G$5:$G$92,"Peralatan dan mesin",'Daftar Koreksi'!$H$5:$H$92,"&gt;0")</f>
        <v>0</v>
      </c>
      <c r="F603" s="25">
        <f>SUMIFS('Daftar Koreksi'!$H$5:$H$92,'Daftar Koreksi'!$D$5:$D$92,'2400'!A598,'Daftar Koreksi'!$G$5:$G$92,"Peralatan dan mesin",'Daftar Koreksi'!$H$5:$H$92,"&lt;0")-SUMIFS('Daftar Koreksi'!$H$5:$H$92,'Daftar Koreksi'!$D$5:$D$92,'2400'!A598,'Daftar Koreksi'!$G$5:$G$92,"Peralatan dan mesin",'Daftar Koreksi'!$H$5:$H$92,"&lt;0")-SUMIFS('Daftar Koreksi'!$H$5:$H$92,'Daftar Koreksi'!$D$5:$D$92,'2400'!A598,'Daftar Koreksi'!$G$5:$G$92,"Peralatan dan mesin",'Daftar Koreksi'!$H$5:$H$92,"&lt;0")</f>
        <v>0</v>
      </c>
      <c r="G603" s="17">
        <f t="shared" si="27"/>
        <v>2122990443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8634728270</v>
      </c>
      <c r="E604" s="25">
        <f>SUMIFS('Daftar Koreksi'!$H$5:$H$92,'Daftar Koreksi'!$D$5:$D$92,'2400'!A598,'Daftar Koreksi'!$G$5:$G$92,"Gedung dan Bangunan",'Daftar Koreksi'!$H$5:$H$92,"&gt;0")</f>
        <v>0</v>
      </c>
      <c r="F604" s="25">
        <f>SUMIFS('Daftar Koreksi'!$H$5:$H$92,'Daftar Koreksi'!$D$5:$D$92,'2400'!A598,'Daftar Koreksi'!$G$5:$G$92,"Gedung dan Bangunan",'Daftar Koreksi'!$H$5:$H$92,"&lt;0")-SUMIFS('Daftar Koreksi'!$H$5:$H$92,'Daftar Koreksi'!$D$5:$D$92,'2400'!A598,'Daftar Koreksi'!$G$5:$G$92,"Gedung dan Bangunan",'Daftar Koreksi'!$H$5:$H$92,"&lt;0")-SUMIFS('Daftar Koreksi'!$H$5:$H$92,'Daftar Koreksi'!$D$5:$D$92,'2400'!A598,'Daftar Koreksi'!$G$5:$G$92,"Gedung dan Bangunan",'Daftar Koreksi'!$H$5:$H$92,"&lt;0")</f>
        <v>0</v>
      </c>
      <c r="G604" s="17">
        <f t="shared" si="27"/>
        <v>8634728270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204303332</v>
      </c>
      <c r="E605" s="25">
        <f>SUMIFS('Daftar Koreksi'!$H$5:$H$92,'Daftar Koreksi'!$D$5:$D$92,'2400'!A598,'Daftar Koreksi'!$G$5:$G$92,"Jalan Irigasi Jaringan",'Daftar Koreksi'!$H$5:$H$92,"&gt;0")</f>
        <v>0</v>
      </c>
      <c r="F605" s="25">
        <f>SUMIFS('Daftar Koreksi'!$H$5:$H$92,'Daftar Koreksi'!$D$5:$D$92,'2400'!A598,'Daftar Koreksi'!$G$5:$G$92,"Jalan Irigasi Jaringan",'Daftar Koreksi'!$H$5:$H$92,"&lt;0")-SUMIFS('Daftar Koreksi'!$H$5:$H$92,'Daftar Koreksi'!$D$5:$D$92,'2400'!A598,'Daftar Koreksi'!$G$5:$G$92,"Jalan Irigasi Jaringan",'Daftar Koreksi'!$H$5:$H$92,"&lt;0")-SUMIFS('Daftar Koreksi'!$H$5:$H$92,'Daftar Koreksi'!$D$5:$D$92,'2400'!A598,'Daftar Koreksi'!$G$5:$G$92,"Jalan Irigasi Jaringan",'Daftar Koreksi'!$H$5:$H$92,"&lt;0")</f>
        <v>0</v>
      </c>
      <c r="G605" s="17">
        <f t="shared" si="27"/>
        <v>204303332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52182750</v>
      </c>
      <c r="E606" s="25">
        <f>SUMIFS('Daftar Koreksi'!$H$5:$H$92,'Daftar Koreksi'!$D$5:$D$92,'2400'!A598,'Daftar Koreksi'!$G$5:$G$92,"Aset Tetap Lainnya",'Daftar Koreksi'!$H$5:$H$92,"&gt;0")</f>
        <v>0</v>
      </c>
      <c r="F606" s="25">
        <f>SUMIFS('Daftar Koreksi'!$H$5:$H$92,'Daftar Koreksi'!$D$5:$D$92,'2400'!A598,'Daftar Koreksi'!$G$5:$G$92,"Aset Tetap Lainnya",'Daftar Koreksi'!$H$5:$H$92,"&lt;0")-SUMIFS('Daftar Koreksi'!$H$5:$H$92,'Daftar Koreksi'!$D$5:$D$92,'2400'!A598,'Daftar Koreksi'!$G$5:$G$92,"Aset Tetap Lainnya",'Daftar Koreksi'!$H$5:$H$92,"&lt;0")-SUMIFS('Daftar Koreksi'!$H$5:$H$92,'Daftar Koreksi'!$D$5:$D$92,'2400'!A598,'Daftar Koreksi'!$G$5:$G$92,"Aset Tetap Lainnya",'Daftar Koreksi'!$H$5:$H$92,"&lt;0")</f>
        <v>0</v>
      </c>
      <c r="G606" s="17">
        <f t="shared" si="27"/>
        <v>52182750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Koreksi'!$D$5:$D$92,'2400'!A598,'Daftar Koreksi'!$G$5:$G$92,"Kontruksi Dalam Pengerjaan",'Daftar Koreksi'!$H$5:$H$92,"&gt;0")</f>
        <v>0</v>
      </c>
      <c r="F607" s="25">
        <f>SUMIFS('Daftar Koreksi'!$H$5:$H$92,'Daftar Koreksi'!$D$5:$D$92,'2400'!A598,'Daftar Koreksi'!$G$5:$G$92,"Kontruksi Dalam Pengerjaan",'Daftar Koreksi'!$H$5:$H$92,"&lt;0")-SUMIFS('Daftar Koreksi'!$H$5:$H$92,'Daftar Koreksi'!$D$5:$D$92,'2400'!A598,'Daftar Koreksi'!$G$5:$G$92,"Kontruksi Dalam Pengerjaan",'Daftar Koreksi'!$H$5:$H$92,"&lt;0")-SUMIFS('Daftar Koreksi'!$H$5:$H$92,'Daftar Koreksi'!$D$5:$D$92,'2400'!A598,'Daftar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0</v>
      </c>
      <c r="E608" s="25">
        <f>SUMIFS('Daftar Koreksi'!$H$5:$H$92,'Daftar Koreksi'!$D$5:$D$92,'2400'!A598,'Daftar Koreksi'!$G$5:$G$92,"Aset Tak Berwujud",'Daftar Koreksi'!$H$5:$H$92,"&gt;0")</f>
        <v>0</v>
      </c>
      <c r="F608" s="25">
        <f>SUMIFS('Daftar Koreksi'!$H$5:$H$92,'Daftar Koreksi'!$D$5:$D$92,'2400'!A598,'Daftar Koreksi'!$G$5:$G$92,"Aset Tak Berwujud",'Daftar Koreksi'!$H$5:$H$92,"&lt;0")-SUMIFS('Daftar Koreksi'!$H$5:$H$92,'Daftar Koreksi'!$D$5:$D$92,'2400'!A598,'Daftar Koreksi'!$G$5:$G$92,"Aset Tak Berwujud",'Daftar Koreksi'!$H$5:$H$92,"&lt;0")-SUMIFS('Daftar Koreksi'!$H$5:$H$92,'Daftar Koreksi'!$D$5:$D$92,'2400'!A598,'Daftar Koreksi'!$G$5:$G$92,"Aset Tak Berwujud",'Daftar Koreksi'!$H$5:$H$92,"&lt;0")</f>
        <v>0</v>
      </c>
      <c r="G608" s="17">
        <f t="shared" si="27"/>
        <v>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81179456</v>
      </c>
      <c r="E609" s="25">
        <f>SUMIFS('Daftar Koreksi'!$H$5:$H$92,'Daftar Koreksi'!$D$5:$D$92,'2400'!A598,'Daftar Koreksi'!$G$5:$G$92,"Aset Henti Guna",'Daftar Koreksi'!$H$5:$H$92,"&gt;0")</f>
        <v>0</v>
      </c>
      <c r="F609" s="25">
        <f>SUMIFS('Daftar Koreksi'!$H$5:$H$92,'Daftar Koreksi'!$D$5:$D$92,'2400'!A598,'Daftar Koreksi'!$G$5:$G$92,"Aset Henti Guna",'Daftar Koreksi'!$H$5:$H$92,"&lt;0")-SUMIFS('Daftar Koreksi'!$H$5:$H$92,'Daftar Koreksi'!$D$5:$D$92,'2400'!A598,'Daftar Koreksi'!$G$5:$G$92,"Aset Henti Guna",'Daftar Koreksi'!$H$5:$H$92,"&lt;0")-SUMIFS('Daftar Koreksi'!$H$5:$H$92,'Daftar Koreksi'!$D$5:$D$92,'2400'!A598,'Daftar Koreksi'!$G$5:$G$92,"Aset Henti Guna",'Daftar Koreksi'!$H$5:$H$92,"&lt;0")</f>
        <v>0</v>
      </c>
      <c r="G609" s="17">
        <f t="shared" si="27"/>
        <v>81179456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12168484251</v>
      </c>
      <c r="E610" s="19">
        <f>SUM(E601:E609)</f>
        <v>0</v>
      </c>
      <c r="F610" s="19">
        <f>SUM(F601:F609)</f>
        <v>0</v>
      </c>
      <c r="G610" s="19">
        <f t="shared" si="27"/>
        <v>12168484251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-1820264329</v>
      </c>
      <c r="E611" s="25">
        <f>SUMIFS('Daftar Koreksi'!$I$5:$I$92,'Daftar Koreksi'!$D$5:$D$92,'2400'!A598,'Daftar Koreksi'!$G$5:$G$92,"Peralatan dan mesin",'Daftar Koreksi'!$I$5:$I$92,"&gt;0")</f>
        <v>0</v>
      </c>
      <c r="F611" s="25">
        <f>SUMIFS('Daftar Koreksi'!$I$5:$I$92,'Daftar Koreksi'!$D$5:$D$92,'2400'!A598,'Daftar Koreksi'!$G$5:$G$92,"Peralatan dan mesin",'Daftar Koreksi'!$I$5:$I$92,"&lt;0")-SUMIFS('Daftar Koreksi'!$I$5:$I$92,'Daftar Koreksi'!$D$5:$D$92,'2400'!A598,'Daftar Koreksi'!$G$5:$G$92,"Peralatan dan mesin",'Daftar Koreksi'!$I$5:$I$92,"&lt;0")-SUMIFS('Daftar Koreksi'!$I$5:$I$92,'Daftar Koreksi'!$D$5:$D$92,'2400'!A598,'Daftar Koreksi'!$G$5:$G$92,"Peralatan dan mesin",'Daftar Koreksi'!$I$5:$I$92,"&lt;0")</f>
        <v>0</v>
      </c>
      <c r="G611" s="17">
        <f t="shared" si="27"/>
        <v>-1820264329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-1075132083</v>
      </c>
      <c r="E612" s="25">
        <f>SUMIFS('Daftar Koreksi'!$I$5:$I$92,'Daftar Koreksi'!$D$5:$D$92,'2400'!A598,'Daftar Koreksi'!$G$5:$G$92,"Gedung dan Bangunan",'Daftar Koreksi'!$I$5:$I$92,"&gt;0")</f>
        <v>0</v>
      </c>
      <c r="F612" s="25">
        <f>SUMIFS('Daftar Koreksi'!$I$5:$I$92,'Daftar Koreksi'!$D$5:$D$92,'2400'!A598,'Daftar Koreksi'!$G$5:$G$92,"Gedung dan Bangunan",'Daftar Koreksi'!$I$5:$I$92,"&lt;0")-SUMIFS('Daftar Koreksi'!$I$5:$I$92,'Daftar Koreksi'!$D$5:$D$92,'2400'!A598,'Daftar Koreksi'!$G$5:$G$92,"Gedung dan Bangunan",'Daftar Koreksi'!$I$5:$I$92,"&lt;0")-SUMIFS('Daftar Koreksi'!$I$5:$I$92,'Daftar Koreksi'!$D$5:$D$92,'2400'!A598,'Daftar Koreksi'!$G$5:$G$92,"Gedung dan Bangunan",'Daftar Koreksi'!$I$5:$I$92,"&lt;0")</f>
        <v>0</v>
      </c>
      <c r="G612" s="17">
        <f t="shared" si="27"/>
        <v>-1075132083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-75730743</v>
      </c>
      <c r="E613" s="25">
        <f>SUMIFS('Daftar Koreksi'!$I$5:$I$92,'Daftar Koreksi'!$D$5:$D$92,'2400'!A598,'Daftar Koreksi'!$G$5:$G$92,"Jalan Irigasi Jaringan",'Daftar Koreksi'!$I$5:$I$92,"&gt;0")</f>
        <v>0</v>
      </c>
      <c r="F613" s="25">
        <f>SUMIFS('Daftar Koreksi'!$I$5:$I$92,'Daftar Koreksi'!$D$5:$D$92,'2400'!A598,'Daftar Koreksi'!$G$5:$G$92,"Jalan Irigasi Jaringan",'Daftar Koreksi'!$I$5:$I$92,"&lt;0")-SUMIFS('Daftar Koreksi'!$I$5:$I$92,'Daftar Koreksi'!$D$5:$D$92,'2400'!A598,'Daftar Koreksi'!$G$5:$G$92,"Jalan Irigasi Jaringan",'Daftar Koreksi'!$I$5:$I$92,"&lt;0")-SUMIFS('Daftar Koreksi'!$I$5:$I$92,'Daftar Koreksi'!$D$5:$D$92,'2400'!A598,'Daftar Koreksi'!$G$5:$G$92,"Jalan Irigasi Jaringan",'Daftar Koreksi'!$I$5:$I$92,"&lt;0")</f>
        <v>0</v>
      </c>
      <c r="G613" s="17">
        <f t="shared" si="27"/>
        <v>-75730743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Koreksi'!$D$5:$D$92,'2400'!A598,'Daftar Koreksi'!$G$5:$G$92,"Aset Tetap Lainnya",'Daftar Koreksi'!$I$5:$I$92,"&gt;0")</f>
        <v>0</v>
      </c>
      <c r="F614" s="25">
        <f>SUMIFS('Daftar Koreksi'!$I$5:$I$92,'Daftar Koreksi'!$D$5:$D$92,'2400'!A598,'Daftar Koreksi'!$G$5:$G$92,"Aset Tetap Lainnya",'Daftar Koreksi'!$I$5:$I$92,"&lt;0")-SUMIFS('Daftar Koreksi'!$I$5:$I$92,'Daftar Koreksi'!$D$5:$D$92,'2400'!A598,'Daftar Koreksi'!$G$5:$G$92,"Aset Tetap Lainnya",'Daftar Koreksi'!$I$5:$I$92,"&lt;0")-SUMIFS('Daftar Koreksi'!$I$5:$I$92,'Daftar Koreksi'!$D$5:$D$92,'2400'!A598,'Daftar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-81179456</v>
      </c>
      <c r="E615" s="25">
        <f>SUMIFS('Daftar Koreksi'!$I$5:$I$92,'Daftar Koreksi'!$D$5:$D$92,'2400'!A598,'Daftar Koreksi'!$G$5:$G$92,"Aset Henti Guna",'Daftar Koreksi'!$I$5:$I$92,"&gt;0")</f>
        <v>0</v>
      </c>
      <c r="F615" s="25">
        <f>SUMIFS('Daftar Koreksi'!$I$5:$I$92,'Daftar Koreksi'!$D$5:$D$92,'2400'!A598,'Daftar Koreksi'!$G$5:$G$92,"Aset Henti Guna",'Daftar Koreksi'!$I$5:$I$92,"&lt;0")-SUMIFS('Daftar Koreksi'!$I$5:$I$92,'Daftar Koreksi'!$D$5:$D$92,'2400'!A598,'Daftar Koreksi'!$G$5:$G$92,"Aset Henti Guna",'Daftar Koreksi'!$I$5:$I$92,"&lt;0")-SUMIFS('Daftar Koreksi'!$I$5:$I$92,'Daftar Koreksi'!$D$5:$D$92,'2400'!A598,'Daftar Koreksi'!$G$5:$G$92,"Aset Henti Guna",'Daftar Koreksi'!$I$5:$I$92,"&lt;0")</f>
        <v>0</v>
      </c>
      <c r="G615" s="17">
        <f t="shared" si="27"/>
        <v>-81179456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-3052306611</v>
      </c>
      <c r="E616" s="19">
        <f>SUM(E611:E615)</f>
        <v>0</v>
      </c>
      <c r="F616" s="19">
        <f>SUM(F611:F615)</f>
        <v>0</v>
      </c>
      <c r="G616" s="19">
        <f t="shared" si="27"/>
        <v>-3052306611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9116177640</v>
      </c>
      <c r="E617" s="19">
        <f>E616+E610</f>
        <v>0</v>
      </c>
      <c r="F617" s="19">
        <f>F616+F610</f>
        <v>0</v>
      </c>
      <c r="G617" s="19">
        <f t="shared" si="27"/>
        <v>9116177640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005012400576260000KD</v>
      </c>
      <c r="B620" s="11" t="str">
        <f>P29</f>
        <v>PTA. Kupang</v>
      </c>
      <c r="C620" s="12" t="str">
        <f>A620&amp;" "&amp;B620</f>
        <v>005012400576260000KD PTA. Kupang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18075355</v>
      </c>
      <c r="E623" s="25">
        <f>SUMIFS('Daftar Koreksi'!$H$5:$H$92,'Daftar Koreksi'!$D$5:$D$92,'2400'!A620,'Daftar Koreksi'!$G$5:$G$92,"Persediaan",'Daftar Koreksi'!$H$5:$H$92,"&gt;0")</f>
        <v>0</v>
      </c>
      <c r="F623" s="25">
        <f>SUMIFS('Daftar Koreksi'!$H$5:$H$92,'Daftar Koreksi'!$D$5:$D$92,'2400'!A620,'Daftar Koreksi'!$G$5:$G$92,"Persediaan",'Daftar Koreksi'!$H$5:$H$92,"&lt;0")-SUMIFS('Daftar Koreksi'!$H$5:$H$92,'Daftar Koreksi'!$D$5:$D$92,'2400'!A620,'Daftar Koreksi'!$G$5:$G$92,"Persediaan",'Daftar Koreksi'!$H$5:$H$92,"&lt;0")-SUMIFS('Daftar Koreksi'!$H$5:$H$92,'Daftar Koreksi'!$D$5:$D$92,'2400'!A620,'Daftar Koreksi'!$G$5:$G$92,"Persediaan",'Daftar Koreksi'!$H$5:$H$92,"&lt;0")</f>
        <v>0</v>
      </c>
      <c r="G623" s="17">
        <f>D623+E623-F623</f>
        <v>18075355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3748676000</v>
      </c>
      <c r="E624" s="25">
        <f>SUMIFS('Daftar Koreksi'!$H$5:$H$92,'Daftar Koreksi'!$D$5:$D$92,'2400'!A620,'Daftar Koreksi'!$G$5:$G$92,"Tanah",'Daftar Koreksi'!$H$5:$H$92,"&gt;0")</f>
        <v>0</v>
      </c>
      <c r="F624" s="25">
        <f>SUMIFS('Daftar Koreksi'!$H$5:$H$92,'Daftar Koreksi'!$D$5:$D$92,'2400'!A620,'Daftar Koreksi'!$G$5:$G$92,"Tanah",'Daftar Koreksi'!$H$5:$H$92,"&lt;0")-SUMIFS('Daftar Koreksi'!$H$5:$H$92,'Daftar Koreksi'!$D$5:$D$92,'2400'!A620,'Daftar Koreksi'!$G$5:$G$92,"Tanah",'Daftar Koreksi'!$H$5:$H$92,"&lt;0")-SUMIFS('Daftar Koreksi'!$H$5:$H$92,'Daftar Koreksi'!$D$5:$D$92,'2400'!A620,'Daftar Koreksi'!$G$5:$G$92,"Tanah",'Daftar Koreksi'!$H$5:$H$92,"&lt;0")</f>
        <v>0</v>
      </c>
      <c r="G624" s="17">
        <f t="shared" ref="G624:G640" si="28">D624+E624-F624</f>
        <v>3748676000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3169411573</v>
      </c>
      <c r="E625" s="25">
        <f>SUMIFS('Daftar Koreksi'!$H$5:$H$92,'Daftar Koreksi'!$D$5:$D$92,'2400'!A620,'Daftar Koreksi'!$G$5:$G$92,"Peralatan dan mesin",'Daftar Koreksi'!$H$5:$H$92,"&gt;0")</f>
        <v>0</v>
      </c>
      <c r="F625" s="25">
        <f>SUMIFS('Daftar Koreksi'!$H$5:$H$92,'Daftar Koreksi'!$D$5:$D$92,'2400'!A620,'Daftar Koreksi'!$G$5:$G$92,"Peralatan dan mesin",'Daftar Koreksi'!$H$5:$H$92,"&lt;0")-SUMIFS('Daftar Koreksi'!$H$5:$H$92,'Daftar Koreksi'!$D$5:$D$92,'2400'!A620,'Daftar Koreksi'!$G$5:$G$92,"Peralatan dan mesin",'Daftar Koreksi'!$H$5:$H$92,"&lt;0")-SUMIFS('Daftar Koreksi'!$H$5:$H$92,'Daftar Koreksi'!$D$5:$D$92,'2400'!A620,'Daftar Koreksi'!$G$5:$G$92,"Peralatan dan mesin",'Daftar Koreksi'!$H$5:$H$92,"&lt;0")</f>
        <v>0</v>
      </c>
      <c r="G625" s="17">
        <f t="shared" si="28"/>
        <v>3169411573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8850369706</v>
      </c>
      <c r="E626" s="25">
        <f>SUMIFS('Daftar Koreksi'!$H$5:$H$92,'Daftar Koreksi'!$D$5:$D$92,'2400'!A620,'Daftar Koreksi'!$G$5:$G$92,"Gedung dan Bangunan",'Daftar Koreksi'!$H$5:$H$92,"&gt;0")</f>
        <v>0</v>
      </c>
      <c r="F626" s="25">
        <f>SUMIFS('Daftar Koreksi'!$H$5:$H$92,'Daftar Koreksi'!$D$5:$D$92,'2400'!A620,'Daftar Koreksi'!$G$5:$G$92,"Gedung dan Bangunan",'Daftar Koreksi'!$H$5:$H$92,"&lt;0")-SUMIFS('Daftar Koreksi'!$H$5:$H$92,'Daftar Koreksi'!$D$5:$D$92,'2400'!A620,'Daftar Koreksi'!$G$5:$G$92,"Gedung dan Bangunan",'Daftar Koreksi'!$H$5:$H$92,"&lt;0")-SUMIFS('Daftar Koreksi'!$H$5:$H$92,'Daftar Koreksi'!$D$5:$D$92,'2400'!A620,'Daftar Koreksi'!$G$5:$G$92,"Gedung dan Bangunan",'Daftar Koreksi'!$H$5:$H$92,"&lt;0")</f>
        <v>0</v>
      </c>
      <c r="G626" s="17">
        <f t="shared" si="28"/>
        <v>8850369706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52021000</v>
      </c>
      <c r="E627" s="25">
        <f>SUMIFS('Daftar Koreksi'!$H$5:$H$92,'Daftar Koreksi'!$D$5:$D$92,'2400'!A620,'Daftar Koreksi'!$G$5:$G$92,"Jalan Irigasi Jaringan",'Daftar Koreksi'!$H$5:$H$92,"&gt;0")</f>
        <v>0</v>
      </c>
      <c r="F627" s="25">
        <f>SUMIFS('Daftar Koreksi'!$H$5:$H$92,'Daftar Koreksi'!$D$5:$D$92,'2400'!A620,'Daftar Koreksi'!$G$5:$G$92,"Jalan Irigasi Jaringan",'Daftar Koreksi'!$H$5:$H$92,"&lt;0")-SUMIFS('Daftar Koreksi'!$H$5:$H$92,'Daftar Koreksi'!$D$5:$D$92,'2400'!A620,'Daftar Koreksi'!$G$5:$G$92,"Jalan Irigasi Jaringan",'Daftar Koreksi'!$H$5:$H$92,"&lt;0")-SUMIFS('Daftar Koreksi'!$H$5:$H$92,'Daftar Koreksi'!$D$5:$D$92,'2400'!A620,'Daftar Koreksi'!$G$5:$G$92,"Jalan Irigasi Jaringan",'Daftar Koreksi'!$H$5:$H$92,"&lt;0")</f>
        <v>0</v>
      </c>
      <c r="G627" s="17">
        <f t="shared" si="28"/>
        <v>52021000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13900680</v>
      </c>
      <c r="E628" s="25">
        <f>SUMIFS('Daftar Koreksi'!$H$5:$H$92,'Daftar Koreksi'!$D$5:$D$92,'2400'!A620,'Daftar Koreksi'!$G$5:$G$92,"Aset Tetap Lainnya",'Daftar Koreksi'!$H$5:$H$92,"&gt;0")</f>
        <v>0</v>
      </c>
      <c r="F628" s="25">
        <f>SUMIFS('Daftar Koreksi'!$H$5:$H$92,'Daftar Koreksi'!$D$5:$D$92,'2400'!A620,'Daftar Koreksi'!$G$5:$G$92,"Aset Tetap Lainnya",'Daftar Koreksi'!$H$5:$H$92,"&lt;0")-SUMIFS('Daftar Koreksi'!$H$5:$H$92,'Daftar Koreksi'!$D$5:$D$92,'2400'!A620,'Daftar Koreksi'!$G$5:$G$92,"Aset Tetap Lainnya",'Daftar Koreksi'!$H$5:$H$92,"&lt;0")-SUMIFS('Daftar Koreksi'!$H$5:$H$92,'Daftar Koreksi'!$D$5:$D$92,'2400'!A620,'Daftar Koreksi'!$G$5:$G$92,"Aset Tetap Lainnya",'Daftar Koreksi'!$H$5:$H$92,"&lt;0")</f>
        <v>0</v>
      </c>
      <c r="G628" s="17">
        <f t="shared" si="28"/>
        <v>13900680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Koreksi'!$D$5:$D$92,'2400'!A620,'Daftar Koreksi'!$G$5:$G$92,"Kontruksi Dalam Pengerjaan",'Daftar Koreksi'!$H$5:$H$92,"&gt;0")</f>
        <v>0</v>
      </c>
      <c r="F629" s="25">
        <f>SUMIFS('Daftar Koreksi'!$H$5:$H$92,'Daftar Koreksi'!$D$5:$D$92,'2400'!A620,'Daftar Koreksi'!$G$5:$G$92,"Kontruksi Dalam Pengerjaan",'Daftar Koreksi'!$H$5:$H$92,"&lt;0")-SUMIFS('Daftar Koreksi'!$H$5:$H$92,'Daftar Koreksi'!$D$5:$D$92,'2400'!A620,'Daftar Koreksi'!$G$5:$G$92,"Kontruksi Dalam Pengerjaan",'Daftar Koreksi'!$H$5:$H$92,"&lt;0")-SUMIFS('Daftar Koreksi'!$H$5:$H$92,'Daftar Koreksi'!$D$5:$D$92,'2400'!A620,'Daftar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13200000</v>
      </c>
      <c r="E630" s="25">
        <f>SUMIFS('Daftar Koreksi'!$H$5:$H$92,'Daftar Koreksi'!$D$5:$D$92,'2400'!A620,'Daftar Koreksi'!$G$5:$G$92,"Aset Tak Berwujud",'Daftar Koreksi'!$H$5:$H$92,"&gt;0")</f>
        <v>0</v>
      </c>
      <c r="F630" s="25">
        <f>SUMIFS('Daftar Koreksi'!$H$5:$H$92,'Daftar Koreksi'!$D$5:$D$92,'2400'!A620,'Daftar Koreksi'!$G$5:$G$92,"Aset Tak Berwujud",'Daftar Koreksi'!$H$5:$H$92,"&lt;0")-SUMIFS('Daftar Koreksi'!$H$5:$H$92,'Daftar Koreksi'!$D$5:$D$92,'2400'!A620,'Daftar Koreksi'!$G$5:$G$92,"Aset Tak Berwujud",'Daftar Koreksi'!$H$5:$H$92,"&lt;0")-SUMIFS('Daftar Koreksi'!$H$5:$H$92,'Daftar Koreksi'!$D$5:$D$92,'2400'!A620,'Daftar Koreksi'!$G$5:$G$92,"Aset Tak Berwujud",'Daftar Koreksi'!$H$5:$H$92,"&lt;0")</f>
        <v>0</v>
      </c>
      <c r="G630" s="17">
        <f t="shared" si="28"/>
        <v>13200000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65528000</v>
      </c>
      <c r="E631" s="25">
        <f>SUMIFS('Daftar Koreksi'!$H$5:$H$92,'Daftar Koreksi'!$D$5:$D$92,'2400'!A620,'Daftar Koreksi'!$G$5:$G$92,"Aset Henti Guna",'Daftar Koreksi'!$H$5:$H$92,"&gt;0")</f>
        <v>0</v>
      </c>
      <c r="F631" s="25">
        <f>SUMIFS('Daftar Koreksi'!$H$5:$H$92,'Daftar Koreksi'!$D$5:$D$92,'2400'!A620,'Daftar Koreksi'!$G$5:$G$92,"Aset Henti Guna",'Daftar Koreksi'!$H$5:$H$92,"&lt;0")-SUMIFS('Daftar Koreksi'!$H$5:$H$92,'Daftar Koreksi'!$D$5:$D$92,'2400'!A620,'Daftar Koreksi'!$G$5:$G$92,"Aset Henti Guna",'Daftar Koreksi'!$H$5:$H$92,"&lt;0")-SUMIFS('Daftar Koreksi'!$H$5:$H$92,'Daftar Koreksi'!$D$5:$D$92,'2400'!A620,'Daftar Koreksi'!$G$5:$G$92,"Aset Henti Guna",'Daftar Koreksi'!$H$5:$H$92,"&lt;0")</f>
        <v>0</v>
      </c>
      <c r="G631" s="17">
        <f t="shared" si="28"/>
        <v>65528000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15931182314</v>
      </c>
      <c r="E632" s="19">
        <f>SUM(E623:E631)</f>
        <v>0</v>
      </c>
      <c r="F632" s="19">
        <f>SUM(F623:F631)</f>
        <v>0</v>
      </c>
      <c r="G632" s="19">
        <f t="shared" si="28"/>
        <v>15931182314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-2876571260</v>
      </c>
      <c r="E633" s="25">
        <f>SUMIFS('Daftar Koreksi'!$I$5:$I$92,'Daftar Koreksi'!$D$5:$D$92,'2400'!A620,'Daftar Koreksi'!$G$5:$G$92,"Peralatan dan mesin",'Daftar Koreksi'!$I$5:$I$92,"&gt;0")</f>
        <v>0</v>
      </c>
      <c r="F633" s="25">
        <f>SUMIFS('Daftar Koreksi'!$I$5:$I$92,'Daftar Koreksi'!$D$5:$D$92,'2400'!A620,'Daftar Koreksi'!$G$5:$G$92,"Peralatan dan mesin",'Daftar Koreksi'!$I$5:$I$92,"&lt;0")-SUMIFS('Daftar Koreksi'!$I$5:$I$92,'Daftar Koreksi'!$D$5:$D$92,'2400'!A620,'Daftar Koreksi'!$G$5:$G$92,"Peralatan dan mesin",'Daftar Koreksi'!$I$5:$I$92,"&lt;0")-SUMIFS('Daftar Koreksi'!$I$5:$I$92,'Daftar Koreksi'!$D$5:$D$92,'2400'!A620,'Daftar Koreksi'!$G$5:$G$92,"Peralatan dan mesin",'Daftar Koreksi'!$I$5:$I$92,"&lt;0")</f>
        <v>0</v>
      </c>
      <c r="G633" s="17">
        <f t="shared" si="28"/>
        <v>-2876571260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-1289071368</v>
      </c>
      <c r="E634" s="25">
        <f>SUMIFS('Daftar Koreksi'!$I$5:$I$92,'Daftar Koreksi'!$D$5:$D$92,'2400'!A620,'Daftar Koreksi'!$G$5:$G$92,"Gedung dan Bangunan",'Daftar Koreksi'!$I$5:$I$92,"&gt;0")</f>
        <v>0</v>
      </c>
      <c r="F634" s="25">
        <f>SUMIFS('Daftar Koreksi'!$I$5:$I$92,'Daftar Koreksi'!$D$5:$D$92,'2400'!A620,'Daftar Koreksi'!$G$5:$G$92,"Gedung dan Bangunan",'Daftar Koreksi'!$I$5:$I$92,"&lt;0")-SUMIFS('Daftar Koreksi'!$I$5:$I$92,'Daftar Koreksi'!$D$5:$D$92,'2400'!A620,'Daftar Koreksi'!$G$5:$G$92,"Gedung dan Bangunan",'Daftar Koreksi'!$I$5:$I$92,"&lt;0")-SUMIFS('Daftar Koreksi'!$I$5:$I$92,'Daftar Koreksi'!$D$5:$D$92,'2400'!A620,'Daftar Koreksi'!$G$5:$G$92,"Gedung dan Bangunan",'Daftar Koreksi'!$I$5:$I$92,"&lt;0")</f>
        <v>0</v>
      </c>
      <c r="G634" s="17">
        <f t="shared" si="28"/>
        <v>-1289071368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-10983500</v>
      </c>
      <c r="E635" s="25">
        <f>SUMIFS('Daftar Koreksi'!$I$5:$I$92,'Daftar Koreksi'!$D$5:$D$92,'2400'!A620,'Daftar Koreksi'!$G$5:$G$92,"Jalan Irigasi Jaringan",'Daftar Koreksi'!$I$5:$I$92,"&gt;0")</f>
        <v>0</v>
      </c>
      <c r="F635" s="25">
        <f>SUMIFS('Daftar Koreksi'!$I$5:$I$92,'Daftar Koreksi'!$D$5:$D$92,'2400'!A620,'Daftar Koreksi'!$G$5:$G$92,"Jalan Irigasi Jaringan",'Daftar Koreksi'!$I$5:$I$92,"&lt;0")-SUMIFS('Daftar Koreksi'!$I$5:$I$92,'Daftar Koreksi'!$D$5:$D$92,'2400'!A620,'Daftar Koreksi'!$G$5:$G$92,"Jalan Irigasi Jaringan",'Daftar Koreksi'!$I$5:$I$92,"&lt;0")-SUMIFS('Daftar Koreksi'!$I$5:$I$92,'Daftar Koreksi'!$D$5:$D$92,'2400'!A620,'Daftar Koreksi'!$G$5:$G$92,"Jalan Irigasi Jaringan",'Daftar Koreksi'!$I$5:$I$92,"&lt;0")</f>
        <v>0</v>
      </c>
      <c r="G635" s="17">
        <f t="shared" si="28"/>
        <v>-10983500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-5000000</v>
      </c>
      <c r="E636" s="25">
        <f>SUMIFS('Daftar Koreksi'!$I$5:$I$92,'Daftar Koreksi'!$D$5:$D$92,'2400'!A620,'Daftar Koreksi'!$G$5:$G$92,"Aset Tetap Lainnya",'Daftar Koreksi'!$I$5:$I$92,"&gt;0")</f>
        <v>0</v>
      </c>
      <c r="F636" s="25">
        <f>SUMIFS('Daftar Koreksi'!$I$5:$I$92,'Daftar Koreksi'!$D$5:$D$92,'2400'!A620,'Daftar Koreksi'!$G$5:$G$92,"Aset Tetap Lainnya",'Daftar Koreksi'!$I$5:$I$92,"&lt;0")-SUMIFS('Daftar Koreksi'!$I$5:$I$92,'Daftar Koreksi'!$D$5:$D$92,'2400'!A620,'Daftar Koreksi'!$G$5:$G$92,"Aset Tetap Lainnya",'Daftar Koreksi'!$I$5:$I$92,"&lt;0")-SUMIFS('Daftar Koreksi'!$I$5:$I$92,'Daftar Koreksi'!$D$5:$D$92,'2400'!A620,'Daftar Koreksi'!$G$5:$G$92,"Aset Tetap Lainnya",'Daftar Koreksi'!$I$5:$I$92,"&lt;0")</f>
        <v>0</v>
      </c>
      <c r="G636" s="17">
        <f t="shared" si="28"/>
        <v>-5000000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-65528000</v>
      </c>
      <c r="E637" s="25">
        <f>SUMIFS('Daftar Koreksi'!$I$5:$I$92,'Daftar Koreksi'!$D$5:$D$92,'2400'!A620,'Daftar Koreksi'!$G$5:$G$92,"Aset Henti Guna",'Daftar Koreksi'!$I$5:$I$92,"&gt;0")</f>
        <v>0</v>
      </c>
      <c r="F637" s="25">
        <f>SUMIFS('Daftar Koreksi'!$I$5:$I$92,'Daftar Koreksi'!$D$5:$D$92,'2400'!A620,'Daftar Koreksi'!$G$5:$G$92,"Aset Henti Guna",'Daftar Koreksi'!$I$5:$I$92,"&lt;0")-SUMIFS('Daftar Koreksi'!$I$5:$I$92,'Daftar Koreksi'!$D$5:$D$92,'2400'!A620,'Daftar Koreksi'!$G$5:$G$92,"Aset Henti Guna",'Daftar Koreksi'!$I$5:$I$92,"&lt;0")-SUMIFS('Daftar Koreksi'!$I$5:$I$92,'Daftar Koreksi'!$D$5:$D$92,'2400'!A620,'Daftar Koreksi'!$G$5:$G$92,"Aset Henti Guna",'Daftar Koreksi'!$I$5:$I$92,"&lt;0")</f>
        <v>0</v>
      </c>
      <c r="G637" s="17">
        <f t="shared" si="28"/>
        <v>-65528000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-4247154128</v>
      </c>
      <c r="E638" s="19">
        <f>SUM(E633:E637)</f>
        <v>0</v>
      </c>
      <c r="F638" s="19">
        <f>SUM(F633:F637)</f>
        <v>0</v>
      </c>
      <c r="G638" s="19">
        <f t="shared" si="28"/>
        <v>-4247154128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11684028186</v>
      </c>
      <c r="E639" s="19">
        <f>E638+E632</f>
        <v>0</v>
      </c>
      <c r="F639" s="19">
        <f>F638+F632</f>
        <v>0</v>
      </c>
      <c r="G639" s="19">
        <f t="shared" si="28"/>
        <v>11684028186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005012400632064000KD</v>
      </c>
      <c r="B642" s="11" t="str">
        <f>P30</f>
        <v>PA. Lewoleba</v>
      </c>
      <c r="C642" s="12" t="str">
        <f>A642&amp;" "&amp;B642</f>
        <v>005012400632064000KD PA. Lewoleba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526000</v>
      </c>
      <c r="E645" s="25">
        <f>SUMIFS('Daftar Koreksi'!$H$5:$H$92,'Daftar Koreksi'!$D$5:$D$92,'2400'!A642,'Daftar Koreksi'!$G$5:$G$92,"Persediaan",'Daftar Koreksi'!$H$5:$H$92,"&gt;0")</f>
        <v>0</v>
      </c>
      <c r="F645" s="25">
        <f>SUMIFS('Daftar Koreksi'!$H$5:$H$92,'Daftar Koreksi'!$D$5:$D$92,'2400'!A642,'Daftar Koreksi'!$G$5:$G$92,"Persediaan",'Daftar Koreksi'!$H$5:$H$92,"&lt;0")-SUMIFS('Daftar Koreksi'!$H$5:$H$92,'Daftar Koreksi'!$D$5:$D$92,'2400'!A642,'Daftar Koreksi'!$G$5:$G$92,"Persediaan",'Daftar Koreksi'!$H$5:$H$92,"&lt;0")-SUMIFS('Daftar Koreksi'!$H$5:$H$92,'Daftar Koreksi'!$D$5:$D$92,'2400'!A642,'Daftar Koreksi'!$G$5:$G$92,"Persediaan",'Daftar Koreksi'!$H$5:$H$92,"&lt;0")</f>
        <v>0</v>
      </c>
      <c r="G645" s="17">
        <f>D645+E645-F645</f>
        <v>526000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452450000</v>
      </c>
      <c r="E646" s="25">
        <f>SUMIFS('Daftar Koreksi'!$H$5:$H$92,'Daftar Koreksi'!$D$5:$D$92,'2400'!A642,'Daftar Koreksi'!$G$5:$G$92,"Tanah",'Daftar Koreksi'!$H$5:$H$92,"&gt;0")</f>
        <v>0</v>
      </c>
      <c r="F646" s="25">
        <f>SUMIFS('Daftar Koreksi'!$H$5:$H$92,'Daftar Koreksi'!$D$5:$D$92,'2400'!A642,'Daftar Koreksi'!$G$5:$G$92,"Tanah",'Daftar Koreksi'!$H$5:$H$92,"&lt;0")-SUMIFS('Daftar Koreksi'!$H$5:$H$92,'Daftar Koreksi'!$D$5:$D$92,'2400'!A642,'Daftar Koreksi'!$G$5:$G$92,"Tanah",'Daftar Koreksi'!$H$5:$H$92,"&lt;0")-SUMIFS('Daftar Koreksi'!$H$5:$H$92,'Daftar Koreksi'!$D$5:$D$92,'2400'!A642,'Daftar Koreksi'!$G$5:$G$92,"Tanah",'Daftar Koreksi'!$H$5:$H$92,"&lt;0")</f>
        <v>0</v>
      </c>
      <c r="G646" s="17">
        <f t="shared" ref="G646:G662" si="29">D646+E646-F646</f>
        <v>452450000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1330792833</v>
      </c>
      <c r="E647" s="25">
        <f>SUMIFS('Daftar Koreksi'!$H$5:$H$92,'Daftar Koreksi'!$D$5:$D$92,'2400'!A642,'Daftar Koreksi'!$G$5:$G$92,"Peralatan dan mesin",'Daftar Koreksi'!$H$5:$H$92,"&gt;0")</f>
        <v>0</v>
      </c>
      <c r="F647" s="25">
        <f>SUMIFS('Daftar Koreksi'!$H$5:$H$92,'Daftar Koreksi'!$D$5:$D$92,'2400'!A642,'Daftar Koreksi'!$G$5:$G$92,"Peralatan dan mesin",'Daftar Koreksi'!$H$5:$H$92,"&lt;0")-SUMIFS('Daftar Koreksi'!$H$5:$H$92,'Daftar Koreksi'!$D$5:$D$92,'2400'!A642,'Daftar Koreksi'!$G$5:$G$92,"Peralatan dan mesin",'Daftar Koreksi'!$H$5:$H$92,"&lt;0")-SUMIFS('Daftar Koreksi'!$H$5:$H$92,'Daftar Koreksi'!$D$5:$D$92,'2400'!A642,'Daftar Koreksi'!$G$5:$G$92,"Peralatan dan mesin",'Daftar Koreksi'!$H$5:$H$92,"&lt;0")</f>
        <v>0</v>
      </c>
      <c r="G647" s="17">
        <f t="shared" si="29"/>
        <v>1330792833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6950769000</v>
      </c>
      <c r="E648" s="25">
        <f>SUMIFS('Daftar Koreksi'!$H$5:$H$92,'Daftar Koreksi'!$D$5:$D$92,'2400'!A642,'Daftar Koreksi'!$G$5:$G$92,"Gedung dan Bangunan",'Daftar Koreksi'!$H$5:$H$92,"&gt;0")</f>
        <v>0</v>
      </c>
      <c r="F648" s="25">
        <f>SUMIFS('Daftar Koreksi'!$H$5:$H$92,'Daftar Koreksi'!$D$5:$D$92,'2400'!A642,'Daftar Koreksi'!$G$5:$G$92,"Gedung dan Bangunan",'Daftar Koreksi'!$H$5:$H$92,"&lt;0")-SUMIFS('Daftar Koreksi'!$H$5:$H$92,'Daftar Koreksi'!$D$5:$D$92,'2400'!A642,'Daftar Koreksi'!$G$5:$G$92,"Gedung dan Bangunan",'Daftar Koreksi'!$H$5:$H$92,"&lt;0")-SUMIFS('Daftar Koreksi'!$H$5:$H$92,'Daftar Koreksi'!$D$5:$D$92,'2400'!A642,'Daftar Koreksi'!$G$5:$G$92,"Gedung dan Bangunan",'Daftar Koreksi'!$H$5:$H$92,"&lt;0")</f>
        <v>0</v>
      </c>
      <c r="G648" s="17">
        <f t="shared" si="29"/>
        <v>6950769000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6800000</v>
      </c>
      <c r="E649" s="25">
        <f>SUMIFS('Daftar Koreksi'!$H$5:$H$92,'Daftar Koreksi'!$D$5:$D$92,'2400'!A642,'Daftar Koreksi'!$G$5:$G$92,"Jalan Irigasi Jaringan",'Daftar Koreksi'!$H$5:$H$92,"&gt;0")</f>
        <v>0</v>
      </c>
      <c r="F649" s="25">
        <f>SUMIFS('Daftar Koreksi'!$H$5:$H$92,'Daftar Koreksi'!$D$5:$D$92,'2400'!A642,'Daftar Koreksi'!$G$5:$G$92,"Jalan Irigasi Jaringan",'Daftar Koreksi'!$H$5:$H$92,"&lt;0")-SUMIFS('Daftar Koreksi'!$H$5:$H$92,'Daftar Koreksi'!$D$5:$D$92,'2400'!A642,'Daftar Koreksi'!$G$5:$G$92,"Jalan Irigasi Jaringan",'Daftar Koreksi'!$H$5:$H$92,"&lt;0")-SUMIFS('Daftar Koreksi'!$H$5:$H$92,'Daftar Koreksi'!$D$5:$D$92,'2400'!A642,'Daftar Koreksi'!$G$5:$G$92,"Jalan Irigasi Jaringan",'Daftar Koreksi'!$H$5:$H$92,"&lt;0")</f>
        <v>0</v>
      </c>
      <c r="G649" s="17">
        <f t="shared" si="29"/>
        <v>6800000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23662070</v>
      </c>
      <c r="E650" s="25">
        <f>SUMIFS('Daftar Koreksi'!$H$5:$H$92,'Daftar Koreksi'!$D$5:$D$92,'2400'!A642,'Daftar Koreksi'!$G$5:$G$92,"Aset Tetap Lainnya",'Daftar Koreksi'!$H$5:$H$92,"&gt;0")</f>
        <v>0</v>
      </c>
      <c r="F650" s="25">
        <f>SUMIFS('Daftar Koreksi'!$H$5:$H$92,'Daftar Koreksi'!$D$5:$D$92,'2400'!A642,'Daftar Koreksi'!$G$5:$G$92,"Aset Tetap Lainnya",'Daftar Koreksi'!$H$5:$H$92,"&lt;0")-SUMIFS('Daftar Koreksi'!$H$5:$H$92,'Daftar Koreksi'!$D$5:$D$92,'2400'!A642,'Daftar Koreksi'!$G$5:$G$92,"Aset Tetap Lainnya",'Daftar Koreksi'!$H$5:$H$92,"&lt;0")-SUMIFS('Daftar Koreksi'!$H$5:$H$92,'Daftar Koreksi'!$D$5:$D$92,'2400'!A642,'Daftar Koreksi'!$G$5:$G$92,"Aset Tetap Lainnya",'Daftar Koreksi'!$H$5:$H$92,"&lt;0")</f>
        <v>0</v>
      </c>
      <c r="G650" s="17">
        <f t="shared" si="29"/>
        <v>23662070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Koreksi'!$D$5:$D$92,'2400'!A642,'Daftar Koreksi'!$G$5:$G$92,"Kontruksi Dalam Pengerjaan",'Daftar Koreksi'!$H$5:$H$92,"&gt;0")</f>
        <v>0</v>
      </c>
      <c r="F651" s="25">
        <f>SUMIFS('Daftar Koreksi'!$H$5:$H$92,'Daftar Koreksi'!$D$5:$D$92,'2400'!A642,'Daftar Koreksi'!$G$5:$G$92,"Kontruksi Dalam Pengerjaan",'Daftar Koreksi'!$H$5:$H$92,"&lt;0")-SUMIFS('Daftar Koreksi'!$H$5:$H$92,'Daftar Koreksi'!$D$5:$D$92,'2400'!A642,'Daftar Koreksi'!$G$5:$G$92,"Kontruksi Dalam Pengerjaan",'Daftar Koreksi'!$H$5:$H$92,"&lt;0")-SUMIFS('Daftar Koreksi'!$H$5:$H$92,'Daftar Koreksi'!$D$5:$D$92,'2400'!A642,'Daftar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Koreksi'!$D$5:$D$92,'2400'!A642,'Daftar Koreksi'!$G$5:$G$92,"Aset Tak Berwujud",'Daftar Koreksi'!$H$5:$H$92,"&gt;0")</f>
        <v>0</v>
      </c>
      <c r="F652" s="25">
        <f>SUMIFS('Daftar Koreksi'!$H$5:$H$92,'Daftar Koreksi'!$D$5:$D$92,'2400'!A642,'Daftar Koreksi'!$G$5:$G$92,"Aset Tak Berwujud",'Daftar Koreksi'!$H$5:$H$92,"&lt;0")-SUMIFS('Daftar Koreksi'!$H$5:$H$92,'Daftar Koreksi'!$D$5:$D$92,'2400'!A642,'Daftar Koreksi'!$G$5:$G$92,"Aset Tak Berwujud",'Daftar Koreksi'!$H$5:$H$92,"&lt;0")-SUMIFS('Daftar Koreksi'!$H$5:$H$92,'Daftar Koreksi'!$D$5:$D$92,'2400'!A642,'Daftar Koreksi'!$G$5:$G$92,"Aset Tak Berwujud",'Daftar Koreksi'!$H$5:$H$92,"&lt;0")</f>
        <v>0</v>
      </c>
      <c r="G652" s="17">
        <f t="shared" si="29"/>
        <v>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107862000</v>
      </c>
      <c r="E653" s="25">
        <f>SUMIFS('Daftar Koreksi'!$H$5:$H$92,'Daftar Koreksi'!$D$5:$D$92,'2400'!A642,'Daftar Koreksi'!$G$5:$G$92,"Aset Henti Guna",'Daftar Koreksi'!$H$5:$H$92,"&gt;0")</f>
        <v>0</v>
      </c>
      <c r="F653" s="25">
        <f>SUMIFS('Daftar Koreksi'!$H$5:$H$92,'Daftar Koreksi'!$D$5:$D$92,'2400'!A642,'Daftar Koreksi'!$G$5:$G$92,"Aset Henti Guna",'Daftar Koreksi'!$H$5:$H$92,"&lt;0")-SUMIFS('Daftar Koreksi'!$H$5:$H$92,'Daftar Koreksi'!$D$5:$D$92,'2400'!A642,'Daftar Koreksi'!$G$5:$G$92,"Aset Henti Guna",'Daftar Koreksi'!$H$5:$H$92,"&lt;0")-SUMIFS('Daftar Koreksi'!$H$5:$H$92,'Daftar Koreksi'!$D$5:$D$92,'2400'!A642,'Daftar Koreksi'!$G$5:$G$92,"Aset Henti Guna",'Daftar Koreksi'!$H$5:$H$92,"&lt;0")</f>
        <v>0</v>
      </c>
      <c r="G653" s="17">
        <f t="shared" si="29"/>
        <v>107862000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8872861903</v>
      </c>
      <c r="E654" s="19">
        <f>SUM(E645:E653)</f>
        <v>0</v>
      </c>
      <c r="F654" s="19">
        <f>SUM(F645:F653)</f>
        <v>0</v>
      </c>
      <c r="G654" s="19">
        <f t="shared" si="29"/>
        <v>8872861903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-1000622089</v>
      </c>
      <c r="E655" s="25">
        <f>SUMIFS('Daftar Koreksi'!$I$5:$I$92,'Daftar Koreksi'!$D$5:$D$92,'2400'!A642,'Daftar Koreksi'!$G$5:$G$92,"Peralatan dan mesin",'Daftar Koreksi'!$I$5:$I$92,"&gt;0")</f>
        <v>0</v>
      </c>
      <c r="F655" s="25">
        <f>SUMIFS('Daftar Koreksi'!$I$5:$I$92,'Daftar Koreksi'!$D$5:$D$92,'2400'!A642,'Daftar Koreksi'!$G$5:$G$92,"Peralatan dan mesin",'Daftar Koreksi'!$I$5:$I$92,"&lt;0")-SUMIFS('Daftar Koreksi'!$I$5:$I$92,'Daftar Koreksi'!$D$5:$D$92,'2400'!A642,'Daftar Koreksi'!$G$5:$G$92,"Peralatan dan mesin",'Daftar Koreksi'!$I$5:$I$92,"&lt;0")-SUMIFS('Daftar Koreksi'!$I$5:$I$92,'Daftar Koreksi'!$D$5:$D$92,'2400'!A642,'Daftar Koreksi'!$G$5:$G$92,"Peralatan dan mesin",'Daftar Koreksi'!$I$5:$I$92,"&lt;0")</f>
        <v>0</v>
      </c>
      <c r="G655" s="17">
        <f t="shared" si="29"/>
        <v>-1000622089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-971684049</v>
      </c>
      <c r="E656" s="25">
        <f>SUMIFS('Daftar Koreksi'!$I$5:$I$92,'Daftar Koreksi'!$D$5:$D$92,'2400'!A642,'Daftar Koreksi'!$G$5:$G$92,"Gedung dan Bangunan",'Daftar Koreksi'!$I$5:$I$92,"&gt;0")</f>
        <v>0</v>
      </c>
      <c r="F656" s="25">
        <f>SUMIFS('Daftar Koreksi'!$I$5:$I$92,'Daftar Koreksi'!$D$5:$D$92,'2400'!A642,'Daftar Koreksi'!$G$5:$G$92,"Gedung dan Bangunan",'Daftar Koreksi'!$I$5:$I$92,"&lt;0")-SUMIFS('Daftar Koreksi'!$I$5:$I$92,'Daftar Koreksi'!$D$5:$D$92,'2400'!A642,'Daftar Koreksi'!$G$5:$G$92,"Gedung dan Bangunan",'Daftar Koreksi'!$I$5:$I$92,"&lt;0")-SUMIFS('Daftar Koreksi'!$I$5:$I$92,'Daftar Koreksi'!$D$5:$D$92,'2400'!A642,'Daftar Koreksi'!$G$5:$G$92,"Gedung dan Bangunan",'Daftar Koreksi'!$I$5:$I$92,"&lt;0")</f>
        <v>0</v>
      </c>
      <c r="G656" s="17">
        <f t="shared" si="29"/>
        <v>-971684049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-1066660</v>
      </c>
      <c r="E657" s="25">
        <f>SUMIFS('Daftar Koreksi'!$I$5:$I$92,'Daftar Koreksi'!$D$5:$D$92,'2400'!A642,'Daftar Koreksi'!$G$5:$G$92,"Jalan Irigasi Jaringan",'Daftar Koreksi'!$I$5:$I$92,"&gt;0")</f>
        <v>0</v>
      </c>
      <c r="F657" s="25">
        <f>SUMIFS('Daftar Koreksi'!$I$5:$I$92,'Daftar Koreksi'!$D$5:$D$92,'2400'!A642,'Daftar Koreksi'!$G$5:$G$92,"Jalan Irigasi Jaringan",'Daftar Koreksi'!$I$5:$I$92,"&lt;0")-SUMIFS('Daftar Koreksi'!$I$5:$I$92,'Daftar Koreksi'!$D$5:$D$92,'2400'!A642,'Daftar Koreksi'!$G$5:$G$92,"Jalan Irigasi Jaringan",'Daftar Koreksi'!$I$5:$I$92,"&lt;0")-SUMIFS('Daftar Koreksi'!$I$5:$I$92,'Daftar Koreksi'!$D$5:$D$92,'2400'!A642,'Daftar Koreksi'!$G$5:$G$92,"Jalan Irigasi Jaringan",'Daftar Koreksi'!$I$5:$I$92,"&lt;0")</f>
        <v>0</v>
      </c>
      <c r="G657" s="17">
        <f t="shared" si="29"/>
        <v>-1066660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-7109375</v>
      </c>
      <c r="E658" s="25">
        <f>SUMIFS('Daftar Koreksi'!$I$5:$I$92,'Daftar Koreksi'!$D$5:$D$92,'2400'!A642,'Daftar Koreksi'!$G$5:$G$92,"Aset Tetap Lainnya",'Daftar Koreksi'!$I$5:$I$92,"&gt;0")</f>
        <v>0</v>
      </c>
      <c r="F658" s="25">
        <f>SUMIFS('Daftar Koreksi'!$I$5:$I$92,'Daftar Koreksi'!$D$5:$D$92,'2400'!A642,'Daftar Koreksi'!$G$5:$G$92,"Aset Tetap Lainnya",'Daftar Koreksi'!$I$5:$I$92,"&lt;0")-SUMIFS('Daftar Koreksi'!$I$5:$I$92,'Daftar Koreksi'!$D$5:$D$92,'2400'!A642,'Daftar Koreksi'!$G$5:$G$92,"Aset Tetap Lainnya",'Daftar Koreksi'!$I$5:$I$92,"&lt;0")-SUMIFS('Daftar Koreksi'!$I$5:$I$92,'Daftar Koreksi'!$D$5:$D$92,'2400'!A642,'Daftar Koreksi'!$G$5:$G$92,"Aset Tetap Lainnya",'Daftar Koreksi'!$I$5:$I$92,"&lt;0")</f>
        <v>0</v>
      </c>
      <c r="G658" s="17">
        <f t="shared" si="29"/>
        <v>-7109375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-107704500</v>
      </c>
      <c r="E659" s="25">
        <f>SUMIFS('Daftar Koreksi'!$I$5:$I$92,'Daftar Koreksi'!$D$5:$D$92,'2400'!A642,'Daftar Koreksi'!$G$5:$G$92,"Aset Henti Guna",'Daftar Koreksi'!$I$5:$I$92,"&gt;0")</f>
        <v>0</v>
      </c>
      <c r="F659" s="25">
        <f>SUMIFS('Daftar Koreksi'!$I$5:$I$92,'Daftar Koreksi'!$D$5:$D$92,'2400'!A642,'Daftar Koreksi'!$G$5:$G$92,"Aset Henti Guna",'Daftar Koreksi'!$I$5:$I$92,"&lt;0")-SUMIFS('Daftar Koreksi'!$I$5:$I$92,'Daftar Koreksi'!$D$5:$D$92,'2400'!A642,'Daftar Koreksi'!$G$5:$G$92,"Aset Henti Guna",'Daftar Koreksi'!$I$5:$I$92,"&lt;0")-SUMIFS('Daftar Koreksi'!$I$5:$I$92,'Daftar Koreksi'!$D$5:$D$92,'2400'!A642,'Daftar Koreksi'!$G$5:$G$92,"Aset Henti Guna",'Daftar Koreksi'!$I$5:$I$92,"&lt;0")</f>
        <v>0</v>
      </c>
      <c r="G659" s="17">
        <f t="shared" si="29"/>
        <v>-107704500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-2088186673</v>
      </c>
      <c r="E660" s="19">
        <f>SUM(E655:E659)</f>
        <v>0</v>
      </c>
      <c r="F660" s="19">
        <f>SUM(F655:F659)</f>
        <v>0</v>
      </c>
      <c r="G660" s="19">
        <f t="shared" si="29"/>
        <v>-2088186673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6784675230</v>
      </c>
      <c r="E661" s="19">
        <f>E660+E654</f>
        <v>0</v>
      </c>
      <c r="F661" s="19">
        <f>F660+F654</f>
        <v>0</v>
      </c>
      <c r="G661" s="19">
        <f t="shared" si="29"/>
        <v>6784675230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005012400663342000KD</v>
      </c>
      <c r="B664" s="11" t="str">
        <f>P31</f>
        <v>DILMIL.  III - 15 di Kupang</v>
      </c>
      <c r="C664" s="12" t="str">
        <f>A664&amp;" "&amp;B664</f>
        <v>005012400663342000KD DILMIL.  III - 15 di Kupang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0</v>
      </c>
      <c r="E667" s="25">
        <f>SUMIFS('Daftar Koreksi'!$H$5:$H$92,'Daftar Koreksi'!$D$5:$D$92,'2400'!A664,'Daftar Koreksi'!$G$5:$G$92,"Persediaan",'Daftar Koreksi'!$H$5:$H$92,"&gt;0")</f>
        <v>0</v>
      </c>
      <c r="F667" s="25">
        <f>SUMIFS('Daftar Koreksi'!$H$5:$H$92,'Daftar Koreksi'!$D$5:$D$92,'2400'!A664,'Daftar Koreksi'!$G$5:$G$92,"Persediaan",'Daftar Koreksi'!$H$5:$H$92,"&lt;0")-SUMIFS('Daftar Koreksi'!$H$5:$H$92,'Daftar Koreksi'!$D$5:$D$92,'2400'!A664,'Daftar Koreksi'!$G$5:$G$92,"Persediaan",'Daftar Koreksi'!$H$5:$H$92,"&lt;0")-SUMIFS('Daftar Koreksi'!$H$5:$H$92,'Daftar Koreksi'!$D$5:$D$92,'2400'!A664,'Daftar Koreksi'!$G$5:$G$92,"Persediaan",'Daftar Koreksi'!$H$5:$H$92,"&lt;0")</f>
        <v>0</v>
      </c>
      <c r="G667" s="17">
        <f>D667+E667-F667</f>
        <v>0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1000000000</v>
      </c>
      <c r="E668" s="25">
        <f>SUMIFS('Daftar Koreksi'!$H$5:$H$92,'Daftar Koreksi'!$D$5:$D$92,'2400'!A664,'Daftar Koreksi'!$G$5:$G$92,"Tanah",'Daftar Koreksi'!$H$5:$H$92,"&gt;0")</f>
        <v>0</v>
      </c>
      <c r="F668" s="25">
        <f>SUMIFS('Daftar Koreksi'!$H$5:$H$92,'Daftar Koreksi'!$D$5:$D$92,'2400'!A664,'Daftar Koreksi'!$G$5:$G$92,"Tanah",'Daftar Koreksi'!$H$5:$H$92,"&lt;0")-SUMIFS('Daftar Koreksi'!$H$5:$H$92,'Daftar Koreksi'!$D$5:$D$92,'2400'!A664,'Daftar Koreksi'!$G$5:$G$92,"Tanah",'Daftar Koreksi'!$H$5:$H$92,"&lt;0")-SUMIFS('Daftar Koreksi'!$H$5:$H$92,'Daftar Koreksi'!$D$5:$D$92,'2400'!A664,'Daftar Koreksi'!$G$5:$G$92,"Tanah",'Daftar Koreksi'!$H$5:$H$92,"&lt;0")</f>
        <v>0</v>
      </c>
      <c r="G668" s="17">
        <f t="shared" ref="G668:G684" si="30">D668+E668-F668</f>
        <v>1000000000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2886298152</v>
      </c>
      <c r="E669" s="25">
        <f>SUMIFS('Daftar Koreksi'!$H$5:$H$92,'Daftar Koreksi'!$D$5:$D$92,'2400'!A664,'Daftar Koreksi'!$G$5:$G$92,"Peralatan dan mesin",'Daftar Koreksi'!$H$5:$H$92,"&gt;0")</f>
        <v>0</v>
      </c>
      <c r="F669" s="25">
        <f>SUMIFS('Daftar Koreksi'!$H$5:$H$92,'Daftar Koreksi'!$D$5:$D$92,'2400'!A664,'Daftar Koreksi'!$G$5:$G$92,"Peralatan dan mesin",'Daftar Koreksi'!$H$5:$H$92,"&lt;0")-SUMIFS('Daftar Koreksi'!$H$5:$H$92,'Daftar Koreksi'!$D$5:$D$92,'2400'!A664,'Daftar Koreksi'!$G$5:$G$92,"Peralatan dan mesin",'Daftar Koreksi'!$H$5:$H$92,"&lt;0")-SUMIFS('Daftar Koreksi'!$H$5:$H$92,'Daftar Koreksi'!$D$5:$D$92,'2400'!A664,'Daftar Koreksi'!$G$5:$G$92,"Peralatan dan mesin",'Daftar Koreksi'!$H$5:$H$92,"&lt;0")</f>
        <v>0</v>
      </c>
      <c r="G669" s="17">
        <f t="shared" si="30"/>
        <v>2886298152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7495130000</v>
      </c>
      <c r="E670" s="25">
        <f>SUMIFS('Daftar Koreksi'!$H$5:$H$92,'Daftar Koreksi'!$D$5:$D$92,'2400'!A664,'Daftar Koreksi'!$G$5:$G$92,"Gedung dan Bangunan",'Daftar Koreksi'!$H$5:$H$92,"&gt;0")</f>
        <v>0</v>
      </c>
      <c r="F670" s="25">
        <f>SUMIFS('Daftar Koreksi'!$H$5:$H$92,'Daftar Koreksi'!$D$5:$D$92,'2400'!A664,'Daftar Koreksi'!$G$5:$G$92,"Gedung dan Bangunan",'Daftar Koreksi'!$H$5:$H$92,"&lt;0")-SUMIFS('Daftar Koreksi'!$H$5:$H$92,'Daftar Koreksi'!$D$5:$D$92,'2400'!A664,'Daftar Koreksi'!$G$5:$G$92,"Gedung dan Bangunan",'Daftar Koreksi'!$H$5:$H$92,"&lt;0")-SUMIFS('Daftar Koreksi'!$H$5:$H$92,'Daftar Koreksi'!$D$5:$D$92,'2400'!A664,'Daftar Koreksi'!$G$5:$G$92,"Gedung dan Bangunan",'Daftar Koreksi'!$H$5:$H$92,"&lt;0")</f>
        <v>0</v>
      </c>
      <c r="G670" s="17">
        <f t="shared" si="30"/>
        <v>7495130000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145720000</v>
      </c>
      <c r="E671" s="25">
        <f>SUMIFS('Daftar Koreksi'!$H$5:$H$92,'Daftar Koreksi'!$D$5:$D$92,'2400'!A664,'Daftar Koreksi'!$G$5:$G$92,"Jalan Irigasi Jaringan",'Daftar Koreksi'!$H$5:$H$92,"&gt;0")</f>
        <v>0</v>
      </c>
      <c r="F671" s="25">
        <f>SUMIFS('Daftar Koreksi'!$H$5:$H$92,'Daftar Koreksi'!$D$5:$D$92,'2400'!A664,'Daftar Koreksi'!$G$5:$G$92,"Jalan Irigasi Jaringan",'Daftar Koreksi'!$H$5:$H$92,"&lt;0")-SUMIFS('Daftar Koreksi'!$H$5:$H$92,'Daftar Koreksi'!$D$5:$D$92,'2400'!A664,'Daftar Koreksi'!$G$5:$G$92,"Jalan Irigasi Jaringan",'Daftar Koreksi'!$H$5:$H$92,"&lt;0")-SUMIFS('Daftar Koreksi'!$H$5:$H$92,'Daftar Koreksi'!$D$5:$D$92,'2400'!A664,'Daftar Koreksi'!$G$5:$G$92,"Jalan Irigasi Jaringan",'Daftar Koreksi'!$H$5:$H$92,"&lt;0")</f>
        <v>0</v>
      </c>
      <c r="G671" s="17">
        <f t="shared" si="30"/>
        <v>145720000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0</v>
      </c>
      <c r="E672" s="25">
        <f>SUMIFS('Daftar Koreksi'!$H$5:$H$92,'Daftar Koreksi'!$D$5:$D$92,'2400'!A664,'Daftar Koreksi'!$G$5:$G$92,"Aset Tetap Lainnya",'Daftar Koreksi'!$H$5:$H$92,"&gt;0")</f>
        <v>0</v>
      </c>
      <c r="F672" s="25">
        <f>SUMIFS('Daftar Koreksi'!$H$5:$H$92,'Daftar Koreksi'!$D$5:$D$92,'2400'!A664,'Daftar Koreksi'!$G$5:$G$92,"Aset Tetap Lainnya",'Daftar Koreksi'!$H$5:$H$92,"&lt;0")-SUMIFS('Daftar Koreksi'!$H$5:$H$92,'Daftar Koreksi'!$D$5:$D$92,'2400'!A664,'Daftar Koreksi'!$G$5:$G$92,"Aset Tetap Lainnya",'Daftar Koreksi'!$H$5:$H$92,"&lt;0")-SUMIFS('Daftar Koreksi'!$H$5:$H$92,'Daftar Koreksi'!$D$5:$D$92,'2400'!A664,'Daftar Koreksi'!$G$5:$G$92,"Aset Tetap Lainnya",'Daftar Koreksi'!$H$5:$H$92,"&lt;0")</f>
        <v>0</v>
      </c>
      <c r="G672" s="17">
        <f t="shared" si="30"/>
        <v>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Koreksi'!$D$5:$D$92,'2400'!A664,'Daftar Koreksi'!$G$5:$G$92,"Kontruksi Dalam Pengerjaan",'Daftar Koreksi'!$H$5:$H$92,"&gt;0")</f>
        <v>0</v>
      </c>
      <c r="F673" s="25">
        <f>SUMIFS('Daftar Koreksi'!$H$5:$H$92,'Daftar Koreksi'!$D$5:$D$92,'2400'!A664,'Daftar Koreksi'!$G$5:$G$92,"Kontruksi Dalam Pengerjaan",'Daftar Koreksi'!$H$5:$H$92,"&lt;0")-SUMIFS('Daftar Koreksi'!$H$5:$H$92,'Daftar Koreksi'!$D$5:$D$92,'2400'!A664,'Daftar Koreksi'!$G$5:$G$92,"Kontruksi Dalam Pengerjaan",'Daftar Koreksi'!$H$5:$H$92,"&lt;0")-SUMIFS('Daftar Koreksi'!$H$5:$H$92,'Daftar Koreksi'!$D$5:$D$92,'2400'!A664,'Daftar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0</v>
      </c>
      <c r="E674" s="25">
        <f>SUMIFS('Daftar Koreksi'!$H$5:$H$92,'Daftar Koreksi'!$D$5:$D$92,'2400'!A664,'Daftar Koreksi'!$G$5:$G$92,"Aset Tak Berwujud",'Daftar Koreksi'!$H$5:$H$92,"&gt;0")</f>
        <v>0</v>
      </c>
      <c r="F674" s="25">
        <f>SUMIFS('Daftar Koreksi'!$H$5:$H$92,'Daftar Koreksi'!$D$5:$D$92,'2400'!A664,'Daftar Koreksi'!$G$5:$G$92,"Aset Tak Berwujud",'Daftar Koreksi'!$H$5:$H$92,"&lt;0")-SUMIFS('Daftar Koreksi'!$H$5:$H$92,'Daftar Koreksi'!$D$5:$D$92,'2400'!A664,'Daftar Koreksi'!$G$5:$G$92,"Aset Tak Berwujud",'Daftar Koreksi'!$H$5:$H$92,"&lt;0")-SUMIFS('Daftar Koreksi'!$H$5:$H$92,'Daftar Koreksi'!$D$5:$D$92,'2400'!A664,'Daftar Koreksi'!$G$5:$G$92,"Aset Tak Berwujud",'Daftar Koreksi'!$H$5:$H$92,"&lt;0")</f>
        <v>0</v>
      </c>
      <c r="G674" s="17">
        <f t="shared" si="30"/>
        <v>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222679719</v>
      </c>
      <c r="E675" s="25">
        <f>SUMIFS('Daftar Koreksi'!$H$5:$H$92,'Daftar Koreksi'!$D$5:$D$92,'2400'!A664,'Daftar Koreksi'!$G$5:$G$92,"Aset Henti Guna",'Daftar Koreksi'!$H$5:$H$92,"&gt;0")</f>
        <v>0</v>
      </c>
      <c r="F675" s="25">
        <f>SUMIFS('Daftar Koreksi'!$H$5:$H$92,'Daftar Koreksi'!$D$5:$D$92,'2400'!A664,'Daftar Koreksi'!$G$5:$G$92,"Aset Henti Guna",'Daftar Koreksi'!$H$5:$H$92,"&lt;0")-SUMIFS('Daftar Koreksi'!$H$5:$H$92,'Daftar Koreksi'!$D$5:$D$92,'2400'!A664,'Daftar Koreksi'!$G$5:$G$92,"Aset Henti Guna",'Daftar Koreksi'!$H$5:$H$92,"&lt;0")-SUMIFS('Daftar Koreksi'!$H$5:$H$92,'Daftar Koreksi'!$D$5:$D$92,'2400'!A664,'Daftar Koreksi'!$G$5:$G$92,"Aset Henti Guna",'Daftar Koreksi'!$H$5:$H$92,"&lt;0")</f>
        <v>0</v>
      </c>
      <c r="G675" s="17">
        <f t="shared" si="30"/>
        <v>222679719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11749827871</v>
      </c>
      <c r="E676" s="19">
        <f>SUM(E667:E675)</f>
        <v>0</v>
      </c>
      <c r="F676" s="19">
        <f>SUM(F667:F675)</f>
        <v>0</v>
      </c>
      <c r="G676" s="19">
        <f t="shared" si="30"/>
        <v>11749827871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-2122974519</v>
      </c>
      <c r="E677" s="25">
        <f>SUMIFS('Daftar Koreksi'!$I$5:$I$92,'Daftar Koreksi'!$D$5:$D$92,'2400'!A664,'Daftar Koreksi'!$G$5:$G$92,"Peralatan dan mesin",'Daftar Koreksi'!$I$5:$I$92,"&gt;0")</f>
        <v>0</v>
      </c>
      <c r="F677" s="25">
        <f>SUMIFS('Daftar Koreksi'!$I$5:$I$92,'Daftar Koreksi'!$D$5:$D$92,'2400'!A664,'Daftar Koreksi'!$G$5:$G$92,"Peralatan dan mesin",'Daftar Koreksi'!$I$5:$I$92,"&lt;0")-SUMIFS('Daftar Koreksi'!$I$5:$I$92,'Daftar Koreksi'!$D$5:$D$92,'2400'!A664,'Daftar Koreksi'!$G$5:$G$92,"Peralatan dan mesin",'Daftar Koreksi'!$I$5:$I$92,"&lt;0")-SUMIFS('Daftar Koreksi'!$I$5:$I$92,'Daftar Koreksi'!$D$5:$D$92,'2400'!A664,'Daftar Koreksi'!$G$5:$G$92,"Peralatan dan mesin",'Daftar Koreksi'!$I$5:$I$92,"&lt;0")</f>
        <v>0</v>
      </c>
      <c r="G677" s="17">
        <f t="shared" si="30"/>
        <v>-2122974519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-824464300</v>
      </c>
      <c r="E678" s="25">
        <f>SUMIFS('Daftar Koreksi'!$I$5:$I$92,'Daftar Koreksi'!$D$5:$D$92,'2400'!A664,'Daftar Koreksi'!$G$5:$G$92,"Gedung dan Bangunan",'Daftar Koreksi'!$I$5:$I$92,"&gt;0")</f>
        <v>0</v>
      </c>
      <c r="F678" s="25">
        <f>SUMIFS('Daftar Koreksi'!$I$5:$I$92,'Daftar Koreksi'!$D$5:$D$92,'2400'!A664,'Daftar Koreksi'!$G$5:$G$92,"Gedung dan Bangunan",'Daftar Koreksi'!$I$5:$I$92,"&lt;0")-SUMIFS('Daftar Koreksi'!$I$5:$I$92,'Daftar Koreksi'!$D$5:$D$92,'2400'!A664,'Daftar Koreksi'!$G$5:$G$92,"Gedung dan Bangunan",'Daftar Koreksi'!$I$5:$I$92,"&lt;0")-SUMIFS('Daftar Koreksi'!$I$5:$I$92,'Daftar Koreksi'!$D$5:$D$92,'2400'!A664,'Daftar Koreksi'!$G$5:$G$92,"Gedung dan Bangunan",'Daftar Koreksi'!$I$5:$I$92,"&lt;0")</f>
        <v>0</v>
      </c>
      <c r="G678" s="17">
        <f t="shared" si="30"/>
        <v>-824464300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-77656770</v>
      </c>
      <c r="E679" s="25">
        <f>SUMIFS('Daftar Koreksi'!$I$5:$I$92,'Daftar Koreksi'!$D$5:$D$92,'2400'!A664,'Daftar Koreksi'!$G$5:$G$92,"Jalan Irigasi Jaringan",'Daftar Koreksi'!$I$5:$I$92,"&gt;0")</f>
        <v>0</v>
      </c>
      <c r="F679" s="25">
        <f>SUMIFS('Daftar Koreksi'!$I$5:$I$92,'Daftar Koreksi'!$D$5:$D$92,'2400'!A664,'Daftar Koreksi'!$G$5:$G$92,"Jalan Irigasi Jaringan",'Daftar Koreksi'!$I$5:$I$92,"&lt;0")-SUMIFS('Daftar Koreksi'!$I$5:$I$92,'Daftar Koreksi'!$D$5:$D$92,'2400'!A664,'Daftar Koreksi'!$G$5:$G$92,"Jalan Irigasi Jaringan",'Daftar Koreksi'!$I$5:$I$92,"&lt;0")-SUMIFS('Daftar Koreksi'!$I$5:$I$92,'Daftar Koreksi'!$D$5:$D$92,'2400'!A664,'Daftar Koreksi'!$G$5:$G$92,"Jalan Irigasi Jaringan",'Daftar Koreksi'!$I$5:$I$92,"&lt;0")</f>
        <v>0</v>
      </c>
      <c r="G679" s="17">
        <f t="shared" si="30"/>
        <v>-77656770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Koreksi'!$D$5:$D$92,'2400'!A664,'Daftar Koreksi'!$G$5:$G$92,"Aset Tetap Lainnya",'Daftar Koreksi'!$I$5:$I$92,"&gt;0")</f>
        <v>0</v>
      </c>
      <c r="F680" s="25">
        <f>SUMIFS('Daftar Koreksi'!$I$5:$I$92,'Daftar Koreksi'!$D$5:$D$92,'2400'!A664,'Daftar Koreksi'!$G$5:$G$92,"Aset Tetap Lainnya",'Daftar Koreksi'!$I$5:$I$92,"&lt;0")-SUMIFS('Daftar Koreksi'!$I$5:$I$92,'Daftar Koreksi'!$D$5:$D$92,'2400'!A664,'Daftar Koreksi'!$G$5:$G$92,"Aset Tetap Lainnya",'Daftar Koreksi'!$I$5:$I$92,"&lt;0")-SUMIFS('Daftar Koreksi'!$I$5:$I$92,'Daftar Koreksi'!$D$5:$D$92,'2400'!A664,'Daftar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-222679719</v>
      </c>
      <c r="E681" s="25">
        <f>SUMIFS('Daftar Koreksi'!$I$5:$I$92,'Daftar Koreksi'!$D$5:$D$92,'2400'!A664,'Daftar Koreksi'!$G$5:$G$92,"Aset Henti Guna",'Daftar Koreksi'!$I$5:$I$92,"&gt;0")</f>
        <v>0</v>
      </c>
      <c r="F681" s="25">
        <f>SUMIFS('Daftar Koreksi'!$I$5:$I$92,'Daftar Koreksi'!$D$5:$D$92,'2400'!A664,'Daftar Koreksi'!$G$5:$G$92,"Aset Henti Guna",'Daftar Koreksi'!$I$5:$I$92,"&lt;0")-SUMIFS('Daftar Koreksi'!$I$5:$I$92,'Daftar Koreksi'!$D$5:$D$92,'2400'!A664,'Daftar Koreksi'!$G$5:$G$92,"Aset Henti Guna",'Daftar Koreksi'!$I$5:$I$92,"&lt;0")-SUMIFS('Daftar Koreksi'!$I$5:$I$92,'Daftar Koreksi'!$D$5:$D$92,'2400'!A664,'Daftar Koreksi'!$G$5:$G$92,"Aset Henti Guna",'Daftar Koreksi'!$I$5:$I$92,"&lt;0")</f>
        <v>0</v>
      </c>
      <c r="G681" s="17">
        <f t="shared" si="30"/>
        <v>-222679719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-3247775308</v>
      </c>
      <c r="E682" s="19">
        <f>SUM(E677:E681)</f>
        <v>0</v>
      </c>
      <c r="F682" s="19">
        <f>SUM(F677:F681)</f>
        <v>0</v>
      </c>
      <c r="G682" s="19">
        <f t="shared" si="30"/>
        <v>-3247775308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8502052563</v>
      </c>
      <c r="E683" s="19">
        <f>E682+E676</f>
        <v>0</v>
      </c>
      <c r="F683" s="19">
        <f>F682+F676</f>
        <v>0</v>
      </c>
      <c r="G683" s="19">
        <f t="shared" si="30"/>
        <v>8502052563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005012400673020000KD</v>
      </c>
      <c r="B686" s="11" t="str">
        <f>P32</f>
        <v>PN. Oelamasi</v>
      </c>
      <c r="C686" s="12" t="str">
        <f>A686&amp;" "&amp;B686</f>
        <v>005012400673020000KD PN. Oelamasi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1260032</v>
      </c>
      <c r="E689" s="25">
        <f>SUMIFS('Daftar Koreksi'!$H$5:$H$92,'Daftar Koreksi'!$D$5:$D$92,'2400'!A686,'Daftar Koreksi'!$G$5:$G$92,"Persediaan",'Daftar Koreksi'!$H$5:$H$92,"&gt;0")</f>
        <v>0</v>
      </c>
      <c r="F689" s="25">
        <f>SUMIFS('Daftar Koreksi'!$H$5:$H$92,'Daftar Koreksi'!$D$5:$D$92,'2400'!A686,'Daftar Koreksi'!$G$5:$G$92,"Persediaan",'Daftar Koreksi'!$H$5:$H$92,"&lt;0")-SUMIFS('Daftar Koreksi'!$H$5:$H$92,'Daftar Koreksi'!$D$5:$D$92,'2400'!A686,'Daftar Koreksi'!$G$5:$G$92,"Persediaan",'Daftar Koreksi'!$H$5:$H$92,"&lt;0")-SUMIFS('Daftar Koreksi'!$H$5:$H$92,'Daftar Koreksi'!$D$5:$D$92,'2400'!A686,'Daftar Koreksi'!$G$5:$G$92,"Persediaan",'Daftar Koreksi'!$H$5:$H$92,"&lt;0")</f>
        <v>0</v>
      </c>
      <c r="G689" s="17">
        <f>D689+E689-F689</f>
        <v>1260032</v>
      </c>
      <c r="H689" s="121" t="str">
        <f>IF(ISNA(VLOOKUP(A686,'Mutasi Neraca'!$A$3:$S$914,19,FALSE)),"-",VLOOKUP(A686,'Mutasi Neraca'!$A$3:$S$914,19,FALSE))</f>
        <v>TP. No 4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740270000</v>
      </c>
      <c r="E690" s="25">
        <f>SUMIFS('Daftar Koreksi'!$H$5:$H$92,'Daftar Koreksi'!$D$5:$D$92,'2400'!A686,'Daftar Koreksi'!$G$5:$G$92,"Tanah",'Daftar Koreksi'!$H$5:$H$92,"&gt;0")</f>
        <v>0</v>
      </c>
      <c r="F690" s="25">
        <f>SUMIFS('Daftar Koreksi'!$H$5:$H$92,'Daftar Koreksi'!$D$5:$D$92,'2400'!A686,'Daftar Koreksi'!$G$5:$G$92,"Tanah",'Daftar Koreksi'!$H$5:$H$92,"&lt;0")-SUMIFS('Daftar Koreksi'!$H$5:$H$92,'Daftar Koreksi'!$D$5:$D$92,'2400'!A686,'Daftar Koreksi'!$G$5:$G$92,"Tanah",'Daftar Koreksi'!$H$5:$H$92,"&lt;0")-SUMIFS('Daftar Koreksi'!$H$5:$H$92,'Daftar Koreksi'!$D$5:$D$92,'2400'!A686,'Daftar Koreksi'!$G$5:$G$92,"Tanah",'Daftar Koreksi'!$H$5:$H$92,"&lt;0")</f>
        <v>0</v>
      </c>
      <c r="G690" s="17">
        <f t="shared" ref="G690:G706" si="31">D690+E690-F690</f>
        <v>740270000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949932190</v>
      </c>
      <c r="E691" s="25">
        <f>SUMIFS('Daftar Koreksi'!$H$5:$H$92,'Daftar Koreksi'!$D$5:$D$92,'2400'!A686,'Daftar Koreksi'!$G$5:$G$92,"Peralatan dan mesin",'Daftar Koreksi'!$H$5:$H$92,"&gt;0")</f>
        <v>3895309</v>
      </c>
      <c r="F691" s="25">
        <f>SUMIFS('Daftar Koreksi'!$H$5:$H$92,'Daftar Koreksi'!$D$5:$D$92,'2400'!A686,'Daftar Koreksi'!$G$5:$G$92,"Peralatan dan mesin",'Daftar Koreksi'!$H$5:$H$92,"&lt;0")-SUMIFS('Daftar Koreksi'!$H$5:$H$92,'Daftar Koreksi'!$D$5:$D$92,'2400'!A686,'Daftar Koreksi'!$G$5:$G$92,"Peralatan dan mesin",'Daftar Koreksi'!$H$5:$H$92,"&lt;0")-SUMIFS('Daftar Koreksi'!$H$5:$H$92,'Daftar Koreksi'!$D$5:$D$92,'2400'!A686,'Daftar Koreksi'!$G$5:$G$92,"Peralatan dan mesin",'Daftar Koreksi'!$H$5:$H$92,"&lt;0")</f>
        <v>0</v>
      </c>
      <c r="G691" s="17">
        <f t="shared" si="31"/>
        <v>953827499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6500130198</v>
      </c>
      <c r="E692" s="25">
        <f>SUMIFS('Daftar Koreksi'!$H$5:$H$92,'Daftar Koreksi'!$D$5:$D$92,'2400'!A686,'Daftar Koreksi'!$G$5:$G$92,"Gedung dan Bangunan",'Daftar Koreksi'!$H$5:$H$92,"&gt;0")</f>
        <v>0</v>
      </c>
      <c r="F692" s="25">
        <f>SUMIFS('Daftar Koreksi'!$H$5:$H$92,'Daftar Koreksi'!$D$5:$D$92,'2400'!A686,'Daftar Koreksi'!$G$5:$G$92,"Gedung dan Bangunan",'Daftar Koreksi'!$H$5:$H$92,"&lt;0")-SUMIFS('Daftar Koreksi'!$H$5:$H$92,'Daftar Koreksi'!$D$5:$D$92,'2400'!A686,'Daftar Koreksi'!$G$5:$G$92,"Gedung dan Bangunan",'Daftar Koreksi'!$H$5:$H$92,"&lt;0")-SUMIFS('Daftar Koreksi'!$H$5:$H$92,'Daftar Koreksi'!$D$5:$D$92,'2400'!A686,'Daftar Koreksi'!$G$5:$G$92,"Gedung dan Bangunan",'Daftar Koreksi'!$H$5:$H$92,"&lt;0")</f>
        <v>0</v>
      </c>
      <c r="G692" s="17">
        <f t="shared" si="31"/>
        <v>6500130198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0</v>
      </c>
      <c r="E693" s="25">
        <f>SUMIFS('Daftar Koreksi'!$H$5:$H$92,'Daftar Koreksi'!$D$5:$D$92,'2400'!A686,'Daftar Koreksi'!$G$5:$G$92,"Jalan Irigasi Jaringan",'Daftar Koreksi'!$H$5:$H$92,"&gt;0")</f>
        <v>0</v>
      </c>
      <c r="F693" s="25">
        <f>SUMIFS('Daftar Koreksi'!$H$5:$H$92,'Daftar Koreksi'!$D$5:$D$92,'2400'!A686,'Daftar Koreksi'!$G$5:$G$92,"Jalan Irigasi Jaringan",'Daftar Koreksi'!$H$5:$H$92,"&lt;0")-SUMIFS('Daftar Koreksi'!$H$5:$H$92,'Daftar Koreksi'!$D$5:$D$92,'2400'!A686,'Daftar Koreksi'!$G$5:$G$92,"Jalan Irigasi Jaringan",'Daftar Koreksi'!$H$5:$H$92,"&lt;0")-SUMIFS('Daftar Koreksi'!$H$5:$H$92,'Daftar Koreksi'!$D$5:$D$92,'2400'!A686,'Daftar Koreksi'!$G$5:$G$92,"Jalan Irigasi Jaringan",'Daftar Koreksi'!$H$5:$H$92,"&lt;0")</f>
        <v>0</v>
      </c>
      <c r="G693" s="17">
        <f t="shared" si="31"/>
        <v>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2530400</v>
      </c>
      <c r="E694" s="25">
        <f>SUMIFS('Daftar Koreksi'!$H$5:$H$92,'Daftar Koreksi'!$D$5:$D$92,'2400'!A686,'Daftar Koreksi'!$G$5:$G$92,"Aset Tetap Lainnya",'Daftar Koreksi'!$H$5:$H$92,"&gt;0")</f>
        <v>0</v>
      </c>
      <c r="F694" s="25">
        <f>SUMIFS('Daftar Koreksi'!$H$5:$H$92,'Daftar Koreksi'!$D$5:$D$92,'2400'!A686,'Daftar Koreksi'!$G$5:$G$92,"Aset Tetap Lainnya",'Daftar Koreksi'!$H$5:$H$92,"&lt;0")-SUMIFS('Daftar Koreksi'!$H$5:$H$92,'Daftar Koreksi'!$D$5:$D$92,'2400'!A686,'Daftar Koreksi'!$G$5:$G$92,"Aset Tetap Lainnya",'Daftar Koreksi'!$H$5:$H$92,"&lt;0")-SUMIFS('Daftar Koreksi'!$H$5:$H$92,'Daftar Koreksi'!$D$5:$D$92,'2400'!A686,'Daftar Koreksi'!$G$5:$G$92,"Aset Tetap Lainnya",'Daftar Koreksi'!$H$5:$H$92,"&lt;0")</f>
        <v>0</v>
      </c>
      <c r="G694" s="17">
        <f t="shared" si="31"/>
        <v>2530400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639469000</v>
      </c>
      <c r="E695" s="25">
        <f>SUMIFS('Daftar Koreksi'!$H$5:$H$92,'Daftar Koreksi'!$D$5:$D$92,'2400'!A686,'Daftar Koreksi'!$G$5:$G$92,"Kontruksi Dalam Pengerjaan",'Daftar Koreksi'!$H$5:$H$92,"&gt;0")</f>
        <v>0</v>
      </c>
      <c r="F695" s="25">
        <f>SUMIFS('Daftar Koreksi'!$H$5:$H$92,'Daftar Koreksi'!$D$5:$D$92,'2400'!A686,'Daftar Koreksi'!$G$5:$G$92,"Kontruksi Dalam Pengerjaan",'Daftar Koreksi'!$H$5:$H$92,"&lt;0")-SUMIFS('Daftar Koreksi'!$H$5:$H$92,'Daftar Koreksi'!$D$5:$D$92,'2400'!A686,'Daftar Koreksi'!$G$5:$G$92,"Kontruksi Dalam Pengerjaan",'Daftar Koreksi'!$H$5:$H$92,"&lt;0")-SUMIFS('Daftar Koreksi'!$H$5:$H$92,'Daftar Koreksi'!$D$5:$D$92,'2400'!A686,'Daftar Koreksi'!$G$5:$G$92,"Kontruksi Dalam Pengerjaan",'Daftar Koreksi'!$H$5:$H$92,"&lt;0")</f>
        <v>0</v>
      </c>
      <c r="G695" s="17">
        <f t="shared" si="31"/>
        <v>639469000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Koreksi'!$D$5:$D$92,'2400'!A686,'Daftar Koreksi'!$G$5:$G$92,"Aset Tak Berwujud",'Daftar Koreksi'!$H$5:$H$92,"&gt;0")</f>
        <v>0</v>
      </c>
      <c r="F696" s="25">
        <f>SUMIFS('Daftar Koreksi'!$H$5:$H$92,'Daftar Koreksi'!$D$5:$D$92,'2400'!A686,'Daftar Koreksi'!$G$5:$G$92,"Aset Tak Berwujud",'Daftar Koreksi'!$H$5:$H$92,"&lt;0")-SUMIFS('Daftar Koreksi'!$H$5:$H$92,'Daftar Koreksi'!$D$5:$D$92,'2400'!A686,'Daftar Koreksi'!$G$5:$G$92,"Aset Tak Berwujud",'Daftar Koreksi'!$H$5:$H$92,"&lt;0")-SUMIFS('Daftar Koreksi'!$H$5:$H$92,'Daftar Koreksi'!$D$5:$D$92,'2400'!A686,'Daftar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0</v>
      </c>
      <c r="E697" s="25">
        <f>SUMIFS('Daftar Koreksi'!$H$5:$H$92,'Daftar Koreksi'!$D$5:$D$92,'2400'!A686,'Daftar Koreksi'!$G$5:$G$92,"Aset Henti Guna",'Daftar Koreksi'!$H$5:$H$92,"&gt;0")</f>
        <v>0</v>
      </c>
      <c r="F697" s="25">
        <f>SUMIFS('Daftar Koreksi'!$H$5:$H$92,'Daftar Koreksi'!$D$5:$D$92,'2400'!A686,'Daftar Koreksi'!$G$5:$G$92,"Aset Henti Guna",'Daftar Koreksi'!$H$5:$H$92,"&lt;0")-SUMIFS('Daftar Koreksi'!$H$5:$H$92,'Daftar Koreksi'!$D$5:$D$92,'2400'!A686,'Daftar Koreksi'!$G$5:$G$92,"Aset Henti Guna",'Daftar Koreksi'!$H$5:$H$92,"&lt;0")-SUMIFS('Daftar Koreksi'!$H$5:$H$92,'Daftar Koreksi'!$D$5:$D$92,'2400'!A686,'Daftar Koreksi'!$G$5:$G$92,"Aset Henti Guna",'Daftar Koreksi'!$H$5:$H$92,"&lt;0")</f>
        <v>0</v>
      </c>
      <c r="G697" s="17">
        <f t="shared" si="31"/>
        <v>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8833591820</v>
      </c>
      <c r="E698" s="19">
        <f>SUM(E689:E697)</f>
        <v>3895309</v>
      </c>
      <c r="F698" s="19">
        <f>SUM(F689:F697)</f>
        <v>0</v>
      </c>
      <c r="G698" s="19">
        <f t="shared" si="31"/>
        <v>8837487129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-688710071</v>
      </c>
      <c r="E699" s="25">
        <f>SUMIFS('Daftar Koreksi'!$I$5:$I$92,'Daftar Koreksi'!$D$5:$D$92,'2400'!A686,'Daftar Koreksi'!$G$5:$G$92,"Peralatan dan mesin",'Daftar Koreksi'!$I$5:$I$92,"&gt;0")</f>
        <v>0</v>
      </c>
      <c r="F699" s="25">
        <f>SUMIFS('Daftar Koreksi'!$I$5:$I$92,'Daftar Koreksi'!$D$5:$D$92,'2400'!A686,'Daftar Koreksi'!$G$5:$G$92,"Peralatan dan mesin",'Daftar Koreksi'!$I$5:$I$92,"&lt;0")-SUMIFS('Daftar Koreksi'!$I$5:$I$92,'Daftar Koreksi'!$D$5:$D$92,'2400'!A686,'Daftar Koreksi'!$G$5:$G$92,"Peralatan dan mesin",'Daftar Koreksi'!$I$5:$I$92,"&lt;0")-SUMIFS('Daftar Koreksi'!$I$5:$I$92,'Daftar Koreksi'!$D$5:$D$92,'2400'!A686,'Daftar Koreksi'!$G$5:$G$92,"Peralatan dan mesin",'Daftar Koreksi'!$I$5:$I$92,"&lt;0")</f>
        <v>389531</v>
      </c>
      <c r="G699" s="17">
        <f t="shared" si="31"/>
        <v>-689099602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-472385844</v>
      </c>
      <c r="E700" s="25">
        <f>SUMIFS('Daftar Koreksi'!$I$5:$I$92,'Daftar Koreksi'!$D$5:$D$92,'2400'!A686,'Daftar Koreksi'!$G$5:$G$92,"Gedung dan Bangunan",'Daftar Koreksi'!$I$5:$I$92,"&gt;0")</f>
        <v>0</v>
      </c>
      <c r="F700" s="25">
        <f>SUMIFS('Daftar Koreksi'!$I$5:$I$92,'Daftar Koreksi'!$D$5:$D$92,'2400'!A686,'Daftar Koreksi'!$G$5:$G$92,"Gedung dan Bangunan",'Daftar Koreksi'!$I$5:$I$92,"&lt;0")-SUMIFS('Daftar Koreksi'!$I$5:$I$92,'Daftar Koreksi'!$D$5:$D$92,'2400'!A686,'Daftar Koreksi'!$G$5:$G$92,"Gedung dan Bangunan",'Daftar Koreksi'!$I$5:$I$92,"&lt;0")-SUMIFS('Daftar Koreksi'!$I$5:$I$92,'Daftar Koreksi'!$D$5:$D$92,'2400'!A686,'Daftar Koreksi'!$G$5:$G$92,"Gedung dan Bangunan",'Daftar Koreksi'!$I$5:$I$92,"&lt;0")</f>
        <v>0</v>
      </c>
      <c r="G700" s="17">
        <f t="shared" si="31"/>
        <v>-472385844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0</v>
      </c>
      <c r="E701" s="25">
        <f>SUMIFS('Daftar Koreksi'!$I$5:$I$92,'Daftar Koreksi'!$D$5:$D$92,'2400'!A686,'Daftar Koreksi'!$G$5:$G$92,"Jalan Irigasi Jaringan",'Daftar Koreksi'!$I$5:$I$92,"&gt;0")</f>
        <v>0</v>
      </c>
      <c r="F701" s="25">
        <f>SUMIFS('Daftar Koreksi'!$I$5:$I$92,'Daftar Koreksi'!$D$5:$D$92,'2400'!A686,'Daftar Koreksi'!$G$5:$G$92,"Jalan Irigasi Jaringan",'Daftar Koreksi'!$I$5:$I$92,"&lt;0")-SUMIFS('Daftar Koreksi'!$I$5:$I$92,'Daftar Koreksi'!$D$5:$D$92,'2400'!A686,'Daftar Koreksi'!$G$5:$G$92,"Jalan Irigasi Jaringan",'Daftar Koreksi'!$I$5:$I$92,"&lt;0")-SUMIFS('Daftar Koreksi'!$I$5:$I$92,'Daftar Koreksi'!$D$5:$D$92,'2400'!A686,'Daftar Koreksi'!$G$5:$G$92,"Jalan Irigasi Jaringan",'Daftar Koreksi'!$I$5:$I$92,"&lt;0")</f>
        <v>0</v>
      </c>
      <c r="G701" s="17">
        <f t="shared" si="31"/>
        <v>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Koreksi'!$D$5:$D$92,'2400'!A686,'Daftar Koreksi'!$G$5:$G$92,"Aset Tetap Lainnya",'Daftar Koreksi'!$I$5:$I$92,"&gt;0")</f>
        <v>0</v>
      </c>
      <c r="F702" s="25">
        <f>SUMIFS('Daftar Koreksi'!$I$5:$I$92,'Daftar Koreksi'!$D$5:$D$92,'2400'!A686,'Daftar Koreksi'!$G$5:$G$92,"Aset Tetap Lainnya",'Daftar Koreksi'!$I$5:$I$92,"&lt;0")-SUMIFS('Daftar Koreksi'!$I$5:$I$92,'Daftar Koreksi'!$D$5:$D$92,'2400'!A686,'Daftar Koreksi'!$G$5:$G$92,"Aset Tetap Lainnya",'Daftar Koreksi'!$I$5:$I$92,"&lt;0")-SUMIFS('Daftar Koreksi'!$I$5:$I$92,'Daftar Koreksi'!$D$5:$D$92,'2400'!A686,'Daftar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0</v>
      </c>
      <c r="E703" s="25">
        <f>SUMIFS('Daftar Koreksi'!$I$5:$I$92,'Daftar Koreksi'!$D$5:$D$92,'2400'!A686,'Daftar Koreksi'!$G$5:$G$92,"Aset Henti Guna",'Daftar Koreksi'!$I$5:$I$92,"&gt;0")</f>
        <v>0</v>
      </c>
      <c r="F703" s="25">
        <f>SUMIFS('Daftar Koreksi'!$I$5:$I$92,'Daftar Koreksi'!$D$5:$D$92,'2400'!A686,'Daftar Koreksi'!$G$5:$G$92,"Aset Henti Guna",'Daftar Koreksi'!$I$5:$I$92,"&lt;0")-SUMIFS('Daftar Koreksi'!$I$5:$I$92,'Daftar Koreksi'!$D$5:$D$92,'2400'!A686,'Daftar Koreksi'!$G$5:$G$92,"Aset Henti Guna",'Daftar Koreksi'!$I$5:$I$92,"&lt;0")-SUMIFS('Daftar Koreksi'!$I$5:$I$92,'Daftar Koreksi'!$D$5:$D$92,'2400'!A686,'Daftar Koreksi'!$G$5:$G$92,"Aset Henti Guna",'Daftar Koreksi'!$I$5:$I$92,"&lt;0")</f>
        <v>0</v>
      </c>
      <c r="G703" s="17">
        <f t="shared" si="31"/>
        <v>0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-1161095915</v>
      </c>
      <c r="E704" s="19">
        <f>SUM(E699:E703)</f>
        <v>0</v>
      </c>
      <c r="F704" s="19">
        <f>SUM(F699:F703)</f>
        <v>389531</v>
      </c>
      <c r="G704" s="19">
        <f t="shared" si="31"/>
        <v>-1161485446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7672495905</v>
      </c>
      <c r="E705" s="19">
        <f>E704+E698</f>
        <v>3895309</v>
      </c>
      <c r="F705" s="19">
        <f>F704+F698</f>
        <v>389531</v>
      </c>
      <c r="G705" s="19">
        <f t="shared" si="31"/>
        <v>7676001683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005012400681418000KD</v>
      </c>
      <c r="B708" s="11" t="str">
        <f>P33</f>
        <v>PN. Oelamasi</v>
      </c>
      <c r="C708" s="12" t="str">
        <f>A708&amp;" "&amp;B708</f>
        <v>005012400681418000KD PN. Oelamasi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2316600</v>
      </c>
      <c r="E711" s="25">
        <f>SUMIFS('Daftar Koreksi'!$H$5:$H$92,'Daftar Koreksi'!$D$5:$D$92,'2400'!A708,'Daftar Koreksi'!$G$5:$G$92,"Persediaan",'Daftar Koreksi'!$H$5:$H$92,"&gt;0")</f>
        <v>0</v>
      </c>
      <c r="F711" s="25">
        <f>SUMIFS('Daftar Koreksi'!$H$5:$H$92,'Daftar Koreksi'!$D$5:$D$92,'2400'!A708,'Daftar Koreksi'!$G$5:$G$92,"Persediaan",'Daftar Koreksi'!$H$5:$H$92,"&lt;0")-SUMIFS('Daftar Koreksi'!$H$5:$H$92,'Daftar Koreksi'!$D$5:$D$92,'2400'!A708,'Daftar Koreksi'!$G$5:$G$92,"Persediaan",'Daftar Koreksi'!$H$5:$H$92,"&lt;0")-SUMIFS('Daftar Koreksi'!$H$5:$H$92,'Daftar Koreksi'!$D$5:$D$92,'2400'!A708,'Daftar Koreksi'!$G$5:$G$92,"Persediaan",'Daftar Koreksi'!$H$5:$H$92,"&lt;0")</f>
        <v>0</v>
      </c>
      <c r="G711" s="17">
        <f>D711+E711-F711</f>
        <v>2316600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0</v>
      </c>
      <c r="E712" s="25">
        <f>SUMIFS('Daftar Koreksi'!$H$5:$H$92,'Daftar Koreksi'!$D$5:$D$92,'2400'!A708,'Daftar Koreksi'!$G$5:$G$92,"Tanah",'Daftar Koreksi'!$H$5:$H$92,"&gt;0")</f>
        <v>0</v>
      </c>
      <c r="F712" s="25">
        <f>SUMIFS('Daftar Koreksi'!$H$5:$H$92,'Daftar Koreksi'!$D$5:$D$92,'2400'!A708,'Daftar Koreksi'!$G$5:$G$92,"Tanah",'Daftar Koreksi'!$H$5:$H$92,"&lt;0")-SUMIFS('Daftar Koreksi'!$H$5:$H$92,'Daftar Koreksi'!$D$5:$D$92,'2400'!A708,'Daftar Koreksi'!$G$5:$G$92,"Tanah",'Daftar Koreksi'!$H$5:$H$92,"&lt;0")-SUMIFS('Daftar Koreksi'!$H$5:$H$92,'Daftar Koreksi'!$D$5:$D$92,'2400'!A708,'Daftar Koreksi'!$G$5:$G$92,"Tanah",'Daftar Koreksi'!$H$5:$H$92,"&lt;0")</f>
        <v>0</v>
      </c>
      <c r="G712" s="17">
        <f t="shared" ref="G712:G728" si="32">D712+E712-F712</f>
        <v>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2452299500</v>
      </c>
      <c r="E713" s="25">
        <f>SUMIFS('Daftar Koreksi'!$H$5:$H$92,'Daftar Koreksi'!$D$5:$D$92,'2400'!A708,'Daftar Koreksi'!$G$5:$G$92,"Peralatan dan mesin",'Daftar Koreksi'!$H$5:$H$92,"&gt;0")</f>
        <v>0</v>
      </c>
      <c r="F713" s="25">
        <f>SUMIFS('Daftar Koreksi'!$H$5:$H$92,'Daftar Koreksi'!$D$5:$D$92,'2400'!A708,'Daftar Koreksi'!$G$5:$G$92,"Peralatan dan mesin",'Daftar Koreksi'!$H$5:$H$92,"&lt;0")-SUMIFS('Daftar Koreksi'!$H$5:$H$92,'Daftar Koreksi'!$D$5:$D$92,'2400'!A708,'Daftar Koreksi'!$G$5:$G$92,"Peralatan dan mesin",'Daftar Koreksi'!$H$5:$H$92,"&lt;0")-SUMIFS('Daftar Koreksi'!$H$5:$H$92,'Daftar Koreksi'!$D$5:$D$92,'2400'!A708,'Daftar Koreksi'!$G$5:$G$92,"Peralatan dan mesin",'Daftar Koreksi'!$H$5:$H$92,"&lt;0")</f>
        <v>0</v>
      </c>
      <c r="G713" s="17">
        <f t="shared" si="32"/>
        <v>2452299500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6849827900</v>
      </c>
      <c r="E714" s="25">
        <f>SUMIFS('Daftar Koreksi'!$H$5:$H$92,'Daftar Koreksi'!$D$5:$D$92,'2400'!A708,'Daftar Koreksi'!$G$5:$G$92,"Gedung dan Bangunan",'Daftar Koreksi'!$H$5:$H$92,"&gt;0")</f>
        <v>0</v>
      </c>
      <c r="F714" s="25">
        <f>SUMIFS('Daftar Koreksi'!$H$5:$H$92,'Daftar Koreksi'!$D$5:$D$92,'2400'!A708,'Daftar Koreksi'!$G$5:$G$92,"Gedung dan Bangunan",'Daftar Koreksi'!$H$5:$H$92,"&lt;0")-SUMIFS('Daftar Koreksi'!$H$5:$H$92,'Daftar Koreksi'!$D$5:$D$92,'2400'!A708,'Daftar Koreksi'!$G$5:$G$92,"Gedung dan Bangunan",'Daftar Koreksi'!$H$5:$H$92,"&lt;0")-SUMIFS('Daftar Koreksi'!$H$5:$H$92,'Daftar Koreksi'!$D$5:$D$92,'2400'!A708,'Daftar Koreksi'!$G$5:$G$92,"Gedung dan Bangunan",'Daftar Koreksi'!$H$5:$H$92,"&lt;0")</f>
        <v>0</v>
      </c>
      <c r="G714" s="17">
        <f t="shared" si="32"/>
        <v>6849827900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35625000</v>
      </c>
      <c r="E715" s="25">
        <f>SUMIFS('Daftar Koreksi'!$H$5:$H$92,'Daftar Koreksi'!$D$5:$D$92,'2400'!A708,'Daftar Koreksi'!$G$5:$G$92,"Jalan Irigasi Jaringan",'Daftar Koreksi'!$H$5:$H$92,"&gt;0")</f>
        <v>0</v>
      </c>
      <c r="F715" s="25">
        <f>SUMIFS('Daftar Koreksi'!$H$5:$H$92,'Daftar Koreksi'!$D$5:$D$92,'2400'!A708,'Daftar Koreksi'!$G$5:$G$92,"Jalan Irigasi Jaringan",'Daftar Koreksi'!$H$5:$H$92,"&lt;0")-SUMIFS('Daftar Koreksi'!$H$5:$H$92,'Daftar Koreksi'!$D$5:$D$92,'2400'!A708,'Daftar Koreksi'!$G$5:$G$92,"Jalan Irigasi Jaringan",'Daftar Koreksi'!$H$5:$H$92,"&lt;0")-SUMIFS('Daftar Koreksi'!$H$5:$H$92,'Daftar Koreksi'!$D$5:$D$92,'2400'!A708,'Daftar Koreksi'!$G$5:$G$92,"Jalan Irigasi Jaringan",'Daftar Koreksi'!$H$5:$H$92,"&lt;0")</f>
        <v>0</v>
      </c>
      <c r="G715" s="17">
        <f t="shared" si="32"/>
        <v>35625000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0</v>
      </c>
      <c r="E716" s="25">
        <f>SUMIFS('Daftar Koreksi'!$H$5:$H$92,'Daftar Koreksi'!$D$5:$D$92,'2400'!A708,'Daftar Koreksi'!$G$5:$G$92,"Aset Tetap Lainnya",'Daftar Koreksi'!$H$5:$H$92,"&gt;0")</f>
        <v>0</v>
      </c>
      <c r="F716" s="25">
        <f>SUMIFS('Daftar Koreksi'!$H$5:$H$92,'Daftar Koreksi'!$D$5:$D$92,'2400'!A708,'Daftar Koreksi'!$G$5:$G$92,"Aset Tetap Lainnya",'Daftar Koreksi'!$H$5:$H$92,"&lt;0")-SUMIFS('Daftar Koreksi'!$H$5:$H$92,'Daftar Koreksi'!$D$5:$D$92,'2400'!A708,'Daftar Koreksi'!$G$5:$G$92,"Aset Tetap Lainnya",'Daftar Koreksi'!$H$5:$H$92,"&lt;0")-SUMIFS('Daftar Koreksi'!$H$5:$H$92,'Daftar Koreksi'!$D$5:$D$92,'2400'!A708,'Daftar Koreksi'!$G$5:$G$92,"Aset Tetap Lainnya",'Daftar Koreksi'!$H$5:$H$92,"&lt;0")</f>
        <v>0</v>
      </c>
      <c r="G716" s="17">
        <f t="shared" si="32"/>
        <v>0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Koreksi'!$D$5:$D$92,'2400'!A708,'Daftar Koreksi'!$G$5:$G$92,"Kontruksi Dalam Pengerjaan",'Daftar Koreksi'!$H$5:$H$92,"&gt;0")</f>
        <v>0</v>
      </c>
      <c r="F717" s="25">
        <f>SUMIFS('Daftar Koreksi'!$H$5:$H$92,'Daftar Koreksi'!$D$5:$D$92,'2400'!A708,'Daftar Koreksi'!$G$5:$G$92,"Kontruksi Dalam Pengerjaan",'Daftar Koreksi'!$H$5:$H$92,"&lt;0")-SUMIFS('Daftar Koreksi'!$H$5:$H$92,'Daftar Koreksi'!$D$5:$D$92,'2400'!A708,'Daftar Koreksi'!$G$5:$G$92,"Kontruksi Dalam Pengerjaan",'Daftar Koreksi'!$H$5:$H$92,"&lt;0")-SUMIFS('Daftar Koreksi'!$H$5:$H$92,'Daftar Koreksi'!$D$5:$D$92,'2400'!A708,'Daftar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Koreksi'!$D$5:$D$92,'2400'!A708,'Daftar Koreksi'!$G$5:$G$92,"Aset Tak Berwujud",'Daftar Koreksi'!$H$5:$H$92,"&gt;0")</f>
        <v>0</v>
      </c>
      <c r="F718" s="25">
        <f>SUMIFS('Daftar Koreksi'!$H$5:$H$92,'Daftar Koreksi'!$D$5:$D$92,'2400'!A708,'Daftar Koreksi'!$G$5:$G$92,"Aset Tak Berwujud",'Daftar Koreksi'!$H$5:$H$92,"&lt;0")-SUMIFS('Daftar Koreksi'!$H$5:$H$92,'Daftar Koreksi'!$D$5:$D$92,'2400'!A708,'Daftar Koreksi'!$G$5:$G$92,"Aset Tak Berwujud",'Daftar Koreksi'!$H$5:$H$92,"&lt;0")-SUMIFS('Daftar Koreksi'!$H$5:$H$92,'Daftar Koreksi'!$D$5:$D$92,'2400'!A708,'Daftar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0</v>
      </c>
      <c r="E719" s="25">
        <f>SUMIFS('Daftar Koreksi'!$H$5:$H$92,'Daftar Koreksi'!$D$5:$D$92,'2400'!A708,'Daftar Koreksi'!$G$5:$G$92,"Aset Henti Guna",'Daftar Koreksi'!$H$5:$H$92,"&gt;0")</f>
        <v>0</v>
      </c>
      <c r="F719" s="25">
        <f>SUMIFS('Daftar Koreksi'!$H$5:$H$92,'Daftar Koreksi'!$D$5:$D$92,'2400'!A708,'Daftar Koreksi'!$G$5:$G$92,"Aset Henti Guna",'Daftar Koreksi'!$H$5:$H$92,"&lt;0")-SUMIFS('Daftar Koreksi'!$H$5:$H$92,'Daftar Koreksi'!$D$5:$D$92,'2400'!A708,'Daftar Koreksi'!$G$5:$G$92,"Aset Henti Guna",'Daftar Koreksi'!$H$5:$H$92,"&lt;0")-SUMIFS('Daftar Koreksi'!$H$5:$H$92,'Daftar Koreksi'!$D$5:$D$92,'2400'!A708,'Daftar Koreksi'!$G$5:$G$92,"Aset Henti Guna",'Daftar Koreksi'!$H$5:$H$92,"&lt;0")</f>
        <v>0</v>
      </c>
      <c r="G719" s="17">
        <f t="shared" si="32"/>
        <v>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9340069000</v>
      </c>
      <c r="E720" s="19">
        <f>SUM(E711:E719)</f>
        <v>0</v>
      </c>
      <c r="F720" s="19">
        <f>SUM(F711:F719)</f>
        <v>0</v>
      </c>
      <c r="G720" s="19">
        <f t="shared" si="32"/>
        <v>9340069000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-1244013055</v>
      </c>
      <c r="E721" s="25">
        <f>SUMIFS('Daftar Koreksi'!$I$5:$I$92,'Daftar Koreksi'!$D$5:$D$92,'2400'!A708,'Daftar Koreksi'!$G$5:$G$92,"Peralatan dan mesin",'Daftar Koreksi'!$I$5:$I$92,"&gt;0")</f>
        <v>0</v>
      </c>
      <c r="F721" s="25">
        <f>SUMIFS('Daftar Koreksi'!$I$5:$I$92,'Daftar Koreksi'!$D$5:$D$92,'2400'!A708,'Daftar Koreksi'!$G$5:$G$92,"Peralatan dan mesin",'Daftar Koreksi'!$I$5:$I$92,"&lt;0")-SUMIFS('Daftar Koreksi'!$I$5:$I$92,'Daftar Koreksi'!$D$5:$D$92,'2400'!A708,'Daftar Koreksi'!$G$5:$G$92,"Peralatan dan mesin",'Daftar Koreksi'!$I$5:$I$92,"&lt;0")-SUMIFS('Daftar Koreksi'!$I$5:$I$92,'Daftar Koreksi'!$D$5:$D$92,'2400'!A708,'Daftar Koreksi'!$G$5:$G$92,"Peralatan dan mesin",'Daftar Koreksi'!$I$5:$I$92,"&lt;0")</f>
        <v>0</v>
      </c>
      <c r="G721" s="17">
        <f t="shared" si="32"/>
        <v>-1244013055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-475378055</v>
      </c>
      <c r="E722" s="25">
        <f>SUMIFS('Daftar Koreksi'!$I$5:$I$92,'Daftar Koreksi'!$D$5:$D$92,'2400'!A708,'Daftar Koreksi'!$G$5:$G$92,"Gedung dan Bangunan",'Daftar Koreksi'!$I$5:$I$92,"&gt;0")</f>
        <v>0</v>
      </c>
      <c r="F722" s="25">
        <f>SUMIFS('Daftar Koreksi'!$I$5:$I$92,'Daftar Koreksi'!$D$5:$D$92,'2400'!A708,'Daftar Koreksi'!$G$5:$G$92,"Gedung dan Bangunan",'Daftar Koreksi'!$I$5:$I$92,"&lt;0")-SUMIFS('Daftar Koreksi'!$I$5:$I$92,'Daftar Koreksi'!$D$5:$D$92,'2400'!A708,'Daftar Koreksi'!$G$5:$G$92,"Gedung dan Bangunan",'Daftar Koreksi'!$I$5:$I$92,"&lt;0")-SUMIFS('Daftar Koreksi'!$I$5:$I$92,'Daftar Koreksi'!$D$5:$D$92,'2400'!A708,'Daftar Koreksi'!$G$5:$G$92,"Gedung dan Bangunan",'Daftar Koreksi'!$I$5:$I$92,"&lt;0")</f>
        <v>0</v>
      </c>
      <c r="G722" s="17">
        <f t="shared" si="32"/>
        <v>-475378055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-2226563</v>
      </c>
      <c r="E723" s="25">
        <f>SUMIFS('Daftar Koreksi'!$I$5:$I$92,'Daftar Koreksi'!$D$5:$D$92,'2400'!A708,'Daftar Koreksi'!$G$5:$G$92,"Jalan Irigasi Jaringan",'Daftar Koreksi'!$I$5:$I$92,"&gt;0")</f>
        <v>0</v>
      </c>
      <c r="F723" s="25">
        <f>SUMIFS('Daftar Koreksi'!$I$5:$I$92,'Daftar Koreksi'!$D$5:$D$92,'2400'!A708,'Daftar Koreksi'!$G$5:$G$92,"Jalan Irigasi Jaringan",'Daftar Koreksi'!$I$5:$I$92,"&lt;0")-SUMIFS('Daftar Koreksi'!$I$5:$I$92,'Daftar Koreksi'!$D$5:$D$92,'2400'!A708,'Daftar Koreksi'!$G$5:$G$92,"Jalan Irigasi Jaringan",'Daftar Koreksi'!$I$5:$I$92,"&lt;0")-SUMIFS('Daftar Koreksi'!$I$5:$I$92,'Daftar Koreksi'!$D$5:$D$92,'2400'!A708,'Daftar Koreksi'!$G$5:$G$92,"Jalan Irigasi Jaringan",'Daftar Koreksi'!$I$5:$I$92,"&lt;0")</f>
        <v>0</v>
      </c>
      <c r="G723" s="17">
        <f t="shared" si="32"/>
        <v>-2226563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Koreksi'!$D$5:$D$92,'2400'!A708,'Daftar Koreksi'!$G$5:$G$92,"Aset Tetap Lainnya",'Daftar Koreksi'!$I$5:$I$92,"&gt;0")</f>
        <v>0</v>
      </c>
      <c r="F724" s="25">
        <f>SUMIFS('Daftar Koreksi'!$I$5:$I$92,'Daftar Koreksi'!$D$5:$D$92,'2400'!A708,'Daftar Koreksi'!$G$5:$G$92,"Aset Tetap Lainnya",'Daftar Koreksi'!$I$5:$I$92,"&lt;0")-SUMIFS('Daftar Koreksi'!$I$5:$I$92,'Daftar Koreksi'!$D$5:$D$92,'2400'!A708,'Daftar Koreksi'!$G$5:$G$92,"Aset Tetap Lainnya",'Daftar Koreksi'!$I$5:$I$92,"&lt;0")-SUMIFS('Daftar Koreksi'!$I$5:$I$92,'Daftar Koreksi'!$D$5:$D$92,'2400'!A708,'Daftar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0</v>
      </c>
      <c r="E725" s="25">
        <f>SUMIFS('Daftar Koreksi'!$I$5:$I$92,'Daftar Koreksi'!$D$5:$D$92,'2400'!A708,'Daftar Koreksi'!$G$5:$G$92,"Aset Henti Guna",'Daftar Koreksi'!$I$5:$I$92,"&gt;0")</f>
        <v>0</v>
      </c>
      <c r="F725" s="25">
        <f>SUMIFS('Daftar Koreksi'!$I$5:$I$92,'Daftar Koreksi'!$D$5:$D$92,'2400'!A708,'Daftar Koreksi'!$G$5:$G$92,"Aset Henti Guna",'Daftar Koreksi'!$I$5:$I$92,"&lt;0")-SUMIFS('Daftar Koreksi'!$I$5:$I$92,'Daftar Koreksi'!$D$5:$D$92,'2400'!A708,'Daftar Koreksi'!$G$5:$G$92,"Aset Henti Guna",'Daftar Koreksi'!$I$5:$I$92,"&lt;0")-SUMIFS('Daftar Koreksi'!$I$5:$I$92,'Daftar Koreksi'!$D$5:$D$92,'2400'!A708,'Daftar Koreksi'!$G$5:$G$92,"Aset Henti Guna",'Daftar Koreksi'!$I$5:$I$92,"&lt;0")</f>
        <v>0</v>
      </c>
      <c r="G725" s="17">
        <f t="shared" si="32"/>
        <v>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-1721617673</v>
      </c>
      <c r="E726" s="19">
        <f>SUM(E721:E725)</f>
        <v>0</v>
      </c>
      <c r="F726" s="19">
        <f>SUM(F721:F725)</f>
        <v>0</v>
      </c>
      <c r="G726" s="19">
        <f t="shared" si="32"/>
        <v>-1721617673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7618451327</v>
      </c>
      <c r="E727" s="19">
        <f>E726+E720</f>
        <v>0</v>
      </c>
      <c r="F727" s="19">
        <f>F726+F720</f>
        <v>0</v>
      </c>
      <c r="G727" s="19">
        <f t="shared" si="32"/>
        <v>7618451327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005012400682281000KD</v>
      </c>
      <c r="B730" s="11" t="str">
        <f>P34</f>
        <v>PA. Labuan Bajo</v>
      </c>
      <c r="C730" s="12" t="str">
        <f>A730&amp;" "&amp;B730</f>
        <v>005012400682281000KD PA. Labuan Bajo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407000</v>
      </c>
      <c r="E733" s="25">
        <f>SUMIFS('Daftar Koreksi'!$H$5:$H$92,'Daftar Koreksi'!$D$5:$D$92,'2400'!A730,'Daftar Koreksi'!$G$5:$G$92,"Persediaan",'Daftar Koreksi'!$H$5:$H$92,"&gt;0")</f>
        <v>0</v>
      </c>
      <c r="F733" s="25">
        <f>SUMIFS('Daftar Koreksi'!$H$5:$H$92,'Daftar Koreksi'!$D$5:$D$92,'2400'!A730,'Daftar Koreksi'!$G$5:$G$92,"Persediaan",'Daftar Koreksi'!$H$5:$H$92,"&lt;0")-SUMIFS('Daftar Koreksi'!$H$5:$H$92,'Daftar Koreksi'!$D$5:$D$92,'2400'!A730,'Daftar Koreksi'!$G$5:$G$92,"Persediaan",'Daftar Koreksi'!$H$5:$H$92,"&lt;0")-SUMIFS('Daftar Koreksi'!$H$5:$H$92,'Daftar Koreksi'!$D$5:$D$92,'2400'!A730,'Daftar Koreksi'!$G$5:$G$92,"Persediaan",'Daftar Koreksi'!$H$5:$H$92,"&lt;0")</f>
        <v>0</v>
      </c>
      <c r="G733" s="17">
        <f>D733+E733-F733</f>
        <v>407000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1004500000</v>
      </c>
      <c r="E734" s="25">
        <f>SUMIFS('Daftar Koreksi'!$H$5:$H$92,'Daftar Koreksi'!$D$5:$D$92,'2400'!A730,'Daftar Koreksi'!$G$5:$G$92,"Tanah",'Daftar Koreksi'!$H$5:$H$92,"&gt;0")</f>
        <v>0</v>
      </c>
      <c r="F734" s="25">
        <f>SUMIFS('Daftar Koreksi'!$H$5:$H$92,'Daftar Koreksi'!$D$5:$D$92,'2400'!A730,'Daftar Koreksi'!$G$5:$G$92,"Tanah",'Daftar Koreksi'!$H$5:$H$92,"&lt;0")-SUMIFS('Daftar Koreksi'!$H$5:$H$92,'Daftar Koreksi'!$D$5:$D$92,'2400'!A730,'Daftar Koreksi'!$G$5:$G$92,"Tanah",'Daftar Koreksi'!$H$5:$H$92,"&lt;0")-SUMIFS('Daftar Koreksi'!$H$5:$H$92,'Daftar Koreksi'!$D$5:$D$92,'2400'!A730,'Daftar Koreksi'!$G$5:$G$92,"Tanah",'Daftar Koreksi'!$H$5:$H$92,"&lt;0")</f>
        <v>0</v>
      </c>
      <c r="G734" s="17">
        <f t="shared" ref="G734:G750" si="33">D734+E734-F734</f>
        <v>1004500000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748315300</v>
      </c>
      <c r="E735" s="25">
        <f>SUMIFS('Daftar Koreksi'!$H$5:$H$92,'Daftar Koreksi'!$D$5:$D$92,'2400'!A730,'Daftar Koreksi'!$G$5:$G$92,"Peralatan dan mesin",'Daftar Koreksi'!$H$5:$H$92,"&gt;0")</f>
        <v>0</v>
      </c>
      <c r="F735" s="25">
        <f>SUMIFS('Daftar Koreksi'!$H$5:$H$92,'Daftar Koreksi'!$D$5:$D$92,'2400'!A730,'Daftar Koreksi'!$G$5:$G$92,"Peralatan dan mesin",'Daftar Koreksi'!$H$5:$H$92,"&lt;0")-SUMIFS('Daftar Koreksi'!$H$5:$H$92,'Daftar Koreksi'!$D$5:$D$92,'2400'!A730,'Daftar Koreksi'!$G$5:$G$92,"Peralatan dan mesin",'Daftar Koreksi'!$H$5:$H$92,"&lt;0")-SUMIFS('Daftar Koreksi'!$H$5:$H$92,'Daftar Koreksi'!$D$5:$D$92,'2400'!A730,'Daftar Koreksi'!$G$5:$G$92,"Peralatan dan mesin",'Daftar Koreksi'!$H$5:$H$92,"&lt;0")</f>
        <v>0</v>
      </c>
      <c r="G735" s="17">
        <f t="shared" si="33"/>
        <v>748315300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9901279316</v>
      </c>
      <c r="E736" s="25">
        <f>SUMIFS('Daftar Koreksi'!$H$5:$H$92,'Daftar Koreksi'!$D$5:$D$92,'2400'!A730,'Daftar Koreksi'!$G$5:$G$92,"Gedung dan Bangunan",'Daftar Koreksi'!$H$5:$H$92,"&gt;0")</f>
        <v>0</v>
      </c>
      <c r="F736" s="25">
        <f>SUMIFS('Daftar Koreksi'!$H$5:$H$92,'Daftar Koreksi'!$D$5:$D$92,'2400'!A730,'Daftar Koreksi'!$G$5:$G$92,"Gedung dan Bangunan",'Daftar Koreksi'!$H$5:$H$92,"&lt;0")-SUMIFS('Daftar Koreksi'!$H$5:$H$92,'Daftar Koreksi'!$D$5:$D$92,'2400'!A730,'Daftar Koreksi'!$G$5:$G$92,"Gedung dan Bangunan",'Daftar Koreksi'!$H$5:$H$92,"&lt;0")-SUMIFS('Daftar Koreksi'!$H$5:$H$92,'Daftar Koreksi'!$D$5:$D$92,'2400'!A730,'Daftar Koreksi'!$G$5:$G$92,"Gedung dan Bangunan",'Daftar Koreksi'!$H$5:$H$92,"&lt;0")</f>
        <v>0</v>
      </c>
      <c r="G736" s="17">
        <f t="shared" si="33"/>
        <v>9901279316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0</v>
      </c>
      <c r="E737" s="25">
        <f>SUMIFS('Daftar Koreksi'!$H$5:$H$92,'Daftar Koreksi'!$D$5:$D$92,'2400'!A730,'Daftar Koreksi'!$G$5:$G$92,"Jalan Irigasi Jaringan",'Daftar Koreksi'!$H$5:$H$92,"&gt;0")</f>
        <v>0</v>
      </c>
      <c r="F737" s="25">
        <f>SUMIFS('Daftar Koreksi'!$H$5:$H$92,'Daftar Koreksi'!$D$5:$D$92,'2400'!A730,'Daftar Koreksi'!$G$5:$G$92,"Jalan Irigasi Jaringan",'Daftar Koreksi'!$H$5:$H$92,"&lt;0")-SUMIFS('Daftar Koreksi'!$H$5:$H$92,'Daftar Koreksi'!$D$5:$D$92,'2400'!A730,'Daftar Koreksi'!$G$5:$G$92,"Jalan Irigasi Jaringan",'Daftar Koreksi'!$H$5:$H$92,"&lt;0")-SUMIFS('Daftar Koreksi'!$H$5:$H$92,'Daftar Koreksi'!$D$5:$D$92,'2400'!A730,'Daftar Koreksi'!$G$5:$G$92,"Jalan Irigasi Jaringan",'Daftar Koreksi'!$H$5:$H$92,"&lt;0")</f>
        <v>0</v>
      </c>
      <c r="G737" s="17">
        <f t="shared" si="33"/>
        <v>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1512570</v>
      </c>
      <c r="E738" s="25">
        <f>SUMIFS('Daftar Koreksi'!$H$5:$H$92,'Daftar Koreksi'!$D$5:$D$92,'2400'!A730,'Daftar Koreksi'!$G$5:$G$92,"Aset Tetap Lainnya",'Daftar Koreksi'!$H$5:$H$92,"&gt;0")</f>
        <v>0</v>
      </c>
      <c r="F738" s="25">
        <f>SUMIFS('Daftar Koreksi'!$H$5:$H$92,'Daftar Koreksi'!$D$5:$D$92,'2400'!A730,'Daftar Koreksi'!$G$5:$G$92,"Aset Tetap Lainnya",'Daftar Koreksi'!$H$5:$H$92,"&lt;0")-SUMIFS('Daftar Koreksi'!$H$5:$H$92,'Daftar Koreksi'!$D$5:$D$92,'2400'!A730,'Daftar Koreksi'!$G$5:$G$92,"Aset Tetap Lainnya",'Daftar Koreksi'!$H$5:$H$92,"&lt;0")-SUMIFS('Daftar Koreksi'!$H$5:$H$92,'Daftar Koreksi'!$D$5:$D$92,'2400'!A730,'Daftar Koreksi'!$G$5:$G$92,"Aset Tetap Lainnya",'Daftar Koreksi'!$H$5:$H$92,"&lt;0")</f>
        <v>0</v>
      </c>
      <c r="G738" s="17">
        <f t="shared" si="33"/>
        <v>1512570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Koreksi'!$D$5:$D$92,'2400'!A730,'Daftar Koreksi'!$G$5:$G$92,"Kontruksi Dalam Pengerjaan",'Daftar Koreksi'!$H$5:$H$92,"&gt;0")</f>
        <v>0</v>
      </c>
      <c r="F739" s="25">
        <f>SUMIFS('Daftar Koreksi'!$H$5:$H$92,'Daftar Koreksi'!$D$5:$D$92,'2400'!A730,'Daftar Koreksi'!$G$5:$G$92,"Kontruksi Dalam Pengerjaan",'Daftar Koreksi'!$H$5:$H$92,"&lt;0")-SUMIFS('Daftar Koreksi'!$H$5:$H$92,'Daftar Koreksi'!$D$5:$D$92,'2400'!A730,'Daftar Koreksi'!$G$5:$G$92,"Kontruksi Dalam Pengerjaan",'Daftar Koreksi'!$H$5:$H$92,"&lt;0")-SUMIFS('Daftar Koreksi'!$H$5:$H$92,'Daftar Koreksi'!$D$5:$D$92,'2400'!A730,'Daftar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0</v>
      </c>
      <c r="E740" s="25">
        <f>SUMIFS('Daftar Koreksi'!$H$5:$H$92,'Daftar Koreksi'!$D$5:$D$92,'2400'!A730,'Daftar Koreksi'!$G$5:$G$92,"Aset Tak Berwujud",'Daftar Koreksi'!$H$5:$H$92,"&gt;0")</f>
        <v>0</v>
      </c>
      <c r="F740" s="25">
        <f>SUMIFS('Daftar Koreksi'!$H$5:$H$92,'Daftar Koreksi'!$D$5:$D$92,'2400'!A730,'Daftar Koreksi'!$G$5:$G$92,"Aset Tak Berwujud",'Daftar Koreksi'!$H$5:$H$92,"&lt;0")-SUMIFS('Daftar Koreksi'!$H$5:$H$92,'Daftar Koreksi'!$D$5:$D$92,'2400'!A730,'Daftar Koreksi'!$G$5:$G$92,"Aset Tak Berwujud",'Daftar Koreksi'!$H$5:$H$92,"&lt;0")-SUMIFS('Daftar Koreksi'!$H$5:$H$92,'Daftar Koreksi'!$D$5:$D$92,'2400'!A730,'Daftar Koreksi'!$G$5:$G$92,"Aset Tak Berwujud",'Daftar Koreksi'!$H$5:$H$92,"&lt;0")</f>
        <v>0</v>
      </c>
      <c r="G740" s="17">
        <f t="shared" si="33"/>
        <v>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12500000</v>
      </c>
      <c r="E741" s="25">
        <f>SUMIFS('Daftar Koreksi'!$H$5:$H$92,'Daftar Koreksi'!$D$5:$D$92,'2400'!A730,'Daftar Koreksi'!$G$5:$G$92,"Aset Henti Guna",'Daftar Koreksi'!$H$5:$H$92,"&gt;0")</f>
        <v>0</v>
      </c>
      <c r="F741" s="25">
        <f>SUMIFS('Daftar Koreksi'!$H$5:$H$92,'Daftar Koreksi'!$D$5:$D$92,'2400'!A730,'Daftar Koreksi'!$G$5:$G$92,"Aset Henti Guna",'Daftar Koreksi'!$H$5:$H$92,"&lt;0")-SUMIFS('Daftar Koreksi'!$H$5:$H$92,'Daftar Koreksi'!$D$5:$D$92,'2400'!A730,'Daftar Koreksi'!$G$5:$G$92,"Aset Henti Guna",'Daftar Koreksi'!$H$5:$H$92,"&lt;0")-SUMIFS('Daftar Koreksi'!$H$5:$H$92,'Daftar Koreksi'!$D$5:$D$92,'2400'!A730,'Daftar Koreksi'!$G$5:$G$92,"Aset Henti Guna",'Daftar Koreksi'!$H$5:$H$92,"&lt;0")</f>
        <v>0</v>
      </c>
      <c r="G741" s="17">
        <f t="shared" si="33"/>
        <v>12500000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11668514186</v>
      </c>
      <c r="E742" s="19">
        <f>SUM(E733:E741)</f>
        <v>0</v>
      </c>
      <c r="F742" s="19">
        <f>SUM(F733:F741)</f>
        <v>0</v>
      </c>
      <c r="G742" s="19">
        <f t="shared" si="33"/>
        <v>11668514186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-447644492</v>
      </c>
      <c r="E743" s="25">
        <f>SUMIFS('Daftar Koreksi'!$I$5:$I$92,'Daftar Koreksi'!$D$5:$D$92,'2400'!A730,'Daftar Koreksi'!$G$5:$G$92,"Peralatan dan mesin",'Daftar Koreksi'!$I$5:$I$92,"&gt;0")</f>
        <v>0</v>
      </c>
      <c r="F743" s="25">
        <f>SUMIFS('Daftar Koreksi'!$I$5:$I$92,'Daftar Koreksi'!$D$5:$D$92,'2400'!A730,'Daftar Koreksi'!$G$5:$G$92,"Peralatan dan mesin",'Daftar Koreksi'!$I$5:$I$92,"&lt;0")-SUMIFS('Daftar Koreksi'!$I$5:$I$92,'Daftar Koreksi'!$D$5:$D$92,'2400'!A730,'Daftar Koreksi'!$G$5:$G$92,"Peralatan dan mesin",'Daftar Koreksi'!$I$5:$I$92,"&lt;0")-SUMIFS('Daftar Koreksi'!$I$5:$I$92,'Daftar Koreksi'!$D$5:$D$92,'2400'!A730,'Daftar Koreksi'!$G$5:$G$92,"Peralatan dan mesin",'Daftar Koreksi'!$I$5:$I$92,"&lt;0")</f>
        <v>0</v>
      </c>
      <c r="G743" s="17">
        <f t="shared" si="33"/>
        <v>-447644492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-105538893</v>
      </c>
      <c r="E744" s="25">
        <f>SUMIFS('Daftar Koreksi'!$I$5:$I$92,'Daftar Koreksi'!$D$5:$D$92,'2400'!A730,'Daftar Koreksi'!$G$5:$G$92,"Gedung dan Bangunan",'Daftar Koreksi'!$I$5:$I$92,"&gt;0")</f>
        <v>0</v>
      </c>
      <c r="F744" s="25">
        <f>SUMIFS('Daftar Koreksi'!$I$5:$I$92,'Daftar Koreksi'!$D$5:$D$92,'2400'!A730,'Daftar Koreksi'!$G$5:$G$92,"Gedung dan Bangunan",'Daftar Koreksi'!$I$5:$I$92,"&lt;0")-SUMIFS('Daftar Koreksi'!$I$5:$I$92,'Daftar Koreksi'!$D$5:$D$92,'2400'!A730,'Daftar Koreksi'!$G$5:$G$92,"Gedung dan Bangunan",'Daftar Koreksi'!$I$5:$I$92,"&lt;0")-SUMIFS('Daftar Koreksi'!$I$5:$I$92,'Daftar Koreksi'!$D$5:$D$92,'2400'!A730,'Daftar Koreksi'!$G$5:$G$92,"Gedung dan Bangunan",'Daftar Koreksi'!$I$5:$I$92,"&lt;0")</f>
        <v>0</v>
      </c>
      <c r="G744" s="17">
        <f t="shared" si="33"/>
        <v>-105538893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0</v>
      </c>
      <c r="E745" s="25">
        <f>SUMIFS('Daftar Koreksi'!$I$5:$I$92,'Daftar Koreksi'!$D$5:$D$92,'2400'!A730,'Daftar Koreksi'!$G$5:$G$92,"Jalan Irigasi Jaringan",'Daftar Koreksi'!$I$5:$I$92,"&gt;0")</f>
        <v>0</v>
      </c>
      <c r="F745" s="25">
        <f>SUMIFS('Daftar Koreksi'!$I$5:$I$92,'Daftar Koreksi'!$D$5:$D$92,'2400'!A730,'Daftar Koreksi'!$G$5:$G$92,"Jalan Irigasi Jaringan",'Daftar Koreksi'!$I$5:$I$92,"&lt;0")-SUMIFS('Daftar Koreksi'!$I$5:$I$92,'Daftar Koreksi'!$D$5:$D$92,'2400'!A730,'Daftar Koreksi'!$G$5:$G$92,"Jalan Irigasi Jaringan",'Daftar Koreksi'!$I$5:$I$92,"&lt;0")-SUMIFS('Daftar Koreksi'!$I$5:$I$92,'Daftar Koreksi'!$D$5:$D$92,'2400'!A730,'Daftar Koreksi'!$G$5:$G$92,"Jalan Irigasi Jaringan",'Daftar Koreksi'!$I$5:$I$92,"&lt;0")</f>
        <v>0</v>
      </c>
      <c r="G745" s="17">
        <f t="shared" si="33"/>
        <v>0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Koreksi'!$D$5:$D$92,'2400'!A730,'Daftar Koreksi'!$G$5:$G$92,"Aset Tetap Lainnya",'Daftar Koreksi'!$I$5:$I$92,"&gt;0")</f>
        <v>0</v>
      </c>
      <c r="F746" s="25">
        <f>SUMIFS('Daftar Koreksi'!$I$5:$I$92,'Daftar Koreksi'!$D$5:$D$92,'2400'!A730,'Daftar Koreksi'!$G$5:$G$92,"Aset Tetap Lainnya",'Daftar Koreksi'!$I$5:$I$92,"&lt;0")-SUMIFS('Daftar Koreksi'!$I$5:$I$92,'Daftar Koreksi'!$D$5:$D$92,'2400'!A730,'Daftar Koreksi'!$G$5:$G$92,"Aset Tetap Lainnya",'Daftar Koreksi'!$I$5:$I$92,"&lt;0")-SUMIFS('Daftar Koreksi'!$I$5:$I$92,'Daftar Koreksi'!$D$5:$D$92,'2400'!A730,'Daftar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-12500000</v>
      </c>
      <c r="E747" s="25">
        <f>SUMIFS('Daftar Koreksi'!$I$5:$I$92,'Daftar Koreksi'!$D$5:$D$92,'2400'!A730,'Daftar Koreksi'!$G$5:$G$92,"Aset Henti Guna",'Daftar Koreksi'!$I$5:$I$92,"&gt;0")</f>
        <v>0</v>
      </c>
      <c r="F747" s="25">
        <f>SUMIFS('Daftar Koreksi'!$I$5:$I$92,'Daftar Koreksi'!$D$5:$D$92,'2400'!A730,'Daftar Koreksi'!$G$5:$G$92,"Aset Henti Guna",'Daftar Koreksi'!$I$5:$I$92,"&lt;0")-SUMIFS('Daftar Koreksi'!$I$5:$I$92,'Daftar Koreksi'!$D$5:$D$92,'2400'!A730,'Daftar Koreksi'!$G$5:$G$92,"Aset Henti Guna",'Daftar Koreksi'!$I$5:$I$92,"&lt;0")-SUMIFS('Daftar Koreksi'!$I$5:$I$92,'Daftar Koreksi'!$D$5:$D$92,'2400'!A730,'Daftar Koreksi'!$G$5:$G$92,"Aset Henti Guna",'Daftar Koreksi'!$I$5:$I$92,"&lt;0")</f>
        <v>0</v>
      </c>
      <c r="G747" s="17">
        <f t="shared" si="33"/>
        <v>-12500000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-565683385</v>
      </c>
      <c r="E748" s="19">
        <f>SUM(E743:E747)</f>
        <v>0</v>
      </c>
      <c r="F748" s="19">
        <f>SUM(F743:F747)</f>
        <v>0</v>
      </c>
      <c r="G748" s="19">
        <f t="shared" si="33"/>
        <v>-565683385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11102830801</v>
      </c>
      <c r="E749" s="19">
        <f>E748+E742</f>
        <v>0</v>
      </c>
      <c r="F749" s="19">
        <f>F748+F742</f>
        <v>0</v>
      </c>
      <c r="G749" s="19">
        <f t="shared" si="33"/>
        <v>11102830801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</sheetData>
  <mergeCells count="204">
    <mergeCell ref="H689:H706"/>
    <mergeCell ref="H711:H728"/>
    <mergeCell ref="H733:H750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46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7.5703125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730</v>
      </c>
      <c r="P1" s="8" t="s">
        <v>1866</v>
      </c>
    </row>
    <row r="2" spans="1:16" ht="19.5" customHeight="1">
      <c r="C2" s="9" t="s">
        <v>2121</v>
      </c>
      <c r="O2" s="8" t="s">
        <v>731</v>
      </c>
      <c r="P2" s="8" t="s">
        <v>1867</v>
      </c>
    </row>
    <row r="3" spans="1:16" ht="19.5" customHeight="1">
      <c r="O3" s="8" t="s">
        <v>732</v>
      </c>
      <c r="P3" s="8" t="s">
        <v>1868</v>
      </c>
    </row>
    <row r="4" spans="1:16" ht="19.5" customHeight="1">
      <c r="A4" s="11" t="str">
        <f>O1</f>
        <v>005012500400022000KD</v>
      </c>
      <c r="B4" s="11" t="str">
        <f>P1</f>
        <v>PT. Jayapura</v>
      </c>
      <c r="C4" s="12" t="str">
        <f>A4&amp;" "&amp;B4</f>
        <v>005012500400022000KD PT. Jayapura</v>
      </c>
      <c r="D4" s="13"/>
      <c r="E4" s="13"/>
      <c r="F4" s="13"/>
      <c r="G4" s="13"/>
      <c r="H4" s="11"/>
      <c r="O4" s="8" t="s">
        <v>733</v>
      </c>
      <c r="P4" s="8" t="s">
        <v>1869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734</v>
      </c>
      <c r="P5" s="8" t="s">
        <v>1870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735</v>
      </c>
      <c r="P6" s="8" t="s">
        <v>1871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2525465</v>
      </c>
      <c r="E7" s="25">
        <f>SUMIFS('Daftar Koreksi'!$H$5:$H$92,'Daftar Koreksi'!$D$5:$D$92,'2500'!A4,'Daftar Koreksi'!$G$5:$G$92,"Persediaan",'Daftar Koreksi'!$H$5:$H$92,"&gt;0")</f>
        <v>0</v>
      </c>
      <c r="F7" s="25">
        <f>SUMIFS('Daftar Koreksi'!$H$5:$H$92,'Daftar Koreksi'!$D$5:$D$92,'2500'!A4,'Daftar Koreksi'!$G$5:$G$92,"Persediaan",'Daftar Koreksi'!$H$5:$H$92,"&lt;0")-SUMIFS('Daftar Koreksi'!$H$5:$H$92,'Daftar Koreksi'!$D$5:$D$92,'2500'!A4,'Daftar Koreksi'!$G$5:$G$92,"Persediaan",'Daftar Koreksi'!$H$5:$H$92,"&lt;0")-SUMIFS('Daftar Koreksi'!$H$5:$H$92,'Daftar Koreksi'!$D$5:$D$92,'2500'!A4,'Daftar Koreksi'!$G$5:$G$92,"Persediaan",'Daftar Koreksi'!$H$5:$H$92,"&lt;0")</f>
        <v>0</v>
      </c>
      <c r="G7" s="17">
        <f>D7+E7-F7</f>
        <v>2525465</v>
      </c>
      <c r="H7" s="121" t="str">
        <f>IF(ISNA(VLOOKUP(A4,'Mutasi Neraca'!$A$3:$S$914,19,FALSE)),"-",VLOOKUP(A4,'Mutasi Neraca'!$A$3:$S$914,19,FALSE))</f>
        <v>-</v>
      </c>
      <c r="O7" s="8" t="s">
        <v>736</v>
      </c>
      <c r="P7" s="8" t="s">
        <v>1872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2736775000</v>
      </c>
      <c r="E8" s="25">
        <f>SUMIFS('Daftar Koreksi'!$H$5:$H$92,'Daftar Koreksi'!$D$5:$D$92,'2500'!A4,'Daftar Koreksi'!$G$5:$G$92,"Tanah",'Daftar Koreksi'!$H$5:$H$92,"&gt;0")</f>
        <v>0</v>
      </c>
      <c r="F8" s="25">
        <f>SUMIFS('Daftar Koreksi'!$H$5:$H$92,'Daftar Koreksi'!$D$5:$D$92,'2500'!A4,'Daftar Koreksi'!$G$5:$G$92,"Tanah",'Daftar Koreksi'!$H$5:$H$92,"&lt;0")-SUMIFS('Daftar Koreksi'!$H$5:$H$92,'Daftar Koreksi'!$D$5:$D$92,'2500'!A4,'Daftar Koreksi'!$G$5:$G$92,"Tanah",'Daftar Koreksi'!$H$5:$H$92,"&lt;0")-SUMIFS('Daftar Koreksi'!$H$5:$H$92,'Daftar Koreksi'!$D$5:$D$92,'2500'!A4,'Daftar Koreksi'!$G$5:$G$92,"Tanah",'Daftar Koreksi'!$H$5:$H$92,"&lt;0")</f>
        <v>0</v>
      </c>
      <c r="G8" s="17">
        <f t="shared" ref="G8:G24" si="0">D8+E8-F8</f>
        <v>2736775000</v>
      </c>
      <c r="H8" s="122"/>
      <c r="O8" s="8" t="s">
        <v>737</v>
      </c>
      <c r="P8" s="8" t="s">
        <v>1873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4517854021</v>
      </c>
      <c r="E9" s="25">
        <f>SUMIFS('Daftar Koreksi'!$H$5:$H$92,'Daftar Koreksi'!$D$5:$D$92,'2500'!A4,'Daftar Koreksi'!$G$5:$G$92,"Peralatan dan mesin",'Daftar Koreksi'!$H$5:$H$92,"&gt;0")</f>
        <v>0</v>
      </c>
      <c r="F9" s="25">
        <f>SUMIFS('Daftar Koreksi'!$H$5:$H$92,'Daftar Koreksi'!$D$5:$D$92,'2500'!A4,'Daftar Koreksi'!$G$5:$G$92,"Peralatan dan mesin",'Daftar Koreksi'!$H$5:$H$92,"&lt;0")-SUMIFS('Daftar Koreksi'!$H$5:$H$92,'Daftar Koreksi'!$D$5:$D$92,'2500'!A4,'Daftar Koreksi'!$G$5:$G$92,"Peralatan dan mesin",'Daftar Koreksi'!$H$5:$H$92,"&lt;0")-SUMIFS('Daftar Koreksi'!$H$5:$H$92,'Daftar Koreksi'!$D$5:$D$92,'2500'!A4,'Daftar Koreksi'!$G$5:$G$92,"Peralatan dan mesin",'Daftar Koreksi'!$H$5:$H$92,"&lt;0")</f>
        <v>0</v>
      </c>
      <c r="G9" s="17">
        <f t="shared" si="0"/>
        <v>4517854021</v>
      </c>
      <c r="H9" s="122"/>
      <c r="O9" s="8" t="s">
        <v>738</v>
      </c>
      <c r="P9" s="8" t="s">
        <v>1874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17590253640</v>
      </c>
      <c r="E10" s="25">
        <f>SUMIFS('Daftar Koreksi'!$H$5:$H$92,'Daftar Koreksi'!$D$5:$D$92,'2500'!A4,'Daftar Koreksi'!$G$5:$G$92,"Gedung dan Bangunan",'Daftar Koreksi'!$H$5:$H$92,"&gt;0")</f>
        <v>0</v>
      </c>
      <c r="F10" s="25">
        <f>SUMIFS('Daftar Koreksi'!$H$5:$H$92,'Daftar Koreksi'!$D$5:$D$92,'2500'!A4,'Daftar Koreksi'!$G$5:$G$92,"Gedung dan Bangunan",'Daftar Koreksi'!$H$5:$H$92,"&lt;0")-SUMIFS('Daftar Koreksi'!$H$5:$H$92,'Daftar Koreksi'!$D$5:$D$92,'2500'!A4,'Daftar Koreksi'!$G$5:$G$92,"Gedung dan Bangunan",'Daftar Koreksi'!$H$5:$H$92,"&lt;0")-SUMIFS('Daftar Koreksi'!$H$5:$H$92,'Daftar Koreksi'!$D$5:$D$92,'2500'!A4,'Daftar Koreksi'!$G$5:$G$92,"Gedung dan Bangunan",'Daftar Koreksi'!$H$5:$H$92,"&lt;0")</f>
        <v>0</v>
      </c>
      <c r="G10" s="17">
        <f t="shared" si="0"/>
        <v>17590253640</v>
      </c>
      <c r="H10" s="122"/>
      <c r="O10" s="8" t="s">
        <v>739</v>
      </c>
      <c r="P10" s="8" t="s">
        <v>1875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124167970</v>
      </c>
      <c r="E11" s="25">
        <f>SUMIFS('Daftar Koreksi'!$H$5:$H$92,'Daftar Koreksi'!$D$5:$D$92,'2500'!A4,'Daftar Koreksi'!$G$5:$G$92,"Jalan Irigasi Jaringan",'Daftar Koreksi'!$H$5:$H$92,"&gt;0")</f>
        <v>0</v>
      </c>
      <c r="F11" s="25">
        <f>SUMIFS('Daftar Koreksi'!$H$5:$H$92,'Daftar Koreksi'!$D$5:$D$92,'2500'!A4,'Daftar Koreksi'!$G$5:$G$92,"Jalan Irigasi Jaringan",'Daftar Koreksi'!$H$5:$H$92,"&lt;0")-SUMIFS('Daftar Koreksi'!$H$5:$H$92,'Daftar Koreksi'!$D$5:$D$92,'2500'!A4,'Daftar Koreksi'!$G$5:$G$92,"Jalan Irigasi Jaringan",'Daftar Koreksi'!$H$5:$H$92,"&lt;0")-SUMIFS('Daftar Koreksi'!$H$5:$H$92,'Daftar Koreksi'!$D$5:$D$92,'2500'!A4,'Daftar Koreksi'!$G$5:$G$92,"Jalan Irigasi Jaringan",'Daftar Koreksi'!$H$5:$H$92,"&lt;0")</f>
        <v>0</v>
      </c>
      <c r="G11" s="17">
        <f t="shared" si="0"/>
        <v>124167970</v>
      </c>
      <c r="H11" s="122"/>
      <c r="O11" s="8" t="s">
        <v>740</v>
      </c>
      <c r="P11" s="8" t="s">
        <v>1876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9228465</v>
      </c>
      <c r="E12" s="25">
        <f>SUMIFS('Daftar Koreksi'!$H$5:$H$92,'Daftar Koreksi'!$D$5:$D$92,'2500'!A4,'Daftar Koreksi'!$G$5:$G$92,"Aset Tetap Lainnya",'Daftar Koreksi'!$H$5:$H$92,"&gt;0")</f>
        <v>0</v>
      </c>
      <c r="F12" s="25">
        <f>SUMIFS('Daftar Koreksi'!$H$5:$H$92,'Daftar Koreksi'!$D$5:$D$92,'2500'!A4,'Daftar Koreksi'!$G$5:$G$92,"Aset Tetap Lainnya",'Daftar Koreksi'!$H$5:$H$92,"&lt;0")-SUMIFS('Daftar Koreksi'!$H$5:$H$92,'Daftar Koreksi'!$D$5:$D$92,'2500'!A4,'Daftar Koreksi'!$G$5:$G$92,"Aset Tetap Lainnya",'Daftar Koreksi'!$H$5:$H$92,"&lt;0")-SUMIFS('Daftar Koreksi'!$H$5:$H$92,'Daftar Koreksi'!$D$5:$D$92,'2500'!A4,'Daftar Koreksi'!$G$5:$G$92,"Aset Tetap Lainnya",'Daftar Koreksi'!$H$5:$H$92,"&lt;0")</f>
        <v>0</v>
      </c>
      <c r="G12" s="17">
        <f t="shared" si="0"/>
        <v>9228465</v>
      </c>
      <c r="H12" s="122"/>
      <c r="O12" s="8" t="s">
        <v>741</v>
      </c>
      <c r="P12" s="8" t="s">
        <v>1877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11610076100</v>
      </c>
      <c r="E13" s="25">
        <f>SUMIFS('Daftar Koreksi'!$H$5:$H$92,'Daftar Koreksi'!$D$5:$D$92,'2500'!A4,'Daftar Koreksi'!$G$5:$G$92,"Kontruksi Dalam Pengerjaan",'Daftar Koreksi'!$H$5:$H$92,"&gt;0")</f>
        <v>0</v>
      </c>
      <c r="F13" s="25">
        <f>SUMIFS('Daftar Koreksi'!$H$5:$H$92,'Daftar Koreksi'!$D$5:$D$92,'2500'!A4,'Daftar Koreksi'!$G$5:$G$92,"Kontruksi Dalam Pengerjaan",'Daftar Koreksi'!$H$5:$H$92,"&lt;0")-SUMIFS('Daftar Koreksi'!$H$5:$H$92,'Daftar Koreksi'!$D$5:$D$92,'2500'!A4,'Daftar Koreksi'!$G$5:$G$92,"Kontruksi Dalam Pengerjaan",'Daftar Koreksi'!$H$5:$H$92,"&lt;0")-SUMIFS('Daftar Koreksi'!$H$5:$H$92,'Daftar Koreksi'!$D$5:$D$92,'2500'!A4,'Daftar Koreksi'!$G$5:$G$92,"Kontruksi Dalam Pengerjaan",'Daftar Koreksi'!$H$5:$H$92,"&lt;0")</f>
        <v>0</v>
      </c>
      <c r="G13" s="17">
        <f t="shared" si="0"/>
        <v>11610076100</v>
      </c>
      <c r="H13" s="122"/>
      <c r="O13" s="8" t="s">
        <v>742</v>
      </c>
      <c r="P13" s="8" t="s">
        <v>1878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Koreksi'!$D$5:$D$92,'2500'!A4,'Daftar Koreksi'!$G$5:$G$92,"Aset Tak Berwujud",'Daftar Koreksi'!$H$5:$H$92,"&gt;0")</f>
        <v>0</v>
      </c>
      <c r="F14" s="25">
        <f>SUMIFS('Daftar Koreksi'!$H$5:$H$92,'Daftar Koreksi'!$D$5:$D$92,'2500'!A4,'Daftar Koreksi'!$G$5:$G$92,"Aset Tak Berwujud",'Daftar Koreksi'!$H$5:$H$92,"&lt;0")-SUMIFS('Daftar Koreksi'!$H$5:$H$92,'Daftar Koreksi'!$D$5:$D$92,'2500'!A4,'Daftar Koreksi'!$G$5:$G$92,"Aset Tak Berwujud",'Daftar Koreksi'!$H$5:$H$92,"&lt;0")-SUMIFS('Daftar Koreksi'!$H$5:$H$92,'Daftar Koreksi'!$D$5:$D$92,'2500'!A4,'Daftar Koreksi'!$G$5:$G$92,"Aset Tak Berwujud",'Daftar Koreksi'!$H$5:$H$92,"&lt;0")</f>
        <v>0</v>
      </c>
      <c r="G14" s="17">
        <f t="shared" si="0"/>
        <v>0</v>
      </c>
      <c r="H14" s="122"/>
      <c r="O14" s="8" t="s">
        <v>743</v>
      </c>
      <c r="P14" s="8" t="s">
        <v>1879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375099000</v>
      </c>
      <c r="E15" s="25">
        <f>SUMIFS('Daftar Koreksi'!$H$5:$H$92,'Daftar Koreksi'!$D$5:$D$92,'2500'!A4,'Daftar Koreksi'!$G$5:$G$92,"Aset Henti Guna",'Daftar Koreksi'!$H$5:$H$92,"&gt;0")</f>
        <v>0</v>
      </c>
      <c r="F15" s="25">
        <f>SUMIFS('Daftar Koreksi'!$H$5:$H$92,'Daftar Koreksi'!$D$5:$D$92,'2500'!A4,'Daftar Koreksi'!$G$5:$G$92,"Aset Henti Guna",'Daftar Koreksi'!$H$5:$H$92,"&lt;0")-SUMIFS('Daftar Koreksi'!$H$5:$H$92,'Daftar Koreksi'!$D$5:$D$92,'2500'!A4,'Daftar Koreksi'!$G$5:$G$92,"Aset Henti Guna",'Daftar Koreksi'!$H$5:$H$92,"&lt;0")-SUMIFS('Daftar Koreksi'!$H$5:$H$92,'Daftar Koreksi'!$D$5:$D$92,'2500'!A4,'Daftar Koreksi'!$G$5:$G$92,"Aset Henti Guna",'Daftar Koreksi'!$H$5:$H$92,"&lt;0")</f>
        <v>0</v>
      </c>
      <c r="G15" s="17">
        <f t="shared" si="0"/>
        <v>375099000</v>
      </c>
      <c r="H15" s="122"/>
      <c r="O15" s="8" t="s">
        <v>744</v>
      </c>
      <c r="P15" s="8" t="s">
        <v>1880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36965979661</v>
      </c>
      <c r="E16" s="19">
        <f>SUM(E7:E15)</f>
        <v>0</v>
      </c>
      <c r="F16" s="19">
        <f>SUM(F7:F15)</f>
        <v>0</v>
      </c>
      <c r="G16" s="19">
        <f t="shared" si="0"/>
        <v>36965979661</v>
      </c>
      <c r="H16" s="122"/>
      <c r="O16" s="8" t="s">
        <v>745</v>
      </c>
      <c r="P16" s="8" t="s">
        <v>1881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-4194190289</v>
      </c>
      <c r="E17" s="25">
        <f>SUMIFS('Daftar Koreksi'!$I$5:$I$92,'Daftar Koreksi'!$D$5:$D$92,'2500'!A4,'Daftar Koreksi'!$G$5:$G$92,"Peralatan dan mesin",'Daftar Koreksi'!$I$5:$I$92,"&gt;0")</f>
        <v>0</v>
      </c>
      <c r="F17" s="25">
        <f>SUMIFS('Daftar Koreksi'!$I$5:$I$92,'Daftar Koreksi'!$D$5:$D$92,'2500'!A4,'Daftar Koreksi'!$G$5:$G$92,"Peralatan dan mesin",'Daftar Koreksi'!$I$5:$I$92,"&lt;0")-SUMIFS('Daftar Koreksi'!$I$5:$I$92,'Daftar Koreksi'!$D$5:$D$92,'2500'!A4,'Daftar Koreksi'!$G$5:$G$92,"Peralatan dan mesin",'Daftar Koreksi'!$I$5:$I$92,"&lt;0")-SUMIFS('Daftar Koreksi'!$I$5:$I$92,'Daftar Koreksi'!$D$5:$D$92,'2500'!A4,'Daftar Koreksi'!$G$5:$G$92,"Peralatan dan mesin",'Daftar Koreksi'!$I$5:$I$92,"&lt;0")</f>
        <v>0</v>
      </c>
      <c r="G17" s="17">
        <f t="shared" si="0"/>
        <v>-4194190289</v>
      </c>
      <c r="H17" s="122"/>
      <c r="O17" s="8" t="s">
        <v>746</v>
      </c>
      <c r="P17" s="8" t="s">
        <v>1882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-4381889832</v>
      </c>
      <c r="E18" s="25">
        <f>SUMIFS('Daftar Koreksi'!$I$5:$I$92,'Daftar Koreksi'!$D$5:$D$92,'2500'!A4,'Daftar Koreksi'!$G$5:$G$92,"Gedung dan Bangunan",'Daftar Koreksi'!$I$5:$I$92,"&gt;0")</f>
        <v>0</v>
      </c>
      <c r="F18" s="25">
        <f>SUMIFS('Daftar Koreksi'!$I$5:$I$92,'Daftar Koreksi'!$D$5:$D$92,'2500'!A4,'Daftar Koreksi'!$G$5:$G$92,"Gedung dan Bangunan",'Daftar Koreksi'!$I$5:$I$92,"&lt;0")-SUMIFS('Daftar Koreksi'!$I$5:$I$92,'Daftar Koreksi'!$D$5:$D$92,'2500'!A4,'Daftar Koreksi'!$G$5:$G$92,"Gedung dan Bangunan",'Daftar Koreksi'!$I$5:$I$92,"&lt;0")-SUMIFS('Daftar Koreksi'!$I$5:$I$92,'Daftar Koreksi'!$D$5:$D$92,'2500'!A4,'Daftar Koreksi'!$G$5:$G$92,"Gedung dan Bangunan",'Daftar Koreksi'!$I$5:$I$92,"&lt;0")</f>
        <v>0</v>
      </c>
      <c r="G18" s="17">
        <f t="shared" si="0"/>
        <v>-4381889832</v>
      </c>
      <c r="H18" s="122"/>
      <c r="O18" s="8" t="s">
        <v>747</v>
      </c>
      <c r="P18" s="8" t="s">
        <v>1883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-22417721</v>
      </c>
      <c r="E19" s="25">
        <f>SUMIFS('Daftar Koreksi'!$I$5:$I$92,'Daftar Koreksi'!$D$5:$D$92,'2500'!A4,'Daftar Koreksi'!$G$5:$G$92,"Jalan Irigasi Jaringan",'Daftar Koreksi'!$I$5:$I$92,"&gt;0")</f>
        <v>0</v>
      </c>
      <c r="F19" s="25">
        <f>SUMIFS('Daftar Koreksi'!$I$5:$I$92,'Daftar Koreksi'!$D$5:$D$92,'2500'!A4,'Daftar Koreksi'!$G$5:$G$92,"Jalan Irigasi Jaringan",'Daftar Koreksi'!$I$5:$I$92,"&lt;0")-SUMIFS('Daftar Koreksi'!$I$5:$I$92,'Daftar Koreksi'!$D$5:$D$92,'2500'!A4,'Daftar Koreksi'!$G$5:$G$92,"Jalan Irigasi Jaringan",'Daftar Koreksi'!$I$5:$I$92,"&lt;0")-SUMIFS('Daftar Koreksi'!$I$5:$I$92,'Daftar Koreksi'!$D$5:$D$92,'2500'!A4,'Daftar Koreksi'!$G$5:$G$92,"Jalan Irigasi Jaringan",'Daftar Koreksi'!$I$5:$I$92,"&lt;0")</f>
        <v>0</v>
      </c>
      <c r="G19" s="17">
        <f t="shared" si="0"/>
        <v>-22417721</v>
      </c>
      <c r="H19" s="122"/>
      <c r="O19" s="8" t="s">
        <v>748</v>
      </c>
      <c r="P19" s="8" t="s">
        <v>1884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Koreksi'!$D$5:$D$92,'2500'!A4,'Daftar Koreksi'!$G$5:$G$92,"Aset Tetap Lainnya",'Daftar Koreksi'!$I$5:$I$92,"&gt;0")</f>
        <v>0</v>
      </c>
      <c r="F20" s="25">
        <f>SUMIFS('Daftar Koreksi'!$I$5:$I$92,'Daftar Koreksi'!$D$5:$D$92,'2500'!A4,'Daftar Koreksi'!$G$5:$G$92,"Aset Tetap Lainnya",'Daftar Koreksi'!$I$5:$I$92,"&lt;0")-SUMIFS('Daftar Koreksi'!$I$5:$I$92,'Daftar Koreksi'!$D$5:$D$92,'2500'!A4,'Daftar Koreksi'!$G$5:$G$92,"Aset Tetap Lainnya",'Daftar Koreksi'!$I$5:$I$92,"&lt;0")-SUMIFS('Daftar Koreksi'!$I$5:$I$92,'Daftar Koreksi'!$D$5:$D$92,'2500'!A4,'Daftar Koreksi'!$G$5:$G$92,"Aset Tetap Lainnya",'Daftar Koreksi'!$I$5:$I$92,"&lt;0")</f>
        <v>0</v>
      </c>
      <c r="G20" s="17">
        <f t="shared" si="0"/>
        <v>0</v>
      </c>
      <c r="H20" s="122"/>
      <c r="O20" s="8" t="s">
        <v>749</v>
      </c>
      <c r="P20" s="8" t="s">
        <v>1885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-374036500</v>
      </c>
      <c r="E21" s="25">
        <f>SUMIFS('Daftar Koreksi'!$I$5:$I$92,'Daftar Koreksi'!$D$5:$D$92,'2500'!A4,'Daftar Koreksi'!$G$5:$G$92,"Aset Henti Guna",'Daftar Koreksi'!$I$5:$I$92,"&gt;0")</f>
        <v>0</v>
      </c>
      <c r="F21" s="25">
        <f>SUMIFS('Daftar Koreksi'!$I$5:$I$92,'Daftar Koreksi'!$D$5:$D$92,'2500'!A4,'Daftar Koreksi'!$G$5:$G$92,"Aset Henti Guna",'Daftar Koreksi'!$I$5:$I$92,"&lt;0")-SUMIFS('Daftar Koreksi'!$I$5:$I$92,'Daftar Koreksi'!$D$5:$D$92,'2500'!A4,'Daftar Koreksi'!$G$5:$G$92,"Aset Henti Guna",'Daftar Koreksi'!$I$5:$I$92,"&lt;0")-SUMIFS('Daftar Koreksi'!$I$5:$I$92,'Daftar Koreksi'!$D$5:$D$92,'2500'!A4,'Daftar Koreksi'!$G$5:$G$92,"Aset Henti Guna",'Daftar Koreksi'!$I$5:$I$92,"&lt;0")</f>
        <v>0</v>
      </c>
      <c r="G21" s="17">
        <f t="shared" si="0"/>
        <v>-374036500</v>
      </c>
      <c r="H21" s="122"/>
      <c r="O21" s="8" t="s">
        <v>750</v>
      </c>
      <c r="P21" s="8" t="s">
        <v>1886</v>
      </c>
    </row>
    <row r="22" spans="1:16" ht="21.95" customHeight="1">
      <c r="A22" s="14"/>
      <c r="B22" s="14"/>
      <c r="C22" s="18" t="s">
        <v>2094</v>
      </c>
      <c r="D22" s="19">
        <f>SUM(D17:D21)</f>
        <v>-8972534342</v>
      </c>
      <c r="E22" s="19">
        <f>SUM(E17:E21)</f>
        <v>0</v>
      </c>
      <c r="F22" s="19">
        <f>SUM(F17:F21)</f>
        <v>0</v>
      </c>
      <c r="G22" s="19">
        <f t="shared" si="0"/>
        <v>-8972534342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27993445319</v>
      </c>
      <c r="E23" s="19">
        <f>E22+E16</f>
        <v>0</v>
      </c>
      <c r="F23" s="19">
        <f>F22+F16</f>
        <v>0</v>
      </c>
      <c r="G23" s="19">
        <f t="shared" si="0"/>
        <v>27993445319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005012500400038000KD</v>
      </c>
      <c r="B26" s="11" t="str">
        <f>P2</f>
        <v>PN. Jayapura</v>
      </c>
      <c r="C26" s="12" t="str">
        <f>A26&amp;" "&amp;B26</f>
        <v>005012500400038000KD PN. Jayapura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36485080</v>
      </c>
      <c r="E29" s="25">
        <f>SUMIFS('Daftar Koreksi'!$H$5:$H$92,'Daftar Koreksi'!$D$5:$D$92,'2500'!A26,'Daftar Koreksi'!$G$5:$G$92,"Persediaan",'Daftar Koreksi'!$H$5:$H$92,"&gt;0")</f>
        <v>0</v>
      </c>
      <c r="F29" s="25">
        <f>SUMIFS('Daftar Koreksi'!$H$5:$H$92,'Daftar Koreksi'!$D$5:$D$92,'2500'!A26,'Daftar Koreksi'!$G$5:$G$92,"Persediaan",'Daftar Koreksi'!$H$5:$H$92,"&lt;0")-SUMIFS('Daftar Koreksi'!$H$5:$H$92,'Daftar Koreksi'!$D$5:$D$92,'2500'!A26,'Daftar Koreksi'!$G$5:$G$92,"Persediaan",'Daftar Koreksi'!$H$5:$H$92,"&lt;0")-SUMIFS('Daftar Koreksi'!$H$5:$H$92,'Daftar Koreksi'!$D$5:$D$92,'2500'!A26,'Daftar Koreksi'!$G$5:$G$92,"Persediaan",'Daftar Koreksi'!$H$5:$H$92,"&lt;0")</f>
        <v>0</v>
      </c>
      <c r="G29" s="17">
        <f>D29+E29-F29</f>
        <v>36485080</v>
      </c>
      <c r="H29" s="121" t="str">
        <f>IF(ISNA(VLOOKUP(A26,'Mutasi Neraca'!$A$3:$S$914,19,FALSE)),"-",VLOOKUP(A26,'Mutasi Neraca'!$A$3:$S$914,19,FALSE))</f>
        <v>-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2978118000</v>
      </c>
      <c r="E30" s="25">
        <f>SUMIFS('Daftar Koreksi'!$H$5:$H$92,'Daftar Koreksi'!$D$5:$D$92,'2500'!A26,'Daftar Koreksi'!$G$5:$G$92,"Tanah",'Daftar Koreksi'!$H$5:$H$92,"&gt;0")</f>
        <v>0</v>
      </c>
      <c r="F30" s="25">
        <f>SUMIFS('Daftar Koreksi'!$H$5:$H$92,'Daftar Koreksi'!$D$5:$D$92,'2500'!A26,'Daftar Koreksi'!$G$5:$G$92,"Tanah",'Daftar Koreksi'!$H$5:$H$92,"&lt;0")-SUMIFS('Daftar Koreksi'!$H$5:$H$92,'Daftar Koreksi'!$D$5:$D$92,'2500'!A26,'Daftar Koreksi'!$G$5:$G$92,"Tanah",'Daftar Koreksi'!$H$5:$H$92,"&lt;0")-SUMIFS('Daftar Koreksi'!$H$5:$H$92,'Daftar Koreksi'!$D$5:$D$92,'2500'!A26,'Daftar Koreksi'!$G$5:$G$92,"Tanah",'Daftar Koreksi'!$H$5:$H$92,"&lt;0")</f>
        <v>0</v>
      </c>
      <c r="G30" s="17">
        <f t="shared" ref="G30:G46" si="1">D30+E30-F30</f>
        <v>2978118000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4100148284</v>
      </c>
      <c r="E31" s="25">
        <f>SUMIFS('Daftar Koreksi'!$H$5:$H$92,'Daftar Koreksi'!$D$5:$D$92,'2500'!A26,'Daftar Koreksi'!$G$5:$G$92,"Peralatan dan mesin",'Daftar Koreksi'!$H$5:$H$92,"&gt;0")</f>
        <v>0</v>
      </c>
      <c r="F31" s="25">
        <f>SUMIFS('Daftar Koreksi'!$H$5:$H$92,'Daftar Koreksi'!$D$5:$D$92,'2500'!A26,'Daftar Koreksi'!$G$5:$G$92,"Peralatan dan mesin",'Daftar Koreksi'!$H$5:$H$92,"&lt;0")-SUMIFS('Daftar Koreksi'!$H$5:$H$92,'Daftar Koreksi'!$D$5:$D$92,'2500'!A26,'Daftar Koreksi'!$G$5:$G$92,"Peralatan dan mesin",'Daftar Koreksi'!$H$5:$H$92,"&lt;0")-SUMIFS('Daftar Koreksi'!$H$5:$H$92,'Daftar Koreksi'!$D$5:$D$92,'2500'!A26,'Daftar Koreksi'!$G$5:$G$92,"Peralatan dan mesin",'Daftar Koreksi'!$H$5:$H$92,"&lt;0")</f>
        <v>0</v>
      </c>
      <c r="G31" s="17">
        <f t="shared" si="1"/>
        <v>4100148284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12685004600</v>
      </c>
      <c r="E32" s="25">
        <f>SUMIFS('Daftar Koreksi'!$H$5:$H$92,'Daftar Koreksi'!$D$5:$D$92,'2500'!A26,'Daftar Koreksi'!$G$5:$G$92,"Gedung dan Bangunan",'Daftar Koreksi'!$H$5:$H$92,"&gt;0")</f>
        <v>0</v>
      </c>
      <c r="F32" s="25">
        <f>SUMIFS('Daftar Koreksi'!$H$5:$H$92,'Daftar Koreksi'!$D$5:$D$92,'2500'!A26,'Daftar Koreksi'!$G$5:$G$92,"Gedung dan Bangunan",'Daftar Koreksi'!$H$5:$H$92,"&lt;0")-SUMIFS('Daftar Koreksi'!$H$5:$H$92,'Daftar Koreksi'!$D$5:$D$92,'2500'!A26,'Daftar Koreksi'!$G$5:$G$92,"Gedung dan Bangunan",'Daftar Koreksi'!$H$5:$H$92,"&lt;0")-SUMIFS('Daftar Koreksi'!$H$5:$H$92,'Daftar Koreksi'!$D$5:$D$92,'2500'!A26,'Daftar Koreksi'!$G$5:$G$92,"Gedung dan Bangunan",'Daftar Koreksi'!$H$5:$H$92,"&lt;0")</f>
        <v>0</v>
      </c>
      <c r="G32" s="17">
        <f t="shared" si="1"/>
        <v>12685004600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19020965</v>
      </c>
      <c r="E33" s="25">
        <f>SUMIFS('Daftar Koreksi'!$H$5:$H$92,'Daftar Koreksi'!$D$5:$D$92,'2500'!A26,'Daftar Koreksi'!$G$5:$G$92,"Jalan Irigasi Jaringan",'Daftar Koreksi'!$H$5:$H$92,"&gt;0")</f>
        <v>0</v>
      </c>
      <c r="F33" s="25">
        <f>SUMIFS('Daftar Koreksi'!$H$5:$H$92,'Daftar Koreksi'!$D$5:$D$92,'2500'!A26,'Daftar Koreksi'!$G$5:$G$92,"Jalan Irigasi Jaringan",'Daftar Koreksi'!$H$5:$H$92,"&lt;0")-SUMIFS('Daftar Koreksi'!$H$5:$H$92,'Daftar Koreksi'!$D$5:$D$92,'2500'!A26,'Daftar Koreksi'!$G$5:$G$92,"Jalan Irigasi Jaringan",'Daftar Koreksi'!$H$5:$H$92,"&lt;0")-SUMIFS('Daftar Koreksi'!$H$5:$H$92,'Daftar Koreksi'!$D$5:$D$92,'2500'!A26,'Daftar Koreksi'!$G$5:$G$92,"Jalan Irigasi Jaringan",'Daftar Koreksi'!$H$5:$H$92,"&lt;0")</f>
        <v>0</v>
      </c>
      <c r="G33" s="17">
        <f t="shared" si="1"/>
        <v>19020965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7923603</v>
      </c>
      <c r="E34" s="25">
        <f>SUMIFS('Daftar Koreksi'!$H$5:$H$92,'Daftar Koreksi'!$D$5:$D$92,'2500'!A26,'Daftar Koreksi'!$G$5:$G$92,"Aset Tetap Lainnya",'Daftar Koreksi'!$H$5:$H$92,"&gt;0")</f>
        <v>0</v>
      </c>
      <c r="F34" s="25">
        <f>SUMIFS('Daftar Koreksi'!$H$5:$H$92,'Daftar Koreksi'!$D$5:$D$92,'2500'!A26,'Daftar Koreksi'!$G$5:$G$92,"Aset Tetap Lainnya",'Daftar Koreksi'!$H$5:$H$92,"&lt;0")-SUMIFS('Daftar Koreksi'!$H$5:$H$92,'Daftar Koreksi'!$D$5:$D$92,'2500'!A26,'Daftar Koreksi'!$G$5:$G$92,"Aset Tetap Lainnya",'Daftar Koreksi'!$H$5:$H$92,"&lt;0")-SUMIFS('Daftar Koreksi'!$H$5:$H$92,'Daftar Koreksi'!$D$5:$D$92,'2500'!A26,'Daftar Koreksi'!$G$5:$G$92,"Aset Tetap Lainnya",'Daftar Koreksi'!$H$5:$H$92,"&lt;0")</f>
        <v>0</v>
      </c>
      <c r="G34" s="17">
        <f t="shared" si="1"/>
        <v>7923603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4472783100</v>
      </c>
      <c r="E35" s="25">
        <f>SUMIFS('Daftar Koreksi'!$H$5:$H$92,'Daftar Koreksi'!$D$5:$D$92,'2500'!A26,'Daftar Koreksi'!$G$5:$G$92,"Kontruksi Dalam Pengerjaan",'Daftar Koreksi'!$H$5:$H$92,"&gt;0")</f>
        <v>0</v>
      </c>
      <c r="F35" s="25">
        <f>SUMIFS('Daftar Koreksi'!$H$5:$H$92,'Daftar Koreksi'!$D$5:$D$92,'2500'!A26,'Daftar Koreksi'!$G$5:$G$92,"Kontruksi Dalam Pengerjaan",'Daftar Koreksi'!$H$5:$H$92,"&lt;0")-SUMIFS('Daftar Koreksi'!$H$5:$H$92,'Daftar Koreksi'!$D$5:$D$92,'2500'!A26,'Daftar Koreksi'!$G$5:$G$92,"Kontruksi Dalam Pengerjaan",'Daftar Koreksi'!$H$5:$H$92,"&lt;0")-SUMIFS('Daftar Koreksi'!$H$5:$H$92,'Daftar Koreksi'!$D$5:$D$92,'2500'!A26,'Daftar Koreksi'!$G$5:$G$92,"Kontruksi Dalam Pengerjaan",'Daftar Koreksi'!$H$5:$H$92,"&lt;0")</f>
        <v>0</v>
      </c>
      <c r="G35" s="17">
        <f t="shared" si="1"/>
        <v>4472783100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Koreksi'!$D$5:$D$92,'2500'!A26,'Daftar Koreksi'!$G$5:$G$92,"Aset Tak Berwujud",'Daftar Koreksi'!$H$5:$H$92,"&gt;0")</f>
        <v>0</v>
      </c>
      <c r="F36" s="25">
        <f>SUMIFS('Daftar Koreksi'!$H$5:$H$92,'Daftar Koreksi'!$D$5:$D$92,'2500'!A26,'Daftar Koreksi'!$G$5:$G$92,"Aset Tak Berwujud",'Daftar Koreksi'!$H$5:$H$92,"&lt;0")-SUMIFS('Daftar Koreksi'!$H$5:$H$92,'Daftar Koreksi'!$D$5:$D$92,'2500'!A26,'Daftar Koreksi'!$G$5:$G$92,"Aset Tak Berwujud",'Daftar Koreksi'!$H$5:$H$92,"&lt;0")-SUMIFS('Daftar Koreksi'!$H$5:$H$92,'Daftar Koreksi'!$D$5:$D$92,'2500'!A26,'Daftar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354088450</v>
      </c>
      <c r="E37" s="25">
        <f>SUMIFS('Daftar Koreksi'!$H$5:$H$92,'Daftar Koreksi'!$D$5:$D$92,'2500'!A26,'Daftar Koreksi'!$G$5:$G$92,"Aset Henti Guna",'Daftar Koreksi'!$H$5:$H$92,"&gt;0")</f>
        <v>0</v>
      </c>
      <c r="F37" s="25">
        <f>SUMIFS('Daftar Koreksi'!$H$5:$H$92,'Daftar Koreksi'!$D$5:$D$92,'2500'!A26,'Daftar Koreksi'!$G$5:$G$92,"Aset Henti Guna",'Daftar Koreksi'!$H$5:$H$92,"&lt;0")-SUMIFS('Daftar Koreksi'!$H$5:$H$92,'Daftar Koreksi'!$D$5:$D$92,'2500'!A26,'Daftar Koreksi'!$G$5:$G$92,"Aset Henti Guna",'Daftar Koreksi'!$H$5:$H$92,"&lt;0")-SUMIFS('Daftar Koreksi'!$H$5:$H$92,'Daftar Koreksi'!$D$5:$D$92,'2500'!A26,'Daftar Koreksi'!$G$5:$G$92,"Aset Henti Guna",'Daftar Koreksi'!$H$5:$H$92,"&lt;0")</f>
        <v>0</v>
      </c>
      <c r="G37" s="17">
        <f t="shared" si="1"/>
        <v>354088450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24653572082</v>
      </c>
      <c r="E38" s="19">
        <f>SUM(E29:E37)</f>
        <v>0</v>
      </c>
      <c r="F38" s="19">
        <f>SUM(F29:F37)</f>
        <v>0</v>
      </c>
      <c r="G38" s="19">
        <f t="shared" si="1"/>
        <v>24653572082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-3057469463</v>
      </c>
      <c r="E39" s="25">
        <f>SUMIFS('Daftar Koreksi'!$I$5:$I$92,'Daftar Koreksi'!$D$5:$D$92,'2500'!A26,'Daftar Koreksi'!$G$5:$G$92,"Peralatan dan mesin",'Daftar Koreksi'!$I$5:$I$92,"&gt;0")</f>
        <v>0</v>
      </c>
      <c r="F39" s="25">
        <f>SUMIFS('Daftar Koreksi'!$I$5:$I$92,'Daftar Koreksi'!$D$5:$D$92,'2500'!A26,'Daftar Koreksi'!$G$5:$G$92,"Peralatan dan mesin",'Daftar Koreksi'!$I$5:$I$92,"&lt;0")-SUMIFS('Daftar Koreksi'!$I$5:$I$92,'Daftar Koreksi'!$D$5:$D$92,'2500'!A26,'Daftar Koreksi'!$G$5:$G$92,"Peralatan dan mesin",'Daftar Koreksi'!$I$5:$I$92,"&lt;0")-SUMIFS('Daftar Koreksi'!$I$5:$I$92,'Daftar Koreksi'!$D$5:$D$92,'2500'!A26,'Daftar Koreksi'!$G$5:$G$92,"Peralatan dan mesin",'Daftar Koreksi'!$I$5:$I$92,"&lt;0")</f>
        <v>0</v>
      </c>
      <c r="G39" s="17">
        <f t="shared" si="1"/>
        <v>-3057469463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-1486578521</v>
      </c>
      <c r="E40" s="25">
        <f>SUMIFS('Daftar Koreksi'!$I$5:$I$92,'Daftar Koreksi'!$D$5:$D$92,'2500'!A26,'Daftar Koreksi'!$G$5:$G$92,"Gedung dan Bangunan",'Daftar Koreksi'!$I$5:$I$92,"&gt;0")</f>
        <v>0</v>
      </c>
      <c r="F40" s="25">
        <f>SUMIFS('Daftar Koreksi'!$I$5:$I$92,'Daftar Koreksi'!$D$5:$D$92,'2500'!A26,'Daftar Koreksi'!$G$5:$G$92,"Gedung dan Bangunan",'Daftar Koreksi'!$I$5:$I$92,"&lt;0")-SUMIFS('Daftar Koreksi'!$I$5:$I$92,'Daftar Koreksi'!$D$5:$D$92,'2500'!A26,'Daftar Koreksi'!$G$5:$G$92,"Gedung dan Bangunan",'Daftar Koreksi'!$I$5:$I$92,"&lt;0")-SUMIFS('Daftar Koreksi'!$I$5:$I$92,'Daftar Koreksi'!$D$5:$D$92,'2500'!A26,'Daftar Koreksi'!$G$5:$G$92,"Gedung dan Bangunan",'Daftar Koreksi'!$I$5:$I$92,"&lt;0")</f>
        <v>0</v>
      </c>
      <c r="G40" s="17">
        <f t="shared" si="1"/>
        <v>-1486578521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-19020965</v>
      </c>
      <c r="E41" s="25">
        <f>SUMIFS('Daftar Koreksi'!$I$5:$I$92,'Daftar Koreksi'!$D$5:$D$92,'2500'!A26,'Daftar Koreksi'!$G$5:$G$92,"Jalan Irigasi Jaringan",'Daftar Koreksi'!$I$5:$I$92,"&gt;0")</f>
        <v>0</v>
      </c>
      <c r="F41" s="25">
        <f>SUMIFS('Daftar Koreksi'!$I$5:$I$92,'Daftar Koreksi'!$D$5:$D$92,'2500'!A26,'Daftar Koreksi'!$G$5:$G$92,"Jalan Irigasi Jaringan",'Daftar Koreksi'!$I$5:$I$92,"&lt;0")-SUMIFS('Daftar Koreksi'!$I$5:$I$92,'Daftar Koreksi'!$D$5:$D$92,'2500'!A26,'Daftar Koreksi'!$G$5:$G$92,"Jalan Irigasi Jaringan",'Daftar Koreksi'!$I$5:$I$92,"&lt;0")-SUMIFS('Daftar Koreksi'!$I$5:$I$92,'Daftar Koreksi'!$D$5:$D$92,'2500'!A26,'Daftar Koreksi'!$G$5:$G$92,"Jalan Irigasi Jaringan",'Daftar Koreksi'!$I$5:$I$92,"&lt;0")</f>
        <v>0</v>
      </c>
      <c r="G41" s="17">
        <f t="shared" si="1"/>
        <v>-19020965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Koreksi'!$D$5:$D$92,'2500'!A26,'Daftar Koreksi'!$G$5:$G$92,"Aset Tetap Lainnya",'Daftar Koreksi'!$I$5:$I$92,"&gt;0")</f>
        <v>0</v>
      </c>
      <c r="F42" s="25">
        <f>SUMIFS('Daftar Koreksi'!$I$5:$I$92,'Daftar Koreksi'!$D$5:$D$92,'2500'!A26,'Daftar Koreksi'!$G$5:$G$92,"Aset Tetap Lainnya",'Daftar Koreksi'!$I$5:$I$92,"&lt;0")-SUMIFS('Daftar Koreksi'!$I$5:$I$92,'Daftar Koreksi'!$D$5:$D$92,'2500'!A26,'Daftar Koreksi'!$G$5:$G$92,"Aset Tetap Lainnya",'Daftar Koreksi'!$I$5:$I$92,"&lt;0")-SUMIFS('Daftar Koreksi'!$I$5:$I$92,'Daftar Koreksi'!$D$5:$D$92,'2500'!A26,'Daftar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-159219505</v>
      </c>
      <c r="E43" s="25">
        <f>SUMIFS('Daftar Koreksi'!$I$5:$I$92,'Daftar Koreksi'!$D$5:$D$92,'2500'!A26,'Daftar Koreksi'!$G$5:$G$92,"Aset Henti Guna",'Daftar Koreksi'!$I$5:$I$92,"&gt;0")</f>
        <v>0</v>
      </c>
      <c r="F43" s="25">
        <f>SUMIFS('Daftar Koreksi'!$I$5:$I$92,'Daftar Koreksi'!$D$5:$D$92,'2500'!A26,'Daftar Koreksi'!$G$5:$G$92,"Aset Henti Guna",'Daftar Koreksi'!$I$5:$I$92,"&lt;0")-SUMIFS('Daftar Koreksi'!$I$5:$I$92,'Daftar Koreksi'!$D$5:$D$92,'2500'!A26,'Daftar Koreksi'!$G$5:$G$92,"Aset Henti Guna",'Daftar Koreksi'!$I$5:$I$92,"&lt;0")-SUMIFS('Daftar Koreksi'!$I$5:$I$92,'Daftar Koreksi'!$D$5:$D$92,'2500'!A26,'Daftar Koreksi'!$G$5:$G$92,"Aset Henti Guna",'Daftar Koreksi'!$I$5:$I$92,"&lt;0")</f>
        <v>0</v>
      </c>
      <c r="G43" s="17">
        <f t="shared" si="1"/>
        <v>-159219505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-4722288454</v>
      </c>
      <c r="E44" s="19">
        <f>SUM(E39:E43)</f>
        <v>0</v>
      </c>
      <c r="F44" s="19">
        <f>SUM(F39:F43)</f>
        <v>0</v>
      </c>
      <c r="G44" s="19">
        <f t="shared" si="1"/>
        <v>-4722288454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19931283628</v>
      </c>
      <c r="E45" s="19">
        <f>E44+E38</f>
        <v>0</v>
      </c>
      <c r="F45" s="19">
        <f>F44+F38</f>
        <v>0</v>
      </c>
      <c r="G45" s="19">
        <f t="shared" si="1"/>
        <v>19931283628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005012500400044000KD</v>
      </c>
      <c r="B48" s="11" t="str">
        <f>P3</f>
        <v>PN. Wamena</v>
      </c>
      <c r="C48" s="12" t="str">
        <f>A48&amp;" "&amp;B48</f>
        <v>005012500400044000KD PN. Wamena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10181000</v>
      </c>
      <c r="E51" s="25">
        <f>SUMIFS('Daftar Koreksi'!$H$5:$H$92,'Daftar Koreksi'!$D$5:$D$92,'2500'!A48,'Daftar Koreksi'!$G$5:$G$92,"Persediaan",'Daftar Koreksi'!$H$5:$H$92,"&gt;0")</f>
        <v>0</v>
      </c>
      <c r="F51" s="25">
        <f>SUMIFS('Daftar Koreksi'!$H$5:$H$92,'Daftar Koreksi'!$D$5:$D$92,'2500'!A48,'Daftar Koreksi'!$G$5:$G$92,"Persediaan",'Daftar Koreksi'!$H$5:$H$92,"&lt;0")-SUMIFS('Daftar Koreksi'!$H$5:$H$92,'Daftar Koreksi'!$D$5:$D$92,'2500'!A48,'Daftar Koreksi'!$G$5:$G$92,"Persediaan",'Daftar Koreksi'!$H$5:$H$92,"&lt;0")-SUMIFS('Daftar Koreksi'!$H$5:$H$92,'Daftar Koreksi'!$D$5:$D$92,'2500'!A48,'Daftar Koreksi'!$G$5:$G$92,"Persediaan",'Daftar Koreksi'!$H$5:$H$92,"&lt;0")</f>
        <v>0</v>
      </c>
      <c r="G51" s="17">
        <f>D51+E51-F51</f>
        <v>10181000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2043800000</v>
      </c>
      <c r="E52" s="25">
        <f>SUMIFS('Daftar Koreksi'!$H$5:$H$92,'Daftar Koreksi'!$D$5:$D$92,'2500'!A48,'Daftar Koreksi'!$G$5:$G$92,"Tanah",'Daftar Koreksi'!$H$5:$H$92,"&gt;0")</f>
        <v>0</v>
      </c>
      <c r="F52" s="25">
        <f>SUMIFS('Daftar Koreksi'!$H$5:$H$92,'Daftar Koreksi'!$D$5:$D$92,'2500'!A48,'Daftar Koreksi'!$G$5:$G$92,"Tanah",'Daftar Koreksi'!$H$5:$H$92,"&lt;0")-SUMIFS('Daftar Koreksi'!$H$5:$H$92,'Daftar Koreksi'!$D$5:$D$92,'2500'!A48,'Daftar Koreksi'!$G$5:$G$92,"Tanah",'Daftar Koreksi'!$H$5:$H$92,"&lt;0")-SUMIFS('Daftar Koreksi'!$H$5:$H$92,'Daftar Koreksi'!$D$5:$D$92,'2500'!A48,'Daftar Koreksi'!$G$5:$G$92,"Tanah",'Daftar Koreksi'!$H$5:$H$92,"&lt;0")</f>
        <v>0</v>
      </c>
      <c r="G52" s="17">
        <f t="shared" ref="G52:G68" si="2">D52+E52-F52</f>
        <v>2043800000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1652426628</v>
      </c>
      <c r="E53" s="25">
        <f>SUMIFS('Daftar Koreksi'!$H$5:$H$92,'Daftar Koreksi'!$D$5:$D$92,'2500'!A48,'Daftar Koreksi'!$G$5:$G$92,"Peralatan dan mesin",'Daftar Koreksi'!$H$5:$H$92,"&gt;0")</f>
        <v>0</v>
      </c>
      <c r="F53" s="25">
        <f>SUMIFS('Daftar Koreksi'!$H$5:$H$92,'Daftar Koreksi'!$D$5:$D$92,'2500'!A48,'Daftar Koreksi'!$G$5:$G$92,"Peralatan dan mesin",'Daftar Koreksi'!$H$5:$H$92,"&lt;0")-SUMIFS('Daftar Koreksi'!$H$5:$H$92,'Daftar Koreksi'!$D$5:$D$92,'2500'!A48,'Daftar Koreksi'!$G$5:$G$92,"Peralatan dan mesin",'Daftar Koreksi'!$H$5:$H$92,"&lt;0")-SUMIFS('Daftar Koreksi'!$H$5:$H$92,'Daftar Koreksi'!$D$5:$D$92,'2500'!A48,'Daftar Koreksi'!$G$5:$G$92,"Peralatan dan mesin",'Daftar Koreksi'!$H$5:$H$92,"&lt;0")</f>
        <v>0</v>
      </c>
      <c r="G53" s="17">
        <f t="shared" si="2"/>
        <v>1652426628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23770161163</v>
      </c>
      <c r="E54" s="25">
        <f>SUMIFS('Daftar Koreksi'!$H$5:$H$92,'Daftar Koreksi'!$D$5:$D$92,'2500'!A48,'Daftar Koreksi'!$G$5:$G$92,"Gedung dan Bangunan",'Daftar Koreksi'!$H$5:$H$92,"&gt;0")</f>
        <v>0</v>
      </c>
      <c r="F54" s="25">
        <f>SUMIFS('Daftar Koreksi'!$H$5:$H$92,'Daftar Koreksi'!$D$5:$D$92,'2500'!A48,'Daftar Koreksi'!$G$5:$G$92,"Gedung dan Bangunan",'Daftar Koreksi'!$H$5:$H$92,"&lt;0")-SUMIFS('Daftar Koreksi'!$H$5:$H$92,'Daftar Koreksi'!$D$5:$D$92,'2500'!A48,'Daftar Koreksi'!$G$5:$G$92,"Gedung dan Bangunan",'Daftar Koreksi'!$H$5:$H$92,"&lt;0")-SUMIFS('Daftar Koreksi'!$H$5:$H$92,'Daftar Koreksi'!$D$5:$D$92,'2500'!A48,'Daftar Koreksi'!$G$5:$G$92,"Gedung dan Bangunan",'Daftar Koreksi'!$H$5:$H$92,"&lt;0")</f>
        <v>0</v>
      </c>
      <c r="G54" s="17">
        <f t="shared" si="2"/>
        <v>23770161163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25000000</v>
      </c>
      <c r="E55" s="25">
        <f>SUMIFS('Daftar Koreksi'!$H$5:$H$92,'Daftar Koreksi'!$D$5:$D$92,'2500'!A48,'Daftar Koreksi'!$G$5:$G$92,"Jalan Irigasi Jaringan",'Daftar Koreksi'!$H$5:$H$92,"&gt;0")</f>
        <v>0</v>
      </c>
      <c r="F55" s="25">
        <f>SUMIFS('Daftar Koreksi'!$H$5:$H$92,'Daftar Koreksi'!$D$5:$D$92,'2500'!A48,'Daftar Koreksi'!$G$5:$G$92,"Jalan Irigasi Jaringan",'Daftar Koreksi'!$H$5:$H$92,"&lt;0")-SUMIFS('Daftar Koreksi'!$H$5:$H$92,'Daftar Koreksi'!$D$5:$D$92,'2500'!A48,'Daftar Koreksi'!$G$5:$G$92,"Jalan Irigasi Jaringan",'Daftar Koreksi'!$H$5:$H$92,"&lt;0")-SUMIFS('Daftar Koreksi'!$H$5:$H$92,'Daftar Koreksi'!$D$5:$D$92,'2500'!A48,'Daftar Koreksi'!$G$5:$G$92,"Jalan Irigasi Jaringan",'Daftar Koreksi'!$H$5:$H$92,"&lt;0")</f>
        <v>0</v>
      </c>
      <c r="G55" s="17">
        <f t="shared" si="2"/>
        <v>25000000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2328463</v>
      </c>
      <c r="E56" s="25">
        <f>SUMIFS('Daftar Koreksi'!$H$5:$H$92,'Daftar Koreksi'!$D$5:$D$92,'2500'!A48,'Daftar Koreksi'!$G$5:$G$92,"Aset Tetap Lainnya",'Daftar Koreksi'!$H$5:$H$92,"&gt;0")</f>
        <v>0</v>
      </c>
      <c r="F56" s="25">
        <f>SUMIFS('Daftar Koreksi'!$H$5:$H$92,'Daftar Koreksi'!$D$5:$D$92,'2500'!A48,'Daftar Koreksi'!$G$5:$G$92,"Aset Tetap Lainnya",'Daftar Koreksi'!$H$5:$H$92,"&lt;0")-SUMIFS('Daftar Koreksi'!$H$5:$H$92,'Daftar Koreksi'!$D$5:$D$92,'2500'!A48,'Daftar Koreksi'!$G$5:$G$92,"Aset Tetap Lainnya",'Daftar Koreksi'!$H$5:$H$92,"&lt;0")-SUMIFS('Daftar Koreksi'!$H$5:$H$92,'Daftar Koreksi'!$D$5:$D$92,'2500'!A48,'Daftar Koreksi'!$G$5:$G$92,"Aset Tetap Lainnya",'Daftar Koreksi'!$H$5:$H$92,"&lt;0")</f>
        <v>0</v>
      </c>
      <c r="G56" s="17">
        <f t="shared" si="2"/>
        <v>2328463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Koreksi'!$D$5:$D$92,'2500'!A48,'Daftar Koreksi'!$G$5:$G$92,"Kontruksi Dalam Pengerjaan",'Daftar Koreksi'!$H$5:$H$92,"&gt;0")</f>
        <v>0</v>
      </c>
      <c r="F57" s="25">
        <f>SUMIFS('Daftar Koreksi'!$H$5:$H$92,'Daftar Koreksi'!$D$5:$D$92,'2500'!A48,'Daftar Koreksi'!$G$5:$G$92,"Kontruksi Dalam Pengerjaan",'Daftar Koreksi'!$H$5:$H$92,"&lt;0")-SUMIFS('Daftar Koreksi'!$H$5:$H$92,'Daftar Koreksi'!$D$5:$D$92,'2500'!A48,'Daftar Koreksi'!$G$5:$G$92,"Kontruksi Dalam Pengerjaan",'Daftar Koreksi'!$H$5:$H$92,"&lt;0")-SUMIFS('Daftar Koreksi'!$H$5:$H$92,'Daftar Koreksi'!$D$5:$D$92,'2500'!A48,'Daftar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100000000</v>
      </c>
      <c r="E58" s="25">
        <f>SUMIFS('Daftar Koreksi'!$H$5:$H$92,'Daftar Koreksi'!$D$5:$D$92,'2500'!A48,'Daftar Koreksi'!$G$5:$G$92,"Aset Tak Berwujud",'Daftar Koreksi'!$H$5:$H$92,"&gt;0")</f>
        <v>0</v>
      </c>
      <c r="F58" s="25">
        <f>SUMIFS('Daftar Koreksi'!$H$5:$H$92,'Daftar Koreksi'!$D$5:$D$92,'2500'!A48,'Daftar Koreksi'!$G$5:$G$92,"Aset Tak Berwujud",'Daftar Koreksi'!$H$5:$H$92,"&lt;0")-SUMIFS('Daftar Koreksi'!$H$5:$H$92,'Daftar Koreksi'!$D$5:$D$92,'2500'!A48,'Daftar Koreksi'!$G$5:$G$92,"Aset Tak Berwujud",'Daftar Koreksi'!$H$5:$H$92,"&lt;0")-SUMIFS('Daftar Koreksi'!$H$5:$H$92,'Daftar Koreksi'!$D$5:$D$92,'2500'!A48,'Daftar Koreksi'!$G$5:$G$92,"Aset Tak Berwujud",'Daftar Koreksi'!$H$5:$H$92,"&lt;0")</f>
        <v>0</v>
      </c>
      <c r="G58" s="17">
        <f t="shared" si="2"/>
        <v>100000000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655831000</v>
      </c>
      <c r="E59" s="25">
        <f>SUMIFS('Daftar Koreksi'!$H$5:$H$92,'Daftar Koreksi'!$D$5:$D$92,'2500'!A48,'Daftar Koreksi'!$G$5:$G$92,"Aset Henti Guna",'Daftar Koreksi'!$H$5:$H$92,"&gt;0")</f>
        <v>0</v>
      </c>
      <c r="F59" s="25">
        <f>SUMIFS('Daftar Koreksi'!$H$5:$H$92,'Daftar Koreksi'!$D$5:$D$92,'2500'!A48,'Daftar Koreksi'!$G$5:$G$92,"Aset Henti Guna",'Daftar Koreksi'!$H$5:$H$92,"&lt;0")-SUMIFS('Daftar Koreksi'!$H$5:$H$92,'Daftar Koreksi'!$D$5:$D$92,'2500'!A48,'Daftar Koreksi'!$G$5:$G$92,"Aset Henti Guna",'Daftar Koreksi'!$H$5:$H$92,"&lt;0")-SUMIFS('Daftar Koreksi'!$H$5:$H$92,'Daftar Koreksi'!$D$5:$D$92,'2500'!A48,'Daftar Koreksi'!$G$5:$G$92,"Aset Henti Guna",'Daftar Koreksi'!$H$5:$H$92,"&lt;0")</f>
        <v>0</v>
      </c>
      <c r="G59" s="17">
        <f t="shared" si="2"/>
        <v>655831000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28259728254</v>
      </c>
      <c r="E60" s="19">
        <f>SUM(E51:E59)</f>
        <v>0</v>
      </c>
      <c r="F60" s="19">
        <f>SUM(F51:F59)</f>
        <v>0</v>
      </c>
      <c r="G60" s="19">
        <f t="shared" si="2"/>
        <v>28259728254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-940422634</v>
      </c>
      <c r="E61" s="25">
        <f>SUMIFS('Daftar Koreksi'!$I$5:$I$92,'Daftar Koreksi'!$D$5:$D$92,'2500'!A48,'Daftar Koreksi'!$G$5:$G$92,"Peralatan dan mesin",'Daftar Koreksi'!$I$5:$I$92,"&gt;0")</f>
        <v>0</v>
      </c>
      <c r="F61" s="25">
        <f>SUMIFS('Daftar Koreksi'!$I$5:$I$92,'Daftar Koreksi'!$D$5:$D$92,'2500'!A48,'Daftar Koreksi'!$G$5:$G$92,"Peralatan dan mesin",'Daftar Koreksi'!$I$5:$I$92,"&lt;0")-SUMIFS('Daftar Koreksi'!$I$5:$I$92,'Daftar Koreksi'!$D$5:$D$92,'2500'!A48,'Daftar Koreksi'!$G$5:$G$92,"Peralatan dan mesin",'Daftar Koreksi'!$I$5:$I$92,"&lt;0")-SUMIFS('Daftar Koreksi'!$I$5:$I$92,'Daftar Koreksi'!$D$5:$D$92,'2500'!A48,'Daftar Koreksi'!$G$5:$G$92,"Peralatan dan mesin",'Daftar Koreksi'!$I$5:$I$92,"&lt;0")</f>
        <v>0</v>
      </c>
      <c r="G61" s="17">
        <f t="shared" si="2"/>
        <v>-940422634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-2721003435</v>
      </c>
      <c r="E62" s="25">
        <f>SUMIFS('Daftar Koreksi'!$I$5:$I$92,'Daftar Koreksi'!$D$5:$D$92,'2500'!A48,'Daftar Koreksi'!$G$5:$G$92,"Gedung dan Bangunan",'Daftar Koreksi'!$I$5:$I$92,"&gt;0")</f>
        <v>0</v>
      </c>
      <c r="F62" s="25">
        <f>SUMIFS('Daftar Koreksi'!$I$5:$I$92,'Daftar Koreksi'!$D$5:$D$92,'2500'!A48,'Daftar Koreksi'!$G$5:$G$92,"Gedung dan Bangunan",'Daftar Koreksi'!$I$5:$I$92,"&lt;0")-SUMIFS('Daftar Koreksi'!$I$5:$I$92,'Daftar Koreksi'!$D$5:$D$92,'2500'!A48,'Daftar Koreksi'!$G$5:$G$92,"Gedung dan Bangunan",'Daftar Koreksi'!$I$5:$I$92,"&lt;0")-SUMIFS('Daftar Koreksi'!$I$5:$I$92,'Daftar Koreksi'!$D$5:$D$92,'2500'!A48,'Daftar Koreksi'!$G$5:$G$92,"Gedung dan Bangunan",'Daftar Koreksi'!$I$5:$I$92,"&lt;0")</f>
        <v>0</v>
      </c>
      <c r="G62" s="17">
        <f t="shared" si="2"/>
        <v>-2721003435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-25000000</v>
      </c>
      <c r="E63" s="25">
        <f>SUMIFS('Daftar Koreksi'!$I$5:$I$92,'Daftar Koreksi'!$D$5:$D$92,'2500'!A48,'Daftar Koreksi'!$G$5:$G$92,"Jalan Irigasi Jaringan",'Daftar Koreksi'!$I$5:$I$92,"&gt;0")</f>
        <v>0</v>
      </c>
      <c r="F63" s="25">
        <f>SUMIFS('Daftar Koreksi'!$I$5:$I$92,'Daftar Koreksi'!$D$5:$D$92,'2500'!A48,'Daftar Koreksi'!$G$5:$G$92,"Jalan Irigasi Jaringan",'Daftar Koreksi'!$I$5:$I$92,"&lt;0")-SUMIFS('Daftar Koreksi'!$I$5:$I$92,'Daftar Koreksi'!$D$5:$D$92,'2500'!A48,'Daftar Koreksi'!$G$5:$G$92,"Jalan Irigasi Jaringan",'Daftar Koreksi'!$I$5:$I$92,"&lt;0")-SUMIFS('Daftar Koreksi'!$I$5:$I$92,'Daftar Koreksi'!$D$5:$D$92,'2500'!A48,'Daftar Koreksi'!$G$5:$G$92,"Jalan Irigasi Jaringan",'Daftar Koreksi'!$I$5:$I$92,"&lt;0")</f>
        <v>0</v>
      </c>
      <c r="G63" s="17">
        <f t="shared" si="2"/>
        <v>-25000000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Koreksi'!$D$5:$D$92,'2500'!A48,'Daftar Koreksi'!$G$5:$G$92,"Aset Tetap Lainnya",'Daftar Koreksi'!$I$5:$I$92,"&gt;0")</f>
        <v>0</v>
      </c>
      <c r="F64" s="25">
        <f>SUMIFS('Daftar Koreksi'!$I$5:$I$92,'Daftar Koreksi'!$D$5:$D$92,'2500'!A48,'Daftar Koreksi'!$G$5:$G$92,"Aset Tetap Lainnya",'Daftar Koreksi'!$I$5:$I$92,"&lt;0")-SUMIFS('Daftar Koreksi'!$I$5:$I$92,'Daftar Koreksi'!$D$5:$D$92,'2500'!A48,'Daftar Koreksi'!$G$5:$G$92,"Aset Tetap Lainnya",'Daftar Koreksi'!$I$5:$I$92,"&lt;0")-SUMIFS('Daftar Koreksi'!$I$5:$I$92,'Daftar Koreksi'!$D$5:$D$92,'2500'!A48,'Daftar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-651071014</v>
      </c>
      <c r="E65" s="25">
        <f>SUMIFS('Daftar Koreksi'!$I$5:$I$92,'Daftar Koreksi'!$D$5:$D$92,'2500'!A48,'Daftar Koreksi'!$G$5:$G$92,"Aset Henti Guna",'Daftar Koreksi'!$I$5:$I$92,"&gt;0")</f>
        <v>0</v>
      </c>
      <c r="F65" s="25">
        <f>SUMIFS('Daftar Koreksi'!$I$5:$I$92,'Daftar Koreksi'!$D$5:$D$92,'2500'!A48,'Daftar Koreksi'!$G$5:$G$92,"Aset Henti Guna",'Daftar Koreksi'!$I$5:$I$92,"&lt;0")-SUMIFS('Daftar Koreksi'!$I$5:$I$92,'Daftar Koreksi'!$D$5:$D$92,'2500'!A48,'Daftar Koreksi'!$G$5:$G$92,"Aset Henti Guna",'Daftar Koreksi'!$I$5:$I$92,"&lt;0")-SUMIFS('Daftar Koreksi'!$I$5:$I$92,'Daftar Koreksi'!$D$5:$D$92,'2500'!A48,'Daftar Koreksi'!$G$5:$G$92,"Aset Henti Guna",'Daftar Koreksi'!$I$5:$I$92,"&lt;0")</f>
        <v>0</v>
      </c>
      <c r="G65" s="17">
        <f t="shared" si="2"/>
        <v>-651071014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-4337497083</v>
      </c>
      <c r="E66" s="19">
        <f>SUM(E61:E65)</f>
        <v>0</v>
      </c>
      <c r="F66" s="19">
        <f>SUM(F61:F65)</f>
        <v>0</v>
      </c>
      <c r="G66" s="19">
        <f t="shared" si="2"/>
        <v>-4337497083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23922231171</v>
      </c>
      <c r="E67" s="19">
        <f>E66+E60</f>
        <v>0</v>
      </c>
      <c r="F67" s="19">
        <f>F66+F60</f>
        <v>0</v>
      </c>
      <c r="G67" s="19">
        <f t="shared" si="2"/>
        <v>23922231171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005012500400050000KD</v>
      </c>
      <c r="B70" s="11" t="str">
        <f>P4</f>
        <v>PN. Merauke</v>
      </c>
      <c r="C70" s="12" t="str">
        <f>A70&amp;" "&amp;B70</f>
        <v>005012500400050000KD PN. Merauke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4333000</v>
      </c>
      <c r="E73" s="25">
        <f>SUMIFS('Daftar Koreksi'!$H$5:$H$92,'Daftar Koreksi'!$D$5:$D$92,'2500'!A70,'Daftar Koreksi'!$G$5:$G$92,"Persediaan",'Daftar Koreksi'!$H$5:$H$92,"&gt;0")</f>
        <v>0</v>
      </c>
      <c r="F73" s="25">
        <f>SUMIFS('Daftar Koreksi'!$H$5:$H$92,'Daftar Koreksi'!$D$5:$D$92,'2500'!A70,'Daftar Koreksi'!$G$5:$G$92,"Persediaan",'Daftar Koreksi'!$H$5:$H$92,"&lt;0")-SUMIFS('Daftar Koreksi'!$H$5:$H$92,'Daftar Koreksi'!$D$5:$D$92,'2500'!A70,'Daftar Koreksi'!$G$5:$G$92,"Persediaan",'Daftar Koreksi'!$H$5:$H$92,"&lt;0")-SUMIFS('Daftar Koreksi'!$H$5:$H$92,'Daftar Koreksi'!$D$5:$D$92,'2500'!A70,'Daftar Koreksi'!$G$5:$G$92,"Persediaan",'Daftar Koreksi'!$H$5:$H$92,"&lt;0")</f>
        <v>0</v>
      </c>
      <c r="G73" s="17">
        <f>D73+E73-F73</f>
        <v>4333000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8087750000</v>
      </c>
      <c r="E74" s="25">
        <f>SUMIFS('Daftar Koreksi'!$H$5:$H$92,'Daftar Koreksi'!$D$5:$D$92,'2500'!A70,'Daftar Koreksi'!$G$5:$G$92,"Tanah",'Daftar Koreksi'!$H$5:$H$92,"&gt;0")</f>
        <v>0</v>
      </c>
      <c r="F74" s="25">
        <f>SUMIFS('Daftar Koreksi'!$H$5:$H$92,'Daftar Koreksi'!$D$5:$D$92,'2500'!A70,'Daftar Koreksi'!$G$5:$G$92,"Tanah",'Daftar Koreksi'!$H$5:$H$92,"&lt;0")-SUMIFS('Daftar Koreksi'!$H$5:$H$92,'Daftar Koreksi'!$D$5:$D$92,'2500'!A70,'Daftar Koreksi'!$G$5:$G$92,"Tanah",'Daftar Koreksi'!$H$5:$H$92,"&lt;0")-SUMIFS('Daftar Koreksi'!$H$5:$H$92,'Daftar Koreksi'!$D$5:$D$92,'2500'!A70,'Daftar Koreksi'!$G$5:$G$92,"Tanah",'Daftar Koreksi'!$H$5:$H$92,"&lt;0")</f>
        <v>0</v>
      </c>
      <c r="G74" s="17">
        <f t="shared" ref="G74:G90" si="3">D74+E74-F74</f>
        <v>8087750000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1273227500</v>
      </c>
      <c r="E75" s="25">
        <f>SUMIFS('Daftar Koreksi'!$H$5:$H$92,'Daftar Koreksi'!$D$5:$D$92,'2500'!A70,'Daftar Koreksi'!$G$5:$G$92,"Peralatan dan mesin",'Daftar Koreksi'!$H$5:$H$92,"&gt;0")</f>
        <v>0</v>
      </c>
      <c r="F75" s="25">
        <f>SUMIFS('Daftar Koreksi'!$H$5:$H$92,'Daftar Koreksi'!$D$5:$D$92,'2500'!A70,'Daftar Koreksi'!$G$5:$G$92,"Peralatan dan mesin",'Daftar Koreksi'!$H$5:$H$92,"&lt;0")-SUMIFS('Daftar Koreksi'!$H$5:$H$92,'Daftar Koreksi'!$D$5:$D$92,'2500'!A70,'Daftar Koreksi'!$G$5:$G$92,"Peralatan dan mesin",'Daftar Koreksi'!$H$5:$H$92,"&lt;0")-SUMIFS('Daftar Koreksi'!$H$5:$H$92,'Daftar Koreksi'!$D$5:$D$92,'2500'!A70,'Daftar Koreksi'!$G$5:$G$92,"Peralatan dan mesin",'Daftar Koreksi'!$H$5:$H$92,"&lt;0")</f>
        <v>0</v>
      </c>
      <c r="G75" s="17">
        <f t="shared" si="3"/>
        <v>1273227500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21792621595</v>
      </c>
      <c r="E76" s="25">
        <f>SUMIFS('Daftar Koreksi'!$H$5:$H$92,'Daftar Koreksi'!$D$5:$D$92,'2500'!A70,'Daftar Koreksi'!$G$5:$G$92,"Gedung dan Bangunan",'Daftar Koreksi'!$H$5:$H$92,"&gt;0")</f>
        <v>0</v>
      </c>
      <c r="F76" s="25">
        <f>SUMIFS('Daftar Koreksi'!$H$5:$H$92,'Daftar Koreksi'!$D$5:$D$92,'2500'!A70,'Daftar Koreksi'!$G$5:$G$92,"Gedung dan Bangunan",'Daftar Koreksi'!$H$5:$H$92,"&lt;0")-SUMIFS('Daftar Koreksi'!$H$5:$H$92,'Daftar Koreksi'!$D$5:$D$92,'2500'!A70,'Daftar Koreksi'!$G$5:$G$92,"Gedung dan Bangunan",'Daftar Koreksi'!$H$5:$H$92,"&lt;0")-SUMIFS('Daftar Koreksi'!$H$5:$H$92,'Daftar Koreksi'!$D$5:$D$92,'2500'!A70,'Daftar Koreksi'!$G$5:$G$92,"Gedung dan Bangunan",'Daftar Koreksi'!$H$5:$H$92,"&lt;0")</f>
        <v>0</v>
      </c>
      <c r="G76" s="17">
        <f t="shared" si="3"/>
        <v>21792621595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149575000</v>
      </c>
      <c r="E77" s="25">
        <f>SUMIFS('Daftar Koreksi'!$H$5:$H$92,'Daftar Koreksi'!$D$5:$D$92,'2500'!A70,'Daftar Koreksi'!$G$5:$G$92,"Jalan Irigasi Jaringan",'Daftar Koreksi'!$H$5:$H$92,"&gt;0")</f>
        <v>0</v>
      </c>
      <c r="F77" s="25">
        <f>SUMIFS('Daftar Koreksi'!$H$5:$H$92,'Daftar Koreksi'!$D$5:$D$92,'2500'!A70,'Daftar Koreksi'!$G$5:$G$92,"Jalan Irigasi Jaringan",'Daftar Koreksi'!$H$5:$H$92,"&lt;0")-SUMIFS('Daftar Koreksi'!$H$5:$H$92,'Daftar Koreksi'!$D$5:$D$92,'2500'!A70,'Daftar Koreksi'!$G$5:$G$92,"Jalan Irigasi Jaringan",'Daftar Koreksi'!$H$5:$H$92,"&lt;0")-SUMIFS('Daftar Koreksi'!$H$5:$H$92,'Daftar Koreksi'!$D$5:$D$92,'2500'!A70,'Daftar Koreksi'!$G$5:$G$92,"Jalan Irigasi Jaringan",'Daftar Koreksi'!$H$5:$H$92,"&lt;0")</f>
        <v>0</v>
      </c>
      <c r="G77" s="17">
        <f t="shared" si="3"/>
        <v>149575000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7943440</v>
      </c>
      <c r="E78" s="25">
        <f>SUMIFS('Daftar Koreksi'!$H$5:$H$92,'Daftar Koreksi'!$D$5:$D$92,'2500'!A70,'Daftar Koreksi'!$G$5:$G$92,"Aset Tetap Lainnya",'Daftar Koreksi'!$H$5:$H$92,"&gt;0")</f>
        <v>0</v>
      </c>
      <c r="F78" s="25">
        <f>SUMIFS('Daftar Koreksi'!$H$5:$H$92,'Daftar Koreksi'!$D$5:$D$92,'2500'!A70,'Daftar Koreksi'!$G$5:$G$92,"Aset Tetap Lainnya",'Daftar Koreksi'!$H$5:$H$92,"&lt;0")-SUMIFS('Daftar Koreksi'!$H$5:$H$92,'Daftar Koreksi'!$D$5:$D$92,'2500'!A70,'Daftar Koreksi'!$G$5:$G$92,"Aset Tetap Lainnya",'Daftar Koreksi'!$H$5:$H$92,"&lt;0")-SUMIFS('Daftar Koreksi'!$H$5:$H$92,'Daftar Koreksi'!$D$5:$D$92,'2500'!A70,'Daftar Koreksi'!$G$5:$G$92,"Aset Tetap Lainnya",'Daftar Koreksi'!$H$5:$H$92,"&lt;0")</f>
        <v>0</v>
      </c>
      <c r="G78" s="17">
        <f t="shared" si="3"/>
        <v>7943440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Koreksi'!$D$5:$D$92,'2500'!A70,'Daftar Koreksi'!$G$5:$G$92,"Kontruksi Dalam Pengerjaan",'Daftar Koreksi'!$H$5:$H$92,"&gt;0")</f>
        <v>0</v>
      </c>
      <c r="F79" s="25">
        <f>SUMIFS('Daftar Koreksi'!$H$5:$H$92,'Daftar Koreksi'!$D$5:$D$92,'2500'!A70,'Daftar Koreksi'!$G$5:$G$92,"Kontruksi Dalam Pengerjaan",'Daftar Koreksi'!$H$5:$H$92,"&lt;0")-SUMIFS('Daftar Koreksi'!$H$5:$H$92,'Daftar Koreksi'!$D$5:$D$92,'2500'!A70,'Daftar Koreksi'!$G$5:$G$92,"Kontruksi Dalam Pengerjaan",'Daftar Koreksi'!$H$5:$H$92,"&lt;0")-SUMIFS('Daftar Koreksi'!$H$5:$H$92,'Daftar Koreksi'!$D$5:$D$92,'2500'!A70,'Daftar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Koreksi'!$D$5:$D$92,'2500'!A70,'Daftar Koreksi'!$G$5:$G$92,"Aset Tak Berwujud",'Daftar Koreksi'!$H$5:$H$92,"&gt;0")</f>
        <v>0</v>
      </c>
      <c r="F80" s="25">
        <f>SUMIFS('Daftar Koreksi'!$H$5:$H$92,'Daftar Koreksi'!$D$5:$D$92,'2500'!A70,'Daftar Koreksi'!$G$5:$G$92,"Aset Tak Berwujud",'Daftar Koreksi'!$H$5:$H$92,"&lt;0")-SUMIFS('Daftar Koreksi'!$H$5:$H$92,'Daftar Koreksi'!$D$5:$D$92,'2500'!A70,'Daftar Koreksi'!$G$5:$G$92,"Aset Tak Berwujud",'Daftar Koreksi'!$H$5:$H$92,"&lt;0")-SUMIFS('Daftar Koreksi'!$H$5:$H$92,'Daftar Koreksi'!$D$5:$D$92,'2500'!A70,'Daftar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10834578</v>
      </c>
      <c r="E81" s="25">
        <f>SUMIFS('Daftar Koreksi'!$H$5:$H$92,'Daftar Koreksi'!$D$5:$D$92,'2500'!A70,'Daftar Koreksi'!$G$5:$G$92,"Aset Henti Guna",'Daftar Koreksi'!$H$5:$H$92,"&gt;0")</f>
        <v>0</v>
      </c>
      <c r="F81" s="25">
        <f>SUMIFS('Daftar Koreksi'!$H$5:$H$92,'Daftar Koreksi'!$D$5:$D$92,'2500'!A70,'Daftar Koreksi'!$G$5:$G$92,"Aset Henti Guna",'Daftar Koreksi'!$H$5:$H$92,"&lt;0")-SUMIFS('Daftar Koreksi'!$H$5:$H$92,'Daftar Koreksi'!$D$5:$D$92,'2500'!A70,'Daftar Koreksi'!$G$5:$G$92,"Aset Henti Guna",'Daftar Koreksi'!$H$5:$H$92,"&lt;0")-SUMIFS('Daftar Koreksi'!$H$5:$H$92,'Daftar Koreksi'!$D$5:$D$92,'2500'!A70,'Daftar Koreksi'!$G$5:$G$92,"Aset Henti Guna",'Daftar Koreksi'!$H$5:$H$92,"&lt;0")</f>
        <v>0</v>
      </c>
      <c r="G81" s="17">
        <f t="shared" si="3"/>
        <v>10834578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31326285113</v>
      </c>
      <c r="E82" s="19">
        <f>SUM(E73:E81)</f>
        <v>0</v>
      </c>
      <c r="F82" s="19">
        <f>SUM(F73:F81)</f>
        <v>0</v>
      </c>
      <c r="G82" s="19">
        <f t="shared" si="3"/>
        <v>31326285113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-1105465747</v>
      </c>
      <c r="E83" s="25">
        <f>SUMIFS('Daftar Koreksi'!$I$5:$I$92,'Daftar Koreksi'!$D$5:$D$92,'2500'!A70,'Daftar Koreksi'!$G$5:$G$92,"Peralatan dan mesin",'Daftar Koreksi'!$I$5:$I$92,"&gt;0")</f>
        <v>0</v>
      </c>
      <c r="F83" s="25">
        <f>SUMIFS('Daftar Koreksi'!$I$5:$I$92,'Daftar Koreksi'!$D$5:$D$92,'2500'!A70,'Daftar Koreksi'!$G$5:$G$92,"Peralatan dan mesin",'Daftar Koreksi'!$I$5:$I$92,"&lt;0")-SUMIFS('Daftar Koreksi'!$I$5:$I$92,'Daftar Koreksi'!$D$5:$D$92,'2500'!A70,'Daftar Koreksi'!$G$5:$G$92,"Peralatan dan mesin",'Daftar Koreksi'!$I$5:$I$92,"&lt;0")-SUMIFS('Daftar Koreksi'!$I$5:$I$92,'Daftar Koreksi'!$D$5:$D$92,'2500'!A70,'Daftar Koreksi'!$G$5:$G$92,"Peralatan dan mesin",'Daftar Koreksi'!$I$5:$I$92,"&lt;0")</f>
        <v>0</v>
      </c>
      <c r="G83" s="17">
        <f t="shared" si="3"/>
        <v>-1105465747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-8771997933</v>
      </c>
      <c r="E84" s="25">
        <f>SUMIFS('Daftar Koreksi'!$I$5:$I$92,'Daftar Koreksi'!$D$5:$D$92,'2500'!A70,'Daftar Koreksi'!$G$5:$G$92,"Gedung dan Bangunan",'Daftar Koreksi'!$I$5:$I$92,"&gt;0")</f>
        <v>0</v>
      </c>
      <c r="F84" s="25">
        <f>SUMIFS('Daftar Koreksi'!$I$5:$I$92,'Daftar Koreksi'!$D$5:$D$92,'2500'!A70,'Daftar Koreksi'!$G$5:$G$92,"Gedung dan Bangunan",'Daftar Koreksi'!$I$5:$I$92,"&lt;0")-SUMIFS('Daftar Koreksi'!$I$5:$I$92,'Daftar Koreksi'!$D$5:$D$92,'2500'!A70,'Daftar Koreksi'!$G$5:$G$92,"Gedung dan Bangunan",'Daftar Koreksi'!$I$5:$I$92,"&lt;0")-SUMIFS('Daftar Koreksi'!$I$5:$I$92,'Daftar Koreksi'!$D$5:$D$92,'2500'!A70,'Daftar Koreksi'!$G$5:$G$92,"Gedung dan Bangunan",'Daftar Koreksi'!$I$5:$I$92,"&lt;0")</f>
        <v>0</v>
      </c>
      <c r="G84" s="17">
        <f t="shared" si="3"/>
        <v>-8771997933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-48611875</v>
      </c>
      <c r="E85" s="25">
        <f>SUMIFS('Daftar Koreksi'!$I$5:$I$92,'Daftar Koreksi'!$D$5:$D$92,'2500'!A70,'Daftar Koreksi'!$G$5:$G$92,"Jalan Irigasi Jaringan",'Daftar Koreksi'!$I$5:$I$92,"&gt;0")</f>
        <v>0</v>
      </c>
      <c r="F85" s="25">
        <f>SUMIFS('Daftar Koreksi'!$I$5:$I$92,'Daftar Koreksi'!$D$5:$D$92,'2500'!A70,'Daftar Koreksi'!$G$5:$G$92,"Jalan Irigasi Jaringan",'Daftar Koreksi'!$I$5:$I$92,"&lt;0")-SUMIFS('Daftar Koreksi'!$I$5:$I$92,'Daftar Koreksi'!$D$5:$D$92,'2500'!A70,'Daftar Koreksi'!$G$5:$G$92,"Jalan Irigasi Jaringan",'Daftar Koreksi'!$I$5:$I$92,"&lt;0")-SUMIFS('Daftar Koreksi'!$I$5:$I$92,'Daftar Koreksi'!$D$5:$D$92,'2500'!A70,'Daftar Koreksi'!$G$5:$G$92,"Jalan Irigasi Jaringan",'Daftar Koreksi'!$I$5:$I$92,"&lt;0")</f>
        <v>0</v>
      </c>
      <c r="G85" s="17">
        <f t="shared" si="3"/>
        <v>-48611875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Koreksi'!$D$5:$D$92,'2500'!A70,'Daftar Koreksi'!$G$5:$G$92,"Aset Tetap Lainnya",'Daftar Koreksi'!$I$5:$I$92,"&gt;0")</f>
        <v>0</v>
      </c>
      <c r="F86" s="25">
        <f>SUMIFS('Daftar Koreksi'!$I$5:$I$92,'Daftar Koreksi'!$D$5:$D$92,'2500'!A70,'Daftar Koreksi'!$G$5:$G$92,"Aset Tetap Lainnya",'Daftar Koreksi'!$I$5:$I$92,"&lt;0")-SUMIFS('Daftar Koreksi'!$I$5:$I$92,'Daftar Koreksi'!$D$5:$D$92,'2500'!A70,'Daftar Koreksi'!$G$5:$G$92,"Aset Tetap Lainnya",'Daftar Koreksi'!$I$5:$I$92,"&lt;0")-SUMIFS('Daftar Koreksi'!$I$5:$I$92,'Daftar Koreksi'!$D$5:$D$92,'2500'!A70,'Daftar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-10834578</v>
      </c>
      <c r="E87" s="25">
        <f>SUMIFS('Daftar Koreksi'!$I$5:$I$92,'Daftar Koreksi'!$D$5:$D$92,'2500'!A70,'Daftar Koreksi'!$G$5:$G$92,"Aset Henti Guna",'Daftar Koreksi'!$I$5:$I$92,"&gt;0")</f>
        <v>0</v>
      </c>
      <c r="F87" s="25">
        <f>SUMIFS('Daftar Koreksi'!$I$5:$I$92,'Daftar Koreksi'!$D$5:$D$92,'2500'!A70,'Daftar Koreksi'!$G$5:$G$92,"Aset Henti Guna",'Daftar Koreksi'!$I$5:$I$92,"&lt;0")-SUMIFS('Daftar Koreksi'!$I$5:$I$92,'Daftar Koreksi'!$D$5:$D$92,'2500'!A70,'Daftar Koreksi'!$G$5:$G$92,"Aset Henti Guna",'Daftar Koreksi'!$I$5:$I$92,"&lt;0")-SUMIFS('Daftar Koreksi'!$I$5:$I$92,'Daftar Koreksi'!$D$5:$D$92,'2500'!A70,'Daftar Koreksi'!$G$5:$G$92,"Aset Henti Guna",'Daftar Koreksi'!$I$5:$I$92,"&lt;0")</f>
        <v>0</v>
      </c>
      <c r="G87" s="17">
        <f t="shared" si="3"/>
        <v>-10834578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-9936910133</v>
      </c>
      <c r="E88" s="19">
        <f>SUM(E83:E87)</f>
        <v>0</v>
      </c>
      <c r="F88" s="19">
        <f>SUM(F83:F87)</f>
        <v>0</v>
      </c>
      <c r="G88" s="19">
        <f t="shared" si="3"/>
        <v>-9936910133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21389374980</v>
      </c>
      <c r="E89" s="19">
        <f>E88+E82</f>
        <v>0</v>
      </c>
      <c r="F89" s="19">
        <f>F88+F82</f>
        <v>0</v>
      </c>
      <c r="G89" s="19">
        <f t="shared" si="3"/>
        <v>21389374980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005012500400090000KD</v>
      </c>
      <c r="B92" s="11" t="str">
        <f>P5</f>
        <v>PN. Biak</v>
      </c>
      <c r="C92" s="12" t="str">
        <f>A92&amp;" "&amp;B92</f>
        <v>005012500400090000KD PN. Biak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Koreksi'!$D$5:$D$92,'2500'!A92,'Daftar Koreksi'!$G$5:$G$92,"Persediaan",'Daftar Koreksi'!$H$5:$H$92,"&gt;0")</f>
        <v>0</v>
      </c>
      <c r="F95" s="25">
        <f>SUMIFS('Daftar Koreksi'!$H$5:$H$92,'Daftar Koreksi'!$D$5:$D$92,'2500'!A92,'Daftar Koreksi'!$G$5:$G$92,"Persediaan",'Daftar Koreksi'!$H$5:$H$92,"&lt;0")-SUMIFS('Daftar Koreksi'!$H$5:$H$92,'Daftar Koreksi'!$D$5:$D$92,'2500'!A92,'Daftar Koreksi'!$G$5:$G$92,"Persediaan",'Daftar Koreksi'!$H$5:$H$92,"&lt;0")-SUMIFS('Daftar Koreksi'!$H$5:$H$92,'Daftar Koreksi'!$D$5:$D$92,'2500'!A92,'Daftar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685395000</v>
      </c>
      <c r="E96" s="25">
        <f>SUMIFS('Daftar Koreksi'!$H$5:$H$92,'Daftar Koreksi'!$D$5:$D$92,'2500'!A92,'Daftar Koreksi'!$G$5:$G$92,"Tanah",'Daftar Koreksi'!$H$5:$H$92,"&gt;0")</f>
        <v>0</v>
      </c>
      <c r="F96" s="25">
        <f>SUMIFS('Daftar Koreksi'!$H$5:$H$92,'Daftar Koreksi'!$D$5:$D$92,'2500'!A92,'Daftar Koreksi'!$G$5:$G$92,"Tanah",'Daftar Koreksi'!$H$5:$H$92,"&lt;0")-SUMIFS('Daftar Koreksi'!$H$5:$H$92,'Daftar Koreksi'!$D$5:$D$92,'2500'!A92,'Daftar Koreksi'!$G$5:$G$92,"Tanah",'Daftar Koreksi'!$H$5:$H$92,"&lt;0")-SUMIFS('Daftar Koreksi'!$H$5:$H$92,'Daftar Koreksi'!$D$5:$D$92,'2500'!A92,'Daftar Koreksi'!$G$5:$G$92,"Tanah",'Daftar Koreksi'!$H$5:$H$92,"&lt;0")</f>
        <v>0</v>
      </c>
      <c r="G96" s="17">
        <f t="shared" ref="G96:G112" si="4">D96+E96-F96</f>
        <v>685395000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1496341918</v>
      </c>
      <c r="E97" s="25">
        <f>SUMIFS('Daftar Koreksi'!$H$5:$H$92,'Daftar Koreksi'!$D$5:$D$92,'2500'!A92,'Daftar Koreksi'!$G$5:$G$92,"Peralatan dan mesin",'Daftar Koreksi'!$H$5:$H$92,"&gt;0")</f>
        <v>0</v>
      </c>
      <c r="F97" s="25">
        <f>SUMIFS('Daftar Koreksi'!$H$5:$H$92,'Daftar Koreksi'!$D$5:$D$92,'2500'!A92,'Daftar Koreksi'!$G$5:$G$92,"Peralatan dan mesin",'Daftar Koreksi'!$H$5:$H$92,"&lt;0")-SUMIFS('Daftar Koreksi'!$H$5:$H$92,'Daftar Koreksi'!$D$5:$D$92,'2500'!A92,'Daftar Koreksi'!$G$5:$G$92,"Peralatan dan mesin",'Daftar Koreksi'!$H$5:$H$92,"&lt;0")-SUMIFS('Daftar Koreksi'!$H$5:$H$92,'Daftar Koreksi'!$D$5:$D$92,'2500'!A92,'Daftar Koreksi'!$G$5:$G$92,"Peralatan dan mesin",'Daftar Koreksi'!$H$5:$H$92,"&lt;0")</f>
        <v>0</v>
      </c>
      <c r="G97" s="17">
        <f t="shared" si="4"/>
        <v>1496341918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13089454000</v>
      </c>
      <c r="E98" s="25">
        <f>SUMIFS('Daftar Koreksi'!$H$5:$H$92,'Daftar Koreksi'!$D$5:$D$92,'2500'!A92,'Daftar Koreksi'!$G$5:$G$92,"Gedung dan Bangunan",'Daftar Koreksi'!$H$5:$H$92,"&gt;0")</f>
        <v>0</v>
      </c>
      <c r="F98" s="25">
        <f>SUMIFS('Daftar Koreksi'!$H$5:$H$92,'Daftar Koreksi'!$D$5:$D$92,'2500'!A92,'Daftar Koreksi'!$G$5:$G$92,"Gedung dan Bangunan",'Daftar Koreksi'!$H$5:$H$92,"&lt;0")-SUMIFS('Daftar Koreksi'!$H$5:$H$92,'Daftar Koreksi'!$D$5:$D$92,'2500'!A92,'Daftar Koreksi'!$G$5:$G$92,"Gedung dan Bangunan",'Daftar Koreksi'!$H$5:$H$92,"&lt;0")-SUMIFS('Daftar Koreksi'!$H$5:$H$92,'Daftar Koreksi'!$D$5:$D$92,'2500'!A92,'Daftar Koreksi'!$G$5:$G$92,"Gedung dan Bangunan",'Daftar Koreksi'!$H$5:$H$92,"&lt;0")</f>
        <v>0</v>
      </c>
      <c r="G98" s="17">
        <f t="shared" si="4"/>
        <v>13089454000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Koreksi'!$D$5:$D$92,'2500'!A92,'Daftar Koreksi'!$G$5:$G$92,"Jalan Irigasi Jaringan",'Daftar Koreksi'!$H$5:$H$92,"&gt;0")</f>
        <v>0</v>
      </c>
      <c r="F99" s="25">
        <f>SUMIFS('Daftar Koreksi'!$H$5:$H$92,'Daftar Koreksi'!$D$5:$D$92,'2500'!A92,'Daftar Koreksi'!$G$5:$G$92,"Jalan Irigasi Jaringan",'Daftar Koreksi'!$H$5:$H$92,"&lt;0")-SUMIFS('Daftar Koreksi'!$H$5:$H$92,'Daftar Koreksi'!$D$5:$D$92,'2500'!A92,'Daftar Koreksi'!$G$5:$G$92,"Jalan Irigasi Jaringan",'Daftar Koreksi'!$H$5:$H$92,"&lt;0")-SUMIFS('Daftar Koreksi'!$H$5:$H$92,'Daftar Koreksi'!$D$5:$D$92,'2500'!A92,'Daftar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1943440</v>
      </c>
      <c r="E100" s="25">
        <f>SUMIFS('Daftar Koreksi'!$H$5:$H$92,'Daftar Koreksi'!$D$5:$D$92,'2500'!A92,'Daftar Koreksi'!$G$5:$G$92,"Aset Tetap Lainnya",'Daftar Koreksi'!$H$5:$H$92,"&gt;0")</f>
        <v>0</v>
      </c>
      <c r="F100" s="25">
        <f>SUMIFS('Daftar Koreksi'!$H$5:$H$92,'Daftar Koreksi'!$D$5:$D$92,'2500'!A92,'Daftar Koreksi'!$G$5:$G$92,"Aset Tetap Lainnya",'Daftar Koreksi'!$H$5:$H$92,"&lt;0")-SUMIFS('Daftar Koreksi'!$H$5:$H$92,'Daftar Koreksi'!$D$5:$D$92,'2500'!A92,'Daftar Koreksi'!$G$5:$G$92,"Aset Tetap Lainnya",'Daftar Koreksi'!$H$5:$H$92,"&lt;0")-SUMIFS('Daftar Koreksi'!$H$5:$H$92,'Daftar Koreksi'!$D$5:$D$92,'2500'!A92,'Daftar Koreksi'!$G$5:$G$92,"Aset Tetap Lainnya",'Daftar Koreksi'!$H$5:$H$92,"&lt;0")</f>
        <v>0</v>
      </c>
      <c r="G100" s="17">
        <f t="shared" si="4"/>
        <v>1943440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Koreksi'!$D$5:$D$92,'2500'!A92,'Daftar Koreksi'!$G$5:$G$92,"Kontruksi Dalam Pengerjaan",'Daftar Koreksi'!$H$5:$H$92,"&gt;0")</f>
        <v>0</v>
      </c>
      <c r="F101" s="25">
        <f>SUMIFS('Daftar Koreksi'!$H$5:$H$92,'Daftar Koreksi'!$D$5:$D$92,'2500'!A92,'Daftar Koreksi'!$G$5:$G$92,"Kontruksi Dalam Pengerjaan",'Daftar Koreksi'!$H$5:$H$92,"&lt;0")-SUMIFS('Daftar Koreksi'!$H$5:$H$92,'Daftar Koreksi'!$D$5:$D$92,'2500'!A92,'Daftar Koreksi'!$G$5:$G$92,"Kontruksi Dalam Pengerjaan",'Daftar Koreksi'!$H$5:$H$92,"&lt;0")-SUMIFS('Daftar Koreksi'!$H$5:$H$92,'Daftar Koreksi'!$D$5:$D$92,'2500'!A92,'Daftar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Koreksi'!$D$5:$D$92,'2500'!A92,'Daftar Koreksi'!$G$5:$G$92,"Aset Tak Berwujud",'Daftar Koreksi'!$H$5:$H$92,"&gt;0")</f>
        <v>0</v>
      </c>
      <c r="F102" s="25">
        <f>SUMIFS('Daftar Koreksi'!$H$5:$H$92,'Daftar Koreksi'!$D$5:$D$92,'2500'!A92,'Daftar Koreksi'!$G$5:$G$92,"Aset Tak Berwujud",'Daftar Koreksi'!$H$5:$H$92,"&lt;0")-SUMIFS('Daftar Koreksi'!$H$5:$H$92,'Daftar Koreksi'!$D$5:$D$92,'2500'!A92,'Daftar Koreksi'!$G$5:$G$92,"Aset Tak Berwujud",'Daftar Koreksi'!$H$5:$H$92,"&lt;0")-SUMIFS('Daftar Koreksi'!$H$5:$H$92,'Daftar Koreksi'!$D$5:$D$92,'2500'!A92,'Daftar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Koreksi'!$D$5:$D$92,'2500'!A92,'Daftar Koreksi'!$G$5:$G$92,"Aset Henti Guna",'Daftar Koreksi'!$H$5:$H$92,"&gt;0")</f>
        <v>0</v>
      </c>
      <c r="F103" s="25">
        <f>SUMIFS('Daftar Koreksi'!$H$5:$H$92,'Daftar Koreksi'!$D$5:$D$92,'2500'!A92,'Daftar Koreksi'!$G$5:$G$92,"Aset Henti Guna",'Daftar Koreksi'!$H$5:$H$92,"&lt;0")-SUMIFS('Daftar Koreksi'!$H$5:$H$92,'Daftar Koreksi'!$D$5:$D$92,'2500'!A92,'Daftar Koreksi'!$G$5:$G$92,"Aset Henti Guna",'Daftar Koreksi'!$H$5:$H$92,"&lt;0")-SUMIFS('Daftar Koreksi'!$H$5:$H$92,'Daftar Koreksi'!$D$5:$D$92,'2500'!A92,'Daftar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15273134358</v>
      </c>
      <c r="E104" s="19">
        <f>SUM(E95:E103)</f>
        <v>0</v>
      </c>
      <c r="F104" s="19">
        <f>SUM(F95:F103)</f>
        <v>0</v>
      </c>
      <c r="G104" s="19">
        <f t="shared" si="4"/>
        <v>15273134358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-1207062513</v>
      </c>
      <c r="E105" s="25">
        <f>SUMIFS('Daftar Koreksi'!$I$5:$I$92,'Daftar Koreksi'!$D$5:$D$92,'2500'!A92,'Daftar Koreksi'!$G$5:$G$92,"Peralatan dan mesin",'Daftar Koreksi'!$I$5:$I$92,"&gt;0")</f>
        <v>0</v>
      </c>
      <c r="F105" s="25">
        <f>SUMIFS('Daftar Koreksi'!$I$5:$I$92,'Daftar Koreksi'!$D$5:$D$92,'2500'!A92,'Daftar Koreksi'!$G$5:$G$92,"Peralatan dan mesin",'Daftar Koreksi'!$I$5:$I$92,"&lt;0")-SUMIFS('Daftar Koreksi'!$I$5:$I$92,'Daftar Koreksi'!$D$5:$D$92,'2500'!A92,'Daftar Koreksi'!$G$5:$G$92,"Peralatan dan mesin",'Daftar Koreksi'!$I$5:$I$92,"&lt;0")-SUMIFS('Daftar Koreksi'!$I$5:$I$92,'Daftar Koreksi'!$D$5:$D$92,'2500'!A92,'Daftar Koreksi'!$G$5:$G$92,"Peralatan dan mesin",'Daftar Koreksi'!$I$5:$I$92,"&lt;0")</f>
        <v>0</v>
      </c>
      <c r="G105" s="17">
        <f t="shared" si="4"/>
        <v>-1207062513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-5411237060</v>
      </c>
      <c r="E106" s="25">
        <f>SUMIFS('Daftar Koreksi'!$I$5:$I$92,'Daftar Koreksi'!$D$5:$D$92,'2500'!A92,'Daftar Koreksi'!$G$5:$G$92,"Gedung dan Bangunan",'Daftar Koreksi'!$I$5:$I$92,"&gt;0")</f>
        <v>0</v>
      </c>
      <c r="F106" s="25">
        <f>SUMIFS('Daftar Koreksi'!$I$5:$I$92,'Daftar Koreksi'!$D$5:$D$92,'2500'!A92,'Daftar Koreksi'!$G$5:$G$92,"Gedung dan Bangunan",'Daftar Koreksi'!$I$5:$I$92,"&lt;0")-SUMIFS('Daftar Koreksi'!$I$5:$I$92,'Daftar Koreksi'!$D$5:$D$92,'2500'!A92,'Daftar Koreksi'!$G$5:$G$92,"Gedung dan Bangunan",'Daftar Koreksi'!$I$5:$I$92,"&lt;0")-SUMIFS('Daftar Koreksi'!$I$5:$I$92,'Daftar Koreksi'!$D$5:$D$92,'2500'!A92,'Daftar Koreksi'!$G$5:$G$92,"Gedung dan Bangunan",'Daftar Koreksi'!$I$5:$I$92,"&lt;0")</f>
        <v>0</v>
      </c>
      <c r="G106" s="17">
        <f t="shared" si="4"/>
        <v>-5411237060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Koreksi'!$D$5:$D$92,'2500'!A92,'Daftar Koreksi'!$G$5:$G$92,"Jalan Irigasi Jaringan",'Daftar Koreksi'!$I$5:$I$92,"&gt;0")</f>
        <v>0</v>
      </c>
      <c r="F107" s="25">
        <f>SUMIFS('Daftar Koreksi'!$I$5:$I$92,'Daftar Koreksi'!$D$5:$D$92,'2500'!A92,'Daftar Koreksi'!$G$5:$G$92,"Jalan Irigasi Jaringan",'Daftar Koreksi'!$I$5:$I$92,"&lt;0")-SUMIFS('Daftar Koreksi'!$I$5:$I$92,'Daftar Koreksi'!$D$5:$D$92,'2500'!A92,'Daftar Koreksi'!$G$5:$G$92,"Jalan Irigasi Jaringan",'Daftar Koreksi'!$I$5:$I$92,"&lt;0")-SUMIFS('Daftar Koreksi'!$I$5:$I$92,'Daftar Koreksi'!$D$5:$D$92,'2500'!A92,'Daftar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Koreksi'!$D$5:$D$92,'2500'!A92,'Daftar Koreksi'!$G$5:$G$92,"Aset Tetap Lainnya",'Daftar Koreksi'!$I$5:$I$92,"&gt;0")</f>
        <v>0</v>
      </c>
      <c r="F108" s="25">
        <f>SUMIFS('Daftar Koreksi'!$I$5:$I$92,'Daftar Koreksi'!$D$5:$D$92,'2500'!A92,'Daftar Koreksi'!$G$5:$G$92,"Aset Tetap Lainnya",'Daftar Koreksi'!$I$5:$I$92,"&lt;0")-SUMIFS('Daftar Koreksi'!$I$5:$I$92,'Daftar Koreksi'!$D$5:$D$92,'2500'!A92,'Daftar Koreksi'!$G$5:$G$92,"Aset Tetap Lainnya",'Daftar Koreksi'!$I$5:$I$92,"&lt;0")-SUMIFS('Daftar Koreksi'!$I$5:$I$92,'Daftar Koreksi'!$D$5:$D$92,'2500'!A92,'Daftar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Koreksi'!$D$5:$D$92,'2500'!A92,'Daftar Koreksi'!$G$5:$G$92,"Aset Henti Guna",'Daftar Koreksi'!$I$5:$I$92,"&gt;0")</f>
        <v>0</v>
      </c>
      <c r="F109" s="25">
        <f>SUMIFS('Daftar Koreksi'!$I$5:$I$92,'Daftar Koreksi'!$D$5:$D$92,'2500'!A92,'Daftar Koreksi'!$G$5:$G$92,"Aset Henti Guna",'Daftar Koreksi'!$I$5:$I$92,"&lt;0")-SUMIFS('Daftar Koreksi'!$I$5:$I$92,'Daftar Koreksi'!$D$5:$D$92,'2500'!A92,'Daftar Koreksi'!$G$5:$G$92,"Aset Henti Guna",'Daftar Koreksi'!$I$5:$I$92,"&lt;0")-SUMIFS('Daftar Koreksi'!$I$5:$I$92,'Daftar Koreksi'!$D$5:$D$92,'2500'!A92,'Daftar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-6618299573</v>
      </c>
      <c r="E110" s="19">
        <f>SUM(E105:E109)</f>
        <v>0</v>
      </c>
      <c r="F110" s="19">
        <f>SUM(F105:F109)</f>
        <v>0</v>
      </c>
      <c r="G110" s="19">
        <f t="shared" si="4"/>
        <v>-6618299573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8654834785</v>
      </c>
      <c r="E111" s="19">
        <f>E110+E104</f>
        <v>0</v>
      </c>
      <c r="F111" s="19">
        <f>F110+F104</f>
        <v>0</v>
      </c>
      <c r="G111" s="19">
        <f t="shared" si="4"/>
        <v>8654834785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005012500400101000KD</v>
      </c>
      <c r="B114" s="11" t="str">
        <f>P6</f>
        <v>PN. Nabire</v>
      </c>
      <c r="C114" s="12" t="str">
        <f>A114&amp;" "&amp;B114</f>
        <v>005012500400101000KD PN. Nabire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1678000</v>
      </c>
      <c r="E117" s="25">
        <f>SUMIFS('Daftar Koreksi'!$H$5:$H$92,'Daftar Koreksi'!$D$5:$D$92,'2500'!A114,'Daftar Koreksi'!$G$5:$G$92,"Persediaan",'Daftar Koreksi'!$H$5:$H$92,"&gt;0")</f>
        <v>0</v>
      </c>
      <c r="F117" s="25">
        <f>SUMIFS('Daftar Koreksi'!$H$5:$H$92,'Daftar Koreksi'!$D$5:$D$92,'2500'!A114,'Daftar Koreksi'!$G$5:$G$92,"Persediaan",'Daftar Koreksi'!$H$5:$H$92,"&lt;0")-SUMIFS('Daftar Koreksi'!$H$5:$H$92,'Daftar Koreksi'!$D$5:$D$92,'2500'!A114,'Daftar Koreksi'!$G$5:$G$92,"Persediaan",'Daftar Koreksi'!$H$5:$H$92,"&lt;0")-SUMIFS('Daftar Koreksi'!$H$5:$H$92,'Daftar Koreksi'!$D$5:$D$92,'2500'!A114,'Daftar Koreksi'!$G$5:$G$92,"Persediaan",'Daftar Koreksi'!$H$5:$H$92,"&lt;0")</f>
        <v>0</v>
      </c>
      <c r="G117" s="17">
        <f>D117+E117-F117</f>
        <v>1678000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1243109000</v>
      </c>
      <c r="E118" s="25">
        <f>SUMIFS('Daftar Koreksi'!$H$5:$H$92,'Daftar Koreksi'!$D$5:$D$92,'2500'!A114,'Daftar Koreksi'!$G$5:$G$92,"Tanah",'Daftar Koreksi'!$H$5:$H$92,"&gt;0")</f>
        <v>0</v>
      </c>
      <c r="F118" s="25">
        <f>SUMIFS('Daftar Koreksi'!$H$5:$H$92,'Daftar Koreksi'!$D$5:$D$92,'2500'!A114,'Daftar Koreksi'!$G$5:$G$92,"Tanah",'Daftar Koreksi'!$H$5:$H$92,"&lt;0")-SUMIFS('Daftar Koreksi'!$H$5:$H$92,'Daftar Koreksi'!$D$5:$D$92,'2500'!A114,'Daftar Koreksi'!$G$5:$G$92,"Tanah",'Daftar Koreksi'!$H$5:$H$92,"&lt;0")-SUMIFS('Daftar Koreksi'!$H$5:$H$92,'Daftar Koreksi'!$D$5:$D$92,'2500'!A114,'Daftar Koreksi'!$G$5:$G$92,"Tanah",'Daftar Koreksi'!$H$5:$H$92,"&lt;0")</f>
        <v>0</v>
      </c>
      <c r="G118" s="17">
        <f t="shared" ref="G118:G134" si="5">D118+E118-F118</f>
        <v>1243109000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1959689328</v>
      </c>
      <c r="E119" s="25">
        <f>SUMIFS('Daftar Koreksi'!$H$5:$H$92,'Daftar Koreksi'!$D$5:$D$92,'2500'!A114,'Daftar Koreksi'!$G$5:$G$92,"Peralatan dan mesin",'Daftar Koreksi'!$H$5:$H$92,"&gt;0")</f>
        <v>0</v>
      </c>
      <c r="F119" s="25">
        <f>SUMIFS('Daftar Koreksi'!$H$5:$H$92,'Daftar Koreksi'!$D$5:$D$92,'2500'!A114,'Daftar Koreksi'!$G$5:$G$92,"Peralatan dan mesin",'Daftar Koreksi'!$H$5:$H$92,"&lt;0")-SUMIFS('Daftar Koreksi'!$H$5:$H$92,'Daftar Koreksi'!$D$5:$D$92,'2500'!A114,'Daftar Koreksi'!$G$5:$G$92,"Peralatan dan mesin",'Daftar Koreksi'!$H$5:$H$92,"&lt;0")-SUMIFS('Daftar Koreksi'!$H$5:$H$92,'Daftar Koreksi'!$D$5:$D$92,'2500'!A114,'Daftar Koreksi'!$G$5:$G$92,"Peralatan dan mesin",'Daftar Koreksi'!$H$5:$H$92,"&lt;0")</f>
        <v>0</v>
      </c>
      <c r="G119" s="17">
        <f t="shared" si="5"/>
        <v>1959689328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9201182450</v>
      </c>
      <c r="E120" s="25">
        <f>SUMIFS('Daftar Koreksi'!$H$5:$H$92,'Daftar Koreksi'!$D$5:$D$92,'2500'!A114,'Daftar Koreksi'!$G$5:$G$92,"Gedung dan Bangunan",'Daftar Koreksi'!$H$5:$H$92,"&gt;0")</f>
        <v>0</v>
      </c>
      <c r="F120" s="25">
        <f>SUMIFS('Daftar Koreksi'!$H$5:$H$92,'Daftar Koreksi'!$D$5:$D$92,'2500'!A114,'Daftar Koreksi'!$G$5:$G$92,"Gedung dan Bangunan",'Daftar Koreksi'!$H$5:$H$92,"&lt;0")-SUMIFS('Daftar Koreksi'!$H$5:$H$92,'Daftar Koreksi'!$D$5:$D$92,'2500'!A114,'Daftar Koreksi'!$G$5:$G$92,"Gedung dan Bangunan",'Daftar Koreksi'!$H$5:$H$92,"&lt;0")-SUMIFS('Daftar Koreksi'!$H$5:$H$92,'Daftar Koreksi'!$D$5:$D$92,'2500'!A114,'Daftar Koreksi'!$G$5:$G$92,"Gedung dan Bangunan",'Daftar Koreksi'!$H$5:$H$92,"&lt;0")</f>
        <v>0</v>
      </c>
      <c r="G120" s="17">
        <f t="shared" si="5"/>
        <v>9201182450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6000000</v>
      </c>
      <c r="E121" s="25">
        <f>SUMIFS('Daftar Koreksi'!$H$5:$H$92,'Daftar Koreksi'!$D$5:$D$92,'2500'!A114,'Daftar Koreksi'!$G$5:$G$92,"Jalan Irigasi Jaringan",'Daftar Koreksi'!$H$5:$H$92,"&gt;0")</f>
        <v>0</v>
      </c>
      <c r="F121" s="25">
        <f>SUMIFS('Daftar Koreksi'!$H$5:$H$92,'Daftar Koreksi'!$D$5:$D$92,'2500'!A114,'Daftar Koreksi'!$G$5:$G$92,"Jalan Irigasi Jaringan",'Daftar Koreksi'!$H$5:$H$92,"&lt;0")-SUMIFS('Daftar Koreksi'!$H$5:$H$92,'Daftar Koreksi'!$D$5:$D$92,'2500'!A114,'Daftar Koreksi'!$G$5:$G$92,"Jalan Irigasi Jaringan",'Daftar Koreksi'!$H$5:$H$92,"&lt;0")-SUMIFS('Daftar Koreksi'!$H$5:$H$92,'Daftar Koreksi'!$D$5:$D$92,'2500'!A114,'Daftar Koreksi'!$G$5:$G$92,"Jalan Irigasi Jaringan",'Daftar Koreksi'!$H$5:$H$92,"&lt;0")</f>
        <v>0</v>
      </c>
      <c r="G121" s="17">
        <f t="shared" si="5"/>
        <v>6000000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1943440</v>
      </c>
      <c r="E122" s="25">
        <f>SUMIFS('Daftar Koreksi'!$H$5:$H$92,'Daftar Koreksi'!$D$5:$D$92,'2500'!A114,'Daftar Koreksi'!$G$5:$G$92,"Aset Tetap Lainnya",'Daftar Koreksi'!$H$5:$H$92,"&gt;0")</f>
        <v>0</v>
      </c>
      <c r="F122" s="25">
        <f>SUMIFS('Daftar Koreksi'!$H$5:$H$92,'Daftar Koreksi'!$D$5:$D$92,'2500'!A114,'Daftar Koreksi'!$G$5:$G$92,"Aset Tetap Lainnya",'Daftar Koreksi'!$H$5:$H$92,"&lt;0")-SUMIFS('Daftar Koreksi'!$H$5:$H$92,'Daftar Koreksi'!$D$5:$D$92,'2500'!A114,'Daftar Koreksi'!$G$5:$G$92,"Aset Tetap Lainnya",'Daftar Koreksi'!$H$5:$H$92,"&lt;0")-SUMIFS('Daftar Koreksi'!$H$5:$H$92,'Daftar Koreksi'!$D$5:$D$92,'2500'!A114,'Daftar Koreksi'!$G$5:$G$92,"Aset Tetap Lainnya",'Daftar Koreksi'!$H$5:$H$92,"&lt;0")</f>
        <v>0</v>
      </c>
      <c r="G122" s="17">
        <f t="shared" si="5"/>
        <v>1943440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Koreksi'!$D$5:$D$92,'2500'!A114,'Daftar Koreksi'!$G$5:$G$92,"Kontruksi Dalam Pengerjaan",'Daftar Koreksi'!$H$5:$H$92,"&gt;0")</f>
        <v>0</v>
      </c>
      <c r="F123" s="25">
        <f>SUMIFS('Daftar Koreksi'!$H$5:$H$92,'Daftar Koreksi'!$D$5:$D$92,'2500'!A114,'Daftar Koreksi'!$G$5:$G$92,"Kontruksi Dalam Pengerjaan",'Daftar Koreksi'!$H$5:$H$92,"&lt;0")-SUMIFS('Daftar Koreksi'!$H$5:$H$92,'Daftar Koreksi'!$D$5:$D$92,'2500'!A114,'Daftar Koreksi'!$G$5:$G$92,"Kontruksi Dalam Pengerjaan",'Daftar Koreksi'!$H$5:$H$92,"&lt;0")-SUMIFS('Daftar Koreksi'!$H$5:$H$92,'Daftar Koreksi'!$D$5:$D$92,'2500'!A114,'Daftar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Koreksi'!$D$5:$D$92,'2500'!A114,'Daftar Koreksi'!$G$5:$G$92,"Aset Tak Berwujud",'Daftar Koreksi'!$H$5:$H$92,"&gt;0")</f>
        <v>0</v>
      </c>
      <c r="F124" s="25">
        <f>SUMIFS('Daftar Koreksi'!$H$5:$H$92,'Daftar Koreksi'!$D$5:$D$92,'2500'!A114,'Daftar Koreksi'!$G$5:$G$92,"Aset Tak Berwujud",'Daftar Koreksi'!$H$5:$H$92,"&lt;0")-SUMIFS('Daftar Koreksi'!$H$5:$H$92,'Daftar Koreksi'!$D$5:$D$92,'2500'!A114,'Daftar Koreksi'!$G$5:$G$92,"Aset Tak Berwujud",'Daftar Koreksi'!$H$5:$H$92,"&lt;0")-SUMIFS('Daftar Koreksi'!$H$5:$H$92,'Daftar Koreksi'!$D$5:$D$92,'2500'!A114,'Daftar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126150000</v>
      </c>
      <c r="E125" s="25">
        <f>SUMIFS('Daftar Koreksi'!$H$5:$H$92,'Daftar Koreksi'!$D$5:$D$92,'2500'!A114,'Daftar Koreksi'!$G$5:$G$92,"Aset Henti Guna",'Daftar Koreksi'!$H$5:$H$92,"&gt;0")</f>
        <v>0</v>
      </c>
      <c r="F125" s="25">
        <f>SUMIFS('Daftar Koreksi'!$H$5:$H$92,'Daftar Koreksi'!$D$5:$D$92,'2500'!A114,'Daftar Koreksi'!$G$5:$G$92,"Aset Henti Guna",'Daftar Koreksi'!$H$5:$H$92,"&lt;0")-SUMIFS('Daftar Koreksi'!$H$5:$H$92,'Daftar Koreksi'!$D$5:$D$92,'2500'!A114,'Daftar Koreksi'!$G$5:$G$92,"Aset Henti Guna",'Daftar Koreksi'!$H$5:$H$92,"&lt;0")-SUMIFS('Daftar Koreksi'!$H$5:$H$92,'Daftar Koreksi'!$D$5:$D$92,'2500'!A114,'Daftar Koreksi'!$G$5:$G$92,"Aset Henti Guna",'Daftar Koreksi'!$H$5:$H$92,"&lt;0")</f>
        <v>0</v>
      </c>
      <c r="G125" s="17">
        <f t="shared" si="5"/>
        <v>126150000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12539752218</v>
      </c>
      <c r="E126" s="19">
        <f>SUM(E117:E125)</f>
        <v>0</v>
      </c>
      <c r="F126" s="19">
        <f>SUM(F117:F125)</f>
        <v>0</v>
      </c>
      <c r="G126" s="19">
        <f t="shared" si="5"/>
        <v>12539752218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-1442245214</v>
      </c>
      <c r="E127" s="25">
        <f>SUMIFS('Daftar Koreksi'!$I$5:$I$92,'Daftar Koreksi'!$D$5:$D$92,'2500'!A114,'Daftar Koreksi'!$G$5:$G$92,"Peralatan dan mesin",'Daftar Koreksi'!$I$5:$I$92,"&gt;0")</f>
        <v>0</v>
      </c>
      <c r="F127" s="25">
        <f>SUMIFS('Daftar Koreksi'!$I$5:$I$92,'Daftar Koreksi'!$D$5:$D$92,'2500'!A114,'Daftar Koreksi'!$G$5:$G$92,"Peralatan dan mesin",'Daftar Koreksi'!$I$5:$I$92,"&lt;0")-SUMIFS('Daftar Koreksi'!$I$5:$I$92,'Daftar Koreksi'!$D$5:$D$92,'2500'!A114,'Daftar Koreksi'!$G$5:$G$92,"Peralatan dan mesin",'Daftar Koreksi'!$I$5:$I$92,"&lt;0")-SUMIFS('Daftar Koreksi'!$I$5:$I$92,'Daftar Koreksi'!$D$5:$D$92,'2500'!A114,'Daftar Koreksi'!$G$5:$G$92,"Peralatan dan mesin",'Daftar Koreksi'!$I$5:$I$92,"&lt;0")</f>
        <v>0</v>
      </c>
      <c r="G127" s="17">
        <f t="shared" si="5"/>
        <v>-1442245214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-1591078253</v>
      </c>
      <c r="E128" s="25">
        <f>SUMIFS('Daftar Koreksi'!$I$5:$I$92,'Daftar Koreksi'!$D$5:$D$92,'2500'!A114,'Daftar Koreksi'!$G$5:$G$92,"Gedung dan Bangunan",'Daftar Koreksi'!$I$5:$I$92,"&gt;0")</f>
        <v>0</v>
      </c>
      <c r="F128" s="25">
        <f>SUMIFS('Daftar Koreksi'!$I$5:$I$92,'Daftar Koreksi'!$D$5:$D$92,'2500'!A114,'Daftar Koreksi'!$G$5:$G$92,"Gedung dan Bangunan",'Daftar Koreksi'!$I$5:$I$92,"&lt;0")-SUMIFS('Daftar Koreksi'!$I$5:$I$92,'Daftar Koreksi'!$D$5:$D$92,'2500'!A114,'Daftar Koreksi'!$G$5:$G$92,"Gedung dan Bangunan",'Daftar Koreksi'!$I$5:$I$92,"&lt;0")-SUMIFS('Daftar Koreksi'!$I$5:$I$92,'Daftar Koreksi'!$D$5:$D$92,'2500'!A114,'Daftar Koreksi'!$G$5:$G$92,"Gedung dan Bangunan",'Daftar Koreksi'!$I$5:$I$92,"&lt;0")</f>
        <v>0</v>
      </c>
      <c r="G128" s="17">
        <f t="shared" si="5"/>
        <v>-1591078253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-600000</v>
      </c>
      <c r="E129" s="25">
        <f>SUMIFS('Daftar Koreksi'!$I$5:$I$92,'Daftar Koreksi'!$D$5:$D$92,'2500'!A114,'Daftar Koreksi'!$G$5:$G$92,"Jalan Irigasi Jaringan",'Daftar Koreksi'!$I$5:$I$92,"&gt;0")</f>
        <v>0</v>
      </c>
      <c r="F129" s="25">
        <f>SUMIFS('Daftar Koreksi'!$I$5:$I$92,'Daftar Koreksi'!$D$5:$D$92,'2500'!A114,'Daftar Koreksi'!$G$5:$G$92,"Jalan Irigasi Jaringan",'Daftar Koreksi'!$I$5:$I$92,"&lt;0")-SUMIFS('Daftar Koreksi'!$I$5:$I$92,'Daftar Koreksi'!$D$5:$D$92,'2500'!A114,'Daftar Koreksi'!$G$5:$G$92,"Jalan Irigasi Jaringan",'Daftar Koreksi'!$I$5:$I$92,"&lt;0")-SUMIFS('Daftar Koreksi'!$I$5:$I$92,'Daftar Koreksi'!$D$5:$D$92,'2500'!A114,'Daftar Koreksi'!$G$5:$G$92,"Jalan Irigasi Jaringan",'Daftar Koreksi'!$I$5:$I$92,"&lt;0")</f>
        <v>0</v>
      </c>
      <c r="G129" s="17">
        <f t="shared" si="5"/>
        <v>-600000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Koreksi'!$D$5:$D$92,'2500'!A114,'Daftar Koreksi'!$G$5:$G$92,"Aset Tetap Lainnya",'Daftar Koreksi'!$I$5:$I$92,"&gt;0")</f>
        <v>0</v>
      </c>
      <c r="F130" s="25">
        <f>SUMIFS('Daftar Koreksi'!$I$5:$I$92,'Daftar Koreksi'!$D$5:$D$92,'2500'!A114,'Daftar Koreksi'!$G$5:$G$92,"Aset Tetap Lainnya",'Daftar Koreksi'!$I$5:$I$92,"&lt;0")-SUMIFS('Daftar Koreksi'!$I$5:$I$92,'Daftar Koreksi'!$D$5:$D$92,'2500'!A114,'Daftar Koreksi'!$G$5:$G$92,"Aset Tetap Lainnya",'Daftar Koreksi'!$I$5:$I$92,"&lt;0")-SUMIFS('Daftar Koreksi'!$I$5:$I$92,'Daftar Koreksi'!$D$5:$D$92,'2500'!A114,'Daftar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-123150000</v>
      </c>
      <c r="E131" s="25">
        <f>SUMIFS('Daftar Koreksi'!$I$5:$I$92,'Daftar Koreksi'!$D$5:$D$92,'2500'!A114,'Daftar Koreksi'!$G$5:$G$92,"Aset Henti Guna",'Daftar Koreksi'!$I$5:$I$92,"&gt;0")</f>
        <v>0</v>
      </c>
      <c r="F131" s="25">
        <f>SUMIFS('Daftar Koreksi'!$I$5:$I$92,'Daftar Koreksi'!$D$5:$D$92,'2500'!A114,'Daftar Koreksi'!$G$5:$G$92,"Aset Henti Guna",'Daftar Koreksi'!$I$5:$I$92,"&lt;0")-SUMIFS('Daftar Koreksi'!$I$5:$I$92,'Daftar Koreksi'!$D$5:$D$92,'2500'!A114,'Daftar Koreksi'!$G$5:$G$92,"Aset Henti Guna",'Daftar Koreksi'!$I$5:$I$92,"&lt;0")-SUMIFS('Daftar Koreksi'!$I$5:$I$92,'Daftar Koreksi'!$D$5:$D$92,'2500'!A114,'Daftar Koreksi'!$G$5:$G$92,"Aset Henti Guna",'Daftar Koreksi'!$I$5:$I$92,"&lt;0")</f>
        <v>0</v>
      </c>
      <c r="G131" s="17">
        <f t="shared" si="5"/>
        <v>-123150000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-3157073467</v>
      </c>
      <c r="E132" s="19">
        <f>SUM(E127:E131)</f>
        <v>0</v>
      </c>
      <c r="F132" s="19">
        <f>SUM(F127:F131)</f>
        <v>0</v>
      </c>
      <c r="G132" s="19">
        <f t="shared" si="5"/>
        <v>-3157073467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9382678751</v>
      </c>
      <c r="E133" s="19">
        <f>E132+E126</f>
        <v>0</v>
      </c>
      <c r="F133" s="19">
        <f>F132+F126</f>
        <v>0</v>
      </c>
      <c r="G133" s="19">
        <f t="shared" si="5"/>
        <v>9382678751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005012500400276000KD</v>
      </c>
      <c r="B136" s="11" t="str">
        <f>P7</f>
        <v>PN. Serui</v>
      </c>
      <c r="C136" s="12" t="str">
        <f>A136&amp;" "&amp;B136</f>
        <v>005012500400276000KD PN. Serui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2044300</v>
      </c>
      <c r="E139" s="25">
        <f>SUMIFS('Daftar Koreksi'!$H$5:$H$92,'Daftar Koreksi'!$D$5:$D$92,'2500'!A136,'Daftar Koreksi'!$G$5:$G$92,"Persediaan",'Daftar Koreksi'!$H$5:$H$92,"&gt;0")</f>
        <v>0</v>
      </c>
      <c r="F139" s="25">
        <f>SUMIFS('Daftar Koreksi'!$H$5:$H$92,'Daftar Koreksi'!$D$5:$D$92,'2500'!A136,'Daftar Koreksi'!$G$5:$G$92,"Persediaan",'Daftar Koreksi'!$H$5:$H$92,"&lt;0")-SUMIFS('Daftar Koreksi'!$H$5:$H$92,'Daftar Koreksi'!$D$5:$D$92,'2500'!A136,'Daftar Koreksi'!$G$5:$G$92,"Persediaan",'Daftar Koreksi'!$H$5:$H$92,"&lt;0")-SUMIFS('Daftar Koreksi'!$H$5:$H$92,'Daftar Koreksi'!$D$5:$D$92,'2500'!A136,'Daftar Koreksi'!$G$5:$G$92,"Persediaan",'Daftar Koreksi'!$H$5:$H$92,"&lt;0")</f>
        <v>0</v>
      </c>
      <c r="G139" s="17">
        <f>D139+E139-F139</f>
        <v>2044300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344280000</v>
      </c>
      <c r="E140" s="25">
        <f>SUMIFS('Daftar Koreksi'!$H$5:$H$92,'Daftar Koreksi'!$D$5:$D$92,'2500'!A136,'Daftar Koreksi'!$G$5:$G$92,"Tanah",'Daftar Koreksi'!$H$5:$H$92,"&gt;0")</f>
        <v>0</v>
      </c>
      <c r="F140" s="25">
        <f>SUMIFS('Daftar Koreksi'!$H$5:$H$92,'Daftar Koreksi'!$D$5:$D$92,'2500'!A136,'Daftar Koreksi'!$G$5:$G$92,"Tanah",'Daftar Koreksi'!$H$5:$H$92,"&lt;0")-SUMIFS('Daftar Koreksi'!$H$5:$H$92,'Daftar Koreksi'!$D$5:$D$92,'2500'!A136,'Daftar Koreksi'!$G$5:$G$92,"Tanah",'Daftar Koreksi'!$H$5:$H$92,"&lt;0")-SUMIFS('Daftar Koreksi'!$H$5:$H$92,'Daftar Koreksi'!$D$5:$D$92,'2500'!A136,'Daftar Koreksi'!$G$5:$G$92,"Tanah",'Daftar Koreksi'!$H$5:$H$92,"&lt;0")</f>
        <v>0</v>
      </c>
      <c r="G140" s="17">
        <f t="shared" ref="G140:G156" si="6">D140+E140-F140</f>
        <v>344280000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1303417234</v>
      </c>
      <c r="E141" s="25">
        <f>SUMIFS('Daftar Koreksi'!$H$5:$H$92,'Daftar Koreksi'!$D$5:$D$92,'2500'!A136,'Daftar Koreksi'!$G$5:$G$92,"Peralatan dan mesin",'Daftar Koreksi'!$H$5:$H$92,"&gt;0")</f>
        <v>0</v>
      </c>
      <c r="F141" s="25">
        <f>SUMIFS('Daftar Koreksi'!$H$5:$H$92,'Daftar Koreksi'!$D$5:$D$92,'2500'!A136,'Daftar Koreksi'!$G$5:$G$92,"Peralatan dan mesin",'Daftar Koreksi'!$H$5:$H$92,"&lt;0")-SUMIFS('Daftar Koreksi'!$H$5:$H$92,'Daftar Koreksi'!$D$5:$D$92,'2500'!A136,'Daftar Koreksi'!$G$5:$G$92,"Peralatan dan mesin",'Daftar Koreksi'!$H$5:$H$92,"&lt;0")-SUMIFS('Daftar Koreksi'!$H$5:$H$92,'Daftar Koreksi'!$D$5:$D$92,'2500'!A136,'Daftar Koreksi'!$G$5:$G$92,"Peralatan dan mesin",'Daftar Koreksi'!$H$5:$H$92,"&lt;0")</f>
        <v>0</v>
      </c>
      <c r="G141" s="17">
        <f t="shared" si="6"/>
        <v>1303417234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19966746698</v>
      </c>
      <c r="E142" s="25">
        <f>SUMIFS('Daftar Koreksi'!$H$5:$H$92,'Daftar Koreksi'!$D$5:$D$92,'2500'!A136,'Daftar Koreksi'!$G$5:$G$92,"Gedung dan Bangunan",'Daftar Koreksi'!$H$5:$H$92,"&gt;0")</f>
        <v>0</v>
      </c>
      <c r="F142" s="25">
        <f>SUMIFS('Daftar Koreksi'!$H$5:$H$92,'Daftar Koreksi'!$D$5:$D$92,'2500'!A136,'Daftar Koreksi'!$G$5:$G$92,"Gedung dan Bangunan",'Daftar Koreksi'!$H$5:$H$92,"&lt;0")-SUMIFS('Daftar Koreksi'!$H$5:$H$92,'Daftar Koreksi'!$D$5:$D$92,'2500'!A136,'Daftar Koreksi'!$G$5:$G$92,"Gedung dan Bangunan",'Daftar Koreksi'!$H$5:$H$92,"&lt;0")-SUMIFS('Daftar Koreksi'!$H$5:$H$92,'Daftar Koreksi'!$D$5:$D$92,'2500'!A136,'Daftar Koreksi'!$G$5:$G$92,"Gedung dan Bangunan",'Daftar Koreksi'!$H$5:$H$92,"&lt;0")</f>
        <v>0</v>
      </c>
      <c r="G142" s="17">
        <f t="shared" si="6"/>
        <v>19966746698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6950000</v>
      </c>
      <c r="E143" s="25">
        <f>SUMIFS('Daftar Koreksi'!$H$5:$H$92,'Daftar Koreksi'!$D$5:$D$92,'2500'!A136,'Daftar Koreksi'!$G$5:$G$92,"Jalan Irigasi Jaringan",'Daftar Koreksi'!$H$5:$H$92,"&gt;0")</f>
        <v>0</v>
      </c>
      <c r="F143" s="25">
        <f>SUMIFS('Daftar Koreksi'!$H$5:$H$92,'Daftar Koreksi'!$D$5:$D$92,'2500'!A136,'Daftar Koreksi'!$G$5:$G$92,"Jalan Irigasi Jaringan",'Daftar Koreksi'!$H$5:$H$92,"&lt;0")-SUMIFS('Daftar Koreksi'!$H$5:$H$92,'Daftar Koreksi'!$D$5:$D$92,'2500'!A136,'Daftar Koreksi'!$G$5:$G$92,"Jalan Irigasi Jaringan",'Daftar Koreksi'!$H$5:$H$92,"&lt;0")-SUMIFS('Daftar Koreksi'!$H$5:$H$92,'Daftar Koreksi'!$D$5:$D$92,'2500'!A136,'Daftar Koreksi'!$G$5:$G$92,"Jalan Irigasi Jaringan",'Daftar Koreksi'!$H$5:$H$92,"&lt;0")</f>
        <v>0</v>
      </c>
      <c r="G143" s="17">
        <f t="shared" si="6"/>
        <v>6950000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1943440</v>
      </c>
      <c r="E144" s="25">
        <f>SUMIFS('Daftar Koreksi'!$H$5:$H$92,'Daftar Koreksi'!$D$5:$D$92,'2500'!A136,'Daftar Koreksi'!$G$5:$G$92,"Aset Tetap Lainnya",'Daftar Koreksi'!$H$5:$H$92,"&gt;0")</f>
        <v>0</v>
      </c>
      <c r="F144" s="25">
        <f>SUMIFS('Daftar Koreksi'!$H$5:$H$92,'Daftar Koreksi'!$D$5:$D$92,'2500'!A136,'Daftar Koreksi'!$G$5:$G$92,"Aset Tetap Lainnya",'Daftar Koreksi'!$H$5:$H$92,"&lt;0")-SUMIFS('Daftar Koreksi'!$H$5:$H$92,'Daftar Koreksi'!$D$5:$D$92,'2500'!A136,'Daftar Koreksi'!$G$5:$G$92,"Aset Tetap Lainnya",'Daftar Koreksi'!$H$5:$H$92,"&lt;0")-SUMIFS('Daftar Koreksi'!$H$5:$H$92,'Daftar Koreksi'!$D$5:$D$92,'2500'!A136,'Daftar Koreksi'!$G$5:$G$92,"Aset Tetap Lainnya",'Daftar Koreksi'!$H$5:$H$92,"&lt;0")</f>
        <v>0</v>
      </c>
      <c r="G144" s="17">
        <f t="shared" si="6"/>
        <v>1943440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Koreksi'!$D$5:$D$92,'2500'!A136,'Daftar Koreksi'!$G$5:$G$92,"Kontruksi Dalam Pengerjaan",'Daftar Koreksi'!$H$5:$H$92,"&gt;0")</f>
        <v>0</v>
      </c>
      <c r="F145" s="25">
        <f>SUMIFS('Daftar Koreksi'!$H$5:$H$92,'Daftar Koreksi'!$D$5:$D$92,'2500'!A136,'Daftar Koreksi'!$G$5:$G$92,"Kontruksi Dalam Pengerjaan",'Daftar Koreksi'!$H$5:$H$92,"&lt;0")-SUMIFS('Daftar Koreksi'!$H$5:$H$92,'Daftar Koreksi'!$D$5:$D$92,'2500'!A136,'Daftar Koreksi'!$G$5:$G$92,"Kontruksi Dalam Pengerjaan",'Daftar Koreksi'!$H$5:$H$92,"&lt;0")-SUMIFS('Daftar Koreksi'!$H$5:$H$92,'Daftar Koreksi'!$D$5:$D$92,'2500'!A136,'Daftar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32500000</v>
      </c>
      <c r="E146" s="25">
        <f>SUMIFS('Daftar Koreksi'!$H$5:$H$92,'Daftar Koreksi'!$D$5:$D$92,'2500'!A136,'Daftar Koreksi'!$G$5:$G$92,"Aset Tak Berwujud",'Daftar Koreksi'!$H$5:$H$92,"&gt;0")</f>
        <v>0</v>
      </c>
      <c r="F146" s="25">
        <f>SUMIFS('Daftar Koreksi'!$H$5:$H$92,'Daftar Koreksi'!$D$5:$D$92,'2500'!A136,'Daftar Koreksi'!$G$5:$G$92,"Aset Tak Berwujud",'Daftar Koreksi'!$H$5:$H$92,"&lt;0")-SUMIFS('Daftar Koreksi'!$H$5:$H$92,'Daftar Koreksi'!$D$5:$D$92,'2500'!A136,'Daftar Koreksi'!$G$5:$G$92,"Aset Tak Berwujud",'Daftar Koreksi'!$H$5:$H$92,"&lt;0")-SUMIFS('Daftar Koreksi'!$H$5:$H$92,'Daftar Koreksi'!$D$5:$D$92,'2500'!A136,'Daftar Koreksi'!$G$5:$G$92,"Aset Tak Berwujud",'Daftar Koreksi'!$H$5:$H$92,"&lt;0")</f>
        <v>0</v>
      </c>
      <c r="G146" s="17">
        <f t="shared" si="6"/>
        <v>32500000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128533407</v>
      </c>
      <c r="E147" s="25">
        <f>SUMIFS('Daftar Koreksi'!$H$5:$H$92,'Daftar Koreksi'!$D$5:$D$92,'2500'!A136,'Daftar Koreksi'!$G$5:$G$92,"Aset Henti Guna",'Daftar Koreksi'!$H$5:$H$92,"&gt;0")</f>
        <v>0</v>
      </c>
      <c r="F147" s="25">
        <f>SUMIFS('Daftar Koreksi'!$H$5:$H$92,'Daftar Koreksi'!$D$5:$D$92,'2500'!A136,'Daftar Koreksi'!$G$5:$G$92,"Aset Henti Guna",'Daftar Koreksi'!$H$5:$H$92,"&lt;0")-SUMIFS('Daftar Koreksi'!$H$5:$H$92,'Daftar Koreksi'!$D$5:$D$92,'2500'!A136,'Daftar Koreksi'!$G$5:$G$92,"Aset Henti Guna",'Daftar Koreksi'!$H$5:$H$92,"&lt;0")-SUMIFS('Daftar Koreksi'!$H$5:$H$92,'Daftar Koreksi'!$D$5:$D$92,'2500'!A136,'Daftar Koreksi'!$G$5:$G$92,"Aset Henti Guna",'Daftar Koreksi'!$H$5:$H$92,"&lt;0")</f>
        <v>0</v>
      </c>
      <c r="G147" s="17">
        <f t="shared" si="6"/>
        <v>128533407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21786415079</v>
      </c>
      <c r="E148" s="19">
        <f>SUM(E139:E147)</f>
        <v>0</v>
      </c>
      <c r="F148" s="19">
        <f>SUM(F139:F147)</f>
        <v>0</v>
      </c>
      <c r="G148" s="19">
        <f t="shared" si="6"/>
        <v>21786415079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-1180103140</v>
      </c>
      <c r="E149" s="25">
        <f>SUMIFS('Daftar Koreksi'!$I$5:$I$92,'Daftar Koreksi'!$D$5:$D$92,'2500'!A136,'Daftar Koreksi'!$G$5:$G$92,"Peralatan dan mesin",'Daftar Koreksi'!$I$5:$I$92,"&gt;0")</f>
        <v>0</v>
      </c>
      <c r="F149" s="25">
        <f>SUMIFS('Daftar Koreksi'!$I$5:$I$92,'Daftar Koreksi'!$D$5:$D$92,'2500'!A136,'Daftar Koreksi'!$G$5:$G$92,"Peralatan dan mesin",'Daftar Koreksi'!$I$5:$I$92,"&lt;0")-SUMIFS('Daftar Koreksi'!$I$5:$I$92,'Daftar Koreksi'!$D$5:$D$92,'2500'!A136,'Daftar Koreksi'!$G$5:$G$92,"Peralatan dan mesin",'Daftar Koreksi'!$I$5:$I$92,"&lt;0")-SUMIFS('Daftar Koreksi'!$I$5:$I$92,'Daftar Koreksi'!$D$5:$D$92,'2500'!A136,'Daftar Koreksi'!$G$5:$G$92,"Peralatan dan mesin",'Daftar Koreksi'!$I$5:$I$92,"&lt;0")</f>
        <v>0</v>
      </c>
      <c r="G149" s="17">
        <f t="shared" si="6"/>
        <v>-1180103140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-1558330872</v>
      </c>
      <c r="E150" s="25">
        <f>SUMIFS('Daftar Koreksi'!$I$5:$I$92,'Daftar Koreksi'!$D$5:$D$92,'2500'!A136,'Daftar Koreksi'!$G$5:$G$92,"Gedung dan Bangunan",'Daftar Koreksi'!$I$5:$I$92,"&gt;0")</f>
        <v>0</v>
      </c>
      <c r="F150" s="25">
        <f>SUMIFS('Daftar Koreksi'!$I$5:$I$92,'Daftar Koreksi'!$D$5:$D$92,'2500'!A136,'Daftar Koreksi'!$G$5:$G$92,"Gedung dan Bangunan",'Daftar Koreksi'!$I$5:$I$92,"&lt;0")-SUMIFS('Daftar Koreksi'!$I$5:$I$92,'Daftar Koreksi'!$D$5:$D$92,'2500'!A136,'Daftar Koreksi'!$G$5:$G$92,"Gedung dan Bangunan",'Daftar Koreksi'!$I$5:$I$92,"&lt;0")-SUMIFS('Daftar Koreksi'!$I$5:$I$92,'Daftar Koreksi'!$D$5:$D$92,'2500'!A136,'Daftar Koreksi'!$G$5:$G$92,"Gedung dan Bangunan",'Daftar Koreksi'!$I$5:$I$92,"&lt;0")</f>
        <v>0</v>
      </c>
      <c r="G150" s="17">
        <f t="shared" si="6"/>
        <v>-1558330872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-1698887</v>
      </c>
      <c r="E151" s="25">
        <f>SUMIFS('Daftar Koreksi'!$I$5:$I$92,'Daftar Koreksi'!$D$5:$D$92,'2500'!A136,'Daftar Koreksi'!$G$5:$G$92,"Jalan Irigasi Jaringan",'Daftar Koreksi'!$I$5:$I$92,"&gt;0")</f>
        <v>0</v>
      </c>
      <c r="F151" s="25">
        <f>SUMIFS('Daftar Koreksi'!$I$5:$I$92,'Daftar Koreksi'!$D$5:$D$92,'2500'!A136,'Daftar Koreksi'!$G$5:$G$92,"Jalan Irigasi Jaringan",'Daftar Koreksi'!$I$5:$I$92,"&lt;0")-SUMIFS('Daftar Koreksi'!$I$5:$I$92,'Daftar Koreksi'!$D$5:$D$92,'2500'!A136,'Daftar Koreksi'!$G$5:$G$92,"Jalan Irigasi Jaringan",'Daftar Koreksi'!$I$5:$I$92,"&lt;0")-SUMIFS('Daftar Koreksi'!$I$5:$I$92,'Daftar Koreksi'!$D$5:$D$92,'2500'!A136,'Daftar Koreksi'!$G$5:$G$92,"Jalan Irigasi Jaringan",'Daftar Koreksi'!$I$5:$I$92,"&lt;0")</f>
        <v>0</v>
      </c>
      <c r="G151" s="17">
        <f t="shared" si="6"/>
        <v>-1698887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Koreksi'!$D$5:$D$92,'2500'!A136,'Daftar Koreksi'!$G$5:$G$92,"Aset Tetap Lainnya",'Daftar Koreksi'!$I$5:$I$92,"&gt;0")</f>
        <v>0</v>
      </c>
      <c r="F152" s="25">
        <f>SUMIFS('Daftar Koreksi'!$I$5:$I$92,'Daftar Koreksi'!$D$5:$D$92,'2500'!A136,'Daftar Koreksi'!$G$5:$G$92,"Aset Tetap Lainnya",'Daftar Koreksi'!$I$5:$I$92,"&lt;0")-SUMIFS('Daftar Koreksi'!$I$5:$I$92,'Daftar Koreksi'!$D$5:$D$92,'2500'!A136,'Daftar Koreksi'!$G$5:$G$92,"Aset Tetap Lainnya",'Daftar Koreksi'!$I$5:$I$92,"&lt;0")-SUMIFS('Daftar Koreksi'!$I$5:$I$92,'Daftar Koreksi'!$D$5:$D$92,'2500'!A136,'Daftar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-128533407</v>
      </c>
      <c r="E153" s="25">
        <f>SUMIFS('Daftar Koreksi'!$I$5:$I$92,'Daftar Koreksi'!$D$5:$D$92,'2500'!A136,'Daftar Koreksi'!$G$5:$G$92,"Aset Henti Guna",'Daftar Koreksi'!$I$5:$I$92,"&gt;0")</f>
        <v>0</v>
      </c>
      <c r="F153" s="25">
        <f>SUMIFS('Daftar Koreksi'!$I$5:$I$92,'Daftar Koreksi'!$D$5:$D$92,'2500'!A136,'Daftar Koreksi'!$G$5:$G$92,"Aset Henti Guna",'Daftar Koreksi'!$I$5:$I$92,"&lt;0")-SUMIFS('Daftar Koreksi'!$I$5:$I$92,'Daftar Koreksi'!$D$5:$D$92,'2500'!A136,'Daftar Koreksi'!$G$5:$G$92,"Aset Henti Guna",'Daftar Koreksi'!$I$5:$I$92,"&lt;0")-SUMIFS('Daftar Koreksi'!$I$5:$I$92,'Daftar Koreksi'!$D$5:$D$92,'2500'!A136,'Daftar Koreksi'!$G$5:$G$92,"Aset Henti Guna",'Daftar Koreksi'!$I$5:$I$92,"&lt;0")</f>
        <v>0</v>
      </c>
      <c r="G153" s="17">
        <f t="shared" si="6"/>
        <v>-128533407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-2868666306</v>
      </c>
      <c r="E154" s="19">
        <f>SUM(E149:E153)</f>
        <v>0</v>
      </c>
      <c r="F154" s="19">
        <f>SUM(F149:F153)</f>
        <v>0</v>
      </c>
      <c r="G154" s="19">
        <f t="shared" si="6"/>
        <v>-2868666306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18917748773</v>
      </c>
      <c r="E155" s="19">
        <f>E154+E148</f>
        <v>0</v>
      </c>
      <c r="F155" s="19">
        <f>F154+F148</f>
        <v>0</v>
      </c>
      <c r="G155" s="19">
        <f t="shared" si="6"/>
        <v>18917748773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005012500402860000KD</v>
      </c>
      <c r="B158" s="11" t="str">
        <f>P8</f>
        <v>PTA. Jayapura</v>
      </c>
      <c r="C158" s="12" t="str">
        <f>A158&amp;" "&amp;B158</f>
        <v>005012500402860000KD PTA. Jayapura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7800450</v>
      </c>
      <c r="E161" s="25">
        <f>SUMIFS('Daftar Koreksi'!$H$5:$H$92,'Daftar Koreksi'!$D$5:$D$92,'2500'!A158,'Daftar Koreksi'!$G$5:$G$92,"Persediaan",'Daftar Koreksi'!$H$5:$H$92,"&gt;0")</f>
        <v>0</v>
      </c>
      <c r="F161" s="25">
        <f>SUMIFS('Daftar Koreksi'!$H$5:$H$92,'Daftar Koreksi'!$D$5:$D$92,'2500'!A158,'Daftar Koreksi'!$G$5:$G$92,"Persediaan",'Daftar Koreksi'!$H$5:$H$92,"&lt;0")-SUMIFS('Daftar Koreksi'!$H$5:$H$92,'Daftar Koreksi'!$D$5:$D$92,'2500'!A158,'Daftar Koreksi'!$G$5:$G$92,"Persediaan",'Daftar Koreksi'!$H$5:$H$92,"&lt;0")-SUMIFS('Daftar Koreksi'!$H$5:$H$92,'Daftar Koreksi'!$D$5:$D$92,'2500'!A158,'Daftar Koreksi'!$G$5:$G$92,"Persediaan",'Daftar Koreksi'!$H$5:$H$92,"&lt;0")</f>
        <v>0</v>
      </c>
      <c r="G161" s="17">
        <f>D161+E161-F161</f>
        <v>7800450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4765000000</v>
      </c>
      <c r="E162" s="25">
        <f>SUMIFS('Daftar Koreksi'!$H$5:$H$92,'Daftar Koreksi'!$D$5:$D$92,'2500'!A158,'Daftar Koreksi'!$G$5:$G$92,"Tanah",'Daftar Koreksi'!$H$5:$H$92,"&gt;0")</f>
        <v>0</v>
      </c>
      <c r="F162" s="25">
        <f>SUMIFS('Daftar Koreksi'!$H$5:$H$92,'Daftar Koreksi'!$D$5:$D$92,'2500'!A158,'Daftar Koreksi'!$G$5:$G$92,"Tanah",'Daftar Koreksi'!$H$5:$H$92,"&lt;0")-SUMIFS('Daftar Koreksi'!$H$5:$H$92,'Daftar Koreksi'!$D$5:$D$92,'2500'!A158,'Daftar Koreksi'!$G$5:$G$92,"Tanah",'Daftar Koreksi'!$H$5:$H$92,"&lt;0")-SUMIFS('Daftar Koreksi'!$H$5:$H$92,'Daftar Koreksi'!$D$5:$D$92,'2500'!A158,'Daftar Koreksi'!$G$5:$G$92,"Tanah",'Daftar Koreksi'!$H$5:$H$92,"&lt;0")</f>
        <v>0</v>
      </c>
      <c r="G162" s="17">
        <f t="shared" ref="G162:G178" si="7">D162+E162-F162</f>
        <v>4765000000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5263745747</v>
      </c>
      <c r="E163" s="25">
        <f>SUMIFS('Daftar Koreksi'!$H$5:$H$92,'Daftar Koreksi'!$D$5:$D$92,'2500'!A158,'Daftar Koreksi'!$G$5:$G$92,"Peralatan dan mesin",'Daftar Koreksi'!$H$5:$H$92,"&gt;0")</f>
        <v>0</v>
      </c>
      <c r="F163" s="25">
        <f>SUMIFS('Daftar Koreksi'!$H$5:$H$92,'Daftar Koreksi'!$D$5:$D$92,'2500'!A158,'Daftar Koreksi'!$G$5:$G$92,"Peralatan dan mesin",'Daftar Koreksi'!$H$5:$H$92,"&lt;0")-SUMIFS('Daftar Koreksi'!$H$5:$H$92,'Daftar Koreksi'!$D$5:$D$92,'2500'!A158,'Daftar Koreksi'!$G$5:$G$92,"Peralatan dan mesin",'Daftar Koreksi'!$H$5:$H$92,"&lt;0")-SUMIFS('Daftar Koreksi'!$H$5:$H$92,'Daftar Koreksi'!$D$5:$D$92,'2500'!A158,'Daftar Koreksi'!$G$5:$G$92,"Peralatan dan mesin",'Daftar Koreksi'!$H$5:$H$92,"&lt;0")</f>
        <v>0</v>
      </c>
      <c r="G163" s="17">
        <f t="shared" si="7"/>
        <v>5263745747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26761014758</v>
      </c>
      <c r="E164" s="25">
        <f>SUMIFS('Daftar Koreksi'!$H$5:$H$92,'Daftar Koreksi'!$D$5:$D$92,'2500'!A158,'Daftar Koreksi'!$G$5:$G$92,"Gedung dan Bangunan",'Daftar Koreksi'!$H$5:$H$92,"&gt;0")</f>
        <v>0</v>
      </c>
      <c r="F164" s="25">
        <f>SUMIFS('Daftar Koreksi'!$H$5:$H$92,'Daftar Koreksi'!$D$5:$D$92,'2500'!A158,'Daftar Koreksi'!$G$5:$G$92,"Gedung dan Bangunan",'Daftar Koreksi'!$H$5:$H$92,"&lt;0")-SUMIFS('Daftar Koreksi'!$H$5:$H$92,'Daftar Koreksi'!$D$5:$D$92,'2500'!A158,'Daftar Koreksi'!$G$5:$G$92,"Gedung dan Bangunan",'Daftar Koreksi'!$H$5:$H$92,"&lt;0")-SUMIFS('Daftar Koreksi'!$H$5:$H$92,'Daftar Koreksi'!$D$5:$D$92,'2500'!A158,'Daftar Koreksi'!$G$5:$G$92,"Gedung dan Bangunan",'Daftar Koreksi'!$H$5:$H$92,"&lt;0")</f>
        <v>0</v>
      </c>
      <c r="G164" s="17">
        <f t="shared" si="7"/>
        <v>26761014758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61145000</v>
      </c>
      <c r="E165" s="25">
        <f>SUMIFS('Daftar Koreksi'!$H$5:$H$92,'Daftar Koreksi'!$D$5:$D$92,'2500'!A158,'Daftar Koreksi'!$G$5:$G$92,"Jalan Irigasi Jaringan",'Daftar Koreksi'!$H$5:$H$92,"&gt;0")</f>
        <v>0</v>
      </c>
      <c r="F165" s="25">
        <f>SUMIFS('Daftar Koreksi'!$H$5:$H$92,'Daftar Koreksi'!$D$5:$D$92,'2500'!A158,'Daftar Koreksi'!$G$5:$G$92,"Jalan Irigasi Jaringan",'Daftar Koreksi'!$H$5:$H$92,"&lt;0")-SUMIFS('Daftar Koreksi'!$H$5:$H$92,'Daftar Koreksi'!$D$5:$D$92,'2500'!A158,'Daftar Koreksi'!$G$5:$G$92,"Jalan Irigasi Jaringan",'Daftar Koreksi'!$H$5:$H$92,"&lt;0")-SUMIFS('Daftar Koreksi'!$H$5:$H$92,'Daftar Koreksi'!$D$5:$D$92,'2500'!A158,'Daftar Koreksi'!$G$5:$G$92,"Jalan Irigasi Jaringan",'Daftar Koreksi'!$H$5:$H$92,"&lt;0")</f>
        <v>0</v>
      </c>
      <c r="G165" s="17">
        <f t="shared" si="7"/>
        <v>61145000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15923446</v>
      </c>
      <c r="E166" s="25">
        <f>SUMIFS('Daftar Koreksi'!$H$5:$H$92,'Daftar Koreksi'!$D$5:$D$92,'2500'!A158,'Daftar Koreksi'!$G$5:$G$92,"Aset Tetap Lainnya",'Daftar Koreksi'!$H$5:$H$92,"&gt;0")</f>
        <v>0</v>
      </c>
      <c r="F166" s="25">
        <f>SUMIFS('Daftar Koreksi'!$H$5:$H$92,'Daftar Koreksi'!$D$5:$D$92,'2500'!A158,'Daftar Koreksi'!$G$5:$G$92,"Aset Tetap Lainnya",'Daftar Koreksi'!$H$5:$H$92,"&lt;0")-SUMIFS('Daftar Koreksi'!$H$5:$H$92,'Daftar Koreksi'!$D$5:$D$92,'2500'!A158,'Daftar Koreksi'!$G$5:$G$92,"Aset Tetap Lainnya",'Daftar Koreksi'!$H$5:$H$92,"&lt;0")-SUMIFS('Daftar Koreksi'!$H$5:$H$92,'Daftar Koreksi'!$D$5:$D$92,'2500'!A158,'Daftar Koreksi'!$G$5:$G$92,"Aset Tetap Lainnya",'Daftar Koreksi'!$H$5:$H$92,"&lt;0")</f>
        <v>0</v>
      </c>
      <c r="G166" s="17">
        <f t="shared" si="7"/>
        <v>15923446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Koreksi'!$D$5:$D$92,'2500'!A158,'Daftar Koreksi'!$G$5:$G$92,"Kontruksi Dalam Pengerjaan",'Daftar Koreksi'!$H$5:$H$92,"&gt;0")</f>
        <v>0</v>
      </c>
      <c r="F167" s="25">
        <f>SUMIFS('Daftar Koreksi'!$H$5:$H$92,'Daftar Koreksi'!$D$5:$D$92,'2500'!A158,'Daftar Koreksi'!$G$5:$G$92,"Kontruksi Dalam Pengerjaan",'Daftar Koreksi'!$H$5:$H$92,"&lt;0")-SUMIFS('Daftar Koreksi'!$H$5:$H$92,'Daftar Koreksi'!$D$5:$D$92,'2500'!A158,'Daftar Koreksi'!$G$5:$G$92,"Kontruksi Dalam Pengerjaan",'Daftar Koreksi'!$H$5:$H$92,"&lt;0")-SUMIFS('Daftar Koreksi'!$H$5:$H$92,'Daftar Koreksi'!$D$5:$D$92,'2500'!A158,'Daftar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Koreksi'!$D$5:$D$92,'2500'!A158,'Daftar Koreksi'!$G$5:$G$92,"Aset Tak Berwujud",'Daftar Koreksi'!$H$5:$H$92,"&gt;0")</f>
        <v>0</v>
      </c>
      <c r="F168" s="25">
        <f>SUMIFS('Daftar Koreksi'!$H$5:$H$92,'Daftar Koreksi'!$D$5:$D$92,'2500'!A158,'Daftar Koreksi'!$G$5:$G$92,"Aset Tak Berwujud",'Daftar Koreksi'!$H$5:$H$92,"&lt;0")-SUMIFS('Daftar Koreksi'!$H$5:$H$92,'Daftar Koreksi'!$D$5:$D$92,'2500'!A158,'Daftar Koreksi'!$G$5:$G$92,"Aset Tak Berwujud",'Daftar Koreksi'!$H$5:$H$92,"&lt;0")-SUMIFS('Daftar Koreksi'!$H$5:$H$92,'Daftar Koreksi'!$D$5:$D$92,'2500'!A158,'Daftar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90627731</v>
      </c>
      <c r="E169" s="25">
        <f>SUMIFS('Daftar Koreksi'!$H$5:$H$92,'Daftar Koreksi'!$D$5:$D$92,'2500'!A158,'Daftar Koreksi'!$G$5:$G$92,"Aset Henti Guna",'Daftar Koreksi'!$H$5:$H$92,"&gt;0")</f>
        <v>0</v>
      </c>
      <c r="F169" s="25">
        <f>SUMIFS('Daftar Koreksi'!$H$5:$H$92,'Daftar Koreksi'!$D$5:$D$92,'2500'!A158,'Daftar Koreksi'!$G$5:$G$92,"Aset Henti Guna",'Daftar Koreksi'!$H$5:$H$92,"&lt;0")-SUMIFS('Daftar Koreksi'!$H$5:$H$92,'Daftar Koreksi'!$D$5:$D$92,'2500'!A158,'Daftar Koreksi'!$G$5:$G$92,"Aset Henti Guna",'Daftar Koreksi'!$H$5:$H$92,"&lt;0")-SUMIFS('Daftar Koreksi'!$H$5:$H$92,'Daftar Koreksi'!$D$5:$D$92,'2500'!A158,'Daftar Koreksi'!$G$5:$G$92,"Aset Henti Guna",'Daftar Koreksi'!$H$5:$H$92,"&lt;0")</f>
        <v>0</v>
      </c>
      <c r="G169" s="17">
        <f t="shared" si="7"/>
        <v>90627731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36965257132</v>
      </c>
      <c r="E170" s="19">
        <f>SUM(E161:E169)</f>
        <v>0</v>
      </c>
      <c r="F170" s="19">
        <f>SUM(F161:F169)</f>
        <v>0</v>
      </c>
      <c r="G170" s="19">
        <f t="shared" si="7"/>
        <v>36965257132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-4881688709</v>
      </c>
      <c r="E171" s="25">
        <f>SUMIFS('Daftar Koreksi'!$I$5:$I$92,'Daftar Koreksi'!$D$5:$D$92,'2500'!A158,'Daftar Koreksi'!$G$5:$G$92,"Peralatan dan mesin",'Daftar Koreksi'!$I$5:$I$92,"&gt;0")</f>
        <v>0</v>
      </c>
      <c r="F171" s="25">
        <f>SUMIFS('Daftar Koreksi'!$I$5:$I$92,'Daftar Koreksi'!$D$5:$D$92,'2500'!A158,'Daftar Koreksi'!$G$5:$G$92,"Peralatan dan mesin",'Daftar Koreksi'!$I$5:$I$92,"&lt;0")-SUMIFS('Daftar Koreksi'!$I$5:$I$92,'Daftar Koreksi'!$D$5:$D$92,'2500'!A158,'Daftar Koreksi'!$G$5:$G$92,"Peralatan dan mesin",'Daftar Koreksi'!$I$5:$I$92,"&lt;0")-SUMIFS('Daftar Koreksi'!$I$5:$I$92,'Daftar Koreksi'!$D$5:$D$92,'2500'!A158,'Daftar Koreksi'!$G$5:$G$92,"Peralatan dan mesin",'Daftar Koreksi'!$I$5:$I$92,"&lt;0")</f>
        <v>0</v>
      </c>
      <c r="G171" s="17">
        <f t="shared" si="7"/>
        <v>-4881688709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-3407453960</v>
      </c>
      <c r="E172" s="25">
        <f>SUMIFS('Daftar Koreksi'!$I$5:$I$92,'Daftar Koreksi'!$D$5:$D$92,'2500'!A158,'Daftar Koreksi'!$G$5:$G$92,"Gedung dan Bangunan",'Daftar Koreksi'!$I$5:$I$92,"&gt;0")</f>
        <v>0</v>
      </c>
      <c r="F172" s="25">
        <f>SUMIFS('Daftar Koreksi'!$I$5:$I$92,'Daftar Koreksi'!$D$5:$D$92,'2500'!A158,'Daftar Koreksi'!$G$5:$G$92,"Gedung dan Bangunan",'Daftar Koreksi'!$I$5:$I$92,"&lt;0")-SUMIFS('Daftar Koreksi'!$I$5:$I$92,'Daftar Koreksi'!$D$5:$D$92,'2500'!A158,'Daftar Koreksi'!$G$5:$G$92,"Gedung dan Bangunan",'Daftar Koreksi'!$I$5:$I$92,"&lt;0")-SUMIFS('Daftar Koreksi'!$I$5:$I$92,'Daftar Koreksi'!$D$5:$D$92,'2500'!A158,'Daftar Koreksi'!$G$5:$G$92,"Gedung dan Bangunan",'Daftar Koreksi'!$I$5:$I$92,"&lt;0")</f>
        <v>0</v>
      </c>
      <c r="G172" s="17">
        <f t="shared" si="7"/>
        <v>-3407453960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-14818665</v>
      </c>
      <c r="E173" s="25">
        <f>SUMIFS('Daftar Koreksi'!$I$5:$I$92,'Daftar Koreksi'!$D$5:$D$92,'2500'!A158,'Daftar Koreksi'!$G$5:$G$92,"Jalan Irigasi Jaringan",'Daftar Koreksi'!$I$5:$I$92,"&gt;0")</f>
        <v>0</v>
      </c>
      <c r="F173" s="25">
        <f>SUMIFS('Daftar Koreksi'!$I$5:$I$92,'Daftar Koreksi'!$D$5:$D$92,'2500'!A158,'Daftar Koreksi'!$G$5:$G$92,"Jalan Irigasi Jaringan",'Daftar Koreksi'!$I$5:$I$92,"&lt;0")-SUMIFS('Daftar Koreksi'!$I$5:$I$92,'Daftar Koreksi'!$D$5:$D$92,'2500'!A158,'Daftar Koreksi'!$G$5:$G$92,"Jalan Irigasi Jaringan",'Daftar Koreksi'!$I$5:$I$92,"&lt;0")-SUMIFS('Daftar Koreksi'!$I$5:$I$92,'Daftar Koreksi'!$D$5:$D$92,'2500'!A158,'Daftar Koreksi'!$G$5:$G$92,"Jalan Irigasi Jaringan",'Daftar Koreksi'!$I$5:$I$92,"&lt;0")</f>
        <v>0</v>
      </c>
      <c r="G173" s="17">
        <f t="shared" si="7"/>
        <v>-14818665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Koreksi'!$D$5:$D$92,'2500'!A158,'Daftar Koreksi'!$G$5:$G$92,"Aset Tetap Lainnya",'Daftar Koreksi'!$I$5:$I$92,"&gt;0")</f>
        <v>0</v>
      </c>
      <c r="F174" s="25">
        <f>SUMIFS('Daftar Koreksi'!$I$5:$I$92,'Daftar Koreksi'!$D$5:$D$92,'2500'!A158,'Daftar Koreksi'!$G$5:$G$92,"Aset Tetap Lainnya",'Daftar Koreksi'!$I$5:$I$92,"&lt;0")-SUMIFS('Daftar Koreksi'!$I$5:$I$92,'Daftar Koreksi'!$D$5:$D$92,'2500'!A158,'Daftar Koreksi'!$G$5:$G$92,"Aset Tetap Lainnya",'Daftar Koreksi'!$I$5:$I$92,"&lt;0")-SUMIFS('Daftar Koreksi'!$I$5:$I$92,'Daftar Koreksi'!$D$5:$D$92,'2500'!A158,'Daftar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-88002731</v>
      </c>
      <c r="E175" s="25">
        <f>SUMIFS('Daftar Koreksi'!$I$5:$I$92,'Daftar Koreksi'!$D$5:$D$92,'2500'!A158,'Daftar Koreksi'!$G$5:$G$92,"Aset Henti Guna",'Daftar Koreksi'!$I$5:$I$92,"&gt;0")</f>
        <v>0</v>
      </c>
      <c r="F175" s="25">
        <f>SUMIFS('Daftar Koreksi'!$I$5:$I$92,'Daftar Koreksi'!$D$5:$D$92,'2500'!A158,'Daftar Koreksi'!$G$5:$G$92,"Aset Henti Guna",'Daftar Koreksi'!$I$5:$I$92,"&lt;0")-SUMIFS('Daftar Koreksi'!$I$5:$I$92,'Daftar Koreksi'!$D$5:$D$92,'2500'!A158,'Daftar Koreksi'!$G$5:$G$92,"Aset Henti Guna",'Daftar Koreksi'!$I$5:$I$92,"&lt;0")-SUMIFS('Daftar Koreksi'!$I$5:$I$92,'Daftar Koreksi'!$D$5:$D$92,'2500'!A158,'Daftar Koreksi'!$G$5:$G$92,"Aset Henti Guna",'Daftar Koreksi'!$I$5:$I$92,"&lt;0")</f>
        <v>0</v>
      </c>
      <c r="G175" s="17">
        <f t="shared" si="7"/>
        <v>-88002731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-8391964065</v>
      </c>
      <c r="E176" s="19">
        <f>SUM(E171:E175)</f>
        <v>0</v>
      </c>
      <c r="F176" s="19">
        <f>SUM(F171:F175)</f>
        <v>0</v>
      </c>
      <c r="G176" s="19">
        <f t="shared" si="7"/>
        <v>-8391964065</v>
      </c>
      <c r="H176" s="122"/>
    </row>
    <row r="177" spans="1:10" ht="21.95" customHeight="1">
      <c r="A177" s="14"/>
      <c r="B177" s="14"/>
      <c r="C177" s="18" t="s">
        <v>2095</v>
      </c>
      <c r="D177" s="19">
        <f>VLOOKUP(A158,'Neraca Unaudited SIMAK'!$A$2:$S$10004,18,FALSE)</f>
        <v>28573293067</v>
      </c>
      <c r="E177" s="19">
        <f>E176+E170</f>
        <v>0</v>
      </c>
      <c r="F177" s="19">
        <f>F176+F170</f>
        <v>0</v>
      </c>
      <c r="G177" s="19">
        <f t="shared" si="7"/>
        <v>28573293067</v>
      </c>
      <c r="H177" s="122"/>
    </row>
    <row r="178" spans="1:10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10" ht="19.5" customHeight="1">
      <c r="A180" s="11" t="str">
        <f>O9</f>
        <v>005012500402876000KD</v>
      </c>
      <c r="B180" s="11" t="str">
        <f>P9</f>
        <v>PA. Jayapura</v>
      </c>
      <c r="C180" s="12" t="str">
        <f>A180&amp;" "&amp;B180</f>
        <v>005012500402876000KD PA. Jayapura</v>
      </c>
      <c r="D180" s="13"/>
      <c r="E180" s="13"/>
      <c r="F180" s="13"/>
      <c r="G180" s="13"/>
      <c r="H180" s="11"/>
    </row>
    <row r="181" spans="1:10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0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0" ht="21.95" customHeight="1">
      <c r="A183" s="14"/>
      <c r="B183" s="14"/>
      <c r="C183" s="16" t="s">
        <v>1165</v>
      </c>
      <c r="D183" s="17">
        <f>VLOOKUP(A180,'Neraca Unaudited SIMAK'!$A$2:$S$10004,3,FALSE)</f>
        <v>2911150</v>
      </c>
      <c r="E183" s="25">
        <f>SUMIFS('Daftar Koreksi'!$H$5:$H$92,'Daftar Koreksi'!$D$5:$D$92,'2500'!A180,'Daftar Koreksi'!$G$5:$G$92,"Persediaan",'Daftar Koreksi'!$H$5:$H$92,"&gt;0")</f>
        <v>0</v>
      </c>
      <c r="F183" s="25">
        <f>SUMIFS('Daftar Koreksi'!$H$5:$H$92,'Daftar Koreksi'!$D$5:$D$92,'2500'!A180,'Daftar Koreksi'!$G$5:$G$92,"Persediaan",'Daftar Koreksi'!$H$5:$H$92,"&lt;0")-SUMIFS('Daftar Koreksi'!$H$5:$H$92,'Daftar Koreksi'!$D$5:$D$92,'2500'!A180,'Daftar Koreksi'!$G$5:$G$92,"Persediaan",'Daftar Koreksi'!$H$5:$H$92,"&lt;0")-SUMIFS('Daftar Koreksi'!$H$5:$H$92,'Daftar Koreksi'!$D$5:$D$92,'2500'!A180,'Daftar Koreksi'!$G$5:$G$92,"Persediaan",'Daftar Koreksi'!$H$5:$H$92,"&lt;0")</f>
        <v>0</v>
      </c>
      <c r="G183" s="17">
        <f>D183+E183-F183</f>
        <v>2911150</v>
      </c>
      <c r="H183" s="121" t="str">
        <f>IF(ISNA(VLOOKUP(A180,'Mutasi Neraca'!$A$3:$S$914,19,FALSE)),"-",VLOOKUP(A180,'Mutasi Neraca'!$A$3:$S$914,19,FALSE))</f>
        <v>-</v>
      </c>
      <c r="I183" s="28"/>
      <c r="J183" s="28"/>
    </row>
    <row r="184" spans="1:10" ht="21.95" customHeight="1">
      <c r="A184" s="14"/>
      <c r="B184" s="14"/>
      <c r="C184" s="16" t="s">
        <v>1166</v>
      </c>
      <c r="D184" s="17">
        <f>VLOOKUP(A180,'Neraca Unaudited SIMAK'!$A$2:$S$10004,4,FALSE)</f>
        <v>734000000</v>
      </c>
      <c r="E184" s="25">
        <f>SUMIFS('Daftar Koreksi'!$H$5:$H$92,'Daftar Koreksi'!$D$5:$D$92,'2500'!A180,'Daftar Koreksi'!$G$5:$G$92,"Tanah",'Daftar Koreksi'!$H$5:$H$92,"&gt;0")</f>
        <v>0</v>
      </c>
      <c r="F184" s="25">
        <f>SUMIFS('Daftar Koreksi'!$H$5:$H$92,'Daftar Koreksi'!$D$5:$D$92,'2500'!A180,'Daftar Koreksi'!$G$5:$G$92,"Tanah",'Daftar Koreksi'!$H$5:$H$92,"&lt;0")-SUMIFS('Daftar Koreksi'!$H$5:$H$92,'Daftar Koreksi'!$D$5:$D$92,'2500'!A180,'Daftar Koreksi'!$G$5:$G$92,"Tanah",'Daftar Koreksi'!$H$5:$H$92,"&lt;0")-SUMIFS('Daftar Koreksi'!$H$5:$H$92,'Daftar Koreksi'!$D$5:$D$92,'2500'!A180,'Daftar Koreksi'!$G$5:$G$92,"Tanah",'Daftar Koreksi'!$H$5:$H$92,"&lt;0")</f>
        <v>0</v>
      </c>
      <c r="G184" s="17">
        <f t="shared" ref="G184:G200" si="8">D184+E184-F184</f>
        <v>734000000</v>
      </c>
      <c r="H184" s="122"/>
      <c r="I184" s="28"/>
      <c r="J184" s="28"/>
    </row>
    <row r="185" spans="1:10" ht="21.95" customHeight="1">
      <c r="A185" s="14"/>
      <c r="B185" s="14"/>
      <c r="C185" s="16" t="s">
        <v>1167</v>
      </c>
      <c r="D185" s="17">
        <f>VLOOKUP(A180,'Neraca Unaudited SIMAK'!$A$2:$S$10004,5,FALSE)</f>
        <v>1679030929</v>
      </c>
      <c r="E185" s="25">
        <f>SUMIFS('Daftar Koreksi'!$H$5:$H$92,'Daftar Koreksi'!$D$5:$D$92,'2500'!A180,'Daftar Koreksi'!$G$5:$G$92,"Peralatan dan mesin",'Daftar Koreksi'!$H$5:$H$92,"&gt;0")</f>
        <v>0</v>
      </c>
      <c r="F185" s="25">
        <f>SUMIFS('Daftar Koreksi'!$H$5:$H$92,'Daftar Koreksi'!$D$5:$D$92,'2500'!A180,'Daftar Koreksi'!$G$5:$G$92,"Peralatan dan mesin",'Daftar Koreksi'!$H$5:$H$92,"&lt;0")-SUMIFS('Daftar Koreksi'!$H$5:$H$92,'Daftar Koreksi'!$D$5:$D$92,'2500'!A180,'Daftar Koreksi'!$G$5:$G$92,"Peralatan dan mesin",'Daftar Koreksi'!$H$5:$H$92,"&lt;0")-SUMIFS('Daftar Koreksi'!$H$5:$H$92,'Daftar Koreksi'!$D$5:$D$92,'2500'!A180,'Daftar Koreksi'!$G$5:$G$92,"Peralatan dan mesin",'Daftar Koreksi'!$H$5:$H$92,"&lt;0")</f>
        <v>0</v>
      </c>
      <c r="G185" s="17">
        <f t="shared" si="8"/>
        <v>1679030929</v>
      </c>
      <c r="H185" s="122"/>
      <c r="I185" s="28"/>
      <c r="J185" s="28"/>
    </row>
    <row r="186" spans="1:10" ht="21.95" customHeight="1">
      <c r="A186" s="14"/>
      <c r="B186" s="14"/>
      <c r="C186" s="16" t="s">
        <v>1168</v>
      </c>
      <c r="D186" s="17">
        <f>VLOOKUP(A180,'Neraca Unaudited SIMAK'!$A$2:$S$10004,6,FALSE)</f>
        <v>5550177000</v>
      </c>
      <c r="E186" s="25">
        <f>SUMIFS('Daftar Koreksi'!$H$5:$H$92,'Daftar Koreksi'!$D$5:$D$92,'2500'!A180,'Daftar Koreksi'!$G$5:$G$92,"Gedung dan Bangunan",'Daftar Koreksi'!$H$5:$H$92,"&gt;0")</f>
        <v>0</v>
      </c>
      <c r="F186" s="25">
        <f>SUMIFS('Daftar Koreksi'!$H$5:$H$92,'Daftar Koreksi'!$D$5:$D$92,'2500'!A180,'Daftar Koreksi'!$G$5:$G$92,"Gedung dan Bangunan",'Daftar Koreksi'!$H$5:$H$92,"&lt;0")-SUMIFS('Daftar Koreksi'!$H$5:$H$92,'Daftar Koreksi'!$D$5:$D$92,'2500'!A180,'Daftar Koreksi'!$G$5:$G$92,"Gedung dan Bangunan",'Daftar Koreksi'!$H$5:$H$92,"&lt;0")-SUMIFS('Daftar Koreksi'!$H$5:$H$92,'Daftar Koreksi'!$D$5:$D$92,'2500'!A180,'Daftar Koreksi'!$G$5:$G$92,"Gedung dan Bangunan",'Daftar Koreksi'!$H$5:$H$92,"&lt;0")</f>
        <v>0</v>
      </c>
      <c r="G186" s="17">
        <f t="shared" si="8"/>
        <v>5550177000</v>
      </c>
      <c r="H186" s="122"/>
      <c r="I186" s="28"/>
      <c r="J186" s="28"/>
    </row>
    <row r="187" spans="1:10" ht="21.95" customHeight="1">
      <c r="A187" s="14"/>
      <c r="B187" s="14"/>
      <c r="C187" s="16" t="s">
        <v>1169</v>
      </c>
      <c r="D187" s="17">
        <f>VLOOKUP(A180,'Neraca Unaudited SIMAK'!$A$2:$S$10004,7,FALSE)</f>
        <v>39997000</v>
      </c>
      <c r="E187" s="25">
        <f>SUMIFS('Daftar Koreksi'!$H$5:$H$92,'Daftar Koreksi'!$D$5:$D$92,'2500'!A180,'Daftar Koreksi'!$G$5:$G$92,"Jalan Irigasi Jaringan",'Daftar Koreksi'!$H$5:$H$92,"&gt;0")</f>
        <v>0</v>
      </c>
      <c r="F187" s="25">
        <f>SUMIFS('Daftar Koreksi'!$H$5:$H$92,'Daftar Koreksi'!$D$5:$D$92,'2500'!A180,'Daftar Koreksi'!$G$5:$G$92,"Jalan Irigasi Jaringan",'Daftar Koreksi'!$H$5:$H$92,"&lt;0")-SUMIFS('Daftar Koreksi'!$H$5:$H$92,'Daftar Koreksi'!$D$5:$D$92,'2500'!A180,'Daftar Koreksi'!$G$5:$G$92,"Jalan Irigasi Jaringan",'Daftar Koreksi'!$H$5:$H$92,"&lt;0")-SUMIFS('Daftar Koreksi'!$H$5:$H$92,'Daftar Koreksi'!$D$5:$D$92,'2500'!A180,'Daftar Koreksi'!$G$5:$G$92,"Jalan Irigasi Jaringan",'Daftar Koreksi'!$H$5:$H$92,"&lt;0")</f>
        <v>0</v>
      </c>
      <c r="G187" s="17">
        <f t="shared" si="8"/>
        <v>39997000</v>
      </c>
      <c r="H187" s="122"/>
      <c r="I187" s="28"/>
      <c r="J187" s="28"/>
    </row>
    <row r="188" spans="1:10" ht="21.95" customHeight="1">
      <c r="A188" s="14"/>
      <c r="B188" s="14"/>
      <c r="C188" s="16" t="s">
        <v>1170</v>
      </c>
      <c r="D188" s="17">
        <f>VLOOKUP(A180,'Neraca Unaudited SIMAK'!$A$2:$S$10004,8,FALSE)</f>
        <v>4940470</v>
      </c>
      <c r="E188" s="25">
        <f>SUMIFS('Daftar Koreksi'!$H$5:$H$92,'Daftar Koreksi'!$D$5:$D$92,'2500'!A180,'Daftar Koreksi'!$G$5:$G$92,"Aset Tetap Lainnya",'Daftar Koreksi'!$H$5:$H$92,"&gt;0")</f>
        <v>0</v>
      </c>
      <c r="F188" s="25">
        <f>SUMIFS('Daftar Koreksi'!$H$5:$H$92,'Daftar Koreksi'!$D$5:$D$92,'2500'!A180,'Daftar Koreksi'!$G$5:$G$92,"Aset Tetap Lainnya",'Daftar Koreksi'!$H$5:$H$92,"&lt;0")-SUMIFS('Daftar Koreksi'!$H$5:$H$92,'Daftar Koreksi'!$D$5:$D$92,'2500'!A180,'Daftar Koreksi'!$G$5:$G$92,"Aset Tetap Lainnya",'Daftar Koreksi'!$H$5:$H$92,"&lt;0")-SUMIFS('Daftar Koreksi'!$H$5:$H$92,'Daftar Koreksi'!$D$5:$D$92,'2500'!A180,'Daftar Koreksi'!$G$5:$G$92,"Aset Tetap Lainnya",'Daftar Koreksi'!$H$5:$H$92,"&lt;0")</f>
        <v>0</v>
      </c>
      <c r="G188" s="17">
        <f t="shared" si="8"/>
        <v>4940470</v>
      </c>
      <c r="H188" s="122"/>
      <c r="I188" s="28"/>
      <c r="J188" s="28"/>
    </row>
    <row r="189" spans="1:10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Koreksi'!$D$5:$D$92,'2500'!A180,'Daftar Koreksi'!$G$5:$G$92,"Kontruksi Dalam Pengerjaan",'Daftar Koreksi'!$H$5:$H$92,"&gt;0")</f>
        <v>0</v>
      </c>
      <c r="F189" s="25">
        <f>SUMIFS('Daftar Koreksi'!$H$5:$H$92,'Daftar Koreksi'!$D$5:$D$92,'2500'!A180,'Daftar Koreksi'!$G$5:$G$92,"Kontruksi Dalam Pengerjaan",'Daftar Koreksi'!$H$5:$H$92,"&lt;0")-SUMIFS('Daftar Koreksi'!$H$5:$H$92,'Daftar Koreksi'!$D$5:$D$92,'2500'!A180,'Daftar Koreksi'!$G$5:$G$92,"Kontruksi Dalam Pengerjaan",'Daftar Koreksi'!$H$5:$H$92,"&lt;0")-SUMIFS('Daftar Koreksi'!$H$5:$H$92,'Daftar Koreksi'!$D$5:$D$92,'2500'!A180,'Daftar Koreksi'!$G$5:$G$92,"Kontruksi Dalam Pengerjaan",'Daftar Koreksi'!$H$5:$H$92,"&lt;0")</f>
        <v>0</v>
      </c>
      <c r="G189" s="17">
        <f t="shared" si="8"/>
        <v>0</v>
      </c>
      <c r="H189" s="122"/>
      <c r="I189" s="28"/>
      <c r="J189" s="28"/>
    </row>
    <row r="190" spans="1:10" ht="21.95" customHeight="1">
      <c r="A190" s="14"/>
      <c r="B190" s="14"/>
      <c r="C190" s="16" t="s">
        <v>1172</v>
      </c>
      <c r="D190" s="17">
        <f>VLOOKUP(A180,'Neraca Unaudited SIMAK'!$A$2:$S$10004,10,FALSE)</f>
        <v>2000000</v>
      </c>
      <c r="E190" s="25">
        <f>SUMIFS('Daftar Koreksi'!$H$5:$H$92,'Daftar Koreksi'!$D$5:$D$92,'2500'!A180,'Daftar Koreksi'!$G$5:$G$92,"Aset Tak Berwujud",'Daftar Koreksi'!$H$5:$H$92,"&gt;0")</f>
        <v>0</v>
      </c>
      <c r="F190" s="25">
        <f>SUMIFS('Daftar Koreksi'!$H$5:$H$92,'Daftar Koreksi'!$D$5:$D$92,'2500'!A180,'Daftar Koreksi'!$G$5:$G$92,"Aset Tak Berwujud",'Daftar Koreksi'!$H$5:$H$92,"&lt;0")-SUMIFS('Daftar Koreksi'!$H$5:$H$92,'Daftar Koreksi'!$D$5:$D$92,'2500'!A180,'Daftar Koreksi'!$G$5:$G$92,"Aset Tak Berwujud",'Daftar Koreksi'!$H$5:$H$92,"&lt;0")-SUMIFS('Daftar Koreksi'!$H$5:$H$92,'Daftar Koreksi'!$D$5:$D$92,'2500'!A180,'Daftar Koreksi'!$G$5:$G$92,"Aset Tak Berwujud",'Daftar Koreksi'!$H$5:$H$92,"&lt;0")</f>
        <v>0</v>
      </c>
      <c r="G190" s="17">
        <f t="shared" si="8"/>
        <v>2000000</v>
      </c>
      <c r="H190" s="122"/>
      <c r="I190" s="28"/>
      <c r="J190" s="28"/>
    </row>
    <row r="191" spans="1:10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Koreksi'!$D$5:$D$92,'2500'!A180,'Daftar Koreksi'!$G$5:$G$92,"Aset Henti Guna",'Daftar Koreksi'!$H$5:$H$92,"&gt;0")</f>
        <v>0</v>
      </c>
      <c r="F191" s="25">
        <f>SUMIFS('Daftar Koreksi'!$H$5:$H$92,'Daftar Koreksi'!$D$5:$D$92,'2500'!A180,'Daftar Koreksi'!$G$5:$G$92,"Aset Henti Guna",'Daftar Koreksi'!$H$5:$H$92,"&lt;0")-SUMIFS('Daftar Koreksi'!$H$5:$H$92,'Daftar Koreksi'!$D$5:$D$92,'2500'!A180,'Daftar Koreksi'!$G$5:$G$92,"Aset Henti Guna",'Daftar Koreksi'!$H$5:$H$92,"&lt;0")-SUMIFS('Daftar Koreksi'!$H$5:$H$92,'Daftar Koreksi'!$D$5:$D$92,'2500'!A180,'Daftar Koreksi'!$G$5:$G$92,"Aset Henti Guna",'Daftar Koreksi'!$H$5:$H$92,"&lt;0")</f>
        <v>0</v>
      </c>
      <c r="G191" s="17">
        <f t="shared" si="8"/>
        <v>0</v>
      </c>
      <c r="H191" s="122"/>
      <c r="I191" s="28"/>
      <c r="J191" s="28"/>
    </row>
    <row r="192" spans="1:10" ht="21.95" customHeight="1">
      <c r="A192" s="14"/>
      <c r="B192" s="14"/>
      <c r="C192" s="18" t="s">
        <v>2093</v>
      </c>
      <c r="D192" s="19">
        <f>VLOOKUP(A180,'Neraca Unaudited SIMAK'!$A$2:$S$10004,12,FALSE)</f>
        <v>8013056549</v>
      </c>
      <c r="E192" s="19">
        <f>SUM(E183:E191)</f>
        <v>0</v>
      </c>
      <c r="F192" s="19">
        <f>SUM(F183:F191)</f>
        <v>0</v>
      </c>
      <c r="G192" s="19">
        <f t="shared" si="8"/>
        <v>8013056549</v>
      </c>
      <c r="H192" s="122"/>
      <c r="I192" s="28"/>
      <c r="J192" s="28"/>
    </row>
    <row r="193" spans="1:10" ht="21.95" customHeight="1">
      <c r="A193" s="14"/>
      <c r="B193" s="14"/>
      <c r="C193" s="16" t="s">
        <v>2087</v>
      </c>
      <c r="D193" s="17">
        <f>VLOOKUP(A180,'Neraca Unaudited SIMAK'!$A$2:$S$10004,13,FALSE)</f>
        <v>-1458063797</v>
      </c>
      <c r="E193" s="25">
        <f>SUMIFS('Daftar Koreksi'!$I$5:$I$92,'Daftar Koreksi'!$D$5:$D$92,'2500'!A180,'Daftar Koreksi'!$G$5:$G$92,"Peralatan dan mesin",'Daftar Koreksi'!$I$5:$I$92,"&gt;0")</f>
        <v>0</v>
      </c>
      <c r="F193" s="25">
        <f>SUMIFS('Daftar Koreksi'!$I$5:$I$92,'Daftar Koreksi'!$D$5:$D$92,'2500'!A180,'Daftar Koreksi'!$G$5:$G$92,"Peralatan dan mesin",'Daftar Koreksi'!$I$5:$I$92,"&lt;0")-SUMIFS('Daftar Koreksi'!$I$5:$I$92,'Daftar Koreksi'!$D$5:$D$92,'2500'!A180,'Daftar Koreksi'!$G$5:$G$92,"Peralatan dan mesin",'Daftar Koreksi'!$I$5:$I$92,"&lt;0")-SUMIFS('Daftar Koreksi'!$I$5:$I$92,'Daftar Koreksi'!$D$5:$D$92,'2500'!A180,'Daftar Koreksi'!$G$5:$G$92,"Peralatan dan mesin",'Daftar Koreksi'!$I$5:$I$92,"&lt;0")</f>
        <v>0</v>
      </c>
      <c r="G193" s="17">
        <f t="shared" si="8"/>
        <v>-1458063797</v>
      </c>
      <c r="H193" s="122"/>
      <c r="I193" s="28"/>
      <c r="J193" s="28"/>
    </row>
    <row r="194" spans="1:10" ht="21.95" customHeight="1">
      <c r="A194" s="14"/>
      <c r="B194" s="14"/>
      <c r="C194" s="16" t="s">
        <v>2088</v>
      </c>
      <c r="D194" s="17">
        <f>VLOOKUP(A180,'Neraca Unaudited SIMAK'!$A$2:$S$10004,14,FALSE)</f>
        <v>-777504088</v>
      </c>
      <c r="E194" s="25">
        <f>SUMIFS('Daftar Koreksi'!$I$5:$I$92,'Daftar Koreksi'!$D$5:$D$92,'2500'!A180,'Daftar Koreksi'!$G$5:$G$92,"Gedung dan Bangunan",'Daftar Koreksi'!$I$5:$I$92,"&gt;0")</f>
        <v>0</v>
      </c>
      <c r="F194" s="25">
        <f>SUMIFS('Daftar Koreksi'!$I$5:$I$92,'Daftar Koreksi'!$D$5:$D$92,'2500'!A180,'Daftar Koreksi'!$G$5:$G$92,"Gedung dan Bangunan",'Daftar Koreksi'!$I$5:$I$92,"&lt;0")-SUMIFS('Daftar Koreksi'!$I$5:$I$92,'Daftar Koreksi'!$D$5:$D$92,'2500'!A180,'Daftar Koreksi'!$G$5:$G$92,"Gedung dan Bangunan",'Daftar Koreksi'!$I$5:$I$92,"&lt;0")-SUMIFS('Daftar Koreksi'!$I$5:$I$92,'Daftar Koreksi'!$D$5:$D$92,'2500'!A180,'Daftar Koreksi'!$G$5:$G$92,"Gedung dan Bangunan",'Daftar Koreksi'!$I$5:$I$92,"&lt;0")</f>
        <v>0</v>
      </c>
      <c r="G194" s="17">
        <f t="shared" si="8"/>
        <v>-777504088</v>
      </c>
      <c r="H194" s="122"/>
      <c r="I194" s="28"/>
      <c r="J194" s="28"/>
    </row>
    <row r="195" spans="1:10" ht="21.95" customHeight="1">
      <c r="A195" s="14"/>
      <c r="B195" s="14"/>
      <c r="C195" s="16" t="s">
        <v>2089</v>
      </c>
      <c r="D195" s="17">
        <f>VLOOKUP(A180,'Neraca Unaudited SIMAK'!$A$2:$S$10004,15,FALSE)</f>
        <v>-3499738</v>
      </c>
      <c r="E195" s="25">
        <f>SUMIFS('Daftar Koreksi'!$I$5:$I$92,'Daftar Koreksi'!$D$5:$D$92,'2500'!A180,'Daftar Koreksi'!$G$5:$G$92,"Jalan Irigasi Jaringan",'Daftar Koreksi'!$I$5:$I$92,"&gt;0")</f>
        <v>0</v>
      </c>
      <c r="F195" s="25">
        <f>SUMIFS('Daftar Koreksi'!$I$5:$I$92,'Daftar Koreksi'!$D$5:$D$92,'2500'!A180,'Daftar Koreksi'!$G$5:$G$92,"Jalan Irigasi Jaringan",'Daftar Koreksi'!$I$5:$I$92,"&lt;0")-SUMIFS('Daftar Koreksi'!$I$5:$I$92,'Daftar Koreksi'!$D$5:$D$92,'2500'!A180,'Daftar Koreksi'!$G$5:$G$92,"Jalan Irigasi Jaringan",'Daftar Koreksi'!$I$5:$I$92,"&lt;0")-SUMIFS('Daftar Koreksi'!$I$5:$I$92,'Daftar Koreksi'!$D$5:$D$92,'2500'!A180,'Daftar Koreksi'!$G$5:$G$92,"Jalan Irigasi Jaringan",'Daftar Koreksi'!$I$5:$I$92,"&lt;0")</f>
        <v>0</v>
      </c>
      <c r="G195" s="17">
        <f t="shared" si="8"/>
        <v>-3499738</v>
      </c>
      <c r="H195" s="122"/>
      <c r="I195" s="28"/>
      <c r="J195" s="28"/>
    </row>
    <row r="196" spans="1:10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Koreksi'!$D$5:$D$92,'2500'!A180,'Daftar Koreksi'!$G$5:$G$92,"Aset Tetap Lainnya",'Daftar Koreksi'!$I$5:$I$92,"&gt;0")</f>
        <v>0</v>
      </c>
      <c r="F196" s="25">
        <f>SUMIFS('Daftar Koreksi'!$I$5:$I$92,'Daftar Koreksi'!$D$5:$D$92,'2500'!A180,'Daftar Koreksi'!$G$5:$G$92,"Aset Tetap Lainnya",'Daftar Koreksi'!$I$5:$I$92,"&lt;0")-SUMIFS('Daftar Koreksi'!$I$5:$I$92,'Daftar Koreksi'!$D$5:$D$92,'2500'!A180,'Daftar Koreksi'!$G$5:$G$92,"Aset Tetap Lainnya",'Daftar Koreksi'!$I$5:$I$92,"&lt;0")-SUMIFS('Daftar Koreksi'!$I$5:$I$92,'Daftar Koreksi'!$D$5:$D$92,'2500'!A180,'Daftar Koreksi'!$G$5:$G$92,"Aset Tetap Lainnya",'Daftar Koreksi'!$I$5:$I$92,"&lt;0")</f>
        <v>0</v>
      </c>
      <c r="G196" s="17">
        <f t="shared" si="8"/>
        <v>0</v>
      </c>
      <c r="H196" s="122"/>
      <c r="I196" s="28"/>
      <c r="J196" s="28"/>
    </row>
    <row r="197" spans="1:10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Koreksi'!$D$5:$D$92,'2500'!A180,'Daftar Koreksi'!$G$5:$G$92,"Aset Henti Guna",'Daftar Koreksi'!$I$5:$I$92,"&gt;0")</f>
        <v>0</v>
      </c>
      <c r="F197" s="25">
        <f>SUMIFS('Daftar Koreksi'!$I$5:$I$92,'Daftar Koreksi'!$D$5:$D$92,'2500'!A180,'Daftar Koreksi'!$G$5:$G$92,"Aset Henti Guna",'Daftar Koreksi'!$I$5:$I$92,"&lt;0")-SUMIFS('Daftar Koreksi'!$I$5:$I$92,'Daftar Koreksi'!$D$5:$D$92,'2500'!A180,'Daftar Koreksi'!$G$5:$G$92,"Aset Henti Guna",'Daftar Koreksi'!$I$5:$I$92,"&lt;0")-SUMIFS('Daftar Koreksi'!$I$5:$I$92,'Daftar Koreksi'!$D$5:$D$92,'2500'!A180,'Daftar Koreksi'!$G$5:$G$92,"Aset Henti Guna",'Daftar Koreksi'!$I$5:$I$92,"&lt;0")</f>
        <v>0</v>
      </c>
      <c r="G197" s="17">
        <f t="shared" si="8"/>
        <v>0</v>
      </c>
      <c r="H197" s="122"/>
      <c r="I197" s="28"/>
      <c r="J197" s="28"/>
    </row>
    <row r="198" spans="1:10" ht="21.95" customHeight="1">
      <c r="A198" s="14"/>
      <c r="B198" s="14"/>
      <c r="C198" s="18" t="s">
        <v>2094</v>
      </c>
      <c r="D198" s="19">
        <f>SUM(D193:D197)</f>
        <v>-2239067623</v>
      </c>
      <c r="E198" s="19">
        <f>SUM(E193:E197)</f>
        <v>0</v>
      </c>
      <c r="F198" s="19">
        <f>SUM(F193:F197)</f>
        <v>0</v>
      </c>
      <c r="G198" s="19">
        <f t="shared" si="8"/>
        <v>-2239067623</v>
      </c>
      <c r="H198" s="122"/>
      <c r="I198" s="28"/>
      <c r="J198" s="28"/>
    </row>
    <row r="199" spans="1:10" ht="21.95" customHeight="1">
      <c r="A199" s="14"/>
      <c r="B199" s="14"/>
      <c r="C199" s="18" t="s">
        <v>2095</v>
      </c>
      <c r="D199" s="19">
        <f>VLOOKUP(A180,'Neraca Unaudited SIMAK'!$A$2:$S$10004,18,FALSE)</f>
        <v>5773988926</v>
      </c>
      <c r="E199" s="19">
        <f>E198+E192</f>
        <v>0</v>
      </c>
      <c r="F199" s="19">
        <f>F198+F192</f>
        <v>0</v>
      </c>
      <c r="G199" s="19">
        <f t="shared" si="8"/>
        <v>5773988926</v>
      </c>
      <c r="H199" s="122"/>
      <c r="I199" s="28"/>
      <c r="J199" s="28"/>
    </row>
    <row r="200" spans="1:10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  <c r="I200" s="28"/>
      <c r="J200" s="28"/>
    </row>
    <row r="202" spans="1:10" ht="19.5" customHeight="1">
      <c r="A202" s="11" t="str">
        <f>O10</f>
        <v>005012500402891000KD</v>
      </c>
      <c r="B202" s="11" t="str">
        <f>P10</f>
        <v>PA. Biak</v>
      </c>
      <c r="C202" s="12" t="str">
        <f>A202&amp;" "&amp;B202</f>
        <v>005012500402891000KD PA. Biak</v>
      </c>
      <c r="D202" s="13"/>
      <c r="E202" s="13"/>
      <c r="F202" s="13"/>
      <c r="G202" s="13"/>
      <c r="H202" s="11"/>
    </row>
    <row r="203" spans="1:10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0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0" ht="21.95" customHeight="1">
      <c r="A205" s="14"/>
      <c r="B205" s="14"/>
      <c r="C205" s="16" t="s">
        <v>1165</v>
      </c>
      <c r="D205" s="17">
        <f>VLOOKUP(A202,'Neraca Unaudited SIMAK'!$A$2:$S$10004,3,FALSE)</f>
        <v>91000</v>
      </c>
      <c r="E205" s="25">
        <f>SUMIFS('Daftar Koreksi'!$H$5:$H$92,'Daftar Koreksi'!$D$5:$D$92,'2500'!A202,'Daftar Koreksi'!$G$5:$G$92,"Persediaan",'Daftar Koreksi'!$H$5:$H$92,"&gt;0")</f>
        <v>0</v>
      </c>
      <c r="F205" s="25">
        <f>SUMIFS('Daftar Koreksi'!$H$5:$H$92,'Daftar Koreksi'!$D$5:$D$92,'2500'!A202,'Daftar Koreksi'!$G$5:$G$92,"Persediaan",'Daftar Koreksi'!$H$5:$H$92,"&lt;0")-SUMIFS('Daftar Koreksi'!$H$5:$H$92,'Daftar Koreksi'!$D$5:$D$92,'2500'!A202,'Daftar Koreksi'!$G$5:$G$92,"Persediaan",'Daftar Koreksi'!$H$5:$H$92,"&lt;0")-SUMIFS('Daftar Koreksi'!$H$5:$H$92,'Daftar Koreksi'!$D$5:$D$92,'2500'!A202,'Daftar Koreksi'!$G$5:$G$92,"Persediaan",'Daftar Koreksi'!$H$5:$H$92,"&lt;0")</f>
        <v>0</v>
      </c>
      <c r="G205" s="17">
        <f>D205+E205-F205</f>
        <v>91000</v>
      </c>
      <c r="H205" s="121" t="str">
        <f>IF(ISNA(VLOOKUP(A202,'Mutasi Neraca'!$A$3:$S$914,19,FALSE)),"-",VLOOKUP(A202,'Mutasi Neraca'!$A$3:$S$914,19,FALSE))</f>
        <v>-</v>
      </c>
      <c r="I205" s="28"/>
      <c r="J205" s="29"/>
    </row>
    <row r="206" spans="1:10" ht="21.95" customHeight="1">
      <c r="A206" s="14"/>
      <c r="B206" s="14"/>
      <c r="C206" s="16" t="s">
        <v>1166</v>
      </c>
      <c r="D206" s="17">
        <f>VLOOKUP(A202,'Neraca Unaudited SIMAK'!$A$2:$S$10004,4,FALSE)</f>
        <v>206000000</v>
      </c>
      <c r="E206" s="25">
        <f>SUMIFS('Daftar Koreksi'!$H$5:$H$92,'Daftar Koreksi'!$D$5:$D$92,'2500'!A202,'Daftar Koreksi'!$G$5:$G$92,"Tanah",'Daftar Koreksi'!$H$5:$H$92,"&gt;0")</f>
        <v>0</v>
      </c>
      <c r="F206" s="25">
        <f>SUMIFS('Daftar Koreksi'!$H$5:$H$92,'Daftar Koreksi'!$D$5:$D$92,'2500'!A202,'Daftar Koreksi'!$G$5:$G$92,"Tanah",'Daftar Koreksi'!$H$5:$H$92,"&lt;0")-SUMIFS('Daftar Koreksi'!$H$5:$H$92,'Daftar Koreksi'!$D$5:$D$92,'2500'!A202,'Daftar Koreksi'!$G$5:$G$92,"Tanah",'Daftar Koreksi'!$H$5:$H$92,"&lt;0")-SUMIFS('Daftar Koreksi'!$H$5:$H$92,'Daftar Koreksi'!$D$5:$D$92,'2500'!A202,'Daftar Koreksi'!$G$5:$G$92,"Tanah",'Daftar Koreksi'!$H$5:$H$92,"&lt;0")</f>
        <v>0</v>
      </c>
      <c r="G206" s="17">
        <f t="shared" ref="G206:G222" si="9">D206+E206-F206</f>
        <v>206000000</v>
      </c>
      <c r="H206" s="122"/>
      <c r="I206" s="28"/>
      <c r="J206" s="29"/>
    </row>
    <row r="207" spans="1:10" ht="21.95" customHeight="1">
      <c r="A207" s="14"/>
      <c r="B207" s="14"/>
      <c r="C207" s="16" t="s">
        <v>1167</v>
      </c>
      <c r="D207" s="17">
        <f>VLOOKUP(A202,'Neraca Unaudited SIMAK'!$A$2:$S$10004,5,FALSE)</f>
        <v>1142397895</v>
      </c>
      <c r="E207" s="25">
        <f>SUMIFS('Daftar Koreksi'!$H$5:$H$92,'Daftar Koreksi'!$D$5:$D$92,'2500'!A202,'Daftar Koreksi'!$G$5:$G$92,"Peralatan dan mesin",'Daftar Koreksi'!$H$5:$H$92,"&gt;0")</f>
        <v>0</v>
      </c>
      <c r="F207" s="25">
        <f>SUMIFS('Daftar Koreksi'!$H$5:$H$92,'Daftar Koreksi'!$D$5:$D$92,'2500'!A202,'Daftar Koreksi'!$G$5:$G$92,"Peralatan dan mesin",'Daftar Koreksi'!$H$5:$H$92,"&lt;0")-SUMIFS('Daftar Koreksi'!$H$5:$H$92,'Daftar Koreksi'!$D$5:$D$92,'2500'!A202,'Daftar Koreksi'!$G$5:$G$92,"Peralatan dan mesin",'Daftar Koreksi'!$H$5:$H$92,"&lt;0")-SUMIFS('Daftar Koreksi'!$H$5:$H$92,'Daftar Koreksi'!$D$5:$D$92,'2500'!A202,'Daftar Koreksi'!$G$5:$G$92,"Peralatan dan mesin",'Daftar Koreksi'!$H$5:$H$92,"&lt;0")</f>
        <v>0</v>
      </c>
      <c r="G207" s="17">
        <f t="shared" si="9"/>
        <v>1142397895</v>
      </c>
      <c r="H207" s="122"/>
      <c r="I207" s="28"/>
      <c r="J207" s="29"/>
    </row>
    <row r="208" spans="1:10" ht="21.95" customHeight="1">
      <c r="A208" s="14"/>
      <c r="B208" s="14"/>
      <c r="C208" s="16" t="s">
        <v>1168</v>
      </c>
      <c r="D208" s="17">
        <f>VLOOKUP(A202,'Neraca Unaudited SIMAK'!$A$2:$S$10004,6,FALSE)</f>
        <v>1235005665</v>
      </c>
      <c r="E208" s="25">
        <f>SUMIFS('Daftar Koreksi'!$H$5:$H$92,'Daftar Koreksi'!$D$5:$D$92,'2500'!A202,'Daftar Koreksi'!$G$5:$G$92,"Gedung dan Bangunan",'Daftar Koreksi'!$H$5:$H$92,"&gt;0")</f>
        <v>0</v>
      </c>
      <c r="F208" s="25">
        <f>SUMIFS('Daftar Koreksi'!$H$5:$H$92,'Daftar Koreksi'!$D$5:$D$92,'2500'!A202,'Daftar Koreksi'!$G$5:$G$92,"Gedung dan Bangunan",'Daftar Koreksi'!$H$5:$H$92,"&lt;0")-SUMIFS('Daftar Koreksi'!$H$5:$H$92,'Daftar Koreksi'!$D$5:$D$92,'2500'!A202,'Daftar Koreksi'!$G$5:$G$92,"Gedung dan Bangunan",'Daftar Koreksi'!$H$5:$H$92,"&lt;0")-SUMIFS('Daftar Koreksi'!$H$5:$H$92,'Daftar Koreksi'!$D$5:$D$92,'2500'!A202,'Daftar Koreksi'!$G$5:$G$92,"Gedung dan Bangunan",'Daftar Koreksi'!$H$5:$H$92,"&lt;0")</f>
        <v>0</v>
      </c>
      <c r="G208" s="17">
        <f t="shared" si="9"/>
        <v>1235005665</v>
      </c>
      <c r="H208" s="122"/>
      <c r="I208" s="28"/>
      <c r="J208" s="29"/>
    </row>
    <row r="209" spans="1:10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Koreksi'!$D$5:$D$92,'2500'!A202,'Daftar Koreksi'!$G$5:$G$92,"Jalan Irigasi Jaringan",'Daftar Koreksi'!$H$5:$H$92,"&gt;0")</f>
        <v>0</v>
      </c>
      <c r="F209" s="25">
        <f>SUMIFS('Daftar Koreksi'!$H$5:$H$92,'Daftar Koreksi'!$D$5:$D$92,'2500'!A202,'Daftar Koreksi'!$G$5:$G$92,"Jalan Irigasi Jaringan",'Daftar Koreksi'!$H$5:$H$92,"&lt;0")-SUMIFS('Daftar Koreksi'!$H$5:$H$92,'Daftar Koreksi'!$D$5:$D$92,'2500'!A202,'Daftar Koreksi'!$G$5:$G$92,"Jalan Irigasi Jaringan",'Daftar Koreksi'!$H$5:$H$92,"&lt;0")-SUMIFS('Daftar Koreksi'!$H$5:$H$92,'Daftar Koreksi'!$D$5:$D$92,'2500'!A202,'Daftar Koreksi'!$G$5:$G$92,"Jalan Irigasi Jaringan",'Daftar Koreksi'!$H$5:$H$92,"&lt;0")</f>
        <v>0</v>
      </c>
      <c r="G209" s="17">
        <f t="shared" si="9"/>
        <v>0</v>
      </c>
      <c r="H209" s="122"/>
      <c r="I209" s="28"/>
      <c r="J209" s="29"/>
    </row>
    <row r="210" spans="1:10" ht="21.95" customHeight="1">
      <c r="A210" s="14"/>
      <c r="B210" s="14"/>
      <c r="C210" s="16" t="s">
        <v>1170</v>
      </c>
      <c r="D210" s="17">
        <f>VLOOKUP(A202,'Neraca Unaudited SIMAK'!$A$2:$S$10004,8,FALSE)</f>
        <v>4142670</v>
      </c>
      <c r="E210" s="25">
        <f>SUMIFS('Daftar Koreksi'!$H$5:$H$92,'Daftar Koreksi'!$D$5:$D$92,'2500'!A202,'Daftar Koreksi'!$G$5:$G$92,"Aset Tetap Lainnya",'Daftar Koreksi'!$H$5:$H$92,"&gt;0")</f>
        <v>0</v>
      </c>
      <c r="F210" s="25">
        <f>SUMIFS('Daftar Koreksi'!$H$5:$H$92,'Daftar Koreksi'!$D$5:$D$92,'2500'!A202,'Daftar Koreksi'!$G$5:$G$92,"Aset Tetap Lainnya",'Daftar Koreksi'!$H$5:$H$92,"&lt;0")-SUMIFS('Daftar Koreksi'!$H$5:$H$92,'Daftar Koreksi'!$D$5:$D$92,'2500'!A202,'Daftar Koreksi'!$G$5:$G$92,"Aset Tetap Lainnya",'Daftar Koreksi'!$H$5:$H$92,"&lt;0")-SUMIFS('Daftar Koreksi'!$H$5:$H$92,'Daftar Koreksi'!$D$5:$D$92,'2500'!A202,'Daftar Koreksi'!$G$5:$G$92,"Aset Tetap Lainnya",'Daftar Koreksi'!$H$5:$H$92,"&lt;0")</f>
        <v>0</v>
      </c>
      <c r="G210" s="17">
        <f t="shared" si="9"/>
        <v>4142670</v>
      </c>
      <c r="H210" s="122"/>
      <c r="I210" s="28"/>
      <c r="J210" s="29"/>
    </row>
    <row r="211" spans="1:10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Koreksi'!$D$5:$D$92,'2500'!A202,'Daftar Koreksi'!$G$5:$G$92,"Kontruksi Dalam Pengerjaan",'Daftar Koreksi'!$H$5:$H$92,"&gt;0")</f>
        <v>0</v>
      </c>
      <c r="F211" s="25">
        <f>SUMIFS('Daftar Koreksi'!$H$5:$H$92,'Daftar Koreksi'!$D$5:$D$92,'2500'!A202,'Daftar Koreksi'!$G$5:$G$92,"Kontruksi Dalam Pengerjaan",'Daftar Koreksi'!$H$5:$H$92,"&lt;0")-SUMIFS('Daftar Koreksi'!$H$5:$H$92,'Daftar Koreksi'!$D$5:$D$92,'2500'!A202,'Daftar Koreksi'!$G$5:$G$92,"Kontruksi Dalam Pengerjaan",'Daftar Koreksi'!$H$5:$H$92,"&lt;0")-SUMIFS('Daftar Koreksi'!$H$5:$H$92,'Daftar Koreksi'!$D$5:$D$92,'2500'!A202,'Daftar Koreksi'!$G$5:$G$92,"Kontruksi Dalam Pengerjaan",'Daftar Koreksi'!$H$5:$H$92,"&lt;0")</f>
        <v>0</v>
      </c>
      <c r="G211" s="17">
        <f t="shared" si="9"/>
        <v>0</v>
      </c>
      <c r="H211" s="122"/>
      <c r="I211" s="28"/>
      <c r="J211" s="29"/>
    </row>
    <row r="212" spans="1:10" ht="21.95" customHeight="1">
      <c r="A212" s="14"/>
      <c r="B212" s="14"/>
      <c r="C212" s="16" t="s">
        <v>1172</v>
      </c>
      <c r="D212" s="17">
        <f>VLOOKUP(A202,'Neraca Unaudited SIMAK'!$A$2:$S$10004,10,FALSE)</f>
        <v>8811000</v>
      </c>
      <c r="E212" s="25">
        <f>SUMIFS('Daftar Koreksi'!$H$5:$H$92,'Daftar Koreksi'!$D$5:$D$92,'2500'!A202,'Daftar Koreksi'!$G$5:$G$92,"Aset Tak Berwujud",'Daftar Koreksi'!$H$5:$H$92,"&gt;0")</f>
        <v>0</v>
      </c>
      <c r="F212" s="25">
        <f>SUMIFS('Daftar Koreksi'!$H$5:$H$92,'Daftar Koreksi'!$D$5:$D$92,'2500'!A202,'Daftar Koreksi'!$G$5:$G$92,"Aset Tak Berwujud",'Daftar Koreksi'!$H$5:$H$92,"&lt;0")-SUMIFS('Daftar Koreksi'!$H$5:$H$92,'Daftar Koreksi'!$D$5:$D$92,'2500'!A202,'Daftar Koreksi'!$G$5:$G$92,"Aset Tak Berwujud",'Daftar Koreksi'!$H$5:$H$92,"&lt;0")-SUMIFS('Daftar Koreksi'!$H$5:$H$92,'Daftar Koreksi'!$D$5:$D$92,'2500'!A202,'Daftar Koreksi'!$G$5:$G$92,"Aset Tak Berwujud",'Daftar Koreksi'!$H$5:$H$92,"&lt;0")</f>
        <v>0</v>
      </c>
      <c r="G212" s="17">
        <f t="shared" si="9"/>
        <v>8811000</v>
      </c>
      <c r="H212" s="122"/>
      <c r="I212" s="28"/>
      <c r="J212" s="29"/>
    </row>
    <row r="213" spans="1:10" ht="21.95" customHeight="1">
      <c r="A213" s="14"/>
      <c r="B213" s="14"/>
      <c r="C213" s="16" t="s">
        <v>1173</v>
      </c>
      <c r="D213" s="17">
        <f>VLOOKUP(A202,'Neraca Unaudited SIMAK'!$A$2:$S$10004,11,FALSE)</f>
        <v>215260170</v>
      </c>
      <c r="E213" s="25">
        <f>SUMIFS('Daftar Koreksi'!$H$5:$H$92,'Daftar Koreksi'!$D$5:$D$92,'2500'!A202,'Daftar Koreksi'!$G$5:$G$92,"Aset Henti Guna",'Daftar Koreksi'!$H$5:$H$92,"&gt;0")</f>
        <v>0</v>
      </c>
      <c r="F213" s="25">
        <f>SUMIFS('Daftar Koreksi'!$H$5:$H$92,'Daftar Koreksi'!$D$5:$D$92,'2500'!A202,'Daftar Koreksi'!$G$5:$G$92,"Aset Henti Guna",'Daftar Koreksi'!$H$5:$H$92,"&lt;0")-SUMIFS('Daftar Koreksi'!$H$5:$H$92,'Daftar Koreksi'!$D$5:$D$92,'2500'!A202,'Daftar Koreksi'!$G$5:$G$92,"Aset Henti Guna",'Daftar Koreksi'!$H$5:$H$92,"&lt;0")-SUMIFS('Daftar Koreksi'!$H$5:$H$92,'Daftar Koreksi'!$D$5:$D$92,'2500'!A202,'Daftar Koreksi'!$G$5:$G$92,"Aset Henti Guna",'Daftar Koreksi'!$H$5:$H$92,"&lt;0")</f>
        <v>0</v>
      </c>
      <c r="G213" s="17">
        <f t="shared" si="9"/>
        <v>215260170</v>
      </c>
      <c r="H213" s="122"/>
      <c r="I213" s="28"/>
      <c r="J213" s="29"/>
    </row>
    <row r="214" spans="1:10" ht="21.95" customHeight="1">
      <c r="A214" s="14"/>
      <c r="B214" s="14"/>
      <c r="C214" s="18" t="s">
        <v>2093</v>
      </c>
      <c r="D214" s="19">
        <f>VLOOKUP(A202,'Neraca Unaudited SIMAK'!$A$2:$S$10004,12,FALSE)</f>
        <v>2811708400</v>
      </c>
      <c r="E214" s="19">
        <f>SUM(E205:E213)</f>
        <v>0</v>
      </c>
      <c r="F214" s="19">
        <f>SUM(F205:F213)</f>
        <v>0</v>
      </c>
      <c r="G214" s="19">
        <f t="shared" si="9"/>
        <v>2811708400</v>
      </c>
      <c r="H214" s="122"/>
      <c r="I214" s="28"/>
      <c r="J214" s="29"/>
    </row>
    <row r="215" spans="1:10" ht="21.95" customHeight="1">
      <c r="A215" s="14"/>
      <c r="B215" s="14"/>
      <c r="C215" s="16" t="s">
        <v>2087</v>
      </c>
      <c r="D215" s="17">
        <f>VLOOKUP(A202,'Neraca Unaudited SIMAK'!$A$2:$S$10004,13,FALSE)</f>
        <v>-865110976</v>
      </c>
      <c r="E215" s="25">
        <f>SUMIFS('Daftar Koreksi'!$I$5:$I$92,'Daftar Koreksi'!$D$5:$D$92,'2500'!A202,'Daftar Koreksi'!$G$5:$G$92,"Peralatan dan mesin",'Daftar Koreksi'!$I$5:$I$92,"&gt;0")</f>
        <v>0</v>
      </c>
      <c r="F215" s="25">
        <f>SUMIFS('Daftar Koreksi'!$I$5:$I$92,'Daftar Koreksi'!$D$5:$D$92,'2500'!A202,'Daftar Koreksi'!$G$5:$G$92,"Peralatan dan mesin",'Daftar Koreksi'!$I$5:$I$92,"&lt;0")-SUMIFS('Daftar Koreksi'!$I$5:$I$92,'Daftar Koreksi'!$D$5:$D$92,'2500'!A202,'Daftar Koreksi'!$G$5:$G$92,"Peralatan dan mesin",'Daftar Koreksi'!$I$5:$I$92,"&lt;0")-SUMIFS('Daftar Koreksi'!$I$5:$I$92,'Daftar Koreksi'!$D$5:$D$92,'2500'!A202,'Daftar Koreksi'!$G$5:$G$92,"Peralatan dan mesin",'Daftar Koreksi'!$I$5:$I$92,"&lt;0")</f>
        <v>0</v>
      </c>
      <c r="G215" s="17">
        <f t="shared" si="9"/>
        <v>-865110976</v>
      </c>
      <c r="H215" s="122"/>
      <c r="I215" s="28"/>
      <c r="J215" s="29"/>
    </row>
    <row r="216" spans="1:10" ht="21.95" customHeight="1">
      <c r="A216" s="14"/>
      <c r="B216" s="14"/>
      <c r="C216" s="16" t="s">
        <v>2088</v>
      </c>
      <c r="D216" s="17">
        <f>VLOOKUP(A202,'Neraca Unaudited SIMAK'!$A$2:$S$10004,14,FALSE)</f>
        <v>-375059085</v>
      </c>
      <c r="E216" s="25">
        <f>SUMIFS('Daftar Koreksi'!$I$5:$I$92,'Daftar Koreksi'!$D$5:$D$92,'2500'!A202,'Daftar Koreksi'!$G$5:$G$92,"Gedung dan Bangunan",'Daftar Koreksi'!$I$5:$I$92,"&gt;0")</f>
        <v>0</v>
      </c>
      <c r="F216" s="25">
        <f>SUMIFS('Daftar Koreksi'!$I$5:$I$92,'Daftar Koreksi'!$D$5:$D$92,'2500'!A202,'Daftar Koreksi'!$G$5:$G$92,"Gedung dan Bangunan",'Daftar Koreksi'!$I$5:$I$92,"&lt;0")-SUMIFS('Daftar Koreksi'!$I$5:$I$92,'Daftar Koreksi'!$D$5:$D$92,'2500'!A202,'Daftar Koreksi'!$G$5:$G$92,"Gedung dan Bangunan",'Daftar Koreksi'!$I$5:$I$92,"&lt;0")-SUMIFS('Daftar Koreksi'!$I$5:$I$92,'Daftar Koreksi'!$D$5:$D$92,'2500'!A202,'Daftar Koreksi'!$G$5:$G$92,"Gedung dan Bangunan",'Daftar Koreksi'!$I$5:$I$92,"&lt;0")</f>
        <v>0</v>
      </c>
      <c r="G216" s="17">
        <f t="shared" si="9"/>
        <v>-375059085</v>
      </c>
      <c r="H216" s="122"/>
      <c r="I216" s="28"/>
      <c r="J216" s="29"/>
    </row>
    <row r="217" spans="1:10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Koreksi'!$D$5:$D$92,'2500'!A202,'Daftar Koreksi'!$G$5:$G$92,"Jalan Irigasi Jaringan",'Daftar Koreksi'!$I$5:$I$92,"&gt;0")</f>
        <v>0</v>
      </c>
      <c r="F217" s="25">
        <f>SUMIFS('Daftar Koreksi'!$I$5:$I$92,'Daftar Koreksi'!$D$5:$D$92,'2500'!A202,'Daftar Koreksi'!$G$5:$G$92,"Jalan Irigasi Jaringan",'Daftar Koreksi'!$I$5:$I$92,"&lt;0")-SUMIFS('Daftar Koreksi'!$I$5:$I$92,'Daftar Koreksi'!$D$5:$D$92,'2500'!A202,'Daftar Koreksi'!$G$5:$G$92,"Jalan Irigasi Jaringan",'Daftar Koreksi'!$I$5:$I$92,"&lt;0")-SUMIFS('Daftar Koreksi'!$I$5:$I$92,'Daftar Koreksi'!$D$5:$D$92,'2500'!A202,'Daftar Koreksi'!$G$5:$G$92,"Jalan Irigasi Jaringan",'Daftar Koreksi'!$I$5:$I$92,"&lt;0")</f>
        <v>0</v>
      </c>
      <c r="G217" s="17">
        <f t="shared" si="9"/>
        <v>0</v>
      </c>
      <c r="H217" s="122"/>
      <c r="I217" s="28"/>
      <c r="J217" s="29"/>
    </row>
    <row r="218" spans="1:10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Koreksi'!$D$5:$D$92,'2500'!A202,'Daftar Koreksi'!$G$5:$G$92,"Aset Tetap Lainnya",'Daftar Koreksi'!$I$5:$I$92,"&gt;0")</f>
        <v>0</v>
      </c>
      <c r="F218" s="25">
        <f>SUMIFS('Daftar Koreksi'!$I$5:$I$92,'Daftar Koreksi'!$D$5:$D$92,'2500'!A202,'Daftar Koreksi'!$G$5:$G$92,"Aset Tetap Lainnya",'Daftar Koreksi'!$I$5:$I$92,"&lt;0")-SUMIFS('Daftar Koreksi'!$I$5:$I$92,'Daftar Koreksi'!$D$5:$D$92,'2500'!A202,'Daftar Koreksi'!$G$5:$G$92,"Aset Tetap Lainnya",'Daftar Koreksi'!$I$5:$I$92,"&lt;0")-SUMIFS('Daftar Koreksi'!$I$5:$I$92,'Daftar Koreksi'!$D$5:$D$92,'2500'!A202,'Daftar Koreksi'!$G$5:$G$92,"Aset Tetap Lainnya",'Daftar Koreksi'!$I$5:$I$92,"&lt;0")</f>
        <v>0</v>
      </c>
      <c r="G218" s="17">
        <f t="shared" si="9"/>
        <v>0</v>
      </c>
      <c r="H218" s="122"/>
      <c r="I218" s="28"/>
      <c r="J218" s="29"/>
    </row>
    <row r="219" spans="1:10" ht="21.95" customHeight="1">
      <c r="A219" s="14"/>
      <c r="B219" s="14"/>
      <c r="C219" s="16" t="s">
        <v>2020</v>
      </c>
      <c r="D219" s="17">
        <f>VLOOKUP(A202,'Neraca Unaudited SIMAK'!$A$2:$S$10004,17,FALSE)</f>
        <v>-215260170</v>
      </c>
      <c r="E219" s="25">
        <f>SUMIFS('Daftar Koreksi'!$I$5:$I$92,'Daftar Koreksi'!$D$5:$D$92,'2500'!A202,'Daftar Koreksi'!$G$5:$G$92,"Aset Henti Guna",'Daftar Koreksi'!$I$5:$I$92,"&gt;0")</f>
        <v>0</v>
      </c>
      <c r="F219" s="25">
        <f>SUMIFS('Daftar Koreksi'!$I$5:$I$92,'Daftar Koreksi'!$D$5:$D$92,'2500'!A202,'Daftar Koreksi'!$G$5:$G$92,"Aset Henti Guna",'Daftar Koreksi'!$I$5:$I$92,"&lt;0")-SUMIFS('Daftar Koreksi'!$I$5:$I$92,'Daftar Koreksi'!$D$5:$D$92,'2500'!A202,'Daftar Koreksi'!$G$5:$G$92,"Aset Henti Guna",'Daftar Koreksi'!$I$5:$I$92,"&lt;0")-SUMIFS('Daftar Koreksi'!$I$5:$I$92,'Daftar Koreksi'!$D$5:$D$92,'2500'!A202,'Daftar Koreksi'!$G$5:$G$92,"Aset Henti Guna",'Daftar Koreksi'!$I$5:$I$92,"&lt;0")</f>
        <v>0</v>
      </c>
      <c r="G219" s="17">
        <f t="shared" si="9"/>
        <v>-215260170</v>
      </c>
      <c r="H219" s="122"/>
      <c r="I219" s="28"/>
      <c r="J219" s="29"/>
    </row>
    <row r="220" spans="1:10" ht="21.95" customHeight="1">
      <c r="A220" s="14"/>
      <c r="B220" s="14"/>
      <c r="C220" s="18" t="s">
        <v>2094</v>
      </c>
      <c r="D220" s="19">
        <f>SUM(D215:D219)</f>
        <v>-1455430231</v>
      </c>
      <c r="E220" s="19">
        <f>SUM(E215:E219)</f>
        <v>0</v>
      </c>
      <c r="F220" s="19">
        <f>SUM(F215:F219)</f>
        <v>0</v>
      </c>
      <c r="G220" s="19">
        <f t="shared" si="9"/>
        <v>-1455430231</v>
      </c>
      <c r="H220" s="122"/>
      <c r="I220" s="28"/>
      <c r="J220" s="29"/>
    </row>
    <row r="221" spans="1:10" ht="21.95" customHeight="1">
      <c r="A221" s="14"/>
      <c r="B221" s="14"/>
      <c r="C221" s="18" t="s">
        <v>2095</v>
      </c>
      <c r="D221" s="19">
        <f>VLOOKUP(A202,'Neraca Unaudited SIMAK'!$A$2:$S$10004,18,FALSE)</f>
        <v>1356278169</v>
      </c>
      <c r="E221" s="19">
        <f>E220+E214</f>
        <v>0</v>
      </c>
      <c r="F221" s="19">
        <f>F220+F214</f>
        <v>0</v>
      </c>
      <c r="G221" s="19">
        <f t="shared" si="9"/>
        <v>1356278169</v>
      </c>
      <c r="H221" s="122"/>
      <c r="I221" s="28"/>
      <c r="J221" s="29"/>
    </row>
    <row r="222" spans="1:10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  <c r="I222" s="28"/>
      <c r="J222" s="29"/>
    </row>
    <row r="224" spans="1:10" ht="19.5" customHeight="1">
      <c r="A224" s="11" t="str">
        <f>O11</f>
        <v>005012500402927000KD</v>
      </c>
      <c r="B224" s="11" t="str">
        <f>P11</f>
        <v>PA. Nabire</v>
      </c>
      <c r="C224" s="12" t="str">
        <f>A224&amp;" "&amp;B224</f>
        <v>005012500402927000KD PA. Nabire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589000</v>
      </c>
      <c r="E227" s="25">
        <f>SUMIFS('Daftar Koreksi'!$H$5:$H$92,'Daftar Koreksi'!$D$5:$D$92,'2500'!A224,'Daftar Koreksi'!$G$5:$G$92,"Persediaan",'Daftar Koreksi'!$H$5:$H$92,"&gt;0")</f>
        <v>0</v>
      </c>
      <c r="F227" s="25">
        <f>SUMIFS('Daftar Koreksi'!$H$5:$H$92,'Daftar Koreksi'!$D$5:$D$92,'2500'!A224,'Daftar Koreksi'!$G$5:$G$92,"Persediaan",'Daftar Koreksi'!$H$5:$H$92,"&lt;0")-SUMIFS('Daftar Koreksi'!$H$5:$H$92,'Daftar Koreksi'!$D$5:$D$92,'2500'!A224,'Daftar Koreksi'!$G$5:$G$92,"Persediaan",'Daftar Koreksi'!$H$5:$H$92,"&lt;0")-SUMIFS('Daftar Koreksi'!$H$5:$H$92,'Daftar Koreksi'!$D$5:$D$92,'2500'!A224,'Daftar Koreksi'!$G$5:$G$92,"Persediaan",'Daftar Koreksi'!$H$5:$H$92,"&lt;0")</f>
        <v>0</v>
      </c>
      <c r="G227" s="17">
        <f>D227+E227-F227</f>
        <v>589000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226500000</v>
      </c>
      <c r="E228" s="25">
        <f>SUMIFS('Daftar Koreksi'!$H$5:$H$92,'Daftar Koreksi'!$D$5:$D$92,'2500'!A224,'Daftar Koreksi'!$G$5:$G$92,"Tanah",'Daftar Koreksi'!$H$5:$H$92,"&gt;0")</f>
        <v>0</v>
      </c>
      <c r="F228" s="25">
        <f>SUMIFS('Daftar Koreksi'!$H$5:$H$92,'Daftar Koreksi'!$D$5:$D$92,'2500'!A224,'Daftar Koreksi'!$G$5:$G$92,"Tanah",'Daftar Koreksi'!$H$5:$H$92,"&lt;0")-SUMIFS('Daftar Koreksi'!$H$5:$H$92,'Daftar Koreksi'!$D$5:$D$92,'2500'!A224,'Daftar Koreksi'!$G$5:$G$92,"Tanah",'Daftar Koreksi'!$H$5:$H$92,"&lt;0")-SUMIFS('Daftar Koreksi'!$H$5:$H$92,'Daftar Koreksi'!$D$5:$D$92,'2500'!A224,'Daftar Koreksi'!$G$5:$G$92,"Tanah",'Daftar Koreksi'!$H$5:$H$92,"&lt;0")</f>
        <v>0</v>
      </c>
      <c r="G228" s="17">
        <f t="shared" ref="G228:G244" si="10">D228+E228-F228</f>
        <v>226500000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1120636298</v>
      </c>
      <c r="E229" s="25">
        <f>SUMIFS('Daftar Koreksi'!$H$5:$H$92,'Daftar Koreksi'!$D$5:$D$92,'2500'!A224,'Daftar Koreksi'!$G$5:$G$92,"Peralatan dan mesin",'Daftar Koreksi'!$H$5:$H$92,"&gt;0")</f>
        <v>0</v>
      </c>
      <c r="F229" s="25">
        <f>SUMIFS('Daftar Koreksi'!$H$5:$H$92,'Daftar Koreksi'!$D$5:$D$92,'2500'!A224,'Daftar Koreksi'!$G$5:$G$92,"Peralatan dan mesin",'Daftar Koreksi'!$H$5:$H$92,"&lt;0")-SUMIFS('Daftar Koreksi'!$H$5:$H$92,'Daftar Koreksi'!$D$5:$D$92,'2500'!A224,'Daftar Koreksi'!$G$5:$G$92,"Peralatan dan mesin",'Daftar Koreksi'!$H$5:$H$92,"&lt;0")-SUMIFS('Daftar Koreksi'!$H$5:$H$92,'Daftar Koreksi'!$D$5:$D$92,'2500'!A224,'Daftar Koreksi'!$G$5:$G$92,"Peralatan dan mesin",'Daftar Koreksi'!$H$5:$H$92,"&lt;0")</f>
        <v>0</v>
      </c>
      <c r="G229" s="17">
        <f t="shared" si="10"/>
        <v>1120636298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5043910000</v>
      </c>
      <c r="E230" s="25">
        <f>SUMIFS('Daftar Koreksi'!$H$5:$H$92,'Daftar Koreksi'!$D$5:$D$92,'2500'!A224,'Daftar Koreksi'!$G$5:$G$92,"Gedung dan Bangunan",'Daftar Koreksi'!$H$5:$H$92,"&gt;0")</f>
        <v>0</v>
      </c>
      <c r="F230" s="25">
        <f>SUMIFS('Daftar Koreksi'!$H$5:$H$92,'Daftar Koreksi'!$D$5:$D$92,'2500'!A224,'Daftar Koreksi'!$G$5:$G$92,"Gedung dan Bangunan",'Daftar Koreksi'!$H$5:$H$92,"&lt;0")-SUMIFS('Daftar Koreksi'!$H$5:$H$92,'Daftar Koreksi'!$D$5:$D$92,'2500'!A224,'Daftar Koreksi'!$G$5:$G$92,"Gedung dan Bangunan",'Daftar Koreksi'!$H$5:$H$92,"&lt;0")-SUMIFS('Daftar Koreksi'!$H$5:$H$92,'Daftar Koreksi'!$D$5:$D$92,'2500'!A224,'Daftar Koreksi'!$G$5:$G$92,"Gedung dan Bangunan",'Daftar Koreksi'!$H$5:$H$92,"&lt;0")</f>
        <v>0</v>
      </c>
      <c r="G230" s="17">
        <f t="shared" si="10"/>
        <v>5043910000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Koreksi'!$D$5:$D$92,'2500'!A224,'Daftar Koreksi'!$G$5:$G$92,"Jalan Irigasi Jaringan",'Daftar Koreksi'!$H$5:$H$92,"&gt;0")</f>
        <v>0</v>
      </c>
      <c r="F231" s="25">
        <f>SUMIFS('Daftar Koreksi'!$H$5:$H$92,'Daftar Koreksi'!$D$5:$D$92,'2500'!A224,'Daftar Koreksi'!$G$5:$G$92,"Jalan Irigasi Jaringan",'Daftar Koreksi'!$H$5:$H$92,"&lt;0")-SUMIFS('Daftar Koreksi'!$H$5:$H$92,'Daftar Koreksi'!$D$5:$D$92,'2500'!A224,'Daftar Koreksi'!$G$5:$G$92,"Jalan Irigasi Jaringan",'Daftar Koreksi'!$H$5:$H$92,"&lt;0")-SUMIFS('Daftar Koreksi'!$H$5:$H$92,'Daftar Koreksi'!$D$5:$D$92,'2500'!A224,'Daftar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33671400</v>
      </c>
      <c r="E232" s="25">
        <f>SUMIFS('Daftar Koreksi'!$H$5:$H$92,'Daftar Koreksi'!$D$5:$D$92,'2500'!A224,'Daftar Koreksi'!$G$5:$G$92,"Aset Tetap Lainnya",'Daftar Koreksi'!$H$5:$H$92,"&gt;0")</f>
        <v>0</v>
      </c>
      <c r="F232" s="25">
        <f>SUMIFS('Daftar Koreksi'!$H$5:$H$92,'Daftar Koreksi'!$D$5:$D$92,'2500'!A224,'Daftar Koreksi'!$G$5:$G$92,"Aset Tetap Lainnya",'Daftar Koreksi'!$H$5:$H$92,"&lt;0")-SUMIFS('Daftar Koreksi'!$H$5:$H$92,'Daftar Koreksi'!$D$5:$D$92,'2500'!A224,'Daftar Koreksi'!$G$5:$G$92,"Aset Tetap Lainnya",'Daftar Koreksi'!$H$5:$H$92,"&lt;0")-SUMIFS('Daftar Koreksi'!$H$5:$H$92,'Daftar Koreksi'!$D$5:$D$92,'2500'!A224,'Daftar Koreksi'!$G$5:$G$92,"Aset Tetap Lainnya",'Daftar Koreksi'!$H$5:$H$92,"&lt;0")</f>
        <v>0</v>
      </c>
      <c r="G232" s="17">
        <f t="shared" si="10"/>
        <v>33671400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Koreksi'!$D$5:$D$92,'2500'!A224,'Daftar Koreksi'!$G$5:$G$92,"Kontruksi Dalam Pengerjaan",'Daftar Koreksi'!$H$5:$H$92,"&gt;0")</f>
        <v>0</v>
      </c>
      <c r="F233" s="25">
        <f>SUMIFS('Daftar Koreksi'!$H$5:$H$92,'Daftar Koreksi'!$D$5:$D$92,'2500'!A224,'Daftar Koreksi'!$G$5:$G$92,"Kontruksi Dalam Pengerjaan",'Daftar Koreksi'!$H$5:$H$92,"&lt;0")-SUMIFS('Daftar Koreksi'!$H$5:$H$92,'Daftar Koreksi'!$D$5:$D$92,'2500'!A224,'Daftar Koreksi'!$G$5:$G$92,"Kontruksi Dalam Pengerjaan",'Daftar Koreksi'!$H$5:$H$92,"&lt;0")-SUMIFS('Daftar Koreksi'!$H$5:$H$92,'Daftar Koreksi'!$D$5:$D$92,'2500'!A224,'Daftar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Koreksi'!$D$5:$D$92,'2500'!A224,'Daftar Koreksi'!$G$5:$G$92,"Aset Tak Berwujud",'Daftar Koreksi'!$H$5:$H$92,"&gt;0")</f>
        <v>0</v>
      </c>
      <c r="F234" s="25">
        <f>SUMIFS('Daftar Koreksi'!$H$5:$H$92,'Daftar Koreksi'!$D$5:$D$92,'2500'!A224,'Daftar Koreksi'!$G$5:$G$92,"Aset Tak Berwujud",'Daftar Koreksi'!$H$5:$H$92,"&lt;0")-SUMIFS('Daftar Koreksi'!$H$5:$H$92,'Daftar Koreksi'!$D$5:$D$92,'2500'!A224,'Daftar Koreksi'!$G$5:$G$92,"Aset Tak Berwujud",'Daftar Koreksi'!$H$5:$H$92,"&lt;0")-SUMIFS('Daftar Koreksi'!$H$5:$H$92,'Daftar Koreksi'!$D$5:$D$92,'2500'!A224,'Daftar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740000</v>
      </c>
      <c r="E235" s="25">
        <f>SUMIFS('Daftar Koreksi'!$H$5:$H$92,'Daftar Koreksi'!$D$5:$D$92,'2500'!A224,'Daftar Koreksi'!$G$5:$G$92,"Aset Henti Guna",'Daftar Koreksi'!$H$5:$H$92,"&gt;0")</f>
        <v>0</v>
      </c>
      <c r="F235" s="25">
        <f>SUMIFS('Daftar Koreksi'!$H$5:$H$92,'Daftar Koreksi'!$D$5:$D$92,'2500'!A224,'Daftar Koreksi'!$G$5:$G$92,"Aset Henti Guna",'Daftar Koreksi'!$H$5:$H$92,"&lt;0")-SUMIFS('Daftar Koreksi'!$H$5:$H$92,'Daftar Koreksi'!$D$5:$D$92,'2500'!A224,'Daftar Koreksi'!$G$5:$G$92,"Aset Henti Guna",'Daftar Koreksi'!$H$5:$H$92,"&lt;0")-SUMIFS('Daftar Koreksi'!$H$5:$H$92,'Daftar Koreksi'!$D$5:$D$92,'2500'!A224,'Daftar Koreksi'!$G$5:$G$92,"Aset Henti Guna",'Daftar Koreksi'!$H$5:$H$92,"&lt;0")</f>
        <v>0</v>
      </c>
      <c r="G235" s="17">
        <f t="shared" si="10"/>
        <v>740000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6426046698</v>
      </c>
      <c r="E236" s="19">
        <f>SUM(E227:E235)</f>
        <v>0</v>
      </c>
      <c r="F236" s="19">
        <f>SUM(F227:F235)</f>
        <v>0</v>
      </c>
      <c r="G236" s="19">
        <f t="shared" si="10"/>
        <v>6426046698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-1029577248</v>
      </c>
      <c r="E237" s="25">
        <f>SUMIFS('Daftar Koreksi'!$I$5:$I$92,'Daftar Koreksi'!$D$5:$D$92,'2500'!A224,'Daftar Koreksi'!$G$5:$G$92,"Peralatan dan mesin",'Daftar Koreksi'!$I$5:$I$92,"&gt;0")</f>
        <v>0</v>
      </c>
      <c r="F237" s="25">
        <f>SUMIFS('Daftar Koreksi'!$I$5:$I$92,'Daftar Koreksi'!$D$5:$D$92,'2500'!A224,'Daftar Koreksi'!$G$5:$G$92,"Peralatan dan mesin",'Daftar Koreksi'!$I$5:$I$92,"&lt;0")-SUMIFS('Daftar Koreksi'!$I$5:$I$92,'Daftar Koreksi'!$D$5:$D$92,'2500'!A224,'Daftar Koreksi'!$G$5:$G$92,"Peralatan dan mesin",'Daftar Koreksi'!$I$5:$I$92,"&lt;0")-SUMIFS('Daftar Koreksi'!$I$5:$I$92,'Daftar Koreksi'!$D$5:$D$92,'2500'!A224,'Daftar Koreksi'!$G$5:$G$92,"Peralatan dan mesin",'Daftar Koreksi'!$I$5:$I$92,"&lt;0")</f>
        <v>0</v>
      </c>
      <c r="G237" s="17">
        <f t="shared" si="10"/>
        <v>-1029577248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-1494450986</v>
      </c>
      <c r="E238" s="25">
        <f>SUMIFS('Daftar Koreksi'!$I$5:$I$92,'Daftar Koreksi'!$D$5:$D$92,'2500'!A224,'Daftar Koreksi'!$G$5:$G$92,"Gedung dan Bangunan",'Daftar Koreksi'!$I$5:$I$92,"&gt;0")</f>
        <v>0</v>
      </c>
      <c r="F238" s="25">
        <f>SUMIFS('Daftar Koreksi'!$I$5:$I$92,'Daftar Koreksi'!$D$5:$D$92,'2500'!A224,'Daftar Koreksi'!$G$5:$G$92,"Gedung dan Bangunan",'Daftar Koreksi'!$I$5:$I$92,"&lt;0")-SUMIFS('Daftar Koreksi'!$I$5:$I$92,'Daftar Koreksi'!$D$5:$D$92,'2500'!A224,'Daftar Koreksi'!$G$5:$G$92,"Gedung dan Bangunan",'Daftar Koreksi'!$I$5:$I$92,"&lt;0")-SUMIFS('Daftar Koreksi'!$I$5:$I$92,'Daftar Koreksi'!$D$5:$D$92,'2500'!A224,'Daftar Koreksi'!$G$5:$G$92,"Gedung dan Bangunan",'Daftar Koreksi'!$I$5:$I$92,"&lt;0")</f>
        <v>0</v>
      </c>
      <c r="G238" s="17">
        <f t="shared" si="10"/>
        <v>-1494450986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Koreksi'!$D$5:$D$92,'2500'!A224,'Daftar Koreksi'!$G$5:$G$92,"Jalan Irigasi Jaringan",'Daftar Koreksi'!$I$5:$I$92,"&gt;0")</f>
        <v>0</v>
      </c>
      <c r="F239" s="25">
        <f>SUMIFS('Daftar Koreksi'!$I$5:$I$92,'Daftar Koreksi'!$D$5:$D$92,'2500'!A224,'Daftar Koreksi'!$G$5:$G$92,"Jalan Irigasi Jaringan",'Daftar Koreksi'!$I$5:$I$92,"&lt;0")-SUMIFS('Daftar Koreksi'!$I$5:$I$92,'Daftar Koreksi'!$D$5:$D$92,'2500'!A224,'Daftar Koreksi'!$G$5:$G$92,"Jalan Irigasi Jaringan",'Daftar Koreksi'!$I$5:$I$92,"&lt;0")-SUMIFS('Daftar Koreksi'!$I$5:$I$92,'Daftar Koreksi'!$D$5:$D$92,'2500'!A224,'Daftar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Koreksi'!$D$5:$D$92,'2500'!A224,'Daftar Koreksi'!$G$5:$G$92,"Aset Tetap Lainnya",'Daftar Koreksi'!$I$5:$I$92,"&gt;0")</f>
        <v>0</v>
      </c>
      <c r="F240" s="25">
        <f>SUMIFS('Daftar Koreksi'!$I$5:$I$92,'Daftar Koreksi'!$D$5:$D$92,'2500'!A224,'Daftar Koreksi'!$G$5:$G$92,"Aset Tetap Lainnya",'Daftar Koreksi'!$I$5:$I$92,"&lt;0")-SUMIFS('Daftar Koreksi'!$I$5:$I$92,'Daftar Koreksi'!$D$5:$D$92,'2500'!A224,'Daftar Koreksi'!$G$5:$G$92,"Aset Tetap Lainnya",'Daftar Koreksi'!$I$5:$I$92,"&lt;0")-SUMIFS('Daftar Koreksi'!$I$5:$I$92,'Daftar Koreksi'!$D$5:$D$92,'2500'!A224,'Daftar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-740000</v>
      </c>
      <c r="E241" s="25">
        <f>SUMIFS('Daftar Koreksi'!$I$5:$I$92,'Daftar Koreksi'!$D$5:$D$92,'2500'!A224,'Daftar Koreksi'!$G$5:$G$92,"Aset Henti Guna",'Daftar Koreksi'!$I$5:$I$92,"&gt;0")</f>
        <v>0</v>
      </c>
      <c r="F241" s="25">
        <f>SUMIFS('Daftar Koreksi'!$I$5:$I$92,'Daftar Koreksi'!$D$5:$D$92,'2500'!A224,'Daftar Koreksi'!$G$5:$G$92,"Aset Henti Guna",'Daftar Koreksi'!$I$5:$I$92,"&lt;0")-SUMIFS('Daftar Koreksi'!$I$5:$I$92,'Daftar Koreksi'!$D$5:$D$92,'2500'!A224,'Daftar Koreksi'!$G$5:$G$92,"Aset Henti Guna",'Daftar Koreksi'!$I$5:$I$92,"&lt;0")-SUMIFS('Daftar Koreksi'!$I$5:$I$92,'Daftar Koreksi'!$D$5:$D$92,'2500'!A224,'Daftar Koreksi'!$G$5:$G$92,"Aset Henti Guna",'Daftar Koreksi'!$I$5:$I$92,"&lt;0")</f>
        <v>0</v>
      </c>
      <c r="G241" s="17">
        <f t="shared" si="10"/>
        <v>-740000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-2524768234</v>
      </c>
      <c r="E242" s="19">
        <f>SUM(E237:E241)</f>
        <v>0</v>
      </c>
      <c r="F242" s="19">
        <f>SUM(F237:F241)</f>
        <v>0</v>
      </c>
      <c r="G242" s="19">
        <f t="shared" si="10"/>
        <v>-2524768234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3901278464</v>
      </c>
      <c r="E243" s="19">
        <f>E242+E236</f>
        <v>0</v>
      </c>
      <c r="F243" s="19">
        <f>F242+F236</f>
        <v>0</v>
      </c>
      <c r="G243" s="19">
        <f t="shared" si="10"/>
        <v>3901278464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005012500402933000KD</v>
      </c>
      <c r="B246" s="11" t="str">
        <f>P12</f>
        <v>PA. Wamena</v>
      </c>
      <c r="C246" s="12" t="str">
        <f>A246&amp;" "&amp;B246</f>
        <v>005012500402933000KD PA. Wamena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8913000</v>
      </c>
      <c r="E249" s="25">
        <f>SUMIFS('Daftar Koreksi'!$H$5:$H$92,'Daftar Koreksi'!$D$5:$D$92,'2500'!A246,'Daftar Koreksi'!$G$5:$G$92,"Persediaan",'Daftar Koreksi'!$H$5:$H$92,"&gt;0")</f>
        <v>0</v>
      </c>
      <c r="F249" s="25">
        <f>SUMIFS('Daftar Koreksi'!$H$5:$H$92,'Daftar Koreksi'!$D$5:$D$92,'2500'!A246,'Daftar Koreksi'!$G$5:$G$92,"Persediaan",'Daftar Koreksi'!$H$5:$H$92,"&lt;0")-SUMIFS('Daftar Koreksi'!$H$5:$H$92,'Daftar Koreksi'!$D$5:$D$92,'2500'!A246,'Daftar Koreksi'!$G$5:$G$92,"Persediaan",'Daftar Koreksi'!$H$5:$H$92,"&lt;0")-SUMIFS('Daftar Koreksi'!$H$5:$H$92,'Daftar Koreksi'!$D$5:$D$92,'2500'!A246,'Daftar Koreksi'!$G$5:$G$92,"Persediaan",'Daftar Koreksi'!$H$5:$H$92,"&lt;0")</f>
        <v>0</v>
      </c>
      <c r="G249" s="17">
        <f>D249+E249-F249</f>
        <v>8913000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1631775000</v>
      </c>
      <c r="E250" s="25">
        <f>SUMIFS('Daftar Koreksi'!$H$5:$H$92,'Daftar Koreksi'!$D$5:$D$92,'2500'!A246,'Daftar Koreksi'!$G$5:$G$92,"Tanah",'Daftar Koreksi'!$H$5:$H$92,"&gt;0")</f>
        <v>0</v>
      </c>
      <c r="F250" s="25">
        <f>SUMIFS('Daftar Koreksi'!$H$5:$H$92,'Daftar Koreksi'!$D$5:$D$92,'2500'!A246,'Daftar Koreksi'!$G$5:$G$92,"Tanah",'Daftar Koreksi'!$H$5:$H$92,"&lt;0")-SUMIFS('Daftar Koreksi'!$H$5:$H$92,'Daftar Koreksi'!$D$5:$D$92,'2500'!A246,'Daftar Koreksi'!$G$5:$G$92,"Tanah",'Daftar Koreksi'!$H$5:$H$92,"&lt;0")-SUMIFS('Daftar Koreksi'!$H$5:$H$92,'Daftar Koreksi'!$D$5:$D$92,'2500'!A246,'Daftar Koreksi'!$G$5:$G$92,"Tanah",'Daftar Koreksi'!$H$5:$H$92,"&lt;0")</f>
        <v>0</v>
      </c>
      <c r="G250" s="17">
        <f t="shared" ref="G250:G266" si="11">D250+E250-F250</f>
        <v>1631775000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853550328</v>
      </c>
      <c r="E251" s="25">
        <f>SUMIFS('Daftar Koreksi'!$H$5:$H$92,'Daftar Koreksi'!$D$5:$D$92,'2500'!A246,'Daftar Koreksi'!$G$5:$G$92,"Peralatan dan mesin",'Daftar Koreksi'!$H$5:$H$92,"&gt;0")</f>
        <v>0</v>
      </c>
      <c r="F251" s="25">
        <f>SUMIFS('Daftar Koreksi'!$H$5:$H$92,'Daftar Koreksi'!$D$5:$D$92,'2500'!A246,'Daftar Koreksi'!$G$5:$G$92,"Peralatan dan mesin",'Daftar Koreksi'!$H$5:$H$92,"&lt;0")-SUMIFS('Daftar Koreksi'!$H$5:$H$92,'Daftar Koreksi'!$D$5:$D$92,'2500'!A246,'Daftar Koreksi'!$G$5:$G$92,"Peralatan dan mesin",'Daftar Koreksi'!$H$5:$H$92,"&lt;0")-SUMIFS('Daftar Koreksi'!$H$5:$H$92,'Daftar Koreksi'!$D$5:$D$92,'2500'!A246,'Daftar Koreksi'!$G$5:$G$92,"Peralatan dan mesin",'Daftar Koreksi'!$H$5:$H$92,"&lt;0")</f>
        <v>0</v>
      </c>
      <c r="G251" s="17">
        <f t="shared" si="11"/>
        <v>853550328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3581127000</v>
      </c>
      <c r="E252" s="25">
        <f>SUMIFS('Daftar Koreksi'!$H$5:$H$92,'Daftar Koreksi'!$D$5:$D$92,'2500'!A246,'Daftar Koreksi'!$G$5:$G$92,"Gedung dan Bangunan",'Daftar Koreksi'!$H$5:$H$92,"&gt;0")</f>
        <v>0</v>
      </c>
      <c r="F252" s="25">
        <f>SUMIFS('Daftar Koreksi'!$H$5:$H$92,'Daftar Koreksi'!$D$5:$D$92,'2500'!A246,'Daftar Koreksi'!$G$5:$G$92,"Gedung dan Bangunan",'Daftar Koreksi'!$H$5:$H$92,"&lt;0")-SUMIFS('Daftar Koreksi'!$H$5:$H$92,'Daftar Koreksi'!$D$5:$D$92,'2500'!A246,'Daftar Koreksi'!$G$5:$G$92,"Gedung dan Bangunan",'Daftar Koreksi'!$H$5:$H$92,"&lt;0")-SUMIFS('Daftar Koreksi'!$H$5:$H$92,'Daftar Koreksi'!$D$5:$D$92,'2500'!A246,'Daftar Koreksi'!$G$5:$G$92,"Gedung dan Bangunan",'Daftar Koreksi'!$H$5:$H$92,"&lt;0")</f>
        <v>0</v>
      </c>
      <c r="G252" s="17">
        <f t="shared" si="11"/>
        <v>3581127000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Koreksi'!$D$5:$D$92,'2500'!A246,'Daftar Koreksi'!$G$5:$G$92,"Jalan Irigasi Jaringan",'Daftar Koreksi'!$H$5:$H$92,"&gt;0")</f>
        <v>0</v>
      </c>
      <c r="F253" s="25">
        <f>SUMIFS('Daftar Koreksi'!$H$5:$H$92,'Daftar Koreksi'!$D$5:$D$92,'2500'!A246,'Daftar Koreksi'!$G$5:$G$92,"Jalan Irigasi Jaringan",'Daftar Koreksi'!$H$5:$H$92,"&lt;0")-SUMIFS('Daftar Koreksi'!$H$5:$H$92,'Daftar Koreksi'!$D$5:$D$92,'2500'!A246,'Daftar Koreksi'!$G$5:$G$92,"Jalan Irigasi Jaringan",'Daftar Koreksi'!$H$5:$H$92,"&lt;0")-SUMIFS('Daftar Koreksi'!$H$5:$H$92,'Daftar Koreksi'!$D$5:$D$92,'2500'!A246,'Daftar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2828676</v>
      </c>
      <c r="E254" s="25">
        <f>SUMIFS('Daftar Koreksi'!$H$5:$H$92,'Daftar Koreksi'!$D$5:$D$92,'2500'!A246,'Daftar Koreksi'!$G$5:$G$92,"Aset Tetap Lainnya",'Daftar Koreksi'!$H$5:$H$92,"&gt;0")</f>
        <v>0</v>
      </c>
      <c r="F254" s="25">
        <f>SUMIFS('Daftar Koreksi'!$H$5:$H$92,'Daftar Koreksi'!$D$5:$D$92,'2500'!A246,'Daftar Koreksi'!$G$5:$G$92,"Aset Tetap Lainnya",'Daftar Koreksi'!$H$5:$H$92,"&lt;0")-SUMIFS('Daftar Koreksi'!$H$5:$H$92,'Daftar Koreksi'!$D$5:$D$92,'2500'!A246,'Daftar Koreksi'!$G$5:$G$92,"Aset Tetap Lainnya",'Daftar Koreksi'!$H$5:$H$92,"&lt;0")-SUMIFS('Daftar Koreksi'!$H$5:$H$92,'Daftar Koreksi'!$D$5:$D$92,'2500'!A246,'Daftar Koreksi'!$G$5:$G$92,"Aset Tetap Lainnya",'Daftar Koreksi'!$H$5:$H$92,"&lt;0")</f>
        <v>0</v>
      </c>
      <c r="G254" s="17">
        <f t="shared" si="11"/>
        <v>2828676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997646800</v>
      </c>
      <c r="E255" s="25">
        <f>SUMIFS('Daftar Koreksi'!$H$5:$H$92,'Daftar Koreksi'!$D$5:$D$92,'2500'!A246,'Daftar Koreksi'!$G$5:$G$92,"Kontruksi Dalam Pengerjaan",'Daftar Koreksi'!$H$5:$H$92,"&gt;0")</f>
        <v>0</v>
      </c>
      <c r="F255" s="25">
        <f>SUMIFS('Daftar Koreksi'!$H$5:$H$92,'Daftar Koreksi'!$D$5:$D$92,'2500'!A246,'Daftar Koreksi'!$G$5:$G$92,"Kontruksi Dalam Pengerjaan",'Daftar Koreksi'!$H$5:$H$92,"&lt;0")-SUMIFS('Daftar Koreksi'!$H$5:$H$92,'Daftar Koreksi'!$D$5:$D$92,'2500'!A246,'Daftar Koreksi'!$G$5:$G$92,"Kontruksi Dalam Pengerjaan",'Daftar Koreksi'!$H$5:$H$92,"&lt;0")-SUMIFS('Daftar Koreksi'!$H$5:$H$92,'Daftar Koreksi'!$D$5:$D$92,'2500'!A246,'Daftar Koreksi'!$G$5:$G$92,"Kontruksi Dalam Pengerjaan",'Daftar Koreksi'!$H$5:$H$92,"&lt;0")</f>
        <v>0</v>
      </c>
      <c r="G255" s="17">
        <f t="shared" si="11"/>
        <v>997646800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Koreksi'!$D$5:$D$92,'2500'!A246,'Daftar Koreksi'!$G$5:$G$92,"Aset Tak Berwujud",'Daftar Koreksi'!$H$5:$H$92,"&gt;0")</f>
        <v>0</v>
      </c>
      <c r="F256" s="25">
        <f>SUMIFS('Daftar Koreksi'!$H$5:$H$92,'Daftar Koreksi'!$D$5:$D$92,'2500'!A246,'Daftar Koreksi'!$G$5:$G$92,"Aset Tak Berwujud",'Daftar Koreksi'!$H$5:$H$92,"&lt;0")-SUMIFS('Daftar Koreksi'!$H$5:$H$92,'Daftar Koreksi'!$D$5:$D$92,'2500'!A246,'Daftar Koreksi'!$G$5:$G$92,"Aset Tak Berwujud",'Daftar Koreksi'!$H$5:$H$92,"&lt;0")-SUMIFS('Daftar Koreksi'!$H$5:$H$92,'Daftar Koreksi'!$D$5:$D$92,'2500'!A246,'Daftar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0</v>
      </c>
      <c r="E257" s="25">
        <f>SUMIFS('Daftar Koreksi'!$H$5:$H$92,'Daftar Koreksi'!$D$5:$D$92,'2500'!A246,'Daftar Koreksi'!$G$5:$G$92,"Aset Henti Guna",'Daftar Koreksi'!$H$5:$H$92,"&gt;0")</f>
        <v>0</v>
      </c>
      <c r="F257" s="25">
        <f>SUMIFS('Daftar Koreksi'!$H$5:$H$92,'Daftar Koreksi'!$D$5:$D$92,'2500'!A246,'Daftar Koreksi'!$G$5:$G$92,"Aset Henti Guna",'Daftar Koreksi'!$H$5:$H$92,"&lt;0")-SUMIFS('Daftar Koreksi'!$H$5:$H$92,'Daftar Koreksi'!$D$5:$D$92,'2500'!A246,'Daftar Koreksi'!$G$5:$G$92,"Aset Henti Guna",'Daftar Koreksi'!$H$5:$H$92,"&lt;0")-SUMIFS('Daftar Koreksi'!$H$5:$H$92,'Daftar Koreksi'!$D$5:$D$92,'2500'!A246,'Daftar Koreksi'!$G$5:$G$92,"Aset Henti Guna",'Daftar Koreksi'!$H$5:$H$92,"&lt;0")</f>
        <v>0</v>
      </c>
      <c r="G257" s="17">
        <f t="shared" si="11"/>
        <v>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7075840804</v>
      </c>
      <c r="E258" s="19">
        <f>SUM(E249:E257)</f>
        <v>0</v>
      </c>
      <c r="F258" s="19">
        <f>SUM(F249:F257)</f>
        <v>0</v>
      </c>
      <c r="G258" s="19">
        <f t="shared" si="11"/>
        <v>7075840804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-745524976</v>
      </c>
      <c r="E259" s="25">
        <f>SUMIFS('Daftar Koreksi'!$I$5:$I$92,'Daftar Koreksi'!$D$5:$D$92,'2500'!A246,'Daftar Koreksi'!$G$5:$G$92,"Peralatan dan mesin",'Daftar Koreksi'!$I$5:$I$92,"&gt;0")</f>
        <v>0</v>
      </c>
      <c r="F259" s="25">
        <f>SUMIFS('Daftar Koreksi'!$I$5:$I$92,'Daftar Koreksi'!$D$5:$D$92,'2500'!A246,'Daftar Koreksi'!$G$5:$G$92,"Peralatan dan mesin",'Daftar Koreksi'!$I$5:$I$92,"&lt;0")-SUMIFS('Daftar Koreksi'!$I$5:$I$92,'Daftar Koreksi'!$D$5:$D$92,'2500'!A246,'Daftar Koreksi'!$G$5:$G$92,"Peralatan dan mesin",'Daftar Koreksi'!$I$5:$I$92,"&lt;0")-SUMIFS('Daftar Koreksi'!$I$5:$I$92,'Daftar Koreksi'!$D$5:$D$92,'2500'!A246,'Daftar Koreksi'!$G$5:$G$92,"Peralatan dan mesin",'Daftar Koreksi'!$I$5:$I$92,"&lt;0")</f>
        <v>0</v>
      </c>
      <c r="G259" s="17">
        <f t="shared" si="11"/>
        <v>-745524976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-1024057101</v>
      </c>
      <c r="E260" s="25">
        <f>SUMIFS('Daftar Koreksi'!$I$5:$I$92,'Daftar Koreksi'!$D$5:$D$92,'2500'!A246,'Daftar Koreksi'!$G$5:$G$92,"Gedung dan Bangunan",'Daftar Koreksi'!$I$5:$I$92,"&gt;0")</f>
        <v>0</v>
      </c>
      <c r="F260" s="25">
        <f>SUMIFS('Daftar Koreksi'!$I$5:$I$92,'Daftar Koreksi'!$D$5:$D$92,'2500'!A246,'Daftar Koreksi'!$G$5:$G$92,"Gedung dan Bangunan",'Daftar Koreksi'!$I$5:$I$92,"&lt;0")-SUMIFS('Daftar Koreksi'!$I$5:$I$92,'Daftar Koreksi'!$D$5:$D$92,'2500'!A246,'Daftar Koreksi'!$G$5:$G$92,"Gedung dan Bangunan",'Daftar Koreksi'!$I$5:$I$92,"&lt;0")-SUMIFS('Daftar Koreksi'!$I$5:$I$92,'Daftar Koreksi'!$D$5:$D$92,'2500'!A246,'Daftar Koreksi'!$G$5:$G$92,"Gedung dan Bangunan",'Daftar Koreksi'!$I$5:$I$92,"&lt;0")</f>
        <v>0</v>
      </c>
      <c r="G260" s="17">
        <f t="shared" si="11"/>
        <v>-1024057101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Koreksi'!$D$5:$D$92,'2500'!A246,'Daftar Koreksi'!$G$5:$G$92,"Jalan Irigasi Jaringan",'Daftar Koreksi'!$I$5:$I$92,"&gt;0")</f>
        <v>0</v>
      </c>
      <c r="F261" s="25">
        <f>SUMIFS('Daftar Koreksi'!$I$5:$I$92,'Daftar Koreksi'!$D$5:$D$92,'2500'!A246,'Daftar Koreksi'!$G$5:$G$92,"Jalan Irigasi Jaringan",'Daftar Koreksi'!$I$5:$I$92,"&lt;0")-SUMIFS('Daftar Koreksi'!$I$5:$I$92,'Daftar Koreksi'!$D$5:$D$92,'2500'!A246,'Daftar Koreksi'!$G$5:$G$92,"Jalan Irigasi Jaringan",'Daftar Koreksi'!$I$5:$I$92,"&lt;0")-SUMIFS('Daftar Koreksi'!$I$5:$I$92,'Daftar Koreksi'!$D$5:$D$92,'2500'!A246,'Daftar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Koreksi'!$D$5:$D$92,'2500'!A246,'Daftar Koreksi'!$G$5:$G$92,"Aset Tetap Lainnya",'Daftar Koreksi'!$I$5:$I$92,"&gt;0")</f>
        <v>0</v>
      </c>
      <c r="F262" s="25">
        <f>SUMIFS('Daftar Koreksi'!$I$5:$I$92,'Daftar Koreksi'!$D$5:$D$92,'2500'!A246,'Daftar Koreksi'!$G$5:$G$92,"Aset Tetap Lainnya",'Daftar Koreksi'!$I$5:$I$92,"&lt;0")-SUMIFS('Daftar Koreksi'!$I$5:$I$92,'Daftar Koreksi'!$D$5:$D$92,'2500'!A246,'Daftar Koreksi'!$G$5:$G$92,"Aset Tetap Lainnya",'Daftar Koreksi'!$I$5:$I$92,"&lt;0")-SUMIFS('Daftar Koreksi'!$I$5:$I$92,'Daftar Koreksi'!$D$5:$D$92,'2500'!A246,'Daftar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0</v>
      </c>
      <c r="E263" s="25">
        <f>SUMIFS('Daftar Koreksi'!$I$5:$I$92,'Daftar Koreksi'!$D$5:$D$92,'2500'!A246,'Daftar Koreksi'!$G$5:$G$92,"Aset Henti Guna",'Daftar Koreksi'!$I$5:$I$92,"&gt;0")</f>
        <v>0</v>
      </c>
      <c r="F263" s="25">
        <f>SUMIFS('Daftar Koreksi'!$I$5:$I$92,'Daftar Koreksi'!$D$5:$D$92,'2500'!A246,'Daftar Koreksi'!$G$5:$G$92,"Aset Henti Guna",'Daftar Koreksi'!$I$5:$I$92,"&lt;0")-SUMIFS('Daftar Koreksi'!$I$5:$I$92,'Daftar Koreksi'!$D$5:$D$92,'2500'!A246,'Daftar Koreksi'!$G$5:$G$92,"Aset Henti Guna",'Daftar Koreksi'!$I$5:$I$92,"&lt;0")-SUMIFS('Daftar Koreksi'!$I$5:$I$92,'Daftar Koreksi'!$D$5:$D$92,'2500'!A246,'Daftar Koreksi'!$G$5:$G$92,"Aset Henti Guna",'Daftar Koreksi'!$I$5:$I$92,"&lt;0")</f>
        <v>0</v>
      </c>
      <c r="G263" s="17">
        <f t="shared" si="11"/>
        <v>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-1769582077</v>
      </c>
      <c r="E264" s="19">
        <f>SUM(E259:E263)</f>
        <v>0</v>
      </c>
      <c r="F264" s="19">
        <f>SUM(F259:F263)</f>
        <v>0</v>
      </c>
      <c r="G264" s="19">
        <f t="shared" si="11"/>
        <v>-1769582077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5306258727</v>
      </c>
      <c r="E265" s="19">
        <f>E264+E258</f>
        <v>0</v>
      </c>
      <c r="F265" s="19">
        <f>F264+F258</f>
        <v>0</v>
      </c>
      <c r="G265" s="19">
        <f t="shared" si="11"/>
        <v>5306258727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005012500402942000KD</v>
      </c>
      <c r="B268" s="11" t="str">
        <f>P13</f>
        <v>PA. Serui</v>
      </c>
      <c r="C268" s="12" t="str">
        <f>A268&amp;" "&amp;B268</f>
        <v>005012500402942000KD PA. Serui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543000</v>
      </c>
      <c r="E271" s="25">
        <f>SUMIFS('Daftar Koreksi'!$H$5:$H$92,'Daftar Koreksi'!$D$5:$D$92,'2500'!A268,'Daftar Koreksi'!$G$5:$G$92,"Persediaan",'Daftar Koreksi'!$H$5:$H$92,"&gt;0")</f>
        <v>0</v>
      </c>
      <c r="F271" s="25">
        <f>SUMIFS('Daftar Koreksi'!$H$5:$H$92,'Daftar Koreksi'!$D$5:$D$92,'2500'!A268,'Daftar Koreksi'!$G$5:$G$92,"Persediaan",'Daftar Koreksi'!$H$5:$H$92,"&lt;0")-SUMIFS('Daftar Koreksi'!$H$5:$H$92,'Daftar Koreksi'!$D$5:$D$92,'2500'!A268,'Daftar Koreksi'!$G$5:$G$92,"Persediaan",'Daftar Koreksi'!$H$5:$H$92,"&lt;0")-SUMIFS('Daftar Koreksi'!$H$5:$H$92,'Daftar Koreksi'!$D$5:$D$92,'2500'!A268,'Daftar Koreksi'!$G$5:$G$92,"Persediaan",'Daftar Koreksi'!$H$5:$H$92,"&lt;0")</f>
        <v>0</v>
      </c>
      <c r="G271" s="17">
        <f>D271+E271-F271</f>
        <v>543000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48680000</v>
      </c>
      <c r="E272" s="25">
        <f>SUMIFS('Daftar Koreksi'!$H$5:$H$92,'Daftar Koreksi'!$D$5:$D$92,'2500'!A268,'Daftar Koreksi'!$G$5:$G$92,"Tanah",'Daftar Koreksi'!$H$5:$H$92,"&gt;0")</f>
        <v>0</v>
      </c>
      <c r="F272" s="25">
        <f>SUMIFS('Daftar Koreksi'!$H$5:$H$92,'Daftar Koreksi'!$D$5:$D$92,'2500'!A268,'Daftar Koreksi'!$G$5:$G$92,"Tanah",'Daftar Koreksi'!$H$5:$H$92,"&lt;0")-SUMIFS('Daftar Koreksi'!$H$5:$H$92,'Daftar Koreksi'!$D$5:$D$92,'2500'!A268,'Daftar Koreksi'!$G$5:$G$92,"Tanah",'Daftar Koreksi'!$H$5:$H$92,"&lt;0")-SUMIFS('Daftar Koreksi'!$H$5:$H$92,'Daftar Koreksi'!$D$5:$D$92,'2500'!A268,'Daftar Koreksi'!$G$5:$G$92,"Tanah",'Daftar Koreksi'!$H$5:$H$92,"&lt;0")</f>
        <v>0</v>
      </c>
      <c r="G272" s="17">
        <f t="shared" ref="G272:G288" si="12">D272+E272-F272</f>
        <v>48680000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1627774084</v>
      </c>
      <c r="E273" s="25">
        <f>SUMIFS('Daftar Koreksi'!$H$5:$H$92,'Daftar Koreksi'!$D$5:$D$92,'2500'!A268,'Daftar Koreksi'!$G$5:$G$92,"Peralatan dan mesin",'Daftar Koreksi'!$H$5:$H$92,"&gt;0")</f>
        <v>0</v>
      </c>
      <c r="F273" s="25">
        <f>SUMIFS('Daftar Koreksi'!$H$5:$H$92,'Daftar Koreksi'!$D$5:$D$92,'2500'!A268,'Daftar Koreksi'!$G$5:$G$92,"Peralatan dan mesin",'Daftar Koreksi'!$H$5:$H$92,"&lt;0")-SUMIFS('Daftar Koreksi'!$H$5:$H$92,'Daftar Koreksi'!$D$5:$D$92,'2500'!A268,'Daftar Koreksi'!$G$5:$G$92,"Peralatan dan mesin",'Daftar Koreksi'!$H$5:$H$92,"&lt;0")-SUMIFS('Daftar Koreksi'!$H$5:$H$92,'Daftar Koreksi'!$D$5:$D$92,'2500'!A268,'Daftar Koreksi'!$G$5:$G$92,"Peralatan dan mesin",'Daftar Koreksi'!$H$5:$H$92,"&lt;0")</f>
        <v>0</v>
      </c>
      <c r="G273" s="17">
        <f t="shared" si="12"/>
        <v>1627774084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7983759350</v>
      </c>
      <c r="E274" s="25">
        <f>SUMIFS('Daftar Koreksi'!$H$5:$H$92,'Daftar Koreksi'!$D$5:$D$92,'2500'!A268,'Daftar Koreksi'!$G$5:$G$92,"Gedung dan Bangunan",'Daftar Koreksi'!$H$5:$H$92,"&gt;0")</f>
        <v>0</v>
      </c>
      <c r="F274" s="25">
        <f>SUMIFS('Daftar Koreksi'!$H$5:$H$92,'Daftar Koreksi'!$D$5:$D$92,'2500'!A268,'Daftar Koreksi'!$G$5:$G$92,"Gedung dan Bangunan",'Daftar Koreksi'!$H$5:$H$92,"&lt;0")-SUMIFS('Daftar Koreksi'!$H$5:$H$92,'Daftar Koreksi'!$D$5:$D$92,'2500'!A268,'Daftar Koreksi'!$G$5:$G$92,"Gedung dan Bangunan",'Daftar Koreksi'!$H$5:$H$92,"&lt;0")-SUMIFS('Daftar Koreksi'!$H$5:$H$92,'Daftar Koreksi'!$D$5:$D$92,'2500'!A268,'Daftar Koreksi'!$G$5:$G$92,"Gedung dan Bangunan",'Daftar Koreksi'!$H$5:$H$92,"&lt;0")</f>
        <v>0</v>
      </c>
      <c r="G274" s="17">
        <f t="shared" si="12"/>
        <v>7983759350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Koreksi'!$D$5:$D$92,'2500'!A268,'Daftar Koreksi'!$G$5:$G$92,"Jalan Irigasi Jaringan",'Daftar Koreksi'!$H$5:$H$92,"&gt;0")</f>
        <v>0</v>
      </c>
      <c r="F275" s="25">
        <f>SUMIFS('Daftar Koreksi'!$H$5:$H$92,'Daftar Koreksi'!$D$5:$D$92,'2500'!A268,'Daftar Koreksi'!$G$5:$G$92,"Jalan Irigasi Jaringan",'Daftar Koreksi'!$H$5:$H$92,"&lt;0")-SUMIFS('Daftar Koreksi'!$H$5:$H$92,'Daftar Koreksi'!$D$5:$D$92,'2500'!A268,'Daftar Koreksi'!$G$5:$G$92,"Jalan Irigasi Jaringan",'Daftar Koreksi'!$H$5:$H$92,"&lt;0")-SUMIFS('Daftar Koreksi'!$H$5:$H$92,'Daftar Koreksi'!$D$5:$D$92,'2500'!A268,'Daftar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1459270</v>
      </c>
      <c r="E276" s="25">
        <f>SUMIFS('Daftar Koreksi'!$H$5:$H$92,'Daftar Koreksi'!$D$5:$D$92,'2500'!A268,'Daftar Koreksi'!$G$5:$G$92,"Aset Tetap Lainnya",'Daftar Koreksi'!$H$5:$H$92,"&gt;0")</f>
        <v>0</v>
      </c>
      <c r="F276" s="25">
        <f>SUMIFS('Daftar Koreksi'!$H$5:$H$92,'Daftar Koreksi'!$D$5:$D$92,'2500'!A268,'Daftar Koreksi'!$G$5:$G$92,"Aset Tetap Lainnya",'Daftar Koreksi'!$H$5:$H$92,"&lt;0")-SUMIFS('Daftar Koreksi'!$H$5:$H$92,'Daftar Koreksi'!$D$5:$D$92,'2500'!A268,'Daftar Koreksi'!$G$5:$G$92,"Aset Tetap Lainnya",'Daftar Koreksi'!$H$5:$H$92,"&lt;0")-SUMIFS('Daftar Koreksi'!$H$5:$H$92,'Daftar Koreksi'!$D$5:$D$92,'2500'!A268,'Daftar Koreksi'!$G$5:$G$92,"Aset Tetap Lainnya",'Daftar Koreksi'!$H$5:$H$92,"&lt;0")</f>
        <v>0</v>
      </c>
      <c r="G276" s="17">
        <f t="shared" si="12"/>
        <v>1459270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Koreksi'!$D$5:$D$92,'2500'!A268,'Daftar Koreksi'!$G$5:$G$92,"Kontruksi Dalam Pengerjaan",'Daftar Koreksi'!$H$5:$H$92,"&gt;0")</f>
        <v>0</v>
      </c>
      <c r="F277" s="25">
        <f>SUMIFS('Daftar Koreksi'!$H$5:$H$92,'Daftar Koreksi'!$D$5:$D$92,'2500'!A268,'Daftar Koreksi'!$G$5:$G$92,"Kontruksi Dalam Pengerjaan",'Daftar Koreksi'!$H$5:$H$92,"&lt;0")-SUMIFS('Daftar Koreksi'!$H$5:$H$92,'Daftar Koreksi'!$D$5:$D$92,'2500'!A268,'Daftar Koreksi'!$G$5:$G$92,"Kontruksi Dalam Pengerjaan",'Daftar Koreksi'!$H$5:$H$92,"&lt;0")-SUMIFS('Daftar Koreksi'!$H$5:$H$92,'Daftar Koreksi'!$D$5:$D$92,'2500'!A268,'Daftar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Koreksi'!$D$5:$D$92,'2500'!A268,'Daftar Koreksi'!$G$5:$G$92,"Aset Tak Berwujud",'Daftar Koreksi'!$H$5:$H$92,"&gt;0")</f>
        <v>0</v>
      </c>
      <c r="F278" s="25">
        <f>SUMIFS('Daftar Koreksi'!$H$5:$H$92,'Daftar Koreksi'!$D$5:$D$92,'2500'!A268,'Daftar Koreksi'!$G$5:$G$92,"Aset Tak Berwujud",'Daftar Koreksi'!$H$5:$H$92,"&lt;0")-SUMIFS('Daftar Koreksi'!$H$5:$H$92,'Daftar Koreksi'!$D$5:$D$92,'2500'!A268,'Daftar Koreksi'!$G$5:$G$92,"Aset Tak Berwujud",'Daftar Koreksi'!$H$5:$H$92,"&lt;0")-SUMIFS('Daftar Koreksi'!$H$5:$H$92,'Daftar Koreksi'!$D$5:$D$92,'2500'!A268,'Daftar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166192000</v>
      </c>
      <c r="E279" s="25">
        <f>SUMIFS('Daftar Koreksi'!$H$5:$H$92,'Daftar Koreksi'!$D$5:$D$92,'2500'!A268,'Daftar Koreksi'!$G$5:$G$92,"Aset Henti Guna",'Daftar Koreksi'!$H$5:$H$92,"&gt;0")</f>
        <v>0</v>
      </c>
      <c r="F279" s="25">
        <f>SUMIFS('Daftar Koreksi'!$H$5:$H$92,'Daftar Koreksi'!$D$5:$D$92,'2500'!A268,'Daftar Koreksi'!$G$5:$G$92,"Aset Henti Guna",'Daftar Koreksi'!$H$5:$H$92,"&lt;0")-SUMIFS('Daftar Koreksi'!$H$5:$H$92,'Daftar Koreksi'!$D$5:$D$92,'2500'!A268,'Daftar Koreksi'!$G$5:$G$92,"Aset Henti Guna",'Daftar Koreksi'!$H$5:$H$92,"&lt;0")-SUMIFS('Daftar Koreksi'!$H$5:$H$92,'Daftar Koreksi'!$D$5:$D$92,'2500'!A268,'Daftar Koreksi'!$G$5:$G$92,"Aset Henti Guna",'Daftar Koreksi'!$H$5:$H$92,"&lt;0")</f>
        <v>0</v>
      </c>
      <c r="G279" s="17">
        <f t="shared" si="12"/>
        <v>166192000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9828407704</v>
      </c>
      <c r="E280" s="19">
        <f>SUM(E271:E279)</f>
        <v>0</v>
      </c>
      <c r="F280" s="19">
        <f>SUM(F271:F279)</f>
        <v>0</v>
      </c>
      <c r="G280" s="19">
        <f t="shared" si="12"/>
        <v>9828407704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-934632660</v>
      </c>
      <c r="E281" s="25">
        <f>SUMIFS('Daftar Koreksi'!$I$5:$I$92,'Daftar Koreksi'!$D$5:$D$92,'2500'!A268,'Daftar Koreksi'!$G$5:$G$92,"Peralatan dan mesin",'Daftar Koreksi'!$I$5:$I$92,"&gt;0")</f>
        <v>0</v>
      </c>
      <c r="F281" s="25">
        <f>SUMIFS('Daftar Koreksi'!$I$5:$I$92,'Daftar Koreksi'!$D$5:$D$92,'2500'!A268,'Daftar Koreksi'!$G$5:$G$92,"Peralatan dan mesin",'Daftar Koreksi'!$I$5:$I$92,"&lt;0")-SUMIFS('Daftar Koreksi'!$I$5:$I$92,'Daftar Koreksi'!$D$5:$D$92,'2500'!A268,'Daftar Koreksi'!$G$5:$G$92,"Peralatan dan mesin",'Daftar Koreksi'!$I$5:$I$92,"&lt;0")-SUMIFS('Daftar Koreksi'!$I$5:$I$92,'Daftar Koreksi'!$D$5:$D$92,'2500'!A268,'Daftar Koreksi'!$G$5:$G$92,"Peralatan dan mesin",'Daftar Koreksi'!$I$5:$I$92,"&lt;0")</f>
        <v>0</v>
      </c>
      <c r="G281" s="17">
        <f t="shared" si="12"/>
        <v>-934632660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-1498778577</v>
      </c>
      <c r="E282" s="25">
        <f>SUMIFS('Daftar Koreksi'!$I$5:$I$92,'Daftar Koreksi'!$D$5:$D$92,'2500'!A268,'Daftar Koreksi'!$G$5:$G$92,"Gedung dan Bangunan",'Daftar Koreksi'!$I$5:$I$92,"&gt;0")</f>
        <v>0</v>
      </c>
      <c r="F282" s="25">
        <f>SUMIFS('Daftar Koreksi'!$I$5:$I$92,'Daftar Koreksi'!$D$5:$D$92,'2500'!A268,'Daftar Koreksi'!$G$5:$G$92,"Gedung dan Bangunan",'Daftar Koreksi'!$I$5:$I$92,"&lt;0")-SUMIFS('Daftar Koreksi'!$I$5:$I$92,'Daftar Koreksi'!$D$5:$D$92,'2500'!A268,'Daftar Koreksi'!$G$5:$G$92,"Gedung dan Bangunan",'Daftar Koreksi'!$I$5:$I$92,"&lt;0")-SUMIFS('Daftar Koreksi'!$I$5:$I$92,'Daftar Koreksi'!$D$5:$D$92,'2500'!A268,'Daftar Koreksi'!$G$5:$G$92,"Gedung dan Bangunan",'Daftar Koreksi'!$I$5:$I$92,"&lt;0")</f>
        <v>0</v>
      </c>
      <c r="G282" s="17">
        <f t="shared" si="12"/>
        <v>-1498778577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Koreksi'!$D$5:$D$92,'2500'!A268,'Daftar Koreksi'!$G$5:$G$92,"Jalan Irigasi Jaringan",'Daftar Koreksi'!$I$5:$I$92,"&gt;0")</f>
        <v>0</v>
      </c>
      <c r="F283" s="25">
        <f>SUMIFS('Daftar Koreksi'!$I$5:$I$92,'Daftar Koreksi'!$D$5:$D$92,'2500'!A268,'Daftar Koreksi'!$G$5:$G$92,"Jalan Irigasi Jaringan",'Daftar Koreksi'!$I$5:$I$92,"&lt;0")-SUMIFS('Daftar Koreksi'!$I$5:$I$92,'Daftar Koreksi'!$D$5:$D$92,'2500'!A268,'Daftar Koreksi'!$G$5:$G$92,"Jalan Irigasi Jaringan",'Daftar Koreksi'!$I$5:$I$92,"&lt;0")-SUMIFS('Daftar Koreksi'!$I$5:$I$92,'Daftar Koreksi'!$D$5:$D$92,'2500'!A268,'Daftar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Koreksi'!$D$5:$D$92,'2500'!A268,'Daftar Koreksi'!$G$5:$G$92,"Aset Tetap Lainnya",'Daftar Koreksi'!$I$5:$I$92,"&gt;0")</f>
        <v>0</v>
      </c>
      <c r="F284" s="25">
        <f>SUMIFS('Daftar Koreksi'!$I$5:$I$92,'Daftar Koreksi'!$D$5:$D$92,'2500'!A268,'Daftar Koreksi'!$G$5:$G$92,"Aset Tetap Lainnya",'Daftar Koreksi'!$I$5:$I$92,"&lt;0")-SUMIFS('Daftar Koreksi'!$I$5:$I$92,'Daftar Koreksi'!$D$5:$D$92,'2500'!A268,'Daftar Koreksi'!$G$5:$G$92,"Aset Tetap Lainnya",'Daftar Koreksi'!$I$5:$I$92,"&lt;0")-SUMIFS('Daftar Koreksi'!$I$5:$I$92,'Daftar Koreksi'!$D$5:$D$92,'2500'!A268,'Daftar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-140094500</v>
      </c>
      <c r="E285" s="25">
        <f>SUMIFS('Daftar Koreksi'!$I$5:$I$92,'Daftar Koreksi'!$D$5:$D$92,'2500'!A268,'Daftar Koreksi'!$G$5:$G$92,"Aset Henti Guna",'Daftar Koreksi'!$I$5:$I$92,"&gt;0")</f>
        <v>0</v>
      </c>
      <c r="F285" s="25">
        <f>SUMIFS('Daftar Koreksi'!$I$5:$I$92,'Daftar Koreksi'!$D$5:$D$92,'2500'!A268,'Daftar Koreksi'!$G$5:$G$92,"Aset Henti Guna",'Daftar Koreksi'!$I$5:$I$92,"&lt;0")-SUMIFS('Daftar Koreksi'!$I$5:$I$92,'Daftar Koreksi'!$D$5:$D$92,'2500'!A268,'Daftar Koreksi'!$G$5:$G$92,"Aset Henti Guna",'Daftar Koreksi'!$I$5:$I$92,"&lt;0")-SUMIFS('Daftar Koreksi'!$I$5:$I$92,'Daftar Koreksi'!$D$5:$D$92,'2500'!A268,'Daftar Koreksi'!$G$5:$G$92,"Aset Henti Guna",'Daftar Koreksi'!$I$5:$I$92,"&lt;0")</f>
        <v>0</v>
      </c>
      <c r="G285" s="17">
        <f t="shared" si="12"/>
        <v>-140094500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-2573505737</v>
      </c>
      <c r="E286" s="19">
        <f>SUM(E281:E285)</f>
        <v>0</v>
      </c>
      <c r="F286" s="19">
        <f>SUM(F281:F285)</f>
        <v>0</v>
      </c>
      <c r="G286" s="19">
        <f t="shared" si="12"/>
        <v>-2573505737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7254901967</v>
      </c>
      <c r="E287" s="19">
        <f>E286+E280</f>
        <v>0</v>
      </c>
      <c r="F287" s="19">
        <f>F286+F280</f>
        <v>0</v>
      </c>
      <c r="G287" s="19">
        <f t="shared" si="12"/>
        <v>7254901967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005012500402958000KD</v>
      </c>
      <c r="B290" s="11" t="str">
        <f>P14</f>
        <v>PA. Merauke</v>
      </c>
      <c r="C290" s="12" t="str">
        <f>A290&amp;" "&amp;B290</f>
        <v>005012500402958000KD PA. Merauke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128000</v>
      </c>
      <c r="E293" s="25">
        <f>SUMIFS('Daftar Koreksi'!$H$5:$H$92,'Daftar Koreksi'!$D$5:$D$92,'2500'!A290,'Daftar Koreksi'!$G$5:$G$92,"Persediaan",'Daftar Koreksi'!$H$5:$H$92,"&gt;0")</f>
        <v>0</v>
      </c>
      <c r="F293" s="25">
        <f>SUMIFS('Daftar Koreksi'!$H$5:$H$92,'Daftar Koreksi'!$D$5:$D$92,'2500'!A290,'Daftar Koreksi'!$G$5:$G$92,"Persediaan",'Daftar Koreksi'!$H$5:$H$92,"&lt;0")-SUMIFS('Daftar Koreksi'!$H$5:$H$92,'Daftar Koreksi'!$D$5:$D$92,'2500'!A290,'Daftar Koreksi'!$G$5:$G$92,"Persediaan",'Daftar Koreksi'!$H$5:$H$92,"&lt;0")-SUMIFS('Daftar Koreksi'!$H$5:$H$92,'Daftar Koreksi'!$D$5:$D$92,'2500'!A290,'Daftar Koreksi'!$G$5:$G$92,"Persediaan",'Daftar Koreksi'!$H$5:$H$92,"&lt;0")</f>
        <v>0</v>
      </c>
      <c r="G293" s="17">
        <f>D293+E293-F293</f>
        <v>128000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666785000</v>
      </c>
      <c r="E294" s="25">
        <f>SUMIFS('Daftar Koreksi'!$H$5:$H$92,'Daftar Koreksi'!$D$5:$D$92,'2500'!A290,'Daftar Koreksi'!$G$5:$G$92,"Tanah",'Daftar Koreksi'!$H$5:$H$92,"&gt;0")</f>
        <v>0</v>
      </c>
      <c r="F294" s="25">
        <f>SUMIFS('Daftar Koreksi'!$H$5:$H$92,'Daftar Koreksi'!$D$5:$D$92,'2500'!A290,'Daftar Koreksi'!$G$5:$G$92,"Tanah",'Daftar Koreksi'!$H$5:$H$92,"&lt;0")-SUMIFS('Daftar Koreksi'!$H$5:$H$92,'Daftar Koreksi'!$D$5:$D$92,'2500'!A290,'Daftar Koreksi'!$G$5:$G$92,"Tanah",'Daftar Koreksi'!$H$5:$H$92,"&lt;0")-SUMIFS('Daftar Koreksi'!$H$5:$H$92,'Daftar Koreksi'!$D$5:$D$92,'2500'!A290,'Daftar Koreksi'!$G$5:$G$92,"Tanah",'Daftar Koreksi'!$H$5:$H$92,"&lt;0")</f>
        <v>0</v>
      </c>
      <c r="G294" s="17">
        <f t="shared" ref="G294:G310" si="13">D294+E294-F294</f>
        <v>666785000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2069551253</v>
      </c>
      <c r="E295" s="25">
        <f>SUMIFS('Daftar Koreksi'!$H$5:$H$92,'Daftar Koreksi'!$D$5:$D$92,'2500'!A290,'Daftar Koreksi'!$G$5:$G$92,"Peralatan dan mesin",'Daftar Koreksi'!$H$5:$H$92,"&gt;0")</f>
        <v>0</v>
      </c>
      <c r="F295" s="25">
        <f>SUMIFS('Daftar Koreksi'!$H$5:$H$92,'Daftar Koreksi'!$D$5:$D$92,'2500'!A290,'Daftar Koreksi'!$G$5:$G$92,"Peralatan dan mesin",'Daftar Koreksi'!$H$5:$H$92,"&lt;0")-SUMIFS('Daftar Koreksi'!$H$5:$H$92,'Daftar Koreksi'!$D$5:$D$92,'2500'!A290,'Daftar Koreksi'!$G$5:$G$92,"Peralatan dan mesin",'Daftar Koreksi'!$H$5:$H$92,"&lt;0")-SUMIFS('Daftar Koreksi'!$H$5:$H$92,'Daftar Koreksi'!$D$5:$D$92,'2500'!A290,'Daftar Koreksi'!$G$5:$G$92,"Peralatan dan mesin",'Daftar Koreksi'!$H$5:$H$92,"&lt;0")</f>
        <v>0</v>
      </c>
      <c r="G295" s="17">
        <f t="shared" si="13"/>
        <v>2069551253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12756665800</v>
      </c>
      <c r="E296" s="25">
        <f>SUMIFS('Daftar Koreksi'!$H$5:$H$92,'Daftar Koreksi'!$D$5:$D$92,'2500'!A290,'Daftar Koreksi'!$G$5:$G$92,"Gedung dan Bangunan",'Daftar Koreksi'!$H$5:$H$92,"&gt;0")</f>
        <v>0</v>
      </c>
      <c r="F296" s="25">
        <f>SUMIFS('Daftar Koreksi'!$H$5:$H$92,'Daftar Koreksi'!$D$5:$D$92,'2500'!A290,'Daftar Koreksi'!$G$5:$G$92,"Gedung dan Bangunan",'Daftar Koreksi'!$H$5:$H$92,"&lt;0")-SUMIFS('Daftar Koreksi'!$H$5:$H$92,'Daftar Koreksi'!$D$5:$D$92,'2500'!A290,'Daftar Koreksi'!$G$5:$G$92,"Gedung dan Bangunan",'Daftar Koreksi'!$H$5:$H$92,"&lt;0")-SUMIFS('Daftar Koreksi'!$H$5:$H$92,'Daftar Koreksi'!$D$5:$D$92,'2500'!A290,'Daftar Koreksi'!$G$5:$G$92,"Gedung dan Bangunan",'Daftar Koreksi'!$H$5:$H$92,"&lt;0")</f>
        <v>0</v>
      </c>
      <c r="G296" s="17">
        <f t="shared" si="13"/>
        <v>12756665800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Koreksi'!$D$5:$D$92,'2500'!A290,'Daftar Koreksi'!$G$5:$G$92,"Jalan Irigasi Jaringan",'Daftar Koreksi'!$H$5:$H$92,"&gt;0")</f>
        <v>0</v>
      </c>
      <c r="F297" s="25">
        <f>SUMIFS('Daftar Koreksi'!$H$5:$H$92,'Daftar Koreksi'!$D$5:$D$92,'2500'!A290,'Daftar Koreksi'!$G$5:$G$92,"Jalan Irigasi Jaringan",'Daftar Koreksi'!$H$5:$H$92,"&lt;0")-SUMIFS('Daftar Koreksi'!$H$5:$H$92,'Daftar Koreksi'!$D$5:$D$92,'2500'!A290,'Daftar Koreksi'!$G$5:$G$92,"Jalan Irigasi Jaringan",'Daftar Koreksi'!$H$5:$H$92,"&lt;0")-SUMIFS('Daftar Koreksi'!$H$5:$H$92,'Daftar Koreksi'!$D$5:$D$92,'2500'!A290,'Daftar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1585270</v>
      </c>
      <c r="E298" s="25">
        <f>SUMIFS('Daftar Koreksi'!$H$5:$H$92,'Daftar Koreksi'!$D$5:$D$92,'2500'!A290,'Daftar Koreksi'!$G$5:$G$92,"Aset Tetap Lainnya",'Daftar Koreksi'!$H$5:$H$92,"&gt;0")</f>
        <v>0</v>
      </c>
      <c r="F298" s="25">
        <f>SUMIFS('Daftar Koreksi'!$H$5:$H$92,'Daftar Koreksi'!$D$5:$D$92,'2500'!A290,'Daftar Koreksi'!$G$5:$G$92,"Aset Tetap Lainnya",'Daftar Koreksi'!$H$5:$H$92,"&lt;0")-SUMIFS('Daftar Koreksi'!$H$5:$H$92,'Daftar Koreksi'!$D$5:$D$92,'2500'!A290,'Daftar Koreksi'!$G$5:$G$92,"Aset Tetap Lainnya",'Daftar Koreksi'!$H$5:$H$92,"&lt;0")-SUMIFS('Daftar Koreksi'!$H$5:$H$92,'Daftar Koreksi'!$D$5:$D$92,'2500'!A290,'Daftar Koreksi'!$G$5:$G$92,"Aset Tetap Lainnya",'Daftar Koreksi'!$H$5:$H$92,"&lt;0")</f>
        <v>0</v>
      </c>
      <c r="G298" s="17">
        <f t="shared" si="13"/>
        <v>1585270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Koreksi'!$D$5:$D$92,'2500'!A290,'Daftar Koreksi'!$G$5:$G$92,"Kontruksi Dalam Pengerjaan",'Daftar Koreksi'!$H$5:$H$92,"&gt;0")</f>
        <v>0</v>
      </c>
      <c r="F299" s="25">
        <f>SUMIFS('Daftar Koreksi'!$H$5:$H$92,'Daftar Koreksi'!$D$5:$D$92,'2500'!A290,'Daftar Koreksi'!$G$5:$G$92,"Kontruksi Dalam Pengerjaan",'Daftar Koreksi'!$H$5:$H$92,"&lt;0")-SUMIFS('Daftar Koreksi'!$H$5:$H$92,'Daftar Koreksi'!$D$5:$D$92,'2500'!A290,'Daftar Koreksi'!$G$5:$G$92,"Kontruksi Dalam Pengerjaan",'Daftar Koreksi'!$H$5:$H$92,"&lt;0")-SUMIFS('Daftar Koreksi'!$H$5:$H$92,'Daftar Koreksi'!$D$5:$D$92,'2500'!A290,'Daftar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Koreksi'!$D$5:$D$92,'2500'!A290,'Daftar Koreksi'!$G$5:$G$92,"Aset Tak Berwujud",'Daftar Koreksi'!$H$5:$H$92,"&gt;0")</f>
        <v>0</v>
      </c>
      <c r="F300" s="25">
        <f>SUMIFS('Daftar Koreksi'!$H$5:$H$92,'Daftar Koreksi'!$D$5:$D$92,'2500'!A290,'Daftar Koreksi'!$G$5:$G$92,"Aset Tak Berwujud",'Daftar Koreksi'!$H$5:$H$92,"&lt;0")-SUMIFS('Daftar Koreksi'!$H$5:$H$92,'Daftar Koreksi'!$D$5:$D$92,'2500'!A290,'Daftar Koreksi'!$G$5:$G$92,"Aset Tak Berwujud",'Daftar Koreksi'!$H$5:$H$92,"&lt;0")-SUMIFS('Daftar Koreksi'!$H$5:$H$92,'Daftar Koreksi'!$D$5:$D$92,'2500'!A290,'Daftar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129876000</v>
      </c>
      <c r="E301" s="25">
        <f>SUMIFS('Daftar Koreksi'!$H$5:$H$92,'Daftar Koreksi'!$D$5:$D$92,'2500'!A290,'Daftar Koreksi'!$G$5:$G$92,"Aset Henti Guna",'Daftar Koreksi'!$H$5:$H$92,"&gt;0")</f>
        <v>0</v>
      </c>
      <c r="F301" s="25">
        <f>SUMIFS('Daftar Koreksi'!$H$5:$H$92,'Daftar Koreksi'!$D$5:$D$92,'2500'!A290,'Daftar Koreksi'!$G$5:$G$92,"Aset Henti Guna",'Daftar Koreksi'!$H$5:$H$92,"&lt;0")-SUMIFS('Daftar Koreksi'!$H$5:$H$92,'Daftar Koreksi'!$D$5:$D$92,'2500'!A290,'Daftar Koreksi'!$G$5:$G$92,"Aset Henti Guna",'Daftar Koreksi'!$H$5:$H$92,"&lt;0")-SUMIFS('Daftar Koreksi'!$H$5:$H$92,'Daftar Koreksi'!$D$5:$D$92,'2500'!A290,'Daftar Koreksi'!$G$5:$G$92,"Aset Henti Guna",'Daftar Koreksi'!$H$5:$H$92,"&lt;0")</f>
        <v>0</v>
      </c>
      <c r="G301" s="17">
        <f t="shared" si="13"/>
        <v>129876000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15624591323</v>
      </c>
      <c r="E302" s="19">
        <f>SUM(E293:E301)</f>
        <v>0</v>
      </c>
      <c r="F302" s="19">
        <f>SUM(F293:F301)</f>
        <v>0</v>
      </c>
      <c r="G302" s="19">
        <f t="shared" si="13"/>
        <v>15624591323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-1028330925</v>
      </c>
      <c r="E303" s="25">
        <f>SUMIFS('Daftar Koreksi'!$I$5:$I$92,'Daftar Koreksi'!$D$5:$D$92,'2500'!A290,'Daftar Koreksi'!$G$5:$G$92,"Peralatan dan mesin",'Daftar Koreksi'!$I$5:$I$92,"&gt;0")</f>
        <v>0</v>
      </c>
      <c r="F303" s="25">
        <f>SUMIFS('Daftar Koreksi'!$I$5:$I$92,'Daftar Koreksi'!$D$5:$D$92,'2500'!A290,'Daftar Koreksi'!$G$5:$G$92,"Peralatan dan mesin",'Daftar Koreksi'!$I$5:$I$92,"&lt;0")-SUMIFS('Daftar Koreksi'!$I$5:$I$92,'Daftar Koreksi'!$D$5:$D$92,'2500'!A290,'Daftar Koreksi'!$G$5:$G$92,"Peralatan dan mesin",'Daftar Koreksi'!$I$5:$I$92,"&lt;0")-SUMIFS('Daftar Koreksi'!$I$5:$I$92,'Daftar Koreksi'!$D$5:$D$92,'2500'!A290,'Daftar Koreksi'!$G$5:$G$92,"Peralatan dan mesin",'Daftar Koreksi'!$I$5:$I$92,"&lt;0")</f>
        <v>0</v>
      </c>
      <c r="G303" s="17">
        <f t="shared" si="13"/>
        <v>-1028330925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-678742040</v>
      </c>
      <c r="E304" s="25">
        <f>SUMIFS('Daftar Koreksi'!$I$5:$I$92,'Daftar Koreksi'!$D$5:$D$92,'2500'!A290,'Daftar Koreksi'!$G$5:$G$92,"Gedung dan Bangunan",'Daftar Koreksi'!$I$5:$I$92,"&gt;0")</f>
        <v>0</v>
      </c>
      <c r="F304" s="25">
        <f>SUMIFS('Daftar Koreksi'!$I$5:$I$92,'Daftar Koreksi'!$D$5:$D$92,'2500'!A290,'Daftar Koreksi'!$G$5:$G$92,"Gedung dan Bangunan",'Daftar Koreksi'!$I$5:$I$92,"&lt;0")-SUMIFS('Daftar Koreksi'!$I$5:$I$92,'Daftar Koreksi'!$D$5:$D$92,'2500'!A290,'Daftar Koreksi'!$G$5:$G$92,"Gedung dan Bangunan",'Daftar Koreksi'!$I$5:$I$92,"&lt;0")-SUMIFS('Daftar Koreksi'!$I$5:$I$92,'Daftar Koreksi'!$D$5:$D$92,'2500'!A290,'Daftar Koreksi'!$G$5:$G$92,"Gedung dan Bangunan",'Daftar Koreksi'!$I$5:$I$92,"&lt;0")</f>
        <v>0</v>
      </c>
      <c r="G304" s="17">
        <f t="shared" si="13"/>
        <v>-678742040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Koreksi'!$D$5:$D$92,'2500'!A290,'Daftar Koreksi'!$G$5:$G$92,"Jalan Irigasi Jaringan",'Daftar Koreksi'!$I$5:$I$92,"&gt;0")</f>
        <v>0</v>
      </c>
      <c r="F305" s="25">
        <f>SUMIFS('Daftar Koreksi'!$I$5:$I$92,'Daftar Koreksi'!$D$5:$D$92,'2500'!A290,'Daftar Koreksi'!$G$5:$G$92,"Jalan Irigasi Jaringan",'Daftar Koreksi'!$I$5:$I$92,"&lt;0")-SUMIFS('Daftar Koreksi'!$I$5:$I$92,'Daftar Koreksi'!$D$5:$D$92,'2500'!A290,'Daftar Koreksi'!$G$5:$G$92,"Jalan Irigasi Jaringan",'Daftar Koreksi'!$I$5:$I$92,"&lt;0")-SUMIFS('Daftar Koreksi'!$I$5:$I$92,'Daftar Koreksi'!$D$5:$D$92,'2500'!A290,'Daftar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Koreksi'!$D$5:$D$92,'2500'!A290,'Daftar Koreksi'!$G$5:$G$92,"Aset Tetap Lainnya",'Daftar Koreksi'!$I$5:$I$92,"&gt;0")</f>
        <v>0</v>
      </c>
      <c r="F306" s="25">
        <f>SUMIFS('Daftar Koreksi'!$I$5:$I$92,'Daftar Koreksi'!$D$5:$D$92,'2500'!A290,'Daftar Koreksi'!$G$5:$G$92,"Aset Tetap Lainnya",'Daftar Koreksi'!$I$5:$I$92,"&lt;0")-SUMIFS('Daftar Koreksi'!$I$5:$I$92,'Daftar Koreksi'!$D$5:$D$92,'2500'!A290,'Daftar Koreksi'!$G$5:$G$92,"Aset Tetap Lainnya",'Daftar Koreksi'!$I$5:$I$92,"&lt;0")-SUMIFS('Daftar Koreksi'!$I$5:$I$92,'Daftar Koreksi'!$D$5:$D$92,'2500'!A290,'Daftar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-129876000</v>
      </c>
      <c r="E307" s="25">
        <f>SUMIFS('Daftar Koreksi'!$I$5:$I$92,'Daftar Koreksi'!$D$5:$D$92,'2500'!A290,'Daftar Koreksi'!$G$5:$G$92,"Aset Henti Guna",'Daftar Koreksi'!$I$5:$I$92,"&gt;0")</f>
        <v>0</v>
      </c>
      <c r="F307" s="25">
        <f>SUMIFS('Daftar Koreksi'!$I$5:$I$92,'Daftar Koreksi'!$D$5:$D$92,'2500'!A290,'Daftar Koreksi'!$G$5:$G$92,"Aset Henti Guna",'Daftar Koreksi'!$I$5:$I$92,"&lt;0")-SUMIFS('Daftar Koreksi'!$I$5:$I$92,'Daftar Koreksi'!$D$5:$D$92,'2500'!A290,'Daftar Koreksi'!$G$5:$G$92,"Aset Henti Guna",'Daftar Koreksi'!$I$5:$I$92,"&lt;0")-SUMIFS('Daftar Koreksi'!$I$5:$I$92,'Daftar Koreksi'!$D$5:$D$92,'2500'!A290,'Daftar Koreksi'!$G$5:$G$92,"Aset Henti Guna",'Daftar Koreksi'!$I$5:$I$92,"&lt;0")</f>
        <v>0</v>
      </c>
      <c r="G307" s="17">
        <f t="shared" si="13"/>
        <v>-129876000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-1836948965</v>
      </c>
      <c r="E308" s="19">
        <f>SUM(E303:E307)</f>
        <v>0</v>
      </c>
      <c r="F308" s="19">
        <f>SUM(F303:F307)</f>
        <v>0</v>
      </c>
      <c r="G308" s="19">
        <f t="shared" si="13"/>
        <v>-1836948965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13787642358</v>
      </c>
      <c r="E309" s="19">
        <f>E308+E302</f>
        <v>0</v>
      </c>
      <c r="F309" s="19">
        <f>F308+F302</f>
        <v>0</v>
      </c>
      <c r="G309" s="19">
        <f t="shared" si="13"/>
        <v>13787642358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005012500539138000KD</v>
      </c>
      <c r="B312" s="11" t="str">
        <f>P15</f>
        <v>PTUN. Jayapura</v>
      </c>
      <c r="C312" s="12" t="str">
        <f>A312&amp;" "&amp;B312</f>
        <v>005012500539138000KD PTUN. Jayapura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135000</v>
      </c>
      <c r="E315" s="25">
        <f>SUMIFS('Daftar Koreksi'!$H$5:$H$92,'Daftar Koreksi'!$D$5:$D$92,'2500'!A312,'Daftar Koreksi'!$G$5:$G$92,"Persediaan",'Daftar Koreksi'!$H$5:$H$92,"&gt;0")</f>
        <v>0</v>
      </c>
      <c r="F315" s="25">
        <f>SUMIFS('Daftar Koreksi'!$H$5:$H$92,'Daftar Koreksi'!$D$5:$D$92,'2500'!A312,'Daftar Koreksi'!$G$5:$G$92,"Persediaan",'Daftar Koreksi'!$H$5:$H$92,"&lt;0")-SUMIFS('Daftar Koreksi'!$H$5:$H$92,'Daftar Koreksi'!$D$5:$D$92,'2500'!A312,'Daftar Koreksi'!$G$5:$G$92,"Persediaan",'Daftar Koreksi'!$H$5:$H$92,"&lt;0")-SUMIFS('Daftar Koreksi'!$H$5:$H$92,'Daftar Koreksi'!$D$5:$D$92,'2500'!A312,'Daftar Koreksi'!$G$5:$G$92,"Persediaan",'Daftar Koreksi'!$H$5:$H$92,"&lt;0")</f>
        <v>0</v>
      </c>
      <c r="G315" s="17">
        <f>D315+E315-F315</f>
        <v>135000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2459200000</v>
      </c>
      <c r="E316" s="25">
        <f>SUMIFS('Daftar Koreksi'!$H$5:$H$92,'Daftar Koreksi'!$D$5:$D$92,'2500'!A312,'Daftar Koreksi'!$G$5:$G$92,"Tanah",'Daftar Koreksi'!$H$5:$H$92,"&gt;0")</f>
        <v>0</v>
      </c>
      <c r="F316" s="25">
        <f>SUMIFS('Daftar Koreksi'!$H$5:$H$92,'Daftar Koreksi'!$D$5:$D$92,'2500'!A312,'Daftar Koreksi'!$G$5:$G$92,"Tanah",'Daftar Koreksi'!$H$5:$H$92,"&lt;0")-SUMIFS('Daftar Koreksi'!$H$5:$H$92,'Daftar Koreksi'!$D$5:$D$92,'2500'!A312,'Daftar Koreksi'!$G$5:$G$92,"Tanah",'Daftar Koreksi'!$H$5:$H$92,"&lt;0")-SUMIFS('Daftar Koreksi'!$H$5:$H$92,'Daftar Koreksi'!$D$5:$D$92,'2500'!A312,'Daftar Koreksi'!$G$5:$G$92,"Tanah",'Daftar Koreksi'!$H$5:$H$92,"&lt;0")</f>
        <v>0</v>
      </c>
      <c r="G316" s="17">
        <f t="shared" ref="G316:G332" si="14">D316+E316-F316</f>
        <v>2459200000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2138154138</v>
      </c>
      <c r="E317" s="25">
        <f>SUMIFS('Daftar Koreksi'!$H$5:$H$92,'Daftar Koreksi'!$D$5:$D$92,'2500'!A312,'Daftar Koreksi'!$G$5:$G$92,"Peralatan dan mesin",'Daftar Koreksi'!$H$5:$H$92,"&gt;0")</f>
        <v>0</v>
      </c>
      <c r="F317" s="25">
        <f>SUMIFS('Daftar Koreksi'!$H$5:$H$92,'Daftar Koreksi'!$D$5:$D$92,'2500'!A312,'Daftar Koreksi'!$G$5:$G$92,"Peralatan dan mesin",'Daftar Koreksi'!$H$5:$H$92,"&lt;0")-SUMIFS('Daftar Koreksi'!$H$5:$H$92,'Daftar Koreksi'!$D$5:$D$92,'2500'!A312,'Daftar Koreksi'!$G$5:$G$92,"Peralatan dan mesin",'Daftar Koreksi'!$H$5:$H$92,"&lt;0")-SUMIFS('Daftar Koreksi'!$H$5:$H$92,'Daftar Koreksi'!$D$5:$D$92,'2500'!A312,'Daftar Koreksi'!$G$5:$G$92,"Peralatan dan mesin",'Daftar Koreksi'!$H$5:$H$92,"&lt;0")</f>
        <v>0</v>
      </c>
      <c r="G317" s="17">
        <f t="shared" si="14"/>
        <v>2138154138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1051600000</v>
      </c>
      <c r="E318" s="25">
        <f>SUMIFS('Daftar Koreksi'!$H$5:$H$92,'Daftar Koreksi'!$D$5:$D$92,'2500'!A312,'Daftar Koreksi'!$G$5:$G$92,"Gedung dan Bangunan",'Daftar Koreksi'!$H$5:$H$92,"&gt;0")</f>
        <v>0</v>
      </c>
      <c r="F318" s="25">
        <f>SUMIFS('Daftar Koreksi'!$H$5:$H$92,'Daftar Koreksi'!$D$5:$D$92,'2500'!A312,'Daftar Koreksi'!$G$5:$G$92,"Gedung dan Bangunan",'Daftar Koreksi'!$H$5:$H$92,"&lt;0")-SUMIFS('Daftar Koreksi'!$H$5:$H$92,'Daftar Koreksi'!$D$5:$D$92,'2500'!A312,'Daftar Koreksi'!$G$5:$G$92,"Gedung dan Bangunan",'Daftar Koreksi'!$H$5:$H$92,"&lt;0")-SUMIFS('Daftar Koreksi'!$H$5:$H$92,'Daftar Koreksi'!$D$5:$D$92,'2500'!A312,'Daftar Koreksi'!$G$5:$G$92,"Gedung dan Bangunan",'Daftar Koreksi'!$H$5:$H$92,"&lt;0")</f>
        <v>0</v>
      </c>
      <c r="G318" s="17">
        <f t="shared" si="14"/>
        <v>1051600000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Koreksi'!$D$5:$D$92,'2500'!A312,'Daftar Koreksi'!$G$5:$G$92,"Jalan Irigasi Jaringan",'Daftar Koreksi'!$H$5:$H$92,"&gt;0")</f>
        <v>0</v>
      </c>
      <c r="F319" s="25">
        <f>SUMIFS('Daftar Koreksi'!$H$5:$H$92,'Daftar Koreksi'!$D$5:$D$92,'2500'!A312,'Daftar Koreksi'!$G$5:$G$92,"Jalan Irigasi Jaringan",'Daftar Koreksi'!$H$5:$H$92,"&lt;0")-SUMIFS('Daftar Koreksi'!$H$5:$H$92,'Daftar Koreksi'!$D$5:$D$92,'2500'!A312,'Daftar Koreksi'!$G$5:$G$92,"Jalan Irigasi Jaringan",'Daftar Koreksi'!$H$5:$H$92,"&lt;0")-SUMIFS('Daftar Koreksi'!$H$5:$H$92,'Daftar Koreksi'!$D$5:$D$92,'2500'!A312,'Daftar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2683400</v>
      </c>
      <c r="E320" s="25">
        <f>SUMIFS('Daftar Koreksi'!$H$5:$H$92,'Daftar Koreksi'!$D$5:$D$92,'2500'!A312,'Daftar Koreksi'!$G$5:$G$92,"Aset Tetap Lainnya",'Daftar Koreksi'!$H$5:$H$92,"&gt;0")</f>
        <v>0</v>
      </c>
      <c r="F320" s="25">
        <f>SUMIFS('Daftar Koreksi'!$H$5:$H$92,'Daftar Koreksi'!$D$5:$D$92,'2500'!A312,'Daftar Koreksi'!$G$5:$G$92,"Aset Tetap Lainnya",'Daftar Koreksi'!$H$5:$H$92,"&lt;0")-SUMIFS('Daftar Koreksi'!$H$5:$H$92,'Daftar Koreksi'!$D$5:$D$92,'2500'!A312,'Daftar Koreksi'!$G$5:$G$92,"Aset Tetap Lainnya",'Daftar Koreksi'!$H$5:$H$92,"&lt;0")-SUMIFS('Daftar Koreksi'!$H$5:$H$92,'Daftar Koreksi'!$D$5:$D$92,'2500'!A312,'Daftar Koreksi'!$G$5:$G$92,"Aset Tetap Lainnya",'Daftar Koreksi'!$H$5:$H$92,"&lt;0")</f>
        <v>0</v>
      </c>
      <c r="G320" s="17">
        <f t="shared" si="14"/>
        <v>2683400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9468936220</v>
      </c>
      <c r="E321" s="25">
        <f>SUMIFS('Daftar Koreksi'!$H$5:$H$92,'Daftar Koreksi'!$D$5:$D$92,'2500'!A312,'Daftar Koreksi'!$G$5:$G$92,"Kontruksi Dalam Pengerjaan",'Daftar Koreksi'!$H$5:$H$92,"&gt;0")</f>
        <v>0</v>
      </c>
      <c r="F321" s="25">
        <f>SUMIFS('Daftar Koreksi'!$H$5:$H$92,'Daftar Koreksi'!$D$5:$D$92,'2500'!A312,'Daftar Koreksi'!$G$5:$G$92,"Kontruksi Dalam Pengerjaan",'Daftar Koreksi'!$H$5:$H$92,"&lt;0")-SUMIFS('Daftar Koreksi'!$H$5:$H$92,'Daftar Koreksi'!$D$5:$D$92,'2500'!A312,'Daftar Koreksi'!$G$5:$G$92,"Kontruksi Dalam Pengerjaan",'Daftar Koreksi'!$H$5:$H$92,"&lt;0")-SUMIFS('Daftar Koreksi'!$H$5:$H$92,'Daftar Koreksi'!$D$5:$D$92,'2500'!A312,'Daftar Koreksi'!$G$5:$G$92,"Kontruksi Dalam Pengerjaan",'Daftar Koreksi'!$H$5:$H$92,"&lt;0")</f>
        <v>0</v>
      </c>
      <c r="G321" s="17">
        <f t="shared" si="14"/>
        <v>9468936220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68750000</v>
      </c>
      <c r="E322" s="25">
        <f>SUMIFS('Daftar Koreksi'!$H$5:$H$92,'Daftar Koreksi'!$D$5:$D$92,'2500'!A312,'Daftar Koreksi'!$G$5:$G$92,"Aset Tak Berwujud",'Daftar Koreksi'!$H$5:$H$92,"&gt;0")</f>
        <v>0</v>
      </c>
      <c r="F322" s="25">
        <f>SUMIFS('Daftar Koreksi'!$H$5:$H$92,'Daftar Koreksi'!$D$5:$D$92,'2500'!A312,'Daftar Koreksi'!$G$5:$G$92,"Aset Tak Berwujud",'Daftar Koreksi'!$H$5:$H$92,"&lt;0")-SUMIFS('Daftar Koreksi'!$H$5:$H$92,'Daftar Koreksi'!$D$5:$D$92,'2500'!A312,'Daftar Koreksi'!$G$5:$G$92,"Aset Tak Berwujud",'Daftar Koreksi'!$H$5:$H$92,"&lt;0")-SUMIFS('Daftar Koreksi'!$H$5:$H$92,'Daftar Koreksi'!$D$5:$D$92,'2500'!A312,'Daftar Koreksi'!$G$5:$G$92,"Aset Tak Berwujud",'Daftar Koreksi'!$H$5:$H$92,"&lt;0")</f>
        <v>0</v>
      </c>
      <c r="G322" s="17">
        <f t="shared" si="14"/>
        <v>68750000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245465500</v>
      </c>
      <c r="E323" s="25">
        <f>SUMIFS('Daftar Koreksi'!$H$5:$H$92,'Daftar Koreksi'!$D$5:$D$92,'2500'!A312,'Daftar Koreksi'!$G$5:$G$92,"Aset Henti Guna",'Daftar Koreksi'!$H$5:$H$92,"&gt;0")</f>
        <v>0</v>
      </c>
      <c r="F323" s="25">
        <f>SUMIFS('Daftar Koreksi'!$H$5:$H$92,'Daftar Koreksi'!$D$5:$D$92,'2500'!A312,'Daftar Koreksi'!$G$5:$G$92,"Aset Henti Guna",'Daftar Koreksi'!$H$5:$H$92,"&lt;0")-SUMIFS('Daftar Koreksi'!$H$5:$H$92,'Daftar Koreksi'!$D$5:$D$92,'2500'!A312,'Daftar Koreksi'!$G$5:$G$92,"Aset Henti Guna",'Daftar Koreksi'!$H$5:$H$92,"&lt;0")-SUMIFS('Daftar Koreksi'!$H$5:$H$92,'Daftar Koreksi'!$D$5:$D$92,'2500'!A312,'Daftar Koreksi'!$G$5:$G$92,"Aset Henti Guna",'Daftar Koreksi'!$H$5:$H$92,"&lt;0")</f>
        <v>0</v>
      </c>
      <c r="G323" s="17">
        <f t="shared" si="14"/>
        <v>245465500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15434924258</v>
      </c>
      <c r="E324" s="19">
        <f>SUM(E315:E323)</f>
        <v>0</v>
      </c>
      <c r="F324" s="19">
        <f>SUM(F315:F323)</f>
        <v>0</v>
      </c>
      <c r="G324" s="19">
        <f t="shared" si="14"/>
        <v>15434924258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-1772689157</v>
      </c>
      <c r="E325" s="25">
        <f>SUMIFS('Daftar Koreksi'!$I$5:$I$92,'Daftar Koreksi'!$D$5:$D$92,'2500'!A312,'Daftar Koreksi'!$G$5:$G$92,"Peralatan dan mesin",'Daftar Koreksi'!$I$5:$I$92,"&gt;0")</f>
        <v>0</v>
      </c>
      <c r="F325" s="25">
        <f>SUMIFS('Daftar Koreksi'!$I$5:$I$92,'Daftar Koreksi'!$D$5:$D$92,'2500'!A312,'Daftar Koreksi'!$G$5:$G$92,"Peralatan dan mesin",'Daftar Koreksi'!$I$5:$I$92,"&lt;0")-SUMIFS('Daftar Koreksi'!$I$5:$I$92,'Daftar Koreksi'!$D$5:$D$92,'2500'!A312,'Daftar Koreksi'!$G$5:$G$92,"Peralatan dan mesin",'Daftar Koreksi'!$I$5:$I$92,"&lt;0")-SUMIFS('Daftar Koreksi'!$I$5:$I$92,'Daftar Koreksi'!$D$5:$D$92,'2500'!A312,'Daftar Koreksi'!$G$5:$G$92,"Peralatan dan mesin",'Daftar Koreksi'!$I$5:$I$92,"&lt;0")</f>
        <v>0</v>
      </c>
      <c r="G325" s="17">
        <f t="shared" si="14"/>
        <v>-1772689157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-472844000</v>
      </c>
      <c r="E326" s="25">
        <f>SUMIFS('Daftar Koreksi'!$I$5:$I$92,'Daftar Koreksi'!$D$5:$D$92,'2500'!A312,'Daftar Koreksi'!$G$5:$G$92,"Gedung dan Bangunan",'Daftar Koreksi'!$I$5:$I$92,"&gt;0")</f>
        <v>0</v>
      </c>
      <c r="F326" s="25">
        <f>SUMIFS('Daftar Koreksi'!$I$5:$I$92,'Daftar Koreksi'!$D$5:$D$92,'2500'!A312,'Daftar Koreksi'!$G$5:$G$92,"Gedung dan Bangunan",'Daftar Koreksi'!$I$5:$I$92,"&lt;0")-SUMIFS('Daftar Koreksi'!$I$5:$I$92,'Daftar Koreksi'!$D$5:$D$92,'2500'!A312,'Daftar Koreksi'!$G$5:$G$92,"Gedung dan Bangunan",'Daftar Koreksi'!$I$5:$I$92,"&lt;0")-SUMIFS('Daftar Koreksi'!$I$5:$I$92,'Daftar Koreksi'!$D$5:$D$92,'2500'!A312,'Daftar Koreksi'!$G$5:$G$92,"Gedung dan Bangunan",'Daftar Koreksi'!$I$5:$I$92,"&lt;0")</f>
        <v>0</v>
      </c>
      <c r="G326" s="17">
        <f t="shared" si="14"/>
        <v>-472844000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Koreksi'!$D$5:$D$92,'2500'!A312,'Daftar Koreksi'!$G$5:$G$92,"Jalan Irigasi Jaringan",'Daftar Koreksi'!$I$5:$I$92,"&gt;0")</f>
        <v>0</v>
      </c>
      <c r="F327" s="25">
        <f>SUMIFS('Daftar Koreksi'!$I$5:$I$92,'Daftar Koreksi'!$D$5:$D$92,'2500'!A312,'Daftar Koreksi'!$G$5:$G$92,"Jalan Irigasi Jaringan",'Daftar Koreksi'!$I$5:$I$92,"&lt;0")-SUMIFS('Daftar Koreksi'!$I$5:$I$92,'Daftar Koreksi'!$D$5:$D$92,'2500'!A312,'Daftar Koreksi'!$G$5:$G$92,"Jalan Irigasi Jaringan",'Daftar Koreksi'!$I$5:$I$92,"&lt;0")-SUMIFS('Daftar Koreksi'!$I$5:$I$92,'Daftar Koreksi'!$D$5:$D$92,'2500'!A312,'Daftar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Koreksi'!$D$5:$D$92,'2500'!A312,'Daftar Koreksi'!$G$5:$G$92,"Aset Tetap Lainnya",'Daftar Koreksi'!$I$5:$I$92,"&gt;0")</f>
        <v>0</v>
      </c>
      <c r="F328" s="25">
        <f>SUMIFS('Daftar Koreksi'!$I$5:$I$92,'Daftar Koreksi'!$D$5:$D$92,'2500'!A312,'Daftar Koreksi'!$G$5:$G$92,"Aset Tetap Lainnya",'Daftar Koreksi'!$I$5:$I$92,"&lt;0")-SUMIFS('Daftar Koreksi'!$I$5:$I$92,'Daftar Koreksi'!$D$5:$D$92,'2500'!A312,'Daftar Koreksi'!$G$5:$G$92,"Aset Tetap Lainnya",'Daftar Koreksi'!$I$5:$I$92,"&lt;0")-SUMIFS('Daftar Koreksi'!$I$5:$I$92,'Daftar Koreksi'!$D$5:$D$92,'2500'!A312,'Daftar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-236164725</v>
      </c>
      <c r="E329" s="25">
        <f>SUMIFS('Daftar Koreksi'!$I$5:$I$92,'Daftar Koreksi'!$D$5:$D$92,'2500'!A312,'Daftar Koreksi'!$G$5:$G$92,"Aset Henti Guna",'Daftar Koreksi'!$I$5:$I$92,"&gt;0")</f>
        <v>0</v>
      </c>
      <c r="F329" s="25">
        <f>SUMIFS('Daftar Koreksi'!$I$5:$I$92,'Daftar Koreksi'!$D$5:$D$92,'2500'!A312,'Daftar Koreksi'!$G$5:$G$92,"Aset Henti Guna",'Daftar Koreksi'!$I$5:$I$92,"&lt;0")-SUMIFS('Daftar Koreksi'!$I$5:$I$92,'Daftar Koreksi'!$D$5:$D$92,'2500'!A312,'Daftar Koreksi'!$G$5:$G$92,"Aset Henti Guna",'Daftar Koreksi'!$I$5:$I$92,"&lt;0")-SUMIFS('Daftar Koreksi'!$I$5:$I$92,'Daftar Koreksi'!$D$5:$D$92,'2500'!A312,'Daftar Koreksi'!$G$5:$G$92,"Aset Henti Guna",'Daftar Koreksi'!$I$5:$I$92,"&lt;0")</f>
        <v>0</v>
      </c>
      <c r="G329" s="17">
        <f t="shared" si="14"/>
        <v>-236164725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-2481697882</v>
      </c>
      <c r="E330" s="19">
        <f>SUM(E325:E329)</f>
        <v>0</v>
      </c>
      <c r="F330" s="19">
        <f>SUM(F325:F329)</f>
        <v>0</v>
      </c>
      <c r="G330" s="19">
        <f t="shared" si="14"/>
        <v>-2481697882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12953226376</v>
      </c>
      <c r="E331" s="19">
        <f>E330+E324</f>
        <v>0</v>
      </c>
      <c r="F331" s="19">
        <f>F330+F324</f>
        <v>0</v>
      </c>
      <c r="G331" s="19">
        <f t="shared" si="14"/>
        <v>12953226376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005012500614769000KD</v>
      </c>
      <c r="B334" s="11" t="str">
        <f>P16</f>
        <v>PA. Sentani</v>
      </c>
      <c r="C334" s="12" t="str">
        <f>A334&amp;" "&amp;B334</f>
        <v>005012500614769000KD PA. Sentani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550000</v>
      </c>
      <c r="E337" s="25">
        <f>SUMIFS('Daftar Koreksi'!$H$5:$H$92,'Daftar Koreksi'!$D$5:$D$92,'2500'!A334,'Daftar Koreksi'!$G$5:$G$92,"Persediaan",'Daftar Koreksi'!$H$5:$H$92,"&gt;0")</f>
        <v>0</v>
      </c>
      <c r="F337" s="25">
        <f>SUMIFS('Daftar Koreksi'!$H$5:$H$92,'Daftar Koreksi'!$D$5:$D$92,'2500'!A334,'Daftar Koreksi'!$G$5:$G$92,"Persediaan",'Daftar Koreksi'!$H$5:$H$92,"&lt;0")-SUMIFS('Daftar Koreksi'!$H$5:$H$92,'Daftar Koreksi'!$D$5:$D$92,'2500'!A334,'Daftar Koreksi'!$G$5:$G$92,"Persediaan",'Daftar Koreksi'!$H$5:$H$92,"&lt;0")-SUMIFS('Daftar Koreksi'!$H$5:$H$92,'Daftar Koreksi'!$D$5:$D$92,'2500'!A334,'Daftar Koreksi'!$G$5:$G$92,"Persediaan",'Daftar Koreksi'!$H$5:$H$92,"&lt;0")</f>
        <v>0</v>
      </c>
      <c r="G337" s="17">
        <f>D337+E337-F337</f>
        <v>550000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2810600000</v>
      </c>
      <c r="E338" s="25">
        <f>SUMIFS('Daftar Koreksi'!$H$5:$H$92,'Daftar Koreksi'!$D$5:$D$92,'2500'!A334,'Daftar Koreksi'!$G$5:$G$92,"Tanah",'Daftar Koreksi'!$H$5:$H$92,"&gt;0")</f>
        <v>0</v>
      </c>
      <c r="F338" s="25">
        <f>SUMIFS('Daftar Koreksi'!$H$5:$H$92,'Daftar Koreksi'!$D$5:$D$92,'2500'!A334,'Daftar Koreksi'!$G$5:$G$92,"Tanah",'Daftar Koreksi'!$H$5:$H$92,"&lt;0")-SUMIFS('Daftar Koreksi'!$H$5:$H$92,'Daftar Koreksi'!$D$5:$D$92,'2500'!A334,'Daftar Koreksi'!$G$5:$G$92,"Tanah",'Daftar Koreksi'!$H$5:$H$92,"&lt;0")-SUMIFS('Daftar Koreksi'!$H$5:$H$92,'Daftar Koreksi'!$D$5:$D$92,'2500'!A334,'Daftar Koreksi'!$G$5:$G$92,"Tanah",'Daftar Koreksi'!$H$5:$H$92,"&lt;0")</f>
        <v>0</v>
      </c>
      <c r="G338" s="17">
        <f t="shared" ref="G338:G354" si="15">D338+E338-F338</f>
        <v>2810600000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2206877677</v>
      </c>
      <c r="E339" s="25">
        <f>SUMIFS('Daftar Koreksi'!$H$5:$H$92,'Daftar Koreksi'!$D$5:$D$92,'2500'!A334,'Daftar Koreksi'!$G$5:$G$92,"Peralatan dan mesin",'Daftar Koreksi'!$H$5:$H$92,"&gt;0")</f>
        <v>0</v>
      </c>
      <c r="F339" s="25">
        <f>SUMIFS('Daftar Koreksi'!$H$5:$H$92,'Daftar Koreksi'!$D$5:$D$92,'2500'!A334,'Daftar Koreksi'!$G$5:$G$92,"Peralatan dan mesin",'Daftar Koreksi'!$H$5:$H$92,"&lt;0")-SUMIFS('Daftar Koreksi'!$H$5:$H$92,'Daftar Koreksi'!$D$5:$D$92,'2500'!A334,'Daftar Koreksi'!$G$5:$G$92,"Peralatan dan mesin",'Daftar Koreksi'!$H$5:$H$92,"&lt;0")-SUMIFS('Daftar Koreksi'!$H$5:$H$92,'Daftar Koreksi'!$D$5:$D$92,'2500'!A334,'Daftar Koreksi'!$G$5:$G$92,"Peralatan dan mesin",'Daftar Koreksi'!$H$5:$H$92,"&lt;0")</f>
        <v>0</v>
      </c>
      <c r="G339" s="17">
        <f t="shared" si="15"/>
        <v>2206877677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9668656000</v>
      </c>
      <c r="E340" s="25">
        <f>SUMIFS('Daftar Koreksi'!$H$5:$H$92,'Daftar Koreksi'!$D$5:$D$92,'2500'!A334,'Daftar Koreksi'!$G$5:$G$92,"Gedung dan Bangunan",'Daftar Koreksi'!$H$5:$H$92,"&gt;0")</f>
        <v>0</v>
      </c>
      <c r="F340" s="25">
        <f>SUMIFS('Daftar Koreksi'!$H$5:$H$92,'Daftar Koreksi'!$D$5:$D$92,'2500'!A334,'Daftar Koreksi'!$G$5:$G$92,"Gedung dan Bangunan",'Daftar Koreksi'!$H$5:$H$92,"&lt;0")-SUMIFS('Daftar Koreksi'!$H$5:$H$92,'Daftar Koreksi'!$D$5:$D$92,'2500'!A334,'Daftar Koreksi'!$G$5:$G$92,"Gedung dan Bangunan",'Daftar Koreksi'!$H$5:$H$92,"&lt;0")-SUMIFS('Daftar Koreksi'!$H$5:$H$92,'Daftar Koreksi'!$D$5:$D$92,'2500'!A334,'Daftar Koreksi'!$G$5:$G$92,"Gedung dan Bangunan",'Daftar Koreksi'!$H$5:$H$92,"&lt;0")</f>
        <v>0</v>
      </c>
      <c r="G340" s="17">
        <f t="shared" si="15"/>
        <v>9668656000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Koreksi'!$D$5:$D$92,'2500'!A334,'Daftar Koreksi'!$G$5:$G$92,"Jalan Irigasi Jaringan",'Daftar Koreksi'!$H$5:$H$92,"&gt;0")</f>
        <v>0</v>
      </c>
      <c r="F341" s="25">
        <f>SUMIFS('Daftar Koreksi'!$H$5:$H$92,'Daftar Koreksi'!$D$5:$D$92,'2500'!A334,'Daftar Koreksi'!$G$5:$G$92,"Jalan Irigasi Jaringan",'Daftar Koreksi'!$H$5:$H$92,"&lt;0")-SUMIFS('Daftar Koreksi'!$H$5:$H$92,'Daftar Koreksi'!$D$5:$D$92,'2500'!A334,'Daftar Koreksi'!$G$5:$G$92,"Jalan Irigasi Jaringan",'Daftar Koreksi'!$H$5:$H$92,"&lt;0")-SUMIFS('Daftar Koreksi'!$H$5:$H$92,'Daftar Koreksi'!$D$5:$D$92,'2500'!A334,'Daftar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4287946</v>
      </c>
      <c r="E342" s="25">
        <f>SUMIFS('Daftar Koreksi'!$H$5:$H$92,'Daftar Koreksi'!$D$5:$D$92,'2500'!A334,'Daftar Koreksi'!$G$5:$G$92,"Aset Tetap Lainnya",'Daftar Koreksi'!$H$5:$H$92,"&gt;0")</f>
        <v>0</v>
      </c>
      <c r="F342" s="25">
        <f>SUMIFS('Daftar Koreksi'!$H$5:$H$92,'Daftar Koreksi'!$D$5:$D$92,'2500'!A334,'Daftar Koreksi'!$G$5:$G$92,"Aset Tetap Lainnya",'Daftar Koreksi'!$H$5:$H$92,"&lt;0")-SUMIFS('Daftar Koreksi'!$H$5:$H$92,'Daftar Koreksi'!$D$5:$D$92,'2500'!A334,'Daftar Koreksi'!$G$5:$G$92,"Aset Tetap Lainnya",'Daftar Koreksi'!$H$5:$H$92,"&lt;0")-SUMIFS('Daftar Koreksi'!$H$5:$H$92,'Daftar Koreksi'!$D$5:$D$92,'2500'!A334,'Daftar Koreksi'!$G$5:$G$92,"Aset Tetap Lainnya",'Daftar Koreksi'!$H$5:$H$92,"&lt;0")</f>
        <v>0</v>
      </c>
      <c r="G342" s="17">
        <f t="shared" si="15"/>
        <v>4287946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Koreksi'!$D$5:$D$92,'2500'!A334,'Daftar Koreksi'!$G$5:$G$92,"Kontruksi Dalam Pengerjaan",'Daftar Koreksi'!$H$5:$H$92,"&gt;0")</f>
        <v>0</v>
      </c>
      <c r="F343" s="25">
        <f>SUMIFS('Daftar Koreksi'!$H$5:$H$92,'Daftar Koreksi'!$D$5:$D$92,'2500'!A334,'Daftar Koreksi'!$G$5:$G$92,"Kontruksi Dalam Pengerjaan",'Daftar Koreksi'!$H$5:$H$92,"&lt;0")-SUMIFS('Daftar Koreksi'!$H$5:$H$92,'Daftar Koreksi'!$D$5:$D$92,'2500'!A334,'Daftar Koreksi'!$G$5:$G$92,"Kontruksi Dalam Pengerjaan",'Daftar Koreksi'!$H$5:$H$92,"&lt;0")-SUMIFS('Daftar Koreksi'!$H$5:$H$92,'Daftar Koreksi'!$D$5:$D$92,'2500'!A334,'Daftar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Koreksi'!$D$5:$D$92,'2500'!A334,'Daftar Koreksi'!$G$5:$G$92,"Aset Tak Berwujud",'Daftar Koreksi'!$H$5:$H$92,"&gt;0")</f>
        <v>0</v>
      </c>
      <c r="F344" s="25">
        <f>SUMIFS('Daftar Koreksi'!$H$5:$H$92,'Daftar Koreksi'!$D$5:$D$92,'2500'!A334,'Daftar Koreksi'!$G$5:$G$92,"Aset Tak Berwujud",'Daftar Koreksi'!$H$5:$H$92,"&lt;0")-SUMIFS('Daftar Koreksi'!$H$5:$H$92,'Daftar Koreksi'!$D$5:$D$92,'2500'!A334,'Daftar Koreksi'!$G$5:$G$92,"Aset Tak Berwujud",'Daftar Koreksi'!$H$5:$H$92,"&lt;0")-SUMIFS('Daftar Koreksi'!$H$5:$H$92,'Daftar Koreksi'!$D$5:$D$92,'2500'!A334,'Daftar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Koreksi'!$D$5:$D$92,'2500'!A334,'Daftar Koreksi'!$G$5:$G$92,"Aset Henti Guna",'Daftar Koreksi'!$H$5:$H$92,"&gt;0")</f>
        <v>0</v>
      </c>
      <c r="F345" s="25">
        <f>SUMIFS('Daftar Koreksi'!$H$5:$H$92,'Daftar Koreksi'!$D$5:$D$92,'2500'!A334,'Daftar Koreksi'!$G$5:$G$92,"Aset Henti Guna",'Daftar Koreksi'!$H$5:$H$92,"&lt;0")-SUMIFS('Daftar Koreksi'!$H$5:$H$92,'Daftar Koreksi'!$D$5:$D$92,'2500'!A334,'Daftar Koreksi'!$G$5:$G$92,"Aset Henti Guna",'Daftar Koreksi'!$H$5:$H$92,"&lt;0")-SUMIFS('Daftar Koreksi'!$H$5:$H$92,'Daftar Koreksi'!$D$5:$D$92,'2500'!A334,'Daftar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14690971623</v>
      </c>
      <c r="E346" s="19">
        <f>SUM(E337:E345)</f>
        <v>0</v>
      </c>
      <c r="F346" s="19">
        <f>SUM(F337:F345)</f>
        <v>0</v>
      </c>
      <c r="G346" s="19">
        <f t="shared" si="15"/>
        <v>14690971623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-909603316</v>
      </c>
      <c r="E347" s="25">
        <f>SUMIFS('Daftar Koreksi'!$I$5:$I$92,'Daftar Koreksi'!$D$5:$D$92,'2500'!A334,'Daftar Koreksi'!$G$5:$G$92,"Peralatan dan mesin",'Daftar Koreksi'!$I$5:$I$92,"&gt;0")</f>
        <v>0</v>
      </c>
      <c r="F347" s="25">
        <f>SUMIFS('Daftar Koreksi'!$I$5:$I$92,'Daftar Koreksi'!$D$5:$D$92,'2500'!A334,'Daftar Koreksi'!$G$5:$G$92,"Peralatan dan mesin",'Daftar Koreksi'!$I$5:$I$92,"&lt;0")-SUMIFS('Daftar Koreksi'!$I$5:$I$92,'Daftar Koreksi'!$D$5:$D$92,'2500'!A334,'Daftar Koreksi'!$G$5:$G$92,"Peralatan dan mesin",'Daftar Koreksi'!$I$5:$I$92,"&lt;0")-SUMIFS('Daftar Koreksi'!$I$5:$I$92,'Daftar Koreksi'!$D$5:$D$92,'2500'!A334,'Daftar Koreksi'!$G$5:$G$92,"Peralatan dan mesin",'Daftar Koreksi'!$I$5:$I$92,"&lt;0")</f>
        <v>0</v>
      </c>
      <c r="G347" s="17">
        <f t="shared" si="15"/>
        <v>-909603316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-539924722</v>
      </c>
      <c r="E348" s="25">
        <f>SUMIFS('Daftar Koreksi'!$I$5:$I$92,'Daftar Koreksi'!$D$5:$D$92,'2500'!A334,'Daftar Koreksi'!$G$5:$G$92,"Gedung dan Bangunan",'Daftar Koreksi'!$I$5:$I$92,"&gt;0")</f>
        <v>0</v>
      </c>
      <c r="F348" s="25">
        <f>SUMIFS('Daftar Koreksi'!$I$5:$I$92,'Daftar Koreksi'!$D$5:$D$92,'2500'!A334,'Daftar Koreksi'!$G$5:$G$92,"Gedung dan Bangunan",'Daftar Koreksi'!$I$5:$I$92,"&lt;0")-SUMIFS('Daftar Koreksi'!$I$5:$I$92,'Daftar Koreksi'!$D$5:$D$92,'2500'!A334,'Daftar Koreksi'!$G$5:$G$92,"Gedung dan Bangunan",'Daftar Koreksi'!$I$5:$I$92,"&lt;0")-SUMIFS('Daftar Koreksi'!$I$5:$I$92,'Daftar Koreksi'!$D$5:$D$92,'2500'!A334,'Daftar Koreksi'!$G$5:$G$92,"Gedung dan Bangunan",'Daftar Koreksi'!$I$5:$I$92,"&lt;0")</f>
        <v>0</v>
      </c>
      <c r="G348" s="17">
        <f t="shared" si="15"/>
        <v>-539924722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Koreksi'!$D$5:$D$92,'2500'!A334,'Daftar Koreksi'!$G$5:$G$92,"Jalan Irigasi Jaringan",'Daftar Koreksi'!$I$5:$I$92,"&gt;0")</f>
        <v>0</v>
      </c>
      <c r="F349" s="25">
        <f>SUMIFS('Daftar Koreksi'!$I$5:$I$92,'Daftar Koreksi'!$D$5:$D$92,'2500'!A334,'Daftar Koreksi'!$G$5:$G$92,"Jalan Irigasi Jaringan",'Daftar Koreksi'!$I$5:$I$92,"&lt;0")-SUMIFS('Daftar Koreksi'!$I$5:$I$92,'Daftar Koreksi'!$D$5:$D$92,'2500'!A334,'Daftar Koreksi'!$G$5:$G$92,"Jalan Irigasi Jaringan",'Daftar Koreksi'!$I$5:$I$92,"&lt;0")-SUMIFS('Daftar Koreksi'!$I$5:$I$92,'Daftar Koreksi'!$D$5:$D$92,'2500'!A334,'Daftar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Koreksi'!$D$5:$D$92,'2500'!A334,'Daftar Koreksi'!$G$5:$G$92,"Aset Tetap Lainnya",'Daftar Koreksi'!$I$5:$I$92,"&gt;0")</f>
        <v>0</v>
      </c>
      <c r="F350" s="25">
        <f>SUMIFS('Daftar Koreksi'!$I$5:$I$92,'Daftar Koreksi'!$D$5:$D$92,'2500'!A334,'Daftar Koreksi'!$G$5:$G$92,"Aset Tetap Lainnya",'Daftar Koreksi'!$I$5:$I$92,"&lt;0")-SUMIFS('Daftar Koreksi'!$I$5:$I$92,'Daftar Koreksi'!$D$5:$D$92,'2500'!A334,'Daftar Koreksi'!$G$5:$G$92,"Aset Tetap Lainnya",'Daftar Koreksi'!$I$5:$I$92,"&lt;0")-SUMIFS('Daftar Koreksi'!$I$5:$I$92,'Daftar Koreksi'!$D$5:$D$92,'2500'!A334,'Daftar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Koreksi'!$D$5:$D$92,'2500'!A334,'Daftar Koreksi'!$G$5:$G$92,"Aset Henti Guna",'Daftar Koreksi'!$I$5:$I$92,"&gt;0")</f>
        <v>0</v>
      </c>
      <c r="F351" s="25">
        <f>SUMIFS('Daftar Koreksi'!$I$5:$I$92,'Daftar Koreksi'!$D$5:$D$92,'2500'!A334,'Daftar Koreksi'!$G$5:$G$92,"Aset Henti Guna",'Daftar Koreksi'!$I$5:$I$92,"&lt;0")-SUMIFS('Daftar Koreksi'!$I$5:$I$92,'Daftar Koreksi'!$D$5:$D$92,'2500'!A334,'Daftar Koreksi'!$G$5:$G$92,"Aset Henti Guna",'Daftar Koreksi'!$I$5:$I$92,"&lt;0")-SUMIFS('Daftar Koreksi'!$I$5:$I$92,'Daftar Koreksi'!$D$5:$D$92,'2500'!A334,'Daftar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-1449528038</v>
      </c>
      <c r="E352" s="19">
        <f>SUM(E347:E351)</f>
        <v>0</v>
      </c>
      <c r="F352" s="19">
        <f>SUM(F347:F351)</f>
        <v>0</v>
      </c>
      <c r="G352" s="19">
        <f t="shared" si="15"/>
        <v>-1449528038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13241443585</v>
      </c>
      <c r="E353" s="19">
        <f>E352+E346</f>
        <v>0</v>
      </c>
      <c r="F353" s="19">
        <f>F352+F346</f>
        <v>0</v>
      </c>
      <c r="G353" s="19">
        <f t="shared" si="15"/>
        <v>13241443585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005012500614773000KD</v>
      </c>
      <c r="B356" s="11" t="str">
        <f>P17</f>
        <v>PA. Mimika</v>
      </c>
      <c r="C356" s="12" t="str">
        <f>A356&amp;" "&amp;B356</f>
        <v>005012500614773000KD PA. Mimika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2452000</v>
      </c>
      <c r="E359" s="25">
        <f>SUMIFS('Daftar Koreksi'!$H$5:$H$92,'Daftar Koreksi'!$D$5:$D$92,'2500'!A356,'Daftar Koreksi'!$G$5:$G$92,"Persediaan",'Daftar Koreksi'!$H$5:$H$92,"&gt;0")</f>
        <v>0</v>
      </c>
      <c r="F359" s="25">
        <f>SUMIFS('Daftar Koreksi'!$H$5:$H$92,'Daftar Koreksi'!$D$5:$D$92,'2500'!A356,'Daftar Koreksi'!$G$5:$G$92,"Persediaan",'Daftar Koreksi'!$H$5:$H$92,"&lt;0")-SUMIFS('Daftar Koreksi'!$H$5:$H$92,'Daftar Koreksi'!$D$5:$D$92,'2500'!A356,'Daftar Koreksi'!$G$5:$G$92,"Persediaan",'Daftar Koreksi'!$H$5:$H$92,"&lt;0")-SUMIFS('Daftar Koreksi'!$H$5:$H$92,'Daftar Koreksi'!$D$5:$D$92,'2500'!A356,'Daftar Koreksi'!$G$5:$G$92,"Persediaan",'Daftar Koreksi'!$H$5:$H$92,"&lt;0")</f>
        <v>0</v>
      </c>
      <c r="G359" s="17">
        <f>D359+E359-F359</f>
        <v>2452000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2591570000</v>
      </c>
      <c r="E360" s="25">
        <f>SUMIFS('Daftar Koreksi'!$H$5:$H$92,'Daftar Koreksi'!$D$5:$D$92,'2500'!A356,'Daftar Koreksi'!$G$5:$G$92,"Tanah",'Daftar Koreksi'!$H$5:$H$92,"&gt;0")</f>
        <v>0</v>
      </c>
      <c r="F360" s="25">
        <f>SUMIFS('Daftar Koreksi'!$H$5:$H$92,'Daftar Koreksi'!$D$5:$D$92,'2500'!A356,'Daftar Koreksi'!$G$5:$G$92,"Tanah",'Daftar Koreksi'!$H$5:$H$92,"&lt;0")-SUMIFS('Daftar Koreksi'!$H$5:$H$92,'Daftar Koreksi'!$D$5:$D$92,'2500'!A356,'Daftar Koreksi'!$G$5:$G$92,"Tanah",'Daftar Koreksi'!$H$5:$H$92,"&lt;0")-SUMIFS('Daftar Koreksi'!$H$5:$H$92,'Daftar Koreksi'!$D$5:$D$92,'2500'!A356,'Daftar Koreksi'!$G$5:$G$92,"Tanah",'Daftar Koreksi'!$H$5:$H$92,"&lt;0")</f>
        <v>0</v>
      </c>
      <c r="G360" s="17">
        <f t="shared" ref="G360:G376" si="16">D360+E360-F360</f>
        <v>2591570000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1160337211</v>
      </c>
      <c r="E361" s="25">
        <f>SUMIFS('Daftar Koreksi'!$H$5:$H$92,'Daftar Koreksi'!$D$5:$D$92,'2500'!A356,'Daftar Koreksi'!$G$5:$G$92,"Peralatan dan mesin",'Daftar Koreksi'!$H$5:$H$92,"&gt;0")</f>
        <v>0</v>
      </c>
      <c r="F361" s="25">
        <f>SUMIFS('Daftar Koreksi'!$H$5:$H$92,'Daftar Koreksi'!$D$5:$D$92,'2500'!A356,'Daftar Koreksi'!$G$5:$G$92,"Peralatan dan mesin",'Daftar Koreksi'!$H$5:$H$92,"&lt;0")-SUMIFS('Daftar Koreksi'!$H$5:$H$92,'Daftar Koreksi'!$D$5:$D$92,'2500'!A356,'Daftar Koreksi'!$G$5:$G$92,"Peralatan dan mesin",'Daftar Koreksi'!$H$5:$H$92,"&lt;0")-SUMIFS('Daftar Koreksi'!$H$5:$H$92,'Daftar Koreksi'!$D$5:$D$92,'2500'!A356,'Daftar Koreksi'!$G$5:$G$92,"Peralatan dan mesin",'Daftar Koreksi'!$H$5:$H$92,"&lt;0")</f>
        <v>0</v>
      </c>
      <c r="G361" s="17">
        <f t="shared" si="16"/>
        <v>1160337211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12562774702</v>
      </c>
      <c r="E362" s="25">
        <f>SUMIFS('Daftar Koreksi'!$H$5:$H$92,'Daftar Koreksi'!$D$5:$D$92,'2500'!A356,'Daftar Koreksi'!$G$5:$G$92,"Gedung dan Bangunan",'Daftar Koreksi'!$H$5:$H$92,"&gt;0")</f>
        <v>0</v>
      </c>
      <c r="F362" s="25">
        <f>SUMIFS('Daftar Koreksi'!$H$5:$H$92,'Daftar Koreksi'!$D$5:$D$92,'2500'!A356,'Daftar Koreksi'!$G$5:$G$92,"Gedung dan Bangunan",'Daftar Koreksi'!$H$5:$H$92,"&lt;0")-SUMIFS('Daftar Koreksi'!$H$5:$H$92,'Daftar Koreksi'!$D$5:$D$92,'2500'!A356,'Daftar Koreksi'!$G$5:$G$92,"Gedung dan Bangunan",'Daftar Koreksi'!$H$5:$H$92,"&lt;0")-SUMIFS('Daftar Koreksi'!$H$5:$H$92,'Daftar Koreksi'!$D$5:$D$92,'2500'!A356,'Daftar Koreksi'!$G$5:$G$92,"Gedung dan Bangunan",'Daftar Koreksi'!$H$5:$H$92,"&lt;0")</f>
        <v>0</v>
      </c>
      <c r="G362" s="17">
        <f t="shared" si="16"/>
        <v>12562774702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25000000</v>
      </c>
      <c r="E363" s="25">
        <f>SUMIFS('Daftar Koreksi'!$H$5:$H$92,'Daftar Koreksi'!$D$5:$D$92,'2500'!A356,'Daftar Koreksi'!$G$5:$G$92,"Jalan Irigasi Jaringan",'Daftar Koreksi'!$H$5:$H$92,"&gt;0")</f>
        <v>0</v>
      </c>
      <c r="F363" s="25">
        <f>SUMIFS('Daftar Koreksi'!$H$5:$H$92,'Daftar Koreksi'!$D$5:$D$92,'2500'!A356,'Daftar Koreksi'!$G$5:$G$92,"Jalan Irigasi Jaringan",'Daftar Koreksi'!$H$5:$H$92,"&lt;0")-SUMIFS('Daftar Koreksi'!$H$5:$H$92,'Daftar Koreksi'!$D$5:$D$92,'2500'!A356,'Daftar Koreksi'!$G$5:$G$92,"Jalan Irigasi Jaringan",'Daftar Koreksi'!$H$5:$H$92,"&lt;0")-SUMIFS('Daftar Koreksi'!$H$5:$H$92,'Daftar Koreksi'!$D$5:$D$92,'2500'!A356,'Daftar Koreksi'!$G$5:$G$92,"Jalan Irigasi Jaringan",'Daftar Koreksi'!$H$5:$H$92,"&lt;0")</f>
        <v>0</v>
      </c>
      <c r="G363" s="17">
        <f t="shared" si="16"/>
        <v>25000000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1459270</v>
      </c>
      <c r="E364" s="25">
        <f>SUMIFS('Daftar Koreksi'!$H$5:$H$92,'Daftar Koreksi'!$D$5:$D$92,'2500'!A356,'Daftar Koreksi'!$G$5:$G$92,"Aset Tetap Lainnya",'Daftar Koreksi'!$H$5:$H$92,"&gt;0")</f>
        <v>0</v>
      </c>
      <c r="F364" s="25">
        <f>SUMIFS('Daftar Koreksi'!$H$5:$H$92,'Daftar Koreksi'!$D$5:$D$92,'2500'!A356,'Daftar Koreksi'!$G$5:$G$92,"Aset Tetap Lainnya",'Daftar Koreksi'!$H$5:$H$92,"&lt;0")-SUMIFS('Daftar Koreksi'!$H$5:$H$92,'Daftar Koreksi'!$D$5:$D$92,'2500'!A356,'Daftar Koreksi'!$G$5:$G$92,"Aset Tetap Lainnya",'Daftar Koreksi'!$H$5:$H$92,"&lt;0")-SUMIFS('Daftar Koreksi'!$H$5:$H$92,'Daftar Koreksi'!$D$5:$D$92,'2500'!A356,'Daftar Koreksi'!$G$5:$G$92,"Aset Tetap Lainnya",'Daftar Koreksi'!$H$5:$H$92,"&lt;0")</f>
        <v>0</v>
      </c>
      <c r="G364" s="17">
        <f t="shared" si="16"/>
        <v>1459270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Koreksi'!$D$5:$D$92,'2500'!A356,'Daftar Koreksi'!$G$5:$G$92,"Kontruksi Dalam Pengerjaan",'Daftar Koreksi'!$H$5:$H$92,"&gt;0")</f>
        <v>0</v>
      </c>
      <c r="F365" s="25">
        <f>SUMIFS('Daftar Koreksi'!$H$5:$H$92,'Daftar Koreksi'!$D$5:$D$92,'2500'!A356,'Daftar Koreksi'!$G$5:$G$92,"Kontruksi Dalam Pengerjaan",'Daftar Koreksi'!$H$5:$H$92,"&lt;0")-SUMIFS('Daftar Koreksi'!$H$5:$H$92,'Daftar Koreksi'!$D$5:$D$92,'2500'!A356,'Daftar Koreksi'!$G$5:$G$92,"Kontruksi Dalam Pengerjaan",'Daftar Koreksi'!$H$5:$H$92,"&lt;0")-SUMIFS('Daftar Koreksi'!$H$5:$H$92,'Daftar Koreksi'!$D$5:$D$92,'2500'!A356,'Daftar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Koreksi'!$D$5:$D$92,'2500'!A356,'Daftar Koreksi'!$G$5:$G$92,"Aset Tak Berwujud",'Daftar Koreksi'!$H$5:$H$92,"&gt;0")</f>
        <v>0</v>
      </c>
      <c r="F366" s="25">
        <f>SUMIFS('Daftar Koreksi'!$H$5:$H$92,'Daftar Koreksi'!$D$5:$D$92,'2500'!A356,'Daftar Koreksi'!$G$5:$G$92,"Aset Tak Berwujud",'Daftar Koreksi'!$H$5:$H$92,"&lt;0")-SUMIFS('Daftar Koreksi'!$H$5:$H$92,'Daftar Koreksi'!$D$5:$D$92,'2500'!A356,'Daftar Koreksi'!$G$5:$G$92,"Aset Tak Berwujud",'Daftar Koreksi'!$H$5:$H$92,"&lt;0")-SUMIFS('Daftar Koreksi'!$H$5:$H$92,'Daftar Koreksi'!$D$5:$D$92,'2500'!A356,'Daftar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22383000</v>
      </c>
      <c r="E367" s="25">
        <f>SUMIFS('Daftar Koreksi'!$H$5:$H$92,'Daftar Koreksi'!$D$5:$D$92,'2500'!A356,'Daftar Koreksi'!$G$5:$G$92,"Aset Henti Guna",'Daftar Koreksi'!$H$5:$H$92,"&gt;0")</f>
        <v>0</v>
      </c>
      <c r="F367" s="25">
        <f>SUMIFS('Daftar Koreksi'!$H$5:$H$92,'Daftar Koreksi'!$D$5:$D$92,'2500'!A356,'Daftar Koreksi'!$G$5:$G$92,"Aset Henti Guna",'Daftar Koreksi'!$H$5:$H$92,"&lt;0")-SUMIFS('Daftar Koreksi'!$H$5:$H$92,'Daftar Koreksi'!$D$5:$D$92,'2500'!A356,'Daftar Koreksi'!$G$5:$G$92,"Aset Henti Guna",'Daftar Koreksi'!$H$5:$H$92,"&lt;0")-SUMIFS('Daftar Koreksi'!$H$5:$H$92,'Daftar Koreksi'!$D$5:$D$92,'2500'!A356,'Daftar Koreksi'!$G$5:$G$92,"Aset Henti Guna",'Daftar Koreksi'!$H$5:$H$92,"&lt;0")</f>
        <v>0</v>
      </c>
      <c r="G367" s="17">
        <f t="shared" si="16"/>
        <v>22383000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16365976183</v>
      </c>
      <c r="E368" s="19">
        <f>SUM(E359:E367)</f>
        <v>0</v>
      </c>
      <c r="F368" s="19">
        <f>SUM(F359:F367)</f>
        <v>0</v>
      </c>
      <c r="G368" s="19">
        <f t="shared" si="16"/>
        <v>16365976183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-863638097</v>
      </c>
      <c r="E369" s="25">
        <f>SUMIFS('Daftar Koreksi'!$I$5:$I$92,'Daftar Koreksi'!$D$5:$D$92,'2500'!A356,'Daftar Koreksi'!$G$5:$G$92,"Peralatan dan mesin",'Daftar Koreksi'!$I$5:$I$92,"&gt;0")</f>
        <v>0</v>
      </c>
      <c r="F369" s="25">
        <f>SUMIFS('Daftar Koreksi'!$I$5:$I$92,'Daftar Koreksi'!$D$5:$D$92,'2500'!A356,'Daftar Koreksi'!$G$5:$G$92,"Peralatan dan mesin",'Daftar Koreksi'!$I$5:$I$92,"&lt;0")-SUMIFS('Daftar Koreksi'!$I$5:$I$92,'Daftar Koreksi'!$D$5:$D$92,'2500'!A356,'Daftar Koreksi'!$G$5:$G$92,"Peralatan dan mesin",'Daftar Koreksi'!$I$5:$I$92,"&lt;0")-SUMIFS('Daftar Koreksi'!$I$5:$I$92,'Daftar Koreksi'!$D$5:$D$92,'2500'!A356,'Daftar Koreksi'!$G$5:$G$92,"Peralatan dan mesin",'Daftar Koreksi'!$I$5:$I$92,"&lt;0")</f>
        <v>0</v>
      </c>
      <c r="G369" s="17">
        <f t="shared" si="16"/>
        <v>-863638097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-349107747</v>
      </c>
      <c r="E370" s="25">
        <f>SUMIFS('Daftar Koreksi'!$I$5:$I$92,'Daftar Koreksi'!$D$5:$D$92,'2500'!A356,'Daftar Koreksi'!$G$5:$G$92,"Gedung dan Bangunan",'Daftar Koreksi'!$I$5:$I$92,"&gt;0")</f>
        <v>0</v>
      </c>
      <c r="F370" s="25">
        <f>SUMIFS('Daftar Koreksi'!$I$5:$I$92,'Daftar Koreksi'!$D$5:$D$92,'2500'!A356,'Daftar Koreksi'!$G$5:$G$92,"Gedung dan Bangunan",'Daftar Koreksi'!$I$5:$I$92,"&lt;0")-SUMIFS('Daftar Koreksi'!$I$5:$I$92,'Daftar Koreksi'!$D$5:$D$92,'2500'!A356,'Daftar Koreksi'!$G$5:$G$92,"Gedung dan Bangunan",'Daftar Koreksi'!$I$5:$I$92,"&lt;0")-SUMIFS('Daftar Koreksi'!$I$5:$I$92,'Daftar Koreksi'!$D$5:$D$92,'2500'!A356,'Daftar Koreksi'!$G$5:$G$92,"Gedung dan Bangunan",'Daftar Koreksi'!$I$5:$I$92,"&lt;0")</f>
        <v>0</v>
      </c>
      <c r="G370" s="17">
        <f t="shared" si="16"/>
        <v>-349107747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-3750000</v>
      </c>
      <c r="E371" s="25">
        <f>SUMIFS('Daftar Koreksi'!$I$5:$I$92,'Daftar Koreksi'!$D$5:$D$92,'2500'!A356,'Daftar Koreksi'!$G$5:$G$92,"Jalan Irigasi Jaringan",'Daftar Koreksi'!$I$5:$I$92,"&gt;0")</f>
        <v>0</v>
      </c>
      <c r="F371" s="25">
        <f>SUMIFS('Daftar Koreksi'!$I$5:$I$92,'Daftar Koreksi'!$D$5:$D$92,'2500'!A356,'Daftar Koreksi'!$G$5:$G$92,"Jalan Irigasi Jaringan",'Daftar Koreksi'!$I$5:$I$92,"&lt;0")-SUMIFS('Daftar Koreksi'!$I$5:$I$92,'Daftar Koreksi'!$D$5:$D$92,'2500'!A356,'Daftar Koreksi'!$G$5:$G$92,"Jalan Irigasi Jaringan",'Daftar Koreksi'!$I$5:$I$92,"&lt;0")-SUMIFS('Daftar Koreksi'!$I$5:$I$92,'Daftar Koreksi'!$D$5:$D$92,'2500'!A356,'Daftar Koreksi'!$G$5:$G$92,"Jalan Irigasi Jaringan",'Daftar Koreksi'!$I$5:$I$92,"&lt;0")</f>
        <v>0</v>
      </c>
      <c r="G371" s="17">
        <f t="shared" si="16"/>
        <v>-3750000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Koreksi'!$D$5:$D$92,'2500'!A356,'Daftar Koreksi'!$G$5:$G$92,"Aset Tetap Lainnya",'Daftar Koreksi'!$I$5:$I$92,"&gt;0")</f>
        <v>0</v>
      </c>
      <c r="F372" s="25">
        <f>SUMIFS('Daftar Koreksi'!$I$5:$I$92,'Daftar Koreksi'!$D$5:$D$92,'2500'!A356,'Daftar Koreksi'!$G$5:$G$92,"Aset Tetap Lainnya",'Daftar Koreksi'!$I$5:$I$92,"&lt;0")-SUMIFS('Daftar Koreksi'!$I$5:$I$92,'Daftar Koreksi'!$D$5:$D$92,'2500'!A356,'Daftar Koreksi'!$G$5:$G$92,"Aset Tetap Lainnya",'Daftar Koreksi'!$I$5:$I$92,"&lt;0")-SUMIFS('Daftar Koreksi'!$I$5:$I$92,'Daftar Koreksi'!$D$5:$D$92,'2500'!A356,'Daftar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-22383000</v>
      </c>
      <c r="E373" s="25">
        <f>SUMIFS('Daftar Koreksi'!$I$5:$I$92,'Daftar Koreksi'!$D$5:$D$92,'2500'!A356,'Daftar Koreksi'!$G$5:$G$92,"Aset Henti Guna",'Daftar Koreksi'!$I$5:$I$92,"&gt;0")</f>
        <v>0</v>
      </c>
      <c r="F373" s="25">
        <f>SUMIFS('Daftar Koreksi'!$I$5:$I$92,'Daftar Koreksi'!$D$5:$D$92,'2500'!A356,'Daftar Koreksi'!$G$5:$G$92,"Aset Henti Guna",'Daftar Koreksi'!$I$5:$I$92,"&lt;0")-SUMIFS('Daftar Koreksi'!$I$5:$I$92,'Daftar Koreksi'!$D$5:$D$92,'2500'!A356,'Daftar Koreksi'!$G$5:$G$92,"Aset Henti Guna",'Daftar Koreksi'!$I$5:$I$92,"&lt;0")-SUMIFS('Daftar Koreksi'!$I$5:$I$92,'Daftar Koreksi'!$D$5:$D$92,'2500'!A356,'Daftar Koreksi'!$G$5:$G$92,"Aset Henti Guna",'Daftar Koreksi'!$I$5:$I$92,"&lt;0")</f>
        <v>0</v>
      </c>
      <c r="G373" s="17">
        <f t="shared" si="16"/>
        <v>-22383000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-1238878844</v>
      </c>
      <c r="E374" s="19">
        <f>SUM(E369:E373)</f>
        <v>0</v>
      </c>
      <c r="F374" s="19">
        <f>SUM(F369:F373)</f>
        <v>0</v>
      </c>
      <c r="G374" s="19">
        <f t="shared" si="16"/>
        <v>-1238878844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15127097339</v>
      </c>
      <c r="E375" s="19">
        <f>E374+E368</f>
        <v>0</v>
      </c>
      <c r="F375" s="19">
        <f>F374+F368</f>
        <v>0</v>
      </c>
      <c r="G375" s="19">
        <f t="shared" si="16"/>
        <v>15127097339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005012500614780000KD</v>
      </c>
      <c r="B378" s="11" t="str">
        <f>P18</f>
        <v>PA. Paniai</v>
      </c>
      <c r="C378" s="12" t="str">
        <f>A378&amp;" "&amp;B378</f>
        <v>005012500614780000KD PA. Paniai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3724900</v>
      </c>
      <c r="E381" s="25">
        <f>SUMIFS('Daftar Koreksi'!$H$5:$H$92,'Daftar Koreksi'!$D$5:$D$92,'2500'!A378,'Daftar Koreksi'!$G$5:$G$92,"Persediaan",'Daftar Koreksi'!$H$5:$H$92,"&gt;0")</f>
        <v>0</v>
      </c>
      <c r="F381" s="25">
        <f>SUMIFS('Daftar Koreksi'!$H$5:$H$92,'Daftar Koreksi'!$D$5:$D$92,'2500'!A378,'Daftar Koreksi'!$G$5:$G$92,"Persediaan",'Daftar Koreksi'!$H$5:$H$92,"&lt;0")-SUMIFS('Daftar Koreksi'!$H$5:$H$92,'Daftar Koreksi'!$D$5:$D$92,'2500'!A378,'Daftar Koreksi'!$G$5:$G$92,"Persediaan",'Daftar Koreksi'!$H$5:$H$92,"&lt;0")-SUMIFS('Daftar Koreksi'!$H$5:$H$92,'Daftar Koreksi'!$D$5:$D$92,'2500'!A378,'Daftar Koreksi'!$G$5:$G$92,"Persediaan",'Daftar Koreksi'!$H$5:$H$92,"&lt;0")</f>
        <v>0</v>
      </c>
      <c r="G381" s="17">
        <f>D381+E381-F381</f>
        <v>3724900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1430000000</v>
      </c>
      <c r="E382" s="25">
        <f>SUMIFS('Daftar Koreksi'!$H$5:$H$92,'Daftar Koreksi'!$D$5:$D$92,'2500'!A378,'Daftar Koreksi'!$G$5:$G$92,"Tanah",'Daftar Koreksi'!$H$5:$H$92,"&gt;0")</f>
        <v>0</v>
      </c>
      <c r="F382" s="25">
        <f>SUMIFS('Daftar Koreksi'!$H$5:$H$92,'Daftar Koreksi'!$D$5:$D$92,'2500'!A378,'Daftar Koreksi'!$G$5:$G$92,"Tanah",'Daftar Koreksi'!$H$5:$H$92,"&lt;0")-SUMIFS('Daftar Koreksi'!$H$5:$H$92,'Daftar Koreksi'!$D$5:$D$92,'2500'!A378,'Daftar Koreksi'!$G$5:$G$92,"Tanah",'Daftar Koreksi'!$H$5:$H$92,"&lt;0")-SUMIFS('Daftar Koreksi'!$H$5:$H$92,'Daftar Koreksi'!$D$5:$D$92,'2500'!A378,'Daftar Koreksi'!$G$5:$G$92,"Tanah",'Daftar Koreksi'!$H$5:$H$92,"&lt;0")</f>
        <v>0</v>
      </c>
      <c r="G382" s="17">
        <f t="shared" ref="G382:G398" si="17">D382+E382-F382</f>
        <v>1430000000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856704375</v>
      </c>
      <c r="E383" s="25">
        <f>SUMIFS('Daftar Koreksi'!$H$5:$H$92,'Daftar Koreksi'!$D$5:$D$92,'2500'!A378,'Daftar Koreksi'!$G$5:$G$92,"Peralatan dan mesin",'Daftar Koreksi'!$H$5:$H$92,"&gt;0")</f>
        <v>0</v>
      </c>
      <c r="F383" s="25">
        <f>SUMIFS('Daftar Koreksi'!$H$5:$H$92,'Daftar Koreksi'!$D$5:$D$92,'2500'!A378,'Daftar Koreksi'!$G$5:$G$92,"Peralatan dan mesin",'Daftar Koreksi'!$H$5:$H$92,"&lt;0")-SUMIFS('Daftar Koreksi'!$H$5:$H$92,'Daftar Koreksi'!$D$5:$D$92,'2500'!A378,'Daftar Koreksi'!$G$5:$G$92,"Peralatan dan mesin",'Daftar Koreksi'!$H$5:$H$92,"&lt;0")-SUMIFS('Daftar Koreksi'!$H$5:$H$92,'Daftar Koreksi'!$D$5:$D$92,'2500'!A378,'Daftar Koreksi'!$G$5:$G$92,"Peralatan dan mesin",'Daftar Koreksi'!$H$5:$H$92,"&lt;0")</f>
        <v>0</v>
      </c>
      <c r="G383" s="17">
        <f t="shared" si="17"/>
        <v>856704375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0</v>
      </c>
      <c r="E384" s="25">
        <f>SUMIFS('Daftar Koreksi'!$H$5:$H$92,'Daftar Koreksi'!$D$5:$D$92,'2500'!A378,'Daftar Koreksi'!$G$5:$G$92,"Gedung dan Bangunan",'Daftar Koreksi'!$H$5:$H$92,"&gt;0")</f>
        <v>0</v>
      </c>
      <c r="F384" s="25">
        <f>SUMIFS('Daftar Koreksi'!$H$5:$H$92,'Daftar Koreksi'!$D$5:$D$92,'2500'!A378,'Daftar Koreksi'!$G$5:$G$92,"Gedung dan Bangunan",'Daftar Koreksi'!$H$5:$H$92,"&lt;0")-SUMIFS('Daftar Koreksi'!$H$5:$H$92,'Daftar Koreksi'!$D$5:$D$92,'2500'!A378,'Daftar Koreksi'!$G$5:$G$92,"Gedung dan Bangunan",'Daftar Koreksi'!$H$5:$H$92,"&lt;0")-SUMIFS('Daftar Koreksi'!$H$5:$H$92,'Daftar Koreksi'!$D$5:$D$92,'2500'!A378,'Daftar Koreksi'!$G$5:$G$92,"Gedung dan Bangunan",'Daftar Koreksi'!$H$5:$H$92,"&lt;0")</f>
        <v>0</v>
      </c>
      <c r="G384" s="17">
        <f t="shared" si="17"/>
        <v>0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Koreksi'!$D$5:$D$92,'2500'!A378,'Daftar Koreksi'!$G$5:$G$92,"Jalan Irigasi Jaringan",'Daftar Koreksi'!$H$5:$H$92,"&gt;0")</f>
        <v>0</v>
      </c>
      <c r="F385" s="25">
        <f>SUMIFS('Daftar Koreksi'!$H$5:$H$92,'Daftar Koreksi'!$D$5:$D$92,'2500'!A378,'Daftar Koreksi'!$G$5:$G$92,"Jalan Irigasi Jaringan",'Daftar Koreksi'!$H$5:$H$92,"&lt;0")-SUMIFS('Daftar Koreksi'!$H$5:$H$92,'Daftar Koreksi'!$D$5:$D$92,'2500'!A378,'Daftar Koreksi'!$G$5:$G$92,"Jalan Irigasi Jaringan",'Daftar Koreksi'!$H$5:$H$92,"&lt;0")-SUMIFS('Daftar Koreksi'!$H$5:$H$92,'Daftar Koreksi'!$D$5:$D$92,'2500'!A378,'Daftar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19347520</v>
      </c>
      <c r="E386" s="25">
        <f>SUMIFS('Daftar Koreksi'!$H$5:$H$92,'Daftar Koreksi'!$D$5:$D$92,'2500'!A378,'Daftar Koreksi'!$G$5:$G$92,"Aset Tetap Lainnya",'Daftar Koreksi'!$H$5:$H$92,"&gt;0")</f>
        <v>0</v>
      </c>
      <c r="F386" s="25">
        <f>SUMIFS('Daftar Koreksi'!$H$5:$H$92,'Daftar Koreksi'!$D$5:$D$92,'2500'!A378,'Daftar Koreksi'!$G$5:$G$92,"Aset Tetap Lainnya",'Daftar Koreksi'!$H$5:$H$92,"&lt;0")-SUMIFS('Daftar Koreksi'!$H$5:$H$92,'Daftar Koreksi'!$D$5:$D$92,'2500'!A378,'Daftar Koreksi'!$G$5:$G$92,"Aset Tetap Lainnya",'Daftar Koreksi'!$H$5:$H$92,"&lt;0")-SUMIFS('Daftar Koreksi'!$H$5:$H$92,'Daftar Koreksi'!$D$5:$D$92,'2500'!A378,'Daftar Koreksi'!$G$5:$G$92,"Aset Tetap Lainnya",'Daftar Koreksi'!$H$5:$H$92,"&lt;0")</f>
        <v>0</v>
      </c>
      <c r="G386" s="17">
        <f t="shared" si="17"/>
        <v>19347520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15172072404</v>
      </c>
      <c r="E387" s="25">
        <f>SUMIFS('Daftar Koreksi'!$H$5:$H$92,'Daftar Koreksi'!$D$5:$D$92,'2500'!A378,'Daftar Koreksi'!$G$5:$G$92,"Kontruksi Dalam Pengerjaan",'Daftar Koreksi'!$H$5:$H$92,"&gt;0")</f>
        <v>0</v>
      </c>
      <c r="F387" s="25">
        <f>SUMIFS('Daftar Koreksi'!$H$5:$H$92,'Daftar Koreksi'!$D$5:$D$92,'2500'!A378,'Daftar Koreksi'!$G$5:$G$92,"Kontruksi Dalam Pengerjaan",'Daftar Koreksi'!$H$5:$H$92,"&lt;0")-SUMIFS('Daftar Koreksi'!$H$5:$H$92,'Daftar Koreksi'!$D$5:$D$92,'2500'!A378,'Daftar Koreksi'!$G$5:$G$92,"Kontruksi Dalam Pengerjaan",'Daftar Koreksi'!$H$5:$H$92,"&lt;0")-SUMIFS('Daftar Koreksi'!$H$5:$H$92,'Daftar Koreksi'!$D$5:$D$92,'2500'!A378,'Daftar Koreksi'!$G$5:$G$92,"Kontruksi Dalam Pengerjaan",'Daftar Koreksi'!$H$5:$H$92,"&lt;0")</f>
        <v>0</v>
      </c>
      <c r="G387" s="17">
        <f t="shared" si="17"/>
        <v>15172072404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0</v>
      </c>
      <c r="E388" s="25">
        <f>SUMIFS('Daftar Koreksi'!$H$5:$H$92,'Daftar Koreksi'!$D$5:$D$92,'2500'!A378,'Daftar Koreksi'!$G$5:$G$92,"Aset Tak Berwujud",'Daftar Koreksi'!$H$5:$H$92,"&gt;0")</f>
        <v>0</v>
      </c>
      <c r="F388" s="25">
        <f>SUMIFS('Daftar Koreksi'!$H$5:$H$92,'Daftar Koreksi'!$D$5:$D$92,'2500'!A378,'Daftar Koreksi'!$G$5:$G$92,"Aset Tak Berwujud",'Daftar Koreksi'!$H$5:$H$92,"&lt;0")-SUMIFS('Daftar Koreksi'!$H$5:$H$92,'Daftar Koreksi'!$D$5:$D$92,'2500'!A378,'Daftar Koreksi'!$G$5:$G$92,"Aset Tak Berwujud",'Daftar Koreksi'!$H$5:$H$92,"&lt;0")-SUMIFS('Daftar Koreksi'!$H$5:$H$92,'Daftar Koreksi'!$D$5:$D$92,'2500'!A378,'Daftar Koreksi'!$G$5:$G$92,"Aset Tak Berwujud",'Daftar Koreksi'!$H$5:$H$92,"&lt;0")</f>
        <v>0</v>
      </c>
      <c r="G388" s="17">
        <f t="shared" si="17"/>
        <v>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178592134</v>
      </c>
      <c r="E389" s="25">
        <f>SUMIFS('Daftar Koreksi'!$H$5:$H$92,'Daftar Koreksi'!$D$5:$D$92,'2500'!A378,'Daftar Koreksi'!$G$5:$G$92,"Aset Henti Guna",'Daftar Koreksi'!$H$5:$H$92,"&gt;0")</f>
        <v>0</v>
      </c>
      <c r="F389" s="25">
        <f>SUMIFS('Daftar Koreksi'!$H$5:$H$92,'Daftar Koreksi'!$D$5:$D$92,'2500'!A378,'Daftar Koreksi'!$G$5:$G$92,"Aset Henti Guna",'Daftar Koreksi'!$H$5:$H$92,"&lt;0")-SUMIFS('Daftar Koreksi'!$H$5:$H$92,'Daftar Koreksi'!$D$5:$D$92,'2500'!A378,'Daftar Koreksi'!$G$5:$G$92,"Aset Henti Guna",'Daftar Koreksi'!$H$5:$H$92,"&lt;0")-SUMIFS('Daftar Koreksi'!$H$5:$H$92,'Daftar Koreksi'!$D$5:$D$92,'2500'!A378,'Daftar Koreksi'!$G$5:$G$92,"Aset Henti Guna",'Daftar Koreksi'!$H$5:$H$92,"&lt;0")</f>
        <v>0</v>
      </c>
      <c r="G389" s="17">
        <f t="shared" si="17"/>
        <v>178592134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17660441333</v>
      </c>
      <c r="E390" s="19">
        <f>SUM(E381:E389)</f>
        <v>0</v>
      </c>
      <c r="F390" s="19">
        <f>SUM(F381:F389)</f>
        <v>0</v>
      </c>
      <c r="G390" s="19">
        <f t="shared" si="17"/>
        <v>17660441333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-789292364</v>
      </c>
      <c r="E391" s="25">
        <f>SUMIFS('Daftar Koreksi'!$I$5:$I$92,'Daftar Koreksi'!$D$5:$D$92,'2500'!A378,'Daftar Koreksi'!$G$5:$G$92,"Peralatan dan mesin",'Daftar Koreksi'!$I$5:$I$92,"&gt;0")</f>
        <v>0</v>
      </c>
      <c r="F391" s="25">
        <f>SUMIFS('Daftar Koreksi'!$I$5:$I$92,'Daftar Koreksi'!$D$5:$D$92,'2500'!A378,'Daftar Koreksi'!$G$5:$G$92,"Peralatan dan mesin",'Daftar Koreksi'!$I$5:$I$92,"&lt;0")-SUMIFS('Daftar Koreksi'!$I$5:$I$92,'Daftar Koreksi'!$D$5:$D$92,'2500'!A378,'Daftar Koreksi'!$G$5:$G$92,"Peralatan dan mesin",'Daftar Koreksi'!$I$5:$I$92,"&lt;0")-SUMIFS('Daftar Koreksi'!$I$5:$I$92,'Daftar Koreksi'!$D$5:$D$92,'2500'!A378,'Daftar Koreksi'!$G$5:$G$92,"Peralatan dan mesin",'Daftar Koreksi'!$I$5:$I$92,"&lt;0")</f>
        <v>0</v>
      </c>
      <c r="G391" s="17">
        <f t="shared" si="17"/>
        <v>-789292364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0</v>
      </c>
      <c r="E392" s="25">
        <f>SUMIFS('Daftar Koreksi'!$I$5:$I$92,'Daftar Koreksi'!$D$5:$D$92,'2500'!A378,'Daftar Koreksi'!$G$5:$G$92,"Gedung dan Bangunan",'Daftar Koreksi'!$I$5:$I$92,"&gt;0")</f>
        <v>0</v>
      </c>
      <c r="F392" s="25">
        <f>SUMIFS('Daftar Koreksi'!$I$5:$I$92,'Daftar Koreksi'!$D$5:$D$92,'2500'!A378,'Daftar Koreksi'!$G$5:$G$92,"Gedung dan Bangunan",'Daftar Koreksi'!$I$5:$I$92,"&lt;0")-SUMIFS('Daftar Koreksi'!$I$5:$I$92,'Daftar Koreksi'!$D$5:$D$92,'2500'!A378,'Daftar Koreksi'!$G$5:$G$92,"Gedung dan Bangunan",'Daftar Koreksi'!$I$5:$I$92,"&lt;0")-SUMIFS('Daftar Koreksi'!$I$5:$I$92,'Daftar Koreksi'!$D$5:$D$92,'2500'!A378,'Daftar Koreksi'!$G$5:$G$92,"Gedung dan Bangunan",'Daftar Koreksi'!$I$5:$I$92,"&lt;0")</f>
        <v>0</v>
      </c>
      <c r="G392" s="17">
        <f t="shared" si="17"/>
        <v>0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Koreksi'!$D$5:$D$92,'2500'!A378,'Daftar Koreksi'!$G$5:$G$92,"Jalan Irigasi Jaringan",'Daftar Koreksi'!$I$5:$I$92,"&gt;0")</f>
        <v>0</v>
      </c>
      <c r="F393" s="25">
        <f>SUMIFS('Daftar Koreksi'!$I$5:$I$92,'Daftar Koreksi'!$D$5:$D$92,'2500'!A378,'Daftar Koreksi'!$G$5:$G$92,"Jalan Irigasi Jaringan",'Daftar Koreksi'!$I$5:$I$92,"&lt;0")-SUMIFS('Daftar Koreksi'!$I$5:$I$92,'Daftar Koreksi'!$D$5:$D$92,'2500'!A378,'Daftar Koreksi'!$G$5:$G$92,"Jalan Irigasi Jaringan",'Daftar Koreksi'!$I$5:$I$92,"&lt;0")-SUMIFS('Daftar Koreksi'!$I$5:$I$92,'Daftar Koreksi'!$D$5:$D$92,'2500'!A378,'Daftar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Koreksi'!$D$5:$D$92,'2500'!A378,'Daftar Koreksi'!$G$5:$G$92,"Aset Tetap Lainnya",'Daftar Koreksi'!$I$5:$I$92,"&gt;0")</f>
        <v>0</v>
      </c>
      <c r="F394" s="25">
        <f>SUMIFS('Daftar Koreksi'!$I$5:$I$92,'Daftar Koreksi'!$D$5:$D$92,'2500'!A378,'Daftar Koreksi'!$G$5:$G$92,"Aset Tetap Lainnya",'Daftar Koreksi'!$I$5:$I$92,"&lt;0")-SUMIFS('Daftar Koreksi'!$I$5:$I$92,'Daftar Koreksi'!$D$5:$D$92,'2500'!A378,'Daftar Koreksi'!$G$5:$G$92,"Aset Tetap Lainnya",'Daftar Koreksi'!$I$5:$I$92,"&lt;0")-SUMIFS('Daftar Koreksi'!$I$5:$I$92,'Daftar Koreksi'!$D$5:$D$92,'2500'!A378,'Daftar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-178592134</v>
      </c>
      <c r="E395" s="25">
        <f>SUMIFS('Daftar Koreksi'!$I$5:$I$92,'Daftar Koreksi'!$D$5:$D$92,'2500'!A378,'Daftar Koreksi'!$G$5:$G$92,"Aset Henti Guna",'Daftar Koreksi'!$I$5:$I$92,"&gt;0")</f>
        <v>0</v>
      </c>
      <c r="F395" s="25">
        <f>SUMIFS('Daftar Koreksi'!$I$5:$I$92,'Daftar Koreksi'!$D$5:$D$92,'2500'!A378,'Daftar Koreksi'!$G$5:$G$92,"Aset Henti Guna",'Daftar Koreksi'!$I$5:$I$92,"&lt;0")-SUMIFS('Daftar Koreksi'!$I$5:$I$92,'Daftar Koreksi'!$D$5:$D$92,'2500'!A378,'Daftar Koreksi'!$G$5:$G$92,"Aset Henti Guna",'Daftar Koreksi'!$I$5:$I$92,"&lt;0")-SUMIFS('Daftar Koreksi'!$I$5:$I$92,'Daftar Koreksi'!$D$5:$D$92,'2500'!A378,'Daftar Koreksi'!$G$5:$G$92,"Aset Henti Guna",'Daftar Koreksi'!$I$5:$I$92,"&lt;0")</f>
        <v>0</v>
      </c>
      <c r="G395" s="17">
        <f t="shared" si="17"/>
        <v>-178592134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-967884498</v>
      </c>
      <c r="E396" s="19">
        <f>SUM(E391:E395)</f>
        <v>0</v>
      </c>
      <c r="F396" s="19">
        <f>SUM(F391:F395)</f>
        <v>0</v>
      </c>
      <c r="G396" s="19">
        <f t="shared" si="17"/>
        <v>-967884498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16692556835</v>
      </c>
      <c r="E397" s="19">
        <f>E396+E390</f>
        <v>0</v>
      </c>
      <c r="F397" s="19">
        <f>F396+F390</f>
        <v>0</v>
      </c>
      <c r="G397" s="19">
        <f t="shared" si="17"/>
        <v>16692556835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005012500614890000KD</v>
      </c>
      <c r="B400" s="11" t="str">
        <f>P19</f>
        <v>PN. Timika</v>
      </c>
      <c r="C400" s="12" t="str">
        <f>A400&amp;" "&amp;B400</f>
        <v>005012500614890000KD PN. Timika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6862500</v>
      </c>
      <c r="E403" s="25">
        <f>SUMIFS('Daftar Koreksi'!$H$5:$H$92,'Daftar Koreksi'!$D$5:$D$92,'2500'!A400,'Daftar Koreksi'!$G$5:$G$92,"Persediaan",'Daftar Koreksi'!$H$5:$H$92,"&gt;0")</f>
        <v>0</v>
      </c>
      <c r="F403" s="25">
        <f>SUMIFS('Daftar Koreksi'!$H$5:$H$92,'Daftar Koreksi'!$D$5:$D$92,'2500'!A400,'Daftar Koreksi'!$G$5:$G$92,"Persediaan",'Daftar Koreksi'!$H$5:$H$92,"&lt;0")-SUMIFS('Daftar Koreksi'!$H$5:$H$92,'Daftar Koreksi'!$D$5:$D$92,'2500'!A400,'Daftar Koreksi'!$G$5:$G$92,"Persediaan",'Daftar Koreksi'!$H$5:$H$92,"&lt;0")-SUMIFS('Daftar Koreksi'!$H$5:$H$92,'Daftar Koreksi'!$D$5:$D$92,'2500'!A400,'Daftar Koreksi'!$G$5:$G$92,"Persediaan",'Daftar Koreksi'!$H$5:$H$92,"&lt;0")</f>
        <v>0</v>
      </c>
      <c r="G403" s="17">
        <f>D403+E403-F403</f>
        <v>6862500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1107000000</v>
      </c>
      <c r="E404" s="25">
        <f>SUMIFS('Daftar Koreksi'!$H$5:$H$92,'Daftar Koreksi'!$D$5:$D$92,'2500'!A400,'Daftar Koreksi'!$G$5:$G$92,"Tanah",'Daftar Koreksi'!$H$5:$H$92,"&gt;0")</f>
        <v>0</v>
      </c>
      <c r="F404" s="25">
        <f>SUMIFS('Daftar Koreksi'!$H$5:$H$92,'Daftar Koreksi'!$D$5:$D$92,'2500'!A400,'Daftar Koreksi'!$G$5:$G$92,"Tanah",'Daftar Koreksi'!$H$5:$H$92,"&lt;0")-SUMIFS('Daftar Koreksi'!$H$5:$H$92,'Daftar Koreksi'!$D$5:$D$92,'2500'!A400,'Daftar Koreksi'!$G$5:$G$92,"Tanah",'Daftar Koreksi'!$H$5:$H$92,"&lt;0")-SUMIFS('Daftar Koreksi'!$H$5:$H$92,'Daftar Koreksi'!$D$5:$D$92,'2500'!A400,'Daftar Koreksi'!$G$5:$G$92,"Tanah",'Daftar Koreksi'!$H$5:$H$92,"&lt;0")</f>
        <v>0</v>
      </c>
      <c r="G404" s="17">
        <f t="shared" ref="G404:G420" si="18">D404+E404-F404</f>
        <v>1107000000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1696030863</v>
      </c>
      <c r="E405" s="25">
        <f>SUMIFS('Daftar Koreksi'!$H$5:$H$92,'Daftar Koreksi'!$D$5:$D$92,'2500'!A400,'Daftar Koreksi'!$G$5:$G$92,"Peralatan dan mesin",'Daftar Koreksi'!$H$5:$H$92,"&gt;0")</f>
        <v>0</v>
      </c>
      <c r="F405" s="25">
        <f>SUMIFS('Daftar Koreksi'!$H$5:$H$92,'Daftar Koreksi'!$D$5:$D$92,'2500'!A400,'Daftar Koreksi'!$G$5:$G$92,"Peralatan dan mesin",'Daftar Koreksi'!$H$5:$H$92,"&lt;0")-SUMIFS('Daftar Koreksi'!$H$5:$H$92,'Daftar Koreksi'!$D$5:$D$92,'2500'!A400,'Daftar Koreksi'!$G$5:$G$92,"Peralatan dan mesin",'Daftar Koreksi'!$H$5:$H$92,"&lt;0")-SUMIFS('Daftar Koreksi'!$H$5:$H$92,'Daftar Koreksi'!$D$5:$D$92,'2500'!A400,'Daftar Koreksi'!$G$5:$G$92,"Peralatan dan mesin",'Daftar Koreksi'!$H$5:$H$92,"&lt;0")</f>
        <v>0</v>
      </c>
      <c r="G405" s="17">
        <f t="shared" si="18"/>
        <v>1696030863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13825518500</v>
      </c>
      <c r="E406" s="25">
        <f>SUMIFS('Daftar Koreksi'!$H$5:$H$92,'Daftar Koreksi'!$D$5:$D$92,'2500'!A400,'Daftar Koreksi'!$G$5:$G$92,"Gedung dan Bangunan",'Daftar Koreksi'!$H$5:$H$92,"&gt;0")</f>
        <v>0</v>
      </c>
      <c r="F406" s="25">
        <f>SUMIFS('Daftar Koreksi'!$H$5:$H$92,'Daftar Koreksi'!$D$5:$D$92,'2500'!A400,'Daftar Koreksi'!$G$5:$G$92,"Gedung dan Bangunan",'Daftar Koreksi'!$H$5:$H$92,"&lt;0")-SUMIFS('Daftar Koreksi'!$H$5:$H$92,'Daftar Koreksi'!$D$5:$D$92,'2500'!A400,'Daftar Koreksi'!$G$5:$G$92,"Gedung dan Bangunan",'Daftar Koreksi'!$H$5:$H$92,"&lt;0")-SUMIFS('Daftar Koreksi'!$H$5:$H$92,'Daftar Koreksi'!$D$5:$D$92,'2500'!A400,'Daftar Koreksi'!$G$5:$G$92,"Gedung dan Bangunan",'Daftar Koreksi'!$H$5:$H$92,"&lt;0")</f>
        <v>0</v>
      </c>
      <c r="G406" s="17">
        <f t="shared" si="18"/>
        <v>13825518500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0</v>
      </c>
      <c r="E407" s="25">
        <f>SUMIFS('Daftar Koreksi'!$H$5:$H$92,'Daftar Koreksi'!$D$5:$D$92,'2500'!A400,'Daftar Koreksi'!$G$5:$G$92,"Jalan Irigasi Jaringan",'Daftar Koreksi'!$H$5:$H$92,"&gt;0")</f>
        <v>0</v>
      </c>
      <c r="F407" s="25">
        <f>SUMIFS('Daftar Koreksi'!$H$5:$H$92,'Daftar Koreksi'!$D$5:$D$92,'2500'!A400,'Daftar Koreksi'!$G$5:$G$92,"Jalan Irigasi Jaringan",'Daftar Koreksi'!$H$5:$H$92,"&lt;0")-SUMIFS('Daftar Koreksi'!$H$5:$H$92,'Daftar Koreksi'!$D$5:$D$92,'2500'!A400,'Daftar Koreksi'!$G$5:$G$92,"Jalan Irigasi Jaringan",'Daftar Koreksi'!$H$5:$H$92,"&lt;0")-SUMIFS('Daftar Koreksi'!$H$5:$H$92,'Daftar Koreksi'!$D$5:$D$92,'2500'!A400,'Daftar Koreksi'!$G$5:$G$92,"Jalan Irigasi Jaringan",'Daftar Koreksi'!$H$5:$H$92,"&lt;0")</f>
        <v>0</v>
      </c>
      <c r="G407" s="17">
        <f t="shared" si="18"/>
        <v>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1943440</v>
      </c>
      <c r="E408" s="25">
        <f>SUMIFS('Daftar Koreksi'!$H$5:$H$92,'Daftar Koreksi'!$D$5:$D$92,'2500'!A400,'Daftar Koreksi'!$G$5:$G$92,"Aset Tetap Lainnya",'Daftar Koreksi'!$H$5:$H$92,"&gt;0")</f>
        <v>0</v>
      </c>
      <c r="F408" s="25">
        <f>SUMIFS('Daftar Koreksi'!$H$5:$H$92,'Daftar Koreksi'!$D$5:$D$92,'2500'!A400,'Daftar Koreksi'!$G$5:$G$92,"Aset Tetap Lainnya",'Daftar Koreksi'!$H$5:$H$92,"&lt;0")-SUMIFS('Daftar Koreksi'!$H$5:$H$92,'Daftar Koreksi'!$D$5:$D$92,'2500'!A400,'Daftar Koreksi'!$G$5:$G$92,"Aset Tetap Lainnya",'Daftar Koreksi'!$H$5:$H$92,"&lt;0")-SUMIFS('Daftar Koreksi'!$H$5:$H$92,'Daftar Koreksi'!$D$5:$D$92,'2500'!A400,'Daftar Koreksi'!$G$5:$G$92,"Aset Tetap Lainnya",'Daftar Koreksi'!$H$5:$H$92,"&lt;0")</f>
        <v>0</v>
      </c>
      <c r="G408" s="17">
        <f t="shared" si="18"/>
        <v>1943440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5045144100</v>
      </c>
      <c r="E409" s="25">
        <f>SUMIFS('Daftar Koreksi'!$H$5:$H$92,'Daftar Koreksi'!$D$5:$D$92,'2500'!A400,'Daftar Koreksi'!$G$5:$G$92,"Kontruksi Dalam Pengerjaan",'Daftar Koreksi'!$H$5:$H$92,"&gt;0")</f>
        <v>0</v>
      </c>
      <c r="F409" s="25">
        <f>SUMIFS('Daftar Koreksi'!$H$5:$H$92,'Daftar Koreksi'!$D$5:$D$92,'2500'!A400,'Daftar Koreksi'!$G$5:$G$92,"Kontruksi Dalam Pengerjaan",'Daftar Koreksi'!$H$5:$H$92,"&lt;0")-SUMIFS('Daftar Koreksi'!$H$5:$H$92,'Daftar Koreksi'!$D$5:$D$92,'2500'!A400,'Daftar Koreksi'!$G$5:$G$92,"Kontruksi Dalam Pengerjaan",'Daftar Koreksi'!$H$5:$H$92,"&lt;0")-SUMIFS('Daftar Koreksi'!$H$5:$H$92,'Daftar Koreksi'!$D$5:$D$92,'2500'!A400,'Daftar Koreksi'!$G$5:$G$92,"Kontruksi Dalam Pengerjaan",'Daftar Koreksi'!$H$5:$H$92,"&lt;0")</f>
        <v>0</v>
      </c>
      <c r="G409" s="17">
        <f t="shared" si="18"/>
        <v>5045144100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Koreksi'!$D$5:$D$92,'2500'!A400,'Daftar Koreksi'!$G$5:$G$92,"Aset Tak Berwujud",'Daftar Koreksi'!$H$5:$H$92,"&gt;0")</f>
        <v>0</v>
      </c>
      <c r="F410" s="25">
        <f>SUMIFS('Daftar Koreksi'!$H$5:$H$92,'Daftar Koreksi'!$D$5:$D$92,'2500'!A400,'Daftar Koreksi'!$G$5:$G$92,"Aset Tak Berwujud",'Daftar Koreksi'!$H$5:$H$92,"&lt;0")-SUMIFS('Daftar Koreksi'!$H$5:$H$92,'Daftar Koreksi'!$D$5:$D$92,'2500'!A400,'Daftar Koreksi'!$G$5:$G$92,"Aset Tak Berwujud",'Daftar Koreksi'!$H$5:$H$92,"&lt;0")-SUMIFS('Daftar Koreksi'!$H$5:$H$92,'Daftar Koreksi'!$D$5:$D$92,'2500'!A400,'Daftar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0</v>
      </c>
      <c r="E411" s="25">
        <f>SUMIFS('Daftar Koreksi'!$H$5:$H$92,'Daftar Koreksi'!$D$5:$D$92,'2500'!A400,'Daftar Koreksi'!$G$5:$G$92,"Aset Henti Guna",'Daftar Koreksi'!$H$5:$H$92,"&gt;0")</f>
        <v>0</v>
      </c>
      <c r="F411" s="25">
        <f>SUMIFS('Daftar Koreksi'!$H$5:$H$92,'Daftar Koreksi'!$D$5:$D$92,'2500'!A400,'Daftar Koreksi'!$G$5:$G$92,"Aset Henti Guna",'Daftar Koreksi'!$H$5:$H$92,"&lt;0")-SUMIFS('Daftar Koreksi'!$H$5:$H$92,'Daftar Koreksi'!$D$5:$D$92,'2500'!A400,'Daftar Koreksi'!$G$5:$G$92,"Aset Henti Guna",'Daftar Koreksi'!$H$5:$H$92,"&lt;0")-SUMIFS('Daftar Koreksi'!$H$5:$H$92,'Daftar Koreksi'!$D$5:$D$92,'2500'!A400,'Daftar Koreksi'!$G$5:$G$92,"Aset Henti Guna",'Daftar Koreksi'!$H$5:$H$92,"&lt;0")</f>
        <v>0</v>
      </c>
      <c r="G411" s="17">
        <f t="shared" si="18"/>
        <v>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21682499403</v>
      </c>
      <c r="E412" s="19">
        <f>SUM(E403:E411)</f>
        <v>0</v>
      </c>
      <c r="F412" s="19">
        <f>SUM(F403:F411)</f>
        <v>0</v>
      </c>
      <c r="G412" s="19">
        <f t="shared" si="18"/>
        <v>21682499403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-1370240585</v>
      </c>
      <c r="E413" s="25">
        <f>SUMIFS('Daftar Koreksi'!$I$5:$I$92,'Daftar Koreksi'!$D$5:$D$92,'2500'!A400,'Daftar Koreksi'!$G$5:$G$92,"Peralatan dan mesin",'Daftar Koreksi'!$I$5:$I$92,"&gt;0")</f>
        <v>0</v>
      </c>
      <c r="F413" s="25">
        <f>SUMIFS('Daftar Koreksi'!$I$5:$I$92,'Daftar Koreksi'!$D$5:$D$92,'2500'!A400,'Daftar Koreksi'!$G$5:$G$92,"Peralatan dan mesin",'Daftar Koreksi'!$I$5:$I$92,"&lt;0")-SUMIFS('Daftar Koreksi'!$I$5:$I$92,'Daftar Koreksi'!$D$5:$D$92,'2500'!A400,'Daftar Koreksi'!$G$5:$G$92,"Peralatan dan mesin",'Daftar Koreksi'!$I$5:$I$92,"&lt;0")-SUMIFS('Daftar Koreksi'!$I$5:$I$92,'Daftar Koreksi'!$D$5:$D$92,'2500'!A400,'Daftar Koreksi'!$G$5:$G$92,"Peralatan dan mesin",'Daftar Koreksi'!$I$5:$I$92,"&lt;0")</f>
        <v>0</v>
      </c>
      <c r="G413" s="17">
        <f t="shared" si="18"/>
        <v>-1370240585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-3529101115</v>
      </c>
      <c r="E414" s="25">
        <f>SUMIFS('Daftar Koreksi'!$I$5:$I$92,'Daftar Koreksi'!$D$5:$D$92,'2500'!A400,'Daftar Koreksi'!$G$5:$G$92,"Gedung dan Bangunan",'Daftar Koreksi'!$I$5:$I$92,"&gt;0")</f>
        <v>0</v>
      </c>
      <c r="F414" s="25">
        <f>SUMIFS('Daftar Koreksi'!$I$5:$I$92,'Daftar Koreksi'!$D$5:$D$92,'2500'!A400,'Daftar Koreksi'!$G$5:$G$92,"Gedung dan Bangunan",'Daftar Koreksi'!$I$5:$I$92,"&lt;0")-SUMIFS('Daftar Koreksi'!$I$5:$I$92,'Daftar Koreksi'!$D$5:$D$92,'2500'!A400,'Daftar Koreksi'!$G$5:$G$92,"Gedung dan Bangunan",'Daftar Koreksi'!$I$5:$I$92,"&lt;0")-SUMIFS('Daftar Koreksi'!$I$5:$I$92,'Daftar Koreksi'!$D$5:$D$92,'2500'!A400,'Daftar Koreksi'!$G$5:$G$92,"Gedung dan Bangunan",'Daftar Koreksi'!$I$5:$I$92,"&lt;0")</f>
        <v>0</v>
      </c>
      <c r="G414" s="17">
        <f t="shared" si="18"/>
        <v>-3529101115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0</v>
      </c>
      <c r="E415" s="25">
        <f>SUMIFS('Daftar Koreksi'!$I$5:$I$92,'Daftar Koreksi'!$D$5:$D$92,'2500'!A400,'Daftar Koreksi'!$G$5:$G$92,"Jalan Irigasi Jaringan",'Daftar Koreksi'!$I$5:$I$92,"&gt;0")</f>
        <v>0</v>
      </c>
      <c r="F415" s="25">
        <f>SUMIFS('Daftar Koreksi'!$I$5:$I$92,'Daftar Koreksi'!$D$5:$D$92,'2500'!A400,'Daftar Koreksi'!$G$5:$G$92,"Jalan Irigasi Jaringan",'Daftar Koreksi'!$I$5:$I$92,"&lt;0")-SUMIFS('Daftar Koreksi'!$I$5:$I$92,'Daftar Koreksi'!$D$5:$D$92,'2500'!A400,'Daftar Koreksi'!$G$5:$G$92,"Jalan Irigasi Jaringan",'Daftar Koreksi'!$I$5:$I$92,"&lt;0")-SUMIFS('Daftar Koreksi'!$I$5:$I$92,'Daftar Koreksi'!$D$5:$D$92,'2500'!A400,'Daftar Koreksi'!$G$5:$G$92,"Jalan Irigasi Jaringan",'Daftar Koreksi'!$I$5:$I$92,"&lt;0")</f>
        <v>0</v>
      </c>
      <c r="G415" s="17">
        <f t="shared" si="18"/>
        <v>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Koreksi'!$D$5:$D$92,'2500'!A400,'Daftar Koreksi'!$G$5:$G$92,"Aset Tetap Lainnya",'Daftar Koreksi'!$I$5:$I$92,"&gt;0")</f>
        <v>0</v>
      </c>
      <c r="F416" s="25">
        <f>SUMIFS('Daftar Koreksi'!$I$5:$I$92,'Daftar Koreksi'!$D$5:$D$92,'2500'!A400,'Daftar Koreksi'!$G$5:$G$92,"Aset Tetap Lainnya",'Daftar Koreksi'!$I$5:$I$92,"&lt;0")-SUMIFS('Daftar Koreksi'!$I$5:$I$92,'Daftar Koreksi'!$D$5:$D$92,'2500'!A400,'Daftar Koreksi'!$G$5:$G$92,"Aset Tetap Lainnya",'Daftar Koreksi'!$I$5:$I$92,"&lt;0")-SUMIFS('Daftar Koreksi'!$I$5:$I$92,'Daftar Koreksi'!$D$5:$D$92,'2500'!A400,'Daftar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0</v>
      </c>
      <c r="E417" s="25">
        <f>SUMIFS('Daftar Koreksi'!$I$5:$I$92,'Daftar Koreksi'!$D$5:$D$92,'2500'!A400,'Daftar Koreksi'!$G$5:$G$92,"Aset Henti Guna",'Daftar Koreksi'!$I$5:$I$92,"&gt;0")</f>
        <v>0</v>
      </c>
      <c r="F417" s="25">
        <f>SUMIFS('Daftar Koreksi'!$I$5:$I$92,'Daftar Koreksi'!$D$5:$D$92,'2500'!A400,'Daftar Koreksi'!$G$5:$G$92,"Aset Henti Guna",'Daftar Koreksi'!$I$5:$I$92,"&lt;0")-SUMIFS('Daftar Koreksi'!$I$5:$I$92,'Daftar Koreksi'!$D$5:$D$92,'2500'!A400,'Daftar Koreksi'!$G$5:$G$92,"Aset Henti Guna",'Daftar Koreksi'!$I$5:$I$92,"&lt;0")-SUMIFS('Daftar Koreksi'!$I$5:$I$92,'Daftar Koreksi'!$D$5:$D$92,'2500'!A400,'Daftar Koreksi'!$G$5:$G$92,"Aset Henti Guna",'Daftar Koreksi'!$I$5:$I$92,"&lt;0")</f>
        <v>0</v>
      </c>
      <c r="G417" s="17">
        <f t="shared" si="18"/>
        <v>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-4899341700</v>
      </c>
      <c r="E418" s="19">
        <f>SUM(E413:E417)</f>
        <v>0</v>
      </c>
      <c r="F418" s="19">
        <f>SUM(F413:F417)</f>
        <v>0</v>
      </c>
      <c r="G418" s="19">
        <f t="shared" si="18"/>
        <v>-4899341700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16783157703</v>
      </c>
      <c r="E419" s="19">
        <f>E418+E412</f>
        <v>0</v>
      </c>
      <c r="F419" s="19">
        <f>F418+F412</f>
        <v>0</v>
      </c>
      <c r="G419" s="19">
        <f t="shared" si="18"/>
        <v>16783157703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005012500663381000KD</v>
      </c>
      <c r="B422" s="11" t="str">
        <f>P20</f>
        <v>Dilmil. III-19 di Jayapura</v>
      </c>
      <c r="C422" s="12" t="str">
        <f>A422&amp;" "&amp;B422</f>
        <v>005012500663381000KD Dilmil. III-19 di Jayapura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0</v>
      </c>
      <c r="E425" s="25">
        <f>SUMIFS('Daftar Koreksi'!$H$5:$H$92,'Daftar Koreksi'!$D$5:$D$92,'2500'!A422,'Daftar Koreksi'!$G$5:$G$92,"Persediaan",'Daftar Koreksi'!$H$5:$H$92,"&gt;0")</f>
        <v>0</v>
      </c>
      <c r="F425" s="25">
        <f>SUMIFS('Daftar Koreksi'!$H$5:$H$92,'Daftar Koreksi'!$D$5:$D$92,'2500'!A422,'Daftar Koreksi'!$G$5:$G$92,"Persediaan",'Daftar Koreksi'!$H$5:$H$92,"&lt;0")-SUMIFS('Daftar Koreksi'!$H$5:$H$92,'Daftar Koreksi'!$D$5:$D$92,'2500'!A422,'Daftar Koreksi'!$G$5:$G$92,"Persediaan",'Daftar Koreksi'!$H$5:$H$92,"&lt;0")-SUMIFS('Daftar Koreksi'!$H$5:$H$92,'Daftar Koreksi'!$D$5:$D$92,'2500'!A422,'Daftar Koreksi'!$G$5:$G$92,"Persediaan",'Daftar Koreksi'!$H$5:$H$92,"&lt;0")</f>
        <v>0</v>
      </c>
      <c r="G425" s="17">
        <f>D425+E425-F425</f>
        <v>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1299700000</v>
      </c>
      <c r="E426" s="25">
        <f>SUMIFS('Daftar Koreksi'!$H$5:$H$92,'Daftar Koreksi'!$D$5:$D$92,'2500'!A422,'Daftar Koreksi'!$G$5:$G$92,"Tanah",'Daftar Koreksi'!$H$5:$H$92,"&gt;0")</f>
        <v>0</v>
      </c>
      <c r="F426" s="25">
        <f>SUMIFS('Daftar Koreksi'!$H$5:$H$92,'Daftar Koreksi'!$D$5:$D$92,'2500'!A422,'Daftar Koreksi'!$G$5:$G$92,"Tanah",'Daftar Koreksi'!$H$5:$H$92,"&lt;0")-SUMIFS('Daftar Koreksi'!$H$5:$H$92,'Daftar Koreksi'!$D$5:$D$92,'2500'!A422,'Daftar Koreksi'!$G$5:$G$92,"Tanah",'Daftar Koreksi'!$H$5:$H$92,"&lt;0")-SUMIFS('Daftar Koreksi'!$H$5:$H$92,'Daftar Koreksi'!$D$5:$D$92,'2500'!A422,'Daftar Koreksi'!$G$5:$G$92,"Tanah",'Daftar Koreksi'!$H$5:$H$92,"&lt;0")</f>
        <v>0</v>
      </c>
      <c r="G426" s="17">
        <f t="shared" ref="G426:G442" si="19">D426+E426-F426</f>
        <v>1299700000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1813534218</v>
      </c>
      <c r="E427" s="25">
        <f>SUMIFS('Daftar Koreksi'!$H$5:$H$92,'Daftar Koreksi'!$D$5:$D$92,'2500'!A422,'Daftar Koreksi'!$G$5:$G$92,"Peralatan dan mesin",'Daftar Koreksi'!$H$5:$H$92,"&gt;0")</f>
        <v>0</v>
      </c>
      <c r="F427" s="25">
        <f>SUMIFS('Daftar Koreksi'!$H$5:$H$92,'Daftar Koreksi'!$D$5:$D$92,'2500'!A422,'Daftar Koreksi'!$G$5:$G$92,"Peralatan dan mesin",'Daftar Koreksi'!$H$5:$H$92,"&lt;0")-SUMIFS('Daftar Koreksi'!$H$5:$H$92,'Daftar Koreksi'!$D$5:$D$92,'2500'!A422,'Daftar Koreksi'!$G$5:$G$92,"Peralatan dan mesin",'Daftar Koreksi'!$H$5:$H$92,"&lt;0")-SUMIFS('Daftar Koreksi'!$H$5:$H$92,'Daftar Koreksi'!$D$5:$D$92,'2500'!A422,'Daftar Koreksi'!$G$5:$G$92,"Peralatan dan mesin",'Daftar Koreksi'!$H$5:$H$92,"&lt;0")</f>
        <v>0</v>
      </c>
      <c r="G427" s="17">
        <f t="shared" si="19"/>
        <v>1813534218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0</v>
      </c>
      <c r="E428" s="25">
        <f>SUMIFS('Daftar Koreksi'!$H$5:$H$92,'Daftar Koreksi'!$D$5:$D$92,'2500'!A422,'Daftar Koreksi'!$G$5:$G$92,"Gedung dan Bangunan",'Daftar Koreksi'!$H$5:$H$92,"&gt;0")</f>
        <v>0</v>
      </c>
      <c r="F428" s="25">
        <f>SUMIFS('Daftar Koreksi'!$H$5:$H$92,'Daftar Koreksi'!$D$5:$D$92,'2500'!A422,'Daftar Koreksi'!$G$5:$G$92,"Gedung dan Bangunan",'Daftar Koreksi'!$H$5:$H$92,"&lt;0")-SUMIFS('Daftar Koreksi'!$H$5:$H$92,'Daftar Koreksi'!$D$5:$D$92,'2500'!A422,'Daftar Koreksi'!$G$5:$G$92,"Gedung dan Bangunan",'Daftar Koreksi'!$H$5:$H$92,"&lt;0")-SUMIFS('Daftar Koreksi'!$H$5:$H$92,'Daftar Koreksi'!$D$5:$D$92,'2500'!A422,'Daftar Koreksi'!$G$5:$G$92,"Gedung dan Bangunan",'Daftar Koreksi'!$H$5:$H$92,"&lt;0")</f>
        <v>0</v>
      </c>
      <c r="G428" s="17">
        <f t="shared" si="19"/>
        <v>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Koreksi'!$D$5:$D$92,'2500'!A422,'Daftar Koreksi'!$G$5:$G$92,"Jalan Irigasi Jaringan",'Daftar Koreksi'!$H$5:$H$92,"&gt;0")</f>
        <v>0</v>
      </c>
      <c r="F429" s="25">
        <f>SUMIFS('Daftar Koreksi'!$H$5:$H$92,'Daftar Koreksi'!$D$5:$D$92,'2500'!A422,'Daftar Koreksi'!$G$5:$G$92,"Jalan Irigasi Jaringan",'Daftar Koreksi'!$H$5:$H$92,"&lt;0")-SUMIFS('Daftar Koreksi'!$H$5:$H$92,'Daftar Koreksi'!$D$5:$D$92,'2500'!A422,'Daftar Koreksi'!$G$5:$G$92,"Jalan Irigasi Jaringan",'Daftar Koreksi'!$H$5:$H$92,"&lt;0")-SUMIFS('Daftar Koreksi'!$H$5:$H$92,'Daftar Koreksi'!$D$5:$D$92,'2500'!A422,'Daftar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2828678</v>
      </c>
      <c r="E430" s="25">
        <f>SUMIFS('Daftar Koreksi'!$H$5:$H$92,'Daftar Koreksi'!$D$5:$D$92,'2500'!A422,'Daftar Koreksi'!$G$5:$G$92,"Aset Tetap Lainnya",'Daftar Koreksi'!$H$5:$H$92,"&gt;0")</f>
        <v>0</v>
      </c>
      <c r="F430" s="25">
        <f>SUMIFS('Daftar Koreksi'!$H$5:$H$92,'Daftar Koreksi'!$D$5:$D$92,'2500'!A422,'Daftar Koreksi'!$G$5:$G$92,"Aset Tetap Lainnya",'Daftar Koreksi'!$H$5:$H$92,"&lt;0")-SUMIFS('Daftar Koreksi'!$H$5:$H$92,'Daftar Koreksi'!$D$5:$D$92,'2500'!A422,'Daftar Koreksi'!$G$5:$G$92,"Aset Tetap Lainnya",'Daftar Koreksi'!$H$5:$H$92,"&lt;0")-SUMIFS('Daftar Koreksi'!$H$5:$H$92,'Daftar Koreksi'!$D$5:$D$92,'2500'!A422,'Daftar Koreksi'!$G$5:$G$92,"Aset Tetap Lainnya",'Daftar Koreksi'!$H$5:$H$92,"&lt;0")</f>
        <v>0</v>
      </c>
      <c r="G430" s="17">
        <f t="shared" si="19"/>
        <v>2828678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Koreksi'!$D$5:$D$92,'2500'!A422,'Daftar Koreksi'!$G$5:$G$92,"Kontruksi Dalam Pengerjaan",'Daftar Koreksi'!$H$5:$H$92,"&gt;0")</f>
        <v>0</v>
      </c>
      <c r="F431" s="25">
        <f>SUMIFS('Daftar Koreksi'!$H$5:$H$92,'Daftar Koreksi'!$D$5:$D$92,'2500'!A422,'Daftar Koreksi'!$G$5:$G$92,"Kontruksi Dalam Pengerjaan",'Daftar Koreksi'!$H$5:$H$92,"&lt;0")-SUMIFS('Daftar Koreksi'!$H$5:$H$92,'Daftar Koreksi'!$D$5:$D$92,'2500'!A422,'Daftar Koreksi'!$G$5:$G$92,"Kontruksi Dalam Pengerjaan",'Daftar Koreksi'!$H$5:$H$92,"&lt;0")-SUMIFS('Daftar Koreksi'!$H$5:$H$92,'Daftar Koreksi'!$D$5:$D$92,'2500'!A422,'Daftar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113750000</v>
      </c>
      <c r="E432" s="25">
        <f>SUMIFS('Daftar Koreksi'!$H$5:$H$92,'Daftar Koreksi'!$D$5:$D$92,'2500'!A422,'Daftar Koreksi'!$G$5:$G$92,"Aset Tak Berwujud",'Daftar Koreksi'!$H$5:$H$92,"&gt;0")</f>
        <v>0</v>
      </c>
      <c r="F432" s="25">
        <f>SUMIFS('Daftar Koreksi'!$H$5:$H$92,'Daftar Koreksi'!$D$5:$D$92,'2500'!A422,'Daftar Koreksi'!$G$5:$G$92,"Aset Tak Berwujud",'Daftar Koreksi'!$H$5:$H$92,"&lt;0")-SUMIFS('Daftar Koreksi'!$H$5:$H$92,'Daftar Koreksi'!$D$5:$D$92,'2500'!A422,'Daftar Koreksi'!$G$5:$G$92,"Aset Tak Berwujud",'Daftar Koreksi'!$H$5:$H$92,"&lt;0")-SUMIFS('Daftar Koreksi'!$H$5:$H$92,'Daftar Koreksi'!$D$5:$D$92,'2500'!A422,'Daftar Koreksi'!$G$5:$G$92,"Aset Tak Berwujud",'Daftar Koreksi'!$H$5:$H$92,"&lt;0")</f>
        <v>0</v>
      </c>
      <c r="G432" s="17">
        <f t="shared" si="19"/>
        <v>113750000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226752545</v>
      </c>
      <c r="E433" s="25">
        <f>SUMIFS('Daftar Koreksi'!$H$5:$H$92,'Daftar Koreksi'!$D$5:$D$92,'2500'!A422,'Daftar Koreksi'!$G$5:$G$92,"Aset Henti Guna",'Daftar Koreksi'!$H$5:$H$92,"&gt;0")</f>
        <v>0</v>
      </c>
      <c r="F433" s="25">
        <f>SUMIFS('Daftar Koreksi'!$H$5:$H$92,'Daftar Koreksi'!$D$5:$D$92,'2500'!A422,'Daftar Koreksi'!$G$5:$G$92,"Aset Henti Guna",'Daftar Koreksi'!$H$5:$H$92,"&lt;0")-SUMIFS('Daftar Koreksi'!$H$5:$H$92,'Daftar Koreksi'!$D$5:$D$92,'2500'!A422,'Daftar Koreksi'!$G$5:$G$92,"Aset Henti Guna",'Daftar Koreksi'!$H$5:$H$92,"&lt;0")-SUMIFS('Daftar Koreksi'!$H$5:$H$92,'Daftar Koreksi'!$D$5:$D$92,'2500'!A422,'Daftar Koreksi'!$G$5:$G$92,"Aset Henti Guna",'Daftar Koreksi'!$H$5:$H$92,"&lt;0")</f>
        <v>0</v>
      </c>
      <c r="G433" s="17">
        <f t="shared" si="19"/>
        <v>226752545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3456565441</v>
      </c>
      <c r="E434" s="19">
        <f>SUM(E425:E433)</f>
        <v>0</v>
      </c>
      <c r="F434" s="19">
        <f>SUM(F425:F433)</f>
        <v>0</v>
      </c>
      <c r="G434" s="19">
        <f t="shared" si="19"/>
        <v>3456565441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-1479285809</v>
      </c>
      <c r="E435" s="25">
        <f>SUMIFS('Daftar Koreksi'!$I$5:$I$92,'Daftar Koreksi'!$D$5:$D$92,'2500'!A422,'Daftar Koreksi'!$G$5:$G$92,"Peralatan dan mesin",'Daftar Koreksi'!$I$5:$I$92,"&gt;0")</f>
        <v>0</v>
      </c>
      <c r="F435" s="25">
        <f>SUMIFS('Daftar Koreksi'!$I$5:$I$92,'Daftar Koreksi'!$D$5:$D$92,'2500'!A422,'Daftar Koreksi'!$G$5:$G$92,"Peralatan dan mesin",'Daftar Koreksi'!$I$5:$I$92,"&lt;0")-SUMIFS('Daftar Koreksi'!$I$5:$I$92,'Daftar Koreksi'!$D$5:$D$92,'2500'!A422,'Daftar Koreksi'!$G$5:$G$92,"Peralatan dan mesin",'Daftar Koreksi'!$I$5:$I$92,"&lt;0")-SUMIFS('Daftar Koreksi'!$I$5:$I$92,'Daftar Koreksi'!$D$5:$D$92,'2500'!A422,'Daftar Koreksi'!$G$5:$G$92,"Peralatan dan mesin",'Daftar Koreksi'!$I$5:$I$92,"&lt;0")</f>
        <v>0</v>
      </c>
      <c r="G435" s="17">
        <f t="shared" si="19"/>
        <v>-1479285809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0</v>
      </c>
      <c r="E436" s="25">
        <f>SUMIFS('Daftar Koreksi'!$I$5:$I$92,'Daftar Koreksi'!$D$5:$D$92,'2500'!A422,'Daftar Koreksi'!$G$5:$G$92,"Gedung dan Bangunan",'Daftar Koreksi'!$I$5:$I$92,"&gt;0")</f>
        <v>0</v>
      </c>
      <c r="F436" s="25">
        <f>SUMIFS('Daftar Koreksi'!$I$5:$I$92,'Daftar Koreksi'!$D$5:$D$92,'2500'!A422,'Daftar Koreksi'!$G$5:$G$92,"Gedung dan Bangunan",'Daftar Koreksi'!$I$5:$I$92,"&lt;0")-SUMIFS('Daftar Koreksi'!$I$5:$I$92,'Daftar Koreksi'!$D$5:$D$92,'2500'!A422,'Daftar Koreksi'!$G$5:$G$92,"Gedung dan Bangunan",'Daftar Koreksi'!$I$5:$I$92,"&lt;0")-SUMIFS('Daftar Koreksi'!$I$5:$I$92,'Daftar Koreksi'!$D$5:$D$92,'2500'!A422,'Daftar Koreksi'!$G$5:$G$92,"Gedung dan Bangunan",'Daftar Koreksi'!$I$5:$I$92,"&lt;0")</f>
        <v>0</v>
      </c>
      <c r="G436" s="17">
        <f t="shared" si="19"/>
        <v>0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Koreksi'!$D$5:$D$92,'2500'!A422,'Daftar Koreksi'!$G$5:$G$92,"Jalan Irigasi Jaringan",'Daftar Koreksi'!$I$5:$I$92,"&gt;0")</f>
        <v>0</v>
      </c>
      <c r="F437" s="25">
        <f>SUMIFS('Daftar Koreksi'!$I$5:$I$92,'Daftar Koreksi'!$D$5:$D$92,'2500'!A422,'Daftar Koreksi'!$G$5:$G$92,"Jalan Irigasi Jaringan",'Daftar Koreksi'!$I$5:$I$92,"&lt;0")-SUMIFS('Daftar Koreksi'!$I$5:$I$92,'Daftar Koreksi'!$D$5:$D$92,'2500'!A422,'Daftar Koreksi'!$G$5:$G$92,"Jalan Irigasi Jaringan",'Daftar Koreksi'!$I$5:$I$92,"&lt;0")-SUMIFS('Daftar Koreksi'!$I$5:$I$92,'Daftar Koreksi'!$D$5:$D$92,'2500'!A422,'Daftar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Koreksi'!$D$5:$D$92,'2500'!A422,'Daftar Koreksi'!$G$5:$G$92,"Aset Tetap Lainnya",'Daftar Koreksi'!$I$5:$I$92,"&gt;0")</f>
        <v>0</v>
      </c>
      <c r="F438" s="25">
        <f>SUMIFS('Daftar Koreksi'!$I$5:$I$92,'Daftar Koreksi'!$D$5:$D$92,'2500'!A422,'Daftar Koreksi'!$G$5:$G$92,"Aset Tetap Lainnya",'Daftar Koreksi'!$I$5:$I$92,"&lt;0")-SUMIFS('Daftar Koreksi'!$I$5:$I$92,'Daftar Koreksi'!$D$5:$D$92,'2500'!A422,'Daftar Koreksi'!$G$5:$G$92,"Aset Tetap Lainnya",'Daftar Koreksi'!$I$5:$I$92,"&lt;0")-SUMIFS('Daftar Koreksi'!$I$5:$I$92,'Daftar Koreksi'!$D$5:$D$92,'2500'!A422,'Daftar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-225252545</v>
      </c>
      <c r="E439" s="25">
        <f>SUMIFS('Daftar Koreksi'!$I$5:$I$92,'Daftar Koreksi'!$D$5:$D$92,'2500'!A422,'Daftar Koreksi'!$G$5:$G$92,"Aset Henti Guna",'Daftar Koreksi'!$I$5:$I$92,"&gt;0")</f>
        <v>0</v>
      </c>
      <c r="F439" s="25">
        <f>SUMIFS('Daftar Koreksi'!$I$5:$I$92,'Daftar Koreksi'!$D$5:$D$92,'2500'!A422,'Daftar Koreksi'!$G$5:$G$92,"Aset Henti Guna",'Daftar Koreksi'!$I$5:$I$92,"&lt;0")-SUMIFS('Daftar Koreksi'!$I$5:$I$92,'Daftar Koreksi'!$D$5:$D$92,'2500'!A422,'Daftar Koreksi'!$G$5:$G$92,"Aset Henti Guna",'Daftar Koreksi'!$I$5:$I$92,"&lt;0")-SUMIFS('Daftar Koreksi'!$I$5:$I$92,'Daftar Koreksi'!$D$5:$D$92,'2500'!A422,'Daftar Koreksi'!$G$5:$G$92,"Aset Henti Guna",'Daftar Koreksi'!$I$5:$I$92,"&lt;0")</f>
        <v>0</v>
      </c>
      <c r="G439" s="17">
        <f t="shared" si="19"/>
        <v>-225252545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-1704538354</v>
      </c>
      <c r="E440" s="19">
        <f>SUM(E435:E439)</f>
        <v>0</v>
      </c>
      <c r="F440" s="19">
        <f>SUM(F435:F439)</f>
        <v>0</v>
      </c>
      <c r="G440" s="19">
        <f t="shared" si="19"/>
        <v>-1704538354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1752027087</v>
      </c>
      <c r="E441" s="19">
        <f>E440+E434</f>
        <v>0</v>
      </c>
      <c r="F441" s="19">
        <f>F440+F434</f>
        <v>0</v>
      </c>
      <c r="G441" s="19">
        <f t="shared" si="19"/>
        <v>1752027087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005012500682300000KD</v>
      </c>
      <c r="B444" s="11" t="str">
        <f>P21</f>
        <v>PA. Arso</v>
      </c>
      <c r="C444" s="12" t="str">
        <f>A444&amp;" "&amp;B444</f>
        <v>005012500682300000KD PA. Arso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9841823</v>
      </c>
      <c r="E447" s="25">
        <f>SUMIFS('Daftar Koreksi'!$H$5:$H$92,'Daftar Koreksi'!$D$5:$D$92,'2500'!A444,'Daftar Koreksi'!$G$5:$G$92,"Persediaan",'Daftar Koreksi'!$H$5:$H$92,"&gt;0")</f>
        <v>0</v>
      </c>
      <c r="F447" s="25">
        <f>SUMIFS('Daftar Koreksi'!$H$5:$H$92,'Daftar Koreksi'!$D$5:$D$92,'2500'!A444,'Daftar Koreksi'!$G$5:$G$92,"Persediaan",'Daftar Koreksi'!$H$5:$H$92,"&lt;0")-SUMIFS('Daftar Koreksi'!$H$5:$H$92,'Daftar Koreksi'!$D$5:$D$92,'2500'!A444,'Daftar Koreksi'!$G$5:$G$92,"Persediaan",'Daftar Koreksi'!$H$5:$H$92,"&lt;0")-SUMIFS('Daftar Koreksi'!$H$5:$H$92,'Daftar Koreksi'!$D$5:$D$92,'2500'!A444,'Daftar Koreksi'!$G$5:$G$92,"Persediaan",'Daftar Koreksi'!$H$5:$H$92,"&lt;0")</f>
        <v>0</v>
      </c>
      <c r="G447" s="17">
        <f>D447+E447-F447</f>
        <v>9841823</v>
      </c>
      <c r="H447" s="121" t="str">
        <f>IF(ISNA(VLOOKUP(A444,'Mutasi Neraca'!$A$3:$S$914,19,FALSE)),"-",VLOOKUP(A444,'Mutasi Neraca'!$A$3:$S$914,19,FALSE))</f>
        <v>TP. No 4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364658000</v>
      </c>
      <c r="E448" s="25">
        <f>SUMIFS('Daftar Koreksi'!$H$5:$H$92,'Daftar Koreksi'!$D$5:$D$92,'2500'!A444,'Daftar Koreksi'!$G$5:$G$92,"Tanah",'Daftar Koreksi'!$H$5:$H$92,"&gt;0")</f>
        <v>0</v>
      </c>
      <c r="F448" s="25">
        <f>SUMIFS('Daftar Koreksi'!$H$5:$H$92,'Daftar Koreksi'!$D$5:$D$92,'2500'!A444,'Daftar Koreksi'!$G$5:$G$92,"Tanah",'Daftar Koreksi'!$H$5:$H$92,"&lt;0")-SUMIFS('Daftar Koreksi'!$H$5:$H$92,'Daftar Koreksi'!$D$5:$D$92,'2500'!A444,'Daftar Koreksi'!$G$5:$G$92,"Tanah",'Daftar Koreksi'!$H$5:$H$92,"&lt;0")-SUMIFS('Daftar Koreksi'!$H$5:$H$92,'Daftar Koreksi'!$D$5:$D$92,'2500'!A444,'Daftar Koreksi'!$G$5:$G$92,"Tanah",'Daftar Koreksi'!$H$5:$H$92,"&lt;0")</f>
        <v>0</v>
      </c>
      <c r="G448" s="17">
        <f t="shared" ref="G448:G464" si="20">D448+E448-F448</f>
        <v>364658000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1845873714</v>
      </c>
      <c r="E449" s="25">
        <f>SUMIFS('Daftar Koreksi'!$H$5:$H$92,'Daftar Koreksi'!$D$5:$D$92,'2500'!A444,'Daftar Koreksi'!$G$5:$G$92,"Peralatan dan mesin",'Daftar Koreksi'!$H$5:$H$92,"&gt;0")</f>
        <v>3895309</v>
      </c>
      <c r="F449" s="25">
        <f>SUMIFS('Daftar Koreksi'!$H$5:$H$92,'Daftar Koreksi'!$D$5:$D$92,'2500'!A444,'Daftar Koreksi'!$G$5:$G$92,"Peralatan dan mesin",'Daftar Koreksi'!$H$5:$H$92,"&lt;0")-SUMIFS('Daftar Koreksi'!$H$5:$H$92,'Daftar Koreksi'!$D$5:$D$92,'2500'!A444,'Daftar Koreksi'!$G$5:$G$92,"Peralatan dan mesin",'Daftar Koreksi'!$H$5:$H$92,"&lt;0")-SUMIFS('Daftar Koreksi'!$H$5:$H$92,'Daftar Koreksi'!$D$5:$D$92,'2500'!A444,'Daftar Koreksi'!$G$5:$G$92,"Peralatan dan mesin",'Daftar Koreksi'!$H$5:$H$92,"&lt;0")</f>
        <v>0</v>
      </c>
      <c r="G449" s="17">
        <f t="shared" si="20"/>
        <v>1849769023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0</v>
      </c>
      <c r="E450" s="25">
        <f>SUMIFS('Daftar Koreksi'!$H$5:$H$92,'Daftar Koreksi'!$D$5:$D$92,'2500'!A444,'Daftar Koreksi'!$G$5:$G$92,"Gedung dan Bangunan",'Daftar Koreksi'!$H$5:$H$92,"&gt;0")</f>
        <v>0</v>
      </c>
      <c r="F450" s="25">
        <f>SUMIFS('Daftar Koreksi'!$H$5:$H$92,'Daftar Koreksi'!$D$5:$D$92,'2500'!A444,'Daftar Koreksi'!$G$5:$G$92,"Gedung dan Bangunan",'Daftar Koreksi'!$H$5:$H$92,"&lt;0")-SUMIFS('Daftar Koreksi'!$H$5:$H$92,'Daftar Koreksi'!$D$5:$D$92,'2500'!A444,'Daftar Koreksi'!$G$5:$G$92,"Gedung dan Bangunan",'Daftar Koreksi'!$H$5:$H$92,"&lt;0")-SUMIFS('Daftar Koreksi'!$H$5:$H$92,'Daftar Koreksi'!$D$5:$D$92,'2500'!A444,'Daftar Koreksi'!$G$5:$G$92,"Gedung dan Bangunan",'Daftar Koreksi'!$H$5:$H$92,"&lt;0")</f>
        <v>0</v>
      </c>
      <c r="G450" s="17">
        <f t="shared" si="20"/>
        <v>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0</v>
      </c>
      <c r="E451" s="25">
        <f>SUMIFS('Daftar Koreksi'!$H$5:$H$92,'Daftar Koreksi'!$D$5:$D$92,'2500'!A444,'Daftar Koreksi'!$G$5:$G$92,"Jalan Irigasi Jaringan",'Daftar Koreksi'!$H$5:$H$92,"&gt;0")</f>
        <v>0</v>
      </c>
      <c r="F451" s="25">
        <f>SUMIFS('Daftar Koreksi'!$H$5:$H$92,'Daftar Koreksi'!$D$5:$D$92,'2500'!A444,'Daftar Koreksi'!$G$5:$G$92,"Jalan Irigasi Jaringan",'Daftar Koreksi'!$H$5:$H$92,"&lt;0")-SUMIFS('Daftar Koreksi'!$H$5:$H$92,'Daftar Koreksi'!$D$5:$D$92,'2500'!A444,'Daftar Koreksi'!$G$5:$G$92,"Jalan Irigasi Jaringan",'Daftar Koreksi'!$H$5:$H$92,"&lt;0")-SUMIFS('Daftar Koreksi'!$H$5:$H$92,'Daftar Koreksi'!$D$5:$D$92,'2500'!A444,'Daftar Koreksi'!$G$5:$G$92,"Jalan Irigasi Jaringan",'Daftar Koreksi'!$H$5:$H$92,"&lt;0")</f>
        <v>0</v>
      </c>
      <c r="G451" s="17">
        <f t="shared" si="20"/>
        <v>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1367820</v>
      </c>
      <c r="E452" s="25">
        <f>SUMIFS('Daftar Koreksi'!$H$5:$H$92,'Daftar Koreksi'!$D$5:$D$92,'2500'!A444,'Daftar Koreksi'!$G$5:$G$92,"Aset Tetap Lainnya",'Daftar Koreksi'!$H$5:$H$92,"&gt;0")</f>
        <v>0</v>
      </c>
      <c r="F452" s="25">
        <f>SUMIFS('Daftar Koreksi'!$H$5:$H$92,'Daftar Koreksi'!$D$5:$D$92,'2500'!A444,'Daftar Koreksi'!$G$5:$G$92,"Aset Tetap Lainnya",'Daftar Koreksi'!$H$5:$H$92,"&lt;0")-SUMIFS('Daftar Koreksi'!$H$5:$H$92,'Daftar Koreksi'!$D$5:$D$92,'2500'!A444,'Daftar Koreksi'!$G$5:$G$92,"Aset Tetap Lainnya",'Daftar Koreksi'!$H$5:$H$92,"&lt;0")-SUMIFS('Daftar Koreksi'!$H$5:$H$92,'Daftar Koreksi'!$D$5:$D$92,'2500'!A444,'Daftar Koreksi'!$G$5:$G$92,"Aset Tetap Lainnya",'Daftar Koreksi'!$H$5:$H$92,"&lt;0")</f>
        <v>0</v>
      </c>
      <c r="G452" s="17">
        <f t="shared" si="20"/>
        <v>1367820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13737171700</v>
      </c>
      <c r="E453" s="25">
        <f>SUMIFS('Daftar Koreksi'!$H$5:$H$92,'Daftar Koreksi'!$D$5:$D$92,'2500'!A444,'Daftar Koreksi'!$G$5:$G$92,"Kontruksi Dalam Pengerjaan",'Daftar Koreksi'!$H$5:$H$92,"&gt;0")</f>
        <v>0</v>
      </c>
      <c r="F453" s="25">
        <f>SUMIFS('Daftar Koreksi'!$H$5:$H$92,'Daftar Koreksi'!$D$5:$D$92,'2500'!A444,'Daftar Koreksi'!$G$5:$G$92,"Kontruksi Dalam Pengerjaan",'Daftar Koreksi'!$H$5:$H$92,"&lt;0")-SUMIFS('Daftar Koreksi'!$H$5:$H$92,'Daftar Koreksi'!$D$5:$D$92,'2500'!A444,'Daftar Koreksi'!$G$5:$G$92,"Kontruksi Dalam Pengerjaan",'Daftar Koreksi'!$H$5:$H$92,"&lt;0")-SUMIFS('Daftar Koreksi'!$H$5:$H$92,'Daftar Koreksi'!$D$5:$D$92,'2500'!A444,'Daftar Koreksi'!$G$5:$G$92,"Kontruksi Dalam Pengerjaan",'Daftar Koreksi'!$H$5:$H$92,"&lt;0")</f>
        <v>0</v>
      </c>
      <c r="G453" s="17">
        <f t="shared" si="20"/>
        <v>13737171700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Koreksi'!$D$5:$D$92,'2500'!A444,'Daftar Koreksi'!$G$5:$G$92,"Aset Tak Berwujud",'Daftar Koreksi'!$H$5:$H$92,"&gt;0")</f>
        <v>0</v>
      </c>
      <c r="F454" s="25">
        <f>SUMIFS('Daftar Koreksi'!$H$5:$H$92,'Daftar Koreksi'!$D$5:$D$92,'2500'!A444,'Daftar Koreksi'!$G$5:$G$92,"Aset Tak Berwujud",'Daftar Koreksi'!$H$5:$H$92,"&lt;0")-SUMIFS('Daftar Koreksi'!$H$5:$H$92,'Daftar Koreksi'!$D$5:$D$92,'2500'!A444,'Daftar Koreksi'!$G$5:$G$92,"Aset Tak Berwujud",'Daftar Koreksi'!$H$5:$H$92,"&lt;0")-SUMIFS('Daftar Koreksi'!$H$5:$H$92,'Daftar Koreksi'!$D$5:$D$92,'2500'!A444,'Daftar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0</v>
      </c>
      <c r="E455" s="25">
        <f>SUMIFS('Daftar Koreksi'!$H$5:$H$92,'Daftar Koreksi'!$D$5:$D$92,'2500'!A444,'Daftar Koreksi'!$G$5:$G$92,"Aset Henti Guna",'Daftar Koreksi'!$H$5:$H$92,"&gt;0")</f>
        <v>0</v>
      </c>
      <c r="F455" s="25">
        <f>SUMIFS('Daftar Koreksi'!$H$5:$H$92,'Daftar Koreksi'!$D$5:$D$92,'2500'!A444,'Daftar Koreksi'!$G$5:$G$92,"Aset Henti Guna",'Daftar Koreksi'!$H$5:$H$92,"&lt;0")-SUMIFS('Daftar Koreksi'!$H$5:$H$92,'Daftar Koreksi'!$D$5:$D$92,'2500'!A444,'Daftar Koreksi'!$G$5:$G$92,"Aset Henti Guna",'Daftar Koreksi'!$H$5:$H$92,"&lt;0")-SUMIFS('Daftar Koreksi'!$H$5:$H$92,'Daftar Koreksi'!$D$5:$D$92,'2500'!A444,'Daftar Koreksi'!$G$5:$G$92,"Aset Henti Guna",'Daftar Koreksi'!$H$5:$H$92,"&lt;0")</f>
        <v>0</v>
      </c>
      <c r="G455" s="17">
        <f t="shared" si="20"/>
        <v>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15958913057</v>
      </c>
      <c r="E456" s="19">
        <f>SUM(E447:E455)</f>
        <v>3895309</v>
      </c>
      <c r="F456" s="19">
        <f>SUM(F447:F455)</f>
        <v>0</v>
      </c>
      <c r="G456" s="19">
        <f t="shared" si="20"/>
        <v>15962808366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-549082406</v>
      </c>
      <c r="E457" s="25">
        <f>SUMIFS('Daftar Koreksi'!$I$5:$I$92,'Daftar Koreksi'!$D$5:$D$92,'2500'!A444,'Daftar Koreksi'!$G$5:$G$92,"Peralatan dan mesin",'Daftar Koreksi'!$I$5:$I$92,"&gt;0")</f>
        <v>0</v>
      </c>
      <c r="F457" s="25">
        <f>SUMIFS('Daftar Koreksi'!$I$5:$I$92,'Daftar Koreksi'!$D$5:$D$92,'2500'!A444,'Daftar Koreksi'!$G$5:$G$92,"Peralatan dan mesin",'Daftar Koreksi'!$I$5:$I$92,"&lt;0")-SUMIFS('Daftar Koreksi'!$I$5:$I$92,'Daftar Koreksi'!$D$5:$D$92,'2500'!A444,'Daftar Koreksi'!$G$5:$G$92,"Peralatan dan mesin",'Daftar Koreksi'!$I$5:$I$92,"&lt;0")-SUMIFS('Daftar Koreksi'!$I$5:$I$92,'Daftar Koreksi'!$D$5:$D$92,'2500'!A444,'Daftar Koreksi'!$G$5:$G$92,"Peralatan dan mesin",'Daftar Koreksi'!$I$5:$I$92,"&lt;0")</f>
        <v>389531</v>
      </c>
      <c r="G457" s="17">
        <f t="shared" si="20"/>
        <v>-549471937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0</v>
      </c>
      <c r="E458" s="25">
        <f>SUMIFS('Daftar Koreksi'!$I$5:$I$92,'Daftar Koreksi'!$D$5:$D$92,'2500'!A444,'Daftar Koreksi'!$G$5:$G$92,"Gedung dan Bangunan",'Daftar Koreksi'!$I$5:$I$92,"&gt;0")</f>
        <v>0</v>
      </c>
      <c r="F458" s="25">
        <f>SUMIFS('Daftar Koreksi'!$I$5:$I$92,'Daftar Koreksi'!$D$5:$D$92,'2500'!A444,'Daftar Koreksi'!$G$5:$G$92,"Gedung dan Bangunan",'Daftar Koreksi'!$I$5:$I$92,"&lt;0")-SUMIFS('Daftar Koreksi'!$I$5:$I$92,'Daftar Koreksi'!$D$5:$D$92,'2500'!A444,'Daftar Koreksi'!$G$5:$G$92,"Gedung dan Bangunan",'Daftar Koreksi'!$I$5:$I$92,"&lt;0")-SUMIFS('Daftar Koreksi'!$I$5:$I$92,'Daftar Koreksi'!$D$5:$D$92,'2500'!A444,'Daftar Koreksi'!$G$5:$G$92,"Gedung dan Bangunan",'Daftar Koreksi'!$I$5:$I$92,"&lt;0")</f>
        <v>0</v>
      </c>
      <c r="G458" s="17">
        <f t="shared" si="20"/>
        <v>0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0</v>
      </c>
      <c r="E459" s="25">
        <f>SUMIFS('Daftar Koreksi'!$I$5:$I$92,'Daftar Koreksi'!$D$5:$D$92,'2500'!A444,'Daftar Koreksi'!$G$5:$G$92,"Jalan Irigasi Jaringan",'Daftar Koreksi'!$I$5:$I$92,"&gt;0")</f>
        <v>0</v>
      </c>
      <c r="F459" s="25">
        <f>SUMIFS('Daftar Koreksi'!$I$5:$I$92,'Daftar Koreksi'!$D$5:$D$92,'2500'!A444,'Daftar Koreksi'!$G$5:$G$92,"Jalan Irigasi Jaringan",'Daftar Koreksi'!$I$5:$I$92,"&lt;0")-SUMIFS('Daftar Koreksi'!$I$5:$I$92,'Daftar Koreksi'!$D$5:$D$92,'2500'!A444,'Daftar Koreksi'!$G$5:$G$92,"Jalan Irigasi Jaringan",'Daftar Koreksi'!$I$5:$I$92,"&lt;0")-SUMIFS('Daftar Koreksi'!$I$5:$I$92,'Daftar Koreksi'!$D$5:$D$92,'2500'!A444,'Daftar Koreksi'!$G$5:$G$92,"Jalan Irigasi Jaringan",'Daftar Koreksi'!$I$5:$I$92,"&lt;0")</f>
        <v>0</v>
      </c>
      <c r="G459" s="17">
        <f t="shared" si="20"/>
        <v>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Koreksi'!$D$5:$D$92,'2500'!A444,'Daftar Koreksi'!$G$5:$G$92,"Aset Tetap Lainnya",'Daftar Koreksi'!$I$5:$I$92,"&gt;0")</f>
        <v>0</v>
      </c>
      <c r="F460" s="25">
        <f>SUMIFS('Daftar Koreksi'!$I$5:$I$92,'Daftar Koreksi'!$D$5:$D$92,'2500'!A444,'Daftar Koreksi'!$G$5:$G$92,"Aset Tetap Lainnya",'Daftar Koreksi'!$I$5:$I$92,"&lt;0")-SUMIFS('Daftar Koreksi'!$I$5:$I$92,'Daftar Koreksi'!$D$5:$D$92,'2500'!A444,'Daftar Koreksi'!$G$5:$G$92,"Aset Tetap Lainnya",'Daftar Koreksi'!$I$5:$I$92,"&lt;0")-SUMIFS('Daftar Koreksi'!$I$5:$I$92,'Daftar Koreksi'!$D$5:$D$92,'2500'!A444,'Daftar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0</v>
      </c>
      <c r="E461" s="25">
        <f>SUMIFS('Daftar Koreksi'!$I$5:$I$92,'Daftar Koreksi'!$D$5:$D$92,'2500'!A444,'Daftar Koreksi'!$G$5:$G$92,"Aset Henti Guna",'Daftar Koreksi'!$I$5:$I$92,"&gt;0")</f>
        <v>0</v>
      </c>
      <c r="F461" s="25">
        <f>SUMIFS('Daftar Koreksi'!$I$5:$I$92,'Daftar Koreksi'!$D$5:$D$92,'2500'!A444,'Daftar Koreksi'!$G$5:$G$92,"Aset Henti Guna",'Daftar Koreksi'!$I$5:$I$92,"&lt;0")-SUMIFS('Daftar Koreksi'!$I$5:$I$92,'Daftar Koreksi'!$D$5:$D$92,'2500'!A444,'Daftar Koreksi'!$G$5:$G$92,"Aset Henti Guna",'Daftar Koreksi'!$I$5:$I$92,"&lt;0")-SUMIFS('Daftar Koreksi'!$I$5:$I$92,'Daftar Koreksi'!$D$5:$D$92,'2500'!A444,'Daftar Koreksi'!$G$5:$G$92,"Aset Henti Guna",'Daftar Koreksi'!$I$5:$I$92,"&lt;0")</f>
        <v>0</v>
      </c>
      <c r="G461" s="17">
        <f t="shared" si="20"/>
        <v>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-549082406</v>
      </c>
      <c r="E462" s="19">
        <f>SUM(E457:E461)</f>
        <v>0</v>
      </c>
      <c r="F462" s="19">
        <f>SUM(F457:F461)</f>
        <v>389531</v>
      </c>
      <c r="G462" s="19">
        <f t="shared" si="20"/>
        <v>-549471937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15409830651</v>
      </c>
      <c r="E463" s="19">
        <f>E462+E456</f>
        <v>3895309</v>
      </c>
      <c r="F463" s="19">
        <f>F462+F456</f>
        <v>389531</v>
      </c>
      <c r="G463" s="19">
        <f t="shared" si="20"/>
        <v>15413336429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</sheetData>
  <mergeCells count="126">
    <mergeCell ref="H447:H464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445:C446"/>
    <mergeCell ref="D445:D446"/>
    <mergeCell ref="E445:F445"/>
    <mergeCell ref="G445:G446"/>
    <mergeCell ref="H445:H446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P35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0.140625" style="8" bestFit="1" customWidth="1"/>
    <col min="10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751</v>
      </c>
      <c r="P1" s="8" t="s">
        <v>1887</v>
      </c>
    </row>
    <row r="2" spans="1:16" ht="19.5" customHeight="1">
      <c r="C2" s="9" t="s">
        <v>2122</v>
      </c>
      <c r="O2" s="8" t="s">
        <v>752</v>
      </c>
      <c r="P2" s="8" t="s">
        <v>1888</v>
      </c>
    </row>
    <row r="3" spans="1:16" ht="19.5" customHeight="1">
      <c r="O3" s="8" t="s">
        <v>753</v>
      </c>
      <c r="P3" s="8" t="s">
        <v>1889</v>
      </c>
    </row>
    <row r="4" spans="1:16" ht="19.5" customHeight="1">
      <c r="A4" s="11" t="str">
        <f>O1</f>
        <v>005012600308014000KD</v>
      </c>
      <c r="B4" s="11" t="str">
        <f>P1</f>
        <v>PA. Manna</v>
      </c>
      <c r="C4" s="12" t="str">
        <f>A4&amp;" "&amp;B4</f>
        <v>005012600308014000KD PA. Manna</v>
      </c>
      <c r="D4" s="13"/>
      <c r="E4" s="13"/>
      <c r="F4" s="13"/>
      <c r="G4" s="13"/>
      <c r="H4" s="11"/>
      <c r="O4" s="8" t="s">
        <v>754</v>
      </c>
      <c r="P4" s="8" t="s">
        <v>1890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755</v>
      </c>
      <c r="P5" s="8" t="s">
        <v>1891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756</v>
      </c>
      <c r="P6" s="8" t="s">
        <v>1892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12950400</v>
      </c>
      <c r="E7" s="25">
        <f>SUMIFS('Daftar Koreksi'!$H$5:$H$92,'Daftar Koreksi'!$D$5:$D$92,'2600'!A4,'Daftar Koreksi'!$G$5:$G$92,"Persediaan",'Daftar Koreksi'!$H$5:$H$92,"&gt;0")</f>
        <v>0</v>
      </c>
      <c r="F7" s="25">
        <f>SUMIFS('Daftar Koreksi'!$H$5:$H$92,'Daftar Koreksi'!$D$5:$D$92,'2600'!A4,'Daftar Koreksi'!$G$5:$G$92,"Persediaan",'Daftar Koreksi'!$H$5:$H$92,"&lt;0")-SUMIFS('Daftar Koreksi'!$H$5:$H$92,'Daftar Koreksi'!$D$5:$D$92,'2600'!A4,'Daftar Koreksi'!$G$5:$G$92,"Persediaan",'Daftar Koreksi'!$H$5:$H$92,"&lt;0")-SUMIFS('Daftar Koreksi'!$H$5:$H$92,'Daftar Koreksi'!$D$5:$D$92,'2600'!A4,'Daftar Koreksi'!$G$5:$G$92,"Persediaan",'Daftar Koreksi'!$H$5:$H$92,"&lt;0")</f>
        <v>0</v>
      </c>
      <c r="G7" s="17">
        <f>D7+E7-F7</f>
        <v>12950400</v>
      </c>
      <c r="H7" s="121" t="str">
        <f>IF(ISNA(VLOOKUP(A4,'Mutasi Neraca'!$A$3:$S$914,19,FALSE)),"-",VLOOKUP(A4,'Mutasi Neraca'!$A$3:$S$914,19,FALSE))</f>
        <v>-</v>
      </c>
      <c r="O7" s="8" t="s">
        <v>757</v>
      </c>
      <c r="P7" s="8" t="s">
        <v>1893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201314000</v>
      </c>
      <c r="E8" s="25">
        <f>SUMIFS('Daftar Koreksi'!$H$5:$H$92,'Daftar Koreksi'!$D$5:$D$92,'2600'!A4,'Daftar Koreksi'!$G$5:$G$92,"Tanah",'Daftar Koreksi'!$H$5:$H$92,"&gt;0")</f>
        <v>0</v>
      </c>
      <c r="F8" s="25">
        <f>SUMIFS('Daftar Koreksi'!$H$5:$H$92,'Daftar Koreksi'!$D$5:$D$92,'2600'!A4,'Daftar Koreksi'!$G$5:$G$92,"Tanah",'Daftar Koreksi'!$H$5:$H$92,"&lt;0")-SUMIFS('Daftar Koreksi'!$H$5:$H$92,'Daftar Koreksi'!$D$5:$D$92,'2600'!A4,'Daftar Koreksi'!$G$5:$G$92,"Tanah",'Daftar Koreksi'!$H$5:$H$92,"&lt;0")-SUMIFS('Daftar Koreksi'!$H$5:$H$92,'Daftar Koreksi'!$D$5:$D$92,'2600'!A4,'Daftar Koreksi'!$G$5:$G$92,"Tanah",'Daftar Koreksi'!$H$5:$H$92,"&lt;0")</f>
        <v>0</v>
      </c>
      <c r="G8" s="17">
        <f t="shared" ref="G8:G24" si="0">D8+E8-F8</f>
        <v>201314000</v>
      </c>
      <c r="H8" s="122"/>
      <c r="O8" s="8" t="s">
        <v>758</v>
      </c>
      <c r="P8" s="8" t="s">
        <v>1894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1248225307</v>
      </c>
      <c r="E9" s="25">
        <f>SUMIFS('Daftar Koreksi'!$H$5:$H$92,'Daftar Koreksi'!$D$5:$D$92,'2600'!A4,'Daftar Koreksi'!$G$5:$G$92,"Peralatan dan mesin",'Daftar Koreksi'!$H$5:$H$92,"&gt;0")</f>
        <v>0</v>
      </c>
      <c r="F9" s="25">
        <f>SUMIFS('Daftar Koreksi'!$H$5:$H$92,'Daftar Koreksi'!$D$5:$D$92,'2600'!A4,'Daftar Koreksi'!$G$5:$G$92,"Peralatan dan mesin",'Daftar Koreksi'!$H$5:$H$92,"&lt;0")-SUMIFS('Daftar Koreksi'!$H$5:$H$92,'Daftar Koreksi'!$D$5:$D$92,'2600'!A4,'Daftar Koreksi'!$G$5:$G$92,"Peralatan dan mesin",'Daftar Koreksi'!$H$5:$H$92,"&lt;0")-SUMIFS('Daftar Koreksi'!$H$5:$H$92,'Daftar Koreksi'!$D$5:$D$92,'2600'!A4,'Daftar Koreksi'!$G$5:$G$92,"Peralatan dan mesin",'Daftar Koreksi'!$H$5:$H$92,"&lt;0")</f>
        <v>0</v>
      </c>
      <c r="G9" s="17">
        <f t="shared" si="0"/>
        <v>1248225307</v>
      </c>
      <c r="H9" s="122"/>
      <c r="O9" s="8" t="s">
        <v>759</v>
      </c>
      <c r="P9" s="8" t="s">
        <v>1895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4403338525</v>
      </c>
      <c r="E10" s="25">
        <f>SUMIFS('Daftar Koreksi'!$H$5:$H$92,'Daftar Koreksi'!$D$5:$D$92,'2600'!A4,'Daftar Koreksi'!$G$5:$G$92,"Gedung dan Bangunan",'Daftar Koreksi'!$H$5:$H$92,"&gt;0")</f>
        <v>0</v>
      </c>
      <c r="F10" s="25">
        <f>SUMIFS('Daftar Koreksi'!$H$5:$H$92,'Daftar Koreksi'!$D$5:$D$92,'2600'!A4,'Daftar Koreksi'!$G$5:$G$92,"Gedung dan Bangunan",'Daftar Koreksi'!$H$5:$H$92,"&lt;0")-SUMIFS('Daftar Koreksi'!$H$5:$H$92,'Daftar Koreksi'!$D$5:$D$92,'2600'!A4,'Daftar Koreksi'!$G$5:$G$92,"Gedung dan Bangunan",'Daftar Koreksi'!$H$5:$H$92,"&lt;0")-SUMIFS('Daftar Koreksi'!$H$5:$H$92,'Daftar Koreksi'!$D$5:$D$92,'2600'!A4,'Daftar Koreksi'!$G$5:$G$92,"Gedung dan Bangunan",'Daftar Koreksi'!$H$5:$H$92,"&lt;0")</f>
        <v>0</v>
      </c>
      <c r="G10" s="17">
        <f t="shared" si="0"/>
        <v>4403338525</v>
      </c>
      <c r="H10" s="122"/>
      <c r="O10" s="8" t="s">
        <v>760</v>
      </c>
      <c r="P10" s="8" t="s">
        <v>1896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Koreksi'!$D$5:$D$92,'2600'!A4,'Daftar Koreksi'!$G$5:$G$92,"Jalan Irigasi Jaringan",'Daftar Koreksi'!$H$5:$H$92,"&gt;0")</f>
        <v>0</v>
      </c>
      <c r="F11" s="25">
        <f>SUMIFS('Daftar Koreksi'!$H$5:$H$92,'Daftar Koreksi'!$D$5:$D$92,'2600'!A4,'Daftar Koreksi'!$G$5:$G$92,"Jalan Irigasi Jaringan",'Daftar Koreksi'!$H$5:$H$92,"&lt;0")-SUMIFS('Daftar Koreksi'!$H$5:$H$92,'Daftar Koreksi'!$D$5:$D$92,'2600'!A4,'Daftar Koreksi'!$G$5:$G$92,"Jalan Irigasi Jaringan",'Daftar Koreksi'!$H$5:$H$92,"&lt;0")-SUMIFS('Daftar Koreksi'!$H$5:$H$92,'Daftar Koreksi'!$D$5:$D$92,'2600'!A4,'Daftar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761</v>
      </c>
      <c r="P11" s="8" t="s">
        <v>1897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42242848</v>
      </c>
      <c r="E12" s="25">
        <f>SUMIFS('Daftar Koreksi'!$H$5:$H$92,'Daftar Koreksi'!$D$5:$D$92,'2600'!A4,'Daftar Koreksi'!$G$5:$G$92,"Aset Tetap Lainnya",'Daftar Koreksi'!$H$5:$H$92,"&gt;0")</f>
        <v>0</v>
      </c>
      <c r="F12" s="25">
        <f>SUMIFS('Daftar Koreksi'!$H$5:$H$92,'Daftar Koreksi'!$D$5:$D$92,'2600'!A4,'Daftar Koreksi'!$G$5:$G$92,"Aset Tetap Lainnya",'Daftar Koreksi'!$H$5:$H$92,"&lt;0")-SUMIFS('Daftar Koreksi'!$H$5:$H$92,'Daftar Koreksi'!$D$5:$D$92,'2600'!A4,'Daftar Koreksi'!$G$5:$G$92,"Aset Tetap Lainnya",'Daftar Koreksi'!$H$5:$H$92,"&lt;0")-SUMIFS('Daftar Koreksi'!$H$5:$H$92,'Daftar Koreksi'!$D$5:$D$92,'2600'!A4,'Daftar Koreksi'!$G$5:$G$92,"Aset Tetap Lainnya",'Daftar Koreksi'!$H$5:$H$92,"&lt;0")</f>
        <v>0</v>
      </c>
      <c r="G12" s="17">
        <f t="shared" si="0"/>
        <v>42242848</v>
      </c>
      <c r="H12" s="122"/>
      <c r="O12" s="8" t="s">
        <v>762</v>
      </c>
      <c r="P12" s="8" t="s">
        <v>1898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Koreksi'!$D$5:$D$92,'2600'!A4,'Daftar Koreksi'!$G$5:$G$92,"Kontruksi Dalam Pengerjaan",'Daftar Koreksi'!$H$5:$H$92,"&gt;0")</f>
        <v>0</v>
      </c>
      <c r="F13" s="25">
        <f>SUMIFS('Daftar Koreksi'!$H$5:$H$92,'Daftar Koreksi'!$D$5:$D$92,'2600'!A4,'Daftar Koreksi'!$G$5:$G$92,"Kontruksi Dalam Pengerjaan",'Daftar Koreksi'!$H$5:$H$92,"&lt;0")-SUMIFS('Daftar Koreksi'!$H$5:$H$92,'Daftar Koreksi'!$D$5:$D$92,'2600'!A4,'Daftar Koreksi'!$G$5:$G$92,"Kontruksi Dalam Pengerjaan",'Daftar Koreksi'!$H$5:$H$92,"&lt;0")-SUMIFS('Daftar Koreksi'!$H$5:$H$92,'Daftar Koreksi'!$D$5:$D$92,'2600'!A4,'Daftar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763</v>
      </c>
      <c r="P13" s="8" t="s">
        <v>1899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13000000</v>
      </c>
      <c r="E14" s="25">
        <f>SUMIFS('Daftar Koreksi'!$H$5:$H$92,'Daftar Koreksi'!$D$5:$D$92,'2600'!A4,'Daftar Koreksi'!$G$5:$G$92,"Aset Tak Berwujud",'Daftar Koreksi'!$H$5:$H$92,"&gt;0")</f>
        <v>0</v>
      </c>
      <c r="F14" s="25">
        <f>SUMIFS('Daftar Koreksi'!$H$5:$H$92,'Daftar Koreksi'!$D$5:$D$92,'2600'!A4,'Daftar Koreksi'!$G$5:$G$92,"Aset Tak Berwujud",'Daftar Koreksi'!$H$5:$H$92,"&lt;0")-SUMIFS('Daftar Koreksi'!$H$5:$H$92,'Daftar Koreksi'!$D$5:$D$92,'2600'!A4,'Daftar Koreksi'!$G$5:$G$92,"Aset Tak Berwujud",'Daftar Koreksi'!$H$5:$H$92,"&lt;0")-SUMIFS('Daftar Koreksi'!$H$5:$H$92,'Daftar Koreksi'!$D$5:$D$92,'2600'!A4,'Daftar Koreksi'!$G$5:$G$92,"Aset Tak Berwujud",'Daftar Koreksi'!$H$5:$H$92,"&lt;0")</f>
        <v>0</v>
      </c>
      <c r="G14" s="17">
        <f t="shared" si="0"/>
        <v>13000000</v>
      </c>
      <c r="H14" s="122"/>
      <c r="O14" s="8" t="s">
        <v>764</v>
      </c>
      <c r="P14" s="8" t="s">
        <v>1900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112162325</v>
      </c>
      <c r="E15" s="25">
        <f>SUMIFS('Daftar Koreksi'!$H$5:$H$92,'Daftar Koreksi'!$D$5:$D$92,'2600'!A4,'Daftar Koreksi'!$G$5:$G$92,"Aset Henti Guna",'Daftar Koreksi'!$H$5:$H$92,"&gt;0")</f>
        <v>0</v>
      </c>
      <c r="F15" s="25">
        <f>SUMIFS('Daftar Koreksi'!$H$5:$H$92,'Daftar Koreksi'!$D$5:$D$92,'2600'!A4,'Daftar Koreksi'!$G$5:$G$92,"Aset Henti Guna",'Daftar Koreksi'!$H$5:$H$92,"&lt;0")-SUMIFS('Daftar Koreksi'!$H$5:$H$92,'Daftar Koreksi'!$D$5:$D$92,'2600'!A4,'Daftar Koreksi'!$G$5:$G$92,"Aset Henti Guna",'Daftar Koreksi'!$H$5:$H$92,"&lt;0")-SUMIFS('Daftar Koreksi'!$H$5:$H$92,'Daftar Koreksi'!$D$5:$D$92,'2600'!A4,'Daftar Koreksi'!$G$5:$G$92,"Aset Henti Guna",'Daftar Koreksi'!$H$5:$H$92,"&lt;0")</f>
        <v>0</v>
      </c>
      <c r="G15" s="17">
        <f t="shared" si="0"/>
        <v>112162325</v>
      </c>
      <c r="H15" s="122"/>
      <c r="O15" s="8" t="s">
        <v>765</v>
      </c>
      <c r="P15" s="8" t="s">
        <v>1901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6033233405</v>
      </c>
      <c r="E16" s="19">
        <f>SUM(E7:E15)</f>
        <v>0</v>
      </c>
      <c r="F16" s="19">
        <f>SUM(F7:F15)</f>
        <v>0</v>
      </c>
      <c r="G16" s="19">
        <f t="shared" si="0"/>
        <v>6033233405</v>
      </c>
      <c r="H16" s="122"/>
      <c r="O16" s="8" t="s">
        <v>766</v>
      </c>
      <c r="P16" s="8" t="s">
        <v>1902</v>
      </c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-1052513613</v>
      </c>
      <c r="E17" s="25">
        <f>SUMIFS('Daftar Koreksi'!$I$5:$I$92,'Daftar Koreksi'!$D$5:$D$92,'2600'!A4,'Daftar Koreksi'!$G$5:$G$92,"Peralatan dan mesin",'Daftar Koreksi'!$I$5:$I$92,"&gt;0")</f>
        <v>0</v>
      </c>
      <c r="F17" s="25">
        <f>SUMIFS('Daftar Koreksi'!$I$5:$I$92,'Daftar Koreksi'!$D$5:$D$92,'2600'!A4,'Daftar Koreksi'!$G$5:$G$92,"Peralatan dan mesin",'Daftar Koreksi'!$I$5:$I$92,"&lt;0")-SUMIFS('Daftar Koreksi'!$I$5:$I$92,'Daftar Koreksi'!$D$5:$D$92,'2600'!A4,'Daftar Koreksi'!$G$5:$G$92,"Peralatan dan mesin",'Daftar Koreksi'!$I$5:$I$92,"&lt;0")-SUMIFS('Daftar Koreksi'!$I$5:$I$92,'Daftar Koreksi'!$D$5:$D$92,'2600'!A4,'Daftar Koreksi'!$G$5:$G$92,"Peralatan dan mesin",'Daftar Koreksi'!$I$5:$I$92,"&lt;0")</f>
        <v>0</v>
      </c>
      <c r="G17" s="17">
        <f t="shared" si="0"/>
        <v>-1052513613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-1059664985</v>
      </c>
      <c r="E18" s="25">
        <f>SUMIFS('Daftar Koreksi'!$I$5:$I$92,'Daftar Koreksi'!$D$5:$D$92,'2600'!A4,'Daftar Koreksi'!$G$5:$G$92,"Gedung dan Bangunan",'Daftar Koreksi'!$I$5:$I$92,"&gt;0")</f>
        <v>0</v>
      </c>
      <c r="F18" s="25">
        <f>SUMIFS('Daftar Koreksi'!$I$5:$I$92,'Daftar Koreksi'!$D$5:$D$92,'2600'!A4,'Daftar Koreksi'!$G$5:$G$92,"Gedung dan Bangunan",'Daftar Koreksi'!$I$5:$I$92,"&lt;0")-SUMIFS('Daftar Koreksi'!$I$5:$I$92,'Daftar Koreksi'!$D$5:$D$92,'2600'!A4,'Daftar Koreksi'!$G$5:$G$92,"Gedung dan Bangunan",'Daftar Koreksi'!$I$5:$I$92,"&lt;0")-SUMIFS('Daftar Koreksi'!$I$5:$I$92,'Daftar Koreksi'!$D$5:$D$92,'2600'!A4,'Daftar Koreksi'!$G$5:$G$92,"Gedung dan Bangunan",'Daftar Koreksi'!$I$5:$I$92,"&lt;0")</f>
        <v>0</v>
      </c>
      <c r="G18" s="17">
        <f t="shared" si="0"/>
        <v>-1059664985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Koreksi'!$D$5:$D$92,'2600'!A4,'Daftar Koreksi'!$G$5:$G$92,"Jalan Irigasi Jaringan",'Daftar Koreksi'!$I$5:$I$92,"&gt;0")</f>
        <v>0</v>
      </c>
      <c r="F19" s="25">
        <f>SUMIFS('Daftar Koreksi'!$I$5:$I$92,'Daftar Koreksi'!$D$5:$D$92,'2600'!A4,'Daftar Koreksi'!$G$5:$G$92,"Jalan Irigasi Jaringan",'Daftar Koreksi'!$I$5:$I$92,"&lt;0")-SUMIFS('Daftar Koreksi'!$I$5:$I$92,'Daftar Koreksi'!$D$5:$D$92,'2600'!A4,'Daftar Koreksi'!$G$5:$G$92,"Jalan Irigasi Jaringan",'Daftar Koreksi'!$I$5:$I$92,"&lt;0")-SUMIFS('Daftar Koreksi'!$I$5:$I$92,'Daftar Koreksi'!$D$5:$D$92,'2600'!A4,'Daftar Koreksi'!$G$5:$G$92,"Jalan Irigasi Jaringan",'Daftar Koreksi'!$I$5:$I$92,"&lt;0")</f>
        <v>0</v>
      </c>
      <c r="G19" s="17">
        <f t="shared" si="0"/>
        <v>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Koreksi'!$D$5:$D$92,'2600'!A4,'Daftar Koreksi'!$G$5:$G$92,"Aset Tetap Lainnya",'Daftar Koreksi'!$I$5:$I$92,"&gt;0")</f>
        <v>0</v>
      </c>
      <c r="F20" s="25">
        <f>SUMIFS('Daftar Koreksi'!$I$5:$I$92,'Daftar Koreksi'!$D$5:$D$92,'2600'!A4,'Daftar Koreksi'!$G$5:$G$92,"Aset Tetap Lainnya",'Daftar Koreksi'!$I$5:$I$92,"&lt;0")-SUMIFS('Daftar Koreksi'!$I$5:$I$92,'Daftar Koreksi'!$D$5:$D$92,'2600'!A4,'Daftar Koreksi'!$G$5:$G$92,"Aset Tetap Lainnya",'Daftar Koreksi'!$I$5:$I$92,"&lt;0")-SUMIFS('Daftar Koreksi'!$I$5:$I$92,'Daftar Koreksi'!$D$5:$D$92,'2600'!A4,'Daftar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-112162325</v>
      </c>
      <c r="E21" s="25">
        <f>SUMIFS('Daftar Koreksi'!$I$5:$I$92,'Daftar Koreksi'!$D$5:$D$92,'2600'!A4,'Daftar Koreksi'!$G$5:$G$92,"Aset Henti Guna",'Daftar Koreksi'!$I$5:$I$92,"&gt;0")</f>
        <v>0</v>
      </c>
      <c r="F21" s="25">
        <f>SUMIFS('Daftar Koreksi'!$I$5:$I$92,'Daftar Koreksi'!$D$5:$D$92,'2600'!A4,'Daftar Koreksi'!$G$5:$G$92,"Aset Henti Guna",'Daftar Koreksi'!$I$5:$I$92,"&lt;0")-SUMIFS('Daftar Koreksi'!$I$5:$I$92,'Daftar Koreksi'!$D$5:$D$92,'2600'!A4,'Daftar Koreksi'!$G$5:$G$92,"Aset Henti Guna",'Daftar Koreksi'!$I$5:$I$92,"&lt;0")-SUMIFS('Daftar Koreksi'!$I$5:$I$92,'Daftar Koreksi'!$D$5:$D$92,'2600'!A4,'Daftar Koreksi'!$G$5:$G$92,"Aset Henti Guna",'Daftar Koreksi'!$I$5:$I$92,"&lt;0")</f>
        <v>0</v>
      </c>
      <c r="G21" s="17">
        <f t="shared" si="0"/>
        <v>-112162325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-2224340923</v>
      </c>
      <c r="E22" s="19">
        <f>SUM(E17:E21)</f>
        <v>0</v>
      </c>
      <c r="F22" s="19">
        <f>SUM(F17:F21)</f>
        <v>0</v>
      </c>
      <c r="G22" s="19">
        <f t="shared" si="0"/>
        <v>-2224340923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3808892482</v>
      </c>
      <c r="E23" s="19">
        <f>E22+E16</f>
        <v>0</v>
      </c>
      <c r="F23" s="19">
        <f>F22+F16</f>
        <v>0</v>
      </c>
      <c r="G23" s="19">
        <f t="shared" si="0"/>
        <v>3808892482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005012600308021000KD</v>
      </c>
      <c r="B26" s="11" t="str">
        <f>P2</f>
        <v>PA. Curup</v>
      </c>
      <c r="C26" s="12" t="str">
        <f>A26&amp;" "&amp;B26</f>
        <v>005012600308021000KD PA. Curup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219250</v>
      </c>
      <c r="E29" s="25">
        <f>SUMIFS('Daftar Koreksi'!$H$5:$H$92,'Daftar Koreksi'!$D$5:$D$92,'2600'!A26,'Daftar Koreksi'!$G$5:$G$92,"Persediaan",'Daftar Koreksi'!$H$5:$H$92,"&gt;0")</f>
        <v>0</v>
      </c>
      <c r="F29" s="25">
        <f>SUMIFS('Daftar Koreksi'!$H$5:$H$92,'Daftar Koreksi'!$D$5:$D$92,'2600'!A26,'Daftar Koreksi'!$G$5:$G$92,"Persediaan",'Daftar Koreksi'!$H$5:$H$92,"&lt;0")-SUMIFS('Daftar Koreksi'!$H$5:$H$92,'Daftar Koreksi'!$D$5:$D$92,'2600'!A26,'Daftar Koreksi'!$G$5:$G$92,"Persediaan",'Daftar Koreksi'!$H$5:$H$92,"&lt;0")-SUMIFS('Daftar Koreksi'!$H$5:$H$92,'Daftar Koreksi'!$D$5:$D$92,'2600'!A26,'Daftar Koreksi'!$G$5:$G$92,"Persediaan",'Daftar Koreksi'!$H$5:$H$92,"&lt;0")</f>
        <v>0</v>
      </c>
      <c r="G29" s="17">
        <f>D29+E29-F29</f>
        <v>219250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1861261000</v>
      </c>
      <c r="E30" s="25">
        <f>SUMIFS('Daftar Koreksi'!$H$5:$H$92,'Daftar Koreksi'!$D$5:$D$92,'2600'!A26,'Daftar Koreksi'!$G$5:$G$92,"Tanah",'Daftar Koreksi'!$H$5:$H$92,"&gt;0")</f>
        <v>0</v>
      </c>
      <c r="F30" s="25">
        <f>SUMIFS('Daftar Koreksi'!$H$5:$H$92,'Daftar Koreksi'!$D$5:$D$92,'2600'!A26,'Daftar Koreksi'!$G$5:$G$92,"Tanah",'Daftar Koreksi'!$H$5:$H$92,"&lt;0")-SUMIFS('Daftar Koreksi'!$H$5:$H$92,'Daftar Koreksi'!$D$5:$D$92,'2600'!A26,'Daftar Koreksi'!$G$5:$G$92,"Tanah",'Daftar Koreksi'!$H$5:$H$92,"&lt;0")-SUMIFS('Daftar Koreksi'!$H$5:$H$92,'Daftar Koreksi'!$D$5:$D$92,'2600'!A26,'Daftar Koreksi'!$G$5:$G$92,"Tanah",'Daftar Koreksi'!$H$5:$H$92,"&lt;0")</f>
        <v>0</v>
      </c>
      <c r="G30" s="17">
        <f t="shared" ref="G30:G46" si="1">D30+E30-F30</f>
        <v>1861261000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1528818023</v>
      </c>
      <c r="E31" s="25">
        <f>SUMIFS('Daftar Koreksi'!$H$5:$H$92,'Daftar Koreksi'!$D$5:$D$92,'2600'!A26,'Daftar Koreksi'!$G$5:$G$92,"Peralatan dan mesin",'Daftar Koreksi'!$H$5:$H$92,"&gt;0")</f>
        <v>0</v>
      </c>
      <c r="F31" s="25">
        <f>SUMIFS('Daftar Koreksi'!$H$5:$H$92,'Daftar Koreksi'!$D$5:$D$92,'2600'!A26,'Daftar Koreksi'!$G$5:$G$92,"Peralatan dan mesin",'Daftar Koreksi'!$H$5:$H$92,"&lt;0")-SUMIFS('Daftar Koreksi'!$H$5:$H$92,'Daftar Koreksi'!$D$5:$D$92,'2600'!A26,'Daftar Koreksi'!$G$5:$G$92,"Peralatan dan mesin",'Daftar Koreksi'!$H$5:$H$92,"&lt;0")-SUMIFS('Daftar Koreksi'!$H$5:$H$92,'Daftar Koreksi'!$D$5:$D$92,'2600'!A26,'Daftar Koreksi'!$G$5:$G$92,"Peralatan dan mesin",'Daftar Koreksi'!$H$5:$H$92,"&lt;0")</f>
        <v>0</v>
      </c>
      <c r="G31" s="17">
        <f t="shared" si="1"/>
        <v>1528818023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4391041263</v>
      </c>
      <c r="E32" s="25">
        <f>SUMIFS('Daftar Koreksi'!$H$5:$H$92,'Daftar Koreksi'!$D$5:$D$92,'2600'!A26,'Daftar Koreksi'!$G$5:$G$92,"Gedung dan Bangunan",'Daftar Koreksi'!$H$5:$H$92,"&gt;0")</f>
        <v>0</v>
      </c>
      <c r="F32" s="25">
        <f>SUMIFS('Daftar Koreksi'!$H$5:$H$92,'Daftar Koreksi'!$D$5:$D$92,'2600'!A26,'Daftar Koreksi'!$G$5:$G$92,"Gedung dan Bangunan",'Daftar Koreksi'!$H$5:$H$92,"&lt;0")-SUMIFS('Daftar Koreksi'!$H$5:$H$92,'Daftar Koreksi'!$D$5:$D$92,'2600'!A26,'Daftar Koreksi'!$G$5:$G$92,"Gedung dan Bangunan",'Daftar Koreksi'!$H$5:$H$92,"&lt;0")-SUMIFS('Daftar Koreksi'!$H$5:$H$92,'Daftar Koreksi'!$D$5:$D$92,'2600'!A26,'Daftar Koreksi'!$G$5:$G$92,"Gedung dan Bangunan",'Daftar Koreksi'!$H$5:$H$92,"&lt;0")</f>
        <v>0</v>
      </c>
      <c r="G32" s="17">
        <f t="shared" si="1"/>
        <v>4391041263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Koreksi'!$D$5:$D$92,'2600'!A26,'Daftar Koreksi'!$G$5:$G$92,"Jalan Irigasi Jaringan",'Daftar Koreksi'!$H$5:$H$92,"&gt;0")</f>
        <v>0</v>
      </c>
      <c r="F33" s="25">
        <f>SUMIFS('Daftar Koreksi'!$H$5:$H$92,'Daftar Koreksi'!$D$5:$D$92,'2600'!A26,'Daftar Koreksi'!$G$5:$G$92,"Jalan Irigasi Jaringan",'Daftar Koreksi'!$H$5:$H$92,"&lt;0")-SUMIFS('Daftar Koreksi'!$H$5:$H$92,'Daftar Koreksi'!$D$5:$D$92,'2600'!A26,'Daftar Koreksi'!$G$5:$G$92,"Jalan Irigasi Jaringan",'Daftar Koreksi'!$H$5:$H$92,"&lt;0")-SUMIFS('Daftar Koreksi'!$H$5:$H$92,'Daftar Koreksi'!$D$5:$D$92,'2600'!A26,'Daftar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5493000</v>
      </c>
      <c r="E34" s="25">
        <f>SUMIFS('Daftar Koreksi'!$H$5:$H$92,'Daftar Koreksi'!$D$5:$D$92,'2600'!A26,'Daftar Koreksi'!$G$5:$G$92,"Aset Tetap Lainnya",'Daftar Koreksi'!$H$5:$H$92,"&gt;0")</f>
        <v>0</v>
      </c>
      <c r="F34" s="25">
        <f>SUMIFS('Daftar Koreksi'!$H$5:$H$92,'Daftar Koreksi'!$D$5:$D$92,'2600'!A26,'Daftar Koreksi'!$G$5:$G$92,"Aset Tetap Lainnya",'Daftar Koreksi'!$H$5:$H$92,"&lt;0")-SUMIFS('Daftar Koreksi'!$H$5:$H$92,'Daftar Koreksi'!$D$5:$D$92,'2600'!A26,'Daftar Koreksi'!$G$5:$G$92,"Aset Tetap Lainnya",'Daftar Koreksi'!$H$5:$H$92,"&lt;0")-SUMIFS('Daftar Koreksi'!$H$5:$H$92,'Daftar Koreksi'!$D$5:$D$92,'2600'!A26,'Daftar Koreksi'!$G$5:$G$92,"Aset Tetap Lainnya",'Daftar Koreksi'!$H$5:$H$92,"&lt;0")</f>
        <v>0</v>
      </c>
      <c r="G34" s="17">
        <f t="shared" si="1"/>
        <v>5493000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Koreksi'!$D$5:$D$92,'2600'!A26,'Daftar Koreksi'!$G$5:$G$92,"Kontruksi Dalam Pengerjaan",'Daftar Koreksi'!$H$5:$H$92,"&gt;0")</f>
        <v>0</v>
      </c>
      <c r="F35" s="25">
        <f>SUMIFS('Daftar Koreksi'!$H$5:$H$92,'Daftar Koreksi'!$D$5:$D$92,'2600'!A26,'Daftar Koreksi'!$G$5:$G$92,"Kontruksi Dalam Pengerjaan",'Daftar Koreksi'!$H$5:$H$92,"&lt;0")-SUMIFS('Daftar Koreksi'!$H$5:$H$92,'Daftar Koreksi'!$D$5:$D$92,'2600'!A26,'Daftar Koreksi'!$G$5:$G$92,"Kontruksi Dalam Pengerjaan",'Daftar Koreksi'!$H$5:$H$92,"&lt;0")-SUMIFS('Daftar Koreksi'!$H$5:$H$92,'Daftar Koreksi'!$D$5:$D$92,'2600'!A26,'Daftar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15000000</v>
      </c>
      <c r="E36" s="25">
        <f>SUMIFS('Daftar Koreksi'!$H$5:$H$92,'Daftar Koreksi'!$D$5:$D$92,'2600'!A26,'Daftar Koreksi'!$G$5:$G$92,"Aset Tak Berwujud",'Daftar Koreksi'!$H$5:$H$92,"&gt;0")</f>
        <v>0</v>
      </c>
      <c r="F36" s="25">
        <f>SUMIFS('Daftar Koreksi'!$H$5:$H$92,'Daftar Koreksi'!$D$5:$D$92,'2600'!A26,'Daftar Koreksi'!$G$5:$G$92,"Aset Tak Berwujud",'Daftar Koreksi'!$H$5:$H$92,"&lt;0")-SUMIFS('Daftar Koreksi'!$H$5:$H$92,'Daftar Koreksi'!$D$5:$D$92,'2600'!A26,'Daftar Koreksi'!$G$5:$G$92,"Aset Tak Berwujud",'Daftar Koreksi'!$H$5:$H$92,"&lt;0")-SUMIFS('Daftar Koreksi'!$H$5:$H$92,'Daftar Koreksi'!$D$5:$D$92,'2600'!A26,'Daftar Koreksi'!$G$5:$G$92,"Aset Tak Berwujud",'Daftar Koreksi'!$H$5:$H$92,"&lt;0")</f>
        <v>0</v>
      </c>
      <c r="G36" s="17">
        <f t="shared" si="1"/>
        <v>15000000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118138580</v>
      </c>
      <c r="E37" s="25">
        <f>SUMIFS('Daftar Koreksi'!$H$5:$H$92,'Daftar Koreksi'!$D$5:$D$92,'2600'!A26,'Daftar Koreksi'!$G$5:$G$92,"Aset Henti Guna",'Daftar Koreksi'!$H$5:$H$92,"&gt;0")</f>
        <v>0</v>
      </c>
      <c r="F37" s="25">
        <f>SUMIFS('Daftar Koreksi'!$H$5:$H$92,'Daftar Koreksi'!$D$5:$D$92,'2600'!A26,'Daftar Koreksi'!$G$5:$G$92,"Aset Henti Guna",'Daftar Koreksi'!$H$5:$H$92,"&lt;0")-SUMIFS('Daftar Koreksi'!$H$5:$H$92,'Daftar Koreksi'!$D$5:$D$92,'2600'!A26,'Daftar Koreksi'!$G$5:$G$92,"Aset Henti Guna",'Daftar Koreksi'!$H$5:$H$92,"&lt;0")-SUMIFS('Daftar Koreksi'!$H$5:$H$92,'Daftar Koreksi'!$D$5:$D$92,'2600'!A26,'Daftar Koreksi'!$G$5:$G$92,"Aset Henti Guna",'Daftar Koreksi'!$H$5:$H$92,"&lt;0")</f>
        <v>0</v>
      </c>
      <c r="G37" s="17">
        <f t="shared" si="1"/>
        <v>118138580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7919971116</v>
      </c>
      <c r="E38" s="19">
        <f>SUM(E29:E37)</f>
        <v>0</v>
      </c>
      <c r="F38" s="19">
        <f>SUM(F29:F37)</f>
        <v>0</v>
      </c>
      <c r="G38" s="19">
        <f t="shared" si="1"/>
        <v>7919971116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-1071173427</v>
      </c>
      <c r="E39" s="25">
        <f>SUMIFS('Daftar Koreksi'!$I$5:$I$92,'Daftar Koreksi'!$D$5:$D$92,'2600'!A26,'Daftar Koreksi'!$G$5:$G$92,"Peralatan dan mesin",'Daftar Koreksi'!$I$5:$I$92,"&gt;0")</f>
        <v>0</v>
      </c>
      <c r="F39" s="25">
        <f>SUMIFS('Daftar Koreksi'!$I$5:$I$92,'Daftar Koreksi'!$D$5:$D$92,'2600'!A26,'Daftar Koreksi'!$G$5:$G$92,"Peralatan dan mesin",'Daftar Koreksi'!$I$5:$I$92,"&lt;0")-SUMIFS('Daftar Koreksi'!$I$5:$I$92,'Daftar Koreksi'!$D$5:$D$92,'2600'!A26,'Daftar Koreksi'!$G$5:$G$92,"Peralatan dan mesin",'Daftar Koreksi'!$I$5:$I$92,"&lt;0")-SUMIFS('Daftar Koreksi'!$I$5:$I$92,'Daftar Koreksi'!$D$5:$D$92,'2600'!A26,'Daftar Koreksi'!$G$5:$G$92,"Peralatan dan mesin",'Daftar Koreksi'!$I$5:$I$92,"&lt;0")</f>
        <v>0</v>
      </c>
      <c r="G39" s="17">
        <f t="shared" si="1"/>
        <v>-1071173427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-939229050</v>
      </c>
      <c r="E40" s="25">
        <f>SUMIFS('Daftar Koreksi'!$I$5:$I$92,'Daftar Koreksi'!$D$5:$D$92,'2600'!A26,'Daftar Koreksi'!$G$5:$G$92,"Gedung dan Bangunan",'Daftar Koreksi'!$I$5:$I$92,"&gt;0")</f>
        <v>0</v>
      </c>
      <c r="F40" s="25">
        <f>SUMIFS('Daftar Koreksi'!$I$5:$I$92,'Daftar Koreksi'!$D$5:$D$92,'2600'!A26,'Daftar Koreksi'!$G$5:$G$92,"Gedung dan Bangunan",'Daftar Koreksi'!$I$5:$I$92,"&lt;0")-SUMIFS('Daftar Koreksi'!$I$5:$I$92,'Daftar Koreksi'!$D$5:$D$92,'2600'!A26,'Daftar Koreksi'!$G$5:$G$92,"Gedung dan Bangunan",'Daftar Koreksi'!$I$5:$I$92,"&lt;0")-SUMIFS('Daftar Koreksi'!$I$5:$I$92,'Daftar Koreksi'!$D$5:$D$92,'2600'!A26,'Daftar Koreksi'!$G$5:$G$92,"Gedung dan Bangunan",'Daftar Koreksi'!$I$5:$I$92,"&lt;0")</f>
        <v>0</v>
      </c>
      <c r="G40" s="17">
        <f t="shared" si="1"/>
        <v>-939229050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Koreksi'!$D$5:$D$92,'2600'!A26,'Daftar Koreksi'!$G$5:$G$92,"Jalan Irigasi Jaringan",'Daftar Koreksi'!$I$5:$I$92,"&gt;0")</f>
        <v>0</v>
      </c>
      <c r="F41" s="25">
        <f>SUMIFS('Daftar Koreksi'!$I$5:$I$92,'Daftar Koreksi'!$D$5:$D$92,'2600'!A26,'Daftar Koreksi'!$G$5:$G$92,"Jalan Irigasi Jaringan",'Daftar Koreksi'!$I$5:$I$92,"&lt;0")-SUMIFS('Daftar Koreksi'!$I$5:$I$92,'Daftar Koreksi'!$D$5:$D$92,'2600'!A26,'Daftar Koreksi'!$G$5:$G$92,"Jalan Irigasi Jaringan",'Daftar Koreksi'!$I$5:$I$92,"&lt;0")-SUMIFS('Daftar Koreksi'!$I$5:$I$92,'Daftar Koreksi'!$D$5:$D$92,'2600'!A26,'Daftar Koreksi'!$G$5:$G$92,"Jalan Irigasi Jaringan",'Daftar Koreksi'!$I$5:$I$92,"&lt;0")</f>
        <v>0</v>
      </c>
      <c r="G41" s="17">
        <f t="shared" si="1"/>
        <v>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Koreksi'!$D$5:$D$92,'2600'!A26,'Daftar Koreksi'!$G$5:$G$92,"Aset Tetap Lainnya",'Daftar Koreksi'!$I$5:$I$92,"&gt;0")</f>
        <v>0</v>
      </c>
      <c r="F42" s="25">
        <f>SUMIFS('Daftar Koreksi'!$I$5:$I$92,'Daftar Koreksi'!$D$5:$D$92,'2600'!A26,'Daftar Koreksi'!$G$5:$G$92,"Aset Tetap Lainnya",'Daftar Koreksi'!$I$5:$I$92,"&lt;0")-SUMIFS('Daftar Koreksi'!$I$5:$I$92,'Daftar Koreksi'!$D$5:$D$92,'2600'!A26,'Daftar Koreksi'!$G$5:$G$92,"Aset Tetap Lainnya",'Daftar Koreksi'!$I$5:$I$92,"&lt;0")-SUMIFS('Daftar Koreksi'!$I$5:$I$92,'Daftar Koreksi'!$D$5:$D$92,'2600'!A26,'Daftar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-117823155</v>
      </c>
      <c r="E43" s="25">
        <f>SUMIFS('Daftar Koreksi'!$I$5:$I$92,'Daftar Koreksi'!$D$5:$D$92,'2600'!A26,'Daftar Koreksi'!$G$5:$G$92,"Aset Henti Guna",'Daftar Koreksi'!$I$5:$I$92,"&gt;0")</f>
        <v>0</v>
      </c>
      <c r="F43" s="25">
        <f>SUMIFS('Daftar Koreksi'!$I$5:$I$92,'Daftar Koreksi'!$D$5:$D$92,'2600'!A26,'Daftar Koreksi'!$G$5:$G$92,"Aset Henti Guna",'Daftar Koreksi'!$I$5:$I$92,"&lt;0")-SUMIFS('Daftar Koreksi'!$I$5:$I$92,'Daftar Koreksi'!$D$5:$D$92,'2600'!A26,'Daftar Koreksi'!$G$5:$G$92,"Aset Henti Guna",'Daftar Koreksi'!$I$5:$I$92,"&lt;0")-SUMIFS('Daftar Koreksi'!$I$5:$I$92,'Daftar Koreksi'!$D$5:$D$92,'2600'!A26,'Daftar Koreksi'!$G$5:$G$92,"Aset Henti Guna",'Daftar Koreksi'!$I$5:$I$92,"&lt;0")</f>
        <v>0</v>
      </c>
      <c r="G43" s="17">
        <f t="shared" si="1"/>
        <v>-117823155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-2128225632</v>
      </c>
      <c r="E44" s="19">
        <f>SUM(E39:E43)</f>
        <v>0</v>
      </c>
      <c r="F44" s="19">
        <f>SUM(F39:F43)</f>
        <v>0</v>
      </c>
      <c r="G44" s="19">
        <f t="shared" si="1"/>
        <v>-2128225632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5791745484</v>
      </c>
      <c r="E45" s="19">
        <f>E44+E38</f>
        <v>0</v>
      </c>
      <c r="F45" s="19">
        <f>F44+F38</f>
        <v>0</v>
      </c>
      <c r="G45" s="19">
        <f t="shared" si="1"/>
        <v>5791745484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005012600308035000KD</v>
      </c>
      <c r="B48" s="11" t="str">
        <f>P3</f>
        <v>PA. Argamakmur</v>
      </c>
      <c r="C48" s="12" t="str">
        <f>A48&amp;" "&amp;B48</f>
        <v>005012600308035000KD PA. Argamakmur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5436550</v>
      </c>
      <c r="E51" s="25">
        <f>SUMIFS('Daftar Koreksi'!$H$5:$H$92,'Daftar Koreksi'!$D$5:$D$92,'2600'!A48,'Daftar Koreksi'!$G$5:$G$92,"Persediaan",'Daftar Koreksi'!$H$5:$H$92,"&gt;0")</f>
        <v>0</v>
      </c>
      <c r="F51" s="25">
        <f>SUMIFS('Daftar Koreksi'!$H$5:$H$92,'Daftar Koreksi'!$D$5:$D$92,'2600'!A48,'Daftar Koreksi'!$G$5:$G$92,"Persediaan",'Daftar Koreksi'!$H$5:$H$92,"&lt;0")-SUMIFS('Daftar Koreksi'!$H$5:$H$92,'Daftar Koreksi'!$D$5:$D$92,'2600'!A48,'Daftar Koreksi'!$G$5:$G$92,"Persediaan",'Daftar Koreksi'!$H$5:$H$92,"&lt;0")-SUMIFS('Daftar Koreksi'!$H$5:$H$92,'Daftar Koreksi'!$D$5:$D$92,'2600'!A48,'Daftar Koreksi'!$G$5:$G$92,"Persediaan",'Daftar Koreksi'!$H$5:$H$92,"&lt;0")</f>
        <v>0</v>
      </c>
      <c r="G51" s="17">
        <f>D51+E51-F51</f>
        <v>5436550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1846348000</v>
      </c>
      <c r="E52" s="25">
        <f>SUMIFS('Daftar Koreksi'!$H$5:$H$92,'Daftar Koreksi'!$D$5:$D$92,'2600'!A48,'Daftar Koreksi'!$G$5:$G$92,"Tanah",'Daftar Koreksi'!$H$5:$H$92,"&gt;0")</f>
        <v>0</v>
      </c>
      <c r="F52" s="25">
        <f>SUMIFS('Daftar Koreksi'!$H$5:$H$92,'Daftar Koreksi'!$D$5:$D$92,'2600'!A48,'Daftar Koreksi'!$G$5:$G$92,"Tanah",'Daftar Koreksi'!$H$5:$H$92,"&lt;0")-SUMIFS('Daftar Koreksi'!$H$5:$H$92,'Daftar Koreksi'!$D$5:$D$92,'2600'!A48,'Daftar Koreksi'!$G$5:$G$92,"Tanah",'Daftar Koreksi'!$H$5:$H$92,"&lt;0")-SUMIFS('Daftar Koreksi'!$H$5:$H$92,'Daftar Koreksi'!$D$5:$D$92,'2600'!A48,'Daftar Koreksi'!$G$5:$G$92,"Tanah",'Daftar Koreksi'!$H$5:$H$92,"&lt;0")</f>
        <v>0</v>
      </c>
      <c r="G52" s="17">
        <f t="shared" ref="G52:G68" si="2">D52+E52-F52</f>
        <v>1846348000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1668777253</v>
      </c>
      <c r="E53" s="25">
        <f>SUMIFS('Daftar Koreksi'!$H$5:$H$92,'Daftar Koreksi'!$D$5:$D$92,'2600'!A48,'Daftar Koreksi'!$G$5:$G$92,"Peralatan dan mesin",'Daftar Koreksi'!$H$5:$H$92,"&gt;0")</f>
        <v>0</v>
      </c>
      <c r="F53" s="25">
        <f>SUMIFS('Daftar Koreksi'!$H$5:$H$92,'Daftar Koreksi'!$D$5:$D$92,'2600'!A48,'Daftar Koreksi'!$G$5:$G$92,"Peralatan dan mesin",'Daftar Koreksi'!$H$5:$H$92,"&lt;0")-SUMIFS('Daftar Koreksi'!$H$5:$H$92,'Daftar Koreksi'!$D$5:$D$92,'2600'!A48,'Daftar Koreksi'!$G$5:$G$92,"Peralatan dan mesin",'Daftar Koreksi'!$H$5:$H$92,"&lt;0")-SUMIFS('Daftar Koreksi'!$H$5:$H$92,'Daftar Koreksi'!$D$5:$D$92,'2600'!A48,'Daftar Koreksi'!$G$5:$G$92,"Peralatan dan mesin",'Daftar Koreksi'!$H$5:$H$92,"&lt;0")</f>
        <v>0</v>
      </c>
      <c r="G53" s="17">
        <f t="shared" si="2"/>
        <v>1668777253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3557465600</v>
      </c>
      <c r="E54" s="25">
        <f>SUMIFS('Daftar Koreksi'!$H$5:$H$92,'Daftar Koreksi'!$D$5:$D$92,'2600'!A48,'Daftar Koreksi'!$G$5:$G$92,"Gedung dan Bangunan",'Daftar Koreksi'!$H$5:$H$92,"&gt;0")</f>
        <v>0</v>
      </c>
      <c r="F54" s="25">
        <f>SUMIFS('Daftar Koreksi'!$H$5:$H$92,'Daftar Koreksi'!$D$5:$D$92,'2600'!A48,'Daftar Koreksi'!$G$5:$G$92,"Gedung dan Bangunan",'Daftar Koreksi'!$H$5:$H$92,"&lt;0")-SUMIFS('Daftar Koreksi'!$H$5:$H$92,'Daftar Koreksi'!$D$5:$D$92,'2600'!A48,'Daftar Koreksi'!$G$5:$G$92,"Gedung dan Bangunan",'Daftar Koreksi'!$H$5:$H$92,"&lt;0")-SUMIFS('Daftar Koreksi'!$H$5:$H$92,'Daftar Koreksi'!$D$5:$D$92,'2600'!A48,'Daftar Koreksi'!$G$5:$G$92,"Gedung dan Bangunan",'Daftar Koreksi'!$H$5:$H$92,"&lt;0")</f>
        <v>0</v>
      </c>
      <c r="G54" s="17">
        <f t="shared" si="2"/>
        <v>3557465600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125623000</v>
      </c>
      <c r="E55" s="25">
        <f>SUMIFS('Daftar Koreksi'!$H$5:$H$92,'Daftar Koreksi'!$D$5:$D$92,'2600'!A48,'Daftar Koreksi'!$G$5:$G$92,"Jalan Irigasi Jaringan",'Daftar Koreksi'!$H$5:$H$92,"&gt;0")</f>
        <v>0</v>
      </c>
      <c r="F55" s="25">
        <f>SUMIFS('Daftar Koreksi'!$H$5:$H$92,'Daftar Koreksi'!$D$5:$D$92,'2600'!A48,'Daftar Koreksi'!$G$5:$G$92,"Jalan Irigasi Jaringan",'Daftar Koreksi'!$H$5:$H$92,"&lt;0")-SUMIFS('Daftar Koreksi'!$H$5:$H$92,'Daftar Koreksi'!$D$5:$D$92,'2600'!A48,'Daftar Koreksi'!$G$5:$G$92,"Jalan Irigasi Jaringan",'Daftar Koreksi'!$H$5:$H$92,"&lt;0")-SUMIFS('Daftar Koreksi'!$H$5:$H$92,'Daftar Koreksi'!$D$5:$D$92,'2600'!A48,'Daftar Koreksi'!$G$5:$G$92,"Jalan Irigasi Jaringan",'Daftar Koreksi'!$H$5:$H$92,"&lt;0")</f>
        <v>0</v>
      </c>
      <c r="G55" s="17">
        <f t="shared" si="2"/>
        <v>125623000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29598500</v>
      </c>
      <c r="E56" s="25">
        <f>SUMIFS('Daftar Koreksi'!$H$5:$H$92,'Daftar Koreksi'!$D$5:$D$92,'2600'!A48,'Daftar Koreksi'!$G$5:$G$92,"Aset Tetap Lainnya",'Daftar Koreksi'!$H$5:$H$92,"&gt;0")</f>
        <v>0</v>
      </c>
      <c r="F56" s="25">
        <f>SUMIFS('Daftar Koreksi'!$H$5:$H$92,'Daftar Koreksi'!$D$5:$D$92,'2600'!A48,'Daftar Koreksi'!$G$5:$G$92,"Aset Tetap Lainnya",'Daftar Koreksi'!$H$5:$H$92,"&lt;0")-SUMIFS('Daftar Koreksi'!$H$5:$H$92,'Daftar Koreksi'!$D$5:$D$92,'2600'!A48,'Daftar Koreksi'!$G$5:$G$92,"Aset Tetap Lainnya",'Daftar Koreksi'!$H$5:$H$92,"&lt;0")-SUMIFS('Daftar Koreksi'!$H$5:$H$92,'Daftar Koreksi'!$D$5:$D$92,'2600'!A48,'Daftar Koreksi'!$G$5:$G$92,"Aset Tetap Lainnya",'Daftar Koreksi'!$H$5:$H$92,"&lt;0")</f>
        <v>0</v>
      </c>
      <c r="G56" s="17">
        <f t="shared" si="2"/>
        <v>29598500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Koreksi'!$D$5:$D$92,'2600'!A48,'Daftar Koreksi'!$G$5:$G$92,"Kontruksi Dalam Pengerjaan",'Daftar Koreksi'!$H$5:$H$92,"&gt;0")</f>
        <v>0</v>
      </c>
      <c r="F57" s="25">
        <f>SUMIFS('Daftar Koreksi'!$H$5:$H$92,'Daftar Koreksi'!$D$5:$D$92,'2600'!A48,'Daftar Koreksi'!$G$5:$G$92,"Kontruksi Dalam Pengerjaan",'Daftar Koreksi'!$H$5:$H$92,"&lt;0")-SUMIFS('Daftar Koreksi'!$H$5:$H$92,'Daftar Koreksi'!$D$5:$D$92,'2600'!A48,'Daftar Koreksi'!$G$5:$G$92,"Kontruksi Dalam Pengerjaan",'Daftar Koreksi'!$H$5:$H$92,"&lt;0")-SUMIFS('Daftar Koreksi'!$H$5:$H$92,'Daftar Koreksi'!$D$5:$D$92,'2600'!A48,'Daftar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26750000</v>
      </c>
      <c r="E58" s="25">
        <f>SUMIFS('Daftar Koreksi'!$H$5:$H$92,'Daftar Koreksi'!$D$5:$D$92,'2600'!A48,'Daftar Koreksi'!$G$5:$G$92,"Aset Tak Berwujud",'Daftar Koreksi'!$H$5:$H$92,"&gt;0")</f>
        <v>0</v>
      </c>
      <c r="F58" s="25">
        <f>SUMIFS('Daftar Koreksi'!$H$5:$H$92,'Daftar Koreksi'!$D$5:$D$92,'2600'!A48,'Daftar Koreksi'!$G$5:$G$92,"Aset Tak Berwujud",'Daftar Koreksi'!$H$5:$H$92,"&lt;0")-SUMIFS('Daftar Koreksi'!$H$5:$H$92,'Daftar Koreksi'!$D$5:$D$92,'2600'!A48,'Daftar Koreksi'!$G$5:$G$92,"Aset Tak Berwujud",'Daftar Koreksi'!$H$5:$H$92,"&lt;0")-SUMIFS('Daftar Koreksi'!$H$5:$H$92,'Daftar Koreksi'!$D$5:$D$92,'2600'!A48,'Daftar Koreksi'!$G$5:$G$92,"Aset Tak Berwujud",'Daftar Koreksi'!$H$5:$H$92,"&lt;0")</f>
        <v>0</v>
      </c>
      <c r="G58" s="17">
        <f t="shared" si="2"/>
        <v>26750000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17560750</v>
      </c>
      <c r="E59" s="25">
        <f>SUMIFS('Daftar Koreksi'!$H$5:$H$92,'Daftar Koreksi'!$D$5:$D$92,'2600'!A48,'Daftar Koreksi'!$G$5:$G$92,"Aset Henti Guna",'Daftar Koreksi'!$H$5:$H$92,"&gt;0")</f>
        <v>0</v>
      </c>
      <c r="F59" s="25">
        <f>SUMIFS('Daftar Koreksi'!$H$5:$H$92,'Daftar Koreksi'!$D$5:$D$92,'2600'!A48,'Daftar Koreksi'!$G$5:$G$92,"Aset Henti Guna",'Daftar Koreksi'!$H$5:$H$92,"&lt;0")-SUMIFS('Daftar Koreksi'!$H$5:$H$92,'Daftar Koreksi'!$D$5:$D$92,'2600'!A48,'Daftar Koreksi'!$G$5:$G$92,"Aset Henti Guna",'Daftar Koreksi'!$H$5:$H$92,"&lt;0")-SUMIFS('Daftar Koreksi'!$H$5:$H$92,'Daftar Koreksi'!$D$5:$D$92,'2600'!A48,'Daftar Koreksi'!$G$5:$G$92,"Aset Henti Guna",'Daftar Koreksi'!$H$5:$H$92,"&lt;0")</f>
        <v>0</v>
      </c>
      <c r="G59" s="17">
        <f t="shared" si="2"/>
        <v>17560750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7277559653</v>
      </c>
      <c r="E60" s="19">
        <f>SUM(E51:E59)</f>
        <v>0</v>
      </c>
      <c r="F60" s="19">
        <f>SUM(F51:F59)</f>
        <v>0</v>
      </c>
      <c r="G60" s="19">
        <f t="shared" si="2"/>
        <v>7277559653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-1541891532</v>
      </c>
      <c r="E61" s="25">
        <f>SUMIFS('Daftar Koreksi'!$I$5:$I$92,'Daftar Koreksi'!$D$5:$D$92,'2600'!A48,'Daftar Koreksi'!$G$5:$G$92,"Peralatan dan mesin",'Daftar Koreksi'!$I$5:$I$92,"&gt;0")</f>
        <v>0</v>
      </c>
      <c r="F61" s="25">
        <f>SUMIFS('Daftar Koreksi'!$I$5:$I$92,'Daftar Koreksi'!$D$5:$D$92,'2600'!A48,'Daftar Koreksi'!$G$5:$G$92,"Peralatan dan mesin",'Daftar Koreksi'!$I$5:$I$92,"&lt;0")-SUMIFS('Daftar Koreksi'!$I$5:$I$92,'Daftar Koreksi'!$D$5:$D$92,'2600'!A48,'Daftar Koreksi'!$G$5:$G$92,"Peralatan dan mesin",'Daftar Koreksi'!$I$5:$I$92,"&lt;0")-SUMIFS('Daftar Koreksi'!$I$5:$I$92,'Daftar Koreksi'!$D$5:$D$92,'2600'!A48,'Daftar Koreksi'!$G$5:$G$92,"Peralatan dan mesin",'Daftar Koreksi'!$I$5:$I$92,"&lt;0")</f>
        <v>0</v>
      </c>
      <c r="G61" s="17">
        <f t="shared" si="2"/>
        <v>-1541891532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-595037852</v>
      </c>
      <c r="E62" s="25">
        <f>SUMIFS('Daftar Koreksi'!$I$5:$I$92,'Daftar Koreksi'!$D$5:$D$92,'2600'!A48,'Daftar Koreksi'!$G$5:$G$92,"Gedung dan Bangunan",'Daftar Koreksi'!$I$5:$I$92,"&gt;0")</f>
        <v>0</v>
      </c>
      <c r="F62" s="25">
        <f>SUMIFS('Daftar Koreksi'!$I$5:$I$92,'Daftar Koreksi'!$D$5:$D$92,'2600'!A48,'Daftar Koreksi'!$G$5:$G$92,"Gedung dan Bangunan",'Daftar Koreksi'!$I$5:$I$92,"&lt;0")-SUMIFS('Daftar Koreksi'!$I$5:$I$92,'Daftar Koreksi'!$D$5:$D$92,'2600'!A48,'Daftar Koreksi'!$G$5:$G$92,"Gedung dan Bangunan",'Daftar Koreksi'!$I$5:$I$92,"&lt;0")-SUMIFS('Daftar Koreksi'!$I$5:$I$92,'Daftar Koreksi'!$D$5:$D$92,'2600'!A48,'Daftar Koreksi'!$G$5:$G$92,"Gedung dan Bangunan",'Daftar Koreksi'!$I$5:$I$92,"&lt;0")</f>
        <v>0</v>
      </c>
      <c r="G62" s="17">
        <f t="shared" si="2"/>
        <v>-595037852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-6996825</v>
      </c>
      <c r="E63" s="25">
        <f>SUMIFS('Daftar Koreksi'!$I$5:$I$92,'Daftar Koreksi'!$D$5:$D$92,'2600'!A48,'Daftar Koreksi'!$G$5:$G$92,"Jalan Irigasi Jaringan",'Daftar Koreksi'!$I$5:$I$92,"&gt;0")</f>
        <v>0</v>
      </c>
      <c r="F63" s="25">
        <f>SUMIFS('Daftar Koreksi'!$I$5:$I$92,'Daftar Koreksi'!$D$5:$D$92,'2600'!A48,'Daftar Koreksi'!$G$5:$G$92,"Jalan Irigasi Jaringan",'Daftar Koreksi'!$I$5:$I$92,"&lt;0")-SUMIFS('Daftar Koreksi'!$I$5:$I$92,'Daftar Koreksi'!$D$5:$D$92,'2600'!A48,'Daftar Koreksi'!$G$5:$G$92,"Jalan Irigasi Jaringan",'Daftar Koreksi'!$I$5:$I$92,"&lt;0")-SUMIFS('Daftar Koreksi'!$I$5:$I$92,'Daftar Koreksi'!$D$5:$D$92,'2600'!A48,'Daftar Koreksi'!$G$5:$G$92,"Jalan Irigasi Jaringan",'Daftar Koreksi'!$I$5:$I$92,"&lt;0")</f>
        <v>0</v>
      </c>
      <c r="G63" s="17">
        <f t="shared" si="2"/>
        <v>-6996825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Koreksi'!$D$5:$D$92,'2600'!A48,'Daftar Koreksi'!$G$5:$G$92,"Aset Tetap Lainnya",'Daftar Koreksi'!$I$5:$I$92,"&gt;0")</f>
        <v>0</v>
      </c>
      <c r="F64" s="25">
        <f>SUMIFS('Daftar Koreksi'!$I$5:$I$92,'Daftar Koreksi'!$D$5:$D$92,'2600'!A48,'Daftar Koreksi'!$G$5:$G$92,"Aset Tetap Lainnya",'Daftar Koreksi'!$I$5:$I$92,"&lt;0")-SUMIFS('Daftar Koreksi'!$I$5:$I$92,'Daftar Koreksi'!$D$5:$D$92,'2600'!A48,'Daftar Koreksi'!$G$5:$G$92,"Aset Tetap Lainnya",'Daftar Koreksi'!$I$5:$I$92,"&lt;0")-SUMIFS('Daftar Koreksi'!$I$5:$I$92,'Daftar Koreksi'!$D$5:$D$92,'2600'!A48,'Daftar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-17560750</v>
      </c>
      <c r="E65" s="25">
        <f>SUMIFS('Daftar Koreksi'!$I$5:$I$92,'Daftar Koreksi'!$D$5:$D$92,'2600'!A48,'Daftar Koreksi'!$G$5:$G$92,"Aset Henti Guna",'Daftar Koreksi'!$I$5:$I$92,"&gt;0")</f>
        <v>0</v>
      </c>
      <c r="F65" s="25">
        <f>SUMIFS('Daftar Koreksi'!$I$5:$I$92,'Daftar Koreksi'!$D$5:$D$92,'2600'!A48,'Daftar Koreksi'!$G$5:$G$92,"Aset Henti Guna",'Daftar Koreksi'!$I$5:$I$92,"&lt;0")-SUMIFS('Daftar Koreksi'!$I$5:$I$92,'Daftar Koreksi'!$D$5:$D$92,'2600'!A48,'Daftar Koreksi'!$G$5:$G$92,"Aset Henti Guna",'Daftar Koreksi'!$I$5:$I$92,"&lt;0")-SUMIFS('Daftar Koreksi'!$I$5:$I$92,'Daftar Koreksi'!$D$5:$D$92,'2600'!A48,'Daftar Koreksi'!$G$5:$G$92,"Aset Henti Guna",'Daftar Koreksi'!$I$5:$I$92,"&lt;0")</f>
        <v>0</v>
      </c>
      <c r="G65" s="17">
        <f t="shared" si="2"/>
        <v>-17560750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-2161486959</v>
      </c>
      <c r="E66" s="19">
        <f>SUM(E61:E65)</f>
        <v>0</v>
      </c>
      <c r="F66" s="19">
        <f>SUM(F61:F65)</f>
        <v>0</v>
      </c>
      <c r="G66" s="19">
        <f t="shared" si="2"/>
        <v>-2161486959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5116072694</v>
      </c>
      <c r="E67" s="19">
        <f>E66+E60</f>
        <v>0</v>
      </c>
      <c r="F67" s="19">
        <f>F66+F60</f>
        <v>0</v>
      </c>
      <c r="G67" s="19">
        <f t="shared" si="2"/>
        <v>5116072694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005012600308152000KD</v>
      </c>
      <c r="B70" s="11" t="str">
        <f>P4</f>
        <v>PA. Bengkulu</v>
      </c>
      <c r="C70" s="12" t="str">
        <f>A70&amp;" "&amp;B70</f>
        <v>005012600308152000KD PA. Bengkulu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1291650</v>
      </c>
      <c r="E73" s="25">
        <f>SUMIFS('Daftar Koreksi'!$H$5:$H$92,'Daftar Koreksi'!$D$5:$D$92,'2600'!A70,'Daftar Koreksi'!$G$5:$G$92,"Persediaan",'Daftar Koreksi'!$H$5:$H$92,"&gt;0")</f>
        <v>0</v>
      </c>
      <c r="F73" s="25">
        <f>SUMIFS('Daftar Koreksi'!$H$5:$H$92,'Daftar Koreksi'!$D$5:$D$92,'2600'!A70,'Daftar Koreksi'!$G$5:$G$92,"Persediaan",'Daftar Koreksi'!$H$5:$H$92,"&lt;0")-SUMIFS('Daftar Koreksi'!$H$5:$H$92,'Daftar Koreksi'!$D$5:$D$92,'2600'!A70,'Daftar Koreksi'!$G$5:$G$92,"Persediaan",'Daftar Koreksi'!$H$5:$H$92,"&lt;0")-SUMIFS('Daftar Koreksi'!$H$5:$H$92,'Daftar Koreksi'!$D$5:$D$92,'2600'!A70,'Daftar Koreksi'!$G$5:$G$92,"Persediaan",'Daftar Koreksi'!$H$5:$H$92,"&lt;0")</f>
        <v>0</v>
      </c>
      <c r="G73" s="17">
        <f>D73+E73-F73</f>
        <v>1291650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911070000</v>
      </c>
      <c r="E74" s="25">
        <f>SUMIFS('Daftar Koreksi'!$H$5:$H$92,'Daftar Koreksi'!$D$5:$D$92,'2600'!A70,'Daftar Koreksi'!$G$5:$G$92,"Tanah",'Daftar Koreksi'!$H$5:$H$92,"&gt;0")</f>
        <v>0</v>
      </c>
      <c r="F74" s="25">
        <f>SUMIFS('Daftar Koreksi'!$H$5:$H$92,'Daftar Koreksi'!$D$5:$D$92,'2600'!A70,'Daftar Koreksi'!$G$5:$G$92,"Tanah",'Daftar Koreksi'!$H$5:$H$92,"&lt;0")-SUMIFS('Daftar Koreksi'!$H$5:$H$92,'Daftar Koreksi'!$D$5:$D$92,'2600'!A70,'Daftar Koreksi'!$G$5:$G$92,"Tanah",'Daftar Koreksi'!$H$5:$H$92,"&lt;0")-SUMIFS('Daftar Koreksi'!$H$5:$H$92,'Daftar Koreksi'!$D$5:$D$92,'2600'!A70,'Daftar Koreksi'!$G$5:$G$92,"Tanah",'Daftar Koreksi'!$H$5:$H$92,"&lt;0")</f>
        <v>0</v>
      </c>
      <c r="G74" s="17">
        <f t="shared" ref="G74:G90" si="3">D74+E74-F74</f>
        <v>911070000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2230426829</v>
      </c>
      <c r="E75" s="25">
        <f>SUMIFS('Daftar Koreksi'!$H$5:$H$92,'Daftar Koreksi'!$D$5:$D$92,'2600'!A70,'Daftar Koreksi'!$G$5:$G$92,"Peralatan dan mesin",'Daftar Koreksi'!$H$5:$H$92,"&gt;0")</f>
        <v>0</v>
      </c>
      <c r="F75" s="25">
        <f>SUMIFS('Daftar Koreksi'!$H$5:$H$92,'Daftar Koreksi'!$D$5:$D$92,'2600'!A70,'Daftar Koreksi'!$G$5:$G$92,"Peralatan dan mesin",'Daftar Koreksi'!$H$5:$H$92,"&lt;0")-SUMIFS('Daftar Koreksi'!$H$5:$H$92,'Daftar Koreksi'!$D$5:$D$92,'2600'!A70,'Daftar Koreksi'!$G$5:$G$92,"Peralatan dan mesin",'Daftar Koreksi'!$H$5:$H$92,"&lt;0")-SUMIFS('Daftar Koreksi'!$H$5:$H$92,'Daftar Koreksi'!$D$5:$D$92,'2600'!A70,'Daftar Koreksi'!$G$5:$G$92,"Peralatan dan mesin",'Daftar Koreksi'!$H$5:$H$92,"&lt;0")</f>
        <v>0</v>
      </c>
      <c r="G75" s="17">
        <f t="shared" si="3"/>
        <v>2230426829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4105643209</v>
      </c>
      <c r="E76" s="25">
        <f>SUMIFS('Daftar Koreksi'!$H$5:$H$92,'Daftar Koreksi'!$D$5:$D$92,'2600'!A70,'Daftar Koreksi'!$G$5:$G$92,"Gedung dan Bangunan",'Daftar Koreksi'!$H$5:$H$92,"&gt;0")</f>
        <v>0</v>
      </c>
      <c r="F76" s="25">
        <f>SUMIFS('Daftar Koreksi'!$H$5:$H$92,'Daftar Koreksi'!$D$5:$D$92,'2600'!A70,'Daftar Koreksi'!$G$5:$G$92,"Gedung dan Bangunan",'Daftar Koreksi'!$H$5:$H$92,"&lt;0")-SUMIFS('Daftar Koreksi'!$H$5:$H$92,'Daftar Koreksi'!$D$5:$D$92,'2600'!A70,'Daftar Koreksi'!$G$5:$G$92,"Gedung dan Bangunan",'Daftar Koreksi'!$H$5:$H$92,"&lt;0")-SUMIFS('Daftar Koreksi'!$H$5:$H$92,'Daftar Koreksi'!$D$5:$D$92,'2600'!A70,'Daftar Koreksi'!$G$5:$G$92,"Gedung dan Bangunan",'Daftar Koreksi'!$H$5:$H$92,"&lt;0")</f>
        <v>0</v>
      </c>
      <c r="G76" s="17">
        <f t="shared" si="3"/>
        <v>4105643209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50000000</v>
      </c>
      <c r="E77" s="25">
        <f>SUMIFS('Daftar Koreksi'!$H$5:$H$92,'Daftar Koreksi'!$D$5:$D$92,'2600'!A70,'Daftar Koreksi'!$G$5:$G$92,"Jalan Irigasi Jaringan",'Daftar Koreksi'!$H$5:$H$92,"&gt;0")</f>
        <v>0</v>
      </c>
      <c r="F77" s="25">
        <f>SUMIFS('Daftar Koreksi'!$H$5:$H$92,'Daftar Koreksi'!$D$5:$D$92,'2600'!A70,'Daftar Koreksi'!$G$5:$G$92,"Jalan Irigasi Jaringan",'Daftar Koreksi'!$H$5:$H$92,"&lt;0")-SUMIFS('Daftar Koreksi'!$H$5:$H$92,'Daftar Koreksi'!$D$5:$D$92,'2600'!A70,'Daftar Koreksi'!$G$5:$G$92,"Jalan Irigasi Jaringan",'Daftar Koreksi'!$H$5:$H$92,"&lt;0")-SUMIFS('Daftar Koreksi'!$H$5:$H$92,'Daftar Koreksi'!$D$5:$D$92,'2600'!A70,'Daftar Koreksi'!$G$5:$G$92,"Jalan Irigasi Jaringan",'Daftar Koreksi'!$H$5:$H$92,"&lt;0")</f>
        <v>0</v>
      </c>
      <c r="G77" s="17">
        <f t="shared" si="3"/>
        <v>50000000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13418288</v>
      </c>
      <c r="E78" s="25">
        <f>SUMIFS('Daftar Koreksi'!$H$5:$H$92,'Daftar Koreksi'!$D$5:$D$92,'2600'!A70,'Daftar Koreksi'!$G$5:$G$92,"Aset Tetap Lainnya",'Daftar Koreksi'!$H$5:$H$92,"&gt;0")</f>
        <v>0</v>
      </c>
      <c r="F78" s="25">
        <f>SUMIFS('Daftar Koreksi'!$H$5:$H$92,'Daftar Koreksi'!$D$5:$D$92,'2600'!A70,'Daftar Koreksi'!$G$5:$G$92,"Aset Tetap Lainnya",'Daftar Koreksi'!$H$5:$H$92,"&lt;0")-SUMIFS('Daftar Koreksi'!$H$5:$H$92,'Daftar Koreksi'!$D$5:$D$92,'2600'!A70,'Daftar Koreksi'!$G$5:$G$92,"Aset Tetap Lainnya",'Daftar Koreksi'!$H$5:$H$92,"&lt;0")-SUMIFS('Daftar Koreksi'!$H$5:$H$92,'Daftar Koreksi'!$D$5:$D$92,'2600'!A70,'Daftar Koreksi'!$G$5:$G$92,"Aset Tetap Lainnya",'Daftar Koreksi'!$H$5:$H$92,"&lt;0")</f>
        <v>0</v>
      </c>
      <c r="G78" s="17">
        <f t="shared" si="3"/>
        <v>13418288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Koreksi'!$D$5:$D$92,'2600'!A70,'Daftar Koreksi'!$G$5:$G$92,"Kontruksi Dalam Pengerjaan",'Daftar Koreksi'!$H$5:$H$92,"&gt;0")</f>
        <v>0</v>
      </c>
      <c r="F79" s="25">
        <f>SUMIFS('Daftar Koreksi'!$H$5:$H$92,'Daftar Koreksi'!$D$5:$D$92,'2600'!A70,'Daftar Koreksi'!$G$5:$G$92,"Kontruksi Dalam Pengerjaan",'Daftar Koreksi'!$H$5:$H$92,"&lt;0")-SUMIFS('Daftar Koreksi'!$H$5:$H$92,'Daftar Koreksi'!$D$5:$D$92,'2600'!A70,'Daftar Koreksi'!$G$5:$G$92,"Kontruksi Dalam Pengerjaan",'Daftar Koreksi'!$H$5:$H$92,"&lt;0")-SUMIFS('Daftar Koreksi'!$H$5:$H$92,'Daftar Koreksi'!$D$5:$D$92,'2600'!A70,'Daftar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30650000</v>
      </c>
      <c r="E80" s="25">
        <f>SUMIFS('Daftar Koreksi'!$H$5:$H$92,'Daftar Koreksi'!$D$5:$D$92,'2600'!A70,'Daftar Koreksi'!$G$5:$G$92,"Aset Tak Berwujud",'Daftar Koreksi'!$H$5:$H$92,"&gt;0")</f>
        <v>0</v>
      </c>
      <c r="F80" s="25">
        <f>SUMIFS('Daftar Koreksi'!$H$5:$H$92,'Daftar Koreksi'!$D$5:$D$92,'2600'!A70,'Daftar Koreksi'!$G$5:$G$92,"Aset Tak Berwujud",'Daftar Koreksi'!$H$5:$H$92,"&lt;0")-SUMIFS('Daftar Koreksi'!$H$5:$H$92,'Daftar Koreksi'!$D$5:$D$92,'2600'!A70,'Daftar Koreksi'!$G$5:$G$92,"Aset Tak Berwujud",'Daftar Koreksi'!$H$5:$H$92,"&lt;0")-SUMIFS('Daftar Koreksi'!$H$5:$H$92,'Daftar Koreksi'!$D$5:$D$92,'2600'!A70,'Daftar Koreksi'!$G$5:$G$92,"Aset Tak Berwujud",'Daftar Koreksi'!$H$5:$H$92,"&lt;0")</f>
        <v>0</v>
      </c>
      <c r="G80" s="17">
        <f t="shared" si="3"/>
        <v>30650000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215630500</v>
      </c>
      <c r="E81" s="25">
        <f>SUMIFS('Daftar Koreksi'!$H$5:$H$92,'Daftar Koreksi'!$D$5:$D$92,'2600'!A70,'Daftar Koreksi'!$G$5:$G$92,"Aset Henti Guna",'Daftar Koreksi'!$H$5:$H$92,"&gt;0")</f>
        <v>0</v>
      </c>
      <c r="F81" s="25">
        <f>SUMIFS('Daftar Koreksi'!$H$5:$H$92,'Daftar Koreksi'!$D$5:$D$92,'2600'!A70,'Daftar Koreksi'!$G$5:$G$92,"Aset Henti Guna",'Daftar Koreksi'!$H$5:$H$92,"&lt;0")-SUMIFS('Daftar Koreksi'!$H$5:$H$92,'Daftar Koreksi'!$D$5:$D$92,'2600'!A70,'Daftar Koreksi'!$G$5:$G$92,"Aset Henti Guna",'Daftar Koreksi'!$H$5:$H$92,"&lt;0")-SUMIFS('Daftar Koreksi'!$H$5:$H$92,'Daftar Koreksi'!$D$5:$D$92,'2600'!A70,'Daftar Koreksi'!$G$5:$G$92,"Aset Henti Guna",'Daftar Koreksi'!$H$5:$H$92,"&lt;0")</f>
        <v>0</v>
      </c>
      <c r="G81" s="17">
        <f t="shared" si="3"/>
        <v>215630500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7558130476</v>
      </c>
      <c r="E82" s="19">
        <f>SUM(E73:E81)</f>
        <v>0</v>
      </c>
      <c r="F82" s="19">
        <f>SUM(F73:F81)</f>
        <v>0</v>
      </c>
      <c r="G82" s="19">
        <f t="shared" si="3"/>
        <v>7558130476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-1882160971</v>
      </c>
      <c r="E83" s="25">
        <f>SUMIFS('Daftar Koreksi'!$I$5:$I$92,'Daftar Koreksi'!$D$5:$D$92,'2600'!A70,'Daftar Koreksi'!$G$5:$G$92,"Peralatan dan mesin",'Daftar Koreksi'!$I$5:$I$92,"&gt;0")</f>
        <v>0</v>
      </c>
      <c r="F83" s="25">
        <f>SUMIFS('Daftar Koreksi'!$I$5:$I$92,'Daftar Koreksi'!$D$5:$D$92,'2600'!A70,'Daftar Koreksi'!$G$5:$G$92,"Peralatan dan mesin",'Daftar Koreksi'!$I$5:$I$92,"&lt;0")-SUMIFS('Daftar Koreksi'!$I$5:$I$92,'Daftar Koreksi'!$D$5:$D$92,'2600'!A70,'Daftar Koreksi'!$G$5:$G$92,"Peralatan dan mesin",'Daftar Koreksi'!$I$5:$I$92,"&lt;0")-SUMIFS('Daftar Koreksi'!$I$5:$I$92,'Daftar Koreksi'!$D$5:$D$92,'2600'!A70,'Daftar Koreksi'!$G$5:$G$92,"Peralatan dan mesin",'Daftar Koreksi'!$I$5:$I$92,"&lt;0")</f>
        <v>0</v>
      </c>
      <c r="G83" s="17">
        <f t="shared" si="3"/>
        <v>-1882160971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-547376760</v>
      </c>
      <c r="E84" s="25">
        <f>SUMIFS('Daftar Koreksi'!$I$5:$I$92,'Daftar Koreksi'!$D$5:$D$92,'2600'!A70,'Daftar Koreksi'!$G$5:$G$92,"Gedung dan Bangunan",'Daftar Koreksi'!$I$5:$I$92,"&gt;0")</f>
        <v>0</v>
      </c>
      <c r="F84" s="25">
        <f>SUMIFS('Daftar Koreksi'!$I$5:$I$92,'Daftar Koreksi'!$D$5:$D$92,'2600'!A70,'Daftar Koreksi'!$G$5:$G$92,"Gedung dan Bangunan",'Daftar Koreksi'!$I$5:$I$92,"&lt;0")-SUMIFS('Daftar Koreksi'!$I$5:$I$92,'Daftar Koreksi'!$D$5:$D$92,'2600'!A70,'Daftar Koreksi'!$G$5:$G$92,"Gedung dan Bangunan",'Daftar Koreksi'!$I$5:$I$92,"&lt;0")-SUMIFS('Daftar Koreksi'!$I$5:$I$92,'Daftar Koreksi'!$D$5:$D$92,'2600'!A70,'Daftar Koreksi'!$G$5:$G$92,"Gedung dan Bangunan",'Daftar Koreksi'!$I$5:$I$92,"&lt;0")</f>
        <v>0</v>
      </c>
      <c r="G84" s="17">
        <f t="shared" si="3"/>
        <v>-547376760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-1250000</v>
      </c>
      <c r="E85" s="25">
        <f>SUMIFS('Daftar Koreksi'!$I$5:$I$92,'Daftar Koreksi'!$D$5:$D$92,'2600'!A70,'Daftar Koreksi'!$G$5:$G$92,"Jalan Irigasi Jaringan",'Daftar Koreksi'!$I$5:$I$92,"&gt;0")</f>
        <v>0</v>
      </c>
      <c r="F85" s="25">
        <f>SUMIFS('Daftar Koreksi'!$I$5:$I$92,'Daftar Koreksi'!$D$5:$D$92,'2600'!A70,'Daftar Koreksi'!$G$5:$G$92,"Jalan Irigasi Jaringan",'Daftar Koreksi'!$I$5:$I$92,"&lt;0")-SUMIFS('Daftar Koreksi'!$I$5:$I$92,'Daftar Koreksi'!$D$5:$D$92,'2600'!A70,'Daftar Koreksi'!$G$5:$G$92,"Jalan Irigasi Jaringan",'Daftar Koreksi'!$I$5:$I$92,"&lt;0")-SUMIFS('Daftar Koreksi'!$I$5:$I$92,'Daftar Koreksi'!$D$5:$D$92,'2600'!A70,'Daftar Koreksi'!$G$5:$G$92,"Jalan Irigasi Jaringan",'Daftar Koreksi'!$I$5:$I$92,"&lt;0")</f>
        <v>0</v>
      </c>
      <c r="G85" s="17">
        <f t="shared" si="3"/>
        <v>-1250000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Koreksi'!$D$5:$D$92,'2600'!A70,'Daftar Koreksi'!$G$5:$G$92,"Aset Tetap Lainnya",'Daftar Koreksi'!$I$5:$I$92,"&gt;0")</f>
        <v>0</v>
      </c>
      <c r="F86" s="25">
        <f>SUMIFS('Daftar Koreksi'!$I$5:$I$92,'Daftar Koreksi'!$D$5:$D$92,'2600'!A70,'Daftar Koreksi'!$G$5:$G$92,"Aset Tetap Lainnya",'Daftar Koreksi'!$I$5:$I$92,"&lt;0")-SUMIFS('Daftar Koreksi'!$I$5:$I$92,'Daftar Koreksi'!$D$5:$D$92,'2600'!A70,'Daftar Koreksi'!$G$5:$G$92,"Aset Tetap Lainnya",'Daftar Koreksi'!$I$5:$I$92,"&lt;0")-SUMIFS('Daftar Koreksi'!$I$5:$I$92,'Daftar Koreksi'!$D$5:$D$92,'2600'!A70,'Daftar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-215630500</v>
      </c>
      <c r="E87" s="25">
        <f>SUMIFS('Daftar Koreksi'!$I$5:$I$92,'Daftar Koreksi'!$D$5:$D$92,'2600'!A70,'Daftar Koreksi'!$G$5:$G$92,"Aset Henti Guna",'Daftar Koreksi'!$I$5:$I$92,"&gt;0")</f>
        <v>0</v>
      </c>
      <c r="F87" s="25">
        <f>SUMIFS('Daftar Koreksi'!$I$5:$I$92,'Daftar Koreksi'!$D$5:$D$92,'2600'!A70,'Daftar Koreksi'!$G$5:$G$92,"Aset Henti Guna",'Daftar Koreksi'!$I$5:$I$92,"&lt;0")-SUMIFS('Daftar Koreksi'!$I$5:$I$92,'Daftar Koreksi'!$D$5:$D$92,'2600'!A70,'Daftar Koreksi'!$G$5:$G$92,"Aset Henti Guna",'Daftar Koreksi'!$I$5:$I$92,"&lt;0")-SUMIFS('Daftar Koreksi'!$I$5:$I$92,'Daftar Koreksi'!$D$5:$D$92,'2600'!A70,'Daftar Koreksi'!$G$5:$G$92,"Aset Henti Guna",'Daftar Koreksi'!$I$5:$I$92,"&lt;0")</f>
        <v>0</v>
      </c>
      <c r="G87" s="17">
        <f t="shared" si="3"/>
        <v>-215630500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-2646418231</v>
      </c>
      <c r="E88" s="19">
        <f>SUM(E83:E87)</f>
        <v>0</v>
      </c>
      <c r="F88" s="19">
        <f>SUM(F83:F87)</f>
        <v>0</v>
      </c>
      <c r="G88" s="19">
        <f t="shared" si="3"/>
        <v>-2646418231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4911712245</v>
      </c>
      <c r="E89" s="19">
        <f>E88+E82</f>
        <v>0</v>
      </c>
      <c r="F89" s="19">
        <f>F88+F82</f>
        <v>0</v>
      </c>
      <c r="G89" s="19">
        <f t="shared" si="3"/>
        <v>4911712245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005012600400110000KD</v>
      </c>
      <c r="B92" s="11" t="str">
        <f>P5</f>
        <v>PN. Bengkulu</v>
      </c>
      <c r="C92" s="12" t="str">
        <f>A92&amp;" "&amp;B92</f>
        <v>005012600400110000KD PN. Bengkulu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7632250</v>
      </c>
      <c r="E95" s="25">
        <f>SUMIFS('Daftar Koreksi'!$H$5:$H$92,'Daftar Koreksi'!$D$5:$D$92,'2600'!A92,'Daftar Koreksi'!$G$5:$G$92,"Persediaan",'Daftar Koreksi'!$H$5:$H$92,"&gt;0")</f>
        <v>0</v>
      </c>
      <c r="F95" s="25">
        <f>SUMIFS('Daftar Koreksi'!$H$5:$H$92,'Daftar Koreksi'!$D$5:$D$92,'2600'!A92,'Daftar Koreksi'!$G$5:$G$92,"Persediaan",'Daftar Koreksi'!$H$5:$H$92,"&lt;0")-SUMIFS('Daftar Koreksi'!$H$5:$H$92,'Daftar Koreksi'!$D$5:$D$92,'2600'!A92,'Daftar Koreksi'!$G$5:$G$92,"Persediaan",'Daftar Koreksi'!$H$5:$H$92,"&lt;0")-SUMIFS('Daftar Koreksi'!$H$5:$H$92,'Daftar Koreksi'!$D$5:$D$92,'2600'!A92,'Daftar Koreksi'!$G$5:$G$92,"Persediaan",'Daftar Koreksi'!$H$5:$H$92,"&lt;0")</f>
        <v>0</v>
      </c>
      <c r="G95" s="17">
        <f>D95+E95-F95</f>
        <v>7632250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4642487000</v>
      </c>
      <c r="E96" s="25">
        <f>SUMIFS('Daftar Koreksi'!$H$5:$H$92,'Daftar Koreksi'!$D$5:$D$92,'2600'!A92,'Daftar Koreksi'!$G$5:$G$92,"Tanah",'Daftar Koreksi'!$H$5:$H$92,"&gt;0")</f>
        <v>0</v>
      </c>
      <c r="F96" s="25">
        <f>SUMIFS('Daftar Koreksi'!$H$5:$H$92,'Daftar Koreksi'!$D$5:$D$92,'2600'!A92,'Daftar Koreksi'!$G$5:$G$92,"Tanah",'Daftar Koreksi'!$H$5:$H$92,"&lt;0")-SUMIFS('Daftar Koreksi'!$H$5:$H$92,'Daftar Koreksi'!$D$5:$D$92,'2600'!A92,'Daftar Koreksi'!$G$5:$G$92,"Tanah",'Daftar Koreksi'!$H$5:$H$92,"&lt;0")-SUMIFS('Daftar Koreksi'!$H$5:$H$92,'Daftar Koreksi'!$D$5:$D$92,'2600'!A92,'Daftar Koreksi'!$G$5:$G$92,"Tanah",'Daftar Koreksi'!$H$5:$H$92,"&lt;0")</f>
        <v>0</v>
      </c>
      <c r="G96" s="17">
        <f t="shared" ref="G96:G112" si="4">D96+E96-F96</f>
        <v>4642487000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3153182407</v>
      </c>
      <c r="E97" s="25">
        <f>SUMIFS('Daftar Koreksi'!$H$5:$H$92,'Daftar Koreksi'!$D$5:$D$92,'2600'!A92,'Daftar Koreksi'!$G$5:$G$92,"Peralatan dan mesin",'Daftar Koreksi'!$H$5:$H$92,"&gt;0")</f>
        <v>0</v>
      </c>
      <c r="F97" s="25">
        <f>SUMIFS('Daftar Koreksi'!$H$5:$H$92,'Daftar Koreksi'!$D$5:$D$92,'2600'!A92,'Daftar Koreksi'!$G$5:$G$92,"Peralatan dan mesin",'Daftar Koreksi'!$H$5:$H$92,"&lt;0")-SUMIFS('Daftar Koreksi'!$H$5:$H$92,'Daftar Koreksi'!$D$5:$D$92,'2600'!A92,'Daftar Koreksi'!$G$5:$G$92,"Peralatan dan mesin",'Daftar Koreksi'!$H$5:$H$92,"&lt;0")-SUMIFS('Daftar Koreksi'!$H$5:$H$92,'Daftar Koreksi'!$D$5:$D$92,'2600'!A92,'Daftar Koreksi'!$G$5:$G$92,"Peralatan dan mesin",'Daftar Koreksi'!$H$5:$H$92,"&lt;0")</f>
        <v>0</v>
      </c>
      <c r="G97" s="17">
        <f t="shared" si="4"/>
        <v>3153182407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4920832479</v>
      </c>
      <c r="E98" s="25">
        <f>SUMIFS('Daftar Koreksi'!$H$5:$H$92,'Daftar Koreksi'!$D$5:$D$92,'2600'!A92,'Daftar Koreksi'!$G$5:$G$92,"Gedung dan Bangunan",'Daftar Koreksi'!$H$5:$H$92,"&gt;0")</f>
        <v>0</v>
      </c>
      <c r="F98" s="25">
        <f>SUMIFS('Daftar Koreksi'!$H$5:$H$92,'Daftar Koreksi'!$D$5:$D$92,'2600'!A92,'Daftar Koreksi'!$G$5:$G$92,"Gedung dan Bangunan",'Daftar Koreksi'!$H$5:$H$92,"&lt;0")-SUMIFS('Daftar Koreksi'!$H$5:$H$92,'Daftar Koreksi'!$D$5:$D$92,'2600'!A92,'Daftar Koreksi'!$G$5:$G$92,"Gedung dan Bangunan",'Daftar Koreksi'!$H$5:$H$92,"&lt;0")-SUMIFS('Daftar Koreksi'!$H$5:$H$92,'Daftar Koreksi'!$D$5:$D$92,'2600'!A92,'Daftar Koreksi'!$G$5:$G$92,"Gedung dan Bangunan",'Daftar Koreksi'!$H$5:$H$92,"&lt;0")</f>
        <v>0</v>
      </c>
      <c r="G98" s="17">
        <f t="shared" si="4"/>
        <v>4920832479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56500000</v>
      </c>
      <c r="E99" s="25">
        <f>SUMIFS('Daftar Koreksi'!$H$5:$H$92,'Daftar Koreksi'!$D$5:$D$92,'2600'!A92,'Daftar Koreksi'!$G$5:$G$92,"Jalan Irigasi Jaringan",'Daftar Koreksi'!$H$5:$H$92,"&gt;0")</f>
        <v>0</v>
      </c>
      <c r="F99" s="25">
        <f>SUMIFS('Daftar Koreksi'!$H$5:$H$92,'Daftar Koreksi'!$D$5:$D$92,'2600'!A92,'Daftar Koreksi'!$G$5:$G$92,"Jalan Irigasi Jaringan",'Daftar Koreksi'!$H$5:$H$92,"&lt;0")-SUMIFS('Daftar Koreksi'!$H$5:$H$92,'Daftar Koreksi'!$D$5:$D$92,'2600'!A92,'Daftar Koreksi'!$G$5:$G$92,"Jalan Irigasi Jaringan",'Daftar Koreksi'!$H$5:$H$92,"&lt;0")-SUMIFS('Daftar Koreksi'!$H$5:$H$92,'Daftar Koreksi'!$D$5:$D$92,'2600'!A92,'Daftar Koreksi'!$G$5:$G$92,"Jalan Irigasi Jaringan",'Daftar Koreksi'!$H$5:$H$92,"&lt;0")</f>
        <v>0</v>
      </c>
      <c r="G99" s="17">
        <f t="shared" si="4"/>
        <v>56500000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1943440</v>
      </c>
      <c r="E100" s="25">
        <f>SUMIFS('Daftar Koreksi'!$H$5:$H$92,'Daftar Koreksi'!$D$5:$D$92,'2600'!A92,'Daftar Koreksi'!$G$5:$G$92,"Aset Tetap Lainnya",'Daftar Koreksi'!$H$5:$H$92,"&gt;0")</f>
        <v>0</v>
      </c>
      <c r="F100" s="25">
        <f>SUMIFS('Daftar Koreksi'!$H$5:$H$92,'Daftar Koreksi'!$D$5:$D$92,'2600'!A92,'Daftar Koreksi'!$G$5:$G$92,"Aset Tetap Lainnya",'Daftar Koreksi'!$H$5:$H$92,"&lt;0")-SUMIFS('Daftar Koreksi'!$H$5:$H$92,'Daftar Koreksi'!$D$5:$D$92,'2600'!A92,'Daftar Koreksi'!$G$5:$G$92,"Aset Tetap Lainnya",'Daftar Koreksi'!$H$5:$H$92,"&lt;0")-SUMIFS('Daftar Koreksi'!$H$5:$H$92,'Daftar Koreksi'!$D$5:$D$92,'2600'!A92,'Daftar Koreksi'!$G$5:$G$92,"Aset Tetap Lainnya",'Daftar Koreksi'!$H$5:$H$92,"&lt;0")</f>
        <v>0</v>
      </c>
      <c r="G100" s="17">
        <f t="shared" si="4"/>
        <v>1943440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Koreksi'!$D$5:$D$92,'2600'!A92,'Daftar Koreksi'!$G$5:$G$92,"Kontruksi Dalam Pengerjaan",'Daftar Koreksi'!$H$5:$H$92,"&gt;0")</f>
        <v>0</v>
      </c>
      <c r="F101" s="25">
        <f>SUMIFS('Daftar Koreksi'!$H$5:$H$92,'Daftar Koreksi'!$D$5:$D$92,'2600'!A92,'Daftar Koreksi'!$G$5:$G$92,"Kontruksi Dalam Pengerjaan",'Daftar Koreksi'!$H$5:$H$92,"&lt;0")-SUMIFS('Daftar Koreksi'!$H$5:$H$92,'Daftar Koreksi'!$D$5:$D$92,'2600'!A92,'Daftar Koreksi'!$G$5:$G$92,"Kontruksi Dalam Pengerjaan",'Daftar Koreksi'!$H$5:$H$92,"&lt;0")-SUMIFS('Daftar Koreksi'!$H$5:$H$92,'Daftar Koreksi'!$D$5:$D$92,'2600'!A92,'Daftar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3300000</v>
      </c>
      <c r="E102" s="25">
        <f>SUMIFS('Daftar Koreksi'!$H$5:$H$92,'Daftar Koreksi'!$D$5:$D$92,'2600'!A92,'Daftar Koreksi'!$G$5:$G$92,"Aset Tak Berwujud",'Daftar Koreksi'!$H$5:$H$92,"&gt;0")</f>
        <v>0</v>
      </c>
      <c r="F102" s="25">
        <f>SUMIFS('Daftar Koreksi'!$H$5:$H$92,'Daftar Koreksi'!$D$5:$D$92,'2600'!A92,'Daftar Koreksi'!$G$5:$G$92,"Aset Tak Berwujud",'Daftar Koreksi'!$H$5:$H$92,"&lt;0")-SUMIFS('Daftar Koreksi'!$H$5:$H$92,'Daftar Koreksi'!$D$5:$D$92,'2600'!A92,'Daftar Koreksi'!$G$5:$G$92,"Aset Tak Berwujud",'Daftar Koreksi'!$H$5:$H$92,"&lt;0")-SUMIFS('Daftar Koreksi'!$H$5:$H$92,'Daftar Koreksi'!$D$5:$D$92,'2600'!A92,'Daftar Koreksi'!$G$5:$G$92,"Aset Tak Berwujud",'Daftar Koreksi'!$H$5:$H$92,"&lt;0")</f>
        <v>0</v>
      </c>
      <c r="G102" s="17">
        <f t="shared" si="4"/>
        <v>3300000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220347000</v>
      </c>
      <c r="E103" s="25">
        <f>SUMIFS('Daftar Koreksi'!$H$5:$H$92,'Daftar Koreksi'!$D$5:$D$92,'2600'!A92,'Daftar Koreksi'!$G$5:$G$92,"Aset Henti Guna",'Daftar Koreksi'!$H$5:$H$92,"&gt;0")</f>
        <v>0</v>
      </c>
      <c r="F103" s="25">
        <f>SUMIFS('Daftar Koreksi'!$H$5:$H$92,'Daftar Koreksi'!$D$5:$D$92,'2600'!A92,'Daftar Koreksi'!$G$5:$G$92,"Aset Henti Guna",'Daftar Koreksi'!$H$5:$H$92,"&lt;0")-SUMIFS('Daftar Koreksi'!$H$5:$H$92,'Daftar Koreksi'!$D$5:$D$92,'2600'!A92,'Daftar Koreksi'!$G$5:$G$92,"Aset Henti Guna",'Daftar Koreksi'!$H$5:$H$92,"&lt;0")-SUMIFS('Daftar Koreksi'!$H$5:$H$92,'Daftar Koreksi'!$D$5:$D$92,'2600'!A92,'Daftar Koreksi'!$G$5:$G$92,"Aset Henti Guna",'Daftar Koreksi'!$H$5:$H$92,"&lt;0")</f>
        <v>0</v>
      </c>
      <c r="G103" s="17">
        <f t="shared" si="4"/>
        <v>220347000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13006224576</v>
      </c>
      <c r="E104" s="19">
        <f>SUM(E95:E103)</f>
        <v>0</v>
      </c>
      <c r="F104" s="19">
        <f>SUM(F95:F103)</f>
        <v>0</v>
      </c>
      <c r="G104" s="19">
        <f t="shared" si="4"/>
        <v>13006224576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-2608257759</v>
      </c>
      <c r="E105" s="25">
        <f>SUMIFS('Daftar Koreksi'!$I$5:$I$92,'Daftar Koreksi'!$D$5:$D$92,'2600'!A92,'Daftar Koreksi'!$G$5:$G$92,"Peralatan dan mesin",'Daftar Koreksi'!$I$5:$I$92,"&gt;0")</f>
        <v>0</v>
      </c>
      <c r="F105" s="25">
        <f>SUMIFS('Daftar Koreksi'!$I$5:$I$92,'Daftar Koreksi'!$D$5:$D$92,'2600'!A92,'Daftar Koreksi'!$G$5:$G$92,"Peralatan dan mesin",'Daftar Koreksi'!$I$5:$I$92,"&lt;0")-SUMIFS('Daftar Koreksi'!$I$5:$I$92,'Daftar Koreksi'!$D$5:$D$92,'2600'!A92,'Daftar Koreksi'!$G$5:$G$92,"Peralatan dan mesin",'Daftar Koreksi'!$I$5:$I$92,"&lt;0")-SUMIFS('Daftar Koreksi'!$I$5:$I$92,'Daftar Koreksi'!$D$5:$D$92,'2600'!A92,'Daftar Koreksi'!$G$5:$G$92,"Peralatan dan mesin",'Daftar Koreksi'!$I$5:$I$92,"&lt;0")</f>
        <v>0</v>
      </c>
      <c r="G105" s="17">
        <f t="shared" si="4"/>
        <v>-2608257759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-2514769960</v>
      </c>
      <c r="E106" s="25">
        <f>SUMIFS('Daftar Koreksi'!$I$5:$I$92,'Daftar Koreksi'!$D$5:$D$92,'2600'!A92,'Daftar Koreksi'!$G$5:$G$92,"Gedung dan Bangunan",'Daftar Koreksi'!$I$5:$I$92,"&gt;0")</f>
        <v>0</v>
      </c>
      <c r="F106" s="25">
        <f>SUMIFS('Daftar Koreksi'!$I$5:$I$92,'Daftar Koreksi'!$D$5:$D$92,'2600'!A92,'Daftar Koreksi'!$G$5:$G$92,"Gedung dan Bangunan",'Daftar Koreksi'!$I$5:$I$92,"&lt;0")-SUMIFS('Daftar Koreksi'!$I$5:$I$92,'Daftar Koreksi'!$D$5:$D$92,'2600'!A92,'Daftar Koreksi'!$G$5:$G$92,"Gedung dan Bangunan",'Daftar Koreksi'!$I$5:$I$92,"&lt;0")-SUMIFS('Daftar Koreksi'!$I$5:$I$92,'Daftar Koreksi'!$D$5:$D$92,'2600'!A92,'Daftar Koreksi'!$G$5:$G$92,"Gedung dan Bangunan",'Daftar Koreksi'!$I$5:$I$92,"&lt;0")</f>
        <v>0</v>
      </c>
      <c r="G106" s="17">
        <f t="shared" si="4"/>
        <v>-2514769960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-12712500</v>
      </c>
      <c r="E107" s="25">
        <f>SUMIFS('Daftar Koreksi'!$I$5:$I$92,'Daftar Koreksi'!$D$5:$D$92,'2600'!A92,'Daftar Koreksi'!$G$5:$G$92,"Jalan Irigasi Jaringan",'Daftar Koreksi'!$I$5:$I$92,"&gt;0")</f>
        <v>0</v>
      </c>
      <c r="F107" s="25">
        <f>SUMIFS('Daftar Koreksi'!$I$5:$I$92,'Daftar Koreksi'!$D$5:$D$92,'2600'!A92,'Daftar Koreksi'!$G$5:$G$92,"Jalan Irigasi Jaringan",'Daftar Koreksi'!$I$5:$I$92,"&lt;0")-SUMIFS('Daftar Koreksi'!$I$5:$I$92,'Daftar Koreksi'!$D$5:$D$92,'2600'!A92,'Daftar Koreksi'!$G$5:$G$92,"Jalan Irigasi Jaringan",'Daftar Koreksi'!$I$5:$I$92,"&lt;0")-SUMIFS('Daftar Koreksi'!$I$5:$I$92,'Daftar Koreksi'!$D$5:$D$92,'2600'!A92,'Daftar Koreksi'!$G$5:$G$92,"Jalan Irigasi Jaringan",'Daftar Koreksi'!$I$5:$I$92,"&lt;0")</f>
        <v>0</v>
      </c>
      <c r="G107" s="17">
        <f t="shared" si="4"/>
        <v>-12712500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Koreksi'!$D$5:$D$92,'2600'!A92,'Daftar Koreksi'!$G$5:$G$92,"Aset Tetap Lainnya",'Daftar Koreksi'!$I$5:$I$92,"&gt;0")</f>
        <v>0</v>
      </c>
      <c r="F108" s="25">
        <f>SUMIFS('Daftar Koreksi'!$I$5:$I$92,'Daftar Koreksi'!$D$5:$D$92,'2600'!A92,'Daftar Koreksi'!$G$5:$G$92,"Aset Tetap Lainnya",'Daftar Koreksi'!$I$5:$I$92,"&lt;0")-SUMIFS('Daftar Koreksi'!$I$5:$I$92,'Daftar Koreksi'!$D$5:$D$92,'2600'!A92,'Daftar Koreksi'!$G$5:$G$92,"Aset Tetap Lainnya",'Daftar Koreksi'!$I$5:$I$92,"&lt;0")-SUMIFS('Daftar Koreksi'!$I$5:$I$92,'Daftar Koreksi'!$D$5:$D$92,'2600'!A92,'Daftar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-220347000</v>
      </c>
      <c r="E109" s="25">
        <f>SUMIFS('Daftar Koreksi'!$I$5:$I$92,'Daftar Koreksi'!$D$5:$D$92,'2600'!A92,'Daftar Koreksi'!$G$5:$G$92,"Aset Henti Guna",'Daftar Koreksi'!$I$5:$I$92,"&gt;0")</f>
        <v>0</v>
      </c>
      <c r="F109" s="25">
        <f>SUMIFS('Daftar Koreksi'!$I$5:$I$92,'Daftar Koreksi'!$D$5:$D$92,'2600'!A92,'Daftar Koreksi'!$G$5:$G$92,"Aset Henti Guna",'Daftar Koreksi'!$I$5:$I$92,"&lt;0")-SUMIFS('Daftar Koreksi'!$I$5:$I$92,'Daftar Koreksi'!$D$5:$D$92,'2600'!A92,'Daftar Koreksi'!$G$5:$G$92,"Aset Henti Guna",'Daftar Koreksi'!$I$5:$I$92,"&lt;0")-SUMIFS('Daftar Koreksi'!$I$5:$I$92,'Daftar Koreksi'!$D$5:$D$92,'2600'!A92,'Daftar Koreksi'!$G$5:$G$92,"Aset Henti Guna",'Daftar Koreksi'!$I$5:$I$92,"&lt;0")</f>
        <v>0</v>
      </c>
      <c r="G109" s="17">
        <f t="shared" si="4"/>
        <v>-220347000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-5356087219</v>
      </c>
      <c r="E110" s="19">
        <f>SUM(E105:E109)</f>
        <v>0</v>
      </c>
      <c r="F110" s="19">
        <f>SUM(F105:F109)</f>
        <v>0</v>
      </c>
      <c r="G110" s="19">
        <f t="shared" si="4"/>
        <v>-5356087219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7650137357</v>
      </c>
      <c r="E111" s="19">
        <f>E110+E104</f>
        <v>0</v>
      </c>
      <c r="F111" s="19">
        <f>F110+F104</f>
        <v>0</v>
      </c>
      <c r="G111" s="19">
        <f t="shared" si="4"/>
        <v>7650137357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005012600400126000KD</v>
      </c>
      <c r="B114" s="11" t="str">
        <f>P6</f>
        <v>PN. Curup</v>
      </c>
      <c r="C114" s="12" t="str">
        <f>A114&amp;" "&amp;B114</f>
        <v>005012600400126000KD PN. Curup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964500</v>
      </c>
      <c r="E117" s="25">
        <f>SUMIFS('Daftar Koreksi'!$H$5:$H$92,'Daftar Koreksi'!$D$5:$D$92,'2600'!A114,'Daftar Koreksi'!$G$5:$G$92,"Persediaan",'Daftar Koreksi'!$H$5:$H$92,"&gt;0")</f>
        <v>0</v>
      </c>
      <c r="F117" s="25">
        <f>SUMIFS('Daftar Koreksi'!$H$5:$H$92,'Daftar Koreksi'!$D$5:$D$92,'2600'!A114,'Daftar Koreksi'!$G$5:$G$92,"Persediaan",'Daftar Koreksi'!$H$5:$H$92,"&lt;0")-SUMIFS('Daftar Koreksi'!$H$5:$H$92,'Daftar Koreksi'!$D$5:$D$92,'2600'!A114,'Daftar Koreksi'!$G$5:$G$92,"Persediaan",'Daftar Koreksi'!$H$5:$H$92,"&lt;0")-SUMIFS('Daftar Koreksi'!$H$5:$H$92,'Daftar Koreksi'!$D$5:$D$92,'2600'!A114,'Daftar Koreksi'!$G$5:$G$92,"Persediaan",'Daftar Koreksi'!$H$5:$H$92,"&lt;0")</f>
        <v>0</v>
      </c>
      <c r="G117" s="17">
        <f>D117+E117-F117</f>
        <v>964500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1572670200</v>
      </c>
      <c r="E118" s="25">
        <f>SUMIFS('Daftar Koreksi'!$H$5:$H$92,'Daftar Koreksi'!$D$5:$D$92,'2600'!A114,'Daftar Koreksi'!$G$5:$G$92,"Tanah",'Daftar Koreksi'!$H$5:$H$92,"&gt;0")</f>
        <v>0</v>
      </c>
      <c r="F118" s="25">
        <f>SUMIFS('Daftar Koreksi'!$H$5:$H$92,'Daftar Koreksi'!$D$5:$D$92,'2600'!A114,'Daftar Koreksi'!$G$5:$G$92,"Tanah",'Daftar Koreksi'!$H$5:$H$92,"&lt;0")-SUMIFS('Daftar Koreksi'!$H$5:$H$92,'Daftar Koreksi'!$D$5:$D$92,'2600'!A114,'Daftar Koreksi'!$G$5:$G$92,"Tanah",'Daftar Koreksi'!$H$5:$H$92,"&lt;0")-SUMIFS('Daftar Koreksi'!$H$5:$H$92,'Daftar Koreksi'!$D$5:$D$92,'2600'!A114,'Daftar Koreksi'!$G$5:$G$92,"Tanah",'Daftar Koreksi'!$H$5:$H$92,"&lt;0")</f>
        <v>0</v>
      </c>
      <c r="G118" s="17">
        <f t="shared" ref="G118:G134" si="5">D118+E118-F118</f>
        <v>1572670200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1784202713</v>
      </c>
      <c r="E119" s="25">
        <f>SUMIFS('Daftar Koreksi'!$H$5:$H$92,'Daftar Koreksi'!$D$5:$D$92,'2600'!A114,'Daftar Koreksi'!$G$5:$G$92,"Peralatan dan mesin",'Daftar Koreksi'!$H$5:$H$92,"&gt;0")</f>
        <v>0</v>
      </c>
      <c r="F119" s="25">
        <f>SUMIFS('Daftar Koreksi'!$H$5:$H$92,'Daftar Koreksi'!$D$5:$D$92,'2600'!A114,'Daftar Koreksi'!$G$5:$G$92,"Peralatan dan mesin",'Daftar Koreksi'!$H$5:$H$92,"&lt;0")-SUMIFS('Daftar Koreksi'!$H$5:$H$92,'Daftar Koreksi'!$D$5:$D$92,'2600'!A114,'Daftar Koreksi'!$G$5:$G$92,"Peralatan dan mesin",'Daftar Koreksi'!$H$5:$H$92,"&lt;0")-SUMIFS('Daftar Koreksi'!$H$5:$H$92,'Daftar Koreksi'!$D$5:$D$92,'2600'!A114,'Daftar Koreksi'!$G$5:$G$92,"Peralatan dan mesin",'Daftar Koreksi'!$H$5:$H$92,"&lt;0")</f>
        <v>0</v>
      </c>
      <c r="G119" s="17">
        <f t="shared" si="5"/>
        <v>1784202713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3553020000</v>
      </c>
      <c r="E120" s="25">
        <f>SUMIFS('Daftar Koreksi'!$H$5:$H$92,'Daftar Koreksi'!$D$5:$D$92,'2600'!A114,'Daftar Koreksi'!$G$5:$G$92,"Gedung dan Bangunan",'Daftar Koreksi'!$H$5:$H$92,"&gt;0")</f>
        <v>0</v>
      </c>
      <c r="F120" s="25">
        <f>SUMIFS('Daftar Koreksi'!$H$5:$H$92,'Daftar Koreksi'!$D$5:$D$92,'2600'!A114,'Daftar Koreksi'!$G$5:$G$92,"Gedung dan Bangunan",'Daftar Koreksi'!$H$5:$H$92,"&lt;0")-SUMIFS('Daftar Koreksi'!$H$5:$H$92,'Daftar Koreksi'!$D$5:$D$92,'2600'!A114,'Daftar Koreksi'!$G$5:$G$92,"Gedung dan Bangunan",'Daftar Koreksi'!$H$5:$H$92,"&lt;0")-SUMIFS('Daftar Koreksi'!$H$5:$H$92,'Daftar Koreksi'!$D$5:$D$92,'2600'!A114,'Daftar Koreksi'!$G$5:$G$92,"Gedung dan Bangunan",'Daftar Koreksi'!$H$5:$H$92,"&lt;0")</f>
        <v>0</v>
      </c>
      <c r="G120" s="17">
        <f t="shared" si="5"/>
        <v>3553020000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Koreksi'!$D$5:$D$92,'2600'!A114,'Daftar Koreksi'!$G$5:$G$92,"Jalan Irigasi Jaringan",'Daftar Koreksi'!$H$5:$H$92,"&gt;0")</f>
        <v>0</v>
      </c>
      <c r="F121" s="25">
        <f>SUMIFS('Daftar Koreksi'!$H$5:$H$92,'Daftar Koreksi'!$D$5:$D$92,'2600'!A114,'Daftar Koreksi'!$G$5:$G$92,"Jalan Irigasi Jaringan",'Daftar Koreksi'!$H$5:$H$92,"&lt;0")-SUMIFS('Daftar Koreksi'!$H$5:$H$92,'Daftar Koreksi'!$D$5:$D$92,'2600'!A114,'Daftar Koreksi'!$G$5:$G$92,"Jalan Irigasi Jaringan",'Daftar Koreksi'!$H$5:$H$92,"&lt;0")-SUMIFS('Daftar Koreksi'!$H$5:$H$92,'Daftar Koreksi'!$D$5:$D$92,'2600'!A114,'Daftar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1943440</v>
      </c>
      <c r="E122" s="25">
        <f>SUMIFS('Daftar Koreksi'!$H$5:$H$92,'Daftar Koreksi'!$D$5:$D$92,'2600'!A114,'Daftar Koreksi'!$G$5:$G$92,"Aset Tetap Lainnya",'Daftar Koreksi'!$H$5:$H$92,"&gt;0")</f>
        <v>0</v>
      </c>
      <c r="F122" s="25">
        <f>SUMIFS('Daftar Koreksi'!$H$5:$H$92,'Daftar Koreksi'!$D$5:$D$92,'2600'!A114,'Daftar Koreksi'!$G$5:$G$92,"Aset Tetap Lainnya",'Daftar Koreksi'!$H$5:$H$92,"&lt;0")-SUMIFS('Daftar Koreksi'!$H$5:$H$92,'Daftar Koreksi'!$D$5:$D$92,'2600'!A114,'Daftar Koreksi'!$G$5:$G$92,"Aset Tetap Lainnya",'Daftar Koreksi'!$H$5:$H$92,"&lt;0")-SUMIFS('Daftar Koreksi'!$H$5:$H$92,'Daftar Koreksi'!$D$5:$D$92,'2600'!A114,'Daftar Koreksi'!$G$5:$G$92,"Aset Tetap Lainnya",'Daftar Koreksi'!$H$5:$H$92,"&lt;0")</f>
        <v>0</v>
      </c>
      <c r="G122" s="17">
        <f t="shared" si="5"/>
        <v>1943440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Koreksi'!$D$5:$D$92,'2600'!A114,'Daftar Koreksi'!$G$5:$G$92,"Kontruksi Dalam Pengerjaan",'Daftar Koreksi'!$H$5:$H$92,"&gt;0")</f>
        <v>0</v>
      </c>
      <c r="F123" s="25">
        <f>SUMIFS('Daftar Koreksi'!$H$5:$H$92,'Daftar Koreksi'!$D$5:$D$92,'2600'!A114,'Daftar Koreksi'!$G$5:$G$92,"Kontruksi Dalam Pengerjaan",'Daftar Koreksi'!$H$5:$H$92,"&lt;0")-SUMIFS('Daftar Koreksi'!$H$5:$H$92,'Daftar Koreksi'!$D$5:$D$92,'2600'!A114,'Daftar Koreksi'!$G$5:$G$92,"Kontruksi Dalam Pengerjaan",'Daftar Koreksi'!$H$5:$H$92,"&lt;0")-SUMIFS('Daftar Koreksi'!$H$5:$H$92,'Daftar Koreksi'!$D$5:$D$92,'2600'!A114,'Daftar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Koreksi'!$D$5:$D$92,'2600'!A114,'Daftar Koreksi'!$G$5:$G$92,"Aset Tak Berwujud",'Daftar Koreksi'!$H$5:$H$92,"&gt;0")</f>
        <v>0</v>
      </c>
      <c r="F124" s="25">
        <f>SUMIFS('Daftar Koreksi'!$H$5:$H$92,'Daftar Koreksi'!$D$5:$D$92,'2600'!A114,'Daftar Koreksi'!$G$5:$G$92,"Aset Tak Berwujud",'Daftar Koreksi'!$H$5:$H$92,"&lt;0")-SUMIFS('Daftar Koreksi'!$H$5:$H$92,'Daftar Koreksi'!$D$5:$D$92,'2600'!A114,'Daftar Koreksi'!$G$5:$G$92,"Aset Tak Berwujud",'Daftar Koreksi'!$H$5:$H$92,"&lt;0")-SUMIFS('Daftar Koreksi'!$H$5:$H$92,'Daftar Koreksi'!$D$5:$D$92,'2600'!A114,'Daftar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47430000</v>
      </c>
      <c r="E125" s="25">
        <f>SUMIFS('Daftar Koreksi'!$H$5:$H$92,'Daftar Koreksi'!$D$5:$D$92,'2600'!A114,'Daftar Koreksi'!$G$5:$G$92,"Aset Henti Guna",'Daftar Koreksi'!$H$5:$H$92,"&gt;0")</f>
        <v>0</v>
      </c>
      <c r="F125" s="25">
        <f>SUMIFS('Daftar Koreksi'!$H$5:$H$92,'Daftar Koreksi'!$D$5:$D$92,'2600'!A114,'Daftar Koreksi'!$G$5:$G$92,"Aset Henti Guna",'Daftar Koreksi'!$H$5:$H$92,"&lt;0")-SUMIFS('Daftar Koreksi'!$H$5:$H$92,'Daftar Koreksi'!$D$5:$D$92,'2600'!A114,'Daftar Koreksi'!$G$5:$G$92,"Aset Henti Guna",'Daftar Koreksi'!$H$5:$H$92,"&lt;0")-SUMIFS('Daftar Koreksi'!$H$5:$H$92,'Daftar Koreksi'!$D$5:$D$92,'2600'!A114,'Daftar Koreksi'!$G$5:$G$92,"Aset Henti Guna",'Daftar Koreksi'!$H$5:$H$92,"&lt;0")</f>
        <v>0</v>
      </c>
      <c r="G125" s="17">
        <f t="shared" si="5"/>
        <v>47430000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6960230853</v>
      </c>
      <c r="E126" s="19">
        <f>SUM(E117:E125)</f>
        <v>0</v>
      </c>
      <c r="F126" s="19">
        <f>SUM(F117:F125)</f>
        <v>0</v>
      </c>
      <c r="G126" s="19">
        <f t="shared" si="5"/>
        <v>6960230853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-1485350628</v>
      </c>
      <c r="E127" s="25">
        <f>SUMIFS('Daftar Koreksi'!$I$5:$I$92,'Daftar Koreksi'!$D$5:$D$92,'2600'!A114,'Daftar Koreksi'!$G$5:$G$92,"Peralatan dan mesin",'Daftar Koreksi'!$I$5:$I$92,"&gt;0")</f>
        <v>0</v>
      </c>
      <c r="F127" s="25">
        <f>SUMIFS('Daftar Koreksi'!$I$5:$I$92,'Daftar Koreksi'!$D$5:$D$92,'2600'!A114,'Daftar Koreksi'!$G$5:$G$92,"Peralatan dan mesin",'Daftar Koreksi'!$I$5:$I$92,"&lt;0")-SUMIFS('Daftar Koreksi'!$I$5:$I$92,'Daftar Koreksi'!$D$5:$D$92,'2600'!A114,'Daftar Koreksi'!$G$5:$G$92,"Peralatan dan mesin",'Daftar Koreksi'!$I$5:$I$92,"&lt;0")-SUMIFS('Daftar Koreksi'!$I$5:$I$92,'Daftar Koreksi'!$D$5:$D$92,'2600'!A114,'Daftar Koreksi'!$G$5:$G$92,"Peralatan dan mesin",'Daftar Koreksi'!$I$5:$I$92,"&lt;0")</f>
        <v>0</v>
      </c>
      <c r="G127" s="17">
        <f t="shared" si="5"/>
        <v>-1485350628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-2003143045</v>
      </c>
      <c r="E128" s="25">
        <f>SUMIFS('Daftar Koreksi'!$I$5:$I$92,'Daftar Koreksi'!$D$5:$D$92,'2600'!A114,'Daftar Koreksi'!$G$5:$G$92,"Gedung dan Bangunan",'Daftar Koreksi'!$I$5:$I$92,"&gt;0")</f>
        <v>0</v>
      </c>
      <c r="F128" s="25">
        <f>SUMIFS('Daftar Koreksi'!$I$5:$I$92,'Daftar Koreksi'!$D$5:$D$92,'2600'!A114,'Daftar Koreksi'!$G$5:$G$92,"Gedung dan Bangunan",'Daftar Koreksi'!$I$5:$I$92,"&lt;0")-SUMIFS('Daftar Koreksi'!$I$5:$I$92,'Daftar Koreksi'!$D$5:$D$92,'2600'!A114,'Daftar Koreksi'!$G$5:$G$92,"Gedung dan Bangunan",'Daftar Koreksi'!$I$5:$I$92,"&lt;0")-SUMIFS('Daftar Koreksi'!$I$5:$I$92,'Daftar Koreksi'!$D$5:$D$92,'2600'!A114,'Daftar Koreksi'!$G$5:$G$92,"Gedung dan Bangunan",'Daftar Koreksi'!$I$5:$I$92,"&lt;0")</f>
        <v>0</v>
      </c>
      <c r="G128" s="17">
        <f t="shared" si="5"/>
        <v>-2003143045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Koreksi'!$D$5:$D$92,'2600'!A114,'Daftar Koreksi'!$G$5:$G$92,"Jalan Irigasi Jaringan",'Daftar Koreksi'!$I$5:$I$92,"&gt;0")</f>
        <v>0</v>
      </c>
      <c r="F129" s="25">
        <f>SUMIFS('Daftar Koreksi'!$I$5:$I$92,'Daftar Koreksi'!$D$5:$D$92,'2600'!A114,'Daftar Koreksi'!$G$5:$G$92,"Jalan Irigasi Jaringan",'Daftar Koreksi'!$I$5:$I$92,"&lt;0")-SUMIFS('Daftar Koreksi'!$I$5:$I$92,'Daftar Koreksi'!$D$5:$D$92,'2600'!A114,'Daftar Koreksi'!$G$5:$G$92,"Jalan Irigasi Jaringan",'Daftar Koreksi'!$I$5:$I$92,"&lt;0")-SUMIFS('Daftar Koreksi'!$I$5:$I$92,'Daftar Koreksi'!$D$5:$D$92,'2600'!A114,'Daftar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Koreksi'!$D$5:$D$92,'2600'!A114,'Daftar Koreksi'!$G$5:$G$92,"Aset Tetap Lainnya",'Daftar Koreksi'!$I$5:$I$92,"&gt;0")</f>
        <v>0</v>
      </c>
      <c r="F130" s="25">
        <f>SUMIFS('Daftar Koreksi'!$I$5:$I$92,'Daftar Koreksi'!$D$5:$D$92,'2600'!A114,'Daftar Koreksi'!$G$5:$G$92,"Aset Tetap Lainnya",'Daftar Koreksi'!$I$5:$I$92,"&lt;0")-SUMIFS('Daftar Koreksi'!$I$5:$I$92,'Daftar Koreksi'!$D$5:$D$92,'2600'!A114,'Daftar Koreksi'!$G$5:$G$92,"Aset Tetap Lainnya",'Daftar Koreksi'!$I$5:$I$92,"&lt;0")-SUMIFS('Daftar Koreksi'!$I$5:$I$92,'Daftar Koreksi'!$D$5:$D$92,'2600'!A114,'Daftar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-34048628</v>
      </c>
      <c r="E131" s="25">
        <f>SUMIFS('Daftar Koreksi'!$I$5:$I$92,'Daftar Koreksi'!$D$5:$D$92,'2600'!A114,'Daftar Koreksi'!$G$5:$G$92,"Aset Henti Guna",'Daftar Koreksi'!$I$5:$I$92,"&gt;0")</f>
        <v>0</v>
      </c>
      <c r="F131" s="25">
        <f>SUMIFS('Daftar Koreksi'!$I$5:$I$92,'Daftar Koreksi'!$D$5:$D$92,'2600'!A114,'Daftar Koreksi'!$G$5:$G$92,"Aset Henti Guna",'Daftar Koreksi'!$I$5:$I$92,"&lt;0")-SUMIFS('Daftar Koreksi'!$I$5:$I$92,'Daftar Koreksi'!$D$5:$D$92,'2600'!A114,'Daftar Koreksi'!$G$5:$G$92,"Aset Henti Guna",'Daftar Koreksi'!$I$5:$I$92,"&lt;0")-SUMIFS('Daftar Koreksi'!$I$5:$I$92,'Daftar Koreksi'!$D$5:$D$92,'2600'!A114,'Daftar Koreksi'!$G$5:$G$92,"Aset Henti Guna",'Daftar Koreksi'!$I$5:$I$92,"&lt;0")</f>
        <v>0</v>
      </c>
      <c r="G131" s="17">
        <f t="shared" si="5"/>
        <v>-34048628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-3522542301</v>
      </c>
      <c r="E132" s="19">
        <f>SUM(E127:E131)</f>
        <v>0</v>
      </c>
      <c r="F132" s="19">
        <f>SUM(F127:F131)</f>
        <v>0</v>
      </c>
      <c r="G132" s="19">
        <f t="shared" si="5"/>
        <v>-3522542301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3437688552</v>
      </c>
      <c r="E133" s="19">
        <f>E132+E126</f>
        <v>0</v>
      </c>
      <c r="F133" s="19">
        <f>F132+F126</f>
        <v>0</v>
      </c>
      <c r="G133" s="19">
        <f t="shared" si="5"/>
        <v>3437688552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005012600400132000KD</v>
      </c>
      <c r="B136" s="11" t="str">
        <f>P7</f>
        <v>PN. Manna</v>
      </c>
      <c r="C136" s="12" t="str">
        <f>A136&amp;" "&amp;B136</f>
        <v>005012600400132000KD PN. Manna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178000</v>
      </c>
      <c r="E139" s="25">
        <f>SUMIFS('Daftar Koreksi'!$H$5:$H$92,'Daftar Koreksi'!$D$5:$D$92,'2600'!A136,'Daftar Koreksi'!$G$5:$G$92,"Persediaan",'Daftar Koreksi'!$H$5:$H$92,"&gt;0")</f>
        <v>0</v>
      </c>
      <c r="F139" s="25">
        <f>SUMIFS('Daftar Koreksi'!$H$5:$H$92,'Daftar Koreksi'!$D$5:$D$92,'2600'!A136,'Daftar Koreksi'!$G$5:$G$92,"Persediaan",'Daftar Koreksi'!$H$5:$H$92,"&lt;0")-SUMIFS('Daftar Koreksi'!$H$5:$H$92,'Daftar Koreksi'!$D$5:$D$92,'2600'!A136,'Daftar Koreksi'!$G$5:$G$92,"Persediaan",'Daftar Koreksi'!$H$5:$H$92,"&lt;0")-SUMIFS('Daftar Koreksi'!$H$5:$H$92,'Daftar Koreksi'!$D$5:$D$92,'2600'!A136,'Daftar Koreksi'!$G$5:$G$92,"Persediaan",'Daftar Koreksi'!$H$5:$H$92,"&lt;0")</f>
        <v>0</v>
      </c>
      <c r="G139" s="17">
        <f>D139+E139-F139</f>
        <v>178000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1968815000</v>
      </c>
      <c r="E140" s="25">
        <f>SUMIFS('Daftar Koreksi'!$H$5:$H$92,'Daftar Koreksi'!$D$5:$D$92,'2600'!A136,'Daftar Koreksi'!$G$5:$G$92,"Tanah",'Daftar Koreksi'!$H$5:$H$92,"&gt;0")</f>
        <v>0</v>
      </c>
      <c r="F140" s="25">
        <f>SUMIFS('Daftar Koreksi'!$H$5:$H$92,'Daftar Koreksi'!$D$5:$D$92,'2600'!A136,'Daftar Koreksi'!$G$5:$G$92,"Tanah",'Daftar Koreksi'!$H$5:$H$92,"&lt;0")-SUMIFS('Daftar Koreksi'!$H$5:$H$92,'Daftar Koreksi'!$D$5:$D$92,'2600'!A136,'Daftar Koreksi'!$G$5:$G$92,"Tanah",'Daftar Koreksi'!$H$5:$H$92,"&lt;0")-SUMIFS('Daftar Koreksi'!$H$5:$H$92,'Daftar Koreksi'!$D$5:$D$92,'2600'!A136,'Daftar Koreksi'!$G$5:$G$92,"Tanah",'Daftar Koreksi'!$H$5:$H$92,"&lt;0")</f>
        <v>0</v>
      </c>
      <c r="G140" s="17">
        <f t="shared" ref="G140:G156" si="6">D140+E140-F140</f>
        <v>1968815000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2004870762</v>
      </c>
      <c r="E141" s="25">
        <f>SUMIFS('Daftar Koreksi'!$H$5:$H$92,'Daftar Koreksi'!$D$5:$D$92,'2600'!A136,'Daftar Koreksi'!$G$5:$G$92,"Peralatan dan mesin",'Daftar Koreksi'!$H$5:$H$92,"&gt;0")</f>
        <v>0</v>
      </c>
      <c r="F141" s="25">
        <f>SUMIFS('Daftar Koreksi'!$H$5:$H$92,'Daftar Koreksi'!$D$5:$D$92,'2600'!A136,'Daftar Koreksi'!$G$5:$G$92,"Peralatan dan mesin",'Daftar Koreksi'!$H$5:$H$92,"&lt;0")-SUMIFS('Daftar Koreksi'!$H$5:$H$92,'Daftar Koreksi'!$D$5:$D$92,'2600'!A136,'Daftar Koreksi'!$G$5:$G$92,"Peralatan dan mesin",'Daftar Koreksi'!$H$5:$H$92,"&lt;0")-SUMIFS('Daftar Koreksi'!$H$5:$H$92,'Daftar Koreksi'!$D$5:$D$92,'2600'!A136,'Daftar Koreksi'!$G$5:$G$92,"Peralatan dan mesin",'Daftar Koreksi'!$H$5:$H$92,"&lt;0")</f>
        <v>0</v>
      </c>
      <c r="G141" s="17">
        <f t="shared" si="6"/>
        <v>2004870762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3684518147</v>
      </c>
      <c r="E142" s="25">
        <f>SUMIFS('Daftar Koreksi'!$H$5:$H$92,'Daftar Koreksi'!$D$5:$D$92,'2600'!A136,'Daftar Koreksi'!$G$5:$G$92,"Gedung dan Bangunan",'Daftar Koreksi'!$H$5:$H$92,"&gt;0")</f>
        <v>0</v>
      </c>
      <c r="F142" s="25">
        <f>SUMIFS('Daftar Koreksi'!$H$5:$H$92,'Daftar Koreksi'!$D$5:$D$92,'2600'!A136,'Daftar Koreksi'!$G$5:$G$92,"Gedung dan Bangunan",'Daftar Koreksi'!$H$5:$H$92,"&lt;0")-SUMIFS('Daftar Koreksi'!$H$5:$H$92,'Daftar Koreksi'!$D$5:$D$92,'2600'!A136,'Daftar Koreksi'!$G$5:$G$92,"Gedung dan Bangunan",'Daftar Koreksi'!$H$5:$H$92,"&lt;0")-SUMIFS('Daftar Koreksi'!$H$5:$H$92,'Daftar Koreksi'!$D$5:$D$92,'2600'!A136,'Daftar Koreksi'!$G$5:$G$92,"Gedung dan Bangunan",'Daftar Koreksi'!$H$5:$H$92,"&lt;0")</f>
        <v>0</v>
      </c>
      <c r="G142" s="17">
        <f t="shared" si="6"/>
        <v>3684518147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Koreksi'!$D$5:$D$92,'2600'!A136,'Daftar Koreksi'!$G$5:$G$92,"Jalan Irigasi Jaringan",'Daftar Koreksi'!$H$5:$H$92,"&gt;0")</f>
        <v>0</v>
      </c>
      <c r="F143" s="25">
        <f>SUMIFS('Daftar Koreksi'!$H$5:$H$92,'Daftar Koreksi'!$D$5:$D$92,'2600'!A136,'Daftar Koreksi'!$G$5:$G$92,"Jalan Irigasi Jaringan",'Daftar Koreksi'!$H$5:$H$92,"&lt;0")-SUMIFS('Daftar Koreksi'!$H$5:$H$92,'Daftar Koreksi'!$D$5:$D$92,'2600'!A136,'Daftar Koreksi'!$G$5:$G$92,"Jalan Irigasi Jaringan",'Daftar Koreksi'!$H$5:$H$92,"&lt;0")-SUMIFS('Daftar Koreksi'!$H$5:$H$92,'Daftar Koreksi'!$D$5:$D$92,'2600'!A136,'Daftar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7455516</v>
      </c>
      <c r="E144" s="25">
        <f>SUMIFS('Daftar Koreksi'!$H$5:$H$92,'Daftar Koreksi'!$D$5:$D$92,'2600'!A136,'Daftar Koreksi'!$G$5:$G$92,"Aset Tetap Lainnya",'Daftar Koreksi'!$H$5:$H$92,"&gt;0")</f>
        <v>0</v>
      </c>
      <c r="F144" s="25">
        <f>SUMIFS('Daftar Koreksi'!$H$5:$H$92,'Daftar Koreksi'!$D$5:$D$92,'2600'!A136,'Daftar Koreksi'!$G$5:$G$92,"Aset Tetap Lainnya",'Daftar Koreksi'!$H$5:$H$92,"&lt;0")-SUMIFS('Daftar Koreksi'!$H$5:$H$92,'Daftar Koreksi'!$D$5:$D$92,'2600'!A136,'Daftar Koreksi'!$G$5:$G$92,"Aset Tetap Lainnya",'Daftar Koreksi'!$H$5:$H$92,"&lt;0")-SUMIFS('Daftar Koreksi'!$H$5:$H$92,'Daftar Koreksi'!$D$5:$D$92,'2600'!A136,'Daftar Koreksi'!$G$5:$G$92,"Aset Tetap Lainnya",'Daftar Koreksi'!$H$5:$H$92,"&lt;0")</f>
        <v>0</v>
      </c>
      <c r="G144" s="17">
        <f t="shared" si="6"/>
        <v>7455516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Koreksi'!$D$5:$D$92,'2600'!A136,'Daftar Koreksi'!$G$5:$G$92,"Kontruksi Dalam Pengerjaan",'Daftar Koreksi'!$H$5:$H$92,"&gt;0")</f>
        <v>0</v>
      </c>
      <c r="F145" s="25">
        <f>SUMIFS('Daftar Koreksi'!$H$5:$H$92,'Daftar Koreksi'!$D$5:$D$92,'2600'!A136,'Daftar Koreksi'!$G$5:$G$92,"Kontruksi Dalam Pengerjaan",'Daftar Koreksi'!$H$5:$H$92,"&lt;0")-SUMIFS('Daftar Koreksi'!$H$5:$H$92,'Daftar Koreksi'!$D$5:$D$92,'2600'!A136,'Daftar Koreksi'!$G$5:$G$92,"Kontruksi Dalam Pengerjaan",'Daftar Koreksi'!$H$5:$H$92,"&lt;0")-SUMIFS('Daftar Koreksi'!$H$5:$H$92,'Daftar Koreksi'!$D$5:$D$92,'2600'!A136,'Daftar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Koreksi'!$D$5:$D$92,'2600'!A136,'Daftar Koreksi'!$G$5:$G$92,"Aset Tak Berwujud",'Daftar Koreksi'!$H$5:$H$92,"&gt;0")</f>
        <v>0</v>
      </c>
      <c r="F146" s="25">
        <f>SUMIFS('Daftar Koreksi'!$H$5:$H$92,'Daftar Koreksi'!$D$5:$D$92,'2600'!A136,'Daftar Koreksi'!$G$5:$G$92,"Aset Tak Berwujud",'Daftar Koreksi'!$H$5:$H$92,"&lt;0")-SUMIFS('Daftar Koreksi'!$H$5:$H$92,'Daftar Koreksi'!$D$5:$D$92,'2600'!A136,'Daftar Koreksi'!$G$5:$G$92,"Aset Tak Berwujud",'Daftar Koreksi'!$H$5:$H$92,"&lt;0")-SUMIFS('Daftar Koreksi'!$H$5:$H$92,'Daftar Koreksi'!$D$5:$D$92,'2600'!A136,'Daftar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95258000</v>
      </c>
      <c r="E147" s="25">
        <f>SUMIFS('Daftar Koreksi'!$H$5:$H$92,'Daftar Koreksi'!$D$5:$D$92,'2600'!A136,'Daftar Koreksi'!$G$5:$G$92,"Aset Henti Guna",'Daftar Koreksi'!$H$5:$H$92,"&gt;0")</f>
        <v>0</v>
      </c>
      <c r="F147" s="25">
        <f>SUMIFS('Daftar Koreksi'!$H$5:$H$92,'Daftar Koreksi'!$D$5:$D$92,'2600'!A136,'Daftar Koreksi'!$G$5:$G$92,"Aset Henti Guna",'Daftar Koreksi'!$H$5:$H$92,"&lt;0")-SUMIFS('Daftar Koreksi'!$H$5:$H$92,'Daftar Koreksi'!$D$5:$D$92,'2600'!A136,'Daftar Koreksi'!$G$5:$G$92,"Aset Henti Guna",'Daftar Koreksi'!$H$5:$H$92,"&lt;0")-SUMIFS('Daftar Koreksi'!$H$5:$H$92,'Daftar Koreksi'!$D$5:$D$92,'2600'!A136,'Daftar Koreksi'!$G$5:$G$92,"Aset Henti Guna",'Daftar Koreksi'!$H$5:$H$92,"&lt;0")</f>
        <v>0</v>
      </c>
      <c r="G147" s="17">
        <f t="shared" si="6"/>
        <v>95258000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7761095425</v>
      </c>
      <c r="E148" s="19">
        <f>SUM(E139:E147)</f>
        <v>0</v>
      </c>
      <c r="F148" s="19">
        <f>SUM(F139:F147)</f>
        <v>0</v>
      </c>
      <c r="G148" s="19">
        <f t="shared" si="6"/>
        <v>7761095425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-1493119863</v>
      </c>
      <c r="E149" s="25">
        <f>SUMIFS('Daftar Koreksi'!$I$5:$I$92,'Daftar Koreksi'!$D$5:$D$92,'2600'!A136,'Daftar Koreksi'!$G$5:$G$92,"Peralatan dan mesin",'Daftar Koreksi'!$I$5:$I$92,"&gt;0")</f>
        <v>0</v>
      </c>
      <c r="F149" s="25">
        <f>SUMIFS('Daftar Koreksi'!$I$5:$I$92,'Daftar Koreksi'!$D$5:$D$92,'2600'!A136,'Daftar Koreksi'!$G$5:$G$92,"Peralatan dan mesin",'Daftar Koreksi'!$I$5:$I$92,"&lt;0")-SUMIFS('Daftar Koreksi'!$I$5:$I$92,'Daftar Koreksi'!$D$5:$D$92,'2600'!A136,'Daftar Koreksi'!$G$5:$G$92,"Peralatan dan mesin",'Daftar Koreksi'!$I$5:$I$92,"&lt;0")-SUMIFS('Daftar Koreksi'!$I$5:$I$92,'Daftar Koreksi'!$D$5:$D$92,'2600'!A136,'Daftar Koreksi'!$G$5:$G$92,"Peralatan dan mesin",'Daftar Koreksi'!$I$5:$I$92,"&lt;0")</f>
        <v>0</v>
      </c>
      <c r="G149" s="17">
        <f t="shared" si="6"/>
        <v>-1493119863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-1708024503</v>
      </c>
      <c r="E150" s="25">
        <f>SUMIFS('Daftar Koreksi'!$I$5:$I$92,'Daftar Koreksi'!$D$5:$D$92,'2600'!A136,'Daftar Koreksi'!$G$5:$G$92,"Gedung dan Bangunan",'Daftar Koreksi'!$I$5:$I$92,"&gt;0")</f>
        <v>0</v>
      </c>
      <c r="F150" s="25">
        <f>SUMIFS('Daftar Koreksi'!$I$5:$I$92,'Daftar Koreksi'!$D$5:$D$92,'2600'!A136,'Daftar Koreksi'!$G$5:$G$92,"Gedung dan Bangunan",'Daftar Koreksi'!$I$5:$I$92,"&lt;0")-SUMIFS('Daftar Koreksi'!$I$5:$I$92,'Daftar Koreksi'!$D$5:$D$92,'2600'!A136,'Daftar Koreksi'!$G$5:$G$92,"Gedung dan Bangunan",'Daftar Koreksi'!$I$5:$I$92,"&lt;0")-SUMIFS('Daftar Koreksi'!$I$5:$I$92,'Daftar Koreksi'!$D$5:$D$92,'2600'!A136,'Daftar Koreksi'!$G$5:$G$92,"Gedung dan Bangunan",'Daftar Koreksi'!$I$5:$I$92,"&lt;0")</f>
        <v>0</v>
      </c>
      <c r="G150" s="17">
        <f t="shared" si="6"/>
        <v>-1708024503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Koreksi'!$D$5:$D$92,'2600'!A136,'Daftar Koreksi'!$G$5:$G$92,"Jalan Irigasi Jaringan",'Daftar Koreksi'!$I$5:$I$92,"&gt;0")</f>
        <v>0</v>
      </c>
      <c r="F151" s="25">
        <f>SUMIFS('Daftar Koreksi'!$I$5:$I$92,'Daftar Koreksi'!$D$5:$D$92,'2600'!A136,'Daftar Koreksi'!$G$5:$G$92,"Jalan Irigasi Jaringan",'Daftar Koreksi'!$I$5:$I$92,"&lt;0")-SUMIFS('Daftar Koreksi'!$I$5:$I$92,'Daftar Koreksi'!$D$5:$D$92,'2600'!A136,'Daftar Koreksi'!$G$5:$G$92,"Jalan Irigasi Jaringan",'Daftar Koreksi'!$I$5:$I$92,"&lt;0")-SUMIFS('Daftar Koreksi'!$I$5:$I$92,'Daftar Koreksi'!$D$5:$D$92,'2600'!A136,'Daftar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Koreksi'!$D$5:$D$92,'2600'!A136,'Daftar Koreksi'!$G$5:$G$92,"Aset Tetap Lainnya",'Daftar Koreksi'!$I$5:$I$92,"&gt;0")</f>
        <v>0</v>
      </c>
      <c r="F152" s="25">
        <f>SUMIFS('Daftar Koreksi'!$I$5:$I$92,'Daftar Koreksi'!$D$5:$D$92,'2600'!A136,'Daftar Koreksi'!$G$5:$G$92,"Aset Tetap Lainnya",'Daftar Koreksi'!$I$5:$I$92,"&lt;0")-SUMIFS('Daftar Koreksi'!$I$5:$I$92,'Daftar Koreksi'!$D$5:$D$92,'2600'!A136,'Daftar Koreksi'!$G$5:$G$92,"Aset Tetap Lainnya",'Daftar Koreksi'!$I$5:$I$92,"&lt;0")-SUMIFS('Daftar Koreksi'!$I$5:$I$92,'Daftar Koreksi'!$D$5:$D$92,'2600'!A136,'Daftar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-80703000</v>
      </c>
      <c r="E153" s="25">
        <f>SUMIFS('Daftar Koreksi'!$I$5:$I$92,'Daftar Koreksi'!$D$5:$D$92,'2600'!A136,'Daftar Koreksi'!$G$5:$G$92,"Aset Henti Guna",'Daftar Koreksi'!$I$5:$I$92,"&gt;0")</f>
        <v>0</v>
      </c>
      <c r="F153" s="25">
        <f>SUMIFS('Daftar Koreksi'!$I$5:$I$92,'Daftar Koreksi'!$D$5:$D$92,'2600'!A136,'Daftar Koreksi'!$G$5:$G$92,"Aset Henti Guna",'Daftar Koreksi'!$I$5:$I$92,"&lt;0")-SUMIFS('Daftar Koreksi'!$I$5:$I$92,'Daftar Koreksi'!$D$5:$D$92,'2600'!A136,'Daftar Koreksi'!$G$5:$G$92,"Aset Henti Guna",'Daftar Koreksi'!$I$5:$I$92,"&lt;0")-SUMIFS('Daftar Koreksi'!$I$5:$I$92,'Daftar Koreksi'!$D$5:$D$92,'2600'!A136,'Daftar Koreksi'!$G$5:$G$92,"Aset Henti Guna",'Daftar Koreksi'!$I$5:$I$92,"&lt;0")</f>
        <v>0</v>
      </c>
      <c r="G153" s="17">
        <f t="shared" si="6"/>
        <v>-80703000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-3281847366</v>
      </c>
      <c r="E154" s="19">
        <f>SUM(E149:E153)</f>
        <v>0</v>
      </c>
      <c r="F154" s="19">
        <f>SUM(F149:F153)</f>
        <v>0</v>
      </c>
      <c r="G154" s="19">
        <f t="shared" si="6"/>
        <v>-3281847366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4479248059</v>
      </c>
      <c r="E155" s="19">
        <f>E154+E148</f>
        <v>0</v>
      </c>
      <c r="F155" s="19">
        <f>F154+F148</f>
        <v>0</v>
      </c>
      <c r="G155" s="19">
        <f t="shared" si="6"/>
        <v>4479248059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005012600400239000KD</v>
      </c>
      <c r="B158" s="11" t="str">
        <f>P8</f>
        <v>PN. Arga Makmur</v>
      </c>
      <c r="C158" s="12" t="str">
        <f>A158&amp;" "&amp;B158</f>
        <v>005012600400239000KD PN. Arga Makmur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2526000</v>
      </c>
      <c r="E161" s="25">
        <f>SUMIFS('Daftar Koreksi'!$H$5:$H$92,'Daftar Koreksi'!$D$5:$D$92,'2600'!A158,'Daftar Koreksi'!$G$5:$G$92,"Persediaan",'Daftar Koreksi'!$H$5:$H$92,"&gt;0")</f>
        <v>0</v>
      </c>
      <c r="F161" s="25">
        <f>SUMIFS('Daftar Koreksi'!$H$5:$H$92,'Daftar Koreksi'!$D$5:$D$92,'2600'!A158,'Daftar Koreksi'!$G$5:$G$92,"Persediaan",'Daftar Koreksi'!$H$5:$H$92,"&lt;0")-SUMIFS('Daftar Koreksi'!$H$5:$H$92,'Daftar Koreksi'!$D$5:$D$92,'2600'!A158,'Daftar Koreksi'!$G$5:$G$92,"Persediaan",'Daftar Koreksi'!$H$5:$H$92,"&lt;0")-SUMIFS('Daftar Koreksi'!$H$5:$H$92,'Daftar Koreksi'!$D$5:$D$92,'2600'!A158,'Daftar Koreksi'!$G$5:$G$92,"Persediaan",'Daftar Koreksi'!$H$5:$H$92,"&lt;0")</f>
        <v>0</v>
      </c>
      <c r="G161" s="17">
        <f>D161+E161-F161</f>
        <v>2526000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4530548000</v>
      </c>
      <c r="E162" s="25">
        <f>SUMIFS('Daftar Koreksi'!$H$5:$H$92,'Daftar Koreksi'!$D$5:$D$92,'2600'!A158,'Daftar Koreksi'!$G$5:$G$92,"Tanah",'Daftar Koreksi'!$H$5:$H$92,"&gt;0")</f>
        <v>0</v>
      </c>
      <c r="F162" s="25">
        <f>SUMIFS('Daftar Koreksi'!$H$5:$H$92,'Daftar Koreksi'!$D$5:$D$92,'2600'!A158,'Daftar Koreksi'!$G$5:$G$92,"Tanah",'Daftar Koreksi'!$H$5:$H$92,"&lt;0")-SUMIFS('Daftar Koreksi'!$H$5:$H$92,'Daftar Koreksi'!$D$5:$D$92,'2600'!A158,'Daftar Koreksi'!$G$5:$G$92,"Tanah",'Daftar Koreksi'!$H$5:$H$92,"&lt;0")-SUMIFS('Daftar Koreksi'!$H$5:$H$92,'Daftar Koreksi'!$D$5:$D$92,'2600'!A158,'Daftar Koreksi'!$G$5:$G$92,"Tanah",'Daftar Koreksi'!$H$5:$H$92,"&lt;0")</f>
        <v>0</v>
      </c>
      <c r="G162" s="17">
        <f t="shared" ref="G162:G178" si="7">D162+E162-F162</f>
        <v>4530548000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2923835003</v>
      </c>
      <c r="E163" s="25">
        <f>SUMIFS('Daftar Koreksi'!$H$5:$H$92,'Daftar Koreksi'!$D$5:$D$92,'2600'!A158,'Daftar Koreksi'!$G$5:$G$92,"Peralatan dan mesin",'Daftar Koreksi'!$H$5:$H$92,"&gt;0")</f>
        <v>0</v>
      </c>
      <c r="F163" s="25">
        <f>SUMIFS('Daftar Koreksi'!$H$5:$H$92,'Daftar Koreksi'!$D$5:$D$92,'2600'!A158,'Daftar Koreksi'!$G$5:$G$92,"Peralatan dan mesin",'Daftar Koreksi'!$H$5:$H$92,"&lt;0")-SUMIFS('Daftar Koreksi'!$H$5:$H$92,'Daftar Koreksi'!$D$5:$D$92,'2600'!A158,'Daftar Koreksi'!$G$5:$G$92,"Peralatan dan mesin",'Daftar Koreksi'!$H$5:$H$92,"&lt;0")-SUMIFS('Daftar Koreksi'!$H$5:$H$92,'Daftar Koreksi'!$D$5:$D$92,'2600'!A158,'Daftar Koreksi'!$G$5:$G$92,"Peralatan dan mesin",'Daftar Koreksi'!$H$5:$H$92,"&lt;0")</f>
        <v>0</v>
      </c>
      <c r="G163" s="17">
        <f t="shared" si="7"/>
        <v>2923835003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9591829000</v>
      </c>
      <c r="E164" s="25">
        <f>SUMIFS('Daftar Koreksi'!$H$5:$H$92,'Daftar Koreksi'!$D$5:$D$92,'2600'!A158,'Daftar Koreksi'!$G$5:$G$92,"Gedung dan Bangunan",'Daftar Koreksi'!$H$5:$H$92,"&gt;0")</f>
        <v>0</v>
      </c>
      <c r="F164" s="25">
        <f>SUMIFS('Daftar Koreksi'!$H$5:$H$92,'Daftar Koreksi'!$D$5:$D$92,'2600'!A158,'Daftar Koreksi'!$G$5:$G$92,"Gedung dan Bangunan",'Daftar Koreksi'!$H$5:$H$92,"&lt;0")-SUMIFS('Daftar Koreksi'!$H$5:$H$92,'Daftar Koreksi'!$D$5:$D$92,'2600'!A158,'Daftar Koreksi'!$G$5:$G$92,"Gedung dan Bangunan",'Daftar Koreksi'!$H$5:$H$92,"&lt;0")-SUMIFS('Daftar Koreksi'!$H$5:$H$92,'Daftar Koreksi'!$D$5:$D$92,'2600'!A158,'Daftar Koreksi'!$G$5:$G$92,"Gedung dan Bangunan",'Daftar Koreksi'!$H$5:$H$92,"&lt;0")</f>
        <v>0</v>
      </c>
      <c r="G164" s="17">
        <f t="shared" si="7"/>
        <v>9591829000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Koreksi'!$D$5:$D$92,'2600'!A158,'Daftar Koreksi'!$G$5:$G$92,"Jalan Irigasi Jaringan",'Daftar Koreksi'!$H$5:$H$92,"&gt;0")</f>
        <v>0</v>
      </c>
      <c r="F165" s="25">
        <f>SUMIFS('Daftar Koreksi'!$H$5:$H$92,'Daftar Koreksi'!$D$5:$D$92,'2600'!A158,'Daftar Koreksi'!$G$5:$G$92,"Jalan Irigasi Jaringan",'Daftar Koreksi'!$H$5:$H$92,"&lt;0")-SUMIFS('Daftar Koreksi'!$H$5:$H$92,'Daftar Koreksi'!$D$5:$D$92,'2600'!A158,'Daftar Koreksi'!$G$5:$G$92,"Jalan Irigasi Jaringan",'Daftar Koreksi'!$H$5:$H$92,"&lt;0")-SUMIFS('Daftar Koreksi'!$H$5:$H$92,'Daftar Koreksi'!$D$5:$D$92,'2600'!A158,'Daftar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2843440</v>
      </c>
      <c r="E166" s="25">
        <f>SUMIFS('Daftar Koreksi'!$H$5:$H$92,'Daftar Koreksi'!$D$5:$D$92,'2600'!A158,'Daftar Koreksi'!$G$5:$G$92,"Aset Tetap Lainnya",'Daftar Koreksi'!$H$5:$H$92,"&gt;0")</f>
        <v>0</v>
      </c>
      <c r="F166" s="25">
        <f>SUMIFS('Daftar Koreksi'!$H$5:$H$92,'Daftar Koreksi'!$D$5:$D$92,'2600'!A158,'Daftar Koreksi'!$G$5:$G$92,"Aset Tetap Lainnya",'Daftar Koreksi'!$H$5:$H$92,"&lt;0")-SUMIFS('Daftar Koreksi'!$H$5:$H$92,'Daftar Koreksi'!$D$5:$D$92,'2600'!A158,'Daftar Koreksi'!$G$5:$G$92,"Aset Tetap Lainnya",'Daftar Koreksi'!$H$5:$H$92,"&lt;0")-SUMIFS('Daftar Koreksi'!$H$5:$H$92,'Daftar Koreksi'!$D$5:$D$92,'2600'!A158,'Daftar Koreksi'!$G$5:$G$92,"Aset Tetap Lainnya",'Daftar Koreksi'!$H$5:$H$92,"&lt;0")</f>
        <v>0</v>
      </c>
      <c r="G166" s="17">
        <f t="shared" si="7"/>
        <v>2843440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Koreksi'!$D$5:$D$92,'2600'!A158,'Daftar Koreksi'!$G$5:$G$92,"Kontruksi Dalam Pengerjaan",'Daftar Koreksi'!$H$5:$H$92,"&gt;0")</f>
        <v>0</v>
      </c>
      <c r="F167" s="25">
        <f>SUMIFS('Daftar Koreksi'!$H$5:$H$92,'Daftar Koreksi'!$D$5:$D$92,'2600'!A158,'Daftar Koreksi'!$G$5:$G$92,"Kontruksi Dalam Pengerjaan",'Daftar Koreksi'!$H$5:$H$92,"&lt;0")-SUMIFS('Daftar Koreksi'!$H$5:$H$92,'Daftar Koreksi'!$D$5:$D$92,'2600'!A158,'Daftar Koreksi'!$G$5:$G$92,"Kontruksi Dalam Pengerjaan",'Daftar Koreksi'!$H$5:$H$92,"&lt;0")-SUMIFS('Daftar Koreksi'!$H$5:$H$92,'Daftar Koreksi'!$D$5:$D$92,'2600'!A158,'Daftar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13860000</v>
      </c>
      <c r="E168" s="25">
        <f>SUMIFS('Daftar Koreksi'!$H$5:$H$92,'Daftar Koreksi'!$D$5:$D$92,'2600'!A158,'Daftar Koreksi'!$G$5:$G$92,"Aset Tak Berwujud",'Daftar Koreksi'!$H$5:$H$92,"&gt;0")</f>
        <v>0</v>
      </c>
      <c r="F168" s="25">
        <f>SUMIFS('Daftar Koreksi'!$H$5:$H$92,'Daftar Koreksi'!$D$5:$D$92,'2600'!A158,'Daftar Koreksi'!$G$5:$G$92,"Aset Tak Berwujud",'Daftar Koreksi'!$H$5:$H$92,"&lt;0")-SUMIFS('Daftar Koreksi'!$H$5:$H$92,'Daftar Koreksi'!$D$5:$D$92,'2600'!A158,'Daftar Koreksi'!$G$5:$G$92,"Aset Tak Berwujud",'Daftar Koreksi'!$H$5:$H$92,"&lt;0")-SUMIFS('Daftar Koreksi'!$H$5:$H$92,'Daftar Koreksi'!$D$5:$D$92,'2600'!A158,'Daftar Koreksi'!$G$5:$G$92,"Aset Tak Berwujud",'Daftar Koreksi'!$H$5:$H$92,"&lt;0")</f>
        <v>0</v>
      </c>
      <c r="G168" s="17">
        <f t="shared" si="7"/>
        <v>13860000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404902000</v>
      </c>
      <c r="E169" s="25">
        <f>SUMIFS('Daftar Koreksi'!$H$5:$H$92,'Daftar Koreksi'!$D$5:$D$92,'2600'!A158,'Daftar Koreksi'!$G$5:$G$92,"Aset Henti Guna",'Daftar Koreksi'!$H$5:$H$92,"&gt;0")</f>
        <v>0</v>
      </c>
      <c r="F169" s="25">
        <f>SUMIFS('Daftar Koreksi'!$H$5:$H$92,'Daftar Koreksi'!$D$5:$D$92,'2600'!A158,'Daftar Koreksi'!$G$5:$G$92,"Aset Henti Guna",'Daftar Koreksi'!$H$5:$H$92,"&lt;0")-SUMIFS('Daftar Koreksi'!$H$5:$H$92,'Daftar Koreksi'!$D$5:$D$92,'2600'!A158,'Daftar Koreksi'!$G$5:$G$92,"Aset Henti Guna",'Daftar Koreksi'!$H$5:$H$92,"&lt;0")-SUMIFS('Daftar Koreksi'!$H$5:$H$92,'Daftar Koreksi'!$D$5:$D$92,'2600'!A158,'Daftar Koreksi'!$G$5:$G$92,"Aset Henti Guna",'Daftar Koreksi'!$H$5:$H$92,"&lt;0")</f>
        <v>0</v>
      </c>
      <c r="G169" s="17">
        <f t="shared" si="7"/>
        <v>404902000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17470343443</v>
      </c>
      <c r="E170" s="19">
        <f>SUM(E161:E169)</f>
        <v>0</v>
      </c>
      <c r="F170" s="19">
        <f>SUM(F161:F169)</f>
        <v>0</v>
      </c>
      <c r="G170" s="19">
        <f t="shared" si="7"/>
        <v>17470343443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-2263609151</v>
      </c>
      <c r="E171" s="25">
        <f>SUMIFS('Daftar Koreksi'!$I$5:$I$92,'Daftar Koreksi'!$D$5:$D$92,'2600'!A158,'Daftar Koreksi'!$G$5:$G$92,"Peralatan dan mesin",'Daftar Koreksi'!$I$5:$I$92,"&gt;0")</f>
        <v>0</v>
      </c>
      <c r="F171" s="25">
        <f>SUMIFS('Daftar Koreksi'!$I$5:$I$92,'Daftar Koreksi'!$D$5:$D$92,'2600'!A158,'Daftar Koreksi'!$G$5:$G$92,"Peralatan dan mesin",'Daftar Koreksi'!$I$5:$I$92,"&lt;0")-SUMIFS('Daftar Koreksi'!$I$5:$I$92,'Daftar Koreksi'!$D$5:$D$92,'2600'!A158,'Daftar Koreksi'!$G$5:$G$92,"Peralatan dan mesin",'Daftar Koreksi'!$I$5:$I$92,"&lt;0")-SUMIFS('Daftar Koreksi'!$I$5:$I$92,'Daftar Koreksi'!$D$5:$D$92,'2600'!A158,'Daftar Koreksi'!$G$5:$G$92,"Peralatan dan mesin",'Daftar Koreksi'!$I$5:$I$92,"&lt;0")</f>
        <v>0</v>
      </c>
      <c r="G171" s="17">
        <f t="shared" si="7"/>
        <v>-2263609151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-1770327175</v>
      </c>
      <c r="E172" s="25">
        <f>SUMIFS('Daftar Koreksi'!$I$5:$I$92,'Daftar Koreksi'!$D$5:$D$92,'2600'!A158,'Daftar Koreksi'!$G$5:$G$92,"Gedung dan Bangunan",'Daftar Koreksi'!$I$5:$I$92,"&gt;0")</f>
        <v>0</v>
      </c>
      <c r="F172" s="25">
        <f>SUMIFS('Daftar Koreksi'!$I$5:$I$92,'Daftar Koreksi'!$D$5:$D$92,'2600'!A158,'Daftar Koreksi'!$G$5:$G$92,"Gedung dan Bangunan",'Daftar Koreksi'!$I$5:$I$92,"&lt;0")-SUMIFS('Daftar Koreksi'!$I$5:$I$92,'Daftar Koreksi'!$D$5:$D$92,'2600'!A158,'Daftar Koreksi'!$G$5:$G$92,"Gedung dan Bangunan",'Daftar Koreksi'!$I$5:$I$92,"&lt;0")-SUMIFS('Daftar Koreksi'!$I$5:$I$92,'Daftar Koreksi'!$D$5:$D$92,'2600'!A158,'Daftar Koreksi'!$G$5:$G$92,"Gedung dan Bangunan",'Daftar Koreksi'!$I$5:$I$92,"&lt;0")</f>
        <v>0</v>
      </c>
      <c r="G172" s="17">
        <f t="shared" si="7"/>
        <v>-1770327175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Koreksi'!$D$5:$D$92,'2600'!A158,'Daftar Koreksi'!$G$5:$G$92,"Jalan Irigasi Jaringan",'Daftar Koreksi'!$I$5:$I$92,"&gt;0")</f>
        <v>0</v>
      </c>
      <c r="F173" s="25">
        <f>SUMIFS('Daftar Koreksi'!$I$5:$I$92,'Daftar Koreksi'!$D$5:$D$92,'2600'!A158,'Daftar Koreksi'!$G$5:$G$92,"Jalan Irigasi Jaringan",'Daftar Koreksi'!$I$5:$I$92,"&lt;0")-SUMIFS('Daftar Koreksi'!$I$5:$I$92,'Daftar Koreksi'!$D$5:$D$92,'2600'!A158,'Daftar Koreksi'!$G$5:$G$92,"Jalan Irigasi Jaringan",'Daftar Koreksi'!$I$5:$I$92,"&lt;0")-SUMIFS('Daftar Koreksi'!$I$5:$I$92,'Daftar Koreksi'!$D$5:$D$92,'2600'!A158,'Daftar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Koreksi'!$D$5:$D$92,'2600'!A158,'Daftar Koreksi'!$G$5:$G$92,"Aset Tetap Lainnya",'Daftar Koreksi'!$I$5:$I$92,"&gt;0")</f>
        <v>0</v>
      </c>
      <c r="F174" s="25">
        <f>SUMIFS('Daftar Koreksi'!$I$5:$I$92,'Daftar Koreksi'!$D$5:$D$92,'2600'!A158,'Daftar Koreksi'!$G$5:$G$92,"Aset Tetap Lainnya",'Daftar Koreksi'!$I$5:$I$92,"&lt;0")-SUMIFS('Daftar Koreksi'!$I$5:$I$92,'Daftar Koreksi'!$D$5:$D$92,'2600'!A158,'Daftar Koreksi'!$G$5:$G$92,"Aset Tetap Lainnya",'Daftar Koreksi'!$I$5:$I$92,"&lt;0")-SUMIFS('Daftar Koreksi'!$I$5:$I$92,'Daftar Koreksi'!$D$5:$D$92,'2600'!A158,'Daftar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-294013000</v>
      </c>
      <c r="E175" s="25">
        <f>SUMIFS('Daftar Koreksi'!$I$5:$I$92,'Daftar Koreksi'!$D$5:$D$92,'2600'!A158,'Daftar Koreksi'!$G$5:$G$92,"Aset Henti Guna",'Daftar Koreksi'!$I$5:$I$92,"&gt;0")</f>
        <v>0</v>
      </c>
      <c r="F175" s="25">
        <f>SUMIFS('Daftar Koreksi'!$I$5:$I$92,'Daftar Koreksi'!$D$5:$D$92,'2600'!A158,'Daftar Koreksi'!$G$5:$G$92,"Aset Henti Guna",'Daftar Koreksi'!$I$5:$I$92,"&lt;0")-SUMIFS('Daftar Koreksi'!$I$5:$I$92,'Daftar Koreksi'!$D$5:$D$92,'2600'!A158,'Daftar Koreksi'!$G$5:$G$92,"Aset Henti Guna",'Daftar Koreksi'!$I$5:$I$92,"&lt;0")-SUMIFS('Daftar Koreksi'!$I$5:$I$92,'Daftar Koreksi'!$D$5:$D$92,'2600'!A158,'Daftar Koreksi'!$G$5:$G$92,"Aset Henti Guna",'Daftar Koreksi'!$I$5:$I$92,"&lt;0")</f>
        <v>0</v>
      </c>
      <c r="G175" s="17">
        <f t="shared" si="7"/>
        <v>-294013000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-4327949326</v>
      </c>
      <c r="E176" s="19">
        <f>SUM(E171:E175)</f>
        <v>0</v>
      </c>
      <c r="F176" s="19">
        <f>SUM(F171:F175)</f>
        <v>0</v>
      </c>
      <c r="G176" s="19">
        <f t="shared" si="7"/>
        <v>-4327949326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13142394117</v>
      </c>
      <c r="E177" s="19">
        <f>E176+E170</f>
        <v>0</v>
      </c>
      <c r="F177" s="19">
        <f>F176+F170</f>
        <v>0</v>
      </c>
      <c r="G177" s="19">
        <f t="shared" si="7"/>
        <v>13142394117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005012600400512000KD</v>
      </c>
      <c r="B180" s="11" t="str">
        <f>P9</f>
        <v>PT. Bengkulu</v>
      </c>
      <c r="C180" s="12" t="str">
        <f>A180&amp;" "&amp;B180</f>
        <v>005012600400512000KD PT. Bengkulu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19725100</v>
      </c>
      <c r="E183" s="25">
        <f>SUMIFS('Daftar Koreksi'!$H$5:$H$92,'Daftar Koreksi'!$D$5:$D$92,'2600'!A180,'Daftar Koreksi'!$G$5:$G$92,"Persediaan",'Daftar Koreksi'!$H$5:$H$92,"&gt;0")</f>
        <v>0</v>
      </c>
      <c r="F183" s="25">
        <f>SUMIFS('Daftar Koreksi'!$H$5:$H$92,'Daftar Koreksi'!$D$5:$D$92,'2600'!A180,'Daftar Koreksi'!$G$5:$G$92,"Persediaan",'Daftar Koreksi'!$H$5:$H$92,"&lt;0")-SUMIFS('Daftar Koreksi'!$H$5:$H$92,'Daftar Koreksi'!$D$5:$D$92,'2600'!A180,'Daftar Koreksi'!$G$5:$G$92,"Persediaan",'Daftar Koreksi'!$H$5:$H$92,"&lt;0")-SUMIFS('Daftar Koreksi'!$H$5:$H$92,'Daftar Koreksi'!$D$5:$D$92,'2600'!A180,'Daftar Koreksi'!$G$5:$G$92,"Persediaan",'Daftar Koreksi'!$H$5:$H$92,"&lt;0")</f>
        <v>0</v>
      </c>
      <c r="G183" s="17">
        <f>D183+E183-F183</f>
        <v>19725100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6623500000</v>
      </c>
      <c r="E184" s="25">
        <f>SUMIFS('Daftar Koreksi'!$H$5:$H$92,'Daftar Koreksi'!$D$5:$D$92,'2600'!A180,'Daftar Koreksi'!$G$5:$G$92,"Tanah",'Daftar Koreksi'!$H$5:$H$92,"&gt;0")</f>
        <v>0</v>
      </c>
      <c r="F184" s="25">
        <f>SUMIFS('Daftar Koreksi'!$H$5:$H$92,'Daftar Koreksi'!$D$5:$D$92,'2600'!A180,'Daftar Koreksi'!$G$5:$G$92,"Tanah",'Daftar Koreksi'!$H$5:$H$92,"&lt;0")-SUMIFS('Daftar Koreksi'!$H$5:$H$92,'Daftar Koreksi'!$D$5:$D$92,'2600'!A180,'Daftar Koreksi'!$G$5:$G$92,"Tanah",'Daftar Koreksi'!$H$5:$H$92,"&lt;0")-SUMIFS('Daftar Koreksi'!$H$5:$H$92,'Daftar Koreksi'!$D$5:$D$92,'2600'!A180,'Daftar Koreksi'!$G$5:$G$92,"Tanah",'Daftar Koreksi'!$H$5:$H$92,"&lt;0")</f>
        <v>0</v>
      </c>
      <c r="G184" s="17">
        <f t="shared" ref="G184:G200" si="8">D184+E184-F184</f>
        <v>6623500000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4139085582</v>
      </c>
      <c r="E185" s="25">
        <f>SUMIFS('Daftar Koreksi'!$H$5:$H$92,'Daftar Koreksi'!$D$5:$D$92,'2600'!A180,'Daftar Koreksi'!$G$5:$G$92,"Peralatan dan mesin",'Daftar Koreksi'!$H$5:$H$92,"&gt;0")</f>
        <v>0</v>
      </c>
      <c r="F185" s="25">
        <f>SUMIFS('Daftar Koreksi'!$H$5:$H$92,'Daftar Koreksi'!$D$5:$D$92,'2600'!A180,'Daftar Koreksi'!$G$5:$G$92,"Peralatan dan mesin",'Daftar Koreksi'!$H$5:$H$92,"&lt;0")-SUMIFS('Daftar Koreksi'!$H$5:$H$92,'Daftar Koreksi'!$D$5:$D$92,'2600'!A180,'Daftar Koreksi'!$G$5:$G$92,"Peralatan dan mesin",'Daftar Koreksi'!$H$5:$H$92,"&lt;0")-SUMIFS('Daftar Koreksi'!$H$5:$H$92,'Daftar Koreksi'!$D$5:$D$92,'2600'!A180,'Daftar Koreksi'!$G$5:$G$92,"Peralatan dan mesin",'Daftar Koreksi'!$H$5:$H$92,"&lt;0")</f>
        <v>0</v>
      </c>
      <c r="G185" s="17">
        <f t="shared" si="8"/>
        <v>4139085582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18193671978</v>
      </c>
      <c r="E186" s="25">
        <f>SUMIFS('Daftar Koreksi'!$H$5:$H$92,'Daftar Koreksi'!$D$5:$D$92,'2600'!A180,'Daftar Koreksi'!$G$5:$G$92,"Gedung dan Bangunan",'Daftar Koreksi'!$H$5:$H$92,"&gt;0")</f>
        <v>0</v>
      </c>
      <c r="F186" s="25">
        <f>SUMIFS('Daftar Koreksi'!$H$5:$H$92,'Daftar Koreksi'!$D$5:$D$92,'2600'!A180,'Daftar Koreksi'!$G$5:$G$92,"Gedung dan Bangunan",'Daftar Koreksi'!$H$5:$H$92,"&lt;0")-SUMIFS('Daftar Koreksi'!$H$5:$H$92,'Daftar Koreksi'!$D$5:$D$92,'2600'!A180,'Daftar Koreksi'!$G$5:$G$92,"Gedung dan Bangunan",'Daftar Koreksi'!$H$5:$H$92,"&lt;0")-SUMIFS('Daftar Koreksi'!$H$5:$H$92,'Daftar Koreksi'!$D$5:$D$92,'2600'!A180,'Daftar Koreksi'!$G$5:$G$92,"Gedung dan Bangunan",'Daftar Koreksi'!$H$5:$H$92,"&lt;0")</f>
        <v>0</v>
      </c>
      <c r="G186" s="17">
        <f t="shared" si="8"/>
        <v>18193671978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Koreksi'!$D$5:$D$92,'2600'!A180,'Daftar Koreksi'!$G$5:$G$92,"Jalan Irigasi Jaringan",'Daftar Koreksi'!$H$5:$H$92,"&gt;0")</f>
        <v>0</v>
      </c>
      <c r="F187" s="25">
        <f>SUMIFS('Daftar Koreksi'!$H$5:$H$92,'Daftar Koreksi'!$D$5:$D$92,'2600'!A180,'Daftar Koreksi'!$G$5:$G$92,"Jalan Irigasi Jaringan",'Daftar Koreksi'!$H$5:$H$92,"&lt;0")-SUMIFS('Daftar Koreksi'!$H$5:$H$92,'Daftar Koreksi'!$D$5:$D$92,'2600'!A180,'Daftar Koreksi'!$G$5:$G$92,"Jalan Irigasi Jaringan",'Daftar Koreksi'!$H$5:$H$92,"&lt;0")-SUMIFS('Daftar Koreksi'!$H$5:$H$92,'Daftar Koreksi'!$D$5:$D$92,'2600'!A180,'Daftar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23893440</v>
      </c>
      <c r="E188" s="25">
        <f>SUMIFS('Daftar Koreksi'!$H$5:$H$92,'Daftar Koreksi'!$D$5:$D$92,'2600'!A180,'Daftar Koreksi'!$G$5:$G$92,"Aset Tetap Lainnya",'Daftar Koreksi'!$H$5:$H$92,"&gt;0")</f>
        <v>0</v>
      </c>
      <c r="F188" s="25">
        <f>SUMIFS('Daftar Koreksi'!$H$5:$H$92,'Daftar Koreksi'!$D$5:$D$92,'2600'!A180,'Daftar Koreksi'!$G$5:$G$92,"Aset Tetap Lainnya",'Daftar Koreksi'!$H$5:$H$92,"&lt;0")-SUMIFS('Daftar Koreksi'!$H$5:$H$92,'Daftar Koreksi'!$D$5:$D$92,'2600'!A180,'Daftar Koreksi'!$G$5:$G$92,"Aset Tetap Lainnya",'Daftar Koreksi'!$H$5:$H$92,"&lt;0")-SUMIFS('Daftar Koreksi'!$H$5:$H$92,'Daftar Koreksi'!$D$5:$D$92,'2600'!A180,'Daftar Koreksi'!$G$5:$G$92,"Aset Tetap Lainnya",'Daftar Koreksi'!$H$5:$H$92,"&lt;0")</f>
        <v>0</v>
      </c>
      <c r="G188" s="17">
        <f t="shared" si="8"/>
        <v>23893440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Koreksi'!$D$5:$D$92,'2600'!A180,'Daftar Koreksi'!$G$5:$G$92,"Kontruksi Dalam Pengerjaan",'Daftar Koreksi'!$H$5:$H$92,"&gt;0")</f>
        <v>0</v>
      </c>
      <c r="F189" s="25">
        <f>SUMIFS('Daftar Koreksi'!$H$5:$H$92,'Daftar Koreksi'!$D$5:$D$92,'2600'!A180,'Daftar Koreksi'!$G$5:$G$92,"Kontruksi Dalam Pengerjaan",'Daftar Koreksi'!$H$5:$H$92,"&lt;0")-SUMIFS('Daftar Koreksi'!$H$5:$H$92,'Daftar Koreksi'!$D$5:$D$92,'2600'!A180,'Daftar Koreksi'!$G$5:$G$92,"Kontruksi Dalam Pengerjaan",'Daftar Koreksi'!$H$5:$H$92,"&lt;0")-SUMIFS('Daftar Koreksi'!$H$5:$H$92,'Daftar Koreksi'!$D$5:$D$92,'2600'!A180,'Daftar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Koreksi'!$D$5:$D$92,'2600'!A180,'Daftar Koreksi'!$G$5:$G$92,"Aset Tak Berwujud",'Daftar Koreksi'!$H$5:$H$92,"&gt;0")</f>
        <v>0</v>
      </c>
      <c r="F190" s="25">
        <f>SUMIFS('Daftar Koreksi'!$H$5:$H$92,'Daftar Koreksi'!$D$5:$D$92,'2600'!A180,'Daftar Koreksi'!$G$5:$G$92,"Aset Tak Berwujud",'Daftar Koreksi'!$H$5:$H$92,"&lt;0")-SUMIFS('Daftar Koreksi'!$H$5:$H$92,'Daftar Koreksi'!$D$5:$D$92,'2600'!A180,'Daftar Koreksi'!$G$5:$G$92,"Aset Tak Berwujud",'Daftar Koreksi'!$H$5:$H$92,"&lt;0")-SUMIFS('Daftar Koreksi'!$H$5:$H$92,'Daftar Koreksi'!$D$5:$D$92,'2600'!A180,'Daftar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92446935</v>
      </c>
      <c r="E191" s="25">
        <f>SUMIFS('Daftar Koreksi'!$H$5:$H$92,'Daftar Koreksi'!$D$5:$D$92,'2600'!A180,'Daftar Koreksi'!$G$5:$G$92,"Aset Henti Guna",'Daftar Koreksi'!$H$5:$H$92,"&gt;0")</f>
        <v>0</v>
      </c>
      <c r="F191" s="25">
        <f>SUMIFS('Daftar Koreksi'!$H$5:$H$92,'Daftar Koreksi'!$D$5:$D$92,'2600'!A180,'Daftar Koreksi'!$G$5:$G$92,"Aset Henti Guna",'Daftar Koreksi'!$H$5:$H$92,"&lt;0")-SUMIFS('Daftar Koreksi'!$H$5:$H$92,'Daftar Koreksi'!$D$5:$D$92,'2600'!A180,'Daftar Koreksi'!$G$5:$G$92,"Aset Henti Guna",'Daftar Koreksi'!$H$5:$H$92,"&lt;0")-SUMIFS('Daftar Koreksi'!$H$5:$H$92,'Daftar Koreksi'!$D$5:$D$92,'2600'!A180,'Daftar Koreksi'!$G$5:$G$92,"Aset Henti Guna",'Daftar Koreksi'!$H$5:$H$92,"&lt;0")</f>
        <v>0</v>
      </c>
      <c r="G191" s="17">
        <f t="shared" si="8"/>
        <v>92446935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29092323035</v>
      </c>
      <c r="E192" s="19">
        <f>SUM(E183:E191)</f>
        <v>0</v>
      </c>
      <c r="F192" s="19">
        <f>SUM(F183:F191)</f>
        <v>0</v>
      </c>
      <c r="G192" s="19">
        <f t="shared" si="8"/>
        <v>29092323035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-3103084206</v>
      </c>
      <c r="E193" s="25">
        <f>SUMIFS('Daftar Koreksi'!$I$5:$I$92,'Daftar Koreksi'!$D$5:$D$92,'2600'!A180,'Daftar Koreksi'!$G$5:$G$92,"Peralatan dan mesin",'Daftar Koreksi'!$I$5:$I$92,"&gt;0")</f>
        <v>0</v>
      </c>
      <c r="F193" s="25">
        <f>SUMIFS('Daftar Koreksi'!$I$5:$I$92,'Daftar Koreksi'!$D$5:$D$92,'2600'!A180,'Daftar Koreksi'!$G$5:$G$92,"Peralatan dan mesin",'Daftar Koreksi'!$I$5:$I$92,"&lt;0")-SUMIFS('Daftar Koreksi'!$I$5:$I$92,'Daftar Koreksi'!$D$5:$D$92,'2600'!A180,'Daftar Koreksi'!$G$5:$G$92,"Peralatan dan mesin",'Daftar Koreksi'!$I$5:$I$92,"&lt;0")-SUMIFS('Daftar Koreksi'!$I$5:$I$92,'Daftar Koreksi'!$D$5:$D$92,'2600'!A180,'Daftar Koreksi'!$G$5:$G$92,"Peralatan dan mesin",'Daftar Koreksi'!$I$5:$I$92,"&lt;0")</f>
        <v>0</v>
      </c>
      <c r="G193" s="17">
        <f t="shared" si="8"/>
        <v>-3103084206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-5597180573</v>
      </c>
      <c r="E194" s="25">
        <f>SUMIFS('Daftar Koreksi'!$I$5:$I$92,'Daftar Koreksi'!$D$5:$D$92,'2600'!A180,'Daftar Koreksi'!$G$5:$G$92,"Gedung dan Bangunan",'Daftar Koreksi'!$I$5:$I$92,"&gt;0")</f>
        <v>0</v>
      </c>
      <c r="F194" s="25">
        <f>SUMIFS('Daftar Koreksi'!$I$5:$I$92,'Daftar Koreksi'!$D$5:$D$92,'2600'!A180,'Daftar Koreksi'!$G$5:$G$92,"Gedung dan Bangunan",'Daftar Koreksi'!$I$5:$I$92,"&lt;0")-SUMIFS('Daftar Koreksi'!$I$5:$I$92,'Daftar Koreksi'!$D$5:$D$92,'2600'!A180,'Daftar Koreksi'!$G$5:$G$92,"Gedung dan Bangunan",'Daftar Koreksi'!$I$5:$I$92,"&lt;0")-SUMIFS('Daftar Koreksi'!$I$5:$I$92,'Daftar Koreksi'!$D$5:$D$92,'2600'!A180,'Daftar Koreksi'!$G$5:$G$92,"Gedung dan Bangunan",'Daftar Koreksi'!$I$5:$I$92,"&lt;0")</f>
        <v>0</v>
      </c>
      <c r="G194" s="17">
        <f t="shared" si="8"/>
        <v>-5597180573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Koreksi'!$D$5:$D$92,'2600'!A180,'Daftar Koreksi'!$G$5:$G$92,"Jalan Irigasi Jaringan",'Daftar Koreksi'!$I$5:$I$92,"&gt;0")</f>
        <v>0</v>
      </c>
      <c r="F195" s="25">
        <f>SUMIFS('Daftar Koreksi'!$I$5:$I$92,'Daftar Koreksi'!$D$5:$D$92,'2600'!A180,'Daftar Koreksi'!$G$5:$G$92,"Jalan Irigasi Jaringan",'Daftar Koreksi'!$I$5:$I$92,"&lt;0")-SUMIFS('Daftar Koreksi'!$I$5:$I$92,'Daftar Koreksi'!$D$5:$D$92,'2600'!A180,'Daftar Koreksi'!$G$5:$G$92,"Jalan Irigasi Jaringan",'Daftar Koreksi'!$I$5:$I$92,"&lt;0")-SUMIFS('Daftar Koreksi'!$I$5:$I$92,'Daftar Koreksi'!$D$5:$D$92,'2600'!A180,'Daftar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Koreksi'!$D$5:$D$92,'2600'!A180,'Daftar Koreksi'!$G$5:$G$92,"Aset Tetap Lainnya",'Daftar Koreksi'!$I$5:$I$92,"&gt;0")</f>
        <v>0</v>
      </c>
      <c r="F196" s="25">
        <f>SUMIFS('Daftar Koreksi'!$I$5:$I$92,'Daftar Koreksi'!$D$5:$D$92,'2600'!A180,'Daftar Koreksi'!$G$5:$G$92,"Aset Tetap Lainnya",'Daftar Koreksi'!$I$5:$I$92,"&lt;0")-SUMIFS('Daftar Koreksi'!$I$5:$I$92,'Daftar Koreksi'!$D$5:$D$92,'2600'!A180,'Daftar Koreksi'!$G$5:$G$92,"Aset Tetap Lainnya",'Daftar Koreksi'!$I$5:$I$92,"&lt;0")-SUMIFS('Daftar Koreksi'!$I$5:$I$92,'Daftar Koreksi'!$D$5:$D$92,'2600'!A180,'Daftar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-92436935</v>
      </c>
      <c r="E197" s="25">
        <f>SUMIFS('Daftar Koreksi'!$I$5:$I$92,'Daftar Koreksi'!$D$5:$D$92,'2600'!A180,'Daftar Koreksi'!$G$5:$G$92,"Aset Henti Guna",'Daftar Koreksi'!$I$5:$I$92,"&gt;0")</f>
        <v>0</v>
      </c>
      <c r="F197" s="25">
        <f>SUMIFS('Daftar Koreksi'!$I$5:$I$92,'Daftar Koreksi'!$D$5:$D$92,'2600'!A180,'Daftar Koreksi'!$G$5:$G$92,"Aset Henti Guna",'Daftar Koreksi'!$I$5:$I$92,"&lt;0")-SUMIFS('Daftar Koreksi'!$I$5:$I$92,'Daftar Koreksi'!$D$5:$D$92,'2600'!A180,'Daftar Koreksi'!$G$5:$G$92,"Aset Henti Guna",'Daftar Koreksi'!$I$5:$I$92,"&lt;0")-SUMIFS('Daftar Koreksi'!$I$5:$I$92,'Daftar Koreksi'!$D$5:$D$92,'2600'!A180,'Daftar Koreksi'!$G$5:$G$92,"Aset Henti Guna",'Daftar Koreksi'!$I$5:$I$92,"&lt;0")</f>
        <v>0</v>
      </c>
      <c r="G197" s="17">
        <f t="shared" si="8"/>
        <v>-92436935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-8792701714</v>
      </c>
      <c r="E198" s="19">
        <f>SUM(E193:E197)</f>
        <v>0</v>
      </c>
      <c r="F198" s="19">
        <f>SUM(F193:F197)</f>
        <v>0</v>
      </c>
      <c r="G198" s="19">
        <f t="shared" si="8"/>
        <v>-8792701714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20299621321</v>
      </c>
      <c r="E199" s="19">
        <f>E198+E192</f>
        <v>0</v>
      </c>
      <c r="F199" s="19">
        <f>F198+F192</f>
        <v>0</v>
      </c>
      <c r="G199" s="19">
        <f t="shared" si="8"/>
        <v>20299621321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005012600576274000KD</v>
      </c>
      <c r="B202" s="11" t="str">
        <f>P10</f>
        <v>PTA. Bengkulu</v>
      </c>
      <c r="C202" s="12" t="str">
        <f>A202&amp;" "&amp;B202</f>
        <v>005012600576274000KD PTA. Bengkulu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2722054</v>
      </c>
      <c r="E205" s="25">
        <f>SUMIFS('Daftar Koreksi'!$H$5:$H$92,'Daftar Koreksi'!$D$5:$D$92,'2600'!A202,'Daftar Koreksi'!$G$5:$G$92,"Persediaan",'Daftar Koreksi'!$H$5:$H$92,"&gt;0")</f>
        <v>0</v>
      </c>
      <c r="F205" s="25">
        <f>SUMIFS('Daftar Koreksi'!$H$5:$H$92,'Daftar Koreksi'!$D$5:$D$92,'2600'!A202,'Daftar Koreksi'!$G$5:$G$92,"Persediaan",'Daftar Koreksi'!$H$5:$H$92,"&lt;0")-SUMIFS('Daftar Koreksi'!$H$5:$H$92,'Daftar Koreksi'!$D$5:$D$92,'2600'!A202,'Daftar Koreksi'!$G$5:$G$92,"Persediaan",'Daftar Koreksi'!$H$5:$H$92,"&lt;0")-SUMIFS('Daftar Koreksi'!$H$5:$H$92,'Daftar Koreksi'!$D$5:$D$92,'2600'!A202,'Daftar Koreksi'!$G$5:$G$92,"Persediaan",'Daftar Koreksi'!$H$5:$H$92,"&lt;0")</f>
        <v>0</v>
      </c>
      <c r="G205" s="17">
        <f>D205+E205-F205</f>
        <v>2722054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1241700000</v>
      </c>
      <c r="E206" s="25">
        <f>SUMIFS('Daftar Koreksi'!$H$5:$H$92,'Daftar Koreksi'!$D$5:$D$92,'2600'!A202,'Daftar Koreksi'!$G$5:$G$92,"Tanah",'Daftar Koreksi'!$H$5:$H$92,"&gt;0")</f>
        <v>0</v>
      </c>
      <c r="F206" s="25">
        <f>SUMIFS('Daftar Koreksi'!$H$5:$H$92,'Daftar Koreksi'!$D$5:$D$92,'2600'!A202,'Daftar Koreksi'!$G$5:$G$92,"Tanah",'Daftar Koreksi'!$H$5:$H$92,"&lt;0")-SUMIFS('Daftar Koreksi'!$H$5:$H$92,'Daftar Koreksi'!$D$5:$D$92,'2600'!A202,'Daftar Koreksi'!$G$5:$G$92,"Tanah",'Daftar Koreksi'!$H$5:$H$92,"&lt;0")-SUMIFS('Daftar Koreksi'!$H$5:$H$92,'Daftar Koreksi'!$D$5:$D$92,'2600'!A202,'Daftar Koreksi'!$G$5:$G$92,"Tanah",'Daftar Koreksi'!$H$5:$H$92,"&lt;0")</f>
        <v>0</v>
      </c>
      <c r="G206" s="17">
        <f t="shared" ref="G206:G222" si="9">D206+E206-F206</f>
        <v>1241700000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3118124348</v>
      </c>
      <c r="E207" s="25">
        <f>SUMIFS('Daftar Koreksi'!$H$5:$H$92,'Daftar Koreksi'!$D$5:$D$92,'2600'!A202,'Daftar Koreksi'!$G$5:$G$92,"Peralatan dan mesin",'Daftar Koreksi'!$H$5:$H$92,"&gt;0")</f>
        <v>0</v>
      </c>
      <c r="F207" s="25">
        <f>SUMIFS('Daftar Koreksi'!$H$5:$H$92,'Daftar Koreksi'!$D$5:$D$92,'2600'!A202,'Daftar Koreksi'!$G$5:$G$92,"Peralatan dan mesin",'Daftar Koreksi'!$H$5:$H$92,"&lt;0")-SUMIFS('Daftar Koreksi'!$H$5:$H$92,'Daftar Koreksi'!$D$5:$D$92,'2600'!A202,'Daftar Koreksi'!$G$5:$G$92,"Peralatan dan mesin",'Daftar Koreksi'!$H$5:$H$92,"&lt;0")-SUMIFS('Daftar Koreksi'!$H$5:$H$92,'Daftar Koreksi'!$D$5:$D$92,'2600'!A202,'Daftar Koreksi'!$G$5:$G$92,"Peralatan dan mesin",'Daftar Koreksi'!$H$5:$H$92,"&lt;0")</f>
        <v>0</v>
      </c>
      <c r="G207" s="17">
        <f t="shared" si="9"/>
        <v>3118124348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8602009309</v>
      </c>
      <c r="E208" s="25">
        <f>SUMIFS('Daftar Koreksi'!$H$5:$H$92,'Daftar Koreksi'!$D$5:$D$92,'2600'!A202,'Daftar Koreksi'!$G$5:$G$92,"Gedung dan Bangunan",'Daftar Koreksi'!$H$5:$H$92,"&gt;0")</f>
        <v>0</v>
      </c>
      <c r="F208" s="25">
        <f>SUMIFS('Daftar Koreksi'!$H$5:$H$92,'Daftar Koreksi'!$D$5:$D$92,'2600'!A202,'Daftar Koreksi'!$G$5:$G$92,"Gedung dan Bangunan",'Daftar Koreksi'!$H$5:$H$92,"&lt;0")-SUMIFS('Daftar Koreksi'!$H$5:$H$92,'Daftar Koreksi'!$D$5:$D$92,'2600'!A202,'Daftar Koreksi'!$G$5:$G$92,"Gedung dan Bangunan",'Daftar Koreksi'!$H$5:$H$92,"&lt;0")-SUMIFS('Daftar Koreksi'!$H$5:$H$92,'Daftar Koreksi'!$D$5:$D$92,'2600'!A202,'Daftar Koreksi'!$G$5:$G$92,"Gedung dan Bangunan",'Daftar Koreksi'!$H$5:$H$92,"&lt;0")</f>
        <v>0</v>
      </c>
      <c r="G208" s="17">
        <f t="shared" si="9"/>
        <v>8602009309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50000000</v>
      </c>
      <c r="E209" s="25">
        <f>SUMIFS('Daftar Koreksi'!$H$5:$H$92,'Daftar Koreksi'!$D$5:$D$92,'2600'!A202,'Daftar Koreksi'!$G$5:$G$92,"Jalan Irigasi Jaringan",'Daftar Koreksi'!$H$5:$H$92,"&gt;0")</f>
        <v>0</v>
      </c>
      <c r="F209" s="25">
        <f>SUMIFS('Daftar Koreksi'!$H$5:$H$92,'Daftar Koreksi'!$D$5:$D$92,'2600'!A202,'Daftar Koreksi'!$G$5:$G$92,"Jalan Irigasi Jaringan",'Daftar Koreksi'!$H$5:$H$92,"&lt;0")-SUMIFS('Daftar Koreksi'!$H$5:$H$92,'Daftar Koreksi'!$D$5:$D$92,'2600'!A202,'Daftar Koreksi'!$G$5:$G$92,"Jalan Irigasi Jaringan",'Daftar Koreksi'!$H$5:$H$92,"&lt;0")-SUMIFS('Daftar Koreksi'!$H$5:$H$92,'Daftar Koreksi'!$D$5:$D$92,'2600'!A202,'Daftar Koreksi'!$G$5:$G$92,"Jalan Irigasi Jaringan",'Daftar Koreksi'!$H$5:$H$92,"&lt;0")</f>
        <v>0</v>
      </c>
      <c r="G209" s="17">
        <f t="shared" si="9"/>
        <v>50000000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76241620</v>
      </c>
      <c r="E210" s="25">
        <f>SUMIFS('Daftar Koreksi'!$H$5:$H$92,'Daftar Koreksi'!$D$5:$D$92,'2600'!A202,'Daftar Koreksi'!$G$5:$G$92,"Aset Tetap Lainnya",'Daftar Koreksi'!$H$5:$H$92,"&gt;0")</f>
        <v>0</v>
      </c>
      <c r="F210" s="25">
        <f>SUMIFS('Daftar Koreksi'!$H$5:$H$92,'Daftar Koreksi'!$D$5:$D$92,'2600'!A202,'Daftar Koreksi'!$G$5:$G$92,"Aset Tetap Lainnya",'Daftar Koreksi'!$H$5:$H$92,"&lt;0")-SUMIFS('Daftar Koreksi'!$H$5:$H$92,'Daftar Koreksi'!$D$5:$D$92,'2600'!A202,'Daftar Koreksi'!$G$5:$G$92,"Aset Tetap Lainnya",'Daftar Koreksi'!$H$5:$H$92,"&lt;0")-SUMIFS('Daftar Koreksi'!$H$5:$H$92,'Daftar Koreksi'!$D$5:$D$92,'2600'!A202,'Daftar Koreksi'!$G$5:$G$92,"Aset Tetap Lainnya",'Daftar Koreksi'!$H$5:$H$92,"&lt;0")</f>
        <v>0</v>
      </c>
      <c r="G210" s="17">
        <f t="shared" si="9"/>
        <v>76241620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Koreksi'!$D$5:$D$92,'2600'!A202,'Daftar Koreksi'!$G$5:$G$92,"Kontruksi Dalam Pengerjaan",'Daftar Koreksi'!$H$5:$H$92,"&gt;0")</f>
        <v>0</v>
      </c>
      <c r="F211" s="25">
        <f>SUMIFS('Daftar Koreksi'!$H$5:$H$92,'Daftar Koreksi'!$D$5:$D$92,'2600'!A202,'Daftar Koreksi'!$G$5:$G$92,"Kontruksi Dalam Pengerjaan",'Daftar Koreksi'!$H$5:$H$92,"&lt;0")-SUMIFS('Daftar Koreksi'!$H$5:$H$92,'Daftar Koreksi'!$D$5:$D$92,'2600'!A202,'Daftar Koreksi'!$G$5:$G$92,"Kontruksi Dalam Pengerjaan",'Daftar Koreksi'!$H$5:$H$92,"&lt;0")-SUMIFS('Daftar Koreksi'!$H$5:$H$92,'Daftar Koreksi'!$D$5:$D$92,'2600'!A202,'Daftar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20000000</v>
      </c>
      <c r="E212" s="25">
        <f>SUMIFS('Daftar Koreksi'!$H$5:$H$92,'Daftar Koreksi'!$D$5:$D$92,'2600'!A202,'Daftar Koreksi'!$G$5:$G$92,"Aset Tak Berwujud",'Daftar Koreksi'!$H$5:$H$92,"&gt;0")</f>
        <v>0</v>
      </c>
      <c r="F212" s="25">
        <f>SUMIFS('Daftar Koreksi'!$H$5:$H$92,'Daftar Koreksi'!$D$5:$D$92,'2600'!A202,'Daftar Koreksi'!$G$5:$G$92,"Aset Tak Berwujud",'Daftar Koreksi'!$H$5:$H$92,"&lt;0")-SUMIFS('Daftar Koreksi'!$H$5:$H$92,'Daftar Koreksi'!$D$5:$D$92,'2600'!A202,'Daftar Koreksi'!$G$5:$G$92,"Aset Tak Berwujud",'Daftar Koreksi'!$H$5:$H$92,"&lt;0")-SUMIFS('Daftar Koreksi'!$H$5:$H$92,'Daftar Koreksi'!$D$5:$D$92,'2600'!A202,'Daftar Koreksi'!$G$5:$G$92,"Aset Tak Berwujud",'Daftar Koreksi'!$H$5:$H$92,"&lt;0")</f>
        <v>0</v>
      </c>
      <c r="G212" s="17">
        <f t="shared" si="9"/>
        <v>20000000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196083237</v>
      </c>
      <c r="E213" s="25">
        <f>SUMIFS('Daftar Koreksi'!$H$5:$H$92,'Daftar Koreksi'!$D$5:$D$92,'2600'!A202,'Daftar Koreksi'!$G$5:$G$92,"Aset Henti Guna",'Daftar Koreksi'!$H$5:$H$92,"&gt;0")</f>
        <v>0</v>
      </c>
      <c r="F213" s="25">
        <f>SUMIFS('Daftar Koreksi'!$H$5:$H$92,'Daftar Koreksi'!$D$5:$D$92,'2600'!A202,'Daftar Koreksi'!$G$5:$G$92,"Aset Henti Guna",'Daftar Koreksi'!$H$5:$H$92,"&lt;0")-SUMIFS('Daftar Koreksi'!$H$5:$H$92,'Daftar Koreksi'!$D$5:$D$92,'2600'!A202,'Daftar Koreksi'!$G$5:$G$92,"Aset Henti Guna",'Daftar Koreksi'!$H$5:$H$92,"&lt;0")-SUMIFS('Daftar Koreksi'!$H$5:$H$92,'Daftar Koreksi'!$D$5:$D$92,'2600'!A202,'Daftar Koreksi'!$G$5:$G$92,"Aset Henti Guna",'Daftar Koreksi'!$H$5:$H$92,"&lt;0")</f>
        <v>0</v>
      </c>
      <c r="G213" s="17">
        <f t="shared" si="9"/>
        <v>196083237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13306880568</v>
      </c>
      <c r="E214" s="19">
        <f>SUM(E205:E213)</f>
        <v>0</v>
      </c>
      <c r="F214" s="19">
        <f>SUM(F205:F213)</f>
        <v>0</v>
      </c>
      <c r="G214" s="19">
        <f t="shared" si="9"/>
        <v>13306880568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-2630710639</v>
      </c>
      <c r="E215" s="25">
        <f>SUMIFS('Daftar Koreksi'!$I$5:$I$92,'Daftar Koreksi'!$D$5:$D$92,'2600'!A202,'Daftar Koreksi'!$G$5:$G$92,"Peralatan dan mesin",'Daftar Koreksi'!$I$5:$I$92,"&gt;0")</f>
        <v>0</v>
      </c>
      <c r="F215" s="25">
        <f>SUMIFS('Daftar Koreksi'!$I$5:$I$92,'Daftar Koreksi'!$D$5:$D$92,'2600'!A202,'Daftar Koreksi'!$G$5:$G$92,"Peralatan dan mesin",'Daftar Koreksi'!$I$5:$I$92,"&lt;0")-SUMIFS('Daftar Koreksi'!$I$5:$I$92,'Daftar Koreksi'!$D$5:$D$92,'2600'!A202,'Daftar Koreksi'!$G$5:$G$92,"Peralatan dan mesin",'Daftar Koreksi'!$I$5:$I$92,"&lt;0")-SUMIFS('Daftar Koreksi'!$I$5:$I$92,'Daftar Koreksi'!$D$5:$D$92,'2600'!A202,'Daftar Koreksi'!$G$5:$G$92,"Peralatan dan mesin",'Daftar Koreksi'!$I$5:$I$92,"&lt;0")</f>
        <v>0</v>
      </c>
      <c r="G215" s="17">
        <f t="shared" si="9"/>
        <v>-2630710639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-2047691517</v>
      </c>
      <c r="E216" s="25">
        <f>SUMIFS('Daftar Koreksi'!$I$5:$I$92,'Daftar Koreksi'!$D$5:$D$92,'2600'!A202,'Daftar Koreksi'!$G$5:$G$92,"Gedung dan Bangunan",'Daftar Koreksi'!$I$5:$I$92,"&gt;0")</f>
        <v>0</v>
      </c>
      <c r="F216" s="25">
        <f>SUMIFS('Daftar Koreksi'!$I$5:$I$92,'Daftar Koreksi'!$D$5:$D$92,'2600'!A202,'Daftar Koreksi'!$G$5:$G$92,"Gedung dan Bangunan",'Daftar Koreksi'!$I$5:$I$92,"&lt;0")-SUMIFS('Daftar Koreksi'!$I$5:$I$92,'Daftar Koreksi'!$D$5:$D$92,'2600'!A202,'Daftar Koreksi'!$G$5:$G$92,"Gedung dan Bangunan",'Daftar Koreksi'!$I$5:$I$92,"&lt;0")-SUMIFS('Daftar Koreksi'!$I$5:$I$92,'Daftar Koreksi'!$D$5:$D$92,'2600'!A202,'Daftar Koreksi'!$G$5:$G$92,"Gedung dan Bangunan",'Daftar Koreksi'!$I$5:$I$92,"&lt;0")</f>
        <v>0</v>
      </c>
      <c r="G216" s="17">
        <f t="shared" si="9"/>
        <v>-2047691517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-3750000</v>
      </c>
      <c r="E217" s="25">
        <f>SUMIFS('Daftar Koreksi'!$I$5:$I$92,'Daftar Koreksi'!$D$5:$D$92,'2600'!A202,'Daftar Koreksi'!$G$5:$G$92,"Jalan Irigasi Jaringan",'Daftar Koreksi'!$I$5:$I$92,"&gt;0")</f>
        <v>0</v>
      </c>
      <c r="F217" s="25">
        <f>SUMIFS('Daftar Koreksi'!$I$5:$I$92,'Daftar Koreksi'!$D$5:$D$92,'2600'!A202,'Daftar Koreksi'!$G$5:$G$92,"Jalan Irigasi Jaringan",'Daftar Koreksi'!$I$5:$I$92,"&lt;0")-SUMIFS('Daftar Koreksi'!$I$5:$I$92,'Daftar Koreksi'!$D$5:$D$92,'2600'!A202,'Daftar Koreksi'!$G$5:$G$92,"Jalan Irigasi Jaringan",'Daftar Koreksi'!$I$5:$I$92,"&lt;0")-SUMIFS('Daftar Koreksi'!$I$5:$I$92,'Daftar Koreksi'!$D$5:$D$92,'2600'!A202,'Daftar Koreksi'!$G$5:$G$92,"Jalan Irigasi Jaringan",'Daftar Koreksi'!$I$5:$I$92,"&lt;0")</f>
        <v>0</v>
      </c>
      <c r="G217" s="17">
        <f t="shared" si="9"/>
        <v>-3750000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-25000000</v>
      </c>
      <c r="E218" s="25">
        <f>SUMIFS('Daftar Koreksi'!$I$5:$I$92,'Daftar Koreksi'!$D$5:$D$92,'2600'!A202,'Daftar Koreksi'!$G$5:$G$92,"Aset Tetap Lainnya",'Daftar Koreksi'!$I$5:$I$92,"&gt;0")</f>
        <v>0</v>
      </c>
      <c r="F218" s="25">
        <f>SUMIFS('Daftar Koreksi'!$I$5:$I$92,'Daftar Koreksi'!$D$5:$D$92,'2600'!A202,'Daftar Koreksi'!$G$5:$G$92,"Aset Tetap Lainnya",'Daftar Koreksi'!$I$5:$I$92,"&lt;0")-SUMIFS('Daftar Koreksi'!$I$5:$I$92,'Daftar Koreksi'!$D$5:$D$92,'2600'!A202,'Daftar Koreksi'!$G$5:$G$92,"Aset Tetap Lainnya",'Daftar Koreksi'!$I$5:$I$92,"&lt;0")-SUMIFS('Daftar Koreksi'!$I$5:$I$92,'Daftar Koreksi'!$D$5:$D$92,'2600'!A202,'Daftar Koreksi'!$G$5:$G$92,"Aset Tetap Lainnya",'Daftar Koreksi'!$I$5:$I$92,"&lt;0")</f>
        <v>0</v>
      </c>
      <c r="G218" s="17">
        <f t="shared" si="9"/>
        <v>-25000000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-196105112</v>
      </c>
      <c r="E219" s="25">
        <f>SUMIFS('Daftar Koreksi'!$I$5:$I$92,'Daftar Koreksi'!$D$5:$D$92,'2600'!A202,'Daftar Koreksi'!$G$5:$G$92,"Aset Henti Guna",'Daftar Koreksi'!$I$5:$I$92,"&gt;0")</f>
        <v>0</v>
      </c>
      <c r="F219" s="25">
        <f>SUMIFS('Daftar Koreksi'!$I$5:$I$92,'Daftar Koreksi'!$D$5:$D$92,'2600'!A202,'Daftar Koreksi'!$G$5:$G$92,"Aset Henti Guna",'Daftar Koreksi'!$I$5:$I$92,"&lt;0")-SUMIFS('Daftar Koreksi'!$I$5:$I$92,'Daftar Koreksi'!$D$5:$D$92,'2600'!A202,'Daftar Koreksi'!$G$5:$G$92,"Aset Henti Guna",'Daftar Koreksi'!$I$5:$I$92,"&lt;0")-SUMIFS('Daftar Koreksi'!$I$5:$I$92,'Daftar Koreksi'!$D$5:$D$92,'2600'!A202,'Daftar Koreksi'!$G$5:$G$92,"Aset Henti Guna",'Daftar Koreksi'!$I$5:$I$92,"&lt;0")</f>
        <v>0</v>
      </c>
      <c r="G219" s="17">
        <f t="shared" si="9"/>
        <v>-196105112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-4903257268</v>
      </c>
      <c r="E220" s="19">
        <f>SUM(E215:E219)</f>
        <v>0</v>
      </c>
      <c r="F220" s="19">
        <f>SUM(F215:F219)</f>
        <v>0</v>
      </c>
      <c r="G220" s="19">
        <f t="shared" si="9"/>
        <v>-4903257268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8403623300</v>
      </c>
      <c r="E221" s="19">
        <f>E220+E214</f>
        <v>0</v>
      </c>
      <c r="F221" s="19">
        <f>F220+F214</f>
        <v>0</v>
      </c>
      <c r="G221" s="19">
        <f t="shared" si="9"/>
        <v>8403623300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005012600578885000KD</v>
      </c>
      <c r="B224" s="11" t="str">
        <f>P11</f>
        <v>PTUN. Bengkulu</v>
      </c>
      <c r="C224" s="12" t="str">
        <f>A224&amp;" "&amp;B224</f>
        <v>005012600578885000KD PTUN. Bengkulu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1624000</v>
      </c>
      <c r="E227" s="25">
        <f>SUMIFS('Daftar Koreksi'!$H$5:$H$92,'Daftar Koreksi'!$D$5:$D$92,'2600'!A224,'Daftar Koreksi'!$G$5:$G$92,"Persediaan",'Daftar Koreksi'!$H$5:$H$92,"&gt;0")</f>
        <v>0</v>
      </c>
      <c r="F227" s="25">
        <f>SUMIFS('Daftar Koreksi'!$H$5:$H$92,'Daftar Koreksi'!$D$5:$D$92,'2600'!A224,'Daftar Koreksi'!$G$5:$G$92,"Persediaan",'Daftar Koreksi'!$H$5:$H$92,"&lt;0")-SUMIFS('Daftar Koreksi'!$H$5:$H$92,'Daftar Koreksi'!$D$5:$D$92,'2600'!A224,'Daftar Koreksi'!$G$5:$G$92,"Persediaan",'Daftar Koreksi'!$H$5:$H$92,"&lt;0")-SUMIFS('Daftar Koreksi'!$H$5:$H$92,'Daftar Koreksi'!$D$5:$D$92,'2600'!A224,'Daftar Koreksi'!$G$5:$G$92,"Persediaan",'Daftar Koreksi'!$H$5:$H$92,"&lt;0")</f>
        <v>0</v>
      </c>
      <c r="G227" s="17">
        <f>D227+E227-F227</f>
        <v>1624000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1241761000</v>
      </c>
      <c r="E228" s="25">
        <f>SUMIFS('Daftar Koreksi'!$H$5:$H$92,'Daftar Koreksi'!$D$5:$D$92,'2600'!A224,'Daftar Koreksi'!$G$5:$G$92,"Tanah",'Daftar Koreksi'!$H$5:$H$92,"&gt;0")</f>
        <v>0</v>
      </c>
      <c r="F228" s="25">
        <f>SUMIFS('Daftar Koreksi'!$H$5:$H$92,'Daftar Koreksi'!$D$5:$D$92,'2600'!A224,'Daftar Koreksi'!$G$5:$G$92,"Tanah",'Daftar Koreksi'!$H$5:$H$92,"&lt;0")-SUMIFS('Daftar Koreksi'!$H$5:$H$92,'Daftar Koreksi'!$D$5:$D$92,'2600'!A224,'Daftar Koreksi'!$G$5:$G$92,"Tanah",'Daftar Koreksi'!$H$5:$H$92,"&lt;0")-SUMIFS('Daftar Koreksi'!$H$5:$H$92,'Daftar Koreksi'!$D$5:$D$92,'2600'!A224,'Daftar Koreksi'!$G$5:$G$92,"Tanah",'Daftar Koreksi'!$H$5:$H$92,"&lt;0")</f>
        <v>0</v>
      </c>
      <c r="G228" s="17">
        <f t="shared" ref="G228:G244" si="10">D228+E228-F228</f>
        <v>1241761000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2297648420</v>
      </c>
      <c r="E229" s="25">
        <f>SUMIFS('Daftar Koreksi'!$H$5:$H$92,'Daftar Koreksi'!$D$5:$D$92,'2600'!A224,'Daftar Koreksi'!$G$5:$G$92,"Peralatan dan mesin",'Daftar Koreksi'!$H$5:$H$92,"&gt;0")</f>
        <v>0</v>
      </c>
      <c r="F229" s="25">
        <f>SUMIFS('Daftar Koreksi'!$H$5:$H$92,'Daftar Koreksi'!$D$5:$D$92,'2600'!A224,'Daftar Koreksi'!$G$5:$G$92,"Peralatan dan mesin",'Daftar Koreksi'!$H$5:$H$92,"&lt;0")-SUMIFS('Daftar Koreksi'!$H$5:$H$92,'Daftar Koreksi'!$D$5:$D$92,'2600'!A224,'Daftar Koreksi'!$G$5:$G$92,"Peralatan dan mesin",'Daftar Koreksi'!$H$5:$H$92,"&lt;0")-SUMIFS('Daftar Koreksi'!$H$5:$H$92,'Daftar Koreksi'!$D$5:$D$92,'2600'!A224,'Daftar Koreksi'!$G$5:$G$92,"Peralatan dan mesin",'Daftar Koreksi'!$H$5:$H$92,"&lt;0")</f>
        <v>0</v>
      </c>
      <c r="G229" s="17">
        <f t="shared" si="10"/>
        <v>2297648420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3824311900</v>
      </c>
      <c r="E230" s="25">
        <f>SUMIFS('Daftar Koreksi'!$H$5:$H$92,'Daftar Koreksi'!$D$5:$D$92,'2600'!A224,'Daftar Koreksi'!$G$5:$G$92,"Gedung dan Bangunan",'Daftar Koreksi'!$H$5:$H$92,"&gt;0")</f>
        <v>0</v>
      </c>
      <c r="F230" s="25">
        <f>SUMIFS('Daftar Koreksi'!$H$5:$H$92,'Daftar Koreksi'!$D$5:$D$92,'2600'!A224,'Daftar Koreksi'!$G$5:$G$92,"Gedung dan Bangunan",'Daftar Koreksi'!$H$5:$H$92,"&lt;0")-SUMIFS('Daftar Koreksi'!$H$5:$H$92,'Daftar Koreksi'!$D$5:$D$92,'2600'!A224,'Daftar Koreksi'!$G$5:$G$92,"Gedung dan Bangunan",'Daftar Koreksi'!$H$5:$H$92,"&lt;0")-SUMIFS('Daftar Koreksi'!$H$5:$H$92,'Daftar Koreksi'!$D$5:$D$92,'2600'!A224,'Daftar Koreksi'!$G$5:$G$92,"Gedung dan Bangunan",'Daftar Koreksi'!$H$5:$H$92,"&lt;0")</f>
        <v>0</v>
      </c>
      <c r="G230" s="17">
        <f t="shared" si="10"/>
        <v>3824311900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22500000</v>
      </c>
      <c r="E231" s="25">
        <f>SUMIFS('Daftar Koreksi'!$H$5:$H$92,'Daftar Koreksi'!$D$5:$D$92,'2600'!A224,'Daftar Koreksi'!$G$5:$G$92,"Jalan Irigasi Jaringan",'Daftar Koreksi'!$H$5:$H$92,"&gt;0")</f>
        <v>0</v>
      </c>
      <c r="F231" s="25">
        <f>SUMIFS('Daftar Koreksi'!$H$5:$H$92,'Daftar Koreksi'!$D$5:$D$92,'2600'!A224,'Daftar Koreksi'!$G$5:$G$92,"Jalan Irigasi Jaringan",'Daftar Koreksi'!$H$5:$H$92,"&lt;0")-SUMIFS('Daftar Koreksi'!$H$5:$H$92,'Daftar Koreksi'!$D$5:$D$92,'2600'!A224,'Daftar Koreksi'!$G$5:$G$92,"Jalan Irigasi Jaringan",'Daftar Koreksi'!$H$5:$H$92,"&lt;0")-SUMIFS('Daftar Koreksi'!$H$5:$H$92,'Daftar Koreksi'!$D$5:$D$92,'2600'!A224,'Daftar Koreksi'!$G$5:$G$92,"Jalan Irigasi Jaringan",'Daftar Koreksi'!$H$5:$H$92,"&lt;0")</f>
        <v>0</v>
      </c>
      <c r="G231" s="17">
        <f t="shared" si="10"/>
        <v>22500000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44928680</v>
      </c>
      <c r="E232" s="25">
        <f>SUMIFS('Daftar Koreksi'!$H$5:$H$92,'Daftar Koreksi'!$D$5:$D$92,'2600'!A224,'Daftar Koreksi'!$G$5:$G$92,"Aset Tetap Lainnya",'Daftar Koreksi'!$H$5:$H$92,"&gt;0")</f>
        <v>0</v>
      </c>
      <c r="F232" s="25">
        <f>SUMIFS('Daftar Koreksi'!$H$5:$H$92,'Daftar Koreksi'!$D$5:$D$92,'2600'!A224,'Daftar Koreksi'!$G$5:$G$92,"Aset Tetap Lainnya",'Daftar Koreksi'!$H$5:$H$92,"&lt;0")-SUMIFS('Daftar Koreksi'!$H$5:$H$92,'Daftar Koreksi'!$D$5:$D$92,'2600'!A224,'Daftar Koreksi'!$G$5:$G$92,"Aset Tetap Lainnya",'Daftar Koreksi'!$H$5:$H$92,"&lt;0")-SUMIFS('Daftar Koreksi'!$H$5:$H$92,'Daftar Koreksi'!$D$5:$D$92,'2600'!A224,'Daftar Koreksi'!$G$5:$G$92,"Aset Tetap Lainnya",'Daftar Koreksi'!$H$5:$H$92,"&lt;0")</f>
        <v>0</v>
      </c>
      <c r="G232" s="17">
        <f t="shared" si="10"/>
        <v>44928680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Koreksi'!$D$5:$D$92,'2600'!A224,'Daftar Koreksi'!$G$5:$G$92,"Kontruksi Dalam Pengerjaan",'Daftar Koreksi'!$H$5:$H$92,"&gt;0")</f>
        <v>0</v>
      </c>
      <c r="F233" s="25">
        <f>SUMIFS('Daftar Koreksi'!$H$5:$H$92,'Daftar Koreksi'!$D$5:$D$92,'2600'!A224,'Daftar Koreksi'!$G$5:$G$92,"Kontruksi Dalam Pengerjaan",'Daftar Koreksi'!$H$5:$H$92,"&lt;0")-SUMIFS('Daftar Koreksi'!$H$5:$H$92,'Daftar Koreksi'!$D$5:$D$92,'2600'!A224,'Daftar Koreksi'!$G$5:$G$92,"Kontruksi Dalam Pengerjaan",'Daftar Koreksi'!$H$5:$H$92,"&lt;0")-SUMIFS('Daftar Koreksi'!$H$5:$H$92,'Daftar Koreksi'!$D$5:$D$92,'2600'!A224,'Daftar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Koreksi'!$D$5:$D$92,'2600'!A224,'Daftar Koreksi'!$G$5:$G$92,"Aset Tak Berwujud",'Daftar Koreksi'!$H$5:$H$92,"&gt;0")</f>
        <v>0</v>
      </c>
      <c r="F234" s="25">
        <f>SUMIFS('Daftar Koreksi'!$H$5:$H$92,'Daftar Koreksi'!$D$5:$D$92,'2600'!A224,'Daftar Koreksi'!$G$5:$G$92,"Aset Tak Berwujud",'Daftar Koreksi'!$H$5:$H$92,"&lt;0")-SUMIFS('Daftar Koreksi'!$H$5:$H$92,'Daftar Koreksi'!$D$5:$D$92,'2600'!A224,'Daftar Koreksi'!$G$5:$G$92,"Aset Tak Berwujud",'Daftar Koreksi'!$H$5:$H$92,"&lt;0")-SUMIFS('Daftar Koreksi'!$H$5:$H$92,'Daftar Koreksi'!$D$5:$D$92,'2600'!A224,'Daftar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111159000</v>
      </c>
      <c r="E235" s="25">
        <f>SUMIFS('Daftar Koreksi'!$H$5:$H$92,'Daftar Koreksi'!$D$5:$D$92,'2600'!A224,'Daftar Koreksi'!$G$5:$G$92,"Aset Henti Guna",'Daftar Koreksi'!$H$5:$H$92,"&gt;0")</f>
        <v>0</v>
      </c>
      <c r="F235" s="25">
        <f>SUMIFS('Daftar Koreksi'!$H$5:$H$92,'Daftar Koreksi'!$D$5:$D$92,'2600'!A224,'Daftar Koreksi'!$G$5:$G$92,"Aset Henti Guna",'Daftar Koreksi'!$H$5:$H$92,"&lt;0")-SUMIFS('Daftar Koreksi'!$H$5:$H$92,'Daftar Koreksi'!$D$5:$D$92,'2600'!A224,'Daftar Koreksi'!$G$5:$G$92,"Aset Henti Guna",'Daftar Koreksi'!$H$5:$H$92,"&lt;0")-SUMIFS('Daftar Koreksi'!$H$5:$H$92,'Daftar Koreksi'!$D$5:$D$92,'2600'!A224,'Daftar Koreksi'!$G$5:$G$92,"Aset Henti Guna",'Daftar Koreksi'!$H$5:$H$92,"&lt;0")</f>
        <v>0</v>
      </c>
      <c r="G235" s="17">
        <f t="shared" si="10"/>
        <v>111159000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7543933000</v>
      </c>
      <c r="E236" s="19">
        <f>SUM(E227:E235)</f>
        <v>0</v>
      </c>
      <c r="F236" s="19">
        <f>SUM(F227:F235)</f>
        <v>0</v>
      </c>
      <c r="G236" s="19">
        <f t="shared" si="10"/>
        <v>7543933000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-1959579166</v>
      </c>
      <c r="E237" s="25">
        <f>SUMIFS('Daftar Koreksi'!$I$5:$I$92,'Daftar Koreksi'!$D$5:$D$92,'2600'!A224,'Daftar Koreksi'!$G$5:$G$92,"Peralatan dan mesin",'Daftar Koreksi'!$I$5:$I$92,"&gt;0")</f>
        <v>0</v>
      </c>
      <c r="F237" s="25">
        <f>SUMIFS('Daftar Koreksi'!$I$5:$I$92,'Daftar Koreksi'!$D$5:$D$92,'2600'!A224,'Daftar Koreksi'!$G$5:$G$92,"Peralatan dan mesin",'Daftar Koreksi'!$I$5:$I$92,"&lt;0")-SUMIFS('Daftar Koreksi'!$I$5:$I$92,'Daftar Koreksi'!$D$5:$D$92,'2600'!A224,'Daftar Koreksi'!$G$5:$G$92,"Peralatan dan mesin",'Daftar Koreksi'!$I$5:$I$92,"&lt;0")-SUMIFS('Daftar Koreksi'!$I$5:$I$92,'Daftar Koreksi'!$D$5:$D$92,'2600'!A224,'Daftar Koreksi'!$G$5:$G$92,"Peralatan dan mesin",'Daftar Koreksi'!$I$5:$I$92,"&lt;0")</f>
        <v>0</v>
      </c>
      <c r="G237" s="17">
        <f t="shared" si="10"/>
        <v>-1959579166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-1020506793</v>
      </c>
      <c r="E238" s="25">
        <f>SUMIFS('Daftar Koreksi'!$I$5:$I$92,'Daftar Koreksi'!$D$5:$D$92,'2600'!A224,'Daftar Koreksi'!$G$5:$G$92,"Gedung dan Bangunan",'Daftar Koreksi'!$I$5:$I$92,"&gt;0")</f>
        <v>0</v>
      </c>
      <c r="F238" s="25">
        <f>SUMIFS('Daftar Koreksi'!$I$5:$I$92,'Daftar Koreksi'!$D$5:$D$92,'2600'!A224,'Daftar Koreksi'!$G$5:$G$92,"Gedung dan Bangunan",'Daftar Koreksi'!$I$5:$I$92,"&lt;0")-SUMIFS('Daftar Koreksi'!$I$5:$I$92,'Daftar Koreksi'!$D$5:$D$92,'2600'!A224,'Daftar Koreksi'!$G$5:$G$92,"Gedung dan Bangunan",'Daftar Koreksi'!$I$5:$I$92,"&lt;0")-SUMIFS('Daftar Koreksi'!$I$5:$I$92,'Daftar Koreksi'!$D$5:$D$92,'2600'!A224,'Daftar Koreksi'!$G$5:$G$92,"Gedung dan Bangunan",'Daftar Koreksi'!$I$5:$I$92,"&lt;0")</f>
        <v>0</v>
      </c>
      <c r="G238" s="17">
        <f t="shared" si="10"/>
        <v>-1020506793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-2250000</v>
      </c>
      <c r="E239" s="25">
        <f>SUMIFS('Daftar Koreksi'!$I$5:$I$92,'Daftar Koreksi'!$D$5:$D$92,'2600'!A224,'Daftar Koreksi'!$G$5:$G$92,"Jalan Irigasi Jaringan",'Daftar Koreksi'!$I$5:$I$92,"&gt;0")</f>
        <v>0</v>
      </c>
      <c r="F239" s="25">
        <f>SUMIFS('Daftar Koreksi'!$I$5:$I$92,'Daftar Koreksi'!$D$5:$D$92,'2600'!A224,'Daftar Koreksi'!$G$5:$G$92,"Jalan Irigasi Jaringan",'Daftar Koreksi'!$I$5:$I$92,"&lt;0")-SUMIFS('Daftar Koreksi'!$I$5:$I$92,'Daftar Koreksi'!$D$5:$D$92,'2600'!A224,'Daftar Koreksi'!$G$5:$G$92,"Jalan Irigasi Jaringan",'Daftar Koreksi'!$I$5:$I$92,"&lt;0")-SUMIFS('Daftar Koreksi'!$I$5:$I$92,'Daftar Koreksi'!$D$5:$D$92,'2600'!A224,'Daftar Koreksi'!$G$5:$G$92,"Jalan Irigasi Jaringan",'Daftar Koreksi'!$I$5:$I$92,"&lt;0")</f>
        <v>0</v>
      </c>
      <c r="G239" s="17">
        <f t="shared" si="10"/>
        <v>-2250000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Koreksi'!$D$5:$D$92,'2600'!A224,'Daftar Koreksi'!$G$5:$G$92,"Aset Tetap Lainnya",'Daftar Koreksi'!$I$5:$I$92,"&gt;0")</f>
        <v>0</v>
      </c>
      <c r="F240" s="25">
        <f>SUMIFS('Daftar Koreksi'!$I$5:$I$92,'Daftar Koreksi'!$D$5:$D$92,'2600'!A224,'Daftar Koreksi'!$G$5:$G$92,"Aset Tetap Lainnya",'Daftar Koreksi'!$I$5:$I$92,"&lt;0")-SUMIFS('Daftar Koreksi'!$I$5:$I$92,'Daftar Koreksi'!$D$5:$D$92,'2600'!A224,'Daftar Koreksi'!$G$5:$G$92,"Aset Tetap Lainnya",'Daftar Koreksi'!$I$5:$I$92,"&lt;0")-SUMIFS('Daftar Koreksi'!$I$5:$I$92,'Daftar Koreksi'!$D$5:$D$92,'2600'!A224,'Daftar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-110577600</v>
      </c>
      <c r="E241" s="25">
        <f>SUMIFS('Daftar Koreksi'!$I$5:$I$92,'Daftar Koreksi'!$D$5:$D$92,'2600'!A224,'Daftar Koreksi'!$G$5:$G$92,"Aset Henti Guna",'Daftar Koreksi'!$I$5:$I$92,"&gt;0")</f>
        <v>0</v>
      </c>
      <c r="F241" s="25">
        <f>SUMIFS('Daftar Koreksi'!$I$5:$I$92,'Daftar Koreksi'!$D$5:$D$92,'2600'!A224,'Daftar Koreksi'!$G$5:$G$92,"Aset Henti Guna",'Daftar Koreksi'!$I$5:$I$92,"&lt;0")-SUMIFS('Daftar Koreksi'!$I$5:$I$92,'Daftar Koreksi'!$D$5:$D$92,'2600'!A224,'Daftar Koreksi'!$G$5:$G$92,"Aset Henti Guna",'Daftar Koreksi'!$I$5:$I$92,"&lt;0")-SUMIFS('Daftar Koreksi'!$I$5:$I$92,'Daftar Koreksi'!$D$5:$D$92,'2600'!A224,'Daftar Koreksi'!$G$5:$G$92,"Aset Henti Guna",'Daftar Koreksi'!$I$5:$I$92,"&lt;0")</f>
        <v>0</v>
      </c>
      <c r="G241" s="17">
        <f t="shared" si="10"/>
        <v>-110577600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-3092913559</v>
      </c>
      <c r="E242" s="19">
        <f>SUM(E237:E241)</f>
        <v>0</v>
      </c>
      <c r="F242" s="19">
        <f>SUM(F237:F241)</f>
        <v>0</v>
      </c>
      <c r="G242" s="19">
        <f t="shared" si="10"/>
        <v>-3092913559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4451019441</v>
      </c>
      <c r="E243" s="19">
        <f>E242+E236</f>
        <v>0</v>
      </c>
      <c r="F243" s="19">
        <f>F242+F236</f>
        <v>0</v>
      </c>
      <c r="G243" s="19">
        <f t="shared" si="10"/>
        <v>4451019441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005012600672994000KD</v>
      </c>
      <c r="B246" s="11" t="str">
        <f>P12</f>
        <v>PN. Bintuhan</v>
      </c>
      <c r="C246" s="12" t="str">
        <f>A246&amp;" "&amp;B246</f>
        <v>005012600672994000KD PN. Bintuhan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3868000</v>
      </c>
      <c r="E249" s="25">
        <f>SUMIFS('Daftar Koreksi'!$H$5:$H$92,'Daftar Koreksi'!$D$5:$D$92,'2600'!A246,'Daftar Koreksi'!$G$5:$G$92,"Persediaan",'Daftar Koreksi'!$H$5:$H$92,"&gt;0")</f>
        <v>0</v>
      </c>
      <c r="F249" s="25">
        <f>SUMIFS('Daftar Koreksi'!$H$5:$H$92,'Daftar Koreksi'!$D$5:$D$92,'2600'!A246,'Daftar Koreksi'!$G$5:$G$92,"Persediaan",'Daftar Koreksi'!$H$5:$H$92,"&lt;0")-SUMIFS('Daftar Koreksi'!$H$5:$H$92,'Daftar Koreksi'!$D$5:$D$92,'2600'!A246,'Daftar Koreksi'!$G$5:$G$92,"Persediaan",'Daftar Koreksi'!$H$5:$H$92,"&lt;0")-SUMIFS('Daftar Koreksi'!$H$5:$H$92,'Daftar Koreksi'!$D$5:$D$92,'2600'!A246,'Daftar Koreksi'!$G$5:$G$92,"Persediaan",'Daftar Koreksi'!$H$5:$H$92,"&lt;0")</f>
        <v>0</v>
      </c>
      <c r="G249" s="17">
        <f>D249+E249-F249</f>
        <v>3868000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306034347</v>
      </c>
      <c r="E250" s="25">
        <f>SUMIFS('Daftar Koreksi'!$H$5:$H$92,'Daftar Koreksi'!$D$5:$D$92,'2600'!A246,'Daftar Koreksi'!$G$5:$G$92,"Tanah",'Daftar Koreksi'!$H$5:$H$92,"&gt;0")</f>
        <v>0</v>
      </c>
      <c r="F250" s="25">
        <f>SUMIFS('Daftar Koreksi'!$H$5:$H$92,'Daftar Koreksi'!$D$5:$D$92,'2600'!A246,'Daftar Koreksi'!$G$5:$G$92,"Tanah",'Daftar Koreksi'!$H$5:$H$92,"&lt;0")-SUMIFS('Daftar Koreksi'!$H$5:$H$92,'Daftar Koreksi'!$D$5:$D$92,'2600'!A246,'Daftar Koreksi'!$G$5:$G$92,"Tanah",'Daftar Koreksi'!$H$5:$H$92,"&lt;0")-SUMIFS('Daftar Koreksi'!$H$5:$H$92,'Daftar Koreksi'!$D$5:$D$92,'2600'!A246,'Daftar Koreksi'!$G$5:$G$92,"Tanah",'Daftar Koreksi'!$H$5:$H$92,"&lt;0")</f>
        <v>0</v>
      </c>
      <c r="G250" s="17">
        <f t="shared" ref="G250:G266" si="11">D250+E250-F250</f>
        <v>306034347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1445628368</v>
      </c>
      <c r="E251" s="25">
        <f>SUMIFS('Daftar Koreksi'!$H$5:$H$92,'Daftar Koreksi'!$D$5:$D$92,'2600'!A246,'Daftar Koreksi'!$G$5:$G$92,"Peralatan dan mesin",'Daftar Koreksi'!$H$5:$H$92,"&gt;0")</f>
        <v>0</v>
      </c>
      <c r="F251" s="25">
        <f>SUMIFS('Daftar Koreksi'!$H$5:$H$92,'Daftar Koreksi'!$D$5:$D$92,'2600'!A246,'Daftar Koreksi'!$G$5:$G$92,"Peralatan dan mesin",'Daftar Koreksi'!$H$5:$H$92,"&lt;0")-SUMIFS('Daftar Koreksi'!$H$5:$H$92,'Daftar Koreksi'!$D$5:$D$92,'2600'!A246,'Daftar Koreksi'!$G$5:$G$92,"Peralatan dan mesin",'Daftar Koreksi'!$H$5:$H$92,"&lt;0")-SUMIFS('Daftar Koreksi'!$H$5:$H$92,'Daftar Koreksi'!$D$5:$D$92,'2600'!A246,'Daftar Koreksi'!$G$5:$G$92,"Peralatan dan mesin",'Daftar Koreksi'!$H$5:$H$92,"&lt;0")</f>
        <v>0</v>
      </c>
      <c r="G251" s="17">
        <f t="shared" si="11"/>
        <v>1445628368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6066248000</v>
      </c>
      <c r="E252" s="25">
        <f>SUMIFS('Daftar Koreksi'!$H$5:$H$92,'Daftar Koreksi'!$D$5:$D$92,'2600'!A246,'Daftar Koreksi'!$G$5:$G$92,"Gedung dan Bangunan",'Daftar Koreksi'!$H$5:$H$92,"&gt;0")</f>
        <v>0</v>
      </c>
      <c r="F252" s="25">
        <f>SUMIFS('Daftar Koreksi'!$H$5:$H$92,'Daftar Koreksi'!$D$5:$D$92,'2600'!A246,'Daftar Koreksi'!$G$5:$G$92,"Gedung dan Bangunan",'Daftar Koreksi'!$H$5:$H$92,"&lt;0")-SUMIFS('Daftar Koreksi'!$H$5:$H$92,'Daftar Koreksi'!$D$5:$D$92,'2600'!A246,'Daftar Koreksi'!$G$5:$G$92,"Gedung dan Bangunan",'Daftar Koreksi'!$H$5:$H$92,"&lt;0")-SUMIFS('Daftar Koreksi'!$H$5:$H$92,'Daftar Koreksi'!$D$5:$D$92,'2600'!A246,'Daftar Koreksi'!$G$5:$G$92,"Gedung dan Bangunan",'Daftar Koreksi'!$H$5:$H$92,"&lt;0")</f>
        <v>0</v>
      </c>
      <c r="G252" s="17">
        <f t="shared" si="11"/>
        <v>6066248000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149350000</v>
      </c>
      <c r="E253" s="25">
        <f>SUMIFS('Daftar Koreksi'!$H$5:$H$92,'Daftar Koreksi'!$D$5:$D$92,'2600'!A246,'Daftar Koreksi'!$G$5:$G$92,"Jalan Irigasi Jaringan",'Daftar Koreksi'!$H$5:$H$92,"&gt;0")</f>
        <v>0</v>
      </c>
      <c r="F253" s="25">
        <f>SUMIFS('Daftar Koreksi'!$H$5:$H$92,'Daftar Koreksi'!$D$5:$D$92,'2600'!A246,'Daftar Koreksi'!$G$5:$G$92,"Jalan Irigasi Jaringan",'Daftar Koreksi'!$H$5:$H$92,"&lt;0")-SUMIFS('Daftar Koreksi'!$H$5:$H$92,'Daftar Koreksi'!$D$5:$D$92,'2600'!A246,'Daftar Koreksi'!$G$5:$G$92,"Jalan Irigasi Jaringan",'Daftar Koreksi'!$H$5:$H$92,"&lt;0")-SUMIFS('Daftar Koreksi'!$H$5:$H$92,'Daftar Koreksi'!$D$5:$D$92,'2600'!A246,'Daftar Koreksi'!$G$5:$G$92,"Jalan Irigasi Jaringan",'Daftar Koreksi'!$H$5:$H$92,"&lt;0")</f>
        <v>0</v>
      </c>
      <c r="G253" s="17">
        <f t="shared" si="11"/>
        <v>149350000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0</v>
      </c>
      <c r="E254" s="25">
        <f>SUMIFS('Daftar Koreksi'!$H$5:$H$92,'Daftar Koreksi'!$D$5:$D$92,'2600'!A246,'Daftar Koreksi'!$G$5:$G$92,"Aset Tetap Lainnya",'Daftar Koreksi'!$H$5:$H$92,"&gt;0")</f>
        <v>0</v>
      </c>
      <c r="F254" s="25">
        <f>SUMIFS('Daftar Koreksi'!$H$5:$H$92,'Daftar Koreksi'!$D$5:$D$92,'2600'!A246,'Daftar Koreksi'!$G$5:$G$92,"Aset Tetap Lainnya",'Daftar Koreksi'!$H$5:$H$92,"&lt;0")-SUMIFS('Daftar Koreksi'!$H$5:$H$92,'Daftar Koreksi'!$D$5:$D$92,'2600'!A246,'Daftar Koreksi'!$G$5:$G$92,"Aset Tetap Lainnya",'Daftar Koreksi'!$H$5:$H$92,"&lt;0")-SUMIFS('Daftar Koreksi'!$H$5:$H$92,'Daftar Koreksi'!$D$5:$D$92,'2600'!A246,'Daftar Koreksi'!$G$5:$G$92,"Aset Tetap Lainnya",'Daftar Koreksi'!$H$5:$H$92,"&lt;0")</f>
        <v>0</v>
      </c>
      <c r="G254" s="17">
        <f t="shared" si="11"/>
        <v>0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Koreksi'!$D$5:$D$92,'2600'!A246,'Daftar Koreksi'!$G$5:$G$92,"Kontruksi Dalam Pengerjaan",'Daftar Koreksi'!$H$5:$H$92,"&gt;0")</f>
        <v>0</v>
      </c>
      <c r="F255" s="25">
        <f>SUMIFS('Daftar Koreksi'!$H$5:$H$92,'Daftar Koreksi'!$D$5:$D$92,'2600'!A246,'Daftar Koreksi'!$G$5:$G$92,"Kontruksi Dalam Pengerjaan",'Daftar Koreksi'!$H$5:$H$92,"&lt;0")-SUMIFS('Daftar Koreksi'!$H$5:$H$92,'Daftar Koreksi'!$D$5:$D$92,'2600'!A246,'Daftar Koreksi'!$G$5:$G$92,"Kontruksi Dalam Pengerjaan",'Daftar Koreksi'!$H$5:$H$92,"&lt;0")-SUMIFS('Daftar Koreksi'!$H$5:$H$92,'Daftar Koreksi'!$D$5:$D$92,'2600'!A246,'Daftar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Koreksi'!$D$5:$D$92,'2600'!A246,'Daftar Koreksi'!$G$5:$G$92,"Aset Tak Berwujud",'Daftar Koreksi'!$H$5:$H$92,"&gt;0")</f>
        <v>0</v>
      </c>
      <c r="F256" s="25">
        <f>SUMIFS('Daftar Koreksi'!$H$5:$H$92,'Daftar Koreksi'!$D$5:$D$92,'2600'!A246,'Daftar Koreksi'!$G$5:$G$92,"Aset Tak Berwujud",'Daftar Koreksi'!$H$5:$H$92,"&lt;0")-SUMIFS('Daftar Koreksi'!$H$5:$H$92,'Daftar Koreksi'!$D$5:$D$92,'2600'!A246,'Daftar Koreksi'!$G$5:$G$92,"Aset Tak Berwujud",'Daftar Koreksi'!$H$5:$H$92,"&lt;0")-SUMIFS('Daftar Koreksi'!$H$5:$H$92,'Daftar Koreksi'!$D$5:$D$92,'2600'!A246,'Daftar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72773943</v>
      </c>
      <c r="E257" s="25">
        <f>SUMIFS('Daftar Koreksi'!$H$5:$H$92,'Daftar Koreksi'!$D$5:$D$92,'2600'!A246,'Daftar Koreksi'!$G$5:$G$92,"Aset Henti Guna",'Daftar Koreksi'!$H$5:$H$92,"&gt;0")</f>
        <v>0</v>
      </c>
      <c r="F257" s="25">
        <f>SUMIFS('Daftar Koreksi'!$H$5:$H$92,'Daftar Koreksi'!$D$5:$D$92,'2600'!A246,'Daftar Koreksi'!$G$5:$G$92,"Aset Henti Guna",'Daftar Koreksi'!$H$5:$H$92,"&lt;0")-SUMIFS('Daftar Koreksi'!$H$5:$H$92,'Daftar Koreksi'!$D$5:$D$92,'2600'!A246,'Daftar Koreksi'!$G$5:$G$92,"Aset Henti Guna",'Daftar Koreksi'!$H$5:$H$92,"&lt;0")-SUMIFS('Daftar Koreksi'!$H$5:$H$92,'Daftar Koreksi'!$D$5:$D$92,'2600'!A246,'Daftar Koreksi'!$G$5:$G$92,"Aset Henti Guna",'Daftar Koreksi'!$H$5:$H$92,"&lt;0")</f>
        <v>0</v>
      </c>
      <c r="G257" s="17">
        <f t="shared" si="11"/>
        <v>72773943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8043902658</v>
      </c>
      <c r="E258" s="19">
        <f>SUM(E249:E257)</f>
        <v>0</v>
      </c>
      <c r="F258" s="19">
        <f>SUM(F249:F257)</f>
        <v>0</v>
      </c>
      <c r="G258" s="19">
        <f t="shared" si="11"/>
        <v>8043902658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-989691954</v>
      </c>
      <c r="E259" s="25">
        <f>SUMIFS('Daftar Koreksi'!$I$5:$I$92,'Daftar Koreksi'!$D$5:$D$92,'2600'!A246,'Daftar Koreksi'!$G$5:$G$92,"Peralatan dan mesin",'Daftar Koreksi'!$I$5:$I$92,"&gt;0")</f>
        <v>0</v>
      </c>
      <c r="F259" s="25">
        <f>SUMIFS('Daftar Koreksi'!$I$5:$I$92,'Daftar Koreksi'!$D$5:$D$92,'2600'!A246,'Daftar Koreksi'!$G$5:$G$92,"Peralatan dan mesin",'Daftar Koreksi'!$I$5:$I$92,"&lt;0")-SUMIFS('Daftar Koreksi'!$I$5:$I$92,'Daftar Koreksi'!$D$5:$D$92,'2600'!A246,'Daftar Koreksi'!$G$5:$G$92,"Peralatan dan mesin",'Daftar Koreksi'!$I$5:$I$92,"&lt;0")-SUMIFS('Daftar Koreksi'!$I$5:$I$92,'Daftar Koreksi'!$D$5:$D$92,'2600'!A246,'Daftar Koreksi'!$G$5:$G$92,"Peralatan dan mesin",'Daftar Koreksi'!$I$5:$I$92,"&lt;0")</f>
        <v>0</v>
      </c>
      <c r="G259" s="17">
        <f t="shared" si="11"/>
        <v>-989691954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-572202400</v>
      </c>
      <c r="E260" s="25">
        <f>SUMIFS('Daftar Koreksi'!$I$5:$I$92,'Daftar Koreksi'!$D$5:$D$92,'2600'!A246,'Daftar Koreksi'!$G$5:$G$92,"Gedung dan Bangunan",'Daftar Koreksi'!$I$5:$I$92,"&gt;0")</f>
        <v>0</v>
      </c>
      <c r="F260" s="25">
        <f>SUMIFS('Daftar Koreksi'!$I$5:$I$92,'Daftar Koreksi'!$D$5:$D$92,'2600'!A246,'Daftar Koreksi'!$G$5:$G$92,"Gedung dan Bangunan",'Daftar Koreksi'!$I$5:$I$92,"&lt;0")-SUMIFS('Daftar Koreksi'!$I$5:$I$92,'Daftar Koreksi'!$D$5:$D$92,'2600'!A246,'Daftar Koreksi'!$G$5:$G$92,"Gedung dan Bangunan",'Daftar Koreksi'!$I$5:$I$92,"&lt;0")-SUMIFS('Daftar Koreksi'!$I$5:$I$92,'Daftar Koreksi'!$D$5:$D$92,'2600'!A246,'Daftar Koreksi'!$G$5:$G$92,"Gedung dan Bangunan",'Daftar Koreksi'!$I$5:$I$92,"&lt;0")</f>
        <v>0</v>
      </c>
      <c r="G260" s="17">
        <f t="shared" si="11"/>
        <v>-572202400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-10603750</v>
      </c>
      <c r="E261" s="25">
        <f>SUMIFS('Daftar Koreksi'!$I$5:$I$92,'Daftar Koreksi'!$D$5:$D$92,'2600'!A246,'Daftar Koreksi'!$G$5:$G$92,"Jalan Irigasi Jaringan",'Daftar Koreksi'!$I$5:$I$92,"&gt;0")</f>
        <v>0</v>
      </c>
      <c r="F261" s="25">
        <f>SUMIFS('Daftar Koreksi'!$I$5:$I$92,'Daftar Koreksi'!$D$5:$D$92,'2600'!A246,'Daftar Koreksi'!$G$5:$G$92,"Jalan Irigasi Jaringan",'Daftar Koreksi'!$I$5:$I$92,"&lt;0")-SUMIFS('Daftar Koreksi'!$I$5:$I$92,'Daftar Koreksi'!$D$5:$D$92,'2600'!A246,'Daftar Koreksi'!$G$5:$G$92,"Jalan Irigasi Jaringan",'Daftar Koreksi'!$I$5:$I$92,"&lt;0")-SUMIFS('Daftar Koreksi'!$I$5:$I$92,'Daftar Koreksi'!$D$5:$D$92,'2600'!A246,'Daftar Koreksi'!$G$5:$G$92,"Jalan Irigasi Jaringan",'Daftar Koreksi'!$I$5:$I$92,"&lt;0")</f>
        <v>0</v>
      </c>
      <c r="G261" s="17">
        <f t="shared" si="11"/>
        <v>-10603750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Koreksi'!$D$5:$D$92,'2600'!A246,'Daftar Koreksi'!$G$5:$G$92,"Aset Tetap Lainnya",'Daftar Koreksi'!$I$5:$I$92,"&gt;0")</f>
        <v>0</v>
      </c>
      <c r="F262" s="25">
        <f>SUMIFS('Daftar Koreksi'!$I$5:$I$92,'Daftar Koreksi'!$D$5:$D$92,'2600'!A246,'Daftar Koreksi'!$G$5:$G$92,"Aset Tetap Lainnya",'Daftar Koreksi'!$I$5:$I$92,"&lt;0")-SUMIFS('Daftar Koreksi'!$I$5:$I$92,'Daftar Koreksi'!$D$5:$D$92,'2600'!A246,'Daftar Koreksi'!$G$5:$G$92,"Aset Tetap Lainnya",'Daftar Koreksi'!$I$5:$I$92,"&lt;0")-SUMIFS('Daftar Koreksi'!$I$5:$I$92,'Daftar Koreksi'!$D$5:$D$92,'2600'!A246,'Daftar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-64561540</v>
      </c>
      <c r="E263" s="25">
        <f>SUMIFS('Daftar Koreksi'!$I$5:$I$92,'Daftar Koreksi'!$D$5:$D$92,'2600'!A246,'Daftar Koreksi'!$G$5:$G$92,"Aset Henti Guna",'Daftar Koreksi'!$I$5:$I$92,"&gt;0")</f>
        <v>0</v>
      </c>
      <c r="F263" s="25">
        <f>SUMIFS('Daftar Koreksi'!$I$5:$I$92,'Daftar Koreksi'!$D$5:$D$92,'2600'!A246,'Daftar Koreksi'!$G$5:$G$92,"Aset Henti Guna",'Daftar Koreksi'!$I$5:$I$92,"&lt;0")-SUMIFS('Daftar Koreksi'!$I$5:$I$92,'Daftar Koreksi'!$D$5:$D$92,'2600'!A246,'Daftar Koreksi'!$G$5:$G$92,"Aset Henti Guna",'Daftar Koreksi'!$I$5:$I$92,"&lt;0")-SUMIFS('Daftar Koreksi'!$I$5:$I$92,'Daftar Koreksi'!$D$5:$D$92,'2600'!A246,'Daftar Koreksi'!$G$5:$G$92,"Aset Henti Guna",'Daftar Koreksi'!$I$5:$I$92,"&lt;0")</f>
        <v>0</v>
      </c>
      <c r="G263" s="17">
        <f t="shared" si="11"/>
        <v>-64561540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-1637059644</v>
      </c>
      <c r="E264" s="19">
        <f>SUM(E259:E263)</f>
        <v>0</v>
      </c>
      <c r="F264" s="19">
        <f>SUM(F259:F263)</f>
        <v>0</v>
      </c>
      <c r="G264" s="19">
        <f t="shared" si="11"/>
        <v>-1637059644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6406843014</v>
      </c>
      <c r="E265" s="19">
        <f>E264+E258</f>
        <v>0</v>
      </c>
      <c r="F265" s="19">
        <f>F264+F258</f>
        <v>0</v>
      </c>
      <c r="G265" s="19">
        <f t="shared" si="11"/>
        <v>6406843014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005012600673009000KD</v>
      </c>
      <c r="B268" s="11" t="str">
        <f>P13</f>
        <v>PN. Tais</v>
      </c>
      <c r="C268" s="12" t="str">
        <f>A268&amp;" "&amp;B268</f>
        <v>005012600673009000KD PN. Tais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246000</v>
      </c>
      <c r="E271" s="25">
        <f>SUMIFS('Daftar Koreksi'!$H$5:$H$92,'Daftar Koreksi'!$D$5:$D$92,'2600'!A268,'Daftar Koreksi'!$G$5:$G$92,"Persediaan",'Daftar Koreksi'!$H$5:$H$92,"&gt;0")</f>
        <v>0</v>
      </c>
      <c r="F271" s="25">
        <f>SUMIFS('Daftar Koreksi'!$H$5:$H$92,'Daftar Koreksi'!$D$5:$D$92,'2600'!A268,'Daftar Koreksi'!$G$5:$G$92,"Persediaan",'Daftar Koreksi'!$H$5:$H$92,"&lt;0")-SUMIFS('Daftar Koreksi'!$H$5:$H$92,'Daftar Koreksi'!$D$5:$D$92,'2600'!A268,'Daftar Koreksi'!$G$5:$G$92,"Persediaan",'Daftar Koreksi'!$H$5:$H$92,"&lt;0")-SUMIFS('Daftar Koreksi'!$H$5:$H$92,'Daftar Koreksi'!$D$5:$D$92,'2600'!A268,'Daftar Koreksi'!$G$5:$G$92,"Persediaan",'Daftar Koreksi'!$H$5:$H$92,"&lt;0")</f>
        <v>0</v>
      </c>
      <c r="G271" s="17">
        <f>D271+E271-F271</f>
        <v>246000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629100000</v>
      </c>
      <c r="E272" s="25">
        <f>SUMIFS('Daftar Koreksi'!$H$5:$H$92,'Daftar Koreksi'!$D$5:$D$92,'2600'!A268,'Daftar Koreksi'!$G$5:$G$92,"Tanah",'Daftar Koreksi'!$H$5:$H$92,"&gt;0")</f>
        <v>0</v>
      </c>
      <c r="F272" s="25">
        <f>SUMIFS('Daftar Koreksi'!$H$5:$H$92,'Daftar Koreksi'!$D$5:$D$92,'2600'!A268,'Daftar Koreksi'!$G$5:$G$92,"Tanah",'Daftar Koreksi'!$H$5:$H$92,"&lt;0")-SUMIFS('Daftar Koreksi'!$H$5:$H$92,'Daftar Koreksi'!$D$5:$D$92,'2600'!A268,'Daftar Koreksi'!$G$5:$G$92,"Tanah",'Daftar Koreksi'!$H$5:$H$92,"&lt;0")-SUMIFS('Daftar Koreksi'!$H$5:$H$92,'Daftar Koreksi'!$D$5:$D$92,'2600'!A268,'Daftar Koreksi'!$G$5:$G$92,"Tanah",'Daftar Koreksi'!$H$5:$H$92,"&lt;0")</f>
        <v>0</v>
      </c>
      <c r="G272" s="17">
        <f t="shared" ref="G272:G288" si="12">D272+E272-F272</f>
        <v>629100000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861867571</v>
      </c>
      <c r="E273" s="25">
        <f>SUMIFS('Daftar Koreksi'!$H$5:$H$92,'Daftar Koreksi'!$D$5:$D$92,'2600'!A268,'Daftar Koreksi'!$G$5:$G$92,"Peralatan dan mesin",'Daftar Koreksi'!$H$5:$H$92,"&gt;0")</f>
        <v>0</v>
      </c>
      <c r="F273" s="25">
        <f>SUMIFS('Daftar Koreksi'!$H$5:$H$92,'Daftar Koreksi'!$D$5:$D$92,'2600'!A268,'Daftar Koreksi'!$G$5:$G$92,"Peralatan dan mesin",'Daftar Koreksi'!$H$5:$H$92,"&lt;0")-SUMIFS('Daftar Koreksi'!$H$5:$H$92,'Daftar Koreksi'!$D$5:$D$92,'2600'!A268,'Daftar Koreksi'!$G$5:$G$92,"Peralatan dan mesin",'Daftar Koreksi'!$H$5:$H$92,"&lt;0")-SUMIFS('Daftar Koreksi'!$H$5:$H$92,'Daftar Koreksi'!$D$5:$D$92,'2600'!A268,'Daftar Koreksi'!$G$5:$G$92,"Peralatan dan mesin",'Daftar Koreksi'!$H$5:$H$92,"&lt;0")</f>
        <v>0</v>
      </c>
      <c r="G273" s="17">
        <f t="shared" si="12"/>
        <v>861867571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6750584000</v>
      </c>
      <c r="E274" s="25">
        <f>SUMIFS('Daftar Koreksi'!$H$5:$H$92,'Daftar Koreksi'!$D$5:$D$92,'2600'!A268,'Daftar Koreksi'!$G$5:$G$92,"Gedung dan Bangunan",'Daftar Koreksi'!$H$5:$H$92,"&gt;0")</f>
        <v>0</v>
      </c>
      <c r="F274" s="25">
        <f>SUMIFS('Daftar Koreksi'!$H$5:$H$92,'Daftar Koreksi'!$D$5:$D$92,'2600'!A268,'Daftar Koreksi'!$G$5:$G$92,"Gedung dan Bangunan",'Daftar Koreksi'!$H$5:$H$92,"&lt;0")-SUMIFS('Daftar Koreksi'!$H$5:$H$92,'Daftar Koreksi'!$D$5:$D$92,'2600'!A268,'Daftar Koreksi'!$G$5:$G$92,"Gedung dan Bangunan",'Daftar Koreksi'!$H$5:$H$92,"&lt;0")-SUMIFS('Daftar Koreksi'!$H$5:$H$92,'Daftar Koreksi'!$D$5:$D$92,'2600'!A268,'Daftar Koreksi'!$G$5:$G$92,"Gedung dan Bangunan",'Daftar Koreksi'!$H$5:$H$92,"&lt;0")</f>
        <v>0</v>
      </c>
      <c r="G274" s="17">
        <f t="shared" si="12"/>
        <v>6750584000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826546600</v>
      </c>
      <c r="E275" s="25">
        <f>SUMIFS('Daftar Koreksi'!$H$5:$H$92,'Daftar Koreksi'!$D$5:$D$92,'2600'!A268,'Daftar Koreksi'!$G$5:$G$92,"Jalan Irigasi Jaringan",'Daftar Koreksi'!$H$5:$H$92,"&gt;0")</f>
        <v>0</v>
      </c>
      <c r="F275" s="25">
        <f>SUMIFS('Daftar Koreksi'!$H$5:$H$92,'Daftar Koreksi'!$D$5:$D$92,'2600'!A268,'Daftar Koreksi'!$G$5:$G$92,"Jalan Irigasi Jaringan",'Daftar Koreksi'!$H$5:$H$92,"&lt;0")-SUMIFS('Daftar Koreksi'!$H$5:$H$92,'Daftar Koreksi'!$D$5:$D$92,'2600'!A268,'Daftar Koreksi'!$G$5:$G$92,"Jalan Irigasi Jaringan",'Daftar Koreksi'!$H$5:$H$92,"&lt;0")-SUMIFS('Daftar Koreksi'!$H$5:$H$92,'Daftar Koreksi'!$D$5:$D$92,'2600'!A268,'Daftar Koreksi'!$G$5:$G$92,"Jalan Irigasi Jaringan",'Daftar Koreksi'!$H$5:$H$92,"&lt;0")</f>
        <v>0</v>
      </c>
      <c r="G275" s="17">
        <f t="shared" si="12"/>
        <v>826546600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0</v>
      </c>
      <c r="E276" s="25">
        <f>SUMIFS('Daftar Koreksi'!$H$5:$H$92,'Daftar Koreksi'!$D$5:$D$92,'2600'!A268,'Daftar Koreksi'!$G$5:$G$92,"Aset Tetap Lainnya",'Daftar Koreksi'!$H$5:$H$92,"&gt;0")</f>
        <v>0</v>
      </c>
      <c r="F276" s="25">
        <f>SUMIFS('Daftar Koreksi'!$H$5:$H$92,'Daftar Koreksi'!$D$5:$D$92,'2600'!A268,'Daftar Koreksi'!$G$5:$G$92,"Aset Tetap Lainnya",'Daftar Koreksi'!$H$5:$H$92,"&lt;0")-SUMIFS('Daftar Koreksi'!$H$5:$H$92,'Daftar Koreksi'!$D$5:$D$92,'2600'!A268,'Daftar Koreksi'!$G$5:$G$92,"Aset Tetap Lainnya",'Daftar Koreksi'!$H$5:$H$92,"&lt;0")-SUMIFS('Daftar Koreksi'!$H$5:$H$92,'Daftar Koreksi'!$D$5:$D$92,'2600'!A268,'Daftar Koreksi'!$G$5:$G$92,"Aset Tetap Lainnya",'Daftar Koreksi'!$H$5:$H$92,"&lt;0")</f>
        <v>0</v>
      </c>
      <c r="G276" s="17">
        <f t="shared" si="12"/>
        <v>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Koreksi'!$D$5:$D$92,'2600'!A268,'Daftar Koreksi'!$G$5:$G$92,"Kontruksi Dalam Pengerjaan",'Daftar Koreksi'!$H$5:$H$92,"&gt;0")</f>
        <v>0</v>
      </c>
      <c r="F277" s="25">
        <f>SUMIFS('Daftar Koreksi'!$H$5:$H$92,'Daftar Koreksi'!$D$5:$D$92,'2600'!A268,'Daftar Koreksi'!$G$5:$G$92,"Kontruksi Dalam Pengerjaan",'Daftar Koreksi'!$H$5:$H$92,"&lt;0")-SUMIFS('Daftar Koreksi'!$H$5:$H$92,'Daftar Koreksi'!$D$5:$D$92,'2600'!A268,'Daftar Koreksi'!$G$5:$G$92,"Kontruksi Dalam Pengerjaan",'Daftar Koreksi'!$H$5:$H$92,"&lt;0")-SUMIFS('Daftar Koreksi'!$H$5:$H$92,'Daftar Koreksi'!$D$5:$D$92,'2600'!A268,'Daftar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Koreksi'!$D$5:$D$92,'2600'!A268,'Daftar Koreksi'!$G$5:$G$92,"Aset Tak Berwujud",'Daftar Koreksi'!$H$5:$H$92,"&gt;0")</f>
        <v>0</v>
      </c>
      <c r="F278" s="25">
        <f>SUMIFS('Daftar Koreksi'!$H$5:$H$92,'Daftar Koreksi'!$D$5:$D$92,'2600'!A268,'Daftar Koreksi'!$G$5:$G$92,"Aset Tak Berwujud",'Daftar Koreksi'!$H$5:$H$92,"&lt;0")-SUMIFS('Daftar Koreksi'!$H$5:$H$92,'Daftar Koreksi'!$D$5:$D$92,'2600'!A268,'Daftar Koreksi'!$G$5:$G$92,"Aset Tak Berwujud",'Daftar Koreksi'!$H$5:$H$92,"&lt;0")-SUMIFS('Daftar Koreksi'!$H$5:$H$92,'Daftar Koreksi'!$D$5:$D$92,'2600'!A268,'Daftar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123505000</v>
      </c>
      <c r="E279" s="25">
        <f>SUMIFS('Daftar Koreksi'!$H$5:$H$92,'Daftar Koreksi'!$D$5:$D$92,'2600'!A268,'Daftar Koreksi'!$G$5:$G$92,"Aset Henti Guna",'Daftar Koreksi'!$H$5:$H$92,"&gt;0")</f>
        <v>0</v>
      </c>
      <c r="F279" s="25">
        <f>SUMIFS('Daftar Koreksi'!$H$5:$H$92,'Daftar Koreksi'!$D$5:$D$92,'2600'!A268,'Daftar Koreksi'!$G$5:$G$92,"Aset Henti Guna",'Daftar Koreksi'!$H$5:$H$92,"&lt;0")-SUMIFS('Daftar Koreksi'!$H$5:$H$92,'Daftar Koreksi'!$D$5:$D$92,'2600'!A268,'Daftar Koreksi'!$G$5:$G$92,"Aset Henti Guna",'Daftar Koreksi'!$H$5:$H$92,"&lt;0")-SUMIFS('Daftar Koreksi'!$H$5:$H$92,'Daftar Koreksi'!$D$5:$D$92,'2600'!A268,'Daftar Koreksi'!$G$5:$G$92,"Aset Henti Guna",'Daftar Koreksi'!$H$5:$H$92,"&lt;0")</f>
        <v>0</v>
      </c>
      <c r="G279" s="17">
        <f t="shared" si="12"/>
        <v>123505000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9191849171</v>
      </c>
      <c r="E280" s="19">
        <f>SUM(E271:E279)</f>
        <v>0</v>
      </c>
      <c r="F280" s="19">
        <f>SUM(F271:F279)</f>
        <v>0</v>
      </c>
      <c r="G280" s="19">
        <f t="shared" si="12"/>
        <v>9191849171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-657339781</v>
      </c>
      <c r="E281" s="25">
        <f>SUMIFS('Daftar Koreksi'!$I$5:$I$92,'Daftar Koreksi'!$D$5:$D$92,'2600'!A268,'Daftar Koreksi'!$G$5:$G$92,"Peralatan dan mesin",'Daftar Koreksi'!$I$5:$I$92,"&gt;0")</f>
        <v>0</v>
      </c>
      <c r="F281" s="25">
        <f>SUMIFS('Daftar Koreksi'!$I$5:$I$92,'Daftar Koreksi'!$D$5:$D$92,'2600'!A268,'Daftar Koreksi'!$G$5:$G$92,"Peralatan dan mesin",'Daftar Koreksi'!$I$5:$I$92,"&lt;0")-SUMIFS('Daftar Koreksi'!$I$5:$I$92,'Daftar Koreksi'!$D$5:$D$92,'2600'!A268,'Daftar Koreksi'!$G$5:$G$92,"Peralatan dan mesin",'Daftar Koreksi'!$I$5:$I$92,"&lt;0")-SUMIFS('Daftar Koreksi'!$I$5:$I$92,'Daftar Koreksi'!$D$5:$D$92,'2600'!A268,'Daftar Koreksi'!$G$5:$G$92,"Peralatan dan mesin",'Daftar Koreksi'!$I$5:$I$92,"&lt;0")</f>
        <v>0</v>
      </c>
      <c r="G281" s="17">
        <f t="shared" si="12"/>
        <v>-657339781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-563701548</v>
      </c>
      <c r="E282" s="25">
        <f>SUMIFS('Daftar Koreksi'!$I$5:$I$92,'Daftar Koreksi'!$D$5:$D$92,'2600'!A268,'Daftar Koreksi'!$G$5:$G$92,"Gedung dan Bangunan",'Daftar Koreksi'!$I$5:$I$92,"&gt;0")</f>
        <v>0</v>
      </c>
      <c r="F282" s="25">
        <f>SUMIFS('Daftar Koreksi'!$I$5:$I$92,'Daftar Koreksi'!$D$5:$D$92,'2600'!A268,'Daftar Koreksi'!$G$5:$G$92,"Gedung dan Bangunan",'Daftar Koreksi'!$I$5:$I$92,"&lt;0")-SUMIFS('Daftar Koreksi'!$I$5:$I$92,'Daftar Koreksi'!$D$5:$D$92,'2600'!A268,'Daftar Koreksi'!$G$5:$G$92,"Gedung dan Bangunan",'Daftar Koreksi'!$I$5:$I$92,"&lt;0")-SUMIFS('Daftar Koreksi'!$I$5:$I$92,'Daftar Koreksi'!$D$5:$D$92,'2600'!A268,'Daftar Koreksi'!$G$5:$G$92,"Gedung dan Bangunan",'Daftar Koreksi'!$I$5:$I$92,"&lt;0")</f>
        <v>0</v>
      </c>
      <c r="G282" s="17">
        <f t="shared" si="12"/>
        <v>-563701548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-39830945</v>
      </c>
      <c r="E283" s="25">
        <f>SUMIFS('Daftar Koreksi'!$I$5:$I$92,'Daftar Koreksi'!$D$5:$D$92,'2600'!A268,'Daftar Koreksi'!$G$5:$G$92,"Jalan Irigasi Jaringan",'Daftar Koreksi'!$I$5:$I$92,"&gt;0")</f>
        <v>0</v>
      </c>
      <c r="F283" s="25">
        <f>SUMIFS('Daftar Koreksi'!$I$5:$I$92,'Daftar Koreksi'!$D$5:$D$92,'2600'!A268,'Daftar Koreksi'!$G$5:$G$92,"Jalan Irigasi Jaringan",'Daftar Koreksi'!$I$5:$I$92,"&lt;0")-SUMIFS('Daftar Koreksi'!$I$5:$I$92,'Daftar Koreksi'!$D$5:$D$92,'2600'!A268,'Daftar Koreksi'!$G$5:$G$92,"Jalan Irigasi Jaringan",'Daftar Koreksi'!$I$5:$I$92,"&lt;0")-SUMIFS('Daftar Koreksi'!$I$5:$I$92,'Daftar Koreksi'!$D$5:$D$92,'2600'!A268,'Daftar Koreksi'!$G$5:$G$92,"Jalan Irigasi Jaringan",'Daftar Koreksi'!$I$5:$I$92,"&lt;0")</f>
        <v>0</v>
      </c>
      <c r="G283" s="17">
        <f t="shared" si="12"/>
        <v>-39830945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Koreksi'!$D$5:$D$92,'2600'!A268,'Daftar Koreksi'!$G$5:$G$92,"Aset Tetap Lainnya",'Daftar Koreksi'!$I$5:$I$92,"&gt;0")</f>
        <v>0</v>
      </c>
      <c r="F284" s="25">
        <f>SUMIFS('Daftar Koreksi'!$I$5:$I$92,'Daftar Koreksi'!$D$5:$D$92,'2600'!A268,'Daftar Koreksi'!$G$5:$G$92,"Aset Tetap Lainnya",'Daftar Koreksi'!$I$5:$I$92,"&lt;0")-SUMIFS('Daftar Koreksi'!$I$5:$I$92,'Daftar Koreksi'!$D$5:$D$92,'2600'!A268,'Daftar Koreksi'!$G$5:$G$92,"Aset Tetap Lainnya",'Daftar Koreksi'!$I$5:$I$92,"&lt;0")-SUMIFS('Daftar Koreksi'!$I$5:$I$92,'Daftar Koreksi'!$D$5:$D$92,'2600'!A268,'Daftar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-113573500</v>
      </c>
      <c r="E285" s="25">
        <f>SUMIFS('Daftar Koreksi'!$I$5:$I$92,'Daftar Koreksi'!$D$5:$D$92,'2600'!A268,'Daftar Koreksi'!$G$5:$G$92,"Aset Henti Guna",'Daftar Koreksi'!$I$5:$I$92,"&gt;0")</f>
        <v>0</v>
      </c>
      <c r="F285" s="25">
        <f>SUMIFS('Daftar Koreksi'!$I$5:$I$92,'Daftar Koreksi'!$D$5:$D$92,'2600'!A268,'Daftar Koreksi'!$G$5:$G$92,"Aset Henti Guna",'Daftar Koreksi'!$I$5:$I$92,"&lt;0")-SUMIFS('Daftar Koreksi'!$I$5:$I$92,'Daftar Koreksi'!$D$5:$D$92,'2600'!A268,'Daftar Koreksi'!$G$5:$G$92,"Aset Henti Guna",'Daftar Koreksi'!$I$5:$I$92,"&lt;0")-SUMIFS('Daftar Koreksi'!$I$5:$I$92,'Daftar Koreksi'!$D$5:$D$92,'2600'!A268,'Daftar Koreksi'!$G$5:$G$92,"Aset Henti Guna",'Daftar Koreksi'!$I$5:$I$92,"&lt;0")</f>
        <v>0</v>
      </c>
      <c r="G285" s="17">
        <f t="shared" si="12"/>
        <v>-113573500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-1374445774</v>
      </c>
      <c r="E286" s="19">
        <f>SUM(E281:E285)</f>
        <v>0</v>
      </c>
      <c r="F286" s="19">
        <f>SUM(F281:F285)</f>
        <v>0</v>
      </c>
      <c r="G286" s="19">
        <f t="shared" si="12"/>
        <v>-1374445774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7817403397</v>
      </c>
      <c r="E287" s="19">
        <f>E286+E280</f>
        <v>0</v>
      </c>
      <c r="F287" s="19">
        <f>F286+F280</f>
        <v>0</v>
      </c>
      <c r="G287" s="19">
        <f t="shared" si="12"/>
        <v>7817403397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005012600673041000KD</v>
      </c>
      <c r="B290" s="11" t="str">
        <f>P14</f>
        <v>PN. Kepahiang</v>
      </c>
      <c r="C290" s="12" t="str">
        <f>A290&amp;" "&amp;B290</f>
        <v>005012600673041000KD PN. Kepahiang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523000</v>
      </c>
      <c r="E293" s="25">
        <f>SUMIFS('Daftar Koreksi'!$H$5:$H$92,'Daftar Koreksi'!$D$5:$D$92,'2600'!A290,'Daftar Koreksi'!$G$5:$G$92,"Persediaan",'Daftar Koreksi'!$H$5:$H$92,"&gt;0")</f>
        <v>0</v>
      </c>
      <c r="F293" s="25">
        <f>SUMIFS('Daftar Koreksi'!$H$5:$H$92,'Daftar Koreksi'!$D$5:$D$92,'2600'!A290,'Daftar Koreksi'!$G$5:$G$92,"Persediaan",'Daftar Koreksi'!$H$5:$H$92,"&lt;0")-SUMIFS('Daftar Koreksi'!$H$5:$H$92,'Daftar Koreksi'!$D$5:$D$92,'2600'!A290,'Daftar Koreksi'!$G$5:$G$92,"Persediaan",'Daftar Koreksi'!$H$5:$H$92,"&lt;0")-SUMIFS('Daftar Koreksi'!$H$5:$H$92,'Daftar Koreksi'!$D$5:$D$92,'2600'!A290,'Daftar Koreksi'!$G$5:$G$92,"Persediaan",'Daftar Koreksi'!$H$5:$H$92,"&lt;0")</f>
        <v>0</v>
      </c>
      <c r="G293" s="17">
        <f>D293+E293-F293</f>
        <v>523000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1217500000</v>
      </c>
      <c r="E294" s="25">
        <f>SUMIFS('Daftar Koreksi'!$H$5:$H$92,'Daftar Koreksi'!$D$5:$D$92,'2600'!A290,'Daftar Koreksi'!$G$5:$G$92,"Tanah",'Daftar Koreksi'!$H$5:$H$92,"&gt;0")</f>
        <v>0</v>
      </c>
      <c r="F294" s="25">
        <f>SUMIFS('Daftar Koreksi'!$H$5:$H$92,'Daftar Koreksi'!$D$5:$D$92,'2600'!A290,'Daftar Koreksi'!$G$5:$G$92,"Tanah",'Daftar Koreksi'!$H$5:$H$92,"&lt;0")-SUMIFS('Daftar Koreksi'!$H$5:$H$92,'Daftar Koreksi'!$D$5:$D$92,'2600'!A290,'Daftar Koreksi'!$G$5:$G$92,"Tanah",'Daftar Koreksi'!$H$5:$H$92,"&lt;0")-SUMIFS('Daftar Koreksi'!$H$5:$H$92,'Daftar Koreksi'!$D$5:$D$92,'2600'!A290,'Daftar Koreksi'!$G$5:$G$92,"Tanah",'Daftar Koreksi'!$H$5:$H$92,"&lt;0")</f>
        <v>0</v>
      </c>
      <c r="G294" s="17">
        <f t="shared" ref="G294:G310" si="13">D294+E294-F294</f>
        <v>1217500000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918702291</v>
      </c>
      <c r="E295" s="25">
        <f>SUMIFS('Daftar Koreksi'!$H$5:$H$92,'Daftar Koreksi'!$D$5:$D$92,'2600'!A290,'Daftar Koreksi'!$G$5:$G$92,"Peralatan dan mesin",'Daftar Koreksi'!$H$5:$H$92,"&gt;0")</f>
        <v>0</v>
      </c>
      <c r="F295" s="25">
        <f>SUMIFS('Daftar Koreksi'!$H$5:$H$92,'Daftar Koreksi'!$D$5:$D$92,'2600'!A290,'Daftar Koreksi'!$G$5:$G$92,"Peralatan dan mesin",'Daftar Koreksi'!$H$5:$H$92,"&lt;0")-SUMIFS('Daftar Koreksi'!$H$5:$H$92,'Daftar Koreksi'!$D$5:$D$92,'2600'!A290,'Daftar Koreksi'!$G$5:$G$92,"Peralatan dan mesin",'Daftar Koreksi'!$H$5:$H$92,"&lt;0")-SUMIFS('Daftar Koreksi'!$H$5:$H$92,'Daftar Koreksi'!$D$5:$D$92,'2600'!A290,'Daftar Koreksi'!$G$5:$G$92,"Peralatan dan mesin",'Daftar Koreksi'!$H$5:$H$92,"&lt;0")</f>
        <v>0</v>
      </c>
      <c r="G295" s="17">
        <f t="shared" si="13"/>
        <v>918702291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7035863600</v>
      </c>
      <c r="E296" s="25">
        <f>SUMIFS('Daftar Koreksi'!$H$5:$H$92,'Daftar Koreksi'!$D$5:$D$92,'2600'!A290,'Daftar Koreksi'!$G$5:$G$92,"Gedung dan Bangunan",'Daftar Koreksi'!$H$5:$H$92,"&gt;0")</f>
        <v>0</v>
      </c>
      <c r="F296" s="25">
        <f>SUMIFS('Daftar Koreksi'!$H$5:$H$92,'Daftar Koreksi'!$D$5:$D$92,'2600'!A290,'Daftar Koreksi'!$G$5:$G$92,"Gedung dan Bangunan",'Daftar Koreksi'!$H$5:$H$92,"&lt;0")-SUMIFS('Daftar Koreksi'!$H$5:$H$92,'Daftar Koreksi'!$D$5:$D$92,'2600'!A290,'Daftar Koreksi'!$G$5:$G$92,"Gedung dan Bangunan",'Daftar Koreksi'!$H$5:$H$92,"&lt;0")-SUMIFS('Daftar Koreksi'!$H$5:$H$92,'Daftar Koreksi'!$D$5:$D$92,'2600'!A290,'Daftar Koreksi'!$G$5:$G$92,"Gedung dan Bangunan",'Daftar Koreksi'!$H$5:$H$92,"&lt;0")</f>
        <v>0</v>
      </c>
      <c r="G296" s="17">
        <f t="shared" si="13"/>
        <v>7035863600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99979000</v>
      </c>
      <c r="E297" s="25">
        <f>SUMIFS('Daftar Koreksi'!$H$5:$H$92,'Daftar Koreksi'!$D$5:$D$92,'2600'!A290,'Daftar Koreksi'!$G$5:$G$92,"Jalan Irigasi Jaringan",'Daftar Koreksi'!$H$5:$H$92,"&gt;0")</f>
        <v>0</v>
      </c>
      <c r="F297" s="25">
        <f>SUMIFS('Daftar Koreksi'!$H$5:$H$92,'Daftar Koreksi'!$D$5:$D$92,'2600'!A290,'Daftar Koreksi'!$G$5:$G$92,"Jalan Irigasi Jaringan",'Daftar Koreksi'!$H$5:$H$92,"&lt;0")-SUMIFS('Daftar Koreksi'!$H$5:$H$92,'Daftar Koreksi'!$D$5:$D$92,'2600'!A290,'Daftar Koreksi'!$G$5:$G$92,"Jalan Irigasi Jaringan",'Daftar Koreksi'!$H$5:$H$92,"&lt;0")-SUMIFS('Daftar Koreksi'!$H$5:$H$92,'Daftar Koreksi'!$D$5:$D$92,'2600'!A290,'Daftar Koreksi'!$G$5:$G$92,"Jalan Irigasi Jaringan",'Daftar Koreksi'!$H$5:$H$92,"&lt;0")</f>
        <v>0</v>
      </c>
      <c r="G297" s="17">
        <f t="shared" si="13"/>
        <v>99979000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0</v>
      </c>
      <c r="E298" s="25">
        <f>SUMIFS('Daftar Koreksi'!$H$5:$H$92,'Daftar Koreksi'!$D$5:$D$92,'2600'!A290,'Daftar Koreksi'!$G$5:$G$92,"Aset Tetap Lainnya",'Daftar Koreksi'!$H$5:$H$92,"&gt;0")</f>
        <v>0</v>
      </c>
      <c r="F298" s="25">
        <f>SUMIFS('Daftar Koreksi'!$H$5:$H$92,'Daftar Koreksi'!$D$5:$D$92,'2600'!A290,'Daftar Koreksi'!$G$5:$G$92,"Aset Tetap Lainnya",'Daftar Koreksi'!$H$5:$H$92,"&lt;0")-SUMIFS('Daftar Koreksi'!$H$5:$H$92,'Daftar Koreksi'!$D$5:$D$92,'2600'!A290,'Daftar Koreksi'!$G$5:$G$92,"Aset Tetap Lainnya",'Daftar Koreksi'!$H$5:$H$92,"&lt;0")-SUMIFS('Daftar Koreksi'!$H$5:$H$92,'Daftar Koreksi'!$D$5:$D$92,'2600'!A290,'Daftar Koreksi'!$G$5:$G$92,"Aset Tetap Lainnya",'Daftar Koreksi'!$H$5:$H$92,"&lt;0")</f>
        <v>0</v>
      </c>
      <c r="G298" s="17">
        <f t="shared" si="13"/>
        <v>0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Koreksi'!$D$5:$D$92,'2600'!A290,'Daftar Koreksi'!$G$5:$G$92,"Kontruksi Dalam Pengerjaan",'Daftar Koreksi'!$H$5:$H$92,"&gt;0")</f>
        <v>0</v>
      </c>
      <c r="F299" s="25">
        <f>SUMIFS('Daftar Koreksi'!$H$5:$H$92,'Daftar Koreksi'!$D$5:$D$92,'2600'!A290,'Daftar Koreksi'!$G$5:$G$92,"Kontruksi Dalam Pengerjaan",'Daftar Koreksi'!$H$5:$H$92,"&lt;0")-SUMIFS('Daftar Koreksi'!$H$5:$H$92,'Daftar Koreksi'!$D$5:$D$92,'2600'!A290,'Daftar Koreksi'!$G$5:$G$92,"Kontruksi Dalam Pengerjaan",'Daftar Koreksi'!$H$5:$H$92,"&lt;0")-SUMIFS('Daftar Koreksi'!$H$5:$H$92,'Daftar Koreksi'!$D$5:$D$92,'2600'!A290,'Daftar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Koreksi'!$D$5:$D$92,'2600'!A290,'Daftar Koreksi'!$G$5:$G$92,"Aset Tak Berwujud",'Daftar Koreksi'!$H$5:$H$92,"&gt;0")</f>
        <v>0</v>
      </c>
      <c r="F300" s="25">
        <f>SUMIFS('Daftar Koreksi'!$H$5:$H$92,'Daftar Koreksi'!$D$5:$D$92,'2600'!A290,'Daftar Koreksi'!$G$5:$G$92,"Aset Tak Berwujud",'Daftar Koreksi'!$H$5:$H$92,"&lt;0")-SUMIFS('Daftar Koreksi'!$H$5:$H$92,'Daftar Koreksi'!$D$5:$D$92,'2600'!A290,'Daftar Koreksi'!$G$5:$G$92,"Aset Tak Berwujud",'Daftar Koreksi'!$H$5:$H$92,"&lt;0")-SUMIFS('Daftar Koreksi'!$H$5:$H$92,'Daftar Koreksi'!$D$5:$D$92,'2600'!A290,'Daftar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0</v>
      </c>
      <c r="E301" s="25">
        <f>SUMIFS('Daftar Koreksi'!$H$5:$H$92,'Daftar Koreksi'!$D$5:$D$92,'2600'!A290,'Daftar Koreksi'!$G$5:$G$92,"Aset Henti Guna",'Daftar Koreksi'!$H$5:$H$92,"&gt;0")</f>
        <v>0</v>
      </c>
      <c r="F301" s="25">
        <f>SUMIFS('Daftar Koreksi'!$H$5:$H$92,'Daftar Koreksi'!$D$5:$D$92,'2600'!A290,'Daftar Koreksi'!$G$5:$G$92,"Aset Henti Guna",'Daftar Koreksi'!$H$5:$H$92,"&lt;0")-SUMIFS('Daftar Koreksi'!$H$5:$H$92,'Daftar Koreksi'!$D$5:$D$92,'2600'!A290,'Daftar Koreksi'!$G$5:$G$92,"Aset Henti Guna",'Daftar Koreksi'!$H$5:$H$92,"&lt;0")-SUMIFS('Daftar Koreksi'!$H$5:$H$92,'Daftar Koreksi'!$D$5:$D$92,'2600'!A290,'Daftar Koreksi'!$G$5:$G$92,"Aset Henti Guna",'Daftar Koreksi'!$H$5:$H$92,"&lt;0")</f>
        <v>0</v>
      </c>
      <c r="G301" s="17">
        <f t="shared" si="13"/>
        <v>0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9272567891</v>
      </c>
      <c r="E302" s="19">
        <f>SUM(E293:E301)</f>
        <v>0</v>
      </c>
      <c r="F302" s="19">
        <f>SUM(F293:F301)</f>
        <v>0</v>
      </c>
      <c r="G302" s="19">
        <f t="shared" si="13"/>
        <v>9272567891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-817823754</v>
      </c>
      <c r="E303" s="25">
        <f>SUMIFS('Daftar Koreksi'!$I$5:$I$92,'Daftar Koreksi'!$D$5:$D$92,'2600'!A290,'Daftar Koreksi'!$G$5:$G$92,"Peralatan dan mesin",'Daftar Koreksi'!$I$5:$I$92,"&gt;0")</f>
        <v>0</v>
      </c>
      <c r="F303" s="25">
        <f>SUMIFS('Daftar Koreksi'!$I$5:$I$92,'Daftar Koreksi'!$D$5:$D$92,'2600'!A290,'Daftar Koreksi'!$G$5:$G$92,"Peralatan dan mesin",'Daftar Koreksi'!$I$5:$I$92,"&lt;0")-SUMIFS('Daftar Koreksi'!$I$5:$I$92,'Daftar Koreksi'!$D$5:$D$92,'2600'!A290,'Daftar Koreksi'!$G$5:$G$92,"Peralatan dan mesin",'Daftar Koreksi'!$I$5:$I$92,"&lt;0")-SUMIFS('Daftar Koreksi'!$I$5:$I$92,'Daftar Koreksi'!$D$5:$D$92,'2600'!A290,'Daftar Koreksi'!$G$5:$G$92,"Peralatan dan mesin",'Daftar Koreksi'!$I$5:$I$92,"&lt;0")</f>
        <v>0</v>
      </c>
      <c r="G303" s="17">
        <f t="shared" si="13"/>
        <v>-817823754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-549640575</v>
      </c>
      <c r="E304" s="25">
        <f>SUMIFS('Daftar Koreksi'!$I$5:$I$92,'Daftar Koreksi'!$D$5:$D$92,'2600'!A290,'Daftar Koreksi'!$G$5:$G$92,"Gedung dan Bangunan",'Daftar Koreksi'!$I$5:$I$92,"&gt;0")</f>
        <v>0</v>
      </c>
      <c r="F304" s="25">
        <f>SUMIFS('Daftar Koreksi'!$I$5:$I$92,'Daftar Koreksi'!$D$5:$D$92,'2600'!A290,'Daftar Koreksi'!$G$5:$G$92,"Gedung dan Bangunan",'Daftar Koreksi'!$I$5:$I$92,"&lt;0")-SUMIFS('Daftar Koreksi'!$I$5:$I$92,'Daftar Koreksi'!$D$5:$D$92,'2600'!A290,'Daftar Koreksi'!$G$5:$G$92,"Gedung dan Bangunan",'Daftar Koreksi'!$I$5:$I$92,"&lt;0")-SUMIFS('Daftar Koreksi'!$I$5:$I$92,'Daftar Koreksi'!$D$5:$D$92,'2600'!A290,'Daftar Koreksi'!$G$5:$G$92,"Gedung dan Bangunan",'Daftar Koreksi'!$I$5:$I$92,"&lt;0")</f>
        <v>0</v>
      </c>
      <c r="G304" s="17">
        <f t="shared" si="13"/>
        <v>-549640575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-9997900</v>
      </c>
      <c r="E305" s="25">
        <f>SUMIFS('Daftar Koreksi'!$I$5:$I$92,'Daftar Koreksi'!$D$5:$D$92,'2600'!A290,'Daftar Koreksi'!$G$5:$G$92,"Jalan Irigasi Jaringan",'Daftar Koreksi'!$I$5:$I$92,"&gt;0")</f>
        <v>0</v>
      </c>
      <c r="F305" s="25">
        <f>SUMIFS('Daftar Koreksi'!$I$5:$I$92,'Daftar Koreksi'!$D$5:$D$92,'2600'!A290,'Daftar Koreksi'!$G$5:$G$92,"Jalan Irigasi Jaringan",'Daftar Koreksi'!$I$5:$I$92,"&lt;0")-SUMIFS('Daftar Koreksi'!$I$5:$I$92,'Daftar Koreksi'!$D$5:$D$92,'2600'!A290,'Daftar Koreksi'!$G$5:$G$92,"Jalan Irigasi Jaringan",'Daftar Koreksi'!$I$5:$I$92,"&lt;0")-SUMIFS('Daftar Koreksi'!$I$5:$I$92,'Daftar Koreksi'!$D$5:$D$92,'2600'!A290,'Daftar Koreksi'!$G$5:$G$92,"Jalan Irigasi Jaringan",'Daftar Koreksi'!$I$5:$I$92,"&lt;0")</f>
        <v>0</v>
      </c>
      <c r="G305" s="17">
        <f t="shared" si="13"/>
        <v>-9997900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Koreksi'!$D$5:$D$92,'2600'!A290,'Daftar Koreksi'!$G$5:$G$92,"Aset Tetap Lainnya",'Daftar Koreksi'!$I$5:$I$92,"&gt;0")</f>
        <v>0</v>
      </c>
      <c r="F306" s="25">
        <f>SUMIFS('Daftar Koreksi'!$I$5:$I$92,'Daftar Koreksi'!$D$5:$D$92,'2600'!A290,'Daftar Koreksi'!$G$5:$G$92,"Aset Tetap Lainnya",'Daftar Koreksi'!$I$5:$I$92,"&lt;0")-SUMIFS('Daftar Koreksi'!$I$5:$I$92,'Daftar Koreksi'!$D$5:$D$92,'2600'!A290,'Daftar Koreksi'!$G$5:$G$92,"Aset Tetap Lainnya",'Daftar Koreksi'!$I$5:$I$92,"&lt;0")-SUMIFS('Daftar Koreksi'!$I$5:$I$92,'Daftar Koreksi'!$D$5:$D$92,'2600'!A290,'Daftar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0</v>
      </c>
      <c r="E307" s="25">
        <f>SUMIFS('Daftar Koreksi'!$I$5:$I$92,'Daftar Koreksi'!$D$5:$D$92,'2600'!A290,'Daftar Koreksi'!$G$5:$G$92,"Aset Henti Guna",'Daftar Koreksi'!$I$5:$I$92,"&gt;0")</f>
        <v>0</v>
      </c>
      <c r="F307" s="25">
        <f>SUMIFS('Daftar Koreksi'!$I$5:$I$92,'Daftar Koreksi'!$D$5:$D$92,'2600'!A290,'Daftar Koreksi'!$G$5:$G$92,"Aset Henti Guna",'Daftar Koreksi'!$I$5:$I$92,"&lt;0")-SUMIFS('Daftar Koreksi'!$I$5:$I$92,'Daftar Koreksi'!$D$5:$D$92,'2600'!A290,'Daftar Koreksi'!$G$5:$G$92,"Aset Henti Guna",'Daftar Koreksi'!$I$5:$I$92,"&lt;0")-SUMIFS('Daftar Koreksi'!$I$5:$I$92,'Daftar Koreksi'!$D$5:$D$92,'2600'!A290,'Daftar Koreksi'!$G$5:$G$92,"Aset Henti Guna",'Daftar Koreksi'!$I$5:$I$92,"&lt;0")</f>
        <v>0</v>
      </c>
      <c r="G307" s="17">
        <f t="shared" si="13"/>
        <v>0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-1377462229</v>
      </c>
      <c r="E308" s="19">
        <f>SUM(E303:E307)</f>
        <v>0</v>
      </c>
      <c r="F308" s="19">
        <f>SUM(F303:F307)</f>
        <v>0</v>
      </c>
      <c r="G308" s="19">
        <f t="shared" si="13"/>
        <v>-1377462229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7895105662</v>
      </c>
      <c r="E309" s="19">
        <f>E308+E302</f>
        <v>0</v>
      </c>
      <c r="F309" s="19">
        <f>F308+F302</f>
        <v>0</v>
      </c>
      <c r="G309" s="19">
        <f t="shared" si="13"/>
        <v>7895105662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005012600673055000KD</v>
      </c>
      <c r="B312" s="11" t="str">
        <f>P15</f>
        <v>PN. Tubei</v>
      </c>
      <c r="C312" s="12" t="str">
        <f>A312&amp;" "&amp;B312</f>
        <v>005012600673055000KD PN. Tubei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75000</v>
      </c>
      <c r="E315" s="25">
        <f>SUMIFS('Daftar Koreksi'!$H$5:$H$92,'Daftar Koreksi'!$D$5:$D$92,'2600'!A312,'Daftar Koreksi'!$G$5:$G$92,"Persediaan",'Daftar Koreksi'!$H$5:$H$92,"&gt;0")</f>
        <v>0</v>
      </c>
      <c r="F315" s="25">
        <f>SUMIFS('Daftar Koreksi'!$H$5:$H$92,'Daftar Koreksi'!$D$5:$D$92,'2600'!A312,'Daftar Koreksi'!$G$5:$G$92,"Persediaan",'Daftar Koreksi'!$H$5:$H$92,"&lt;0")-SUMIFS('Daftar Koreksi'!$H$5:$H$92,'Daftar Koreksi'!$D$5:$D$92,'2600'!A312,'Daftar Koreksi'!$G$5:$G$92,"Persediaan",'Daftar Koreksi'!$H$5:$H$92,"&lt;0")-SUMIFS('Daftar Koreksi'!$H$5:$H$92,'Daftar Koreksi'!$D$5:$D$92,'2600'!A312,'Daftar Koreksi'!$G$5:$G$92,"Persediaan",'Daftar Koreksi'!$H$5:$H$92,"&lt;0")</f>
        <v>0</v>
      </c>
      <c r="G315" s="17">
        <f>D315+E315-F315</f>
        <v>75000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203600000</v>
      </c>
      <c r="E316" s="25">
        <f>SUMIFS('Daftar Koreksi'!$H$5:$H$92,'Daftar Koreksi'!$D$5:$D$92,'2600'!A312,'Daftar Koreksi'!$G$5:$G$92,"Tanah",'Daftar Koreksi'!$H$5:$H$92,"&gt;0")</f>
        <v>0</v>
      </c>
      <c r="F316" s="25">
        <f>SUMIFS('Daftar Koreksi'!$H$5:$H$92,'Daftar Koreksi'!$D$5:$D$92,'2600'!A312,'Daftar Koreksi'!$G$5:$G$92,"Tanah",'Daftar Koreksi'!$H$5:$H$92,"&lt;0")-SUMIFS('Daftar Koreksi'!$H$5:$H$92,'Daftar Koreksi'!$D$5:$D$92,'2600'!A312,'Daftar Koreksi'!$G$5:$G$92,"Tanah",'Daftar Koreksi'!$H$5:$H$92,"&lt;0")-SUMIFS('Daftar Koreksi'!$H$5:$H$92,'Daftar Koreksi'!$D$5:$D$92,'2600'!A312,'Daftar Koreksi'!$G$5:$G$92,"Tanah",'Daftar Koreksi'!$H$5:$H$92,"&lt;0")</f>
        <v>0</v>
      </c>
      <c r="G316" s="17">
        <f t="shared" ref="G316:G332" si="14">D316+E316-F316</f>
        <v>203600000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1168234517</v>
      </c>
      <c r="E317" s="25">
        <f>SUMIFS('Daftar Koreksi'!$H$5:$H$92,'Daftar Koreksi'!$D$5:$D$92,'2600'!A312,'Daftar Koreksi'!$G$5:$G$92,"Peralatan dan mesin",'Daftar Koreksi'!$H$5:$H$92,"&gt;0")</f>
        <v>0</v>
      </c>
      <c r="F317" s="25">
        <f>SUMIFS('Daftar Koreksi'!$H$5:$H$92,'Daftar Koreksi'!$D$5:$D$92,'2600'!A312,'Daftar Koreksi'!$G$5:$G$92,"Peralatan dan mesin",'Daftar Koreksi'!$H$5:$H$92,"&lt;0")-SUMIFS('Daftar Koreksi'!$H$5:$H$92,'Daftar Koreksi'!$D$5:$D$92,'2600'!A312,'Daftar Koreksi'!$G$5:$G$92,"Peralatan dan mesin",'Daftar Koreksi'!$H$5:$H$92,"&lt;0")-SUMIFS('Daftar Koreksi'!$H$5:$H$92,'Daftar Koreksi'!$D$5:$D$92,'2600'!A312,'Daftar Koreksi'!$G$5:$G$92,"Peralatan dan mesin",'Daftar Koreksi'!$H$5:$H$92,"&lt;0")</f>
        <v>0</v>
      </c>
      <c r="G317" s="17">
        <f t="shared" si="14"/>
        <v>1168234517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6431742000</v>
      </c>
      <c r="E318" s="25">
        <f>SUMIFS('Daftar Koreksi'!$H$5:$H$92,'Daftar Koreksi'!$D$5:$D$92,'2600'!A312,'Daftar Koreksi'!$G$5:$G$92,"Gedung dan Bangunan",'Daftar Koreksi'!$H$5:$H$92,"&gt;0")</f>
        <v>0</v>
      </c>
      <c r="F318" s="25">
        <f>SUMIFS('Daftar Koreksi'!$H$5:$H$92,'Daftar Koreksi'!$D$5:$D$92,'2600'!A312,'Daftar Koreksi'!$G$5:$G$92,"Gedung dan Bangunan",'Daftar Koreksi'!$H$5:$H$92,"&lt;0")-SUMIFS('Daftar Koreksi'!$H$5:$H$92,'Daftar Koreksi'!$D$5:$D$92,'2600'!A312,'Daftar Koreksi'!$G$5:$G$92,"Gedung dan Bangunan",'Daftar Koreksi'!$H$5:$H$92,"&lt;0")-SUMIFS('Daftar Koreksi'!$H$5:$H$92,'Daftar Koreksi'!$D$5:$D$92,'2600'!A312,'Daftar Koreksi'!$G$5:$G$92,"Gedung dan Bangunan",'Daftar Koreksi'!$H$5:$H$92,"&lt;0")</f>
        <v>0</v>
      </c>
      <c r="G318" s="17">
        <f t="shared" si="14"/>
        <v>6431742000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Koreksi'!$D$5:$D$92,'2600'!A312,'Daftar Koreksi'!$G$5:$G$92,"Jalan Irigasi Jaringan",'Daftar Koreksi'!$H$5:$H$92,"&gt;0")</f>
        <v>0</v>
      </c>
      <c r="F319" s="25">
        <f>SUMIFS('Daftar Koreksi'!$H$5:$H$92,'Daftar Koreksi'!$D$5:$D$92,'2600'!A312,'Daftar Koreksi'!$G$5:$G$92,"Jalan Irigasi Jaringan",'Daftar Koreksi'!$H$5:$H$92,"&lt;0")-SUMIFS('Daftar Koreksi'!$H$5:$H$92,'Daftar Koreksi'!$D$5:$D$92,'2600'!A312,'Daftar Koreksi'!$G$5:$G$92,"Jalan Irigasi Jaringan",'Daftar Koreksi'!$H$5:$H$92,"&lt;0")-SUMIFS('Daftar Koreksi'!$H$5:$H$92,'Daftar Koreksi'!$D$5:$D$92,'2600'!A312,'Daftar Koreksi'!$G$5:$G$92,"Jalan Irigasi Jaringan",'Daftar Koreksi'!$H$5:$H$92,"&lt;0")</f>
        <v>0</v>
      </c>
      <c r="G319" s="17">
        <f t="shared" si="14"/>
        <v>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68459254</v>
      </c>
      <c r="E320" s="25">
        <f>SUMIFS('Daftar Koreksi'!$H$5:$H$92,'Daftar Koreksi'!$D$5:$D$92,'2600'!A312,'Daftar Koreksi'!$G$5:$G$92,"Aset Tetap Lainnya",'Daftar Koreksi'!$H$5:$H$92,"&gt;0")</f>
        <v>0</v>
      </c>
      <c r="F320" s="25">
        <f>SUMIFS('Daftar Koreksi'!$H$5:$H$92,'Daftar Koreksi'!$D$5:$D$92,'2600'!A312,'Daftar Koreksi'!$G$5:$G$92,"Aset Tetap Lainnya",'Daftar Koreksi'!$H$5:$H$92,"&lt;0")-SUMIFS('Daftar Koreksi'!$H$5:$H$92,'Daftar Koreksi'!$D$5:$D$92,'2600'!A312,'Daftar Koreksi'!$G$5:$G$92,"Aset Tetap Lainnya",'Daftar Koreksi'!$H$5:$H$92,"&lt;0")-SUMIFS('Daftar Koreksi'!$H$5:$H$92,'Daftar Koreksi'!$D$5:$D$92,'2600'!A312,'Daftar Koreksi'!$G$5:$G$92,"Aset Tetap Lainnya",'Daftar Koreksi'!$H$5:$H$92,"&lt;0")</f>
        <v>0</v>
      </c>
      <c r="G320" s="17">
        <f t="shared" si="14"/>
        <v>68459254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Koreksi'!$D$5:$D$92,'2600'!A312,'Daftar Koreksi'!$G$5:$G$92,"Kontruksi Dalam Pengerjaan",'Daftar Koreksi'!$H$5:$H$92,"&gt;0")</f>
        <v>0</v>
      </c>
      <c r="F321" s="25">
        <f>SUMIFS('Daftar Koreksi'!$H$5:$H$92,'Daftar Koreksi'!$D$5:$D$92,'2600'!A312,'Daftar Koreksi'!$G$5:$G$92,"Kontruksi Dalam Pengerjaan",'Daftar Koreksi'!$H$5:$H$92,"&lt;0")-SUMIFS('Daftar Koreksi'!$H$5:$H$92,'Daftar Koreksi'!$D$5:$D$92,'2600'!A312,'Daftar Koreksi'!$G$5:$G$92,"Kontruksi Dalam Pengerjaan",'Daftar Koreksi'!$H$5:$H$92,"&lt;0")-SUMIFS('Daftar Koreksi'!$H$5:$H$92,'Daftar Koreksi'!$D$5:$D$92,'2600'!A312,'Daftar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Koreksi'!$D$5:$D$92,'2600'!A312,'Daftar Koreksi'!$G$5:$G$92,"Aset Tak Berwujud",'Daftar Koreksi'!$H$5:$H$92,"&gt;0")</f>
        <v>0</v>
      </c>
      <c r="F322" s="25">
        <f>SUMIFS('Daftar Koreksi'!$H$5:$H$92,'Daftar Koreksi'!$D$5:$D$92,'2600'!A312,'Daftar Koreksi'!$G$5:$G$92,"Aset Tak Berwujud",'Daftar Koreksi'!$H$5:$H$92,"&lt;0")-SUMIFS('Daftar Koreksi'!$H$5:$H$92,'Daftar Koreksi'!$D$5:$D$92,'2600'!A312,'Daftar Koreksi'!$G$5:$G$92,"Aset Tak Berwujud",'Daftar Koreksi'!$H$5:$H$92,"&lt;0")-SUMIFS('Daftar Koreksi'!$H$5:$H$92,'Daftar Koreksi'!$D$5:$D$92,'2600'!A312,'Daftar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0</v>
      </c>
      <c r="E323" s="25">
        <f>SUMIFS('Daftar Koreksi'!$H$5:$H$92,'Daftar Koreksi'!$D$5:$D$92,'2600'!A312,'Daftar Koreksi'!$G$5:$G$92,"Aset Henti Guna",'Daftar Koreksi'!$H$5:$H$92,"&gt;0")</f>
        <v>0</v>
      </c>
      <c r="F323" s="25">
        <f>SUMIFS('Daftar Koreksi'!$H$5:$H$92,'Daftar Koreksi'!$D$5:$D$92,'2600'!A312,'Daftar Koreksi'!$G$5:$G$92,"Aset Henti Guna",'Daftar Koreksi'!$H$5:$H$92,"&lt;0")-SUMIFS('Daftar Koreksi'!$H$5:$H$92,'Daftar Koreksi'!$D$5:$D$92,'2600'!A312,'Daftar Koreksi'!$G$5:$G$92,"Aset Henti Guna",'Daftar Koreksi'!$H$5:$H$92,"&lt;0")-SUMIFS('Daftar Koreksi'!$H$5:$H$92,'Daftar Koreksi'!$D$5:$D$92,'2600'!A312,'Daftar Koreksi'!$G$5:$G$92,"Aset Henti Guna",'Daftar Koreksi'!$H$5:$H$92,"&lt;0")</f>
        <v>0</v>
      </c>
      <c r="G323" s="17">
        <f t="shared" si="14"/>
        <v>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7872110771</v>
      </c>
      <c r="E324" s="19">
        <f>SUM(E315:E323)</f>
        <v>0</v>
      </c>
      <c r="F324" s="19">
        <f>SUM(F315:F323)</f>
        <v>0</v>
      </c>
      <c r="G324" s="19">
        <f t="shared" si="14"/>
        <v>7872110771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-947738771</v>
      </c>
      <c r="E325" s="25">
        <f>SUMIFS('Daftar Koreksi'!$I$5:$I$92,'Daftar Koreksi'!$D$5:$D$92,'2600'!A312,'Daftar Koreksi'!$G$5:$G$92,"Peralatan dan mesin",'Daftar Koreksi'!$I$5:$I$92,"&gt;0")</f>
        <v>0</v>
      </c>
      <c r="F325" s="25">
        <f>SUMIFS('Daftar Koreksi'!$I$5:$I$92,'Daftar Koreksi'!$D$5:$D$92,'2600'!A312,'Daftar Koreksi'!$G$5:$G$92,"Peralatan dan mesin",'Daftar Koreksi'!$I$5:$I$92,"&lt;0")-SUMIFS('Daftar Koreksi'!$I$5:$I$92,'Daftar Koreksi'!$D$5:$D$92,'2600'!A312,'Daftar Koreksi'!$G$5:$G$92,"Peralatan dan mesin",'Daftar Koreksi'!$I$5:$I$92,"&lt;0")-SUMIFS('Daftar Koreksi'!$I$5:$I$92,'Daftar Koreksi'!$D$5:$D$92,'2600'!A312,'Daftar Koreksi'!$G$5:$G$92,"Peralatan dan mesin",'Daftar Koreksi'!$I$5:$I$92,"&lt;0")</f>
        <v>0</v>
      </c>
      <c r="G325" s="17">
        <f t="shared" si="14"/>
        <v>-947738771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-678392075</v>
      </c>
      <c r="E326" s="25">
        <f>SUMIFS('Daftar Koreksi'!$I$5:$I$92,'Daftar Koreksi'!$D$5:$D$92,'2600'!A312,'Daftar Koreksi'!$G$5:$G$92,"Gedung dan Bangunan",'Daftar Koreksi'!$I$5:$I$92,"&gt;0")</f>
        <v>0</v>
      </c>
      <c r="F326" s="25">
        <f>SUMIFS('Daftar Koreksi'!$I$5:$I$92,'Daftar Koreksi'!$D$5:$D$92,'2600'!A312,'Daftar Koreksi'!$G$5:$G$92,"Gedung dan Bangunan",'Daftar Koreksi'!$I$5:$I$92,"&lt;0")-SUMIFS('Daftar Koreksi'!$I$5:$I$92,'Daftar Koreksi'!$D$5:$D$92,'2600'!A312,'Daftar Koreksi'!$G$5:$G$92,"Gedung dan Bangunan",'Daftar Koreksi'!$I$5:$I$92,"&lt;0")-SUMIFS('Daftar Koreksi'!$I$5:$I$92,'Daftar Koreksi'!$D$5:$D$92,'2600'!A312,'Daftar Koreksi'!$G$5:$G$92,"Gedung dan Bangunan",'Daftar Koreksi'!$I$5:$I$92,"&lt;0")</f>
        <v>0</v>
      </c>
      <c r="G326" s="17">
        <f t="shared" si="14"/>
        <v>-678392075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Koreksi'!$D$5:$D$92,'2600'!A312,'Daftar Koreksi'!$G$5:$G$92,"Jalan Irigasi Jaringan",'Daftar Koreksi'!$I$5:$I$92,"&gt;0")</f>
        <v>0</v>
      </c>
      <c r="F327" s="25">
        <f>SUMIFS('Daftar Koreksi'!$I$5:$I$92,'Daftar Koreksi'!$D$5:$D$92,'2600'!A312,'Daftar Koreksi'!$G$5:$G$92,"Jalan Irigasi Jaringan",'Daftar Koreksi'!$I$5:$I$92,"&lt;0")-SUMIFS('Daftar Koreksi'!$I$5:$I$92,'Daftar Koreksi'!$D$5:$D$92,'2600'!A312,'Daftar Koreksi'!$G$5:$G$92,"Jalan Irigasi Jaringan",'Daftar Koreksi'!$I$5:$I$92,"&lt;0")-SUMIFS('Daftar Koreksi'!$I$5:$I$92,'Daftar Koreksi'!$D$5:$D$92,'2600'!A312,'Daftar Koreksi'!$G$5:$G$92,"Jalan Irigasi Jaringan",'Daftar Koreksi'!$I$5:$I$92,"&lt;0")</f>
        <v>0</v>
      </c>
      <c r="G327" s="17">
        <f t="shared" si="14"/>
        <v>0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Koreksi'!$D$5:$D$92,'2600'!A312,'Daftar Koreksi'!$G$5:$G$92,"Aset Tetap Lainnya",'Daftar Koreksi'!$I$5:$I$92,"&gt;0")</f>
        <v>0</v>
      </c>
      <c r="F328" s="25">
        <f>SUMIFS('Daftar Koreksi'!$I$5:$I$92,'Daftar Koreksi'!$D$5:$D$92,'2600'!A312,'Daftar Koreksi'!$G$5:$G$92,"Aset Tetap Lainnya",'Daftar Koreksi'!$I$5:$I$92,"&lt;0")-SUMIFS('Daftar Koreksi'!$I$5:$I$92,'Daftar Koreksi'!$D$5:$D$92,'2600'!A312,'Daftar Koreksi'!$G$5:$G$92,"Aset Tetap Lainnya",'Daftar Koreksi'!$I$5:$I$92,"&lt;0")-SUMIFS('Daftar Koreksi'!$I$5:$I$92,'Daftar Koreksi'!$D$5:$D$92,'2600'!A312,'Daftar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0</v>
      </c>
      <c r="E329" s="25">
        <f>SUMIFS('Daftar Koreksi'!$I$5:$I$92,'Daftar Koreksi'!$D$5:$D$92,'2600'!A312,'Daftar Koreksi'!$G$5:$G$92,"Aset Henti Guna",'Daftar Koreksi'!$I$5:$I$92,"&gt;0")</f>
        <v>0</v>
      </c>
      <c r="F329" s="25">
        <f>SUMIFS('Daftar Koreksi'!$I$5:$I$92,'Daftar Koreksi'!$D$5:$D$92,'2600'!A312,'Daftar Koreksi'!$G$5:$G$92,"Aset Henti Guna",'Daftar Koreksi'!$I$5:$I$92,"&lt;0")-SUMIFS('Daftar Koreksi'!$I$5:$I$92,'Daftar Koreksi'!$D$5:$D$92,'2600'!A312,'Daftar Koreksi'!$G$5:$G$92,"Aset Henti Guna",'Daftar Koreksi'!$I$5:$I$92,"&lt;0")-SUMIFS('Daftar Koreksi'!$I$5:$I$92,'Daftar Koreksi'!$D$5:$D$92,'2600'!A312,'Daftar Koreksi'!$G$5:$G$92,"Aset Henti Guna",'Daftar Koreksi'!$I$5:$I$92,"&lt;0")</f>
        <v>0</v>
      </c>
      <c r="G329" s="17">
        <f t="shared" si="14"/>
        <v>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-1626130846</v>
      </c>
      <c r="E330" s="19">
        <f>SUM(E325:E329)</f>
        <v>0</v>
      </c>
      <c r="F330" s="19">
        <f>SUM(F325:F329)</f>
        <v>0</v>
      </c>
      <c r="G330" s="19">
        <f t="shared" si="14"/>
        <v>-1626130846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6245979925</v>
      </c>
      <c r="E331" s="19">
        <f>E330+E324</f>
        <v>0</v>
      </c>
      <c r="F331" s="19">
        <f>F330+F324</f>
        <v>0</v>
      </c>
      <c r="G331" s="19">
        <f t="shared" si="14"/>
        <v>6245979925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005012600682253000KD</v>
      </c>
      <c r="B334" s="11" t="str">
        <f>P16</f>
        <v>PA. Lebong</v>
      </c>
      <c r="C334" s="12" t="str">
        <f>A334&amp;" "&amp;B334</f>
        <v>005012600682253000KD PA. Lebong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830000</v>
      </c>
      <c r="E337" s="25">
        <f>SUMIFS('Daftar Koreksi'!$H$5:$H$92,'Daftar Koreksi'!$D$5:$D$92,'2600'!A334,'Daftar Koreksi'!$G$5:$G$92,"Persediaan",'Daftar Koreksi'!$H$5:$H$92,"&gt;0")</f>
        <v>0</v>
      </c>
      <c r="F337" s="25">
        <f>SUMIFS('Daftar Koreksi'!$H$5:$H$92,'Daftar Koreksi'!$D$5:$D$92,'2600'!A334,'Daftar Koreksi'!$G$5:$G$92,"Persediaan",'Daftar Koreksi'!$H$5:$H$92,"&lt;0")-SUMIFS('Daftar Koreksi'!$H$5:$H$92,'Daftar Koreksi'!$D$5:$D$92,'2600'!A334,'Daftar Koreksi'!$G$5:$G$92,"Persediaan",'Daftar Koreksi'!$H$5:$H$92,"&lt;0")-SUMIFS('Daftar Koreksi'!$H$5:$H$92,'Daftar Koreksi'!$D$5:$D$92,'2600'!A334,'Daftar Koreksi'!$G$5:$G$92,"Persediaan",'Daftar Koreksi'!$H$5:$H$92,"&lt;0")</f>
        <v>0</v>
      </c>
      <c r="G337" s="17">
        <f>D337+E337-F337</f>
        <v>830000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676035000</v>
      </c>
      <c r="E338" s="25">
        <f>SUMIFS('Daftar Koreksi'!$H$5:$H$92,'Daftar Koreksi'!$D$5:$D$92,'2600'!A334,'Daftar Koreksi'!$G$5:$G$92,"Tanah",'Daftar Koreksi'!$H$5:$H$92,"&gt;0")</f>
        <v>0</v>
      </c>
      <c r="F338" s="25">
        <f>SUMIFS('Daftar Koreksi'!$H$5:$H$92,'Daftar Koreksi'!$D$5:$D$92,'2600'!A334,'Daftar Koreksi'!$G$5:$G$92,"Tanah",'Daftar Koreksi'!$H$5:$H$92,"&lt;0")-SUMIFS('Daftar Koreksi'!$H$5:$H$92,'Daftar Koreksi'!$D$5:$D$92,'2600'!A334,'Daftar Koreksi'!$G$5:$G$92,"Tanah",'Daftar Koreksi'!$H$5:$H$92,"&lt;0")-SUMIFS('Daftar Koreksi'!$H$5:$H$92,'Daftar Koreksi'!$D$5:$D$92,'2600'!A334,'Daftar Koreksi'!$G$5:$G$92,"Tanah",'Daftar Koreksi'!$H$5:$H$92,"&lt;0")</f>
        <v>0</v>
      </c>
      <c r="G338" s="17">
        <f t="shared" ref="G338:G354" si="15">D338+E338-F338</f>
        <v>676035000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1154410400</v>
      </c>
      <c r="E339" s="25">
        <f>SUMIFS('Daftar Koreksi'!$H$5:$H$92,'Daftar Koreksi'!$D$5:$D$92,'2600'!A334,'Daftar Koreksi'!$G$5:$G$92,"Peralatan dan mesin",'Daftar Koreksi'!$H$5:$H$92,"&gt;0")</f>
        <v>0</v>
      </c>
      <c r="F339" s="25">
        <f>SUMIFS('Daftar Koreksi'!$H$5:$H$92,'Daftar Koreksi'!$D$5:$D$92,'2600'!A334,'Daftar Koreksi'!$G$5:$G$92,"Peralatan dan mesin",'Daftar Koreksi'!$H$5:$H$92,"&lt;0")-SUMIFS('Daftar Koreksi'!$H$5:$H$92,'Daftar Koreksi'!$D$5:$D$92,'2600'!A334,'Daftar Koreksi'!$G$5:$G$92,"Peralatan dan mesin",'Daftar Koreksi'!$H$5:$H$92,"&lt;0")-SUMIFS('Daftar Koreksi'!$H$5:$H$92,'Daftar Koreksi'!$D$5:$D$92,'2600'!A334,'Daftar Koreksi'!$G$5:$G$92,"Peralatan dan mesin",'Daftar Koreksi'!$H$5:$H$92,"&lt;0")</f>
        <v>0</v>
      </c>
      <c r="G339" s="17">
        <f t="shared" si="15"/>
        <v>1154410400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5690502359</v>
      </c>
      <c r="E340" s="25">
        <f>SUMIFS('Daftar Koreksi'!$H$5:$H$92,'Daftar Koreksi'!$D$5:$D$92,'2600'!A334,'Daftar Koreksi'!$G$5:$G$92,"Gedung dan Bangunan",'Daftar Koreksi'!$H$5:$H$92,"&gt;0")</f>
        <v>0</v>
      </c>
      <c r="F340" s="25">
        <f>SUMIFS('Daftar Koreksi'!$H$5:$H$92,'Daftar Koreksi'!$D$5:$D$92,'2600'!A334,'Daftar Koreksi'!$G$5:$G$92,"Gedung dan Bangunan",'Daftar Koreksi'!$H$5:$H$92,"&lt;0")-SUMIFS('Daftar Koreksi'!$H$5:$H$92,'Daftar Koreksi'!$D$5:$D$92,'2600'!A334,'Daftar Koreksi'!$G$5:$G$92,"Gedung dan Bangunan",'Daftar Koreksi'!$H$5:$H$92,"&lt;0")-SUMIFS('Daftar Koreksi'!$H$5:$H$92,'Daftar Koreksi'!$D$5:$D$92,'2600'!A334,'Daftar Koreksi'!$G$5:$G$92,"Gedung dan Bangunan",'Daftar Koreksi'!$H$5:$H$92,"&lt;0")</f>
        <v>0</v>
      </c>
      <c r="G340" s="17">
        <f t="shared" si="15"/>
        <v>5690502359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0</v>
      </c>
      <c r="E341" s="25">
        <f>SUMIFS('Daftar Koreksi'!$H$5:$H$92,'Daftar Koreksi'!$D$5:$D$92,'2600'!A334,'Daftar Koreksi'!$G$5:$G$92,"Jalan Irigasi Jaringan",'Daftar Koreksi'!$H$5:$H$92,"&gt;0")</f>
        <v>0</v>
      </c>
      <c r="F341" s="25">
        <f>SUMIFS('Daftar Koreksi'!$H$5:$H$92,'Daftar Koreksi'!$D$5:$D$92,'2600'!A334,'Daftar Koreksi'!$G$5:$G$92,"Jalan Irigasi Jaringan",'Daftar Koreksi'!$H$5:$H$92,"&lt;0")-SUMIFS('Daftar Koreksi'!$H$5:$H$92,'Daftar Koreksi'!$D$5:$D$92,'2600'!A334,'Daftar Koreksi'!$G$5:$G$92,"Jalan Irigasi Jaringan",'Daftar Koreksi'!$H$5:$H$92,"&lt;0")-SUMIFS('Daftar Koreksi'!$H$5:$H$92,'Daftar Koreksi'!$D$5:$D$92,'2600'!A334,'Daftar Koreksi'!$G$5:$G$92,"Jalan Irigasi Jaringan",'Daftar Koreksi'!$H$5:$H$92,"&lt;0")</f>
        <v>0</v>
      </c>
      <c r="G341" s="17">
        <f t="shared" si="15"/>
        <v>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18150000</v>
      </c>
      <c r="E342" s="25">
        <f>SUMIFS('Daftar Koreksi'!$H$5:$H$92,'Daftar Koreksi'!$D$5:$D$92,'2600'!A334,'Daftar Koreksi'!$G$5:$G$92,"Aset Tetap Lainnya",'Daftar Koreksi'!$H$5:$H$92,"&gt;0")</f>
        <v>0</v>
      </c>
      <c r="F342" s="25">
        <f>SUMIFS('Daftar Koreksi'!$H$5:$H$92,'Daftar Koreksi'!$D$5:$D$92,'2600'!A334,'Daftar Koreksi'!$G$5:$G$92,"Aset Tetap Lainnya",'Daftar Koreksi'!$H$5:$H$92,"&lt;0")-SUMIFS('Daftar Koreksi'!$H$5:$H$92,'Daftar Koreksi'!$D$5:$D$92,'2600'!A334,'Daftar Koreksi'!$G$5:$G$92,"Aset Tetap Lainnya",'Daftar Koreksi'!$H$5:$H$92,"&lt;0")-SUMIFS('Daftar Koreksi'!$H$5:$H$92,'Daftar Koreksi'!$D$5:$D$92,'2600'!A334,'Daftar Koreksi'!$G$5:$G$92,"Aset Tetap Lainnya",'Daftar Koreksi'!$H$5:$H$92,"&lt;0")</f>
        <v>0</v>
      </c>
      <c r="G342" s="17">
        <f t="shared" si="15"/>
        <v>18150000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Koreksi'!$D$5:$D$92,'2600'!A334,'Daftar Koreksi'!$G$5:$G$92,"Kontruksi Dalam Pengerjaan",'Daftar Koreksi'!$H$5:$H$92,"&gt;0")</f>
        <v>0</v>
      </c>
      <c r="F343" s="25">
        <f>SUMIFS('Daftar Koreksi'!$H$5:$H$92,'Daftar Koreksi'!$D$5:$D$92,'2600'!A334,'Daftar Koreksi'!$G$5:$G$92,"Kontruksi Dalam Pengerjaan",'Daftar Koreksi'!$H$5:$H$92,"&lt;0")-SUMIFS('Daftar Koreksi'!$H$5:$H$92,'Daftar Koreksi'!$D$5:$D$92,'2600'!A334,'Daftar Koreksi'!$G$5:$G$92,"Kontruksi Dalam Pengerjaan",'Daftar Koreksi'!$H$5:$H$92,"&lt;0")-SUMIFS('Daftar Koreksi'!$H$5:$H$92,'Daftar Koreksi'!$D$5:$D$92,'2600'!A334,'Daftar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Koreksi'!$D$5:$D$92,'2600'!A334,'Daftar Koreksi'!$G$5:$G$92,"Aset Tak Berwujud",'Daftar Koreksi'!$H$5:$H$92,"&gt;0")</f>
        <v>0</v>
      </c>
      <c r="F344" s="25">
        <f>SUMIFS('Daftar Koreksi'!$H$5:$H$92,'Daftar Koreksi'!$D$5:$D$92,'2600'!A334,'Daftar Koreksi'!$G$5:$G$92,"Aset Tak Berwujud",'Daftar Koreksi'!$H$5:$H$92,"&lt;0")-SUMIFS('Daftar Koreksi'!$H$5:$H$92,'Daftar Koreksi'!$D$5:$D$92,'2600'!A334,'Daftar Koreksi'!$G$5:$G$92,"Aset Tak Berwujud",'Daftar Koreksi'!$H$5:$H$92,"&lt;0")-SUMIFS('Daftar Koreksi'!$H$5:$H$92,'Daftar Koreksi'!$D$5:$D$92,'2600'!A334,'Daftar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0</v>
      </c>
      <c r="E345" s="25">
        <f>SUMIFS('Daftar Koreksi'!$H$5:$H$92,'Daftar Koreksi'!$D$5:$D$92,'2600'!A334,'Daftar Koreksi'!$G$5:$G$92,"Aset Henti Guna",'Daftar Koreksi'!$H$5:$H$92,"&gt;0")</f>
        <v>0</v>
      </c>
      <c r="F345" s="25">
        <f>SUMIFS('Daftar Koreksi'!$H$5:$H$92,'Daftar Koreksi'!$D$5:$D$92,'2600'!A334,'Daftar Koreksi'!$G$5:$G$92,"Aset Henti Guna",'Daftar Koreksi'!$H$5:$H$92,"&lt;0")-SUMIFS('Daftar Koreksi'!$H$5:$H$92,'Daftar Koreksi'!$D$5:$D$92,'2600'!A334,'Daftar Koreksi'!$G$5:$G$92,"Aset Henti Guna",'Daftar Koreksi'!$H$5:$H$92,"&lt;0")-SUMIFS('Daftar Koreksi'!$H$5:$H$92,'Daftar Koreksi'!$D$5:$D$92,'2600'!A334,'Daftar Koreksi'!$G$5:$G$92,"Aset Henti Guna",'Daftar Koreksi'!$H$5:$H$92,"&lt;0")</f>
        <v>0</v>
      </c>
      <c r="G345" s="17">
        <f t="shared" si="15"/>
        <v>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7539927759</v>
      </c>
      <c r="E346" s="19">
        <f>SUM(E337:E345)</f>
        <v>0</v>
      </c>
      <c r="F346" s="19">
        <f>SUM(F337:F345)</f>
        <v>0</v>
      </c>
      <c r="G346" s="19">
        <f t="shared" si="15"/>
        <v>7539927759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-355971171</v>
      </c>
      <c r="E347" s="25">
        <f>SUMIFS('Daftar Koreksi'!$I$5:$I$92,'Daftar Koreksi'!$D$5:$D$92,'2600'!A334,'Daftar Koreksi'!$G$5:$G$92,"Peralatan dan mesin",'Daftar Koreksi'!$I$5:$I$92,"&gt;0")</f>
        <v>0</v>
      </c>
      <c r="F347" s="25">
        <f>SUMIFS('Daftar Koreksi'!$I$5:$I$92,'Daftar Koreksi'!$D$5:$D$92,'2600'!A334,'Daftar Koreksi'!$G$5:$G$92,"Peralatan dan mesin",'Daftar Koreksi'!$I$5:$I$92,"&lt;0")-SUMIFS('Daftar Koreksi'!$I$5:$I$92,'Daftar Koreksi'!$D$5:$D$92,'2600'!A334,'Daftar Koreksi'!$G$5:$G$92,"Peralatan dan mesin",'Daftar Koreksi'!$I$5:$I$92,"&lt;0")-SUMIFS('Daftar Koreksi'!$I$5:$I$92,'Daftar Koreksi'!$D$5:$D$92,'2600'!A334,'Daftar Koreksi'!$G$5:$G$92,"Peralatan dan mesin",'Daftar Koreksi'!$I$5:$I$92,"&lt;0")</f>
        <v>0</v>
      </c>
      <c r="G347" s="17">
        <f t="shared" si="15"/>
        <v>-355971171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-256572319</v>
      </c>
      <c r="E348" s="25">
        <f>SUMIFS('Daftar Koreksi'!$I$5:$I$92,'Daftar Koreksi'!$D$5:$D$92,'2600'!A334,'Daftar Koreksi'!$G$5:$G$92,"Gedung dan Bangunan",'Daftar Koreksi'!$I$5:$I$92,"&gt;0")</f>
        <v>0</v>
      </c>
      <c r="F348" s="25">
        <f>SUMIFS('Daftar Koreksi'!$I$5:$I$92,'Daftar Koreksi'!$D$5:$D$92,'2600'!A334,'Daftar Koreksi'!$G$5:$G$92,"Gedung dan Bangunan",'Daftar Koreksi'!$I$5:$I$92,"&lt;0")-SUMIFS('Daftar Koreksi'!$I$5:$I$92,'Daftar Koreksi'!$D$5:$D$92,'2600'!A334,'Daftar Koreksi'!$G$5:$G$92,"Gedung dan Bangunan",'Daftar Koreksi'!$I$5:$I$92,"&lt;0")-SUMIFS('Daftar Koreksi'!$I$5:$I$92,'Daftar Koreksi'!$D$5:$D$92,'2600'!A334,'Daftar Koreksi'!$G$5:$G$92,"Gedung dan Bangunan",'Daftar Koreksi'!$I$5:$I$92,"&lt;0")</f>
        <v>0</v>
      </c>
      <c r="G348" s="17">
        <f t="shared" si="15"/>
        <v>-256572319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0</v>
      </c>
      <c r="E349" s="25">
        <f>SUMIFS('Daftar Koreksi'!$I$5:$I$92,'Daftar Koreksi'!$D$5:$D$92,'2600'!A334,'Daftar Koreksi'!$G$5:$G$92,"Jalan Irigasi Jaringan",'Daftar Koreksi'!$I$5:$I$92,"&gt;0")</f>
        <v>0</v>
      </c>
      <c r="F349" s="25">
        <f>SUMIFS('Daftar Koreksi'!$I$5:$I$92,'Daftar Koreksi'!$D$5:$D$92,'2600'!A334,'Daftar Koreksi'!$G$5:$G$92,"Jalan Irigasi Jaringan",'Daftar Koreksi'!$I$5:$I$92,"&lt;0")-SUMIFS('Daftar Koreksi'!$I$5:$I$92,'Daftar Koreksi'!$D$5:$D$92,'2600'!A334,'Daftar Koreksi'!$G$5:$G$92,"Jalan Irigasi Jaringan",'Daftar Koreksi'!$I$5:$I$92,"&lt;0")-SUMIFS('Daftar Koreksi'!$I$5:$I$92,'Daftar Koreksi'!$D$5:$D$92,'2600'!A334,'Daftar Koreksi'!$G$5:$G$92,"Jalan Irigasi Jaringan",'Daftar Koreksi'!$I$5:$I$92,"&lt;0")</f>
        <v>0</v>
      </c>
      <c r="G349" s="17">
        <f t="shared" si="15"/>
        <v>0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Koreksi'!$D$5:$D$92,'2600'!A334,'Daftar Koreksi'!$G$5:$G$92,"Aset Tetap Lainnya",'Daftar Koreksi'!$I$5:$I$92,"&gt;0")</f>
        <v>0</v>
      </c>
      <c r="F350" s="25">
        <f>SUMIFS('Daftar Koreksi'!$I$5:$I$92,'Daftar Koreksi'!$D$5:$D$92,'2600'!A334,'Daftar Koreksi'!$G$5:$G$92,"Aset Tetap Lainnya",'Daftar Koreksi'!$I$5:$I$92,"&lt;0")-SUMIFS('Daftar Koreksi'!$I$5:$I$92,'Daftar Koreksi'!$D$5:$D$92,'2600'!A334,'Daftar Koreksi'!$G$5:$G$92,"Aset Tetap Lainnya",'Daftar Koreksi'!$I$5:$I$92,"&lt;0")-SUMIFS('Daftar Koreksi'!$I$5:$I$92,'Daftar Koreksi'!$D$5:$D$92,'2600'!A334,'Daftar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0</v>
      </c>
      <c r="E351" s="25">
        <f>SUMIFS('Daftar Koreksi'!$I$5:$I$92,'Daftar Koreksi'!$D$5:$D$92,'2600'!A334,'Daftar Koreksi'!$G$5:$G$92,"Aset Henti Guna",'Daftar Koreksi'!$I$5:$I$92,"&gt;0")</f>
        <v>0</v>
      </c>
      <c r="F351" s="25">
        <f>SUMIFS('Daftar Koreksi'!$I$5:$I$92,'Daftar Koreksi'!$D$5:$D$92,'2600'!A334,'Daftar Koreksi'!$G$5:$G$92,"Aset Henti Guna",'Daftar Koreksi'!$I$5:$I$92,"&lt;0")-SUMIFS('Daftar Koreksi'!$I$5:$I$92,'Daftar Koreksi'!$D$5:$D$92,'2600'!A334,'Daftar Koreksi'!$G$5:$G$92,"Aset Henti Guna",'Daftar Koreksi'!$I$5:$I$92,"&lt;0")-SUMIFS('Daftar Koreksi'!$I$5:$I$92,'Daftar Koreksi'!$D$5:$D$92,'2600'!A334,'Daftar Koreksi'!$G$5:$G$92,"Aset Henti Guna",'Daftar Koreksi'!$I$5:$I$92,"&lt;0")</f>
        <v>0</v>
      </c>
      <c r="G351" s="17">
        <f t="shared" si="15"/>
        <v>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-612543490</v>
      </c>
      <c r="E352" s="19">
        <f>SUM(E347:E351)</f>
        <v>0</v>
      </c>
      <c r="F352" s="19">
        <f>SUM(F347:F351)</f>
        <v>0</v>
      </c>
      <c r="G352" s="19">
        <f t="shared" si="15"/>
        <v>-612543490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6927384269</v>
      </c>
      <c r="E353" s="19">
        <f>E352+E346</f>
        <v>0</v>
      </c>
      <c r="F353" s="19">
        <f>F352+F346</f>
        <v>0</v>
      </c>
      <c r="G353" s="19">
        <f t="shared" si="15"/>
        <v>6927384269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</sheetData>
  <mergeCells count="96">
    <mergeCell ref="H337:H354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91:C292"/>
    <mergeCell ref="D291:D292"/>
    <mergeCell ref="E291:F291"/>
    <mergeCell ref="G291:G292"/>
    <mergeCell ref="H291:H292"/>
    <mergeCell ref="C269:C270"/>
    <mergeCell ref="D269:D270"/>
    <mergeCell ref="E269:F269"/>
    <mergeCell ref="G269:G270"/>
    <mergeCell ref="H269:H270"/>
    <mergeCell ref="C335:C336"/>
    <mergeCell ref="D335:D336"/>
    <mergeCell ref="E335:F335"/>
    <mergeCell ref="G335:G336"/>
    <mergeCell ref="H335:H336"/>
    <mergeCell ref="C313:C314"/>
    <mergeCell ref="D313:D314"/>
    <mergeCell ref="E313:F313"/>
    <mergeCell ref="G313:G314"/>
    <mergeCell ref="H313:H314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P222"/>
  <sheetViews>
    <sheetView view="pageBreakPreview" topLeftCell="C214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" style="8" bestFit="1" customWidth="1"/>
    <col min="11" max="11" width="13.28515625" style="8" bestFit="1" customWidth="1"/>
    <col min="12" max="12" width="11" style="8" bestFit="1" customWidth="1"/>
    <col min="13" max="13" width="12.140625" style="8" bestFit="1" customWidth="1"/>
    <col min="14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767</v>
      </c>
      <c r="P1" s="8" t="s">
        <v>1903</v>
      </c>
    </row>
    <row r="2" spans="1:16" ht="19.5" customHeight="1">
      <c r="C2" s="9" t="s">
        <v>2123</v>
      </c>
      <c r="O2" s="8" t="s">
        <v>768</v>
      </c>
      <c r="P2" s="8" t="s">
        <v>1904</v>
      </c>
    </row>
    <row r="3" spans="1:16" ht="19.5" customHeight="1">
      <c r="O3" s="8" t="s">
        <v>769</v>
      </c>
      <c r="P3" s="8" t="s">
        <v>1905</v>
      </c>
    </row>
    <row r="4" spans="1:16" ht="19.5" customHeight="1">
      <c r="A4" s="11" t="str">
        <f>O1</f>
        <v>005012800099731000KD</v>
      </c>
      <c r="B4" s="11" t="str">
        <f>P1</f>
        <v>PN. Ternate</v>
      </c>
      <c r="C4" s="12" t="str">
        <f>A4&amp;" "&amp;B4</f>
        <v>005012800099731000KD PN. Ternate</v>
      </c>
      <c r="D4" s="13"/>
      <c r="E4" s="13"/>
      <c r="F4" s="13"/>
      <c r="G4" s="13"/>
      <c r="H4" s="11"/>
      <c r="O4" s="8" t="s">
        <v>770</v>
      </c>
      <c r="P4" s="8" t="s">
        <v>1906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771</v>
      </c>
      <c r="P5" s="8" t="s">
        <v>1907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772</v>
      </c>
      <c r="P6" s="8" t="s">
        <v>1908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0</v>
      </c>
      <c r="E7" s="25">
        <f>SUMIFS('Daftar Koreksi'!$H$5:$H$92,'Daftar Koreksi'!$D$5:$D$92,'2800'!A4,'Daftar Koreksi'!$G$5:$G$92,"Persediaan",'Daftar Koreksi'!$H$5:$H$92,"&gt;0")</f>
        <v>0</v>
      </c>
      <c r="F7" s="25">
        <f>SUMIFS('Daftar Koreksi'!$H$5:$H$92,'Daftar Koreksi'!$D$5:$D$92,'2800'!A4,'Daftar Koreksi'!$G$5:$G$92,"Persediaan",'Daftar Koreksi'!$H$5:$H$92,"&lt;0")-SUMIFS('Daftar Koreksi'!$H$5:$H$92,'Daftar Koreksi'!$D$5:$D$92,'2800'!A4,'Daftar Koreksi'!$G$5:$G$92,"Persediaan",'Daftar Koreksi'!$H$5:$H$92,"&lt;0")-SUMIFS('Daftar Koreksi'!$H$5:$H$92,'Daftar Koreksi'!$D$5:$D$92,'2800'!A4,'Daftar Koreksi'!$G$5:$G$92,"Persediaan",'Daftar Koreksi'!$H$5:$H$92,"&lt;0")</f>
        <v>0</v>
      </c>
      <c r="G7" s="17">
        <f>D7+E7-F7</f>
        <v>0</v>
      </c>
      <c r="H7" s="121" t="str">
        <f>IF(ISNA(VLOOKUP(A4,'Mutasi Neraca'!$A$3:$S$914,19,FALSE)),"-",VLOOKUP(A4,'Mutasi Neraca'!$A$3:$S$914,19,FALSE))</f>
        <v>-</v>
      </c>
      <c r="I7" s="28"/>
      <c r="J7" s="28"/>
      <c r="O7" s="8" t="s">
        <v>773</v>
      </c>
      <c r="P7" s="8" t="s">
        <v>1909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4697762000</v>
      </c>
      <c r="E8" s="25">
        <f>SUMIFS('Daftar Koreksi'!$H$5:$H$92,'Daftar Koreksi'!$D$5:$D$92,'2800'!A4,'Daftar Koreksi'!$G$5:$G$92,"Tanah",'Daftar Koreksi'!$H$5:$H$92,"&gt;0")</f>
        <v>0</v>
      </c>
      <c r="F8" s="25">
        <f>SUMIFS('Daftar Koreksi'!$H$5:$H$92,'Daftar Koreksi'!$D$5:$D$92,'2800'!A4,'Daftar Koreksi'!$G$5:$G$92,"Tanah",'Daftar Koreksi'!$H$5:$H$92,"&lt;0")-SUMIFS('Daftar Koreksi'!$H$5:$H$92,'Daftar Koreksi'!$D$5:$D$92,'2800'!A4,'Daftar Koreksi'!$G$5:$G$92,"Tanah",'Daftar Koreksi'!$H$5:$H$92,"&lt;0")-SUMIFS('Daftar Koreksi'!$H$5:$H$92,'Daftar Koreksi'!$D$5:$D$92,'2800'!A4,'Daftar Koreksi'!$G$5:$G$92,"Tanah",'Daftar Koreksi'!$H$5:$H$92,"&lt;0")</f>
        <v>0</v>
      </c>
      <c r="G8" s="17">
        <f t="shared" ref="G8:G24" si="0">D8+E8-F8</f>
        <v>4697762000</v>
      </c>
      <c r="H8" s="122"/>
      <c r="I8" s="28"/>
      <c r="J8" s="28"/>
      <c r="O8" s="8" t="s">
        <v>774</v>
      </c>
      <c r="P8" s="8" t="s">
        <v>1910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5264629916</v>
      </c>
      <c r="E9" s="25">
        <f>SUMIFS('Daftar Koreksi'!$H$5:$H$92,'Daftar Koreksi'!$D$5:$D$92,'2800'!A4,'Daftar Koreksi'!$G$5:$G$92,"Peralatan dan mesin",'Daftar Koreksi'!$H$5:$H$92,"&gt;0")</f>
        <v>0</v>
      </c>
      <c r="F9" s="25">
        <f>SUMIFS('Daftar Koreksi'!$H$5:$H$92,'Daftar Koreksi'!$D$5:$D$92,'2800'!A4,'Daftar Koreksi'!$G$5:$G$92,"Peralatan dan mesin",'Daftar Koreksi'!$H$5:$H$92,"&lt;0")-SUMIFS('Daftar Koreksi'!$H$5:$H$92,'Daftar Koreksi'!$D$5:$D$92,'2800'!A4,'Daftar Koreksi'!$G$5:$G$92,"Peralatan dan mesin",'Daftar Koreksi'!$H$5:$H$92,"&lt;0")-SUMIFS('Daftar Koreksi'!$H$5:$H$92,'Daftar Koreksi'!$D$5:$D$92,'2800'!A4,'Daftar Koreksi'!$G$5:$G$92,"Peralatan dan mesin",'Daftar Koreksi'!$H$5:$H$92,"&lt;0")</f>
        <v>0</v>
      </c>
      <c r="G9" s="17">
        <f t="shared" si="0"/>
        <v>5264629916</v>
      </c>
      <c r="H9" s="122"/>
      <c r="I9" s="28"/>
      <c r="J9" s="28"/>
      <c r="O9" s="8" t="s">
        <v>775</v>
      </c>
      <c r="P9" s="8" t="s">
        <v>1911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1067201000</v>
      </c>
      <c r="E10" s="25">
        <f>SUMIFS('Daftar Koreksi'!$H$5:$H$92,'Daftar Koreksi'!$D$5:$D$92,'2800'!A4,'Daftar Koreksi'!$G$5:$G$92,"Gedung dan Bangunan",'Daftar Koreksi'!$H$5:$H$92,"&gt;0")</f>
        <v>0</v>
      </c>
      <c r="F10" s="25">
        <f>SUMIFS('Daftar Koreksi'!$H$5:$H$92,'Daftar Koreksi'!$D$5:$D$92,'2800'!A4,'Daftar Koreksi'!$G$5:$G$92,"Gedung dan Bangunan",'Daftar Koreksi'!$H$5:$H$92,"&lt;0")-SUMIFS('Daftar Koreksi'!$H$5:$H$92,'Daftar Koreksi'!$D$5:$D$92,'2800'!A4,'Daftar Koreksi'!$G$5:$G$92,"Gedung dan Bangunan",'Daftar Koreksi'!$H$5:$H$92,"&lt;0")-SUMIFS('Daftar Koreksi'!$H$5:$H$92,'Daftar Koreksi'!$D$5:$D$92,'2800'!A4,'Daftar Koreksi'!$G$5:$G$92,"Gedung dan Bangunan",'Daftar Koreksi'!$H$5:$H$92,"&lt;0")</f>
        <v>0</v>
      </c>
      <c r="G10" s="17">
        <f t="shared" si="0"/>
        <v>1067201000</v>
      </c>
      <c r="H10" s="122"/>
      <c r="I10" s="28"/>
      <c r="J10" s="28"/>
      <c r="O10" s="8" t="s">
        <v>776</v>
      </c>
      <c r="P10" s="8" t="s">
        <v>1912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171076312</v>
      </c>
      <c r="E11" s="25">
        <f>SUMIFS('Daftar Koreksi'!$H$5:$H$92,'Daftar Koreksi'!$D$5:$D$92,'2800'!A4,'Daftar Koreksi'!$G$5:$G$92,"Jalan Irigasi Jaringan",'Daftar Koreksi'!$H$5:$H$92,"&gt;0")</f>
        <v>0</v>
      </c>
      <c r="F11" s="25">
        <f>SUMIFS('Daftar Koreksi'!$H$5:$H$92,'Daftar Koreksi'!$D$5:$D$92,'2800'!A4,'Daftar Koreksi'!$G$5:$G$92,"Jalan Irigasi Jaringan",'Daftar Koreksi'!$H$5:$H$92,"&lt;0")-SUMIFS('Daftar Koreksi'!$H$5:$H$92,'Daftar Koreksi'!$D$5:$D$92,'2800'!A4,'Daftar Koreksi'!$G$5:$G$92,"Jalan Irigasi Jaringan",'Daftar Koreksi'!$H$5:$H$92,"&lt;0")-SUMIFS('Daftar Koreksi'!$H$5:$H$92,'Daftar Koreksi'!$D$5:$D$92,'2800'!A4,'Daftar Koreksi'!$G$5:$G$92,"Jalan Irigasi Jaringan",'Daftar Koreksi'!$H$5:$H$92,"&lt;0")</f>
        <v>0</v>
      </c>
      <c r="G11" s="17">
        <f t="shared" si="0"/>
        <v>171076312</v>
      </c>
      <c r="H11" s="122"/>
      <c r="I11" s="28"/>
      <c r="J11" s="28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25262116</v>
      </c>
      <c r="E12" s="25">
        <f>SUMIFS('Daftar Koreksi'!$H$5:$H$92,'Daftar Koreksi'!$D$5:$D$92,'2800'!A4,'Daftar Koreksi'!$G$5:$G$92,"Aset Tetap Lainnya",'Daftar Koreksi'!$H$5:$H$92,"&gt;0")</f>
        <v>0</v>
      </c>
      <c r="F12" s="25">
        <f>SUMIFS('Daftar Koreksi'!$H$5:$H$92,'Daftar Koreksi'!$D$5:$D$92,'2800'!A4,'Daftar Koreksi'!$G$5:$G$92,"Aset Tetap Lainnya",'Daftar Koreksi'!$H$5:$H$92,"&lt;0")-SUMIFS('Daftar Koreksi'!$H$5:$H$92,'Daftar Koreksi'!$D$5:$D$92,'2800'!A4,'Daftar Koreksi'!$G$5:$G$92,"Aset Tetap Lainnya",'Daftar Koreksi'!$H$5:$H$92,"&lt;0")-SUMIFS('Daftar Koreksi'!$H$5:$H$92,'Daftar Koreksi'!$D$5:$D$92,'2800'!A4,'Daftar Koreksi'!$G$5:$G$92,"Aset Tetap Lainnya",'Daftar Koreksi'!$H$5:$H$92,"&lt;0")</f>
        <v>0</v>
      </c>
      <c r="G12" s="17">
        <f t="shared" si="0"/>
        <v>25262116</v>
      </c>
      <c r="H12" s="122"/>
      <c r="I12" s="28"/>
      <c r="J12" s="28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20495342274</v>
      </c>
      <c r="E13" s="25">
        <f>SUMIFS('Daftar Koreksi'!$H$5:$H$92,'Daftar Koreksi'!$D$5:$D$92,'2800'!A4,'Daftar Koreksi'!$G$5:$G$92,"Kontruksi Dalam Pengerjaan",'Daftar Koreksi'!$H$5:$H$92,"&gt;0")</f>
        <v>0</v>
      </c>
      <c r="F13" s="25">
        <f>SUMIFS('Daftar Koreksi'!$H$5:$H$92,'Daftar Koreksi'!$D$5:$D$92,'2800'!A4,'Daftar Koreksi'!$G$5:$G$92,"Kontruksi Dalam Pengerjaan",'Daftar Koreksi'!$H$5:$H$92,"&lt;0")-SUMIFS('Daftar Koreksi'!$H$5:$H$92,'Daftar Koreksi'!$D$5:$D$92,'2800'!A4,'Daftar Koreksi'!$G$5:$G$92,"Kontruksi Dalam Pengerjaan",'Daftar Koreksi'!$H$5:$H$92,"&lt;0")-SUMIFS('Daftar Koreksi'!$H$5:$H$92,'Daftar Koreksi'!$D$5:$D$92,'2800'!A4,'Daftar Koreksi'!$G$5:$G$92,"Kontruksi Dalam Pengerjaan",'Daftar Koreksi'!$H$5:$H$92,"&lt;0")</f>
        <v>0</v>
      </c>
      <c r="G13" s="17">
        <f t="shared" si="0"/>
        <v>20495342274</v>
      </c>
      <c r="H13" s="122"/>
      <c r="I13" s="28"/>
      <c r="J13" s="28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Koreksi'!$D$5:$D$92,'2800'!A4,'Daftar Koreksi'!$G$5:$G$92,"Aset Tak Berwujud",'Daftar Koreksi'!$H$5:$H$92,"&gt;0")</f>
        <v>0</v>
      </c>
      <c r="F14" s="25">
        <f>SUMIFS('Daftar Koreksi'!$H$5:$H$92,'Daftar Koreksi'!$D$5:$D$92,'2800'!A4,'Daftar Koreksi'!$G$5:$G$92,"Aset Tak Berwujud",'Daftar Koreksi'!$H$5:$H$92,"&lt;0")-SUMIFS('Daftar Koreksi'!$H$5:$H$92,'Daftar Koreksi'!$D$5:$D$92,'2800'!A4,'Daftar Koreksi'!$G$5:$G$92,"Aset Tak Berwujud",'Daftar Koreksi'!$H$5:$H$92,"&lt;0")-SUMIFS('Daftar Koreksi'!$H$5:$H$92,'Daftar Koreksi'!$D$5:$D$92,'2800'!A4,'Daftar Koreksi'!$G$5:$G$92,"Aset Tak Berwujud",'Daftar Koreksi'!$H$5:$H$92,"&lt;0")</f>
        <v>0</v>
      </c>
      <c r="G14" s="17">
        <f t="shared" si="0"/>
        <v>0</v>
      </c>
      <c r="H14" s="122"/>
      <c r="I14" s="28"/>
      <c r="J14" s="28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87480000</v>
      </c>
      <c r="E15" s="25">
        <f>SUMIFS('Daftar Koreksi'!$H$5:$H$92,'Daftar Koreksi'!$D$5:$D$92,'2800'!A4,'Daftar Koreksi'!$G$5:$G$92,"Aset Henti Guna",'Daftar Koreksi'!$H$5:$H$92,"&gt;0")</f>
        <v>0</v>
      </c>
      <c r="F15" s="25">
        <f>SUMIFS('Daftar Koreksi'!$H$5:$H$92,'Daftar Koreksi'!$D$5:$D$92,'2800'!A4,'Daftar Koreksi'!$G$5:$G$92,"Aset Henti Guna",'Daftar Koreksi'!$H$5:$H$92,"&lt;0")-SUMIFS('Daftar Koreksi'!$H$5:$H$92,'Daftar Koreksi'!$D$5:$D$92,'2800'!A4,'Daftar Koreksi'!$G$5:$G$92,"Aset Henti Guna",'Daftar Koreksi'!$H$5:$H$92,"&lt;0")-SUMIFS('Daftar Koreksi'!$H$5:$H$92,'Daftar Koreksi'!$D$5:$D$92,'2800'!A4,'Daftar Koreksi'!$G$5:$G$92,"Aset Henti Guna",'Daftar Koreksi'!$H$5:$H$92,"&lt;0")</f>
        <v>0</v>
      </c>
      <c r="G15" s="17">
        <f t="shared" si="0"/>
        <v>87480000</v>
      </c>
      <c r="H15" s="122"/>
      <c r="I15" s="28"/>
      <c r="J15" s="28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31808753618</v>
      </c>
      <c r="E16" s="19">
        <f>SUM(E7:E15)</f>
        <v>0</v>
      </c>
      <c r="F16" s="19">
        <f>SUM(F7:F15)</f>
        <v>0</v>
      </c>
      <c r="G16" s="19">
        <f t="shared" si="0"/>
        <v>31808753618</v>
      </c>
      <c r="H16" s="122"/>
      <c r="I16" s="28"/>
      <c r="J16" s="28"/>
    </row>
    <row r="17" spans="1:10" ht="21.95" customHeight="1">
      <c r="A17" s="14"/>
      <c r="B17" s="14"/>
      <c r="C17" s="16" t="s">
        <v>2087</v>
      </c>
      <c r="D17" s="17">
        <f>VLOOKUP(A4,'Neraca Unaudited SIMAK'!$A$2:$S$10004,13,FALSE)</f>
        <v>-3314564799</v>
      </c>
      <c r="E17" s="25">
        <f>SUMIFS('Daftar Koreksi'!$I$5:$I$92,'Daftar Koreksi'!$D$5:$D$92,'2800'!A4,'Daftar Koreksi'!$G$5:$G$92,"Peralatan dan mesin",'Daftar Koreksi'!$I$5:$I$92,"&gt;0")</f>
        <v>0</v>
      </c>
      <c r="F17" s="25">
        <f>SUMIFS('Daftar Koreksi'!$I$5:$I$92,'Daftar Koreksi'!$D$5:$D$92,'2800'!A4,'Daftar Koreksi'!$G$5:$G$92,"Peralatan dan mesin",'Daftar Koreksi'!$I$5:$I$92,"&lt;0")-SUMIFS('Daftar Koreksi'!$I$5:$I$92,'Daftar Koreksi'!$D$5:$D$92,'2800'!A4,'Daftar Koreksi'!$G$5:$G$92,"Peralatan dan mesin",'Daftar Koreksi'!$I$5:$I$92,"&lt;0")-SUMIFS('Daftar Koreksi'!$I$5:$I$92,'Daftar Koreksi'!$D$5:$D$92,'2800'!A4,'Daftar Koreksi'!$G$5:$G$92,"Peralatan dan mesin",'Daftar Koreksi'!$I$5:$I$92,"&lt;0")</f>
        <v>0</v>
      </c>
      <c r="G17" s="17">
        <f t="shared" si="0"/>
        <v>-3314564799</v>
      </c>
      <c r="H17" s="122"/>
      <c r="I17" s="28"/>
      <c r="J17" s="28"/>
    </row>
    <row r="18" spans="1:10" ht="21.95" customHeight="1">
      <c r="A18" s="14"/>
      <c r="B18" s="14"/>
      <c r="C18" s="16" t="s">
        <v>2088</v>
      </c>
      <c r="D18" s="17">
        <f>VLOOKUP(A4,'Neraca Unaudited SIMAK'!$A$2:$S$10004,14,FALSE)</f>
        <v>-237746492</v>
      </c>
      <c r="E18" s="25">
        <f>SUMIFS('Daftar Koreksi'!$I$5:$I$92,'Daftar Koreksi'!$D$5:$D$92,'2800'!A4,'Daftar Koreksi'!$G$5:$G$92,"Gedung dan Bangunan",'Daftar Koreksi'!$I$5:$I$92,"&gt;0")</f>
        <v>0</v>
      </c>
      <c r="F18" s="25">
        <f>SUMIFS('Daftar Koreksi'!$I$5:$I$92,'Daftar Koreksi'!$D$5:$D$92,'2800'!A4,'Daftar Koreksi'!$G$5:$G$92,"Gedung dan Bangunan",'Daftar Koreksi'!$I$5:$I$92,"&lt;0")-SUMIFS('Daftar Koreksi'!$I$5:$I$92,'Daftar Koreksi'!$D$5:$D$92,'2800'!A4,'Daftar Koreksi'!$G$5:$G$92,"Gedung dan Bangunan",'Daftar Koreksi'!$I$5:$I$92,"&lt;0")-SUMIFS('Daftar Koreksi'!$I$5:$I$92,'Daftar Koreksi'!$D$5:$D$92,'2800'!A4,'Daftar Koreksi'!$G$5:$G$92,"Gedung dan Bangunan",'Daftar Koreksi'!$I$5:$I$92,"&lt;0")</f>
        <v>0</v>
      </c>
      <c r="G18" s="17">
        <f t="shared" si="0"/>
        <v>-237746492</v>
      </c>
      <c r="H18" s="122"/>
      <c r="I18" s="28"/>
      <c r="J18" s="28"/>
    </row>
    <row r="19" spans="1:10" ht="21.95" customHeight="1">
      <c r="A19" s="14"/>
      <c r="B19" s="14"/>
      <c r="C19" s="16" t="s">
        <v>2089</v>
      </c>
      <c r="D19" s="17">
        <f>VLOOKUP(A4,'Neraca Unaudited SIMAK'!$A$2:$S$10004,15,FALSE)</f>
        <v>-53369735</v>
      </c>
      <c r="E19" s="25">
        <f>SUMIFS('Daftar Koreksi'!$I$5:$I$92,'Daftar Koreksi'!$D$5:$D$92,'2800'!A4,'Daftar Koreksi'!$G$5:$G$92,"Jalan Irigasi Jaringan",'Daftar Koreksi'!$I$5:$I$92,"&gt;0")</f>
        <v>0</v>
      </c>
      <c r="F19" s="25">
        <f>SUMIFS('Daftar Koreksi'!$I$5:$I$92,'Daftar Koreksi'!$D$5:$D$92,'2800'!A4,'Daftar Koreksi'!$G$5:$G$92,"Jalan Irigasi Jaringan",'Daftar Koreksi'!$I$5:$I$92,"&lt;0")-SUMIFS('Daftar Koreksi'!$I$5:$I$92,'Daftar Koreksi'!$D$5:$D$92,'2800'!A4,'Daftar Koreksi'!$G$5:$G$92,"Jalan Irigasi Jaringan",'Daftar Koreksi'!$I$5:$I$92,"&lt;0")-SUMIFS('Daftar Koreksi'!$I$5:$I$92,'Daftar Koreksi'!$D$5:$D$92,'2800'!A4,'Daftar Koreksi'!$G$5:$G$92,"Jalan Irigasi Jaringan",'Daftar Koreksi'!$I$5:$I$92,"&lt;0")</f>
        <v>0</v>
      </c>
      <c r="G19" s="17">
        <f t="shared" si="0"/>
        <v>-53369735</v>
      </c>
      <c r="H19" s="122"/>
      <c r="I19" s="28"/>
      <c r="J19" s="28"/>
    </row>
    <row r="20" spans="1:10" ht="21.95" customHeight="1">
      <c r="A20" s="14"/>
      <c r="B20" s="14"/>
      <c r="C20" s="16" t="s">
        <v>2090</v>
      </c>
      <c r="D20" s="17">
        <f>VLOOKUP(A4,'Neraca Unaudited SIMAK'!$A$2:$S$10004,16,FALSE)</f>
        <v>-20490000</v>
      </c>
      <c r="E20" s="25">
        <f>SUMIFS('Daftar Koreksi'!$I$5:$I$92,'Daftar Koreksi'!$D$5:$D$92,'2800'!A4,'Daftar Koreksi'!$G$5:$G$92,"Aset Tetap Lainnya",'Daftar Koreksi'!$I$5:$I$92,"&gt;0")</f>
        <v>0</v>
      </c>
      <c r="F20" s="25">
        <f>SUMIFS('Daftar Koreksi'!$I$5:$I$92,'Daftar Koreksi'!$D$5:$D$92,'2800'!A4,'Daftar Koreksi'!$G$5:$G$92,"Aset Tetap Lainnya",'Daftar Koreksi'!$I$5:$I$92,"&lt;0")-SUMIFS('Daftar Koreksi'!$I$5:$I$92,'Daftar Koreksi'!$D$5:$D$92,'2800'!A4,'Daftar Koreksi'!$G$5:$G$92,"Aset Tetap Lainnya",'Daftar Koreksi'!$I$5:$I$92,"&lt;0")-SUMIFS('Daftar Koreksi'!$I$5:$I$92,'Daftar Koreksi'!$D$5:$D$92,'2800'!A4,'Daftar Koreksi'!$G$5:$G$92,"Aset Tetap Lainnya",'Daftar Koreksi'!$I$5:$I$92,"&lt;0")</f>
        <v>0</v>
      </c>
      <c r="G20" s="17">
        <f t="shared" si="0"/>
        <v>-20490000</v>
      </c>
      <c r="H20" s="122"/>
      <c r="I20" s="28"/>
      <c r="J20" s="28"/>
    </row>
    <row r="21" spans="1:10" ht="21.95" customHeight="1">
      <c r="A21" s="14"/>
      <c r="B21" s="14"/>
      <c r="C21" s="16" t="s">
        <v>2020</v>
      </c>
      <c r="D21" s="17">
        <f>VLOOKUP(A4,'Neraca Unaudited SIMAK'!$A$2:$S$10004,17,FALSE)</f>
        <v>-87480000</v>
      </c>
      <c r="E21" s="25">
        <f>SUMIFS('Daftar Koreksi'!$I$5:$I$92,'Daftar Koreksi'!$D$5:$D$92,'2800'!A4,'Daftar Koreksi'!$G$5:$G$92,"Aset Henti Guna",'Daftar Koreksi'!$I$5:$I$92,"&gt;0")</f>
        <v>0</v>
      </c>
      <c r="F21" s="25">
        <f>SUMIFS('Daftar Koreksi'!$I$5:$I$92,'Daftar Koreksi'!$D$5:$D$92,'2800'!A4,'Daftar Koreksi'!$G$5:$G$92,"Aset Henti Guna",'Daftar Koreksi'!$I$5:$I$92,"&lt;0")-SUMIFS('Daftar Koreksi'!$I$5:$I$92,'Daftar Koreksi'!$D$5:$D$92,'2800'!A4,'Daftar Koreksi'!$G$5:$G$92,"Aset Henti Guna",'Daftar Koreksi'!$I$5:$I$92,"&lt;0")-SUMIFS('Daftar Koreksi'!$I$5:$I$92,'Daftar Koreksi'!$D$5:$D$92,'2800'!A4,'Daftar Koreksi'!$G$5:$G$92,"Aset Henti Guna",'Daftar Koreksi'!$I$5:$I$92,"&lt;0")</f>
        <v>0</v>
      </c>
      <c r="G21" s="17">
        <f t="shared" si="0"/>
        <v>-87480000</v>
      </c>
      <c r="H21" s="122"/>
      <c r="I21" s="28"/>
      <c r="J21" s="28"/>
    </row>
    <row r="22" spans="1:10" ht="21.95" customHeight="1">
      <c r="A22" s="14"/>
      <c r="B22" s="14"/>
      <c r="C22" s="18" t="s">
        <v>2094</v>
      </c>
      <c r="D22" s="19">
        <f>SUM(D17:D21)</f>
        <v>-3713651026</v>
      </c>
      <c r="E22" s="19">
        <f>SUM(E17:E21)</f>
        <v>0</v>
      </c>
      <c r="F22" s="19">
        <f>SUM(F17:F21)</f>
        <v>0</v>
      </c>
      <c r="G22" s="19">
        <f t="shared" si="0"/>
        <v>-3713651026</v>
      </c>
      <c r="H22" s="122"/>
      <c r="I22" s="28"/>
      <c r="J22" s="28"/>
    </row>
    <row r="23" spans="1:10" ht="21.95" customHeight="1">
      <c r="A23" s="14"/>
      <c r="B23" s="14"/>
      <c r="C23" s="18" t="s">
        <v>2095</v>
      </c>
      <c r="D23" s="19">
        <f>VLOOKUP(A4,'Neraca Unaudited SIMAK'!$A$2:$S$10004,18,FALSE)</f>
        <v>28095102592</v>
      </c>
      <c r="E23" s="19">
        <f>E22+E16</f>
        <v>0</v>
      </c>
      <c r="F23" s="19">
        <f>F22+F16</f>
        <v>0</v>
      </c>
      <c r="G23" s="19">
        <f t="shared" si="0"/>
        <v>28095102592</v>
      </c>
      <c r="H23" s="122"/>
      <c r="I23" s="28"/>
      <c r="J23" s="28"/>
    </row>
    <row r="24" spans="1:10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I24" s="28"/>
      <c r="J24" s="28"/>
    </row>
    <row r="26" spans="1:10" ht="19.5" customHeight="1">
      <c r="A26" s="11" t="str">
        <f>O2</f>
        <v>005012800099748000KD</v>
      </c>
      <c r="B26" s="11" t="str">
        <f>P2</f>
        <v>PN. Tobelo</v>
      </c>
      <c r="C26" s="12" t="str">
        <f>A26&amp;" "&amp;B26</f>
        <v>005012800099748000KD PN. Tobelo</v>
      </c>
      <c r="D26" s="13"/>
      <c r="E26" s="13"/>
      <c r="F26" s="13"/>
      <c r="G26" s="13"/>
      <c r="H26" s="11"/>
    </row>
    <row r="27" spans="1:10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0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0" ht="21.95" customHeight="1">
      <c r="A29" s="14"/>
      <c r="B29" s="14"/>
      <c r="C29" s="16" t="s">
        <v>1165</v>
      </c>
      <c r="D29" s="17">
        <f>VLOOKUP(A26,'Neraca Unaudited SIMAK'!$A$2:$S$10004,3,FALSE)</f>
        <v>1140000</v>
      </c>
      <c r="E29" s="25">
        <f>SUMIFS('Daftar Koreksi'!$H$5:$H$92,'Daftar Koreksi'!$D$5:$D$92,'2800'!A26,'Daftar Koreksi'!$G$5:$G$92,"Persediaan",'Daftar Koreksi'!$H$5:$H$92,"&gt;0")</f>
        <v>0</v>
      </c>
      <c r="F29" s="25">
        <f>SUMIFS('Daftar Koreksi'!$H$5:$H$92,'Daftar Koreksi'!$D$5:$D$92,'2800'!A26,'Daftar Koreksi'!$G$5:$G$92,"Persediaan",'Daftar Koreksi'!$H$5:$H$92,"&lt;0")-SUMIFS('Daftar Koreksi'!$H$5:$H$92,'Daftar Koreksi'!$D$5:$D$92,'2800'!A26,'Daftar Koreksi'!$G$5:$G$92,"Persediaan",'Daftar Koreksi'!$H$5:$H$92,"&lt;0")-SUMIFS('Daftar Koreksi'!$H$5:$H$92,'Daftar Koreksi'!$D$5:$D$92,'2800'!A26,'Daftar Koreksi'!$G$5:$G$92,"Persediaan",'Daftar Koreksi'!$H$5:$H$92,"&lt;0")</f>
        <v>0</v>
      </c>
      <c r="G29" s="17">
        <f>D29+E29-F29</f>
        <v>1140000</v>
      </c>
      <c r="H29" s="121" t="str">
        <f>IF(ISNA(VLOOKUP(A26,'Mutasi Neraca'!$A$3:$S$914,19,FALSE)),"-",VLOOKUP(A26,'Mutasi Neraca'!$A$3:$S$914,19,FALSE))</f>
        <v>-</v>
      </c>
    </row>
    <row r="30" spans="1:10" ht="21.95" customHeight="1">
      <c r="A30" s="14"/>
      <c r="B30" s="14"/>
      <c r="C30" s="16" t="s">
        <v>1166</v>
      </c>
      <c r="D30" s="17">
        <f>VLOOKUP(A26,'Neraca Unaudited SIMAK'!$A$2:$S$10004,4,FALSE)</f>
        <v>713347000</v>
      </c>
      <c r="E30" s="25">
        <f>SUMIFS('Daftar Koreksi'!$H$5:$H$92,'Daftar Koreksi'!$D$5:$D$92,'2800'!A26,'Daftar Koreksi'!$G$5:$G$92,"Tanah",'Daftar Koreksi'!$H$5:$H$92,"&gt;0")</f>
        <v>0</v>
      </c>
      <c r="F30" s="25">
        <f>SUMIFS('Daftar Koreksi'!$H$5:$H$92,'Daftar Koreksi'!$D$5:$D$92,'2800'!A26,'Daftar Koreksi'!$G$5:$G$92,"Tanah",'Daftar Koreksi'!$H$5:$H$92,"&lt;0")-SUMIFS('Daftar Koreksi'!$H$5:$H$92,'Daftar Koreksi'!$D$5:$D$92,'2800'!A26,'Daftar Koreksi'!$G$5:$G$92,"Tanah",'Daftar Koreksi'!$H$5:$H$92,"&lt;0")-SUMIFS('Daftar Koreksi'!$H$5:$H$92,'Daftar Koreksi'!$D$5:$D$92,'2800'!A26,'Daftar Koreksi'!$G$5:$G$92,"Tanah",'Daftar Koreksi'!$H$5:$H$92,"&lt;0")</f>
        <v>0</v>
      </c>
      <c r="G30" s="17">
        <f t="shared" ref="G30:G46" si="1">D30+E30-F30</f>
        <v>713347000</v>
      </c>
      <c r="H30" s="122"/>
    </row>
    <row r="31" spans="1:10" ht="21.95" customHeight="1">
      <c r="A31" s="14"/>
      <c r="B31" s="14"/>
      <c r="C31" s="16" t="s">
        <v>1167</v>
      </c>
      <c r="D31" s="17">
        <f>VLOOKUP(A26,'Neraca Unaudited SIMAK'!$A$2:$S$10004,5,FALSE)</f>
        <v>1637524357</v>
      </c>
      <c r="E31" s="25">
        <f>SUMIFS('Daftar Koreksi'!$H$5:$H$92,'Daftar Koreksi'!$D$5:$D$92,'2800'!A26,'Daftar Koreksi'!$G$5:$G$92,"Peralatan dan mesin",'Daftar Koreksi'!$H$5:$H$92,"&gt;0")</f>
        <v>0</v>
      </c>
      <c r="F31" s="25">
        <f>SUMIFS('Daftar Koreksi'!$H$5:$H$92,'Daftar Koreksi'!$D$5:$D$92,'2800'!A26,'Daftar Koreksi'!$G$5:$G$92,"Peralatan dan mesin",'Daftar Koreksi'!$H$5:$H$92,"&lt;0")-SUMIFS('Daftar Koreksi'!$H$5:$H$92,'Daftar Koreksi'!$D$5:$D$92,'2800'!A26,'Daftar Koreksi'!$G$5:$G$92,"Peralatan dan mesin",'Daftar Koreksi'!$H$5:$H$92,"&lt;0")-SUMIFS('Daftar Koreksi'!$H$5:$H$92,'Daftar Koreksi'!$D$5:$D$92,'2800'!A26,'Daftar Koreksi'!$G$5:$G$92,"Peralatan dan mesin",'Daftar Koreksi'!$H$5:$H$92,"&lt;0")</f>
        <v>0</v>
      </c>
      <c r="G31" s="17">
        <f t="shared" si="1"/>
        <v>1637524357</v>
      </c>
      <c r="H31" s="122"/>
    </row>
    <row r="32" spans="1:10" ht="21.95" customHeight="1">
      <c r="A32" s="14"/>
      <c r="B32" s="14"/>
      <c r="C32" s="16" t="s">
        <v>1168</v>
      </c>
      <c r="D32" s="17">
        <f>VLOOKUP(A26,'Neraca Unaudited SIMAK'!$A$2:$S$10004,6,FALSE)</f>
        <v>3280544000</v>
      </c>
      <c r="E32" s="25">
        <f>SUMIFS('Daftar Koreksi'!$H$5:$H$92,'Daftar Koreksi'!$D$5:$D$92,'2800'!A26,'Daftar Koreksi'!$G$5:$G$92,"Gedung dan Bangunan",'Daftar Koreksi'!$H$5:$H$92,"&gt;0")</f>
        <v>0</v>
      </c>
      <c r="F32" s="25">
        <f>SUMIFS('Daftar Koreksi'!$H$5:$H$92,'Daftar Koreksi'!$D$5:$D$92,'2800'!A26,'Daftar Koreksi'!$G$5:$G$92,"Gedung dan Bangunan",'Daftar Koreksi'!$H$5:$H$92,"&lt;0")-SUMIFS('Daftar Koreksi'!$H$5:$H$92,'Daftar Koreksi'!$D$5:$D$92,'2800'!A26,'Daftar Koreksi'!$G$5:$G$92,"Gedung dan Bangunan",'Daftar Koreksi'!$H$5:$H$92,"&lt;0")-SUMIFS('Daftar Koreksi'!$H$5:$H$92,'Daftar Koreksi'!$D$5:$D$92,'2800'!A26,'Daftar Koreksi'!$G$5:$G$92,"Gedung dan Bangunan",'Daftar Koreksi'!$H$5:$H$92,"&lt;0")</f>
        <v>0</v>
      </c>
      <c r="G32" s="17">
        <f t="shared" si="1"/>
        <v>3280544000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34795000</v>
      </c>
      <c r="E33" s="25">
        <f>SUMIFS('Daftar Koreksi'!$H$5:$H$92,'Daftar Koreksi'!$D$5:$D$92,'2800'!A26,'Daftar Koreksi'!$G$5:$G$92,"Jalan Irigasi Jaringan",'Daftar Koreksi'!$H$5:$H$92,"&gt;0")</f>
        <v>0</v>
      </c>
      <c r="F33" s="25">
        <f>SUMIFS('Daftar Koreksi'!$H$5:$H$92,'Daftar Koreksi'!$D$5:$D$92,'2800'!A26,'Daftar Koreksi'!$G$5:$G$92,"Jalan Irigasi Jaringan",'Daftar Koreksi'!$H$5:$H$92,"&lt;0")-SUMIFS('Daftar Koreksi'!$H$5:$H$92,'Daftar Koreksi'!$D$5:$D$92,'2800'!A26,'Daftar Koreksi'!$G$5:$G$92,"Jalan Irigasi Jaringan",'Daftar Koreksi'!$H$5:$H$92,"&lt;0")-SUMIFS('Daftar Koreksi'!$H$5:$H$92,'Daftar Koreksi'!$D$5:$D$92,'2800'!A26,'Daftar Koreksi'!$G$5:$G$92,"Jalan Irigasi Jaringan",'Daftar Koreksi'!$H$5:$H$92,"&lt;0")</f>
        <v>0</v>
      </c>
      <c r="G33" s="17">
        <f t="shared" si="1"/>
        <v>34795000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1943440</v>
      </c>
      <c r="E34" s="25">
        <f>SUMIFS('Daftar Koreksi'!$H$5:$H$92,'Daftar Koreksi'!$D$5:$D$92,'2800'!A26,'Daftar Koreksi'!$G$5:$G$92,"Aset Tetap Lainnya",'Daftar Koreksi'!$H$5:$H$92,"&gt;0")</f>
        <v>0</v>
      </c>
      <c r="F34" s="25">
        <f>SUMIFS('Daftar Koreksi'!$H$5:$H$92,'Daftar Koreksi'!$D$5:$D$92,'2800'!A26,'Daftar Koreksi'!$G$5:$G$92,"Aset Tetap Lainnya",'Daftar Koreksi'!$H$5:$H$92,"&lt;0")-SUMIFS('Daftar Koreksi'!$H$5:$H$92,'Daftar Koreksi'!$D$5:$D$92,'2800'!A26,'Daftar Koreksi'!$G$5:$G$92,"Aset Tetap Lainnya",'Daftar Koreksi'!$H$5:$H$92,"&lt;0")-SUMIFS('Daftar Koreksi'!$H$5:$H$92,'Daftar Koreksi'!$D$5:$D$92,'2800'!A26,'Daftar Koreksi'!$G$5:$G$92,"Aset Tetap Lainnya",'Daftar Koreksi'!$H$5:$H$92,"&lt;0")</f>
        <v>0</v>
      </c>
      <c r="G34" s="17">
        <f t="shared" si="1"/>
        <v>1943440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7661546000</v>
      </c>
      <c r="E35" s="25">
        <f>SUMIFS('Daftar Koreksi'!$H$5:$H$92,'Daftar Koreksi'!$D$5:$D$92,'2800'!A26,'Daftar Koreksi'!$G$5:$G$92,"Kontruksi Dalam Pengerjaan",'Daftar Koreksi'!$H$5:$H$92,"&gt;0")</f>
        <v>0</v>
      </c>
      <c r="F35" s="25">
        <f>SUMIFS('Daftar Koreksi'!$H$5:$H$92,'Daftar Koreksi'!$D$5:$D$92,'2800'!A26,'Daftar Koreksi'!$G$5:$G$92,"Kontruksi Dalam Pengerjaan",'Daftar Koreksi'!$H$5:$H$92,"&lt;0")-SUMIFS('Daftar Koreksi'!$H$5:$H$92,'Daftar Koreksi'!$D$5:$D$92,'2800'!A26,'Daftar Koreksi'!$G$5:$G$92,"Kontruksi Dalam Pengerjaan",'Daftar Koreksi'!$H$5:$H$92,"&lt;0")-SUMIFS('Daftar Koreksi'!$H$5:$H$92,'Daftar Koreksi'!$D$5:$D$92,'2800'!A26,'Daftar Koreksi'!$G$5:$G$92,"Kontruksi Dalam Pengerjaan",'Daftar Koreksi'!$H$5:$H$92,"&lt;0")</f>
        <v>0</v>
      </c>
      <c r="G35" s="17">
        <f t="shared" si="1"/>
        <v>7661546000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15000000</v>
      </c>
      <c r="E36" s="25">
        <f>SUMIFS('Daftar Koreksi'!$H$5:$H$92,'Daftar Koreksi'!$D$5:$D$92,'2800'!A26,'Daftar Koreksi'!$G$5:$G$92,"Aset Tak Berwujud",'Daftar Koreksi'!$H$5:$H$92,"&gt;0")</f>
        <v>0</v>
      </c>
      <c r="F36" s="25">
        <f>SUMIFS('Daftar Koreksi'!$H$5:$H$92,'Daftar Koreksi'!$D$5:$D$92,'2800'!A26,'Daftar Koreksi'!$G$5:$G$92,"Aset Tak Berwujud",'Daftar Koreksi'!$H$5:$H$92,"&lt;0")-SUMIFS('Daftar Koreksi'!$H$5:$H$92,'Daftar Koreksi'!$D$5:$D$92,'2800'!A26,'Daftar Koreksi'!$G$5:$G$92,"Aset Tak Berwujud",'Daftar Koreksi'!$H$5:$H$92,"&lt;0")-SUMIFS('Daftar Koreksi'!$H$5:$H$92,'Daftar Koreksi'!$D$5:$D$92,'2800'!A26,'Daftar Koreksi'!$G$5:$G$92,"Aset Tak Berwujud",'Daftar Koreksi'!$H$5:$H$92,"&lt;0")</f>
        <v>0</v>
      </c>
      <c r="G36" s="17">
        <f t="shared" si="1"/>
        <v>15000000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213471126</v>
      </c>
      <c r="E37" s="25">
        <f>SUMIFS('Daftar Koreksi'!$H$5:$H$92,'Daftar Koreksi'!$D$5:$D$92,'2800'!A26,'Daftar Koreksi'!$G$5:$G$92,"Aset Henti Guna",'Daftar Koreksi'!$H$5:$H$92,"&gt;0")</f>
        <v>0</v>
      </c>
      <c r="F37" s="25">
        <f>SUMIFS('Daftar Koreksi'!$H$5:$H$92,'Daftar Koreksi'!$D$5:$D$92,'2800'!A26,'Daftar Koreksi'!$G$5:$G$92,"Aset Henti Guna",'Daftar Koreksi'!$H$5:$H$92,"&lt;0")-SUMIFS('Daftar Koreksi'!$H$5:$H$92,'Daftar Koreksi'!$D$5:$D$92,'2800'!A26,'Daftar Koreksi'!$G$5:$G$92,"Aset Henti Guna",'Daftar Koreksi'!$H$5:$H$92,"&lt;0")-SUMIFS('Daftar Koreksi'!$H$5:$H$92,'Daftar Koreksi'!$D$5:$D$92,'2800'!A26,'Daftar Koreksi'!$G$5:$G$92,"Aset Henti Guna",'Daftar Koreksi'!$H$5:$H$92,"&lt;0")</f>
        <v>0</v>
      </c>
      <c r="G37" s="17">
        <f t="shared" si="1"/>
        <v>213471126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13559310923</v>
      </c>
      <c r="E38" s="19">
        <f>SUM(E29:E37)</f>
        <v>0</v>
      </c>
      <c r="F38" s="19">
        <f>SUM(F29:F37)</f>
        <v>0</v>
      </c>
      <c r="G38" s="19">
        <f t="shared" si="1"/>
        <v>13559310923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-1259942883</v>
      </c>
      <c r="E39" s="25">
        <f>SUMIFS('Daftar Koreksi'!$I$5:$I$92,'Daftar Koreksi'!$D$5:$D$92,'2800'!A26,'Daftar Koreksi'!$G$5:$G$92,"Peralatan dan mesin",'Daftar Koreksi'!$I$5:$I$92,"&gt;0")</f>
        <v>0</v>
      </c>
      <c r="F39" s="25">
        <f>SUMIFS('Daftar Koreksi'!$I$5:$I$92,'Daftar Koreksi'!$D$5:$D$92,'2800'!A26,'Daftar Koreksi'!$G$5:$G$92,"Peralatan dan mesin",'Daftar Koreksi'!$I$5:$I$92,"&lt;0")-SUMIFS('Daftar Koreksi'!$I$5:$I$92,'Daftar Koreksi'!$D$5:$D$92,'2800'!A26,'Daftar Koreksi'!$G$5:$G$92,"Peralatan dan mesin",'Daftar Koreksi'!$I$5:$I$92,"&lt;0")-SUMIFS('Daftar Koreksi'!$I$5:$I$92,'Daftar Koreksi'!$D$5:$D$92,'2800'!A26,'Daftar Koreksi'!$G$5:$G$92,"Peralatan dan mesin",'Daftar Koreksi'!$I$5:$I$92,"&lt;0")</f>
        <v>0</v>
      </c>
      <c r="G39" s="17">
        <f t="shared" si="1"/>
        <v>-1259942883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-732567151</v>
      </c>
      <c r="E40" s="25">
        <f>SUMIFS('Daftar Koreksi'!$I$5:$I$92,'Daftar Koreksi'!$D$5:$D$92,'2800'!A26,'Daftar Koreksi'!$G$5:$G$92,"Gedung dan Bangunan",'Daftar Koreksi'!$I$5:$I$92,"&gt;0")</f>
        <v>0</v>
      </c>
      <c r="F40" s="25">
        <f>SUMIFS('Daftar Koreksi'!$I$5:$I$92,'Daftar Koreksi'!$D$5:$D$92,'2800'!A26,'Daftar Koreksi'!$G$5:$G$92,"Gedung dan Bangunan",'Daftar Koreksi'!$I$5:$I$92,"&lt;0")-SUMIFS('Daftar Koreksi'!$I$5:$I$92,'Daftar Koreksi'!$D$5:$D$92,'2800'!A26,'Daftar Koreksi'!$G$5:$G$92,"Gedung dan Bangunan",'Daftar Koreksi'!$I$5:$I$92,"&lt;0")-SUMIFS('Daftar Koreksi'!$I$5:$I$92,'Daftar Koreksi'!$D$5:$D$92,'2800'!A26,'Daftar Koreksi'!$G$5:$G$92,"Gedung dan Bangunan",'Daftar Koreksi'!$I$5:$I$92,"&lt;0")</f>
        <v>0</v>
      </c>
      <c r="G40" s="17">
        <f t="shared" si="1"/>
        <v>-732567151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-34795000</v>
      </c>
      <c r="E41" s="25">
        <f>SUMIFS('Daftar Koreksi'!$I$5:$I$92,'Daftar Koreksi'!$D$5:$D$92,'2800'!A26,'Daftar Koreksi'!$G$5:$G$92,"Jalan Irigasi Jaringan",'Daftar Koreksi'!$I$5:$I$92,"&gt;0")</f>
        <v>0</v>
      </c>
      <c r="F41" s="25">
        <f>SUMIFS('Daftar Koreksi'!$I$5:$I$92,'Daftar Koreksi'!$D$5:$D$92,'2800'!A26,'Daftar Koreksi'!$G$5:$G$92,"Jalan Irigasi Jaringan",'Daftar Koreksi'!$I$5:$I$92,"&lt;0")-SUMIFS('Daftar Koreksi'!$I$5:$I$92,'Daftar Koreksi'!$D$5:$D$92,'2800'!A26,'Daftar Koreksi'!$G$5:$G$92,"Jalan Irigasi Jaringan",'Daftar Koreksi'!$I$5:$I$92,"&lt;0")-SUMIFS('Daftar Koreksi'!$I$5:$I$92,'Daftar Koreksi'!$D$5:$D$92,'2800'!A26,'Daftar Koreksi'!$G$5:$G$92,"Jalan Irigasi Jaringan",'Daftar Koreksi'!$I$5:$I$92,"&lt;0")</f>
        <v>0</v>
      </c>
      <c r="G41" s="17">
        <f t="shared" si="1"/>
        <v>-34795000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Koreksi'!$D$5:$D$92,'2800'!A26,'Daftar Koreksi'!$G$5:$G$92,"Aset Tetap Lainnya",'Daftar Koreksi'!$I$5:$I$92,"&gt;0")</f>
        <v>0</v>
      </c>
      <c r="F42" s="25">
        <f>SUMIFS('Daftar Koreksi'!$I$5:$I$92,'Daftar Koreksi'!$D$5:$D$92,'2800'!A26,'Daftar Koreksi'!$G$5:$G$92,"Aset Tetap Lainnya",'Daftar Koreksi'!$I$5:$I$92,"&lt;0")-SUMIFS('Daftar Koreksi'!$I$5:$I$92,'Daftar Koreksi'!$D$5:$D$92,'2800'!A26,'Daftar Koreksi'!$G$5:$G$92,"Aset Tetap Lainnya",'Daftar Koreksi'!$I$5:$I$92,"&lt;0")-SUMIFS('Daftar Koreksi'!$I$5:$I$92,'Daftar Koreksi'!$D$5:$D$92,'2800'!A26,'Daftar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-213471126</v>
      </c>
      <c r="E43" s="25">
        <f>SUMIFS('Daftar Koreksi'!$I$5:$I$92,'Daftar Koreksi'!$D$5:$D$92,'2800'!A26,'Daftar Koreksi'!$G$5:$G$92,"Aset Henti Guna",'Daftar Koreksi'!$I$5:$I$92,"&gt;0")</f>
        <v>0</v>
      </c>
      <c r="F43" s="25">
        <f>SUMIFS('Daftar Koreksi'!$I$5:$I$92,'Daftar Koreksi'!$D$5:$D$92,'2800'!A26,'Daftar Koreksi'!$G$5:$G$92,"Aset Henti Guna",'Daftar Koreksi'!$I$5:$I$92,"&lt;0")-SUMIFS('Daftar Koreksi'!$I$5:$I$92,'Daftar Koreksi'!$D$5:$D$92,'2800'!A26,'Daftar Koreksi'!$G$5:$G$92,"Aset Henti Guna",'Daftar Koreksi'!$I$5:$I$92,"&lt;0")-SUMIFS('Daftar Koreksi'!$I$5:$I$92,'Daftar Koreksi'!$D$5:$D$92,'2800'!A26,'Daftar Koreksi'!$G$5:$G$92,"Aset Henti Guna",'Daftar Koreksi'!$I$5:$I$92,"&lt;0")</f>
        <v>0</v>
      </c>
      <c r="G43" s="17">
        <f t="shared" si="1"/>
        <v>-213471126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-2240776160</v>
      </c>
      <c r="E44" s="19">
        <f>SUM(E39:E43)</f>
        <v>0</v>
      </c>
      <c r="F44" s="19">
        <f>SUM(F39:F43)</f>
        <v>0</v>
      </c>
      <c r="G44" s="19">
        <f t="shared" si="1"/>
        <v>-2240776160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11318534763</v>
      </c>
      <c r="E45" s="19">
        <f>E44+E38</f>
        <v>0</v>
      </c>
      <c r="F45" s="19">
        <f>F44+F38</f>
        <v>0</v>
      </c>
      <c r="G45" s="19">
        <f t="shared" si="1"/>
        <v>11318534763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005012800099752000KD</v>
      </c>
      <c r="B48" s="11" t="str">
        <f>P3</f>
        <v>PN. Labuhan Bacan (Labuha)</v>
      </c>
      <c r="C48" s="12" t="str">
        <f>A48&amp;" "&amp;B48</f>
        <v>005012800099752000KD PN. Labuhan Bacan (Labuha)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695000</v>
      </c>
      <c r="E51" s="25">
        <f>SUMIFS('Daftar Koreksi'!$H$5:$H$92,'Daftar Koreksi'!$D$5:$D$92,'2800'!A48,'Daftar Koreksi'!$G$5:$G$92,"Persediaan",'Daftar Koreksi'!$H$5:$H$92,"&gt;0")</f>
        <v>0</v>
      </c>
      <c r="F51" s="25">
        <f>SUMIFS('Daftar Koreksi'!$H$5:$H$92,'Daftar Koreksi'!$D$5:$D$92,'2800'!A48,'Daftar Koreksi'!$G$5:$G$92,"Persediaan",'Daftar Koreksi'!$H$5:$H$92,"&lt;0")-SUMIFS('Daftar Koreksi'!$H$5:$H$92,'Daftar Koreksi'!$D$5:$D$92,'2800'!A48,'Daftar Koreksi'!$G$5:$G$92,"Persediaan",'Daftar Koreksi'!$H$5:$H$92,"&lt;0")-SUMIFS('Daftar Koreksi'!$H$5:$H$92,'Daftar Koreksi'!$D$5:$D$92,'2800'!A48,'Daftar Koreksi'!$G$5:$G$92,"Persediaan",'Daftar Koreksi'!$H$5:$H$92,"&lt;0")</f>
        <v>0</v>
      </c>
      <c r="G51" s="17">
        <f>D51+E51-F51</f>
        <v>695000</v>
      </c>
      <c r="H51" s="121" t="str">
        <f>IF(ISNA(VLOOKUP(A48,'Mutasi Neraca'!$A$3:$S$914,19,FALSE)),"-",VLOOKUP(A48,'Mutasi Neraca'!$A$3:$S$914,19,FALSE))</f>
        <v>TP Koreksi Hibah No. 19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1493300000</v>
      </c>
      <c r="E52" s="25">
        <f>SUMIFS('Daftar Koreksi'!$H$5:$H$92,'Daftar Koreksi'!$D$5:$D$92,'2800'!A48,'Daftar Koreksi'!$G$5:$G$92,"Tanah",'Daftar Koreksi'!$H$5:$H$92,"&gt;0")</f>
        <v>217218000</v>
      </c>
      <c r="F52" s="25">
        <f>SUMIFS('Daftar Koreksi'!$H$5:$H$92,'Daftar Koreksi'!$D$5:$D$92,'2800'!A48,'Daftar Koreksi'!$G$5:$G$92,"Tanah",'Daftar Koreksi'!$H$5:$H$92,"&lt;0")-SUMIFS('Daftar Koreksi'!$H$5:$H$92,'Daftar Koreksi'!$D$5:$D$92,'2800'!A48,'Daftar Koreksi'!$G$5:$G$92,"Tanah",'Daftar Koreksi'!$H$5:$H$92,"&lt;0")-SUMIFS('Daftar Koreksi'!$H$5:$H$92,'Daftar Koreksi'!$D$5:$D$92,'2800'!A48,'Daftar Koreksi'!$G$5:$G$92,"Tanah",'Daftar Koreksi'!$H$5:$H$92,"&lt;0")</f>
        <v>0</v>
      </c>
      <c r="G52" s="17">
        <f t="shared" ref="G52:G68" si="2">D52+E52-F52</f>
        <v>1710518000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2798599154</v>
      </c>
      <c r="E53" s="25">
        <f>SUMIFS('Daftar Koreksi'!$H$5:$H$92,'Daftar Koreksi'!$D$5:$D$92,'2800'!A48,'Daftar Koreksi'!$G$5:$G$92,"Peralatan dan mesin",'Daftar Koreksi'!$H$5:$H$92,"&gt;0")</f>
        <v>0</v>
      </c>
      <c r="F53" s="25">
        <f>SUMIFS('Daftar Koreksi'!$H$5:$H$92,'Daftar Koreksi'!$D$5:$D$92,'2800'!A48,'Daftar Koreksi'!$G$5:$G$92,"Peralatan dan mesin",'Daftar Koreksi'!$H$5:$H$92,"&lt;0")-SUMIFS('Daftar Koreksi'!$H$5:$H$92,'Daftar Koreksi'!$D$5:$D$92,'2800'!A48,'Daftar Koreksi'!$G$5:$G$92,"Peralatan dan mesin",'Daftar Koreksi'!$H$5:$H$92,"&lt;0")-SUMIFS('Daftar Koreksi'!$H$5:$H$92,'Daftar Koreksi'!$D$5:$D$92,'2800'!A48,'Daftar Koreksi'!$G$5:$G$92,"Peralatan dan mesin",'Daftar Koreksi'!$H$5:$H$92,"&lt;0")</f>
        <v>0</v>
      </c>
      <c r="G53" s="17">
        <f t="shared" si="2"/>
        <v>2798599154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2485131284</v>
      </c>
      <c r="E54" s="25">
        <f>SUMIFS('Daftar Koreksi'!$H$5:$H$92,'Daftar Koreksi'!$D$5:$D$92,'2800'!A48,'Daftar Koreksi'!$G$5:$G$92,"Gedung dan Bangunan",'Daftar Koreksi'!$H$5:$H$92,"&gt;0")</f>
        <v>2591568720</v>
      </c>
      <c r="F54" s="25">
        <f>SUMIFS('Daftar Koreksi'!$H$5:$H$92,'Daftar Koreksi'!$D$5:$D$92,'2800'!A48,'Daftar Koreksi'!$G$5:$G$92,"Gedung dan Bangunan",'Daftar Koreksi'!$H$5:$H$92,"&lt;0")-SUMIFS('Daftar Koreksi'!$H$5:$H$92,'Daftar Koreksi'!$D$5:$D$92,'2800'!A48,'Daftar Koreksi'!$G$5:$G$92,"Gedung dan Bangunan",'Daftar Koreksi'!$H$5:$H$92,"&lt;0")-SUMIFS('Daftar Koreksi'!$H$5:$H$92,'Daftar Koreksi'!$D$5:$D$92,'2800'!A48,'Daftar Koreksi'!$G$5:$G$92,"Gedung dan Bangunan",'Daftar Koreksi'!$H$5:$H$92,"&lt;0")</f>
        <v>0</v>
      </c>
      <c r="G54" s="17">
        <f t="shared" si="2"/>
        <v>5076700004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20000000</v>
      </c>
      <c r="E55" s="25">
        <f>SUMIFS('Daftar Koreksi'!$H$5:$H$92,'Daftar Koreksi'!$D$5:$D$92,'2800'!A48,'Daftar Koreksi'!$G$5:$G$92,"Jalan Irigasi Jaringan",'Daftar Koreksi'!$H$5:$H$92,"&gt;0")</f>
        <v>0</v>
      </c>
      <c r="F55" s="25">
        <f>SUMIFS('Daftar Koreksi'!$H$5:$H$92,'Daftar Koreksi'!$D$5:$D$92,'2800'!A48,'Daftar Koreksi'!$G$5:$G$92,"Jalan Irigasi Jaringan",'Daftar Koreksi'!$H$5:$H$92,"&lt;0")-SUMIFS('Daftar Koreksi'!$H$5:$H$92,'Daftar Koreksi'!$D$5:$D$92,'2800'!A48,'Daftar Koreksi'!$G$5:$G$92,"Jalan Irigasi Jaringan",'Daftar Koreksi'!$H$5:$H$92,"&lt;0")-SUMIFS('Daftar Koreksi'!$H$5:$H$92,'Daftar Koreksi'!$D$5:$D$92,'2800'!A48,'Daftar Koreksi'!$G$5:$G$92,"Jalan Irigasi Jaringan",'Daftar Koreksi'!$H$5:$H$92,"&lt;0")</f>
        <v>0</v>
      </c>
      <c r="G55" s="17">
        <f t="shared" si="2"/>
        <v>20000000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5122120</v>
      </c>
      <c r="E56" s="25">
        <f>SUMIFS('Daftar Koreksi'!$H$5:$H$92,'Daftar Koreksi'!$D$5:$D$92,'2800'!A48,'Daftar Koreksi'!$G$5:$G$92,"Aset Tetap Lainnya",'Daftar Koreksi'!$H$5:$H$92,"&gt;0")</f>
        <v>0</v>
      </c>
      <c r="F56" s="25">
        <f>SUMIFS('Daftar Koreksi'!$H$5:$H$92,'Daftar Koreksi'!$D$5:$D$92,'2800'!A48,'Daftar Koreksi'!$G$5:$G$92,"Aset Tetap Lainnya",'Daftar Koreksi'!$H$5:$H$92,"&lt;0")-SUMIFS('Daftar Koreksi'!$H$5:$H$92,'Daftar Koreksi'!$D$5:$D$92,'2800'!A48,'Daftar Koreksi'!$G$5:$G$92,"Aset Tetap Lainnya",'Daftar Koreksi'!$H$5:$H$92,"&lt;0")-SUMIFS('Daftar Koreksi'!$H$5:$H$92,'Daftar Koreksi'!$D$5:$D$92,'2800'!A48,'Daftar Koreksi'!$G$5:$G$92,"Aset Tetap Lainnya",'Daftar Koreksi'!$H$5:$H$92,"&lt;0")</f>
        <v>0</v>
      </c>
      <c r="G56" s="17">
        <f t="shared" si="2"/>
        <v>5122120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12219817600</v>
      </c>
      <c r="E57" s="25">
        <f>SUMIFS('Daftar Koreksi'!$H$5:$H$92,'Daftar Koreksi'!$D$5:$D$92,'2800'!A48,'Daftar Koreksi'!$G$5:$G$92,"Kontruksi Dalam Pengerjaan",'Daftar Koreksi'!$H$5:$H$92,"&gt;0")</f>
        <v>0</v>
      </c>
      <c r="F57" s="25">
        <f>SUMIFS('Daftar Koreksi'!$H$5:$H$92,'Daftar Koreksi'!$D$5:$D$92,'2800'!A48,'Daftar Koreksi'!$G$5:$G$92,"Kontruksi Dalam Pengerjaan",'Daftar Koreksi'!$H$5:$H$92,"&lt;0")-SUMIFS('Daftar Koreksi'!$H$5:$H$92,'Daftar Koreksi'!$D$5:$D$92,'2800'!A48,'Daftar Koreksi'!$G$5:$G$92,"Kontruksi Dalam Pengerjaan",'Daftar Koreksi'!$H$5:$H$92,"&lt;0")-SUMIFS('Daftar Koreksi'!$H$5:$H$92,'Daftar Koreksi'!$D$5:$D$92,'2800'!A48,'Daftar Koreksi'!$G$5:$G$92,"Kontruksi Dalam Pengerjaan",'Daftar Koreksi'!$H$5:$H$92,"&lt;0")</f>
        <v>0</v>
      </c>
      <c r="G57" s="17">
        <f t="shared" si="2"/>
        <v>12219817600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Koreksi'!$D$5:$D$92,'2800'!A48,'Daftar Koreksi'!$G$5:$G$92,"Aset Tak Berwujud",'Daftar Koreksi'!$H$5:$H$92,"&gt;0")</f>
        <v>0</v>
      </c>
      <c r="F58" s="25">
        <f>SUMIFS('Daftar Koreksi'!$H$5:$H$92,'Daftar Koreksi'!$D$5:$D$92,'2800'!A48,'Daftar Koreksi'!$G$5:$G$92,"Aset Tak Berwujud",'Daftar Koreksi'!$H$5:$H$92,"&lt;0")-SUMIFS('Daftar Koreksi'!$H$5:$H$92,'Daftar Koreksi'!$D$5:$D$92,'2800'!A48,'Daftar Koreksi'!$G$5:$G$92,"Aset Tak Berwujud",'Daftar Koreksi'!$H$5:$H$92,"&lt;0")-SUMIFS('Daftar Koreksi'!$H$5:$H$92,'Daftar Koreksi'!$D$5:$D$92,'2800'!A48,'Daftar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Koreksi'!$D$5:$D$92,'2800'!A48,'Daftar Koreksi'!$G$5:$G$92,"Aset Henti Guna",'Daftar Koreksi'!$H$5:$H$92,"&gt;0")</f>
        <v>0</v>
      </c>
      <c r="F59" s="25">
        <f>SUMIFS('Daftar Koreksi'!$H$5:$H$92,'Daftar Koreksi'!$D$5:$D$92,'2800'!A48,'Daftar Koreksi'!$G$5:$G$92,"Aset Henti Guna",'Daftar Koreksi'!$H$5:$H$92,"&lt;0")-SUMIFS('Daftar Koreksi'!$H$5:$H$92,'Daftar Koreksi'!$D$5:$D$92,'2800'!A48,'Daftar Koreksi'!$G$5:$G$92,"Aset Henti Guna",'Daftar Koreksi'!$H$5:$H$92,"&lt;0")-SUMIFS('Daftar Koreksi'!$H$5:$H$92,'Daftar Koreksi'!$D$5:$D$92,'2800'!A48,'Daftar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19022665158</v>
      </c>
      <c r="E60" s="19">
        <f>SUM(E51:E59)</f>
        <v>2808786720</v>
      </c>
      <c r="F60" s="19">
        <f>SUM(F51:F59)</f>
        <v>0</v>
      </c>
      <c r="G60" s="19">
        <f t="shared" si="2"/>
        <v>21831451878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-2351076728</v>
      </c>
      <c r="E61" s="25">
        <f>SUMIFS('Daftar Koreksi'!$I$5:$I$92,'Daftar Koreksi'!$D$5:$D$92,'2800'!A48,'Daftar Koreksi'!$G$5:$G$92,"Peralatan dan mesin",'Daftar Koreksi'!$I$5:$I$92,"&gt;0")</f>
        <v>0</v>
      </c>
      <c r="F61" s="25">
        <f>SUMIFS('Daftar Koreksi'!$I$5:$I$92,'Daftar Koreksi'!$D$5:$D$92,'2800'!A48,'Daftar Koreksi'!$G$5:$G$92,"Peralatan dan mesin",'Daftar Koreksi'!$I$5:$I$92,"&lt;0")-SUMIFS('Daftar Koreksi'!$I$5:$I$92,'Daftar Koreksi'!$D$5:$D$92,'2800'!A48,'Daftar Koreksi'!$G$5:$G$92,"Peralatan dan mesin",'Daftar Koreksi'!$I$5:$I$92,"&lt;0")-SUMIFS('Daftar Koreksi'!$I$5:$I$92,'Daftar Koreksi'!$D$5:$D$92,'2800'!A48,'Daftar Koreksi'!$G$5:$G$92,"Peralatan dan mesin",'Daftar Koreksi'!$I$5:$I$92,"&lt;0")</f>
        <v>0</v>
      </c>
      <c r="G61" s="17">
        <f t="shared" si="2"/>
        <v>-2351076728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-825746629</v>
      </c>
      <c r="E62" s="25">
        <f>SUMIFS('Daftar Koreksi'!$I$5:$I$92,'Daftar Koreksi'!$D$5:$D$92,'2800'!A48,'Daftar Koreksi'!$G$5:$G$92,"Gedung dan Bangunan",'Daftar Koreksi'!$I$5:$I$92,"&gt;0")</f>
        <v>0</v>
      </c>
      <c r="F62" s="25">
        <f>SUMIFS('Daftar Koreksi'!$I$5:$I$92,'Daftar Koreksi'!$D$5:$D$92,'2800'!A48,'Daftar Koreksi'!$G$5:$G$92,"Gedung dan Bangunan",'Daftar Koreksi'!$I$5:$I$92,"&lt;0")-SUMIFS('Daftar Koreksi'!$I$5:$I$92,'Daftar Koreksi'!$D$5:$D$92,'2800'!A48,'Daftar Koreksi'!$G$5:$G$92,"Gedung dan Bangunan",'Daftar Koreksi'!$I$5:$I$92,"&lt;0")-SUMIFS('Daftar Koreksi'!$I$5:$I$92,'Daftar Koreksi'!$D$5:$D$92,'2800'!A48,'Daftar Koreksi'!$G$5:$G$92,"Gedung dan Bangunan",'Daftar Koreksi'!$I$5:$I$92,"&lt;0")</f>
        <v>25915687</v>
      </c>
      <c r="G62" s="17">
        <f t="shared" si="2"/>
        <v>-851662316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-2000000</v>
      </c>
      <c r="E63" s="25">
        <f>SUMIFS('Daftar Koreksi'!$I$5:$I$92,'Daftar Koreksi'!$D$5:$D$92,'2800'!A48,'Daftar Koreksi'!$G$5:$G$92,"Jalan Irigasi Jaringan",'Daftar Koreksi'!$I$5:$I$92,"&gt;0")</f>
        <v>0</v>
      </c>
      <c r="F63" s="25">
        <f>SUMIFS('Daftar Koreksi'!$I$5:$I$92,'Daftar Koreksi'!$D$5:$D$92,'2800'!A48,'Daftar Koreksi'!$G$5:$G$92,"Jalan Irigasi Jaringan",'Daftar Koreksi'!$I$5:$I$92,"&lt;0")-SUMIFS('Daftar Koreksi'!$I$5:$I$92,'Daftar Koreksi'!$D$5:$D$92,'2800'!A48,'Daftar Koreksi'!$G$5:$G$92,"Jalan Irigasi Jaringan",'Daftar Koreksi'!$I$5:$I$92,"&lt;0")-SUMIFS('Daftar Koreksi'!$I$5:$I$92,'Daftar Koreksi'!$D$5:$D$92,'2800'!A48,'Daftar Koreksi'!$G$5:$G$92,"Jalan Irigasi Jaringan",'Daftar Koreksi'!$I$5:$I$92,"&lt;0")</f>
        <v>0</v>
      </c>
      <c r="G63" s="17">
        <f t="shared" si="2"/>
        <v>-2000000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Koreksi'!$D$5:$D$92,'2800'!A48,'Daftar Koreksi'!$G$5:$G$92,"Aset Tetap Lainnya",'Daftar Koreksi'!$I$5:$I$92,"&gt;0")</f>
        <v>0</v>
      </c>
      <c r="F64" s="25">
        <f>SUMIFS('Daftar Koreksi'!$I$5:$I$92,'Daftar Koreksi'!$D$5:$D$92,'2800'!A48,'Daftar Koreksi'!$G$5:$G$92,"Aset Tetap Lainnya",'Daftar Koreksi'!$I$5:$I$92,"&lt;0")-SUMIFS('Daftar Koreksi'!$I$5:$I$92,'Daftar Koreksi'!$D$5:$D$92,'2800'!A48,'Daftar Koreksi'!$G$5:$G$92,"Aset Tetap Lainnya",'Daftar Koreksi'!$I$5:$I$92,"&lt;0")-SUMIFS('Daftar Koreksi'!$I$5:$I$92,'Daftar Koreksi'!$D$5:$D$92,'2800'!A48,'Daftar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Koreksi'!$D$5:$D$92,'2800'!A48,'Daftar Koreksi'!$G$5:$G$92,"Aset Henti Guna",'Daftar Koreksi'!$I$5:$I$92,"&gt;0")</f>
        <v>0</v>
      </c>
      <c r="F65" s="25">
        <f>SUMIFS('Daftar Koreksi'!$I$5:$I$92,'Daftar Koreksi'!$D$5:$D$92,'2800'!A48,'Daftar Koreksi'!$G$5:$G$92,"Aset Henti Guna",'Daftar Koreksi'!$I$5:$I$92,"&lt;0")-SUMIFS('Daftar Koreksi'!$I$5:$I$92,'Daftar Koreksi'!$D$5:$D$92,'2800'!A48,'Daftar Koreksi'!$G$5:$G$92,"Aset Henti Guna",'Daftar Koreksi'!$I$5:$I$92,"&lt;0")-SUMIFS('Daftar Koreksi'!$I$5:$I$92,'Daftar Koreksi'!$D$5:$D$92,'2800'!A48,'Daftar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-3178823357</v>
      </c>
      <c r="E66" s="19">
        <f>SUM(E61:E65)</f>
        <v>0</v>
      </c>
      <c r="F66" s="19">
        <f>SUM(F61:F65)</f>
        <v>25915687</v>
      </c>
      <c r="G66" s="19">
        <f t="shared" si="2"/>
        <v>-3204739044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15843841801</v>
      </c>
      <c r="E67" s="19">
        <f>E66+E60</f>
        <v>2808786720</v>
      </c>
      <c r="F67" s="19">
        <f>F66+F60</f>
        <v>25915687</v>
      </c>
      <c r="G67" s="19">
        <f t="shared" si="2"/>
        <v>18626712834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005012800099769000KD</v>
      </c>
      <c r="B70" s="11" t="str">
        <f>P4</f>
        <v>PN. Soasio</v>
      </c>
      <c r="C70" s="12" t="str">
        <f>A70&amp;" "&amp;B70</f>
        <v>005012800099769000KD PN. Soasio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0</v>
      </c>
      <c r="E73" s="25">
        <f>SUMIFS('Daftar Koreksi'!$H$5:$H$92,'Daftar Koreksi'!$D$5:$D$92,'2800'!A70,'Daftar Koreksi'!$G$5:$G$92,"Persediaan",'Daftar Koreksi'!$H$5:$H$92,"&gt;0")</f>
        <v>0</v>
      </c>
      <c r="F73" s="25">
        <f>SUMIFS('Daftar Koreksi'!$H$5:$H$92,'Daftar Koreksi'!$D$5:$D$92,'2800'!A70,'Daftar Koreksi'!$G$5:$G$92,"Persediaan",'Daftar Koreksi'!$H$5:$H$92,"&lt;0")-SUMIFS('Daftar Koreksi'!$H$5:$H$92,'Daftar Koreksi'!$D$5:$D$92,'2800'!A70,'Daftar Koreksi'!$G$5:$G$92,"Persediaan",'Daftar Koreksi'!$H$5:$H$92,"&lt;0")-SUMIFS('Daftar Koreksi'!$H$5:$H$92,'Daftar Koreksi'!$D$5:$D$92,'2800'!A70,'Daftar Koreksi'!$G$5:$G$92,"Persediaan",'Daftar Koreksi'!$H$5:$H$92,"&lt;0")</f>
        <v>0</v>
      </c>
      <c r="G73" s="17">
        <f>D73+E73-F73</f>
        <v>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882881250</v>
      </c>
      <c r="E74" s="25">
        <f>SUMIFS('Daftar Koreksi'!$H$5:$H$92,'Daftar Koreksi'!$D$5:$D$92,'2800'!A70,'Daftar Koreksi'!$G$5:$G$92,"Tanah",'Daftar Koreksi'!$H$5:$H$92,"&gt;0")</f>
        <v>0</v>
      </c>
      <c r="F74" s="25">
        <f>SUMIFS('Daftar Koreksi'!$H$5:$H$92,'Daftar Koreksi'!$D$5:$D$92,'2800'!A70,'Daftar Koreksi'!$G$5:$G$92,"Tanah",'Daftar Koreksi'!$H$5:$H$92,"&lt;0")-SUMIFS('Daftar Koreksi'!$H$5:$H$92,'Daftar Koreksi'!$D$5:$D$92,'2800'!A70,'Daftar Koreksi'!$G$5:$G$92,"Tanah",'Daftar Koreksi'!$H$5:$H$92,"&lt;0")-SUMIFS('Daftar Koreksi'!$H$5:$H$92,'Daftar Koreksi'!$D$5:$D$92,'2800'!A70,'Daftar Koreksi'!$G$5:$G$92,"Tanah",'Daftar Koreksi'!$H$5:$H$92,"&lt;0")</f>
        <v>0</v>
      </c>
      <c r="G74" s="17">
        <f t="shared" ref="G74:G90" si="3">D74+E74-F74</f>
        <v>882881250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1804898757</v>
      </c>
      <c r="E75" s="25">
        <f>SUMIFS('Daftar Koreksi'!$H$5:$H$92,'Daftar Koreksi'!$D$5:$D$92,'2800'!A70,'Daftar Koreksi'!$G$5:$G$92,"Peralatan dan mesin",'Daftar Koreksi'!$H$5:$H$92,"&gt;0")</f>
        <v>0</v>
      </c>
      <c r="F75" s="25">
        <f>SUMIFS('Daftar Koreksi'!$H$5:$H$92,'Daftar Koreksi'!$D$5:$D$92,'2800'!A70,'Daftar Koreksi'!$G$5:$G$92,"Peralatan dan mesin",'Daftar Koreksi'!$H$5:$H$92,"&lt;0")-SUMIFS('Daftar Koreksi'!$H$5:$H$92,'Daftar Koreksi'!$D$5:$D$92,'2800'!A70,'Daftar Koreksi'!$G$5:$G$92,"Peralatan dan mesin",'Daftar Koreksi'!$H$5:$H$92,"&lt;0")-SUMIFS('Daftar Koreksi'!$H$5:$H$92,'Daftar Koreksi'!$D$5:$D$92,'2800'!A70,'Daftar Koreksi'!$G$5:$G$92,"Peralatan dan mesin",'Daftar Koreksi'!$H$5:$H$92,"&lt;0")</f>
        <v>0</v>
      </c>
      <c r="G75" s="17">
        <f t="shared" si="3"/>
        <v>1804898757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2129968000</v>
      </c>
      <c r="E76" s="25">
        <f>SUMIFS('Daftar Koreksi'!$H$5:$H$92,'Daftar Koreksi'!$D$5:$D$92,'2800'!A70,'Daftar Koreksi'!$G$5:$G$92,"Gedung dan Bangunan",'Daftar Koreksi'!$H$5:$H$92,"&gt;0")</f>
        <v>0</v>
      </c>
      <c r="F76" s="25">
        <f>SUMIFS('Daftar Koreksi'!$H$5:$H$92,'Daftar Koreksi'!$D$5:$D$92,'2800'!A70,'Daftar Koreksi'!$G$5:$G$92,"Gedung dan Bangunan",'Daftar Koreksi'!$H$5:$H$92,"&lt;0")-SUMIFS('Daftar Koreksi'!$H$5:$H$92,'Daftar Koreksi'!$D$5:$D$92,'2800'!A70,'Daftar Koreksi'!$G$5:$G$92,"Gedung dan Bangunan",'Daftar Koreksi'!$H$5:$H$92,"&lt;0")-SUMIFS('Daftar Koreksi'!$H$5:$H$92,'Daftar Koreksi'!$D$5:$D$92,'2800'!A70,'Daftar Koreksi'!$G$5:$G$92,"Gedung dan Bangunan",'Daftar Koreksi'!$H$5:$H$92,"&lt;0")</f>
        <v>0</v>
      </c>
      <c r="G76" s="17">
        <f t="shared" si="3"/>
        <v>2129968000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Koreksi'!$D$5:$D$92,'2800'!A70,'Daftar Koreksi'!$G$5:$G$92,"Jalan Irigasi Jaringan",'Daftar Koreksi'!$H$5:$H$92,"&gt;0")</f>
        <v>0</v>
      </c>
      <c r="F77" s="25">
        <f>SUMIFS('Daftar Koreksi'!$H$5:$H$92,'Daftar Koreksi'!$D$5:$D$92,'2800'!A70,'Daftar Koreksi'!$G$5:$G$92,"Jalan Irigasi Jaringan",'Daftar Koreksi'!$H$5:$H$92,"&lt;0")-SUMIFS('Daftar Koreksi'!$H$5:$H$92,'Daftar Koreksi'!$D$5:$D$92,'2800'!A70,'Daftar Koreksi'!$G$5:$G$92,"Jalan Irigasi Jaringan",'Daftar Koreksi'!$H$5:$H$92,"&lt;0")-SUMIFS('Daftar Koreksi'!$H$5:$H$92,'Daftar Koreksi'!$D$5:$D$92,'2800'!A70,'Daftar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5072116</v>
      </c>
      <c r="E78" s="25">
        <f>SUMIFS('Daftar Koreksi'!$H$5:$H$92,'Daftar Koreksi'!$D$5:$D$92,'2800'!A70,'Daftar Koreksi'!$G$5:$G$92,"Aset Tetap Lainnya",'Daftar Koreksi'!$H$5:$H$92,"&gt;0")</f>
        <v>0</v>
      </c>
      <c r="F78" s="25">
        <f>SUMIFS('Daftar Koreksi'!$H$5:$H$92,'Daftar Koreksi'!$D$5:$D$92,'2800'!A70,'Daftar Koreksi'!$G$5:$G$92,"Aset Tetap Lainnya",'Daftar Koreksi'!$H$5:$H$92,"&lt;0")-SUMIFS('Daftar Koreksi'!$H$5:$H$92,'Daftar Koreksi'!$D$5:$D$92,'2800'!A70,'Daftar Koreksi'!$G$5:$G$92,"Aset Tetap Lainnya",'Daftar Koreksi'!$H$5:$H$92,"&lt;0")-SUMIFS('Daftar Koreksi'!$H$5:$H$92,'Daftar Koreksi'!$D$5:$D$92,'2800'!A70,'Daftar Koreksi'!$G$5:$G$92,"Aset Tetap Lainnya",'Daftar Koreksi'!$H$5:$H$92,"&lt;0")</f>
        <v>0</v>
      </c>
      <c r="G78" s="17">
        <f t="shared" si="3"/>
        <v>5072116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12755721000</v>
      </c>
      <c r="E79" s="25">
        <f>SUMIFS('Daftar Koreksi'!$H$5:$H$92,'Daftar Koreksi'!$D$5:$D$92,'2800'!A70,'Daftar Koreksi'!$G$5:$G$92,"Kontruksi Dalam Pengerjaan",'Daftar Koreksi'!$H$5:$H$92,"&gt;0")</f>
        <v>0</v>
      </c>
      <c r="F79" s="25">
        <f>SUMIFS('Daftar Koreksi'!$H$5:$H$92,'Daftar Koreksi'!$D$5:$D$92,'2800'!A70,'Daftar Koreksi'!$G$5:$G$92,"Kontruksi Dalam Pengerjaan",'Daftar Koreksi'!$H$5:$H$92,"&lt;0")-SUMIFS('Daftar Koreksi'!$H$5:$H$92,'Daftar Koreksi'!$D$5:$D$92,'2800'!A70,'Daftar Koreksi'!$G$5:$G$92,"Kontruksi Dalam Pengerjaan",'Daftar Koreksi'!$H$5:$H$92,"&lt;0")-SUMIFS('Daftar Koreksi'!$H$5:$H$92,'Daftar Koreksi'!$D$5:$D$92,'2800'!A70,'Daftar Koreksi'!$G$5:$G$92,"Kontruksi Dalam Pengerjaan",'Daftar Koreksi'!$H$5:$H$92,"&lt;0")</f>
        <v>0</v>
      </c>
      <c r="G79" s="17">
        <f t="shared" si="3"/>
        <v>12755721000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19940000</v>
      </c>
      <c r="E80" s="25">
        <f>SUMIFS('Daftar Koreksi'!$H$5:$H$92,'Daftar Koreksi'!$D$5:$D$92,'2800'!A70,'Daftar Koreksi'!$G$5:$G$92,"Aset Tak Berwujud",'Daftar Koreksi'!$H$5:$H$92,"&gt;0")</f>
        <v>0</v>
      </c>
      <c r="F80" s="25">
        <f>SUMIFS('Daftar Koreksi'!$H$5:$H$92,'Daftar Koreksi'!$D$5:$D$92,'2800'!A70,'Daftar Koreksi'!$G$5:$G$92,"Aset Tak Berwujud",'Daftar Koreksi'!$H$5:$H$92,"&lt;0")-SUMIFS('Daftar Koreksi'!$H$5:$H$92,'Daftar Koreksi'!$D$5:$D$92,'2800'!A70,'Daftar Koreksi'!$G$5:$G$92,"Aset Tak Berwujud",'Daftar Koreksi'!$H$5:$H$92,"&lt;0")-SUMIFS('Daftar Koreksi'!$H$5:$H$92,'Daftar Koreksi'!$D$5:$D$92,'2800'!A70,'Daftar Koreksi'!$G$5:$G$92,"Aset Tak Berwujud",'Daftar Koreksi'!$H$5:$H$92,"&lt;0")</f>
        <v>0</v>
      </c>
      <c r="G80" s="17">
        <f t="shared" si="3"/>
        <v>19940000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66232942</v>
      </c>
      <c r="E81" s="25">
        <f>SUMIFS('Daftar Koreksi'!$H$5:$H$92,'Daftar Koreksi'!$D$5:$D$92,'2800'!A70,'Daftar Koreksi'!$G$5:$G$92,"Aset Henti Guna",'Daftar Koreksi'!$H$5:$H$92,"&gt;0")</f>
        <v>0</v>
      </c>
      <c r="F81" s="25">
        <f>SUMIFS('Daftar Koreksi'!$H$5:$H$92,'Daftar Koreksi'!$D$5:$D$92,'2800'!A70,'Daftar Koreksi'!$G$5:$G$92,"Aset Henti Guna",'Daftar Koreksi'!$H$5:$H$92,"&lt;0")-SUMIFS('Daftar Koreksi'!$H$5:$H$92,'Daftar Koreksi'!$D$5:$D$92,'2800'!A70,'Daftar Koreksi'!$G$5:$G$92,"Aset Henti Guna",'Daftar Koreksi'!$H$5:$H$92,"&lt;0")-SUMIFS('Daftar Koreksi'!$H$5:$H$92,'Daftar Koreksi'!$D$5:$D$92,'2800'!A70,'Daftar Koreksi'!$G$5:$G$92,"Aset Henti Guna",'Daftar Koreksi'!$H$5:$H$92,"&lt;0")</f>
        <v>0</v>
      </c>
      <c r="G81" s="17">
        <f t="shared" si="3"/>
        <v>66232942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17664714065</v>
      </c>
      <c r="E82" s="19">
        <f>SUM(E73:E81)</f>
        <v>0</v>
      </c>
      <c r="F82" s="19">
        <f>SUM(F73:F81)</f>
        <v>0</v>
      </c>
      <c r="G82" s="19">
        <f t="shared" si="3"/>
        <v>17664714065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-1572962311</v>
      </c>
      <c r="E83" s="25">
        <f>SUMIFS('Daftar Koreksi'!$I$5:$I$92,'Daftar Koreksi'!$D$5:$D$92,'2800'!A70,'Daftar Koreksi'!$G$5:$G$92,"Peralatan dan mesin",'Daftar Koreksi'!$I$5:$I$92,"&gt;0")</f>
        <v>0</v>
      </c>
      <c r="F83" s="25">
        <f>SUMIFS('Daftar Koreksi'!$I$5:$I$92,'Daftar Koreksi'!$D$5:$D$92,'2800'!A70,'Daftar Koreksi'!$G$5:$G$92,"Peralatan dan mesin",'Daftar Koreksi'!$I$5:$I$92,"&lt;0")-SUMIFS('Daftar Koreksi'!$I$5:$I$92,'Daftar Koreksi'!$D$5:$D$92,'2800'!A70,'Daftar Koreksi'!$G$5:$G$92,"Peralatan dan mesin",'Daftar Koreksi'!$I$5:$I$92,"&lt;0")-SUMIFS('Daftar Koreksi'!$I$5:$I$92,'Daftar Koreksi'!$D$5:$D$92,'2800'!A70,'Daftar Koreksi'!$G$5:$G$92,"Peralatan dan mesin",'Daftar Koreksi'!$I$5:$I$92,"&lt;0")</f>
        <v>0</v>
      </c>
      <c r="G83" s="17">
        <f t="shared" si="3"/>
        <v>-1572962311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-566810247</v>
      </c>
      <c r="E84" s="25">
        <f>SUMIFS('Daftar Koreksi'!$I$5:$I$92,'Daftar Koreksi'!$D$5:$D$92,'2800'!A70,'Daftar Koreksi'!$G$5:$G$92,"Gedung dan Bangunan",'Daftar Koreksi'!$I$5:$I$92,"&gt;0")</f>
        <v>0</v>
      </c>
      <c r="F84" s="25">
        <f>SUMIFS('Daftar Koreksi'!$I$5:$I$92,'Daftar Koreksi'!$D$5:$D$92,'2800'!A70,'Daftar Koreksi'!$G$5:$G$92,"Gedung dan Bangunan",'Daftar Koreksi'!$I$5:$I$92,"&lt;0")-SUMIFS('Daftar Koreksi'!$I$5:$I$92,'Daftar Koreksi'!$D$5:$D$92,'2800'!A70,'Daftar Koreksi'!$G$5:$G$92,"Gedung dan Bangunan",'Daftar Koreksi'!$I$5:$I$92,"&lt;0")-SUMIFS('Daftar Koreksi'!$I$5:$I$92,'Daftar Koreksi'!$D$5:$D$92,'2800'!A70,'Daftar Koreksi'!$G$5:$G$92,"Gedung dan Bangunan",'Daftar Koreksi'!$I$5:$I$92,"&lt;0")</f>
        <v>0</v>
      </c>
      <c r="G84" s="17">
        <f t="shared" si="3"/>
        <v>-566810247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Koreksi'!$D$5:$D$92,'2800'!A70,'Daftar Koreksi'!$G$5:$G$92,"Jalan Irigasi Jaringan",'Daftar Koreksi'!$I$5:$I$92,"&gt;0")</f>
        <v>0</v>
      </c>
      <c r="F85" s="25">
        <f>SUMIFS('Daftar Koreksi'!$I$5:$I$92,'Daftar Koreksi'!$D$5:$D$92,'2800'!A70,'Daftar Koreksi'!$G$5:$G$92,"Jalan Irigasi Jaringan",'Daftar Koreksi'!$I$5:$I$92,"&lt;0")-SUMIFS('Daftar Koreksi'!$I$5:$I$92,'Daftar Koreksi'!$D$5:$D$92,'2800'!A70,'Daftar Koreksi'!$G$5:$G$92,"Jalan Irigasi Jaringan",'Daftar Koreksi'!$I$5:$I$92,"&lt;0")-SUMIFS('Daftar Koreksi'!$I$5:$I$92,'Daftar Koreksi'!$D$5:$D$92,'2800'!A70,'Daftar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Koreksi'!$D$5:$D$92,'2800'!A70,'Daftar Koreksi'!$G$5:$G$92,"Aset Tetap Lainnya",'Daftar Koreksi'!$I$5:$I$92,"&gt;0")</f>
        <v>0</v>
      </c>
      <c r="F86" s="25">
        <f>SUMIFS('Daftar Koreksi'!$I$5:$I$92,'Daftar Koreksi'!$D$5:$D$92,'2800'!A70,'Daftar Koreksi'!$G$5:$G$92,"Aset Tetap Lainnya",'Daftar Koreksi'!$I$5:$I$92,"&lt;0")-SUMIFS('Daftar Koreksi'!$I$5:$I$92,'Daftar Koreksi'!$D$5:$D$92,'2800'!A70,'Daftar Koreksi'!$G$5:$G$92,"Aset Tetap Lainnya",'Daftar Koreksi'!$I$5:$I$92,"&lt;0")-SUMIFS('Daftar Koreksi'!$I$5:$I$92,'Daftar Koreksi'!$D$5:$D$92,'2800'!A70,'Daftar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-66232942</v>
      </c>
      <c r="E87" s="25">
        <f>SUMIFS('Daftar Koreksi'!$I$5:$I$92,'Daftar Koreksi'!$D$5:$D$92,'2800'!A70,'Daftar Koreksi'!$G$5:$G$92,"Aset Henti Guna",'Daftar Koreksi'!$I$5:$I$92,"&gt;0")</f>
        <v>0</v>
      </c>
      <c r="F87" s="25">
        <f>SUMIFS('Daftar Koreksi'!$I$5:$I$92,'Daftar Koreksi'!$D$5:$D$92,'2800'!A70,'Daftar Koreksi'!$G$5:$G$92,"Aset Henti Guna",'Daftar Koreksi'!$I$5:$I$92,"&lt;0")-SUMIFS('Daftar Koreksi'!$I$5:$I$92,'Daftar Koreksi'!$D$5:$D$92,'2800'!A70,'Daftar Koreksi'!$G$5:$G$92,"Aset Henti Guna",'Daftar Koreksi'!$I$5:$I$92,"&lt;0")-SUMIFS('Daftar Koreksi'!$I$5:$I$92,'Daftar Koreksi'!$D$5:$D$92,'2800'!A70,'Daftar Koreksi'!$G$5:$G$92,"Aset Henti Guna",'Daftar Koreksi'!$I$5:$I$92,"&lt;0")</f>
        <v>0</v>
      </c>
      <c r="G87" s="17">
        <f t="shared" si="3"/>
        <v>-66232942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-2206005500</v>
      </c>
      <c r="E88" s="19">
        <f>SUM(E83:E87)</f>
        <v>0</v>
      </c>
      <c r="F88" s="19">
        <f>SUM(F83:F87)</f>
        <v>0</v>
      </c>
      <c r="G88" s="19">
        <f t="shared" si="3"/>
        <v>-2206005500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15458708565</v>
      </c>
      <c r="E89" s="19">
        <f>E88+E82</f>
        <v>0</v>
      </c>
      <c r="F89" s="19">
        <f>F88+F82</f>
        <v>0</v>
      </c>
      <c r="G89" s="19">
        <f t="shared" si="3"/>
        <v>15458708565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005012800307782000KD</v>
      </c>
      <c r="B92" s="11" t="str">
        <f>P5</f>
        <v>PA. Ternate</v>
      </c>
      <c r="C92" s="12" t="str">
        <f>A92&amp;" "&amp;B92</f>
        <v>005012800307782000KD PA. Ternate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170000</v>
      </c>
      <c r="E95" s="25">
        <f>SUMIFS('Daftar Koreksi'!$H$5:$H$92,'Daftar Koreksi'!$D$5:$D$92,'2800'!A92,'Daftar Koreksi'!$G$5:$G$92,"Persediaan",'Daftar Koreksi'!$H$5:$H$92,"&gt;0")</f>
        <v>0</v>
      </c>
      <c r="F95" s="25">
        <f>SUMIFS('Daftar Koreksi'!$H$5:$H$92,'Daftar Koreksi'!$D$5:$D$92,'2800'!A92,'Daftar Koreksi'!$G$5:$G$92,"Persediaan",'Daftar Koreksi'!$H$5:$H$92,"&lt;0")-SUMIFS('Daftar Koreksi'!$H$5:$H$92,'Daftar Koreksi'!$D$5:$D$92,'2800'!A92,'Daftar Koreksi'!$G$5:$G$92,"Persediaan",'Daftar Koreksi'!$H$5:$H$92,"&lt;0")-SUMIFS('Daftar Koreksi'!$H$5:$H$92,'Daftar Koreksi'!$D$5:$D$92,'2800'!A92,'Daftar Koreksi'!$G$5:$G$92,"Persediaan",'Daftar Koreksi'!$H$5:$H$92,"&lt;0")</f>
        <v>0</v>
      </c>
      <c r="G95" s="17">
        <f>D95+E95-F95</f>
        <v>170000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1101949000</v>
      </c>
      <c r="E96" s="25">
        <f>SUMIFS('Daftar Koreksi'!$H$5:$H$92,'Daftar Koreksi'!$D$5:$D$92,'2800'!A92,'Daftar Koreksi'!$G$5:$G$92,"Tanah",'Daftar Koreksi'!$H$5:$H$92,"&gt;0")</f>
        <v>0</v>
      </c>
      <c r="F96" s="25">
        <f>SUMIFS('Daftar Koreksi'!$H$5:$H$92,'Daftar Koreksi'!$D$5:$D$92,'2800'!A92,'Daftar Koreksi'!$G$5:$G$92,"Tanah",'Daftar Koreksi'!$H$5:$H$92,"&lt;0")-SUMIFS('Daftar Koreksi'!$H$5:$H$92,'Daftar Koreksi'!$D$5:$D$92,'2800'!A92,'Daftar Koreksi'!$G$5:$G$92,"Tanah",'Daftar Koreksi'!$H$5:$H$92,"&lt;0")-SUMIFS('Daftar Koreksi'!$H$5:$H$92,'Daftar Koreksi'!$D$5:$D$92,'2800'!A92,'Daftar Koreksi'!$G$5:$G$92,"Tanah",'Daftar Koreksi'!$H$5:$H$92,"&lt;0")</f>
        <v>0</v>
      </c>
      <c r="G96" s="17">
        <f t="shared" ref="G96:G112" si="4">D96+E96-F96</f>
        <v>1101949000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1620998819</v>
      </c>
      <c r="E97" s="25">
        <f>SUMIFS('Daftar Koreksi'!$H$5:$H$92,'Daftar Koreksi'!$D$5:$D$92,'2800'!A92,'Daftar Koreksi'!$G$5:$G$92,"Peralatan dan mesin",'Daftar Koreksi'!$H$5:$H$92,"&gt;0")</f>
        <v>0</v>
      </c>
      <c r="F97" s="25">
        <f>SUMIFS('Daftar Koreksi'!$H$5:$H$92,'Daftar Koreksi'!$D$5:$D$92,'2800'!A92,'Daftar Koreksi'!$G$5:$G$92,"Peralatan dan mesin",'Daftar Koreksi'!$H$5:$H$92,"&lt;0")-SUMIFS('Daftar Koreksi'!$H$5:$H$92,'Daftar Koreksi'!$D$5:$D$92,'2800'!A92,'Daftar Koreksi'!$G$5:$G$92,"Peralatan dan mesin",'Daftar Koreksi'!$H$5:$H$92,"&lt;0")-SUMIFS('Daftar Koreksi'!$H$5:$H$92,'Daftar Koreksi'!$D$5:$D$92,'2800'!A92,'Daftar Koreksi'!$G$5:$G$92,"Peralatan dan mesin",'Daftar Koreksi'!$H$5:$H$92,"&lt;0")</f>
        <v>0</v>
      </c>
      <c r="G97" s="17">
        <f t="shared" si="4"/>
        <v>1620998819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9536311117</v>
      </c>
      <c r="E98" s="25">
        <f>SUMIFS('Daftar Koreksi'!$H$5:$H$92,'Daftar Koreksi'!$D$5:$D$92,'2800'!A92,'Daftar Koreksi'!$G$5:$G$92,"Gedung dan Bangunan",'Daftar Koreksi'!$H$5:$H$92,"&gt;0")</f>
        <v>0</v>
      </c>
      <c r="F98" s="25">
        <f>SUMIFS('Daftar Koreksi'!$H$5:$H$92,'Daftar Koreksi'!$D$5:$D$92,'2800'!A92,'Daftar Koreksi'!$G$5:$G$92,"Gedung dan Bangunan",'Daftar Koreksi'!$H$5:$H$92,"&lt;0")-SUMIFS('Daftar Koreksi'!$H$5:$H$92,'Daftar Koreksi'!$D$5:$D$92,'2800'!A92,'Daftar Koreksi'!$G$5:$G$92,"Gedung dan Bangunan",'Daftar Koreksi'!$H$5:$H$92,"&lt;0")-SUMIFS('Daftar Koreksi'!$H$5:$H$92,'Daftar Koreksi'!$D$5:$D$92,'2800'!A92,'Daftar Koreksi'!$G$5:$G$92,"Gedung dan Bangunan",'Daftar Koreksi'!$H$5:$H$92,"&lt;0")</f>
        <v>0</v>
      </c>
      <c r="G98" s="17">
        <f t="shared" si="4"/>
        <v>9536311117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Koreksi'!$D$5:$D$92,'2800'!A92,'Daftar Koreksi'!$G$5:$G$92,"Jalan Irigasi Jaringan",'Daftar Koreksi'!$H$5:$H$92,"&gt;0")</f>
        <v>0</v>
      </c>
      <c r="F99" s="25">
        <f>SUMIFS('Daftar Koreksi'!$H$5:$H$92,'Daftar Koreksi'!$D$5:$D$92,'2800'!A92,'Daftar Koreksi'!$G$5:$G$92,"Jalan Irigasi Jaringan",'Daftar Koreksi'!$H$5:$H$92,"&lt;0")-SUMIFS('Daftar Koreksi'!$H$5:$H$92,'Daftar Koreksi'!$D$5:$D$92,'2800'!A92,'Daftar Koreksi'!$G$5:$G$92,"Jalan Irigasi Jaringan",'Daftar Koreksi'!$H$5:$H$92,"&lt;0")-SUMIFS('Daftar Koreksi'!$H$5:$H$92,'Daftar Koreksi'!$D$5:$D$92,'2800'!A92,'Daftar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32700000</v>
      </c>
      <c r="E100" s="25">
        <f>SUMIFS('Daftar Koreksi'!$H$5:$H$92,'Daftar Koreksi'!$D$5:$D$92,'2800'!A92,'Daftar Koreksi'!$G$5:$G$92,"Aset Tetap Lainnya",'Daftar Koreksi'!$H$5:$H$92,"&gt;0")</f>
        <v>0</v>
      </c>
      <c r="F100" s="25">
        <f>SUMIFS('Daftar Koreksi'!$H$5:$H$92,'Daftar Koreksi'!$D$5:$D$92,'2800'!A92,'Daftar Koreksi'!$G$5:$G$92,"Aset Tetap Lainnya",'Daftar Koreksi'!$H$5:$H$92,"&lt;0")-SUMIFS('Daftar Koreksi'!$H$5:$H$92,'Daftar Koreksi'!$D$5:$D$92,'2800'!A92,'Daftar Koreksi'!$G$5:$G$92,"Aset Tetap Lainnya",'Daftar Koreksi'!$H$5:$H$92,"&lt;0")-SUMIFS('Daftar Koreksi'!$H$5:$H$92,'Daftar Koreksi'!$D$5:$D$92,'2800'!A92,'Daftar Koreksi'!$G$5:$G$92,"Aset Tetap Lainnya",'Daftar Koreksi'!$H$5:$H$92,"&lt;0")</f>
        <v>0</v>
      </c>
      <c r="G100" s="17">
        <f t="shared" si="4"/>
        <v>32700000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Koreksi'!$D$5:$D$92,'2800'!A92,'Daftar Koreksi'!$G$5:$G$92,"Kontruksi Dalam Pengerjaan",'Daftar Koreksi'!$H$5:$H$92,"&gt;0")</f>
        <v>0</v>
      </c>
      <c r="F101" s="25">
        <f>SUMIFS('Daftar Koreksi'!$H$5:$H$92,'Daftar Koreksi'!$D$5:$D$92,'2800'!A92,'Daftar Koreksi'!$G$5:$G$92,"Kontruksi Dalam Pengerjaan",'Daftar Koreksi'!$H$5:$H$92,"&lt;0")-SUMIFS('Daftar Koreksi'!$H$5:$H$92,'Daftar Koreksi'!$D$5:$D$92,'2800'!A92,'Daftar Koreksi'!$G$5:$G$92,"Kontruksi Dalam Pengerjaan",'Daftar Koreksi'!$H$5:$H$92,"&lt;0")-SUMIFS('Daftar Koreksi'!$H$5:$H$92,'Daftar Koreksi'!$D$5:$D$92,'2800'!A92,'Daftar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Koreksi'!$D$5:$D$92,'2800'!A92,'Daftar Koreksi'!$G$5:$G$92,"Aset Tak Berwujud",'Daftar Koreksi'!$H$5:$H$92,"&gt;0")</f>
        <v>0</v>
      </c>
      <c r="F102" s="25">
        <f>SUMIFS('Daftar Koreksi'!$H$5:$H$92,'Daftar Koreksi'!$D$5:$D$92,'2800'!A92,'Daftar Koreksi'!$G$5:$G$92,"Aset Tak Berwujud",'Daftar Koreksi'!$H$5:$H$92,"&lt;0")-SUMIFS('Daftar Koreksi'!$H$5:$H$92,'Daftar Koreksi'!$D$5:$D$92,'2800'!A92,'Daftar Koreksi'!$G$5:$G$92,"Aset Tak Berwujud",'Daftar Koreksi'!$H$5:$H$92,"&lt;0")-SUMIFS('Daftar Koreksi'!$H$5:$H$92,'Daftar Koreksi'!$D$5:$D$92,'2800'!A92,'Daftar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Koreksi'!$D$5:$D$92,'2800'!A92,'Daftar Koreksi'!$G$5:$G$92,"Aset Henti Guna",'Daftar Koreksi'!$H$5:$H$92,"&gt;0")</f>
        <v>0</v>
      </c>
      <c r="F103" s="25">
        <f>SUMIFS('Daftar Koreksi'!$H$5:$H$92,'Daftar Koreksi'!$D$5:$D$92,'2800'!A92,'Daftar Koreksi'!$G$5:$G$92,"Aset Henti Guna",'Daftar Koreksi'!$H$5:$H$92,"&lt;0")-SUMIFS('Daftar Koreksi'!$H$5:$H$92,'Daftar Koreksi'!$D$5:$D$92,'2800'!A92,'Daftar Koreksi'!$G$5:$G$92,"Aset Henti Guna",'Daftar Koreksi'!$H$5:$H$92,"&lt;0")-SUMIFS('Daftar Koreksi'!$H$5:$H$92,'Daftar Koreksi'!$D$5:$D$92,'2800'!A92,'Daftar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12292128936</v>
      </c>
      <c r="E104" s="19">
        <f>SUM(E95:E103)</f>
        <v>0</v>
      </c>
      <c r="F104" s="19">
        <f>SUM(F95:F103)</f>
        <v>0</v>
      </c>
      <c r="G104" s="19">
        <f t="shared" si="4"/>
        <v>12292128936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-1332089892</v>
      </c>
      <c r="E105" s="25">
        <f>SUMIFS('Daftar Koreksi'!$I$5:$I$92,'Daftar Koreksi'!$D$5:$D$92,'2800'!A92,'Daftar Koreksi'!$G$5:$G$92,"Peralatan dan mesin",'Daftar Koreksi'!$I$5:$I$92,"&gt;0")</f>
        <v>0</v>
      </c>
      <c r="F105" s="25">
        <f>SUMIFS('Daftar Koreksi'!$I$5:$I$92,'Daftar Koreksi'!$D$5:$D$92,'2800'!A92,'Daftar Koreksi'!$G$5:$G$92,"Peralatan dan mesin",'Daftar Koreksi'!$I$5:$I$92,"&lt;0")-SUMIFS('Daftar Koreksi'!$I$5:$I$92,'Daftar Koreksi'!$D$5:$D$92,'2800'!A92,'Daftar Koreksi'!$G$5:$G$92,"Peralatan dan mesin",'Daftar Koreksi'!$I$5:$I$92,"&lt;0")-SUMIFS('Daftar Koreksi'!$I$5:$I$92,'Daftar Koreksi'!$D$5:$D$92,'2800'!A92,'Daftar Koreksi'!$G$5:$G$92,"Peralatan dan mesin",'Daftar Koreksi'!$I$5:$I$92,"&lt;0")</f>
        <v>0</v>
      </c>
      <c r="G105" s="17">
        <f t="shared" si="4"/>
        <v>-1332089892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-499499996</v>
      </c>
      <c r="E106" s="25">
        <f>SUMIFS('Daftar Koreksi'!$I$5:$I$92,'Daftar Koreksi'!$D$5:$D$92,'2800'!A92,'Daftar Koreksi'!$G$5:$G$92,"Gedung dan Bangunan",'Daftar Koreksi'!$I$5:$I$92,"&gt;0")</f>
        <v>0</v>
      </c>
      <c r="F106" s="25">
        <f>SUMIFS('Daftar Koreksi'!$I$5:$I$92,'Daftar Koreksi'!$D$5:$D$92,'2800'!A92,'Daftar Koreksi'!$G$5:$G$92,"Gedung dan Bangunan",'Daftar Koreksi'!$I$5:$I$92,"&lt;0")-SUMIFS('Daftar Koreksi'!$I$5:$I$92,'Daftar Koreksi'!$D$5:$D$92,'2800'!A92,'Daftar Koreksi'!$G$5:$G$92,"Gedung dan Bangunan",'Daftar Koreksi'!$I$5:$I$92,"&lt;0")-SUMIFS('Daftar Koreksi'!$I$5:$I$92,'Daftar Koreksi'!$D$5:$D$92,'2800'!A92,'Daftar Koreksi'!$G$5:$G$92,"Gedung dan Bangunan",'Daftar Koreksi'!$I$5:$I$92,"&lt;0")</f>
        <v>0</v>
      </c>
      <c r="G106" s="17">
        <f t="shared" si="4"/>
        <v>-499499996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Koreksi'!$D$5:$D$92,'2800'!A92,'Daftar Koreksi'!$G$5:$G$92,"Jalan Irigasi Jaringan",'Daftar Koreksi'!$I$5:$I$92,"&gt;0")</f>
        <v>0</v>
      </c>
      <c r="F107" s="25">
        <f>SUMIFS('Daftar Koreksi'!$I$5:$I$92,'Daftar Koreksi'!$D$5:$D$92,'2800'!A92,'Daftar Koreksi'!$G$5:$G$92,"Jalan Irigasi Jaringan",'Daftar Koreksi'!$I$5:$I$92,"&lt;0")-SUMIFS('Daftar Koreksi'!$I$5:$I$92,'Daftar Koreksi'!$D$5:$D$92,'2800'!A92,'Daftar Koreksi'!$G$5:$G$92,"Jalan Irigasi Jaringan",'Daftar Koreksi'!$I$5:$I$92,"&lt;0")-SUMIFS('Daftar Koreksi'!$I$5:$I$92,'Daftar Koreksi'!$D$5:$D$92,'2800'!A92,'Daftar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Koreksi'!$D$5:$D$92,'2800'!A92,'Daftar Koreksi'!$G$5:$G$92,"Aset Tetap Lainnya",'Daftar Koreksi'!$I$5:$I$92,"&gt;0")</f>
        <v>0</v>
      </c>
      <c r="F108" s="25">
        <f>SUMIFS('Daftar Koreksi'!$I$5:$I$92,'Daftar Koreksi'!$D$5:$D$92,'2800'!A92,'Daftar Koreksi'!$G$5:$G$92,"Aset Tetap Lainnya",'Daftar Koreksi'!$I$5:$I$92,"&lt;0")-SUMIFS('Daftar Koreksi'!$I$5:$I$92,'Daftar Koreksi'!$D$5:$D$92,'2800'!A92,'Daftar Koreksi'!$G$5:$G$92,"Aset Tetap Lainnya",'Daftar Koreksi'!$I$5:$I$92,"&lt;0")-SUMIFS('Daftar Koreksi'!$I$5:$I$92,'Daftar Koreksi'!$D$5:$D$92,'2800'!A92,'Daftar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Koreksi'!$D$5:$D$92,'2800'!A92,'Daftar Koreksi'!$G$5:$G$92,"Aset Henti Guna",'Daftar Koreksi'!$I$5:$I$92,"&gt;0")</f>
        <v>0</v>
      </c>
      <c r="F109" s="25">
        <f>SUMIFS('Daftar Koreksi'!$I$5:$I$92,'Daftar Koreksi'!$D$5:$D$92,'2800'!A92,'Daftar Koreksi'!$G$5:$G$92,"Aset Henti Guna",'Daftar Koreksi'!$I$5:$I$92,"&lt;0")-SUMIFS('Daftar Koreksi'!$I$5:$I$92,'Daftar Koreksi'!$D$5:$D$92,'2800'!A92,'Daftar Koreksi'!$G$5:$G$92,"Aset Henti Guna",'Daftar Koreksi'!$I$5:$I$92,"&lt;0")-SUMIFS('Daftar Koreksi'!$I$5:$I$92,'Daftar Koreksi'!$D$5:$D$92,'2800'!A92,'Daftar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-1831589888</v>
      </c>
      <c r="E110" s="19">
        <f>SUM(E105:E109)</f>
        <v>0</v>
      </c>
      <c r="F110" s="19">
        <f>SUM(F105:F109)</f>
        <v>0</v>
      </c>
      <c r="G110" s="19">
        <f t="shared" si="4"/>
        <v>-1831589888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10460539048</v>
      </c>
      <c r="E111" s="19">
        <f>E110+E104</f>
        <v>0</v>
      </c>
      <c r="F111" s="19">
        <f>F110+F104</f>
        <v>0</v>
      </c>
      <c r="G111" s="19">
        <f t="shared" si="4"/>
        <v>10460539048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005012800307796000KD</v>
      </c>
      <c r="B114" s="11" t="str">
        <f>P6</f>
        <v>PA. Morotai</v>
      </c>
      <c r="C114" s="12" t="str">
        <f>A114&amp;" "&amp;B114</f>
        <v>005012800307796000KD PA. Morotai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857850</v>
      </c>
      <c r="E117" s="25">
        <f>SUMIFS('Daftar Koreksi'!$H$5:$H$92,'Daftar Koreksi'!$D$5:$D$92,'2800'!A114,'Daftar Koreksi'!$G$5:$G$92,"Persediaan",'Daftar Koreksi'!$H$5:$H$92,"&gt;0")</f>
        <v>0</v>
      </c>
      <c r="F117" s="25">
        <f>SUMIFS('Daftar Koreksi'!$H$5:$H$92,'Daftar Koreksi'!$D$5:$D$92,'2800'!A114,'Daftar Koreksi'!$G$5:$G$92,"Persediaan",'Daftar Koreksi'!$H$5:$H$92,"&lt;0")-SUMIFS('Daftar Koreksi'!$H$5:$H$92,'Daftar Koreksi'!$D$5:$D$92,'2800'!A114,'Daftar Koreksi'!$G$5:$G$92,"Persediaan",'Daftar Koreksi'!$H$5:$H$92,"&lt;0")-SUMIFS('Daftar Koreksi'!$H$5:$H$92,'Daftar Koreksi'!$D$5:$D$92,'2800'!A114,'Daftar Koreksi'!$G$5:$G$92,"Persediaan",'Daftar Koreksi'!$H$5:$H$92,"&lt;0")</f>
        <v>0</v>
      </c>
      <c r="G117" s="17">
        <f>D117+E117-F117</f>
        <v>857850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988830000</v>
      </c>
      <c r="E118" s="25">
        <f>SUMIFS('Daftar Koreksi'!$H$5:$H$92,'Daftar Koreksi'!$D$5:$D$92,'2800'!A114,'Daftar Koreksi'!$G$5:$G$92,"Tanah",'Daftar Koreksi'!$H$5:$H$92,"&gt;0")</f>
        <v>0</v>
      </c>
      <c r="F118" s="25">
        <f>SUMIFS('Daftar Koreksi'!$H$5:$H$92,'Daftar Koreksi'!$D$5:$D$92,'2800'!A114,'Daftar Koreksi'!$G$5:$G$92,"Tanah",'Daftar Koreksi'!$H$5:$H$92,"&lt;0")-SUMIFS('Daftar Koreksi'!$H$5:$H$92,'Daftar Koreksi'!$D$5:$D$92,'2800'!A114,'Daftar Koreksi'!$G$5:$G$92,"Tanah",'Daftar Koreksi'!$H$5:$H$92,"&lt;0")-SUMIFS('Daftar Koreksi'!$H$5:$H$92,'Daftar Koreksi'!$D$5:$D$92,'2800'!A114,'Daftar Koreksi'!$G$5:$G$92,"Tanah",'Daftar Koreksi'!$H$5:$H$92,"&lt;0")</f>
        <v>0</v>
      </c>
      <c r="G118" s="17">
        <f t="shared" ref="G118:G134" si="5">D118+E118-F118</f>
        <v>988830000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1361488750</v>
      </c>
      <c r="E119" s="25">
        <f>SUMIFS('Daftar Koreksi'!$H$5:$H$92,'Daftar Koreksi'!$D$5:$D$92,'2800'!A114,'Daftar Koreksi'!$G$5:$G$92,"Peralatan dan mesin",'Daftar Koreksi'!$H$5:$H$92,"&gt;0")</f>
        <v>0</v>
      </c>
      <c r="F119" s="25">
        <f>SUMIFS('Daftar Koreksi'!$H$5:$H$92,'Daftar Koreksi'!$D$5:$D$92,'2800'!A114,'Daftar Koreksi'!$G$5:$G$92,"Peralatan dan mesin",'Daftar Koreksi'!$H$5:$H$92,"&lt;0")-SUMIFS('Daftar Koreksi'!$H$5:$H$92,'Daftar Koreksi'!$D$5:$D$92,'2800'!A114,'Daftar Koreksi'!$G$5:$G$92,"Peralatan dan mesin",'Daftar Koreksi'!$H$5:$H$92,"&lt;0")-SUMIFS('Daftar Koreksi'!$H$5:$H$92,'Daftar Koreksi'!$D$5:$D$92,'2800'!A114,'Daftar Koreksi'!$G$5:$G$92,"Peralatan dan mesin",'Daftar Koreksi'!$H$5:$H$92,"&lt;0")</f>
        <v>0</v>
      </c>
      <c r="G119" s="17">
        <f t="shared" si="5"/>
        <v>1361488750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632527000</v>
      </c>
      <c r="E120" s="25">
        <f>SUMIFS('Daftar Koreksi'!$H$5:$H$92,'Daftar Koreksi'!$D$5:$D$92,'2800'!A114,'Daftar Koreksi'!$G$5:$G$92,"Gedung dan Bangunan",'Daftar Koreksi'!$H$5:$H$92,"&gt;0")</f>
        <v>0</v>
      </c>
      <c r="F120" s="25">
        <f>SUMIFS('Daftar Koreksi'!$H$5:$H$92,'Daftar Koreksi'!$D$5:$D$92,'2800'!A114,'Daftar Koreksi'!$G$5:$G$92,"Gedung dan Bangunan",'Daftar Koreksi'!$H$5:$H$92,"&lt;0")-SUMIFS('Daftar Koreksi'!$H$5:$H$92,'Daftar Koreksi'!$D$5:$D$92,'2800'!A114,'Daftar Koreksi'!$G$5:$G$92,"Gedung dan Bangunan",'Daftar Koreksi'!$H$5:$H$92,"&lt;0")-SUMIFS('Daftar Koreksi'!$H$5:$H$92,'Daftar Koreksi'!$D$5:$D$92,'2800'!A114,'Daftar Koreksi'!$G$5:$G$92,"Gedung dan Bangunan",'Daftar Koreksi'!$H$5:$H$92,"&lt;0")</f>
        <v>0</v>
      </c>
      <c r="G120" s="17">
        <f t="shared" si="5"/>
        <v>632527000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85000000</v>
      </c>
      <c r="E121" s="25">
        <f>SUMIFS('Daftar Koreksi'!$H$5:$H$92,'Daftar Koreksi'!$D$5:$D$92,'2800'!A114,'Daftar Koreksi'!$G$5:$G$92,"Jalan Irigasi Jaringan",'Daftar Koreksi'!$H$5:$H$92,"&gt;0")</f>
        <v>0</v>
      </c>
      <c r="F121" s="25">
        <f>SUMIFS('Daftar Koreksi'!$H$5:$H$92,'Daftar Koreksi'!$D$5:$D$92,'2800'!A114,'Daftar Koreksi'!$G$5:$G$92,"Jalan Irigasi Jaringan",'Daftar Koreksi'!$H$5:$H$92,"&lt;0")-SUMIFS('Daftar Koreksi'!$H$5:$H$92,'Daftar Koreksi'!$D$5:$D$92,'2800'!A114,'Daftar Koreksi'!$G$5:$G$92,"Jalan Irigasi Jaringan",'Daftar Koreksi'!$H$5:$H$92,"&lt;0")-SUMIFS('Daftar Koreksi'!$H$5:$H$92,'Daftar Koreksi'!$D$5:$D$92,'2800'!A114,'Daftar Koreksi'!$G$5:$G$92,"Jalan Irigasi Jaringan",'Daftar Koreksi'!$H$5:$H$92,"&lt;0")</f>
        <v>0</v>
      </c>
      <c r="G121" s="17">
        <f t="shared" si="5"/>
        <v>85000000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0</v>
      </c>
      <c r="E122" s="25">
        <f>SUMIFS('Daftar Koreksi'!$H$5:$H$92,'Daftar Koreksi'!$D$5:$D$92,'2800'!A114,'Daftar Koreksi'!$G$5:$G$92,"Aset Tetap Lainnya",'Daftar Koreksi'!$H$5:$H$92,"&gt;0")</f>
        <v>0</v>
      </c>
      <c r="F122" s="25">
        <f>SUMIFS('Daftar Koreksi'!$H$5:$H$92,'Daftar Koreksi'!$D$5:$D$92,'2800'!A114,'Daftar Koreksi'!$G$5:$G$92,"Aset Tetap Lainnya",'Daftar Koreksi'!$H$5:$H$92,"&lt;0")-SUMIFS('Daftar Koreksi'!$H$5:$H$92,'Daftar Koreksi'!$D$5:$D$92,'2800'!A114,'Daftar Koreksi'!$G$5:$G$92,"Aset Tetap Lainnya",'Daftar Koreksi'!$H$5:$H$92,"&lt;0")-SUMIFS('Daftar Koreksi'!$H$5:$H$92,'Daftar Koreksi'!$D$5:$D$92,'2800'!A114,'Daftar Koreksi'!$G$5:$G$92,"Aset Tetap Lainnya",'Daftar Koreksi'!$H$5:$H$92,"&lt;0")</f>
        <v>0</v>
      </c>
      <c r="G122" s="17">
        <f t="shared" si="5"/>
        <v>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8382843000</v>
      </c>
      <c r="E123" s="25">
        <f>SUMIFS('Daftar Koreksi'!$H$5:$H$92,'Daftar Koreksi'!$D$5:$D$92,'2800'!A114,'Daftar Koreksi'!$G$5:$G$92,"Kontruksi Dalam Pengerjaan",'Daftar Koreksi'!$H$5:$H$92,"&gt;0")</f>
        <v>0</v>
      </c>
      <c r="F123" s="25">
        <f>SUMIFS('Daftar Koreksi'!$H$5:$H$92,'Daftar Koreksi'!$D$5:$D$92,'2800'!A114,'Daftar Koreksi'!$G$5:$G$92,"Kontruksi Dalam Pengerjaan",'Daftar Koreksi'!$H$5:$H$92,"&lt;0")-SUMIFS('Daftar Koreksi'!$H$5:$H$92,'Daftar Koreksi'!$D$5:$D$92,'2800'!A114,'Daftar Koreksi'!$G$5:$G$92,"Kontruksi Dalam Pengerjaan",'Daftar Koreksi'!$H$5:$H$92,"&lt;0")-SUMIFS('Daftar Koreksi'!$H$5:$H$92,'Daftar Koreksi'!$D$5:$D$92,'2800'!A114,'Daftar Koreksi'!$G$5:$G$92,"Kontruksi Dalam Pengerjaan",'Daftar Koreksi'!$H$5:$H$92,"&lt;0")</f>
        <v>0</v>
      </c>
      <c r="G123" s="17">
        <f t="shared" si="5"/>
        <v>8382843000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Koreksi'!$D$5:$D$92,'2800'!A114,'Daftar Koreksi'!$G$5:$G$92,"Aset Tak Berwujud",'Daftar Koreksi'!$H$5:$H$92,"&gt;0")</f>
        <v>0</v>
      </c>
      <c r="F124" s="25">
        <f>SUMIFS('Daftar Koreksi'!$H$5:$H$92,'Daftar Koreksi'!$D$5:$D$92,'2800'!A114,'Daftar Koreksi'!$G$5:$G$92,"Aset Tak Berwujud",'Daftar Koreksi'!$H$5:$H$92,"&lt;0")-SUMIFS('Daftar Koreksi'!$H$5:$H$92,'Daftar Koreksi'!$D$5:$D$92,'2800'!A114,'Daftar Koreksi'!$G$5:$G$92,"Aset Tak Berwujud",'Daftar Koreksi'!$H$5:$H$92,"&lt;0")-SUMIFS('Daftar Koreksi'!$H$5:$H$92,'Daftar Koreksi'!$D$5:$D$92,'2800'!A114,'Daftar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24867237</v>
      </c>
      <c r="E125" s="25">
        <f>SUMIFS('Daftar Koreksi'!$H$5:$H$92,'Daftar Koreksi'!$D$5:$D$92,'2800'!A114,'Daftar Koreksi'!$G$5:$G$92,"Aset Henti Guna",'Daftar Koreksi'!$H$5:$H$92,"&gt;0")</f>
        <v>0</v>
      </c>
      <c r="F125" s="25">
        <f>SUMIFS('Daftar Koreksi'!$H$5:$H$92,'Daftar Koreksi'!$D$5:$D$92,'2800'!A114,'Daftar Koreksi'!$G$5:$G$92,"Aset Henti Guna",'Daftar Koreksi'!$H$5:$H$92,"&lt;0")-SUMIFS('Daftar Koreksi'!$H$5:$H$92,'Daftar Koreksi'!$D$5:$D$92,'2800'!A114,'Daftar Koreksi'!$G$5:$G$92,"Aset Henti Guna",'Daftar Koreksi'!$H$5:$H$92,"&lt;0")-SUMIFS('Daftar Koreksi'!$H$5:$H$92,'Daftar Koreksi'!$D$5:$D$92,'2800'!A114,'Daftar Koreksi'!$G$5:$G$92,"Aset Henti Guna",'Daftar Koreksi'!$H$5:$H$92,"&lt;0")</f>
        <v>0</v>
      </c>
      <c r="G125" s="17">
        <f t="shared" si="5"/>
        <v>24867237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11476413837</v>
      </c>
      <c r="E126" s="19">
        <f>SUM(E117:E125)</f>
        <v>0</v>
      </c>
      <c r="F126" s="19">
        <f>SUM(F117:F125)</f>
        <v>0</v>
      </c>
      <c r="G126" s="19">
        <f t="shared" si="5"/>
        <v>11476413837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-1031174801</v>
      </c>
      <c r="E127" s="25">
        <f>SUMIFS('Daftar Koreksi'!$I$5:$I$92,'Daftar Koreksi'!$D$5:$D$92,'2800'!A114,'Daftar Koreksi'!$G$5:$G$92,"Peralatan dan mesin",'Daftar Koreksi'!$I$5:$I$92,"&gt;0")</f>
        <v>0</v>
      </c>
      <c r="F127" s="25">
        <f>SUMIFS('Daftar Koreksi'!$I$5:$I$92,'Daftar Koreksi'!$D$5:$D$92,'2800'!A114,'Daftar Koreksi'!$G$5:$G$92,"Peralatan dan mesin",'Daftar Koreksi'!$I$5:$I$92,"&lt;0")-SUMIFS('Daftar Koreksi'!$I$5:$I$92,'Daftar Koreksi'!$D$5:$D$92,'2800'!A114,'Daftar Koreksi'!$G$5:$G$92,"Peralatan dan mesin",'Daftar Koreksi'!$I$5:$I$92,"&lt;0")-SUMIFS('Daftar Koreksi'!$I$5:$I$92,'Daftar Koreksi'!$D$5:$D$92,'2800'!A114,'Daftar Koreksi'!$G$5:$G$92,"Peralatan dan mesin",'Daftar Koreksi'!$I$5:$I$92,"&lt;0")</f>
        <v>0</v>
      </c>
      <c r="G127" s="17">
        <f t="shared" si="5"/>
        <v>-1031174801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-116977897</v>
      </c>
      <c r="E128" s="25">
        <f>SUMIFS('Daftar Koreksi'!$I$5:$I$92,'Daftar Koreksi'!$D$5:$D$92,'2800'!A114,'Daftar Koreksi'!$G$5:$G$92,"Gedung dan Bangunan",'Daftar Koreksi'!$I$5:$I$92,"&gt;0")</f>
        <v>0</v>
      </c>
      <c r="F128" s="25">
        <f>SUMIFS('Daftar Koreksi'!$I$5:$I$92,'Daftar Koreksi'!$D$5:$D$92,'2800'!A114,'Daftar Koreksi'!$G$5:$G$92,"Gedung dan Bangunan",'Daftar Koreksi'!$I$5:$I$92,"&lt;0")-SUMIFS('Daftar Koreksi'!$I$5:$I$92,'Daftar Koreksi'!$D$5:$D$92,'2800'!A114,'Daftar Koreksi'!$G$5:$G$92,"Gedung dan Bangunan",'Daftar Koreksi'!$I$5:$I$92,"&lt;0")-SUMIFS('Daftar Koreksi'!$I$5:$I$92,'Daftar Koreksi'!$D$5:$D$92,'2800'!A114,'Daftar Koreksi'!$G$5:$G$92,"Gedung dan Bangunan",'Daftar Koreksi'!$I$5:$I$92,"&lt;0")</f>
        <v>0</v>
      </c>
      <c r="G128" s="17">
        <f t="shared" si="5"/>
        <v>-116977897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-4250000</v>
      </c>
      <c r="E129" s="25">
        <f>SUMIFS('Daftar Koreksi'!$I$5:$I$92,'Daftar Koreksi'!$D$5:$D$92,'2800'!A114,'Daftar Koreksi'!$G$5:$G$92,"Jalan Irigasi Jaringan",'Daftar Koreksi'!$I$5:$I$92,"&gt;0")</f>
        <v>0</v>
      </c>
      <c r="F129" s="25">
        <f>SUMIFS('Daftar Koreksi'!$I$5:$I$92,'Daftar Koreksi'!$D$5:$D$92,'2800'!A114,'Daftar Koreksi'!$G$5:$G$92,"Jalan Irigasi Jaringan",'Daftar Koreksi'!$I$5:$I$92,"&lt;0")-SUMIFS('Daftar Koreksi'!$I$5:$I$92,'Daftar Koreksi'!$D$5:$D$92,'2800'!A114,'Daftar Koreksi'!$G$5:$G$92,"Jalan Irigasi Jaringan",'Daftar Koreksi'!$I$5:$I$92,"&lt;0")-SUMIFS('Daftar Koreksi'!$I$5:$I$92,'Daftar Koreksi'!$D$5:$D$92,'2800'!A114,'Daftar Koreksi'!$G$5:$G$92,"Jalan Irigasi Jaringan",'Daftar Koreksi'!$I$5:$I$92,"&lt;0")</f>
        <v>0</v>
      </c>
      <c r="G129" s="17">
        <f t="shared" si="5"/>
        <v>-4250000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Koreksi'!$D$5:$D$92,'2800'!A114,'Daftar Koreksi'!$G$5:$G$92,"Aset Tetap Lainnya",'Daftar Koreksi'!$I$5:$I$92,"&gt;0")</f>
        <v>0</v>
      </c>
      <c r="F130" s="25">
        <f>SUMIFS('Daftar Koreksi'!$I$5:$I$92,'Daftar Koreksi'!$D$5:$D$92,'2800'!A114,'Daftar Koreksi'!$G$5:$G$92,"Aset Tetap Lainnya",'Daftar Koreksi'!$I$5:$I$92,"&lt;0")-SUMIFS('Daftar Koreksi'!$I$5:$I$92,'Daftar Koreksi'!$D$5:$D$92,'2800'!A114,'Daftar Koreksi'!$G$5:$G$92,"Aset Tetap Lainnya",'Daftar Koreksi'!$I$5:$I$92,"&lt;0")-SUMIFS('Daftar Koreksi'!$I$5:$I$92,'Daftar Koreksi'!$D$5:$D$92,'2800'!A114,'Daftar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-24492237</v>
      </c>
      <c r="E131" s="25">
        <f>SUMIFS('Daftar Koreksi'!$I$5:$I$92,'Daftar Koreksi'!$D$5:$D$92,'2800'!A114,'Daftar Koreksi'!$G$5:$G$92,"Aset Henti Guna",'Daftar Koreksi'!$I$5:$I$92,"&gt;0")</f>
        <v>0</v>
      </c>
      <c r="F131" s="25">
        <f>SUMIFS('Daftar Koreksi'!$I$5:$I$92,'Daftar Koreksi'!$D$5:$D$92,'2800'!A114,'Daftar Koreksi'!$G$5:$G$92,"Aset Henti Guna",'Daftar Koreksi'!$I$5:$I$92,"&lt;0")-SUMIFS('Daftar Koreksi'!$I$5:$I$92,'Daftar Koreksi'!$D$5:$D$92,'2800'!A114,'Daftar Koreksi'!$G$5:$G$92,"Aset Henti Guna",'Daftar Koreksi'!$I$5:$I$92,"&lt;0")-SUMIFS('Daftar Koreksi'!$I$5:$I$92,'Daftar Koreksi'!$D$5:$D$92,'2800'!A114,'Daftar Koreksi'!$G$5:$G$92,"Aset Henti Guna",'Daftar Koreksi'!$I$5:$I$92,"&lt;0")</f>
        <v>0</v>
      </c>
      <c r="G131" s="17">
        <f t="shared" si="5"/>
        <v>-24492237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-1176894935</v>
      </c>
      <c r="E132" s="19">
        <f>SUM(E127:E131)</f>
        <v>0</v>
      </c>
      <c r="F132" s="19">
        <f>SUM(F127:F131)</f>
        <v>0</v>
      </c>
      <c r="G132" s="19">
        <f t="shared" si="5"/>
        <v>-1176894935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10299518902</v>
      </c>
      <c r="E133" s="19">
        <f>E132+E126</f>
        <v>0</v>
      </c>
      <c r="F133" s="19">
        <f>F132+F126</f>
        <v>0</v>
      </c>
      <c r="G133" s="19">
        <f t="shared" si="5"/>
        <v>10299518902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005012800307801000KD</v>
      </c>
      <c r="B136" s="11" t="str">
        <f>P7</f>
        <v>PA. Soasio</v>
      </c>
      <c r="C136" s="12" t="str">
        <f>A136&amp;" "&amp;B136</f>
        <v>005012800307801000KD PA. Soasio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Koreksi'!$D$5:$D$92,'2800'!A136,'Daftar Koreksi'!$G$5:$G$92,"Persediaan",'Daftar Koreksi'!$H$5:$H$92,"&gt;0")</f>
        <v>0</v>
      </c>
      <c r="F139" s="25">
        <f>SUMIFS('Daftar Koreksi'!$H$5:$H$92,'Daftar Koreksi'!$D$5:$D$92,'2800'!A136,'Daftar Koreksi'!$G$5:$G$92,"Persediaan",'Daftar Koreksi'!$H$5:$H$92,"&lt;0")-SUMIFS('Daftar Koreksi'!$H$5:$H$92,'Daftar Koreksi'!$D$5:$D$92,'2800'!A136,'Daftar Koreksi'!$G$5:$G$92,"Persediaan",'Daftar Koreksi'!$H$5:$H$92,"&lt;0")-SUMIFS('Daftar Koreksi'!$H$5:$H$92,'Daftar Koreksi'!$D$5:$D$92,'2800'!A136,'Daftar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393300000</v>
      </c>
      <c r="E140" s="25">
        <f>SUMIFS('Daftar Koreksi'!$H$5:$H$92,'Daftar Koreksi'!$D$5:$D$92,'2800'!A136,'Daftar Koreksi'!$G$5:$G$92,"Tanah",'Daftar Koreksi'!$H$5:$H$92,"&gt;0")</f>
        <v>0</v>
      </c>
      <c r="F140" s="25">
        <f>SUMIFS('Daftar Koreksi'!$H$5:$H$92,'Daftar Koreksi'!$D$5:$D$92,'2800'!A136,'Daftar Koreksi'!$G$5:$G$92,"Tanah",'Daftar Koreksi'!$H$5:$H$92,"&lt;0")-SUMIFS('Daftar Koreksi'!$H$5:$H$92,'Daftar Koreksi'!$D$5:$D$92,'2800'!A136,'Daftar Koreksi'!$G$5:$G$92,"Tanah",'Daftar Koreksi'!$H$5:$H$92,"&lt;0")-SUMIFS('Daftar Koreksi'!$H$5:$H$92,'Daftar Koreksi'!$D$5:$D$92,'2800'!A136,'Daftar Koreksi'!$G$5:$G$92,"Tanah",'Daftar Koreksi'!$H$5:$H$92,"&lt;0")</f>
        <v>0</v>
      </c>
      <c r="G140" s="17">
        <f t="shared" ref="G140:G156" si="6">D140+E140-F140</f>
        <v>393300000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1740728671</v>
      </c>
      <c r="E141" s="25">
        <f>SUMIFS('Daftar Koreksi'!$H$5:$H$92,'Daftar Koreksi'!$D$5:$D$92,'2800'!A136,'Daftar Koreksi'!$G$5:$G$92,"Peralatan dan mesin",'Daftar Koreksi'!$H$5:$H$92,"&gt;0")</f>
        <v>0</v>
      </c>
      <c r="F141" s="25">
        <f>SUMIFS('Daftar Koreksi'!$H$5:$H$92,'Daftar Koreksi'!$D$5:$D$92,'2800'!A136,'Daftar Koreksi'!$G$5:$G$92,"Peralatan dan mesin",'Daftar Koreksi'!$H$5:$H$92,"&lt;0")-SUMIFS('Daftar Koreksi'!$H$5:$H$92,'Daftar Koreksi'!$D$5:$D$92,'2800'!A136,'Daftar Koreksi'!$G$5:$G$92,"Peralatan dan mesin",'Daftar Koreksi'!$H$5:$H$92,"&lt;0")-SUMIFS('Daftar Koreksi'!$H$5:$H$92,'Daftar Koreksi'!$D$5:$D$92,'2800'!A136,'Daftar Koreksi'!$G$5:$G$92,"Peralatan dan mesin",'Daftar Koreksi'!$H$5:$H$92,"&lt;0")</f>
        <v>0</v>
      </c>
      <c r="G141" s="17">
        <f t="shared" si="6"/>
        <v>1740728671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11011529000</v>
      </c>
      <c r="E142" s="25">
        <f>SUMIFS('Daftar Koreksi'!$H$5:$H$92,'Daftar Koreksi'!$D$5:$D$92,'2800'!A136,'Daftar Koreksi'!$G$5:$G$92,"Gedung dan Bangunan",'Daftar Koreksi'!$H$5:$H$92,"&gt;0")</f>
        <v>0</v>
      </c>
      <c r="F142" s="25">
        <f>SUMIFS('Daftar Koreksi'!$H$5:$H$92,'Daftar Koreksi'!$D$5:$D$92,'2800'!A136,'Daftar Koreksi'!$G$5:$G$92,"Gedung dan Bangunan",'Daftar Koreksi'!$H$5:$H$92,"&lt;0")-SUMIFS('Daftar Koreksi'!$H$5:$H$92,'Daftar Koreksi'!$D$5:$D$92,'2800'!A136,'Daftar Koreksi'!$G$5:$G$92,"Gedung dan Bangunan",'Daftar Koreksi'!$H$5:$H$92,"&lt;0")-SUMIFS('Daftar Koreksi'!$H$5:$H$92,'Daftar Koreksi'!$D$5:$D$92,'2800'!A136,'Daftar Koreksi'!$G$5:$G$92,"Gedung dan Bangunan",'Daftar Koreksi'!$H$5:$H$92,"&lt;0")</f>
        <v>0</v>
      </c>
      <c r="G142" s="17">
        <f t="shared" si="6"/>
        <v>11011529000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5000000</v>
      </c>
      <c r="E143" s="25">
        <f>SUMIFS('Daftar Koreksi'!$H$5:$H$92,'Daftar Koreksi'!$D$5:$D$92,'2800'!A136,'Daftar Koreksi'!$G$5:$G$92,"Jalan Irigasi Jaringan",'Daftar Koreksi'!$H$5:$H$92,"&gt;0")</f>
        <v>0</v>
      </c>
      <c r="F143" s="25">
        <f>SUMIFS('Daftar Koreksi'!$H$5:$H$92,'Daftar Koreksi'!$D$5:$D$92,'2800'!A136,'Daftar Koreksi'!$G$5:$G$92,"Jalan Irigasi Jaringan",'Daftar Koreksi'!$H$5:$H$92,"&lt;0")-SUMIFS('Daftar Koreksi'!$H$5:$H$92,'Daftar Koreksi'!$D$5:$D$92,'2800'!A136,'Daftar Koreksi'!$G$5:$G$92,"Jalan Irigasi Jaringan",'Daftar Koreksi'!$H$5:$H$92,"&lt;0")-SUMIFS('Daftar Koreksi'!$H$5:$H$92,'Daftar Koreksi'!$D$5:$D$92,'2800'!A136,'Daftar Koreksi'!$G$5:$G$92,"Jalan Irigasi Jaringan",'Daftar Koreksi'!$H$5:$H$92,"&lt;0")</f>
        <v>0</v>
      </c>
      <c r="G143" s="17">
        <f t="shared" si="6"/>
        <v>5000000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25000</v>
      </c>
      <c r="E144" s="25">
        <f>SUMIFS('Daftar Koreksi'!$H$5:$H$92,'Daftar Koreksi'!$D$5:$D$92,'2800'!A136,'Daftar Koreksi'!$G$5:$G$92,"Aset Tetap Lainnya",'Daftar Koreksi'!$H$5:$H$92,"&gt;0")</f>
        <v>0</v>
      </c>
      <c r="F144" s="25">
        <f>SUMIFS('Daftar Koreksi'!$H$5:$H$92,'Daftar Koreksi'!$D$5:$D$92,'2800'!A136,'Daftar Koreksi'!$G$5:$G$92,"Aset Tetap Lainnya",'Daftar Koreksi'!$H$5:$H$92,"&lt;0")-SUMIFS('Daftar Koreksi'!$H$5:$H$92,'Daftar Koreksi'!$D$5:$D$92,'2800'!A136,'Daftar Koreksi'!$G$5:$G$92,"Aset Tetap Lainnya",'Daftar Koreksi'!$H$5:$H$92,"&lt;0")-SUMIFS('Daftar Koreksi'!$H$5:$H$92,'Daftar Koreksi'!$D$5:$D$92,'2800'!A136,'Daftar Koreksi'!$G$5:$G$92,"Aset Tetap Lainnya",'Daftar Koreksi'!$H$5:$H$92,"&lt;0")</f>
        <v>0</v>
      </c>
      <c r="G144" s="17">
        <f t="shared" si="6"/>
        <v>25000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Koreksi'!$D$5:$D$92,'2800'!A136,'Daftar Koreksi'!$G$5:$G$92,"Kontruksi Dalam Pengerjaan",'Daftar Koreksi'!$H$5:$H$92,"&gt;0")</f>
        <v>0</v>
      </c>
      <c r="F145" s="25">
        <f>SUMIFS('Daftar Koreksi'!$H$5:$H$92,'Daftar Koreksi'!$D$5:$D$92,'2800'!A136,'Daftar Koreksi'!$G$5:$G$92,"Kontruksi Dalam Pengerjaan",'Daftar Koreksi'!$H$5:$H$92,"&lt;0")-SUMIFS('Daftar Koreksi'!$H$5:$H$92,'Daftar Koreksi'!$D$5:$D$92,'2800'!A136,'Daftar Koreksi'!$G$5:$G$92,"Kontruksi Dalam Pengerjaan",'Daftar Koreksi'!$H$5:$H$92,"&lt;0")-SUMIFS('Daftar Koreksi'!$H$5:$H$92,'Daftar Koreksi'!$D$5:$D$92,'2800'!A136,'Daftar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Koreksi'!$D$5:$D$92,'2800'!A136,'Daftar Koreksi'!$G$5:$G$92,"Aset Tak Berwujud",'Daftar Koreksi'!$H$5:$H$92,"&gt;0")</f>
        <v>0</v>
      </c>
      <c r="F146" s="25">
        <f>SUMIFS('Daftar Koreksi'!$H$5:$H$92,'Daftar Koreksi'!$D$5:$D$92,'2800'!A136,'Daftar Koreksi'!$G$5:$G$92,"Aset Tak Berwujud",'Daftar Koreksi'!$H$5:$H$92,"&lt;0")-SUMIFS('Daftar Koreksi'!$H$5:$H$92,'Daftar Koreksi'!$D$5:$D$92,'2800'!A136,'Daftar Koreksi'!$G$5:$G$92,"Aset Tak Berwujud",'Daftar Koreksi'!$H$5:$H$92,"&lt;0")-SUMIFS('Daftar Koreksi'!$H$5:$H$92,'Daftar Koreksi'!$D$5:$D$92,'2800'!A136,'Daftar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Koreksi'!$D$5:$D$92,'2800'!A136,'Daftar Koreksi'!$G$5:$G$92,"Aset Henti Guna",'Daftar Koreksi'!$H$5:$H$92,"&gt;0")</f>
        <v>0</v>
      </c>
      <c r="F147" s="25">
        <f>SUMIFS('Daftar Koreksi'!$H$5:$H$92,'Daftar Koreksi'!$D$5:$D$92,'2800'!A136,'Daftar Koreksi'!$G$5:$G$92,"Aset Henti Guna",'Daftar Koreksi'!$H$5:$H$92,"&lt;0")-SUMIFS('Daftar Koreksi'!$H$5:$H$92,'Daftar Koreksi'!$D$5:$D$92,'2800'!A136,'Daftar Koreksi'!$G$5:$G$92,"Aset Henti Guna",'Daftar Koreksi'!$H$5:$H$92,"&lt;0")-SUMIFS('Daftar Koreksi'!$H$5:$H$92,'Daftar Koreksi'!$D$5:$D$92,'2800'!A136,'Daftar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13150582671</v>
      </c>
      <c r="E148" s="19">
        <f>SUM(E139:E147)</f>
        <v>0</v>
      </c>
      <c r="F148" s="19">
        <f>SUM(F139:F147)</f>
        <v>0</v>
      </c>
      <c r="G148" s="19">
        <f t="shared" si="6"/>
        <v>13150582671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-1396718383</v>
      </c>
      <c r="E149" s="25">
        <f>SUMIFS('Daftar Koreksi'!$I$5:$I$92,'Daftar Koreksi'!$D$5:$D$92,'2800'!A136,'Daftar Koreksi'!$G$5:$G$92,"Peralatan dan mesin",'Daftar Koreksi'!$I$5:$I$92,"&gt;0")</f>
        <v>0</v>
      </c>
      <c r="F149" s="25">
        <f>SUMIFS('Daftar Koreksi'!$I$5:$I$92,'Daftar Koreksi'!$D$5:$D$92,'2800'!A136,'Daftar Koreksi'!$G$5:$G$92,"Peralatan dan mesin",'Daftar Koreksi'!$I$5:$I$92,"&lt;0")-SUMIFS('Daftar Koreksi'!$I$5:$I$92,'Daftar Koreksi'!$D$5:$D$92,'2800'!A136,'Daftar Koreksi'!$G$5:$G$92,"Peralatan dan mesin",'Daftar Koreksi'!$I$5:$I$92,"&lt;0")-SUMIFS('Daftar Koreksi'!$I$5:$I$92,'Daftar Koreksi'!$D$5:$D$92,'2800'!A136,'Daftar Koreksi'!$G$5:$G$92,"Peralatan dan mesin",'Daftar Koreksi'!$I$5:$I$92,"&lt;0")</f>
        <v>0</v>
      </c>
      <c r="G149" s="17">
        <f t="shared" si="6"/>
        <v>-1396718383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-1136549966</v>
      </c>
      <c r="E150" s="25">
        <f>SUMIFS('Daftar Koreksi'!$I$5:$I$92,'Daftar Koreksi'!$D$5:$D$92,'2800'!A136,'Daftar Koreksi'!$G$5:$G$92,"Gedung dan Bangunan",'Daftar Koreksi'!$I$5:$I$92,"&gt;0")</f>
        <v>0</v>
      </c>
      <c r="F150" s="25">
        <f>SUMIFS('Daftar Koreksi'!$I$5:$I$92,'Daftar Koreksi'!$D$5:$D$92,'2800'!A136,'Daftar Koreksi'!$G$5:$G$92,"Gedung dan Bangunan",'Daftar Koreksi'!$I$5:$I$92,"&lt;0")-SUMIFS('Daftar Koreksi'!$I$5:$I$92,'Daftar Koreksi'!$D$5:$D$92,'2800'!A136,'Daftar Koreksi'!$G$5:$G$92,"Gedung dan Bangunan",'Daftar Koreksi'!$I$5:$I$92,"&lt;0")-SUMIFS('Daftar Koreksi'!$I$5:$I$92,'Daftar Koreksi'!$D$5:$D$92,'2800'!A136,'Daftar Koreksi'!$G$5:$G$92,"Gedung dan Bangunan",'Daftar Koreksi'!$I$5:$I$92,"&lt;0")</f>
        <v>0</v>
      </c>
      <c r="G150" s="17">
        <f t="shared" si="6"/>
        <v>-1136549966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-2000000</v>
      </c>
      <c r="E151" s="25">
        <f>SUMIFS('Daftar Koreksi'!$I$5:$I$92,'Daftar Koreksi'!$D$5:$D$92,'2800'!A136,'Daftar Koreksi'!$G$5:$G$92,"Jalan Irigasi Jaringan",'Daftar Koreksi'!$I$5:$I$92,"&gt;0")</f>
        <v>0</v>
      </c>
      <c r="F151" s="25">
        <f>SUMIFS('Daftar Koreksi'!$I$5:$I$92,'Daftar Koreksi'!$D$5:$D$92,'2800'!A136,'Daftar Koreksi'!$G$5:$G$92,"Jalan Irigasi Jaringan",'Daftar Koreksi'!$I$5:$I$92,"&lt;0")-SUMIFS('Daftar Koreksi'!$I$5:$I$92,'Daftar Koreksi'!$D$5:$D$92,'2800'!A136,'Daftar Koreksi'!$G$5:$G$92,"Jalan Irigasi Jaringan",'Daftar Koreksi'!$I$5:$I$92,"&lt;0")-SUMIFS('Daftar Koreksi'!$I$5:$I$92,'Daftar Koreksi'!$D$5:$D$92,'2800'!A136,'Daftar Koreksi'!$G$5:$G$92,"Jalan Irigasi Jaringan",'Daftar Koreksi'!$I$5:$I$92,"&lt;0")</f>
        <v>0</v>
      </c>
      <c r="G151" s="17">
        <f t="shared" si="6"/>
        <v>-2000000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Koreksi'!$D$5:$D$92,'2800'!A136,'Daftar Koreksi'!$G$5:$G$92,"Aset Tetap Lainnya",'Daftar Koreksi'!$I$5:$I$92,"&gt;0")</f>
        <v>0</v>
      </c>
      <c r="F152" s="25">
        <f>SUMIFS('Daftar Koreksi'!$I$5:$I$92,'Daftar Koreksi'!$D$5:$D$92,'2800'!A136,'Daftar Koreksi'!$G$5:$G$92,"Aset Tetap Lainnya",'Daftar Koreksi'!$I$5:$I$92,"&lt;0")-SUMIFS('Daftar Koreksi'!$I$5:$I$92,'Daftar Koreksi'!$D$5:$D$92,'2800'!A136,'Daftar Koreksi'!$G$5:$G$92,"Aset Tetap Lainnya",'Daftar Koreksi'!$I$5:$I$92,"&lt;0")-SUMIFS('Daftar Koreksi'!$I$5:$I$92,'Daftar Koreksi'!$D$5:$D$92,'2800'!A136,'Daftar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Koreksi'!$D$5:$D$92,'2800'!A136,'Daftar Koreksi'!$G$5:$G$92,"Aset Henti Guna",'Daftar Koreksi'!$I$5:$I$92,"&gt;0")</f>
        <v>0</v>
      </c>
      <c r="F153" s="25">
        <f>SUMIFS('Daftar Koreksi'!$I$5:$I$92,'Daftar Koreksi'!$D$5:$D$92,'2800'!A136,'Daftar Koreksi'!$G$5:$G$92,"Aset Henti Guna",'Daftar Koreksi'!$I$5:$I$92,"&lt;0")-SUMIFS('Daftar Koreksi'!$I$5:$I$92,'Daftar Koreksi'!$D$5:$D$92,'2800'!A136,'Daftar Koreksi'!$G$5:$G$92,"Aset Henti Guna",'Daftar Koreksi'!$I$5:$I$92,"&lt;0")-SUMIFS('Daftar Koreksi'!$I$5:$I$92,'Daftar Koreksi'!$D$5:$D$92,'2800'!A136,'Daftar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-2535268349</v>
      </c>
      <c r="E154" s="19">
        <f>SUM(E149:E153)</f>
        <v>0</v>
      </c>
      <c r="F154" s="19">
        <f>SUM(F149:F153)</f>
        <v>0</v>
      </c>
      <c r="G154" s="19">
        <f t="shared" si="6"/>
        <v>-2535268349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10615314322</v>
      </c>
      <c r="E155" s="19">
        <f>E154+E148</f>
        <v>0</v>
      </c>
      <c r="F155" s="19">
        <f>F154+F148</f>
        <v>0</v>
      </c>
      <c r="G155" s="19">
        <f t="shared" si="6"/>
        <v>10615314322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005012800307818000KD</v>
      </c>
      <c r="B158" s="11" t="str">
        <f>P8</f>
        <v>PA. Labuhan Bacan (Labuha)</v>
      </c>
      <c r="C158" s="12" t="str">
        <f>A158&amp;" "&amp;B158</f>
        <v>005012800307818000KD PA. Labuhan Bacan (Labuha)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2587300</v>
      </c>
      <c r="E161" s="25">
        <f>SUMIFS('Daftar Koreksi'!$H$5:$H$92,'Daftar Koreksi'!$D$5:$D$92,'2800'!A158,'Daftar Koreksi'!$G$5:$G$92,"Persediaan",'Daftar Koreksi'!$H$5:$H$92,"&gt;0")</f>
        <v>0</v>
      </c>
      <c r="F161" s="25">
        <f>SUMIFS('Daftar Koreksi'!$H$5:$H$92,'Daftar Koreksi'!$D$5:$D$92,'2800'!A158,'Daftar Koreksi'!$G$5:$G$92,"Persediaan",'Daftar Koreksi'!$H$5:$H$92,"&lt;0")-SUMIFS('Daftar Koreksi'!$H$5:$H$92,'Daftar Koreksi'!$D$5:$D$92,'2800'!A158,'Daftar Koreksi'!$G$5:$G$92,"Persediaan",'Daftar Koreksi'!$H$5:$H$92,"&lt;0")-SUMIFS('Daftar Koreksi'!$H$5:$H$92,'Daftar Koreksi'!$D$5:$D$92,'2800'!A158,'Daftar Koreksi'!$G$5:$G$92,"Persediaan",'Daftar Koreksi'!$H$5:$H$92,"&lt;0")</f>
        <v>0</v>
      </c>
      <c r="G161" s="17">
        <f>D161+E161-F161</f>
        <v>2587300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660040000</v>
      </c>
      <c r="E162" s="25">
        <f>SUMIFS('Daftar Koreksi'!$H$5:$H$92,'Daftar Koreksi'!$D$5:$D$92,'2800'!A158,'Daftar Koreksi'!$G$5:$G$92,"Tanah",'Daftar Koreksi'!$H$5:$H$92,"&gt;0")</f>
        <v>0</v>
      </c>
      <c r="F162" s="25">
        <f>SUMIFS('Daftar Koreksi'!$H$5:$H$92,'Daftar Koreksi'!$D$5:$D$92,'2800'!A158,'Daftar Koreksi'!$G$5:$G$92,"Tanah",'Daftar Koreksi'!$H$5:$H$92,"&lt;0")-SUMIFS('Daftar Koreksi'!$H$5:$H$92,'Daftar Koreksi'!$D$5:$D$92,'2800'!A158,'Daftar Koreksi'!$G$5:$G$92,"Tanah",'Daftar Koreksi'!$H$5:$H$92,"&lt;0")-SUMIFS('Daftar Koreksi'!$H$5:$H$92,'Daftar Koreksi'!$D$5:$D$92,'2800'!A158,'Daftar Koreksi'!$G$5:$G$92,"Tanah",'Daftar Koreksi'!$H$5:$H$92,"&lt;0")</f>
        <v>0</v>
      </c>
      <c r="G162" s="17">
        <f t="shared" ref="G162:G178" si="7">D162+E162-F162</f>
        <v>660040000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1369553690</v>
      </c>
      <c r="E163" s="25">
        <f>SUMIFS('Daftar Koreksi'!$H$5:$H$92,'Daftar Koreksi'!$D$5:$D$92,'2800'!A158,'Daftar Koreksi'!$G$5:$G$92,"Peralatan dan mesin",'Daftar Koreksi'!$H$5:$H$92,"&gt;0")</f>
        <v>0</v>
      </c>
      <c r="F163" s="25">
        <f>SUMIFS('Daftar Koreksi'!$H$5:$H$92,'Daftar Koreksi'!$D$5:$D$92,'2800'!A158,'Daftar Koreksi'!$G$5:$G$92,"Peralatan dan mesin",'Daftar Koreksi'!$H$5:$H$92,"&lt;0")-SUMIFS('Daftar Koreksi'!$H$5:$H$92,'Daftar Koreksi'!$D$5:$D$92,'2800'!A158,'Daftar Koreksi'!$G$5:$G$92,"Peralatan dan mesin",'Daftar Koreksi'!$H$5:$H$92,"&lt;0")-SUMIFS('Daftar Koreksi'!$H$5:$H$92,'Daftar Koreksi'!$D$5:$D$92,'2800'!A158,'Daftar Koreksi'!$G$5:$G$92,"Peralatan dan mesin",'Daftar Koreksi'!$H$5:$H$92,"&lt;0")</f>
        <v>0</v>
      </c>
      <c r="G163" s="17">
        <f t="shared" si="7"/>
        <v>1369553690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410707000</v>
      </c>
      <c r="E164" s="25">
        <f>SUMIFS('Daftar Koreksi'!$H$5:$H$92,'Daftar Koreksi'!$D$5:$D$92,'2800'!A158,'Daftar Koreksi'!$G$5:$G$92,"Gedung dan Bangunan",'Daftar Koreksi'!$H$5:$H$92,"&gt;0")</f>
        <v>0</v>
      </c>
      <c r="F164" s="25">
        <f>SUMIFS('Daftar Koreksi'!$H$5:$H$92,'Daftar Koreksi'!$D$5:$D$92,'2800'!A158,'Daftar Koreksi'!$G$5:$G$92,"Gedung dan Bangunan",'Daftar Koreksi'!$H$5:$H$92,"&lt;0")-SUMIFS('Daftar Koreksi'!$H$5:$H$92,'Daftar Koreksi'!$D$5:$D$92,'2800'!A158,'Daftar Koreksi'!$G$5:$G$92,"Gedung dan Bangunan",'Daftar Koreksi'!$H$5:$H$92,"&lt;0")-SUMIFS('Daftar Koreksi'!$H$5:$H$92,'Daftar Koreksi'!$D$5:$D$92,'2800'!A158,'Daftar Koreksi'!$G$5:$G$92,"Gedung dan Bangunan",'Daftar Koreksi'!$H$5:$H$92,"&lt;0")</f>
        <v>0</v>
      </c>
      <c r="G164" s="17">
        <f t="shared" si="7"/>
        <v>410707000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Koreksi'!$D$5:$D$92,'2800'!A158,'Daftar Koreksi'!$G$5:$G$92,"Jalan Irigasi Jaringan",'Daftar Koreksi'!$H$5:$H$92,"&gt;0")</f>
        <v>0</v>
      </c>
      <c r="F165" s="25">
        <f>SUMIFS('Daftar Koreksi'!$H$5:$H$92,'Daftar Koreksi'!$D$5:$D$92,'2800'!A158,'Daftar Koreksi'!$G$5:$G$92,"Jalan Irigasi Jaringan",'Daftar Koreksi'!$H$5:$H$92,"&lt;0")-SUMIFS('Daftar Koreksi'!$H$5:$H$92,'Daftar Koreksi'!$D$5:$D$92,'2800'!A158,'Daftar Koreksi'!$G$5:$G$92,"Jalan Irigasi Jaringan",'Daftar Koreksi'!$H$5:$H$92,"&lt;0")-SUMIFS('Daftar Koreksi'!$H$5:$H$92,'Daftar Koreksi'!$D$5:$D$92,'2800'!A158,'Daftar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951000</v>
      </c>
      <c r="E166" s="25">
        <f>SUMIFS('Daftar Koreksi'!$H$5:$H$92,'Daftar Koreksi'!$D$5:$D$92,'2800'!A158,'Daftar Koreksi'!$G$5:$G$92,"Aset Tetap Lainnya",'Daftar Koreksi'!$H$5:$H$92,"&gt;0")</f>
        <v>0</v>
      </c>
      <c r="F166" s="25">
        <f>SUMIFS('Daftar Koreksi'!$H$5:$H$92,'Daftar Koreksi'!$D$5:$D$92,'2800'!A158,'Daftar Koreksi'!$G$5:$G$92,"Aset Tetap Lainnya",'Daftar Koreksi'!$H$5:$H$92,"&lt;0")-SUMIFS('Daftar Koreksi'!$H$5:$H$92,'Daftar Koreksi'!$D$5:$D$92,'2800'!A158,'Daftar Koreksi'!$G$5:$G$92,"Aset Tetap Lainnya",'Daftar Koreksi'!$H$5:$H$92,"&lt;0")-SUMIFS('Daftar Koreksi'!$H$5:$H$92,'Daftar Koreksi'!$D$5:$D$92,'2800'!A158,'Daftar Koreksi'!$G$5:$G$92,"Aset Tetap Lainnya",'Daftar Koreksi'!$H$5:$H$92,"&lt;0")</f>
        <v>0</v>
      </c>
      <c r="G166" s="17">
        <f t="shared" si="7"/>
        <v>951000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9128205700</v>
      </c>
      <c r="E167" s="25">
        <f>SUMIFS('Daftar Koreksi'!$H$5:$H$92,'Daftar Koreksi'!$D$5:$D$92,'2800'!A158,'Daftar Koreksi'!$G$5:$G$92,"Kontruksi Dalam Pengerjaan",'Daftar Koreksi'!$H$5:$H$92,"&gt;0")</f>
        <v>0</v>
      </c>
      <c r="F167" s="25">
        <f>SUMIFS('Daftar Koreksi'!$H$5:$H$92,'Daftar Koreksi'!$D$5:$D$92,'2800'!A158,'Daftar Koreksi'!$G$5:$G$92,"Kontruksi Dalam Pengerjaan",'Daftar Koreksi'!$H$5:$H$92,"&lt;0")-SUMIFS('Daftar Koreksi'!$H$5:$H$92,'Daftar Koreksi'!$D$5:$D$92,'2800'!A158,'Daftar Koreksi'!$G$5:$G$92,"Kontruksi Dalam Pengerjaan",'Daftar Koreksi'!$H$5:$H$92,"&lt;0")-SUMIFS('Daftar Koreksi'!$H$5:$H$92,'Daftar Koreksi'!$D$5:$D$92,'2800'!A158,'Daftar Koreksi'!$G$5:$G$92,"Kontruksi Dalam Pengerjaan",'Daftar Koreksi'!$H$5:$H$92,"&lt;0")</f>
        <v>0</v>
      </c>
      <c r="G167" s="17">
        <f t="shared" si="7"/>
        <v>9128205700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Koreksi'!$D$5:$D$92,'2800'!A158,'Daftar Koreksi'!$G$5:$G$92,"Aset Tak Berwujud",'Daftar Koreksi'!$H$5:$H$92,"&gt;0")</f>
        <v>0</v>
      </c>
      <c r="F168" s="25">
        <f>SUMIFS('Daftar Koreksi'!$H$5:$H$92,'Daftar Koreksi'!$D$5:$D$92,'2800'!A158,'Daftar Koreksi'!$G$5:$G$92,"Aset Tak Berwujud",'Daftar Koreksi'!$H$5:$H$92,"&lt;0")-SUMIFS('Daftar Koreksi'!$H$5:$H$92,'Daftar Koreksi'!$D$5:$D$92,'2800'!A158,'Daftar Koreksi'!$G$5:$G$92,"Aset Tak Berwujud",'Daftar Koreksi'!$H$5:$H$92,"&lt;0")-SUMIFS('Daftar Koreksi'!$H$5:$H$92,'Daftar Koreksi'!$D$5:$D$92,'2800'!A158,'Daftar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Koreksi'!$D$5:$D$92,'2800'!A158,'Daftar Koreksi'!$G$5:$G$92,"Aset Henti Guna",'Daftar Koreksi'!$H$5:$H$92,"&gt;0")</f>
        <v>0</v>
      </c>
      <c r="F169" s="25">
        <f>SUMIFS('Daftar Koreksi'!$H$5:$H$92,'Daftar Koreksi'!$D$5:$D$92,'2800'!A158,'Daftar Koreksi'!$G$5:$G$92,"Aset Henti Guna",'Daftar Koreksi'!$H$5:$H$92,"&lt;0")-SUMIFS('Daftar Koreksi'!$H$5:$H$92,'Daftar Koreksi'!$D$5:$D$92,'2800'!A158,'Daftar Koreksi'!$G$5:$G$92,"Aset Henti Guna",'Daftar Koreksi'!$H$5:$H$92,"&lt;0")-SUMIFS('Daftar Koreksi'!$H$5:$H$92,'Daftar Koreksi'!$D$5:$D$92,'2800'!A158,'Daftar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11572044690</v>
      </c>
      <c r="E170" s="19">
        <f>SUM(E161:E169)</f>
        <v>0</v>
      </c>
      <c r="F170" s="19">
        <f>SUM(F161:F169)</f>
        <v>0</v>
      </c>
      <c r="G170" s="19">
        <f t="shared" si="7"/>
        <v>11572044690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-1102744619</v>
      </c>
      <c r="E171" s="25">
        <f>SUMIFS('Daftar Koreksi'!$I$5:$I$92,'Daftar Koreksi'!$D$5:$D$92,'2800'!A158,'Daftar Koreksi'!$G$5:$G$92,"Peralatan dan mesin",'Daftar Koreksi'!$I$5:$I$92,"&gt;0")</f>
        <v>0</v>
      </c>
      <c r="F171" s="25">
        <f>SUMIFS('Daftar Koreksi'!$I$5:$I$92,'Daftar Koreksi'!$D$5:$D$92,'2800'!A158,'Daftar Koreksi'!$G$5:$G$92,"Peralatan dan mesin",'Daftar Koreksi'!$I$5:$I$92,"&lt;0")-SUMIFS('Daftar Koreksi'!$I$5:$I$92,'Daftar Koreksi'!$D$5:$D$92,'2800'!A158,'Daftar Koreksi'!$G$5:$G$92,"Peralatan dan mesin",'Daftar Koreksi'!$I$5:$I$92,"&lt;0")-SUMIFS('Daftar Koreksi'!$I$5:$I$92,'Daftar Koreksi'!$D$5:$D$92,'2800'!A158,'Daftar Koreksi'!$G$5:$G$92,"Peralatan dan mesin",'Daftar Koreksi'!$I$5:$I$92,"&lt;0")</f>
        <v>0</v>
      </c>
      <c r="G171" s="17">
        <f t="shared" si="7"/>
        <v>-1102744619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-90370994</v>
      </c>
      <c r="E172" s="25">
        <f>SUMIFS('Daftar Koreksi'!$I$5:$I$92,'Daftar Koreksi'!$D$5:$D$92,'2800'!A158,'Daftar Koreksi'!$G$5:$G$92,"Gedung dan Bangunan",'Daftar Koreksi'!$I$5:$I$92,"&gt;0")</f>
        <v>0</v>
      </c>
      <c r="F172" s="25">
        <f>SUMIFS('Daftar Koreksi'!$I$5:$I$92,'Daftar Koreksi'!$D$5:$D$92,'2800'!A158,'Daftar Koreksi'!$G$5:$G$92,"Gedung dan Bangunan",'Daftar Koreksi'!$I$5:$I$92,"&lt;0")-SUMIFS('Daftar Koreksi'!$I$5:$I$92,'Daftar Koreksi'!$D$5:$D$92,'2800'!A158,'Daftar Koreksi'!$G$5:$G$92,"Gedung dan Bangunan",'Daftar Koreksi'!$I$5:$I$92,"&lt;0")-SUMIFS('Daftar Koreksi'!$I$5:$I$92,'Daftar Koreksi'!$D$5:$D$92,'2800'!A158,'Daftar Koreksi'!$G$5:$G$92,"Gedung dan Bangunan",'Daftar Koreksi'!$I$5:$I$92,"&lt;0")</f>
        <v>0</v>
      </c>
      <c r="G172" s="17">
        <f t="shared" si="7"/>
        <v>-90370994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Koreksi'!$D$5:$D$92,'2800'!A158,'Daftar Koreksi'!$G$5:$G$92,"Jalan Irigasi Jaringan",'Daftar Koreksi'!$I$5:$I$92,"&gt;0")</f>
        <v>0</v>
      </c>
      <c r="F173" s="25">
        <f>SUMIFS('Daftar Koreksi'!$I$5:$I$92,'Daftar Koreksi'!$D$5:$D$92,'2800'!A158,'Daftar Koreksi'!$G$5:$G$92,"Jalan Irigasi Jaringan",'Daftar Koreksi'!$I$5:$I$92,"&lt;0")-SUMIFS('Daftar Koreksi'!$I$5:$I$92,'Daftar Koreksi'!$D$5:$D$92,'2800'!A158,'Daftar Koreksi'!$G$5:$G$92,"Jalan Irigasi Jaringan",'Daftar Koreksi'!$I$5:$I$92,"&lt;0")-SUMIFS('Daftar Koreksi'!$I$5:$I$92,'Daftar Koreksi'!$D$5:$D$92,'2800'!A158,'Daftar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Koreksi'!$D$5:$D$92,'2800'!A158,'Daftar Koreksi'!$G$5:$G$92,"Aset Tetap Lainnya",'Daftar Koreksi'!$I$5:$I$92,"&gt;0")</f>
        <v>0</v>
      </c>
      <c r="F174" s="25">
        <f>SUMIFS('Daftar Koreksi'!$I$5:$I$92,'Daftar Koreksi'!$D$5:$D$92,'2800'!A158,'Daftar Koreksi'!$G$5:$G$92,"Aset Tetap Lainnya",'Daftar Koreksi'!$I$5:$I$92,"&lt;0")-SUMIFS('Daftar Koreksi'!$I$5:$I$92,'Daftar Koreksi'!$D$5:$D$92,'2800'!A158,'Daftar Koreksi'!$G$5:$G$92,"Aset Tetap Lainnya",'Daftar Koreksi'!$I$5:$I$92,"&lt;0")-SUMIFS('Daftar Koreksi'!$I$5:$I$92,'Daftar Koreksi'!$D$5:$D$92,'2800'!A158,'Daftar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Koreksi'!$D$5:$D$92,'2800'!A158,'Daftar Koreksi'!$G$5:$G$92,"Aset Henti Guna",'Daftar Koreksi'!$I$5:$I$92,"&gt;0")</f>
        <v>0</v>
      </c>
      <c r="F175" s="25">
        <f>SUMIFS('Daftar Koreksi'!$I$5:$I$92,'Daftar Koreksi'!$D$5:$D$92,'2800'!A158,'Daftar Koreksi'!$G$5:$G$92,"Aset Henti Guna",'Daftar Koreksi'!$I$5:$I$92,"&lt;0")-SUMIFS('Daftar Koreksi'!$I$5:$I$92,'Daftar Koreksi'!$D$5:$D$92,'2800'!A158,'Daftar Koreksi'!$G$5:$G$92,"Aset Henti Guna",'Daftar Koreksi'!$I$5:$I$92,"&lt;0")-SUMIFS('Daftar Koreksi'!$I$5:$I$92,'Daftar Koreksi'!$D$5:$D$92,'2800'!A158,'Daftar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-1193115613</v>
      </c>
      <c r="E176" s="19">
        <f>SUM(E171:E175)</f>
        <v>0</v>
      </c>
      <c r="F176" s="19">
        <f>SUM(F171:F175)</f>
        <v>0</v>
      </c>
      <c r="G176" s="19">
        <f t="shared" si="7"/>
        <v>-1193115613</v>
      </c>
      <c r="H176" s="122"/>
    </row>
    <row r="177" spans="1:11" ht="21.95" customHeight="1">
      <c r="A177" s="14"/>
      <c r="B177" s="14"/>
      <c r="C177" s="18" t="s">
        <v>2095</v>
      </c>
      <c r="D177" s="19">
        <f>VLOOKUP(A158,'Neraca Unaudited SIMAK'!$A$2:$S$10004,18,FALSE)</f>
        <v>10378929077</v>
      </c>
      <c r="E177" s="19">
        <f>E176+E170</f>
        <v>0</v>
      </c>
      <c r="F177" s="19">
        <f>F176+F170</f>
        <v>0</v>
      </c>
      <c r="G177" s="19">
        <f t="shared" si="7"/>
        <v>10378929077</v>
      </c>
      <c r="H177" s="122"/>
    </row>
    <row r="178" spans="1:11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11" ht="19.5" customHeight="1">
      <c r="A180" s="11" t="str">
        <f>O9</f>
        <v>005012800440740000KD</v>
      </c>
      <c r="B180" s="11" t="str">
        <f>P9</f>
        <v>PTA. Maluku Utara</v>
      </c>
      <c r="C180" s="12" t="str">
        <f>A180&amp;" "&amp;B180</f>
        <v>005012800440740000KD PTA. Maluku Utara</v>
      </c>
      <c r="D180" s="13"/>
      <c r="E180" s="13"/>
      <c r="F180" s="13"/>
      <c r="G180" s="13"/>
      <c r="H180" s="11"/>
    </row>
    <row r="181" spans="1:11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1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1" ht="21.95" customHeight="1">
      <c r="A183" s="14"/>
      <c r="B183" s="14"/>
      <c r="C183" s="16" t="s">
        <v>1165</v>
      </c>
      <c r="D183" s="17">
        <f>VLOOKUP(A180,'Neraca Unaudited SIMAK'!$A$2:$S$10004,3,FALSE)</f>
        <v>3407198</v>
      </c>
      <c r="E183" s="25">
        <f>SUMIFS('Daftar Koreksi'!$H$5:$H$92,'Daftar Koreksi'!$D$5:$D$92,'2800'!A180,'Daftar Koreksi'!$G$5:$G$92,"Persediaan",'Daftar Koreksi'!$H$5:$H$92,"&gt;0")</f>
        <v>0</v>
      </c>
      <c r="F183" s="25">
        <f>SUMIFS('Daftar Koreksi'!$H$5:$H$92,'Daftar Koreksi'!$D$5:$D$92,'2800'!A180,'Daftar Koreksi'!$G$5:$G$92,"Persediaan",'Daftar Koreksi'!$H$5:$H$92,"&lt;0")-SUMIFS('Daftar Koreksi'!$H$5:$H$92,'Daftar Koreksi'!$D$5:$D$92,'2800'!A180,'Daftar Koreksi'!$G$5:$G$92,"Persediaan",'Daftar Koreksi'!$H$5:$H$92,"&lt;0")-SUMIFS('Daftar Koreksi'!$H$5:$H$92,'Daftar Koreksi'!$D$5:$D$92,'2800'!A180,'Daftar Koreksi'!$G$5:$G$92,"Persediaan",'Daftar Koreksi'!$H$5:$H$92,"&lt;0")</f>
        <v>0</v>
      </c>
      <c r="G183" s="17">
        <f>D183+E183-F183</f>
        <v>3407198</v>
      </c>
      <c r="H183" s="121" t="str">
        <f>IF(ISNA(VLOOKUP(A180,'Mutasi Neraca'!$A$3:$S$914,19,FALSE)),"-",VLOOKUP(A180,'Mutasi Neraca'!$A$3:$S$914,19,FALSE))</f>
        <v>TP. No 2</v>
      </c>
      <c r="I183" s="28"/>
      <c r="J183" s="28"/>
    </row>
    <row r="184" spans="1:11" ht="21.95" customHeight="1">
      <c r="A184" s="14"/>
      <c r="B184" s="14"/>
      <c r="C184" s="16" t="s">
        <v>1166</v>
      </c>
      <c r="D184" s="17">
        <f>VLOOKUP(A180,'Neraca Unaudited SIMAK'!$A$2:$S$10004,4,FALSE)</f>
        <v>598000000</v>
      </c>
      <c r="E184" s="25">
        <f>SUMIFS('Daftar Koreksi'!$H$5:$H$92,'Daftar Koreksi'!$D$5:$D$92,'2800'!A180,'Daftar Koreksi'!$G$5:$G$92,"Tanah",'Daftar Koreksi'!$H$5:$H$92,"&gt;0")</f>
        <v>0</v>
      </c>
      <c r="F184" s="25">
        <f>SUMIFS('Daftar Koreksi'!$H$5:$H$92,'Daftar Koreksi'!$D$5:$D$92,'2800'!A180,'Daftar Koreksi'!$G$5:$G$92,"Tanah",'Daftar Koreksi'!$H$5:$H$92,"&lt;0")-SUMIFS('Daftar Koreksi'!$H$5:$H$92,'Daftar Koreksi'!$D$5:$D$92,'2800'!A180,'Daftar Koreksi'!$G$5:$G$92,"Tanah",'Daftar Koreksi'!$H$5:$H$92,"&lt;0")-SUMIFS('Daftar Koreksi'!$H$5:$H$92,'Daftar Koreksi'!$D$5:$D$92,'2800'!A180,'Daftar Koreksi'!$G$5:$G$92,"Tanah",'Daftar Koreksi'!$H$5:$H$92,"&lt;0")</f>
        <v>0</v>
      </c>
      <c r="G184" s="17">
        <f t="shared" ref="G184:G200" si="8">D184+E184-F184</f>
        <v>598000000</v>
      </c>
      <c r="H184" s="122"/>
      <c r="I184" s="28"/>
      <c r="J184" s="28"/>
    </row>
    <row r="185" spans="1:11" ht="21.95" customHeight="1">
      <c r="A185" s="14"/>
      <c r="B185" s="14"/>
      <c r="C185" s="16" t="s">
        <v>1167</v>
      </c>
      <c r="D185" s="17">
        <f>VLOOKUP(A180,'Neraca Unaudited SIMAK'!$A$2:$S$10004,5,FALSE)</f>
        <v>1794948802</v>
      </c>
      <c r="E185" s="25">
        <f>SUMIFS('Daftar Koreksi'!$H$5:$H$92,'Daftar Koreksi'!$D$5:$D$92,'2800'!A180,'Daftar Koreksi'!$G$5:$G$92,"Peralatan dan mesin",'Daftar Koreksi'!$H$5:$H$92,"&gt;0")</f>
        <v>266196500</v>
      </c>
      <c r="F185" s="25">
        <f>SUMIFS('Daftar Koreksi'!$H$5:$H$92,'Daftar Koreksi'!$D$5:$D$92,'2800'!A180,'Daftar Koreksi'!$G$5:$G$92,"Peralatan dan mesin",'Daftar Koreksi'!$H$5:$H$92,"&lt;0")-SUMIFS('Daftar Koreksi'!$H$5:$H$92,'Daftar Koreksi'!$D$5:$D$92,'2800'!A180,'Daftar Koreksi'!$G$5:$G$92,"Peralatan dan mesin",'Daftar Koreksi'!$H$5:$H$92,"&lt;0")-SUMIFS('Daftar Koreksi'!$H$5:$H$92,'Daftar Koreksi'!$D$5:$D$92,'2800'!A180,'Daftar Koreksi'!$G$5:$G$92,"Peralatan dan mesin",'Daftar Koreksi'!$H$5:$H$92,"&lt;0")</f>
        <v>0</v>
      </c>
      <c r="G185" s="17">
        <f t="shared" si="8"/>
        <v>2061145302</v>
      </c>
      <c r="H185" s="122"/>
      <c r="I185" s="28"/>
      <c r="J185" s="28"/>
    </row>
    <row r="186" spans="1:11" ht="21.95" customHeight="1">
      <c r="A186" s="14"/>
      <c r="B186" s="14"/>
      <c r="C186" s="16" t="s">
        <v>1168</v>
      </c>
      <c r="D186" s="17">
        <f>VLOOKUP(A180,'Neraca Unaudited SIMAK'!$A$2:$S$10004,6,FALSE)</f>
        <v>14579527122</v>
      </c>
      <c r="E186" s="25">
        <f>SUMIFS('Daftar Koreksi'!$H$5:$H$92,'Daftar Koreksi'!$D$5:$D$92,'2800'!A180,'Daftar Koreksi'!$G$5:$G$92,"Gedung dan Bangunan",'Daftar Koreksi'!$H$5:$H$92,"&gt;0")</f>
        <v>0</v>
      </c>
      <c r="F186" s="25">
        <f>SUMIFS('Daftar Koreksi'!$H$5:$H$92,'Daftar Koreksi'!$D$5:$D$92,'2800'!A180,'Daftar Koreksi'!$G$5:$G$92,"Gedung dan Bangunan",'Daftar Koreksi'!$H$5:$H$92,"&lt;0")-SUMIFS('Daftar Koreksi'!$H$5:$H$92,'Daftar Koreksi'!$D$5:$D$92,'2800'!A180,'Daftar Koreksi'!$G$5:$G$92,"Gedung dan Bangunan",'Daftar Koreksi'!$H$5:$H$92,"&lt;0")-SUMIFS('Daftar Koreksi'!$H$5:$H$92,'Daftar Koreksi'!$D$5:$D$92,'2800'!A180,'Daftar Koreksi'!$G$5:$G$92,"Gedung dan Bangunan",'Daftar Koreksi'!$H$5:$H$92,"&lt;0")</f>
        <v>0</v>
      </c>
      <c r="G186" s="17">
        <f t="shared" si="8"/>
        <v>14579527122</v>
      </c>
      <c r="H186" s="122"/>
      <c r="I186" s="28"/>
      <c r="J186" s="28"/>
      <c r="K186" s="29"/>
    </row>
    <row r="187" spans="1:11" ht="21.95" customHeight="1">
      <c r="A187" s="14"/>
      <c r="B187" s="14"/>
      <c r="C187" s="16" t="s">
        <v>1169</v>
      </c>
      <c r="D187" s="17">
        <f>VLOOKUP(A180,'Neraca Unaudited SIMAK'!$A$2:$S$10004,7,FALSE)</f>
        <v>300000000</v>
      </c>
      <c r="E187" s="25">
        <f>SUMIFS('Daftar Koreksi'!$H$5:$H$92,'Daftar Koreksi'!$D$5:$D$92,'2800'!A180,'Daftar Koreksi'!$G$5:$G$92,"Jalan Irigasi Jaringan",'Daftar Koreksi'!$H$5:$H$92,"&gt;0")</f>
        <v>0</v>
      </c>
      <c r="F187" s="25">
        <f>SUMIFS('Daftar Koreksi'!$H$5:$H$92,'Daftar Koreksi'!$D$5:$D$92,'2800'!A180,'Daftar Koreksi'!$G$5:$G$92,"Jalan Irigasi Jaringan",'Daftar Koreksi'!$H$5:$H$92,"&lt;0")-SUMIFS('Daftar Koreksi'!$H$5:$H$92,'Daftar Koreksi'!$D$5:$D$92,'2800'!A180,'Daftar Koreksi'!$G$5:$G$92,"Jalan Irigasi Jaringan",'Daftar Koreksi'!$H$5:$H$92,"&lt;0")-SUMIFS('Daftar Koreksi'!$H$5:$H$92,'Daftar Koreksi'!$D$5:$D$92,'2800'!A180,'Daftar Koreksi'!$G$5:$G$92,"Jalan Irigasi Jaringan",'Daftar Koreksi'!$H$5:$H$92,"&lt;0")</f>
        <v>0</v>
      </c>
      <c r="G187" s="17">
        <f t="shared" si="8"/>
        <v>300000000</v>
      </c>
      <c r="H187" s="122"/>
      <c r="I187" s="28"/>
      <c r="J187" s="28"/>
    </row>
    <row r="188" spans="1:11" ht="21.95" customHeight="1">
      <c r="A188" s="14"/>
      <c r="B188" s="14"/>
      <c r="C188" s="16" t="s">
        <v>1170</v>
      </c>
      <c r="D188" s="17">
        <f>VLOOKUP(A180,'Neraca Unaudited SIMAK'!$A$2:$S$10004,8,FALSE)</f>
        <v>35259984</v>
      </c>
      <c r="E188" s="25">
        <f>SUMIFS('Daftar Koreksi'!$H$5:$H$92,'Daftar Koreksi'!$D$5:$D$92,'2800'!A180,'Daftar Koreksi'!$G$5:$G$92,"Aset Tetap Lainnya",'Daftar Koreksi'!$H$5:$H$92,"&gt;0")</f>
        <v>0</v>
      </c>
      <c r="F188" s="25">
        <f>SUMIFS('Daftar Koreksi'!$H$5:$H$92,'Daftar Koreksi'!$D$5:$D$92,'2800'!A180,'Daftar Koreksi'!$G$5:$G$92,"Aset Tetap Lainnya",'Daftar Koreksi'!$H$5:$H$92,"&lt;0")-SUMIFS('Daftar Koreksi'!$H$5:$H$92,'Daftar Koreksi'!$D$5:$D$92,'2800'!A180,'Daftar Koreksi'!$G$5:$G$92,"Aset Tetap Lainnya",'Daftar Koreksi'!$H$5:$H$92,"&lt;0")-SUMIFS('Daftar Koreksi'!$H$5:$H$92,'Daftar Koreksi'!$D$5:$D$92,'2800'!A180,'Daftar Koreksi'!$G$5:$G$92,"Aset Tetap Lainnya",'Daftar Koreksi'!$H$5:$H$92,"&lt;0")</f>
        <v>0</v>
      </c>
      <c r="G188" s="17">
        <f t="shared" si="8"/>
        <v>35259984</v>
      </c>
      <c r="H188" s="122"/>
      <c r="I188" s="28"/>
      <c r="J188" s="28"/>
    </row>
    <row r="189" spans="1:11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Koreksi'!$D$5:$D$92,'2800'!A180,'Daftar Koreksi'!$G$5:$G$92,"Kontruksi Dalam Pengerjaan",'Daftar Koreksi'!$H$5:$H$92,"&gt;0")</f>
        <v>0</v>
      </c>
      <c r="F189" s="25">
        <f>SUMIFS('Daftar Koreksi'!$H$5:$H$92,'Daftar Koreksi'!$D$5:$D$92,'2800'!A180,'Daftar Koreksi'!$G$5:$G$92,"Kontruksi Dalam Pengerjaan",'Daftar Koreksi'!$H$5:$H$92,"&lt;0")-SUMIFS('Daftar Koreksi'!$H$5:$H$92,'Daftar Koreksi'!$D$5:$D$92,'2800'!A180,'Daftar Koreksi'!$G$5:$G$92,"Kontruksi Dalam Pengerjaan",'Daftar Koreksi'!$H$5:$H$92,"&lt;0")-SUMIFS('Daftar Koreksi'!$H$5:$H$92,'Daftar Koreksi'!$D$5:$D$92,'2800'!A180,'Daftar Koreksi'!$G$5:$G$92,"Kontruksi Dalam Pengerjaan",'Daftar Koreksi'!$H$5:$H$92,"&lt;0")</f>
        <v>0</v>
      </c>
      <c r="G189" s="17">
        <f t="shared" si="8"/>
        <v>0</v>
      </c>
      <c r="H189" s="122"/>
      <c r="I189" s="28"/>
      <c r="J189" s="28"/>
    </row>
    <row r="190" spans="1:11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Koreksi'!$D$5:$D$92,'2800'!A180,'Daftar Koreksi'!$G$5:$G$92,"Aset Tak Berwujud",'Daftar Koreksi'!$H$5:$H$92,"&gt;0")</f>
        <v>0</v>
      </c>
      <c r="F190" s="25">
        <f>SUMIFS('Daftar Koreksi'!$H$5:$H$92,'Daftar Koreksi'!$D$5:$D$92,'2800'!A180,'Daftar Koreksi'!$G$5:$G$92,"Aset Tak Berwujud",'Daftar Koreksi'!$H$5:$H$92,"&lt;0")-SUMIFS('Daftar Koreksi'!$H$5:$H$92,'Daftar Koreksi'!$D$5:$D$92,'2800'!A180,'Daftar Koreksi'!$G$5:$G$92,"Aset Tak Berwujud",'Daftar Koreksi'!$H$5:$H$92,"&lt;0")-SUMIFS('Daftar Koreksi'!$H$5:$H$92,'Daftar Koreksi'!$D$5:$D$92,'2800'!A180,'Daftar Koreksi'!$G$5:$G$92,"Aset Tak Berwujud",'Daftar Koreksi'!$H$5:$H$92,"&lt;0")</f>
        <v>0</v>
      </c>
      <c r="G190" s="17">
        <f t="shared" si="8"/>
        <v>0</v>
      </c>
      <c r="H190" s="122"/>
      <c r="I190" s="28"/>
      <c r="J190" s="28"/>
    </row>
    <row r="191" spans="1:11" ht="21.95" customHeight="1">
      <c r="A191" s="14"/>
      <c r="B191" s="14"/>
      <c r="C191" s="16" t="s">
        <v>1173</v>
      </c>
      <c r="D191" s="17">
        <f>VLOOKUP(A180,'Neraca Unaudited SIMAK'!$A$2:$S$10004,11,FALSE)</f>
        <v>2520000</v>
      </c>
      <c r="E191" s="25">
        <f>SUMIFS('Daftar Koreksi'!$H$5:$H$92,'Daftar Koreksi'!$D$5:$D$92,'2800'!A180,'Daftar Koreksi'!$G$5:$G$92,"Aset Henti Guna",'Daftar Koreksi'!$H$5:$H$92,"&gt;0")</f>
        <v>0</v>
      </c>
      <c r="F191" s="25">
        <f>SUMIFS('Daftar Koreksi'!$H$5:$H$92,'Daftar Koreksi'!$D$5:$D$92,'2800'!A180,'Daftar Koreksi'!$G$5:$G$92,"Aset Henti Guna",'Daftar Koreksi'!$H$5:$H$92,"&lt;0")-SUMIFS('Daftar Koreksi'!$H$5:$H$92,'Daftar Koreksi'!$D$5:$D$92,'2800'!A180,'Daftar Koreksi'!$G$5:$G$92,"Aset Henti Guna",'Daftar Koreksi'!$H$5:$H$92,"&lt;0")-SUMIFS('Daftar Koreksi'!$H$5:$H$92,'Daftar Koreksi'!$D$5:$D$92,'2800'!A180,'Daftar Koreksi'!$G$5:$G$92,"Aset Henti Guna",'Daftar Koreksi'!$H$5:$H$92,"&lt;0")</f>
        <v>0</v>
      </c>
      <c r="G191" s="17">
        <f t="shared" si="8"/>
        <v>2520000</v>
      </c>
      <c r="H191" s="122"/>
      <c r="I191" s="28"/>
      <c r="J191" s="28"/>
    </row>
    <row r="192" spans="1:11" ht="21.95" customHeight="1">
      <c r="A192" s="14"/>
      <c r="B192" s="14"/>
      <c r="C192" s="18" t="s">
        <v>2093</v>
      </c>
      <c r="D192" s="19">
        <f>VLOOKUP(A180,'Neraca Unaudited SIMAK'!$A$2:$S$10004,12,FALSE)</f>
        <v>17313663106</v>
      </c>
      <c r="E192" s="19">
        <f>SUM(E183:E191)</f>
        <v>266196500</v>
      </c>
      <c r="F192" s="19">
        <f>SUM(F183:F191)</f>
        <v>0</v>
      </c>
      <c r="G192" s="19">
        <f t="shared" si="8"/>
        <v>17579859606</v>
      </c>
      <c r="H192" s="122"/>
      <c r="I192" s="28"/>
      <c r="J192" s="28"/>
    </row>
    <row r="193" spans="1:13" ht="21.95" customHeight="1">
      <c r="A193" s="14"/>
      <c r="B193" s="14"/>
      <c r="C193" s="16" t="s">
        <v>2087</v>
      </c>
      <c r="D193" s="17">
        <f>VLOOKUP(A180,'Neraca Unaudited SIMAK'!$A$2:$S$10004,13,FALSE)</f>
        <v>-1582635709</v>
      </c>
      <c r="E193" s="25">
        <f>SUMIFS('Daftar Koreksi'!$I$5:$I$92,'Daftar Koreksi'!$D$5:$D$92,'2800'!A180,'Daftar Koreksi'!$G$5:$G$92,"Peralatan dan mesin",'Daftar Koreksi'!$I$5:$I$92,"&gt;0")</f>
        <v>0</v>
      </c>
      <c r="F193" s="25">
        <f>SUMIFS('Daftar Koreksi'!$I$5:$I$92,'Daftar Koreksi'!$D$5:$D$92,'2800'!A180,'Daftar Koreksi'!$G$5:$G$92,"Peralatan dan mesin",'Daftar Koreksi'!$I$5:$I$92,"&lt;0")-SUMIFS('Daftar Koreksi'!$I$5:$I$92,'Daftar Koreksi'!$D$5:$D$92,'2800'!A180,'Daftar Koreksi'!$G$5:$G$92,"Peralatan dan mesin",'Daftar Koreksi'!$I$5:$I$92,"&lt;0")-SUMIFS('Daftar Koreksi'!$I$5:$I$92,'Daftar Koreksi'!$D$5:$D$92,'2800'!A180,'Daftar Koreksi'!$G$5:$G$92,"Peralatan dan mesin",'Daftar Koreksi'!$I$5:$I$92,"&lt;0")</f>
        <v>266196500</v>
      </c>
      <c r="G193" s="17">
        <f t="shared" si="8"/>
        <v>-1848832209</v>
      </c>
      <c r="H193" s="122"/>
      <c r="I193" s="28"/>
      <c r="J193" s="28"/>
    </row>
    <row r="194" spans="1:13" ht="21.95" customHeight="1">
      <c r="A194" s="14"/>
      <c r="B194" s="14"/>
      <c r="C194" s="16" t="s">
        <v>2088</v>
      </c>
      <c r="D194" s="17">
        <f>VLOOKUP(A180,'Neraca Unaudited SIMAK'!$A$2:$S$10004,14,FALSE)</f>
        <v>-1843077768</v>
      </c>
      <c r="E194" s="25">
        <f>SUMIFS('Daftar Koreksi'!$I$5:$I$92,'Daftar Koreksi'!$D$5:$D$92,'2800'!A180,'Daftar Koreksi'!$G$5:$G$92,"Gedung dan Bangunan",'Daftar Koreksi'!$I$5:$I$92,"&gt;0")</f>
        <v>0</v>
      </c>
      <c r="F194" s="25">
        <f>SUMIFS('Daftar Koreksi'!$I$5:$I$92,'Daftar Koreksi'!$D$5:$D$92,'2800'!A180,'Daftar Koreksi'!$G$5:$G$92,"Gedung dan Bangunan",'Daftar Koreksi'!$I$5:$I$92,"&lt;0")-SUMIFS('Daftar Koreksi'!$I$5:$I$92,'Daftar Koreksi'!$D$5:$D$92,'2800'!A180,'Daftar Koreksi'!$G$5:$G$92,"Gedung dan Bangunan",'Daftar Koreksi'!$I$5:$I$92,"&lt;0")-SUMIFS('Daftar Koreksi'!$I$5:$I$92,'Daftar Koreksi'!$D$5:$D$92,'2800'!A180,'Daftar Koreksi'!$G$5:$G$92,"Gedung dan Bangunan",'Daftar Koreksi'!$I$5:$I$92,"&lt;0")</f>
        <v>0</v>
      </c>
      <c r="G194" s="17">
        <f t="shared" si="8"/>
        <v>-1843077768</v>
      </c>
      <c r="H194" s="122"/>
      <c r="I194" s="28"/>
      <c r="J194" s="28"/>
      <c r="K194" s="29"/>
      <c r="L194" s="10"/>
      <c r="M194" s="29"/>
    </row>
    <row r="195" spans="1:13" ht="21.95" customHeight="1">
      <c r="A195" s="14"/>
      <c r="B195" s="14"/>
      <c r="C195" s="16" t="s">
        <v>2089</v>
      </c>
      <c r="D195" s="17">
        <f>VLOOKUP(A180,'Neraca Unaudited SIMAK'!$A$2:$S$10004,15,FALSE)</f>
        <v>-26250000</v>
      </c>
      <c r="E195" s="25">
        <f>SUMIFS('Daftar Koreksi'!$I$5:$I$92,'Daftar Koreksi'!$D$5:$D$92,'2800'!A180,'Daftar Koreksi'!$G$5:$G$92,"Jalan Irigasi Jaringan",'Daftar Koreksi'!$I$5:$I$92,"&gt;0")</f>
        <v>0</v>
      </c>
      <c r="F195" s="25">
        <f>SUMIFS('Daftar Koreksi'!$I$5:$I$92,'Daftar Koreksi'!$D$5:$D$92,'2800'!A180,'Daftar Koreksi'!$G$5:$G$92,"Jalan Irigasi Jaringan",'Daftar Koreksi'!$I$5:$I$92,"&lt;0")-SUMIFS('Daftar Koreksi'!$I$5:$I$92,'Daftar Koreksi'!$D$5:$D$92,'2800'!A180,'Daftar Koreksi'!$G$5:$G$92,"Jalan Irigasi Jaringan",'Daftar Koreksi'!$I$5:$I$92,"&lt;0")-SUMIFS('Daftar Koreksi'!$I$5:$I$92,'Daftar Koreksi'!$D$5:$D$92,'2800'!A180,'Daftar Koreksi'!$G$5:$G$92,"Jalan Irigasi Jaringan",'Daftar Koreksi'!$I$5:$I$92,"&lt;0")</f>
        <v>0</v>
      </c>
      <c r="G195" s="17">
        <f t="shared" si="8"/>
        <v>-26250000</v>
      </c>
      <c r="H195" s="122"/>
      <c r="I195" s="28"/>
      <c r="J195" s="28"/>
    </row>
    <row r="196" spans="1:13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Koreksi'!$D$5:$D$92,'2800'!A180,'Daftar Koreksi'!$G$5:$G$92,"Aset Tetap Lainnya",'Daftar Koreksi'!$I$5:$I$92,"&gt;0")</f>
        <v>0</v>
      </c>
      <c r="F196" s="25">
        <f>SUMIFS('Daftar Koreksi'!$I$5:$I$92,'Daftar Koreksi'!$D$5:$D$92,'2800'!A180,'Daftar Koreksi'!$G$5:$G$92,"Aset Tetap Lainnya",'Daftar Koreksi'!$I$5:$I$92,"&lt;0")-SUMIFS('Daftar Koreksi'!$I$5:$I$92,'Daftar Koreksi'!$D$5:$D$92,'2800'!A180,'Daftar Koreksi'!$G$5:$G$92,"Aset Tetap Lainnya",'Daftar Koreksi'!$I$5:$I$92,"&lt;0")-SUMIFS('Daftar Koreksi'!$I$5:$I$92,'Daftar Koreksi'!$D$5:$D$92,'2800'!A180,'Daftar Koreksi'!$G$5:$G$92,"Aset Tetap Lainnya",'Daftar Koreksi'!$I$5:$I$92,"&lt;0")</f>
        <v>0</v>
      </c>
      <c r="G196" s="17">
        <f t="shared" si="8"/>
        <v>0</v>
      </c>
      <c r="H196" s="122"/>
      <c r="I196" s="28"/>
      <c r="J196" s="28"/>
    </row>
    <row r="197" spans="1:13" ht="21.95" customHeight="1">
      <c r="A197" s="14"/>
      <c r="B197" s="14"/>
      <c r="C197" s="16" t="s">
        <v>2020</v>
      </c>
      <c r="D197" s="17">
        <f>VLOOKUP(A180,'Neraca Unaudited SIMAK'!$A$2:$S$10004,17,FALSE)</f>
        <v>-2520000</v>
      </c>
      <c r="E197" s="25">
        <f>SUMIFS('Daftar Koreksi'!$I$5:$I$92,'Daftar Koreksi'!$D$5:$D$92,'2800'!A180,'Daftar Koreksi'!$G$5:$G$92,"Aset Henti Guna",'Daftar Koreksi'!$I$5:$I$92,"&gt;0")</f>
        <v>0</v>
      </c>
      <c r="F197" s="25">
        <f>SUMIFS('Daftar Koreksi'!$I$5:$I$92,'Daftar Koreksi'!$D$5:$D$92,'2800'!A180,'Daftar Koreksi'!$G$5:$G$92,"Aset Henti Guna",'Daftar Koreksi'!$I$5:$I$92,"&lt;0")-SUMIFS('Daftar Koreksi'!$I$5:$I$92,'Daftar Koreksi'!$D$5:$D$92,'2800'!A180,'Daftar Koreksi'!$G$5:$G$92,"Aset Henti Guna",'Daftar Koreksi'!$I$5:$I$92,"&lt;0")-SUMIFS('Daftar Koreksi'!$I$5:$I$92,'Daftar Koreksi'!$D$5:$D$92,'2800'!A180,'Daftar Koreksi'!$G$5:$G$92,"Aset Henti Guna",'Daftar Koreksi'!$I$5:$I$92,"&lt;0")</f>
        <v>0</v>
      </c>
      <c r="G197" s="17">
        <f t="shared" si="8"/>
        <v>-2520000</v>
      </c>
      <c r="H197" s="122"/>
      <c r="I197" s="28"/>
      <c r="J197" s="28"/>
    </row>
    <row r="198" spans="1:13" ht="21.95" customHeight="1">
      <c r="A198" s="14"/>
      <c r="B198" s="14"/>
      <c r="C198" s="18" t="s">
        <v>2094</v>
      </c>
      <c r="D198" s="19">
        <f>SUM(D193:D197)</f>
        <v>-3454483477</v>
      </c>
      <c r="E198" s="19">
        <f>SUM(E193:E197)</f>
        <v>0</v>
      </c>
      <c r="F198" s="19">
        <f>SUM(F193:F197)</f>
        <v>266196500</v>
      </c>
      <c r="G198" s="19">
        <f t="shared" si="8"/>
        <v>-3720679977</v>
      </c>
      <c r="H198" s="122"/>
      <c r="I198" s="28"/>
      <c r="J198" s="28"/>
    </row>
    <row r="199" spans="1:13" ht="21.95" customHeight="1">
      <c r="A199" s="14"/>
      <c r="B199" s="14"/>
      <c r="C199" s="18" t="s">
        <v>2095</v>
      </c>
      <c r="D199" s="19">
        <f>VLOOKUP(A180,'Neraca Unaudited SIMAK'!$A$2:$S$10004,18,FALSE)</f>
        <v>13859179629</v>
      </c>
      <c r="E199" s="19">
        <f>E198+E192</f>
        <v>266196500</v>
      </c>
      <c r="F199" s="19">
        <f>F198+F192</f>
        <v>266196500</v>
      </c>
      <c r="G199" s="19">
        <f t="shared" si="8"/>
        <v>13859179629</v>
      </c>
      <c r="H199" s="122"/>
      <c r="I199" s="28"/>
      <c r="J199" s="28"/>
    </row>
    <row r="200" spans="1:13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  <c r="I200" s="28"/>
      <c r="J200" s="28"/>
    </row>
    <row r="202" spans="1:13" ht="19.5" customHeight="1">
      <c r="A202" s="11" t="str">
        <f>O10</f>
        <v>005012800664522000KD</v>
      </c>
      <c r="B202" s="11" t="str">
        <f>P10</f>
        <v>PT. Maluku Utara</v>
      </c>
      <c r="C202" s="12" t="str">
        <f>A202&amp;" "&amp;B202</f>
        <v>005012800664522000KD PT. Maluku Utara</v>
      </c>
      <c r="D202" s="13"/>
      <c r="E202" s="13"/>
      <c r="F202" s="13"/>
      <c r="G202" s="13"/>
      <c r="H202" s="11"/>
    </row>
    <row r="203" spans="1:13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3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3" ht="21.95" customHeight="1">
      <c r="A205" s="14"/>
      <c r="B205" s="14"/>
      <c r="C205" s="16" t="s">
        <v>1165</v>
      </c>
      <c r="D205" s="17">
        <f>VLOOKUP(A202,'Neraca Unaudited SIMAK'!$A$2:$S$10004,3,FALSE)</f>
        <v>547500</v>
      </c>
      <c r="E205" s="25">
        <f>SUMIFS('Daftar Koreksi'!$H$5:$H$92,'Daftar Koreksi'!$D$5:$D$92,'2800'!A202,'Daftar Koreksi'!$G$5:$G$92,"Persediaan",'Daftar Koreksi'!$H$5:$H$92,"&gt;0")</f>
        <v>0</v>
      </c>
      <c r="F205" s="25">
        <f>SUMIFS('Daftar Koreksi'!$H$5:$H$92,'Daftar Koreksi'!$D$5:$D$92,'2800'!A202,'Daftar Koreksi'!$G$5:$G$92,"Persediaan",'Daftar Koreksi'!$H$5:$H$92,"&lt;0")-SUMIFS('Daftar Koreksi'!$H$5:$H$92,'Daftar Koreksi'!$D$5:$D$92,'2800'!A202,'Daftar Koreksi'!$G$5:$G$92,"Persediaan",'Daftar Koreksi'!$H$5:$H$92,"&lt;0")-SUMIFS('Daftar Koreksi'!$H$5:$H$92,'Daftar Koreksi'!$D$5:$D$92,'2800'!A202,'Daftar Koreksi'!$G$5:$G$92,"Persediaan",'Daftar Koreksi'!$H$5:$H$92,"&lt;0")</f>
        <v>0</v>
      </c>
      <c r="G205" s="17">
        <f>D205+E205-F205</f>
        <v>547500</v>
      </c>
      <c r="H205" s="121" t="str">
        <f>IF(ISNA(VLOOKUP(A202,'Mutasi Neraca'!$A$3:$S$914,19,FALSE)),"-",VLOOKUP(A202,'Mutasi Neraca'!$A$3:$S$914,19,FALSE))</f>
        <v>-</v>
      </c>
    </row>
    <row r="206" spans="1:13" ht="21.95" customHeight="1">
      <c r="A206" s="14"/>
      <c r="B206" s="14"/>
      <c r="C206" s="16" t="s">
        <v>1166</v>
      </c>
      <c r="D206" s="17">
        <f>VLOOKUP(A202,'Neraca Unaudited SIMAK'!$A$2:$S$10004,4,FALSE)</f>
        <v>4247942000</v>
      </c>
      <c r="E206" s="25">
        <f>SUMIFS('Daftar Koreksi'!$H$5:$H$92,'Daftar Koreksi'!$D$5:$D$92,'2800'!A202,'Daftar Koreksi'!$G$5:$G$92,"Tanah",'Daftar Koreksi'!$H$5:$H$92,"&gt;0")</f>
        <v>0</v>
      </c>
      <c r="F206" s="25">
        <f>SUMIFS('Daftar Koreksi'!$H$5:$H$92,'Daftar Koreksi'!$D$5:$D$92,'2800'!A202,'Daftar Koreksi'!$G$5:$G$92,"Tanah",'Daftar Koreksi'!$H$5:$H$92,"&lt;0")-SUMIFS('Daftar Koreksi'!$H$5:$H$92,'Daftar Koreksi'!$D$5:$D$92,'2800'!A202,'Daftar Koreksi'!$G$5:$G$92,"Tanah",'Daftar Koreksi'!$H$5:$H$92,"&lt;0")-SUMIFS('Daftar Koreksi'!$H$5:$H$92,'Daftar Koreksi'!$D$5:$D$92,'2800'!A202,'Daftar Koreksi'!$G$5:$G$92,"Tanah",'Daftar Koreksi'!$H$5:$H$92,"&lt;0")</f>
        <v>0</v>
      </c>
      <c r="G206" s="17">
        <f t="shared" ref="G206:G222" si="9">D206+E206-F206</f>
        <v>4247942000</v>
      </c>
      <c r="H206" s="122"/>
    </row>
    <row r="207" spans="1:13" ht="21.95" customHeight="1">
      <c r="A207" s="14"/>
      <c r="B207" s="14"/>
      <c r="C207" s="16" t="s">
        <v>1167</v>
      </c>
      <c r="D207" s="17">
        <f>VLOOKUP(A202,'Neraca Unaudited SIMAK'!$A$2:$S$10004,5,FALSE)</f>
        <v>3849053348</v>
      </c>
      <c r="E207" s="25">
        <f>SUMIFS('Daftar Koreksi'!$H$5:$H$92,'Daftar Koreksi'!$D$5:$D$92,'2800'!A202,'Daftar Koreksi'!$G$5:$G$92,"Peralatan dan mesin",'Daftar Koreksi'!$H$5:$H$92,"&gt;0")</f>
        <v>0</v>
      </c>
      <c r="F207" s="25">
        <f>SUMIFS('Daftar Koreksi'!$H$5:$H$92,'Daftar Koreksi'!$D$5:$D$92,'2800'!A202,'Daftar Koreksi'!$G$5:$G$92,"Peralatan dan mesin",'Daftar Koreksi'!$H$5:$H$92,"&lt;0")-SUMIFS('Daftar Koreksi'!$H$5:$H$92,'Daftar Koreksi'!$D$5:$D$92,'2800'!A202,'Daftar Koreksi'!$G$5:$G$92,"Peralatan dan mesin",'Daftar Koreksi'!$H$5:$H$92,"&lt;0")-SUMIFS('Daftar Koreksi'!$H$5:$H$92,'Daftar Koreksi'!$D$5:$D$92,'2800'!A202,'Daftar Koreksi'!$G$5:$G$92,"Peralatan dan mesin",'Daftar Koreksi'!$H$5:$H$92,"&lt;0")</f>
        <v>0</v>
      </c>
      <c r="G207" s="17">
        <f t="shared" si="9"/>
        <v>3849053348</v>
      </c>
      <c r="H207" s="122"/>
    </row>
    <row r="208" spans="1:13" ht="21.95" customHeight="1">
      <c r="A208" s="14"/>
      <c r="B208" s="14"/>
      <c r="C208" s="16" t="s">
        <v>1168</v>
      </c>
      <c r="D208" s="17">
        <f>VLOOKUP(A202,'Neraca Unaudited SIMAK'!$A$2:$S$10004,6,FALSE)</f>
        <v>1916800000</v>
      </c>
      <c r="E208" s="25">
        <f>SUMIFS('Daftar Koreksi'!$H$5:$H$92,'Daftar Koreksi'!$D$5:$D$92,'2800'!A202,'Daftar Koreksi'!$G$5:$G$92,"Gedung dan Bangunan",'Daftar Koreksi'!$H$5:$H$92,"&gt;0")</f>
        <v>0</v>
      </c>
      <c r="F208" s="25">
        <f>SUMIFS('Daftar Koreksi'!$H$5:$H$92,'Daftar Koreksi'!$D$5:$D$92,'2800'!A202,'Daftar Koreksi'!$G$5:$G$92,"Gedung dan Bangunan",'Daftar Koreksi'!$H$5:$H$92,"&lt;0")-SUMIFS('Daftar Koreksi'!$H$5:$H$92,'Daftar Koreksi'!$D$5:$D$92,'2800'!A202,'Daftar Koreksi'!$G$5:$G$92,"Gedung dan Bangunan",'Daftar Koreksi'!$H$5:$H$92,"&lt;0")-SUMIFS('Daftar Koreksi'!$H$5:$H$92,'Daftar Koreksi'!$D$5:$D$92,'2800'!A202,'Daftar Koreksi'!$G$5:$G$92,"Gedung dan Bangunan",'Daftar Koreksi'!$H$5:$H$92,"&lt;0")</f>
        <v>0</v>
      </c>
      <c r="G208" s="17">
        <f t="shared" si="9"/>
        <v>1916800000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1288451500</v>
      </c>
      <c r="E209" s="25">
        <f>SUMIFS('Daftar Koreksi'!$H$5:$H$92,'Daftar Koreksi'!$D$5:$D$92,'2800'!A202,'Daftar Koreksi'!$G$5:$G$92,"Jalan Irigasi Jaringan",'Daftar Koreksi'!$H$5:$H$92,"&gt;0")</f>
        <v>0</v>
      </c>
      <c r="F209" s="25">
        <f>SUMIFS('Daftar Koreksi'!$H$5:$H$92,'Daftar Koreksi'!$D$5:$D$92,'2800'!A202,'Daftar Koreksi'!$G$5:$G$92,"Jalan Irigasi Jaringan",'Daftar Koreksi'!$H$5:$H$92,"&lt;0")-SUMIFS('Daftar Koreksi'!$H$5:$H$92,'Daftar Koreksi'!$D$5:$D$92,'2800'!A202,'Daftar Koreksi'!$G$5:$G$92,"Jalan Irigasi Jaringan",'Daftar Koreksi'!$H$5:$H$92,"&lt;0")-SUMIFS('Daftar Koreksi'!$H$5:$H$92,'Daftar Koreksi'!$D$5:$D$92,'2800'!A202,'Daftar Koreksi'!$G$5:$G$92,"Jalan Irigasi Jaringan",'Daftar Koreksi'!$H$5:$H$92,"&lt;0")</f>
        <v>0</v>
      </c>
      <c r="G209" s="17">
        <f t="shared" si="9"/>
        <v>1288451500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14988824</v>
      </c>
      <c r="E210" s="25">
        <f>SUMIFS('Daftar Koreksi'!$H$5:$H$92,'Daftar Koreksi'!$D$5:$D$92,'2800'!A202,'Daftar Koreksi'!$G$5:$G$92,"Aset Tetap Lainnya",'Daftar Koreksi'!$H$5:$H$92,"&gt;0")</f>
        <v>0</v>
      </c>
      <c r="F210" s="25">
        <f>SUMIFS('Daftar Koreksi'!$H$5:$H$92,'Daftar Koreksi'!$D$5:$D$92,'2800'!A202,'Daftar Koreksi'!$G$5:$G$92,"Aset Tetap Lainnya",'Daftar Koreksi'!$H$5:$H$92,"&lt;0")-SUMIFS('Daftar Koreksi'!$H$5:$H$92,'Daftar Koreksi'!$D$5:$D$92,'2800'!A202,'Daftar Koreksi'!$G$5:$G$92,"Aset Tetap Lainnya",'Daftar Koreksi'!$H$5:$H$92,"&lt;0")-SUMIFS('Daftar Koreksi'!$H$5:$H$92,'Daftar Koreksi'!$D$5:$D$92,'2800'!A202,'Daftar Koreksi'!$G$5:$G$92,"Aset Tetap Lainnya",'Daftar Koreksi'!$H$5:$H$92,"&lt;0")</f>
        <v>0</v>
      </c>
      <c r="G210" s="17">
        <f t="shared" si="9"/>
        <v>14988824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16990174661</v>
      </c>
      <c r="E211" s="25">
        <f>SUMIFS('Daftar Koreksi'!$H$5:$H$92,'Daftar Koreksi'!$D$5:$D$92,'2800'!A202,'Daftar Koreksi'!$G$5:$G$92,"Kontruksi Dalam Pengerjaan",'Daftar Koreksi'!$H$5:$H$92,"&gt;0")</f>
        <v>0</v>
      </c>
      <c r="F211" s="25">
        <f>SUMIFS('Daftar Koreksi'!$H$5:$H$92,'Daftar Koreksi'!$D$5:$D$92,'2800'!A202,'Daftar Koreksi'!$G$5:$G$92,"Kontruksi Dalam Pengerjaan",'Daftar Koreksi'!$H$5:$H$92,"&lt;0")-SUMIFS('Daftar Koreksi'!$H$5:$H$92,'Daftar Koreksi'!$D$5:$D$92,'2800'!A202,'Daftar Koreksi'!$G$5:$G$92,"Kontruksi Dalam Pengerjaan",'Daftar Koreksi'!$H$5:$H$92,"&lt;0")-SUMIFS('Daftar Koreksi'!$H$5:$H$92,'Daftar Koreksi'!$D$5:$D$92,'2800'!A202,'Daftar Koreksi'!$G$5:$G$92,"Kontruksi Dalam Pengerjaan",'Daftar Koreksi'!$H$5:$H$92,"&lt;0")</f>
        <v>0</v>
      </c>
      <c r="G211" s="17">
        <f t="shared" si="9"/>
        <v>16990174661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3095000</v>
      </c>
      <c r="E212" s="25">
        <f>SUMIFS('Daftar Koreksi'!$H$5:$H$92,'Daftar Koreksi'!$D$5:$D$92,'2800'!A202,'Daftar Koreksi'!$G$5:$G$92,"Aset Tak Berwujud",'Daftar Koreksi'!$H$5:$H$92,"&gt;0")</f>
        <v>0</v>
      </c>
      <c r="F212" s="25">
        <f>SUMIFS('Daftar Koreksi'!$H$5:$H$92,'Daftar Koreksi'!$D$5:$D$92,'2800'!A202,'Daftar Koreksi'!$G$5:$G$92,"Aset Tak Berwujud",'Daftar Koreksi'!$H$5:$H$92,"&lt;0")-SUMIFS('Daftar Koreksi'!$H$5:$H$92,'Daftar Koreksi'!$D$5:$D$92,'2800'!A202,'Daftar Koreksi'!$G$5:$G$92,"Aset Tak Berwujud",'Daftar Koreksi'!$H$5:$H$92,"&lt;0")-SUMIFS('Daftar Koreksi'!$H$5:$H$92,'Daftar Koreksi'!$D$5:$D$92,'2800'!A202,'Daftar Koreksi'!$G$5:$G$92,"Aset Tak Berwujud",'Daftar Koreksi'!$H$5:$H$92,"&lt;0")</f>
        <v>0</v>
      </c>
      <c r="G212" s="17">
        <f t="shared" si="9"/>
        <v>3095000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2219394005</v>
      </c>
      <c r="E213" s="25">
        <f>SUMIFS('Daftar Koreksi'!$H$5:$H$92,'Daftar Koreksi'!$D$5:$D$92,'2800'!A202,'Daftar Koreksi'!$G$5:$G$92,"Aset Henti Guna",'Daftar Koreksi'!$H$5:$H$92,"&gt;0")</f>
        <v>0</v>
      </c>
      <c r="F213" s="25">
        <f>SUMIFS('Daftar Koreksi'!$H$5:$H$92,'Daftar Koreksi'!$D$5:$D$92,'2800'!A202,'Daftar Koreksi'!$G$5:$G$92,"Aset Henti Guna",'Daftar Koreksi'!$H$5:$H$92,"&lt;0")-SUMIFS('Daftar Koreksi'!$H$5:$H$92,'Daftar Koreksi'!$D$5:$D$92,'2800'!A202,'Daftar Koreksi'!$G$5:$G$92,"Aset Henti Guna",'Daftar Koreksi'!$H$5:$H$92,"&lt;0")-SUMIFS('Daftar Koreksi'!$H$5:$H$92,'Daftar Koreksi'!$D$5:$D$92,'2800'!A202,'Daftar Koreksi'!$G$5:$G$92,"Aset Henti Guna",'Daftar Koreksi'!$H$5:$H$92,"&lt;0")</f>
        <v>0</v>
      </c>
      <c r="G213" s="17">
        <f t="shared" si="9"/>
        <v>2219394005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30530446838</v>
      </c>
      <c r="E214" s="19">
        <f>SUM(E205:E213)</f>
        <v>0</v>
      </c>
      <c r="F214" s="19">
        <f>SUM(F205:F213)</f>
        <v>0</v>
      </c>
      <c r="G214" s="19">
        <f t="shared" si="9"/>
        <v>30530446838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-3278965963</v>
      </c>
      <c r="E215" s="25">
        <f>SUMIFS('Daftar Koreksi'!$I$5:$I$92,'Daftar Koreksi'!$D$5:$D$92,'2800'!A202,'Daftar Koreksi'!$G$5:$G$92,"Peralatan dan mesin",'Daftar Koreksi'!$I$5:$I$92,"&gt;0")</f>
        <v>0</v>
      </c>
      <c r="F215" s="25">
        <f>SUMIFS('Daftar Koreksi'!$I$5:$I$92,'Daftar Koreksi'!$D$5:$D$92,'2800'!A202,'Daftar Koreksi'!$G$5:$G$92,"Peralatan dan mesin",'Daftar Koreksi'!$I$5:$I$92,"&lt;0")-SUMIFS('Daftar Koreksi'!$I$5:$I$92,'Daftar Koreksi'!$D$5:$D$92,'2800'!A202,'Daftar Koreksi'!$G$5:$G$92,"Peralatan dan mesin",'Daftar Koreksi'!$I$5:$I$92,"&lt;0")-SUMIFS('Daftar Koreksi'!$I$5:$I$92,'Daftar Koreksi'!$D$5:$D$92,'2800'!A202,'Daftar Koreksi'!$G$5:$G$92,"Peralatan dan mesin",'Daftar Koreksi'!$I$5:$I$92,"&lt;0")</f>
        <v>0</v>
      </c>
      <c r="G215" s="17">
        <f t="shared" si="9"/>
        <v>-3278965963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-297316000</v>
      </c>
      <c r="E216" s="25">
        <f>SUMIFS('Daftar Koreksi'!$I$5:$I$92,'Daftar Koreksi'!$D$5:$D$92,'2800'!A202,'Daftar Koreksi'!$G$5:$G$92,"Gedung dan Bangunan",'Daftar Koreksi'!$I$5:$I$92,"&gt;0")</f>
        <v>0</v>
      </c>
      <c r="F216" s="25">
        <f>SUMIFS('Daftar Koreksi'!$I$5:$I$92,'Daftar Koreksi'!$D$5:$D$92,'2800'!A202,'Daftar Koreksi'!$G$5:$G$92,"Gedung dan Bangunan",'Daftar Koreksi'!$I$5:$I$92,"&lt;0")-SUMIFS('Daftar Koreksi'!$I$5:$I$92,'Daftar Koreksi'!$D$5:$D$92,'2800'!A202,'Daftar Koreksi'!$G$5:$G$92,"Gedung dan Bangunan",'Daftar Koreksi'!$I$5:$I$92,"&lt;0")-SUMIFS('Daftar Koreksi'!$I$5:$I$92,'Daftar Koreksi'!$D$5:$D$92,'2800'!A202,'Daftar Koreksi'!$G$5:$G$92,"Gedung dan Bangunan",'Daftar Koreksi'!$I$5:$I$92,"&lt;0")</f>
        <v>0</v>
      </c>
      <c r="G216" s="17">
        <f t="shared" si="9"/>
        <v>-297316000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-587697041</v>
      </c>
      <c r="E217" s="25">
        <f>SUMIFS('Daftar Koreksi'!$I$5:$I$92,'Daftar Koreksi'!$D$5:$D$92,'2800'!A202,'Daftar Koreksi'!$G$5:$G$92,"Jalan Irigasi Jaringan",'Daftar Koreksi'!$I$5:$I$92,"&gt;0")</f>
        <v>0</v>
      </c>
      <c r="F217" s="25">
        <f>SUMIFS('Daftar Koreksi'!$I$5:$I$92,'Daftar Koreksi'!$D$5:$D$92,'2800'!A202,'Daftar Koreksi'!$G$5:$G$92,"Jalan Irigasi Jaringan",'Daftar Koreksi'!$I$5:$I$92,"&lt;0")-SUMIFS('Daftar Koreksi'!$I$5:$I$92,'Daftar Koreksi'!$D$5:$D$92,'2800'!A202,'Daftar Koreksi'!$G$5:$G$92,"Jalan Irigasi Jaringan",'Daftar Koreksi'!$I$5:$I$92,"&lt;0")-SUMIFS('Daftar Koreksi'!$I$5:$I$92,'Daftar Koreksi'!$D$5:$D$92,'2800'!A202,'Daftar Koreksi'!$G$5:$G$92,"Jalan Irigasi Jaringan",'Daftar Koreksi'!$I$5:$I$92,"&lt;0")</f>
        <v>0</v>
      </c>
      <c r="G217" s="17">
        <f t="shared" si="9"/>
        <v>-587697041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Koreksi'!$D$5:$D$92,'2800'!A202,'Daftar Koreksi'!$G$5:$G$92,"Aset Tetap Lainnya",'Daftar Koreksi'!$I$5:$I$92,"&gt;0")</f>
        <v>0</v>
      </c>
      <c r="F218" s="25">
        <f>SUMIFS('Daftar Koreksi'!$I$5:$I$92,'Daftar Koreksi'!$D$5:$D$92,'2800'!A202,'Daftar Koreksi'!$G$5:$G$92,"Aset Tetap Lainnya",'Daftar Koreksi'!$I$5:$I$92,"&lt;0")-SUMIFS('Daftar Koreksi'!$I$5:$I$92,'Daftar Koreksi'!$D$5:$D$92,'2800'!A202,'Daftar Koreksi'!$G$5:$G$92,"Aset Tetap Lainnya",'Daftar Koreksi'!$I$5:$I$92,"&lt;0")-SUMIFS('Daftar Koreksi'!$I$5:$I$92,'Daftar Koreksi'!$D$5:$D$92,'2800'!A202,'Daftar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-624386114</v>
      </c>
      <c r="E219" s="25">
        <f>SUMIFS('Daftar Koreksi'!$I$5:$I$92,'Daftar Koreksi'!$D$5:$D$92,'2800'!A202,'Daftar Koreksi'!$G$5:$G$92,"Aset Henti Guna",'Daftar Koreksi'!$I$5:$I$92,"&gt;0")</f>
        <v>0</v>
      </c>
      <c r="F219" s="25">
        <f>SUMIFS('Daftar Koreksi'!$I$5:$I$92,'Daftar Koreksi'!$D$5:$D$92,'2800'!A202,'Daftar Koreksi'!$G$5:$G$92,"Aset Henti Guna",'Daftar Koreksi'!$I$5:$I$92,"&lt;0")-SUMIFS('Daftar Koreksi'!$I$5:$I$92,'Daftar Koreksi'!$D$5:$D$92,'2800'!A202,'Daftar Koreksi'!$G$5:$G$92,"Aset Henti Guna",'Daftar Koreksi'!$I$5:$I$92,"&lt;0")-SUMIFS('Daftar Koreksi'!$I$5:$I$92,'Daftar Koreksi'!$D$5:$D$92,'2800'!A202,'Daftar Koreksi'!$G$5:$G$92,"Aset Henti Guna",'Daftar Koreksi'!$I$5:$I$92,"&lt;0")</f>
        <v>0</v>
      </c>
      <c r="G219" s="17">
        <f t="shared" si="9"/>
        <v>-624386114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-4788365118</v>
      </c>
      <c r="E220" s="19">
        <f>SUM(E215:E219)</f>
        <v>0</v>
      </c>
      <c r="F220" s="19">
        <f>SUM(F215:F219)</f>
        <v>0</v>
      </c>
      <c r="G220" s="19">
        <f t="shared" si="9"/>
        <v>-4788365118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25742081720</v>
      </c>
      <c r="E221" s="19">
        <f>E220+E214</f>
        <v>0</v>
      </c>
      <c r="F221" s="19">
        <f>F220+F214</f>
        <v>0</v>
      </c>
      <c r="G221" s="19">
        <f t="shared" si="9"/>
        <v>25742081720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</sheetData>
  <mergeCells count="60"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P288"/>
  <sheetViews>
    <sheetView view="pageBreakPreview" topLeftCell="C225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20" style="8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777</v>
      </c>
      <c r="P1" s="8" t="s">
        <v>1913</v>
      </c>
    </row>
    <row r="2" spans="1:16" ht="19.5" customHeight="1">
      <c r="C2" s="9" t="s">
        <v>2124</v>
      </c>
      <c r="O2" s="8" t="s">
        <v>778</v>
      </c>
      <c r="P2" s="8" t="s">
        <v>1914</v>
      </c>
    </row>
    <row r="3" spans="1:16" ht="19.5" customHeight="1">
      <c r="O3" s="8" t="s">
        <v>779</v>
      </c>
      <c r="P3" s="8" t="s">
        <v>1915</v>
      </c>
    </row>
    <row r="4" spans="1:16" ht="19.5" customHeight="1">
      <c r="A4" s="11" t="str">
        <f>O1</f>
        <v>005012900097560000KD</v>
      </c>
      <c r="B4" s="11" t="str">
        <f>P1</f>
        <v>PN. Serang</v>
      </c>
      <c r="C4" s="12" t="str">
        <f>A4&amp;" "&amp;B4</f>
        <v>005012900097560000KD PN. Serang</v>
      </c>
      <c r="D4" s="13"/>
      <c r="E4" s="13"/>
      <c r="F4" s="13"/>
      <c r="G4" s="13"/>
      <c r="H4" s="11"/>
      <c r="O4" s="8" t="s">
        <v>780</v>
      </c>
      <c r="P4" s="8" t="s">
        <v>1916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781</v>
      </c>
      <c r="P5" s="8" t="s">
        <v>1917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782</v>
      </c>
      <c r="P6" s="8" t="s">
        <v>1918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4426050</v>
      </c>
      <c r="E7" s="25">
        <f>SUMIFS('Daftar Koreksi'!$H$5:$H$92,'Daftar Koreksi'!$D$5:$D$92,'2900'!A4,'Daftar Koreksi'!$G$5:$G$92,"Persediaan",'Daftar Koreksi'!$H$5:$H$92,"&gt;0")</f>
        <v>0</v>
      </c>
      <c r="F7" s="25">
        <f>SUMIFS('Daftar Koreksi'!$H$5:$H$92,'Daftar Koreksi'!$D$5:$D$92,'2900'!A4,'Daftar Koreksi'!$G$5:$G$92,"Persediaan",'Daftar Koreksi'!$H$5:$H$92,"&lt;0")-SUMIFS('Daftar Koreksi'!$H$5:$H$92,'Daftar Koreksi'!$D$5:$D$92,'2900'!A4,'Daftar Koreksi'!$G$5:$G$92,"Persediaan",'Daftar Koreksi'!$H$5:$H$92,"&lt;0")-SUMIFS('Daftar Koreksi'!$H$5:$H$92,'Daftar Koreksi'!$D$5:$D$92,'2900'!A4,'Daftar Koreksi'!$G$5:$G$92,"Persediaan",'Daftar Koreksi'!$H$5:$H$92,"&lt;0")</f>
        <v>0</v>
      </c>
      <c r="G7" s="17">
        <f>D7+E7-F7</f>
        <v>4426050</v>
      </c>
      <c r="H7" s="121" t="str">
        <f>IF(ISNA(VLOOKUP(A4,'Mutasi Neraca'!$A$3:$S$914,19,FALSE)),"-",VLOOKUP(A4,'Mutasi Neraca'!$A$3:$S$914,19,FALSE))</f>
        <v>-</v>
      </c>
      <c r="O7" s="8" t="s">
        <v>783</v>
      </c>
      <c r="P7" s="8" t="s">
        <v>1919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7430400000</v>
      </c>
      <c r="E8" s="25">
        <f>SUMIFS('Daftar Koreksi'!$H$5:$H$92,'Daftar Koreksi'!$D$5:$D$92,'2900'!A4,'Daftar Koreksi'!$G$5:$G$92,"Tanah",'Daftar Koreksi'!$H$5:$H$92,"&gt;0")</f>
        <v>0</v>
      </c>
      <c r="F8" s="25">
        <f>SUMIFS('Daftar Koreksi'!$H$5:$H$92,'Daftar Koreksi'!$D$5:$D$92,'2900'!A4,'Daftar Koreksi'!$G$5:$G$92,"Tanah",'Daftar Koreksi'!$H$5:$H$92,"&lt;0")-SUMIFS('Daftar Koreksi'!$H$5:$H$92,'Daftar Koreksi'!$D$5:$D$92,'2900'!A4,'Daftar Koreksi'!$G$5:$G$92,"Tanah",'Daftar Koreksi'!$H$5:$H$92,"&lt;0")-SUMIFS('Daftar Koreksi'!$H$5:$H$92,'Daftar Koreksi'!$D$5:$D$92,'2900'!A4,'Daftar Koreksi'!$G$5:$G$92,"Tanah",'Daftar Koreksi'!$H$5:$H$92,"&lt;0")</f>
        <v>0</v>
      </c>
      <c r="G8" s="17">
        <f t="shared" ref="G8:G24" si="0">D8+E8-F8</f>
        <v>7430400000</v>
      </c>
      <c r="H8" s="122"/>
      <c r="O8" s="8" t="s">
        <v>784</v>
      </c>
      <c r="P8" s="8" t="s">
        <v>1920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3180258217</v>
      </c>
      <c r="E9" s="25">
        <f>SUMIFS('Daftar Koreksi'!$H$5:$H$92,'Daftar Koreksi'!$D$5:$D$92,'2900'!A4,'Daftar Koreksi'!$G$5:$G$92,"Peralatan dan mesin",'Daftar Koreksi'!$H$5:$H$92,"&gt;0")</f>
        <v>0</v>
      </c>
      <c r="F9" s="25">
        <f>SUMIFS('Daftar Koreksi'!$H$5:$H$92,'Daftar Koreksi'!$D$5:$D$92,'2900'!A4,'Daftar Koreksi'!$G$5:$G$92,"Peralatan dan mesin",'Daftar Koreksi'!$H$5:$H$92,"&lt;0")-SUMIFS('Daftar Koreksi'!$H$5:$H$92,'Daftar Koreksi'!$D$5:$D$92,'2900'!A4,'Daftar Koreksi'!$G$5:$G$92,"Peralatan dan mesin",'Daftar Koreksi'!$H$5:$H$92,"&lt;0")-SUMIFS('Daftar Koreksi'!$H$5:$H$92,'Daftar Koreksi'!$D$5:$D$92,'2900'!A4,'Daftar Koreksi'!$G$5:$G$92,"Peralatan dan mesin",'Daftar Koreksi'!$H$5:$H$92,"&lt;0")</f>
        <v>0</v>
      </c>
      <c r="G9" s="17">
        <f t="shared" si="0"/>
        <v>3180258217</v>
      </c>
      <c r="H9" s="122"/>
      <c r="O9" s="8" t="s">
        <v>785</v>
      </c>
      <c r="P9" s="8" t="s">
        <v>1921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3385550648</v>
      </c>
      <c r="E10" s="25">
        <f>SUMIFS('Daftar Koreksi'!$H$5:$H$92,'Daftar Koreksi'!$D$5:$D$92,'2900'!A4,'Daftar Koreksi'!$G$5:$G$92,"Gedung dan Bangunan",'Daftar Koreksi'!$H$5:$H$92,"&gt;0")</f>
        <v>0</v>
      </c>
      <c r="F10" s="25">
        <f>SUMIFS('Daftar Koreksi'!$H$5:$H$92,'Daftar Koreksi'!$D$5:$D$92,'2900'!A4,'Daftar Koreksi'!$G$5:$G$92,"Gedung dan Bangunan",'Daftar Koreksi'!$H$5:$H$92,"&lt;0")-SUMIFS('Daftar Koreksi'!$H$5:$H$92,'Daftar Koreksi'!$D$5:$D$92,'2900'!A4,'Daftar Koreksi'!$G$5:$G$92,"Gedung dan Bangunan",'Daftar Koreksi'!$H$5:$H$92,"&lt;0")-SUMIFS('Daftar Koreksi'!$H$5:$H$92,'Daftar Koreksi'!$D$5:$D$92,'2900'!A4,'Daftar Koreksi'!$G$5:$G$92,"Gedung dan Bangunan",'Daftar Koreksi'!$H$5:$H$92,"&lt;0")</f>
        <v>0</v>
      </c>
      <c r="G10" s="17">
        <f t="shared" si="0"/>
        <v>3385550648</v>
      </c>
      <c r="H10" s="122"/>
      <c r="O10" s="8" t="s">
        <v>786</v>
      </c>
      <c r="P10" s="8" t="s">
        <v>1922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297169650</v>
      </c>
      <c r="E11" s="25">
        <f>SUMIFS('Daftar Koreksi'!$H$5:$H$92,'Daftar Koreksi'!$D$5:$D$92,'2900'!A4,'Daftar Koreksi'!$G$5:$G$92,"Jalan Irigasi Jaringan",'Daftar Koreksi'!$H$5:$H$92,"&gt;0")</f>
        <v>0</v>
      </c>
      <c r="F11" s="25">
        <f>SUMIFS('Daftar Koreksi'!$H$5:$H$92,'Daftar Koreksi'!$D$5:$D$92,'2900'!A4,'Daftar Koreksi'!$G$5:$G$92,"Jalan Irigasi Jaringan",'Daftar Koreksi'!$H$5:$H$92,"&lt;0")-SUMIFS('Daftar Koreksi'!$H$5:$H$92,'Daftar Koreksi'!$D$5:$D$92,'2900'!A4,'Daftar Koreksi'!$G$5:$G$92,"Jalan Irigasi Jaringan",'Daftar Koreksi'!$H$5:$H$92,"&lt;0")-SUMIFS('Daftar Koreksi'!$H$5:$H$92,'Daftar Koreksi'!$D$5:$D$92,'2900'!A4,'Daftar Koreksi'!$G$5:$G$92,"Jalan Irigasi Jaringan",'Daftar Koreksi'!$H$5:$H$92,"&lt;0")</f>
        <v>0</v>
      </c>
      <c r="G11" s="17">
        <f t="shared" si="0"/>
        <v>297169650</v>
      </c>
      <c r="H11" s="122"/>
      <c r="O11" s="8" t="s">
        <v>787</v>
      </c>
      <c r="P11" s="8" t="s">
        <v>1923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12140462</v>
      </c>
      <c r="E12" s="25">
        <f>SUMIFS('Daftar Koreksi'!$H$5:$H$92,'Daftar Koreksi'!$D$5:$D$92,'2900'!A4,'Daftar Koreksi'!$G$5:$G$92,"Aset Tetap Lainnya",'Daftar Koreksi'!$H$5:$H$92,"&gt;0")</f>
        <v>0</v>
      </c>
      <c r="F12" s="25">
        <f>SUMIFS('Daftar Koreksi'!$H$5:$H$92,'Daftar Koreksi'!$D$5:$D$92,'2900'!A4,'Daftar Koreksi'!$G$5:$G$92,"Aset Tetap Lainnya",'Daftar Koreksi'!$H$5:$H$92,"&lt;0")-SUMIFS('Daftar Koreksi'!$H$5:$H$92,'Daftar Koreksi'!$D$5:$D$92,'2900'!A4,'Daftar Koreksi'!$G$5:$G$92,"Aset Tetap Lainnya",'Daftar Koreksi'!$H$5:$H$92,"&lt;0")-SUMIFS('Daftar Koreksi'!$H$5:$H$92,'Daftar Koreksi'!$D$5:$D$92,'2900'!A4,'Daftar Koreksi'!$G$5:$G$92,"Aset Tetap Lainnya",'Daftar Koreksi'!$H$5:$H$92,"&lt;0")</f>
        <v>0</v>
      </c>
      <c r="G12" s="17">
        <f t="shared" si="0"/>
        <v>12140462</v>
      </c>
      <c r="H12" s="122"/>
      <c r="O12" s="8" t="s">
        <v>788</v>
      </c>
      <c r="P12" s="8" t="s">
        <v>1924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Koreksi'!$D$5:$D$92,'2900'!A4,'Daftar Koreksi'!$G$5:$G$92,"Kontruksi Dalam Pengerjaan",'Daftar Koreksi'!$H$5:$H$92,"&gt;0")</f>
        <v>0</v>
      </c>
      <c r="F13" s="25">
        <f>SUMIFS('Daftar Koreksi'!$H$5:$H$92,'Daftar Koreksi'!$D$5:$D$92,'2900'!A4,'Daftar Koreksi'!$G$5:$G$92,"Kontruksi Dalam Pengerjaan",'Daftar Koreksi'!$H$5:$H$92,"&lt;0")-SUMIFS('Daftar Koreksi'!$H$5:$H$92,'Daftar Koreksi'!$D$5:$D$92,'2900'!A4,'Daftar Koreksi'!$G$5:$G$92,"Kontruksi Dalam Pengerjaan",'Daftar Koreksi'!$H$5:$H$92,"&lt;0")-SUMIFS('Daftar Koreksi'!$H$5:$H$92,'Daftar Koreksi'!$D$5:$D$92,'2900'!A4,'Daftar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789</v>
      </c>
      <c r="P13" s="8" t="s">
        <v>1925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24000000</v>
      </c>
      <c r="E14" s="25">
        <f>SUMIFS('Daftar Koreksi'!$H$5:$H$92,'Daftar Koreksi'!$D$5:$D$92,'2900'!A4,'Daftar Koreksi'!$G$5:$G$92,"Aset Tak Berwujud",'Daftar Koreksi'!$H$5:$H$92,"&gt;0")</f>
        <v>0</v>
      </c>
      <c r="F14" s="25">
        <f>SUMIFS('Daftar Koreksi'!$H$5:$H$92,'Daftar Koreksi'!$D$5:$D$92,'2900'!A4,'Daftar Koreksi'!$G$5:$G$92,"Aset Tak Berwujud",'Daftar Koreksi'!$H$5:$H$92,"&lt;0")-SUMIFS('Daftar Koreksi'!$H$5:$H$92,'Daftar Koreksi'!$D$5:$D$92,'2900'!A4,'Daftar Koreksi'!$G$5:$G$92,"Aset Tak Berwujud",'Daftar Koreksi'!$H$5:$H$92,"&lt;0")-SUMIFS('Daftar Koreksi'!$H$5:$H$92,'Daftar Koreksi'!$D$5:$D$92,'2900'!A4,'Daftar Koreksi'!$G$5:$G$92,"Aset Tak Berwujud",'Daftar Koreksi'!$H$5:$H$92,"&lt;0")</f>
        <v>0</v>
      </c>
      <c r="G14" s="17">
        <f t="shared" si="0"/>
        <v>24000000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Koreksi'!$D$5:$D$92,'2900'!A4,'Daftar Koreksi'!$G$5:$G$92,"Aset Henti Guna",'Daftar Koreksi'!$H$5:$H$92,"&gt;0")</f>
        <v>0</v>
      </c>
      <c r="F15" s="25">
        <f>SUMIFS('Daftar Koreksi'!$H$5:$H$92,'Daftar Koreksi'!$D$5:$D$92,'2900'!A4,'Daftar Koreksi'!$G$5:$G$92,"Aset Henti Guna",'Daftar Koreksi'!$H$5:$H$92,"&lt;0")-SUMIFS('Daftar Koreksi'!$H$5:$H$92,'Daftar Koreksi'!$D$5:$D$92,'2900'!A4,'Daftar Koreksi'!$G$5:$G$92,"Aset Henti Guna",'Daftar Koreksi'!$H$5:$H$92,"&lt;0")-SUMIFS('Daftar Koreksi'!$H$5:$H$92,'Daftar Koreksi'!$D$5:$D$92,'2900'!A4,'Daftar Koreksi'!$G$5:$G$92,"Aset Henti Guna",'Daftar Koreksi'!$H$5:$H$92,"&lt;0")</f>
        <v>0</v>
      </c>
      <c r="G15" s="17">
        <f t="shared" si="0"/>
        <v>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14333945027</v>
      </c>
      <c r="E16" s="19">
        <f>SUM(E7:E15)</f>
        <v>0</v>
      </c>
      <c r="F16" s="19">
        <f>SUM(F7:F15)</f>
        <v>0</v>
      </c>
      <c r="G16" s="19">
        <f t="shared" si="0"/>
        <v>14333945027</v>
      </c>
      <c r="H16" s="122"/>
    </row>
    <row r="17" spans="1:10" ht="21.95" customHeight="1">
      <c r="A17" s="14"/>
      <c r="B17" s="14"/>
      <c r="C17" s="16" t="s">
        <v>2087</v>
      </c>
      <c r="D17" s="17">
        <f>VLOOKUP(A4,'Neraca Unaudited SIMAK'!$A$2:$S$10004,13,FALSE)</f>
        <v>-2789345278</v>
      </c>
      <c r="E17" s="25">
        <f>SUMIFS('Daftar Koreksi'!$I$5:$I$92,'Daftar Koreksi'!$D$5:$D$92,'2900'!A4,'Daftar Koreksi'!$G$5:$G$92,"Peralatan dan mesin",'Daftar Koreksi'!$I$5:$I$92,"&gt;0")</f>
        <v>0</v>
      </c>
      <c r="F17" s="25">
        <f>SUMIFS('Daftar Koreksi'!$I$5:$I$92,'Daftar Koreksi'!$D$5:$D$92,'2900'!A4,'Daftar Koreksi'!$G$5:$G$92,"Peralatan dan mesin",'Daftar Koreksi'!$I$5:$I$92,"&lt;0")-SUMIFS('Daftar Koreksi'!$I$5:$I$92,'Daftar Koreksi'!$D$5:$D$92,'2900'!A4,'Daftar Koreksi'!$G$5:$G$92,"Peralatan dan mesin",'Daftar Koreksi'!$I$5:$I$92,"&lt;0")-SUMIFS('Daftar Koreksi'!$I$5:$I$92,'Daftar Koreksi'!$D$5:$D$92,'2900'!A4,'Daftar Koreksi'!$G$5:$G$92,"Peralatan dan mesin",'Daftar Koreksi'!$I$5:$I$92,"&lt;0")</f>
        <v>0</v>
      </c>
      <c r="G17" s="17">
        <f t="shared" si="0"/>
        <v>-2789345278</v>
      </c>
      <c r="H17" s="122"/>
    </row>
    <row r="18" spans="1:10" ht="21.95" customHeight="1">
      <c r="A18" s="14"/>
      <c r="B18" s="14"/>
      <c r="C18" s="16" t="s">
        <v>2088</v>
      </c>
      <c r="D18" s="17">
        <f>VLOOKUP(A4,'Neraca Unaudited SIMAK'!$A$2:$S$10004,14,FALSE)</f>
        <v>-1921906226</v>
      </c>
      <c r="E18" s="25">
        <f>SUMIFS('Daftar Koreksi'!$I$5:$I$92,'Daftar Koreksi'!$D$5:$D$92,'2900'!A4,'Daftar Koreksi'!$G$5:$G$92,"Gedung dan Bangunan",'Daftar Koreksi'!$I$5:$I$92,"&gt;0")</f>
        <v>0</v>
      </c>
      <c r="F18" s="25">
        <f>SUMIFS('Daftar Koreksi'!$I$5:$I$92,'Daftar Koreksi'!$D$5:$D$92,'2900'!A4,'Daftar Koreksi'!$G$5:$G$92,"Gedung dan Bangunan",'Daftar Koreksi'!$I$5:$I$92,"&lt;0")-SUMIFS('Daftar Koreksi'!$I$5:$I$92,'Daftar Koreksi'!$D$5:$D$92,'2900'!A4,'Daftar Koreksi'!$G$5:$G$92,"Gedung dan Bangunan",'Daftar Koreksi'!$I$5:$I$92,"&lt;0")-SUMIFS('Daftar Koreksi'!$I$5:$I$92,'Daftar Koreksi'!$D$5:$D$92,'2900'!A4,'Daftar Koreksi'!$G$5:$G$92,"Gedung dan Bangunan",'Daftar Koreksi'!$I$5:$I$92,"&lt;0")</f>
        <v>0</v>
      </c>
      <c r="G18" s="17">
        <f t="shared" si="0"/>
        <v>-1921906226</v>
      </c>
      <c r="H18" s="122"/>
    </row>
    <row r="19" spans="1:10" ht="21.95" customHeight="1">
      <c r="A19" s="14"/>
      <c r="B19" s="14"/>
      <c r="C19" s="16" t="s">
        <v>2089</v>
      </c>
      <c r="D19" s="17">
        <f>VLOOKUP(A4,'Neraca Unaudited SIMAK'!$A$2:$S$10004,15,FALSE)</f>
        <v>-37136567</v>
      </c>
      <c r="E19" s="25">
        <f>SUMIFS('Daftar Koreksi'!$I$5:$I$92,'Daftar Koreksi'!$D$5:$D$92,'2900'!A4,'Daftar Koreksi'!$G$5:$G$92,"Jalan Irigasi Jaringan",'Daftar Koreksi'!$I$5:$I$92,"&gt;0")</f>
        <v>0</v>
      </c>
      <c r="F19" s="25">
        <f>SUMIFS('Daftar Koreksi'!$I$5:$I$92,'Daftar Koreksi'!$D$5:$D$92,'2900'!A4,'Daftar Koreksi'!$G$5:$G$92,"Jalan Irigasi Jaringan",'Daftar Koreksi'!$I$5:$I$92,"&lt;0")-SUMIFS('Daftar Koreksi'!$I$5:$I$92,'Daftar Koreksi'!$D$5:$D$92,'2900'!A4,'Daftar Koreksi'!$G$5:$G$92,"Jalan Irigasi Jaringan",'Daftar Koreksi'!$I$5:$I$92,"&lt;0")-SUMIFS('Daftar Koreksi'!$I$5:$I$92,'Daftar Koreksi'!$D$5:$D$92,'2900'!A4,'Daftar Koreksi'!$G$5:$G$92,"Jalan Irigasi Jaringan",'Daftar Koreksi'!$I$5:$I$92,"&lt;0")</f>
        <v>0</v>
      </c>
      <c r="G19" s="17">
        <f t="shared" si="0"/>
        <v>-37136567</v>
      </c>
      <c r="H19" s="122"/>
    </row>
    <row r="20" spans="1:10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Koreksi'!$D$5:$D$92,'2900'!A4,'Daftar Koreksi'!$G$5:$G$92,"Aset Tetap Lainnya",'Daftar Koreksi'!$I$5:$I$92,"&gt;0")</f>
        <v>0</v>
      </c>
      <c r="F20" s="25">
        <f>SUMIFS('Daftar Koreksi'!$I$5:$I$92,'Daftar Koreksi'!$D$5:$D$92,'2900'!A4,'Daftar Koreksi'!$G$5:$G$92,"Aset Tetap Lainnya",'Daftar Koreksi'!$I$5:$I$92,"&lt;0")-SUMIFS('Daftar Koreksi'!$I$5:$I$92,'Daftar Koreksi'!$D$5:$D$92,'2900'!A4,'Daftar Koreksi'!$G$5:$G$92,"Aset Tetap Lainnya",'Daftar Koreksi'!$I$5:$I$92,"&lt;0")-SUMIFS('Daftar Koreksi'!$I$5:$I$92,'Daftar Koreksi'!$D$5:$D$92,'2900'!A4,'Daftar Koreksi'!$G$5:$G$92,"Aset Tetap Lainnya",'Daftar Koreksi'!$I$5:$I$92,"&lt;0")</f>
        <v>0</v>
      </c>
      <c r="G20" s="17">
        <f t="shared" si="0"/>
        <v>0</v>
      </c>
      <c r="H20" s="122"/>
    </row>
    <row r="21" spans="1:10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Koreksi'!$D$5:$D$92,'2900'!A4,'Daftar Koreksi'!$G$5:$G$92,"Aset Henti Guna",'Daftar Koreksi'!$I$5:$I$92,"&gt;0")</f>
        <v>0</v>
      </c>
      <c r="F21" s="25">
        <f>SUMIFS('Daftar Koreksi'!$I$5:$I$92,'Daftar Koreksi'!$D$5:$D$92,'2900'!A4,'Daftar Koreksi'!$G$5:$G$92,"Aset Henti Guna",'Daftar Koreksi'!$I$5:$I$92,"&lt;0")-SUMIFS('Daftar Koreksi'!$I$5:$I$92,'Daftar Koreksi'!$D$5:$D$92,'2900'!A4,'Daftar Koreksi'!$G$5:$G$92,"Aset Henti Guna",'Daftar Koreksi'!$I$5:$I$92,"&lt;0")-SUMIFS('Daftar Koreksi'!$I$5:$I$92,'Daftar Koreksi'!$D$5:$D$92,'2900'!A4,'Daftar Koreksi'!$G$5:$G$92,"Aset Henti Guna",'Daftar Koreksi'!$I$5:$I$92,"&lt;0")</f>
        <v>0</v>
      </c>
      <c r="G21" s="17">
        <f t="shared" si="0"/>
        <v>0</v>
      </c>
      <c r="H21" s="122"/>
    </row>
    <row r="22" spans="1:10" ht="21.95" customHeight="1">
      <c r="A22" s="14"/>
      <c r="B22" s="14"/>
      <c r="C22" s="18" t="s">
        <v>2094</v>
      </c>
      <c r="D22" s="19">
        <f>SUM(D17:D21)</f>
        <v>-4748388071</v>
      </c>
      <c r="E22" s="19">
        <f>SUM(E17:E21)</f>
        <v>0</v>
      </c>
      <c r="F22" s="19">
        <f>SUM(F17:F21)</f>
        <v>0</v>
      </c>
      <c r="G22" s="19">
        <f t="shared" si="0"/>
        <v>-4748388071</v>
      </c>
      <c r="H22" s="122"/>
    </row>
    <row r="23" spans="1:10" ht="21.95" customHeight="1">
      <c r="A23" s="14"/>
      <c r="B23" s="14"/>
      <c r="C23" s="18" t="s">
        <v>2095</v>
      </c>
      <c r="D23" s="19">
        <f>VLOOKUP(A4,'Neraca Unaudited SIMAK'!$A$2:$S$10004,18,FALSE)</f>
        <v>9585556956</v>
      </c>
      <c r="E23" s="19">
        <f>E22+E16</f>
        <v>0</v>
      </c>
      <c r="F23" s="19">
        <f>F22+F16</f>
        <v>0</v>
      </c>
      <c r="G23" s="19">
        <f t="shared" si="0"/>
        <v>9585556956</v>
      </c>
      <c r="H23" s="122"/>
    </row>
    <row r="24" spans="1:10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0" ht="19.5" customHeight="1">
      <c r="A26" s="11" t="str">
        <f>O2</f>
        <v>005012900097577000KD</v>
      </c>
      <c r="B26" s="11" t="str">
        <f>P2</f>
        <v>PN. Rangkas Bitung</v>
      </c>
      <c r="C26" s="12" t="str">
        <f>A26&amp;" "&amp;B26</f>
        <v>005012900097577000KD PN. Rangkas Bitung</v>
      </c>
      <c r="D26" s="13"/>
      <c r="E26" s="13"/>
      <c r="F26" s="13"/>
      <c r="G26" s="13"/>
      <c r="H26" s="11"/>
    </row>
    <row r="27" spans="1:10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0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0" ht="21.95" customHeight="1">
      <c r="A29" s="14"/>
      <c r="B29" s="14"/>
      <c r="C29" s="16" t="s">
        <v>1165</v>
      </c>
      <c r="D29" s="17">
        <f>VLOOKUP(A26,'Neraca Unaudited SIMAK'!$A$2:$S$10004,3,FALSE)</f>
        <v>2073170</v>
      </c>
      <c r="E29" s="25">
        <f>SUMIFS('Daftar Koreksi'!$H$5:$H$92,'Daftar Koreksi'!$D$5:$D$92,'2900'!A26,'Daftar Koreksi'!$G$5:$G$92,"Persediaan",'Daftar Koreksi'!$H$5:$H$92,"&gt;0")</f>
        <v>0</v>
      </c>
      <c r="F29" s="25">
        <f>SUMIFS('Daftar Koreksi'!$H$5:$H$92,'Daftar Koreksi'!$D$5:$D$92,'2900'!A26,'Daftar Koreksi'!$G$5:$G$92,"Persediaan",'Daftar Koreksi'!$H$5:$H$92,"&lt;0")-SUMIFS('Daftar Koreksi'!$H$5:$H$92,'Daftar Koreksi'!$D$5:$D$92,'2900'!A26,'Daftar Koreksi'!$G$5:$G$92,"Persediaan",'Daftar Koreksi'!$H$5:$H$92,"&lt;0")-SUMIFS('Daftar Koreksi'!$H$5:$H$92,'Daftar Koreksi'!$D$5:$D$92,'2900'!A26,'Daftar Koreksi'!$G$5:$G$92,"Persediaan",'Daftar Koreksi'!$H$5:$H$92,"&lt;0")</f>
        <v>0</v>
      </c>
      <c r="G29" s="17">
        <f>D29+E29-F29</f>
        <v>2073170</v>
      </c>
      <c r="H29" s="121" t="str">
        <f>IF(ISNA(VLOOKUP(A26,'Mutasi Neraca'!$A$3:$S$914,19,FALSE)),"-",VLOOKUP(A26,'Mutasi Neraca'!$A$3:$S$914,19,FALSE))</f>
        <v>-</v>
      </c>
      <c r="I29" s="28"/>
      <c r="J29" s="28"/>
    </row>
    <row r="30" spans="1:10" ht="21.95" customHeight="1">
      <c r="A30" s="14"/>
      <c r="B30" s="14"/>
      <c r="C30" s="16" t="s">
        <v>1166</v>
      </c>
      <c r="D30" s="17">
        <f>VLOOKUP(A26,'Neraca Unaudited SIMAK'!$A$2:$S$10004,4,FALSE)</f>
        <v>3827676000</v>
      </c>
      <c r="E30" s="25">
        <f>SUMIFS('Daftar Koreksi'!$H$5:$H$92,'Daftar Koreksi'!$D$5:$D$92,'2900'!A26,'Daftar Koreksi'!$G$5:$G$92,"Tanah",'Daftar Koreksi'!$H$5:$H$92,"&gt;0")</f>
        <v>0</v>
      </c>
      <c r="F30" s="25">
        <f>SUMIFS('Daftar Koreksi'!$H$5:$H$92,'Daftar Koreksi'!$D$5:$D$92,'2900'!A26,'Daftar Koreksi'!$G$5:$G$92,"Tanah",'Daftar Koreksi'!$H$5:$H$92,"&lt;0")-SUMIFS('Daftar Koreksi'!$H$5:$H$92,'Daftar Koreksi'!$D$5:$D$92,'2900'!A26,'Daftar Koreksi'!$G$5:$G$92,"Tanah",'Daftar Koreksi'!$H$5:$H$92,"&lt;0")-SUMIFS('Daftar Koreksi'!$H$5:$H$92,'Daftar Koreksi'!$D$5:$D$92,'2900'!A26,'Daftar Koreksi'!$G$5:$G$92,"Tanah",'Daftar Koreksi'!$H$5:$H$92,"&lt;0")</f>
        <v>0</v>
      </c>
      <c r="G30" s="17">
        <f t="shared" ref="G30:G46" si="1">D30+E30-F30</f>
        <v>3827676000</v>
      </c>
      <c r="H30" s="122"/>
      <c r="I30" s="28"/>
      <c r="J30" s="28"/>
    </row>
    <row r="31" spans="1:10" ht="21.95" customHeight="1">
      <c r="A31" s="14"/>
      <c r="B31" s="14"/>
      <c r="C31" s="16" t="s">
        <v>1167</v>
      </c>
      <c r="D31" s="17">
        <f>VLOOKUP(A26,'Neraca Unaudited SIMAK'!$A$2:$S$10004,5,FALSE)</f>
        <v>1914301631</v>
      </c>
      <c r="E31" s="25">
        <f>SUMIFS('Daftar Koreksi'!$H$5:$H$92,'Daftar Koreksi'!$D$5:$D$92,'2900'!A26,'Daftar Koreksi'!$G$5:$G$92,"Peralatan dan mesin",'Daftar Koreksi'!$H$5:$H$92,"&gt;0")</f>
        <v>0</v>
      </c>
      <c r="F31" s="25">
        <f>SUMIFS('Daftar Koreksi'!$H$5:$H$92,'Daftar Koreksi'!$D$5:$D$92,'2900'!A26,'Daftar Koreksi'!$G$5:$G$92,"Peralatan dan mesin",'Daftar Koreksi'!$H$5:$H$92,"&lt;0")-SUMIFS('Daftar Koreksi'!$H$5:$H$92,'Daftar Koreksi'!$D$5:$D$92,'2900'!A26,'Daftar Koreksi'!$G$5:$G$92,"Peralatan dan mesin",'Daftar Koreksi'!$H$5:$H$92,"&lt;0")-SUMIFS('Daftar Koreksi'!$H$5:$H$92,'Daftar Koreksi'!$D$5:$D$92,'2900'!A26,'Daftar Koreksi'!$G$5:$G$92,"Peralatan dan mesin",'Daftar Koreksi'!$H$5:$H$92,"&lt;0")</f>
        <v>0</v>
      </c>
      <c r="G31" s="17">
        <f t="shared" si="1"/>
        <v>1914301631</v>
      </c>
      <c r="H31" s="122"/>
      <c r="I31" s="28"/>
      <c r="J31" s="28"/>
    </row>
    <row r="32" spans="1:10" ht="21.95" customHeight="1">
      <c r="A32" s="14"/>
      <c r="B32" s="14"/>
      <c r="C32" s="16" t="s">
        <v>1168</v>
      </c>
      <c r="D32" s="17">
        <f>VLOOKUP(A26,'Neraca Unaudited SIMAK'!$A$2:$S$10004,6,FALSE)</f>
        <v>8232694670</v>
      </c>
      <c r="E32" s="25">
        <f>SUMIFS('Daftar Koreksi'!$H$5:$H$92,'Daftar Koreksi'!$D$5:$D$92,'2900'!A26,'Daftar Koreksi'!$G$5:$G$92,"Gedung dan Bangunan",'Daftar Koreksi'!$H$5:$H$92,"&gt;0")</f>
        <v>0</v>
      </c>
      <c r="F32" s="25">
        <f>SUMIFS('Daftar Koreksi'!$H$5:$H$92,'Daftar Koreksi'!$D$5:$D$92,'2900'!A26,'Daftar Koreksi'!$G$5:$G$92,"Gedung dan Bangunan",'Daftar Koreksi'!$H$5:$H$92,"&lt;0")-SUMIFS('Daftar Koreksi'!$H$5:$H$92,'Daftar Koreksi'!$D$5:$D$92,'2900'!A26,'Daftar Koreksi'!$G$5:$G$92,"Gedung dan Bangunan",'Daftar Koreksi'!$H$5:$H$92,"&lt;0")-SUMIFS('Daftar Koreksi'!$H$5:$H$92,'Daftar Koreksi'!$D$5:$D$92,'2900'!A26,'Daftar Koreksi'!$G$5:$G$92,"Gedung dan Bangunan",'Daftar Koreksi'!$H$5:$H$92,"&lt;0")</f>
        <v>0</v>
      </c>
      <c r="G32" s="17">
        <f t="shared" si="1"/>
        <v>8232694670</v>
      </c>
      <c r="H32" s="122"/>
      <c r="I32" s="28"/>
      <c r="J32" s="28"/>
    </row>
    <row r="33" spans="1:10" ht="21.95" customHeight="1">
      <c r="A33" s="14"/>
      <c r="B33" s="14"/>
      <c r="C33" s="16" t="s">
        <v>1169</v>
      </c>
      <c r="D33" s="17">
        <f>VLOOKUP(A26,'Neraca Unaudited SIMAK'!$A$2:$S$10004,7,FALSE)</f>
        <v>114275000</v>
      </c>
      <c r="E33" s="25">
        <f>SUMIFS('Daftar Koreksi'!$H$5:$H$92,'Daftar Koreksi'!$D$5:$D$92,'2900'!A26,'Daftar Koreksi'!$G$5:$G$92,"Jalan Irigasi Jaringan",'Daftar Koreksi'!$H$5:$H$92,"&gt;0")</f>
        <v>0</v>
      </c>
      <c r="F33" s="25">
        <f>SUMIFS('Daftar Koreksi'!$H$5:$H$92,'Daftar Koreksi'!$D$5:$D$92,'2900'!A26,'Daftar Koreksi'!$G$5:$G$92,"Jalan Irigasi Jaringan",'Daftar Koreksi'!$H$5:$H$92,"&lt;0")-SUMIFS('Daftar Koreksi'!$H$5:$H$92,'Daftar Koreksi'!$D$5:$D$92,'2900'!A26,'Daftar Koreksi'!$G$5:$G$92,"Jalan Irigasi Jaringan",'Daftar Koreksi'!$H$5:$H$92,"&lt;0")-SUMIFS('Daftar Koreksi'!$H$5:$H$92,'Daftar Koreksi'!$D$5:$D$92,'2900'!A26,'Daftar Koreksi'!$G$5:$G$92,"Jalan Irigasi Jaringan",'Daftar Koreksi'!$H$5:$H$92,"&lt;0")</f>
        <v>0</v>
      </c>
      <c r="G33" s="17">
        <f t="shared" si="1"/>
        <v>114275000</v>
      </c>
      <c r="H33" s="122"/>
      <c r="I33" s="28"/>
      <c r="J33" s="28"/>
    </row>
    <row r="34" spans="1:10" ht="21.95" customHeight="1">
      <c r="A34" s="14"/>
      <c r="B34" s="14"/>
      <c r="C34" s="16" t="s">
        <v>1170</v>
      </c>
      <c r="D34" s="17">
        <f>VLOOKUP(A26,'Neraca Unaudited SIMAK'!$A$2:$S$10004,8,FALSE)</f>
        <v>16767140</v>
      </c>
      <c r="E34" s="25">
        <f>SUMIFS('Daftar Koreksi'!$H$5:$H$92,'Daftar Koreksi'!$D$5:$D$92,'2900'!A26,'Daftar Koreksi'!$G$5:$G$92,"Aset Tetap Lainnya",'Daftar Koreksi'!$H$5:$H$92,"&gt;0")</f>
        <v>0</v>
      </c>
      <c r="F34" s="25">
        <f>SUMIFS('Daftar Koreksi'!$H$5:$H$92,'Daftar Koreksi'!$D$5:$D$92,'2900'!A26,'Daftar Koreksi'!$G$5:$G$92,"Aset Tetap Lainnya",'Daftar Koreksi'!$H$5:$H$92,"&lt;0")-SUMIFS('Daftar Koreksi'!$H$5:$H$92,'Daftar Koreksi'!$D$5:$D$92,'2900'!A26,'Daftar Koreksi'!$G$5:$G$92,"Aset Tetap Lainnya",'Daftar Koreksi'!$H$5:$H$92,"&lt;0")-SUMIFS('Daftar Koreksi'!$H$5:$H$92,'Daftar Koreksi'!$D$5:$D$92,'2900'!A26,'Daftar Koreksi'!$G$5:$G$92,"Aset Tetap Lainnya",'Daftar Koreksi'!$H$5:$H$92,"&lt;0")</f>
        <v>0</v>
      </c>
      <c r="G34" s="17">
        <f t="shared" si="1"/>
        <v>16767140</v>
      </c>
      <c r="H34" s="122"/>
      <c r="I34" s="28"/>
      <c r="J34" s="28"/>
    </row>
    <row r="35" spans="1:10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Koreksi'!$D$5:$D$92,'2900'!A26,'Daftar Koreksi'!$G$5:$G$92,"Kontruksi Dalam Pengerjaan",'Daftar Koreksi'!$H$5:$H$92,"&gt;0")</f>
        <v>0</v>
      </c>
      <c r="F35" s="25">
        <f>SUMIFS('Daftar Koreksi'!$H$5:$H$92,'Daftar Koreksi'!$D$5:$D$92,'2900'!A26,'Daftar Koreksi'!$G$5:$G$92,"Kontruksi Dalam Pengerjaan",'Daftar Koreksi'!$H$5:$H$92,"&lt;0")-SUMIFS('Daftar Koreksi'!$H$5:$H$92,'Daftar Koreksi'!$D$5:$D$92,'2900'!A26,'Daftar Koreksi'!$G$5:$G$92,"Kontruksi Dalam Pengerjaan",'Daftar Koreksi'!$H$5:$H$92,"&lt;0")-SUMIFS('Daftar Koreksi'!$H$5:$H$92,'Daftar Koreksi'!$D$5:$D$92,'2900'!A26,'Daftar Koreksi'!$G$5:$G$92,"Kontruksi Dalam Pengerjaan",'Daftar Koreksi'!$H$5:$H$92,"&lt;0")</f>
        <v>0</v>
      </c>
      <c r="G35" s="17">
        <f t="shared" si="1"/>
        <v>0</v>
      </c>
      <c r="H35" s="122"/>
      <c r="I35" s="28"/>
      <c r="J35" s="28"/>
    </row>
    <row r="36" spans="1:10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Koreksi'!$D$5:$D$92,'2900'!A26,'Daftar Koreksi'!$G$5:$G$92,"Aset Tak Berwujud",'Daftar Koreksi'!$H$5:$H$92,"&gt;0")</f>
        <v>0</v>
      </c>
      <c r="F36" s="25">
        <f>SUMIFS('Daftar Koreksi'!$H$5:$H$92,'Daftar Koreksi'!$D$5:$D$92,'2900'!A26,'Daftar Koreksi'!$G$5:$G$92,"Aset Tak Berwujud",'Daftar Koreksi'!$H$5:$H$92,"&lt;0")-SUMIFS('Daftar Koreksi'!$H$5:$H$92,'Daftar Koreksi'!$D$5:$D$92,'2900'!A26,'Daftar Koreksi'!$G$5:$G$92,"Aset Tak Berwujud",'Daftar Koreksi'!$H$5:$H$92,"&lt;0")-SUMIFS('Daftar Koreksi'!$H$5:$H$92,'Daftar Koreksi'!$D$5:$D$92,'2900'!A26,'Daftar Koreksi'!$G$5:$G$92,"Aset Tak Berwujud",'Daftar Koreksi'!$H$5:$H$92,"&lt;0")</f>
        <v>0</v>
      </c>
      <c r="G36" s="17">
        <f t="shared" si="1"/>
        <v>0</v>
      </c>
      <c r="H36" s="122"/>
      <c r="I36" s="28"/>
      <c r="J36" s="28"/>
    </row>
    <row r="37" spans="1:10" ht="21.95" customHeight="1">
      <c r="A37" s="14"/>
      <c r="B37" s="14"/>
      <c r="C37" s="16" t="s">
        <v>1173</v>
      </c>
      <c r="D37" s="17">
        <f>VLOOKUP(A26,'Neraca Unaudited SIMAK'!$A$2:$S$10004,11,FALSE)</f>
        <v>294888700</v>
      </c>
      <c r="E37" s="25">
        <f>SUMIFS('Daftar Koreksi'!$H$5:$H$92,'Daftar Koreksi'!$D$5:$D$92,'2900'!A26,'Daftar Koreksi'!$G$5:$G$92,"Aset Henti Guna",'Daftar Koreksi'!$H$5:$H$92,"&gt;0")</f>
        <v>0</v>
      </c>
      <c r="F37" s="25">
        <f>SUMIFS('Daftar Koreksi'!$H$5:$H$92,'Daftar Koreksi'!$D$5:$D$92,'2900'!A26,'Daftar Koreksi'!$G$5:$G$92,"Aset Henti Guna",'Daftar Koreksi'!$H$5:$H$92,"&lt;0")-SUMIFS('Daftar Koreksi'!$H$5:$H$92,'Daftar Koreksi'!$D$5:$D$92,'2900'!A26,'Daftar Koreksi'!$G$5:$G$92,"Aset Henti Guna",'Daftar Koreksi'!$H$5:$H$92,"&lt;0")-SUMIFS('Daftar Koreksi'!$H$5:$H$92,'Daftar Koreksi'!$D$5:$D$92,'2900'!A26,'Daftar Koreksi'!$G$5:$G$92,"Aset Henti Guna",'Daftar Koreksi'!$H$5:$H$92,"&lt;0")</f>
        <v>0</v>
      </c>
      <c r="G37" s="17">
        <f t="shared" si="1"/>
        <v>294888700</v>
      </c>
      <c r="H37" s="122"/>
      <c r="I37" s="28"/>
      <c r="J37" s="28"/>
    </row>
    <row r="38" spans="1:10" ht="21.95" customHeight="1">
      <c r="A38" s="14"/>
      <c r="B38" s="14"/>
      <c r="C38" s="18" t="s">
        <v>2093</v>
      </c>
      <c r="D38" s="19">
        <f>VLOOKUP(A26,'Neraca Unaudited SIMAK'!$A$2:$S$10004,12,FALSE)</f>
        <v>14402676311</v>
      </c>
      <c r="E38" s="19">
        <f>SUM(E29:E37)</f>
        <v>0</v>
      </c>
      <c r="F38" s="19">
        <f>SUM(F29:F37)</f>
        <v>0</v>
      </c>
      <c r="G38" s="19">
        <f t="shared" si="1"/>
        <v>14402676311</v>
      </c>
      <c r="H38" s="122"/>
      <c r="I38" s="28"/>
      <c r="J38" s="28"/>
    </row>
    <row r="39" spans="1:10" ht="21.95" customHeight="1">
      <c r="A39" s="14"/>
      <c r="B39" s="14"/>
      <c r="C39" s="16" t="s">
        <v>2087</v>
      </c>
      <c r="D39" s="17">
        <f>VLOOKUP(A26,'Neraca Unaudited SIMAK'!$A$2:$S$10004,13,FALSE)</f>
        <v>-1810444235</v>
      </c>
      <c r="E39" s="25">
        <f>SUMIFS('Daftar Koreksi'!$I$5:$I$92,'Daftar Koreksi'!$D$5:$D$92,'2900'!A26,'Daftar Koreksi'!$G$5:$G$92,"Peralatan dan mesin",'Daftar Koreksi'!$I$5:$I$92,"&gt;0")</f>
        <v>0</v>
      </c>
      <c r="F39" s="25">
        <f>SUMIFS('Daftar Koreksi'!$I$5:$I$92,'Daftar Koreksi'!$D$5:$D$92,'2900'!A26,'Daftar Koreksi'!$G$5:$G$92,"Peralatan dan mesin",'Daftar Koreksi'!$I$5:$I$92,"&lt;0")-SUMIFS('Daftar Koreksi'!$I$5:$I$92,'Daftar Koreksi'!$D$5:$D$92,'2900'!A26,'Daftar Koreksi'!$G$5:$G$92,"Peralatan dan mesin",'Daftar Koreksi'!$I$5:$I$92,"&lt;0")-SUMIFS('Daftar Koreksi'!$I$5:$I$92,'Daftar Koreksi'!$D$5:$D$92,'2900'!A26,'Daftar Koreksi'!$G$5:$G$92,"Peralatan dan mesin",'Daftar Koreksi'!$I$5:$I$92,"&lt;0")</f>
        <v>0</v>
      </c>
      <c r="G39" s="17">
        <f t="shared" si="1"/>
        <v>-1810444235</v>
      </c>
      <c r="H39" s="122"/>
      <c r="I39" s="28"/>
      <c r="J39" s="28"/>
    </row>
    <row r="40" spans="1:10" ht="21.95" customHeight="1">
      <c r="A40" s="14"/>
      <c r="B40" s="14"/>
      <c r="C40" s="16" t="s">
        <v>2088</v>
      </c>
      <c r="D40" s="17">
        <f>VLOOKUP(A26,'Neraca Unaudited SIMAK'!$A$2:$S$10004,14,FALSE)</f>
        <v>-1176038744</v>
      </c>
      <c r="E40" s="25">
        <f>SUMIFS('Daftar Koreksi'!$I$5:$I$92,'Daftar Koreksi'!$D$5:$D$92,'2900'!A26,'Daftar Koreksi'!$G$5:$G$92,"Gedung dan Bangunan",'Daftar Koreksi'!$I$5:$I$92,"&gt;0")</f>
        <v>0</v>
      </c>
      <c r="F40" s="25">
        <f>SUMIFS('Daftar Koreksi'!$I$5:$I$92,'Daftar Koreksi'!$D$5:$D$92,'2900'!A26,'Daftar Koreksi'!$G$5:$G$92,"Gedung dan Bangunan",'Daftar Koreksi'!$I$5:$I$92,"&lt;0")-SUMIFS('Daftar Koreksi'!$I$5:$I$92,'Daftar Koreksi'!$D$5:$D$92,'2900'!A26,'Daftar Koreksi'!$G$5:$G$92,"Gedung dan Bangunan",'Daftar Koreksi'!$I$5:$I$92,"&lt;0")-SUMIFS('Daftar Koreksi'!$I$5:$I$92,'Daftar Koreksi'!$D$5:$D$92,'2900'!A26,'Daftar Koreksi'!$G$5:$G$92,"Gedung dan Bangunan",'Daftar Koreksi'!$I$5:$I$92,"&lt;0")</f>
        <v>0</v>
      </c>
      <c r="G40" s="17">
        <f t="shared" si="1"/>
        <v>-1176038744</v>
      </c>
      <c r="H40" s="122"/>
      <c r="I40" s="28"/>
      <c r="J40" s="28"/>
    </row>
    <row r="41" spans="1:10" ht="21.95" customHeight="1">
      <c r="A41" s="14"/>
      <c r="B41" s="14"/>
      <c r="C41" s="16" t="s">
        <v>2089</v>
      </c>
      <c r="D41" s="17">
        <f>VLOOKUP(A26,'Neraca Unaudited SIMAK'!$A$2:$S$10004,15,FALSE)</f>
        <v>-74278750</v>
      </c>
      <c r="E41" s="25">
        <f>SUMIFS('Daftar Koreksi'!$I$5:$I$92,'Daftar Koreksi'!$D$5:$D$92,'2900'!A26,'Daftar Koreksi'!$G$5:$G$92,"Jalan Irigasi Jaringan",'Daftar Koreksi'!$I$5:$I$92,"&gt;0")</f>
        <v>0</v>
      </c>
      <c r="F41" s="25">
        <f>SUMIFS('Daftar Koreksi'!$I$5:$I$92,'Daftar Koreksi'!$D$5:$D$92,'2900'!A26,'Daftar Koreksi'!$G$5:$G$92,"Jalan Irigasi Jaringan",'Daftar Koreksi'!$I$5:$I$92,"&lt;0")-SUMIFS('Daftar Koreksi'!$I$5:$I$92,'Daftar Koreksi'!$D$5:$D$92,'2900'!A26,'Daftar Koreksi'!$G$5:$G$92,"Jalan Irigasi Jaringan",'Daftar Koreksi'!$I$5:$I$92,"&lt;0")-SUMIFS('Daftar Koreksi'!$I$5:$I$92,'Daftar Koreksi'!$D$5:$D$92,'2900'!A26,'Daftar Koreksi'!$G$5:$G$92,"Jalan Irigasi Jaringan",'Daftar Koreksi'!$I$5:$I$92,"&lt;0")</f>
        <v>0</v>
      </c>
      <c r="G41" s="17">
        <f t="shared" si="1"/>
        <v>-74278750</v>
      </c>
      <c r="H41" s="122"/>
      <c r="I41" s="28"/>
      <c r="J41" s="28"/>
    </row>
    <row r="42" spans="1:10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Koreksi'!$D$5:$D$92,'2900'!A26,'Daftar Koreksi'!$G$5:$G$92,"Aset Tetap Lainnya",'Daftar Koreksi'!$I$5:$I$92,"&gt;0")</f>
        <v>0</v>
      </c>
      <c r="F42" s="25">
        <f>SUMIFS('Daftar Koreksi'!$I$5:$I$92,'Daftar Koreksi'!$D$5:$D$92,'2900'!A26,'Daftar Koreksi'!$G$5:$G$92,"Aset Tetap Lainnya",'Daftar Koreksi'!$I$5:$I$92,"&lt;0")-SUMIFS('Daftar Koreksi'!$I$5:$I$92,'Daftar Koreksi'!$D$5:$D$92,'2900'!A26,'Daftar Koreksi'!$G$5:$G$92,"Aset Tetap Lainnya",'Daftar Koreksi'!$I$5:$I$92,"&lt;0")-SUMIFS('Daftar Koreksi'!$I$5:$I$92,'Daftar Koreksi'!$D$5:$D$92,'2900'!A26,'Daftar Koreksi'!$G$5:$G$92,"Aset Tetap Lainnya",'Daftar Koreksi'!$I$5:$I$92,"&lt;0")</f>
        <v>0</v>
      </c>
      <c r="G42" s="17">
        <f t="shared" si="1"/>
        <v>0</v>
      </c>
      <c r="H42" s="122"/>
      <c r="I42" s="28"/>
      <c r="J42" s="28"/>
    </row>
    <row r="43" spans="1:10" ht="21.95" customHeight="1">
      <c r="A43" s="14"/>
      <c r="B43" s="14"/>
      <c r="C43" s="16" t="s">
        <v>2020</v>
      </c>
      <c r="D43" s="17">
        <f>VLOOKUP(A26,'Neraca Unaudited SIMAK'!$A$2:$S$10004,17,FALSE)</f>
        <v>-294888700</v>
      </c>
      <c r="E43" s="25">
        <f>SUMIFS('Daftar Koreksi'!$I$5:$I$92,'Daftar Koreksi'!$D$5:$D$92,'2900'!A26,'Daftar Koreksi'!$G$5:$G$92,"Aset Henti Guna",'Daftar Koreksi'!$I$5:$I$92,"&gt;0")</f>
        <v>0</v>
      </c>
      <c r="F43" s="25">
        <f>SUMIFS('Daftar Koreksi'!$I$5:$I$92,'Daftar Koreksi'!$D$5:$D$92,'2900'!A26,'Daftar Koreksi'!$G$5:$G$92,"Aset Henti Guna",'Daftar Koreksi'!$I$5:$I$92,"&lt;0")-SUMIFS('Daftar Koreksi'!$I$5:$I$92,'Daftar Koreksi'!$D$5:$D$92,'2900'!A26,'Daftar Koreksi'!$G$5:$G$92,"Aset Henti Guna",'Daftar Koreksi'!$I$5:$I$92,"&lt;0")-SUMIFS('Daftar Koreksi'!$I$5:$I$92,'Daftar Koreksi'!$D$5:$D$92,'2900'!A26,'Daftar Koreksi'!$G$5:$G$92,"Aset Henti Guna",'Daftar Koreksi'!$I$5:$I$92,"&lt;0")</f>
        <v>0</v>
      </c>
      <c r="G43" s="17">
        <f t="shared" si="1"/>
        <v>-294888700</v>
      </c>
      <c r="H43" s="122"/>
      <c r="I43" s="28"/>
      <c r="J43" s="28"/>
    </row>
    <row r="44" spans="1:10" ht="21.95" customHeight="1">
      <c r="A44" s="14"/>
      <c r="B44" s="14"/>
      <c r="C44" s="18" t="s">
        <v>2094</v>
      </c>
      <c r="D44" s="19">
        <f>SUM(D39:D43)</f>
        <v>-3355650429</v>
      </c>
      <c r="E44" s="19">
        <f>SUM(E39:E43)</f>
        <v>0</v>
      </c>
      <c r="F44" s="19">
        <f>SUM(F39:F43)</f>
        <v>0</v>
      </c>
      <c r="G44" s="19">
        <f t="shared" si="1"/>
        <v>-3355650429</v>
      </c>
      <c r="H44" s="122"/>
      <c r="I44" s="28"/>
      <c r="J44" s="28"/>
    </row>
    <row r="45" spans="1:10" ht="21.95" customHeight="1">
      <c r="A45" s="14"/>
      <c r="B45" s="14"/>
      <c r="C45" s="18" t="s">
        <v>2095</v>
      </c>
      <c r="D45" s="19">
        <f>VLOOKUP(A26,'Neraca Unaudited SIMAK'!$A$2:$S$10004,18,FALSE)</f>
        <v>11047025882</v>
      </c>
      <c r="E45" s="19">
        <f>E44+E38</f>
        <v>0</v>
      </c>
      <c r="F45" s="19">
        <f>F44+F38</f>
        <v>0</v>
      </c>
      <c r="G45" s="19">
        <f t="shared" si="1"/>
        <v>11047025882</v>
      </c>
      <c r="H45" s="122"/>
      <c r="I45" s="28"/>
      <c r="J45" s="28"/>
    </row>
    <row r="46" spans="1:10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I46" s="28"/>
      <c r="J46" s="28"/>
    </row>
    <row r="48" spans="1:10" ht="19.5" customHeight="1">
      <c r="A48" s="11" t="str">
        <f>O3</f>
        <v>005012900097581000KD</v>
      </c>
      <c r="B48" s="11" t="str">
        <f>P3</f>
        <v>PN. Pandeglang</v>
      </c>
      <c r="C48" s="12" t="str">
        <f>A48&amp;" "&amp;B48</f>
        <v>005012900097581000KD PN. Pandeglang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2760180</v>
      </c>
      <c r="E51" s="25">
        <f>SUMIFS('Daftar Koreksi'!$H$5:$H$92,'Daftar Koreksi'!$D$5:$D$92,'2900'!A48,'Daftar Koreksi'!$G$5:$G$92,"Persediaan",'Daftar Koreksi'!$H$5:$H$92,"&gt;0")</f>
        <v>0</v>
      </c>
      <c r="F51" s="25">
        <f>SUMIFS('Daftar Koreksi'!$H$5:$H$92,'Daftar Koreksi'!$D$5:$D$92,'2900'!A48,'Daftar Koreksi'!$G$5:$G$92,"Persediaan",'Daftar Koreksi'!$H$5:$H$92,"&lt;0")-SUMIFS('Daftar Koreksi'!$H$5:$H$92,'Daftar Koreksi'!$D$5:$D$92,'2900'!A48,'Daftar Koreksi'!$G$5:$G$92,"Persediaan",'Daftar Koreksi'!$H$5:$H$92,"&lt;0")-SUMIFS('Daftar Koreksi'!$H$5:$H$92,'Daftar Koreksi'!$D$5:$D$92,'2900'!A48,'Daftar Koreksi'!$G$5:$G$92,"Persediaan",'Daftar Koreksi'!$H$5:$H$92,"&lt;0")</f>
        <v>0</v>
      </c>
      <c r="G51" s="17">
        <f>D51+E51-F51</f>
        <v>2760180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3741300000</v>
      </c>
      <c r="E52" s="25">
        <f>SUMIFS('Daftar Koreksi'!$H$5:$H$92,'Daftar Koreksi'!$D$5:$D$92,'2900'!A48,'Daftar Koreksi'!$G$5:$G$92,"Tanah",'Daftar Koreksi'!$H$5:$H$92,"&gt;0")</f>
        <v>0</v>
      </c>
      <c r="F52" s="25">
        <f>SUMIFS('Daftar Koreksi'!$H$5:$H$92,'Daftar Koreksi'!$D$5:$D$92,'2900'!A48,'Daftar Koreksi'!$G$5:$G$92,"Tanah",'Daftar Koreksi'!$H$5:$H$92,"&lt;0")-SUMIFS('Daftar Koreksi'!$H$5:$H$92,'Daftar Koreksi'!$D$5:$D$92,'2900'!A48,'Daftar Koreksi'!$G$5:$G$92,"Tanah",'Daftar Koreksi'!$H$5:$H$92,"&lt;0")-SUMIFS('Daftar Koreksi'!$H$5:$H$92,'Daftar Koreksi'!$D$5:$D$92,'2900'!A48,'Daftar Koreksi'!$G$5:$G$92,"Tanah",'Daftar Koreksi'!$H$5:$H$92,"&lt;0")</f>
        <v>0</v>
      </c>
      <c r="G52" s="17">
        <f t="shared" ref="G52:G68" si="2">D52+E52-F52</f>
        <v>3741300000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2135713532</v>
      </c>
      <c r="E53" s="25">
        <f>SUMIFS('Daftar Koreksi'!$H$5:$H$92,'Daftar Koreksi'!$D$5:$D$92,'2900'!A48,'Daftar Koreksi'!$G$5:$G$92,"Peralatan dan mesin",'Daftar Koreksi'!$H$5:$H$92,"&gt;0")</f>
        <v>0</v>
      </c>
      <c r="F53" s="25">
        <f>SUMIFS('Daftar Koreksi'!$H$5:$H$92,'Daftar Koreksi'!$D$5:$D$92,'2900'!A48,'Daftar Koreksi'!$G$5:$G$92,"Peralatan dan mesin",'Daftar Koreksi'!$H$5:$H$92,"&lt;0")-SUMIFS('Daftar Koreksi'!$H$5:$H$92,'Daftar Koreksi'!$D$5:$D$92,'2900'!A48,'Daftar Koreksi'!$G$5:$G$92,"Peralatan dan mesin",'Daftar Koreksi'!$H$5:$H$92,"&lt;0")-SUMIFS('Daftar Koreksi'!$H$5:$H$92,'Daftar Koreksi'!$D$5:$D$92,'2900'!A48,'Daftar Koreksi'!$G$5:$G$92,"Peralatan dan mesin",'Daftar Koreksi'!$H$5:$H$92,"&lt;0")</f>
        <v>0</v>
      </c>
      <c r="G53" s="17">
        <f t="shared" si="2"/>
        <v>2135713532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7050697435</v>
      </c>
      <c r="E54" s="25">
        <f>SUMIFS('Daftar Koreksi'!$H$5:$H$92,'Daftar Koreksi'!$D$5:$D$92,'2900'!A48,'Daftar Koreksi'!$G$5:$G$92,"Gedung dan Bangunan",'Daftar Koreksi'!$H$5:$H$92,"&gt;0")</f>
        <v>0</v>
      </c>
      <c r="F54" s="25">
        <f>SUMIFS('Daftar Koreksi'!$H$5:$H$92,'Daftar Koreksi'!$D$5:$D$92,'2900'!A48,'Daftar Koreksi'!$G$5:$G$92,"Gedung dan Bangunan",'Daftar Koreksi'!$H$5:$H$92,"&lt;0")-SUMIFS('Daftar Koreksi'!$H$5:$H$92,'Daftar Koreksi'!$D$5:$D$92,'2900'!A48,'Daftar Koreksi'!$G$5:$G$92,"Gedung dan Bangunan",'Daftar Koreksi'!$H$5:$H$92,"&lt;0")-SUMIFS('Daftar Koreksi'!$H$5:$H$92,'Daftar Koreksi'!$D$5:$D$92,'2900'!A48,'Daftar Koreksi'!$G$5:$G$92,"Gedung dan Bangunan",'Daftar Koreksi'!$H$5:$H$92,"&lt;0")</f>
        <v>0</v>
      </c>
      <c r="G54" s="17">
        <f t="shared" si="2"/>
        <v>7050697435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49983000</v>
      </c>
      <c r="E55" s="25">
        <f>SUMIFS('Daftar Koreksi'!$H$5:$H$92,'Daftar Koreksi'!$D$5:$D$92,'2900'!A48,'Daftar Koreksi'!$G$5:$G$92,"Jalan Irigasi Jaringan",'Daftar Koreksi'!$H$5:$H$92,"&gt;0")</f>
        <v>0</v>
      </c>
      <c r="F55" s="25">
        <f>SUMIFS('Daftar Koreksi'!$H$5:$H$92,'Daftar Koreksi'!$D$5:$D$92,'2900'!A48,'Daftar Koreksi'!$G$5:$G$92,"Jalan Irigasi Jaringan",'Daftar Koreksi'!$H$5:$H$92,"&lt;0")-SUMIFS('Daftar Koreksi'!$H$5:$H$92,'Daftar Koreksi'!$D$5:$D$92,'2900'!A48,'Daftar Koreksi'!$G$5:$G$92,"Jalan Irigasi Jaringan",'Daftar Koreksi'!$H$5:$H$92,"&lt;0")-SUMIFS('Daftar Koreksi'!$H$5:$H$92,'Daftar Koreksi'!$D$5:$D$92,'2900'!A48,'Daftar Koreksi'!$G$5:$G$92,"Jalan Irigasi Jaringan",'Daftar Koreksi'!$H$5:$H$92,"&lt;0")</f>
        <v>0</v>
      </c>
      <c r="G55" s="17">
        <f t="shared" si="2"/>
        <v>49983000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6355062</v>
      </c>
      <c r="E56" s="25">
        <f>SUMIFS('Daftar Koreksi'!$H$5:$H$92,'Daftar Koreksi'!$D$5:$D$92,'2900'!A48,'Daftar Koreksi'!$G$5:$G$92,"Aset Tetap Lainnya",'Daftar Koreksi'!$H$5:$H$92,"&gt;0")</f>
        <v>0</v>
      </c>
      <c r="F56" s="25">
        <f>SUMIFS('Daftar Koreksi'!$H$5:$H$92,'Daftar Koreksi'!$D$5:$D$92,'2900'!A48,'Daftar Koreksi'!$G$5:$G$92,"Aset Tetap Lainnya",'Daftar Koreksi'!$H$5:$H$92,"&lt;0")-SUMIFS('Daftar Koreksi'!$H$5:$H$92,'Daftar Koreksi'!$D$5:$D$92,'2900'!A48,'Daftar Koreksi'!$G$5:$G$92,"Aset Tetap Lainnya",'Daftar Koreksi'!$H$5:$H$92,"&lt;0")-SUMIFS('Daftar Koreksi'!$H$5:$H$92,'Daftar Koreksi'!$D$5:$D$92,'2900'!A48,'Daftar Koreksi'!$G$5:$G$92,"Aset Tetap Lainnya",'Daftar Koreksi'!$H$5:$H$92,"&lt;0")</f>
        <v>0</v>
      </c>
      <c r="G56" s="17">
        <f t="shared" si="2"/>
        <v>6355062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Koreksi'!$D$5:$D$92,'2900'!A48,'Daftar Koreksi'!$G$5:$G$92,"Kontruksi Dalam Pengerjaan",'Daftar Koreksi'!$H$5:$H$92,"&gt;0")</f>
        <v>0</v>
      </c>
      <c r="F57" s="25">
        <f>SUMIFS('Daftar Koreksi'!$H$5:$H$92,'Daftar Koreksi'!$D$5:$D$92,'2900'!A48,'Daftar Koreksi'!$G$5:$G$92,"Kontruksi Dalam Pengerjaan",'Daftar Koreksi'!$H$5:$H$92,"&lt;0")-SUMIFS('Daftar Koreksi'!$H$5:$H$92,'Daftar Koreksi'!$D$5:$D$92,'2900'!A48,'Daftar Koreksi'!$G$5:$G$92,"Kontruksi Dalam Pengerjaan",'Daftar Koreksi'!$H$5:$H$92,"&lt;0")-SUMIFS('Daftar Koreksi'!$H$5:$H$92,'Daftar Koreksi'!$D$5:$D$92,'2900'!A48,'Daftar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14700000</v>
      </c>
      <c r="E58" s="25">
        <f>SUMIFS('Daftar Koreksi'!$H$5:$H$92,'Daftar Koreksi'!$D$5:$D$92,'2900'!A48,'Daftar Koreksi'!$G$5:$G$92,"Aset Tak Berwujud",'Daftar Koreksi'!$H$5:$H$92,"&gt;0")</f>
        <v>0</v>
      </c>
      <c r="F58" s="25">
        <f>SUMIFS('Daftar Koreksi'!$H$5:$H$92,'Daftar Koreksi'!$D$5:$D$92,'2900'!A48,'Daftar Koreksi'!$G$5:$G$92,"Aset Tak Berwujud",'Daftar Koreksi'!$H$5:$H$92,"&lt;0")-SUMIFS('Daftar Koreksi'!$H$5:$H$92,'Daftar Koreksi'!$D$5:$D$92,'2900'!A48,'Daftar Koreksi'!$G$5:$G$92,"Aset Tak Berwujud",'Daftar Koreksi'!$H$5:$H$92,"&lt;0")-SUMIFS('Daftar Koreksi'!$H$5:$H$92,'Daftar Koreksi'!$D$5:$D$92,'2900'!A48,'Daftar Koreksi'!$G$5:$G$92,"Aset Tak Berwujud",'Daftar Koreksi'!$H$5:$H$92,"&lt;0")</f>
        <v>0</v>
      </c>
      <c r="G58" s="17">
        <f t="shared" si="2"/>
        <v>14700000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97643900</v>
      </c>
      <c r="E59" s="25">
        <f>SUMIFS('Daftar Koreksi'!$H$5:$H$92,'Daftar Koreksi'!$D$5:$D$92,'2900'!A48,'Daftar Koreksi'!$G$5:$G$92,"Aset Henti Guna",'Daftar Koreksi'!$H$5:$H$92,"&gt;0")</f>
        <v>0</v>
      </c>
      <c r="F59" s="25">
        <f>SUMIFS('Daftar Koreksi'!$H$5:$H$92,'Daftar Koreksi'!$D$5:$D$92,'2900'!A48,'Daftar Koreksi'!$G$5:$G$92,"Aset Henti Guna",'Daftar Koreksi'!$H$5:$H$92,"&lt;0")-SUMIFS('Daftar Koreksi'!$H$5:$H$92,'Daftar Koreksi'!$D$5:$D$92,'2900'!A48,'Daftar Koreksi'!$G$5:$G$92,"Aset Henti Guna",'Daftar Koreksi'!$H$5:$H$92,"&lt;0")-SUMIFS('Daftar Koreksi'!$H$5:$H$92,'Daftar Koreksi'!$D$5:$D$92,'2900'!A48,'Daftar Koreksi'!$G$5:$G$92,"Aset Henti Guna",'Daftar Koreksi'!$H$5:$H$92,"&lt;0")</f>
        <v>0</v>
      </c>
      <c r="G59" s="17">
        <f t="shared" si="2"/>
        <v>97643900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13099153109</v>
      </c>
      <c r="E60" s="19">
        <f>SUM(E51:E59)</f>
        <v>0</v>
      </c>
      <c r="F60" s="19">
        <f>SUM(F51:F59)</f>
        <v>0</v>
      </c>
      <c r="G60" s="19">
        <f t="shared" si="2"/>
        <v>13099153109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-1976909878</v>
      </c>
      <c r="E61" s="25">
        <f>SUMIFS('Daftar Koreksi'!$I$5:$I$92,'Daftar Koreksi'!$D$5:$D$92,'2900'!A48,'Daftar Koreksi'!$G$5:$G$92,"Peralatan dan mesin",'Daftar Koreksi'!$I$5:$I$92,"&gt;0")</f>
        <v>0</v>
      </c>
      <c r="F61" s="25">
        <f>SUMIFS('Daftar Koreksi'!$I$5:$I$92,'Daftar Koreksi'!$D$5:$D$92,'2900'!A48,'Daftar Koreksi'!$G$5:$G$92,"Peralatan dan mesin",'Daftar Koreksi'!$I$5:$I$92,"&lt;0")-SUMIFS('Daftar Koreksi'!$I$5:$I$92,'Daftar Koreksi'!$D$5:$D$92,'2900'!A48,'Daftar Koreksi'!$G$5:$G$92,"Peralatan dan mesin",'Daftar Koreksi'!$I$5:$I$92,"&lt;0")-SUMIFS('Daftar Koreksi'!$I$5:$I$92,'Daftar Koreksi'!$D$5:$D$92,'2900'!A48,'Daftar Koreksi'!$G$5:$G$92,"Peralatan dan mesin",'Daftar Koreksi'!$I$5:$I$92,"&lt;0")</f>
        <v>0</v>
      </c>
      <c r="G61" s="17">
        <f t="shared" si="2"/>
        <v>-1976909878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-4374956587</v>
      </c>
      <c r="E62" s="25">
        <f>SUMIFS('Daftar Koreksi'!$I$5:$I$92,'Daftar Koreksi'!$D$5:$D$92,'2900'!A48,'Daftar Koreksi'!$G$5:$G$92,"Gedung dan Bangunan",'Daftar Koreksi'!$I$5:$I$92,"&gt;0")</f>
        <v>0</v>
      </c>
      <c r="F62" s="25">
        <f>SUMIFS('Daftar Koreksi'!$I$5:$I$92,'Daftar Koreksi'!$D$5:$D$92,'2900'!A48,'Daftar Koreksi'!$G$5:$G$92,"Gedung dan Bangunan",'Daftar Koreksi'!$I$5:$I$92,"&lt;0")-SUMIFS('Daftar Koreksi'!$I$5:$I$92,'Daftar Koreksi'!$D$5:$D$92,'2900'!A48,'Daftar Koreksi'!$G$5:$G$92,"Gedung dan Bangunan",'Daftar Koreksi'!$I$5:$I$92,"&lt;0")-SUMIFS('Daftar Koreksi'!$I$5:$I$92,'Daftar Koreksi'!$D$5:$D$92,'2900'!A48,'Daftar Koreksi'!$G$5:$G$92,"Gedung dan Bangunan",'Daftar Koreksi'!$I$5:$I$92,"&lt;0")</f>
        <v>0</v>
      </c>
      <c r="G62" s="17">
        <f t="shared" si="2"/>
        <v>-4374956587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-3748725</v>
      </c>
      <c r="E63" s="25">
        <f>SUMIFS('Daftar Koreksi'!$I$5:$I$92,'Daftar Koreksi'!$D$5:$D$92,'2900'!A48,'Daftar Koreksi'!$G$5:$G$92,"Jalan Irigasi Jaringan",'Daftar Koreksi'!$I$5:$I$92,"&gt;0")</f>
        <v>0</v>
      </c>
      <c r="F63" s="25">
        <f>SUMIFS('Daftar Koreksi'!$I$5:$I$92,'Daftar Koreksi'!$D$5:$D$92,'2900'!A48,'Daftar Koreksi'!$G$5:$G$92,"Jalan Irigasi Jaringan",'Daftar Koreksi'!$I$5:$I$92,"&lt;0")-SUMIFS('Daftar Koreksi'!$I$5:$I$92,'Daftar Koreksi'!$D$5:$D$92,'2900'!A48,'Daftar Koreksi'!$G$5:$G$92,"Jalan Irigasi Jaringan",'Daftar Koreksi'!$I$5:$I$92,"&lt;0")-SUMIFS('Daftar Koreksi'!$I$5:$I$92,'Daftar Koreksi'!$D$5:$D$92,'2900'!A48,'Daftar Koreksi'!$G$5:$G$92,"Jalan Irigasi Jaringan",'Daftar Koreksi'!$I$5:$I$92,"&lt;0")</f>
        <v>0</v>
      </c>
      <c r="G63" s="17">
        <f t="shared" si="2"/>
        <v>-3748725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Koreksi'!$D$5:$D$92,'2900'!A48,'Daftar Koreksi'!$G$5:$G$92,"Aset Tetap Lainnya",'Daftar Koreksi'!$I$5:$I$92,"&gt;0")</f>
        <v>0</v>
      </c>
      <c r="F64" s="25">
        <f>SUMIFS('Daftar Koreksi'!$I$5:$I$92,'Daftar Koreksi'!$D$5:$D$92,'2900'!A48,'Daftar Koreksi'!$G$5:$G$92,"Aset Tetap Lainnya",'Daftar Koreksi'!$I$5:$I$92,"&lt;0")-SUMIFS('Daftar Koreksi'!$I$5:$I$92,'Daftar Koreksi'!$D$5:$D$92,'2900'!A48,'Daftar Koreksi'!$G$5:$G$92,"Aset Tetap Lainnya",'Daftar Koreksi'!$I$5:$I$92,"&lt;0")-SUMIFS('Daftar Koreksi'!$I$5:$I$92,'Daftar Koreksi'!$D$5:$D$92,'2900'!A48,'Daftar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-97643900</v>
      </c>
      <c r="E65" s="25">
        <f>SUMIFS('Daftar Koreksi'!$I$5:$I$92,'Daftar Koreksi'!$D$5:$D$92,'2900'!A48,'Daftar Koreksi'!$G$5:$G$92,"Aset Henti Guna",'Daftar Koreksi'!$I$5:$I$92,"&gt;0")</f>
        <v>0</v>
      </c>
      <c r="F65" s="25">
        <f>SUMIFS('Daftar Koreksi'!$I$5:$I$92,'Daftar Koreksi'!$D$5:$D$92,'2900'!A48,'Daftar Koreksi'!$G$5:$G$92,"Aset Henti Guna",'Daftar Koreksi'!$I$5:$I$92,"&lt;0")-SUMIFS('Daftar Koreksi'!$I$5:$I$92,'Daftar Koreksi'!$D$5:$D$92,'2900'!A48,'Daftar Koreksi'!$G$5:$G$92,"Aset Henti Guna",'Daftar Koreksi'!$I$5:$I$92,"&lt;0")-SUMIFS('Daftar Koreksi'!$I$5:$I$92,'Daftar Koreksi'!$D$5:$D$92,'2900'!A48,'Daftar Koreksi'!$G$5:$G$92,"Aset Henti Guna",'Daftar Koreksi'!$I$5:$I$92,"&lt;0")</f>
        <v>0</v>
      </c>
      <c r="G65" s="17">
        <f t="shared" si="2"/>
        <v>-97643900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-6453259090</v>
      </c>
      <c r="E66" s="19">
        <f>SUM(E61:E65)</f>
        <v>0</v>
      </c>
      <c r="F66" s="19">
        <f>SUM(F61:F65)</f>
        <v>0</v>
      </c>
      <c r="G66" s="19">
        <f t="shared" si="2"/>
        <v>-6453259090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6645894019</v>
      </c>
      <c r="E67" s="19">
        <f>E66+E60</f>
        <v>0</v>
      </c>
      <c r="F67" s="19">
        <f>F66+F60</f>
        <v>0</v>
      </c>
      <c r="G67" s="19">
        <f t="shared" si="2"/>
        <v>6645894019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005012900097598000KD</v>
      </c>
      <c r="B70" s="11" t="str">
        <f>P4</f>
        <v>PN. Tangerang</v>
      </c>
      <c r="C70" s="12" t="str">
        <f>A70&amp;" "&amp;B70</f>
        <v>005012900097598000KD PN. Tangerang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4465200</v>
      </c>
      <c r="E73" s="25">
        <f>SUMIFS('Daftar Koreksi'!$H$5:$H$92,'Daftar Koreksi'!$D$5:$D$92,'2900'!A70,'Daftar Koreksi'!$G$5:$G$92,"Persediaan",'Daftar Koreksi'!$H$5:$H$92,"&gt;0")</f>
        <v>0</v>
      </c>
      <c r="F73" s="25">
        <f>SUMIFS('Daftar Koreksi'!$H$5:$H$92,'Daftar Koreksi'!$D$5:$D$92,'2900'!A70,'Daftar Koreksi'!$G$5:$G$92,"Persediaan",'Daftar Koreksi'!$H$5:$H$92,"&lt;0")-SUMIFS('Daftar Koreksi'!$H$5:$H$92,'Daftar Koreksi'!$D$5:$D$92,'2900'!A70,'Daftar Koreksi'!$G$5:$G$92,"Persediaan",'Daftar Koreksi'!$H$5:$H$92,"&lt;0")-SUMIFS('Daftar Koreksi'!$H$5:$H$92,'Daftar Koreksi'!$D$5:$D$92,'2900'!A70,'Daftar Koreksi'!$G$5:$G$92,"Persediaan",'Daftar Koreksi'!$H$5:$H$92,"&lt;0")</f>
        <v>0</v>
      </c>
      <c r="G73" s="17">
        <f>D73+E73-F73</f>
        <v>4465200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13488470000</v>
      </c>
      <c r="E74" s="25">
        <f>SUMIFS('Daftar Koreksi'!$H$5:$H$92,'Daftar Koreksi'!$D$5:$D$92,'2900'!A70,'Daftar Koreksi'!$G$5:$G$92,"Tanah",'Daftar Koreksi'!$H$5:$H$92,"&gt;0")</f>
        <v>0</v>
      </c>
      <c r="F74" s="25">
        <f>SUMIFS('Daftar Koreksi'!$H$5:$H$92,'Daftar Koreksi'!$D$5:$D$92,'2900'!A70,'Daftar Koreksi'!$G$5:$G$92,"Tanah",'Daftar Koreksi'!$H$5:$H$92,"&lt;0")-SUMIFS('Daftar Koreksi'!$H$5:$H$92,'Daftar Koreksi'!$D$5:$D$92,'2900'!A70,'Daftar Koreksi'!$G$5:$G$92,"Tanah",'Daftar Koreksi'!$H$5:$H$92,"&lt;0")-SUMIFS('Daftar Koreksi'!$H$5:$H$92,'Daftar Koreksi'!$D$5:$D$92,'2900'!A70,'Daftar Koreksi'!$G$5:$G$92,"Tanah",'Daftar Koreksi'!$H$5:$H$92,"&lt;0")</f>
        <v>0</v>
      </c>
      <c r="G74" s="17">
        <f t="shared" ref="G74:G90" si="3">D74+E74-F74</f>
        <v>13488470000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2773934596</v>
      </c>
      <c r="E75" s="25">
        <f>SUMIFS('Daftar Koreksi'!$H$5:$H$92,'Daftar Koreksi'!$D$5:$D$92,'2900'!A70,'Daftar Koreksi'!$G$5:$G$92,"Peralatan dan mesin",'Daftar Koreksi'!$H$5:$H$92,"&gt;0")</f>
        <v>0</v>
      </c>
      <c r="F75" s="25">
        <f>SUMIFS('Daftar Koreksi'!$H$5:$H$92,'Daftar Koreksi'!$D$5:$D$92,'2900'!A70,'Daftar Koreksi'!$G$5:$G$92,"Peralatan dan mesin",'Daftar Koreksi'!$H$5:$H$92,"&lt;0")-SUMIFS('Daftar Koreksi'!$H$5:$H$92,'Daftar Koreksi'!$D$5:$D$92,'2900'!A70,'Daftar Koreksi'!$G$5:$G$92,"Peralatan dan mesin",'Daftar Koreksi'!$H$5:$H$92,"&lt;0")-SUMIFS('Daftar Koreksi'!$H$5:$H$92,'Daftar Koreksi'!$D$5:$D$92,'2900'!A70,'Daftar Koreksi'!$G$5:$G$92,"Peralatan dan mesin",'Daftar Koreksi'!$H$5:$H$92,"&lt;0")</f>
        <v>0</v>
      </c>
      <c r="G75" s="17">
        <f t="shared" si="3"/>
        <v>2773934596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4767349000</v>
      </c>
      <c r="E76" s="25">
        <f>SUMIFS('Daftar Koreksi'!$H$5:$H$92,'Daftar Koreksi'!$D$5:$D$92,'2900'!A70,'Daftar Koreksi'!$G$5:$G$92,"Gedung dan Bangunan",'Daftar Koreksi'!$H$5:$H$92,"&gt;0")</f>
        <v>0</v>
      </c>
      <c r="F76" s="25">
        <f>SUMIFS('Daftar Koreksi'!$H$5:$H$92,'Daftar Koreksi'!$D$5:$D$92,'2900'!A70,'Daftar Koreksi'!$G$5:$G$92,"Gedung dan Bangunan",'Daftar Koreksi'!$H$5:$H$92,"&lt;0")-SUMIFS('Daftar Koreksi'!$H$5:$H$92,'Daftar Koreksi'!$D$5:$D$92,'2900'!A70,'Daftar Koreksi'!$G$5:$G$92,"Gedung dan Bangunan",'Daftar Koreksi'!$H$5:$H$92,"&lt;0")-SUMIFS('Daftar Koreksi'!$H$5:$H$92,'Daftar Koreksi'!$D$5:$D$92,'2900'!A70,'Daftar Koreksi'!$G$5:$G$92,"Gedung dan Bangunan",'Daftar Koreksi'!$H$5:$H$92,"&lt;0")</f>
        <v>0</v>
      </c>
      <c r="G76" s="17">
        <f t="shared" si="3"/>
        <v>4767349000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49610000</v>
      </c>
      <c r="E77" s="25">
        <f>SUMIFS('Daftar Koreksi'!$H$5:$H$92,'Daftar Koreksi'!$D$5:$D$92,'2900'!A70,'Daftar Koreksi'!$G$5:$G$92,"Jalan Irigasi Jaringan",'Daftar Koreksi'!$H$5:$H$92,"&gt;0")</f>
        <v>0</v>
      </c>
      <c r="F77" s="25">
        <f>SUMIFS('Daftar Koreksi'!$H$5:$H$92,'Daftar Koreksi'!$D$5:$D$92,'2900'!A70,'Daftar Koreksi'!$G$5:$G$92,"Jalan Irigasi Jaringan",'Daftar Koreksi'!$H$5:$H$92,"&lt;0")-SUMIFS('Daftar Koreksi'!$H$5:$H$92,'Daftar Koreksi'!$D$5:$D$92,'2900'!A70,'Daftar Koreksi'!$G$5:$G$92,"Jalan Irigasi Jaringan",'Daftar Koreksi'!$H$5:$H$92,"&lt;0")-SUMIFS('Daftar Koreksi'!$H$5:$H$92,'Daftar Koreksi'!$D$5:$D$92,'2900'!A70,'Daftar Koreksi'!$G$5:$G$92,"Jalan Irigasi Jaringan",'Daftar Koreksi'!$H$5:$H$92,"&lt;0")</f>
        <v>0</v>
      </c>
      <c r="G77" s="17">
        <f t="shared" si="3"/>
        <v>49610000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12285741</v>
      </c>
      <c r="E78" s="25">
        <f>SUMIFS('Daftar Koreksi'!$H$5:$H$92,'Daftar Koreksi'!$D$5:$D$92,'2900'!A70,'Daftar Koreksi'!$G$5:$G$92,"Aset Tetap Lainnya",'Daftar Koreksi'!$H$5:$H$92,"&gt;0")</f>
        <v>0</v>
      </c>
      <c r="F78" s="25">
        <f>SUMIFS('Daftar Koreksi'!$H$5:$H$92,'Daftar Koreksi'!$D$5:$D$92,'2900'!A70,'Daftar Koreksi'!$G$5:$G$92,"Aset Tetap Lainnya",'Daftar Koreksi'!$H$5:$H$92,"&lt;0")-SUMIFS('Daftar Koreksi'!$H$5:$H$92,'Daftar Koreksi'!$D$5:$D$92,'2900'!A70,'Daftar Koreksi'!$G$5:$G$92,"Aset Tetap Lainnya",'Daftar Koreksi'!$H$5:$H$92,"&lt;0")-SUMIFS('Daftar Koreksi'!$H$5:$H$92,'Daftar Koreksi'!$D$5:$D$92,'2900'!A70,'Daftar Koreksi'!$G$5:$G$92,"Aset Tetap Lainnya",'Daftar Koreksi'!$H$5:$H$92,"&lt;0")</f>
        <v>0</v>
      </c>
      <c r="G78" s="17">
        <f t="shared" si="3"/>
        <v>12285741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Koreksi'!$D$5:$D$92,'2900'!A70,'Daftar Koreksi'!$G$5:$G$92,"Kontruksi Dalam Pengerjaan",'Daftar Koreksi'!$H$5:$H$92,"&gt;0")</f>
        <v>0</v>
      </c>
      <c r="F79" s="25">
        <f>SUMIFS('Daftar Koreksi'!$H$5:$H$92,'Daftar Koreksi'!$D$5:$D$92,'2900'!A70,'Daftar Koreksi'!$G$5:$G$92,"Kontruksi Dalam Pengerjaan",'Daftar Koreksi'!$H$5:$H$92,"&lt;0")-SUMIFS('Daftar Koreksi'!$H$5:$H$92,'Daftar Koreksi'!$D$5:$D$92,'2900'!A70,'Daftar Koreksi'!$G$5:$G$92,"Kontruksi Dalam Pengerjaan",'Daftar Koreksi'!$H$5:$H$92,"&lt;0")-SUMIFS('Daftar Koreksi'!$H$5:$H$92,'Daftar Koreksi'!$D$5:$D$92,'2900'!A70,'Daftar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Koreksi'!$D$5:$D$92,'2900'!A70,'Daftar Koreksi'!$G$5:$G$92,"Aset Tak Berwujud",'Daftar Koreksi'!$H$5:$H$92,"&gt;0")</f>
        <v>0</v>
      </c>
      <c r="F80" s="25">
        <f>SUMIFS('Daftar Koreksi'!$H$5:$H$92,'Daftar Koreksi'!$D$5:$D$92,'2900'!A70,'Daftar Koreksi'!$G$5:$G$92,"Aset Tak Berwujud",'Daftar Koreksi'!$H$5:$H$92,"&lt;0")-SUMIFS('Daftar Koreksi'!$H$5:$H$92,'Daftar Koreksi'!$D$5:$D$92,'2900'!A70,'Daftar Koreksi'!$G$5:$G$92,"Aset Tak Berwujud",'Daftar Koreksi'!$H$5:$H$92,"&lt;0")-SUMIFS('Daftar Koreksi'!$H$5:$H$92,'Daftar Koreksi'!$D$5:$D$92,'2900'!A70,'Daftar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Koreksi'!$D$5:$D$92,'2900'!A70,'Daftar Koreksi'!$G$5:$G$92,"Aset Henti Guna",'Daftar Koreksi'!$H$5:$H$92,"&gt;0")</f>
        <v>0</v>
      </c>
      <c r="F81" s="25">
        <f>SUMIFS('Daftar Koreksi'!$H$5:$H$92,'Daftar Koreksi'!$D$5:$D$92,'2900'!A70,'Daftar Koreksi'!$G$5:$G$92,"Aset Henti Guna",'Daftar Koreksi'!$H$5:$H$92,"&lt;0")-SUMIFS('Daftar Koreksi'!$H$5:$H$92,'Daftar Koreksi'!$D$5:$D$92,'2900'!A70,'Daftar Koreksi'!$G$5:$G$92,"Aset Henti Guna",'Daftar Koreksi'!$H$5:$H$92,"&lt;0")-SUMIFS('Daftar Koreksi'!$H$5:$H$92,'Daftar Koreksi'!$D$5:$D$92,'2900'!A70,'Daftar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21096114537</v>
      </c>
      <c r="E82" s="19">
        <f>SUM(E73:E81)</f>
        <v>0</v>
      </c>
      <c r="F82" s="19">
        <f>SUM(F73:F81)</f>
        <v>0</v>
      </c>
      <c r="G82" s="19">
        <f t="shared" si="3"/>
        <v>21096114537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-2599079654</v>
      </c>
      <c r="E83" s="25">
        <f>SUMIFS('Daftar Koreksi'!$I$5:$I$92,'Daftar Koreksi'!$D$5:$D$92,'2900'!A70,'Daftar Koreksi'!$G$5:$G$92,"Peralatan dan mesin",'Daftar Koreksi'!$I$5:$I$92,"&gt;0")</f>
        <v>0</v>
      </c>
      <c r="F83" s="25">
        <f>SUMIFS('Daftar Koreksi'!$I$5:$I$92,'Daftar Koreksi'!$D$5:$D$92,'2900'!A70,'Daftar Koreksi'!$G$5:$G$92,"Peralatan dan mesin",'Daftar Koreksi'!$I$5:$I$92,"&lt;0")-SUMIFS('Daftar Koreksi'!$I$5:$I$92,'Daftar Koreksi'!$D$5:$D$92,'2900'!A70,'Daftar Koreksi'!$G$5:$G$92,"Peralatan dan mesin",'Daftar Koreksi'!$I$5:$I$92,"&lt;0")-SUMIFS('Daftar Koreksi'!$I$5:$I$92,'Daftar Koreksi'!$D$5:$D$92,'2900'!A70,'Daftar Koreksi'!$G$5:$G$92,"Peralatan dan mesin",'Daftar Koreksi'!$I$5:$I$92,"&lt;0")</f>
        <v>0</v>
      </c>
      <c r="G83" s="17">
        <f t="shared" si="3"/>
        <v>-2599079654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-2568557920</v>
      </c>
      <c r="E84" s="25">
        <f>SUMIFS('Daftar Koreksi'!$I$5:$I$92,'Daftar Koreksi'!$D$5:$D$92,'2900'!A70,'Daftar Koreksi'!$G$5:$G$92,"Gedung dan Bangunan",'Daftar Koreksi'!$I$5:$I$92,"&gt;0")</f>
        <v>0</v>
      </c>
      <c r="F84" s="25">
        <f>SUMIFS('Daftar Koreksi'!$I$5:$I$92,'Daftar Koreksi'!$D$5:$D$92,'2900'!A70,'Daftar Koreksi'!$G$5:$G$92,"Gedung dan Bangunan",'Daftar Koreksi'!$I$5:$I$92,"&lt;0")-SUMIFS('Daftar Koreksi'!$I$5:$I$92,'Daftar Koreksi'!$D$5:$D$92,'2900'!A70,'Daftar Koreksi'!$G$5:$G$92,"Gedung dan Bangunan",'Daftar Koreksi'!$I$5:$I$92,"&lt;0")-SUMIFS('Daftar Koreksi'!$I$5:$I$92,'Daftar Koreksi'!$D$5:$D$92,'2900'!A70,'Daftar Koreksi'!$G$5:$G$92,"Gedung dan Bangunan",'Daftar Koreksi'!$I$5:$I$92,"&lt;0")</f>
        <v>0</v>
      </c>
      <c r="G84" s="17">
        <f t="shared" si="3"/>
        <v>-2568557920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-13642750</v>
      </c>
      <c r="E85" s="25">
        <f>SUMIFS('Daftar Koreksi'!$I$5:$I$92,'Daftar Koreksi'!$D$5:$D$92,'2900'!A70,'Daftar Koreksi'!$G$5:$G$92,"Jalan Irigasi Jaringan",'Daftar Koreksi'!$I$5:$I$92,"&gt;0")</f>
        <v>0</v>
      </c>
      <c r="F85" s="25">
        <f>SUMIFS('Daftar Koreksi'!$I$5:$I$92,'Daftar Koreksi'!$D$5:$D$92,'2900'!A70,'Daftar Koreksi'!$G$5:$G$92,"Jalan Irigasi Jaringan",'Daftar Koreksi'!$I$5:$I$92,"&lt;0")-SUMIFS('Daftar Koreksi'!$I$5:$I$92,'Daftar Koreksi'!$D$5:$D$92,'2900'!A70,'Daftar Koreksi'!$G$5:$G$92,"Jalan Irigasi Jaringan",'Daftar Koreksi'!$I$5:$I$92,"&lt;0")-SUMIFS('Daftar Koreksi'!$I$5:$I$92,'Daftar Koreksi'!$D$5:$D$92,'2900'!A70,'Daftar Koreksi'!$G$5:$G$92,"Jalan Irigasi Jaringan",'Daftar Koreksi'!$I$5:$I$92,"&lt;0")</f>
        <v>0</v>
      </c>
      <c r="G85" s="17">
        <f t="shared" si="3"/>
        <v>-13642750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Koreksi'!$D$5:$D$92,'2900'!A70,'Daftar Koreksi'!$G$5:$G$92,"Aset Tetap Lainnya",'Daftar Koreksi'!$I$5:$I$92,"&gt;0")</f>
        <v>0</v>
      </c>
      <c r="F86" s="25">
        <f>SUMIFS('Daftar Koreksi'!$I$5:$I$92,'Daftar Koreksi'!$D$5:$D$92,'2900'!A70,'Daftar Koreksi'!$G$5:$G$92,"Aset Tetap Lainnya",'Daftar Koreksi'!$I$5:$I$92,"&lt;0")-SUMIFS('Daftar Koreksi'!$I$5:$I$92,'Daftar Koreksi'!$D$5:$D$92,'2900'!A70,'Daftar Koreksi'!$G$5:$G$92,"Aset Tetap Lainnya",'Daftar Koreksi'!$I$5:$I$92,"&lt;0")-SUMIFS('Daftar Koreksi'!$I$5:$I$92,'Daftar Koreksi'!$D$5:$D$92,'2900'!A70,'Daftar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Koreksi'!$D$5:$D$92,'2900'!A70,'Daftar Koreksi'!$G$5:$G$92,"Aset Henti Guna",'Daftar Koreksi'!$I$5:$I$92,"&gt;0")</f>
        <v>0</v>
      </c>
      <c r="F87" s="25">
        <f>SUMIFS('Daftar Koreksi'!$I$5:$I$92,'Daftar Koreksi'!$D$5:$D$92,'2900'!A70,'Daftar Koreksi'!$G$5:$G$92,"Aset Henti Guna",'Daftar Koreksi'!$I$5:$I$92,"&lt;0")-SUMIFS('Daftar Koreksi'!$I$5:$I$92,'Daftar Koreksi'!$D$5:$D$92,'2900'!A70,'Daftar Koreksi'!$G$5:$G$92,"Aset Henti Guna",'Daftar Koreksi'!$I$5:$I$92,"&lt;0")-SUMIFS('Daftar Koreksi'!$I$5:$I$92,'Daftar Koreksi'!$D$5:$D$92,'2900'!A70,'Daftar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-5181280324</v>
      </c>
      <c r="E88" s="19">
        <f>SUM(E83:E87)</f>
        <v>0</v>
      </c>
      <c r="F88" s="19">
        <f>SUM(F83:F87)</f>
        <v>0</v>
      </c>
      <c r="G88" s="19">
        <f t="shared" si="3"/>
        <v>-5181280324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15914834213</v>
      </c>
      <c r="E89" s="19">
        <f>E88+E82</f>
        <v>0</v>
      </c>
      <c r="F89" s="19">
        <f>F88+F82</f>
        <v>0</v>
      </c>
      <c r="G89" s="19">
        <f t="shared" si="3"/>
        <v>15914834213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005012900400797000KD</v>
      </c>
      <c r="B92" s="11" t="str">
        <f>P5</f>
        <v>PA. Serang</v>
      </c>
      <c r="C92" s="12" t="str">
        <f>A92&amp;" "&amp;B92</f>
        <v>005012900400797000KD PA. Serang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1062500</v>
      </c>
      <c r="E95" s="25">
        <f>SUMIFS('Daftar Koreksi'!$H$5:$H$92,'Daftar Koreksi'!$D$5:$D$92,'2900'!A92,'Daftar Koreksi'!$G$5:$G$92,"Persediaan",'Daftar Koreksi'!$H$5:$H$92,"&gt;0")</f>
        <v>0</v>
      </c>
      <c r="F95" s="25">
        <f>SUMIFS('Daftar Koreksi'!$H$5:$H$92,'Daftar Koreksi'!$D$5:$D$92,'2900'!A92,'Daftar Koreksi'!$G$5:$G$92,"Persediaan",'Daftar Koreksi'!$H$5:$H$92,"&lt;0")-SUMIFS('Daftar Koreksi'!$H$5:$H$92,'Daftar Koreksi'!$D$5:$D$92,'2900'!A92,'Daftar Koreksi'!$G$5:$G$92,"Persediaan",'Daftar Koreksi'!$H$5:$H$92,"&lt;0")-SUMIFS('Daftar Koreksi'!$H$5:$H$92,'Daftar Koreksi'!$D$5:$D$92,'2900'!A92,'Daftar Koreksi'!$G$5:$G$92,"Persediaan",'Daftar Koreksi'!$H$5:$H$92,"&lt;0")</f>
        <v>0</v>
      </c>
      <c r="G95" s="17">
        <f>D95+E95-F95</f>
        <v>1062500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3351882400</v>
      </c>
      <c r="E96" s="25">
        <f>SUMIFS('Daftar Koreksi'!$H$5:$H$92,'Daftar Koreksi'!$D$5:$D$92,'2900'!A92,'Daftar Koreksi'!$G$5:$G$92,"Tanah",'Daftar Koreksi'!$H$5:$H$92,"&gt;0")</f>
        <v>0</v>
      </c>
      <c r="F96" s="25">
        <f>SUMIFS('Daftar Koreksi'!$H$5:$H$92,'Daftar Koreksi'!$D$5:$D$92,'2900'!A92,'Daftar Koreksi'!$G$5:$G$92,"Tanah",'Daftar Koreksi'!$H$5:$H$92,"&lt;0")-SUMIFS('Daftar Koreksi'!$H$5:$H$92,'Daftar Koreksi'!$D$5:$D$92,'2900'!A92,'Daftar Koreksi'!$G$5:$G$92,"Tanah",'Daftar Koreksi'!$H$5:$H$92,"&lt;0")-SUMIFS('Daftar Koreksi'!$H$5:$H$92,'Daftar Koreksi'!$D$5:$D$92,'2900'!A92,'Daftar Koreksi'!$G$5:$G$92,"Tanah",'Daftar Koreksi'!$H$5:$H$92,"&lt;0")</f>
        <v>0</v>
      </c>
      <c r="G96" s="17">
        <f t="shared" ref="G96:G112" si="4">D96+E96-F96</f>
        <v>3351882400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1439278318</v>
      </c>
      <c r="E97" s="25">
        <f>SUMIFS('Daftar Koreksi'!$H$5:$H$92,'Daftar Koreksi'!$D$5:$D$92,'2900'!A92,'Daftar Koreksi'!$G$5:$G$92,"Peralatan dan mesin",'Daftar Koreksi'!$H$5:$H$92,"&gt;0")</f>
        <v>0</v>
      </c>
      <c r="F97" s="25">
        <f>SUMIFS('Daftar Koreksi'!$H$5:$H$92,'Daftar Koreksi'!$D$5:$D$92,'2900'!A92,'Daftar Koreksi'!$G$5:$G$92,"Peralatan dan mesin",'Daftar Koreksi'!$H$5:$H$92,"&lt;0")-SUMIFS('Daftar Koreksi'!$H$5:$H$92,'Daftar Koreksi'!$D$5:$D$92,'2900'!A92,'Daftar Koreksi'!$G$5:$G$92,"Peralatan dan mesin",'Daftar Koreksi'!$H$5:$H$92,"&lt;0")-SUMIFS('Daftar Koreksi'!$H$5:$H$92,'Daftar Koreksi'!$D$5:$D$92,'2900'!A92,'Daftar Koreksi'!$G$5:$G$92,"Peralatan dan mesin",'Daftar Koreksi'!$H$5:$H$92,"&lt;0")</f>
        <v>0</v>
      </c>
      <c r="G97" s="17">
        <f t="shared" si="4"/>
        <v>1439278318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1064785818</v>
      </c>
      <c r="E98" s="25">
        <f>SUMIFS('Daftar Koreksi'!$H$5:$H$92,'Daftar Koreksi'!$D$5:$D$92,'2900'!A92,'Daftar Koreksi'!$G$5:$G$92,"Gedung dan Bangunan",'Daftar Koreksi'!$H$5:$H$92,"&gt;0")</f>
        <v>0</v>
      </c>
      <c r="F98" s="25">
        <f>SUMIFS('Daftar Koreksi'!$H$5:$H$92,'Daftar Koreksi'!$D$5:$D$92,'2900'!A92,'Daftar Koreksi'!$G$5:$G$92,"Gedung dan Bangunan",'Daftar Koreksi'!$H$5:$H$92,"&lt;0")-SUMIFS('Daftar Koreksi'!$H$5:$H$92,'Daftar Koreksi'!$D$5:$D$92,'2900'!A92,'Daftar Koreksi'!$G$5:$G$92,"Gedung dan Bangunan",'Daftar Koreksi'!$H$5:$H$92,"&lt;0")-SUMIFS('Daftar Koreksi'!$H$5:$H$92,'Daftar Koreksi'!$D$5:$D$92,'2900'!A92,'Daftar Koreksi'!$G$5:$G$92,"Gedung dan Bangunan",'Daftar Koreksi'!$H$5:$H$92,"&lt;0")</f>
        <v>0</v>
      </c>
      <c r="G98" s="17">
        <f t="shared" si="4"/>
        <v>1064785818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Koreksi'!$D$5:$D$92,'2900'!A92,'Daftar Koreksi'!$G$5:$G$92,"Jalan Irigasi Jaringan",'Daftar Koreksi'!$H$5:$H$92,"&gt;0")</f>
        <v>0</v>
      </c>
      <c r="F99" s="25">
        <f>SUMIFS('Daftar Koreksi'!$H$5:$H$92,'Daftar Koreksi'!$D$5:$D$92,'2900'!A92,'Daftar Koreksi'!$G$5:$G$92,"Jalan Irigasi Jaringan",'Daftar Koreksi'!$H$5:$H$92,"&lt;0")-SUMIFS('Daftar Koreksi'!$H$5:$H$92,'Daftar Koreksi'!$D$5:$D$92,'2900'!A92,'Daftar Koreksi'!$G$5:$G$92,"Jalan Irigasi Jaringan",'Daftar Koreksi'!$H$5:$H$92,"&lt;0")-SUMIFS('Daftar Koreksi'!$H$5:$H$92,'Daftar Koreksi'!$D$5:$D$92,'2900'!A92,'Daftar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6405745</v>
      </c>
      <c r="E100" s="25">
        <f>SUMIFS('Daftar Koreksi'!$H$5:$H$92,'Daftar Koreksi'!$D$5:$D$92,'2900'!A92,'Daftar Koreksi'!$G$5:$G$92,"Aset Tetap Lainnya",'Daftar Koreksi'!$H$5:$H$92,"&gt;0")</f>
        <v>0</v>
      </c>
      <c r="F100" s="25">
        <f>SUMIFS('Daftar Koreksi'!$H$5:$H$92,'Daftar Koreksi'!$D$5:$D$92,'2900'!A92,'Daftar Koreksi'!$G$5:$G$92,"Aset Tetap Lainnya",'Daftar Koreksi'!$H$5:$H$92,"&lt;0")-SUMIFS('Daftar Koreksi'!$H$5:$H$92,'Daftar Koreksi'!$D$5:$D$92,'2900'!A92,'Daftar Koreksi'!$G$5:$G$92,"Aset Tetap Lainnya",'Daftar Koreksi'!$H$5:$H$92,"&lt;0")-SUMIFS('Daftar Koreksi'!$H$5:$H$92,'Daftar Koreksi'!$D$5:$D$92,'2900'!A92,'Daftar Koreksi'!$G$5:$G$92,"Aset Tetap Lainnya",'Daftar Koreksi'!$H$5:$H$92,"&lt;0")</f>
        <v>0</v>
      </c>
      <c r="G100" s="17">
        <f t="shared" si="4"/>
        <v>6405745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Koreksi'!$D$5:$D$92,'2900'!A92,'Daftar Koreksi'!$G$5:$G$92,"Kontruksi Dalam Pengerjaan",'Daftar Koreksi'!$H$5:$H$92,"&gt;0")</f>
        <v>0</v>
      </c>
      <c r="F101" s="25">
        <f>SUMIFS('Daftar Koreksi'!$H$5:$H$92,'Daftar Koreksi'!$D$5:$D$92,'2900'!A92,'Daftar Koreksi'!$G$5:$G$92,"Kontruksi Dalam Pengerjaan",'Daftar Koreksi'!$H$5:$H$92,"&lt;0")-SUMIFS('Daftar Koreksi'!$H$5:$H$92,'Daftar Koreksi'!$D$5:$D$92,'2900'!A92,'Daftar Koreksi'!$G$5:$G$92,"Kontruksi Dalam Pengerjaan",'Daftar Koreksi'!$H$5:$H$92,"&lt;0")-SUMIFS('Daftar Koreksi'!$H$5:$H$92,'Daftar Koreksi'!$D$5:$D$92,'2900'!A92,'Daftar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29200000</v>
      </c>
      <c r="E102" s="25">
        <f>SUMIFS('Daftar Koreksi'!$H$5:$H$92,'Daftar Koreksi'!$D$5:$D$92,'2900'!A92,'Daftar Koreksi'!$G$5:$G$92,"Aset Tak Berwujud",'Daftar Koreksi'!$H$5:$H$92,"&gt;0")</f>
        <v>0</v>
      </c>
      <c r="F102" s="25">
        <f>SUMIFS('Daftar Koreksi'!$H$5:$H$92,'Daftar Koreksi'!$D$5:$D$92,'2900'!A92,'Daftar Koreksi'!$G$5:$G$92,"Aset Tak Berwujud",'Daftar Koreksi'!$H$5:$H$92,"&lt;0")-SUMIFS('Daftar Koreksi'!$H$5:$H$92,'Daftar Koreksi'!$D$5:$D$92,'2900'!A92,'Daftar Koreksi'!$G$5:$G$92,"Aset Tak Berwujud",'Daftar Koreksi'!$H$5:$H$92,"&lt;0")-SUMIFS('Daftar Koreksi'!$H$5:$H$92,'Daftar Koreksi'!$D$5:$D$92,'2900'!A92,'Daftar Koreksi'!$G$5:$G$92,"Aset Tak Berwujud",'Daftar Koreksi'!$H$5:$H$92,"&lt;0")</f>
        <v>0</v>
      </c>
      <c r="G102" s="17">
        <f t="shared" si="4"/>
        <v>29200000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149039725</v>
      </c>
      <c r="E103" s="25">
        <f>SUMIFS('Daftar Koreksi'!$H$5:$H$92,'Daftar Koreksi'!$D$5:$D$92,'2900'!A92,'Daftar Koreksi'!$G$5:$G$92,"Aset Henti Guna",'Daftar Koreksi'!$H$5:$H$92,"&gt;0")</f>
        <v>0</v>
      </c>
      <c r="F103" s="25">
        <f>SUMIFS('Daftar Koreksi'!$H$5:$H$92,'Daftar Koreksi'!$D$5:$D$92,'2900'!A92,'Daftar Koreksi'!$G$5:$G$92,"Aset Henti Guna",'Daftar Koreksi'!$H$5:$H$92,"&lt;0")-SUMIFS('Daftar Koreksi'!$H$5:$H$92,'Daftar Koreksi'!$D$5:$D$92,'2900'!A92,'Daftar Koreksi'!$G$5:$G$92,"Aset Henti Guna",'Daftar Koreksi'!$H$5:$H$92,"&lt;0")-SUMIFS('Daftar Koreksi'!$H$5:$H$92,'Daftar Koreksi'!$D$5:$D$92,'2900'!A92,'Daftar Koreksi'!$G$5:$G$92,"Aset Henti Guna",'Daftar Koreksi'!$H$5:$H$92,"&lt;0")</f>
        <v>0</v>
      </c>
      <c r="G103" s="17">
        <f t="shared" si="4"/>
        <v>149039725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6041654506</v>
      </c>
      <c r="E104" s="19">
        <f>SUM(E95:E103)</f>
        <v>0</v>
      </c>
      <c r="F104" s="19">
        <f>SUM(F95:F103)</f>
        <v>0</v>
      </c>
      <c r="G104" s="19">
        <f t="shared" si="4"/>
        <v>6041654506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-1141549828</v>
      </c>
      <c r="E105" s="25">
        <f>SUMIFS('Daftar Koreksi'!$I$5:$I$92,'Daftar Koreksi'!$D$5:$D$92,'2900'!A92,'Daftar Koreksi'!$G$5:$G$92,"Peralatan dan mesin",'Daftar Koreksi'!$I$5:$I$92,"&gt;0")</f>
        <v>0</v>
      </c>
      <c r="F105" s="25">
        <f>SUMIFS('Daftar Koreksi'!$I$5:$I$92,'Daftar Koreksi'!$D$5:$D$92,'2900'!A92,'Daftar Koreksi'!$G$5:$G$92,"Peralatan dan mesin",'Daftar Koreksi'!$I$5:$I$92,"&lt;0")-SUMIFS('Daftar Koreksi'!$I$5:$I$92,'Daftar Koreksi'!$D$5:$D$92,'2900'!A92,'Daftar Koreksi'!$G$5:$G$92,"Peralatan dan mesin",'Daftar Koreksi'!$I$5:$I$92,"&lt;0")-SUMIFS('Daftar Koreksi'!$I$5:$I$92,'Daftar Koreksi'!$D$5:$D$92,'2900'!A92,'Daftar Koreksi'!$G$5:$G$92,"Peralatan dan mesin",'Daftar Koreksi'!$I$5:$I$92,"&lt;0")</f>
        <v>0</v>
      </c>
      <c r="G105" s="17">
        <f t="shared" si="4"/>
        <v>-1141549828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-187602834</v>
      </c>
      <c r="E106" s="25">
        <f>SUMIFS('Daftar Koreksi'!$I$5:$I$92,'Daftar Koreksi'!$D$5:$D$92,'2900'!A92,'Daftar Koreksi'!$G$5:$G$92,"Gedung dan Bangunan",'Daftar Koreksi'!$I$5:$I$92,"&gt;0")</f>
        <v>0</v>
      </c>
      <c r="F106" s="25">
        <f>SUMIFS('Daftar Koreksi'!$I$5:$I$92,'Daftar Koreksi'!$D$5:$D$92,'2900'!A92,'Daftar Koreksi'!$G$5:$G$92,"Gedung dan Bangunan",'Daftar Koreksi'!$I$5:$I$92,"&lt;0")-SUMIFS('Daftar Koreksi'!$I$5:$I$92,'Daftar Koreksi'!$D$5:$D$92,'2900'!A92,'Daftar Koreksi'!$G$5:$G$92,"Gedung dan Bangunan",'Daftar Koreksi'!$I$5:$I$92,"&lt;0")-SUMIFS('Daftar Koreksi'!$I$5:$I$92,'Daftar Koreksi'!$D$5:$D$92,'2900'!A92,'Daftar Koreksi'!$G$5:$G$92,"Gedung dan Bangunan",'Daftar Koreksi'!$I$5:$I$92,"&lt;0")</f>
        <v>0</v>
      </c>
      <c r="G106" s="17">
        <f t="shared" si="4"/>
        <v>-187602834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Koreksi'!$D$5:$D$92,'2900'!A92,'Daftar Koreksi'!$G$5:$G$92,"Jalan Irigasi Jaringan",'Daftar Koreksi'!$I$5:$I$92,"&gt;0")</f>
        <v>0</v>
      </c>
      <c r="F107" s="25">
        <f>SUMIFS('Daftar Koreksi'!$I$5:$I$92,'Daftar Koreksi'!$D$5:$D$92,'2900'!A92,'Daftar Koreksi'!$G$5:$G$92,"Jalan Irigasi Jaringan",'Daftar Koreksi'!$I$5:$I$92,"&lt;0")-SUMIFS('Daftar Koreksi'!$I$5:$I$92,'Daftar Koreksi'!$D$5:$D$92,'2900'!A92,'Daftar Koreksi'!$G$5:$G$92,"Jalan Irigasi Jaringan",'Daftar Koreksi'!$I$5:$I$92,"&lt;0")-SUMIFS('Daftar Koreksi'!$I$5:$I$92,'Daftar Koreksi'!$D$5:$D$92,'2900'!A92,'Daftar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Koreksi'!$D$5:$D$92,'2900'!A92,'Daftar Koreksi'!$G$5:$G$92,"Aset Tetap Lainnya",'Daftar Koreksi'!$I$5:$I$92,"&gt;0")</f>
        <v>0</v>
      </c>
      <c r="F108" s="25">
        <f>SUMIFS('Daftar Koreksi'!$I$5:$I$92,'Daftar Koreksi'!$D$5:$D$92,'2900'!A92,'Daftar Koreksi'!$G$5:$G$92,"Aset Tetap Lainnya",'Daftar Koreksi'!$I$5:$I$92,"&lt;0")-SUMIFS('Daftar Koreksi'!$I$5:$I$92,'Daftar Koreksi'!$D$5:$D$92,'2900'!A92,'Daftar Koreksi'!$G$5:$G$92,"Aset Tetap Lainnya",'Daftar Koreksi'!$I$5:$I$92,"&lt;0")-SUMIFS('Daftar Koreksi'!$I$5:$I$92,'Daftar Koreksi'!$D$5:$D$92,'2900'!A92,'Daftar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-149039725</v>
      </c>
      <c r="E109" s="25">
        <f>SUMIFS('Daftar Koreksi'!$I$5:$I$92,'Daftar Koreksi'!$D$5:$D$92,'2900'!A92,'Daftar Koreksi'!$G$5:$G$92,"Aset Henti Guna",'Daftar Koreksi'!$I$5:$I$92,"&gt;0")</f>
        <v>0</v>
      </c>
      <c r="F109" s="25">
        <f>SUMIFS('Daftar Koreksi'!$I$5:$I$92,'Daftar Koreksi'!$D$5:$D$92,'2900'!A92,'Daftar Koreksi'!$G$5:$G$92,"Aset Henti Guna",'Daftar Koreksi'!$I$5:$I$92,"&lt;0")-SUMIFS('Daftar Koreksi'!$I$5:$I$92,'Daftar Koreksi'!$D$5:$D$92,'2900'!A92,'Daftar Koreksi'!$G$5:$G$92,"Aset Henti Guna",'Daftar Koreksi'!$I$5:$I$92,"&lt;0")-SUMIFS('Daftar Koreksi'!$I$5:$I$92,'Daftar Koreksi'!$D$5:$D$92,'2900'!A92,'Daftar Koreksi'!$G$5:$G$92,"Aset Henti Guna",'Daftar Koreksi'!$I$5:$I$92,"&lt;0")</f>
        <v>0</v>
      </c>
      <c r="G109" s="17">
        <f t="shared" si="4"/>
        <v>-149039725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-1478192387</v>
      </c>
      <c r="E110" s="19">
        <f>SUM(E105:E109)</f>
        <v>0</v>
      </c>
      <c r="F110" s="19">
        <f>SUM(F105:F109)</f>
        <v>0</v>
      </c>
      <c r="G110" s="19">
        <f t="shared" si="4"/>
        <v>-1478192387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4563462119</v>
      </c>
      <c r="E111" s="19">
        <f>E110+E104</f>
        <v>0</v>
      </c>
      <c r="F111" s="19">
        <f>F110+F104</f>
        <v>0</v>
      </c>
      <c r="G111" s="19">
        <f t="shared" si="4"/>
        <v>4563462119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005012900400801000KD</v>
      </c>
      <c r="B114" s="11" t="str">
        <f>P6</f>
        <v>PA. Pandeglang</v>
      </c>
      <c r="C114" s="12" t="str">
        <f>A114&amp;" "&amp;B114</f>
        <v>005012900400801000KD PA. Pandeglang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2302925</v>
      </c>
      <c r="E117" s="25">
        <f>SUMIFS('Daftar Koreksi'!$H$5:$H$92,'Daftar Koreksi'!$D$5:$D$92,'2900'!A114,'Daftar Koreksi'!$G$5:$G$92,"Persediaan",'Daftar Koreksi'!$H$5:$H$92,"&gt;0")</f>
        <v>0</v>
      </c>
      <c r="F117" s="25">
        <f>SUMIFS('Daftar Koreksi'!$H$5:$H$92,'Daftar Koreksi'!$D$5:$D$92,'2900'!A114,'Daftar Koreksi'!$G$5:$G$92,"Persediaan",'Daftar Koreksi'!$H$5:$H$92,"&lt;0")-SUMIFS('Daftar Koreksi'!$H$5:$H$92,'Daftar Koreksi'!$D$5:$D$92,'2900'!A114,'Daftar Koreksi'!$G$5:$G$92,"Persediaan",'Daftar Koreksi'!$H$5:$H$92,"&lt;0")-SUMIFS('Daftar Koreksi'!$H$5:$H$92,'Daftar Koreksi'!$D$5:$D$92,'2900'!A114,'Daftar Koreksi'!$G$5:$G$92,"Persediaan",'Daftar Koreksi'!$H$5:$H$92,"&lt;0")</f>
        <v>0</v>
      </c>
      <c r="G117" s="17">
        <f>D117+E117-F117</f>
        <v>2302925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200000000</v>
      </c>
      <c r="E118" s="25">
        <f>SUMIFS('Daftar Koreksi'!$H$5:$H$92,'Daftar Koreksi'!$D$5:$D$92,'2900'!A114,'Daftar Koreksi'!$G$5:$G$92,"Tanah",'Daftar Koreksi'!$H$5:$H$92,"&gt;0")</f>
        <v>0</v>
      </c>
      <c r="F118" s="25">
        <f>SUMIFS('Daftar Koreksi'!$H$5:$H$92,'Daftar Koreksi'!$D$5:$D$92,'2900'!A114,'Daftar Koreksi'!$G$5:$G$92,"Tanah",'Daftar Koreksi'!$H$5:$H$92,"&lt;0")-SUMIFS('Daftar Koreksi'!$H$5:$H$92,'Daftar Koreksi'!$D$5:$D$92,'2900'!A114,'Daftar Koreksi'!$G$5:$G$92,"Tanah",'Daftar Koreksi'!$H$5:$H$92,"&lt;0")-SUMIFS('Daftar Koreksi'!$H$5:$H$92,'Daftar Koreksi'!$D$5:$D$92,'2900'!A114,'Daftar Koreksi'!$G$5:$G$92,"Tanah",'Daftar Koreksi'!$H$5:$H$92,"&lt;0")</f>
        <v>0</v>
      </c>
      <c r="G118" s="17">
        <f t="shared" ref="G118:G134" si="5">D118+E118-F118</f>
        <v>200000000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1240287362</v>
      </c>
      <c r="E119" s="25">
        <f>SUMIFS('Daftar Koreksi'!$H$5:$H$92,'Daftar Koreksi'!$D$5:$D$92,'2900'!A114,'Daftar Koreksi'!$G$5:$G$92,"Peralatan dan mesin",'Daftar Koreksi'!$H$5:$H$92,"&gt;0")</f>
        <v>0</v>
      </c>
      <c r="F119" s="25">
        <f>SUMIFS('Daftar Koreksi'!$H$5:$H$92,'Daftar Koreksi'!$D$5:$D$92,'2900'!A114,'Daftar Koreksi'!$G$5:$G$92,"Peralatan dan mesin",'Daftar Koreksi'!$H$5:$H$92,"&lt;0")-SUMIFS('Daftar Koreksi'!$H$5:$H$92,'Daftar Koreksi'!$D$5:$D$92,'2900'!A114,'Daftar Koreksi'!$G$5:$G$92,"Peralatan dan mesin",'Daftar Koreksi'!$H$5:$H$92,"&lt;0")-SUMIFS('Daftar Koreksi'!$H$5:$H$92,'Daftar Koreksi'!$D$5:$D$92,'2900'!A114,'Daftar Koreksi'!$G$5:$G$92,"Peralatan dan mesin",'Daftar Koreksi'!$H$5:$H$92,"&lt;0")</f>
        <v>0</v>
      </c>
      <c r="G119" s="17">
        <f t="shared" si="5"/>
        <v>1240287362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2042873000</v>
      </c>
      <c r="E120" s="25">
        <f>SUMIFS('Daftar Koreksi'!$H$5:$H$92,'Daftar Koreksi'!$D$5:$D$92,'2900'!A114,'Daftar Koreksi'!$G$5:$G$92,"Gedung dan Bangunan",'Daftar Koreksi'!$H$5:$H$92,"&gt;0")</f>
        <v>0</v>
      </c>
      <c r="F120" s="25">
        <f>SUMIFS('Daftar Koreksi'!$H$5:$H$92,'Daftar Koreksi'!$D$5:$D$92,'2900'!A114,'Daftar Koreksi'!$G$5:$G$92,"Gedung dan Bangunan",'Daftar Koreksi'!$H$5:$H$92,"&lt;0")-SUMIFS('Daftar Koreksi'!$H$5:$H$92,'Daftar Koreksi'!$D$5:$D$92,'2900'!A114,'Daftar Koreksi'!$G$5:$G$92,"Gedung dan Bangunan",'Daftar Koreksi'!$H$5:$H$92,"&lt;0")-SUMIFS('Daftar Koreksi'!$H$5:$H$92,'Daftar Koreksi'!$D$5:$D$92,'2900'!A114,'Daftar Koreksi'!$G$5:$G$92,"Gedung dan Bangunan",'Daftar Koreksi'!$H$5:$H$92,"&lt;0")</f>
        <v>0</v>
      </c>
      <c r="G120" s="17">
        <f t="shared" si="5"/>
        <v>2042873000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Koreksi'!$D$5:$D$92,'2900'!A114,'Daftar Koreksi'!$G$5:$G$92,"Jalan Irigasi Jaringan",'Daftar Koreksi'!$H$5:$H$92,"&gt;0")</f>
        <v>0</v>
      </c>
      <c r="F121" s="25">
        <f>SUMIFS('Daftar Koreksi'!$H$5:$H$92,'Daftar Koreksi'!$D$5:$D$92,'2900'!A114,'Daftar Koreksi'!$G$5:$G$92,"Jalan Irigasi Jaringan",'Daftar Koreksi'!$H$5:$H$92,"&lt;0")-SUMIFS('Daftar Koreksi'!$H$5:$H$92,'Daftar Koreksi'!$D$5:$D$92,'2900'!A114,'Daftar Koreksi'!$G$5:$G$92,"Jalan Irigasi Jaringan",'Daftar Koreksi'!$H$5:$H$92,"&lt;0")-SUMIFS('Daftar Koreksi'!$H$5:$H$92,'Daftar Koreksi'!$D$5:$D$92,'2900'!A114,'Daftar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30302346</v>
      </c>
      <c r="E122" s="25">
        <f>SUMIFS('Daftar Koreksi'!$H$5:$H$92,'Daftar Koreksi'!$D$5:$D$92,'2900'!A114,'Daftar Koreksi'!$G$5:$G$92,"Aset Tetap Lainnya",'Daftar Koreksi'!$H$5:$H$92,"&gt;0")</f>
        <v>0</v>
      </c>
      <c r="F122" s="25">
        <f>SUMIFS('Daftar Koreksi'!$H$5:$H$92,'Daftar Koreksi'!$D$5:$D$92,'2900'!A114,'Daftar Koreksi'!$G$5:$G$92,"Aset Tetap Lainnya",'Daftar Koreksi'!$H$5:$H$92,"&lt;0")-SUMIFS('Daftar Koreksi'!$H$5:$H$92,'Daftar Koreksi'!$D$5:$D$92,'2900'!A114,'Daftar Koreksi'!$G$5:$G$92,"Aset Tetap Lainnya",'Daftar Koreksi'!$H$5:$H$92,"&lt;0")-SUMIFS('Daftar Koreksi'!$H$5:$H$92,'Daftar Koreksi'!$D$5:$D$92,'2900'!A114,'Daftar Koreksi'!$G$5:$G$92,"Aset Tetap Lainnya",'Daftar Koreksi'!$H$5:$H$92,"&lt;0")</f>
        <v>0</v>
      </c>
      <c r="G122" s="17">
        <f t="shared" si="5"/>
        <v>30302346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Koreksi'!$D$5:$D$92,'2900'!A114,'Daftar Koreksi'!$G$5:$G$92,"Kontruksi Dalam Pengerjaan",'Daftar Koreksi'!$H$5:$H$92,"&gt;0")</f>
        <v>0</v>
      </c>
      <c r="F123" s="25">
        <f>SUMIFS('Daftar Koreksi'!$H$5:$H$92,'Daftar Koreksi'!$D$5:$D$92,'2900'!A114,'Daftar Koreksi'!$G$5:$G$92,"Kontruksi Dalam Pengerjaan",'Daftar Koreksi'!$H$5:$H$92,"&lt;0")-SUMIFS('Daftar Koreksi'!$H$5:$H$92,'Daftar Koreksi'!$D$5:$D$92,'2900'!A114,'Daftar Koreksi'!$G$5:$G$92,"Kontruksi Dalam Pengerjaan",'Daftar Koreksi'!$H$5:$H$92,"&lt;0")-SUMIFS('Daftar Koreksi'!$H$5:$H$92,'Daftar Koreksi'!$D$5:$D$92,'2900'!A114,'Daftar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Koreksi'!$D$5:$D$92,'2900'!A114,'Daftar Koreksi'!$G$5:$G$92,"Aset Tak Berwujud",'Daftar Koreksi'!$H$5:$H$92,"&gt;0")</f>
        <v>0</v>
      </c>
      <c r="F124" s="25">
        <f>SUMIFS('Daftar Koreksi'!$H$5:$H$92,'Daftar Koreksi'!$D$5:$D$92,'2900'!A114,'Daftar Koreksi'!$G$5:$G$92,"Aset Tak Berwujud",'Daftar Koreksi'!$H$5:$H$92,"&lt;0")-SUMIFS('Daftar Koreksi'!$H$5:$H$92,'Daftar Koreksi'!$D$5:$D$92,'2900'!A114,'Daftar Koreksi'!$G$5:$G$92,"Aset Tak Berwujud",'Daftar Koreksi'!$H$5:$H$92,"&lt;0")-SUMIFS('Daftar Koreksi'!$H$5:$H$92,'Daftar Koreksi'!$D$5:$D$92,'2900'!A114,'Daftar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Koreksi'!$D$5:$D$92,'2900'!A114,'Daftar Koreksi'!$G$5:$G$92,"Aset Henti Guna",'Daftar Koreksi'!$H$5:$H$92,"&gt;0")</f>
        <v>0</v>
      </c>
      <c r="F125" s="25">
        <f>SUMIFS('Daftar Koreksi'!$H$5:$H$92,'Daftar Koreksi'!$D$5:$D$92,'2900'!A114,'Daftar Koreksi'!$G$5:$G$92,"Aset Henti Guna",'Daftar Koreksi'!$H$5:$H$92,"&lt;0")-SUMIFS('Daftar Koreksi'!$H$5:$H$92,'Daftar Koreksi'!$D$5:$D$92,'2900'!A114,'Daftar Koreksi'!$G$5:$G$92,"Aset Henti Guna",'Daftar Koreksi'!$H$5:$H$92,"&lt;0")-SUMIFS('Daftar Koreksi'!$H$5:$H$92,'Daftar Koreksi'!$D$5:$D$92,'2900'!A114,'Daftar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3515765633</v>
      </c>
      <c r="E126" s="19">
        <f>SUM(E117:E125)</f>
        <v>0</v>
      </c>
      <c r="F126" s="19">
        <f>SUM(F117:F125)</f>
        <v>0</v>
      </c>
      <c r="G126" s="19">
        <f t="shared" si="5"/>
        <v>3515765633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-1153142841</v>
      </c>
      <c r="E127" s="25">
        <f>SUMIFS('Daftar Koreksi'!$I$5:$I$92,'Daftar Koreksi'!$D$5:$D$92,'2900'!A114,'Daftar Koreksi'!$G$5:$G$92,"Peralatan dan mesin",'Daftar Koreksi'!$I$5:$I$92,"&gt;0")</f>
        <v>0</v>
      </c>
      <c r="F127" s="25">
        <f>SUMIFS('Daftar Koreksi'!$I$5:$I$92,'Daftar Koreksi'!$D$5:$D$92,'2900'!A114,'Daftar Koreksi'!$G$5:$G$92,"Peralatan dan mesin",'Daftar Koreksi'!$I$5:$I$92,"&lt;0")-SUMIFS('Daftar Koreksi'!$I$5:$I$92,'Daftar Koreksi'!$D$5:$D$92,'2900'!A114,'Daftar Koreksi'!$G$5:$G$92,"Peralatan dan mesin",'Daftar Koreksi'!$I$5:$I$92,"&lt;0")-SUMIFS('Daftar Koreksi'!$I$5:$I$92,'Daftar Koreksi'!$D$5:$D$92,'2900'!A114,'Daftar Koreksi'!$G$5:$G$92,"Peralatan dan mesin",'Daftar Koreksi'!$I$5:$I$92,"&lt;0")</f>
        <v>0</v>
      </c>
      <c r="G127" s="17">
        <f t="shared" si="5"/>
        <v>-1153142841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-388145870</v>
      </c>
      <c r="E128" s="25">
        <f>SUMIFS('Daftar Koreksi'!$I$5:$I$92,'Daftar Koreksi'!$D$5:$D$92,'2900'!A114,'Daftar Koreksi'!$G$5:$G$92,"Gedung dan Bangunan",'Daftar Koreksi'!$I$5:$I$92,"&gt;0")</f>
        <v>0</v>
      </c>
      <c r="F128" s="25">
        <f>SUMIFS('Daftar Koreksi'!$I$5:$I$92,'Daftar Koreksi'!$D$5:$D$92,'2900'!A114,'Daftar Koreksi'!$G$5:$G$92,"Gedung dan Bangunan",'Daftar Koreksi'!$I$5:$I$92,"&lt;0")-SUMIFS('Daftar Koreksi'!$I$5:$I$92,'Daftar Koreksi'!$D$5:$D$92,'2900'!A114,'Daftar Koreksi'!$G$5:$G$92,"Gedung dan Bangunan",'Daftar Koreksi'!$I$5:$I$92,"&lt;0")-SUMIFS('Daftar Koreksi'!$I$5:$I$92,'Daftar Koreksi'!$D$5:$D$92,'2900'!A114,'Daftar Koreksi'!$G$5:$G$92,"Gedung dan Bangunan",'Daftar Koreksi'!$I$5:$I$92,"&lt;0")</f>
        <v>0</v>
      </c>
      <c r="G128" s="17">
        <f t="shared" si="5"/>
        <v>-388145870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Koreksi'!$D$5:$D$92,'2900'!A114,'Daftar Koreksi'!$G$5:$G$92,"Jalan Irigasi Jaringan",'Daftar Koreksi'!$I$5:$I$92,"&gt;0")</f>
        <v>0</v>
      </c>
      <c r="F129" s="25">
        <f>SUMIFS('Daftar Koreksi'!$I$5:$I$92,'Daftar Koreksi'!$D$5:$D$92,'2900'!A114,'Daftar Koreksi'!$G$5:$G$92,"Jalan Irigasi Jaringan",'Daftar Koreksi'!$I$5:$I$92,"&lt;0")-SUMIFS('Daftar Koreksi'!$I$5:$I$92,'Daftar Koreksi'!$D$5:$D$92,'2900'!A114,'Daftar Koreksi'!$G$5:$G$92,"Jalan Irigasi Jaringan",'Daftar Koreksi'!$I$5:$I$92,"&lt;0")-SUMIFS('Daftar Koreksi'!$I$5:$I$92,'Daftar Koreksi'!$D$5:$D$92,'2900'!A114,'Daftar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Koreksi'!$D$5:$D$92,'2900'!A114,'Daftar Koreksi'!$G$5:$G$92,"Aset Tetap Lainnya",'Daftar Koreksi'!$I$5:$I$92,"&gt;0")</f>
        <v>0</v>
      </c>
      <c r="F130" s="25">
        <f>SUMIFS('Daftar Koreksi'!$I$5:$I$92,'Daftar Koreksi'!$D$5:$D$92,'2900'!A114,'Daftar Koreksi'!$G$5:$G$92,"Aset Tetap Lainnya",'Daftar Koreksi'!$I$5:$I$92,"&lt;0")-SUMIFS('Daftar Koreksi'!$I$5:$I$92,'Daftar Koreksi'!$D$5:$D$92,'2900'!A114,'Daftar Koreksi'!$G$5:$G$92,"Aset Tetap Lainnya",'Daftar Koreksi'!$I$5:$I$92,"&lt;0")-SUMIFS('Daftar Koreksi'!$I$5:$I$92,'Daftar Koreksi'!$D$5:$D$92,'2900'!A114,'Daftar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Koreksi'!$D$5:$D$92,'2900'!A114,'Daftar Koreksi'!$G$5:$G$92,"Aset Henti Guna",'Daftar Koreksi'!$I$5:$I$92,"&gt;0")</f>
        <v>0</v>
      </c>
      <c r="F131" s="25">
        <f>SUMIFS('Daftar Koreksi'!$I$5:$I$92,'Daftar Koreksi'!$D$5:$D$92,'2900'!A114,'Daftar Koreksi'!$G$5:$G$92,"Aset Henti Guna",'Daftar Koreksi'!$I$5:$I$92,"&lt;0")-SUMIFS('Daftar Koreksi'!$I$5:$I$92,'Daftar Koreksi'!$D$5:$D$92,'2900'!A114,'Daftar Koreksi'!$G$5:$G$92,"Aset Henti Guna",'Daftar Koreksi'!$I$5:$I$92,"&lt;0")-SUMIFS('Daftar Koreksi'!$I$5:$I$92,'Daftar Koreksi'!$D$5:$D$92,'2900'!A114,'Daftar Koreksi'!$G$5:$G$92,"Aset Henti Guna",'Daftar Koreksi'!$I$5:$I$92,"&lt;0")</f>
        <v>0</v>
      </c>
      <c r="G131" s="17">
        <f t="shared" si="5"/>
        <v>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-1541288711</v>
      </c>
      <c r="E132" s="19">
        <f>SUM(E127:E131)</f>
        <v>0</v>
      </c>
      <c r="F132" s="19">
        <f>SUM(F127:F131)</f>
        <v>0</v>
      </c>
      <c r="G132" s="19">
        <f t="shared" si="5"/>
        <v>-1541288711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1974476922</v>
      </c>
      <c r="E133" s="19">
        <f>E132+E126</f>
        <v>0</v>
      </c>
      <c r="F133" s="19">
        <f>F132+F126</f>
        <v>0</v>
      </c>
      <c r="G133" s="19">
        <f t="shared" si="5"/>
        <v>1974476922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005012900400817000KD</v>
      </c>
      <c r="B136" s="11" t="str">
        <f>P7</f>
        <v>PA. Rangkas Bitung</v>
      </c>
      <c r="C136" s="12" t="str">
        <f>A136&amp;" "&amp;B136</f>
        <v>005012900400817000KD PA. Rangkas Bitung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1975400</v>
      </c>
      <c r="E139" s="25">
        <f>SUMIFS('Daftar Koreksi'!$H$5:$H$92,'Daftar Koreksi'!$D$5:$D$92,'2900'!A136,'Daftar Koreksi'!$G$5:$G$92,"Persediaan",'Daftar Koreksi'!$H$5:$H$92,"&gt;0")</f>
        <v>0</v>
      </c>
      <c r="F139" s="25">
        <f>SUMIFS('Daftar Koreksi'!$H$5:$H$92,'Daftar Koreksi'!$D$5:$D$92,'2900'!A136,'Daftar Koreksi'!$G$5:$G$92,"Persediaan",'Daftar Koreksi'!$H$5:$H$92,"&lt;0")-SUMIFS('Daftar Koreksi'!$H$5:$H$92,'Daftar Koreksi'!$D$5:$D$92,'2900'!A136,'Daftar Koreksi'!$G$5:$G$92,"Persediaan",'Daftar Koreksi'!$H$5:$H$92,"&lt;0")-SUMIFS('Daftar Koreksi'!$H$5:$H$92,'Daftar Koreksi'!$D$5:$D$92,'2900'!A136,'Daftar Koreksi'!$G$5:$G$92,"Persediaan",'Daftar Koreksi'!$H$5:$H$92,"&lt;0")</f>
        <v>0</v>
      </c>
      <c r="G139" s="17">
        <f>D139+E139-F139</f>
        <v>1975400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894000000</v>
      </c>
      <c r="E140" s="25">
        <f>SUMIFS('Daftar Koreksi'!$H$5:$H$92,'Daftar Koreksi'!$D$5:$D$92,'2900'!A136,'Daftar Koreksi'!$G$5:$G$92,"Tanah",'Daftar Koreksi'!$H$5:$H$92,"&gt;0")</f>
        <v>0</v>
      </c>
      <c r="F140" s="25">
        <f>SUMIFS('Daftar Koreksi'!$H$5:$H$92,'Daftar Koreksi'!$D$5:$D$92,'2900'!A136,'Daftar Koreksi'!$G$5:$G$92,"Tanah",'Daftar Koreksi'!$H$5:$H$92,"&lt;0")-SUMIFS('Daftar Koreksi'!$H$5:$H$92,'Daftar Koreksi'!$D$5:$D$92,'2900'!A136,'Daftar Koreksi'!$G$5:$G$92,"Tanah",'Daftar Koreksi'!$H$5:$H$92,"&lt;0")-SUMIFS('Daftar Koreksi'!$H$5:$H$92,'Daftar Koreksi'!$D$5:$D$92,'2900'!A136,'Daftar Koreksi'!$G$5:$G$92,"Tanah",'Daftar Koreksi'!$H$5:$H$92,"&lt;0")</f>
        <v>0</v>
      </c>
      <c r="G140" s="17">
        <f t="shared" ref="G140:G156" si="6">D140+E140-F140</f>
        <v>894000000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1048523980</v>
      </c>
      <c r="E141" s="25">
        <f>SUMIFS('Daftar Koreksi'!$H$5:$H$92,'Daftar Koreksi'!$D$5:$D$92,'2900'!A136,'Daftar Koreksi'!$G$5:$G$92,"Peralatan dan mesin",'Daftar Koreksi'!$H$5:$H$92,"&gt;0")</f>
        <v>0</v>
      </c>
      <c r="F141" s="25">
        <f>SUMIFS('Daftar Koreksi'!$H$5:$H$92,'Daftar Koreksi'!$D$5:$D$92,'2900'!A136,'Daftar Koreksi'!$G$5:$G$92,"Peralatan dan mesin",'Daftar Koreksi'!$H$5:$H$92,"&lt;0")-SUMIFS('Daftar Koreksi'!$H$5:$H$92,'Daftar Koreksi'!$D$5:$D$92,'2900'!A136,'Daftar Koreksi'!$G$5:$G$92,"Peralatan dan mesin",'Daftar Koreksi'!$H$5:$H$92,"&lt;0")-SUMIFS('Daftar Koreksi'!$H$5:$H$92,'Daftar Koreksi'!$D$5:$D$92,'2900'!A136,'Daftar Koreksi'!$G$5:$G$92,"Peralatan dan mesin",'Daftar Koreksi'!$H$5:$H$92,"&lt;0")</f>
        <v>0</v>
      </c>
      <c r="G141" s="17">
        <f t="shared" si="6"/>
        <v>1048523980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4671380100</v>
      </c>
      <c r="E142" s="25">
        <f>SUMIFS('Daftar Koreksi'!$H$5:$H$92,'Daftar Koreksi'!$D$5:$D$92,'2900'!A136,'Daftar Koreksi'!$G$5:$G$92,"Gedung dan Bangunan",'Daftar Koreksi'!$H$5:$H$92,"&gt;0")</f>
        <v>0</v>
      </c>
      <c r="F142" s="25">
        <f>SUMIFS('Daftar Koreksi'!$H$5:$H$92,'Daftar Koreksi'!$D$5:$D$92,'2900'!A136,'Daftar Koreksi'!$G$5:$G$92,"Gedung dan Bangunan",'Daftar Koreksi'!$H$5:$H$92,"&lt;0")-SUMIFS('Daftar Koreksi'!$H$5:$H$92,'Daftar Koreksi'!$D$5:$D$92,'2900'!A136,'Daftar Koreksi'!$G$5:$G$92,"Gedung dan Bangunan",'Daftar Koreksi'!$H$5:$H$92,"&lt;0")-SUMIFS('Daftar Koreksi'!$H$5:$H$92,'Daftar Koreksi'!$D$5:$D$92,'2900'!A136,'Daftar Koreksi'!$G$5:$G$92,"Gedung dan Bangunan",'Daftar Koreksi'!$H$5:$H$92,"&lt;0")</f>
        <v>0</v>
      </c>
      <c r="G142" s="17">
        <f t="shared" si="6"/>
        <v>4671380100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10383240</v>
      </c>
      <c r="E143" s="25">
        <f>SUMIFS('Daftar Koreksi'!$H$5:$H$92,'Daftar Koreksi'!$D$5:$D$92,'2900'!A136,'Daftar Koreksi'!$G$5:$G$92,"Jalan Irigasi Jaringan",'Daftar Koreksi'!$H$5:$H$92,"&gt;0")</f>
        <v>0</v>
      </c>
      <c r="F143" s="25">
        <f>SUMIFS('Daftar Koreksi'!$H$5:$H$92,'Daftar Koreksi'!$D$5:$D$92,'2900'!A136,'Daftar Koreksi'!$G$5:$G$92,"Jalan Irigasi Jaringan",'Daftar Koreksi'!$H$5:$H$92,"&lt;0")-SUMIFS('Daftar Koreksi'!$H$5:$H$92,'Daftar Koreksi'!$D$5:$D$92,'2900'!A136,'Daftar Koreksi'!$G$5:$G$92,"Jalan Irigasi Jaringan",'Daftar Koreksi'!$H$5:$H$92,"&lt;0")-SUMIFS('Daftar Koreksi'!$H$5:$H$92,'Daftar Koreksi'!$D$5:$D$92,'2900'!A136,'Daftar Koreksi'!$G$5:$G$92,"Jalan Irigasi Jaringan",'Daftar Koreksi'!$H$5:$H$92,"&lt;0")</f>
        <v>0</v>
      </c>
      <c r="G143" s="17">
        <f t="shared" si="6"/>
        <v>10383240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5667346</v>
      </c>
      <c r="E144" s="25">
        <f>SUMIFS('Daftar Koreksi'!$H$5:$H$92,'Daftar Koreksi'!$D$5:$D$92,'2900'!A136,'Daftar Koreksi'!$G$5:$G$92,"Aset Tetap Lainnya",'Daftar Koreksi'!$H$5:$H$92,"&gt;0")</f>
        <v>0</v>
      </c>
      <c r="F144" s="25">
        <f>SUMIFS('Daftar Koreksi'!$H$5:$H$92,'Daftar Koreksi'!$D$5:$D$92,'2900'!A136,'Daftar Koreksi'!$G$5:$G$92,"Aset Tetap Lainnya",'Daftar Koreksi'!$H$5:$H$92,"&lt;0")-SUMIFS('Daftar Koreksi'!$H$5:$H$92,'Daftar Koreksi'!$D$5:$D$92,'2900'!A136,'Daftar Koreksi'!$G$5:$G$92,"Aset Tetap Lainnya",'Daftar Koreksi'!$H$5:$H$92,"&lt;0")-SUMIFS('Daftar Koreksi'!$H$5:$H$92,'Daftar Koreksi'!$D$5:$D$92,'2900'!A136,'Daftar Koreksi'!$G$5:$G$92,"Aset Tetap Lainnya",'Daftar Koreksi'!$H$5:$H$92,"&lt;0")</f>
        <v>0</v>
      </c>
      <c r="G144" s="17">
        <f t="shared" si="6"/>
        <v>5667346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Koreksi'!$D$5:$D$92,'2900'!A136,'Daftar Koreksi'!$G$5:$G$92,"Kontruksi Dalam Pengerjaan",'Daftar Koreksi'!$H$5:$H$92,"&gt;0")</f>
        <v>0</v>
      </c>
      <c r="F145" s="25">
        <f>SUMIFS('Daftar Koreksi'!$H$5:$H$92,'Daftar Koreksi'!$D$5:$D$92,'2900'!A136,'Daftar Koreksi'!$G$5:$G$92,"Kontruksi Dalam Pengerjaan",'Daftar Koreksi'!$H$5:$H$92,"&lt;0")-SUMIFS('Daftar Koreksi'!$H$5:$H$92,'Daftar Koreksi'!$D$5:$D$92,'2900'!A136,'Daftar Koreksi'!$G$5:$G$92,"Kontruksi Dalam Pengerjaan",'Daftar Koreksi'!$H$5:$H$92,"&lt;0")-SUMIFS('Daftar Koreksi'!$H$5:$H$92,'Daftar Koreksi'!$D$5:$D$92,'2900'!A136,'Daftar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Koreksi'!$D$5:$D$92,'2900'!A136,'Daftar Koreksi'!$G$5:$G$92,"Aset Tak Berwujud",'Daftar Koreksi'!$H$5:$H$92,"&gt;0")</f>
        <v>0</v>
      </c>
      <c r="F146" s="25">
        <f>SUMIFS('Daftar Koreksi'!$H$5:$H$92,'Daftar Koreksi'!$D$5:$D$92,'2900'!A136,'Daftar Koreksi'!$G$5:$G$92,"Aset Tak Berwujud",'Daftar Koreksi'!$H$5:$H$92,"&lt;0")-SUMIFS('Daftar Koreksi'!$H$5:$H$92,'Daftar Koreksi'!$D$5:$D$92,'2900'!A136,'Daftar Koreksi'!$G$5:$G$92,"Aset Tak Berwujud",'Daftar Koreksi'!$H$5:$H$92,"&lt;0")-SUMIFS('Daftar Koreksi'!$H$5:$H$92,'Daftar Koreksi'!$D$5:$D$92,'2900'!A136,'Daftar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26900000</v>
      </c>
      <c r="E147" s="25">
        <f>SUMIFS('Daftar Koreksi'!$H$5:$H$92,'Daftar Koreksi'!$D$5:$D$92,'2900'!A136,'Daftar Koreksi'!$G$5:$G$92,"Aset Henti Guna",'Daftar Koreksi'!$H$5:$H$92,"&gt;0")</f>
        <v>0</v>
      </c>
      <c r="F147" s="25">
        <f>SUMIFS('Daftar Koreksi'!$H$5:$H$92,'Daftar Koreksi'!$D$5:$D$92,'2900'!A136,'Daftar Koreksi'!$G$5:$G$92,"Aset Henti Guna",'Daftar Koreksi'!$H$5:$H$92,"&lt;0")-SUMIFS('Daftar Koreksi'!$H$5:$H$92,'Daftar Koreksi'!$D$5:$D$92,'2900'!A136,'Daftar Koreksi'!$G$5:$G$92,"Aset Henti Guna",'Daftar Koreksi'!$H$5:$H$92,"&lt;0")-SUMIFS('Daftar Koreksi'!$H$5:$H$92,'Daftar Koreksi'!$D$5:$D$92,'2900'!A136,'Daftar Koreksi'!$G$5:$G$92,"Aset Henti Guna",'Daftar Koreksi'!$H$5:$H$92,"&lt;0")</f>
        <v>0</v>
      </c>
      <c r="G147" s="17">
        <f t="shared" si="6"/>
        <v>26900000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6658830066</v>
      </c>
      <c r="E148" s="19">
        <f>SUM(E139:E147)</f>
        <v>0</v>
      </c>
      <c r="F148" s="19">
        <f>SUM(F139:F147)</f>
        <v>0</v>
      </c>
      <c r="G148" s="19">
        <f t="shared" si="6"/>
        <v>6658830066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-828214351</v>
      </c>
      <c r="E149" s="25">
        <f>SUMIFS('Daftar Koreksi'!$I$5:$I$92,'Daftar Koreksi'!$D$5:$D$92,'2900'!A136,'Daftar Koreksi'!$G$5:$G$92,"Peralatan dan mesin",'Daftar Koreksi'!$I$5:$I$92,"&gt;0")</f>
        <v>0</v>
      </c>
      <c r="F149" s="25">
        <f>SUMIFS('Daftar Koreksi'!$I$5:$I$92,'Daftar Koreksi'!$D$5:$D$92,'2900'!A136,'Daftar Koreksi'!$G$5:$G$92,"Peralatan dan mesin",'Daftar Koreksi'!$I$5:$I$92,"&lt;0")-SUMIFS('Daftar Koreksi'!$I$5:$I$92,'Daftar Koreksi'!$D$5:$D$92,'2900'!A136,'Daftar Koreksi'!$G$5:$G$92,"Peralatan dan mesin",'Daftar Koreksi'!$I$5:$I$92,"&lt;0")-SUMIFS('Daftar Koreksi'!$I$5:$I$92,'Daftar Koreksi'!$D$5:$D$92,'2900'!A136,'Daftar Koreksi'!$G$5:$G$92,"Peralatan dan mesin",'Daftar Koreksi'!$I$5:$I$92,"&lt;0")</f>
        <v>0</v>
      </c>
      <c r="G149" s="17">
        <f t="shared" si="6"/>
        <v>-828214351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-530432041</v>
      </c>
      <c r="E150" s="25">
        <f>SUMIFS('Daftar Koreksi'!$I$5:$I$92,'Daftar Koreksi'!$D$5:$D$92,'2900'!A136,'Daftar Koreksi'!$G$5:$G$92,"Gedung dan Bangunan",'Daftar Koreksi'!$I$5:$I$92,"&gt;0")</f>
        <v>0</v>
      </c>
      <c r="F150" s="25">
        <f>SUMIFS('Daftar Koreksi'!$I$5:$I$92,'Daftar Koreksi'!$D$5:$D$92,'2900'!A136,'Daftar Koreksi'!$G$5:$G$92,"Gedung dan Bangunan",'Daftar Koreksi'!$I$5:$I$92,"&lt;0")-SUMIFS('Daftar Koreksi'!$I$5:$I$92,'Daftar Koreksi'!$D$5:$D$92,'2900'!A136,'Daftar Koreksi'!$G$5:$G$92,"Gedung dan Bangunan",'Daftar Koreksi'!$I$5:$I$92,"&lt;0")-SUMIFS('Daftar Koreksi'!$I$5:$I$92,'Daftar Koreksi'!$D$5:$D$92,'2900'!A136,'Daftar Koreksi'!$G$5:$G$92,"Gedung dan Bangunan",'Daftar Koreksi'!$I$5:$I$92,"&lt;0")</f>
        <v>0</v>
      </c>
      <c r="G150" s="17">
        <f t="shared" si="6"/>
        <v>-530432041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-5529568</v>
      </c>
      <c r="E151" s="25">
        <f>SUMIFS('Daftar Koreksi'!$I$5:$I$92,'Daftar Koreksi'!$D$5:$D$92,'2900'!A136,'Daftar Koreksi'!$G$5:$G$92,"Jalan Irigasi Jaringan",'Daftar Koreksi'!$I$5:$I$92,"&gt;0")</f>
        <v>0</v>
      </c>
      <c r="F151" s="25">
        <f>SUMIFS('Daftar Koreksi'!$I$5:$I$92,'Daftar Koreksi'!$D$5:$D$92,'2900'!A136,'Daftar Koreksi'!$G$5:$G$92,"Jalan Irigasi Jaringan",'Daftar Koreksi'!$I$5:$I$92,"&lt;0")-SUMIFS('Daftar Koreksi'!$I$5:$I$92,'Daftar Koreksi'!$D$5:$D$92,'2900'!A136,'Daftar Koreksi'!$G$5:$G$92,"Jalan Irigasi Jaringan",'Daftar Koreksi'!$I$5:$I$92,"&lt;0")-SUMIFS('Daftar Koreksi'!$I$5:$I$92,'Daftar Koreksi'!$D$5:$D$92,'2900'!A136,'Daftar Koreksi'!$G$5:$G$92,"Jalan Irigasi Jaringan",'Daftar Koreksi'!$I$5:$I$92,"&lt;0")</f>
        <v>0</v>
      </c>
      <c r="G151" s="17">
        <f t="shared" si="6"/>
        <v>-5529568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Koreksi'!$D$5:$D$92,'2900'!A136,'Daftar Koreksi'!$G$5:$G$92,"Aset Tetap Lainnya",'Daftar Koreksi'!$I$5:$I$92,"&gt;0")</f>
        <v>0</v>
      </c>
      <c r="F152" s="25">
        <f>SUMIFS('Daftar Koreksi'!$I$5:$I$92,'Daftar Koreksi'!$D$5:$D$92,'2900'!A136,'Daftar Koreksi'!$G$5:$G$92,"Aset Tetap Lainnya",'Daftar Koreksi'!$I$5:$I$92,"&lt;0")-SUMIFS('Daftar Koreksi'!$I$5:$I$92,'Daftar Koreksi'!$D$5:$D$92,'2900'!A136,'Daftar Koreksi'!$G$5:$G$92,"Aset Tetap Lainnya",'Daftar Koreksi'!$I$5:$I$92,"&lt;0")-SUMIFS('Daftar Koreksi'!$I$5:$I$92,'Daftar Koreksi'!$D$5:$D$92,'2900'!A136,'Daftar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-26900000</v>
      </c>
      <c r="E153" s="25">
        <f>SUMIFS('Daftar Koreksi'!$I$5:$I$92,'Daftar Koreksi'!$D$5:$D$92,'2900'!A136,'Daftar Koreksi'!$G$5:$G$92,"Aset Henti Guna",'Daftar Koreksi'!$I$5:$I$92,"&gt;0")</f>
        <v>0</v>
      </c>
      <c r="F153" s="25">
        <f>SUMIFS('Daftar Koreksi'!$I$5:$I$92,'Daftar Koreksi'!$D$5:$D$92,'2900'!A136,'Daftar Koreksi'!$G$5:$G$92,"Aset Henti Guna",'Daftar Koreksi'!$I$5:$I$92,"&lt;0")-SUMIFS('Daftar Koreksi'!$I$5:$I$92,'Daftar Koreksi'!$D$5:$D$92,'2900'!A136,'Daftar Koreksi'!$G$5:$G$92,"Aset Henti Guna",'Daftar Koreksi'!$I$5:$I$92,"&lt;0")-SUMIFS('Daftar Koreksi'!$I$5:$I$92,'Daftar Koreksi'!$D$5:$D$92,'2900'!A136,'Daftar Koreksi'!$G$5:$G$92,"Aset Henti Guna",'Daftar Koreksi'!$I$5:$I$92,"&lt;0")</f>
        <v>0</v>
      </c>
      <c r="G153" s="17">
        <f t="shared" si="6"/>
        <v>-26900000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-1391075960</v>
      </c>
      <c r="E154" s="19">
        <f>SUM(E149:E153)</f>
        <v>0</v>
      </c>
      <c r="F154" s="19">
        <f>SUM(F149:F153)</f>
        <v>0</v>
      </c>
      <c r="G154" s="19">
        <f t="shared" si="6"/>
        <v>-1391075960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5267754106</v>
      </c>
      <c r="E155" s="19">
        <f>E154+E148</f>
        <v>0</v>
      </c>
      <c r="F155" s="19">
        <f>F154+F148</f>
        <v>0</v>
      </c>
      <c r="G155" s="19">
        <f t="shared" si="6"/>
        <v>5267754106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005012900400823000KD</v>
      </c>
      <c r="B158" s="11" t="str">
        <f>P8</f>
        <v>PA. Tangerang</v>
      </c>
      <c r="C158" s="12" t="str">
        <f>A158&amp;" "&amp;B158</f>
        <v>005012900400823000KD PA. Tangerang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0</v>
      </c>
      <c r="E161" s="25">
        <f>SUMIFS('Daftar Koreksi'!$H$5:$H$92,'Daftar Koreksi'!$D$5:$D$92,'2900'!A158,'Daftar Koreksi'!$G$5:$G$92,"Persediaan",'Daftar Koreksi'!$H$5:$H$92,"&gt;0")</f>
        <v>0</v>
      </c>
      <c r="F161" s="25">
        <f>SUMIFS('Daftar Koreksi'!$H$5:$H$92,'Daftar Koreksi'!$D$5:$D$92,'2900'!A158,'Daftar Koreksi'!$G$5:$G$92,"Persediaan",'Daftar Koreksi'!$H$5:$H$92,"&lt;0")-SUMIFS('Daftar Koreksi'!$H$5:$H$92,'Daftar Koreksi'!$D$5:$D$92,'2900'!A158,'Daftar Koreksi'!$G$5:$G$92,"Persediaan",'Daftar Koreksi'!$H$5:$H$92,"&lt;0")-SUMIFS('Daftar Koreksi'!$H$5:$H$92,'Daftar Koreksi'!$D$5:$D$92,'2900'!A158,'Daftar Koreksi'!$G$5:$G$92,"Persediaan",'Daftar Koreksi'!$H$5:$H$92,"&lt;0")</f>
        <v>0</v>
      </c>
      <c r="G161" s="17">
        <f>D161+E161-F161</f>
        <v>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1457430000</v>
      </c>
      <c r="E162" s="25">
        <f>SUMIFS('Daftar Koreksi'!$H$5:$H$92,'Daftar Koreksi'!$D$5:$D$92,'2900'!A158,'Daftar Koreksi'!$G$5:$G$92,"Tanah",'Daftar Koreksi'!$H$5:$H$92,"&gt;0")</f>
        <v>0</v>
      </c>
      <c r="F162" s="25">
        <f>SUMIFS('Daftar Koreksi'!$H$5:$H$92,'Daftar Koreksi'!$D$5:$D$92,'2900'!A158,'Daftar Koreksi'!$G$5:$G$92,"Tanah",'Daftar Koreksi'!$H$5:$H$92,"&lt;0")-SUMIFS('Daftar Koreksi'!$H$5:$H$92,'Daftar Koreksi'!$D$5:$D$92,'2900'!A158,'Daftar Koreksi'!$G$5:$G$92,"Tanah",'Daftar Koreksi'!$H$5:$H$92,"&lt;0")-SUMIFS('Daftar Koreksi'!$H$5:$H$92,'Daftar Koreksi'!$D$5:$D$92,'2900'!A158,'Daftar Koreksi'!$G$5:$G$92,"Tanah",'Daftar Koreksi'!$H$5:$H$92,"&lt;0")</f>
        <v>0</v>
      </c>
      <c r="G162" s="17">
        <f t="shared" ref="G162:G178" si="7">D162+E162-F162</f>
        <v>1457430000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1760818767</v>
      </c>
      <c r="E163" s="25">
        <f>SUMIFS('Daftar Koreksi'!$H$5:$H$92,'Daftar Koreksi'!$D$5:$D$92,'2900'!A158,'Daftar Koreksi'!$G$5:$G$92,"Peralatan dan mesin",'Daftar Koreksi'!$H$5:$H$92,"&gt;0")</f>
        <v>0</v>
      </c>
      <c r="F163" s="25">
        <f>SUMIFS('Daftar Koreksi'!$H$5:$H$92,'Daftar Koreksi'!$D$5:$D$92,'2900'!A158,'Daftar Koreksi'!$G$5:$G$92,"Peralatan dan mesin",'Daftar Koreksi'!$H$5:$H$92,"&lt;0")-SUMIFS('Daftar Koreksi'!$H$5:$H$92,'Daftar Koreksi'!$D$5:$D$92,'2900'!A158,'Daftar Koreksi'!$G$5:$G$92,"Peralatan dan mesin",'Daftar Koreksi'!$H$5:$H$92,"&lt;0")-SUMIFS('Daftar Koreksi'!$H$5:$H$92,'Daftar Koreksi'!$D$5:$D$92,'2900'!A158,'Daftar Koreksi'!$G$5:$G$92,"Peralatan dan mesin",'Daftar Koreksi'!$H$5:$H$92,"&lt;0")</f>
        <v>0</v>
      </c>
      <c r="G163" s="17">
        <f t="shared" si="7"/>
        <v>1760818767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4656740167</v>
      </c>
      <c r="E164" s="25">
        <f>SUMIFS('Daftar Koreksi'!$H$5:$H$92,'Daftar Koreksi'!$D$5:$D$92,'2900'!A158,'Daftar Koreksi'!$G$5:$G$92,"Gedung dan Bangunan",'Daftar Koreksi'!$H$5:$H$92,"&gt;0")</f>
        <v>0</v>
      </c>
      <c r="F164" s="25">
        <f>SUMIFS('Daftar Koreksi'!$H$5:$H$92,'Daftar Koreksi'!$D$5:$D$92,'2900'!A158,'Daftar Koreksi'!$G$5:$G$92,"Gedung dan Bangunan",'Daftar Koreksi'!$H$5:$H$92,"&lt;0")-SUMIFS('Daftar Koreksi'!$H$5:$H$92,'Daftar Koreksi'!$D$5:$D$92,'2900'!A158,'Daftar Koreksi'!$G$5:$G$92,"Gedung dan Bangunan",'Daftar Koreksi'!$H$5:$H$92,"&lt;0")-SUMIFS('Daftar Koreksi'!$H$5:$H$92,'Daftar Koreksi'!$D$5:$D$92,'2900'!A158,'Daftar Koreksi'!$G$5:$G$92,"Gedung dan Bangunan",'Daftar Koreksi'!$H$5:$H$92,"&lt;0")</f>
        <v>0</v>
      </c>
      <c r="G164" s="17">
        <f t="shared" si="7"/>
        <v>4656740167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0</v>
      </c>
      <c r="E165" s="25">
        <f>SUMIFS('Daftar Koreksi'!$H$5:$H$92,'Daftar Koreksi'!$D$5:$D$92,'2900'!A158,'Daftar Koreksi'!$G$5:$G$92,"Jalan Irigasi Jaringan",'Daftar Koreksi'!$H$5:$H$92,"&gt;0")</f>
        <v>0</v>
      </c>
      <c r="F165" s="25">
        <f>SUMIFS('Daftar Koreksi'!$H$5:$H$92,'Daftar Koreksi'!$D$5:$D$92,'2900'!A158,'Daftar Koreksi'!$G$5:$G$92,"Jalan Irigasi Jaringan",'Daftar Koreksi'!$H$5:$H$92,"&lt;0")-SUMIFS('Daftar Koreksi'!$H$5:$H$92,'Daftar Koreksi'!$D$5:$D$92,'2900'!A158,'Daftar Koreksi'!$G$5:$G$92,"Jalan Irigasi Jaringan",'Daftar Koreksi'!$H$5:$H$92,"&lt;0")-SUMIFS('Daftar Koreksi'!$H$5:$H$92,'Daftar Koreksi'!$D$5:$D$92,'2900'!A158,'Daftar Koreksi'!$G$5:$G$92,"Jalan Irigasi Jaringan",'Daftar Koreksi'!$H$5:$H$92,"&lt;0")</f>
        <v>0</v>
      </c>
      <c r="G165" s="17">
        <f t="shared" si="7"/>
        <v>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28203470</v>
      </c>
      <c r="E166" s="25">
        <f>SUMIFS('Daftar Koreksi'!$H$5:$H$92,'Daftar Koreksi'!$D$5:$D$92,'2900'!A158,'Daftar Koreksi'!$G$5:$G$92,"Aset Tetap Lainnya",'Daftar Koreksi'!$H$5:$H$92,"&gt;0")</f>
        <v>0</v>
      </c>
      <c r="F166" s="25">
        <f>SUMIFS('Daftar Koreksi'!$H$5:$H$92,'Daftar Koreksi'!$D$5:$D$92,'2900'!A158,'Daftar Koreksi'!$G$5:$G$92,"Aset Tetap Lainnya",'Daftar Koreksi'!$H$5:$H$92,"&lt;0")-SUMIFS('Daftar Koreksi'!$H$5:$H$92,'Daftar Koreksi'!$D$5:$D$92,'2900'!A158,'Daftar Koreksi'!$G$5:$G$92,"Aset Tetap Lainnya",'Daftar Koreksi'!$H$5:$H$92,"&lt;0")-SUMIFS('Daftar Koreksi'!$H$5:$H$92,'Daftar Koreksi'!$D$5:$D$92,'2900'!A158,'Daftar Koreksi'!$G$5:$G$92,"Aset Tetap Lainnya",'Daftar Koreksi'!$H$5:$H$92,"&lt;0")</f>
        <v>0</v>
      </c>
      <c r="G166" s="17">
        <f t="shared" si="7"/>
        <v>28203470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Koreksi'!$D$5:$D$92,'2900'!A158,'Daftar Koreksi'!$G$5:$G$92,"Kontruksi Dalam Pengerjaan",'Daftar Koreksi'!$H$5:$H$92,"&gt;0")</f>
        <v>0</v>
      </c>
      <c r="F167" s="25">
        <f>SUMIFS('Daftar Koreksi'!$H$5:$H$92,'Daftar Koreksi'!$D$5:$D$92,'2900'!A158,'Daftar Koreksi'!$G$5:$G$92,"Kontruksi Dalam Pengerjaan",'Daftar Koreksi'!$H$5:$H$92,"&lt;0")-SUMIFS('Daftar Koreksi'!$H$5:$H$92,'Daftar Koreksi'!$D$5:$D$92,'2900'!A158,'Daftar Koreksi'!$G$5:$G$92,"Kontruksi Dalam Pengerjaan",'Daftar Koreksi'!$H$5:$H$92,"&lt;0")-SUMIFS('Daftar Koreksi'!$H$5:$H$92,'Daftar Koreksi'!$D$5:$D$92,'2900'!A158,'Daftar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Koreksi'!$D$5:$D$92,'2900'!A158,'Daftar Koreksi'!$G$5:$G$92,"Aset Tak Berwujud",'Daftar Koreksi'!$H$5:$H$92,"&gt;0")</f>
        <v>0</v>
      </c>
      <c r="F168" s="25">
        <f>SUMIFS('Daftar Koreksi'!$H$5:$H$92,'Daftar Koreksi'!$D$5:$D$92,'2900'!A158,'Daftar Koreksi'!$G$5:$G$92,"Aset Tak Berwujud",'Daftar Koreksi'!$H$5:$H$92,"&lt;0")-SUMIFS('Daftar Koreksi'!$H$5:$H$92,'Daftar Koreksi'!$D$5:$D$92,'2900'!A158,'Daftar Koreksi'!$G$5:$G$92,"Aset Tak Berwujud",'Daftar Koreksi'!$H$5:$H$92,"&lt;0")-SUMIFS('Daftar Koreksi'!$H$5:$H$92,'Daftar Koreksi'!$D$5:$D$92,'2900'!A158,'Daftar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Koreksi'!$D$5:$D$92,'2900'!A158,'Daftar Koreksi'!$G$5:$G$92,"Aset Henti Guna",'Daftar Koreksi'!$H$5:$H$92,"&gt;0")</f>
        <v>0</v>
      </c>
      <c r="F169" s="25">
        <f>SUMIFS('Daftar Koreksi'!$H$5:$H$92,'Daftar Koreksi'!$D$5:$D$92,'2900'!A158,'Daftar Koreksi'!$G$5:$G$92,"Aset Henti Guna",'Daftar Koreksi'!$H$5:$H$92,"&lt;0")-SUMIFS('Daftar Koreksi'!$H$5:$H$92,'Daftar Koreksi'!$D$5:$D$92,'2900'!A158,'Daftar Koreksi'!$G$5:$G$92,"Aset Henti Guna",'Daftar Koreksi'!$H$5:$H$92,"&lt;0")-SUMIFS('Daftar Koreksi'!$H$5:$H$92,'Daftar Koreksi'!$D$5:$D$92,'2900'!A158,'Daftar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7903192404</v>
      </c>
      <c r="E170" s="19">
        <f>SUM(E161:E169)</f>
        <v>0</v>
      </c>
      <c r="F170" s="19">
        <f>SUM(F161:F169)</f>
        <v>0</v>
      </c>
      <c r="G170" s="19">
        <f t="shared" si="7"/>
        <v>7903192404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-1612402812</v>
      </c>
      <c r="E171" s="25">
        <f>SUMIFS('Daftar Koreksi'!$I$5:$I$92,'Daftar Koreksi'!$D$5:$D$92,'2900'!A158,'Daftar Koreksi'!$G$5:$G$92,"Peralatan dan mesin",'Daftar Koreksi'!$I$5:$I$92,"&gt;0")</f>
        <v>0</v>
      </c>
      <c r="F171" s="25">
        <f>SUMIFS('Daftar Koreksi'!$I$5:$I$92,'Daftar Koreksi'!$D$5:$D$92,'2900'!A158,'Daftar Koreksi'!$G$5:$G$92,"Peralatan dan mesin",'Daftar Koreksi'!$I$5:$I$92,"&lt;0")-SUMIFS('Daftar Koreksi'!$I$5:$I$92,'Daftar Koreksi'!$D$5:$D$92,'2900'!A158,'Daftar Koreksi'!$G$5:$G$92,"Peralatan dan mesin",'Daftar Koreksi'!$I$5:$I$92,"&lt;0")-SUMIFS('Daftar Koreksi'!$I$5:$I$92,'Daftar Koreksi'!$D$5:$D$92,'2900'!A158,'Daftar Koreksi'!$G$5:$G$92,"Peralatan dan mesin",'Daftar Koreksi'!$I$5:$I$92,"&lt;0")</f>
        <v>0</v>
      </c>
      <c r="G171" s="17">
        <f t="shared" si="7"/>
        <v>-1612402812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-2889354799</v>
      </c>
      <c r="E172" s="25">
        <f>SUMIFS('Daftar Koreksi'!$I$5:$I$92,'Daftar Koreksi'!$D$5:$D$92,'2900'!A158,'Daftar Koreksi'!$G$5:$G$92,"Gedung dan Bangunan",'Daftar Koreksi'!$I$5:$I$92,"&gt;0")</f>
        <v>0</v>
      </c>
      <c r="F172" s="25">
        <f>SUMIFS('Daftar Koreksi'!$I$5:$I$92,'Daftar Koreksi'!$D$5:$D$92,'2900'!A158,'Daftar Koreksi'!$G$5:$G$92,"Gedung dan Bangunan",'Daftar Koreksi'!$I$5:$I$92,"&lt;0")-SUMIFS('Daftar Koreksi'!$I$5:$I$92,'Daftar Koreksi'!$D$5:$D$92,'2900'!A158,'Daftar Koreksi'!$G$5:$G$92,"Gedung dan Bangunan",'Daftar Koreksi'!$I$5:$I$92,"&lt;0")-SUMIFS('Daftar Koreksi'!$I$5:$I$92,'Daftar Koreksi'!$D$5:$D$92,'2900'!A158,'Daftar Koreksi'!$G$5:$G$92,"Gedung dan Bangunan",'Daftar Koreksi'!$I$5:$I$92,"&lt;0")</f>
        <v>0</v>
      </c>
      <c r="G172" s="17">
        <f t="shared" si="7"/>
        <v>-2889354799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0</v>
      </c>
      <c r="E173" s="25">
        <f>SUMIFS('Daftar Koreksi'!$I$5:$I$92,'Daftar Koreksi'!$D$5:$D$92,'2900'!A158,'Daftar Koreksi'!$G$5:$G$92,"Jalan Irigasi Jaringan",'Daftar Koreksi'!$I$5:$I$92,"&gt;0")</f>
        <v>0</v>
      </c>
      <c r="F173" s="25">
        <f>SUMIFS('Daftar Koreksi'!$I$5:$I$92,'Daftar Koreksi'!$D$5:$D$92,'2900'!A158,'Daftar Koreksi'!$G$5:$G$92,"Jalan Irigasi Jaringan",'Daftar Koreksi'!$I$5:$I$92,"&lt;0")-SUMIFS('Daftar Koreksi'!$I$5:$I$92,'Daftar Koreksi'!$D$5:$D$92,'2900'!A158,'Daftar Koreksi'!$G$5:$G$92,"Jalan Irigasi Jaringan",'Daftar Koreksi'!$I$5:$I$92,"&lt;0")-SUMIFS('Daftar Koreksi'!$I$5:$I$92,'Daftar Koreksi'!$D$5:$D$92,'2900'!A158,'Daftar Koreksi'!$G$5:$G$92,"Jalan Irigasi Jaringan",'Daftar Koreksi'!$I$5:$I$92,"&lt;0")</f>
        <v>0</v>
      </c>
      <c r="G173" s="17">
        <f t="shared" si="7"/>
        <v>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Koreksi'!$D$5:$D$92,'2900'!A158,'Daftar Koreksi'!$G$5:$G$92,"Aset Tetap Lainnya",'Daftar Koreksi'!$I$5:$I$92,"&gt;0")</f>
        <v>0</v>
      </c>
      <c r="F174" s="25">
        <f>SUMIFS('Daftar Koreksi'!$I$5:$I$92,'Daftar Koreksi'!$D$5:$D$92,'2900'!A158,'Daftar Koreksi'!$G$5:$G$92,"Aset Tetap Lainnya",'Daftar Koreksi'!$I$5:$I$92,"&lt;0")-SUMIFS('Daftar Koreksi'!$I$5:$I$92,'Daftar Koreksi'!$D$5:$D$92,'2900'!A158,'Daftar Koreksi'!$G$5:$G$92,"Aset Tetap Lainnya",'Daftar Koreksi'!$I$5:$I$92,"&lt;0")-SUMIFS('Daftar Koreksi'!$I$5:$I$92,'Daftar Koreksi'!$D$5:$D$92,'2900'!A158,'Daftar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Koreksi'!$D$5:$D$92,'2900'!A158,'Daftar Koreksi'!$G$5:$G$92,"Aset Henti Guna",'Daftar Koreksi'!$I$5:$I$92,"&gt;0")</f>
        <v>0</v>
      </c>
      <c r="F175" s="25">
        <f>SUMIFS('Daftar Koreksi'!$I$5:$I$92,'Daftar Koreksi'!$D$5:$D$92,'2900'!A158,'Daftar Koreksi'!$G$5:$G$92,"Aset Henti Guna",'Daftar Koreksi'!$I$5:$I$92,"&lt;0")-SUMIFS('Daftar Koreksi'!$I$5:$I$92,'Daftar Koreksi'!$D$5:$D$92,'2900'!A158,'Daftar Koreksi'!$G$5:$G$92,"Aset Henti Guna",'Daftar Koreksi'!$I$5:$I$92,"&lt;0")-SUMIFS('Daftar Koreksi'!$I$5:$I$92,'Daftar Koreksi'!$D$5:$D$92,'2900'!A158,'Daftar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-4501757611</v>
      </c>
      <c r="E176" s="19">
        <f>SUM(E171:E175)</f>
        <v>0</v>
      </c>
      <c r="F176" s="19">
        <f>SUM(F171:F175)</f>
        <v>0</v>
      </c>
      <c r="G176" s="19">
        <f t="shared" si="7"/>
        <v>-4501757611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3401434793</v>
      </c>
      <c r="E177" s="19">
        <f>E176+E170</f>
        <v>0</v>
      </c>
      <c r="F177" s="19">
        <f>F176+F170</f>
        <v>0</v>
      </c>
      <c r="G177" s="19">
        <f t="shared" si="7"/>
        <v>3401434793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005012900440712000KD</v>
      </c>
      <c r="B180" s="11" t="str">
        <f>P9</f>
        <v>PTA. Banten</v>
      </c>
      <c r="C180" s="12" t="str">
        <f>A180&amp;" "&amp;B180</f>
        <v>005012900440712000KD PTA. Banten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10657564</v>
      </c>
      <c r="E183" s="25">
        <f>SUMIFS('Daftar Koreksi'!$H$5:$H$92,'Daftar Koreksi'!$D$5:$D$92,'2900'!A180,'Daftar Koreksi'!$G$5:$G$92,"Persediaan",'Daftar Koreksi'!$H$5:$H$92,"&gt;0")</f>
        <v>0</v>
      </c>
      <c r="F183" s="25">
        <f>SUMIFS('Daftar Koreksi'!$H$5:$H$92,'Daftar Koreksi'!$D$5:$D$92,'2900'!A180,'Daftar Koreksi'!$G$5:$G$92,"Persediaan",'Daftar Koreksi'!$H$5:$H$92,"&lt;0")-SUMIFS('Daftar Koreksi'!$H$5:$H$92,'Daftar Koreksi'!$D$5:$D$92,'2900'!A180,'Daftar Koreksi'!$G$5:$G$92,"Persediaan",'Daftar Koreksi'!$H$5:$H$92,"&lt;0")-SUMIFS('Daftar Koreksi'!$H$5:$H$92,'Daftar Koreksi'!$D$5:$D$92,'2900'!A180,'Daftar Koreksi'!$G$5:$G$92,"Persediaan",'Daftar Koreksi'!$H$5:$H$92,"&lt;0")</f>
        <v>0</v>
      </c>
      <c r="G183" s="17">
        <f>D183+E183-F183</f>
        <v>10657564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1480000000</v>
      </c>
      <c r="E184" s="25">
        <f>SUMIFS('Daftar Koreksi'!$H$5:$H$92,'Daftar Koreksi'!$D$5:$D$92,'2900'!A180,'Daftar Koreksi'!$G$5:$G$92,"Tanah",'Daftar Koreksi'!$H$5:$H$92,"&gt;0")</f>
        <v>0</v>
      </c>
      <c r="F184" s="25">
        <f>SUMIFS('Daftar Koreksi'!$H$5:$H$92,'Daftar Koreksi'!$D$5:$D$92,'2900'!A180,'Daftar Koreksi'!$G$5:$G$92,"Tanah",'Daftar Koreksi'!$H$5:$H$92,"&lt;0")-SUMIFS('Daftar Koreksi'!$H$5:$H$92,'Daftar Koreksi'!$D$5:$D$92,'2900'!A180,'Daftar Koreksi'!$G$5:$G$92,"Tanah",'Daftar Koreksi'!$H$5:$H$92,"&lt;0")-SUMIFS('Daftar Koreksi'!$H$5:$H$92,'Daftar Koreksi'!$D$5:$D$92,'2900'!A180,'Daftar Koreksi'!$G$5:$G$92,"Tanah",'Daftar Koreksi'!$H$5:$H$92,"&lt;0")</f>
        <v>0</v>
      </c>
      <c r="G184" s="17">
        <f t="shared" ref="G184:G200" si="8">D184+E184-F184</f>
        <v>1480000000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3886412120</v>
      </c>
      <c r="E185" s="25">
        <f>SUMIFS('Daftar Koreksi'!$H$5:$H$92,'Daftar Koreksi'!$D$5:$D$92,'2900'!A180,'Daftar Koreksi'!$G$5:$G$92,"Peralatan dan mesin",'Daftar Koreksi'!$H$5:$H$92,"&gt;0")</f>
        <v>0</v>
      </c>
      <c r="F185" s="25">
        <f>SUMIFS('Daftar Koreksi'!$H$5:$H$92,'Daftar Koreksi'!$D$5:$D$92,'2900'!A180,'Daftar Koreksi'!$G$5:$G$92,"Peralatan dan mesin",'Daftar Koreksi'!$H$5:$H$92,"&lt;0")-SUMIFS('Daftar Koreksi'!$H$5:$H$92,'Daftar Koreksi'!$D$5:$D$92,'2900'!A180,'Daftar Koreksi'!$G$5:$G$92,"Peralatan dan mesin",'Daftar Koreksi'!$H$5:$H$92,"&lt;0")-SUMIFS('Daftar Koreksi'!$H$5:$H$92,'Daftar Koreksi'!$D$5:$D$92,'2900'!A180,'Daftar Koreksi'!$G$5:$G$92,"Peralatan dan mesin",'Daftar Koreksi'!$H$5:$H$92,"&lt;0")</f>
        <v>0</v>
      </c>
      <c r="G185" s="17">
        <f t="shared" si="8"/>
        <v>3886412120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11548237967</v>
      </c>
      <c r="E186" s="25">
        <f>SUMIFS('Daftar Koreksi'!$H$5:$H$92,'Daftar Koreksi'!$D$5:$D$92,'2900'!A180,'Daftar Koreksi'!$G$5:$G$92,"Gedung dan Bangunan",'Daftar Koreksi'!$H$5:$H$92,"&gt;0")</f>
        <v>0</v>
      </c>
      <c r="F186" s="25">
        <f>SUMIFS('Daftar Koreksi'!$H$5:$H$92,'Daftar Koreksi'!$D$5:$D$92,'2900'!A180,'Daftar Koreksi'!$G$5:$G$92,"Gedung dan Bangunan",'Daftar Koreksi'!$H$5:$H$92,"&lt;0")-SUMIFS('Daftar Koreksi'!$H$5:$H$92,'Daftar Koreksi'!$D$5:$D$92,'2900'!A180,'Daftar Koreksi'!$G$5:$G$92,"Gedung dan Bangunan",'Daftar Koreksi'!$H$5:$H$92,"&lt;0")-SUMIFS('Daftar Koreksi'!$H$5:$H$92,'Daftar Koreksi'!$D$5:$D$92,'2900'!A180,'Daftar Koreksi'!$G$5:$G$92,"Gedung dan Bangunan",'Daftar Koreksi'!$H$5:$H$92,"&lt;0")</f>
        <v>0</v>
      </c>
      <c r="G186" s="17">
        <f t="shared" si="8"/>
        <v>11548237967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525801862</v>
      </c>
      <c r="E187" s="25">
        <f>SUMIFS('Daftar Koreksi'!$H$5:$H$92,'Daftar Koreksi'!$D$5:$D$92,'2900'!A180,'Daftar Koreksi'!$G$5:$G$92,"Jalan Irigasi Jaringan",'Daftar Koreksi'!$H$5:$H$92,"&gt;0")</f>
        <v>0</v>
      </c>
      <c r="F187" s="25">
        <f>SUMIFS('Daftar Koreksi'!$H$5:$H$92,'Daftar Koreksi'!$D$5:$D$92,'2900'!A180,'Daftar Koreksi'!$G$5:$G$92,"Jalan Irigasi Jaringan",'Daftar Koreksi'!$H$5:$H$92,"&lt;0")-SUMIFS('Daftar Koreksi'!$H$5:$H$92,'Daftar Koreksi'!$D$5:$D$92,'2900'!A180,'Daftar Koreksi'!$G$5:$G$92,"Jalan Irigasi Jaringan",'Daftar Koreksi'!$H$5:$H$92,"&lt;0")-SUMIFS('Daftar Koreksi'!$H$5:$H$92,'Daftar Koreksi'!$D$5:$D$92,'2900'!A180,'Daftar Koreksi'!$G$5:$G$92,"Jalan Irigasi Jaringan",'Daftar Koreksi'!$H$5:$H$92,"&lt;0")</f>
        <v>0</v>
      </c>
      <c r="G187" s="17">
        <f t="shared" si="8"/>
        <v>525801862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36908507</v>
      </c>
      <c r="E188" s="25">
        <f>SUMIFS('Daftar Koreksi'!$H$5:$H$92,'Daftar Koreksi'!$D$5:$D$92,'2900'!A180,'Daftar Koreksi'!$G$5:$G$92,"Aset Tetap Lainnya",'Daftar Koreksi'!$H$5:$H$92,"&gt;0")</f>
        <v>0</v>
      </c>
      <c r="F188" s="25">
        <f>SUMIFS('Daftar Koreksi'!$H$5:$H$92,'Daftar Koreksi'!$D$5:$D$92,'2900'!A180,'Daftar Koreksi'!$G$5:$G$92,"Aset Tetap Lainnya",'Daftar Koreksi'!$H$5:$H$92,"&lt;0")-SUMIFS('Daftar Koreksi'!$H$5:$H$92,'Daftar Koreksi'!$D$5:$D$92,'2900'!A180,'Daftar Koreksi'!$G$5:$G$92,"Aset Tetap Lainnya",'Daftar Koreksi'!$H$5:$H$92,"&lt;0")-SUMIFS('Daftar Koreksi'!$H$5:$H$92,'Daftar Koreksi'!$D$5:$D$92,'2900'!A180,'Daftar Koreksi'!$G$5:$G$92,"Aset Tetap Lainnya",'Daftar Koreksi'!$H$5:$H$92,"&lt;0")</f>
        <v>0</v>
      </c>
      <c r="G188" s="17">
        <f t="shared" si="8"/>
        <v>36908507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Koreksi'!$D$5:$D$92,'2900'!A180,'Daftar Koreksi'!$G$5:$G$92,"Kontruksi Dalam Pengerjaan",'Daftar Koreksi'!$H$5:$H$92,"&gt;0")</f>
        <v>0</v>
      </c>
      <c r="F189" s="25">
        <f>SUMIFS('Daftar Koreksi'!$H$5:$H$92,'Daftar Koreksi'!$D$5:$D$92,'2900'!A180,'Daftar Koreksi'!$G$5:$G$92,"Kontruksi Dalam Pengerjaan",'Daftar Koreksi'!$H$5:$H$92,"&lt;0")-SUMIFS('Daftar Koreksi'!$H$5:$H$92,'Daftar Koreksi'!$D$5:$D$92,'2900'!A180,'Daftar Koreksi'!$G$5:$G$92,"Kontruksi Dalam Pengerjaan",'Daftar Koreksi'!$H$5:$H$92,"&lt;0")-SUMIFS('Daftar Koreksi'!$H$5:$H$92,'Daftar Koreksi'!$D$5:$D$92,'2900'!A180,'Daftar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20000000</v>
      </c>
      <c r="E190" s="25">
        <f>SUMIFS('Daftar Koreksi'!$H$5:$H$92,'Daftar Koreksi'!$D$5:$D$92,'2900'!A180,'Daftar Koreksi'!$G$5:$G$92,"Aset Tak Berwujud",'Daftar Koreksi'!$H$5:$H$92,"&gt;0")</f>
        <v>0</v>
      </c>
      <c r="F190" s="25">
        <f>SUMIFS('Daftar Koreksi'!$H$5:$H$92,'Daftar Koreksi'!$D$5:$D$92,'2900'!A180,'Daftar Koreksi'!$G$5:$G$92,"Aset Tak Berwujud",'Daftar Koreksi'!$H$5:$H$92,"&lt;0")-SUMIFS('Daftar Koreksi'!$H$5:$H$92,'Daftar Koreksi'!$D$5:$D$92,'2900'!A180,'Daftar Koreksi'!$G$5:$G$92,"Aset Tak Berwujud",'Daftar Koreksi'!$H$5:$H$92,"&lt;0")-SUMIFS('Daftar Koreksi'!$H$5:$H$92,'Daftar Koreksi'!$D$5:$D$92,'2900'!A180,'Daftar Koreksi'!$G$5:$G$92,"Aset Tak Berwujud",'Daftar Koreksi'!$H$5:$H$92,"&lt;0")</f>
        <v>0</v>
      </c>
      <c r="G190" s="17">
        <f t="shared" si="8"/>
        <v>20000000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50228162</v>
      </c>
      <c r="E191" s="25">
        <f>SUMIFS('Daftar Koreksi'!$H$5:$H$92,'Daftar Koreksi'!$D$5:$D$92,'2900'!A180,'Daftar Koreksi'!$G$5:$G$92,"Aset Henti Guna",'Daftar Koreksi'!$H$5:$H$92,"&gt;0")</f>
        <v>0</v>
      </c>
      <c r="F191" s="25">
        <f>SUMIFS('Daftar Koreksi'!$H$5:$H$92,'Daftar Koreksi'!$D$5:$D$92,'2900'!A180,'Daftar Koreksi'!$G$5:$G$92,"Aset Henti Guna",'Daftar Koreksi'!$H$5:$H$92,"&lt;0")-SUMIFS('Daftar Koreksi'!$H$5:$H$92,'Daftar Koreksi'!$D$5:$D$92,'2900'!A180,'Daftar Koreksi'!$G$5:$G$92,"Aset Henti Guna",'Daftar Koreksi'!$H$5:$H$92,"&lt;0")-SUMIFS('Daftar Koreksi'!$H$5:$H$92,'Daftar Koreksi'!$D$5:$D$92,'2900'!A180,'Daftar Koreksi'!$G$5:$G$92,"Aset Henti Guna",'Daftar Koreksi'!$H$5:$H$92,"&lt;0")</f>
        <v>0</v>
      </c>
      <c r="G191" s="17">
        <f t="shared" si="8"/>
        <v>50228162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17558246182</v>
      </c>
      <c r="E192" s="19">
        <f>SUM(E183:E191)</f>
        <v>0</v>
      </c>
      <c r="F192" s="19">
        <f>SUM(F183:F191)</f>
        <v>0</v>
      </c>
      <c r="G192" s="19">
        <f t="shared" si="8"/>
        <v>17558246182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-3157666518</v>
      </c>
      <c r="E193" s="25">
        <f>SUMIFS('Daftar Koreksi'!$I$5:$I$92,'Daftar Koreksi'!$D$5:$D$92,'2900'!A180,'Daftar Koreksi'!$G$5:$G$92,"Peralatan dan mesin",'Daftar Koreksi'!$I$5:$I$92,"&gt;0")</f>
        <v>0</v>
      </c>
      <c r="F193" s="25">
        <f>SUMIFS('Daftar Koreksi'!$I$5:$I$92,'Daftar Koreksi'!$D$5:$D$92,'2900'!A180,'Daftar Koreksi'!$G$5:$G$92,"Peralatan dan mesin",'Daftar Koreksi'!$I$5:$I$92,"&lt;0")-SUMIFS('Daftar Koreksi'!$I$5:$I$92,'Daftar Koreksi'!$D$5:$D$92,'2900'!A180,'Daftar Koreksi'!$G$5:$G$92,"Peralatan dan mesin",'Daftar Koreksi'!$I$5:$I$92,"&lt;0")-SUMIFS('Daftar Koreksi'!$I$5:$I$92,'Daftar Koreksi'!$D$5:$D$92,'2900'!A180,'Daftar Koreksi'!$G$5:$G$92,"Peralatan dan mesin",'Daftar Koreksi'!$I$5:$I$92,"&lt;0")</f>
        <v>0</v>
      </c>
      <c r="G193" s="17">
        <f t="shared" si="8"/>
        <v>-3157666518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-1514103338</v>
      </c>
      <c r="E194" s="25">
        <f>SUMIFS('Daftar Koreksi'!$I$5:$I$92,'Daftar Koreksi'!$D$5:$D$92,'2900'!A180,'Daftar Koreksi'!$G$5:$G$92,"Gedung dan Bangunan",'Daftar Koreksi'!$I$5:$I$92,"&gt;0")</f>
        <v>0</v>
      </c>
      <c r="F194" s="25">
        <f>SUMIFS('Daftar Koreksi'!$I$5:$I$92,'Daftar Koreksi'!$D$5:$D$92,'2900'!A180,'Daftar Koreksi'!$G$5:$G$92,"Gedung dan Bangunan",'Daftar Koreksi'!$I$5:$I$92,"&lt;0")-SUMIFS('Daftar Koreksi'!$I$5:$I$92,'Daftar Koreksi'!$D$5:$D$92,'2900'!A180,'Daftar Koreksi'!$G$5:$G$92,"Gedung dan Bangunan",'Daftar Koreksi'!$I$5:$I$92,"&lt;0")-SUMIFS('Daftar Koreksi'!$I$5:$I$92,'Daftar Koreksi'!$D$5:$D$92,'2900'!A180,'Daftar Koreksi'!$G$5:$G$92,"Gedung dan Bangunan",'Daftar Koreksi'!$I$5:$I$92,"&lt;0")</f>
        <v>0</v>
      </c>
      <c r="G194" s="17">
        <f t="shared" si="8"/>
        <v>-1514103338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-341771209</v>
      </c>
      <c r="E195" s="25">
        <f>SUMIFS('Daftar Koreksi'!$I$5:$I$92,'Daftar Koreksi'!$D$5:$D$92,'2900'!A180,'Daftar Koreksi'!$G$5:$G$92,"Jalan Irigasi Jaringan",'Daftar Koreksi'!$I$5:$I$92,"&gt;0")</f>
        <v>0</v>
      </c>
      <c r="F195" s="25">
        <f>SUMIFS('Daftar Koreksi'!$I$5:$I$92,'Daftar Koreksi'!$D$5:$D$92,'2900'!A180,'Daftar Koreksi'!$G$5:$G$92,"Jalan Irigasi Jaringan",'Daftar Koreksi'!$I$5:$I$92,"&lt;0")-SUMIFS('Daftar Koreksi'!$I$5:$I$92,'Daftar Koreksi'!$D$5:$D$92,'2900'!A180,'Daftar Koreksi'!$G$5:$G$92,"Jalan Irigasi Jaringan",'Daftar Koreksi'!$I$5:$I$92,"&lt;0")-SUMIFS('Daftar Koreksi'!$I$5:$I$92,'Daftar Koreksi'!$D$5:$D$92,'2900'!A180,'Daftar Koreksi'!$G$5:$G$92,"Jalan Irigasi Jaringan",'Daftar Koreksi'!$I$5:$I$92,"&lt;0")</f>
        <v>0</v>
      </c>
      <c r="G195" s="17">
        <f t="shared" si="8"/>
        <v>-341771209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Koreksi'!$D$5:$D$92,'2900'!A180,'Daftar Koreksi'!$G$5:$G$92,"Aset Tetap Lainnya",'Daftar Koreksi'!$I$5:$I$92,"&gt;0")</f>
        <v>0</v>
      </c>
      <c r="F196" s="25">
        <f>SUMIFS('Daftar Koreksi'!$I$5:$I$92,'Daftar Koreksi'!$D$5:$D$92,'2900'!A180,'Daftar Koreksi'!$G$5:$G$92,"Aset Tetap Lainnya",'Daftar Koreksi'!$I$5:$I$92,"&lt;0")-SUMIFS('Daftar Koreksi'!$I$5:$I$92,'Daftar Koreksi'!$D$5:$D$92,'2900'!A180,'Daftar Koreksi'!$G$5:$G$92,"Aset Tetap Lainnya",'Daftar Koreksi'!$I$5:$I$92,"&lt;0")-SUMIFS('Daftar Koreksi'!$I$5:$I$92,'Daftar Koreksi'!$D$5:$D$92,'2900'!A180,'Daftar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-43765662</v>
      </c>
      <c r="E197" s="25">
        <f>SUMIFS('Daftar Koreksi'!$I$5:$I$92,'Daftar Koreksi'!$D$5:$D$92,'2900'!A180,'Daftar Koreksi'!$G$5:$G$92,"Aset Henti Guna",'Daftar Koreksi'!$I$5:$I$92,"&gt;0")</f>
        <v>0</v>
      </c>
      <c r="F197" s="25">
        <f>SUMIFS('Daftar Koreksi'!$I$5:$I$92,'Daftar Koreksi'!$D$5:$D$92,'2900'!A180,'Daftar Koreksi'!$G$5:$G$92,"Aset Henti Guna",'Daftar Koreksi'!$I$5:$I$92,"&lt;0")-SUMIFS('Daftar Koreksi'!$I$5:$I$92,'Daftar Koreksi'!$D$5:$D$92,'2900'!A180,'Daftar Koreksi'!$G$5:$G$92,"Aset Henti Guna",'Daftar Koreksi'!$I$5:$I$92,"&lt;0")-SUMIFS('Daftar Koreksi'!$I$5:$I$92,'Daftar Koreksi'!$D$5:$D$92,'2900'!A180,'Daftar Koreksi'!$G$5:$G$92,"Aset Henti Guna",'Daftar Koreksi'!$I$5:$I$92,"&lt;0")</f>
        <v>0</v>
      </c>
      <c r="G197" s="17">
        <f t="shared" si="8"/>
        <v>-43765662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-5057306727</v>
      </c>
      <c r="E198" s="19">
        <f>SUM(E193:E197)</f>
        <v>0</v>
      </c>
      <c r="F198" s="19">
        <f>SUM(F193:F197)</f>
        <v>0</v>
      </c>
      <c r="G198" s="19">
        <f t="shared" si="8"/>
        <v>-5057306727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12500939455</v>
      </c>
      <c r="E199" s="19">
        <f>E198+E192</f>
        <v>0</v>
      </c>
      <c r="F199" s="19">
        <f>F198+F192</f>
        <v>0</v>
      </c>
      <c r="G199" s="19">
        <f t="shared" si="8"/>
        <v>12500939455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005012900604723000KD</v>
      </c>
      <c r="B202" s="11" t="str">
        <f>P10</f>
        <v>PA. Tigaraksa</v>
      </c>
      <c r="C202" s="12" t="str">
        <f>A202&amp;" "&amp;B202</f>
        <v>005012900604723000KD PA. Tigaraksa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58000</v>
      </c>
      <c r="E205" s="25">
        <f>SUMIFS('Daftar Koreksi'!$H$5:$H$92,'Daftar Koreksi'!$D$5:$D$92,'2900'!A202,'Daftar Koreksi'!$G$5:$G$92,"Persediaan",'Daftar Koreksi'!$H$5:$H$92,"&gt;0")</f>
        <v>0</v>
      </c>
      <c r="F205" s="25">
        <f>SUMIFS('Daftar Koreksi'!$H$5:$H$92,'Daftar Koreksi'!$D$5:$D$92,'2900'!A202,'Daftar Koreksi'!$G$5:$G$92,"Persediaan",'Daftar Koreksi'!$H$5:$H$92,"&lt;0")-SUMIFS('Daftar Koreksi'!$H$5:$H$92,'Daftar Koreksi'!$D$5:$D$92,'2900'!A202,'Daftar Koreksi'!$G$5:$G$92,"Persediaan",'Daftar Koreksi'!$H$5:$H$92,"&lt;0")-SUMIFS('Daftar Koreksi'!$H$5:$H$92,'Daftar Koreksi'!$D$5:$D$92,'2900'!A202,'Daftar Koreksi'!$G$5:$G$92,"Persediaan",'Daftar Koreksi'!$H$5:$H$92,"&lt;0")</f>
        <v>0</v>
      </c>
      <c r="G205" s="17">
        <f>D205+E205-F205</f>
        <v>58000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483000000</v>
      </c>
      <c r="E206" s="25">
        <f>SUMIFS('Daftar Koreksi'!$H$5:$H$92,'Daftar Koreksi'!$D$5:$D$92,'2900'!A202,'Daftar Koreksi'!$G$5:$G$92,"Tanah",'Daftar Koreksi'!$H$5:$H$92,"&gt;0")</f>
        <v>0</v>
      </c>
      <c r="F206" s="25">
        <f>SUMIFS('Daftar Koreksi'!$H$5:$H$92,'Daftar Koreksi'!$D$5:$D$92,'2900'!A202,'Daftar Koreksi'!$G$5:$G$92,"Tanah",'Daftar Koreksi'!$H$5:$H$92,"&lt;0")-SUMIFS('Daftar Koreksi'!$H$5:$H$92,'Daftar Koreksi'!$D$5:$D$92,'2900'!A202,'Daftar Koreksi'!$G$5:$G$92,"Tanah",'Daftar Koreksi'!$H$5:$H$92,"&lt;0")-SUMIFS('Daftar Koreksi'!$H$5:$H$92,'Daftar Koreksi'!$D$5:$D$92,'2900'!A202,'Daftar Koreksi'!$G$5:$G$92,"Tanah",'Daftar Koreksi'!$H$5:$H$92,"&lt;0")</f>
        <v>0</v>
      </c>
      <c r="G206" s="17">
        <f t="shared" ref="G206:G222" si="9">D206+E206-F206</f>
        <v>483000000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1520820769</v>
      </c>
      <c r="E207" s="25">
        <f>SUMIFS('Daftar Koreksi'!$H$5:$H$92,'Daftar Koreksi'!$D$5:$D$92,'2900'!A202,'Daftar Koreksi'!$G$5:$G$92,"Peralatan dan mesin",'Daftar Koreksi'!$H$5:$H$92,"&gt;0")</f>
        <v>0</v>
      </c>
      <c r="F207" s="25">
        <f>SUMIFS('Daftar Koreksi'!$H$5:$H$92,'Daftar Koreksi'!$D$5:$D$92,'2900'!A202,'Daftar Koreksi'!$G$5:$G$92,"Peralatan dan mesin",'Daftar Koreksi'!$H$5:$H$92,"&lt;0")-SUMIFS('Daftar Koreksi'!$H$5:$H$92,'Daftar Koreksi'!$D$5:$D$92,'2900'!A202,'Daftar Koreksi'!$G$5:$G$92,"Peralatan dan mesin",'Daftar Koreksi'!$H$5:$H$92,"&lt;0")-SUMIFS('Daftar Koreksi'!$H$5:$H$92,'Daftar Koreksi'!$D$5:$D$92,'2900'!A202,'Daftar Koreksi'!$G$5:$G$92,"Peralatan dan mesin",'Daftar Koreksi'!$H$5:$H$92,"&lt;0")</f>
        <v>0</v>
      </c>
      <c r="G207" s="17">
        <f t="shared" si="9"/>
        <v>1520820769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7850149400</v>
      </c>
      <c r="E208" s="25">
        <f>SUMIFS('Daftar Koreksi'!$H$5:$H$92,'Daftar Koreksi'!$D$5:$D$92,'2900'!A202,'Daftar Koreksi'!$G$5:$G$92,"Gedung dan Bangunan",'Daftar Koreksi'!$H$5:$H$92,"&gt;0")</f>
        <v>0</v>
      </c>
      <c r="F208" s="25">
        <f>SUMIFS('Daftar Koreksi'!$H$5:$H$92,'Daftar Koreksi'!$D$5:$D$92,'2900'!A202,'Daftar Koreksi'!$G$5:$G$92,"Gedung dan Bangunan",'Daftar Koreksi'!$H$5:$H$92,"&lt;0")-SUMIFS('Daftar Koreksi'!$H$5:$H$92,'Daftar Koreksi'!$D$5:$D$92,'2900'!A202,'Daftar Koreksi'!$G$5:$G$92,"Gedung dan Bangunan",'Daftar Koreksi'!$H$5:$H$92,"&lt;0")-SUMIFS('Daftar Koreksi'!$H$5:$H$92,'Daftar Koreksi'!$D$5:$D$92,'2900'!A202,'Daftar Koreksi'!$G$5:$G$92,"Gedung dan Bangunan",'Daftar Koreksi'!$H$5:$H$92,"&lt;0")</f>
        <v>0</v>
      </c>
      <c r="G208" s="17">
        <f t="shared" si="9"/>
        <v>7850149400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Koreksi'!$D$5:$D$92,'2900'!A202,'Daftar Koreksi'!$G$5:$G$92,"Jalan Irigasi Jaringan",'Daftar Koreksi'!$H$5:$H$92,"&gt;0")</f>
        <v>0</v>
      </c>
      <c r="F209" s="25">
        <f>SUMIFS('Daftar Koreksi'!$H$5:$H$92,'Daftar Koreksi'!$D$5:$D$92,'2900'!A202,'Daftar Koreksi'!$G$5:$G$92,"Jalan Irigasi Jaringan",'Daftar Koreksi'!$H$5:$H$92,"&lt;0")-SUMIFS('Daftar Koreksi'!$H$5:$H$92,'Daftar Koreksi'!$D$5:$D$92,'2900'!A202,'Daftar Koreksi'!$G$5:$G$92,"Jalan Irigasi Jaringan",'Daftar Koreksi'!$H$5:$H$92,"&lt;0")-SUMIFS('Daftar Koreksi'!$H$5:$H$92,'Daftar Koreksi'!$D$5:$D$92,'2900'!A202,'Daftar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408000</v>
      </c>
      <c r="E210" s="25">
        <f>SUMIFS('Daftar Koreksi'!$H$5:$H$92,'Daftar Koreksi'!$D$5:$D$92,'2900'!A202,'Daftar Koreksi'!$G$5:$G$92,"Aset Tetap Lainnya",'Daftar Koreksi'!$H$5:$H$92,"&gt;0")</f>
        <v>0</v>
      </c>
      <c r="F210" s="25">
        <f>SUMIFS('Daftar Koreksi'!$H$5:$H$92,'Daftar Koreksi'!$D$5:$D$92,'2900'!A202,'Daftar Koreksi'!$G$5:$G$92,"Aset Tetap Lainnya",'Daftar Koreksi'!$H$5:$H$92,"&lt;0")-SUMIFS('Daftar Koreksi'!$H$5:$H$92,'Daftar Koreksi'!$D$5:$D$92,'2900'!A202,'Daftar Koreksi'!$G$5:$G$92,"Aset Tetap Lainnya",'Daftar Koreksi'!$H$5:$H$92,"&lt;0")-SUMIFS('Daftar Koreksi'!$H$5:$H$92,'Daftar Koreksi'!$D$5:$D$92,'2900'!A202,'Daftar Koreksi'!$G$5:$G$92,"Aset Tetap Lainnya",'Daftar Koreksi'!$H$5:$H$92,"&lt;0")</f>
        <v>0</v>
      </c>
      <c r="G210" s="17">
        <f t="shared" si="9"/>
        <v>408000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467030000</v>
      </c>
      <c r="E211" s="25">
        <f>SUMIFS('Daftar Koreksi'!$H$5:$H$92,'Daftar Koreksi'!$D$5:$D$92,'2900'!A202,'Daftar Koreksi'!$G$5:$G$92,"Kontruksi Dalam Pengerjaan",'Daftar Koreksi'!$H$5:$H$92,"&gt;0")</f>
        <v>0</v>
      </c>
      <c r="F211" s="25">
        <f>SUMIFS('Daftar Koreksi'!$H$5:$H$92,'Daftar Koreksi'!$D$5:$D$92,'2900'!A202,'Daftar Koreksi'!$G$5:$G$92,"Kontruksi Dalam Pengerjaan",'Daftar Koreksi'!$H$5:$H$92,"&lt;0")-SUMIFS('Daftar Koreksi'!$H$5:$H$92,'Daftar Koreksi'!$D$5:$D$92,'2900'!A202,'Daftar Koreksi'!$G$5:$G$92,"Kontruksi Dalam Pengerjaan",'Daftar Koreksi'!$H$5:$H$92,"&lt;0")-SUMIFS('Daftar Koreksi'!$H$5:$H$92,'Daftar Koreksi'!$D$5:$D$92,'2900'!A202,'Daftar Koreksi'!$G$5:$G$92,"Kontruksi Dalam Pengerjaan",'Daftar Koreksi'!$H$5:$H$92,"&lt;0")</f>
        <v>0</v>
      </c>
      <c r="G211" s="17">
        <f t="shared" si="9"/>
        <v>467030000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Koreksi'!$D$5:$D$92,'2900'!A202,'Daftar Koreksi'!$G$5:$G$92,"Aset Tak Berwujud",'Daftar Koreksi'!$H$5:$H$92,"&gt;0")</f>
        <v>0</v>
      </c>
      <c r="F212" s="25">
        <f>SUMIFS('Daftar Koreksi'!$H$5:$H$92,'Daftar Koreksi'!$D$5:$D$92,'2900'!A202,'Daftar Koreksi'!$G$5:$G$92,"Aset Tak Berwujud",'Daftar Koreksi'!$H$5:$H$92,"&lt;0")-SUMIFS('Daftar Koreksi'!$H$5:$H$92,'Daftar Koreksi'!$D$5:$D$92,'2900'!A202,'Daftar Koreksi'!$G$5:$G$92,"Aset Tak Berwujud",'Daftar Koreksi'!$H$5:$H$92,"&lt;0")-SUMIFS('Daftar Koreksi'!$H$5:$H$92,'Daftar Koreksi'!$D$5:$D$92,'2900'!A202,'Daftar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110582910</v>
      </c>
      <c r="E213" s="25">
        <f>SUMIFS('Daftar Koreksi'!$H$5:$H$92,'Daftar Koreksi'!$D$5:$D$92,'2900'!A202,'Daftar Koreksi'!$G$5:$G$92,"Aset Henti Guna",'Daftar Koreksi'!$H$5:$H$92,"&gt;0")</f>
        <v>0</v>
      </c>
      <c r="F213" s="25">
        <f>SUMIFS('Daftar Koreksi'!$H$5:$H$92,'Daftar Koreksi'!$D$5:$D$92,'2900'!A202,'Daftar Koreksi'!$G$5:$G$92,"Aset Henti Guna",'Daftar Koreksi'!$H$5:$H$92,"&lt;0")-SUMIFS('Daftar Koreksi'!$H$5:$H$92,'Daftar Koreksi'!$D$5:$D$92,'2900'!A202,'Daftar Koreksi'!$G$5:$G$92,"Aset Henti Guna",'Daftar Koreksi'!$H$5:$H$92,"&lt;0")-SUMIFS('Daftar Koreksi'!$H$5:$H$92,'Daftar Koreksi'!$D$5:$D$92,'2900'!A202,'Daftar Koreksi'!$G$5:$G$92,"Aset Henti Guna",'Daftar Koreksi'!$H$5:$H$92,"&lt;0")</f>
        <v>0</v>
      </c>
      <c r="G213" s="17">
        <f t="shared" si="9"/>
        <v>110582910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10432049079</v>
      </c>
      <c r="E214" s="19">
        <f>SUM(E205:E213)</f>
        <v>0</v>
      </c>
      <c r="F214" s="19">
        <f>SUM(F205:F213)</f>
        <v>0</v>
      </c>
      <c r="G214" s="19">
        <f t="shared" si="9"/>
        <v>10432049079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-1191379606</v>
      </c>
      <c r="E215" s="25">
        <f>SUMIFS('Daftar Koreksi'!$I$5:$I$92,'Daftar Koreksi'!$D$5:$D$92,'2900'!A202,'Daftar Koreksi'!$G$5:$G$92,"Peralatan dan mesin",'Daftar Koreksi'!$I$5:$I$92,"&gt;0")</f>
        <v>0</v>
      </c>
      <c r="F215" s="25">
        <f>SUMIFS('Daftar Koreksi'!$I$5:$I$92,'Daftar Koreksi'!$D$5:$D$92,'2900'!A202,'Daftar Koreksi'!$G$5:$G$92,"Peralatan dan mesin",'Daftar Koreksi'!$I$5:$I$92,"&lt;0")-SUMIFS('Daftar Koreksi'!$I$5:$I$92,'Daftar Koreksi'!$D$5:$D$92,'2900'!A202,'Daftar Koreksi'!$G$5:$G$92,"Peralatan dan mesin",'Daftar Koreksi'!$I$5:$I$92,"&lt;0")-SUMIFS('Daftar Koreksi'!$I$5:$I$92,'Daftar Koreksi'!$D$5:$D$92,'2900'!A202,'Daftar Koreksi'!$G$5:$G$92,"Peralatan dan mesin",'Daftar Koreksi'!$I$5:$I$92,"&lt;0")</f>
        <v>0</v>
      </c>
      <c r="G215" s="17">
        <f t="shared" si="9"/>
        <v>-1191379606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-585159342</v>
      </c>
      <c r="E216" s="25">
        <f>SUMIFS('Daftar Koreksi'!$I$5:$I$92,'Daftar Koreksi'!$D$5:$D$92,'2900'!A202,'Daftar Koreksi'!$G$5:$G$92,"Gedung dan Bangunan",'Daftar Koreksi'!$I$5:$I$92,"&gt;0")</f>
        <v>0</v>
      </c>
      <c r="F216" s="25">
        <f>SUMIFS('Daftar Koreksi'!$I$5:$I$92,'Daftar Koreksi'!$D$5:$D$92,'2900'!A202,'Daftar Koreksi'!$G$5:$G$92,"Gedung dan Bangunan",'Daftar Koreksi'!$I$5:$I$92,"&lt;0")-SUMIFS('Daftar Koreksi'!$I$5:$I$92,'Daftar Koreksi'!$D$5:$D$92,'2900'!A202,'Daftar Koreksi'!$G$5:$G$92,"Gedung dan Bangunan",'Daftar Koreksi'!$I$5:$I$92,"&lt;0")-SUMIFS('Daftar Koreksi'!$I$5:$I$92,'Daftar Koreksi'!$D$5:$D$92,'2900'!A202,'Daftar Koreksi'!$G$5:$G$92,"Gedung dan Bangunan",'Daftar Koreksi'!$I$5:$I$92,"&lt;0")</f>
        <v>0</v>
      </c>
      <c r="G216" s="17">
        <f t="shared" si="9"/>
        <v>-585159342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Koreksi'!$D$5:$D$92,'2900'!A202,'Daftar Koreksi'!$G$5:$G$92,"Jalan Irigasi Jaringan",'Daftar Koreksi'!$I$5:$I$92,"&gt;0")</f>
        <v>0</v>
      </c>
      <c r="F217" s="25">
        <f>SUMIFS('Daftar Koreksi'!$I$5:$I$92,'Daftar Koreksi'!$D$5:$D$92,'2900'!A202,'Daftar Koreksi'!$G$5:$G$92,"Jalan Irigasi Jaringan",'Daftar Koreksi'!$I$5:$I$92,"&lt;0")-SUMIFS('Daftar Koreksi'!$I$5:$I$92,'Daftar Koreksi'!$D$5:$D$92,'2900'!A202,'Daftar Koreksi'!$G$5:$G$92,"Jalan Irigasi Jaringan",'Daftar Koreksi'!$I$5:$I$92,"&lt;0")-SUMIFS('Daftar Koreksi'!$I$5:$I$92,'Daftar Koreksi'!$D$5:$D$92,'2900'!A202,'Daftar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Koreksi'!$D$5:$D$92,'2900'!A202,'Daftar Koreksi'!$G$5:$G$92,"Aset Tetap Lainnya",'Daftar Koreksi'!$I$5:$I$92,"&gt;0")</f>
        <v>0</v>
      </c>
      <c r="F218" s="25">
        <f>SUMIFS('Daftar Koreksi'!$I$5:$I$92,'Daftar Koreksi'!$D$5:$D$92,'2900'!A202,'Daftar Koreksi'!$G$5:$G$92,"Aset Tetap Lainnya",'Daftar Koreksi'!$I$5:$I$92,"&lt;0")-SUMIFS('Daftar Koreksi'!$I$5:$I$92,'Daftar Koreksi'!$D$5:$D$92,'2900'!A202,'Daftar Koreksi'!$G$5:$G$92,"Aset Tetap Lainnya",'Daftar Koreksi'!$I$5:$I$92,"&lt;0")-SUMIFS('Daftar Koreksi'!$I$5:$I$92,'Daftar Koreksi'!$D$5:$D$92,'2900'!A202,'Daftar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-110582910</v>
      </c>
      <c r="E219" s="25">
        <f>SUMIFS('Daftar Koreksi'!$I$5:$I$92,'Daftar Koreksi'!$D$5:$D$92,'2900'!A202,'Daftar Koreksi'!$G$5:$G$92,"Aset Henti Guna",'Daftar Koreksi'!$I$5:$I$92,"&gt;0")</f>
        <v>0</v>
      </c>
      <c r="F219" s="25">
        <f>SUMIFS('Daftar Koreksi'!$I$5:$I$92,'Daftar Koreksi'!$D$5:$D$92,'2900'!A202,'Daftar Koreksi'!$G$5:$G$92,"Aset Henti Guna",'Daftar Koreksi'!$I$5:$I$92,"&lt;0")-SUMIFS('Daftar Koreksi'!$I$5:$I$92,'Daftar Koreksi'!$D$5:$D$92,'2900'!A202,'Daftar Koreksi'!$G$5:$G$92,"Aset Henti Guna",'Daftar Koreksi'!$I$5:$I$92,"&lt;0")-SUMIFS('Daftar Koreksi'!$I$5:$I$92,'Daftar Koreksi'!$D$5:$D$92,'2900'!A202,'Daftar Koreksi'!$G$5:$G$92,"Aset Henti Guna",'Daftar Koreksi'!$I$5:$I$92,"&lt;0")</f>
        <v>0</v>
      </c>
      <c r="G219" s="17">
        <f t="shared" si="9"/>
        <v>-110582910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-1887121858</v>
      </c>
      <c r="E220" s="19">
        <f>SUM(E215:E219)</f>
        <v>0</v>
      </c>
      <c r="F220" s="19">
        <f>SUM(F215:F219)</f>
        <v>0</v>
      </c>
      <c r="G220" s="19">
        <f t="shared" si="9"/>
        <v>-1887121858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8544927221</v>
      </c>
      <c r="E221" s="19">
        <f>E220+E214</f>
        <v>0</v>
      </c>
      <c r="F221" s="19">
        <f>F220+F214</f>
        <v>0</v>
      </c>
      <c r="G221" s="19">
        <f t="shared" si="9"/>
        <v>8544927221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005012900652076000KD</v>
      </c>
      <c r="B224" s="11" t="str">
        <f>P11</f>
        <v>PA. Cilegon</v>
      </c>
      <c r="C224" s="12" t="str">
        <f>A224&amp;" "&amp;B224</f>
        <v>005012900652076000KD PA. Cilegon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3417060</v>
      </c>
      <c r="E227" s="25">
        <f>SUMIFS('Daftar Koreksi'!$H$5:$H$92,'Daftar Koreksi'!$D$5:$D$92,'2900'!A224,'Daftar Koreksi'!$G$5:$G$92,"Persediaan",'Daftar Koreksi'!$H$5:$H$92,"&gt;0")</f>
        <v>0</v>
      </c>
      <c r="F227" s="25">
        <f>SUMIFS('Daftar Koreksi'!$H$5:$H$92,'Daftar Koreksi'!$D$5:$D$92,'2900'!A224,'Daftar Koreksi'!$G$5:$G$92,"Persediaan",'Daftar Koreksi'!$H$5:$H$92,"&lt;0")-SUMIFS('Daftar Koreksi'!$H$5:$H$92,'Daftar Koreksi'!$D$5:$D$92,'2900'!A224,'Daftar Koreksi'!$G$5:$G$92,"Persediaan",'Daftar Koreksi'!$H$5:$H$92,"&lt;0")-SUMIFS('Daftar Koreksi'!$H$5:$H$92,'Daftar Koreksi'!$D$5:$D$92,'2900'!A224,'Daftar Koreksi'!$G$5:$G$92,"Persediaan",'Daftar Koreksi'!$H$5:$H$92,"&lt;0")</f>
        <v>0</v>
      </c>
      <c r="G227" s="17">
        <f>D227+E227-F227</f>
        <v>3417060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1992524000</v>
      </c>
      <c r="E228" s="25">
        <f>SUMIFS('Daftar Koreksi'!$H$5:$H$92,'Daftar Koreksi'!$D$5:$D$92,'2900'!A224,'Daftar Koreksi'!$G$5:$G$92,"Tanah",'Daftar Koreksi'!$H$5:$H$92,"&gt;0")</f>
        <v>0</v>
      </c>
      <c r="F228" s="25">
        <f>SUMIFS('Daftar Koreksi'!$H$5:$H$92,'Daftar Koreksi'!$D$5:$D$92,'2900'!A224,'Daftar Koreksi'!$G$5:$G$92,"Tanah",'Daftar Koreksi'!$H$5:$H$92,"&lt;0")-SUMIFS('Daftar Koreksi'!$H$5:$H$92,'Daftar Koreksi'!$D$5:$D$92,'2900'!A224,'Daftar Koreksi'!$G$5:$G$92,"Tanah",'Daftar Koreksi'!$H$5:$H$92,"&lt;0")-SUMIFS('Daftar Koreksi'!$H$5:$H$92,'Daftar Koreksi'!$D$5:$D$92,'2900'!A224,'Daftar Koreksi'!$G$5:$G$92,"Tanah",'Daftar Koreksi'!$H$5:$H$92,"&lt;0")</f>
        <v>0</v>
      </c>
      <c r="G228" s="17">
        <f t="shared" ref="G228:G244" si="10">D228+E228-F228</f>
        <v>1992524000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1141205796</v>
      </c>
      <c r="E229" s="25">
        <f>SUMIFS('Daftar Koreksi'!$H$5:$H$92,'Daftar Koreksi'!$D$5:$D$92,'2900'!A224,'Daftar Koreksi'!$G$5:$G$92,"Peralatan dan mesin",'Daftar Koreksi'!$H$5:$H$92,"&gt;0")</f>
        <v>0</v>
      </c>
      <c r="F229" s="25">
        <f>SUMIFS('Daftar Koreksi'!$H$5:$H$92,'Daftar Koreksi'!$D$5:$D$92,'2900'!A224,'Daftar Koreksi'!$G$5:$G$92,"Peralatan dan mesin",'Daftar Koreksi'!$H$5:$H$92,"&lt;0")-SUMIFS('Daftar Koreksi'!$H$5:$H$92,'Daftar Koreksi'!$D$5:$D$92,'2900'!A224,'Daftar Koreksi'!$G$5:$G$92,"Peralatan dan mesin",'Daftar Koreksi'!$H$5:$H$92,"&lt;0")-SUMIFS('Daftar Koreksi'!$H$5:$H$92,'Daftar Koreksi'!$D$5:$D$92,'2900'!A224,'Daftar Koreksi'!$G$5:$G$92,"Peralatan dan mesin",'Daftar Koreksi'!$H$5:$H$92,"&lt;0")</f>
        <v>0</v>
      </c>
      <c r="G229" s="17">
        <f t="shared" si="10"/>
        <v>1141205796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2486830008</v>
      </c>
      <c r="E230" s="25">
        <f>SUMIFS('Daftar Koreksi'!$H$5:$H$92,'Daftar Koreksi'!$D$5:$D$92,'2900'!A224,'Daftar Koreksi'!$G$5:$G$92,"Gedung dan Bangunan",'Daftar Koreksi'!$H$5:$H$92,"&gt;0")</f>
        <v>0</v>
      </c>
      <c r="F230" s="25">
        <f>SUMIFS('Daftar Koreksi'!$H$5:$H$92,'Daftar Koreksi'!$D$5:$D$92,'2900'!A224,'Daftar Koreksi'!$G$5:$G$92,"Gedung dan Bangunan",'Daftar Koreksi'!$H$5:$H$92,"&lt;0")-SUMIFS('Daftar Koreksi'!$H$5:$H$92,'Daftar Koreksi'!$D$5:$D$92,'2900'!A224,'Daftar Koreksi'!$G$5:$G$92,"Gedung dan Bangunan",'Daftar Koreksi'!$H$5:$H$92,"&lt;0")-SUMIFS('Daftar Koreksi'!$H$5:$H$92,'Daftar Koreksi'!$D$5:$D$92,'2900'!A224,'Daftar Koreksi'!$G$5:$G$92,"Gedung dan Bangunan",'Daftar Koreksi'!$H$5:$H$92,"&lt;0")</f>
        <v>0</v>
      </c>
      <c r="G230" s="17">
        <f t="shared" si="10"/>
        <v>2486830008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0</v>
      </c>
      <c r="E231" s="25">
        <f>SUMIFS('Daftar Koreksi'!$H$5:$H$92,'Daftar Koreksi'!$D$5:$D$92,'2900'!A224,'Daftar Koreksi'!$G$5:$G$92,"Jalan Irigasi Jaringan",'Daftar Koreksi'!$H$5:$H$92,"&gt;0")</f>
        <v>0</v>
      </c>
      <c r="F231" s="25">
        <f>SUMIFS('Daftar Koreksi'!$H$5:$H$92,'Daftar Koreksi'!$D$5:$D$92,'2900'!A224,'Daftar Koreksi'!$G$5:$G$92,"Jalan Irigasi Jaringan",'Daftar Koreksi'!$H$5:$H$92,"&lt;0")-SUMIFS('Daftar Koreksi'!$H$5:$H$92,'Daftar Koreksi'!$D$5:$D$92,'2900'!A224,'Daftar Koreksi'!$G$5:$G$92,"Jalan Irigasi Jaringan",'Daftar Koreksi'!$H$5:$H$92,"&lt;0")-SUMIFS('Daftar Koreksi'!$H$5:$H$92,'Daftar Koreksi'!$D$5:$D$92,'2900'!A224,'Daftar Koreksi'!$G$5:$G$92,"Jalan Irigasi Jaringan",'Daftar Koreksi'!$H$5:$H$92,"&lt;0")</f>
        <v>0</v>
      </c>
      <c r="G231" s="17">
        <f t="shared" si="10"/>
        <v>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18039148</v>
      </c>
      <c r="E232" s="25">
        <f>SUMIFS('Daftar Koreksi'!$H$5:$H$92,'Daftar Koreksi'!$D$5:$D$92,'2900'!A224,'Daftar Koreksi'!$G$5:$G$92,"Aset Tetap Lainnya",'Daftar Koreksi'!$H$5:$H$92,"&gt;0")</f>
        <v>0</v>
      </c>
      <c r="F232" s="25">
        <f>SUMIFS('Daftar Koreksi'!$H$5:$H$92,'Daftar Koreksi'!$D$5:$D$92,'2900'!A224,'Daftar Koreksi'!$G$5:$G$92,"Aset Tetap Lainnya",'Daftar Koreksi'!$H$5:$H$92,"&lt;0")-SUMIFS('Daftar Koreksi'!$H$5:$H$92,'Daftar Koreksi'!$D$5:$D$92,'2900'!A224,'Daftar Koreksi'!$G$5:$G$92,"Aset Tetap Lainnya",'Daftar Koreksi'!$H$5:$H$92,"&lt;0")-SUMIFS('Daftar Koreksi'!$H$5:$H$92,'Daftar Koreksi'!$D$5:$D$92,'2900'!A224,'Daftar Koreksi'!$G$5:$G$92,"Aset Tetap Lainnya",'Daftar Koreksi'!$H$5:$H$92,"&lt;0")</f>
        <v>0</v>
      </c>
      <c r="G232" s="17">
        <f t="shared" si="10"/>
        <v>18039148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7608155000</v>
      </c>
      <c r="E233" s="25">
        <f>SUMIFS('Daftar Koreksi'!$H$5:$H$92,'Daftar Koreksi'!$D$5:$D$92,'2900'!A224,'Daftar Koreksi'!$G$5:$G$92,"Kontruksi Dalam Pengerjaan",'Daftar Koreksi'!$H$5:$H$92,"&gt;0")</f>
        <v>0</v>
      </c>
      <c r="F233" s="25">
        <f>SUMIFS('Daftar Koreksi'!$H$5:$H$92,'Daftar Koreksi'!$D$5:$D$92,'2900'!A224,'Daftar Koreksi'!$G$5:$G$92,"Kontruksi Dalam Pengerjaan",'Daftar Koreksi'!$H$5:$H$92,"&lt;0")-SUMIFS('Daftar Koreksi'!$H$5:$H$92,'Daftar Koreksi'!$D$5:$D$92,'2900'!A224,'Daftar Koreksi'!$G$5:$G$92,"Kontruksi Dalam Pengerjaan",'Daftar Koreksi'!$H$5:$H$92,"&lt;0")-SUMIFS('Daftar Koreksi'!$H$5:$H$92,'Daftar Koreksi'!$D$5:$D$92,'2900'!A224,'Daftar Koreksi'!$G$5:$G$92,"Kontruksi Dalam Pengerjaan",'Daftar Koreksi'!$H$5:$H$92,"&lt;0")</f>
        <v>0</v>
      </c>
      <c r="G233" s="17">
        <f t="shared" si="10"/>
        <v>7608155000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Koreksi'!$D$5:$D$92,'2900'!A224,'Daftar Koreksi'!$G$5:$G$92,"Aset Tak Berwujud",'Daftar Koreksi'!$H$5:$H$92,"&gt;0")</f>
        <v>0</v>
      </c>
      <c r="F234" s="25">
        <f>SUMIFS('Daftar Koreksi'!$H$5:$H$92,'Daftar Koreksi'!$D$5:$D$92,'2900'!A224,'Daftar Koreksi'!$G$5:$G$92,"Aset Tak Berwujud",'Daftar Koreksi'!$H$5:$H$92,"&lt;0")-SUMIFS('Daftar Koreksi'!$H$5:$H$92,'Daftar Koreksi'!$D$5:$D$92,'2900'!A224,'Daftar Koreksi'!$G$5:$G$92,"Aset Tak Berwujud",'Daftar Koreksi'!$H$5:$H$92,"&lt;0")-SUMIFS('Daftar Koreksi'!$H$5:$H$92,'Daftar Koreksi'!$D$5:$D$92,'2900'!A224,'Daftar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34277530</v>
      </c>
      <c r="E235" s="25">
        <f>SUMIFS('Daftar Koreksi'!$H$5:$H$92,'Daftar Koreksi'!$D$5:$D$92,'2900'!A224,'Daftar Koreksi'!$G$5:$G$92,"Aset Henti Guna",'Daftar Koreksi'!$H$5:$H$92,"&gt;0")</f>
        <v>0</v>
      </c>
      <c r="F235" s="25">
        <f>SUMIFS('Daftar Koreksi'!$H$5:$H$92,'Daftar Koreksi'!$D$5:$D$92,'2900'!A224,'Daftar Koreksi'!$G$5:$G$92,"Aset Henti Guna",'Daftar Koreksi'!$H$5:$H$92,"&lt;0")-SUMIFS('Daftar Koreksi'!$H$5:$H$92,'Daftar Koreksi'!$D$5:$D$92,'2900'!A224,'Daftar Koreksi'!$G$5:$G$92,"Aset Henti Guna",'Daftar Koreksi'!$H$5:$H$92,"&lt;0")-SUMIFS('Daftar Koreksi'!$H$5:$H$92,'Daftar Koreksi'!$D$5:$D$92,'2900'!A224,'Daftar Koreksi'!$G$5:$G$92,"Aset Henti Guna",'Daftar Koreksi'!$H$5:$H$92,"&lt;0")</f>
        <v>0</v>
      </c>
      <c r="G235" s="17">
        <f t="shared" si="10"/>
        <v>34277530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13284448542</v>
      </c>
      <c r="E236" s="19">
        <f>SUM(E227:E235)</f>
        <v>0</v>
      </c>
      <c r="F236" s="19">
        <f>SUM(F227:F235)</f>
        <v>0</v>
      </c>
      <c r="G236" s="19">
        <f t="shared" si="10"/>
        <v>13284448542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-1082684825</v>
      </c>
      <c r="E237" s="25">
        <f>SUMIFS('Daftar Koreksi'!$I$5:$I$92,'Daftar Koreksi'!$D$5:$D$92,'2900'!A224,'Daftar Koreksi'!$G$5:$G$92,"Peralatan dan mesin",'Daftar Koreksi'!$I$5:$I$92,"&gt;0")</f>
        <v>0</v>
      </c>
      <c r="F237" s="25">
        <f>SUMIFS('Daftar Koreksi'!$I$5:$I$92,'Daftar Koreksi'!$D$5:$D$92,'2900'!A224,'Daftar Koreksi'!$G$5:$G$92,"Peralatan dan mesin",'Daftar Koreksi'!$I$5:$I$92,"&lt;0")-SUMIFS('Daftar Koreksi'!$I$5:$I$92,'Daftar Koreksi'!$D$5:$D$92,'2900'!A224,'Daftar Koreksi'!$G$5:$G$92,"Peralatan dan mesin",'Daftar Koreksi'!$I$5:$I$92,"&lt;0")-SUMIFS('Daftar Koreksi'!$I$5:$I$92,'Daftar Koreksi'!$D$5:$D$92,'2900'!A224,'Daftar Koreksi'!$G$5:$G$92,"Peralatan dan mesin",'Daftar Koreksi'!$I$5:$I$92,"&lt;0")</f>
        <v>0</v>
      </c>
      <c r="G237" s="17">
        <f t="shared" si="10"/>
        <v>-1082684825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-470069101</v>
      </c>
      <c r="E238" s="25">
        <f>SUMIFS('Daftar Koreksi'!$I$5:$I$92,'Daftar Koreksi'!$D$5:$D$92,'2900'!A224,'Daftar Koreksi'!$G$5:$G$92,"Gedung dan Bangunan",'Daftar Koreksi'!$I$5:$I$92,"&gt;0")</f>
        <v>0</v>
      </c>
      <c r="F238" s="25">
        <f>SUMIFS('Daftar Koreksi'!$I$5:$I$92,'Daftar Koreksi'!$D$5:$D$92,'2900'!A224,'Daftar Koreksi'!$G$5:$G$92,"Gedung dan Bangunan",'Daftar Koreksi'!$I$5:$I$92,"&lt;0")-SUMIFS('Daftar Koreksi'!$I$5:$I$92,'Daftar Koreksi'!$D$5:$D$92,'2900'!A224,'Daftar Koreksi'!$G$5:$G$92,"Gedung dan Bangunan",'Daftar Koreksi'!$I$5:$I$92,"&lt;0")-SUMIFS('Daftar Koreksi'!$I$5:$I$92,'Daftar Koreksi'!$D$5:$D$92,'2900'!A224,'Daftar Koreksi'!$G$5:$G$92,"Gedung dan Bangunan",'Daftar Koreksi'!$I$5:$I$92,"&lt;0")</f>
        <v>0</v>
      </c>
      <c r="G238" s="17">
        <f t="shared" si="10"/>
        <v>-470069101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0</v>
      </c>
      <c r="E239" s="25">
        <f>SUMIFS('Daftar Koreksi'!$I$5:$I$92,'Daftar Koreksi'!$D$5:$D$92,'2900'!A224,'Daftar Koreksi'!$G$5:$G$92,"Jalan Irigasi Jaringan",'Daftar Koreksi'!$I$5:$I$92,"&gt;0")</f>
        <v>0</v>
      </c>
      <c r="F239" s="25">
        <f>SUMIFS('Daftar Koreksi'!$I$5:$I$92,'Daftar Koreksi'!$D$5:$D$92,'2900'!A224,'Daftar Koreksi'!$G$5:$G$92,"Jalan Irigasi Jaringan",'Daftar Koreksi'!$I$5:$I$92,"&lt;0")-SUMIFS('Daftar Koreksi'!$I$5:$I$92,'Daftar Koreksi'!$D$5:$D$92,'2900'!A224,'Daftar Koreksi'!$G$5:$G$92,"Jalan Irigasi Jaringan",'Daftar Koreksi'!$I$5:$I$92,"&lt;0")-SUMIFS('Daftar Koreksi'!$I$5:$I$92,'Daftar Koreksi'!$D$5:$D$92,'2900'!A224,'Daftar Koreksi'!$G$5:$G$92,"Jalan Irigasi Jaringan",'Daftar Koreksi'!$I$5:$I$92,"&lt;0")</f>
        <v>0</v>
      </c>
      <c r="G239" s="17">
        <f t="shared" si="10"/>
        <v>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Koreksi'!$D$5:$D$92,'2900'!A224,'Daftar Koreksi'!$G$5:$G$92,"Aset Tetap Lainnya",'Daftar Koreksi'!$I$5:$I$92,"&gt;0")</f>
        <v>0</v>
      </c>
      <c r="F240" s="25">
        <f>SUMIFS('Daftar Koreksi'!$I$5:$I$92,'Daftar Koreksi'!$D$5:$D$92,'2900'!A224,'Daftar Koreksi'!$G$5:$G$92,"Aset Tetap Lainnya",'Daftar Koreksi'!$I$5:$I$92,"&lt;0")-SUMIFS('Daftar Koreksi'!$I$5:$I$92,'Daftar Koreksi'!$D$5:$D$92,'2900'!A224,'Daftar Koreksi'!$G$5:$G$92,"Aset Tetap Lainnya",'Daftar Koreksi'!$I$5:$I$92,"&lt;0")-SUMIFS('Daftar Koreksi'!$I$5:$I$92,'Daftar Koreksi'!$D$5:$D$92,'2900'!A224,'Daftar Koreksi'!$G$5:$G$92,"Aset Tetap Lainnya",'Daftar Koreksi'!$I$5:$I$92,"&lt;0")</f>
        <v>0</v>
      </c>
      <c r="G240" s="17">
        <f t="shared" si="10"/>
        <v>0</v>
      </c>
      <c r="H240" s="122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-34277530</v>
      </c>
      <c r="E241" s="25">
        <f>SUMIFS('Daftar Koreksi'!$I$5:$I$92,'Daftar Koreksi'!$D$5:$D$92,'2900'!A224,'Daftar Koreksi'!$G$5:$G$92,"Aset Henti Guna",'Daftar Koreksi'!$I$5:$I$92,"&gt;0")</f>
        <v>0</v>
      </c>
      <c r="F241" s="25">
        <f>SUMIFS('Daftar Koreksi'!$I$5:$I$92,'Daftar Koreksi'!$D$5:$D$92,'2900'!A224,'Daftar Koreksi'!$G$5:$G$92,"Aset Henti Guna",'Daftar Koreksi'!$I$5:$I$92,"&lt;0")-SUMIFS('Daftar Koreksi'!$I$5:$I$92,'Daftar Koreksi'!$D$5:$D$92,'2900'!A224,'Daftar Koreksi'!$G$5:$G$92,"Aset Henti Guna",'Daftar Koreksi'!$I$5:$I$92,"&lt;0")-SUMIFS('Daftar Koreksi'!$I$5:$I$92,'Daftar Koreksi'!$D$5:$D$92,'2900'!A224,'Daftar Koreksi'!$G$5:$G$92,"Aset Henti Guna",'Daftar Koreksi'!$I$5:$I$92,"&lt;0")</f>
        <v>0</v>
      </c>
      <c r="G241" s="17">
        <f t="shared" si="10"/>
        <v>-34277530</v>
      </c>
      <c r="H241" s="122"/>
    </row>
    <row r="242" spans="1:10" ht="21.95" customHeight="1">
      <c r="A242" s="14"/>
      <c r="B242" s="14"/>
      <c r="C242" s="18" t="s">
        <v>2094</v>
      </c>
      <c r="D242" s="19">
        <f>SUM(D237:D241)</f>
        <v>-1587031456</v>
      </c>
      <c r="E242" s="19">
        <f>SUM(E237:E241)</f>
        <v>0</v>
      </c>
      <c r="F242" s="19">
        <f>SUM(F237:F241)</f>
        <v>0</v>
      </c>
      <c r="G242" s="19">
        <f t="shared" si="10"/>
        <v>-1587031456</v>
      </c>
      <c r="H242" s="122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11697417086</v>
      </c>
      <c r="E243" s="19">
        <f>E242+E236</f>
        <v>0</v>
      </c>
      <c r="F243" s="19">
        <f>F242+F236</f>
        <v>0</v>
      </c>
      <c r="G243" s="19">
        <f t="shared" si="10"/>
        <v>11697417086</v>
      </c>
      <c r="H243" s="122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10" ht="19.5" customHeight="1">
      <c r="A246" s="11" t="str">
        <f>O12</f>
        <v>005012900663398000KD</v>
      </c>
      <c r="B246" s="11" t="str">
        <f>P12</f>
        <v>PT. Banten</v>
      </c>
      <c r="C246" s="12" t="str">
        <f>A246&amp;" "&amp;B246</f>
        <v>005012900663398000KD PT. Banten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11451018</v>
      </c>
      <c r="E249" s="25">
        <f>SUMIFS('Daftar Koreksi'!$H$5:$H$92,'Daftar Koreksi'!$D$5:$D$92,'2900'!A246,'Daftar Koreksi'!$G$5:$G$92,"Persediaan",'Daftar Koreksi'!$H$5:$H$92,"&gt;0")</f>
        <v>0</v>
      </c>
      <c r="F249" s="25">
        <f>SUMIFS('Daftar Koreksi'!$H$5:$H$92,'Daftar Koreksi'!$D$5:$D$92,'2900'!A246,'Daftar Koreksi'!$G$5:$G$92,"Persediaan",'Daftar Koreksi'!$H$5:$H$92,"&lt;0")-SUMIFS('Daftar Koreksi'!$H$5:$H$92,'Daftar Koreksi'!$D$5:$D$92,'2900'!A246,'Daftar Koreksi'!$G$5:$G$92,"Persediaan",'Daftar Koreksi'!$H$5:$H$92,"&lt;0")-SUMIFS('Daftar Koreksi'!$H$5:$H$92,'Daftar Koreksi'!$D$5:$D$92,'2900'!A246,'Daftar Koreksi'!$G$5:$G$92,"Persediaan",'Daftar Koreksi'!$H$5:$H$92,"&lt;0")</f>
        <v>0</v>
      </c>
      <c r="G249" s="17">
        <f>D249+E249-F249</f>
        <v>11451018</v>
      </c>
      <c r="H249" s="121" t="str">
        <f>IF(ISNA(VLOOKUP(A246,'Mutasi Neraca'!$A$3:$S$914,19,FALSE)),"-",VLOOKUP(A246,'Mutasi Neraca'!$A$3:$S$914,19,FALSE))</f>
        <v>-</v>
      </c>
      <c r="I249" s="28"/>
      <c r="J249" s="29"/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7251444300</v>
      </c>
      <c r="E250" s="25">
        <f>SUMIFS('Daftar Koreksi'!$H$5:$H$92,'Daftar Koreksi'!$D$5:$D$92,'2900'!A246,'Daftar Koreksi'!$G$5:$G$92,"Tanah",'Daftar Koreksi'!$H$5:$H$92,"&gt;0")</f>
        <v>0</v>
      </c>
      <c r="F250" s="25">
        <f>SUMIFS('Daftar Koreksi'!$H$5:$H$92,'Daftar Koreksi'!$D$5:$D$92,'2900'!A246,'Daftar Koreksi'!$G$5:$G$92,"Tanah",'Daftar Koreksi'!$H$5:$H$92,"&lt;0")-SUMIFS('Daftar Koreksi'!$H$5:$H$92,'Daftar Koreksi'!$D$5:$D$92,'2900'!A246,'Daftar Koreksi'!$G$5:$G$92,"Tanah",'Daftar Koreksi'!$H$5:$H$92,"&lt;0")-SUMIFS('Daftar Koreksi'!$H$5:$H$92,'Daftar Koreksi'!$D$5:$D$92,'2900'!A246,'Daftar Koreksi'!$G$5:$G$92,"Tanah",'Daftar Koreksi'!$H$5:$H$92,"&lt;0")</f>
        <v>0</v>
      </c>
      <c r="G250" s="17">
        <f t="shared" ref="G250:G266" si="11">D250+E250-F250</f>
        <v>7251444300</v>
      </c>
      <c r="H250" s="122"/>
      <c r="I250" s="28"/>
      <c r="J250" s="29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4453968746</v>
      </c>
      <c r="E251" s="25">
        <f>SUMIFS('Daftar Koreksi'!$H$5:$H$92,'Daftar Koreksi'!$D$5:$D$92,'2900'!A246,'Daftar Koreksi'!$G$5:$G$92,"Peralatan dan mesin",'Daftar Koreksi'!$H$5:$H$92,"&gt;0")</f>
        <v>0</v>
      </c>
      <c r="F251" s="25">
        <f>SUMIFS('Daftar Koreksi'!$H$5:$H$92,'Daftar Koreksi'!$D$5:$D$92,'2900'!A246,'Daftar Koreksi'!$G$5:$G$92,"Peralatan dan mesin",'Daftar Koreksi'!$H$5:$H$92,"&lt;0")-SUMIFS('Daftar Koreksi'!$H$5:$H$92,'Daftar Koreksi'!$D$5:$D$92,'2900'!A246,'Daftar Koreksi'!$G$5:$G$92,"Peralatan dan mesin",'Daftar Koreksi'!$H$5:$H$92,"&lt;0")-SUMIFS('Daftar Koreksi'!$H$5:$H$92,'Daftar Koreksi'!$D$5:$D$92,'2900'!A246,'Daftar Koreksi'!$G$5:$G$92,"Peralatan dan mesin",'Daftar Koreksi'!$H$5:$H$92,"&lt;0")</f>
        <v>0</v>
      </c>
      <c r="G251" s="17">
        <f t="shared" si="11"/>
        <v>4453968746</v>
      </c>
      <c r="H251" s="122"/>
      <c r="I251" s="28"/>
      <c r="J251" s="29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40715188725</v>
      </c>
      <c r="E252" s="25">
        <f>SUMIFS('Daftar Koreksi'!$H$5:$H$92,'Daftar Koreksi'!$D$5:$D$92,'2900'!A246,'Daftar Koreksi'!$G$5:$G$92,"Gedung dan Bangunan",'Daftar Koreksi'!$H$5:$H$92,"&gt;0")</f>
        <v>0</v>
      </c>
      <c r="F252" s="25">
        <f>SUMIFS('Daftar Koreksi'!$H$5:$H$92,'Daftar Koreksi'!$D$5:$D$92,'2900'!A246,'Daftar Koreksi'!$G$5:$G$92,"Gedung dan Bangunan",'Daftar Koreksi'!$H$5:$H$92,"&lt;0")-SUMIFS('Daftar Koreksi'!$H$5:$H$92,'Daftar Koreksi'!$D$5:$D$92,'2900'!A246,'Daftar Koreksi'!$G$5:$G$92,"Gedung dan Bangunan",'Daftar Koreksi'!$H$5:$H$92,"&lt;0")-SUMIFS('Daftar Koreksi'!$H$5:$H$92,'Daftar Koreksi'!$D$5:$D$92,'2900'!A246,'Daftar Koreksi'!$G$5:$G$92,"Gedung dan Bangunan",'Daftar Koreksi'!$H$5:$H$92,"&lt;0")</f>
        <v>0</v>
      </c>
      <c r="G252" s="17">
        <f t="shared" si="11"/>
        <v>40715188725</v>
      </c>
      <c r="H252" s="122"/>
      <c r="I252" s="28"/>
      <c r="J252" s="29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537035000</v>
      </c>
      <c r="E253" s="25">
        <f>SUMIFS('Daftar Koreksi'!$H$5:$H$92,'Daftar Koreksi'!$D$5:$D$92,'2900'!A246,'Daftar Koreksi'!$G$5:$G$92,"Jalan Irigasi Jaringan",'Daftar Koreksi'!$H$5:$H$92,"&gt;0")</f>
        <v>0</v>
      </c>
      <c r="F253" s="25">
        <f>SUMIFS('Daftar Koreksi'!$H$5:$H$92,'Daftar Koreksi'!$D$5:$D$92,'2900'!A246,'Daftar Koreksi'!$G$5:$G$92,"Jalan Irigasi Jaringan",'Daftar Koreksi'!$H$5:$H$92,"&lt;0")-SUMIFS('Daftar Koreksi'!$H$5:$H$92,'Daftar Koreksi'!$D$5:$D$92,'2900'!A246,'Daftar Koreksi'!$G$5:$G$92,"Jalan Irigasi Jaringan",'Daftar Koreksi'!$H$5:$H$92,"&lt;0")-SUMIFS('Daftar Koreksi'!$H$5:$H$92,'Daftar Koreksi'!$D$5:$D$92,'2900'!A246,'Daftar Koreksi'!$G$5:$G$92,"Jalan Irigasi Jaringan",'Daftar Koreksi'!$H$5:$H$92,"&lt;0")</f>
        <v>0</v>
      </c>
      <c r="G253" s="17">
        <f t="shared" si="11"/>
        <v>537035000</v>
      </c>
      <c r="H253" s="122"/>
      <c r="I253" s="28"/>
      <c r="J253" s="29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6355062</v>
      </c>
      <c r="E254" s="25">
        <f>SUMIFS('Daftar Koreksi'!$H$5:$H$92,'Daftar Koreksi'!$D$5:$D$92,'2900'!A246,'Daftar Koreksi'!$G$5:$G$92,"Aset Tetap Lainnya",'Daftar Koreksi'!$H$5:$H$92,"&gt;0")</f>
        <v>0</v>
      </c>
      <c r="F254" s="25">
        <f>SUMIFS('Daftar Koreksi'!$H$5:$H$92,'Daftar Koreksi'!$D$5:$D$92,'2900'!A246,'Daftar Koreksi'!$G$5:$G$92,"Aset Tetap Lainnya",'Daftar Koreksi'!$H$5:$H$92,"&lt;0")-SUMIFS('Daftar Koreksi'!$H$5:$H$92,'Daftar Koreksi'!$D$5:$D$92,'2900'!A246,'Daftar Koreksi'!$G$5:$G$92,"Aset Tetap Lainnya",'Daftar Koreksi'!$H$5:$H$92,"&lt;0")-SUMIFS('Daftar Koreksi'!$H$5:$H$92,'Daftar Koreksi'!$D$5:$D$92,'2900'!A246,'Daftar Koreksi'!$G$5:$G$92,"Aset Tetap Lainnya",'Daftar Koreksi'!$H$5:$H$92,"&lt;0")</f>
        <v>0</v>
      </c>
      <c r="G254" s="17">
        <f t="shared" si="11"/>
        <v>6355062</v>
      </c>
      <c r="H254" s="122"/>
      <c r="I254" s="28"/>
      <c r="J254" s="29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49165791825</v>
      </c>
      <c r="E255" s="25">
        <f>SUMIFS('Daftar Koreksi'!$H$5:$H$92,'Daftar Koreksi'!$D$5:$D$92,'2900'!A246,'Daftar Koreksi'!$G$5:$G$92,"Kontruksi Dalam Pengerjaan",'Daftar Koreksi'!$H$5:$H$92,"&gt;0")</f>
        <v>0</v>
      </c>
      <c r="F255" s="25">
        <f>SUMIFS('Daftar Koreksi'!$H$5:$H$92,'Daftar Koreksi'!$D$5:$D$92,'2900'!A246,'Daftar Koreksi'!$G$5:$G$92,"Kontruksi Dalam Pengerjaan",'Daftar Koreksi'!$H$5:$H$92,"&lt;0")-SUMIFS('Daftar Koreksi'!$H$5:$H$92,'Daftar Koreksi'!$D$5:$D$92,'2900'!A246,'Daftar Koreksi'!$G$5:$G$92,"Kontruksi Dalam Pengerjaan",'Daftar Koreksi'!$H$5:$H$92,"&lt;0")-SUMIFS('Daftar Koreksi'!$H$5:$H$92,'Daftar Koreksi'!$D$5:$D$92,'2900'!A246,'Daftar Koreksi'!$G$5:$G$92,"Kontruksi Dalam Pengerjaan",'Daftar Koreksi'!$H$5:$H$92,"&lt;0")</f>
        <v>0</v>
      </c>
      <c r="G255" s="17">
        <f t="shared" si="11"/>
        <v>49165791825</v>
      </c>
      <c r="H255" s="122"/>
      <c r="I255" s="28"/>
      <c r="J255" s="29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Koreksi'!$D$5:$D$92,'2900'!A246,'Daftar Koreksi'!$G$5:$G$92,"Aset Tak Berwujud",'Daftar Koreksi'!$H$5:$H$92,"&gt;0")</f>
        <v>0</v>
      </c>
      <c r="F256" s="25">
        <f>SUMIFS('Daftar Koreksi'!$H$5:$H$92,'Daftar Koreksi'!$D$5:$D$92,'2900'!A246,'Daftar Koreksi'!$G$5:$G$92,"Aset Tak Berwujud",'Daftar Koreksi'!$H$5:$H$92,"&lt;0")-SUMIFS('Daftar Koreksi'!$H$5:$H$92,'Daftar Koreksi'!$D$5:$D$92,'2900'!A246,'Daftar Koreksi'!$G$5:$G$92,"Aset Tak Berwujud",'Daftar Koreksi'!$H$5:$H$92,"&lt;0")-SUMIFS('Daftar Koreksi'!$H$5:$H$92,'Daftar Koreksi'!$D$5:$D$92,'2900'!A246,'Daftar Koreksi'!$G$5:$G$92,"Aset Tak Berwujud",'Daftar Koreksi'!$H$5:$H$92,"&lt;0")</f>
        <v>0</v>
      </c>
      <c r="G256" s="17">
        <f t="shared" si="11"/>
        <v>0</v>
      </c>
      <c r="H256" s="122"/>
      <c r="I256" s="28"/>
      <c r="J256" s="29"/>
    </row>
    <row r="257" spans="1:10" ht="21.95" customHeight="1">
      <c r="A257" s="14"/>
      <c r="B257" s="14"/>
      <c r="C257" s="16" t="s">
        <v>1173</v>
      </c>
      <c r="D257" s="17">
        <f>VLOOKUP(A246,'Neraca Unaudited SIMAK'!$A$2:$S$10004,11,FALSE)</f>
        <v>395641850</v>
      </c>
      <c r="E257" s="25">
        <f>SUMIFS('Daftar Koreksi'!$H$5:$H$92,'Daftar Koreksi'!$D$5:$D$92,'2900'!A246,'Daftar Koreksi'!$G$5:$G$92,"Aset Henti Guna",'Daftar Koreksi'!$H$5:$H$92,"&gt;0")</f>
        <v>0</v>
      </c>
      <c r="F257" s="25">
        <f>SUMIFS('Daftar Koreksi'!$H$5:$H$92,'Daftar Koreksi'!$D$5:$D$92,'2900'!A246,'Daftar Koreksi'!$G$5:$G$92,"Aset Henti Guna",'Daftar Koreksi'!$H$5:$H$92,"&lt;0")-SUMIFS('Daftar Koreksi'!$H$5:$H$92,'Daftar Koreksi'!$D$5:$D$92,'2900'!A246,'Daftar Koreksi'!$G$5:$G$92,"Aset Henti Guna",'Daftar Koreksi'!$H$5:$H$92,"&lt;0")-SUMIFS('Daftar Koreksi'!$H$5:$H$92,'Daftar Koreksi'!$D$5:$D$92,'2900'!A246,'Daftar Koreksi'!$G$5:$G$92,"Aset Henti Guna",'Daftar Koreksi'!$H$5:$H$92,"&lt;0")</f>
        <v>0</v>
      </c>
      <c r="G257" s="17">
        <f t="shared" si="11"/>
        <v>395641850</v>
      </c>
      <c r="H257" s="122"/>
      <c r="I257" s="28"/>
      <c r="J257" s="29"/>
    </row>
    <row r="258" spans="1:10" ht="21.95" customHeight="1">
      <c r="A258" s="14"/>
      <c r="B258" s="14"/>
      <c r="C258" s="18" t="s">
        <v>2093</v>
      </c>
      <c r="D258" s="19">
        <f>VLOOKUP(A246,'Neraca Unaudited SIMAK'!$A$2:$S$10004,12,FALSE)</f>
        <v>102536876526</v>
      </c>
      <c r="E258" s="19">
        <f>SUM(E249:E257)</f>
        <v>0</v>
      </c>
      <c r="F258" s="19">
        <f>SUM(F249:F257)</f>
        <v>0</v>
      </c>
      <c r="G258" s="19">
        <f t="shared" si="11"/>
        <v>102536876526</v>
      </c>
      <c r="H258" s="122"/>
      <c r="I258" s="28"/>
      <c r="J258" s="29"/>
    </row>
    <row r="259" spans="1:10" ht="21.95" customHeight="1">
      <c r="A259" s="14"/>
      <c r="B259" s="14"/>
      <c r="C259" s="16" t="s">
        <v>2087</v>
      </c>
      <c r="D259" s="17">
        <f>VLOOKUP(A246,'Neraca Unaudited SIMAK'!$A$2:$S$10004,13,FALSE)</f>
        <v>-4000932012</v>
      </c>
      <c r="E259" s="25">
        <f>SUMIFS('Daftar Koreksi'!$I$5:$I$92,'Daftar Koreksi'!$D$5:$D$92,'2900'!A246,'Daftar Koreksi'!$G$5:$G$92,"Peralatan dan mesin",'Daftar Koreksi'!$I$5:$I$92,"&gt;0")</f>
        <v>0</v>
      </c>
      <c r="F259" s="25">
        <f>SUMIFS('Daftar Koreksi'!$I$5:$I$92,'Daftar Koreksi'!$D$5:$D$92,'2900'!A246,'Daftar Koreksi'!$G$5:$G$92,"Peralatan dan mesin",'Daftar Koreksi'!$I$5:$I$92,"&lt;0")-SUMIFS('Daftar Koreksi'!$I$5:$I$92,'Daftar Koreksi'!$D$5:$D$92,'2900'!A246,'Daftar Koreksi'!$G$5:$G$92,"Peralatan dan mesin",'Daftar Koreksi'!$I$5:$I$92,"&lt;0")-SUMIFS('Daftar Koreksi'!$I$5:$I$92,'Daftar Koreksi'!$D$5:$D$92,'2900'!A246,'Daftar Koreksi'!$G$5:$G$92,"Peralatan dan mesin",'Daftar Koreksi'!$I$5:$I$92,"&lt;0")</f>
        <v>0</v>
      </c>
      <c r="G259" s="17">
        <f t="shared" si="11"/>
        <v>-4000932012</v>
      </c>
      <c r="H259" s="122"/>
      <c r="I259" s="28"/>
      <c r="J259" s="29"/>
    </row>
    <row r="260" spans="1:10" ht="21.95" customHeight="1">
      <c r="A260" s="14"/>
      <c r="B260" s="14"/>
      <c r="C260" s="16" t="s">
        <v>2088</v>
      </c>
      <c r="D260" s="17">
        <f>VLOOKUP(A246,'Neraca Unaudited SIMAK'!$A$2:$S$10004,14,FALSE)</f>
        <v>-1863779198</v>
      </c>
      <c r="E260" s="25">
        <f>SUMIFS('Daftar Koreksi'!$I$5:$I$92,'Daftar Koreksi'!$D$5:$D$92,'2900'!A246,'Daftar Koreksi'!$G$5:$G$92,"Gedung dan Bangunan",'Daftar Koreksi'!$I$5:$I$92,"&gt;0")</f>
        <v>0</v>
      </c>
      <c r="F260" s="25">
        <f>SUMIFS('Daftar Koreksi'!$I$5:$I$92,'Daftar Koreksi'!$D$5:$D$92,'2900'!A246,'Daftar Koreksi'!$G$5:$G$92,"Gedung dan Bangunan",'Daftar Koreksi'!$I$5:$I$92,"&lt;0")-SUMIFS('Daftar Koreksi'!$I$5:$I$92,'Daftar Koreksi'!$D$5:$D$92,'2900'!A246,'Daftar Koreksi'!$G$5:$G$92,"Gedung dan Bangunan",'Daftar Koreksi'!$I$5:$I$92,"&lt;0")-SUMIFS('Daftar Koreksi'!$I$5:$I$92,'Daftar Koreksi'!$D$5:$D$92,'2900'!A246,'Daftar Koreksi'!$G$5:$G$92,"Gedung dan Bangunan",'Daftar Koreksi'!$I$5:$I$92,"&lt;0")</f>
        <v>0</v>
      </c>
      <c r="G260" s="17">
        <f t="shared" si="11"/>
        <v>-1863779198</v>
      </c>
      <c r="H260" s="122"/>
      <c r="I260" s="28"/>
      <c r="J260" s="29"/>
    </row>
    <row r="261" spans="1:10" ht="21.95" customHeight="1">
      <c r="A261" s="14"/>
      <c r="B261" s="14"/>
      <c r="C261" s="16" t="s">
        <v>2089</v>
      </c>
      <c r="D261" s="17">
        <f>VLOOKUP(A246,'Neraca Unaudited SIMAK'!$A$2:$S$10004,15,FALSE)</f>
        <v>-122546043</v>
      </c>
      <c r="E261" s="25">
        <f>SUMIFS('Daftar Koreksi'!$I$5:$I$92,'Daftar Koreksi'!$D$5:$D$92,'2900'!A246,'Daftar Koreksi'!$G$5:$G$92,"Jalan Irigasi Jaringan",'Daftar Koreksi'!$I$5:$I$92,"&gt;0")</f>
        <v>0</v>
      </c>
      <c r="F261" s="25">
        <f>SUMIFS('Daftar Koreksi'!$I$5:$I$92,'Daftar Koreksi'!$D$5:$D$92,'2900'!A246,'Daftar Koreksi'!$G$5:$G$92,"Jalan Irigasi Jaringan",'Daftar Koreksi'!$I$5:$I$92,"&lt;0")-SUMIFS('Daftar Koreksi'!$I$5:$I$92,'Daftar Koreksi'!$D$5:$D$92,'2900'!A246,'Daftar Koreksi'!$G$5:$G$92,"Jalan Irigasi Jaringan",'Daftar Koreksi'!$I$5:$I$92,"&lt;0")-SUMIFS('Daftar Koreksi'!$I$5:$I$92,'Daftar Koreksi'!$D$5:$D$92,'2900'!A246,'Daftar Koreksi'!$G$5:$G$92,"Jalan Irigasi Jaringan",'Daftar Koreksi'!$I$5:$I$92,"&lt;0")</f>
        <v>0</v>
      </c>
      <c r="G261" s="17">
        <f t="shared" si="11"/>
        <v>-122546043</v>
      </c>
      <c r="H261" s="122"/>
      <c r="I261" s="28"/>
      <c r="J261" s="29"/>
    </row>
    <row r="262" spans="1:10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Koreksi'!$D$5:$D$92,'2900'!A246,'Daftar Koreksi'!$G$5:$G$92,"Aset Tetap Lainnya",'Daftar Koreksi'!$I$5:$I$92,"&gt;0")</f>
        <v>0</v>
      </c>
      <c r="F262" s="25">
        <f>SUMIFS('Daftar Koreksi'!$I$5:$I$92,'Daftar Koreksi'!$D$5:$D$92,'2900'!A246,'Daftar Koreksi'!$G$5:$G$92,"Aset Tetap Lainnya",'Daftar Koreksi'!$I$5:$I$92,"&lt;0")-SUMIFS('Daftar Koreksi'!$I$5:$I$92,'Daftar Koreksi'!$D$5:$D$92,'2900'!A246,'Daftar Koreksi'!$G$5:$G$92,"Aset Tetap Lainnya",'Daftar Koreksi'!$I$5:$I$92,"&lt;0")-SUMIFS('Daftar Koreksi'!$I$5:$I$92,'Daftar Koreksi'!$D$5:$D$92,'2900'!A246,'Daftar Koreksi'!$G$5:$G$92,"Aset Tetap Lainnya",'Daftar Koreksi'!$I$5:$I$92,"&lt;0")</f>
        <v>0</v>
      </c>
      <c r="G262" s="17">
        <f t="shared" si="11"/>
        <v>0</v>
      </c>
      <c r="H262" s="122"/>
      <c r="I262" s="28"/>
      <c r="J262" s="29"/>
    </row>
    <row r="263" spans="1:10" ht="21.95" customHeight="1">
      <c r="A263" s="14"/>
      <c r="B263" s="14"/>
      <c r="C263" s="16" t="s">
        <v>2020</v>
      </c>
      <c r="D263" s="17">
        <f>VLOOKUP(A246,'Neraca Unaudited SIMAK'!$A$2:$S$10004,17,FALSE)</f>
        <v>-395641850</v>
      </c>
      <c r="E263" s="25">
        <f>SUMIFS('Daftar Koreksi'!$I$5:$I$92,'Daftar Koreksi'!$D$5:$D$92,'2900'!A246,'Daftar Koreksi'!$G$5:$G$92,"Aset Henti Guna",'Daftar Koreksi'!$I$5:$I$92,"&gt;0")</f>
        <v>0</v>
      </c>
      <c r="F263" s="25">
        <f>SUMIFS('Daftar Koreksi'!$I$5:$I$92,'Daftar Koreksi'!$D$5:$D$92,'2900'!A246,'Daftar Koreksi'!$G$5:$G$92,"Aset Henti Guna",'Daftar Koreksi'!$I$5:$I$92,"&lt;0")-SUMIFS('Daftar Koreksi'!$I$5:$I$92,'Daftar Koreksi'!$D$5:$D$92,'2900'!A246,'Daftar Koreksi'!$G$5:$G$92,"Aset Henti Guna",'Daftar Koreksi'!$I$5:$I$92,"&lt;0")-SUMIFS('Daftar Koreksi'!$I$5:$I$92,'Daftar Koreksi'!$D$5:$D$92,'2900'!A246,'Daftar Koreksi'!$G$5:$G$92,"Aset Henti Guna",'Daftar Koreksi'!$I$5:$I$92,"&lt;0")</f>
        <v>0</v>
      </c>
      <c r="G263" s="17">
        <f t="shared" si="11"/>
        <v>-395641850</v>
      </c>
      <c r="H263" s="122"/>
      <c r="I263" s="28"/>
      <c r="J263" s="29"/>
    </row>
    <row r="264" spans="1:10" ht="21.95" customHeight="1">
      <c r="A264" s="14"/>
      <c r="B264" s="14"/>
      <c r="C264" s="18" t="s">
        <v>2094</v>
      </c>
      <c r="D264" s="19">
        <f>SUM(D259:D263)</f>
        <v>-6382899103</v>
      </c>
      <c r="E264" s="19">
        <f>SUM(E259:E263)</f>
        <v>0</v>
      </c>
      <c r="F264" s="19">
        <f>SUM(F259:F263)</f>
        <v>0</v>
      </c>
      <c r="G264" s="19">
        <f t="shared" si="11"/>
        <v>-6382899103</v>
      </c>
      <c r="H264" s="122"/>
      <c r="I264" s="28"/>
      <c r="J264" s="29"/>
    </row>
    <row r="265" spans="1:10" ht="21.95" customHeight="1">
      <c r="A265" s="14"/>
      <c r="B265" s="14"/>
      <c r="C265" s="18" t="s">
        <v>2095</v>
      </c>
      <c r="D265" s="19">
        <f>VLOOKUP(A246,'Neraca Unaudited SIMAK'!$A$2:$S$10004,18,FALSE)</f>
        <v>96153977423</v>
      </c>
      <c r="E265" s="19">
        <f>E264+E258</f>
        <v>0</v>
      </c>
      <c r="F265" s="19">
        <f>F264+F258</f>
        <v>0</v>
      </c>
      <c r="G265" s="19">
        <f t="shared" si="11"/>
        <v>96153977423</v>
      </c>
      <c r="H265" s="122"/>
      <c r="I265" s="28"/>
      <c r="J265" s="29"/>
    </row>
    <row r="266" spans="1:10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  <c r="I266" s="28"/>
      <c r="J266" s="29"/>
    </row>
    <row r="268" spans="1:10" ht="19.5" customHeight="1">
      <c r="A268" s="11" t="str">
        <f>O13</f>
        <v>005012900689313000KD</v>
      </c>
      <c r="B268" s="11" t="str">
        <f>P13</f>
        <v>PTUN. Serang</v>
      </c>
      <c r="C268" s="12" t="str">
        <f>A268&amp;" "&amp;B268</f>
        <v>005012900689313000KD PTUN. Serang</v>
      </c>
      <c r="D268" s="13"/>
      <c r="E268" s="13"/>
      <c r="F268" s="13"/>
      <c r="G268" s="13"/>
      <c r="H268" s="11"/>
    </row>
    <row r="269" spans="1:10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10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10" ht="21.95" customHeight="1">
      <c r="A271" s="14"/>
      <c r="B271" s="14"/>
      <c r="C271" s="16" t="s">
        <v>1165</v>
      </c>
      <c r="D271" s="17">
        <f>VLOOKUP(A268,'Neraca Unaudited SIMAK'!$A$2:$S$10004,3,FALSE)</f>
        <v>3095200</v>
      </c>
      <c r="E271" s="25">
        <f>SUMIFS('Daftar Koreksi'!$H$5:$H$92,'Daftar Koreksi'!$D$5:$D$92,'2900'!A268,'Daftar Koreksi'!$G$5:$G$92,"Persediaan",'Daftar Koreksi'!$H$5:$H$92,"&gt;0")</f>
        <v>0</v>
      </c>
      <c r="F271" s="25">
        <f>SUMIFS('Daftar Koreksi'!$H$5:$H$92,'Daftar Koreksi'!$D$5:$D$92,'2900'!A268,'Daftar Koreksi'!$G$5:$G$92,"Persediaan",'Daftar Koreksi'!$H$5:$H$92,"&lt;0")-SUMIFS('Daftar Koreksi'!$H$5:$H$92,'Daftar Koreksi'!$D$5:$D$92,'2900'!A268,'Daftar Koreksi'!$G$5:$G$92,"Persediaan",'Daftar Koreksi'!$H$5:$H$92,"&lt;0")-SUMIFS('Daftar Koreksi'!$H$5:$H$92,'Daftar Koreksi'!$D$5:$D$92,'2900'!A268,'Daftar Koreksi'!$G$5:$G$92,"Persediaan",'Daftar Koreksi'!$H$5:$H$92,"&lt;0")</f>
        <v>0</v>
      </c>
      <c r="G271" s="17">
        <f>D271+E271-F271</f>
        <v>3095200</v>
      </c>
      <c r="H271" s="121" t="str">
        <f>IF(ISNA(VLOOKUP(A268,'Mutasi Neraca'!$A$3:$S$914,19,FALSE)),"-",VLOOKUP(A268,'Mutasi Neraca'!$A$3:$S$914,19,FALSE))</f>
        <v>-</v>
      </c>
    </row>
    <row r="272" spans="1:10" ht="21.95" customHeight="1">
      <c r="A272" s="14"/>
      <c r="B272" s="14"/>
      <c r="C272" s="16" t="s">
        <v>1166</v>
      </c>
      <c r="D272" s="17">
        <f>VLOOKUP(A268,'Neraca Unaudited SIMAK'!$A$2:$S$10004,4,FALSE)</f>
        <v>3994380000</v>
      </c>
      <c r="E272" s="25">
        <f>SUMIFS('Daftar Koreksi'!$H$5:$H$92,'Daftar Koreksi'!$D$5:$D$92,'2900'!A268,'Daftar Koreksi'!$G$5:$G$92,"Tanah",'Daftar Koreksi'!$H$5:$H$92,"&gt;0")</f>
        <v>0</v>
      </c>
      <c r="F272" s="25">
        <f>SUMIFS('Daftar Koreksi'!$H$5:$H$92,'Daftar Koreksi'!$D$5:$D$92,'2900'!A268,'Daftar Koreksi'!$G$5:$G$92,"Tanah",'Daftar Koreksi'!$H$5:$H$92,"&lt;0")-SUMIFS('Daftar Koreksi'!$H$5:$H$92,'Daftar Koreksi'!$D$5:$D$92,'2900'!A268,'Daftar Koreksi'!$G$5:$G$92,"Tanah",'Daftar Koreksi'!$H$5:$H$92,"&lt;0")-SUMIFS('Daftar Koreksi'!$H$5:$H$92,'Daftar Koreksi'!$D$5:$D$92,'2900'!A268,'Daftar Koreksi'!$G$5:$G$92,"Tanah",'Daftar Koreksi'!$H$5:$H$92,"&lt;0")</f>
        <v>0</v>
      </c>
      <c r="G272" s="17">
        <f t="shared" ref="G272:G288" si="12">D272+E272-F272</f>
        <v>3994380000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2527756800</v>
      </c>
      <c r="E273" s="25">
        <f>SUMIFS('Daftar Koreksi'!$H$5:$H$92,'Daftar Koreksi'!$D$5:$D$92,'2900'!A268,'Daftar Koreksi'!$G$5:$G$92,"Peralatan dan mesin",'Daftar Koreksi'!$H$5:$H$92,"&gt;0")</f>
        <v>0</v>
      </c>
      <c r="F273" s="25">
        <f>SUMIFS('Daftar Koreksi'!$H$5:$H$92,'Daftar Koreksi'!$D$5:$D$92,'2900'!A268,'Daftar Koreksi'!$G$5:$G$92,"Peralatan dan mesin",'Daftar Koreksi'!$H$5:$H$92,"&lt;0")-SUMIFS('Daftar Koreksi'!$H$5:$H$92,'Daftar Koreksi'!$D$5:$D$92,'2900'!A268,'Daftar Koreksi'!$G$5:$G$92,"Peralatan dan mesin",'Daftar Koreksi'!$H$5:$H$92,"&lt;0")-SUMIFS('Daftar Koreksi'!$H$5:$H$92,'Daftar Koreksi'!$D$5:$D$92,'2900'!A268,'Daftar Koreksi'!$G$5:$G$92,"Peralatan dan mesin",'Daftar Koreksi'!$H$5:$H$92,"&lt;0")</f>
        <v>0</v>
      </c>
      <c r="G273" s="17">
        <f t="shared" si="12"/>
        <v>2527756800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10214622164</v>
      </c>
      <c r="E274" s="25">
        <f>SUMIFS('Daftar Koreksi'!$H$5:$H$92,'Daftar Koreksi'!$D$5:$D$92,'2900'!A268,'Daftar Koreksi'!$G$5:$G$92,"Gedung dan Bangunan",'Daftar Koreksi'!$H$5:$H$92,"&gt;0")</f>
        <v>0</v>
      </c>
      <c r="F274" s="25">
        <f>SUMIFS('Daftar Koreksi'!$H$5:$H$92,'Daftar Koreksi'!$D$5:$D$92,'2900'!A268,'Daftar Koreksi'!$G$5:$G$92,"Gedung dan Bangunan",'Daftar Koreksi'!$H$5:$H$92,"&lt;0")-SUMIFS('Daftar Koreksi'!$H$5:$H$92,'Daftar Koreksi'!$D$5:$D$92,'2900'!A268,'Daftar Koreksi'!$G$5:$G$92,"Gedung dan Bangunan",'Daftar Koreksi'!$H$5:$H$92,"&lt;0")-SUMIFS('Daftar Koreksi'!$H$5:$H$92,'Daftar Koreksi'!$D$5:$D$92,'2900'!A268,'Daftar Koreksi'!$G$5:$G$92,"Gedung dan Bangunan",'Daftar Koreksi'!$H$5:$H$92,"&lt;0")</f>
        <v>0</v>
      </c>
      <c r="G274" s="17">
        <f t="shared" si="12"/>
        <v>10214622164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Koreksi'!$D$5:$D$92,'2900'!A268,'Daftar Koreksi'!$G$5:$G$92,"Jalan Irigasi Jaringan",'Daftar Koreksi'!$H$5:$H$92,"&gt;0")</f>
        <v>0</v>
      </c>
      <c r="F275" s="25">
        <f>SUMIFS('Daftar Koreksi'!$H$5:$H$92,'Daftar Koreksi'!$D$5:$D$92,'2900'!A268,'Daftar Koreksi'!$G$5:$G$92,"Jalan Irigasi Jaringan",'Daftar Koreksi'!$H$5:$H$92,"&lt;0")-SUMIFS('Daftar Koreksi'!$H$5:$H$92,'Daftar Koreksi'!$D$5:$D$92,'2900'!A268,'Daftar Koreksi'!$G$5:$G$92,"Jalan Irigasi Jaringan",'Daftar Koreksi'!$H$5:$H$92,"&lt;0")-SUMIFS('Daftar Koreksi'!$H$5:$H$92,'Daftar Koreksi'!$D$5:$D$92,'2900'!A268,'Daftar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285000</v>
      </c>
      <c r="E276" s="25">
        <f>SUMIFS('Daftar Koreksi'!$H$5:$H$92,'Daftar Koreksi'!$D$5:$D$92,'2900'!A268,'Daftar Koreksi'!$G$5:$G$92,"Aset Tetap Lainnya",'Daftar Koreksi'!$H$5:$H$92,"&gt;0")</f>
        <v>0</v>
      </c>
      <c r="F276" s="25">
        <f>SUMIFS('Daftar Koreksi'!$H$5:$H$92,'Daftar Koreksi'!$D$5:$D$92,'2900'!A268,'Daftar Koreksi'!$G$5:$G$92,"Aset Tetap Lainnya",'Daftar Koreksi'!$H$5:$H$92,"&lt;0")-SUMIFS('Daftar Koreksi'!$H$5:$H$92,'Daftar Koreksi'!$D$5:$D$92,'2900'!A268,'Daftar Koreksi'!$G$5:$G$92,"Aset Tetap Lainnya",'Daftar Koreksi'!$H$5:$H$92,"&lt;0")-SUMIFS('Daftar Koreksi'!$H$5:$H$92,'Daftar Koreksi'!$D$5:$D$92,'2900'!A268,'Daftar Koreksi'!$G$5:$G$92,"Aset Tetap Lainnya",'Daftar Koreksi'!$H$5:$H$92,"&lt;0")</f>
        <v>0</v>
      </c>
      <c r="G276" s="17">
        <f t="shared" si="12"/>
        <v>285000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Koreksi'!$D$5:$D$92,'2900'!A268,'Daftar Koreksi'!$G$5:$G$92,"Kontruksi Dalam Pengerjaan",'Daftar Koreksi'!$H$5:$H$92,"&gt;0")</f>
        <v>0</v>
      </c>
      <c r="F277" s="25">
        <f>SUMIFS('Daftar Koreksi'!$H$5:$H$92,'Daftar Koreksi'!$D$5:$D$92,'2900'!A268,'Daftar Koreksi'!$G$5:$G$92,"Kontruksi Dalam Pengerjaan",'Daftar Koreksi'!$H$5:$H$92,"&lt;0")-SUMIFS('Daftar Koreksi'!$H$5:$H$92,'Daftar Koreksi'!$D$5:$D$92,'2900'!A268,'Daftar Koreksi'!$G$5:$G$92,"Kontruksi Dalam Pengerjaan",'Daftar Koreksi'!$H$5:$H$92,"&lt;0")-SUMIFS('Daftar Koreksi'!$H$5:$H$92,'Daftar Koreksi'!$D$5:$D$92,'2900'!A268,'Daftar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99004550</v>
      </c>
      <c r="E278" s="25">
        <f>SUMIFS('Daftar Koreksi'!$H$5:$H$92,'Daftar Koreksi'!$D$5:$D$92,'2900'!A268,'Daftar Koreksi'!$G$5:$G$92,"Aset Tak Berwujud",'Daftar Koreksi'!$H$5:$H$92,"&gt;0")</f>
        <v>0</v>
      </c>
      <c r="F278" s="25">
        <f>SUMIFS('Daftar Koreksi'!$H$5:$H$92,'Daftar Koreksi'!$D$5:$D$92,'2900'!A268,'Daftar Koreksi'!$G$5:$G$92,"Aset Tak Berwujud",'Daftar Koreksi'!$H$5:$H$92,"&lt;0")-SUMIFS('Daftar Koreksi'!$H$5:$H$92,'Daftar Koreksi'!$D$5:$D$92,'2900'!A268,'Daftar Koreksi'!$G$5:$G$92,"Aset Tak Berwujud",'Daftar Koreksi'!$H$5:$H$92,"&lt;0")-SUMIFS('Daftar Koreksi'!$H$5:$H$92,'Daftar Koreksi'!$D$5:$D$92,'2900'!A268,'Daftar Koreksi'!$G$5:$G$92,"Aset Tak Berwujud",'Daftar Koreksi'!$H$5:$H$92,"&lt;0")</f>
        <v>0</v>
      </c>
      <c r="G278" s="17">
        <f t="shared" si="12"/>
        <v>99004550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2902000</v>
      </c>
      <c r="E279" s="25">
        <f>SUMIFS('Daftar Koreksi'!$H$5:$H$92,'Daftar Koreksi'!$D$5:$D$92,'2900'!A268,'Daftar Koreksi'!$G$5:$G$92,"Aset Henti Guna",'Daftar Koreksi'!$H$5:$H$92,"&gt;0")</f>
        <v>0</v>
      </c>
      <c r="F279" s="25">
        <f>SUMIFS('Daftar Koreksi'!$H$5:$H$92,'Daftar Koreksi'!$D$5:$D$92,'2900'!A268,'Daftar Koreksi'!$G$5:$G$92,"Aset Henti Guna",'Daftar Koreksi'!$H$5:$H$92,"&lt;0")-SUMIFS('Daftar Koreksi'!$H$5:$H$92,'Daftar Koreksi'!$D$5:$D$92,'2900'!A268,'Daftar Koreksi'!$G$5:$G$92,"Aset Henti Guna",'Daftar Koreksi'!$H$5:$H$92,"&lt;0")-SUMIFS('Daftar Koreksi'!$H$5:$H$92,'Daftar Koreksi'!$D$5:$D$92,'2900'!A268,'Daftar Koreksi'!$G$5:$G$92,"Aset Henti Guna",'Daftar Koreksi'!$H$5:$H$92,"&lt;0")</f>
        <v>0</v>
      </c>
      <c r="G279" s="17">
        <f t="shared" si="12"/>
        <v>2902000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16842045714</v>
      </c>
      <c r="E280" s="19">
        <f>SUM(E271:E279)</f>
        <v>0</v>
      </c>
      <c r="F280" s="19">
        <f>SUM(F271:F279)</f>
        <v>0</v>
      </c>
      <c r="G280" s="19">
        <f t="shared" si="12"/>
        <v>16842045714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-1178495030</v>
      </c>
      <c r="E281" s="25">
        <f>SUMIFS('Daftar Koreksi'!$I$5:$I$92,'Daftar Koreksi'!$D$5:$D$92,'2900'!A268,'Daftar Koreksi'!$G$5:$G$92,"Peralatan dan mesin",'Daftar Koreksi'!$I$5:$I$92,"&gt;0")</f>
        <v>0</v>
      </c>
      <c r="F281" s="25">
        <f>SUMIFS('Daftar Koreksi'!$I$5:$I$92,'Daftar Koreksi'!$D$5:$D$92,'2900'!A268,'Daftar Koreksi'!$G$5:$G$92,"Peralatan dan mesin",'Daftar Koreksi'!$I$5:$I$92,"&lt;0")-SUMIFS('Daftar Koreksi'!$I$5:$I$92,'Daftar Koreksi'!$D$5:$D$92,'2900'!A268,'Daftar Koreksi'!$G$5:$G$92,"Peralatan dan mesin",'Daftar Koreksi'!$I$5:$I$92,"&lt;0")-SUMIFS('Daftar Koreksi'!$I$5:$I$92,'Daftar Koreksi'!$D$5:$D$92,'2900'!A268,'Daftar Koreksi'!$G$5:$G$92,"Peralatan dan mesin",'Daftar Koreksi'!$I$5:$I$92,"&lt;0")</f>
        <v>0</v>
      </c>
      <c r="G281" s="17">
        <f t="shared" si="12"/>
        <v>-1178495030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-295503630</v>
      </c>
      <c r="E282" s="25">
        <f>SUMIFS('Daftar Koreksi'!$I$5:$I$92,'Daftar Koreksi'!$D$5:$D$92,'2900'!A268,'Daftar Koreksi'!$G$5:$G$92,"Gedung dan Bangunan",'Daftar Koreksi'!$I$5:$I$92,"&gt;0")</f>
        <v>0</v>
      </c>
      <c r="F282" s="25">
        <f>SUMIFS('Daftar Koreksi'!$I$5:$I$92,'Daftar Koreksi'!$D$5:$D$92,'2900'!A268,'Daftar Koreksi'!$G$5:$G$92,"Gedung dan Bangunan",'Daftar Koreksi'!$I$5:$I$92,"&lt;0")-SUMIFS('Daftar Koreksi'!$I$5:$I$92,'Daftar Koreksi'!$D$5:$D$92,'2900'!A268,'Daftar Koreksi'!$G$5:$G$92,"Gedung dan Bangunan",'Daftar Koreksi'!$I$5:$I$92,"&lt;0")-SUMIFS('Daftar Koreksi'!$I$5:$I$92,'Daftar Koreksi'!$D$5:$D$92,'2900'!A268,'Daftar Koreksi'!$G$5:$G$92,"Gedung dan Bangunan",'Daftar Koreksi'!$I$5:$I$92,"&lt;0")</f>
        <v>0</v>
      </c>
      <c r="G282" s="17">
        <f t="shared" si="12"/>
        <v>-295503630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Koreksi'!$D$5:$D$92,'2900'!A268,'Daftar Koreksi'!$G$5:$G$92,"Jalan Irigasi Jaringan",'Daftar Koreksi'!$I$5:$I$92,"&gt;0")</f>
        <v>0</v>
      </c>
      <c r="F283" s="25">
        <f>SUMIFS('Daftar Koreksi'!$I$5:$I$92,'Daftar Koreksi'!$D$5:$D$92,'2900'!A268,'Daftar Koreksi'!$G$5:$G$92,"Jalan Irigasi Jaringan",'Daftar Koreksi'!$I$5:$I$92,"&lt;0")-SUMIFS('Daftar Koreksi'!$I$5:$I$92,'Daftar Koreksi'!$D$5:$D$92,'2900'!A268,'Daftar Koreksi'!$G$5:$G$92,"Jalan Irigasi Jaringan",'Daftar Koreksi'!$I$5:$I$92,"&lt;0")-SUMIFS('Daftar Koreksi'!$I$5:$I$92,'Daftar Koreksi'!$D$5:$D$92,'2900'!A268,'Daftar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Koreksi'!$D$5:$D$92,'2900'!A268,'Daftar Koreksi'!$G$5:$G$92,"Aset Tetap Lainnya",'Daftar Koreksi'!$I$5:$I$92,"&gt;0")</f>
        <v>0</v>
      </c>
      <c r="F284" s="25">
        <f>SUMIFS('Daftar Koreksi'!$I$5:$I$92,'Daftar Koreksi'!$D$5:$D$92,'2900'!A268,'Daftar Koreksi'!$G$5:$G$92,"Aset Tetap Lainnya",'Daftar Koreksi'!$I$5:$I$92,"&lt;0")-SUMIFS('Daftar Koreksi'!$I$5:$I$92,'Daftar Koreksi'!$D$5:$D$92,'2900'!A268,'Daftar Koreksi'!$G$5:$G$92,"Aset Tetap Lainnya",'Daftar Koreksi'!$I$5:$I$92,"&lt;0")-SUMIFS('Daftar Koreksi'!$I$5:$I$92,'Daftar Koreksi'!$D$5:$D$92,'2900'!A268,'Daftar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-2205040</v>
      </c>
      <c r="E285" s="25">
        <f>SUMIFS('Daftar Koreksi'!$I$5:$I$92,'Daftar Koreksi'!$D$5:$D$92,'2900'!A268,'Daftar Koreksi'!$G$5:$G$92,"Aset Henti Guna",'Daftar Koreksi'!$I$5:$I$92,"&gt;0")</f>
        <v>0</v>
      </c>
      <c r="F285" s="25">
        <f>SUMIFS('Daftar Koreksi'!$I$5:$I$92,'Daftar Koreksi'!$D$5:$D$92,'2900'!A268,'Daftar Koreksi'!$G$5:$G$92,"Aset Henti Guna",'Daftar Koreksi'!$I$5:$I$92,"&lt;0")-SUMIFS('Daftar Koreksi'!$I$5:$I$92,'Daftar Koreksi'!$D$5:$D$92,'2900'!A268,'Daftar Koreksi'!$G$5:$G$92,"Aset Henti Guna",'Daftar Koreksi'!$I$5:$I$92,"&lt;0")-SUMIFS('Daftar Koreksi'!$I$5:$I$92,'Daftar Koreksi'!$D$5:$D$92,'2900'!A268,'Daftar Koreksi'!$G$5:$G$92,"Aset Henti Guna",'Daftar Koreksi'!$I$5:$I$92,"&lt;0")</f>
        <v>0</v>
      </c>
      <c r="G285" s="17">
        <f t="shared" si="12"/>
        <v>-2205040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-1476203700</v>
      </c>
      <c r="E286" s="19">
        <f>SUM(E281:E285)</f>
        <v>0</v>
      </c>
      <c r="F286" s="19">
        <f>SUM(F281:F285)</f>
        <v>0</v>
      </c>
      <c r="G286" s="19">
        <f t="shared" si="12"/>
        <v>-1476203700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15365842014</v>
      </c>
      <c r="E287" s="19">
        <f>E286+E280</f>
        <v>0</v>
      </c>
      <c r="F287" s="19">
        <f>F286+F280</f>
        <v>0</v>
      </c>
      <c r="G287" s="19">
        <f t="shared" si="12"/>
        <v>15365842014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</sheetData>
  <mergeCells count="78">
    <mergeCell ref="H227:H244"/>
    <mergeCell ref="H249:H266"/>
    <mergeCell ref="H271:H288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247:C248"/>
    <mergeCell ref="D247:D248"/>
    <mergeCell ref="E247:F247"/>
    <mergeCell ref="G247:G248"/>
    <mergeCell ref="H247:H248"/>
    <mergeCell ref="C225:C226"/>
    <mergeCell ref="D225:D226"/>
    <mergeCell ref="E225:F225"/>
    <mergeCell ref="G225:G226"/>
    <mergeCell ref="H225:H226"/>
    <mergeCell ref="C269:C270"/>
    <mergeCell ref="D269:D270"/>
    <mergeCell ref="E269:F269"/>
    <mergeCell ref="G269:G270"/>
    <mergeCell ref="H269:H270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P200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790</v>
      </c>
      <c r="P1" s="8" t="s">
        <v>1926</v>
      </c>
    </row>
    <row r="2" spans="1:16" ht="19.5" customHeight="1">
      <c r="C2" s="9" t="s">
        <v>2125</v>
      </c>
      <c r="O2" s="8" t="s">
        <v>791</v>
      </c>
      <c r="P2" s="8" t="s">
        <v>1927</v>
      </c>
    </row>
    <row r="3" spans="1:16" ht="19.5" customHeight="1">
      <c r="O3" s="8" t="s">
        <v>792</v>
      </c>
      <c r="P3" s="8" t="s">
        <v>1928</v>
      </c>
    </row>
    <row r="4" spans="1:16" ht="19.5" customHeight="1">
      <c r="A4" s="11" t="str">
        <f>O1</f>
        <v>005013000099010000KD</v>
      </c>
      <c r="B4" s="11" t="str">
        <f>P1</f>
        <v>PN. Pangkal Pinang</v>
      </c>
      <c r="C4" s="12" t="str">
        <f>A4&amp;" "&amp;B4</f>
        <v>005013000099010000KD PN. Pangkal Pinang</v>
      </c>
      <c r="D4" s="13"/>
      <c r="E4" s="13"/>
      <c r="F4" s="13"/>
      <c r="G4" s="13"/>
      <c r="H4" s="11"/>
      <c r="O4" s="8" t="s">
        <v>793</v>
      </c>
      <c r="P4" s="8" t="s">
        <v>1929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794</v>
      </c>
      <c r="P5" s="8" t="s">
        <v>1930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795</v>
      </c>
      <c r="P6" s="8" t="s">
        <v>1931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14742050</v>
      </c>
      <c r="E7" s="25">
        <f>SUMIFS('Daftar Koreksi'!$H$5:$H$92,'Daftar Koreksi'!$D$5:$D$92,'3000'!A4,'Daftar Koreksi'!$G$5:$G$92,"Persediaan",'Daftar Koreksi'!$H$5:$H$92,"&gt;0")</f>
        <v>0</v>
      </c>
      <c r="F7" s="25">
        <f>SUMIFS('Daftar Koreksi'!$H$5:$H$92,'Daftar Koreksi'!$D$5:$D$92,'3000'!A4,'Daftar Koreksi'!$G$5:$G$92,"Persediaan",'Daftar Koreksi'!$H$5:$H$92,"&lt;0")-SUMIFS('Daftar Koreksi'!$H$5:$H$92,'Daftar Koreksi'!$D$5:$D$92,'3000'!A4,'Daftar Koreksi'!$G$5:$G$92,"Persediaan",'Daftar Koreksi'!$H$5:$H$92,"&lt;0")-SUMIFS('Daftar Koreksi'!$H$5:$H$92,'Daftar Koreksi'!$D$5:$D$92,'3000'!A4,'Daftar Koreksi'!$G$5:$G$92,"Persediaan",'Daftar Koreksi'!$H$5:$H$92,"&lt;0")</f>
        <v>0</v>
      </c>
      <c r="G7" s="17">
        <f>D7+E7-F7</f>
        <v>14742050</v>
      </c>
      <c r="H7" s="121" t="str">
        <f>IF(ISNA(VLOOKUP(A4,'Mutasi Neraca'!$A$3:$S$914,19,FALSE)),"-",VLOOKUP(A4,'Mutasi Neraca'!$A$3:$S$914,19,FALSE))</f>
        <v>TP Koreksi Hibah No. 4</v>
      </c>
      <c r="O7" s="8" t="s">
        <v>796</v>
      </c>
      <c r="P7" s="8" t="s">
        <v>1932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5471646700</v>
      </c>
      <c r="E8" s="25">
        <f>SUMIFS('Daftar Koreksi'!$H$5:$H$92,'Daftar Koreksi'!$D$5:$D$92,'3000'!A4,'Daftar Koreksi'!$G$5:$G$92,"Tanah",'Daftar Koreksi'!$H$5:$H$92,"&gt;0")</f>
        <v>0</v>
      </c>
      <c r="F8" s="25">
        <f>SUMIFS('Daftar Koreksi'!$H$5:$H$92,'Daftar Koreksi'!$D$5:$D$92,'3000'!A4,'Daftar Koreksi'!$G$5:$G$92,"Tanah",'Daftar Koreksi'!$H$5:$H$92,"&lt;0")-SUMIFS('Daftar Koreksi'!$H$5:$H$92,'Daftar Koreksi'!$D$5:$D$92,'3000'!A4,'Daftar Koreksi'!$G$5:$G$92,"Tanah",'Daftar Koreksi'!$H$5:$H$92,"&lt;0")-SUMIFS('Daftar Koreksi'!$H$5:$H$92,'Daftar Koreksi'!$D$5:$D$92,'3000'!A4,'Daftar Koreksi'!$G$5:$G$92,"Tanah",'Daftar Koreksi'!$H$5:$H$92,"&lt;0")</f>
        <v>0</v>
      </c>
      <c r="G8" s="17">
        <f t="shared" ref="G8:G24" si="0">D8+E8-F8</f>
        <v>5471646700</v>
      </c>
      <c r="H8" s="122"/>
      <c r="O8" s="8" t="s">
        <v>797</v>
      </c>
      <c r="P8" s="8" t="s">
        <v>1933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2225352112</v>
      </c>
      <c r="E9" s="25">
        <f>SUMIFS('Daftar Koreksi'!$H$5:$H$92,'Daftar Koreksi'!$D$5:$D$92,'3000'!A4,'Daftar Koreksi'!$G$5:$G$92,"Peralatan dan mesin",'Daftar Koreksi'!$H$5:$H$92,"&gt;0")</f>
        <v>0</v>
      </c>
      <c r="F9" s="25">
        <f>SUMIFS('Daftar Koreksi'!$H$5:$H$92,'Daftar Koreksi'!$D$5:$D$92,'3000'!A4,'Daftar Koreksi'!$G$5:$G$92,"Peralatan dan mesin",'Daftar Koreksi'!$H$5:$H$92,"&lt;0")-SUMIFS('Daftar Koreksi'!$H$5:$H$92,'Daftar Koreksi'!$D$5:$D$92,'3000'!A4,'Daftar Koreksi'!$G$5:$G$92,"Peralatan dan mesin",'Daftar Koreksi'!$H$5:$H$92,"&lt;0")-SUMIFS('Daftar Koreksi'!$H$5:$H$92,'Daftar Koreksi'!$D$5:$D$92,'3000'!A4,'Daftar Koreksi'!$G$5:$G$92,"Peralatan dan mesin",'Daftar Koreksi'!$H$5:$H$92,"&lt;0")</f>
        <v>0</v>
      </c>
      <c r="G9" s="17">
        <f t="shared" si="0"/>
        <v>2225352112</v>
      </c>
      <c r="H9" s="122"/>
      <c r="O9" s="8" t="s">
        <v>798</v>
      </c>
      <c r="P9" s="8" t="s">
        <v>1934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9654878819</v>
      </c>
      <c r="E10" s="25">
        <f>SUMIFS('Daftar Koreksi'!$H$5:$H$92,'Daftar Koreksi'!$D$5:$D$92,'3000'!A4,'Daftar Koreksi'!$G$5:$G$92,"Gedung dan Bangunan",'Daftar Koreksi'!$H$5:$H$92,"&gt;0")</f>
        <v>71894679</v>
      </c>
      <c r="F10" s="25">
        <f>SUMIFS('Daftar Koreksi'!$H$5:$H$92,'Daftar Koreksi'!$D$5:$D$92,'3000'!A4,'Daftar Koreksi'!$G$5:$G$92,"Gedung dan Bangunan",'Daftar Koreksi'!$H$5:$H$92,"&lt;0")-SUMIFS('Daftar Koreksi'!$H$5:$H$92,'Daftar Koreksi'!$D$5:$D$92,'3000'!A4,'Daftar Koreksi'!$G$5:$G$92,"Gedung dan Bangunan",'Daftar Koreksi'!$H$5:$H$92,"&lt;0")-SUMIFS('Daftar Koreksi'!$H$5:$H$92,'Daftar Koreksi'!$D$5:$D$92,'3000'!A4,'Daftar Koreksi'!$G$5:$G$92,"Gedung dan Bangunan",'Daftar Koreksi'!$H$5:$H$92,"&lt;0")</f>
        <v>0</v>
      </c>
      <c r="G10" s="17">
        <f t="shared" si="0"/>
        <v>9726773498</v>
      </c>
      <c r="H10" s="122"/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Koreksi'!$D$5:$D$92,'3000'!A4,'Daftar Koreksi'!$G$5:$G$92,"Jalan Irigasi Jaringan",'Daftar Koreksi'!$H$5:$H$92,"&gt;0")</f>
        <v>0</v>
      </c>
      <c r="F11" s="25">
        <f>SUMIFS('Daftar Koreksi'!$H$5:$H$92,'Daftar Koreksi'!$D$5:$D$92,'3000'!A4,'Daftar Koreksi'!$G$5:$G$92,"Jalan Irigasi Jaringan",'Daftar Koreksi'!$H$5:$H$92,"&lt;0")-SUMIFS('Daftar Koreksi'!$H$5:$H$92,'Daftar Koreksi'!$D$5:$D$92,'3000'!A4,'Daftar Koreksi'!$G$5:$G$92,"Jalan Irigasi Jaringan",'Daftar Koreksi'!$H$5:$H$92,"&lt;0")-SUMIFS('Daftar Koreksi'!$H$5:$H$92,'Daftar Koreksi'!$D$5:$D$92,'3000'!A4,'Daftar Koreksi'!$G$5:$G$92,"Jalan Irigasi Jaringan",'Daftar Koreksi'!$H$5:$H$92,"&lt;0")</f>
        <v>0</v>
      </c>
      <c r="G11" s="17">
        <f t="shared" si="0"/>
        <v>0</v>
      </c>
      <c r="H11" s="122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65209498</v>
      </c>
      <c r="E12" s="25">
        <f>SUMIFS('Daftar Koreksi'!$H$5:$H$92,'Daftar Koreksi'!$D$5:$D$92,'3000'!A4,'Daftar Koreksi'!$G$5:$G$92,"Aset Tetap Lainnya",'Daftar Koreksi'!$H$5:$H$92,"&gt;0")</f>
        <v>0</v>
      </c>
      <c r="F12" s="25">
        <f>SUMIFS('Daftar Koreksi'!$H$5:$H$92,'Daftar Koreksi'!$D$5:$D$92,'3000'!A4,'Daftar Koreksi'!$G$5:$G$92,"Aset Tetap Lainnya",'Daftar Koreksi'!$H$5:$H$92,"&lt;0")-SUMIFS('Daftar Koreksi'!$H$5:$H$92,'Daftar Koreksi'!$D$5:$D$92,'3000'!A4,'Daftar Koreksi'!$G$5:$G$92,"Aset Tetap Lainnya",'Daftar Koreksi'!$H$5:$H$92,"&lt;0")-SUMIFS('Daftar Koreksi'!$H$5:$H$92,'Daftar Koreksi'!$D$5:$D$92,'3000'!A4,'Daftar Koreksi'!$G$5:$G$92,"Aset Tetap Lainnya",'Daftar Koreksi'!$H$5:$H$92,"&lt;0")</f>
        <v>0</v>
      </c>
      <c r="G12" s="17">
        <f t="shared" si="0"/>
        <v>65209498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Koreksi'!$D$5:$D$92,'3000'!A4,'Daftar Koreksi'!$G$5:$G$92,"Kontruksi Dalam Pengerjaan",'Daftar Koreksi'!$H$5:$H$92,"&gt;0")</f>
        <v>0</v>
      </c>
      <c r="F13" s="25">
        <f>SUMIFS('Daftar Koreksi'!$H$5:$H$92,'Daftar Koreksi'!$D$5:$D$92,'3000'!A4,'Daftar Koreksi'!$G$5:$G$92,"Kontruksi Dalam Pengerjaan",'Daftar Koreksi'!$H$5:$H$92,"&lt;0")-SUMIFS('Daftar Koreksi'!$H$5:$H$92,'Daftar Koreksi'!$D$5:$D$92,'3000'!A4,'Daftar Koreksi'!$G$5:$G$92,"Kontruksi Dalam Pengerjaan",'Daftar Koreksi'!$H$5:$H$92,"&lt;0")-SUMIFS('Daftar Koreksi'!$H$5:$H$92,'Daftar Koreksi'!$D$5:$D$92,'3000'!A4,'Daftar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Koreksi'!$D$5:$D$92,'3000'!A4,'Daftar Koreksi'!$G$5:$G$92,"Aset Tak Berwujud",'Daftar Koreksi'!$H$5:$H$92,"&gt;0")</f>
        <v>0</v>
      </c>
      <c r="F14" s="25">
        <f>SUMIFS('Daftar Koreksi'!$H$5:$H$92,'Daftar Koreksi'!$D$5:$D$92,'3000'!A4,'Daftar Koreksi'!$G$5:$G$92,"Aset Tak Berwujud",'Daftar Koreksi'!$H$5:$H$92,"&lt;0")-SUMIFS('Daftar Koreksi'!$H$5:$H$92,'Daftar Koreksi'!$D$5:$D$92,'3000'!A4,'Daftar Koreksi'!$G$5:$G$92,"Aset Tak Berwujud",'Daftar Koreksi'!$H$5:$H$92,"&lt;0")-SUMIFS('Daftar Koreksi'!$H$5:$H$92,'Daftar Koreksi'!$D$5:$D$92,'3000'!A4,'Daftar Koreksi'!$G$5:$G$92,"Aset Tak Berwujud",'Daftar Koreksi'!$H$5:$H$92,"&lt;0")</f>
        <v>0</v>
      </c>
      <c r="G14" s="17">
        <f t="shared" si="0"/>
        <v>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475564655</v>
      </c>
      <c r="E15" s="25">
        <f>SUMIFS('Daftar Koreksi'!$H$5:$H$92,'Daftar Koreksi'!$D$5:$D$92,'3000'!A4,'Daftar Koreksi'!$G$5:$G$92,"Aset Henti Guna",'Daftar Koreksi'!$H$5:$H$92,"&gt;0")</f>
        <v>0</v>
      </c>
      <c r="F15" s="25">
        <f>SUMIFS('Daftar Koreksi'!$H$5:$H$92,'Daftar Koreksi'!$D$5:$D$92,'3000'!A4,'Daftar Koreksi'!$G$5:$G$92,"Aset Henti Guna",'Daftar Koreksi'!$H$5:$H$92,"&lt;0")-SUMIFS('Daftar Koreksi'!$H$5:$H$92,'Daftar Koreksi'!$D$5:$D$92,'3000'!A4,'Daftar Koreksi'!$G$5:$G$92,"Aset Henti Guna",'Daftar Koreksi'!$H$5:$H$92,"&lt;0")-SUMIFS('Daftar Koreksi'!$H$5:$H$92,'Daftar Koreksi'!$D$5:$D$92,'3000'!A4,'Daftar Koreksi'!$G$5:$G$92,"Aset Henti Guna",'Daftar Koreksi'!$H$5:$H$92,"&lt;0")</f>
        <v>0</v>
      </c>
      <c r="G15" s="17">
        <f t="shared" si="0"/>
        <v>475564655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17907393834</v>
      </c>
      <c r="E16" s="19">
        <f>SUM(E7:E15)</f>
        <v>71894679</v>
      </c>
      <c r="F16" s="19">
        <f>SUM(F7:F15)</f>
        <v>0</v>
      </c>
      <c r="G16" s="19">
        <f t="shared" si="0"/>
        <v>17979288513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-2030018525</v>
      </c>
      <c r="E17" s="25">
        <f>SUMIFS('Daftar Koreksi'!$I$5:$I$92,'Daftar Koreksi'!$D$5:$D$92,'3000'!A4,'Daftar Koreksi'!$G$5:$G$92,"Peralatan dan mesin",'Daftar Koreksi'!$I$5:$I$92,"&gt;0")</f>
        <v>0</v>
      </c>
      <c r="F17" s="25">
        <f>SUMIFS('Daftar Koreksi'!$I$5:$I$92,'Daftar Koreksi'!$D$5:$D$92,'3000'!A4,'Daftar Koreksi'!$G$5:$G$92,"Peralatan dan mesin",'Daftar Koreksi'!$I$5:$I$92,"&lt;0")-SUMIFS('Daftar Koreksi'!$I$5:$I$92,'Daftar Koreksi'!$D$5:$D$92,'3000'!A4,'Daftar Koreksi'!$G$5:$G$92,"Peralatan dan mesin",'Daftar Koreksi'!$I$5:$I$92,"&lt;0")-SUMIFS('Daftar Koreksi'!$I$5:$I$92,'Daftar Koreksi'!$D$5:$D$92,'3000'!A4,'Daftar Koreksi'!$G$5:$G$92,"Peralatan dan mesin",'Daftar Koreksi'!$I$5:$I$92,"&lt;0")</f>
        <v>0</v>
      </c>
      <c r="G17" s="17">
        <f t="shared" si="0"/>
        <v>-2030018525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-824336391</v>
      </c>
      <c r="E18" s="25">
        <f>SUMIFS('Daftar Koreksi'!$I$5:$I$92,'Daftar Koreksi'!$D$5:$D$92,'3000'!A4,'Daftar Koreksi'!$G$5:$G$92,"Gedung dan Bangunan",'Daftar Koreksi'!$I$5:$I$92,"&gt;0")</f>
        <v>0</v>
      </c>
      <c r="F18" s="25">
        <f>SUMIFS('Daftar Koreksi'!$I$5:$I$92,'Daftar Koreksi'!$D$5:$D$92,'3000'!A4,'Daftar Koreksi'!$G$5:$G$92,"Gedung dan Bangunan",'Daftar Koreksi'!$I$5:$I$92,"&lt;0")-SUMIFS('Daftar Koreksi'!$I$5:$I$92,'Daftar Koreksi'!$D$5:$D$92,'3000'!A4,'Daftar Koreksi'!$G$5:$G$92,"Gedung dan Bangunan",'Daftar Koreksi'!$I$5:$I$92,"&lt;0")-SUMIFS('Daftar Koreksi'!$I$5:$I$92,'Daftar Koreksi'!$D$5:$D$92,'3000'!A4,'Daftar Koreksi'!$G$5:$G$92,"Gedung dan Bangunan",'Daftar Koreksi'!$I$5:$I$92,"&lt;0")</f>
        <v>16863989</v>
      </c>
      <c r="G18" s="17">
        <f t="shared" si="0"/>
        <v>-841200380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Koreksi'!$D$5:$D$92,'3000'!A4,'Daftar Koreksi'!$G$5:$G$92,"Jalan Irigasi Jaringan",'Daftar Koreksi'!$I$5:$I$92,"&gt;0")</f>
        <v>0</v>
      </c>
      <c r="F19" s="25">
        <f>SUMIFS('Daftar Koreksi'!$I$5:$I$92,'Daftar Koreksi'!$D$5:$D$92,'3000'!A4,'Daftar Koreksi'!$G$5:$G$92,"Jalan Irigasi Jaringan",'Daftar Koreksi'!$I$5:$I$92,"&lt;0")-SUMIFS('Daftar Koreksi'!$I$5:$I$92,'Daftar Koreksi'!$D$5:$D$92,'3000'!A4,'Daftar Koreksi'!$G$5:$G$92,"Jalan Irigasi Jaringan",'Daftar Koreksi'!$I$5:$I$92,"&lt;0")-SUMIFS('Daftar Koreksi'!$I$5:$I$92,'Daftar Koreksi'!$D$5:$D$92,'3000'!A4,'Daftar Koreksi'!$G$5:$G$92,"Jalan Irigasi Jaringan",'Daftar Koreksi'!$I$5:$I$92,"&lt;0")</f>
        <v>0</v>
      </c>
      <c r="G19" s="17">
        <f t="shared" si="0"/>
        <v>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Koreksi'!$D$5:$D$92,'3000'!A4,'Daftar Koreksi'!$G$5:$G$92,"Aset Tetap Lainnya",'Daftar Koreksi'!$I$5:$I$92,"&gt;0")</f>
        <v>0</v>
      </c>
      <c r="F20" s="25">
        <f>SUMIFS('Daftar Koreksi'!$I$5:$I$92,'Daftar Koreksi'!$D$5:$D$92,'3000'!A4,'Daftar Koreksi'!$G$5:$G$92,"Aset Tetap Lainnya",'Daftar Koreksi'!$I$5:$I$92,"&lt;0")-SUMIFS('Daftar Koreksi'!$I$5:$I$92,'Daftar Koreksi'!$D$5:$D$92,'3000'!A4,'Daftar Koreksi'!$G$5:$G$92,"Aset Tetap Lainnya",'Daftar Koreksi'!$I$5:$I$92,"&lt;0")-SUMIFS('Daftar Koreksi'!$I$5:$I$92,'Daftar Koreksi'!$D$5:$D$92,'3000'!A4,'Daftar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-475544655</v>
      </c>
      <c r="E21" s="25">
        <f>SUMIFS('Daftar Koreksi'!$I$5:$I$92,'Daftar Koreksi'!$D$5:$D$92,'3000'!A4,'Daftar Koreksi'!$G$5:$G$92,"Aset Henti Guna",'Daftar Koreksi'!$I$5:$I$92,"&gt;0")</f>
        <v>0</v>
      </c>
      <c r="F21" s="25">
        <f>SUMIFS('Daftar Koreksi'!$I$5:$I$92,'Daftar Koreksi'!$D$5:$D$92,'3000'!A4,'Daftar Koreksi'!$G$5:$G$92,"Aset Henti Guna",'Daftar Koreksi'!$I$5:$I$92,"&lt;0")-SUMIFS('Daftar Koreksi'!$I$5:$I$92,'Daftar Koreksi'!$D$5:$D$92,'3000'!A4,'Daftar Koreksi'!$G$5:$G$92,"Aset Henti Guna",'Daftar Koreksi'!$I$5:$I$92,"&lt;0")-SUMIFS('Daftar Koreksi'!$I$5:$I$92,'Daftar Koreksi'!$D$5:$D$92,'3000'!A4,'Daftar Koreksi'!$G$5:$G$92,"Aset Henti Guna",'Daftar Koreksi'!$I$5:$I$92,"&lt;0")</f>
        <v>0</v>
      </c>
      <c r="G21" s="17">
        <f t="shared" si="0"/>
        <v>-475544655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-3329899571</v>
      </c>
      <c r="E22" s="19">
        <f>SUM(E17:E21)</f>
        <v>0</v>
      </c>
      <c r="F22" s="19">
        <f>SUM(F17:F21)</f>
        <v>16863989</v>
      </c>
      <c r="G22" s="19">
        <f t="shared" si="0"/>
        <v>-3346763560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14577494263</v>
      </c>
      <c r="E23" s="19">
        <f>E22+E16</f>
        <v>71894679</v>
      </c>
      <c r="F23" s="19">
        <f>F22+F16</f>
        <v>16863989</v>
      </c>
      <c r="G23" s="19">
        <f t="shared" si="0"/>
        <v>14632524953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005013000099024000KD</v>
      </c>
      <c r="B26" s="11" t="str">
        <f>P2</f>
        <v>PN. Sungai Liat</v>
      </c>
      <c r="C26" s="12" t="str">
        <f>A26&amp;" "&amp;B26</f>
        <v>005013000099024000KD PN. Sungai Liat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5710000</v>
      </c>
      <c r="E29" s="25">
        <f>SUMIFS('Daftar Koreksi'!$H$5:$H$92,'Daftar Koreksi'!$D$5:$D$92,'3000'!A26,'Daftar Koreksi'!$G$5:$G$92,"Persediaan",'Daftar Koreksi'!$H$5:$H$92,"&gt;0")</f>
        <v>0</v>
      </c>
      <c r="F29" s="25">
        <f>SUMIFS('Daftar Koreksi'!$H$5:$H$92,'Daftar Koreksi'!$D$5:$D$92,'3000'!A26,'Daftar Koreksi'!$G$5:$G$92,"Persediaan",'Daftar Koreksi'!$H$5:$H$92,"&lt;0")-SUMIFS('Daftar Koreksi'!$H$5:$H$92,'Daftar Koreksi'!$D$5:$D$92,'3000'!A26,'Daftar Koreksi'!$G$5:$G$92,"Persediaan",'Daftar Koreksi'!$H$5:$H$92,"&lt;0")-SUMIFS('Daftar Koreksi'!$H$5:$H$92,'Daftar Koreksi'!$D$5:$D$92,'3000'!A26,'Daftar Koreksi'!$G$5:$G$92,"Persediaan",'Daftar Koreksi'!$H$5:$H$92,"&lt;0")</f>
        <v>0</v>
      </c>
      <c r="G29" s="17">
        <f>D29+E29-F29</f>
        <v>5710000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6063781240</v>
      </c>
      <c r="E30" s="25">
        <f>SUMIFS('Daftar Koreksi'!$H$5:$H$92,'Daftar Koreksi'!$D$5:$D$92,'3000'!A26,'Daftar Koreksi'!$G$5:$G$92,"Tanah",'Daftar Koreksi'!$H$5:$H$92,"&gt;0")</f>
        <v>0</v>
      </c>
      <c r="F30" s="25">
        <f>SUMIFS('Daftar Koreksi'!$H$5:$H$92,'Daftar Koreksi'!$D$5:$D$92,'3000'!A26,'Daftar Koreksi'!$G$5:$G$92,"Tanah",'Daftar Koreksi'!$H$5:$H$92,"&lt;0")-SUMIFS('Daftar Koreksi'!$H$5:$H$92,'Daftar Koreksi'!$D$5:$D$92,'3000'!A26,'Daftar Koreksi'!$G$5:$G$92,"Tanah",'Daftar Koreksi'!$H$5:$H$92,"&lt;0")-SUMIFS('Daftar Koreksi'!$H$5:$H$92,'Daftar Koreksi'!$D$5:$D$92,'3000'!A26,'Daftar Koreksi'!$G$5:$G$92,"Tanah",'Daftar Koreksi'!$H$5:$H$92,"&lt;0")</f>
        <v>0</v>
      </c>
      <c r="G30" s="17">
        <f t="shared" ref="G30:G46" si="1">D30+E30-F30</f>
        <v>6063781240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2379200737</v>
      </c>
      <c r="E31" s="25">
        <f>SUMIFS('Daftar Koreksi'!$H$5:$H$92,'Daftar Koreksi'!$D$5:$D$92,'3000'!A26,'Daftar Koreksi'!$G$5:$G$92,"Peralatan dan mesin",'Daftar Koreksi'!$H$5:$H$92,"&gt;0")</f>
        <v>0</v>
      </c>
      <c r="F31" s="25">
        <f>SUMIFS('Daftar Koreksi'!$H$5:$H$92,'Daftar Koreksi'!$D$5:$D$92,'3000'!A26,'Daftar Koreksi'!$G$5:$G$92,"Peralatan dan mesin",'Daftar Koreksi'!$H$5:$H$92,"&lt;0")-SUMIFS('Daftar Koreksi'!$H$5:$H$92,'Daftar Koreksi'!$D$5:$D$92,'3000'!A26,'Daftar Koreksi'!$G$5:$G$92,"Peralatan dan mesin",'Daftar Koreksi'!$H$5:$H$92,"&lt;0")-SUMIFS('Daftar Koreksi'!$H$5:$H$92,'Daftar Koreksi'!$D$5:$D$92,'3000'!A26,'Daftar Koreksi'!$G$5:$G$92,"Peralatan dan mesin",'Daftar Koreksi'!$H$5:$H$92,"&lt;0")</f>
        <v>0</v>
      </c>
      <c r="G31" s="17">
        <f t="shared" si="1"/>
        <v>2379200737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12041256000</v>
      </c>
      <c r="E32" s="25">
        <f>SUMIFS('Daftar Koreksi'!$H$5:$H$92,'Daftar Koreksi'!$D$5:$D$92,'3000'!A26,'Daftar Koreksi'!$G$5:$G$92,"Gedung dan Bangunan",'Daftar Koreksi'!$H$5:$H$92,"&gt;0")</f>
        <v>0</v>
      </c>
      <c r="F32" s="25">
        <f>SUMIFS('Daftar Koreksi'!$H$5:$H$92,'Daftar Koreksi'!$D$5:$D$92,'3000'!A26,'Daftar Koreksi'!$G$5:$G$92,"Gedung dan Bangunan",'Daftar Koreksi'!$H$5:$H$92,"&lt;0")-SUMIFS('Daftar Koreksi'!$H$5:$H$92,'Daftar Koreksi'!$D$5:$D$92,'3000'!A26,'Daftar Koreksi'!$G$5:$G$92,"Gedung dan Bangunan",'Daftar Koreksi'!$H$5:$H$92,"&lt;0")-SUMIFS('Daftar Koreksi'!$H$5:$H$92,'Daftar Koreksi'!$D$5:$D$92,'3000'!A26,'Daftar Koreksi'!$G$5:$G$92,"Gedung dan Bangunan",'Daftar Koreksi'!$H$5:$H$92,"&lt;0")</f>
        <v>0</v>
      </c>
      <c r="G32" s="17">
        <f t="shared" si="1"/>
        <v>12041256000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Koreksi'!$D$5:$D$92,'3000'!A26,'Daftar Koreksi'!$G$5:$G$92,"Jalan Irigasi Jaringan",'Daftar Koreksi'!$H$5:$H$92,"&gt;0")</f>
        <v>0</v>
      </c>
      <c r="F33" s="25">
        <f>SUMIFS('Daftar Koreksi'!$H$5:$H$92,'Daftar Koreksi'!$D$5:$D$92,'3000'!A26,'Daftar Koreksi'!$G$5:$G$92,"Jalan Irigasi Jaringan",'Daftar Koreksi'!$H$5:$H$92,"&lt;0")-SUMIFS('Daftar Koreksi'!$H$5:$H$92,'Daftar Koreksi'!$D$5:$D$92,'3000'!A26,'Daftar Koreksi'!$G$5:$G$92,"Jalan Irigasi Jaringan",'Daftar Koreksi'!$H$5:$H$92,"&lt;0")-SUMIFS('Daftar Koreksi'!$H$5:$H$92,'Daftar Koreksi'!$D$5:$D$92,'3000'!A26,'Daftar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1943440</v>
      </c>
      <c r="E34" s="25">
        <f>SUMIFS('Daftar Koreksi'!$H$5:$H$92,'Daftar Koreksi'!$D$5:$D$92,'3000'!A26,'Daftar Koreksi'!$G$5:$G$92,"Aset Tetap Lainnya",'Daftar Koreksi'!$H$5:$H$92,"&gt;0")</f>
        <v>0</v>
      </c>
      <c r="F34" s="25">
        <f>SUMIFS('Daftar Koreksi'!$H$5:$H$92,'Daftar Koreksi'!$D$5:$D$92,'3000'!A26,'Daftar Koreksi'!$G$5:$G$92,"Aset Tetap Lainnya",'Daftar Koreksi'!$H$5:$H$92,"&lt;0")-SUMIFS('Daftar Koreksi'!$H$5:$H$92,'Daftar Koreksi'!$D$5:$D$92,'3000'!A26,'Daftar Koreksi'!$G$5:$G$92,"Aset Tetap Lainnya",'Daftar Koreksi'!$H$5:$H$92,"&lt;0")-SUMIFS('Daftar Koreksi'!$H$5:$H$92,'Daftar Koreksi'!$D$5:$D$92,'3000'!A26,'Daftar Koreksi'!$G$5:$G$92,"Aset Tetap Lainnya",'Daftar Koreksi'!$H$5:$H$92,"&lt;0")</f>
        <v>0</v>
      </c>
      <c r="G34" s="17">
        <f t="shared" si="1"/>
        <v>1943440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Koreksi'!$D$5:$D$92,'3000'!A26,'Daftar Koreksi'!$G$5:$G$92,"Kontruksi Dalam Pengerjaan",'Daftar Koreksi'!$H$5:$H$92,"&gt;0")</f>
        <v>0</v>
      </c>
      <c r="F35" s="25">
        <f>SUMIFS('Daftar Koreksi'!$H$5:$H$92,'Daftar Koreksi'!$D$5:$D$92,'3000'!A26,'Daftar Koreksi'!$G$5:$G$92,"Kontruksi Dalam Pengerjaan",'Daftar Koreksi'!$H$5:$H$92,"&lt;0")-SUMIFS('Daftar Koreksi'!$H$5:$H$92,'Daftar Koreksi'!$D$5:$D$92,'3000'!A26,'Daftar Koreksi'!$G$5:$G$92,"Kontruksi Dalam Pengerjaan",'Daftar Koreksi'!$H$5:$H$92,"&lt;0")-SUMIFS('Daftar Koreksi'!$H$5:$H$92,'Daftar Koreksi'!$D$5:$D$92,'3000'!A26,'Daftar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Koreksi'!$D$5:$D$92,'3000'!A26,'Daftar Koreksi'!$G$5:$G$92,"Aset Tak Berwujud",'Daftar Koreksi'!$H$5:$H$92,"&gt;0")</f>
        <v>0</v>
      </c>
      <c r="F36" s="25">
        <f>SUMIFS('Daftar Koreksi'!$H$5:$H$92,'Daftar Koreksi'!$D$5:$D$92,'3000'!A26,'Daftar Koreksi'!$G$5:$G$92,"Aset Tak Berwujud",'Daftar Koreksi'!$H$5:$H$92,"&lt;0")-SUMIFS('Daftar Koreksi'!$H$5:$H$92,'Daftar Koreksi'!$D$5:$D$92,'3000'!A26,'Daftar Koreksi'!$G$5:$G$92,"Aset Tak Berwujud",'Daftar Koreksi'!$H$5:$H$92,"&lt;0")-SUMIFS('Daftar Koreksi'!$H$5:$H$92,'Daftar Koreksi'!$D$5:$D$92,'3000'!A26,'Daftar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Koreksi'!$D$5:$D$92,'3000'!A26,'Daftar Koreksi'!$G$5:$G$92,"Aset Henti Guna",'Daftar Koreksi'!$H$5:$H$92,"&gt;0")</f>
        <v>0</v>
      </c>
      <c r="F37" s="25">
        <f>SUMIFS('Daftar Koreksi'!$H$5:$H$92,'Daftar Koreksi'!$D$5:$D$92,'3000'!A26,'Daftar Koreksi'!$G$5:$G$92,"Aset Henti Guna",'Daftar Koreksi'!$H$5:$H$92,"&lt;0")-SUMIFS('Daftar Koreksi'!$H$5:$H$92,'Daftar Koreksi'!$D$5:$D$92,'3000'!A26,'Daftar Koreksi'!$G$5:$G$92,"Aset Henti Guna",'Daftar Koreksi'!$H$5:$H$92,"&lt;0")-SUMIFS('Daftar Koreksi'!$H$5:$H$92,'Daftar Koreksi'!$D$5:$D$92,'3000'!A26,'Daftar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20491891417</v>
      </c>
      <c r="E38" s="19">
        <f>SUM(E29:E37)</f>
        <v>0</v>
      </c>
      <c r="F38" s="19">
        <f>SUM(F29:F37)</f>
        <v>0</v>
      </c>
      <c r="G38" s="19">
        <f t="shared" si="1"/>
        <v>20491891417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-1193549113</v>
      </c>
      <c r="E39" s="25">
        <f>SUMIFS('Daftar Koreksi'!$I$5:$I$92,'Daftar Koreksi'!$D$5:$D$92,'3000'!A26,'Daftar Koreksi'!$G$5:$G$92,"Peralatan dan mesin",'Daftar Koreksi'!$I$5:$I$92,"&gt;0")</f>
        <v>0</v>
      </c>
      <c r="F39" s="25">
        <f>SUMIFS('Daftar Koreksi'!$I$5:$I$92,'Daftar Koreksi'!$D$5:$D$92,'3000'!A26,'Daftar Koreksi'!$G$5:$G$92,"Peralatan dan mesin",'Daftar Koreksi'!$I$5:$I$92,"&lt;0")-SUMIFS('Daftar Koreksi'!$I$5:$I$92,'Daftar Koreksi'!$D$5:$D$92,'3000'!A26,'Daftar Koreksi'!$G$5:$G$92,"Peralatan dan mesin",'Daftar Koreksi'!$I$5:$I$92,"&lt;0")-SUMIFS('Daftar Koreksi'!$I$5:$I$92,'Daftar Koreksi'!$D$5:$D$92,'3000'!A26,'Daftar Koreksi'!$G$5:$G$92,"Peralatan dan mesin",'Daftar Koreksi'!$I$5:$I$92,"&lt;0")</f>
        <v>0</v>
      </c>
      <c r="G39" s="17">
        <f t="shared" si="1"/>
        <v>-1193549113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-1285393520</v>
      </c>
      <c r="E40" s="25">
        <f>SUMIFS('Daftar Koreksi'!$I$5:$I$92,'Daftar Koreksi'!$D$5:$D$92,'3000'!A26,'Daftar Koreksi'!$G$5:$G$92,"Gedung dan Bangunan",'Daftar Koreksi'!$I$5:$I$92,"&gt;0")</f>
        <v>0</v>
      </c>
      <c r="F40" s="25">
        <f>SUMIFS('Daftar Koreksi'!$I$5:$I$92,'Daftar Koreksi'!$D$5:$D$92,'3000'!A26,'Daftar Koreksi'!$G$5:$G$92,"Gedung dan Bangunan",'Daftar Koreksi'!$I$5:$I$92,"&lt;0")-SUMIFS('Daftar Koreksi'!$I$5:$I$92,'Daftar Koreksi'!$D$5:$D$92,'3000'!A26,'Daftar Koreksi'!$G$5:$G$92,"Gedung dan Bangunan",'Daftar Koreksi'!$I$5:$I$92,"&lt;0")-SUMIFS('Daftar Koreksi'!$I$5:$I$92,'Daftar Koreksi'!$D$5:$D$92,'3000'!A26,'Daftar Koreksi'!$G$5:$G$92,"Gedung dan Bangunan",'Daftar Koreksi'!$I$5:$I$92,"&lt;0")</f>
        <v>0</v>
      </c>
      <c r="G40" s="17">
        <f t="shared" si="1"/>
        <v>-1285393520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Koreksi'!$D$5:$D$92,'3000'!A26,'Daftar Koreksi'!$G$5:$G$92,"Jalan Irigasi Jaringan",'Daftar Koreksi'!$I$5:$I$92,"&gt;0")</f>
        <v>0</v>
      </c>
      <c r="F41" s="25">
        <f>SUMIFS('Daftar Koreksi'!$I$5:$I$92,'Daftar Koreksi'!$D$5:$D$92,'3000'!A26,'Daftar Koreksi'!$G$5:$G$92,"Jalan Irigasi Jaringan",'Daftar Koreksi'!$I$5:$I$92,"&lt;0")-SUMIFS('Daftar Koreksi'!$I$5:$I$92,'Daftar Koreksi'!$D$5:$D$92,'3000'!A26,'Daftar Koreksi'!$G$5:$G$92,"Jalan Irigasi Jaringan",'Daftar Koreksi'!$I$5:$I$92,"&lt;0")-SUMIFS('Daftar Koreksi'!$I$5:$I$92,'Daftar Koreksi'!$D$5:$D$92,'3000'!A26,'Daftar Koreksi'!$G$5:$G$92,"Jalan Irigasi Jaringan",'Daftar Koreksi'!$I$5:$I$92,"&lt;0")</f>
        <v>0</v>
      </c>
      <c r="G41" s="17">
        <f t="shared" si="1"/>
        <v>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Koreksi'!$D$5:$D$92,'3000'!A26,'Daftar Koreksi'!$G$5:$G$92,"Aset Tetap Lainnya",'Daftar Koreksi'!$I$5:$I$92,"&gt;0")</f>
        <v>0</v>
      </c>
      <c r="F42" s="25">
        <f>SUMIFS('Daftar Koreksi'!$I$5:$I$92,'Daftar Koreksi'!$D$5:$D$92,'3000'!A26,'Daftar Koreksi'!$G$5:$G$92,"Aset Tetap Lainnya",'Daftar Koreksi'!$I$5:$I$92,"&lt;0")-SUMIFS('Daftar Koreksi'!$I$5:$I$92,'Daftar Koreksi'!$D$5:$D$92,'3000'!A26,'Daftar Koreksi'!$G$5:$G$92,"Aset Tetap Lainnya",'Daftar Koreksi'!$I$5:$I$92,"&lt;0")-SUMIFS('Daftar Koreksi'!$I$5:$I$92,'Daftar Koreksi'!$D$5:$D$92,'3000'!A26,'Daftar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Koreksi'!$D$5:$D$92,'3000'!A26,'Daftar Koreksi'!$G$5:$G$92,"Aset Henti Guna",'Daftar Koreksi'!$I$5:$I$92,"&gt;0")</f>
        <v>0</v>
      </c>
      <c r="F43" s="25">
        <f>SUMIFS('Daftar Koreksi'!$I$5:$I$92,'Daftar Koreksi'!$D$5:$D$92,'3000'!A26,'Daftar Koreksi'!$G$5:$G$92,"Aset Henti Guna",'Daftar Koreksi'!$I$5:$I$92,"&lt;0")-SUMIFS('Daftar Koreksi'!$I$5:$I$92,'Daftar Koreksi'!$D$5:$D$92,'3000'!A26,'Daftar Koreksi'!$G$5:$G$92,"Aset Henti Guna",'Daftar Koreksi'!$I$5:$I$92,"&lt;0")-SUMIFS('Daftar Koreksi'!$I$5:$I$92,'Daftar Koreksi'!$D$5:$D$92,'3000'!A26,'Daftar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-2478942633</v>
      </c>
      <c r="E44" s="19">
        <f>SUM(E39:E43)</f>
        <v>0</v>
      </c>
      <c r="F44" s="19">
        <f>SUM(F39:F43)</f>
        <v>0</v>
      </c>
      <c r="G44" s="19">
        <f t="shared" si="1"/>
        <v>-2478942633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18012948784</v>
      </c>
      <c r="E45" s="19">
        <f>E44+E38</f>
        <v>0</v>
      </c>
      <c r="F45" s="19">
        <f>F44+F38</f>
        <v>0</v>
      </c>
      <c r="G45" s="19">
        <f t="shared" si="1"/>
        <v>18012948784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005013000400600000KD</v>
      </c>
      <c r="B48" s="11" t="str">
        <f>P3</f>
        <v>PN. Tanjung Pandan</v>
      </c>
      <c r="C48" s="12" t="str">
        <f>A48&amp;" "&amp;B48</f>
        <v>005013000400600000KD PN. Tanjung Pandan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1883000</v>
      </c>
      <c r="E51" s="25">
        <f>SUMIFS('Daftar Koreksi'!$H$5:$H$92,'Daftar Koreksi'!$D$5:$D$92,'3000'!A48,'Daftar Koreksi'!$G$5:$G$92,"Persediaan",'Daftar Koreksi'!$H$5:$H$92,"&gt;0")</f>
        <v>0</v>
      </c>
      <c r="F51" s="25">
        <f>SUMIFS('Daftar Koreksi'!$H$5:$H$92,'Daftar Koreksi'!$D$5:$D$92,'3000'!A48,'Daftar Koreksi'!$G$5:$G$92,"Persediaan",'Daftar Koreksi'!$H$5:$H$92,"&lt;0")-SUMIFS('Daftar Koreksi'!$H$5:$H$92,'Daftar Koreksi'!$D$5:$D$92,'3000'!A48,'Daftar Koreksi'!$G$5:$G$92,"Persediaan",'Daftar Koreksi'!$H$5:$H$92,"&lt;0")-SUMIFS('Daftar Koreksi'!$H$5:$H$92,'Daftar Koreksi'!$D$5:$D$92,'3000'!A48,'Daftar Koreksi'!$G$5:$G$92,"Persediaan",'Daftar Koreksi'!$H$5:$H$92,"&lt;0")</f>
        <v>0</v>
      </c>
      <c r="G51" s="17">
        <f>D51+E51-F51</f>
        <v>1883000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585113000</v>
      </c>
      <c r="E52" s="25">
        <f>SUMIFS('Daftar Koreksi'!$H$5:$H$92,'Daftar Koreksi'!$D$5:$D$92,'3000'!A48,'Daftar Koreksi'!$G$5:$G$92,"Tanah",'Daftar Koreksi'!$H$5:$H$92,"&gt;0")</f>
        <v>0</v>
      </c>
      <c r="F52" s="25">
        <f>SUMIFS('Daftar Koreksi'!$H$5:$H$92,'Daftar Koreksi'!$D$5:$D$92,'3000'!A48,'Daftar Koreksi'!$G$5:$G$92,"Tanah",'Daftar Koreksi'!$H$5:$H$92,"&lt;0")-SUMIFS('Daftar Koreksi'!$H$5:$H$92,'Daftar Koreksi'!$D$5:$D$92,'3000'!A48,'Daftar Koreksi'!$G$5:$G$92,"Tanah",'Daftar Koreksi'!$H$5:$H$92,"&lt;0")-SUMIFS('Daftar Koreksi'!$H$5:$H$92,'Daftar Koreksi'!$D$5:$D$92,'3000'!A48,'Daftar Koreksi'!$G$5:$G$92,"Tanah",'Daftar Koreksi'!$H$5:$H$92,"&lt;0")</f>
        <v>0</v>
      </c>
      <c r="G52" s="17">
        <f t="shared" ref="G52:G68" si="2">D52+E52-F52</f>
        <v>585113000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1206446617</v>
      </c>
      <c r="E53" s="25">
        <f>SUMIFS('Daftar Koreksi'!$H$5:$H$92,'Daftar Koreksi'!$D$5:$D$92,'3000'!A48,'Daftar Koreksi'!$G$5:$G$92,"Peralatan dan mesin",'Daftar Koreksi'!$H$5:$H$92,"&gt;0")</f>
        <v>0</v>
      </c>
      <c r="F53" s="25">
        <f>SUMIFS('Daftar Koreksi'!$H$5:$H$92,'Daftar Koreksi'!$D$5:$D$92,'3000'!A48,'Daftar Koreksi'!$G$5:$G$92,"Peralatan dan mesin",'Daftar Koreksi'!$H$5:$H$92,"&lt;0")-SUMIFS('Daftar Koreksi'!$H$5:$H$92,'Daftar Koreksi'!$D$5:$D$92,'3000'!A48,'Daftar Koreksi'!$G$5:$G$92,"Peralatan dan mesin",'Daftar Koreksi'!$H$5:$H$92,"&lt;0")-SUMIFS('Daftar Koreksi'!$H$5:$H$92,'Daftar Koreksi'!$D$5:$D$92,'3000'!A48,'Daftar Koreksi'!$G$5:$G$92,"Peralatan dan mesin",'Daftar Koreksi'!$H$5:$H$92,"&lt;0")</f>
        <v>0</v>
      </c>
      <c r="G53" s="17">
        <f t="shared" si="2"/>
        <v>1206446617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3832162000</v>
      </c>
      <c r="E54" s="25">
        <f>SUMIFS('Daftar Koreksi'!$H$5:$H$92,'Daftar Koreksi'!$D$5:$D$92,'3000'!A48,'Daftar Koreksi'!$G$5:$G$92,"Gedung dan Bangunan",'Daftar Koreksi'!$H$5:$H$92,"&gt;0")</f>
        <v>0</v>
      </c>
      <c r="F54" s="25">
        <f>SUMIFS('Daftar Koreksi'!$H$5:$H$92,'Daftar Koreksi'!$D$5:$D$92,'3000'!A48,'Daftar Koreksi'!$G$5:$G$92,"Gedung dan Bangunan",'Daftar Koreksi'!$H$5:$H$92,"&lt;0")-SUMIFS('Daftar Koreksi'!$H$5:$H$92,'Daftar Koreksi'!$D$5:$D$92,'3000'!A48,'Daftar Koreksi'!$G$5:$G$92,"Gedung dan Bangunan",'Daftar Koreksi'!$H$5:$H$92,"&lt;0")-SUMIFS('Daftar Koreksi'!$H$5:$H$92,'Daftar Koreksi'!$D$5:$D$92,'3000'!A48,'Daftar Koreksi'!$G$5:$G$92,"Gedung dan Bangunan",'Daftar Koreksi'!$H$5:$H$92,"&lt;0")</f>
        <v>0</v>
      </c>
      <c r="G54" s="17">
        <f t="shared" si="2"/>
        <v>3832162000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194610000</v>
      </c>
      <c r="E55" s="25">
        <f>SUMIFS('Daftar Koreksi'!$H$5:$H$92,'Daftar Koreksi'!$D$5:$D$92,'3000'!A48,'Daftar Koreksi'!$G$5:$G$92,"Jalan Irigasi Jaringan",'Daftar Koreksi'!$H$5:$H$92,"&gt;0")</f>
        <v>0</v>
      </c>
      <c r="F55" s="25">
        <f>SUMIFS('Daftar Koreksi'!$H$5:$H$92,'Daftar Koreksi'!$D$5:$D$92,'3000'!A48,'Daftar Koreksi'!$G$5:$G$92,"Jalan Irigasi Jaringan",'Daftar Koreksi'!$H$5:$H$92,"&lt;0")-SUMIFS('Daftar Koreksi'!$H$5:$H$92,'Daftar Koreksi'!$D$5:$D$92,'3000'!A48,'Daftar Koreksi'!$G$5:$G$92,"Jalan Irigasi Jaringan",'Daftar Koreksi'!$H$5:$H$92,"&lt;0")-SUMIFS('Daftar Koreksi'!$H$5:$H$92,'Daftar Koreksi'!$D$5:$D$92,'3000'!A48,'Daftar Koreksi'!$G$5:$G$92,"Jalan Irigasi Jaringan",'Daftar Koreksi'!$H$5:$H$92,"&lt;0")</f>
        <v>0</v>
      </c>
      <c r="G55" s="17">
        <f t="shared" si="2"/>
        <v>194610000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4772118</v>
      </c>
      <c r="E56" s="25">
        <f>SUMIFS('Daftar Koreksi'!$H$5:$H$92,'Daftar Koreksi'!$D$5:$D$92,'3000'!A48,'Daftar Koreksi'!$G$5:$G$92,"Aset Tetap Lainnya",'Daftar Koreksi'!$H$5:$H$92,"&gt;0")</f>
        <v>0</v>
      </c>
      <c r="F56" s="25">
        <f>SUMIFS('Daftar Koreksi'!$H$5:$H$92,'Daftar Koreksi'!$D$5:$D$92,'3000'!A48,'Daftar Koreksi'!$G$5:$G$92,"Aset Tetap Lainnya",'Daftar Koreksi'!$H$5:$H$92,"&lt;0")-SUMIFS('Daftar Koreksi'!$H$5:$H$92,'Daftar Koreksi'!$D$5:$D$92,'3000'!A48,'Daftar Koreksi'!$G$5:$G$92,"Aset Tetap Lainnya",'Daftar Koreksi'!$H$5:$H$92,"&lt;0")-SUMIFS('Daftar Koreksi'!$H$5:$H$92,'Daftar Koreksi'!$D$5:$D$92,'3000'!A48,'Daftar Koreksi'!$G$5:$G$92,"Aset Tetap Lainnya",'Daftar Koreksi'!$H$5:$H$92,"&lt;0")</f>
        <v>0</v>
      </c>
      <c r="G56" s="17">
        <f t="shared" si="2"/>
        <v>4772118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Koreksi'!$D$5:$D$92,'3000'!A48,'Daftar Koreksi'!$G$5:$G$92,"Kontruksi Dalam Pengerjaan",'Daftar Koreksi'!$H$5:$H$92,"&gt;0")</f>
        <v>0</v>
      </c>
      <c r="F57" s="25">
        <f>SUMIFS('Daftar Koreksi'!$H$5:$H$92,'Daftar Koreksi'!$D$5:$D$92,'3000'!A48,'Daftar Koreksi'!$G$5:$G$92,"Kontruksi Dalam Pengerjaan",'Daftar Koreksi'!$H$5:$H$92,"&lt;0")-SUMIFS('Daftar Koreksi'!$H$5:$H$92,'Daftar Koreksi'!$D$5:$D$92,'3000'!A48,'Daftar Koreksi'!$G$5:$G$92,"Kontruksi Dalam Pengerjaan",'Daftar Koreksi'!$H$5:$H$92,"&lt;0")-SUMIFS('Daftar Koreksi'!$H$5:$H$92,'Daftar Koreksi'!$D$5:$D$92,'3000'!A48,'Daftar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Koreksi'!$D$5:$D$92,'3000'!A48,'Daftar Koreksi'!$G$5:$G$92,"Aset Tak Berwujud",'Daftar Koreksi'!$H$5:$H$92,"&gt;0")</f>
        <v>0</v>
      </c>
      <c r="F58" s="25">
        <f>SUMIFS('Daftar Koreksi'!$H$5:$H$92,'Daftar Koreksi'!$D$5:$D$92,'3000'!A48,'Daftar Koreksi'!$G$5:$G$92,"Aset Tak Berwujud",'Daftar Koreksi'!$H$5:$H$92,"&lt;0")-SUMIFS('Daftar Koreksi'!$H$5:$H$92,'Daftar Koreksi'!$D$5:$D$92,'3000'!A48,'Daftar Koreksi'!$G$5:$G$92,"Aset Tak Berwujud",'Daftar Koreksi'!$H$5:$H$92,"&lt;0")-SUMIFS('Daftar Koreksi'!$H$5:$H$92,'Daftar Koreksi'!$D$5:$D$92,'3000'!A48,'Daftar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0</v>
      </c>
      <c r="E59" s="25">
        <f>SUMIFS('Daftar Koreksi'!$H$5:$H$92,'Daftar Koreksi'!$D$5:$D$92,'3000'!A48,'Daftar Koreksi'!$G$5:$G$92,"Aset Henti Guna",'Daftar Koreksi'!$H$5:$H$92,"&gt;0")</f>
        <v>0</v>
      </c>
      <c r="F59" s="25">
        <f>SUMIFS('Daftar Koreksi'!$H$5:$H$92,'Daftar Koreksi'!$D$5:$D$92,'3000'!A48,'Daftar Koreksi'!$G$5:$G$92,"Aset Henti Guna",'Daftar Koreksi'!$H$5:$H$92,"&lt;0")-SUMIFS('Daftar Koreksi'!$H$5:$H$92,'Daftar Koreksi'!$D$5:$D$92,'3000'!A48,'Daftar Koreksi'!$G$5:$G$92,"Aset Henti Guna",'Daftar Koreksi'!$H$5:$H$92,"&lt;0")-SUMIFS('Daftar Koreksi'!$H$5:$H$92,'Daftar Koreksi'!$D$5:$D$92,'3000'!A48,'Daftar Koreksi'!$G$5:$G$92,"Aset Henti Guna",'Daftar Koreksi'!$H$5:$H$92,"&lt;0")</f>
        <v>0</v>
      </c>
      <c r="G59" s="17">
        <f t="shared" si="2"/>
        <v>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5824986735</v>
      </c>
      <c r="E60" s="19">
        <f>SUM(E51:E59)</f>
        <v>0</v>
      </c>
      <c r="F60" s="19">
        <f>SUM(F51:F59)</f>
        <v>0</v>
      </c>
      <c r="G60" s="19">
        <f t="shared" si="2"/>
        <v>5824986735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-1003988785</v>
      </c>
      <c r="E61" s="25">
        <f>SUMIFS('Daftar Koreksi'!$I$5:$I$92,'Daftar Koreksi'!$D$5:$D$92,'3000'!A48,'Daftar Koreksi'!$G$5:$G$92,"Peralatan dan mesin",'Daftar Koreksi'!$I$5:$I$92,"&gt;0")</f>
        <v>0</v>
      </c>
      <c r="F61" s="25">
        <f>SUMIFS('Daftar Koreksi'!$I$5:$I$92,'Daftar Koreksi'!$D$5:$D$92,'3000'!A48,'Daftar Koreksi'!$G$5:$G$92,"Peralatan dan mesin",'Daftar Koreksi'!$I$5:$I$92,"&lt;0")-SUMIFS('Daftar Koreksi'!$I$5:$I$92,'Daftar Koreksi'!$D$5:$D$92,'3000'!A48,'Daftar Koreksi'!$G$5:$G$92,"Peralatan dan mesin",'Daftar Koreksi'!$I$5:$I$92,"&lt;0")-SUMIFS('Daftar Koreksi'!$I$5:$I$92,'Daftar Koreksi'!$D$5:$D$92,'3000'!A48,'Daftar Koreksi'!$G$5:$G$92,"Peralatan dan mesin",'Daftar Koreksi'!$I$5:$I$92,"&lt;0")</f>
        <v>0</v>
      </c>
      <c r="G61" s="17">
        <f t="shared" si="2"/>
        <v>-1003988785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-2635501360</v>
      </c>
      <c r="E62" s="25">
        <f>SUMIFS('Daftar Koreksi'!$I$5:$I$92,'Daftar Koreksi'!$D$5:$D$92,'3000'!A48,'Daftar Koreksi'!$G$5:$G$92,"Gedung dan Bangunan",'Daftar Koreksi'!$I$5:$I$92,"&gt;0")</f>
        <v>0</v>
      </c>
      <c r="F62" s="25">
        <f>SUMIFS('Daftar Koreksi'!$I$5:$I$92,'Daftar Koreksi'!$D$5:$D$92,'3000'!A48,'Daftar Koreksi'!$G$5:$G$92,"Gedung dan Bangunan",'Daftar Koreksi'!$I$5:$I$92,"&lt;0")-SUMIFS('Daftar Koreksi'!$I$5:$I$92,'Daftar Koreksi'!$D$5:$D$92,'3000'!A48,'Daftar Koreksi'!$G$5:$G$92,"Gedung dan Bangunan",'Daftar Koreksi'!$I$5:$I$92,"&lt;0")-SUMIFS('Daftar Koreksi'!$I$5:$I$92,'Daftar Koreksi'!$D$5:$D$92,'3000'!A48,'Daftar Koreksi'!$G$5:$G$92,"Gedung dan Bangunan",'Daftar Koreksi'!$I$5:$I$92,"&lt;0")</f>
        <v>0</v>
      </c>
      <c r="G62" s="17">
        <f t="shared" si="2"/>
        <v>-2635501360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-107035500</v>
      </c>
      <c r="E63" s="25">
        <f>SUMIFS('Daftar Koreksi'!$I$5:$I$92,'Daftar Koreksi'!$D$5:$D$92,'3000'!A48,'Daftar Koreksi'!$G$5:$G$92,"Jalan Irigasi Jaringan",'Daftar Koreksi'!$I$5:$I$92,"&gt;0")</f>
        <v>0</v>
      </c>
      <c r="F63" s="25">
        <f>SUMIFS('Daftar Koreksi'!$I$5:$I$92,'Daftar Koreksi'!$D$5:$D$92,'3000'!A48,'Daftar Koreksi'!$G$5:$G$92,"Jalan Irigasi Jaringan",'Daftar Koreksi'!$I$5:$I$92,"&lt;0")-SUMIFS('Daftar Koreksi'!$I$5:$I$92,'Daftar Koreksi'!$D$5:$D$92,'3000'!A48,'Daftar Koreksi'!$G$5:$G$92,"Jalan Irigasi Jaringan",'Daftar Koreksi'!$I$5:$I$92,"&lt;0")-SUMIFS('Daftar Koreksi'!$I$5:$I$92,'Daftar Koreksi'!$D$5:$D$92,'3000'!A48,'Daftar Koreksi'!$G$5:$G$92,"Jalan Irigasi Jaringan",'Daftar Koreksi'!$I$5:$I$92,"&lt;0")</f>
        <v>0</v>
      </c>
      <c r="G63" s="17">
        <f t="shared" si="2"/>
        <v>-107035500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Koreksi'!$D$5:$D$92,'3000'!A48,'Daftar Koreksi'!$G$5:$G$92,"Aset Tetap Lainnya",'Daftar Koreksi'!$I$5:$I$92,"&gt;0")</f>
        <v>0</v>
      </c>
      <c r="F64" s="25">
        <f>SUMIFS('Daftar Koreksi'!$I$5:$I$92,'Daftar Koreksi'!$D$5:$D$92,'3000'!A48,'Daftar Koreksi'!$G$5:$G$92,"Aset Tetap Lainnya",'Daftar Koreksi'!$I$5:$I$92,"&lt;0")-SUMIFS('Daftar Koreksi'!$I$5:$I$92,'Daftar Koreksi'!$D$5:$D$92,'3000'!A48,'Daftar Koreksi'!$G$5:$G$92,"Aset Tetap Lainnya",'Daftar Koreksi'!$I$5:$I$92,"&lt;0")-SUMIFS('Daftar Koreksi'!$I$5:$I$92,'Daftar Koreksi'!$D$5:$D$92,'3000'!A48,'Daftar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0</v>
      </c>
      <c r="E65" s="25">
        <f>SUMIFS('Daftar Koreksi'!$I$5:$I$92,'Daftar Koreksi'!$D$5:$D$92,'3000'!A48,'Daftar Koreksi'!$G$5:$G$92,"Aset Henti Guna",'Daftar Koreksi'!$I$5:$I$92,"&gt;0")</f>
        <v>0</v>
      </c>
      <c r="F65" s="25">
        <f>SUMIFS('Daftar Koreksi'!$I$5:$I$92,'Daftar Koreksi'!$D$5:$D$92,'3000'!A48,'Daftar Koreksi'!$G$5:$G$92,"Aset Henti Guna",'Daftar Koreksi'!$I$5:$I$92,"&lt;0")-SUMIFS('Daftar Koreksi'!$I$5:$I$92,'Daftar Koreksi'!$D$5:$D$92,'3000'!A48,'Daftar Koreksi'!$G$5:$G$92,"Aset Henti Guna",'Daftar Koreksi'!$I$5:$I$92,"&lt;0")-SUMIFS('Daftar Koreksi'!$I$5:$I$92,'Daftar Koreksi'!$D$5:$D$92,'3000'!A48,'Daftar Koreksi'!$G$5:$G$92,"Aset Henti Guna",'Daftar Koreksi'!$I$5:$I$92,"&lt;0")</f>
        <v>0</v>
      </c>
      <c r="G65" s="17">
        <f t="shared" si="2"/>
        <v>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-3746525645</v>
      </c>
      <c r="E66" s="19">
        <f>SUM(E61:E65)</f>
        <v>0</v>
      </c>
      <c r="F66" s="19">
        <f>SUM(F61:F65)</f>
        <v>0</v>
      </c>
      <c r="G66" s="19">
        <f t="shared" si="2"/>
        <v>-3746525645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2078461090</v>
      </c>
      <c r="E67" s="19">
        <f>E66+E60</f>
        <v>0</v>
      </c>
      <c r="F67" s="19">
        <f>F66+F60</f>
        <v>0</v>
      </c>
      <c r="G67" s="19">
        <f t="shared" si="2"/>
        <v>2078461090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005013000402302000KD</v>
      </c>
      <c r="B70" s="11" t="str">
        <f>P4</f>
        <v>PA. Pangkal Pinang</v>
      </c>
      <c r="C70" s="12" t="str">
        <f>A70&amp;" "&amp;B70</f>
        <v>005013000402302000KD PA. Pangkal Pinang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1555600</v>
      </c>
      <c r="E73" s="25">
        <f>SUMIFS('Daftar Koreksi'!$H$5:$H$92,'Daftar Koreksi'!$D$5:$D$92,'3000'!A70,'Daftar Koreksi'!$G$5:$G$92,"Persediaan",'Daftar Koreksi'!$H$5:$H$92,"&gt;0")</f>
        <v>0</v>
      </c>
      <c r="F73" s="25">
        <f>SUMIFS('Daftar Koreksi'!$H$5:$H$92,'Daftar Koreksi'!$D$5:$D$92,'3000'!A70,'Daftar Koreksi'!$G$5:$G$92,"Persediaan",'Daftar Koreksi'!$H$5:$H$92,"&lt;0")-SUMIFS('Daftar Koreksi'!$H$5:$H$92,'Daftar Koreksi'!$D$5:$D$92,'3000'!A70,'Daftar Koreksi'!$G$5:$G$92,"Persediaan",'Daftar Koreksi'!$H$5:$H$92,"&lt;0")-SUMIFS('Daftar Koreksi'!$H$5:$H$92,'Daftar Koreksi'!$D$5:$D$92,'3000'!A70,'Daftar Koreksi'!$G$5:$G$92,"Persediaan",'Daftar Koreksi'!$H$5:$H$92,"&lt;0")</f>
        <v>0</v>
      </c>
      <c r="G73" s="17">
        <f>D73+E73-F73</f>
        <v>1555600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3050864520</v>
      </c>
      <c r="E74" s="25">
        <f>SUMIFS('Daftar Koreksi'!$H$5:$H$92,'Daftar Koreksi'!$D$5:$D$92,'3000'!A70,'Daftar Koreksi'!$G$5:$G$92,"Tanah",'Daftar Koreksi'!$H$5:$H$92,"&gt;0")</f>
        <v>0</v>
      </c>
      <c r="F74" s="25">
        <f>SUMIFS('Daftar Koreksi'!$H$5:$H$92,'Daftar Koreksi'!$D$5:$D$92,'3000'!A70,'Daftar Koreksi'!$G$5:$G$92,"Tanah",'Daftar Koreksi'!$H$5:$H$92,"&lt;0")-SUMIFS('Daftar Koreksi'!$H$5:$H$92,'Daftar Koreksi'!$D$5:$D$92,'3000'!A70,'Daftar Koreksi'!$G$5:$G$92,"Tanah",'Daftar Koreksi'!$H$5:$H$92,"&lt;0")-SUMIFS('Daftar Koreksi'!$H$5:$H$92,'Daftar Koreksi'!$D$5:$D$92,'3000'!A70,'Daftar Koreksi'!$G$5:$G$92,"Tanah",'Daftar Koreksi'!$H$5:$H$92,"&lt;0")</f>
        <v>0</v>
      </c>
      <c r="G74" s="17">
        <f t="shared" ref="G74:G90" si="3">D74+E74-F74</f>
        <v>3050864520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1885199869</v>
      </c>
      <c r="E75" s="25">
        <f>SUMIFS('Daftar Koreksi'!$H$5:$H$92,'Daftar Koreksi'!$D$5:$D$92,'3000'!A70,'Daftar Koreksi'!$G$5:$G$92,"Peralatan dan mesin",'Daftar Koreksi'!$H$5:$H$92,"&gt;0")</f>
        <v>0</v>
      </c>
      <c r="F75" s="25">
        <f>SUMIFS('Daftar Koreksi'!$H$5:$H$92,'Daftar Koreksi'!$D$5:$D$92,'3000'!A70,'Daftar Koreksi'!$G$5:$G$92,"Peralatan dan mesin",'Daftar Koreksi'!$H$5:$H$92,"&lt;0")-SUMIFS('Daftar Koreksi'!$H$5:$H$92,'Daftar Koreksi'!$D$5:$D$92,'3000'!A70,'Daftar Koreksi'!$G$5:$G$92,"Peralatan dan mesin",'Daftar Koreksi'!$H$5:$H$92,"&lt;0")-SUMIFS('Daftar Koreksi'!$H$5:$H$92,'Daftar Koreksi'!$D$5:$D$92,'3000'!A70,'Daftar Koreksi'!$G$5:$G$92,"Peralatan dan mesin",'Daftar Koreksi'!$H$5:$H$92,"&lt;0")</f>
        <v>0</v>
      </c>
      <c r="G75" s="17">
        <f t="shared" si="3"/>
        <v>1885199869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7527554429</v>
      </c>
      <c r="E76" s="25">
        <f>SUMIFS('Daftar Koreksi'!$H$5:$H$92,'Daftar Koreksi'!$D$5:$D$92,'3000'!A70,'Daftar Koreksi'!$G$5:$G$92,"Gedung dan Bangunan",'Daftar Koreksi'!$H$5:$H$92,"&gt;0")</f>
        <v>0</v>
      </c>
      <c r="F76" s="25">
        <f>SUMIFS('Daftar Koreksi'!$H$5:$H$92,'Daftar Koreksi'!$D$5:$D$92,'3000'!A70,'Daftar Koreksi'!$G$5:$G$92,"Gedung dan Bangunan",'Daftar Koreksi'!$H$5:$H$92,"&lt;0")-SUMIFS('Daftar Koreksi'!$H$5:$H$92,'Daftar Koreksi'!$D$5:$D$92,'3000'!A70,'Daftar Koreksi'!$G$5:$G$92,"Gedung dan Bangunan",'Daftar Koreksi'!$H$5:$H$92,"&lt;0")-SUMIFS('Daftar Koreksi'!$H$5:$H$92,'Daftar Koreksi'!$D$5:$D$92,'3000'!A70,'Daftar Koreksi'!$G$5:$G$92,"Gedung dan Bangunan",'Daftar Koreksi'!$H$5:$H$92,"&lt;0")</f>
        <v>0</v>
      </c>
      <c r="G76" s="17">
        <f t="shared" si="3"/>
        <v>7527554429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55119300</v>
      </c>
      <c r="E77" s="25">
        <f>SUMIFS('Daftar Koreksi'!$H$5:$H$92,'Daftar Koreksi'!$D$5:$D$92,'3000'!A70,'Daftar Koreksi'!$G$5:$G$92,"Jalan Irigasi Jaringan",'Daftar Koreksi'!$H$5:$H$92,"&gt;0")</f>
        <v>0</v>
      </c>
      <c r="F77" s="25">
        <f>SUMIFS('Daftar Koreksi'!$H$5:$H$92,'Daftar Koreksi'!$D$5:$D$92,'3000'!A70,'Daftar Koreksi'!$G$5:$G$92,"Jalan Irigasi Jaringan",'Daftar Koreksi'!$H$5:$H$92,"&lt;0")-SUMIFS('Daftar Koreksi'!$H$5:$H$92,'Daftar Koreksi'!$D$5:$D$92,'3000'!A70,'Daftar Koreksi'!$G$5:$G$92,"Jalan Irigasi Jaringan",'Daftar Koreksi'!$H$5:$H$92,"&lt;0")-SUMIFS('Daftar Koreksi'!$H$5:$H$92,'Daftar Koreksi'!$D$5:$D$92,'3000'!A70,'Daftar Koreksi'!$G$5:$G$92,"Jalan Irigasi Jaringan",'Daftar Koreksi'!$H$5:$H$92,"&lt;0")</f>
        <v>0</v>
      </c>
      <c r="G77" s="17">
        <f t="shared" si="3"/>
        <v>55119300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20000</v>
      </c>
      <c r="E78" s="25">
        <f>SUMIFS('Daftar Koreksi'!$H$5:$H$92,'Daftar Koreksi'!$D$5:$D$92,'3000'!A70,'Daftar Koreksi'!$G$5:$G$92,"Aset Tetap Lainnya",'Daftar Koreksi'!$H$5:$H$92,"&gt;0")</f>
        <v>0</v>
      </c>
      <c r="F78" s="25">
        <f>SUMIFS('Daftar Koreksi'!$H$5:$H$92,'Daftar Koreksi'!$D$5:$D$92,'3000'!A70,'Daftar Koreksi'!$G$5:$G$92,"Aset Tetap Lainnya",'Daftar Koreksi'!$H$5:$H$92,"&lt;0")-SUMIFS('Daftar Koreksi'!$H$5:$H$92,'Daftar Koreksi'!$D$5:$D$92,'3000'!A70,'Daftar Koreksi'!$G$5:$G$92,"Aset Tetap Lainnya",'Daftar Koreksi'!$H$5:$H$92,"&lt;0")-SUMIFS('Daftar Koreksi'!$H$5:$H$92,'Daftar Koreksi'!$D$5:$D$92,'3000'!A70,'Daftar Koreksi'!$G$5:$G$92,"Aset Tetap Lainnya",'Daftar Koreksi'!$H$5:$H$92,"&lt;0")</f>
        <v>0</v>
      </c>
      <c r="G78" s="17">
        <f t="shared" si="3"/>
        <v>20000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Koreksi'!$D$5:$D$92,'3000'!A70,'Daftar Koreksi'!$G$5:$G$92,"Kontruksi Dalam Pengerjaan",'Daftar Koreksi'!$H$5:$H$92,"&gt;0")</f>
        <v>0</v>
      </c>
      <c r="F79" s="25">
        <f>SUMIFS('Daftar Koreksi'!$H$5:$H$92,'Daftar Koreksi'!$D$5:$D$92,'3000'!A70,'Daftar Koreksi'!$G$5:$G$92,"Kontruksi Dalam Pengerjaan",'Daftar Koreksi'!$H$5:$H$92,"&lt;0")-SUMIFS('Daftar Koreksi'!$H$5:$H$92,'Daftar Koreksi'!$D$5:$D$92,'3000'!A70,'Daftar Koreksi'!$G$5:$G$92,"Kontruksi Dalam Pengerjaan",'Daftar Koreksi'!$H$5:$H$92,"&lt;0")-SUMIFS('Daftar Koreksi'!$H$5:$H$92,'Daftar Koreksi'!$D$5:$D$92,'3000'!A70,'Daftar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10650000</v>
      </c>
      <c r="E80" s="25">
        <f>SUMIFS('Daftar Koreksi'!$H$5:$H$92,'Daftar Koreksi'!$D$5:$D$92,'3000'!A70,'Daftar Koreksi'!$G$5:$G$92,"Aset Tak Berwujud",'Daftar Koreksi'!$H$5:$H$92,"&gt;0")</f>
        <v>0</v>
      </c>
      <c r="F80" s="25">
        <f>SUMIFS('Daftar Koreksi'!$H$5:$H$92,'Daftar Koreksi'!$D$5:$D$92,'3000'!A70,'Daftar Koreksi'!$G$5:$G$92,"Aset Tak Berwujud",'Daftar Koreksi'!$H$5:$H$92,"&lt;0")-SUMIFS('Daftar Koreksi'!$H$5:$H$92,'Daftar Koreksi'!$D$5:$D$92,'3000'!A70,'Daftar Koreksi'!$G$5:$G$92,"Aset Tak Berwujud",'Daftar Koreksi'!$H$5:$H$92,"&lt;0")-SUMIFS('Daftar Koreksi'!$H$5:$H$92,'Daftar Koreksi'!$D$5:$D$92,'3000'!A70,'Daftar Koreksi'!$G$5:$G$92,"Aset Tak Berwujud",'Daftar Koreksi'!$H$5:$H$92,"&lt;0")</f>
        <v>0</v>
      </c>
      <c r="G80" s="17">
        <f t="shared" si="3"/>
        <v>10650000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19000</v>
      </c>
      <c r="E81" s="25">
        <f>SUMIFS('Daftar Koreksi'!$H$5:$H$92,'Daftar Koreksi'!$D$5:$D$92,'3000'!A70,'Daftar Koreksi'!$G$5:$G$92,"Aset Henti Guna",'Daftar Koreksi'!$H$5:$H$92,"&gt;0")</f>
        <v>0</v>
      </c>
      <c r="F81" s="25">
        <f>SUMIFS('Daftar Koreksi'!$H$5:$H$92,'Daftar Koreksi'!$D$5:$D$92,'3000'!A70,'Daftar Koreksi'!$G$5:$G$92,"Aset Henti Guna",'Daftar Koreksi'!$H$5:$H$92,"&lt;0")-SUMIFS('Daftar Koreksi'!$H$5:$H$92,'Daftar Koreksi'!$D$5:$D$92,'3000'!A70,'Daftar Koreksi'!$G$5:$G$92,"Aset Henti Guna",'Daftar Koreksi'!$H$5:$H$92,"&lt;0")-SUMIFS('Daftar Koreksi'!$H$5:$H$92,'Daftar Koreksi'!$D$5:$D$92,'3000'!A70,'Daftar Koreksi'!$G$5:$G$92,"Aset Henti Guna",'Daftar Koreksi'!$H$5:$H$92,"&lt;0")</f>
        <v>0</v>
      </c>
      <c r="G81" s="17">
        <f t="shared" si="3"/>
        <v>19000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12530982718</v>
      </c>
      <c r="E82" s="19">
        <f>SUM(E73:E81)</f>
        <v>0</v>
      </c>
      <c r="F82" s="19">
        <f>SUM(F73:F81)</f>
        <v>0</v>
      </c>
      <c r="G82" s="19">
        <f t="shared" si="3"/>
        <v>12530982718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-1591811876</v>
      </c>
      <c r="E83" s="25">
        <f>SUMIFS('Daftar Koreksi'!$I$5:$I$92,'Daftar Koreksi'!$D$5:$D$92,'3000'!A70,'Daftar Koreksi'!$G$5:$G$92,"Peralatan dan mesin",'Daftar Koreksi'!$I$5:$I$92,"&gt;0")</f>
        <v>0</v>
      </c>
      <c r="F83" s="25">
        <f>SUMIFS('Daftar Koreksi'!$I$5:$I$92,'Daftar Koreksi'!$D$5:$D$92,'3000'!A70,'Daftar Koreksi'!$G$5:$G$92,"Peralatan dan mesin",'Daftar Koreksi'!$I$5:$I$92,"&lt;0")-SUMIFS('Daftar Koreksi'!$I$5:$I$92,'Daftar Koreksi'!$D$5:$D$92,'3000'!A70,'Daftar Koreksi'!$G$5:$G$92,"Peralatan dan mesin",'Daftar Koreksi'!$I$5:$I$92,"&lt;0")-SUMIFS('Daftar Koreksi'!$I$5:$I$92,'Daftar Koreksi'!$D$5:$D$92,'3000'!A70,'Daftar Koreksi'!$G$5:$G$92,"Peralatan dan mesin",'Daftar Koreksi'!$I$5:$I$92,"&lt;0")</f>
        <v>0</v>
      </c>
      <c r="G83" s="17">
        <f t="shared" si="3"/>
        <v>-1591811876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-1067076165</v>
      </c>
      <c r="E84" s="25">
        <f>SUMIFS('Daftar Koreksi'!$I$5:$I$92,'Daftar Koreksi'!$D$5:$D$92,'3000'!A70,'Daftar Koreksi'!$G$5:$G$92,"Gedung dan Bangunan",'Daftar Koreksi'!$I$5:$I$92,"&gt;0")</f>
        <v>0</v>
      </c>
      <c r="F84" s="25">
        <f>SUMIFS('Daftar Koreksi'!$I$5:$I$92,'Daftar Koreksi'!$D$5:$D$92,'3000'!A70,'Daftar Koreksi'!$G$5:$G$92,"Gedung dan Bangunan",'Daftar Koreksi'!$I$5:$I$92,"&lt;0")-SUMIFS('Daftar Koreksi'!$I$5:$I$92,'Daftar Koreksi'!$D$5:$D$92,'3000'!A70,'Daftar Koreksi'!$G$5:$G$92,"Gedung dan Bangunan",'Daftar Koreksi'!$I$5:$I$92,"&lt;0")-SUMIFS('Daftar Koreksi'!$I$5:$I$92,'Daftar Koreksi'!$D$5:$D$92,'3000'!A70,'Daftar Koreksi'!$G$5:$G$92,"Gedung dan Bangunan",'Daftar Koreksi'!$I$5:$I$92,"&lt;0")</f>
        <v>0</v>
      </c>
      <c r="G84" s="17">
        <f t="shared" si="3"/>
        <v>-1067076165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-10125566</v>
      </c>
      <c r="E85" s="25">
        <f>SUMIFS('Daftar Koreksi'!$I$5:$I$92,'Daftar Koreksi'!$D$5:$D$92,'3000'!A70,'Daftar Koreksi'!$G$5:$G$92,"Jalan Irigasi Jaringan",'Daftar Koreksi'!$I$5:$I$92,"&gt;0")</f>
        <v>0</v>
      </c>
      <c r="F85" s="25">
        <f>SUMIFS('Daftar Koreksi'!$I$5:$I$92,'Daftar Koreksi'!$D$5:$D$92,'3000'!A70,'Daftar Koreksi'!$G$5:$G$92,"Jalan Irigasi Jaringan",'Daftar Koreksi'!$I$5:$I$92,"&lt;0")-SUMIFS('Daftar Koreksi'!$I$5:$I$92,'Daftar Koreksi'!$D$5:$D$92,'3000'!A70,'Daftar Koreksi'!$G$5:$G$92,"Jalan Irigasi Jaringan",'Daftar Koreksi'!$I$5:$I$92,"&lt;0")-SUMIFS('Daftar Koreksi'!$I$5:$I$92,'Daftar Koreksi'!$D$5:$D$92,'3000'!A70,'Daftar Koreksi'!$G$5:$G$92,"Jalan Irigasi Jaringan",'Daftar Koreksi'!$I$5:$I$92,"&lt;0")</f>
        <v>0</v>
      </c>
      <c r="G85" s="17">
        <f t="shared" si="3"/>
        <v>-10125566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Koreksi'!$D$5:$D$92,'3000'!A70,'Daftar Koreksi'!$G$5:$G$92,"Aset Tetap Lainnya",'Daftar Koreksi'!$I$5:$I$92,"&gt;0")</f>
        <v>0</v>
      </c>
      <c r="F86" s="25">
        <f>SUMIFS('Daftar Koreksi'!$I$5:$I$92,'Daftar Koreksi'!$D$5:$D$92,'3000'!A70,'Daftar Koreksi'!$G$5:$G$92,"Aset Tetap Lainnya",'Daftar Koreksi'!$I$5:$I$92,"&lt;0")-SUMIFS('Daftar Koreksi'!$I$5:$I$92,'Daftar Koreksi'!$D$5:$D$92,'3000'!A70,'Daftar Koreksi'!$G$5:$G$92,"Aset Tetap Lainnya",'Daftar Koreksi'!$I$5:$I$92,"&lt;0")-SUMIFS('Daftar Koreksi'!$I$5:$I$92,'Daftar Koreksi'!$D$5:$D$92,'3000'!A70,'Daftar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-19000</v>
      </c>
      <c r="E87" s="25">
        <f>SUMIFS('Daftar Koreksi'!$I$5:$I$92,'Daftar Koreksi'!$D$5:$D$92,'3000'!A70,'Daftar Koreksi'!$G$5:$G$92,"Aset Henti Guna",'Daftar Koreksi'!$I$5:$I$92,"&gt;0")</f>
        <v>0</v>
      </c>
      <c r="F87" s="25">
        <f>SUMIFS('Daftar Koreksi'!$I$5:$I$92,'Daftar Koreksi'!$D$5:$D$92,'3000'!A70,'Daftar Koreksi'!$G$5:$G$92,"Aset Henti Guna",'Daftar Koreksi'!$I$5:$I$92,"&lt;0")-SUMIFS('Daftar Koreksi'!$I$5:$I$92,'Daftar Koreksi'!$D$5:$D$92,'3000'!A70,'Daftar Koreksi'!$G$5:$G$92,"Aset Henti Guna",'Daftar Koreksi'!$I$5:$I$92,"&lt;0")-SUMIFS('Daftar Koreksi'!$I$5:$I$92,'Daftar Koreksi'!$D$5:$D$92,'3000'!A70,'Daftar Koreksi'!$G$5:$G$92,"Aset Henti Guna",'Daftar Koreksi'!$I$5:$I$92,"&lt;0")</f>
        <v>0</v>
      </c>
      <c r="G87" s="17">
        <f t="shared" si="3"/>
        <v>-19000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-2669032607</v>
      </c>
      <c r="E88" s="19">
        <f>SUM(E83:E87)</f>
        <v>0</v>
      </c>
      <c r="F88" s="19">
        <f>SUM(F83:F87)</f>
        <v>0</v>
      </c>
      <c r="G88" s="19">
        <f t="shared" si="3"/>
        <v>-2669032607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9861950111</v>
      </c>
      <c r="E89" s="19">
        <f>E88+E82</f>
        <v>0</v>
      </c>
      <c r="F89" s="19">
        <f>F88+F82</f>
        <v>0</v>
      </c>
      <c r="G89" s="19">
        <f t="shared" si="3"/>
        <v>9861950111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005013000402318000KD</v>
      </c>
      <c r="B92" s="11" t="str">
        <f>P5</f>
        <v>PA. Tanjung Pandan</v>
      </c>
      <c r="C92" s="12" t="str">
        <f>A92&amp;" "&amp;B92</f>
        <v>005013000402318000KD PA. Tanjung Pandan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2455306</v>
      </c>
      <c r="E95" s="25">
        <f>SUMIFS('Daftar Koreksi'!$H$5:$H$92,'Daftar Koreksi'!$D$5:$D$92,'3000'!A92,'Daftar Koreksi'!$G$5:$G$92,"Persediaan",'Daftar Koreksi'!$H$5:$H$92,"&gt;0")</f>
        <v>0</v>
      </c>
      <c r="F95" s="25">
        <f>SUMIFS('Daftar Koreksi'!$H$5:$H$92,'Daftar Koreksi'!$D$5:$D$92,'3000'!A92,'Daftar Koreksi'!$G$5:$G$92,"Persediaan",'Daftar Koreksi'!$H$5:$H$92,"&lt;0")-SUMIFS('Daftar Koreksi'!$H$5:$H$92,'Daftar Koreksi'!$D$5:$D$92,'3000'!A92,'Daftar Koreksi'!$G$5:$G$92,"Persediaan",'Daftar Koreksi'!$H$5:$H$92,"&lt;0")-SUMIFS('Daftar Koreksi'!$H$5:$H$92,'Daftar Koreksi'!$D$5:$D$92,'3000'!A92,'Daftar Koreksi'!$G$5:$G$92,"Persediaan",'Daftar Koreksi'!$H$5:$H$92,"&lt;0")</f>
        <v>0</v>
      </c>
      <c r="G95" s="17">
        <f>D95+E95-F95</f>
        <v>2455306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167500000</v>
      </c>
      <c r="E96" s="25">
        <f>SUMIFS('Daftar Koreksi'!$H$5:$H$92,'Daftar Koreksi'!$D$5:$D$92,'3000'!A92,'Daftar Koreksi'!$G$5:$G$92,"Tanah",'Daftar Koreksi'!$H$5:$H$92,"&gt;0")</f>
        <v>0</v>
      </c>
      <c r="F96" s="25">
        <f>SUMIFS('Daftar Koreksi'!$H$5:$H$92,'Daftar Koreksi'!$D$5:$D$92,'3000'!A92,'Daftar Koreksi'!$G$5:$G$92,"Tanah",'Daftar Koreksi'!$H$5:$H$92,"&lt;0")-SUMIFS('Daftar Koreksi'!$H$5:$H$92,'Daftar Koreksi'!$D$5:$D$92,'3000'!A92,'Daftar Koreksi'!$G$5:$G$92,"Tanah",'Daftar Koreksi'!$H$5:$H$92,"&lt;0")-SUMIFS('Daftar Koreksi'!$H$5:$H$92,'Daftar Koreksi'!$D$5:$D$92,'3000'!A92,'Daftar Koreksi'!$G$5:$G$92,"Tanah",'Daftar Koreksi'!$H$5:$H$92,"&lt;0")</f>
        <v>0</v>
      </c>
      <c r="G96" s="17">
        <f t="shared" ref="G96:G112" si="4">D96+E96-F96</f>
        <v>167500000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1141870665</v>
      </c>
      <c r="E97" s="25">
        <f>SUMIFS('Daftar Koreksi'!$H$5:$H$92,'Daftar Koreksi'!$D$5:$D$92,'3000'!A92,'Daftar Koreksi'!$G$5:$G$92,"Peralatan dan mesin",'Daftar Koreksi'!$H$5:$H$92,"&gt;0")</f>
        <v>0</v>
      </c>
      <c r="F97" s="25">
        <f>SUMIFS('Daftar Koreksi'!$H$5:$H$92,'Daftar Koreksi'!$D$5:$D$92,'3000'!A92,'Daftar Koreksi'!$G$5:$G$92,"Peralatan dan mesin",'Daftar Koreksi'!$H$5:$H$92,"&lt;0")-SUMIFS('Daftar Koreksi'!$H$5:$H$92,'Daftar Koreksi'!$D$5:$D$92,'3000'!A92,'Daftar Koreksi'!$G$5:$G$92,"Peralatan dan mesin",'Daftar Koreksi'!$H$5:$H$92,"&lt;0")-SUMIFS('Daftar Koreksi'!$H$5:$H$92,'Daftar Koreksi'!$D$5:$D$92,'3000'!A92,'Daftar Koreksi'!$G$5:$G$92,"Peralatan dan mesin",'Daftar Koreksi'!$H$5:$H$92,"&lt;0")</f>
        <v>0</v>
      </c>
      <c r="G97" s="17">
        <f t="shared" si="4"/>
        <v>1141870665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1398943179</v>
      </c>
      <c r="E98" s="25">
        <f>SUMIFS('Daftar Koreksi'!$H$5:$H$92,'Daftar Koreksi'!$D$5:$D$92,'3000'!A92,'Daftar Koreksi'!$G$5:$G$92,"Gedung dan Bangunan",'Daftar Koreksi'!$H$5:$H$92,"&gt;0")</f>
        <v>0</v>
      </c>
      <c r="F98" s="25">
        <f>SUMIFS('Daftar Koreksi'!$H$5:$H$92,'Daftar Koreksi'!$D$5:$D$92,'3000'!A92,'Daftar Koreksi'!$G$5:$G$92,"Gedung dan Bangunan",'Daftar Koreksi'!$H$5:$H$92,"&lt;0")-SUMIFS('Daftar Koreksi'!$H$5:$H$92,'Daftar Koreksi'!$D$5:$D$92,'3000'!A92,'Daftar Koreksi'!$G$5:$G$92,"Gedung dan Bangunan",'Daftar Koreksi'!$H$5:$H$92,"&lt;0")-SUMIFS('Daftar Koreksi'!$H$5:$H$92,'Daftar Koreksi'!$D$5:$D$92,'3000'!A92,'Daftar Koreksi'!$G$5:$G$92,"Gedung dan Bangunan",'Daftar Koreksi'!$H$5:$H$92,"&lt;0")</f>
        <v>0</v>
      </c>
      <c r="G98" s="17">
        <f t="shared" si="4"/>
        <v>1398943179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59395000</v>
      </c>
      <c r="E99" s="25">
        <f>SUMIFS('Daftar Koreksi'!$H$5:$H$92,'Daftar Koreksi'!$D$5:$D$92,'3000'!A92,'Daftar Koreksi'!$G$5:$G$92,"Jalan Irigasi Jaringan",'Daftar Koreksi'!$H$5:$H$92,"&gt;0")</f>
        <v>0</v>
      </c>
      <c r="F99" s="25">
        <f>SUMIFS('Daftar Koreksi'!$H$5:$H$92,'Daftar Koreksi'!$D$5:$D$92,'3000'!A92,'Daftar Koreksi'!$G$5:$G$92,"Jalan Irigasi Jaringan",'Daftar Koreksi'!$H$5:$H$92,"&lt;0")-SUMIFS('Daftar Koreksi'!$H$5:$H$92,'Daftar Koreksi'!$D$5:$D$92,'3000'!A92,'Daftar Koreksi'!$G$5:$G$92,"Jalan Irigasi Jaringan",'Daftar Koreksi'!$H$5:$H$92,"&lt;0")-SUMIFS('Daftar Koreksi'!$H$5:$H$92,'Daftar Koreksi'!$D$5:$D$92,'3000'!A92,'Daftar Koreksi'!$G$5:$G$92,"Jalan Irigasi Jaringan",'Daftar Koreksi'!$H$5:$H$92,"&lt;0")</f>
        <v>0</v>
      </c>
      <c r="G99" s="17">
        <f t="shared" si="4"/>
        <v>59395000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0</v>
      </c>
      <c r="E100" s="25">
        <f>SUMIFS('Daftar Koreksi'!$H$5:$H$92,'Daftar Koreksi'!$D$5:$D$92,'3000'!A92,'Daftar Koreksi'!$G$5:$G$92,"Aset Tetap Lainnya",'Daftar Koreksi'!$H$5:$H$92,"&gt;0")</f>
        <v>0</v>
      </c>
      <c r="F100" s="25">
        <f>SUMIFS('Daftar Koreksi'!$H$5:$H$92,'Daftar Koreksi'!$D$5:$D$92,'3000'!A92,'Daftar Koreksi'!$G$5:$G$92,"Aset Tetap Lainnya",'Daftar Koreksi'!$H$5:$H$92,"&lt;0")-SUMIFS('Daftar Koreksi'!$H$5:$H$92,'Daftar Koreksi'!$D$5:$D$92,'3000'!A92,'Daftar Koreksi'!$G$5:$G$92,"Aset Tetap Lainnya",'Daftar Koreksi'!$H$5:$H$92,"&lt;0")-SUMIFS('Daftar Koreksi'!$H$5:$H$92,'Daftar Koreksi'!$D$5:$D$92,'3000'!A92,'Daftar Koreksi'!$G$5:$G$92,"Aset Tetap Lainnya",'Daftar Koreksi'!$H$5:$H$92,"&lt;0")</f>
        <v>0</v>
      </c>
      <c r="G100" s="17">
        <f t="shared" si="4"/>
        <v>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Koreksi'!$D$5:$D$92,'3000'!A92,'Daftar Koreksi'!$G$5:$G$92,"Kontruksi Dalam Pengerjaan",'Daftar Koreksi'!$H$5:$H$92,"&gt;0")</f>
        <v>0</v>
      </c>
      <c r="F101" s="25">
        <f>SUMIFS('Daftar Koreksi'!$H$5:$H$92,'Daftar Koreksi'!$D$5:$D$92,'3000'!A92,'Daftar Koreksi'!$G$5:$G$92,"Kontruksi Dalam Pengerjaan",'Daftar Koreksi'!$H$5:$H$92,"&lt;0")-SUMIFS('Daftar Koreksi'!$H$5:$H$92,'Daftar Koreksi'!$D$5:$D$92,'3000'!A92,'Daftar Koreksi'!$G$5:$G$92,"Kontruksi Dalam Pengerjaan",'Daftar Koreksi'!$H$5:$H$92,"&lt;0")-SUMIFS('Daftar Koreksi'!$H$5:$H$92,'Daftar Koreksi'!$D$5:$D$92,'3000'!A92,'Daftar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Koreksi'!$D$5:$D$92,'3000'!A92,'Daftar Koreksi'!$G$5:$G$92,"Aset Tak Berwujud",'Daftar Koreksi'!$H$5:$H$92,"&gt;0")</f>
        <v>0</v>
      </c>
      <c r="F102" s="25">
        <f>SUMIFS('Daftar Koreksi'!$H$5:$H$92,'Daftar Koreksi'!$D$5:$D$92,'3000'!A92,'Daftar Koreksi'!$G$5:$G$92,"Aset Tak Berwujud",'Daftar Koreksi'!$H$5:$H$92,"&lt;0")-SUMIFS('Daftar Koreksi'!$H$5:$H$92,'Daftar Koreksi'!$D$5:$D$92,'3000'!A92,'Daftar Koreksi'!$G$5:$G$92,"Aset Tak Berwujud",'Daftar Koreksi'!$H$5:$H$92,"&lt;0")-SUMIFS('Daftar Koreksi'!$H$5:$H$92,'Daftar Koreksi'!$D$5:$D$92,'3000'!A92,'Daftar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357105896</v>
      </c>
      <c r="E103" s="25">
        <f>SUMIFS('Daftar Koreksi'!$H$5:$H$92,'Daftar Koreksi'!$D$5:$D$92,'3000'!A92,'Daftar Koreksi'!$G$5:$G$92,"Aset Henti Guna",'Daftar Koreksi'!$H$5:$H$92,"&gt;0")</f>
        <v>0</v>
      </c>
      <c r="F103" s="25">
        <f>SUMIFS('Daftar Koreksi'!$H$5:$H$92,'Daftar Koreksi'!$D$5:$D$92,'3000'!A92,'Daftar Koreksi'!$G$5:$G$92,"Aset Henti Guna",'Daftar Koreksi'!$H$5:$H$92,"&lt;0")-SUMIFS('Daftar Koreksi'!$H$5:$H$92,'Daftar Koreksi'!$D$5:$D$92,'3000'!A92,'Daftar Koreksi'!$G$5:$G$92,"Aset Henti Guna",'Daftar Koreksi'!$H$5:$H$92,"&lt;0")-SUMIFS('Daftar Koreksi'!$H$5:$H$92,'Daftar Koreksi'!$D$5:$D$92,'3000'!A92,'Daftar Koreksi'!$G$5:$G$92,"Aset Henti Guna",'Daftar Koreksi'!$H$5:$H$92,"&lt;0")</f>
        <v>0</v>
      </c>
      <c r="G103" s="17">
        <f t="shared" si="4"/>
        <v>357105896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3127270046</v>
      </c>
      <c r="E104" s="19">
        <f>SUM(E95:E103)</f>
        <v>0</v>
      </c>
      <c r="F104" s="19">
        <f>SUM(F95:F103)</f>
        <v>0</v>
      </c>
      <c r="G104" s="19">
        <f t="shared" si="4"/>
        <v>3127270046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-1039032345</v>
      </c>
      <c r="E105" s="25">
        <f>SUMIFS('Daftar Koreksi'!$I$5:$I$92,'Daftar Koreksi'!$D$5:$D$92,'3000'!A92,'Daftar Koreksi'!$G$5:$G$92,"Peralatan dan mesin",'Daftar Koreksi'!$I$5:$I$92,"&gt;0")</f>
        <v>0</v>
      </c>
      <c r="F105" s="25">
        <f>SUMIFS('Daftar Koreksi'!$I$5:$I$92,'Daftar Koreksi'!$D$5:$D$92,'3000'!A92,'Daftar Koreksi'!$G$5:$G$92,"Peralatan dan mesin",'Daftar Koreksi'!$I$5:$I$92,"&lt;0")-SUMIFS('Daftar Koreksi'!$I$5:$I$92,'Daftar Koreksi'!$D$5:$D$92,'3000'!A92,'Daftar Koreksi'!$G$5:$G$92,"Peralatan dan mesin",'Daftar Koreksi'!$I$5:$I$92,"&lt;0")-SUMIFS('Daftar Koreksi'!$I$5:$I$92,'Daftar Koreksi'!$D$5:$D$92,'3000'!A92,'Daftar Koreksi'!$G$5:$G$92,"Peralatan dan mesin",'Daftar Koreksi'!$I$5:$I$92,"&lt;0")</f>
        <v>0</v>
      </c>
      <c r="G105" s="17">
        <f t="shared" si="4"/>
        <v>-1039032345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-299107333</v>
      </c>
      <c r="E106" s="25">
        <f>SUMIFS('Daftar Koreksi'!$I$5:$I$92,'Daftar Koreksi'!$D$5:$D$92,'3000'!A92,'Daftar Koreksi'!$G$5:$G$92,"Gedung dan Bangunan",'Daftar Koreksi'!$I$5:$I$92,"&gt;0")</f>
        <v>0</v>
      </c>
      <c r="F106" s="25">
        <f>SUMIFS('Daftar Koreksi'!$I$5:$I$92,'Daftar Koreksi'!$D$5:$D$92,'3000'!A92,'Daftar Koreksi'!$G$5:$G$92,"Gedung dan Bangunan",'Daftar Koreksi'!$I$5:$I$92,"&lt;0")-SUMIFS('Daftar Koreksi'!$I$5:$I$92,'Daftar Koreksi'!$D$5:$D$92,'3000'!A92,'Daftar Koreksi'!$G$5:$G$92,"Gedung dan Bangunan",'Daftar Koreksi'!$I$5:$I$92,"&lt;0")-SUMIFS('Daftar Koreksi'!$I$5:$I$92,'Daftar Koreksi'!$D$5:$D$92,'3000'!A92,'Daftar Koreksi'!$G$5:$G$92,"Gedung dan Bangunan",'Daftar Koreksi'!$I$5:$I$92,"&lt;0")</f>
        <v>0</v>
      </c>
      <c r="G106" s="17">
        <f t="shared" si="4"/>
        <v>-299107333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-9608754</v>
      </c>
      <c r="E107" s="25">
        <f>SUMIFS('Daftar Koreksi'!$I$5:$I$92,'Daftar Koreksi'!$D$5:$D$92,'3000'!A92,'Daftar Koreksi'!$G$5:$G$92,"Jalan Irigasi Jaringan",'Daftar Koreksi'!$I$5:$I$92,"&gt;0")</f>
        <v>0</v>
      </c>
      <c r="F107" s="25">
        <f>SUMIFS('Daftar Koreksi'!$I$5:$I$92,'Daftar Koreksi'!$D$5:$D$92,'3000'!A92,'Daftar Koreksi'!$G$5:$G$92,"Jalan Irigasi Jaringan",'Daftar Koreksi'!$I$5:$I$92,"&lt;0")-SUMIFS('Daftar Koreksi'!$I$5:$I$92,'Daftar Koreksi'!$D$5:$D$92,'3000'!A92,'Daftar Koreksi'!$G$5:$G$92,"Jalan Irigasi Jaringan",'Daftar Koreksi'!$I$5:$I$92,"&lt;0")-SUMIFS('Daftar Koreksi'!$I$5:$I$92,'Daftar Koreksi'!$D$5:$D$92,'3000'!A92,'Daftar Koreksi'!$G$5:$G$92,"Jalan Irigasi Jaringan",'Daftar Koreksi'!$I$5:$I$92,"&lt;0")</f>
        <v>0</v>
      </c>
      <c r="G107" s="17">
        <f t="shared" si="4"/>
        <v>-9608754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Koreksi'!$D$5:$D$92,'3000'!A92,'Daftar Koreksi'!$G$5:$G$92,"Aset Tetap Lainnya",'Daftar Koreksi'!$I$5:$I$92,"&gt;0")</f>
        <v>0</v>
      </c>
      <c r="F108" s="25">
        <f>SUMIFS('Daftar Koreksi'!$I$5:$I$92,'Daftar Koreksi'!$D$5:$D$92,'3000'!A92,'Daftar Koreksi'!$G$5:$G$92,"Aset Tetap Lainnya",'Daftar Koreksi'!$I$5:$I$92,"&lt;0")-SUMIFS('Daftar Koreksi'!$I$5:$I$92,'Daftar Koreksi'!$D$5:$D$92,'3000'!A92,'Daftar Koreksi'!$G$5:$G$92,"Aset Tetap Lainnya",'Daftar Koreksi'!$I$5:$I$92,"&lt;0")-SUMIFS('Daftar Koreksi'!$I$5:$I$92,'Daftar Koreksi'!$D$5:$D$92,'3000'!A92,'Daftar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-357105896</v>
      </c>
      <c r="E109" s="25">
        <f>SUMIFS('Daftar Koreksi'!$I$5:$I$92,'Daftar Koreksi'!$D$5:$D$92,'3000'!A92,'Daftar Koreksi'!$G$5:$G$92,"Aset Henti Guna",'Daftar Koreksi'!$I$5:$I$92,"&gt;0")</f>
        <v>0</v>
      </c>
      <c r="F109" s="25">
        <f>SUMIFS('Daftar Koreksi'!$I$5:$I$92,'Daftar Koreksi'!$D$5:$D$92,'3000'!A92,'Daftar Koreksi'!$G$5:$G$92,"Aset Henti Guna",'Daftar Koreksi'!$I$5:$I$92,"&lt;0")-SUMIFS('Daftar Koreksi'!$I$5:$I$92,'Daftar Koreksi'!$D$5:$D$92,'3000'!A92,'Daftar Koreksi'!$G$5:$G$92,"Aset Henti Guna",'Daftar Koreksi'!$I$5:$I$92,"&lt;0")-SUMIFS('Daftar Koreksi'!$I$5:$I$92,'Daftar Koreksi'!$D$5:$D$92,'3000'!A92,'Daftar Koreksi'!$G$5:$G$92,"Aset Henti Guna",'Daftar Koreksi'!$I$5:$I$92,"&lt;0")</f>
        <v>0</v>
      </c>
      <c r="G109" s="17">
        <f t="shared" si="4"/>
        <v>-357105896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-1704854328</v>
      </c>
      <c r="E110" s="19">
        <f>SUM(E105:E109)</f>
        <v>0</v>
      </c>
      <c r="F110" s="19">
        <f>SUM(F105:F109)</f>
        <v>0</v>
      </c>
      <c r="G110" s="19">
        <f t="shared" si="4"/>
        <v>-1704854328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1422415718</v>
      </c>
      <c r="E111" s="19">
        <f>E110+E104</f>
        <v>0</v>
      </c>
      <c r="F111" s="19">
        <f>F110+F104</f>
        <v>0</v>
      </c>
      <c r="G111" s="19">
        <f t="shared" si="4"/>
        <v>1422415718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005013000403092000KD</v>
      </c>
      <c r="B114" s="11" t="str">
        <f>P6</f>
        <v>PA. Sungai Liat</v>
      </c>
      <c r="C114" s="12" t="str">
        <f>A114&amp;" "&amp;B114</f>
        <v>005013000403092000KD PA. Sungai Liat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4047950</v>
      </c>
      <c r="E117" s="25">
        <f>SUMIFS('Daftar Koreksi'!$H$5:$H$92,'Daftar Koreksi'!$D$5:$D$92,'3000'!A114,'Daftar Koreksi'!$G$5:$G$92,"Persediaan",'Daftar Koreksi'!$H$5:$H$92,"&gt;0")</f>
        <v>0</v>
      </c>
      <c r="F117" s="25">
        <f>SUMIFS('Daftar Koreksi'!$H$5:$H$92,'Daftar Koreksi'!$D$5:$D$92,'3000'!A114,'Daftar Koreksi'!$G$5:$G$92,"Persediaan",'Daftar Koreksi'!$H$5:$H$92,"&lt;0")-SUMIFS('Daftar Koreksi'!$H$5:$H$92,'Daftar Koreksi'!$D$5:$D$92,'3000'!A114,'Daftar Koreksi'!$G$5:$G$92,"Persediaan",'Daftar Koreksi'!$H$5:$H$92,"&lt;0")-SUMIFS('Daftar Koreksi'!$H$5:$H$92,'Daftar Koreksi'!$D$5:$D$92,'3000'!A114,'Daftar Koreksi'!$G$5:$G$92,"Persediaan",'Daftar Koreksi'!$H$5:$H$92,"&lt;0")</f>
        <v>0</v>
      </c>
      <c r="G117" s="17">
        <f>D117+E117-F117</f>
        <v>4047950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264226400</v>
      </c>
      <c r="E118" s="25">
        <f>SUMIFS('Daftar Koreksi'!$H$5:$H$92,'Daftar Koreksi'!$D$5:$D$92,'3000'!A114,'Daftar Koreksi'!$G$5:$G$92,"Tanah",'Daftar Koreksi'!$H$5:$H$92,"&gt;0")</f>
        <v>0</v>
      </c>
      <c r="F118" s="25">
        <f>SUMIFS('Daftar Koreksi'!$H$5:$H$92,'Daftar Koreksi'!$D$5:$D$92,'3000'!A114,'Daftar Koreksi'!$G$5:$G$92,"Tanah",'Daftar Koreksi'!$H$5:$H$92,"&lt;0")-SUMIFS('Daftar Koreksi'!$H$5:$H$92,'Daftar Koreksi'!$D$5:$D$92,'3000'!A114,'Daftar Koreksi'!$G$5:$G$92,"Tanah",'Daftar Koreksi'!$H$5:$H$92,"&lt;0")-SUMIFS('Daftar Koreksi'!$H$5:$H$92,'Daftar Koreksi'!$D$5:$D$92,'3000'!A114,'Daftar Koreksi'!$G$5:$G$92,"Tanah",'Daftar Koreksi'!$H$5:$H$92,"&lt;0")</f>
        <v>0</v>
      </c>
      <c r="G118" s="17">
        <f t="shared" ref="G118:G134" si="5">D118+E118-F118</f>
        <v>264226400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1606998137</v>
      </c>
      <c r="E119" s="25">
        <f>SUMIFS('Daftar Koreksi'!$H$5:$H$92,'Daftar Koreksi'!$D$5:$D$92,'3000'!A114,'Daftar Koreksi'!$G$5:$G$92,"Peralatan dan mesin",'Daftar Koreksi'!$H$5:$H$92,"&gt;0")</f>
        <v>0</v>
      </c>
      <c r="F119" s="25">
        <f>SUMIFS('Daftar Koreksi'!$H$5:$H$92,'Daftar Koreksi'!$D$5:$D$92,'3000'!A114,'Daftar Koreksi'!$G$5:$G$92,"Peralatan dan mesin",'Daftar Koreksi'!$H$5:$H$92,"&lt;0")-SUMIFS('Daftar Koreksi'!$H$5:$H$92,'Daftar Koreksi'!$D$5:$D$92,'3000'!A114,'Daftar Koreksi'!$G$5:$G$92,"Peralatan dan mesin",'Daftar Koreksi'!$H$5:$H$92,"&lt;0")-SUMIFS('Daftar Koreksi'!$H$5:$H$92,'Daftar Koreksi'!$D$5:$D$92,'3000'!A114,'Daftar Koreksi'!$G$5:$G$92,"Peralatan dan mesin",'Daftar Koreksi'!$H$5:$H$92,"&lt;0")</f>
        <v>0</v>
      </c>
      <c r="G119" s="17">
        <f t="shared" si="5"/>
        <v>1606998137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6135564102</v>
      </c>
      <c r="E120" s="25">
        <f>SUMIFS('Daftar Koreksi'!$H$5:$H$92,'Daftar Koreksi'!$D$5:$D$92,'3000'!A114,'Daftar Koreksi'!$G$5:$G$92,"Gedung dan Bangunan",'Daftar Koreksi'!$H$5:$H$92,"&gt;0")</f>
        <v>0</v>
      </c>
      <c r="F120" s="25">
        <f>SUMIFS('Daftar Koreksi'!$H$5:$H$92,'Daftar Koreksi'!$D$5:$D$92,'3000'!A114,'Daftar Koreksi'!$G$5:$G$92,"Gedung dan Bangunan",'Daftar Koreksi'!$H$5:$H$92,"&lt;0")-SUMIFS('Daftar Koreksi'!$H$5:$H$92,'Daftar Koreksi'!$D$5:$D$92,'3000'!A114,'Daftar Koreksi'!$G$5:$G$92,"Gedung dan Bangunan",'Daftar Koreksi'!$H$5:$H$92,"&lt;0")-SUMIFS('Daftar Koreksi'!$H$5:$H$92,'Daftar Koreksi'!$D$5:$D$92,'3000'!A114,'Daftar Koreksi'!$G$5:$G$92,"Gedung dan Bangunan",'Daftar Koreksi'!$H$5:$H$92,"&lt;0")</f>
        <v>0</v>
      </c>
      <c r="G120" s="17">
        <f t="shared" si="5"/>
        <v>6135564102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18370000</v>
      </c>
      <c r="E121" s="25">
        <f>SUMIFS('Daftar Koreksi'!$H$5:$H$92,'Daftar Koreksi'!$D$5:$D$92,'3000'!A114,'Daftar Koreksi'!$G$5:$G$92,"Jalan Irigasi Jaringan",'Daftar Koreksi'!$H$5:$H$92,"&gt;0")</f>
        <v>0</v>
      </c>
      <c r="F121" s="25">
        <f>SUMIFS('Daftar Koreksi'!$H$5:$H$92,'Daftar Koreksi'!$D$5:$D$92,'3000'!A114,'Daftar Koreksi'!$G$5:$G$92,"Jalan Irigasi Jaringan",'Daftar Koreksi'!$H$5:$H$92,"&lt;0")-SUMIFS('Daftar Koreksi'!$H$5:$H$92,'Daftar Koreksi'!$D$5:$D$92,'3000'!A114,'Daftar Koreksi'!$G$5:$G$92,"Jalan Irigasi Jaringan",'Daftar Koreksi'!$H$5:$H$92,"&lt;0")-SUMIFS('Daftar Koreksi'!$H$5:$H$92,'Daftar Koreksi'!$D$5:$D$92,'3000'!A114,'Daftar Koreksi'!$G$5:$G$92,"Jalan Irigasi Jaringan",'Daftar Koreksi'!$H$5:$H$92,"&lt;0")</f>
        <v>0</v>
      </c>
      <c r="G121" s="17">
        <f t="shared" si="5"/>
        <v>18370000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0</v>
      </c>
      <c r="E122" s="25">
        <f>SUMIFS('Daftar Koreksi'!$H$5:$H$92,'Daftar Koreksi'!$D$5:$D$92,'3000'!A114,'Daftar Koreksi'!$G$5:$G$92,"Aset Tetap Lainnya",'Daftar Koreksi'!$H$5:$H$92,"&gt;0")</f>
        <v>0</v>
      </c>
      <c r="F122" s="25">
        <f>SUMIFS('Daftar Koreksi'!$H$5:$H$92,'Daftar Koreksi'!$D$5:$D$92,'3000'!A114,'Daftar Koreksi'!$G$5:$G$92,"Aset Tetap Lainnya",'Daftar Koreksi'!$H$5:$H$92,"&lt;0")-SUMIFS('Daftar Koreksi'!$H$5:$H$92,'Daftar Koreksi'!$D$5:$D$92,'3000'!A114,'Daftar Koreksi'!$G$5:$G$92,"Aset Tetap Lainnya",'Daftar Koreksi'!$H$5:$H$92,"&lt;0")-SUMIFS('Daftar Koreksi'!$H$5:$H$92,'Daftar Koreksi'!$D$5:$D$92,'3000'!A114,'Daftar Koreksi'!$G$5:$G$92,"Aset Tetap Lainnya",'Daftar Koreksi'!$H$5:$H$92,"&lt;0")</f>
        <v>0</v>
      </c>
      <c r="G122" s="17">
        <f t="shared" si="5"/>
        <v>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Koreksi'!$D$5:$D$92,'3000'!A114,'Daftar Koreksi'!$G$5:$G$92,"Kontruksi Dalam Pengerjaan",'Daftar Koreksi'!$H$5:$H$92,"&gt;0")</f>
        <v>0</v>
      </c>
      <c r="F123" s="25">
        <f>SUMIFS('Daftar Koreksi'!$H$5:$H$92,'Daftar Koreksi'!$D$5:$D$92,'3000'!A114,'Daftar Koreksi'!$G$5:$G$92,"Kontruksi Dalam Pengerjaan",'Daftar Koreksi'!$H$5:$H$92,"&lt;0")-SUMIFS('Daftar Koreksi'!$H$5:$H$92,'Daftar Koreksi'!$D$5:$D$92,'3000'!A114,'Daftar Koreksi'!$G$5:$G$92,"Kontruksi Dalam Pengerjaan",'Daftar Koreksi'!$H$5:$H$92,"&lt;0")-SUMIFS('Daftar Koreksi'!$H$5:$H$92,'Daftar Koreksi'!$D$5:$D$92,'3000'!A114,'Daftar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Koreksi'!$D$5:$D$92,'3000'!A114,'Daftar Koreksi'!$G$5:$G$92,"Aset Tak Berwujud",'Daftar Koreksi'!$H$5:$H$92,"&gt;0")</f>
        <v>0</v>
      </c>
      <c r="F124" s="25">
        <f>SUMIFS('Daftar Koreksi'!$H$5:$H$92,'Daftar Koreksi'!$D$5:$D$92,'3000'!A114,'Daftar Koreksi'!$G$5:$G$92,"Aset Tak Berwujud",'Daftar Koreksi'!$H$5:$H$92,"&lt;0")-SUMIFS('Daftar Koreksi'!$H$5:$H$92,'Daftar Koreksi'!$D$5:$D$92,'3000'!A114,'Daftar Koreksi'!$G$5:$G$92,"Aset Tak Berwujud",'Daftar Koreksi'!$H$5:$H$92,"&lt;0")-SUMIFS('Daftar Koreksi'!$H$5:$H$92,'Daftar Koreksi'!$D$5:$D$92,'3000'!A114,'Daftar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203019600</v>
      </c>
      <c r="E125" s="25">
        <f>SUMIFS('Daftar Koreksi'!$H$5:$H$92,'Daftar Koreksi'!$D$5:$D$92,'3000'!A114,'Daftar Koreksi'!$G$5:$G$92,"Aset Henti Guna",'Daftar Koreksi'!$H$5:$H$92,"&gt;0")</f>
        <v>0</v>
      </c>
      <c r="F125" s="25">
        <f>SUMIFS('Daftar Koreksi'!$H$5:$H$92,'Daftar Koreksi'!$D$5:$D$92,'3000'!A114,'Daftar Koreksi'!$G$5:$G$92,"Aset Henti Guna",'Daftar Koreksi'!$H$5:$H$92,"&lt;0")-SUMIFS('Daftar Koreksi'!$H$5:$H$92,'Daftar Koreksi'!$D$5:$D$92,'3000'!A114,'Daftar Koreksi'!$G$5:$G$92,"Aset Henti Guna",'Daftar Koreksi'!$H$5:$H$92,"&lt;0")-SUMIFS('Daftar Koreksi'!$H$5:$H$92,'Daftar Koreksi'!$D$5:$D$92,'3000'!A114,'Daftar Koreksi'!$G$5:$G$92,"Aset Henti Guna",'Daftar Koreksi'!$H$5:$H$92,"&lt;0")</f>
        <v>0</v>
      </c>
      <c r="G125" s="17">
        <f t="shared" si="5"/>
        <v>203019600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8232226189</v>
      </c>
      <c r="E126" s="19">
        <f>SUM(E117:E125)</f>
        <v>0</v>
      </c>
      <c r="F126" s="19">
        <f>SUM(F117:F125)</f>
        <v>0</v>
      </c>
      <c r="G126" s="19">
        <f t="shared" si="5"/>
        <v>8232226189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-1344477251</v>
      </c>
      <c r="E127" s="25">
        <f>SUMIFS('Daftar Koreksi'!$I$5:$I$92,'Daftar Koreksi'!$D$5:$D$92,'3000'!A114,'Daftar Koreksi'!$G$5:$G$92,"Peralatan dan mesin",'Daftar Koreksi'!$I$5:$I$92,"&gt;0")</f>
        <v>0</v>
      </c>
      <c r="F127" s="25">
        <f>SUMIFS('Daftar Koreksi'!$I$5:$I$92,'Daftar Koreksi'!$D$5:$D$92,'3000'!A114,'Daftar Koreksi'!$G$5:$G$92,"Peralatan dan mesin",'Daftar Koreksi'!$I$5:$I$92,"&lt;0")-SUMIFS('Daftar Koreksi'!$I$5:$I$92,'Daftar Koreksi'!$D$5:$D$92,'3000'!A114,'Daftar Koreksi'!$G$5:$G$92,"Peralatan dan mesin",'Daftar Koreksi'!$I$5:$I$92,"&lt;0")-SUMIFS('Daftar Koreksi'!$I$5:$I$92,'Daftar Koreksi'!$D$5:$D$92,'3000'!A114,'Daftar Koreksi'!$G$5:$G$92,"Peralatan dan mesin",'Daftar Koreksi'!$I$5:$I$92,"&lt;0")</f>
        <v>0</v>
      </c>
      <c r="G127" s="17">
        <f t="shared" si="5"/>
        <v>-1344477251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-604473705</v>
      </c>
      <c r="E128" s="25">
        <f>SUMIFS('Daftar Koreksi'!$I$5:$I$92,'Daftar Koreksi'!$D$5:$D$92,'3000'!A114,'Daftar Koreksi'!$G$5:$G$92,"Gedung dan Bangunan",'Daftar Koreksi'!$I$5:$I$92,"&gt;0")</f>
        <v>0</v>
      </c>
      <c r="F128" s="25">
        <f>SUMIFS('Daftar Koreksi'!$I$5:$I$92,'Daftar Koreksi'!$D$5:$D$92,'3000'!A114,'Daftar Koreksi'!$G$5:$G$92,"Gedung dan Bangunan",'Daftar Koreksi'!$I$5:$I$92,"&lt;0")-SUMIFS('Daftar Koreksi'!$I$5:$I$92,'Daftar Koreksi'!$D$5:$D$92,'3000'!A114,'Daftar Koreksi'!$G$5:$G$92,"Gedung dan Bangunan",'Daftar Koreksi'!$I$5:$I$92,"&lt;0")-SUMIFS('Daftar Koreksi'!$I$5:$I$92,'Daftar Koreksi'!$D$5:$D$92,'3000'!A114,'Daftar Koreksi'!$G$5:$G$92,"Gedung dan Bangunan",'Daftar Koreksi'!$I$5:$I$92,"&lt;0")</f>
        <v>0</v>
      </c>
      <c r="G128" s="17">
        <f t="shared" si="5"/>
        <v>-604473705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-4592500</v>
      </c>
      <c r="E129" s="25">
        <f>SUMIFS('Daftar Koreksi'!$I$5:$I$92,'Daftar Koreksi'!$D$5:$D$92,'3000'!A114,'Daftar Koreksi'!$G$5:$G$92,"Jalan Irigasi Jaringan",'Daftar Koreksi'!$I$5:$I$92,"&gt;0")</f>
        <v>0</v>
      </c>
      <c r="F129" s="25">
        <f>SUMIFS('Daftar Koreksi'!$I$5:$I$92,'Daftar Koreksi'!$D$5:$D$92,'3000'!A114,'Daftar Koreksi'!$G$5:$G$92,"Jalan Irigasi Jaringan",'Daftar Koreksi'!$I$5:$I$92,"&lt;0")-SUMIFS('Daftar Koreksi'!$I$5:$I$92,'Daftar Koreksi'!$D$5:$D$92,'3000'!A114,'Daftar Koreksi'!$G$5:$G$92,"Jalan Irigasi Jaringan",'Daftar Koreksi'!$I$5:$I$92,"&lt;0")-SUMIFS('Daftar Koreksi'!$I$5:$I$92,'Daftar Koreksi'!$D$5:$D$92,'3000'!A114,'Daftar Koreksi'!$G$5:$G$92,"Jalan Irigasi Jaringan",'Daftar Koreksi'!$I$5:$I$92,"&lt;0")</f>
        <v>0</v>
      </c>
      <c r="G129" s="17">
        <f t="shared" si="5"/>
        <v>-4592500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Koreksi'!$D$5:$D$92,'3000'!A114,'Daftar Koreksi'!$G$5:$G$92,"Aset Tetap Lainnya",'Daftar Koreksi'!$I$5:$I$92,"&gt;0")</f>
        <v>0</v>
      </c>
      <c r="F130" s="25">
        <f>SUMIFS('Daftar Koreksi'!$I$5:$I$92,'Daftar Koreksi'!$D$5:$D$92,'3000'!A114,'Daftar Koreksi'!$G$5:$G$92,"Aset Tetap Lainnya",'Daftar Koreksi'!$I$5:$I$92,"&lt;0")-SUMIFS('Daftar Koreksi'!$I$5:$I$92,'Daftar Koreksi'!$D$5:$D$92,'3000'!A114,'Daftar Koreksi'!$G$5:$G$92,"Aset Tetap Lainnya",'Daftar Koreksi'!$I$5:$I$92,"&lt;0")-SUMIFS('Daftar Koreksi'!$I$5:$I$92,'Daftar Koreksi'!$D$5:$D$92,'3000'!A114,'Daftar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-202844600</v>
      </c>
      <c r="E131" s="25">
        <f>SUMIFS('Daftar Koreksi'!$I$5:$I$92,'Daftar Koreksi'!$D$5:$D$92,'3000'!A114,'Daftar Koreksi'!$G$5:$G$92,"Aset Henti Guna",'Daftar Koreksi'!$I$5:$I$92,"&gt;0")</f>
        <v>0</v>
      </c>
      <c r="F131" s="25">
        <f>SUMIFS('Daftar Koreksi'!$I$5:$I$92,'Daftar Koreksi'!$D$5:$D$92,'3000'!A114,'Daftar Koreksi'!$G$5:$G$92,"Aset Henti Guna",'Daftar Koreksi'!$I$5:$I$92,"&lt;0")-SUMIFS('Daftar Koreksi'!$I$5:$I$92,'Daftar Koreksi'!$D$5:$D$92,'3000'!A114,'Daftar Koreksi'!$G$5:$G$92,"Aset Henti Guna",'Daftar Koreksi'!$I$5:$I$92,"&lt;0")-SUMIFS('Daftar Koreksi'!$I$5:$I$92,'Daftar Koreksi'!$D$5:$D$92,'3000'!A114,'Daftar Koreksi'!$G$5:$G$92,"Aset Henti Guna",'Daftar Koreksi'!$I$5:$I$92,"&lt;0")</f>
        <v>0</v>
      </c>
      <c r="G131" s="17">
        <f t="shared" si="5"/>
        <v>-202844600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-2156388056</v>
      </c>
      <c r="E132" s="19">
        <f>SUM(E127:E131)</f>
        <v>0</v>
      </c>
      <c r="F132" s="19">
        <f>SUM(F127:F131)</f>
        <v>0</v>
      </c>
      <c r="G132" s="19">
        <f t="shared" si="5"/>
        <v>-2156388056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6075838133</v>
      </c>
      <c r="E133" s="19">
        <f>E132+E126</f>
        <v>0</v>
      </c>
      <c r="F133" s="19">
        <f>F132+F126</f>
        <v>0</v>
      </c>
      <c r="G133" s="19">
        <f t="shared" si="5"/>
        <v>6075838133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005013000440728000KD</v>
      </c>
      <c r="B136" s="11" t="str">
        <f>P7</f>
        <v>PTA. Bangka Belitung</v>
      </c>
      <c r="C136" s="12" t="str">
        <f>A136&amp;" "&amp;B136</f>
        <v>005013000440728000KD PTA. Bangka Belitung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14635211</v>
      </c>
      <c r="E139" s="25">
        <f>SUMIFS('Daftar Koreksi'!$H$5:$H$92,'Daftar Koreksi'!$D$5:$D$92,'3000'!A136,'Daftar Koreksi'!$G$5:$G$92,"Persediaan",'Daftar Koreksi'!$H$5:$H$92,"&gt;0")</f>
        <v>0</v>
      </c>
      <c r="F139" s="25">
        <f>SUMIFS('Daftar Koreksi'!$H$5:$H$92,'Daftar Koreksi'!$D$5:$D$92,'3000'!A136,'Daftar Koreksi'!$G$5:$G$92,"Persediaan",'Daftar Koreksi'!$H$5:$H$92,"&lt;0")-SUMIFS('Daftar Koreksi'!$H$5:$H$92,'Daftar Koreksi'!$D$5:$D$92,'3000'!A136,'Daftar Koreksi'!$G$5:$G$92,"Persediaan",'Daftar Koreksi'!$H$5:$H$92,"&lt;0")-SUMIFS('Daftar Koreksi'!$H$5:$H$92,'Daftar Koreksi'!$D$5:$D$92,'3000'!A136,'Daftar Koreksi'!$G$5:$G$92,"Persediaan",'Daftar Koreksi'!$H$5:$H$92,"&lt;0")</f>
        <v>0</v>
      </c>
      <c r="G139" s="17">
        <f>D139+E139-F139</f>
        <v>14635211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2795850000</v>
      </c>
      <c r="E140" s="25">
        <f>SUMIFS('Daftar Koreksi'!$H$5:$H$92,'Daftar Koreksi'!$D$5:$D$92,'3000'!A136,'Daftar Koreksi'!$G$5:$G$92,"Tanah",'Daftar Koreksi'!$H$5:$H$92,"&gt;0")</f>
        <v>0</v>
      </c>
      <c r="F140" s="25">
        <f>SUMIFS('Daftar Koreksi'!$H$5:$H$92,'Daftar Koreksi'!$D$5:$D$92,'3000'!A136,'Daftar Koreksi'!$G$5:$G$92,"Tanah",'Daftar Koreksi'!$H$5:$H$92,"&lt;0")-SUMIFS('Daftar Koreksi'!$H$5:$H$92,'Daftar Koreksi'!$D$5:$D$92,'3000'!A136,'Daftar Koreksi'!$G$5:$G$92,"Tanah",'Daftar Koreksi'!$H$5:$H$92,"&lt;0")-SUMIFS('Daftar Koreksi'!$H$5:$H$92,'Daftar Koreksi'!$D$5:$D$92,'3000'!A136,'Daftar Koreksi'!$G$5:$G$92,"Tanah",'Daftar Koreksi'!$H$5:$H$92,"&lt;0")</f>
        <v>0</v>
      </c>
      <c r="G140" s="17">
        <f t="shared" ref="G140:G156" si="6">D140+E140-F140</f>
        <v>2795850000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3000202166</v>
      </c>
      <c r="E141" s="25">
        <f>SUMIFS('Daftar Koreksi'!$H$5:$H$92,'Daftar Koreksi'!$D$5:$D$92,'3000'!A136,'Daftar Koreksi'!$G$5:$G$92,"Peralatan dan mesin",'Daftar Koreksi'!$H$5:$H$92,"&gt;0")</f>
        <v>0</v>
      </c>
      <c r="F141" s="25">
        <f>SUMIFS('Daftar Koreksi'!$H$5:$H$92,'Daftar Koreksi'!$D$5:$D$92,'3000'!A136,'Daftar Koreksi'!$G$5:$G$92,"Peralatan dan mesin",'Daftar Koreksi'!$H$5:$H$92,"&lt;0")-SUMIFS('Daftar Koreksi'!$H$5:$H$92,'Daftar Koreksi'!$D$5:$D$92,'3000'!A136,'Daftar Koreksi'!$G$5:$G$92,"Peralatan dan mesin",'Daftar Koreksi'!$H$5:$H$92,"&lt;0")-SUMIFS('Daftar Koreksi'!$H$5:$H$92,'Daftar Koreksi'!$D$5:$D$92,'3000'!A136,'Daftar Koreksi'!$G$5:$G$92,"Peralatan dan mesin",'Daftar Koreksi'!$H$5:$H$92,"&lt;0")</f>
        <v>0</v>
      </c>
      <c r="G141" s="17">
        <f t="shared" si="6"/>
        <v>3000202166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7398044817</v>
      </c>
      <c r="E142" s="25">
        <f>SUMIFS('Daftar Koreksi'!$H$5:$H$92,'Daftar Koreksi'!$D$5:$D$92,'3000'!A136,'Daftar Koreksi'!$G$5:$G$92,"Gedung dan Bangunan",'Daftar Koreksi'!$H$5:$H$92,"&gt;0")</f>
        <v>0</v>
      </c>
      <c r="F142" s="25">
        <f>SUMIFS('Daftar Koreksi'!$H$5:$H$92,'Daftar Koreksi'!$D$5:$D$92,'3000'!A136,'Daftar Koreksi'!$G$5:$G$92,"Gedung dan Bangunan",'Daftar Koreksi'!$H$5:$H$92,"&lt;0")-SUMIFS('Daftar Koreksi'!$H$5:$H$92,'Daftar Koreksi'!$D$5:$D$92,'3000'!A136,'Daftar Koreksi'!$G$5:$G$92,"Gedung dan Bangunan",'Daftar Koreksi'!$H$5:$H$92,"&lt;0")-SUMIFS('Daftar Koreksi'!$H$5:$H$92,'Daftar Koreksi'!$D$5:$D$92,'3000'!A136,'Daftar Koreksi'!$G$5:$G$92,"Gedung dan Bangunan",'Daftar Koreksi'!$H$5:$H$92,"&lt;0")</f>
        <v>0</v>
      </c>
      <c r="G142" s="17">
        <f t="shared" si="6"/>
        <v>7398044817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111348400</v>
      </c>
      <c r="E143" s="25">
        <f>SUMIFS('Daftar Koreksi'!$H$5:$H$92,'Daftar Koreksi'!$D$5:$D$92,'3000'!A136,'Daftar Koreksi'!$G$5:$G$92,"Jalan Irigasi Jaringan",'Daftar Koreksi'!$H$5:$H$92,"&gt;0")</f>
        <v>0</v>
      </c>
      <c r="F143" s="25">
        <f>SUMIFS('Daftar Koreksi'!$H$5:$H$92,'Daftar Koreksi'!$D$5:$D$92,'3000'!A136,'Daftar Koreksi'!$G$5:$G$92,"Jalan Irigasi Jaringan",'Daftar Koreksi'!$H$5:$H$92,"&lt;0")-SUMIFS('Daftar Koreksi'!$H$5:$H$92,'Daftar Koreksi'!$D$5:$D$92,'3000'!A136,'Daftar Koreksi'!$G$5:$G$92,"Jalan Irigasi Jaringan",'Daftar Koreksi'!$H$5:$H$92,"&lt;0")-SUMIFS('Daftar Koreksi'!$H$5:$H$92,'Daftar Koreksi'!$D$5:$D$92,'3000'!A136,'Daftar Koreksi'!$G$5:$G$92,"Jalan Irigasi Jaringan",'Daftar Koreksi'!$H$5:$H$92,"&lt;0")</f>
        <v>0</v>
      </c>
      <c r="G143" s="17">
        <f t="shared" si="6"/>
        <v>111348400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5740000</v>
      </c>
      <c r="E144" s="25">
        <f>SUMIFS('Daftar Koreksi'!$H$5:$H$92,'Daftar Koreksi'!$D$5:$D$92,'3000'!A136,'Daftar Koreksi'!$G$5:$G$92,"Aset Tetap Lainnya",'Daftar Koreksi'!$H$5:$H$92,"&gt;0")</f>
        <v>0</v>
      </c>
      <c r="F144" s="25">
        <f>SUMIFS('Daftar Koreksi'!$H$5:$H$92,'Daftar Koreksi'!$D$5:$D$92,'3000'!A136,'Daftar Koreksi'!$G$5:$G$92,"Aset Tetap Lainnya",'Daftar Koreksi'!$H$5:$H$92,"&lt;0")-SUMIFS('Daftar Koreksi'!$H$5:$H$92,'Daftar Koreksi'!$D$5:$D$92,'3000'!A136,'Daftar Koreksi'!$G$5:$G$92,"Aset Tetap Lainnya",'Daftar Koreksi'!$H$5:$H$92,"&lt;0")-SUMIFS('Daftar Koreksi'!$H$5:$H$92,'Daftar Koreksi'!$D$5:$D$92,'3000'!A136,'Daftar Koreksi'!$G$5:$G$92,"Aset Tetap Lainnya",'Daftar Koreksi'!$H$5:$H$92,"&lt;0")</f>
        <v>0</v>
      </c>
      <c r="G144" s="17">
        <f t="shared" si="6"/>
        <v>5740000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Koreksi'!$D$5:$D$92,'3000'!A136,'Daftar Koreksi'!$G$5:$G$92,"Kontruksi Dalam Pengerjaan",'Daftar Koreksi'!$H$5:$H$92,"&gt;0")</f>
        <v>0</v>
      </c>
      <c r="F145" s="25">
        <f>SUMIFS('Daftar Koreksi'!$H$5:$H$92,'Daftar Koreksi'!$D$5:$D$92,'3000'!A136,'Daftar Koreksi'!$G$5:$G$92,"Kontruksi Dalam Pengerjaan",'Daftar Koreksi'!$H$5:$H$92,"&lt;0")-SUMIFS('Daftar Koreksi'!$H$5:$H$92,'Daftar Koreksi'!$D$5:$D$92,'3000'!A136,'Daftar Koreksi'!$G$5:$G$92,"Kontruksi Dalam Pengerjaan",'Daftar Koreksi'!$H$5:$H$92,"&lt;0")-SUMIFS('Daftar Koreksi'!$H$5:$H$92,'Daftar Koreksi'!$D$5:$D$92,'3000'!A136,'Daftar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Koreksi'!$D$5:$D$92,'3000'!A136,'Daftar Koreksi'!$G$5:$G$92,"Aset Tak Berwujud",'Daftar Koreksi'!$H$5:$H$92,"&gt;0")</f>
        <v>0</v>
      </c>
      <c r="F146" s="25">
        <f>SUMIFS('Daftar Koreksi'!$H$5:$H$92,'Daftar Koreksi'!$D$5:$D$92,'3000'!A136,'Daftar Koreksi'!$G$5:$G$92,"Aset Tak Berwujud",'Daftar Koreksi'!$H$5:$H$92,"&lt;0")-SUMIFS('Daftar Koreksi'!$H$5:$H$92,'Daftar Koreksi'!$D$5:$D$92,'3000'!A136,'Daftar Koreksi'!$G$5:$G$92,"Aset Tak Berwujud",'Daftar Koreksi'!$H$5:$H$92,"&lt;0")-SUMIFS('Daftar Koreksi'!$H$5:$H$92,'Daftar Koreksi'!$D$5:$D$92,'3000'!A136,'Daftar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2170000</v>
      </c>
      <c r="E147" s="25">
        <f>SUMIFS('Daftar Koreksi'!$H$5:$H$92,'Daftar Koreksi'!$D$5:$D$92,'3000'!A136,'Daftar Koreksi'!$G$5:$G$92,"Aset Henti Guna",'Daftar Koreksi'!$H$5:$H$92,"&gt;0")</f>
        <v>0</v>
      </c>
      <c r="F147" s="25">
        <f>SUMIFS('Daftar Koreksi'!$H$5:$H$92,'Daftar Koreksi'!$D$5:$D$92,'3000'!A136,'Daftar Koreksi'!$G$5:$G$92,"Aset Henti Guna",'Daftar Koreksi'!$H$5:$H$92,"&lt;0")-SUMIFS('Daftar Koreksi'!$H$5:$H$92,'Daftar Koreksi'!$D$5:$D$92,'3000'!A136,'Daftar Koreksi'!$G$5:$G$92,"Aset Henti Guna",'Daftar Koreksi'!$H$5:$H$92,"&lt;0")-SUMIFS('Daftar Koreksi'!$H$5:$H$92,'Daftar Koreksi'!$D$5:$D$92,'3000'!A136,'Daftar Koreksi'!$G$5:$G$92,"Aset Henti Guna",'Daftar Koreksi'!$H$5:$H$92,"&lt;0")</f>
        <v>0</v>
      </c>
      <c r="G147" s="17">
        <f t="shared" si="6"/>
        <v>2170000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13327990594</v>
      </c>
      <c r="E148" s="19">
        <f>SUM(E139:E147)</f>
        <v>0</v>
      </c>
      <c r="F148" s="19">
        <f>SUM(F139:F147)</f>
        <v>0</v>
      </c>
      <c r="G148" s="19">
        <f t="shared" si="6"/>
        <v>13327990594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-2766305309</v>
      </c>
      <c r="E149" s="25">
        <f>SUMIFS('Daftar Koreksi'!$I$5:$I$92,'Daftar Koreksi'!$D$5:$D$92,'3000'!A136,'Daftar Koreksi'!$G$5:$G$92,"Peralatan dan mesin",'Daftar Koreksi'!$I$5:$I$92,"&gt;0")</f>
        <v>0</v>
      </c>
      <c r="F149" s="25">
        <f>SUMIFS('Daftar Koreksi'!$I$5:$I$92,'Daftar Koreksi'!$D$5:$D$92,'3000'!A136,'Daftar Koreksi'!$G$5:$G$92,"Peralatan dan mesin",'Daftar Koreksi'!$I$5:$I$92,"&lt;0")-SUMIFS('Daftar Koreksi'!$I$5:$I$92,'Daftar Koreksi'!$D$5:$D$92,'3000'!A136,'Daftar Koreksi'!$G$5:$G$92,"Peralatan dan mesin",'Daftar Koreksi'!$I$5:$I$92,"&lt;0")-SUMIFS('Daftar Koreksi'!$I$5:$I$92,'Daftar Koreksi'!$D$5:$D$92,'3000'!A136,'Daftar Koreksi'!$G$5:$G$92,"Peralatan dan mesin",'Daftar Koreksi'!$I$5:$I$92,"&lt;0")</f>
        <v>0</v>
      </c>
      <c r="G149" s="17">
        <f t="shared" si="6"/>
        <v>-2766305309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-1224722611</v>
      </c>
      <c r="E150" s="25">
        <f>SUMIFS('Daftar Koreksi'!$I$5:$I$92,'Daftar Koreksi'!$D$5:$D$92,'3000'!A136,'Daftar Koreksi'!$G$5:$G$92,"Gedung dan Bangunan",'Daftar Koreksi'!$I$5:$I$92,"&gt;0")</f>
        <v>0</v>
      </c>
      <c r="F150" s="25">
        <f>SUMIFS('Daftar Koreksi'!$I$5:$I$92,'Daftar Koreksi'!$D$5:$D$92,'3000'!A136,'Daftar Koreksi'!$G$5:$G$92,"Gedung dan Bangunan",'Daftar Koreksi'!$I$5:$I$92,"&lt;0")-SUMIFS('Daftar Koreksi'!$I$5:$I$92,'Daftar Koreksi'!$D$5:$D$92,'3000'!A136,'Daftar Koreksi'!$G$5:$G$92,"Gedung dan Bangunan",'Daftar Koreksi'!$I$5:$I$92,"&lt;0")-SUMIFS('Daftar Koreksi'!$I$5:$I$92,'Daftar Koreksi'!$D$5:$D$92,'3000'!A136,'Daftar Koreksi'!$G$5:$G$92,"Gedung dan Bangunan",'Daftar Koreksi'!$I$5:$I$92,"&lt;0")</f>
        <v>0</v>
      </c>
      <c r="G150" s="17">
        <f t="shared" si="6"/>
        <v>-1224722611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-14735385</v>
      </c>
      <c r="E151" s="25">
        <f>SUMIFS('Daftar Koreksi'!$I$5:$I$92,'Daftar Koreksi'!$D$5:$D$92,'3000'!A136,'Daftar Koreksi'!$G$5:$G$92,"Jalan Irigasi Jaringan",'Daftar Koreksi'!$I$5:$I$92,"&gt;0")</f>
        <v>0</v>
      </c>
      <c r="F151" s="25">
        <f>SUMIFS('Daftar Koreksi'!$I$5:$I$92,'Daftar Koreksi'!$D$5:$D$92,'3000'!A136,'Daftar Koreksi'!$G$5:$G$92,"Jalan Irigasi Jaringan",'Daftar Koreksi'!$I$5:$I$92,"&lt;0")-SUMIFS('Daftar Koreksi'!$I$5:$I$92,'Daftar Koreksi'!$D$5:$D$92,'3000'!A136,'Daftar Koreksi'!$G$5:$G$92,"Jalan Irigasi Jaringan",'Daftar Koreksi'!$I$5:$I$92,"&lt;0")-SUMIFS('Daftar Koreksi'!$I$5:$I$92,'Daftar Koreksi'!$D$5:$D$92,'3000'!A136,'Daftar Koreksi'!$G$5:$G$92,"Jalan Irigasi Jaringan",'Daftar Koreksi'!$I$5:$I$92,"&lt;0")</f>
        <v>0</v>
      </c>
      <c r="G151" s="17">
        <f t="shared" si="6"/>
        <v>-14735385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Koreksi'!$D$5:$D$92,'3000'!A136,'Daftar Koreksi'!$G$5:$G$92,"Aset Tetap Lainnya",'Daftar Koreksi'!$I$5:$I$92,"&gt;0")</f>
        <v>0</v>
      </c>
      <c r="F152" s="25">
        <f>SUMIFS('Daftar Koreksi'!$I$5:$I$92,'Daftar Koreksi'!$D$5:$D$92,'3000'!A136,'Daftar Koreksi'!$G$5:$G$92,"Aset Tetap Lainnya",'Daftar Koreksi'!$I$5:$I$92,"&lt;0")-SUMIFS('Daftar Koreksi'!$I$5:$I$92,'Daftar Koreksi'!$D$5:$D$92,'3000'!A136,'Daftar Koreksi'!$G$5:$G$92,"Aset Tetap Lainnya",'Daftar Koreksi'!$I$5:$I$92,"&lt;0")-SUMIFS('Daftar Koreksi'!$I$5:$I$92,'Daftar Koreksi'!$D$5:$D$92,'3000'!A136,'Daftar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-2170000</v>
      </c>
      <c r="E153" s="25">
        <f>SUMIFS('Daftar Koreksi'!$I$5:$I$92,'Daftar Koreksi'!$D$5:$D$92,'3000'!A136,'Daftar Koreksi'!$G$5:$G$92,"Aset Henti Guna",'Daftar Koreksi'!$I$5:$I$92,"&gt;0")</f>
        <v>0</v>
      </c>
      <c r="F153" s="25">
        <f>SUMIFS('Daftar Koreksi'!$I$5:$I$92,'Daftar Koreksi'!$D$5:$D$92,'3000'!A136,'Daftar Koreksi'!$G$5:$G$92,"Aset Henti Guna",'Daftar Koreksi'!$I$5:$I$92,"&lt;0")-SUMIFS('Daftar Koreksi'!$I$5:$I$92,'Daftar Koreksi'!$D$5:$D$92,'3000'!A136,'Daftar Koreksi'!$G$5:$G$92,"Aset Henti Guna",'Daftar Koreksi'!$I$5:$I$92,"&lt;0")-SUMIFS('Daftar Koreksi'!$I$5:$I$92,'Daftar Koreksi'!$D$5:$D$92,'3000'!A136,'Daftar Koreksi'!$G$5:$G$92,"Aset Henti Guna",'Daftar Koreksi'!$I$5:$I$92,"&lt;0")</f>
        <v>0</v>
      </c>
      <c r="G153" s="17">
        <f t="shared" si="6"/>
        <v>-2170000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-4007933305</v>
      </c>
      <c r="E154" s="19">
        <f>SUM(E149:E153)</f>
        <v>0</v>
      </c>
      <c r="F154" s="19">
        <f>SUM(F149:F153)</f>
        <v>0</v>
      </c>
      <c r="G154" s="19">
        <f t="shared" si="6"/>
        <v>-4007933305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9320057289</v>
      </c>
      <c r="E155" s="19">
        <f>E154+E148</f>
        <v>0</v>
      </c>
      <c r="F155" s="19">
        <f>F154+F148</f>
        <v>0</v>
      </c>
      <c r="G155" s="19">
        <f t="shared" si="6"/>
        <v>9320057289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005013000663403000KD</v>
      </c>
      <c r="B158" s="11" t="str">
        <f>P8</f>
        <v>PT. Bangka Belitung</v>
      </c>
      <c r="C158" s="12" t="str">
        <f>A158&amp;" "&amp;B158</f>
        <v>005013000663403000KD PT. Bangka Belitung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37738846</v>
      </c>
      <c r="E161" s="25">
        <f>SUMIFS('Daftar Koreksi'!$H$5:$H$92,'Daftar Koreksi'!$D$5:$D$92,'3000'!A158,'Daftar Koreksi'!$G$5:$G$92,"Persediaan",'Daftar Koreksi'!$H$5:$H$92,"&gt;0")</f>
        <v>0</v>
      </c>
      <c r="F161" s="25">
        <f>SUMIFS('Daftar Koreksi'!$H$5:$H$92,'Daftar Koreksi'!$D$5:$D$92,'3000'!A158,'Daftar Koreksi'!$G$5:$G$92,"Persediaan",'Daftar Koreksi'!$H$5:$H$92,"&lt;0")-SUMIFS('Daftar Koreksi'!$H$5:$H$92,'Daftar Koreksi'!$D$5:$D$92,'3000'!A158,'Daftar Koreksi'!$G$5:$G$92,"Persediaan",'Daftar Koreksi'!$H$5:$H$92,"&lt;0")-SUMIFS('Daftar Koreksi'!$H$5:$H$92,'Daftar Koreksi'!$D$5:$D$92,'3000'!A158,'Daftar Koreksi'!$G$5:$G$92,"Persediaan",'Daftar Koreksi'!$H$5:$H$92,"&lt;0")</f>
        <v>0</v>
      </c>
      <c r="G161" s="17">
        <f>D161+E161-F161</f>
        <v>37738846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10010136840</v>
      </c>
      <c r="E162" s="25">
        <f>SUMIFS('Daftar Koreksi'!$H$5:$H$92,'Daftar Koreksi'!$D$5:$D$92,'3000'!A158,'Daftar Koreksi'!$G$5:$G$92,"Tanah",'Daftar Koreksi'!$H$5:$H$92,"&gt;0")</f>
        <v>0</v>
      </c>
      <c r="F162" s="25">
        <f>SUMIFS('Daftar Koreksi'!$H$5:$H$92,'Daftar Koreksi'!$D$5:$D$92,'3000'!A158,'Daftar Koreksi'!$G$5:$G$92,"Tanah",'Daftar Koreksi'!$H$5:$H$92,"&lt;0")-SUMIFS('Daftar Koreksi'!$H$5:$H$92,'Daftar Koreksi'!$D$5:$D$92,'3000'!A158,'Daftar Koreksi'!$G$5:$G$92,"Tanah",'Daftar Koreksi'!$H$5:$H$92,"&lt;0")-SUMIFS('Daftar Koreksi'!$H$5:$H$92,'Daftar Koreksi'!$D$5:$D$92,'3000'!A158,'Daftar Koreksi'!$G$5:$G$92,"Tanah",'Daftar Koreksi'!$H$5:$H$92,"&lt;0")</f>
        <v>0</v>
      </c>
      <c r="G162" s="17">
        <f t="shared" ref="G162:G178" si="7">D162+E162-F162</f>
        <v>10010136840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3532531235</v>
      </c>
      <c r="E163" s="25">
        <f>SUMIFS('Daftar Koreksi'!$H$5:$H$92,'Daftar Koreksi'!$D$5:$D$92,'3000'!A158,'Daftar Koreksi'!$G$5:$G$92,"Peralatan dan mesin",'Daftar Koreksi'!$H$5:$H$92,"&gt;0")</f>
        <v>0</v>
      </c>
      <c r="F163" s="25">
        <f>SUMIFS('Daftar Koreksi'!$H$5:$H$92,'Daftar Koreksi'!$D$5:$D$92,'3000'!A158,'Daftar Koreksi'!$G$5:$G$92,"Peralatan dan mesin",'Daftar Koreksi'!$H$5:$H$92,"&lt;0")-SUMIFS('Daftar Koreksi'!$H$5:$H$92,'Daftar Koreksi'!$D$5:$D$92,'3000'!A158,'Daftar Koreksi'!$G$5:$G$92,"Peralatan dan mesin",'Daftar Koreksi'!$H$5:$H$92,"&lt;0")-SUMIFS('Daftar Koreksi'!$H$5:$H$92,'Daftar Koreksi'!$D$5:$D$92,'3000'!A158,'Daftar Koreksi'!$G$5:$G$92,"Peralatan dan mesin",'Daftar Koreksi'!$H$5:$H$92,"&lt;0")</f>
        <v>0</v>
      </c>
      <c r="G163" s="17">
        <f t="shared" si="7"/>
        <v>3532531235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12189216502</v>
      </c>
      <c r="E164" s="25">
        <f>SUMIFS('Daftar Koreksi'!$H$5:$H$92,'Daftar Koreksi'!$D$5:$D$92,'3000'!A158,'Daftar Koreksi'!$G$5:$G$92,"Gedung dan Bangunan",'Daftar Koreksi'!$H$5:$H$92,"&gt;0")</f>
        <v>0</v>
      </c>
      <c r="F164" s="25">
        <f>SUMIFS('Daftar Koreksi'!$H$5:$H$92,'Daftar Koreksi'!$D$5:$D$92,'3000'!A158,'Daftar Koreksi'!$G$5:$G$92,"Gedung dan Bangunan",'Daftar Koreksi'!$H$5:$H$92,"&lt;0")-SUMIFS('Daftar Koreksi'!$H$5:$H$92,'Daftar Koreksi'!$D$5:$D$92,'3000'!A158,'Daftar Koreksi'!$G$5:$G$92,"Gedung dan Bangunan",'Daftar Koreksi'!$H$5:$H$92,"&lt;0")-SUMIFS('Daftar Koreksi'!$H$5:$H$92,'Daftar Koreksi'!$D$5:$D$92,'3000'!A158,'Daftar Koreksi'!$G$5:$G$92,"Gedung dan Bangunan",'Daftar Koreksi'!$H$5:$H$92,"&lt;0")</f>
        <v>0</v>
      </c>
      <c r="G164" s="17">
        <f t="shared" si="7"/>
        <v>12189216502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118483400</v>
      </c>
      <c r="E165" s="25">
        <f>SUMIFS('Daftar Koreksi'!$H$5:$H$92,'Daftar Koreksi'!$D$5:$D$92,'3000'!A158,'Daftar Koreksi'!$G$5:$G$92,"Jalan Irigasi Jaringan",'Daftar Koreksi'!$H$5:$H$92,"&gt;0")</f>
        <v>0</v>
      </c>
      <c r="F165" s="25">
        <f>SUMIFS('Daftar Koreksi'!$H$5:$H$92,'Daftar Koreksi'!$D$5:$D$92,'3000'!A158,'Daftar Koreksi'!$G$5:$G$92,"Jalan Irigasi Jaringan",'Daftar Koreksi'!$H$5:$H$92,"&lt;0")-SUMIFS('Daftar Koreksi'!$H$5:$H$92,'Daftar Koreksi'!$D$5:$D$92,'3000'!A158,'Daftar Koreksi'!$G$5:$G$92,"Jalan Irigasi Jaringan",'Daftar Koreksi'!$H$5:$H$92,"&lt;0")-SUMIFS('Daftar Koreksi'!$H$5:$H$92,'Daftar Koreksi'!$D$5:$D$92,'3000'!A158,'Daftar Koreksi'!$G$5:$G$92,"Jalan Irigasi Jaringan",'Daftar Koreksi'!$H$5:$H$92,"&lt;0")</f>
        <v>0</v>
      </c>
      <c r="G165" s="17">
        <f t="shared" si="7"/>
        <v>118483400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50331266</v>
      </c>
      <c r="E166" s="25">
        <f>SUMIFS('Daftar Koreksi'!$H$5:$H$92,'Daftar Koreksi'!$D$5:$D$92,'3000'!A158,'Daftar Koreksi'!$G$5:$G$92,"Aset Tetap Lainnya",'Daftar Koreksi'!$H$5:$H$92,"&gt;0")</f>
        <v>0</v>
      </c>
      <c r="F166" s="25">
        <f>SUMIFS('Daftar Koreksi'!$H$5:$H$92,'Daftar Koreksi'!$D$5:$D$92,'3000'!A158,'Daftar Koreksi'!$G$5:$G$92,"Aset Tetap Lainnya",'Daftar Koreksi'!$H$5:$H$92,"&lt;0")-SUMIFS('Daftar Koreksi'!$H$5:$H$92,'Daftar Koreksi'!$D$5:$D$92,'3000'!A158,'Daftar Koreksi'!$G$5:$G$92,"Aset Tetap Lainnya",'Daftar Koreksi'!$H$5:$H$92,"&lt;0")-SUMIFS('Daftar Koreksi'!$H$5:$H$92,'Daftar Koreksi'!$D$5:$D$92,'3000'!A158,'Daftar Koreksi'!$G$5:$G$92,"Aset Tetap Lainnya",'Daftar Koreksi'!$H$5:$H$92,"&lt;0")</f>
        <v>0</v>
      </c>
      <c r="G166" s="17">
        <f t="shared" si="7"/>
        <v>50331266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Koreksi'!$D$5:$D$92,'3000'!A158,'Daftar Koreksi'!$G$5:$G$92,"Kontruksi Dalam Pengerjaan",'Daftar Koreksi'!$H$5:$H$92,"&gt;0")</f>
        <v>0</v>
      </c>
      <c r="F167" s="25">
        <f>SUMIFS('Daftar Koreksi'!$H$5:$H$92,'Daftar Koreksi'!$D$5:$D$92,'3000'!A158,'Daftar Koreksi'!$G$5:$G$92,"Kontruksi Dalam Pengerjaan",'Daftar Koreksi'!$H$5:$H$92,"&lt;0")-SUMIFS('Daftar Koreksi'!$H$5:$H$92,'Daftar Koreksi'!$D$5:$D$92,'3000'!A158,'Daftar Koreksi'!$G$5:$G$92,"Kontruksi Dalam Pengerjaan",'Daftar Koreksi'!$H$5:$H$92,"&lt;0")-SUMIFS('Daftar Koreksi'!$H$5:$H$92,'Daftar Koreksi'!$D$5:$D$92,'3000'!A158,'Daftar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11678000</v>
      </c>
      <c r="E168" s="25">
        <f>SUMIFS('Daftar Koreksi'!$H$5:$H$92,'Daftar Koreksi'!$D$5:$D$92,'3000'!A158,'Daftar Koreksi'!$G$5:$G$92,"Aset Tak Berwujud",'Daftar Koreksi'!$H$5:$H$92,"&gt;0")</f>
        <v>0</v>
      </c>
      <c r="F168" s="25">
        <f>SUMIFS('Daftar Koreksi'!$H$5:$H$92,'Daftar Koreksi'!$D$5:$D$92,'3000'!A158,'Daftar Koreksi'!$G$5:$G$92,"Aset Tak Berwujud",'Daftar Koreksi'!$H$5:$H$92,"&lt;0")-SUMIFS('Daftar Koreksi'!$H$5:$H$92,'Daftar Koreksi'!$D$5:$D$92,'3000'!A158,'Daftar Koreksi'!$G$5:$G$92,"Aset Tak Berwujud",'Daftar Koreksi'!$H$5:$H$92,"&lt;0")-SUMIFS('Daftar Koreksi'!$H$5:$H$92,'Daftar Koreksi'!$D$5:$D$92,'3000'!A158,'Daftar Koreksi'!$G$5:$G$92,"Aset Tak Berwujud",'Daftar Koreksi'!$H$5:$H$92,"&lt;0")</f>
        <v>0</v>
      </c>
      <c r="G168" s="17">
        <f t="shared" si="7"/>
        <v>11678000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198928612</v>
      </c>
      <c r="E169" s="25">
        <f>SUMIFS('Daftar Koreksi'!$H$5:$H$92,'Daftar Koreksi'!$D$5:$D$92,'3000'!A158,'Daftar Koreksi'!$G$5:$G$92,"Aset Henti Guna",'Daftar Koreksi'!$H$5:$H$92,"&gt;0")</f>
        <v>0</v>
      </c>
      <c r="F169" s="25">
        <f>SUMIFS('Daftar Koreksi'!$H$5:$H$92,'Daftar Koreksi'!$D$5:$D$92,'3000'!A158,'Daftar Koreksi'!$G$5:$G$92,"Aset Henti Guna",'Daftar Koreksi'!$H$5:$H$92,"&lt;0")-SUMIFS('Daftar Koreksi'!$H$5:$H$92,'Daftar Koreksi'!$D$5:$D$92,'3000'!A158,'Daftar Koreksi'!$G$5:$G$92,"Aset Henti Guna",'Daftar Koreksi'!$H$5:$H$92,"&lt;0")-SUMIFS('Daftar Koreksi'!$H$5:$H$92,'Daftar Koreksi'!$D$5:$D$92,'3000'!A158,'Daftar Koreksi'!$G$5:$G$92,"Aset Henti Guna",'Daftar Koreksi'!$H$5:$H$92,"&lt;0")</f>
        <v>0</v>
      </c>
      <c r="G169" s="17">
        <f t="shared" si="7"/>
        <v>198928612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26149044701</v>
      </c>
      <c r="E170" s="19">
        <f>SUM(E161:E169)</f>
        <v>0</v>
      </c>
      <c r="F170" s="19">
        <f>SUM(F161:F169)</f>
        <v>0</v>
      </c>
      <c r="G170" s="19">
        <f t="shared" si="7"/>
        <v>26149044701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-3385580591</v>
      </c>
      <c r="E171" s="25">
        <f>SUMIFS('Daftar Koreksi'!$I$5:$I$92,'Daftar Koreksi'!$D$5:$D$92,'3000'!A158,'Daftar Koreksi'!$G$5:$G$92,"Peralatan dan mesin",'Daftar Koreksi'!$I$5:$I$92,"&gt;0")</f>
        <v>0</v>
      </c>
      <c r="F171" s="25">
        <f>SUMIFS('Daftar Koreksi'!$I$5:$I$92,'Daftar Koreksi'!$D$5:$D$92,'3000'!A158,'Daftar Koreksi'!$G$5:$G$92,"Peralatan dan mesin",'Daftar Koreksi'!$I$5:$I$92,"&lt;0")-SUMIFS('Daftar Koreksi'!$I$5:$I$92,'Daftar Koreksi'!$D$5:$D$92,'3000'!A158,'Daftar Koreksi'!$G$5:$G$92,"Peralatan dan mesin",'Daftar Koreksi'!$I$5:$I$92,"&lt;0")-SUMIFS('Daftar Koreksi'!$I$5:$I$92,'Daftar Koreksi'!$D$5:$D$92,'3000'!A158,'Daftar Koreksi'!$G$5:$G$92,"Peralatan dan mesin",'Daftar Koreksi'!$I$5:$I$92,"&lt;0")</f>
        <v>0</v>
      </c>
      <c r="G171" s="17">
        <f t="shared" si="7"/>
        <v>-3385580591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-2257185822</v>
      </c>
      <c r="E172" s="25">
        <f>SUMIFS('Daftar Koreksi'!$I$5:$I$92,'Daftar Koreksi'!$D$5:$D$92,'3000'!A158,'Daftar Koreksi'!$G$5:$G$92,"Gedung dan Bangunan",'Daftar Koreksi'!$I$5:$I$92,"&gt;0")</f>
        <v>0</v>
      </c>
      <c r="F172" s="25">
        <f>SUMIFS('Daftar Koreksi'!$I$5:$I$92,'Daftar Koreksi'!$D$5:$D$92,'3000'!A158,'Daftar Koreksi'!$G$5:$G$92,"Gedung dan Bangunan",'Daftar Koreksi'!$I$5:$I$92,"&lt;0")-SUMIFS('Daftar Koreksi'!$I$5:$I$92,'Daftar Koreksi'!$D$5:$D$92,'3000'!A158,'Daftar Koreksi'!$G$5:$G$92,"Gedung dan Bangunan",'Daftar Koreksi'!$I$5:$I$92,"&lt;0")-SUMIFS('Daftar Koreksi'!$I$5:$I$92,'Daftar Koreksi'!$D$5:$D$92,'3000'!A158,'Daftar Koreksi'!$G$5:$G$92,"Gedung dan Bangunan",'Daftar Koreksi'!$I$5:$I$92,"&lt;0")</f>
        <v>0</v>
      </c>
      <c r="G172" s="17">
        <f t="shared" si="7"/>
        <v>-2257185822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-34006468</v>
      </c>
      <c r="E173" s="25">
        <f>SUMIFS('Daftar Koreksi'!$I$5:$I$92,'Daftar Koreksi'!$D$5:$D$92,'3000'!A158,'Daftar Koreksi'!$G$5:$G$92,"Jalan Irigasi Jaringan",'Daftar Koreksi'!$I$5:$I$92,"&gt;0")</f>
        <v>0</v>
      </c>
      <c r="F173" s="25">
        <f>SUMIFS('Daftar Koreksi'!$I$5:$I$92,'Daftar Koreksi'!$D$5:$D$92,'3000'!A158,'Daftar Koreksi'!$G$5:$G$92,"Jalan Irigasi Jaringan",'Daftar Koreksi'!$I$5:$I$92,"&lt;0")-SUMIFS('Daftar Koreksi'!$I$5:$I$92,'Daftar Koreksi'!$D$5:$D$92,'3000'!A158,'Daftar Koreksi'!$G$5:$G$92,"Jalan Irigasi Jaringan",'Daftar Koreksi'!$I$5:$I$92,"&lt;0")-SUMIFS('Daftar Koreksi'!$I$5:$I$92,'Daftar Koreksi'!$D$5:$D$92,'3000'!A158,'Daftar Koreksi'!$G$5:$G$92,"Jalan Irigasi Jaringan",'Daftar Koreksi'!$I$5:$I$92,"&lt;0")</f>
        <v>0</v>
      </c>
      <c r="G173" s="17">
        <f t="shared" si="7"/>
        <v>-34006468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Koreksi'!$D$5:$D$92,'3000'!A158,'Daftar Koreksi'!$G$5:$G$92,"Aset Tetap Lainnya",'Daftar Koreksi'!$I$5:$I$92,"&gt;0")</f>
        <v>0</v>
      </c>
      <c r="F174" s="25">
        <f>SUMIFS('Daftar Koreksi'!$I$5:$I$92,'Daftar Koreksi'!$D$5:$D$92,'3000'!A158,'Daftar Koreksi'!$G$5:$G$92,"Aset Tetap Lainnya",'Daftar Koreksi'!$I$5:$I$92,"&lt;0")-SUMIFS('Daftar Koreksi'!$I$5:$I$92,'Daftar Koreksi'!$D$5:$D$92,'3000'!A158,'Daftar Koreksi'!$G$5:$G$92,"Aset Tetap Lainnya",'Daftar Koreksi'!$I$5:$I$92,"&lt;0")-SUMIFS('Daftar Koreksi'!$I$5:$I$92,'Daftar Koreksi'!$D$5:$D$92,'3000'!A158,'Daftar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-113673493</v>
      </c>
      <c r="E175" s="25">
        <f>SUMIFS('Daftar Koreksi'!$I$5:$I$92,'Daftar Koreksi'!$D$5:$D$92,'3000'!A158,'Daftar Koreksi'!$G$5:$G$92,"Aset Henti Guna",'Daftar Koreksi'!$I$5:$I$92,"&gt;0")</f>
        <v>0</v>
      </c>
      <c r="F175" s="25">
        <f>SUMIFS('Daftar Koreksi'!$I$5:$I$92,'Daftar Koreksi'!$D$5:$D$92,'3000'!A158,'Daftar Koreksi'!$G$5:$G$92,"Aset Henti Guna",'Daftar Koreksi'!$I$5:$I$92,"&lt;0")-SUMIFS('Daftar Koreksi'!$I$5:$I$92,'Daftar Koreksi'!$D$5:$D$92,'3000'!A158,'Daftar Koreksi'!$G$5:$G$92,"Aset Henti Guna",'Daftar Koreksi'!$I$5:$I$92,"&lt;0")-SUMIFS('Daftar Koreksi'!$I$5:$I$92,'Daftar Koreksi'!$D$5:$D$92,'3000'!A158,'Daftar Koreksi'!$G$5:$G$92,"Aset Henti Guna",'Daftar Koreksi'!$I$5:$I$92,"&lt;0")</f>
        <v>0</v>
      </c>
      <c r="G175" s="17">
        <f t="shared" si="7"/>
        <v>-113673493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-5790446374</v>
      </c>
      <c r="E176" s="19">
        <f>SUM(E171:E175)</f>
        <v>0</v>
      </c>
      <c r="F176" s="19">
        <f>SUM(F171:F175)</f>
        <v>0</v>
      </c>
      <c r="G176" s="19">
        <f t="shared" si="7"/>
        <v>-5790446374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20358598327</v>
      </c>
      <c r="E177" s="19">
        <f>E176+E170</f>
        <v>0</v>
      </c>
      <c r="F177" s="19">
        <f>F176+F170</f>
        <v>0</v>
      </c>
      <c r="G177" s="19">
        <f t="shared" si="7"/>
        <v>20358598327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005013000682249000KD</v>
      </c>
      <c r="B180" s="11" t="str">
        <f>P9</f>
        <v>PA. Mentok</v>
      </c>
      <c r="C180" s="12" t="str">
        <f>A180&amp;" "&amp;B180</f>
        <v>005013000682249000KD PA. Mentok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3168050</v>
      </c>
      <c r="E183" s="25">
        <f>SUMIFS('Daftar Koreksi'!$H$5:$H$92,'Daftar Koreksi'!$D$5:$D$92,'3000'!A180,'Daftar Koreksi'!$G$5:$G$92,"Persediaan",'Daftar Koreksi'!$H$5:$H$92,"&gt;0")</f>
        <v>0</v>
      </c>
      <c r="F183" s="25">
        <f>SUMIFS('Daftar Koreksi'!$H$5:$H$92,'Daftar Koreksi'!$D$5:$D$92,'3000'!A180,'Daftar Koreksi'!$G$5:$G$92,"Persediaan",'Daftar Koreksi'!$H$5:$H$92,"&lt;0")-SUMIFS('Daftar Koreksi'!$H$5:$H$92,'Daftar Koreksi'!$D$5:$D$92,'3000'!A180,'Daftar Koreksi'!$G$5:$G$92,"Persediaan",'Daftar Koreksi'!$H$5:$H$92,"&lt;0")-SUMIFS('Daftar Koreksi'!$H$5:$H$92,'Daftar Koreksi'!$D$5:$D$92,'3000'!A180,'Daftar Koreksi'!$G$5:$G$92,"Persediaan",'Daftar Koreksi'!$H$5:$H$92,"&lt;0")</f>
        <v>0</v>
      </c>
      <c r="G183" s="17">
        <f>D183+E183-F183</f>
        <v>3168050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0</v>
      </c>
      <c r="E184" s="25">
        <f>SUMIFS('Daftar Koreksi'!$H$5:$H$92,'Daftar Koreksi'!$D$5:$D$92,'3000'!A180,'Daftar Koreksi'!$G$5:$G$92,"Tanah",'Daftar Koreksi'!$H$5:$H$92,"&gt;0")</f>
        <v>0</v>
      </c>
      <c r="F184" s="25">
        <f>SUMIFS('Daftar Koreksi'!$H$5:$H$92,'Daftar Koreksi'!$D$5:$D$92,'3000'!A180,'Daftar Koreksi'!$G$5:$G$92,"Tanah",'Daftar Koreksi'!$H$5:$H$92,"&lt;0")-SUMIFS('Daftar Koreksi'!$H$5:$H$92,'Daftar Koreksi'!$D$5:$D$92,'3000'!A180,'Daftar Koreksi'!$G$5:$G$92,"Tanah",'Daftar Koreksi'!$H$5:$H$92,"&lt;0")-SUMIFS('Daftar Koreksi'!$H$5:$H$92,'Daftar Koreksi'!$D$5:$D$92,'3000'!A180,'Daftar Koreksi'!$G$5:$G$92,"Tanah",'Daftar Koreksi'!$H$5:$H$92,"&lt;0")</f>
        <v>0</v>
      </c>
      <c r="G184" s="17">
        <f t="shared" ref="G184:G200" si="8">D184+E184-F184</f>
        <v>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1525965790</v>
      </c>
      <c r="E185" s="25">
        <f>SUMIFS('Daftar Koreksi'!$H$5:$H$92,'Daftar Koreksi'!$D$5:$D$92,'3000'!A180,'Daftar Koreksi'!$G$5:$G$92,"Peralatan dan mesin",'Daftar Koreksi'!$H$5:$H$92,"&gt;0")</f>
        <v>0</v>
      </c>
      <c r="F185" s="25">
        <f>SUMIFS('Daftar Koreksi'!$H$5:$H$92,'Daftar Koreksi'!$D$5:$D$92,'3000'!A180,'Daftar Koreksi'!$G$5:$G$92,"Peralatan dan mesin",'Daftar Koreksi'!$H$5:$H$92,"&lt;0")-SUMIFS('Daftar Koreksi'!$H$5:$H$92,'Daftar Koreksi'!$D$5:$D$92,'3000'!A180,'Daftar Koreksi'!$G$5:$G$92,"Peralatan dan mesin",'Daftar Koreksi'!$H$5:$H$92,"&lt;0")-SUMIFS('Daftar Koreksi'!$H$5:$H$92,'Daftar Koreksi'!$D$5:$D$92,'3000'!A180,'Daftar Koreksi'!$G$5:$G$92,"Peralatan dan mesin",'Daftar Koreksi'!$H$5:$H$92,"&lt;0")</f>
        <v>0</v>
      </c>
      <c r="G185" s="17">
        <f t="shared" si="8"/>
        <v>1525965790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6541498542</v>
      </c>
      <c r="E186" s="25">
        <f>SUMIFS('Daftar Koreksi'!$H$5:$H$92,'Daftar Koreksi'!$D$5:$D$92,'3000'!A180,'Daftar Koreksi'!$G$5:$G$92,"Gedung dan Bangunan",'Daftar Koreksi'!$H$5:$H$92,"&gt;0")</f>
        <v>0</v>
      </c>
      <c r="F186" s="25">
        <f>SUMIFS('Daftar Koreksi'!$H$5:$H$92,'Daftar Koreksi'!$D$5:$D$92,'3000'!A180,'Daftar Koreksi'!$G$5:$G$92,"Gedung dan Bangunan",'Daftar Koreksi'!$H$5:$H$92,"&lt;0")-SUMIFS('Daftar Koreksi'!$H$5:$H$92,'Daftar Koreksi'!$D$5:$D$92,'3000'!A180,'Daftar Koreksi'!$G$5:$G$92,"Gedung dan Bangunan",'Daftar Koreksi'!$H$5:$H$92,"&lt;0")-SUMIFS('Daftar Koreksi'!$H$5:$H$92,'Daftar Koreksi'!$D$5:$D$92,'3000'!A180,'Daftar Koreksi'!$G$5:$G$92,"Gedung dan Bangunan",'Daftar Koreksi'!$H$5:$H$92,"&lt;0")</f>
        <v>0</v>
      </c>
      <c r="G186" s="17">
        <f t="shared" si="8"/>
        <v>6541498542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14200000</v>
      </c>
      <c r="E187" s="25">
        <f>SUMIFS('Daftar Koreksi'!$H$5:$H$92,'Daftar Koreksi'!$D$5:$D$92,'3000'!A180,'Daftar Koreksi'!$G$5:$G$92,"Jalan Irigasi Jaringan",'Daftar Koreksi'!$H$5:$H$92,"&gt;0")</f>
        <v>0</v>
      </c>
      <c r="F187" s="25">
        <f>SUMIFS('Daftar Koreksi'!$H$5:$H$92,'Daftar Koreksi'!$D$5:$D$92,'3000'!A180,'Daftar Koreksi'!$G$5:$G$92,"Jalan Irigasi Jaringan",'Daftar Koreksi'!$H$5:$H$92,"&lt;0")-SUMIFS('Daftar Koreksi'!$H$5:$H$92,'Daftar Koreksi'!$D$5:$D$92,'3000'!A180,'Daftar Koreksi'!$G$5:$G$92,"Jalan Irigasi Jaringan",'Daftar Koreksi'!$H$5:$H$92,"&lt;0")-SUMIFS('Daftar Koreksi'!$H$5:$H$92,'Daftar Koreksi'!$D$5:$D$92,'3000'!A180,'Daftar Koreksi'!$G$5:$G$92,"Jalan Irigasi Jaringan",'Daftar Koreksi'!$H$5:$H$92,"&lt;0")</f>
        <v>0</v>
      </c>
      <c r="G187" s="17">
        <f t="shared" si="8"/>
        <v>14200000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0</v>
      </c>
      <c r="E188" s="25">
        <f>SUMIFS('Daftar Koreksi'!$H$5:$H$92,'Daftar Koreksi'!$D$5:$D$92,'3000'!A180,'Daftar Koreksi'!$G$5:$G$92,"Aset Tetap Lainnya",'Daftar Koreksi'!$H$5:$H$92,"&gt;0")</f>
        <v>0</v>
      </c>
      <c r="F188" s="25">
        <f>SUMIFS('Daftar Koreksi'!$H$5:$H$92,'Daftar Koreksi'!$D$5:$D$92,'3000'!A180,'Daftar Koreksi'!$G$5:$G$92,"Aset Tetap Lainnya",'Daftar Koreksi'!$H$5:$H$92,"&lt;0")-SUMIFS('Daftar Koreksi'!$H$5:$H$92,'Daftar Koreksi'!$D$5:$D$92,'3000'!A180,'Daftar Koreksi'!$G$5:$G$92,"Aset Tetap Lainnya",'Daftar Koreksi'!$H$5:$H$92,"&lt;0")-SUMIFS('Daftar Koreksi'!$H$5:$H$92,'Daftar Koreksi'!$D$5:$D$92,'3000'!A180,'Daftar Koreksi'!$G$5:$G$92,"Aset Tetap Lainnya",'Daftar Koreksi'!$H$5:$H$92,"&lt;0")</f>
        <v>0</v>
      </c>
      <c r="G188" s="17">
        <f t="shared" si="8"/>
        <v>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Koreksi'!$D$5:$D$92,'3000'!A180,'Daftar Koreksi'!$G$5:$G$92,"Kontruksi Dalam Pengerjaan",'Daftar Koreksi'!$H$5:$H$92,"&gt;0")</f>
        <v>0</v>
      </c>
      <c r="F189" s="25">
        <f>SUMIFS('Daftar Koreksi'!$H$5:$H$92,'Daftar Koreksi'!$D$5:$D$92,'3000'!A180,'Daftar Koreksi'!$G$5:$G$92,"Kontruksi Dalam Pengerjaan",'Daftar Koreksi'!$H$5:$H$92,"&lt;0")-SUMIFS('Daftar Koreksi'!$H$5:$H$92,'Daftar Koreksi'!$D$5:$D$92,'3000'!A180,'Daftar Koreksi'!$G$5:$G$92,"Kontruksi Dalam Pengerjaan",'Daftar Koreksi'!$H$5:$H$92,"&lt;0")-SUMIFS('Daftar Koreksi'!$H$5:$H$92,'Daftar Koreksi'!$D$5:$D$92,'3000'!A180,'Daftar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6500000</v>
      </c>
      <c r="E190" s="25">
        <f>SUMIFS('Daftar Koreksi'!$H$5:$H$92,'Daftar Koreksi'!$D$5:$D$92,'3000'!A180,'Daftar Koreksi'!$G$5:$G$92,"Aset Tak Berwujud",'Daftar Koreksi'!$H$5:$H$92,"&gt;0")</f>
        <v>0</v>
      </c>
      <c r="F190" s="25">
        <f>SUMIFS('Daftar Koreksi'!$H$5:$H$92,'Daftar Koreksi'!$D$5:$D$92,'3000'!A180,'Daftar Koreksi'!$G$5:$G$92,"Aset Tak Berwujud",'Daftar Koreksi'!$H$5:$H$92,"&lt;0")-SUMIFS('Daftar Koreksi'!$H$5:$H$92,'Daftar Koreksi'!$D$5:$D$92,'3000'!A180,'Daftar Koreksi'!$G$5:$G$92,"Aset Tak Berwujud",'Daftar Koreksi'!$H$5:$H$92,"&lt;0")-SUMIFS('Daftar Koreksi'!$H$5:$H$92,'Daftar Koreksi'!$D$5:$D$92,'3000'!A180,'Daftar Koreksi'!$G$5:$G$92,"Aset Tak Berwujud",'Daftar Koreksi'!$H$5:$H$92,"&lt;0")</f>
        <v>0</v>
      </c>
      <c r="G190" s="17">
        <f t="shared" si="8"/>
        <v>6500000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Koreksi'!$D$5:$D$92,'3000'!A180,'Daftar Koreksi'!$G$5:$G$92,"Aset Henti Guna",'Daftar Koreksi'!$H$5:$H$92,"&gt;0")</f>
        <v>0</v>
      </c>
      <c r="F191" s="25">
        <f>SUMIFS('Daftar Koreksi'!$H$5:$H$92,'Daftar Koreksi'!$D$5:$D$92,'3000'!A180,'Daftar Koreksi'!$G$5:$G$92,"Aset Henti Guna",'Daftar Koreksi'!$H$5:$H$92,"&lt;0")-SUMIFS('Daftar Koreksi'!$H$5:$H$92,'Daftar Koreksi'!$D$5:$D$92,'3000'!A180,'Daftar Koreksi'!$G$5:$G$92,"Aset Henti Guna",'Daftar Koreksi'!$H$5:$H$92,"&lt;0")-SUMIFS('Daftar Koreksi'!$H$5:$H$92,'Daftar Koreksi'!$D$5:$D$92,'3000'!A180,'Daftar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8091332382</v>
      </c>
      <c r="E192" s="19">
        <f>SUM(E183:E191)</f>
        <v>0</v>
      </c>
      <c r="F192" s="19">
        <f>SUM(F183:F191)</f>
        <v>0</v>
      </c>
      <c r="G192" s="19">
        <f t="shared" si="8"/>
        <v>8091332382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-496727535</v>
      </c>
      <c r="E193" s="25">
        <f>SUMIFS('Daftar Koreksi'!$I$5:$I$92,'Daftar Koreksi'!$D$5:$D$92,'3000'!A180,'Daftar Koreksi'!$G$5:$G$92,"Peralatan dan mesin",'Daftar Koreksi'!$I$5:$I$92,"&gt;0")</f>
        <v>0</v>
      </c>
      <c r="F193" s="25">
        <f>SUMIFS('Daftar Koreksi'!$I$5:$I$92,'Daftar Koreksi'!$D$5:$D$92,'3000'!A180,'Daftar Koreksi'!$G$5:$G$92,"Peralatan dan mesin",'Daftar Koreksi'!$I$5:$I$92,"&lt;0")-SUMIFS('Daftar Koreksi'!$I$5:$I$92,'Daftar Koreksi'!$D$5:$D$92,'3000'!A180,'Daftar Koreksi'!$G$5:$G$92,"Peralatan dan mesin",'Daftar Koreksi'!$I$5:$I$92,"&lt;0")-SUMIFS('Daftar Koreksi'!$I$5:$I$92,'Daftar Koreksi'!$D$5:$D$92,'3000'!A180,'Daftar Koreksi'!$G$5:$G$92,"Peralatan dan mesin",'Daftar Koreksi'!$I$5:$I$92,"&lt;0")</f>
        <v>0</v>
      </c>
      <c r="G193" s="17">
        <f t="shared" si="8"/>
        <v>-496727535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-196244955</v>
      </c>
      <c r="E194" s="25">
        <f>SUMIFS('Daftar Koreksi'!$I$5:$I$92,'Daftar Koreksi'!$D$5:$D$92,'3000'!A180,'Daftar Koreksi'!$G$5:$G$92,"Gedung dan Bangunan",'Daftar Koreksi'!$I$5:$I$92,"&gt;0")</f>
        <v>0</v>
      </c>
      <c r="F194" s="25">
        <f>SUMIFS('Daftar Koreksi'!$I$5:$I$92,'Daftar Koreksi'!$D$5:$D$92,'3000'!A180,'Daftar Koreksi'!$G$5:$G$92,"Gedung dan Bangunan",'Daftar Koreksi'!$I$5:$I$92,"&lt;0")-SUMIFS('Daftar Koreksi'!$I$5:$I$92,'Daftar Koreksi'!$D$5:$D$92,'3000'!A180,'Daftar Koreksi'!$G$5:$G$92,"Gedung dan Bangunan",'Daftar Koreksi'!$I$5:$I$92,"&lt;0")-SUMIFS('Daftar Koreksi'!$I$5:$I$92,'Daftar Koreksi'!$D$5:$D$92,'3000'!A180,'Daftar Koreksi'!$G$5:$G$92,"Gedung dan Bangunan",'Daftar Koreksi'!$I$5:$I$92,"&lt;0")</f>
        <v>0</v>
      </c>
      <c r="G194" s="17">
        <f t="shared" si="8"/>
        <v>-196244955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-1420000</v>
      </c>
      <c r="E195" s="25">
        <f>SUMIFS('Daftar Koreksi'!$I$5:$I$92,'Daftar Koreksi'!$D$5:$D$92,'3000'!A180,'Daftar Koreksi'!$G$5:$G$92,"Jalan Irigasi Jaringan",'Daftar Koreksi'!$I$5:$I$92,"&gt;0")</f>
        <v>0</v>
      </c>
      <c r="F195" s="25">
        <f>SUMIFS('Daftar Koreksi'!$I$5:$I$92,'Daftar Koreksi'!$D$5:$D$92,'3000'!A180,'Daftar Koreksi'!$G$5:$G$92,"Jalan Irigasi Jaringan",'Daftar Koreksi'!$I$5:$I$92,"&lt;0")-SUMIFS('Daftar Koreksi'!$I$5:$I$92,'Daftar Koreksi'!$D$5:$D$92,'3000'!A180,'Daftar Koreksi'!$G$5:$G$92,"Jalan Irigasi Jaringan",'Daftar Koreksi'!$I$5:$I$92,"&lt;0")-SUMIFS('Daftar Koreksi'!$I$5:$I$92,'Daftar Koreksi'!$D$5:$D$92,'3000'!A180,'Daftar Koreksi'!$G$5:$G$92,"Jalan Irigasi Jaringan",'Daftar Koreksi'!$I$5:$I$92,"&lt;0")</f>
        <v>0</v>
      </c>
      <c r="G195" s="17">
        <f t="shared" si="8"/>
        <v>-1420000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Koreksi'!$D$5:$D$92,'3000'!A180,'Daftar Koreksi'!$G$5:$G$92,"Aset Tetap Lainnya",'Daftar Koreksi'!$I$5:$I$92,"&gt;0")</f>
        <v>0</v>
      </c>
      <c r="F196" s="25">
        <f>SUMIFS('Daftar Koreksi'!$I$5:$I$92,'Daftar Koreksi'!$D$5:$D$92,'3000'!A180,'Daftar Koreksi'!$G$5:$G$92,"Aset Tetap Lainnya",'Daftar Koreksi'!$I$5:$I$92,"&lt;0")-SUMIFS('Daftar Koreksi'!$I$5:$I$92,'Daftar Koreksi'!$D$5:$D$92,'3000'!A180,'Daftar Koreksi'!$G$5:$G$92,"Aset Tetap Lainnya",'Daftar Koreksi'!$I$5:$I$92,"&lt;0")-SUMIFS('Daftar Koreksi'!$I$5:$I$92,'Daftar Koreksi'!$D$5:$D$92,'3000'!A180,'Daftar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Koreksi'!$D$5:$D$92,'3000'!A180,'Daftar Koreksi'!$G$5:$G$92,"Aset Henti Guna",'Daftar Koreksi'!$I$5:$I$92,"&gt;0")</f>
        <v>0</v>
      </c>
      <c r="F197" s="25">
        <f>SUMIFS('Daftar Koreksi'!$I$5:$I$92,'Daftar Koreksi'!$D$5:$D$92,'3000'!A180,'Daftar Koreksi'!$G$5:$G$92,"Aset Henti Guna",'Daftar Koreksi'!$I$5:$I$92,"&lt;0")-SUMIFS('Daftar Koreksi'!$I$5:$I$92,'Daftar Koreksi'!$D$5:$D$92,'3000'!A180,'Daftar Koreksi'!$G$5:$G$92,"Aset Henti Guna",'Daftar Koreksi'!$I$5:$I$92,"&lt;0")-SUMIFS('Daftar Koreksi'!$I$5:$I$92,'Daftar Koreksi'!$D$5:$D$92,'3000'!A180,'Daftar Koreksi'!$G$5:$G$92,"Aset Henti Guna",'Daftar Koreksi'!$I$5:$I$92,"&lt;0")</f>
        <v>0</v>
      </c>
      <c r="G197" s="17">
        <f t="shared" si="8"/>
        <v>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-694392490</v>
      </c>
      <c r="E198" s="19">
        <f>SUM(E193:E197)</f>
        <v>0</v>
      </c>
      <c r="F198" s="19">
        <f>SUM(F193:F197)</f>
        <v>0</v>
      </c>
      <c r="G198" s="19">
        <f t="shared" si="8"/>
        <v>-694392490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7396939892</v>
      </c>
      <c r="E199" s="19">
        <f>E198+E192</f>
        <v>0</v>
      </c>
      <c r="F199" s="19">
        <f>F198+F192</f>
        <v>0</v>
      </c>
      <c r="G199" s="19">
        <f t="shared" si="8"/>
        <v>7396939892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</sheetData>
  <mergeCells count="54">
    <mergeCell ref="H117:H134"/>
    <mergeCell ref="H139:H156"/>
    <mergeCell ref="H161:H178"/>
    <mergeCell ref="H183:H200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181:C182"/>
    <mergeCell ref="D181:D182"/>
    <mergeCell ref="E181:F181"/>
    <mergeCell ref="G181:G182"/>
    <mergeCell ref="H181:H182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222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799</v>
      </c>
      <c r="P1" s="8" t="s">
        <v>1935</v>
      </c>
    </row>
    <row r="2" spans="1:16" ht="19.5" customHeight="1">
      <c r="C2" s="9" t="s">
        <v>2126</v>
      </c>
      <c r="O2" s="8" t="s">
        <v>800</v>
      </c>
      <c r="P2" s="8" t="s">
        <v>1936</v>
      </c>
    </row>
    <row r="3" spans="1:16" ht="19.5" customHeight="1">
      <c r="O3" s="8" t="s">
        <v>801</v>
      </c>
      <c r="P3" s="8" t="s">
        <v>1937</v>
      </c>
    </row>
    <row r="4" spans="1:16" ht="19.5" customHeight="1">
      <c r="A4" s="11" t="str">
        <f>O1</f>
        <v>005013100099361000KD</v>
      </c>
      <c r="B4" s="11" t="str">
        <f>P1</f>
        <v>PN. Gorontalo</v>
      </c>
      <c r="C4" s="12" t="str">
        <f>A4&amp;" "&amp;B4</f>
        <v>005013100099361000KD PN. Gorontalo</v>
      </c>
      <c r="D4" s="13"/>
      <c r="E4" s="13"/>
      <c r="F4" s="13"/>
      <c r="G4" s="13"/>
      <c r="H4" s="11"/>
      <c r="O4" s="8" t="s">
        <v>802</v>
      </c>
      <c r="P4" s="8" t="s">
        <v>1938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803</v>
      </c>
      <c r="P5" s="8" t="s">
        <v>1939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804</v>
      </c>
      <c r="P6" s="8" t="s">
        <v>1940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2857634</v>
      </c>
      <c r="E7" s="25">
        <f>SUMIFS('Daftar Koreksi'!$H$5:$H$92,'Daftar Koreksi'!$D$5:$D$92,'3100'!A4,'Daftar Koreksi'!$G$5:$G$92,"Persediaan",'Daftar Koreksi'!$H$5:$H$92,"&gt;0")</f>
        <v>0</v>
      </c>
      <c r="F7" s="25">
        <f>SUMIFS('Daftar Koreksi'!$H$5:$H$92,'Daftar Koreksi'!$D$5:$D$92,'3100'!A4,'Daftar Koreksi'!$G$5:$G$92,"Persediaan",'Daftar Koreksi'!$H$5:$H$92,"&lt;0")-SUMIFS('Daftar Koreksi'!$H$5:$H$92,'Daftar Koreksi'!$D$5:$D$92,'3100'!A4,'Daftar Koreksi'!$G$5:$G$92,"Persediaan",'Daftar Koreksi'!$H$5:$H$92,"&lt;0")-SUMIFS('Daftar Koreksi'!$H$5:$H$92,'Daftar Koreksi'!$D$5:$D$92,'3100'!A4,'Daftar Koreksi'!$G$5:$G$92,"Persediaan",'Daftar Koreksi'!$H$5:$H$92,"&lt;0")</f>
        <v>0</v>
      </c>
      <c r="G7" s="17">
        <f>D7+E7-F7</f>
        <v>2857634</v>
      </c>
      <c r="H7" s="121" t="str">
        <f>IF(ISNA(VLOOKUP(A4,'Mutasi Neraca'!$A$3:$S$914,19,FALSE)),"-",VLOOKUP(A4,'Mutasi Neraca'!$A$3:$S$914,19,FALSE))</f>
        <v>-</v>
      </c>
      <c r="O7" s="8" t="s">
        <v>805</v>
      </c>
      <c r="P7" s="8" t="s">
        <v>1941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4751977360</v>
      </c>
      <c r="E8" s="25">
        <f>SUMIFS('Daftar Koreksi'!$H$5:$H$92,'Daftar Koreksi'!$D$5:$D$92,'3100'!A4,'Daftar Koreksi'!$G$5:$G$92,"Tanah",'Daftar Koreksi'!$H$5:$H$92,"&gt;0")</f>
        <v>0</v>
      </c>
      <c r="F8" s="25">
        <f>SUMIFS('Daftar Koreksi'!$H$5:$H$92,'Daftar Koreksi'!$D$5:$D$92,'3100'!A4,'Daftar Koreksi'!$G$5:$G$92,"Tanah",'Daftar Koreksi'!$H$5:$H$92,"&lt;0")-SUMIFS('Daftar Koreksi'!$H$5:$H$92,'Daftar Koreksi'!$D$5:$D$92,'3100'!A4,'Daftar Koreksi'!$G$5:$G$92,"Tanah",'Daftar Koreksi'!$H$5:$H$92,"&lt;0")-SUMIFS('Daftar Koreksi'!$H$5:$H$92,'Daftar Koreksi'!$D$5:$D$92,'3100'!A4,'Daftar Koreksi'!$G$5:$G$92,"Tanah",'Daftar Koreksi'!$H$5:$H$92,"&lt;0")</f>
        <v>0</v>
      </c>
      <c r="G8" s="17">
        <f t="shared" ref="G8:G24" si="0">D8+E8-F8</f>
        <v>4751977360</v>
      </c>
      <c r="H8" s="122"/>
      <c r="O8" s="8" t="s">
        <v>806</v>
      </c>
      <c r="P8" s="8" t="s">
        <v>1942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3070407401</v>
      </c>
      <c r="E9" s="25">
        <f>SUMIFS('Daftar Koreksi'!$H$5:$H$92,'Daftar Koreksi'!$D$5:$D$92,'3100'!A4,'Daftar Koreksi'!$G$5:$G$92,"Peralatan dan mesin",'Daftar Koreksi'!$H$5:$H$92,"&gt;0")</f>
        <v>0</v>
      </c>
      <c r="F9" s="25">
        <f>SUMIFS('Daftar Koreksi'!$H$5:$H$92,'Daftar Koreksi'!$D$5:$D$92,'3100'!A4,'Daftar Koreksi'!$G$5:$G$92,"Peralatan dan mesin",'Daftar Koreksi'!$H$5:$H$92,"&lt;0")-SUMIFS('Daftar Koreksi'!$H$5:$H$92,'Daftar Koreksi'!$D$5:$D$92,'3100'!A4,'Daftar Koreksi'!$G$5:$G$92,"Peralatan dan mesin",'Daftar Koreksi'!$H$5:$H$92,"&lt;0")-SUMIFS('Daftar Koreksi'!$H$5:$H$92,'Daftar Koreksi'!$D$5:$D$92,'3100'!A4,'Daftar Koreksi'!$G$5:$G$92,"Peralatan dan mesin",'Daftar Koreksi'!$H$5:$H$92,"&lt;0")</f>
        <v>0</v>
      </c>
      <c r="G9" s="17">
        <f t="shared" si="0"/>
        <v>3070407401</v>
      </c>
      <c r="H9" s="122"/>
      <c r="O9" s="8" t="s">
        <v>807</v>
      </c>
      <c r="P9" s="8" t="s">
        <v>1943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19563615450</v>
      </c>
      <c r="E10" s="25">
        <f>SUMIFS('Daftar Koreksi'!$H$5:$H$92,'Daftar Koreksi'!$D$5:$D$92,'3100'!A4,'Daftar Koreksi'!$G$5:$G$92,"Gedung dan Bangunan",'Daftar Koreksi'!$H$5:$H$92,"&gt;0")</f>
        <v>0</v>
      </c>
      <c r="F10" s="25">
        <f>SUMIFS('Daftar Koreksi'!$H$5:$H$92,'Daftar Koreksi'!$D$5:$D$92,'3100'!A4,'Daftar Koreksi'!$G$5:$G$92,"Gedung dan Bangunan",'Daftar Koreksi'!$H$5:$H$92,"&lt;0")-SUMIFS('Daftar Koreksi'!$H$5:$H$92,'Daftar Koreksi'!$D$5:$D$92,'3100'!A4,'Daftar Koreksi'!$G$5:$G$92,"Gedung dan Bangunan",'Daftar Koreksi'!$H$5:$H$92,"&lt;0")-SUMIFS('Daftar Koreksi'!$H$5:$H$92,'Daftar Koreksi'!$D$5:$D$92,'3100'!A4,'Daftar Koreksi'!$G$5:$G$92,"Gedung dan Bangunan",'Daftar Koreksi'!$H$5:$H$92,"&lt;0")</f>
        <v>0</v>
      </c>
      <c r="G10" s="17">
        <f t="shared" si="0"/>
        <v>19563615450</v>
      </c>
      <c r="H10" s="122"/>
      <c r="O10" s="8" t="s">
        <v>808</v>
      </c>
      <c r="P10" s="8" t="s">
        <v>1944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206189000</v>
      </c>
      <c r="E11" s="25">
        <f>SUMIFS('Daftar Koreksi'!$H$5:$H$92,'Daftar Koreksi'!$D$5:$D$92,'3100'!A4,'Daftar Koreksi'!$G$5:$G$92,"Jalan Irigasi Jaringan",'Daftar Koreksi'!$H$5:$H$92,"&gt;0")</f>
        <v>0</v>
      </c>
      <c r="F11" s="25">
        <f>SUMIFS('Daftar Koreksi'!$H$5:$H$92,'Daftar Koreksi'!$D$5:$D$92,'3100'!A4,'Daftar Koreksi'!$G$5:$G$92,"Jalan Irigasi Jaringan",'Daftar Koreksi'!$H$5:$H$92,"&lt;0")-SUMIFS('Daftar Koreksi'!$H$5:$H$92,'Daftar Koreksi'!$D$5:$D$92,'3100'!A4,'Daftar Koreksi'!$G$5:$G$92,"Jalan Irigasi Jaringan",'Daftar Koreksi'!$H$5:$H$92,"&lt;0")-SUMIFS('Daftar Koreksi'!$H$5:$H$92,'Daftar Koreksi'!$D$5:$D$92,'3100'!A4,'Daftar Koreksi'!$G$5:$G$92,"Jalan Irigasi Jaringan",'Daftar Koreksi'!$H$5:$H$92,"&lt;0")</f>
        <v>0</v>
      </c>
      <c r="G11" s="17">
        <f t="shared" si="0"/>
        <v>206189000</v>
      </c>
      <c r="H11" s="122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20156440</v>
      </c>
      <c r="E12" s="25">
        <f>SUMIFS('Daftar Koreksi'!$H$5:$H$92,'Daftar Koreksi'!$D$5:$D$92,'3100'!A4,'Daftar Koreksi'!$G$5:$G$92,"Aset Tetap Lainnya",'Daftar Koreksi'!$H$5:$H$92,"&gt;0")</f>
        <v>0</v>
      </c>
      <c r="F12" s="25">
        <f>SUMIFS('Daftar Koreksi'!$H$5:$H$92,'Daftar Koreksi'!$D$5:$D$92,'3100'!A4,'Daftar Koreksi'!$G$5:$G$92,"Aset Tetap Lainnya",'Daftar Koreksi'!$H$5:$H$92,"&lt;0")-SUMIFS('Daftar Koreksi'!$H$5:$H$92,'Daftar Koreksi'!$D$5:$D$92,'3100'!A4,'Daftar Koreksi'!$G$5:$G$92,"Aset Tetap Lainnya",'Daftar Koreksi'!$H$5:$H$92,"&lt;0")-SUMIFS('Daftar Koreksi'!$H$5:$H$92,'Daftar Koreksi'!$D$5:$D$92,'3100'!A4,'Daftar Koreksi'!$G$5:$G$92,"Aset Tetap Lainnya",'Daftar Koreksi'!$H$5:$H$92,"&lt;0")</f>
        <v>0</v>
      </c>
      <c r="G12" s="17">
        <f t="shared" si="0"/>
        <v>20156440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Koreksi'!$D$5:$D$92,'3100'!A4,'Daftar Koreksi'!$G$5:$G$92,"Kontruksi Dalam Pengerjaan",'Daftar Koreksi'!$H$5:$H$92,"&gt;0")</f>
        <v>0</v>
      </c>
      <c r="F13" s="25">
        <f>SUMIFS('Daftar Koreksi'!$H$5:$H$92,'Daftar Koreksi'!$D$5:$D$92,'3100'!A4,'Daftar Koreksi'!$G$5:$G$92,"Kontruksi Dalam Pengerjaan",'Daftar Koreksi'!$H$5:$H$92,"&lt;0")-SUMIFS('Daftar Koreksi'!$H$5:$H$92,'Daftar Koreksi'!$D$5:$D$92,'3100'!A4,'Daftar Koreksi'!$G$5:$G$92,"Kontruksi Dalam Pengerjaan",'Daftar Koreksi'!$H$5:$H$92,"&lt;0")-SUMIFS('Daftar Koreksi'!$H$5:$H$92,'Daftar Koreksi'!$D$5:$D$92,'3100'!A4,'Daftar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Koreksi'!$D$5:$D$92,'3100'!A4,'Daftar Koreksi'!$G$5:$G$92,"Aset Tak Berwujud",'Daftar Koreksi'!$H$5:$H$92,"&gt;0")</f>
        <v>0</v>
      </c>
      <c r="F14" s="25">
        <f>SUMIFS('Daftar Koreksi'!$H$5:$H$92,'Daftar Koreksi'!$D$5:$D$92,'3100'!A4,'Daftar Koreksi'!$G$5:$G$92,"Aset Tak Berwujud",'Daftar Koreksi'!$H$5:$H$92,"&lt;0")-SUMIFS('Daftar Koreksi'!$H$5:$H$92,'Daftar Koreksi'!$D$5:$D$92,'3100'!A4,'Daftar Koreksi'!$G$5:$G$92,"Aset Tak Berwujud",'Daftar Koreksi'!$H$5:$H$92,"&lt;0")-SUMIFS('Daftar Koreksi'!$H$5:$H$92,'Daftar Koreksi'!$D$5:$D$92,'3100'!A4,'Daftar Koreksi'!$G$5:$G$92,"Aset Tak Berwujud",'Daftar Koreksi'!$H$5:$H$92,"&lt;0")</f>
        <v>0</v>
      </c>
      <c r="G14" s="17">
        <f t="shared" si="0"/>
        <v>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4987821000</v>
      </c>
      <c r="E15" s="25">
        <f>SUMIFS('Daftar Koreksi'!$H$5:$H$92,'Daftar Koreksi'!$D$5:$D$92,'3100'!A4,'Daftar Koreksi'!$G$5:$G$92,"Aset Henti Guna",'Daftar Koreksi'!$H$5:$H$92,"&gt;0")</f>
        <v>0</v>
      </c>
      <c r="F15" s="25">
        <f>SUMIFS('Daftar Koreksi'!$H$5:$H$92,'Daftar Koreksi'!$D$5:$D$92,'3100'!A4,'Daftar Koreksi'!$G$5:$G$92,"Aset Henti Guna",'Daftar Koreksi'!$H$5:$H$92,"&lt;0")-SUMIFS('Daftar Koreksi'!$H$5:$H$92,'Daftar Koreksi'!$D$5:$D$92,'3100'!A4,'Daftar Koreksi'!$G$5:$G$92,"Aset Henti Guna",'Daftar Koreksi'!$H$5:$H$92,"&lt;0")-SUMIFS('Daftar Koreksi'!$H$5:$H$92,'Daftar Koreksi'!$D$5:$D$92,'3100'!A4,'Daftar Koreksi'!$G$5:$G$92,"Aset Henti Guna",'Daftar Koreksi'!$H$5:$H$92,"&lt;0")</f>
        <v>0</v>
      </c>
      <c r="G15" s="17">
        <f t="shared" si="0"/>
        <v>4987821000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32603024285</v>
      </c>
      <c r="E16" s="19">
        <f>SUM(E7:E15)</f>
        <v>0</v>
      </c>
      <c r="F16" s="19">
        <f>SUM(F7:F15)</f>
        <v>0</v>
      </c>
      <c r="G16" s="19">
        <f t="shared" si="0"/>
        <v>32603024285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-2770623390</v>
      </c>
      <c r="E17" s="25">
        <f>SUMIFS('Daftar Koreksi'!$I$5:$I$92,'Daftar Koreksi'!$D$5:$D$92,'3100'!A4,'Daftar Koreksi'!$G$5:$G$92,"Peralatan dan mesin",'Daftar Koreksi'!$I$5:$I$92,"&gt;0")</f>
        <v>0</v>
      </c>
      <c r="F17" s="25">
        <f>SUMIFS('Daftar Koreksi'!$I$5:$I$92,'Daftar Koreksi'!$D$5:$D$92,'3100'!A4,'Daftar Koreksi'!$G$5:$G$92,"Peralatan dan mesin",'Daftar Koreksi'!$I$5:$I$92,"&lt;0")-SUMIFS('Daftar Koreksi'!$I$5:$I$92,'Daftar Koreksi'!$D$5:$D$92,'3100'!A4,'Daftar Koreksi'!$G$5:$G$92,"Peralatan dan mesin",'Daftar Koreksi'!$I$5:$I$92,"&lt;0")-SUMIFS('Daftar Koreksi'!$I$5:$I$92,'Daftar Koreksi'!$D$5:$D$92,'3100'!A4,'Daftar Koreksi'!$G$5:$G$92,"Peralatan dan mesin",'Daftar Koreksi'!$I$5:$I$92,"&lt;0")</f>
        <v>0</v>
      </c>
      <c r="G17" s="17">
        <f t="shared" si="0"/>
        <v>-2770623390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-5044379386</v>
      </c>
      <c r="E18" s="25">
        <f>SUMIFS('Daftar Koreksi'!$I$5:$I$92,'Daftar Koreksi'!$D$5:$D$92,'3100'!A4,'Daftar Koreksi'!$G$5:$G$92,"Gedung dan Bangunan",'Daftar Koreksi'!$I$5:$I$92,"&gt;0")</f>
        <v>0</v>
      </c>
      <c r="F18" s="25">
        <f>SUMIFS('Daftar Koreksi'!$I$5:$I$92,'Daftar Koreksi'!$D$5:$D$92,'3100'!A4,'Daftar Koreksi'!$G$5:$G$92,"Gedung dan Bangunan",'Daftar Koreksi'!$I$5:$I$92,"&lt;0")-SUMIFS('Daftar Koreksi'!$I$5:$I$92,'Daftar Koreksi'!$D$5:$D$92,'3100'!A4,'Daftar Koreksi'!$G$5:$G$92,"Gedung dan Bangunan",'Daftar Koreksi'!$I$5:$I$92,"&lt;0")-SUMIFS('Daftar Koreksi'!$I$5:$I$92,'Daftar Koreksi'!$D$5:$D$92,'3100'!A4,'Daftar Koreksi'!$G$5:$G$92,"Gedung dan Bangunan",'Daftar Koreksi'!$I$5:$I$92,"&lt;0")</f>
        <v>0</v>
      </c>
      <c r="G18" s="17">
        <f t="shared" si="0"/>
        <v>-5044379386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-31728350</v>
      </c>
      <c r="E19" s="25">
        <f>SUMIFS('Daftar Koreksi'!$I$5:$I$92,'Daftar Koreksi'!$D$5:$D$92,'3100'!A4,'Daftar Koreksi'!$G$5:$G$92,"Jalan Irigasi Jaringan",'Daftar Koreksi'!$I$5:$I$92,"&gt;0")</f>
        <v>0</v>
      </c>
      <c r="F19" s="25">
        <f>SUMIFS('Daftar Koreksi'!$I$5:$I$92,'Daftar Koreksi'!$D$5:$D$92,'3100'!A4,'Daftar Koreksi'!$G$5:$G$92,"Jalan Irigasi Jaringan",'Daftar Koreksi'!$I$5:$I$92,"&lt;0")-SUMIFS('Daftar Koreksi'!$I$5:$I$92,'Daftar Koreksi'!$D$5:$D$92,'3100'!A4,'Daftar Koreksi'!$G$5:$G$92,"Jalan Irigasi Jaringan",'Daftar Koreksi'!$I$5:$I$92,"&lt;0")-SUMIFS('Daftar Koreksi'!$I$5:$I$92,'Daftar Koreksi'!$D$5:$D$92,'3100'!A4,'Daftar Koreksi'!$G$5:$G$92,"Jalan Irigasi Jaringan",'Daftar Koreksi'!$I$5:$I$92,"&lt;0")</f>
        <v>0</v>
      </c>
      <c r="G19" s="17">
        <f t="shared" si="0"/>
        <v>-31728350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Koreksi'!$D$5:$D$92,'3100'!A4,'Daftar Koreksi'!$G$5:$G$92,"Aset Tetap Lainnya",'Daftar Koreksi'!$I$5:$I$92,"&gt;0")</f>
        <v>0</v>
      </c>
      <c r="F20" s="25">
        <f>SUMIFS('Daftar Koreksi'!$I$5:$I$92,'Daftar Koreksi'!$D$5:$D$92,'3100'!A4,'Daftar Koreksi'!$G$5:$G$92,"Aset Tetap Lainnya",'Daftar Koreksi'!$I$5:$I$92,"&lt;0")-SUMIFS('Daftar Koreksi'!$I$5:$I$92,'Daftar Koreksi'!$D$5:$D$92,'3100'!A4,'Daftar Koreksi'!$G$5:$G$92,"Aset Tetap Lainnya",'Daftar Koreksi'!$I$5:$I$92,"&lt;0")-SUMIFS('Daftar Koreksi'!$I$5:$I$92,'Daftar Koreksi'!$D$5:$D$92,'3100'!A4,'Daftar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-1076000</v>
      </c>
      <c r="E21" s="25">
        <f>SUMIFS('Daftar Koreksi'!$I$5:$I$92,'Daftar Koreksi'!$D$5:$D$92,'3100'!A4,'Daftar Koreksi'!$G$5:$G$92,"Aset Henti Guna",'Daftar Koreksi'!$I$5:$I$92,"&gt;0")</f>
        <v>0</v>
      </c>
      <c r="F21" s="25">
        <f>SUMIFS('Daftar Koreksi'!$I$5:$I$92,'Daftar Koreksi'!$D$5:$D$92,'3100'!A4,'Daftar Koreksi'!$G$5:$G$92,"Aset Henti Guna",'Daftar Koreksi'!$I$5:$I$92,"&lt;0")-SUMIFS('Daftar Koreksi'!$I$5:$I$92,'Daftar Koreksi'!$D$5:$D$92,'3100'!A4,'Daftar Koreksi'!$G$5:$G$92,"Aset Henti Guna",'Daftar Koreksi'!$I$5:$I$92,"&lt;0")-SUMIFS('Daftar Koreksi'!$I$5:$I$92,'Daftar Koreksi'!$D$5:$D$92,'3100'!A4,'Daftar Koreksi'!$G$5:$G$92,"Aset Henti Guna",'Daftar Koreksi'!$I$5:$I$92,"&lt;0")</f>
        <v>0</v>
      </c>
      <c r="G21" s="17">
        <f t="shared" si="0"/>
        <v>-1076000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-7847807126</v>
      </c>
      <c r="E22" s="19">
        <f>SUM(E17:E21)</f>
        <v>0</v>
      </c>
      <c r="F22" s="19">
        <f>SUM(F17:F21)</f>
        <v>0</v>
      </c>
      <c r="G22" s="19">
        <f t="shared" si="0"/>
        <v>-7847807126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24755217159</v>
      </c>
      <c r="E23" s="19">
        <f>E22+E16</f>
        <v>0</v>
      </c>
      <c r="F23" s="19">
        <f>F22+F16</f>
        <v>0</v>
      </c>
      <c r="G23" s="19">
        <f t="shared" si="0"/>
        <v>24755217159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005013100307250000KD</v>
      </c>
      <c r="B26" s="11" t="str">
        <f>P2</f>
        <v>PA. Gorontalo</v>
      </c>
      <c r="C26" s="12" t="str">
        <f>A26&amp;" "&amp;B26</f>
        <v>005013100307250000KD PA. Gorontalo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Koreksi'!$D$5:$D$92,'3100'!A26,'Daftar Koreksi'!$G$5:$G$92,"Persediaan",'Daftar Koreksi'!$H$5:$H$92,"&gt;0")</f>
        <v>0</v>
      </c>
      <c r="F29" s="25">
        <f>SUMIFS('Daftar Koreksi'!$H$5:$H$92,'Daftar Koreksi'!$D$5:$D$92,'3100'!A26,'Daftar Koreksi'!$G$5:$G$92,"Persediaan",'Daftar Koreksi'!$H$5:$H$92,"&lt;0")-SUMIFS('Daftar Koreksi'!$H$5:$H$92,'Daftar Koreksi'!$D$5:$D$92,'3100'!A26,'Daftar Koreksi'!$G$5:$G$92,"Persediaan",'Daftar Koreksi'!$H$5:$H$92,"&lt;0")-SUMIFS('Daftar Koreksi'!$H$5:$H$92,'Daftar Koreksi'!$D$5:$D$92,'3100'!A26,'Daftar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2971471050</v>
      </c>
      <c r="E30" s="25">
        <f>SUMIFS('Daftar Koreksi'!$H$5:$H$92,'Daftar Koreksi'!$D$5:$D$92,'3100'!A26,'Daftar Koreksi'!$G$5:$G$92,"Tanah",'Daftar Koreksi'!$H$5:$H$92,"&gt;0")</f>
        <v>0</v>
      </c>
      <c r="F30" s="25">
        <f>SUMIFS('Daftar Koreksi'!$H$5:$H$92,'Daftar Koreksi'!$D$5:$D$92,'3100'!A26,'Daftar Koreksi'!$G$5:$G$92,"Tanah",'Daftar Koreksi'!$H$5:$H$92,"&lt;0")-SUMIFS('Daftar Koreksi'!$H$5:$H$92,'Daftar Koreksi'!$D$5:$D$92,'3100'!A26,'Daftar Koreksi'!$G$5:$G$92,"Tanah",'Daftar Koreksi'!$H$5:$H$92,"&lt;0")-SUMIFS('Daftar Koreksi'!$H$5:$H$92,'Daftar Koreksi'!$D$5:$D$92,'3100'!A26,'Daftar Koreksi'!$G$5:$G$92,"Tanah",'Daftar Koreksi'!$H$5:$H$92,"&lt;0")</f>
        <v>0</v>
      </c>
      <c r="G30" s="17">
        <f t="shared" ref="G30:G46" si="1">D30+E30-F30</f>
        <v>2971471050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1202492642</v>
      </c>
      <c r="E31" s="25">
        <f>SUMIFS('Daftar Koreksi'!$H$5:$H$92,'Daftar Koreksi'!$D$5:$D$92,'3100'!A26,'Daftar Koreksi'!$G$5:$G$92,"Peralatan dan mesin",'Daftar Koreksi'!$H$5:$H$92,"&gt;0")</f>
        <v>0</v>
      </c>
      <c r="F31" s="25">
        <f>SUMIFS('Daftar Koreksi'!$H$5:$H$92,'Daftar Koreksi'!$D$5:$D$92,'3100'!A26,'Daftar Koreksi'!$G$5:$G$92,"Peralatan dan mesin",'Daftar Koreksi'!$H$5:$H$92,"&lt;0")-SUMIFS('Daftar Koreksi'!$H$5:$H$92,'Daftar Koreksi'!$D$5:$D$92,'3100'!A26,'Daftar Koreksi'!$G$5:$G$92,"Peralatan dan mesin",'Daftar Koreksi'!$H$5:$H$92,"&lt;0")-SUMIFS('Daftar Koreksi'!$H$5:$H$92,'Daftar Koreksi'!$D$5:$D$92,'3100'!A26,'Daftar Koreksi'!$G$5:$G$92,"Peralatan dan mesin",'Daftar Koreksi'!$H$5:$H$92,"&lt;0")</f>
        <v>0</v>
      </c>
      <c r="G31" s="17">
        <f t="shared" si="1"/>
        <v>1202492642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9502191950</v>
      </c>
      <c r="E32" s="25">
        <f>SUMIFS('Daftar Koreksi'!$H$5:$H$92,'Daftar Koreksi'!$D$5:$D$92,'3100'!A26,'Daftar Koreksi'!$G$5:$G$92,"Gedung dan Bangunan",'Daftar Koreksi'!$H$5:$H$92,"&gt;0")</f>
        <v>0</v>
      </c>
      <c r="F32" s="25">
        <f>SUMIFS('Daftar Koreksi'!$H$5:$H$92,'Daftar Koreksi'!$D$5:$D$92,'3100'!A26,'Daftar Koreksi'!$G$5:$G$92,"Gedung dan Bangunan",'Daftar Koreksi'!$H$5:$H$92,"&lt;0")-SUMIFS('Daftar Koreksi'!$H$5:$H$92,'Daftar Koreksi'!$D$5:$D$92,'3100'!A26,'Daftar Koreksi'!$G$5:$G$92,"Gedung dan Bangunan",'Daftar Koreksi'!$H$5:$H$92,"&lt;0")-SUMIFS('Daftar Koreksi'!$H$5:$H$92,'Daftar Koreksi'!$D$5:$D$92,'3100'!A26,'Daftar Koreksi'!$G$5:$G$92,"Gedung dan Bangunan",'Daftar Koreksi'!$H$5:$H$92,"&lt;0")</f>
        <v>0</v>
      </c>
      <c r="G32" s="17">
        <f t="shared" si="1"/>
        <v>9502191950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353590357</v>
      </c>
      <c r="E33" s="25">
        <f>SUMIFS('Daftar Koreksi'!$H$5:$H$92,'Daftar Koreksi'!$D$5:$D$92,'3100'!A26,'Daftar Koreksi'!$G$5:$G$92,"Jalan Irigasi Jaringan",'Daftar Koreksi'!$H$5:$H$92,"&gt;0")</f>
        <v>0</v>
      </c>
      <c r="F33" s="25">
        <f>SUMIFS('Daftar Koreksi'!$H$5:$H$92,'Daftar Koreksi'!$D$5:$D$92,'3100'!A26,'Daftar Koreksi'!$G$5:$G$92,"Jalan Irigasi Jaringan",'Daftar Koreksi'!$H$5:$H$92,"&lt;0")-SUMIFS('Daftar Koreksi'!$H$5:$H$92,'Daftar Koreksi'!$D$5:$D$92,'3100'!A26,'Daftar Koreksi'!$G$5:$G$92,"Jalan Irigasi Jaringan",'Daftar Koreksi'!$H$5:$H$92,"&lt;0")-SUMIFS('Daftar Koreksi'!$H$5:$H$92,'Daftar Koreksi'!$D$5:$D$92,'3100'!A26,'Daftar Koreksi'!$G$5:$G$92,"Jalan Irigasi Jaringan",'Daftar Koreksi'!$H$5:$H$92,"&lt;0")</f>
        <v>0</v>
      </c>
      <c r="G33" s="17">
        <f t="shared" si="1"/>
        <v>353590357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19563080</v>
      </c>
      <c r="E34" s="25">
        <f>SUMIFS('Daftar Koreksi'!$H$5:$H$92,'Daftar Koreksi'!$D$5:$D$92,'3100'!A26,'Daftar Koreksi'!$G$5:$G$92,"Aset Tetap Lainnya",'Daftar Koreksi'!$H$5:$H$92,"&gt;0")</f>
        <v>0</v>
      </c>
      <c r="F34" s="25">
        <f>SUMIFS('Daftar Koreksi'!$H$5:$H$92,'Daftar Koreksi'!$D$5:$D$92,'3100'!A26,'Daftar Koreksi'!$G$5:$G$92,"Aset Tetap Lainnya",'Daftar Koreksi'!$H$5:$H$92,"&lt;0")-SUMIFS('Daftar Koreksi'!$H$5:$H$92,'Daftar Koreksi'!$D$5:$D$92,'3100'!A26,'Daftar Koreksi'!$G$5:$G$92,"Aset Tetap Lainnya",'Daftar Koreksi'!$H$5:$H$92,"&lt;0")-SUMIFS('Daftar Koreksi'!$H$5:$H$92,'Daftar Koreksi'!$D$5:$D$92,'3100'!A26,'Daftar Koreksi'!$G$5:$G$92,"Aset Tetap Lainnya",'Daftar Koreksi'!$H$5:$H$92,"&lt;0")</f>
        <v>0</v>
      </c>
      <c r="G34" s="17">
        <f t="shared" si="1"/>
        <v>19563080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Koreksi'!$D$5:$D$92,'3100'!A26,'Daftar Koreksi'!$G$5:$G$92,"Kontruksi Dalam Pengerjaan",'Daftar Koreksi'!$H$5:$H$92,"&gt;0")</f>
        <v>0</v>
      </c>
      <c r="F35" s="25">
        <f>SUMIFS('Daftar Koreksi'!$H$5:$H$92,'Daftar Koreksi'!$D$5:$D$92,'3100'!A26,'Daftar Koreksi'!$G$5:$G$92,"Kontruksi Dalam Pengerjaan",'Daftar Koreksi'!$H$5:$H$92,"&lt;0")-SUMIFS('Daftar Koreksi'!$H$5:$H$92,'Daftar Koreksi'!$D$5:$D$92,'3100'!A26,'Daftar Koreksi'!$G$5:$G$92,"Kontruksi Dalam Pengerjaan",'Daftar Koreksi'!$H$5:$H$92,"&lt;0")-SUMIFS('Daftar Koreksi'!$H$5:$H$92,'Daftar Koreksi'!$D$5:$D$92,'3100'!A26,'Daftar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Koreksi'!$D$5:$D$92,'3100'!A26,'Daftar Koreksi'!$G$5:$G$92,"Aset Tak Berwujud",'Daftar Koreksi'!$H$5:$H$92,"&gt;0")</f>
        <v>0</v>
      </c>
      <c r="F36" s="25">
        <f>SUMIFS('Daftar Koreksi'!$H$5:$H$92,'Daftar Koreksi'!$D$5:$D$92,'3100'!A26,'Daftar Koreksi'!$G$5:$G$92,"Aset Tak Berwujud",'Daftar Koreksi'!$H$5:$H$92,"&lt;0")-SUMIFS('Daftar Koreksi'!$H$5:$H$92,'Daftar Koreksi'!$D$5:$D$92,'3100'!A26,'Daftar Koreksi'!$G$5:$G$92,"Aset Tak Berwujud",'Daftar Koreksi'!$H$5:$H$92,"&lt;0")-SUMIFS('Daftar Koreksi'!$H$5:$H$92,'Daftar Koreksi'!$D$5:$D$92,'3100'!A26,'Daftar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1732000</v>
      </c>
      <c r="E37" s="25">
        <f>SUMIFS('Daftar Koreksi'!$H$5:$H$92,'Daftar Koreksi'!$D$5:$D$92,'3100'!A26,'Daftar Koreksi'!$G$5:$G$92,"Aset Henti Guna",'Daftar Koreksi'!$H$5:$H$92,"&gt;0")</f>
        <v>0</v>
      </c>
      <c r="F37" s="25">
        <f>SUMIFS('Daftar Koreksi'!$H$5:$H$92,'Daftar Koreksi'!$D$5:$D$92,'3100'!A26,'Daftar Koreksi'!$G$5:$G$92,"Aset Henti Guna",'Daftar Koreksi'!$H$5:$H$92,"&lt;0")-SUMIFS('Daftar Koreksi'!$H$5:$H$92,'Daftar Koreksi'!$D$5:$D$92,'3100'!A26,'Daftar Koreksi'!$G$5:$G$92,"Aset Henti Guna",'Daftar Koreksi'!$H$5:$H$92,"&lt;0")-SUMIFS('Daftar Koreksi'!$H$5:$H$92,'Daftar Koreksi'!$D$5:$D$92,'3100'!A26,'Daftar Koreksi'!$G$5:$G$92,"Aset Henti Guna",'Daftar Koreksi'!$H$5:$H$92,"&lt;0")</f>
        <v>0</v>
      </c>
      <c r="G37" s="17">
        <f t="shared" si="1"/>
        <v>1732000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14051041079</v>
      </c>
      <c r="E38" s="19">
        <f>SUM(E29:E37)</f>
        <v>0</v>
      </c>
      <c r="F38" s="19">
        <f>SUM(F29:F37)</f>
        <v>0</v>
      </c>
      <c r="G38" s="19">
        <f t="shared" si="1"/>
        <v>14051041079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-1038086522</v>
      </c>
      <c r="E39" s="25">
        <f>SUMIFS('Daftar Koreksi'!$I$5:$I$92,'Daftar Koreksi'!$D$5:$D$92,'3100'!A26,'Daftar Koreksi'!$G$5:$G$92,"Peralatan dan mesin",'Daftar Koreksi'!$I$5:$I$92,"&gt;0")</f>
        <v>0</v>
      </c>
      <c r="F39" s="25">
        <f>SUMIFS('Daftar Koreksi'!$I$5:$I$92,'Daftar Koreksi'!$D$5:$D$92,'3100'!A26,'Daftar Koreksi'!$G$5:$G$92,"Peralatan dan mesin",'Daftar Koreksi'!$I$5:$I$92,"&lt;0")-SUMIFS('Daftar Koreksi'!$I$5:$I$92,'Daftar Koreksi'!$D$5:$D$92,'3100'!A26,'Daftar Koreksi'!$G$5:$G$92,"Peralatan dan mesin",'Daftar Koreksi'!$I$5:$I$92,"&lt;0")-SUMIFS('Daftar Koreksi'!$I$5:$I$92,'Daftar Koreksi'!$D$5:$D$92,'3100'!A26,'Daftar Koreksi'!$G$5:$G$92,"Peralatan dan mesin",'Daftar Koreksi'!$I$5:$I$92,"&lt;0")</f>
        <v>0</v>
      </c>
      <c r="G39" s="17">
        <f t="shared" si="1"/>
        <v>-1038086522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-370449182</v>
      </c>
      <c r="E40" s="25">
        <f>SUMIFS('Daftar Koreksi'!$I$5:$I$92,'Daftar Koreksi'!$D$5:$D$92,'3100'!A26,'Daftar Koreksi'!$G$5:$G$92,"Gedung dan Bangunan",'Daftar Koreksi'!$I$5:$I$92,"&gt;0")</f>
        <v>0</v>
      </c>
      <c r="F40" s="25">
        <f>SUMIFS('Daftar Koreksi'!$I$5:$I$92,'Daftar Koreksi'!$D$5:$D$92,'3100'!A26,'Daftar Koreksi'!$G$5:$G$92,"Gedung dan Bangunan",'Daftar Koreksi'!$I$5:$I$92,"&lt;0")-SUMIFS('Daftar Koreksi'!$I$5:$I$92,'Daftar Koreksi'!$D$5:$D$92,'3100'!A26,'Daftar Koreksi'!$G$5:$G$92,"Gedung dan Bangunan",'Daftar Koreksi'!$I$5:$I$92,"&lt;0")-SUMIFS('Daftar Koreksi'!$I$5:$I$92,'Daftar Koreksi'!$D$5:$D$92,'3100'!A26,'Daftar Koreksi'!$G$5:$G$92,"Gedung dan Bangunan",'Daftar Koreksi'!$I$5:$I$92,"&lt;0")</f>
        <v>0</v>
      </c>
      <c r="G40" s="17">
        <f t="shared" si="1"/>
        <v>-370449182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-60061693</v>
      </c>
      <c r="E41" s="25">
        <f>SUMIFS('Daftar Koreksi'!$I$5:$I$92,'Daftar Koreksi'!$D$5:$D$92,'3100'!A26,'Daftar Koreksi'!$G$5:$G$92,"Jalan Irigasi Jaringan",'Daftar Koreksi'!$I$5:$I$92,"&gt;0")</f>
        <v>0</v>
      </c>
      <c r="F41" s="25">
        <f>SUMIFS('Daftar Koreksi'!$I$5:$I$92,'Daftar Koreksi'!$D$5:$D$92,'3100'!A26,'Daftar Koreksi'!$G$5:$G$92,"Jalan Irigasi Jaringan",'Daftar Koreksi'!$I$5:$I$92,"&lt;0")-SUMIFS('Daftar Koreksi'!$I$5:$I$92,'Daftar Koreksi'!$D$5:$D$92,'3100'!A26,'Daftar Koreksi'!$G$5:$G$92,"Jalan Irigasi Jaringan",'Daftar Koreksi'!$I$5:$I$92,"&lt;0")-SUMIFS('Daftar Koreksi'!$I$5:$I$92,'Daftar Koreksi'!$D$5:$D$92,'3100'!A26,'Daftar Koreksi'!$G$5:$G$92,"Jalan Irigasi Jaringan",'Daftar Koreksi'!$I$5:$I$92,"&lt;0")</f>
        <v>0</v>
      </c>
      <c r="G41" s="17">
        <f t="shared" si="1"/>
        <v>-60061693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Koreksi'!$D$5:$D$92,'3100'!A26,'Daftar Koreksi'!$G$5:$G$92,"Aset Tetap Lainnya",'Daftar Koreksi'!$I$5:$I$92,"&gt;0")</f>
        <v>0</v>
      </c>
      <c r="F42" s="25">
        <f>SUMIFS('Daftar Koreksi'!$I$5:$I$92,'Daftar Koreksi'!$D$5:$D$92,'3100'!A26,'Daftar Koreksi'!$G$5:$G$92,"Aset Tetap Lainnya",'Daftar Koreksi'!$I$5:$I$92,"&lt;0")-SUMIFS('Daftar Koreksi'!$I$5:$I$92,'Daftar Koreksi'!$D$5:$D$92,'3100'!A26,'Daftar Koreksi'!$G$5:$G$92,"Aset Tetap Lainnya",'Daftar Koreksi'!$I$5:$I$92,"&lt;0")-SUMIFS('Daftar Koreksi'!$I$5:$I$92,'Daftar Koreksi'!$D$5:$D$92,'3100'!A26,'Daftar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-1732000</v>
      </c>
      <c r="E43" s="25">
        <f>SUMIFS('Daftar Koreksi'!$I$5:$I$92,'Daftar Koreksi'!$D$5:$D$92,'3100'!A26,'Daftar Koreksi'!$G$5:$G$92,"Aset Henti Guna",'Daftar Koreksi'!$I$5:$I$92,"&gt;0")</f>
        <v>0</v>
      </c>
      <c r="F43" s="25">
        <f>SUMIFS('Daftar Koreksi'!$I$5:$I$92,'Daftar Koreksi'!$D$5:$D$92,'3100'!A26,'Daftar Koreksi'!$G$5:$G$92,"Aset Henti Guna",'Daftar Koreksi'!$I$5:$I$92,"&lt;0")-SUMIFS('Daftar Koreksi'!$I$5:$I$92,'Daftar Koreksi'!$D$5:$D$92,'3100'!A26,'Daftar Koreksi'!$G$5:$G$92,"Aset Henti Guna",'Daftar Koreksi'!$I$5:$I$92,"&lt;0")-SUMIFS('Daftar Koreksi'!$I$5:$I$92,'Daftar Koreksi'!$D$5:$D$92,'3100'!A26,'Daftar Koreksi'!$G$5:$G$92,"Aset Henti Guna",'Daftar Koreksi'!$I$5:$I$92,"&lt;0")</f>
        <v>0</v>
      </c>
      <c r="G43" s="17">
        <f t="shared" si="1"/>
        <v>-1732000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-1470329397</v>
      </c>
      <c r="E44" s="19">
        <f>SUM(E39:E43)</f>
        <v>0</v>
      </c>
      <c r="F44" s="19">
        <f>SUM(F39:F43)</f>
        <v>0</v>
      </c>
      <c r="G44" s="19">
        <f t="shared" si="1"/>
        <v>-1470329397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12580711682</v>
      </c>
      <c r="E45" s="19">
        <f>E44+E38</f>
        <v>0</v>
      </c>
      <c r="F45" s="19">
        <f>F44+F38</f>
        <v>0</v>
      </c>
      <c r="G45" s="19">
        <f t="shared" si="1"/>
        <v>12580711682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005013100400208000KD</v>
      </c>
      <c r="B48" s="11" t="str">
        <f>P3</f>
        <v>PN. Limboto</v>
      </c>
      <c r="C48" s="12" t="str">
        <f>A48&amp;" "&amp;B48</f>
        <v>005013100400208000KD PN. Limboto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6691147</v>
      </c>
      <c r="E51" s="25">
        <f>SUMIFS('Daftar Koreksi'!$H$5:$H$92,'Daftar Koreksi'!$D$5:$D$92,'3100'!A48,'Daftar Koreksi'!$G$5:$G$92,"Persediaan",'Daftar Koreksi'!$H$5:$H$92,"&gt;0")</f>
        <v>0</v>
      </c>
      <c r="F51" s="25">
        <f>SUMIFS('Daftar Koreksi'!$H$5:$H$92,'Daftar Koreksi'!$D$5:$D$92,'3100'!A48,'Daftar Koreksi'!$G$5:$G$92,"Persediaan",'Daftar Koreksi'!$H$5:$H$92,"&lt;0")-SUMIFS('Daftar Koreksi'!$H$5:$H$92,'Daftar Koreksi'!$D$5:$D$92,'3100'!A48,'Daftar Koreksi'!$G$5:$G$92,"Persediaan",'Daftar Koreksi'!$H$5:$H$92,"&lt;0")-SUMIFS('Daftar Koreksi'!$H$5:$H$92,'Daftar Koreksi'!$D$5:$D$92,'3100'!A48,'Daftar Koreksi'!$G$5:$G$92,"Persediaan",'Daftar Koreksi'!$H$5:$H$92,"&lt;0")</f>
        <v>0</v>
      </c>
      <c r="G51" s="17">
        <f>D51+E51-F51</f>
        <v>6691147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3553661000</v>
      </c>
      <c r="E52" s="25">
        <f>SUMIFS('Daftar Koreksi'!$H$5:$H$92,'Daftar Koreksi'!$D$5:$D$92,'3100'!A48,'Daftar Koreksi'!$G$5:$G$92,"Tanah",'Daftar Koreksi'!$H$5:$H$92,"&gt;0")</f>
        <v>0</v>
      </c>
      <c r="F52" s="25">
        <f>SUMIFS('Daftar Koreksi'!$H$5:$H$92,'Daftar Koreksi'!$D$5:$D$92,'3100'!A48,'Daftar Koreksi'!$G$5:$G$92,"Tanah",'Daftar Koreksi'!$H$5:$H$92,"&lt;0")-SUMIFS('Daftar Koreksi'!$H$5:$H$92,'Daftar Koreksi'!$D$5:$D$92,'3100'!A48,'Daftar Koreksi'!$G$5:$G$92,"Tanah",'Daftar Koreksi'!$H$5:$H$92,"&lt;0")-SUMIFS('Daftar Koreksi'!$H$5:$H$92,'Daftar Koreksi'!$D$5:$D$92,'3100'!A48,'Daftar Koreksi'!$G$5:$G$92,"Tanah",'Daftar Koreksi'!$H$5:$H$92,"&lt;0")</f>
        <v>0</v>
      </c>
      <c r="G52" s="17">
        <f t="shared" ref="G52:G68" si="2">D52+E52-F52</f>
        <v>3553661000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2153843617</v>
      </c>
      <c r="E53" s="25">
        <f>SUMIFS('Daftar Koreksi'!$H$5:$H$92,'Daftar Koreksi'!$D$5:$D$92,'3100'!A48,'Daftar Koreksi'!$G$5:$G$92,"Peralatan dan mesin",'Daftar Koreksi'!$H$5:$H$92,"&gt;0")</f>
        <v>0</v>
      </c>
      <c r="F53" s="25">
        <f>SUMIFS('Daftar Koreksi'!$H$5:$H$92,'Daftar Koreksi'!$D$5:$D$92,'3100'!A48,'Daftar Koreksi'!$G$5:$G$92,"Peralatan dan mesin",'Daftar Koreksi'!$H$5:$H$92,"&lt;0")-SUMIFS('Daftar Koreksi'!$H$5:$H$92,'Daftar Koreksi'!$D$5:$D$92,'3100'!A48,'Daftar Koreksi'!$G$5:$G$92,"Peralatan dan mesin",'Daftar Koreksi'!$H$5:$H$92,"&lt;0")-SUMIFS('Daftar Koreksi'!$H$5:$H$92,'Daftar Koreksi'!$D$5:$D$92,'3100'!A48,'Daftar Koreksi'!$G$5:$G$92,"Peralatan dan mesin",'Daftar Koreksi'!$H$5:$H$92,"&lt;0")</f>
        <v>0</v>
      </c>
      <c r="G53" s="17">
        <f t="shared" si="2"/>
        <v>2153843617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8540787200</v>
      </c>
      <c r="E54" s="25">
        <f>SUMIFS('Daftar Koreksi'!$H$5:$H$92,'Daftar Koreksi'!$D$5:$D$92,'3100'!A48,'Daftar Koreksi'!$G$5:$G$92,"Gedung dan Bangunan",'Daftar Koreksi'!$H$5:$H$92,"&gt;0")</f>
        <v>0</v>
      </c>
      <c r="F54" s="25">
        <f>SUMIFS('Daftar Koreksi'!$H$5:$H$92,'Daftar Koreksi'!$D$5:$D$92,'3100'!A48,'Daftar Koreksi'!$G$5:$G$92,"Gedung dan Bangunan",'Daftar Koreksi'!$H$5:$H$92,"&lt;0")-SUMIFS('Daftar Koreksi'!$H$5:$H$92,'Daftar Koreksi'!$D$5:$D$92,'3100'!A48,'Daftar Koreksi'!$G$5:$G$92,"Gedung dan Bangunan",'Daftar Koreksi'!$H$5:$H$92,"&lt;0")-SUMIFS('Daftar Koreksi'!$H$5:$H$92,'Daftar Koreksi'!$D$5:$D$92,'3100'!A48,'Daftar Koreksi'!$G$5:$G$92,"Gedung dan Bangunan",'Daftar Koreksi'!$H$5:$H$92,"&lt;0")</f>
        <v>0</v>
      </c>
      <c r="G54" s="17">
        <f t="shared" si="2"/>
        <v>8540787200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Koreksi'!$D$5:$D$92,'3100'!A48,'Daftar Koreksi'!$G$5:$G$92,"Jalan Irigasi Jaringan",'Daftar Koreksi'!$H$5:$H$92,"&gt;0")</f>
        <v>0</v>
      </c>
      <c r="F55" s="25">
        <f>SUMIFS('Daftar Koreksi'!$H$5:$H$92,'Daftar Koreksi'!$D$5:$D$92,'3100'!A48,'Daftar Koreksi'!$G$5:$G$92,"Jalan Irigasi Jaringan",'Daftar Koreksi'!$H$5:$H$92,"&lt;0")-SUMIFS('Daftar Koreksi'!$H$5:$H$92,'Daftar Koreksi'!$D$5:$D$92,'3100'!A48,'Daftar Koreksi'!$G$5:$G$92,"Jalan Irigasi Jaringan",'Daftar Koreksi'!$H$5:$H$92,"&lt;0")-SUMIFS('Daftar Koreksi'!$H$5:$H$92,'Daftar Koreksi'!$D$5:$D$92,'3100'!A48,'Daftar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19542584</v>
      </c>
      <c r="E56" s="25">
        <f>SUMIFS('Daftar Koreksi'!$H$5:$H$92,'Daftar Koreksi'!$D$5:$D$92,'3100'!A48,'Daftar Koreksi'!$G$5:$G$92,"Aset Tetap Lainnya",'Daftar Koreksi'!$H$5:$H$92,"&gt;0")</f>
        <v>0</v>
      </c>
      <c r="F56" s="25">
        <f>SUMIFS('Daftar Koreksi'!$H$5:$H$92,'Daftar Koreksi'!$D$5:$D$92,'3100'!A48,'Daftar Koreksi'!$G$5:$G$92,"Aset Tetap Lainnya",'Daftar Koreksi'!$H$5:$H$92,"&lt;0")-SUMIFS('Daftar Koreksi'!$H$5:$H$92,'Daftar Koreksi'!$D$5:$D$92,'3100'!A48,'Daftar Koreksi'!$G$5:$G$92,"Aset Tetap Lainnya",'Daftar Koreksi'!$H$5:$H$92,"&lt;0")-SUMIFS('Daftar Koreksi'!$H$5:$H$92,'Daftar Koreksi'!$D$5:$D$92,'3100'!A48,'Daftar Koreksi'!$G$5:$G$92,"Aset Tetap Lainnya",'Daftar Koreksi'!$H$5:$H$92,"&lt;0")</f>
        <v>0</v>
      </c>
      <c r="G56" s="17">
        <f t="shared" si="2"/>
        <v>19542584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Koreksi'!$D$5:$D$92,'3100'!A48,'Daftar Koreksi'!$G$5:$G$92,"Kontruksi Dalam Pengerjaan",'Daftar Koreksi'!$H$5:$H$92,"&gt;0")</f>
        <v>0</v>
      </c>
      <c r="F57" s="25">
        <f>SUMIFS('Daftar Koreksi'!$H$5:$H$92,'Daftar Koreksi'!$D$5:$D$92,'3100'!A48,'Daftar Koreksi'!$G$5:$G$92,"Kontruksi Dalam Pengerjaan",'Daftar Koreksi'!$H$5:$H$92,"&lt;0")-SUMIFS('Daftar Koreksi'!$H$5:$H$92,'Daftar Koreksi'!$D$5:$D$92,'3100'!A48,'Daftar Koreksi'!$G$5:$G$92,"Kontruksi Dalam Pengerjaan",'Daftar Koreksi'!$H$5:$H$92,"&lt;0")-SUMIFS('Daftar Koreksi'!$H$5:$H$92,'Daftar Koreksi'!$D$5:$D$92,'3100'!A48,'Daftar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17000000</v>
      </c>
      <c r="E58" s="25">
        <f>SUMIFS('Daftar Koreksi'!$H$5:$H$92,'Daftar Koreksi'!$D$5:$D$92,'3100'!A48,'Daftar Koreksi'!$G$5:$G$92,"Aset Tak Berwujud",'Daftar Koreksi'!$H$5:$H$92,"&gt;0")</f>
        <v>0</v>
      </c>
      <c r="F58" s="25">
        <f>SUMIFS('Daftar Koreksi'!$H$5:$H$92,'Daftar Koreksi'!$D$5:$D$92,'3100'!A48,'Daftar Koreksi'!$G$5:$G$92,"Aset Tak Berwujud",'Daftar Koreksi'!$H$5:$H$92,"&lt;0")-SUMIFS('Daftar Koreksi'!$H$5:$H$92,'Daftar Koreksi'!$D$5:$D$92,'3100'!A48,'Daftar Koreksi'!$G$5:$G$92,"Aset Tak Berwujud",'Daftar Koreksi'!$H$5:$H$92,"&lt;0")-SUMIFS('Daftar Koreksi'!$H$5:$H$92,'Daftar Koreksi'!$D$5:$D$92,'3100'!A48,'Daftar Koreksi'!$G$5:$G$92,"Aset Tak Berwujud",'Daftar Koreksi'!$H$5:$H$92,"&lt;0")</f>
        <v>0</v>
      </c>
      <c r="G58" s="17">
        <f t="shared" si="2"/>
        <v>17000000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4776000</v>
      </c>
      <c r="E59" s="25">
        <f>SUMIFS('Daftar Koreksi'!$H$5:$H$92,'Daftar Koreksi'!$D$5:$D$92,'3100'!A48,'Daftar Koreksi'!$G$5:$G$92,"Aset Henti Guna",'Daftar Koreksi'!$H$5:$H$92,"&gt;0")</f>
        <v>0</v>
      </c>
      <c r="F59" s="25">
        <f>SUMIFS('Daftar Koreksi'!$H$5:$H$92,'Daftar Koreksi'!$D$5:$D$92,'3100'!A48,'Daftar Koreksi'!$G$5:$G$92,"Aset Henti Guna",'Daftar Koreksi'!$H$5:$H$92,"&lt;0")-SUMIFS('Daftar Koreksi'!$H$5:$H$92,'Daftar Koreksi'!$D$5:$D$92,'3100'!A48,'Daftar Koreksi'!$G$5:$G$92,"Aset Henti Guna",'Daftar Koreksi'!$H$5:$H$92,"&lt;0")-SUMIFS('Daftar Koreksi'!$H$5:$H$92,'Daftar Koreksi'!$D$5:$D$92,'3100'!A48,'Daftar Koreksi'!$G$5:$G$92,"Aset Henti Guna",'Daftar Koreksi'!$H$5:$H$92,"&lt;0")</f>
        <v>0</v>
      </c>
      <c r="G59" s="17">
        <f t="shared" si="2"/>
        <v>4776000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14296301548</v>
      </c>
      <c r="E60" s="19">
        <f>SUM(E51:E59)</f>
        <v>0</v>
      </c>
      <c r="F60" s="19">
        <f>SUM(F51:F59)</f>
        <v>0</v>
      </c>
      <c r="G60" s="19">
        <f t="shared" si="2"/>
        <v>14296301548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-1960998882</v>
      </c>
      <c r="E61" s="25">
        <f>SUMIFS('Daftar Koreksi'!$I$5:$I$92,'Daftar Koreksi'!$D$5:$D$92,'3100'!A48,'Daftar Koreksi'!$G$5:$G$92,"Peralatan dan mesin",'Daftar Koreksi'!$I$5:$I$92,"&gt;0")</f>
        <v>0</v>
      </c>
      <c r="F61" s="25">
        <f>SUMIFS('Daftar Koreksi'!$I$5:$I$92,'Daftar Koreksi'!$D$5:$D$92,'3100'!A48,'Daftar Koreksi'!$G$5:$G$92,"Peralatan dan mesin",'Daftar Koreksi'!$I$5:$I$92,"&lt;0")-SUMIFS('Daftar Koreksi'!$I$5:$I$92,'Daftar Koreksi'!$D$5:$D$92,'3100'!A48,'Daftar Koreksi'!$G$5:$G$92,"Peralatan dan mesin",'Daftar Koreksi'!$I$5:$I$92,"&lt;0")-SUMIFS('Daftar Koreksi'!$I$5:$I$92,'Daftar Koreksi'!$D$5:$D$92,'3100'!A48,'Daftar Koreksi'!$G$5:$G$92,"Peralatan dan mesin",'Daftar Koreksi'!$I$5:$I$92,"&lt;0")</f>
        <v>0</v>
      </c>
      <c r="G61" s="17">
        <f t="shared" si="2"/>
        <v>-1960998882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-4476017523</v>
      </c>
      <c r="E62" s="25">
        <f>SUMIFS('Daftar Koreksi'!$I$5:$I$92,'Daftar Koreksi'!$D$5:$D$92,'3100'!A48,'Daftar Koreksi'!$G$5:$G$92,"Gedung dan Bangunan",'Daftar Koreksi'!$I$5:$I$92,"&gt;0")</f>
        <v>0</v>
      </c>
      <c r="F62" s="25">
        <f>SUMIFS('Daftar Koreksi'!$I$5:$I$92,'Daftar Koreksi'!$D$5:$D$92,'3100'!A48,'Daftar Koreksi'!$G$5:$G$92,"Gedung dan Bangunan",'Daftar Koreksi'!$I$5:$I$92,"&lt;0")-SUMIFS('Daftar Koreksi'!$I$5:$I$92,'Daftar Koreksi'!$D$5:$D$92,'3100'!A48,'Daftar Koreksi'!$G$5:$G$92,"Gedung dan Bangunan",'Daftar Koreksi'!$I$5:$I$92,"&lt;0")-SUMIFS('Daftar Koreksi'!$I$5:$I$92,'Daftar Koreksi'!$D$5:$D$92,'3100'!A48,'Daftar Koreksi'!$G$5:$G$92,"Gedung dan Bangunan",'Daftar Koreksi'!$I$5:$I$92,"&lt;0")</f>
        <v>0</v>
      </c>
      <c r="G62" s="17">
        <f t="shared" si="2"/>
        <v>-4476017523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Koreksi'!$D$5:$D$92,'3100'!A48,'Daftar Koreksi'!$G$5:$G$92,"Jalan Irigasi Jaringan",'Daftar Koreksi'!$I$5:$I$92,"&gt;0")</f>
        <v>0</v>
      </c>
      <c r="F63" s="25">
        <f>SUMIFS('Daftar Koreksi'!$I$5:$I$92,'Daftar Koreksi'!$D$5:$D$92,'3100'!A48,'Daftar Koreksi'!$G$5:$G$92,"Jalan Irigasi Jaringan",'Daftar Koreksi'!$I$5:$I$92,"&lt;0")-SUMIFS('Daftar Koreksi'!$I$5:$I$92,'Daftar Koreksi'!$D$5:$D$92,'3100'!A48,'Daftar Koreksi'!$G$5:$G$92,"Jalan Irigasi Jaringan",'Daftar Koreksi'!$I$5:$I$92,"&lt;0")-SUMIFS('Daftar Koreksi'!$I$5:$I$92,'Daftar Koreksi'!$D$5:$D$92,'3100'!A48,'Daftar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-14760000</v>
      </c>
      <c r="E64" s="25">
        <f>SUMIFS('Daftar Koreksi'!$I$5:$I$92,'Daftar Koreksi'!$D$5:$D$92,'3100'!A48,'Daftar Koreksi'!$G$5:$G$92,"Aset Tetap Lainnya",'Daftar Koreksi'!$I$5:$I$92,"&gt;0")</f>
        <v>0</v>
      </c>
      <c r="F64" s="25">
        <f>SUMIFS('Daftar Koreksi'!$I$5:$I$92,'Daftar Koreksi'!$D$5:$D$92,'3100'!A48,'Daftar Koreksi'!$G$5:$G$92,"Aset Tetap Lainnya",'Daftar Koreksi'!$I$5:$I$92,"&lt;0")-SUMIFS('Daftar Koreksi'!$I$5:$I$92,'Daftar Koreksi'!$D$5:$D$92,'3100'!A48,'Daftar Koreksi'!$G$5:$G$92,"Aset Tetap Lainnya",'Daftar Koreksi'!$I$5:$I$92,"&lt;0")-SUMIFS('Daftar Koreksi'!$I$5:$I$92,'Daftar Koreksi'!$D$5:$D$92,'3100'!A48,'Daftar Koreksi'!$G$5:$G$92,"Aset Tetap Lainnya",'Daftar Koreksi'!$I$5:$I$92,"&lt;0")</f>
        <v>0</v>
      </c>
      <c r="G64" s="17">
        <f t="shared" si="2"/>
        <v>-14760000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-4776000</v>
      </c>
      <c r="E65" s="25">
        <f>SUMIFS('Daftar Koreksi'!$I$5:$I$92,'Daftar Koreksi'!$D$5:$D$92,'3100'!A48,'Daftar Koreksi'!$G$5:$G$92,"Aset Henti Guna",'Daftar Koreksi'!$I$5:$I$92,"&gt;0")</f>
        <v>0</v>
      </c>
      <c r="F65" s="25">
        <f>SUMIFS('Daftar Koreksi'!$I$5:$I$92,'Daftar Koreksi'!$D$5:$D$92,'3100'!A48,'Daftar Koreksi'!$G$5:$G$92,"Aset Henti Guna",'Daftar Koreksi'!$I$5:$I$92,"&lt;0")-SUMIFS('Daftar Koreksi'!$I$5:$I$92,'Daftar Koreksi'!$D$5:$D$92,'3100'!A48,'Daftar Koreksi'!$G$5:$G$92,"Aset Henti Guna",'Daftar Koreksi'!$I$5:$I$92,"&lt;0")-SUMIFS('Daftar Koreksi'!$I$5:$I$92,'Daftar Koreksi'!$D$5:$D$92,'3100'!A48,'Daftar Koreksi'!$G$5:$G$92,"Aset Henti Guna",'Daftar Koreksi'!$I$5:$I$92,"&lt;0")</f>
        <v>0</v>
      </c>
      <c r="G65" s="17">
        <f t="shared" si="2"/>
        <v>-4776000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-6456552405</v>
      </c>
      <c r="E66" s="19">
        <f>SUM(E61:E65)</f>
        <v>0</v>
      </c>
      <c r="F66" s="19">
        <f>SUM(F61:F65)</f>
        <v>0</v>
      </c>
      <c r="G66" s="19">
        <f t="shared" si="2"/>
        <v>-6456552405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7839749143</v>
      </c>
      <c r="E67" s="19">
        <f>E66+E60</f>
        <v>0</v>
      </c>
      <c r="F67" s="19">
        <f>F66+F60</f>
        <v>0</v>
      </c>
      <c r="G67" s="19">
        <f t="shared" si="2"/>
        <v>7839749143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005013100402690000KD</v>
      </c>
      <c r="B70" s="11" t="str">
        <f>P4</f>
        <v>PA. Limboto</v>
      </c>
      <c r="C70" s="12" t="str">
        <f>A70&amp;" "&amp;B70</f>
        <v>005013100402690000KD PA. Limboto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0</v>
      </c>
      <c r="E73" s="25">
        <f>SUMIFS('Daftar Koreksi'!$H$5:$H$92,'Daftar Koreksi'!$D$5:$D$92,'3100'!A70,'Daftar Koreksi'!$G$5:$G$92,"Persediaan",'Daftar Koreksi'!$H$5:$H$92,"&gt;0")</f>
        <v>0</v>
      </c>
      <c r="F73" s="25">
        <f>SUMIFS('Daftar Koreksi'!$H$5:$H$92,'Daftar Koreksi'!$D$5:$D$92,'3100'!A70,'Daftar Koreksi'!$G$5:$G$92,"Persediaan",'Daftar Koreksi'!$H$5:$H$92,"&lt;0")-SUMIFS('Daftar Koreksi'!$H$5:$H$92,'Daftar Koreksi'!$D$5:$D$92,'3100'!A70,'Daftar Koreksi'!$G$5:$G$92,"Persediaan",'Daftar Koreksi'!$H$5:$H$92,"&lt;0")-SUMIFS('Daftar Koreksi'!$H$5:$H$92,'Daftar Koreksi'!$D$5:$D$92,'3100'!A70,'Daftar Koreksi'!$G$5:$G$92,"Persediaan",'Daftar Koreksi'!$H$5:$H$92,"&lt;0")</f>
        <v>0</v>
      </c>
      <c r="G73" s="17">
        <f>D73+E73-F73</f>
        <v>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606800000</v>
      </c>
      <c r="E74" s="25">
        <f>SUMIFS('Daftar Koreksi'!$H$5:$H$92,'Daftar Koreksi'!$D$5:$D$92,'3100'!A70,'Daftar Koreksi'!$G$5:$G$92,"Tanah",'Daftar Koreksi'!$H$5:$H$92,"&gt;0")</f>
        <v>0</v>
      </c>
      <c r="F74" s="25">
        <f>SUMIFS('Daftar Koreksi'!$H$5:$H$92,'Daftar Koreksi'!$D$5:$D$92,'3100'!A70,'Daftar Koreksi'!$G$5:$G$92,"Tanah",'Daftar Koreksi'!$H$5:$H$92,"&lt;0")-SUMIFS('Daftar Koreksi'!$H$5:$H$92,'Daftar Koreksi'!$D$5:$D$92,'3100'!A70,'Daftar Koreksi'!$G$5:$G$92,"Tanah",'Daftar Koreksi'!$H$5:$H$92,"&lt;0")-SUMIFS('Daftar Koreksi'!$H$5:$H$92,'Daftar Koreksi'!$D$5:$D$92,'3100'!A70,'Daftar Koreksi'!$G$5:$G$92,"Tanah",'Daftar Koreksi'!$H$5:$H$92,"&lt;0")</f>
        <v>0</v>
      </c>
      <c r="G74" s="17">
        <f t="shared" ref="G74:G90" si="3">D74+E74-F74</f>
        <v>606800000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1684986216</v>
      </c>
      <c r="E75" s="25">
        <f>SUMIFS('Daftar Koreksi'!$H$5:$H$92,'Daftar Koreksi'!$D$5:$D$92,'3100'!A70,'Daftar Koreksi'!$G$5:$G$92,"Peralatan dan mesin",'Daftar Koreksi'!$H$5:$H$92,"&gt;0")</f>
        <v>0</v>
      </c>
      <c r="F75" s="25">
        <f>SUMIFS('Daftar Koreksi'!$H$5:$H$92,'Daftar Koreksi'!$D$5:$D$92,'3100'!A70,'Daftar Koreksi'!$G$5:$G$92,"Peralatan dan mesin",'Daftar Koreksi'!$H$5:$H$92,"&lt;0")-SUMIFS('Daftar Koreksi'!$H$5:$H$92,'Daftar Koreksi'!$D$5:$D$92,'3100'!A70,'Daftar Koreksi'!$G$5:$G$92,"Peralatan dan mesin",'Daftar Koreksi'!$H$5:$H$92,"&lt;0")-SUMIFS('Daftar Koreksi'!$H$5:$H$92,'Daftar Koreksi'!$D$5:$D$92,'3100'!A70,'Daftar Koreksi'!$G$5:$G$92,"Peralatan dan mesin",'Daftar Koreksi'!$H$5:$H$92,"&lt;0")</f>
        <v>0</v>
      </c>
      <c r="G75" s="17">
        <f t="shared" si="3"/>
        <v>1684986216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4954192800</v>
      </c>
      <c r="E76" s="25">
        <f>SUMIFS('Daftar Koreksi'!$H$5:$H$92,'Daftar Koreksi'!$D$5:$D$92,'3100'!A70,'Daftar Koreksi'!$G$5:$G$92,"Gedung dan Bangunan",'Daftar Koreksi'!$H$5:$H$92,"&gt;0")</f>
        <v>0</v>
      </c>
      <c r="F76" s="25">
        <f>SUMIFS('Daftar Koreksi'!$H$5:$H$92,'Daftar Koreksi'!$D$5:$D$92,'3100'!A70,'Daftar Koreksi'!$G$5:$G$92,"Gedung dan Bangunan",'Daftar Koreksi'!$H$5:$H$92,"&lt;0")-SUMIFS('Daftar Koreksi'!$H$5:$H$92,'Daftar Koreksi'!$D$5:$D$92,'3100'!A70,'Daftar Koreksi'!$G$5:$G$92,"Gedung dan Bangunan",'Daftar Koreksi'!$H$5:$H$92,"&lt;0")-SUMIFS('Daftar Koreksi'!$H$5:$H$92,'Daftar Koreksi'!$D$5:$D$92,'3100'!A70,'Daftar Koreksi'!$G$5:$G$92,"Gedung dan Bangunan",'Daftar Koreksi'!$H$5:$H$92,"&lt;0")</f>
        <v>0</v>
      </c>
      <c r="G76" s="17">
        <f t="shared" si="3"/>
        <v>4954192800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331340000</v>
      </c>
      <c r="E77" s="25">
        <f>SUMIFS('Daftar Koreksi'!$H$5:$H$92,'Daftar Koreksi'!$D$5:$D$92,'3100'!A70,'Daftar Koreksi'!$G$5:$G$92,"Jalan Irigasi Jaringan",'Daftar Koreksi'!$H$5:$H$92,"&gt;0")</f>
        <v>0</v>
      </c>
      <c r="F77" s="25">
        <f>SUMIFS('Daftar Koreksi'!$H$5:$H$92,'Daftar Koreksi'!$D$5:$D$92,'3100'!A70,'Daftar Koreksi'!$G$5:$G$92,"Jalan Irigasi Jaringan",'Daftar Koreksi'!$H$5:$H$92,"&lt;0")-SUMIFS('Daftar Koreksi'!$H$5:$H$92,'Daftar Koreksi'!$D$5:$D$92,'3100'!A70,'Daftar Koreksi'!$G$5:$G$92,"Jalan Irigasi Jaringan",'Daftar Koreksi'!$H$5:$H$92,"&lt;0")-SUMIFS('Daftar Koreksi'!$H$5:$H$92,'Daftar Koreksi'!$D$5:$D$92,'3100'!A70,'Daftar Koreksi'!$G$5:$G$92,"Jalan Irigasi Jaringan",'Daftar Koreksi'!$H$5:$H$92,"&lt;0")</f>
        <v>0</v>
      </c>
      <c r="G77" s="17">
        <f t="shared" si="3"/>
        <v>331340000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62926000</v>
      </c>
      <c r="E78" s="25">
        <f>SUMIFS('Daftar Koreksi'!$H$5:$H$92,'Daftar Koreksi'!$D$5:$D$92,'3100'!A70,'Daftar Koreksi'!$G$5:$G$92,"Aset Tetap Lainnya",'Daftar Koreksi'!$H$5:$H$92,"&gt;0")</f>
        <v>0</v>
      </c>
      <c r="F78" s="25">
        <f>SUMIFS('Daftar Koreksi'!$H$5:$H$92,'Daftar Koreksi'!$D$5:$D$92,'3100'!A70,'Daftar Koreksi'!$G$5:$G$92,"Aset Tetap Lainnya",'Daftar Koreksi'!$H$5:$H$92,"&lt;0")-SUMIFS('Daftar Koreksi'!$H$5:$H$92,'Daftar Koreksi'!$D$5:$D$92,'3100'!A70,'Daftar Koreksi'!$G$5:$G$92,"Aset Tetap Lainnya",'Daftar Koreksi'!$H$5:$H$92,"&lt;0")-SUMIFS('Daftar Koreksi'!$H$5:$H$92,'Daftar Koreksi'!$D$5:$D$92,'3100'!A70,'Daftar Koreksi'!$G$5:$G$92,"Aset Tetap Lainnya",'Daftar Koreksi'!$H$5:$H$92,"&lt;0")</f>
        <v>0</v>
      </c>
      <c r="G78" s="17">
        <f t="shared" si="3"/>
        <v>62926000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Koreksi'!$D$5:$D$92,'3100'!A70,'Daftar Koreksi'!$G$5:$G$92,"Kontruksi Dalam Pengerjaan",'Daftar Koreksi'!$H$5:$H$92,"&gt;0")</f>
        <v>0</v>
      </c>
      <c r="F79" s="25">
        <f>SUMIFS('Daftar Koreksi'!$H$5:$H$92,'Daftar Koreksi'!$D$5:$D$92,'3100'!A70,'Daftar Koreksi'!$G$5:$G$92,"Kontruksi Dalam Pengerjaan",'Daftar Koreksi'!$H$5:$H$92,"&lt;0")-SUMIFS('Daftar Koreksi'!$H$5:$H$92,'Daftar Koreksi'!$D$5:$D$92,'3100'!A70,'Daftar Koreksi'!$G$5:$G$92,"Kontruksi Dalam Pengerjaan",'Daftar Koreksi'!$H$5:$H$92,"&lt;0")-SUMIFS('Daftar Koreksi'!$H$5:$H$92,'Daftar Koreksi'!$D$5:$D$92,'3100'!A70,'Daftar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Koreksi'!$D$5:$D$92,'3100'!A70,'Daftar Koreksi'!$G$5:$G$92,"Aset Tak Berwujud",'Daftar Koreksi'!$H$5:$H$92,"&gt;0")</f>
        <v>0</v>
      </c>
      <c r="F80" s="25">
        <f>SUMIFS('Daftar Koreksi'!$H$5:$H$92,'Daftar Koreksi'!$D$5:$D$92,'3100'!A70,'Daftar Koreksi'!$G$5:$G$92,"Aset Tak Berwujud",'Daftar Koreksi'!$H$5:$H$92,"&lt;0")-SUMIFS('Daftar Koreksi'!$H$5:$H$92,'Daftar Koreksi'!$D$5:$D$92,'3100'!A70,'Daftar Koreksi'!$G$5:$G$92,"Aset Tak Berwujud",'Daftar Koreksi'!$H$5:$H$92,"&lt;0")-SUMIFS('Daftar Koreksi'!$H$5:$H$92,'Daftar Koreksi'!$D$5:$D$92,'3100'!A70,'Daftar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Koreksi'!$D$5:$D$92,'3100'!A70,'Daftar Koreksi'!$G$5:$G$92,"Aset Henti Guna",'Daftar Koreksi'!$H$5:$H$92,"&gt;0")</f>
        <v>0</v>
      </c>
      <c r="F81" s="25">
        <f>SUMIFS('Daftar Koreksi'!$H$5:$H$92,'Daftar Koreksi'!$D$5:$D$92,'3100'!A70,'Daftar Koreksi'!$G$5:$G$92,"Aset Henti Guna",'Daftar Koreksi'!$H$5:$H$92,"&lt;0")-SUMIFS('Daftar Koreksi'!$H$5:$H$92,'Daftar Koreksi'!$D$5:$D$92,'3100'!A70,'Daftar Koreksi'!$G$5:$G$92,"Aset Henti Guna",'Daftar Koreksi'!$H$5:$H$92,"&lt;0")-SUMIFS('Daftar Koreksi'!$H$5:$H$92,'Daftar Koreksi'!$D$5:$D$92,'3100'!A70,'Daftar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7640245016</v>
      </c>
      <c r="E82" s="19">
        <f>SUM(E73:E81)</f>
        <v>0</v>
      </c>
      <c r="F82" s="19">
        <f>SUM(F73:F81)</f>
        <v>0</v>
      </c>
      <c r="G82" s="19">
        <f t="shared" si="3"/>
        <v>7640245016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-1210593955</v>
      </c>
      <c r="E83" s="25">
        <f>SUMIFS('Daftar Koreksi'!$I$5:$I$92,'Daftar Koreksi'!$D$5:$D$92,'3100'!A70,'Daftar Koreksi'!$G$5:$G$92,"Peralatan dan mesin",'Daftar Koreksi'!$I$5:$I$92,"&gt;0")</f>
        <v>0</v>
      </c>
      <c r="F83" s="25">
        <f>SUMIFS('Daftar Koreksi'!$I$5:$I$92,'Daftar Koreksi'!$D$5:$D$92,'3100'!A70,'Daftar Koreksi'!$G$5:$G$92,"Peralatan dan mesin",'Daftar Koreksi'!$I$5:$I$92,"&lt;0")-SUMIFS('Daftar Koreksi'!$I$5:$I$92,'Daftar Koreksi'!$D$5:$D$92,'3100'!A70,'Daftar Koreksi'!$G$5:$G$92,"Peralatan dan mesin",'Daftar Koreksi'!$I$5:$I$92,"&lt;0")-SUMIFS('Daftar Koreksi'!$I$5:$I$92,'Daftar Koreksi'!$D$5:$D$92,'3100'!A70,'Daftar Koreksi'!$G$5:$G$92,"Peralatan dan mesin",'Daftar Koreksi'!$I$5:$I$92,"&lt;0")</f>
        <v>0</v>
      </c>
      <c r="G83" s="17">
        <f t="shared" si="3"/>
        <v>-1210593955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-378707192</v>
      </c>
      <c r="E84" s="25">
        <f>SUMIFS('Daftar Koreksi'!$I$5:$I$92,'Daftar Koreksi'!$D$5:$D$92,'3100'!A70,'Daftar Koreksi'!$G$5:$G$92,"Gedung dan Bangunan",'Daftar Koreksi'!$I$5:$I$92,"&gt;0")</f>
        <v>0</v>
      </c>
      <c r="F84" s="25">
        <f>SUMIFS('Daftar Koreksi'!$I$5:$I$92,'Daftar Koreksi'!$D$5:$D$92,'3100'!A70,'Daftar Koreksi'!$G$5:$G$92,"Gedung dan Bangunan",'Daftar Koreksi'!$I$5:$I$92,"&lt;0")-SUMIFS('Daftar Koreksi'!$I$5:$I$92,'Daftar Koreksi'!$D$5:$D$92,'3100'!A70,'Daftar Koreksi'!$G$5:$G$92,"Gedung dan Bangunan",'Daftar Koreksi'!$I$5:$I$92,"&lt;0")-SUMIFS('Daftar Koreksi'!$I$5:$I$92,'Daftar Koreksi'!$D$5:$D$92,'3100'!A70,'Daftar Koreksi'!$G$5:$G$92,"Gedung dan Bangunan",'Daftar Koreksi'!$I$5:$I$92,"&lt;0")</f>
        <v>0</v>
      </c>
      <c r="G84" s="17">
        <f t="shared" si="3"/>
        <v>-378707192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-49822046</v>
      </c>
      <c r="E85" s="25">
        <f>SUMIFS('Daftar Koreksi'!$I$5:$I$92,'Daftar Koreksi'!$D$5:$D$92,'3100'!A70,'Daftar Koreksi'!$G$5:$G$92,"Jalan Irigasi Jaringan",'Daftar Koreksi'!$I$5:$I$92,"&gt;0")</f>
        <v>0</v>
      </c>
      <c r="F85" s="25">
        <f>SUMIFS('Daftar Koreksi'!$I$5:$I$92,'Daftar Koreksi'!$D$5:$D$92,'3100'!A70,'Daftar Koreksi'!$G$5:$G$92,"Jalan Irigasi Jaringan",'Daftar Koreksi'!$I$5:$I$92,"&lt;0")-SUMIFS('Daftar Koreksi'!$I$5:$I$92,'Daftar Koreksi'!$D$5:$D$92,'3100'!A70,'Daftar Koreksi'!$G$5:$G$92,"Jalan Irigasi Jaringan",'Daftar Koreksi'!$I$5:$I$92,"&lt;0")-SUMIFS('Daftar Koreksi'!$I$5:$I$92,'Daftar Koreksi'!$D$5:$D$92,'3100'!A70,'Daftar Koreksi'!$G$5:$G$92,"Jalan Irigasi Jaringan",'Daftar Koreksi'!$I$5:$I$92,"&lt;0")</f>
        <v>0</v>
      </c>
      <c r="G85" s="17">
        <f t="shared" si="3"/>
        <v>-49822046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Koreksi'!$D$5:$D$92,'3100'!A70,'Daftar Koreksi'!$G$5:$G$92,"Aset Tetap Lainnya",'Daftar Koreksi'!$I$5:$I$92,"&gt;0")</f>
        <v>0</v>
      </c>
      <c r="F86" s="25">
        <f>SUMIFS('Daftar Koreksi'!$I$5:$I$92,'Daftar Koreksi'!$D$5:$D$92,'3100'!A70,'Daftar Koreksi'!$G$5:$G$92,"Aset Tetap Lainnya",'Daftar Koreksi'!$I$5:$I$92,"&lt;0")-SUMIFS('Daftar Koreksi'!$I$5:$I$92,'Daftar Koreksi'!$D$5:$D$92,'3100'!A70,'Daftar Koreksi'!$G$5:$G$92,"Aset Tetap Lainnya",'Daftar Koreksi'!$I$5:$I$92,"&lt;0")-SUMIFS('Daftar Koreksi'!$I$5:$I$92,'Daftar Koreksi'!$D$5:$D$92,'3100'!A70,'Daftar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Koreksi'!$D$5:$D$92,'3100'!A70,'Daftar Koreksi'!$G$5:$G$92,"Aset Henti Guna",'Daftar Koreksi'!$I$5:$I$92,"&gt;0")</f>
        <v>0</v>
      </c>
      <c r="F87" s="25">
        <f>SUMIFS('Daftar Koreksi'!$I$5:$I$92,'Daftar Koreksi'!$D$5:$D$92,'3100'!A70,'Daftar Koreksi'!$G$5:$G$92,"Aset Henti Guna",'Daftar Koreksi'!$I$5:$I$92,"&lt;0")-SUMIFS('Daftar Koreksi'!$I$5:$I$92,'Daftar Koreksi'!$D$5:$D$92,'3100'!A70,'Daftar Koreksi'!$G$5:$G$92,"Aset Henti Guna",'Daftar Koreksi'!$I$5:$I$92,"&lt;0")-SUMIFS('Daftar Koreksi'!$I$5:$I$92,'Daftar Koreksi'!$D$5:$D$92,'3100'!A70,'Daftar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-1639123193</v>
      </c>
      <c r="E88" s="19">
        <f>SUM(E83:E87)</f>
        <v>0</v>
      </c>
      <c r="F88" s="19">
        <f>SUM(F83:F87)</f>
        <v>0</v>
      </c>
      <c r="G88" s="19">
        <f t="shared" si="3"/>
        <v>-1639123193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6001121823</v>
      </c>
      <c r="E89" s="19">
        <f>E88+E82</f>
        <v>0</v>
      </c>
      <c r="F89" s="19">
        <f>F88+F82</f>
        <v>0</v>
      </c>
      <c r="G89" s="19">
        <f t="shared" si="3"/>
        <v>6001121823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005013100440734000KD</v>
      </c>
      <c r="B92" s="11" t="str">
        <f>P5</f>
        <v>PTA. Gorontalo</v>
      </c>
      <c r="C92" s="12" t="str">
        <f>A92&amp;" "&amp;B92</f>
        <v>005013100440734000KD PTA. Gorontalo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201500</v>
      </c>
      <c r="E95" s="25">
        <f>SUMIFS('Daftar Koreksi'!$H$5:$H$92,'Daftar Koreksi'!$D$5:$D$92,'3100'!A92,'Daftar Koreksi'!$G$5:$G$92,"Persediaan",'Daftar Koreksi'!$H$5:$H$92,"&gt;0")</f>
        <v>0</v>
      </c>
      <c r="F95" s="25">
        <f>SUMIFS('Daftar Koreksi'!$H$5:$H$92,'Daftar Koreksi'!$D$5:$D$92,'3100'!A92,'Daftar Koreksi'!$G$5:$G$92,"Persediaan",'Daftar Koreksi'!$H$5:$H$92,"&lt;0")-SUMIFS('Daftar Koreksi'!$H$5:$H$92,'Daftar Koreksi'!$D$5:$D$92,'3100'!A92,'Daftar Koreksi'!$G$5:$G$92,"Persediaan",'Daftar Koreksi'!$H$5:$H$92,"&lt;0")-SUMIFS('Daftar Koreksi'!$H$5:$H$92,'Daftar Koreksi'!$D$5:$D$92,'3100'!A92,'Daftar Koreksi'!$G$5:$G$92,"Persediaan",'Daftar Koreksi'!$H$5:$H$92,"&lt;0")</f>
        <v>0</v>
      </c>
      <c r="G95" s="17">
        <f>D95+E95-F95</f>
        <v>201500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1796595000</v>
      </c>
      <c r="E96" s="25">
        <f>SUMIFS('Daftar Koreksi'!$H$5:$H$92,'Daftar Koreksi'!$D$5:$D$92,'3100'!A92,'Daftar Koreksi'!$G$5:$G$92,"Tanah",'Daftar Koreksi'!$H$5:$H$92,"&gt;0")</f>
        <v>0</v>
      </c>
      <c r="F96" s="25">
        <f>SUMIFS('Daftar Koreksi'!$H$5:$H$92,'Daftar Koreksi'!$D$5:$D$92,'3100'!A92,'Daftar Koreksi'!$G$5:$G$92,"Tanah",'Daftar Koreksi'!$H$5:$H$92,"&lt;0")-SUMIFS('Daftar Koreksi'!$H$5:$H$92,'Daftar Koreksi'!$D$5:$D$92,'3100'!A92,'Daftar Koreksi'!$G$5:$G$92,"Tanah",'Daftar Koreksi'!$H$5:$H$92,"&lt;0")-SUMIFS('Daftar Koreksi'!$H$5:$H$92,'Daftar Koreksi'!$D$5:$D$92,'3100'!A92,'Daftar Koreksi'!$G$5:$G$92,"Tanah",'Daftar Koreksi'!$H$5:$H$92,"&lt;0")</f>
        <v>0</v>
      </c>
      <c r="G96" s="17">
        <f t="shared" ref="G96:G112" si="4">D96+E96-F96</f>
        <v>1796595000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3224219551</v>
      </c>
      <c r="E97" s="25">
        <f>SUMIFS('Daftar Koreksi'!$H$5:$H$92,'Daftar Koreksi'!$D$5:$D$92,'3100'!A92,'Daftar Koreksi'!$G$5:$G$92,"Peralatan dan mesin",'Daftar Koreksi'!$H$5:$H$92,"&gt;0")</f>
        <v>0</v>
      </c>
      <c r="F97" s="25">
        <f>SUMIFS('Daftar Koreksi'!$H$5:$H$92,'Daftar Koreksi'!$D$5:$D$92,'3100'!A92,'Daftar Koreksi'!$G$5:$G$92,"Peralatan dan mesin",'Daftar Koreksi'!$H$5:$H$92,"&lt;0")-SUMIFS('Daftar Koreksi'!$H$5:$H$92,'Daftar Koreksi'!$D$5:$D$92,'3100'!A92,'Daftar Koreksi'!$G$5:$G$92,"Peralatan dan mesin",'Daftar Koreksi'!$H$5:$H$92,"&lt;0")-SUMIFS('Daftar Koreksi'!$H$5:$H$92,'Daftar Koreksi'!$D$5:$D$92,'3100'!A92,'Daftar Koreksi'!$G$5:$G$92,"Peralatan dan mesin",'Daftar Koreksi'!$H$5:$H$92,"&lt;0")</f>
        <v>0</v>
      </c>
      <c r="G97" s="17">
        <f t="shared" si="4"/>
        <v>3224219551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13269173212</v>
      </c>
      <c r="E98" s="25">
        <f>SUMIFS('Daftar Koreksi'!$H$5:$H$92,'Daftar Koreksi'!$D$5:$D$92,'3100'!A92,'Daftar Koreksi'!$G$5:$G$92,"Gedung dan Bangunan",'Daftar Koreksi'!$H$5:$H$92,"&gt;0")</f>
        <v>0</v>
      </c>
      <c r="F98" s="25">
        <f>SUMIFS('Daftar Koreksi'!$H$5:$H$92,'Daftar Koreksi'!$D$5:$D$92,'3100'!A92,'Daftar Koreksi'!$G$5:$G$92,"Gedung dan Bangunan",'Daftar Koreksi'!$H$5:$H$92,"&lt;0")-SUMIFS('Daftar Koreksi'!$H$5:$H$92,'Daftar Koreksi'!$D$5:$D$92,'3100'!A92,'Daftar Koreksi'!$G$5:$G$92,"Gedung dan Bangunan",'Daftar Koreksi'!$H$5:$H$92,"&lt;0")-SUMIFS('Daftar Koreksi'!$H$5:$H$92,'Daftar Koreksi'!$D$5:$D$92,'3100'!A92,'Daftar Koreksi'!$G$5:$G$92,"Gedung dan Bangunan",'Daftar Koreksi'!$H$5:$H$92,"&lt;0")</f>
        <v>0</v>
      </c>
      <c r="G98" s="17">
        <f t="shared" si="4"/>
        <v>13269173212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453550000</v>
      </c>
      <c r="E99" s="25">
        <f>SUMIFS('Daftar Koreksi'!$H$5:$H$92,'Daftar Koreksi'!$D$5:$D$92,'3100'!A92,'Daftar Koreksi'!$G$5:$G$92,"Jalan Irigasi Jaringan",'Daftar Koreksi'!$H$5:$H$92,"&gt;0")</f>
        <v>0</v>
      </c>
      <c r="F99" s="25">
        <f>SUMIFS('Daftar Koreksi'!$H$5:$H$92,'Daftar Koreksi'!$D$5:$D$92,'3100'!A92,'Daftar Koreksi'!$G$5:$G$92,"Jalan Irigasi Jaringan",'Daftar Koreksi'!$H$5:$H$92,"&lt;0")-SUMIFS('Daftar Koreksi'!$H$5:$H$92,'Daftar Koreksi'!$D$5:$D$92,'3100'!A92,'Daftar Koreksi'!$G$5:$G$92,"Jalan Irigasi Jaringan",'Daftar Koreksi'!$H$5:$H$92,"&lt;0")-SUMIFS('Daftar Koreksi'!$H$5:$H$92,'Daftar Koreksi'!$D$5:$D$92,'3100'!A92,'Daftar Koreksi'!$G$5:$G$92,"Jalan Irigasi Jaringan",'Daftar Koreksi'!$H$5:$H$92,"&lt;0")</f>
        <v>0</v>
      </c>
      <c r="G99" s="17">
        <f t="shared" si="4"/>
        <v>453550000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44279370</v>
      </c>
      <c r="E100" s="25">
        <f>SUMIFS('Daftar Koreksi'!$H$5:$H$92,'Daftar Koreksi'!$D$5:$D$92,'3100'!A92,'Daftar Koreksi'!$G$5:$G$92,"Aset Tetap Lainnya",'Daftar Koreksi'!$H$5:$H$92,"&gt;0")</f>
        <v>0</v>
      </c>
      <c r="F100" s="25">
        <f>SUMIFS('Daftar Koreksi'!$H$5:$H$92,'Daftar Koreksi'!$D$5:$D$92,'3100'!A92,'Daftar Koreksi'!$G$5:$G$92,"Aset Tetap Lainnya",'Daftar Koreksi'!$H$5:$H$92,"&lt;0")-SUMIFS('Daftar Koreksi'!$H$5:$H$92,'Daftar Koreksi'!$D$5:$D$92,'3100'!A92,'Daftar Koreksi'!$G$5:$G$92,"Aset Tetap Lainnya",'Daftar Koreksi'!$H$5:$H$92,"&lt;0")-SUMIFS('Daftar Koreksi'!$H$5:$H$92,'Daftar Koreksi'!$D$5:$D$92,'3100'!A92,'Daftar Koreksi'!$G$5:$G$92,"Aset Tetap Lainnya",'Daftar Koreksi'!$H$5:$H$92,"&lt;0")</f>
        <v>0</v>
      </c>
      <c r="G100" s="17">
        <f t="shared" si="4"/>
        <v>44279370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Koreksi'!$D$5:$D$92,'3100'!A92,'Daftar Koreksi'!$G$5:$G$92,"Kontruksi Dalam Pengerjaan",'Daftar Koreksi'!$H$5:$H$92,"&gt;0")</f>
        <v>0</v>
      </c>
      <c r="F101" s="25">
        <f>SUMIFS('Daftar Koreksi'!$H$5:$H$92,'Daftar Koreksi'!$D$5:$D$92,'3100'!A92,'Daftar Koreksi'!$G$5:$G$92,"Kontruksi Dalam Pengerjaan",'Daftar Koreksi'!$H$5:$H$92,"&lt;0")-SUMIFS('Daftar Koreksi'!$H$5:$H$92,'Daftar Koreksi'!$D$5:$D$92,'3100'!A92,'Daftar Koreksi'!$G$5:$G$92,"Kontruksi Dalam Pengerjaan",'Daftar Koreksi'!$H$5:$H$92,"&lt;0")-SUMIFS('Daftar Koreksi'!$H$5:$H$92,'Daftar Koreksi'!$D$5:$D$92,'3100'!A92,'Daftar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19655000</v>
      </c>
      <c r="E102" s="25">
        <f>SUMIFS('Daftar Koreksi'!$H$5:$H$92,'Daftar Koreksi'!$D$5:$D$92,'3100'!A92,'Daftar Koreksi'!$G$5:$G$92,"Aset Tak Berwujud",'Daftar Koreksi'!$H$5:$H$92,"&gt;0")</f>
        <v>0</v>
      </c>
      <c r="F102" s="25">
        <f>SUMIFS('Daftar Koreksi'!$H$5:$H$92,'Daftar Koreksi'!$D$5:$D$92,'3100'!A92,'Daftar Koreksi'!$G$5:$G$92,"Aset Tak Berwujud",'Daftar Koreksi'!$H$5:$H$92,"&lt;0")-SUMIFS('Daftar Koreksi'!$H$5:$H$92,'Daftar Koreksi'!$D$5:$D$92,'3100'!A92,'Daftar Koreksi'!$G$5:$G$92,"Aset Tak Berwujud",'Daftar Koreksi'!$H$5:$H$92,"&lt;0")-SUMIFS('Daftar Koreksi'!$H$5:$H$92,'Daftar Koreksi'!$D$5:$D$92,'3100'!A92,'Daftar Koreksi'!$G$5:$G$92,"Aset Tak Berwujud",'Daftar Koreksi'!$H$5:$H$92,"&lt;0")</f>
        <v>0</v>
      </c>
      <c r="G102" s="17">
        <f t="shared" si="4"/>
        <v>19655000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412379000</v>
      </c>
      <c r="E103" s="25">
        <f>SUMIFS('Daftar Koreksi'!$H$5:$H$92,'Daftar Koreksi'!$D$5:$D$92,'3100'!A92,'Daftar Koreksi'!$G$5:$G$92,"Aset Henti Guna",'Daftar Koreksi'!$H$5:$H$92,"&gt;0")</f>
        <v>0</v>
      </c>
      <c r="F103" s="25">
        <f>SUMIFS('Daftar Koreksi'!$H$5:$H$92,'Daftar Koreksi'!$D$5:$D$92,'3100'!A92,'Daftar Koreksi'!$G$5:$G$92,"Aset Henti Guna",'Daftar Koreksi'!$H$5:$H$92,"&lt;0")-SUMIFS('Daftar Koreksi'!$H$5:$H$92,'Daftar Koreksi'!$D$5:$D$92,'3100'!A92,'Daftar Koreksi'!$G$5:$G$92,"Aset Henti Guna",'Daftar Koreksi'!$H$5:$H$92,"&lt;0")-SUMIFS('Daftar Koreksi'!$H$5:$H$92,'Daftar Koreksi'!$D$5:$D$92,'3100'!A92,'Daftar Koreksi'!$G$5:$G$92,"Aset Henti Guna",'Daftar Koreksi'!$H$5:$H$92,"&lt;0")</f>
        <v>0</v>
      </c>
      <c r="G103" s="17">
        <f t="shared" si="4"/>
        <v>412379000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19220052633</v>
      </c>
      <c r="E104" s="19">
        <f>SUM(E95:E103)</f>
        <v>0</v>
      </c>
      <c r="F104" s="19">
        <f>SUM(F95:F103)</f>
        <v>0</v>
      </c>
      <c r="G104" s="19">
        <f t="shared" si="4"/>
        <v>19220052633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-2736728077</v>
      </c>
      <c r="E105" s="25">
        <f>SUMIFS('Daftar Koreksi'!$I$5:$I$92,'Daftar Koreksi'!$D$5:$D$92,'3100'!A92,'Daftar Koreksi'!$G$5:$G$92,"Peralatan dan mesin",'Daftar Koreksi'!$I$5:$I$92,"&gt;0")</f>
        <v>0</v>
      </c>
      <c r="F105" s="25">
        <f>SUMIFS('Daftar Koreksi'!$I$5:$I$92,'Daftar Koreksi'!$D$5:$D$92,'3100'!A92,'Daftar Koreksi'!$G$5:$G$92,"Peralatan dan mesin",'Daftar Koreksi'!$I$5:$I$92,"&lt;0")-SUMIFS('Daftar Koreksi'!$I$5:$I$92,'Daftar Koreksi'!$D$5:$D$92,'3100'!A92,'Daftar Koreksi'!$G$5:$G$92,"Peralatan dan mesin",'Daftar Koreksi'!$I$5:$I$92,"&lt;0")-SUMIFS('Daftar Koreksi'!$I$5:$I$92,'Daftar Koreksi'!$D$5:$D$92,'3100'!A92,'Daftar Koreksi'!$G$5:$G$92,"Peralatan dan mesin",'Daftar Koreksi'!$I$5:$I$92,"&lt;0")</f>
        <v>0</v>
      </c>
      <c r="G105" s="17">
        <f t="shared" si="4"/>
        <v>-2736728077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-1609653098</v>
      </c>
      <c r="E106" s="25">
        <f>SUMIFS('Daftar Koreksi'!$I$5:$I$92,'Daftar Koreksi'!$D$5:$D$92,'3100'!A92,'Daftar Koreksi'!$G$5:$G$92,"Gedung dan Bangunan",'Daftar Koreksi'!$I$5:$I$92,"&gt;0")</f>
        <v>0</v>
      </c>
      <c r="F106" s="25">
        <f>SUMIFS('Daftar Koreksi'!$I$5:$I$92,'Daftar Koreksi'!$D$5:$D$92,'3100'!A92,'Daftar Koreksi'!$G$5:$G$92,"Gedung dan Bangunan",'Daftar Koreksi'!$I$5:$I$92,"&lt;0")-SUMIFS('Daftar Koreksi'!$I$5:$I$92,'Daftar Koreksi'!$D$5:$D$92,'3100'!A92,'Daftar Koreksi'!$G$5:$G$92,"Gedung dan Bangunan",'Daftar Koreksi'!$I$5:$I$92,"&lt;0")-SUMIFS('Daftar Koreksi'!$I$5:$I$92,'Daftar Koreksi'!$D$5:$D$92,'3100'!A92,'Daftar Koreksi'!$G$5:$G$92,"Gedung dan Bangunan",'Daftar Koreksi'!$I$5:$I$92,"&lt;0")</f>
        <v>0</v>
      </c>
      <c r="G106" s="17">
        <f t="shared" si="4"/>
        <v>-1609653098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-154945000</v>
      </c>
      <c r="E107" s="25">
        <f>SUMIFS('Daftar Koreksi'!$I$5:$I$92,'Daftar Koreksi'!$D$5:$D$92,'3100'!A92,'Daftar Koreksi'!$G$5:$G$92,"Jalan Irigasi Jaringan",'Daftar Koreksi'!$I$5:$I$92,"&gt;0")</f>
        <v>0</v>
      </c>
      <c r="F107" s="25">
        <f>SUMIFS('Daftar Koreksi'!$I$5:$I$92,'Daftar Koreksi'!$D$5:$D$92,'3100'!A92,'Daftar Koreksi'!$G$5:$G$92,"Jalan Irigasi Jaringan",'Daftar Koreksi'!$I$5:$I$92,"&lt;0")-SUMIFS('Daftar Koreksi'!$I$5:$I$92,'Daftar Koreksi'!$D$5:$D$92,'3100'!A92,'Daftar Koreksi'!$G$5:$G$92,"Jalan Irigasi Jaringan",'Daftar Koreksi'!$I$5:$I$92,"&lt;0")-SUMIFS('Daftar Koreksi'!$I$5:$I$92,'Daftar Koreksi'!$D$5:$D$92,'3100'!A92,'Daftar Koreksi'!$G$5:$G$92,"Jalan Irigasi Jaringan",'Daftar Koreksi'!$I$5:$I$92,"&lt;0")</f>
        <v>0</v>
      </c>
      <c r="G107" s="17">
        <f t="shared" si="4"/>
        <v>-154945000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Koreksi'!$D$5:$D$92,'3100'!A92,'Daftar Koreksi'!$G$5:$G$92,"Aset Tetap Lainnya",'Daftar Koreksi'!$I$5:$I$92,"&gt;0")</f>
        <v>0</v>
      </c>
      <c r="F108" s="25">
        <f>SUMIFS('Daftar Koreksi'!$I$5:$I$92,'Daftar Koreksi'!$D$5:$D$92,'3100'!A92,'Daftar Koreksi'!$G$5:$G$92,"Aset Tetap Lainnya",'Daftar Koreksi'!$I$5:$I$92,"&lt;0")-SUMIFS('Daftar Koreksi'!$I$5:$I$92,'Daftar Koreksi'!$D$5:$D$92,'3100'!A92,'Daftar Koreksi'!$G$5:$G$92,"Aset Tetap Lainnya",'Daftar Koreksi'!$I$5:$I$92,"&lt;0")-SUMIFS('Daftar Koreksi'!$I$5:$I$92,'Daftar Koreksi'!$D$5:$D$92,'3100'!A92,'Daftar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-412379000</v>
      </c>
      <c r="E109" s="25">
        <f>SUMIFS('Daftar Koreksi'!$I$5:$I$92,'Daftar Koreksi'!$D$5:$D$92,'3100'!A92,'Daftar Koreksi'!$G$5:$G$92,"Aset Henti Guna",'Daftar Koreksi'!$I$5:$I$92,"&gt;0")</f>
        <v>0</v>
      </c>
      <c r="F109" s="25">
        <f>SUMIFS('Daftar Koreksi'!$I$5:$I$92,'Daftar Koreksi'!$D$5:$D$92,'3100'!A92,'Daftar Koreksi'!$G$5:$G$92,"Aset Henti Guna",'Daftar Koreksi'!$I$5:$I$92,"&lt;0")-SUMIFS('Daftar Koreksi'!$I$5:$I$92,'Daftar Koreksi'!$D$5:$D$92,'3100'!A92,'Daftar Koreksi'!$G$5:$G$92,"Aset Henti Guna",'Daftar Koreksi'!$I$5:$I$92,"&lt;0")-SUMIFS('Daftar Koreksi'!$I$5:$I$92,'Daftar Koreksi'!$D$5:$D$92,'3100'!A92,'Daftar Koreksi'!$G$5:$G$92,"Aset Henti Guna",'Daftar Koreksi'!$I$5:$I$92,"&lt;0")</f>
        <v>0</v>
      </c>
      <c r="G109" s="17">
        <f t="shared" si="4"/>
        <v>-412379000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-4913705175</v>
      </c>
      <c r="E110" s="19">
        <f>SUM(E105:E109)</f>
        <v>0</v>
      </c>
      <c r="F110" s="19">
        <f>SUM(F105:F109)</f>
        <v>0</v>
      </c>
      <c r="G110" s="19">
        <f t="shared" si="4"/>
        <v>-4913705175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14306347458</v>
      </c>
      <c r="E111" s="19">
        <f>E110+E104</f>
        <v>0</v>
      </c>
      <c r="F111" s="19">
        <f>F110+F104</f>
        <v>0</v>
      </c>
      <c r="G111" s="19">
        <f t="shared" si="4"/>
        <v>14306347458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005013100477218000KD</v>
      </c>
      <c r="B114" s="11" t="str">
        <f>P6</f>
        <v>PN. Tilamuta</v>
      </c>
      <c r="C114" s="12" t="str">
        <f>A114&amp;" "&amp;B114</f>
        <v>005013100477218000KD PN. Tilamuta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1066025</v>
      </c>
      <c r="E117" s="25">
        <f>SUMIFS('Daftar Koreksi'!$H$5:$H$92,'Daftar Koreksi'!$D$5:$D$92,'3100'!A114,'Daftar Koreksi'!$G$5:$G$92,"Persediaan",'Daftar Koreksi'!$H$5:$H$92,"&gt;0")</f>
        <v>0</v>
      </c>
      <c r="F117" s="25">
        <f>SUMIFS('Daftar Koreksi'!$H$5:$H$92,'Daftar Koreksi'!$D$5:$D$92,'3100'!A114,'Daftar Koreksi'!$G$5:$G$92,"Persediaan",'Daftar Koreksi'!$H$5:$H$92,"&lt;0")-SUMIFS('Daftar Koreksi'!$H$5:$H$92,'Daftar Koreksi'!$D$5:$D$92,'3100'!A114,'Daftar Koreksi'!$G$5:$G$92,"Persediaan",'Daftar Koreksi'!$H$5:$H$92,"&lt;0")-SUMIFS('Daftar Koreksi'!$H$5:$H$92,'Daftar Koreksi'!$D$5:$D$92,'3100'!A114,'Daftar Koreksi'!$G$5:$G$92,"Persediaan",'Daftar Koreksi'!$H$5:$H$92,"&lt;0")</f>
        <v>0</v>
      </c>
      <c r="G117" s="17">
        <f>D117+E117-F117</f>
        <v>1066025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310649777</v>
      </c>
      <c r="E118" s="25">
        <f>SUMIFS('Daftar Koreksi'!$H$5:$H$92,'Daftar Koreksi'!$D$5:$D$92,'3100'!A114,'Daftar Koreksi'!$G$5:$G$92,"Tanah",'Daftar Koreksi'!$H$5:$H$92,"&gt;0")</f>
        <v>0</v>
      </c>
      <c r="F118" s="25">
        <f>SUMIFS('Daftar Koreksi'!$H$5:$H$92,'Daftar Koreksi'!$D$5:$D$92,'3100'!A114,'Daftar Koreksi'!$G$5:$G$92,"Tanah",'Daftar Koreksi'!$H$5:$H$92,"&lt;0")-SUMIFS('Daftar Koreksi'!$H$5:$H$92,'Daftar Koreksi'!$D$5:$D$92,'3100'!A114,'Daftar Koreksi'!$G$5:$G$92,"Tanah",'Daftar Koreksi'!$H$5:$H$92,"&lt;0")-SUMIFS('Daftar Koreksi'!$H$5:$H$92,'Daftar Koreksi'!$D$5:$D$92,'3100'!A114,'Daftar Koreksi'!$G$5:$G$92,"Tanah",'Daftar Koreksi'!$H$5:$H$92,"&lt;0")</f>
        <v>0</v>
      </c>
      <c r="G118" s="17">
        <f t="shared" ref="G118:G134" si="5">D118+E118-F118</f>
        <v>310649777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2000430843</v>
      </c>
      <c r="E119" s="25">
        <f>SUMIFS('Daftar Koreksi'!$H$5:$H$92,'Daftar Koreksi'!$D$5:$D$92,'3100'!A114,'Daftar Koreksi'!$G$5:$G$92,"Peralatan dan mesin",'Daftar Koreksi'!$H$5:$H$92,"&gt;0")</f>
        <v>0</v>
      </c>
      <c r="F119" s="25">
        <f>SUMIFS('Daftar Koreksi'!$H$5:$H$92,'Daftar Koreksi'!$D$5:$D$92,'3100'!A114,'Daftar Koreksi'!$G$5:$G$92,"Peralatan dan mesin",'Daftar Koreksi'!$H$5:$H$92,"&lt;0")-SUMIFS('Daftar Koreksi'!$H$5:$H$92,'Daftar Koreksi'!$D$5:$D$92,'3100'!A114,'Daftar Koreksi'!$G$5:$G$92,"Peralatan dan mesin",'Daftar Koreksi'!$H$5:$H$92,"&lt;0")-SUMIFS('Daftar Koreksi'!$H$5:$H$92,'Daftar Koreksi'!$D$5:$D$92,'3100'!A114,'Daftar Koreksi'!$G$5:$G$92,"Peralatan dan mesin",'Daftar Koreksi'!$H$5:$H$92,"&lt;0")</f>
        <v>0</v>
      </c>
      <c r="G119" s="17">
        <f t="shared" si="5"/>
        <v>2000430843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5508616063</v>
      </c>
      <c r="E120" s="25">
        <f>SUMIFS('Daftar Koreksi'!$H$5:$H$92,'Daftar Koreksi'!$D$5:$D$92,'3100'!A114,'Daftar Koreksi'!$G$5:$G$92,"Gedung dan Bangunan",'Daftar Koreksi'!$H$5:$H$92,"&gt;0")</f>
        <v>0</v>
      </c>
      <c r="F120" s="25">
        <f>SUMIFS('Daftar Koreksi'!$H$5:$H$92,'Daftar Koreksi'!$D$5:$D$92,'3100'!A114,'Daftar Koreksi'!$G$5:$G$92,"Gedung dan Bangunan",'Daftar Koreksi'!$H$5:$H$92,"&lt;0")-SUMIFS('Daftar Koreksi'!$H$5:$H$92,'Daftar Koreksi'!$D$5:$D$92,'3100'!A114,'Daftar Koreksi'!$G$5:$G$92,"Gedung dan Bangunan",'Daftar Koreksi'!$H$5:$H$92,"&lt;0")-SUMIFS('Daftar Koreksi'!$H$5:$H$92,'Daftar Koreksi'!$D$5:$D$92,'3100'!A114,'Daftar Koreksi'!$G$5:$G$92,"Gedung dan Bangunan",'Daftar Koreksi'!$H$5:$H$92,"&lt;0")</f>
        <v>0</v>
      </c>
      <c r="G120" s="17">
        <f t="shared" si="5"/>
        <v>5508616063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238712000</v>
      </c>
      <c r="E121" s="25">
        <f>SUMIFS('Daftar Koreksi'!$H$5:$H$92,'Daftar Koreksi'!$D$5:$D$92,'3100'!A114,'Daftar Koreksi'!$G$5:$G$92,"Jalan Irigasi Jaringan",'Daftar Koreksi'!$H$5:$H$92,"&gt;0")</f>
        <v>0</v>
      </c>
      <c r="F121" s="25">
        <f>SUMIFS('Daftar Koreksi'!$H$5:$H$92,'Daftar Koreksi'!$D$5:$D$92,'3100'!A114,'Daftar Koreksi'!$G$5:$G$92,"Jalan Irigasi Jaringan",'Daftar Koreksi'!$H$5:$H$92,"&lt;0")-SUMIFS('Daftar Koreksi'!$H$5:$H$92,'Daftar Koreksi'!$D$5:$D$92,'3100'!A114,'Daftar Koreksi'!$G$5:$G$92,"Jalan Irigasi Jaringan",'Daftar Koreksi'!$H$5:$H$92,"&lt;0")-SUMIFS('Daftar Koreksi'!$H$5:$H$92,'Daftar Koreksi'!$D$5:$D$92,'3100'!A114,'Daftar Koreksi'!$G$5:$G$92,"Jalan Irigasi Jaringan",'Daftar Koreksi'!$H$5:$H$92,"&lt;0")</f>
        <v>0</v>
      </c>
      <c r="G121" s="17">
        <f t="shared" si="5"/>
        <v>238712000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5854570</v>
      </c>
      <c r="E122" s="25">
        <f>SUMIFS('Daftar Koreksi'!$H$5:$H$92,'Daftar Koreksi'!$D$5:$D$92,'3100'!A114,'Daftar Koreksi'!$G$5:$G$92,"Aset Tetap Lainnya",'Daftar Koreksi'!$H$5:$H$92,"&gt;0")</f>
        <v>0</v>
      </c>
      <c r="F122" s="25">
        <f>SUMIFS('Daftar Koreksi'!$H$5:$H$92,'Daftar Koreksi'!$D$5:$D$92,'3100'!A114,'Daftar Koreksi'!$G$5:$G$92,"Aset Tetap Lainnya",'Daftar Koreksi'!$H$5:$H$92,"&lt;0")-SUMIFS('Daftar Koreksi'!$H$5:$H$92,'Daftar Koreksi'!$D$5:$D$92,'3100'!A114,'Daftar Koreksi'!$G$5:$G$92,"Aset Tetap Lainnya",'Daftar Koreksi'!$H$5:$H$92,"&lt;0")-SUMIFS('Daftar Koreksi'!$H$5:$H$92,'Daftar Koreksi'!$D$5:$D$92,'3100'!A114,'Daftar Koreksi'!$G$5:$G$92,"Aset Tetap Lainnya",'Daftar Koreksi'!$H$5:$H$92,"&lt;0")</f>
        <v>0</v>
      </c>
      <c r="G122" s="17">
        <f t="shared" si="5"/>
        <v>5854570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Koreksi'!$D$5:$D$92,'3100'!A114,'Daftar Koreksi'!$G$5:$G$92,"Kontruksi Dalam Pengerjaan",'Daftar Koreksi'!$H$5:$H$92,"&gt;0")</f>
        <v>0</v>
      </c>
      <c r="F123" s="25">
        <f>SUMIFS('Daftar Koreksi'!$H$5:$H$92,'Daftar Koreksi'!$D$5:$D$92,'3100'!A114,'Daftar Koreksi'!$G$5:$G$92,"Kontruksi Dalam Pengerjaan",'Daftar Koreksi'!$H$5:$H$92,"&lt;0")-SUMIFS('Daftar Koreksi'!$H$5:$H$92,'Daftar Koreksi'!$D$5:$D$92,'3100'!A114,'Daftar Koreksi'!$G$5:$G$92,"Kontruksi Dalam Pengerjaan",'Daftar Koreksi'!$H$5:$H$92,"&lt;0")-SUMIFS('Daftar Koreksi'!$H$5:$H$92,'Daftar Koreksi'!$D$5:$D$92,'3100'!A114,'Daftar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Koreksi'!$D$5:$D$92,'3100'!A114,'Daftar Koreksi'!$G$5:$G$92,"Aset Tak Berwujud",'Daftar Koreksi'!$H$5:$H$92,"&gt;0")</f>
        <v>0</v>
      </c>
      <c r="F124" s="25">
        <f>SUMIFS('Daftar Koreksi'!$H$5:$H$92,'Daftar Koreksi'!$D$5:$D$92,'3100'!A114,'Daftar Koreksi'!$G$5:$G$92,"Aset Tak Berwujud",'Daftar Koreksi'!$H$5:$H$92,"&lt;0")-SUMIFS('Daftar Koreksi'!$H$5:$H$92,'Daftar Koreksi'!$D$5:$D$92,'3100'!A114,'Daftar Koreksi'!$G$5:$G$92,"Aset Tak Berwujud",'Daftar Koreksi'!$H$5:$H$92,"&lt;0")-SUMIFS('Daftar Koreksi'!$H$5:$H$92,'Daftar Koreksi'!$D$5:$D$92,'3100'!A114,'Daftar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243526231</v>
      </c>
      <c r="E125" s="25">
        <f>SUMIFS('Daftar Koreksi'!$H$5:$H$92,'Daftar Koreksi'!$D$5:$D$92,'3100'!A114,'Daftar Koreksi'!$G$5:$G$92,"Aset Henti Guna",'Daftar Koreksi'!$H$5:$H$92,"&gt;0")</f>
        <v>0</v>
      </c>
      <c r="F125" s="25">
        <f>SUMIFS('Daftar Koreksi'!$H$5:$H$92,'Daftar Koreksi'!$D$5:$D$92,'3100'!A114,'Daftar Koreksi'!$G$5:$G$92,"Aset Henti Guna",'Daftar Koreksi'!$H$5:$H$92,"&lt;0")-SUMIFS('Daftar Koreksi'!$H$5:$H$92,'Daftar Koreksi'!$D$5:$D$92,'3100'!A114,'Daftar Koreksi'!$G$5:$G$92,"Aset Henti Guna",'Daftar Koreksi'!$H$5:$H$92,"&lt;0")-SUMIFS('Daftar Koreksi'!$H$5:$H$92,'Daftar Koreksi'!$D$5:$D$92,'3100'!A114,'Daftar Koreksi'!$G$5:$G$92,"Aset Henti Guna",'Daftar Koreksi'!$H$5:$H$92,"&lt;0")</f>
        <v>0</v>
      </c>
      <c r="G125" s="17">
        <f t="shared" si="5"/>
        <v>243526231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8308855509</v>
      </c>
      <c r="E126" s="19">
        <f>SUM(E117:E125)</f>
        <v>0</v>
      </c>
      <c r="F126" s="19">
        <f>SUM(F117:F125)</f>
        <v>0</v>
      </c>
      <c r="G126" s="19">
        <f t="shared" si="5"/>
        <v>8308855509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-1477485506</v>
      </c>
      <c r="E127" s="25">
        <f>SUMIFS('Daftar Koreksi'!$I$5:$I$92,'Daftar Koreksi'!$D$5:$D$92,'3100'!A114,'Daftar Koreksi'!$G$5:$G$92,"Peralatan dan mesin",'Daftar Koreksi'!$I$5:$I$92,"&gt;0")</f>
        <v>0</v>
      </c>
      <c r="F127" s="25">
        <f>SUMIFS('Daftar Koreksi'!$I$5:$I$92,'Daftar Koreksi'!$D$5:$D$92,'3100'!A114,'Daftar Koreksi'!$G$5:$G$92,"Peralatan dan mesin",'Daftar Koreksi'!$I$5:$I$92,"&lt;0")-SUMIFS('Daftar Koreksi'!$I$5:$I$92,'Daftar Koreksi'!$D$5:$D$92,'3100'!A114,'Daftar Koreksi'!$G$5:$G$92,"Peralatan dan mesin",'Daftar Koreksi'!$I$5:$I$92,"&lt;0")-SUMIFS('Daftar Koreksi'!$I$5:$I$92,'Daftar Koreksi'!$D$5:$D$92,'3100'!A114,'Daftar Koreksi'!$G$5:$G$92,"Peralatan dan mesin",'Daftar Koreksi'!$I$5:$I$92,"&lt;0")</f>
        <v>0</v>
      </c>
      <c r="G127" s="17">
        <f t="shared" si="5"/>
        <v>-1477485506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-843987462</v>
      </c>
      <c r="E128" s="25">
        <f>SUMIFS('Daftar Koreksi'!$I$5:$I$92,'Daftar Koreksi'!$D$5:$D$92,'3100'!A114,'Daftar Koreksi'!$G$5:$G$92,"Gedung dan Bangunan",'Daftar Koreksi'!$I$5:$I$92,"&gt;0")</f>
        <v>0</v>
      </c>
      <c r="F128" s="25">
        <f>SUMIFS('Daftar Koreksi'!$I$5:$I$92,'Daftar Koreksi'!$D$5:$D$92,'3100'!A114,'Daftar Koreksi'!$G$5:$G$92,"Gedung dan Bangunan",'Daftar Koreksi'!$I$5:$I$92,"&lt;0")-SUMIFS('Daftar Koreksi'!$I$5:$I$92,'Daftar Koreksi'!$D$5:$D$92,'3100'!A114,'Daftar Koreksi'!$G$5:$G$92,"Gedung dan Bangunan",'Daftar Koreksi'!$I$5:$I$92,"&lt;0")-SUMIFS('Daftar Koreksi'!$I$5:$I$92,'Daftar Koreksi'!$D$5:$D$92,'3100'!A114,'Daftar Koreksi'!$G$5:$G$92,"Gedung dan Bangunan",'Daftar Koreksi'!$I$5:$I$92,"&lt;0")</f>
        <v>0</v>
      </c>
      <c r="G128" s="17">
        <f t="shared" si="5"/>
        <v>-843987462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-186381614</v>
      </c>
      <c r="E129" s="25">
        <f>SUMIFS('Daftar Koreksi'!$I$5:$I$92,'Daftar Koreksi'!$D$5:$D$92,'3100'!A114,'Daftar Koreksi'!$G$5:$G$92,"Jalan Irigasi Jaringan",'Daftar Koreksi'!$I$5:$I$92,"&gt;0")</f>
        <v>0</v>
      </c>
      <c r="F129" s="25">
        <f>SUMIFS('Daftar Koreksi'!$I$5:$I$92,'Daftar Koreksi'!$D$5:$D$92,'3100'!A114,'Daftar Koreksi'!$G$5:$G$92,"Jalan Irigasi Jaringan",'Daftar Koreksi'!$I$5:$I$92,"&lt;0")-SUMIFS('Daftar Koreksi'!$I$5:$I$92,'Daftar Koreksi'!$D$5:$D$92,'3100'!A114,'Daftar Koreksi'!$G$5:$G$92,"Jalan Irigasi Jaringan",'Daftar Koreksi'!$I$5:$I$92,"&lt;0")-SUMIFS('Daftar Koreksi'!$I$5:$I$92,'Daftar Koreksi'!$D$5:$D$92,'3100'!A114,'Daftar Koreksi'!$G$5:$G$92,"Jalan Irigasi Jaringan",'Daftar Koreksi'!$I$5:$I$92,"&lt;0")</f>
        <v>0</v>
      </c>
      <c r="G129" s="17">
        <f t="shared" si="5"/>
        <v>-186381614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Koreksi'!$D$5:$D$92,'3100'!A114,'Daftar Koreksi'!$G$5:$G$92,"Aset Tetap Lainnya",'Daftar Koreksi'!$I$5:$I$92,"&gt;0")</f>
        <v>0</v>
      </c>
      <c r="F130" s="25">
        <f>SUMIFS('Daftar Koreksi'!$I$5:$I$92,'Daftar Koreksi'!$D$5:$D$92,'3100'!A114,'Daftar Koreksi'!$G$5:$G$92,"Aset Tetap Lainnya",'Daftar Koreksi'!$I$5:$I$92,"&lt;0")-SUMIFS('Daftar Koreksi'!$I$5:$I$92,'Daftar Koreksi'!$D$5:$D$92,'3100'!A114,'Daftar Koreksi'!$G$5:$G$92,"Aset Tetap Lainnya",'Daftar Koreksi'!$I$5:$I$92,"&lt;0")-SUMIFS('Daftar Koreksi'!$I$5:$I$92,'Daftar Koreksi'!$D$5:$D$92,'3100'!A114,'Daftar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-165755926</v>
      </c>
      <c r="E131" s="25">
        <f>SUMIFS('Daftar Koreksi'!$I$5:$I$92,'Daftar Koreksi'!$D$5:$D$92,'3100'!A114,'Daftar Koreksi'!$G$5:$G$92,"Aset Henti Guna",'Daftar Koreksi'!$I$5:$I$92,"&gt;0")</f>
        <v>0</v>
      </c>
      <c r="F131" s="25">
        <f>SUMIFS('Daftar Koreksi'!$I$5:$I$92,'Daftar Koreksi'!$D$5:$D$92,'3100'!A114,'Daftar Koreksi'!$G$5:$G$92,"Aset Henti Guna",'Daftar Koreksi'!$I$5:$I$92,"&lt;0")-SUMIFS('Daftar Koreksi'!$I$5:$I$92,'Daftar Koreksi'!$D$5:$D$92,'3100'!A114,'Daftar Koreksi'!$G$5:$G$92,"Aset Henti Guna",'Daftar Koreksi'!$I$5:$I$92,"&lt;0")-SUMIFS('Daftar Koreksi'!$I$5:$I$92,'Daftar Koreksi'!$D$5:$D$92,'3100'!A114,'Daftar Koreksi'!$G$5:$G$92,"Aset Henti Guna",'Daftar Koreksi'!$I$5:$I$92,"&lt;0")</f>
        <v>0</v>
      </c>
      <c r="G131" s="17">
        <f t="shared" si="5"/>
        <v>-165755926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-2673610508</v>
      </c>
      <c r="E132" s="19">
        <f>SUM(E127:E131)</f>
        <v>0</v>
      </c>
      <c r="F132" s="19">
        <f>SUM(F127:F131)</f>
        <v>0</v>
      </c>
      <c r="G132" s="19">
        <f t="shared" si="5"/>
        <v>-2673610508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5635245001</v>
      </c>
      <c r="E133" s="19">
        <f>E132+E126</f>
        <v>0</v>
      </c>
      <c r="F133" s="19">
        <f>F132+F126</f>
        <v>0</v>
      </c>
      <c r="G133" s="19">
        <f t="shared" si="5"/>
        <v>5635245001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005013100652130000KD</v>
      </c>
      <c r="B136" s="11" t="str">
        <f>P7</f>
        <v>PA. Tilamuta</v>
      </c>
      <c r="C136" s="12" t="str">
        <f>A136&amp;" "&amp;B136</f>
        <v>005013100652130000KD PA. Tilamuta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7523869</v>
      </c>
      <c r="E139" s="25">
        <f>SUMIFS('Daftar Koreksi'!$H$5:$H$92,'Daftar Koreksi'!$D$5:$D$92,'3100'!A136,'Daftar Koreksi'!$G$5:$G$92,"Persediaan",'Daftar Koreksi'!$H$5:$H$92,"&gt;0")</f>
        <v>0</v>
      </c>
      <c r="F139" s="25">
        <f>SUMIFS('Daftar Koreksi'!$H$5:$H$92,'Daftar Koreksi'!$D$5:$D$92,'3100'!A136,'Daftar Koreksi'!$G$5:$G$92,"Persediaan",'Daftar Koreksi'!$H$5:$H$92,"&lt;0")-SUMIFS('Daftar Koreksi'!$H$5:$H$92,'Daftar Koreksi'!$D$5:$D$92,'3100'!A136,'Daftar Koreksi'!$G$5:$G$92,"Persediaan",'Daftar Koreksi'!$H$5:$H$92,"&lt;0")-SUMIFS('Daftar Koreksi'!$H$5:$H$92,'Daftar Koreksi'!$D$5:$D$92,'3100'!A136,'Daftar Koreksi'!$G$5:$G$92,"Persediaan",'Daftar Koreksi'!$H$5:$H$92,"&lt;0")</f>
        <v>0</v>
      </c>
      <c r="G139" s="17">
        <f>D139+E139-F139</f>
        <v>7523869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148000000</v>
      </c>
      <c r="E140" s="25">
        <f>SUMIFS('Daftar Koreksi'!$H$5:$H$92,'Daftar Koreksi'!$D$5:$D$92,'3100'!A136,'Daftar Koreksi'!$G$5:$G$92,"Tanah",'Daftar Koreksi'!$H$5:$H$92,"&gt;0")</f>
        <v>0</v>
      </c>
      <c r="F140" s="25">
        <f>SUMIFS('Daftar Koreksi'!$H$5:$H$92,'Daftar Koreksi'!$D$5:$D$92,'3100'!A136,'Daftar Koreksi'!$G$5:$G$92,"Tanah",'Daftar Koreksi'!$H$5:$H$92,"&lt;0")-SUMIFS('Daftar Koreksi'!$H$5:$H$92,'Daftar Koreksi'!$D$5:$D$92,'3100'!A136,'Daftar Koreksi'!$G$5:$G$92,"Tanah",'Daftar Koreksi'!$H$5:$H$92,"&lt;0")-SUMIFS('Daftar Koreksi'!$H$5:$H$92,'Daftar Koreksi'!$D$5:$D$92,'3100'!A136,'Daftar Koreksi'!$G$5:$G$92,"Tanah",'Daftar Koreksi'!$H$5:$H$92,"&lt;0")</f>
        <v>0</v>
      </c>
      <c r="G140" s="17">
        <f t="shared" ref="G140:G156" si="6">D140+E140-F140</f>
        <v>148000000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1206264976</v>
      </c>
      <c r="E141" s="25">
        <f>SUMIFS('Daftar Koreksi'!$H$5:$H$92,'Daftar Koreksi'!$D$5:$D$92,'3100'!A136,'Daftar Koreksi'!$G$5:$G$92,"Peralatan dan mesin",'Daftar Koreksi'!$H$5:$H$92,"&gt;0")</f>
        <v>0</v>
      </c>
      <c r="F141" s="25">
        <f>SUMIFS('Daftar Koreksi'!$H$5:$H$92,'Daftar Koreksi'!$D$5:$D$92,'3100'!A136,'Daftar Koreksi'!$G$5:$G$92,"Peralatan dan mesin",'Daftar Koreksi'!$H$5:$H$92,"&lt;0")-SUMIFS('Daftar Koreksi'!$H$5:$H$92,'Daftar Koreksi'!$D$5:$D$92,'3100'!A136,'Daftar Koreksi'!$G$5:$G$92,"Peralatan dan mesin",'Daftar Koreksi'!$H$5:$H$92,"&lt;0")-SUMIFS('Daftar Koreksi'!$H$5:$H$92,'Daftar Koreksi'!$D$5:$D$92,'3100'!A136,'Daftar Koreksi'!$G$5:$G$92,"Peralatan dan mesin",'Daftar Koreksi'!$H$5:$H$92,"&lt;0")</f>
        <v>0</v>
      </c>
      <c r="G141" s="17">
        <f t="shared" si="6"/>
        <v>1206264976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5718770399</v>
      </c>
      <c r="E142" s="25">
        <f>SUMIFS('Daftar Koreksi'!$H$5:$H$92,'Daftar Koreksi'!$D$5:$D$92,'3100'!A136,'Daftar Koreksi'!$G$5:$G$92,"Gedung dan Bangunan",'Daftar Koreksi'!$H$5:$H$92,"&gt;0")</f>
        <v>0</v>
      </c>
      <c r="F142" s="25">
        <f>SUMIFS('Daftar Koreksi'!$H$5:$H$92,'Daftar Koreksi'!$D$5:$D$92,'3100'!A136,'Daftar Koreksi'!$G$5:$G$92,"Gedung dan Bangunan",'Daftar Koreksi'!$H$5:$H$92,"&lt;0")-SUMIFS('Daftar Koreksi'!$H$5:$H$92,'Daftar Koreksi'!$D$5:$D$92,'3100'!A136,'Daftar Koreksi'!$G$5:$G$92,"Gedung dan Bangunan",'Daftar Koreksi'!$H$5:$H$92,"&lt;0")-SUMIFS('Daftar Koreksi'!$H$5:$H$92,'Daftar Koreksi'!$D$5:$D$92,'3100'!A136,'Daftar Koreksi'!$G$5:$G$92,"Gedung dan Bangunan",'Daftar Koreksi'!$H$5:$H$92,"&lt;0")</f>
        <v>0</v>
      </c>
      <c r="G142" s="17">
        <f t="shared" si="6"/>
        <v>5718770399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25370000</v>
      </c>
      <c r="E143" s="25">
        <f>SUMIFS('Daftar Koreksi'!$H$5:$H$92,'Daftar Koreksi'!$D$5:$D$92,'3100'!A136,'Daftar Koreksi'!$G$5:$G$92,"Jalan Irigasi Jaringan",'Daftar Koreksi'!$H$5:$H$92,"&gt;0")</f>
        <v>0</v>
      </c>
      <c r="F143" s="25">
        <f>SUMIFS('Daftar Koreksi'!$H$5:$H$92,'Daftar Koreksi'!$D$5:$D$92,'3100'!A136,'Daftar Koreksi'!$G$5:$G$92,"Jalan Irigasi Jaringan",'Daftar Koreksi'!$H$5:$H$92,"&lt;0")-SUMIFS('Daftar Koreksi'!$H$5:$H$92,'Daftar Koreksi'!$D$5:$D$92,'3100'!A136,'Daftar Koreksi'!$G$5:$G$92,"Jalan Irigasi Jaringan",'Daftar Koreksi'!$H$5:$H$92,"&lt;0")-SUMIFS('Daftar Koreksi'!$H$5:$H$92,'Daftar Koreksi'!$D$5:$D$92,'3100'!A136,'Daftar Koreksi'!$G$5:$G$92,"Jalan Irigasi Jaringan",'Daftar Koreksi'!$H$5:$H$92,"&lt;0")</f>
        <v>0</v>
      </c>
      <c r="G143" s="17">
        <f t="shared" si="6"/>
        <v>25370000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438000</v>
      </c>
      <c r="E144" s="25">
        <f>SUMIFS('Daftar Koreksi'!$H$5:$H$92,'Daftar Koreksi'!$D$5:$D$92,'3100'!A136,'Daftar Koreksi'!$G$5:$G$92,"Aset Tetap Lainnya",'Daftar Koreksi'!$H$5:$H$92,"&gt;0")</f>
        <v>0</v>
      </c>
      <c r="F144" s="25">
        <f>SUMIFS('Daftar Koreksi'!$H$5:$H$92,'Daftar Koreksi'!$D$5:$D$92,'3100'!A136,'Daftar Koreksi'!$G$5:$G$92,"Aset Tetap Lainnya",'Daftar Koreksi'!$H$5:$H$92,"&lt;0")-SUMIFS('Daftar Koreksi'!$H$5:$H$92,'Daftar Koreksi'!$D$5:$D$92,'3100'!A136,'Daftar Koreksi'!$G$5:$G$92,"Aset Tetap Lainnya",'Daftar Koreksi'!$H$5:$H$92,"&lt;0")-SUMIFS('Daftar Koreksi'!$H$5:$H$92,'Daftar Koreksi'!$D$5:$D$92,'3100'!A136,'Daftar Koreksi'!$G$5:$G$92,"Aset Tetap Lainnya",'Daftar Koreksi'!$H$5:$H$92,"&lt;0")</f>
        <v>0</v>
      </c>
      <c r="G144" s="17">
        <f t="shared" si="6"/>
        <v>438000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Koreksi'!$D$5:$D$92,'3100'!A136,'Daftar Koreksi'!$G$5:$G$92,"Kontruksi Dalam Pengerjaan",'Daftar Koreksi'!$H$5:$H$92,"&gt;0")</f>
        <v>0</v>
      </c>
      <c r="F145" s="25">
        <f>SUMIFS('Daftar Koreksi'!$H$5:$H$92,'Daftar Koreksi'!$D$5:$D$92,'3100'!A136,'Daftar Koreksi'!$G$5:$G$92,"Kontruksi Dalam Pengerjaan",'Daftar Koreksi'!$H$5:$H$92,"&lt;0")-SUMIFS('Daftar Koreksi'!$H$5:$H$92,'Daftar Koreksi'!$D$5:$D$92,'3100'!A136,'Daftar Koreksi'!$G$5:$G$92,"Kontruksi Dalam Pengerjaan",'Daftar Koreksi'!$H$5:$H$92,"&lt;0")-SUMIFS('Daftar Koreksi'!$H$5:$H$92,'Daftar Koreksi'!$D$5:$D$92,'3100'!A136,'Daftar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Koreksi'!$D$5:$D$92,'3100'!A136,'Daftar Koreksi'!$G$5:$G$92,"Aset Tak Berwujud",'Daftar Koreksi'!$H$5:$H$92,"&gt;0")</f>
        <v>0</v>
      </c>
      <c r="F146" s="25">
        <f>SUMIFS('Daftar Koreksi'!$H$5:$H$92,'Daftar Koreksi'!$D$5:$D$92,'3100'!A136,'Daftar Koreksi'!$G$5:$G$92,"Aset Tak Berwujud",'Daftar Koreksi'!$H$5:$H$92,"&lt;0")-SUMIFS('Daftar Koreksi'!$H$5:$H$92,'Daftar Koreksi'!$D$5:$D$92,'3100'!A136,'Daftar Koreksi'!$G$5:$G$92,"Aset Tak Berwujud",'Daftar Koreksi'!$H$5:$H$92,"&lt;0")-SUMIFS('Daftar Koreksi'!$H$5:$H$92,'Daftar Koreksi'!$D$5:$D$92,'3100'!A136,'Daftar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29100000</v>
      </c>
      <c r="E147" s="25">
        <f>SUMIFS('Daftar Koreksi'!$H$5:$H$92,'Daftar Koreksi'!$D$5:$D$92,'3100'!A136,'Daftar Koreksi'!$G$5:$G$92,"Aset Henti Guna",'Daftar Koreksi'!$H$5:$H$92,"&gt;0")</f>
        <v>0</v>
      </c>
      <c r="F147" s="25">
        <f>SUMIFS('Daftar Koreksi'!$H$5:$H$92,'Daftar Koreksi'!$D$5:$D$92,'3100'!A136,'Daftar Koreksi'!$G$5:$G$92,"Aset Henti Guna",'Daftar Koreksi'!$H$5:$H$92,"&lt;0")-SUMIFS('Daftar Koreksi'!$H$5:$H$92,'Daftar Koreksi'!$D$5:$D$92,'3100'!A136,'Daftar Koreksi'!$G$5:$G$92,"Aset Henti Guna",'Daftar Koreksi'!$H$5:$H$92,"&lt;0")-SUMIFS('Daftar Koreksi'!$H$5:$H$92,'Daftar Koreksi'!$D$5:$D$92,'3100'!A136,'Daftar Koreksi'!$G$5:$G$92,"Aset Henti Guna",'Daftar Koreksi'!$H$5:$H$92,"&lt;0")</f>
        <v>0</v>
      </c>
      <c r="G147" s="17">
        <f t="shared" si="6"/>
        <v>29100000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7135467244</v>
      </c>
      <c r="E148" s="19">
        <f>SUM(E139:E147)</f>
        <v>0</v>
      </c>
      <c r="F148" s="19">
        <f>SUM(F139:F147)</f>
        <v>0</v>
      </c>
      <c r="G148" s="19">
        <f t="shared" si="6"/>
        <v>7135467244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-994837044</v>
      </c>
      <c r="E149" s="25">
        <f>SUMIFS('Daftar Koreksi'!$I$5:$I$92,'Daftar Koreksi'!$D$5:$D$92,'3100'!A136,'Daftar Koreksi'!$G$5:$G$92,"Peralatan dan mesin",'Daftar Koreksi'!$I$5:$I$92,"&gt;0")</f>
        <v>0</v>
      </c>
      <c r="F149" s="25">
        <f>SUMIFS('Daftar Koreksi'!$I$5:$I$92,'Daftar Koreksi'!$D$5:$D$92,'3100'!A136,'Daftar Koreksi'!$G$5:$G$92,"Peralatan dan mesin",'Daftar Koreksi'!$I$5:$I$92,"&lt;0")-SUMIFS('Daftar Koreksi'!$I$5:$I$92,'Daftar Koreksi'!$D$5:$D$92,'3100'!A136,'Daftar Koreksi'!$G$5:$G$92,"Peralatan dan mesin",'Daftar Koreksi'!$I$5:$I$92,"&lt;0")-SUMIFS('Daftar Koreksi'!$I$5:$I$92,'Daftar Koreksi'!$D$5:$D$92,'3100'!A136,'Daftar Koreksi'!$G$5:$G$92,"Peralatan dan mesin",'Daftar Koreksi'!$I$5:$I$92,"&lt;0")</f>
        <v>0</v>
      </c>
      <c r="G149" s="17">
        <f t="shared" si="6"/>
        <v>-994837044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-456048923</v>
      </c>
      <c r="E150" s="25">
        <f>SUMIFS('Daftar Koreksi'!$I$5:$I$92,'Daftar Koreksi'!$D$5:$D$92,'3100'!A136,'Daftar Koreksi'!$G$5:$G$92,"Gedung dan Bangunan",'Daftar Koreksi'!$I$5:$I$92,"&gt;0")</f>
        <v>0</v>
      </c>
      <c r="F150" s="25">
        <f>SUMIFS('Daftar Koreksi'!$I$5:$I$92,'Daftar Koreksi'!$D$5:$D$92,'3100'!A136,'Daftar Koreksi'!$G$5:$G$92,"Gedung dan Bangunan",'Daftar Koreksi'!$I$5:$I$92,"&lt;0")-SUMIFS('Daftar Koreksi'!$I$5:$I$92,'Daftar Koreksi'!$D$5:$D$92,'3100'!A136,'Daftar Koreksi'!$G$5:$G$92,"Gedung dan Bangunan",'Daftar Koreksi'!$I$5:$I$92,"&lt;0")-SUMIFS('Daftar Koreksi'!$I$5:$I$92,'Daftar Koreksi'!$D$5:$D$92,'3100'!A136,'Daftar Koreksi'!$G$5:$G$92,"Gedung dan Bangunan",'Daftar Koreksi'!$I$5:$I$92,"&lt;0")</f>
        <v>0</v>
      </c>
      <c r="G150" s="17">
        <f t="shared" si="6"/>
        <v>-456048923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-25370000</v>
      </c>
      <c r="E151" s="25">
        <f>SUMIFS('Daftar Koreksi'!$I$5:$I$92,'Daftar Koreksi'!$D$5:$D$92,'3100'!A136,'Daftar Koreksi'!$G$5:$G$92,"Jalan Irigasi Jaringan",'Daftar Koreksi'!$I$5:$I$92,"&gt;0")</f>
        <v>0</v>
      </c>
      <c r="F151" s="25">
        <f>SUMIFS('Daftar Koreksi'!$I$5:$I$92,'Daftar Koreksi'!$D$5:$D$92,'3100'!A136,'Daftar Koreksi'!$G$5:$G$92,"Jalan Irigasi Jaringan",'Daftar Koreksi'!$I$5:$I$92,"&lt;0")-SUMIFS('Daftar Koreksi'!$I$5:$I$92,'Daftar Koreksi'!$D$5:$D$92,'3100'!A136,'Daftar Koreksi'!$G$5:$G$92,"Jalan Irigasi Jaringan",'Daftar Koreksi'!$I$5:$I$92,"&lt;0")-SUMIFS('Daftar Koreksi'!$I$5:$I$92,'Daftar Koreksi'!$D$5:$D$92,'3100'!A136,'Daftar Koreksi'!$G$5:$G$92,"Jalan Irigasi Jaringan",'Daftar Koreksi'!$I$5:$I$92,"&lt;0")</f>
        <v>0</v>
      </c>
      <c r="G151" s="17">
        <f t="shared" si="6"/>
        <v>-25370000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Koreksi'!$D$5:$D$92,'3100'!A136,'Daftar Koreksi'!$G$5:$G$92,"Aset Tetap Lainnya",'Daftar Koreksi'!$I$5:$I$92,"&gt;0")</f>
        <v>0</v>
      </c>
      <c r="F152" s="25">
        <f>SUMIFS('Daftar Koreksi'!$I$5:$I$92,'Daftar Koreksi'!$D$5:$D$92,'3100'!A136,'Daftar Koreksi'!$G$5:$G$92,"Aset Tetap Lainnya",'Daftar Koreksi'!$I$5:$I$92,"&lt;0")-SUMIFS('Daftar Koreksi'!$I$5:$I$92,'Daftar Koreksi'!$D$5:$D$92,'3100'!A136,'Daftar Koreksi'!$G$5:$G$92,"Aset Tetap Lainnya",'Daftar Koreksi'!$I$5:$I$92,"&lt;0")-SUMIFS('Daftar Koreksi'!$I$5:$I$92,'Daftar Koreksi'!$D$5:$D$92,'3100'!A136,'Daftar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-29100000</v>
      </c>
      <c r="E153" s="25">
        <f>SUMIFS('Daftar Koreksi'!$I$5:$I$92,'Daftar Koreksi'!$D$5:$D$92,'3100'!A136,'Daftar Koreksi'!$G$5:$G$92,"Aset Henti Guna",'Daftar Koreksi'!$I$5:$I$92,"&gt;0")</f>
        <v>0</v>
      </c>
      <c r="F153" s="25">
        <f>SUMIFS('Daftar Koreksi'!$I$5:$I$92,'Daftar Koreksi'!$D$5:$D$92,'3100'!A136,'Daftar Koreksi'!$G$5:$G$92,"Aset Henti Guna",'Daftar Koreksi'!$I$5:$I$92,"&lt;0")-SUMIFS('Daftar Koreksi'!$I$5:$I$92,'Daftar Koreksi'!$D$5:$D$92,'3100'!A136,'Daftar Koreksi'!$G$5:$G$92,"Aset Henti Guna",'Daftar Koreksi'!$I$5:$I$92,"&lt;0")-SUMIFS('Daftar Koreksi'!$I$5:$I$92,'Daftar Koreksi'!$D$5:$D$92,'3100'!A136,'Daftar Koreksi'!$G$5:$G$92,"Aset Henti Guna",'Daftar Koreksi'!$I$5:$I$92,"&lt;0")</f>
        <v>0</v>
      </c>
      <c r="G153" s="17">
        <f t="shared" si="6"/>
        <v>-29100000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-1505355967</v>
      </c>
      <c r="E154" s="19">
        <f>SUM(E149:E153)</f>
        <v>0</v>
      </c>
      <c r="F154" s="19">
        <f>SUM(F149:F153)</f>
        <v>0</v>
      </c>
      <c r="G154" s="19">
        <f t="shared" si="6"/>
        <v>-1505355967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5630111277</v>
      </c>
      <c r="E155" s="19">
        <f>E154+E148</f>
        <v>0</v>
      </c>
      <c r="F155" s="19">
        <f>F154+F148</f>
        <v>0</v>
      </c>
      <c r="G155" s="19">
        <f t="shared" si="6"/>
        <v>5630111277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005013100664539000KD</v>
      </c>
      <c r="B158" s="11" t="str">
        <f>P8</f>
        <v>PT. Gorontalo</v>
      </c>
      <c r="C158" s="12" t="str">
        <f>A158&amp;" "&amp;B158</f>
        <v>005013100664539000KD PT. Gorontalo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6313180</v>
      </c>
      <c r="E161" s="25">
        <f>SUMIFS('Daftar Koreksi'!$H$5:$H$92,'Daftar Koreksi'!$D$5:$D$92,'3100'!A158,'Daftar Koreksi'!$G$5:$G$92,"Persediaan",'Daftar Koreksi'!$H$5:$H$92,"&gt;0")</f>
        <v>0</v>
      </c>
      <c r="F161" s="25">
        <f>SUMIFS('Daftar Koreksi'!$H$5:$H$92,'Daftar Koreksi'!$D$5:$D$92,'3100'!A158,'Daftar Koreksi'!$G$5:$G$92,"Persediaan",'Daftar Koreksi'!$H$5:$H$92,"&lt;0")-SUMIFS('Daftar Koreksi'!$H$5:$H$92,'Daftar Koreksi'!$D$5:$D$92,'3100'!A158,'Daftar Koreksi'!$G$5:$G$92,"Persediaan",'Daftar Koreksi'!$H$5:$H$92,"&lt;0")-SUMIFS('Daftar Koreksi'!$H$5:$H$92,'Daftar Koreksi'!$D$5:$D$92,'3100'!A158,'Daftar Koreksi'!$G$5:$G$92,"Persediaan",'Daftar Koreksi'!$H$5:$H$92,"&lt;0")</f>
        <v>0</v>
      </c>
      <c r="G161" s="17">
        <f>D161+E161-F161</f>
        <v>6313180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2939867975</v>
      </c>
      <c r="E162" s="25">
        <f>SUMIFS('Daftar Koreksi'!$H$5:$H$92,'Daftar Koreksi'!$D$5:$D$92,'3100'!A158,'Daftar Koreksi'!$G$5:$G$92,"Tanah",'Daftar Koreksi'!$H$5:$H$92,"&gt;0")</f>
        <v>0</v>
      </c>
      <c r="F162" s="25">
        <f>SUMIFS('Daftar Koreksi'!$H$5:$H$92,'Daftar Koreksi'!$D$5:$D$92,'3100'!A158,'Daftar Koreksi'!$G$5:$G$92,"Tanah",'Daftar Koreksi'!$H$5:$H$92,"&lt;0")-SUMIFS('Daftar Koreksi'!$H$5:$H$92,'Daftar Koreksi'!$D$5:$D$92,'3100'!A158,'Daftar Koreksi'!$G$5:$G$92,"Tanah",'Daftar Koreksi'!$H$5:$H$92,"&lt;0")-SUMIFS('Daftar Koreksi'!$H$5:$H$92,'Daftar Koreksi'!$D$5:$D$92,'3100'!A158,'Daftar Koreksi'!$G$5:$G$92,"Tanah",'Daftar Koreksi'!$H$5:$H$92,"&lt;0")</f>
        <v>0</v>
      </c>
      <c r="G162" s="17">
        <f t="shared" ref="G162:G178" si="7">D162+E162-F162</f>
        <v>2939867975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3215352101</v>
      </c>
      <c r="E163" s="25">
        <f>SUMIFS('Daftar Koreksi'!$H$5:$H$92,'Daftar Koreksi'!$D$5:$D$92,'3100'!A158,'Daftar Koreksi'!$G$5:$G$92,"Peralatan dan mesin",'Daftar Koreksi'!$H$5:$H$92,"&gt;0")</f>
        <v>0</v>
      </c>
      <c r="F163" s="25">
        <f>SUMIFS('Daftar Koreksi'!$H$5:$H$92,'Daftar Koreksi'!$D$5:$D$92,'3100'!A158,'Daftar Koreksi'!$G$5:$G$92,"Peralatan dan mesin",'Daftar Koreksi'!$H$5:$H$92,"&lt;0")-SUMIFS('Daftar Koreksi'!$H$5:$H$92,'Daftar Koreksi'!$D$5:$D$92,'3100'!A158,'Daftar Koreksi'!$G$5:$G$92,"Peralatan dan mesin",'Daftar Koreksi'!$H$5:$H$92,"&lt;0")-SUMIFS('Daftar Koreksi'!$H$5:$H$92,'Daftar Koreksi'!$D$5:$D$92,'3100'!A158,'Daftar Koreksi'!$G$5:$G$92,"Peralatan dan mesin",'Daftar Koreksi'!$H$5:$H$92,"&lt;0")</f>
        <v>0</v>
      </c>
      <c r="G163" s="17">
        <f t="shared" si="7"/>
        <v>3215352101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14551535800</v>
      </c>
      <c r="E164" s="25">
        <f>SUMIFS('Daftar Koreksi'!$H$5:$H$92,'Daftar Koreksi'!$D$5:$D$92,'3100'!A158,'Daftar Koreksi'!$G$5:$G$92,"Gedung dan Bangunan",'Daftar Koreksi'!$H$5:$H$92,"&gt;0")</f>
        <v>0</v>
      </c>
      <c r="F164" s="25">
        <f>SUMIFS('Daftar Koreksi'!$H$5:$H$92,'Daftar Koreksi'!$D$5:$D$92,'3100'!A158,'Daftar Koreksi'!$G$5:$G$92,"Gedung dan Bangunan",'Daftar Koreksi'!$H$5:$H$92,"&lt;0")-SUMIFS('Daftar Koreksi'!$H$5:$H$92,'Daftar Koreksi'!$D$5:$D$92,'3100'!A158,'Daftar Koreksi'!$G$5:$G$92,"Gedung dan Bangunan",'Daftar Koreksi'!$H$5:$H$92,"&lt;0")-SUMIFS('Daftar Koreksi'!$H$5:$H$92,'Daftar Koreksi'!$D$5:$D$92,'3100'!A158,'Daftar Koreksi'!$G$5:$G$92,"Gedung dan Bangunan",'Daftar Koreksi'!$H$5:$H$92,"&lt;0")</f>
        <v>0</v>
      </c>
      <c r="G164" s="17">
        <f t="shared" si="7"/>
        <v>14551535800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485917000</v>
      </c>
      <c r="E165" s="25">
        <f>SUMIFS('Daftar Koreksi'!$H$5:$H$92,'Daftar Koreksi'!$D$5:$D$92,'3100'!A158,'Daftar Koreksi'!$G$5:$G$92,"Jalan Irigasi Jaringan",'Daftar Koreksi'!$H$5:$H$92,"&gt;0")</f>
        <v>0</v>
      </c>
      <c r="F165" s="25">
        <f>SUMIFS('Daftar Koreksi'!$H$5:$H$92,'Daftar Koreksi'!$D$5:$D$92,'3100'!A158,'Daftar Koreksi'!$G$5:$G$92,"Jalan Irigasi Jaringan",'Daftar Koreksi'!$H$5:$H$92,"&lt;0")-SUMIFS('Daftar Koreksi'!$H$5:$H$92,'Daftar Koreksi'!$D$5:$D$92,'3100'!A158,'Daftar Koreksi'!$G$5:$G$92,"Jalan Irigasi Jaringan",'Daftar Koreksi'!$H$5:$H$92,"&lt;0")-SUMIFS('Daftar Koreksi'!$H$5:$H$92,'Daftar Koreksi'!$D$5:$D$92,'3100'!A158,'Daftar Koreksi'!$G$5:$G$92,"Jalan Irigasi Jaringan",'Daftar Koreksi'!$H$5:$H$92,"&lt;0")</f>
        <v>0</v>
      </c>
      <c r="G165" s="17">
        <f t="shared" si="7"/>
        <v>485917000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23086876</v>
      </c>
      <c r="E166" s="25">
        <f>SUMIFS('Daftar Koreksi'!$H$5:$H$92,'Daftar Koreksi'!$D$5:$D$92,'3100'!A158,'Daftar Koreksi'!$G$5:$G$92,"Aset Tetap Lainnya",'Daftar Koreksi'!$H$5:$H$92,"&gt;0")</f>
        <v>0</v>
      </c>
      <c r="F166" s="25">
        <f>SUMIFS('Daftar Koreksi'!$H$5:$H$92,'Daftar Koreksi'!$D$5:$D$92,'3100'!A158,'Daftar Koreksi'!$G$5:$G$92,"Aset Tetap Lainnya",'Daftar Koreksi'!$H$5:$H$92,"&lt;0")-SUMIFS('Daftar Koreksi'!$H$5:$H$92,'Daftar Koreksi'!$D$5:$D$92,'3100'!A158,'Daftar Koreksi'!$G$5:$G$92,"Aset Tetap Lainnya",'Daftar Koreksi'!$H$5:$H$92,"&lt;0")-SUMIFS('Daftar Koreksi'!$H$5:$H$92,'Daftar Koreksi'!$D$5:$D$92,'3100'!A158,'Daftar Koreksi'!$G$5:$G$92,"Aset Tetap Lainnya",'Daftar Koreksi'!$H$5:$H$92,"&lt;0")</f>
        <v>0</v>
      </c>
      <c r="G166" s="17">
        <f t="shared" si="7"/>
        <v>23086876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Koreksi'!$D$5:$D$92,'3100'!A158,'Daftar Koreksi'!$G$5:$G$92,"Kontruksi Dalam Pengerjaan",'Daftar Koreksi'!$H$5:$H$92,"&gt;0")</f>
        <v>0</v>
      </c>
      <c r="F167" s="25">
        <f>SUMIFS('Daftar Koreksi'!$H$5:$H$92,'Daftar Koreksi'!$D$5:$D$92,'3100'!A158,'Daftar Koreksi'!$G$5:$G$92,"Kontruksi Dalam Pengerjaan",'Daftar Koreksi'!$H$5:$H$92,"&lt;0")-SUMIFS('Daftar Koreksi'!$H$5:$H$92,'Daftar Koreksi'!$D$5:$D$92,'3100'!A158,'Daftar Koreksi'!$G$5:$G$92,"Kontruksi Dalam Pengerjaan",'Daftar Koreksi'!$H$5:$H$92,"&lt;0")-SUMIFS('Daftar Koreksi'!$H$5:$H$92,'Daftar Koreksi'!$D$5:$D$92,'3100'!A158,'Daftar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29985000</v>
      </c>
      <c r="E168" s="25">
        <f>SUMIFS('Daftar Koreksi'!$H$5:$H$92,'Daftar Koreksi'!$D$5:$D$92,'3100'!A158,'Daftar Koreksi'!$G$5:$G$92,"Aset Tak Berwujud",'Daftar Koreksi'!$H$5:$H$92,"&gt;0")</f>
        <v>0</v>
      </c>
      <c r="F168" s="25">
        <f>SUMIFS('Daftar Koreksi'!$H$5:$H$92,'Daftar Koreksi'!$D$5:$D$92,'3100'!A158,'Daftar Koreksi'!$G$5:$G$92,"Aset Tak Berwujud",'Daftar Koreksi'!$H$5:$H$92,"&lt;0")-SUMIFS('Daftar Koreksi'!$H$5:$H$92,'Daftar Koreksi'!$D$5:$D$92,'3100'!A158,'Daftar Koreksi'!$G$5:$G$92,"Aset Tak Berwujud",'Daftar Koreksi'!$H$5:$H$92,"&lt;0")-SUMIFS('Daftar Koreksi'!$H$5:$H$92,'Daftar Koreksi'!$D$5:$D$92,'3100'!A158,'Daftar Koreksi'!$G$5:$G$92,"Aset Tak Berwujud",'Daftar Koreksi'!$H$5:$H$92,"&lt;0")</f>
        <v>0</v>
      </c>
      <c r="G168" s="17">
        <f t="shared" si="7"/>
        <v>29985000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0</v>
      </c>
      <c r="E169" s="25">
        <f>SUMIFS('Daftar Koreksi'!$H$5:$H$92,'Daftar Koreksi'!$D$5:$D$92,'3100'!A158,'Daftar Koreksi'!$G$5:$G$92,"Aset Henti Guna",'Daftar Koreksi'!$H$5:$H$92,"&gt;0")</f>
        <v>0</v>
      </c>
      <c r="F169" s="25">
        <f>SUMIFS('Daftar Koreksi'!$H$5:$H$92,'Daftar Koreksi'!$D$5:$D$92,'3100'!A158,'Daftar Koreksi'!$G$5:$G$92,"Aset Henti Guna",'Daftar Koreksi'!$H$5:$H$92,"&lt;0")-SUMIFS('Daftar Koreksi'!$H$5:$H$92,'Daftar Koreksi'!$D$5:$D$92,'3100'!A158,'Daftar Koreksi'!$G$5:$G$92,"Aset Henti Guna",'Daftar Koreksi'!$H$5:$H$92,"&lt;0")-SUMIFS('Daftar Koreksi'!$H$5:$H$92,'Daftar Koreksi'!$D$5:$D$92,'3100'!A158,'Daftar Koreksi'!$G$5:$G$92,"Aset Henti Guna",'Daftar Koreksi'!$H$5:$H$92,"&lt;0")</f>
        <v>0</v>
      </c>
      <c r="G169" s="17">
        <f t="shared" si="7"/>
        <v>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21252057932</v>
      </c>
      <c r="E170" s="19">
        <f>SUM(E161:E169)</f>
        <v>0</v>
      </c>
      <c r="F170" s="19">
        <f>SUM(F161:F169)</f>
        <v>0</v>
      </c>
      <c r="G170" s="19">
        <f t="shared" si="7"/>
        <v>21252057932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-2914173007</v>
      </c>
      <c r="E171" s="25">
        <f>SUMIFS('Daftar Koreksi'!$I$5:$I$92,'Daftar Koreksi'!$D$5:$D$92,'3100'!A158,'Daftar Koreksi'!$G$5:$G$92,"Peralatan dan mesin",'Daftar Koreksi'!$I$5:$I$92,"&gt;0")</f>
        <v>0</v>
      </c>
      <c r="F171" s="25">
        <f>SUMIFS('Daftar Koreksi'!$I$5:$I$92,'Daftar Koreksi'!$D$5:$D$92,'3100'!A158,'Daftar Koreksi'!$G$5:$G$92,"Peralatan dan mesin",'Daftar Koreksi'!$I$5:$I$92,"&lt;0")-SUMIFS('Daftar Koreksi'!$I$5:$I$92,'Daftar Koreksi'!$D$5:$D$92,'3100'!A158,'Daftar Koreksi'!$G$5:$G$92,"Peralatan dan mesin",'Daftar Koreksi'!$I$5:$I$92,"&lt;0")-SUMIFS('Daftar Koreksi'!$I$5:$I$92,'Daftar Koreksi'!$D$5:$D$92,'3100'!A158,'Daftar Koreksi'!$G$5:$G$92,"Peralatan dan mesin",'Daftar Koreksi'!$I$5:$I$92,"&lt;0")</f>
        <v>0</v>
      </c>
      <c r="G171" s="17">
        <f t="shared" si="7"/>
        <v>-2914173007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-1694234279</v>
      </c>
      <c r="E172" s="25">
        <f>SUMIFS('Daftar Koreksi'!$I$5:$I$92,'Daftar Koreksi'!$D$5:$D$92,'3100'!A158,'Daftar Koreksi'!$G$5:$G$92,"Gedung dan Bangunan",'Daftar Koreksi'!$I$5:$I$92,"&gt;0")</f>
        <v>0</v>
      </c>
      <c r="F172" s="25">
        <f>SUMIFS('Daftar Koreksi'!$I$5:$I$92,'Daftar Koreksi'!$D$5:$D$92,'3100'!A158,'Daftar Koreksi'!$G$5:$G$92,"Gedung dan Bangunan",'Daftar Koreksi'!$I$5:$I$92,"&lt;0")-SUMIFS('Daftar Koreksi'!$I$5:$I$92,'Daftar Koreksi'!$D$5:$D$92,'3100'!A158,'Daftar Koreksi'!$G$5:$G$92,"Gedung dan Bangunan",'Daftar Koreksi'!$I$5:$I$92,"&lt;0")-SUMIFS('Daftar Koreksi'!$I$5:$I$92,'Daftar Koreksi'!$D$5:$D$92,'3100'!A158,'Daftar Koreksi'!$G$5:$G$92,"Gedung dan Bangunan",'Daftar Koreksi'!$I$5:$I$92,"&lt;0")</f>
        <v>0</v>
      </c>
      <c r="G172" s="17">
        <f t="shared" si="7"/>
        <v>-1694234279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-205460375</v>
      </c>
      <c r="E173" s="25">
        <f>SUMIFS('Daftar Koreksi'!$I$5:$I$92,'Daftar Koreksi'!$D$5:$D$92,'3100'!A158,'Daftar Koreksi'!$G$5:$G$92,"Jalan Irigasi Jaringan",'Daftar Koreksi'!$I$5:$I$92,"&gt;0")</f>
        <v>0</v>
      </c>
      <c r="F173" s="25">
        <f>SUMIFS('Daftar Koreksi'!$I$5:$I$92,'Daftar Koreksi'!$D$5:$D$92,'3100'!A158,'Daftar Koreksi'!$G$5:$G$92,"Jalan Irigasi Jaringan",'Daftar Koreksi'!$I$5:$I$92,"&lt;0")-SUMIFS('Daftar Koreksi'!$I$5:$I$92,'Daftar Koreksi'!$D$5:$D$92,'3100'!A158,'Daftar Koreksi'!$G$5:$G$92,"Jalan Irigasi Jaringan",'Daftar Koreksi'!$I$5:$I$92,"&lt;0")-SUMIFS('Daftar Koreksi'!$I$5:$I$92,'Daftar Koreksi'!$D$5:$D$92,'3100'!A158,'Daftar Koreksi'!$G$5:$G$92,"Jalan Irigasi Jaringan",'Daftar Koreksi'!$I$5:$I$92,"&lt;0")</f>
        <v>0</v>
      </c>
      <c r="G173" s="17">
        <f t="shared" si="7"/>
        <v>-205460375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-13552000</v>
      </c>
      <c r="E174" s="25">
        <f>SUMIFS('Daftar Koreksi'!$I$5:$I$92,'Daftar Koreksi'!$D$5:$D$92,'3100'!A158,'Daftar Koreksi'!$G$5:$G$92,"Aset Tetap Lainnya",'Daftar Koreksi'!$I$5:$I$92,"&gt;0")</f>
        <v>0</v>
      </c>
      <c r="F174" s="25">
        <f>SUMIFS('Daftar Koreksi'!$I$5:$I$92,'Daftar Koreksi'!$D$5:$D$92,'3100'!A158,'Daftar Koreksi'!$G$5:$G$92,"Aset Tetap Lainnya",'Daftar Koreksi'!$I$5:$I$92,"&lt;0")-SUMIFS('Daftar Koreksi'!$I$5:$I$92,'Daftar Koreksi'!$D$5:$D$92,'3100'!A158,'Daftar Koreksi'!$G$5:$G$92,"Aset Tetap Lainnya",'Daftar Koreksi'!$I$5:$I$92,"&lt;0")-SUMIFS('Daftar Koreksi'!$I$5:$I$92,'Daftar Koreksi'!$D$5:$D$92,'3100'!A158,'Daftar Koreksi'!$G$5:$G$92,"Aset Tetap Lainnya",'Daftar Koreksi'!$I$5:$I$92,"&lt;0")</f>
        <v>0</v>
      </c>
      <c r="G174" s="17">
        <f t="shared" si="7"/>
        <v>-13552000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0</v>
      </c>
      <c r="E175" s="25">
        <f>SUMIFS('Daftar Koreksi'!$I$5:$I$92,'Daftar Koreksi'!$D$5:$D$92,'3100'!A158,'Daftar Koreksi'!$G$5:$G$92,"Aset Henti Guna",'Daftar Koreksi'!$I$5:$I$92,"&gt;0")</f>
        <v>0</v>
      </c>
      <c r="F175" s="25">
        <f>SUMIFS('Daftar Koreksi'!$I$5:$I$92,'Daftar Koreksi'!$D$5:$D$92,'3100'!A158,'Daftar Koreksi'!$G$5:$G$92,"Aset Henti Guna",'Daftar Koreksi'!$I$5:$I$92,"&lt;0")-SUMIFS('Daftar Koreksi'!$I$5:$I$92,'Daftar Koreksi'!$D$5:$D$92,'3100'!A158,'Daftar Koreksi'!$G$5:$G$92,"Aset Henti Guna",'Daftar Koreksi'!$I$5:$I$92,"&lt;0")-SUMIFS('Daftar Koreksi'!$I$5:$I$92,'Daftar Koreksi'!$D$5:$D$92,'3100'!A158,'Daftar Koreksi'!$G$5:$G$92,"Aset Henti Guna",'Daftar Koreksi'!$I$5:$I$92,"&lt;0")</f>
        <v>0</v>
      </c>
      <c r="G175" s="17">
        <f t="shared" si="7"/>
        <v>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-4827419661</v>
      </c>
      <c r="E176" s="19">
        <f>SUM(E171:E175)</f>
        <v>0</v>
      </c>
      <c r="F176" s="19">
        <f>SUM(F171:F175)</f>
        <v>0</v>
      </c>
      <c r="G176" s="19">
        <f t="shared" si="7"/>
        <v>-4827419661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16424638271</v>
      </c>
      <c r="E177" s="19">
        <f>E176+E170</f>
        <v>0</v>
      </c>
      <c r="F177" s="19">
        <f>F176+F170</f>
        <v>0</v>
      </c>
      <c r="G177" s="19">
        <f t="shared" si="7"/>
        <v>16424638271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005013100670184000KD</v>
      </c>
      <c r="B180" s="11" t="str">
        <f>P9</f>
        <v>PN. Marisa</v>
      </c>
      <c r="C180" s="12" t="str">
        <f>A180&amp;" "&amp;B180</f>
        <v>005013100670184000KD PN. Marisa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1810750</v>
      </c>
      <c r="E183" s="25">
        <f>SUMIFS('Daftar Koreksi'!$H$5:$H$92,'Daftar Koreksi'!$D$5:$D$92,'3100'!A180,'Daftar Koreksi'!$G$5:$G$92,"Persediaan",'Daftar Koreksi'!$H$5:$H$92,"&gt;0")</f>
        <v>0</v>
      </c>
      <c r="F183" s="25">
        <f>SUMIFS('Daftar Koreksi'!$H$5:$H$92,'Daftar Koreksi'!$D$5:$D$92,'3100'!A180,'Daftar Koreksi'!$G$5:$G$92,"Persediaan",'Daftar Koreksi'!$H$5:$H$92,"&lt;0")-SUMIFS('Daftar Koreksi'!$H$5:$H$92,'Daftar Koreksi'!$D$5:$D$92,'3100'!A180,'Daftar Koreksi'!$G$5:$G$92,"Persediaan",'Daftar Koreksi'!$H$5:$H$92,"&lt;0")-SUMIFS('Daftar Koreksi'!$H$5:$H$92,'Daftar Koreksi'!$D$5:$D$92,'3100'!A180,'Daftar Koreksi'!$G$5:$G$92,"Persediaan",'Daftar Koreksi'!$H$5:$H$92,"&lt;0")</f>
        <v>0</v>
      </c>
      <c r="G183" s="17">
        <f>D183+E183-F183</f>
        <v>1810750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1313228000</v>
      </c>
      <c r="E184" s="25">
        <f>SUMIFS('Daftar Koreksi'!$H$5:$H$92,'Daftar Koreksi'!$D$5:$D$92,'3100'!A180,'Daftar Koreksi'!$G$5:$G$92,"Tanah",'Daftar Koreksi'!$H$5:$H$92,"&gt;0")</f>
        <v>0</v>
      </c>
      <c r="F184" s="25">
        <f>SUMIFS('Daftar Koreksi'!$H$5:$H$92,'Daftar Koreksi'!$D$5:$D$92,'3100'!A180,'Daftar Koreksi'!$G$5:$G$92,"Tanah",'Daftar Koreksi'!$H$5:$H$92,"&lt;0")-SUMIFS('Daftar Koreksi'!$H$5:$H$92,'Daftar Koreksi'!$D$5:$D$92,'3100'!A180,'Daftar Koreksi'!$G$5:$G$92,"Tanah",'Daftar Koreksi'!$H$5:$H$92,"&lt;0")-SUMIFS('Daftar Koreksi'!$H$5:$H$92,'Daftar Koreksi'!$D$5:$D$92,'3100'!A180,'Daftar Koreksi'!$G$5:$G$92,"Tanah",'Daftar Koreksi'!$H$5:$H$92,"&lt;0")</f>
        <v>0</v>
      </c>
      <c r="G184" s="17">
        <f t="shared" ref="G184:G200" si="8">D184+E184-F184</f>
        <v>1313228000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2509338731</v>
      </c>
      <c r="E185" s="25">
        <f>SUMIFS('Daftar Koreksi'!$H$5:$H$92,'Daftar Koreksi'!$D$5:$D$92,'3100'!A180,'Daftar Koreksi'!$G$5:$G$92,"Peralatan dan mesin",'Daftar Koreksi'!$H$5:$H$92,"&gt;0")</f>
        <v>0</v>
      </c>
      <c r="F185" s="25">
        <f>SUMIFS('Daftar Koreksi'!$H$5:$H$92,'Daftar Koreksi'!$D$5:$D$92,'3100'!A180,'Daftar Koreksi'!$G$5:$G$92,"Peralatan dan mesin",'Daftar Koreksi'!$H$5:$H$92,"&lt;0")-SUMIFS('Daftar Koreksi'!$H$5:$H$92,'Daftar Koreksi'!$D$5:$D$92,'3100'!A180,'Daftar Koreksi'!$G$5:$G$92,"Peralatan dan mesin",'Daftar Koreksi'!$H$5:$H$92,"&lt;0")-SUMIFS('Daftar Koreksi'!$H$5:$H$92,'Daftar Koreksi'!$D$5:$D$92,'3100'!A180,'Daftar Koreksi'!$G$5:$G$92,"Peralatan dan mesin",'Daftar Koreksi'!$H$5:$H$92,"&lt;0")</f>
        <v>0</v>
      </c>
      <c r="G185" s="17">
        <f t="shared" si="8"/>
        <v>2509338731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7676043351</v>
      </c>
      <c r="E186" s="25">
        <f>SUMIFS('Daftar Koreksi'!$H$5:$H$92,'Daftar Koreksi'!$D$5:$D$92,'3100'!A180,'Daftar Koreksi'!$G$5:$G$92,"Gedung dan Bangunan",'Daftar Koreksi'!$H$5:$H$92,"&gt;0")</f>
        <v>0</v>
      </c>
      <c r="F186" s="25">
        <f>SUMIFS('Daftar Koreksi'!$H$5:$H$92,'Daftar Koreksi'!$D$5:$D$92,'3100'!A180,'Daftar Koreksi'!$G$5:$G$92,"Gedung dan Bangunan",'Daftar Koreksi'!$H$5:$H$92,"&lt;0")-SUMIFS('Daftar Koreksi'!$H$5:$H$92,'Daftar Koreksi'!$D$5:$D$92,'3100'!A180,'Daftar Koreksi'!$G$5:$G$92,"Gedung dan Bangunan",'Daftar Koreksi'!$H$5:$H$92,"&lt;0")-SUMIFS('Daftar Koreksi'!$H$5:$H$92,'Daftar Koreksi'!$D$5:$D$92,'3100'!A180,'Daftar Koreksi'!$G$5:$G$92,"Gedung dan Bangunan",'Daftar Koreksi'!$H$5:$H$92,"&lt;0")</f>
        <v>0</v>
      </c>
      <c r="G186" s="17">
        <f t="shared" si="8"/>
        <v>7676043351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25000000</v>
      </c>
      <c r="E187" s="25">
        <f>SUMIFS('Daftar Koreksi'!$H$5:$H$92,'Daftar Koreksi'!$D$5:$D$92,'3100'!A180,'Daftar Koreksi'!$G$5:$G$92,"Jalan Irigasi Jaringan",'Daftar Koreksi'!$H$5:$H$92,"&gt;0")</f>
        <v>0</v>
      </c>
      <c r="F187" s="25">
        <f>SUMIFS('Daftar Koreksi'!$H$5:$H$92,'Daftar Koreksi'!$D$5:$D$92,'3100'!A180,'Daftar Koreksi'!$G$5:$G$92,"Jalan Irigasi Jaringan",'Daftar Koreksi'!$H$5:$H$92,"&lt;0")-SUMIFS('Daftar Koreksi'!$H$5:$H$92,'Daftar Koreksi'!$D$5:$D$92,'3100'!A180,'Daftar Koreksi'!$G$5:$G$92,"Jalan Irigasi Jaringan",'Daftar Koreksi'!$H$5:$H$92,"&lt;0")-SUMIFS('Daftar Koreksi'!$H$5:$H$92,'Daftar Koreksi'!$D$5:$D$92,'3100'!A180,'Daftar Koreksi'!$G$5:$G$92,"Jalan Irigasi Jaringan",'Daftar Koreksi'!$H$5:$H$92,"&lt;0")</f>
        <v>0</v>
      </c>
      <c r="G187" s="17">
        <f t="shared" si="8"/>
        <v>25000000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0</v>
      </c>
      <c r="E188" s="25">
        <f>SUMIFS('Daftar Koreksi'!$H$5:$H$92,'Daftar Koreksi'!$D$5:$D$92,'3100'!A180,'Daftar Koreksi'!$G$5:$G$92,"Aset Tetap Lainnya",'Daftar Koreksi'!$H$5:$H$92,"&gt;0")</f>
        <v>0</v>
      </c>
      <c r="F188" s="25">
        <f>SUMIFS('Daftar Koreksi'!$H$5:$H$92,'Daftar Koreksi'!$D$5:$D$92,'3100'!A180,'Daftar Koreksi'!$G$5:$G$92,"Aset Tetap Lainnya",'Daftar Koreksi'!$H$5:$H$92,"&lt;0")-SUMIFS('Daftar Koreksi'!$H$5:$H$92,'Daftar Koreksi'!$D$5:$D$92,'3100'!A180,'Daftar Koreksi'!$G$5:$G$92,"Aset Tetap Lainnya",'Daftar Koreksi'!$H$5:$H$92,"&lt;0")-SUMIFS('Daftar Koreksi'!$H$5:$H$92,'Daftar Koreksi'!$D$5:$D$92,'3100'!A180,'Daftar Koreksi'!$G$5:$G$92,"Aset Tetap Lainnya",'Daftar Koreksi'!$H$5:$H$92,"&lt;0")</f>
        <v>0</v>
      </c>
      <c r="G188" s="17">
        <f t="shared" si="8"/>
        <v>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Koreksi'!$D$5:$D$92,'3100'!A180,'Daftar Koreksi'!$G$5:$G$92,"Kontruksi Dalam Pengerjaan",'Daftar Koreksi'!$H$5:$H$92,"&gt;0")</f>
        <v>0</v>
      </c>
      <c r="F189" s="25">
        <f>SUMIFS('Daftar Koreksi'!$H$5:$H$92,'Daftar Koreksi'!$D$5:$D$92,'3100'!A180,'Daftar Koreksi'!$G$5:$G$92,"Kontruksi Dalam Pengerjaan",'Daftar Koreksi'!$H$5:$H$92,"&lt;0")-SUMIFS('Daftar Koreksi'!$H$5:$H$92,'Daftar Koreksi'!$D$5:$D$92,'3100'!A180,'Daftar Koreksi'!$G$5:$G$92,"Kontruksi Dalam Pengerjaan",'Daftar Koreksi'!$H$5:$H$92,"&lt;0")-SUMIFS('Daftar Koreksi'!$H$5:$H$92,'Daftar Koreksi'!$D$5:$D$92,'3100'!A180,'Daftar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Koreksi'!$D$5:$D$92,'3100'!A180,'Daftar Koreksi'!$G$5:$G$92,"Aset Tak Berwujud",'Daftar Koreksi'!$H$5:$H$92,"&gt;0")</f>
        <v>0</v>
      </c>
      <c r="F190" s="25">
        <f>SUMIFS('Daftar Koreksi'!$H$5:$H$92,'Daftar Koreksi'!$D$5:$D$92,'3100'!A180,'Daftar Koreksi'!$G$5:$G$92,"Aset Tak Berwujud",'Daftar Koreksi'!$H$5:$H$92,"&lt;0")-SUMIFS('Daftar Koreksi'!$H$5:$H$92,'Daftar Koreksi'!$D$5:$D$92,'3100'!A180,'Daftar Koreksi'!$G$5:$G$92,"Aset Tak Berwujud",'Daftar Koreksi'!$H$5:$H$92,"&lt;0")-SUMIFS('Daftar Koreksi'!$H$5:$H$92,'Daftar Koreksi'!$D$5:$D$92,'3100'!A180,'Daftar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Koreksi'!$D$5:$D$92,'3100'!A180,'Daftar Koreksi'!$G$5:$G$92,"Aset Henti Guna",'Daftar Koreksi'!$H$5:$H$92,"&gt;0")</f>
        <v>0</v>
      </c>
      <c r="F191" s="25">
        <f>SUMIFS('Daftar Koreksi'!$H$5:$H$92,'Daftar Koreksi'!$D$5:$D$92,'3100'!A180,'Daftar Koreksi'!$G$5:$G$92,"Aset Henti Guna",'Daftar Koreksi'!$H$5:$H$92,"&lt;0")-SUMIFS('Daftar Koreksi'!$H$5:$H$92,'Daftar Koreksi'!$D$5:$D$92,'3100'!A180,'Daftar Koreksi'!$G$5:$G$92,"Aset Henti Guna",'Daftar Koreksi'!$H$5:$H$92,"&lt;0")-SUMIFS('Daftar Koreksi'!$H$5:$H$92,'Daftar Koreksi'!$D$5:$D$92,'3100'!A180,'Daftar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11525420832</v>
      </c>
      <c r="E192" s="19">
        <f>SUM(E183:E191)</f>
        <v>0</v>
      </c>
      <c r="F192" s="19">
        <f>SUM(F183:F191)</f>
        <v>0</v>
      </c>
      <c r="G192" s="19">
        <f t="shared" si="8"/>
        <v>11525420832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-2105853960</v>
      </c>
      <c r="E193" s="25">
        <f>SUMIFS('Daftar Koreksi'!$I$5:$I$92,'Daftar Koreksi'!$D$5:$D$92,'3100'!A180,'Daftar Koreksi'!$G$5:$G$92,"Peralatan dan mesin",'Daftar Koreksi'!$I$5:$I$92,"&gt;0")</f>
        <v>0</v>
      </c>
      <c r="F193" s="25">
        <f>SUMIFS('Daftar Koreksi'!$I$5:$I$92,'Daftar Koreksi'!$D$5:$D$92,'3100'!A180,'Daftar Koreksi'!$G$5:$G$92,"Peralatan dan mesin",'Daftar Koreksi'!$I$5:$I$92,"&lt;0")-SUMIFS('Daftar Koreksi'!$I$5:$I$92,'Daftar Koreksi'!$D$5:$D$92,'3100'!A180,'Daftar Koreksi'!$G$5:$G$92,"Peralatan dan mesin",'Daftar Koreksi'!$I$5:$I$92,"&lt;0")-SUMIFS('Daftar Koreksi'!$I$5:$I$92,'Daftar Koreksi'!$D$5:$D$92,'3100'!A180,'Daftar Koreksi'!$G$5:$G$92,"Peralatan dan mesin",'Daftar Koreksi'!$I$5:$I$92,"&lt;0")</f>
        <v>0</v>
      </c>
      <c r="G193" s="17">
        <f t="shared" si="8"/>
        <v>-2105853960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-794789401</v>
      </c>
      <c r="E194" s="25">
        <f>SUMIFS('Daftar Koreksi'!$I$5:$I$92,'Daftar Koreksi'!$D$5:$D$92,'3100'!A180,'Daftar Koreksi'!$G$5:$G$92,"Gedung dan Bangunan",'Daftar Koreksi'!$I$5:$I$92,"&gt;0")</f>
        <v>0</v>
      </c>
      <c r="F194" s="25">
        <f>SUMIFS('Daftar Koreksi'!$I$5:$I$92,'Daftar Koreksi'!$D$5:$D$92,'3100'!A180,'Daftar Koreksi'!$G$5:$G$92,"Gedung dan Bangunan",'Daftar Koreksi'!$I$5:$I$92,"&lt;0")-SUMIFS('Daftar Koreksi'!$I$5:$I$92,'Daftar Koreksi'!$D$5:$D$92,'3100'!A180,'Daftar Koreksi'!$G$5:$G$92,"Gedung dan Bangunan",'Daftar Koreksi'!$I$5:$I$92,"&lt;0")-SUMIFS('Daftar Koreksi'!$I$5:$I$92,'Daftar Koreksi'!$D$5:$D$92,'3100'!A180,'Daftar Koreksi'!$G$5:$G$92,"Gedung dan Bangunan",'Daftar Koreksi'!$I$5:$I$92,"&lt;0")</f>
        <v>0</v>
      </c>
      <c r="G194" s="17">
        <f t="shared" si="8"/>
        <v>-794789401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-312500</v>
      </c>
      <c r="E195" s="25">
        <f>SUMIFS('Daftar Koreksi'!$I$5:$I$92,'Daftar Koreksi'!$D$5:$D$92,'3100'!A180,'Daftar Koreksi'!$G$5:$G$92,"Jalan Irigasi Jaringan",'Daftar Koreksi'!$I$5:$I$92,"&gt;0")</f>
        <v>0</v>
      </c>
      <c r="F195" s="25">
        <f>SUMIFS('Daftar Koreksi'!$I$5:$I$92,'Daftar Koreksi'!$D$5:$D$92,'3100'!A180,'Daftar Koreksi'!$G$5:$G$92,"Jalan Irigasi Jaringan",'Daftar Koreksi'!$I$5:$I$92,"&lt;0")-SUMIFS('Daftar Koreksi'!$I$5:$I$92,'Daftar Koreksi'!$D$5:$D$92,'3100'!A180,'Daftar Koreksi'!$G$5:$G$92,"Jalan Irigasi Jaringan",'Daftar Koreksi'!$I$5:$I$92,"&lt;0")-SUMIFS('Daftar Koreksi'!$I$5:$I$92,'Daftar Koreksi'!$D$5:$D$92,'3100'!A180,'Daftar Koreksi'!$G$5:$G$92,"Jalan Irigasi Jaringan",'Daftar Koreksi'!$I$5:$I$92,"&lt;0")</f>
        <v>0</v>
      </c>
      <c r="G195" s="17">
        <f t="shared" si="8"/>
        <v>-312500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Koreksi'!$D$5:$D$92,'3100'!A180,'Daftar Koreksi'!$G$5:$G$92,"Aset Tetap Lainnya",'Daftar Koreksi'!$I$5:$I$92,"&gt;0")</f>
        <v>0</v>
      </c>
      <c r="F196" s="25">
        <f>SUMIFS('Daftar Koreksi'!$I$5:$I$92,'Daftar Koreksi'!$D$5:$D$92,'3100'!A180,'Daftar Koreksi'!$G$5:$G$92,"Aset Tetap Lainnya",'Daftar Koreksi'!$I$5:$I$92,"&lt;0")-SUMIFS('Daftar Koreksi'!$I$5:$I$92,'Daftar Koreksi'!$D$5:$D$92,'3100'!A180,'Daftar Koreksi'!$G$5:$G$92,"Aset Tetap Lainnya",'Daftar Koreksi'!$I$5:$I$92,"&lt;0")-SUMIFS('Daftar Koreksi'!$I$5:$I$92,'Daftar Koreksi'!$D$5:$D$92,'3100'!A180,'Daftar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Koreksi'!$D$5:$D$92,'3100'!A180,'Daftar Koreksi'!$G$5:$G$92,"Aset Henti Guna",'Daftar Koreksi'!$I$5:$I$92,"&gt;0")</f>
        <v>0</v>
      </c>
      <c r="F197" s="25">
        <f>SUMIFS('Daftar Koreksi'!$I$5:$I$92,'Daftar Koreksi'!$D$5:$D$92,'3100'!A180,'Daftar Koreksi'!$G$5:$G$92,"Aset Henti Guna",'Daftar Koreksi'!$I$5:$I$92,"&lt;0")-SUMIFS('Daftar Koreksi'!$I$5:$I$92,'Daftar Koreksi'!$D$5:$D$92,'3100'!A180,'Daftar Koreksi'!$G$5:$G$92,"Aset Henti Guna",'Daftar Koreksi'!$I$5:$I$92,"&lt;0")-SUMIFS('Daftar Koreksi'!$I$5:$I$92,'Daftar Koreksi'!$D$5:$D$92,'3100'!A180,'Daftar Koreksi'!$G$5:$G$92,"Aset Henti Guna",'Daftar Koreksi'!$I$5:$I$92,"&lt;0")</f>
        <v>0</v>
      </c>
      <c r="G197" s="17">
        <f t="shared" si="8"/>
        <v>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-2900955861</v>
      </c>
      <c r="E198" s="19">
        <f>SUM(E193:E197)</f>
        <v>0</v>
      </c>
      <c r="F198" s="19">
        <f>SUM(F193:F197)</f>
        <v>0</v>
      </c>
      <c r="G198" s="19">
        <f t="shared" si="8"/>
        <v>-2900955861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8624464971</v>
      </c>
      <c r="E199" s="19">
        <f>E198+E192</f>
        <v>0</v>
      </c>
      <c r="F199" s="19">
        <f>F198+F192</f>
        <v>0</v>
      </c>
      <c r="G199" s="19">
        <f t="shared" si="8"/>
        <v>8624464971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005013100682185000KD</v>
      </c>
      <c r="B202" s="11" t="str">
        <f>P10</f>
        <v>PA. Marisa</v>
      </c>
      <c r="C202" s="12" t="str">
        <f>A202&amp;" "&amp;B202</f>
        <v>005013100682185000KD PA. Marisa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139000</v>
      </c>
      <c r="E205" s="25">
        <f>SUMIFS('Daftar Koreksi'!$H$5:$H$92,'Daftar Koreksi'!$D$5:$D$92,'3100'!A202,'Daftar Koreksi'!$G$5:$G$92,"Persediaan",'Daftar Koreksi'!$H$5:$H$92,"&gt;0")</f>
        <v>0</v>
      </c>
      <c r="F205" s="25">
        <f>SUMIFS('Daftar Koreksi'!$H$5:$H$92,'Daftar Koreksi'!$D$5:$D$92,'3100'!A202,'Daftar Koreksi'!$G$5:$G$92,"Persediaan",'Daftar Koreksi'!$H$5:$H$92,"&lt;0")-SUMIFS('Daftar Koreksi'!$H$5:$H$92,'Daftar Koreksi'!$D$5:$D$92,'3100'!A202,'Daftar Koreksi'!$G$5:$G$92,"Persediaan",'Daftar Koreksi'!$H$5:$H$92,"&lt;0")-SUMIFS('Daftar Koreksi'!$H$5:$H$92,'Daftar Koreksi'!$D$5:$D$92,'3100'!A202,'Daftar Koreksi'!$G$5:$G$92,"Persediaan",'Daftar Koreksi'!$H$5:$H$92,"&lt;0")</f>
        <v>0</v>
      </c>
      <c r="G205" s="17">
        <f>D205+E205-F205</f>
        <v>139000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1274434100</v>
      </c>
      <c r="E206" s="25">
        <f>SUMIFS('Daftar Koreksi'!$H$5:$H$92,'Daftar Koreksi'!$D$5:$D$92,'3100'!A202,'Daftar Koreksi'!$G$5:$G$92,"Tanah",'Daftar Koreksi'!$H$5:$H$92,"&gt;0")</f>
        <v>0</v>
      </c>
      <c r="F206" s="25">
        <f>SUMIFS('Daftar Koreksi'!$H$5:$H$92,'Daftar Koreksi'!$D$5:$D$92,'3100'!A202,'Daftar Koreksi'!$G$5:$G$92,"Tanah",'Daftar Koreksi'!$H$5:$H$92,"&lt;0")-SUMIFS('Daftar Koreksi'!$H$5:$H$92,'Daftar Koreksi'!$D$5:$D$92,'3100'!A202,'Daftar Koreksi'!$G$5:$G$92,"Tanah",'Daftar Koreksi'!$H$5:$H$92,"&lt;0")-SUMIFS('Daftar Koreksi'!$H$5:$H$92,'Daftar Koreksi'!$D$5:$D$92,'3100'!A202,'Daftar Koreksi'!$G$5:$G$92,"Tanah",'Daftar Koreksi'!$H$5:$H$92,"&lt;0")</f>
        <v>0</v>
      </c>
      <c r="G206" s="17">
        <f t="shared" ref="G206:G222" si="9">D206+E206-F206</f>
        <v>1274434100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1084529309</v>
      </c>
      <c r="E207" s="25">
        <f>SUMIFS('Daftar Koreksi'!$H$5:$H$92,'Daftar Koreksi'!$D$5:$D$92,'3100'!A202,'Daftar Koreksi'!$G$5:$G$92,"Peralatan dan mesin",'Daftar Koreksi'!$H$5:$H$92,"&gt;0")</f>
        <v>0</v>
      </c>
      <c r="F207" s="25">
        <f>SUMIFS('Daftar Koreksi'!$H$5:$H$92,'Daftar Koreksi'!$D$5:$D$92,'3100'!A202,'Daftar Koreksi'!$G$5:$G$92,"Peralatan dan mesin",'Daftar Koreksi'!$H$5:$H$92,"&lt;0")-SUMIFS('Daftar Koreksi'!$H$5:$H$92,'Daftar Koreksi'!$D$5:$D$92,'3100'!A202,'Daftar Koreksi'!$G$5:$G$92,"Peralatan dan mesin",'Daftar Koreksi'!$H$5:$H$92,"&lt;0")-SUMIFS('Daftar Koreksi'!$H$5:$H$92,'Daftar Koreksi'!$D$5:$D$92,'3100'!A202,'Daftar Koreksi'!$G$5:$G$92,"Peralatan dan mesin",'Daftar Koreksi'!$H$5:$H$92,"&lt;0")</f>
        <v>0</v>
      </c>
      <c r="G207" s="17">
        <f t="shared" si="9"/>
        <v>1084529309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6740688016</v>
      </c>
      <c r="E208" s="25">
        <f>SUMIFS('Daftar Koreksi'!$H$5:$H$92,'Daftar Koreksi'!$D$5:$D$92,'3100'!A202,'Daftar Koreksi'!$G$5:$G$92,"Gedung dan Bangunan",'Daftar Koreksi'!$H$5:$H$92,"&gt;0")</f>
        <v>0</v>
      </c>
      <c r="F208" s="25">
        <f>SUMIFS('Daftar Koreksi'!$H$5:$H$92,'Daftar Koreksi'!$D$5:$D$92,'3100'!A202,'Daftar Koreksi'!$G$5:$G$92,"Gedung dan Bangunan",'Daftar Koreksi'!$H$5:$H$92,"&lt;0")-SUMIFS('Daftar Koreksi'!$H$5:$H$92,'Daftar Koreksi'!$D$5:$D$92,'3100'!A202,'Daftar Koreksi'!$G$5:$G$92,"Gedung dan Bangunan",'Daftar Koreksi'!$H$5:$H$92,"&lt;0")-SUMIFS('Daftar Koreksi'!$H$5:$H$92,'Daftar Koreksi'!$D$5:$D$92,'3100'!A202,'Daftar Koreksi'!$G$5:$G$92,"Gedung dan Bangunan",'Daftar Koreksi'!$H$5:$H$92,"&lt;0")</f>
        <v>0</v>
      </c>
      <c r="G208" s="17">
        <f t="shared" si="9"/>
        <v>6740688016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Koreksi'!$D$5:$D$92,'3100'!A202,'Daftar Koreksi'!$G$5:$G$92,"Jalan Irigasi Jaringan",'Daftar Koreksi'!$H$5:$H$92,"&gt;0")</f>
        <v>0</v>
      </c>
      <c r="F209" s="25">
        <f>SUMIFS('Daftar Koreksi'!$H$5:$H$92,'Daftar Koreksi'!$D$5:$D$92,'3100'!A202,'Daftar Koreksi'!$G$5:$G$92,"Jalan Irigasi Jaringan",'Daftar Koreksi'!$H$5:$H$92,"&lt;0")-SUMIFS('Daftar Koreksi'!$H$5:$H$92,'Daftar Koreksi'!$D$5:$D$92,'3100'!A202,'Daftar Koreksi'!$G$5:$G$92,"Jalan Irigasi Jaringan",'Daftar Koreksi'!$H$5:$H$92,"&lt;0")-SUMIFS('Daftar Koreksi'!$H$5:$H$92,'Daftar Koreksi'!$D$5:$D$92,'3100'!A202,'Daftar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1843000</v>
      </c>
      <c r="E210" s="25">
        <f>SUMIFS('Daftar Koreksi'!$H$5:$H$92,'Daftar Koreksi'!$D$5:$D$92,'3100'!A202,'Daftar Koreksi'!$G$5:$G$92,"Aset Tetap Lainnya",'Daftar Koreksi'!$H$5:$H$92,"&gt;0")</f>
        <v>0</v>
      </c>
      <c r="F210" s="25">
        <f>SUMIFS('Daftar Koreksi'!$H$5:$H$92,'Daftar Koreksi'!$D$5:$D$92,'3100'!A202,'Daftar Koreksi'!$G$5:$G$92,"Aset Tetap Lainnya",'Daftar Koreksi'!$H$5:$H$92,"&lt;0")-SUMIFS('Daftar Koreksi'!$H$5:$H$92,'Daftar Koreksi'!$D$5:$D$92,'3100'!A202,'Daftar Koreksi'!$G$5:$G$92,"Aset Tetap Lainnya",'Daftar Koreksi'!$H$5:$H$92,"&lt;0")-SUMIFS('Daftar Koreksi'!$H$5:$H$92,'Daftar Koreksi'!$D$5:$D$92,'3100'!A202,'Daftar Koreksi'!$G$5:$G$92,"Aset Tetap Lainnya",'Daftar Koreksi'!$H$5:$H$92,"&lt;0")</f>
        <v>0</v>
      </c>
      <c r="G210" s="17">
        <f t="shared" si="9"/>
        <v>1843000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Koreksi'!$D$5:$D$92,'3100'!A202,'Daftar Koreksi'!$G$5:$G$92,"Kontruksi Dalam Pengerjaan",'Daftar Koreksi'!$H$5:$H$92,"&gt;0")</f>
        <v>0</v>
      </c>
      <c r="F211" s="25">
        <f>SUMIFS('Daftar Koreksi'!$H$5:$H$92,'Daftar Koreksi'!$D$5:$D$92,'3100'!A202,'Daftar Koreksi'!$G$5:$G$92,"Kontruksi Dalam Pengerjaan",'Daftar Koreksi'!$H$5:$H$92,"&lt;0")-SUMIFS('Daftar Koreksi'!$H$5:$H$92,'Daftar Koreksi'!$D$5:$D$92,'3100'!A202,'Daftar Koreksi'!$G$5:$G$92,"Kontruksi Dalam Pengerjaan",'Daftar Koreksi'!$H$5:$H$92,"&lt;0")-SUMIFS('Daftar Koreksi'!$H$5:$H$92,'Daftar Koreksi'!$D$5:$D$92,'3100'!A202,'Daftar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Koreksi'!$D$5:$D$92,'3100'!A202,'Daftar Koreksi'!$G$5:$G$92,"Aset Tak Berwujud",'Daftar Koreksi'!$H$5:$H$92,"&gt;0")</f>
        <v>0</v>
      </c>
      <c r="F212" s="25">
        <f>SUMIFS('Daftar Koreksi'!$H$5:$H$92,'Daftar Koreksi'!$D$5:$D$92,'3100'!A202,'Daftar Koreksi'!$G$5:$G$92,"Aset Tak Berwujud",'Daftar Koreksi'!$H$5:$H$92,"&lt;0")-SUMIFS('Daftar Koreksi'!$H$5:$H$92,'Daftar Koreksi'!$D$5:$D$92,'3100'!A202,'Daftar Koreksi'!$G$5:$G$92,"Aset Tak Berwujud",'Daftar Koreksi'!$H$5:$H$92,"&lt;0")-SUMIFS('Daftar Koreksi'!$H$5:$H$92,'Daftar Koreksi'!$D$5:$D$92,'3100'!A202,'Daftar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Koreksi'!$D$5:$D$92,'3100'!A202,'Daftar Koreksi'!$G$5:$G$92,"Aset Henti Guna",'Daftar Koreksi'!$H$5:$H$92,"&gt;0")</f>
        <v>0</v>
      </c>
      <c r="F213" s="25">
        <f>SUMIFS('Daftar Koreksi'!$H$5:$H$92,'Daftar Koreksi'!$D$5:$D$92,'3100'!A202,'Daftar Koreksi'!$G$5:$G$92,"Aset Henti Guna",'Daftar Koreksi'!$H$5:$H$92,"&lt;0")-SUMIFS('Daftar Koreksi'!$H$5:$H$92,'Daftar Koreksi'!$D$5:$D$92,'3100'!A202,'Daftar Koreksi'!$G$5:$G$92,"Aset Henti Guna",'Daftar Koreksi'!$H$5:$H$92,"&lt;0")-SUMIFS('Daftar Koreksi'!$H$5:$H$92,'Daftar Koreksi'!$D$5:$D$92,'3100'!A202,'Daftar Koreksi'!$G$5:$G$92,"Aset Henti Guna",'Daftar Koreksi'!$H$5:$H$92,"&lt;0")</f>
        <v>0</v>
      </c>
      <c r="G213" s="17">
        <f t="shared" si="9"/>
        <v>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9101633425</v>
      </c>
      <c r="E214" s="19">
        <f>SUM(E205:E213)</f>
        <v>0</v>
      </c>
      <c r="F214" s="19">
        <f>SUM(F205:F213)</f>
        <v>0</v>
      </c>
      <c r="G214" s="19">
        <f t="shared" si="9"/>
        <v>9101633425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-431748374</v>
      </c>
      <c r="E215" s="25">
        <f>SUMIFS('Daftar Koreksi'!$I$5:$I$92,'Daftar Koreksi'!$D$5:$D$92,'3100'!A202,'Daftar Koreksi'!$G$5:$G$92,"Peralatan dan mesin",'Daftar Koreksi'!$I$5:$I$92,"&gt;0")</f>
        <v>0</v>
      </c>
      <c r="F215" s="25">
        <f>SUMIFS('Daftar Koreksi'!$I$5:$I$92,'Daftar Koreksi'!$D$5:$D$92,'3100'!A202,'Daftar Koreksi'!$G$5:$G$92,"Peralatan dan mesin",'Daftar Koreksi'!$I$5:$I$92,"&lt;0")-SUMIFS('Daftar Koreksi'!$I$5:$I$92,'Daftar Koreksi'!$D$5:$D$92,'3100'!A202,'Daftar Koreksi'!$G$5:$G$92,"Peralatan dan mesin",'Daftar Koreksi'!$I$5:$I$92,"&lt;0")-SUMIFS('Daftar Koreksi'!$I$5:$I$92,'Daftar Koreksi'!$D$5:$D$92,'3100'!A202,'Daftar Koreksi'!$G$5:$G$92,"Peralatan dan mesin",'Daftar Koreksi'!$I$5:$I$92,"&lt;0")</f>
        <v>0</v>
      </c>
      <c r="G215" s="17">
        <f t="shared" si="9"/>
        <v>-431748374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-67406880</v>
      </c>
      <c r="E216" s="25">
        <f>SUMIFS('Daftar Koreksi'!$I$5:$I$92,'Daftar Koreksi'!$D$5:$D$92,'3100'!A202,'Daftar Koreksi'!$G$5:$G$92,"Gedung dan Bangunan",'Daftar Koreksi'!$I$5:$I$92,"&gt;0")</f>
        <v>0</v>
      </c>
      <c r="F216" s="25">
        <f>SUMIFS('Daftar Koreksi'!$I$5:$I$92,'Daftar Koreksi'!$D$5:$D$92,'3100'!A202,'Daftar Koreksi'!$G$5:$G$92,"Gedung dan Bangunan",'Daftar Koreksi'!$I$5:$I$92,"&lt;0")-SUMIFS('Daftar Koreksi'!$I$5:$I$92,'Daftar Koreksi'!$D$5:$D$92,'3100'!A202,'Daftar Koreksi'!$G$5:$G$92,"Gedung dan Bangunan",'Daftar Koreksi'!$I$5:$I$92,"&lt;0")-SUMIFS('Daftar Koreksi'!$I$5:$I$92,'Daftar Koreksi'!$D$5:$D$92,'3100'!A202,'Daftar Koreksi'!$G$5:$G$92,"Gedung dan Bangunan",'Daftar Koreksi'!$I$5:$I$92,"&lt;0")</f>
        <v>0</v>
      </c>
      <c r="G216" s="17">
        <f t="shared" si="9"/>
        <v>-67406880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Koreksi'!$D$5:$D$92,'3100'!A202,'Daftar Koreksi'!$G$5:$G$92,"Jalan Irigasi Jaringan",'Daftar Koreksi'!$I$5:$I$92,"&gt;0")</f>
        <v>0</v>
      </c>
      <c r="F217" s="25">
        <f>SUMIFS('Daftar Koreksi'!$I$5:$I$92,'Daftar Koreksi'!$D$5:$D$92,'3100'!A202,'Daftar Koreksi'!$G$5:$G$92,"Jalan Irigasi Jaringan",'Daftar Koreksi'!$I$5:$I$92,"&lt;0")-SUMIFS('Daftar Koreksi'!$I$5:$I$92,'Daftar Koreksi'!$D$5:$D$92,'3100'!A202,'Daftar Koreksi'!$G$5:$G$92,"Jalan Irigasi Jaringan",'Daftar Koreksi'!$I$5:$I$92,"&lt;0")-SUMIFS('Daftar Koreksi'!$I$5:$I$92,'Daftar Koreksi'!$D$5:$D$92,'3100'!A202,'Daftar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Koreksi'!$D$5:$D$92,'3100'!A202,'Daftar Koreksi'!$G$5:$G$92,"Aset Tetap Lainnya",'Daftar Koreksi'!$I$5:$I$92,"&gt;0")</f>
        <v>0</v>
      </c>
      <c r="F218" s="25">
        <f>SUMIFS('Daftar Koreksi'!$I$5:$I$92,'Daftar Koreksi'!$D$5:$D$92,'3100'!A202,'Daftar Koreksi'!$G$5:$G$92,"Aset Tetap Lainnya",'Daftar Koreksi'!$I$5:$I$92,"&lt;0")-SUMIFS('Daftar Koreksi'!$I$5:$I$92,'Daftar Koreksi'!$D$5:$D$92,'3100'!A202,'Daftar Koreksi'!$G$5:$G$92,"Aset Tetap Lainnya",'Daftar Koreksi'!$I$5:$I$92,"&lt;0")-SUMIFS('Daftar Koreksi'!$I$5:$I$92,'Daftar Koreksi'!$D$5:$D$92,'3100'!A202,'Daftar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Koreksi'!$D$5:$D$92,'3100'!A202,'Daftar Koreksi'!$G$5:$G$92,"Aset Henti Guna",'Daftar Koreksi'!$I$5:$I$92,"&gt;0")</f>
        <v>0</v>
      </c>
      <c r="F219" s="25">
        <f>SUMIFS('Daftar Koreksi'!$I$5:$I$92,'Daftar Koreksi'!$D$5:$D$92,'3100'!A202,'Daftar Koreksi'!$G$5:$G$92,"Aset Henti Guna",'Daftar Koreksi'!$I$5:$I$92,"&lt;0")-SUMIFS('Daftar Koreksi'!$I$5:$I$92,'Daftar Koreksi'!$D$5:$D$92,'3100'!A202,'Daftar Koreksi'!$G$5:$G$92,"Aset Henti Guna",'Daftar Koreksi'!$I$5:$I$92,"&lt;0")-SUMIFS('Daftar Koreksi'!$I$5:$I$92,'Daftar Koreksi'!$D$5:$D$92,'3100'!A202,'Daftar Koreksi'!$G$5:$G$92,"Aset Henti Guna",'Daftar Koreksi'!$I$5:$I$92,"&lt;0")</f>
        <v>0</v>
      </c>
      <c r="G219" s="17">
        <f t="shared" si="9"/>
        <v>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-499155254</v>
      </c>
      <c r="E220" s="19">
        <f>SUM(E215:E219)</f>
        <v>0</v>
      </c>
      <c r="F220" s="19">
        <f>SUM(F215:F219)</f>
        <v>0</v>
      </c>
      <c r="G220" s="19">
        <f t="shared" si="9"/>
        <v>-499155254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8602478171</v>
      </c>
      <c r="E221" s="19">
        <f>E220+E214</f>
        <v>0</v>
      </c>
      <c r="F221" s="19">
        <f>F220+F214</f>
        <v>0</v>
      </c>
      <c r="G221" s="19">
        <f t="shared" si="9"/>
        <v>8602478171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</sheetData>
  <mergeCells count="60"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P244"/>
  <sheetViews>
    <sheetView view="pageBreakPreview" topLeftCell="C1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809</v>
      </c>
      <c r="P1" s="8" t="s">
        <v>1945</v>
      </c>
    </row>
    <row r="2" spans="1:16" ht="19.5" customHeight="1">
      <c r="C2" s="9" t="s">
        <v>2127</v>
      </c>
      <c r="O2" s="8" t="s">
        <v>810</v>
      </c>
      <c r="P2" s="8" t="s">
        <v>1946</v>
      </c>
    </row>
    <row r="3" spans="1:16" ht="19.5" customHeight="1">
      <c r="O3" s="8" t="s">
        <v>811</v>
      </c>
      <c r="P3" s="8" t="s">
        <v>1947</v>
      </c>
    </row>
    <row r="4" spans="1:16" ht="19.5" customHeight="1">
      <c r="A4" s="11" t="str">
        <f>O1</f>
        <v>005013200098881000KD</v>
      </c>
      <c r="B4" s="11" t="str">
        <f>P1</f>
        <v>PN. Tanjung Pinang</v>
      </c>
      <c r="C4" s="12" t="str">
        <f>A4&amp;" "&amp;B4</f>
        <v>005013200098881000KD PN. Tanjung Pinang</v>
      </c>
      <c r="D4" s="13"/>
      <c r="E4" s="13"/>
      <c r="F4" s="13"/>
      <c r="G4" s="13"/>
      <c r="H4" s="11"/>
      <c r="O4" s="8" t="s">
        <v>812</v>
      </c>
      <c r="P4" s="8" t="s">
        <v>1948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813</v>
      </c>
      <c r="P5" s="8" t="s">
        <v>1949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814</v>
      </c>
      <c r="P6" s="8" t="s">
        <v>1950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0</v>
      </c>
      <c r="E7" s="25">
        <f>SUMIFS('Daftar Koreksi'!$H$5:$H$92,'Daftar Koreksi'!$D$5:$D$92,'3200'!A4,'Daftar Koreksi'!$G$5:$G$92,"Persediaan",'Daftar Koreksi'!$H$5:$H$92,"&gt;0")</f>
        <v>0</v>
      </c>
      <c r="F7" s="25">
        <f>SUMIFS('Daftar Koreksi'!$H$5:$H$92,'Daftar Koreksi'!$D$5:$D$92,'3200'!A4,'Daftar Koreksi'!$G$5:$G$92,"Persediaan",'Daftar Koreksi'!$H$5:$H$92,"&lt;0")-SUMIFS('Daftar Koreksi'!$H$5:$H$92,'Daftar Koreksi'!$D$5:$D$92,'3200'!A4,'Daftar Koreksi'!$G$5:$G$92,"Persediaan",'Daftar Koreksi'!$H$5:$H$92,"&lt;0")-SUMIFS('Daftar Koreksi'!$H$5:$H$92,'Daftar Koreksi'!$D$5:$D$92,'3200'!A4,'Daftar Koreksi'!$G$5:$G$92,"Persediaan",'Daftar Koreksi'!$H$5:$H$92,"&lt;0")</f>
        <v>0</v>
      </c>
      <c r="G7" s="17">
        <f>D7+E7-F7</f>
        <v>0</v>
      </c>
      <c r="H7" s="121" t="str">
        <f>IF(ISNA(VLOOKUP(A4,'Mutasi Neraca'!$A$3:$S$914,19,FALSE)),"-",VLOOKUP(A4,'Mutasi Neraca'!$A$3:$S$914,19,FALSE))</f>
        <v>-</v>
      </c>
      <c r="O7" s="8" t="s">
        <v>815</v>
      </c>
      <c r="P7" s="8" t="s">
        <v>1951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8604672870</v>
      </c>
      <c r="E8" s="25">
        <f>SUMIFS('Daftar Koreksi'!$H$5:$H$92,'Daftar Koreksi'!$D$5:$D$92,'3200'!A4,'Daftar Koreksi'!$G$5:$G$92,"Tanah",'Daftar Koreksi'!$H$5:$H$92,"&gt;0")</f>
        <v>0</v>
      </c>
      <c r="F8" s="25">
        <f>SUMIFS('Daftar Koreksi'!$H$5:$H$92,'Daftar Koreksi'!$D$5:$D$92,'3200'!A4,'Daftar Koreksi'!$G$5:$G$92,"Tanah",'Daftar Koreksi'!$H$5:$H$92,"&lt;0")-SUMIFS('Daftar Koreksi'!$H$5:$H$92,'Daftar Koreksi'!$D$5:$D$92,'3200'!A4,'Daftar Koreksi'!$G$5:$G$92,"Tanah",'Daftar Koreksi'!$H$5:$H$92,"&lt;0")-SUMIFS('Daftar Koreksi'!$H$5:$H$92,'Daftar Koreksi'!$D$5:$D$92,'3200'!A4,'Daftar Koreksi'!$G$5:$G$92,"Tanah",'Daftar Koreksi'!$H$5:$H$92,"&lt;0")</f>
        <v>0</v>
      </c>
      <c r="G8" s="17">
        <f t="shared" ref="G8:G24" si="0">D8+E8-F8</f>
        <v>8604672870</v>
      </c>
      <c r="H8" s="122"/>
      <c r="O8" s="8" t="s">
        <v>816</v>
      </c>
      <c r="P8" s="8" t="s">
        <v>1952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1897673045</v>
      </c>
      <c r="E9" s="25">
        <f>SUMIFS('Daftar Koreksi'!$H$5:$H$92,'Daftar Koreksi'!$D$5:$D$92,'3200'!A4,'Daftar Koreksi'!$G$5:$G$92,"Peralatan dan mesin",'Daftar Koreksi'!$H$5:$H$92,"&gt;0")</f>
        <v>0</v>
      </c>
      <c r="F9" s="25">
        <f>SUMIFS('Daftar Koreksi'!$H$5:$H$92,'Daftar Koreksi'!$D$5:$D$92,'3200'!A4,'Daftar Koreksi'!$G$5:$G$92,"Peralatan dan mesin",'Daftar Koreksi'!$H$5:$H$92,"&lt;0")-SUMIFS('Daftar Koreksi'!$H$5:$H$92,'Daftar Koreksi'!$D$5:$D$92,'3200'!A4,'Daftar Koreksi'!$G$5:$G$92,"Peralatan dan mesin",'Daftar Koreksi'!$H$5:$H$92,"&lt;0")-SUMIFS('Daftar Koreksi'!$H$5:$H$92,'Daftar Koreksi'!$D$5:$D$92,'3200'!A4,'Daftar Koreksi'!$G$5:$G$92,"Peralatan dan mesin",'Daftar Koreksi'!$H$5:$H$92,"&lt;0")</f>
        <v>0</v>
      </c>
      <c r="G9" s="17">
        <f t="shared" si="0"/>
        <v>1897673045</v>
      </c>
      <c r="H9" s="122"/>
      <c r="O9" s="8" t="s">
        <v>817</v>
      </c>
      <c r="P9" s="8" t="s">
        <v>1953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7338925679</v>
      </c>
      <c r="E10" s="25">
        <f>SUMIFS('Daftar Koreksi'!$H$5:$H$92,'Daftar Koreksi'!$D$5:$D$92,'3200'!A4,'Daftar Koreksi'!$G$5:$G$92,"Gedung dan Bangunan",'Daftar Koreksi'!$H$5:$H$92,"&gt;0")</f>
        <v>0</v>
      </c>
      <c r="F10" s="25">
        <f>SUMIFS('Daftar Koreksi'!$H$5:$H$92,'Daftar Koreksi'!$D$5:$D$92,'3200'!A4,'Daftar Koreksi'!$G$5:$G$92,"Gedung dan Bangunan",'Daftar Koreksi'!$H$5:$H$92,"&lt;0")-SUMIFS('Daftar Koreksi'!$H$5:$H$92,'Daftar Koreksi'!$D$5:$D$92,'3200'!A4,'Daftar Koreksi'!$G$5:$G$92,"Gedung dan Bangunan",'Daftar Koreksi'!$H$5:$H$92,"&lt;0")-SUMIFS('Daftar Koreksi'!$H$5:$H$92,'Daftar Koreksi'!$D$5:$D$92,'3200'!A4,'Daftar Koreksi'!$G$5:$G$92,"Gedung dan Bangunan",'Daftar Koreksi'!$H$5:$H$92,"&lt;0")</f>
        <v>0</v>
      </c>
      <c r="G10" s="17">
        <f t="shared" si="0"/>
        <v>7338925679</v>
      </c>
      <c r="H10" s="122"/>
      <c r="O10" s="8" t="s">
        <v>818</v>
      </c>
      <c r="P10" s="8" t="s">
        <v>1954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94930000</v>
      </c>
      <c r="E11" s="25">
        <f>SUMIFS('Daftar Koreksi'!$H$5:$H$92,'Daftar Koreksi'!$D$5:$D$92,'3200'!A4,'Daftar Koreksi'!$G$5:$G$92,"Jalan Irigasi Jaringan",'Daftar Koreksi'!$H$5:$H$92,"&gt;0")</f>
        <v>0</v>
      </c>
      <c r="F11" s="25">
        <f>SUMIFS('Daftar Koreksi'!$H$5:$H$92,'Daftar Koreksi'!$D$5:$D$92,'3200'!A4,'Daftar Koreksi'!$G$5:$G$92,"Jalan Irigasi Jaringan",'Daftar Koreksi'!$H$5:$H$92,"&lt;0")-SUMIFS('Daftar Koreksi'!$H$5:$H$92,'Daftar Koreksi'!$D$5:$D$92,'3200'!A4,'Daftar Koreksi'!$G$5:$G$92,"Jalan Irigasi Jaringan",'Daftar Koreksi'!$H$5:$H$92,"&lt;0")-SUMIFS('Daftar Koreksi'!$H$5:$H$92,'Daftar Koreksi'!$D$5:$D$92,'3200'!A4,'Daftar Koreksi'!$G$5:$G$92,"Jalan Irigasi Jaringan",'Daftar Koreksi'!$H$5:$H$92,"&lt;0")</f>
        <v>0</v>
      </c>
      <c r="G11" s="17">
        <f t="shared" si="0"/>
        <v>94930000</v>
      </c>
      <c r="H11" s="122"/>
      <c r="O11" s="8" t="s">
        <v>819</v>
      </c>
      <c r="P11" s="8" t="s">
        <v>1955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1943440</v>
      </c>
      <c r="E12" s="25">
        <f>SUMIFS('Daftar Koreksi'!$H$5:$H$92,'Daftar Koreksi'!$D$5:$D$92,'3200'!A4,'Daftar Koreksi'!$G$5:$G$92,"Aset Tetap Lainnya",'Daftar Koreksi'!$H$5:$H$92,"&gt;0")</f>
        <v>0</v>
      </c>
      <c r="F12" s="25">
        <f>SUMIFS('Daftar Koreksi'!$H$5:$H$92,'Daftar Koreksi'!$D$5:$D$92,'3200'!A4,'Daftar Koreksi'!$G$5:$G$92,"Aset Tetap Lainnya",'Daftar Koreksi'!$H$5:$H$92,"&lt;0")-SUMIFS('Daftar Koreksi'!$H$5:$H$92,'Daftar Koreksi'!$D$5:$D$92,'3200'!A4,'Daftar Koreksi'!$G$5:$G$92,"Aset Tetap Lainnya",'Daftar Koreksi'!$H$5:$H$92,"&lt;0")-SUMIFS('Daftar Koreksi'!$H$5:$H$92,'Daftar Koreksi'!$D$5:$D$92,'3200'!A4,'Daftar Koreksi'!$G$5:$G$92,"Aset Tetap Lainnya",'Daftar Koreksi'!$H$5:$H$92,"&lt;0")</f>
        <v>0</v>
      </c>
      <c r="G12" s="17">
        <f t="shared" si="0"/>
        <v>1943440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Koreksi'!$D$5:$D$92,'3200'!A4,'Daftar Koreksi'!$G$5:$G$92,"Kontruksi Dalam Pengerjaan",'Daftar Koreksi'!$H$5:$H$92,"&gt;0")</f>
        <v>0</v>
      </c>
      <c r="F13" s="25">
        <f>SUMIFS('Daftar Koreksi'!$H$5:$H$92,'Daftar Koreksi'!$D$5:$D$92,'3200'!A4,'Daftar Koreksi'!$G$5:$G$92,"Kontruksi Dalam Pengerjaan",'Daftar Koreksi'!$H$5:$H$92,"&lt;0")-SUMIFS('Daftar Koreksi'!$H$5:$H$92,'Daftar Koreksi'!$D$5:$D$92,'3200'!A4,'Daftar Koreksi'!$G$5:$G$92,"Kontruksi Dalam Pengerjaan",'Daftar Koreksi'!$H$5:$H$92,"&lt;0")-SUMIFS('Daftar Koreksi'!$H$5:$H$92,'Daftar Koreksi'!$D$5:$D$92,'3200'!A4,'Daftar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Koreksi'!$D$5:$D$92,'3200'!A4,'Daftar Koreksi'!$G$5:$G$92,"Aset Tak Berwujud",'Daftar Koreksi'!$H$5:$H$92,"&gt;0")</f>
        <v>0</v>
      </c>
      <c r="F14" s="25">
        <f>SUMIFS('Daftar Koreksi'!$H$5:$H$92,'Daftar Koreksi'!$D$5:$D$92,'3200'!A4,'Daftar Koreksi'!$G$5:$G$92,"Aset Tak Berwujud",'Daftar Koreksi'!$H$5:$H$92,"&lt;0")-SUMIFS('Daftar Koreksi'!$H$5:$H$92,'Daftar Koreksi'!$D$5:$D$92,'3200'!A4,'Daftar Koreksi'!$G$5:$G$92,"Aset Tak Berwujud",'Daftar Koreksi'!$H$5:$H$92,"&lt;0")-SUMIFS('Daftar Koreksi'!$H$5:$H$92,'Daftar Koreksi'!$D$5:$D$92,'3200'!A4,'Daftar Koreksi'!$G$5:$G$92,"Aset Tak Berwujud",'Daftar Koreksi'!$H$5:$H$92,"&lt;0")</f>
        <v>0</v>
      </c>
      <c r="G14" s="17">
        <f t="shared" si="0"/>
        <v>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Koreksi'!$D$5:$D$92,'3200'!A4,'Daftar Koreksi'!$G$5:$G$92,"Aset Henti Guna",'Daftar Koreksi'!$H$5:$H$92,"&gt;0")</f>
        <v>0</v>
      </c>
      <c r="F15" s="25">
        <f>SUMIFS('Daftar Koreksi'!$H$5:$H$92,'Daftar Koreksi'!$D$5:$D$92,'3200'!A4,'Daftar Koreksi'!$G$5:$G$92,"Aset Henti Guna",'Daftar Koreksi'!$H$5:$H$92,"&lt;0")-SUMIFS('Daftar Koreksi'!$H$5:$H$92,'Daftar Koreksi'!$D$5:$D$92,'3200'!A4,'Daftar Koreksi'!$G$5:$G$92,"Aset Henti Guna",'Daftar Koreksi'!$H$5:$H$92,"&lt;0")-SUMIFS('Daftar Koreksi'!$H$5:$H$92,'Daftar Koreksi'!$D$5:$D$92,'3200'!A4,'Daftar Koreksi'!$G$5:$G$92,"Aset Henti Guna",'Daftar Koreksi'!$H$5:$H$92,"&lt;0")</f>
        <v>0</v>
      </c>
      <c r="G15" s="17">
        <f t="shared" si="0"/>
        <v>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17938145034</v>
      </c>
      <c r="E16" s="19">
        <f>SUM(E7:E15)</f>
        <v>0</v>
      </c>
      <c r="F16" s="19">
        <f>SUM(F7:F15)</f>
        <v>0</v>
      </c>
      <c r="G16" s="19">
        <f t="shared" si="0"/>
        <v>17938145034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-1475103920</v>
      </c>
      <c r="E17" s="25">
        <f>SUMIFS('Daftar Koreksi'!$I$5:$I$92,'Daftar Koreksi'!$D$5:$D$92,'3200'!A4,'Daftar Koreksi'!$G$5:$G$92,"Peralatan dan mesin",'Daftar Koreksi'!$I$5:$I$92,"&gt;0")</f>
        <v>0</v>
      </c>
      <c r="F17" s="25">
        <f>SUMIFS('Daftar Koreksi'!$I$5:$I$92,'Daftar Koreksi'!$D$5:$D$92,'3200'!A4,'Daftar Koreksi'!$G$5:$G$92,"Peralatan dan mesin",'Daftar Koreksi'!$I$5:$I$92,"&lt;0")-SUMIFS('Daftar Koreksi'!$I$5:$I$92,'Daftar Koreksi'!$D$5:$D$92,'3200'!A4,'Daftar Koreksi'!$G$5:$G$92,"Peralatan dan mesin",'Daftar Koreksi'!$I$5:$I$92,"&lt;0")-SUMIFS('Daftar Koreksi'!$I$5:$I$92,'Daftar Koreksi'!$D$5:$D$92,'3200'!A4,'Daftar Koreksi'!$G$5:$G$92,"Peralatan dan mesin",'Daftar Koreksi'!$I$5:$I$92,"&lt;0")</f>
        <v>0</v>
      </c>
      <c r="G17" s="17">
        <f t="shared" si="0"/>
        <v>-1475103920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-810646496</v>
      </c>
      <c r="E18" s="25">
        <f>SUMIFS('Daftar Koreksi'!$I$5:$I$92,'Daftar Koreksi'!$D$5:$D$92,'3200'!A4,'Daftar Koreksi'!$G$5:$G$92,"Gedung dan Bangunan",'Daftar Koreksi'!$I$5:$I$92,"&gt;0")</f>
        <v>0</v>
      </c>
      <c r="F18" s="25">
        <f>SUMIFS('Daftar Koreksi'!$I$5:$I$92,'Daftar Koreksi'!$D$5:$D$92,'3200'!A4,'Daftar Koreksi'!$G$5:$G$92,"Gedung dan Bangunan",'Daftar Koreksi'!$I$5:$I$92,"&lt;0")-SUMIFS('Daftar Koreksi'!$I$5:$I$92,'Daftar Koreksi'!$D$5:$D$92,'3200'!A4,'Daftar Koreksi'!$G$5:$G$92,"Gedung dan Bangunan",'Daftar Koreksi'!$I$5:$I$92,"&lt;0")-SUMIFS('Daftar Koreksi'!$I$5:$I$92,'Daftar Koreksi'!$D$5:$D$92,'3200'!A4,'Daftar Koreksi'!$G$5:$G$92,"Gedung dan Bangunan",'Daftar Koreksi'!$I$5:$I$92,"&lt;0")</f>
        <v>0</v>
      </c>
      <c r="G18" s="17">
        <f t="shared" si="0"/>
        <v>-810646496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-17799375</v>
      </c>
      <c r="E19" s="25">
        <f>SUMIFS('Daftar Koreksi'!$I$5:$I$92,'Daftar Koreksi'!$D$5:$D$92,'3200'!A4,'Daftar Koreksi'!$G$5:$G$92,"Jalan Irigasi Jaringan",'Daftar Koreksi'!$I$5:$I$92,"&gt;0")</f>
        <v>0</v>
      </c>
      <c r="F19" s="25">
        <f>SUMIFS('Daftar Koreksi'!$I$5:$I$92,'Daftar Koreksi'!$D$5:$D$92,'3200'!A4,'Daftar Koreksi'!$G$5:$G$92,"Jalan Irigasi Jaringan",'Daftar Koreksi'!$I$5:$I$92,"&lt;0")-SUMIFS('Daftar Koreksi'!$I$5:$I$92,'Daftar Koreksi'!$D$5:$D$92,'3200'!A4,'Daftar Koreksi'!$G$5:$G$92,"Jalan Irigasi Jaringan",'Daftar Koreksi'!$I$5:$I$92,"&lt;0")-SUMIFS('Daftar Koreksi'!$I$5:$I$92,'Daftar Koreksi'!$D$5:$D$92,'3200'!A4,'Daftar Koreksi'!$G$5:$G$92,"Jalan Irigasi Jaringan",'Daftar Koreksi'!$I$5:$I$92,"&lt;0")</f>
        <v>0</v>
      </c>
      <c r="G19" s="17">
        <f t="shared" si="0"/>
        <v>-17799375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Koreksi'!$D$5:$D$92,'3200'!A4,'Daftar Koreksi'!$G$5:$G$92,"Aset Tetap Lainnya",'Daftar Koreksi'!$I$5:$I$92,"&gt;0")</f>
        <v>0</v>
      </c>
      <c r="F20" s="25">
        <f>SUMIFS('Daftar Koreksi'!$I$5:$I$92,'Daftar Koreksi'!$D$5:$D$92,'3200'!A4,'Daftar Koreksi'!$G$5:$G$92,"Aset Tetap Lainnya",'Daftar Koreksi'!$I$5:$I$92,"&lt;0")-SUMIFS('Daftar Koreksi'!$I$5:$I$92,'Daftar Koreksi'!$D$5:$D$92,'3200'!A4,'Daftar Koreksi'!$G$5:$G$92,"Aset Tetap Lainnya",'Daftar Koreksi'!$I$5:$I$92,"&lt;0")-SUMIFS('Daftar Koreksi'!$I$5:$I$92,'Daftar Koreksi'!$D$5:$D$92,'3200'!A4,'Daftar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Koreksi'!$D$5:$D$92,'3200'!A4,'Daftar Koreksi'!$G$5:$G$92,"Aset Henti Guna",'Daftar Koreksi'!$I$5:$I$92,"&gt;0")</f>
        <v>0</v>
      </c>
      <c r="F21" s="25">
        <f>SUMIFS('Daftar Koreksi'!$I$5:$I$92,'Daftar Koreksi'!$D$5:$D$92,'3200'!A4,'Daftar Koreksi'!$G$5:$G$92,"Aset Henti Guna",'Daftar Koreksi'!$I$5:$I$92,"&lt;0")-SUMIFS('Daftar Koreksi'!$I$5:$I$92,'Daftar Koreksi'!$D$5:$D$92,'3200'!A4,'Daftar Koreksi'!$G$5:$G$92,"Aset Henti Guna",'Daftar Koreksi'!$I$5:$I$92,"&lt;0")-SUMIFS('Daftar Koreksi'!$I$5:$I$92,'Daftar Koreksi'!$D$5:$D$92,'3200'!A4,'Daftar Koreksi'!$G$5:$G$92,"Aset Henti Guna",'Daftar Koreksi'!$I$5:$I$92,"&lt;0")</f>
        <v>0</v>
      </c>
      <c r="G21" s="17">
        <f t="shared" si="0"/>
        <v>0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-2303549791</v>
      </c>
      <c r="E22" s="19">
        <f>SUM(E17:E21)</f>
        <v>0</v>
      </c>
      <c r="F22" s="19">
        <f>SUM(F17:F21)</f>
        <v>0</v>
      </c>
      <c r="G22" s="19">
        <f t="shared" si="0"/>
        <v>-2303549791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15634595243</v>
      </c>
      <c r="E23" s="19">
        <f>E22+E16</f>
        <v>0</v>
      </c>
      <c r="F23" s="19">
        <f>F22+F16</f>
        <v>0</v>
      </c>
      <c r="G23" s="19">
        <f t="shared" si="0"/>
        <v>15634595243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005013200108309000KD</v>
      </c>
      <c r="B26" s="11" t="str">
        <f>P2</f>
        <v>PN. Batam</v>
      </c>
      <c r="C26" s="12" t="str">
        <f>A26&amp;" "&amp;B26</f>
        <v>005013200108309000KD PN. Batam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0</v>
      </c>
      <c r="E29" s="25">
        <f>SUMIFS('Daftar Koreksi'!$H$5:$H$92,'Daftar Koreksi'!$D$5:$D$92,'3200'!A26,'Daftar Koreksi'!$G$5:$G$92,"Persediaan",'Daftar Koreksi'!$H$5:$H$92,"&gt;0")</f>
        <v>0</v>
      </c>
      <c r="F29" s="25">
        <f>SUMIFS('Daftar Koreksi'!$H$5:$H$92,'Daftar Koreksi'!$D$5:$D$92,'3200'!A26,'Daftar Koreksi'!$G$5:$G$92,"Persediaan",'Daftar Koreksi'!$H$5:$H$92,"&lt;0")-SUMIFS('Daftar Koreksi'!$H$5:$H$92,'Daftar Koreksi'!$D$5:$D$92,'3200'!A26,'Daftar Koreksi'!$G$5:$G$92,"Persediaan",'Daftar Koreksi'!$H$5:$H$92,"&lt;0")-SUMIFS('Daftar Koreksi'!$H$5:$H$92,'Daftar Koreksi'!$D$5:$D$92,'3200'!A26,'Daftar Koreksi'!$G$5:$G$92,"Persediaan",'Daftar Koreksi'!$H$5:$H$92,"&lt;0")</f>
        <v>0</v>
      </c>
      <c r="G29" s="17">
        <f>D29+E29-F29</f>
        <v>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9082060000</v>
      </c>
      <c r="E30" s="25">
        <f>SUMIFS('Daftar Koreksi'!$H$5:$H$92,'Daftar Koreksi'!$D$5:$D$92,'3200'!A26,'Daftar Koreksi'!$G$5:$G$92,"Tanah",'Daftar Koreksi'!$H$5:$H$92,"&gt;0")</f>
        <v>0</v>
      </c>
      <c r="F30" s="25">
        <f>SUMIFS('Daftar Koreksi'!$H$5:$H$92,'Daftar Koreksi'!$D$5:$D$92,'3200'!A26,'Daftar Koreksi'!$G$5:$G$92,"Tanah",'Daftar Koreksi'!$H$5:$H$92,"&lt;0")-SUMIFS('Daftar Koreksi'!$H$5:$H$92,'Daftar Koreksi'!$D$5:$D$92,'3200'!A26,'Daftar Koreksi'!$G$5:$G$92,"Tanah",'Daftar Koreksi'!$H$5:$H$92,"&lt;0")-SUMIFS('Daftar Koreksi'!$H$5:$H$92,'Daftar Koreksi'!$D$5:$D$92,'3200'!A26,'Daftar Koreksi'!$G$5:$G$92,"Tanah",'Daftar Koreksi'!$H$5:$H$92,"&lt;0")</f>
        <v>0</v>
      </c>
      <c r="G30" s="17">
        <f t="shared" ref="G30:G46" si="1">D30+E30-F30</f>
        <v>9082060000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3909243432</v>
      </c>
      <c r="E31" s="25">
        <f>SUMIFS('Daftar Koreksi'!$H$5:$H$92,'Daftar Koreksi'!$D$5:$D$92,'3200'!A26,'Daftar Koreksi'!$G$5:$G$92,"Peralatan dan mesin",'Daftar Koreksi'!$H$5:$H$92,"&gt;0")</f>
        <v>0</v>
      </c>
      <c r="F31" s="25">
        <f>SUMIFS('Daftar Koreksi'!$H$5:$H$92,'Daftar Koreksi'!$D$5:$D$92,'3200'!A26,'Daftar Koreksi'!$G$5:$G$92,"Peralatan dan mesin",'Daftar Koreksi'!$H$5:$H$92,"&lt;0")-SUMIFS('Daftar Koreksi'!$H$5:$H$92,'Daftar Koreksi'!$D$5:$D$92,'3200'!A26,'Daftar Koreksi'!$G$5:$G$92,"Peralatan dan mesin",'Daftar Koreksi'!$H$5:$H$92,"&lt;0")-SUMIFS('Daftar Koreksi'!$H$5:$H$92,'Daftar Koreksi'!$D$5:$D$92,'3200'!A26,'Daftar Koreksi'!$G$5:$G$92,"Peralatan dan mesin",'Daftar Koreksi'!$H$5:$H$92,"&lt;0")</f>
        <v>0</v>
      </c>
      <c r="G31" s="17">
        <f t="shared" si="1"/>
        <v>3909243432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25640150066</v>
      </c>
      <c r="E32" s="25">
        <f>SUMIFS('Daftar Koreksi'!$H$5:$H$92,'Daftar Koreksi'!$D$5:$D$92,'3200'!A26,'Daftar Koreksi'!$G$5:$G$92,"Gedung dan Bangunan",'Daftar Koreksi'!$H$5:$H$92,"&gt;0")</f>
        <v>0</v>
      </c>
      <c r="F32" s="25">
        <f>SUMIFS('Daftar Koreksi'!$H$5:$H$92,'Daftar Koreksi'!$D$5:$D$92,'3200'!A26,'Daftar Koreksi'!$G$5:$G$92,"Gedung dan Bangunan",'Daftar Koreksi'!$H$5:$H$92,"&lt;0")-SUMIFS('Daftar Koreksi'!$H$5:$H$92,'Daftar Koreksi'!$D$5:$D$92,'3200'!A26,'Daftar Koreksi'!$G$5:$G$92,"Gedung dan Bangunan",'Daftar Koreksi'!$H$5:$H$92,"&lt;0")-SUMIFS('Daftar Koreksi'!$H$5:$H$92,'Daftar Koreksi'!$D$5:$D$92,'3200'!A26,'Daftar Koreksi'!$G$5:$G$92,"Gedung dan Bangunan",'Daftar Koreksi'!$H$5:$H$92,"&lt;0")</f>
        <v>0</v>
      </c>
      <c r="G32" s="17">
        <f t="shared" si="1"/>
        <v>25640150066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95636010</v>
      </c>
      <c r="E33" s="25">
        <f>SUMIFS('Daftar Koreksi'!$H$5:$H$92,'Daftar Koreksi'!$D$5:$D$92,'3200'!A26,'Daftar Koreksi'!$G$5:$G$92,"Jalan Irigasi Jaringan",'Daftar Koreksi'!$H$5:$H$92,"&gt;0")</f>
        <v>0</v>
      </c>
      <c r="F33" s="25">
        <f>SUMIFS('Daftar Koreksi'!$H$5:$H$92,'Daftar Koreksi'!$D$5:$D$92,'3200'!A26,'Daftar Koreksi'!$G$5:$G$92,"Jalan Irigasi Jaringan",'Daftar Koreksi'!$H$5:$H$92,"&lt;0")-SUMIFS('Daftar Koreksi'!$H$5:$H$92,'Daftar Koreksi'!$D$5:$D$92,'3200'!A26,'Daftar Koreksi'!$G$5:$G$92,"Jalan Irigasi Jaringan",'Daftar Koreksi'!$H$5:$H$92,"&lt;0")-SUMIFS('Daftar Koreksi'!$H$5:$H$92,'Daftar Koreksi'!$D$5:$D$92,'3200'!A26,'Daftar Koreksi'!$G$5:$G$92,"Jalan Irigasi Jaringan",'Daftar Koreksi'!$H$5:$H$92,"&lt;0")</f>
        <v>0</v>
      </c>
      <c r="G33" s="17">
        <f t="shared" si="1"/>
        <v>95636010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41943440</v>
      </c>
      <c r="E34" s="25">
        <f>SUMIFS('Daftar Koreksi'!$H$5:$H$92,'Daftar Koreksi'!$D$5:$D$92,'3200'!A26,'Daftar Koreksi'!$G$5:$G$92,"Aset Tetap Lainnya",'Daftar Koreksi'!$H$5:$H$92,"&gt;0")</f>
        <v>0</v>
      </c>
      <c r="F34" s="25">
        <f>SUMIFS('Daftar Koreksi'!$H$5:$H$92,'Daftar Koreksi'!$D$5:$D$92,'3200'!A26,'Daftar Koreksi'!$G$5:$G$92,"Aset Tetap Lainnya",'Daftar Koreksi'!$H$5:$H$92,"&lt;0")-SUMIFS('Daftar Koreksi'!$H$5:$H$92,'Daftar Koreksi'!$D$5:$D$92,'3200'!A26,'Daftar Koreksi'!$G$5:$G$92,"Aset Tetap Lainnya",'Daftar Koreksi'!$H$5:$H$92,"&lt;0")-SUMIFS('Daftar Koreksi'!$H$5:$H$92,'Daftar Koreksi'!$D$5:$D$92,'3200'!A26,'Daftar Koreksi'!$G$5:$G$92,"Aset Tetap Lainnya",'Daftar Koreksi'!$H$5:$H$92,"&lt;0")</f>
        <v>0</v>
      </c>
      <c r="G34" s="17">
        <f t="shared" si="1"/>
        <v>41943440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Koreksi'!$D$5:$D$92,'3200'!A26,'Daftar Koreksi'!$G$5:$G$92,"Kontruksi Dalam Pengerjaan",'Daftar Koreksi'!$H$5:$H$92,"&gt;0")</f>
        <v>0</v>
      </c>
      <c r="F35" s="25">
        <f>SUMIFS('Daftar Koreksi'!$H$5:$H$92,'Daftar Koreksi'!$D$5:$D$92,'3200'!A26,'Daftar Koreksi'!$G$5:$G$92,"Kontruksi Dalam Pengerjaan",'Daftar Koreksi'!$H$5:$H$92,"&lt;0")-SUMIFS('Daftar Koreksi'!$H$5:$H$92,'Daftar Koreksi'!$D$5:$D$92,'3200'!A26,'Daftar Koreksi'!$G$5:$G$92,"Kontruksi Dalam Pengerjaan",'Daftar Koreksi'!$H$5:$H$92,"&lt;0")-SUMIFS('Daftar Koreksi'!$H$5:$H$92,'Daftar Koreksi'!$D$5:$D$92,'3200'!A26,'Daftar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Koreksi'!$D$5:$D$92,'3200'!A26,'Daftar Koreksi'!$G$5:$G$92,"Aset Tak Berwujud",'Daftar Koreksi'!$H$5:$H$92,"&gt;0")</f>
        <v>0</v>
      </c>
      <c r="F36" s="25">
        <f>SUMIFS('Daftar Koreksi'!$H$5:$H$92,'Daftar Koreksi'!$D$5:$D$92,'3200'!A26,'Daftar Koreksi'!$G$5:$G$92,"Aset Tak Berwujud",'Daftar Koreksi'!$H$5:$H$92,"&lt;0")-SUMIFS('Daftar Koreksi'!$H$5:$H$92,'Daftar Koreksi'!$D$5:$D$92,'3200'!A26,'Daftar Koreksi'!$G$5:$G$92,"Aset Tak Berwujud",'Daftar Koreksi'!$H$5:$H$92,"&lt;0")-SUMIFS('Daftar Koreksi'!$H$5:$H$92,'Daftar Koreksi'!$D$5:$D$92,'3200'!A26,'Daftar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2200000</v>
      </c>
      <c r="E37" s="25">
        <f>SUMIFS('Daftar Koreksi'!$H$5:$H$92,'Daftar Koreksi'!$D$5:$D$92,'3200'!A26,'Daftar Koreksi'!$G$5:$G$92,"Aset Henti Guna",'Daftar Koreksi'!$H$5:$H$92,"&gt;0")</f>
        <v>0</v>
      </c>
      <c r="F37" s="25">
        <f>SUMIFS('Daftar Koreksi'!$H$5:$H$92,'Daftar Koreksi'!$D$5:$D$92,'3200'!A26,'Daftar Koreksi'!$G$5:$G$92,"Aset Henti Guna",'Daftar Koreksi'!$H$5:$H$92,"&lt;0")-SUMIFS('Daftar Koreksi'!$H$5:$H$92,'Daftar Koreksi'!$D$5:$D$92,'3200'!A26,'Daftar Koreksi'!$G$5:$G$92,"Aset Henti Guna",'Daftar Koreksi'!$H$5:$H$92,"&lt;0")-SUMIFS('Daftar Koreksi'!$H$5:$H$92,'Daftar Koreksi'!$D$5:$D$92,'3200'!A26,'Daftar Koreksi'!$G$5:$G$92,"Aset Henti Guna",'Daftar Koreksi'!$H$5:$H$92,"&lt;0")</f>
        <v>0</v>
      </c>
      <c r="G37" s="17">
        <f t="shared" si="1"/>
        <v>2200000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38771232948</v>
      </c>
      <c r="E38" s="19">
        <f>SUM(E29:E37)</f>
        <v>0</v>
      </c>
      <c r="F38" s="19">
        <f>SUM(F29:F37)</f>
        <v>0</v>
      </c>
      <c r="G38" s="19">
        <f t="shared" si="1"/>
        <v>38771232948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-3041268488</v>
      </c>
      <c r="E39" s="25">
        <f>SUMIFS('Daftar Koreksi'!$I$5:$I$92,'Daftar Koreksi'!$D$5:$D$92,'3200'!A26,'Daftar Koreksi'!$G$5:$G$92,"Peralatan dan mesin",'Daftar Koreksi'!$I$5:$I$92,"&gt;0")</f>
        <v>0</v>
      </c>
      <c r="F39" s="25">
        <f>SUMIFS('Daftar Koreksi'!$I$5:$I$92,'Daftar Koreksi'!$D$5:$D$92,'3200'!A26,'Daftar Koreksi'!$G$5:$G$92,"Peralatan dan mesin",'Daftar Koreksi'!$I$5:$I$92,"&lt;0")-SUMIFS('Daftar Koreksi'!$I$5:$I$92,'Daftar Koreksi'!$D$5:$D$92,'3200'!A26,'Daftar Koreksi'!$G$5:$G$92,"Peralatan dan mesin",'Daftar Koreksi'!$I$5:$I$92,"&lt;0")-SUMIFS('Daftar Koreksi'!$I$5:$I$92,'Daftar Koreksi'!$D$5:$D$92,'3200'!A26,'Daftar Koreksi'!$G$5:$G$92,"Peralatan dan mesin",'Daftar Koreksi'!$I$5:$I$92,"&lt;0")</f>
        <v>0</v>
      </c>
      <c r="G39" s="17">
        <f t="shared" si="1"/>
        <v>-3041268488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-3436047397</v>
      </c>
      <c r="E40" s="25">
        <f>SUMIFS('Daftar Koreksi'!$I$5:$I$92,'Daftar Koreksi'!$D$5:$D$92,'3200'!A26,'Daftar Koreksi'!$G$5:$G$92,"Gedung dan Bangunan",'Daftar Koreksi'!$I$5:$I$92,"&gt;0")</f>
        <v>0</v>
      </c>
      <c r="F40" s="25">
        <f>SUMIFS('Daftar Koreksi'!$I$5:$I$92,'Daftar Koreksi'!$D$5:$D$92,'3200'!A26,'Daftar Koreksi'!$G$5:$G$92,"Gedung dan Bangunan",'Daftar Koreksi'!$I$5:$I$92,"&lt;0")-SUMIFS('Daftar Koreksi'!$I$5:$I$92,'Daftar Koreksi'!$D$5:$D$92,'3200'!A26,'Daftar Koreksi'!$G$5:$G$92,"Gedung dan Bangunan",'Daftar Koreksi'!$I$5:$I$92,"&lt;0")-SUMIFS('Daftar Koreksi'!$I$5:$I$92,'Daftar Koreksi'!$D$5:$D$92,'3200'!A26,'Daftar Koreksi'!$G$5:$G$92,"Gedung dan Bangunan",'Daftar Koreksi'!$I$5:$I$92,"&lt;0")</f>
        <v>0</v>
      </c>
      <c r="G40" s="17">
        <f t="shared" si="1"/>
        <v>-3436047397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-16720179</v>
      </c>
      <c r="E41" s="25">
        <f>SUMIFS('Daftar Koreksi'!$I$5:$I$92,'Daftar Koreksi'!$D$5:$D$92,'3200'!A26,'Daftar Koreksi'!$G$5:$G$92,"Jalan Irigasi Jaringan",'Daftar Koreksi'!$I$5:$I$92,"&gt;0")</f>
        <v>0</v>
      </c>
      <c r="F41" s="25">
        <f>SUMIFS('Daftar Koreksi'!$I$5:$I$92,'Daftar Koreksi'!$D$5:$D$92,'3200'!A26,'Daftar Koreksi'!$G$5:$G$92,"Jalan Irigasi Jaringan",'Daftar Koreksi'!$I$5:$I$92,"&lt;0")-SUMIFS('Daftar Koreksi'!$I$5:$I$92,'Daftar Koreksi'!$D$5:$D$92,'3200'!A26,'Daftar Koreksi'!$G$5:$G$92,"Jalan Irigasi Jaringan",'Daftar Koreksi'!$I$5:$I$92,"&lt;0")-SUMIFS('Daftar Koreksi'!$I$5:$I$92,'Daftar Koreksi'!$D$5:$D$92,'3200'!A26,'Daftar Koreksi'!$G$5:$G$92,"Jalan Irigasi Jaringan",'Daftar Koreksi'!$I$5:$I$92,"&lt;0")</f>
        <v>0</v>
      </c>
      <c r="G41" s="17">
        <f t="shared" si="1"/>
        <v>-16720179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Koreksi'!$D$5:$D$92,'3200'!A26,'Daftar Koreksi'!$G$5:$G$92,"Aset Tetap Lainnya",'Daftar Koreksi'!$I$5:$I$92,"&gt;0")</f>
        <v>0</v>
      </c>
      <c r="F42" s="25">
        <f>SUMIFS('Daftar Koreksi'!$I$5:$I$92,'Daftar Koreksi'!$D$5:$D$92,'3200'!A26,'Daftar Koreksi'!$G$5:$G$92,"Aset Tetap Lainnya",'Daftar Koreksi'!$I$5:$I$92,"&lt;0")-SUMIFS('Daftar Koreksi'!$I$5:$I$92,'Daftar Koreksi'!$D$5:$D$92,'3200'!A26,'Daftar Koreksi'!$G$5:$G$92,"Aset Tetap Lainnya",'Daftar Koreksi'!$I$5:$I$92,"&lt;0")-SUMIFS('Daftar Koreksi'!$I$5:$I$92,'Daftar Koreksi'!$D$5:$D$92,'3200'!A26,'Daftar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-2200000</v>
      </c>
      <c r="E43" s="25">
        <f>SUMIFS('Daftar Koreksi'!$I$5:$I$92,'Daftar Koreksi'!$D$5:$D$92,'3200'!A26,'Daftar Koreksi'!$G$5:$G$92,"Aset Henti Guna",'Daftar Koreksi'!$I$5:$I$92,"&gt;0")</f>
        <v>0</v>
      </c>
      <c r="F43" s="25">
        <f>SUMIFS('Daftar Koreksi'!$I$5:$I$92,'Daftar Koreksi'!$D$5:$D$92,'3200'!A26,'Daftar Koreksi'!$G$5:$G$92,"Aset Henti Guna",'Daftar Koreksi'!$I$5:$I$92,"&lt;0")-SUMIFS('Daftar Koreksi'!$I$5:$I$92,'Daftar Koreksi'!$D$5:$D$92,'3200'!A26,'Daftar Koreksi'!$G$5:$G$92,"Aset Henti Guna",'Daftar Koreksi'!$I$5:$I$92,"&lt;0")-SUMIFS('Daftar Koreksi'!$I$5:$I$92,'Daftar Koreksi'!$D$5:$D$92,'3200'!A26,'Daftar Koreksi'!$G$5:$G$92,"Aset Henti Guna",'Daftar Koreksi'!$I$5:$I$92,"&lt;0")</f>
        <v>0</v>
      </c>
      <c r="G43" s="17">
        <f t="shared" si="1"/>
        <v>-2200000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-6496236064</v>
      </c>
      <c r="E44" s="19">
        <f>SUM(E39:E43)</f>
        <v>0</v>
      </c>
      <c r="F44" s="19">
        <f>SUM(F39:F43)</f>
        <v>0</v>
      </c>
      <c r="G44" s="19">
        <f t="shared" si="1"/>
        <v>-6496236064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32274996884</v>
      </c>
      <c r="E45" s="19">
        <f>E44+E38</f>
        <v>0</v>
      </c>
      <c r="F45" s="19">
        <f>F44+F38</f>
        <v>0</v>
      </c>
      <c r="G45" s="19">
        <f t="shared" si="1"/>
        <v>32274996884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005013200402148000KD</v>
      </c>
      <c r="B48" s="11" t="str">
        <f>P3</f>
        <v>PA. Tanjung Pinang</v>
      </c>
      <c r="C48" s="12" t="str">
        <f>A48&amp;" "&amp;B48</f>
        <v>005013200402148000KD PA. Tanjung Pinang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380500</v>
      </c>
      <c r="E51" s="25">
        <f>SUMIFS('Daftar Koreksi'!$H$5:$H$92,'Daftar Koreksi'!$D$5:$D$92,'3200'!A48,'Daftar Koreksi'!$G$5:$G$92,"Persediaan",'Daftar Koreksi'!$H$5:$H$92,"&gt;0")</f>
        <v>0</v>
      </c>
      <c r="F51" s="25">
        <f>SUMIFS('Daftar Koreksi'!$H$5:$H$92,'Daftar Koreksi'!$D$5:$D$92,'3200'!A48,'Daftar Koreksi'!$G$5:$G$92,"Persediaan",'Daftar Koreksi'!$H$5:$H$92,"&lt;0")-SUMIFS('Daftar Koreksi'!$H$5:$H$92,'Daftar Koreksi'!$D$5:$D$92,'3200'!A48,'Daftar Koreksi'!$G$5:$G$92,"Persediaan",'Daftar Koreksi'!$H$5:$H$92,"&lt;0")-SUMIFS('Daftar Koreksi'!$H$5:$H$92,'Daftar Koreksi'!$D$5:$D$92,'3200'!A48,'Daftar Koreksi'!$G$5:$G$92,"Persediaan",'Daftar Koreksi'!$H$5:$H$92,"&lt;0")</f>
        <v>0</v>
      </c>
      <c r="G51" s="17">
        <f>D51+E51-F51</f>
        <v>380500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1354023000</v>
      </c>
      <c r="E52" s="25">
        <f>SUMIFS('Daftar Koreksi'!$H$5:$H$92,'Daftar Koreksi'!$D$5:$D$92,'3200'!A48,'Daftar Koreksi'!$G$5:$G$92,"Tanah",'Daftar Koreksi'!$H$5:$H$92,"&gt;0")</f>
        <v>0</v>
      </c>
      <c r="F52" s="25">
        <f>SUMIFS('Daftar Koreksi'!$H$5:$H$92,'Daftar Koreksi'!$D$5:$D$92,'3200'!A48,'Daftar Koreksi'!$G$5:$G$92,"Tanah",'Daftar Koreksi'!$H$5:$H$92,"&lt;0")-SUMIFS('Daftar Koreksi'!$H$5:$H$92,'Daftar Koreksi'!$D$5:$D$92,'3200'!A48,'Daftar Koreksi'!$G$5:$G$92,"Tanah",'Daftar Koreksi'!$H$5:$H$92,"&lt;0")-SUMIFS('Daftar Koreksi'!$H$5:$H$92,'Daftar Koreksi'!$D$5:$D$92,'3200'!A48,'Daftar Koreksi'!$G$5:$G$92,"Tanah",'Daftar Koreksi'!$H$5:$H$92,"&lt;0")</f>
        <v>0</v>
      </c>
      <c r="G52" s="17">
        <f t="shared" ref="G52:G68" si="2">D52+E52-F52</f>
        <v>1354023000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1296421802</v>
      </c>
      <c r="E53" s="25">
        <f>SUMIFS('Daftar Koreksi'!$H$5:$H$92,'Daftar Koreksi'!$D$5:$D$92,'3200'!A48,'Daftar Koreksi'!$G$5:$G$92,"Peralatan dan mesin",'Daftar Koreksi'!$H$5:$H$92,"&gt;0")</f>
        <v>0</v>
      </c>
      <c r="F53" s="25">
        <f>SUMIFS('Daftar Koreksi'!$H$5:$H$92,'Daftar Koreksi'!$D$5:$D$92,'3200'!A48,'Daftar Koreksi'!$G$5:$G$92,"Peralatan dan mesin",'Daftar Koreksi'!$H$5:$H$92,"&lt;0")-SUMIFS('Daftar Koreksi'!$H$5:$H$92,'Daftar Koreksi'!$D$5:$D$92,'3200'!A48,'Daftar Koreksi'!$G$5:$G$92,"Peralatan dan mesin",'Daftar Koreksi'!$H$5:$H$92,"&lt;0")-SUMIFS('Daftar Koreksi'!$H$5:$H$92,'Daftar Koreksi'!$D$5:$D$92,'3200'!A48,'Daftar Koreksi'!$G$5:$G$92,"Peralatan dan mesin",'Daftar Koreksi'!$H$5:$H$92,"&lt;0")</f>
        <v>0</v>
      </c>
      <c r="G53" s="17">
        <f t="shared" si="2"/>
        <v>1296421802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7193681912</v>
      </c>
      <c r="E54" s="25">
        <f>SUMIFS('Daftar Koreksi'!$H$5:$H$92,'Daftar Koreksi'!$D$5:$D$92,'3200'!A48,'Daftar Koreksi'!$G$5:$G$92,"Gedung dan Bangunan",'Daftar Koreksi'!$H$5:$H$92,"&gt;0")</f>
        <v>0</v>
      </c>
      <c r="F54" s="25">
        <f>SUMIFS('Daftar Koreksi'!$H$5:$H$92,'Daftar Koreksi'!$D$5:$D$92,'3200'!A48,'Daftar Koreksi'!$G$5:$G$92,"Gedung dan Bangunan",'Daftar Koreksi'!$H$5:$H$92,"&lt;0")-SUMIFS('Daftar Koreksi'!$H$5:$H$92,'Daftar Koreksi'!$D$5:$D$92,'3200'!A48,'Daftar Koreksi'!$G$5:$G$92,"Gedung dan Bangunan",'Daftar Koreksi'!$H$5:$H$92,"&lt;0")-SUMIFS('Daftar Koreksi'!$H$5:$H$92,'Daftar Koreksi'!$D$5:$D$92,'3200'!A48,'Daftar Koreksi'!$G$5:$G$92,"Gedung dan Bangunan",'Daftar Koreksi'!$H$5:$H$92,"&lt;0")</f>
        <v>0</v>
      </c>
      <c r="G54" s="17">
        <f t="shared" si="2"/>
        <v>7193681912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124000000</v>
      </c>
      <c r="E55" s="25">
        <f>SUMIFS('Daftar Koreksi'!$H$5:$H$92,'Daftar Koreksi'!$D$5:$D$92,'3200'!A48,'Daftar Koreksi'!$G$5:$G$92,"Jalan Irigasi Jaringan",'Daftar Koreksi'!$H$5:$H$92,"&gt;0")</f>
        <v>0</v>
      </c>
      <c r="F55" s="25">
        <f>SUMIFS('Daftar Koreksi'!$H$5:$H$92,'Daftar Koreksi'!$D$5:$D$92,'3200'!A48,'Daftar Koreksi'!$G$5:$G$92,"Jalan Irigasi Jaringan",'Daftar Koreksi'!$H$5:$H$92,"&lt;0")-SUMIFS('Daftar Koreksi'!$H$5:$H$92,'Daftar Koreksi'!$D$5:$D$92,'3200'!A48,'Daftar Koreksi'!$G$5:$G$92,"Jalan Irigasi Jaringan",'Daftar Koreksi'!$H$5:$H$92,"&lt;0")-SUMIFS('Daftar Koreksi'!$H$5:$H$92,'Daftar Koreksi'!$D$5:$D$92,'3200'!A48,'Daftar Koreksi'!$G$5:$G$92,"Jalan Irigasi Jaringan",'Daftar Koreksi'!$H$5:$H$92,"&lt;0")</f>
        <v>0</v>
      </c>
      <c r="G55" s="17">
        <f t="shared" si="2"/>
        <v>124000000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11889529</v>
      </c>
      <c r="E56" s="25">
        <f>SUMIFS('Daftar Koreksi'!$H$5:$H$92,'Daftar Koreksi'!$D$5:$D$92,'3200'!A48,'Daftar Koreksi'!$G$5:$G$92,"Aset Tetap Lainnya",'Daftar Koreksi'!$H$5:$H$92,"&gt;0")</f>
        <v>0</v>
      </c>
      <c r="F56" s="25">
        <f>SUMIFS('Daftar Koreksi'!$H$5:$H$92,'Daftar Koreksi'!$D$5:$D$92,'3200'!A48,'Daftar Koreksi'!$G$5:$G$92,"Aset Tetap Lainnya",'Daftar Koreksi'!$H$5:$H$92,"&lt;0")-SUMIFS('Daftar Koreksi'!$H$5:$H$92,'Daftar Koreksi'!$D$5:$D$92,'3200'!A48,'Daftar Koreksi'!$G$5:$G$92,"Aset Tetap Lainnya",'Daftar Koreksi'!$H$5:$H$92,"&lt;0")-SUMIFS('Daftar Koreksi'!$H$5:$H$92,'Daftar Koreksi'!$D$5:$D$92,'3200'!A48,'Daftar Koreksi'!$G$5:$G$92,"Aset Tetap Lainnya",'Daftar Koreksi'!$H$5:$H$92,"&lt;0")</f>
        <v>0</v>
      </c>
      <c r="G56" s="17">
        <f t="shared" si="2"/>
        <v>11889529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Koreksi'!$D$5:$D$92,'3200'!A48,'Daftar Koreksi'!$G$5:$G$92,"Kontruksi Dalam Pengerjaan",'Daftar Koreksi'!$H$5:$H$92,"&gt;0")</f>
        <v>0</v>
      </c>
      <c r="F57" s="25">
        <f>SUMIFS('Daftar Koreksi'!$H$5:$H$92,'Daftar Koreksi'!$D$5:$D$92,'3200'!A48,'Daftar Koreksi'!$G$5:$G$92,"Kontruksi Dalam Pengerjaan",'Daftar Koreksi'!$H$5:$H$92,"&lt;0")-SUMIFS('Daftar Koreksi'!$H$5:$H$92,'Daftar Koreksi'!$D$5:$D$92,'3200'!A48,'Daftar Koreksi'!$G$5:$G$92,"Kontruksi Dalam Pengerjaan",'Daftar Koreksi'!$H$5:$H$92,"&lt;0")-SUMIFS('Daftar Koreksi'!$H$5:$H$92,'Daftar Koreksi'!$D$5:$D$92,'3200'!A48,'Daftar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Koreksi'!$D$5:$D$92,'3200'!A48,'Daftar Koreksi'!$G$5:$G$92,"Aset Tak Berwujud",'Daftar Koreksi'!$H$5:$H$92,"&gt;0")</f>
        <v>0</v>
      </c>
      <c r="F58" s="25">
        <f>SUMIFS('Daftar Koreksi'!$H$5:$H$92,'Daftar Koreksi'!$D$5:$D$92,'3200'!A48,'Daftar Koreksi'!$G$5:$G$92,"Aset Tak Berwujud",'Daftar Koreksi'!$H$5:$H$92,"&lt;0")-SUMIFS('Daftar Koreksi'!$H$5:$H$92,'Daftar Koreksi'!$D$5:$D$92,'3200'!A48,'Daftar Koreksi'!$G$5:$G$92,"Aset Tak Berwujud",'Daftar Koreksi'!$H$5:$H$92,"&lt;0")-SUMIFS('Daftar Koreksi'!$H$5:$H$92,'Daftar Koreksi'!$D$5:$D$92,'3200'!A48,'Daftar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134190750</v>
      </c>
      <c r="E59" s="25">
        <f>SUMIFS('Daftar Koreksi'!$H$5:$H$92,'Daftar Koreksi'!$D$5:$D$92,'3200'!A48,'Daftar Koreksi'!$G$5:$G$92,"Aset Henti Guna",'Daftar Koreksi'!$H$5:$H$92,"&gt;0")</f>
        <v>0</v>
      </c>
      <c r="F59" s="25">
        <f>SUMIFS('Daftar Koreksi'!$H$5:$H$92,'Daftar Koreksi'!$D$5:$D$92,'3200'!A48,'Daftar Koreksi'!$G$5:$G$92,"Aset Henti Guna",'Daftar Koreksi'!$H$5:$H$92,"&lt;0")-SUMIFS('Daftar Koreksi'!$H$5:$H$92,'Daftar Koreksi'!$D$5:$D$92,'3200'!A48,'Daftar Koreksi'!$G$5:$G$92,"Aset Henti Guna",'Daftar Koreksi'!$H$5:$H$92,"&lt;0")-SUMIFS('Daftar Koreksi'!$H$5:$H$92,'Daftar Koreksi'!$D$5:$D$92,'3200'!A48,'Daftar Koreksi'!$G$5:$G$92,"Aset Henti Guna",'Daftar Koreksi'!$H$5:$H$92,"&lt;0")</f>
        <v>0</v>
      </c>
      <c r="G59" s="17">
        <f t="shared" si="2"/>
        <v>134190750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10114587493</v>
      </c>
      <c r="E60" s="19">
        <f>SUM(E51:E59)</f>
        <v>0</v>
      </c>
      <c r="F60" s="19">
        <f>SUM(F51:F59)</f>
        <v>0</v>
      </c>
      <c r="G60" s="19">
        <f t="shared" si="2"/>
        <v>10114587493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-1069108307</v>
      </c>
      <c r="E61" s="25">
        <f>SUMIFS('Daftar Koreksi'!$I$5:$I$92,'Daftar Koreksi'!$D$5:$D$92,'3200'!A48,'Daftar Koreksi'!$G$5:$G$92,"Peralatan dan mesin",'Daftar Koreksi'!$I$5:$I$92,"&gt;0")</f>
        <v>0</v>
      </c>
      <c r="F61" s="25">
        <f>SUMIFS('Daftar Koreksi'!$I$5:$I$92,'Daftar Koreksi'!$D$5:$D$92,'3200'!A48,'Daftar Koreksi'!$G$5:$G$92,"Peralatan dan mesin",'Daftar Koreksi'!$I$5:$I$92,"&lt;0")-SUMIFS('Daftar Koreksi'!$I$5:$I$92,'Daftar Koreksi'!$D$5:$D$92,'3200'!A48,'Daftar Koreksi'!$G$5:$G$92,"Peralatan dan mesin",'Daftar Koreksi'!$I$5:$I$92,"&lt;0")-SUMIFS('Daftar Koreksi'!$I$5:$I$92,'Daftar Koreksi'!$D$5:$D$92,'3200'!A48,'Daftar Koreksi'!$G$5:$G$92,"Peralatan dan mesin",'Daftar Koreksi'!$I$5:$I$92,"&lt;0")</f>
        <v>0</v>
      </c>
      <c r="G61" s="17">
        <f t="shared" si="2"/>
        <v>-1069108307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-1324728693</v>
      </c>
      <c r="E62" s="25">
        <f>SUMIFS('Daftar Koreksi'!$I$5:$I$92,'Daftar Koreksi'!$D$5:$D$92,'3200'!A48,'Daftar Koreksi'!$G$5:$G$92,"Gedung dan Bangunan",'Daftar Koreksi'!$I$5:$I$92,"&gt;0")</f>
        <v>0</v>
      </c>
      <c r="F62" s="25">
        <f>SUMIFS('Daftar Koreksi'!$I$5:$I$92,'Daftar Koreksi'!$D$5:$D$92,'3200'!A48,'Daftar Koreksi'!$G$5:$G$92,"Gedung dan Bangunan",'Daftar Koreksi'!$I$5:$I$92,"&lt;0")-SUMIFS('Daftar Koreksi'!$I$5:$I$92,'Daftar Koreksi'!$D$5:$D$92,'3200'!A48,'Daftar Koreksi'!$G$5:$G$92,"Gedung dan Bangunan",'Daftar Koreksi'!$I$5:$I$92,"&lt;0")-SUMIFS('Daftar Koreksi'!$I$5:$I$92,'Daftar Koreksi'!$D$5:$D$92,'3200'!A48,'Daftar Koreksi'!$G$5:$G$92,"Gedung dan Bangunan",'Daftar Koreksi'!$I$5:$I$92,"&lt;0")</f>
        <v>0</v>
      </c>
      <c r="G62" s="17">
        <f t="shared" si="2"/>
        <v>-1324728693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-9568750</v>
      </c>
      <c r="E63" s="25">
        <f>SUMIFS('Daftar Koreksi'!$I$5:$I$92,'Daftar Koreksi'!$D$5:$D$92,'3200'!A48,'Daftar Koreksi'!$G$5:$G$92,"Jalan Irigasi Jaringan",'Daftar Koreksi'!$I$5:$I$92,"&gt;0")</f>
        <v>0</v>
      </c>
      <c r="F63" s="25">
        <f>SUMIFS('Daftar Koreksi'!$I$5:$I$92,'Daftar Koreksi'!$D$5:$D$92,'3200'!A48,'Daftar Koreksi'!$G$5:$G$92,"Jalan Irigasi Jaringan",'Daftar Koreksi'!$I$5:$I$92,"&lt;0")-SUMIFS('Daftar Koreksi'!$I$5:$I$92,'Daftar Koreksi'!$D$5:$D$92,'3200'!A48,'Daftar Koreksi'!$G$5:$G$92,"Jalan Irigasi Jaringan",'Daftar Koreksi'!$I$5:$I$92,"&lt;0")-SUMIFS('Daftar Koreksi'!$I$5:$I$92,'Daftar Koreksi'!$D$5:$D$92,'3200'!A48,'Daftar Koreksi'!$G$5:$G$92,"Jalan Irigasi Jaringan",'Daftar Koreksi'!$I$5:$I$92,"&lt;0")</f>
        <v>0</v>
      </c>
      <c r="G63" s="17">
        <f t="shared" si="2"/>
        <v>-9568750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Koreksi'!$D$5:$D$92,'3200'!A48,'Daftar Koreksi'!$G$5:$G$92,"Aset Tetap Lainnya",'Daftar Koreksi'!$I$5:$I$92,"&gt;0")</f>
        <v>0</v>
      </c>
      <c r="F64" s="25">
        <f>SUMIFS('Daftar Koreksi'!$I$5:$I$92,'Daftar Koreksi'!$D$5:$D$92,'3200'!A48,'Daftar Koreksi'!$G$5:$G$92,"Aset Tetap Lainnya",'Daftar Koreksi'!$I$5:$I$92,"&lt;0")-SUMIFS('Daftar Koreksi'!$I$5:$I$92,'Daftar Koreksi'!$D$5:$D$92,'3200'!A48,'Daftar Koreksi'!$G$5:$G$92,"Aset Tetap Lainnya",'Daftar Koreksi'!$I$5:$I$92,"&lt;0")-SUMIFS('Daftar Koreksi'!$I$5:$I$92,'Daftar Koreksi'!$D$5:$D$92,'3200'!A48,'Daftar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-134190750</v>
      </c>
      <c r="E65" s="25">
        <f>SUMIFS('Daftar Koreksi'!$I$5:$I$92,'Daftar Koreksi'!$D$5:$D$92,'3200'!A48,'Daftar Koreksi'!$G$5:$G$92,"Aset Henti Guna",'Daftar Koreksi'!$I$5:$I$92,"&gt;0")</f>
        <v>0</v>
      </c>
      <c r="F65" s="25">
        <f>SUMIFS('Daftar Koreksi'!$I$5:$I$92,'Daftar Koreksi'!$D$5:$D$92,'3200'!A48,'Daftar Koreksi'!$G$5:$G$92,"Aset Henti Guna",'Daftar Koreksi'!$I$5:$I$92,"&lt;0")-SUMIFS('Daftar Koreksi'!$I$5:$I$92,'Daftar Koreksi'!$D$5:$D$92,'3200'!A48,'Daftar Koreksi'!$G$5:$G$92,"Aset Henti Guna",'Daftar Koreksi'!$I$5:$I$92,"&lt;0")-SUMIFS('Daftar Koreksi'!$I$5:$I$92,'Daftar Koreksi'!$D$5:$D$92,'3200'!A48,'Daftar Koreksi'!$G$5:$G$92,"Aset Henti Guna",'Daftar Koreksi'!$I$5:$I$92,"&lt;0")</f>
        <v>0</v>
      </c>
      <c r="G65" s="17">
        <f t="shared" si="2"/>
        <v>-134190750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-2537596500</v>
      </c>
      <c r="E66" s="19">
        <f>SUM(E61:E65)</f>
        <v>0</v>
      </c>
      <c r="F66" s="19">
        <f>SUM(F61:F65)</f>
        <v>0</v>
      </c>
      <c r="G66" s="19">
        <f t="shared" si="2"/>
        <v>-2537596500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7576990993</v>
      </c>
      <c r="E67" s="19">
        <f>E66+E60</f>
        <v>0</v>
      </c>
      <c r="F67" s="19">
        <f>F66+F60</f>
        <v>0</v>
      </c>
      <c r="G67" s="19">
        <f t="shared" si="2"/>
        <v>7576990993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005013200402154000KD</v>
      </c>
      <c r="B70" s="11" t="str">
        <f>P4</f>
        <v>PA. Dabo Singkep</v>
      </c>
      <c r="C70" s="12" t="str">
        <f>A70&amp;" "&amp;B70</f>
        <v>005013200402154000KD PA. Dabo Singkep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399000</v>
      </c>
      <c r="E73" s="25">
        <f>SUMIFS('Daftar Koreksi'!$H$5:$H$92,'Daftar Koreksi'!$D$5:$D$92,'3200'!A70,'Daftar Koreksi'!$G$5:$G$92,"Persediaan",'Daftar Koreksi'!$H$5:$H$92,"&gt;0")</f>
        <v>0</v>
      </c>
      <c r="F73" s="25">
        <f>SUMIFS('Daftar Koreksi'!$H$5:$H$92,'Daftar Koreksi'!$D$5:$D$92,'3200'!A70,'Daftar Koreksi'!$G$5:$G$92,"Persediaan",'Daftar Koreksi'!$H$5:$H$92,"&lt;0")-SUMIFS('Daftar Koreksi'!$H$5:$H$92,'Daftar Koreksi'!$D$5:$D$92,'3200'!A70,'Daftar Koreksi'!$G$5:$G$92,"Persediaan",'Daftar Koreksi'!$H$5:$H$92,"&lt;0")-SUMIFS('Daftar Koreksi'!$H$5:$H$92,'Daftar Koreksi'!$D$5:$D$92,'3200'!A70,'Daftar Koreksi'!$G$5:$G$92,"Persediaan",'Daftar Koreksi'!$H$5:$H$92,"&lt;0")</f>
        <v>0</v>
      </c>
      <c r="G73" s="17">
        <f>D73+E73-F73</f>
        <v>399000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490280200</v>
      </c>
      <c r="E74" s="25">
        <f>SUMIFS('Daftar Koreksi'!$H$5:$H$92,'Daftar Koreksi'!$D$5:$D$92,'3200'!A70,'Daftar Koreksi'!$G$5:$G$92,"Tanah",'Daftar Koreksi'!$H$5:$H$92,"&gt;0")</f>
        <v>0</v>
      </c>
      <c r="F74" s="25">
        <f>SUMIFS('Daftar Koreksi'!$H$5:$H$92,'Daftar Koreksi'!$D$5:$D$92,'3200'!A70,'Daftar Koreksi'!$G$5:$G$92,"Tanah",'Daftar Koreksi'!$H$5:$H$92,"&lt;0")-SUMIFS('Daftar Koreksi'!$H$5:$H$92,'Daftar Koreksi'!$D$5:$D$92,'3200'!A70,'Daftar Koreksi'!$G$5:$G$92,"Tanah",'Daftar Koreksi'!$H$5:$H$92,"&lt;0")-SUMIFS('Daftar Koreksi'!$H$5:$H$92,'Daftar Koreksi'!$D$5:$D$92,'3200'!A70,'Daftar Koreksi'!$G$5:$G$92,"Tanah",'Daftar Koreksi'!$H$5:$H$92,"&lt;0")</f>
        <v>0</v>
      </c>
      <c r="G74" s="17">
        <f t="shared" ref="G74:G90" si="3">D74+E74-F74</f>
        <v>490280200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847770397</v>
      </c>
      <c r="E75" s="25">
        <f>SUMIFS('Daftar Koreksi'!$H$5:$H$92,'Daftar Koreksi'!$D$5:$D$92,'3200'!A70,'Daftar Koreksi'!$G$5:$G$92,"Peralatan dan mesin",'Daftar Koreksi'!$H$5:$H$92,"&gt;0")</f>
        <v>0</v>
      </c>
      <c r="F75" s="25">
        <f>SUMIFS('Daftar Koreksi'!$H$5:$H$92,'Daftar Koreksi'!$D$5:$D$92,'3200'!A70,'Daftar Koreksi'!$G$5:$G$92,"Peralatan dan mesin",'Daftar Koreksi'!$H$5:$H$92,"&lt;0")-SUMIFS('Daftar Koreksi'!$H$5:$H$92,'Daftar Koreksi'!$D$5:$D$92,'3200'!A70,'Daftar Koreksi'!$G$5:$G$92,"Peralatan dan mesin",'Daftar Koreksi'!$H$5:$H$92,"&lt;0")-SUMIFS('Daftar Koreksi'!$H$5:$H$92,'Daftar Koreksi'!$D$5:$D$92,'3200'!A70,'Daftar Koreksi'!$G$5:$G$92,"Peralatan dan mesin",'Daftar Koreksi'!$H$5:$H$92,"&lt;0")</f>
        <v>0</v>
      </c>
      <c r="G75" s="17">
        <f t="shared" si="3"/>
        <v>847770397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132178800</v>
      </c>
      <c r="E76" s="25">
        <f>SUMIFS('Daftar Koreksi'!$H$5:$H$92,'Daftar Koreksi'!$D$5:$D$92,'3200'!A70,'Daftar Koreksi'!$G$5:$G$92,"Gedung dan Bangunan",'Daftar Koreksi'!$H$5:$H$92,"&gt;0")</f>
        <v>0</v>
      </c>
      <c r="F76" s="25">
        <f>SUMIFS('Daftar Koreksi'!$H$5:$H$92,'Daftar Koreksi'!$D$5:$D$92,'3200'!A70,'Daftar Koreksi'!$G$5:$G$92,"Gedung dan Bangunan",'Daftar Koreksi'!$H$5:$H$92,"&lt;0")-SUMIFS('Daftar Koreksi'!$H$5:$H$92,'Daftar Koreksi'!$D$5:$D$92,'3200'!A70,'Daftar Koreksi'!$G$5:$G$92,"Gedung dan Bangunan",'Daftar Koreksi'!$H$5:$H$92,"&lt;0")-SUMIFS('Daftar Koreksi'!$H$5:$H$92,'Daftar Koreksi'!$D$5:$D$92,'3200'!A70,'Daftar Koreksi'!$G$5:$G$92,"Gedung dan Bangunan",'Daftar Koreksi'!$H$5:$H$92,"&lt;0")</f>
        <v>0</v>
      </c>
      <c r="G76" s="17">
        <f t="shared" si="3"/>
        <v>132178800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Koreksi'!$D$5:$D$92,'3200'!A70,'Daftar Koreksi'!$G$5:$G$92,"Jalan Irigasi Jaringan",'Daftar Koreksi'!$H$5:$H$92,"&gt;0")</f>
        <v>0</v>
      </c>
      <c r="F77" s="25">
        <f>SUMIFS('Daftar Koreksi'!$H$5:$H$92,'Daftar Koreksi'!$D$5:$D$92,'3200'!A70,'Daftar Koreksi'!$G$5:$G$92,"Jalan Irigasi Jaringan",'Daftar Koreksi'!$H$5:$H$92,"&lt;0")-SUMIFS('Daftar Koreksi'!$H$5:$H$92,'Daftar Koreksi'!$D$5:$D$92,'3200'!A70,'Daftar Koreksi'!$G$5:$G$92,"Jalan Irigasi Jaringan",'Daftar Koreksi'!$H$5:$H$92,"&lt;0")-SUMIFS('Daftar Koreksi'!$H$5:$H$92,'Daftar Koreksi'!$D$5:$D$92,'3200'!A70,'Daftar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2328000</v>
      </c>
      <c r="E78" s="25">
        <f>SUMIFS('Daftar Koreksi'!$H$5:$H$92,'Daftar Koreksi'!$D$5:$D$92,'3200'!A70,'Daftar Koreksi'!$G$5:$G$92,"Aset Tetap Lainnya",'Daftar Koreksi'!$H$5:$H$92,"&gt;0")</f>
        <v>0</v>
      </c>
      <c r="F78" s="25">
        <f>SUMIFS('Daftar Koreksi'!$H$5:$H$92,'Daftar Koreksi'!$D$5:$D$92,'3200'!A70,'Daftar Koreksi'!$G$5:$G$92,"Aset Tetap Lainnya",'Daftar Koreksi'!$H$5:$H$92,"&lt;0")-SUMIFS('Daftar Koreksi'!$H$5:$H$92,'Daftar Koreksi'!$D$5:$D$92,'3200'!A70,'Daftar Koreksi'!$G$5:$G$92,"Aset Tetap Lainnya",'Daftar Koreksi'!$H$5:$H$92,"&lt;0")-SUMIFS('Daftar Koreksi'!$H$5:$H$92,'Daftar Koreksi'!$D$5:$D$92,'3200'!A70,'Daftar Koreksi'!$G$5:$G$92,"Aset Tetap Lainnya",'Daftar Koreksi'!$H$5:$H$92,"&lt;0")</f>
        <v>0</v>
      </c>
      <c r="G78" s="17">
        <f t="shared" si="3"/>
        <v>2328000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Koreksi'!$D$5:$D$92,'3200'!A70,'Daftar Koreksi'!$G$5:$G$92,"Kontruksi Dalam Pengerjaan",'Daftar Koreksi'!$H$5:$H$92,"&gt;0")</f>
        <v>0</v>
      </c>
      <c r="F79" s="25">
        <f>SUMIFS('Daftar Koreksi'!$H$5:$H$92,'Daftar Koreksi'!$D$5:$D$92,'3200'!A70,'Daftar Koreksi'!$G$5:$G$92,"Kontruksi Dalam Pengerjaan",'Daftar Koreksi'!$H$5:$H$92,"&lt;0")-SUMIFS('Daftar Koreksi'!$H$5:$H$92,'Daftar Koreksi'!$D$5:$D$92,'3200'!A70,'Daftar Koreksi'!$G$5:$G$92,"Kontruksi Dalam Pengerjaan",'Daftar Koreksi'!$H$5:$H$92,"&lt;0")-SUMIFS('Daftar Koreksi'!$H$5:$H$92,'Daftar Koreksi'!$D$5:$D$92,'3200'!A70,'Daftar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Koreksi'!$D$5:$D$92,'3200'!A70,'Daftar Koreksi'!$G$5:$G$92,"Aset Tak Berwujud",'Daftar Koreksi'!$H$5:$H$92,"&gt;0")</f>
        <v>0</v>
      </c>
      <c r="F80" s="25">
        <f>SUMIFS('Daftar Koreksi'!$H$5:$H$92,'Daftar Koreksi'!$D$5:$D$92,'3200'!A70,'Daftar Koreksi'!$G$5:$G$92,"Aset Tak Berwujud",'Daftar Koreksi'!$H$5:$H$92,"&lt;0")-SUMIFS('Daftar Koreksi'!$H$5:$H$92,'Daftar Koreksi'!$D$5:$D$92,'3200'!A70,'Daftar Koreksi'!$G$5:$G$92,"Aset Tak Berwujud",'Daftar Koreksi'!$H$5:$H$92,"&lt;0")-SUMIFS('Daftar Koreksi'!$H$5:$H$92,'Daftar Koreksi'!$D$5:$D$92,'3200'!A70,'Daftar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47059</v>
      </c>
      <c r="E81" s="25">
        <f>SUMIFS('Daftar Koreksi'!$H$5:$H$92,'Daftar Koreksi'!$D$5:$D$92,'3200'!A70,'Daftar Koreksi'!$G$5:$G$92,"Aset Henti Guna",'Daftar Koreksi'!$H$5:$H$92,"&gt;0")</f>
        <v>0</v>
      </c>
      <c r="F81" s="25">
        <f>SUMIFS('Daftar Koreksi'!$H$5:$H$92,'Daftar Koreksi'!$D$5:$D$92,'3200'!A70,'Daftar Koreksi'!$G$5:$G$92,"Aset Henti Guna",'Daftar Koreksi'!$H$5:$H$92,"&lt;0")-SUMIFS('Daftar Koreksi'!$H$5:$H$92,'Daftar Koreksi'!$D$5:$D$92,'3200'!A70,'Daftar Koreksi'!$G$5:$G$92,"Aset Henti Guna",'Daftar Koreksi'!$H$5:$H$92,"&lt;0")-SUMIFS('Daftar Koreksi'!$H$5:$H$92,'Daftar Koreksi'!$D$5:$D$92,'3200'!A70,'Daftar Koreksi'!$G$5:$G$92,"Aset Henti Guna",'Daftar Koreksi'!$H$5:$H$92,"&lt;0")</f>
        <v>0</v>
      </c>
      <c r="G81" s="17">
        <f t="shared" si="3"/>
        <v>47059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1473003456</v>
      </c>
      <c r="E82" s="19">
        <f>SUM(E73:E81)</f>
        <v>0</v>
      </c>
      <c r="F82" s="19">
        <f>SUM(F73:F81)</f>
        <v>0</v>
      </c>
      <c r="G82" s="19">
        <f t="shared" si="3"/>
        <v>1473003456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-767326904</v>
      </c>
      <c r="E83" s="25">
        <f>SUMIFS('Daftar Koreksi'!$I$5:$I$92,'Daftar Koreksi'!$D$5:$D$92,'3200'!A70,'Daftar Koreksi'!$G$5:$G$92,"Peralatan dan mesin",'Daftar Koreksi'!$I$5:$I$92,"&gt;0")</f>
        <v>0</v>
      </c>
      <c r="F83" s="25">
        <f>SUMIFS('Daftar Koreksi'!$I$5:$I$92,'Daftar Koreksi'!$D$5:$D$92,'3200'!A70,'Daftar Koreksi'!$G$5:$G$92,"Peralatan dan mesin",'Daftar Koreksi'!$I$5:$I$92,"&lt;0")-SUMIFS('Daftar Koreksi'!$I$5:$I$92,'Daftar Koreksi'!$D$5:$D$92,'3200'!A70,'Daftar Koreksi'!$G$5:$G$92,"Peralatan dan mesin",'Daftar Koreksi'!$I$5:$I$92,"&lt;0")-SUMIFS('Daftar Koreksi'!$I$5:$I$92,'Daftar Koreksi'!$D$5:$D$92,'3200'!A70,'Daftar Koreksi'!$G$5:$G$92,"Peralatan dan mesin",'Daftar Koreksi'!$I$5:$I$92,"&lt;0")</f>
        <v>0</v>
      </c>
      <c r="G83" s="17">
        <f t="shared" si="3"/>
        <v>-767326904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-57288213</v>
      </c>
      <c r="E84" s="25">
        <f>SUMIFS('Daftar Koreksi'!$I$5:$I$92,'Daftar Koreksi'!$D$5:$D$92,'3200'!A70,'Daftar Koreksi'!$G$5:$G$92,"Gedung dan Bangunan",'Daftar Koreksi'!$I$5:$I$92,"&gt;0")</f>
        <v>0</v>
      </c>
      <c r="F84" s="25">
        <f>SUMIFS('Daftar Koreksi'!$I$5:$I$92,'Daftar Koreksi'!$D$5:$D$92,'3200'!A70,'Daftar Koreksi'!$G$5:$G$92,"Gedung dan Bangunan",'Daftar Koreksi'!$I$5:$I$92,"&lt;0")-SUMIFS('Daftar Koreksi'!$I$5:$I$92,'Daftar Koreksi'!$D$5:$D$92,'3200'!A70,'Daftar Koreksi'!$G$5:$G$92,"Gedung dan Bangunan",'Daftar Koreksi'!$I$5:$I$92,"&lt;0")-SUMIFS('Daftar Koreksi'!$I$5:$I$92,'Daftar Koreksi'!$D$5:$D$92,'3200'!A70,'Daftar Koreksi'!$G$5:$G$92,"Gedung dan Bangunan",'Daftar Koreksi'!$I$5:$I$92,"&lt;0")</f>
        <v>0</v>
      </c>
      <c r="G84" s="17">
        <f t="shared" si="3"/>
        <v>-57288213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Koreksi'!$D$5:$D$92,'3200'!A70,'Daftar Koreksi'!$G$5:$G$92,"Jalan Irigasi Jaringan",'Daftar Koreksi'!$I$5:$I$92,"&gt;0")</f>
        <v>0</v>
      </c>
      <c r="F85" s="25">
        <f>SUMIFS('Daftar Koreksi'!$I$5:$I$92,'Daftar Koreksi'!$D$5:$D$92,'3200'!A70,'Daftar Koreksi'!$G$5:$G$92,"Jalan Irigasi Jaringan",'Daftar Koreksi'!$I$5:$I$92,"&lt;0")-SUMIFS('Daftar Koreksi'!$I$5:$I$92,'Daftar Koreksi'!$D$5:$D$92,'3200'!A70,'Daftar Koreksi'!$G$5:$G$92,"Jalan Irigasi Jaringan",'Daftar Koreksi'!$I$5:$I$92,"&lt;0")-SUMIFS('Daftar Koreksi'!$I$5:$I$92,'Daftar Koreksi'!$D$5:$D$92,'3200'!A70,'Daftar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Koreksi'!$D$5:$D$92,'3200'!A70,'Daftar Koreksi'!$G$5:$G$92,"Aset Tetap Lainnya",'Daftar Koreksi'!$I$5:$I$92,"&gt;0")</f>
        <v>0</v>
      </c>
      <c r="F86" s="25">
        <f>SUMIFS('Daftar Koreksi'!$I$5:$I$92,'Daftar Koreksi'!$D$5:$D$92,'3200'!A70,'Daftar Koreksi'!$G$5:$G$92,"Aset Tetap Lainnya",'Daftar Koreksi'!$I$5:$I$92,"&lt;0")-SUMIFS('Daftar Koreksi'!$I$5:$I$92,'Daftar Koreksi'!$D$5:$D$92,'3200'!A70,'Daftar Koreksi'!$G$5:$G$92,"Aset Tetap Lainnya",'Daftar Koreksi'!$I$5:$I$92,"&lt;0")-SUMIFS('Daftar Koreksi'!$I$5:$I$92,'Daftar Koreksi'!$D$5:$D$92,'3200'!A70,'Daftar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-47059</v>
      </c>
      <c r="E87" s="25">
        <f>SUMIFS('Daftar Koreksi'!$I$5:$I$92,'Daftar Koreksi'!$D$5:$D$92,'3200'!A70,'Daftar Koreksi'!$G$5:$G$92,"Aset Henti Guna",'Daftar Koreksi'!$I$5:$I$92,"&gt;0")</f>
        <v>0</v>
      </c>
      <c r="F87" s="25">
        <f>SUMIFS('Daftar Koreksi'!$I$5:$I$92,'Daftar Koreksi'!$D$5:$D$92,'3200'!A70,'Daftar Koreksi'!$G$5:$G$92,"Aset Henti Guna",'Daftar Koreksi'!$I$5:$I$92,"&lt;0")-SUMIFS('Daftar Koreksi'!$I$5:$I$92,'Daftar Koreksi'!$D$5:$D$92,'3200'!A70,'Daftar Koreksi'!$G$5:$G$92,"Aset Henti Guna",'Daftar Koreksi'!$I$5:$I$92,"&lt;0")-SUMIFS('Daftar Koreksi'!$I$5:$I$92,'Daftar Koreksi'!$D$5:$D$92,'3200'!A70,'Daftar Koreksi'!$G$5:$G$92,"Aset Henti Guna",'Daftar Koreksi'!$I$5:$I$92,"&lt;0")</f>
        <v>0</v>
      </c>
      <c r="G87" s="17">
        <f t="shared" si="3"/>
        <v>-47059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-824662176</v>
      </c>
      <c r="E88" s="19">
        <f>SUM(E83:E87)</f>
        <v>0</v>
      </c>
      <c r="F88" s="19">
        <f>SUM(F83:F87)</f>
        <v>0</v>
      </c>
      <c r="G88" s="19">
        <f t="shared" si="3"/>
        <v>-824662176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648341280</v>
      </c>
      <c r="E89" s="19">
        <f>E88+E82</f>
        <v>0</v>
      </c>
      <c r="F89" s="19">
        <f>F88+F82</f>
        <v>0</v>
      </c>
      <c r="G89" s="19">
        <f t="shared" si="3"/>
        <v>648341280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005013200402160000KD</v>
      </c>
      <c r="B92" s="11" t="str">
        <f>P5</f>
        <v>PA. Tanjung Balai Karimun</v>
      </c>
      <c r="C92" s="12" t="str">
        <f>A92&amp;" "&amp;B92</f>
        <v>005013200402160000KD PA. Tanjung Balai Karimun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Koreksi'!$D$5:$D$92,'3200'!A92,'Daftar Koreksi'!$G$5:$G$92,"Persediaan",'Daftar Koreksi'!$H$5:$H$92,"&gt;0")</f>
        <v>0</v>
      </c>
      <c r="F95" s="25">
        <f>SUMIFS('Daftar Koreksi'!$H$5:$H$92,'Daftar Koreksi'!$D$5:$D$92,'3200'!A92,'Daftar Koreksi'!$G$5:$G$92,"Persediaan",'Daftar Koreksi'!$H$5:$H$92,"&lt;0")-SUMIFS('Daftar Koreksi'!$H$5:$H$92,'Daftar Koreksi'!$D$5:$D$92,'3200'!A92,'Daftar Koreksi'!$G$5:$G$92,"Persediaan",'Daftar Koreksi'!$H$5:$H$92,"&lt;0")-SUMIFS('Daftar Koreksi'!$H$5:$H$92,'Daftar Koreksi'!$D$5:$D$92,'3200'!A92,'Daftar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320384030</v>
      </c>
      <c r="E96" s="25">
        <f>SUMIFS('Daftar Koreksi'!$H$5:$H$92,'Daftar Koreksi'!$D$5:$D$92,'3200'!A92,'Daftar Koreksi'!$G$5:$G$92,"Tanah",'Daftar Koreksi'!$H$5:$H$92,"&gt;0")</f>
        <v>0</v>
      </c>
      <c r="F96" s="25">
        <f>SUMIFS('Daftar Koreksi'!$H$5:$H$92,'Daftar Koreksi'!$D$5:$D$92,'3200'!A92,'Daftar Koreksi'!$G$5:$G$92,"Tanah",'Daftar Koreksi'!$H$5:$H$92,"&lt;0")-SUMIFS('Daftar Koreksi'!$H$5:$H$92,'Daftar Koreksi'!$D$5:$D$92,'3200'!A92,'Daftar Koreksi'!$G$5:$G$92,"Tanah",'Daftar Koreksi'!$H$5:$H$92,"&lt;0")-SUMIFS('Daftar Koreksi'!$H$5:$H$92,'Daftar Koreksi'!$D$5:$D$92,'3200'!A92,'Daftar Koreksi'!$G$5:$G$92,"Tanah",'Daftar Koreksi'!$H$5:$H$92,"&lt;0")</f>
        <v>0</v>
      </c>
      <c r="G96" s="17">
        <f t="shared" ref="G96:G112" si="4">D96+E96-F96</f>
        <v>320384030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1278989345</v>
      </c>
      <c r="E97" s="25">
        <f>SUMIFS('Daftar Koreksi'!$H$5:$H$92,'Daftar Koreksi'!$D$5:$D$92,'3200'!A92,'Daftar Koreksi'!$G$5:$G$92,"Peralatan dan mesin",'Daftar Koreksi'!$H$5:$H$92,"&gt;0")</f>
        <v>0</v>
      </c>
      <c r="F97" s="25">
        <f>SUMIFS('Daftar Koreksi'!$H$5:$H$92,'Daftar Koreksi'!$D$5:$D$92,'3200'!A92,'Daftar Koreksi'!$G$5:$G$92,"Peralatan dan mesin",'Daftar Koreksi'!$H$5:$H$92,"&lt;0")-SUMIFS('Daftar Koreksi'!$H$5:$H$92,'Daftar Koreksi'!$D$5:$D$92,'3200'!A92,'Daftar Koreksi'!$G$5:$G$92,"Peralatan dan mesin",'Daftar Koreksi'!$H$5:$H$92,"&lt;0")-SUMIFS('Daftar Koreksi'!$H$5:$H$92,'Daftar Koreksi'!$D$5:$D$92,'3200'!A92,'Daftar Koreksi'!$G$5:$G$92,"Peralatan dan mesin",'Daftar Koreksi'!$H$5:$H$92,"&lt;0")</f>
        <v>0</v>
      </c>
      <c r="G97" s="17">
        <f t="shared" si="4"/>
        <v>1278989345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6663699143</v>
      </c>
      <c r="E98" s="25">
        <f>SUMIFS('Daftar Koreksi'!$H$5:$H$92,'Daftar Koreksi'!$D$5:$D$92,'3200'!A92,'Daftar Koreksi'!$G$5:$G$92,"Gedung dan Bangunan",'Daftar Koreksi'!$H$5:$H$92,"&gt;0")</f>
        <v>0</v>
      </c>
      <c r="F98" s="25">
        <f>SUMIFS('Daftar Koreksi'!$H$5:$H$92,'Daftar Koreksi'!$D$5:$D$92,'3200'!A92,'Daftar Koreksi'!$G$5:$G$92,"Gedung dan Bangunan",'Daftar Koreksi'!$H$5:$H$92,"&lt;0")-SUMIFS('Daftar Koreksi'!$H$5:$H$92,'Daftar Koreksi'!$D$5:$D$92,'3200'!A92,'Daftar Koreksi'!$G$5:$G$92,"Gedung dan Bangunan",'Daftar Koreksi'!$H$5:$H$92,"&lt;0")-SUMIFS('Daftar Koreksi'!$H$5:$H$92,'Daftar Koreksi'!$D$5:$D$92,'3200'!A92,'Daftar Koreksi'!$G$5:$G$92,"Gedung dan Bangunan",'Daftar Koreksi'!$H$5:$H$92,"&lt;0")</f>
        <v>0</v>
      </c>
      <c r="G98" s="17">
        <f t="shared" si="4"/>
        <v>6663699143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Koreksi'!$D$5:$D$92,'3200'!A92,'Daftar Koreksi'!$G$5:$G$92,"Jalan Irigasi Jaringan",'Daftar Koreksi'!$H$5:$H$92,"&gt;0")</f>
        <v>0</v>
      </c>
      <c r="F99" s="25">
        <f>SUMIFS('Daftar Koreksi'!$H$5:$H$92,'Daftar Koreksi'!$D$5:$D$92,'3200'!A92,'Daftar Koreksi'!$G$5:$G$92,"Jalan Irigasi Jaringan",'Daftar Koreksi'!$H$5:$H$92,"&lt;0")-SUMIFS('Daftar Koreksi'!$H$5:$H$92,'Daftar Koreksi'!$D$5:$D$92,'3200'!A92,'Daftar Koreksi'!$G$5:$G$92,"Jalan Irigasi Jaringan",'Daftar Koreksi'!$H$5:$H$92,"&lt;0")-SUMIFS('Daftar Koreksi'!$H$5:$H$92,'Daftar Koreksi'!$D$5:$D$92,'3200'!A92,'Daftar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2276650</v>
      </c>
      <c r="E100" s="25">
        <f>SUMIFS('Daftar Koreksi'!$H$5:$H$92,'Daftar Koreksi'!$D$5:$D$92,'3200'!A92,'Daftar Koreksi'!$G$5:$G$92,"Aset Tetap Lainnya",'Daftar Koreksi'!$H$5:$H$92,"&gt;0")</f>
        <v>0</v>
      </c>
      <c r="F100" s="25">
        <f>SUMIFS('Daftar Koreksi'!$H$5:$H$92,'Daftar Koreksi'!$D$5:$D$92,'3200'!A92,'Daftar Koreksi'!$G$5:$G$92,"Aset Tetap Lainnya",'Daftar Koreksi'!$H$5:$H$92,"&lt;0")-SUMIFS('Daftar Koreksi'!$H$5:$H$92,'Daftar Koreksi'!$D$5:$D$92,'3200'!A92,'Daftar Koreksi'!$G$5:$G$92,"Aset Tetap Lainnya",'Daftar Koreksi'!$H$5:$H$92,"&lt;0")-SUMIFS('Daftar Koreksi'!$H$5:$H$92,'Daftar Koreksi'!$D$5:$D$92,'3200'!A92,'Daftar Koreksi'!$G$5:$G$92,"Aset Tetap Lainnya",'Daftar Koreksi'!$H$5:$H$92,"&lt;0")</f>
        <v>0</v>
      </c>
      <c r="G100" s="17">
        <f t="shared" si="4"/>
        <v>2276650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Koreksi'!$D$5:$D$92,'3200'!A92,'Daftar Koreksi'!$G$5:$G$92,"Kontruksi Dalam Pengerjaan",'Daftar Koreksi'!$H$5:$H$92,"&gt;0")</f>
        <v>0</v>
      </c>
      <c r="F101" s="25">
        <f>SUMIFS('Daftar Koreksi'!$H$5:$H$92,'Daftar Koreksi'!$D$5:$D$92,'3200'!A92,'Daftar Koreksi'!$G$5:$G$92,"Kontruksi Dalam Pengerjaan",'Daftar Koreksi'!$H$5:$H$92,"&lt;0")-SUMIFS('Daftar Koreksi'!$H$5:$H$92,'Daftar Koreksi'!$D$5:$D$92,'3200'!A92,'Daftar Koreksi'!$G$5:$G$92,"Kontruksi Dalam Pengerjaan",'Daftar Koreksi'!$H$5:$H$92,"&lt;0")-SUMIFS('Daftar Koreksi'!$H$5:$H$92,'Daftar Koreksi'!$D$5:$D$92,'3200'!A92,'Daftar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4950000</v>
      </c>
      <c r="E102" s="25">
        <f>SUMIFS('Daftar Koreksi'!$H$5:$H$92,'Daftar Koreksi'!$D$5:$D$92,'3200'!A92,'Daftar Koreksi'!$G$5:$G$92,"Aset Tak Berwujud",'Daftar Koreksi'!$H$5:$H$92,"&gt;0")</f>
        <v>0</v>
      </c>
      <c r="F102" s="25">
        <f>SUMIFS('Daftar Koreksi'!$H$5:$H$92,'Daftar Koreksi'!$D$5:$D$92,'3200'!A92,'Daftar Koreksi'!$G$5:$G$92,"Aset Tak Berwujud",'Daftar Koreksi'!$H$5:$H$92,"&lt;0")-SUMIFS('Daftar Koreksi'!$H$5:$H$92,'Daftar Koreksi'!$D$5:$D$92,'3200'!A92,'Daftar Koreksi'!$G$5:$G$92,"Aset Tak Berwujud",'Daftar Koreksi'!$H$5:$H$92,"&lt;0")-SUMIFS('Daftar Koreksi'!$H$5:$H$92,'Daftar Koreksi'!$D$5:$D$92,'3200'!A92,'Daftar Koreksi'!$G$5:$G$92,"Aset Tak Berwujud",'Daftar Koreksi'!$H$5:$H$92,"&lt;0")</f>
        <v>0</v>
      </c>
      <c r="G102" s="17">
        <f t="shared" si="4"/>
        <v>4950000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4394701</v>
      </c>
      <c r="E103" s="25">
        <f>SUMIFS('Daftar Koreksi'!$H$5:$H$92,'Daftar Koreksi'!$D$5:$D$92,'3200'!A92,'Daftar Koreksi'!$G$5:$G$92,"Aset Henti Guna",'Daftar Koreksi'!$H$5:$H$92,"&gt;0")</f>
        <v>0</v>
      </c>
      <c r="F103" s="25">
        <f>SUMIFS('Daftar Koreksi'!$H$5:$H$92,'Daftar Koreksi'!$D$5:$D$92,'3200'!A92,'Daftar Koreksi'!$G$5:$G$92,"Aset Henti Guna",'Daftar Koreksi'!$H$5:$H$92,"&lt;0")-SUMIFS('Daftar Koreksi'!$H$5:$H$92,'Daftar Koreksi'!$D$5:$D$92,'3200'!A92,'Daftar Koreksi'!$G$5:$G$92,"Aset Henti Guna",'Daftar Koreksi'!$H$5:$H$92,"&lt;0")-SUMIFS('Daftar Koreksi'!$H$5:$H$92,'Daftar Koreksi'!$D$5:$D$92,'3200'!A92,'Daftar Koreksi'!$G$5:$G$92,"Aset Henti Guna",'Daftar Koreksi'!$H$5:$H$92,"&lt;0")</f>
        <v>0</v>
      </c>
      <c r="G103" s="17">
        <f t="shared" si="4"/>
        <v>4394701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8274693869</v>
      </c>
      <c r="E104" s="19">
        <f>SUM(E95:E103)</f>
        <v>0</v>
      </c>
      <c r="F104" s="19">
        <f>SUM(F95:F103)</f>
        <v>0</v>
      </c>
      <c r="G104" s="19">
        <f t="shared" si="4"/>
        <v>8274693869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-1147260131</v>
      </c>
      <c r="E105" s="25">
        <f>SUMIFS('Daftar Koreksi'!$I$5:$I$92,'Daftar Koreksi'!$D$5:$D$92,'3200'!A92,'Daftar Koreksi'!$G$5:$G$92,"Peralatan dan mesin",'Daftar Koreksi'!$I$5:$I$92,"&gt;0")</f>
        <v>0</v>
      </c>
      <c r="F105" s="25">
        <f>SUMIFS('Daftar Koreksi'!$I$5:$I$92,'Daftar Koreksi'!$D$5:$D$92,'3200'!A92,'Daftar Koreksi'!$G$5:$G$92,"Peralatan dan mesin",'Daftar Koreksi'!$I$5:$I$92,"&lt;0")-SUMIFS('Daftar Koreksi'!$I$5:$I$92,'Daftar Koreksi'!$D$5:$D$92,'3200'!A92,'Daftar Koreksi'!$G$5:$G$92,"Peralatan dan mesin",'Daftar Koreksi'!$I$5:$I$92,"&lt;0")-SUMIFS('Daftar Koreksi'!$I$5:$I$92,'Daftar Koreksi'!$D$5:$D$92,'3200'!A92,'Daftar Koreksi'!$G$5:$G$92,"Peralatan dan mesin",'Daftar Koreksi'!$I$5:$I$92,"&lt;0")</f>
        <v>0</v>
      </c>
      <c r="G105" s="17">
        <f t="shared" si="4"/>
        <v>-1147260131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-1153047894</v>
      </c>
      <c r="E106" s="25">
        <f>SUMIFS('Daftar Koreksi'!$I$5:$I$92,'Daftar Koreksi'!$D$5:$D$92,'3200'!A92,'Daftar Koreksi'!$G$5:$G$92,"Gedung dan Bangunan",'Daftar Koreksi'!$I$5:$I$92,"&gt;0")</f>
        <v>0</v>
      </c>
      <c r="F106" s="25">
        <f>SUMIFS('Daftar Koreksi'!$I$5:$I$92,'Daftar Koreksi'!$D$5:$D$92,'3200'!A92,'Daftar Koreksi'!$G$5:$G$92,"Gedung dan Bangunan",'Daftar Koreksi'!$I$5:$I$92,"&lt;0")-SUMIFS('Daftar Koreksi'!$I$5:$I$92,'Daftar Koreksi'!$D$5:$D$92,'3200'!A92,'Daftar Koreksi'!$G$5:$G$92,"Gedung dan Bangunan",'Daftar Koreksi'!$I$5:$I$92,"&lt;0")-SUMIFS('Daftar Koreksi'!$I$5:$I$92,'Daftar Koreksi'!$D$5:$D$92,'3200'!A92,'Daftar Koreksi'!$G$5:$G$92,"Gedung dan Bangunan",'Daftar Koreksi'!$I$5:$I$92,"&lt;0")</f>
        <v>0</v>
      </c>
      <c r="G106" s="17">
        <f t="shared" si="4"/>
        <v>-1153047894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Koreksi'!$D$5:$D$92,'3200'!A92,'Daftar Koreksi'!$G$5:$G$92,"Jalan Irigasi Jaringan",'Daftar Koreksi'!$I$5:$I$92,"&gt;0")</f>
        <v>0</v>
      </c>
      <c r="F107" s="25">
        <f>SUMIFS('Daftar Koreksi'!$I$5:$I$92,'Daftar Koreksi'!$D$5:$D$92,'3200'!A92,'Daftar Koreksi'!$G$5:$G$92,"Jalan Irigasi Jaringan",'Daftar Koreksi'!$I$5:$I$92,"&lt;0")-SUMIFS('Daftar Koreksi'!$I$5:$I$92,'Daftar Koreksi'!$D$5:$D$92,'3200'!A92,'Daftar Koreksi'!$G$5:$G$92,"Jalan Irigasi Jaringan",'Daftar Koreksi'!$I$5:$I$92,"&lt;0")-SUMIFS('Daftar Koreksi'!$I$5:$I$92,'Daftar Koreksi'!$D$5:$D$92,'3200'!A92,'Daftar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Koreksi'!$D$5:$D$92,'3200'!A92,'Daftar Koreksi'!$G$5:$G$92,"Aset Tetap Lainnya",'Daftar Koreksi'!$I$5:$I$92,"&gt;0")</f>
        <v>0</v>
      </c>
      <c r="F108" s="25">
        <f>SUMIFS('Daftar Koreksi'!$I$5:$I$92,'Daftar Koreksi'!$D$5:$D$92,'3200'!A92,'Daftar Koreksi'!$G$5:$G$92,"Aset Tetap Lainnya",'Daftar Koreksi'!$I$5:$I$92,"&lt;0")-SUMIFS('Daftar Koreksi'!$I$5:$I$92,'Daftar Koreksi'!$D$5:$D$92,'3200'!A92,'Daftar Koreksi'!$G$5:$G$92,"Aset Tetap Lainnya",'Daftar Koreksi'!$I$5:$I$92,"&lt;0")-SUMIFS('Daftar Koreksi'!$I$5:$I$92,'Daftar Koreksi'!$D$5:$D$92,'3200'!A92,'Daftar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-4394701</v>
      </c>
      <c r="E109" s="25">
        <f>SUMIFS('Daftar Koreksi'!$I$5:$I$92,'Daftar Koreksi'!$D$5:$D$92,'3200'!A92,'Daftar Koreksi'!$G$5:$G$92,"Aset Henti Guna",'Daftar Koreksi'!$I$5:$I$92,"&gt;0")</f>
        <v>0</v>
      </c>
      <c r="F109" s="25">
        <f>SUMIFS('Daftar Koreksi'!$I$5:$I$92,'Daftar Koreksi'!$D$5:$D$92,'3200'!A92,'Daftar Koreksi'!$G$5:$G$92,"Aset Henti Guna",'Daftar Koreksi'!$I$5:$I$92,"&lt;0")-SUMIFS('Daftar Koreksi'!$I$5:$I$92,'Daftar Koreksi'!$D$5:$D$92,'3200'!A92,'Daftar Koreksi'!$G$5:$G$92,"Aset Henti Guna",'Daftar Koreksi'!$I$5:$I$92,"&lt;0")-SUMIFS('Daftar Koreksi'!$I$5:$I$92,'Daftar Koreksi'!$D$5:$D$92,'3200'!A92,'Daftar Koreksi'!$G$5:$G$92,"Aset Henti Guna",'Daftar Koreksi'!$I$5:$I$92,"&lt;0")</f>
        <v>0</v>
      </c>
      <c r="G109" s="17">
        <f t="shared" si="4"/>
        <v>-4394701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-2304702726</v>
      </c>
      <c r="E110" s="19">
        <f>SUM(E105:E109)</f>
        <v>0</v>
      </c>
      <c r="F110" s="19">
        <f>SUM(F105:F109)</f>
        <v>0</v>
      </c>
      <c r="G110" s="19">
        <f t="shared" si="4"/>
        <v>-2304702726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5969991143</v>
      </c>
      <c r="E111" s="19">
        <f>E110+E104</f>
        <v>0</v>
      </c>
      <c r="F111" s="19">
        <f>F110+F104</f>
        <v>0</v>
      </c>
      <c r="G111" s="19">
        <f t="shared" si="4"/>
        <v>5969991143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005013200402179000KD</v>
      </c>
      <c r="B114" s="11" t="str">
        <f>P6</f>
        <v>PA. Tarempa</v>
      </c>
      <c r="C114" s="12" t="str">
        <f>A114&amp;" "&amp;B114</f>
        <v>005013200402179000KD PA. Tarempa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765000</v>
      </c>
      <c r="E117" s="25">
        <f>SUMIFS('Daftar Koreksi'!$H$5:$H$92,'Daftar Koreksi'!$D$5:$D$92,'3200'!A114,'Daftar Koreksi'!$G$5:$G$92,"Persediaan",'Daftar Koreksi'!$H$5:$H$92,"&gt;0")</f>
        <v>0</v>
      </c>
      <c r="F117" s="25">
        <f>SUMIFS('Daftar Koreksi'!$H$5:$H$92,'Daftar Koreksi'!$D$5:$D$92,'3200'!A114,'Daftar Koreksi'!$G$5:$G$92,"Persediaan",'Daftar Koreksi'!$H$5:$H$92,"&lt;0")-SUMIFS('Daftar Koreksi'!$H$5:$H$92,'Daftar Koreksi'!$D$5:$D$92,'3200'!A114,'Daftar Koreksi'!$G$5:$G$92,"Persediaan",'Daftar Koreksi'!$H$5:$H$92,"&lt;0")-SUMIFS('Daftar Koreksi'!$H$5:$H$92,'Daftar Koreksi'!$D$5:$D$92,'3200'!A114,'Daftar Koreksi'!$G$5:$G$92,"Persediaan",'Daftar Koreksi'!$H$5:$H$92,"&lt;0")</f>
        <v>0</v>
      </c>
      <c r="G117" s="17">
        <f>D117+E117-F117</f>
        <v>765000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168375000</v>
      </c>
      <c r="E118" s="25">
        <f>SUMIFS('Daftar Koreksi'!$H$5:$H$92,'Daftar Koreksi'!$D$5:$D$92,'3200'!A114,'Daftar Koreksi'!$G$5:$G$92,"Tanah",'Daftar Koreksi'!$H$5:$H$92,"&gt;0")</f>
        <v>0</v>
      </c>
      <c r="F118" s="25">
        <f>SUMIFS('Daftar Koreksi'!$H$5:$H$92,'Daftar Koreksi'!$D$5:$D$92,'3200'!A114,'Daftar Koreksi'!$G$5:$G$92,"Tanah",'Daftar Koreksi'!$H$5:$H$92,"&lt;0")-SUMIFS('Daftar Koreksi'!$H$5:$H$92,'Daftar Koreksi'!$D$5:$D$92,'3200'!A114,'Daftar Koreksi'!$G$5:$G$92,"Tanah",'Daftar Koreksi'!$H$5:$H$92,"&lt;0")-SUMIFS('Daftar Koreksi'!$H$5:$H$92,'Daftar Koreksi'!$D$5:$D$92,'3200'!A114,'Daftar Koreksi'!$G$5:$G$92,"Tanah",'Daftar Koreksi'!$H$5:$H$92,"&lt;0")</f>
        <v>0</v>
      </c>
      <c r="G118" s="17">
        <f t="shared" ref="G118:G134" si="5">D118+E118-F118</f>
        <v>168375000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614024800</v>
      </c>
      <c r="E119" s="25">
        <f>SUMIFS('Daftar Koreksi'!$H$5:$H$92,'Daftar Koreksi'!$D$5:$D$92,'3200'!A114,'Daftar Koreksi'!$G$5:$G$92,"Peralatan dan mesin",'Daftar Koreksi'!$H$5:$H$92,"&gt;0")</f>
        <v>0</v>
      </c>
      <c r="F119" s="25">
        <f>SUMIFS('Daftar Koreksi'!$H$5:$H$92,'Daftar Koreksi'!$D$5:$D$92,'3200'!A114,'Daftar Koreksi'!$G$5:$G$92,"Peralatan dan mesin",'Daftar Koreksi'!$H$5:$H$92,"&lt;0")-SUMIFS('Daftar Koreksi'!$H$5:$H$92,'Daftar Koreksi'!$D$5:$D$92,'3200'!A114,'Daftar Koreksi'!$G$5:$G$92,"Peralatan dan mesin",'Daftar Koreksi'!$H$5:$H$92,"&lt;0")-SUMIFS('Daftar Koreksi'!$H$5:$H$92,'Daftar Koreksi'!$D$5:$D$92,'3200'!A114,'Daftar Koreksi'!$G$5:$G$92,"Peralatan dan mesin",'Daftar Koreksi'!$H$5:$H$92,"&lt;0")</f>
        <v>0</v>
      </c>
      <c r="G119" s="17">
        <f t="shared" si="5"/>
        <v>614024800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732626700</v>
      </c>
      <c r="E120" s="25">
        <f>SUMIFS('Daftar Koreksi'!$H$5:$H$92,'Daftar Koreksi'!$D$5:$D$92,'3200'!A114,'Daftar Koreksi'!$G$5:$G$92,"Gedung dan Bangunan",'Daftar Koreksi'!$H$5:$H$92,"&gt;0")</f>
        <v>0</v>
      </c>
      <c r="F120" s="25">
        <f>SUMIFS('Daftar Koreksi'!$H$5:$H$92,'Daftar Koreksi'!$D$5:$D$92,'3200'!A114,'Daftar Koreksi'!$G$5:$G$92,"Gedung dan Bangunan",'Daftar Koreksi'!$H$5:$H$92,"&lt;0")-SUMIFS('Daftar Koreksi'!$H$5:$H$92,'Daftar Koreksi'!$D$5:$D$92,'3200'!A114,'Daftar Koreksi'!$G$5:$G$92,"Gedung dan Bangunan",'Daftar Koreksi'!$H$5:$H$92,"&lt;0")-SUMIFS('Daftar Koreksi'!$H$5:$H$92,'Daftar Koreksi'!$D$5:$D$92,'3200'!A114,'Daftar Koreksi'!$G$5:$G$92,"Gedung dan Bangunan",'Daftar Koreksi'!$H$5:$H$92,"&lt;0")</f>
        <v>0</v>
      </c>
      <c r="G120" s="17">
        <f t="shared" si="5"/>
        <v>732626700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Koreksi'!$D$5:$D$92,'3200'!A114,'Daftar Koreksi'!$G$5:$G$92,"Jalan Irigasi Jaringan",'Daftar Koreksi'!$H$5:$H$92,"&gt;0")</f>
        <v>0</v>
      </c>
      <c r="F121" s="25">
        <f>SUMIFS('Daftar Koreksi'!$H$5:$H$92,'Daftar Koreksi'!$D$5:$D$92,'3200'!A114,'Daftar Koreksi'!$G$5:$G$92,"Jalan Irigasi Jaringan",'Daftar Koreksi'!$H$5:$H$92,"&lt;0")-SUMIFS('Daftar Koreksi'!$H$5:$H$92,'Daftar Koreksi'!$D$5:$D$92,'3200'!A114,'Daftar Koreksi'!$G$5:$G$92,"Jalan Irigasi Jaringan",'Daftar Koreksi'!$H$5:$H$92,"&lt;0")-SUMIFS('Daftar Koreksi'!$H$5:$H$92,'Daftar Koreksi'!$D$5:$D$92,'3200'!A114,'Daftar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408000</v>
      </c>
      <c r="E122" s="25">
        <f>SUMIFS('Daftar Koreksi'!$H$5:$H$92,'Daftar Koreksi'!$D$5:$D$92,'3200'!A114,'Daftar Koreksi'!$G$5:$G$92,"Aset Tetap Lainnya",'Daftar Koreksi'!$H$5:$H$92,"&gt;0")</f>
        <v>0</v>
      </c>
      <c r="F122" s="25">
        <f>SUMIFS('Daftar Koreksi'!$H$5:$H$92,'Daftar Koreksi'!$D$5:$D$92,'3200'!A114,'Daftar Koreksi'!$G$5:$G$92,"Aset Tetap Lainnya",'Daftar Koreksi'!$H$5:$H$92,"&lt;0")-SUMIFS('Daftar Koreksi'!$H$5:$H$92,'Daftar Koreksi'!$D$5:$D$92,'3200'!A114,'Daftar Koreksi'!$G$5:$G$92,"Aset Tetap Lainnya",'Daftar Koreksi'!$H$5:$H$92,"&lt;0")-SUMIFS('Daftar Koreksi'!$H$5:$H$92,'Daftar Koreksi'!$D$5:$D$92,'3200'!A114,'Daftar Koreksi'!$G$5:$G$92,"Aset Tetap Lainnya",'Daftar Koreksi'!$H$5:$H$92,"&lt;0")</f>
        <v>0</v>
      </c>
      <c r="G122" s="17">
        <f t="shared" si="5"/>
        <v>408000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Koreksi'!$D$5:$D$92,'3200'!A114,'Daftar Koreksi'!$G$5:$G$92,"Kontruksi Dalam Pengerjaan",'Daftar Koreksi'!$H$5:$H$92,"&gt;0")</f>
        <v>0</v>
      </c>
      <c r="F123" s="25">
        <f>SUMIFS('Daftar Koreksi'!$H$5:$H$92,'Daftar Koreksi'!$D$5:$D$92,'3200'!A114,'Daftar Koreksi'!$G$5:$G$92,"Kontruksi Dalam Pengerjaan",'Daftar Koreksi'!$H$5:$H$92,"&lt;0")-SUMIFS('Daftar Koreksi'!$H$5:$H$92,'Daftar Koreksi'!$D$5:$D$92,'3200'!A114,'Daftar Koreksi'!$G$5:$G$92,"Kontruksi Dalam Pengerjaan",'Daftar Koreksi'!$H$5:$H$92,"&lt;0")-SUMIFS('Daftar Koreksi'!$H$5:$H$92,'Daftar Koreksi'!$D$5:$D$92,'3200'!A114,'Daftar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Koreksi'!$D$5:$D$92,'3200'!A114,'Daftar Koreksi'!$G$5:$G$92,"Aset Tak Berwujud",'Daftar Koreksi'!$H$5:$H$92,"&gt;0")</f>
        <v>0</v>
      </c>
      <c r="F124" s="25">
        <f>SUMIFS('Daftar Koreksi'!$H$5:$H$92,'Daftar Koreksi'!$D$5:$D$92,'3200'!A114,'Daftar Koreksi'!$G$5:$G$92,"Aset Tak Berwujud",'Daftar Koreksi'!$H$5:$H$92,"&lt;0")-SUMIFS('Daftar Koreksi'!$H$5:$H$92,'Daftar Koreksi'!$D$5:$D$92,'3200'!A114,'Daftar Koreksi'!$G$5:$G$92,"Aset Tak Berwujud",'Daftar Koreksi'!$H$5:$H$92,"&lt;0")-SUMIFS('Daftar Koreksi'!$H$5:$H$92,'Daftar Koreksi'!$D$5:$D$92,'3200'!A114,'Daftar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75029098</v>
      </c>
      <c r="E125" s="25">
        <f>SUMIFS('Daftar Koreksi'!$H$5:$H$92,'Daftar Koreksi'!$D$5:$D$92,'3200'!A114,'Daftar Koreksi'!$G$5:$G$92,"Aset Henti Guna",'Daftar Koreksi'!$H$5:$H$92,"&gt;0")</f>
        <v>0</v>
      </c>
      <c r="F125" s="25">
        <f>SUMIFS('Daftar Koreksi'!$H$5:$H$92,'Daftar Koreksi'!$D$5:$D$92,'3200'!A114,'Daftar Koreksi'!$G$5:$G$92,"Aset Henti Guna",'Daftar Koreksi'!$H$5:$H$92,"&lt;0")-SUMIFS('Daftar Koreksi'!$H$5:$H$92,'Daftar Koreksi'!$D$5:$D$92,'3200'!A114,'Daftar Koreksi'!$G$5:$G$92,"Aset Henti Guna",'Daftar Koreksi'!$H$5:$H$92,"&lt;0")-SUMIFS('Daftar Koreksi'!$H$5:$H$92,'Daftar Koreksi'!$D$5:$D$92,'3200'!A114,'Daftar Koreksi'!$G$5:$G$92,"Aset Henti Guna",'Daftar Koreksi'!$H$5:$H$92,"&lt;0")</f>
        <v>0</v>
      </c>
      <c r="G125" s="17">
        <f t="shared" si="5"/>
        <v>75029098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1591228598</v>
      </c>
      <c r="E126" s="19">
        <f>SUM(E117:E125)</f>
        <v>0</v>
      </c>
      <c r="F126" s="19">
        <f>SUM(F117:F125)</f>
        <v>0</v>
      </c>
      <c r="G126" s="19">
        <f t="shared" si="5"/>
        <v>1591228598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-548199380</v>
      </c>
      <c r="E127" s="25">
        <f>SUMIFS('Daftar Koreksi'!$I$5:$I$92,'Daftar Koreksi'!$D$5:$D$92,'3200'!A114,'Daftar Koreksi'!$G$5:$G$92,"Peralatan dan mesin",'Daftar Koreksi'!$I$5:$I$92,"&gt;0")</f>
        <v>0</v>
      </c>
      <c r="F127" s="25">
        <f>SUMIFS('Daftar Koreksi'!$I$5:$I$92,'Daftar Koreksi'!$D$5:$D$92,'3200'!A114,'Daftar Koreksi'!$G$5:$G$92,"Peralatan dan mesin",'Daftar Koreksi'!$I$5:$I$92,"&lt;0")-SUMIFS('Daftar Koreksi'!$I$5:$I$92,'Daftar Koreksi'!$D$5:$D$92,'3200'!A114,'Daftar Koreksi'!$G$5:$G$92,"Peralatan dan mesin",'Daftar Koreksi'!$I$5:$I$92,"&lt;0")-SUMIFS('Daftar Koreksi'!$I$5:$I$92,'Daftar Koreksi'!$D$5:$D$92,'3200'!A114,'Daftar Koreksi'!$G$5:$G$92,"Peralatan dan mesin",'Daftar Koreksi'!$I$5:$I$92,"&lt;0")</f>
        <v>0</v>
      </c>
      <c r="G127" s="17">
        <f t="shared" si="5"/>
        <v>-548199380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-196558384</v>
      </c>
      <c r="E128" s="25">
        <f>SUMIFS('Daftar Koreksi'!$I$5:$I$92,'Daftar Koreksi'!$D$5:$D$92,'3200'!A114,'Daftar Koreksi'!$G$5:$G$92,"Gedung dan Bangunan",'Daftar Koreksi'!$I$5:$I$92,"&gt;0")</f>
        <v>0</v>
      </c>
      <c r="F128" s="25">
        <f>SUMIFS('Daftar Koreksi'!$I$5:$I$92,'Daftar Koreksi'!$D$5:$D$92,'3200'!A114,'Daftar Koreksi'!$G$5:$G$92,"Gedung dan Bangunan",'Daftar Koreksi'!$I$5:$I$92,"&lt;0")-SUMIFS('Daftar Koreksi'!$I$5:$I$92,'Daftar Koreksi'!$D$5:$D$92,'3200'!A114,'Daftar Koreksi'!$G$5:$G$92,"Gedung dan Bangunan",'Daftar Koreksi'!$I$5:$I$92,"&lt;0")-SUMIFS('Daftar Koreksi'!$I$5:$I$92,'Daftar Koreksi'!$D$5:$D$92,'3200'!A114,'Daftar Koreksi'!$G$5:$G$92,"Gedung dan Bangunan",'Daftar Koreksi'!$I$5:$I$92,"&lt;0")</f>
        <v>0</v>
      </c>
      <c r="G128" s="17">
        <f t="shared" si="5"/>
        <v>-196558384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Koreksi'!$D$5:$D$92,'3200'!A114,'Daftar Koreksi'!$G$5:$G$92,"Jalan Irigasi Jaringan",'Daftar Koreksi'!$I$5:$I$92,"&gt;0")</f>
        <v>0</v>
      </c>
      <c r="F129" s="25">
        <f>SUMIFS('Daftar Koreksi'!$I$5:$I$92,'Daftar Koreksi'!$D$5:$D$92,'3200'!A114,'Daftar Koreksi'!$G$5:$G$92,"Jalan Irigasi Jaringan",'Daftar Koreksi'!$I$5:$I$92,"&lt;0")-SUMIFS('Daftar Koreksi'!$I$5:$I$92,'Daftar Koreksi'!$D$5:$D$92,'3200'!A114,'Daftar Koreksi'!$G$5:$G$92,"Jalan Irigasi Jaringan",'Daftar Koreksi'!$I$5:$I$92,"&lt;0")-SUMIFS('Daftar Koreksi'!$I$5:$I$92,'Daftar Koreksi'!$D$5:$D$92,'3200'!A114,'Daftar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Koreksi'!$D$5:$D$92,'3200'!A114,'Daftar Koreksi'!$G$5:$G$92,"Aset Tetap Lainnya",'Daftar Koreksi'!$I$5:$I$92,"&gt;0")</f>
        <v>0</v>
      </c>
      <c r="F130" s="25">
        <f>SUMIFS('Daftar Koreksi'!$I$5:$I$92,'Daftar Koreksi'!$D$5:$D$92,'3200'!A114,'Daftar Koreksi'!$G$5:$G$92,"Aset Tetap Lainnya",'Daftar Koreksi'!$I$5:$I$92,"&lt;0")-SUMIFS('Daftar Koreksi'!$I$5:$I$92,'Daftar Koreksi'!$D$5:$D$92,'3200'!A114,'Daftar Koreksi'!$G$5:$G$92,"Aset Tetap Lainnya",'Daftar Koreksi'!$I$5:$I$92,"&lt;0")-SUMIFS('Daftar Koreksi'!$I$5:$I$92,'Daftar Koreksi'!$D$5:$D$92,'3200'!A114,'Daftar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-75029098</v>
      </c>
      <c r="E131" s="25">
        <f>SUMIFS('Daftar Koreksi'!$I$5:$I$92,'Daftar Koreksi'!$D$5:$D$92,'3200'!A114,'Daftar Koreksi'!$G$5:$G$92,"Aset Henti Guna",'Daftar Koreksi'!$I$5:$I$92,"&gt;0")</f>
        <v>0</v>
      </c>
      <c r="F131" s="25">
        <f>SUMIFS('Daftar Koreksi'!$I$5:$I$92,'Daftar Koreksi'!$D$5:$D$92,'3200'!A114,'Daftar Koreksi'!$G$5:$G$92,"Aset Henti Guna",'Daftar Koreksi'!$I$5:$I$92,"&lt;0")-SUMIFS('Daftar Koreksi'!$I$5:$I$92,'Daftar Koreksi'!$D$5:$D$92,'3200'!A114,'Daftar Koreksi'!$G$5:$G$92,"Aset Henti Guna",'Daftar Koreksi'!$I$5:$I$92,"&lt;0")-SUMIFS('Daftar Koreksi'!$I$5:$I$92,'Daftar Koreksi'!$D$5:$D$92,'3200'!A114,'Daftar Koreksi'!$G$5:$G$92,"Aset Henti Guna",'Daftar Koreksi'!$I$5:$I$92,"&lt;0")</f>
        <v>0</v>
      </c>
      <c r="G131" s="17">
        <f t="shared" si="5"/>
        <v>-75029098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-819786862</v>
      </c>
      <c r="E132" s="19">
        <f>SUM(E127:E131)</f>
        <v>0</v>
      </c>
      <c r="F132" s="19">
        <f>SUM(F127:F131)</f>
        <v>0</v>
      </c>
      <c r="G132" s="19">
        <f t="shared" si="5"/>
        <v>-819786862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771441736</v>
      </c>
      <c r="E133" s="19">
        <f>E132+E126</f>
        <v>0</v>
      </c>
      <c r="F133" s="19">
        <f>F132+F126</f>
        <v>0</v>
      </c>
      <c r="G133" s="19">
        <f t="shared" si="5"/>
        <v>771441736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005013200547699000KD</v>
      </c>
      <c r="B136" s="11" t="str">
        <f>P7</f>
        <v>PA. Batam</v>
      </c>
      <c r="C136" s="12" t="str">
        <f>A136&amp;" "&amp;B136</f>
        <v>005013200547699000KD PA. Batam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0</v>
      </c>
      <c r="E139" s="25">
        <f>SUMIFS('Daftar Koreksi'!$H$5:$H$92,'Daftar Koreksi'!$D$5:$D$92,'3200'!A136,'Daftar Koreksi'!$G$5:$G$92,"Persediaan",'Daftar Koreksi'!$H$5:$H$92,"&gt;0")</f>
        <v>0</v>
      </c>
      <c r="F139" s="25">
        <f>SUMIFS('Daftar Koreksi'!$H$5:$H$92,'Daftar Koreksi'!$D$5:$D$92,'3200'!A136,'Daftar Koreksi'!$G$5:$G$92,"Persediaan",'Daftar Koreksi'!$H$5:$H$92,"&lt;0")-SUMIFS('Daftar Koreksi'!$H$5:$H$92,'Daftar Koreksi'!$D$5:$D$92,'3200'!A136,'Daftar Koreksi'!$G$5:$G$92,"Persediaan",'Daftar Koreksi'!$H$5:$H$92,"&lt;0")-SUMIFS('Daftar Koreksi'!$H$5:$H$92,'Daftar Koreksi'!$D$5:$D$92,'3200'!A136,'Daftar Koreksi'!$G$5:$G$92,"Persediaan",'Daftar Koreksi'!$H$5:$H$92,"&lt;0")</f>
        <v>0</v>
      </c>
      <c r="G139" s="17">
        <f>D139+E139-F139</f>
        <v>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1916600000</v>
      </c>
      <c r="E140" s="25">
        <f>SUMIFS('Daftar Koreksi'!$H$5:$H$92,'Daftar Koreksi'!$D$5:$D$92,'3200'!A136,'Daftar Koreksi'!$G$5:$G$92,"Tanah",'Daftar Koreksi'!$H$5:$H$92,"&gt;0")</f>
        <v>0</v>
      </c>
      <c r="F140" s="25">
        <f>SUMIFS('Daftar Koreksi'!$H$5:$H$92,'Daftar Koreksi'!$D$5:$D$92,'3200'!A136,'Daftar Koreksi'!$G$5:$G$92,"Tanah",'Daftar Koreksi'!$H$5:$H$92,"&lt;0")-SUMIFS('Daftar Koreksi'!$H$5:$H$92,'Daftar Koreksi'!$D$5:$D$92,'3200'!A136,'Daftar Koreksi'!$G$5:$G$92,"Tanah",'Daftar Koreksi'!$H$5:$H$92,"&lt;0")-SUMIFS('Daftar Koreksi'!$H$5:$H$92,'Daftar Koreksi'!$D$5:$D$92,'3200'!A136,'Daftar Koreksi'!$G$5:$G$92,"Tanah",'Daftar Koreksi'!$H$5:$H$92,"&lt;0")</f>
        <v>0</v>
      </c>
      <c r="G140" s="17">
        <f t="shared" ref="G140:G156" si="6">D140+E140-F140</f>
        <v>1916600000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1857087537</v>
      </c>
      <c r="E141" s="25">
        <f>SUMIFS('Daftar Koreksi'!$H$5:$H$92,'Daftar Koreksi'!$D$5:$D$92,'3200'!A136,'Daftar Koreksi'!$G$5:$G$92,"Peralatan dan mesin",'Daftar Koreksi'!$H$5:$H$92,"&gt;0")</f>
        <v>0</v>
      </c>
      <c r="F141" s="25">
        <f>SUMIFS('Daftar Koreksi'!$H$5:$H$92,'Daftar Koreksi'!$D$5:$D$92,'3200'!A136,'Daftar Koreksi'!$G$5:$G$92,"Peralatan dan mesin",'Daftar Koreksi'!$H$5:$H$92,"&lt;0")-SUMIFS('Daftar Koreksi'!$H$5:$H$92,'Daftar Koreksi'!$D$5:$D$92,'3200'!A136,'Daftar Koreksi'!$G$5:$G$92,"Peralatan dan mesin",'Daftar Koreksi'!$H$5:$H$92,"&lt;0")-SUMIFS('Daftar Koreksi'!$H$5:$H$92,'Daftar Koreksi'!$D$5:$D$92,'3200'!A136,'Daftar Koreksi'!$G$5:$G$92,"Peralatan dan mesin",'Daftar Koreksi'!$H$5:$H$92,"&lt;0")</f>
        <v>0</v>
      </c>
      <c r="G141" s="17">
        <f t="shared" si="6"/>
        <v>1857087537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821929500</v>
      </c>
      <c r="E142" s="25">
        <f>SUMIFS('Daftar Koreksi'!$H$5:$H$92,'Daftar Koreksi'!$D$5:$D$92,'3200'!A136,'Daftar Koreksi'!$G$5:$G$92,"Gedung dan Bangunan",'Daftar Koreksi'!$H$5:$H$92,"&gt;0")</f>
        <v>0</v>
      </c>
      <c r="F142" s="25">
        <f>SUMIFS('Daftar Koreksi'!$H$5:$H$92,'Daftar Koreksi'!$D$5:$D$92,'3200'!A136,'Daftar Koreksi'!$G$5:$G$92,"Gedung dan Bangunan",'Daftar Koreksi'!$H$5:$H$92,"&lt;0")-SUMIFS('Daftar Koreksi'!$H$5:$H$92,'Daftar Koreksi'!$D$5:$D$92,'3200'!A136,'Daftar Koreksi'!$G$5:$G$92,"Gedung dan Bangunan",'Daftar Koreksi'!$H$5:$H$92,"&lt;0")-SUMIFS('Daftar Koreksi'!$H$5:$H$92,'Daftar Koreksi'!$D$5:$D$92,'3200'!A136,'Daftar Koreksi'!$G$5:$G$92,"Gedung dan Bangunan",'Daftar Koreksi'!$H$5:$H$92,"&lt;0")</f>
        <v>0</v>
      </c>
      <c r="G142" s="17">
        <f t="shared" si="6"/>
        <v>821929500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129576800</v>
      </c>
      <c r="E143" s="25">
        <f>SUMIFS('Daftar Koreksi'!$H$5:$H$92,'Daftar Koreksi'!$D$5:$D$92,'3200'!A136,'Daftar Koreksi'!$G$5:$G$92,"Jalan Irigasi Jaringan",'Daftar Koreksi'!$H$5:$H$92,"&gt;0")</f>
        <v>0</v>
      </c>
      <c r="F143" s="25">
        <f>SUMIFS('Daftar Koreksi'!$H$5:$H$92,'Daftar Koreksi'!$D$5:$D$92,'3200'!A136,'Daftar Koreksi'!$G$5:$G$92,"Jalan Irigasi Jaringan",'Daftar Koreksi'!$H$5:$H$92,"&lt;0")-SUMIFS('Daftar Koreksi'!$H$5:$H$92,'Daftar Koreksi'!$D$5:$D$92,'3200'!A136,'Daftar Koreksi'!$G$5:$G$92,"Jalan Irigasi Jaringan",'Daftar Koreksi'!$H$5:$H$92,"&lt;0")-SUMIFS('Daftar Koreksi'!$H$5:$H$92,'Daftar Koreksi'!$D$5:$D$92,'3200'!A136,'Daftar Koreksi'!$G$5:$G$92,"Jalan Irigasi Jaringan",'Daftar Koreksi'!$H$5:$H$92,"&lt;0")</f>
        <v>0</v>
      </c>
      <c r="G143" s="17">
        <f t="shared" si="6"/>
        <v>129576800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3867500</v>
      </c>
      <c r="E144" s="25">
        <f>SUMIFS('Daftar Koreksi'!$H$5:$H$92,'Daftar Koreksi'!$D$5:$D$92,'3200'!A136,'Daftar Koreksi'!$G$5:$G$92,"Aset Tetap Lainnya",'Daftar Koreksi'!$H$5:$H$92,"&gt;0")</f>
        <v>0</v>
      </c>
      <c r="F144" s="25">
        <f>SUMIFS('Daftar Koreksi'!$H$5:$H$92,'Daftar Koreksi'!$D$5:$D$92,'3200'!A136,'Daftar Koreksi'!$G$5:$G$92,"Aset Tetap Lainnya",'Daftar Koreksi'!$H$5:$H$92,"&lt;0")-SUMIFS('Daftar Koreksi'!$H$5:$H$92,'Daftar Koreksi'!$D$5:$D$92,'3200'!A136,'Daftar Koreksi'!$G$5:$G$92,"Aset Tetap Lainnya",'Daftar Koreksi'!$H$5:$H$92,"&lt;0")-SUMIFS('Daftar Koreksi'!$H$5:$H$92,'Daftar Koreksi'!$D$5:$D$92,'3200'!A136,'Daftar Koreksi'!$G$5:$G$92,"Aset Tetap Lainnya",'Daftar Koreksi'!$H$5:$H$92,"&lt;0")</f>
        <v>0</v>
      </c>
      <c r="G144" s="17">
        <f t="shared" si="6"/>
        <v>3867500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9193595700</v>
      </c>
      <c r="E145" s="25">
        <f>SUMIFS('Daftar Koreksi'!$H$5:$H$92,'Daftar Koreksi'!$D$5:$D$92,'3200'!A136,'Daftar Koreksi'!$G$5:$G$92,"Kontruksi Dalam Pengerjaan",'Daftar Koreksi'!$H$5:$H$92,"&gt;0")</f>
        <v>0</v>
      </c>
      <c r="F145" s="25">
        <f>SUMIFS('Daftar Koreksi'!$H$5:$H$92,'Daftar Koreksi'!$D$5:$D$92,'3200'!A136,'Daftar Koreksi'!$G$5:$G$92,"Kontruksi Dalam Pengerjaan",'Daftar Koreksi'!$H$5:$H$92,"&lt;0")-SUMIFS('Daftar Koreksi'!$H$5:$H$92,'Daftar Koreksi'!$D$5:$D$92,'3200'!A136,'Daftar Koreksi'!$G$5:$G$92,"Kontruksi Dalam Pengerjaan",'Daftar Koreksi'!$H$5:$H$92,"&lt;0")-SUMIFS('Daftar Koreksi'!$H$5:$H$92,'Daftar Koreksi'!$D$5:$D$92,'3200'!A136,'Daftar Koreksi'!$G$5:$G$92,"Kontruksi Dalam Pengerjaan",'Daftar Koreksi'!$H$5:$H$92,"&lt;0")</f>
        <v>0</v>
      </c>
      <c r="G145" s="17">
        <f t="shared" si="6"/>
        <v>9193595700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Koreksi'!$D$5:$D$92,'3200'!A136,'Daftar Koreksi'!$G$5:$G$92,"Aset Tak Berwujud",'Daftar Koreksi'!$H$5:$H$92,"&gt;0")</f>
        <v>0</v>
      </c>
      <c r="F146" s="25">
        <f>SUMIFS('Daftar Koreksi'!$H$5:$H$92,'Daftar Koreksi'!$D$5:$D$92,'3200'!A136,'Daftar Koreksi'!$G$5:$G$92,"Aset Tak Berwujud",'Daftar Koreksi'!$H$5:$H$92,"&lt;0")-SUMIFS('Daftar Koreksi'!$H$5:$H$92,'Daftar Koreksi'!$D$5:$D$92,'3200'!A136,'Daftar Koreksi'!$G$5:$G$92,"Aset Tak Berwujud",'Daftar Koreksi'!$H$5:$H$92,"&lt;0")-SUMIFS('Daftar Koreksi'!$H$5:$H$92,'Daftar Koreksi'!$D$5:$D$92,'3200'!A136,'Daftar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27000000</v>
      </c>
      <c r="E147" s="25">
        <f>SUMIFS('Daftar Koreksi'!$H$5:$H$92,'Daftar Koreksi'!$D$5:$D$92,'3200'!A136,'Daftar Koreksi'!$G$5:$G$92,"Aset Henti Guna",'Daftar Koreksi'!$H$5:$H$92,"&gt;0")</f>
        <v>0</v>
      </c>
      <c r="F147" s="25">
        <f>SUMIFS('Daftar Koreksi'!$H$5:$H$92,'Daftar Koreksi'!$D$5:$D$92,'3200'!A136,'Daftar Koreksi'!$G$5:$G$92,"Aset Henti Guna",'Daftar Koreksi'!$H$5:$H$92,"&lt;0")-SUMIFS('Daftar Koreksi'!$H$5:$H$92,'Daftar Koreksi'!$D$5:$D$92,'3200'!A136,'Daftar Koreksi'!$G$5:$G$92,"Aset Henti Guna",'Daftar Koreksi'!$H$5:$H$92,"&lt;0")-SUMIFS('Daftar Koreksi'!$H$5:$H$92,'Daftar Koreksi'!$D$5:$D$92,'3200'!A136,'Daftar Koreksi'!$G$5:$G$92,"Aset Henti Guna",'Daftar Koreksi'!$H$5:$H$92,"&lt;0")</f>
        <v>0</v>
      </c>
      <c r="G147" s="17">
        <f t="shared" si="6"/>
        <v>27000000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13949657037</v>
      </c>
      <c r="E148" s="19">
        <f>SUM(E139:E147)</f>
        <v>0</v>
      </c>
      <c r="F148" s="19">
        <f>SUM(F139:F147)</f>
        <v>0</v>
      </c>
      <c r="G148" s="19">
        <f t="shared" si="6"/>
        <v>13949657037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-1250204821</v>
      </c>
      <c r="E149" s="25">
        <f>SUMIFS('Daftar Koreksi'!$I$5:$I$92,'Daftar Koreksi'!$D$5:$D$92,'3200'!A136,'Daftar Koreksi'!$G$5:$G$92,"Peralatan dan mesin",'Daftar Koreksi'!$I$5:$I$92,"&gt;0")</f>
        <v>0</v>
      </c>
      <c r="F149" s="25">
        <f>SUMIFS('Daftar Koreksi'!$I$5:$I$92,'Daftar Koreksi'!$D$5:$D$92,'3200'!A136,'Daftar Koreksi'!$G$5:$G$92,"Peralatan dan mesin",'Daftar Koreksi'!$I$5:$I$92,"&lt;0")-SUMIFS('Daftar Koreksi'!$I$5:$I$92,'Daftar Koreksi'!$D$5:$D$92,'3200'!A136,'Daftar Koreksi'!$G$5:$G$92,"Peralatan dan mesin",'Daftar Koreksi'!$I$5:$I$92,"&lt;0")-SUMIFS('Daftar Koreksi'!$I$5:$I$92,'Daftar Koreksi'!$D$5:$D$92,'3200'!A136,'Daftar Koreksi'!$G$5:$G$92,"Peralatan dan mesin",'Daftar Koreksi'!$I$5:$I$92,"&lt;0")</f>
        <v>0</v>
      </c>
      <c r="G149" s="17">
        <f t="shared" si="6"/>
        <v>-1250204821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-129437160</v>
      </c>
      <c r="E150" s="25">
        <f>SUMIFS('Daftar Koreksi'!$I$5:$I$92,'Daftar Koreksi'!$D$5:$D$92,'3200'!A136,'Daftar Koreksi'!$G$5:$G$92,"Gedung dan Bangunan",'Daftar Koreksi'!$I$5:$I$92,"&gt;0")</f>
        <v>0</v>
      </c>
      <c r="F150" s="25">
        <f>SUMIFS('Daftar Koreksi'!$I$5:$I$92,'Daftar Koreksi'!$D$5:$D$92,'3200'!A136,'Daftar Koreksi'!$G$5:$G$92,"Gedung dan Bangunan",'Daftar Koreksi'!$I$5:$I$92,"&lt;0")-SUMIFS('Daftar Koreksi'!$I$5:$I$92,'Daftar Koreksi'!$D$5:$D$92,'3200'!A136,'Daftar Koreksi'!$G$5:$G$92,"Gedung dan Bangunan",'Daftar Koreksi'!$I$5:$I$92,"&lt;0")-SUMIFS('Daftar Koreksi'!$I$5:$I$92,'Daftar Koreksi'!$D$5:$D$92,'3200'!A136,'Daftar Koreksi'!$G$5:$G$92,"Gedung dan Bangunan",'Daftar Koreksi'!$I$5:$I$92,"&lt;0")</f>
        <v>0</v>
      </c>
      <c r="G150" s="17">
        <f t="shared" si="6"/>
        <v>-129437160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-1619710</v>
      </c>
      <c r="E151" s="25">
        <f>SUMIFS('Daftar Koreksi'!$I$5:$I$92,'Daftar Koreksi'!$D$5:$D$92,'3200'!A136,'Daftar Koreksi'!$G$5:$G$92,"Jalan Irigasi Jaringan",'Daftar Koreksi'!$I$5:$I$92,"&gt;0")</f>
        <v>0</v>
      </c>
      <c r="F151" s="25">
        <f>SUMIFS('Daftar Koreksi'!$I$5:$I$92,'Daftar Koreksi'!$D$5:$D$92,'3200'!A136,'Daftar Koreksi'!$G$5:$G$92,"Jalan Irigasi Jaringan",'Daftar Koreksi'!$I$5:$I$92,"&lt;0")-SUMIFS('Daftar Koreksi'!$I$5:$I$92,'Daftar Koreksi'!$D$5:$D$92,'3200'!A136,'Daftar Koreksi'!$G$5:$G$92,"Jalan Irigasi Jaringan",'Daftar Koreksi'!$I$5:$I$92,"&lt;0")-SUMIFS('Daftar Koreksi'!$I$5:$I$92,'Daftar Koreksi'!$D$5:$D$92,'3200'!A136,'Daftar Koreksi'!$G$5:$G$92,"Jalan Irigasi Jaringan",'Daftar Koreksi'!$I$5:$I$92,"&lt;0")</f>
        <v>0</v>
      </c>
      <c r="G151" s="17">
        <f t="shared" si="6"/>
        <v>-1619710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Koreksi'!$D$5:$D$92,'3200'!A136,'Daftar Koreksi'!$G$5:$G$92,"Aset Tetap Lainnya",'Daftar Koreksi'!$I$5:$I$92,"&gt;0")</f>
        <v>0</v>
      </c>
      <c r="F152" s="25">
        <f>SUMIFS('Daftar Koreksi'!$I$5:$I$92,'Daftar Koreksi'!$D$5:$D$92,'3200'!A136,'Daftar Koreksi'!$G$5:$G$92,"Aset Tetap Lainnya",'Daftar Koreksi'!$I$5:$I$92,"&lt;0")-SUMIFS('Daftar Koreksi'!$I$5:$I$92,'Daftar Koreksi'!$D$5:$D$92,'3200'!A136,'Daftar Koreksi'!$G$5:$G$92,"Aset Tetap Lainnya",'Daftar Koreksi'!$I$5:$I$92,"&lt;0")-SUMIFS('Daftar Koreksi'!$I$5:$I$92,'Daftar Koreksi'!$D$5:$D$92,'3200'!A136,'Daftar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-27000000</v>
      </c>
      <c r="E153" s="25">
        <f>SUMIFS('Daftar Koreksi'!$I$5:$I$92,'Daftar Koreksi'!$D$5:$D$92,'3200'!A136,'Daftar Koreksi'!$G$5:$G$92,"Aset Henti Guna",'Daftar Koreksi'!$I$5:$I$92,"&gt;0")</f>
        <v>0</v>
      </c>
      <c r="F153" s="25">
        <f>SUMIFS('Daftar Koreksi'!$I$5:$I$92,'Daftar Koreksi'!$D$5:$D$92,'3200'!A136,'Daftar Koreksi'!$G$5:$G$92,"Aset Henti Guna",'Daftar Koreksi'!$I$5:$I$92,"&lt;0")-SUMIFS('Daftar Koreksi'!$I$5:$I$92,'Daftar Koreksi'!$D$5:$D$92,'3200'!A136,'Daftar Koreksi'!$G$5:$G$92,"Aset Henti Guna",'Daftar Koreksi'!$I$5:$I$92,"&lt;0")-SUMIFS('Daftar Koreksi'!$I$5:$I$92,'Daftar Koreksi'!$D$5:$D$92,'3200'!A136,'Daftar Koreksi'!$G$5:$G$92,"Aset Henti Guna",'Daftar Koreksi'!$I$5:$I$92,"&lt;0")</f>
        <v>0</v>
      </c>
      <c r="G153" s="17">
        <f t="shared" si="6"/>
        <v>-27000000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-1408261691</v>
      </c>
      <c r="E154" s="19">
        <f>SUM(E149:E153)</f>
        <v>0</v>
      </c>
      <c r="F154" s="19">
        <f>SUM(F149:F153)</f>
        <v>0</v>
      </c>
      <c r="G154" s="19">
        <f t="shared" si="6"/>
        <v>-1408261691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12541395346</v>
      </c>
      <c r="E155" s="19">
        <f>E154+E148</f>
        <v>0</v>
      </c>
      <c r="F155" s="19">
        <f>F154+F148</f>
        <v>0</v>
      </c>
      <c r="G155" s="19">
        <f t="shared" si="6"/>
        <v>12541395346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005013200614670000KD</v>
      </c>
      <c r="B158" s="11" t="str">
        <f>P8</f>
        <v>PA. Natuna</v>
      </c>
      <c r="C158" s="12" t="str">
        <f>A158&amp;" "&amp;B158</f>
        <v>005013200614670000KD PA. Natuna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1006400</v>
      </c>
      <c r="E161" s="25">
        <f>SUMIFS('Daftar Koreksi'!$H$5:$H$92,'Daftar Koreksi'!$D$5:$D$92,'3200'!A158,'Daftar Koreksi'!$G$5:$G$92,"Persediaan",'Daftar Koreksi'!$H$5:$H$92,"&gt;0")</f>
        <v>0</v>
      </c>
      <c r="F161" s="25">
        <f>SUMIFS('Daftar Koreksi'!$H$5:$H$92,'Daftar Koreksi'!$D$5:$D$92,'3200'!A158,'Daftar Koreksi'!$G$5:$G$92,"Persediaan",'Daftar Koreksi'!$H$5:$H$92,"&lt;0")-SUMIFS('Daftar Koreksi'!$H$5:$H$92,'Daftar Koreksi'!$D$5:$D$92,'3200'!A158,'Daftar Koreksi'!$G$5:$G$92,"Persediaan",'Daftar Koreksi'!$H$5:$H$92,"&lt;0")-SUMIFS('Daftar Koreksi'!$H$5:$H$92,'Daftar Koreksi'!$D$5:$D$92,'3200'!A158,'Daftar Koreksi'!$G$5:$G$92,"Persediaan",'Daftar Koreksi'!$H$5:$H$92,"&lt;0")</f>
        <v>0</v>
      </c>
      <c r="G161" s="17">
        <f>D161+E161-F161</f>
        <v>1006400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1615831500</v>
      </c>
      <c r="E162" s="25">
        <f>SUMIFS('Daftar Koreksi'!$H$5:$H$92,'Daftar Koreksi'!$D$5:$D$92,'3200'!A158,'Daftar Koreksi'!$G$5:$G$92,"Tanah",'Daftar Koreksi'!$H$5:$H$92,"&gt;0")</f>
        <v>0</v>
      </c>
      <c r="F162" s="25">
        <f>SUMIFS('Daftar Koreksi'!$H$5:$H$92,'Daftar Koreksi'!$D$5:$D$92,'3200'!A158,'Daftar Koreksi'!$G$5:$G$92,"Tanah",'Daftar Koreksi'!$H$5:$H$92,"&lt;0")-SUMIFS('Daftar Koreksi'!$H$5:$H$92,'Daftar Koreksi'!$D$5:$D$92,'3200'!A158,'Daftar Koreksi'!$G$5:$G$92,"Tanah",'Daftar Koreksi'!$H$5:$H$92,"&lt;0")-SUMIFS('Daftar Koreksi'!$H$5:$H$92,'Daftar Koreksi'!$D$5:$D$92,'3200'!A158,'Daftar Koreksi'!$G$5:$G$92,"Tanah",'Daftar Koreksi'!$H$5:$H$92,"&lt;0")</f>
        <v>0</v>
      </c>
      <c r="G162" s="17">
        <f t="shared" ref="G162:G178" si="7">D162+E162-F162</f>
        <v>1615831500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956095133</v>
      </c>
      <c r="E163" s="25">
        <f>SUMIFS('Daftar Koreksi'!$H$5:$H$92,'Daftar Koreksi'!$D$5:$D$92,'3200'!A158,'Daftar Koreksi'!$G$5:$G$92,"Peralatan dan mesin",'Daftar Koreksi'!$H$5:$H$92,"&gt;0")</f>
        <v>0</v>
      </c>
      <c r="F163" s="25">
        <f>SUMIFS('Daftar Koreksi'!$H$5:$H$92,'Daftar Koreksi'!$D$5:$D$92,'3200'!A158,'Daftar Koreksi'!$G$5:$G$92,"Peralatan dan mesin",'Daftar Koreksi'!$H$5:$H$92,"&lt;0")-SUMIFS('Daftar Koreksi'!$H$5:$H$92,'Daftar Koreksi'!$D$5:$D$92,'3200'!A158,'Daftar Koreksi'!$G$5:$G$92,"Peralatan dan mesin",'Daftar Koreksi'!$H$5:$H$92,"&lt;0")-SUMIFS('Daftar Koreksi'!$H$5:$H$92,'Daftar Koreksi'!$D$5:$D$92,'3200'!A158,'Daftar Koreksi'!$G$5:$G$92,"Peralatan dan mesin",'Daftar Koreksi'!$H$5:$H$92,"&lt;0")</f>
        <v>0</v>
      </c>
      <c r="G163" s="17">
        <f t="shared" si="7"/>
        <v>956095133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1076682700</v>
      </c>
      <c r="E164" s="25">
        <f>SUMIFS('Daftar Koreksi'!$H$5:$H$92,'Daftar Koreksi'!$D$5:$D$92,'3200'!A158,'Daftar Koreksi'!$G$5:$G$92,"Gedung dan Bangunan",'Daftar Koreksi'!$H$5:$H$92,"&gt;0")</f>
        <v>0</v>
      </c>
      <c r="F164" s="25">
        <f>SUMIFS('Daftar Koreksi'!$H$5:$H$92,'Daftar Koreksi'!$D$5:$D$92,'3200'!A158,'Daftar Koreksi'!$G$5:$G$92,"Gedung dan Bangunan",'Daftar Koreksi'!$H$5:$H$92,"&lt;0")-SUMIFS('Daftar Koreksi'!$H$5:$H$92,'Daftar Koreksi'!$D$5:$D$92,'3200'!A158,'Daftar Koreksi'!$G$5:$G$92,"Gedung dan Bangunan",'Daftar Koreksi'!$H$5:$H$92,"&lt;0")-SUMIFS('Daftar Koreksi'!$H$5:$H$92,'Daftar Koreksi'!$D$5:$D$92,'3200'!A158,'Daftar Koreksi'!$G$5:$G$92,"Gedung dan Bangunan",'Daftar Koreksi'!$H$5:$H$92,"&lt;0")</f>
        <v>0</v>
      </c>
      <c r="G164" s="17">
        <f t="shared" si="7"/>
        <v>1076682700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16400000</v>
      </c>
      <c r="E165" s="25">
        <f>SUMIFS('Daftar Koreksi'!$H$5:$H$92,'Daftar Koreksi'!$D$5:$D$92,'3200'!A158,'Daftar Koreksi'!$G$5:$G$92,"Jalan Irigasi Jaringan",'Daftar Koreksi'!$H$5:$H$92,"&gt;0")</f>
        <v>0</v>
      </c>
      <c r="F165" s="25">
        <f>SUMIFS('Daftar Koreksi'!$H$5:$H$92,'Daftar Koreksi'!$D$5:$D$92,'3200'!A158,'Daftar Koreksi'!$G$5:$G$92,"Jalan Irigasi Jaringan",'Daftar Koreksi'!$H$5:$H$92,"&lt;0")-SUMIFS('Daftar Koreksi'!$H$5:$H$92,'Daftar Koreksi'!$D$5:$D$92,'3200'!A158,'Daftar Koreksi'!$G$5:$G$92,"Jalan Irigasi Jaringan",'Daftar Koreksi'!$H$5:$H$92,"&lt;0")-SUMIFS('Daftar Koreksi'!$H$5:$H$92,'Daftar Koreksi'!$D$5:$D$92,'3200'!A158,'Daftar Koreksi'!$G$5:$G$92,"Jalan Irigasi Jaringan",'Daftar Koreksi'!$H$5:$H$92,"&lt;0")</f>
        <v>0</v>
      </c>
      <c r="G165" s="17">
        <f t="shared" si="7"/>
        <v>16400000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3920620</v>
      </c>
      <c r="E166" s="25">
        <f>SUMIFS('Daftar Koreksi'!$H$5:$H$92,'Daftar Koreksi'!$D$5:$D$92,'3200'!A158,'Daftar Koreksi'!$G$5:$G$92,"Aset Tetap Lainnya",'Daftar Koreksi'!$H$5:$H$92,"&gt;0")</f>
        <v>0</v>
      </c>
      <c r="F166" s="25">
        <f>SUMIFS('Daftar Koreksi'!$H$5:$H$92,'Daftar Koreksi'!$D$5:$D$92,'3200'!A158,'Daftar Koreksi'!$G$5:$G$92,"Aset Tetap Lainnya",'Daftar Koreksi'!$H$5:$H$92,"&lt;0")-SUMIFS('Daftar Koreksi'!$H$5:$H$92,'Daftar Koreksi'!$D$5:$D$92,'3200'!A158,'Daftar Koreksi'!$G$5:$G$92,"Aset Tetap Lainnya",'Daftar Koreksi'!$H$5:$H$92,"&lt;0")-SUMIFS('Daftar Koreksi'!$H$5:$H$92,'Daftar Koreksi'!$D$5:$D$92,'3200'!A158,'Daftar Koreksi'!$G$5:$G$92,"Aset Tetap Lainnya",'Daftar Koreksi'!$H$5:$H$92,"&lt;0")</f>
        <v>0</v>
      </c>
      <c r="G166" s="17">
        <f t="shared" si="7"/>
        <v>3920620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5977690750</v>
      </c>
      <c r="E167" s="25">
        <f>SUMIFS('Daftar Koreksi'!$H$5:$H$92,'Daftar Koreksi'!$D$5:$D$92,'3200'!A158,'Daftar Koreksi'!$G$5:$G$92,"Kontruksi Dalam Pengerjaan",'Daftar Koreksi'!$H$5:$H$92,"&gt;0")</f>
        <v>0</v>
      </c>
      <c r="F167" s="25">
        <f>SUMIFS('Daftar Koreksi'!$H$5:$H$92,'Daftar Koreksi'!$D$5:$D$92,'3200'!A158,'Daftar Koreksi'!$G$5:$G$92,"Kontruksi Dalam Pengerjaan",'Daftar Koreksi'!$H$5:$H$92,"&lt;0")-SUMIFS('Daftar Koreksi'!$H$5:$H$92,'Daftar Koreksi'!$D$5:$D$92,'3200'!A158,'Daftar Koreksi'!$G$5:$G$92,"Kontruksi Dalam Pengerjaan",'Daftar Koreksi'!$H$5:$H$92,"&lt;0")-SUMIFS('Daftar Koreksi'!$H$5:$H$92,'Daftar Koreksi'!$D$5:$D$92,'3200'!A158,'Daftar Koreksi'!$G$5:$G$92,"Kontruksi Dalam Pengerjaan",'Daftar Koreksi'!$H$5:$H$92,"&lt;0")</f>
        <v>0</v>
      </c>
      <c r="G167" s="17">
        <f t="shared" si="7"/>
        <v>5977690750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11550000</v>
      </c>
      <c r="E168" s="25">
        <f>SUMIFS('Daftar Koreksi'!$H$5:$H$92,'Daftar Koreksi'!$D$5:$D$92,'3200'!A158,'Daftar Koreksi'!$G$5:$G$92,"Aset Tak Berwujud",'Daftar Koreksi'!$H$5:$H$92,"&gt;0")</f>
        <v>0</v>
      </c>
      <c r="F168" s="25">
        <f>SUMIFS('Daftar Koreksi'!$H$5:$H$92,'Daftar Koreksi'!$D$5:$D$92,'3200'!A158,'Daftar Koreksi'!$G$5:$G$92,"Aset Tak Berwujud",'Daftar Koreksi'!$H$5:$H$92,"&lt;0")-SUMIFS('Daftar Koreksi'!$H$5:$H$92,'Daftar Koreksi'!$D$5:$D$92,'3200'!A158,'Daftar Koreksi'!$G$5:$G$92,"Aset Tak Berwujud",'Daftar Koreksi'!$H$5:$H$92,"&lt;0")-SUMIFS('Daftar Koreksi'!$H$5:$H$92,'Daftar Koreksi'!$D$5:$D$92,'3200'!A158,'Daftar Koreksi'!$G$5:$G$92,"Aset Tak Berwujud",'Daftar Koreksi'!$H$5:$H$92,"&lt;0")</f>
        <v>0</v>
      </c>
      <c r="G168" s="17">
        <f t="shared" si="7"/>
        <v>11550000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75171600</v>
      </c>
      <c r="E169" s="25">
        <f>SUMIFS('Daftar Koreksi'!$H$5:$H$92,'Daftar Koreksi'!$D$5:$D$92,'3200'!A158,'Daftar Koreksi'!$G$5:$G$92,"Aset Henti Guna",'Daftar Koreksi'!$H$5:$H$92,"&gt;0")</f>
        <v>0</v>
      </c>
      <c r="F169" s="25">
        <f>SUMIFS('Daftar Koreksi'!$H$5:$H$92,'Daftar Koreksi'!$D$5:$D$92,'3200'!A158,'Daftar Koreksi'!$G$5:$G$92,"Aset Henti Guna",'Daftar Koreksi'!$H$5:$H$92,"&lt;0")-SUMIFS('Daftar Koreksi'!$H$5:$H$92,'Daftar Koreksi'!$D$5:$D$92,'3200'!A158,'Daftar Koreksi'!$G$5:$G$92,"Aset Henti Guna",'Daftar Koreksi'!$H$5:$H$92,"&lt;0")-SUMIFS('Daftar Koreksi'!$H$5:$H$92,'Daftar Koreksi'!$D$5:$D$92,'3200'!A158,'Daftar Koreksi'!$G$5:$G$92,"Aset Henti Guna",'Daftar Koreksi'!$H$5:$H$92,"&lt;0")</f>
        <v>0</v>
      </c>
      <c r="G169" s="17">
        <f t="shared" si="7"/>
        <v>75171600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9734348703</v>
      </c>
      <c r="E170" s="19">
        <f>SUM(E161:E169)</f>
        <v>0</v>
      </c>
      <c r="F170" s="19">
        <f>SUM(F161:F169)</f>
        <v>0</v>
      </c>
      <c r="G170" s="19">
        <f t="shared" si="7"/>
        <v>9734348703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-574639710</v>
      </c>
      <c r="E171" s="25">
        <f>SUMIFS('Daftar Koreksi'!$I$5:$I$92,'Daftar Koreksi'!$D$5:$D$92,'3200'!A158,'Daftar Koreksi'!$G$5:$G$92,"Peralatan dan mesin",'Daftar Koreksi'!$I$5:$I$92,"&gt;0")</f>
        <v>0</v>
      </c>
      <c r="F171" s="25">
        <f>SUMIFS('Daftar Koreksi'!$I$5:$I$92,'Daftar Koreksi'!$D$5:$D$92,'3200'!A158,'Daftar Koreksi'!$G$5:$G$92,"Peralatan dan mesin",'Daftar Koreksi'!$I$5:$I$92,"&lt;0")-SUMIFS('Daftar Koreksi'!$I$5:$I$92,'Daftar Koreksi'!$D$5:$D$92,'3200'!A158,'Daftar Koreksi'!$G$5:$G$92,"Peralatan dan mesin",'Daftar Koreksi'!$I$5:$I$92,"&lt;0")-SUMIFS('Daftar Koreksi'!$I$5:$I$92,'Daftar Koreksi'!$D$5:$D$92,'3200'!A158,'Daftar Koreksi'!$G$5:$G$92,"Peralatan dan mesin",'Daftar Koreksi'!$I$5:$I$92,"&lt;0")</f>
        <v>0</v>
      </c>
      <c r="G171" s="17">
        <f t="shared" si="7"/>
        <v>-574639710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-152707775</v>
      </c>
      <c r="E172" s="25">
        <f>SUMIFS('Daftar Koreksi'!$I$5:$I$92,'Daftar Koreksi'!$D$5:$D$92,'3200'!A158,'Daftar Koreksi'!$G$5:$G$92,"Gedung dan Bangunan",'Daftar Koreksi'!$I$5:$I$92,"&gt;0")</f>
        <v>0</v>
      </c>
      <c r="F172" s="25">
        <f>SUMIFS('Daftar Koreksi'!$I$5:$I$92,'Daftar Koreksi'!$D$5:$D$92,'3200'!A158,'Daftar Koreksi'!$G$5:$G$92,"Gedung dan Bangunan",'Daftar Koreksi'!$I$5:$I$92,"&lt;0")-SUMIFS('Daftar Koreksi'!$I$5:$I$92,'Daftar Koreksi'!$D$5:$D$92,'3200'!A158,'Daftar Koreksi'!$G$5:$G$92,"Gedung dan Bangunan",'Daftar Koreksi'!$I$5:$I$92,"&lt;0")-SUMIFS('Daftar Koreksi'!$I$5:$I$92,'Daftar Koreksi'!$D$5:$D$92,'3200'!A158,'Daftar Koreksi'!$G$5:$G$92,"Gedung dan Bangunan",'Daftar Koreksi'!$I$5:$I$92,"&lt;0")</f>
        <v>0</v>
      </c>
      <c r="G172" s="17">
        <f t="shared" si="7"/>
        <v>-152707775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-1640000</v>
      </c>
      <c r="E173" s="25">
        <f>SUMIFS('Daftar Koreksi'!$I$5:$I$92,'Daftar Koreksi'!$D$5:$D$92,'3200'!A158,'Daftar Koreksi'!$G$5:$G$92,"Jalan Irigasi Jaringan",'Daftar Koreksi'!$I$5:$I$92,"&gt;0")</f>
        <v>0</v>
      </c>
      <c r="F173" s="25">
        <f>SUMIFS('Daftar Koreksi'!$I$5:$I$92,'Daftar Koreksi'!$D$5:$D$92,'3200'!A158,'Daftar Koreksi'!$G$5:$G$92,"Jalan Irigasi Jaringan",'Daftar Koreksi'!$I$5:$I$92,"&lt;0")-SUMIFS('Daftar Koreksi'!$I$5:$I$92,'Daftar Koreksi'!$D$5:$D$92,'3200'!A158,'Daftar Koreksi'!$G$5:$G$92,"Jalan Irigasi Jaringan",'Daftar Koreksi'!$I$5:$I$92,"&lt;0")-SUMIFS('Daftar Koreksi'!$I$5:$I$92,'Daftar Koreksi'!$D$5:$D$92,'3200'!A158,'Daftar Koreksi'!$G$5:$G$92,"Jalan Irigasi Jaringan",'Daftar Koreksi'!$I$5:$I$92,"&lt;0")</f>
        <v>0</v>
      </c>
      <c r="G173" s="17">
        <f t="shared" si="7"/>
        <v>-1640000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Koreksi'!$D$5:$D$92,'3200'!A158,'Daftar Koreksi'!$G$5:$G$92,"Aset Tetap Lainnya",'Daftar Koreksi'!$I$5:$I$92,"&gt;0")</f>
        <v>0</v>
      </c>
      <c r="F174" s="25">
        <f>SUMIFS('Daftar Koreksi'!$I$5:$I$92,'Daftar Koreksi'!$D$5:$D$92,'3200'!A158,'Daftar Koreksi'!$G$5:$G$92,"Aset Tetap Lainnya",'Daftar Koreksi'!$I$5:$I$92,"&lt;0")-SUMIFS('Daftar Koreksi'!$I$5:$I$92,'Daftar Koreksi'!$D$5:$D$92,'3200'!A158,'Daftar Koreksi'!$G$5:$G$92,"Aset Tetap Lainnya",'Daftar Koreksi'!$I$5:$I$92,"&lt;0")-SUMIFS('Daftar Koreksi'!$I$5:$I$92,'Daftar Koreksi'!$D$5:$D$92,'3200'!A158,'Daftar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-75171600</v>
      </c>
      <c r="E175" s="25">
        <f>SUMIFS('Daftar Koreksi'!$I$5:$I$92,'Daftar Koreksi'!$D$5:$D$92,'3200'!A158,'Daftar Koreksi'!$G$5:$G$92,"Aset Henti Guna",'Daftar Koreksi'!$I$5:$I$92,"&gt;0")</f>
        <v>0</v>
      </c>
      <c r="F175" s="25">
        <f>SUMIFS('Daftar Koreksi'!$I$5:$I$92,'Daftar Koreksi'!$D$5:$D$92,'3200'!A158,'Daftar Koreksi'!$G$5:$G$92,"Aset Henti Guna",'Daftar Koreksi'!$I$5:$I$92,"&lt;0")-SUMIFS('Daftar Koreksi'!$I$5:$I$92,'Daftar Koreksi'!$D$5:$D$92,'3200'!A158,'Daftar Koreksi'!$G$5:$G$92,"Aset Henti Guna",'Daftar Koreksi'!$I$5:$I$92,"&lt;0")-SUMIFS('Daftar Koreksi'!$I$5:$I$92,'Daftar Koreksi'!$D$5:$D$92,'3200'!A158,'Daftar Koreksi'!$G$5:$G$92,"Aset Henti Guna",'Daftar Koreksi'!$I$5:$I$92,"&lt;0")</f>
        <v>0</v>
      </c>
      <c r="G175" s="17">
        <f t="shared" si="7"/>
        <v>-75171600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-804159085</v>
      </c>
      <c r="E176" s="19">
        <f>SUM(E171:E175)</f>
        <v>0</v>
      </c>
      <c r="F176" s="19">
        <f>SUM(F171:F175)</f>
        <v>0</v>
      </c>
      <c r="G176" s="19">
        <f t="shared" si="7"/>
        <v>-804159085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8930189618</v>
      </c>
      <c r="E177" s="19">
        <f>E176+E170</f>
        <v>0</v>
      </c>
      <c r="F177" s="19">
        <f>F176+F170</f>
        <v>0</v>
      </c>
      <c r="G177" s="19">
        <f t="shared" si="7"/>
        <v>8930189618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005013200663005000KD</v>
      </c>
      <c r="B180" s="11" t="str">
        <f>P9</f>
        <v>PN. Tanjung Balai Karimun</v>
      </c>
      <c r="C180" s="12" t="str">
        <f>A180&amp;" "&amp;B180</f>
        <v>005013200663005000KD PN. Tanjung Balai Karimun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129000</v>
      </c>
      <c r="E183" s="25">
        <f>SUMIFS('Daftar Koreksi'!$H$5:$H$92,'Daftar Koreksi'!$D$5:$D$92,'3200'!A180,'Daftar Koreksi'!$G$5:$G$92,"Persediaan",'Daftar Koreksi'!$H$5:$H$92,"&gt;0")</f>
        <v>0</v>
      </c>
      <c r="F183" s="25">
        <f>SUMIFS('Daftar Koreksi'!$H$5:$H$92,'Daftar Koreksi'!$D$5:$D$92,'3200'!A180,'Daftar Koreksi'!$G$5:$G$92,"Persediaan",'Daftar Koreksi'!$H$5:$H$92,"&lt;0")-SUMIFS('Daftar Koreksi'!$H$5:$H$92,'Daftar Koreksi'!$D$5:$D$92,'3200'!A180,'Daftar Koreksi'!$G$5:$G$92,"Persediaan",'Daftar Koreksi'!$H$5:$H$92,"&lt;0")-SUMIFS('Daftar Koreksi'!$H$5:$H$92,'Daftar Koreksi'!$D$5:$D$92,'3200'!A180,'Daftar Koreksi'!$G$5:$G$92,"Persediaan",'Daftar Koreksi'!$H$5:$H$92,"&lt;0")</f>
        <v>0</v>
      </c>
      <c r="G183" s="17">
        <f>D183+E183-F183</f>
        <v>129000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484000000</v>
      </c>
      <c r="E184" s="25">
        <f>SUMIFS('Daftar Koreksi'!$H$5:$H$92,'Daftar Koreksi'!$D$5:$D$92,'3200'!A180,'Daftar Koreksi'!$G$5:$G$92,"Tanah",'Daftar Koreksi'!$H$5:$H$92,"&gt;0")</f>
        <v>0</v>
      </c>
      <c r="F184" s="25">
        <f>SUMIFS('Daftar Koreksi'!$H$5:$H$92,'Daftar Koreksi'!$D$5:$D$92,'3200'!A180,'Daftar Koreksi'!$G$5:$G$92,"Tanah",'Daftar Koreksi'!$H$5:$H$92,"&lt;0")-SUMIFS('Daftar Koreksi'!$H$5:$H$92,'Daftar Koreksi'!$D$5:$D$92,'3200'!A180,'Daftar Koreksi'!$G$5:$G$92,"Tanah",'Daftar Koreksi'!$H$5:$H$92,"&lt;0")-SUMIFS('Daftar Koreksi'!$H$5:$H$92,'Daftar Koreksi'!$D$5:$D$92,'3200'!A180,'Daftar Koreksi'!$G$5:$G$92,"Tanah",'Daftar Koreksi'!$H$5:$H$92,"&lt;0")</f>
        <v>0</v>
      </c>
      <c r="G184" s="17">
        <f t="shared" ref="G184:G200" si="8">D184+E184-F184</f>
        <v>484000000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1673970417</v>
      </c>
      <c r="E185" s="25">
        <f>SUMIFS('Daftar Koreksi'!$H$5:$H$92,'Daftar Koreksi'!$D$5:$D$92,'3200'!A180,'Daftar Koreksi'!$G$5:$G$92,"Peralatan dan mesin",'Daftar Koreksi'!$H$5:$H$92,"&gt;0")</f>
        <v>0</v>
      </c>
      <c r="F185" s="25">
        <f>SUMIFS('Daftar Koreksi'!$H$5:$H$92,'Daftar Koreksi'!$D$5:$D$92,'3200'!A180,'Daftar Koreksi'!$G$5:$G$92,"Peralatan dan mesin",'Daftar Koreksi'!$H$5:$H$92,"&lt;0")-SUMIFS('Daftar Koreksi'!$H$5:$H$92,'Daftar Koreksi'!$D$5:$D$92,'3200'!A180,'Daftar Koreksi'!$G$5:$G$92,"Peralatan dan mesin",'Daftar Koreksi'!$H$5:$H$92,"&lt;0")-SUMIFS('Daftar Koreksi'!$H$5:$H$92,'Daftar Koreksi'!$D$5:$D$92,'3200'!A180,'Daftar Koreksi'!$G$5:$G$92,"Peralatan dan mesin",'Daftar Koreksi'!$H$5:$H$92,"&lt;0")</f>
        <v>0</v>
      </c>
      <c r="G185" s="17">
        <f t="shared" si="8"/>
        <v>1673970417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2441827700</v>
      </c>
      <c r="E186" s="25">
        <f>SUMIFS('Daftar Koreksi'!$H$5:$H$92,'Daftar Koreksi'!$D$5:$D$92,'3200'!A180,'Daftar Koreksi'!$G$5:$G$92,"Gedung dan Bangunan",'Daftar Koreksi'!$H$5:$H$92,"&gt;0")</f>
        <v>0</v>
      </c>
      <c r="F186" s="25">
        <f>SUMIFS('Daftar Koreksi'!$H$5:$H$92,'Daftar Koreksi'!$D$5:$D$92,'3200'!A180,'Daftar Koreksi'!$G$5:$G$92,"Gedung dan Bangunan",'Daftar Koreksi'!$H$5:$H$92,"&lt;0")-SUMIFS('Daftar Koreksi'!$H$5:$H$92,'Daftar Koreksi'!$D$5:$D$92,'3200'!A180,'Daftar Koreksi'!$G$5:$G$92,"Gedung dan Bangunan",'Daftar Koreksi'!$H$5:$H$92,"&lt;0")-SUMIFS('Daftar Koreksi'!$H$5:$H$92,'Daftar Koreksi'!$D$5:$D$92,'3200'!A180,'Daftar Koreksi'!$G$5:$G$92,"Gedung dan Bangunan",'Daftar Koreksi'!$H$5:$H$92,"&lt;0")</f>
        <v>0</v>
      </c>
      <c r="G186" s="17">
        <f t="shared" si="8"/>
        <v>2441827700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207018168</v>
      </c>
      <c r="E187" s="25">
        <f>SUMIFS('Daftar Koreksi'!$H$5:$H$92,'Daftar Koreksi'!$D$5:$D$92,'3200'!A180,'Daftar Koreksi'!$G$5:$G$92,"Jalan Irigasi Jaringan",'Daftar Koreksi'!$H$5:$H$92,"&gt;0")</f>
        <v>0</v>
      </c>
      <c r="F187" s="25">
        <f>SUMIFS('Daftar Koreksi'!$H$5:$H$92,'Daftar Koreksi'!$D$5:$D$92,'3200'!A180,'Daftar Koreksi'!$G$5:$G$92,"Jalan Irigasi Jaringan",'Daftar Koreksi'!$H$5:$H$92,"&lt;0")-SUMIFS('Daftar Koreksi'!$H$5:$H$92,'Daftar Koreksi'!$D$5:$D$92,'3200'!A180,'Daftar Koreksi'!$G$5:$G$92,"Jalan Irigasi Jaringan",'Daftar Koreksi'!$H$5:$H$92,"&lt;0")-SUMIFS('Daftar Koreksi'!$H$5:$H$92,'Daftar Koreksi'!$D$5:$D$92,'3200'!A180,'Daftar Koreksi'!$G$5:$G$92,"Jalan Irigasi Jaringan",'Daftar Koreksi'!$H$5:$H$92,"&lt;0")</f>
        <v>0</v>
      </c>
      <c r="G187" s="17">
        <f t="shared" si="8"/>
        <v>207018168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1943440</v>
      </c>
      <c r="E188" s="25">
        <f>SUMIFS('Daftar Koreksi'!$H$5:$H$92,'Daftar Koreksi'!$D$5:$D$92,'3200'!A180,'Daftar Koreksi'!$G$5:$G$92,"Aset Tetap Lainnya",'Daftar Koreksi'!$H$5:$H$92,"&gt;0")</f>
        <v>0</v>
      </c>
      <c r="F188" s="25">
        <f>SUMIFS('Daftar Koreksi'!$H$5:$H$92,'Daftar Koreksi'!$D$5:$D$92,'3200'!A180,'Daftar Koreksi'!$G$5:$G$92,"Aset Tetap Lainnya",'Daftar Koreksi'!$H$5:$H$92,"&lt;0")-SUMIFS('Daftar Koreksi'!$H$5:$H$92,'Daftar Koreksi'!$D$5:$D$92,'3200'!A180,'Daftar Koreksi'!$G$5:$G$92,"Aset Tetap Lainnya",'Daftar Koreksi'!$H$5:$H$92,"&lt;0")-SUMIFS('Daftar Koreksi'!$H$5:$H$92,'Daftar Koreksi'!$D$5:$D$92,'3200'!A180,'Daftar Koreksi'!$G$5:$G$92,"Aset Tetap Lainnya",'Daftar Koreksi'!$H$5:$H$92,"&lt;0")</f>
        <v>0</v>
      </c>
      <c r="G188" s="17">
        <f t="shared" si="8"/>
        <v>1943440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Koreksi'!$D$5:$D$92,'3200'!A180,'Daftar Koreksi'!$G$5:$G$92,"Kontruksi Dalam Pengerjaan",'Daftar Koreksi'!$H$5:$H$92,"&gt;0")</f>
        <v>0</v>
      </c>
      <c r="F189" s="25">
        <f>SUMIFS('Daftar Koreksi'!$H$5:$H$92,'Daftar Koreksi'!$D$5:$D$92,'3200'!A180,'Daftar Koreksi'!$G$5:$G$92,"Kontruksi Dalam Pengerjaan",'Daftar Koreksi'!$H$5:$H$92,"&lt;0")-SUMIFS('Daftar Koreksi'!$H$5:$H$92,'Daftar Koreksi'!$D$5:$D$92,'3200'!A180,'Daftar Koreksi'!$G$5:$G$92,"Kontruksi Dalam Pengerjaan",'Daftar Koreksi'!$H$5:$H$92,"&lt;0")-SUMIFS('Daftar Koreksi'!$H$5:$H$92,'Daftar Koreksi'!$D$5:$D$92,'3200'!A180,'Daftar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Koreksi'!$D$5:$D$92,'3200'!A180,'Daftar Koreksi'!$G$5:$G$92,"Aset Tak Berwujud",'Daftar Koreksi'!$H$5:$H$92,"&gt;0")</f>
        <v>0</v>
      </c>
      <c r="F190" s="25">
        <f>SUMIFS('Daftar Koreksi'!$H$5:$H$92,'Daftar Koreksi'!$D$5:$D$92,'3200'!A180,'Daftar Koreksi'!$G$5:$G$92,"Aset Tak Berwujud",'Daftar Koreksi'!$H$5:$H$92,"&lt;0")-SUMIFS('Daftar Koreksi'!$H$5:$H$92,'Daftar Koreksi'!$D$5:$D$92,'3200'!A180,'Daftar Koreksi'!$G$5:$G$92,"Aset Tak Berwujud",'Daftar Koreksi'!$H$5:$H$92,"&lt;0")-SUMIFS('Daftar Koreksi'!$H$5:$H$92,'Daftar Koreksi'!$D$5:$D$92,'3200'!A180,'Daftar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172592900</v>
      </c>
      <c r="E191" s="25">
        <f>SUMIFS('Daftar Koreksi'!$H$5:$H$92,'Daftar Koreksi'!$D$5:$D$92,'3200'!A180,'Daftar Koreksi'!$G$5:$G$92,"Aset Henti Guna",'Daftar Koreksi'!$H$5:$H$92,"&gt;0")</f>
        <v>0</v>
      </c>
      <c r="F191" s="25">
        <f>SUMIFS('Daftar Koreksi'!$H$5:$H$92,'Daftar Koreksi'!$D$5:$D$92,'3200'!A180,'Daftar Koreksi'!$G$5:$G$92,"Aset Henti Guna",'Daftar Koreksi'!$H$5:$H$92,"&lt;0")-SUMIFS('Daftar Koreksi'!$H$5:$H$92,'Daftar Koreksi'!$D$5:$D$92,'3200'!A180,'Daftar Koreksi'!$G$5:$G$92,"Aset Henti Guna",'Daftar Koreksi'!$H$5:$H$92,"&lt;0")-SUMIFS('Daftar Koreksi'!$H$5:$H$92,'Daftar Koreksi'!$D$5:$D$92,'3200'!A180,'Daftar Koreksi'!$G$5:$G$92,"Aset Henti Guna",'Daftar Koreksi'!$H$5:$H$92,"&lt;0")</f>
        <v>0</v>
      </c>
      <c r="G191" s="17">
        <f t="shared" si="8"/>
        <v>172592900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4981481625</v>
      </c>
      <c r="E192" s="19">
        <f>SUM(E183:E191)</f>
        <v>0</v>
      </c>
      <c r="F192" s="19">
        <f>SUM(F183:F191)</f>
        <v>0</v>
      </c>
      <c r="G192" s="19">
        <f t="shared" si="8"/>
        <v>4981481625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-1415121382</v>
      </c>
      <c r="E193" s="25">
        <f>SUMIFS('Daftar Koreksi'!$I$5:$I$92,'Daftar Koreksi'!$D$5:$D$92,'3200'!A180,'Daftar Koreksi'!$G$5:$G$92,"Peralatan dan mesin",'Daftar Koreksi'!$I$5:$I$92,"&gt;0")</f>
        <v>0</v>
      </c>
      <c r="F193" s="25">
        <f>SUMIFS('Daftar Koreksi'!$I$5:$I$92,'Daftar Koreksi'!$D$5:$D$92,'3200'!A180,'Daftar Koreksi'!$G$5:$G$92,"Peralatan dan mesin",'Daftar Koreksi'!$I$5:$I$92,"&lt;0")-SUMIFS('Daftar Koreksi'!$I$5:$I$92,'Daftar Koreksi'!$D$5:$D$92,'3200'!A180,'Daftar Koreksi'!$G$5:$G$92,"Peralatan dan mesin",'Daftar Koreksi'!$I$5:$I$92,"&lt;0")-SUMIFS('Daftar Koreksi'!$I$5:$I$92,'Daftar Koreksi'!$D$5:$D$92,'3200'!A180,'Daftar Koreksi'!$G$5:$G$92,"Peralatan dan mesin",'Daftar Koreksi'!$I$5:$I$92,"&lt;0")</f>
        <v>0</v>
      </c>
      <c r="G193" s="17">
        <f t="shared" si="8"/>
        <v>-1415121382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-463881832</v>
      </c>
      <c r="E194" s="25">
        <f>SUMIFS('Daftar Koreksi'!$I$5:$I$92,'Daftar Koreksi'!$D$5:$D$92,'3200'!A180,'Daftar Koreksi'!$G$5:$G$92,"Gedung dan Bangunan",'Daftar Koreksi'!$I$5:$I$92,"&gt;0")</f>
        <v>0</v>
      </c>
      <c r="F194" s="25">
        <f>SUMIFS('Daftar Koreksi'!$I$5:$I$92,'Daftar Koreksi'!$D$5:$D$92,'3200'!A180,'Daftar Koreksi'!$G$5:$G$92,"Gedung dan Bangunan",'Daftar Koreksi'!$I$5:$I$92,"&lt;0")-SUMIFS('Daftar Koreksi'!$I$5:$I$92,'Daftar Koreksi'!$D$5:$D$92,'3200'!A180,'Daftar Koreksi'!$G$5:$G$92,"Gedung dan Bangunan",'Daftar Koreksi'!$I$5:$I$92,"&lt;0")-SUMIFS('Daftar Koreksi'!$I$5:$I$92,'Daftar Koreksi'!$D$5:$D$92,'3200'!A180,'Daftar Koreksi'!$G$5:$G$92,"Gedung dan Bangunan",'Daftar Koreksi'!$I$5:$I$92,"&lt;0")</f>
        <v>0</v>
      </c>
      <c r="G194" s="17">
        <f t="shared" si="8"/>
        <v>-463881832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-33640451</v>
      </c>
      <c r="E195" s="25">
        <f>SUMIFS('Daftar Koreksi'!$I$5:$I$92,'Daftar Koreksi'!$D$5:$D$92,'3200'!A180,'Daftar Koreksi'!$G$5:$G$92,"Jalan Irigasi Jaringan",'Daftar Koreksi'!$I$5:$I$92,"&gt;0")</f>
        <v>0</v>
      </c>
      <c r="F195" s="25">
        <f>SUMIFS('Daftar Koreksi'!$I$5:$I$92,'Daftar Koreksi'!$D$5:$D$92,'3200'!A180,'Daftar Koreksi'!$G$5:$G$92,"Jalan Irigasi Jaringan",'Daftar Koreksi'!$I$5:$I$92,"&lt;0")-SUMIFS('Daftar Koreksi'!$I$5:$I$92,'Daftar Koreksi'!$D$5:$D$92,'3200'!A180,'Daftar Koreksi'!$G$5:$G$92,"Jalan Irigasi Jaringan",'Daftar Koreksi'!$I$5:$I$92,"&lt;0")-SUMIFS('Daftar Koreksi'!$I$5:$I$92,'Daftar Koreksi'!$D$5:$D$92,'3200'!A180,'Daftar Koreksi'!$G$5:$G$92,"Jalan Irigasi Jaringan",'Daftar Koreksi'!$I$5:$I$92,"&lt;0")</f>
        <v>0</v>
      </c>
      <c r="G195" s="17">
        <f t="shared" si="8"/>
        <v>-33640451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Koreksi'!$D$5:$D$92,'3200'!A180,'Daftar Koreksi'!$G$5:$G$92,"Aset Tetap Lainnya",'Daftar Koreksi'!$I$5:$I$92,"&gt;0")</f>
        <v>0</v>
      </c>
      <c r="F196" s="25">
        <f>SUMIFS('Daftar Koreksi'!$I$5:$I$92,'Daftar Koreksi'!$D$5:$D$92,'3200'!A180,'Daftar Koreksi'!$G$5:$G$92,"Aset Tetap Lainnya",'Daftar Koreksi'!$I$5:$I$92,"&lt;0")-SUMIFS('Daftar Koreksi'!$I$5:$I$92,'Daftar Koreksi'!$D$5:$D$92,'3200'!A180,'Daftar Koreksi'!$G$5:$G$92,"Aset Tetap Lainnya",'Daftar Koreksi'!$I$5:$I$92,"&lt;0")-SUMIFS('Daftar Koreksi'!$I$5:$I$92,'Daftar Koreksi'!$D$5:$D$92,'3200'!A180,'Daftar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-172592900</v>
      </c>
      <c r="E197" s="25">
        <f>SUMIFS('Daftar Koreksi'!$I$5:$I$92,'Daftar Koreksi'!$D$5:$D$92,'3200'!A180,'Daftar Koreksi'!$G$5:$G$92,"Aset Henti Guna",'Daftar Koreksi'!$I$5:$I$92,"&gt;0")</f>
        <v>0</v>
      </c>
      <c r="F197" s="25">
        <f>SUMIFS('Daftar Koreksi'!$I$5:$I$92,'Daftar Koreksi'!$D$5:$D$92,'3200'!A180,'Daftar Koreksi'!$G$5:$G$92,"Aset Henti Guna",'Daftar Koreksi'!$I$5:$I$92,"&lt;0")-SUMIFS('Daftar Koreksi'!$I$5:$I$92,'Daftar Koreksi'!$D$5:$D$92,'3200'!A180,'Daftar Koreksi'!$G$5:$G$92,"Aset Henti Guna",'Daftar Koreksi'!$I$5:$I$92,"&lt;0")-SUMIFS('Daftar Koreksi'!$I$5:$I$92,'Daftar Koreksi'!$D$5:$D$92,'3200'!A180,'Daftar Koreksi'!$G$5:$G$92,"Aset Henti Guna",'Daftar Koreksi'!$I$5:$I$92,"&lt;0")</f>
        <v>0</v>
      </c>
      <c r="G197" s="17">
        <f t="shared" si="8"/>
        <v>-172592900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-2085236565</v>
      </c>
      <c r="E198" s="19">
        <f>SUM(E193:E197)</f>
        <v>0</v>
      </c>
      <c r="F198" s="19">
        <f>SUM(F193:F197)</f>
        <v>0</v>
      </c>
      <c r="G198" s="19">
        <f t="shared" si="8"/>
        <v>-2085236565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2896245060</v>
      </c>
      <c r="E199" s="19">
        <f>E198+E192</f>
        <v>0</v>
      </c>
      <c r="F199" s="19">
        <f>F198+F192</f>
        <v>0</v>
      </c>
      <c r="G199" s="19">
        <f t="shared" si="8"/>
        <v>2896245060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005013200672948000KD</v>
      </c>
      <c r="B202" s="11" t="str">
        <f>P10</f>
        <v>PN. Ranai</v>
      </c>
      <c r="C202" s="12" t="str">
        <f>A202&amp;" "&amp;B202</f>
        <v>005013200672948000KD PN. Ranai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0</v>
      </c>
      <c r="E205" s="25">
        <f>SUMIFS('Daftar Koreksi'!$H$5:$H$92,'Daftar Koreksi'!$D$5:$D$92,'3200'!A202,'Daftar Koreksi'!$G$5:$G$92,"Persediaan",'Daftar Koreksi'!$H$5:$H$92,"&gt;0")</f>
        <v>0</v>
      </c>
      <c r="F205" s="25">
        <f>SUMIFS('Daftar Koreksi'!$H$5:$H$92,'Daftar Koreksi'!$D$5:$D$92,'3200'!A202,'Daftar Koreksi'!$G$5:$G$92,"Persediaan",'Daftar Koreksi'!$H$5:$H$92,"&lt;0")-SUMIFS('Daftar Koreksi'!$H$5:$H$92,'Daftar Koreksi'!$D$5:$D$92,'3200'!A202,'Daftar Koreksi'!$G$5:$G$92,"Persediaan",'Daftar Koreksi'!$H$5:$H$92,"&lt;0")-SUMIFS('Daftar Koreksi'!$H$5:$H$92,'Daftar Koreksi'!$D$5:$D$92,'3200'!A202,'Daftar Koreksi'!$G$5:$G$92,"Persediaan",'Daftar Koreksi'!$H$5:$H$92,"&lt;0")</f>
        <v>0</v>
      </c>
      <c r="G205" s="17">
        <f>D205+E205-F205</f>
        <v>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1794000000</v>
      </c>
      <c r="E206" s="25">
        <f>SUMIFS('Daftar Koreksi'!$H$5:$H$92,'Daftar Koreksi'!$D$5:$D$92,'3200'!A202,'Daftar Koreksi'!$G$5:$G$92,"Tanah",'Daftar Koreksi'!$H$5:$H$92,"&gt;0")</f>
        <v>0</v>
      </c>
      <c r="F206" s="25">
        <f>SUMIFS('Daftar Koreksi'!$H$5:$H$92,'Daftar Koreksi'!$D$5:$D$92,'3200'!A202,'Daftar Koreksi'!$G$5:$G$92,"Tanah",'Daftar Koreksi'!$H$5:$H$92,"&lt;0")-SUMIFS('Daftar Koreksi'!$H$5:$H$92,'Daftar Koreksi'!$D$5:$D$92,'3200'!A202,'Daftar Koreksi'!$G$5:$G$92,"Tanah",'Daftar Koreksi'!$H$5:$H$92,"&lt;0")-SUMIFS('Daftar Koreksi'!$H$5:$H$92,'Daftar Koreksi'!$D$5:$D$92,'3200'!A202,'Daftar Koreksi'!$G$5:$G$92,"Tanah",'Daftar Koreksi'!$H$5:$H$92,"&lt;0")</f>
        <v>0</v>
      </c>
      <c r="G206" s="17">
        <f t="shared" ref="G206:G222" si="9">D206+E206-F206</f>
        <v>1794000000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1586817696</v>
      </c>
      <c r="E207" s="25">
        <f>SUMIFS('Daftar Koreksi'!$H$5:$H$92,'Daftar Koreksi'!$D$5:$D$92,'3200'!A202,'Daftar Koreksi'!$G$5:$G$92,"Peralatan dan mesin",'Daftar Koreksi'!$H$5:$H$92,"&gt;0")</f>
        <v>0</v>
      </c>
      <c r="F207" s="25">
        <f>SUMIFS('Daftar Koreksi'!$H$5:$H$92,'Daftar Koreksi'!$D$5:$D$92,'3200'!A202,'Daftar Koreksi'!$G$5:$G$92,"Peralatan dan mesin",'Daftar Koreksi'!$H$5:$H$92,"&lt;0")-SUMIFS('Daftar Koreksi'!$H$5:$H$92,'Daftar Koreksi'!$D$5:$D$92,'3200'!A202,'Daftar Koreksi'!$G$5:$G$92,"Peralatan dan mesin",'Daftar Koreksi'!$H$5:$H$92,"&lt;0")-SUMIFS('Daftar Koreksi'!$H$5:$H$92,'Daftar Koreksi'!$D$5:$D$92,'3200'!A202,'Daftar Koreksi'!$G$5:$G$92,"Peralatan dan mesin",'Daftar Koreksi'!$H$5:$H$92,"&lt;0")</f>
        <v>0</v>
      </c>
      <c r="G207" s="17">
        <f t="shared" si="9"/>
        <v>1586817696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14228339657</v>
      </c>
      <c r="E208" s="25">
        <f>SUMIFS('Daftar Koreksi'!$H$5:$H$92,'Daftar Koreksi'!$D$5:$D$92,'3200'!A202,'Daftar Koreksi'!$G$5:$G$92,"Gedung dan Bangunan",'Daftar Koreksi'!$H$5:$H$92,"&gt;0")</f>
        <v>0</v>
      </c>
      <c r="F208" s="25">
        <f>SUMIFS('Daftar Koreksi'!$H$5:$H$92,'Daftar Koreksi'!$D$5:$D$92,'3200'!A202,'Daftar Koreksi'!$G$5:$G$92,"Gedung dan Bangunan",'Daftar Koreksi'!$H$5:$H$92,"&lt;0")-SUMIFS('Daftar Koreksi'!$H$5:$H$92,'Daftar Koreksi'!$D$5:$D$92,'3200'!A202,'Daftar Koreksi'!$G$5:$G$92,"Gedung dan Bangunan",'Daftar Koreksi'!$H$5:$H$92,"&lt;0")-SUMIFS('Daftar Koreksi'!$H$5:$H$92,'Daftar Koreksi'!$D$5:$D$92,'3200'!A202,'Daftar Koreksi'!$G$5:$G$92,"Gedung dan Bangunan",'Daftar Koreksi'!$H$5:$H$92,"&lt;0")</f>
        <v>0</v>
      </c>
      <c r="G208" s="17">
        <f t="shared" si="9"/>
        <v>14228339657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0</v>
      </c>
      <c r="E209" s="25">
        <f>SUMIFS('Daftar Koreksi'!$H$5:$H$92,'Daftar Koreksi'!$D$5:$D$92,'3200'!A202,'Daftar Koreksi'!$G$5:$G$92,"Jalan Irigasi Jaringan",'Daftar Koreksi'!$H$5:$H$92,"&gt;0")</f>
        <v>0</v>
      </c>
      <c r="F209" s="25">
        <f>SUMIFS('Daftar Koreksi'!$H$5:$H$92,'Daftar Koreksi'!$D$5:$D$92,'3200'!A202,'Daftar Koreksi'!$G$5:$G$92,"Jalan Irigasi Jaringan",'Daftar Koreksi'!$H$5:$H$92,"&lt;0")-SUMIFS('Daftar Koreksi'!$H$5:$H$92,'Daftar Koreksi'!$D$5:$D$92,'3200'!A202,'Daftar Koreksi'!$G$5:$G$92,"Jalan Irigasi Jaringan",'Daftar Koreksi'!$H$5:$H$92,"&lt;0")-SUMIFS('Daftar Koreksi'!$H$5:$H$92,'Daftar Koreksi'!$D$5:$D$92,'3200'!A202,'Daftar Koreksi'!$G$5:$G$92,"Jalan Irigasi Jaringan",'Daftar Koreksi'!$H$5:$H$92,"&lt;0")</f>
        <v>0</v>
      </c>
      <c r="G209" s="17">
        <f t="shared" si="9"/>
        <v>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1943440</v>
      </c>
      <c r="E210" s="25">
        <f>SUMIFS('Daftar Koreksi'!$H$5:$H$92,'Daftar Koreksi'!$D$5:$D$92,'3200'!A202,'Daftar Koreksi'!$G$5:$G$92,"Aset Tetap Lainnya",'Daftar Koreksi'!$H$5:$H$92,"&gt;0")</f>
        <v>0</v>
      </c>
      <c r="F210" s="25">
        <f>SUMIFS('Daftar Koreksi'!$H$5:$H$92,'Daftar Koreksi'!$D$5:$D$92,'3200'!A202,'Daftar Koreksi'!$G$5:$G$92,"Aset Tetap Lainnya",'Daftar Koreksi'!$H$5:$H$92,"&lt;0")-SUMIFS('Daftar Koreksi'!$H$5:$H$92,'Daftar Koreksi'!$D$5:$D$92,'3200'!A202,'Daftar Koreksi'!$G$5:$G$92,"Aset Tetap Lainnya",'Daftar Koreksi'!$H$5:$H$92,"&lt;0")-SUMIFS('Daftar Koreksi'!$H$5:$H$92,'Daftar Koreksi'!$D$5:$D$92,'3200'!A202,'Daftar Koreksi'!$G$5:$G$92,"Aset Tetap Lainnya",'Daftar Koreksi'!$H$5:$H$92,"&lt;0")</f>
        <v>0</v>
      </c>
      <c r="G210" s="17">
        <f t="shared" si="9"/>
        <v>1943440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Koreksi'!$D$5:$D$92,'3200'!A202,'Daftar Koreksi'!$G$5:$G$92,"Kontruksi Dalam Pengerjaan",'Daftar Koreksi'!$H$5:$H$92,"&gt;0")</f>
        <v>0</v>
      </c>
      <c r="F211" s="25">
        <f>SUMIFS('Daftar Koreksi'!$H$5:$H$92,'Daftar Koreksi'!$D$5:$D$92,'3200'!A202,'Daftar Koreksi'!$G$5:$G$92,"Kontruksi Dalam Pengerjaan",'Daftar Koreksi'!$H$5:$H$92,"&lt;0")-SUMIFS('Daftar Koreksi'!$H$5:$H$92,'Daftar Koreksi'!$D$5:$D$92,'3200'!A202,'Daftar Koreksi'!$G$5:$G$92,"Kontruksi Dalam Pengerjaan",'Daftar Koreksi'!$H$5:$H$92,"&lt;0")-SUMIFS('Daftar Koreksi'!$H$5:$H$92,'Daftar Koreksi'!$D$5:$D$92,'3200'!A202,'Daftar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Koreksi'!$D$5:$D$92,'3200'!A202,'Daftar Koreksi'!$G$5:$G$92,"Aset Tak Berwujud",'Daftar Koreksi'!$H$5:$H$92,"&gt;0")</f>
        <v>0</v>
      </c>
      <c r="F212" s="25">
        <f>SUMIFS('Daftar Koreksi'!$H$5:$H$92,'Daftar Koreksi'!$D$5:$D$92,'3200'!A202,'Daftar Koreksi'!$G$5:$G$92,"Aset Tak Berwujud",'Daftar Koreksi'!$H$5:$H$92,"&lt;0")-SUMIFS('Daftar Koreksi'!$H$5:$H$92,'Daftar Koreksi'!$D$5:$D$92,'3200'!A202,'Daftar Koreksi'!$G$5:$G$92,"Aset Tak Berwujud",'Daftar Koreksi'!$H$5:$H$92,"&lt;0")-SUMIFS('Daftar Koreksi'!$H$5:$H$92,'Daftar Koreksi'!$D$5:$D$92,'3200'!A202,'Daftar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0</v>
      </c>
      <c r="E213" s="25">
        <f>SUMIFS('Daftar Koreksi'!$H$5:$H$92,'Daftar Koreksi'!$D$5:$D$92,'3200'!A202,'Daftar Koreksi'!$G$5:$G$92,"Aset Henti Guna",'Daftar Koreksi'!$H$5:$H$92,"&gt;0")</f>
        <v>0</v>
      </c>
      <c r="F213" s="25">
        <f>SUMIFS('Daftar Koreksi'!$H$5:$H$92,'Daftar Koreksi'!$D$5:$D$92,'3200'!A202,'Daftar Koreksi'!$G$5:$G$92,"Aset Henti Guna",'Daftar Koreksi'!$H$5:$H$92,"&lt;0")-SUMIFS('Daftar Koreksi'!$H$5:$H$92,'Daftar Koreksi'!$D$5:$D$92,'3200'!A202,'Daftar Koreksi'!$G$5:$G$92,"Aset Henti Guna",'Daftar Koreksi'!$H$5:$H$92,"&lt;0")-SUMIFS('Daftar Koreksi'!$H$5:$H$92,'Daftar Koreksi'!$D$5:$D$92,'3200'!A202,'Daftar Koreksi'!$G$5:$G$92,"Aset Henti Guna",'Daftar Koreksi'!$H$5:$H$92,"&lt;0")</f>
        <v>0</v>
      </c>
      <c r="G213" s="17">
        <f t="shared" si="9"/>
        <v>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17611100793</v>
      </c>
      <c r="E214" s="19">
        <f>SUM(E205:E213)</f>
        <v>0</v>
      </c>
      <c r="F214" s="19">
        <f>SUM(F205:F213)</f>
        <v>0</v>
      </c>
      <c r="G214" s="19">
        <f t="shared" si="9"/>
        <v>17611100793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-988710348</v>
      </c>
      <c r="E215" s="25">
        <f>SUMIFS('Daftar Koreksi'!$I$5:$I$92,'Daftar Koreksi'!$D$5:$D$92,'3200'!A202,'Daftar Koreksi'!$G$5:$G$92,"Peralatan dan mesin",'Daftar Koreksi'!$I$5:$I$92,"&gt;0")</f>
        <v>0</v>
      </c>
      <c r="F215" s="25">
        <f>SUMIFS('Daftar Koreksi'!$I$5:$I$92,'Daftar Koreksi'!$D$5:$D$92,'3200'!A202,'Daftar Koreksi'!$G$5:$G$92,"Peralatan dan mesin",'Daftar Koreksi'!$I$5:$I$92,"&lt;0")-SUMIFS('Daftar Koreksi'!$I$5:$I$92,'Daftar Koreksi'!$D$5:$D$92,'3200'!A202,'Daftar Koreksi'!$G$5:$G$92,"Peralatan dan mesin",'Daftar Koreksi'!$I$5:$I$92,"&lt;0")-SUMIFS('Daftar Koreksi'!$I$5:$I$92,'Daftar Koreksi'!$D$5:$D$92,'3200'!A202,'Daftar Koreksi'!$G$5:$G$92,"Peralatan dan mesin",'Daftar Koreksi'!$I$5:$I$92,"&lt;0")</f>
        <v>0</v>
      </c>
      <c r="G215" s="17">
        <f t="shared" si="9"/>
        <v>-988710348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-142283397</v>
      </c>
      <c r="E216" s="25">
        <f>SUMIFS('Daftar Koreksi'!$I$5:$I$92,'Daftar Koreksi'!$D$5:$D$92,'3200'!A202,'Daftar Koreksi'!$G$5:$G$92,"Gedung dan Bangunan",'Daftar Koreksi'!$I$5:$I$92,"&gt;0")</f>
        <v>0</v>
      </c>
      <c r="F216" s="25">
        <f>SUMIFS('Daftar Koreksi'!$I$5:$I$92,'Daftar Koreksi'!$D$5:$D$92,'3200'!A202,'Daftar Koreksi'!$G$5:$G$92,"Gedung dan Bangunan",'Daftar Koreksi'!$I$5:$I$92,"&lt;0")-SUMIFS('Daftar Koreksi'!$I$5:$I$92,'Daftar Koreksi'!$D$5:$D$92,'3200'!A202,'Daftar Koreksi'!$G$5:$G$92,"Gedung dan Bangunan",'Daftar Koreksi'!$I$5:$I$92,"&lt;0")-SUMIFS('Daftar Koreksi'!$I$5:$I$92,'Daftar Koreksi'!$D$5:$D$92,'3200'!A202,'Daftar Koreksi'!$G$5:$G$92,"Gedung dan Bangunan",'Daftar Koreksi'!$I$5:$I$92,"&lt;0")</f>
        <v>0</v>
      </c>
      <c r="G216" s="17">
        <f t="shared" si="9"/>
        <v>-142283397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0</v>
      </c>
      <c r="E217" s="25">
        <f>SUMIFS('Daftar Koreksi'!$I$5:$I$92,'Daftar Koreksi'!$D$5:$D$92,'3200'!A202,'Daftar Koreksi'!$G$5:$G$92,"Jalan Irigasi Jaringan",'Daftar Koreksi'!$I$5:$I$92,"&gt;0")</f>
        <v>0</v>
      </c>
      <c r="F217" s="25">
        <f>SUMIFS('Daftar Koreksi'!$I$5:$I$92,'Daftar Koreksi'!$D$5:$D$92,'3200'!A202,'Daftar Koreksi'!$G$5:$G$92,"Jalan Irigasi Jaringan",'Daftar Koreksi'!$I$5:$I$92,"&lt;0")-SUMIFS('Daftar Koreksi'!$I$5:$I$92,'Daftar Koreksi'!$D$5:$D$92,'3200'!A202,'Daftar Koreksi'!$G$5:$G$92,"Jalan Irigasi Jaringan",'Daftar Koreksi'!$I$5:$I$92,"&lt;0")-SUMIFS('Daftar Koreksi'!$I$5:$I$92,'Daftar Koreksi'!$D$5:$D$92,'3200'!A202,'Daftar Koreksi'!$G$5:$G$92,"Jalan Irigasi Jaringan",'Daftar Koreksi'!$I$5:$I$92,"&lt;0")</f>
        <v>0</v>
      </c>
      <c r="G217" s="17">
        <f t="shared" si="9"/>
        <v>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Koreksi'!$D$5:$D$92,'3200'!A202,'Daftar Koreksi'!$G$5:$G$92,"Aset Tetap Lainnya",'Daftar Koreksi'!$I$5:$I$92,"&gt;0")</f>
        <v>0</v>
      </c>
      <c r="F218" s="25">
        <f>SUMIFS('Daftar Koreksi'!$I$5:$I$92,'Daftar Koreksi'!$D$5:$D$92,'3200'!A202,'Daftar Koreksi'!$G$5:$G$92,"Aset Tetap Lainnya",'Daftar Koreksi'!$I$5:$I$92,"&lt;0")-SUMIFS('Daftar Koreksi'!$I$5:$I$92,'Daftar Koreksi'!$D$5:$D$92,'3200'!A202,'Daftar Koreksi'!$G$5:$G$92,"Aset Tetap Lainnya",'Daftar Koreksi'!$I$5:$I$92,"&lt;0")-SUMIFS('Daftar Koreksi'!$I$5:$I$92,'Daftar Koreksi'!$D$5:$D$92,'3200'!A202,'Daftar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0</v>
      </c>
      <c r="E219" s="25">
        <f>SUMIFS('Daftar Koreksi'!$I$5:$I$92,'Daftar Koreksi'!$D$5:$D$92,'3200'!A202,'Daftar Koreksi'!$G$5:$G$92,"Aset Henti Guna",'Daftar Koreksi'!$I$5:$I$92,"&gt;0")</f>
        <v>0</v>
      </c>
      <c r="F219" s="25">
        <f>SUMIFS('Daftar Koreksi'!$I$5:$I$92,'Daftar Koreksi'!$D$5:$D$92,'3200'!A202,'Daftar Koreksi'!$G$5:$G$92,"Aset Henti Guna",'Daftar Koreksi'!$I$5:$I$92,"&lt;0")-SUMIFS('Daftar Koreksi'!$I$5:$I$92,'Daftar Koreksi'!$D$5:$D$92,'3200'!A202,'Daftar Koreksi'!$G$5:$G$92,"Aset Henti Guna",'Daftar Koreksi'!$I$5:$I$92,"&lt;0")-SUMIFS('Daftar Koreksi'!$I$5:$I$92,'Daftar Koreksi'!$D$5:$D$92,'3200'!A202,'Daftar Koreksi'!$G$5:$G$92,"Aset Henti Guna",'Daftar Koreksi'!$I$5:$I$92,"&lt;0")</f>
        <v>0</v>
      </c>
      <c r="G219" s="17">
        <f t="shared" si="9"/>
        <v>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-1130993745</v>
      </c>
      <c r="E220" s="19">
        <f>SUM(E215:E219)</f>
        <v>0</v>
      </c>
      <c r="F220" s="19">
        <f>SUM(F215:F219)</f>
        <v>0</v>
      </c>
      <c r="G220" s="19">
        <f t="shared" si="9"/>
        <v>-1130993745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16480107048</v>
      </c>
      <c r="E221" s="19">
        <f>E220+E214</f>
        <v>0</v>
      </c>
      <c r="F221" s="19">
        <f>F220+F214</f>
        <v>0</v>
      </c>
      <c r="G221" s="19">
        <f t="shared" si="9"/>
        <v>16480107048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005013200689309000KD</v>
      </c>
      <c r="B224" s="11" t="str">
        <f>P11</f>
        <v>PTUN. Tanjung Pinang</v>
      </c>
      <c r="C224" s="12" t="str">
        <f>A224&amp;" "&amp;B224</f>
        <v>005013200689309000KD PTUN. Tanjung Pinang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0</v>
      </c>
      <c r="E227" s="25">
        <f>SUMIFS('Daftar Koreksi'!$H$5:$H$92,'Daftar Koreksi'!$D$5:$D$92,'3200'!A224,'Daftar Koreksi'!$G$5:$G$92,"Persediaan",'Daftar Koreksi'!$H$5:$H$92,"&gt;0")</f>
        <v>0</v>
      </c>
      <c r="F227" s="25">
        <f>SUMIFS('Daftar Koreksi'!$H$5:$H$92,'Daftar Koreksi'!$D$5:$D$92,'3200'!A224,'Daftar Koreksi'!$G$5:$G$92,"Persediaan",'Daftar Koreksi'!$H$5:$H$92,"&lt;0")-SUMIFS('Daftar Koreksi'!$H$5:$H$92,'Daftar Koreksi'!$D$5:$D$92,'3200'!A224,'Daftar Koreksi'!$G$5:$G$92,"Persediaan",'Daftar Koreksi'!$H$5:$H$92,"&lt;0")-SUMIFS('Daftar Koreksi'!$H$5:$H$92,'Daftar Koreksi'!$D$5:$D$92,'3200'!A224,'Daftar Koreksi'!$G$5:$G$92,"Persediaan",'Daftar Koreksi'!$H$5:$H$92,"&lt;0")</f>
        <v>0</v>
      </c>
      <c r="G227" s="17">
        <f>D227+E227-F227</f>
        <v>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0</v>
      </c>
      <c r="E228" s="25">
        <f>SUMIFS('Daftar Koreksi'!$H$5:$H$92,'Daftar Koreksi'!$D$5:$D$92,'3200'!A224,'Daftar Koreksi'!$G$5:$G$92,"Tanah",'Daftar Koreksi'!$H$5:$H$92,"&gt;0")</f>
        <v>0</v>
      </c>
      <c r="F228" s="25">
        <f>SUMIFS('Daftar Koreksi'!$H$5:$H$92,'Daftar Koreksi'!$D$5:$D$92,'3200'!A224,'Daftar Koreksi'!$G$5:$G$92,"Tanah",'Daftar Koreksi'!$H$5:$H$92,"&lt;0")-SUMIFS('Daftar Koreksi'!$H$5:$H$92,'Daftar Koreksi'!$D$5:$D$92,'3200'!A224,'Daftar Koreksi'!$G$5:$G$92,"Tanah",'Daftar Koreksi'!$H$5:$H$92,"&lt;0")-SUMIFS('Daftar Koreksi'!$H$5:$H$92,'Daftar Koreksi'!$D$5:$D$92,'3200'!A224,'Daftar Koreksi'!$G$5:$G$92,"Tanah",'Daftar Koreksi'!$H$5:$H$92,"&lt;0")</f>
        <v>0</v>
      </c>
      <c r="G228" s="17">
        <f t="shared" ref="G228:G244" si="10">D228+E228-F228</f>
        <v>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997333215</v>
      </c>
      <c r="E229" s="25">
        <f>SUMIFS('Daftar Koreksi'!$H$5:$H$92,'Daftar Koreksi'!$D$5:$D$92,'3200'!A224,'Daftar Koreksi'!$G$5:$G$92,"Peralatan dan mesin",'Daftar Koreksi'!$H$5:$H$92,"&gt;0")</f>
        <v>0</v>
      </c>
      <c r="F229" s="25">
        <f>SUMIFS('Daftar Koreksi'!$H$5:$H$92,'Daftar Koreksi'!$D$5:$D$92,'3200'!A224,'Daftar Koreksi'!$G$5:$G$92,"Peralatan dan mesin",'Daftar Koreksi'!$H$5:$H$92,"&lt;0")-SUMIFS('Daftar Koreksi'!$H$5:$H$92,'Daftar Koreksi'!$D$5:$D$92,'3200'!A224,'Daftar Koreksi'!$G$5:$G$92,"Peralatan dan mesin",'Daftar Koreksi'!$H$5:$H$92,"&lt;0")-SUMIFS('Daftar Koreksi'!$H$5:$H$92,'Daftar Koreksi'!$D$5:$D$92,'3200'!A224,'Daftar Koreksi'!$G$5:$G$92,"Peralatan dan mesin",'Daftar Koreksi'!$H$5:$H$92,"&lt;0")</f>
        <v>0</v>
      </c>
      <c r="G229" s="17">
        <f t="shared" si="10"/>
        <v>997333215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0</v>
      </c>
      <c r="E230" s="25">
        <f>SUMIFS('Daftar Koreksi'!$H$5:$H$92,'Daftar Koreksi'!$D$5:$D$92,'3200'!A224,'Daftar Koreksi'!$G$5:$G$92,"Gedung dan Bangunan",'Daftar Koreksi'!$H$5:$H$92,"&gt;0")</f>
        <v>0</v>
      </c>
      <c r="F230" s="25">
        <f>SUMIFS('Daftar Koreksi'!$H$5:$H$92,'Daftar Koreksi'!$D$5:$D$92,'3200'!A224,'Daftar Koreksi'!$G$5:$G$92,"Gedung dan Bangunan",'Daftar Koreksi'!$H$5:$H$92,"&lt;0")-SUMIFS('Daftar Koreksi'!$H$5:$H$92,'Daftar Koreksi'!$D$5:$D$92,'3200'!A224,'Daftar Koreksi'!$G$5:$G$92,"Gedung dan Bangunan",'Daftar Koreksi'!$H$5:$H$92,"&lt;0")-SUMIFS('Daftar Koreksi'!$H$5:$H$92,'Daftar Koreksi'!$D$5:$D$92,'3200'!A224,'Daftar Koreksi'!$G$5:$G$92,"Gedung dan Bangunan",'Daftar Koreksi'!$H$5:$H$92,"&lt;0")</f>
        <v>0</v>
      </c>
      <c r="G230" s="17">
        <f t="shared" si="10"/>
        <v>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8614096</v>
      </c>
      <c r="E231" s="25">
        <f>SUMIFS('Daftar Koreksi'!$H$5:$H$92,'Daftar Koreksi'!$D$5:$D$92,'3200'!A224,'Daftar Koreksi'!$G$5:$G$92,"Jalan Irigasi Jaringan",'Daftar Koreksi'!$H$5:$H$92,"&gt;0")</f>
        <v>0</v>
      </c>
      <c r="F231" s="25">
        <f>SUMIFS('Daftar Koreksi'!$H$5:$H$92,'Daftar Koreksi'!$D$5:$D$92,'3200'!A224,'Daftar Koreksi'!$G$5:$G$92,"Jalan Irigasi Jaringan",'Daftar Koreksi'!$H$5:$H$92,"&lt;0")-SUMIFS('Daftar Koreksi'!$H$5:$H$92,'Daftar Koreksi'!$D$5:$D$92,'3200'!A224,'Daftar Koreksi'!$G$5:$G$92,"Jalan Irigasi Jaringan",'Daftar Koreksi'!$H$5:$H$92,"&lt;0")-SUMIFS('Daftar Koreksi'!$H$5:$H$92,'Daftar Koreksi'!$D$5:$D$92,'3200'!A224,'Daftar Koreksi'!$G$5:$G$92,"Jalan Irigasi Jaringan",'Daftar Koreksi'!$H$5:$H$92,"&lt;0")</f>
        <v>0</v>
      </c>
      <c r="G231" s="17">
        <f t="shared" si="10"/>
        <v>8614096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0</v>
      </c>
      <c r="E232" s="25">
        <f>SUMIFS('Daftar Koreksi'!$H$5:$H$92,'Daftar Koreksi'!$D$5:$D$92,'3200'!A224,'Daftar Koreksi'!$G$5:$G$92,"Aset Tetap Lainnya",'Daftar Koreksi'!$H$5:$H$92,"&gt;0")</f>
        <v>0</v>
      </c>
      <c r="F232" s="25">
        <f>SUMIFS('Daftar Koreksi'!$H$5:$H$92,'Daftar Koreksi'!$D$5:$D$92,'3200'!A224,'Daftar Koreksi'!$G$5:$G$92,"Aset Tetap Lainnya",'Daftar Koreksi'!$H$5:$H$92,"&lt;0")-SUMIFS('Daftar Koreksi'!$H$5:$H$92,'Daftar Koreksi'!$D$5:$D$92,'3200'!A224,'Daftar Koreksi'!$G$5:$G$92,"Aset Tetap Lainnya",'Daftar Koreksi'!$H$5:$H$92,"&lt;0")-SUMIFS('Daftar Koreksi'!$H$5:$H$92,'Daftar Koreksi'!$D$5:$D$92,'3200'!A224,'Daftar Koreksi'!$G$5:$G$92,"Aset Tetap Lainnya",'Daftar Koreksi'!$H$5:$H$92,"&lt;0")</f>
        <v>0</v>
      </c>
      <c r="G232" s="17">
        <f t="shared" si="10"/>
        <v>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Koreksi'!$D$5:$D$92,'3200'!A224,'Daftar Koreksi'!$G$5:$G$92,"Kontruksi Dalam Pengerjaan",'Daftar Koreksi'!$H$5:$H$92,"&gt;0")</f>
        <v>0</v>
      </c>
      <c r="F233" s="25">
        <f>SUMIFS('Daftar Koreksi'!$H$5:$H$92,'Daftar Koreksi'!$D$5:$D$92,'3200'!A224,'Daftar Koreksi'!$G$5:$G$92,"Kontruksi Dalam Pengerjaan",'Daftar Koreksi'!$H$5:$H$92,"&lt;0")-SUMIFS('Daftar Koreksi'!$H$5:$H$92,'Daftar Koreksi'!$D$5:$D$92,'3200'!A224,'Daftar Koreksi'!$G$5:$G$92,"Kontruksi Dalam Pengerjaan",'Daftar Koreksi'!$H$5:$H$92,"&lt;0")-SUMIFS('Daftar Koreksi'!$H$5:$H$92,'Daftar Koreksi'!$D$5:$D$92,'3200'!A224,'Daftar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36302544</v>
      </c>
      <c r="E234" s="25">
        <f>SUMIFS('Daftar Koreksi'!$H$5:$H$92,'Daftar Koreksi'!$D$5:$D$92,'3200'!A224,'Daftar Koreksi'!$G$5:$G$92,"Aset Tak Berwujud",'Daftar Koreksi'!$H$5:$H$92,"&gt;0")</f>
        <v>0</v>
      </c>
      <c r="F234" s="25">
        <f>SUMIFS('Daftar Koreksi'!$H$5:$H$92,'Daftar Koreksi'!$D$5:$D$92,'3200'!A224,'Daftar Koreksi'!$G$5:$G$92,"Aset Tak Berwujud",'Daftar Koreksi'!$H$5:$H$92,"&lt;0")-SUMIFS('Daftar Koreksi'!$H$5:$H$92,'Daftar Koreksi'!$D$5:$D$92,'3200'!A224,'Daftar Koreksi'!$G$5:$G$92,"Aset Tak Berwujud",'Daftar Koreksi'!$H$5:$H$92,"&lt;0")-SUMIFS('Daftar Koreksi'!$H$5:$H$92,'Daftar Koreksi'!$D$5:$D$92,'3200'!A224,'Daftar Koreksi'!$G$5:$G$92,"Aset Tak Berwujud",'Daftar Koreksi'!$H$5:$H$92,"&lt;0")</f>
        <v>0</v>
      </c>
      <c r="G234" s="17">
        <f t="shared" si="10"/>
        <v>36302544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0</v>
      </c>
      <c r="E235" s="25">
        <f>SUMIFS('Daftar Koreksi'!$H$5:$H$92,'Daftar Koreksi'!$D$5:$D$92,'3200'!A224,'Daftar Koreksi'!$G$5:$G$92,"Aset Henti Guna",'Daftar Koreksi'!$H$5:$H$92,"&gt;0")</f>
        <v>0</v>
      </c>
      <c r="F235" s="25">
        <f>SUMIFS('Daftar Koreksi'!$H$5:$H$92,'Daftar Koreksi'!$D$5:$D$92,'3200'!A224,'Daftar Koreksi'!$G$5:$G$92,"Aset Henti Guna",'Daftar Koreksi'!$H$5:$H$92,"&lt;0")-SUMIFS('Daftar Koreksi'!$H$5:$H$92,'Daftar Koreksi'!$D$5:$D$92,'3200'!A224,'Daftar Koreksi'!$G$5:$G$92,"Aset Henti Guna",'Daftar Koreksi'!$H$5:$H$92,"&lt;0")-SUMIFS('Daftar Koreksi'!$H$5:$H$92,'Daftar Koreksi'!$D$5:$D$92,'3200'!A224,'Daftar Koreksi'!$G$5:$G$92,"Aset Henti Guna",'Daftar Koreksi'!$H$5:$H$92,"&lt;0")</f>
        <v>0</v>
      </c>
      <c r="G235" s="17">
        <f t="shared" si="10"/>
        <v>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1042249855</v>
      </c>
      <c r="E236" s="19">
        <f>SUM(E227:E235)</f>
        <v>0</v>
      </c>
      <c r="F236" s="19">
        <f>SUM(F227:F235)</f>
        <v>0</v>
      </c>
      <c r="G236" s="19">
        <f t="shared" si="10"/>
        <v>1042249855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-595049774</v>
      </c>
      <c r="E237" s="25">
        <f>SUMIFS('Daftar Koreksi'!$I$5:$I$92,'Daftar Koreksi'!$D$5:$D$92,'3200'!A224,'Daftar Koreksi'!$G$5:$G$92,"Peralatan dan mesin",'Daftar Koreksi'!$I$5:$I$92,"&gt;0")</f>
        <v>0</v>
      </c>
      <c r="F237" s="25">
        <f>SUMIFS('Daftar Koreksi'!$I$5:$I$92,'Daftar Koreksi'!$D$5:$D$92,'3200'!A224,'Daftar Koreksi'!$G$5:$G$92,"Peralatan dan mesin",'Daftar Koreksi'!$I$5:$I$92,"&lt;0")-SUMIFS('Daftar Koreksi'!$I$5:$I$92,'Daftar Koreksi'!$D$5:$D$92,'3200'!A224,'Daftar Koreksi'!$G$5:$G$92,"Peralatan dan mesin",'Daftar Koreksi'!$I$5:$I$92,"&lt;0")-SUMIFS('Daftar Koreksi'!$I$5:$I$92,'Daftar Koreksi'!$D$5:$D$92,'3200'!A224,'Daftar Koreksi'!$G$5:$G$92,"Peralatan dan mesin",'Daftar Koreksi'!$I$5:$I$92,"&lt;0")</f>
        <v>0</v>
      </c>
      <c r="G237" s="17">
        <f t="shared" si="10"/>
        <v>-595049774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0</v>
      </c>
      <c r="E238" s="25">
        <f>SUMIFS('Daftar Koreksi'!$I$5:$I$92,'Daftar Koreksi'!$D$5:$D$92,'3200'!A224,'Daftar Koreksi'!$G$5:$G$92,"Gedung dan Bangunan",'Daftar Koreksi'!$I$5:$I$92,"&gt;0")</f>
        <v>0</v>
      </c>
      <c r="F238" s="25">
        <f>SUMIFS('Daftar Koreksi'!$I$5:$I$92,'Daftar Koreksi'!$D$5:$D$92,'3200'!A224,'Daftar Koreksi'!$G$5:$G$92,"Gedung dan Bangunan",'Daftar Koreksi'!$I$5:$I$92,"&lt;0")-SUMIFS('Daftar Koreksi'!$I$5:$I$92,'Daftar Koreksi'!$D$5:$D$92,'3200'!A224,'Daftar Koreksi'!$G$5:$G$92,"Gedung dan Bangunan",'Daftar Koreksi'!$I$5:$I$92,"&lt;0")-SUMIFS('Daftar Koreksi'!$I$5:$I$92,'Daftar Koreksi'!$D$5:$D$92,'3200'!A224,'Daftar Koreksi'!$G$5:$G$92,"Gedung dan Bangunan",'Daftar Koreksi'!$I$5:$I$92,"&lt;0")</f>
        <v>0</v>
      </c>
      <c r="G238" s="17">
        <f t="shared" si="10"/>
        <v>0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-4307045</v>
      </c>
      <c r="E239" s="25">
        <f>SUMIFS('Daftar Koreksi'!$I$5:$I$92,'Daftar Koreksi'!$D$5:$D$92,'3200'!A224,'Daftar Koreksi'!$G$5:$G$92,"Jalan Irigasi Jaringan",'Daftar Koreksi'!$I$5:$I$92,"&gt;0")</f>
        <v>0</v>
      </c>
      <c r="F239" s="25">
        <f>SUMIFS('Daftar Koreksi'!$I$5:$I$92,'Daftar Koreksi'!$D$5:$D$92,'3200'!A224,'Daftar Koreksi'!$G$5:$G$92,"Jalan Irigasi Jaringan",'Daftar Koreksi'!$I$5:$I$92,"&lt;0")-SUMIFS('Daftar Koreksi'!$I$5:$I$92,'Daftar Koreksi'!$D$5:$D$92,'3200'!A224,'Daftar Koreksi'!$G$5:$G$92,"Jalan Irigasi Jaringan",'Daftar Koreksi'!$I$5:$I$92,"&lt;0")-SUMIFS('Daftar Koreksi'!$I$5:$I$92,'Daftar Koreksi'!$D$5:$D$92,'3200'!A224,'Daftar Koreksi'!$G$5:$G$92,"Jalan Irigasi Jaringan",'Daftar Koreksi'!$I$5:$I$92,"&lt;0")</f>
        <v>0</v>
      </c>
      <c r="G239" s="17">
        <f t="shared" si="10"/>
        <v>-4307045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Koreksi'!$D$5:$D$92,'3200'!A224,'Daftar Koreksi'!$G$5:$G$92,"Aset Tetap Lainnya",'Daftar Koreksi'!$I$5:$I$92,"&gt;0")</f>
        <v>0</v>
      </c>
      <c r="F240" s="25">
        <f>SUMIFS('Daftar Koreksi'!$I$5:$I$92,'Daftar Koreksi'!$D$5:$D$92,'3200'!A224,'Daftar Koreksi'!$G$5:$G$92,"Aset Tetap Lainnya",'Daftar Koreksi'!$I$5:$I$92,"&lt;0")-SUMIFS('Daftar Koreksi'!$I$5:$I$92,'Daftar Koreksi'!$D$5:$D$92,'3200'!A224,'Daftar Koreksi'!$G$5:$G$92,"Aset Tetap Lainnya",'Daftar Koreksi'!$I$5:$I$92,"&lt;0")-SUMIFS('Daftar Koreksi'!$I$5:$I$92,'Daftar Koreksi'!$D$5:$D$92,'3200'!A224,'Daftar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0</v>
      </c>
      <c r="E241" s="25">
        <f>SUMIFS('Daftar Koreksi'!$I$5:$I$92,'Daftar Koreksi'!$D$5:$D$92,'3200'!A224,'Daftar Koreksi'!$G$5:$G$92,"Aset Henti Guna",'Daftar Koreksi'!$I$5:$I$92,"&gt;0")</f>
        <v>0</v>
      </c>
      <c r="F241" s="25">
        <f>SUMIFS('Daftar Koreksi'!$I$5:$I$92,'Daftar Koreksi'!$D$5:$D$92,'3200'!A224,'Daftar Koreksi'!$G$5:$G$92,"Aset Henti Guna",'Daftar Koreksi'!$I$5:$I$92,"&lt;0")-SUMIFS('Daftar Koreksi'!$I$5:$I$92,'Daftar Koreksi'!$D$5:$D$92,'3200'!A224,'Daftar Koreksi'!$G$5:$G$92,"Aset Henti Guna",'Daftar Koreksi'!$I$5:$I$92,"&lt;0")-SUMIFS('Daftar Koreksi'!$I$5:$I$92,'Daftar Koreksi'!$D$5:$D$92,'3200'!A224,'Daftar Koreksi'!$G$5:$G$92,"Aset Henti Guna",'Daftar Koreksi'!$I$5:$I$92,"&lt;0")</f>
        <v>0</v>
      </c>
      <c r="G241" s="17">
        <f t="shared" si="10"/>
        <v>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-599356819</v>
      </c>
      <c r="E242" s="19">
        <f>SUM(E237:E241)</f>
        <v>0</v>
      </c>
      <c r="F242" s="19">
        <f>SUM(F237:F241)</f>
        <v>0</v>
      </c>
      <c r="G242" s="19">
        <f t="shared" si="10"/>
        <v>-599356819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442893036</v>
      </c>
      <c r="E243" s="19">
        <f>E242+E236</f>
        <v>0</v>
      </c>
      <c r="F243" s="19">
        <f>F242+F236</f>
        <v>0</v>
      </c>
      <c r="G243" s="19">
        <f t="shared" si="10"/>
        <v>442893036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</sheetData>
  <mergeCells count="66">
    <mergeCell ref="H227:H244"/>
    <mergeCell ref="H117:H134"/>
    <mergeCell ref="H139:H156"/>
    <mergeCell ref="H161:H178"/>
    <mergeCell ref="H183:H200"/>
    <mergeCell ref="H205:H222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59:C160"/>
    <mergeCell ref="D159:D160"/>
    <mergeCell ref="E159:F159"/>
    <mergeCell ref="G159:G160"/>
    <mergeCell ref="H159:H160"/>
    <mergeCell ref="C137:C138"/>
    <mergeCell ref="D137:D138"/>
    <mergeCell ref="E137:F137"/>
    <mergeCell ref="G137:G138"/>
    <mergeCell ref="H137:H138"/>
    <mergeCell ref="C203:C204"/>
    <mergeCell ref="D203:D204"/>
    <mergeCell ref="E203:F203"/>
    <mergeCell ref="G203:G204"/>
    <mergeCell ref="H203:H204"/>
    <mergeCell ref="C181:C182"/>
    <mergeCell ref="D181:D182"/>
    <mergeCell ref="E181:F181"/>
    <mergeCell ref="G181:G182"/>
    <mergeCell ref="H181:H182"/>
    <mergeCell ref="C225:C226"/>
    <mergeCell ref="D225:D226"/>
    <mergeCell ref="E225:F225"/>
    <mergeCell ref="G225:G226"/>
    <mergeCell ref="H225:H226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P134"/>
  <sheetViews>
    <sheetView view="pageBreakPreview" topLeftCell="C117" zoomScale="90" zoomScaleSheetLayoutView="90" workbookViewId="0">
      <selection activeCell="J128" sqref="J128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5.7109375" style="8" bestFit="1" customWidth="1"/>
    <col min="10" max="10" width="12.7109375" style="8" bestFit="1" customWidth="1"/>
    <col min="11" max="11" width="9.140625" style="8"/>
    <col min="12" max="12" width="12.7109375" style="8" bestFit="1" customWidth="1"/>
    <col min="13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820</v>
      </c>
      <c r="P1" s="8" t="s">
        <v>1956</v>
      </c>
    </row>
    <row r="2" spans="1:16" ht="19.5" customHeight="1">
      <c r="C2" s="9" t="s">
        <v>2128</v>
      </c>
      <c r="O2" s="8" t="s">
        <v>821</v>
      </c>
      <c r="P2" s="8" t="s">
        <v>1957</v>
      </c>
    </row>
    <row r="3" spans="1:16" ht="19.5" customHeight="1">
      <c r="O3" s="8" t="s">
        <v>822</v>
      </c>
      <c r="P3" s="8" t="s">
        <v>1958</v>
      </c>
    </row>
    <row r="4" spans="1:16" ht="19.5" customHeight="1">
      <c r="A4" s="11" t="str">
        <f>O1</f>
        <v>005013300400069000KD</v>
      </c>
      <c r="B4" s="11" t="str">
        <f>P1</f>
        <v>PN. Manokwari</v>
      </c>
      <c r="C4" s="12" t="str">
        <f>A4&amp;" "&amp;B4</f>
        <v>005013300400069000KD PN. Manokwari</v>
      </c>
      <c r="D4" s="13"/>
      <c r="E4" s="13"/>
      <c r="F4" s="13"/>
      <c r="G4" s="13"/>
      <c r="H4" s="11"/>
      <c r="O4" s="8" t="s">
        <v>823</v>
      </c>
      <c r="P4" s="8" t="s">
        <v>1959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824</v>
      </c>
      <c r="P5" s="8" t="s">
        <v>1960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825</v>
      </c>
      <c r="P6" s="8" t="s">
        <v>1961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1733500</v>
      </c>
      <c r="E7" s="25">
        <f>SUMIFS('Daftar Koreksi'!$H$5:$H$92,'Daftar Koreksi'!$D$5:$D$92,'3300'!A4,'Daftar Koreksi'!$G$5:$G$92,"Persediaan",'Daftar Koreksi'!$H$5:$H$92,"&gt;0")</f>
        <v>0</v>
      </c>
      <c r="F7" s="25">
        <f>SUMIFS('Daftar Koreksi'!$H$5:$H$92,'Daftar Koreksi'!$D$5:$D$92,'3300'!A4,'Daftar Koreksi'!$G$5:$G$92,"Persediaan",'Daftar Koreksi'!$H$5:$H$92,"&lt;0")-SUMIFS('Daftar Koreksi'!$H$5:$H$92,'Daftar Koreksi'!$D$5:$D$92,'3300'!A4,'Daftar Koreksi'!$G$5:$G$92,"Persediaan",'Daftar Koreksi'!$H$5:$H$92,"&lt;0")-SUMIFS('Daftar Koreksi'!$H$5:$H$92,'Daftar Koreksi'!$D$5:$D$92,'3300'!A4,'Daftar Koreksi'!$G$5:$G$92,"Persediaan",'Daftar Koreksi'!$H$5:$H$92,"&lt;0")</f>
        <v>0</v>
      </c>
      <c r="G7" s="17">
        <f>D7+E7-F7</f>
        <v>1733500</v>
      </c>
      <c r="H7" s="121" t="str">
        <f>IF(ISNA(VLOOKUP(A4,'Mutasi Neraca'!$A$3:$S$914,19,FALSE)),"-",VLOOKUP(A4,'Mutasi Neraca'!$A$3:$S$914,19,FALSE))</f>
        <v>-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67915000</v>
      </c>
      <c r="E8" s="25">
        <f>SUMIFS('Daftar Koreksi'!$H$5:$H$92,'Daftar Koreksi'!$D$5:$D$92,'3300'!A4,'Daftar Koreksi'!$G$5:$G$92,"Tanah",'Daftar Koreksi'!$H$5:$H$92,"&gt;0")</f>
        <v>0</v>
      </c>
      <c r="F8" s="25">
        <f>SUMIFS('Daftar Koreksi'!$H$5:$H$92,'Daftar Koreksi'!$D$5:$D$92,'3300'!A4,'Daftar Koreksi'!$G$5:$G$92,"Tanah",'Daftar Koreksi'!$H$5:$H$92,"&lt;0")-SUMIFS('Daftar Koreksi'!$H$5:$H$92,'Daftar Koreksi'!$D$5:$D$92,'3300'!A4,'Daftar Koreksi'!$G$5:$G$92,"Tanah",'Daftar Koreksi'!$H$5:$H$92,"&lt;0")-SUMIFS('Daftar Koreksi'!$H$5:$H$92,'Daftar Koreksi'!$D$5:$D$92,'3300'!A4,'Daftar Koreksi'!$G$5:$G$92,"Tanah",'Daftar Koreksi'!$H$5:$H$92,"&lt;0")</f>
        <v>0</v>
      </c>
      <c r="G8" s="17">
        <f t="shared" ref="G8:G24" si="0">D8+E8-F8</f>
        <v>67915000</v>
      </c>
      <c r="H8" s="122"/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2118209328</v>
      </c>
      <c r="E9" s="25">
        <f>SUMIFS('Daftar Koreksi'!$H$5:$H$92,'Daftar Koreksi'!$D$5:$D$92,'3300'!A4,'Daftar Koreksi'!$G$5:$G$92,"Peralatan dan mesin",'Daftar Koreksi'!$H$5:$H$92,"&gt;0")</f>
        <v>0</v>
      </c>
      <c r="F9" s="25">
        <f>SUMIFS('Daftar Koreksi'!$H$5:$H$92,'Daftar Koreksi'!$D$5:$D$92,'3300'!A4,'Daftar Koreksi'!$G$5:$G$92,"Peralatan dan mesin",'Daftar Koreksi'!$H$5:$H$92,"&lt;0")-SUMIFS('Daftar Koreksi'!$H$5:$H$92,'Daftar Koreksi'!$D$5:$D$92,'3300'!A4,'Daftar Koreksi'!$G$5:$G$92,"Peralatan dan mesin",'Daftar Koreksi'!$H$5:$H$92,"&lt;0")-SUMIFS('Daftar Koreksi'!$H$5:$H$92,'Daftar Koreksi'!$D$5:$D$92,'3300'!A4,'Daftar Koreksi'!$G$5:$G$92,"Peralatan dan mesin",'Daftar Koreksi'!$H$5:$H$92,"&lt;0")</f>
        <v>0</v>
      </c>
      <c r="G9" s="17">
        <f t="shared" si="0"/>
        <v>2118209328</v>
      </c>
      <c r="H9" s="122"/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7416291200</v>
      </c>
      <c r="E10" s="25">
        <f>SUMIFS('Daftar Koreksi'!$H$5:$H$92,'Daftar Koreksi'!$D$5:$D$92,'3300'!A4,'Daftar Koreksi'!$G$5:$G$92,"Gedung dan Bangunan",'Daftar Koreksi'!$H$5:$H$92,"&gt;0")</f>
        <v>0</v>
      </c>
      <c r="F10" s="25">
        <f>SUMIFS('Daftar Koreksi'!$H$5:$H$92,'Daftar Koreksi'!$D$5:$D$92,'3300'!A4,'Daftar Koreksi'!$G$5:$G$92,"Gedung dan Bangunan",'Daftar Koreksi'!$H$5:$H$92,"&lt;0")-SUMIFS('Daftar Koreksi'!$H$5:$H$92,'Daftar Koreksi'!$D$5:$D$92,'3300'!A4,'Daftar Koreksi'!$G$5:$G$92,"Gedung dan Bangunan",'Daftar Koreksi'!$H$5:$H$92,"&lt;0")-SUMIFS('Daftar Koreksi'!$H$5:$H$92,'Daftar Koreksi'!$D$5:$D$92,'3300'!A4,'Daftar Koreksi'!$G$5:$G$92,"Gedung dan Bangunan",'Daftar Koreksi'!$H$5:$H$92,"&lt;0")</f>
        <v>0</v>
      </c>
      <c r="G10" s="17">
        <f t="shared" si="0"/>
        <v>7416291200</v>
      </c>
      <c r="H10" s="122"/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863290000</v>
      </c>
      <c r="E11" s="25">
        <f>SUMIFS('Daftar Koreksi'!$H$5:$H$92,'Daftar Koreksi'!$D$5:$D$92,'3300'!A4,'Daftar Koreksi'!$G$5:$G$92,"Jalan Irigasi Jaringan",'Daftar Koreksi'!$H$5:$H$92,"&gt;0")</f>
        <v>0</v>
      </c>
      <c r="F11" s="25">
        <f>SUMIFS('Daftar Koreksi'!$H$5:$H$92,'Daftar Koreksi'!$D$5:$D$92,'3300'!A4,'Daftar Koreksi'!$G$5:$G$92,"Jalan Irigasi Jaringan",'Daftar Koreksi'!$H$5:$H$92,"&lt;0")-SUMIFS('Daftar Koreksi'!$H$5:$H$92,'Daftar Koreksi'!$D$5:$D$92,'3300'!A4,'Daftar Koreksi'!$G$5:$G$92,"Jalan Irigasi Jaringan",'Daftar Koreksi'!$H$5:$H$92,"&lt;0")-SUMIFS('Daftar Koreksi'!$H$5:$H$92,'Daftar Koreksi'!$D$5:$D$92,'3300'!A4,'Daftar Koreksi'!$G$5:$G$92,"Jalan Irigasi Jaringan",'Daftar Koreksi'!$H$5:$H$92,"&lt;0")</f>
        <v>0</v>
      </c>
      <c r="G11" s="17">
        <f t="shared" si="0"/>
        <v>863290000</v>
      </c>
      <c r="H11" s="122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61176209</v>
      </c>
      <c r="E12" s="25">
        <f>SUMIFS('Daftar Koreksi'!$H$5:$H$92,'Daftar Koreksi'!$D$5:$D$92,'3300'!A4,'Daftar Koreksi'!$G$5:$G$92,"Aset Tetap Lainnya",'Daftar Koreksi'!$H$5:$H$92,"&gt;0")</f>
        <v>0</v>
      </c>
      <c r="F12" s="25">
        <f>SUMIFS('Daftar Koreksi'!$H$5:$H$92,'Daftar Koreksi'!$D$5:$D$92,'3300'!A4,'Daftar Koreksi'!$G$5:$G$92,"Aset Tetap Lainnya",'Daftar Koreksi'!$H$5:$H$92,"&lt;0")-SUMIFS('Daftar Koreksi'!$H$5:$H$92,'Daftar Koreksi'!$D$5:$D$92,'3300'!A4,'Daftar Koreksi'!$G$5:$G$92,"Aset Tetap Lainnya",'Daftar Koreksi'!$H$5:$H$92,"&lt;0")-SUMIFS('Daftar Koreksi'!$H$5:$H$92,'Daftar Koreksi'!$D$5:$D$92,'3300'!A4,'Daftar Koreksi'!$G$5:$G$92,"Aset Tetap Lainnya",'Daftar Koreksi'!$H$5:$H$92,"&lt;0")</f>
        <v>0</v>
      </c>
      <c r="G12" s="17">
        <f t="shared" si="0"/>
        <v>61176209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199100000</v>
      </c>
      <c r="E13" s="25">
        <f>SUMIFS('Daftar Koreksi'!$H$5:$H$92,'Daftar Koreksi'!$D$5:$D$92,'3300'!A4,'Daftar Koreksi'!$G$5:$G$92,"Kontruksi Dalam Pengerjaan",'Daftar Koreksi'!$H$5:$H$92,"&gt;0")</f>
        <v>0</v>
      </c>
      <c r="F13" s="25">
        <f>SUMIFS('Daftar Koreksi'!$H$5:$H$92,'Daftar Koreksi'!$D$5:$D$92,'3300'!A4,'Daftar Koreksi'!$G$5:$G$92,"Kontruksi Dalam Pengerjaan",'Daftar Koreksi'!$H$5:$H$92,"&lt;0")-SUMIFS('Daftar Koreksi'!$H$5:$H$92,'Daftar Koreksi'!$D$5:$D$92,'3300'!A4,'Daftar Koreksi'!$G$5:$G$92,"Kontruksi Dalam Pengerjaan",'Daftar Koreksi'!$H$5:$H$92,"&lt;0")-SUMIFS('Daftar Koreksi'!$H$5:$H$92,'Daftar Koreksi'!$D$5:$D$92,'3300'!A4,'Daftar Koreksi'!$G$5:$G$92,"Kontruksi Dalam Pengerjaan",'Daftar Koreksi'!$H$5:$H$92,"&lt;0")</f>
        <v>0</v>
      </c>
      <c r="G13" s="17">
        <f t="shared" si="0"/>
        <v>199100000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0</v>
      </c>
      <c r="E14" s="25">
        <f>SUMIFS('Daftar Koreksi'!$H$5:$H$92,'Daftar Koreksi'!$D$5:$D$92,'3300'!A4,'Daftar Koreksi'!$G$5:$G$92,"Aset Tak Berwujud",'Daftar Koreksi'!$H$5:$H$92,"&gt;0")</f>
        <v>0</v>
      </c>
      <c r="F14" s="25">
        <f>SUMIFS('Daftar Koreksi'!$H$5:$H$92,'Daftar Koreksi'!$D$5:$D$92,'3300'!A4,'Daftar Koreksi'!$G$5:$G$92,"Aset Tak Berwujud",'Daftar Koreksi'!$H$5:$H$92,"&lt;0")-SUMIFS('Daftar Koreksi'!$H$5:$H$92,'Daftar Koreksi'!$D$5:$D$92,'3300'!A4,'Daftar Koreksi'!$G$5:$G$92,"Aset Tak Berwujud",'Daftar Koreksi'!$H$5:$H$92,"&lt;0")-SUMIFS('Daftar Koreksi'!$H$5:$H$92,'Daftar Koreksi'!$D$5:$D$92,'3300'!A4,'Daftar Koreksi'!$G$5:$G$92,"Aset Tak Berwujud",'Daftar Koreksi'!$H$5:$H$92,"&lt;0")</f>
        <v>0</v>
      </c>
      <c r="G14" s="17">
        <f t="shared" si="0"/>
        <v>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Koreksi'!$D$5:$D$92,'3300'!A4,'Daftar Koreksi'!$G$5:$G$92,"Aset Henti Guna",'Daftar Koreksi'!$H$5:$H$92,"&gt;0")</f>
        <v>0</v>
      </c>
      <c r="F15" s="25">
        <f>SUMIFS('Daftar Koreksi'!$H$5:$H$92,'Daftar Koreksi'!$D$5:$D$92,'3300'!A4,'Daftar Koreksi'!$G$5:$G$92,"Aset Henti Guna",'Daftar Koreksi'!$H$5:$H$92,"&lt;0")-SUMIFS('Daftar Koreksi'!$H$5:$H$92,'Daftar Koreksi'!$D$5:$D$92,'3300'!A4,'Daftar Koreksi'!$G$5:$G$92,"Aset Henti Guna",'Daftar Koreksi'!$H$5:$H$92,"&lt;0")-SUMIFS('Daftar Koreksi'!$H$5:$H$92,'Daftar Koreksi'!$D$5:$D$92,'3300'!A4,'Daftar Koreksi'!$G$5:$G$92,"Aset Henti Guna",'Daftar Koreksi'!$H$5:$H$92,"&lt;0")</f>
        <v>0</v>
      </c>
      <c r="G15" s="17">
        <f t="shared" si="0"/>
        <v>0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10727715237</v>
      </c>
      <c r="E16" s="19">
        <f>SUM(E7:E15)</f>
        <v>0</v>
      </c>
      <c r="F16" s="19">
        <f>SUM(F7:F15)</f>
        <v>0</v>
      </c>
      <c r="G16" s="19">
        <f t="shared" si="0"/>
        <v>10727715237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-1655877817</v>
      </c>
      <c r="E17" s="25">
        <f>SUMIFS('Daftar Koreksi'!$I$5:$I$92,'Daftar Koreksi'!$D$5:$D$92,'3300'!A4,'Daftar Koreksi'!$G$5:$G$92,"Peralatan dan mesin",'Daftar Koreksi'!$I$5:$I$92,"&gt;0")</f>
        <v>0</v>
      </c>
      <c r="F17" s="25">
        <f>SUMIFS('Daftar Koreksi'!$I$5:$I$92,'Daftar Koreksi'!$D$5:$D$92,'3300'!A4,'Daftar Koreksi'!$G$5:$G$92,"Peralatan dan mesin",'Daftar Koreksi'!$I$5:$I$92,"&lt;0")-SUMIFS('Daftar Koreksi'!$I$5:$I$92,'Daftar Koreksi'!$D$5:$D$92,'3300'!A4,'Daftar Koreksi'!$G$5:$G$92,"Peralatan dan mesin",'Daftar Koreksi'!$I$5:$I$92,"&lt;0")-SUMIFS('Daftar Koreksi'!$I$5:$I$92,'Daftar Koreksi'!$D$5:$D$92,'3300'!A4,'Daftar Koreksi'!$G$5:$G$92,"Peralatan dan mesin",'Daftar Koreksi'!$I$5:$I$92,"&lt;0")</f>
        <v>0</v>
      </c>
      <c r="G17" s="17">
        <f t="shared" si="0"/>
        <v>-1655877817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-1634612633</v>
      </c>
      <c r="E18" s="25">
        <f>SUMIFS('Daftar Koreksi'!$I$5:$I$92,'Daftar Koreksi'!$D$5:$D$92,'3300'!A4,'Daftar Koreksi'!$G$5:$G$92,"Gedung dan Bangunan",'Daftar Koreksi'!$I$5:$I$92,"&gt;0")</f>
        <v>0</v>
      </c>
      <c r="F18" s="25">
        <f>SUMIFS('Daftar Koreksi'!$I$5:$I$92,'Daftar Koreksi'!$D$5:$D$92,'3300'!A4,'Daftar Koreksi'!$G$5:$G$92,"Gedung dan Bangunan",'Daftar Koreksi'!$I$5:$I$92,"&lt;0")-SUMIFS('Daftar Koreksi'!$I$5:$I$92,'Daftar Koreksi'!$D$5:$D$92,'3300'!A4,'Daftar Koreksi'!$G$5:$G$92,"Gedung dan Bangunan",'Daftar Koreksi'!$I$5:$I$92,"&lt;0")-SUMIFS('Daftar Koreksi'!$I$5:$I$92,'Daftar Koreksi'!$D$5:$D$92,'3300'!A4,'Daftar Koreksi'!$G$5:$G$92,"Gedung dan Bangunan",'Daftar Koreksi'!$I$5:$I$92,"&lt;0")</f>
        <v>0</v>
      </c>
      <c r="G18" s="17">
        <f t="shared" si="0"/>
        <v>-1634612633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-672030000</v>
      </c>
      <c r="E19" s="25">
        <f>SUMIFS('Daftar Koreksi'!$I$5:$I$92,'Daftar Koreksi'!$D$5:$D$92,'3300'!A4,'Daftar Koreksi'!$G$5:$G$92,"Jalan Irigasi Jaringan",'Daftar Koreksi'!$I$5:$I$92,"&gt;0")</f>
        <v>0</v>
      </c>
      <c r="F19" s="25">
        <f>SUMIFS('Daftar Koreksi'!$I$5:$I$92,'Daftar Koreksi'!$D$5:$D$92,'3300'!A4,'Daftar Koreksi'!$G$5:$G$92,"Jalan Irigasi Jaringan",'Daftar Koreksi'!$I$5:$I$92,"&lt;0")-SUMIFS('Daftar Koreksi'!$I$5:$I$92,'Daftar Koreksi'!$D$5:$D$92,'3300'!A4,'Daftar Koreksi'!$G$5:$G$92,"Jalan Irigasi Jaringan",'Daftar Koreksi'!$I$5:$I$92,"&lt;0")-SUMIFS('Daftar Koreksi'!$I$5:$I$92,'Daftar Koreksi'!$D$5:$D$92,'3300'!A4,'Daftar Koreksi'!$G$5:$G$92,"Jalan Irigasi Jaringan",'Daftar Koreksi'!$I$5:$I$92,"&lt;0")</f>
        <v>0</v>
      </c>
      <c r="G19" s="17">
        <f t="shared" si="0"/>
        <v>-672030000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Koreksi'!$D$5:$D$92,'3300'!A4,'Daftar Koreksi'!$G$5:$G$92,"Aset Tetap Lainnya",'Daftar Koreksi'!$I$5:$I$92,"&gt;0")</f>
        <v>0</v>
      </c>
      <c r="F20" s="25">
        <f>SUMIFS('Daftar Koreksi'!$I$5:$I$92,'Daftar Koreksi'!$D$5:$D$92,'3300'!A4,'Daftar Koreksi'!$G$5:$G$92,"Aset Tetap Lainnya",'Daftar Koreksi'!$I$5:$I$92,"&lt;0")-SUMIFS('Daftar Koreksi'!$I$5:$I$92,'Daftar Koreksi'!$D$5:$D$92,'3300'!A4,'Daftar Koreksi'!$G$5:$G$92,"Aset Tetap Lainnya",'Daftar Koreksi'!$I$5:$I$92,"&lt;0")-SUMIFS('Daftar Koreksi'!$I$5:$I$92,'Daftar Koreksi'!$D$5:$D$92,'3300'!A4,'Daftar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Koreksi'!$D$5:$D$92,'3300'!A4,'Daftar Koreksi'!$G$5:$G$92,"Aset Henti Guna",'Daftar Koreksi'!$I$5:$I$92,"&gt;0")</f>
        <v>0</v>
      </c>
      <c r="F21" s="25">
        <f>SUMIFS('Daftar Koreksi'!$I$5:$I$92,'Daftar Koreksi'!$D$5:$D$92,'3300'!A4,'Daftar Koreksi'!$G$5:$G$92,"Aset Henti Guna",'Daftar Koreksi'!$I$5:$I$92,"&lt;0")-SUMIFS('Daftar Koreksi'!$I$5:$I$92,'Daftar Koreksi'!$D$5:$D$92,'3300'!A4,'Daftar Koreksi'!$G$5:$G$92,"Aset Henti Guna",'Daftar Koreksi'!$I$5:$I$92,"&lt;0")-SUMIFS('Daftar Koreksi'!$I$5:$I$92,'Daftar Koreksi'!$D$5:$D$92,'3300'!A4,'Daftar Koreksi'!$G$5:$G$92,"Aset Henti Guna",'Daftar Koreksi'!$I$5:$I$92,"&lt;0")</f>
        <v>0</v>
      </c>
      <c r="G21" s="17">
        <f t="shared" si="0"/>
        <v>0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-3962520450</v>
      </c>
      <c r="E22" s="19">
        <f>SUM(E17:E21)</f>
        <v>0</v>
      </c>
      <c r="F22" s="19">
        <f>SUM(F17:F21)</f>
        <v>0</v>
      </c>
      <c r="G22" s="19">
        <f t="shared" si="0"/>
        <v>-3962520450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6765194787</v>
      </c>
      <c r="E23" s="19">
        <f>E22+E16</f>
        <v>0</v>
      </c>
      <c r="F23" s="19">
        <f>F22+F16</f>
        <v>0</v>
      </c>
      <c r="G23" s="19">
        <f t="shared" si="0"/>
        <v>6765194787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005013300400075000KD</v>
      </c>
      <c r="B26" s="11" t="str">
        <f>P2</f>
        <v>PN. Sorong</v>
      </c>
      <c r="C26" s="12" t="str">
        <f>A26&amp;" "&amp;B26</f>
        <v>005013300400075000KD PN. Sorong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8855000</v>
      </c>
      <c r="E29" s="25">
        <f>SUMIFS('Daftar Koreksi'!$H$5:$H$92,'Daftar Koreksi'!$D$5:$D$92,'3300'!A26,'Daftar Koreksi'!$G$5:$G$92,"Persediaan",'Daftar Koreksi'!$H$5:$H$92,"&gt;0")</f>
        <v>0</v>
      </c>
      <c r="F29" s="25">
        <f>SUMIFS('Daftar Koreksi'!$H$5:$H$92,'Daftar Koreksi'!$D$5:$D$92,'3300'!A26,'Daftar Koreksi'!$G$5:$G$92,"Persediaan",'Daftar Koreksi'!$H$5:$H$92,"&lt;0")-SUMIFS('Daftar Koreksi'!$H$5:$H$92,'Daftar Koreksi'!$D$5:$D$92,'3300'!A26,'Daftar Koreksi'!$G$5:$G$92,"Persediaan",'Daftar Koreksi'!$H$5:$H$92,"&lt;0")-SUMIFS('Daftar Koreksi'!$H$5:$H$92,'Daftar Koreksi'!$D$5:$D$92,'3300'!A26,'Daftar Koreksi'!$G$5:$G$92,"Persediaan",'Daftar Koreksi'!$H$5:$H$92,"&lt;0")</f>
        <v>0</v>
      </c>
      <c r="G29" s="17">
        <f>D29+E29-F29</f>
        <v>8855000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19291453000</v>
      </c>
      <c r="E30" s="25">
        <f>SUMIFS('Daftar Koreksi'!$H$5:$H$92,'Daftar Koreksi'!$D$5:$D$92,'3300'!A26,'Daftar Koreksi'!$G$5:$G$92,"Tanah",'Daftar Koreksi'!$H$5:$H$92,"&gt;0")</f>
        <v>0</v>
      </c>
      <c r="F30" s="25">
        <f>SUMIFS('Daftar Koreksi'!$H$5:$H$92,'Daftar Koreksi'!$D$5:$D$92,'3300'!A26,'Daftar Koreksi'!$G$5:$G$92,"Tanah",'Daftar Koreksi'!$H$5:$H$92,"&lt;0")-SUMIFS('Daftar Koreksi'!$H$5:$H$92,'Daftar Koreksi'!$D$5:$D$92,'3300'!A26,'Daftar Koreksi'!$G$5:$G$92,"Tanah",'Daftar Koreksi'!$H$5:$H$92,"&lt;0")-SUMIFS('Daftar Koreksi'!$H$5:$H$92,'Daftar Koreksi'!$D$5:$D$92,'3300'!A26,'Daftar Koreksi'!$G$5:$G$92,"Tanah",'Daftar Koreksi'!$H$5:$H$92,"&lt;0")</f>
        <v>0</v>
      </c>
      <c r="G30" s="17">
        <f t="shared" ref="G30:G46" si="1">D30+E30-F30</f>
        <v>19291453000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2320241488</v>
      </c>
      <c r="E31" s="25">
        <f>SUMIFS('Daftar Koreksi'!$H$5:$H$92,'Daftar Koreksi'!$D$5:$D$92,'3300'!A26,'Daftar Koreksi'!$G$5:$G$92,"Peralatan dan mesin",'Daftar Koreksi'!$H$5:$H$92,"&gt;0")</f>
        <v>0</v>
      </c>
      <c r="F31" s="25">
        <f>SUMIFS('Daftar Koreksi'!$H$5:$H$92,'Daftar Koreksi'!$D$5:$D$92,'3300'!A26,'Daftar Koreksi'!$G$5:$G$92,"Peralatan dan mesin",'Daftar Koreksi'!$H$5:$H$92,"&lt;0")-SUMIFS('Daftar Koreksi'!$H$5:$H$92,'Daftar Koreksi'!$D$5:$D$92,'3300'!A26,'Daftar Koreksi'!$G$5:$G$92,"Peralatan dan mesin",'Daftar Koreksi'!$H$5:$H$92,"&lt;0")-SUMIFS('Daftar Koreksi'!$H$5:$H$92,'Daftar Koreksi'!$D$5:$D$92,'3300'!A26,'Daftar Koreksi'!$G$5:$G$92,"Peralatan dan mesin",'Daftar Koreksi'!$H$5:$H$92,"&lt;0")</f>
        <v>0</v>
      </c>
      <c r="G31" s="17">
        <f t="shared" si="1"/>
        <v>2320241488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4677825050</v>
      </c>
      <c r="E32" s="25">
        <f>SUMIFS('Daftar Koreksi'!$H$5:$H$92,'Daftar Koreksi'!$D$5:$D$92,'3300'!A26,'Daftar Koreksi'!$G$5:$G$92,"Gedung dan Bangunan",'Daftar Koreksi'!$H$5:$H$92,"&gt;0")</f>
        <v>0</v>
      </c>
      <c r="F32" s="25">
        <f>SUMIFS('Daftar Koreksi'!$H$5:$H$92,'Daftar Koreksi'!$D$5:$D$92,'3300'!A26,'Daftar Koreksi'!$G$5:$G$92,"Gedung dan Bangunan",'Daftar Koreksi'!$H$5:$H$92,"&lt;0")-SUMIFS('Daftar Koreksi'!$H$5:$H$92,'Daftar Koreksi'!$D$5:$D$92,'3300'!A26,'Daftar Koreksi'!$G$5:$G$92,"Gedung dan Bangunan",'Daftar Koreksi'!$H$5:$H$92,"&lt;0")-SUMIFS('Daftar Koreksi'!$H$5:$H$92,'Daftar Koreksi'!$D$5:$D$92,'3300'!A26,'Daftar Koreksi'!$G$5:$G$92,"Gedung dan Bangunan",'Daftar Koreksi'!$H$5:$H$92,"&lt;0")</f>
        <v>0</v>
      </c>
      <c r="G32" s="17">
        <f t="shared" si="1"/>
        <v>4677825050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Koreksi'!$D$5:$D$92,'3300'!A26,'Daftar Koreksi'!$G$5:$G$92,"Jalan Irigasi Jaringan",'Daftar Koreksi'!$H$5:$H$92,"&gt;0")</f>
        <v>0</v>
      </c>
      <c r="F33" s="25">
        <f>SUMIFS('Daftar Koreksi'!$H$5:$H$92,'Daftar Koreksi'!$D$5:$D$92,'3300'!A26,'Daftar Koreksi'!$G$5:$G$92,"Jalan Irigasi Jaringan",'Daftar Koreksi'!$H$5:$H$92,"&lt;0")-SUMIFS('Daftar Koreksi'!$H$5:$H$92,'Daftar Koreksi'!$D$5:$D$92,'3300'!A26,'Daftar Koreksi'!$G$5:$G$92,"Jalan Irigasi Jaringan",'Daftar Koreksi'!$H$5:$H$92,"&lt;0")-SUMIFS('Daftar Koreksi'!$H$5:$H$92,'Daftar Koreksi'!$D$5:$D$92,'3300'!A26,'Daftar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23743440</v>
      </c>
      <c r="E34" s="25">
        <f>SUMIFS('Daftar Koreksi'!$H$5:$H$92,'Daftar Koreksi'!$D$5:$D$92,'3300'!A26,'Daftar Koreksi'!$G$5:$G$92,"Aset Tetap Lainnya",'Daftar Koreksi'!$H$5:$H$92,"&gt;0")</f>
        <v>0</v>
      </c>
      <c r="F34" s="25">
        <f>SUMIFS('Daftar Koreksi'!$H$5:$H$92,'Daftar Koreksi'!$D$5:$D$92,'3300'!A26,'Daftar Koreksi'!$G$5:$G$92,"Aset Tetap Lainnya",'Daftar Koreksi'!$H$5:$H$92,"&lt;0")-SUMIFS('Daftar Koreksi'!$H$5:$H$92,'Daftar Koreksi'!$D$5:$D$92,'3300'!A26,'Daftar Koreksi'!$G$5:$G$92,"Aset Tetap Lainnya",'Daftar Koreksi'!$H$5:$H$92,"&lt;0")-SUMIFS('Daftar Koreksi'!$H$5:$H$92,'Daftar Koreksi'!$D$5:$D$92,'3300'!A26,'Daftar Koreksi'!$G$5:$G$92,"Aset Tetap Lainnya",'Daftar Koreksi'!$H$5:$H$92,"&lt;0")</f>
        <v>0</v>
      </c>
      <c r="G34" s="17">
        <f t="shared" si="1"/>
        <v>23743440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Koreksi'!$D$5:$D$92,'3300'!A26,'Daftar Koreksi'!$G$5:$G$92,"Kontruksi Dalam Pengerjaan",'Daftar Koreksi'!$H$5:$H$92,"&gt;0")</f>
        <v>0</v>
      </c>
      <c r="F35" s="25">
        <f>SUMIFS('Daftar Koreksi'!$H$5:$H$92,'Daftar Koreksi'!$D$5:$D$92,'3300'!A26,'Daftar Koreksi'!$G$5:$G$92,"Kontruksi Dalam Pengerjaan",'Daftar Koreksi'!$H$5:$H$92,"&lt;0")-SUMIFS('Daftar Koreksi'!$H$5:$H$92,'Daftar Koreksi'!$D$5:$D$92,'3300'!A26,'Daftar Koreksi'!$G$5:$G$92,"Kontruksi Dalam Pengerjaan",'Daftar Koreksi'!$H$5:$H$92,"&lt;0")-SUMIFS('Daftar Koreksi'!$H$5:$H$92,'Daftar Koreksi'!$D$5:$D$92,'3300'!A26,'Daftar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62065000</v>
      </c>
      <c r="E36" s="25">
        <f>SUMIFS('Daftar Koreksi'!$H$5:$H$92,'Daftar Koreksi'!$D$5:$D$92,'3300'!A26,'Daftar Koreksi'!$G$5:$G$92,"Aset Tak Berwujud",'Daftar Koreksi'!$H$5:$H$92,"&gt;0")</f>
        <v>0</v>
      </c>
      <c r="F36" s="25">
        <f>SUMIFS('Daftar Koreksi'!$H$5:$H$92,'Daftar Koreksi'!$D$5:$D$92,'3300'!A26,'Daftar Koreksi'!$G$5:$G$92,"Aset Tak Berwujud",'Daftar Koreksi'!$H$5:$H$92,"&lt;0")-SUMIFS('Daftar Koreksi'!$H$5:$H$92,'Daftar Koreksi'!$D$5:$D$92,'3300'!A26,'Daftar Koreksi'!$G$5:$G$92,"Aset Tak Berwujud",'Daftar Koreksi'!$H$5:$H$92,"&lt;0")-SUMIFS('Daftar Koreksi'!$H$5:$H$92,'Daftar Koreksi'!$D$5:$D$92,'3300'!A26,'Daftar Koreksi'!$G$5:$G$92,"Aset Tak Berwujud",'Daftar Koreksi'!$H$5:$H$92,"&lt;0")</f>
        <v>0</v>
      </c>
      <c r="G36" s="17">
        <f t="shared" si="1"/>
        <v>62065000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Koreksi'!$D$5:$D$92,'3300'!A26,'Daftar Koreksi'!$G$5:$G$92,"Aset Henti Guna",'Daftar Koreksi'!$H$5:$H$92,"&gt;0")</f>
        <v>0</v>
      </c>
      <c r="F37" s="25">
        <f>SUMIFS('Daftar Koreksi'!$H$5:$H$92,'Daftar Koreksi'!$D$5:$D$92,'3300'!A26,'Daftar Koreksi'!$G$5:$G$92,"Aset Henti Guna",'Daftar Koreksi'!$H$5:$H$92,"&lt;0")-SUMIFS('Daftar Koreksi'!$H$5:$H$92,'Daftar Koreksi'!$D$5:$D$92,'3300'!A26,'Daftar Koreksi'!$G$5:$G$92,"Aset Henti Guna",'Daftar Koreksi'!$H$5:$H$92,"&lt;0")-SUMIFS('Daftar Koreksi'!$H$5:$H$92,'Daftar Koreksi'!$D$5:$D$92,'3300'!A26,'Daftar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26384182978</v>
      </c>
      <c r="E38" s="19">
        <f>SUM(E29:E37)</f>
        <v>0</v>
      </c>
      <c r="F38" s="19">
        <f>SUM(F29:F37)</f>
        <v>0</v>
      </c>
      <c r="G38" s="19">
        <f t="shared" si="1"/>
        <v>26384182978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-1796091277</v>
      </c>
      <c r="E39" s="25">
        <f>SUMIFS('Daftar Koreksi'!$I$5:$I$92,'Daftar Koreksi'!$D$5:$D$92,'3300'!A26,'Daftar Koreksi'!$G$5:$G$92,"Peralatan dan mesin",'Daftar Koreksi'!$I$5:$I$92,"&gt;0")</f>
        <v>0</v>
      </c>
      <c r="F39" s="25">
        <f>SUMIFS('Daftar Koreksi'!$I$5:$I$92,'Daftar Koreksi'!$D$5:$D$92,'3300'!A26,'Daftar Koreksi'!$G$5:$G$92,"Peralatan dan mesin",'Daftar Koreksi'!$I$5:$I$92,"&lt;0")-SUMIFS('Daftar Koreksi'!$I$5:$I$92,'Daftar Koreksi'!$D$5:$D$92,'3300'!A26,'Daftar Koreksi'!$G$5:$G$92,"Peralatan dan mesin",'Daftar Koreksi'!$I$5:$I$92,"&lt;0")-SUMIFS('Daftar Koreksi'!$I$5:$I$92,'Daftar Koreksi'!$D$5:$D$92,'3300'!A26,'Daftar Koreksi'!$G$5:$G$92,"Peralatan dan mesin",'Daftar Koreksi'!$I$5:$I$92,"&lt;0")</f>
        <v>0</v>
      </c>
      <c r="G39" s="17">
        <f t="shared" si="1"/>
        <v>-1796091277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-954950538</v>
      </c>
      <c r="E40" s="25">
        <f>SUMIFS('Daftar Koreksi'!$I$5:$I$92,'Daftar Koreksi'!$D$5:$D$92,'3300'!A26,'Daftar Koreksi'!$G$5:$G$92,"Gedung dan Bangunan",'Daftar Koreksi'!$I$5:$I$92,"&gt;0")</f>
        <v>0</v>
      </c>
      <c r="F40" s="25">
        <f>SUMIFS('Daftar Koreksi'!$I$5:$I$92,'Daftar Koreksi'!$D$5:$D$92,'3300'!A26,'Daftar Koreksi'!$G$5:$G$92,"Gedung dan Bangunan",'Daftar Koreksi'!$I$5:$I$92,"&lt;0")-SUMIFS('Daftar Koreksi'!$I$5:$I$92,'Daftar Koreksi'!$D$5:$D$92,'3300'!A26,'Daftar Koreksi'!$G$5:$G$92,"Gedung dan Bangunan",'Daftar Koreksi'!$I$5:$I$92,"&lt;0")-SUMIFS('Daftar Koreksi'!$I$5:$I$92,'Daftar Koreksi'!$D$5:$D$92,'3300'!A26,'Daftar Koreksi'!$G$5:$G$92,"Gedung dan Bangunan",'Daftar Koreksi'!$I$5:$I$92,"&lt;0")</f>
        <v>0</v>
      </c>
      <c r="G40" s="17">
        <f t="shared" si="1"/>
        <v>-954950538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Koreksi'!$D$5:$D$92,'3300'!A26,'Daftar Koreksi'!$G$5:$G$92,"Jalan Irigasi Jaringan",'Daftar Koreksi'!$I$5:$I$92,"&gt;0")</f>
        <v>0</v>
      </c>
      <c r="F41" s="25">
        <f>SUMIFS('Daftar Koreksi'!$I$5:$I$92,'Daftar Koreksi'!$D$5:$D$92,'3300'!A26,'Daftar Koreksi'!$G$5:$G$92,"Jalan Irigasi Jaringan",'Daftar Koreksi'!$I$5:$I$92,"&lt;0")-SUMIFS('Daftar Koreksi'!$I$5:$I$92,'Daftar Koreksi'!$D$5:$D$92,'3300'!A26,'Daftar Koreksi'!$G$5:$G$92,"Jalan Irigasi Jaringan",'Daftar Koreksi'!$I$5:$I$92,"&lt;0")-SUMIFS('Daftar Koreksi'!$I$5:$I$92,'Daftar Koreksi'!$D$5:$D$92,'3300'!A26,'Daftar Koreksi'!$G$5:$G$92,"Jalan Irigasi Jaringan",'Daftar Koreksi'!$I$5:$I$92,"&lt;0")</f>
        <v>0</v>
      </c>
      <c r="G41" s="17">
        <f t="shared" si="1"/>
        <v>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Koreksi'!$D$5:$D$92,'3300'!A26,'Daftar Koreksi'!$G$5:$G$92,"Aset Tetap Lainnya",'Daftar Koreksi'!$I$5:$I$92,"&gt;0")</f>
        <v>0</v>
      </c>
      <c r="F42" s="25">
        <f>SUMIFS('Daftar Koreksi'!$I$5:$I$92,'Daftar Koreksi'!$D$5:$D$92,'3300'!A26,'Daftar Koreksi'!$G$5:$G$92,"Aset Tetap Lainnya",'Daftar Koreksi'!$I$5:$I$92,"&lt;0")-SUMIFS('Daftar Koreksi'!$I$5:$I$92,'Daftar Koreksi'!$D$5:$D$92,'3300'!A26,'Daftar Koreksi'!$G$5:$G$92,"Aset Tetap Lainnya",'Daftar Koreksi'!$I$5:$I$92,"&lt;0")-SUMIFS('Daftar Koreksi'!$I$5:$I$92,'Daftar Koreksi'!$D$5:$D$92,'3300'!A26,'Daftar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Koreksi'!$D$5:$D$92,'3300'!A26,'Daftar Koreksi'!$G$5:$G$92,"Aset Henti Guna",'Daftar Koreksi'!$I$5:$I$92,"&gt;0")</f>
        <v>0</v>
      </c>
      <c r="F43" s="25">
        <f>SUMIFS('Daftar Koreksi'!$I$5:$I$92,'Daftar Koreksi'!$D$5:$D$92,'3300'!A26,'Daftar Koreksi'!$G$5:$G$92,"Aset Henti Guna",'Daftar Koreksi'!$I$5:$I$92,"&lt;0")-SUMIFS('Daftar Koreksi'!$I$5:$I$92,'Daftar Koreksi'!$D$5:$D$92,'3300'!A26,'Daftar Koreksi'!$G$5:$G$92,"Aset Henti Guna",'Daftar Koreksi'!$I$5:$I$92,"&lt;0")-SUMIFS('Daftar Koreksi'!$I$5:$I$92,'Daftar Koreksi'!$D$5:$D$92,'3300'!A26,'Daftar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-2751041815</v>
      </c>
      <c r="E44" s="19">
        <f>SUM(E39:E43)</f>
        <v>0</v>
      </c>
      <c r="F44" s="19">
        <f>SUM(F39:F43)</f>
        <v>0</v>
      </c>
      <c r="G44" s="19">
        <f t="shared" si="1"/>
        <v>-2751041815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23633141163</v>
      </c>
      <c r="E45" s="19">
        <f>E44+E38</f>
        <v>0</v>
      </c>
      <c r="F45" s="19">
        <f>F44+F38</f>
        <v>0</v>
      </c>
      <c r="G45" s="19">
        <f t="shared" si="1"/>
        <v>23633141163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005013300400081000KD</v>
      </c>
      <c r="B48" s="11" t="str">
        <f>P3</f>
        <v>PN. Fak-Fak</v>
      </c>
      <c r="C48" s="12" t="str">
        <f>A48&amp;" "&amp;B48</f>
        <v>005013300400081000KD PN. Fak-Fak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0</v>
      </c>
      <c r="E51" s="25">
        <f>SUMIFS('Daftar Koreksi'!$H$5:$H$92,'Daftar Koreksi'!$D$5:$D$92,'3300'!A48,'Daftar Koreksi'!$G$5:$G$92,"Persediaan",'Daftar Koreksi'!$H$5:$H$92,"&gt;0")</f>
        <v>0</v>
      </c>
      <c r="F51" s="25">
        <f>SUMIFS('Daftar Koreksi'!$H$5:$H$92,'Daftar Koreksi'!$D$5:$D$92,'3300'!A48,'Daftar Koreksi'!$G$5:$G$92,"Persediaan",'Daftar Koreksi'!$H$5:$H$92,"&lt;0")-SUMIFS('Daftar Koreksi'!$H$5:$H$92,'Daftar Koreksi'!$D$5:$D$92,'3300'!A48,'Daftar Koreksi'!$G$5:$G$92,"Persediaan",'Daftar Koreksi'!$H$5:$H$92,"&lt;0")-SUMIFS('Daftar Koreksi'!$H$5:$H$92,'Daftar Koreksi'!$D$5:$D$92,'3300'!A48,'Daftar Koreksi'!$G$5:$G$92,"Persediaan",'Daftar Koreksi'!$H$5:$H$92,"&lt;0")</f>
        <v>0</v>
      </c>
      <c r="G51" s="17">
        <f>D51+E51-F51</f>
        <v>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2088445000</v>
      </c>
      <c r="E52" s="25">
        <f>SUMIFS('Daftar Koreksi'!$H$5:$H$92,'Daftar Koreksi'!$D$5:$D$92,'3300'!A48,'Daftar Koreksi'!$G$5:$G$92,"Tanah",'Daftar Koreksi'!$H$5:$H$92,"&gt;0")</f>
        <v>0</v>
      </c>
      <c r="F52" s="25">
        <f>SUMIFS('Daftar Koreksi'!$H$5:$H$92,'Daftar Koreksi'!$D$5:$D$92,'3300'!A48,'Daftar Koreksi'!$G$5:$G$92,"Tanah",'Daftar Koreksi'!$H$5:$H$92,"&lt;0")-SUMIFS('Daftar Koreksi'!$H$5:$H$92,'Daftar Koreksi'!$D$5:$D$92,'3300'!A48,'Daftar Koreksi'!$G$5:$G$92,"Tanah",'Daftar Koreksi'!$H$5:$H$92,"&lt;0")-SUMIFS('Daftar Koreksi'!$H$5:$H$92,'Daftar Koreksi'!$D$5:$D$92,'3300'!A48,'Daftar Koreksi'!$G$5:$G$92,"Tanah",'Daftar Koreksi'!$H$5:$H$92,"&lt;0")</f>
        <v>0</v>
      </c>
      <c r="G52" s="17">
        <f t="shared" ref="G52:G68" si="2">D52+E52-F52</f>
        <v>2088445000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1990377768</v>
      </c>
      <c r="E53" s="25">
        <f>SUMIFS('Daftar Koreksi'!$H$5:$H$92,'Daftar Koreksi'!$D$5:$D$92,'3300'!A48,'Daftar Koreksi'!$G$5:$G$92,"Peralatan dan mesin",'Daftar Koreksi'!$H$5:$H$92,"&gt;0")</f>
        <v>0</v>
      </c>
      <c r="F53" s="25">
        <f>SUMIFS('Daftar Koreksi'!$H$5:$H$92,'Daftar Koreksi'!$D$5:$D$92,'3300'!A48,'Daftar Koreksi'!$G$5:$G$92,"Peralatan dan mesin",'Daftar Koreksi'!$H$5:$H$92,"&lt;0")-SUMIFS('Daftar Koreksi'!$H$5:$H$92,'Daftar Koreksi'!$D$5:$D$92,'3300'!A48,'Daftar Koreksi'!$G$5:$G$92,"Peralatan dan mesin",'Daftar Koreksi'!$H$5:$H$92,"&lt;0")-SUMIFS('Daftar Koreksi'!$H$5:$H$92,'Daftar Koreksi'!$D$5:$D$92,'3300'!A48,'Daftar Koreksi'!$G$5:$G$92,"Peralatan dan mesin",'Daftar Koreksi'!$H$5:$H$92,"&lt;0")</f>
        <v>0</v>
      </c>
      <c r="G53" s="17">
        <f t="shared" si="2"/>
        <v>1990377768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13189784845</v>
      </c>
      <c r="E54" s="25">
        <f>SUMIFS('Daftar Koreksi'!$H$5:$H$92,'Daftar Koreksi'!$D$5:$D$92,'3300'!A48,'Daftar Koreksi'!$G$5:$G$92,"Gedung dan Bangunan",'Daftar Koreksi'!$H$5:$H$92,"&gt;0")</f>
        <v>0</v>
      </c>
      <c r="F54" s="25">
        <f>SUMIFS('Daftar Koreksi'!$H$5:$H$92,'Daftar Koreksi'!$D$5:$D$92,'3300'!A48,'Daftar Koreksi'!$G$5:$G$92,"Gedung dan Bangunan",'Daftar Koreksi'!$H$5:$H$92,"&lt;0")-SUMIFS('Daftar Koreksi'!$H$5:$H$92,'Daftar Koreksi'!$D$5:$D$92,'3300'!A48,'Daftar Koreksi'!$G$5:$G$92,"Gedung dan Bangunan",'Daftar Koreksi'!$H$5:$H$92,"&lt;0")-SUMIFS('Daftar Koreksi'!$H$5:$H$92,'Daftar Koreksi'!$D$5:$D$92,'3300'!A48,'Daftar Koreksi'!$G$5:$G$92,"Gedung dan Bangunan",'Daftar Koreksi'!$H$5:$H$92,"&lt;0")</f>
        <v>0</v>
      </c>
      <c r="G54" s="17">
        <f t="shared" si="2"/>
        <v>13189784845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66431000</v>
      </c>
      <c r="E55" s="25">
        <f>SUMIFS('Daftar Koreksi'!$H$5:$H$92,'Daftar Koreksi'!$D$5:$D$92,'3300'!A48,'Daftar Koreksi'!$G$5:$G$92,"Jalan Irigasi Jaringan",'Daftar Koreksi'!$H$5:$H$92,"&gt;0")</f>
        <v>0</v>
      </c>
      <c r="F55" s="25">
        <f>SUMIFS('Daftar Koreksi'!$H$5:$H$92,'Daftar Koreksi'!$D$5:$D$92,'3300'!A48,'Daftar Koreksi'!$G$5:$G$92,"Jalan Irigasi Jaringan",'Daftar Koreksi'!$H$5:$H$92,"&lt;0")-SUMIFS('Daftar Koreksi'!$H$5:$H$92,'Daftar Koreksi'!$D$5:$D$92,'3300'!A48,'Daftar Koreksi'!$G$5:$G$92,"Jalan Irigasi Jaringan",'Daftar Koreksi'!$H$5:$H$92,"&lt;0")-SUMIFS('Daftar Koreksi'!$H$5:$H$92,'Daftar Koreksi'!$D$5:$D$92,'3300'!A48,'Daftar Koreksi'!$G$5:$G$92,"Jalan Irigasi Jaringan",'Daftar Koreksi'!$H$5:$H$92,"&lt;0")</f>
        <v>0</v>
      </c>
      <c r="G55" s="17">
        <f t="shared" si="2"/>
        <v>66431000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41943444</v>
      </c>
      <c r="E56" s="25">
        <f>SUMIFS('Daftar Koreksi'!$H$5:$H$92,'Daftar Koreksi'!$D$5:$D$92,'3300'!A48,'Daftar Koreksi'!$G$5:$G$92,"Aset Tetap Lainnya",'Daftar Koreksi'!$H$5:$H$92,"&gt;0")</f>
        <v>0</v>
      </c>
      <c r="F56" s="25">
        <f>SUMIFS('Daftar Koreksi'!$H$5:$H$92,'Daftar Koreksi'!$D$5:$D$92,'3300'!A48,'Daftar Koreksi'!$G$5:$G$92,"Aset Tetap Lainnya",'Daftar Koreksi'!$H$5:$H$92,"&lt;0")-SUMIFS('Daftar Koreksi'!$H$5:$H$92,'Daftar Koreksi'!$D$5:$D$92,'3300'!A48,'Daftar Koreksi'!$G$5:$G$92,"Aset Tetap Lainnya",'Daftar Koreksi'!$H$5:$H$92,"&lt;0")-SUMIFS('Daftar Koreksi'!$H$5:$H$92,'Daftar Koreksi'!$D$5:$D$92,'3300'!A48,'Daftar Koreksi'!$G$5:$G$92,"Aset Tetap Lainnya",'Daftar Koreksi'!$H$5:$H$92,"&lt;0")</f>
        <v>0</v>
      </c>
      <c r="G56" s="17">
        <f t="shared" si="2"/>
        <v>41943444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182763055</v>
      </c>
      <c r="E57" s="25">
        <f>SUMIFS('Daftar Koreksi'!$H$5:$H$92,'Daftar Koreksi'!$D$5:$D$92,'3300'!A48,'Daftar Koreksi'!$G$5:$G$92,"Kontruksi Dalam Pengerjaan",'Daftar Koreksi'!$H$5:$H$92,"&gt;0")</f>
        <v>0</v>
      </c>
      <c r="F57" s="25">
        <f>SUMIFS('Daftar Koreksi'!$H$5:$H$92,'Daftar Koreksi'!$D$5:$D$92,'3300'!A48,'Daftar Koreksi'!$G$5:$G$92,"Kontruksi Dalam Pengerjaan",'Daftar Koreksi'!$H$5:$H$92,"&lt;0")-SUMIFS('Daftar Koreksi'!$H$5:$H$92,'Daftar Koreksi'!$D$5:$D$92,'3300'!A48,'Daftar Koreksi'!$G$5:$G$92,"Kontruksi Dalam Pengerjaan",'Daftar Koreksi'!$H$5:$H$92,"&lt;0")-SUMIFS('Daftar Koreksi'!$H$5:$H$92,'Daftar Koreksi'!$D$5:$D$92,'3300'!A48,'Daftar Koreksi'!$G$5:$G$92,"Kontruksi Dalam Pengerjaan",'Daftar Koreksi'!$H$5:$H$92,"&lt;0")</f>
        <v>0</v>
      </c>
      <c r="G57" s="17">
        <f t="shared" si="2"/>
        <v>182763055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Koreksi'!$D$5:$D$92,'3300'!A48,'Daftar Koreksi'!$G$5:$G$92,"Aset Tak Berwujud",'Daftar Koreksi'!$H$5:$H$92,"&gt;0")</f>
        <v>0</v>
      </c>
      <c r="F58" s="25">
        <f>SUMIFS('Daftar Koreksi'!$H$5:$H$92,'Daftar Koreksi'!$D$5:$D$92,'3300'!A48,'Daftar Koreksi'!$G$5:$G$92,"Aset Tak Berwujud",'Daftar Koreksi'!$H$5:$H$92,"&lt;0")-SUMIFS('Daftar Koreksi'!$H$5:$H$92,'Daftar Koreksi'!$D$5:$D$92,'3300'!A48,'Daftar Koreksi'!$G$5:$G$92,"Aset Tak Berwujud",'Daftar Koreksi'!$H$5:$H$92,"&lt;0")-SUMIFS('Daftar Koreksi'!$H$5:$H$92,'Daftar Koreksi'!$D$5:$D$92,'3300'!A48,'Daftar Koreksi'!$G$5:$G$92,"Aset Tak Berwujud",'Daftar Koreksi'!$H$5:$H$92,"&lt;0")</f>
        <v>0</v>
      </c>
      <c r="G58" s="17">
        <f t="shared" si="2"/>
        <v>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70258480</v>
      </c>
      <c r="E59" s="25">
        <f>SUMIFS('Daftar Koreksi'!$H$5:$H$92,'Daftar Koreksi'!$D$5:$D$92,'3300'!A48,'Daftar Koreksi'!$G$5:$G$92,"Aset Henti Guna",'Daftar Koreksi'!$H$5:$H$92,"&gt;0")</f>
        <v>0</v>
      </c>
      <c r="F59" s="25">
        <f>SUMIFS('Daftar Koreksi'!$H$5:$H$92,'Daftar Koreksi'!$D$5:$D$92,'3300'!A48,'Daftar Koreksi'!$G$5:$G$92,"Aset Henti Guna",'Daftar Koreksi'!$H$5:$H$92,"&lt;0")-SUMIFS('Daftar Koreksi'!$H$5:$H$92,'Daftar Koreksi'!$D$5:$D$92,'3300'!A48,'Daftar Koreksi'!$G$5:$G$92,"Aset Henti Guna",'Daftar Koreksi'!$H$5:$H$92,"&lt;0")-SUMIFS('Daftar Koreksi'!$H$5:$H$92,'Daftar Koreksi'!$D$5:$D$92,'3300'!A48,'Daftar Koreksi'!$G$5:$G$92,"Aset Henti Guna",'Daftar Koreksi'!$H$5:$H$92,"&lt;0")</f>
        <v>0</v>
      </c>
      <c r="G59" s="17">
        <f t="shared" si="2"/>
        <v>70258480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17630003592</v>
      </c>
      <c r="E60" s="19">
        <f>SUM(E51:E59)</f>
        <v>0</v>
      </c>
      <c r="F60" s="19">
        <f>SUM(F51:F59)</f>
        <v>0</v>
      </c>
      <c r="G60" s="19">
        <f t="shared" si="2"/>
        <v>17630003592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-1818227249</v>
      </c>
      <c r="E61" s="25">
        <f>SUMIFS('Daftar Koreksi'!$I$5:$I$92,'Daftar Koreksi'!$D$5:$D$92,'3300'!A48,'Daftar Koreksi'!$G$5:$G$92,"Peralatan dan mesin",'Daftar Koreksi'!$I$5:$I$92,"&gt;0")</f>
        <v>0</v>
      </c>
      <c r="F61" s="25">
        <f>SUMIFS('Daftar Koreksi'!$I$5:$I$92,'Daftar Koreksi'!$D$5:$D$92,'3300'!A48,'Daftar Koreksi'!$G$5:$G$92,"Peralatan dan mesin",'Daftar Koreksi'!$I$5:$I$92,"&lt;0")-SUMIFS('Daftar Koreksi'!$I$5:$I$92,'Daftar Koreksi'!$D$5:$D$92,'3300'!A48,'Daftar Koreksi'!$G$5:$G$92,"Peralatan dan mesin",'Daftar Koreksi'!$I$5:$I$92,"&lt;0")-SUMIFS('Daftar Koreksi'!$I$5:$I$92,'Daftar Koreksi'!$D$5:$D$92,'3300'!A48,'Daftar Koreksi'!$G$5:$G$92,"Peralatan dan mesin",'Daftar Koreksi'!$I$5:$I$92,"&lt;0")</f>
        <v>0</v>
      </c>
      <c r="G61" s="17">
        <f t="shared" si="2"/>
        <v>-1818227249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-2435204306</v>
      </c>
      <c r="E62" s="25">
        <f>SUMIFS('Daftar Koreksi'!$I$5:$I$92,'Daftar Koreksi'!$D$5:$D$92,'3300'!A48,'Daftar Koreksi'!$G$5:$G$92,"Gedung dan Bangunan",'Daftar Koreksi'!$I$5:$I$92,"&gt;0")</f>
        <v>0</v>
      </c>
      <c r="F62" s="25">
        <f>SUMIFS('Daftar Koreksi'!$I$5:$I$92,'Daftar Koreksi'!$D$5:$D$92,'3300'!A48,'Daftar Koreksi'!$G$5:$G$92,"Gedung dan Bangunan",'Daftar Koreksi'!$I$5:$I$92,"&lt;0")-SUMIFS('Daftar Koreksi'!$I$5:$I$92,'Daftar Koreksi'!$D$5:$D$92,'3300'!A48,'Daftar Koreksi'!$G$5:$G$92,"Gedung dan Bangunan",'Daftar Koreksi'!$I$5:$I$92,"&lt;0")-SUMIFS('Daftar Koreksi'!$I$5:$I$92,'Daftar Koreksi'!$D$5:$D$92,'3300'!A48,'Daftar Koreksi'!$G$5:$G$92,"Gedung dan Bangunan",'Daftar Koreksi'!$I$5:$I$92,"&lt;0")</f>
        <v>0</v>
      </c>
      <c r="G62" s="17">
        <f t="shared" si="2"/>
        <v>-2435204306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-55696588</v>
      </c>
      <c r="E63" s="25">
        <f>SUMIFS('Daftar Koreksi'!$I$5:$I$92,'Daftar Koreksi'!$D$5:$D$92,'3300'!A48,'Daftar Koreksi'!$G$5:$G$92,"Jalan Irigasi Jaringan",'Daftar Koreksi'!$I$5:$I$92,"&gt;0")</f>
        <v>0</v>
      </c>
      <c r="F63" s="25">
        <f>SUMIFS('Daftar Koreksi'!$I$5:$I$92,'Daftar Koreksi'!$D$5:$D$92,'3300'!A48,'Daftar Koreksi'!$G$5:$G$92,"Jalan Irigasi Jaringan",'Daftar Koreksi'!$I$5:$I$92,"&lt;0")-SUMIFS('Daftar Koreksi'!$I$5:$I$92,'Daftar Koreksi'!$D$5:$D$92,'3300'!A48,'Daftar Koreksi'!$G$5:$G$92,"Jalan Irigasi Jaringan",'Daftar Koreksi'!$I$5:$I$92,"&lt;0")-SUMIFS('Daftar Koreksi'!$I$5:$I$92,'Daftar Koreksi'!$D$5:$D$92,'3300'!A48,'Daftar Koreksi'!$G$5:$G$92,"Jalan Irigasi Jaringan",'Daftar Koreksi'!$I$5:$I$92,"&lt;0")</f>
        <v>0</v>
      </c>
      <c r="G63" s="17">
        <f t="shared" si="2"/>
        <v>-55696588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Koreksi'!$D$5:$D$92,'3300'!A48,'Daftar Koreksi'!$G$5:$G$92,"Aset Tetap Lainnya",'Daftar Koreksi'!$I$5:$I$92,"&gt;0")</f>
        <v>0</v>
      </c>
      <c r="F64" s="25">
        <f>SUMIFS('Daftar Koreksi'!$I$5:$I$92,'Daftar Koreksi'!$D$5:$D$92,'3300'!A48,'Daftar Koreksi'!$G$5:$G$92,"Aset Tetap Lainnya",'Daftar Koreksi'!$I$5:$I$92,"&lt;0")-SUMIFS('Daftar Koreksi'!$I$5:$I$92,'Daftar Koreksi'!$D$5:$D$92,'3300'!A48,'Daftar Koreksi'!$G$5:$G$92,"Aset Tetap Lainnya",'Daftar Koreksi'!$I$5:$I$92,"&lt;0")-SUMIFS('Daftar Koreksi'!$I$5:$I$92,'Daftar Koreksi'!$D$5:$D$92,'3300'!A48,'Daftar Koreksi'!$G$5:$G$92,"Aset Tetap Lainnya",'Daftar Koreksi'!$I$5:$I$92,"&lt;0")</f>
        <v>0</v>
      </c>
      <c r="G64" s="17">
        <f t="shared" si="2"/>
        <v>0</v>
      </c>
      <c r="H64" s="122"/>
    </row>
    <row r="65" spans="1:10" ht="21.95" customHeight="1">
      <c r="A65" s="14"/>
      <c r="B65" s="14"/>
      <c r="C65" s="16" t="s">
        <v>2020</v>
      </c>
      <c r="D65" s="17">
        <f>VLOOKUP(A48,'Neraca Unaudited SIMAK'!$A$2:$S$10004,17,FALSE)</f>
        <v>-70258480</v>
      </c>
      <c r="E65" s="25">
        <f>SUMIFS('Daftar Koreksi'!$I$5:$I$92,'Daftar Koreksi'!$D$5:$D$92,'3300'!A48,'Daftar Koreksi'!$G$5:$G$92,"Aset Henti Guna",'Daftar Koreksi'!$I$5:$I$92,"&gt;0")</f>
        <v>0</v>
      </c>
      <c r="F65" s="25">
        <f>SUMIFS('Daftar Koreksi'!$I$5:$I$92,'Daftar Koreksi'!$D$5:$D$92,'3300'!A48,'Daftar Koreksi'!$G$5:$G$92,"Aset Henti Guna",'Daftar Koreksi'!$I$5:$I$92,"&lt;0")-SUMIFS('Daftar Koreksi'!$I$5:$I$92,'Daftar Koreksi'!$D$5:$D$92,'3300'!A48,'Daftar Koreksi'!$G$5:$G$92,"Aset Henti Guna",'Daftar Koreksi'!$I$5:$I$92,"&lt;0")-SUMIFS('Daftar Koreksi'!$I$5:$I$92,'Daftar Koreksi'!$D$5:$D$92,'3300'!A48,'Daftar Koreksi'!$G$5:$G$92,"Aset Henti Guna",'Daftar Koreksi'!$I$5:$I$92,"&lt;0")</f>
        <v>0</v>
      </c>
      <c r="G65" s="17">
        <f t="shared" si="2"/>
        <v>-70258480</v>
      </c>
      <c r="H65" s="122"/>
    </row>
    <row r="66" spans="1:10" ht="21.95" customHeight="1">
      <c r="A66" s="14"/>
      <c r="B66" s="14"/>
      <c r="C66" s="18" t="s">
        <v>2094</v>
      </c>
      <c r="D66" s="19">
        <f>SUM(D61:D65)</f>
        <v>-4379386623</v>
      </c>
      <c r="E66" s="19">
        <f>SUM(E61:E65)</f>
        <v>0</v>
      </c>
      <c r="F66" s="19">
        <f>SUM(F61:F65)</f>
        <v>0</v>
      </c>
      <c r="G66" s="19">
        <f t="shared" si="2"/>
        <v>-4379386623</v>
      </c>
      <c r="H66" s="122"/>
    </row>
    <row r="67" spans="1:10" ht="21.95" customHeight="1">
      <c r="A67" s="14"/>
      <c r="B67" s="14"/>
      <c r="C67" s="18" t="s">
        <v>2095</v>
      </c>
      <c r="D67" s="19">
        <f>VLOOKUP(A48,'Neraca Unaudited SIMAK'!$A$2:$S$10004,18,FALSE)</f>
        <v>13250616969</v>
      </c>
      <c r="E67" s="19">
        <f>E66+E60</f>
        <v>0</v>
      </c>
      <c r="F67" s="19">
        <f>F66+F60</f>
        <v>0</v>
      </c>
      <c r="G67" s="19">
        <f t="shared" si="2"/>
        <v>13250616969</v>
      </c>
      <c r="H67" s="122"/>
    </row>
    <row r="68" spans="1:10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10" ht="19.5" customHeight="1">
      <c r="A70" s="11" t="str">
        <f>O4</f>
        <v>005013300402882000KD</v>
      </c>
      <c r="B70" s="11" t="str">
        <f>P4</f>
        <v>PA. Sorong</v>
      </c>
      <c r="C70" s="12" t="str">
        <f>A70&amp;" "&amp;B70</f>
        <v>005013300402882000KD PA. Sorong</v>
      </c>
      <c r="D70" s="13"/>
      <c r="E70" s="13"/>
      <c r="F70" s="13"/>
      <c r="G70" s="13"/>
      <c r="H70" s="11"/>
    </row>
    <row r="71" spans="1:10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10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10" ht="21.95" customHeight="1">
      <c r="A73" s="14"/>
      <c r="B73" s="14"/>
      <c r="C73" s="16" t="s">
        <v>1165</v>
      </c>
      <c r="D73" s="17">
        <f>VLOOKUP(A70,'Neraca Unaudited SIMAK'!$A$2:$S$10004,3,FALSE)</f>
        <v>1203150</v>
      </c>
      <c r="E73" s="25">
        <f>SUMIFS('Daftar Koreksi'!$H$5:$H$92,'Daftar Koreksi'!$D$5:$D$92,'3300'!A70,'Daftar Koreksi'!$G$5:$G$92,"Persediaan",'Daftar Koreksi'!$H$5:$H$92,"&gt;0")</f>
        <v>0</v>
      </c>
      <c r="F73" s="25">
        <f>SUMIFS('Daftar Koreksi'!$H$5:$H$92,'Daftar Koreksi'!$D$5:$D$92,'3300'!A70,'Daftar Koreksi'!$G$5:$G$92,"Persediaan",'Daftar Koreksi'!$H$5:$H$92,"&lt;0")-SUMIFS('Daftar Koreksi'!$H$5:$H$92,'Daftar Koreksi'!$D$5:$D$92,'3300'!A70,'Daftar Koreksi'!$G$5:$G$92,"Persediaan",'Daftar Koreksi'!$H$5:$H$92,"&lt;0")-SUMIFS('Daftar Koreksi'!$H$5:$H$92,'Daftar Koreksi'!$D$5:$D$92,'3300'!A70,'Daftar Koreksi'!$G$5:$G$92,"Persediaan",'Daftar Koreksi'!$H$5:$H$92,"&lt;0")</f>
        <v>0</v>
      </c>
      <c r="G73" s="17">
        <f>D73+E73-F73</f>
        <v>1203150</v>
      </c>
      <c r="H73" s="121" t="str">
        <f>IF(ISNA(VLOOKUP(A70,'Mutasi Neraca'!$A$3:$S$914,19,FALSE)),"-",VLOOKUP(A70,'Mutasi Neraca'!$A$3:$S$914,19,FALSE))</f>
        <v>-</v>
      </c>
      <c r="I73" s="28"/>
      <c r="J73" s="28"/>
    </row>
    <row r="74" spans="1:10" ht="21.95" customHeight="1">
      <c r="A74" s="14"/>
      <c r="B74" s="14"/>
      <c r="C74" s="16" t="s">
        <v>1166</v>
      </c>
      <c r="D74" s="17">
        <f>VLOOKUP(A70,'Neraca Unaudited SIMAK'!$A$2:$S$10004,4,FALSE)</f>
        <v>2153400000</v>
      </c>
      <c r="E74" s="25">
        <f>SUMIFS('Daftar Koreksi'!$H$5:$H$92,'Daftar Koreksi'!$D$5:$D$92,'3300'!A70,'Daftar Koreksi'!$G$5:$G$92,"Tanah",'Daftar Koreksi'!$H$5:$H$92,"&gt;0")</f>
        <v>0</v>
      </c>
      <c r="F74" s="25">
        <f>SUMIFS('Daftar Koreksi'!$H$5:$H$92,'Daftar Koreksi'!$D$5:$D$92,'3300'!A70,'Daftar Koreksi'!$G$5:$G$92,"Tanah",'Daftar Koreksi'!$H$5:$H$92,"&lt;0")-SUMIFS('Daftar Koreksi'!$H$5:$H$92,'Daftar Koreksi'!$D$5:$D$92,'3300'!A70,'Daftar Koreksi'!$G$5:$G$92,"Tanah",'Daftar Koreksi'!$H$5:$H$92,"&lt;0")-SUMIFS('Daftar Koreksi'!$H$5:$H$92,'Daftar Koreksi'!$D$5:$D$92,'3300'!A70,'Daftar Koreksi'!$G$5:$G$92,"Tanah",'Daftar Koreksi'!$H$5:$H$92,"&lt;0")</f>
        <v>0</v>
      </c>
      <c r="G74" s="17">
        <f t="shared" ref="G74:G90" si="3">D74+E74-F74</f>
        <v>2153400000</v>
      </c>
      <c r="H74" s="122"/>
      <c r="I74" s="28"/>
      <c r="J74" s="28"/>
    </row>
    <row r="75" spans="1:10" ht="21.95" customHeight="1">
      <c r="A75" s="14"/>
      <c r="B75" s="14"/>
      <c r="C75" s="16" t="s">
        <v>1167</v>
      </c>
      <c r="D75" s="17">
        <f>VLOOKUP(A70,'Neraca Unaudited SIMAK'!$A$2:$S$10004,5,FALSE)</f>
        <v>1633290023</v>
      </c>
      <c r="E75" s="25">
        <f>SUMIFS('Daftar Koreksi'!$H$5:$H$92,'Daftar Koreksi'!$D$5:$D$92,'3300'!A70,'Daftar Koreksi'!$G$5:$G$92,"Peralatan dan mesin",'Daftar Koreksi'!$H$5:$H$92,"&gt;0")</f>
        <v>0</v>
      </c>
      <c r="F75" s="25">
        <f>SUMIFS('Daftar Koreksi'!$H$5:$H$92,'Daftar Koreksi'!$D$5:$D$92,'3300'!A70,'Daftar Koreksi'!$G$5:$G$92,"Peralatan dan mesin",'Daftar Koreksi'!$H$5:$H$92,"&lt;0")-SUMIFS('Daftar Koreksi'!$H$5:$H$92,'Daftar Koreksi'!$D$5:$D$92,'3300'!A70,'Daftar Koreksi'!$G$5:$G$92,"Peralatan dan mesin",'Daftar Koreksi'!$H$5:$H$92,"&lt;0")-SUMIFS('Daftar Koreksi'!$H$5:$H$92,'Daftar Koreksi'!$D$5:$D$92,'3300'!A70,'Daftar Koreksi'!$G$5:$G$92,"Peralatan dan mesin",'Daftar Koreksi'!$H$5:$H$92,"&lt;0")</f>
        <v>0</v>
      </c>
      <c r="G75" s="17">
        <f t="shared" si="3"/>
        <v>1633290023</v>
      </c>
      <c r="H75" s="122"/>
      <c r="I75" s="28"/>
      <c r="J75" s="28"/>
    </row>
    <row r="76" spans="1:10" ht="21.95" customHeight="1">
      <c r="A76" s="14"/>
      <c r="B76" s="14"/>
      <c r="C76" s="16" t="s">
        <v>1168</v>
      </c>
      <c r="D76" s="17">
        <f>VLOOKUP(A70,'Neraca Unaudited SIMAK'!$A$2:$S$10004,6,FALSE)</f>
        <v>11199818460</v>
      </c>
      <c r="E76" s="25">
        <f>SUMIFS('Daftar Koreksi'!$H$5:$H$92,'Daftar Koreksi'!$D$5:$D$92,'3300'!A70,'Daftar Koreksi'!$G$5:$G$92,"Gedung dan Bangunan",'Daftar Koreksi'!$H$5:$H$92,"&gt;0")</f>
        <v>0</v>
      </c>
      <c r="F76" s="25">
        <f>SUMIFS('Daftar Koreksi'!$H$5:$H$92,'Daftar Koreksi'!$D$5:$D$92,'3300'!A70,'Daftar Koreksi'!$G$5:$G$92,"Gedung dan Bangunan",'Daftar Koreksi'!$H$5:$H$92,"&lt;0")-SUMIFS('Daftar Koreksi'!$H$5:$H$92,'Daftar Koreksi'!$D$5:$D$92,'3300'!A70,'Daftar Koreksi'!$G$5:$G$92,"Gedung dan Bangunan",'Daftar Koreksi'!$H$5:$H$92,"&lt;0")-SUMIFS('Daftar Koreksi'!$H$5:$H$92,'Daftar Koreksi'!$D$5:$D$92,'3300'!A70,'Daftar Koreksi'!$G$5:$G$92,"Gedung dan Bangunan",'Daftar Koreksi'!$H$5:$H$92,"&lt;0")</f>
        <v>0</v>
      </c>
      <c r="G76" s="17">
        <f t="shared" si="3"/>
        <v>11199818460</v>
      </c>
      <c r="H76" s="122"/>
      <c r="I76" s="28"/>
      <c r="J76" s="28"/>
    </row>
    <row r="77" spans="1:10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Koreksi'!$D$5:$D$92,'3300'!A70,'Daftar Koreksi'!$G$5:$G$92,"Jalan Irigasi Jaringan",'Daftar Koreksi'!$H$5:$H$92,"&gt;0")</f>
        <v>0</v>
      </c>
      <c r="F77" s="25">
        <f>SUMIFS('Daftar Koreksi'!$H$5:$H$92,'Daftar Koreksi'!$D$5:$D$92,'3300'!A70,'Daftar Koreksi'!$G$5:$G$92,"Jalan Irigasi Jaringan",'Daftar Koreksi'!$H$5:$H$92,"&lt;0")-SUMIFS('Daftar Koreksi'!$H$5:$H$92,'Daftar Koreksi'!$D$5:$D$92,'3300'!A70,'Daftar Koreksi'!$G$5:$G$92,"Jalan Irigasi Jaringan",'Daftar Koreksi'!$H$5:$H$92,"&lt;0")-SUMIFS('Daftar Koreksi'!$H$5:$H$92,'Daftar Koreksi'!$D$5:$D$92,'3300'!A70,'Daftar Koreksi'!$G$5:$G$92,"Jalan Irigasi Jaringan",'Daftar Koreksi'!$H$5:$H$92,"&lt;0")</f>
        <v>0</v>
      </c>
      <c r="G77" s="17">
        <f t="shared" si="3"/>
        <v>0</v>
      </c>
      <c r="H77" s="122"/>
      <c r="I77" s="28"/>
      <c r="J77" s="28"/>
    </row>
    <row r="78" spans="1:10" ht="21.95" customHeight="1">
      <c r="A78" s="14"/>
      <c r="B78" s="14"/>
      <c r="C78" s="16" t="s">
        <v>1170</v>
      </c>
      <c r="D78" s="17">
        <f>VLOOKUP(A70,'Neraca Unaudited SIMAK'!$A$2:$S$10004,8,FALSE)</f>
        <v>1787470</v>
      </c>
      <c r="E78" s="25">
        <f>SUMIFS('Daftar Koreksi'!$H$5:$H$92,'Daftar Koreksi'!$D$5:$D$92,'3300'!A70,'Daftar Koreksi'!$G$5:$G$92,"Aset Tetap Lainnya",'Daftar Koreksi'!$H$5:$H$92,"&gt;0")</f>
        <v>0</v>
      </c>
      <c r="F78" s="25">
        <f>SUMIFS('Daftar Koreksi'!$H$5:$H$92,'Daftar Koreksi'!$D$5:$D$92,'3300'!A70,'Daftar Koreksi'!$G$5:$G$92,"Aset Tetap Lainnya",'Daftar Koreksi'!$H$5:$H$92,"&lt;0")-SUMIFS('Daftar Koreksi'!$H$5:$H$92,'Daftar Koreksi'!$D$5:$D$92,'3300'!A70,'Daftar Koreksi'!$G$5:$G$92,"Aset Tetap Lainnya",'Daftar Koreksi'!$H$5:$H$92,"&lt;0")-SUMIFS('Daftar Koreksi'!$H$5:$H$92,'Daftar Koreksi'!$D$5:$D$92,'3300'!A70,'Daftar Koreksi'!$G$5:$G$92,"Aset Tetap Lainnya",'Daftar Koreksi'!$H$5:$H$92,"&lt;0")</f>
        <v>0</v>
      </c>
      <c r="G78" s="17">
        <f t="shared" si="3"/>
        <v>1787470</v>
      </c>
      <c r="H78" s="122"/>
      <c r="I78" s="28"/>
      <c r="J78" s="28"/>
    </row>
    <row r="79" spans="1:10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Koreksi'!$D$5:$D$92,'3300'!A70,'Daftar Koreksi'!$G$5:$G$92,"Kontruksi Dalam Pengerjaan",'Daftar Koreksi'!$H$5:$H$92,"&gt;0")</f>
        <v>0</v>
      </c>
      <c r="F79" s="25">
        <f>SUMIFS('Daftar Koreksi'!$H$5:$H$92,'Daftar Koreksi'!$D$5:$D$92,'3300'!A70,'Daftar Koreksi'!$G$5:$G$92,"Kontruksi Dalam Pengerjaan",'Daftar Koreksi'!$H$5:$H$92,"&lt;0")-SUMIFS('Daftar Koreksi'!$H$5:$H$92,'Daftar Koreksi'!$D$5:$D$92,'3300'!A70,'Daftar Koreksi'!$G$5:$G$92,"Kontruksi Dalam Pengerjaan",'Daftar Koreksi'!$H$5:$H$92,"&lt;0")-SUMIFS('Daftar Koreksi'!$H$5:$H$92,'Daftar Koreksi'!$D$5:$D$92,'3300'!A70,'Daftar Koreksi'!$G$5:$G$92,"Kontruksi Dalam Pengerjaan",'Daftar Koreksi'!$H$5:$H$92,"&lt;0")</f>
        <v>0</v>
      </c>
      <c r="G79" s="17">
        <f t="shared" si="3"/>
        <v>0</v>
      </c>
      <c r="H79" s="122"/>
      <c r="I79" s="28"/>
      <c r="J79" s="28"/>
    </row>
    <row r="80" spans="1:10" ht="21.95" customHeight="1">
      <c r="A80" s="14"/>
      <c r="B80" s="14"/>
      <c r="C80" s="16" t="s">
        <v>1172</v>
      </c>
      <c r="D80" s="17">
        <f>VLOOKUP(A70,'Neraca Unaudited SIMAK'!$A$2:$S$10004,10,FALSE)</f>
        <v>20750000</v>
      </c>
      <c r="E80" s="25">
        <f>SUMIFS('Daftar Koreksi'!$H$5:$H$92,'Daftar Koreksi'!$D$5:$D$92,'3300'!A70,'Daftar Koreksi'!$G$5:$G$92,"Aset Tak Berwujud",'Daftar Koreksi'!$H$5:$H$92,"&gt;0")</f>
        <v>0</v>
      </c>
      <c r="F80" s="25">
        <f>SUMIFS('Daftar Koreksi'!$H$5:$H$92,'Daftar Koreksi'!$D$5:$D$92,'3300'!A70,'Daftar Koreksi'!$G$5:$G$92,"Aset Tak Berwujud",'Daftar Koreksi'!$H$5:$H$92,"&lt;0")-SUMIFS('Daftar Koreksi'!$H$5:$H$92,'Daftar Koreksi'!$D$5:$D$92,'3300'!A70,'Daftar Koreksi'!$G$5:$G$92,"Aset Tak Berwujud",'Daftar Koreksi'!$H$5:$H$92,"&lt;0")-SUMIFS('Daftar Koreksi'!$H$5:$H$92,'Daftar Koreksi'!$D$5:$D$92,'3300'!A70,'Daftar Koreksi'!$G$5:$G$92,"Aset Tak Berwujud",'Daftar Koreksi'!$H$5:$H$92,"&lt;0")</f>
        <v>0</v>
      </c>
      <c r="G80" s="17">
        <f t="shared" si="3"/>
        <v>20750000</v>
      </c>
      <c r="H80" s="122"/>
      <c r="I80" s="28"/>
      <c r="J80" s="28"/>
    </row>
    <row r="81" spans="1:10" ht="21.95" customHeight="1">
      <c r="A81" s="14"/>
      <c r="B81" s="14"/>
      <c r="C81" s="16" t="s">
        <v>1173</v>
      </c>
      <c r="D81" s="17">
        <f>VLOOKUP(A70,'Neraca Unaudited SIMAK'!$A$2:$S$10004,11,FALSE)</f>
        <v>128083958</v>
      </c>
      <c r="E81" s="25">
        <f>SUMIFS('Daftar Koreksi'!$H$5:$H$92,'Daftar Koreksi'!$D$5:$D$92,'3300'!A70,'Daftar Koreksi'!$G$5:$G$92,"Aset Henti Guna",'Daftar Koreksi'!$H$5:$H$92,"&gt;0")</f>
        <v>0</v>
      </c>
      <c r="F81" s="25">
        <f>SUMIFS('Daftar Koreksi'!$H$5:$H$92,'Daftar Koreksi'!$D$5:$D$92,'3300'!A70,'Daftar Koreksi'!$G$5:$G$92,"Aset Henti Guna",'Daftar Koreksi'!$H$5:$H$92,"&lt;0")-SUMIFS('Daftar Koreksi'!$H$5:$H$92,'Daftar Koreksi'!$D$5:$D$92,'3300'!A70,'Daftar Koreksi'!$G$5:$G$92,"Aset Henti Guna",'Daftar Koreksi'!$H$5:$H$92,"&lt;0")-SUMIFS('Daftar Koreksi'!$H$5:$H$92,'Daftar Koreksi'!$D$5:$D$92,'3300'!A70,'Daftar Koreksi'!$G$5:$G$92,"Aset Henti Guna",'Daftar Koreksi'!$H$5:$H$92,"&lt;0")</f>
        <v>0</v>
      </c>
      <c r="G81" s="17">
        <f t="shared" si="3"/>
        <v>128083958</v>
      </c>
      <c r="H81" s="122"/>
      <c r="I81" s="28"/>
      <c r="J81" s="28"/>
    </row>
    <row r="82" spans="1:10" ht="21.95" customHeight="1">
      <c r="A82" s="14"/>
      <c r="B82" s="14"/>
      <c r="C82" s="18" t="s">
        <v>2093</v>
      </c>
      <c r="D82" s="19">
        <f>VLOOKUP(A70,'Neraca Unaudited SIMAK'!$A$2:$S$10004,12,FALSE)</f>
        <v>15138333061</v>
      </c>
      <c r="E82" s="19">
        <f>SUM(E73:E81)</f>
        <v>0</v>
      </c>
      <c r="F82" s="19">
        <f>SUM(F73:F81)</f>
        <v>0</v>
      </c>
      <c r="G82" s="19">
        <f t="shared" si="3"/>
        <v>15138333061</v>
      </c>
      <c r="H82" s="122"/>
      <c r="I82" s="28"/>
      <c r="J82" s="28"/>
    </row>
    <row r="83" spans="1:10" ht="21.95" customHeight="1">
      <c r="A83" s="14"/>
      <c r="B83" s="14"/>
      <c r="C83" s="16" t="s">
        <v>2087</v>
      </c>
      <c r="D83" s="17">
        <f>VLOOKUP(A70,'Neraca Unaudited SIMAK'!$A$2:$S$10004,13,FALSE)</f>
        <v>-871946514</v>
      </c>
      <c r="E83" s="25">
        <f>SUMIFS('Daftar Koreksi'!$I$5:$I$92,'Daftar Koreksi'!$D$5:$D$92,'3300'!A70,'Daftar Koreksi'!$G$5:$G$92,"Peralatan dan mesin",'Daftar Koreksi'!$I$5:$I$92,"&gt;0")</f>
        <v>0</v>
      </c>
      <c r="F83" s="25">
        <f>SUMIFS('Daftar Koreksi'!$I$5:$I$92,'Daftar Koreksi'!$D$5:$D$92,'3300'!A70,'Daftar Koreksi'!$G$5:$G$92,"Peralatan dan mesin",'Daftar Koreksi'!$I$5:$I$92,"&lt;0")-SUMIFS('Daftar Koreksi'!$I$5:$I$92,'Daftar Koreksi'!$D$5:$D$92,'3300'!A70,'Daftar Koreksi'!$G$5:$G$92,"Peralatan dan mesin",'Daftar Koreksi'!$I$5:$I$92,"&lt;0")-SUMIFS('Daftar Koreksi'!$I$5:$I$92,'Daftar Koreksi'!$D$5:$D$92,'3300'!A70,'Daftar Koreksi'!$G$5:$G$92,"Peralatan dan mesin",'Daftar Koreksi'!$I$5:$I$92,"&lt;0")</f>
        <v>0</v>
      </c>
      <c r="G83" s="17">
        <f t="shared" si="3"/>
        <v>-871946514</v>
      </c>
      <c r="H83" s="122"/>
      <c r="I83" s="28"/>
      <c r="J83" s="28"/>
    </row>
    <row r="84" spans="1:10" ht="21.95" customHeight="1">
      <c r="A84" s="14"/>
      <c r="B84" s="14"/>
      <c r="C84" s="16" t="s">
        <v>2088</v>
      </c>
      <c r="D84" s="17">
        <f>VLOOKUP(A70,'Neraca Unaudited SIMAK'!$A$2:$S$10004,14,FALSE)</f>
        <v>-1032496915</v>
      </c>
      <c r="E84" s="25">
        <f>SUMIFS('Daftar Koreksi'!$I$5:$I$92,'Daftar Koreksi'!$D$5:$D$92,'3300'!A70,'Daftar Koreksi'!$G$5:$G$92,"Gedung dan Bangunan",'Daftar Koreksi'!$I$5:$I$92,"&gt;0")</f>
        <v>0</v>
      </c>
      <c r="F84" s="25">
        <f>SUMIFS('Daftar Koreksi'!$I$5:$I$92,'Daftar Koreksi'!$D$5:$D$92,'3300'!A70,'Daftar Koreksi'!$G$5:$G$92,"Gedung dan Bangunan",'Daftar Koreksi'!$I$5:$I$92,"&lt;0")-SUMIFS('Daftar Koreksi'!$I$5:$I$92,'Daftar Koreksi'!$D$5:$D$92,'3300'!A70,'Daftar Koreksi'!$G$5:$G$92,"Gedung dan Bangunan",'Daftar Koreksi'!$I$5:$I$92,"&lt;0")-SUMIFS('Daftar Koreksi'!$I$5:$I$92,'Daftar Koreksi'!$D$5:$D$92,'3300'!A70,'Daftar Koreksi'!$G$5:$G$92,"Gedung dan Bangunan",'Daftar Koreksi'!$I$5:$I$92,"&lt;0")</f>
        <v>0</v>
      </c>
      <c r="G84" s="17">
        <f t="shared" si="3"/>
        <v>-1032496915</v>
      </c>
      <c r="H84" s="122"/>
      <c r="I84" s="28"/>
      <c r="J84" s="28"/>
    </row>
    <row r="85" spans="1:10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Koreksi'!$D$5:$D$92,'3300'!A70,'Daftar Koreksi'!$G$5:$G$92,"Jalan Irigasi Jaringan",'Daftar Koreksi'!$I$5:$I$92,"&gt;0")</f>
        <v>0</v>
      </c>
      <c r="F85" s="25">
        <f>SUMIFS('Daftar Koreksi'!$I$5:$I$92,'Daftar Koreksi'!$D$5:$D$92,'3300'!A70,'Daftar Koreksi'!$G$5:$G$92,"Jalan Irigasi Jaringan",'Daftar Koreksi'!$I$5:$I$92,"&lt;0")-SUMIFS('Daftar Koreksi'!$I$5:$I$92,'Daftar Koreksi'!$D$5:$D$92,'3300'!A70,'Daftar Koreksi'!$G$5:$G$92,"Jalan Irigasi Jaringan",'Daftar Koreksi'!$I$5:$I$92,"&lt;0")-SUMIFS('Daftar Koreksi'!$I$5:$I$92,'Daftar Koreksi'!$D$5:$D$92,'3300'!A70,'Daftar Koreksi'!$G$5:$G$92,"Jalan Irigasi Jaringan",'Daftar Koreksi'!$I$5:$I$92,"&lt;0")</f>
        <v>0</v>
      </c>
      <c r="G85" s="17">
        <f t="shared" si="3"/>
        <v>0</v>
      </c>
      <c r="H85" s="122"/>
      <c r="I85" s="28"/>
      <c r="J85" s="28"/>
    </row>
    <row r="86" spans="1:10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Koreksi'!$D$5:$D$92,'3300'!A70,'Daftar Koreksi'!$G$5:$G$92,"Aset Tetap Lainnya",'Daftar Koreksi'!$I$5:$I$92,"&gt;0")</f>
        <v>0</v>
      </c>
      <c r="F86" s="25">
        <f>SUMIFS('Daftar Koreksi'!$I$5:$I$92,'Daftar Koreksi'!$D$5:$D$92,'3300'!A70,'Daftar Koreksi'!$G$5:$G$92,"Aset Tetap Lainnya",'Daftar Koreksi'!$I$5:$I$92,"&lt;0")-SUMIFS('Daftar Koreksi'!$I$5:$I$92,'Daftar Koreksi'!$D$5:$D$92,'3300'!A70,'Daftar Koreksi'!$G$5:$G$92,"Aset Tetap Lainnya",'Daftar Koreksi'!$I$5:$I$92,"&lt;0")-SUMIFS('Daftar Koreksi'!$I$5:$I$92,'Daftar Koreksi'!$D$5:$D$92,'3300'!A70,'Daftar Koreksi'!$G$5:$G$92,"Aset Tetap Lainnya",'Daftar Koreksi'!$I$5:$I$92,"&lt;0")</f>
        <v>0</v>
      </c>
      <c r="G86" s="17">
        <f t="shared" si="3"/>
        <v>0</v>
      </c>
      <c r="H86" s="122"/>
      <c r="I86" s="28"/>
      <c r="J86" s="28"/>
    </row>
    <row r="87" spans="1:10" ht="21.95" customHeight="1">
      <c r="A87" s="14"/>
      <c r="B87" s="14"/>
      <c r="C87" s="16" t="s">
        <v>2020</v>
      </c>
      <c r="D87" s="17">
        <f>VLOOKUP(A70,'Neraca Unaudited SIMAK'!$A$2:$S$10004,17,FALSE)</f>
        <v>-128083958</v>
      </c>
      <c r="E87" s="25">
        <f>SUMIFS('Daftar Koreksi'!$I$5:$I$92,'Daftar Koreksi'!$D$5:$D$92,'3300'!A70,'Daftar Koreksi'!$G$5:$G$92,"Aset Henti Guna",'Daftar Koreksi'!$I$5:$I$92,"&gt;0")</f>
        <v>0</v>
      </c>
      <c r="F87" s="25">
        <f>SUMIFS('Daftar Koreksi'!$I$5:$I$92,'Daftar Koreksi'!$D$5:$D$92,'3300'!A70,'Daftar Koreksi'!$G$5:$G$92,"Aset Henti Guna",'Daftar Koreksi'!$I$5:$I$92,"&lt;0")-SUMIFS('Daftar Koreksi'!$I$5:$I$92,'Daftar Koreksi'!$D$5:$D$92,'3300'!A70,'Daftar Koreksi'!$G$5:$G$92,"Aset Henti Guna",'Daftar Koreksi'!$I$5:$I$92,"&lt;0")-SUMIFS('Daftar Koreksi'!$I$5:$I$92,'Daftar Koreksi'!$D$5:$D$92,'3300'!A70,'Daftar Koreksi'!$G$5:$G$92,"Aset Henti Guna",'Daftar Koreksi'!$I$5:$I$92,"&lt;0")</f>
        <v>0</v>
      </c>
      <c r="G87" s="17">
        <f t="shared" si="3"/>
        <v>-128083958</v>
      </c>
      <c r="H87" s="122"/>
      <c r="I87" s="28"/>
      <c r="J87" s="28"/>
    </row>
    <row r="88" spans="1:10" ht="21.95" customHeight="1">
      <c r="A88" s="14"/>
      <c r="B88" s="14"/>
      <c r="C88" s="18" t="s">
        <v>2094</v>
      </c>
      <c r="D88" s="19">
        <f>SUM(D83:D87)</f>
        <v>-2032527387</v>
      </c>
      <c r="E88" s="19">
        <f>SUM(E83:E87)</f>
        <v>0</v>
      </c>
      <c r="F88" s="19">
        <f>SUM(F83:F87)</f>
        <v>0</v>
      </c>
      <c r="G88" s="19">
        <f t="shared" si="3"/>
        <v>-2032527387</v>
      </c>
      <c r="H88" s="122"/>
      <c r="I88" s="28"/>
      <c r="J88" s="28"/>
    </row>
    <row r="89" spans="1:10" ht="21.95" customHeight="1">
      <c r="A89" s="14"/>
      <c r="B89" s="14"/>
      <c r="C89" s="18" t="s">
        <v>2095</v>
      </c>
      <c r="D89" s="19">
        <f>VLOOKUP(A70,'Neraca Unaudited SIMAK'!$A$2:$S$10004,18,FALSE)</f>
        <v>13105805674</v>
      </c>
      <c r="E89" s="19">
        <f>E88+E82</f>
        <v>0</v>
      </c>
      <c r="F89" s="19">
        <f>F88+F82</f>
        <v>0</v>
      </c>
      <c r="G89" s="19">
        <f t="shared" si="3"/>
        <v>13105805674</v>
      </c>
      <c r="H89" s="122"/>
      <c r="I89" s="28"/>
      <c r="J89" s="28"/>
    </row>
    <row r="90" spans="1:10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  <c r="I90" s="28"/>
      <c r="J90" s="28"/>
    </row>
    <row r="92" spans="1:10" ht="19.5" customHeight="1">
      <c r="A92" s="11" t="str">
        <f>O5</f>
        <v>005013300402902000KD</v>
      </c>
      <c r="B92" s="11" t="str">
        <f>P5</f>
        <v>PA. Fak-fak</v>
      </c>
      <c r="C92" s="12" t="str">
        <f>A92&amp;" "&amp;B92</f>
        <v>005013300402902000KD PA. Fak-fak</v>
      </c>
      <c r="D92" s="13"/>
      <c r="E92" s="13"/>
      <c r="F92" s="13"/>
      <c r="G92" s="13"/>
      <c r="H92" s="11"/>
    </row>
    <row r="93" spans="1:10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10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10" ht="21.95" customHeight="1">
      <c r="A95" s="14"/>
      <c r="B95" s="14"/>
      <c r="C95" s="16" t="s">
        <v>1165</v>
      </c>
      <c r="D95" s="17">
        <f>VLOOKUP(A92,'Neraca Unaudited SIMAK'!$A$2:$S$10004,3,FALSE)</f>
        <v>450000</v>
      </c>
      <c r="E95" s="25">
        <f>SUMIFS('Daftar Koreksi'!$H$5:$H$92,'Daftar Koreksi'!$D$5:$D$92,'3300'!A92,'Daftar Koreksi'!$G$5:$G$92,"Persediaan",'Daftar Koreksi'!$H$5:$H$92,"&gt;0")</f>
        <v>0</v>
      </c>
      <c r="F95" s="25">
        <f>SUMIFS('Daftar Koreksi'!$H$5:$H$92,'Daftar Koreksi'!$D$5:$D$92,'3300'!A92,'Daftar Koreksi'!$G$5:$G$92,"Persediaan",'Daftar Koreksi'!$H$5:$H$92,"&lt;0")-SUMIFS('Daftar Koreksi'!$H$5:$H$92,'Daftar Koreksi'!$D$5:$D$92,'3300'!A92,'Daftar Koreksi'!$G$5:$G$92,"Persediaan",'Daftar Koreksi'!$H$5:$H$92,"&lt;0")-SUMIFS('Daftar Koreksi'!$H$5:$H$92,'Daftar Koreksi'!$D$5:$D$92,'3300'!A92,'Daftar Koreksi'!$G$5:$G$92,"Persediaan",'Daftar Koreksi'!$H$5:$H$92,"&lt;0")</f>
        <v>0</v>
      </c>
      <c r="G95" s="17">
        <f>D95+E95-F95</f>
        <v>450000</v>
      </c>
      <c r="H95" s="121" t="str">
        <f>IF(ISNA(VLOOKUP(A92,'Mutasi Neraca'!$A$3:$S$914,19,FALSE)),"-",VLOOKUP(A92,'Mutasi Neraca'!$A$3:$S$914,19,FALSE))</f>
        <v>-</v>
      </c>
    </row>
    <row r="96" spans="1:10" ht="21.95" customHeight="1">
      <c r="A96" s="14"/>
      <c r="B96" s="14"/>
      <c r="C96" s="16" t="s">
        <v>1166</v>
      </c>
      <c r="D96" s="17">
        <f>VLOOKUP(A92,'Neraca Unaudited SIMAK'!$A$2:$S$10004,4,FALSE)</f>
        <v>884967000</v>
      </c>
      <c r="E96" s="25">
        <f>SUMIFS('Daftar Koreksi'!$H$5:$H$92,'Daftar Koreksi'!$D$5:$D$92,'3300'!A92,'Daftar Koreksi'!$G$5:$G$92,"Tanah",'Daftar Koreksi'!$H$5:$H$92,"&gt;0")</f>
        <v>0</v>
      </c>
      <c r="F96" s="25">
        <f>SUMIFS('Daftar Koreksi'!$H$5:$H$92,'Daftar Koreksi'!$D$5:$D$92,'3300'!A92,'Daftar Koreksi'!$G$5:$G$92,"Tanah",'Daftar Koreksi'!$H$5:$H$92,"&lt;0")-SUMIFS('Daftar Koreksi'!$H$5:$H$92,'Daftar Koreksi'!$D$5:$D$92,'3300'!A92,'Daftar Koreksi'!$G$5:$G$92,"Tanah",'Daftar Koreksi'!$H$5:$H$92,"&lt;0")-SUMIFS('Daftar Koreksi'!$H$5:$H$92,'Daftar Koreksi'!$D$5:$D$92,'3300'!A92,'Daftar Koreksi'!$G$5:$G$92,"Tanah",'Daftar Koreksi'!$H$5:$H$92,"&lt;0")</f>
        <v>0</v>
      </c>
      <c r="G96" s="17">
        <f t="shared" ref="G96:G112" si="4">D96+E96-F96</f>
        <v>884967000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1949181478</v>
      </c>
      <c r="E97" s="25">
        <f>SUMIFS('Daftar Koreksi'!$H$5:$H$92,'Daftar Koreksi'!$D$5:$D$92,'3300'!A92,'Daftar Koreksi'!$G$5:$G$92,"Peralatan dan mesin",'Daftar Koreksi'!$H$5:$H$92,"&gt;0")</f>
        <v>0</v>
      </c>
      <c r="F97" s="25">
        <f>SUMIFS('Daftar Koreksi'!$H$5:$H$92,'Daftar Koreksi'!$D$5:$D$92,'3300'!A92,'Daftar Koreksi'!$G$5:$G$92,"Peralatan dan mesin",'Daftar Koreksi'!$H$5:$H$92,"&lt;0")-SUMIFS('Daftar Koreksi'!$H$5:$H$92,'Daftar Koreksi'!$D$5:$D$92,'3300'!A92,'Daftar Koreksi'!$G$5:$G$92,"Peralatan dan mesin",'Daftar Koreksi'!$H$5:$H$92,"&lt;0")-SUMIFS('Daftar Koreksi'!$H$5:$H$92,'Daftar Koreksi'!$D$5:$D$92,'3300'!A92,'Daftar Koreksi'!$G$5:$G$92,"Peralatan dan mesin",'Daftar Koreksi'!$H$5:$H$92,"&lt;0")</f>
        <v>0</v>
      </c>
      <c r="G97" s="17">
        <f t="shared" si="4"/>
        <v>1949181478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12289822118</v>
      </c>
      <c r="E98" s="25">
        <f>SUMIFS('Daftar Koreksi'!$H$5:$H$92,'Daftar Koreksi'!$D$5:$D$92,'3300'!A92,'Daftar Koreksi'!$G$5:$G$92,"Gedung dan Bangunan",'Daftar Koreksi'!$H$5:$H$92,"&gt;0")</f>
        <v>0</v>
      </c>
      <c r="F98" s="25">
        <f>SUMIFS('Daftar Koreksi'!$H$5:$H$92,'Daftar Koreksi'!$D$5:$D$92,'3300'!A92,'Daftar Koreksi'!$G$5:$G$92,"Gedung dan Bangunan",'Daftar Koreksi'!$H$5:$H$92,"&lt;0")-SUMIFS('Daftar Koreksi'!$H$5:$H$92,'Daftar Koreksi'!$D$5:$D$92,'3300'!A92,'Daftar Koreksi'!$G$5:$G$92,"Gedung dan Bangunan",'Daftar Koreksi'!$H$5:$H$92,"&lt;0")-SUMIFS('Daftar Koreksi'!$H$5:$H$92,'Daftar Koreksi'!$D$5:$D$92,'3300'!A92,'Daftar Koreksi'!$G$5:$G$92,"Gedung dan Bangunan",'Daftar Koreksi'!$H$5:$H$92,"&lt;0")</f>
        <v>0</v>
      </c>
      <c r="G98" s="17">
        <f t="shared" si="4"/>
        <v>12289822118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15356365</v>
      </c>
      <c r="E99" s="25">
        <f>SUMIFS('Daftar Koreksi'!$H$5:$H$92,'Daftar Koreksi'!$D$5:$D$92,'3300'!A92,'Daftar Koreksi'!$G$5:$G$92,"Jalan Irigasi Jaringan",'Daftar Koreksi'!$H$5:$H$92,"&gt;0")</f>
        <v>0</v>
      </c>
      <c r="F99" s="25">
        <f>SUMIFS('Daftar Koreksi'!$H$5:$H$92,'Daftar Koreksi'!$D$5:$D$92,'3300'!A92,'Daftar Koreksi'!$G$5:$G$92,"Jalan Irigasi Jaringan",'Daftar Koreksi'!$H$5:$H$92,"&lt;0")-SUMIFS('Daftar Koreksi'!$H$5:$H$92,'Daftar Koreksi'!$D$5:$D$92,'3300'!A92,'Daftar Koreksi'!$G$5:$G$92,"Jalan Irigasi Jaringan",'Daftar Koreksi'!$H$5:$H$92,"&lt;0")-SUMIFS('Daftar Koreksi'!$H$5:$H$92,'Daftar Koreksi'!$D$5:$D$92,'3300'!A92,'Daftar Koreksi'!$G$5:$G$92,"Jalan Irigasi Jaringan",'Daftar Koreksi'!$H$5:$H$92,"&lt;0")</f>
        <v>0</v>
      </c>
      <c r="G99" s="17">
        <f t="shared" si="4"/>
        <v>15356365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3266678</v>
      </c>
      <c r="E100" s="25">
        <f>SUMIFS('Daftar Koreksi'!$H$5:$H$92,'Daftar Koreksi'!$D$5:$D$92,'3300'!A92,'Daftar Koreksi'!$G$5:$G$92,"Aset Tetap Lainnya",'Daftar Koreksi'!$H$5:$H$92,"&gt;0")</f>
        <v>0</v>
      </c>
      <c r="F100" s="25">
        <f>SUMIFS('Daftar Koreksi'!$H$5:$H$92,'Daftar Koreksi'!$D$5:$D$92,'3300'!A92,'Daftar Koreksi'!$G$5:$G$92,"Aset Tetap Lainnya",'Daftar Koreksi'!$H$5:$H$92,"&lt;0")-SUMIFS('Daftar Koreksi'!$H$5:$H$92,'Daftar Koreksi'!$D$5:$D$92,'3300'!A92,'Daftar Koreksi'!$G$5:$G$92,"Aset Tetap Lainnya",'Daftar Koreksi'!$H$5:$H$92,"&lt;0")-SUMIFS('Daftar Koreksi'!$H$5:$H$92,'Daftar Koreksi'!$D$5:$D$92,'3300'!A92,'Daftar Koreksi'!$G$5:$G$92,"Aset Tetap Lainnya",'Daftar Koreksi'!$H$5:$H$92,"&lt;0")</f>
        <v>0</v>
      </c>
      <c r="G100" s="17">
        <f t="shared" si="4"/>
        <v>3266678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Koreksi'!$D$5:$D$92,'3300'!A92,'Daftar Koreksi'!$G$5:$G$92,"Kontruksi Dalam Pengerjaan",'Daftar Koreksi'!$H$5:$H$92,"&gt;0")</f>
        <v>0</v>
      </c>
      <c r="F101" s="25">
        <f>SUMIFS('Daftar Koreksi'!$H$5:$H$92,'Daftar Koreksi'!$D$5:$D$92,'3300'!A92,'Daftar Koreksi'!$G$5:$G$92,"Kontruksi Dalam Pengerjaan",'Daftar Koreksi'!$H$5:$H$92,"&lt;0")-SUMIFS('Daftar Koreksi'!$H$5:$H$92,'Daftar Koreksi'!$D$5:$D$92,'3300'!A92,'Daftar Koreksi'!$G$5:$G$92,"Kontruksi Dalam Pengerjaan",'Daftar Koreksi'!$H$5:$H$92,"&lt;0")-SUMIFS('Daftar Koreksi'!$H$5:$H$92,'Daftar Koreksi'!$D$5:$D$92,'3300'!A92,'Daftar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Koreksi'!$D$5:$D$92,'3300'!A92,'Daftar Koreksi'!$G$5:$G$92,"Aset Tak Berwujud",'Daftar Koreksi'!$H$5:$H$92,"&gt;0")</f>
        <v>0</v>
      </c>
      <c r="F102" s="25">
        <f>SUMIFS('Daftar Koreksi'!$H$5:$H$92,'Daftar Koreksi'!$D$5:$D$92,'3300'!A92,'Daftar Koreksi'!$G$5:$G$92,"Aset Tak Berwujud",'Daftar Koreksi'!$H$5:$H$92,"&lt;0")-SUMIFS('Daftar Koreksi'!$H$5:$H$92,'Daftar Koreksi'!$D$5:$D$92,'3300'!A92,'Daftar Koreksi'!$G$5:$G$92,"Aset Tak Berwujud",'Daftar Koreksi'!$H$5:$H$92,"&lt;0")-SUMIFS('Daftar Koreksi'!$H$5:$H$92,'Daftar Koreksi'!$D$5:$D$92,'3300'!A92,'Daftar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54792027</v>
      </c>
      <c r="E103" s="25">
        <f>SUMIFS('Daftar Koreksi'!$H$5:$H$92,'Daftar Koreksi'!$D$5:$D$92,'3300'!A92,'Daftar Koreksi'!$G$5:$G$92,"Aset Henti Guna",'Daftar Koreksi'!$H$5:$H$92,"&gt;0")</f>
        <v>0</v>
      </c>
      <c r="F103" s="25">
        <f>SUMIFS('Daftar Koreksi'!$H$5:$H$92,'Daftar Koreksi'!$D$5:$D$92,'3300'!A92,'Daftar Koreksi'!$G$5:$G$92,"Aset Henti Guna",'Daftar Koreksi'!$H$5:$H$92,"&lt;0")-SUMIFS('Daftar Koreksi'!$H$5:$H$92,'Daftar Koreksi'!$D$5:$D$92,'3300'!A92,'Daftar Koreksi'!$G$5:$G$92,"Aset Henti Guna",'Daftar Koreksi'!$H$5:$H$92,"&lt;0")-SUMIFS('Daftar Koreksi'!$H$5:$H$92,'Daftar Koreksi'!$D$5:$D$92,'3300'!A92,'Daftar Koreksi'!$G$5:$G$92,"Aset Henti Guna",'Daftar Koreksi'!$H$5:$H$92,"&lt;0")</f>
        <v>0</v>
      </c>
      <c r="G103" s="17">
        <f t="shared" si="4"/>
        <v>54792027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15197835666</v>
      </c>
      <c r="E104" s="19">
        <f>SUM(E95:E103)</f>
        <v>0</v>
      </c>
      <c r="F104" s="19">
        <f>SUM(F95:F103)</f>
        <v>0</v>
      </c>
      <c r="G104" s="19">
        <f t="shared" si="4"/>
        <v>15197835666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-1219672200</v>
      </c>
      <c r="E105" s="25">
        <f>SUMIFS('Daftar Koreksi'!$I$5:$I$92,'Daftar Koreksi'!$D$5:$D$92,'3300'!A92,'Daftar Koreksi'!$G$5:$G$92,"Peralatan dan mesin",'Daftar Koreksi'!$I$5:$I$92,"&gt;0")</f>
        <v>0</v>
      </c>
      <c r="F105" s="25">
        <f>SUMIFS('Daftar Koreksi'!$I$5:$I$92,'Daftar Koreksi'!$D$5:$D$92,'3300'!A92,'Daftar Koreksi'!$G$5:$G$92,"Peralatan dan mesin",'Daftar Koreksi'!$I$5:$I$92,"&lt;0")-SUMIFS('Daftar Koreksi'!$I$5:$I$92,'Daftar Koreksi'!$D$5:$D$92,'3300'!A92,'Daftar Koreksi'!$G$5:$G$92,"Peralatan dan mesin",'Daftar Koreksi'!$I$5:$I$92,"&lt;0")-SUMIFS('Daftar Koreksi'!$I$5:$I$92,'Daftar Koreksi'!$D$5:$D$92,'3300'!A92,'Daftar Koreksi'!$G$5:$G$92,"Peralatan dan mesin",'Daftar Koreksi'!$I$5:$I$92,"&lt;0")</f>
        <v>0</v>
      </c>
      <c r="G105" s="17">
        <f t="shared" si="4"/>
        <v>-1219672200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-640689483</v>
      </c>
      <c r="E106" s="25">
        <f>SUMIFS('Daftar Koreksi'!$I$5:$I$92,'Daftar Koreksi'!$D$5:$D$92,'3300'!A92,'Daftar Koreksi'!$G$5:$G$92,"Gedung dan Bangunan",'Daftar Koreksi'!$I$5:$I$92,"&gt;0")</f>
        <v>0</v>
      </c>
      <c r="F106" s="25">
        <f>SUMIFS('Daftar Koreksi'!$I$5:$I$92,'Daftar Koreksi'!$D$5:$D$92,'3300'!A92,'Daftar Koreksi'!$G$5:$G$92,"Gedung dan Bangunan",'Daftar Koreksi'!$I$5:$I$92,"&lt;0")-SUMIFS('Daftar Koreksi'!$I$5:$I$92,'Daftar Koreksi'!$D$5:$D$92,'3300'!A92,'Daftar Koreksi'!$G$5:$G$92,"Gedung dan Bangunan",'Daftar Koreksi'!$I$5:$I$92,"&lt;0")-SUMIFS('Daftar Koreksi'!$I$5:$I$92,'Daftar Koreksi'!$D$5:$D$92,'3300'!A92,'Daftar Koreksi'!$G$5:$G$92,"Gedung dan Bangunan",'Daftar Koreksi'!$I$5:$I$92,"&lt;0")</f>
        <v>0</v>
      </c>
      <c r="G106" s="17">
        <f t="shared" si="4"/>
        <v>-640689483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-2879323</v>
      </c>
      <c r="E107" s="25">
        <f>SUMIFS('Daftar Koreksi'!$I$5:$I$92,'Daftar Koreksi'!$D$5:$D$92,'3300'!A92,'Daftar Koreksi'!$G$5:$G$92,"Jalan Irigasi Jaringan",'Daftar Koreksi'!$I$5:$I$92,"&gt;0")</f>
        <v>0</v>
      </c>
      <c r="F107" s="25">
        <f>SUMIFS('Daftar Koreksi'!$I$5:$I$92,'Daftar Koreksi'!$D$5:$D$92,'3300'!A92,'Daftar Koreksi'!$G$5:$G$92,"Jalan Irigasi Jaringan",'Daftar Koreksi'!$I$5:$I$92,"&lt;0")-SUMIFS('Daftar Koreksi'!$I$5:$I$92,'Daftar Koreksi'!$D$5:$D$92,'3300'!A92,'Daftar Koreksi'!$G$5:$G$92,"Jalan Irigasi Jaringan",'Daftar Koreksi'!$I$5:$I$92,"&lt;0")-SUMIFS('Daftar Koreksi'!$I$5:$I$92,'Daftar Koreksi'!$D$5:$D$92,'3300'!A92,'Daftar Koreksi'!$G$5:$G$92,"Jalan Irigasi Jaringan",'Daftar Koreksi'!$I$5:$I$92,"&lt;0")</f>
        <v>0</v>
      </c>
      <c r="G107" s="17">
        <f t="shared" si="4"/>
        <v>-2879323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Koreksi'!$D$5:$D$92,'3300'!A92,'Daftar Koreksi'!$G$5:$G$92,"Aset Tetap Lainnya",'Daftar Koreksi'!$I$5:$I$92,"&gt;0")</f>
        <v>0</v>
      </c>
      <c r="F108" s="25">
        <f>SUMIFS('Daftar Koreksi'!$I$5:$I$92,'Daftar Koreksi'!$D$5:$D$92,'3300'!A92,'Daftar Koreksi'!$G$5:$G$92,"Aset Tetap Lainnya",'Daftar Koreksi'!$I$5:$I$92,"&lt;0")-SUMIFS('Daftar Koreksi'!$I$5:$I$92,'Daftar Koreksi'!$D$5:$D$92,'3300'!A92,'Daftar Koreksi'!$G$5:$G$92,"Aset Tetap Lainnya",'Daftar Koreksi'!$I$5:$I$92,"&lt;0")-SUMIFS('Daftar Koreksi'!$I$5:$I$92,'Daftar Koreksi'!$D$5:$D$92,'3300'!A92,'Daftar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-54792027</v>
      </c>
      <c r="E109" s="25">
        <f>SUMIFS('Daftar Koreksi'!$I$5:$I$92,'Daftar Koreksi'!$D$5:$D$92,'3300'!A92,'Daftar Koreksi'!$G$5:$G$92,"Aset Henti Guna",'Daftar Koreksi'!$I$5:$I$92,"&gt;0")</f>
        <v>0</v>
      </c>
      <c r="F109" s="25">
        <f>SUMIFS('Daftar Koreksi'!$I$5:$I$92,'Daftar Koreksi'!$D$5:$D$92,'3300'!A92,'Daftar Koreksi'!$G$5:$G$92,"Aset Henti Guna",'Daftar Koreksi'!$I$5:$I$92,"&lt;0")-SUMIFS('Daftar Koreksi'!$I$5:$I$92,'Daftar Koreksi'!$D$5:$D$92,'3300'!A92,'Daftar Koreksi'!$G$5:$G$92,"Aset Henti Guna",'Daftar Koreksi'!$I$5:$I$92,"&lt;0")-SUMIFS('Daftar Koreksi'!$I$5:$I$92,'Daftar Koreksi'!$D$5:$D$92,'3300'!A92,'Daftar Koreksi'!$G$5:$G$92,"Aset Henti Guna",'Daftar Koreksi'!$I$5:$I$92,"&lt;0")</f>
        <v>0</v>
      </c>
      <c r="G109" s="17">
        <f t="shared" si="4"/>
        <v>-54792027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-1918033033</v>
      </c>
      <c r="E110" s="19">
        <f>SUM(E105:E109)</f>
        <v>0</v>
      </c>
      <c r="F110" s="19">
        <f>SUM(F105:F109)</f>
        <v>0</v>
      </c>
      <c r="G110" s="19">
        <f t="shared" si="4"/>
        <v>-1918033033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13279802633</v>
      </c>
      <c r="E111" s="19">
        <f>E110+E104</f>
        <v>0</v>
      </c>
      <c r="F111" s="19">
        <f>F110+F104</f>
        <v>0</v>
      </c>
      <c r="G111" s="19">
        <f t="shared" si="4"/>
        <v>13279802633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12" ht="19.5" customHeight="1">
      <c r="A114" s="11" t="str">
        <f>O6</f>
        <v>005013300402911000KD</v>
      </c>
      <c r="B114" s="11" t="str">
        <f>P6</f>
        <v>PA. Manokwari</v>
      </c>
      <c r="C114" s="12" t="str">
        <f>A114&amp;" "&amp;B114</f>
        <v>005013300402911000KD PA. Manokwari</v>
      </c>
      <c r="D114" s="13"/>
      <c r="E114" s="13"/>
      <c r="F114" s="13"/>
      <c r="G114" s="13"/>
      <c r="H114" s="11"/>
    </row>
    <row r="115" spans="1:12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12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12" ht="21.95" customHeight="1">
      <c r="A117" s="14"/>
      <c r="B117" s="14"/>
      <c r="C117" s="16" t="s">
        <v>1165</v>
      </c>
      <c r="D117" s="17">
        <f>VLOOKUP(A114,'Neraca Unaudited SIMAK'!$A$2:$S$10004,3,FALSE)</f>
        <v>2715600</v>
      </c>
      <c r="E117" s="25">
        <f>SUMIFS('Daftar Koreksi'!$H$5:$H$92,'Daftar Koreksi'!$D$5:$D$92,'3300'!A114,'Daftar Koreksi'!$G$5:$G$92,"Persediaan",'Daftar Koreksi'!$H$5:$H$92,"&gt;0")</f>
        <v>0</v>
      </c>
      <c r="F117" s="25">
        <f>SUMIFS('Daftar Koreksi'!$H$5:$H$92,'Daftar Koreksi'!$D$5:$D$92,'3300'!A114,'Daftar Koreksi'!$G$5:$G$92,"Persediaan",'Daftar Koreksi'!$H$5:$H$92,"&lt;0")-SUMIFS('Daftar Koreksi'!$H$5:$H$92,'Daftar Koreksi'!$D$5:$D$92,'3300'!A114,'Daftar Koreksi'!$G$5:$G$92,"Persediaan",'Daftar Koreksi'!$H$5:$H$92,"&lt;0")-SUMIFS('Daftar Koreksi'!$H$5:$H$92,'Daftar Koreksi'!$D$5:$D$92,'3300'!A114,'Daftar Koreksi'!$G$5:$G$92,"Persediaan",'Daftar Koreksi'!$H$5:$H$92,"&lt;0")</f>
        <v>0</v>
      </c>
      <c r="G117" s="17">
        <f>D117+E117-F117</f>
        <v>2715600</v>
      </c>
      <c r="H117" s="121" t="str">
        <f>IF(ISNA(VLOOKUP(A114,'Mutasi Neraca'!$A$3:$S$914,19,FALSE)),"-",VLOOKUP(A114,'Mutasi Neraca'!$A$3:$S$914,19,FALSE))</f>
        <v>Tp. No 9</v>
      </c>
    </row>
    <row r="118" spans="1:12" ht="21.95" customHeight="1">
      <c r="A118" s="14"/>
      <c r="B118" s="14"/>
      <c r="C118" s="16" t="s">
        <v>1166</v>
      </c>
      <c r="D118" s="17">
        <f>VLOOKUP(A114,'Neraca Unaudited SIMAK'!$A$2:$S$10004,4,FALSE)</f>
        <v>1963750000</v>
      </c>
      <c r="E118" s="25">
        <f>SUMIFS('Daftar Koreksi'!$H$5:$H$92,'Daftar Koreksi'!$D$5:$D$92,'3300'!A114,'Daftar Koreksi'!$G$5:$G$92,"Tanah",'Daftar Koreksi'!$H$5:$H$92,"&gt;0")</f>
        <v>0</v>
      </c>
      <c r="F118" s="25">
        <f>SUMIFS('Daftar Koreksi'!$H$5:$H$92,'Daftar Koreksi'!$D$5:$D$92,'3300'!A114,'Daftar Koreksi'!$G$5:$G$92,"Tanah",'Daftar Koreksi'!$H$5:$H$92,"&lt;0")-SUMIFS('Daftar Koreksi'!$H$5:$H$92,'Daftar Koreksi'!$D$5:$D$92,'3300'!A114,'Daftar Koreksi'!$G$5:$G$92,"Tanah",'Daftar Koreksi'!$H$5:$H$92,"&lt;0")-SUMIFS('Daftar Koreksi'!$H$5:$H$92,'Daftar Koreksi'!$D$5:$D$92,'3300'!A114,'Daftar Koreksi'!$G$5:$G$92,"Tanah",'Daftar Koreksi'!$H$5:$H$92,"&lt;0")</f>
        <v>0</v>
      </c>
      <c r="G118" s="17">
        <f t="shared" ref="G118:G134" si="5">D118+E118-F118</f>
        <v>1963750000</v>
      </c>
      <c r="H118" s="122"/>
    </row>
    <row r="119" spans="1:12" ht="21.95" customHeight="1">
      <c r="A119" s="14"/>
      <c r="B119" s="14"/>
      <c r="C119" s="16" t="s">
        <v>1167</v>
      </c>
      <c r="D119" s="17">
        <f>VLOOKUP(A114,'Neraca Unaudited SIMAK'!$A$2:$S$10004,5,FALSE)</f>
        <v>1409147332</v>
      </c>
      <c r="E119" s="25">
        <f>SUMIFS('Daftar Koreksi'!$H$5:$H$92,'Daftar Koreksi'!$D$5:$D$92,'3300'!A114,'Daftar Koreksi'!$G$5:$G$92,"Peralatan dan mesin",'Daftar Koreksi'!$H$5:$H$92,"&gt;0")</f>
        <v>0</v>
      </c>
      <c r="F119" s="25">
        <f>SUMIFS('Daftar Koreksi'!$H$5:$H$92,'Daftar Koreksi'!$D$5:$D$92,'3300'!A114,'Daftar Koreksi'!$G$5:$G$92,"Peralatan dan mesin",'Daftar Koreksi'!$H$5:$H$92,"&lt;0")-SUMIFS('Daftar Koreksi'!$H$5:$H$92,'Daftar Koreksi'!$D$5:$D$92,'3300'!A114,'Daftar Koreksi'!$G$5:$G$92,"Peralatan dan mesin",'Daftar Koreksi'!$H$5:$H$92,"&lt;0")-SUMIFS('Daftar Koreksi'!$H$5:$H$92,'Daftar Koreksi'!$D$5:$D$92,'3300'!A114,'Daftar Koreksi'!$G$5:$G$92,"Peralatan dan mesin",'Daftar Koreksi'!$H$5:$H$92,"&lt;0")</f>
        <v>0</v>
      </c>
      <c r="G119" s="17">
        <f t="shared" si="5"/>
        <v>1409147332</v>
      </c>
      <c r="H119" s="122"/>
    </row>
    <row r="120" spans="1:12" ht="21.95" customHeight="1">
      <c r="A120" s="14"/>
      <c r="B120" s="14"/>
      <c r="C120" s="16" t="s">
        <v>1168</v>
      </c>
      <c r="D120" s="17">
        <f>VLOOKUP(A114,'Neraca Unaudited SIMAK'!$A$2:$S$10004,6,FALSE)</f>
        <v>1383304000</v>
      </c>
      <c r="E120" s="25">
        <f>SUMIFS('Daftar Koreksi'!$H$5:$H$92,'Daftar Koreksi'!$D$5:$D$92,'3300'!A114,'Daftar Koreksi'!$G$5:$G$92,"Gedung dan Bangunan",'Daftar Koreksi'!$H$5:$H$92,"&gt;0")</f>
        <v>0</v>
      </c>
      <c r="F120" s="25">
        <f>SUMIFS('Daftar Koreksi'!$H$5:$H$92,'Daftar Koreksi'!$D$5:$D$92,'3300'!A114,'Daftar Koreksi'!$G$5:$G$92,"Gedung dan Bangunan",'Daftar Koreksi'!$H$5:$H$92,"&lt;0")-SUMIFS('Daftar Koreksi'!$H$5:$H$92,'Daftar Koreksi'!$D$5:$D$92,'3300'!A114,'Daftar Koreksi'!$G$5:$G$92,"Gedung dan Bangunan",'Daftar Koreksi'!$H$5:$H$92,"&lt;0")-SUMIFS('Daftar Koreksi'!$H$5:$H$92,'Daftar Koreksi'!$D$5:$D$92,'3300'!A114,'Daftar Koreksi'!$G$5:$G$92,"Gedung dan Bangunan",'Daftar Koreksi'!$H$5:$H$92,"&lt;0")</f>
        <v>969764000</v>
      </c>
      <c r="G120" s="17">
        <f t="shared" si="5"/>
        <v>413540000</v>
      </c>
      <c r="H120" s="122"/>
    </row>
    <row r="121" spans="1:12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Koreksi'!$D$5:$D$92,'3300'!A114,'Daftar Koreksi'!$G$5:$G$92,"Jalan Irigasi Jaringan",'Daftar Koreksi'!$H$5:$H$92,"&gt;0")</f>
        <v>0</v>
      </c>
      <c r="F121" s="25">
        <f>SUMIFS('Daftar Koreksi'!$H$5:$H$92,'Daftar Koreksi'!$D$5:$D$92,'3300'!A114,'Daftar Koreksi'!$G$5:$G$92,"Jalan Irigasi Jaringan",'Daftar Koreksi'!$H$5:$H$92,"&lt;0")-SUMIFS('Daftar Koreksi'!$H$5:$H$92,'Daftar Koreksi'!$D$5:$D$92,'3300'!A114,'Daftar Koreksi'!$G$5:$G$92,"Jalan Irigasi Jaringan",'Daftar Koreksi'!$H$5:$H$92,"&lt;0")-SUMIFS('Daftar Koreksi'!$H$5:$H$92,'Daftar Koreksi'!$D$5:$D$92,'3300'!A114,'Daftar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12" ht="21.95" customHeight="1">
      <c r="A122" s="14"/>
      <c r="B122" s="14"/>
      <c r="C122" s="16" t="s">
        <v>1170</v>
      </c>
      <c r="D122" s="17">
        <f>VLOOKUP(A114,'Neraca Unaudited SIMAK'!$A$2:$S$10004,8,FALSE)</f>
        <v>38755079</v>
      </c>
      <c r="E122" s="25">
        <f>SUMIFS('Daftar Koreksi'!$H$5:$H$92,'Daftar Koreksi'!$D$5:$D$92,'3300'!A114,'Daftar Koreksi'!$G$5:$G$92,"Aset Tetap Lainnya",'Daftar Koreksi'!$H$5:$H$92,"&gt;0")</f>
        <v>0</v>
      </c>
      <c r="F122" s="25">
        <f>SUMIFS('Daftar Koreksi'!$H$5:$H$92,'Daftar Koreksi'!$D$5:$D$92,'3300'!A114,'Daftar Koreksi'!$G$5:$G$92,"Aset Tetap Lainnya",'Daftar Koreksi'!$H$5:$H$92,"&lt;0")-SUMIFS('Daftar Koreksi'!$H$5:$H$92,'Daftar Koreksi'!$D$5:$D$92,'3300'!A114,'Daftar Koreksi'!$G$5:$G$92,"Aset Tetap Lainnya",'Daftar Koreksi'!$H$5:$H$92,"&lt;0")-SUMIFS('Daftar Koreksi'!$H$5:$H$92,'Daftar Koreksi'!$D$5:$D$92,'3300'!A114,'Daftar Koreksi'!$G$5:$G$92,"Aset Tetap Lainnya",'Daftar Koreksi'!$H$5:$H$92,"&lt;0")</f>
        <v>0</v>
      </c>
      <c r="G122" s="17">
        <f t="shared" si="5"/>
        <v>38755079</v>
      </c>
      <c r="H122" s="122"/>
    </row>
    <row r="123" spans="1:12" ht="21.95" customHeight="1">
      <c r="A123" s="14"/>
      <c r="B123" s="14"/>
      <c r="C123" s="16" t="s">
        <v>1171</v>
      </c>
      <c r="D123" s="17">
        <f>VLOOKUP(A114,'Neraca Unaudited SIMAK'!$A$2:$S$10004,9,FALSE)</f>
        <v>8672997900</v>
      </c>
      <c r="E123" s="25">
        <f>SUMIFS('Daftar Koreksi'!$H$5:$H$92,'Daftar Koreksi'!$D$5:$D$92,'3300'!A114,'Daftar Koreksi'!$G$5:$G$92,"Kontruksi Dalam Pengerjaan",'Daftar Koreksi'!$H$5:$H$92,"&gt;0")</f>
        <v>0</v>
      </c>
      <c r="F123" s="25">
        <f>SUMIFS('Daftar Koreksi'!$H$5:$H$92,'Daftar Koreksi'!$D$5:$D$92,'3300'!A114,'Daftar Koreksi'!$G$5:$G$92,"Kontruksi Dalam Pengerjaan",'Daftar Koreksi'!$H$5:$H$92,"&lt;0")-SUMIFS('Daftar Koreksi'!$H$5:$H$92,'Daftar Koreksi'!$D$5:$D$92,'3300'!A114,'Daftar Koreksi'!$G$5:$G$92,"Kontruksi Dalam Pengerjaan",'Daftar Koreksi'!$H$5:$H$92,"&lt;0")-SUMIFS('Daftar Koreksi'!$H$5:$H$92,'Daftar Koreksi'!$D$5:$D$92,'3300'!A114,'Daftar Koreksi'!$G$5:$G$92,"Kontruksi Dalam Pengerjaan",'Daftar Koreksi'!$H$5:$H$92,"&lt;0")</f>
        <v>0</v>
      </c>
      <c r="G123" s="17">
        <f t="shared" si="5"/>
        <v>8672997900</v>
      </c>
      <c r="H123" s="122"/>
    </row>
    <row r="124" spans="1:12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Koreksi'!$D$5:$D$92,'3300'!A114,'Daftar Koreksi'!$G$5:$G$92,"Aset Tak Berwujud",'Daftar Koreksi'!$H$5:$H$92,"&gt;0")</f>
        <v>0</v>
      </c>
      <c r="F124" s="25">
        <f>SUMIFS('Daftar Koreksi'!$H$5:$H$92,'Daftar Koreksi'!$D$5:$D$92,'3300'!A114,'Daftar Koreksi'!$G$5:$G$92,"Aset Tak Berwujud",'Daftar Koreksi'!$H$5:$H$92,"&lt;0")-SUMIFS('Daftar Koreksi'!$H$5:$H$92,'Daftar Koreksi'!$D$5:$D$92,'3300'!A114,'Daftar Koreksi'!$G$5:$G$92,"Aset Tak Berwujud",'Daftar Koreksi'!$H$5:$H$92,"&lt;0")-SUMIFS('Daftar Koreksi'!$H$5:$H$92,'Daftar Koreksi'!$D$5:$D$92,'3300'!A114,'Daftar Koreksi'!$G$5:$G$92,"Aset Tak Berwujud",'Daftar Koreksi'!$H$5:$H$92,"&lt;0")</f>
        <v>0</v>
      </c>
      <c r="G124" s="17">
        <f t="shared" si="5"/>
        <v>0</v>
      </c>
      <c r="H124" s="122"/>
    </row>
    <row r="125" spans="1:12" ht="21.95" customHeight="1">
      <c r="A125" s="14"/>
      <c r="B125" s="14"/>
      <c r="C125" s="16" t="s">
        <v>1173</v>
      </c>
      <c r="D125" s="17">
        <f>VLOOKUP(A114,'Neraca Unaudited SIMAK'!$A$2:$S$10004,11,FALSE)</f>
        <v>159016000</v>
      </c>
      <c r="E125" s="25">
        <f>SUMIFS('Daftar Koreksi'!$H$5:$H$92,'Daftar Koreksi'!$D$5:$D$92,'3300'!A114,'Daftar Koreksi'!$G$5:$G$92,"Aset Henti Guna",'Daftar Koreksi'!$H$5:$H$92,"&gt;0")</f>
        <v>0</v>
      </c>
      <c r="F125" s="25">
        <f>SUMIFS('Daftar Koreksi'!$H$5:$H$92,'Daftar Koreksi'!$D$5:$D$92,'3300'!A114,'Daftar Koreksi'!$G$5:$G$92,"Aset Henti Guna",'Daftar Koreksi'!$H$5:$H$92,"&lt;0")-SUMIFS('Daftar Koreksi'!$H$5:$H$92,'Daftar Koreksi'!$D$5:$D$92,'3300'!A114,'Daftar Koreksi'!$G$5:$G$92,"Aset Henti Guna",'Daftar Koreksi'!$H$5:$H$92,"&lt;0")-SUMIFS('Daftar Koreksi'!$H$5:$H$92,'Daftar Koreksi'!$D$5:$D$92,'3300'!A114,'Daftar Koreksi'!$G$5:$G$92,"Aset Henti Guna",'Daftar Koreksi'!$H$5:$H$92,"&lt;0")</f>
        <v>0</v>
      </c>
      <c r="G125" s="17">
        <f t="shared" si="5"/>
        <v>159016000</v>
      </c>
      <c r="H125" s="122"/>
    </row>
    <row r="126" spans="1:12" ht="21.95" customHeight="1">
      <c r="A126" s="14"/>
      <c r="B126" s="14"/>
      <c r="C126" s="18" t="s">
        <v>2093</v>
      </c>
      <c r="D126" s="19">
        <f>VLOOKUP(A114,'Neraca Unaudited SIMAK'!$A$2:$S$10004,12,FALSE)</f>
        <v>13629685911</v>
      </c>
      <c r="E126" s="19">
        <f>SUM(E117:E125)</f>
        <v>0</v>
      </c>
      <c r="F126" s="19">
        <f>SUM(F117:F125)</f>
        <v>969764000</v>
      </c>
      <c r="G126" s="19">
        <f t="shared" si="5"/>
        <v>12659921911</v>
      </c>
      <c r="H126" s="122"/>
    </row>
    <row r="127" spans="1:12" ht="21.95" customHeight="1">
      <c r="A127" s="14"/>
      <c r="B127" s="14"/>
      <c r="C127" s="16" t="s">
        <v>2087</v>
      </c>
      <c r="D127" s="17">
        <f>VLOOKUP(A114,'Neraca Unaudited SIMAK'!$A$2:$S$10004,13,FALSE)</f>
        <v>-1092989467</v>
      </c>
      <c r="E127" s="25">
        <f>SUMIFS('Daftar Koreksi'!$I$5:$I$92,'Daftar Koreksi'!$D$5:$D$92,'3300'!A114,'Daftar Koreksi'!$G$5:$G$92,"Peralatan dan mesin",'Daftar Koreksi'!$I$5:$I$92,"&gt;0")</f>
        <v>0</v>
      </c>
      <c r="F127" s="25">
        <f>SUMIFS('Daftar Koreksi'!$I$5:$I$92,'Daftar Koreksi'!$D$5:$D$92,'3300'!A114,'Daftar Koreksi'!$G$5:$G$92,"Peralatan dan mesin",'Daftar Koreksi'!$I$5:$I$92,"&lt;0")-SUMIFS('Daftar Koreksi'!$I$5:$I$92,'Daftar Koreksi'!$D$5:$D$92,'3300'!A114,'Daftar Koreksi'!$G$5:$G$92,"Peralatan dan mesin",'Daftar Koreksi'!$I$5:$I$92,"&lt;0")-SUMIFS('Daftar Koreksi'!$I$5:$I$92,'Daftar Koreksi'!$D$5:$D$92,'3300'!A114,'Daftar Koreksi'!$G$5:$G$92,"Peralatan dan mesin",'Daftar Koreksi'!$I$5:$I$92,"&lt;0")</f>
        <v>0</v>
      </c>
      <c r="G127" s="17">
        <f t="shared" si="5"/>
        <v>-1092989467</v>
      </c>
      <c r="H127" s="122"/>
    </row>
    <row r="128" spans="1:12" ht="21.95" customHeight="1">
      <c r="A128" s="14"/>
      <c r="B128" s="14"/>
      <c r="C128" s="16" t="s">
        <v>2088</v>
      </c>
      <c r="D128" s="17">
        <f>VLOOKUP(A114,'Neraca Unaudited SIMAK'!$A$2:$S$10004,14,FALSE)</f>
        <v>-600281560</v>
      </c>
      <c r="E128" s="25">
        <f>SUMIFS('Daftar Koreksi'!$I$5:$I$92,'Daftar Koreksi'!$D$5:$D$92,'3300'!A114,'Daftar Koreksi'!$G$5:$G$92,"Gedung dan Bangunan",'Daftar Koreksi'!$I$5:$I$92,"&gt;0")</f>
        <v>535489160</v>
      </c>
      <c r="F128" s="25">
        <f>SUMIFS('Daftar Koreksi'!$I$5:$I$92,'Daftar Koreksi'!$D$5:$D$92,'3300'!A114,'Daftar Koreksi'!$G$5:$G$92,"Gedung dan Bangunan",'Daftar Koreksi'!$I$5:$I$92,"&lt;0")-SUMIFS('Daftar Koreksi'!$I$5:$I$92,'Daftar Koreksi'!$D$5:$D$92,'3300'!A114,'Daftar Koreksi'!$G$5:$G$92,"Gedung dan Bangunan",'Daftar Koreksi'!$I$5:$I$92,"&lt;0")-SUMIFS('Daftar Koreksi'!$I$5:$I$92,'Daftar Koreksi'!$D$5:$D$92,'3300'!A114,'Daftar Koreksi'!$G$5:$G$92,"Gedung dan Bangunan",'Daftar Koreksi'!$I$5:$I$92,"&lt;0")</f>
        <v>0</v>
      </c>
      <c r="G128" s="17">
        <f t="shared" si="5"/>
        <v>-64792400</v>
      </c>
      <c r="H128" s="122"/>
      <c r="J128" s="10">
        <f>64792400+D128</f>
        <v>-535489160</v>
      </c>
      <c r="L128" s="10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Koreksi'!$D$5:$D$92,'3300'!A114,'Daftar Koreksi'!$G$5:$G$92,"Jalan Irigasi Jaringan",'Daftar Koreksi'!$I$5:$I$92,"&gt;0")</f>
        <v>0</v>
      </c>
      <c r="F129" s="25">
        <f>SUMIFS('Daftar Koreksi'!$I$5:$I$92,'Daftar Koreksi'!$D$5:$D$92,'3300'!A114,'Daftar Koreksi'!$G$5:$G$92,"Jalan Irigasi Jaringan",'Daftar Koreksi'!$I$5:$I$92,"&lt;0")-SUMIFS('Daftar Koreksi'!$I$5:$I$92,'Daftar Koreksi'!$D$5:$D$92,'3300'!A114,'Daftar Koreksi'!$G$5:$G$92,"Jalan Irigasi Jaringan",'Daftar Koreksi'!$I$5:$I$92,"&lt;0")-SUMIFS('Daftar Koreksi'!$I$5:$I$92,'Daftar Koreksi'!$D$5:$D$92,'3300'!A114,'Daftar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Koreksi'!$D$5:$D$92,'3300'!A114,'Daftar Koreksi'!$G$5:$G$92,"Aset Tetap Lainnya",'Daftar Koreksi'!$I$5:$I$92,"&gt;0")</f>
        <v>0</v>
      </c>
      <c r="F130" s="25">
        <f>SUMIFS('Daftar Koreksi'!$I$5:$I$92,'Daftar Koreksi'!$D$5:$D$92,'3300'!A114,'Daftar Koreksi'!$G$5:$G$92,"Aset Tetap Lainnya",'Daftar Koreksi'!$I$5:$I$92,"&lt;0")-SUMIFS('Daftar Koreksi'!$I$5:$I$92,'Daftar Koreksi'!$D$5:$D$92,'3300'!A114,'Daftar Koreksi'!$G$5:$G$92,"Aset Tetap Lainnya",'Daftar Koreksi'!$I$5:$I$92,"&lt;0")-SUMIFS('Daftar Koreksi'!$I$5:$I$92,'Daftar Koreksi'!$D$5:$D$92,'3300'!A114,'Daftar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-159016000</v>
      </c>
      <c r="E131" s="25">
        <f>SUMIFS('Daftar Koreksi'!$I$5:$I$92,'Daftar Koreksi'!$D$5:$D$92,'3300'!A114,'Daftar Koreksi'!$G$5:$G$92,"Aset Henti Guna",'Daftar Koreksi'!$I$5:$I$92,"&gt;0")</f>
        <v>0</v>
      </c>
      <c r="F131" s="25">
        <f>SUMIFS('Daftar Koreksi'!$I$5:$I$92,'Daftar Koreksi'!$D$5:$D$92,'3300'!A114,'Daftar Koreksi'!$G$5:$G$92,"Aset Henti Guna",'Daftar Koreksi'!$I$5:$I$92,"&lt;0")-SUMIFS('Daftar Koreksi'!$I$5:$I$92,'Daftar Koreksi'!$D$5:$D$92,'3300'!A114,'Daftar Koreksi'!$G$5:$G$92,"Aset Henti Guna",'Daftar Koreksi'!$I$5:$I$92,"&lt;0")-SUMIFS('Daftar Koreksi'!$I$5:$I$92,'Daftar Koreksi'!$D$5:$D$92,'3300'!A114,'Daftar Koreksi'!$G$5:$G$92,"Aset Henti Guna",'Daftar Koreksi'!$I$5:$I$92,"&lt;0")</f>
        <v>0</v>
      </c>
      <c r="G131" s="17">
        <f t="shared" si="5"/>
        <v>-159016000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-1852287027</v>
      </c>
      <c r="E132" s="19">
        <f>SUM(E127:E131)</f>
        <v>535489160</v>
      </c>
      <c r="F132" s="19">
        <f>SUM(F127:F131)</f>
        <v>0</v>
      </c>
      <c r="G132" s="19">
        <f t="shared" si="5"/>
        <v>-1316797867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11777398884</v>
      </c>
      <c r="E133" s="19">
        <f>E132+E126</f>
        <v>535489160</v>
      </c>
      <c r="F133" s="19">
        <f>F132+F126</f>
        <v>969764000</v>
      </c>
      <c r="G133" s="19">
        <f t="shared" si="5"/>
        <v>11343124044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</sheetData>
  <mergeCells count="36">
    <mergeCell ref="H117:H134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P156"/>
  <sheetViews>
    <sheetView view="pageBreakPreview" topLeftCell="C39" zoomScale="90" zoomScaleSheetLayoutView="90" workbookViewId="0">
      <selection activeCell="C51" sqref="C5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826</v>
      </c>
      <c r="P1" s="8" t="s">
        <v>1962</v>
      </c>
    </row>
    <row r="2" spans="1:16" ht="19.5" customHeight="1">
      <c r="C2" s="9" t="s">
        <v>2129</v>
      </c>
      <c r="O2" s="8" t="s">
        <v>827</v>
      </c>
      <c r="P2" s="8" t="s">
        <v>1963</v>
      </c>
    </row>
    <row r="3" spans="1:16" ht="19.5" customHeight="1">
      <c r="O3" s="8" t="s">
        <v>828</v>
      </c>
      <c r="P3" s="8" t="s">
        <v>1964</v>
      </c>
    </row>
    <row r="4" spans="1:16" ht="19.5" customHeight="1">
      <c r="A4" s="11" t="str">
        <f>O1</f>
        <v>005013400099621000KD</v>
      </c>
      <c r="B4" s="11" t="str">
        <f>P1</f>
        <v>PN. Majene</v>
      </c>
      <c r="C4" s="12" t="str">
        <f>A4&amp;" "&amp;B4</f>
        <v>005013400099621000KD PN. Majene</v>
      </c>
      <c r="D4" s="13"/>
      <c r="E4" s="13"/>
      <c r="F4" s="13"/>
      <c r="G4" s="13"/>
      <c r="H4" s="11"/>
      <c r="O4" s="8" t="s">
        <v>829</v>
      </c>
      <c r="P4" s="8" t="s">
        <v>1965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830</v>
      </c>
      <c r="P5" s="8" t="s">
        <v>1966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831</v>
      </c>
      <c r="P6" s="8" t="s">
        <v>1967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4798200</v>
      </c>
      <c r="E7" s="25">
        <f>SUMIFS('Daftar Koreksi'!$H$5:$H$92,'Daftar Koreksi'!$D$5:$D$92,'3400'!A4,'Daftar Koreksi'!$G$5:$G$92,"Persediaan",'Daftar Koreksi'!$H$5:$H$92,"&gt;0")</f>
        <v>0</v>
      </c>
      <c r="F7" s="25">
        <f>SUMIFS('Daftar Koreksi'!$H$5:$H$92,'Daftar Koreksi'!$D$5:$D$92,'3400'!A4,'Daftar Koreksi'!$G$5:$G$92,"Persediaan",'Daftar Koreksi'!$H$5:$H$92,"&lt;0")-SUMIFS('Daftar Koreksi'!$H$5:$H$92,'Daftar Koreksi'!$D$5:$D$92,'3400'!A4,'Daftar Koreksi'!$G$5:$G$92,"Persediaan",'Daftar Koreksi'!$H$5:$H$92,"&lt;0")-SUMIFS('Daftar Koreksi'!$H$5:$H$92,'Daftar Koreksi'!$D$5:$D$92,'3400'!A4,'Daftar Koreksi'!$G$5:$G$92,"Persediaan",'Daftar Koreksi'!$H$5:$H$92,"&lt;0")</f>
        <v>0</v>
      </c>
      <c r="G7" s="17">
        <f>D7+E7-F7</f>
        <v>4798200</v>
      </c>
      <c r="H7" s="121" t="str">
        <f>IF(ISNA(VLOOKUP(A4,'Mutasi Neraca'!$A$3:$S$914,19,FALSE)),"-",VLOOKUP(A4,'Mutasi Neraca'!$A$3:$S$914,19,FALSE))</f>
        <v>-</v>
      </c>
      <c r="O7" s="8" t="s">
        <v>832</v>
      </c>
      <c r="P7" s="8" t="s">
        <v>1968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2140400000</v>
      </c>
      <c r="E8" s="25">
        <f>SUMIFS('Daftar Koreksi'!$H$5:$H$92,'Daftar Koreksi'!$D$5:$D$92,'3400'!A4,'Daftar Koreksi'!$G$5:$G$92,"Tanah",'Daftar Koreksi'!$H$5:$H$92,"&gt;0")</f>
        <v>0</v>
      </c>
      <c r="F8" s="25">
        <f>SUMIFS('Daftar Koreksi'!$H$5:$H$92,'Daftar Koreksi'!$D$5:$D$92,'3400'!A4,'Daftar Koreksi'!$G$5:$G$92,"Tanah",'Daftar Koreksi'!$H$5:$H$92,"&lt;0")-SUMIFS('Daftar Koreksi'!$H$5:$H$92,'Daftar Koreksi'!$D$5:$D$92,'3400'!A4,'Daftar Koreksi'!$G$5:$G$92,"Tanah",'Daftar Koreksi'!$H$5:$H$92,"&lt;0")-SUMIFS('Daftar Koreksi'!$H$5:$H$92,'Daftar Koreksi'!$D$5:$D$92,'3400'!A4,'Daftar Koreksi'!$G$5:$G$92,"Tanah",'Daftar Koreksi'!$H$5:$H$92,"&lt;0")</f>
        <v>0</v>
      </c>
      <c r="G8" s="17">
        <f t="shared" ref="G8:G24" si="0">D8+E8-F8</f>
        <v>2140400000</v>
      </c>
      <c r="H8" s="122"/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2048647414</v>
      </c>
      <c r="E9" s="25">
        <f>SUMIFS('Daftar Koreksi'!$H$5:$H$92,'Daftar Koreksi'!$D$5:$D$92,'3400'!A4,'Daftar Koreksi'!$G$5:$G$92,"Peralatan dan mesin",'Daftar Koreksi'!$H$5:$H$92,"&gt;0")</f>
        <v>0</v>
      </c>
      <c r="F9" s="25">
        <f>SUMIFS('Daftar Koreksi'!$H$5:$H$92,'Daftar Koreksi'!$D$5:$D$92,'3400'!A4,'Daftar Koreksi'!$G$5:$G$92,"Peralatan dan mesin",'Daftar Koreksi'!$H$5:$H$92,"&lt;0")-SUMIFS('Daftar Koreksi'!$H$5:$H$92,'Daftar Koreksi'!$D$5:$D$92,'3400'!A4,'Daftar Koreksi'!$G$5:$G$92,"Peralatan dan mesin",'Daftar Koreksi'!$H$5:$H$92,"&lt;0")-SUMIFS('Daftar Koreksi'!$H$5:$H$92,'Daftar Koreksi'!$D$5:$D$92,'3400'!A4,'Daftar Koreksi'!$G$5:$G$92,"Peralatan dan mesin",'Daftar Koreksi'!$H$5:$H$92,"&lt;0")</f>
        <v>0</v>
      </c>
      <c r="G9" s="17">
        <f t="shared" si="0"/>
        <v>2048647414</v>
      </c>
      <c r="H9" s="122"/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2113391750</v>
      </c>
      <c r="E10" s="25">
        <f>SUMIFS('Daftar Koreksi'!$H$5:$H$92,'Daftar Koreksi'!$D$5:$D$92,'3400'!A4,'Daftar Koreksi'!$G$5:$G$92,"Gedung dan Bangunan",'Daftar Koreksi'!$H$5:$H$92,"&gt;0")</f>
        <v>0</v>
      </c>
      <c r="F10" s="25">
        <f>SUMIFS('Daftar Koreksi'!$H$5:$H$92,'Daftar Koreksi'!$D$5:$D$92,'3400'!A4,'Daftar Koreksi'!$G$5:$G$92,"Gedung dan Bangunan",'Daftar Koreksi'!$H$5:$H$92,"&lt;0")-SUMIFS('Daftar Koreksi'!$H$5:$H$92,'Daftar Koreksi'!$D$5:$D$92,'3400'!A4,'Daftar Koreksi'!$G$5:$G$92,"Gedung dan Bangunan",'Daftar Koreksi'!$H$5:$H$92,"&lt;0")-SUMIFS('Daftar Koreksi'!$H$5:$H$92,'Daftar Koreksi'!$D$5:$D$92,'3400'!A4,'Daftar Koreksi'!$G$5:$G$92,"Gedung dan Bangunan",'Daftar Koreksi'!$H$5:$H$92,"&lt;0")</f>
        <v>0</v>
      </c>
      <c r="G10" s="17">
        <f t="shared" si="0"/>
        <v>2113391750</v>
      </c>
      <c r="H10" s="122"/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Koreksi'!$D$5:$D$92,'3400'!A4,'Daftar Koreksi'!$G$5:$G$92,"Jalan Irigasi Jaringan",'Daftar Koreksi'!$H$5:$H$92,"&gt;0")</f>
        <v>0</v>
      </c>
      <c r="F11" s="25">
        <f>SUMIFS('Daftar Koreksi'!$H$5:$H$92,'Daftar Koreksi'!$D$5:$D$92,'3400'!A4,'Daftar Koreksi'!$G$5:$G$92,"Jalan Irigasi Jaringan",'Daftar Koreksi'!$H$5:$H$92,"&lt;0")-SUMIFS('Daftar Koreksi'!$H$5:$H$92,'Daftar Koreksi'!$D$5:$D$92,'3400'!A4,'Daftar Koreksi'!$G$5:$G$92,"Jalan Irigasi Jaringan",'Daftar Koreksi'!$H$5:$H$92,"&lt;0")-SUMIFS('Daftar Koreksi'!$H$5:$H$92,'Daftar Koreksi'!$D$5:$D$92,'3400'!A4,'Daftar Koreksi'!$G$5:$G$92,"Jalan Irigasi Jaringan",'Daftar Koreksi'!$H$5:$H$92,"&lt;0")</f>
        <v>0</v>
      </c>
      <c r="G11" s="17">
        <f t="shared" si="0"/>
        <v>0</v>
      </c>
      <c r="H11" s="122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1946526</v>
      </c>
      <c r="E12" s="25">
        <f>SUMIFS('Daftar Koreksi'!$H$5:$H$92,'Daftar Koreksi'!$D$5:$D$92,'3400'!A4,'Daftar Koreksi'!$G$5:$G$92,"Aset Tetap Lainnya",'Daftar Koreksi'!$H$5:$H$92,"&gt;0")</f>
        <v>0</v>
      </c>
      <c r="F12" s="25">
        <f>SUMIFS('Daftar Koreksi'!$H$5:$H$92,'Daftar Koreksi'!$D$5:$D$92,'3400'!A4,'Daftar Koreksi'!$G$5:$G$92,"Aset Tetap Lainnya",'Daftar Koreksi'!$H$5:$H$92,"&lt;0")-SUMIFS('Daftar Koreksi'!$H$5:$H$92,'Daftar Koreksi'!$D$5:$D$92,'3400'!A4,'Daftar Koreksi'!$G$5:$G$92,"Aset Tetap Lainnya",'Daftar Koreksi'!$H$5:$H$92,"&lt;0")-SUMIFS('Daftar Koreksi'!$H$5:$H$92,'Daftar Koreksi'!$D$5:$D$92,'3400'!A4,'Daftar Koreksi'!$G$5:$G$92,"Aset Tetap Lainnya",'Daftar Koreksi'!$H$5:$H$92,"&lt;0")</f>
        <v>0</v>
      </c>
      <c r="G12" s="17">
        <f t="shared" si="0"/>
        <v>1946526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Koreksi'!$D$5:$D$92,'3400'!A4,'Daftar Koreksi'!$G$5:$G$92,"Kontruksi Dalam Pengerjaan",'Daftar Koreksi'!$H$5:$H$92,"&gt;0")</f>
        <v>0</v>
      </c>
      <c r="F13" s="25">
        <f>SUMIFS('Daftar Koreksi'!$H$5:$H$92,'Daftar Koreksi'!$D$5:$D$92,'3400'!A4,'Daftar Koreksi'!$G$5:$G$92,"Kontruksi Dalam Pengerjaan",'Daftar Koreksi'!$H$5:$H$92,"&lt;0")-SUMIFS('Daftar Koreksi'!$H$5:$H$92,'Daftar Koreksi'!$D$5:$D$92,'3400'!A4,'Daftar Koreksi'!$G$5:$G$92,"Kontruksi Dalam Pengerjaan",'Daftar Koreksi'!$H$5:$H$92,"&lt;0")-SUMIFS('Daftar Koreksi'!$H$5:$H$92,'Daftar Koreksi'!$D$5:$D$92,'3400'!A4,'Daftar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24349000</v>
      </c>
      <c r="E14" s="25">
        <f>SUMIFS('Daftar Koreksi'!$H$5:$H$92,'Daftar Koreksi'!$D$5:$D$92,'3400'!A4,'Daftar Koreksi'!$G$5:$G$92,"Aset Tak Berwujud",'Daftar Koreksi'!$H$5:$H$92,"&gt;0")</f>
        <v>0</v>
      </c>
      <c r="F14" s="25">
        <f>SUMIFS('Daftar Koreksi'!$H$5:$H$92,'Daftar Koreksi'!$D$5:$D$92,'3400'!A4,'Daftar Koreksi'!$G$5:$G$92,"Aset Tak Berwujud",'Daftar Koreksi'!$H$5:$H$92,"&lt;0")-SUMIFS('Daftar Koreksi'!$H$5:$H$92,'Daftar Koreksi'!$D$5:$D$92,'3400'!A4,'Daftar Koreksi'!$G$5:$G$92,"Aset Tak Berwujud",'Daftar Koreksi'!$H$5:$H$92,"&lt;0")-SUMIFS('Daftar Koreksi'!$H$5:$H$92,'Daftar Koreksi'!$D$5:$D$92,'3400'!A4,'Daftar Koreksi'!$G$5:$G$92,"Aset Tak Berwujud",'Daftar Koreksi'!$H$5:$H$92,"&lt;0")</f>
        <v>0</v>
      </c>
      <c r="G14" s="17">
        <f t="shared" si="0"/>
        <v>24349000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136126932</v>
      </c>
      <c r="E15" s="25">
        <f>SUMIFS('Daftar Koreksi'!$H$5:$H$92,'Daftar Koreksi'!$D$5:$D$92,'3400'!A4,'Daftar Koreksi'!$G$5:$G$92,"Aset Henti Guna",'Daftar Koreksi'!$H$5:$H$92,"&gt;0")</f>
        <v>0</v>
      </c>
      <c r="F15" s="25">
        <f>SUMIFS('Daftar Koreksi'!$H$5:$H$92,'Daftar Koreksi'!$D$5:$D$92,'3400'!A4,'Daftar Koreksi'!$G$5:$G$92,"Aset Henti Guna",'Daftar Koreksi'!$H$5:$H$92,"&lt;0")-SUMIFS('Daftar Koreksi'!$H$5:$H$92,'Daftar Koreksi'!$D$5:$D$92,'3400'!A4,'Daftar Koreksi'!$G$5:$G$92,"Aset Henti Guna",'Daftar Koreksi'!$H$5:$H$92,"&lt;0")-SUMIFS('Daftar Koreksi'!$H$5:$H$92,'Daftar Koreksi'!$D$5:$D$92,'3400'!A4,'Daftar Koreksi'!$G$5:$G$92,"Aset Henti Guna",'Daftar Koreksi'!$H$5:$H$92,"&lt;0")</f>
        <v>0</v>
      </c>
      <c r="G15" s="17">
        <f t="shared" si="0"/>
        <v>136126932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6469659822</v>
      </c>
      <c r="E16" s="19">
        <f>SUM(E7:E15)</f>
        <v>0</v>
      </c>
      <c r="F16" s="19">
        <f>SUM(F7:F15)</f>
        <v>0</v>
      </c>
      <c r="G16" s="19">
        <f t="shared" si="0"/>
        <v>6469659822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-1543755992</v>
      </c>
      <c r="E17" s="25">
        <f>SUMIFS('Daftar Koreksi'!$I$5:$I$92,'Daftar Koreksi'!$D$5:$D$92,'3400'!A4,'Daftar Koreksi'!$G$5:$G$92,"Peralatan dan mesin",'Daftar Koreksi'!$I$5:$I$92,"&gt;0")</f>
        <v>0</v>
      </c>
      <c r="F17" s="25">
        <f>SUMIFS('Daftar Koreksi'!$I$5:$I$92,'Daftar Koreksi'!$D$5:$D$92,'3400'!A4,'Daftar Koreksi'!$G$5:$G$92,"Peralatan dan mesin",'Daftar Koreksi'!$I$5:$I$92,"&lt;0")-SUMIFS('Daftar Koreksi'!$I$5:$I$92,'Daftar Koreksi'!$D$5:$D$92,'3400'!A4,'Daftar Koreksi'!$G$5:$G$92,"Peralatan dan mesin",'Daftar Koreksi'!$I$5:$I$92,"&lt;0")-SUMIFS('Daftar Koreksi'!$I$5:$I$92,'Daftar Koreksi'!$D$5:$D$92,'3400'!A4,'Daftar Koreksi'!$G$5:$G$92,"Peralatan dan mesin",'Daftar Koreksi'!$I$5:$I$92,"&lt;0")</f>
        <v>0</v>
      </c>
      <c r="G17" s="17">
        <f t="shared" si="0"/>
        <v>-1543755992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-440972713</v>
      </c>
      <c r="E18" s="25">
        <f>SUMIFS('Daftar Koreksi'!$I$5:$I$92,'Daftar Koreksi'!$D$5:$D$92,'3400'!A4,'Daftar Koreksi'!$G$5:$G$92,"Gedung dan Bangunan",'Daftar Koreksi'!$I$5:$I$92,"&gt;0")</f>
        <v>0</v>
      </c>
      <c r="F18" s="25">
        <f>SUMIFS('Daftar Koreksi'!$I$5:$I$92,'Daftar Koreksi'!$D$5:$D$92,'3400'!A4,'Daftar Koreksi'!$G$5:$G$92,"Gedung dan Bangunan",'Daftar Koreksi'!$I$5:$I$92,"&lt;0")-SUMIFS('Daftar Koreksi'!$I$5:$I$92,'Daftar Koreksi'!$D$5:$D$92,'3400'!A4,'Daftar Koreksi'!$G$5:$G$92,"Gedung dan Bangunan",'Daftar Koreksi'!$I$5:$I$92,"&lt;0")-SUMIFS('Daftar Koreksi'!$I$5:$I$92,'Daftar Koreksi'!$D$5:$D$92,'3400'!A4,'Daftar Koreksi'!$G$5:$G$92,"Gedung dan Bangunan",'Daftar Koreksi'!$I$5:$I$92,"&lt;0")</f>
        <v>0</v>
      </c>
      <c r="G18" s="17">
        <f t="shared" si="0"/>
        <v>-440972713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Koreksi'!$D$5:$D$92,'3400'!A4,'Daftar Koreksi'!$G$5:$G$92,"Jalan Irigasi Jaringan",'Daftar Koreksi'!$I$5:$I$92,"&gt;0")</f>
        <v>0</v>
      </c>
      <c r="F19" s="25">
        <f>SUMIFS('Daftar Koreksi'!$I$5:$I$92,'Daftar Koreksi'!$D$5:$D$92,'3400'!A4,'Daftar Koreksi'!$G$5:$G$92,"Jalan Irigasi Jaringan",'Daftar Koreksi'!$I$5:$I$92,"&lt;0")-SUMIFS('Daftar Koreksi'!$I$5:$I$92,'Daftar Koreksi'!$D$5:$D$92,'3400'!A4,'Daftar Koreksi'!$G$5:$G$92,"Jalan Irigasi Jaringan",'Daftar Koreksi'!$I$5:$I$92,"&lt;0")-SUMIFS('Daftar Koreksi'!$I$5:$I$92,'Daftar Koreksi'!$D$5:$D$92,'3400'!A4,'Daftar Koreksi'!$G$5:$G$92,"Jalan Irigasi Jaringan",'Daftar Koreksi'!$I$5:$I$92,"&lt;0")</f>
        <v>0</v>
      </c>
      <c r="G19" s="17">
        <f t="shared" si="0"/>
        <v>0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Koreksi'!$D$5:$D$92,'3400'!A4,'Daftar Koreksi'!$G$5:$G$92,"Aset Tetap Lainnya",'Daftar Koreksi'!$I$5:$I$92,"&gt;0")</f>
        <v>0</v>
      </c>
      <c r="F20" s="25">
        <f>SUMIFS('Daftar Koreksi'!$I$5:$I$92,'Daftar Koreksi'!$D$5:$D$92,'3400'!A4,'Daftar Koreksi'!$G$5:$G$92,"Aset Tetap Lainnya",'Daftar Koreksi'!$I$5:$I$92,"&lt;0")-SUMIFS('Daftar Koreksi'!$I$5:$I$92,'Daftar Koreksi'!$D$5:$D$92,'3400'!A4,'Daftar Koreksi'!$G$5:$G$92,"Aset Tetap Lainnya",'Daftar Koreksi'!$I$5:$I$92,"&lt;0")-SUMIFS('Daftar Koreksi'!$I$5:$I$92,'Daftar Koreksi'!$D$5:$D$92,'3400'!A4,'Daftar Koreksi'!$G$5:$G$92,"Aset Tetap Lainnya",'Daftar Koreksi'!$I$5:$I$92,"&lt;0")</f>
        <v>0</v>
      </c>
      <c r="G20" s="17">
        <f t="shared" si="0"/>
        <v>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-136126932</v>
      </c>
      <c r="E21" s="25">
        <f>SUMIFS('Daftar Koreksi'!$I$5:$I$92,'Daftar Koreksi'!$D$5:$D$92,'3400'!A4,'Daftar Koreksi'!$G$5:$G$92,"Aset Henti Guna",'Daftar Koreksi'!$I$5:$I$92,"&gt;0")</f>
        <v>0</v>
      </c>
      <c r="F21" s="25">
        <f>SUMIFS('Daftar Koreksi'!$I$5:$I$92,'Daftar Koreksi'!$D$5:$D$92,'3400'!A4,'Daftar Koreksi'!$G$5:$G$92,"Aset Henti Guna",'Daftar Koreksi'!$I$5:$I$92,"&lt;0")-SUMIFS('Daftar Koreksi'!$I$5:$I$92,'Daftar Koreksi'!$D$5:$D$92,'3400'!A4,'Daftar Koreksi'!$G$5:$G$92,"Aset Henti Guna",'Daftar Koreksi'!$I$5:$I$92,"&lt;0")-SUMIFS('Daftar Koreksi'!$I$5:$I$92,'Daftar Koreksi'!$D$5:$D$92,'3400'!A4,'Daftar Koreksi'!$G$5:$G$92,"Aset Henti Guna",'Daftar Koreksi'!$I$5:$I$92,"&lt;0")</f>
        <v>0</v>
      </c>
      <c r="G21" s="17">
        <f t="shared" si="0"/>
        <v>-136126932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-2120855637</v>
      </c>
      <c r="E22" s="19">
        <f>SUM(E17:E21)</f>
        <v>0</v>
      </c>
      <c r="F22" s="19">
        <f>SUM(F17:F21)</f>
        <v>0</v>
      </c>
      <c r="G22" s="19">
        <f t="shared" si="0"/>
        <v>-2120855637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4348804185</v>
      </c>
      <c r="E23" s="19">
        <f>E22+E16</f>
        <v>0</v>
      </c>
      <c r="F23" s="19">
        <f>F22+F16</f>
        <v>0</v>
      </c>
      <c r="G23" s="19">
        <f t="shared" si="0"/>
        <v>4348804185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005013400099638000KD</v>
      </c>
      <c r="B26" s="11" t="str">
        <f>P2</f>
        <v>PN. Mamuju</v>
      </c>
      <c r="C26" s="12" t="str">
        <f>A26&amp;" "&amp;B26</f>
        <v>005013400099638000KD PN. Mamuju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2888000</v>
      </c>
      <c r="E29" s="25">
        <f>SUMIFS('Daftar Koreksi'!$H$5:$H$92,'Daftar Koreksi'!$D$5:$D$92,'3400'!A26,'Daftar Koreksi'!$G$5:$G$92,"Persediaan",'Daftar Koreksi'!$H$5:$H$92,"&gt;0")</f>
        <v>0</v>
      </c>
      <c r="F29" s="25">
        <f>SUMIFS('Daftar Koreksi'!$H$5:$H$92,'Daftar Koreksi'!$D$5:$D$92,'3400'!A26,'Daftar Koreksi'!$G$5:$G$92,"Persediaan",'Daftar Koreksi'!$H$5:$H$92,"&lt;0")-SUMIFS('Daftar Koreksi'!$H$5:$H$92,'Daftar Koreksi'!$D$5:$D$92,'3400'!A26,'Daftar Koreksi'!$G$5:$G$92,"Persediaan",'Daftar Koreksi'!$H$5:$H$92,"&lt;0")-SUMIFS('Daftar Koreksi'!$H$5:$H$92,'Daftar Koreksi'!$D$5:$D$92,'3400'!A26,'Daftar Koreksi'!$G$5:$G$92,"Persediaan",'Daftar Koreksi'!$H$5:$H$92,"&lt;0")</f>
        <v>0</v>
      </c>
      <c r="G29" s="17">
        <f>D29+E29-F29</f>
        <v>2888000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5108574881</v>
      </c>
      <c r="E30" s="25">
        <f>SUMIFS('Daftar Koreksi'!$H$5:$H$92,'Daftar Koreksi'!$D$5:$D$92,'3400'!A26,'Daftar Koreksi'!$G$5:$G$92,"Tanah",'Daftar Koreksi'!$H$5:$H$92,"&gt;0")</f>
        <v>0</v>
      </c>
      <c r="F30" s="25">
        <f>SUMIFS('Daftar Koreksi'!$H$5:$H$92,'Daftar Koreksi'!$D$5:$D$92,'3400'!A26,'Daftar Koreksi'!$G$5:$G$92,"Tanah",'Daftar Koreksi'!$H$5:$H$92,"&lt;0")-SUMIFS('Daftar Koreksi'!$H$5:$H$92,'Daftar Koreksi'!$D$5:$D$92,'3400'!A26,'Daftar Koreksi'!$G$5:$G$92,"Tanah",'Daftar Koreksi'!$H$5:$H$92,"&lt;0")-SUMIFS('Daftar Koreksi'!$H$5:$H$92,'Daftar Koreksi'!$D$5:$D$92,'3400'!A26,'Daftar Koreksi'!$G$5:$G$92,"Tanah",'Daftar Koreksi'!$H$5:$H$92,"&lt;0")</f>
        <v>0</v>
      </c>
      <c r="G30" s="17">
        <f t="shared" ref="G30:G46" si="1">D30+E30-F30</f>
        <v>5108574881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1937300579</v>
      </c>
      <c r="E31" s="25">
        <f>SUMIFS('Daftar Koreksi'!$H$5:$H$92,'Daftar Koreksi'!$D$5:$D$92,'3400'!A26,'Daftar Koreksi'!$G$5:$G$92,"Peralatan dan mesin",'Daftar Koreksi'!$H$5:$H$92,"&gt;0")</f>
        <v>0</v>
      </c>
      <c r="F31" s="25">
        <f>SUMIFS('Daftar Koreksi'!$H$5:$H$92,'Daftar Koreksi'!$D$5:$D$92,'3400'!A26,'Daftar Koreksi'!$G$5:$G$92,"Peralatan dan mesin",'Daftar Koreksi'!$H$5:$H$92,"&lt;0")-SUMIFS('Daftar Koreksi'!$H$5:$H$92,'Daftar Koreksi'!$D$5:$D$92,'3400'!A26,'Daftar Koreksi'!$G$5:$G$92,"Peralatan dan mesin",'Daftar Koreksi'!$H$5:$H$92,"&lt;0")-SUMIFS('Daftar Koreksi'!$H$5:$H$92,'Daftar Koreksi'!$D$5:$D$92,'3400'!A26,'Daftar Koreksi'!$G$5:$G$92,"Peralatan dan mesin",'Daftar Koreksi'!$H$5:$H$92,"&lt;0")</f>
        <v>0</v>
      </c>
      <c r="G31" s="17">
        <f t="shared" si="1"/>
        <v>1937300579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14347354328</v>
      </c>
      <c r="E32" s="25">
        <f>SUMIFS('Daftar Koreksi'!$H$5:$H$92,'Daftar Koreksi'!$D$5:$D$92,'3400'!A26,'Daftar Koreksi'!$G$5:$G$92,"Gedung dan Bangunan",'Daftar Koreksi'!$H$5:$H$92,"&gt;0")</f>
        <v>0</v>
      </c>
      <c r="F32" s="25">
        <f>SUMIFS('Daftar Koreksi'!$H$5:$H$92,'Daftar Koreksi'!$D$5:$D$92,'3400'!A26,'Daftar Koreksi'!$G$5:$G$92,"Gedung dan Bangunan",'Daftar Koreksi'!$H$5:$H$92,"&lt;0")-SUMIFS('Daftar Koreksi'!$H$5:$H$92,'Daftar Koreksi'!$D$5:$D$92,'3400'!A26,'Daftar Koreksi'!$G$5:$G$92,"Gedung dan Bangunan",'Daftar Koreksi'!$H$5:$H$92,"&lt;0")-SUMIFS('Daftar Koreksi'!$H$5:$H$92,'Daftar Koreksi'!$D$5:$D$92,'3400'!A26,'Daftar Koreksi'!$G$5:$G$92,"Gedung dan Bangunan",'Daftar Koreksi'!$H$5:$H$92,"&lt;0")</f>
        <v>0</v>
      </c>
      <c r="G32" s="17">
        <f t="shared" si="1"/>
        <v>14347354328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131600000</v>
      </c>
      <c r="E33" s="25">
        <f>SUMIFS('Daftar Koreksi'!$H$5:$H$92,'Daftar Koreksi'!$D$5:$D$92,'3400'!A26,'Daftar Koreksi'!$G$5:$G$92,"Jalan Irigasi Jaringan",'Daftar Koreksi'!$H$5:$H$92,"&gt;0")</f>
        <v>0</v>
      </c>
      <c r="F33" s="25">
        <f>SUMIFS('Daftar Koreksi'!$H$5:$H$92,'Daftar Koreksi'!$D$5:$D$92,'3400'!A26,'Daftar Koreksi'!$G$5:$G$92,"Jalan Irigasi Jaringan",'Daftar Koreksi'!$H$5:$H$92,"&lt;0")-SUMIFS('Daftar Koreksi'!$H$5:$H$92,'Daftar Koreksi'!$D$5:$D$92,'3400'!A26,'Daftar Koreksi'!$G$5:$G$92,"Jalan Irigasi Jaringan",'Daftar Koreksi'!$H$5:$H$92,"&lt;0")-SUMIFS('Daftar Koreksi'!$H$5:$H$92,'Daftar Koreksi'!$D$5:$D$92,'3400'!A26,'Daftar Koreksi'!$G$5:$G$92,"Jalan Irigasi Jaringan",'Daftar Koreksi'!$H$5:$H$92,"&lt;0")</f>
        <v>0</v>
      </c>
      <c r="G33" s="17">
        <f t="shared" si="1"/>
        <v>131600000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17258440</v>
      </c>
      <c r="E34" s="25">
        <f>SUMIFS('Daftar Koreksi'!$H$5:$H$92,'Daftar Koreksi'!$D$5:$D$92,'3400'!A26,'Daftar Koreksi'!$G$5:$G$92,"Aset Tetap Lainnya",'Daftar Koreksi'!$H$5:$H$92,"&gt;0")</f>
        <v>0</v>
      </c>
      <c r="F34" s="25">
        <f>SUMIFS('Daftar Koreksi'!$H$5:$H$92,'Daftar Koreksi'!$D$5:$D$92,'3400'!A26,'Daftar Koreksi'!$G$5:$G$92,"Aset Tetap Lainnya",'Daftar Koreksi'!$H$5:$H$92,"&lt;0")-SUMIFS('Daftar Koreksi'!$H$5:$H$92,'Daftar Koreksi'!$D$5:$D$92,'3400'!A26,'Daftar Koreksi'!$G$5:$G$92,"Aset Tetap Lainnya",'Daftar Koreksi'!$H$5:$H$92,"&lt;0")-SUMIFS('Daftar Koreksi'!$H$5:$H$92,'Daftar Koreksi'!$D$5:$D$92,'3400'!A26,'Daftar Koreksi'!$G$5:$G$92,"Aset Tetap Lainnya",'Daftar Koreksi'!$H$5:$H$92,"&lt;0")</f>
        <v>0</v>
      </c>
      <c r="G34" s="17">
        <f t="shared" si="1"/>
        <v>17258440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Koreksi'!$D$5:$D$92,'3400'!A26,'Daftar Koreksi'!$G$5:$G$92,"Kontruksi Dalam Pengerjaan",'Daftar Koreksi'!$H$5:$H$92,"&gt;0")</f>
        <v>0</v>
      </c>
      <c r="F35" s="25">
        <f>SUMIFS('Daftar Koreksi'!$H$5:$H$92,'Daftar Koreksi'!$D$5:$D$92,'3400'!A26,'Daftar Koreksi'!$G$5:$G$92,"Kontruksi Dalam Pengerjaan",'Daftar Koreksi'!$H$5:$H$92,"&lt;0")-SUMIFS('Daftar Koreksi'!$H$5:$H$92,'Daftar Koreksi'!$D$5:$D$92,'3400'!A26,'Daftar Koreksi'!$G$5:$G$92,"Kontruksi Dalam Pengerjaan",'Daftar Koreksi'!$H$5:$H$92,"&lt;0")-SUMIFS('Daftar Koreksi'!$H$5:$H$92,'Daftar Koreksi'!$D$5:$D$92,'3400'!A26,'Daftar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24349000</v>
      </c>
      <c r="E36" s="25">
        <f>SUMIFS('Daftar Koreksi'!$H$5:$H$92,'Daftar Koreksi'!$D$5:$D$92,'3400'!A26,'Daftar Koreksi'!$G$5:$G$92,"Aset Tak Berwujud",'Daftar Koreksi'!$H$5:$H$92,"&gt;0")</f>
        <v>0</v>
      </c>
      <c r="F36" s="25">
        <f>SUMIFS('Daftar Koreksi'!$H$5:$H$92,'Daftar Koreksi'!$D$5:$D$92,'3400'!A26,'Daftar Koreksi'!$G$5:$G$92,"Aset Tak Berwujud",'Daftar Koreksi'!$H$5:$H$92,"&lt;0")-SUMIFS('Daftar Koreksi'!$H$5:$H$92,'Daftar Koreksi'!$D$5:$D$92,'3400'!A26,'Daftar Koreksi'!$G$5:$G$92,"Aset Tak Berwujud",'Daftar Koreksi'!$H$5:$H$92,"&lt;0")-SUMIFS('Daftar Koreksi'!$H$5:$H$92,'Daftar Koreksi'!$D$5:$D$92,'3400'!A26,'Daftar Koreksi'!$G$5:$G$92,"Aset Tak Berwujud",'Daftar Koreksi'!$H$5:$H$92,"&lt;0")</f>
        <v>0</v>
      </c>
      <c r="G36" s="17">
        <f t="shared" si="1"/>
        <v>24349000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515221703</v>
      </c>
      <c r="E37" s="25">
        <f>SUMIFS('Daftar Koreksi'!$H$5:$H$92,'Daftar Koreksi'!$D$5:$D$92,'3400'!A26,'Daftar Koreksi'!$G$5:$G$92,"Aset Henti Guna",'Daftar Koreksi'!$H$5:$H$92,"&gt;0")</f>
        <v>0</v>
      </c>
      <c r="F37" s="25">
        <f>SUMIFS('Daftar Koreksi'!$H$5:$H$92,'Daftar Koreksi'!$D$5:$D$92,'3400'!A26,'Daftar Koreksi'!$G$5:$G$92,"Aset Henti Guna",'Daftar Koreksi'!$H$5:$H$92,"&lt;0")-SUMIFS('Daftar Koreksi'!$H$5:$H$92,'Daftar Koreksi'!$D$5:$D$92,'3400'!A26,'Daftar Koreksi'!$G$5:$G$92,"Aset Henti Guna",'Daftar Koreksi'!$H$5:$H$92,"&lt;0")-SUMIFS('Daftar Koreksi'!$H$5:$H$92,'Daftar Koreksi'!$D$5:$D$92,'3400'!A26,'Daftar Koreksi'!$G$5:$G$92,"Aset Henti Guna",'Daftar Koreksi'!$H$5:$H$92,"&lt;0")</f>
        <v>0</v>
      </c>
      <c r="G37" s="17">
        <f t="shared" si="1"/>
        <v>515221703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22084546931</v>
      </c>
      <c r="E38" s="19">
        <f>SUM(E29:E37)</f>
        <v>0</v>
      </c>
      <c r="F38" s="19">
        <f>SUM(F29:F37)</f>
        <v>0</v>
      </c>
      <c r="G38" s="19">
        <f t="shared" si="1"/>
        <v>22084546931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-1515873804</v>
      </c>
      <c r="E39" s="25">
        <f>SUMIFS('Daftar Koreksi'!$I$5:$I$92,'Daftar Koreksi'!$D$5:$D$92,'3400'!A26,'Daftar Koreksi'!$G$5:$G$92,"Peralatan dan mesin",'Daftar Koreksi'!$I$5:$I$92,"&gt;0")</f>
        <v>0</v>
      </c>
      <c r="F39" s="25">
        <f>SUMIFS('Daftar Koreksi'!$I$5:$I$92,'Daftar Koreksi'!$D$5:$D$92,'3400'!A26,'Daftar Koreksi'!$G$5:$G$92,"Peralatan dan mesin",'Daftar Koreksi'!$I$5:$I$92,"&lt;0")-SUMIFS('Daftar Koreksi'!$I$5:$I$92,'Daftar Koreksi'!$D$5:$D$92,'3400'!A26,'Daftar Koreksi'!$G$5:$G$92,"Peralatan dan mesin",'Daftar Koreksi'!$I$5:$I$92,"&lt;0")-SUMIFS('Daftar Koreksi'!$I$5:$I$92,'Daftar Koreksi'!$D$5:$D$92,'3400'!A26,'Daftar Koreksi'!$G$5:$G$92,"Peralatan dan mesin",'Daftar Koreksi'!$I$5:$I$92,"&lt;0")</f>
        <v>0</v>
      </c>
      <c r="G39" s="17">
        <f t="shared" si="1"/>
        <v>-1515873804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-1754000899</v>
      </c>
      <c r="E40" s="25">
        <f>SUMIFS('Daftar Koreksi'!$I$5:$I$92,'Daftar Koreksi'!$D$5:$D$92,'3400'!A26,'Daftar Koreksi'!$G$5:$G$92,"Gedung dan Bangunan",'Daftar Koreksi'!$I$5:$I$92,"&gt;0")</f>
        <v>0</v>
      </c>
      <c r="F40" s="25">
        <f>SUMIFS('Daftar Koreksi'!$I$5:$I$92,'Daftar Koreksi'!$D$5:$D$92,'3400'!A26,'Daftar Koreksi'!$G$5:$G$92,"Gedung dan Bangunan",'Daftar Koreksi'!$I$5:$I$92,"&lt;0")-SUMIFS('Daftar Koreksi'!$I$5:$I$92,'Daftar Koreksi'!$D$5:$D$92,'3400'!A26,'Daftar Koreksi'!$G$5:$G$92,"Gedung dan Bangunan",'Daftar Koreksi'!$I$5:$I$92,"&lt;0")-SUMIFS('Daftar Koreksi'!$I$5:$I$92,'Daftar Koreksi'!$D$5:$D$92,'3400'!A26,'Daftar Koreksi'!$G$5:$G$92,"Gedung dan Bangunan",'Daftar Koreksi'!$I$5:$I$92,"&lt;0")</f>
        <v>0</v>
      </c>
      <c r="G40" s="17">
        <f t="shared" si="1"/>
        <v>-1754000899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-33311250</v>
      </c>
      <c r="E41" s="25">
        <f>SUMIFS('Daftar Koreksi'!$I$5:$I$92,'Daftar Koreksi'!$D$5:$D$92,'3400'!A26,'Daftar Koreksi'!$G$5:$G$92,"Jalan Irigasi Jaringan",'Daftar Koreksi'!$I$5:$I$92,"&gt;0")</f>
        <v>0</v>
      </c>
      <c r="F41" s="25">
        <f>SUMIFS('Daftar Koreksi'!$I$5:$I$92,'Daftar Koreksi'!$D$5:$D$92,'3400'!A26,'Daftar Koreksi'!$G$5:$G$92,"Jalan Irigasi Jaringan",'Daftar Koreksi'!$I$5:$I$92,"&lt;0")-SUMIFS('Daftar Koreksi'!$I$5:$I$92,'Daftar Koreksi'!$D$5:$D$92,'3400'!A26,'Daftar Koreksi'!$G$5:$G$92,"Jalan Irigasi Jaringan",'Daftar Koreksi'!$I$5:$I$92,"&lt;0")-SUMIFS('Daftar Koreksi'!$I$5:$I$92,'Daftar Koreksi'!$D$5:$D$92,'3400'!A26,'Daftar Koreksi'!$G$5:$G$92,"Jalan Irigasi Jaringan",'Daftar Koreksi'!$I$5:$I$92,"&lt;0")</f>
        <v>0</v>
      </c>
      <c r="G41" s="17">
        <f t="shared" si="1"/>
        <v>-33311250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Koreksi'!$D$5:$D$92,'3400'!A26,'Daftar Koreksi'!$G$5:$G$92,"Aset Tetap Lainnya",'Daftar Koreksi'!$I$5:$I$92,"&gt;0")</f>
        <v>0</v>
      </c>
      <c r="F42" s="25">
        <f>SUMIFS('Daftar Koreksi'!$I$5:$I$92,'Daftar Koreksi'!$D$5:$D$92,'3400'!A26,'Daftar Koreksi'!$G$5:$G$92,"Aset Tetap Lainnya",'Daftar Koreksi'!$I$5:$I$92,"&lt;0")-SUMIFS('Daftar Koreksi'!$I$5:$I$92,'Daftar Koreksi'!$D$5:$D$92,'3400'!A26,'Daftar Koreksi'!$G$5:$G$92,"Aset Tetap Lainnya",'Daftar Koreksi'!$I$5:$I$92,"&lt;0")-SUMIFS('Daftar Koreksi'!$I$5:$I$92,'Daftar Koreksi'!$D$5:$D$92,'3400'!A26,'Daftar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-515259203</v>
      </c>
      <c r="E43" s="25">
        <f>SUMIFS('Daftar Koreksi'!$I$5:$I$92,'Daftar Koreksi'!$D$5:$D$92,'3400'!A26,'Daftar Koreksi'!$G$5:$G$92,"Aset Henti Guna",'Daftar Koreksi'!$I$5:$I$92,"&gt;0")</f>
        <v>0</v>
      </c>
      <c r="F43" s="25">
        <f>SUMIFS('Daftar Koreksi'!$I$5:$I$92,'Daftar Koreksi'!$D$5:$D$92,'3400'!A26,'Daftar Koreksi'!$G$5:$G$92,"Aset Henti Guna",'Daftar Koreksi'!$I$5:$I$92,"&lt;0")-SUMIFS('Daftar Koreksi'!$I$5:$I$92,'Daftar Koreksi'!$D$5:$D$92,'3400'!A26,'Daftar Koreksi'!$G$5:$G$92,"Aset Henti Guna",'Daftar Koreksi'!$I$5:$I$92,"&lt;0")-SUMIFS('Daftar Koreksi'!$I$5:$I$92,'Daftar Koreksi'!$D$5:$D$92,'3400'!A26,'Daftar Koreksi'!$G$5:$G$92,"Aset Henti Guna",'Daftar Koreksi'!$I$5:$I$92,"&lt;0")</f>
        <v>0</v>
      </c>
      <c r="G43" s="17">
        <f t="shared" si="1"/>
        <v>-515259203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-3818445156</v>
      </c>
      <c r="E44" s="19">
        <f>SUM(E39:E43)</f>
        <v>0</v>
      </c>
      <c r="F44" s="19">
        <f>SUM(F39:F43)</f>
        <v>0</v>
      </c>
      <c r="G44" s="19">
        <f t="shared" si="1"/>
        <v>-3818445156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18266101775</v>
      </c>
      <c r="E45" s="19">
        <f>E44+E38</f>
        <v>0</v>
      </c>
      <c r="F45" s="19">
        <f>F44+F38</f>
        <v>0</v>
      </c>
      <c r="G45" s="19">
        <f t="shared" si="1"/>
        <v>18266101775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005013400099642000KD</v>
      </c>
      <c r="B48" s="11" t="str">
        <f>P3</f>
        <v>PN. Polewali</v>
      </c>
      <c r="C48" s="12" t="str">
        <f>A48&amp;" "&amp;B48</f>
        <v>005013400099642000KD PN. Polewali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74000</v>
      </c>
      <c r="E51" s="25">
        <f>SUMIFS('Daftar Koreksi'!$H$5:$H$92,'Daftar Koreksi'!$D$5:$D$92,'3400'!A48,'Daftar Koreksi'!$G$5:$G$92,"Persediaan",'Daftar Koreksi'!$H$5:$H$92,"&gt;0")</f>
        <v>0</v>
      </c>
      <c r="F51" s="25">
        <f>SUMIFS('Daftar Koreksi'!$H$5:$H$92,'Daftar Koreksi'!$D$5:$D$92,'3400'!A48,'Daftar Koreksi'!$G$5:$G$92,"Persediaan",'Daftar Koreksi'!$H$5:$H$92,"&lt;0")-SUMIFS('Daftar Koreksi'!$H$5:$H$92,'Daftar Koreksi'!$D$5:$D$92,'3400'!A48,'Daftar Koreksi'!$G$5:$G$92,"Persediaan",'Daftar Koreksi'!$H$5:$H$92,"&lt;0")-SUMIFS('Daftar Koreksi'!$H$5:$H$92,'Daftar Koreksi'!$D$5:$D$92,'3400'!A48,'Daftar Koreksi'!$G$5:$G$92,"Persediaan",'Daftar Koreksi'!$H$5:$H$92,"&lt;0")</f>
        <v>0</v>
      </c>
      <c r="G51" s="17">
        <f>D51+E51-F51</f>
        <v>74000</v>
      </c>
      <c r="H51" s="121" t="str">
        <f>IF(ISNA(VLOOKUP(A48,'Mutasi Neraca'!$A$3:$S$914,19,FALSE)),"-",VLOOKUP(A48,'Mutasi Neraca'!$A$3:$S$914,19,FALSE))</f>
        <v>-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1521000000</v>
      </c>
      <c r="E52" s="25">
        <f>SUMIFS('Daftar Koreksi'!$H$5:$H$92,'Daftar Koreksi'!$D$5:$D$92,'3400'!A48,'Daftar Koreksi'!$G$5:$G$92,"Tanah",'Daftar Koreksi'!$H$5:$H$92,"&gt;0")</f>
        <v>0</v>
      </c>
      <c r="F52" s="25">
        <f>SUMIFS('Daftar Koreksi'!$H$5:$H$92,'Daftar Koreksi'!$D$5:$D$92,'3400'!A48,'Daftar Koreksi'!$G$5:$G$92,"Tanah",'Daftar Koreksi'!$H$5:$H$92,"&lt;0")-SUMIFS('Daftar Koreksi'!$H$5:$H$92,'Daftar Koreksi'!$D$5:$D$92,'3400'!A48,'Daftar Koreksi'!$G$5:$G$92,"Tanah",'Daftar Koreksi'!$H$5:$H$92,"&lt;0")-SUMIFS('Daftar Koreksi'!$H$5:$H$92,'Daftar Koreksi'!$D$5:$D$92,'3400'!A48,'Daftar Koreksi'!$G$5:$G$92,"Tanah",'Daftar Koreksi'!$H$5:$H$92,"&lt;0")</f>
        <v>0</v>
      </c>
      <c r="G52" s="17">
        <f t="shared" ref="G52:G68" si="2">D52+E52-F52</f>
        <v>1521000000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1559592199</v>
      </c>
      <c r="E53" s="25">
        <f>SUMIFS('Daftar Koreksi'!$H$5:$H$92,'Daftar Koreksi'!$D$5:$D$92,'3400'!A48,'Daftar Koreksi'!$G$5:$G$92,"Peralatan dan mesin",'Daftar Koreksi'!$H$5:$H$92,"&gt;0")</f>
        <v>0</v>
      </c>
      <c r="F53" s="25">
        <f>SUMIFS('Daftar Koreksi'!$H$5:$H$92,'Daftar Koreksi'!$D$5:$D$92,'3400'!A48,'Daftar Koreksi'!$G$5:$G$92,"Peralatan dan mesin",'Daftar Koreksi'!$H$5:$H$92,"&lt;0")-SUMIFS('Daftar Koreksi'!$H$5:$H$92,'Daftar Koreksi'!$D$5:$D$92,'3400'!A48,'Daftar Koreksi'!$G$5:$G$92,"Peralatan dan mesin",'Daftar Koreksi'!$H$5:$H$92,"&lt;0")-SUMIFS('Daftar Koreksi'!$H$5:$H$92,'Daftar Koreksi'!$D$5:$D$92,'3400'!A48,'Daftar Koreksi'!$G$5:$G$92,"Peralatan dan mesin",'Daftar Koreksi'!$H$5:$H$92,"&lt;0")</f>
        <v>0</v>
      </c>
      <c r="G53" s="17">
        <f t="shared" si="2"/>
        <v>1559592199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11861283331</v>
      </c>
      <c r="E54" s="25">
        <f>SUMIFS('Daftar Koreksi'!$H$5:$H$92,'Daftar Koreksi'!$D$5:$D$92,'3400'!A48,'Daftar Koreksi'!$G$5:$G$92,"Gedung dan Bangunan",'Daftar Koreksi'!$H$5:$H$92,"&gt;0")</f>
        <v>0</v>
      </c>
      <c r="F54" s="25">
        <f>SUMIFS('Daftar Koreksi'!$H$5:$H$92,'Daftar Koreksi'!$D$5:$D$92,'3400'!A48,'Daftar Koreksi'!$G$5:$G$92,"Gedung dan Bangunan",'Daftar Koreksi'!$H$5:$H$92,"&lt;0")-SUMIFS('Daftar Koreksi'!$H$5:$H$92,'Daftar Koreksi'!$D$5:$D$92,'3400'!A48,'Daftar Koreksi'!$G$5:$G$92,"Gedung dan Bangunan",'Daftar Koreksi'!$H$5:$H$92,"&lt;0")-SUMIFS('Daftar Koreksi'!$H$5:$H$92,'Daftar Koreksi'!$D$5:$D$92,'3400'!A48,'Daftar Koreksi'!$G$5:$G$92,"Gedung dan Bangunan",'Daftar Koreksi'!$H$5:$H$92,"&lt;0")</f>
        <v>0</v>
      </c>
      <c r="G54" s="17">
        <f t="shared" si="2"/>
        <v>11861283331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260000</v>
      </c>
      <c r="E55" s="25">
        <f>SUMIFS('Daftar Koreksi'!$H$5:$H$92,'Daftar Koreksi'!$D$5:$D$92,'3400'!A48,'Daftar Koreksi'!$G$5:$G$92,"Jalan Irigasi Jaringan",'Daftar Koreksi'!$H$5:$H$92,"&gt;0")</f>
        <v>0</v>
      </c>
      <c r="F55" s="25">
        <f>SUMIFS('Daftar Koreksi'!$H$5:$H$92,'Daftar Koreksi'!$D$5:$D$92,'3400'!A48,'Daftar Koreksi'!$G$5:$G$92,"Jalan Irigasi Jaringan",'Daftar Koreksi'!$H$5:$H$92,"&lt;0")-SUMIFS('Daftar Koreksi'!$H$5:$H$92,'Daftar Koreksi'!$D$5:$D$92,'3400'!A48,'Daftar Koreksi'!$G$5:$G$92,"Jalan Irigasi Jaringan",'Daftar Koreksi'!$H$5:$H$92,"&lt;0")-SUMIFS('Daftar Koreksi'!$H$5:$H$92,'Daftar Koreksi'!$D$5:$D$92,'3400'!A48,'Daftar Koreksi'!$G$5:$G$92,"Jalan Irigasi Jaringan",'Daftar Koreksi'!$H$5:$H$92,"&lt;0")</f>
        <v>0</v>
      </c>
      <c r="G55" s="17">
        <f t="shared" si="2"/>
        <v>260000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17186578</v>
      </c>
      <c r="E56" s="25">
        <f>SUMIFS('Daftar Koreksi'!$H$5:$H$92,'Daftar Koreksi'!$D$5:$D$92,'3400'!A48,'Daftar Koreksi'!$G$5:$G$92,"Aset Tetap Lainnya",'Daftar Koreksi'!$H$5:$H$92,"&gt;0")</f>
        <v>0</v>
      </c>
      <c r="F56" s="25">
        <f>SUMIFS('Daftar Koreksi'!$H$5:$H$92,'Daftar Koreksi'!$D$5:$D$92,'3400'!A48,'Daftar Koreksi'!$G$5:$G$92,"Aset Tetap Lainnya",'Daftar Koreksi'!$H$5:$H$92,"&lt;0")-SUMIFS('Daftar Koreksi'!$H$5:$H$92,'Daftar Koreksi'!$D$5:$D$92,'3400'!A48,'Daftar Koreksi'!$G$5:$G$92,"Aset Tetap Lainnya",'Daftar Koreksi'!$H$5:$H$92,"&lt;0")-SUMIFS('Daftar Koreksi'!$H$5:$H$92,'Daftar Koreksi'!$D$5:$D$92,'3400'!A48,'Daftar Koreksi'!$G$5:$G$92,"Aset Tetap Lainnya",'Daftar Koreksi'!$H$5:$H$92,"&lt;0")</f>
        <v>0</v>
      </c>
      <c r="G56" s="17">
        <f t="shared" si="2"/>
        <v>17186578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Koreksi'!$D$5:$D$92,'3400'!A48,'Daftar Koreksi'!$G$5:$G$92,"Kontruksi Dalam Pengerjaan",'Daftar Koreksi'!$H$5:$H$92,"&gt;0")</f>
        <v>0</v>
      </c>
      <c r="F57" s="25">
        <f>SUMIFS('Daftar Koreksi'!$H$5:$H$92,'Daftar Koreksi'!$D$5:$D$92,'3400'!A48,'Daftar Koreksi'!$G$5:$G$92,"Kontruksi Dalam Pengerjaan",'Daftar Koreksi'!$H$5:$H$92,"&lt;0")-SUMIFS('Daftar Koreksi'!$H$5:$H$92,'Daftar Koreksi'!$D$5:$D$92,'3400'!A48,'Daftar Koreksi'!$G$5:$G$92,"Kontruksi Dalam Pengerjaan",'Daftar Koreksi'!$H$5:$H$92,"&lt;0")-SUMIFS('Daftar Koreksi'!$H$5:$H$92,'Daftar Koreksi'!$D$5:$D$92,'3400'!A48,'Daftar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38599000</v>
      </c>
      <c r="E58" s="25">
        <f>SUMIFS('Daftar Koreksi'!$H$5:$H$92,'Daftar Koreksi'!$D$5:$D$92,'3400'!A48,'Daftar Koreksi'!$G$5:$G$92,"Aset Tak Berwujud",'Daftar Koreksi'!$H$5:$H$92,"&gt;0")</f>
        <v>0</v>
      </c>
      <c r="F58" s="25">
        <f>SUMIFS('Daftar Koreksi'!$H$5:$H$92,'Daftar Koreksi'!$D$5:$D$92,'3400'!A48,'Daftar Koreksi'!$G$5:$G$92,"Aset Tak Berwujud",'Daftar Koreksi'!$H$5:$H$92,"&lt;0")-SUMIFS('Daftar Koreksi'!$H$5:$H$92,'Daftar Koreksi'!$D$5:$D$92,'3400'!A48,'Daftar Koreksi'!$G$5:$G$92,"Aset Tak Berwujud",'Daftar Koreksi'!$H$5:$H$92,"&lt;0")-SUMIFS('Daftar Koreksi'!$H$5:$H$92,'Daftar Koreksi'!$D$5:$D$92,'3400'!A48,'Daftar Koreksi'!$G$5:$G$92,"Aset Tak Berwujud",'Daftar Koreksi'!$H$5:$H$92,"&lt;0")</f>
        <v>0</v>
      </c>
      <c r="G58" s="17">
        <f t="shared" si="2"/>
        <v>38599000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1017010</v>
      </c>
      <c r="E59" s="25">
        <f>SUMIFS('Daftar Koreksi'!$H$5:$H$92,'Daftar Koreksi'!$D$5:$D$92,'3400'!A48,'Daftar Koreksi'!$G$5:$G$92,"Aset Henti Guna",'Daftar Koreksi'!$H$5:$H$92,"&gt;0")</f>
        <v>0</v>
      </c>
      <c r="F59" s="25">
        <f>SUMIFS('Daftar Koreksi'!$H$5:$H$92,'Daftar Koreksi'!$D$5:$D$92,'3400'!A48,'Daftar Koreksi'!$G$5:$G$92,"Aset Henti Guna",'Daftar Koreksi'!$H$5:$H$92,"&lt;0")-SUMIFS('Daftar Koreksi'!$H$5:$H$92,'Daftar Koreksi'!$D$5:$D$92,'3400'!A48,'Daftar Koreksi'!$G$5:$G$92,"Aset Henti Guna",'Daftar Koreksi'!$H$5:$H$92,"&lt;0")-SUMIFS('Daftar Koreksi'!$H$5:$H$92,'Daftar Koreksi'!$D$5:$D$92,'3400'!A48,'Daftar Koreksi'!$G$5:$G$92,"Aset Henti Guna",'Daftar Koreksi'!$H$5:$H$92,"&lt;0")</f>
        <v>0</v>
      </c>
      <c r="G59" s="17">
        <f t="shared" si="2"/>
        <v>1017010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14999012118</v>
      </c>
      <c r="E60" s="19">
        <f>SUM(E51:E59)</f>
        <v>0</v>
      </c>
      <c r="F60" s="19">
        <f>SUM(F51:F59)</f>
        <v>0</v>
      </c>
      <c r="G60" s="19">
        <f t="shared" si="2"/>
        <v>14999012118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-1216798908</v>
      </c>
      <c r="E61" s="25">
        <f>SUMIFS('Daftar Koreksi'!$I$5:$I$92,'Daftar Koreksi'!$D$5:$D$92,'3400'!A48,'Daftar Koreksi'!$G$5:$G$92,"Peralatan dan mesin",'Daftar Koreksi'!$I$5:$I$92,"&gt;0")</f>
        <v>0</v>
      </c>
      <c r="F61" s="25">
        <f>SUMIFS('Daftar Koreksi'!$I$5:$I$92,'Daftar Koreksi'!$D$5:$D$92,'3400'!A48,'Daftar Koreksi'!$G$5:$G$92,"Peralatan dan mesin",'Daftar Koreksi'!$I$5:$I$92,"&lt;0")-SUMIFS('Daftar Koreksi'!$I$5:$I$92,'Daftar Koreksi'!$D$5:$D$92,'3400'!A48,'Daftar Koreksi'!$G$5:$G$92,"Peralatan dan mesin",'Daftar Koreksi'!$I$5:$I$92,"&lt;0")-SUMIFS('Daftar Koreksi'!$I$5:$I$92,'Daftar Koreksi'!$D$5:$D$92,'3400'!A48,'Daftar Koreksi'!$G$5:$G$92,"Peralatan dan mesin",'Daftar Koreksi'!$I$5:$I$92,"&lt;0")</f>
        <v>0</v>
      </c>
      <c r="G61" s="17">
        <f t="shared" si="2"/>
        <v>-1216798908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-3891325145</v>
      </c>
      <c r="E62" s="25">
        <f>SUMIFS('Daftar Koreksi'!$I$5:$I$92,'Daftar Koreksi'!$D$5:$D$92,'3400'!A48,'Daftar Koreksi'!$G$5:$G$92,"Gedung dan Bangunan",'Daftar Koreksi'!$I$5:$I$92,"&gt;0")</f>
        <v>0</v>
      </c>
      <c r="F62" s="25">
        <f>SUMIFS('Daftar Koreksi'!$I$5:$I$92,'Daftar Koreksi'!$D$5:$D$92,'3400'!A48,'Daftar Koreksi'!$G$5:$G$92,"Gedung dan Bangunan",'Daftar Koreksi'!$I$5:$I$92,"&lt;0")-SUMIFS('Daftar Koreksi'!$I$5:$I$92,'Daftar Koreksi'!$D$5:$D$92,'3400'!A48,'Daftar Koreksi'!$G$5:$G$92,"Gedung dan Bangunan",'Daftar Koreksi'!$I$5:$I$92,"&lt;0")-SUMIFS('Daftar Koreksi'!$I$5:$I$92,'Daftar Koreksi'!$D$5:$D$92,'3400'!A48,'Daftar Koreksi'!$G$5:$G$92,"Gedung dan Bangunan",'Daftar Koreksi'!$I$5:$I$92,"&lt;0")</f>
        <v>0</v>
      </c>
      <c r="G62" s="17">
        <f t="shared" si="2"/>
        <v>-3891325145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-147331</v>
      </c>
      <c r="E63" s="25">
        <f>SUMIFS('Daftar Koreksi'!$I$5:$I$92,'Daftar Koreksi'!$D$5:$D$92,'3400'!A48,'Daftar Koreksi'!$G$5:$G$92,"Jalan Irigasi Jaringan",'Daftar Koreksi'!$I$5:$I$92,"&gt;0")</f>
        <v>0</v>
      </c>
      <c r="F63" s="25">
        <f>SUMIFS('Daftar Koreksi'!$I$5:$I$92,'Daftar Koreksi'!$D$5:$D$92,'3400'!A48,'Daftar Koreksi'!$G$5:$G$92,"Jalan Irigasi Jaringan",'Daftar Koreksi'!$I$5:$I$92,"&lt;0")-SUMIFS('Daftar Koreksi'!$I$5:$I$92,'Daftar Koreksi'!$D$5:$D$92,'3400'!A48,'Daftar Koreksi'!$G$5:$G$92,"Jalan Irigasi Jaringan",'Daftar Koreksi'!$I$5:$I$92,"&lt;0")-SUMIFS('Daftar Koreksi'!$I$5:$I$92,'Daftar Koreksi'!$D$5:$D$92,'3400'!A48,'Daftar Koreksi'!$G$5:$G$92,"Jalan Irigasi Jaringan",'Daftar Koreksi'!$I$5:$I$92,"&lt;0")</f>
        <v>0</v>
      </c>
      <c r="G63" s="17">
        <f t="shared" si="2"/>
        <v>-147331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Koreksi'!$D$5:$D$92,'3400'!A48,'Daftar Koreksi'!$G$5:$G$92,"Aset Tetap Lainnya",'Daftar Koreksi'!$I$5:$I$92,"&gt;0")</f>
        <v>0</v>
      </c>
      <c r="F64" s="25">
        <f>SUMIFS('Daftar Koreksi'!$I$5:$I$92,'Daftar Koreksi'!$D$5:$D$92,'3400'!A48,'Daftar Koreksi'!$G$5:$G$92,"Aset Tetap Lainnya",'Daftar Koreksi'!$I$5:$I$92,"&lt;0")-SUMIFS('Daftar Koreksi'!$I$5:$I$92,'Daftar Koreksi'!$D$5:$D$92,'3400'!A48,'Daftar Koreksi'!$G$5:$G$92,"Aset Tetap Lainnya",'Daftar Koreksi'!$I$5:$I$92,"&lt;0")-SUMIFS('Daftar Koreksi'!$I$5:$I$92,'Daftar Koreksi'!$D$5:$D$92,'3400'!A48,'Daftar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-1017010</v>
      </c>
      <c r="E65" s="25">
        <f>SUMIFS('Daftar Koreksi'!$I$5:$I$92,'Daftar Koreksi'!$D$5:$D$92,'3400'!A48,'Daftar Koreksi'!$G$5:$G$92,"Aset Henti Guna",'Daftar Koreksi'!$I$5:$I$92,"&gt;0")</f>
        <v>0</v>
      </c>
      <c r="F65" s="25">
        <f>SUMIFS('Daftar Koreksi'!$I$5:$I$92,'Daftar Koreksi'!$D$5:$D$92,'3400'!A48,'Daftar Koreksi'!$G$5:$G$92,"Aset Henti Guna",'Daftar Koreksi'!$I$5:$I$92,"&lt;0")-SUMIFS('Daftar Koreksi'!$I$5:$I$92,'Daftar Koreksi'!$D$5:$D$92,'3400'!A48,'Daftar Koreksi'!$G$5:$G$92,"Aset Henti Guna",'Daftar Koreksi'!$I$5:$I$92,"&lt;0")-SUMIFS('Daftar Koreksi'!$I$5:$I$92,'Daftar Koreksi'!$D$5:$D$92,'3400'!A48,'Daftar Koreksi'!$G$5:$G$92,"Aset Henti Guna",'Daftar Koreksi'!$I$5:$I$92,"&lt;0")</f>
        <v>0</v>
      </c>
      <c r="G65" s="17">
        <f t="shared" si="2"/>
        <v>-1017010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-5109288394</v>
      </c>
      <c r="E66" s="19">
        <f>SUM(E61:E65)</f>
        <v>0</v>
      </c>
      <c r="F66" s="19">
        <f>SUM(F61:F65)</f>
        <v>0</v>
      </c>
      <c r="G66" s="19">
        <f t="shared" si="2"/>
        <v>-5109288394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9889723724</v>
      </c>
      <c r="E67" s="19">
        <f>E66+E60</f>
        <v>0</v>
      </c>
      <c r="F67" s="19">
        <f>F66+F60</f>
        <v>0</v>
      </c>
      <c r="G67" s="19">
        <f t="shared" si="2"/>
        <v>9889723724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005013400307630000KD</v>
      </c>
      <c r="B70" s="11" t="str">
        <f>P4</f>
        <v>PA. Polewali</v>
      </c>
      <c r="C70" s="12" t="str">
        <f>A70&amp;" "&amp;B70</f>
        <v>005013400307630000KD PA. Polewali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813200</v>
      </c>
      <c r="E73" s="25">
        <f>SUMIFS('Daftar Koreksi'!$H$5:$H$92,'Daftar Koreksi'!$D$5:$D$92,'3400'!A70,'Daftar Koreksi'!$G$5:$G$92,"Persediaan",'Daftar Koreksi'!$H$5:$H$92,"&gt;0")</f>
        <v>0</v>
      </c>
      <c r="F73" s="25">
        <f>SUMIFS('Daftar Koreksi'!$H$5:$H$92,'Daftar Koreksi'!$D$5:$D$92,'3400'!A70,'Daftar Koreksi'!$G$5:$G$92,"Persediaan",'Daftar Koreksi'!$H$5:$H$92,"&lt;0")-SUMIFS('Daftar Koreksi'!$H$5:$H$92,'Daftar Koreksi'!$D$5:$D$92,'3400'!A70,'Daftar Koreksi'!$G$5:$G$92,"Persediaan",'Daftar Koreksi'!$H$5:$H$92,"&lt;0")-SUMIFS('Daftar Koreksi'!$H$5:$H$92,'Daftar Koreksi'!$D$5:$D$92,'3400'!A70,'Daftar Koreksi'!$G$5:$G$92,"Persediaan",'Daftar Koreksi'!$H$5:$H$92,"&lt;0")</f>
        <v>0</v>
      </c>
      <c r="G73" s="17">
        <f>D73+E73-F73</f>
        <v>813200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825000000</v>
      </c>
      <c r="E74" s="25">
        <f>SUMIFS('Daftar Koreksi'!$H$5:$H$92,'Daftar Koreksi'!$D$5:$D$92,'3400'!A70,'Daftar Koreksi'!$G$5:$G$92,"Tanah",'Daftar Koreksi'!$H$5:$H$92,"&gt;0")</f>
        <v>0</v>
      </c>
      <c r="F74" s="25">
        <f>SUMIFS('Daftar Koreksi'!$H$5:$H$92,'Daftar Koreksi'!$D$5:$D$92,'3400'!A70,'Daftar Koreksi'!$G$5:$G$92,"Tanah",'Daftar Koreksi'!$H$5:$H$92,"&lt;0")-SUMIFS('Daftar Koreksi'!$H$5:$H$92,'Daftar Koreksi'!$D$5:$D$92,'3400'!A70,'Daftar Koreksi'!$G$5:$G$92,"Tanah",'Daftar Koreksi'!$H$5:$H$92,"&lt;0")-SUMIFS('Daftar Koreksi'!$H$5:$H$92,'Daftar Koreksi'!$D$5:$D$92,'3400'!A70,'Daftar Koreksi'!$G$5:$G$92,"Tanah",'Daftar Koreksi'!$H$5:$H$92,"&lt;0")</f>
        <v>0</v>
      </c>
      <c r="G74" s="17">
        <f t="shared" ref="G74:G90" si="3">D74+E74-F74</f>
        <v>825000000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1357156049</v>
      </c>
      <c r="E75" s="25">
        <f>SUMIFS('Daftar Koreksi'!$H$5:$H$92,'Daftar Koreksi'!$D$5:$D$92,'3400'!A70,'Daftar Koreksi'!$G$5:$G$92,"Peralatan dan mesin",'Daftar Koreksi'!$H$5:$H$92,"&gt;0")</f>
        <v>0</v>
      </c>
      <c r="F75" s="25">
        <f>SUMIFS('Daftar Koreksi'!$H$5:$H$92,'Daftar Koreksi'!$D$5:$D$92,'3400'!A70,'Daftar Koreksi'!$G$5:$G$92,"Peralatan dan mesin",'Daftar Koreksi'!$H$5:$H$92,"&lt;0")-SUMIFS('Daftar Koreksi'!$H$5:$H$92,'Daftar Koreksi'!$D$5:$D$92,'3400'!A70,'Daftar Koreksi'!$G$5:$G$92,"Peralatan dan mesin",'Daftar Koreksi'!$H$5:$H$92,"&lt;0")-SUMIFS('Daftar Koreksi'!$H$5:$H$92,'Daftar Koreksi'!$D$5:$D$92,'3400'!A70,'Daftar Koreksi'!$G$5:$G$92,"Peralatan dan mesin",'Daftar Koreksi'!$H$5:$H$92,"&lt;0")</f>
        <v>0</v>
      </c>
      <c r="G75" s="17">
        <f t="shared" si="3"/>
        <v>1357156049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3936171549</v>
      </c>
      <c r="E76" s="25">
        <f>SUMIFS('Daftar Koreksi'!$H$5:$H$92,'Daftar Koreksi'!$D$5:$D$92,'3400'!A70,'Daftar Koreksi'!$G$5:$G$92,"Gedung dan Bangunan",'Daftar Koreksi'!$H$5:$H$92,"&gt;0")</f>
        <v>0</v>
      </c>
      <c r="F76" s="25">
        <f>SUMIFS('Daftar Koreksi'!$H$5:$H$92,'Daftar Koreksi'!$D$5:$D$92,'3400'!A70,'Daftar Koreksi'!$G$5:$G$92,"Gedung dan Bangunan",'Daftar Koreksi'!$H$5:$H$92,"&lt;0")-SUMIFS('Daftar Koreksi'!$H$5:$H$92,'Daftar Koreksi'!$D$5:$D$92,'3400'!A70,'Daftar Koreksi'!$G$5:$G$92,"Gedung dan Bangunan",'Daftar Koreksi'!$H$5:$H$92,"&lt;0")-SUMIFS('Daftar Koreksi'!$H$5:$H$92,'Daftar Koreksi'!$D$5:$D$92,'3400'!A70,'Daftar Koreksi'!$G$5:$G$92,"Gedung dan Bangunan",'Daftar Koreksi'!$H$5:$H$92,"&lt;0")</f>
        <v>0</v>
      </c>
      <c r="G76" s="17">
        <f t="shared" si="3"/>
        <v>3936171549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9900000</v>
      </c>
      <c r="E77" s="25">
        <f>SUMIFS('Daftar Koreksi'!$H$5:$H$92,'Daftar Koreksi'!$D$5:$D$92,'3400'!A70,'Daftar Koreksi'!$G$5:$G$92,"Jalan Irigasi Jaringan",'Daftar Koreksi'!$H$5:$H$92,"&gt;0")</f>
        <v>0</v>
      </c>
      <c r="F77" s="25">
        <f>SUMIFS('Daftar Koreksi'!$H$5:$H$92,'Daftar Koreksi'!$D$5:$D$92,'3400'!A70,'Daftar Koreksi'!$G$5:$G$92,"Jalan Irigasi Jaringan",'Daftar Koreksi'!$H$5:$H$92,"&lt;0")-SUMIFS('Daftar Koreksi'!$H$5:$H$92,'Daftar Koreksi'!$D$5:$D$92,'3400'!A70,'Daftar Koreksi'!$G$5:$G$92,"Jalan Irigasi Jaringan",'Daftar Koreksi'!$H$5:$H$92,"&lt;0")-SUMIFS('Daftar Koreksi'!$H$5:$H$92,'Daftar Koreksi'!$D$5:$D$92,'3400'!A70,'Daftar Koreksi'!$G$5:$G$92,"Jalan Irigasi Jaringan",'Daftar Koreksi'!$H$5:$H$92,"&lt;0")</f>
        <v>0</v>
      </c>
      <c r="G77" s="17">
        <f t="shared" si="3"/>
        <v>9900000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10778000</v>
      </c>
      <c r="E78" s="25">
        <f>SUMIFS('Daftar Koreksi'!$H$5:$H$92,'Daftar Koreksi'!$D$5:$D$92,'3400'!A70,'Daftar Koreksi'!$G$5:$G$92,"Aset Tetap Lainnya",'Daftar Koreksi'!$H$5:$H$92,"&gt;0")</f>
        <v>0</v>
      </c>
      <c r="F78" s="25">
        <f>SUMIFS('Daftar Koreksi'!$H$5:$H$92,'Daftar Koreksi'!$D$5:$D$92,'3400'!A70,'Daftar Koreksi'!$G$5:$G$92,"Aset Tetap Lainnya",'Daftar Koreksi'!$H$5:$H$92,"&lt;0")-SUMIFS('Daftar Koreksi'!$H$5:$H$92,'Daftar Koreksi'!$D$5:$D$92,'3400'!A70,'Daftar Koreksi'!$G$5:$G$92,"Aset Tetap Lainnya",'Daftar Koreksi'!$H$5:$H$92,"&lt;0")-SUMIFS('Daftar Koreksi'!$H$5:$H$92,'Daftar Koreksi'!$D$5:$D$92,'3400'!A70,'Daftar Koreksi'!$G$5:$G$92,"Aset Tetap Lainnya",'Daftar Koreksi'!$H$5:$H$92,"&lt;0")</f>
        <v>0</v>
      </c>
      <c r="G78" s="17">
        <f t="shared" si="3"/>
        <v>10778000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Koreksi'!$D$5:$D$92,'3400'!A70,'Daftar Koreksi'!$G$5:$G$92,"Kontruksi Dalam Pengerjaan",'Daftar Koreksi'!$H$5:$H$92,"&gt;0")</f>
        <v>0</v>
      </c>
      <c r="F79" s="25">
        <f>SUMIFS('Daftar Koreksi'!$H$5:$H$92,'Daftar Koreksi'!$D$5:$D$92,'3400'!A70,'Daftar Koreksi'!$G$5:$G$92,"Kontruksi Dalam Pengerjaan",'Daftar Koreksi'!$H$5:$H$92,"&lt;0")-SUMIFS('Daftar Koreksi'!$H$5:$H$92,'Daftar Koreksi'!$D$5:$D$92,'3400'!A70,'Daftar Koreksi'!$G$5:$G$92,"Kontruksi Dalam Pengerjaan",'Daftar Koreksi'!$H$5:$H$92,"&lt;0")-SUMIFS('Daftar Koreksi'!$H$5:$H$92,'Daftar Koreksi'!$D$5:$D$92,'3400'!A70,'Daftar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18670000</v>
      </c>
      <c r="E80" s="25">
        <f>SUMIFS('Daftar Koreksi'!$H$5:$H$92,'Daftar Koreksi'!$D$5:$D$92,'3400'!A70,'Daftar Koreksi'!$G$5:$G$92,"Aset Tak Berwujud",'Daftar Koreksi'!$H$5:$H$92,"&gt;0")</f>
        <v>0</v>
      </c>
      <c r="F80" s="25">
        <f>SUMIFS('Daftar Koreksi'!$H$5:$H$92,'Daftar Koreksi'!$D$5:$D$92,'3400'!A70,'Daftar Koreksi'!$G$5:$G$92,"Aset Tak Berwujud",'Daftar Koreksi'!$H$5:$H$92,"&lt;0")-SUMIFS('Daftar Koreksi'!$H$5:$H$92,'Daftar Koreksi'!$D$5:$D$92,'3400'!A70,'Daftar Koreksi'!$G$5:$G$92,"Aset Tak Berwujud",'Daftar Koreksi'!$H$5:$H$92,"&lt;0")-SUMIFS('Daftar Koreksi'!$H$5:$H$92,'Daftar Koreksi'!$D$5:$D$92,'3400'!A70,'Daftar Koreksi'!$G$5:$G$92,"Aset Tak Berwujud",'Daftar Koreksi'!$H$5:$H$92,"&lt;0")</f>
        <v>0</v>
      </c>
      <c r="G80" s="17">
        <f t="shared" si="3"/>
        <v>18670000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5861500</v>
      </c>
      <c r="E81" s="25">
        <f>SUMIFS('Daftar Koreksi'!$H$5:$H$92,'Daftar Koreksi'!$D$5:$D$92,'3400'!A70,'Daftar Koreksi'!$G$5:$G$92,"Aset Henti Guna",'Daftar Koreksi'!$H$5:$H$92,"&gt;0")</f>
        <v>0</v>
      </c>
      <c r="F81" s="25">
        <f>SUMIFS('Daftar Koreksi'!$H$5:$H$92,'Daftar Koreksi'!$D$5:$D$92,'3400'!A70,'Daftar Koreksi'!$G$5:$G$92,"Aset Henti Guna",'Daftar Koreksi'!$H$5:$H$92,"&lt;0")-SUMIFS('Daftar Koreksi'!$H$5:$H$92,'Daftar Koreksi'!$D$5:$D$92,'3400'!A70,'Daftar Koreksi'!$G$5:$G$92,"Aset Henti Guna",'Daftar Koreksi'!$H$5:$H$92,"&lt;0")-SUMIFS('Daftar Koreksi'!$H$5:$H$92,'Daftar Koreksi'!$D$5:$D$92,'3400'!A70,'Daftar Koreksi'!$G$5:$G$92,"Aset Henti Guna",'Daftar Koreksi'!$H$5:$H$92,"&lt;0")</f>
        <v>0</v>
      </c>
      <c r="G81" s="17">
        <f t="shared" si="3"/>
        <v>5861500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6164350298</v>
      </c>
      <c r="E82" s="19">
        <f>SUM(E73:E81)</f>
        <v>0</v>
      </c>
      <c r="F82" s="19">
        <f>SUM(F73:F81)</f>
        <v>0</v>
      </c>
      <c r="G82" s="19">
        <f t="shared" si="3"/>
        <v>6164350298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-917885834</v>
      </c>
      <c r="E83" s="25">
        <f>SUMIFS('Daftar Koreksi'!$I$5:$I$92,'Daftar Koreksi'!$D$5:$D$92,'3400'!A70,'Daftar Koreksi'!$G$5:$G$92,"Peralatan dan mesin",'Daftar Koreksi'!$I$5:$I$92,"&gt;0")</f>
        <v>0</v>
      </c>
      <c r="F83" s="25">
        <f>SUMIFS('Daftar Koreksi'!$I$5:$I$92,'Daftar Koreksi'!$D$5:$D$92,'3400'!A70,'Daftar Koreksi'!$G$5:$G$92,"Peralatan dan mesin",'Daftar Koreksi'!$I$5:$I$92,"&lt;0")-SUMIFS('Daftar Koreksi'!$I$5:$I$92,'Daftar Koreksi'!$D$5:$D$92,'3400'!A70,'Daftar Koreksi'!$G$5:$G$92,"Peralatan dan mesin",'Daftar Koreksi'!$I$5:$I$92,"&lt;0")-SUMIFS('Daftar Koreksi'!$I$5:$I$92,'Daftar Koreksi'!$D$5:$D$92,'3400'!A70,'Daftar Koreksi'!$G$5:$G$92,"Peralatan dan mesin",'Daftar Koreksi'!$I$5:$I$92,"&lt;0")</f>
        <v>0</v>
      </c>
      <c r="G83" s="17">
        <f t="shared" si="3"/>
        <v>-917885834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-935912001</v>
      </c>
      <c r="E84" s="25">
        <f>SUMIFS('Daftar Koreksi'!$I$5:$I$92,'Daftar Koreksi'!$D$5:$D$92,'3400'!A70,'Daftar Koreksi'!$G$5:$G$92,"Gedung dan Bangunan",'Daftar Koreksi'!$I$5:$I$92,"&gt;0")</f>
        <v>0</v>
      </c>
      <c r="F84" s="25">
        <f>SUMIFS('Daftar Koreksi'!$I$5:$I$92,'Daftar Koreksi'!$D$5:$D$92,'3400'!A70,'Daftar Koreksi'!$G$5:$G$92,"Gedung dan Bangunan",'Daftar Koreksi'!$I$5:$I$92,"&lt;0")-SUMIFS('Daftar Koreksi'!$I$5:$I$92,'Daftar Koreksi'!$D$5:$D$92,'3400'!A70,'Daftar Koreksi'!$G$5:$G$92,"Gedung dan Bangunan",'Daftar Koreksi'!$I$5:$I$92,"&lt;0")-SUMIFS('Daftar Koreksi'!$I$5:$I$92,'Daftar Koreksi'!$D$5:$D$92,'3400'!A70,'Daftar Koreksi'!$G$5:$G$92,"Gedung dan Bangunan",'Daftar Koreksi'!$I$5:$I$92,"&lt;0")</f>
        <v>0</v>
      </c>
      <c r="G84" s="17">
        <f t="shared" si="3"/>
        <v>-935912001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-866250</v>
      </c>
      <c r="E85" s="25">
        <f>SUMIFS('Daftar Koreksi'!$I$5:$I$92,'Daftar Koreksi'!$D$5:$D$92,'3400'!A70,'Daftar Koreksi'!$G$5:$G$92,"Jalan Irigasi Jaringan",'Daftar Koreksi'!$I$5:$I$92,"&gt;0")</f>
        <v>0</v>
      </c>
      <c r="F85" s="25">
        <f>SUMIFS('Daftar Koreksi'!$I$5:$I$92,'Daftar Koreksi'!$D$5:$D$92,'3400'!A70,'Daftar Koreksi'!$G$5:$G$92,"Jalan Irigasi Jaringan",'Daftar Koreksi'!$I$5:$I$92,"&lt;0")-SUMIFS('Daftar Koreksi'!$I$5:$I$92,'Daftar Koreksi'!$D$5:$D$92,'3400'!A70,'Daftar Koreksi'!$G$5:$G$92,"Jalan Irigasi Jaringan",'Daftar Koreksi'!$I$5:$I$92,"&lt;0")-SUMIFS('Daftar Koreksi'!$I$5:$I$92,'Daftar Koreksi'!$D$5:$D$92,'3400'!A70,'Daftar Koreksi'!$G$5:$G$92,"Jalan Irigasi Jaringan",'Daftar Koreksi'!$I$5:$I$92,"&lt;0")</f>
        <v>0</v>
      </c>
      <c r="G85" s="17">
        <f t="shared" si="3"/>
        <v>-866250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Koreksi'!$D$5:$D$92,'3400'!A70,'Daftar Koreksi'!$G$5:$G$92,"Aset Tetap Lainnya",'Daftar Koreksi'!$I$5:$I$92,"&gt;0")</f>
        <v>0</v>
      </c>
      <c r="F86" s="25">
        <f>SUMIFS('Daftar Koreksi'!$I$5:$I$92,'Daftar Koreksi'!$D$5:$D$92,'3400'!A70,'Daftar Koreksi'!$G$5:$G$92,"Aset Tetap Lainnya",'Daftar Koreksi'!$I$5:$I$92,"&lt;0")-SUMIFS('Daftar Koreksi'!$I$5:$I$92,'Daftar Koreksi'!$D$5:$D$92,'3400'!A70,'Daftar Koreksi'!$G$5:$G$92,"Aset Tetap Lainnya",'Daftar Koreksi'!$I$5:$I$92,"&lt;0")-SUMIFS('Daftar Koreksi'!$I$5:$I$92,'Daftar Koreksi'!$D$5:$D$92,'3400'!A70,'Daftar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-5861500</v>
      </c>
      <c r="E87" s="25">
        <f>SUMIFS('Daftar Koreksi'!$I$5:$I$92,'Daftar Koreksi'!$D$5:$D$92,'3400'!A70,'Daftar Koreksi'!$G$5:$G$92,"Aset Henti Guna",'Daftar Koreksi'!$I$5:$I$92,"&gt;0")</f>
        <v>0</v>
      </c>
      <c r="F87" s="25">
        <f>SUMIFS('Daftar Koreksi'!$I$5:$I$92,'Daftar Koreksi'!$D$5:$D$92,'3400'!A70,'Daftar Koreksi'!$G$5:$G$92,"Aset Henti Guna",'Daftar Koreksi'!$I$5:$I$92,"&lt;0")-SUMIFS('Daftar Koreksi'!$I$5:$I$92,'Daftar Koreksi'!$D$5:$D$92,'3400'!A70,'Daftar Koreksi'!$G$5:$G$92,"Aset Henti Guna",'Daftar Koreksi'!$I$5:$I$92,"&lt;0")-SUMIFS('Daftar Koreksi'!$I$5:$I$92,'Daftar Koreksi'!$D$5:$D$92,'3400'!A70,'Daftar Koreksi'!$G$5:$G$92,"Aset Henti Guna",'Daftar Koreksi'!$I$5:$I$92,"&lt;0")</f>
        <v>0</v>
      </c>
      <c r="G87" s="17">
        <f t="shared" si="3"/>
        <v>-5861500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-1860525585</v>
      </c>
      <c r="E88" s="19">
        <f>SUM(E83:E87)</f>
        <v>0</v>
      </c>
      <c r="F88" s="19">
        <f>SUM(F83:F87)</f>
        <v>0</v>
      </c>
      <c r="G88" s="19">
        <f t="shared" si="3"/>
        <v>-1860525585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4303824713</v>
      </c>
      <c r="E89" s="19">
        <f>E88+E82</f>
        <v>0</v>
      </c>
      <c r="F89" s="19">
        <f>F88+F82</f>
        <v>0</v>
      </c>
      <c r="G89" s="19">
        <f t="shared" si="3"/>
        <v>4303824713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005013400307644000KD</v>
      </c>
      <c r="B92" s="11" t="str">
        <f>P5</f>
        <v xml:space="preserve">PA. Majene </v>
      </c>
      <c r="C92" s="12" t="str">
        <f>A92&amp;" "&amp;B92</f>
        <v xml:space="preserve">005013400307644000KD PA. Majene 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0</v>
      </c>
      <c r="E95" s="25">
        <f>SUMIFS('Daftar Koreksi'!$H$5:$H$92,'Daftar Koreksi'!$D$5:$D$92,'3400'!A92,'Daftar Koreksi'!$G$5:$G$92,"Persediaan",'Daftar Koreksi'!$H$5:$H$92,"&gt;0")</f>
        <v>0</v>
      </c>
      <c r="F95" s="25">
        <f>SUMIFS('Daftar Koreksi'!$H$5:$H$92,'Daftar Koreksi'!$D$5:$D$92,'3400'!A92,'Daftar Koreksi'!$G$5:$G$92,"Persediaan",'Daftar Koreksi'!$H$5:$H$92,"&lt;0")-SUMIFS('Daftar Koreksi'!$H$5:$H$92,'Daftar Koreksi'!$D$5:$D$92,'3400'!A92,'Daftar Koreksi'!$G$5:$G$92,"Persediaan",'Daftar Koreksi'!$H$5:$H$92,"&lt;0")-SUMIFS('Daftar Koreksi'!$H$5:$H$92,'Daftar Koreksi'!$D$5:$D$92,'3400'!A92,'Daftar Koreksi'!$G$5:$G$92,"Persediaan",'Daftar Koreksi'!$H$5:$H$92,"&lt;0")</f>
        <v>0</v>
      </c>
      <c r="G95" s="17">
        <f>D95+E95-F95</f>
        <v>0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1469000000</v>
      </c>
      <c r="E96" s="25">
        <f>SUMIFS('Daftar Koreksi'!$H$5:$H$92,'Daftar Koreksi'!$D$5:$D$92,'3400'!A92,'Daftar Koreksi'!$G$5:$G$92,"Tanah",'Daftar Koreksi'!$H$5:$H$92,"&gt;0")</f>
        <v>0</v>
      </c>
      <c r="F96" s="25">
        <f>SUMIFS('Daftar Koreksi'!$H$5:$H$92,'Daftar Koreksi'!$D$5:$D$92,'3400'!A92,'Daftar Koreksi'!$G$5:$G$92,"Tanah",'Daftar Koreksi'!$H$5:$H$92,"&lt;0")-SUMIFS('Daftar Koreksi'!$H$5:$H$92,'Daftar Koreksi'!$D$5:$D$92,'3400'!A92,'Daftar Koreksi'!$G$5:$G$92,"Tanah",'Daftar Koreksi'!$H$5:$H$92,"&lt;0")-SUMIFS('Daftar Koreksi'!$H$5:$H$92,'Daftar Koreksi'!$D$5:$D$92,'3400'!A92,'Daftar Koreksi'!$G$5:$G$92,"Tanah",'Daftar Koreksi'!$H$5:$H$92,"&lt;0")</f>
        <v>0</v>
      </c>
      <c r="G96" s="17">
        <f t="shared" ref="G96:G112" si="4">D96+E96-F96</f>
        <v>1469000000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1150824371</v>
      </c>
      <c r="E97" s="25">
        <f>SUMIFS('Daftar Koreksi'!$H$5:$H$92,'Daftar Koreksi'!$D$5:$D$92,'3400'!A92,'Daftar Koreksi'!$G$5:$G$92,"Peralatan dan mesin",'Daftar Koreksi'!$H$5:$H$92,"&gt;0")</f>
        <v>0</v>
      </c>
      <c r="F97" s="25">
        <f>SUMIFS('Daftar Koreksi'!$H$5:$H$92,'Daftar Koreksi'!$D$5:$D$92,'3400'!A92,'Daftar Koreksi'!$G$5:$G$92,"Peralatan dan mesin",'Daftar Koreksi'!$H$5:$H$92,"&lt;0")-SUMIFS('Daftar Koreksi'!$H$5:$H$92,'Daftar Koreksi'!$D$5:$D$92,'3400'!A92,'Daftar Koreksi'!$G$5:$G$92,"Peralatan dan mesin",'Daftar Koreksi'!$H$5:$H$92,"&lt;0")-SUMIFS('Daftar Koreksi'!$H$5:$H$92,'Daftar Koreksi'!$D$5:$D$92,'3400'!A92,'Daftar Koreksi'!$G$5:$G$92,"Peralatan dan mesin",'Daftar Koreksi'!$H$5:$H$92,"&lt;0")</f>
        <v>0</v>
      </c>
      <c r="G97" s="17">
        <f t="shared" si="4"/>
        <v>1150824371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5236671600</v>
      </c>
      <c r="E98" s="25">
        <f>SUMIFS('Daftar Koreksi'!$H$5:$H$92,'Daftar Koreksi'!$D$5:$D$92,'3400'!A92,'Daftar Koreksi'!$G$5:$G$92,"Gedung dan Bangunan",'Daftar Koreksi'!$H$5:$H$92,"&gt;0")</f>
        <v>0</v>
      </c>
      <c r="F98" s="25">
        <f>SUMIFS('Daftar Koreksi'!$H$5:$H$92,'Daftar Koreksi'!$D$5:$D$92,'3400'!A92,'Daftar Koreksi'!$G$5:$G$92,"Gedung dan Bangunan",'Daftar Koreksi'!$H$5:$H$92,"&lt;0")-SUMIFS('Daftar Koreksi'!$H$5:$H$92,'Daftar Koreksi'!$D$5:$D$92,'3400'!A92,'Daftar Koreksi'!$G$5:$G$92,"Gedung dan Bangunan",'Daftar Koreksi'!$H$5:$H$92,"&lt;0")-SUMIFS('Daftar Koreksi'!$H$5:$H$92,'Daftar Koreksi'!$D$5:$D$92,'3400'!A92,'Daftar Koreksi'!$G$5:$G$92,"Gedung dan Bangunan",'Daftar Koreksi'!$H$5:$H$92,"&lt;0")</f>
        <v>0</v>
      </c>
      <c r="G98" s="17">
        <f t="shared" si="4"/>
        <v>5236671600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16126000</v>
      </c>
      <c r="E99" s="25">
        <f>SUMIFS('Daftar Koreksi'!$H$5:$H$92,'Daftar Koreksi'!$D$5:$D$92,'3400'!A92,'Daftar Koreksi'!$G$5:$G$92,"Jalan Irigasi Jaringan",'Daftar Koreksi'!$H$5:$H$92,"&gt;0")</f>
        <v>0</v>
      </c>
      <c r="F99" s="25">
        <f>SUMIFS('Daftar Koreksi'!$H$5:$H$92,'Daftar Koreksi'!$D$5:$D$92,'3400'!A92,'Daftar Koreksi'!$G$5:$G$92,"Jalan Irigasi Jaringan",'Daftar Koreksi'!$H$5:$H$92,"&lt;0")-SUMIFS('Daftar Koreksi'!$H$5:$H$92,'Daftar Koreksi'!$D$5:$D$92,'3400'!A92,'Daftar Koreksi'!$G$5:$G$92,"Jalan Irigasi Jaringan",'Daftar Koreksi'!$H$5:$H$92,"&lt;0")-SUMIFS('Daftar Koreksi'!$H$5:$H$92,'Daftar Koreksi'!$D$5:$D$92,'3400'!A92,'Daftar Koreksi'!$G$5:$G$92,"Jalan Irigasi Jaringan",'Daftar Koreksi'!$H$5:$H$92,"&lt;0")</f>
        <v>0</v>
      </c>
      <c r="G99" s="17">
        <f t="shared" si="4"/>
        <v>16126000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23656570</v>
      </c>
      <c r="E100" s="25">
        <f>SUMIFS('Daftar Koreksi'!$H$5:$H$92,'Daftar Koreksi'!$D$5:$D$92,'3400'!A92,'Daftar Koreksi'!$G$5:$G$92,"Aset Tetap Lainnya",'Daftar Koreksi'!$H$5:$H$92,"&gt;0")</f>
        <v>0</v>
      </c>
      <c r="F100" s="25">
        <f>SUMIFS('Daftar Koreksi'!$H$5:$H$92,'Daftar Koreksi'!$D$5:$D$92,'3400'!A92,'Daftar Koreksi'!$G$5:$G$92,"Aset Tetap Lainnya",'Daftar Koreksi'!$H$5:$H$92,"&lt;0")-SUMIFS('Daftar Koreksi'!$H$5:$H$92,'Daftar Koreksi'!$D$5:$D$92,'3400'!A92,'Daftar Koreksi'!$G$5:$G$92,"Aset Tetap Lainnya",'Daftar Koreksi'!$H$5:$H$92,"&lt;0")-SUMIFS('Daftar Koreksi'!$H$5:$H$92,'Daftar Koreksi'!$D$5:$D$92,'3400'!A92,'Daftar Koreksi'!$G$5:$G$92,"Aset Tetap Lainnya",'Daftar Koreksi'!$H$5:$H$92,"&lt;0")</f>
        <v>0</v>
      </c>
      <c r="G100" s="17">
        <f t="shared" si="4"/>
        <v>23656570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Koreksi'!$D$5:$D$92,'3400'!A92,'Daftar Koreksi'!$G$5:$G$92,"Kontruksi Dalam Pengerjaan",'Daftar Koreksi'!$H$5:$H$92,"&gt;0")</f>
        <v>0</v>
      </c>
      <c r="F101" s="25">
        <f>SUMIFS('Daftar Koreksi'!$H$5:$H$92,'Daftar Koreksi'!$D$5:$D$92,'3400'!A92,'Daftar Koreksi'!$G$5:$G$92,"Kontruksi Dalam Pengerjaan",'Daftar Koreksi'!$H$5:$H$92,"&lt;0")-SUMIFS('Daftar Koreksi'!$H$5:$H$92,'Daftar Koreksi'!$D$5:$D$92,'3400'!A92,'Daftar Koreksi'!$G$5:$G$92,"Kontruksi Dalam Pengerjaan",'Daftar Koreksi'!$H$5:$H$92,"&lt;0")-SUMIFS('Daftar Koreksi'!$H$5:$H$92,'Daftar Koreksi'!$D$5:$D$92,'3400'!A92,'Daftar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Koreksi'!$D$5:$D$92,'3400'!A92,'Daftar Koreksi'!$G$5:$G$92,"Aset Tak Berwujud",'Daftar Koreksi'!$H$5:$H$92,"&gt;0")</f>
        <v>0</v>
      </c>
      <c r="F102" s="25">
        <f>SUMIFS('Daftar Koreksi'!$H$5:$H$92,'Daftar Koreksi'!$D$5:$D$92,'3400'!A92,'Daftar Koreksi'!$G$5:$G$92,"Aset Tak Berwujud",'Daftar Koreksi'!$H$5:$H$92,"&lt;0")-SUMIFS('Daftar Koreksi'!$H$5:$H$92,'Daftar Koreksi'!$D$5:$D$92,'3400'!A92,'Daftar Koreksi'!$G$5:$G$92,"Aset Tak Berwujud",'Daftar Koreksi'!$H$5:$H$92,"&lt;0")-SUMIFS('Daftar Koreksi'!$H$5:$H$92,'Daftar Koreksi'!$D$5:$D$92,'3400'!A92,'Daftar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Koreksi'!$D$5:$D$92,'3400'!A92,'Daftar Koreksi'!$G$5:$G$92,"Aset Henti Guna",'Daftar Koreksi'!$H$5:$H$92,"&gt;0")</f>
        <v>0</v>
      </c>
      <c r="F103" s="25">
        <f>SUMIFS('Daftar Koreksi'!$H$5:$H$92,'Daftar Koreksi'!$D$5:$D$92,'3400'!A92,'Daftar Koreksi'!$G$5:$G$92,"Aset Henti Guna",'Daftar Koreksi'!$H$5:$H$92,"&lt;0")-SUMIFS('Daftar Koreksi'!$H$5:$H$92,'Daftar Koreksi'!$D$5:$D$92,'3400'!A92,'Daftar Koreksi'!$G$5:$G$92,"Aset Henti Guna",'Daftar Koreksi'!$H$5:$H$92,"&lt;0")-SUMIFS('Daftar Koreksi'!$H$5:$H$92,'Daftar Koreksi'!$D$5:$D$92,'3400'!A92,'Daftar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7896278541</v>
      </c>
      <c r="E104" s="19">
        <f>SUM(E95:E103)</f>
        <v>0</v>
      </c>
      <c r="F104" s="19">
        <f>SUM(F95:F103)</f>
        <v>0</v>
      </c>
      <c r="G104" s="19">
        <f t="shared" si="4"/>
        <v>7896278541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-810198510</v>
      </c>
      <c r="E105" s="25">
        <f>SUMIFS('Daftar Koreksi'!$I$5:$I$92,'Daftar Koreksi'!$D$5:$D$92,'3400'!A92,'Daftar Koreksi'!$G$5:$G$92,"Peralatan dan mesin",'Daftar Koreksi'!$I$5:$I$92,"&gt;0")</f>
        <v>0</v>
      </c>
      <c r="F105" s="25">
        <f>SUMIFS('Daftar Koreksi'!$I$5:$I$92,'Daftar Koreksi'!$D$5:$D$92,'3400'!A92,'Daftar Koreksi'!$G$5:$G$92,"Peralatan dan mesin",'Daftar Koreksi'!$I$5:$I$92,"&lt;0")-SUMIFS('Daftar Koreksi'!$I$5:$I$92,'Daftar Koreksi'!$D$5:$D$92,'3400'!A92,'Daftar Koreksi'!$G$5:$G$92,"Peralatan dan mesin",'Daftar Koreksi'!$I$5:$I$92,"&lt;0")-SUMIFS('Daftar Koreksi'!$I$5:$I$92,'Daftar Koreksi'!$D$5:$D$92,'3400'!A92,'Daftar Koreksi'!$G$5:$G$92,"Peralatan dan mesin",'Daftar Koreksi'!$I$5:$I$92,"&lt;0")</f>
        <v>0</v>
      </c>
      <c r="G105" s="17">
        <f t="shared" si="4"/>
        <v>-810198510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-379347954</v>
      </c>
      <c r="E106" s="25">
        <f>SUMIFS('Daftar Koreksi'!$I$5:$I$92,'Daftar Koreksi'!$D$5:$D$92,'3400'!A92,'Daftar Koreksi'!$G$5:$G$92,"Gedung dan Bangunan",'Daftar Koreksi'!$I$5:$I$92,"&gt;0")</f>
        <v>0</v>
      </c>
      <c r="F106" s="25">
        <f>SUMIFS('Daftar Koreksi'!$I$5:$I$92,'Daftar Koreksi'!$D$5:$D$92,'3400'!A92,'Daftar Koreksi'!$G$5:$G$92,"Gedung dan Bangunan",'Daftar Koreksi'!$I$5:$I$92,"&lt;0")-SUMIFS('Daftar Koreksi'!$I$5:$I$92,'Daftar Koreksi'!$D$5:$D$92,'3400'!A92,'Daftar Koreksi'!$G$5:$G$92,"Gedung dan Bangunan",'Daftar Koreksi'!$I$5:$I$92,"&lt;0")-SUMIFS('Daftar Koreksi'!$I$5:$I$92,'Daftar Koreksi'!$D$5:$D$92,'3400'!A92,'Daftar Koreksi'!$G$5:$G$92,"Gedung dan Bangunan",'Daftar Koreksi'!$I$5:$I$92,"&lt;0")</f>
        <v>0</v>
      </c>
      <c r="G106" s="17">
        <f t="shared" si="4"/>
        <v>-379347954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-1612600</v>
      </c>
      <c r="E107" s="25">
        <f>SUMIFS('Daftar Koreksi'!$I$5:$I$92,'Daftar Koreksi'!$D$5:$D$92,'3400'!A92,'Daftar Koreksi'!$G$5:$G$92,"Jalan Irigasi Jaringan",'Daftar Koreksi'!$I$5:$I$92,"&gt;0")</f>
        <v>0</v>
      </c>
      <c r="F107" s="25">
        <f>SUMIFS('Daftar Koreksi'!$I$5:$I$92,'Daftar Koreksi'!$D$5:$D$92,'3400'!A92,'Daftar Koreksi'!$G$5:$G$92,"Jalan Irigasi Jaringan",'Daftar Koreksi'!$I$5:$I$92,"&lt;0")-SUMIFS('Daftar Koreksi'!$I$5:$I$92,'Daftar Koreksi'!$D$5:$D$92,'3400'!A92,'Daftar Koreksi'!$G$5:$G$92,"Jalan Irigasi Jaringan",'Daftar Koreksi'!$I$5:$I$92,"&lt;0")-SUMIFS('Daftar Koreksi'!$I$5:$I$92,'Daftar Koreksi'!$D$5:$D$92,'3400'!A92,'Daftar Koreksi'!$G$5:$G$92,"Jalan Irigasi Jaringan",'Daftar Koreksi'!$I$5:$I$92,"&lt;0")</f>
        <v>0</v>
      </c>
      <c r="G107" s="17">
        <f t="shared" si="4"/>
        <v>-1612600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Koreksi'!$D$5:$D$92,'3400'!A92,'Daftar Koreksi'!$G$5:$G$92,"Aset Tetap Lainnya",'Daftar Koreksi'!$I$5:$I$92,"&gt;0")</f>
        <v>0</v>
      </c>
      <c r="F108" s="25">
        <f>SUMIFS('Daftar Koreksi'!$I$5:$I$92,'Daftar Koreksi'!$D$5:$D$92,'3400'!A92,'Daftar Koreksi'!$G$5:$G$92,"Aset Tetap Lainnya",'Daftar Koreksi'!$I$5:$I$92,"&lt;0")-SUMIFS('Daftar Koreksi'!$I$5:$I$92,'Daftar Koreksi'!$D$5:$D$92,'3400'!A92,'Daftar Koreksi'!$G$5:$G$92,"Aset Tetap Lainnya",'Daftar Koreksi'!$I$5:$I$92,"&lt;0")-SUMIFS('Daftar Koreksi'!$I$5:$I$92,'Daftar Koreksi'!$D$5:$D$92,'3400'!A92,'Daftar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Koreksi'!$D$5:$D$92,'3400'!A92,'Daftar Koreksi'!$G$5:$G$92,"Aset Henti Guna",'Daftar Koreksi'!$I$5:$I$92,"&gt;0")</f>
        <v>0</v>
      </c>
      <c r="F109" s="25">
        <f>SUMIFS('Daftar Koreksi'!$I$5:$I$92,'Daftar Koreksi'!$D$5:$D$92,'3400'!A92,'Daftar Koreksi'!$G$5:$G$92,"Aset Henti Guna",'Daftar Koreksi'!$I$5:$I$92,"&lt;0")-SUMIFS('Daftar Koreksi'!$I$5:$I$92,'Daftar Koreksi'!$D$5:$D$92,'3400'!A92,'Daftar Koreksi'!$G$5:$G$92,"Aset Henti Guna",'Daftar Koreksi'!$I$5:$I$92,"&lt;0")-SUMIFS('Daftar Koreksi'!$I$5:$I$92,'Daftar Koreksi'!$D$5:$D$92,'3400'!A92,'Daftar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-1191159064</v>
      </c>
      <c r="E110" s="19">
        <f>SUM(E105:E109)</f>
        <v>0</v>
      </c>
      <c r="F110" s="19">
        <f>SUM(F105:F109)</f>
        <v>0</v>
      </c>
      <c r="G110" s="19">
        <f t="shared" si="4"/>
        <v>-1191159064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6705119477</v>
      </c>
      <c r="E111" s="19">
        <f>E110+E104</f>
        <v>0</v>
      </c>
      <c r="F111" s="19">
        <f>F110+F104</f>
        <v>0</v>
      </c>
      <c r="G111" s="19">
        <f t="shared" si="4"/>
        <v>6705119477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005013400307651000KD</v>
      </c>
      <c r="B114" s="11" t="str">
        <f>P6</f>
        <v>PA. Mamuju</v>
      </c>
      <c r="C114" s="12" t="str">
        <f>A114&amp;" "&amp;B114</f>
        <v>005013400307651000KD PA. Mamuju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1813000</v>
      </c>
      <c r="E117" s="25">
        <f>SUMIFS('Daftar Koreksi'!$H$5:$H$92,'Daftar Koreksi'!$D$5:$D$92,'3400'!A114,'Daftar Koreksi'!$G$5:$G$92,"Persediaan",'Daftar Koreksi'!$H$5:$H$92,"&gt;0")</f>
        <v>0</v>
      </c>
      <c r="F117" s="25">
        <f>SUMIFS('Daftar Koreksi'!$H$5:$H$92,'Daftar Koreksi'!$D$5:$D$92,'3400'!A114,'Daftar Koreksi'!$G$5:$G$92,"Persediaan",'Daftar Koreksi'!$H$5:$H$92,"&lt;0")-SUMIFS('Daftar Koreksi'!$H$5:$H$92,'Daftar Koreksi'!$D$5:$D$92,'3400'!A114,'Daftar Koreksi'!$G$5:$G$92,"Persediaan",'Daftar Koreksi'!$H$5:$H$92,"&lt;0")-SUMIFS('Daftar Koreksi'!$H$5:$H$92,'Daftar Koreksi'!$D$5:$D$92,'3400'!A114,'Daftar Koreksi'!$G$5:$G$92,"Persediaan",'Daftar Koreksi'!$H$5:$H$92,"&lt;0")</f>
        <v>0</v>
      </c>
      <c r="G117" s="17">
        <f>D117+E117-F117</f>
        <v>1813000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476000000</v>
      </c>
      <c r="E118" s="25">
        <f>SUMIFS('Daftar Koreksi'!$H$5:$H$92,'Daftar Koreksi'!$D$5:$D$92,'3400'!A114,'Daftar Koreksi'!$G$5:$G$92,"Tanah",'Daftar Koreksi'!$H$5:$H$92,"&gt;0")</f>
        <v>0</v>
      </c>
      <c r="F118" s="25">
        <f>SUMIFS('Daftar Koreksi'!$H$5:$H$92,'Daftar Koreksi'!$D$5:$D$92,'3400'!A114,'Daftar Koreksi'!$G$5:$G$92,"Tanah",'Daftar Koreksi'!$H$5:$H$92,"&lt;0")-SUMIFS('Daftar Koreksi'!$H$5:$H$92,'Daftar Koreksi'!$D$5:$D$92,'3400'!A114,'Daftar Koreksi'!$G$5:$G$92,"Tanah",'Daftar Koreksi'!$H$5:$H$92,"&lt;0")-SUMIFS('Daftar Koreksi'!$H$5:$H$92,'Daftar Koreksi'!$D$5:$D$92,'3400'!A114,'Daftar Koreksi'!$G$5:$G$92,"Tanah",'Daftar Koreksi'!$H$5:$H$92,"&lt;0")</f>
        <v>0</v>
      </c>
      <c r="G118" s="17">
        <f t="shared" ref="G118:G134" si="5">D118+E118-F118</f>
        <v>476000000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1358815312</v>
      </c>
      <c r="E119" s="25">
        <f>SUMIFS('Daftar Koreksi'!$H$5:$H$92,'Daftar Koreksi'!$D$5:$D$92,'3400'!A114,'Daftar Koreksi'!$G$5:$G$92,"Peralatan dan mesin",'Daftar Koreksi'!$H$5:$H$92,"&gt;0")</f>
        <v>0</v>
      </c>
      <c r="F119" s="25">
        <f>SUMIFS('Daftar Koreksi'!$H$5:$H$92,'Daftar Koreksi'!$D$5:$D$92,'3400'!A114,'Daftar Koreksi'!$G$5:$G$92,"Peralatan dan mesin",'Daftar Koreksi'!$H$5:$H$92,"&lt;0")-SUMIFS('Daftar Koreksi'!$H$5:$H$92,'Daftar Koreksi'!$D$5:$D$92,'3400'!A114,'Daftar Koreksi'!$G$5:$G$92,"Peralatan dan mesin",'Daftar Koreksi'!$H$5:$H$92,"&lt;0")-SUMIFS('Daftar Koreksi'!$H$5:$H$92,'Daftar Koreksi'!$D$5:$D$92,'3400'!A114,'Daftar Koreksi'!$G$5:$G$92,"Peralatan dan mesin",'Daftar Koreksi'!$H$5:$H$92,"&lt;0")</f>
        <v>0</v>
      </c>
      <c r="G119" s="17">
        <f t="shared" si="5"/>
        <v>1358815312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2568192000</v>
      </c>
      <c r="E120" s="25">
        <f>SUMIFS('Daftar Koreksi'!$H$5:$H$92,'Daftar Koreksi'!$D$5:$D$92,'3400'!A114,'Daftar Koreksi'!$G$5:$G$92,"Gedung dan Bangunan",'Daftar Koreksi'!$H$5:$H$92,"&gt;0")</f>
        <v>0</v>
      </c>
      <c r="F120" s="25">
        <f>SUMIFS('Daftar Koreksi'!$H$5:$H$92,'Daftar Koreksi'!$D$5:$D$92,'3400'!A114,'Daftar Koreksi'!$G$5:$G$92,"Gedung dan Bangunan",'Daftar Koreksi'!$H$5:$H$92,"&lt;0")-SUMIFS('Daftar Koreksi'!$H$5:$H$92,'Daftar Koreksi'!$D$5:$D$92,'3400'!A114,'Daftar Koreksi'!$G$5:$G$92,"Gedung dan Bangunan",'Daftar Koreksi'!$H$5:$H$92,"&lt;0")-SUMIFS('Daftar Koreksi'!$H$5:$H$92,'Daftar Koreksi'!$D$5:$D$92,'3400'!A114,'Daftar Koreksi'!$G$5:$G$92,"Gedung dan Bangunan",'Daftar Koreksi'!$H$5:$H$92,"&lt;0")</f>
        <v>0</v>
      </c>
      <c r="G120" s="17">
        <f t="shared" si="5"/>
        <v>2568192000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27566000</v>
      </c>
      <c r="E121" s="25">
        <f>SUMIFS('Daftar Koreksi'!$H$5:$H$92,'Daftar Koreksi'!$D$5:$D$92,'3400'!A114,'Daftar Koreksi'!$G$5:$G$92,"Jalan Irigasi Jaringan",'Daftar Koreksi'!$H$5:$H$92,"&gt;0")</f>
        <v>0</v>
      </c>
      <c r="F121" s="25">
        <f>SUMIFS('Daftar Koreksi'!$H$5:$H$92,'Daftar Koreksi'!$D$5:$D$92,'3400'!A114,'Daftar Koreksi'!$G$5:$G$92,"Jalan Irigasi Jaringan",'Daftar Koreksi'!$H$5:$H$92,"&lt;0")-SUMIFS('Daftar Koreksi'!$H$5:$H$92,'Daftar Koreksi'!$D$5:$D$92,'3400'!A114,'Daftar Koreksi'!$G$5:$G$92,"Jalan Irigasi Jaringan",'Daftar Koreksi'!$H$5:$H$92,"&lt;0")-SUMIFS('Daftar Koreksi'!$H$5:$H$92,'Daftar Koreksi'!$D$5:$D$92,'3400'!A114,'Daftar Koreksi'!$G$5:$G$92,"Jalan Irigasi Jaringan",'Daftar Koreksi'!$H$5:$H$92,"&lt;0")</f>
        <v>0</v>
      </c>
      <c r="G121" s="17">
        <f t="shared" si="5"/>
        <v>27566000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13624216</v>
      </c>
      <c r="E122" s="25">
        <f>SUMIFS('Daftar Koreksi'!$H$5:$H$92,'Daftar Koreksi'!$D$5:$D$92,'3400'!A114,'Daftar Koreksi'!$G$5:$G$92,"Aset Tetap Lainnya",'Daftar Koreksi'!$H$5:$H$92,"&gt;0")</f>
        <v>0</v>
      </c>
      <c r="F122" s="25">
        <f>SUMIFS('Daftar Koreksi'!$H$5:$H$92,'Daftar Koreksi'!$D$5:$D$92,'3400'!A114,'Daftar Koreksi'!$G$5:$G$92,"Aset Tetap Lainnya",'Daftar Koreksi'!$H$5:$H$92,"&lt;0")-SUMIFS('Daftar Koreksi'!$H$5:$H$92,'Daftar Koreksi'!$D$5:$D$92,'3400'!A114,'Daftar Koreksi'!$G$5:$G$92,"Aset Tetap Lainnya",'Daftar Koreksi'!$H$5:$H$92,"&lt;0")-SUMIFS('Daftar Koreksi'!$H$5:$H$92,'Daftar Koreksi'!$D$5:$D$92,'3400'!A114,'Daftar Koreksi'!$G$5:$G$92,"Aset Tetap Lainnya",'Daftar Koreksi'!$H$5:$H$92,"&lt;0")</f>
        <v>0</v>
      </c>
      <c r="G122" s="17">
        <f t="shared" si="5"/>
        <v>13624216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Koreksi'!$D$5:$D$92,'3400'!A114,'Daftar Koreksi'!$G$5:$G$92,"Kontruksi Dalam Pengerjaan",'Daftar Koreksi'!$H$5:$H$92,"&gt;0")</f>
        <v>0</v>
      </c>
      <c r="F123" s="25">
        <f>SUMIFS('Daftar Koreksi'!$H$5:$H$92,'Daftar Koreksi'!$D$5:$D$92,'3400'!A114,'Daftar Koreksi'!$G$5:$G$92,"Kontruksi Dalam Pengerjaan",'Daftar Koreksi'!$H$5:$H$92,"&lt;0")-SUMIFS('Daftar Koreksi'!$H$5:$H$92,'Daftar Koreksi'!$D$5:$D$92,'3400'!A114,'Daftar Koreksi'!$G$5:$G$92,"Kontruksi Dalam Pengerjaan",'Daftar Koreksi'!$H$5:$H$92,"&lt;0")-SUMIFS('Daftar Koreksi'!$H$5:$H$92,'Daftar Koreksi'!$D$5:$D$92,'3400'!A114,'Daftar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Koreksi'!$D$5:$D$92,'3400'!A114,'Daftar Koreksi'!$G$5:$G$92,"Aset Tak Berwujud",'Daftar Koreksi'!$H$5:$H$92,"&gt;0")</f>
        <v>0</v>
      </c>
      <c r="F124" s="25">
        <f>SUMIFS('Daftar Koreksi'!$H$5:$H$92,'Daftar Koreksi'!$D$5:$D$92,'3400'!A114,'Daftar Koreksi'!$G$5:$G$92,"Aset Tak Berwujud",'Daftar Koreksi'!$H$5:$H$92,"&lt;0")-SUMIFS('Daftar Koreksi'!$H$5:$H$92,'Daftar Koreksi'!$D$5:$D$92,'3400'!A114,'Daftar Koreksi'!$G$5:$G$92,"Aset Tak Berwujud",'Daftar Koreksi'!$H$5:$H$92,"&lt;0")-SUMIFS('Daftar Koreksi'!$H$5:$H$92,'Daftar Koreksi'!$D$5:$D$92,'3400'!A114,'Daftar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184328000</v>
      </c>
      <c r="E125" s="25">
        <f>SUMIFS('Daftar Koreksi'!$H$5:$H$92,'Daftar Koreksi'!$D$5:$D$92,'3400'!A114,'Daftar Koreksi'!$G$5:$G$92,"Aset Henti Guna",'Daftar Koreksi'!$H$5:$H$92,"&gt;0")</f>
        <v>0</v>
      </c>
      <c r="F125" s="25">
        <f>SUMIFS('Daftar Koreksi'!$H$5:$H$92,'Daftar Koreksi'!$D$5:$D$92,'3400'!A114,'Daftar Koreksi'!$G$5:$G$92,"Aset Henti Guna",'Daftar Koreksi'!$H$5:$H$92,"&lt;0")-SUMIFS('Daftar Koreksi'!$H$5:$H$92,'Daftar Koreksi'!$D$5:$D$92,'3400'!A114,'Daftar Koreksi'!$G$5:$G$92,"Aset Henti Guna",'Daftar Koreksi'!$H$5:$H$92,"&lt;0")-SUMIFS('Daftar Koreksi'!$H$5:$H$92,'Daftar Koreksi'!$D$5:$D$92,'3400'!A114,'Daftar Koreksi'!$G$5:$G$92,"Aset Henti Guna",'Daftar Koreksi'!$H$5:$H$92,"&lt;0")</f>
        <v>0</v>
      </c>
      <c r="G125" s="17">
        <f t="shared" si="5"/>
        <v>184328000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4630338528</v>
      </c>
      <c r="E126" s="19">
        <f>SUM(E117:E125)</f>
        <v>0</v>
      </c>
      <c r="F126" s="19">
        <f>SUM(F117:F125)</f>
        <v>0</v>
      </c>
      <c r="G126" s="19">
        <f t="shared" si="5"/>
        <v>4630338528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-1034273972</v>
      </c>
      <c r="E127" s="25">
        <f>SUMIFS('Daftar Koreksi'!$I$5:$I$92,'Daftar Koreksi'!$D$5:$D$92,'3400'!A114,'Daftar Koreksi'!$G$5:$G$92,"Peralatan dan mesin",'Daftar Koreksi'!$I$5:$I$92,"&gt;0")</f>
        <v>0</v>
      </c>
      <c r="F127" s="25">
        <f>SUMIFS('Daftar Koreksi'!$I$5:$I$92,'Daftar Koreksi'!$D$5:$D$92,'3400'!A114,'Daftar Koreksi'!$G$5:$G$92,"Peralatan dan mesin",'Daftar Koreksi'!$I$5:$I$92,"&lt;0")-SUMIFS('Daftar Koreksi'!$I$5:$I$92,'Daftar Koreksi'!$D$5:$D$92,'3400'!A114,'Daftar Koreksi'!$G$5:$G$92,"Peralatan dan mesin",'Daftar Koreksi'!$I$5:$I$92,"&lt;0")-SUMIFS('Daftar Koreksi'!$I$5:$I$92,'Daftar Koreksi'!$D$5:$D$92,'3400'!A114,'Daftar Koreksi'!$G$5:$G$92,"Peralatan dan mesin",'Daftar Koreksi'!$I$5:$I$92,"&lt;0")</f>
        <v>0</v>
      </c>
      <c r="G127" s="17">
        <f t="shared" si="5"/>
        <v>-1034273972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-407716314</v>
      </c>
      <c r="E128" s="25">
        <f>SUMIFS('Daftar Koreksi'!$I$5:$I$92,'Daftar Koreksi'!$D$5:$D$92,'3400'!A114,'Daftar Koreksi'!$G$5:$G$92,"Gedung dan Bangunan",'Daftar Koreksi'!$I$5:$I$92,"&gt;0")</f>
        <v>0</v>
      </c>
      <c r="F128" s="25">
        <f>SUMIFS('Daftar Koreksi'!$I$5:$I$92,'Daftar Koreksi'!$D$5:$D$92,'3400'!A114,'Daftar Koreksi'!$G$5:$G$92,"Gedung dan Bangunan",'Daftar Koreksi'!$I$5:$I$92,"&lt;0")-SUMIFS('Daftar Koreksi'!$I$5:$I$92,'Daftar Koreksi'!$D$5:$D$92,'3400'!A114,'Daftar Koreksi'!$G$5:$G$92,"Gedung dan Bangunan",'Daftar Koreksi'!$I$5:$I$92,"&lt;0")-SUMIFS('Daftar Koreksi'!$I$5:$I$92,'Daftar Koreksi'!$D$5:$D$92,'3400'!A114,'Daftar Koreksi'!$G$5:$G$92,"Gedung dan Bangunan",'Daftar Koreksi'!$I$5:$I$92,"&lt;0")</f>
        <v>0</v>
      </c>
      <c r="G128" s="17">
        <f t="shared" si="5"/>
        <v>-407716314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-2483691</v>
      </c>
      <c r="E129" s="25">
        <f>SUMIFS('Daftar Koreksi'!$I$5:$I$92,'Daftar Koreksi'!$D$5:$D$92,'3400'!A114,'Daftar Koreksi'!$G$5:$G$92,"Jalan Irigasi Jaringan",'Daftar Koreksi'!$I$5:$I$92,"&gt;0")</f>
        <v>0</v>
      </c>
      <c r="F129" s="25">
        <f>SUMIFS('Daftar Koreksi'!$I$5:$I$92,'Daftar Koreksi'!$D$5:$D$92,'3400'!A114,'Daftar Koreksi'!$G$5:$G$92,"Jalan Irigasi Jaringan",'Daftar Koreksi'!$I$5:$I$92,"&lt;0")-SUMIFS('Daftar Koreksi'!$I$5:$I$92,'Daftar Koreksi'!$D$5:$D$92,'3400'!A114,'Daftar Koreksi'!$G$5:$G$92,"Jalan Irigasi Jaringan",'Daftar Koreksi'!$I$5:$I$92,"&lt;0")-SUMIFS('Daftar Koreksi'!$I$5:$I$92,'Daftar Koreksi'!$D$5:$D$92,'3400'!A114,'Daftar Koreksi'!$G$5:$G$92,"Jalan Irigasi Jaringan",'Daftar Koreksi'!$I$5:$I$92,"&lt;0")</f>
        <v>0</v>
      </c>
      <c r="G129" s="17">
        <f t="shared" si="5"/>
        <v>-2483691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Koreksi'!$D$5:$D$92,'3400'!A114,'Daftar Koreksi'!$G$5:$G$92,"Aset Tetap Lainnya",'Daftar Koreksi'!$I$5:$I$92,"&gt;0")</f>
        <v>0</v>
      </c>
      <c r="F130" s="25">
        <f>SUMIFS('Daftar Koreksi'!$I$5:$I$92,'Daftar Koreksi'!$D$5:$D$92,'3400'!A114,'Daftar Koreksi'!$G$5:$G$92,"Aset Tetap Lainnya",'Daftar Koreksi'!$I$5:$I$92,"&lt;0")-SUMIFS('Daftar Koreksi'!$I$5:$I$92,'Daftar Koreksi'!$D$5:$D$92,'3400'!A114,'Daftar Koreksi'!$G$5:$G$92,"Aset Tetap Lainnya",'Daftar Koreksi'!$I$5:$I$92,"&lt;0")-SUMIFS('Daftar Koreksi'!$I$5:$I$92,'Daftar Koreksi'!$D$5:$D$92,'3400'!A114,'Daftar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-186843000</v>
      </c>
      <c r="E131" s="25">
        <f>SUMIFS('Daftar Koreksi'!$I$5:$I$92,'Daftar Koreksi'!$D$5:$D$92,'3400'!A114,'Daftar Koreksi'!$G$5:$G$92,"Aset Henti Guna",'Daftar Koreksi'!$I$5:$I$92,"&gt;0")</f>
        <v>0</v>
      </c>
      <c r="F131" s="25">
        <f>SUMIFS('Daftar Koreksi'!$I$5:$I$92,'Daftar Koreksi'!$D$5:$D$92,'3400'!A114,'Daftar Koreksi'!$G$5:$G$92,"Aset Henti Guna",'Daftar Koreksi'!$I$5:$I$92,"&lt;0")-SUMIFS('Daftar Koreksi'!$I$5:$I$92,'Daftar Koreksi'!$D$5:$D$92,'3400'!A114,'Daftar Koreksi'!$G$5:$G$92,"Aset Henti Guna",'Daftar Koreksi'!$I$5:$I$92,"&lt;0")-SUMIFS('Daftar Koreksi'!$I$5:$I$92,'Daftar Koreksi'!$D$5:$D$92,'3400'!A114,'Daftar Koreksi'!$G$5:$G$92,"Aset Henti Guna",'Daftar Koreksi'!$I$5:$I$92,"&lt;0")</f>
        <v>0</v>
      </c>
      <c r="G131" s="17">
        <f t="shared" si="5"/>
        <v>-186843000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-1631316977</v>
      </c>
      <c r="E132" s="19">
        <f>SUM(E127:E131)</f>
        <v>0</v>
      </c>
      <c r="F132" s="19">
        <f>SUM(F127:F131)</f>
        <v>0</v>
      </c>
      <c r="G132" s="19">
        <f t="shared" si="5"/>
        <v>-1631316977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2999021551</v>
      </c>
      <c r="E133" s="19">
        <f>E132+E126</f>
        <v>0</v>
      </c>
      <c r="F133" s="19">
        <f>F132+F126</f>
        <v>0</v>
      </c>
      <c r="G133" s="19">
        <f t="shared" si="5"/>
        <v>2999021551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005013400681422000KD</v>
      </c>
      <c r="B136" s="11" t="str">
        <f>P7</f>
        <v>PN. Pasangkayu</v>
      </c>
      <c r="C136" s="12" t="str">
        <f>A136&amp;" "&amp;B136</f>
        <v>005013400681422000KD PN. Pasangkayu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96000</v>
      </c>
      <c r="E139" s="25">
        <f>SUMIFS('Daftar Koreksi'!$H$5:$H$92,'Daftar Koreksi'!$D$5:$D$92,'3400'!A136,'Daftar Koreksi'!$G$5:$G$92,"Persediaan",'Daftar Koreksi'!$H$5:$H$92,"&gt;0")</f>
        <v>0</v>
      </c>
      <c r="F139" s="25">
        <f>SUMIFS('Daftar Koreksi'!$H$5:$H$92,'Daftar Koreksi'!$D$5:$D$92,'3400'!A136,'Daftar Koreksi'!$G$5:$G$92,"Persediaan",'Daftar Koreksi'!$H$5:$H$92,"&lt;0")-SUMIFS('Daftar Koreksi'!$H$5:$H$92,'Daftar Koreksi'!$D$5:$D$92,'3400'!A136,'Daftar Koreksi'!$G$5:$G$92,"Persediaan",'Daftar Koreksi'!$H$5:$H$92,"&lt;0")-SUMIFS('Daftar Koreksi'!$H$5:$H$92,'Daftar Koreksi'!$D$5:$D$92,'3400'!A136,'Daftar Koreksi'!$G$5:$G$92,"Persediaan",'Daftar Koreksi'!$H$5:$H$92,"&lt;0")</f>
        <v>0</v>
      </c>
      <c r="G139" s="17">
        <f>D139+E139-F139</f>
        <v>96000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1335292862</v>
      </c>
      <c r="E140" s="25">
        <f>SUMIFS('Daftar Koreksi'!$H$5:$H$92,'Daftar Koreksi'!$D$5:$D$92,'3400'!A136,'Daftar Koreksi'!$G$5:$G$92,"Tanah",'Daftar Koreksi'!$H$5:$H$92,"&gt;0")</f>
        <v>0</v>
      </c>
      <c r="F140" s="25">
        <f>SUMIFS('Daftar Koreksi'!$H$5:$H$92,'Daftar Koreksi'!$D$5:$D$92,'3400'!A136,'Daftar Koreksi'!$G$5:$G$92,"Tanah",'Daftar Koreksi'!$H$5:$H$92,"&lt;0")-SUMIFS('Daftar Koreksi'!$H$5:$H$92,'Daftar Koreksi'!$D$5:$D$92,'3400'!A136,'Daftar Koreksi'!$G$5:$G$92,"Tanah",'Daftar Koreksi'!$H$5:$H$92,"&lt;0")-SUMIFS('Daftar Koreksi'!$H$5:$H$92,'Daftar Koreksi'!$D$5:$D$92,'3400'!A136,'Daftar Koreksi'!$G$5:$G$92,"Tanah",'Daftar Koreksi'!$H$5:$H$92,"&lt;0")</f>
        <v>0</v>
      </c>
      <c r="G140" s="17">
        <f t="shared" ref="G140:G156" si="6">D140+E140-F140</f>
        <v>1335292862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882083934</v>
      </c>
      <c r="E141" s="25">
        <f>SUMIFS('Daftar Koreksi'!$H$5:$H$92,'Daftar Koreksi'!$D$5:$D$92,'3400'!A136,'Daftar Koreksi'!$G$5:$G$92,"Peralatan dan mesin",'Daftar Koreksi'!$H$5:$H$92,"&gt;0")</f>
        <v>0</v>
      </c>
      <c r="F141" s="25">
        <f>SUMIFS('Daftar Koreksi'!$H$5:$H$92,'Daftar Koreksi'!$D$5:$D$92,'3400'!A136,'Daftar Koreksi'!$G$5:$G$92,"Peralatan dan mesin",'Daftar Koreksi'!$H$5:$H$92,"&lt;0")-SUMIFS('Daftar Koreksi'!$H$5:$H$92,'Daftar Koreksi'!$D$5:$D$92,'3400'!A136,'Daftar Koreksi'!$G$5:$G$92,"Peralatan dan mesin",'Daftar Koreksi'!$H$5:$H$92,"&lt;0")-SUMIFS('Daftar Koreksi'!$H$5:$H$92,'Daftar Koreksi'!$D$5:$D$92,'3400'!A136,'Daftar Koreksi'!$G$5:$G$92,"Peralatan dan mesin",'Daftar Koreksi'!$H$5:$H$92,"&lt;0")</f>
        <v>0</v>
      </c>
      <c r="G141" s="17">
        <f t="shared" si="6"/>
        <v>882083934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13611606345</v>
      </c>
      <c r="E142" s="25">
        <f>SUMIFS('Daftar Koreksi'!$H$5:$H$92,'Daftar Koreksi'!$D$5:$D$92,'3400'!A136,'Daftar Koreksi'!$G$5:$G$92,"Gedung dan Bangunan",'Daftar Koreksi'!$H$5:$H$92,"&gt;0")</f>
        <v>0</v>
      </c>
      <c r="F142" s="25">
        <f>SUMIFS('Daftar Koreksi'!$H$5:$H$92,'Daftar Koreksi'!$D$5:$D$92,'3400'!A136,'Daftar Koreksi'!$G$5:$G$92,"Gedung dan Bangunan",'Daftar Koreksi'!$H$5:$H$92,"&lt;0")-SUMIFS('Daftar Koreksi'!$H$5:$H$92,'Daftar Koreksi'!$D$5:$D$92,'3400'!A136,'Daftar Koreksi'!$G$5:$G$92,"Gedung dan Bangunan",'Daftar Koreksi'!$H$5:$H$92,"&lt;0")-SUMIFS('Daftar Koreksi'!$H$5:$H$92,'Daftar Koreksi'!$D$5:$D$92,'3400'!A136,'Daftar Koreksi'!$G$5:$G$92,"Gedung dan Bangunan",'Daftar Koreksi'!$H$5:$H$92,"&lt;0")</f>
        <v>0</v>
      </c>
      <c r="G142" s="17">
        <f t="shared" si="6"/>
        <v>13611606345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Koreksi'!$D$5:$D$92,'3400'!A136,'Daftar Koreksi'!$G$5:$G$92,"Jalan Irigasi Jaringan",'Daftar Koreksi'!$H$5:$H$92,"&gt;0")</f>
        <v>0</v>
      </c>
      <c r="F143" s="25">
        <f>SUMIFS('Daftar Koreksi'!$H$5:$H$92,'Daftar Koreksi'!$D$5:$D$92,'3400'!A136,'Daftar Koreksi'!$G$5:$G$92,"Jalan Irigasi Jaringan",'Daftar Koreksi'!$H$5:$H$92,"&lt;0")-SUMIFS('Daftar Koreksi'!$H$5:$H$92,'Daftar Koreksi'!$D$5:$D$92,'3400'!A136,'Daftar Koreksi'!$G$5:$G$92,"Jalan Irigasi Jaringan",'Daftar Koreksi'!$H$5:$H$92,"&lt;0")-SUMIFS('Daftar Koreksi'!$H$5:$H$92,'Daftar Koreksi'!$D$5:$D$92,'3400'!A136,'Daftar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0</v>
      </c>
      <c r="E144" s="25">
        <f>SUMIFS('Daftar Koreksi'!$H$5:$H$92,'Daftar Koreksi'!$D$5:$D$92,'3400'!A136,'Daftar Koreksi'!$G$5:$G$92,"Aset Tetap Lainnya",'Daftar Koreksi'!$H$5:$H$92,"&gt;0")</f>
        <v>0</v>
      </c>
      <c r="F144" s="25">
        <f>SUMIFS('Daftar Koreksi'!$H$5:$H$92,'Daftar Koreksi'!$D$5:$D$92,'3400'!A136,'Daftar Koreksi'!$G$5:$G$92,"Aset Tetap Lainnya",'Daftar Koreksi'!$H$5:$H$92,"&lt;0")-SUMIFS('Daftar Koreksi'!$H$5:$H$92,'Daftar Koreksi'!$D$5:$D$92,'3400'!A136,'Daftar Koreksi'!$G$5:$G$92,"Aset Tetap Lainnya",'Daftar Koreksi'!$H$5:$H$92,"&lt;0")-SUMIFS('Daftar Koreksi'!$H$5:$H$92,'Daftar Koreksi'!$D$5:$D$92,'3400'!A136,'Daftar Koreksi'!$G$5:$G$92,"Aset Tetap Lainnya",'Daftar Koreksi'!$H$5:$H$92,"&lt;0")</f>
        <v>0</v>
      </c>
      <c r="G144" s="17">
        <f t="shared" si="6"/>
        <v>0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Koreksi'!$D$5:$D$92,'3400'!A136,'Daftar Koreksi'!$G$5:$G$92,"Kontruksi Dalam Pengerjaan",'Daftar Koreksi'!$H$5:$H$92,"&gt;0")</f>
        <v>0</v>
      </c>
      <c r="F145" s="25">
        <f>SUMIFS('Daftar Koreksi'!$H$5:$H$92,'Daftar Koreksi'!$D$5:$D$92,'3400'!A136,'Daftar Koreksi'!$G$5:$G$92,"Kontruksi Dalam Pengerjaan",'Daftar Koreksi'!$H$5:$H$92,"&lt;0")-SUMIFS('Daftar Koreksi'!$H$5:$H$92,'Daftar Koreksi'!$D$5:$D$92,'3400'!A136,'Daftar Koreksi'!$G$5:$G$92,"Kontruksi Dalam Pengerjaan",'Daftar Koreksi'!$H$5:$H$92,"&lt;0")-SUMIFS('Daftar Koreksi'!$H$5:$H$92,'Daftar Koreksi'!$D$5:$D$92,'3400'!A136,'Daftar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Koreksi'!$D$5:$D$92,'3400'!A136,'Daftar Koreksi'!$G$5:$G$92,"Aset Tak Berwujud",'Daftar Koreksi'!$H$5:$H$92,"&gt;0")</f>
        <v>0</v>
      </c>
      <c r="F146" s="25">
        <f>SUMIFS('Daftar Koreksi'!$H$5:$H$92,'Daftar Koreksi'!$D$5:$D$92,'3400'!A136,'Daftar Koreksi'!$G$5:$G$92,"Aset Tak Berwujud",'Daftar Koreksi'!$H$5:$H$92,"&lt;0")-SUMIFS('Daftar Koreksi'!$H$5:$H$92,'Daftar Koreksi'!$D$5:$D$92,'3400'!A136,'Daftar Koreksi'!$G$5:$G$92,"Aset Tak Berwujud",'Daftar Koreksi'!$H$5:$H$92,"&lt;0")-SUMIFS('Daftar Koreksi'!$H$5:$H$92,'Daftar Koreksi'!$D$5:$D$92,'3400'!A136,'Daftar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Koreksi'!$D$5:$D$92,'3400'!A136,'Daftar Koreksi'!$G$5:$G$92,"Aset Henti Guna",'Daftar Koreksi'!$H$5:$H$92,"&gt;0")</f>
        <v>0</v>
      </c>
      <c r="F147" s="25">
        <f>SUMIFS('Daftar Koreksi'!$H$5:$H$92,'Daftar Koreksi'!$D$5:$D$92,'3400'!A136,'Daftar Koreksi'!$G$5:$G$92,"Aset Henti Guna",'Daftar Koreksi'!$H$5:$H$92,"&lt;0")-SUMIFS('Daftar Koreksi'!$H$5:$H$92,'Daftar Koreksi'!$D$5:$D$92,'3400'!A136,'Daftar Koreksi'!$G$5:$G$92,"Aset Henti Guna",'Daftar Koreksi'!$H$5:$H$92,"&lt;0")-SUMIFS('Daftar Koreksi'!$H$5:$H$92,'Daftar Koreksi'!$D$5:$D$92,'3400'!A136,'Daftar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15829079141</v>
      </c>
      <c r="E148" s="19">
        <f>SUM(E139:E147)</f>
        <v>0</v>
      </c>
      <c r="F148" s="19">
        <f>SUM(F139:F147)</f>
        <v>0</v>
      </c>
      <c r="G148" s="19">
        <f t="shared" si="6"/>
        <v>15829079141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-364717263</v>
      </c>
      <c r="E149" s="25">
        <f>SUMIFS('Daftar Koreksi'!$I$5:$I$92,'Daftar Koreksi'!$D$5:$D$92,'3400'!A136,'Daftar Koreksi'!$G$5:$G$92,"Peralatan dan mesin",'Daftar Koreksi'!$I$5:$I$92,"&gt;0")</f>
        <v>0</v>
      </c>
      <c r="F149" s="25">
        <f>SUMIFS('Daftar Koreksi'!$I$5:$I$92,'Daftar Koreksi'!$D$5:$D$92,'3400'!A136,'Daftar Koreksi'!$G$5:$G$92,"Peralatan dan mesin",'Daftar Koreksi'!$I$5:$I$92,"&lt;0")-SUMIFS('Daftar Koreksi'!$I$5:$I$92,'Daftar Koreksi'!$D$5:$D$92,'3400'!A136,'Daftar Koreksi'!$G$5:$G$92,"Peralatan dan mesin",'Daftar Koreksi'!$I$5:$I$92,"&lt;0")-SUMIFS('Daftar Koreksi'!$I$5:$I$92,'Daftar Koreksi'!$D$5:$D$92,'3400'!A136,'Daftar Koreksi'!$G$5:$G$92,"Peralatan dan mesin",'Daftar Koreksi'!$I$5:$I$92,"&lt;0")</f>
        <v>0</v>
      </c>
      <c r="G149" s="17">
        <f t="shared" si="6"/>
        <v>-364717263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-387765741</v>
      </c>
      <c r="E150" s="25">
        <f>SUMIFS('Daftar Koreksi'!$I$5:$I$92,'Daftar Koreksi'!$D$5:$D$92,'3400'!A136,'Daftar Koreksi'!$G$5:$G$92,"Gedung dan Bangunan",'Daftar Koreksi'!$I$5:$I$92,"&gt;0")</f>
        <v>0</v>
      </c>
      <c r="F150" s="25">
        <f>SUMIFS('Daftar Koreksi'!$I$5:$I$92,'Daftar Koreksi'!$D$5:$D$92,'3400'!A136,'Daftar Koreksi'!$G$5:$G$92,"Gedung dan Bangunan",'Daftar Koreksi'!$I$5:$I$92,"&lt;0")-SUMIFS('Daftar Koreksi'!$I$5:$I$92,'Daftar Koreksi'!$D$5:$D$92,'3400'!A136,'Daftar Koreksi'!$G$5:$G$92,"Gedung dan Bangunan",'Daftar Koreksi'!$I$5:$I$92,"&lt;0")-SUMIFS('Daftar Koreksi'!$I$5:$I$92,'Daftar Koreksi'!$D$5:$D$92,'3400'!A136,'Daftar Koreksi'!$G$5:$G$92,"Gedung dan Bangunan",'Daftar Koreksi'!$I$5:$I$92,"&lt;0")</f>
        <v>0</v>
      </c>
      <c r="G150" s="17">
        <f t="shared" si="6"/>
        <v>-387765741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Koreksi'!$D$5:$D$92,'3400'!A136,'Daftar Koreksi'!$G$5:$G$92,"Jalan Irigasi Jaringan",'Daftar Koreksi'!$I$5:$I$92,"&gt;0")</f>
        <v>0</v>
      </c>
      <c r="F151" s="25">
        <f>SUMIFS('Daftar Koreksi'!$I$5:$I$92,'Daftar Koreksi'!$D$5:$D$92,'3400'!A136,'Daftar Koreksi'!$G$5:$G$92,"Jalan Irigasi Jaringan",'Daftar Koreksi'!$I$5:$I$92,"&lt;0")-SUMIFS('Daftar Koreksi'!$I$5:$I$92,'Daftar Koreksi'!$D$5:$D$92,'3400'!A136,'Daftar Koreksi'!$G$5:$G$92,"Jalan Irigasi Jaringan",'Daftar Koreksi'!$I$5:$I$92,"&lt;0")-SUMIFS('Daftar Koreksi'!$I$5:$I$92,'Daftar Koreksi'!$D$5:$D$92,'3400'!A136,'Daftar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Koreksi'!$D$5:$D$92,'3400'!A136,'Daftar Koreksi'!$G$5:$G$92,"Aset Tetap Lainnya",'Daftar Koreksi'!$I$5:$I$92,"&gt;0")</f>
        <v>0</v>
      </c>
      <c r="F152" s="25">
        <f>SUMIFS('Daftar Koreksi'!$I$5:$I$92,'Daftar Koreksi'!$D$5:$D$92,'3400'!A136,'Daftar Koreksi'!$G$5:$G$92,"Aset Tetap Lainnya",'Daftar Koreksi'!$I$5:$I$92,"&lt;0")-SUMIFS('Daftar Koreksi'!$I$5:$I$92,'Daftar Koreksi'!$D$5:$D$92,'3400'!A136,'Daftar Koreksi'!$G$5:$G$92,"Aset Tetap Lainnya",'Daftar Koreksi'!$I$5:$I$92,"&lt;0")-SUMIFS('Daftar Koreksi'!$I$5:$I$92,'Daftar Koreksi'!$D$5:$D$92,'3400'!A136,'Daftar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Koreksi'!$D$5:$D$92,'3400'!A136,'Daftar Koreksi'!$G$5:$G$92,"Aset Henti Guna",'Daftar Koreksi'!$I$5:$I$92,"&gt;0")</f>
        <v>0</v>
      </c>
      <c r="F153" s="25">
        <f>SUMIFS('Daftar Koreksi'!$I$5:$I$92,'Daftar Koreksi'!$D$5:$D$92,'3400'!A136,'Daftar Koreksi'!$G$5:$G$92,"Aset Henti Guna",'Daftar Koreksi'!$I$5:$I$92,"&lt;0")-SUMIFS('Daftar Koreksi'!$I$5:$I$92,'Daftar Koreksi'!$D$5:$D$92,'3400'!A136,'Daftar Koreksi'!$G$5:$G$92,"Aset Henti Guna",'Daftar Koreksi'!$I$5:$I$92,"&lt;0")-SUMIFS('Daftar Koreksi'!$I$5:$I$92,'Daftar Koreksi'!$D$5:$D$92,'3400'!A136,'Daftar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-752483004</v>
      </c>
      <c r="E154" s="19">
        <f>SUM(E149:E153)</f>
        <v>0</v>
      </c>
      <c r="F154" s="19">
        <f>SUM(F149:F153)</f>
        <v>0</v>
      </c>
      <c r="G154" s="19">
        <f t="shared" si="6"/>
        <v>-752483004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15076596137</v>
      </c>
      <c r="E155" s="19">
        <f>E154+E148</f>
        <v>0</v>
      </c>
      <c r="F155" s="19">
        <f>F154+F148</f>
        <v>0</v>
      </c>
      <c r="G155" s="19">
        <f t="shared" si="6"/>
        <v>15076596137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</sheetData>
  <mergeCells count="42">
    <mergeCell ref="H117:H134"/>
    <mergeCell ref="H139:H156"/>
    <mergeCell ref="H7:H24"/>
    <mergeCell ref="H29:H46"/>
    <mergeCell ref="H51:H68"/>
    <mergeCell ref="H73:H90"/>
    <mergeCell ref="H95:H112"/>
    <mergeCell ref="C27:C28"/>
    <mergeCell ref="D27:D28"/>
    <mergeCell ref="E27:F27"/>
    <mergeCell ref="G27:G28"/>
    <mergeCell ref="H27:H28"/>
    <mergeCell ref="C5:C6"/>
    <mergeCell ref="D5:D6"/>
    <mergeCell ref="E5:F5"/>
    <mergeCell ref="G5:G6"/>
    <mergeCell ref="H5:H6"/>
    <mergeCell ref="C71:C72"/>
    <mergeCell ref="D71:D72"/>
    <mergeCell ref="E71:F71"/>
    <mergeCell ref="G71:G72"/>
    <mergeCell ref="H71:H72"/>
    <mergeCell ref="C49:C50"/>
    <mergeCell ref="D49:D50"/>
    <mergeCell ref="E49:F49"/>
    <mergeCell ref="G49:G50"/>
    <mergeCell ref="H49:H50"/>
    <mergeCell ref="C115:C116"/>
    <mergeCell ref="D115:D116"/>
    <mergeCell ref="E115:F115"/>
    <mergeCell ref="G115:G116"/>
    <mergeCell ref="H115:H116"/>
    <mergeCell ref="C93:C94"/>
    <mergeCell ref="D93:D94"/>
    <mergeCell ref="E93:F93"/>
    <mergeCell ref="G93:G94"/>
    <mergeCell ref="H93:H94"/>
    <mergeCell ref="C137:C138"/>
    <mergeCell ref="D137:D138"/>
    <mergeCell ref="E137:F137"/>
    <mergeCell ref="G137:G138"/>
    <mergeCell ref="H137:H138"/>
  </mergeCells>
  <pageMargins left="1" right="0.5" top="0.6" bottom="0.3" header="0.3" footer="0.3"/>
  <pageSetup paperSize="258" scale="88" orientation="portrait" r:id="rId1"/>
  <headerFooter>
    <oddFooter>&amp;R&amp;F -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243"/>
  <sheetViews>
    <sheetView topLeftCell="A2" workbookViewId="0">
      <pane xSplit="2" ySplit="1" topLeftCell="C3" activePane="bottomRight" state="frozen"/>
      <selection activeCell="A2" sqref="A2"/>
      <selection pane="topRight" activeCell="C2" sqref="C2"/>
      <selection pane="bottomLeft" activeCell="A3" sqref="A3"/>
      <selection pane="bottomRight" activeCell="A6" sqref="A6"/>
    </sheetView>
  </sheetViews>
  <sheetFormatPr defaultRowHeight="15"/>
  <cols>
    <col min="1" max="1" width="21.85546875" style="47" bestFit="1" customWidth="1"/>
    <col min="2" max="2" width="26.140625" style="47" bestFit="1" customWidth="1"/>
    <col min="3" max="18" width="20.7109375" style="48" customWidth="1"/>
    <col min="19" max="19" width="34.140625" style="47" customWidth="1"/>
    <col min="20" max="16384" width="9.140625" style="47"/>
  </cols>
  <sheetData>
    <row r="1" spans="1:20">
      <c r="C1" s="49" t="s">
        <v>2143</v>
      </c>
      <c r="D1" s="49" t="s">
        <v>2142</v>
      </c>
      <c r="M1" s="49" t="s">
        <v>2141</v>
      </c>
    </row>
    <row r="2" spans="1:20">
      <c r="A2" s="47" t="s">
        <v>2149</v>
      </c>
      <c r="B2" s="96" t="s">
        <v>1989</v>
      </c>
      <c r="C2" s="48" t="s">
        <v>0</v>
      </c>
      <c r="D2" s="48" t="s">
        <v>1</v>
      </c>
      <c r="E2" s="48" t="s">
        <v>1167</v>
      </c>
      <c r="F2" s="48" t="s">
        <v>1168</v>
      </c>
      <c r="G2" s="48" t="s">
        <v>1169</v>
      </c>
      <c r="H2" s="48" t="s">
        <v>2148</v>
      </c>
      <c r="I2" s="48" t="s">
        <v>2131</v>
      </c>
      <c r="J2" s="48" t="s">
        <v>2147</v>
      </c>
      <c r="K2" s="48" t="s">
        <v>1173</v>
      </c>
      <c r="L2" s="48" t="s">
        <v>9</v>
      </c>
      <c r="M2" s="49" t="s">
        <v>1167</v>
      </c>
      <c r="N2" s="49" t="s">
        <v>1168</v>
      </c>
      <c r="O2" s="49" t="s">
        <v>1169</v>
      </c>
      <c r="P2" s="49" t="s">
        <v>1170</v>
      </c>
      <c r="Q2" s="49" t="s">
        <v>1173</v>
      </c>
      <c r="R2" s="48" t="s">
        <v>2144</v>
      </c>
      <c r="S2" s="50" t="s">
        <v>1175</v>
      </c>
    </row>
    <row r="3" spans="1:20" s="98" customFormat="1">
      <c r="A3" s="98" t="s">
        <v>373</v>
      </c>
      <c r="B3" s="99" t="s">
        <v>1511</v>
      </c>
      <c r="C3" s="100">
        <f>SUMIFS('Daftar Koreksi'!$H$5:$H$92,'Daftar Koreksi'!$G$5:$G$92,C$2,'Daftar Koreksi'!$D$5:$D$92,$A3)</f>
        <v>0</v>
      </c>
      <c r="D3" s="112">
        <f>SUMIFS('Daftar Koreksi'!$H$5:$H$92,'Daftar Koreksi'!$G$5:$G$92,D$2,'Daftar Koreksi'!$D$5:$D$92,$A3)</f>
        <v>-719249200</v>
      </c>
      <c r="E3" s="100">
        <f>SUMIFS('Daftar Koreksi'!$H$5:$H$92,'Daftar Koreksi'!$G$5:$G$92,E$2,'Daftar Koreksi'!$D$5:$D$92,$A3)</f>
        <v>0</v>
      </c>
      <c r="F3" s="112">
        <f>SUMIFS('Daftar Koreksi'!$H$5:$H$92,'Daftar Koreksi'!$G$5:$G$92,F$2,'Daftar Koreksi'!$D$5:$D$92,$A3)</f>
        <v>-2960714100</v>
      </c>
      <c r="G3" s="100">
        <f>SUMIFS('Daftar Koreksi'!$H$5:$H$92,'Daftar Koreksi'!$G$5:$G$92,G$2,'Daftar Koreksi'!$D$5:$D$92,$A3)</f>
        <v>0</v>
      </c>
      <c r="H3" s="100">
        <f>SUMIFS('Daftar Koreksi'!$H$5:$H$92,'Daftar Koreksi'!$G$5:$G$92,H$2,'Daftar Koreksi'!$D$5:$D$92,$A3)</f>
        <v>0</v>
      </c>
      <c r="I3" s="100">
        <f>SUMIFS('Daftar Koreksi'!$H$5:$H$92,'Daftar Koreksi'!$G$5:$G$92,I$2,'Daftar Koreksi'!$D$5:$D$92,$A3)</f>
        <v>0</v>
      </c>
      <c r="J3" s="100">
        <f>SUMIFS('Daftar Koreksi'!$H$5:$H$92,'Daftar Koreksi'!$G$5:$G$92,J$2,'Daftar Koreksi'!$D$5:$D$92,$A3)</f>
        <v>0</v>
      </c>
      <c r="K3" s="100">
        <f>SUMIFS('Daftar Koreksi'!$H$5:$H$92,'Daftar Koreksi'!$G$5:$G$92,K$2,'Daftar Koreksi'!$D$5:$D$92,$A3)</f>
        <v>0</v>
      </c>
      <c r="L3" s="100">
        <f t="shared" ref="L3:L34" si="0">SUM(C3:K3)</f>
        <v>-3679963300</v>
      </c>
      <c r="M3" s="114">
        <f>SUMIFS('Daftar Koreksi'!$I$5:$I$92,'Daftar Koreksi'!$D$5:$D$92,'Mutasi Neraca'!$A3,'Daftar Koreksi'!$G$5:$G$92,'Mutasi Neraca'!M$2)</f>
        <v>0</v>
      </c>
      <c r="N3" s="112">
        <f>SUMIFS('Daftar Koreksi'!$I$5:$I$92,'Daftar Koreksi'!$D$5:$D$92,'Mutasi Neraca'!$A3,'Daftar Koreksi'!$G$5:$G$92,'Mutasi Neraca'!N$2)</f>
        <v>520569497</v>
      </c>
      <c r="O3" s="114">
        <f>SUMIFS('Daftar Koreksi'!$I$5:$I$92,'Daftar Koreksi'!$D$5:$D$92,'Mutasi Neraca'!$A3,'Daftar Koreksi'!$G$5:$G$92,'Mutasi Neraca'!O$2)</f>
        <v>0</v>
      </c>
      <c r="P3" s="114">
        <f>SUMIFS('Daftar Koreksi'!$I$5:$I$92,'Daftar Koreksi'!$D$5:$D$92,'Mutasi Neraca'!$A3,'Daftar Koreksi'!$G$5:$G$92,'Mutasi Neraca'!P$2)</f>
        <v>0</v>
      </c>
      <c r="Q3" s="114">
        <f>SUMIFS('Daftar Koreksi'!$I$5:$I$92,'Daftar Koreksi'!$D$5:$D$92,'Mutasi Neraca'!$A3,'Daftar Koreksi'!$G$5:$G$92,'Mutasi Neraca'!Q$2)</f>
        <v>0</v>
      </c>
      <c r="R3" s="114">
        <f t="shared" ref="R3:R34" si="1">SUM(M3:Q3)</f>
        <v>520569497</v>
      </c>
      <c r="S3" s="110" t="s">
        <v>2292</v>
      </c>
    </row>
    <row r="4" spans="1:20" s="98" customFormat="1">
      <c r="A4" s="98" t="s">
        <v>50</v>
      </c>
      <c r="B4" s="98" t="s">
        <v>1214</v>
      </c>
      <c r="C4" s="100">
        <f>SUMIFS('Daftar Koreksi'!$H$5:$H$92,'Daftar Koreksi'!$G$5:$G$92,C$2,'Daftar Koreksi'!$D$5:$D$92,$A4)</f>
        <v>0</v>
      </c>
      <c r="D4" s="100">
        <f>SUMIFS('Daftar Koreksi'!$H$5:$H$92,'Daftar Koreksi'!$G$5:$G$92,D$2,'Daftar Koreksi'!$D$5:$D$92,$A4)</f>
        <v>0</v>
      </c>
      <c r="E4" s="112">
        <f>SUMIFS('Daftar Koreksi'!$H$5:$H$92,'Daftar Koreksi'!$G$5:$G$92,E$2,'Daftar Koreksi'!$D$5:$D$92,$A4)</f>
        <v>321401800</v>
      </c>
      <c r="F4" s="100">
        <f>SUMIFS('Daftar Koreksi'!$H$5:$H$92,'Daftar Koreksi'!$G$5:$G$92,F$2,'Daftar Koreksi'!$D$5:$D$92,$A4)</f>
        <v>0</v>
      </c>
      <c r="G4" s="100">
        <f>SUMIFS('Daftar Koreksi'!$H$5:$H$92,'Daftar Koreksi'!$G$5:$G$92,G$2,'Daftar Koreksi'!$D$5:$D$92,$A4)</f>
        <v>0</v>
      </c>
      <c r="H4" s="100">
        <f>SUMIFS('Daftar Koreksi'!$H$5:$H$92,'Daftar Koreksi'!$G$5:$G$92,H$2,'Daftar Koreksi'!$D$5:$D$92,$A4)</f>
        <v>0</v>
      </c>
      <c r="I4" s="100">
        <f>SUMIFS('Daftar Koreksi'!$H$5:$H$92,'Daftar Koreksi'!$G$5:$G$92,I$2,'Daftar Koreksi'!$D$5:$D$92,$A4)</f>
        <v>0</v>
      </c>
      <c r="J4" s="100">
        <f>SUMIFS('Daftar Koreksi'!$H$5:$H$92,'Daftar Koreksi'!$G$5:$G$92,J$2,'Daftar Koreksi'!$D$5:$D$92,$A4)</f>
        <v>0</v>
      </c>
      <c r="K4" s="100">
        <f>SUMIFS('Daftar Koreksi'!$H$5:$H$92,'Daftar Koreksi'!$G$5:$G$92,K$2,'Daftar Koreksi'!$D$5:$D$92,$A4)</f>
        <v>0</v>
      </c>
      <c r="L4" s="100">
        <f t="shared" si="0"/>
        <v>321401800</v>
      </c>
      <c r="M4" s="112">
        <f>SUMIFS('Daftar Koreksi'!$I$5:$I$92,'Daftar Koreksi'!$D$5:$D$92,'Mutasi Neraca'!$A4,'Daftar Koreksi'!$G$5:$G$92,'Mutasi Neraca'!M$2)</f>
        <v>-128284648</v>
      </c>
      <c r="N4" s="114">
        <f>SUMIFS('Daftar Koreksi'!$I$5:$I$92,'Daftar Koreksi'!$D$5:$D$92,'Mutasi Neraca'!$A4,'Daftar Koreksi'!$G$5:$G$92,'Mutasi Neraca'!N$2)</f>
        <v>0</v>
      </c>
      <c r="O4" s="114">
        <f>SUMIFS('Daftar Koreksi'!$I$5:$I$92,'Daftar Koreksi'!$D$5:$D$92,'Mutasi Neraca'!$A4,'Daftar Koreksi'!$G$5:$G$92,'Mutasi Neraca'!O$2)</f>
        <v>0</v>
      </c>
      <c r="P4" s="114">
        <f>SUMIFS('Daftar Koreksi'!$I$5:$I$92,'Daftar Koreksi'!$D$5:$D$92,'Mutasi Neraca'!$A4,'Daftar Koreksi'!$G$5:$G$92,'Mutasi Neraca'!P$2)</f>
        <v>0</v>
      </c>
      <c r="Q4" s="114">
        <f>SUMIFS('Daftar Koreksi'!$I$5:$I$92,'Daftar Koreksi'!$D$5:$D$92,'Mutasi Neraca'!$A4,'Daftar Koreksi'!$G$5:$G$92,'Mutasi Neraca'!Q$2)</f>
        <v>0</v>
      </c>
      <c r="R4" s="114">
        <f t="shared" si="1"/>
        <v>-128284648</v>
      </c>
      <c r="S4" s="102" t="s">
        <v>2221</v>
      </c>
    </row>
    <row r="5" spans="1:20" s="98" customFormat="1">
      <c r="A5" s="98" t="s">
        <v>52</v>
      </c>
      <c r="B5" s="98" t="s">
        <v>1216</v>
      </c>
      <c r="C5" s="100">
        <f>SUMIFS('Daftar Koreksi'!$H$5:$H$92,'Daftar Koreksi'!$G$5:$G$92,C$2,'Daftar Koreksi'!$D$5:$D$92,$A5)</f>
        <v>0</v>
      </c>
      <c r="D5" s="100">
        <f>SUMIFS('Daftar Koreksi'!$H$5:$H$92,'Daftar Koreksi'!$G$5:$G$92,D$2,'Daftar Koreksi'!$D$5:$D$92,$A5)</f>
        <v>705600000</v>
      </c>
      <c r="E5" s="112">
        <f>SUMIFS('Daftar Koreksi'!$H$5:$H$92,'Daftar Koreksi'!$G$5:$G$92,E$2,'Daftar Koreksi'!$D$5:$D$92,$A5)</f>
        <v>263600000</v>
      </c>
      <c r="F5" s="100">
        <f>SUMIFS('Daftar Koreksi'!$H$5:$H$92,'Daftar Koreksi'!$G$5:$G$92,F$2,'Daftar Koreksi'!$D$5:$D$92,$A5)</f>
        <v>0</v>
      </c>
      <c r="G5" s="100">
        <f>SUMIFS('Daftar Koreksi'!$H$5:$H$92,'Daftar Koreksi'!$G$5:$G$92,G$2,'Daftar Koreksi'!$D$5:$D$92,$A5)</f>
        <v>0</v>
      </c>
      <c r="H5" s="100">
        <f>SUMIFS('Daftar Koreksi'!$H$5:$H$92,'Daftar Koreksi'!$G$5:$G$92,H$2,'Daftar Koreksi'!$D$5:$D$92,$A5)</f>
        <v>0</v>
      </c>
      <c r="I5" s="100">
        <f>SUMIFS('Daftar Koreksi'!$H$5:$H$92,'Daftar Koreksi'!$G$5:$G$92,I$2,'Daftar Koreksi'!$D$5:$D$92,$A5)</f>
        <v>0</v>
      </c>
      <c r="J5" s="100">
        <f>SUMIFS('Daftar Koreksi'!$H$5:$H$92,'Daftar Koreksi'!$G$5:$G$92,J$2,'Daftar Koreksi'!$D$5:$D$92,$A5)</f>
        <v>0</v>
      </c>
      <c r="K5" s="100">
        <f>SUMIFS('Daftar Koreksi'!$H$5:$H$92,'Daftar Koreksi'!$G$5:$G$92,K$2,'Daftar Koreksi'!$D$5:$D$92,$A5)</f>
        <v>0</v>
      </c>
      <c r="L5" s="100">
        <f t="shared" si="0"/>
        <v>969200000</v>
      </c>
      <c r="M5" s="112">
        <f>SUMIFS('Daftar Koreksi'!$I$5:$I$92,'Daftar Koreksi'!$D$5:$D$92,'Mutasi Neraca'!$A5,'Daftar Koreksi'!$G$5:$G$92,'Mutasi Neraca'!M$2)</f>
        <v>-263600000</v>
      </c>
      <c r="N5" s="114">
        <f>SUMIFS('Daftar Koreksi'!$I$5:$I$92,'Daftar Koreksi'!$D$5:$D$92,'Mutasi Neraca'!$A5,'Daftar Koreksi'!$G$5:$G$92,'Mutasi Neraca'!N$2)</f>
        <v>0</v>
      </c>
      <c r="O5" s="114">
        <f>SUMIFS('Daftar Koreksi'!$I$5:$I$92,'Daftar Koreksi'!$D$5:$D$92,'Mutasi Neraca'!$A5,'Daftar Koreksi'!$G$5:$G$92,'Mutasi Neraca'!O$2)</f>
        <v>0</v>
      </c>
      <c r="P5" s="114">
        <f>SUMIFS('Daftar Koreksi'!$I$5:$I$92,'Daftar Koreksi'!$D$5:$D$92,'Mutasi Neraca'!$A5,'Daftar Koreksi'!$G$5:$G$92,'Mutasi Neraca'!P$2)</f>
        <v>0</v>
      </c>
      <c r="Q5" s="114">
        <f>SUMIFS('Daftar Koreksi'!$I$5:$I$92,'Daftar Koreksi'!$D$5:$D$92,'Mutasi Neraca'!$A5,'Daftar Koreksi'!$G$5:$G$92,'Mutasi Neraca'!Q$2)</f>
        <v>0</v>
      </c>
      <c r="R5" s="114">
        <f t="shared" si="1"/>
        <v>-263600000</v>
      </c>
      <c r="S5" s="110" t="s">
        <v>2295</v>
      </c>
      <c r="T5"/>
    </row>
    <row r="6" spans="1:20" s="98" customFormat="1">
      <c r="A6" s="98" t="s">
        <v>69</v>
      </c>
      <c r="B6" s="98" t="s">
        <v>1233</v>
      </c>
      <c r="C6" s="100">
        <f>SUMIFS('Daftar Koreksi'!$H$5:$H$92,'Daftar Koreksi'!$G$5:$G$92,C$2,'Daftar Koreksi'!$D$5:$D$92,$A6)</f>
        <v>0</v>
      </c>
      <c r="D6" s="100">
        <f>SUMIFS('Daftar Koreksi'!$H$5:$H$92,'Daftar Koreksi'!$G$5:$G$92,D$2,'Daftar Koreksi'!$D$5:$D$92,$A6)</f>
        <v>0</v>
      </c>
      <c r="E6" s="112">
        <f>SUMIFS('Daftar Koreksi'!$H$5:$H$92,'Daftar Koreksi'!$G$5:$G$92,E$2,'Daftar Koreksi'!$D$5:$D$92,$A6)</f>
        <v>263600000</v>
      </c>
      <c r="F6" s="100">
        <f>SUMIFS('Daftar Koreksi'!$H$5:$H$92,'Daftar Koreksi'!$G$5:$G$92,F$2,'Daftar Koreksi'!$D$5:$D$92,$A6)</f>
        <v>0</v>
      </c>
      <c r="G6" s="100">
        <f>SUMIFS('Daftar Koreksi'!$H$5:$H$92,'Daftar Koreksi'!$G$5:$G$92,G$2,'Daftar Koreksi'!$D$5:$D$92,$A6)</f>
        <v>0</v>
      </c>
      <c r="H6" s="100">
        <f>SUMIFS('Daftar Koreksi'!$H$5:$H$92,'Daftar Koreksi'!$G$5:$G$92,H$2,'Daftar Koreksi'!$D$5:$D$92,$A6)</f>
        <v>0</v>
      </c>
      <c r="I6" s="100">
        <f>SUMIFS('Daftar Koreksi'!$H$5:$H$92,'Daftar Koreksi'!$G$5:$G$92,I$2,'Daftar Koreksi'!$D$5:$D$92,$A6)</f>
        <v>0</v>
      </c>
      <c r="J6" s="100">
        <f>SUMIFS('Daftar Koreksi'!$H$5:$H$92,'Daftar Koreksi'!$G$5:$G$92,J$2,'Daftar Koreksi'!$D$5:$D$92,$A6)</f>
        <v>0</v>
      </c>
      <c r="K6" s="100">
        <f>SUMIFS('Daftar Koreksi'!$H$5:$H$92,'Daftar Koreksi'!$G$5:$G$92,K$2,'Daftar Koreksi'!$D$5:$D$92,$A6)</f>
        <v>0</v>
      </c>
      <c r="L6" s="100">
        <f t="shared" si="0"/>
        <v>263600000</v>
      </c>
      <c r="M6" s="112">
        <f>SUMIFS('Daftar Koreksi'!$I$5:$I$92,'Daftar Koreksi'!$D$5:$D$92,'Mutasi Neraca'!$A6,'Daftar Koreksi'!$G$5:$G$92,'Mutasi Neraca'!M$2)</f>
        <v>-263600000</v>
      </c>
      <c r="N6" s="114">
        <f>SUMIFS('Daftar Koreksi'!$I$5:$I$92,'Daftar Koreksi'!$D$5:$D$92,'Mutasi Neraca'!$A6,'Daftar Koreksi'!$G$5:$G$92,'Mutasi Neraca'!N$2)</f>
        <v>0</v>
      </c>
      <c r="O6" s="114">
        <f>SUMIFS('Daftar Koreksi'!$I$5:$I$92,'Daftar Koreksi'!$D$5:$D$92,'Mutasi Neraca'!$A6,'Daftar Koreksi'!$G$5:$G$92,'Mutasi Neraca'!O$2)</f>
        <v>0</v>
      </c>
      <c r="P6" s="114">
        <f>SUMIFS('Daftar Koreksi'!$I$5:$I$92,'Daftar Koreksi'!$D$5:$D$92,'Mutasi Neraca'!$A6,'Daftar Koreksi'!$G$5:$G$92,'Mutasi Neraca'!P$2)</f>
        <v>0</v>
      </c>
      <c r="Q6" s="114">
        <f>SUMIFS('Daftar Koreksi'!$I$5:$I$92,'Daftar Koreksi'!$D$5:$D$92,'Mutasi Neraca'!$A6,'Daftar Koreksi'!$G$5:$G$92,'Mutasi Neraca'!Q$2)</f>
        <v>0</v>
      </c>
      <c r="R6" s="114">
        <f t="shared" si="1"/>
        <v>-263600000</v>
      </c>
      <c r="S6" s="103" t="s">
        <v>2221</v>
      </c>
    </row>
    <row r="7" spans="1:20" s="98" customFormat="1">
      <c r="A7" s="98" t="s">
        <v>775</v>
      </c>
      <c r="B7" s="98" t="s">
        <v>1911</v>
      </c>
      <c r="C7" s="100">
        <f>SUMIFS('Daftar Koreksi'!$H$5:$H$92,'Daftar Koreksi'!$G$5:$G$92,C$2,'Daftar Koreksi'!$D$5:$D$92,$A7)</f>
        <v>0</v>
      </c>
      <c r="D7" s="100">
        <f>SUMIFS('Daftar Koreksi'!$H$5:$H$92,'Daftar Koreksi'!$G$5:$G$92,D$2,'Daftar Koreksi'!$D$5:$D$92,$A7)</f>
        <v>0</v>
      </c>
      <c r="E7" s="112">
        <f>SUMIFS('Daftar Koreksi'!$H$5:$H$92,'Daftar Koreksi'!$G$5:$G$92,E$2,'Daftar Koreksi'!$D$5:$D$92,$A7)</f>
        <v>266196500</v>
      </c>
      <c r="F7" s="100">
        <f>SUMIFS('Daftar Koreksi'!$H$5:$H$92,'Daftar Koreksi'!$G$5:$G$92,F$2,'Daftar Koreksi'!$D$5:$D$92,$A7)</f>
        <v>0</v>
      </c>
      <c r="G7" s="100">
        <f>SUMIFS('Daftar Koreksi'!$H$5:$H$92,'Daftar Koreksi'!$G$5:$G$92,G$2,'Daftar Koreksi'!$D$5:$D$92,$A7)</f>
        <v>0</v>
      </c>
      <c r="H7" s="100">
        <f>SUMIFS('Daftar Koreksi'!$H$5:$H$92,'Daftar Koreksi'!$G$5:$G$92,H$2,'Daftar Koreksi'!$D$5:$D$92,$A7)</f>
        <v>0</v>
      </c>
      <c r="I7" s="100">
        <f>SUMIFS('Daftar Koreksi'!$H$5:$H$92,'Daftar Koreksi'!$G$5:$G$92,I$2,'Daftar Koreksi'!$D$5:$D$92,$A7)</f>
        <v>0</v>
      </c>
      <c r="J7" s="100">
        <f>SUMIFS('Daftar Koreksi'!$H$5:$H$92,'Daftar Koreksi'!$G$5:$G$92,J$2,'Daftar Koreksi'!$D$5:$D$92,$A7)</f>
        <v>0</v>
      </c>
      <c r="K7" s="100">
        <f>SUMIFS('Daftar Koreksi'!$H$5:$H$92,'Daftar Koreksi'!$G$5:$G$92,K$2,'Daftar Koreksi'!$D$5:$D$92,$A7)</f>
        <v>0</v>
      </c>
      <c r="L7" s="100">
        <f t="shared" si="0"/>
        <v>266196500</v>
      </c>
      <c r="M7" s="112">
        <f>SUMIFS('Daftar Koreksi'!$I$5:$I$92,'Daftar Koreksi'!$D$5:$D$92,'Mutasi Neraca'!$A7,'Daftar Koreksi'!$G$5:$G$92,'Mutasi Neraca'!M$2)</f>
        <v>-266196500</v>
      </c>
      <c r="N7" s="114">
        <f>SUMIFS('Daftar Koreksi'!$I$5:$I$92,'Daftar Koreksi'!$D$5:$D$92,'Mutasi Neraca'!$A7,'Daftar Koreksi'!$G$5:$G$92,'Mutasi Neraca'!N$2)</f>
        <v>0</v>
      </c>
      <c r="O7" s="114">
        <f>SUMIFS('Daftar Koreksi'!$I$5:$I$92,'Daftar Koreksi'!$D$5:$D$92,'Mutasi Neraca'!$A7,'Daftar Koreksi'!$G$5:$G$92,'Mutasi Neraca'!O$2)</f>
        <v>0</v>
      </c>
      <c r="P7" s="114">
        <f>SUMIFS('Daftar Koreksi'!$I$5:$I$92,'Daftar Koreksi'!$D$5:$D$92,'Mutasi Neraca'!$A7,'Daftar Koreksi'!$G$5:$G$92,'Mutasi Neraca'!P$2)</f>
        <v>0</v>
      </c>
      <c r="Q7" s="114">
        <f>SUMIFS('Daftar Koreksi'!$I$5:$I$92,'Daftar Koreksi'!$D$5:$D$92,'Mutasi Neraca'!$A7,'Daftar Koreksi'!$G$5:$G$92,'Mutasi Neraca'!Q$2)</f>
        <v>0</v>
      </c>
      <c r="R7" s="114">
        <f t="shared" si="1"/>
        <v>-266196500</v>
      </c>
      <c r="S7" s="101" t="s">
        <v>2221</v>
      </c>
    </row>
    <row r="8" spans="1:20" s="98" customFormat="1">
      <c r="A8" s="98" t="s">
        <v>10</v>
      </c>
      <c r="B8" s="98" t="s">
        <v>1176</v>
      </c>
      <c r="C8" s="100">
        <f>SUMIFS('Daftar Koreksi'!$H$5:$H$92,'Daftar Koreksi'!$G$5:$G$92,C$2,'Daftar Koreksi'!$D$5:$D$92,$A8)</f>
        <v>0</v>
      </c>
      <c r="D8" s="100">
        <f>SUMIFS('Daftar Koreksi'!$H$5:$H$92,'Daftar Koreksi'!$G$5:$G$92,D$2,'Daftar Koreksi'!$D$5:$D$92,$A8)</f>
        <v>0</v>
      </c>
      <c r="E8" s="100">
        <f>SUMIFS('Daftar Koreksi'!$H$5:$H$92,'Daftar Koreksi'!$G$5:$G$92,E$2,'Daftar Koreksi'!$D$5:$D$92,$A8)</f>
        <v>0</v>
      </c>
      <c r="F8" s="100">
        <f>SUMIFS('Daftar Koreksi'!$H$5:$H$92,'Daftar Koreksi'!$G$5:$G$92,F$2,'Daftar Koreksi'!$D$5:$D$92,$A8)</f>
        <v>0</v>
      </c>
      <c r="G8" s="100">
        <f>SUMIFS('Daftar Koreksi'!$H$5:$H$92,'Daftar Koreksi'!$G$5:$G$92,G$2,'Daftar Koreksi'!$D$5:$D$92,$A8)</f>
        <v>0</v>
      </c>
      <c r="H8" s="112">
        <f>SUMIFS('Daftar Koreksi'!$H$5:$H$92,'Daftar Koreksi'!$G$5:$G$92,H$2,'Daftar Koreksi'!$D$5:$D$92,$A8)</f>
        <v>4411622</v>
      </c>
      <c r="I8" s="100">
        <f>SUMIFS('Daftar Koreksi'!$H$5:$H$92,'Daftar Koreksi'!$G$5:$G$92,I$2,'Daftar Koreksi'!$D$5:$D$92,$A8)</f>
        <v>0</v>
      </c>
      <c r="J8" s="100">
        <f>SUMIFS('Daftar Koreksi'!$H$5:$H$92,'Daftar Koreksi'!$G$5:$G$92,J$2,'Daftar Koreksi'!$D$5:$D$92,$A8)</f>
        <v>0</v>
      </c>
      <c r="K8" s="100">
        <f>SUMIFS('Daftar Koreksi'!$H$5:$H$92,'Daftar Koreksi'!$G$5:$G$92,K$2,'Daftar Koreksi'!$D$5:$D$92,$A8)</f>
        <v>0</v>
      </c>
      <c r="L8" s="100">
        <f t="shared" si="0"/>
        <v>4411622</v>
      </c>
      <c r="M8" s="114">
        <f>SUMIFS('Daftar Koreksi'!$I$5:$I$92,'Daftar Koreksi'!$D$5:$D$92,'Mutasi Neraca'!$A8,'Daftar Koreksi'!$G$5:$G$92,'Mutasi Neraca'!M$2)</f>
        <v>0</v>
      </c>
      <c r="N8" s="114">
        <f>SUMIFS('Daftar Koreksi'!$I$5:$I$92,'Daftar Koreksi'!$D$5:$D$92,'Mutasi Neraca'!$A8,'Daftar Koreksi'!$G$5:$G$92,'Mutasi Neraca'!N$2)</f>
        <v>0</v>
      </c>
      <c r="O8" s="114">
        <f>SUMIFS('Daftar Koreksi'!$I$5:$I$92,'Daftar Koreksi'!$D$5:$D$92,'Mutasi Neraca'!$A8,'Daftar Koreksi'!$G$5:$G$92,'Mutasi Neraca'!O$2)</f>
        <v>0</v>
      </c>
      <c r="P8" s="114">
        <f>SUMIFS('Daftar Koreksi'!$I$5:$I$92,'Daftar Koreksi'!$D$5:$D$92,'Mutasi Neraca'!$A8,'Daftar Koreksi'!$G$5:$G$92,'Mutasi Neraca'!P$2)</f>
        <v>0</v>
      </c>
      <c r="Q8" s="114">
        <f>SUMIFS('Daftar Koreksi'!$I$5:$I$92,'Daftar Koreksi'!$D$5:$D$92,'Mutasi Neraca'!$A8,'Daftar Koreksi'!$G$5:$G$92,'Mutasi Neraca'!Q$2)</f>
        <v>0</v>
      </c>
      <c r="R8" s="114">
        <f t="shared" si="1"/>
        <v>0</v>
      </c>
      <c r="S8" s="102" t="s">
        <v>2222</v>
      </c>
    </row>
    <row r="9" spans="1:20" s="98" customFormat="1">
      <c r="A9" s="98" t="s">
        <v>11</v>
      </c>
      <c r="B9" s="98" t="s">
        <v>1177</v>
      </c>
      <c r="C9" s="100">
        <f>SUMIFS('Daftar Koreksi'!$H$5:$H$92,'Daftar Koreksi'!$G$5:$G$92,C$2,'Daftar Koreksi'!$D$5:$D$92,$A9)</f>
        <v>0</v>
      </c>
      <c r="D9" s="100">
        <f>SUMIFS('Daftar Koreksi'!$H$5:$H$92,'Daftar Koreksi'!$G$5:$G$92,D$2,'Daftar Koreksi'!$D$5:$D$92,$A9)</f>
        <v>0</v>
      </c>
      <c r="E9" s="100">
        <f>SUMIFS('Daftar Koreksi'!$H$5:$H$92,'Daftar Koreksi'!$G$5:$G$92,E$2,'Daftar Koreksi'!$D$5:$D$92,$A9)</f>
        <v>0</v>
      </c>
      <c r="F9" s="100">
        <f>SUMIFS('Daftar Koreksi'!$H$5:$H$92,'Daftar Koreksi'!$G$5:$G$92,F$2,'Daftar Koreksi'!$D$5:$D$92,$A9)</f>
        <v>0</v>
      </c>
      <c r="G9" s="100">
        <f>SUMIFS('Daftar Koreksi'!$H$5:$H$92,'Daftar Koreksi'!$G$5:$G$92,G$2,'Daftar Koreksi'!$D$5:$D$92,$A9)</f>
        <v>0</v>
      </c>
      <c r="H9" s="112">
        <f>SUMIFS('Daftar Koreksi'!$H$5:$H$92,'Daftar Koreksi'!$G$5:$G$92,H$2,'Daftar Koreksi'!$D$5:$D$92,$A9)</f>
        <v>4411622</v>
      </c>
      <c r="I9" s="100">
        <f>SUMIFS('Daftar Koreksi'!$H$5:$H$92,'Daftar Koreksi'!$G$5:$G$92,I$2,'Daftar Koreksi'!$D$5:$D$92,$A9)</f>
        <v>0</v>
      </c>
      <c r="J9" s="100">
        <f>SUMIFS('Daftar Koreksi'!$H$5:$H$92,'Daftar Koreksi'!$G$5:$G$92,J$2,'Daftar Koreksi'!$D$5:$D$92,$A9)</f>
        <v>0</v>
      </c>
      <c r="K9" s="100">
        <f>SUMIFS('Daftar Koreksi'!$H$5:$H$92,'Daftar Koreksi'!$G$5:$G$92,K$2,'Daftar Koreksi'!$D$5:$D$92,$A9)</f>
        <v>0</v>
      </c>
      <c r="L9" s="100">
        <f t="shared" si="0"/>
        <v>4411622</v>
      </c>
      <c r="M9" s="114">
        <f>SUMIFS('Daftar Koreksi'!$I$5:$I$92,'Daftar Koreksi'!$D$5:$D$92,'Mutasi Neraca'!$A9,'Daftar Koreksi'!$G$5:$G$92,'Mutasi Neraca'!M$2)</f>
        <v>0</v>
      </c>
      <c r="N9" s="114">
        <f>SUMIFS('Daftar Koreksi'!$I$5:$I$92,'Daftar Koreksi'!$D$5:$D$92,'Mutasi Neraca'!$A9,'Daftar Koreksi'!$G$5:$G$92,'Mutasi Neraca'!N$2)</f>
        <v>0</v>
      </c>
      <c r="O9" s="114">
        <f>SUMIFS('Daftar Koreksi'!$I$5:$I$92,'Daftar Koreksi'!$D$5:$D$92,'Mutasi Neraca'!$A9,'Daftar Koreksi'!$G$5:$G$92,'Mutasi Neraca'!O$2)</f>
        <v>0</v>
      </c>
      <c r="P9" s="114">
        <f>SUMIFS('Daftar Koreksi'!$I$5:$I$92,'Daftar Koreksi'!$D$5:$D$92,'Mutasi Neraca'!$A9,'Daftar Koreksi'!$G$5:$G$92,'Mutasi Neraca'!P$2)</f>
        <v>0</v>
      </c>
      <c r="Q9" s="114">
        <f>SUMIFS('Daftar Koreksi'!$I$5:$I$92,'Daftar Koreksi'!$D$5:$D$92,'Mutasi Neraca'!$A9,'Daftar Koreksi'!$G$5:$G$92,'Mutasi Neraca'!Q$2)</f>
        <v>0</v>
      </c>
      <c r="R9" s="114">
        <f t="shared" si="1"/>
        <v>0</v>
      </c>
      <c r="S9" s="103" t="s">
        <v>2222</v>
      </c>
    </row>
    <row r="10" spans="1:20" s="98" customFormat="1">
      <c r="A10" s="98" t="s">
        <v>12</v>
      </c>
      <c r="B10" s="98" t="s">
        <v>1178</v>
      </c>
      <c r="C10" s="100">
        <f>SUMIFS('Daftar Koreksi'!$H$5:$H$92,'Daftar Koreksi'!$G$5:$G$92,C$2,'Daftar Koreksi'!$D$5:$D$92,$A10)</f>
        <v>0</v>
      </c>
      <c r="D10" s="100">
        <f>SUMIFS('Daftar Koreksi'!$H$5:$H$92,'Daftar Koreksi'!$G$5:$G$92,D$2,'Daftar Koreksi'!$D$5:$D$92,$A10)</f>
        <v>0</v>
      </c>
      <c r="E10" s="100">
        <f>SUMIFS('Daftar Koreksi'!$H$5:$H$92,'Daftar Koreksi'!$G$5:$G$92,E$2,'Daftar Koreksi'!$D$5:$D$92,$A10)</f>
        <v>106725000</v>
      </c>
      <c r="F10" s="100">
        <f>SUMIFS('Daftar Koreksi'!$H$5:$H$92,'Daftar Koreksi'!$G$5:$G$92,F$2,'Daftar Koreksi'!$D$5:$D$92,$A10)</f>
        <v>0</v>
      </c>
      <c r="G10" s="100">
        <f>SUMIFS('Daftar Koreksi'!$H$5:$H$92,'Daftar Koreksi'!$G$5:$G$92,G$2,'Daftar Koreksi'!$D$5:$D$92,$A10)</f>
        <v>0</v>
      </c>
      <c r="H10" s="112">
        <f>SUMIFS('Daftar Koreksi'!$H$5:$H$92,'Daftar Koreksi'!$G$5:$G$92,H$2,'Daftar Koreksi'!$D$5:$D$92,$A10)</f>
        <v>4411622</v>
      </c>
      <c r="I10" s="100">
        <f>SUMIFS('Daftar Koreksi'!$H$5:$H$92,'Daftar Koreksi'!$G$5:$G$92,I$2,'Daftar Koreksi'!$D$5:$D$92,$A10)</f>
        <v>0</v>
      </c>
      <c r="J10" s="100">
        <f>SUMIFS('Daftar Koreksi'!$H$5:$H$92,'Daftar Koreksi'!$G$5:$G$92,J$2,'Daftar Koreksi'!$D$5:$D$92,$A10)</f>
        <v>0</v>
      </c>
      <c r="K10" s="100">
        <f>SUMIFS('Daftar Koreksi'!$H$5:$H$92,'Daftar Koreksi'!$G$5:$G$92,K$2,'Daftar Koreksi'!$D$5:$D$92,$A10)</f>
        <v>0</v>
      </c>
      <c r="L10" s="100">
        <f t="shared" si="0"/>
        <v>111136622</v>
      </c>
      <c r="M10" s="112">
        <f>SUMIFS('Daftar Koreksi'!$I$5:$I$92,'Daftar Koreksi'!$D$5:$D$92,'Mutasi Neraca'!$A10,'Daftar Koreksi'!$G$5:$G$92,'Mutasi Neraca'!M$2)</f>
        <v>-13340625</v>
      </c>
      <c r="N10" s="114">
        <f>SUMIFS('Daftar Koreksi'!$I$5:$I$92,'Daftar Koreksi'!$D$5:$D$92,'Mutasi Neraca'!$A10,'Daftar Koreksi'!$G$5:$G$92,'Mutasi Neraca'!N$2)</f>
        <v>0</v>
      </c>
      <c r="O10" s="114">
        <f>SUMIFS('Daftar Koreksi'!$I$5:$I$92,'Daftar Koreksi'!$D$5:$D$92,'Mutasi Neraca'!$A10,'Daftar Koreksi'!$G$5:$G$92,'Mutasi Neraca'!O$2)</f>
        <v>0</v>
      </c>
      <c r="P10" s="114">
        <f>SUMIFS('Daftar Koreksi'!$I$5:$I$92,'Daftar Koreksi'!$D$5:$D$92,'Mutasi Neraca'!$A10,'Daftar Koreksi'!$G$5:$G$92,'Mutasi Neraca'!P$2)</f>
        <v>0</v>
      </c>
      <c r="Q10" s="114">
        <f>SUMIFS('Daftar Koreksi'!$I$5:$I$92,'Daftar Koreksi'!$D$5:$D$92,'Mutasi Neraca'!$A10,'Daftar Koreksi'!$G$5:$G$92,'Mutasi Neraca'!Q$2)</f>
        <v>0</v>
      </c>
      <c r="R10" s="114">
        <f t="shared" si="1"/>
        <v>-13340625</v>
      </c>
      <c r="S10" s="110" t="s">
        <v>2293</v>
      </c>
    </row>
    <row r="11" spans="1:20" s="98" customFormat="1">
      <c r="A11" s="98" t="s">
        <v>13</v>
      </c>
      <c r="B11" s="98" t="s">
        <v>1179</v>
      </c>
      <c r="C11" s="100">
        <f>SUMIFS('Daftar Koreksi'!$H$5:$H$92,'Daftar Koreksi'!$G$5:$G$92,C$2,'Daftar Koreksi'!$D$5:$D$92,$A11)</f>
        <v>0</v>
      </c>
      <c r="D11" s="100">
        <f>SUMIFS('Daftar Koreksi'!$H$5:$H$92,'Daftar Koreksi'!$G$5:$G$92,D$2,'Daftar Koreksi'!$D$5:$D$92,$A11)</f>
        <v>0</v>
      </c>
      <c r="E11" s="100">
        <f>SUMIFS('Daftar Koreksi'!$H$5:$H$92,'Daftar Koreksi'!$G$5:$G$92,E$2,'Daftar Koreksi'!$D$5:$D$92,$A11)</f>
        <v>0</v>
      </c>
      <c r="F11" s="100">
        <f>SUMIFS('Daftar Koreksi'!$H$5:$H$92,'Daftar Koreksi'!$G$5:$G$92,F$2,'Daftar Koreksi'!$D$5:$D$92,$A11)</f>
        <v>0</v>
      </c>
      <c r="G11" s="100">
        <f>SUMIFS('Daftar Koreksi'!$H$5:$H$92,'Daftar Koreksi'!$G$5:$G$92,G$2,'Daftar Koreksi'!$D$5:$D$92,$A11)</f>
        <v>0</v>
      </c>
      <c r="H11" s="112">
        <f>SUMIFS('Daftar Koreksi'!$H$5:$H$92,'Daftar Koreksi'!$G$5:$G$92,H$2,'Daftar Koreksi'!$D$5:$D$92,$A11)</f>
        <v>4411622</v>
      </c>
      <c r="I11" s="100">
        <f>SUMIFS('Daftar Koreksi'!$H$5:$H$92,'Daftar Koreksi'!$G$5:$G$92,I$2,'Daftar Koreksi'!$D$5:$D$92,$A11)</f>
        <v>0</v>
      </c>
      <c r="J11" s="100">
        <f>SUMIFS('Daftar Koreksi'!$H$5:$H$92,'Daftar Koreksi'!$G$5:$G$92,J$2,'Daftar Koreksi'!$D$5:$D$92,$A11)</f>
        <v>0</v>
      </c>
      <c r="K11" s="100">
        <f>SUMIFS('Daftar Koreksi'!$H$5:$H$92,'Daftar Koreksi'!$G$5:$G$92,K$2,'Daftar Koreksi'!$D$5:$D$92,$A11)</f>
        <v>0</v>
      </c>
      <c r="L11" s="100">
        <f t="shared" si="0"/>
        <v>4411622</v>
      </c>
      <c r="M11" s="114">
        <f>SUMIFS('Daftar Koreksi'!$I$5:$I$92,'Daftar Koreksi'!$D$5:$D$92,'Mutasi Neraca'!$A11,'Daftar Koreksi'!$G$5:$G$92,'Mutasi Neraca'!M$2)</f>
        <v>0</v>
      </c>
      <c r="N11" s="114">
        <f>SUMIFS('Daftar Koreksi'!$I$5:$I$92,'Daftar Koreksi'!$D$5:$D$92,'Mutasi Neraca'!$A11,'Daftar Koreksi'!$G$5:$G$92,'Mutasi Neraca'!N$2)</f>
        <v>0</v>
      </c>
      <c r="O11" s="114">
        <f>SUMIFS('Daftar Koreksi'!$I$5:$I$92,'Daftar Koreksi'!$D$5:$D$92,'Mutasi Neraca'!$A11,'Daftar Koreksi'!$G$5:$G$92,'Mutasi Neraca'!O$2)</f>
        <v>0</v>
      </c>
      <c r="P11" s="114">
        <f>SUMIFS('Daftar Koreksi'!$I$5:$I$92,'Daftar Koreksi'!$D$5:$D$92,'Mutasi Neraca'!$A11,'Daftar Koreksi'!$G$5:$G$92,'Mutasi Neraca'!P$2)</f>
        <v>0</v>
      </c>
      <c r="Q11" s="114">
        <f>SUMIFS('Daftar Koreksi'!$I$5:$I$92,'Daftar Koreksi'!$D$5:$D$92,'Mutasi Neraca'!$A11,'Daftar Koreksi'!$G$5:$G$92,'Mutasi Neraca'!Q$2)</f>
        <v>0</v>
      </c>
      <c r="R11" s="114">
        <f t="shared" si="1"/>
        <v>0</v>
      </c>
      <c r="S11" s="103" t="s">
        <v>2222</v>
      </c>
    </row>
    <row r="12" spans="1:20" s="98" customFormat="1">
      <c r="A12" s="98" t="s">
        <v>15</v>
      </c>
      <c r="B12" s="98" t="s">
        <v>1181</v>
      </c>
      <c r="C12" s="100">
        <f>SUMIFS('Daftar Koreksi'!$H$5:$H$92,'Daftar Koreksi'!$G$5:$G$92,C$2,'Daftar Koreksi'!$D$5:$D$92,$A12)</f>
        <v>0</v>
      </c>
      <c r="D12" s="100">
        <f>SUMIFS('Daftar Koreksi'!$H$5:$H$92,'Daftar Koreksi'!$G$5:$G$92,D$2,'Daftar Koreksi'!$D$5:$D$92,$A12)</f>
        <v>0</v>
      </c>
      <c r="E12" s="100">
        <f>SUMIFS('Daftar Koreksi'!$H$5:$H$92,'Daftar Koreksi'!$G$5:$G$92,E$2,'Daftar Koreksi'!$D$5:$D$92,$A12)</f>
        <v>0</v>
      </c>
      <c r="F12" s="100">
        <f>SUMIFS('Daftar Koreksi'!$H$5:$H$92,'Daftar Koreksi'!$G$5:$G$92,F$2,'Daftar Koreksi'!$D$5:$D$92,$A12)</f>
        <v>0</v>
      </c>
      <c r="G12" s="100">
        <f>SUMIFS('Daftar Koreksi'!$H$5:$H$92,'Daftar Koreksi'!$G$5:$G$92,G$2,'Daftar Koreksi'!$D$5:$D$92,$A12)</f>
        <v>0</v>
      </c>
      <c r="H12" s="112">
        <f>SUMIFS('Daftar Koreksi'!$H$5:$H$92,'Daftar Koreksi'!$G$5:$G$92,H$2,'Daftar Koreksi'!$D$5:$D$92,$A12)</f>
        <v>4411622</v>
      </c>
      <c r="I12" s="100">
        <f>SUMIFS('Daftar Koreksi'!$H$5:$H$92,'Daftar Koreksi'!$G$5:$G$92,I$2,'Daftar Koreksi'!$D$5:$D$92,$A12)</f>
        <v>0</v>
      </c>
      <c r="J12" s="100">
        <f>SUMIFS('Daftar Koreksi'!$H$5:$H$92,'Daftar Koreksi'!$G$5:$G$92,J$2,'Daftar Koreksi'!$D$5:$D$92,$A12)</f>
        <v>0</v>
      </c>
      <c r="K12" s="100">
        <f>SUMIFS('Daftar Koreksi'!$H$5:$H$92,'Daftar Koreksi'!$G$5:$G$92,K$2,'Daftar Koreksi'!$D$5:$D$92,$A12)</f>
        <v>0</v>
      </c>
      <c r="L12" s="100">
        <f t="shared" si="0"/>
        <v>4411622</v>
      </c>
      <c r="M12" s="114">
        <f>SUMIFS('Daftar Koreksi'!$I$5:$I$92,'Daftar Koreksi'!$D$5:$D$92,'Mutasi Neraca'!$A12,'Daftar Koreksi'!$G$5:$G$92,'Mutasi Neraca'!M$2)</f>
        <v>0</v>
      </c>
      <c r="N12" s="114">
        <f>SUMIFS('Daftar Koreksi'!$I$5:$I$92,'Daftar Koreksi'!$D$5:$D$92,'Mutasi Neraca'!$A12,'Daftar Koreksi'!$G$5:$G$92,'Mutasi Neraca'!N$2)</f>
        <v>0</v>
      </c>
      <c r="O12" s="114">
        <f>SUMIFS('Daftar Koreksi'!$I$5:$I$92,'Daftar Koreksi'!$D$5:$D$92,'Mutasi Neraca'!$A12,'Daftar Koreksi'!$G$5:$G$92,'Mutasi Neraca'!O$2)</f>
        <v>0</v>
      </c>
      <c r="P12" s="114">
        <f>SUMIFS('Daftar Koreksi'!$I$5:$I$92,'Daftar Koreksi'!$D$5:$D$92,'Mutasi Neraca'!$A12,'Daftar Koreksi'!$G$5:$G$92,'Mutasi Neraca'!P$2)</f>
        <v>0</v>
      </c>
      <c r="Q12" s="114">
        <f>SUMIFS('Daftar Koreksi'!$I$5:$I$92,'Daftar Koreksi'!$D$5:$D$92,'Mutasi Neraca'!$A12,'Daftar Koreksi'!$G$5:$G$92,'Mutasi Neraca'!Q$2)</f>
        <v>0</v>
      </c>
      <c r="R12" s="114">
        <f t="shared" si="1"/>
        <v>0</v>
      </c>
      <c r="S12" s="103" t="s">
        <v>2222</v>
      </c>
    </row>
    <row r="13" spans="1:20" s="98" customFormat="1">
      <c r="A13" s="98" t="s">
        <v>30</v>
      </c>
      <c r="B13" s="98" t="s">
        <v>1194</v>
      </c>
      <c r="C13" s="100">
        <f>SUMIFS('Daftar Koreksi'!$H$5:$H$92,'Daftar Koreksi'!$G$5:$G$92,C$2,'Daftar Koreksi'!$D$5:$D$92,$A13)</f>
        <v>0</v>
      </c>
      <c r="D13" s="100">
        <f>SUMIFS('Daftar Koreksi'!$H$5:$H$92,'Daftar Koreksi'!$G$5:$G$92,D$2,'Daftar Koreksi'!$D$5:$D$92,$A13)</f>
        <v>0</v>
      </c>
      <c r="E13" s="100">
        <f>SUMIFS('Daftar Koreksi'!$H$5:$H$92,'Daftar Koreksi'!$G$5:$G$92,E$2,'Daftar Koreksi'!$D$5:$D$92,$A13)</f>
        <v>0</v>
      </c>
      <c r="F13" s="100">
        <f>SUMIFS('Daftar Koreksi'!$H$5:$H$92,'Daftar Koreksi'!$G$5:$G$92,F$2,'Daftar Koreksi'!$D$5:$D$92,$A13)</f>
        <v>0</v>
      </c>
      <c r="G13" s="100">
        <f>SUMIFS('Daftar Koreksi'!$H$5:$H$92,'Daftar Koreksi'!$G$5:$G$92,G$2,'Daftar Koreksi'!$D$5:$D$92,$A13)</f>
        <v>0</v>
      </c>
      <c r="H13" s="112">
        <f>SUMIFS('Daftar Koreksi'!$H$5:$H$92,'Daftar Koreksi'!$G$5:$G$92,H$2,'Daftar Koreksi'!$D$5:$D$92,$A13)</f>
        <v>4411622</v>
      </c>
      <c r="I13" s="100">
        <f>SUMIFS('Daftar Koreksi'!$H$5:$H$92,'Daftar Koreksi'!$G$5:$G$92,I$2,'Daftar Koreksi'!$D$5:$D$92,$A13)</f>
        <v>0</v>
      </c>
      <c r="J13" s="100">
        <f>SUMIFS('Daftar Koreksi'!$H$5:$H$92,'Daftar Koreksi'!$G$5:$G$92,J$2,'Daftar Koreksi'!$D$5:$D$92,$A13)</f>
        <v>0</v>
      </c>
      <c r="K13" s="100">
        <f>SUMIFS('Daftar Koreksi'!$H$5:$H$92,'Daftar Koreksi'!$G$5:$G$92,K$2,'Daftar Koreksi'!$D$5:$D$92,$A13)</f>
        <v>0</v>
      </c>
      <c r="L13" s="100">
        <f t="shared" si="0"/>
        <v>4411622</v>
      </c>
      <c r="M13" s="114">
        <f>SUMIFS('Daftar Koreksi'!$I$5:$I$92,'Daftar Koreksi'!$D$5:$D$92,'Mutasi Neraca'!$A13,'Daftar Koreksi'!$G$5:$G$92,'Mutasi Neraca'!M$2)</f>
        <v>0</v>
      </c>
      <c r="N13" s="114">
        <f>SUMIFS('Daftar Koreksi'!$I$5:$I$92,'Daftar Koreksi'!$D$5:$D$92,'Mutasi Neraca'!$A13,'Daftar Koreksi'!$G$5:$G$92,'Mutasi Neraca'!N$2)</f>
        <v>0</v>
      </c>
      <c r="O13" s="114">
        <f>SUMIFS('Daftar Koreksi'!$I$5:$I$92,'Daftar Koreksi'!$D$5:$D$92,'Mutasi Neraca'!$A13,'Daftar Koreksi'!$G$5:$G$92,'Mutasi Neraca'!O$2)</f>
        <v>0</v>
      </c>
      <c r="P13" s="114">
        <f>SUMIFS('Daftar Koreksi'!$I$5:$I$92,'Daftar Koreksi'!$D$5:$D$92,'Mutasi Neraca'!$A13,'Daftar Koreksi'!$G$5:$G$92,'Mutasi Neraca'!P$2)</f>
        <v>0</v>
      </c>
      <c r="Q13" s="114">
        <f>SUMIFS('Daftar Koreksi'!$I$5:$I$92,'Daftar Koreksi'!$D$5:$D$92,'Mutasi Neraca'!$A13,'Daftar Koreksi'!$G$5:$G$92,'Mutasi Neraca'!Q$2)</f>
        <v>0</v>
      </c>
      <c r="R13" s="114">
        <f t="shared" si="1"/>
        <v>0</v>
      </c>
      <c r="S13" s="102" t="s">
        <v>2222</v>
      </c>
    </row>
    <row r="14" spans="1:20" s="98" customFormat="1">
      <c r="A14" s="98" t="s">
        <v>31</v>
      </c>
      <c r="B14" s="98" t="s">
        <v>1195</v>
      </c>
      <c r="C14" s="100">
        <f>SUMIFS('Daftar Koreksi'!$H$5:$H$92,'Daftar Koreksi'!$G$5:$G$92,C$2,'Daftar Koreksi'!$D$5:$D$92,$A14)</f>
        <v>0</v>
      </c>
      <c r="D14" s="100">
        <f>SUMIFS('Daftar Koreksi'!$H$5:$H$92,'Daftar Koreksi'!$G$5:$G$92,D$2,'Daftar Koreksi'!$D$5:$D$92,$A14)</f>
        <v>0</v>
      </c>
      <c r="E14" s="100">
        <f>SUMIFS('Daftar Koreksi'!$H$5:$H$92,'Daftar Koreksi'!$G$5:$G$92,E$2,'Daftar Koreksi'!$D$5:$D$92,$A14)</f>
        <v>0</v>
      </c>
      <c r="F14" s="100">
        <f>SUMIFS('Daftar Koreksi'!$H$5:$H$92,'Daftar Koreksi'!$G$5:$G$92,F$2,'Daftar Koreksi'!$D$5:$D$92,$A14)</f>
        <v>0</v>
      </c>
      <c r="G14" s="100">
        <f>SUMIFS('Daftar Koreksi'!$H$5:$H$92,'Daftar Koreksi'!$G$5:$G$92,G$2,'Daftar Koreksi'!$D$5:$D$92,$A14)</f>
        <v>0</v>
      </c>
      <c r="H14" s="112">
        <f>SUMIFS('Daftar Koreksi'!$H$5:$H$92,'Daftar Koreksi'!$G$5:$G$92,H$2,'Daftar Koreksi'!$D$5:$D$92,$A14)</f>
        <v>4411622</v>
      </c>
      <c r="I14" s="100">
        <f>SUMIFS('Daftar Koreksi'!$H$5:$H$92,'Daftar Koreksi'!$G$5:$G$92,I$2,'Daftar Koreksi'!$D$5:$D$92,$A14)</f>
        <v>0</v>
      </c>
      <c r="J14" s="100">
        <f>SUMIFS('Daftar Koreksi'!$H$5:$H$92,'Daftar Koreksi'!$G$5:$G$92,J$2,'Daftar Koreksi'!$D$5:$D$92,$A14)</f>
        <v>0</v>
      </c>
      <c r="K14" s="100">
        <f>SUMIFS('Daftar Koreksi'!$H$5:$H$92,'Daftar Koreksi'!$G$5:$G$92,K$2,'Daftar Koreksi'!$D$5:$D$92,$A14)</f>
        <v>0</v>
      </c>
      <c r="L14" s="100">
        <f t="shared" si="0"/>
        <v>4411622</v>
      </c>
      <c r="M14" s="114">
        <f>SUMIFS('Daftar Koreksi'!$I$5:$I$92,'Daftar Koreksi'!$D$5:$D$92,'Mutasi Neraca'!$A14,'Daftar Koreksi'!$G$5:$G$92,'Mutasi Neraca'!M$2)</f>
        <v>0</v>
      </c>
      <c r="N14" s="114">
        <f>SUMIFS('Daftar Koreksi'!$I$5:$I$92,'Daftar Koreksi'!$D$5:$D$92,'Mutasi Neraca'!$A14,'Daftar Koreksi'!$G$5:$G$92,'Mutasi Neraca'!N$2)</f>
        <v>0</v>
      </c>
      <c r="O14" s="114">
        <f>SUMIFS('Daftar Koreksi'!$I$5:$I$92,'Daftar Koreksi'!$D$5:$D$92,'Mutasi Neraca'!$A14,'Daftar Koreksi'!$G$5:$G$92,'Mutasi Neraca'!O$2)</f>
        <v>0</v>
      </c>
      <c r="P14" s="114">
        <f>SUMIFS('Daftar Koreksi'!$I$5:$I$92,'Daftar Koreksi'!$D$5:$D$92,'Mutasi Neraca'!$A14,'Daftar Koreksi'!$G$5:$G$92,'Mutasi Neraca'!P$2)</f>
        <v>0</v>
      </c>
      <c r="Q14" s="114">
        <f>SUMIFS('Daftar Koreksi'!$I$5:$I$92,'Daftar Koreksi'!$D$5:$D$92,'Mutasi Neraca'!$A14,'Daftar Koreksi'!$G$5:$G$92,'Mutasi Neraca'!Q$2)</f>
        <v>0</v>
      </c>
      <c r="R14" s="114">
        <f t="shared" si="1"/>
        <v>0</v>
      </c>
      <c r="S14" s="102" t="s">
        <v>2222</v>
      </c>
    </row>
    <row r="15" spans="1:20" s="98" customFormat="1">
      <c r="A15" s="98" t="s">
        <v>34</v>
      </c>
      <c r="B15" s="98" t="s">
        <v>1198</v>
      </c>
      <c r="C15" s="100">
        <f>SUMIFS('Daftar Koreksi'!$H$5:$H$92,'Daftar Koreksi'!$G$5:$G$92,C$2,'Daftar Koreksi'!$D$5:$D$92,$A15)</f>
        <v>0</v>
      </c>
      <c r="D15" s="100">
        <f>SUMIFS('Daftar Koreksi'!$H$5:$H$92,'Daftar Koreksi'!$G$5:$G$92,D$2,'Daftar Koreksi'!$D$5:$D$92,$A15)</f>
        <v>0</v>
      </c>
      <c r="E15" s="100">
        <f>SUMIFS('Daftar Koreksi'!$H$5:$H$92,'Daftar Koreksi'!$G$5:$G$92,E$2,'Daftar Koreksi'!$D$5:$D$92,$A15)</f>
        <v>0</v>
      </c>
      <c r="F15" s="100">
        <f>SUMIFS('Daftar Koreksi'!$H$5:$H$92,'Daftar Koreksi'!$G$5:$G$92,F$2,'Daftar Koreksi'!$D$5:$D$92,$A15)</f>
        <v>0</v>
      </c>
      <c r="G15" s="100">
        <f>SUMIFS('Daftar Koreksi'!$H$5:$H$92,'Daftar Koreksi'!$G$5:$G$92,G$2,'Daftar Koreksi'!$D$5:$D$92,$A15)</f>
        <v>0</v>
      </c>
      <c r="H15" s="112">
        <f>SUMIFS('Daftar Koreksi'!$H$5:$H$92,'Daftar Koreksi'!$G$5:$G$92,H$2,'Daftar Koreksi'!$D$5:$D$92,$A15)</f>
        <v>4411622</v>
      </c>
      <c r="I15" s="100">
        <f>SUMIFS('Daftar Koreksi'!$H$5:$H$92,'Daftar Koreksi'!$G$5:$G$92,I$2,'Daftar Koreksi'!$D$5:$D$92,$A15)</f>
        <v>0</v>
      </c>
      <c r="J15" s="100">
        <f>SUMIFS('Daftar Koreksi'!$H$5:$H$92,'Daftar Koreksi'!$G$5:$G$92,J$2,'Daftar Koreksi'!$D$5:$D$92,$A15)</f>
        <v>0</v>
      </c>
      <c r="K15" s="100">
        <f>SUMIFS('Daftar Koreksi'!$H$5:$H$92,'Daftar Koreksi'!$G$5:$G$92,K$2,'Daftar Koreksi'!$D$5:$D$92,$A15)</f>
        <v>0</v>
      </c>
      <c r="L15" s="100">
        <f t="shared" si="0"/>
        <v>4411622</v>
      </c>
      <c r="M15" s="114">
        <f>SUMIFS('Daftar Koreksi'!$I$5:$I$92,'Daftar Koreksi'!$D$5:$D$92,'Mutasi Neraca'!$A15,'Daftar Koreksi'!$G$5:$G$92,'Mutasi Neraca'!M$2)</f>
        <v>0</v>
      </c>
      <c r="N15" s="114">
        <f>SUMIFS('Daftar Koreksi'!$I$5:$I$92,'Daftar Koreksi'!$D$5:$D$92,'Mutasi Neraca'!$A15,'Daftar Koreksi'!$G$5:$G$92,'Mutasi Neraca'!N$2)</f>
        <v>0</v>
      </c>
      <c r="O15" s="114">
        <f>SUMIFS('Daftar Koreksi'!$I$5:$I$92,'Daftar Koreksi'!$D$5:$D$92,'Mutasi Neraca'!$A15,'Daftar Koreksi'!$G$5:$G$92,'Mutasi Neraca'!O$2)</f>
        <v>0</v>
      </c>
      <c r="P15" s="114">
        <f>SUMIFS('Daftar Koreksi'!$I$5:$I$92,'Daftar Koreksi'!$D$5:$D$92,'Mutasi Neraca'!$A15,'Daftar Koreksi'!$G$5:$G$92,'Mutasi Neraca'!P$2)</f>
        <v>0</v>
      </c>
      <c r="Q15" s="114">
        <f>SUMIFS('Daftar Koreksi'!$I$5:$I$92,'Daftar Koreksi'!$D$5:$D$92,'Mutasi Neraca'!$A15,'Daftar Koreksi'!$G$5:$G$92,'Mutasi Neraca'!Q$2)</f>
        <v>0</v>
      </c>
      <c r="R15" s="114">
        <f t="shared" si="1"/>
        <v>0</v>
      </c>
      <c r="S15" s="103" t="s">
        <v>2222</v>
      </c>
    </row>
    <row r="16" spans="1:20" s="98" customFormat="1">
      <c r="A16" s="98" t="s">
        <v>36</v>
      </c>
      <c r="B16" s="98" t="s">
        <v>1200</v>
      </c>
      <c r="C16" s="100">
        <f>SUMIFS('Daftar Koreksi'!$H$5:$H$92,'Daftar Koreksi'!$G$5:$G$92,C$2,'Daftar Koreksi'!$D$5:$D$92,$A16)</f>
        <v>0</v>
      </c>
      <c r="D16" s="100">
        <f>SUMIFS('Daftar Koreksi'!$H$5:$H$92,'Daftar Koreksi'!$G$5:$G$92,D$2,'Daftar Koreksi'!$D$5:$D$92,$A16)</f>
        <v>0</v>
      </c>
      <c r="E16" s="100">
        <f>SUMIFS('Daftar Koreksi'!$H$5:$H$92,'Daftar Koreksi'!$G$5:$G$92,E$2,'Daftar Koreksi'!$D$5:$D$92,$A16)</f>
        <v>0</v>
      </c>
      <c r="F16" s="100">
        <f>SUMIFS('Daftar Koreksi'!$H$5:$H$92,'Daftar Koreksi'!$G$5:$G$92,F$2,'Daftar Koreksi'!$D$5:$D$92,$A16)</f>
        <v>0</v>
      </c>
      <c r="G16" s="100">
        <f>SUMIFS('Daftar Koreksi'!$H$5:$H$92,'Daftar Koreksi'!$G$5:$G$92,G$2,'Daftar Koreksi'!$D$5:$D$92,$A16)</f>
        <v>0</v>
      </c>
      <c r="H16" s="112">
        <f>SUMIFS('Daftar Koreksi'!$H$5:$H$92,'Daftar Koreksi'!$G$5:$G$92,H$2,'Daftar Koreksi'!$D$5:$D$92,$A16)</f>
        <v>4411622</v>
      </c>
      <c r="I16" s="100">
        <f>SUMIFS('Daftar Koreksi'!$H$5:$H$92,'Daftar Koreksi'!$G$5:$G$92,I$2,'Daftar Koreksi'!$D$5:$D$92,$A16)</f>
        <v>0</v>
      </c>
      <c r="J16" s="100">
        <f>SUMIFS('Daftar Koreksi'!$H$5:$H$92,'Daftar Koreksi'!$G$5:$G$92,J$2,'Daftar Koreksi'!$D$5:$D$92,$A16)</f>
        <v>0</v>
      </c>
      <c r="K16" s="100">
        <f>SUMIFS('Daftar Koreksi'!$H$5:$H$92,'Daftar Koreksi'!$G$5:$G$92,K$2,'Daftar Koreksi'!$D$5:$D$92,$A16)</f>
        <v>0</v>
      </c>
      <c r="L16" s="100">
        <f t="shared" si="0"/>
        <v>4411622</v>
      </c>
      <c r="M16" s="114">
        <f>SUMIFS('Daftar Koreksi'!$I$5:$I$92,'Daftar Koreksi'!$D$5:$D$92,'Mutasi Neraca'!$A16,'Daftar Koreksi'!$G$5:$G$92,'Mutasi Neraca'!M$2)</f>
        <v>0</v>
      </c>
      <c r="N16" s="114">
        <f>SUMIFS('Daftar Koreksi'!$I$5:$I$92,'Daftar Koreksi'!$D$5:$D$92,'Mutasi Neraca'!$A16,'Daftar Koreksi'!$G$5:$G$92,'Mutasi Neraca'!N$2)</f>
        <v>0</v>
      </c>
      <c r="O16" s="114">
        <f>SUMIFS('Daftar Koreksi'!$I$5:$I$92,'Daftar Koreksi'!$D$5:$D$92,'Mutasi Neraca'!$A16,'Daftar Koreksi'!$G$5:$G$92,'Mutasi Neraca'!O$2)</f>
        <v>0</v>
      </c>
      <c r="P16" s="114">
        <f>SUMIFS('Daftar Koreksi'!$I$5:$I$92,'Daftar Koreksi'!$D$5:$D$92,'Mutasi Neraca'!$A16,'Daftar Koreksi'!$G$5:$G$92,'Mutasi Neraca'!P$2)</f>
        <v>0</v>
      </c>
      <c r="Q16" s="114">
        <f>SUMIFS('Daftar Koreksi'!$I$5:$I$92,'Daftar Koreksi'!$D$5:$D$92,'Mutasi Neraca'!$A16,'Daftar Koreksi'!$G$5:$G$92,'Mutasi Neraca'!Q$2)</f>
        <v>0</v>
      </c>
      <c r="R16" s="114">
        <f t="shared" si="1"/>
        <v>0</v>
      </c>
      <c r="S16" s="103" t="s">
        <v>2222</v>
      </c>
    </row>
    <row r="17" spans="1:19" s="98" customFormat="1">
      <c r="A17" s="98" t="s">
        <v>37</v>
      </c>
      <c r="B17" s="98" t="s">
        <v>1201</v>
      </c>
      <c r="C17" s="100">
        <f>SUMIFS('Daftar Koreksi'!$H$5:$H$92,'Daftar Koreksi'!$G$5:$G$92,C$2,'Daftar Koreksi'!$D$5:$D$92,$A17)</f>
        <v>0</v>
      </c>
      <c r="D17" s="100">
        <f>SUMIFS('Daftar Koreksi'!$H$5:$H$92,'Daftar Koreksi'!$G$5:$G$92,D$2,'Daftar Koreksi'!$D$5:$D$92,$A17)</f>
        <v>0</v>
      </c>
      <c r="E17" s="100">
        <f>SUMIFS('Daftar Koreksi'!$H$5:$H$92,'Daftar Koreksi'!$G$5:$G$92,E$2,'Daftar Koreksi'!$D$5:$D$92,$A17)</f>
        <v>0</v>
      </c>
      <c r="F17" s="100">
        <f>SUMIFS('Daftar Koreksi'!$H$5:$H$92,'Daftar Koreksi'!$G$5:$G$92,F$2,'Daftar Koreksi'!$D$5:$D$92,$A17)</f>
        <v>0</v>
      </c>
      <c r="G17" s="100">
        <f>SUMIFS('Daftar Koreksi'!$H$5:$H$92,'Daftar Koreksi'!$G$5:$G$92,G$2,'Daftar Koreksi'!$D$5:$D$92,$A17)</f>
        <v>0</v>
      </c>
      <c r="H17" s="112">
        <f>SUMIFS('Daftar Koreksi'!$H$5:$H$92,'Daftar Koreksi'!$G$5:$G$92,H$2,'Daftar Koreksi'!$D$5:$D$92,$A17)</f>
        <v>4411622</v>
      </c>
      <c r="I17" s="100">
        <f>SUMIFS('Daftar Koreksi'!$H$5:$H$92,'Daftar Koreksi'!$G$5:$G$92,I$2,'Daftar Koreksi'!$D$5:$D$92,$A17)</f>
        <v>0</v>
      </c>
      <c r="J17" s="100">
        <f>SUMIFS('Daftar Koreksi'!$H$5:$H$92,'Daftar Koreksi'!$G$5:$G$92,J$2,'Daftar Koreksi'!$D$5:$D$92,$A17)</f>
        <v>0</v>
      </c>
      <c r="K17" s="100">
        <f>SUMIFS('Daftar Koreksi'!$H$5:$H$92,'Daftar Koreksi'!$G$5:$G$92,K$2,'Daftar Koreksi'!$D$5:$D$92,$A17)</f>
        <v>0</v>
      </c>
      <c r="L17" s="100">
        <f t="shared" si="0"/>
        <v>4411622</v>
      </c>
      <c r="M17" s="114">
        <f>SUMIFS('Daftar Koreksi'!$I$5:$I$92,'Daftar Koreksi'!$D$5:$D$92,'Mutasi Neraca'!$A17,'Daftar Koreksi'!$G$5:$G$92,'Mutasi Neraca'!M$2)</f>
        <v>0</v>
      </c>
      <c r="N17" s="114">
        <f>SUMIFS('Daftar Koreksi'!$I$5:$I$92,'Daftar Koreksi'!$D$5:$D$92,'Mutasi Neraca'!$A17,'Daftar Koreksi'!$G$5:$G$92,'Mutasi Neraca'!N$2)</f>
        <v>0</v>
      </c>
      <c r="O17" s="114">
        <f>SUMIFS('Daftar Koreksi'!$I$5:$I$92,'Daftar Koreksi'!$D$5:$D$92,'Mutasi Neraca'!$A17,'Daftar Koreksi'!$G$5:$G$92,'Mutasi Neraca'!O$2)</f>
        <v>0</v>
      </c>
      <c r="P17" s="114">
        <f>SUMIFS('Daftar Koreksi'!$I$5:$I$92,'Daftar Koreksi'!$D$5:$D$92,'Mutasi Neraca'!$A17,'Daftar Koreksi'!$G$5:$G$92,'Mutasi Neraca'!P$2)</f>
        <v>0</v>
      </c>
      <c r="Q17" s="114">
        <f>SUMIFS('Daftar Koreksi'!$I$5:$I$92,'Daftar Koreksi'!$D$5:$D$92,'Mutasi Neraca'!$A17,'Daftar Koreksi'!$G$5:$G$92,'Mutasi Neraca'!Q$2)</f>
        <v>0</v>
      </c>
      <c r="R17" s="114">
        <f t="shared" si="1"/>
        <v>0</v>
      </c>
      <c r="S17" s="103" t="s">
        <v>2222</v>
      </c>
    </row>
    <row r="18" spans="1:19" s="98" customFormat="1">
      <c r="A18" s="98" t="s">
        <v>39</v>
      </c>
      <c r="B18" s="98" t="s">
        <v>1203</v>
      </c>
      <c r="C18" s="100">
        <f>SUMIFS('Daftar Koreksi'!$H$5:$H$92,'Daftar Koreksi'!$G$5:$G$92,C$2,'Daftar Koreksi'!$D$5:$D$92,$A18)</f>
        <v>0</v>
      </c>
      <c r="D18" s="100">
        <f>SUMIFS('Daftar Koreksi'!$H$5:$H$92,'Daftar Koreksi'!$G$5:$G$92,D$2,'Daftar Koreksi'!$D$5:$D$92,$A18)</f>
        <v>0</v>
      </c>
      <c r="E18" s="100">
        <f>SUMIFS('Daftar Koreksi'!$H$5:$H$92,'Daftar Koreksi'!$G$5:$G$92,E$2,'Daftar Koreksi'!$D$5:$D$92,$A18)</f>
        <v>0</v>
      </c>
      <c r="F18" s="100">
        <f>SUMIFS('Daftar Koreksi'!$H$5:$H$92,'Daftar Koreksi'!$G$5:$G$92,F$2,'Daftar Koreksi'!$D$5:$D$92,$A18)</f>
        <v>0</v>
      </c>
      <c r="G18" s="100">
        <f>SUMIFS('Daftar Koreksi'!$H$5:$H$92,'Daftar Koreksi'!$G$5:$G$92,G$2,'Daftar Koreksi'!$D$5:$D$92,$A18)</f>
        <v>0</v>
      </c>
      <c r="H18" s="112">
        <f>SUMIFS('Daftar Koreksi'!$H$5:$H$92,'Daftar Koreksi'!$G$5:$G$92,H$2,'Daftar Koreksi'!$D$5:$D$92,$A18)</f>
        <v>4411622</v>
      </c>
      <c r="I18" s="100">
        <f>SUMIFS('Daftar Koreksi'!$H$5:$H$92,'Daftar Koreksi'!$G$5:$G$92,I$2,'Daftar Koreksi'!$D$5:$D$92,$A18)</f>
        <v>0</v>
      </c>
      <c r="J18" s="100">
        <f>SUMIFS('Daftar Koreksi'!$H$5:$H$92,'Daftar Koreksi'!$G$5:$G$92,J$2,'Daftar Koreksi'!$D$5:$D$92,$A18)</f>
        <v>0</v>
      </c>
      <c r="K18" s="100">
        <f>SUMIFS('Daftar Koreksi'!$H$5:$H$92,'Daftar Koreksi'!$G$5:$G$92,K$2,'Daftar Koreksi'!$D$5:$D$92,$A18)</f>
        <v>0</v>
      </c>
      <c r="L18" s="100">
        <f t="shared" si="0"/>
        <v>4411622</v>
      </c>
      <c r="M18" s="114">
        <f>SUMIFS('Daftar Koreksi'!$I$5:$I$92,'Daftar Koreksi'!$D$5:$D$92,'Mutasi Neraca'!$A18,'Daftar Koreksi'!$G$5:$G$92,'Mutasi Neraca'!M$2)</f>
        <v>0</v>
      </c>
      <c r="N18" s="114">
        <f>SUMIFS('Daftar Koreksi'!$I$5:$I$92,'Daftar Koreksi'!$D$5:$D$92,'Mutasi Neraca'!$A18,'Daftar Koreksi'!$G$5:$G$92,'Mutasi Neraca'!N$2)</f>
        <v>0</v>
      </c>
      <c r="O18" s="114">
        <f>SUMIFS('Daftar Koreksi'!$I$5:$I$92,'Daftar Koreksi'!$D$5:$D$92,'Mutasi Neraca'!$A18,'Daftar Koreksi'!$G$5:$G$92,'Mutasi Neraca'!O$2)</f>
        <v>0</v>
      </c>
      <c r="P18" s="114">
        <f>SUMIFS('Daftar Koreksi'!$I$5:$I$92,'Daftar Koreksi'!$D$5:$D$92,'Mutasi Neraca'!$A18,'Daftar Koreksi'!$G$5:$G$92,'Mutasi Neraca'!P$2)</f>
        <v>0</v>
      </c>
      <c r="Q18" s="114">
        <f>SUMIFS('Daftar Koreksi'!$I$5:$I$92,'Daftar Koreksi'!$D$5:$D$92,'Mutasi Neraca'!$A18,'Daftar Koreksi'!$G$5:$G$92,'Mutasi Neraca'!Q$2)</f>
        <v>0</v>
      </c>
      <c r="R18" s="114">
        <f t="shared" si="1"/>
        <v>0</v>
      </c>
      <c r="S18" s="103" t="s">
        <v>2222</v>
      </c>
    </row>
    <row r="19" spans="1:19" s="98" customFormat="1">
      <c r="A19" s="98" t="s">
        <v>40</v>
      </c>
      <c r="B19" s="98" t="s">
        <v>1204</v>
      </c>
      <c r="C19" s="100">
        <f>SUMIFS('Daftar Koreksi'!$H$5:$H$92,'Daftar Koreksi'!$G$5:$G$92,C$2,'Daftar Koreksi'!$D$5:$D$92,$A19)</f>
        <v>0</v>
      </c>
      <c r="D19" s="100">
        <f>SUMIFS('Daftar Koreksi'!$H$5:$H$92,'Daftar Koreksi'!$G$5:$G$92,D$2,'Daftar Koreksi'!$D$5:$D$92,$A19)</f>
        <v>0</v>
      </c>
      <c r="E19" s="100">
        <f>SUMIFS('Daftar Koreksi'!$H$5:$H$92,'Daftar Koreksi'!$G$5:$G$92,E$2,'Daftar Koreksi'!$D$5:$D$92,$A19)</f>
        <v>0</v>
      </c>
      <c r="F19" s="100">
        <f>SUMIFS('Daftar Koreksi'!$H$5:$H$92,'Daftar Koreksi'!$G$5:$G$92,F$2,'Daftar Koreksi'!$D$5:$D$92,$A19)</f>
        <v>0</v>
      </c>
      <c r="G19" s="100">
        <f>SUMIFS('Daftar Koreksi'!$H$5:$H$92,'Daftar Koreksi'!$G$5:$G$92,G$2,'Daftar Koreksi'!$D$5:$D$92,$A19)</f>
        <v>0</v>
      </c>
      <c r="H19" s="112">
        <f>SUMIFS('Daftar Koreksi'!$H$5:$H$92,'Daftar Koreksi'!$G$5:$G$92,H$2,'Daftar Koreksi'!$D$5:$D$92,$A19)</f>
        <v>4411622</v>
      </c>
      <c r="I19" s="100">
        <f>SUMIFS('Daftar Koreksi'!$H$5:$H$92,'Daftar Koreksi'!$G$5:$G$92,I$2,'Daftar Koreksi'!$D$5:$D$92,$A19)</f>
        <v>0</v>
      </c>
      <c r="J19" s="100">
        <f>SUMIFS('Daftar Koreksi'!$H$5:$H$92,'Daftar Koreksi'!$G$5:$G$92,J$2,'Daftar Koreksi'!$D$5:$D$92,$A19)</f>
        <v>0</v>
      </c>
      <c r="K19" s="100">
        <f>SUMIFS('Daftar Koreksi'!$H$5:$H$92,'Daftar Koreksi'!$G$5:$G$92,K$2,'Daftar Koreksi'!$D$5:$D$92,$A19)</f>
        <v>0</v>
      </c>
      <c r="L19" s="100">
        <f t="shared" si="0"/>
        <v>4411622</v>
      </c>
      <c r="M19" s="114">
        <f>SUMIFS('Daftar Koreksi'!$I$5:$I$92,'Daftar Koreksi'!$D$5:$D$92,'Mutasi Neraca'!$A19,'Daftar Koreksi'!$G$5:$G$92,'Mutasi Neraca'!M$2)</f>
        <v>0</v>
      </c>
      <c r="N19" s="114">
        <f>SUMIFS('Daftar Koreksi'!$I$5:$I$92,'Daftar Koreksi'!$D$5:$D$92,'Mutasi Neraca'!$A19,'Daftar Koreksi'!$G$5:$G$92,'Mutasi Neraca'!N$2)</f>
        <v>0</v>
      </c>
      <c r="O19" s="114">
        <f>SUMIFS('Daftar Koreksi'!$I$5:$I$92,'Daftar Koreksi'!$D$5:$D$92,'Mutasi Neraca'!$A19,'Daftar Koreksi'!$G$5:$G$92,'Mutasi Neraca'!O$2)</f>
        <v>0</v>
      </c>
      <c r="P19" s="114">
        <f>SUMIFS('Daftar Koreksi'!$I$5:$I$92,'Daftar Koreksi'!$D$5:$D$92,'Mutasi Neraca'!$A19,'Daftar Koreksi'!$G$5:$G$92,'Mutasi Neraca'!P$2)</f>
        <v>0</v>
      </c>
      <c r="Q19" s="114">
        <f>SUMIFS('Daftar Koreksi'!$I$5:$I$92,'Daftar Koreksi'!$D$5:$D$92,'Mutasi Neraca'!$A19,'Daftar Koreksi'!$G$5:$G$92,'Mutasi Neraca'!Q$2)</f>
        <v>0</v>
      </c>
      <c r="R19" s="114">
        <f t="shared" si="1"/>
        <v>0</v>
      </c>
      <c r="S19" s="103" t="s">
        <v>2222</v>
      </c>
    </row>
    <row r="20" spans="1:19" s="98" customFormat="1">
      <c r="A20" s="98" t="s">
        <v>41</v>
      </c>
      <c r="B20" s="98" t="s">
        <v>1205</v>
      </c>
      <c r="C20" s="100">
        <f>SUMIFS('Daftar Koreksi'!$H$5:$H$92,'Daftar Koreksi'!$G$5:$G$92,C$2,'Daftar Koreksi'!$D$5:$D$92,$A20)</f>
        <v>0</v>
      </c>
      <c r="D20" s="100">
        <f>SUMIFS('Daftar Koreksi'!$H$5:$H$92,'Daftar Koreksi'!$G$5:$G$92,D$2,'Daftar Koreksi'!$D$5:$D$92,$A20)</f>
        <v>0</v>
      </c>
      <c r="E20" s="100">
        <f>SUMIFS('Daftar Koreksi'!$H$5:$H$92,'Daftar Koreksi'!$G$5:$G$92,E$2,'Daftar Koreksi'!$D$5:$D$92,$A20)</f>
        <v>0</v>
      </c>
      <c r="F20" s="100">
        <f>SUMIFS('Daftar Koreksi'!$H$5:$H$92,'Daftar Koreksi'!$G$5:$G$92,F$2,'Daftar Koreksi'!$D$5:$D$92,$A20)</f>
        <v>0</v>
      </c>
      <c r="G20" s="100">
        <f>SUMIFS('Daftar Koreksi'!$H$5:$H$92,'Daftar Koreksi'!$G$5:$G$92,G$2,'Daftar Koreksi'!$D$5:$D$92,$A20)</f>
        <v>0</v>
      </c>
      <c r="H20" s="112">
        <f>SUMIFS('Daftar Koreksi'!$H$5:$H$92,'Daftar Koreksi'!$G$5:$G$92,H$2,'Daftar Koreksi'!$D$5:$D$92,$A20)</f>
        <v>4411622</v>
      </c>
      <c r="I20" s="100">
        <f>SUMIFS('Daftar Koreksi'!$H$5:$H$92,'Daftar Koreksi'!$G$5:$G$92,I$2,'Daftar Koreksi'!$D$5:$D$92,$A20)</f>
        <v>0</v>
      </c>
      <c r="J20" s="100">
        <f>SUMIFS('Daftar Koreksi'!$H$5:$H$92,'Daftar Koreksi'!$G$5:$G$92,J$2,'Daftar Koreksi'!$D$5:$D$92,$A20)</f>
        <v>0</v>
      </c>
      <c r="K20" s="100">
        <f>SUMIFS('Daftar Koreksi'!$H$5:$H$92,'Daftar Koreksi'!$G$5:$G$92,K$2,'Daftar Koreksi'!$D$5:$D$92,$A20)</f>
        <v>0</v>
      </c>
      <c r="L20" s="100">
        <f t="shared" si="0"/>
        <v>4411622</v>
      </c>
      <c r="M20" s="114">
        <f>SUMIFS('Daftar Koreksi'!$I$5:$I$92,'Daftar Koreksi'!$D$5:$D$92,'Mutasi Neraca'!$A20,'Daftar Koreksi'!$G$5:$G$92,'Mutasi Neraca'!M$2)</f>
        <v>0</v>
      </c>
      <c r="N20" s="114">
        <f>SUMIFS('Daftar Koreksi'!$I$5:$I$92,'Daftar Koreksi'!$D$5:$D$92,'Mutasi Neraca'!$A20,'Daftar Koreksi'!$G$5:$G$92,'Mutasi Neraca'!N$2)</f>
        <v>0</v>
      </c>
      <c r="O20" s="114">
        <f>SUMIFS('Daftar Koreksi'!$I$5:$I$92,'Daftar Koreksi'!$D$5:$D$92,'Mutasi Neraca'!$A20,'Daftar Koreksi'!$G$5:$G$92,'Mutasi Neraca'!O$2)</f>
        <v>0</v>
      </c>
      <c r="P20" s="114">
        <f>SUMIFS('Daftar Koreksi'!$I$5:$I$92,'Daftar Koreksi'!$D$5:$D$92,'Mutasi Neraca'!$A20,'Daftar Koreksi'!$G$5:$G$92,'Mutasi Neraca'!P$2)</f>
        <v>0</v>
      </c>
      <c r="Q20" s="114">
        <f>SUMIFS('Daftar Koreksi'!$I$5:$I$92,'Daftar Koreksi'!$D$5:$D$92,'Mutasi Neraca'!$A20,'Daftar Koreksi'!$G$5:$G$92,'Mutasi Neraca'!Q$2)</f>
        <v>0</v>
      </c>
      <c r="R20" s="114">
        <f t="shared" si="1"/>
        <v>0</v>
      </c>
      <c r="S20" s="103" t="s">
        <v>2222</v>
      </c>
    </row>
    <row r="21" spans="1:19" s="98" customFormat="1">
      <c r="A21" s="98" t="s">
        <v>42</v>
      </c>
      <c r="B21" s="98" t="s">
        <v>1206</v>
      </c>
      <c r="C21" s="100">
        <f>SUMIFS('Daftar Koreksi'!$H$5:$H$92,'Daftar Koreksi'!$G$5:$G$92,C$2,'Daftar Koreksi'!$D$5:$D$92,$A21)</f>
        <v>0</v>
      </c>
      <c r="D21" s="100">
        <f>SUMIFS('Daftar Koreksi'!$H$5:$H$92,'Daftar Koreksi'!$G$5:$G$92,D$2,'Daftar Koreksi'!$D$5:$D$92,$A21)</f>
        <v>0</v>
      </c>
      <c r="E21" s="100">
        <f>SUMIFS('Daftar Koreksi'!$H$5:$H$92,'Daftar Koreksi'!$G$5:$G$92,E$2,'Daftar Koreksi'!$D$5:$D$92,$A21)</f>
        <v>0</v>
      </c>
      <c r="F21" s="100">
        <f>SUMIFS('Daftar Koreksi'!$H$5:$H$92,'Daftar Koreksi'!$G$5:$G$92,F$2,'Daftar Koreksi'!$D$5:$D$92,$A21)</f>
        <v>0</v>
      </c>
      <c r="G21" s="100">
        <f>SUMIFS('Daftar Koreksi'!$H$5:$H$92,'Daftar Koreksi'!$G$5:$G$92,G$2,'Daftar Koreksi'!$D$5:$D$92,$A21)</f>
        <v>0</v>
      </c>
      <c r="H21" s="112">
        <f>SUMIFS('Daftar Koreksi'!$H$5:$H$92,'Daftar Koreksi'!$G$5:$G$92,H$2,'Daftar Koreksi'!$D$5:$D$92,$A21)</f>
        <v>4411622</v>
      </c>
      <c r="I21" s="100">
        <f>SUMIFS('Daftar Koreksi'!$H$5:$H$92,'Daftar Koreksi'!$G$5:$G$92,I$2,'Daftar Koreksi'!$D$5:$D$92,$A21)</f>
        <v>0</v>
      </c>
      <c r="J21" s="100">
        <f>SUMIFS('Daftar Koreksi'!$H$5:$H$92,'Daftar Koreksi'!$G$5:$G$92,J$2,'Daftar Koreksi'!$D$5:$D$92,$A21)</f>
        <v>0</v>
      </c>
      <c r="K21" s="100">
        <f>SUMIFS('Daftar Koreksi'!$H$5:$H$92,'Daftar Koreksi'!$G$5:$G$92,K$2,'Daftar Koreksi'!$D$5:$D$92,$A21)</f>
        <v>0</v>
      </c>
      <c r="L21" s="100">
        <f t="shared" si="0"/>
        <v>4411622</v>
      </c>
      <c r="M21" s="114">
        <f>SUMIFS('Daftar Koreksi'!$I$5:$I$92,'Daftar Koreksi'!$D$5:$D$92,'Mutasi Neraca'!$A21,'Daftar Koreksi'!$G$5:$G$92,'Mutasi Neraca'!M$2)</f>
        <v>0</v>
      </c>
      <c r="N21" s="114">
        <f>SUMIFS('Daftar Koreksi'!$I$5:$I$92,'Daftar Koreksi'!$D$5:$D$92,'Mutasi Neraca'!$A21,'Daftar Koreksi'!$G$5:$G$92,'Mutasi Neraca'!N$2)</f>
        <v>0</v>
      </c>
      <c r="O21" s="114">
        <f>SUMIFS('Daftar Koreksi'!$I$5:$I$92,'Daftar Koreksi'!$D$5:$D$92,'Mutasi Neraca'!$A21,'Daftar Koreksi'!$G$5:$G$92,'Mutasi Neraca'!O$2)</f>
        <v>0</v>
      </c>
      <c r="P21" s="114">
        <f>SUMIFS('Daftar Koreksi'!$I$5:$I$92,'Daftar Koreksi'!$D$5:$D$92,'Mutasi Neraca'!$A21,'Daftar Koreksi'!$G$5:$G$92,'Mutasi Neraca'!P$2)</f>
        <v>0</v>
      </c>
      <c r="Q21" s="114">
        <f>SUMIFS('Daftar Koreksi'!$I$5:$I$92,'Daftar Koreksi'!$D$5:$D$92,'Mutasi Neraca'!$A21,'Daftar Koreksi'!$G$5:$G$92,'Mutasi Neraca'!Q$2)</f>
        <v>0</v>
      </c>
      <c r="R21" s="114">
        <f t="shared" si="1"/>
        <v>0</v>
      </c>
      <c r="S21" s="103" t="s">
        <v>2222</v>
      </c>
    </row>
    <row r="22" spans="1:19" s="98" customFormat="1">
      <c r="A22" s="98" t="s">
        <v>67</v>
      </c>
      <c r="B22" s="98" t="s">
        <v>1231</v>
      </c>
      <c r="C22" s="100">
        <f>SUMIFS('Daftar Koreksi'!$H$5:$H$92,'Daftar Koreksi'!$G$5:$G$92,C$2,'Daftar Koreksi'!$D$5:$D$92,$A22)</f>
        <v>0</v>
      </c>
      <c r="D22" s="100">
        <f>SUMIFS('Daftar Koreksi'!$H$5:$H$92,'Daftar Koreksi'!$G$5:$G$92,D$2,'Daftar Koreksi'!$D$5:$D$92,$A22)</f>
        <v>0</v>
      </c>
      <c r="E22" s="100">
        <f>SUMIFS('Daftar Koreksi'!$H$5:$H$92,'Daftar Koreksi'!$G$5:$G$92,E$2,'Daftar Koreksi'!$D$5:$D$92,$A22)</f>
        <v>0</v>
      </c>
      <c r="F22" s="100">
        <f>SUMIFS('Daftar Koreksi'!$H$5:$H$92,'Daftar Koreksi'!$G$5:$G$92,F$2,'Daftar Koreksi'!$D$5:$D$92,$A22)</f>
        <v>0</v>
      </c>
      <c r="G22" s="100">
        <f>SUMIFS('Daftar Koreksi'!$H$5:$H$92,'Daftar Koreksi'!$G$5:$G$92,G$2,'Daftar Koreksi'!$D$5:$D$92,$A22)</f>
        <v>0</v>
      </c>
      <c r="H22" s="112">
        <f>SUMIFS('Daftar Koreksi'!$H$5:$H$92,'Daftar Koreksi'!$G$5:$G$92,H$2,'Daftar Koreksi'!$D$5:$D$92,$A22)</f>
        <v>4411622</v>
      </c>
      <c r="I22" s="100">
        <f>SUMIFS('Daftar Koreksi'!$H$5:$H$92,'Daftar Koreksi'!$G$5:$G$92,I$2,'Daftar Koreksi'!$D$5:$D$92,$A22)</f>
        <v>0</v>
      </c>
      <c r="J22" s="100">
        <f>SUMIFS('Daftar Koreksi'!$H$5:$H$92,'Daftar Koreksi'!$G$5:$G$92,J$2,'Daftar Koreksi'!$D$5:$D$92,$A22)</f>
        <v>0</v>
      </c>
      <c r="K22" s="100">
        <f>SUMIFS('Daftar Koreksi'!$H$5:$H$92,'Daftar Koreksi'!$G$5:$G$92,K$2,'Daftar Koreksi'!$D$5:$D$92,$A22)</f>
        <v>0</v>
      </c>
      <c r="L22" s="100">
        <f t="shared" si="0"/>
        <v>4411622</v>
      </c>
      <c r="M22" s="114">
        <f>SUMIFS('Daftar Koreksi'!$I$5:$I$92,'Daftar Koreksi'!$D$5:$D$92,'Mutasi Neraca'!$A22,'Daftar Koreksi'!$G$5:$G$92,'Mutasi Neraca'!M$2)</f>
        <v>0</v>
      </c>
      <c r="N22" s="114">
        <f>SUMIFS('Daftar Koreksi'!$I$5:$I$92,'Daftar Koreksi'!$D$5:$D$92,'Mutasi Neraca'!$A22,'Daftar Koreksi'!$G$5:$G$92,'Mutasi Neraca'!N$2)</f>
        <v>0</v>
      </c>
      <c r="O22" s="114">
        <f>SUMIFS('Daftar Koreksi'!$I$5:$I$92,'Daftar Koreksi'!$D$5:$D$92,'Mutasi Neraca'!$A22,'Daftar Koreksi'!$G$5:$G$92,'Mutasi Neraca'!O$2)</f>
        <v>0</v>
      </c>
      <c r="P22" s="114">
        <f>SUMIFS('Daftar Koreksi'!$I$5:$I$92,'Daftar Koreksi'!$D$5:$D$92,'Mutasi Neraca'!$A22,'Daftar Koreksi'!$G$5:$G$92,'Mutasi Neraca'!P$2)</f>
        <v>0</v>
      </c>
      <c r="Q22" s="114">
        <f>SUMIFS('Daftar Koreksi'!$I$5:$I$92,'Daftar Koreksi'!$D$5:$D$92,'Mutasi Neraca'!$A22,'Daftar Koreksi'!$G$5:$G$92,'Mutasi Neraca'!Q$2)</f>
        <v>0</v>
      </c>
      <c r="R22" s="114">
        <f t="shared" si="1"/>
        <v>0</v>
      </c>
      <c r="S22" s="103" t="s">
        <v>2222</v>
      </c>
    </row>
    <row r="23" spans="1:19" s="98" customFormat="1">
      <c r="A23" s="98" t="s">
        <v>80</v>
      </c>
      <c r="B23" s="98" t="s">
        <v>1241</v>
      </c>
      <c r="C23" s="100">
        <f>SUMIFS('Daftar Koreksi'!$H$5:$H$92,'Daftar Koreksi'!$G$5:$G$92,C$2,'Daftar Koreksi'!$D$5:$D$92,$A23)</f>
        <v>0</v>
      </c>
      <c r="D23" s="100">
        <f>SUMIFS('Daftar Koreksi'!$H$5:$H$92,'Daftar Koreksi'!$G$5:$G$92,D$2,'Daftar Koreksi'!$D$5:$D$92,$A23)</f>
        <v>0</v>
      </c>
      <c r="E23" s="100">
        <f>SUMIFS('Daftar Koreksi'!$H$5:$H$92,'Daftar Koreksi'!$G$5:$G$92,E$2,'Daftar Koreksi'!$D$5:$D$92,$A23)</f>
        <v>0</v>
      </c>
      <c r="F23" s="100">
        <f>SUMIFS('Daftar Koreksi'!$H$5:$H$92,'Daftar Koreksi'!$G$5:$G$92,F$2,'Daftar Koreksi'!$D$5:$D$92,$A23)</f>
        <v>0</v>
      </c>
      <c r="G23" s="100">
        <f>SUMIFS('Daftar Koreksi'!$H$5:$H$92,'Daftar Koreksi'!$G$5:$G$92,G$2,'Daftar Koreksi'!$D$5:$D$92,$A23)</f>
        <v>0</v>
      </c>
      <c r="H23" s="112">
        <f>SUMIFS('Daftar Koreksi'!$H$5:$H$92,'Daftar Koreksi'!$G$5:$G$92,H$2,'Daftar Koreksi'!$D$5:$D$92,$A23)</f>
        <v>4411622</v>
      </c>
      <c r="I23" s="100">
        <f>SUMIFS('Daftar Koreksi'!$H$5:$H$92,'Daftar Koreksi'!$G$5:$G$92,I$2,'Daftar Koreksi'!$D$5:$D$92,$A23)</f>
        <v>0</v>
      </c>
      <c r="J23" s="100">
        <f>SUMIFS('Daftar Koreksi'!$H$5:$H$92,'Daftar Koreksi'!$G$5:$G$92,J$2,'Daftar Koreksi'!$D$5:$D$92,$A23)</f>
        <v>0</v>
      </c>
      <c r="K23" s="100">
        <f>SUMIFS('Daftar Koreksi'!$H$5:$H$92,'Daftar Koreksi'!$G$5:$G$92,K$2,'Daftar Koreksi'!$D$5:$D$92,$A23)</f>
        <v>0</v>
      </c>
      <c r="L23" s="100">
        <f t="shared" si="0"/>
        <v>4411622</v>
      </c>
      <c r="M23" s="114">
        <f>SUMIFS('Daftar Koreksi'!$I$5:$I$92,'Daftar Koreksi'!$D$5:$D$92,'Mutasi Neraca'!$A23,'Daftar Koreksi'!$G$5:$G$92,'Mutasi Neraca'!M$2)</f>
        <v>0</v>
      </c>
      <c r="N23" s="114">
        <f>SUMIFS('Daftar Koreksi'!$I$5:$I$92,'Daftar Koreksi'!$D$5:$D$92,'Mutasi Neraca'!$A23,'Daftar Koreksi'!$G$5:$G$92,'Mutasi Neraca'!N$2)</f>
        <v>0</v>
      </c>
      <c r="O23" s="114">
        <f>SUMIFS('Daftar Koreksi'!$I$5:$I$92,'Daftar Koreksi'!$D$5:$D$92,'Mutasi Neraca'!$A23,'Daftar Koreksi'!$G$5:$G$92,'Mutasi Neraca'!O$2)</f>
        <v>0</v>
      </c>
      <c r="P23" s="114">
        <f>SUMIFS('Daftar Koreksi'!$I$5:$I$92,'Daftar Koreksi'!$D$5:$D$92,'Mutasi Neraca'!$A23,'Daftar Koreksi'!$G$5:$G$92,'Mutasi Neraca'!P$2)</f>
        <v>0</v>
      </c>
      <c r="Q23" s="114">
        <f>SUMIFS('Daftar Koreksi'!$I$5:$I$92,'Daftar Koreksi'!$D$5:$D$92,'Mutasi Neraca'!$A23,'Daftar Koreksi'!$G$5:$G$92,'Mutasi Neraca'!Q$2)</f>
        <v>0</v>
      </c>
      <c r="R23" s="114">
        <f t="shared" si="1"/>
        <v>0</v>
      </c>
      <c r="S23" s="102" t="s">
        <v>2222</v>
      </c>
    </row>
    <row r="24" spans="1:19" s="98" customFormat="1">
      <c r="A24" s="98" t="s">
        <v>82</v>
      </c>
      <c r="B24" s="98" t="s">
        <v>1243</v>
      </c>
      <c r="C24" s="100">
        <f>SUMIFS('Daftar Koreksi'!$H$5:$H$92,'Daftar Koreksi'!$G$5:$G$92,C$2,'Daftar Koreksi'!$D$5:$D$92,$A24)</f>
        <v>0</v>
      </c>
      <c r="D24" s="100">
        <f>SUMIFS('Daftar Koreksi'!$H$5:$H$92,'Daftar Koreksi'!$G$5:$G$92,D$2,'Daftar Koreksi'!$D$5:$D$92,$A24)</f>
        <v>0</v>
      </c>
      <c r="E24" s="100">
        <f>SUMIFS('Daftar Koreksi'!$H$5:$H$92,'Daftar Koreksi'!$G$5:$G$92,E$2,'Daftar Koreksi'!$D$5:$D$92,$A24)</f>
        <v>0</v>
      </c>
      <c r="F24" s="100">
        <f>SUMIFS('Daftar Koreksi'!$H$5:$H$92,'Daftar Koreksi'!$G$5:$G$92,F$2,'Daftar Koreksi'!$D$5:$D$92,$A24)</f>
        <v>0</v>
      </c>
      <c r="G24" s="100">
        <f>SUMIFS('Daftar Koreksi'!$H$5:$H$92,'Daftar Koreksi'!$G$5:$G$92,G$2,'Daftar Koreksi'!$D$5:$D$92,$A24)</f>
        <v>0</v>
      </c>
      <c r="H24" s="112">
        <f>SUMIFS('Daftar Koreksi'!$H$5:$H$92,'Daftar Koreksi'!$G$5:$G$92,H$2,'Daftar Koreksi'!$D$5:$D$92,$A24)</f>
        <v>4411622</v>
      </c>
      <c r="I24" s="100">
        <f>SUMIFS('Daftar Koreksi'!$H$5:$H$92,'Daftar Koreksi'!$G$5:$G$92,I$2,'Daftar Koreksi'!$D$5:$D$92,$A24)</f>
        <v>0</v>
      </c>
      <c r="J24" s="100">
        <f>SUMIFS('Daftar Koreksi'!$H$5:$H$92,'Daftar Koreksi'!$G$5:$G$92,J$2,'Daftar Koreksi'!$D$5:$D$92,$A24)</f>
        <v>0</v>
      </c>
      <c r="K24" s="100">
        <f>SUMIFS('Daftar Koreksi'!$H$5:$H$92,'Daftar Koreksi'!$G$5:$G$92,K$2,'Daftar Koreksi'!$D$5:$D$92,$A24)</f>
        <v>0</v>
      </c>
      <c r="L24" s="100">
        <f t="shared" si="0"/>
        <v>4411622</v>
      </c>
      <c r="M24" s="114">
        <f>SUMIFS('Daftar Koreksi'!$I$5:$I$92,'Daftar Koreksi'!$D$5:$D$92,'Mutasi Neraca'!$A24,'Daftar Koreksi'!$G$5:$G$92,'Mutasi Neraca'!M$2)</f>
        <v>0</v>
      </c>
      <c r="N24" s="114">
        <f>SUMIFS('Daftar Koreksi'!$I$5:$I$92,'Daftar Koreksi'!$D$5:$D$92,'Mutasi Neraca'!$A24,'Daftar Koreksi'!$G$5:$G$92,'Mutasi Neraca'!N$2)</f>
        <v>0</v>
      </c>
      <c r="O24" s="114">
        <f>SUMIFS('Daftar Koreksi'!$I$5:$I$92,'Daftar Koreksi'!$D$5:$D$92,'Mutasi Neraca'!$A24,'Daftar Koreksi'!$G$5:$G$92,'Mutasi Neraca'!O$2)</f>
        <v>0</v>
      </c>
      <c r="P24" s="114">
        <f>SUMIFS('Daftar Koreksi'!$I$5:$I$92,'Daftar Koreksi'!$D$5:$D$92,'Mutasi Neraca'!$A24,'Daftar Koreksi'!$G$5:$G$92,'Mutasi Neraca'!P$2)</f>
        <v>0</v>
      </c>
      <c r="Q24" s="114">
        <f>SUMIFS('Daftar Koreksi'!$I$5:$I$92,'Daftar Koreksi'!$D$5:$D$92,'Mutasi Neraca'!$A24,'Daftar Koreksi'!$G$5:$G$92,'Mutasi Neraca'!Q$2)</f>
        <v>0</v>
      </c>
      <c r="R24" s="114">
        <f t="shared" si="1"/>
        <v>0</v>
      </c>
      <c r="S24" s="103" t="s">
        <v>2222</v>
      </c>
    </row>
    <row r="25" spans="1:19" s="98" customFormat="1">
      <c r="A25" s="98" t="s">
        <v>84</v>
      </c>
      <c r="B25" s="98" t="s">
        <v>1245</v>
      </c>
      <c r="C25" s="100">
        <f>SUMIFS('Daftar Koreksi'!$H$5:$H$92,'Daftar Koreksi'!$G$5:$G$92,C$2,'Daftar Koreksi'!$D$5:$D$92,$A25)</f>
        <v>0</v>
      </c>
      <c r="D25" s="100">
        <f>SUMIFS('Daftar Koreksi'!$H$5:$H$92,'Daftar Koreksi'!$G$5:$G$92,D$2,'Daftar Koreksi'!$D$5:$D$92,$A25)</f>
        <v>0</v>
      </c>
      <c r="E25" s="100">
        <f>SUMIFS('Daftar Koreksi'!$H$5:$H$92,'Daftar Koreksi'!$G$5:$G$92,E$2,'Daftar Koreksi'!$D$5:$D$92,$A25)</f>
        <v>0</v>
      </c>
      <c r="F25" s="100">
        <f>SUMIFS('Daftar Koreksi'!$H$5:$H$92,'Daftar Koreksi'!$G$5:$G$92,F$2,'Daftar Koreksi'!$D$5:$D$92,$A25)</f>
        <v>0</v>
      </c>
      <c r="G25" s="100">
        <f>SUMIFS('Daftar Koreksi'!$H$5:$H$92,'Daftar Koreksi'!$G$5:$G$92,G$2,'Daftar Koreksi'!$D$5:$D$92,$A25)</f>
        <v>0</v>
      </c>
      <c r="H25" s="112">
        <f>SUMIFS('Daftar Koreksi'!$H$5:$H$92,'Daftar Koreksi'!$G$5:$G$92,H$2,'Daftar Koreksi'!$D$5:$D$92,$A25)</f>
        <v>4411622</v>
      </c>
      <c r="I25" s="100">
        <f>SUMIFS('Daftar Koreksi'!$H$5:$H$92,'Daftar Koreksi'!$G$5:$G$92,I$2,'Daftar Koreksi'!$D$5:$D$92,$A25)</f>
        <v>0</v>
      </c>
      <c r="J25" s="100">
        <f>SUMIFS('Daftar Koreksi'!$H$5:$H$92,'Daftar Koreksi'!$G$5:$G$92,J$2,'Daftar Koreksi'!$D$5:$D$92,$A25)</f>
        <v>0</v>
      </c>
      <c r="K25" s="100">
        <f>SUMIFS('Daftar Koreksi'!$H$5:$H$92,'Daftar Koreksi'!$G$5:$G$92,K$2,'Daftar Koreksi'!$D$5:$D$92,$A25)</f>
        <v>0</v>
      </c>
      <c r="L25" s="100">
        <f t="shared" si="0"/>
        <v>4411622</v>
      </c>
      <c r="M25" s="114">
        <f>SUMIFS('Daftar Koreksi'!$I$5:$I$92,'Daftar Koreksi'!$D$5:$D$92,'Mutasi Neraca'!$A25,'Daftar Koreksi'!$G$5:$G$92,'Mutasi Neraca'!M$2)</f>
        <v>0</v>
      </c>
      <c r="N25" s="114">
        <f>SUMIFS('Daftar Koreksi'!$I$5:$I$92,'Daftar Koreksi'!$D$5:$D$92,'Mutasi Neraca'!$A25,'Daftar Koreksi'!$G$5:$G$92,'Mutasi Neraca'!N$2)</f>
        <v>0</v>
      </c>
      <c r="O25" s="114">
        <f>SUMIFS('Daftar Koreksi'!$I$5:$I$92,'Daftar Koreksi'!$D$5:$D$92,'Mutasi Neraca'!$A25,'Daftar Koreksi'!$G$5:$G$92,'Mutasi Neraca'!O$2)</f>
        <v>0</v>
      </c>
      <c r="P25" s="114">
        <f>SUMIFS('Daftar Koreksi'!$I$5:$I$92,'Daftar Koreksi'!$D$5:$D$92,'Mutasi Neraca'!$A25,'Daftar Koreksi'!$G$5:$G$92,'Mutasi Neraca'!P$2)</f>
        <v>0</v>
      </c>
      <c r="Q25" s="114">
        <f>SUMIFS('Daftar Koreksi'!$I$5:$I$92,'Daftar Koreksi'!$D$5:$D$92,'Mutasi Neraca'!$A25,'Daftar Koreksi'!$G$5:$G$92,'Mutasi Neraca'!Q$2)</f>
        <v>0</v>
      </c>
      <c r="R25" s="114">
        <f t="shared" si="1"/>
        <v>0</v>
      </c>
      <c r="S25" s="103" t="s">
        <v>2222</v>
      </c>
    </row>
    <row r="26" spans="1:19" s="98" customFormat="1">
      <c r="A26" s="98" t="s">
        <v>110</v>
      </c>
      <c r="B26" s="98" t="s">
        <v>1973</v>
      </c>
      <c r="C26" s="100">
        <f>SUMIFS('Daftar Koreksi'!$H$5:$H$92,'Daftar Koreksi'!$G$5:$G$92,C$2,'Daftar Koreksi'!$D$5:$D$92,$A26)</f>
        <v>0</v>
      </c>
      <c r="D26" s="100">
        <f>SUMIFS('Daftar Koreksi'!$H$5:$H$92,'Daftar Koreksi'!$G$5:$G$92,D$2,'Daftar Koreksi'!$D$5:$D$92,$A26)</f>
        <v>0</v>
      </c>
      <c r="E26" s="100">
        <f>SUMIFS('Daftar Koreksi'!$H$5:$H$92,'Daftar Koreksi'!$G$5:$G$92,E$2,'Daftar Koreksi'!$D$5:$D$92,$A26)</f>
        <v>0</v>
      </c>
      <c r="F26" s="100">
        <f>SUMIFS('Daftar Koreksi'!$H$5:$H$92,'Daftar Koreksi'!$G$5:$G$92,F$2,'Daftar Koreksi'!$D$5:$D$92,$A26)</f>
        <v>0</v>
      </c>
      <c r="G26" s="100">
        <f>SUMIFS('Daftar Koreksi'!$H$5:$H$92,'Daftar Koreksi'!$G$5:$G$92,G$2,'Daftar Koreksi'!$D$5:$D$92,$A26)</f>
        <v>0</v>
      </c>
      <c r="H26" s="112">
        <f>SUMIFS('Daftar Koreksi'!$H$5:$H$92,'Daftar Koreksi'!$G$5:$G$92,H$2,'Daftar Koreksi'!$D$5:$D$92,$A26)</f>
        <v>4411622</v>
      </c>
      <c r="I26" s="100">
        <f>SUMIFS('Daftar Koreksi'!$H$5:$H$92,'Daftar Koreksi'!$G$5:$G$92,I$2,'Daftar Koreksi'!$D$5:$D$92,$A26)</f>
        <v>0</v>
      </c>
      <c r="J26" s="100">
        <f>SUMIFS('Daftar Koreksi'!$H$5:$H$92,'Daftar Koreksi'!$G$5:$G$92,J$2,'Daftar Koreksi'!$D$5:$D$92,$A26)</f>
        <v>0</v>
      </c>
      <c r="K26" s="100">
        <f>SUMIFS('Daftar Koreksi'!$H$5:$H$92,'Daftar Koreksi'!$G$5:$G$92,K$2,'Daftar Koreksi'!$D$5:$D$92,$A26)</f>
        <v>0</v>
      </c>
      <c r="L26" s="100">
        <f t="shared" si="0"/>
        <v>4411622</v>
      </c>
      <c r="M26" s="114">
        <f>SUMIFS('Daftar Koreksi'!$I$5:$I$92,'Daftar Koreksi'!$D$5:$D$92,'Mutasi Neraca'!$A26,'Daftar Koreksi'!$G$5:$G$92,'Mutasi Neraca'!M$2)</f>
        <v>0</v>
      </c>
      <c r="N26" s="114">
        <f>SUMIFS('Daftar Koreksi'!$I$5:$I$92,'Daftar Koreksi'!$D$5:$D$92,'Mutasi Neraca'!$A26,'Daftar Koreksi'!$G$5:$G$92,'Mutasi Neraca'!N$2)</f>
        <v>0</v>
      </c>
      <c r="O26" s="114">
        <f>SUMIFS('Daftar Koreksi'!$I$5:$I$92,'Daftar Koreksi'!$D$5:$D$92,'Mutasi Neraca'!$A26,'Daftar Koreksi'!$G$5:$G$92,'Mutasi Neraca'!O$2)</f>
        <v>0</v>
      </c>
      <c r="P26" s="114">
        <f>SUMIFS('Daftar Koreksi'!$I$5:$I$92,'Daftar Koreksi'!$D$5:$D$92,'Mutasi Neraca'!$A26,'Daftar Koreksi'!$G$5:$G$92,'Mutasi Neraca'!P$2)</f>
        <v>0</v>
      </c>
      <c r="Q26" s="114">
        <f>SUMIFS('Daftar Koreksi'!$I$5:$I$92,'Daftar Koreksi'!$D$5:$D$92,'Mutasi Neraca'!$A26,'Daftar Koreksi'!$G$5:$G$92,'Mutasi Neraca'!Q$2)</f>
        <v>0</v>
      </c>
      <c r="R26" s="114">
        <f t="shared" si="1"/>
        <v>0</v>
      </c>
      <c r="S26" s="103" t="s">
        <v>2222</v>
      </c>
    </row>
    <row r="27" spans="1:19" s="98" customFormat="1">
      <c r="A27" s="98" t="s">
        <v>151</v>
      </c>
      <c r="B27" s="98" t="s">
        <v>1304</v>
      </c>
      <c r="C27" s="100">
        <f>SUMIFS('Daftar Koreksi'!$H$5:$H$92,'Daftar Koreksi'!$G$5:$G$92,C$2,'Daftar Koreksi'!$D$5:$D$92,$A27)</f>
        <v>0</v>
      </c>
      <c r="D27" s="100">
        <f>SUMIFS('Daftar Koreksi'!$H$5:$H$92,'Daftar Koreksi'!$G$5:$G$92,D$2,'Daftar Koreksi'!$D$5:$D$92,$A27)</f>
        <v>0</v>
      </c>
      <c r="E27" s="100">
        <f>SUMIFS('Daftar Koreksi'!$H$5:$H$92,'Daftar Koreksi'!$G$5:$G$92,E$2,'Daftar Koreksi'!$D$5:$D$92,$A27)</f>
        <v>0</v>
      </c>
      <c r="F27" s="100">
        <f>SUMIFS('Daftar Koreksi'!$H$5:$H$92,'Daftar Koreksi'!$G$5:$G$92,F$2,'Daftar Koreksi'!$D$5:$D$92,$A27)</f>
        <v>0</v>
      </c>
      <c r="G27" s="100">
        <f>SUMIFS('Daftar Koreksi'!$H$5:$H$92,'Daftar Koreksi'!$G$5:$G$92,G$2,'Daftar Koreksi'!$D$5:$D$92,$A27)</f>
        <v>0</v>
      </c>
      <c r="H27" s="112">
        <f>SUMIFS('Daftar Koreksi'!$H$5:$H$92,'Daftar Koreksi'!$G$5:$G$92,H$2,'Daftar Koreksi'!$D$5:$D$92,$A27)</f>
        <v>4411622</v>
      </c>
      <c r="I27" s="100">
        <f>SUMIFS('Daftar Koreksi'!$H$5:$H$92,'Daftar Koreksi'!$G$5:$G$92,I$2,'Daftar Koreksi'!$D$5:$D$92,$A27)</f>
        <v>0</v>
      </c>
      <c r="J27" s="100">
        <f>SUMIFS('Daftar Koreksi'!$H$5:$H$92,'Daftar Koreksi'!$G$5:$G$92,J$2,'Daftar Koreksi'!$D$5:$D$92,$A27)</f>
        <v>0</v>
      </c>
      <c r="K27" s="100">
        <f>SUMIFS('Daftar Koreksi'!$H$5:$H$92,'Daftar Koreksi'!$G$5:$G$92,K$2,'Daftar Koreksi'!$D$5:$D$92,$A27)</f>
        <v>0</v>
      </c>
      <c r="L27" s="100">
        <f t="shared" si="0"/>
        <v>4411622</v>
      </c>
      <c r="M27" s="114">
        <f>SUMIFS('Daftar Koreksi'!$I$5:$I$92,'Daftar Koreksi'!$D$5:$D$92,'Mutasi Neraca'!$A27,'Daftar Koreksi'!$G$5:$G$92,'Mutasi Neraca'!M$2)</f>
        <v>0</v>
      </c>
      <c r="N27" s="114">
        <f>SUMIFS('Daftar Koreksi'!$I$5:$I$92,'Daftar Koreksi'!$D$5:$D$92,'Mutasi Neraca'!$A27,'Daftar Koreksi'!$G$5:$G$92,'Mutasi Neraca'!N$2)</f>
        <v>0</v>
      </c>
      <c r="O27" s="114">
        <f>SUMIFS('Daftar Koreksi'!$I$5:$I$92,'Daftar Koreksi'!$D$5:$D$92,'Mutasi Neraca'!$A27,'Daftar Koreksi'!$G$5:$G$92,'Mutasi Neraca'!O$2)</f>
        <v>0</v>
      </c>
      <c r="P27" s="114">
        <f>SUMIFS('Daftar Koreksi'!$I$5:$I$92,'Daftar Koreksi'!$D$5:$D$92,'Mutasi Neraca'!$A27,'Daftar Koreksi'!$G$5:$G$92,'Mutasi Neraca'!P$2)</f>
        <v>0</v>
      </c>
      <c r="Q27" s="114">
        <f>SUMIFS('Daftar Koreksi'!$I$5:$I$92,'Daftar Koreksi'!$D$5:$D$92,'Mutasi Neraca'!$A27,'Daftar Koreksi'!$G$5:$G$92,'Mutasi Neraca'!Q$2)</f>
        <v>0</v>
      </c>
      <c r="R27" s="114">
        <f t="shared" si="1"/>
        <v>0</v>
      </c>
      <c r="S27" s="103" t="s">
        <v>2222</v>
      </c>
    </row>
    <row r="28" spans="1:19" s="98" customFormat="1">
      <c r="A28" s="98" t="s">
        <v>155</v>
      </c>
      <c r="B28" s="98" t="s">
        <v>1308</v>
      </c>
      <c r="C28" s="100">
        <f>SUMIFS('Daftar Koreksi'!$H$5:$H$92,'Daftar Koreksi'!$G$5:$G$92,C$2,'Daftar Koreksi'!$D$5:$D$92,$A28)</f>
        <v>0</v>
      </c>
      <c r="D28" s="100">
        <f>SUMIFS('Daftar Koreksi'!$H$5:$H$92,'Daftar Koreksi'!$G$5:$G$92,D$2,'Daftar Koreksi'!$D$5:$D$92,$A28)</f>
        <v>0</v>
      </c>
      <c r="E28" s="100">
        <f>SUMIFS('Daftar Koreksi'!$H$5:$H$92,'Daftar Koreksi'!$G$5:$G$92,E$2,'Daftar Koreksi'!$D$5:$D$92,$A28)</f>
        <v>0</v>
      </c>
      <c r="F28" s="100">
        <f>SUMIFS('Daftar Koreksi'!$H$5:$H$92,'Daftar Koreksi'!$G$5:$G$92,F$2,'Daftar Koreksi'!$D$5:$D$92,$A28)</f>
        <v>0</v>
      </c>
      <c r="G28" s="100">
        <f>SUMIFS('Daftar Koreksi'!$H$5:$H$92,'Daftar Koreksi'!$G$5:$G$92,G$2,'Daftar Koreksi'!$D$5:$D$92,$A28)</f>
        <v>0</v>
      </c>
      <c r="H28" s="112">
        <f>SUMIFS('Daftar Koreksi'!$H$5:$H$92,'Daftar Koreksi'!$G$5:$G$92,H$2,'Daftar Koreksi'!$D$5:$D$92,$A28)</f>
        <v>4411622</v>
      </c>
      <c r="I28" s="100">
        <f>SUMIFS('Daftar Koreksi'!$H$5:$H$92,'Daftar Koreksi'!$G$5:$G$92,I$2,'Daftar Koreksi'!$D$5:$D$92,$A28)</f>
        <v>0</v>
      </c>
      <c r="J28" s="100">
        <f>SUMIFS('Daftar Koreksi'!$H$5:$H$92,'Daftar Koreksi'!$G$5:$G$92,J$2,'Daftar Koreksi'!$D$5:$D$92,$A28)</f>
        <v>0</v>
      </c>
      <c r="K28" s="100">
        <f>SUMIFS('Daftar Koreksi'!$H$5:$H$92,'Daftar Koreksi'!$G$5:$G$92,K$2,'Daftar Koreksi'!$D$5:$D$92,$A28)</f>
        <v>0</v>
      </c>
      <c r="L28" s="100">
        <f t="shared" si="0"/>
        <v>4411622</v>
      </c>
      <c r="M28" s="114">
        <f>SUMIFS('Daftar Koreksi'!$I$5:$I$92,'Daftar Koreksi'!$D$5:$D$92,'Mutasi Neraca'!$A28,'Daftar Koreksi'!$G$5:$G$92,'Mutasi Neraca'!M$2)</f>
        <v>0</v>
      </c>
      <c r="N28" s="114">
        <f>SUMIFS('Daftar Koreksi'!$I$5:$I$92,'Daftar Koreksi'!$D$5:$D$92,'Mutasi Neraca'!$A28,'Daftar Koreksi'!$G$5:$G$92,'Mutasi Neraca'!N$2)</f>
        <v>0</v>
      </c>
      <c r="O28" s="114">
        <f>SUMIFS('Daftar Koreksi'!$I$5:$I$92,'Daftar Koreksi'!$D$5:$D$92,'Mutasi Neraca'!$A28,'Daftar Koreksi'!$G$5:$G$92,'Mutasi Neraca'!O$2)</f>
        <v>0</v>
      </c>
      <c r="P28" s="114">
        <f>SUMIFS('Daftar Koreksi'!$I$5:$I$92,'Daftar Koreksi'!$D$5:$D$92,'Mutasi Neraca'!$A28,'Daftar Koreksi'!$G$5:$G$92,'Mutasi Neraca'!P$2)</f>
        <v>0</v>
      </c>
      <c r="Q28" s="114">
        <f>SUMIFS('Daftar Koreksi'!$I$5:$I$92,'Daftar Koreksi'!$D$5:$D$92,'Mutasi Neraca'!$A28,'Daftar Koreksi'!$G$5:$G$92,'Mutasi Neraca'!Q$2)</f>
        <v>0</v>
      </c>
      <c r="R28" s="114">
        <f t="shared" si="1"/>
        <v>0</v>
      </c>
      <c r="S28" s="103" t="s">
        <v>2222</v>
      </c>
    </row>
    <row r="29" spans="1:19" s="98" customFormat="1">
      <c r="A29" s="98" t="s">
        <v>175</v>
      </c>
      <c r="B29" s="98" t="s">
        <v>1328</v>
      </c>
      <c r="C29" s="100">
        <f>SUMIFS('Daftar Koreksi'!$H$5:$H$92,'Daftar Koreksi'!$G$5:$G$92,C$2,'Daftar Koreksi'!$D$5:$D$92,$A29)</f>
        <v>0</v>
      </c>
      <c r="D29" s="100">
        <f>SUMIFS('Daftar Koreksi'!$H$5:$H$92,'Daftar Koreksi'!$G$5:$G$92,D$2,'Daftar Koreksi'!$D$5:$D$92,$A29)</f>
        <v>0</v>
      </c>
      <c r="E29" s="100">
        <f>SUMIFS('Daftar Koreksi'!$H$5:$H$92,'Daftar Koreksi'!$G$5:$G$92,E$2,'Daftar Koreksi'!$D$5:$D$92,$A29)</f>
        <v>0</v>
      </c>
      <c r="F29" s="100">
        <f>SUMIFS('Daftar Koreksi'!$H$5:$H$92,'Daftar Koreksi'!$G$5:$G$92,F$2,'Daftar Koreksi'!$D$5:$D$92,$A29)</f>
        <v>0</v>
      </c>
      <c r="G29" s="100">
        <f>SUMIFS('Daftar Koreksi'!$H$5:$H$92,'Daftar Koreksi'!$G$5:$G$92,G$2,'Daftar Koreksi'!$D$5:$D$92,$A29)</f>
        <v>0</v>
      </c>
      <c r="H29" s="112">
        <f>SUMIFS('Daftar Koreksi'!$H$5:$H$92,'Daftar Koreksi'!$G$5:$G$92,H$2,'Daftar Koreksi'!$D$5:$D$92,$A29)</f>
        <v>4411622</v>
      </c>
      <c r="I29" s="100">
        <f>SUMIFS('Daftar Koreksi'!$H$5:$H$92,'Daftar Koreksi'!$G$5:$G$92,I$2,'Daftar Koreksi'!$D$5:$D$92,$A29)</f>
        <v>0</v>
      </c>
      <c r="J29" s="100">
        <f>SUMIFS('Daftar Koreksi'!$H$5:$H$92,'Daftar Koreksi'!$G$5:$G$92,J$2,'Daftar Koreksi'!$D$5:$D$92,$A29)</f>
        <v>0</v>
      </c>
      <c r="K29" s="100">
        <f>SUMIFS('Daftar Koreksi'!$H$5:$H$92,'Daftar Koreksi'!$G$5:$G$92,K$2,'Daftar Koreksi'!$D$5:$D$92,$A29)</f>
        <v>0</v>
      </c>
      <c r="L29" s="100">
        <f t="shared" si="0"/>
        <v>4411622</v>
      </c>
      <c r="M29" s="114">
        <f>SUMIFS('Daftar Koreksi'!$I$5:$I$92,'Daftar Koreksi'!$D$5:$D$92,'Mutasi Neraca'!$A29,'Daftar Koreksi'!$G$5:$G$92,'Mutasi Neraca'!M$2)</f>
        <v>0</v>
      </c>
      <c r="N29" s="114">
        <f>SUMIFS('Daftar Koreksi'!$I$5:$I$92,'Daftar Koreksi'!$D$5:$D$92,'Mutasi Neraca'!$A29,'Daftar Koreksi'!$G$5:$G$92,'Mutasi Neraca'!N$2)</f>
        <v>0</v>
      </c>
      <c r="O29" s="114">
        <f>SUMIFS('Daftar Koreksi'!$I$5:$I$92,'Daftar Koreksi'!$D$5:$D$92,'Mutasi Neraca'!$A29,'Daftar Koreksi'!$G$5:$G$92,'Mutasi Neraca'!O$2)</f>
        <v>0</v>
      </c>
      <c r="P29" s="114">
        <f>SUMIFS('Daftar Koreksi'!$I$5:$I$92,'Daftar Koreksi'!$D$5:$D$92,'Mutasi Neraca'!$A29,'Daftar Koreksi'!$G$5:$G$92,'Mutasi Neraca'!P$2)</f>
        <v>0</v>
      </c>
      <c r="Q29" s="114">
        <f>SUMIFS('Daftar Koreksi'!$I$5:$I$92,'Daftar Koreksi'!$D$5:$D$92,'Mutasi Neraca'!$A29,'Daftar Koreksi'!$G$5:$G$92,'Mutasi Neraca'!Q$2)</f>
        <v>0</v>
      </c>
      <c r="R29" s="114">
        <f t="shared" si="1"/>
        <v>0</v>
      </c>
      <c r="S29" s="103" t="s">
        <v>2222</v>
      </c>
    </row>
    <row r="30" spans="1:19" s="98" customFormat="1">
      <c r="A30" s="98" t="s">
        <v>176</v>
      </c>
      <c r="B30" s="98" t="s">
        <v>1329</v>
      </c>
      <c r="C30" s="100">
        <f>SUMIFS('Daftar Koreksi'!$H$5:$H$92,'Daftar Koreksi'!$G$5:$G$92,C$2,'Daftar Koreksi'!$D$5:$D$92,$A30)</f>
        <v>0</v>
      </c>
      <c r="D30" s="100">
        <f>SUMIFS('Daftar Koreksi'!$H$5:$H$92,'Daftar Koreksi'!$G$5:$G$92,D$2,'Daftar Koreksi'!$D$5:$D$92,$A30)</f>
        <v>0</v>
      </c>
      <c r="E30" s="100">
        <f>SUMIFS('Daftar Koreksi'!$H$5:$H$92,'Daftar Koreksi'!$G$5:$G$92,E$2,'Daftar Koreksi'!$D$5:$D$92,$A30)</f>
        <v>-1000000</v>
      </c>
      <c r="F30" s="100">
        <f>SUMIFS('Daftar Koreksi'!$H$5:$H$92,'Daftar Koreksi'!$G$5:$G$92,F$2,'Daftar Koreksi'!$D$5:$D$92,$A30)</f>
        <v>0</v>
      </c>
      <c r="G30" s="100">
        <f>SUMIFS('Daftar Koreksi'!$H$5:$H$92,'Daftar Koreksi'!$G$5:$G$92,G$2,'Daftar Koreksi'!$D$5:$D$92,$A30)</f>
        <v>0</v>
      </c>
      <c r="H30" s="112">
        <f>SUMIFS('Daftar Koreksi'!$H$5:$H$92,'Daftar Koreksi'!$G$5:$G$92,H$2,'Daftar Koreksi'!$D$5:$D$92,$A30)</f>
        <v>4411622</v>
      </c>
      <c r="I30" s="100">
        <f>SUMIFS('Daftar Koreksi'!$H$5:$H$92,'Daftar Koreksi'!$G$5:$G$92,I$2,'Daftar Koreksi'!$D$5:$D$92,$A30)</f>
        <v>0</v>
      </c>
      <c r="J30" s="100">
        <f>SUMIFS('Daftar Koreksi'!$H$5:$H$92,'Daftar Koreksi'!$G$5:$G$92,J$2,'Daftar Koreksi'!$D$5:$D$92,$A30)</f>
        <v>0</v>
      </c>
      <c r="K30" s="100">
        <f>SUMIFS('Daftar Koreksi'!$H$5:$H$92,'Daftar Koreksi'!$G$5:$G$92,K$2,'Daftar Koreksi'!$D$5:$D$92,$A30)</f>
        <v>0</v>
      </c>
      <c r="L30" s="100">
        <f t="shared" si="0"/>
        <v>3411622</v>
      </c>
      <c r="M30" s="112">
        <f>SUMIFS('Daftar Koreksi'!$I$5:$I$92,'Daftar Koreksi'!$D$5:$D$92,'Mutasi Neraca'!$A30,'Daftar Koreksi'!$G$5:$G$92,'Mutasi Neraca'!M$2)</f>
        <v>100000</v>
      </c>
      <c r="N30" s="114">
        <f>SUMIFS('Daftar Koreksi'!$I$5:$I$92,'Daftar Koreksi'!$D$5:$D$92,'Mutasi Neraca'!$A30,'Daftar Koreksi'!$G$5:$G$92,'Mutasi Neraca'!N$2)</f>
        <v>0</v>
      </c>
      <c r="O30" s="114">
        <f>SUMIFS('Daftar Koreksi'!$I$5:$I$92,'Daftar Koreksi'!$D$5:$D$92,'Mutasi Neraca'!$A30,'Daftar Koreksi'!$G$5:$G$92,'Mutasi Neraca'!O$2)</f>
        <v>0</v>
      </c>
      <c r="P30" s="114">
        <f>SUMIFS('Daftar Koreksi'!$I$5:$I$92,'Daftar Koreksi'!$D$5:$D$92,'Mutasi Neraca'!$A30,'Daftar Koreksi'!$G$5:$G$92,'Mutasi Neraca'!P$2)</f>
        <v>0</v>
      </c>
      <c r="Q30" s="114">
        <f>SUMIFS('Daftar Koreksi'!$I$5:$I$92,'Daftar Koreksi'!$D$5:$D$92,'Mutasi Neraca'!$A30,'Daftar Koreksi'!$G$5:$G$92,'Mutasi Neraca'!Q$2)</f>
        <v>0</v>
      </c>
      <c r="R30" s="114">
        <f t="shared" si="1"/>
        <v>100000</v>
      </c>
      <c r="S30" s="110" t="s">
        <v>2294</v>
      </c>
    </row>
    <row r="31" spans="1:19" s="98" customFormat="1">
      <c r="A31" s="98" t="s">
        <v>177</v>
      </c>
      <c r="B31" s="98" t="s">
        <v>1330</v>
      </c>
      <c r="C31" s="100">
        <f>SUMIFS('Daftar Koreksi'!$H$5:$H$92,'Daftar Koreksi'!$G$5:$G$92,C$2,'Daftar Koreksi'!$D$5:$D$92,$A31)</f>
        <v>0</v>
      </c>
      <c r="D31" s="100">
        <f>SUMIFS('Daftar Koreksi'!$H$5:$H$92,'Daftar Koreksi'!$G$5:$G$92,D$2,'Daftar Koreksi'!$D$5:$D$92,$A31)</f>
        <v>0</v>
      </c>
      <c r="E31" s="100">
        <f>SUMIFS('Daftar Koreksi'!$H$5:$H$92,'Daftar Koreksi'!$G$5:$G$92,E$2,'Daftar Koreksi'!$D$5:$D$92,$A31)</f>
        <v>0</v>
      </c>
      <c r="F31" s="100">
        <f>SUMIFS('Daftar Koreksi'!$H$5:$H$92,'Daftar Koreksi'!$G$5:$G$92,F$2,'Daftar Koreksi'!$D$5:$D$92,$A31)</f>
        <v>0</v>
      </c>
      <c r="G31" s="100">
        <f>SUMIFS('Daftar Koreksi'!$H$5:$H$92,'Daftar Koreksi'!$G$5:$G$92,G$2,'Daftar Koreksi'!$D$5:$D$92,$A31)</f>
        <v>0</v>
      </c>
      <c r="H31" s="112">
        <f>SUMIFS('Daftar Koreksi'!$H$5:$H$92,'Daftar Koreksi'!$G$5:$G$92,H$2,'Daftar Koreksi'!$D$5:$D$92,$A31)</f>
        <v>4411622</v>
      </c>
      <c r="I31" s="100">
        <f>SUMIFS('Daftar Koreksi'!$H$5:$H$92,'Daftar Koreksi'!$G$5:$G$92,I$2,'Daftar Koreksi'!$D$5:$D$92,$A31)</f>
        <v>0</v>
      </c>
      <c r="J31" s="100">
        <f>SUMIFS('Daftar Koreksi'!$H$5:$H$92,'Daftar Koreksi'!$G$5:$G$92,J$2,'Daftar Koreksi'!$D$5:$D$92,$A31)</f>
        <v>0</v>
      </c>
      <c r="K31" s="100">
        <f>SUMIFS('Daftar Koreksi'!$H$5:$H$92,'Daftar Koreksi'!$G$5:$G$92,K$2,'Daftar Koreksi'!$D$5:$D$92,$A31)</f>
        <v>0</v>
      </c>
      <c r="L31" s="100">
        <f t="shared" si="0"/>
        <v>4411622</v>
      </c>
      <c r="M31" s="114">
        <f>SUMIFS('Daftar Koreksi'!$I$5:$I$92,'Daftar Koreksi'!$D$5:$D$92,'Mutasi Neraca'!$A31,'Daftar Koreksi'!$G$5:$G$92,'Mutasi Neraca'!M$2)</f>
        <v>0</v>
      </c>
      <c r="N31" s="114">
        <f>SUMIFS('Daftar Koreksi'!$I$5:$I$92,'Daftar Koreksi'!$D$5:$D$92,'Mutasi Neraca'!$A31,'Daftar Koreksi'!$G$5:$G$92,'Mutasi Neraca'!N$2)</f>
        <v>0</v>
      </c>
      <c r="O31" s="114">
        <f>SUMIFS('Daftar Koreksi'!$I$5:$I$92,'Daftar Koreksi'!$D$5:$D$92,'Mutasi Neraca'!$A31,'Daftar Koreksi'!$G$5:$G$92,'Mutasi Neraca'!O$2)</f>
        <v>0</v>
      </c>
      <c r="P31" s="114">
        <f>SUMIFS('Daftar Koreksi'!$I$5:$I$92,'Daftar Koreksi'!$D$5:$D$92,'Mutasi Neraca'!$A31,'Daftar Koreksi'!$G$5:$G$92,'Mutasi Neraca'!P$2)</f>
        <v>0</v>
      </c>
      <c r="Q31" s="114">
        <f>SUMIFS('Daftar Koreksi'!$I$5:$I$92,'Daftar Koreksi'!$D$5:$D$92,'Mutasi Neraca'!$A31,'Daftar Koreksi'!$G$5:$G$92,'Mutasi Neraca'!Q$2)</f>
        <v>0</v>
      </c>
      <c r="R31" s="114">
        <f t="shared" si="1"/>
        <v>0</v>
      </c>
      <c r="S31" s="103" t="s">
        <v>2222</v>
      </c>
    </row>
    <row r="32" spans="1:19" s="98" customFormat="1">
      <c r="A32" s="98" t="s">
        <v>184</v>
      </c>
      <c r="B32" s="98" t="s">
        <v>1335</v>
      </c>
      <c r="C32" s="100">
        <f>SUMIFS('Daftar Koreksi'!$H$5:$H$92,'Daftar Koreksi'!$G$5:$G$92,C$2,'Daftar Koreksi'!$D$5:$D$92,$A32)</f>
        <v>0</v>
      </c>
      <c r="D32" s="100">
        <f>SUMIFS('Daftar Koreksi'!$H$5:$H$92,'Daftar Koreksi'!$G$5:$G$92,D$2,'Daftar Koreksi'!$D$5:$D$92,$A32)</f>
        <v>0</v>
      </c>
      <c r="E32" s="100">
        <f>SUMIFS('Daftar Koreksi'!$H$5:$H$92,'Daftar Koreksi'!$G$5:$G$92,E$2,'Daftar Koreksi'!$D$5:$D$92,$A32)</f>
        <v>0</v>
      </c>
      <c r="F32" s="100">
        <f>SUMIFS('Daftar Koreksi'!$H$5:$H$92,'Daftar Koreksi'!$G$5:$G$92,F$2,'Daftar Koreksi'!$D$5:$D$92,$A32)</f>
        <v>0</v>
      </c>
      <c r="G32" s="100">
        <f>SUMIFS('Daftar Koreksi'!$H$5:$H$92,'Daftar Koreksi'!$G$5:$G$92,G$2,'Daftar Koreksi'!$D$5:$D$92,$A32)</f>
        <v>0</v>
      </c>
      <c r="H32" s="112">
        <f>SUMIFS('Daftar Koreksi'!$H$5:$H$92,'Daftar Koreksi'!$G$5:$G$92,H$2,'Daftar Koreksi'!$D$5:$D$92,$A32)</f>
        <v>4411622</v>
      </c>
      <c r="I32" s="100">
        <f>SUMIFS('Daftar Koreksi'!$H$5:$H$92,'Daftar Koreksi'!$G$5:$G$92,I$2,'Daftar Koreksi'!$D$5:$D$92,$A32)</f>
        <v>0</v>
      </c>
      <c r="J32" s="100">
        <f>SUMIFS('Daftar Koreksi'!$H$5:$H$92,'Daftar Koreksi'!$G$5:$G$92,J$2,'Daftar Koreksi'!$D$5:$D$92,$A32)</f>
        <v>0</v>
      </c>
      <c r="K32" s="100">
        <f>SUMIFS('Daftar Koreksi'!$H$5:$H$92,'Daftar Koreksi'!$G$5:$G$92,K$2,'Daftar Koreksi'!$D$5:$D$92,$A32)</f>
        <v>0</v>
      </c>
      <c r="L32" s="100">
        <f t="shared" si="0"/>
        <v>4411622</v>
      </c>
      <c r="M32" s="114">
        <f>SUMIFS('Daftar Koreksi'!$I$5:$I$92,'Daftar Koreksi'!$D$5:$D$92,'Mutasi Neraca'!$A32,'Daftar Koreksi'!$G$5:$G$92,'Mutasi Neraca'!M$2)</f>
        <v>0</v>
      </c>
      <c r="N32" s="114">
        <f>SUMIFS('Daftar Koreksi'!$I$5:$I$92,'Daftar Koreksi'!$D$5:$D$92,'Mutasi Neraca'!$A32,'Daftar Koreksi'!$G$5:$G$92,'Mutasi Neraca'!N$2)</f>
        <v>0</v>
      </c>
      <c r="O32" s="114">
        <f>SUMIFS('Daftar Koreksi'!$I$5:$I$92,'Daftar Koreksi'!$D$5:$D$92,'Mutasi Neraca'!$A32,'Daftar Koreksi'!$G$5:$G$92,'Mutasi Neraca'!O$2)</f>
        <v>0</v>
      </c>
      <c r="P32" s="114">
        <f>SUMIFS('Daftar Koreksi'!$I$5:$I$92,'Daftar Koreksi'!$D$5:$D$92,'Mutasi Neraca'!$A32,'Daftar Koreksi'!$G$5:$G$92,'Mutasi Neraca'!P$2)</f>
        <v>0</v>
      </c>
      <c r="Q32" s="114">
        <f>SUMIFS('Daftar Koreksi'!$I$5:$I$92,'Daftar Koreksi'!$D$5:$D$92,'Mutasi Neraca'!$A32,'Daftar Koreksi'!$G$5:$G$92,'Mutasi Neraca'!Q$2)</f>
        <v>0</v>
      </c>
      <c r="R32" s="114">
        <f t="shared" si="1"/>
        <v>0</v>
      </c>
      <c r="S32" s="103" t="s">
        <v>2222</v>
      </c>
    </row>
    <row r="33" spans="1:19" s="98" customFormat="1">
      <c r="A33" s="98" t="s">
        <v>188</v>
      </c>
      <c r="B33" s="98" t="s">
        <v>1338</v>
      </c>
      <c r="C33" s="100">
        <f>SUMIFS('Daftar Koreksi'!$H$5:$H$92,'Daftar Koreksi'!$G$5:$G$92,C$2,'Daftar Koreksi'!$D$5:$D$92,$A33)</f>
        <v>0</v>
      </c>
      <c r="D33" s="100">
        <f>SUMIFS('Daftar Koreksi'!$H$5:$H$92,'Daftar Koreksi'!$G$5:$G$92,D$2,'Daftar Koreksi'!$D$5:$D$92,$A33)</f>
        <v>0</v>
      </c>
      <c r="E33" s="100">
        <f>SUMIFS('Daftar Koreksi'!$H$5:$H$92,'Daftar Koreksi'!$G$5:$G$92,E$2,'Daftar Koreksi'!$D$5:$D$92,$A33)</f>
        <v>0</v>
      </c>
      <c r="F33" s="100">
        <f>SUMIFS('Daftar Koreksi'!$H$5:$H$92,'Daftar Koreksi'!$G$5:$G$92,F$2,'Daftar Koreksi'!$D$5:$D$92,$A33)</f>
        <v>0</v>
      </c>
      <c r="G33" s="100">
        <f>SUMIFS('Daftar Koreksi'!$H$5:$H$92,'Daftar Koreksi'!$G$5:$G$92,G$2,'Daftar Koreksi'!$D$5:$D$92,$A33)</f>
        <v>0</v>
      </c>
      <c r="H33" s="112">
        <f>SUMIFS('Daftar Koreksi'!$H$5:$H$92,'Daftar Koreksi'!$G$5:$G$92,H$2,'Daftar Koreksi'!$D$5:$D$92,$A33)</f>
        <v>4411622</v>
      </c>
      <c r="I33" s="100">
        <f>SUMIFS('Daftar Koreksi'!$H$5:$H$92,'Daftar Koreksi'!$G$5:$G$92,I$2,'Daftar Koreksi'!$D$5:$D$92,$A33)</f>
        <v>0</v>
      </c>
      <c r="J33" s="100">
        <f>SUMIFS('Daftar Koreksi'!$H$5:$H$92,'Daftar Koreksi'!$G$5:$G$92,J$2,'Daftar Koreksi'!$D$5:$D$92,$A33)</f>
        <v>0</v>
      </c>
      <c r="K33" s="100">
        <f>SUMIFS('Daftar Koreksi'!$H$5:$H$92,'Daftar Koreksi'!$G$5:$G$92,K$2,'Daftar Koreksi'!$D$5:$D$92,$A33)</f>
        <v>0</v>
      </c>
      <c r="L33" s="100">
        <f t="shared" si="0"/>
        <v>4411622</v>
      </c>
      <c r="M33" s="114">
        <f>SUMIFS('Daftar Koreksi'!$I$5:$I$92,'Daftar Koreksi'!$D$5:$D$92,'Mutasi Neraca'!$A33,'Daftar Koreksi'!$G$5:$G$92,'Mutasi Neraca'!M$2)</f>
        <v>0</v>
      </c>
      <c r="N33" s="114">
        <f>SUMIFS('Daftar Koreksi'!$I$5:$I$92,'Daftar Koreksi'!$D$5:$D$92,'Mutasi Neraca'!$A33,'Daftar Koreksi'!$G$5:$G$92,'Mutasi Neraca'!N$2)</f>
        <v>0</v>
      </c>
      <c r="O33" s="114">
        <f>SUMIFS('Daftar Koreksi'!$I$5:$I$92,'Daftar Koreksi'!$D$5:$D$92,'Mutasi Neraca'!$A33,'Daftar Koreksi'!$G$5:$G$92,'Mutasi Neraca'!O$2)</f>
        <v>0</v>
      </c>
      <c r="P33" s="114">
        <f>SUMIFS('Daftar Koreksi'!$I$5:$I$92,'Daftar Koreksi'!$D$5:$D$92,'Mutasi Neraca'!$A33,'Daftar Koreksi'!$G$5:$G$92,'Mutasi Neraca'!P$2)</f>
        <v>0</v>
      </c>
      <c r="Q33" s="114">
        <f>SUMIFS('Daftar Koreksi'!$I$5:$I$92,'Daftar Koreksi'!$D$5:$D$92,'Mutasi Neraca'!$A33,'Daftar Koreksi'!$G$5:$G$92,'Mutasi Neraca'!Q$2)</f>
        <v>0</v>
      </c>
      <c r="R33" s="114">
        <f t="shared" si="1"/>
        <v>0</v>
      </c>
      <c r="S33" s="103" t="s">
        <v>2222</v>
      </c>
    </row>
    <row r="34" spans="1:19" s="98" customFormat="1">
      <c r="A34" s="98" t="s">
        <v>190</v>
      </c>
      <c r="B34" s="98" t="s">
        <v>1339</v>
      </c>
      <c r="C34" s="100">
        <f>SUMIFS('Daftar Koreksi'!$H$5:$H$92,'Daftar Koreksi'!$G$5:$G$92,C$2,'Daftar Koreksi'!$D$5:$D$92,$A34)</f>
        <v>0</v>
      </c>
      <c r="D34" s="100">
        <f>SUMIFS('Daftar Koreksi'!$H$5:$H$92,'Daftar Koreksi'!$G$5:$G$92,D$2,'Daftar Koreksi'!$D$5:$D$92,$A34)</f>
        <v>0</v>
      </c>
      <c r="E34" s="100">
        <f>SUMIFS('Daftar Koreksi'!$H$5:$H$92,'Daftar Koreksi'!$G$5:$G$92,E$2,'Daftar Koreksi'!$D$5:$D$92,$A34)</f>
        <v>0</v>
      </c>
      <c r="F34" s="100">
        <f>SUMIFS('Daftar Koreksi'!$H$5:$H$92,'Daftar Koreksi'!$G$5:$G$92,F$2,'Daftar Koreksi'!$D$5:$D$92,$A34)</f>
        <v>0</v>
      </c>
      <c r="G34" s="100">
        <f>SUMIFS('Daftar Koreksi'!$H$5:$H$92,'Daftar Koreksi'!$G$5:$G$92,G$2,'Daftar Koreksi'!$D$5:$D$92,$A34)</f>
        <v>0</v>
      </c>
      <c r="H34" s="112">
        <f>SUMIFS('Daftar Koreksi'!$H$5:$H$92,'Daftar Koreksi'!$G$5:$G$92,H$2,'Daftar Koreksi'!$D$5:$D$92,$A34)</f>
        <v>4411622</v>
      </c>
      <c r="I34" s="100">
        <f>SUMIFS('Daftar Koreksi'!$H$5:$H$92,'Daftar Koreksi'!$G$5:$G$92,I$2,'Daftar Koreksi'!$D$5:$D$92,$A34)</f>
        <v>0</v>
      </c>
      <c r="J34" s="100">
        <f>SUMIFS('Daftar Koreksi'!$H$5:$H$92,'Daftar Koreksi'!$G$5:$G$92,J$2,'Daftar Koreksi'!$D$5:$D$92,$A34)</f>
        <v>0</v>
      </c>
      <c r="K34" s="100">
        <f>SUMIFS('Daftar Koreksi'!$H$5:$H$92,'Daftar Koreksi'!$G$5:$G$92,K$2,'Daftar Koreksi'!$D$5:$D$92,$A34)</f>
        <v>0</v>
      </c>
      <c r="L34" s="100">
        <f t="shared" si="0"/>
        <v>4411622</v>
      </c>
      <c r="M34" s="114">
        <f>SUMIFS('Daftar Koreksi'!$I$5:$I$92,'Daftar Koreksi'!$D$5:$D$92,'Mutasi Neraca'!$A34,'Daftar Koreksi'!$G$5:$G$92,'Mutasi Neraca'!M$2)</f>
        <v>0</v>
      </c>
      <c r="N34" s="114">
        <f>SUMIFS('Daftar Koreksi'!$I$5:$I$92,'Daftar Koreksi'!$D$5:$D$92,'Mutasi Neraca'!$A34,'Daftar Koreksi'!$G$5:$G$92,'Mutasi Neraca'!N$2)</f>
        <v>0</v>
      </c>
      <c r="O34" s="114">
        <f>SUMIFS('Daftar Koreksi'!$I$5:$I$92,'Daftar Koreksi'!$D$5:$D$92,'Mutasi Neraca'!$A34,'Daftar Koreksi'!$G$5:$G$92,'Mutasi Neraca'!O$2)</f>
        <v>0</v>
      </c>
      <c r="P34" s="114">
        <f>SUMIFS('Daftar Koreksi'!$I$5:$I$92,'Daftar Koreksi'!$D$5:$D$92,'Mutasi Neraca'!$A34,'Daftar Koreksi'!$G$5:$G$92,'Mutasi Neraca'!P$2)</f>
        <v>0</v>
      </c>
      <c r="Q34" s="114">
        <f>SUMIFS('Daftar Koreksi'!$I$5:$I$92,'Daftar Koreksi'!$D$5:$D$92,'Mutasi Neraca'!$A34,'Daftar Koreksi'!$G$5:$G$92,'Mutasi Neraca'!Q$2)</f>
        <v>0</v>
      </c>
      <c r="R34" s="114">
        <f t="shared" si="1"/>
        <v>0</v>
      </c>
      <c r="S34" s="103" t="s">
        <v>2222</v>
      </c>
    </row>
    <row r="35" spans="1:19" s="98" customFormat="1">
      <c r="A35" s="98" t="s">
        <v>192</v>
      </c>
      <c r="B35" s="98" t="s">
        <v>1341</v>
      </c>
      <c r="C35" s="100">
        <f>SUMIFS('Daftar Koreksi'!$H$5:$H$92,'Daftar Koreksi'!$G$5:$G$92,C$2,'Daftar Koreksi'!$D$5:$D$92,$A35)</f>
        <v>0</v>
      </c>
      <c r="D35" s="100">
        <f>SUMIFS('Daftar Koreksi'!$H$5:$H$92,'Daftar Koreksi'!$G$5:$G$92,D$2,'Daftar Koreksi'!$D$5:$D$92,$A35)</f>
        <v>0</v>
      </c>
      <c r="E35" s="100">
        <f>SUMIFS('Daftar Koreksi'!$H$5:$H$92,'Daftar Koreksi'!$G$5:$G$92,E$2,'Daftar Koreksi'!$D$5:$D$92,$A35)</f>
        <v>0</v>
      </c>
      <c r="F35" s="100">
        <f>SUMIFS('Daftar Koreksi'!$H$5:$H$92,'Daftar Koreksi'!$G$5:$G$92,F$2,'Daftar Koreksi'!$D$5:$D$92,$A35)</f>
        <v>0</v>
      </c>
      <c r="G35" s="100">
        <f>SUMIFS('Daftar Koreksi'!$H$5:$H$92,'Daftar Koreksi'!$G$5:$G$92,G$2,'Daftar Koreksi'!$D$5:$D$92,$A35)</f>
        <v>0</v>
      </c>
      <c r="H35" s="112">
        <f>SUMIFS('Daftar Koreksi'!$H$5:$H$92,'Daftar Koreksi'!$G$5:$G$92,H$2,'Daftar Koreksi'!$D$5:$D$92,$A35)</f>
        <v>4411622</v>
      </c>
      <c r="I35" s="100">
        <f>SUMIFS('Daftar Koreksi'!$H$5:$H$92,'Daftar Koreksi'!$G$5:$G$92,I$2,'Daftar Koreksi'!$D$5:$D$92,$A35)</f>
        <v>0</v>
      </c>
      <c r="J35" s="100">
        <f>SUMIFS('Daftar Koreksi'!$H$5:$H$92,'Daftar Koreksi'!$G$5:$G$92,J$2,'Daftar Koreksi'!$D$5:$D$92,$A35)</f>
        <v>0</v>
      </c>
      <c r="K35" s="100">
        <f>SUMIFS('Daftar Koreksi'!$H$5:$H$92,'Daftar Koreksi'!$G$5:$G$92,K$2,'Daftar Koreksi'!$D$5:$D$92,$A35)</f>
        <v>0</v>
      </c>
      <c r="L35" s="100">
        <f t="shared" ref="L35:L66" si="2">SUM(C35:K35)</f>
        <v>4411622</v>
      </c>
      <c r="M35" s="114">
        <f>SUMIFS('Daftar Koreksi'!$I$5:$I$92,'Daftar Koreksi'!$D$5:$D$92,'Mutasi Neraca'!$A35,'Daftar Koreksi'!$G$5:$G$92,'Mutasi Neraca'!M$2)</f>
        <v>0</v>
      </c>
      <c r="N35" s="114">
        <f>SUMIFS('Daftar Koreksi'!$I$5:$I$92,'Daftar Koreksi'!$D$5:$D$92,'Mutasi Neraca'!$A35,'Daftar Koreksi'!$G$5:$G$92,'Mutasi Neraca'!N$2)</f>
        <v>0</v>
      </c>
      <c r="O35" s="114">
        <f>SUMIFS('Daftar Koreksi'!$I$5:$I$92,'Daftar Koreksi'!$D$5:$D$92,'Mutasi Neraca'!$A35,'Daftar Koreksi'!$G$5:$G$92,'Mutasi Neraca'!O$2)</f>
        <v>0</v>
      </c>
      <c r="P35" s="114">
        <f>SUMIFS('Daftar Koreksi'!$I$5:$I$92,'Daftar Koreksi'!$D$5:$D$92,'Mutasi Neraca'!$A35,'Daftar Koreksi'!$G$5:$G$92,'Mutasi Neraca'!P$2)</f>
        <v>0</v>
      </c>
      <c r="Q35" s="114">
        <f>SUMIFS('Daftar Koreksi'!$I$5:$I$92,'Daftar Koreksi'!$D$5:$D$92,'Mutasi Neraca'!$A35,'Daftar Koreksi'!$G$5:$G$92,'Mutasi Neraca'!Q$2)</f>
        <v>0</v>
      </c>
      <c r="R35" s="114">
        <f t="shared" ref="R35:R66" si="3">SUM(M35:Q35)</f>
        <v>0</v>
      </c>
      <c r="S35" s="103" t="s">
        <v>2222</v>
      </c>
    </row>
    <row r="36" spans="1:19" s="98" customFormat="1">
      <c r="A36" s="113" t="s">
        <v>459</v>
      </c>
      <c r="B36" s="98" t="s">
        <v>1597</v>
      </c>
      <c r="C36" s="100">
        <f>SUMIFS('Daftar Koreksi'!$H$5:$H$92,'Daftar Koreksi'!$G$5:$G$92,C$2,'Daftar Koreksi'!$D$5:$D$92,$A36)</f>
        <v>0</v>
      </c>
      <c r="D36" s="100">
        <f>SUMIFS('Daftar Koreksi'!$H$5:$H$92,'Daftar Koreksi'!$G$5:$G$92,D$2,'Daftar Koreksi'!$D$5:$D$92,$A36)</f>
        <v>0</v>
      </c>
      <c r="E36" s="112">
        <f>SUMIFS('Daftar Koreksi'!$H$5:$H$92,'Daftar Koreksi'!$G$5:$G$92,E$2,'Daftar Koreksi'!$D$5:$D$92,$A36)</f>
        <v>3895309</v>
      </c>
      <c r="F36" s="100">
        <f>SUMIFS('Daftar Koreksi'!$H$5:$H$92,'Daftar Koreksi'!$G$5:$G$92,F$2,'Daftar Koreksi'!$D$5:$D$92,$A36)</f>
        <v>0</v>
      </c>
      <c r="G36" s="100">
        <f>SUMIFS('Daftar Koreksi'!$H$5:$H$92,'Daftar Koreksi'!$G$5:$G$92,G$2,'Daftar Koreksi'!$D$5:$D$92,$A36)</f>
        <v>0</v>
      </c>
      <c r="H36" s="100">
        <f>SUMIFS('Daftar Koreksi'!$H$5:$H$92,'Daftar Koreksi'!$G$5:$G$92,H$2,'Daftar Koreksi'!$D$5:$D$92,$A36)</f>
        <v>0</v>
      </c>
      <c r="I36" s="100">
        <f>SUMIFS('Daftar Koreksi'!$H$5:$H$92,'Daftar Koreksi'!$G$5:$G$92,I$2,'Daftar Koreksi'!$D$5:$D$92,$A36)</f>
        <v>0</v>
      </c>
      <c r="J36" s="100">
        <f>SUMIFS('Daftar Koreksi'!$H$5:$H$92,'Daftar Koreksi'!$G$5:$G$92,J$2,'Daftar Koreksi'!$D$5:$D$92,$A36)</f>
        <v>0</v>
      </c>
      <c r="K36" s="100">
        <f>SUMIFS('Daftar Koreksi'!$H$5:$H$92,'Daftar Koreksi'!$G$5:$G$92,K$2,'Daftar Koreksi'!$D$5:$D$92,$A36)</f>
        <v>0</v>
      </c>
      <c r="L36" s="100">
        <f t="shared" si="2"/>
        <v>3895309</v>
      </c>
      <c r="M36" s="114">
        <f>SUMIFS('Daftar Koreksi'!$I$5:$I$92,'Daftar Koreksi'!$D$5:$D$92,'Mutasi Neraca'!$A36,'Daftar Koreksi'!$G$5:$G$92,'Mutasi Neraca'!M$2)</f>
        <v>-389531</v>
      </c>
      <c r="N36" s="114">
        <f>SUMIFS('Daftar Koreksi'!$I$5:$I$92,'Daftar Koreksi'!$D$5:$D$92,'Mutasi Neraca'!$A36,'Daftar Koreksi'!$G$5:$G$92,'Mutasi Neraca'!N$2)</f>
        <v>0</v>
      </c>
      <c r="O36" s="114">
        <f>SUMIFS('Daftar Koreksi'!$I$5:$I$92,'Daftar Koreksi'!$D$5:$D$92,'Mutasi Neraca'!$A36,'Daftar Koreksi'!$G$5:$G$92,'Mutasi Neraca'!O$2)</f>
        <v>0</v>
      </c>
      <c r="P36" s="114">
        <f>SUMIFS('Daftar Koreksi'!$I$5:$I$92,'Daftar Koreksi'!$D$5:$D$92,'Mutasi Neraca'!$A36,'Daftar Koreksi'!$G$5:$G$92,'Mutasi Neraca'!P$2)</f>
        <v>0</v>
      </c>
      <c r="Q36" s="114">
        <f>SUMIFS('Daftar Koreksi'!$I$5:$I$92,'Daftar Koreksi'!$D$5:$D$92,'Mutasi Neraca'!$A36,'Daftar Koreksi'!$G$5:$G$92,'Mutasi Neraca'!Q$2)</f>
        <v>0</v>
      </c>
      <c r="R36" s="114">
        <f t="shared" si="3"/>
        <v>-389531</v>
      </c>
      <c r="S36" s="103" t="s">
        <v>2223</v>
      </c>
    </row>
    <row r="37" spans="1:19" s="98" customFormat="1">
      <c r="A37" s="98" t="s">
        <v>462</v>
      </c>
      <c r="B37" s="98" t="s">
        <v>1600</v>
      </c>
      <c r="C37" s="100">
        <f>SUMIFS('Daftar Koreksi'!$H$5:$H$92,'Daftar Koreksi'!$G$5:$G$92,C$2,'Daftar Koreksi'!$D$5:$D$92,$A37)</f>
        <v>0</v>
      </c>
      <c r="D37" s="100">
        <f>SUMIFS('Daftar Koreksi'!$H$5:$H$92,'Daftar Koreksi'!$G$5:$G$92,D$2,'Daftar Koreksi'!$D$5:$D$92,$A37)</f>
        <v>0</v>
      </c>
      <c r="E37" s="112">
        <f>SUMIFS('Daftar Koreksi'!$H$5:$H$92,'Daftar Koreksi'!$G$5:$G$92,E$2,'Daftar Koreksi'!$D$5:$D$92,$A37)</f>
        <v>3895309</v>
      </c>
      <c r="F37" s="100">
        <f>SUMIFS('Daftar Koreksi'!$H$5:$H$92,'Daftar Koreksi'!$G$5:$G$92,F$2,'Daftar Koreksi'!$D$5:$D$92,$A37)</f>
        <v>154681500</v>
      </c>
      <c r="G37" s="100">
        <f>SUMIFS('Daftar Koreksi'!$H$5:$H$92,'Daftar Koreksi'!$G$5:$G$92,G$2,'Daftar Koreksi'!$D$5:$D$92,$A37)</f>
        <v>0</v>
      </c>
      <c r="H37" s="100">
        <f>SUMIFS('Daftar Koreksi'!$H$5:$H$92,'Daftar Koreksi'!$G$5:$G$92,H$2,'Daftar Koreksi'!$D$5:$D$92,$A37)</f>
        <v>0</v>
      </c>
      <c r="I37" s="100">
        <f>SUMIFS('Daftar Koreksi'!$H$5:$H$92,'Daftar Koreksi'!$G$5:$G$92,I$2,'Daftar Koreksi'!$D$5:$D$92,$A37)</f>
        <v>0</v>
      </c>
      <c r="J37" s="100">
        <f>SUMIFS('Daftar Koreksi'!$H$5:$H$92,'Daftar Koreksi'!$G$5:$G$92,J$2,'Daftar Koreksi'!$D$5:$D$92,$A37)</f>
        <v>0</v>
      </c>
      <c r="K37" s="100">
        <f>SUMIFS('Daftar Koreksi'!$H$5:$H$92,'Daftar Koreksi'!$G$5:$G$92,K$2,'Daftar Koreksi'!$D$5:$D$92,$A37)</f>
        <v>0</v>
      </c>
      <c r="L37" s="100">
        <f t="shared" si="2"/>
        <v>158576809</v>
      </c>
      <c r="M37" s="114">
        <f>SUMIFS('Daftar Koreksi'!$I$5:$I$92,'Daftar Koreksi'!$D$5:$D$92,'Mutasi Neraca'!$A37,'Daftar Koreksi'!$G$5:$G$92,'Mutasi Neraca'!M$2)</f>
        <v>-389531</v>
      </c>
      <c r="N37" s="112">
        <f>SUMIFS('Daftar Koreksi'!$I$5:$I$92,'Daftar Koreksi'!$D$5:$D$92,'Mutasi Neraca'!$A37,'Daftar Koreksi'!$G$5:$G$92,'Mutasi Neraca'!N$2)</f>
        <v>-1546815</v>
      </c>
      <c r="O37" s="114">
        <f>SUMIFS('Daftar Koreksi'!$I$5:$I$92,'Daftar Koreksi'!$D$5:$D$92,'Mutasi Neraca'!$A37,'Daftar Koreksi'!$G$5:$G$92,'Mutasi Neraca'!O$2)</f>
        <v>0</v>
      </c>
      <c r="P37" s="114">
        <f>SUMIFS('Daftar Koreksi'!$I$5:$I$92,'Daftar Koreksi'!$D$5:$D$92,'Mutasi Neraca'!$A37,'Daftar Koreksi'!$G$5:$G$92,'Mutasi Neraca'!P$2)</f>
        <v>0</v>
      </c>
      <c r="Q37" s="114">
        <f>SUMIFS('Daftar Koreksi'!$I$5:$I$92,'Daftar Koreksi'!$D$5:$D$92,'Mutasi Neraca'!$A37,'Daftar Koreksi'!$G$5:$G$92,'Mutasi Neraca'!Q$2)</f>
        <v>0</v>
      </c>
      <c r="R37" s="114">
        <f t="shared" si="3"/>
        <v>-1936346</v>
      </c>
      <c r="S37" s="110" t="s">
        <v>2296</v>
      </c>
    </row>
    <row r="38" spans="1:19" s="98" customFormat="1">
      <c r="A38" s="98" t="s">
        <v>531</v>
      </c>
      <c r="B38" s="98" t="s">
        <v>2254</v>
      </c>
      <c r="C38" s="100">
        <f>SUMIFS('Daftar Koreksi'!$H$5:$H$92,'Daftar Koreksi'!$G$5:$G$92,C$2,'Daftar Koreksi'!$D$5:$D$92,$A38)</f>
        <v>0</v>
      </c>
      <c r="D38" s="100">
        <f>SUMIFS('Daftar Koreksi'!$H$5:$H$92,'Daftar Koreksi'!$G$5:$G$92,D$2,'Daftar Koreksi'!$D$5:$D$92,$A38)</f>
        <v>0</v>
      </c>
      <c r="E38" s="112">
        <f>SUMIFS('Daftar Koreksi'!$H$5:$H$92,'Daftar Koreksi'!$G$5:$G$92,E$2,'Daftar Koreksi'!$D$5:$D$92,$A38)</f>
        <v>3895309</v>
      </c>
      <c r="F38" s="100">
        <f>SUMIFS('Daftar Koreksi'!$H$5:$H$92,'Daftar Koreksi'!$G$5:$G$92,F$2,'Daftar Koreksi'!$D$5:$D$92,$A38)</f>
        <v>0</v>
      </c>
      <c r="G38" s="100">
        <f>SUMIFS('Daftar Koreksi'!$H$5:$H$92,'Daftar Koreksi'!$G$5:$G$92,G$2,'Daftar Koreksi'!$D$5:$D$92,$A38)</f>
        <v>0</v>
      </c>
      <c r="H38" s="100">
        <f>SUMIFS('Daftar Koreksi'!$H$5:$H$92,'Daftar Koreksi'!$G$5:$G$92,H$2,'Daftar Koreksi'!$D$5:$D$92,$A38)</f>
        <v>0</v>
      </c>
      <c r="I38" s="100">
        <f>SUMIFS('Daftar Koreksi'!$H$5:$H$92,'Daftar Koreksi'!$G$5:$G$92,I$2,'Daftar Koreksi'!$D$5:$D$92,$A38)</f>
        <v>0</v>
      </c>
      <c r="J38" s="100">
        <f>SUMIFS('Daftar Koreksi'!$H$5:$H$92,'Daftar Koreksi'!$G$5:$G$92,J$2,'Daftar Koreksi'!$D$5:$D$92,$A38)</f>
        <v>0</v>
      </c>
      <c r="K38" s="100">
        <f>SUMIFS('Daftar Koreksi'!$H$5:$H$92,'Daftar Koreksi'!$G$5:$G$92,K$2,'Daftar Koreksi'!$D$5:$D$92,$A38)</f>
        <v>0</v>
      </c>
      <c r="L38" s="100">
        <f t="shared" si="2"/>
        <v>3895309</v>
      </c>
      <c r="M38" s="114">
        <f>SUMIFS('Daftar Koreksi'!$I$5:$I$92,'Daftar Koreksi'!$D$5:$D$92,'Mutasi Neraca'!$A38,'Daftar Koreksi'!$G$5:$G$92,'Mutasi Neraca'!M$2)</f>
        <v>-389531</v>
      </c>
      <c r="N38" s="114">
        <f>SUMIFS('Daftar Koreksi'!$I$5:$I$92,'Daftar Koreksi'!$D$5:$D$92,'Mutasi Neraca'!$A38,'Daftar Koreksi'!$G$5:$G$92,'Mutasi Neraca'!N$2)</f>
        <v>0</v>
      </c>
      <c r="O38" s="114">
        <f>SUMIFS('Daftar Koreksi'!$I$5:$I$92,'Daftar Koreksi'!$D$5:$D$92,'Mutasi Neraca'!$A38,'Daftar Koreksi'!$G$5:$G$92,'Mutasi Neraca'!O$2)</f>
        <v>0</v>
      </c>
      <c r="P38" s="114">
        <f>SUMIFS('Daftar Koreksi'!$I$5:$I$92,'Daftar Koreksi'!$D$5:$D$92,'Mutasi Neraca'!$A38,'Daftar Koreksi'!$G$5:$G$92,'Mutasi Neraca'!P$2)</f>
        <v>0</v>
      </c>
      <c r="Q38" s="114">
        <f>SUMIFS('Daftar Koreksi'!$I$5:$I$92,'Daftar Koreksi'!$D$5:$D$92,'Mutasi Neraca'!$A38,'Daftar Koreksi'!$G$5:$G$92,'Mutasi Neraca'!Q$2)</f>
        <v>0</v>
      </c>
      <c r="R38" s="114">
        <f t="shared" si="3"/>
        <v>-389531</v>
      </c>
      <c r="S38" s="102" t="s">
        <v>2223</v>
      </c>
    </row>
    <row r="39" spans="1:19" s="98" customFormat="1">
      <c r="A39" s="98" t="s">
        <v>536</v>
      </c>
      <c r="B39" s="98" t="s">
        <v>1674</v>
      </c>
      <c r="C39" s="100">
        <f>SUMIFS('Daftar Koreksi'!$H$5:$H$92,'Daftar Koreksi'!$G$5:$G$92,C$2,'Daftar Koreksi'!$D$5:$D$92,$A39)</f>
        <v>0</v>
      </c>
      <c r="D39" s="100">
        <f>SUMIFS('Daftar Koreksi'!$H$5:$H$92,'Daftar Koreksi'!$G$5:$G$92,D$2,'Daftar Koreksi'!$D$5:$D$92,$A39)</f>
        <v>0</v>
      </c>
      <c r="E39" s="112">
        <f>SUMIFS('Daftar Koreksi'!$H$5:$H$92,'Daftar Koreksi'!$G$5:$G$92,E$2,'Daftar Koreksi'!$D$5:$D$92,$A39)</f>
        <v>3895309</v>
      </c>
      <c r="F39" s="100">
        <f>SUMIFS('Daftar Koreksi'!$H$5:$H$92,'Daftar Koreksi'!$G$5:$G$92,F$2,'Daftar Koreksi'!$D$5:$D$92,$A39)</f>
        <v>0</v>
      </c>
      <c r="G39" s="100">
        <f>SUMIFS('Daftar Koreksi'!$H$5:$H$92,'Daftar Koreksi'!$G$5:$G$92,G$2,'Daftar Koreksi'!$D$5:$D$92,$A39)</f>
        <v>0</v>
      </c>
      <c r="H39" s="100">
        <f>SUMIFS('Daftar Koreksi'!$H$5:$H$92,'Daftar Koreksi'!$G$5:$G$92,H$2,'Daftar Koreksi'!$D$5:$D$92,$A39)</f>
        <v>0</v>
      </c>
      <c r="I39" s="100">
        <f>SUMIFS('Daftar Koreksi'!$H$5:$H$92,'Daftar Koreksi'!$G$5:$G$92,I$2,'Daftar Koreksi'!$D$5:$D$92,$A39)</f>
        <v>0</v>
      </c>
      <c r="J39" s="100">
        <f>SUMIFS('Daftar Koreksi'!$H$5:$H$92,'Daftar Koreksi'!$G$5:$G$92,J$2,'Daftar Koreksi'!$D$5:$D$92,$A39)</f>
        <v>0</v>
      </c>
      <c r="K39" s="100">
        <f>SUMIFS('Daftar Koreksi'!$H$5:$H$92,'Daftar Koreksi'!$G$5:$G$92,K$2,'Daftar Koreksi'!$D$5:$D$92,$A39)</f>
        <v>0</v>
      </c>
      <c r="L39" s="100">
        <f t="shared" si="2"/>
        <v>3895309</v>
      </c>
      <c r="M39" s="114">
        <f>SUMIFS('Daftar Koreksi'!$I$5:$I$92,'Daftar Koreksi'!$D$5:$D$92,'Mutasi Neraca'!$A39,'Daftar Koreksi'!$G$5:$G$92,'Mutasi Neraca'!M$2)</f>
        <v>-389531</v>
      </c>
      <c r="N39" s="114">
        <f>SUMIFS('Daftar Koreksi'!$I$5:$I$92,'Daftar Koreksi'!$D$5:$D$92,'Mutasi Neraca'!$A39,'Daftar Koreksi'!$G$5:$G$92,'Mutasi Neraca'!N$2)</f>
        <v>0</v>
      </c>
      <c r="O39" s="114">
        <f>SUMIFS('Daftar Koreksi'!$I$5:$I$92,'Daftar Koreksi'!$D$5:$D$92,'Mutasi Neraca'!$A39,'Daftar Koreksi'!$G$5:$G$92,'Mutasi Neraca'!O$2)</f>
        <v>0</v>
      </c>
      <c r="P39" s="114">
        <f>SUMIFS('Daftar Koreksi'!$I$5:$I$92,'Daftar Koreksi'!$D$5:$D$92,'Mutasi Neraca'!$A39,'Daftar Koreksi'!$G$5:$G$92,'Mutasi Neraca'!P$2)</f>
        <v>0</v>
      </c>
      <c r="Q39" s="114">
        <f>SUMIFS('Daftar Koreksi'!$I$5:$I$92,'Daftar Koreksi'!$D$5:$D$92,'Mutasi Neraca'!$A39,'Daftar Koreksi'!$G$5:$G$92,'Mutasi Neraca'!Q$2)</f>
        <v>0</v>
      </c>
      <c r="R39" s="114">
        <f t="shared" si="3"/>
        <v>-389531</v>
      </c>
      <c r="S39" s="103" t="s">
        <v>2223</v>
      </c>
    </row>
    <row r="40" spans="1:19" s="98" customFormat="1">
      <c r="A40" s="98" t="s">
        <v>550</v>
      </c>
      <c r="B40" s="98" t="s">
        <v>1688</v>
      </c>
      <c r="C40" s="100">
        <f>SUMIFS('Daftar Koreksi'!$H$5:$H$92,'Daftar Koreksi'!$G$5:$G$92,C$2,'Daftar Koreksi'!$D$5:$D$92,$A40)</f>
        <v>0</v>
      </c>
      <c r="D40" s="100">
        <f>SUMIFS('Daftar Koreksi'!$H$5:$H$92,'Daftar Koreksi'!$G$5:$G$92,D$2,'Daftar Koreksi'!$D$5:$D$92,$A40)</f>
        <v>0</v>
      </c>
      <c r="E40" s="112">
        <f>SUMIFS('Daftar Koreksi'!$H$5:$H$92,'Daftar Koreksi'!$G$5:$G$92,E$2,'Daftar Koreksi'!$D$5:$D$92,$A40)</f>
        <v>3895309</v>
      </c>
      <c r="F40" s="100">
        <f>SUMIFS('Daftar Koreksi'!$H$5:$H$92,'Daftar Koreksi'!$G$5:$G$92,F$2,'Daftar Koreksi'!$D$5:$D$92,$A40)</f>
        <v>0</v>
      </c>
      <c r="G40" s="100">
        <f>SUMIFS('Daftar Koreksi'!$H$5:$H$92,'Daftar Koreksi'!$G$5:$G$92,G$2,'Daftar Koreksi'!$D$5:$D$92,$A40)</f>
        <v>0</v>
      </c>
      <c r="H40" s="100">
        <f>SUMIFS('Daftar Koreksi'!$H$5:$H$92,'Daftar Koreksi'!$G$5:$G$92,H$2,'Daftar Koreksi'!$D$5:$D$92,$A40)</f>
        <v>0</v>
      </c>
      <c r="I40" s="100">
        <f>SUMIFS('Daftar Koreksi'!$H$5:$H$92,'Daftar Koreksi'!$G$5:$G$92,I$2,'Daftar Koreksi'!$D$5:$D$92,$A40)</f>
        <v>0</v>
      </c>
      <c r="J40" s="100">
        <f>SUMIFS('Daftar Koreksi'!$H$5:$H$92,'Daftar Koreksi'!$G$5:$G$92,J$2,'Daftar Koreksi'!$D$5:$D$92,$A40)</f>
        <v>0</v>
      </c>
      <c r="K40" s="100">
        <f>SUMIFS('Daftar Koreksi'!$H$5:$H$92,'Daftar Koreksi'!$G$5:$G$92,K$2,'Daftar Koreksi'!$D$5:$D$92,$A40)</f>
        <v>0</v>
      </c>
      <c r="L40" s="100">
        <f t="shared" si="2"/>
        <v>3895309</v>
      </c>
      <c r="M40" s="114">
        <f>SUMIFS('Daftar Koreksi'!$I$5:$I$92,'Daftar Koreksi'!$D$5:$D$92,'Mutasi Neraca'!$A40,'Daftar Koreksi'!$G$5:$G$92,'Mutasi Neraca'!M$2)</f>
        <v>-389531</v>
      </c>
      <c r="N40" s="114">
        <f>SUMIFS('Daftar Koreksi'!$I$5:$I$92,'Daftar Koreksi'!$D$5:$D$92,'Mutasi Neraca'!$A40,'Daftar Koreksi'!$G$5:$G$92,'Mutasi Neraca'!N$2)</f>
        <v>0</v>
      </c>
      <c r="O40" s="114">
        <f>SUMIFS('Daftar Koreksi'!$I$5:$I$92,'Daftar Koreksi'!$D$5:$D$92,'Mutasi Neraca'!$A40,'Daftar Koreksi'!$G$5:$G$92,'Mutasi Neraca'!O$2)</f>
        <v>0</v>
      </c>
      <c r="P40" s="114">
        <f>SUMIFS('Daftar Koreksi'!$I$5:$I$92,'Daftar Koreksi'!$D$5:$D$92,'Mutasi Neraca'!$A40,'Daftar Koreksi'!$G$5:$G$92,'Mutasi Neraca'!P$2)</f>
        <v>0</v>
      </c>
      <c r="Q40" s="114">
        <f>SUMIFS('Daftar Koreksi'!$I$5:$I$92,'Daftar Koreksi'!$D$5:$D$92,'Mutasi Neraca'!$A40,'Daftar Koreksi'!$G$5:$G$92,'Mutasi Neraca'!Q$2)</f>
        <v>0</v>
      </c>
      <c r="R40" s="114">
        <f t="shared" si="3"/>
        <v>-389531</v>
      </c>
      <c r="S40" s="103" t="s">
        <v>2223</v>
      </c>
    </row>
    <row r="41" spans="1:19" s="98" customFormat="1">
      <c r="A41" s="98" t="s">
        <v>551</v>
      </c>
      <c r="B41" s="98" t="s">
        <v>1689</v>
      </c>
      <c r="C41" s="100">
        <f>SUMIFS('Daftar Koreksi'!$H$5:$H$92,'Daftar Koreksi'!$G$5:$G$92,C$2,'Daftar Koreksi'!$D$5:$D$92,$A41)</f>
        <v>0</v>
      </c>
      <c r="D41" s="100">
        <f>SUMIFS('Daftar Koreksi'!$H$5:$H$92,'Daftar Koreksi'!$G$5:$G$92,D$2,'Daftar Koreksi'!$D$5:$D$92,$A41)</f>
        <v>0</v>
      </c>
      <c r="E41" s="112">
        <f>SUMIFS('Daftar Koreksi'!$H$5:$H$92,'Daftar Koreksi'!$G$5:$G$92,E$2,'Daftar Koreksi'!$D$5:$D$92,$A41)</f>
        <v>3895309</v>
      </c>
      <c r="F41" s="100">
        <f>SUMIFS('Daftar Koreksi'!$H$5:$H$92,'Daftar Koreksi'!$G$5:$G$92,F$2,'Daftar Koreksi'!$D$5:$D$92,$A41)</f>
        <v>0</v>
      </c>
      <c r="G41" s="100">
        <f>SUMIFS('Daftar Koreksi'!$H$5:$H$92,'Daftar Koreksi'!$G$5:$G$92,G$2,'Daftar Koreksi'!$D$5:$D$92,$A41)</f>
        <v>0</v>
      </c>
      <c r="H41" s="100">
        <f>SUMIFS('Daftar Koreksi'!$H$5:$H$92,'Daftar Koreksi'!$G$5:$G$92,H$2,'Daftar Koreksi'!$D$5:$D$92,$A41)</f>
        <v>0</v>
      </c>
      <c r="I41" s="100">
        <f>SUMIFS('Daftar Koreksi'!$H$5:$H$92,'Daftar Koreksi'!$G$5:$G$92,I$2,'Daftar Koreksi'!$D$5:$D$92,$A41)</f>
        <v>0</v>
      </c>
      <c r="J41" s="100">
        <f>SUMIFS('Daftar Koreksi'!$H$5:$H$92,'Daftar Koreksi'!$G$5:$G$92,J$2,'Daftar Koreksi'!$D$5:$D$92,$A41)</f>
        <v>0</v>
      </c>
      <c r="K41" s="100">
        <f>SUMIFS('Daftar Koreksi'!$H$5:$H$92,'Daftar Koreksi'!$G$5:$G$92,K$2,'Daftar Koreksi'!$D$5:$D$92,$A41)</f>
        <v>0</v>
      </c>
      <c r="L41" s="100">
        <f t="shared" si="2"/>
        <v>3895309</v>
      </c>
      <c r="M41" s="114">
        <f>SUMIFS('Daftar Koreksi'!$I$5:$I$92,'Daftar Koreksi'!$D$5:$D$92,'Mutasi Neraca'!$A41,'Daftar Koreksi'!$G$5:$G$92,'Mutasi Neraca'!M$2)</f>
        <v>-389531</v>
      </c>
      <c r="N41" s="114">
        <f>SUMIFS('Daftar Koreksi'!$I$5:$I$92,'Daftar Koreksi'!$D$5:$D$92,'Mutasi Neraca'!$A41,'Daftar Koreksi'!$G$5:$G$92,'Mutasi Neraca'!N$2)</f>
        <v>0</v>
      </c>
      <c r="O41" s="114">
        <f>SUMIFS('Daftar Koreksi'!$I$5:$I$92,'Daftar Koreksi'!$D$5:$D$92,'Mutasi Neraca'!$A41,'Daftar Koreksi'!$G$5:$G$92,'Mutasi Neraca'!O$2)</f>
        <v>0</v>
      </c>
      <c r="P41" s="114">
        <f>SUMIFS('Daftar Koreksi'!$I$5:$I$92,'Daftar Koreksi'!$D$5:$D$92,'Mutasi Neraca'!$A41,'Daftar Koreksi'!$G$5:$G$92,'Mutasi Neraca'!P$2)</f>
        <v>0</v>
      </c>
      <c r="Q41" s="114">
        <f>SUMIFS('Daftar Koreksi'!$I$5:$I$92,'Daftar Koreksi'!$D$5:$D$92,'Mutasi Neraca'!$A41,'Daftar Koreksi'!$G$5:$G$92,'Mutasi Neraca'!Q$2)</f>
        <v>0</v>
      </c>
      <c r="R41" s="114">
        <f t="shared" si="3"/>
        <v>-389531</v>
      </c>
      <c r="S41" s="103" t="s">
        <v>2223</v>
      </c>
    </row>
    <row r="42" spans="1:19" s="98" customFormat="1">
      <c r="A42" s="98" t="s">
        <v>561</v>
      </c>
      <c r="B42" s="98" t="s">
        <v>1699</v>
      </c>
      <c r="C42" s="100">
        <f>SUMIFS('Daftar Koreksi'!$H$5:$H$92,'Daftar Koreksi'!$G$5:$G$92,C$2,'Daftar Koreksi'!$D$5:$D$92,$A42)</f>
        <v>0</v>
      </c>
      <c r="D42" s="100">
        <f>SUMIFS('Daftar Koreksi'!$H$5:$H$92,'Daftar Koreksi'!$G$5:$G$92,D$2,'Daftar Koreksi'!$D$5:$D$92,$A42)</f>
        <v>0</v>
      </c>
      <c r="E42" s="112">
        <f>SUMIFS('Daftar Koreksi'!$H$5:$H$92,'Daftar Koreksi'!$G$5:$G$92,E$2,'Daftar Koreksi'!$D$5:$D$92,$A42)</f>
        <v>3895309</v>
      </c>
      <c r="F42" s="100">
        <f>SUMIFS('Daftar Koreksi'!$H$5:$H$92,'Daftar Koreksi'!$G$5:$G$92,F$2,'Daftar Koreksi'!$D$5:$D$92,$A42)</f>
        <v>0</v>
      </c>
      <c r="G42" s="100">
        <f>SUMIFS('Daftar Koreksi'!$H$5:$H$92,'Daftar Koreksi'!$G$5:$G$92,G$2,'Daftar Koreksi'!$D$5:$D$92,$A42)</f>
        <v>0</v>
      </c>
      <c r="H42" s="100">
        <f>SUMIFS('Daftar Koreksi'!$H$5:$H$92,'Daftar Koreksi'!$G$5:$G$92,H$2,'Daftar Koreksi'!$D$5:$D$92,$A42)</f>
        <v>0</v>
      </c>
      <c r="I42" s="100">
        <f>SUMIFS('Daftar Koreksi'!$H$5:$H$92,'Daftar Koreksi'!$G$5:$G$92,I$2,'Daftar Koreksi'!$D$5:$D$92,$A42)</f>
        <v>0</v>
      </c>
      <c r="J42" s="100">
        <f>SUMIFS('Daftar Koreksi'!$H$5:$H$92,'Daftar Koreksi'!$G$5:$G$92,J$2,'Daftar Koreksi'!$D$5:$D$92,$A42)</f>
        <v>0</v>
      </c>
      <c r="K42" s="100">
        <f>SUMIFS('Daftar Koreksi'!$H$5:$H$92,'Daftar Koreksi'!$G$5:$G$92,K$2,'Daftar Koreksi'!$D$5:$D$92,$A42)</f>
        <v>0</v>
      </c>
      <c r="L42" s="100">
        <f t="shared" si="2"/>
        <v>3895309</v>
      </c>
      <c r="M42" s="114">
        <f>SUMIFS('Daftar Koreksi'!$I$5:$I$92,'Daftar Koreksi'!$D$5:$D$92,'Mutasi Neraca'!$A42,'Daftar Koreksi'!$G$5:$G$92,'Mutasi Neraca'!M$2)</f>
        <v>-389531</v>
      </c>
      <c r="N42" s="114">
        <f>SUMIFS('Daftar Koreksi'!$I$5:$I$92,'Daftar Koreksi'!$D$5:$D$92,'Mutasi Neraca'!$A42,'Daftar Koreksi'!$G$5:$G$92,'Mutasi Neraca'!N$2)</f>
        <v>0</v>
      </c>
      <c r="O42" s="114">
        <f>SUMIFS('Daftar Koreksi'!$I$5:$I$92,'Daftar Koreksi'!$D$5:$D$92,'Mutasi Neraca'!$A42,'Daftar Koreksi'!$G$5:$G$92,'Mutasi Neraca'!O$2)</f>
        <v>0</v>
      </c>
      <c r="P42" s="114">
        <f>SUMIFS('Daftar Koreksi'!$I$5:$I$92,'Daftar Koreksi'!$D$5:$D$92,'Mutasi Neraca'!$A42,'Daftar Koreksi'!$G$5:$G$92,'Mutasi Neraca'!P$2)</f>
        <v>0</v>
      </c>
      <c r="Q42" s="114">
        <f>SUMIFS('Daftar Koreksi'!$I$5:$I$92,'Daftar Koreksi'!$D$5:$D$92,'Mutasi Neraca'!$A42,'Daftar Koreksi'!$G$5:$G$92,'Mutasi Neraca'!Q$2)</f>
        <v>0</v>
      </c>
      <c r="R42" s="114">
        <f t="shared" si="3"/>
        <v>-389531</v>
      </c>
      <c r="S42" s="103" t="s">
        <v>2223</v>
      </c>
    </row>
    <row r="43" spans="1:19" s="98" customFormat="1">
      <c r="A43" s="98" t="s">
        <v>589</v>
      </c>
      <c r="B43" s="98" t="s">
        <v>1727</v>
      </c>
      <c r="C43" s="100">
        <f>SUMIFS('Daftar Koreksi'!$H$5:$H$92,'Daftar Koreksi'!$G$5:$G$92,C$2,'Daftar Koreksi'!$D$5:$D$92,$A43)</f>
        <v>0</v>
      </c>
      <c r="D43" s="100">
        <f>SUMIFS('Daftar Koreksi'!$H$5:$H$92,'Daftar Koreksi'!$G$5:$G$92,D$2,'Daftar Koreksi'!$D$5:$D$92,$A43)</f>
        <v>0</v>
      </c>
      <c r="E43" s="112">
        <f>SUMIFS('Daftar Koreksi'!$H$5:$H$92,'Daftar Koreksi'!$G$5:$G$92,E$2,'Daftar Koreksi'!$D$5:$D$92,$A43)</f>
        <v>3895309</v>
      </c>
      <c r="F43" s="100">
        <f>SUMIFS('Daftar Koreksi'!$H$5:$H$92,'Daftar Koreksi'!$G$5:$G$92,F$2,'Daftar Koreksi'!$D$5:$D$92,$A43)</f>
        <v>0</v>
      </c>
      <c r="G43" s="100">
        <f>SUMIFS('Daftar Koreksi'!$H$5:$H$92,'Daftar Koreksi'!$G$5:$G$92,G$2,'Daftar Koreksi'!$D$5:$D$92,$A43)</f>
        <v>0</v>
      </c>
      <c r="H43" s="100">
        <f>SUMIFS('Daftar Koreksi'!$H$5:$H$92,'Daftar Koreksi'!$G$5:$G$92,H$2,'Daftar Koreksi'!$D$5:$D$92,$A43)</f>
        <v>0</v>
      </c>
      <c r="I43" s="100">
        <f>SUMIFS('Daftar Koreksi'!$H$5:$H$92,'Daftar Koreksi'!$G$5:$G$92,I$2,'Daftar Koreksi'!$D$5:$D$92,$A43)</f>
        <v>0</v>
      </c>
      <c r="J43" s="100">
        <f>SUMIFS('Daftar Koreksi'!$H$5:$H$92,'Daftar Koreksi'!$G$5:$G$92,J$2,'Daftar Koreksi'!$D$5:$D$92,$A43)</f>
        <v>0</v>
      </c>
      <c r="K43" s="100">
        <f>SUMIFS('Daftar Koreksi'!$H$5:$H$92,'Daftar Koreksi'!$G$5:$G$92,K$2,'Daftar Koreksi'!$D$5:$D$92,$A43)</f>
        <v>0</v>
      </c>
      <c r="L43" s="100">
        <f t="shared" si="2"/>
        <v>3895309</v>
      </c>
      <c r="M43" s="114">
        <f>SUMIFS('Daftar Koreksi'!$I$5:$I$92,'Daftar Koreksi'!$D$5:$D$92,'Mutasi Neraca'!$A43,'Daftar Koreksi'!$G$5:$G$92,'Mutasi Neraca'!M$2)</f>
        <v>-389531</v>
      </c>
      <c r="N43" s="114">
        <f>SUMIFS('Daftar Koreksi'!$I$5:$I$92,'Daftar Koreksi'!$D$5:$D$92,'Mutasi Neraca'!$A43,'Daftar Koreksi'!$G$5:$G$92,'Mutasi Neraca'!N$2)</f>
        <v>0</v>
      </c>
      <c r="O43" s="114">
        <f>SUMIFS('Daftar Koreksi'!$I$5:$I$92,'Daftar Koreksi'!$D$5:$D$92,'Mutasi Neraca'!$A43,'Daftar Koreksi'!$G$5:$G$92,'Mutasi Neraca'!O$2)</f>
        <v>0</v>
      </c>
      <c r="P43" s="114">
        <f>SUMIFS('Daftar Koreksi'!$I$5:$I$92,'Daftar Koreksi'!$D$5:$D$92,'Mutasi Neraca'!$A43,'Daftar Koreksi'!$G$5:$G$92,'Mutasi Neraca'!P$2)</f>
        <v>0</v>
      </c>
      <c r="Q43" s="114">
        <f>SUMIFS('Daftar Koreksi'!$I$5:$I$92,'Daftar Koreksi'!$D$5:$D$92,'Mutasi Neraca'!$A43,'Daftar Koreksi'!$G$5:$G$92,'Mutasi Neraca'!Q$2)</f>
        <v>0</v>
      </c>
      <c r="R43" s="114">
        <f t="shared" si="3"/>
        <v>-389531</v>
      </c>
      <c r="S43" s="103" t="s">
        <v>2223</v>
      </c>
    </row>
    <row r="44" spans="1:19" s="98" customFormat="1">
      <c r="A44" s="98" t="s">
        <v>594</v>
      </c>
      <c r="B44" s="98" t="s">
        <v>1732</v>
      </c>
      <c r="C44" s="100">
        <f>SUMIFS('Daftar Koreksi'!$H$5:$H$92,'Daftar Koreksi'!$G$5:$G$92,C$2,'Daftar Koreksi'!$D$5:$D$92,$A44)</f>
        <v>0</v>
      </c>
      <c r="D44" s="100">
        <f>SUMIFS('Daftar Koreksi'!$H$5:$H$92,'Daftar Koreksi'!$G$5:$G$92,D$2,'Daftar Koreksi'!$D$5:$D$92,$A44)</f>
        <v>0</v>
      </c>
      <c r="E44" s="112">
        <f>SUMIFS('Daftar Koreksi'!$H$5:$H$92,'Daftar Koreksi'!$G$5:$G$92,E$2,'Daftar Koreksi'!$D$5:$D$92,$A44)</f>
        <v>3895309</v>
      </c>
      <c r="F44" s="100">
        <f>SUMIFS('Daftar Koreksi'!$H$5:$H$92,'Daftar Koreksi'!$G$5:$G$92,F$2,'Daftar Koreksi'!$D$5:$D$92,$A44)</f>
        <v>0</v>
      </c>
      <c r="G44" s="100">
        <f>SUMIFS('Daftar Koreksi'!$H$5:$H$92,'Daftar Koreksi'!$G$5:$G$92,G$2,'Daftar Koreksi'!$D$5:$D$92,$A44)</f>
        <v>0</v>
      </c>
      <c r="H44" s="100">
        <f>SUMIFS('Daftar Koreksi'!$H$5:$H$92,'Daftar Koreksi'!$G$5:$G$92,H$2,'Daftar Koreksi'!$D$5:$D$92,$A44)</f>
        <v>0</v>
      </c>
      <c r="I44" s="100">
        <f>SUMIFS('Daftar Koreksi'!$H$5:$H$92,'Daftar Koreksi'!$G$5:$G$92,I$2,'Daftar Koreksi'!$D$5:$D$92,$A44)</f>
        <v>0</v>
      </c>
      <c r="J44" s="100">
        <f>SUMIFS('Daftar Koreksi'!$H$5:$H$92,'Daftar Koreksi'!$G$5:$G$92,J$2,'Daftar Koreksi'!$D$5:$D$92,$A44)</f>
        <v>0</v>
      </c>
      <c r="K44" s="100">
        <f>SUMIFS('Daftar Koreksi'!$H$5:$H$92,'Daftar Koreksi'!$G$5:$G$92,K$2,'Daftar Koreksi'!$D$5:$D$92,$A44)</f>
        <v>0</v>
      </c>
      <c r="L44" s="100">
        <f t="shared" si="2"/>
        <v>3895309</v>
      </c>
      <c r="M44" s="114">
        <f>SUMIFS('Daftar Koreksi'!$I$5:$I$92,'Daftar Koreksi'!$D$5:$D$92,'Mutasi Neraca'!$A44,'Daftar Koreksi'!$G$5:$G$92,'Mutasi Neraca'!M$2)</f>
        <v>-389531</v>
      </c>
      <c r="N44" s="114">
        <f>SUMIFS('Daftar Koreksi'!$I$5:$I$92,'Daftar Koreksi'!$D$5:$D$92,'Mutasi Neraca'!$A44,'Daftar Koreksi'!$G$5:$G$92,'Mutasi Neraca'!N$2)</f>
        <v>0</v>
      </c>
      <c r="O44" s="114">
        <f>SUMIFS('Daftar Koreksi'!$I$5:$I$92,'Daftar Koreksi'!$D$5:$D$92,'Mutasi Neraca'!$A44,'Daftar Koreksi'!$G$5:$G$92,'Mutasi Neraca'!O$2)</f>
        <v>0</v>
      </c>
      <c r="P44" s="114">
        <f>SUMIFS('Daftar Koreksi'!$I$5:$I$92,'Daftar Koreksi'!$D$5:$D$92,'Mutasi Neraca'!$A44,'Daftar Koreksi'!$G$5:$G$92,'Mutasi Neraca'!P$2)</f>
        <v>0</v>
      </c>
      <c r="Q44" s="114">
        <f>SUMIFS('Daftar Koreksi'!$I$5:$I$92,'Daftar Koreksi'!$D$5:$D$92,'Mutasi Neraca'!$A44,'Daftar Koreksi'!$G$5:$G$92,'Mutasi Neraca'!Q$2)</f>
        <v>0</v>
      </c>
      <c r="R44" s="114">
        <f t="shared" si="3"/>
        <v>-389531</v>
      </c>
      <c r="S44" s="103" t="s">
        <v>2223</v>
      </c>
    </row>
    <row r="45" spans="1:19" s="98" customFormat="1">
      <c r="A45" s="98" t="s">
        <v>601</v>
      </c>
      <c r="B45" s="98" t="s">
        <v>1739</v>
      </c>
      <c r="C45" s="100">
        <f>SUMIFS('Daftar Koreksi'!$H$5:$H$92,'Daftar Koreksi'!$G$5:$G$92,C$2,'Daftar Koreksi'!$D$5:$D$92,$A45)</f>
        <v>0</v>
      </c>
      <c r="D45" s="100">
        <f>SUMIFS('Daftar Koreksi'!$H$5:$H$92,'Daftar Koreksi'!$G$5:$G$92,D$2,'Daftar Koreksi'!$D$5:$D$92,$A45)</f>
        <v>0</v>
      </c>
      <c r="E45" s="112">
        <f>SUMIFS('Daftar Koreksi'!$H$5:$H$92,'Daftar Koreksi'!$G$5:$G$92,E$2,'Daftar Koreksi'!$D$5:$D$92,$A45)</f>
        <v>3895309</v>
      </c>
      <c r="F45" s="100">
        <f>SUMIFS('Daftar Koreksi'!$H$5:$H$92,'Daftar Koreksi'!$G$5:$G$92,F$2,'Daftar Koreksi'!$D$5:$D$92,$A45)</f>
        <v>0</v>
      </c>
      <c r="G45" s="100">
        <f>SUMIFS('Daftar Koreksi'!$H$5:$H$92,'Daftar Koreksi'!$G$5:$G$92,G$2,'Daftar Koreksi'!$D$5:$D$92,$A45)</f>
        <v>0</v>
      </c>
      <c r="H45" s="100">
        <f>SUMIFS('Daftar Koreksi'!$H$5:$H$92,'Daftar Koreksi'!$G$5:$G$92,H$2,'Daftar Koreksi'!$D$5:$D$92,$A45)</f>
        <v>0</v>
      </c>
      <c r="I45" s="100">
        <f>SUMIFS('Daftar Koreksi'!$H$5:$H$92,'Daftar Koreksi'!$G$5:$G$92,I$2,'Daftar Koreksi'!$D$5:$D$92,$A45)</f>
        <v>0</v>
      </c>
      <c r="J45" s="100">
        <f>SUMIFS('Daftar Koreksi'!$H$5:$H$92,'Daftar Koreksi'!$G$5:$G$92,J$2,'Daftar Koreksi'!$D$5:$D$92,$A45)</f>
        <v>0</v>
      </c>
      <c r="K45" s="100">
        <f>SUMIFS('Daftar Koreksi'!$H$5:$H$92,'Daftar Koreksi'!$G$5:$G$92,K$2,'Daftar Koreksi'!$D$5:$D$92,$A45)</f>
        <v>0</v>
      </c>
      <c r="L45" s="100">
        <f t="shared" si="2"/>
        <v>3895309</v>
      </c>
      <c r="M45" s="114">
        <f>SUMIFS('Daftar Koreksi'!$I$5:$I$92,'Daftar Koreksi'!$D$5:$D$92,'Mutasi Neraca'!$A45,'Daftar Koreksi'!$G$5:$G$92,'Mutasi Neraca'!M$2)</f>
        <v>-389531</v>
      </c>
      <c r="N45" s="114">
        <f>SUMIFS('Daftar Koreksi'!$I$5:$I$92,'Daftar Koreksi'!$D$5:$D$92,'Mutasi Neraca'!$A45,'Daftar Koreksi'!$G$5:$G$92,'Mutasi Neraca'!N$2)</f>
        <v>0</v>
      </c>
      <c r="O45" s="114">
        <f>SUMIFS('Daftar Koreksi'!$I$5:$I$92,'Daftar Koreksi'!$D$5:$D$92,'Mutasi Neraca'!$A45,'Daftar Koreksi'!$G$5:$G$92,'Mutasi Neraca'!O$2)</f>
        <v>0</v>
      </c>
      <c r="P45" s="114">
        <f>SUMIFS('Daftar Koreksi'!$I$5:$I$92,'Daftar Koreksi'!$D$5:$D$92,'Mutasi Neraca'!$A45,'Daftar Koreksi'!$G$5:$G$92,'Mutasi Neraca'!P$2)</f>
        <v>0</v>
      </c>
      <c r="Q45" s="114">
        <f>SUMIFS('Daftar Koreksi'!$I$5:$I$92,'Daftar Koreksi'!$D$5:$D$92,'Mutasi Neraca'!$A45,'Daftar Koreksi'!$G$5:$G$92,'Mutasi Neraca'!Q$2)</f>
        <v>0</v>
      </c>
      <c r="R45" s="114">
        <f t="shared" si="3"/>
        <v>-389531</v>
      </c>
      <c r="S45" s="101" t="s">
        <v>2223</v>
      </c>
    </row>
    <row r="46" spans="1:19" s="98" customFormat="1">
      <c r="A46" s="98" t="s">
        <v>619</v>
      </c>
      <c r="B46" s="98" t="s">
        <v>1757</v>
      </c>
      <c r="C46" s="100">
        <f>SUMIFS('Daftar Koreksi'!$H$5:$H$92,'Daftar Koreksi'!$G$5:$G$92,C$2,'Daftar Koreksi'!$D$5:$D$92,$A46)</f>
        <v>0</v>
      </c>
      <c r="D46" s="100">
        <f>SUMIFS('Daftar Koreksi'!$H$5:$H$92,'Daftar Koreksi'!$G$5:$G$92,D$2,'Daftar Koreksi'!$D$5:$D$92,$A46)</f>
        <v>0</v>
      </c>
      <c r="E46" s="112">
        <f>SUMIFS('Daftar Koreksi'!$H$5:$H$92,'Daftar Koreksi'!$G$5:$G$92,E$2,'Daftar Koreksi'!$D$5:$D$92,$A46)</f>
        <v>3895309</v>
      </c>
      <c r="F46" s="100">
        <f>SUMIFS('Daftar Koreksi'!$H$5:$H$92,'Daftar Koreksi'!$G$5:$G$92,F$2,'Daftar Koreksi'!$D$5:$D$92,$A46)</f>
        <v>0</v>
      </c>
      <c r="G46" s="100">
        <f>SUMIFS('Daftar Koreksi'!$H$5:$H$92,'Daftar Koreksi'!$G$5:$G$92,G$2,'Daftar Koreksi'!$D$5:$D$92,$A46)</f>
        <v>0</v>
      </c>
      <c r="H46" s="100">
        <f>SUMIFS('Daftar Koreksi'!$H$5:$H$92,'Daftar Koreksi'!$G$5:$G$92,H$2,'Daftar Koreksi'!$D$5:$D$92,$A46)</f>
        <v>0</v>
      </c>
      <c r="I46" s="100">
        <f>SUMIFS('Daftar Koreksi'!$H$5:$H$92,'Daftar Koreksi'!$G$5:$G$92,I$2,'Daftar Koreksi'!$D$5:$D$92,$A46)</f>
        <v>0</v>
      </c>
      <c r="J46" s="100">
        <f>SUMIFS('Daftar Koreksi'!$H$5:$H$92,'Daftar Koreksi'!$G$5:$G$92,J$2,'Daftar Koreksi'!$D$5:$D$92,$A46)</f>
        <v>0</v>
      </c>
      <c r="K46" s="100">
        <f>SUMIFS('Daftar Koreksi'!$H$5:$H$92,'Daftar Koreksi'!$G$5:$G$92,K$2,'Daftar Koreksi'!$D$5:$D$92,$A46)</f>
        <v>0</v>
      </c>
      <c r="L46" s="100">
        <f t="shared" si="2"/>
        <v>3895309</v>
      </c>
      <c r="M46" s="114">
        <f>SUMIFS('Daftar Koreksi'!$I$5:$I$92,'Daftar Koreksi'!$D$5:$D$92,'Mutasi Neraca'!$A46,'Daftar Koreksi'!$G$5:$G$92,'Mutasi Neraca'!M$2)</f>
        <v>-389531</v>
      </c>
      <c r="N46" s="114">
        <f>SUMIFS('Daftar Koreksi'!$I$5:$I$92,'Daftar Koreksi'!$D$5:$D$92,'Mutasi Neraca'!$A46,'Daftar Koreksi'!$G$5:$G$92,'Mutasi Neraca'!N$2)</f>
        <v>0</v>
      </c>
      <c r="O46" s="114">
        <f>SUMIFS('Daftar Koreksi'!$I$5:$I$92,'Daftar Koreksi'!$D$5:$D$92,'Mutasi Neraca'!$A46,'Daftar Koreksi'!$G$5:$G$92,'Mutasi Neraca'!O$2)</f>
        <v>0</v>
      </c>
      <c r="P46" s="114">
        <f>SUMIFS('Daftar Koreksi'!$I$5:$I$92,'Daftar Koreksi'!$D$5:$D$92,'Mutasi Neraca'!$A46,'Daftar Koreksi'!$G$5:$G$92,'Mutasi Neraca'!P$2)</f>
        <v>0</v>
      </c>
      <c r="Q46" s="114">
        <f>SUMIFS('Daftar Koreksi'!$I$5:$I$92,'Daftar Koreksi'!$D$5:$D$92,'Mutasi Neraca'!$A46,'Daftar Koreksi'!$G$5:$G$92,'Mutasi Neraca'!Q$2)</f>
        <v>0</v>
      </c>
      <c r="R46" s="114">
        <f t="shared" si="3"/>
        <v>-389531</v>
      </c>
      <c r="S46" s="103" t="s">
        <v>2223</v>
      </c>
    </row>
    <row r="47" spans="1:19" s="98" customFormat="1">
      <c r="A47" s="98" t="s">
        <v>653</v>
      </c>
      <c r="B47" s="98" t="s">
        <v>1791</v>
      </c>
      <c r="C47" s="100">
        <f>SUMIFS('Daftar Koreksi'!$H$5:$H$92,'Daftar Koreksi'!$G$5:$G$92,C$2,'Daftar Koreksi'!$D$5:$D$92,$A47)</f>
        <v>0</v>
      </c>
      <c r="D47" s="100">
        <f>SUMIFS('Daftar Koreksi'!$H$5:$H$92,'Daftar Koreksi'!$G$5:$G$92,D$2,'Daftar Koreksi'!$D$5:$D$92,$A47)</f>
        <v>0</v>
      </c>
      <c r="E47" s="112">
        <f>SUMIFS('Daftar Koreksi'!$H$5:$H$92,'Daftar Koreksi'!$G$5:$G$92,E$2,'Daftar Koreksi'!$D$5:$D$92,$A47)</f>
        <v>3895309</v>
      </c>
      <c r="F47" s="100">
        <f>SUMIFS('Daftar Koreksi'!$H$5:$H$92,'Daftar Koreksi'!$G$5:$G$92,F$2,'Daftar Koreksi'!$D$5:$D$92,$A47)</f>
        <v>0</v>
      </c>
      <c r="G47" s="100">
        <f>SUMIFS('Daftar Koreksi'!$H$5:$H$92,'Daftar Koreksi'!$G$5:$G$92,G$2,'Daftar Koreksi'!$D$5:$D$92,$A47)</f>
        <v>0</v>
      </c>
      <c r="H47" s="100">
        <f>SUMIFS('Daftar Koreksi'!$H$5:$H$92,'Daftar Koreksi'!$G$5:$G$92,H$2,'Daftar Koreksi'!$D$5:$D$92,$A47)</f>
        <v>0</v>
      </c>
      <c r="I47" s="100">
        <f>SUMIFS('Daftar Koreksi'!$H$5:$H$92,'Daftar Koreksi'!$G$5:$G$92,I$2,'Daftar Koreksi'!$D$5:$D$92,$A47)</f>
        <v>0</v>
      </c>
      <c r="J47" s="100">
        <f>SUMIFS('Daftar Koreksi'!$H$5:$H$92,'Daftar Koreksi'!$G$5:$G$92,J$2,'Daftar Koreksi'!$D$5:$D$92,$A47)</f>
        <v>0</v>
      </c>
      <c r="K47" s="100">
        <f>SUMIFS('Daftar Koreksi'!$H$5:$H$92,'Daftar Koreksi'!$G$5:$G$92,K$2,'Daftar Koreksi'!$D$5:$D$92,$A47)</f>
        <v>0</v>
      </c>
      <c r="L47" s="100">
        <f t="shared" si="2"/>
        <v>3895309</v>
      </c>
      <c r="M47" s="114">
        <f>SUMIFS('Daftar Koreksi'!$I$5:$I$92,'Daftar Koreksi'!$D$5:$D$92,'Mutasi Neraca'!$A47,'Daftar Koreksi'!$G$5:$G$92,'Mutasi Neraca'!M$2)</f>
        <v>-389531</v>
      </c>
      <c r="N47" s="114">
        <f>SUMIFS('Daftar Koreksi'!$I$5:$I$92,'Daftar Koreksi'!$D$5:$D$92,'Mutasi Neraca'!$A47,'Daftar Koreksi'!$G$5:$G$92,'Mutasi Neraca'!N$2)</f>
        <v>0</v>
      </c>
      <c r="O47" s="114">
        <f>SUMIFS('Daftar Koreksi'!$I$5:$I$92,'Daftar Koreksi'!$D$5:$D$92,'Mutasi Neraca'!$A47,'Daftar Koreksi'!$G$5:$G$92,'Mutasi Neraca'!O$2)</f>
        <v>0</v>
      </c>
      <c r="P47" s="114">
        <f>SUMIFS('Daftar Koreksi'!$I$5:$I$92,'Daftar Koreksi'!$D$5:$D$92,'Mutasi Neraca'!$A47,'Daftar Koreksi'!$G$5:$G$92,'Mutasi Neraca'!P$2)</f>
        <v>0</v>
      </c>
      <c r="Q47" s="114">
        <f>SUMIFS('Daftar Koreksi'!$I$5:$I$92,'Daftar Koreksi'!$D$5:$D$92,'Mutasi Neraca'!$A47,'Daftar Koreksi'!$G$5:$G$92,'Mutasi Neraca'!Q$2)</f>
        <v>0</v>
      </c>
      <c r="R47" s="114">
        <f t="shared" si="3"/>
        <v>-389531</v>
      </c>
      <c r="S47" s="103" t="s">
        <v>2223</v>
      </c>
    </row>
    <row r="48" spans="1:19" s="98" customFormat="1">
      <c r="A48" s="98" t="s">
        <v>702</v>
      </c>
      <c r="B48" s="98" t="s">
        <v>1839</v>
      </c>
      <c r="C48" s="100">
        <f>SUMIFS('Daftar Koreksi'!$H$5:$H$92,'Daftar Koreksi'!$G$5:$G$92,C$2,'Daftar Koreksi'!$D$5:$D$92,$A48)</f>
        <v>0</v>
      </c>
      <c r="D48" s="100">
        <f>SUMIFS('Daftar Koreksi'!$H$5:$H$92,'Daftar Koreksi'!$G$5:$G$92,D$2,'Daftar Koreksi'!$D$5:$D$92,$A48)</f>
        <v>0</v>
      </c>
      <c r="E48" s="112">
        <f>SUMIFS('Daftar Koreksi'!$H$5:$H$92,'Daftar Koreksi'!$G$5:$G$92,E$2,'Daftar Koreksi'!$D$5:$D$92,$A48)</f>
        <v>3895309</v>
      </c>
      <c r="F48" s="100">
        <f>SUMIFS('Daftar Koreksi'!$H$5:$H$92,'Daftar Koreksi'!$G$5:$G$92,F$2,'Daftar Koreksi'!$D$5:$D$92,$A48)</f>
        <v>0</v>
      </c>
      <c r="G48" s="100">
        <f>SUMIFS('Daftar Koreksi'!$H$5:$H$92,'Daftar Koreksi'!$G$5:$G$92,G$2,'Daftar Koreksi'!$D$5:$D$92,$A48)</f>
        <v>0</v>
      </c>
      <c r="H48" s="100">
        <f>SUMIFS('Daftar Koreksi'!$H$5:$H$92,'Daftar Koreksi'!$G$5:$G$92,H$2,'Daftar Koreksi'!$D$5:$D$92,$A48)</f>
        <v>0</v>
      </c>
      <c r="I48" s="100">
        <f>SUMIFS('Daftar Koreksi'!$H$5:$H$92,'Daftar Koreksi'!$G$5:$G$92,I$2,'Daftar Koreksi'!$D$5:$D$92,$A48)</f>
        <v>0</v>
      </c>
      <c r="J48" s="100">
        <f>SUMIFS('Daftar Koreksi'!$H$5:$H$92,'Daftar Koreksi'!$G$5:$G$92,J$2,'Daftar Koreksi'!$D$5:$D$92,$A48)</f>
        <v>0</v>
      </c>
      <c r="K48" s="100">
        <f>SUMIFS('Daftar Koreksi'!$H$5:$H$92,'Daftar Koreksi'!$G$5:$G$92,K$2,'Daftar Koreksi'!$D$5:$D$92,$A48)</f>
        <v>0</v>
      </c>
      <c r="L48" s="100">
        <f t="shared" si="2"/>
        <v>3895309</v>
      </c>
      <c r="M48" s="114">
        <f>SUMIFS('Daftar Koreksi'!$I$5:$I$92,'Daftar Koreksi'!$D$5:$D$92,'Mutasi Neraca'!$A48,'Daftar Koreksi'!$G$5:$G$92,'Mutasi Neraca'!M$2)</f>
        <v>-389531</v>
      </c>
      <c r="N48" s="114">
        <f>SUMIFS('Daftar Koreksi'!$I$5:$I$92,'Daftar Koreksi'!$D$5:$D$92,'Mutasi Neraca'!$A48,'Daftar Koreksi'!$G$5:$G$92,'Mutasi Neraca'!N$2)</f>
        <v>0</v>
      </c>
      <c r="O48" s="114">
        <f>SUMIFS('Daftar Koreksi'!$I$5:$I$92,'Daftar Koreksi'!$D$5:$D$92,'Mutasi Neraca'!$A48,'Daftar Koreksi'!$G$5:$G$92,'Mutasi Neraca'!O$2)</f>
        <v>0</v>
      </c>
      <c r="P48" s="114">
        <f>SUMIFS('Daftar Koreksi'!$I$5:$I$92,'Daftar Koreksi'!$D$5:$D$92,'Mutasi Neraca'!$A48,'Daftar Koreksi'!$G$5:$G$92,'Mutasi Neraca'!P$2)</f>
        <v>0</v>
      </c>
      <c r="Q48" s="114">
        <f>SUMIFS('Daftar Koreksi'!$I$5:$I$92,'Daftar Koreksi'!$D$5:$D$92,'Mutasi Neraca'!$A48,'Daftar Koreksi'!$G$5:$G$92,'Mutasi Neraca'!Q$2)</f>
        <v>0</v>
      </c>
      <c r="R48" s="114">
        <f t="shared" si="3"/>
        <v>-389531</v>
      </c>
      <c r="S48" s="103" t="s">
        <v>2223</v>
      </c>
    </row>
    <row r="49" spans="1:19" s="98" customFormat="1">
      <c r="A49" s="98" t="s">
        <v>705</v>
      </c>
      <c r="B49" s="98" t="s">
        <v>1842</v>
      </c>
      <c r="C49" s="100">
        <f>SUMIFS('Daftar Koreksi'!$H$5:$H$92,'Daftar Koreksi'!$G$5:$G$92,C$2,'Daftar Koreksi'!$D$5:$D$92,$A49)</f>
        <v>0</v>
      </c>
      <c r="D49" s="100">
        <f>SUMIFS('Daftar Koreksi'!$H$5:$H$92,'Daftar Koreksi'!$G$5:$G$92,D$2,'Daftar Koreksi'!$D$5:$D$92,$A49)</f>
        <v>0</v>
      </c>
      <c r="E49" s="112">
        <f>SUMIFS('Daftar Koreksi'!$H$5:$H$92,'Daftar Koreksi'!$G$5:$G$92,E$2,'Daftar Koreksi'!$D$5:$D$92,$A49)</f>
        <v>3895309</v>
      </c>
      <c r="F49" s="100">
        <f>SUMIFS('Daftar Koreksi'!$H$5:$H$92,'Daftar Koreksi'!$G$5:$G$92,F$2,'Daftar Koreksi'!$D$5:$D$92,$A49)</f>
        <v>0</v>
      </c>
      <c r="G49" s="100">
        <f>SUMIFS('Daftar Koreksi'!$H$5:$H$92,'Daftar Koreksi'!$G$5:$G$92,G$2,'Daftar Koreksi'!$D$5:$D$92,$A49)</f>
        <v>0</v>
      </c>
      <c r="H49" s="100">
        <f>SUMIFS('Daftar Koreksi'!$H$5:$H$92,'Daftar Koreksi'!$G$5:$G$92,H$2,'Daftar Koreksi'!$D$5:$D$92,$A49)</f>
        <v>0</v>
      </c>
      <c r="I49" s="100">
        <f>SUMIFS('Daftar Koreksi'!$H$5:$H$92,'Daftar Koreksi'!$G$5:$G$92,I$2,'Daftar Koreksi'!$D$5:$D$92,$A49)</f>
        <v>0</v>
      </c>
      <c r="J49" s="100">
        <f>SUMIFS('Daftar Koreksi'!$H$5:$H$92,'Daftar Koreksi'!$G$5:$G$92,J$2,'Daftar Koreksi'!$D$5:$D$92,$A49)</f>
        <v>0</v>
      </c>
      <c r="K49" s="100">
        <f>SUMIFS('Daftar Koreksi'!$H$5:$H$92,'Daftar Koreksi'!$G$5:$G$92,K$2,'Daftar Koreksi'!$D$5:$D$92,$A49)</f>
        <v>0</v>
      </c>
      <c r="L49" s="100">
        <f t="shared" si="2"/>
        <v>3895309</v>
      </c>
      <c r="M49" s="114">
        <f>SUMIFS('Daftar Koreksi'!$I$5:$I$92,'Daftar Koreksi'!$D$5:$D$92,'Mutasi Neraca'!$A49,'Daftar Koreksi'!$G$5:$G$92,'Mutasi Neraca'!M$2)</f>
        <v>-389531</v>
      </c>
      <c r="N49" s="114">
        <f>SUMIFS('Daftar Koreksi'!$I$5:$I$92,'Daftar Koreksi'!$D$5:$D$92,'Mutasi Neraca'!$A49,'Daftar Koreksi'!$G$5:$G$92,'Mutasi Neraca'!N$2)</f>
        <v>0</v>
      </c>
      <c r="O49" s="114">
        <f>SUMIFS('Daftar Koreksi'!$I$5:$I$92,'Daftar Koreksi'!$D$5:$D$92,'Mutasi Neraca'!$A49,'Daftar Koreksi'!$G$5:$G$92,'Mutasi Neraca'!O$2)</f>
        <v>0</v>
      </c>
      <c r="P49" s="114">
        <f>SUMIFS('Daftar Koreksi'!$I$5:$I$92,'Daftar Koreksi'!$D$5:$D$92,'Mutasi Neraca'!$A49,'Daftar Koreksi'!$G$5:$G$92,'Mutasi Neraca'!P$2)</f>
        <v>0</v>
      </c>
      <c r="Q49" s="114">
        <f>SUMIFS('Daftar Koreksi'!$I$5:$I$92,'Daftar Koreksi'!$D$5:$D$92,'Mutasi Neraca'!$A49,'Daftar Koreksi'!$G$5:$G$92,'Mutasi Neraca'!Q$2)</f>
        <v>0</v>
      </c>
      <c r="R49" s="114">
        <f t="shared" si="3"/>
        <v>-389531</v>
      </c>
      <c r="S49" s="103" t="s">
        <v>2223</v>
      </c>
    </row>
    <row r="50" spans="1:19" s="98" customFormat="1">
      <c r="A50" s="98" t="s">
        <v>722</v>
      </c>
      <c r="B50" s="98" t="s">
        <v>1859</v>
      </c>
      <c r="C50" s="100">
        <f>SUMIFS('Daftar Koreksi'!$H$5:$H$92,'Daftar Koreksi'!$G$5:$G$92,C$2,'Daftar Koreksi'!$D$5:$D$92,$A50)</f>
        <v>0</v>
      </c>
      <c r="D50" s="100">
        <f>SUMIFS('Daftar Koreksi'!$H$5:$H$92,'Daftar Koreksi'!$G$5:$G$92,D$2,'Daftar Koreksi'!$D$5:$D$92,$A50)</f>
        <v>0</v>
      </c>
      <c r="E50" s="112">
        <f>SUMIFS('Daftar Koreksi'!$H$5:$H$92,'Daftar Koreksi'!$G$5:$G$92,E$2,'Daftar Koreksi'!$D$5:$D$92,$A50)</f>
        <v>3895309</v>
      </c>
      <c r="F50" s="100">
        <f>SUMIFS('Daftar Koreksi'!$H$5:$H$92,'Daftar Koreksi'!$G$5:$G$92,F$2,'Daftar Koreksi'!$D$5:$D$92,$A50)</f>
        <v>0</v>
      </c>
      <c r="G50" s="100">
        <f>SUMIFS('Daftar Koreksi'!$H$5:$H$92,'Daftar Koreksi'!$G$5:$G$92,G$2,'Daftar Koreksi'!$D$5:$D$92,$A50)</f>
        <v>0</v>
      </c>
      <c r="H50" s="100">
        <f>SUMIFS('Daftar Koreksi'!$H$5:$H$92,'Daftar Koreksi'!$G$5:$G$92,H$2,'Daftar Koreksi'!$D$5:$D$92,$A50)</f>
        <v>0</v>
      </c>
      <c r="I50" s="100">
        <f>SUMIFS('Daftar Koreksi'!$H$5:$H$92,'Daftar Koreksi'!$G$5:$G$92,I$2,'Daftar Koreksi'!$D$5:$D$92,$A50)</f>
        <v>0</v>
      </c>
      <c r="J50" s="100">
        <f>SUMIFS('Daftar Koreksi'!$H$5:$H$92,'Daftar Koreksi'!$G$5:$G$92,J$2,'Daftar Koreksi'!$D$5:$D$92,$A50)</f>
        <v>0</v>
      </c>
      <c r="K50" s="100">
        <f>SUMIFS('Daftar Koreksi'!$H$5:$H$92,'Daftar Koreksi'!$G$5:$G$92,K$2,'Daftar Koreksi'!$D$5:$D$92,$A50)</f>
        <v>0</v>
      </c>
      <c r="L50" s="100">
        <f t="shared" si="2"/>
        <v>3895309</v>
      </c>
      <c r="M50" s="114">
        <f>SUMIFS('Daftar Koreksi'!$I$5:$I$92,'Daftar Koreksi'!$D$5:$D$92,'Mutasi Neraca'!$A50,'Daftar Koreksi'!$G$5:$G$92,'Mutasi Neraca'!M$2)</f>
        <v>-389531</v>
      </c>
      <c r="N50" s="114">
        <f>SUMIFS('Daftar Koreksi'!$I$5:$I$92,'Daftar Koreksi'!$D$5:$D$92,'Mutasi Neraca'!$A50,'Daftar Koreksi'!$G$5:$G$92,'Mutasi Neraca'!N$2)</f>
        <v>0</v>
      </c>
      <c r="O50" s="114">
        <f>SUMIFS('Daftar Koreksi'!$I$5:$I$92,'Daftar Koreksi'!$D$5:$D$92,'Mutasi Neraca'!$A50,'Daftar Koreksi'!$G$5:$G$92,'Mutasi Neraca'!O$2)</f>
        <v>0</v>
      </c>
      <c r="P50" s="114">
        <f>SUMIFS('Daftar Koreksi'!$I$5:$I$92,'Daftar Koreksi'!$D$5:$D$92,'Mutasi Neraca'!$A50,'Daftar Koreksi'!$G$5:$G$92,'Mutasi Neraca'!P$2)</f>
        <v>0</v>
      </c>
      <c r="Q50" s="114">
        <f>SUMIFS('Daftar Koreksi'!$I$5:$I$92,'Daftar Koreksi'!$D$5:$D$92,'Mutasi Neraca'!$A50,'Daftar Koreksi'!$G$5:$G$92,'Mutasi Neraca'!Q$2)</f>
        <v>0</v>
      </c>
      <c r="R50" s="114">
        <f t="shared" si="3"/>
        <v>-389531</v>
      </c>
      <c r="S50" s="103" t="s">
        <v>2223</v>
      </c>
    </row>
    <row r="51" spans="1:19" s="98" customFormat="1">
      <c r="A51" s="98" t="s">
        <v>727</v>
      </c>
      <c r="B51" s="98" t="s">
        <v>1864</v>
      </c>
      <c r="C51" s="100">
        <f>SUMIFS('Daftar Koreksi'!$H$5:$H$92,'Daftar Koreksi'!$G$5:$G$92,C$2,'Daftar Koreksi'!$D$5:$D$92,$A51)</f>
        <v>0</v>
      </c>
      <c r="D51" s="100">
        <f>SUMIFS('Daftar Koreksi'!$H$5:$H$92,'Daftar Koreksi'!$G$5:$G$92,D$2,'Daftar Koreksi'!$D$5:$D$92,$A51)</f>
        <v>0</v>
      </c>
      <c r="E51" s="112">
        <f>SUMIFS('Daftar Koreksi'!$H$5:$H$92,'Daftar Koreksi'!$G$5:$G$92,E$2,'Daftar Koreksi'!$D$5:$D$92,$A51)</f>
        <v>3895309</v>
      </c>
      <c r="F51" s="100">
        <f>SUMIFS('Daftar Koreksi'!$H$5:$H$92,'Daftar Koreksi'!$G$5:$G$92,F$2,'Daftar Koreksi'!$D$5:$D$92,$A51)</f>
        <v>0</v>
      </c>
      <c r="G51" s="100">
        <f>SUMIFS('Daftar Koreksi'!$H$5:$H$92,'Daftar Koreksi'!$G$5:$G$92,G$2,'Daftar Koreksi'!$D$5:$D$92,$A51)</f>
        <v>0</v>
      </c>
      <c r="H51" s="100">
        <f>SUMIFS('Daftar Koreksi'!$H$5:$H$92,'Daftar Koreksi'!$G$5:$G$92,H$2,'Daftar Koreksi'!$D$5:$D$92,$A51)</f>
        <v>0</v>
      </c>
      <c r="I51" s="100">
        <f>SUMIFS('Daftar Koreksi'!$H$5:$H$92,'Daftar Koreksi'!$G$5:$G$92,I$2,'Daftar Koreksi'!$D$5:$D$92,$A51)</f>
        <v>0</v>
      </c>
      <c r="J51" s="100">
        <f>SUMIFS('Daftar Koreksi'!$H$5:$H$92,'Daftar Koreksi'!$G$5:$G$92,J$2,'Daftar Koreksi'!$D$5:$D$92,$A51)</f>
        <v>0</v>
      </c>
      <c r="K51" s="100">
        <f>SUMIFS('Daftar Koreksi'!$H$5:$H$92,'Daftar Koreksi'!$G$5:$G$92,K$2,'Daftar Koreksi'!$D$5:$D$92,$A51)</f>
        <v>0</v>
      </c>
      <c r="L51" s="100">
        <f t="shared" si="2"/>
        <v>3895309</v>
      </c>
      <c r="M51" s="114">
        <f>SUMIFS('Daftar Koreksi'!$I$5:$I$92,'Daftar Koreksi'!$D$5:$D$92,'Mutasi Neraca'!$A51,'Daftar Koreksi'!$G$5:$G$92,'Mutasi Neraca'!M$2)</f>
        <v>-389531</v>
      </c>
      <c r="N51" s="114">
        <f>SUMIFS('Daftar Koreksi'!$I$5:$I$92,'Daftar Koreksi'!$D$5:$D$92,'Mutasi Neraca'!$A51,'Daftar Koreksi'!$G$5:$G$92,'Mutasi Neraca'!N$2)</f>
        <v>0</v>
      </c>
      <c r="O51" s="114">
        <f>SUMIFS('Daftar Koreksi'!$I$5:$I$92,'Daftar Koreksi'!$D$5:$D$92,'Mutasi Neraca'!$A51,'Daftar Koreksi'!$G$5:$G$92,'Mutasi Neraca'!O$2)</f>
        <v>0</v>
      </c>
      <c r="P51" s="114">
        <f>SUMIFS('Daftar Koreksi'!$I$5:$I$92,'Daftar Koreksi'!$D$5:$D$92,'Mutasi Neraca'!$A51,'Daftar Koreksi'!$G$5:$G$92,'Mutasi Neraca'!P$2)</f>
        <v>0</v>
      </c>
      <c r="Q51" s="114">
        <f>SUMIFS('Daftar Koreksi'!$I$5:$I$92,'Daftar Koreksi'!$D$5:$D$92,'Mutasi Neraca'!$A51,'Daftar Koreksi'!$G$5:$G$92,'Mutasi Neraca'!Q$2)</f>
        <v>0</v>
      </c>
      <c r="R51" s="114">
        <f t="shared" si="3"/>
        <v>-389531</v>
      </c>
      <c r="S51" s="103" t="s">
        <v>2223</v>
      </c>
    </row>
    <row r="52" spans="1:19" s="98" customFormat="1">
      <c r="A52" s="98" t="s">
        <v>750</v>
      </c>
      <c r="B52" s="98" t="s">
        <v>1886</v>
      </c>
      <c r="C52" s="100">
        <f>SUMIFS('Daftar Koreksi'!$H$5:$H$92,'Daftar Koreksi'!$G$5:$G$92,C$2,'Daftar Koreksi'!$D$5:$D$92,$A52)</f>
        <v>0</v>
      </c>
      <c r="D52" s="100">
        <f>SUMIFS('Daftar Koreksi'!$H$5:$H$92,'Daftar Koreksi'!$G$5:$G$92,D$2,'Daftar Koreksi'!$D$5:$D$92,$A52)</f>
        <v>0</v>
      </c>
      <c r="E52" s="112">
        <f>SUMIFS('Daftar Koreksi'!$H$5:$H$92,'Daftar Koreksi'!$G$5:$G$92,E$2,'Daftar Koreksi'!$D$5:$D$92,$A52)</f>
        <v>3895309</v>
      </c>
      <c r="F52" s="100">
        <f>SUMIFS('Daftar Koreksi'!$H$5:$H$92,'Daftar Koreksi'!$G$5:$G$92,F$2,'Daftar Koreksi'!$D$5:$D$92,$A52)</f>
        <v>0</v>
      </c>
      <c r="G52" s="100">
        <f>SUMIFS('Daftar Koreksi'!$H$5:$H$92,'Daftar Koreksi'!$G$5:$G$92,G$2,'Daftar Koreksi'!$D$5:$D$92,$A52)</f>
        <v>0</v>
      </c>
      <c r="H52" s="100">
        <f>SUMIFS('Daftar Koreksi'!$H$5:$H$92,'Daftar Koreksi'!$G$5:$G$92,H$2,'Daftar Koreksi'!$D$5:$D$92,$A52)</f>
        <v>0</v>
      </c>
      <c r="I52" s="100">
        <f>SUMIFS('Daftar Koreksi'!$H$5:$H$92,'Daftar Koreksi'!$G$5:$G$92,I$2,'Daftar Koreksi'!$D$5:$D$92,$A52)</f>
        <v>0</v>
      </c>
      <c r="J52" s="100">
        <f>SUMIFS('Daftar Koreksi'!$H$5:$H$92,'Daftar Koreksi'!$G$5:$G$92,J$2,'Daftar Koreksi'!$D$5:$D$92,$A52)</f>
        <v>0</v>
      </c>
      <c r="K52" s="100">
        <f>SUMIFS('Daftar Koreksi'!$H$5:$H$92,'Daftar Koreksi'!$G$5:$G$92,K$2,'Daftar Koreksi'!$D$5:$D$92,$A52)</f>
        <v>0</v>
      </c>
      <c r="L52" s="100">
        <f t="shared" si="2"/>
        <v>3895309</v>
      </c>
      <c r="M52" s="114">
        <f>SUMIFS('Daftar Koreksi'!$I$5:$I$92,'Daftar Koreksi'!$D$5:$D$92,'Mutasi Neraca'!$A52,'Daftar Koreksi'!$G$5:$G$92,'Mutasi Neraca'!M$2)</f>
        <v>-389531</v>
      </c>
      <c r="N52" s="114">
        <f>SUMIFS('Daftar Koreksi'!$I$5:$I$92,'Daftar Koreksi'!$D$5:$D$92,'Mutasi Neraca'!$A52,'Daftar Koreksi'!$G$5:$G$92,'Mutasi Neraca'!N$2)</f>
        <v>0</v>
      </c>
      <c r="O52" s="114">
        <f>SUMIFS('Daftar Koreksi'!$I$5:$I$92,'Daftar Koreksi'!$D$5:$D$92,'Mutasi Neraca'!$A52,'Daftar Koreksi'!$G$5:$G$92,'Mutasi Neraca'!O$2)</f>
        <v>0</v>
      </c>
      <c r="P52" s="114">
        <f>SUMIFS('Daftar Koreksi'!$I$5:$I$92,'Daftar Koreksi'!$D$5:$D$92,'Mutasi Neraca'!$A52,'Daftar Koreksi'!$G$5:$G$92,'Mutasi Neraca'!P$2)</f>
        <v>0</v>
      </c>
      <c r="Q52" s="114">
        <f>SUMIFS('Daftar Koreksi'!$I$5:$I$92,'Daftar Koreksi'!$D$5:$D$92,'Mutasi Neraca'!$A52,'Daftar Koreksi'!$G$5:$G$92,'Mutasi Neraca'!Q$2)</f>
        <v>0</v>
      </c>
      <c r="R52" s="114">
        <f t="shared" si="3"/>
        <v>-389531</v>
      </c>
      <c r="S52" s="103" t="s">
        <v>2223</v>
      </c>
    </row>
    <row r="53" spans="1:19" s="98" customFormat="1">
      <c r="A53" s="98" t="s">
        <v>492</v>
      </c>
      <c r="B53" s="98" t="s">
        <v>1630</v>
      </c>
      <c r="C53" s="100">
        <f>SUMIFS('Daftar Koreksi'!$H$5:$H$92,'Daftar Koreksi'!$G$5:$G$92,C$2,'Daftar Koreksi'!$D$5:$D$92,$A53)</f>
        <v>0</v>
      </c>
      <c r="D53" s="100">
        <f>SUMIFS('Daftar Koreksi'!$H$5:$H$92,'Daftar Koreksi'!$G$5:$G$92,D$2,'Daftar Koreksi'!$D$5:$D$92,$A53)</f>
        <v>0</v>
      </c>
      <c r="E53" s="112">
        <f>SUMIFS('Daftar Koreksi'!$H$5:$H$92,'Daftar Koreksi'!$G$5:$G$92,E$2,'Daftar Koreksi'!$D$5:$D$92,$A53)</f>
        <v>-12200000</v>
      </c>
      <c r="F53" s="112">
        <f>SUMIFS('Daftar Koreksi'!$H$5:$H$92,'Daftar Koreksi'!$G$5:$G$92,F$2,'Daftar Koreksi'!$D$5:$D$92,$A53)</f>
        <v>188707500</v>
      </c>
      <c r="G53" s="100">
        <f>SUMIFS('Daftar Koreksi'!$H$5:$H$92,'Daftar Koreksi'!$G$5:$G$92,G$2,'Daftar Koreksi'!$D$5:$D$92,$A53)</f>
        <v>0</v>
      </c>
      <c r="H53" s="100">
        <f>SUMIFS('Daftar Koreksi'!$H$5:$H$92,'Daftar Koreksi'!$G$5:$G$92,H$2,'Daftar Koreksi'!$D$5:$D$92,$A53)</f>
        <v>0</v>
      </c>
      <c r="I53" s="112">
        <f>SUMIFS('Daftar Koreksi'!$H$5:$H$92,'Daftar Koreksi'!$G$5:$G$92,I$2,'Daftar Koreksi'!$D$5:$D$92,$A53)</f>
        <v>-176507500</v>
      </c>
      <c r="J53" s="100">
        <f>SUMIFS('Daftar Koreksi'!$H$5:$H$92,'Daftar Koreksi'!$G$5:$G$92,J$2,'Daftar Koreksi'!$D$5:$D$92,$A53)</f>
        <v>0</v>
      </c>
      <c r="K53" s="100">
        <f>SUMIFS('Daftar Koreksi'!$H$5:$H$92,'Daftar Koreksi'!$G$5:$G$92,K$2,'Daftar Koreksi'!$D$5:$D$92,$A53)</f>
        <v>0</v>
      </c>
      <c r="L53" s="100">
        <f t="shared" si="2"/>
        <v>0</v>
      </c>
      <c r="M53" s="112">
        <f>SUMIFS('Daftar Koreksi'!$I$5:$I$92,'Daftar Koreksi'!$D$5:$D$92,'Mutasi Neraca'!$A53,'Daftar Koreksi'!$G$5:$G$92,'Mutasi Neraca'!M$2)</f>
        <v>4880000</v>
      </c>
      <c r="N53" s="112">
        <f>SUMIFS('Daftar Koreksi'!$I$5:$I$92,'Daftar Koreksi'!$D$5:$D$92,'Mutasi Neraca'!$A53,'Daftar Koreksi'!$G$5:$G$92,'Mutasi Neraca'!N$2)</f>
        <v>-8268214</v>
      </c>
      <c r="O53" s="114">
        <f>SUMIFS('Daftar Koreksi'!$I$5:$I$92,'Daftar Koreksi'!$D$5:$D$92,'Mutasi Neraca'!$A53,'Daftar Koreksi'!$G$5:$G$92,'Mutasi Neraca'!O$2)</f>
        <v>0</v>
      </c>
      <c r="P53" s="114">
        <f>SUMIFS('Daftar Koreksi'!$I$5:$I$92,'Daftar Koreksi'!$D$5:$D$92,'Mutasi Neraca'!$A53,'Daftar Koreksi'!$G$5:$G$92,'Mutasi Neraca'!P$2)</f>
        <v>0</v>
      </c>
      <c r="Q53" s="114">
        <f>SUMIFS('Daftar Koreksi'!$I$5:$I$92,'Daftar Koreksi'!$D$5:$D$92,'Mutasi Neraca'!$A53,'Daftar Koreksi'!$G$5:$G$92,'Mutasi Neraca'!Q$2)</f>
        <v>0</v>
      </c>
      <c r="R53" s="114">
        <f t="shared" si="3"/>
        <v>-3388214</v>
      </c>
      <c r="S53" s="104" t="s">
        <v>2224</v>
      </c>
    </row>
    <row r="54" spans="1:19" s="98" customFormat="1">
      <c r="A54" s="98" t="s">
        <v>1159</v>
      </c>
      <c r="B54" s="98" t="s">
        <v>1979</v>
      </c>
      <c r="C54" s="100">
        <f>SUMIFS('Daftar Koreksi'!$H$5:$H$92,'Daftar Koreksi'!$G$5:$G$92,C$2,'Daftar Koreksi'!$D$5:$D$92,$A54)</f>
        <v>0</v>
      </c>
      <c r="D54" s="100">
        <f>SUMIFS('Daftar Koreksi'!$H$5:$H$92,'Daftar Koreksi'!$G$5:$G$92,D$2,'Daftar Koreksi'!$D$5:$D$92,$A54)</f>
        <v>0</v>
      </c>
      <c r="E54" s="112">
        <f>SUMIFS('Daftar Koreksi'!$H$5:$H$92,'Daftar Koreksi'!$G$5:$G$92,E$2,'Daftar Koreksi'!$D$5:$D$92,$A54)</f>
        <v>1650000</v>
      </c>
      <c r="F54" s="100">
        <f>SUMIFS('Daftar Koreksi'!$H$5:$H$92,'Daftar Koreksi'!$G$5:$G$92,F$2,'Daftar Koreksi'!$D$5:$D$92,$A54)</f>
        <v>0</v>
      </c>
      <c r="G54" s="100">
        <f>SUMIFS('Daftar Koreksi'!$H$5:$H$92,'Daftar Koreksi'!$G$5:$G$92,G$2,'Daftar Koreksi'!$D$5:$D$92,$A54)</f>
        <v>0</v>
      </c>
      <c r="H54" s="100">
        <f>SUMIFS('Daftar Koreksi'!$H$5:$H$92,'Daftar Koreksi'!$G$5:$G$92,H$2,'Daftar Koreksi'!$D$5:$D$92,$A54)</f>
        <v>0</v>
      </c>
      <c r="I54" s="100">
        <f>SUMIFS('Daftar Koreksi'!$H$5:$H$92,'Daftar Koreksi'!$G$5:$G$92,I$2,'Daftar Koreksi'!$D$5:$D$92,$A54)</f>
        <v>0</v>
      </c>
      <c r="J54" s="100">
        <f>SUMIFS('Daftar Koreksi'!$H$5:$H$92,'Daftar Koreksi'!$G$5:$G$92,J$2,'Daftar Koreksi'!$D$5:$D$92,$A54)</f>
        <v>0</v>
      </c>
      <c r="K54" s="100">
        <f>SUMIFS('Daftar Koreksi'!$H$5:$H$92,'Daftar Koreksi'!$G$5:$G$92,K$2,'Daftar Koreksi'!$D$5:$D$92,$A54)</f>
        <v>0</v>
      </c>
      <c r="L54" s="100">
        <f t="shared" si="2"/>
        <v>1650000</v>
      </c>
      <c r="M54" s="112">
        <f>SUMIFS('Daftar Koreksi'!$I$5:$I$92,'Daftar Koreksi'!$D$5:$D$92,'Mutasi Neraca'!$A54,'Daftar Koreksi'!$G$5:$G$92,'Mutasi Neraca'!M$2)</f>
        <v>-330000</v>
      </c>
      <c r="N54" s="114">
        <f>SUMIFS('Daftar Koreksi'!$I$5:$I$92,'Daftar Koreksi'!$D$5:$D$92,'Mutasi Neraca'!$A54,'Daftar Koreksi'!$G$5:$G$92,'Mutasi Neraca'!N$2)</f>
        <v>0</v>
      </c>
      <c r="O54" s="114">
        <f>SUMIFS('Daftar Koreksi'!$I$5:$I$92,'Daftar Koreksi'!$D$5:$D$92,'Mutasi Neraca'!$A54,'Daftar Koreksi'!$G$5:$G$92,'Mutasi Neraca'!O$2)</f>
        <v>0</v>
      </c>
      <c r="P54" s="114">
        <f>SUMIFS('Daftar Koreksi'!$I$5:$I$92,'Daftar Koreksi'!$D$5:$D$92,'Mutasi Neraca'!$A54,'Daftar Koreksi'!$G$5:$G$92,'Mutasi Neraca'!P$2)</f>
        <v>0</v>
      </c>
      <c r="Q54" s="114">
        <f>SUMIFS('Daftar Koreksi'!$I$5:$I$92,'Daftar Koreksi'!$D$5:$D$92,'Mutasi Neraca'!$A54,'Daftar Koreksi'!$G$5:$G$92,'Mutasi Neraca'!Q$2)</f>
        <v>0</v>
      </c>
      <c r="R54" s="114">
        <f t="shared" si="3"/>
        <v>-330000</v>
      </c>
      <c r="S54" s="103" t="s">
        <v>2225</v>
      </c>
    </row>
    <row r="55" spans="1:19" s="98" customFormat="1">
      <c r="A55" s="98" t="s">
        <v>1161</v>
      </c>
      <c r="B55" s="98" t="s">
        <v>1978</v>
      </c>
      <c r="C55" s="100">
        <f>SUMIFS('Daftar Koreksi'!$H$5:$H$92,'Daftar Koreksi'!$G$5:$G$92,C$2,'Daftar Koreksi'!$D$5:$D$92,$A55)</f>
        <v>0</v>
      </c>
      <c r="D55" s="100">
        <f>SUMIFS('Daftar Koreksi'!$H$5:$H$92,'Daftar Koreksi'!$G$5:$G$92,D$2,'Daftar Koreksi'!$D$5:$D$92,$A55)</f>
        <v>0</v>
      </c>
      <c r="E55" s="100">
        <f>SUMIFS('Daftar Koreksi'!$H$5:$H$92,'Daftar Koreksi'!$G$5:$G$92,E$2,'Daftar Koreksi'!$D$5:$D$92,$A55)</f>
        <v>0</v>
      </c>
      <c r="F55" s="100">
        <f>SUMIFS('Daftar Koreksi'!$H$5:$H$92,'Daftar Koreksi'!$G$5:$G$92,F$2,'Daftar Koreksi'!$D$5:$D$92,$A55)</f>
        <v>0</v>
      </c>
      <c r="G55" s="100">
        <f>SUMIFS('Daftar Koreksi'!$H$5:$H$92,'Daftar Koreksi'!$G$5:$G$92,G$2,'Daftar Koreksi'!$D$5:$D$92,$A55)</f>
        <v>0</v>
      </c>
      <c r="H55" s="100">
        <f>SUMIFS('Daftar Koreksi'!$H$5:$H$92,'Daftar Koreksi'!$G$5:$G$92,H$2,'Daftar Koreksi'!$D$5:$D$92,$A55)</f>
        <v>0</v>
      </c>
      <c r="I55" s="100">
        <f>SUMIFS('Daftar Koreksi'!$H$5:$H$92,'Daftar Koreksi'!$G$5:$G$92,I$2,'Daftar Koreksi'!$D$5:$D$92,$A55)</f>
        <v>0</v>
      </c>
      <c r="J55" s="112">
        <f>SUMIFS('Daftar Koreksi'!$H$5:$H$92,'Daftar Koreksi'!$G$5:$G$92,J$2,'Daftar Koreksi'!$D$5:$D$92,$A55)</f>
        <v>-83710000</v>
      </c>
      <c r="K55" s="100">
        <f>SUMIFS('Daftar Koreksi'!$H$5:$H$92,'Daftar Koreksi'!$G$5:$G$92,K$2,'Daftar Koreksi'!$D$5:$D$92,$A55)</f>
        <v>0</v>
      </c>
      <c r="L55" s="100">
        <f t="shared" si="2"/>
        <v>-83710000</v>
      </c>
      <c r="M55" s="114">
        <f>SUMIFS('Daftar Koreksi'!$I$5:$I$92,'Daftar Koreksi'!$D$5:$D$92,'Mutasi Neraca'!$A55,'Daftar Koreksi'!$G$5:$G$92,'Mutasi Neraca'!M$2)</f>
        <v>0</v>
      </c>
      <c r="N55" s="114">
        <f>SUMIFS('Daftar Koreksi'!$I$5:$I$92,'Daftar Koreksi'!$D$5:$D$92,'Mutasi Neraca'!$A55,'Daftar Koreksi'!$G$5:$G$92,'Mutasi Neraca'!N$2)</f>
        <v>0</v>
      </c>
      <c r="O55" s="114">
        <f>SUMIFS('Daftar Koreksi'!$I$5:$I$92,'Daftar Koreksi'!$D$5:$D$92,'Mutasi Neraca'!$A55,'Daftar Koreksi'!$G$5:$G$92,'Mutasi Neraca'!O$2)</f>
        <v>0</v>
      </c>
      <c r="P55" s="114">
        <f>SUMIFS('Daftar Koreksi'!$I$5:$I$92,'Daftar Koreksi'!$D$5:$D$92,'Mutasi Neraca'!$A55,'Daftar Koreksi'!$G$5:$G$92,'Mutasi Neraca'!P$2)</f>
        <v>0</v>
      </c>
      <c r="Q55" s="114">
        <f>SUMIFS('Daftar Koreksi'!$I$5:$I$92,'Daftar Koreksi'!$D$5:$D$92,'Mutasi Neraca'!$A55,'Daftar Koreksi'!$G$5:$G$92,'Mutasi Neraca'!Q$2)</f>
        <v>0</v>
      </c>
      <c r="R55" s="114">
        <f t="shared" si="3"/>
        <v>0</v>
      </c>
      <c r="S55" s="103" t="s">
        <v>2226</v>
      </c>
    </row>
    <row r="56" spans="1:19" s="98" customFormat="1">
      <c r="A56" s="98" t="s">
        <v>1163</v>
      </c>
      <c r="B56" s="98" t="s">
        <v>1970</v>
      </c>
      <c r="C56" s="100">
        <f>SUMIFS('Daftar Koreksi'!$H$5:$H$92,'Daftar Koreksi'!$G$5:$G$92,C$2,'Daftar Koreksi'!$D$5:$D$92,$A56)</f>
        <v>0</v>
      </c>
      <c r="D56" s="100">
        <f>SUMIFS('Daftar Koreksi'!$H$5:$H$92,'Daftar Koreksi'!$G$5:$G$92,D$2,'Daftar Koreksi'!$D$5:$D$92,$A56)</f>
        <v>0</v>
      </c>
      <c r="E56" s="100">
        <f>SUMIFS('Daftar Koreksi'!$H$5:$H$92,'Daftar Koreksi'!$G$5:$G$92,E$2,'Daftar Koreksi'!$D$5:$D$92,$A56)</f>
        <v>0</v>
      </c>
      <c r="F56" s="100">
        <f>SUMIFS('Daftar Koreksi'!$H$5:$H$92,'Daftar Koreksi'!$G$5:$G$92,F$2,'Daftar Koreksi'!$D$5:$D$92,$A56)</f>
        <v>0</v>
      </c>
      <c r="G56" s="100">
        <f>SUMIFS('Daftar Koreksi'!$H$5:$H$92,'Daftar Koreksi'!$G$5:$G$92,G$2,'Daftar Koreksi'!$D$5:$D$92,$A56)</f>
        <v>0</v>
      </c>
      <c r="H56" s="100">
        <f>SUMIFS('Daftar Koreksi'!$H$5:$H$92,'Daftar Koreksi'!$G$5:$G$92,H$2,'Daftar Koreksi'!$D$5:$D$92,$A56)</f>
        <v>0</v>
      </c>
      <c r="I56" s="100">
        <f>SUMIFS('Daftar Koreksi'!$H$5:$H$92,'Daftar Koreksi'!$G$5:$G$92,I$2,'Daftar Koreksi'!$D$5:$D$92,$A56)</f>
        <v>0</v>
      </c>
      <c r="J56" s="112">
        <f>SUMIFS('Daftar Koreksi'!$H$5:$H$92,'Daftar Koreksi'!$G$5:$G$92,J$2,'Daftar Koreksi'!$D$5:$D$92,$A56)</f>
        <v>-26325000</v>
      </c>
      <c r="K56" s="100">
        <f>SUMIFS('Daftar Koreksi'!$H$5:$H$92,'Daftar Koreksi'!$G$5:$G$92,K$2,'Daftar Koreksi'!$D$5:$D$92,$A56)</f>
        <v>0</v>
      </c>
      <c r="L56" s="100">
        <f t="shared" si="2"/>
        <v>-26325000</v>
      </c>
      <c r="M56" s="114">
        <f>SUMIFS('Daftar Koreksi'!$I$5:$I$92,'Daftar Koreksi'!$D$5:$D$92,'Mutasi Neraca'!$A56,'Daftar Koreksi'!$G$5:$G$92,'Mutasi Neraca'!M$2)</f>
        <v>0</v>
      </c>
      <c r="N56" s="114">
        <f>SUMIFS('Daftar Koreksi'!$I$5:$I$92,'Daftar Koreksi'!$D$5:$D$92,'Mutasi Neraca'!$A56,'Daftar Koreksi'!$G$5:$G$92,'Mutasi Neraca'!N$2)</f>
        <v>0</v>
      </c>
      <c r="O56" s="114">
        <f>SUMIFS('Daftar Koreksi'!$I$5:$I$92,'Daftar Koreksi'!$D$5:$D$92,'Mutasi Neraca'!$A56,'Daftar Koreksi'!$G$5:$G$92,'Mutasi Neraca'!O$2)</f>
        <v>0</v>
      </c>
      <c r="P56" s="114">
        <f>SUMIFS('Daftar Koreksi'!$I$5:$I$92,'Daftar Koreksi'!$D$5:$D$92,'Mutasi Neraca'!$A56,'Daftar Koreksi'!$G$5:$G$92,'Mutasi Neraca'!P$2)</f>
        <v>0</v>
      </c>
      <c r="Q56" s="114">
        <f>SUMIFS('Daftar Koreksi'!$I$5:$I$92,'Daftar Koreksi'!$D$5:$D$92,'Mutasi Neraca'!$A56,'Daftar Koreksi'!$G$5:$G$92,'Mutasi Neraca'!Q$2)</f>
        <v>0</v>
      </c>
      <c r="R56" s="114">
        <f t="shared" si="3"/>
        <v>0</v>
      </c>
      <c r="S56" s="103" t="s">
        <v>2227</v>
      </c>
    </row>
    <row r="57" spans="1:19" s="98" customFormat="1">
      <c r="A57" s="113" t="s">
        <v>825</v>
      </c>
      <c r="B57" s="98" t="s">
        <v>1961</v>
      </c>
      <c r="C57" s="100">
        <f>SUMIFS('Daftar Koreksi'!$H$5:$H$92,'Daftar Koreksi'!$G$5:$G$92,C$2,'Daftar Koreksi'!$D$5:$D$92,$A57)</f>
        <v>0</v>
      </c>
      <c r="D57" s="100">
        <f>SUMIFS('Daftar Koreksi'!$H$5:$H$92,'Daftar Koreksi'!$G$5:$G$92,D$2,'Daftar Koreksi'!$D$5:$D$92,$A57)</f>
        <v>0</v>
      </c>
      <c r="E57" s="100">
        <f>SUMIFS('Daftar Koreksi'!$H$5:$H$92,'Daftar Koreksi'!$G$5:$G$92,E$2,'Daftar Koreksi'!$D$5:$D$92,$A57)</f>
        <v>0</v>
      </c>
      <c r="F57" s="112">
        <f>SUMIFS('Daftar Koreksi'!$H$5:$H$92,'Daftar Koreksi'!$G$5:$G$92,F$2,'Daftar Koreksi'!$D$5:$D$92,$A57)</f>
        <v>-969764000</v>
      </c>
      <c r="G57" s="100">
        <f>SUMIFS('Daftar Koreksi'!$H$5:$H$92,'Daftar Koreksi'!$G$5:$G$92,G$2,'Daftar Koreksi'!$D$5:$D$92,$A57)</f>
        <v>0</v>
      </c>
      <c r="H57" s="100">
        <f>SUMIFS('Daftar Koreksi'!$H$5:$H$92,'Daftar Koreksi'!$G$5:$G$92,H$2,'Daftar Koreksi'!$D$5:$D$92,$A57)</f>
        <v>0</v>
      </c>
      <c r="I57" s="100">
        <f>SUMIFS('Daftar Koreksi'!$H$5:$H$92,'Daftar Koreksi'!$G$5:$G$92,I$2,'Daftar Koreksi'!$D$5:$D$92,$A57)</f>
        <v>0</v>
      </c>
      <c r="J57" s="100">
        <f>SUMIFS('Daftar Koreksi'!$H$5:$H$92,'Daftar Koreksi'!$G$5:$G$92,J$2,'Daftar Koreksi'!$D$5:$D$92,$A57)</f>
        <v>0</v>
      </c>
      <c r="K57" s="100">
        <f>SUMIFS('Daftar Koreksi'!$H$5:$H$92,'Daftar Koreksi'!$G$5:$G$92,K$2,'Daftar Koreksi'!$D$5:$D$92,$A57)</f>
        <v>0</v>
      </c>
      <c r="L57" s="100">
        <f t="shared" si="2"/>
        <v>-969764000</v>
      </c>
      <c r="M57" s="114">
        <f>SUMIFS('Daftar Koreksi'!$I$5:$I$92,'Daftar Koreksi'!$D$5:$D$92,'Mutasi Neraca'!$A57,'Daftar Koreksi'!$G$5:$G$92,'Mutasi Neraca'!M$2)</f>
        <v>0</v>
      </c>
      <c r="N57" s="114">
        <f>SUMIFS('Daftar Koreksi'!$I$5:$I$92,'Daftar Koreksi'!$D$5:$D$92,'Mutasi Neraca'!$A57,'Daftar Koreksi'!$G$5:$G$92,'Mutasi Neraca'!N$2)</f>
        <v>535489160</v>
      </c>
      <c r="O57" s="114">
        <f>SUMIFS('Daftar Koreksi'!$I$5:$I$92,'Daftar Koreksi'!$D$5:$D$92,'Mutasi Neraca'!$A57,'Daftar Koreksi'!$G$5:$G$92,'Mutasi Neraca'!O$2)</f>
        <v>0</v>
      </c>
      <c r="P57" s="114">
        <f>SUMIFS('Daftar Koreksi'!$I$5:$I$92,'Daftar Koreksi'!$D$5:$D$92,'Mutasi Neraca'!$A57,'Daftar Koreksi'!$G$5:$G$92,'Mutasi Neraca'!P$2)</f>
        <v>0</v>
      </c>
      <c r="Q57" s="114">
        <f>SUMIFS('Daftar Koreksi'!$I$5:$I$92,'Daftar Koreksi'!$D$5:$D$92,'Mutasi Neraca'!$A57,'Daftar Koreksi'!$G$5:$G$92,'Mutasi Neraca'!Q$2)</f>
        <v>0</v>
      </c>
      <c r="R57" s="114">
        <f t="shared" si="3"/>
        <v>535489160</v>
      </c>
      <c r="S57" s="103" t="s">
        <v>2228</v>
      </c>
    </row>
    <row r="58" spans="1:19" s="98" customFormat="1">
      <c r="A58" s="113" t="s">
        <v>591</v>
      </c>
      <c r="B58" s="98" t="s">
        <v>1729</v>
      </c>
      <c r="C58" s="100">
        <f>SUMIFS('Daftar Koreksi'!$H$5:$H$92,'Daftar Koreksi'!$G$5:$G$92,C$2,'Daftar Koreksi'!$D$5:$D$92,$A58)</f>
        <v>0</v>
      </c>
      <c r="D58" s="100">
        <f>SUMIFS('Daftar Koreksi'!$H$5:$H$92,'Daftar Koreksi'!$G$5:$G$92,D$2,'Daftar Koreksi'!$D$5:$D$92,$A58)</f>
        <v>0</v>
      </c>
      <c r="E58" s="100">
        <f>SUMIFS('Daftar Koreksi'!$H$5:$H$92,'Daftar Koreksi'!$G$5:$G$92,E$2,'Daftar Koreksi'!$D$5:$D$92,$A58)</f>
        <v>0</v>
      </c>
      <c r="F58" s="112">
        <f>SUMIFS('Daftar Koreksi'!$H$5:$H$92,'Daftar Koreksi'!$G$5:$G$92,F$2,'Daftar Koreksi'!$D$5:$D$92,$A58)</f>
        <v>-1090665000</v>
      </c>
      <c r="G58" s="100">
        <f>SUMIFS('Daftar Koreksi'!$H$5:$H$92,'Daftar Koreksi'!$G$5:$G$92,G$2,'Daftar Koreksi'!$D$5:$D$92,$A58)</f>
        <v>0</v>
      </c>
      <c r="H58" s="100">
        <f>SUMIFS('Daftar Koreksi'!$H$5:$H$92,'Daftar Koreksi'!$G$5:$G$92,H$2,'Daftar Koreksi'!$D$5:$D$92,$A58)</f>
        <v>0</v>
      </c>
      <c r="I58" s="100">
        <f>SUMIFS('Daftar Koreksi'!$H$5:$H$92,'Daftar Koreksi'!$G$5:$G$92,I$2,'Daftar Koreksi'!$D$5:$D$92,$A58)</f>
        <v>0</v>
      </c>
      <c r="J58" s="100">
        <f>SUMIFS('Daftar Koreksi'!$H$5:$H$92,'Daftar Koreksi'!$G$5:$G$92,J$2,'Daftar Koreksi'!$D$5:$D$92,$A58)</f>
        <v>0</v>
      </c>
      <c r="K58" s="100">
        <f>SUMIFS('Daftar Koreksi'!$H$5:$H$92,'Daftar Koreksi'!$G$5:$G$92,K$2,'Daftar Koreksi'!$D$5:$D$92,$A58)</f>
        <v>0</v>
      </c>
      <c r="L58" s="100">
        <f t="shared" si="2"/>
        <v>-1090665000</v>
      </c>
      <c r="M58" s="114">
        <f>SUMIFS('Daftar Koreksi'!$I$5:$I$92,'Daftar Koreksi'!$D$5:$D$92,'Mutasi Neraca'!$A58,'Daftar Koreksi'!$G$5:$G$92,'Mutasi Neraca'!M$2)</f>
        <v>0</v>
      </c>
      <c r="N58" s="114">
        <f>SUMIFS('Daftar Koreksi'!$I$5:$I$92,'Daftar Koreksi'!$D$5:$D$92,'Mutasi Neraca'!$A58,'Daftar Koreksi'!$G$5:$G$92,'Mutasi Neraca'!N$2)</f>
        <v>774372150</v>
      </c>
      <c r="O58" s="114">
        <f>SUMIFS('Daftar Koreksi'!$I$5:$I$92,'Daftar Koreksi'!$D$5:$D$92,'Mutasi Neraca'!$A58,'Daftar Koreksi'!$G$5:$G$92,'Mutasi Neraca'!O$2)</f>
        <v>0</v>
      </c>
      <c r="P58" s="114">
        <f>SUMIFS('Daftar Koreksi'!$I$5:$I$92,'Daftar Koreksi'!$D$5:$D$92,'Mutasi Neraca'!$A58,'Daftar Koreksi'!$G$5:$G$92,'Mutasi Neraca'!P$2)</f>
        <v>0</v>
      </c>
      <c r="Q58" s="114">
        <f>SUMIFS('Daftar Koreksi'!$I$5:$I$92,'Daftar Koreksi'!$D$5:$D$92,'Mutasi Neraca'!$A58,'Daftar Koreksi'!$G$5:$G$92,'Mutasi Neraca'!Q$2)</f>
        <v>0</v>
      </c>
      <c r="R58" s="114">
        <f t="shared" si="3"/>
        <v>774372150</v>
      </c>
      <c r="S58" s="103" t="s">
        <v>2229</v>
      </c>
    </row>
    <row r="59" spans="1:19" s="98" customFormat="1">
      <c r="A59" s="113" t="s">
        <v>477</v>
      </c>
      <c r="B59" s="98" t="s">
        <v>2255</v>
      </c>
      <c r="C59" s="100">
        <f>SUMIFS('Daftar Koreksi'!$H$5:$H$92,'Daftar Koreksi'!$G$5:$G$92,C$2,'Daftar Koreksi'!$D$5:$D$92,$A59)</f>
        <v>0</v>
      </c>
      <c r="D59" s="100">
        <f>SUMIFS('Daftar Koreksi'!$H$5:$H$92,'Daftar Koreksi'!$G$5:$G$92,D$2,'Daftar Koreksi'!$D$5:$D$92,$A59)</f>
        <v>0</v>
      </c>
      <c r="E59" s="100">
        <f>SUMIFS('Daftar Koreksi'!$H$5:$H$92,'Daftar Koreksi'!$G$5:$G$92,E$2,'Daftar Koreksi'!$D$5:$D$92,$A59)</f>
        <v>0</v>
      </c>
      <c r="F59" s="112">
        <f>SUMIFS('Daftar Koreksi'!$H$5:$H$92,'Daftar Koreksi'!$G$5:$G$92,F$2,'Daftar Koreksi'!$D$5:$D$92,$A59)</f>
        <v>-696308400</v>
      </c>
      <c r="G59" s="100">
        <f>SUMIFS('Daftar Koreksi'!$H$5:$H$92,'Daftar Koreksi'!$G$5:$G$92,G$2,'Daftar Koreksi'!$D$5:$D$92,$A59)</f>
        <v>0</v>
      </c>
      <c r="H59" s="100">
        <f>SUMIFS('Daftar Koreksi'!$H$5:$H$92,'Daftar Koreksi'!$G$5:$G$92,H$2,'Daftar Koreksi'!$D$5:$D$92,$A59)</f>
        <v>0</v>
      </c>
      <c r="I59" s="100">
        <f>SUMIFS('Daftar Koreksi'!$H$5:$H$92,'Daftar Koreksi'!$G$5:$G$92,I$2,'Daftar Koreksi'!$D$5:$D$92,$A59)</f>
        <v>0</v>
      </c>
      <c r="J59" s="100">
        <f>SUMIFS('Daftar Koreksi'!$H$5:$H$92,'Daftar Koreksi'!$G$5:$G$92,J$2,'Daftar Koreksi'!$D$5:$D$92,$A59)</f>
        <v>0</v>
      </c>
      <c r="K59" s="100">
        <f>SUMIFS('Daftar Koreksi'!$H$5:$H$92,'Daftar Koreksi'!$G$5:$G$92,K$2,'Daftar Koreksi'!$D$5:$D$92,$A59)</f>
        <v>0</v>
      </c>
      <c r="L59" s="100">
        <f t="shared" si="2"/>
        <v>-696308400</v>
      </c>
      <c r="M59" s="114">
        <f>SUMIFS('Daftar Koreksi'!$I$5:$I$92,'Daftar Koreksi'!$D$5:$D$92,'Mutasi Neraca'!$A59,'Daftar Koreksi'!$G$5:$G$92,'Mutasi Neraca'!M$2)</f>
        <v>0</v>
      </c>
      <c r="N59" s="112">
        <f>SUMIFS('Daftar Koreksi'!$I$5:$I$92,'Daftar Koreksi'!$D$5:$D$92,'Mutasi Neraca'!$A59,'Daftar Koreksi'!$G$5:$G$92,'Mutasi Neraca'!N$2)</f>
        <v>139409828</v>
      </c>
      <c r="O59" s="114">
        <f>SUMIFS('Daftar Koreksi'!$I$5:$I$92,'Daftar Koreksi'!$D$5:$D$92,'Mutasi Neraca'!$A59,'Daftar Koreksi'!$G$5:$G$92,'Mutasi Neraca'!O$2)</f>
        <v>0</v>
      </c>
      <c r="P59" s="114">
        <f>SUMIFS('Daftar Koreksi'!$I$5:$I$92,'Daftar Koreksi'!$D$5:$D$92,'Mutasi Neraca'!$A59,'Daftar Koreksi'!$G$5:$G$92,'Mutasi Neraca'!P$2)</f>
        <v>0</v>
      </c>
      <c r="Q59" s="114">
        <f>SUMIFS('Daftar Koreksi'!$I$5:$I$92,'Daftar Koreksi'!$D$5:$D$92,'Mutasi Neraca'!$A59,'Daftar Koreksi'!$G$5:$G$92,'Mutasi Neraca'!Q$2)</f>
        <v>0</v>
      </c>
      <c r="R59" s="114">
        <f t="shared" si="3"/>
        <v>139409828</v>
      </c>
      <c r="S59" s="103" t="s">
        <v>2230</v>
      </c>
    </row>
    <row r="60" spans="1:19" s="98" customFormat="1">
      <c r="A60" s="113" t="s">
        <v>252</v>
      </c>
      <c r="B60" s="98" t="s">
        <v>1390</v>
      </c>
      <c r="C60" s="100">
        <f>SUMIFS('Daftar Koreksi'!$H$5:$H$92,'Daftar Koreksi'!$G$5:$G$92,C$2,'Daftar Koreksi'!$D$5:$D$92,$A60)</f>
        <v>0</v>
      </c>
      <c r="D60" s="100">
        <f>SUMIFS('Daftar Koreksi'!$H$5:$H$92,'Daftar Koreksi'!$G$5:$G$92,D$2,'Daftar Koreksi'!$D$5:$D$92,$A60)</f>
        <v>0</v>
      </c>
      <c r="E60" s="100">
        <f>SUMIFS('Daftar Koreksi'!$H$5:$H$92,'Daftar Koreksi'!$G$5:$G$92,E$2,'Daftar Koreksi'!$D$5:$D$92,$A60)</f>
        <v>0</v>
      </c>
      <c r="F60" s="100">
        <f>SUMIFS('Daftar Koreksi'!$H$5:$H$92,'Daftar Koreksi'!$G$5:$G$92,F$2,'Daftar Koreksi'!$D$5:$D$92,$A60)</f>
        <v>162200000</v>
      </c>
      <c r="G60" s="100">
        <f>SUMIFS('Daftar Koreksi'!$H$5:$H$92,'Daftar Koreksi'!$G$5:$G$92,G$2,'Daftar Koreksi'!$D$5:$D$92,$A60)</f>
        <v>0</v>
      </c>
      <c r="H60" s="100">
        <f>SUMIFS('Daftar Koreksi'!$H$5:$H$92,'Daftar Koreksi'!$G$5:$G$92,H$2,'Daftar Koreksi'!$D$5:$D$92,$A60)</f>
        <v>0</v>
      </c>
      <c r="I60" s="100">
        <f>SUMIFS('Daftar Koreksi'!$H$5:$H$92,'Daftar Koreksi'!$G$5:$G$92,I$2,'Daftar Koreksi'!$D$5:$D$92,$A60)</f>
        <v>0</v>
      </c>
      <c r="J60" s="100">
        <f>SUMIFS('Daftar Koreksi'!$H$5:$H$92,'Daftar Koreksi'!$G$5:$G$92,J$2,'Daftar Koreksi'!$D$5:$D$92,$A60)</f>
        <v>0</v>
      </c>
      <c r="K60" s="100">
        <f>SUMIFS('Daftar Koreksi'!$H$5:$H$92,'Daftar Koreksi'!$G$5:$G$92,K$2,'Daftar Koreksi'!$D$5:$D$92,$A60)</f>
        <v>0</v>
      </c>
      <c r="L60" s="100">
        <f t="shared" si="2"/>
        <v>162200000</v>
      </c>
      <c r="M60" s="114">
        <f>SUMIFS('Daftar Koreksi'!$I$5:$I$92,'Daftar Koreksi'!$D$5:$D$92,'Mutasi Neraca'!$A60,'Daftar Koreksi'!$G$5:$G$92,'Mutasi Neraca'!M$2)</f>
        <v>0</v>
      </c>
      <c r="N60" s="112">
        <f>SUMIFS('Daftar Koreksi'!$I$5:$I$92,'Daftar Koreksi'!$D$5:$D$92,'Mutasi Neraca'!$A60,'Daftar Koreksi'!$G$5:$G$92,'Mutasi Neraca'!N$2)</f>
        <v>-1622000</v>
      </c>
      <c r="O60" s="114">
        <f>SUMIFS('Daftar Koreksi'!$I$5:$I$92,'Daftar Koreksi'!$D$5:$D$92,'Mutasi Neraca'!$A60,'Daftar Koreksi'!$G$5:$G$92,'Mutasi Neraca'!O$2)</f>
        <v>0</v>
      </c>
      <c r="P60" s="114">
        <f>SUMIFS('Daftar Koreksi'!$I$5:$I$92,'Daftar Koreksi'!$D$5:$D$92,'Mutasi Neraca'!$A60,'Daftar Koreksi'!$G$5:$G$92,'Mutasi Neraca'!P$2)</f>
        <v>0</v>
      </c>
      <c r="Q60" s="114">
        <f>SUMIFS('Daftar Koreksi'!$I$5:$I$92,'Daftar Koreksi'!$D$5:$D$92,'Mutasi Neraca'!$A60,'Daftar Koreksi'!$G$5:$G$92,'Mutasi Neraca'!Q$2)</f>
        <v>0</v>
      </c>
      <c r="R60" s="114">
        <f t="shared" si="3"/>
        <v>-1622000</v>
      </c>
      <c r="S60" s="103" t="s">
        <v>2232</v>
      </c>
    </row>
    <row r="61" spans="1:19" s="98" customFormat="1">
      <c r="A61" s="98" t="s">
        <v>416</v>
      </c>
      <c r="B61" s="98" t="s">
        <v>2215</v>
      </c>
      <c r="C61" s="100">
        <f>SUMIFS('Daftar Koreksi'!$H$5:$H$92,'Daftar Koreksi'!$G$5:$G$92,C$2,'Daftar Koreksi'!$D$5:$D$92,$A61)</f>
        <v>0</v>
      </c>
      <c r="D61" s="100">
        <f>SUMIFS('Daftar Koreksi'!$H$5:$H$92,'Daftar Koreksi'!$G$5:$G$92,D$2,'Daftar Koreksi'!$D$5:$D$92,$A61)</f>
        <v>0</v>
      </c>
      <c r="E61" s="100">
        <f>SUMIFS('Daftar Koreksi'!$H$5:$H$92,'Daftar Koreksi'!$G$5:$G$92,E$2,'Daftar Koreksi'!$D$5:$D$92,$A61)</f>
        <v>126000000</v>
      </c>
      <c r="F61" s="100">
        <f>SUMIFS('Daftar Koreksi'!$H$5:$H$92,'Daftar Koreksi'!$G$5:$G$92,F$2,'Daftar Koreksi'!$D$5:$D$92,$A61)</f>
        <v>0</v>
      </c>
      <c r="G61" s="100">
        <f>SUMIFS('Daftar Koreksi'!$H$5:$H$92,'Daftar Koreksi'!$G$5:$G$92,G$2,'Daftar Koreksi'!$D$5:$D$92,$A61)</f>
        <v>0</v>
      </c>
      <c r="H61" s="100">
        <f>SUMIFS('Daftar Koreksi'!$H$5:$H$92,'Daftar Koreksi'!$G$5:$G$92,H$2,'Daftar Koreksi'!$D$5:$D$92,$A61)</f>
        <v>0</v>
      </c>
      <c r="I61" s="100">
        <f>SUMIFS('Daftar Koreksi'!$H$5:$H$92,'Daftar Koreksi'!$G$5:$G$92,I$2,'Daftar Koreksi'!$D$5:$D$92,$A61)</f>
        <v>0</v>
      </c>
      <c r="J61" s="100">
        <f>SUMIFS('Daftar Koreksi'!$H$5:$H$92,'Daftar Koreksi'!$G$5:$G$92,J$2,'Daftar Koreksi'!$D$5:$D$92,$A61)</f>
        <v>0</v>
      </c>
      <c r="K61" s="100">
        <f>SUMIFS('Daftar Koreksi'!$H$5:$H$92,'Daftar Koreksi'!$G$5:$G$92,K$2,'Daftar Koreksi'!$D$5:$D$92,$A61)</f>
        <v>0</v>
      </c>
      <c r="L61" s="100">
        <f t="shared" si="2"/>
        <v>126000000</v>
      </c>
      <c r="M61" s="112">
        <f>SUMIFS('Daftar Koreksi'!$I$5:$I$92,'Daftar Koreksi'!$D$5:$D$92,'Mutasi Neraca'!$A61,'Daftar Koreksi'!$G$5:$G$92,'Mutasi Neraca'!M$2)</f>
        <v>-9000000</v>
      </c>
      <c r="N61" s="114">
        <f>SUMIFS('Daftar Koreksi'!$I$5:$I$92,'Daftar Koreksi'!$D$5:$D$92,'Mutasi Neraca'!$A61,'Daftar Koreksi'!$G$5:$G$92,'Mutasi Neraca'!N$2)</f>
        <v>0</v>
      </c>
      <c r="O61" s="114">
        <f>SUMIFS('Daftar Koreksi'!$I$5:$I$92,'Daftar Koreksi'!$D$5:$D$92,'Mutasi Neraca'!$A61,'Daftar Koreksi'!$G$5:$G$92,'Mutasi Neraca'!O$2)</f>
        <v>0</v>
      </c>
      <c r="P61" s="114">
        <f>SUMIFS('Daftar Koreksi'!$I$5:$I$92,'Daftar Koreksi'!$D$5:$D$92,'Mutasi Neraca'!$A61,'Daftar Koreksi'!$G$5:$G$92,'Mutasi Neraca'!P$2)</f>
        <v>0</v>
      </c>
      <c r="Q61" s="114">
        <f>SUMIFS('Daftar Koreksi'!$I$5:$I$92,'Daftar Koreksi'!$D$5:$D$92,'Mutasi Neraca'!$A61,'Daftar Koreksi'!$G$5:$G$92,'Mutasi Neraca'!Q$2)</f>
        <v>0</v>
      </c>
      <c r="R61" s="114">
        <f t="shared" si="3"/>
        <v>-9000000</v>
      </c>
      <c r="S61" s="103" t="s">
        <v>2233</v>
      </c>
    </row>
    <row r="62" spans="1:19" s="98" customFormat="1">
      <c r="A62" s="113" t="s">
        <v>790</v>
      </c>
      <c r="B62" s="98" t="s">
        <v>1926</v>
      </c>
      <c r="C62" s="100">
        <f>SUMIFS('Daftar Koreksi'!$H$5:$H$92,'Daftar Koreksi'!$G$5:$G$92,C$2,'Daftar Koreksi'!$D$5:$D$92,$A62)</f>
        <v>0</v>
      </c>
      <c r="D62" s="100">
        <f>SUMIFS('Daftar Koreksi'!$H$5:$H$92,'Daftar Koreksi'!$G$5:$G$92,D$2,'Daftar Koreksi'!$D$5:$D$92,$A62)</f>
        <v>0</v>
      </c>
      <c r="E62" s="100">
        <f>SUMIFS('Daftar Koreksi'!$H$5:$H$92,'Daftar Koreksi'!$G$5:$G$92,E$2,'Daftar Koreksi'!$D$5:$D$92,$A62)</f>
        <v>0</v>
      </c>
      <c r="F62" s="100">
        <f>SUMIFS('Daftar Koreksi'!$H$5:$H$92,'Daftar Koreksi'!$G$5:$G$92,F$2,'Daftar Koreksi'!$D$5:$D$92,$A62)</f>
        <v>71894679</v>
      </c>
      <c r="G62" s="100">
        <f>SUMIFS('Daftar Koreksi'!$H$5:$H$92,'Daftar Koreksi'!$G$5:$G$92,G$2,'Daftar Koreksi'!$D$5:$D$92,$A62)</f>
        <v>0</v>
      </c>
      <c r="H62" s="100">
        <f>SUMIFS('Daftar Koreksi'!$H$5:$H$92,'Daftar Koreksi'!$G$5:$G$92,H$2,'Daftar Koreksi'!$D$5:$D$92,$A62)</f>
        <v>0</v>
      </c>
      <c r="I62" s="100">
        <f>SUMIFS('Daftar Koreksi'!$H$5:$H$92,'Daftar Koreksi'!$G$5:$G$92,I$2,'Daftar Koreksi'!$D$5:$D$92,$A62)</f>
        <v>0</v>
      </c>
      <c r="J62" s="100">
        <f>SUMIFS('Daftar Koreksi'!$H$5:$H$92,'Daftar Koreksi'!$G$5:$G$92,J$2,'Daftar Koreksi'!$D$5:$D$92,$A62)</f>
        <v>0</v>
      </c>
      <c r="K62" s="100">
        <f>SUMIFS('Daftar Koreksi'!$H$5:$H$92,'Daftar Koreksi'!$G$5:$G$92,K$2,'Daftar Koreksi'!$D$5:$D$92,$A62)</f>
        <v>0</v>
      </c>
      <c r="L62" s="100">
        <f t="shared" si="2"/>
        <v>71894679</v>
      </c>
      <c r="M62" s="114">
        <f>SUMIFS('Daftar Koreksi'!$I$5:$I$92,'Daftar Koreksi'!$D$5:$D$92,'Mutasi Neraca'!$A62,'Daftar Koreksi'!$G$5:$G$92,'Mutasi Neraca'!M$2)</f>
        <v>0</v>
      </c>
      <c r="N62" s="112">
        <f>SUMIFS('Daftar Koreksi'!$I$5:$I$92,'Daftar Koreksi'!$D$5:$D$92,'Mutasi Neraca'!$A62,'Daftar Koreksi'!$G$5:$G$92,'Mutasi Neraca'!N$2)</f>
        <v>-16863989</v>
      </c>
      <c r="O62" s="114">
        <f>SUMIFS('Daftar Koreksi'!$I$5:$I$92,'Daftar Koreksi'!$D$5:$D$92,'Mutasi Neraca'!$A62,'Daftar Koreksi'!$G$5:$G$92,'Mutasi Neraca'!O$2)</f>
        <v>0</v>
      </c>
      <c r="P62" s="114">
        <f>SUMIFS('Daftar Koreksi'!$I$5:$I$92,'Daftar Koreksi'!$D$5:$D$92,'Mutasi Neraca'!$A62,'Daftar Koreksi'!$G$5:$G$92,'Mutasi Neraca'!P$2)</f>
        <v>0</v>
      </c>
      <c r="Q62" s="114">
        <f>SUMIFS('Daftar Koreksi'!$I$5:$I$92,'Daftar Koreksi'!$D$5:$D$92,'Mutasi Neraca'!$A62,'Daftar Koreksi'!$G$5:$G$92,'Mutasi Neraca'!Q$2)</f>
        <v>0</v>
      </c>
      <c r="R62" s="114">
        <f t="shared" si="3"/>
        <v>-16863989</v>
      </c>
      <c r="S62" s="103" t="s">
        <v>2234</v>
      </c>
    </row>
    <row r="63" spans="1:19" s="98" customFormat="1">
      <c r="A63" s="98" t="s">
        <v>446</v>
      </c>
      <c r="B63" s="98" t="s">
        <v>1584</v>
      </c>
      <c r="C63" s="100">
        <f>SUMIFS('Daftar Koreksi'!$H$5:$H$92,'Daftar Koreksi'!$G$5:$G$92,C$2,'Daftar Koreksi'!$D$5:$D$92,$A63)</f>
        <v>0</v>
      </c>
      <c r="D63" s="100">
        <f>SUMIFS('Daftar Koreksi'!$H$5:$H$92,'Daftar Koreksi'!$G$5:$G$92,D$2,'Daftar Koreksi'!$D$5:$D$92,$A63)</f>
        <v>16459300</v>
      </c>
      <c r="E63" s="100">
        <f>SUMIFS('Daftar Koreksi'!$H$5:$H$92,'Daftar Koreksi'!$G$5:$G$92,E$2,'Daftar Koreksi'!$D$5:$D$92,$A63)</f>
        <v>0</v>
      </c>
      <c r="F63" s="100">
        <f>SUMIFS('Daftar Koreksi'!$H$5:$H$92,'Daftar Koreksi'!$G$5:$G$92,F$2,'Daftar Koreksi'!$D$5:$D$92,$A63)</f>
        <v>0</v>
      </c>
      <c r="G63" s="100">
        <f>SUMIFS('Daftar Koreksi'!$H$5:$H$92,'Daftar Koreksi'!$G$5:$G$92,G$2,'Daftar Koreksi'!$D$5:$D$92,$A63)</f>
        <v>0</v>
      </c>
      <c r="H63" s="100">
        <f>SUMIFS('Daftar Koreksi'!$H$5:$H$92,'Daftar Koreksi'!$G$5:$G$92,H$2,'Daftar Koreksi'!$D$5:$D$92,$A63)</f>
        <v>0</v>
      </c>
      <c r="I63" s="100">
        <f>SUMIFS('Daftar Koreksi'!$H$5:$H$92,'Daftar Koreksi'!$G$5:$G$92,I$2,'Daftar Koreksi'!$D$5:$D$92,$A63)</f>
        <v>0</v>
      </c>
      <c r="J63" s="100">
        <f>SUMIFS('Daftar Koreksi'!$H$5:$H$92,'Daftar Koreksi'!$G$5:$G$92,J$2,'Daftar Koreksi'!$D$5:$D$92,$A63)</f>
        <v>0</v>
      </c>
      <c r="K63" s="100">
        <f>SUMIFS('Daftar Koreksi'!$H$5:$H$92,'Daftar Koreksi'!$G$5:$G$92,K$2,'Daftar Koreksi'!$D$5:$D$92,$A63)</f>
        <v>0</v>
      </c>
      <c r="L63" s="100">
        <f t="shared" si="2"/>
        <v>16459300</v>
      </c>
      <c r="M63" s="114">
        <f>SUMIFS('Daftar Koreksi'!$I$5:$I$92,'Daftar Koreksi'!$D$5:$D$92,'Mutasi Neraca'!$A63,'Daftar Koreksi'!$G$5:$G$92,'Mutasi Neraca'!M$2)</f>
        <v>0</v>
      </c>
      <c r="N63" s="114">
        <f>SUMIFS('Daftar Koreksi'!$I$5:$I$92,'Daftar Koreksi'!$D$5:$D$92,'Mutasi Neraca'!$A63,'Daftar Koreksi'!$G$5:$G$92,'Mutasi Neraca'!N$2)</f>
        <v>0</v>
      </c>
      <c r="O63" s="114">
        <f>SUMIFS('Daftar Koreksi'!$I$5:$I$92,'Daftar Koreksi'!$D$5:$D$92,'Mutasi Neraca'!$A63,'Daftar Koreksi'!$G$5:$G$92,'Mutasi Neraca'!O$2)</f>
        <v>0</v>
      </c>
      <c r="P63" s="114">
        <f>SUMIFS('Daftar Koreksi'!$I$5:$I$92,'Daftar Koreksi'!$D$5:$D$92,'Mutasi Neraca'!$A63,'Daftar Koreksi'!$G$5:$G$92,'Mutasi Neraca'!P$2)</f>
        <v>0</v>
      </c>
      <c r="Q63" s="114">
        <f>SUMIFS('Daftar Koreksi'!$I$5:$I$92,'Daftar Koreksi'!$D$5:$D$92,'Mutasi Neraca'!$A63,'Daftar Koreksi'!$G$5:$G$92,'Mutasi Neraca'!Q$2)</f>
        <v>0</v>
      </c>
      <c r="R63" s="114">
        <f t="shared" si="3"/>
        <v>0</v>
      </c>
      <c r="S63" s="103" t="s">
        <v>2235</v>
      </c>
    </row>
    <row r="64" spans="1:19" s="98" customFormat="1">
      <c r="A64" s="98" t="s">
        <v>386</v>
      </c>
      <c r="B64" s="98" t="s">
        <v>1524</v>
      </c>
      <c r="C64" s="100">
        <f>SUMIFS('Daftar Koreksi'!$H$5:$H$92,'Daftar Koreksi'!$G$5:$G$92,C$2,'Daftar Koreksi'!$D$5:$D$92,$A64)</f>
        <v>0</v>
      </c>
      <c r="D64" s="100">
        <f>SUMIFS('Daftar Koreksi'!$H$5:$H$92,'Daftar Koreksi'!$G$5:$G$92,D$2,'Daftar Koreksi'!$D$5:$D$92,$A64)</f>
        <v>349056000</v>
      </c>
      <c r="E64" s="100">
        <f>SUMIFS('Daftar Koreksi'!$H$5:$H$92,'Daftar Koreksi'!$G$5:$G$92,E$2,'Daftar Koreksi'!$D$5:$D$92,$A64)</f>
        <v>0</v>
      </c>
      <c r="F64" s="100">
        <f>SUMIFS('Daftar Koreksi'!$H$5:$H$92,'Daftar Koreksi'!$G$5:$G$92,F$2,'Daftar Koreksi'!$D$5:$D$92,$A64)</f>
        <v>0</v>
      </c>
      <c r="G64" s="100">
        <f>SUMIFS('Daftar Koreksi'!$H$5:$H$92,'Daftar Koreksi'!$G$5:$G$92,G$2,'Daftar Koreksi'!$D$5:$D$92,$A64)</f>
        <v>0</v>
      </c>
      <c r="H64" s="100">
        <f>SUMIFS('Daftar Koreksi'!$H$5:$H$92,'Daftar Koreksi'!$G$5:$G$92,H$2,'Daftar Koreksi'!$D$5:$D$92,$A64)</f>
        <v>0</v>
      </c>
      <c r="I64" s="100">
        <f>SUMIFS('Daftar Koreksi'!$H$5:$H$92,'Daftar Koreksi'!$G$5:$G$92,I$2,'Daftar Koreksi'!$D$5:$D$92,$A64)</f>
        <v>0</v>
      </c>
      <c r="J64" s="100">
        <f>SUMIFS('Daftar Koreksi'!$H$5:$H$92,'Daftar Koreksi'!$G$5:$G$92,J$2,'Daftar Koreksi'!$D$5:$D$92,$A64)</f>
        <v>0</v>
      </c>
      <c r="K64" s="100">
        <f>SUMIFS('Daftar Koreksi'!$H$5:$H$92,'Daftar Koreksi'!$G$5:$G$92,K$2,'Daftar Koreksi'!$D$5:$D$92,$A64)</f>
        <v>0</v>
      </c>
      <c r="L64" s="100">
        <f t="shared" si="2"/>
        <v>349056000</v>
      </c>
      <c r="M64" s="114">
        <f>SUMIFS('Daftar Koreksi'!$I$5:$I$92,'Daftar Koreksi'!$D$5:$D$92,'Mutasi Neraca'!$A64,'Daftar Koreksi'!$G$5:$G$92,'Mutasi Neraca'!M$2)</f>
        <v>0</v>
      </c>
      <c r="N64" s="114">
        <f>SUMIFS('Daftar Koreksi'!$I$5:$I$92,'Daftar Koreksi'!$D$5:$D$92,'Mutasi Neraca'!$A64,'Daftar Koreksi'!$G$5:$G$92,'Mutasi Neraca'!N$2)</f>
        <v>0</v>
      </c>
      <c r="O64" s="114">
        <f>SUMIFS('Daftar Koreksi'!$I$5:$I$92,'Daftar Koreksi'!$D$5:$D$92,'Mutasi Neraca'!$A64,'Daftar Koreksi'!$G$5:$G$92,'Mutasi Neraca'!O$2)</f>
        <v>0</v>
      </c>
      <c r="P64" s="114">
        <f>SUMIFS('Daftar Koreksi'!$I$5:$I$92,'Daftar Koreksi'!$D$5:$D$92,'Mutasi Neraca'!$A64,'Daftar Koreksi'!$G$5:$G$92,'Mutasi Neraca'!P$2)</f>
        <v>0</v>
      </c>
      <c r="Q64" s="114">
        <f>SUMIFS('Daftar Koreksi'!$I$5:$I$92,'Daftar Koreksi'!$D$5:$D$92,'Mutasi Neraca'!$A64,'Daftar Koreksi'!$G$5:$G$92,'Mutasi Neraca'!Q$2)</f>
        <v>0</v>
      </c>
      <c r="R64" s="114">
        <f t="shared" si="3"/>
        <v>0</v>
      </c>
      <c r="S64" s="104" t="s">
        <v>2236</v>
      </c>
    </row>
    <row r="65" spans="1:19" s="98" customFormat="1">
      <c r="A65" s="98" t="s">
        <v>407</v>
      </c>
      <c r="B65" s="98" t="s">
        <v>1545</v>
      </c>
      <c r="C65" s="100">
        <f>SUMIFS('Daftar Koreksi'!$H$5:$H$92,'Daftar Koreksi'!$G$5:$G$92,C$2,'Daftar Koreksi'!$D$5:$D$92,$A65)</f>
        <v>0</v>
      </c>
      <c r="D65" s="100">
        <f>SUMIFS('Daftar Koreksi'!$H$5:$H$92,'Daftar Koreksi'!$G$5:$G$92,D$2,'Daftar Koreksi'!$D$5:$D$92,$A65)</f>
        <v>214650000</v>
      </c>
      <c r="E65" s="100">
        <f>SUMIFS('Daftar Koreksi'!$H$5:$H$92,'Daftar Koreksi'!$G$5:$G$92,E$2,'Daftar Koreksi'!$D$5:$D$92,$A65)</f>
        <v>0</v>
      </c>
      <c r="F65" s="100">
        <f>SUMIFS('Daftar Koreksi'!$H$5:$H$92,'Daftar Koreksi'!$G$5:$G$92,F$2,'Daftar Koreksi'!$D$5:$D$92,$A65)</f>
        <v>0</v>
      </c>
      <c r="G65" s="100">
        <f>SUMIFS('Daftar Koreksi'!$H$5:$H$92,'Daftar Koreksi'!$G$5:$G$92,G$2,'Daftar Koreksi'!$D$5:$D$92,$A65)</f>
        <v>0</v>
      </c>
      <c r="H65" s="100">
        <f>SUMIFS('Daftar Koreksi'!$H$5:$H$92,'Daftar Koreksi'!$G$5:$G$92,H$2,'Daftar Koreksi'!$D$5:$D$92,$A65)</f>
        <v>0</v>
      </c>
      <c r="I65" s="100">
        <f>SUMIFS('Daftar Koreksi'!$H$5:$H$92,'Daftar Koreksi'!$G$5:$G$92,I$2,'Daftar Koreksi'!$D$5:$D$92,$A65)</f>
        <v>0</v>
      </c>
      <c r="J65" s="100">
        <f>SUMIFS('Daftar Koreksi'!$H$5:$H$92,'Daftar Koreksi'!$G$5:$G$92,J$2,'Daftar Koreksi'!$D$5:$D$92,$A65)</f>
        <v>0</v>
      </c>
      <c r="K65" s="100">
        <f>SUMIFS('Daftar Koreksi'!$H$5:$H$92,'Daftar Koreksi'!$G$5:$G$92,K$2,'Daftar Koreksi'!$D$5:$D$92,$A65)</f>
        <v>0</v>
      </c>
      <c r="L65" s="100">
        <f t="shared" si="2"/>
        <v>214650000</v>
      </c>
      <c r="M65" s="114">
        <f>SUMIFS('Daftar Koreksi'!$I$5:$I$92,'Daftar Koreksi'!$D$5:$D$92,'Mutasi Neraca'!$A65,'Daftar Koreksi'!$G$5:$G$92,'Mutasi Neraca'!M$2)</f>
        <v>0</v>
      </c>
      <c r="N65" s="114">
        <f>SUMIFS('Daftar Koreksi'!$I$5:$I$92,'Daftar Koreksi'!$D$5:$D$92,'Mutasi Neraca'!$A65,'Daftar Koreksi'!$G$5:$G$92,'Mutasi Neraca'!N$2)</f>
        <v>0</v>
      </c>
      <c r="O65" s="114">
        <f>SUMIFS('Daftar Koreksi'!$I$5:$I$92,'Daftar Koreksi'!$D$5:$D$92,'Mutasi Neraca'!$A65,'Daftar Koreksi'!$G$5:$G$92,'Mutasi Neraca'!O$2)</f>
        <v>0</v>
      </c>
      <c r="P65" s="114">
        <f>SUMIFS('Daftar Koreksi'!$I$5:$I$92,'Daftar Koreksi'!$D$5:$D$92,'Mutasi Neraca'!$A65,'Daftar Koreksi'!$G$5:$G$92,'Mutasi Neraca'!P$2)</f>
        <v>0</v>
      </c>
      <c r="Q65" s="114">
        <f>SUMIFS('Daftar Koreksi'!$I$5:$I$92,'Daftar Koreksi'!$D$5:$D$92,'Mutasi Neraca'!$A65,'Daftar Koreksi'!$G$5:$G$92,'Mutasi Neraca'!Q$2)</f>
        <v>0</v>
      </c>
      <c r="R65" s="114">
        <f t="shared" si="3"/>
        <v>0</v>
      </c>
      <c r="S65" s="103" t="s">
        <v>2237</v>
      </c>
    </row>
    <row r="66" spans="1:19" s="98" customFormat="1">
      <c r="A66" s="113" t="s">
        <v>437</v>
      </c>
      <c r="B66" s="98" t="s">
        <v>2256</v>
      </c>
      <c r="C66" s="100">
        <f>SUMIFS('Daftar Koreksi'!$H$5:$H$92,'Daftar Koreksi'!$G$5:$G$92,C$2,'Daftar Koreksi'!$D$5:$D$92,$A66)</f>
        <v>0</v>
      </c>
      <c r="D66" s="100">
        <f>SUMIFS('Daftar Koreksi'!$H$5:$H$92,'Daftar Koreksi'!$G$5:$G$92,D$2,'Daftar Koreksi'!$D$5:$D$92,$A66)</f>
        <v>0</v>
      </c>
      <c r="E66" s="100">
        <f>SUMIFS('Daftar Koreksi'!$H$5:$H$92,'Daftar Koreksi'!$G$5:$G$92,E$2,'Daftar Koreksi'!$D$5:$D$92,$A66)</f>
        <v>34000000</v>
      </c>
      <c r="F66" s="100">
        <f>SUMIFS('Daftar Koreksi'!$H$5:$H$92,'Daftar Koreksi'!$G$5:$G$92,F$2,'Daftar Koreksi'!$D$5:$D$92,$A66)</f>
        <v>0</v>
      </c>
      <c r="G66" s="100">
        <f>SUMIFS('Daftar Koreksi'!$H$5:$H$92,'Daftar Koreksi'!$G$5:$G$92,G$2,'Daftar Koreksi'!$D$5:$D$92,$A66)</f>
        <v>0</v>
      </c>
      <c r="H66" s="100">
        <f>SUMIFS('Daftar Koreksi'!$H$5:$H$92,'Daftar Koreksi'!$G$5:$G$92,H$2,'Daftar Koreksi'!$D$5:$D$92,$A66)</f>
        <v>3000000</v>
      </c>
      <c r="I66" s="100">
        <f>SUMIFS('Daftar Koreksi'!$H$5:$H$92,'Daftar Koreksi'!$G$5:$G$92,I$2,'Daftar Koreksi'!$D$5:$D$92,$A66)</f>
        <v>0</v>
      </c>
      <c r="J66" s="100">
        <f>SUMIFS('Daftar Koreksi'!$H$5:$H$92,'Daftar Koreksi'!$G$5:$G$92,J$2,'Daftar Koreksi'!$D$5:$D$92,$A66)</f>
        <v>0</v>
      </c>
      <c r="K66" s="100">
        <f>SUMIFS('Daftar Koreksi'!$H$5:$H$92,'Daftar Koreksi'!$G$5:$G$92,K$2,'Daftar Koreksi'!$D$5:$D$92,$A66)</f>
        <v>0</v>
      </c>
      <c r="L66" s="100">
        <f t="shared" si="2"/>
        <v>37000000</v>
      </c>
      <c r="M66" s="112">
        <f>SUMIFS('Daftar Koreksi'!$I$5:$I$92,'Daftar Koreksi'!$D$5:$D$92,'Mutasi Neraca'!$A66,'Daftar Koreksi'!$G$5:$G$92,'Mutasi Neraca'!M$2)</f>
        <v>-3987500</v>
      </c>
      <c r="N66" s="114">
        <f>SUMIFS('Daftar Koreksi'!$I$5:$I$92,'Daftar Koreksi'!$D$5:$D$92,'Mutasi Neraca'!$A66,'Daftar Koreksi'!$G$5:$G$92,'Mutasi Neraca'!N$2)</f>
        <v>0</v>
      </c>
      <c r="O66" s="114">
        <f>SUMIFS('Daftar Koreksi'!$I$5:$I$92,'Daftar Koreksi'!$D$5:$D$92,'Mutasi Neraca'!$A66,'Daftar Koreksi'!$G$5:$G$92,'Mutasi Neraca'!O$2)</f>
        <v>0</v>
      </c>
      <c r="P66" s="112">
        <f>SUMIFS('Daftar Koreksi'!$I$5:$I$92,'Daftar Koreksi'!$D$5:$D$92,'Mutasi Neraca'!$A66,'Daftar Koreksi'!$G$5:$G$92,'Mutasi Neraca'!P$2)</f>
        <v>-375000</v>
      </c>
      <c r="Q66" s="114">
        <f>SUMIFS('Daftar Koreksi'!$I$5:$I$92,'Daftar Koreksi'!$D$5:$D$92,'Mutasi Neraca'!$A66,'Daftar Koreksi'!$G$5:$G$92,'Mutasi Neraca'!Q$2)</f>
        <v>0</v>
      </c>
      <c r="R66" s="114">
        <f t="shared" si="3"/>
        <v>-4362500</v>
      </c>
      <c r="S66" s="103" t="s">
        <v>2238</v>
      </c>
    </row>
    <row r="67" spans="1:19" s="98" customFormat="1">
      <c r="A67" s="113" t="s">
        <v>440</v>
      </c>
      <c r="B67" s="98" t="s">
        <v>1578</v>
      </c>
      <c r="C67" s="100">
        <f>SUMIFS('Daftar Koreksi'!$H$5:$H$92,'Daftar Koreksi'!$G$5:$G$92,C$2,'Daftar Koreksi'!$D$5:$D$92,$A67)</f>
        <v>0</v>
      </c>
      <c r="D67" s="100">
        <f>SUMIFS('Daftar Koreksi'!$H$5:$H$92,'Daftar Koreksi'!$G$5:$G$92,D$2,'Daftar Koreksi'!$D$5:$D$92,$A67)</f>
        <v>0</v>
      </c>
      <c r="E67" s="100">
        <f>SUMIFS('Daftar Koreksi'!$H$5:$H$92,'Daftar Koreksi'!$G$5:$G$92,E$2,'Daftar Koreksi'!$D$5:$D$92,$A67)</f>
        <v>0</v>
      </c>
      <c r="F67" s="100">
        <f>SUMIFS('Daftar Koreksi'!$H$5:$H$92,'Daftar Koreksi'!$G$5:$G$92,F$2,'Daftar Koreksi'!$D$5:$D$92,$A67)</f>
        <v>50000000</v>
      </c>
      <c r="G67" s="100">
        <f>SUMIFS('Daftar Koreksi'!$H$5:$H$92,'Daftar Koreksi'!$G$5:$G$92,G$2,'Daftar Koreksi'!$D$5:$D$92,$A67)</f>
        <v>0</v>
      </c>
      <c r="H67" s="100">
        <f>SUMIFS('Daftar Koreksi'!$H$5:$H$92,'Daftar Koreksi'!$G$5:$G$92,H$2,'Daftar Koreksi'!$D$5:$D$92,$A67)</f>
        <v>0</v>
      </c>
      <c r="I67" s="100">
        <f>SUMIFS('Daftar Koreksi'!$H$5:$H$92,'Daftar Koreksi'!$G$5:$G$92,I$2,'Daftar Koreksi'!$D$5:$D$92,$A67)</f>
        <v>0</v>
      </c>
      <c r="J67" s="100">
        <f>SUMIFS('Daftar Koreksi'!$H$5:$H$92,'Daftar Koreksi'!$G$5:$G$92,J$2,'Daftar Koreksi'!$D$5:$D$92,$A67)</f>
        <v>0</v>
      </c>
      <c r="K67" s="100">
        <f>SUMIFS('Daftar Koreksi'!$H$5:$H$92,'Daftar Koreksi'!$G$5:$G$92,K$2,'Daftar Koreksi'!$D$5:$D$92,$A67)</f>
        <v>0</v>
      </c>
      <c r="L67" s="100">
        <f t="shared" ref="L67:L78" si="4">SUM(C67:K67)</f>
        <v>50000000</v>
      </c>
      <c r="M67" s="114">
        <f>SUMIFS('Daftar Koreksi'!$I$5:$I$92,'Daftar Koreksi'!$D$5:$D$92,'Mutasi Neraca'!$A67,'Daftar Koreksi'!$G$5:$G$92,'Mutasi Neraca'!M$2)</f>
        <v>0</v>
      </c>
      <c r="N67" s="112">
        <f>SUMIFS('Daftar Koreksi'!$I$5:$I$92,'Daftar Koreksi'!$D$5:$D$92,'Mutasi Neraca'!$A67,'Daftar Koreksi'!$G$5:$G$92,'Mutasi Neraca'!N$2)</f>
        <v>-8000000</v>
      </c>
      <c r="O67" s="114">
        <f>SUMIFS('Daftar Koreksi'!$I$5:$I$92,'Daftar Koreksi'!$D$5:$D$92,'Mutasi Neraca'!$A67,'Daftar Koreksi'!$G$5:$G$92,'Mutasi Neraca'!O$2)</f>
        <v>0</v>
      </c>
      <c r="P67" s="114">
        <f>SUMIFS('Daftar Koreksi'!$I$5:$I$92,'Daftar Koreksi'!$D$5:$D$92,'Mutasi Neraca'!$A67,'Daftar Koreksi'!$G$5:$G$92,'Mutasi Neraca'!P$2)</f>
        <v>0</v>
      </c>
      <c r="Q67" s="114">
        <f>SUMIFS('Daftar Koreksi'!$I$5:$I$92,'Daftar Koreksi'!$D$5:$D$92,'Mutasi Neraca'!$A67,'Daftar Koreksi'!$G$5:$G$92,'Mutasi Neraca'!Q$2)</f>
        <v>0</v>
      </c>
      <c r="R67" s="114">
        <f t="shared" ref="R67:R78" si="5">SUM(M67:Q67)</f>
        <v>-8000000</v>
      </c>
      <c r="S67" s="103" t="s">
        <v>2239</v>
      </c>
    </row>
    <row r="68" spans="1:19" s="98" customFormat="1">
      <c r="A68" s="113" t="s">
        <v>281</v>
      </c>
      <c r="B68" s="98" t="s">
        <v>2257</v>
      </c>
      <c r="C68" s="100">
        <f>SUMIFS('Daftar Koreksi'!$H$5:$H$92,'Daftar Koreksi'!$G$5:$G$92,C$2,'Daftar Koreksi'!$D$5:$D$92,$A68)</f>
        <v>0</v>
      </c>
      <c r="D68" s="100">
        <f>SUMIFS('Daftar Koreksi'!$H$5:$H$92,'Daftar Koreksi'!$G$5:$G$92,D$2,'Daftar Koreksi'!$D$5:$D$92,$A68)</f>
        <v>0</v>
      </c>
      <c r="E68" s="100">
        <f>SUMIFS('Daftar Koreksi'!$H$5:$H$92,'Daftar Koreksi'!$G$5:$G$92,E$2,'Daftar Koreksi'!$D$5:$D$92,$A68)</f>
        <v>50000000</v>
      </c>
      <c r="F68" s="100">
        <f>SUMIFS('Daftar Koreksi'!$H$5:$H$92,'Daftar Koreksi'!$G$5:$G$92,F$2,'Daftar Koreksi'!$D$5:$D$92,$A68)</f>
        <v>0</v>
      </c>
      <c r="G68" s="100">
        <f>SUMIFS('Daftar Koreksi'!$H$5:$H$92,'Daftar Koreksi'!$G$5:$G$92,G$2,'Daftar Koreksi'!$D$5:$D$92,$A68)</f>
        <v>0</v>
      </c>
      <c r="H68" s="100">
        <f>SUMIFS('Daftar Koreksi'!$H$5:$H$92,'Daftar Koreksi'!$G$5:$G$92,H$2,'Daftar Koreksi'!$D$5:$D$92,$A68)</f>
        <v>0</v>
      </c>
      <c r="I68" s="100">
        <f>SUMIFS('Daftar Koreksi'!$H$5:$H$92,'Daftar Koreksi'!$G$5:$G$92,I$2,'Daftar Koreksi'!$D$5:$D$92,$A68)</f>
        <v>0</v>
      </c>
      <c r="J68" s="100">
        <f>SUMIFS('Daftar Koreksi'!$H$5:$H$92,'Daftar Koreksi'!$G$5:$G$92,J$2,'Daftar Koreksi'!$D$5:$D$92,$A68)</f>
        <v>0</v>
      </c>
      <c r="K68" s="100">
        <f>SUMIFS('Daftar Koreksi'!$H$5:$H$92,'Daftar Koreksi'!$G$5:$G$92,K$2,'Daftar Koreksi'!$D$5:$D$92,$A68)</f>
        <v>0</v>
      </c>
      <c r="L68" s="100">
        <f t="shared" si="4"/>
        <v>50000000</v>
      </c>
      <c r="M68" s="112">
        <f>SUMIFS('Daftar Koreksi'!$I$5:$I$92,'Daftar Koreksi'!$D$5:$D$92,'Mutasi Neraca'!$A68,'Daftar Koreksi'!$G$5:$G$92,'Mutasi Neraca'!M$2)</f>
        <v>-5000000</v>
      </c>
      <c r="N68" s="114">
        <f>SUMIFS('Daftar Koreksi'!$I$5:$I$92,'Daftar Koreksi'!$D$5:$D$92,'Mutasi Neraca'!$A68,'Daftar Koreksi'!$G$5:$G$92,'Mutasi Neraca'!N$2)</f>
        <v>0</v>
      </c>
      <c r="O68" s="114">
        <f>SUMIFS('Daftar Koreksi'!$I$5:$I$92,'Daftar Koreksi'!$D$5:$D$92,'Mutasi Neraca'!$A68,'Daftar Koreksi'!$G$5:$G$92,'Mutasi Neraca'!O$2)</f>
        <v>0</v>
      </c>
      <c r="P68" s="114">
        <f>SUMIFS('Daftar Koreksi'!$I$5:$I$92,'Daftar Koreksi'!$D$5:$D$92,'Mutasi Neraca'!$A68,'Daftar Koreksi'!$G$5:$G$92,'Mutasi Neraca'!P$2)</f>
        <v>0</v>
      </c>
      <c r="Q68" s="114">
        <f>SUMIFS('Daftar Koreksi'!$I$5:$I$92,'Daftar Koreksi'!$D$5:$D$92,'Mutasi Neraca'!$A68,'Daftar Koreksi'!$G$5:$G$92,'Mutasi Neraca'!Q$2)</f>
        <v>0</v>
      </c>
      <c r="R68" s="114">
        <f t="shared" si="5"/>
        <v>-5000000</v>
      </c>
      <c r="S68" s="103" t="s">
        <v>2240</v>
      </c>
    </row>
    <row r="69" spans="1:19" s="98" customFormat="1">
      <c r="A69" s="113" t="s">
        <v>117</v>
      </c>
      <c r="B69" s="98" t="s">
        <v>1998</v>
      </c>
      <c r="C69" s="100">
        <f>SUMIFS('Daftar Koreksi'!$H$5:$H$92,'Daftar Koreksi'!$G$5:$G$92,C$2,'Daftar Koreksi'!$D$5:$D$92,$A69)</f>
        <v>0</v>
      </c>
      <c r="D69" s="100">
        <f>SUMIFS('Daftar Koreksi'!$H$5:$H$92,'Daftar Koreksi'!$G$5:$G$92,D$2,'Daftar Koreksi'!$D$5:$D$92,$A69)</f>
        <v>0</v>
      </c>
      <c r="E69" s="100">
        <f>SUMIFS('Daftar Koreksi'!$H$5:$H$92,'Daftar Koreksi'!$G$5:$G$92,E$2,'Daftar Koreksi'!$D$5:$D$92,$A69)</f>
        <v>80881000</v>
      </c>
      <c r="F69" s="100">
        <f>SUMIFS('Daftar Koreksi'!$H$5:$H$92,'Daftar Koreksi'!$G$5:$G$92,F$2,'Daftar Koreksi'!$D$5:$D$92,$A69)</f>
        <v>0</v>
      </c>
      <c r="G69" s="100">
        <f>SUMIFS('Daftar Koreksi'!$H$5:$H$92,'Daftar Koreksi'!$G$5:$G$92,G$2,'Daftar Koreksi'!$D$5:$D$92,$A69)</f>
        <v>0</v>
      </c>
      <c r="H69" s="100">
        <f>SUMIFS('Daftar Koreksi'!$H$5:$H$92,'Daftar Koreksi'!$G$5:$G$92,H$2,'Daftar Koreksi'!$D$5:$D$92,$A69)</f>
        <v>0</v>
      </c>
      <c r="I69" s="100">
        <f>SUMIFS('Daftar Koreksi'!$H$5:$H$92,'Daftar Koreksi'!$G$5:$G$92,I$2,'Daftar Koreksi'!$D$5:$D$92,$A69)</f>
        <v>0</v>
      </c>
      <c r="J69" s="100">
        <f>SUMIFS('Daftar Koreksi'!$H$5:$H$92,'Daftar Koreksi'!$G$5:$G$92,J$2,'Daftar Koreksi'!$D$5:$D$92,$A69)</f>
        <v>0</v>
      </c>
      <c r="K69" s="100">
        <f>SUMIFS('Daftar Koreksi'!$H$5:$H$92,'Daftar Koreksi'!$G$5:$G$92,K$2,'Daftar Koreksi'!$D$5:$D$92,$A69)</f>
        <v>0</v>
      </c>
      <c r="L69" s="100">
        <f t="shared" si="4"/>
        <v>80881000</v>
      </c>
      <c r="M69" s="112">
        <f>SUMIFS('Daftar Koreksi'!$I$5:$I$92,'Daftar Koreksi'!$D$5:$D$92,'Mutasi Neraca'!$A69,'Daftar Koreksi'!$G$5:$G$92,'Mutasi Neraca'!M$2)</f>
        <v>-9090600</v>
      </c>
      <c r="N69" s="114">
        <f>SUMIFS('Daftar Koreksi'!$I$5:$I$92,'Daftar Koreksi'!$D$5:$D$92,'Mutasi Neraca'!$A69,'Daftar Koreksi'!$G$5:$G$92,'Mutasi Neraca'!N$2)</f>
        <v>0</v>
      </c>
      <c r="O69" s="114">
        <f>SUMIFS('Daftar Koreksi'!$I$5:$I$92,'Daftar Koreksi'!$D$5:$D$92,'Mutasi Neraca'!$A69,'Daftar Koreksi'!$G$5:$G$92,'Mutasi Neraca'!O$2)</f>
        <v>0</v>
      </c>
      <c r="P69" s="114">
        <f>SUMIFS('Daftar Koreksi'!$I$5:$I$92,'Daftar Koreksi'!$D$5:$D$92,'Mutasi Neraca'!$A69,'Daftar Koreksi'!$G$5:$G$92,'Mutasi Neraca'!P$2)</f>
        <v>0</v>
      </c>
      <c r="Q69" s="114">
        <f>SUMIFS('Daftar Koreksi'!$I$5:$I$92,'Daftar Koreksi'!$D$5:$D$92,'Mutasi Neraca'!$A69,'Daftar Koreksi'!$G$5:$G$92,'Mutasi Neraca'!Q$2)</f>
        <v>0</v>
      </c>
      <c r="R69" s="114">
        <f t="shared" si="5"/>
        <v>-9090600</v>
      </c>
      <c r="S69" s="110" t="s">
        <v>2241</v>
      </c>
    </row>
    <row r="70" spans="1:19" s="98" customFormat="1">
      <c r="A70" s="113" t="s">
        <v>435</v>
      </c>
      <c r="B70" s="98" t="s">
        <v>2258</v>
      </c>
      <c r="C70" s="100">
        <f>SUMIFS('Daftar Koreksi'!$H$5:$H$92,'Daftar Koreksi'!$G$5:$G$92,C$2,'Daftar Koreksi'!$D$5:$D$92,$A70)</f>
        <v>0</v>
      </c>
      <c r="D70" s="100">
        <f>SUMIFS('Daftar Koreksi'!$H$5:$H$92,'Daftar Koreksi'!$G$5:$G$92,D$2,'Daftar Koreksi'!$D$5:$D$92,$A70)</f>
        <v>0</v>
      </c>
      <c r="E70" s="100">
        <f>SUMIFS('Daftar Koreksi'!$H$5:$H$92,'Daftar Koreksi'!$G$5:$G$92,E$2,'Daftar Koreksi'!$D$5:$D$92,$A70)</f>
        <v>289210000</v>
      </c>
      <c r="F70" s="100">
        <f>SUMIFS('Daftar Koreksi'!$H$5:$H$92,'Daftar Koreksi'!$G$5:$G$92,F$2,'Daftar Koreksi'!$D$5:$D$92,$A70)</f>
        <v>0</v>
      </c>
      <c r="G70" s="100">
        <f>SUMIFS('Daftar Koreksi'!$H$5:$H$92,'Daftar Koreksi'!$G$5:$G$92,G$2,'Daftar Koreksi'!$D$5:$D$92,$A70)</f>
        <v>0</v>
      </c>
      <c r="H70" s="100">
        <f>SUMIFS('Daftar Koreksi'!$H$5:$H$92,'Daftar Koreksi'!$G$5:$G$92,H$2,'Daftar Koreksi'!$D$5:$D$92,$A70)</f>
        <v>0</v>
      </c>
      <c r="I70" s="100">
        <f>SUMIFS('Daftar Koreksi'!$H$5:$H$92,'Daftar Koreksi'!$G$5:$G$92,I$2,'Daftar Koreksi'!$D$5:$D$92,$A70)</f>
        <v>0</v>
      </c>
      <c r="J70" s="100">
        <f>SUMIFS('Daftar Koreksi'!$H$5:$H$92,'Daftar Koreksi'!$G$5:$G$92,J$2,'Daftar Koreksi'!$D$5:$D$92,$A70)</f>
        <v>0</v>
      </c>
      <c r="K70" s="100">
        <f>SUMIFS('Daftar Koreksi'!$H$5:$H$92,'Daftar Koreksi'!$G$5:$G$92,K$2,'Daftar Koreksi'!$D$5:$D$92,$A70)</f>
        <v>0</v>
      </c>
      <c r="L70" s="100">
        <f t="shared" si="4"/>
        <v>289210000</v>
      </c>
      <c r="M70" s="112">
        <f>SUMIFS('Daftar Koreksi'!$I$5:$I$92,'Daftar Koreksi'!$D$5:$D$92,'Mutasi Neraca'!$A70,'Daftar Koreksi'!$G$5:$G$92,'Mutasi Neraca'!M$2)</f>
        <v>-20657857</v>
      </c>
      <c r="N70" s="114">
        <f>SUMIFS('Daftar Koreksi'!$I$5:$I$92,'Daftar Koreksi'!$D$5:$D$92,'Mutasi Neraca'!$A70,'Daftar Koreksi'!$G$5:$G$92,'Mutasi Neraca'!N$2)</f>
        <v>0</v>
      </c>
      <c r="O70" s="114">
        <f>SUMIFS('Daftar Koreksi'!$I$5:$I$92,'Daftar Koreksi'!$D$5:$D$92,'Mutasi Neraca'!$A70,'Daftar Koreksi'!$G$5:$G$92,'Mutasi Neraca'!O$2)</f>
        <v>0</v>
      </c>
      <c r="P70" s="114">
        <f>SUMIFS('Daftar Koreksi'!$I$5:$I$92,'Daftar Koreksi'!$D$5:$D$92,'Mutasi Neraca'!$A70,'Daftar Koreksi'!$G$5:$G$92,'Mutasi Neraca'!P$2)</f>
        <v>0</v>
      </c>
      <c r="Q70" s="114">
        <f>SUMIFS('Daftar Koreksi'!$I$5:$I$92,'Daftar Koreksi'!$D$5:$D$92,'Mutasi Neraca'!$A70,'Daftar Koreksi'!$G$5:$G$92,'Mutasi Neraca'!Q$2)</f>
        <v>0</v>
      </c>
      <c r="R70" s="114">
        <f t="shared" si="5"/>
        <v>-20657857</v>
      </c>
      <c r="S70" s="103" t="s">
        <v>2243</v>
      </c>
    </row>
    <row r="71" spans="1:19" s="98" customFormat="1">
      <c r="A71" s="98" t="s">
        <v>382</v>
      </c>
      <c r="B71" s="98" t="s">
        <v>1520</v>
      </c>
      <c r="C71" s="100">
        <f>SUMIFS('Daftar Koreksi'!$H$5:$H$92,'Daftar Koreksi'!$G$5:$G$92,C$2,'Daftar Koreksi'!$D$5:$D$92,$A71)</f>
        <v>0</v>
      </c>
      <c r="D71" s="100">
        <f>SUMIFS('Daftar Koreksi'!$H$5:$H$92,'Daftar Koreksi'!$G$5:$G$92,D$2,'Daftar Koreksi'!$D$5:$D$92,$A71)</f>
        <v>815000000</v>
      </c>
      <c r="E71" s="100">
        <f>SUMIFS('Daftar Koreksi'!$H$5:$H$92,'Daftar Koreksi'!$G$5:$G$92,E$2,'Daftar Koreksi'!$D$5:$D$92,$A71)</f>
        <v>0</v>
      </c>
      <c r="F71" s="100">
        <f>SUMIFS('Daftar Koreksi'!$H$5:$H$92,'Daftar Koreksi'!$G$5:$G$92,F$2,'Daftar Koreksi'!$D$5:$D$92,$A71)</f>
        <v>0</v>
      </c>
      <c r="G71" s="100">
        <f>SUMIFS('Daftar Koreksi'!$H$5:$H$92,'Daftar Koreksi'!$G$5:$G$92,G$2,'Daftar Koreksi'!$D$5:$D$92,$A71)</f>
        <v>0</v>
      </c>
      <c r="H71" s="100">
        <f>SUMIFS('Daftar Koreksi'!$H$5:$H$92,'Daftar Koreksi'!$G$5:$G$92,H$2,'Daftar Koreksi'!$D$5:$D$92,$A71)</f>
        <v>0</v>
      </c>
      <c r="I71" s="100">
        <f>SUMIFS('Daftar Koreksi'!$H$5:$H$92,'Daftar Koreksi'!$G$5:$G$92,I$2,'Daftar Koreksi'!$D$5:$D$92,$A71)</f>
        <v>0</v>
      </c>
      <c r="J71" s="100">
        <f>SUMIFS('Daftar Koreksi'!$H$5:$H$92,'Daftar Koreksi'!$G$5:$G$92,J$2,'Daftar Koreksi'!$D$5:$D$92,$A71)</f>
        <v>0</v>
      </c>
      <c r="K71" s="100">
        <f>SUMIFS('Daftar Koreksi'!$H$5:$H$92,'Daftar Koreksi'!$G$5:$G$92,K$2,'Daftar Koreksi'!$D$5:$D$92,$A71)</f>
        <v>0</v>
      </c>
      <c r="L71" s="100">
        <f t="shared" si="4"/>
        <v>815000000</v>
      </c>
      <c r="M71" s="114">
        <f>SUMIFS('Daftar Koreksi'!$I$5:$I$92,'Daftar Koreksi'!$D$5:$D$92,'Mutasi Neraca'!$A71,'Daftar Koreksi'!$G$5:$G$92,'Mutasi Neraca'!M$2)</f>
        <v>0</v>
      </c>
      <c r="N71" s="114">
        <f>SUMIFS('Daftar Koreksi'!$I$5:$I$92,'Daftar Koreksi'!$D$5:$D$92,'Mutasi Neraca'!$A71,'Daftar Koreksi'!$G$5:$G$92,'Mutasi Neraca'!N$2)</f>
        <v>0</v>
      </c>
      <c r="O71" s="114">
        <f>SUMIFS('Daftar Koreksi'!$I$5:$I$92,'Daftar Koreksi'!$D$5:$D$92,'Mutasi Neraca'!$A71,'Daftar Koreksi'!$G$5:$G$92,'Mutasi Neraca'!O$2)</f>
        <v>0</v>
      </c>
      <c r="P71" s="114">
        <f>SUMIFS('Daftar Koreksi'!$I$5:$I$92,'Daftar Koreksi'!$D$5:$D$92,'Mutasi Neraca'!$A71,'Daftar Koreksi'!$G$5:$G$92,'Mutasi Neraca'!P$2)</f>
        <v>0</v>
      </c>
      <c r="Q71" s="114">
        <f>SUMIFS('Daftar Koreksi'!$I$5:$I$92,'Daftar Koreksi'!$D$5:$D$92,'Mutasi Neraca'!$A71,'Daftar Koreksi'!$G$5:$G$92,'Mutasi Neraca'!Q$2)</f>
        <v>0</v>
      </c>
      <c r="R71" s="114">
        <f t="shared" si="5"/>
        <v>0</v>
      </c>
      <c r="S71" s="103" t="s">
        <v>2244</v>
      </c>
    </row>
    <row r="72" spans="1:19" s="98" customFormat="1">
      <c r="A72" s="98" t="s">
        <v>220</v>
      </c>
      <c r="B72" s="98" t="s">
        <v>1364</v>
      </c>
      <c r="C72" s="100">
        <f>SUMIFS('Daftar Koreksi'!$H$5:$H$92,'Daftar Koreksi'!$G$5:$G$92,C$2,'Daftar Koreksi'!$D$5:$D$92,$A72)</f>
        <v>0</v>
      </c>
      <c r="D72" s="100">
        <f>SUMIFS('Daftar Koreksi'!$H$5:$H$92,'Daftar Koreksi'!$G$5:$G$92,D$2,'Daftar Koreksi'!$D$5:$D$92,$A72)</f>
        <v>64430434</v>
      </c>
      <c r="E72" s="100">
        <f>SUMIFS('Daftar Koreksi'!$H$5:$H$92,'Daftar Koreksi'!$G$5:$G$92,E$2,'Daftar Koreksi'!$D$5:$D$92,$A72)</f>
        <v>0</v>
      </c>
      <c r="F72" s="100">
        <f>SUMIFS('Daftar Koreksi'!$H$5:$H$92,'Daftar Koreksi'!$G$5:$G$92,F$2,'Daftar Koreksi'!$D$5:$D$92,$A72)</f>
        <v>0</v>
      </c>
      <c r="G72" s="100">
        <f>SUMIFS('Daftar Koreksi'!$H$5:$H$92,'Daftar Koreksi'!$G$5:$G$92,G$2,'Daftar Koreksi'!$D$5:$D$92,$A72)</f>
        <v>0</v>
      </c>
      <c r="H72" s="100">
        <f>SUMIFS('Daftar Koreksi'!$H$5:$H$92,'Daftar Koreksi'!$G$5:$G$92,H$2,'Daftar Koreksi'!$D$5:$D$92,$A72)</f>
        <v>0</v>
      </c>
      <c r="I72" s="100">
        <f>SUMIFS('Daftar Koreksi'!$H$5:$H$92,'Daftar Koreksi'!$G$5:$G$92,I$2,'Daftar Koreksi'!$D$5:$D$92,$A72)</f>
        <v>0</v>
      </c>
      <c r="J72" s="100">
        <f>SUMIFS('Daftar Koreksi'!$H$5:$H$92,'Daftar Koreksi'!$G$5:$G$92,J$2,'Daftar Koreksi'!$D$5:$D$92,$A72)</f>
        <v>0</v>
      </c>
      <c r="K72" s="100">
        <f>SUMIFS('Daftar Koreksi'!$H$5:$H$92,'Daftar Koreksi'!$G$5:$G$92,K$2,'Daftar Koreksi'!$D$5:$D$92,$A72)</f>
        <v>0</v>
      </c>
      <c r="L72" s="100">
        <f t="shared" si="4"/>
        <v>64430434</v>
      </c>
      <c r="M72" s="114">
        <f>SUMIFS('Daftar Koreksi'!$I$5:$I$92,'Daftar Koreksi'!$D$5:$D$92,'Mutasi Neraca'!$A72,'Daftar Koreksi'!$G$5:$G$92,'Mutasi Neraca'!M$2)</f>
        <v>0</v>
      </c>
      <c r="N72" s="114">
        <f>SUMIFS('Daftar Koreksi'!$I$5:$I$92,'Daftar Koreksi'!$D$5:$D$92,'Mutasi Neraca'!$A72,'Daftar Koreksi'!$G$5:$G$92,'Mutasi Neraca'!N$2)</f>
        <v>0</v>
      </c>
      <c r="O72" s="114">
        <f>SUMIFS('Daftar Koreksi'!$I$5:$I$92,'Daftar Koreksi'!$D$5:$D$92,'Mutasi Neraca'!$A72,'Daftar Koreksi'!$G$5:$G$92,'Mutasi Neraca'!O$2)</f>
        <v>0</v>
      </c>
      <c r="P72" s="114">
        <f>SUMIFS('Daftar Koreksi'!$I$5:$I$92,'Daftar Koreksi'!$D$5:$D$92,'Mutasi Neraca'!$A72,'Daftar Koreksi'!$G$5:$G$92,'Mutasi Neraca'!P$2)</f>
        <v>0</v>
      </c>
      <c r="Q72" s="114">
        <f>SUMIFS('Daftar Koreksi'!$I$5:$I$92,'Daftar Koreksi'!$D$5:$D$92,'Mutasi Neraca'!$A72,'Daftar Koreksi'!$G$5:$G$92,'Mutasi Neraca'!Q$2)</f>
        <v>0</v>
      </c>
      <c r="R72" s="114">
        <f t="shared" si="5"/>
        <v>0</v>
      </c>
      <c r="S72" s="103" t="s">
        <v>2245</v>
      </c>
    </row>
    <row r="73" spans="1:19" s="98" customFormat="1">
      <c r="A73" s="98" t="s">
        <v>558</v>
      </c>
      <c r="B73" s="98" t="s">
        <v>1696</v>
      </c>
      <c r="C73" s="100">
        <f>SUMIFS('Daftar Koreksi'!$H$5:$H$92,'Daftar Koreksi'!$G$5:$G$92,C$2,'Daftar Koreksi'!$D$5:$D$92,$A73)</f>
        <v>0</v>
      </c>
      <c r="D73" s="100">
        <f>SUMIFS('Daftar Koreksi'!$H$5:$H$92,'Daftar Koreksi'!$G$5:$G$92,D$2,'Daftar Koreksi'!$D$5:$D$92,$A73)</f>
        <v>0</v>
      </c>
      <c r="E73" s="100">
        <f>SUMIFS('Daftar Koreksi'!$H$5:$H$92,'Daftar Koreksi'!$G$5:$G$92,E$2,'Daftar Koreksi'!$D$5:$D$92,$A73)</f>
        <v>3000000</v>
      </c>
      <c r="F73" s="100">
        <f>SUMIFS('Daftar Koreksi'!$H$5:$H$92,'Daftar Koreksi'!$G$5:$G$92,F$2,'Daftar Koreksi'!$D$5:$D$92,$A73)</f>
        <v>0</v>
      </c>
      <c r="G73" s="100">
        <f>SUMIFS('Daftar Koreksi'!$H$5:$H$92,'Daftar Koreksi'!$G$5:$G$92,G$2,'Daftar Koreksi'!$D$5:$D$92,$A73)</f>
        <v>0</v>
      </c>
      <c r="H73" s="100">
        <f>SUMIFS('Daftar Koreksi'!$H$5:$H$92,'Daftar Koreksi'!$G$5:$G$92,H$2,'Daftar Koreksi'!$D$5:$D$92,$A73)</f>
        <v>0</v>
      </c>
      <c r="I73" s="100">
        <f>SUMIFS('Daftar Koreksi'!$H$5:$H$92,'Daftar Koreksi'!$G$5:$G$92,I$2,'Daftar Koreksi'!$D$5:$D$92,$A73)</f>
        <v>0</v>
      </c>
      <c r="J73" s="100">
        <f>SUMIFS('Daftar Koreksi'!$H$5:$H$92,'Daftar Koreksi'!$G$5:$G$92,J$2,'Daftar Koreksi'!$D$5:$D$92,$A73)</f>
        <v>0</v>
      </c>
      <c r="K73" s="100">
        <f>SUMIFS('Daftar Koreksi'!$H$5:$H$92,'Daftar Koreksi'!$G$5:$G$92,K$2,'Daftar Koreksi'!$D$5:$D$92,$A73)</f>
        <v>0</v>
      </c>
      <c r="L73" s="100">
        <f t="shared" si="4"/>
        <v>3000000</v>
      </c>
      <c r="M73" s="112">
        <f>SUMIFS('Daftar Koreksi'!$I$5:$I$92,'Daftar Koreksi'!$D$5:$D$92,'Mutasi Neraca'!$A73,'Daftar Koreksi'!$G$5:$G$92,'Mutasi Neraca'!M$2)</f>
        <v>-300000</v>
      </c>
      <c r="N73" s="114">
        <f>SUMIFS('Daftar Koreksi'!$I$5:$I$92,'Daftar Koreksi'!$D$5:$D$92,'Mutasi Neraca'!$A73,'Daftar Koreksi'!$G$5:$G$92,'Mutasi Neraca'!N$2)</f>
        <v>0</v>
      </c>
      <c r="O73" s="114">
        <f>SUMIFS('Daftar Koreksi'!$I$5:$I$92,'Daftar Koreksi'!$D$5:$D$92,'Mutasi Neraca'!$A73,'Daftar Koreksi'!$G$5:$G$92,'Mutasi Neraca'!O$2)</f>
        <v>0</v>
      </c>
      <c r="P73" s="114">
        <f>SUMIFS('Daftar Koreksi'!$I$5:$I$92,'Daftar Koreksi'!$D$5:$D$92,'Mutasi Neraca'!$A73,'Daftar Koreksi'!$G$5:$G$92,'Mutasi Neraca'!P$2)</f>
        <v>0</v>
      </c>
      <c r="Q73" s="114">
        <f>SUMIFS('Daftar Koreksi'!$I$5:$I$92,'Daftar Koreksi'!$D$5:$D$92,'Mutasi Neraca'!$A73,'Daftar Koreksi'!$G$5:$G$92,'Mutasi Neraca'!Q$2)</f>
        <v>0</v>
      </c>
      <c r="R73" s="114">
        <f t="shared" si="5"/>
        <v>-300000</v>
      </c>
      <c r="S73" s="103" t="s">
        <v>2246</v>
      </c>
    </row>
    <row r="74" spans="1:19" s="98" customFormat="1">
      <c r="A74" s="98" t="s">
        <v>429</v>
      </c>
      <c r="B74" s="98" t="s">
        <v>1567</v>
      </c>
      <c r="C74" s="100">
        <f>SUMIFS('Daftar Koreksi'!$H$5:$H$92,'Daftar Koreksi'!$G$5:$G$92,C$2,'Daftar Koreksi'!$D$5:$D$92,$A74)</f>
        <v>0</v>
      </c>
      <c r="D74" s="100">
        <f>SUMIFS('Daftar Koreksi'!$H$5:$H$92,'Daftar Koreksi'!$G$5:$G$92,D$2,'Daftar Koreksi'!$D$5:$D$92,$A74)</f>
        <v>0</v>
      </c>
      <c r="E74" s="100">
        <f>SUMIFS('Daftar Koreksi'!$H$5:$H$92,'Daftar Koreksi'!$G$5:$G$92,E$2,'Daftar Koreksi'!$D$5:$D$92,$A74)</f>
        <v>0</v>
      </c>
      <c r="F74" s="100">
        <f>SUMIFS('Daftar Koreksi'!$H$5:$H$92,'Daftar Koreksi'!$G$5:$G$92,F$2,'Daftar Koreksi'!$D$5:$D$92,$A74)</f>
        <v>90000000</v>
      </c>
      <c r="G74" s="100">
        <f>SUMIFS('Daftar Koreksi'!$H$5:$H$92,'Daftar Koreksi'!$G$5:$G$92,G$2,'Daftar Koreksi'!$D$5:$D$92,$A74)</f>
        <v>0</v>
      </c>
      <c r="H74" s="100">
        <f>SUMIFS('Daftar Koreksi'!$H$5:$H$92,'Daftar Koreksi'!$G$5:$G$92,H$2,'Daftar Koreksi'!$D$5:$D$92,$A74)</f>
        <v>0</v>
      </c>
      <c r="I74" s="100">
        <f>SUMIFS('Daftar Koreksi'!$H$5:$H$92,'Daftar Koreksi'!$G$5:$G$92,I$2,'Daftar Koreksi'!$D$5:$D$92,$A74)</f>
        <v>0</v>
      </c>
      <c r="J74" s="100">
        <f>SUMIFS('Daftar Koreksi'!$H$5:$H$92,'Daftar Koreksi'!$G$5:$G$92,J$2,'Daftar Koreksi'!$D$5:$D$92,$A74)</f>
        <v>0</v>
      </c>
      <c r="K74" s="100">
        <f>SUMIFS('Daftar Koreksi'!$H$5:$H$92,'Daftar Koreksi'!$G$5:$G$92,K$2,'Daftar Koreksi'!$D$5:$D$92,$A74)</f>
        <v>0</v>
      </c>
      <c r="L74" s="100">
        <f t="shared" si="4"/>
        <v>90000000</v>
      </c>
      <c r="M74" s="114">
        <f>SUMIFS('Daftar Koreksi'!$I$5:$I$92,'Daftar Koreksi'!$D$5:$D$92,'Mutasi Neraca'!$A74,'Daftar Koreksi'!$G$5:$G$92,'Mutasi Neraca'!M$2)</f>
        <v>0</v>
      </c>
      <c r="N74" s="112">
        <f>SUMIFS('Daftar Koreksi'!$I$5:$I$92,'Daftar Koreksi'!$D$5:$D$92,'Mutasi Neraca'!$A74,'Daftar Koreksi'!$G$5:$G$92,'Mutasi Neraca'!N$2)</f>
        <v>-900000</v>
      </c>
      <c r="O74" s="114">
        <f>SUMIFS('Daftar Koreksi'!$I$5:$I$92,'Daftar Koreksi'!$D$5:$D$92,'Mutasi Neraca'!$A74,'Daftar Koreksi'!$G$5:$G$92,'Mutasi Neraca'!O$2)</f>
        <v>0</v>
      </c>
      <c r="P74" s="114">
        <f>SUMIFS('Daftar Koreksi'!$I$5:$I$92,'Daftar Koreksi'!$D$5:$D$92,'Mutasi Neraca'!$A74,'Daftar Koreksi'!$G$5:$G$92,'Mutasi Neraca'!P$2)</f>
        <v>0</v>
      </c>
      <c r="Q74" s="114">
        <f>SUMIFS('Daftar Koreksi'!$I$5:$I$92,'Daftar Koreksi'!$D$5:$D$92,'Mutasi Neraca'!$A74,'Daftar Koreksi'!$G$5:$G$92,'Mutasi Neraca'!Q$2)</f>
        <v>0</v>
      </c>
      <c r="R74" s="114">
        <f t="shared" si="5"/>
        <v>-900000</v>
      </c>
      <c r="S74" s="103" t="s">
        <v>2247</v>
      </c>
    </row>
    <row r="75" spans="1:19" s="98" customFormat="1">
      <c r="A75" s="98" t="s">
        <v>769</v>
      </c>
      <c r="B75" s="98" t="s">
        <v>2259</v>
      </c>
      <c r="C75" s="100">
        <f>SUMIFS('Daftar Koreksi'!$H$5:$H$92,'Daftar Koreksi'!$G$5:$G$92,C$2,'Daftar Koreksi'!$D$5:$D$92,$A75)</f>
        <v>0</v>
      </c>
      <c r="D75" s="100">
        <f>SUMIFS('Daftar Koreksi'!$H$5:$H$92,'Daftar Koreksi'!$G$5:$G$92,D$2,'Daftar Koreksi'!$D$5:$D$92,$A75)</f>
        <v>217218000</v>
      </c>
      <c r="E75" s="100">
        <f>SUMIFS('Daftar Koreksi'!$H$5:$H$92,'Daftar Koreksi'!$G$5:$G$92,E$2,'Daftar Koreksi'!$D$5:$D$92,$A75)</f>
        <v>0</v>
      </c>
      <c r="F75" s="100">
        <f>SUMIFS('Daftar Koreksi'!$H$5:$H$92,'Daftar Koreksi'!$G$5:$G$92,F$2,'Daftar Koreksi'!$D$5:$D$92,$A75)</f>
        <v>2591568720</v>
      </c>
      <c r="G75" s="100">
        <f>SUMIFS('Daftar Koreksi'!$H$5:$H$92,'Daftar Koreksi'!$G$5:$G$92,G$2,'Daftar Koreksi'!$D$5:$D$92,$A75)</f>
        <v>0</v>
      </c>
      <c r="H75" s="100">
        <f>SUMIFS('Daftar Koreksi'!$H$5:$H$92,'Daftar Koreksi'!$G$5:$G$92,H$2,'Daftar Koreksi'!$D$5:$D$92,$A75)</f>
        <v>0</v>
      </c>
      <c r="I75" s="100">
        <f>SUMIFS('Daftar Koreksi'!$H$5:$H$92,'Daftar Koreksi'!$G$5:$G$92,I$2,'Daftar Koreksi'!$D$5:$D$92,$A75)</f>
        <v>0</v>
      </c>
      <c r="J75" s="100">
        <f>SUMIFS('Daftar Koreksi'!$H$5:$H$92,'Daftar Koreksi'!$G$5:$G$92,J$2,'Daftar Koreksi'!$D$5:$D$92,$A75)</f>
        <v>0</v>
      </c>
      <c r="K75" s="100">
        <f>SUMIFS('Daftar Koreksi'!$H$5:$H$92,'Daftar Koreksi'!$G$5:$G$92,K$2,'Daftar Koreksi'!$D$5:$D$92,$A75)</f>
        <v>0</v>
      </c>
      <c r="L75" s="100">
        <f t="shared" si="4"/>
        <v>2808786720</v>
      </c>
      <c r="M75" s="114">
        <f>SUMIFS('Daftar Koreksi'!$I$5:$I$92,'Daftar Koreksi'!$D$5:$D$92,'Mutasi Neraca'!$A75,'Daftar Koreksi'!$G$5:$G$92,'Mutasi Neraca'!M$2)</f>
        <v>0</v>
      </c>
      <c r="N75" s="112">
        <f>SUMIFS('Daftar Koreksi'!$I$5:$I$92,'Daftar Koreksi'!$D$5:$D$92,'Mutasi Neraca'!$A75,'Daftar Koreksi'!$G$5:$G$92,'Mutasi Neraca'!N$2)</f>
        <v>-25915687</v>
      </c>
      <c r="O75" s="114">
        <f>SUMIFS('Daftar Koreksi'!$I$5:$I$92,'Daftar Koreksi'!$D$5:$D$92,'Mutasi Neraca'!$A75,'Daftar Koreksi'!$G$5:$G$92,'Mutasi Neraca'!O$2)</f>
        <v>0</v>
      </c>
      <c r="P75" s="114">
        <f>SUMIFS('Daftar Koreksi'!$I$5:$I$92,'Daftar Koreksi'!$D$5:$D$92,'Mutasi Neraca'!$A75,'Daftar Koreksi'!$G$5:$G$92,'Mutasi Neraca'!P$2)</f>
        <v>0</v>
      </c>
      <c r="Q75" s="114">
        <f>SUMIFS('Daftar Koreksi'!$I$5:$I$92,'Daftar Koreksi'!$D$5:$D$92,'Mutasi Neraca'!$A75,'Daftar Koreksi'!$G$5:$G$92,'Mutasi Neraca'!Q$2)</f>
        <v>0</v>
      </c>
      <c r="R75" s="114">
        <f t="shared" si="5"/>
        <v>-25915687</v>
      </c>
      <c r="S75" s="102" t="s">
        <v>2249</v>
      </c>
    </row>
    <row r="76" spans="1:19" s="98" customFormat="1">
      <c r="A76" s="98" t="s">
        <v>410</v>
      </c>
      <c r="B76" s="98" t="s">
        <v>2260</v>
      </c>
      <c r="C76" s="100">
        <f>SUMIFS('Daftar Koreksi'!$H$5:$H$92,'Daftar Koreksi'!$G$5:$G$92,C$2,'Daftar Koreksi'!$D$5:$D$92,$A76)</f>
        <v>0</v>
      </c>
      <c r="D76" s="100">
        <f>SUMIFS('Daftar Koreksi'!$H$5:$H$92,'Daftar Koreksi'!$G$5:$G$92,D$2,'Daftar Koreksi'!$D$5:$D$92,$A76)</f>
        <v>209584473</v>
      </c>
      <c r="E76" s="100">
        <f>SUMIFS('Daftar Koreksi'!$H$5:$H$92,'Daftar Koreksi'!$G$5:$G$92,E$2,'Daftar Koreksi'!$D$5:$D$92,$A76)</f>
        <v>0</v>
      </c>
      <c r="F76" s="100">
        <f>SUMIFS('Daftar Koreksi'!$H$5:$H$92,'Daftar Koreksi'!$G$5:$G$92,F$2,'Daftar Koreksi'!$D$5:$D$92,$A76)</f>
        <v>0</v>
      </c>
      <c r="G76" s="100">
        <f>SUMIFS('Daftar Koreksi'!$H$5:$H$92,'Daftar Koreksi'!$G$5:$G$92,G$2,'Daftar Koreksi'!$D$5:$D$92,$A76)</f>
        <v>0</v>
      </c>
      <c r="H76" s="100">
        <f>SUMIFS('Daftar Koreksi'!$H$5:$H$92,'Daftar Koreksi'!$G$5:$G$92,H$2,'Daftar Koreksi'!$D$5:$D$92,$A76)</f>
        <v>0</v>
      </c>
      <c r="I76" s="100">
        <f>SUMIFS('Daftar Koreksi'!$H$5:$H$92,'Daftar Koreksi'!$G$5:$G$92,I$2,'Daftar Koreksi'!$D$5:$D$92,$A76)</f>
        <v>0</v>
      </c>
      <c r="J76" s="100">
        <f>SUMIFS('Daftar Koreksi'!$H$5:$H$92,'Daftar Koreksi'!$G$5:$G$92,J$2,'Daftar Koreksi'!$D$5:$D$92,$A76)</f>
        <v>0</v>
      </c>
      <c r="K76" s="100">
        <f>SUMIFS('Daftar Koreksi'!$H$5:$H$92,'Daftar Koreksi'!$G$5:$G$92,K$2,'Daftar Koreksi'!$D$5:$D$92,$A76)</f>
        <v>0</v>
      </c>
      <c r="L76" s="100">
        <f t="shared" si="4"/>
        <v>209584473</v>
      </c>
      <c r="M76" s="114">
        <f>SUMIFS('Daftar Koreksi'!$I$5:$I$92,'Daftar Koreksi'!$D$5:$D$92,'Mutasi Neraca'!$A76,'Daftar Koreksi'!$G$5:$G$92,'Mutasi Neraca'!M$2)</f>
        <v>0</v>
      </c>
      <c r="N76" s="114">
        <f>SUMIFS('Daftar Koreksi'!$I$5:$I$92,'Daftar Koreksi'!$D$5:$D$92,'Mutasi Neraca'!$A76,'Daftar Koreksi'!$G$5:$G$92,'Mutasi Neraca'!N$2)</f>
        <v>0</v>
      </c>
      <c r="O76" s="114">
        <f>SUMIFS('Daftar Koreksi'!$I$5:$I$92,'Daftar Koreksi'!$D$5:$D$92,'Mutasi Neraca'!$A76,'Daftar Koreksi'!$G$5:$G$92,'Mutasi Neraca'!O$2)</f>
        <v>0</v>
      </c>
      <c r="P76" s="114">
        <f>SUMIFS('Daftar Koreksi'!$I$5:$I$92,'Daftar Koreksi'!$D$5:$D$92,'Mutasi Neraca'!$A76,'Daftar Koreksi'!$G$5:$G$92,'Mutasi Neraca'!P$2)</f>
        <v>0</v>
      </c>
      <c r="Q76" s="114">
        <f>SUMIFS('Daftar Koreksi'!$I$5:$I$92,'Daftar Koreksi'!$D$5:$D$92,'Mutasi Neraca'!$A76,'Daftar Koreksi'!$G$5:$G$92,'Mutasi Neraca'!Q$2)</f>
        <v>0</v>
      </c>
      <c r="R76" s="114">
        <f t="shared" si="5"/>
        <v>0</v>
      </c>
      <c r="S76" s="102" t="s">
        <v>2251</v>
      </c>
    </row>
    <row r="77" spans="1:19" s="98" customFormat="1">
      <c r="A77" s="98" t="s">
        <v>379</v>
      </c>
      <c r="B77" s="98" t="s">
        <v>1517</v>
      </c>
      <c r="C77" s="100">
        <f>SUMIFS('Daftar Koreksi'!$H$5:$H$92,'Daftar Koreksi'!$G$5:$G$92,C$2,'Daftar Koreksi'!$D$5:$D$92,$A77)</f>
        <v>0</v>
      </c>
      <c r="D77" s="100">
        <f>SUMIFS('Daftar Koreksi'!$H$5:$H$92,'Daftar Koreksi'!$G$5:$G$92,D$2,'Daftar Koreksi'!$D$5:$D$92,$A77)</f>
        <v>50000000</v>
      </c>
      <c r="E77" s="100">
        <f>SUMIFS('Daftar Koreksi'!$H$5:$H$92,'Daftar Koreksi'!$G$5:$G$92,E$2,'Daftar Koreksi'!$D$5:$D$92,$A77)</f>
        <v>0</v>
      </c>
      <c r="F77" s="100">
        <f>SUMIFS('Daftar Koreksi'!$H$5:$H$92,'Daftar Koreksi'!$G$5:$G$92,F$2,'Daftar Koreksi'!$D$5:$D$92,$A77)</f>
        <v>0</v>
      </c>
      <c r="G77" s="100">
        <f>SUMIFS('Daftar Koreksi'!$H$5:$H$92,'Daftar Koreksi'!$G$5:$G$92,G$2,'Daftar Koreksi'!$D$5:$D$92,$A77)</f>
        <v>0</v>
      </c>
      <c r="H77" s="100">
        <f>SUMIFS('Daftar Koreksi'!$H$5:$H$92,'Daftar Koreksi'!$G$5:$G$92,H$2,'Daftar Koreksi'!$D$5:$D$92,$A77)</f>
        <v>0</v>
      </c>
      <c r="I77" s="100">
        <f>SUMIFS('Daftar Koreksi'!$H$5:$H$92,'Daftar Koreksi'!$G$5:$G$92,I$2,'Daftar Koreksi'!$D$5:$D$92,$A77)</f>
        <v>0</v>
      </c>
      <c r="J77" s="100">
        <f>SUMIFS('Daftar Koreksi'!$H$5:$H$92,'Daftar Koreksi'!$G$5:$G$92,J$2,'Daftar Koreksi'!$D$5:$D$92,$A77)</f>
        <v>0</v>
      </c>
      <c r="K77" s="100">
        <f>SUMIFS('Daftar Koreksi'!$H$5:$H$92,'Daftar Koreksi'!$G$5:$G$92,K$2,'Daftar Koreksi'!$D$5:$D$92,$A77)</f>
        <v>0</v>
      </c>
      <c r="L77" s="100">
        <f t="shared" si="4"/>
        <v>50000000</v>
      </c>
      <c r="M77" s="114">
        <f>SUMIFS('Daftar Koreksi'!$I$5:$I$92,'Daftar Koreksi'!$D$5:$D$92,'Mutasi Neraca'!$A77,'Daftar Koreksi'!$G$5:$G$92,'Mutasi Neraca'!M$2)</f>
        <v>0</v>
      </c>
      <c r="N77" s="114">
        <f>SUMIFS('Daftar Koreksi'!$I$5:$I$92,'Daftar Koreksi'!$D$5:$D$92,'Mutasi Neraca'!$A77,'Daftar Koreksi'!$G$5:$G$92,'Mutasi Neraca'!N$2)</f>
        <v>0</v>
      </c>
      <c r="O77" s="114">
        <f>SUMIFS('Daftar Koreksi'!$I$5:$I$92,'Daftar Koreksi'!$D$5:$D$92,'Mutasi Neraca'!$A77,'Daftar Koreksi'!$G$5:$G$92,'Mutasi Neraca'!O$2)</f>
        <v>0</v>
      </c>
      <c r="P77" s="114">
        <f>SUMIFS('Daftar Koreksi'!$I$5:$I$92,'Daftar Koreksi'!$D$5:$D$92,'Mutasi Neraca'!$A77,'Daftar Koreksi'!$G$5:$G$92,'Mutasi Neraca'!P$2)</f>
        <v>0</v>
      </c>
      <c r="Q77" s="114">
        <f>SUMIFS('Daftar Koreksi'!$I$5:$I$92,'Daftar Koreksi'!$D$5:$D$92,'Mutasi Neraca'!$A77,'Daftar Koreksi'!$G$5:$G$92,'Mutasi Neraca'!Q$2)</f>
        <v>0</v>
      </c>
      <c r="R77" s="114">
        <f t="shared" si="5"/>
        <v>0</v>
      </c>
      <c r="S77" s="103" t="s">
        <v>2252</v>
      </c>
    </row>
    <row r="78" spans="1:19" s="98" customFormat="1">
      <c r="A78" s="98" t="s">
        <v>450</v>
      </c>
      <c r="B78" s="98" t="s">
        <v>1975</v>
      </c>
      <c r="C78" s="100">
        <f>SUMIFS('Daftar Koreksi'!$H$5:$H$92,'Daftar Koreksi'!$G$5:$G$92,C$2,'Daftar Koreksi'!$D$5:$D$92,$A78)</f>
        <v>0</v>
      </c>
      <c r="D78" s="100">
        <f>SUMIFS('Daftar Koreksi'!$H$5:$H$92,'Daftar Koreksi'!$G$5:$G$92,D$2,'Daftar Koreksi'!$D$5:$D$92,$A78)</f>
        <v>-1660800000</v>
      </c>
      <c r="E78" s="100">
        <f>SUMIFS('Daftar Koreksi'!$H$5:$H$92,'Daftar Koreksi'!$G$5:$G$92,E$2,'Daftar Koreksi'!$D$5:$D$92,$A78)</f>
        <v>0</v>
      </c>
      <c r="F78" s="100">
        <f>SUMIFS('Daftar Koreksi'!$H$5:$H$92,'Daftar Koreksi'!$G$5:$G$92,F$2,'Daftar Koreksi'!$D$5:$D$92,$A78)</f>
        <v>1660800000</v>
      </c>
      <c r="G78" s="100">
        <f>SUMIFS('Daftar Koreksi'!$H$5:$H$92,'Daftar Koreksi'!$G$5:$G$92,G$2,'Daftar Koreksi'!$D$5:$D$92,$A78)</f>
        <v>0</v>
      </c>
      <c r="H78" s="100">
        <f>SUMIFS('Daftar Koreksi'!$H$5:$H$92,'Daftar Koreksi'!$G$5:$G$92,H$2,'Daftar Koreksi'!$D$5:$D$92,$A78)</f>
        <v>0</v>
      </c>
      <c r="I78" s="100">
        <f>SUMIFS('Daftar Koreksi'!$H$5:$H$92,'Daftar Koreksi'!$G$5:$G$92,I$2,'Daftar Koreksi'!$D$5:$D$92,$A78)</f>
        <v>0</v>
      </c>
      <c r="J78" s="100">
        <f>SUMIFS('Daftar Koreksi'!$H$5:$H$92,'Daftar Koreksi'!$G$5:$G$92,J$2,'Daftar Koreksi'!$D$5:$D$92,$A78)</f>
        <v>0</v>
      </c>
      <c r="K78" s="100">
        <f>SUMIFS('Daftar Koreksi'!$H$5:$H$92,'Daftar Koreksi'!$G$5:$G$92,K$2,'Daftar Koreksi'!$D$5:$D$92,$A78)</f>
        <v>0</v>
      </c>
      <c r="L78" s="100">
        <f t="shared" si="4"/>
        <v>0</v>
      </c>
      <c r="M78" s="114">
        <f>SUMIFS('Daftar Koreksi'!$I$5:$I$92,'Daftar Koreksi'!$D$5:$D$92,'Mutasi Neraca'!$A78,'Daftar Koreksi'!$G$5:$G$92,'Mutasi Neraca'!M$2)</f>
        <v>0</v>
      </c>
      <c r="N78" s="112">
        <f>SUMIFS('Daftar Koreksi'!$I$5:$I$92,'Daftar Koreksi'!$D$5:$D$92,'Mutasi Neraca'!$A78,'Daftar Koreksi'!$G$5:$G$92,'Mutasi Neraca'!N$2)</f>
        <v>-16608000</v>
      </c>
      <c r="O78" s="114">
        <f>SUMIFS('Daftar Koreksi'!$I$5:$I$92,'Daftar Koreksi'!$D$5:$D$92,'Mutasi Neraca'!$A78,'Daftar Koreksi'!$G$5:$G$92,'Mutasi Neraca'!O$2)</f>
        <v>0</v>
      </c>
      <c r="P78" s="114">
        <f>SUMIFS('Daftar Koreksi'!$I$5:$I$92,'Daftar Koreksi'!$D$5:$D$92,'Mutasi Neraca'!$A78,'Daftar Koreksi'!$G$5:$G$92,'Mutasi Neraca'!P$2)</f>
        <v>0</v>
      </c>
      <c r="Q78" s="114">
        <f>SUMIFS('Daftar Koreksi'!$I$5:$I$92,'Daftar Koreksi'!$D$5:$D$92,'Mutasi Neraca'!$A78,'Daftar Koreksi'!$G$5:$G$92,'Mutasi Neraca'!Q$2)</f>
        <v>0</v>
      </c>
      <c r="R78" s="114">
        <f t="shared" si="5"/>
        <v>-16608000</v>
      </c>
      <c r="S78" s="102" t="s">
        <v>2253</v>
      </c>
    </row>
    <row r="79" spans="1:19">
      <c r="A79" s="47" t="s">
        <v>1158</v>
      </c>
      <c r="B79" s="97" t="s">
        <v>2297</v>
      </c>
      <c r="C79" s="100">
        <f>SUMIFS('Daftar Koreksi'!$H$5:$H$92,'Daftar Koreksi'!$G$5:$G$92,C$2,'Daftar Koreksi'!$D$5:$D$92,$A79)</f>
        <v>0</v>
      </c>
      <c r="D79" s="100">
        <f>SUMIFS('Daftar Koreksi'!$H$5:$H$92,'Daftar Koreksi'!$G$5:$G$92,D$2,'Daftar Koreksi'!$D$5:$D$92,$A79)</f>
        <v>0</v>
      </c>
      <c r="E79" s="100">
        <f>SUMIFS('Daftar Koreksi'!$H$5:$H$92,'Daftar Koreksi'!$G$5:$G$92,E$2,'Daftar Koreksi'!$D$5:$D$92,$A79)</f>
        <v>50721000</v>
      </c>
      <c r="F79" s="100">
        <f>SUMIFS('Daftar Koreksi'!$H$5:$H$92,'Daftar Koreksi'!$G$5:$G$92,F$2,'Daftar Koreksi'!$D$5:$D$92,$A79)</f>
        <v>0</v>
      </c>
      <c r="G79" s="100">
        <f>SUMIFS('Daftar Koreksi'!$H$5:$H$92,'Daftar Koreksi'!$G$5:$G$92,G$2,'Daftar Koreksi'!$D$5:$D$92,$A79)</f>
        <v>0</v>
      </c>
      <c r="H79" s="100">
        <f>SUMIFS('Daftar Koreksi'!$H$5:$H$92,'Daftar Koreksi'!$G$5:$G$92,H$2,'Daftar Koreksi'!$D$5:$D$92,$A79)</f>
        <v>0</v>
      </c>
      <c r="I79" s="100">
        <f>SUMIFS('Daftar Koreksi'!$H$5:$H$92,'Daftar Koreksi'!$G$5:$G$92,I$2,'Daftar Koreksi'!$D$5:$D$92,$A79)</f>
        <v>0</v>
      </c>
      <c r="J79" s="100">
        <f>SUMIFS('Daftar Koreksi'!$H$5:$H$92,'Daftar Koreksi'!$G$5:$G$92,J$2,'Daftar Koreksi'!$D$5:$D$92,$A79)</f>
        <v>0</v>
      </c>
      <c r="K79" s="100">
        <f>SUMIFS('Daftar Koreksi'!$H$5:$H$92,'Daftar Koreksi'!$G$5:$G$92,K$2,'Daftar Koreksi'!$D$5:$D$92,$A79)</f>
        <v>0</v>
      </c>
      <c r="L79" s="100">
        <f t="shared" ref="L79" si="6">SUM(C79:K79)</f>
        <v>50721000</v>
      </c>
      <c r="M79" s="112">
        <f>SUMIFS('Daftar Koreksi'!$I$5:$I$92,'Daftar Koreksi'!$D$5:$D$92,'Mutasi Neraca'!$A79,'Daftar Koreksi'!$G$5:$G$92,'Mutasi Neraca'!M$2)</f>
        <v>-10144200</v>
      </c>
      <c r="N79" s="114">
        <f>SUMIFS('Daftar Koreksi'!$I$5:$I$92,'Daftar Koreksi'!$D$5:$D$92,'Mutasi Neraca'!$A79,'Daftar Koreksi'!$G$5:$G$92,'Mutasi Neraca'!N$2)</f>
        <v>0</v>
      </c>
      <c r="O79" s="114">
        <f>SUMIFS('Daftar Koreksi'!$I$5:$I$92,'Daftar Koreksi'!$D$5:$D$92,'Mutasi Neraca'!$A79,'Daftar Koreksi'!$G$5:$G$92,'Mutasi Neraca'!O$2)</f>
        <v>0</v>
      </c>
      <c r="P79" s="114">
        <f>SUMIFS('Daftar Koreksi'!$I$5:$I$92,'Daftar Koreksi'!$D$5:$D$92,'Mutasi Neraca'!$A79,'Daftar Koreksi'!$G$5:$G$92,'Mutasi Neraca'!P$2)</f>
        <v>0</v>
      </c>
      <c r="Q79" s="114">
        <f>SUMIFS('Daftar Koreksi'!$I$5:$I$92,'Daftar Koreksi'!$D$5:$D$92,'Mutasi Neraca'!$A79,'Daftar Koreksi'!$G$5:$G$92,'Mutasi Neraca'!Q$2)</f>
        <v>0</v>
      </c>
      <c r="R79" s="114">
        <f t="shared" ref="R79" si="7">SUM(M79:Q79)</f>
        <v>-10144200</v>
      </c>
      <c r="S79" s="111" t="s">
        <v>2298</v>
      </c>
    </row>
    <row r="80" spans="1:19">
      <c r="M80" s="115"/>
      <c r="N80" s="115"/>
      <c r="O80" s="115"/>
      <c r="P80" s="115"/>
      <c r="Q80" s="115"/>
      <c r="R80" s="115"/>
    </row>
    <row r="81" spans="3:18"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116"/>
      <c r="N81" s="116"/>
      <c r="O81" s="116"/>
      <c r="P81" s="116"/>
      <c r="Q81" s="116"/>
      <c r="R81" s="116"/>
    </row>
    <row r="82" spans="3:18">
      <c r="C82" s="48">
        <f t="shared" ref="C82:R82" si="8">SUM(C3:C81)</f>
        <v>0</v>
      </c>
      <c r="D82" s="48">
        <f t="shared" si="8"/>
        <v>261949007</v>
      </c>
      <c r="E82" s="48">
        <f t="shared" si="8"/>
        <v>1910005553</v>
      </c>
      <c r="F82" s="48">
        <f t="shared" si="8"/>
        <v>-747599101</v>
      </c>
      <c r="G82" s="48">
        <f t="shared" si="8"/>
        <v>0</v>
      </c>
      <c r="H82" s="48">
        <f t="shared" si="8"/>
        <v>126525416</v>
      </c>
      <c r="I82" s="48">
        <f t="shared" si="8"/>
        <v>-176507500</v>
      </c>
      <c r="J82" s="48">
        <f t="shared" si="8"/>
        <v>-110035000</v>
      </c>
      <c r="K82" s="48">
        <f t="shared" si="8"/>
        <v>0</v>
      </c>
      <c r="L82" s="48">
        <f t="shared" si="8"/>
        <v>1264338375</v>
      </c>
      <c r="M82" s="115">
        <f t="shared" si="8"/>
        <v>-995173957</v>
      </c>
      <c r="N82" s="115">
        <f t="shared" si="8"/>
        <v>1890115930</v>
      </c>
      <c r="O82" s="115">
        <f t="shared" si="8"/>
        <v>0</v>
      </c>
      <c r="P82" s="115">
        <f t="shared" si="8"/>
        <v>-375000</v>
      </c>
      <c r="Q82" s="115">
        <f t="shared" si="8"/>
        <v>0</v>
      </c>
      <c r="R82" s="115">
        <f t="shared" si="8"/>
        <v>894566973</v>
      </c>
    </row>
    <row r="83" spans="3:18"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</row>
    <row r="84" spans="3:18"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</row>
    <row r="85" spans="3:18"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</row>
    <row r="86" spans="3:18"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</row>
    <row r="87" spans="3:18"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</row>
    <row r="88" spans="3:18"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</row>
    <row r="89" spans="3:18"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</row>
    <row r="90" spans="3:18"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</row>
    <row r="91" spans="3:18"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</row>
    <row r="92" spans="3:18"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</row>
    <row r="93" spans="3:18"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</row>
    <row r="94" spans="3:18"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</row>
    <row r="95" spans="3:18"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</row>
    <row r="96" spans="3:18"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</row>
    <row r="97" spans="3:18"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</row>
    <row r="98" spans="3:18"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</row>
    <row r="99" spans="3:18"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</row>
    <row r="100" spans="3:18"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</row>
    <row r="101" spans="3:18"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</row>
    <row r="102" spans="3:18"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</row>
    <row r="103" spans="3:18"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</row>
    <row r="104" spans="3:18"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</row>
    <row r="105" spans="3:18"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</row>
    <row r="106" spans="3:18"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</row>
    <row r="107" spans="3:18"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</row>
    <row r="108" spans="3:18"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</row>
    <row r="109" spans="3:18"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</row>
    <row r="110" spans="3:18"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</row>
    <row r="111" spans="3:18"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</row>
    <row r="112" spans="3:18"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</row>
    <row r="113" spans="3:18"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</row>
    <row r="114" spans="3:18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</row>
    <row r="115" spans="3:18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</row>
    <row r="116" spans="3:18"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</row>
    <row r="117" spans="3:18"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</row>
    <row r="118" spans="3:18"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</row>
    <row r="119" spans="3:18"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</row>
    <row r="120" spans="3:18"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</row>
    <row r="121" spans="3:18"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</row>
    <row r="122" spans="3:18"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</row>
    <row r="123" spans="3:18"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</row>
    <row r="124" spans="3:18"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</row>
    <row r="125" spans="3:18"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</row>
    <row r="126" spans="3:18"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</row>
    <row r="127" spans="3:18"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</row>
    <row r="128" spans="3:18"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</row>
    <row r="129" spans="3:18"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</row>
    <row r="130" spans="3:18"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</row>
    <row r="131" spans="3:18"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</row>
    <row r="132" spans="3:18"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</row>
    <row r="133" spans="3:18"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</row>
    <row r="134" spans="3:18"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</row>
    <row r="135" spans="3:18"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</row>
    <row r="136" spans="3:18"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</row>
    <row r="137" spans="3:18"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</row>
    <row r="138" spans="3:18"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</row>
    <row r="139" spans="3:18"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</row>
    <row r="140" spans="3:18"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</row>
    <row r="141" spans="3:18"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</row>
    <row r="142" spans="3:18"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</row>
    <row r="143" spans="3:18"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</row>
    <row r="144" spans="3:18"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</row>
    <row r="145" spans="3:18"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</row>
    <row r="146" spans="3:18"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</row>
    <row r="147" spans="3:18"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</row>
    <row r="148" spans="3:18"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</row>
    <row r="149" spans="3:18"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</row>
    <row r="150" spans="3:18"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</row>
    <row r="151" spans="3:18"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</row>
    <row r="152" spans="3:18"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</row>
    <row r="153" spans="3:18"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</row>
    <row r="154" spans="3:18"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</row>
    <row r="155" spans="3:18"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</row>
    <row r="156" spans="3:18"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</row>
    <row r="157" spans="3:18"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</row>
    <row r="158" spans="3:18"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</row>
    <row r="159" spans="3:18"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</row>
    <row r="160" spans="3:18"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</row>
    <row r="161" spans="3:18"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</row>
    <row r="162" spans="3:18"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</row>
    <row r="163" spans="3:18"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</row>
    <row r="164" spans="3:18"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</row>
    <row r="165" spans="3:18"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</row>
    <row r="166" spans="3:18"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</row>
    <row r="167" spans="3:18"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</row>
    <row r="168" spans="3:18"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</row>
    <row r="169" spans="3:18"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</row>
    <row r="170" spans="3:18"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</row>
    <row r="171" spans="3:18"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</row>
    <row r="172" spans="3:18"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</row>
    <row r="173" spans="3:18"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</row>
    <row r="174" spans="3:18"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</row>
    <row r="175" spans="3:18"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</row>
    <row r="176" spans="3:18"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</row>
    <row r="177" spans="3:18"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</row>
    <row r="178" spans="3:18"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</row>
    <row r="179" spans="3:18"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</row>
    <row r="180" spans="3:18"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</row>
    <row r="181" spans="3:18"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</row>
    <row r="182" spans="3:18"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</row>
    <row r="183" spans="3:18"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</row>
    <row r="184" spans="3:18"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</row>
    <row r="185" spans="3:18"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</row>
    <row r="186" spans="3:18"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</row>
    <row r="187" spans="3:18"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</row>
    <row r="188" spans="3:18"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</row>
    <row r="189" spans="3:18"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</row>
    <row r="190" spans="3:18"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</row>
    <row r="191" spans="3:18"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</row>
    <row r="192" spans="3:18"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</row>
    <row r="193" spans="3:18"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</row>
    <row r="194" spans="3:18"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</row>
    <row r="195" spans="3:18"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</row>
    <row r="196" spans="3:18"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</row>
    <row r="197" spans="3:18"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</row>
    <row r="198" spans="3:18"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</row>
    <row r="199" spans="3:18"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</row>
    <row r="200" spans="3:18"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</row>
    <row r="201" spans="3:18"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</row>
    <row r="202" spans="3:18"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</row>
    <row r="203" spans="3:18"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</row>
    <row r="204" spans="3:18"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</row>
    <row r="205" spans="3:18"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</row>
    <row r="206" spans="3:18"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</row>
    <row r="207" spans="3:18"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</row>
    <row r="208" spans="3:18"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</row>
    <row r="209" spans="3:18"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</row>
    <row r="210" spans="3:18"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</row>
    <row r="211" spans="3:18"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</row>
    <row r="212" spans="3:18"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</row>
    <row r="213" spans="3:18"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</row>
    <row r="214" spans="3:18"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</row>
    <row r="215" spans="3:18"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</row>
    <row r="216" spans="3:18"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</row>
    <row r="217" spans="3:18"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</row>
    <row r="218" spans="3:18"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</row>
    <row r="219" spans="3:18"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</row>
    <row r="220" spans="3:18"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</row>
    <row r="221" spans="3:18"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</row>
    <row r="222" spans="3:18"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</row>
    <row r="223" spans="3:18"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</row>
    <row r="224" spans="3:18"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</row>
    <row r="225" spans="3:18"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</row>
    <row r="226" spans="3:18"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</row>
    <row r="227" spans="3:18"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</row>
    <row r="228" spans="3:18"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</row>
    <row r="229" spans="3:18"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</row>
    <row r="230" spans="3:18"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</row>
    <row r="231" spans="3:18"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</row>
    <row r="232" spans="3:18"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</row>
    <row r="233" spans="3:18"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</row>
    <row r="234" spans="3:18"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</row>
    <row r="235" spans="3:18"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</row>
    <row r="236" spans="3:18"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</row>
    <row r="237" spans="3:18"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</row>
    <row r="238" spans="3:18"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</row>
    <row r="239" spans="3:18"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</row>
    <row r="240" spans="3:18"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</row>
    <row r="241" spans="3:18"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</row>
    <row r="242" spans="3:18"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</row>
    <row r="243" spans="3:18"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</row>
  </sheetData>
  <autoFilter ref="A2:R78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U287"/>
  <sheetViews>
    <sheetView topLeftCell="D1" zoomScale="90" zoomScaleNormal="90" zoomScaleSheetLayoutView="100" workbookViewId="0">
      <pane ySplit="4" topLeftCell="A7" activePane="bottomLeft" state="frozen"/>
      <selection activeCell="AB256" sqref="AB256"/>
      <selection pane="bottomLeft" activeCell="J10" sqref="J10"/>
    </sheetView>
  </sheetViews>
  <sheetFormatPr defaultRowHeight="12.75"/>
  <cols>
    <col min="1" max="1" width="4.140625" style="85" customWidth="1"/>
    <col min="2" max="2" width="21.140625" style="85" bestFit="1" customWidth="1"/>
    <col min="3" max="4" width="28.28515625" style="85" customWidth="1"/>
    <col min="5" max="5" width="10" style="62" customWidth="1"/>
    <col min="6" max="6" width="15.85546875" style="85" customWidth="1"/>
    <col min="7" max="7" width="19.85546875" style="85" customWidth="1"/>
    <col min="8" max="8" width="18.5703125" style="86" bestFit="1" customWidth="1"/>
    <col min="9" max="9" width="18.85546875" style="86" bestFit="1" customWidth="1"/>
    <col min="10" max="10" width="69.42578125" style="85" customWidth="1"/>
    <col min="11" max="11" width="12.7109375" style="61" customWidth="1"/>
    <col min="12" max="12" width="15.5703125" style="88" bestFit="1" customWidth="1"/>
    <col min="13" max="14" width="12" style="64" bestFit="1" customWidth="1"/>
    <col min="15" max="15" width="10.140625" style="88" customWidth="1"/>
    <col min="16" max="17" width="10.42578125" style="64" bestFit="1" customWidth="1"/>
    <col min="18" max="18" width="9.140625" style="64"/>
    <col min="19" max="19" width="9.140625" style="61"/>
    <col min="20" max="20" width="29.7109375" style="61" bestFit="1" customWidth="1"/>
    <col min="21" max="16384" width="9.140625" style="61"/>
  </cols>
  <sheetData>
    <row r="1" spans="1:20" s="56" customFormat="1" ht="24.75" customHeight="1">
      <c r="A1" s="55" t="s">
        <v>1993</v>
      </c>
      <c r="E1" s="57"/>
      <c r="H1" s="105" t="s">
        <v>2219</v>
      </c>
      <c r="I1" s="105" t="s">
        <v>2218</v>
      </c>
      <c r="L1" s="87"/>
      <c r="M1" s="59"/>
      <c r="N1" s="59"/>
      <c r="O1" s="87"/>
      <c r="P1" s="59"/>
      <c r="Q1" s="59"/>
      <c r="R1" s="59"/>
    </row>
    <row r="2" spans="1:20" s="56" customFormat="1" ht="15.75">
      <c r="A2" s="60" t="s">
        <v>2311</v>
      </c>
      <c r="E2" s="57"/>
      <c r="H2" s="58"/>
      <c r="I2" s="58"/>
      <c r="L2" s="87"/>
      <c r="M2" s="59"/>
      <c r="N2" s="59"/>
      <c r="O2" s="87"/>
      <c r="P2" s="59"/>
      <c r="Q2" s="59"/>
      <c r="R2" s="59"/>
    </row>
    <row r="3" spans="1:20" ht="13.5" thickBot="1">
      <c r="A3" s="61"/>
      <c r="B3" s="61"/>
      <c r="C3" s="61"/>
      <c r="D3" s="61"/>
      <c r="F3" s="61"/>
      <c r="G3" s="61"/>
      <c r="H3" s="63"/>
      <c r="I3" s="63"/>
      <c r="J3" s="61"/>
    </row>
    <row r="4" spans="1:20" s="69" customFormat="1" ht="46.5" thickTop="1" thickBot="1">
      <c r="A4" s="65" t="s">
        <v>1988</v>
      </c>
      <c r="B4" s="66" t="s">
        <v>1992</v>
      </c>
      <c r="C4" s="66" t="s">
        <v>2132</v>
      </c>
      <c r="D4" s="66" t="s">
        <v>1157</v>
      </c>
      <c r="E4" s="67" t="s">
        <v>1157</v>
      </c>
      <c r="F4" s="66" t="s">
        <v>1989</v>
      </c>
      <c r="G4" s="66" t="s">
        <v>1991</v>
      </c>
      <c r="H4" s="68" t="s">
        <v>1990</v>
      </c>
      <c r="I4" s="68" t="s">
        <v>2135</v>
      </c>
      <c r="J4" s="66" t="s">
        <v>1175</v>
      </c>
      <c r="K4" s="69" t="s">
        <v>2137</v>
      </c>
      <c r="L4" s="70"/>
      <c r="M4" s="70" t="s">
        <v>2138</v>
      </c>
      <c r="N4" s="70" t="s">
        <v>2139</v>
      </c>
      <c r="O4" s="70"/>
      <c r="P4" s="70" t="s">
        <v>2138</v>
      </c>
      <c r="Q4" s="70" t="s">
        <v>2139</v>
      </c>
      <c r="R4" s="70"/>
      <c r="T4" s="69" t="s">
        <v>2136</v>
      </c>
    </row>
    <row r="5" spans="1:20" s="32" customFormat="1" ht="56.1" customHeight="1" thickTop="1">
      <c r="A5" s="21">
        <v>1</v>
      </c>
      <c r="B5" s="21" t="str">
        <f>MID(D5,6,4)</f>
        <v>0900</v>
      </c>
      <c r="C5" s="30" t="s">
        <v>2220</v>
      </c>
      <c r="D5" s="30" t="s">
        <v>373</v>
      </c>
      <c r="E5" s="35" t="str">
        <f t="shared" ref="E5:E75" si="0">MID(D5,10,6)</f>
        <v>402072</v>
      </c>
      <c r="F5" s="21" t="s">
        <v>1511</v>
      </c>
      <c r="G5" s="21" t="s">
        <v>1166</v>
      </c>
      <c r="H5" s="31">
        <v>-719249200</v>
      </c>
      <c r="I5" s="31">
        <v>0</v>
      </c>
      <c r="J5" s="21" t="s">
        <v>2299</v>
      </c>
      <c r="K5" s="34" t="s">
        <v>2216</v>
      </c>
      <c r="L5" s="89"/>
      <c r="M5" s="33"/>
      <c r="N5" s="33"/>
      <c r="O5" s="89"/>
      <c r="P5" s="33"/>
      <c r="Q5" s="33"/>
      <c r="R5" s="33"/>
    </row>
    <row r="6" spans="1:20" s="32" customFormat="1" ht="56.1" customHeight="1">
      <c r="A6" s="21">
        <v>2</v>
      </c>
      <c r="B6" s="21" t="str">
        <f t="shared" ref="B6:B85" si="1">MID(D6,6,4)</f>
        <v>0900</v>
      </c>
      <c r="C6" s="30" t="s">
        <v>2220</v>
      </c>
      <c r="D6" s="30" t="s">
        <v>373</v>
      </c>
      <c r="E6" s="35" t="str">
        <f t="shared" si="0"/>
        <v>402072</v>
      </c>
      <c r="F6" s="21" t="s">
        <v>1511</v>
      </c>
      <c r="G6" s="21" t="s">
        <v>1168</v>
      </c>
      <c r="H6" s="31">
        <v>-2960714100</v>
      </c>
      <c r="I6" s="106">
        <v>520569497</v>
      </c>
      <c r="J6" s="21" t="s">
        <v>2299</v>
      </c>
      <c r="K6" s="34" t="s">
        <v>2216</v>
      </c>
      <c r="L6" s="21"/>
      <c r="M6" s="33"/>
      <c r="N6" s="33"/>
      <c r="O6" s="89"/>
      <c r="P6" s="33"/>
      <c r="Q6" s="33"/>
      <c r="R6" s="33"/>
    </row>
    <row r="7" spans="1:20" s="32" customFormat="1" ht="56.1" customHeight="1">
      <c r="A7" s="21">
        <v>3</v>
      </c>
      <c r="B7" s="21" t="str">
        <f t="shared" si="1"/>
        <v>0200</v>
      </c>
      <c r="C7" s="30" t="s">
        <v>2221</v>
      </c>
      <c r="D7" s="30" t="s">
        <v>50</v>
      </c>
      <c r="E7" s="35" t="str">
        <f t="shared" si="0"/>
        <v>400684</v>
      </c>
      <c r="F7" s="21" t="s">
        <v>1214</v>
      </c>
      <c r="G7" s="21" t="s">
        <v>1167</v>
      </c>
      <c r="H7" s="31">
        <v>321401800</v>
      </c>
      <c r="I7" s="31">
        <v>-128284648</v>
      </c>
      <c r="J7" s="21" t="s">
        <v>2300</v>
      </c>
      <c r="L7" s="89"/>
      <c r="M7" s="33"/>
      <c r="N7" s="33"/>
      <c r="O7" s="89"/>
      <c r="P7" s="33"/>
      <c r="Q7" s="33"/>
      <c r="R7" s="33"/>
    </row>
    <row r="8" spans="1:20" s="32" customFormat="1" ht="56.1" customHeight="1">
      <c r="A8" s="21">
        <v>4</v>
      </c>
      <c r="B8" s="21" t="str">
        <f t="shared" si="1"/>
        <v>0200</v>
      </c>
      <c r="C8" s="30" t="s">
        <v>2221</v>
      </c>
      <c r="D8" s="30" t="s">
        <v>52</v>
      </c>
      <c r="E8" s="35" t="str">
        <f t="shared" si="0"/>
        <v>400704</v>
      </c>
      <c r="F8" s="21" t="s">
        <v>1216</v>
      </c>
      <c r="G8" s="21" t="s">
        <v>1167</v>
      </c>
      <c r="H8" s="31">
        <v>263600000</v>
      </c>
      <c r="I8" s="31">
        <v>-263600000</v>
      </c>
      <c r="J8" s="21" t="s">
        <v>2312</v>
      </c>
      <c r="L8" s="89"/>
      <c r="M8" s="33"/>
      <c r="N8" s="33"/>
      <c r="O8" s="89"/>
      <c r="P8" s="33"/>
      <c r="Q8" s="33"/>
      <c r="R8" s="33"/>
    </row>
    <row r="9" spans="1:20" s="32" customFormat="1" ht="56.1" customHeight="1">
      <c r="A9" s="21">
        <v>5</v>
      </c>
      <c r="B9" s="21" t="str">
        <f t="shared" si="1"/>
        <v>0200</v>
      </c>
      <c r="C9" s="30" t="s">
        <v>2221</v>
      </c>
      <c r="D9" s="30" t="s">
        <v>69</v>
      </c>
      <c r="E9" s="35" t="str">
        <f t="shared" si="0"/>
        <v>604719</v>
      </c>
      <c r="F9" s="21" t="s">
        <v>1233</v>
      </c>
      <c r="G9" s="21" t="s">
        <v>1167</v>
      </c>
      <c r="H9" s="31">
        <v>263600000</v>
      </c>
      <c r="I9" s="31">
        <v>-263600000</v>
      </c>
      <c r="J9" s="21" t="s">
        <v>2313</v>
      </c>
      <c r="L9" s="89"/>
      <c r="M9" s="33"/>
      <c r="N9" s="33"/>
      <c r="O9" s="89"/>
      <c r="P9" s="33"/>
      <c r="Q9" s="33"/>
      <c r="R9" s="33"/>
    </row>
    <row r="10" spans="1:20" s="32" customFormat="1" ht="56.1" customHeight="1">
      <c r="A10" s="21">
        <v>6</v>
      </c>
      <c r="B10" s="21" t="str">
        <f t="shared" si="1"/>
        <v>2800</v>
      </c>
      <c r="C10" s="30" t="s">
        <v>2221</v>
      </c>
      <c r="D10" s="30" t="s">
        <v>775</v>
      </c>
      <c r="E10" s="35" t="str">
        <f t="shared" si="0"/>
        <v>440740</v>
      </c>
      <c r="F10" s="21" t="s">
        <v>1911</v>
      </c>
      <c r="G10" s="21" t="s">
        <v>1167</v>
      </c>
      <c r="H10" s="31">
        <v>266196500</v>
      </c>
      <c r="I10" s="31">
        <v>-266196500</v>
      </c>
      <c r="J10" s="21" t="s">
        <v>2314</v>
      </c>
      <c r="L10" s="89"/>
      <c r="M10" s="33"/>
      <c r="N10" s="33"/>
      <c r="O10" s="89"/>
      <c r="P10" s="33"/>
      <c r="Q10" s="33"/>
      <c r="R10" s="33"/>
    </row>
    <row r="11" spans="1:20" s="32" customFormat="1" ht="56.1" customHeight="1">
      <c r="A11" s="21">
        <v>7</v>
      </c>
      <c r="B11" s="21" t="str">
        <f t="shared" si="1"/>
        <v>0100</v>
      </c>
      <c r="C11" s="30" t="s">
        <v>2222</v>
      </c>
      <c r="D11" s="30" t="s">
        <v>10</v>
      </c>
      <c r="E11" s="35" t="str">
        <f t="shared" si="0"/>
        <v>097467</v>
      </c>
      <c r="F11" s="21" t="s">
        <v>1176</v>
      </c>
      <c r="G11" s="21" t="s">
        <v>1170</v>
      </c>
      <c r="H11" s="31">
        <v>4411622</v>
      </c>
      <c r="I11" s="31">
        <v>0</v>
      </c>
      <c r="J11" s="21" t="s">
        <v>2301</v>
      </c>
      <c r="L11" s="89"/>
      <c r="M11" s="33"/>
      <c r="N11" s="33"/>
      <c r="O11" s="89"/>
      <c r="P11" s="33"/>
      <c r="Q11" s="33"/>
      <c r="R11" s="33"/>
    </row>
    <row r="12" spans="1:20" s="32" customFormat="1" ht="56.1" customHeight="1">
      <c r="A12" s="21">
        <v>8</v>
      </c>
      <c r="B12" s="21" t="str">
        <f t="shared" si="1"/>
        <v>0100</v>
      </c>
      <c r="C12" s="30" t="s">
        <v>2222</v>
      </c>
      <c r="D12" s="30" t="s">
        <v>11</v>
      </c>
      <c r="E12" s="35" t="str">
        <f t="shared" si="0"/>
        <v>097471</v>
      </c>
      <c r="F12" s="21" t="s">
        <v>1177</v>
      </c>
      <c r="G12" s="21" t="s">
        <v>1170</v>
      </c>
      <c r="H12" s="31">
        <v>4411622</v>
      </c>
      <c r="I12" s="31">
        <v>0</v>
      </c>
      <c r="J12" s="21" t="s">
        <v>2301</v>
      </c>
      <c r="K12" s="32" t="s">
        <v>2216</v>
      </c>
      <c r="L12" s="89"/>
      <c r="M12" s="33"/>
      <c r="N12" s="33"/>
      <c r="O12" s="89"/>
      <c r="P12" s="33"/>
      <c r="Q12" s="33"/>
      <c r="R12" s="33"/>
    </row>
    <row r="13" spans="1:20" s="32" customFormat="1" ht="56.1" customHeight="1">
      <c r="A13" s="21">
        <v>9</v>
      </c>
      <c r="B13" s="21" t="str">
        <f t="shared" si="1"/>
        <v>0100</v>
      </c>
      <c r="C13" s="30" t="s">
        <v>2222</v>
      </c>
      <c r="D13" s="30" t="s">
        <v>12</v>
      </c>
      <c r="E13" s="35" t="str">
        <f t="shared" si="0"/>
        <v>097488</v>
      </c>
      <c r="F13" s="21" t="s">
        <v>1178</v>
      </c>
      <c r="G13" s="21" t="s">
        <v>1170</v>
      </c>
      <c r="H13" s="31">
        <v>4411622</v>
      </c>
      <c r="I13" s="31">
        <v>0</v>
      </c>
      <c r="J13" s="21" t="s">
        <v>2301</v>
      </c>
      <c r="K13" s="32" t="s">
        <v>2216</v>
      </c>
      <c r="L13" s="89"/>
      <c r="M13" s="33"/>
      <c r="N13" s="33"/>
      <c r="O13" s="89"/>
      <c r="P13" s="33"/>
      <c r="Q13" s="33"/>
      <c r="R13" s="33"/>
    </row>
    <row r="14" spans="1:20" s="32" customFormat="1" ht="56.1" customHeight="1">
      <c r="A14" s="21">
        <v>10</v>
      </c>
      <c r="B14" s="21" t="str">
        <f t="shared" si="1"/>
        <v>0100</v>
      </c>
      <c r="C14" s="30" t="s">
        <v>2222</v>
      </c>
      <c r="D14" s="30" t="s">
        <v>13</v>
      </c>
      <c r="E14" s="35" t="str">
        <f t="shared" si="0"/>
        <v>097492</v>
      </c>
      <c r="F14" s="21" t="s">
        <v>1179</v>
      </c>
      <c r="G14" s="21" t="s">
        <v>1170</v>
      </c>
      <c r="H14" s="31">
        <v>4411622</v>
      </c>
      <c r="I14" s="31">
        <v>0</v>
      </c>
      <c r="J14" s="21" t="s">
        <v>2301</v>
      </c>
      <c r="K14" s="32" t="s">
        <v>2216</v>
      </c>
      <c r="L14" s="89"/>
      <c r="M14" s="33"/>
      <c r="N14" s="33"/>
      <c r="O14" s="89"/>
      <c r="P14" s="33"/>
      <c r="Q14" s="33"/>
      <c r="R14" s="33"/>
    </row>
    <row r="15" spans="1:20" s="32" customFormat="1" ht="56.1" customHeight="1">
      <c r="A15" s="21">
        <v>11</v>
      </c>
      <c r="B15" s="21" t="str">
        <f t="shared" ref="B15" si="2">MID(D15,6,4)</f>
        <v>0100</v>
      </c>
      <c r="C15" s="30" t="s">
        <v>2222</v>
      </c>
      <c r="D15" s="30" t="s">
        <v>15</v>
      </c>
      <c r="E15" s="35" t="str">
        <f t="shared" si="0"/>
        <v>400220</v>
      </c>
      <c r="F15" s="21" t="s">
        <v>1181</v>
      </c>
      <c r="G15" s="21" t="s">
        <v>1170</v>
      </c>
      <c r="H15" s="31">
        <v>4411622</v>
      </c>
      <c r="I15" s="31">
        <v>0</v>
      </c>
      <c r="J15" s="21" t="s">
        <v>2301</v>
      </c>
      <c r="K15" s="32" t="s">
        <v>2216</v>
      </c>
      <c r="L15" s="89"/>
      <c r="M15" s="33"/>
      <c r="N15" s="33"/>
      <c r="O15" s="89"/>
      <c r="P15" s="33"/>
      <c r="Q15" s="33"/>
      <c r="R15" s="33"/>
    </row>
    <row r="16" spans="1:20" s="32" customFormat="1" ht="56.1" customHeight="1">
      <c r="A16" s="21">
        <v>12</v>
      </c>
      <c r="B16" s="21" t="str">
        <f t="shared" si="1"/>
        <v>0200</v>
      </c>
      <c r="C16" s="30" t="s">
        <v>2222</v>
      </c>
      <c r="D16" s="30" t="s">
        <v>30</v>
      </c>
      <c r="E16" s="35" t="str">
        <f t="shared" si="0"/>
        <v>097535</v>
      </c>
      <c r="F16" s="21" t="s">
        <v>1194</v>
      </c>
      <c r="G16" s="21" t="s">
        <v>1170</v>
      </c>
      <c r="H16" s="31">
        <v>4411622</v>
      </c>
      <c r="I16" s="31">
        <v>0</v>
      </c>
      <c r="J16" s="21" t="s">
        <v>2301</v>
      </c>
      <c r="K16" s="32" t="s">
        <v>2216</v>
      </c>
      <c r="L16" s="89"/>
      <c r="M16" s="33"/>
      <c r="N16" s="33"/>
      <c r="O16" s="89"/>
      <c r="P16" s="33"/>
      <c r="Q16" s="33"/>
      <c r="R16" s="33"/>
    </row>
    <row r="17" spans="1:18" s="32" customFormat="1" ht="56.1" customHeight="1">
      <c r="A17" s="21">
        <v>13</v>
      </c>
      <c r="B17" s="21" t="str">
        <f t="shared" ref="B17" si="3">MID(D17,6,4)</f>
        <v>0200</v>
      </c>
      <c r="C17" s="30" t="s">
        <v>2222</v>
      </c>
      <c r="D17" s="30" t="s">
        <v>31</v>
      </c>
      <c r="E17" s="35" t="str">
        <f t="shared" si="0"/>
        <v>097542</v>
      </c>
      <c r="F17" s="21" t="s">
        <v>1195</v>
      </c>
      <c r="G17" s="21" t="s">
        <v>1170</v>
      </c>
      <c r="H17" s="31">
        <v>4411622</v>
      </c>
      <c r="I17" s="31">
        <v>0</v>
      </c>
      <c r="J17" s="21" t="s">
        <v>2301</v>
      </c>
      <c r="K17" s="32" t="s">
        <v>2216</v>
      </c>
      <c r="L17" s="89"/>
      <c r="M17" s="33"/>
      <c r="N17" s="33"/>
      <c r="O17" s="89"/>
      <c r="P17" s="33"/>
      <c r="Q17" s="33"/>
      <c r="R17" s="33"/>
    </row>
    <row r="18" spans="1:18" s="32" customFormat="1" ht="56.1" customHeight="1">
      <c r="A18" s="21">
        <v>14</v>
      </c>
      <c r="B18" s="21" t="str">
        <f t="shared" si="1"/>
        <v>0200</v>
      </c>
      <c r="C18" s="30" t="s">
        <v>2222</v>
      </c>
      <c r="D18" s="30" t="s">
        <v>34</v>
      </c>
      <c r="E18" s="35" t="str">
        <f t="shared" si="0"/>
        <v>097610</v>
      </c>
      <c r="F18" s="21" t="s">
        <v>1198</v>
      </c>
      <c r="G18" s="21" t="s">
        <v>1170</v>
      </c>
      <c r="H18" s="31">
        <v>4411622</v>
      </c>
      <c r="I18" s="31">
        <v>0</v>
      </c>
      <c r="J18" s="21" t="s">
        <v>2301</v>
      </c>
      <c r="K18" s="32" t="s">
        <v>2216</v>
      </c>
      <c r="L18" s="89"/>
      <c r="M18" s="33"/>
      <c r="N18" s="33"/>
      <c r="O18" s="89"/>
      <c r="P18" s="33"/>
      <c r="Q18" s="33"/>
      <c r="R18" s="33"/>
    </row>
    <row r="19" spans="1:18" s="32" customFormat="1" ht="56.1" customHeight="1">
      <c r="A19" s="21">
        <v>15</v>
      </c>
      <c r="B19" s="21" t="str">
        <f t="shared" si="1"/>
        <v>0200</v>
      </c>
      <c r="C19" s="30" t="s">
        <v>2222</v>
      </c>
      <c r="D19" s="30" t="s">
        <v>36</v>
      </c>
      <c r="E19" s="35" t="str">
        <f t="shared" si="0"/>
        <v>097631</v>
      </c>
      <c r="F19" s="21" t="s">
        <v>1200</v>
      </c>
      <c r="G19" s="21" t="s">
        <v>1170</v>
      </c>
      <c r="H19" s="31">
        <v>4411622</v>
      </c>
      <c r="I19" s="31">
        <v>0</v>
      </c>
      <c r="J19" s="21" t="s">
        <v>2301</v>
      </c>
      <c r="K19" s="32" t="s">
        <v>2216</v>
      </c>
      <c r="L19" s="89"/>
      <c r="M19" s="33"/>
      <c r="N19" s="33"/>
      <c r="O19" s="89"/>
      <c r="P19" s="33"/>
      <c r="Q19" s="33"/>
      <c r="R19" s="33"/>
    </row>
    <row r="20" spans="1:18" s="32" customFormat="1" ht="56.1" customHeight="1">
      <c r="A20" s="21">
        <v>16</v>
      </c>
      <c r="B20" s="21" t="str">
        <f t="shared" si="1"/>
        <v>0200</v>
      </c>
      <c r="C20" s="30" t="s">
        <v>2222</v>
      </c>
      <c r="D20" s="30" t="s">
        <v>37</v>
      </c>
      <c r="E20" s="35" t="str">
        <f t="shared" si="0"/>
        <v>097645</v>
      </c>
      <c r="F20" s="21" t="s">
        <v>1201</v>
      </c>
      <c r="G20" s="21" t="s">
        <v>1170</v>
      </c>
      <c r="H20" s="31">
        <v>4411622</v>
      </c>
      <c r="I20" s="31">
        <v>0</v>
      </c>
      <c r="J20" s="21" t="s">
        <v>2301</v>
      </c>
      <c r="K20" s="32" t="s">
        <v>2216</v>
      </c>
      <c r="L20" s="89"/>
      <c r="M20" s="33"/>
      <c r="N20" s="33"/>
      <c r="O20" s="89"/>
      <c r="P20" s="33"/>
      <c r="Q20" s="33"/>
      <c r="R20" s="33"/>
    </row>
    <row r="21" spans="1:18" s="32" customFormat="1" ht="56.1" customHeight="1">
      <c r="A21" s="21">
        <v>17</v>
      </c>
      <c r="B21" s="21" t="str">
        <f t="shared" si="1"/>
        <v>0200</v>
      </c>
      <c r="C21" s="30" t="s">
        <v>2222</v>
      </c>
      <c r="D21" s="30" t="s">
        <v>39</v>
      </c>
      <c r="E21" s="35" t="str">
        <f t="shared" si="0"/>
        <v>097666</v>
      </c>
      <c r="F21" s="21" t="s">
        <v>1203</v>
      </c>
      <c r="G21" s="21" t="s">
        <v>1170</v>
      </c>
      <c r="H21" s="31">
        <v>4411622</v>
      </c>
      <c r="I21" s="31">
        <v>0</v>
      </c>
      <c r="J21" s="21" t="s">
        <v>2301</v>
      </c>
      <c r="K21" s="32" t="s">
        <v>2216</v>
      </c>
      <c r="L21" s="89"/>
      <c r="M21" s="33"/>
      <c r="N21" s="33"/>
      <c r="O21" s="89"/>
      <c r="P21" s="33"/>
      <c r="Q21" s="33"/>
      <c r="R21" s="33"/>
    </row>
    <row r="22" spans="1:18" s="32" customFormat="1" ht="56.1" customHeight="1">
      <c r="A22" s="21">
        <v>18</v>
      </c>
      <c r="B22" s="21" t="str">
        <f t="shared" si="1"/>
        <v>0200</v>
      </c>
      <c r="C22" s="30" t="s">
        <v>2222</v>
      </c>
      <c r="D22" s="30" t="s">
        <v>40</v>
      </c>
      <c r="E22" s="35" t="str">
        <f t="shared" si="0"/>
        <v>097670</v>
      </c>
      <c r="F22" s="21" t="s">
        <v>1204</v>
      </c>
      <c r="G22" s="21" t="s">
        <v>1170</v>
      </c>
      <c r="H22" s="31">
        <v>4411622</v>
      </c>
      <c r="I22" s="31">
        <v>0</v>
      </c>
      <c r="J22" s="21" t="s">
        <v>2301</v>
      </c>
      <c r="K22" s="32" t="s">
        <v>2216</v>
      </c>
      <c r="L22" s="89"/>
      <c r="M22" s="33"/>
      <c r="N22" s="33"/>
      <c r="O22" s="89"/>
      <c r="P22" s="33"/>
      <c r="Q22" s="33"/>
      <c r="R22" s="33"/>
    </row>
    <row r="23" spans="1:18" s="32" customFormat="1" ht="56.1" customHeight="1">
      <c r="A23" s="21">
        <v>19</v>
      </c>
      <c r="B23" s="21" t="str">
        <f t="shared" si="1"/>
        <v>0200</v>
      </c>
      <c r="C23" s="30" t="s">
        <v>2222</v>
      </c>
      <c r="D23" s="30" t="s">
        <v>41</v>
      </c>
      <c r="E23" s="35" t="str">
        <f t="shared" si="0"/>
        <v>097687</v>
      </c>
      <c r="F23" s="21" t="s">
        <v>1205</v>
      </c>
      <c r="G23" s="21" t="s">
        <v>1170</v>
      </c>
      <c r="H23" s="31">
        <v>4411622</v>
      </c>
      <c r="I23" s="31">
        <v>0</v>
      </c>
      <c r="J23" s="21" t="s">
        <v>2301</v>
      </c>
      <c r="K23" s="32" t="s">
        <v>2216</v>
      </c>
      <c r="L23" s="89"/>
      <c r="M23" s="33"/>
      <c r="N23" s="33"/>
      <c r="O23" s="89"/>
      <c r="P23" s="33"/>
      <c r="Q23" s="33"/>
      <c r="R23" s="33"/>
    </row>
    <row r="24" spans="1:18" s="32" customFormat="1" ht="56.1" customHeight="1">
      <c r="A24" s="21">
        <v>20</v>
      </c>
      <c r="B24" s="21" t="str">
        <f t="shared" si="1"/>
        <v>0200</v>
      </c>
      <c r="C24" s="30" t="s">
        <v>2222</v>
      </c>
      <c r="D24" s="30" t="s">
        <v>42</v>
      </c>
      <c r="E24" s="35" t="str">
        <f t="shared" si="0"/>
        <v>097691</v>
      </c>
      <c r="F24" s="21" t="s">
        <v>1206</v>
      </c>
      <c r="G24" s="21" t="s">
        <v>1170</v>
      </c>
      <c r="H24" s="31">
        <v>4411622</v>
      </c>
      <c r="I24" s="31">
        <v>0</v>
      </c>
      <c r="J24" s="21" t="s">
        <v>2301</v>
      </c>
      <c r="K24" s="32" t="s">
        <v>2216</v>
      </c>
      <c r="L24" s="89"/>
      <c r="M24" s="33"/>
      <c r="N24" s="33"/>
      <c r="O24" s="89"/>
      <c r="P24" s="33"/>
      <c r="Q24" s="33"/>
      <c r="R24" s="33"/>
    </row>
    <row r="25" spans="1:18" s="32" customFormat="1" ht="56.1" customHeight="1">
      <c r="A25" s="21">
        <v>21</v>
      </c>
      <c r="B25" s="21" t="str">
        <f t="shared" si="1"/>
        <v>0200</v>
      </c>
      <c r="C25" s="30" t="s">
        <v>2222</v>
      </c>
      <c r="D25" s="30" t="s">
        <v>67</v>
      </c>
      <c r="E25" s="35" t="str">
        <f t="shared" si="0"/>
        <v>477292</v>
      </c>
      <c r="F25" s="21" t="s">
        <v>1231</v>
      </c>
      <c r="G25" s="21" t="s">
        <v>1170</v>
      </c>
      <c r="H25" s="31">
        <v>4411622</v>
      </c>
      <c r="I25" s="31">
        <v>0</v>
      </c>
      <c r="J25" s="21" t="s">
        <v>2301</v>
      </c>
      <c r="K25" s="32" t="s">
        <v>2216</v>
      </c>
      <c r="L25" s="89"/>
      <c r="M25" s="33"/>
      <c r="N25" s="33"/>
      <c r="O25" s="89"/>
      <c r="P25" s="33"/>
      <c r="Q25" s="33"/>
      <c r="R25" s="33"/>
    </row>
    <row r="26" spans="1:18" s="32" customFormat="1" ht="56.1" customHeight="1">
      <c r="A26" s="21">
        <v>22</v>
      </c>
      <c r="B26" s="21" t="str">
        <f t="shared" si="1"/>
        <v>0300</v>
      </c>
      <c r="C26" s="30" t="s">
        <v>2222</v>
      </c>
      <c r="D26" s="30" t="s">
        <v>80</v>
      </c>
      <c r="E26" s="35" t="str">
        <f t="shared" si="0"/>
        <v>097755</v>
      </c>
      <c r="F26" s="21" t="s">
        <v>1241</v>
      </c>
      <c r="G26" s="21" t="s">
        <v>1170</v>
      </c>
      <c r="H26" s="31">
        <v>4411622</v>
      </c>
      <c r="I26" s="31">
        <v>0</v>
      </c>
      <c r="J26" s="21" t="s">
        <v>2301</v>
      </c>
      <c r="K26" s="32" t="s">
        <v>2216</v>
      </c>
      <c r="L26" s="89"/>
      <c r="M26" s="33"/>
      <c r="N26" s="33"/>
      <c r="O26" s="89"/>
      <c r="P26" s="33"/>
      <c r="Q26" s="33"/>
      <c r="R26" s="33"/>
    </row>
    <row r="27" spans="1:18" s="32" customFormat="1" ht="56.1" customHeight="1">
      <c r="A27" s="21">
        <v>23</v>
      </c>
      <c r="B27" s="21" t="str">
        <f t="shared" si="1"/>
        <v>0300</v>
      </c>
      <c r="C27" s="30" t="s">
        <v>2222</v>
      </c>
      <c r="D27" s="30" t="s">
        <v>82</v>
      </c>
      <c r="E27" s="35" t="str">
        <f t="shared" si="0"/>
        <v>097776</v>
      </c>
      <c r="F27" s="21" t="s">
        <v>1243</v>
      </c>
      <c r="G27" s="21" t="s">
        <v>1170</v>
      </c>
      <c r="H27" s="31">
        <v>4411622</v>
      </c>
      <c r="I27" s="31">
        <v>0</v>
      </c>
      <c r="J27" s="21" t="s">
        <v>2301</v>
      </c>
      <c r="K27" s="32" t="s">
        <v>2216</v>
      </c>
      <c r="L27" s="89"/>
      <c r="M27" s="33"/>
      <c r="N27" s="33"/>
      <c r="O27" s="89"/>
      <c r="P27" s="33"/>
      <c r="Q27" s="33"/>
      <c r="R27" s="33"/>
    </row>
    <row r="28" spans="1:18" s="32" customFormat="1" ht="56.1" customHeight="1">
      <c r="A28" s="21">
        <v>24</v>
      </c>
      <c r="B28" s="21" t="str">
        <f t="shared" si="1"/>
        <v>0300</v>
      </c>
      <c r="C28" s="30" t="s">
        <v>2222</v>
      </c>
      <c r="D28" s="30" t="s">
        <v>84</v>
      </c>
      <c r="E28" s="35" t="str">
        <f t="shared" si="0"/>
        <v>097797</v>
      </c>
      <c r="F28" s="21" t="s">
        <v>1245</v>
      </c>
      <c r="G28" s="21" t="s">
        <v>1170</v>
      </c>
      <c r="H28" s="31">
        <v>4411622</v>
      </c>
      <c r="I28" s="31">
        <v>0</v>
      </c>
      <c r="J28" s="21" t="s">
        <v>2301</v>
      </c>
      <c r="K28" s="32" t="s">
        <v>2216</v>
      </c>
      <c r="L28" s="89"/>
      <c r="M28" s="33"/>
      <c r="N28" s="33"/>
      <c r="O28" s="89"/>
      <c r="P28" s="33"/>
      <c r="Q28" s="33"/>
      <c r="R28" s="33"/>
    </row>
    <row r="29" spans="1:18" s="32" customFormat="1" ht="56.1" customHeight="1">
      <c r="A29" s="21">
        <v>25</v>
      </c>
      <c r="B29" s="21" t="str">
        <f t="shared" si="1"/>
        <v>0300</v>
      </c>
      <c r="C29" s="30" t="s">
        <v>2222</v>
      </c>
      <c r="D29" s="30" t="s">
        <v>110</v>
      </c>
      <c r="E29" s="35" t="str">
        <f t="shared" si="0"/>
        <v>400565</v>
      </c>
      <c r="F29" s="21" t="s">
        <v>1973</v>
      </c>
      <c r="G29" s="21" t="s">
        <v>1170</v>
      </c>
      <c r="H29" s="31">
        <v>4411622</v>
      </c>
      <c r="I29" s="31">
        <v>0</v>
      </c>
      <c r="J29" s="21" t="s">
        <v>2301</v>
      </c>
      <c r="K29" s="32" t="s">
        <v>2216</v>
      </c>
      <c r="L29" s="89"/>
      <c r="M29" s="33"/>
      <c r="N29" s="33"/>
      <c r="O29" s="89"/>
      <c r="P29" s="33"/>
      <c r="Q29" s="33"/>
      <c r="R29" s="33"/>
    </row>
    <row r="30" spans="1:18" s="32" customFormat="1" ht="56.1" customHeight="1">
      <c r="A30" s="21">
        <v>26</v>
      </c>
      <c r="B30" s="21" t="str">
        <f t="shared" ref="B30" si="4">MID(D30,6,4)</f>
        <v>0400</v>
      </c>
      <c r="C30" s="30" t="s">
        <v>2222</v>
      </c>
      <c r="D30" s="30" t="s">
        <v>151</v>
      </c>
      <c r="E30" s="35" t="str">
        <f t="shared" si="0"/>
        <v>098057</v>
      </c>
      <c r="F30" s="21" t="s">
        <v>1304</v>
      </c>
      <c r="G30" s="21" t="s">
        <v>1170</v>
      </c>
      <c r="H30" s="31">
        <v>4411622</v>
      </c>
      <c r="I30" s="31">
        <v>0</v>
      </c>
      <c r="J30" s="21" t="s">
        <v>2301</v>
      </c>
      <c r="K30" s="32" t="s">
        <v>2216</v>
      </c>
      <c r="L30" s="89"/>
      <c r="M30" s="33"/>
      <c r="N30" s="33"/>
      <c r="O30" s="89"/>
      <c r="P30" s="33"/>
      <c r="Q30" s="33"/>
      <c r="R30" s="33"/>
    </row>
    <row r="31" spans="1:18" s="32" customFormat="1" ht="56.1" customHeight="1">
      <c r="A31" s="21">
        <v>27</v>
      </c>
      <c r="B31" s="21" t="str">
        <f t="shared" ref="B31:B32" si="5">MID(D31,6,4)</f>
        <v>0400</v>
      </c>
      <c r="C31" s="30" t="s">
        <v>2222</v>
      </c>
      <c r="D31" s="30" t="s">
        <v>155</v>
      </c>
      <c r="E31" s="35" t="str">
        <f t="shared" si="0"/>
        <v>400172</v>
      </c>
      <c r="F31" s="21" t="s">
        <v>1308</v>
      </c>
      <c r="G31" s="21" t="s">
        <v>1170</v>
      </c>
      <c r="H31" s="31">
        <v>4411622</v>
      </c>
      <c r="I31" s="31">
        <v>0</v>
      </c>
      <c r="J31" s="21" t="s">
        <v>2301</v>
      </c>
      <c r="K31" s="32" t="s">
        <v>2216</v>
      </c>
      <c r="L31" s="89"/>
      <c r="M31" s="33"/>
      <c r="N31" s="33"/>
      <c r="O31" s="89"/>
      <c r="P31" s="33"/>
      <c r="Q31" s="33"/>
      <c r="R31" s="33"/>
    </row>
    <row r="32" spans="1:18" s="32" customFormat="1" ht="56.1" customHeight="1">
      <c r="A32" s="21">
        <v>28</v>
      </c>
      <c r="B32" s="21" t="str">
        <f t="shared" si="5"/>
        <v>0500</v>
      </c>
      <c r="C32" s="30" t="s">
        <v>2222</v>
      </c>
      <c r="D32" s="30" t="s">
        <v>175</v>
      </c>
      <c r="E32" s="35" t="str">
        <f t="shared" si="0"/>
        <v>098200</v>
      </c>
      <c r="F32" s="21" t="s">
        <v>1328</v>
      </c>
      <c r="G32" s="21" t="s">
        <v>1170</v>
      </c>
      <c r="H32" s="31">
        <v>4411622</v>
      </c>
      <c r="I32" s="31">
        <v>0</v>
      </c>
      <c r="J32" s="21" t="s">
        <v>2301</v>
      </c>
      <c r="K32" s="32" t="s">
        <v>2216</v>
      </c>
      <c r="L32" s="89"/>
      <c r="M32" s="33"/>
      <c r="N32" s="33"/>
      <c r="O32" s="89"/>
      <c r="P32" s="33"/>
      <c r="Q32" s="33"/>
      <c r="R32" s="33"/>
    </row>
    <row r="33" spans="1:18" s="32" customFormat="1" ht="56.1" customHeight="1">
      <c r="A33" s="21">
        <v>29</v>
      </c>
      <c r="B33" s="21" t="str">
        <f t="shared" si="1"/>
        <v>0500</v>
      </c>
      <c r="C33" s="30" t="s">
        <v>2222</v>
      </c>
      <c r="D33" s="30" t="s">
        <v>176</v>
      </c>
      <c r="E33" s="35" t="str">
        <f t="shared" si="0"/>
        <v>098214</v>
      </c>
      <c r="F33" s="21" t="s">
        <v>1329</v>
      </c>
      <c r="G33" s="21" t="s">
        <v>1170</v>
      </c>
      <c r="H33" s="31">
        <v>4411622</v>
      </c>
      <c r="I33" s="31">
        <v>0</v>
      </c>
      <c r="J33" s="21" t="s">
        <v>2301</v>
      </c>
      <c r="K33" s="32" t="s">
        <v>2216</v>
      </c>
      <c r="L33" s="89"/>
      <c r="M33" s="33"/>
      <c r="N33" s="33"/>
      <c r="O33" s="89"/>
      <c r="P33" s="33"/>
      <c r="Q33" s="33"/>
      <c r="R33" s="33"/>
    </row>
    <row r="34" spans="1:18" s="32" customFormat="1" ht="56.1" customHeight="1">
      <c r="A34" s="21">
        <v>30</v>
      </c>
      <c r="B34" s="21" t="str">
        <f t="shared" si="1"/>
        <v>0500</v>
      </c>
      <c r="C34" s="30" t="s">
        <v>2222</v>
      </c>
      <c r="D34" s="30" t="s">
        <v>177</v>
      </c>
      <c r="E34" s="35" t="str">
        <f t="shared" si="0"/>
        <v>098221</v>
      </c>
      <c r="F34" s="21" t="s">
        <v>1330</v>
      </c>
      <c r="G34" s="21" t="s">
        <v>1170</v>
      </c>
      <c r="H34" s="31">
        <v>4411622</v>
      </c>
      <c r="I34" s="31">
        <v>0</v>
      </c>
      <c r="J34" s="21" t="s">
        <v>2301</v>
      </c>
      <c r="K34" s="34" t="s">
        <v>2216</v>
      </c>
      <c r="L34" s="89"/>
      <c r="M34" s="33"/>
      <c r="N34" s="33"/>
      <c r="O34" s="89"/>
      <c r="P34" s="33"/>
      <c r="Q34" s="33"/>
      <c r="R34" s="33"/>
    </row>
    <row r="35" spans="1:18" s="32" customFormat="1" ht="56.1" customHeight="1">
      <c r="A35" s="21">
        <v>31</v>
      </c>
      <c r="B35" s="21" t="str">
        <f t="shared" si="1"/>
        <v>0500</v>
      </c>
      <c r="C35" s="30" t="s">
        <v>2222</v>
      </c>
      <c r="D35" s="30" t="s">
        <v>184</v>
      </c>
      <c r="E35" s="35" t="str">
        <f t="shared" si="0"/>
        <v>098298</v>
      </c>
      <c r="F35" s="21" t="s">
        <v>1335</v>
      </c>
      <c r="G35" s="21" t="s">
        <v>1170</v>
      </c>
      <c r="H35" s="31">
        <v>4411622</v>
      </c>
      <c r="I35" s="31">
        <v>0</v>
      </c>
      <c r="J35" s="21" t="s">
        <v>2301</v>
      </c>
      <c r="K35" s="32" t="s">
        <v>2216</v>
      </c>
      <c r="L35" s="89"/>
      <c r="M35" s="33"/>
      <c r="N35" s="33"/>
      <c r="O35" s="89"/>
      <c r="P35" s="33"/>
      <c r="Q35" s="33"/>
      <c r="R35" s="33"/>
    </row>
    <row r="36" spans="1:18" s="32" customFormat="1" ht="56.1" customHeight="1">
      <c r="A36" s="21">
        <v>32</v>
      </c>
      <c r="B36" s="21" t="str">
        <f t="shared" si="1"/>
        <v>0500</v>
      </c>
      <c r="C36" s="30" t="s">
        <v>2222</v>
      </c>
      <c r="D36" s="30" t="s">
        <v>188</v>
      </c>
      <c r="E36" s="35" t="str">
        <f t="shared" si="0"/>
        <v>098331</v>
      </c>
      <c r="F36" s="21" t="s">
        <v>1338</v>
      </c>
      <c r="G36" s="21" t="s">
        <v>1170</v>
      </c>
      <c r="H36" s="31">
        <v>4411622</v>
      </c>
      <c r="I36" s="31">
        <v>0</v>
      </c>
      <c r="J36" s="21" t="s">
        <v>2301</v>
      </c>
      <c r="K36" s="32" t="s">
        <v>2216</v>
      </c>
      <c r="L36" s="89"/>
      <c r="M36" s="33"/>
      <c r="N36" s="33"/>
      <c r="O36" s="89"/>
      <c r="P36" s="33"/>
      <c r="Q36" s="33"/>
      <c r="R36" s="33"/>
    </row>
    <row r="37" spans="1:18" s="32" customFormat="1" ht="56.1" customHeight="1">
      <c r="A37" s="21">
        <v>33</v>
      </c>
      <c r="B37" s="21" t="str">
        <f t="shared" si="1"/>
        <v>0500</v>
      </c>
      <c r="C37" s="30" t="s">
        <v>2222</v>
      </c>
      <c r="D37" s="30" t="s">
        <v>190</v>
      </c>
      <c r="E37" s="35" t="str">
        <f t="shared" si="0"/>
        <v>098352</v>
      </c>
      <c r="F37" s="21" t="s">
        <v>1339</v>
      </c>
      <c r="G37" s="21" t="s">
        <v>1170</v>
      </c>
      <c r="H37" s="31">
        <v>4411622</v>
      </c>
      <c r="I37" s="31">
        <v>0</v>
      </c>
      <c r="J37" s="21" t="s">
        <v>2301</v>
      </c>
      <c r="K37" s="32" t="s">
        <v>2216</v>
      </c>
      <c r="L37" s="89"/>
      <c r="M37" s="33"/>
      <c r="N37" s="33"/>
      <c r="O37" s="89"/>
      <c r="P37" s="33"/>
      <c r="Q37" s="33"/>
      <c r="R37" s="33"/>
    </row>
    <row r="38" spans="1:18" s="32" customFormat="1" ht="56.1" customHeight="1">
      <c r="A38" s="21">
        <v>34</v>
      </c>
      <c r="B38" s="21" t="str">
        <f t="shared" si="1"/>
        <v>0500</v>
      </c>
      <c r="C38" s="30" t="s">
        <v>2222</v>
      </c>
      <c r="D38" s="30" t="s">
        <v>192</v>
      </c>
      <c r="E38" s="35" t="str">
        <f t="shared" si="0"/>
        <v>098370</v>
      </c>
      <c r="F38" s="21" t="s">
        <v>1341</v>
      </c>
      <c r="G38" s="21" t="s">
        <v>1170</v>
      </c>
      <c r="H38" s="31">
        <v>4411622</v>
      </c>
      <c r="I38" s="31">
        <v>0</v>
      </c>
      <c r="J38" s="21" t="s">
        <v>2301</v>
      </c>
      <c r="K38" s="32" t="s">
        <v>2216</v>
      </c>
      <c r="L38" s="89"/>
      <c r="M38" s="33"/>
      <c r="N38" s="33"/>
      <c r="O38" s="89"/>
      <c r="P38" s="33"/>
      <c r="Q38" s="33"/>
      <c r="R38" s="33"/>
    </row>
    <row r="39" spans="1:18" s="32" customFormat="1" ht="56.1" customHeight="1">
      <c r="A39" s="21">
        <v>35</v>
      </c>
      <c r="B39" s="21" t="str">
        <f t="shared" si="1"/>
        <v>1300</v>
      </c>
      <c r="C39" s="30" t="s">
        <v>2223</v>
      </c>
      <c r="D39" s="30" t="s">
        <v>459</v>
      </c>
      <c r="E39" s="35" t="str">
        <f t="shared" si="0"/>
        <v>099113</v>
      </c>
      <c r="F39" s="21" t="s">
        <v>1597</v>
      </c>
      <c r="G39" s="21" t="s">
        <v>1167</v>
      </c>
      <c r="H39" s="31">
        <v>3895309</v>
      </c>
      <c r="I39" s="31">
        <v>-389531</v>
      </c>
      <c r="J39" s="21" t="s">
        <v>2302</v>
      </c>
      <c r="K39" s="32" t="s">
        <v>2216</v>
      </c>
      <c r="L39" s="89"/>
      <c r="M39" s="33"/>
      <c r="N39" s="33"/>
      <c r="O39" s="89"/>
      <c r="P39" s="33"/>
      <c r="Q39" s="33"/>
      <c r="R39" s="33"/>
    </row>
    <row r="40" spans="1:18" s="32" customFormat="1" ht="56.1" customHeight="1">
      <c r="A40" s="21">
        <v>36</v>
      </c>
      <c r="B40" s="21" t="str">
        <f t="shared" si="1"/>
        <v>1300</v>
      </c>
      <c r="C40" s="30" t="s">
        <v>2223</v>
      </c>
      <c r="D40" s="30" t="s">
        <v>462</v>
      </c>
      <c r="E40" s="35" t="str">
        <f t="shared" si="0"/>
        <v>402361</v>
      </c>
      <c r="F40" s="21" t="s">
        <v>1600</v>
      </c>
      <c r="G40" s="21" t="s">
        <v>1167</v>
      </c>
      <c r="H40" s="31">
        <v>3895309</v>
      </c>
      <c r="I40" s="31">
        <v>-389531</v>
      </c>
      <c r="J40" s="21" t="s">
        <v>2302</v>
      </c>
      <c r="K40" s="34" t="s">
        <v>2216</v>
      </c>
      <c r="L40" s="89"/>
      <c r="M40" s="33"/>
      <c r="N40" s="33"/>
      <c r="O40" s="89"/>
      <c r="P40" s="33"/>
      <c r="Q40" s="33"/>
      <c r="R40" s="33"/>
    </row>
    <row r="41" spans="1:18" s="32" customFormat="1" ht="56.1" customHeight="1">
      <c r="A41" s="21">
        <v>37</v>
      </c>
      <c r="B41" s="21" t="str">
        <f t="shared" si="1"/>
        <v>1600</v>
      </c>
      <c r="C41" s="30" t="s">
        <v>2223</v>
      </c>
      <c r="D41" s="30" t="s">
        <v>531</v>
      </c>
      <c r="E41" s="35" t="str">
        <f t="shared" si="0"/>
        <v>400291</v>
      </c>
      <c r="F41" s="21" t="s">
        <v>2254</v>
      </c>
      <c r="G41" s="21" t="s">
        <v>1167</v>
      </c>
      <c r="H41" s="31">
        <v>3895309</v>
      </c>
      <c r="I41" s="31">
        <v>-389531</v>
      </c>
      <c r="J41" s="21" t="s">
        <v>2302</v>
      </c>
      <c r="K41" s="34" t="s">
        <v>2216</v>
      </c>
      <c r="L41" s="89"/>
      <c r="M41" s="33"/>
      <c r="N41" s="33"/>
      <c r="O41" s="89"/>
      <c r="P41" s="33"/>
      <c r="Q41" s="33"/>
      <c r="R41" s="33"/>
    </row>
    <row r="42" spans="1:18" s="32" customFormat="1" ht="56.1" customHeight="1">
      <c r="A42" s="21">
        <v>38</v>
      </c>
      <c r="B42" s="21" t="str">
        <f t="shared" si="1"/>
        <v>1600</v>
      </c>
      <c r="C42" s="30" t="s">
        <v>2223</v>
      </c>
      <c r="D42" s="30" t="s">
        <v>536</v>
      </c>
      <c r="E42" s="35" t="str">
        <f t="shared" si="0"/>
        <v>477270</v>
      </c>
      <c r="F42" s="21" t="s">
        <v>1674</v>
      </c>
      <c r="G42" s="21" t="s">
        <v>1167</v>
      </c>
      <c r="H42" s="31">
        <v>3895309</v>
      </c>
      <c r="I42" s="31">
        <v>-389531</v>
      </c>
      <c r="J42" s="21" t="s">
        <v>2302</v>
      </c>
      <c r="K42" s="34" t="s">
        <v>2216</v>
      </c>
      <c r="L42" s="89"/>
      <c r="M42" s="33"/>
      <c r="N42" s="33"/>
      <c r="O42" s="89"/>
      <c r="P42" s="33"/>
      <c r="Q42" s="33"/>
      <c r="R42" s="33"/>
    </row>
    <row r="43" spans="1:18" s="32" customFormat="1" ht="56.1" customHeight="1">
      <c r="A43" s="21">
        <v>39</v>
      </c>
      <c r="B43" s="21" t="str">
        <f t="shared" ref="B43" si="6">MID(D43,6,4)</f>
        <v>1700</v>
      </c>
      <c r="C43" s="30" t="s">
        <v>2223</v>
      </c>
      <c r="D43" s="30" t="s">
        <v>550</v>
      </c>
      <c r="E43" s="35" t="str">
        <f t="shared" ref="E43" si="7">MID(D43,10,6)</f>
        <v>099340</v>
      </c>
      <c r="F43" s="21" t="s">
        <v>1688</v>
      </c>
      <c r="G43" s="21" t="s">
        <v>1167</v>
      </c>
      <c r="H43" s="31">
        <v>3895309</v>
      </c>
      <c r="I43" s="31">
        <v>-389531</v>
      </c>
      <c r="J43" s="21" t="s">
        <v>2302</v>
      </c>
      <c r="K43" s="34" t="s">
        <v>2216</v>
      </c>
      <c r="L43" s="89"/>
      <c r="M43" s="33"/>
      <c r="N43" s="33"/>
      <c r="O43" s="89"/>
      <c r="P43" s="33"/>
      <c r="Q43" s="33"/>
      <c r="R43" s="33"/>
    </row>
    <row r="44" spans="1:18" s="32" customFormat="1" ht="56.1" customHeight="1">
      <c r="A44" s="21">
        <v>40</v>
      </c>
      <c r="B44" s="21" t="str">
        <f t="shared" si="1"/>
        <v>1700</v>
      </c>
      <c r="C44" s="30" t="s">
        <v>2223</v>
      </c>
      <c r="D44" s="30" t="s">
        <v>551</v>
      </c>
      <c r="E44" s="35" t="str">
        <f t="shared" si="0"/>
        <v>099354</v>
      </c>
      <c r="F44" s="21" t="s">
        <v>1689</v>
      </c>
      <c r="G44" s="21" t="s">
        <v>1167</v>
      </c>
      <c r="H44" s="31">
        <v>3895309</v>
      </c>
      <c r="I44" s="31">
        <v>-389531</v>
      </c>
      <c r="J44" s="21" t="s">
        <v>2302</v>
      </c>
      <c r="K44" s="34"/>
      <c r="L44" s="89"/>
      <c r="M44" s="33"/>
      <c r="N44" s="33"/>
      <c r="O44" s="89"/>
      <c r="P44" s="33"/>
      <c r="Q44" s="33"/>
      <c r="R44" s="33"/>
    </row>
    <row r="45" spans="1:18" s="32" customFormat="1" ht="56.1" customHeight="1">
      <c r="A45" s="21">
        <v>41</v>
      </c>
      <c r="B45" s="21" t="str">
        <f t="shared" si="1"/>
        <v>1700</v>
      </c>
      <c r="C45" s="30" t="s">
        <v>2223</v>
      </c>
      <c r="D45" s="30" t="s">
        <v>561</v>
      </c>
      <c r="E45" s="35" t="str">
        <f t="shared" si="0"/>
        <v>670210</v>
      </c>
      <c r="F45" s="21" t="s">
        <v>1699</v>
      </c>
      <c r="G45" s="21" t="s">
        <v>1167</v>
      </c>
      <c r="H45" s="31">
        <v>3895309</v>
      </c>
      <c r="I45" s="31">
        <v>-389531</v>
      </c>
      <c r="J45" s="21" t="s">
        <v>2302</v>
      </c>
      <c r="K45" s="34"/>
      <c r="L45" s="89"/>
      <c r="M45" s="33"/>
      <c r="N45" s="33"/>
      <c r="O45" s="89"/>
      <c r="P45" s="33"/>
      <c r="Q45" s="33"/>
      <c r="R45" s="33"/>
    </row>
    <row r="46" spans="1:18" s="32" customFormat="1" ht="56.1" customHeight="1">
      <c r="A46" s="21">
        <v>42</v>
      </c>
      <c r="B46" s="21" t="str">
        <f t="shared" ref="B46:B47" si="8">MID(D46,6,4)</f>
        <v>1900</v>
      </c>
      <c r="C46" s="30" t="s">
        <v>2223</v>
      </c>
      <c r="D46" s="30" t="s">
        <v>589</v>
      </c>
      <c r="E46" s="35" t="str">
        <f t="shared" ref="E46:E47" si="9">MID(D46,10,6)</f>
        <v>099471</v>
      </c>
      <c r="F46" s="21" t="s">
        <v>1727</v>
      </c>
      <c r="G46" s="21" t="s">
        <v>1167</v>
      </c>
      <c r="H46" s="31">
        <v>3895309</v>
      </c>
      <c r="I46" s="31">
        <v>-389531</v>
      </c>
      <c r="J46" s="21" t="s">
        <v>2302</v>
      </c>
      <c r="K46" s="34" t="s">
        <v>2216</v>
      </c>
      <c r="L46" s="89"/>
      <c r="M46" s="33"/>
      <c r="N46" s="33"/>
      <c r="O46" s="89"/>
      <c r="P46" s="33"/>
      <c r="Q46" s="33"/>
      <c r="R46" s="33"/>
    </row>
    <row r="47" spans="1:18" s="32" customFormat="1" ht="56.1" customHeight="1">
      <c r="A47" s="21">
        <v>43</v>
      </c>
      <c r="B47" s="21" t="str">
        <f t="shared" si="8"/>
        <v>1900</v>
      </c>
      <c r="C47" s="30" t="s">
        <v>2223</v>
      </c>
      <c r="D47" s="30" t="s">
        <v>594</v>
      </c>
      <c r="E47" s="35" t="str">
        <f t="shared" si="9"/>
        <v>099528</v>
      </c>
      <c r="F47" s="21" t="s">
        <v>1732</v>
      </c>
      <c r="G47" s="21" t="s">
        <v>1167</v>
      </c>
      <c r="H47" s="31">
        <v>3895309</v>
      </c>
      <c r="I47" s="31">
        <v>-389531</v>
      </c>
      <c r="J47" s="21" t="s">
        <v>2302</v>
      </c>
      <c r="K47" s="34" t="s">
        <v>2216</v>
      </c>
      <c r="L47" s="89"/>
      <c r="M47" s="33"/>
      <c r="N47" s="33"/>
      <c r="O47" s="89"/>
      <c r="P47" s="33"/>
      <c r="Q47" s="33"/>
      <c r="R47" s="33"/>
    </row>
    <row r="48" spans="1:18" s="32" customFormat="1" ht="56.1" customHeight="1">
      <c r="A48" s="21">
        <v>44</v>
      </c>
      <c r="B48" s="21" t="str">
        <f t="shared" si="1"/>
        <v>1900</v>
      </c>
      <c r="C48" s="30" t="s">
        <v>2223</v>
      </c>
      <c r="D48" s="30" t="s">
        <v>601</v>
      </c>
      <c r="E48" s="35" t="str">
        <f t="shared" si="0"/>
        <v>099595</v>
      </c>
      <c r="F48" s="21" t="s">
        <v>1739</v>
      </c>
      <c r="G48" s="21" t="s">
        <v>1167</v>
      </c>
      <c r="H48" s="31">
        <v>3895309</v>
      </c>
      <c r="I48" s="31">
        <v>-389531</v>
      </c>
      <c r="J48" s="21" t="s">
        <v>2302</v>
      </c>
      <c r="K48" s="34"/>
      <c r="L48" s="89"/>
      <c r="M48" s="33"/>
      <c r="N48" s="33"/>
      <c r="O48" s="89"/>
      <c r="P48" s="33"/>
      <c r="Q48" s="33"/>
      <c r="R48" s="33"/>
    </row>
    <row r="49" spans="1:18" s="32" customFormat="1" ht="56.1" customHeight="1">
      <c r="A49" s="21">
        <v>45</v>
      </c>
      <c r="B49" s="21" t="str">
        <f t="shared" si="1"/>
        <v>1900</v>
      </c>
      <c r="C49" s="30" t="s">
        <v>2223</v>
      </c>
      <c r="D49" s="30" t="s">
        <v>619</v>
      </c>
      <c r="E49" s="35" t="str">
        <f t="shared" si="0"/>
        <v>307576</v>
      </c>
      <c r="F49" s="21" t="s">
        <v>1757</v>
      </c>
      <c r="G49" s="21" t="s">
        <v>1167</v>
      </c>
      <c r="H49" s="31">
        <v>3895309</v>
      </c>
      <c r="I49" s="31">
        <v>-389531</v>
      </c>
      <c r="J49" s="21" t="s">
        <v>2302</v>
      </c>
      <c r="K49" s="32" t="s">
        <v>2216</v>
      </c>
      <c r="L49" s="89"/>
      <c r="M49" s="33"/>
      <c r="N49" s="33"/>
      <c r="O49" s="89"/>
      <c r="P49" s="33"/>
      <c r="Q49" s="33"/>
      <c r="R49" s="33"/>
    </row>
    <row r="50" spans="1:18" s="32" customFormat="1" ht="56.1" customHeight="1">
      <c r="A50" s="21">
        <v>46</v>
      </c>
      <c r="B50" s="21" t="str">
        <f t="shared" si="1"/>
        <v>2100</v>
      </c>
      <c r="C50" s="30" t="s">
        <v>2223</v>
      </c>
      <c r="D50" s="30" t="s">
        <v>653</v>
      </c>
      <c r="E50" s="35" t="str">
        <f t="shared" si="0"/>
        <v>307761</v>
      </c>
      <c r="F50" s="21" t="s">
        <v>1791</v>
      </c>
      <c r="G50" s="21" t="s">
        <v>1167</v>
      </c>
      <c r="H50" s="31">
        <v>3895309</v>
      </c>
      <c r="I50" s="31">
        <v>-389531</v>
      </c>
      <c r="J50" s="21" t="s">
        <v>2302</v>
      </c>
      <c r="K50" s="32" t="s">
        <v>2216</v>
      </c>
      <c r="L50" s="89"/>
      <c r="M50" s="33"/>
      <c r="N50" s="33"/>
      <c r="O50" s="89"/>
      <c r="P50" s="33"/>
      <c r="Q50" s="33"/>
      <c r="R50" s="33"/>
    </row>
    <row r="51" spans="1:18" s="32" customFormat="1" ht="56.1" customHeight="1">
      <c r="A51" s="21">
        <v>47</v>
      </c>
      <c r="B51" s="21" t="str">
        <f t="shared" si="1"/>
        <v>2400</v>
      </c>
      <c r="C51" s="30" t="s">
        <v>2223</v>
      </c>
      <c r="D51" s="30" t="s">
        <v>702</v>
      </c>
      <c r="E51" s="35" t="str">
        <f t="shared" si="0"/>
        <v>099989</v>
      </c>
      <c r="F51" s="21" t="s">
        <v>1839</v>
      </c>
      <c r="G51" s="21" t="s">
        <v>1167</v>
      </c>
      <c r="H51" s="31">
        <v>3895309</v>
      </c>
      <c r="I51" s="31">
        <v>-389531</v>
      </c>
      <c r="J51" s="21" t="s">
        <v>2302</v>
      </c>
      <c r="K51" s="32" t="s">
        <v>2216</v>
      </c>
      <c r="L51" s="89"/>
      <c r="M51" s="33"/>
      <c r="N51" s="33"/>
      <c r="O51" s="89"/>
      <c r="P51" s="33"/>
      <c r="Q51" s="33"/>
      <c r="R51" s="33"/>
    </row>
    <row r="52" spans="1:18" s="32" customFormat="1" ht="56.1" customHeight="1">
      <c r="A52" s="21">
        <v>48</v>
      </c>
      <c r="B52" s="21" t="str">
        <f t="shared" si="1"/>
        <v>2400</v>
      </c>
      <c r="C52" s="30" t="s">
        <v>2223</v>
      </c>
      <c r="D52" s="30" t="s">
        <v>705</v>
      </c>
      <c r="E52" s="35" t="str">
        <f t="shared" si="0"/>
        <v>307953</v>
      </c>
      <c r="F52" s="21" t="s">
        <v>1842</v>
      </c>
      <c r="G52" s="21" t="s">
        <v>1167</v>
      </c>
      <c r="H52" s="31">
        <v>3895309</v>
      </c>
      <c r="I52" s="31">
        <v>-389531</v>
      </c>
      <c r="J52" s="21" t="s">
        <v>2302</v>
      </c>
      <c r="K52" s="32" t="s">
        <v>2216</v>
      </c>
      <c r="L52" s="89"/>
      <c r="M52" s="33"/>
      <c r="N52" s="33"/>
      <c r="O52" s="89"/>
      <c r="P52" s="33"/>
      <c r="Q52" s="33"/>
      <c r="R52" s="33"/>
    </row>
    <row r="53" spans="1:18" s="32" customFormat="1" ht="56.1" customHeight="1">
      <c r="A53" s="21">
        <v>49</v>
      </c>
      <c r="B53" s="21" t="str">
        <f t="shared" si="1"/>
        <v>2400</v>
      </c>
      <c r="C53" s="30" t="s">
        <v>2223</v>
      </c>
      <c r="D53" s="30" t="s">
        <v>722</v>
      </c>
      <c r="E53" s="35" t="str">
        <f t="shared" si="0"/>
        <v>477249</v>
      </c>
      <c r="F53" s="21" t="s">
        <v>1859</v>
      </c>
      <c r="G53" s="21" t="s">
        <v>1167</v>
      </c>
      <c r="H53" s="31">
        <v>3895309</v>
      </c>
      <c r="I53" s="31">
        <v>-389531</v>
      </c>
      <c r="J53" s="21" t="s">
        <v>2302</v>
      </c>
      <c r="K53" s="32" t="s">
        <v>2216</v>
      </c>
      <c r="L53" s="89"/>
      <c r="M53" s="33"/>
      <c r="N53" s="33"/>
      <c r="O53" s="89"/>
      <c r="P53" s="33"/>
      <c r="Q53" s="33"/>
      <c r="R53" s="33"/>
    </row>
    <row r="54" spans="1:18" s="32" customFormat="1" ht="56.1" customHeight="1">
      <c r="A54" s="21">
        <v>50</v>
      </c>
      <c r="B54" s="21" t="str">
        <f t="shared" si="1"/>
        <v>2400</v>
      </c>
      <c r="C54" s="30" t="s">
        <v>2223</v>
      </c>
      <c r="D54" s="30" t="s">
        <v>727</v>
      </c>
      <c r="E54" s="35" t="str">
        <f t="shared" si="0"/>
        <v>673020</v>
      </c>
      <c r="F54" s="21" t="s">
        <v>1864</v>
      </c>
      <c r="G54" s="21" t="s">
        <v>1167</v>
      </c>
      <c r="H54" s="31">
        <v>3895309</v>
      </c>
      <c r="I54" s="31">
        <v>-389531</v>
      </c>
      <c r="J54" s="21" t="s">
        <v>2302</v>
      </c>
      <c r="K54" s="32" t="s">
        <v>2216</v>
      </c>
      <c r="L54" s="89"/>
      <c r="M54" s="33"/>
      <c r="N54" s="33"/>
      <c r="O54" s="89"/>
      <c r="P54" s="33"/>
      <c r="Q54" s="33"/>
      <c r="R54" s="33"/>
    </row>
    <row r="55" spans="1:18" s="32" customFormat="1" ht="56.1" customHeight="1">
      <c r="A55" s="21">
        <v>51</v>
      </c>
      <c r="B55" s="21" t="str">
        <f t="shared" si="1"/>
        <v>2500</v>
      </c>
      <c r="C55" s="30" t="s">
        <v>2223</v>
      </c>
      <c r="D55" s="30" t="s">
        <v>750</v>
      </c>
      <c r="E55" s="35" t="str">
        <f t="shared" si="0"/>
        <v>682300</v>
      </c>
      <c r="F55" s="21" t="s">
        <v>1886</v>
      </c>
      <c r="G55" s="21" t="s">
        <v>1167</v>
      </c>
      <c r="H55" s="31">
        <v>3895309</v>
      </c>
      <c r="I55" s="31">
        <v>-389531</v>
      </c>
      <c r="J55" s="21" t="s">
        <v>2302</v>
      </c>
      <c r="K55" s="32" t="s">
        <v>2216</v>
      </c>
      <c r="L55" s="89"/>
      <c r="M55" s="33"/>
      <c r="N55" s="33"/>
      <c r="O55" s="89"/>
      <c r="P55" s="33"/>
      <c r="Q55" s="33"/>
      <c r="R55" s="33"/>
    </row>
    <row r="56" spans="1:18" s="32" customFormat="1" ht="56.1" customHeight="1">
      <c r="A56" s="21">
        <v>52</v>
      </c>
      <c r="B56" s="21" t="str">
        <f t="shared" si="1"/>
        <v>1500</v>
      </c>
      <c r="C56" s="30" t="s">
        <v>2224</v>
      </c>
      <c r="D56" s="30" t="s">
        <v>492</v>
      </c>
      <c r="E56" s="35" t="str">
        <f t="shared" si="0"/>
        <v>099180</v>
      </c>
      <c r="F56" s="21" t="s">
        <v>1630</v>
      </c>
      <c r="G56" s="21" t="s">
        <v>2131</v>
      </c>
      <c r="H56" s="31">
        <v>-176507500</v>
      </c>
      <c r="I56" s="31">
        <v>0</v>
      </c>
      <c r="J56" s="21" t="s">
        <v>2303</v>
      </c>
      <c r="K56" s="32" t="s">
        <v>2216</v>
      </c>
      <c r="L56" s="89"/>
      <c r="M56" s="33"/>
      <c r="N56" s="33"/>
      <c r="O56" s="89"/>
      <c r="P56" s="33"/>
      <c r="Q56" s="33"/>
      <c r="R56" s="33"/>
    </row>
    <row r="57" spans="1:18" s="32" customFormat="1" ht="56.1" customHeight="1">
      <c r="A57" s="21">
        <v>53</v>
      </c>
      <c r="B57" s="21" t="str">
        <f t="shared" si="1"/>
        <v>1500</v>
      </c>
      <c r="C57" s="30" t="s">
        <v>2224</v>
      </c>
      <c r="D57" s="30" t="s">
        <v>492</v>
      </c>
      <c r="E57" s="35" t="str">
        <f t="shared" si="0"/>
        <v>099180</v>
      </c>
      <c r="F57" s="21" t="s">
        <v>1630</v>
      </c>
      <c r="G57" s="21" t="s">
        <v>1168</v>
      </c>
      <c r="H57" s="31">
        <v>176507500</v>
      </c>
      <c r="I57" s="31">
        <v>-8268214</v>
      </c>
      <c r="J57" s="107" t="s">
        <v>2304</v>
      </c>
      <c r="K57" s="32" t="s">
        <v>2216</v>
      </c>
      <c r="L57" s="89"/>
      <c r="M57" s="33"/>
      <c r="N57" s="33"/>
      <c r="O57" s="89"/>
      <c r="P57" s="33"/>
      <c r="Q57" s="33"/>
      <c r="R57" s="33"/>
    </row>
    <row r="58" spans="1:18" s="32" customFormat="1" ht="56.1" customHeight="1">
      <c r="A58" s="21">
        <v>54</v>
      </c>
      <c r="B58" s="21" t="str">
        <f t="shared" si="1"/>
        <v>1500</v>
      </c>
      <c r="C58" s="30" t="s">
        <v>2224</v>
      </c>
      <c r="D58" s="30" t="s">
        <v>492</v>
      </c>
      <c r="E58" s="35" t="str">
        <f t="shared" si="0"/>
        <v>099180</v>
      </c>
      <c r="F58" s="21" t="s">
        <v>1630</v>
      </c>
      <c r="G58" s="21" t="s">
        <v>1168</v>
      </c>
      <c r="H58" s="31">
        <v>12200000</v>
      </c>
      <c r="I58" s="31">
        <v>0</v>
      </c>
      <c r="J58" s="119" t="s">
        <v>2305</v>
      </c>
      <c r="K58" s="32" t="s">
        <v>2216</v>
      </c>
      <c r="L58" s="89"/>
      <c r="M58" s="33"/>
      <c r="N58" s="33"/>
      <c r="O58" s="89"/>
      <c r="P58" s="33"/>
      <c r="Q58" s="33"/>
      <c r="R58" s="33"/>
    </row>
    <row r="59" spans="1:18" s="32" customFormat="1" ht="56.1" customHeight="1">
      <c r="A59" s="21">
        <v>55</v>
      </c>
      <c r="B59" s="21" t="str">
        <f t="shared" si="1"/>
        <v>1500</v>
      </c>
      <c r="C59" s="30" t="s">
        <v>2224</v>
      </c>
      <c r="D59" s="30" t="s">
        <v>492</v>
      </c>
      <c r="E59" s="35" t="str">
        <f t="shared" si="0"/>
        <v>099180</v>
      </c>
      <c r="F59" s="21" t="s">
        <v>1630</v>
      </c>
      <c r="G59" s="21" t="s">
        <v>1167</v>
      </c>
      <c r="H59" s="31">
        <v>-12200000</v>
      </c>
      <c r="I59" s="31">
        <v>4880000</v>
      </c>
      <c r="J59" s="119" t="s">
        <v>2305</v>
      </c>
      <c r="K59" s="32" t="s">
        <v>2216</v>
      </c>
      <c r="L59" s="89"/>
      <c r="M59" s="33"/>
      <c r="N59" s="33"/>
      <c r="O59" s="89"/>
      <c r="P59" s="33"/>
      <c r="Q59" s="33"/>
      <c r="R59" s="33"/>
    </row>
    <row r="60" spans="1:18" s="32" customFormat="1" ht="56.1" customHeight="1">
      <c r="A60" s="21">
        <v>56</v>
      </c>
      <c r="B60" s="21" t="str">
        <f t="shared" si="1"/>
        <v>0199</v>
      </c>
      <c r="C60" s="30" t="s">
        <v>2225</v>
      </c>
      <c r="D60" s="30" t="s">
        <v>1159</v>
      </c>
      <c r="E60" s="35" t="str">
        <f t="shared" si="0"/>
        <v>610378</v>
      </c>
      <c r="F60" s="21" t="s">
        <v>1979</v>
      </c>
      <c r="G60" s="21" t="s">
        <v>1167</v>
      </c>
      <c r="H60" s="31">
        <v>1650000</v>
      </c>
      <c r="I60" s="31">
        <v>-330000</v>
      </c>
      <c r="J60" s="120" t="s">
        <v>2306</v>
      </c>
      <c r="K60" s="32" t="s">
        <v>2216</v>
      </c>
      <c r="L60" s="89"/>
      <c r="M60" s="33"/>
      <c r="N60" s="33"/>
      <c r="O60" s="89"/>
      <c r="P60" s="33"/>
      <c r="Q60" s="33"/>
      <c r="R60" s="33"/>
    </row>
    <row r="61" spans="1:18" s="32" customFormat="1" ht="56.1" customHeight="1">
      <c r="A61" s="21">
        <v>57</v>
      </c>
      <c r="B61" s="21" t="str">
        <f t="shared" si="1"/>
        <v>0199</v>
      </c>
      <c r="C61" s="30" t="s">
        <v>2226</v>
      </c>
      <c r="D61" s="30" t="s">
        <v>1161</v>
      </c>
      <c r="E61" s="35" t="str">
        <f t="shared" si="0"/>
        <v>663122</v>
      </c>
      <c r="F61" s="21" t="s">
        <v>1978</v>
      </c>
      <c r="G61" s="21" t="s">
        <v>1172</v>
      </c>
      <c r="H61" s="31">
        <v>-83710000</v>
      </c>
      <c r="I61" s="31">
        <v>0</v>
      </c>
      <c r="J61" s="120" t="s">
        <v>2307</v>
      </c>
      <c r="K61" s="32" t="s">
        <v>2216</v>
      </c>
      <c r="L61" s="89"/>
      <c r="M61" s="33"/>
      <c r="N61" s="33"/>
      <c r="O61" s="89"/>
      <c r="P61" s="33"/>
      <c r="Q61" s="33"/>
      <c r="R61" s="33"/>
    </row>
    <row r="62" spans="1:18" s="32" customFormat="1" ht="56.1" customHeight="1">
      <c r="A62" s="21">
        <v>58</v>
      </c>
      <c r="B62" s="21" t="str">
        <f t="shared" si="1"/>
        <v>0199</v>
      </c>
      <c r="C62" s="30" t="s">
        <v>2227</v>
      </c>
      <c r="D62" s="30" t="s">
        <v>1163</v>
      </c>
      <c r="E62" s="35" t="str">
        <f t="shared" si="0"/>
        <v>097450</v>
      </c>
      <c r="F62" s="21" t="s">
        <v>1970</v>
      </c>
      <c r="G62" s="21" t="s">
        <v>1172</v>
      </c>
      <c r="H62" s="31">
        <v>-26325000</v>
      </c>
      <c r="I62" s="31">
        <v>0</v>
      </c>
      <c r="J62" s="120" t="s">
        <v>2308</v>
      </c>
      <c r="K62" s="32" t="s">
        <v>2216</v>
      </c>
      <c r="L62" s="89"/>
      <c r="M62" s="33"/>
      <c r="N62" s="33"/>
      <c r="O62" s="89"/>
      <c r="P62" s="33"/>
      <c r="Q62" s="33"/>
      <c r="R62" s="33"/>
    </row>
    <row r="63" spans="1:18" s="32" customFormat="1" ht="56.1" customHeight="1">
      <c r="A63" s="21">
        <v>59</v>
      </c>
      <c r="B63" s="21" t="str">
        <f t="shared" si="1"/>
        <v>3300</v>
      </c>
      <c r="C63" s="30" t="s">
        <v>2228</v>
      </c>
      <c r="D63" s="30" t="s">
        <v>825</v>
      </c>
      <c r="E63" s="35" t="str">
        <f t="shared" si="0"/>
        <v>402911</v>
      </c>
      <c r="F63" s="21" t="s">
        <v>1961</v>
      </c>
      <c r="G63" s="21" t="s">
        <v>1168</v>
      </c>
      <c r="H63" s="31">
        <v>-969764000</v>
      </c>
      <c r="I63" s="31">
        <v>535489160</v>
      </c>
      <c r="J63" s="21" t="s">
        <v>2309</v>
      </c>
      <c r="K63" s="32" t="s">
        <v>2216</v>
      </c>
      <c r="L63" s="89"/>
      <c r="M63" s="33"/>
      <c r="N63" s="33"/>
      <c r="O63" s="89"/>
      <c r="P63" s="33"/>
      <c r="Q63" s="33"/>
      <c r="R63" s="33"/>
    </row>
    <row r="64" spans="1:18" s="32" customFormat="1" ht="56.1" customHeight="1">
      <c r="A64" s="21">
        <v>60</v>
      </c>
      <c r="B64" s="21" t="str">
        <f t="shared" si="1"/>
        <v>1900</v>
      </c>
      <c r="C64" s="30" t="s">
        <v>2229</v>
      </c>
      <c r="D64" s="30" t="s">
        <v>591</v>
      </c>
      <c r="E64" s="35" t="str">
        <f t="shared" si="0"/>
        <v>099492</v>
      </c>
      <c r="F64" s="21" t="s">
        <v>1729</v>
      </c>
      <c r="G64" s="21" t="s">
        <v>1168</v>
      </c>
      <c r="H64" s="31">
        <v>-1090665000</v>
      </c>
      <c r="I64" s="31">
        <v>774372150</v>
      </c>
      <c r="J64" s="21" t="s">
        <v>2309</v>
      </c>
      <c r="K64" s="32" t="s">
        <v>2216</v>
      </c>
      <c r="L64" s="89"/>
      <c r="M64" s="33"/>
      <c r="N64" s="33"/>
      <c r="O64" s="89"/>
      <c r="P64" s="33"/>
      <c r="Q64" s="33"/>
      <c r="R64" s="33"/>
    </row>
    <row r="65" spans="1:18" s="32" customFormat="1" ht="56.1" customHeight="1">
      <c r="A65" s="21">
        <v>61</v>
      </c>
      <c r="B65" s="21" t="str">
        <f t="shared" si="1"/>
        <v>1400</v>
      </c>
      <c r="C65" s="30" t="s">
        <v>2230</v>
      </c>
      <c r="D65" s="30" t="s">
        <v>477</v>
      </c>
      <c r="E65" s="35" t="str">
        <f t="shared" si="0"/>
        <v>099141</v>
      </c>
      <c r="F65" s="21" t="s">
        <v>2255</v>
      </c>
      <c r="G65" s="21" t="s">
        <v>1168</v>
      </c>
      <c r="H65" s="31">
        <v>-696308400</v>
      </c>
      <c r="I65" s="31">
        <v>139409828</v>
      </c>
      <c r="J65" s="21" t="s">
        <v>2309</v>
      </c>
      <c r="K65" s="32" t="s">
        <v>2216</v>
      </c>
      <c r="L65" s="89"/>
      <c r="M65" s="33"/>
      <c r="N65" s="33"/>
      <c r="O65" s="89"/>
      <c r="P65" s="33"/>
      <c r="Q65" s="33"/>
      <c r="R65" s="33"/>
    </row>
    <row r="66" spans="1:18" s="32" customFormat="1" ht="56.1" customHeight="1">
      <c r="A66" s="21">
        <v>62</v>
      </c>
      <c r="B66" s="21" t="str">
        <f t="shared" si="1"/>
        <v>0100</v>
      </c>
      <c r="C66" s="30" t="s">
        <v>2231</v>
      </c>
      <c r="D66" s="30" t="s">
        <v>12</v>
      </c>
      <c r="E66" s="35" t="str">
        <f t="shared" si="0"/>
        <v>097488</v>
      </c>
      <c r="F66" s="21" t="s">
        <v>1178</v>
      </c>
      <c r="G66" s="21" t="s">
        <v>1167</v>
      </c>
      <c r="H66" s="31">
        <v>106725000</v>
      </c>
      <c r="I66" s="31">
        <v>-13340625</v>
      </c>
      <c r="J66" s="21" t="s">
        <v>2310</v>
      </c>
      <c r="K66" s="32" t="s">
        <v>2216</v>
      </c>
      <c r="L66" s="89"/>
      <c r="M66" s="33"/>
      <c r="N66" s="33"/>
      <c r="O66" s="89"/>
      <c r="P66" s="33"/>
      <c r="Q66" s="33"/>
      <c r="R66" s="33"/>
    </row>
    <row r="67" spans="1:18" s="32" customFormat="1" ht="56.1" customHeight="1">
      <c r="A67" s="21">
        <v>63</v>
      </c>
      <c r="B67" s="21" t="str">
        <f t="shared" si="1"/>
        <v>0600</v>
      </c>
      <c r="C67" s="30" t="s">
        <v>2232</v>
      </c>
      <c r="D67" s="30" t="s">
        <v>252</v>
      </c>
      <c r="E67" s="35" t="str">
        <f t="shared" si="0"/>
        <v>098519</v>
      </c>
      <c r="F67" s="21" t="s">
        <v>1390</v>
      </c>
      <c r="G67" s="21" t="s">
        <v>1168</v>
      </c>
      <c r="H67" s="31">
        <v>162200000</v>
      </c>
      <c r="I67" s="31">
        <v>-1622000</v>
      </c>
      <c r="J67" s="21" t="s">
        <v>2310</v>
      </c>
      <c r="K67" s="32" t="s">
        <v>2216</v>
      </c>
      <c r="L67" s="89"/>
      <c r="M67" s="33"/>
      <c r="N67" s="33"/>
      <c r="O67" s="89"/>
      <c r="P67" s="33"/>
      <c r="Q67" s="33"/>
      <c r="R67" s="33"/>
    </row>
    <row r="68" spans="1:18" s="32" customFormat="1" ht="56.1" customHeight="1">
      <c r="A68" s="21">
        <v>64</v>
      </c>
      <c r="B68" s="21" t="str">
        <f t="shared" si="1"/>
        <v>1100</v>
      </c>
      <c r="C68" s="30" t="s">
        <v>2233</v>
      </c>
      <c r="D68" s="30" t="s">
        <v>416</v>
      </c>
      <c r="E68" s="35" t="str">
        <f t="shared" si="0"/>
        <v>098970</v>
      </c>
      <c r="F68" s="21" t="s">
        <v>2215</v>
      </c>
      <c r="G68" s="21" t="s">
        <v>1167</v>
      </c>
      <c r="H68" s="31">
        <v>126000000</v>
      </c>
      <c r="I68" s="31">
        <v>-9000000</v>
      </c>
      <c r="J68" s="21" t="s">
        <v>2310</v>
      </c>
      <c r="K68" s="32" t="s">
        <v>2216</v>
      </c>
      <c r="L68" s="89"/>
      <c r="M68" s="33"/>
      <c r="N68" s="33"/>
      <c r="O68" s="89"/>
      <c r="P68" s="33"/>
      <c r="Q68" s="33"/>
      <c r="R68" s="33"/>
    </row>
    <row r="69" spans="1:18" s="32" customFormat="1" ht="56.1" customHeight="1">
      <c r="A69" s="21">
        <v>65</v>
      </c>
      <c r="B69" s="21" t="str">
        <f t="shared" si="1"/>
        <v>3000</v>
      </c>
      <c r="C69" s="30" t="s">
        <v>2234</v>
      </c>
      <c r="D69" s="30" t="s">
        <v>790</v>
      </c>
      <c r="E69" s="35" t="str">
        <f t="shared" si="0"/>
        <v>099010</v>
      </c>
      <c r="F69" s="21" t="s">
        <v>1926</v>
      </c>
      <c r="G69" s="21" t="s">
        <v>1168</v>
      </c>
      <c r="H69" s="31">
        <v>71894679</v>
      </c>
      <c r="I69" s="31">
        <v>-16863989</v>
      </c>
      <c r="J69" s="21" t="s">
        <v>2310</v>
      </c>
      <c r="K69" s="32" t="s">
        <v>2216</v>
      </c>
      <c r="L69" s="89"/>
      <c r="M69" s="33"/>
      <c r="N69" s="33"/>
      <c r="O69" s="89"/>
      <c r="P69" s="33"/>
      <c r="Q69" s="33"/>
      <c r="R69" s="33"/>
    </row>
    <row r="70" spans="1:18" s="32" customFormat="1" ht="56.1" customHeight="1">
      <c r="A70" s="21">
        <v>66</v>
      </c>
      <c r="B70" s="21" t="str">
        <f t="shared" si="1"/>
        <v>1200</v>
      </c>
      <c r="C70" s="30" t="s">
        <v>2235</v>
      </c>
      <c r="D70" s="30" t="s">
        <v>446</v>
      </c>
      <c r="E70" s="35" t="str">
        <f t="shared" si="0"/>
        <v>614691</v>
      </c>
      <c r="F70" s="21" t="s">
        <v>1584</v>
      </c>
      <c r="G70" s="21" t="s">
        <v>1166</v>
      </c>
      <c r="H70" s="31">
        <v>16459300</v>
      </c>
      <c r="I70" s="31">
        <v>0</v>
      </c>
      <c r="J70" s="21" t="s">
        <v>2310</v>
      </c>
      <c r="K70" s="32" t="s">
        <v>2216</v>
      </c>
      <c r="L70" s="89"/>
      <c r="M70" s="33"/>
      <c r="N70" s="33"/>
      <c r="O70" s="89"/>
      <c r="P70" s="33"/>
      <c r="Q70" s="33"/>
      <c r="R70" s="33"/>
    </row>
    <row r="71" spans="1:18" s="32" customFormat="1" ht="56.1" customHeight="1">
      <c r="A71" s="21">
        <v>67</v>
      </c>
      <c r="B71" s="21" t="str">
        <f t="shared" si="1"/>
        <v>0900</v>
      </c>
      <c r="C71" s="30" t="s">
        <v>2236</v>
      </c>
      <c r="D71" s="30" t="s">
        <v>386</v>
      </c>
      <c r="E71" s="35" t="str">
        <f t="shared" si="0"/>
        <v>631999</v>
      </c>
      <c r="F71" s="21" t="s">
        <v>1524</v>
      </c>
      <c r="G71" s="21" t="s">
        <v>1166</v>
      </c>
      <c r="H71" s="31">
        <v>349056000</v>
      </c>
      <c r="I71" s="31">
        <v>0</v>
      </c>
      <c r="J71" s="21" t="s">
        <v>2310</v>
      </c>
      <c r="K71" s="32" t="s">
        <v>2216</v>
      </c>
      <c r="L71" s="89"/>
      <c r="M71" s="33"/>
      <c r="N71" s="33"/>
      <c r="O71" s="90"/>
      <c r="R71" s="33"/>
    </row>
    <row r="72" spans="1:18" s="32" customFormat="1" ht="56.1" customHeight="1">
      <c r="A72" s="21">
        <v>68</v>
      </c>
      <c r="B72" s="21" t="str">
        <f t="shared" si="1"/>
        <v>1000</v>
      </c>
      <c r="C72" s="30" t="s">
        <v>2237</v>
      </c>
      <c r="D72" s="30" t="s">
        <v>407</v>
      </c>
      <c r="E72" s="35" t="str">
        <f t="shared" si="0"/>
        <v>632018</v>
      </c>
      <c r="F72" s="21" t="s">
        <v>1545</v>
      </c>
      <c r="G72" s="21" t="s">
        <v>1166</v>
      </c>
      <c r="H72" s="31">
        <v>214650000</v>
      </c>
      <c r="I72" s="31">
        <v>0</v>
      </c>
      <c r="J72" s="21" t="s">
        <v>2310</v>
      </c>
      <c r="K72" s="32" t="s">
        <v>2216</v>
      </c>
      <c r="L72" s="89"/>
      <c r="M72" s="33"/>
      <c r="N72" s="33"/>
      <c r="O72" s="89"/>
      <c r="P72" s="33"/>
      <c r="Q72" s="33"/>
      <c r="R72" s="33"/>
    </row>
    <row r="73" spans="1:18" s="32" customFormat="1" ht="56.1" customHeight="1">
      <c r="A73" s="21">
        <v>69</v>
      </c>
      <c r="B73" s="21" t="str">
        <f t="shared" si="1"/>
        <v>1200</v>
      </c>
      <c r="C73" s="30" t="s">
        <v>2238</v>
      </c>
      <c r="D73" s="30" t="s">
        <v>437</v>
      </c>
      <c r="E73" s="35" t="str">
        <f t="shared" si="0"/>
        <v>402324</v>
      </c>
      <c r="F73" s="21" t="s">
        <v>2256</v>
      </c>
      <c r="G73" s="21" t="s">
        <v>1167</v>
      </c>
      <c r="H73" s="31">
        <v>34000000</v>
      </c>
      <c r="I73" s="31">
        <v>-3987500</v>
      </c>
      <c r="J73" s="21" t="s">
        <v>2310</v>
      </c>
      <c r="K73" s="32" t="s">
        <v>2216</v>
      </c>
      <c r="L73" s="89"/>
      <c r="M73" s="33"/>
      <c r="N73" s="33"/>
      <c r="O73" s="89"/>
      <c r="P73" s="33"/>
      <c r="Q73" s="33"/>
      <c r="R73" s="33"/>
    </row>
    <row r="74" spans="1:18" s="32" customFormat="1" ht="56.1" customHeight="1">
      <c r="A74" s="21">
        <v>70</v>
      </c>
      <c r="B74" s="21" t="str">
        <f t="shared" si="1"/>
        <v>1200</v>
      </c>
      <c r="C74" s="30" t="s">
        <v>2238</v>
      </c>
      <c r="D74" s="30" t="s">
        <v>437</v>
      </c>
      <c r="E74" s="35" t="str">
        <f t="shared" si="0"/>
        <v>402324</v>
      </c>
      <c r="F74" s="21" t="s">
        <v>2256</v>
      </c>
      <c r="G74" s="21" t="s">
        <v>1170</v>
      </c>
      <c r="H74" s="31">
        <v>3000000</v>
      </c>
      <c r="I74" s="31">
        <v>-375000</v>
      </c>
      <c r="J74" s="21" t="s">
        <v>2310</v>
      </c>
      <c r="K74" s="32" t="s">
        <v>2216</v>
      </c>
      <c r="L74" s="89"/>
      <c r="M74" s="33"/>
      <c r="N74" s="33"/>
      <c r="O74" s="89"/>
      <c r="P74" s="33"/>
      <c r="Q74" s="33"/>
      <c r="R74" s="33"/>
    </row>
    <row r="75" spans="1:18" s="32" customFormat="1" ht="56.1" customHeight="1">
      <c r="A75" s="21">
        <v>71</v>
      </c>
      <c r="B75" s="21" t="str">
        <f t="shared" si="1"/>
        <v>1200</v>
      </c>
      <c r="C75" s="30" t="s">
        <v>2239</v>
      </c>
      <c r="D75" s="30" t="s">
        <v>440</v>
      </c>
      <c r="E75" s="35" t="str">
        <f t="shared" si="0"/>
        <v>402355</v>
      </c>
      <c r="F75" s="21" t="s">
        <v>1578</v>
      </c>
      <c r="G75" s="21" t="s">
        <v>1168</v>
      </c>
      <c r="H75" s="31">
        <v>50000000</v>
      </c>
      <c r="I75" s="31">
        <v>-8000000</v>
      </c>
      <c r="J75" s="21" t="s">
        <v>2310</v>
      </c>
      <c r="K75" s="32" t="s">
        <v>2216</v>
      </c>
      <c r="L75" s="89"/>
      <c r="M75" s="33"/>
      <c r="N75" s="33"/>
      <c r="O75" s="89"/>
      <c r="P75" s="33"/>
      <c r="Q75" s="33"/>
      <c r="R75" s="33"/>
    </row>
    <row r="76" spans="1:18" s="32" customFormat="1" ht="56.1" customHeight="1">
      <c r="A76" s="21">
        <v>72</v>
      </c>
      <c r="B76" s="21" t="str">
        <f t="shared" si="1"/>
        <v>0600</v>
      </c>
      <c r="C76" s="30" t="s">
        <v>2240</v>
      </c>
      <c r="D76" s="30" t="s">
        <v>281</v>
      </c>
      <c r="E76" s="35" t="str">
        <f t="shared" ref="E76:E92" si="10">MID(D76,10,6)</f>
        <v>401761</v>
      </c>
      <c r="F76" s="21" t="s">
        <v>2257</v>
      </c>
      <c r="G76" s="21" t="s">
        <v>1167</v>
      </c>
      <c r="H76" s="31">
        <v>50000000</v>
      </c>
      <c r="I76" s="31">
        <v>-5000000</v>
      </c>
      <c r="J76" s="21" t="s">
        <v>2310</v>
      </c>
      <c r="K76" s="32" t="s">
        <v>2216</v>
      </c>
      <c r="L76" s="89"/>
      <c r="M76" s="33"/>
      <c r="N76" s="33"/>
      <c r="O76" s="89"/>
      <c r="P76" s="33"/>
      <c r="Q76" s="33"/>
      <c r="R76" s="33"/>
    </row>
    <row r="77" spans="1:18" s="32" customFormat="1" ht="56.1" customHeight="1">
      <c r="A77" s="21">
        <v>73</v>
      </c>
      <c r="B77" s="21" t="str">
        <f t="shared" si="1"/>
        <v>0300</v>
      </c>
      <c r="C77" s="30" t="s">
        <v>2241</v>
      </c>
      <c r="D77" s="30" t="s">
        <v>117</v>
      </c>
      <c r="E77" s="35" t="str">
        <f t="shared" si="10"/>
        <v>400911</v>
      </c>
      <c r="F77" s="21" t="s">
        <v>1998</v>
      </c>
      <c r="G77" s="21" t="s">
        <v>1167</v>
      </c>
      <c r="H77" s="31">
        <v>80881000</v>
      </c>
      <c r="I77" s="31">
        <v>-9090600</v>
      </c>
      <c r="J77" s="21" t="s">
        <v>2310</v>
      </c>
      <c r="K77" s="32" t="s">
        <v>2216</v>
      </c>
      <c r="L77" s="89"/>
      <c r="M77" s="33"/>
      <c r="N77" s="33"/>
      <c r="O77" s="89"/>
      <c r="P77" s="33"/>
      <c r="Q77" s="33"/>
      <c r="R77" s="33"/>
    </row>
    <row r="78" spans="1:18" s="32" customFormat="1" ht="56.1" customHeight="1">
      <c r="A78" s="21">
        <v>74</v>
      </c>
      <c r="B78" s="21" t="str">
        <f t="shared" si="1"/>
        <v>0500</v>
      </c>
      <c r="C78" s="30" t="s">
        <v>2242</v>
      </c>
      <c r="D78" s="30" t="s">
        <v>176</v>
      </c>
      <c r="E78" s="35" t="str">
        <f t="shared" si="10"/>
        <v>098214</v>
      </c>
      <c r="F78" s="21" t="s">
        <v>1329</v>
      </c>
      <c r="G78" s="21" t="s">
        <v>1167</v>
      </c>
      <c r="H78" s="31">
        <v>-1000000</v>
      </c>
      <c r="I78" s="31">
        <v>100000</v>
      </c>
      <c r="J78" s="21" t="s">
        <v>2310</v>
      </c>
      <c r="K78" s="32" t="s">
        <v>2216</v>
      </c>
      <c r="L78" s="89"/>
      <c r="M78" s="33"/>
      <c r="N78" s="33"/>
      <c r="O78" s="89"/>
      <c r="P78" s="33"/>
      <c r="Q78" s="33"/>
      <c r="R78" s="33"/>
    </row>
    <row r="79" spans="1:18" s="32" customFormat="1" ht="56.1" customHeight="1">
      <c r="A79" s="21">
        <v>75</v>
      </c>
      <c r="B79" s="21" t="str">
        <f t="shared" si="1"/>
        <v>1200</v>
      </c>
      <c r="C79" s="30" t="s">
        <v>2243</v>
      </c>
      <c r="D79" s="30" t="s">
        <v>435</v>
      </c>
      <c r="E79" s="35" t="str">
        <f t="shared" si="10"/>
        <v>400364</v>
      </c>
      <c r="F79" s="21" t="s">
        <v>2258</v>
      </c>
      <c r="G79" s="21" t="s">
        <v>1167</v>
      </c>
      <c r="H79" s="31">
        <v>289210000</v>
      </c>
      <c r="I79" s="31">
        <v>-20657857</v>
      </c>
      <c r="J79" s="21" t="s">
        <v>2310</v>
      </c>
      <c r="K79" s="32" t="s">
        <v>2216</v>
      </c>
      <c r="L79" s="89"/>
      <c r="M79" s="33"/>
      <c r="N79" s="33"/>
      <c r="O79" s="89"/>
      <c r="P79" s="33"/>
      <c r="Q79" s="33"/>
      <c r="R79" s="33"/>
    </row>
    <row r="80" spans="1:18" s="32" customFormat="1" ht="56.1" customHeight="1">
      <c r="A80" s="21">
        <v>76</v>
      </c>
      <c r="B80" s="21" t="str">
        <f t="shared" si="1"/>
        <v>0900</v>
      </c>
      <c r="C80" s="30" t="s">
        <v>2244</v>
      </c>
      <c r="D80" s="30" t="s">
        <v>382</v>
      </c>
      <c r="E80" s="35" t="str">
        <f t="shared" si="10"/>
        <v>477255</v>
      </c>
      <c r="F80" s="21" t="s">
        <v>1520</v>
      </c>
      <c r="G80" s="21" t="s">
        <v>1166</v>
      </c>
      <c r="H80" s="31">
        <v>815000000</v>
      </c>
      <c r="I80" s="31">
        <v>0</v>
      </c>
      <c r="J80" s="21" t="s">
        <v>2310</v>
      </c>
      <c r="K80" s="32" t="s">
        <v>2216</v>
      </c>
      <c r="L80" s="89"/>
      <c r="M80" s="33"/>
      <c r="N80" s="33"/>
      <c r="O80" s="89"/>
      <c r="P80" s="33"/>
      <c r="Q80" s="33"/>
      <c r="R80" s="33"/>
    </row>
    <row r="81" spans="1:21" s="32" customFormat="1" ht="56.1" customHeight="1">
      <c r="A81" s="21">
        <v>77</v>
      </c>
      <c r="B81" s="21" t="str">
        <f t="shared" si="1"/>
        <v>0500</v>
      </c>
      <c r="C81" s="30" t="s">
        <v>2245</v>
      </c>
      <c r="D81" s="30" t="s">
        <v>220</v>
      </c>
      <c r="E81" s="35" t="str">
        <f t="shared" si="10"/>
        <v>401441</v>
      </c>
      <c r="F81" s="21" t="s">
        <v>1364</v>
      </c>
      <c r="G81" s="21" t="s">
        <v>1166</v>
      </c>
      <c r="H81" s="31">
        <v>64430434</v>
      </c>
      <c r="I81" s="31">
        <v>0</v>
      </c>
      <c r="J81" s="21" t="s">
        <v>2310</v>
      </c>
      <c r="K81" s="32" t="s">
        <v>2216</v>
      </c>
      <c r="L81" s="89"/>
      <c r="M81" s="33"/>
      <c r="N81" s="33"/>
      <c r="O81" s="89"/>
      <c r="P81" s="33"/>
      <c r="Q81" s="33"/>
      <c r="R81" s="33"/>
    </row>
    <row r="82" spans="1:21" s="32" customFormat="1" ht="56.1" customHeight="1">
      <c r="A82" s="21">
        <v>78</v>
      </c>
      <c r="B82" s="21" t="str">
        <f t="shared" si="1"/>
        <v>1700</v>
      </c>
      <c r="C82" s="30" t="s">
        <v>2246</v>
      </c>
      <c r="D82" s="30" t="s">
        <v>558</v>
      </c>
      <c r="E82" s="35" t="str">
        <f t="shared" si="10"/>
        <v>568725</v>
      </c>
      <c r="F82" s="21" t="s">
        <v>1696</v>
      </c>
      <c r="G82" s="21" t="s">
        <v>1167</v>
      </c>
      <c r="H82" s="31">
        <v>3000000</v>
      </c>
      <c r="I82" s="31">
        <v>-300000</v>
      </c>
      <c r="J82" s="21" t="s">
        <v>2310</v>
      </c>
      <c r="K82" s="32" t="s">
        <v>2216</v>
      </c>
      <c r="L82" s="89"/>
      <c r="M82" s="33"/>
      <c r="N82" s="33"/>
      <c r="O82" s="89"/>
      <c r="P82" s="33"/>
      <c r="Q82" s="33"/>
      <c r="R82" s="33"/>
    </row>
    <row r="83" spans="1:21" s="32" customFormat="1" ht="56.1" customHeight="1">
      <c r="A83" s="21">
        <v>79</v>
      </c>
      <c r="B83" s="21" t="str">
        <f t="shared" si="1"/>
        <v>1100</v>
      </c>
      <c r="C83" s="30" t="s">
        <v>2247</v>
      </c>
      <c r="D83" s="30" t="s">
        <v>429</v>
      </c>
      <c r="E83" s="35" t="str">
        <f t="shared" si="10"/>
        <v>663211</v>
      </c>
      <c r="F83" s="21" t="s">
        <v>1567</v>
      </c>
      <c r="G83" s="21" t="s">
        <v>1168</v>
      </c>
      <c r="H83" s="31">
        <v>90000000</v>
      </c>
      <c r="I83" s="31">
        <v>-900000</v>
      </c>
      <c r="J83" s="21" t="s">
        <v>2310</v>
      </c>
      <c r="K83" s="32" t="s">
        <v>2216</v>
      </c>
      <c r="L83" s="89"/>
      <c r="M83" s="33"/>
      <c r="N83" s="33"/>
      <c r="O83" s="89"/>
      <c r="P83" s="33"/>
      <c r="Q83" s="33"/>
      <c r="R83" s="33"/>
    </row>
    <row r="84" spans="1:21" s="32" customFormat="1" ht="56.1" customHeight="1">
      <c r="A84" s="21">
        <v>80</v>
      </c>
      <c r="B84" s="21" t="str">
        <f t="shared" si="1"/>
        <v>1300</v>
      </c>
      <c r="C84" s="30" t="s">
        <v>2248</v>
      </c>
      <c r="D84" s="30" t="s">
        <v>462</v>
      </c>
      <c r="E84" s="35" t="str">
        <f t="shared" si="10"/>
        <v>402361</v>
      </c>
      <c r="F84" s="21" t="s">
        <v>1600</v>
      </c>
      <c r="G84" s="21" t="s">
        <v>1168</v>
      </c>
      <c r="H84" s="31">
        <v>154681500</v>
      </c>
      <c r="I84" s="31">
        <v>-1546815</v>
      </c>
      <c r="J84" s="21" t="s">
        <v>2310</v>
      </c>
      <c r="K84" s="32" t="s">
        <v>2216</v>
      </c>
      <c r="L84" s="89"/>
      <c r="M84" s="33"/>
      <c r="N84" s="33"/>
      <c r="O84" s="89"/>
      <c r="P84" s="33"/>
      <c r="Q84" s="33"/>
      <c r="R84" s="33"/>
    </row>
    <row r="85" spans="1:21" s="32" customFormat="1" ht="56.1" customHeight="1">
      <c r="A85" s="21">
        <v>81</v>
      </c>
      <c r="B85" s="21" t="str">
        <f t="shared" si="1"/>
        <v>2800</v>
      </c>
      <c r="C85" s="30" t="s">
        <v>2249</v>
      </c>
      <c r="D85" s="30" t="s">
        <v>769</v>
      </c>
      <c r="E85" s="35" t="str">
        <f t="shared" si="10"/>
        <v>099752</v>
      </c>
      <c r="F85" s="21" t="s">
        <v>2259</v>
      </c>
      <c r="G85" s="21" t="s">
        <v>1166</v>
      </c>
      <c r="H85" s="31">
        <v>217218000</v>
      </c>
      <c r="I85" s="31">
        <v>0</v>
      </c>
      <c r="J85" s="21" t="s">
        <v>2310</v>
      </c>
      <c r="K85" s="32" t="s">
        <v>2216</v>
      </c>
      <c r="L85" s="89"/>
      <c r="M85" s="33"/>
      <c r="N85" s="33"/>
      <c r="O85" s="89"/>
      <c r="P85" s="33"/>
      <c r="Q85" s="33"/>
      <c r="R85" s="33"/>
    </row>
    <row r="86" spans="1:21" s="32" customFormat="1" ht="56.1" customHeight="1">
      <c r="A86" s="21">
        <v>82</v>
      </c>
      <c r="B86" s="21" t="str">
        <f t="shared" ref="B86:B92" si="11">MID(D86,6,4)</f>
        <v>2800</v>
      </c>
      <c r="C86" s="30" t="s">
        <v>2249</v>
      </c>
      <c r="D86" s="30" t="s">
        <v>769</v>
      </c>
      <c r="E86" s="35" t="str">
        <f t="shared" ref="E86" si="12">MID(D86,10,6)</f>
        <v>099752</v>
      </c>
      <c r="F86" s="21" t="s">
        <v>2259</v>
      </c>
      <c r="G86" s="21" t="s">
        <v>1168</v>
      </c>
      <c r="H86" s="31">
        <v>2591568720</v>
      </c>
      <c r="I86" s="31">
        <v>-25915687</v>
      </c>
      <c r="J86" s="21" t="s">
        <v>2310</v>
      </c>
      <c r="K86" s="32" t="s">
        <v>2216</v>
      </c>
      <c r="L86" s="89"/>
      <c r="M86" s="33"/>
      <c r="N86" s="33"/>
      <c r="O86" s="89"/>
      <c r="P86" s="33"/>
      <c r="Q86" s="33"/>
      <c r="R86" s="33"/>
    </row>
    <row r="87" spans="1:21" s="32" customFormat="1" ht="56.1" customHeight="1">
      <c r="A87" s="21">
        <v>83</v>
      </c>
      <c r="B87" s="21" t="str">
        <f t="shared" si="11"/>
        <v>0200</v>
      </c>
      <c r="C87" s="30" t="s">
        <v>2250</v>
      </c>
      <c r="D87" s="30" t="s">
        <v>52</v>
      </c>
      <c r="E87" s="35" t="str">
        <f t="shared" si="10"/>
        <v>400704</v>
      </c>
      <c r="F87" s="21" t="s">
        <v>1216</v>
      </c>
      <c r="G87" s="21" t="s">
        <v>1166</v>
      </c>
      <c r="H87" s="31">
        <v>705600000</v>
      </c>
      <c r="I87" s="31">
        <v>0</v>
      </c>
      <c r="J87" s="21" t="s">
        <v>2310</v>
      </c>
      <c r="K87" s="32" t="s">
        <v>2216</v>
      </c>
      <c r="L87" s="89"/>
      <c r="M87" s="33"/>
      <c r="N87" s="33"/>
      <c r="O87" s="89"/>
      <c r="P87" s="33"/>
      <c r="Q87" s="33"/>
      <c r="R87" s="33"/>
    </row>
    <row r="88" spans="1:21" s="32" customFormat="1" ht="56.1" customHeight="1">
      <c r="A88" s="21">
        <v>84</v>
      </c>
      <c r="B88" s="21" t="str">
        <f t="shared" si="11"/>
        <v>1000</v>
      </c>
      <c r="C88" s="30" t="s">
        <v>2251</v>
      </c>
      <c r="D88" s="30" t="s">
        <v>410</v>
      </c>
      <c r="E88" s="35" t="str">
        <f t="shared" si="10"/>
        <v>652034</v>
      </c>
      <c r="F88" s="21" t="s">
        <v>2260</v>
      </c>
      <c r="G88" s="21" t="s">
        <v>1166</v>
      </c>
      <c r="H88" s="31">
        <v>209584473</v>
      </c>
      <c r="I88" s="31">
        <v>0</v>
      </c>
      <c r="J88" s="21" t="s">
        <v>2310</v>
      </c>
      <c r="K88" s="32" t="s">
        <v>2216</v>
      </c>
      <c r="L88" s="89"/>
      <c r="M88" s="33"/>
      <c r="N88" s="33"/>
      <c r="O88" s="89"/>
      <c r="P88" s="33"/>
      <c r="Q88" s="33"/>
      <c r="R88" s="33"/>
    </row>
    <row r="89" spans="1:21" s="32" customFormat="1" ht="56.1" customHeight="1">
      <c r="A89" s="21">
        <v>85</v>
      </c>
      <c r="B89" s="21" t="str">
        <f t="shared" si="11"/>
        <v>0900</v>
      </c>
      <c r="C89" s="30" t="s">
        <v>2252</v>
      </c>
      <c r="D89" s="30" t="s">
        <v>379</v>
      </c>
      <c r="E89" s="35" t="str">
        <f t="shared" si="10"/>
        <v>402132</v>
      </c>
      <c r="F89" s="21" t="s">
        <v>1517</v>
      </c>
      <c r="G89" s="21" t="s">
        <v>1166</v>
      </c>
      <c r="H89" s="31">
        <v>50000000</v>
      </c>
      <c r="I89" s="31">
        <v>0</v>
      </c>
      <c r="J89" s="21" t="s">
        <v>2310</v>
      </c>
      <c r="K89" s="32" t="s">
        <v>2216</v>
      </c>
      <c r="L89" s="89"/>
      <c r="M89" s="33"/>
      <c r="N89" s="33"/>
      <c r="O89" s="89"/>
      <c r="P89" s="33"/>
      <c r="Q89" s="33"/>
      <c r="R89" s="33"/>
    </row>
    <row r="90" spans="1:21" s="32" customFormat="1" ht="56.1" customHeight="1">
      <c r="A90" s="21">
        <v>86</v>
      </c>
      <c r="B90" s="21" t="str">
        <f t="shared" si="11"/>
        <v>1200</v>
      </c>
      <c r="C90" s="30" t="s">
        <v>2253</v>
      </c>
      <c r="D90" s="30" t="s">
        <v>450</v>
      </c>
      <c r="E90" s="35" t="str">
        <f t="shared" si="10"/>
        <v>663026</v>
      </c>
      <c r="F90" s="21" t="s">
        <v>1975</v>
      </c>
      <c r="G90" s="21" t="s">
        <v>1168</v>
      </c>
      <c r="H90" s="31">
        <v>1660800000</v>
      </c>
      <c r="I90" s="31">
        <v>-16608000</v>
      </c>
      <c r="J90" s="21" t="s">
        <v>2310</v>
      </c>
      <c r="K90" s="32" t="s">
        <v>2216</v>
      </c>
      <c r="L90" s="89"/>
      <c r="M90" s="33"/>
      <c r="N90" s="33"/>
      <c r="O90" s="89"/>
      <c r="P90" s="33"/>
      <c r="Q90" s="33"/>
      <c r="R90" s="33"/>
    </row>
    <row r="91" spans="1:21" s="32" customFormat="1" ht="56.1" customHeight="1">
      <c r="A91" s="21">
        <v>87</v>
      </c>
      <c r="B91" s="21" t="str">
        <f t="shared" si="11"/>
        <v>1200</v>
      </c>
      <c r="C91" s="30" t="s">
        <v>2253</v>
      </c>
      <c r="D91" s="30" t="s">
        <v>450</v>
      </c>
      <c r="E91" s="35" t="str">
        <f t="shared" si="10"/>
        <v>663026</v>
      </c>
      <c r="F91" s="21" t="s">
        <v>1975</v>
      </c>
      <c r="G91" s="21" t="s">
        <v>1166</v>
      </c>
      <c r="H91" s="31">
        <v>-1660800000</v>
      </c>
      <c r="I91" s="31">
        <v>0</v>
      </c>
      <c r="J91" s="21" t="s">
        <v>2310</v>
      </c>
      <c r="K91" s="32" t="s">
        <v>2216</v>
      </c>
      <c r="L91" s="89"/>
      <c r="M91" s="33"/>
      <c r="N91" s="33"/>
      <c r="O91" s="89"/>
      <c r="P91" s="33"/>
      <c r="Q91" s="33"/>
      <c r="R91" s="33"/>
    </row>
    <row r="92" spans="1:21" s="32" customFormat="1" ht="56.1" customHeight="1">
      <c r="A92" s="21">
        <v>88</v>
      </c>
      <c r="B92" s="21" t="str">
        <f t="shared" si="11"/>
        <v>0199</v>
      </c>
      <c r="C92" s="30"/>
      <c r="D92" s="30" t="s">
        <v>1158</v>
      </c>
      <c r="E92" s="35" t="str">
        <f t="shared" si="10"/>
        <v>663157</v>
      </c>
      <c r="F92" s="21" t="s">
        <v>2297</v>
      </c>
      <c r="G92" s="21" t="s">
        <v>1167</v>
      </c>
      <c r="H92" s="31">
        <v>50721000</v>
      </c>
      <c r="I92" s="31">
        <v>-10144200</v>
      </c>
      <c r="J92" s="21" t="s">
        <v>2310</v>
      </c>
      <c r="K92" s="32" t="s">
        <v>2216</v>
      </c>
      <c r="L92" s="89"/>
      <c r="M92" s="33"/>
      <c r="N92" s="33"/>
      <c r="O92" s="89"/>
      <c r="P92" s="33"/>
      <c r="Q92" s="33"/>
      <c r="R92" s="33"/>
    </row>
    <row r="93" spans="1:21" ht="6.75" customHeight="1">
      <c r="A93" s="71"/>
      <c r="B93" s="72"/>
      <c r="C93" s="73"/>
      <c r="D93" s="73"/>
      <c r="E93" s="74"/>
      <c r="F93" s="72"/>
      <c r="G93" s="73" t="s">
        <v>2214</v>
      </c>
      <c r="H93" s="75"/>
      <c r="I93" s="75"/>
      <c r="J93" s="76"/>
      <c r="U93" s="32"/>
    </row>
    <row r="94" spans="1:21" s="83" customFormat="1" ht="27.75" customHeight="1">
      <c r="A94" s="77"/>
      <c r="B94" s="78" t="s">
        <v>1174</v>
      </c>
      <c r="C94" s="79"/>
      <c r="D94" s="79"/>
      <c r="E94" s="80"/>
      <c r="F94" s="79"/>
      <c r="G94" s="79"/>
      <c r="H94" s="81">
        <f>SUBTOTAL(9,H3:H92)</f>
        <v>1264338375</v>
      </c>
      <c r="I94" s="81">
        <f>SUBTOTAL(9,I3:I92)</f>
        <v>894566973</v>
      </c>
      <c r="J94" s="82"/>
      <c r="L94" s="91"/>
      <c r="M94" s="84"/>
      <c r="N94" s="84"/>
      <c r="O94" s="91"/>
      <c r="P94" s="84"/>
      <c r="Q94" s="84"/>
      <c r="R94" s="84"/>
      <c r="U94" s="32"/>
    </row>
    <row r="95" spans="1:21">
      <c r="U95" s="32"/>
    </row>
    <row r="96" spans="1:21">
      <c r="U96" s="32"/>
    </row>
    <row r="97" spans="10:21">
      <c r="U97" s="32"/>
    </row>
    <row r="98" spans="10:21">
      <c r="U98" s="32"/>
    </row>
    <row r="99" spans="10:21">
      <c r="J99" s="86"/>
      <c r="U99" s="32"/>
    </row>
    <row r="100" spans="10:21">
      <c r="U100" s="32"/>
    </row>
    <row r="101" spans="10:21">
      <c r="U101" s="32"/>
    </row>
    <row r="102" spans="10:21">
      <c r="J102" s="86"/>
      <c r="U102" s="32"/>
    </row>
    <row r="103" spans="10:21">
      <c r="J103" s="94"/>
      <c r="U103" s="32"/>
    </row>
    <row r="104" spans="10:21">
      <c r="U104" s="32"/>
    </row>
    <row r="105" spans="10:21">
      <c r="U105" s="32"/>
    </row>
    <row r="106" spans="10:21">
      <c r="U106" s="32"/>
    </row>
    <row r="107" spans="10:21">
      <c r="U107" s="32"/>
    </row>
    <row r="108" spans="10:21">
      <c r="U108" s="32"/>
    </row>
    <row r="109" spans="10:21">
      <c r="J109" s="93"/>
      <c r="U109" s="32"/>
    </row>
    <row r="110" spans="10:21">
      <c r="J110" s="86"/>
      <c r="U110" s="32"/>
    </row>
    <row r="111" spans="10:21">
      <c r="U111" s="32"/>
    </row>
    <row r="112" spans="10:21">
      <c r="U112" s="32"/>
    </row>
    <row r="113" spans="21:21">
      <c r="U113" s="32"/>
    </row>
    <row r="114" spans="21:21">
      <c r="U114" s="32"/>
    </row>
    <row r="115" spans="21:21">
      <c r="U115" s="32"/>
    </row>
    <row r="116" spans="21:21">
      <c r="U116" s="32"/>
    </row>
    <row r="117" spans="21:21">
      <c r="U117" s="32"/>
    </row>
    <row r="118" spans="21:21">
      <c r="U118" s="32"/>
    </row>
    <row r="119" spans="21:21">
      <c r="U119" s="32"/>
    </row>
    <row r="120" spans="21:21">
      <c r="U120" s="32"/>
    </row>
    <row r="121" spans="21:21">
      <c r="U121" s="32"/>
    </row>
    <row r="122" spans="21:21">
      <c r="U122" s="32"/>
    </row>
    <row r="123" spans="21:21">
      <c r="U123" s="32"/>
    </row>
    <row r="124" spans="21:21">
      <c r="U124" s="32"/>
    </row>
    <row r="125" spans="21:21">
      <c r="U125" s="32"/>
    </row>
    <row r="126" spans="21:21">
      <c r="U126" s="32"/>
    </row>
    <row r="127" spans="21:21">
      <c r="U127" s="32"/>
    </row>
    <row r="128" spans="21:21">
      <c r="U128" s="32"/>
    </row>
    <row r="129" spans="21:21">
      <c r="U129" s="32"/>
    </row>
    <row r="130" spans="21:21">
      <c r="U130" s="32"/>
    </row>
    <row r="131" spans="21:21">
      <c r="U131" s="32"/>
    </row>
    <row r="132" spans="21:21">
      <c r="U132" s="32"/>
    </row>
    <row r="133" spans="21:21">
      <c r="U133" s="32"/>
    </row>
    <row r="134" spans="21:21">
      <c r="U134" s="32"/>
    </row>
    <row r="135" spans="21:21">
      <c r="U135" s="32"/>
    </row>
    <row r="136" spans="21:21">
      <c r="U136" s="32"/>
    </row>
    <row r="137" spans="21:21">
      <c r="U137" s="32"/>
    </row>
    <row r="138" spans="21:21">
      <c r="U138" s="32"/>
    </row>
    <row r="139" spans="21:21">
      <c r="U139" s="32"/>
    </row>
    <row r="140" spans="21:21">
      <c r="U140" s="32"/>
    </row>
    <row r="141" spans="21:21">
      <c r="U141" s="32"/>
    </row>
    <row r="142" spans="21:21">
      <c r="U142" s="32"/>
    </row>
    <row r="143" spans="21:21">
      <c r="U143" s="32"/>
    </row>
    <row r="144" spans="21:21">
      <c r="U144" s="32"/>
    </row>
    <row r="145" spans="21:21">
      <c r="U145" s="32"/>
    </row>
    <row r="146" spans="21:21">
      <c r="U146" s="32"/>
    </row>
    <row r="147" spans="21:21">
      <c r="U147" s="32"/>
    </row>
    <row r="148" spans="21:21">
      <c r="U148" s="32"/>
    </row>
    <row r="149" spans="21:21">
      <c r="U149" s="32"/>
    </row>
    <row r="150" spans="21:21">
      <c r="U150" s="32"/>
    </row>
    <row r="151" spans="21:21">
      <c r="U151" s="32"/>
    </row>
    <row r="152" spans="21:21">
      <c r="U152" s="32"/>
    </row>
    <row r="153" spans="21:21">
      <c r="U153" s="32"/>
    </row>
    <row r="154" spans="21:21">
      <c r="U154" s="32"/>
    </row>
    <row r="155" spans="21:21">
      <c r="U155" s="32"/>
    </row>
    <row r="156" spans="21:21">
      <c r="U156" s="32"/>
    </row>
    <row r="157" spans="21:21">
      <c r="U157" s="32"/>
    </row>
    <row r="158" spans="21:21">
      <c r="U158" s="32"/>
    </row>
    <row r="159" spans="21:21">
      <c r="U159" s="32"/>
    </row>
    <row r="160" spans="21:21">
      <c r="U160" s="32"/>
    </row>
    <row r="161" spans="21:21">
      <c r="U161" s="32"/>
    </row>
    <row r="162" spans="21:21">
      <c r="U162" s="32"/>
    </row>
    <row r="163" spans="21:21">
      <c r="U163" s="32"/>
    </row>
    <row r="164" spans="21:21">
      <c r="U164" s="32"/>
    </row>
    <row r="165" spans="21:21">
      <c r="U165" s="32"/>
    </row>
    <row r="166" spans="21:21">
      <c r="U166" s="32"/>
    </row>
    <row r="167" spans="21:21">
      <c r="U167" s="32"/>
    </row>
    <row r="168" spans="21:21">
      <c r="U168" s="32"/>
    </row>
    <row r="169" spans="21:21">
      <c r="U169" s="32"/>
    </row>
    <row r="170" spans="21:21">
      <c r="U170" s="32"/>
    </row>
    <row r="171" spans="21:21">
      <c r="U171" s="32"/>
    </row>
    <row r="172" spans="21:21">
      <c r="U172" s="32"/>
    </row>
    <row r="173" spans="21:21">
      <c r="U173" s="32"/>
    </row>
    <row r="174" spans="21:21">
      <c r="U174" s="32"/>
    </row>
    <row r="175" spans="21:21">
      <c r="U175" s="32"/>
    </row>
    <row r="176" spans="21:21">
      <c r="U176" s="32"/>
    </row>
    <row r="177" spans="21:21">
      <c r="U177" s="32"/>
    </row>
    <row r="178" spans="21:21">
      <c r="U178" s="32"/>
    </row>
    <row r="179" spans="21:21">
      <c r="U179" s="32"/>
    </row>
    <row r="180" spans="21:21">
      <c r="U180" s="32"/>
    </row>
    <row r="181" spans="21:21">
      <c r="U181" s="32"/>
    </row>
    <row r="182" spans="21:21">
      <c r="U182" s="32"/>
    </row>
    <row r="183" spans="21:21">
      <c r="U183" s="32"/>
    </row>
    <row r="184" spans="21:21">
      <c r="U184" s="32"/>
    </row>
    <row r="185" spans="21:21">
      <c r="U185" s="32"/>
    </row>
    <row r="186" spans="21:21">
      <c r="U186" s="32"/>
    </row>
    <row r="187" spans="21:21">
      <c r="U187" s="32"/>
    </row>
    <row r="188" spans="21:21">
      <c r="U188" s="32"/>
    </row>
    <row r="189" spans="21:21">
      <c r="U189" s="32"/>
    </row>
    <row r="190" spans="21:21">
      <c r="U190" s="32"/>
    </row>
    <row r="191" spans="21:21">
      <c r="U191" s="32"/>
    </row>
    <row r="192" spans="21:21">
      <c r="U192" s="32"/>
    </row>
    <row r="193" spans="21:21">
      <c r="U193" s="32"/>
    </row>
    <row r="194" spans="21:21">
      <c r="U194" s="32"/>
    </row>
    <row r="195" spans="21:21">
      <c r="U195" s="32"/>
    </row>
    <row r="196" spans="21:21">
      <c r="U196" s="32"/>
    </row>
    <row r="197" spans="21:21">
      <c r="U197" s="32"/>
    </row>
    <row r="198" spans="21:21">
      <c r="U198" s="32"/>
    </row>
    <row r="199" spans="21:21">
      <c r="U199" s="32"/>
    </row>
    <row r="200" spans="21:21">
      <c r="U200" s="32"/>
    </row>
    <row r="201" spans="21:21">
      <c r="U201" s="32"/>
    </row>
    <row r="202" spans="21:21">
      <c r="U202" s="32"/>
    </row>
    <row r="203" spans="21:21">
      <c r="U203" s="32"/>
    </row>
    <row r="204" spans="21:21">
      <c r="U204" s="32"/>
    </row>
    <row r="205" spans="21:21">
      <c r="U205" s="32"/>
    </row>
    <row r="206" spans="21:21">
      <c r="U206" s="32"/>
    </row>
    <row r="207" spans="21:21">
      <c r="U207" s="32"/>
    </row>
    <row r="208" spans="21:21">
      <c r="U208" s="32"/>
    </row>
    <row r="209" spans="21:21">
      <c r="U209" s="32"/>
    </row>
    <row r="210" spans="21:21">
      <c r="U210" s="32"/>
    </row>
    <row r="211" spans="21:21">
      <c r="U211" s="32"/>
    </row>
    <row r="212" spans="21:21">
      <c r="U212" s="32"/>
    </row>
    <row r="213" spans="21:21">
      <c r="U213" s="32"/>
    </row>
    <row r="214" spans="21:21">
      <c r="U214" s="32"/>
    </row>
    <row r="215" spans="21:21">
      <c r="U215" s="32"/>
    </row>
    <row r="216" spans="21:21">
      <c r="U216" s="32"/>
    </row>
    <row r="217" spans="21:21">
      <c r="U217" s="32"/>
    </row>
    <row r="218" spans="21:21">
      <c r="U218" s="32"/>
    </row>
    <row r="219" spans="21:21">
      <c r="U219" s="32"/>
    </row>
    <row r="220" spans="21:21">
      <c r="U220" s="32"/>
    </row>
    <row r="221" spans="21:21">
      <c r="U221" s="32"/>
    </row>
    <row r="222" spans="21:21">
      <c r="U222" s="32"/>
    </row>
    <row r="223" spans="21:21">
      <c r="U223" s="32"/>
    </row>
    <row r="224" spans="21:21">
      <c r="U224" s="32"/>
    </row>
    <row r="225" spans="21:21">
      <c r="U225" s="32"/>
    </row>
    <row r="226" spans="21:21">
      <c r="U226" s="32"/>
    </row>
    <row r="227" spans="21:21">
      <c r="U227" s="32"/>
    </row>
    <row r="228" spans="21:21">
      <c r="U228" s="32"/>
    </row>
    <row r="229" spans="21:21">
      <c r="U229" s="32"/>
    </row>
    <row r="230" spans="21:21">
      <c r="U230" s="32"/>
    </row>
    <row r="231" spans="21:21">
      <c r="U231" s="32"/>
    </row>
    <row r="232" spans="21:21">
      <c r="U232" s="32"/>
    </row>
    <row r="233" spans="21:21">
      <c r="U233" s="32"/>
    </row>
    <row r="234" spans="21:21">
      <c r="U234" s="32"/>
    </row>
    <row r="235" spans="21:21">
      <c r="U235" s="32"/>
    </row>
    <row r="236" spans="21:21">
      <c r="U236" s="32"/>
    </row>
    <row r="237" spans="21:21">
      <c r="U237" s="32"/>
    </row>
    <row r="238" spans="21:21">
      <c r="U238" s="32"/>
    </row>
    <row r="239" spans="21:21">
      <c r="U239" s="32"/>
    </row>
    <row r="240" spans="21:21">
      <c r="U240" s="32"/>
    </row>
    <row r="241" spans="21:21">
      <c r="U241" s="32"/>
    </row>
    <row r="242" spans="21:21">
      <c r="U242" s="32"/>
    </row>
    <row r="243" spans="21:21">
      <c r="U243" s="32"/>
    </row>
    <row r="244" spans="21:21">
      <c r="U244" s="32"/>
    </row>
    <row r="245" spans="21:21">
      <c r="U245" s="32"/>
    </row>
    <row r="246" spans="21:21">
      <c r="U246" s="32"/>
    </row>
    <row r="247" spans="21:21">
      <c r="U247" s="32"/>
    </row>
    <row r="248" spans="21:21">
      <c r="U248" s="32"/>
    </row>
    <row r="249" spans="21:21">
      <c r="U249" s="32"/>
    </row>
    <row r="250" spans="21:21">
      <c r="U250" s="32"/>
    </row>
    <row r="251" spans="21:21">
      <c r="U251" s="32"/>
    </row>
    <row r="252" spans="21:21">
      <c r="U252" s="32"/>
    </row>
    <row r="253" spans="21:21">
      <c r="U253" s="32"/>
    </row>
    <row r="254" spans="21:21">
      <c r="U254" s="32"/>
    </row>
    <row r="255" spans="21:21">
      <c r="U255" s="32"/>
    </row>
    <row r="256" spans="21:21">
      <c r="U256" s="32"/>
    </row>
    <row r="257" spans="21:21">
      <c r="U257" s="32"/>
    </row>
    <row r="258" spans="21:21">
      <c r="U258" s="32"/>
    </row>
    <row r="259" spans="21:21">
      <c r="U259" s="32"/>
    </row>
    <row r="260" spans="21:21">
      <c r="U260" s="32"/>
    </row>
    <row r="261" spans="21:21">
      <c r="U261" s="32"/>
    </row>
    <row r="262" spans="21:21">
      <c r="U262" s="32"/>
    </row>
    <row r="263" spans="21:21">
      <c r="U263" s="32"/>
    </row>
    <row r="264" spans="21:21">
      <c r="U264" s="32"/>
    </row>
    <row r="265" spans="21:21">
      <c r="U265" s="32"/>
    </row>
    <row r="266" spans="21:21">
      <c r="U266" s="32"/>
    </row>
    <row r="267" spans="21:21">
      <c r="U267" s="32"/>
    </row>
    <row r="268" spans="21:21">
      <c r="U268" s="32"/>
    </row>
    <row r="269" spans="21:21">
      <c r="U269" s="32"/>
    </row>
    <row r="270" spans="21:21">
      <c r="U270" s="32"/>
    </row>
    <row r="271" spans="21:21">
      <c r="U271" s="32"/>
    </row>
    <row r="272" spans="21:21">
      <c r="U272" s="32"/>
    </row>
    <row r="273" spans="21:21">
      <c r="U273" s="32"/>
    </row>
    <row r="274" spans="21:21">
      <c r="U274" s="32"/>
    </row>
    <row r="275" spans="21:21">
      <c r="U275" s="32"/>
    </row>
    <row r="276" spans="21:21">
      <c r="U276" s="32"/>
    </row>
    <row r="277" spans="21:21">
      <c r="U277" s="32"/>
    </row>
    <row r="278" spans="21:21">
      <c r="U278" s="32"/>
    </row>
    <row r="279" spans="21:21">
      <c r="U279" s="32"/>
    </row>
    <row r="280" spans="21:21">
      <c r="U280" s="32"/>
    </row>
    <row r="281" spans="21:21">
      <c r="U281" s="32"/>
    </row>
    <row r="282" spans="21:21">
      <c r="U282" s="32"/>
    </row>
    <row r="283" spans="21:21">
      <c r="U283" s="32"/>
    </row>
    <row r="284" spans="21:21">
      <c r="U284" s="32"/>
    </row>
    <row r="285" spans="21:21">
      <c r="U285" s="32"/>
    </row>
    <row r="286" spans="21:21">
      <c r="U286" s="32"/>
    </row>
    <row r="287" spans="21:21">
      <c r="U287" s="32"/>
    </row>
  </sheetData>
  <autoFilter ref="A4:J93"/>
  <pageMargins left="0.5" right="0" top="0.6" bottom="0.5" header="0.3" footer="0.3"/>
  <pageSetup paperSize="258" scale="62" orientation="portrait" r:id="rId1"/>
  <headerFooter>
    <oddHeader>&amp;R&amp;"Agency FB,Regular"&amp;8Bagian Inventarisasi Kekayaan Negara - Biro Perlengkapan MA  RI</oddHeader>
    <oddFooter>&amp;R&amp;F -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156"/>
  <sheetViews>
    <sheetView view="pageBreakPreview" topLeftCell="C6" zoomScale="90" zoomScaleSheetLayoutView="90" workbookViewId="0">
      <selection activeCell="G11" sqref="G11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" style="8" bestFit="1" customWidth="1"/>
    <col min="11" max="14" width="9.140625" style="8"/>
    <col min="15" max="15" width="24.140625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1158</v>
      </c>
      <c r="P1" s="8" t="s">
        <v>1190</v>
      </c>
    </row>
    <row r="2" spans="1:16" ht="19.5" customHeight="1">
      <c r="C2" s="9" t="s">
        <v>2150</v>
      </c>
      <c r="O2" s="8" t="s">
        <v>1164</v>
      </c>
      <c r="P2" s="8" t="s">
        <v>1969</v>
      </c>
    </row>
    <row r="3" spans="1:16" ht="19.5" customHeight="1">
      <c r="O3" s="8" t="s">
        <v>1163</v>
      </c>
      <c r="P3" s="8" t="s">
        <v>1970</v>
      </c>
    </row>
    <row r="4" spans="1:16" ht="19.5" customHeight="1">
      <c r="A4" s="11" t="str">
        <f>O1</f>
        <v>005010199663157000KP</v>
      </c>
      <c r="B4" s="11" t="str">
        <f>P1</f>
        <v>Badan Urusan Administrasi</v>
      </c>
      <c r="C4" s="12" t="str">
        <f>A4&amp;" "&amp;B4</f>
        <v>005010199663157000KP Badan Urusan Administrasi</v>
      </c>
      <c r="D4" s="13"/>
      <c r="E4" s="13"/>
      <c r="F4" s="13"/>
      <c r="G4" s="13"/>
      <c r="H4" s="11"/>
      <c r="O4" s="8" t="s">
        <v>1162</v>
      </c>
      <c r="P4" s="8" t="s">
        <v>1976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1161</v>
      </c>
      <c r="P5" s="8" t="s">
        <v>1978</v>
      </c>
    </row>
    <row r="6" spans="1:16" ht="21.95" customHeight="1">
      <c r="A6" s="14"/>
      <c r="B6" s="14"/>
      <c r="C6" s="125"/>
      <c r="D6" s="127"/>
      <c r="E6" s="40" t="s">
        <v>1985</v>
      </c>
      <c r="F6" s="40" t="s">
        <v>1986</v>
      </c>
      <c r="G6" s="127"/>
      <c r="H6" s="131"/>
      <c r="O6" s="8" t="s">
        <v>1159</v>
      </c>
      <c r="P6" s="8" t="s">
        <v>1979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3228100018</v>
      </c>
      <c r="E7" s="25">
        <f>SUMIFS('Daftar Koreksi'!$H$5:$H$92,'Daftar Koreksi'!$D$5:$D$92,'Eselon 1'!A4,'Daftar Koreksi'!$G$5:$G$92,"Persediaan",'Daftar Koreksi'!$H$5:$H$92,"&gt;0")</f>
        <v>0</v>
      </c>
      <c r="F7" s="25">
        <f>SUMIFS('Daftar Koreksi'!$H$5:$H$92,'Daftar Koreksi'!$D$5:$D$92,'Eselon 1'!A4,'Daftar Koreksi'!$G$5:$G$92,"Persediaan",'Daftar Koreksi'!$H$5:$H$92,"&lt;0")-SUMIFS('Daftar Koreksi'!$H$5:$H$92,'Daftar Koreksi'!$D$5:$D$92,'Eselon 1'!A4,'Daftar Koreksi'!$G$5:$G$92,"Persediaan",'Daftar Koreksi'!$H$5:$H$92,"&lt;0")-SUMIFS('Daftar Koreksi'!$H$5:$H$92,'Daftar Koreksi'!$D$5:$D$92,'Eselon 1'!A4,'Daftar Koreksi'!$G$5:$G$92,"Persediaan",'Daftar Koreksi'!$H$5:$H$92,"&lt;0")</f>
        <v>0</v>
      </c>
      <c r="G7" s="17">
        <f>D7+E7-F7</f>
        <v>3228100018</v>
      </c>
      <c r="H7" s="121" t="str">
        <f>IF(ISNA(VLOOKUP(A4,'Mutasi Neraca'!$A$3:$S$914,19,FALSE)),"-",VLOOKUP(A4,'Mutasi Neraca'!$A$3:$S$914,19,FALSE))</f>
        <v>TP Koreksi 22</v>
      </c>
      <c r="O7" s="8" t="s">
        <v>1160</v>
      </c>
      <c r="P7" s="8" t="s">
        <v>1980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415009745500</v>
      </c>
      <c r="E8" s="25">
        <f>SUMIFS('Daftar Koreksi'!$H$5:$H$92,'Daftar Koreksi'!$D$5:$D$92,'Eselon 1'!A4,'Daftar Koreksi'!$G$5:$G$92,"Tanah",'Daftar Koreksi'!$H$5:$H$92,"&gt;0")</f>
        <v>0</v>
      </c>
      <c r="F8" s="25">
        <f>SUMIFS('Daftar Koreksi'!$H$5:$H$92,'Daftar Koreksi'!$D$5:$D$92,'Eselon 1'!A4,'Daftar Koreksi'!$G$5:$G$92,"Tanah",'Daftar Koreksi'!$H$5:$H$92,"&lt;0")-SUMIFS('Daftar Koreksi'!$H$5:$H$92,'Daftar Koreksi'!$D$5:$D$92,'Eselon 1'!A4,'Daftar Koreksi'!$G$5:$G$92,"Tanah",'Daftar Koreksi'!$H$5:$H$92,"&lt;0")-SUMIFS('Daftar Koreksi'!$H$5:$H$92,'Daftar Koreksi'!$D$5:$D$92,'Eselon 1'!A4,'Daftar Koreksi'!$G$5:$G$92,"Tanah",'Daftar Koreksi'!$H$5:$H$92,"&lt;0")</f>
        <v>0</v>
      </c>
      <c r="G8" s="17">
        <f t="shared" ref="G8:G24" si="0">D8+E8-F8</f>
        <v>415009745500</v>
      </c>
      <c r="H8" s="122"/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337304720041</v>
      </c>
      <c r="E9" s="25">
        <f>SUMIFS('Daftar Koreksi'!$H$5:$H$92,'Daftar Koreksi'!$D$5:$D$92,'Eselon 1'!A4,'Daftar Koreksi'!$G$5:$G$92,"Peralatan dan mesin",'Daftar Koreksi'!$H$5:$H$92,"&gt;0")</f>
        <v>50721000</v>
      </c>
      <c r="F9" s="25">
        <f>SUMIFS('Daftar Koreksi'!$H$5:$H$92,'Daftar Koreksi'!$D$5:$D$92,'Eselon 1'!A4,'Daftar Koreksi'!$G$5:$G$92,"Peralatan dan mesin",'Daftar Koreksi'!$H$5:$H$92,"&lt;0")-SUMIFS('Daftar Koreksi'!$H$5:$H$92,'Daftar Koreksi'!$D$5:$D$92,'Eselon 1'!A4,'Daftar Koreksi'!$G$5:$G$92,"Peralatan dan mesin",'Daftar Koreksi'!$H$5:$H$92,"&lt;0")-SUMIFS('Daftar Koreksi'!$H$5:$H$92,'Daftar Koreksi'!$D$5:$D$92,'Eselon 1'!A4,'Daftar Koreksi'!$G$5:$G$92,"Peralatan dan mesin",'Daftar Koreksi'!$H$5:$H$92,"&lt;0")</f>
        <v>0</v>
      </c>
      <c r="G9" s="17">
        <f t="shared" si="0"/>
        <v>337355441041</v>
      </c>
      <c r="H9" s="122"/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676535657226</v>
      </c>
      <c r="E10" s="25">
        <f>SUMIFS('Daftar Koreksi'!$H$5:$H$92,'Daftar Koreksi'!$D$5:$D$92,'Eselon 1'!A4,'Daftar Koreksi'!$G$5:$G$92,"Gedung dan Bangunan",'Daftar Koreksi'!$H$5:$H$92,"&gt;0")</f>
        <v>0</v>
      </c>
      <c r="F10" s="25">
        <f>SUMIFS('Daftar Koreksi'!$H$5:$H$92,'Daftar Koreksi'!$D$5:$D$92,'Eselon 1'!A4,'Daftar Koreksi'!$G$5:$G$92,"Gedung dan Bangunan",'Daftar Koreksi'!$H$5:$H$92,"&lt;0")-SUMIFS('Daftar Koreksi'!$H$5:$H$92,'Daftar Koreksi'!$D$5:$D$92,'Eselon 1'!A4,'Daftar Koreksi'!$G$5:$G$92,"Gedung dan Bangunan",'Daftar Koreksi'!$H$5:$H$92,"&lt;0")-SUMIFS('Daftar Koreksi'!$H$5:$H$92,'Daftar Koreksi'!$D$5:$D$92,'Eselon 1'!A4,'Daftar Koreksi'!$G$5:$G$92,"Gedung dan Bangunan",'Daftar Koreksi'!$H$5:$H$92,"&lt;0")</f>
        <v>0</v>
      </c>
      <c r="G10" s="17">
        <f t="shared" si="0"/>
        <v>676535657226</v>
      </c>
      <c r="H10" s="122"/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99563631113</v>
      </c>
      <c r="E11" s="25">
        <f>SUMIFS('Daftar Koreksi'!$H$5:$H$92,'Daftar Koreksi'!$D$5:$D$92,'Eselon 1'!A4,'Daftar Koreksi'!$G$5:$G$92,"Jalan Irigasi Jaringan",'Daftar Koreksi'!$H$5:$H$92,"&gt;0")</f>
        <v>0</v>
      </c>
      <c r="F11" s="25">
        <f>SUMIFS('Daftar Koreksi'!$H$5:$H$92,'Daftar Koreksi'!$D$5:$D$92,'Eselon 1'!A4,'Daftar Koreksi'!$G$5:$G$92,"Jalan Irigasi Jaringan",'Daftar Koreksi'!$H$5:$H$92,"&lt;0")-SUMIFS('Daftar Koreksi'!$H$5:$H$92,'Daftar Koreksi'!$D$5:$D$92,'Eselon 1'!A4,'Daftar Koreksi'!$G$5:$G$92,"Jalan Irigasi Jaringan",'Daftar Koreksi'!$H$5:$H$92,"&lt;0")-SUMIFS('Daftar Koreksi'!$H$5:$H$92,'Daftar Koreksi'!$D$5:$D$92,'Eselon 1'!A4,'Daftar Koreksi'!$G$5:$G$92,"Jalan Irigasi Jaringan",'Daftar Koreksi'!$H$5:$H$92,"&lt;0")</f>
        <v>0</v>
      </c>
      <c r="G11" s="17">
        <f t="shared" si="0"/>
        <v>99563631113</v>
      </c>
      <c r="H11" s="122"/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29077972703</v>
      </c>
      <c r="E12" s="25">
        <f>SUMIFS('Daftar Koreksi'!$H$5:$H$92,'Daftar Koreksi'!$D$5:$D$92,'Eselon 1'!A4,'Daftar Koreksi'!$G$5:$G$92,"Aset Tetap Lainnya",'Daftar Koreksi'!$H$5:$H$92,"&gt;0")</f>
        <v>0</v>
      </c>
      <c r="F12" s="25">
        <f>SUMIFS('Daftar Koreksi'!$H$5:$H$92,'Daftar Koreksi'!$D$5:$D$92,'Eselon 1'!A4,'Daftar Koreksi'!$G$5:$G$92,"Aset Tetap Lainnya",'Daftar Koreksi'!$H$5:$H$92,"&lt;0")-SUMIFS('Daftar Koreksi'!$H$5:$H$92,'Daftar Koreksi'!$D$5:$D$92,'Eselon 1'!A4,'Daftar Koreksi'!$G$5:$G$92,"Aset Tetap Lainnya",'Daftar Koreksi'!$H$5:$H$92,"&lt;0")-SUMIFS('Daftar Koreksi'!$H$5:$H$92,'Daftar Koreksi'!$D$5:$D$92,'Eselon 1'!A4,'Daftar Koreksi'!$G$5:$G$92,"Aset Tetap Lainnya",'Daftar Koreksi'!$H$5:$H$92,"&lt;0")</f>
        <v>0</v>
      </c>
      <c r="G12" s="17">
        <f t="shared" si="0"/>
        <v>29077972703</v>
      </c>
      <c r="H12" s="122"/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Koreksi'!$D$5:$D$92,'Eselon 1'!A4,'Daftar Koreksi'!$G$5:$G$92,"Kontruksi Dalam Pengerjaan",'Daftar Koreksi'!$H$5:$H$92,"&gt;0")</f>
        <v>0</v>
      </c>
      <c r="F13" s="25">
        <f>SUMIFS('Daftar Koreksi'!$H$5:$H$92,'Daftar Koreksi'!$D$5:$D$92,'Eselon 1'!A4,'Daftar Koreksi'!$G$5:$G$92,"Kontruksi Dalam Pengerjaan",'Daftar Koreksi'!$H$5:$H$92,"&lt;0")-SUMIFS('Daftar Koreksi'!$H$5:$H$92,'Daftar Koreksi'!$D$5:$D$92,'Eselon 1'!A4,'Daftar Koreksi'!$G$5:$G$92,"Kontruksi Dalam Pengerjaan",'Daftar Koreksi'!$H$5:$H$92,"&lt;0")-SUMIFS('Daftar Koreksi'!$H$5:$H$92,'Daftar Koreksi'!$D$5:$D$92,'Eselon 1'!A4,'Daftar Koreksi'!$G$5:$G$92,"Kontruksi Dalam Pengerjaan",'Daftar Koreksi'!$H$5:$H$92,"&lt;0")</f>
        <v>0</v>
      </c>
      <c r="G13" s="17">
        <f t="shared" si="0"/>
        <v>0</v>
      </c>
      <c r="H13" s="122"/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8973886792</v>
      </c>
      <c r="E14" s="25">
        <f>SUMIFS('Daftar Koreksi'!$H$5:$H$92,'Daftar Koreksi'!$D$5:$D$92,'Eselon 1'!A4,'Daftar Koreksi'!$G$5:$G$92,"Aset Tak Berwujud",'Daftar Koreksi'!$H$5:$H$92,"&gt;0")</f>
        <v>0</v>
      </c>
      <c r="F14" s="25">
        <f>SUMIFS('Daftar Koreksi'!$H$5:$H$92,'Daftar Koreksi'!$D$5:$D$92,'Eselon 1'!A4,'Daftar Koreksi'!$G$5:$G$92,"Aset Tak Berwujud",'Daftar Koreksi'!$H$5:$H$92,"&lt;0")-SUMIFS('Daftar Koreksi'!$H$5:$H$92,'Daftar Koreksi'!$D$5:$D$92,'Eselon 1'!A4,'Daftar Koreksi'!$G$5:$G$92,"Aset Tak Berwujud",'Daftar Koreksi'!$H$5:$H$92,"&lt;0")-SUMIFS('Daftar Koreksi'!$H$5:$H$92,'Daftar Koreksi'!$D$5:$D$92,'Eselon 1'!A4,'Daftar Koreksi'!$G$5:$G$92,"Aset Tak Berwujud",'Daftar Koreksi'!$H$5:$H$92,"&lt;0")</f>
        <v>0</v>
      </c>
      <c r="G14" s="17">
        <f t="shared" si="0"/>
        <v>8973886792</v>
      </c>
      <c r="H14" s="122"/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5756080814</v>
      </c>
      <c r="E15" s="25">
        <f>SUMIFS('Daftar Koreksi'!$H$5:$H$92,'Daftar Koreksi'!$D$5:$D$92,'Eselon 1'!A4,'Daftar Koreksi'!$G$5:$G$92,"Aset Henti Guna",'Daftar Koreksi'!$H$5:$H$92,"&gt;0")</f>
        <v>0</v>
      </c>
      <c r="F15" s="25">
        <f>SUMIFS('Daftar Koreksi'!$H$5:$H$92,'Daftar Koreksi'!$D$5:$D$92,'Eselon 1'!A4,'Daftar Koreksi'!$G$5:$G$92,"Aset Henti Guna",'Daftar Koreksi'!$H$5:$H$92,"&lt;0")-SUMIFS('Daftar Koreksi'!$H$5:$H$92,'Daftar Koreksi'!$D$5:$D$92,'Eselon 1'!A4,'Daftar Koreksi'!$G$5:$G$92,"Aset Henti Guna",'Daftar Koreksi'!$H$5:$H$92,"&lt;0")-SUMIFS('Daftar Koreksi'!$H$5:$H$92,'Daftar Koreksi'!$D$5:$D$92,'Eselon 1'!A4,'Daftar Koreksi'!$G$5:$G$92,"Aset Henti Guna",'Daftar Koreksi'!$H$5:$H$92,"&lt;0")</f>
        <v>0</v>
      </c>
      <c r="G15" s="17">
        <f t="shared" si="0"/>
        <v>5756080814</v>
      </c>
      <c r="H15" s="122"/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1575449794207</v>
      </c>
      <c r="E16" s="19">
        <f>SUM(E7:E15)</f>
        <v>50721000</v>
      </c>
      <c r="F16" s="19">
        <f>SUM(F7:F15)</f>
        <v>0</v>
      </c>
      <c r="G16" s="19">
        <f t="shared" si="0"/>
        <v>1575500515207</v>
      </c>
      <c r="H16" s="122"/>
    </row>
    <row r="17" spans="1:8" ht="21.95" customHeight="1">
      <c r="A17" s="14"/>
      <c r="B17" s="14"/>
      <c r="C17" s="16" t="s">
        <v>2087</v>
      </c>
      <c r="D17" s="17">
        <f>VLOOKUP(A4,'Neraca Unaudited SIMAK'!$A$2:$S$10004,13,FALSE)</f>
        <v>-294307657648</v>
      </c>
      <c r="E17" s="25">
        <f>SUMIFS('Daftar Koreksi'!$I$5:$I$92,'Daftar Koreksi'!$D$5:$D$92,'Eselon 1'!A4,'Daftar Koreksi'!$G$5:$G$92,"Peralatan dan mesin",'Daftar Koreksi'!$I$5:$I$92,"&gt;0")</f>
        <v>0</v>
      </c>
      <c r="F17" s="25">
        <f>SUMIFS('Daftar Koreksi'!$I$5:$I$92,'Daftar Koreksi'!$D$5:$D$92,'Eselon 1'!A4,'Daftar Koreksi'!$G$5:$G$92,"Peralatan dan mesin",'Daftar Koreksi'!$I$5:$I$92,"&lt;0")-SUMIFS('Daftar Koreksi'!$I$5:$I$92,'Daftar Koreksi'!$D$5:$D$92,'Eselon 1'!A4,'Daftar Koreksi'!$G$5:$G$92,"Peralatan dan mesin",'Daftar Koreksi'!$I$5:$I$92,"&lt;0")-SUMIFS('Daftar Koreksi'!$I$5:$I$92,'Daftar Koreksi'!$D$5:$D$92,'Eselon 1'!A4,'Daftar Koreksi'!$G$5:$G$92,"Peralatan dan mesin",'Daftar Koreksi'!$I$5:$I$92,"&lt;0")</f>
        <v>10144200</v>
      </c>
      <c r="G17" s="17">
        <f t="shared" si="0"/>
        <v>-294317801848</v>
      </c>
      <c r="H17" s="122"/>
    </row>
    <row r="18" spans="1:8" ht="21.95" customHeight="1">
      <c r="A18" s="14"/>
      <c r="B18" s="14"/>
      <c r="C18" s="16" t="s">
        <v>2088</v>
      </c>
      <c r="D18" s="17">
        <f>VLOOKUP(A4,'Neraca Unaudited SIMAK'!$A$2:$S$10004,14,FALSE)</f>
        <v>-117660412175</v>
      </c>
      <c r="E18" s="25">
        <f>SUMIFS('Daftar Koreksi'!$I$5:$I$92,'Daftar Koreksi'!$D$5:$D$92,'Eselon 1'!A4,'Daftar Koreksi'!$G$5:$G$92,"Gedung dan Bangunan",'Daftar Koreksi'!$I$5:$I$92,"&gt;0")</f>
        <v>0</v>
      </c>
      <c r="F18" s="25">
        <f>SUMIFS('Daftar Koreksi'!$I$5:$I$92,'Daftar Koreksi'!$D$5:$D$92,'Eselon 1'!A4,'Daftar Koreksi'!$G$5:$G$92,"Gedung dan Bangunan",'Daftar Koreksi'!$I$5:$I$92,"&lt;0")-SUMIFS('Daftar Koreksi'!$I$5:$I$92,'Daftar Koreksi'!$D$5:$D$92,'Eselon 1'!A4,'Daftar Koreksi'!$G$5:$G$92,"Gedung dan Bangunan",'Daftar Koreksi'!$I$5:$I$92,"&lt;0")-SUMIFS('Daftar Koreksi'!$I$5:$I$92,'Daftar Koreksi'!$D$5:$D$92,'Eselon 1'!A4,'Daftar Koreksi'!$G$5:$G$92,"Gedung dan Bangunan",'Daftar Koreksi'!$I$5:$I$92,"&lt;0")</f>
        <v>0</v>
      </c>
      <c r="G18" s="17">
        <f t="shared" si="0"/>
        <v>-117660412175</v>
      </c>
      <c r="H18" s="122"/>
    </row>
    <row r="19" spans="1:8" ht="21.95" customHeight="1">
      <c r="A19" s="14"/>
      <c r="B19" s="14"/>
      <c r="C19" s="16" t="s">
        <v>2089</v>
      </c>
      <c r="D19" s="17">
        <f>VLOOKUP(A4,'Neraca Unaudited SIMAK'!$A$2:$S$10004,15,FALSE)</f>
        <v>-36105142869</v>
      </c>
      <c r="E19" s="25">
        <f>SUMIFS('Daftar Koreksi'!$I$5:$I$92,'Daftar Koreksi'!$D$5:$D$92,'Eselon 1'!A4,'Daftar Koreksi'!$G$5:$G$92,"Jalan Irigasi Jaringan",'Daftar Koreksi'!$I$5:$I$92,"&gt;0")</f>
        <v>0</v>
      </c>
      <c r="F19" s="25">
        <f>SUMIFS('Daftar Koreksi'!$I$5:$I$92,'Daftar Koreksi'!$D$5:$D$92,'Eselon 1'!A4,'Daftar Koreksi'!$G$5:$G$92,"Jalan Irigasi Jaringan",'Daftar Koreksi'!$I$5:$I$92,"&lt;0")-SUMIFS('Daftar Koreksi'!$I$5:$I$92,'Daftar Koreksi'!$D$5:$D$92,'Eselon 1'!A4,'Daftar Koreksi'!$G$5:$G$92,"Jalan Irigasi Jaringan",'Daftar Koreksi'!$I$5:$I$92,"&lt;0")-SUMIFS('Daftar Koreksi'!$I$5:$I$92,'Daftar Koreksi'!$D$5:$D$92,'Eselon 1'!A4,'Daftar Koreksi'!$G$5:$G$92,"Jalan Irigasi Jaringan",'Daftar Koreksi'!$I$5:$I$92,"&lt;0")</f>
        <v>0</v>
      </c>
      <c r="G19" s="17">
        <f t="shared" si="0"/>
        <v>-36105142869</v>
      </c>
      <c r="H19" s="122"/>
    </row>
    <row r="20" spans="1:8" ht="21.95" customHeight="1">
      <c r="A20" s="14"/>
      <c r="B20" s="14"/>
      <c r="C20" s="16" t="s">
        <v>2090</v>
      </c>
      <c r="D20" s="17">
        <f>VLOOKUP(A4,'Neraca Unaudited SIMAK'!$A$2:$S$10004,16,FALSE)</f>
        <v>-99264000</v>
      </c>
      <c r="E20" s="25">
        <f>SUMIFS('Daftar Koreksi'!$I$5:$I$92,'Daftar Koreksi'!$D$5:$D$92,'Eselon 1'!A4,'Daftar Koreksi'!$G$5:$G$92,"Aset Tetap Lainnya",'Daftar Koreksi'!$I$5:$I$92,"&gt;0")</f>
        <v>0</v>
      </c>
      <c r="F20" s="25">
        <f>SUMIFS('Daftar Koreksi'!$I$5:$I$92,'Daftar Koreksi'!$D$5:$D$92,'Eselon 1'!A4,'Daftar Koreksi'!$G$5:$G$92,"Aset Tetap Lainnya",'Daftar Koreksi'!$I$5:$I$92,"&lt;0")-SUMIFS('Daftar Koreksi'!$I$5:$I$92,'Daftar Koreksi'!$D$5:$D$92,'Eselon 1'!A4,'Daftar Koreksi'!$G$5:$G$92,"Aset Tetap Lainnya",'Daftar Koreksi'!$I$5:$I$92,"&lt;0")-SUMIFS('Daftar Koreksi'!$I$5:$I$92,'Daftar Koreksi'!$D$5:$D$92,'Eselon 1'!A4,'Daftar Koreksi'!$G$5:$G$92,"Aset Tetap Lainnya",'Daftar Koreksi'!$I$5:$I$92,"&lt;0")</f>
        <v>0</v>
      </c>
      <c r="G20" s="17">
        <f t="shared" si="0"/>
        <v>-99264000</v>
      </c>
      <c r="H20" s="122"/>
    </row>
    <row r="21" spans="1:8" ht="21.95" customHeight="1">
      <c r="A21" s="14"/>
      <c r="B21" s="14"/>
      <c r="C21" s="16" t="s">
        <v>2020</v>
      </c>
      <c r="D21" s="17">
        <f>VLOOKUP(A4,'Neraca Unaudited SIMAK'!$A$2:$S$10004,17,FALSE)</f>
        <v>-4453808346</v>
      </c>
      <c r="E21" s="25">
        <f>SUMIFS('Daftar Koreksi'!$I$5:$I$92,'Daftar Koreksi'!$D$5:$D$92,'Eselon 1'!A4,'Daftar Koreksi'!$G$5:$G$92,"Aset Henti Guna",'Daftar Koreksi'!$I$5:$I$92,"&gt;0")</f>
        <v>0</v>
      </c>
      <c r="F21" s="25">
        <f>SUMIFS('Daftar Koreksi'!$I$5:$I$92,'Daftar Koreksi'!$D$5:$D$92,'Eselon 1'!A4,'Daftar Koreksi'!$G$5:$G$92,"Aset Henti Guna",'Daftar Koreksi'!$I$5:$I$92,"&lt;0")-SUMIFS('Daftar Koreksi'!$I$5:$I$92,'Daftar Koreksi'!$D$5:$D$92,'Eselon 1'!A4,'Daftar Koreksi'!$G$5:$G$92,"Aset Henti Guna",'Daftar Koreksi'!$I$5:$I$92,"&lt;0")-SUMIFS('Daftar Koreksi'!$I$5:$I$92,'Daftar Koreksi'!$D$5:$D$92,'Eselon 1'!A4,'Daftar Koreksi'!$G$5:$G$92,"Aset Henti Guna",'Daftar Koreksi'!$I$5:$I$92,"&lt;0")</f>
        <v>0</v>
      </c>
      <c r="G21" s="17">
        <f t="shared" si="0"/>
        <v>-4453808346</v>
      </c>
      <c r="H21" s="122"/>
    </row>
    <row r="22" spans="1:8" ht="21.95" customHeight="1">
      <c r="A22" s="14"/>
      <c r="B22" s="14"/>
      <c r="C22" s="18" t="s">
        <v>2094</v>
      </c>
      <c r="D22" s="19">
        <f>SUM(D17:D21)</f>
        <v>-452626285038</v>
      </c>
      <c r="E22" s="19">
        <f>SUM(E17:E21)</f>
        <v>0</v>
      </c>
      <c r="F22" s="19">
        <f>SUM(F17:F21)</f>
        <v>10144200</v>
      </c>
      <c r="G22" s="19">
        <f t="shared" si="0"/>
        <v>-452636429238</v>
      </c>
      <c r="H22" s="122"/>
    </row>
    <row r="23" spans="1:8" ht="21.95" customHeight="1">
      <c r="A23" s="14"/>
      <c r="B23" s="14"/>
      <c r="C23" s="18" t="s">
        <v>2095</v>
      </c>
      <c r="D23" s="19">
        <f>VLOOKUP(A4,'Neraca Unaudited SIMAK'!$A$2:$S$10004,18,FALSE)</f>
        <v>1122823509169</v>
      </c>
      <c r="E23" s="19">
        <f>E22+E16</f>
        <v>50721000</v>
      </c>
      <c r="F23" s="19">
        <f>F22+F16</f>
        <v>10144200</v>
      </c>
      <c r="G23" s="19">
        <f t="shared" si="0"/>
        <v>1122864085969</v>
      </c>
      <c r="H23" s="122"/>
    </row>
    <row r="24" spans="1:8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8" ht="19.5" customHeight="1">
      <c r="A26" s="11" t="str">
        <f>O2</f>
        <v>005020199004028000KP</v>
      </c>
      <c r="B26" s="11" t="str">
        <f>P2</f>
        <v>Kepaniteraan</v>
      </c>
      <c r="C26" s="12" t="str">
        <f>A26&amp;" "&amp;B26</f>
        <v>005020199004028000KP Kepaniteraan</v>
      </c>
      <c r="D26" s="13"/>
      <c r="E26" s="13"/>
      <c r="F26" s="13"/>
      <c r="G26" s="13"/>
      <c r="H26" s="11"/>
    </row>
    <row r="27" spans="1:8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8" ht="21.95" customHeight="1">
      <c r="A28" s="14"/>
      <c r="B28" s="14"/>
      <c r="C28" s="125"/>
      <c r="D28" s="127"/>
      <c r="E28" s="40" t="s">
        <v>1985</v>
      </c>
      <c r="F28" s="40" t="s">
        <v>1986</v>
      </c>
      <c r="G28" s="127"/>
      <c r="H28" s="131"/>
    </row>
    <row r="29" spans="1:8" ht="21.95" customHeight="1">
      <c r="A29" s="14"/>
      <c r="B29" s="14"/>
      <c r="C29" s="16" t="s">
        <v>1165</v>
      </c>
      <c r="D29" s="17">
        <f>VLOOKUP(A26,'Neraca Unaudited SIMAK'!$A$2:$S$10004,3,FALSE)</f>
        <v>1768600240</v>
      </c>
      <c r="E29" s="25">
        <f>SUMIFS('Daftar Koreksi'!$H$5:$H$92,'Daftar Koreksi'!$D$5:$D$92,'Eselon 1'!A26,'Daftar Koreksi'!$G$5:$G$92,"Persediaan",'Daftar Koreksi'!$H$5:$H$92,"&gt;0")</f>
        <v>0</v>
      </c>
      <c r="F29" s="25">
        <f>SUMIFS('Daftar Koreksi'!$H$5:$H$92,'Daftar Koreksi'!$D$5:$D$92,'Eselon 1'!A26,'Daftar Koreksi'!$G$5:$G$92,"Persediaan",'Daftar Koreksi'!$H$5:$H$92,"&lt;0")-SUMIFS('Daftar Koreksi'!$H$5:$H$92,'Daftar Koreksi'!$D$5:$D$92,'Eselon 1'!A26,'Daftar Koreksi'!$G$5:$G$92,"Persediaan",'Daftar Koreksi'!$H$5:$H$92,"&lt;0")-SUMIFS('Daftar Koreksi'!$H$5:$H$92,'Daftar Koreksi'!$D$5:$D$92,'Eselon 1'!A26,'Daftar Koreksi'!$G$5:$G$92,"Persediaan",'Daftar Koreksi'!$H$5:$H$92,"&lt;0")</f>
        <v>0</v>
      </c>
      <c r="G29" s="17">
        <f>D29+E29-F29</f>
        <v>1768600240</v>
      </c>
      <c r="H29" s="121" t="str">
        <f>IF(ISNA(VLOOKUP(A26,'Mutasi Neraca'!$A$3:$S$914,19,FALSE)),"-",VLOOKUP(A26,'Mutasi Neraca'!$A$3:$S$914,19,FALSE))</f>
        <v>-</v>
      </c>
    </row>
    <row r="30" spans="1:8" ht="21.95" customHeight="1">
      <c r="A30" s="14"/>
      <c r="B30" s="14"/>
      <c r="C30" s="16" t="s">
        <v>1166</v>
      </c>
      <c r="D30" s="17">
        <f>VLOOKUP(A26,'Neraca Unaudited SIMAK'!$A$2:$S$10004,4,FALSE)</f>
        <v>0</v>
      </c>
      <c r="E30" s="25">
        <f>SUMIFS('Daftar Koreksi'!$H$5:$H$92,'Daftar Koreksi'!$D$5:$D$92,'Eselon 1'!A26,'Daftar Koreksi'!$G$5:$G$92,"Tanah",'Daftar Koreksi'!$H$5:$H$92,"&gt;0")</f>
        <v>0</v>
      </c>
      <c r="F30" s="25">
        <f>SUMIFS('Daftar Koreksi'!$H$5:$H$92,'Daftar Koreksi'!$D$5:$D$92,'Eselon 1'!A26,'Daftar Koreksi'!$G$5:$G$92,"Tanah",'Daftar Koreksi'!$H$5:$H$92,"&lt;0")-SUMIFS('Daftar Koreksi'!$H$5:$H$92,'Daftar Koreksi'!$D$5:$D$92,'Eselon 1'!A26,'Daftar Koreksi'!$G$5:$G$92,"Tanah",'Daftar Koreksi'!$H$5:$H$92,"&lt;0")-SUMIFS('Daftar Koreksi'!$H$5:$H$92,'Daftar Koreksi'!$D$5:$D$92,'Eselon 1'!A26,'Daftar Koreksi'!$G$5:$G$92,"Tanah",'Daftar Koreksi'!$H$5:$H$92,"&lt;0")</f>
        <v>0</v>
      </c>
      <c r="G30" s="17">
        <f t="shared" ref="G30:G46" si="1">D30+E30-F30</f>
        <v>0</v>
      </c>
      <c r="H30" s="122"/>
    </row>
    <row r="31" spans="1:8" ht="21.95" customHeight="1">
      <c r="A31" s="14"/>
      <c r="B31" s="14"/>
      <c r="C31" s="16" t="s">
        <v>1167</v>
      </c>
      <c r="D31" s="17">
        <f>VLOOKUP(A26,'Neraca Unaudited SIMAK'!$A$2:$S$10004,5,FALSE)</f>
        <v>17185031836</v>
      </c>
      <c r="E31" s="25">
        <f>SUMIFS('Daftar Koreksi'!$H$5:$H$92,'Daftar Koreksi'!$D$5:$D$92,'Eselon 1'!A26,'Daftar Koreksi'!$G$5:$G$92,"Peralatan dan mesin",'Daftar Koreksi'!$H$5:$H$92,"&gt;0")</f>
        <v>0</v>
      </c>
      <c r="F31" s="25">
        <f>SUMIFS('Daftar Koreksi'!$H$5:$H$92,'Daftar Koreksi'!$D$5:$D$92,'Eselon 1'!A26,'Daftar Koreksi'!$G$5:$G$92,"Peralatan dan mesin",'Daftar Koreksi'!$H$5:$H$92,"&lt;0")-SUMIFS('Daftar Koreksi'!$H$5:$H$92,'Daftar Koreksi'!$D$5:$D$92,'Eselon 1'!A26,'Daftar Koreksi'!$G$5:$G$92,"Peralatan dan mesin",'Daftar Koreksi'!$H$5:$H$92,"&lt;0")-SUMIFS('Daftar Koreksi'!$H$5:$H$92,'Daftar Koreksi'!$D$5:$D$92,'Eselon 1'!A26,'Daftar Koreksi'!$G$5:$G$92,"Peralatan dan mesin",'Daftar Koreksi'!$H$5:$H$92,"&lt;0")</f>
        <v>0</v>
      </c>
      <c r="G31" s="17">
        <f t="shared" si="1"/>
        <v>17185031836</v>
      </c>
      <c r="H31" s="122"/>
    </row>
    <row r="32" spans="1:8" ht="21.95" customHeight="1">
      <c r="A32" s="14"/>
      <c r="B32" s="14"/>
      <c r="C32" s="16" t="s">
        <v>1168</v>
      </c>
      <c r="D32" s="17">
        <f>VLOOKUP(A26,'Neraca Unaudited SIMAK'!$A$2:$S$10004,6,FALSE)</f>
        <v>18775680</v>
      </c>
      <c r="E32" s="25">
        <f>SUMIFS('Daftar Koreksi'!$H$5:$H$92,'Daftar Koreksi'!$D$5:$D$92,'Eselon 1'!A26,'Daftar Koreksi'!$G$5:$G$92,"Gedung dan Bangunan",'Daftar Koreksi'!$H$5:$H$92,"&gt;0")</f>
        <v>0</v>
      </c>
      <c r="F32" s="25">
        <f>SUMIFS('Daftar Koreksi'!$H$5:$H$92,'Daftar Koreksi'!$D$5:$D$92,'Eselon 1'!A26,'Daftar Koreksi'!$G$5:$G$92,"Gedung dan Bangunan",'Daftar Koreksi'!$H$5:$H$92,"&lt;0")-SUMIFS('Daftar Koreksi'!$H$5:$H$92,'Daftar Koreksi'!$D$5:$D$92,'Eselon 1'!A26,'Daftar Koreksi'!$G$5:$G$92,"Gedung dan Bangunan",'Daftar Koreksi'!$H$5:$H$92,"&lt;0")-SUMIFS('Daftar Koreksi'!$H$5:$H$92,'Daftar Koreksi'!$D$5:$D$92,'Eselon 1'!A26,'Daftar Koreksi'!$G$5:$G$92,"Gedung dan Bangunan",'Daftar Koreksi'!$H$5:$H$92,"&lt;0")</f>
        <v>0</v>
      </c>
      <c r="G32" s="17">
        <f t="shared" si="1"/>
        <v>18775680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Koreksi'!$D$5:$D$92,'Eselon 1'!A26,'Daftar Koreksi'!$G$5:$G$92,"Jalan Irigasi Jaringan",'Daftar Koreksi'!$H$5:$H$92,"&gt;0")</f>
        <v>0</v>
      </c>
      <c r="F33" s="25">
        <f>SUMIFS('Daftar Koreksi'!$H$5:$H$92,'Daftar Koreksi'!$D$5:$D$92,'Eselon 1'!A26,'Daftar Koreksi'!$G$5:$G$92,"Jalan Irigasi Jaringan",'Daftar Koreksi'!$H$5:$H$92,"&lt;0")-SUMIFS('Daftar Koreksi'!$H$5:$H$92,'Daftar Koreksi'!$D$5:$D$92,'Eselon 1'!A26,'Daftar Koreksi'!$G$5:$G$92,"Jalan Irigasi Jaringan",'Daftar Koreksi'!$H$5:$H$92,"&lt;0")-SUMIFS('Daftar Koreksi'!$H$5:$H$92,'Daftar Koreksi'!$D$5:$D$92,'Eselon 1'!A26,'Daftar Koreksi'!$G$5:$G$92,"Jalan Irigasi Jaringan",'Daftar Koreksi'!$H$5:$H$92,"&lt;0")</f>
        <v>0</v>
      </c>
      <c r="G33" s="17">
        <f t="shared" si="1"/>
        <v>0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0</v>
      </c>
      <c r="E34" s="25">
        <f>SUMIFS('Daftar Koreksi'!$H$5:$H$92,'Daftar Koreksi'!$D$5:$D$92,'Eselon 1'!A26,'Daftar Koreksi'!$G$5:$G$92,"Aset Tetap Lainnya",'Daftar Koreksi'!$H$5:$H$92,"&gt;0")</f>
        <v>0</v>
      </c>
      <c r="F34" s="25">
        <f>SUMIFS('Daftar Koreksi'!$H$5:$H$92,'Daftar Koreksi'!$D$5:$D$92,'Eselon 1'!A26,'Daftar Koreksi'!$G$5:$G$92,"Aset Tetap Lainnya",'Daftar Koreksi'!$H$5:$H$92,"&lt;0")-SUMIFS('Daftar Koreksi'!$H$5:$H$92,'Daftar Koreksi'!$D$5:$D$92,'Eselon 1'!A26,'Daftar Koreksi'!$G$5:$G$92,"Aset Tetap Lainnya",'Daftar Koreksi'!$H$5:$H$92,"&lt;0")-SUMIFS('Daftar Koreksi'!$H$5:$H$92,'Daftar Koreksi'!$D$5:$D$92,'Eselon 1'!A26,'Daftar Koreksi'!$G$5:$G$92,"Aset Tetap Lainnya",'Daftar Koreksi'!$H$5:$H$92,"&lt;0")</f>
        <v>0</v>
      </c>
      <c r="G34" s="17">
        <f t="shared" si="1"/>
        <v>0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Koreksi'!$D$5:$D$92,'Eselon 1'!A26,'Daftar Koreksi'!$G$5:$G$92,"Kontruksi Dalam Pengerjaan",'Daftar Koreksi'!$H$5:$H$92,"&gt;0")</f>
        <v>0</v>
      </c>
      <c r="F35" s="25">
        <f>SUMIFS('Daftar Koreksi'!$H$5:$H$92,'Daftar Koreksi'!$D$5:$D$92,'Eselon 1'!A26,'Daftar Koreksi'!$G$5:$G$92,"Kontruksi Dalam Pengerjaan",'Daftar Koreksi'!$H$5:$H$92,"&lt;0")-SUMIFS('Daftar Koreksi'!$H$5:$H$92,'Daftar Koreksi'!$D$5:$D$92,'Eselon 1'!A26,'Daftar Koreksi'!$G$5:$G$92,"Kontruksi Dalam Pengerjaan",'Daftar Koreksi'!$H$5:$H$92,"&lt;0")-SUMIFS('Daftar Koreksi'!$H$5:$H$92,'Daftar Koreksi'!$D$5:$D$92,'Eselon 1'!A26,'Daftar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Koreksi'!$D$5:$D$92,'Eselon 1'!A26,'Daftar Koreksi'!$G$5:$G$92,"Aset Tak Berwujud",'Daftar Koreksi'!$H$5:$H$92,"&gt;0")</f>
        <v>0</v>
      </c>
      <c r="F36" s="25">
        <f>SUMIFS('Daftar Koreksi'!$H$5:$H$92,'Daftar Koreksi'!$D$5:$D$92,'Eselon 1'!A26,'Daftar Koreksi'!$G$5:$G$92,"Aset Tak Berwujud",'Daftar Koreksi'!$H$5:$H$92,"&lt;0")-SUMIFS('Daftar Koreksi'!$H$5:$H$92,'Daftar Koreksi'!$D$5:$D$92,'Eselon 1'!A26,'Daftar Koreksi'!$G$5:$G$92,"Aset Tak Berwujud",'Daftar Koreksi'!$H$5:$H$92,"&lt;0")-SUMIFS('Daftar Koreksi'!$H$5:$H$92,'Daftar Koreksi'!$D$5:$D$92,'Eselon 1'!A26,'Daftar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Koreksi'!$D$5:$D$92,'Eselon 1'!A26,'Daftar Koreksi'!$G$5:$G$92,"Aset Henti Guna",'Daftar Koreksi'!$H$5:$H$92,"&gt;0")</f>
        <v>0</v>
      </c>
      <c r="F37" s="25">
        <f>SUMIFS('Daftar Koreksi'!$H$5:$H$92,'Daftar Koreksi'!$D$5:$D$92,'Eselon 1'!A26,'Daftar Koreksi'!$G$5:$G$92,"Aset Henti Guna",'Daftar Koreksi'!$H$5:$H$92,"&lt;0")-SUMIFS('Daftar Koreksi'!$H$5:$H$92,'Daftar Koreksi'!$D$5:$D$92,'Eselon 1'!A26,'Daftar Koreksi'!$G$5:$G$92,"Aset Henti Guna",'Daftar Koreksi'!$H$5:$H$92,"&lt;0")-SUMIFS('Daftar Koreksi'!$H$5:$H$92,'Daftar Koreksi'!$D$5:$D$92,'Eselon 1'!A26,'Daftar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18972407756</v>
      </c>
      <c r="E38" s="19">
        <f>SUM(E29:E37)</f>
        <v>0</v>
      </c>
      <c r="F38" s="19">
        <f>SUM(F29:F37)</f>
        <v>0</v>
      </c>
      <c r="G38" s="19">
        <f t="shared" si="1"/>
        <v>18972407756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-15129699605</v>
      </c>
      <c r="E39" s="25">
        <f>SUMIFS('Daftar Koreksi'!$I$5:$I$92,'Daftar Koreksi'!$D$5:$D$92,'Eselon 1'!A26,'Daftar Koreksi'!$G$5:$G$92,"Peralatan dan mesin",'Daftar Koreksi'!$I$5:$I$92,"&gt;0")</f>
        <v>0</v>
      </c>
      <c r="F39" s="25">
        <f>SUMIFS('Daftar Koreksi'!$I$5:$I$92,'Daftar Koreksi'!$D$5:$D$92,'Eselon 1'!A26,'Daftar Koreksi'!$G$5:$G$92,"Peralatan dan mesin",'Daftar Koreksi'!$I$5:$I$92,"&lt;0")-SUMIFS('Daftar Koreksi'!$I$5:$I$92,'Daftar Koreksi'!$D$5:$D$92,'Eselon 1'!A26,'Daftar Koreksi'!$G$5:$G$92,"Peralatan dan mesin",'Daftar Koreksi'!$I$5:$I$92,"&lt;0")-SUMIFS('Daftar Koreksi'!$I$5:$I$92,'Daftar Koreksi'!$D$5:$D$92,'Eselon 1'!A26,'Daftar Koreksi'!$G$5:$G$92,"Peralatan dan mesin",'Daftar Koreksi'!$I$5:$I$92,"&lt;0")</f>
        <v>0</v>
      </c>
      <c r="G39" s="17">
        <f t="shared" si="1"/>
        <v>-15129699605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-2440840</v>
      </c>
      <c r="E40" s="25">
        <f>SUMIFS('Daftar Koreksi'!$I$5:$I$92,'Daftar Koreksi'!$D$5:$D$92,'Eselon 1'!A26,'Daftar Koreksi'!$G$5:$G$92,"Gedung dan Bangunan",'Daftar Koreksi'!$I$5:$I$92,"&gt;0")</f>
        <v>0</v>
      </c>
      <c r="F40" s="25">
        <f>SUMIFS('Daftar Koreksi'!$I$5:$I$92,'Daftar Koreksi'!$D$5:$D$92,'Eselon 1'!A26,'Daftar Koreksi'!$G$5:$G$92,"Gedung dan Bangunan",'Daftar Koreksi'!$I$5:$I$92,"&lt;0")-SUMIFS('Daftar Koreksi'!$I$5:$I$92,'Daftar Koreksi'!$D$5:$D$92,'Eselon 1'!A26,'Daftar Koreksi'!$G$5:$G$92,"Gedung dan Bangunan",'Daftar Koreksi'!$I$5:$I$92,"&lt;0")-SUMIFS('Daftar Koreksi'!$I$5:$I$92,'Daftar Koreksi'!$D$5:$D$92,'Eselon 1'!A26,'Daftar Koreksi'!$G$5:$G$92,"Gedung dan Bangunan",'Daftar Koreksi'!$I$5:$I$92,"&lt;0")</f>
        <v>0</v>
      </c>
      <c r="G40" s="17">
        <f t="shared" si="1"/>
        <v>-2440840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Koreksi'!$D$5:$D$92,'Eselon 1'!A26,'Daftar Koreksi'!$G$5:$G$92,"Jalan Irigasi Jaringan",'Daftar Koreksi'!$I$5:$I$92,"&gt;0")</f>
        <v>0</v>
      </c>
      <c r="F41" s="25">
        <f>SUMIFS('Daftar Koreksi'!$I$5:$I$92,'Daftar Koreksi'!$D$5:$D$92,'Eselon 1'!A26,'Daftar Koreksi'!$G$5:$G$92,"Jalan Irigasi Jaringan",'Daftar Koreksi'!$I$5:$I$92,"&lt;0")-SUMIFS('Daftar Koreksi'!$I$5:$I$92,'Daftar Koreksi'!$D$5:$D$92,'Eselon 1'!A26,'Daftar Koreksi'!$G$5:$G$92,"Jalan Irigasi Jaringan",'Daftar Koreksi'!$I$5:$I$92,"&lt;0")-SUMIFS('Daftar Koreksi'!$I$5:$I$92,'Daftar Koreksi'!$D$5:$D$92,'Eselon 1'!A26,'Daftar Koreksi'!$G$5:$G$92,"Jalan Irigasi Jaringan",'Daftar Koreksi'!$I$5:$I$92,"&lt;0")</f>
        <v>0</v>
      </c>
      <c r="G41" s="17">
        <f t="shared" si="1"/>
        <v>0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Koreksi'!$D$5:$D$92,'Eselon 1'!A26,'Daftar Koreksi'!$G$5:$G$92,"Aset Tetap Lainnya",'Daftar Koreksi'!$I$5:$I$92,"&gt;0")</f>
        <v>0</v>
      </c>
      <c r="F42" s="25">
        <f>SUMIFS('Daftar Koreksi'!$I$5:$I$92,'Daftar Koreksi'!$D$5:$D$92,'Eselon 1'!A26,'Daftar Koreksi'!$G$5:$G$92,"Aset Tetap Lainnya",'Daftar Koreksi'!$I$5:$I$92,"&lt;0")-SUMIFS('Daftar Koreksi'!$I$5:$I$92,'Daftar Koreksi'!$D$5:$D$92,'Eselon 1'!A26,'Daftar Koreksi'!$G$5:$G$92,"Aset Tetap Lainnya",'Daftar Koreksi'!$I$5:$I$92,"&lt;0")-SUMIFS('Daftar Koreksi'!$I$5:$I$92,'Daftar Koreksi'!$D$5:$D$92,'Eselon 1'!A26,'Daftar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Koreksi'!$D$5:$D$92,'Eselon 1'!A26,'Daftar Koreksi'!$G$5:$G$92,"Aset Henti Guna",'Daftar Koreksi'!$I$5:$I$92,"&gt;0")</f>
        <v>0</v>
      </c>
      <c r="F43" s="25">
        <f>SUMIFS('Daftar Koreksi'!$I$5:$I$92,'Daftar Koreksi'!$D$5:$D$92,'Eselon 1'!A26,'Daftar Koreksi'!$G$5:$G$92,"Aset Henti Guna",'Daftar Koreksi'!$I$5:$I$92,"&lt;0")-SUMIFS('Daftar Koreksi'!$I$5:$I$92,'Daftar Koreksi'!$D$5:$D$92,'Eselon 1'!A26,'Daftar Koreksi'!$G$5:$G$92,"Aset Henti Guna",'Daftar Koreksi'!$I$5:$I$92,"&lt;0")-SUMIFS('Daftar Koreksi'!$I$5:$I$92,'Daftar Koreksi'!$D$5:$D$92,'Eselon 1'!A26,'Daftar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-15132140445</v>
      </c>
      <c r="E44" s="19">
        <f>SUM(E39:E43)</f>
        <v>0</v>
      </c>
      <c r="F44" s="19">
        <f>SUM(F39:F43)</f>
        <v>0</v>
      </c>
      <c r="G44" s="19">
        <f t="shared" si="1"/>
        <v>-15132140445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3840267311</v>
      </c>
      <c r="E45" s="19">
        <f>E44+E38</f>
        <v>0</v>
      </c>
      <c r="F45" s="19">
        <f>F44+F38</f>
        <v>0</v>
      </c>
      <c r="G45" s="19">
        <f t="shared" si="1"/>
        <v>3840267311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005030199097450000KP</v>
      </c>
      <c r="B48" s="11" t="str">
        <f>P3</f>
        <v>Badan Peradilan Umum</v>
      </c>
      <c r="C48" s="12" t="str">
        <f>A48&amp;" "&amp;B48</f>
        <v>005030199097450000KP Badan Peradilan Umum</v>
      </c>
      <c r="D48" s="13"/>
      <c r="E48" s="13"/>
      <c r="F48" s="13"/>
      <c r="G48" s="13"/>
      <c r="H48" s="11"/>
    </row>
    <row r="49" spans="1:11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11" ht="21.95" customHeight="1">
      <c r="A50" s="14"/>
      <c r="B50" s="14"/>
      <c r="C50" s="125"/>
      <c r="D50" s="127"/>
      <c r="E50" s="40" t="s">
        <v>1985</v>
      </c>
      <c r="F50" s="40" t="s">
        <v>1986</v>
      </c>
      <c r="G50" s="127"/>
      <c r="H50" s="131"/>
    </row>
    <row r="51" spans="1:11" ht="21.95" customHeight="1">
      <c r="A51" s="14"/>
      <c r="B51" s="14"/>
      <c r="C51" s="16" t="s">
        <v>1165</v>
      </c>
      <c r="D51" s="17">
        <f>VLOOKUP(A48,'Neraca Unaudited SIMAK'!$A$2:$S$10004,3,FALSE)</f>
        <v>767538072</v>
      </c>
      <c r="E51" s="25">
        <f>SUMIFS('Daftar Koreksi'!$H$5:$H$92,'Daftar Koreksi'!$D$5:$D$92,'Eselon 1'!A48,'Daftar Koreksi'!$G$5:$G$92,"Persediaan",'Daftar Koreksi'!$H$5:$H$92,"&gt;0")</f>
        <v>0</v>
      </c>
      <c r="F51" s="25">
        <f>SUMIFS('Daftar Koreksi'!$H$5:$H$92,'Daftar Koreksi'!$D$5:$D$92,'Eselon 1'!A48,'Daftar Koreksi'!$G$5:$G$92,"Persediaan",'Daftar Koreksi'!$H$5:$H$92,"&lt;0")-SUMIFS('Daftar Koreksi'!$H$5:$H$92,'Daftar Koreksi'!$D$5:$D$92,'Eselon 1'!A48,'Daftar Koreksi'!$G$5:$G$92,"Persediaan",'Daftar Koreksi'!$H$5:$H$92,"&lt;0")-SUMIFS('Daftar Koreksi'!$H$5:$H$92,'Daftar Koreksi'!$D$5:$D$92,'Eselon 1'!A48,'Daftar Koreksi'!$G$5:$G$92,"Persediaan",'Daftar Koreksi'!$H$5:$H$92,"&lt;0")</f>
        <v>0</v>
      </c>
      <c r="G51" s="17">
        <f>D51+E51-F51</f>
        <v>767538072</v>
      </c>
      <c r="H51" s="121" t="str">
        <f>IF(ISNA(VLOOKUP(A48,'Mutasi Neraca'!$A$3:$S$914,19,FALSE)),"-",VLOOKUP(A48,'Mutasi Neraca'!$A$3:$S$914,19,FALSE))</f>
        <v>Tp. No 8</v>
      </c>
      <c r="J51" s="10"/>
      <c r="K51" s="29"/>
    </row>
    <row r="52" spans="1:11" ht="21.95" customHeight="1">
      <c r="A52" s="14"/>
      <c r="B52" s="14"/>
      <c r="C52" s="16" t="s">
        <v>1166</v>
      </c>
      <c r="D52" s="17">
        <f>VLOOKUP(A48,'Neraca Unaudited SIMAK'!$A$2:$S$10004,4,FALSE)</f>
        <v>302589935000</v>
      </c>
      <c r="E52" s="25">
        <f>SUMIFS('Daftar Koreksi'!$H$5:$H$92,'Daftar Koreksi'!$D$5:$D$92,'Eselon 1'!A48,'Daftar Koreksi'!$G$5:$G$92,"Tanah",'Daftar Koreksi'!$H$5:$H$92,"&gt;0")</f>
        <v>0</v>
      </c>
      <c r="F52" s="25">
        <f>SUMIFS('Daftar Koreksi'!$H$5:$H$92,'Daftar Koreksi'!$D$5:$D$92,'Eselon 1'!A48,'Daftar Koreksi'!$G$5:$G$92,"Tanah",'Daftar Koreksi'!$H$5:$H$92,"&lt;0")-SUMIFS('Daftar Koreksi'!$H$5:$H$92,'Daftar Koreksi'!$D$5:$D$92,'Eselon 1'!A48,'Daftar Koreksi'!$G$5:$G$92,"Tanah",'Daftar Koreksi'!$H$5:$H$92,"&lt;0")-SUMIFS('Daftar Koreksi'!$H$5:$H$92,'Daftar Koreksi'!$D$5:$D$92,'Eselon 1'!A48,'Daftar Koreksi'!$G$5:$G$92,"Tanah",'Daftar Koreksi'!$H$5:$H$92,"&lt;0")</f>
        <v>0</v>
      </c>
      <c r="G52" s="17">
        <f t="shared" ref="G52:G68" si="2">D52+E52-F52</f>
        <v>302589935000</v>
      </c>
      <c r="H52" s="122"/>
    </row>
    <row r="53" spans="1:11" ht="21.95" customHeight="1">
      <c r="A53" s="14"/>
      <c r="B53" s="14"/>
      <c r="C53" s="16" t="s">
        <v>1167</v>
      </c>
      <c r="D53" s="17">
        <f>VLOOKUP(A48,'Neraca Unaudited SIMAK'!$A$2:$S$10004,5,FALSE)</f>
        <v>21831257576</v>
      </c>
      <c r="E53" s="25">
        <f>SUMIFS('Daftar Koreksi'!$H$5:$H$92,'Daftar Koreksi'!$D$5:$D$92,'Eselon 1'!A48,'Daftar Koreksi'!$G$5:$G$92,"Peralatan dan mesin",'Daftar Koreksi'!$H$5:$H$92,"&gt;0")</f>
        <v>0</v>
      </c>
      <c r="F53" s="25">
        <f>SUMIFS('Daftar Koreksi'!$H$5:$H$92,'Daftar Koreksi'!$D$5:$D$92,'Eselon 1'!A48,'Daftar Koreksi'!$G$5:$G$92,"Peralatan dan mesin",'Daftar Koreksi'!$H$5:$H$92,"&lt;0")-SUMIFS('Daftar Koreksi'!$H$5:$H$92,'Daftar Koreksi'!$D$5:$D$92,'Eselon 1'!A48,'Daftar Koreksi'!$G$5:$G$92,"Peralatan dan mesin",'Daftar Koreksi'!$H$5:$H$92,"&lt;0")-SUMIFS('Daftar Koreksi'!$H$5:$H$92,'Daftar Koreksi'!$D$5:$D$92,'Eselon 1'!A48,'Daftar Koreksi'!$G$5:$G$92,"Peralatan dan mesin",'Daftar Koreksi'!$H$5:$H$92,"&lt;0")</f>
        <v>0</v>
      </c>
      <c r="G53" s="17">
        <f t="shared" si="2"/>
        <v>21831257576</v>
      </c>
      <c r="H53" s="122"/>
    </row>
    <row r="54" spans="1:11" ht="21.95" customHeight="1">
      <c r="A54" s="14"/>
      <c r="B54" s="14"/>
      <c r="C54" s="16" t="s">
        <v>1168</v>
      </c>
      <c r="D54" s="17">
        <f>VLOOKUP(A48,'Neraca Unaudited SIMAK'!$A$2:$S$10004,6,FALSE)</f>
        <v>17602045391</v>
      </c>
      <c r="E54" s="25">
        <f>SUMIFS('Daftar Koreksi'!$H$5:$H$92,'Daftar Koreksi'!$D$5:$D$92,'Eselon 1'!A48,'Daftar Koreksi'!$G$5:$G$92,"Gedung dan Bangunan",'Daftar Koreksi'!$H$5:$H$92,"&gt;0")</f>
        <v>0</v>
      </c>
      <c r="F54" s="25">
        <f>SUMIFS('Daftar Koreksi'!$H$5:$H$92,'Daftar Koreksi'!$D$5:$D$92,'Eselon 1'!A48,'Daftar Koreksi'!$G$5:$G$92,"Gedung dan Bangunan",'Daftar Koreksi'!$H$5:$H$92,"&lt;0")-SUMIFS('Daftar Koreksi'!$H$5:$H$92,'Daftar Koreksi'!$D$5:$D$92,'Eselon 1'!A48,'Daftar Koreksi'!$G$5:$G$92,"Gedung dan Bangunan",'Daftar Koreksi'!$H$5:$H$92,"&lt;0")-SUMIFS('Daftar Koreksi'!$H$5:$H$92,'Daftar Koreksi'!$D$5:$D$92,'Eselon 1'!A48,'Daftar Koreksi'!$G$5:$G$92,"Gedung dan Bangunan",'Daftar Koreksi'!$H$5:$H$92,"&lt;0")</f>
        <v>0</v>
      </c>
      <c r="G54" s="17">
        <f t="shared" si="2"/>
        <v>17602045391</v>
      </c>
      <c r="H54" s="122"/>
    </row>
    <row r="55" spans="1:11" ht="21.95" customHeight="1">
      <c r="A55" s="14"/>
      <c r="B55" s="14"/>
      <c r="C55" s="16" t="s">
        <v>1169</v>
      </c>
      <c r="D55" s="17">
        <f>VLOOKUP(A48,'Neraca Unaudited SIMAK'!$A$2:$S$10004,7,FALSE)</f>
        <v>454644146</v>
      </c>
      <c r="E55" s="25">
        <f>SUMIFS('Daftar Koreksi'!$H$5:$H$92,'Daftar Koreksi'!$D$5:$D$92,'Eselon 1'!A48,'Daftar Koreksi'!$G$5:$G$92,"Jalan Irigasi Jaringan",'Daftar Koreksi'!$H$5:$H$92,"&gt;0")</f>
        <v>0</v>
      </c>
      <c r="F55" s="25">
        <f>SUMIFS('Daftar Koreksi'!$H$5:$H$92,'Daftar Koreksi'!$D$5:$D$92,'Eselon 1'!A48,'Daftar Koreksi'!$G$5:$G$92,"Jalan Irigasi Jaringan",'Daftar Koreksi'!$H$5:$H$92,"&lt;0")-SUMIFS('Daftar Koreksi'!$H$5:$H$92,'Daftar Koreksi'!$D$5:$D$92,'Eselon 1'!A48,'Daftar Koreksi'!$G$5:$G$92,"Jalan Irigasi Jaringan",'Daftar Koreksi'!$H$5:$H$92,"&lt;0")-SUMIFS('Daftar Koreksi'!$H$5:$H$92,'Daftar Koreksi'!$D$5:$D$92,'Eselon 1'!A48,'Daftar Koreksi'!$G$5:$G$92,"Jalan Irigasi Jaringan",'Daftar Koreksi'!$H$5:$H$92,"&lt;0")</f>
        <v>0</v>
      </c>
      <c r="G55" s="17">
        <f t="shared" si="2"/>
        <v>454644146</v>
      </c>
      <c r="H55" s="122"/>
    </row>
    <row r="56" spans="1:11" ht="21.95" customHeight="1">
      <c r="A56" s="14"/>
      <c r="B56" s="14"/>
      <c r="C56" s="16" t="s">
        <v>1170</v>
      </c>
      <c r="D56" s="17">
        <f>VLOOKUP(A48,'Neraca Unaudited SIMAK'!$A$2:$S$10004,8,FALSE)</f>
        <v>128459011</v>
      </c>
      <c r="E56" s="25">
        <f>SUMIFS('Daftar Koreksi'!$H$5:$H$92,'Daftar Koreksi'!$D$5:$D$92,'Eselon 1'!A48,'Daftar Koreksi'!$G$5:$G$92,"Aset Tetap Lainnya",'Daftar Koreksi'!$H$5:$H$92,"&gt;0")</f>
        <v>0</v>
      </c>
      <c r="F56" s="25">
        <f>SUMIFS('Daftar Koreksi'!$H$5:$H$92,'Daftar Koreksi'!$D$5:$D$92,'Eselon 1'!A48,'Daftar Koreksi'!$G$5:$G$92,"Aset Tetap Lainnya",'Daftar Koreksi'!$H$5:$H$92,"&lt;0")-SUMIFS('Daftar Koreksi'!$H$5:$H$92,'Daftar Koreksi'!$D$5:$D$92,'Eselon 1'!A48,'Daftar Koreksi'!$G$5:$G$92,"Aset Tetap Lainnya",'Daftar Koreksi'!$H$5:$H$92,"&lt;0")-SUMIFS('Daftar Koreksi'!$H$5:$H$92,'Daftar Koreksi'!$D$5:$D$92,'Eselon 1'!A48,'Daftar Koreksi'!$G$5:$G$92,"Aset Tetap Lainnya",'Daftar Koreksi'!$H$5:$H$92,"&lt;0")</f>
        <v>0</v>
      </c>
      <c r="G56" s="17">
        <f t="shared" si="2"/>
        <v>128459011</v>
      </c>
      <c r="H56" s="122"/>
    </row>
    <row r="57" spans="1:11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Koreksi'!$D$5:$D$92,'Eselon 1'!A48,'Daftar Koreksi'!$G$5:$G$92,"Kontruksi Dalam Pengerjaan",'Daftar Koreksi'!$H$5:$H$92,"&gt;0")</f>
        <v>0</v>
      </c>
      <c r="F57" s="25">
        <f>SUMIFS('Daftar Koreksi'!$H$5:$H$92,'Daftar Koreksi'!$D$5:$D$92,'Eselon 1'!A48,'Daftar Koreksi'!$G$5:$G$92,"Kontruksi Dalam Pengerjaan",'Daftar Koreksi'!$H$5:$H$92,"&lt;0")-SUMIFS('Daftar Koreksi'!$H$5:$H$92,'Daftar Koreksi'!$D$5:$D$92,'Eselon 1'!A48,'Daftar Koreksi'!$G$5:$G$92,"Kontruksi Dalam Pengerjaan",'Daftar Koreksi'!$H$5:$H$92,"&lt;0")-SUMIFS('Daftar Koreksi'!$H$5:$H$92,'Daftar Koreksi'!$D$5:$D$92,'Eselon 1'!A48,'Daftar Koreksi'!$G$5:$G$92,"Kontruksi Dalam Pengerjaan",'Daftar Koreksi'!$H$5:$H$92,"&lt;0")</f>
        <v>0</v>
      </c>
      <c r="G57" s="17">
        <f t="shared" si="2"/>
        <v>0</v>
      </c>
      <c r="H57" s="122"/>
    </row>
    <row r="58" spans="1:11" ht="21.95" customHeight="1">
      <c r="A58" s="14"/>
      <c r="B58" s="14"/>
      <c r="C58" s="16" t="s">
        <v>1172</v>
      </c>
      <c r="D58" s="17">
        <f>VLOOKUP(A48,'Neraca Unaudited SIMAK'!$A$2:$S$10004,10,FALSE)</f>
        <v>2101792994</v>
      </c>
      <c r="E58" s="25">
        <f>SUMIFS('Daftar Koreksi'!$H$5:$H$92,'Daftar Koreksi'!$D$5:$D$92,'Eselon 1'!A48,'Daftar Koreksi'!$G$5:$G$92,"Aset Tak Berwujud",'Daftar Koreksi'!$H$5:$H$92,"&gt;0")</f>
        <v>0</v>
      </c>
      <c r="F58" s="25">
        <f>SUMIFS('Daftar Koreksi'!$H$5:$H$92,'Daftar Koreksi'!$D$5:$D$92,'Eselon 1'!A48,'Daftar Koreksi'!$G$5:$G$92,"Aset Tak Berwujud",'Daftar Koreksi'!$H$5:$H$92,"&lt;0")-SUMIFS('Daftar Koreksi'!$H$5:$H$92,'Daftar Koreksi'!$D$5:$D$92,'Eselon 1'!A48,'Daftar Koreksi'!$G$5:$G$92,"Aset Tak Berwujud",'Daftar Koreksi'!$H$5:$H$92,"&lt;0")-SUMIFS('Daftar Koreksi'!$H$5:$H$92,'Daftar Koreksi'!$D$5:$D$92,'Eselon 1'!A48,'Daftar Koreksi'!$G$5:$G$92,"Aset Tak Berwujud",'Daftar Koreksi'!$H$5:$H$92,"&lt;0")</f>
        <v>26325000</v>
      </c>
      <c r="G58" s="17">
        <f t="shared" si="2"/>
        <v>2075467994</v>
      </c>
      <c r="H58" s="122"/>
    </row>
    <row r="59" spans="1:11" ht="21.95" customHeight="1">
      <c r="A59" s="14"/>
      <c r="B59" s="14"/>
      <c r="C59" s="16" t="s">
        <v>1173</v>
      </c>
      <c r="D59" s="17">
        <f>VLOOKUP(A48,'Neraca Unaudited SIMAK'!$A$2:$S$10004,11,FALSE)</f>
        <v>113624276</v>
      </c>
      <c r="E59" s="25">
        <f>SUMIFS('Daftar Koreksi'!$H$5:$H$92,'Daftar Koreksi'!$D$5:$D$92,'Eselon 1'!A48,'Daftar Koreksi'!$G$5:$G$92,"Aset Henti Guna",'Daftar Koreksi'!$H$5:$H$92,"&gt;0")</f>
        <v>0</v>
      </c>
      <c r="F59" s="25">
        <f>SUMIFS('Daftar Koreksi'!$H$5:$H$92,'Daftar Koreksi'!$D$5:$D$92,'Eselon 1'!A48,'Daftar Koreksi'!$G$5:$G$92,"Aset Henti Guna",'Daftar Koreksi'!$H$5:$H$92,"&lt;0")-SUMIFS('Daftar Koreksi'!$H$5:$H$92,'Daftar Koreksi'!$D$5:$D$92,'Eselon 1'!A48,'Daftar Koreksi'!$G$5:$G$92,"Aset Henti Guna",'Daftar Koreksi'!$H$5:$H$92,"&lt;0")-SUMIFS('Daftar Koreksi'!$H$5:$H$92,'Daftar Koreksi'!$D$5:$D$92,'Eselon 1'!A48,'Daftar Koreksi'!$G$5:$G$92,"Aset Henti Guna",'Daftar Koreksi'!$H$5:$H$92,"&lt;0")</f>
        <v>0</v>
      </c>
      <c r="G59" s="17">
        <f t="shared" si="2"/>
        <v>113624276</v>
      </c>
      <c r="H59" s="122"/>
    </row>
    <row r="60" spans="1:11" ht="21.95" customHeight="1">
      <c r="A60" s="14"/>
      <c r="B60" s="14"/>
      <c r="C60" s="18" t="s">
        <v>2093</v>
      </c>
      <c r="D60" s="19">
        <f>VLOOKUP(A48,'Neraca Unaudited SIMAK'!$A$2:$S$10004,12,FALSE)</f>
        <v>345589296466</v>
      </c>
      <c r="E60" s="19">
        <f>SUM(E51:E59)</f>
        <v>0</v>
      </c>
      <c r="F60" s="19">
        <f>SUM(F51:F59)</f>
        <v>26325000</v>
      </c>
      <c r="G60" s="19">
        <f t="shared" si="2"/>
        <v>345562971466</v>
      </c>
      <c r="H60" s="122"/>
    </row>
    <row r="61" spans="1:11" ht="21.95" customHeight="1">
      <c r="A61" s="14"/>
      <c r="B61" s="14"/>
      <c r="C61" s="16" t="s">
        <v>2087</v>
      </c>
      <c r="D61" s="17">
        <f>VLOOKUP(A48,'Neraca Unaudited SIMAK'!$A$2:$S$10004,13,FALSE)</f>
        <v>-15406495275</v>
      </c>
      <c r="E61" s="25">
        <f>SUMIFS('Daftar Koreksi'!$I$5:$I$92,'Daftar Koreksi'!$D$5:$D$92,'Eselon 1'!A48,'Daftar Koreksi'!$G$5:$G$92,"Peralatan dan mesin",'Daftar Koreksi'!$I$5:$I$92,"&gt;0")</f>
        <v>0</v>
      </c>
      <c r="F61" s="25">
        <f>SUMIFS('Daftar Koreksi'!$I$5:$I$92,'Daftar Koreksi'!$D$5:$D$92,'Eselon 1'!A48,'Daftar Koreksi'!$G$5:$G$92,"Peralatan dan mesin",'Daftar Koreksi'!$I$5:$I$92,"&lt;0")-SUMIFS('Daftar Koreksi'!$I$5:$I$92,'Daftar Koreksi'!$D$5:$D$92,'Eselon 1'!A48,'Daftar Koreksi'!$G$5:$G$92,"Peralatan dan mesin",'Daftar Koreksi'!$I$5:$I$92,"&lt;0")-SUMIFS('Daftar Koreksi'!$I$5:$I$92,'Daftar Koreksi'!$D$5:$D$92,'Eselon 1'!A48,'Daftar Koreksi'!$G$5:$G$92,"Peralatan dan mesin",'Daftar Koreksi'!$I$5:$I$92,"&lt;0")</f>
        <v>0</v>
      </c>
      <c r="G61" s="17">
        <f t="shared" si="2"/>
        <v>-15406495275</v>
      </c>
      <c r="H61" s="122"/>
    </row>
    <row r="62" spans="1:11" ht="21.95" customHeight="1">
      <c r="A62" s="14"/>
      <c r="B62" s="14"/>
      <c r="C62" s="16" t="s">
        <v>2088</v>
      </c>
      <c r="D62" s="17">
        <f>VLOOKUP(A48,'Neraca Unaudited SIMAK'!$A$2:$S$10004,14,FALSE)</f>
        <v>-3875084441</v>
      </c>
      <c r="E62" s="25">
        <f>SUMIFS('Daftar Koreksi'!$I$5:$I$92,'Daftar Koreksi'!$D$5:$D$92,'Eselon 1'!A48,'Daftar Koreksi'!$G$5:$G$92,"Gedung dan Bangunan",'Daftar Koreksi'!$I$5:$I$92,"&gt;0")</f>
        <v>0</v>
      </c>
      <c r="F62" s="25">
        <f>SUMIFS('Daftar Koreksi'!$I$5:$I$92,'Daftar Koreksi'!$D$5:$D$92,'Eselon 1'!A48,'Daftar Koreksi'!$G$5:$G$92,"Gedung dan Bangunan",'Daftar Koreksi'!$I$5:$I$92,"&lt;0")-SUMIFS('Daftar Koreksi'!$I$5:$I$92,'Daftar Koreksi'!$D$5:$D$92,'Eselon 1'!A48,'Daftar Koreksi'!$G$5:$G$92,"Gedung dan Bangunan",'Daftar Koreksi'!$I$5:$I$92,"&lt;0")-SUMIFS('Daftar Koreksi'!$I$5:$I$92,'Daftar Koreksi'!$D$5:$D$92,'Eselon 1'!A48,'Daftar Koreksi'!$G$5:$G$92,"Gedung dan Bangunan",'Daftar Koreksi'!$I$5:$I$92,"&lt;0")</f>
        <v>0</v>
      </c>
      <c r="G62" s="17">
        <f t="shared" si="2"/>
        <v>-3875084441</v>
      </c>
      <c r="H62" s="122"/>
    </row>
    <row r="63" spans="1:11" ht="21.95" customHeight="1">
      <c r="A63" s="14"/>
      <c r="B63" s="14"/>
      <c r="C63" s="16" t="s">
        <v>2089</v>
      </c>
      <c r="D63" s="17">
        <f>VLOOKUP(A48,'Neraca Unaudited SIMAK'!$A$2:$S$10004,15,FALSE)</f>
        <v>-234826495</v>
      </c>
      <c r="E63" s="25">
        <f>SUMIFS('Daftar Koreksi'!$I$5:$I$92,'Daftar Koreksi'!$D$5:$D$92,'Eselon 1'!A48,'Daftar Koreksi'!$G$5:$G$92,"Jalan Irigasi Jaringan",'Daftar Koreksi'!$I$5:$I$92,"&gt;0")</f>
        <v>0</v>
      </c>
      <c r="F63" s="25">
        <f>SUMIFS('Daftar Koreksi'!$I$5:$I$92,'Daftar Koreksi'!$D$5:$D$92,'Eselon 1'!A48,'Daftar Koreksi'!$G$5:$G$92,"Jalan Irigasi Jaringan",'Daftar Koreksi'!$I$5:$I$92,"&lt;0")-SUMIFS('Daftar Koreksi'!$I$5:$I$92,'Daftar Koreksi'!$D$5:$D$92,'Eselon 1'!A48,'Daftar Koreksi'!$G$5:$G$92,"Jalan Irigasi Jaringan",'Daftar Koreksi'!$I$5:$I$92,"&lt;0")-SUMIFS('Daftar Koreksi'!$I$5:$I$92,'Daftar Koreksi'!$D$5:$D$92,'Eselon 1'!A48,'Daftar Koreksi'!$G$5:$G$92,"Jalan Irigasi Jaringan",'Daftar Koreksi'!$I$5:$I$92,"&lt;0")</f>
        <v>0</v>
      </c>
      <c r="G63" s="17">
        <f t="shared" si="2"/>
        <v>-234826495</v>
      </c>
      <c r="H63" s="122"/>
    </row>
    <row r="64" spans="1:11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Koreksi'!$D$5:$D$92,'Eselon 1'!A48,'Daftar Koreksi'!$G$5:$G$92,"Aset Tetap Lainnya",'Daftar Koreksi'!$I$5:$I$92,"&gt;0")</f>
        <v>0</v>
      </c>
      <c r="F64" s="25">
        <f>SUMIFS('Daftar Koreksi'!$I$5:$I$92,'Daftar Koreksi'!$D$5:$D$92,'Eselon 1'!A48,'Daftar Koreksi'!$G$5:$G$92,"Aset Tetap Lainnya",'Daftar Koreksi'!$I$5:$I$92,"&lt;0")-SUMIFS('Daftar Koreksi'!$I$5:$I$92,'Daftar Koreksi'!$D$5:$D$92,'Eselon 1'!A48,'Daftar Koreksi'!$G$5:$G$92,"Aset Tetap Lainnya",'Daftar Koreksi'!$I$5:$I$92,"&lt;0")-SUMIFS('Daftar Koreksi'!$I$5:$I$92,'Daftar Koreksi'!$D$5:$D$92,'Eselon 1'!A48,'Daftar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-113624276</v>
      </c>
      <c r="E65" s="25">
        <f>SUMIFS('Daftar Koreksi'!$I$5:$I$92,'Daftar Koreksi'!$D$5:$D$92,'Eselon 1'!A48,'Daftar Koreksi'!$G$5:$G$92,"Aset Henti Guna",'Daftar Koreksi'!$I$5:$I$92,"&gt;0")</f>
        <v>0</v>
      </c>
      <c r="F65" s="25">
        <f>SUMIFS('Daftar Koreksi'!$I$5:$I$92,'Daftar Koreksi'!$D$5:$D$92,'Eselon 1'!A48,'Daftar Koreksi'!$G$5:$G$92,"Aset Henti Guna",'Daftar Koreksi'!$I$5:$I$92,"&lt;0")-SUMIFS('Daftar Koreksi'!$I$5:$I$92,'Daftar Koreksi'!$D$5:$D$92,'Eselon 1'!A48,'Daftar Koreksi'!$G$5:$G$92,"Aset Henti Guna",'Daftar Koreksi'!$I$5:$I$92,"&lt;0")-SUMIFS('Daftar Koreksi'!$I$5:$I$92,'Daftar Koreksi'!$D$5:$D$92,'Eselon 1'!A48,'Daftar Koreksi'!$G$5:$G$92,"Aset Henti Guna",'Daftar Koreksi'!$I$5:$I$92,"&lt;0")</f>
        <v>0</v>
      </c>
      <c r="G65" s="17">
        <f t="shared" si="2"/>
        <v>-113624276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-19630030487</v>
      </c>
      <c r="E66" s="19">
        <f>SUM(E61:E65)</f>
        <v>0</v>
      </c>
      <c r="F66" s="19">
        <f>SUM(F61:F65)</f>
        <v>0</v>
      </c>
      <c r="G66" s="19">
        <f t="shared" si="2"/>
        <v>-19630030487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325959265979</v>
      </c>
      <c r="E67" s="19">
        <f>E66+E60</f>
        <v>0</v>
      </c>
      <c r="F67" s="19">
        <f>F66+F60</f>
        <v>26325000</v>
      </c>
      <c r="G67" s="19">
        <f t="shared" si="2"/>
        <v>325932940979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005040199663712000KP</v>
      </c>
      <c r="B70" s="11" t="str">
        <f>P4</f>
        <v>Badan Peradilan Agama</v>
      </c>
      <c r="C70" s="12" t="str">
        <f>A70&amp;" "&amp;B70</f>
        <v>005040199663712000KP Badan Peradilan Agama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40" t="s">
        <v>1985</v>
      </c>
      <c r="F72" s="40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425901204</v>
      </c>
      <c r="E73" s="25">
        <f>SUMIFS('Daftar Koreksi'!$H$5:$H$92,'Daftar Koreksi'!$D$5:$D$92,'Eselon 1'!A70,'Daftar Koreksi'!$G$5:$G$92,"Persediaan",'Daftar Koreksi'!$H$5:$H$92,"&gt;0")</f>
        <v>0</v>
      </c>
      <c r="F73" s="25">
        <f>SUMIFS('Daftar Koreksi'!$H$5:$H$92,'Daftar Koreksi'!$D$5:$D$92,'Eselon 1'!A70,'Daftar Koreksi'!$G$5:$G$92,"Persediaan",'Daftar Koreksi'!$H$5:$H$92,"&lt;0")-SUMIFS('Daftar Koreksi'!$H$5:$H$92,'Daftar Koreksi'!$D$5:$D$92,'Eselon 1'!A70,'Daftar Koreksi'!$G$5:$G$92,"Persediaan",'Daftar Koreksi'!$H$5:$H$92,"&lt;0")-SUMIFS('Daftar Koreksi'!$H$5:$H$92,'Daftar Koreksi'!$D$5:$D$92,'Eselon 1'!A70,'Daftar Koreksi'!$G$5:$G$92,"Persediaan",'Daftar Koreksi'!$H$5:$H$92,"&lt;0")</f>
        <v>0</v>
      </c>
      <c r="G73" s="17">
        <f>D73+E73-F73</f>
        <v>425901204</v>
      </c>
      <c r="H73" s="121" t="str">
        <f>IF(ISNA(VLOOKUP(A70,'Mutasi Neraca'!$A$3:$S$914,19,FALSE)),"-",VLOOKUP(A70,'Mutasi Neraca'!$A$3:$S$914,19,FALSE))</f>
        <v>-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0</v>
      </c>
      <c r="E74" s="25">
        <f>SUMIFS('Daftar Koreksi'!$H$5:$H$92,'Daftar Koreksi'!$D$5:$D$92,'Eselon 1'!A70,'Daftar Koreksi'!$G$5:$G$92,"Tanah",'Daftar Koreksi'!$H$5:$H$92,"&gt;0")</f>
        <v>0</v>
      </c>
      <c r="F74" s="25">
        <f>SUMIFS('Daftar Koreksi'!$H$5:$H$92,'Daftar Koreksi'!$D$5:$D$92,'Eselon 1'!A70,'Daftar Koreksi'!$G$5:$G$92,"Tanah",'Daftar Koreksi'!$H$5:$H$92,"&lt;0")-SUMIFS('Daftar Koreksi'!$H$5:$H$92,'Daftar Koreksi'!$D$5:$D$92,'Eselon 1'!A70,'Daftar Koreksi'!$G$5:$G$92,"Tanah",'Daftar Koreksi'!$H$5:$H$92,"&lt;0")-SUMIFS('Daftar Koreksi'!$H$5:$H$92,'Daftar Koreksi'!$D$5:$D$92,'Eselon 1'!A70,'Daftar Koreksi'!$G$5:$G$92,"Tanah",'Daftar Koreksi'!$H$5:$H$92,"&lt;0")</f>
        <v>0</v>
      </c>
      <c r="G74" s="17">
        <f t="shared" ref="G74:G90" si="3">D74+E74-F74</f>
        <v>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25119527124</v>
      </c>
      <c r="E75" s="25">
        <f>SUMIFS('Daftar Koreksi'!$H$5:$H$92,'Daftar Koreksi'!$D$5:$D$92,'Eselon 1'!A70,'Daftar Koreksi'!$G$5:$G$92,"Peralatan dan mesin",'Daftar Koreksi'!$H$5:$H$92,"&gt;0")</f>
        <v>0</v>
      </c>
      <c r="F75" s="25">
        <f>SUMIFS('Daftar Koreksi'!$H$5:$H$92,'Daftar Koreksi'!$D$5:$D$92,'Eselon 1'!A70,'Daftar Koreksi'!$G$5:$G$92,"Peralatan dan mesin",'Daftar Koreksi'!$H$5:$H$92,"&lt;0")-SUMIFS('Daftar Koreksi'!$H$5:$H$92,'Daftar Koreksi'!$D$5:$D$92,'Eselon 1'!A70,'Daftar Koreksi'!$G$5:$G$92,"Peralatan dan mesin",'Daftar Koreksi'!$H$5:$H$92,"&lt;0")-SUMIFS('Daftar Koreksi'!$H$5:$H$92,'Daftar Koreksi'!$D$5:$D$92,'Eselon 1'!A70,'Daftar Koreksi'!$G$5:$G$92,"Peralatan dan mesin",'Daftar Koreksi'!$H$5:$H$92,"&lt;0")</f>
        <v>0</v>
      </c>
      <c r="G75" s="17">
        <f t="shared" si="3"/>
        <v>25119527124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0</v>
      </c>
      <c r="E76" s="25">
        <f>SUMIFS('Daftar Koreksi'!$H$5:$H$92,'Daftar Koreksi'!$D$5:$D$92,'Eselon 1'!A70,'Daftar Koreksi'!$G$5:$G$92,"Gedung dan Bangunan",'Daftar Koreksi'!$H$5:$H$92,"&gt;0")</f>
        <v>0</v>
      </c>
      <c r="F76" s="25">
        <f>SUMIFS('Daftar Koreksi'!$H$5:$H$92,'Daftar Koreksi'!$D$5:$D$92,'Eselon 1'!A70,'Daftar Koreksi'!$G$5:$G$92,"Gedung dan Bangunan",'Daftar Koreksi'!$H$5:$H$92,"&lt;0")-SUMIFS('Daftar Koreksi'!$H$5:$H$92,'Daftar Koreksi'!$D$5:$D$92,'Eselon 1'!A70,'Daftar Koreksi'!$G$5:$G$92,"Gedung dan Bangunan",'Daftar Koreksi'!$H$5:$H$92,"&lt;0")-SUMIFS('Daftar Koreksi'!$H$5:$H$92,'Daftar Koreksi'!$D$5:$D$92,'Eselon 1'!A70,'Daftar Koreksi'!$G$5:$G$92,"Gedung dan Bangunan",'Daftar Koreksi'!$H$5:$H$92,"&lt;0")</f>
        <v>0</v>
      </c>
      <c r="G76" s="17">
        <f t="shared" si="3"/>
        <v>0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Koreksi'!$D$5:$D$92,'Eselon 1'!A70,'Daftar Koreksi'!$G$5:$G$92,"Jalan Irigasi Jaringan",'Daftar Koreksi'!$H$5:$H$92,"&gt;0")</f>
        <v>0</v>
      </c>
      <c r="F77" s="25">
        <f>SUMIFS('Daftar Koreksi'!$H$5:$H$92,'Daftar Koreksi'!$D$5:$D$92,'Eselon 1'!A70,'Daftar Koreksi'!$G$5:$G$92,"Jalan Irigasi Jaringan",'Daftar Koreksi'!$H$5:$H$92,"&lt;0")-SUMIFS('Daftar Koreksi'!$H$5:$H$92,'Daftar Koreksi'!$D$5:$D$92,'Eselon 1'!A70,'Daftar Koreksi'!$G$5:$G$92,"Jalan Irigasi Jaringan",'Daftar Koreksi'!$H$5:$H$92,"&lt;0")-SUMIFS('Daftar Koreksi'!$H$5:$H$92,'Daftar Koreksi'!$D$5:$D$92,'Eselon 1'!A70,'Daftar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480364250</v>
      </c>
      <c r="E78" s="25">
        <f>SUMIFS('Daftar Koreksi'!$H$5:$H$92,'Daftar Koreksi'!$D$5:$D$92,'Eselon 1'!A70,'Daftar Koreksi'!$G$5:$G$92,"Aset Tetap Lainnya",'Daftar Koreksi'!$H$5:$H$92,"&gt;0")</f>
        <v>0</v>
      </c>
      <c r="F78" s="25">
        <f>SUMIFS('Daftar Koreksi'!$H$5:$H$92,'Daftar Koreksi'!$D$5:$D$92,'Eselon 1'!A70,'Daftar Koreksi'!$G$5:$G$92,"Aset Tetap Lainnya",'Daftar Koreksi'!$H$5:$H$92,"&lt;0")-SUMIFS('Daftar Koreksi'!$H$5:$H$92,'Daftar Koreksi'!$D$5:$D$92,'Eselon 1'!A70,'Daftar Koreksi'!$G$5:$G$92,"Aset Tetap Lainnya",'Daftar Koreksi'!$H$5:$H$92,"&lt;0")-SUMIFS('Daftar Koreksi'!$H$5:$H$92,'Daftar Koreksi'!$D$5:$D$92,'Eselon 1'!A70,'Daftar Koreksi'!$G$5:$G$92,"Aset Tetap Lainnya",'Daftar Koreksi'!$H$5:$H$92,"&lt;0")</f>
        <v>0</v>
      </c>
      <c r="G78" s="17">
        <f t="shared" si="3"/>
        <v>480364250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Koreksi'!$D$5:$D$92,'Eselon 1'!A70,'Daftar Koreksi'!$G$5:$G$92,"Kontruksi Dalam Pengerjaan",'Daftar Koreksi'!$H$5:$H$92,"&gt;0")</f>
        <v>0</v>
      </c>
      <c r="F79" s="25">
        <f>SUMIFS('Daftar Koreksi'!$H$5:$H$92,'Daftar Koreksi'!$D$5:$D$92,'Eselon 1'!A70,'Daftar Koreksi'!$G$5:$G$92,"Kontruksi Dalam Pengerjaan",'Daftar Koreksi'!$H$5:$H$92,"&lt;0")-SUMIFS('Daftar Koreksi'!$H$5:$H$92,'Daftar Koreksi'!$D$5:$D$92,'Eselon 1'!A70,'Daftar Koreksi'!$G$5:$G$92,"Kontruksi Dalam Pengerjaan",'Daftar Koreksi'!$H$5:$H$92,"&lt;0")-SUMIFS('Daftar Koreksi'!$H$5:$H$92,'Daftar Koreksi'!$D$5:$D$92,'Eselon 1'!A70,'Daftar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976591725</v>
      </c>
      <c r="E80" s="25">
        <f>SUMIFS('Daftar Koreksi'!$H$5:$H$92,'Daftar Koreksi'!$D$5:$D$92,'Eselon 1'!A70,'Daftar Koreksi'!$G$5:$G$92,"Aset Tak Berwujud",'Daftar Koreksi'!$H$5:$H$92,"&gt;0")</f>
        <v>0</v>
      </c>
      <c r="F80" s="25">
        <f>SUMIFS('Daftar Koreksi'!$H$5:$H$92,'Daftar Koreksi'!$D$5:$D$92,'Eselon 1'!A70,'Daftar Koreksi'!$G$5:$G$92,"Aset Tak Berwujud",'Daftar Koreksi'!$H$5:$H$92,"&lt;0")-SUMIFS('Daftar Koreksi'!$H$5:$H$92,'Daftar Koreksi'!$D$5:$D$92,'Eselon 1'!A70,'Daftar Koreksi'!$G$5:$G$92,"Aset Tak Berwujud",'Daftar Koreksi'!$H$5:$H$92,"&lt;0")-SUMIFS('Daftar Koreksi'!$H$5:$H$92,'Daftar Koreksi'!$D$5:$D$92,'Eselon 1'!A70,'Daftar Koreksi'!$G$5:$G$92,"Aset Tak Berwujud",'Daftar Koreksi'!$H$5:$H$92,"&lt;0")</f>
        <v>0</v>
      </c>
      <c r="G80" s="17">
        <f t="shared" si="3"/>
        <v>976591725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116460000</v>
      </c>
      <c r="E81" s="25">
        <f>SUMIFS('Daftar Koreksi'!$H$5:$H$92,'Daftar Koreksi'!$D$5:$D$92,'Eselon 1'!A70,'Daftar Koreksi'!$G$5:$G$92,"Aset Henti Guna",'Daftar Koreksi'!$H$5:$H$92,"&gt;0")</f>
        <v>0</v>
      </c>
      <c r="F81" s="25">
        <f>SUMIFS('Daftar Koreksi'!$H$5:$H$92,'Daftar Koreksi'!$D$5:$D$92,'Eselon 1'!A70,'Daftar Koreksi'!$G$5:$G$92,"Aset Henti Guna",'Daftar Koreksi'!$H$5:$H$92,"&lt;0")-SUMIFS('Daftar Koreksi'!$H$5:$H$92,'Daftar Koreksi'!$D$5:$D$92,'Eselon 1'!A70,'Daftar Koreksi'!$G$5:$G$92,"Aset Henti Guna",'Daftar Koreksi'!$H$5:$H$92,"&lt;0")-SUMIFS('Daftar Koreksi'!$H$5:$H$92,'Daftar Koreksi'!$D$5:$D$92,'Eselon 1'!A70,'Daftar Koreksi'!$G$5:$G$92,"Aset Henti Guna",'Daftar Koreksi'!$H$5:$H$92,"&lt;0")</f>
        <v>0</v>
      </c>
      <c r="G81" s="17">
        <f t="shared" si="3"/>
        <v>116460000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27118844303</v>
      </c>
      <c r="E82" s="19">
        <f>SUM(E73:E81)</f>
        <v>0</v>
      </c>
      <c r="F82" s="19">
        <f>SUM(F73:F81)</f>
        <v>0</v>
      </c>
      <c r="G82" s="19">
        <f t="shared" si="3"/>
        <v>27118844303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-17008554091</v>
      </c>
      <c r="E83" s="25">
        <f>SUMIFS('Daftar Koreksi'!$I$5:$I$92,'Daftar Koreksi'!$D$5:$D$92,'Eselon 1'!A70,'Daftar Koreksi'!$G$5:$G$92,"Peralatan dan mesin",'Daftar Koreksi'!$I$5:$I$92,"&gt;0")</f>
        <v>0</v>
      </c>
      <c r="F83" s="25">
        <f>SUMIFS('Daftar Koreksi'!$I$5:$I$92,'Daftar Koreksi'!$D$5:$D$92,'Eselon 1'!A70,'Daftar Koreksi'!$G$5:$G$92,"Peralatan dan mesin",'Daftar Koreksi'!$I$5:$I$92,"&lt;0")-SUMIFS('Daftar Koreksi'!$I$5:$I$92,'Daftar Koreksi'!$D$5:$D$92,'Eselon 1'!A70,'Daftar Koreksi'!$G$5:$G$92,"Peralatan dan mesin",'Daftar Koreksi'!$I$5:$I$92,"&lt;0")-SUMIFS('Daftar Koreksi'!$I$5:$I$92,'Daftar Koreksi'!$D$5:$D$92,'Eselon 1'!A70,'Daftar Koreksi'!$G$5:$G$92,"Peralatan dan mesin",'Daftar Koreksi'!$I$5:$I$92,"&lt;0")</f>
        <v>0</v>
      </c>
      <c r="G83" s="17">
        <f t="shared" si="3"/>
        <v>-17008554091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0</v>
      </c>
      <c r="E84" s="25">
        <f>SUMIFS('Daftar Koreksi'!$I$5:$I$92,'Daftar Koreksi'!$D$5:$D$92,'Eselon 1'!A70,'Daftar Koreksi'!$G$5:$G$92,"Gedung dan Bangunan",'Daftar Koreksi'!$I$5:$I$92,"&gt;0")</f>
        <v>0</v>
      </c>
      <c r="F84" s="25">
        <f>SUMIFS('Daftar Koreksi'!$I$5:$I$92,'Daftar Koreksi'!$D$5:$D$92,'Eselon 1'!A70,'Daftar Koreksi'!$G$5:$G$92,"Gedung dan Bangunan",'Daftar Koreksi'!$I$5:$I$92,"&lt;0")-SUMIFS('Daftar Koreksi'!$I$5:$I$92,'Daftar Koreksi'!$D$5:$D$92,'Eselon 1'!A70,'Daftar Koreksi'!$G$5:$G$92,"Gedung dan Bangunan",'Daftar Koreksi'!$I$5:$I$92,"&lt;0")-SUMIFS('Daftar Koreksi'!$I$5:$I$92,'Daftar Koreksi'!$D$5:$D$92,'Eselon 1'!A70,'Daftar Koreksi'!$G$5:$G$92,"Gedung dan Bangunan",'Daftar Koreksi'!$I$5:$I$92,"&lt;0")</f>
        <v>0</v>
      </c>
      <c r="G84" s="17">
        <f t="shared" si="3"/>
        <v>0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Koreksi'!$D$5:$D$92,'Eselon 1'!A70,'Daftar Koreksi'!$G$5:$G$92,"Jalan Irigasi Jaringan",'Daftar Koreksi'!$I$5:$I$92,"&gt;0")</f>
        <v>0</v>
      </c>
      <c r="F85" s="25">
        <f>SUMIFS('Daftar Koreksi'!$I$5:$I$92,'Daftar Koreksi'!$D$5:$D$92,'Eselon 1'!A70,'Daftar Koreksi'!$G$5:$G$92,"Jalan Irigasi Jaringan",'Daftar Koreksi'!$I$5:$I$92,"&lt;0")-SUMIFS('Daftar Koreksi'!$I$5:$I$92,'Daftar Koreksi'!$D$5:$D$92,'Eselon 1'!A70,'Daftar Koreksi'!$G$5:$G$92,"Jalan Irigasi Jaringan",'Daftar Koreksi'!$I$5:$I$92,"&lt;0")-SUMIFS('Daftar Koreksi'!$I$5:$I$92,'Daftar Koreksi'!$D$5:$D$92,'Eselon 1'!A70,'Daftar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Koreksi'!$D$5:$D$92,'Eselon 1'!A70,'Daftar Koreksi'!$G$5:$G$92,"Aset Tetap Lainnya",'Daftar Koreksi'!$I$5:$I$92,"&gt;0")</f>
        <v>0</v>
      </c>
      <c r="F86" s="25">
        <f>SUMIFS('Daftar Koreksi'!$I$5:$I$92,'Daftar Koreksi'!$D$5:$D$92,'Eselon 1'!A70,'Daftar Koreksi'!$G$5:$G$92,"Aset Tetap Lainnya",'Daftar Koreksi'!$I$5:$I$92,"&lt;0")-SUMIFS('Daftar Koreksi'!$I$5:$I$92,'Daftar Koreksi'!$D$5:$D$92,'Eselon 1'!A70,'Daftar Koreksi'!$G$5:$G$92,"Aset Tetap Lainnya",'Daftar Koreksi'!$I$5:$I$92,"&lt;0")-SUMIFS('Daftar Koreksi'!$I$5:$I$92,'Daftar Koreksi'!$D$5:$D$92,'Eselon 1'!A70,'Daftar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-116460000</v>
      </c>
      <c r="E87" s="25">
        <f>SUMIFS('Daftar Koreksi'!$I$5:$I$92,'Daftar Koreksi'!$D$5:$D$92,'Eselon 1'!A70,'Daftar Koreksi'!$G$5:$G$92,"Aset Henti Guna",'Daftar Koreksi'!$I$5:$I$92,"&gt;0")</f>
        <v>0</v>
      </c>
      <c r="F87" s="25">
        <f>SUMIFS('Daftar Koreksi'!$I$5:$I$92,'Daftar Koreksi'!$D$5:$D$92,'Eselon 1'!A70,'Daftar Koreksi'!$G$5:$G$92,"Aset Henti Guna",'Daftar Koreksi'!$I$5:$I$92,"&lt;0")-SUMIFS('Daftar Koreksi'!$I$5:$I$92,'Daftar Koreksi'!$D$5:$D$92,'Eselon 1'!A70,'Daftar Koreksi'!$G$5:$G$92,"Aset Henti Guna",'Daftar Koreksi'!$I$5:$I$92,"&lt;0")-SUMIFS('Daftar Koreksi'!$I$5:$I$92,'Daftar Koreksi'!$D$5:$D$92,'Eselon 1'!A70,'Daftar Koreksi'!$G$5:$G$92,"Aset Henti Guna",'Daftar Koreksi'!$I$5:$I$92,"&lt;0")</f>
        <v>0</v>
      </c>
      <c r="G87" s="17">
        <f t="shared" si="3"/>
        <v>-116460000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-17125014091</v>
      </c>
      <c r="E88" s="19">
        <f>SUM(E83:E87)</f>
        <v>0</v>
      </c>
      <c r="F88" s="19">
        <f>SUM(F83:F87)</f>
        <v>0</v>
      </c>
      <c r="G88" s="19">
        <f t="shared" si="3"/>
        <v>-17125014091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9993830212</v>
      </c>
      <c r="E89" s="19">
        <f>E88+E82</f>
        <v>0</v>
      </c>
      <c r="F89" s="19">
        <f>F88+F82</f>
        <v>0</v>
      </c>
      <c r="G89" s="19">
        <f t="shared" si="3"/>
        <v>9993830212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005050199663122000KP</v>
      </c>
      <c r="B92" s="11" t="str">
        <f>P5</f>
        <v>Badan Peradilan Militer dan TUN</v>
      </c>
      <c r="C92" s="12" t="str">
        <f>A92&amp;" "&amp;B92</f>
        <v>005050199663122000KP Badan Peradilan Militer dan TUN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40" t="s">
        <v>1985</v>
      </c>
      <c r="F94" s="40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14892848</v>
      </c>
      <c r="E95" s="25">
        <f>SUMIFS('Daftar Koreksi'!$H$5:$H$92,'Daftar Koreksi'!$D$5:$D$92,'Eselon 1'!A92,'Daftar Koreksi'!$G$5:$G$92,"Persediaan",'Daftar Koreksi'!$H$5:$H$92,"&gt;0")</f>
        <v>0</v>
      </c>
      <c r="F95" s="25">
        <f>SUMIFS('Daftar Koreksi'!$H$5:$H$92,'Daftar Koreksi'!$D$5:$D$92,'Eselon 1'!A92,'Daftar Koreksi'!$G$5:$G$92,"Persediaan",'Daftar Koreksi'!$H$5:$H$92,"&lt;0")-SUMIFS('Daftar Koreksi'!$H$5:$H$92,'Daftar Koreksi'!$D$5:$D$92,'Eselon 1'!A92,'Daftar Koreksi'!$G$5:$G$92,"Persediaan",'Daftar Koreksi'!$H$5:$H$92,"&lt;0")-SUMIFS('Daftar Koreksi'!$H$5:$H$92,'Daftar Koreksi'!$D$5:$D$92,'Eselon 1'!A92,'Daftar Koreksi'!$G$5:$G$92,"Persediaan",'Daftar Koreksi'!$H$5:$H$92,"&lt;0")</f>
        <v>0</v>
      </c>
      <c r="G95" s="17">
        <f>D95+E95-F95</f>
        <v>14892848</v>
      </c>
      <c r="H95" s="121" t="str">
        <f>IF(ISNA(VLOOKUP(A92,'Mutasi Neraca'!$A$3:$S$914,19,FALSE)),"-",VLOOKUP(A92,'Mutasi Neraca'!$A$3:$S$914,19,FALSE))</f>
        <v>TP. No 7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24381940000</v>
      </c>
      <c r="E96" s="25">
        <f>SUMIFS('Daftar Koreksi'!$H$5:$H$92,'Daftar Koreksi'!$D$5:$D$92,'Eselon 1'!A92,'Daftar Koreksi'!$G$5:$G$92,"Tanah",'Daftar Koreksi'!$H$5:$H$92,"&gt;0")</f>
        <v>0</v>
      </c>
      <c r="F96" s="25">
        <f>SUMIFS('Daftar Koreksi'!$H$5:$H$92,'Daftar Koreksi'!$D$5:$D$92,'Eselon 1'!A92,'Daftar Koreksi'!$G$5:$G$92,"Tanah",'Daftar Koreksi'!$H$5:$H$92,"&lt;0")-SUMIFS('Daftar Koreksi'!$H$5:$H$92,'Daftar Koreksi'!$D$5:$D$92,'Eselon 1'!A92,'Daftar Koreksi'!$G$5:$G$92,"Tanah",'Daftar Koreksi'!$H$5:$H$92,"&lt;0")-SUMIFS('Daftar Koreksi'!$H$5:$H$92,'Daftar Koreksi'!$D$5:$D$92,'Eselon 1'!A92,'Daftar Koreksi'!$G$5:$G$92,"Tanah",'Daftar Koreksi'!$H$5:$H$92,"&lt;0")</f>
        <v>0</v>
      </c>
      <c r="G96" s="17">
        <f t="shared" ref="G96:G112" si="4">D96+E96-F96</f>
        <v>24381940000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12001840776</v>
      </c>
      <c r="E97" s="25">
        <f>SUMIFS('Daftar Koreksi'!$H$5:$H$92,'Daftar Koreksi'!$D$5:$D$92,'Eselon 1'!A92,'Daftar Koreksi'!$G$5:$G$92,"Peralatan dan mesin",'Daftar Koreksi'!$H$5:$H$92,"&gt;0")</f>
        <v>0</v>
      </c>
      <c r="F97" s="25">
        <f>SUMIFS('Daftar Koreksi'!$H$5:$H$92,'Daftar Koreksi'!$D$5:$D$92,'Eselon 1'!A92,'Daftar Koreksi'!$G$5:$G$92,"Peralatan dan mesin",'Daftar Koreksi'!$H$5:$H$92,"&lt;0")-SUMIFS('Daftar Koreksi'!$H$5:$H$92,'Daftar Koreksi'!$D$5:$D$92,'Eselon 1'!A92,'Daftar Koreksi'!$G$5:$G$92,"Peralatan dan mesin",'Daftar Koreksi'!$H$5:$H$92,"&lt;0")-SUMIFS('Daftar Koreksi'!$H$5:$H$92,'Daftar Koreksi'!$D$5:$D$92,'Eselon 1'!A92,'Daftar Koreksi'!$G$5:$G$92,"Peralatan dan mesin",'Daftar Koreksi'!$H$5:$H$92,"&lt;0")</f>
        <v>0</v>
      </c>
      <c r="G97" s="17">
        <f t="shared" si="4"/>
        <v>12001840776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0</v>
      </c>
      <c r="E98" s="25">
        <f>SUMIFS('Daftar Koreksi'!$H$5:$H$92,'Daftar Koreksi'!$D$5:$D$92,'Eselon 1'!A92,'Daftar Koreksi'!$G$5:$G$92,"Gedung dan Bangunan",'Daftar Koreksi'!$H$5:$H$92,"&gt;0")</f>
        <v>0</v>
      </c>
      <c r="F98" s="25">
        <f>SUMIFS('Daftar Koreksi'!$H$5:$H$92,'Daftar Koreksi'!$D$5:$D$92,'Eselon 1'!A92,'Daftar Koreksi'!$G$5:$G$92,"Gedung dan Bangunan",'Daftar Koreksi'!$H$5:$H$92,"&lt;0")-SUMIFS('Daftar Koreksi'!$H$5:$H$92,'Daftar Koreksi'!$D$5:$D$92,'Eselon 1'!A92,'Daftar Koreksi'!$G$5:$G$92,"Gedung dan Bangunan",'Daftar Koreksi'!$H$5:$H$92,"&lt;0")-SUMIFS('Daftar Koreksi'!$H$5:$H$92,'Daftar Koreksi'!$D$5:$D$92,'Eselon 1'!A92,'Daftar Koreksi'!$G$5:$G$92,"Gedung dan Bangunan",'Daftar Koreksi'!$H$5:$H$92,"&lt;0")</f>
        <v>0</v>
      </c>
      <c r="G98" s="17">
        <f t="shared" si="4"/>
        <v>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Koreksi'!$D$5:$D$92,'Eselon 1'!A92,'Daftar Koreksi'!$G$5:$G$92,"Jalan Irigasi Jaringan",'Daftar Koreksi'!$H$5:$H$92,"&gt;0")</f>
        <v>0</v>
      </c>
      <c r="F99" s="25">
        <f>SUMIFS('Daftar Koreksi'!$H$5:$H$92,'Daftar Koreksi'!$D$5:$D$92,'Eselon 1'!A92,'Daftar Koreksi'!$G$5:$G$92,"Jalan Irigasi Jaringan",'Daftar Koreksi'!$H$5:$H$92,"&lt;0")-SUMIFS('Daftar Koreksi'!$H$5:$H$92,'Daftar Koreksi'!$D$5:$D$92,'Eselon 1'!A92,'Daftar Koreksi'!$G$5:$G$92,"Jalan Irigasi Jaringan",'Daftar Koreksi'!$H$5:$H$92,"&lt;0")-SUMIFS('Daftar Koreksi'!$H$5:$H$92,'Daftar Koreksi'!$D$5:$D$92,'Eselon 1'!A92,'Daftar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0</v>
      </c>
      <c r="E100" s="25">
        <f>SUMIFS('Daftar Koreksi'!$H$5:$H$92,'Daftar Koreksi'!$D$5:$D$92,'Eselon 1'!A92,'Daftar Koreksi'!$G$5:$G$92,"Aset Tetap Lainnya",'Daftar Koreksi'!$H$5:$H$92,"&gt;0")</f>
        <v>0</v>
      </c>
      <c r="F100" s="25">
        <f>SUMIFS('Daftar Koreksi'!$H$5:$H$92,'Daftar Koreksi'!$D$5:$D$92,'Eselon 1'!A92,'Daftar Koreksi'!$G$5:$G$92,"Aset Tetap Lainnya",'Daftar Koreksi'!$H$5:$H$92,"&lt;0")-SUMIFS('Daftar Koreksi'!$H$5:$H$92,'Daftar Koreksi'!$D$5:$D$92,'Eselon 1'!A92,'Daftar Koreksi'!$G$5:$G$92,"Aset Tetap Lainnya",'Daftar Koreksi'!$H$5:$H$92,"&lt;0")-SUMIFS('Daftar Koreksi'!$H$5:$H$92,'Daftar Koreksi'!$D$5:$D$92,'Eselon 1'!A92,'Daftar Koreksi'!$G$5:$G$92,"Aset Tetap Lainnya",'Daftar Koreksi'!$H$5:$H$92,"&lt;0")</f>
        <v>0</v>
      </c>
      <c r="G100" s="17">
        <f t="shared" si="4"/>
        <v>0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Koreksi'!$D$5:$D$92,'Eselon 1'!A92,'Daftar Koreksi'!$G$5:$G$92,"Kontruksi Dalam Pengerjaan",'Daftar Koreksi'!$H$5:$H$92,"&gt;0")</f>
        <v>0</v>
      </c>
      <c r="F101" s="25">
        <f>SUMIFS('Daftar Koreksi'!$H$5:$H$92,'Daftar Koreksi'!$D$5:$D$92,'Eselon 1'!A92,'Daftar Koreksi'!$G$5:$G$92,"Kontruksi Dalam Pengerjaan",'Daftar Koreksi'!$H$5:$H$92,"&lt;0")-SUMIFS('Daftar Koreksi'!$H$5:$H$92,'Daftar Koreksi'!$D$5:$D$92,'Eselon 1'!A92,'Daftar Koreksi'!$G$5:$G$92,"Kontruksi Dalam Pengerjaan",'Daftar Koreksi'!$H$5:$H$92,"&lt;0")-SUMIFS('Daftar Koreksi'!$H$5:$H$92,'Daftar Koreksi'!$D$5:$D$92,'Eselon 1'!A92,'Daftar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1466990130</v>
      </c>
      <c r="E102" s="25">
        <f>SUMIFS('Daftar Koreksi'!$H$5:$H$92,'Daftar Koreksi'!$D$5:$D$92,'Eselon 1'!A92,'Daftar Koreksi'!$G$5:$G$92,"Aset Tak Berwujud",'Daftar Koreksi'!$H$5:$H$92,"&gt;0")</f>
        <v>0</v>
      </c>
      <c r="F102" s="25">
        <f>SUMIFS('Daftar Koreksi'!$H$5:$H$92,'Daftar Koreksi'!$D$5:$D$92,'Eselon 1'!A92,'Daftar Koreksi'!$G$5:$G$92,"Aset Tak Berwujud",'Daftar Koreksi'!$H$5:$H$92,"&lt;0")-SUMIFS('Daftar Koreksi'!$H$5:$H$92,'Daftar Koreksi'!$D$5:$D$92,'Eselon 1'!A92,'Daftar Koreksi'!$G$5:$G$92,"Aset Tak Berwujud",'Daftar Koreksi'!$H$5:$H$92,"&lt;0")-SUMIFS('Daftar Koreksi'!$H$5:$H$92,'Daftar Koreksi'!$D$5:$D$92,'Eselon 1'!A92,'Daftar Koreksi'!$G$5:$G$92,"Aset Tak Berwujud",'Daftar Koreksi'!$H$5:$H$92,"&lt;0")</f>
        <v>83710000</v>
      </c>
      <c r="G102" s="17">
        <f t="shared" si="4"/>
        <v>1383280130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Koreksi'!$D$5:$D$92,'Eselon 1'!A92,'Daftar Koreksi'!$G$5:$G$92,"Aset Henti Guna",'Daftar Koreksi'!$H$5:$H$92,"&gt;0")</f>
        <v>0</v>
      </c>
      <c r="F103" s="25">
        <f>SUMIFS('Daftar Koreksi'!$H$5:$H$92,'Daftar Koreksi'!$D$5:$D$92,'Eselon 1'!A92,'Daftar Koreksi'!$G$5:$G$92,"Aset Henti Guna",'Daftar Koreksi'!$H$5:$H$92,"&lt;0")-SUMIFS('Daftar Koreksi'!$H$5:$H$92,'Daftar Koreksi'!$D$5:$D$92,'Eselon 1'!A92,'Daftar Koreksi'!$G$5:$G$92,"Aset Henti Guna",'Daftar Koreksi'!$H$5:$H$92,"&lt;0")-SUMIFS('Daftar Koreksi'!$H$5:$H$92,'Daftar Koreksi'!$D$5:$D$92,'Eselon 1'!A92,'Daftar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37865663754</v>
      </c>
      <c r="E104" s="19">
        <f>SUM(E95:E103)</f>
        <v>0</v>
      </c>
      <c r="F104" s="19">
        <f>SUM(F95:F103)</f>
        <v>83710000</v>
      </c>
      <c r="G104" s="19">
        <f t="shared" si="4"/>
        <v>37781953754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-8600879582</v>
      </c>
      <c r="E105" s="25">
        <f>SUMIFS('Daftar Koreksi'!$I$5:$I$92,'Daftar Koreksi'!$D$5:$D$92,'Eselon 1'!A92,'Daftar Koreksi'!$G$5:$G$92,"Peralatan dan mesin",'Daftar Koreksi'!$I$5:$I$92,"&gt;0")</f>
        <v>0</v>
      </c>
      <c r="F105" s="25">
        <f>SUMIFS('Daftar Koreksi'!$I$5:$I$92,'Daftar Koreksi'!$D$5:$D$92,'Eselon 1'!A92,'Daftar Koreksi'!$G$5:$G$92,"Peralatan dan mesin",'Daftar Koreksi'!$I$5:$I$92,"&lt;0")-SUMIFS('Daftar Koreksi'!$I$5:$I$92,'Daftar Koreksi'!$D$5:$D$92,'Eselon 1'!A92,'Daftar Koreksi'!$G$5:$G$92,"Peralatan dan mesin",'Daftar Koreksi'!$I$5:$I$92,"&lt;0")-SUMIFS('Daftar Koreksi'!$I$5:$I$92,'Daftar Koreksi'!$D$5:$D$92,'Eselon 1'!A92,'Daftar Koreksi'!$G$5:$G$92,"Peralatan dan mesin",'Daftar Koreksi'!$I$5:$I$92,"&lt;0")</f>
        <v>0</v>
      </c>
      <c r="G105" s="17">
        <f t="shared" si="4"/>
        <v>-8600879582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0</v>
      </c>
      <c r="E106" s="25">
        <f>SUMIFS('Daftar Koreksi'!$I$5:$I$92,'Daftar Koreksi'!$D$5:$D$92,'Eselon 1'!A92,'Daftar Koreksi'!$G$5:$G$92,"Gedung dan Bangunan",'Daftar Koreksi'!$I$5:$I$92,"&gt;0")</f>
        <v>0</v>
      </c>
      <c r="F106" s="25">
        <f>SUMIFS('Daftar Koreksi'!$I$5:$I$92,'Daftar Koreksi'!$D$5:$D$92,'Eselon 1'!A92,'Daftar Koreksi'!$G$5:$G$92,"Gedung dan Bangunan",'Daftar Koreksi'!$I$5:$I$92,"&lt;0")-SUMIFS('Daftar Koreksi'!$I$5:$I$92,'Daftar Koreksi'!$D$5:$D$92,'Eselon 1'!A92,'Daftar Koreksi'!$G$5:$G$92,"Gedung dan Bangunan",'Daftar Koreksi'!$I$5:$I$92,"&lt;0")-SUMIFS('Daftar Koreksi'!$I$5:$I$92,'Daftar Koreksi'!$D$5:$D$92,'Eselon 1'!A92,'Daftar Koreksi'!$G$5:$G$92,"Gedung dan Bangunan",'Daftar Koreksi'!$I$5:$I$92,"&lt;0")</f>
        <v>0</v>
      </c>
      <c r="G106" s="17">
        <f t="shared" si="4"/>
        <v>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Koreksi'!$D$5:$D$92,'Eselon 1'!A92,'Daftar Koreksi'!$G$5:$G$92,"Jalan Irigasi Jaringan",'Daftar Koreksi'!$I$5:$I$92,"&gt;0")</f>
        <v>0</v>
      </c>
      <c r="F107" s="25">
        <f>SUMIFS('Daftar Koreksi'!$I$5:$I$92,'Daftar Koreksi'!$D$5:$D$92,'Eselon 1'!A92,'Daftar Koreksi'!$G$5:$G$92,"Jalan Irigasi Jaringan",'Daftar Koreksi'!$I$5:$I$92,"&lt;0")-SUMIFS('Daftar Koreksi'!$I$5:$I$92,'Daftar Koreksi'!$D$5:$D$92,'Eselon 1'!A92,'Daftar Koreksi'!$G$5:$G$92,"Jalan Irigasi Jaringan",'Daftar Koreksi'!$I$5:$I$92,"&lt;0")-SUMIFS('Daftar Koreksi'!$I$5:$I$92,'Daftar Koreksi'!$D$5:$D$92,'Eselon 1'!A92,'Daftar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Koreksi'!$D$5:$D$92,'Eselon 1'!A92,'Daftar Koreksi'!$G$5:$G$92,"Aset Tetap Lainnya",'Daftar Koreksi'!$I$5:$I$92,"&gt;0")</f>
        <v>0</v>
      </c>
      <c r="F108" s="25">
        <f>SUMIFS('Daftar Koreksi'!$I$5:$I$92,'Daftar Koreksi'!$D$5:$D$92,'Eselon 1'!A92,'Daftar Koreksi'!$G$5:$G$92,"Aset Tetap Lainnya",'Daftar Koreksi'!$I$5:$I$92,"&lt;0")-SUMIFS('Daftar Koreksi'!$I$5:$I$92,'Daftar Koreksi'!$D$5:$D$92,'Eselon 1'!A92,'Daftar Koreksi'!$G$5:$G$92,"Aset Tetap Lainnya",'Daftar Koreksi'!$I$5:$I$92,"&lt;0")-SUMIFS('Daftar Koreksi'!$I$5:$I$92,'Daftar Koreksi'!$D$5:$D$92,'Eselon 1'!A92,'Daftar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Koreksi'!$D$5:$D$92,'Eselon 1'!A92,'Daftar Koreksi'!$G$5:$G$92,"Aset Henti Guna",'Daftar Koreksi'!$I$5:$I$92,"&gt;0")</f>
        <v>0</v>
      </c>
      <c r="F109" s="25">
        <f>SUMIFS('Daftar Koreksi'!$I$5:$I$92,'Daftar Koreksi'!$D$5:$D$92,'Eselon 1'!A92,'Daftar Koreksi'!$G$5:$G$92,"Aset Henti Guna",'Daftar Koreksi'!$I$5:$I$92,"&lt;0")-SUMIFS('Daftar Koreksi'!$I$5:$I$92,'Daftar Koreksi'!$D$5:$D$92,'Eselon 1'!A92,'Daftar Koreksi'!$G$5:$G$92,"Aset Henti Guna",'Daftar Koreksi'!$I$5:$I$92,"&lt;0")-SUMIFS('Daftar Koreksi'!$I$5:$I$92,'Daftar Koreksi'!$D$5:$D$92,'Eselon 1'!A92,'Daftar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-8600879582</v>
      </c>
      <c r="E110" s="19">
        <f>SUM(E105:E109)</f>
        <v>0</v>
      </c>
      <c r="F110" s="19">
        <f>SUM(F105:F109)</f>
        <v>0</v>
      </c>
      <c r="G110" s="19">
        <f t="shared" si="4"/>
        <v>-8600879582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29264784172</v>
      </c>
      <c r="E111" s="19">
        <f>E110+E104</f>
        <v>0</v>
      </c>
      <c r="F111" s="19">
        <f>F110+F104</f>
        <v>83710000</v>
      </c>
      <c r="G111" s="19">
        <f t="shared" si="4"/>
        <v>29181074172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005060199610378000KP</v>
      </c>
      <c r="B114" s="11" t="str">
        <f>P6</f>
        <v>Badan Diklat Litbang Kumdil</v>
      </c>
      <c r="C114" s="12" t="str">
        <f>A114&amp;" "&amp;B114</f>
        <v>005060199610378000KP Badan Diklat Litbang Kumdil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28" t="s">
        <v>1984</v>
      </c>
      <c r="F115" s="129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95" t="s">
        <v>1985</v>
      </c>
      <c r="F116" s="95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70859014</v>
      </c>
      <c r="E117" s="25">
        <f>SUMIFS('Daftar Koreksi'!$H$5:$H$92,'Daftar Koreksi'!$D$5:$D$92,'Eselon 1'!A114,'Daftar Koreksi'!$G$5:$G$92,"Persediaan",'Daftar Koreksi'!$H$5:$H$92,"&gt;0")</f>
        <v>0</v>
      </c>
      <c r="F117" s="25">
        <f>SUMIFS('Daftar Koreksi'!$H$5:$H$92,'Daftar Koreksi'!$D$5:$D$92,'Eselon 1'!A114,'Daftar Koreksi'!$G$5:$G$92,"Persediaan",'Daftar Koreksi'!$H$5:$H$92,"&lt;0")-SUMIFS('Daftar Koreksi'!$H$5:$H$92,'Daftar Koreksi'!$D$5:$D$92,'Eselon 1'!A114,'Daftar Koreksi'!$G$5:$G$92,"Persediaan",'Daftar Koreksi'!$H$5:$H$92,"&lt;0")-SUMIFS('Daftar Koreksi'!$H$5:$H$92,'Daftar Koreksi'!$D$5:$D$92,'Eselon 1'!A114,'Daftar Koreksi'!$G$5:$G$92,"Persediaan",'Daftar Koreksi'!$H$5:$H$92,"&lt;0")</f>
        <v>0</v>
      </c>
      <c r="G117" s="17">
        <f>D117+E117-F117</f>
        <v>70859014</v>
      </c>
      <c r="H117" s="121" t="str">
        <f>IF(ISNA(VLOOKUP(A114,'Mutasi Neraca'!$A$3:$S$914,19,FALSE)),"-",VLOOKUP(A114,'Mutasi Neraca'!$A$3:$S$914,19,FALSE))</f>
        <v>Tp. No 6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15198558000</v>
      </c>
      <c r="E118" s="25">
        <f>SUMIFS('Daftar Koreksi'!$H$5:$H$92,'Daftar Koreksi'!$D$5:$D$92,'Eselon 1'!A114,'Daftar Koreksi'!$G$5:$G$92,"Tanah",'Daftar Koreksi'!$H$5:$H$92,"&gt;0")</f>
        <v>0</v>
      </c>
      <c r="F118" s="25">
        <f>SUMIFS('Daftar Koreksi'!$H$5:$H$92,'Daftar Koreksi'!$D$5:$D$92,'Eselon 1'!A114,'Daftar Koreksi'!$G$5:$G$92,"Tanah",'Daftar Koreksi'!$H$5:$H$92,"&lt;0")-SUMIFS('Daftar Koreksi'!$H$5:$H$92,'Daftar Koreksi'!$D$5:$D$92,'Eselon 1'!A114,'Daftar Koreksi'!$G$5:$G$92,"Tanah",'Daftar Koreksi'!$H$5:$H$92,"&lt;0")-SUMIFS('Daftar Koreksi'!$H$5:$H$92,'Daftar Koreksi'!$D$5:$D$92,'Eselon 1'!A114,'Daftar Koreksi'!$G$5:$G$92,"Tanah",'Daftar Koreksi'!$H$5:$H$92,"&lt;0")</f>
        <v>0</v>
      </c>
      <c r="G118" s="17">
        <f t="shared" ref="G118:G134" si="5">D118+E118-F118</f>
        <v>15198558000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80550554704</v>
      </c>
      <c r="E119" s="25">
        <f>SUMIFS('Daftar Koreksi'!$H$5:$H$92,'Daftar Koreksi'!$D$5:$D$92,'Eselon 1'!A114,'Daftar Koreksi'!$G$5:$G$92,"Peralatan dan mesin",'Daftar Koreksi'!$H$5:$H$92,"&gt;0")</f>
        <v>1650000</v>
      </c>
      <c r="F119" s="25">
        <f>SUMIFS('Daftar Koreksi'!$H$5:$H$92,'Daftar Koreksi'!$D$5:$D$92,'Eselon 1'!A114,'Daftar Koreksi'!$G$5:$G$92,"Peralatan dan mesin",'Daftar Koreksi'!$H$5:$H$92,"&lt;0")-SUMIFS('Daftar Koreksi'!$H$5:$H$92,'Daftar Koreksi'!$D$5:$D$92,'Eselon 1'!A114,'Daftar Koreksi'!$G$5:$G$92,"Peralatan dan mesin",'Daftar Koreksi'!$H$5:$H$92,"&lt;0")-SUMIFS('Daftar Koreksi'!$H$5:$H$92,'Daftar Koreksi'!$D$5:$D$92,'Eselon 1'!A114,'Daftar Koreksi'!$G$5:$G$92,"Peralatan dan mesin",'Daftar Koreksi'!$H$5:$H$92,"&lt;0")</f>
        <v>0</v>
      </c>
      <c r="G119" s="17">
        <f t="shared" si="5"/>
        <v>80552204704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118367878880</v>
      </c>
      <c r="E120" s="25">
        <f>SUMIFS('Daftar Koreksi'!$H$5:$H$92,'Daftar Koreksi'!$D$5:$D$92,'Eselon 1'!A114,'Daftar Koreksi'!$G$5:$G$92,"Gedung dan Bangunan",'Daftar Koreksi'!$H$5:$H$92,"&gt;0")</f>
        <v>0</v>
      </c>
      <c r="F120" s="25">
        <f>SUMIFS('Daftar Koreksi'!$H$5:$H$92,'Daftar Koreksi'!$D$5:$D$92,'Eselon 1'!A114,'Daftar Koreksi'!$G$5:$G$92,"Gedung dan Bangunan",'Daftar Koreksi'!$H$5:$H$92,"&lt;0")-SUMIFS('Daftar Koreksi'!$H$5:$H$92,'Daftar Koreksi'!$D$5:$D$92,'Eselon 1'!A114,'Daftar Koreksi'!$G$5:$G$92,"Gedung dan Bangunan",'Daftar Koreksi'!$H$5:$H$92,"&lt;0")-SUMIFS('Daftar Koreksi'!$H$5:$H$92,'Daftar Koreksi'!$D$5:$D$92,'Eselon 1'!A114,'Daftar Koreksi'!$G$5:$G$92,"Gedung dan Bangunan",'Daftar Koreksi'!$H$5:$H$92,"&lt;0")</f>
        <v>0</v>
      </c>
      <c r="G120" s="17">
        <f t="shared" si="5"/>
        <v>118367878880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44016220236</v>
      </c>
      <c r="E121" s="25">
        <f>SUMIFS('Daftar Koreksi'!$H$5:$H$92,'Daftar Koreksi'!$D$5:$D$92,'Eselon 1'!A114,'Daftar Koreksi'!$G$5:$G$92,"Jalan Irigasi Jaringan",'Daftar Koreksi'!$H$5:$H$92,"&gt;0")</f>
        <v>0</v>
      </c>
      <c r="F121" s="25">
        <f>SUMIFS('Daftar Koreksi'!$H$5:$H$92,'Daftar Koreksi'!$D$5:$D$92,'Eselon 1'!A114,'Daftar Koreksi'!$G$5:$G$92,"Jalan Irigasi Jaringan",'Daftar Koreksi'!$H$5:$H$92,"&lt;0")-SUMIFS('Daftar Koreksi'!$H$5:$H$92,'Daftar Koreksi'!$D$5:$D$92,'Eselon 1'!A114,'Daftar Koreksi'!$G$5:$G$92,"Jalan Irigasi Jaringan",'Daftar Koreksi'!$H$5:$H$92,"&lt;0")-SUMIFS('Daftar Koreksi'!$H$5:$H$92,'Daftar Koreksi'!$D$5:$D$92,'Eselon 1'!A114,'Daftar Koreksi'!$G$5:$G$92,"Jalan Irigasi Jaringan",'Daftar Koreksi'!$H$5:$H$92,"&lt;0")</f>
        <v>0</v>
      </c>
      <c r="G121" s="17">
        <f t="shared" si="5"/>
        <v>44016220236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1777076600</v>
      </c>
      <c r="E122" s="25">
        <f>SUMIFS('Daftar Koreksi'!$H$5:$H$92,'Daftar Koreksi'!$D$5:$D$92,'Eselon 1'!A114,'Daftar Koreksi'!$G$5:$G$92,"Aset Tetap Lainnya",'Daftar Koreksi'!$H$5:$H$92,"&gt;0")</f>
        <v>0</v>
      </c>
      <c r="F122" s="25">
        <f>SUMIFS('Daftar Koreksi'!$H$5:$H$92,'Daftar Koreksi'!$D$5:$D$92,'Eselon 1'!A114,'Daftar Koreksi'!$G$5:$G$92,"Aset Tetap Lainnya",'Daftar Koreksi'!$H$5:$H$92,"&lt;0")-SUMIFS('Daftar Koreksi'!$H$5:$H$92,'Daftar Koreksi'!$D$5:$D$92,'Eselon 1'!A114,'Daftar Koreksi'!$G$5:$G$92,"Aset Tetap Lainnya",'Daftar Koreksi'!$H$5:$H$92,"&lt;0")-SUMIFS('Daftar Koreksi'!$H$5:$H$92,'Daftar Koreksi'!$D$5:$D$92,'Eselon 1'!A114,'Daftar Koreksi'!$G$5:$G$92,"Aset Tetap Lainnya",'Daftar Koreksi'!$H$5:$H$92,"&lt;0")</f>
        <v>0</v>
      </c>
      <c r="G122" s="17">
        <f t="shared" si="5"/>
        <v>1777076600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Koreksi'!$D$5:$D$92,'Eselon 1'!A114,'Daftar Koreksi'!$G$5:$G$92,"Kontruksi Dalam Pengerjaan",'Daftar Koreksi'!$H$5:$H$92,"&gt;0")</f>
        <v>0</v>
      </c>
      <c r="F123" s="25">
        <f>SUMIFS('Daftar Koreksi'!$H$5:$H$92,'Daftar Koreksi'!$D$5:$D$92,'Eselon 1'!A114,'Daftar Koreksi'!$G$5:$G$92,"Kontruksi Dalam Pengerjaan",'Daftar Koreksi'!$H$5:$H$92,"&lt;0")-SUMIFS('Daftar Koreksi'!$H$5:$H$92,'Daftar Koreksi'!$D$5:$D$92,'Eselon 1'!A114,'Daftar Koreksi'!$G$5:$G$92,"Kontruksi Dalam Pengerjaan",'Daftar Koreksi'!$H$5:$H$92,"&lt;0")-SUMIFS('Daftar Koreksi'!$H$5:$H$92,'Daftar Koreksi'!$D$5:$D$92,'Eselon 1'!A114,'Daftar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358616471</v>
      </c>
      <c r="E124" s="25">
        <f>SUMIFS('Daftar Koreksi'!$H$5:$H$92,'Daftar Koreksi'!$D$5:$D$92,'Eselon 1'!A114,'Daftar Koreksi'!$G$5:$G$92,"Aset Tak Berwujud",'Daftar Koreksi'!$H$5:$H$92,"&gt;0")</f>
        <v>0</v>
      </c>
      <c r="F124" s="25">
        <f>SUMIFS('Daftar Koreksi'!$H$5:$H$92,'Daftar Koreksi'!$D$5:$D$92,'Eselon 1'!A114,'Daftar Koreksi'!$G$5:$G$92,"Aset Tak Berwujud",'Daftar Koreksi'!$H$5:$H$92,"&lt;0")-SUMIFS('Daftar Koreksi'!$H$5:$H$92,'Daftar Koreksi'!$D$5:$D$92,'Eselon 1'!A114,'Daftar Koreksi'!$G$5:$G$92,"Aset Tak Berwujud",'Daftar Koreksi'!$H$5:$H$92,"&lt;0")-SUMIFS('Daftar Koreksi'!$H$5:$H$92,'Daftar Koreksi'!$D$5:$D$92,'Eselon 1'!A114,'Daftar Koreksi'!$G$5:$G$92,"Aset Tak Berwujud",'Daftar Koreksi'!$H$5:$H$92,"&lt;0")</f>
        <v>0</v>
      </c>
      <c r="G124" s="17">
        <f t="shared" si="5"/>
        <v>358616471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0</v>
      </c>
      <c r="E125" s="25">
        <f>SUMIFS('Daftar Koreksi'!$H$5:$H$92,'Daftar Koreksi'!$D$5:$D$92,'Eselon 1'!A114,'Daftar Koreksi'!$G$5:$G$92,"Aset Henti Guna",'Daftar Koreksi'!$H$5:$H$92,"&gt;0")</f>
        <v>0</v>
      </c>
      <c r="F125" s="25">
        <f>SUMIFS('Daftar Koreksi'!$H$5:$H$92,'Daftar Koreksi'!$D$5:$D$92,'Eselon 1'!A114,'Daftar Koreksi'!$G$5:$G$92,"Aset Henti Guna",'Daftar Koreksi'!$H$5:$H$92,"&lt;0")-SUMIFS('Daftar Koreksi'!$H$5:$H$92,'Daftar Koreksi'!$D$5:$D$92,'Eselon 1'!A114,'Daftar Koreksi'!$G$5:$G$92,"Aset Henti Guna",'Daftar Koreksi'!$H$5:$H$92,"&lt;0")-SUMIFS('Daftar Koreksi'!$H$5:$H$92,'Daftar Koreksi'!$D$5:$D$92,'Eselon 1'!A114,'Daftar Koreksi'!$G$5:$G$92,"Aset Henti Guna",'Daftar Koreksi'!$H$5:$H$92,"&lt;0")</f>
        <v>0</v>
      </c>
      <c r="G125" s="17">
        <f t="shared" si="5"/>
        <v>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260339763905</v>
      </c>
      <c r="E126" s="19">
        <f>SUM(E117:E125)</f>
        <v>1650000</v>
      </c>
      <c r="F126" s="19">
        <f>SUM(F117:F125)</f>
        <v>0</v>
      </c>
      <c r="G126" s="19">
        <f t="shared" si="5"/>
        <v>260341413905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-62929851040</v>
      </c>
      <c r="E127" s="25">
        <f>SUMIFS('Daftar Koreksi'!$I$5:$I$92,'Daftar Koreksi'!$D$5:$D$92,'Eselon 1'!A114,'Daftar Koreksi'!$G$5:$G$92,"Peralatan dan mesin",'Daftar Koreksi'!$I$5:$I$92,"&gt;0")</f>
        <v>0</v>
      </c>
      <c r="F127" s="25">
        <f>SUMIFS('Daftar Koreksi'!$I$5:$I$92,'Daftar Koreksi'!$D$5:$D$92,'Eselon 1'!A114,'Daftar Koreksi'!$G$5:$G$92,"Peralatan dan mesin",'Daftar Koreksi'!$I$5:$I$92,"&lt;0")-SUMIFS('Daftar Koreksi'!$I$5:$I$92,'Daftar Koreksi'!$D$5:$D$92,'Eselon 1'!A114,'Daftar Koreksi'!$G$5:$G$92,"Peralatan dan mesin",'Daftar Koreksi'!$I$5:$I$92,"&lt;0")-SUMIFS('Daftar Koreksi'!$I$5:$I$92,'Daftar Koreksi'!$D$5:$D$92,'Eselon 1'!A114,'Daftar Koreksi'!$G$5:$G$92,"Peralatan dan mesin",'Daftar Koreksi'!$I$5:$I$92,"&lt;0")</f>
        <v>330000</v>
      </c>
      <c r="G127" s="17">
        <f t="shared" si="5"/>
        <v>-62930181040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-9479345689</v>
      </c>
      <c r="E128" s="25">
        <f>SUMIFS('Daftar Koreksi'!$I$5:$I$92,'Daftar Koreksi'!$D$5:$D$92,'Eselon 1'!A114,'Daftar Koreksi'!$G$5:$G$92,"Gedung dan Bangunan",'Daftar Koreksi'!$I$5:$I$92,"&gt;0")</f>
        <v>0</v>
      </c>
      <c r="F128" s="25">
        <f>SUMIFS('Daftar Koreksi'!$I$5:$I$92,'Daftar Koreksi'!$D$5:$D$92,'Eselon 1'!A114,'Daftar Koreksi'!$G$5:$G$92,"Gedung dan Bangunan",'Daftar Koreksi'!$I$5:$I$92,"&lt;0")-SUMIFS('Daftar Koreksi'!$I$5:$I$92,'Daftar Koreksi'!$D$5:$D$92,'Eselon 1'!A114,'Daftar Koreksi'!$G$5:$G$92,"Gedung dan Bangunan",'Daftar Koreksi'!$I$5:$I$92,"&lt;0")-SUMIFS('Daftar Koreksi'!$I$5:$I$92,'Daftar Koreksi'!$D$5:$D$92,'Eselon 1'!A114,'Daftar Koreksi'!$G$5:$G$92,"Gedung dan Bangunan",'Daftar Koreksi'!$I$5:$I$92,"&lt;0")</f>
        <v>0</v>
      </c>
      <c r="G128" s="17">
        <f t="shared" si="5"/>
        <v>-9479345689</v>
      </c>
      <c r="H128" s="122"/>
    </row>
    <row r="129" spans="1:10" ht="21.95" customHeight="1">
      <c r="A129" s="14"/>
      <c r="B129" s="14"/>
      <c r="C129" s="16" t="s">
        <v>2089</v>
      </c>
      <c r="D129" s="17">
        <f>VLOOKUP(A114,'Neraca Unaudited SIMAK'!$A$2:$S$10004,15,FALSE)</f>
        <v>-10414327233</v>
      </c>
      <c r="E129" s="25">
        <f>SUMIFS('Daftar Koreksi'!$I$5:$I$92,'Daftar Koreksi'!$D$5:$D$92,'Eselon 1'!A114,'Daftar Koreksi'!$G$5:$G$92,"Jalan Irigasi Jaringan",'Daftar Koreksi'!$I$5:$I$92,"&gt;0")</f>
        <v>0</v>
      </c>
      <c r="F129" s="25">
        <f>SUMIFS('Daftar Koreksi'!$I$5:$I$92,'Daftar Koreksi'!$D$5:$D$92,'Eselon 1'!A114,'Daftar Koreksi'!$G$5:$G$92,"Jalan Irigasi Jaringan",'Daftar Koreksi'!$I$5:$I$92,"&lt;0")-SUMIFS('Daftar Koreksi'!$I$5:$I$92,'Daftar Koreksi'!$D$5:$D$92,'Eselon 1'!A114,'Daftar Koreksi'!$G$5:$G$92,"Jalan Irigasi Jaringan",'Daftar Koreksi'!$I$5:$I$92,"&lt;0")-SUMIFS('Daftar Koreksi'!$I$5:$I$92,'Daftar Koreksi'!$D$5:$D$92,'Eselon 1'!A114,'Daftar Koreksi'!$G$5:$G$92,"Jalan Irigasi Jaringan",'Daftar Koreksi'!$I$5:$I$92,"&lt;0")</f>
        <v>0</v>
      </c>
      <c r="G129" s="17">
        <f t="shared" si="5"/>
        <v>-10414327233</v>
      </c>
      <c r="H129" s="122"/>
    </row>
    <row r="130" spans="1:10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Koreksi'!$D$5:$D$92,'Eselon 1'!A114,'Daftar Koreksi'!$G$5:$G$92,"Aset Tetap Lainnya",'Daftar Koreksi'!$I$5:$I$92,"&gt;0")</f>
        <v>0</v>
      </c>
      <c r="F130" s="25">
        <f>SUMIFS('Daftar Koreksi'!$I$5:$I$92,'Daftar Koreksi'!$D$5:$D$92,'Eselon 1'!A114,'Daftar Koreksi'!$G$5:$G$92,"Aset Tetap Lainnya",'Daftar Koreksi'!$I$5:$I$92,"&lt;0")-SUMIFS('Daftar Koreksi'!$I$5:$I$92,'Daftar Koreksi'!$D$5:$D$92,'Eselon 1'!A114,'Daftar Koreksi'!$G$5:$G$92,"Aset Tetap Lainnya",'Daftar Koreksi'!$I$5:$I$92,"&lt;0")-SUMIFS('Daftar Koreksi'!$I$5:$I$92,'Daftar Koreksi'!$D$5:$D$92,'Eselon 1'!A114,'Daftar Koreksi'!$G$5:$G$92,"Aset Tetap Lainnya",'Daftar Koreksi'!$I$5:$I$92,"&lt;0")</f>
        <v>0</v>
      </c>
      <c r="G130" s="17">
        <f t="shared" si="5"/>
        <v>0</v>
      </c>
      <c r="H130" s="122"/>
    </row>
    <row r="131" spans="1:10" ht="21.95" customHeight="1">
      <c r="A131" s="14"/>
      <c r="B131" s="14"/>
      <c r="C131" s="16" t="s">
        <v>2020</v>
      </c>
      <c r="D131" s="17">
        <f>VLOOKUP(A114,'Neraca Unaudited SIMAK'!$A$2:$S$10004,17,FALSE)</f>
        <v>0</v>
      </c>
      <c r="E131" s="25">
        <f>SUMIFS('Daftar Koreksi'!$I$5:$I$92,'Daftar Koreksi'!$D$5:$D$92,'Eselon 1'!A114,'Daftar Koreksi'!$G$5:$G$92,"Aset Henti Guna",'Daftar Koreksi'!$I$5:$I$92,"&gt;0")</f>
        <v>0</v>
      </c>
      <c r="F131" s="25">
        <f>SUMIFS('Daftar Koreksi'!$I$5:$I$92,'Daftar Koreksi'!$D$5:$D$92,'Eselon 1'!A114,'Daftar Koreksi'!$G$5:$G$92,"Aset Henti Guna",'Daftar Koreksi'!$I$5:$I$92,"&lt;0")-SUMIFS('Daftar Koreksi'!$I$5:$I$92,'Daftar Koreksi'!$D$5:$D$92,'Eselon 1'!A114,'Daftar Koreksi'!$G$5:$G$92,"Aset Henti Guna",'Daftar Koreksi'!$I$5:$I$92,"&lt;0")-SUMIFS('Daftar Koreksi'!$I$5:$I$92,'Daftar Koreksi'!$D$5:$D$92,'Eselon 1'!A114,'Daftar Koreksi'!$G$5:$G$92,"Aset Henti Guna",'Daftar Koreksi'!$I$5:$I$92,"&lt;0")</f>
        <v>0</v>
      </c>
      <c r="G131" s="17">
        <f t="shared" si="5"/>
        <v>0</v>
      </c>
      <c r="H131" s="122"/>
    </row>
    <row r="132" spans="1:10" ht="21.95" customHeight="1">
      <c r="A132" s="14"/>
      <c r="B132" s="14"/>
      <c r="C132" s="18" t="s">
        <v>2094</v>
      </c>
      <c r="D132" s="19">
        <f>SUM(D127:D131)</f>
        <v>-82823523962</v>
      </c>
      <c r="E132" s="19">
        <f>SUM(E127:E131)</f>
        <v>0</v>
      </c>
      <c r="F132" s="19">
        <f>SUM(F127:F131)</f>
        <v>330000</v>
      </c>
      <c r="G132" s="19">
        <f t="shared" si="5"/>
        <v>-82823853962</v>
      </c>
      <c r="H132" s="122"/>
    </row>
    <row r="133" spans="1:10" ht="21.95" customHeight="1">
      <c r="A133" s="14"/>
      <c r="B133" s="14"/>
      <c r="C133" s="18" t="s">
        <v>2095</v>
      </c>
      <c r="D133" s="19">
        <f>VLOOKUP(A114,'Neraca Unaudited SIMAK'!$A$2:$S$10004,18,FALSE)</f>
        <v>177516239943</v>
      </c>
      <c r="E133" s="19">
        <f>E132+E126</f>
        <v>1650000</v>
      </c>
      <c r="F133" s="19">
        <f>F132+F126</f>
        <v>330000</v>
      </c>
      <c r="G133" s="19">
        <f t="shared" si="5"/>
        <v>177517559943</v>
      </c>
      <c r="H133" s="122"/>
    </row>
    <row r="134" spans="1:10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10" ht="19.5" customHeight="1">
      <c r="A136" s="11" t="str">
        <f>O7</f>
        <v>005070199663136000KP</v>
      </c>
      <c r="B136" s="11" t="str">
        <f>P7</f>
        <v>Badan Pengawasan</v>
      </c>
      <c r="C136" s="12" t="str">
        <f>A136&amp;" "&amp;B136</f>
        <v>005070199663136000KP Badan Pengawasan</v>
      </c>
      <c r="D136" s="13"/>
      <c r="E136" s="13"/>
      <c r="F136" s="13"/>
      <c r="G136" s="13"/>
      <c r="H136" s="11"/>
    </row>
    <row r="137" spans="1:10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10" ht="21.95" customHeight="1">
      <c r="A138" s="14"/>
      <c r="B138" s="14"/>
      <c r="C138" s="125"/>
      <c r="D138" s="127"/>
      <c r="E138" s="40" t="s">
        <v>1985</v>
      </c>
      <c r="F138" s="40" t="s">
        <v>1986</v>
      </c>
      <c r="G138" s="127"/>
      <c r="H138" s="131"/>
    </row>
    <row r="139" spans="1:10" ht="21.95" customHeight="1">
      <c r="A139" s="14"/>
      <c r="B139" s="14"/>
      <c r="C139" s="16" t="s">
        <v>1165</v>
      </c>
      <c r="D139" s="17">
        <f>VLOOKUP(A136,'Neraca Unaudited SIMAK'!$A$2:$S$10004,3,FALSE)</f>
        <v>326548278</v>
      </c>
      <c r="E139" s="25">
        <f>SUMIFS('Daftar Koreksi'!$H$5:$H$92,'Daftar Koreksi'!$D$5:$D$92,'Eselon 1'!A136,'Daftar Koreksi'!$G$5:$G$92,"Persediaan",'Daftar Koreksi'!$H$5:$H$92,"&gt;0")</f>
        <v>0</v>
      </c>
      <c r="F139" s="25">
        <f>SUMIFS('Daftar Koreksi'!$H$5:$H$92,'Daftar Koreksi'!$D$5:$D$92,'Eselon 1'!A136,'Daftar Koreksi'!$G$5:$G$92,"Persediaan",'Daftar Koreksi'!$H$5:$H$92,"&lt;0")-SUMIFS('Daftar Koreksi'!$H$5:$H$92,'Daftar Koreksi'!$D$5:$D$92,'Eselon 1'!A136,'Daftar Koreksi'!$G$5:$G$92,"Persediaan",'Daftar Koreksi'!$H$5:$H$92,"&lt;0")-SUMIFS('Daftar Koreksi'!$H$5:$H$92,'Daftar Koreksi'!$D$5:$D$92,'Eselon 1'!A136,'Daftar Koreksi'!$G$5:$G$92,"Persediaan",'Daftar Koreksi'!$H$5:$H$92,"&lt;0")</f>
        <v>0</v>
      </c>
      <c r="G139" s="17">
        <f>D139+E139-F139</f>
        <v>326548278</v>
      </c>
      <c r="H139" s="121" t="str">
        <f>IF(ISNA(VLOOKUP(A136,'Mutasi Neraca'!$A$3:$S$914,19,FALSE)),"-",VLOOKUP(A136,'Mutasi Neraca'!$A$3:$S$914,19,FALSE))</f>
        <v>-</v>
      </c>
      <c r="I139" s="28"/>
      <c r="J139" s="28"/>
    </row>
    <row r="140" spans="1:10" ht="21.95" customHeight="1">
      <c r="A140" s="14"/>
      <c r="B140" s="14"/>
      <c r="C140" s="16" t="s">
        <v>1166</v>
      </c>
      <c r="D140" s="17">
        <f>VLOOKUP(A136,'Neraca Unaudited SIMAK'!$A$2:$S$10004,4,FALSE)</f>
        <v>0</v>
      </c>
      <c r="E140" s="25">
        <f>SUMIFS('Daftar Koreksi'!$H$5:$H$92,'Daftar Koreksi'!$D$5:$D$92,'Eselon 1'!A136,'Daftar Koreksi'!$G$5:$G$92,"Tanah",'Daftar Koreksi'!$H$5:$H$92,"&gt;0")</f>
        <v>0</v>
      </c>
      <c r="F140" s="25">
        <f>SUMIFS('Daftar Koreksi'!$H$5:$H$92,'Daftar Koreksi'!$D$5:$D$92,'Eselon 1'!A136,'Daftar Koreksi'!$G$5:$G$92,"Tanah",'Daftar Koreksi'!$H$5:$H$92,"&lt;0")-SUMIFS('Daftar Koreksi'!$H$5:$H$92,'Daftar Koreksi'!$D$5:$D$92,'Eselon 1'!A136,'Daftar Koreksi'!$G$5:$G$92,"Tanah",'Daftar Koreksi'!$H$5:$H$92,"&lt;0")-SUMIFS('Daftar Koreksi'!$H$5:$H$92,'Daftar Koreksi'!$D$5:$D$92,'Eselon 1'!A136,'Daftar Koreksi'!$G$5:$G$92,"Tanah",'Daftar Koreksi'!$H$5:$H$92,"&lt;0")</f>
        <v>0</v>
      </c>
      <c r="G140" s="17">
        <f t="shared" ref="G140:G156" si="6">D140+E140-F140</f>
        <v>0</v>
      </c>
      <c r="H140" s="122"/>
      <c r="I140" s="28"/>
      <c r="J140" s="28"/>
    </row>
    <row r="141" spans="1:10" ht="21.95" customHeight="1">
      <c r="A141" s="14"/>
      <c r="B141" s="14"/>
      <c r="C141" s="16" t="s">
        <v>1167</v>
      </c>
      <c r="D141" s="17">
        <f>VLOOKUP(A136,'Neraca Unaudited SIMAK'!$A$2:$S$10004,5,FALSE)</f>
        <v>12866232081</v>
      </c>
      <c r="E141" s="25">
        <f>SUMIFS('Daftar Koreksi'!$H$5:$H$92,'Daftar Koreksi'!$D$5:$D$92,'Eselon 1'!A136,'Daftar Koreksi'!$G$5:$G$92,"Peralatan dan mesin",'Daftar Koreksi'!$H$5:$H$92,"&gt;0")</f>
        <v>0</v>
      </c>
      <c r="F141" s="25">
        <f>SUMIFS('Daftar Koreksi'!$H$5:$H$92,'Daftar Koreksi'!$D$5:$D$92,'Eselon 1'!A136,'Daftar Koreksi'!$G$5:$G$92,"Peralatan dan mesin",'Daftar Koreksi'!$H$5:$H$92,"&lt;0")-SUMIFS('Daftar Koreksi'!$H$5:$H$92,'Daftar Koreksi'!$D$5:$D$92,'Eselon 1'!A136,'Daftar Koreksi'!$G$5:$G$92,"Peralatan dan mesin",'Daftar Koreksi'!$H$5:$H$92,"&lt;0")-SUMIFS('Daftar Koreksi'!$H$5:$H$92,'Daftar Koreksi'!$D$5:$D$92,'Eselon 1'!A136,'Daftar Koreksi'!$G$5:$G$92,"Peralatan dan mesin",'Daftar Koreksi'!$H$5:$H$92,"&lt;0")</f>
        <v>0</v>
      </c>
      <c r="G141" s="17">
        <f t="shared" si="6"/>
        <v>12866232081</v>
      </c>
      <c r="H141" s="122"/>
      <c r="I141" s="28"/>
      <c r="J141" s="28"/>
    </row>
    <row r="142" spans="1:10" ht="21.95" customHeight="1">
      <c r="A142" s="14"/>
      <c r="B142" s="14"/>
      <c r="C142" s="16" t="s">
        <v>1168</v>
      </c>
      <c r="D142" s="17">
        <f>VLOOKUP(A136,'Neraca Unaudited SIMAK'!$A$2:$S$10004,6,FALSE)</f>
        <v>0</v>
      </c>
      <c r="E142" s="25">
        <f>SUMIFS('Daftar Koreksi'!$H$5:$H$92,'Daftar Koreksi'!$D$5:$D$92,'Eselon 1'!A136,'Daftar Koreksi'!$G$5:$G$92,"Gedung dan Bangunan",'Daftar Koreksi'!$H$5:$H$92,"&gt;0")</f>
        <v>0</v>
      </c>
      <c r="F142" s="25">
        <f>SUMIFS('Daftar Koreksi'!$H$5:$H$92,'Daftar Koreksi'!$D$5:$D$92,'Eselon 1'!A136,'Daftar Koreksi'!$G$5:$G$92,"Gedung dan Bangunan",'Daftar Koreksi'!$H$5:$H$92,"&lt;0")-SUMIFS('Daftar Koreksi'!$H$5:$H$92,'Daftar Koreksi'!$D$5:$D$92,'Eselon 1'!A136,'Daftar Koreksi'!$G$5:$G$92,"Gedung dan Bangunan",'Daftar Koreksi'!$H$5:$H$92,"&lt;0")-SUMIFS('Daftar Koreksi'!$H$5:$H$92,'Daftar Koreksi'!$D$5:$D$92,'Eselon 1'!A136,'Daftar Koreksi'!$G$5:$G$92,"Gedung dan Bangunan",'Daftar Koreksi'!$H$5:$H$92,"&lt;0")</f>
        <v>0</v>
      </c>
      <c r="G142" s="17">
        <f t="shared" si="6"/>
        <v>0</v>
      </c>
      <c r="H142" s="122"/>
      <c r="I142" s="28"/>
      <c r="J142" s="28"/>
    </row>
    <row r="143" spans="1:10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Koreksi'!$D$5:$D$92,'Eselon 1'!A136,'Daftar Koreksi'!$G$5:$G$92,"Jalan Irigasi Jaringan",'Daftar Koreksi'!$H$5:$H$92,"&gt;0")</f>
        <v>0</v>
      </c>
      <c r="F143" s="25">
        <f>SUMIFS('Daftar Koreksi'!$H$5:$H$92,'Daftar Koreksi'!$D$5:$D$92,'Eselon 1'!A136,'Daftar Koreksi'!$G$5:$G$92,"Jalan Irigasi Jaringan",'Daftar Koreksi'!$H$5:$H$92,"&lt;0")-SUMIFS('Daftar Koreksi'!$H$5:$H$92,'Daftar Koreksi'!$D$5:$D$92,'Eselon 1'!A136,'Daftar Koreksi'!$G$5:$G$92,"Jalan Irigasi Jaringan",'Daftar Koreksi'!$H$5:$H$92,"&lt;0")-SUMIFS('Daftar Koreksi'!$H$5:$H$92,'Daftar Koreksi'!$D$5:$D$92,'Eselon 1'!A136,'Daftar Koreksi'!$G$5:$G$92,"Jalan Irigasi Jaringan",'Daftar Koreksi'!$H$5:$H$92,"&lt;0")</f>
        <v>0</v>
      </c>
      <c r="G143" s="17">
        <f t="shared" si="6"/>
        <v>0</v>
      </c>
      <c r="H143" s="122"/>
      <c r="I143" s="28"/>
      <c r="J143" s="28"/>
    </row>
    <row r="144" spans="1:10" ht="21.95" customHeight="1">
      <c r="A144" s="14"/>
      <c r="B144" s="14"/>
      <c r="C144" s="16" t="s">
        <v>1170</v>
      </c>
      <c r="D144" s="17">
        <f>VLOOKUP(A136,'Neraca Unaudited SIMAK'!$A$2:$S$10004,8,FALSE)</f>
        <v>485972140</v>
      </c>
      <c r="E144" s="25">
        <f>SUMIFS('Daftar Koreksi'!$H$5:$H$92,'Daftar Koreksi'!$D$5:$D$92,'Eselon 1'!A136,'Daftar Koreksi'!$G$5:$G$92,"Aset Tetap Lainnya",'Daftar Koreksi'!$H$5:$H$92,"&gt;0")</f>
        <v>0</v>
      </c>
      <c r="F144" s="25">
        <f>SUMIFS('Daftar Koreksi'!$H$5:$H$92,'Daftar Koreksi'!$D$5:$D$92,'Eselon 1'!A136,'Daftar Koreksi'!$G$5:$G$92,"Aset Tetap Lainnya",'Daftar Koreksi'!$H$5:$H$92,"&lt;0")-SUMIFS('Daftar Koreksi'!$H$5:$H$92,'Daftar Koreksi'!$D$5:$D$92,'Eselon 1'!A136,'Daftar Koreksi'!$G$5:$G$92,"Aset Tetap Lainnya",'Daftar Koreksi'!$H$5:$H$92,"&lt;0")-SUMIFS('Daftar Koreksi'!$H$5:$H$92,'Daftar Koreksi'!$D$5:$D$92,'Eselon 1'!A136,'Daftar Koreksi'!$G$5:$G$92,"Aset Tetap Lainnya",'Daftar Koreksi'!$H$5:$H$92,"&lt;0")</f>
        <v>0</v>
      </c>
      <c r="G144" s="17">
        <f t="shared" si="6"/>
        <v>485972140</v>
      </c>
      <c r="H144" s="122"/>
      <c r="I144" s="28"/>
      <c r="J144" s="28"/>
    </row>
    <row r="145" spans="1:10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Koreksi'!$D$5:$D$92,'Eselon 1'!A136,'Daftar Koreksi'!$G$5:$G$92,"Kontruksi Dalam Pengerjaan",'Daftar Koreksi'!$H$5:$H$92,"&gt;0")</f>
        <v>0</v>
      </c>
      <c r="F145" s="25">
        <f>SUMIFS('Daftar Koreksi'!$H$5:$H$92,'Daftar Koreksi'!$D$5:$D$92,'Eselon 1'!A136,'Daftar Koreksi'!$G$5:$G$92,"Kontruksi Dalam Pengerjaan",'Daftar Koreksi'!$H$5:$H$92,"&lt;0")-SUMIFS('Daftar Koreksi'!$H$5:$H$92,'Daftar Koreksi'!$D$5:$D$92,'Eselon 1'!A136,'Daftar Koreksi'!$G$5:$G$92,"Kontruksi Dalam Pengerjaan",'Daftar Koreksi'!$H$5:$H$92,"&lt;0")-SUMIFS('Daftar Koreksi'!$H$5:$H$92,'Daftar Koreksi'!$D$5:$D$92,'Eselon 1'!A136,'Daftar Koreksi'!$G$5:$G$92,"Kontruksi Dalam Pengerjaan",'Daftar Koreksi'!$H$5:$H$92,"&lt;0")</f>
        <v>0</v>
      </c>
      <c r="G145" s="17">
        <f t="shared" si="6"/>
        <v>0</v>
      </c>
      <c r="H145" s="122"/>
      <c r="I145" s="28"/>
      <c r="J145" s="28"/>
    </row>
    <row r="146" spans="1:10" ht="21.95" customHeight="1">
      <c r="A146" s="14"/>
      <c r="B146" s="14"/>
      <c r="C146" s="16" t="s">
        <v>1172</v>
      </c>
      <c r="D146" s="17">
        <f>VLOOKUP(A136,'Neraca Unaudited SIMAK'!$A$2:$S$10004,10,FALSE)</f>
        <v>1352133171</v>
      </c>
      <c r="E146" s="25">
        <f>SUMIFS('Daftar Koreksi'!$H$5:$H$92,'Daftar Koreksi'!$D$5:$D$92,'Eselon 1'!A136,'Daftar Koreksi'!$G$5:$G$92,"Aset Tak Berwujud",'Daftar Koreksi'!$H$5:$H$92,"&gt;0")</f>
        <v>0</v>
      </c>
      <c r="F146" s="25">
        <f>SUMIFS('Daftar Koreksi'!$H$5:$H$92,'Daftar Koreksi'!$D$5:$D$92,'Eselon 1'!A136,'Daftar Koreksi'!$G$5:$G$92,"Aset Tak Berwujud",'Daftar Koreksi'!$H$5:$H$92,"&lt;0")-SUMIFS('Daftar Koreksi'!$H$5:$H$92,'Daftar Koreksi'!$D$5:$D$92,'Eselon 1'!A136,'Daftar Koreksi'!$G$5:$G$92,"Aset Tak Berwujud",'Daftar Koreksi'!$H$5:$H$92,"&lt;0")-SUMIFS('Daftar Koreksi'!$H$5:$H$92,'Daftar Koreksi'!$D$5:$D$92,'Eselon 1'!A136,'Daftar Koreksi'!$G$5:$G$92,"Aset Tak Berwujud",'Daftar Koreksi'!$H$5:$H$92,"&lt;0")</f>
        <v>0</v>
      </c>
      <c r="G146" s="17">
        <f t="shared" si="6"/>
        <v>1352133171</v>
      </c>
      <c r="H146" s="122"/>
      <c r="I146" s="28"/>
      <c r="J146" s="28"/>
    </row>
    <row r="147" spans="1:10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Koreksi'!$D$5:$D$92,'Eselon 1'!A136,'Daftar Koreksi'!$G$5:$G$92,"Aset Henti Guna",'Daftar Koreksi'!$H$5:$H$92,"&gt;0")</f>
        <v>0</v>
      </c>
      <c r="F147" s="25">
        <f>SUMIFS('Daftar Koreksi'!$H$5:$H$92,'Daftar Koreksi'!$D$5:$D$92,'Eselon 1'!A136,'Daftar Koreksi'!$G$5:$G$92,"Aset Henti Guna",'Daftar Koreksi'!$H$5:$H$92,"&lt;0")-SUMIFS('Daftar Koreksi'!$H$5:$H$92,'Daftar Koreksi'!$D$5:$D$92,'Eselon 1'!A136,'Daftar Koreksi'!$G$5:$G$92,"Aset Henti Guna",'Daftar Koreksi'!$H$5:$H$92,"&lt;0")-SUMIFS('Daftar Koreksi'!$H$5:$H$92,'Daftar Koreksi'!$D$5:$D$92,'Eselon 1'!A136,'Daftar Koreksi'!$G$5:$G$92,"Aset Henti Guna",'Daftar Koreksi'!$H$5:$H$92,"&lt;0")</f>
        <v>0</v>
      </c>
      <c r="G147" s="17">
        <f t="shared" si="6"/>
        <v>0</v>
      </c>
      <c r="H147" s="122"/>
      <c r="I147" s="28"/>
      <c r="J147" s="28"/>
    </row>
    <row r="148" spans="1:10" ht="21.95" customHeight="1">
      <c r="A148" s="14"/>
      <c r="B148" s="14"/>
      <c r="C148" s="18" t="s">
        <v>2093</v>
      </c>
      <c r="D148" s="19">
        <f>VLOOKUP(A136,'Neraca Unaudited SIMAK'!$A$2:$S$10004,12,FALSE)</f>
        <v>15030885670</v>
      </c>
      <c r="E148" s="19">
        <f>SUM(E139:E147)</f>
        <v>0</v>
      </c>
      <c r="F148" s="19">
        <f>SUM(F139:F147)</f>
        <v>0</v>
      </c>
      <c r="G148" s="19">
        <f t="shared" si="6"/>
        <v>15030885670</v>
      </c>
      <c r="H148" s="122"/>
      <c r="I148" s="28"/>
      <c r="J148" s="28"/>
    </row>
    <row r="149" spans="1:10" ht="21.95" customHeight="1">
      <c r="A149" s="14"/>
      <c r="B149" s="14"/>
      <c r="C149" s="16" t="s">
        <v>2087</v>
      </c>
      <c r="D149" s="17">
        <f>VLOOKUP(A136,'Neraca Unaudited SIMAK'!$A$2:$S$10004,13,FALSE)</f>
        <v>-11421501530</v>
      </c>
      <c r="E149" s="25">
        <f>SUMIFS('Daftar Koreksi'!$I$5:$I$92,'Daftar Koreksi'!$D$5:$D$92,'Eselon 1'!A136,'Daftar Koreksi'!$G$5:$G$92,"Peralatan dan mesin",'Daftar Koreksi'!$I$5:$I$92,"&gt;0")</f>
        <v>0</v>
      </c>
      <c r="F149" s="25">
        <f>SUMIFS('Daftar Koreksi'!$I$5:$I$92,'Daftar Koreksi'!$D$5:$D$92,'Eselon 1'!A136,'Daftar Koreksi'!$G$5:$G$92,"Peralatan dan mesin",'Daftar Koreksi'!$I$5:$I$92,"&lt;0")-SUMIFS('Daftar Koreksi'!$I$5:$I$92,'Daftar Koreksi'!$D$5:$D$92,'Eselon 1'!A136,'Daftar Koreksi'!$G$5:$G$92,"Peralatan dan mesin",'Daftar Koreksi'!$I$5:$I$92,"&lt;0")-SUMIFS('Daftar Koreksi'!$I$5:$I$92,'Daftar Koreksi'!$D$5:$D$92,'Eselon 1'!A136,'Daftar Koreksi'!$G$5:$G$92,"Peralatan dan mesin",'Daftar Koreksi'!$I$5:$I$92,"&lt;0")</f>
        <v>0</v>
      </c>
      <c r="G149" s="17">
        <f t="shared" si="6"/>
        <v>-11421501530</v>
      </c>
      <c r="H149" s="122"/>
      <c r="I149" s="28"/>
      <c r="J149" s="28"/>
    </row>
    <row r="150" spans="1:10" ht="21.95" customHeight="1">
      <c r="A150" s="14"/>
      <c r="B150" s="14"/>
      <c r="C150" s="16" t="s">
        <v>2088</v>
      </c>
      <c r="D150" s="17">
        <f>VLOOKUP(A136,'Neraca Unaudited SIMAK'!$A$2:$S$10004,14,FALSE)</f>
        <v>0</v>
      </c>
      <c r="E150" s="25">
        <f>SUMIFS('Daftar Koreksi'!$I$5:$I$92,'Daftar Koreksi'!$D$5:$D$92,'Eselon 1'!A136,'Daftar Koreksi'!$G$5:$G$92,"Gedung dan Bangunan",'Daftar Koreksi'!$I$5:$I$92,"&gt;0")</f>
        <v>0</v>
      </c>
      <c r="F150" s="25">
        <f>SUMIFS('Daftar Koreksi'!$I$5:$I$92,'Daftar Koreksi'!$D$5:$D$92,'Eselon 1'!A136,'Daftar Koreksi'!$G$5:$G$92,"Gedung dan Bangunan",'Daftar Koreksi'!$I$5:$I$92,"&lt;0")-SUMIFS('Daftar Koreksi'!$I$5:$I$92,'Daftar Koreksi'!$D$5:$D$92,'Eselon 1'!A136,'Daftar Koreksi'!$G$5:$G$92,"Gedung dan Bangunan",'Daftar Koreksi'!$I$5:$I$92,"&lt;0")-SUMIFS('Daftar Koreksi'!$I$5:$I$92,'Daftar Koreksi'!$D$5:$D$92,'Eselon 1'!A136,'Daftar Koreksi'!$G$5:$G$92,"Gedung dan Bangunan",'Daftar Koreksi'!$I$5:$I$92,"&lt;0")</f>
        <v>0</v>
      </c>
      <c r="G150" s="17">
        <f t="shared" si="6"/>
        <v>0</v>
      </c>
      <c r="H150" s="122"/>
      <c r="I150" s="28"/>
      <c r="J150" s="28"/>
    </row>
    <row r="151" spans="1:10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Koreksi'!$D$5:$D$92,'Eselon 1'!A136,'Daftar Koreksi'!$G$5:$G$92,"Jalan Irigasi Jaringan",'Daftar Koreksi'!$I$5:$I$92,"&gt;0")</f>
        <v>0</v>
      </c>
      <c r="F151" s="25">
        <f>SUMIFS('Daftar Koreksi'!$I$5:$I$92,'Daftar Koreksi'!$D$5:$D$92,'Eselon 1'!A136,'Daftar Koreksi'!$G$5:$G$92,"Jalan Irigasi Jaringan",'Daftar Koreksi'!$I$5:$I$92,"&lt;0")-SUMIFS('Daftar Koreksi'!$I$5:$I$92,'Daftar Koreksi'!$D$5:$D$92,'Eselon 1'!A136,'Daftar Koreksi'!$G$5:$G$92,"Jalan Irigasi Jaringan",'Daftar Koreksi'!$I$5:$I$92,"&lt;0")-SUMIFS('Daftar Koreksi'!$I$5:$I$92,'Daftar Koreksi'!$D$5:$D$92,'Eselon 1'!A136,'Daftar Koreksi'!$G$5:$G$92,"Jalan Irigasi Jaringan",'Daftar Koreksi'!$I$5:$I$92,"&lt;0")</f>
        <v>0</v>
      </c>
      <c r="G151" s="17">
        <f t="shared" si="6"/>
        <v>0</v>
      </c>
      <c r="H151" s="122"/>
      <c r="I151" s="28"/>
      <c r="J151" s="28"/>
    </row>
    <row r="152" spans="1:10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Koreksi'!$D$5:$D$92,'Eselon 1'!A136,'Daftar Koreksi'!$G$5:$G$92,"Aset Tetap Lainnya",'Daftar Koreksi'!$I$5:$I$92,"&gt;0")</f>
        <v>0</v>
      </c>
      <c r="F152" s="25">
        <f>SUMIFS('Daftar Koreksi'!$I$5:$I$92,'Daftar Koreksi'!$D$5:$D$92,'Eselon 1'!A136,'Daftar Koreksi'!$G$5:$G$92,"Aset Tetap Lainnya",'Daftar Koreksi'!$I$5:$I$92,"&lt;0")-SUMIFS('Daftar Koreksi'!$I$5:$I$92,'Daftar Koreksi'!$D$5:$D$92,'Eselon 1'!A136,'Daftar Koreksi'!$G$5:$G$92,"Aset Tetap Lainnya",'Daftar Koreksi'!$I$5:$I$92,"&lt;0")-SUMIFS('Daftar Koreksi'!$I$5:$I$92,'Daftar Koreksi'!$D$5:$D$92,'Eselon 1'!A136,'Daftar Koreksi'!$G$5:$G$92,"Aset Tetap Lainnya",'Daftar Koreksi'!$I$5:$I$92,"&lt;0")</f>
        <v>0</v>
      </c>
      <c r="G152" s="17">
        <f t="shared" si="6"/>
        <v>0</v>
      </c>
      <c r="H152" s="122"/>
      <c r="I152" s="28"/>
      <c r="J152" s="28"/>
    </row>
    <row r="153" spans="1:10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Koreksi'!$D$5:$D$92,'Eselon 1'!A136,'Daftar Koreksi'!$G$5:$G$92,"Aset Henti Guna",'Daftar Koreksi'!$I$5:$I$92,"&gt;0")</f>
        <v>0</v>
      </c>
      <c r="F153" s="25">
        <f>SUMIFS('Daftar Koreksi'!$I$5:$I$92,'Daftar Koreksi'!$D$5:$D$92,'Eselon 1'!A136,'Daftar Koreksi'!$G$5:$G$92,"Aset Henti Guna",'Daftar Koreksi'!$I$5:$I$92,"&lt;0")-SUMIFS('Daftar Koreksi'!$I$5:$I$92,'Daftar Koreksi'!$D$5:$D$92,'Eselon 1'!A136,'Daftar Koreksi'!$G$5:$G$92,"Aset Henti Guna",'Daftar Koreksi'!$I$5:$I$92,"&lt;0")-SUMIFS('Daftar Koreksi'!$I$5:$I$92,'Daftar Koreksi'!$D$5:$D$92,'Eselon 1'!A136,'Daftar Koreksi'!$G$5:$G$92,"Aset Henti Guna",'Daftar Koreksi'!$I$5:$I$92,"&lt;0")</f>
        <v>0</v>
      </c>
      <c r="G153" s="17">
        <f t="shared" si="6"/>
        <v>0</v>
      </c>
      <c r="H153" s="122"/>
      <c r="I153" s="28"/>
      <c r="J153" s="28"/>
    </row>
    <row r="154" spans="1:10" ht="21.95" customHeight="1">
      <c r="A154" s="14"/>
      <c r="B154" s="14"/>
      <c r="C154" s="18" t="s">
        <v>2094</v>
      </c>
      <c r="D154" s="19">
        <f>SUM(D149:D153)</f>
        <v>-11421501530</v>
      </c>
      <c r="E154" s="19">
        <f>SUM(E149:E153)</f>
        <v>0</v>
      </c>
      <c r="F154" s="19">
        <f>SUM(F149:F153)</f>
        <v>0</v>
      </c>
      <c r="G154" s="19">
        <f t="shared" si="6"/>
        <v>-11421501530</v>
      </c>
      <c r="H154" s="122"/>
      <c r="I154" s="28"/>
      <c r="J154" s="28"/>
    </row>
    <row r="155" spans="1:10" ht="21.95" customHeight="1">
      <c r="A155" s="14"/>
      <c r="B155" s="14"/>
      <c r="C155" s="18" t="s">
        <v>2095</v>
      </c>
      <c r="D155" s="19">
        <f>VLOOKUP(A136,'Neraca Unaudited SIMAK'!$A$2:$S$10004,18,FALSE)</f>
        <v>3609384140</v>
      </c>
      <c r="E155" s="19">
        <f>E154+E148</f>
        <v>0</v>
      </c>
      <c r="F155" s="19">
        <f>F154+F148</f>
        <v>0</v>
      </c>
      <c r="G155" s="19">
        <f t="shared" si="6"/>
        <v>3609384140</v>
      </c>
      <c r="H155" s="122"/>
      <c r="I155" s="28"/>
      <c r="J155" s="28"/>
    </row>
    <row r="156" spans="1:10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  <c r="I156" s="28"/>
      <c r="J156" s="28"/>
    </row>
  </sheetData>
  <mergeCells count="42">
    <mergeCell ref="H7:H24"/>
    <mergeCell ref="C5:C6"/>
    <mergeCell ref="D5:D6"/>
    <mergeCell ref="E5:F5"/>
    <mergeCell ref="G5:G6"/>
    <mergeCell ref="H5:H6"/>
    <mergeCell ref="H51:H68"/>
    <mergeCell ref="C27:C28"/>
    <mergeCell ref="D27:D28"/>
    <mergeCell ref="E27:F27"/>
    <mergeCell ref="G27:G28"/>
    <mergeCell ref="H27:H28"/>
    <mergeCell ref="H29:H46"/>
    <mergeCell ref="C49:C50"/>
    <mergeCell ref="D49:D50"/>
    <mergeCell ref="E49:F49"/>
    <mergeCell ref="G49:G50"/>
    <mergeCell ref="H49:H50"/>
    <mergeCell ref="H95:H112"/>
    <mergeCell ref="C71:C72"/>
    <mergeCell ref="D71:D72"/>
    <mergeCell ref="E71:F71"/>
    <mergeCell ref="G71:G72"/>
    <mergeCell ref="H71:H72"/>
    <mergeCell ref="H73:H90"/>
    <mergeCell ref="C93:C94"/>
    <mergeCell ref="D93:D94"/>
    <mergeCell ref="E93:F93"/>
    <mergeCell ref="G93:G94"/>
    <mergeCell ref="H93:H94"/>
    <mergeCell ref="H139:H156"/>
    <mergeCell ref="C115:C116"/>
    <mergeCell ref="D115:D116"/>
    <mergeCell ref="E115:F115"/>
    <mergeCell ref="G115:G116"/>
    <mergeCell ref="H115:H116"/>
    <mergeCell ref="H117:H134"/>
    <mergeCell ref="C137:C138"/>
    <mergeCell ref="D137:D138"/>
    <mergeCell ref="E137:F137"/>
    <mergeCell ref="G137:G138"/>
    <mergeCell ref="H137:H138"/>
  </mergeCells>
  <pageMargins left="1" right="0.5" top="0.6" bottom="0.3" header="0.3" footer="0.3"/>
  <pageSetup paperSize="14" scale="88" orientation="portrait" r:id="rId1"/>
  <headerFooter>
    <oddFooter>&amp;R&amp;F - &amp;A</oddFooter>
  </headerFooter>
  <rowBreaks count="2" manualBreakCount="2">
    <brk id="91" max="7" man="1"/>
    <brk id="135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376"/>
  <sheetViews>
    <sheetView view="pageBreakPreview" topLeftCell="C40" zoomScale="90" zoomScaleSheetLayoutView="90" workbookViewId="0">
      <selection activeCell="C57" sqref="C57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10</v>
      </c>
      <c r="P1" s="8" t="s">
        <v>1176</v>
      </c>
    </row>
    <row r="2" spans="1:16" ht="19.5" customHeight="1">
      <c r="C2" s="9" t="s">
        <v>2096</v>
      </c>
      <c r="O2" s="8" t="s">
        <v>11</v>
      </c>
      <c r="P2" s="8" t="s">
        <v>1177</v>
      </c>
    </row>
    <row r="3" spans="1:16" ht="19.5" customHeight="1">
      <c r="O3" s="8" t="s">
        <v>12</v>
      </c>
      <c r="P3" s="8" t="s">
        <v>1178</v>
      </c>
    </row>
    <row r="4" spans="1:16" ht="19.5" customHeight="1">
      <c r="A4" s="11" t="str">
        <f>O1</f>
        <v>005010100097467000KD</v>
      </c>
      <c r="B4" s="11" t="str">
        <f>P1</f>
        <v>PT. Jakarta</v>
      </c>
      <c r="C4" s="12" t="str">
        <f>A4&amp;" "&amp;B4</f>
        <v>005010100097467000KD PT. Jakarta</v>
      </c>
      <c r="D4" s="13"/>
      <c r="E4" s="13"/>
      <c r="F4" s="13"/>
      <c r="G4" s="13"/>
      <c r="H4" s="11"/>
      <c r="O4" s="8" t="s">
        <v>13</v>
      </c>
      <c r="P4" s="8" t="s">
        <v>1179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14</v>
      </c>
      <c r="P5" s="8" t="s">
        <v>1180</v>
      </c>
    </row>
    <row r="6" spans="1:16" ht="21.95" customHeight="1">
      <c r="A6" s="14"/>
      <c r="B6" s="14"/>
      <c r="C6" s="125"/>
      <c r="D6" s="127"/>
      <c r="E6" s="15" t="s">
        <v>1985</v>
      </c>
      <c r="F6" s="15" t="s">
        <v>1986</v>
      </c>
      <c r="G6" s="127"/>
      <c r="H6" s="131"/>
      <c r="O6" s="8" t="s">
        <v>15</v>
      </c>
      <c r="P6" s="8" t="s">
        <v>1181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13556410</v>
      </c>
      <c r="E7" s="25">
        <f>SUMIFS('Daftar Koreksi'!$H$5:$H$92,'Daftar Koreksi'!$D$5:$D$92,'0100'!A4,'Daftar Koreksi'!$G$5:$G$92,"Persediaan",'Daftar Koreksi'!$H$5:$H$92,"&gt;0")</f>
        <v>0</v>
      </c>
      <c r="F7" s="25">
        <f>SUMIFS('Daftar Koreksi'!$H$5:$H$92,'Daftar Koreksi'!$D$5:$D$92,'0100'!A4,'Daftar Koreksi'!$G$5:$G$92,"Persediaan",'Daftar Koreksi'!$H$5:$H$92,"&lt;0")-SUMIFS('Daftar Koreksi'!$H$5:$H$92,'Daftar Koreksi'!$D$5:$D$92,'0100'!A4,'Daftar Koreksi'!$G$5:$G$92,"Persediaan",'Daftar Koreksi'!$H$5:$H$92,"&lt;0")-SUMIFS('Daftar Koreksi'!$H$5:$H$92,'Daftar Koreksi'!$D$5:$D$92,'0100'!A4,'Daftar Koreksi'!$G$5:$G$92,"Persediaan",'Daftar Koreksi'!$H$5:$H$92,"&lt;0")</f>
        <v>0</v>
      </c>
      <c r="G7" s="17">
        <f>D7+E7-F7</f>
        <v>13556410</v>
      </c>
      <c r="H7" s="121" t="str">
        <f>IF(ISNA(VLOOKUP(A4,'Mutasi Neraca'!$A$3:$S$914,19,FALSE)),"-",VLOOKUP(A4,'Mutasi Neraca'!$A$3:$S$914,19,FALSE))</f>
        <v>TP. No 3</v>
      </c>
      <c r="O7" s="8" t="s">
        <v>16</v>
      </c>
      <c r="P7" s="8" t="s">
        <v>1182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20587375000</v>
      </c>
      <c r="E8" s="25">
        <f>SUMIFS('Daftar Koreksi'!$H$5:$H$92,'Daftar Koreksi'!$D$5:$D$92,'0100'!A4,'Daftar Koreksi'!$G$5:$G$92,"Tanah",'Daftar Koreksi'!$H$5:$H$92,"&gt;0")</f>
        <v>0</v>
      </c>
      <c r="F8" s="25">
        <f>SUMIFS('Daftar Koreksi'!$H$5:$H$92,'Daftar Koreksi'!$D$5:$D$92,'0100'!A4,'Daftar Koreksi'!$G$5:$G$92,"Tanah",'Daftar Koreksi'!$H$5:$H$92,"&lt;0")-SUMIFS('Daftar Koreksi'!$H$5:$H$92,'Daftar Koreksi'!$D$5:$D$92,'0100'!A4,'Daftar Koreksi'!$G$5:$G$92,"Tanah",'Daftar Koreksi'!$H$5:$H$92,"&lt;0")-SUMIFS('Daftar Koreksi'!$H$5:$H$92,'Daftar Koreksi'!$D$5:$D$92,'0100'!A4,'Daftar Koreksi'!$G$5:$G$92,"Tanah",'Daftar Koreksi'!$H$5:$H$92,"&lt;0")</f>
        <v>0</v>
      </c>
      <c r="G8" s="17">
        <f t="shared" ref="G8:G24" si="0">D8+E8-F8</f>
        <v>20587375000</v>
      </c>
      <c r="H8" s="122"/>
      <c r="O8" s="8" t="s">
        <v>17</v>
      </c>
      <c r="P8" s="8" t="s">
        <v>1183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8317915888</v>
      </c>
      <c r="E9" s="25">
        <f>SUMIFS('Daftar Koreksi'!$H$5:$H$92,'Daftar Koreksi'!$D$5:$D$92,'0100'!A4,'Daftar Koreksi'!$G$5:$G$92,"Peralatan dan mesin",'Daftar Koreksi'!$H$5:$H$92,"&gt;0")</f>
        <v>0</v>
      </c>
      <c r="F9" s="25">
        <f>SUMIFS('Daftar Koreksi'!$H$5:$H$92,'Daftar Koreksi'!$D$5:$D$92,'0100'!A4,'Daftar Koreksi'!$G$5:$G$92,"Peralatan dan mesin",'Daftar Koreksi'!$H$5:$H$92,"&lt;0")-SUMIFS('Daftar Koreksi'!$H$5:$H$92,'Daftar Koreksi'!$D$5:$D$92,'0100'!A4,'Daftar Koreksi'!$G$5:$G$92,"Peralatan dan mesin",'Daftar Koreksi'!$H$5:$H$92,"&lt;0")-SUMIFS('Daftar Koreksi'!$H$5:$H$92,'Daftar Koreksi'!$D$5:$D$92,'0100'!A4,'Daftar Koreksi'!$G$5:$G$92,"Peralatan dan mesin",'Daftar Koreksi'!$H$5:$H$92,"&lt;0")</f>
        <v>0</v>
      </c>
      <c r="G9" s="17">
        <f t="shared" si="0"/>
        <v>8317915888</v>
      </c>
      <c r="H9" s="122"/>
      <c r="O9" s="8" t="s">
        <v>18</v>
      </c>
      <c r="P9" s="8" t="s">
        <v>1184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27256151250</v>
      </c>
      <c r="E10" s="25">
        <f>SUMIFS('Daftar Koreksi'!$H$5:$H$92,'Daftar Koreksi'!$D$5:$D$92,'0100'!A4,'Daftar Koreksi'!$G$5:$G$92,"Gedung dan Bangunan",'Daftar Koreksi'!$H$5:$H$92,"&gt;0")</f>
        <v>0</v>
      </c>
      <c r="F10" s="25">
        <f>SUMIFS('Daftar Koreksi'!$H$5:$H$92,'Daftar Koreksi'!$D$5:$D$92,'0100'!A4,'Daftar Koreksi'!$G$5:$G$92,"Gedung dan Bangunan",'Daftar Koreksi'!$H$5:$H$92,"&lt;0")-SUMIFS('Daftar Koreksi'!$H$5:$H$92,'Daftar Koreksi'!$D$5:$D$92,'0100'!A4,'Daftar Koreksi'!$G$5:$G$92,"Gedung dan Bangunan",'Daftar Koreksi'!$H$5:$H$92,"&lt;0")-SUMIFS('Daftar Koreksi'!$H$5:$H$92,'Daftar Koreksi'!$D$5:$D$92,'0100'!A4,'Daftar Koreksi'!$G$5:$G$92,"Gedung dan Bangunan",'Daftar Koreksi'!$H$5:$H$92,"&lt;0")</f>
        <v>0</v>
      </c>
      <c r="G10" s="17">
        <f t="shared" si="0"/>
        <v>27256151250</v>
      </c>
      <c r="H10" s="122"/>
      <c r="O10" s="8" t="s">
        <v>19</v>
      </c>
      <c r="P10" s="8" t="s">
        <v>1185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Koreksi'!$D$5:$D$92,'0100'!A4,'Daftar Koreksi'!$G$5:$G$92,"Jalan Irigasi Jaringan",'Daftar Koreksi'!$H$5:$H$92,"&gt;0")</f>
        <v>0</v>
      </c>
      <c r="F11" s="25">
        <f>SUMIFS('Daftar Koreksi'!$H$5:$H$92,'Daftar Koreksi'!$D$5:$D$92,'0100'!A4,'Daftar Koreksi'!$G$5:$G$92,"Jalan Irigasi Jaringan",'Daftar Koreksi'!$H$5:$H$92,"&lt;0")-SUMIFS('Daftar Koreksi'!$H$5:$H$92,'Daftar Koreksi'!$D$5:$D$92,'0100'!A4,'Daftar Koreksi'!$G$5:$G$92,"Jalan Irigasi Jaringan",'Daftar Koreksi'!$H$5:$H$92,"&lt;0")-SUMIFS('Daftar Koreksi'!$H$5:$H$92,'Daftar Koreksi'!$D$5:$D$92,'0100'!A4,'Daftar Koreksi'!$G$5:$G$92,"Jalan Irigasi Jaringan",'Daftar Koreksi'!$H$5:$H$92,"&lt;0")</f>
        <v>0</v>
      </c>
      <c r="G11" s="17">
        <f t="shared" si="0"/>
        <v>0</v>
      </c>
      <c r="H11" s="122"/>
      <c r="O11" s="8" t="s">
        <v>20</v>
      </c>
      <c r="P11" s="8" t="s">
        <v>1186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25763772</v>
      </c>
      <c r="E12" s="25">
        <f>SUMIFS('Daftar Koreksi'!$H$5:$H$92,'Daftar Koreksi'!$D$5:$D$92,'0100'!A4,'Daftar Koreksi'!$G$5:$G$92,"Aset Tetap Lainnya",'Daftar Koreksi'!$H$5:$H$92,"&gt;0")</f>
        <v>4411622</v>
      </c>
      <c r="F12" s="25">
        <f>SUMIFS('Daftar Koreksi'!$H$5:$H$92,'Daftar Koreksi'!$D$5:$D$92,'0100'!A4,'Daftar Koreksi'!$G$5:$G$92,"Aset Tetap Lainnya",'Daftar Koreksi'!$H$5:$H$92,"&lt;0")-SUMIFS('Daftar Koreksi'!$H$5:$H$92,'Daftar Koreksi'!$D$5:$D$92,'0100'!A4,'Daftar Koreksi'!$G$5:$G$92,"Aset Tetap Lainnya",'Daftar Koreksi'!$H$5:$H$92,"&lt;0")-SUMIFS('Daftar Koreksi'!$H$5:$H$92,'Daftar Koreksi'!$D$5:$D$92,'0100'!A4,'Daftar Koreksi'!$G$5:$G$92,"Aset Tetap Lainnya",'Daftar Koreksi'!$H$5:$H$92,"&lt;0")</f>
        <v>0</v>
      </c>
      <c r="G12" s="17">
        <f t="shared" si="0"/>
        <v>30175394</v>
      </c>
      <c r="H12" s="122"/>
      <c r="O12" s="8" t="s">
        <v>21</v>
      </c>
      <c r="P12" s="8" t="s">
        <v>1187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Koreksi'!$D$5:$D$92,'0100'!A4,'Daftar Koreksi'!$G$5:$G$92,"Kontruksi Dalam Pengerjaan",'Daftar Koreksi'!$H$5:$H$92,"&gt;0")</f>
        <v>0</v>
      </c>
      <c r="F13" s="25">
        <f>SUMIFS('Daftar Koreksi'!$H$5:$H$92,'Daftar Koreksi'!$D$5:$D$92,'0100'!A4,'Daftar Koreksi'!$G$5:$G$92,"Kontruksi Dalam Pengerjaan",'Daftar Koreksi'!$H$5:$H$92,"&lt;0")-SUMIFS('Daftar Koreksi'!$H$5:$H$92,'Daftar Koreksi'!$D$5:$D$92,'0100'!A4,'Daftar Koreksi'!$G$5:$G$92,"Kontruksi Dalam Pengerjaan",'Daftar Koreksi'!$H$5:$H$92,"&lt;0")-SUMIFS('Daftar Koreksi'!$H$5:$H$92,'Daftar Koreksi'!$D$5:$D$92,'0100'!A4,'Daftar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22</v>
      </c>
      <c r="P13" s="8" t="s">
        <v>1188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6633000</v>
      </c>
      <c r="E14" s="25">
        <f>SUMIFS('Daftar Koreksi'!$H$5:$H$92,'Daftar Koreksi'!$D$5:$D$92,'0100'!A4,'Daftar Koreksi'!$G$5:$G$92,"Aset Tak Berwujud",'Daftar Koreksi'!$H$5:$H$92,"&gt;0")</f>
        <v>0</v>
      </c>
      <c r="F14" s="25">
        <f>SUMIFS('Daftar Koreksi'!$H$5:$H$92,'Daftar Koreksi'!$D$5:$D$92,'0100'!A4,'Daftar Koreksi'!$G$5:$G$92,"Aset Tak Berwujud",'Daftar Koreksi'!$H$5:$H$92,"&lt;0")-SUMIFS('Daftar Koreksi'!$H$5:$H$92,'Daftar Koreksi'!$D$5:$D$92,'0100'!A4,'Daftar Koreksi'!$G$5:$G$92,"Aset Tak Berwujud",'Daftar Koreksi'!$H$5:$H$92,"&lt;0")-SUMIFS('Daftar Koreksi'!$H$5:$H$92,'Daftar Koreksi'!$D$5:$D$92,'0100'!A4,'Daftar Koreksi'!$G$5:$G$92,"Aset Tak Berwujud",'Daftar Koreksi'!$H$5:$H$92,"&lt;0")</f>
        <v>0</v>
      </c>
      <c r="G14" s="17">
        <f t="shared" si="0"/>
        <v>6633000</v>
      </c>
      <c r="H14" s="122"/>
      <c r="O14" s="8" t="s">
        <v>23</v>
      </c>
      <c r="P14" s="8" t="s">
        <v>1189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208365956</v>
      </c>
      <c r="E15" s="25">
        <f>SUMIFS('Daftar Koreksi'!$H$5:$H$92,'Daftar Koreksi'!$D$5:$D$92,'0100'!A4,'Daftar Koreksi'!$G$5:$G$92,"Aset Henti Guna",'Daftar Koreksi'!$H$5:$H$92,"&gt;0")</f>
        <v>0</v>
      </c>
      <c r="F15" s="25">
        <f>SUMIFS('Daftar Koreksi'!$H$5:$H$92,'Daftar Koreksi'!$D$5:$D$92,'0100'!A4,'Daftar Koreksi'!$G$5:$G$92,"Aset Henti Guna",'Daftar Koreksi'!$H$5:$H$92,"&lt;0")-SUMIFS('Daftar Koreksi'!$H$5:$H$92,'Daftar Koreksi'!$D$5:$D$92,'0100'!A4,'Daftar Koreksi'!$G$5:$G$92,"Aset Henti Guna",'Daftar Koreksi'!$H$5:$H$92,"&lt;0")-SUMIFS('Daftar Koreksi'!$H$5:$H$92,'Daftar Koreksi'!$D$5:$D$92,'0100'!A4,'Daftar Koreksi'!$G$5:$G$92,"Aset Henti Guna",'Daftar Koreksi'!$H$5:$H$92,"&lt;0")</f>
        <v>0</v>
      </c>
      <c r="G15" s="17">
        <f t="shared" si="0"/>
        <v>208365956</v>
      </c>
      <c r="H15" s="122"/>
      <c r="O15" s="8" t="s">
        <v>24</v>
      </c>
      <c r="P15" s="8" t="s">
        <v>1977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56415761276</v>
      </c>
      <c r="E16" s="19">
        <f>SUM(E7:E15)</f>
        <v>4411622</v>
      </c>
      <c r="F16" s="19">
        <f>SUM(F7:F15)</f>
        <v>0</v>
      </c>
      <c r="G16" s="19">
        <f t="shared" si="0"/>
        <v>56420172898</v>
      </c>
      <c r="H16" s="122"/>
      <c r="O16" s="8" t="s">
        <v>25</v>
      </c>
      <c r="P16" s="8" t="s">
        <v>1995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-7173185634</v>
      </c>
      <c r="E17" s="25">
        <f>SUMIFS('Daftar Koreksi'!$I$5:$I$92,'Daftar Koreksi'!$D$5:$D$92,'0100'!A4,'Daftar Koreksi'!$G$5:$G$92,"Peralatan dan mesin",'Daftar Koreksi'!$I$5:$I$92,"&gt;0")</f>
        <v>0</v>
      </c>
      <c r="F17" s="25">
        <f>SUMIFS('Daftar Koreksi'!$I$5:$I$92,'Daftar Koreksi'!$D$5:$D$92,'0100'!A4,'Daftar Koreksi'!$G$5:$G$92,"Peralatan dan mesin",'Daftar Koreksi'!$I$5:$I$92,"&lt;0")-SUMIFS('Daftar Koreksi'!$I$5:$I$92,'Daftar Koreksi'!$D$5:$D$92,'0100'!A4,'Daftar Koreksi'!$G$5:$G$92,"Peralatan dan mesin",'Daftar Koreksi'!$I$5:$I$92,"&lt;0")-SUMIFS('Daftar Koreksi'!$I$5:$I$92,'Daftar Koreksi'!$D$5:$D$92,'0100'!A4,'Daftar Koreksi'!$G$5:$G$92,"Peralatan dan mesin",'Daftar Koreksi'!$I$5:$I$92,"&lt;0")</f>
        <v>0</v>
      </c>
      <c r="G17" s="17">
        <f t="shared" si="0"/>
        <v>-7173185634</v>
      </c>
      <c r="H17" s="122"/>
      <c r="O17" s="8" t="s">
        <v>26</v>
      </c>
      <c r="P17" s="8" t="s">
        <v>1996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-3976330198</v>
      </c>
      <c r="E18" s="25">
        <f>SUMIFS('Daftar Koreksi'!$I$5:$I$92,'Daftar Koreksi'!$D$5:$D$92,'0100'!A4,'Daftar Koreksi'!$G$5:$G$92,"Gedung dan Bangunan",'Daftar Koreksi'!$I$5:$I$92,"&gt;0")</f>
        <v>0</v>
      </c>
      <c r="F18" s="25">
        <f>SUMIFS('Daftar Koreksi'!$I$5:$I$92,'Daftar Koreksi'!$D$5:$D$92,'0100'!A4,'Daftar Koreksi'!$G$5:$G$92,"Gedung dan Bangunan",'Daftar Koreksi'!$I$5:$I$92,"&lt;0")-SUMIFS('Daftar Koreksi'!$I$5:$I$92,'Daftar Koreksi'!$D$5:$D$92,'0100'!A4,'Daftar Koreksi'!$G$5:$G$92,"Gedung dan Bangunan",'Daftar Koreksi'!$I$5:$I$92,"&lt;0")-SUMIFS('Daftar Koreksi'!$I$5:$I$92,'Daftar Koreksi'!$D$5:$D$92,'0100'!A4,'Daftar Koreksi'!$G$5:$G$92,"Gedung dan Bangunan",'Daftar Koreksi'!$I$5:$I$92,"&lt;0")</f>
        <v>0</v>
      </c>
      <c r="G18" s="17">
        <f t="shared" si="0"/>
        <v>-3976330198</v>
      </c>
      <c r="H18" s="122"/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Koreksi'!$D$5:$D$92,'0100'!A4,'Daftar Koreksi'!$G$5:$G$92,"Jalan Irigasi Jaringan",'Daftar Koreksi'!$I$5:$I$92,"&gt;0")</f>
        <v>0</v>
      </c>
      <c r="F19" s="25">
        <f>SUMIFS('Daftar Koreksi'!$I$5:$I$92,'Daftar Koreksi'!$D$5:$D$92,'0100'!A4,'Daftar Koreksi'!$G$5:$G$92,"Jalan Irigasi Jaringan",'Daftar Koreksi'!$I$5:$I$92,"&lt;0")-SUMIFS('Daftar Koreksi'!$I$5:$I$92,'Daftar Koreksi'!$D$5:$D$92,'0100'!A4,'Daftar Koreksi'!$G$5:$G$92,"Jalan Irigasi Jaringan",'Daftar Koreksi'!$I$5:$I$92,"&lt;0")-SUMIFS('Daftar Koreksi'!$I$5:$I$92,'Daftar Koreksi'!$D$5:$D$92,'0100'!A4,'Daftar Koreksi'!$G$5:$G$92,"Jalan Irigasi Jaringan",'Daftar Koreksi'!$I$5:$I$92,"&lt;0")</f>
        <v>0</v>
      </c>
      <c r="G19" s="17">
        <f t="shared" si="0"/>
        <v>0</v>
      </c>
      <c r="H19" s="122"/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Koreksi'!$D$5:$D$92,'0100'!A4,'Daftar Koreksi'!$G$5:$G$92,"Aset Tetap Lainnya",'Daftar Koreksi'!$I$5:$I$92,"&gt;0")</f>
        <v>0</v>
      </c>
      <c r="F20" s="25">
        <f>SUMIFS('Daftar Koreksi'!$I$5:$I$92,'Daftar Koreksi'!$D$5:$D$92,'0100'!A4,'Daftar Koreksi'!$G$5:$G$92,"Aset Tetap Lainnya",'Daftar Koreksi'!$I$5:$I$92,"&lt;0")-SUMIFS('Daftar Koreksi'!$I$5:$I$92,'Daftar Koreksi'!$D$5:$D$92,'0100'!A4,'Daftar Koreksi'!$G$5:$G$92,"Aset Tetap Lainnya",'Daftar Koreksi'!$I$5:$I$92,"&lt;0")-SUMIFS('Daftar Koreksi'!$I$5:$I$92,'Daftar Koreksi'!$D$5:$D$92,'0100'!A4,'Daftar Koreksi'!$G$5:$G$92,"Aset Tetap Lainnya",'Daftar Koreksi'!$I$5:$I$92,"&lt;0")</f>
        <v>0</v>
      </c>
      <c r="G20" s="17">
        <f t="shared" si="0"/>
        <v>0</v>
      </c>
      <c r="H20" s="122"/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-206999545</v>
      </c>
      <c r="E21" s="25">
        <f>SUMIFS('Daftar Koreksi'!$I$5:$I$92,'Daftar Koreksi'!$D$5:$D$92,'0100'!A4,'Daftar Koreksi'!$G$5:$G$92,"Aset Henti Guna",'Daftar Koreksi'!$I$5:$I$92,"&gt;0")</f>
        <v>0</v>
      </c>
      <c r="F21" s="25">
        <f>SUMIFS('Daftar Koreksi'!$I$5:$I$92,'Daftar Koreksi'!$D$5:$D$92,'0100'!A4,'Daftar Koreksi'!$G$5:$G$92,"Aset Henti Guna",'Daftar Koreksi'!$I$5:$I$92,"&lt;0")-SUMIFS('Daftar Koreksi'!$I$5:$I$92,'Daftar Koreksi'!$D$5:$D$92,'0100'!A4,'Daftar Koreksi'!$G$5:$G$92,"Aset Henti Guna",'Daftar Koreksi'!$I$5:$I$92,"&lt;0")-SUMIFS('Daftar Koreksi'!$I$5:$I$92,'Daftar Koreksi'!$D$5:$D$92,'0100'!A4,'Daftar Koreksi'!$G$5:$G$92,"Aset Henti Guna",'Daftar Koreksi'!$I$5:$I$92,"&lt;0")</f>
        <v>0</v>
      </c>
      <c r="G21" s="17">
        <f t="shared" si="0"/>
        <v>-206999545</v>
      </c>
      <c r="H21" s="122"/>
    </row>
    <row r="22" spans="1:16" ht="21.95" customHeight="1">
      <c r="A22" s="14"/>
      <c r="B22" s="14"/>
      <c r="C22" s="18" t="s">
        <v>2094</v>
      </c>
      <c r="D22" s="19">
        <f>SUM(D17:D21)</f>
        <v>-11356515377</v>
      </c>
      <c r="E22" s="19">
        <f>SUM(E17:E21)</f>
        <v>0</v>
      </c>
      <c r="F22" s="19">
        <f>SUM(F17:F21)</f>
        <v>0</v>
      </c>
      <c r="G22" s="19">
        <f t="shared" si="0"/>
        <v>-11356515377</v>
      </c>
      <c r="H22" s="122"/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45059245899</v>
      </c>
      <c r="E23" s="19">
        <f>E22+E16</f>
        <v>4411622</v>
      </c>
      <c r="F23" s="19">
        <f>F22+F16</f>
        <v>0</v>
      </c>
      <c r="G23" s="19">
        <f t="shared" si="0"/>
        <v>45063657521</v>
      </c>
      <c r="H23" s="122"/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</row>
    <row r="26" spans="1:16" ht="19.5" customHeight="1">
      <c r="A26" s="11" t="str">
        <f>O2</f>
        <v>005010100097471000KD</v>
      </c>
      <c r="B26" s="11" t="str">
        <f>P2</f>
        <v>PN. Jakarta Pusat</v>
      </c>
      <c r="C26" s="12" t="str">
        <f>A26&amp;" "&amp;B26</f>
        <v>005010100097471000KD PN. Jakarta Pusat</v>
      </c>
      <c r="D26" s="13"/>
      <c r="E26" s="13"/>
      <c r="F26" s="13"/>
      <c r="G26" s="13"/>
      <c r="H26" s="11"/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45072294</v>
      </c>
      <c r="E29" s="25">
        <f>SUMIFS('Daftar Koreksi'!$H$5:$H$92,'Daftar Koreksi'!$D$5:$D$92,'0100'!A26,'Daftar Koreksi'!$G$5:$G$92,"Persediaan",'Daftar Koreksi'!$H$5:$H$92,"&gt;0")</f>
        <v>0</v>
      </c>
      <c r="F29" s="25">
        <f>SUMIFS('Daftar Koreksi'!$H$5:$H$92,'Daftar Koreksi'!$D$5:$D$92,'0100'!A26,'Daftar Koreksi'!$G$5:$G$92,"Persediaan",'Daftar Koreksi'!$H$5:$H$92,"&lt;0")-SUMIFS('Daftar Koreksi'!$H$5:$H$92,'Daftar Koreksi'!$D$5:$D$92,'0100'!A26,'Daftar Koreksi'!$G$5:$G$92,"Persediaan",'Daftar Koreksi'!$H$5:$H$92,"&lt;0")-SUMIFS('Daftar Koreksi'!$H$5:$H$92,'Daftar Koreksi'!$D$5:$D$92,'0100'!A26,'Daftar Koreksi'!$G$5:$G$92,"Persediaan",'Daftar Koreksi'!$H$5:$H$92,"&lt;0")</f>
        <v>0</v>
      </c>
      <c r="G29" s="17">
        <f>D29+E29-F29</f>
        <v>45072294</v>
      </c>
      <c r="H29" s="121" t="str">
        <f>IF(ISNA(VLOOKUP(A26,'Mutasi Neraca'!$A$3:$S$914,19,FALSE)),"-",VLOOKUP(A26,'Mutasi Neraca'!$A$3:$S$914,19,FALSE))</f>
        <v>TP. No 3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111202873400</v>
      </c>
      <c r="E30" s="25">
        <f>SUMIFS('Daftar Koreksi'!$H$5:$H$92,'Daftar Koreksi'!$D$5:$D$92,'0100'!A26,'Daftar Koreksi'!$G$5:$G$92,"Tanah",'Daftar Koreksi'!$H$5:$H$92,"&gt;0")</f>
        <v>0</v>
      </c>
      <c r="F30" s="25">
        <f>SUMIFS('Daftar Koreksi'!$H$5:$H$92,'Daftar Koreksi'!$D$5:$D$92,'0100'!A26,'Daftar Koreksi'!$G$5:$G$92,"Tanah",'Daftar Koreksi'!$H$5:$H$92,"&lt;0")-SUMIFS('Daftar Koreksi'!$H$5:$H$92,'Daftar Koreksi'!$D$5:$D$92,'0100'!A26,'Daftar Koreksi'!$G$5:$G$92,"Tanah",'Daftar Koreksi'!$H$5:$H$92,"&lt;0")-SUMIFS('Daftar Koreksi'!$H$5:$H$92,'Daftar Koreksi'!$D$5:$D$92,'0100'!A26,'Daftar Koreksi'!$G$5:$G$92,"Tanah",'Daftar Koreksi'!$H$5:$H$92,"&lt;0")</f>
        <v>0</v>
      </c>
      <c r="G30" s="17">
        <f t="shared" ref="G30:G46" si="1">D30+E30-F30</f>
        <v>111202873400</v>
      </c>
      <c r="H30" s="122"/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45743733270</v>
      </c>
      <c r="E31" s="25">
        <f>SUMIFS('Daftar Koreksi'!$H$5:$H$92,'Daftar Koreksi'!$D$5:$D$92,'0100'!A26,'Daftar Koreksi'!$G$5:$G$92,"Peralatan dan mesin",'Daftar Koreksi'!$H$5:$H$92,"&gt;0")</f>
        <v>0</v>
      </c>
      <c r="F31" s="25">
        <f>SUMIFS('Daftar Koreksi'!$H$5:$H$92,'Daftar Koreksi'!$D$5:$D$92,'0100'!A26,'Daftar Koreksi'!$G$5:$G$92,"Peralatan dan mesin",'Daftar Koreksi'!$H$5:$H$92,"&lt;0")-SUMIFS('Daftar Koreksi'!$H$5:$H$92,'Daftar Koreksi'!$D$5:$D$92,'0100'!A26,'Daftar Koreksi'!$G$5:$G$92,"Peralatan dan mesin",'Daftar Koreksi'!$H$5:$H$92,"&lt;0")-SUMIFS('Daftar Koreksi'!$H$5:$H$92,'Daftar Koreksi'!$D$5:$D$92,'0100'!A26,'Daftar Koreksi'!$G$5:$G$92,"Peralatan dan mesin",'Daftar Koreksi'!$H$5:$H$92,"&lt;0")</f>
        <v>0</v>
      </c>
      <c r="G31" s="17">
        <f t="shared" si="1"/>
        <v>45743733270</v>
      </c>
      <c r="H31" s="122"/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183347175175</v>
      </c>
      <c r="E32" s="25">
        <f>SUMIFS('Daftar Koreksi'!$H$5:$H$92,'Daftar Koreksi'!$D$5:$D$92,'0100'!A26,'Daftar Koreksi'!$G$5:$G$92,"Gedung dan Bangunan",'Daftar Koreksi'!$H$5:$H$92,"&gt;0")</f>
        <v>0</v>
      </c>
      <c r="F32" s="25">
        <f>SUMIFS('Daftar Koreksi'!$H$5:$H$92,'Daftar Koreksi'!$D$5:$D$92,'0100'!A26,'Daftar Koreksi'!$G$5:$G$92,"Gedung dan Bangunan",'Daftar Koreksi'!$H$5:$H$92,"&lt;0")-SUMIFS('Daftar Koreksi'!$H$5:$H$92,'Daftar Koreksi'!$D$5:$D$92,'0100'!A26,'Daftar Koreksi'!$G$5:$G$92,"Gedung dan Bangunan",'Daftar Koreksi'!$H$5:$H$92,"&lt;0")-SUMIFS('Daftar Koreksi'!$H$5:$H$92,'Daftar Koreksi'!$D$5:$D$92,'0100'!A26,'Daftar Koreksi'!$G$5:$G$92,"Gedung dan Bangunan",'Daftar Koreksi'!$H$5:$H$92,"&lt;0")</f>
        <v>0</v>
      </c>
      <c r="G32" s="17">
        <f t="shared" si="1"/>
        <v>183347175175</v>
      </c>
      <c r="H32" s="122"/>
    </row>
    <row r="33" spans="1:8" ht="21.95" customHeight="1">
      <c r="A33" s="14"/>
      <c r="B33" s="14"/>
      <c r="C33" s="16" t="s">
        <v>1169</v>
      </c>
      <c r="D33" s="17">
        <f>VLOOKUP(A26,'Neraca Unaudited SIMAK'!$A$2:$S$10004,7,FALSE)</f>
        <v>1359999</v>
      </c>
      <c r="E33" s="25">
        <f>SUMIFS('Daftar Koreksi'!$H$5:$H$92,'Daftar Koreksi'!$D$5:$D$92,'0100'!A26,'Daftar Koreksi'!$G$5:$G$92,"Jalan Irigasi Jaringan",'Daftar Koreksi'!$H$5:$H$92,"&gt;0")</f>
        <v>0</v>
      </c>
      <c r="F33" s="25">
        <f>SUMIFS('Daftar Koreksi'!$H$5:$H$92,'Daftar Koreksi'!$D$5:$D$92,'0100'!A26,'Daftar Koreksi'!$G$5:$G$92,"Jalan Irigasi Jaringan",'Daftar Koreksi'!$H$5:$H$92,"&lt;0")-SUMIFS('Daftar Koreksi'!$H$5:$H$92,'Daftar Koreksi'!$D$5:$D$92,'0100'!A26,'Daftar Koreksi'!$G$5:$G$92,"Jalan Irigasi Jaringan",'Daftar Koreksi'!$H$5:$H$92,"&lt;0")-SUMIFS('Daftar Koreksi'!$H$5:$H$92,'Daftar Koreksi'!$D$5:$D$92,'0100'!A26,'Daftar Koreksi'!$G$5:$G$92,"Jalan Irigasi Jaringan",'Daftar Koreksi'!$H$5:$H$92,"&lt;0")</f>
        <v>0</v>
      </c>
      <c r="G33" s="17">
        <f t="shared" si="1"/>
        <v>1359999</v>
      </c>
      <c r="H33" s="122"/>
    </row>
    <row r="34" spans="1:8" ht="21.95" customHeight="1">
      <c r="A34" s="14"/>
      <c r="B34" s="14"/>
      <c r="C34" s="16" t="s">
        <v>1170</v>
      </c>
      <c r="D34" s="17">
        <f>VLOOKUP(A26,'Neraca Unaudited SIMAK'!$A$2:$S$10004,8,FALSE)</f>
        <v>159726350</v>
      </c>
      <c r="E34" s="25">
        <f>SUMIFS('Daftar Koreksi'!$H$5:$H$92,'Daftar Koreksi'!$D$5:$D$92,'0100'!A26,'Daftar Koreksi'!$G$5:$G$92,"Aset Tetap Lainnya",'Daftar Koreksi'!$H$5:$H$92,"&gt;0")</f>
        <v>4411622</v>
      </c>
      <c r="F34" s="25">
        <f>SUMIFS('Daftar Koreksi'!$H$5:$H$92,'Daftar Koreksi'!$D$5:$D$92,'0100'!A26,'Daftar Koreksi'!$G$5:$G$92,"Aset Tetap Lainnya",'Daftar Koreksi'!$H$5:$H$92,"&lt;0")-SUMIFS('Daftar Koreksi'!$H$5:$H$92,'Daftar Koreksi'!$D$5:$D$92,'0100'!A26,'Daftar Koreksi'!$G$5:$G$92,"Aset Tetap Lainnya",'Daftar Koreksi'!$H$5:$H$92,"&lt;0")-SUMIFS('Daftar Koreksi'!$H$5:$H$92,'Daftar Koreksi'!$D$5:$D$92,'0100'!A26,'Daftar Koreksi'!$G$5:$G$92,"Aset Tetap Lainnya",'Daftar Koreksi'!$H$5:$H$92,"&lt;0")</f>
        <v>0</v>
      </c>
      <c r="G34" s="17">
        <f t="shared" si="1"/>
        <v>164137972</v>
      </c>
      <c r="H34" s="122"/>
    </row>
    <row r="35" spans="1:8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Koreksi'!$D$5:$D$92,'0100'!A26,'Daftar Koreksi'!$G$5:$G$92,"Kontruksi Dalam Pengerjaan",'Daftar Koreksi'!$H$5:$H$92,"&gt;0")</f>
        <v>0</v>
      </c>
      <c r="F35" s="25">
        <f>SUMIFS('Daftar Koreksi'!$H$5:$H$92,'Daftar Koreksi'!$D$5:$D$92,'0100'!A26,'Daftar Koreksi'!$G$5:$G$92,"Kontruksi Dalam Pengerjaan",'Daftar Koreksi'!$H$5:$H$92,"&lt;0")-SUMIFS('Daftar Koreksi'!$H$5:$H$92,'Daftar Koreksi'!$D$5:$D$92,'0100'!A26,'Daftar Koreksi'!$G$5:$G$92,"Kontruksi Dalam Pengerjaan",'Daftar Koreksi'!$H$5:$H$92,"&lt;0")-SUMIFS('Daftar Koreksi'!$H$5:$H$92,'Daftar Koreksi'!$D$5:$D$92,'0100'!A26,'Daftar Koreksi'!$G$5:$G$92,"Kontruksi Dalam Pengerjaan",'Daftar Koreksi'!$H$5:$H$92,"&lt;0")</f>
        <v>0</v>
      </c>
      <c r="G35" s="17">
        <f t="shared" si="1"/>
        <v>0</v>
      </c>
      <c r="H35" s="122"/>
    </row>
    <row r="36" spans="1:8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Koreksi'!$D$5:$D$92,'0100'!A26,'Daftar Koreksi'!$G$5:$G$92,"Aset Tak Berwujud",'Daftar Koreksi'!$H$5:$H$92,"&gt;0")</f>
        <v>0</v>
      </c>
      <c r="F36" s="25">
        <f>SUMIFS('Daftar Koreksi'!$H$5:$H$92,'Daftar Koreksi'!$D$5:$D$92,'0100'!A26,'Daftar Koreksi'!$G$5:$G$92,"Aset Tak Berwujud",'Daftar Koreksi'!$H$5:$H$92,"&lt;0")-SUMIFS('Daftar Koreksi'!$H$5:$H$92,'Daftar Koreksi'!$D$5:$D$92,'0100'!A26,'Daftar Koreksi'!$G$5:$G$92,"Aset Tak Berwujud",'Daftar Koreksi'!$H$5:$H$92,"&lt;0")-SUMIFS('Daftar Koreksi'!$H$5:$H$92,'Daftar Koreksi'!$D$5:$D$92,'0100'!A26,'Daftar Koreksi'!$G$5:$G$92,"Aset Tak Berwujud",'Daftar Koreksi'!$H$5:$H$92,"&lt;0")</f>
        <v>0</v>
      </c>
      <c r="G36" s="17">
        <f t="shared" si="1"/>
        <v>0</v>
      </c>
      <c r="H36" s="122"/>
    </row>
    <row r="37" spans="1:8" ht="21.95" customHeight="1">
      <c r="A37" s="14"/>
      <c r="B37" s="14"/>
      <c r="C37" s="16" t="s">
        <v>1173</v>
      </c>
      <c r="D37" s="17">
        <f>VLOOKUP(A26,'Neraca Unaudited SIMAK'!$A$2:$S$10004,11,FALSE)</f>
        <v>0</v>
      </c>
      <c r="E37" s="25">
        <f>SUMIFS('Daftar Koreksi'!$H$5:$H$92,'Daftar Koreksi'!$D$5:$D$92,'0100'!A26,'Daftar Koreksi'!$G$5:$G$92,"Aset Henti Guna",'Daftar Koreksi'!$H$5:$H$92,"&gt;0")</f>
        <v>0</v>
      </c>
      <c r="F37" s="25">
        <f>SUMIFS('Daftar Koreksi'!$H$5:$H$92,'Daftar Koreksi'!$D$5:$D$92,'0100'!A26,'Daftar Koreksi'!$G$5:$G$92,"Aset Henti Guna",'Daftar Koreksi'!$H$5:$H$92,"&lt;0")-SUMIFS('Daftar Koreksi'!$H$5:$H$92,'Daftar Koreksi'!$D$5:$D$92,'0100'!A26,'Daftar Koreksi'!$G$5:$G$92,"Aset Henti Guna",'Daftar Koreksi'!$H$5:$H$92,"&lt;0")-SUMIFS('Daftar Koreksi'!$H$5:$H$92,'Daftar Koreksi'!$D$5:$D$92,'0100'!A26,'Daftar Koreksi'!$G$5:$G$92,"Aset Henti Guna",'Daftar Koreksi'!$H$5:$H$92,"&lt;0")</f>
        <v>0</v>
      </c>
      <c r="G37" s="17">
        <f t="shared" si="1"/>
        <v>0</v>
      </c>
      <c r="H37" s="122"/>
    </row>
    <row r="38" spans="1:8" ht="21.95" customHeight="1">
      <c r="A38" s="14"/>
      <c r="B38" s="14"/>
      <c r="C38" s="18" t="s">
        <v>2093</v>
      </c>
      <c r="D38" s="19">
        <f>VLOOKUP(A26,'Neraca Unaudited SIMAK'!$A$2:$S$10004,12,FALSE)</f>
        <v>340499940488</v>
      </c>
      <c r="E38" s="19">
        <f>SUM(E29:E37)</f>
        <v>4411622</v>
      </c>
      <c r="F38" s="19">
        <f>SUM(F29:F37)</f>
        <v>0</v>
      </c>
      <c r="G38" s="19">
        <f t="shared" si="1"/>
        <v>340504352110</v>
      </c>
      <c r="H38" s="122"/>
    </row>
    <row r="39" spans="1:8" ht="21.95" customHeight="1">
      <c r="A39" s="14"/>
      <c r="B39" s="14"/>
      <c r="C39" s="16" t="s">
        <v>2087</v>
      </c>
      <c r="D39" s="17">
        <f>VLOOKUP(A26,'Neraca Unaudited SIMAK'!$A$2:$S$10004,13,FALSE)</f>
        <v>-8589302275</v>
      </c>
      <c r="E39" s="25">
        <f>SUMIFS('Daftar Koreksi'!$I$5:$I$92,'Daftar Koreksi'!$D$5:$D$92,'0100'!A26,'Daftar Koreksi'!$G$5:$G$92,"Peralatan dan mesin",'Daftar Koreksi'!$I$5:$I$92,"&gt;0")</f>
        <v>0</v>
      </c>
      <c r="F39" s="25">
        <f>SUMIFS('Daftar Koreksi'!$I$5:$I$92,'Daftar Koreksi'!$D$5:$D$92,'0100'!A26,'Daftar Koreksi'!$G$5:$G$92,"Peralatan dan mesin",'Daftar Koreksi'!$I$5:$I$92,"&lt;0")-SUMIFS('Daftar Koreksi'!$I$5:$I$92,'Daftar Koreksi'!$D$5:$D$92,'0100'!A26,'Daftar Koreksi'!$G$5:$G$92,"Peralatan dan mesin",'Daftar Koreksi'!$I$5:$I$92,"&lt;0")-SUMIFS('Daftar Koreksi'!$I$5:$I$92,'Daftar Koreksi'!$D$5:$D$92,'0100'!A26,'Daftar Koreksi'!$G$5:$G$92,"Peralatan dan mesin",'Daftar Koreksi'!$I$5:$I$92,"&lt;0")</f>
        <v>0</v>
      </c>
      <c r="G39" s="17">
        <f t="shared" si="1"/>
        <v>-8589302275</v>
      </c>
      <c r="H39" s="122"/>
    </row>
    <row r="40" spans="1:8" ht="21.95" customHeight="1">
      <c r="A40" s="14"/>
      <c r="B40" s="14"/>
      <c r="C40" s="16" t="s">
        <v>2088</v>
      </c>
      <c r="D40" s="17">
        <f>VLOOKUP(A26,'Neraca Unaudited SIMAK'!$A$2:$S$10004,14,FALSE)</f>
        <v>-2711559710</v>
      </c>
      <c r="E40" s="25">
        <f>SUMIFS('Daftar Koreksi'!$I$5:$I$92,'Daftar Koreksi'!$D$5:$D$92,'0100'!A26,'Daftar Koreksi'!$G$5:$G$92,"Gedung dan Bangunan",'Daftar Koreksi'!$I$5:$I$92,"&gt;0")</f>
        <v>0</v>
      </c>
      <c r="F40" s="25">
        <f>SUMIFS('Daftar Koreksi'!$I$5:$I$92,'Daftar Koreksi'!$D$5:$D$92,'0100'!A26,'Daftar Koreksi'!$G$5:$G$92,"Gedung dan Bangunan",'Daftar Koreksi'!$I$5:$I$92,"&lt;0")-SUMIFS('Daftar Koreksi'!$I$5:$I$92,'Daftar Koreksi'!$D$5:$D$92,'0100'!A26,'Daftar Koreksi'!$G$5:$G$92,"Gedung dan Bangunan",'Daftar Koreksi'!$I$5:$I$92,"&lt;0")-SUMIFS('Daftar Koreksi'!$I$5:$I$92,'Daftar Koreksi'!$D$5:$D$92,'0100'!A26,'Daftar Koreksi'!$G$5:$G$92,"Gedung dan Bangunan",'Daftar Koreksi'!$I$5:$I$92,"&lt;0")</f>
        <v>0</v>
      </c>
      <c r="G40" s="17">
        <f t="shared" si="1"/>
        <v>-2711559710</v>
      </c>
      <c r="H40" s="122"/>
    </row>
    <row r="41" spans="1:8" ht="21.95" customHeight="1">
      <c r="A41" s="14"/>
      <c r="B41" s="14"/>
      <c r="C41" s="16" t="s">
        <v>2089</v>
      </c>
      <c r="D41" s="17">
        <f>VLOOKUP(A26,'Neraca Unaudited SIMAK'!$A$2:$S$10004,15,FALSE)</f>
        <v>-383592</v>
      </c>
      <c r="E41" s="25">
        <f>SUMIFS('Daftar Koreksi'!$I$5:$I$92,'Daftar Koreksi'!$D$5:$D$92,'0100'!A26,'Daftar Koreksi'!$G$5:$G$92,"Jalan Irigasi Jaringan",'Daftar Koreksi'!$I$5:$I$92,"&gt;0")</f>
        <v>0</v>
      </c>
      <c r="F41" s="25">
        <f>SUMIFS('Daftar Koreksi'!$I$5:$I$92,'Daftar Koreksi'!$D$5:$D$92,'0100'!A26,'Daftar Koreksi'!$G$5:$G$92,"Jalan Irigasi Jaringan",'Daftar Koreksi'!$I$5:$I$92,"&lt;0")-SUMIFS('Daftar Koreksi'!$I$5:$I$92,'Daftar Koreksi'!$D$5:$D$92,'0100'!A26,'Daftar Koreksi'!$G$5:$G$92,"Jalan Irigasi Jaringan",'Daftar Koreksi'!$I$5:$I$92,"&lt;0")-SUMIFS('Daftar Koreksi'!$I$5:$I$92,'Daftar Koreksi'!$D$5:$D$92,'0100'!A26,'Daftar Koreksi'!$G$5:$G$92,"Jalan Irigasi Jaringan",'Daftar Koreksi'!$I$5:$I$92,"&lt;0")</f>
        <v>0</v>
      </c>
      <c r="G41" s="17">
        <f t="shared" si="1"/>
        <v>-383592</v>
      </c>
      <c r="H41" s="122"/>
    </row>
    <row r="42" spans="1:8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Koreksi'!$D$5:$D$92,'0100'!A26,'Daftar Koreksi'!$G$5:$G$92,"Aset Tetap Lainnya",'Daftar Koreksi'!$I$5:$I$92,"&gt;0")</f>
        <v>0</v>
      </c>
      <c r="F42" s="25">
        <f>SUMIFS('Daftar Koreksi'!$I$5:$I$92,'Daftar Koreksi'!$D$5:$D$92,'0100'!A26,'Daftar Koreksi'!$G$5:$G$92,"Aset Tetap Lainnya",'Daftar Koreksi'!$I$5:$I$92,"&lt;0")-SUMIFS('Daftar Koreksi'!$I$5:$I$92,'Daftar Koreksi'!$D$5:$D$92,'0100'!A26,'Daftar Koreksi'!$G$5:$G$92,"Aset Tetap Lainnya",'Daftar Koreksi'!$I$5:$I$92,"&lt;0")-SUMIFS('Daftar Koreksi'!$I$5:$I$92,'Daftar Koreksi'!$D$5:$D$92,'0100'!A26,'Daftar Koreksi'!$G$5:$G$92,"Aset Tetap Lainnya",'Daftar Koreksi'!$I$5:$I$92,"&lt;0")</f>
        <v>0</v>
      </c>
      <c r="G42" s="17">
        <f t="shared" si="1"/>
        <v>0</v>
      </c>
      <c r="H42" s="122"/>
    </row>
    <row r="43" spans="1:8" ht="21.95" customHeight="1">
      <c r="A43" s="14"/>
      <c r="B43" s="14"/>
      <c r="C43" s="16" t="s">
        <v>2020</v>
      </c>
      <c r="D43" s="17">
        <f>VLOOKUP(A26,'Neraca Unaudited SIMAK'!$A$2:$S$10004,17,FALSE)</f>
        <v>0</v>
      </c>
      <c r="E43" s="25">
        <f>SUMIFS('Daftar Koreksi'!$I$5:$I$92,'Daftar Koreksi'!$D$5:$D$92,'0100'!A26,'Daftar Koreksi'!$G$5:$G$92,"Aset Henti Guna",'Daftar Koreksi'!$I$5:$I$92,"&gt;0")</f>
        <v>0</v>
      </c>
      <c r="F43" s="25">
        <f>SUMIFS('Daftar Koreksi'!$I$5:$I$92,'Daftar Koreksi'!$D$5:$D$92,'0100'!A26,'Daftar Koreksi'!$G$5:$G$92,"Aset Henti Guna",'Daftar Koreksi'!$I$5:$I$92,"&lt;0")-SUMIFS('Daftar Koreksi'!$I$5:$I$92,'Daftar Koreksi'!$D$5:$D$92,'0100'!A26,'Daftar Koreksi'!$G$5:$G$92,"Aset Henti Guna",'Daftar Koreksi'!$I$5:$I$92,"&lt;0")-SUMIFS('Daftar Koreksi'!$I$5:$I$92,'Daftar Koreksi'!$D$5:$D$92,'0100'!A26,'Daftar Koreksi'!$G$5:$G$92,"Aset Henti Guna",'Daftar Koreksi'!$I$5:$I$92,"&lt;0")</f>
        <v>0</v>
      </c>
      <c r="G43" s="17">
        <f t="shared" si="1"/>
        <v>0</v>
      </c>
      <c r="H43" s="122"/>
    </row>
    <row r="44" spans="1:8" ht="21.95" customHeight="1">
      <c r="A44" s="14"/>
      <c r="B44" s="14"/>
      <c r="C44" s="18" t="s">
        <v>2094</v>
      </c>
      <c r="D44" s="19">
        <f>SUM(D39:D43)</f>
        <v>-11301245577</v>
      </c>
      <c r="E44" s="19">
        <f>SUM(E39:E43)</f>
        <v>0</v>
      </c>
      <c r="F44" s="19">
        <f>SUM(F39:F43)</f>
        <v>0</v>
      </c>
      <c r="G44" s="19">
        <f t="shared" si="1"/>
        <v>-11301245577</v>
      </c>
      <c r="H44" s="122"/>
    </row>
    <row r="45" spans="1:8" ht="21.95" customHeight="1">
      <c r="A45" s="14"/>
      <c r="B45" s="14"/>
      <c r="C45" s="18" t="s">
        <v>2095</v>
      </c>
      <c r="D45" s="19">
        <f>VLOOKUP(A26,'Neraca Unaudited SIMAK'!$A$2:$S$10004,18,FALSE)</f>
        <v>329198694911</v>
      </c>
      <c r="E45" s="19">
        <f>E44+E38</f>
        <v>4411622</v>
      </c>
      <c r="F45" s="19">
        <f>F44+F38</f>
        <v>0</v>
      </c>
      <c r="G45" s="19">
        <f t="shared" si="1"/>
        <v>329203106533</v>
      </c>
      <c r="H45" s="122"/>
    </row>
    <row r="46" spans="1:8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</row>
    <row r="48" spans="1:8" ht="19.5" customHeight="1">
      <c r="A48" s="11" t="str">
        <f>O3</f>
        <v>005010100097488000KD</v>
      </c>
      <c r="B48" s="11" t="str">
        <f>P3</f>
        <v>PN. Jakarta Barat</v>
      </c>
      <c r="C48" s="12" t="str">
        <f>A48&amp;" "&amp;B48</f>
        <v>005010100097488000KD PN. Jakarta Barat</v>
      </c>
      <c r="D48" s="13"/>
      <c r="E48" s="13"/>
      <c r="F48" s="13"/>
      <c r="G48" s="13"/>
      <c r="H48" s="11"/>
    </row>
    <row r="49" spans="1:8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</row>
    <row r="50" spans="1:8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8" ht="21.95" customHeight="1">
      <c r="A51" s="14"/>
      <c r="B51" s="14"/>
      <c r="C51" s="16" t="s">
        <v>1165</v>
      </c>
      <c r="D51" s="17">
        <f>VLOOKUP(A48,'Neraca Unaudited SIMAK'!$A$2:$S$10004,3,FALSE)</f>
        <v>0</v>
      </c>
      <c r="E51" s="25">
        <f>SUMIFS('Daftar Koreksi'!$H$5:$H$92,'Daftar Koreksi'!$D$5:$D$92,'0100'!A48,'Daftar Koreksi'!$G$5:$G$92,"Persediaan",'Daftar Koreksi'!$H$5:$H$92,"&gt;0")</f>
        <v>0</v>
      </c>
      <c r="F51" s="25">
        <f>SUMIFS('Daftar Koreksi'!$H$5:$H$92,'Daftar Koreksi'!$D$5:$D$92,'0100'!A48,'Daftar Koreksi'!$G$5:$G$92,"Persediaan",'Daftar Koreksi'!$H$5:$H$92,"&lt;0")-SUMIFS('Daftar Koreksi'!$H$5:$H$92,'Daftar Koreksi'!$D$5:$D$92,'0100'!A48,'Daftar Koreksi'!$G$5:$G$92,"Persediaan",'Daftar Koreksi'!$H$5:$H$92,"&lt;0")-SUMIFS('Daftar Koreksi'!$H$5:$H$92,'Daftar Koreksi'!$D$5:$D$92,'0100'!A48,'Daftar Koreksi'!$G$5:$G$92,"Persediaan",'Daftar Koreksi'!$H$5:$H$92,"&lt;0")</f>
        <v>0</v>
      </c>
      <c r="G51" s="17">
        <f>D51+E51-F51</f>
        <v>0</v>
      </c>
      <c r="H51" s="121" t="str">
        <f>IF(ISNA(VLOOKUP(A48,'Mutasi Neraca'!$A$3:$S$914,19,FALSE)),"-",VLOOKUP(A48,'Mutasi Neraca'!$A$3:$S$914,19,FALSE))</f>
        <v>TP. No 3, TP Koreksi Hibah No. 1</v>
      </c>
    </row>
    <row r="52" spans="1:8" ht="21.95" customHeight="1">
      <c r="A52" s="14"/>
      <c r="B52" s="14"/>
      <c r="C52" s="16" t="s">
        <v>1166</v>
      </c>
      <c r="D52" s="17">
        <f>VLOOKUP(A48,'Neraca Unaudited SIMAK'!$A$2:$S$10004,4,FALSE)</f>
        <v>108509595000</v>
      </c>
      <c r="E52" s="25">
        <f>SUMIFS('Daftar Koreksi'!$H$5:$H$92,'Daftar Koreksi'!$D$5:$D$92,'0100'!A48,'Daftar Koreksi'!$G$5:$G$92,"Tanah",'Daftar Koreksi'!$H$5:$H$92,"&gt;0")</f>
        <v>0</v>
      </c>
      <c r="F52" s="25">
        <f>SUMIFS('Daftar Koreksi'!$H$5:$H$92,'Daftar Koreksi'!$D$5:$D$92,'0100'!A48,'Daftar Koreksi'!$G$5:$G$92,"Tanah",'Daftar Koreksi'!$H$5:$H$92,"&lt;0")-SUMIFS('Daftar Koreksi'!$H$5:$H$92,'Daftar Koreksi'!$D$5:$D$92,'0100'!A48,'Daftar Koreksi'!$G$5:$G$92,"Tanah",'Daftar Koreksi'!$H$5:$H$92,"&lt;0")-SUMIFS('Daftar Koreksi'!$H$5:$H$92,'Daftar Koreksi'!$D$5:$D$92,'0100'!A48,'Daftar Koreksi'!$G$5:$G$92,"Tanah",'Daftar Koreksi'!$H$5:$H$92,"&lt;0")</f>
        <v>0</v>
      </c>
      <c r="G52" s="17">
        <f t="shared" ref="G52:G68" si="2">D52+E52-F52</f>
        <v>108509595000</v>
      </c>
      <c r="H52" s="122"/>
    </row>
    <row r="53" spans="1:8" ht="21.95" customHeight="1">
      <c r="A53" s="14"/>
      <c r="B53" s="14"/>
      <c r="C53" s="16" t="s">
        <v>1167</v>
      </c>
      <c r="D53" s="17">
        <f>VLOOKUP(A48,'Neraca Unaudited SIMAK'!$A$2:$S$10004,5,FALSE)</f>
        <v>5206978107</v>
      </c>
      <c r="E53" s="25">
        <f>SUMIFS('Daftar Koreksi'!$H$5:$H$92,'Daftar Koreksi'!$D$5:$D$92,'0100'!A48,'Daftar Koreksi'!$G$5:$G$92,"Peralatan dan mesin",'Daftar Koreksi'!$H$5:$H$92,"&gt;0")</f>
        <v>106725000</v>
      </c>
      <c r="F53" s="25">
        <f>SUMIFS('Daftar Koreksi'!$H$5:$H$92,'Daftar Koreksi'!$D$5:$D$92,'0100'!A48,'Daftar Koreksi'!$G$5:$G$92,"Peralatan dan mesin",'Daftar Koreksi'!$H$5:$H$92,"&lt;0")-SUMIFS('Daftar Koreksi'!$H$5:$H$92,'Daftar Koreksi'!$D$5:$D$92,'0100'!A48,'Daftar Koreksi'!$G$5:$G$92,"Peralatan dan mesin",'Daftar Koreksi'!$H$5:$H$92,"&lt;0")-SUMIFS('Daftar Koreksi'!$H$5:$H$92,'Daftar Koreksi'!$D$5:$D$92,'0100'!A48,'Daftar Koreksi'!$G$5:$G$92,"Peralatan dan mesin",'Daftar Koreksi'!$H$5:$H$92,"&lt;0")</f>
        <v>0</v>
      </c>
      <c r="G53" s="17">
        <f t="shared" si="2"/>
        <v>5313703107</v>
      </c>
      <c r="H53" s="122"/>
    </row>
    <row r="54" spans="1:8" ht="21.95" customHeight="1">
      <c r="A54" s="14"/>
      <c r="B54" s="14"/>
      <c r="C54" s="16" t="s">
        <v>1168</v>
      </c>
      <c r="D54" s="17">
        <f>VLOOKUP(A48,'Neraca Unaudited SIMAK'!$A$2:$S$10004,6,FALSE)</f>
        <v>45780716501</v>
      </c>
      <c r="E54" s="25">
        <f>SUMIFS('Daftar Koreksi'!$H$5:$H$92,'Daftar Koreksi'!$D$5:$D$92,'0100'!A48,'Daftar Koreksi'!$G$5:$G$92,"Gedung dan Bangunan",'Daftar Koreksi'!$H$5:$H$92,"&gt;0")</f>
        <v>0</v>
      </c>
      <c r="F54" s="25">
        <f>SUMIFS('Daftar Koreksi'!$H$5:$H$92,'Daftar Koreksi'!$D$5:$D$92,'0100'!A48,'Daftar Koreksi'!$G$5:$G$92,"Gedung dan Bangunan",'Daftar Koreksi'!$H$5:$H$92,"&lt;0")-SUMIFS('Daftar Koreksi'!$H$5:$H$92,'Daftar Koreksi'!$D$5:$D$92,'0100'!A48,'Daftar Koreksi'!$G$5:$G$92,"Gedung dan Bangunan",'Daftar Koreksi'!$H$5:$H$92,"&lt;0")-SUMIFS('Daftar Koreksi'!$H$5:$H$92,'Daftar Koreksi'!$D$5:$D$92,'0100'!A48,'Daftar Koreksi'!$G$5:$G$92,"Gedung dan Bangunan",'Daftar Koreksi'!$H$5:$H$92,"&lt;0")</f>
        <v>0</v>
      </c>
      <c r="G54" s="17">
        <f t="shared" si="2"/>
        <v>45780716501</v>
      </c>
      <c r="H54" s="122"/>
    </row>
    <row r="55" spans="1:8" ht="21.95" customHeight="1">
      <c r="A55" s="14"/>
      <c r="B55" s="14"/>
      <c r="C55" s="16" t="s">
        <v>1169</v>
      </c>
      <c r="D55" s="17">
        <f>VLOOKUP(A48,'Neraca Unaudited SIMAK'!$A$2:$S$10004,7,FALSE)</f>
        <v>0</v>
      </c>
      <c r="E55" s="25">
        <f>SUMIFS('Daftar Koreksi'!$H$5:$H$92,'Daftar Koreksi'!$D$5:$D$92,'0100'!A48,'Daftar Koreksi'!$G$5:$G$92,"Jalan Irigasi Jaringan",'Daftar Koreksi'!$H$5:$H$92,"&gt;0")</f>
        <v>0</v>
      </c>
      <c r="F55" s="25">
        <f>SUMIFS('Daftar Koreksi'!$H$5:$H$92,'Daftar Koreksi'!$D$5:$D$92,'0100'!A48,'Daftar Koreksi'!$G$5:$G$92,"Jalan Irigasi Jaringan",'Daftar Koreksi'!$H$5:$H$92,"&lt;0")-SUMIFS('Daftar Koreksi'!$H$5:$H$92,'Daftar Koreksi'!$D$5:$D$92,'0100'!A48,'Daftar Koreksi'!$G$5:$G$92,"Jalan Irigasi Jaringan",'Daftar Koreksi'!$H$5:$H$92,"&lt;0")-SUMIFS('Daftar Koreksi'!$H$5:$H$92,'Daftar Koreksi'!$D$5:$D$92,'0100'!A48,'Daftar Koreksi'!$G$5:$G$92,"Jalan Irigasi Jaringan",'Daftar Koreksi'!$H$5:$H$92,"&lt;0")</f>
        <v>0</v>
      </c>
      <c r="G55" s="17">
        <f t="shared" si="2"/>
        <v>0</v>
      </c>
      <c r="H55" s="122"/>
    </row>
    <row r="56" spans="1:8" ht="21.95" customHeight="1">
      <c r="A56" s="14"/>
      <c r="B56" s="14"/>
      <c r="C56" s="16" t="s">
        <v>1170</v>
      </c>
      <c r="D56" s="17">
        <f>VLOOKUP(A48,'Neraca Unaudited SIMAK'!$A$2:$S$10004,8,FALSE)</f>
        <v>5045440</v>
      </c>
      <c r="E56" s="25">
        <f>SUMIFS('Daftar Koreksi'!$H$5:$H$92,'Daftar Koreksi'!$D$5:$D$92,'0100'!A48,'Daftar Koreksi'!$G$5:$G$92,"Aset Tetap Lainnya",'Daftar Koreksi'!$H$5:$H$92,"&gt;0")</f>
        <v>4411622</v>
      </c>
      <c r="F56" s="25">
        <f>SUMIFS('Daftar Koreksi'!$H$5:$H$92,'Daftar Koreksi'!$D$5:$D$92,'0100'!A48,'Daftar Koreksi'!$G$5:$G$92,"Aset Tetap Lainnya",'Daftar Koreksi'!$H$5:$H$92,"&lt;0")-SUMIFS('Daftar Koreksi'!$H$5:$H$92,'Daftar Koreksi'!$D$5:$D$92,'0100'!A48,'Daftar Koreksi'!$G$5:$G$92,"Aset Tetap Lainnya",'Daftar Koreksi'!$H$5:$H$92,"&lt;0")-SUMIFS('Daftar Koreksi'!$H$5:$H$92,'Daftar Koreksi'!$D$5:$D$92,'0100'!A48,'Daftar Koreksi'!$G$5:$G$92,"Aset Tetap Lainnya",'Daftar Koreksi'!$H$5:$H$92,"&lt;0")</f>
        <v>0</v>
      </c>
      <c r="G56" s="17">
        <f t="shared" si="2"/>
        <v>9457062</v>
      </c>
      <c r="H56" s="122"/>
    </row>
    <row r="57" spans="1:8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Koreksi'!$D$5:$D$92,'0100'!A48,'Daftar Koreksi'!$G$5:$G$92,"Kontruksi Dalam Pengerjaan",'Daftar Koreksi'!$H$5:$H$92,"&gt;0")</f>
        <v>0</v>
      </c>
      <c r="F57" s="25">
        <f>SUMIFS('Daftar Koreksi'!$H$5:$H$92,'Daftar Koreksi'!$D$5:$D$92,'0100'!A48,'Daftar Koreksi'!$G$5:$G$92,"Kontruksi Dalam Pengerjaan",'Daftar Koreksi'!$H$5:$H$92,"&lt;0")-SUMIFS('Daftar Koreksi'!$H$5:$H$92,'Daftar Koreksi'!$D$5:$D$92,'0100'!A48,'Daftar Koreksi'!$G$5:$G$92,"Kontruksi Dalam Pengerjaan",'Daftar Koreksi'!$H$5:$H$92,"&lt;0")-SUMIFS('Daftar Koreksi'!$H$5:$H$92,'Daftar Koreksi'!$D$5:$D$92,'0100'!A48,'Daftar Koreksi'!$G$5:$G$92,"Kontruksi Dalam Pengerjaan",'Daftar Koreksi'!$H$5:$H$92,"&lt;0")</f>
        <v>0</v>
      </c>
      <c r="G57" s="17">
        <f t="shared" si="2"/>
        <v>0</v>
      </c>
      <c r="H57" s="122"/>
    </row>
    <row r="58" spans="1:8" ht="21.95" customHeight="1">
      <c r="A58" s="14"/>
      <c r="B58" s="14"/>
      <c r="C58" s="16" t="s">
        <v>1172</v>
      </c>
      <c r="D58" s="17">
        <f>VLOOKUP(A48,'Neraca Unaudited SIMAK'!$A$2:$S$10004,10,FALSE)</f>
        <v>84070548</v>
      </c>
      <c r="E58" s="25">
        <f>SUMIFS('Daftar Koreksi'!$H$5:$H$92,'Daftar Koreksi'!$D$5:$D$92,'0100'!A48,'Daftar Koreksi'!$G$5:$G$92,"Aset Tak Berwujud",'Daftar Koreksi'!$H$5:$H$92,"&gt;0")</f>
        <v>0</v>
      </c>
      <c r="F58" s="25">
        <f>SUMIFS('Daftar Koreksi'!$H$5:$H$92,'Daftar Koreksi'!$D$5:$D$92,'0100'!A48,'Daftar Koreksi'!$G$5:$G$92,"Aset Tak Berwujud",'Daftar Koreksi'!$H$5:$H$92,"&lt;0")-SUMIFS('Daftar Koreksi'!$H$5:$H$92,'Daftar Koreksi'!$D$5:$D$92,'0100'!A48,'Daftar Koreksi'!$G$5:$G$92,"Aset Tak Berwujud",'Daftar Koreksi'!$H$5:$H$92,"&lt;0")-SUMIFS('Daftar Koreksi'!$H$5:$H$92,'Daftar Koreksi'!$D$5:$D$92,'0100'!A48,'Daftar Koreksi'!$G$5:$G$92,"Aset Tak Berwujud",'Daftar Koreksi'!$H$5:$H$92,"&lt;0")</f>
        <v>0</v>
      </c>
      <c r="G58" s="17">
        <f t="shared" si="2"/>
        <v>84070548</v>
      </c>
      <c r="H58" s="122"/>
    </row>
    <row r="59" spans="1:8" ht="21.95" customHeight="1">
      <c r="A59" s="14"/>
      <c r="B59" s="14"/>
      <c r="C59" s="16" t="s">
        <v>1173</v>
      </c>
      <c r="D59" s="17">
        <f>VLOOKUP(A48,'Neraca Unaudited SIMAK'!$A$2:$S$10004,11,FALSE)</f>
        <v>308394075</v>
      </c>
      <c r="E59" s="25">
        <f>SUMIFS('Daftar Koreksi'!$H$5:$H$92,'Daftar Koreksi'!$D$5:$D$92,'0100'!A48,'Daftar Koreksi'!$G$5:$G$92,"Aset Henti Guna",'Daftar Koreksi'!$H$5:$H$92,"&gt;0")</f>
        <v>0</v>
      </c>
      <c r="F59" s="25">
        <f>SUMIFS('Daftar Koreksi'!$H$5:$H$92,'Daftar Koreksi'!$D$5:$D$92,'0100'!A48,'Daftar Koreksi'!$G$5:$G$92,"Aset Henti Guna",'Daftar Koreksi'!$H$5:$H$92,"&lt;0")-SUMIFS('Daftar Koreksi'!$H$5:$H$92,'Daftar Koreksi'!$D$5:$D$92,'0100'!A48,'Daftar Koreksi'!$G$5:$G$92,"Aset Henti Guna",'Daftar Koreksi'!$H$5:$H$92,"&lt;0")-SUMIFS('Daftar Koreksi'!$H$5:$H$92,'Daftar Koreksi'!$D$5:$D$92,'0100'!A48,'Daftar Koreksi'!$G$5:$G$92,"Aset Henti Guna",'Daftar Koreksi'!$H$5:$H$92,"&lt;0")</f>
        <v>0</v>
      </c>
      <c r="G59" s="17">
        <f t="shared" si="2"/>
        <v>308394075</v>
      </c>
      <c r="H59" s="122"/>
    </row>
    <row r="60" spans="1:8" ht="21.95" customHeight="1">
      <c r="A60" s="14"/>
      <c r="B60" s="14"/>
      <c r="C60" s="18" t="s">
        <v>2093</v>
      </c>
      <c r="D60" s="19">
        <f>VLOOKUP(A48,'Neraca Unaudited SIMAK'!$A$2:$S$10004,12,FALSE)</f>
        <v>159894799671</v>
      </c>
      <c r="E60" s="19">
        <f>SUM(E51:E59)</f>
        <v>111136622</v>
      </c>
      <c r="F60" s="19">
        <f>SUM(F51:F59)</f>
        <v>0</v>
      </c>
      <c r="G60" s="19">
        <f t="shared" si="2"/>
        <v>160005936293</v>
      </c>
      <c r="H60" s="122"/>
    </row>
    <row r="61" spans="1:8" ht="21.95" customHeight="1">
      <c r="A61" s="14"/>
      <c r="B61" s="14"/>
      <c r="C61" s="16" t="s">
        <v>2087</v>
      </c>
      <c r="D61" s="17">
        <f>VLOOKUP(A48,'Neraca Unaudited SIMAK'!$A$2:$S$10004,13,FALSE)</f>
        <v>-4207436001</v>
      </c>
      <c r="E61" s="25">
        <f>SUMIFS('Daftar Koreksi'!$I$5:$I$92,'Daftar Koreksi'!$D$5:$D$92,'0100'!A48,'Daftar Koreksi'!$G$5:$G$92,"Peralatan dan mesin",'Daftar Koreksi'!$I$5:$I$92,"&gt;0")</f>
        <v>0</v>
      </c>
      <c r="F61" s="25">
        <f>SUMIFS('Daftar Koreksi'!$I$5:$I$92,'Daftar Koreksi'!$D$5:$D$92,'0100'!A48,'Daftar Koreksi'!$G$5:$G$92,"Peralatan dan mesin",'Daftar Koreksi'!$I$5:$I$92,"&lt;0")-SUMIFS('Daftar Koreksi'!$I$5:$I$92,'Daftar Koreksi'!$D$5:$D$92,'0100'!A48,'Daftar Koreksi'!$G$5:$G$92,"Peralatan dan mesin",'Daftar Koreksi'!$I$5:$I$92,"&lt;0")-SUMIFS('Daftar Koreksi'!$I$5:$I$92,'Daftar Koreksi'!$D$5:$D$92,'0100'!A48,'Daftar Koreksi'!$G$5:$G$92,"Peralatan dan mesin",'Daftar Koreksi'!$I$5:$I$92,"&lt;0")</f>
        <v>13340625</v>
      </c>
      <c r="G61" s="17">
        <f t="shared" si="2"/>
        <v>-4220776626</v>
      </c>
      <c r="H61" s="122"/>
    </row>
    <row r="62" spans="1:8" ht="21.95" customHeight="1">
      <c r="A62" s="14"/>
      <c r="B62" s="14"/>
      <c r="C62" s="16" t="s">
        <v>2088</v>
      </c>
      <c r="D62" s="17">
        <f>VLOOKUP(A48,'Neraca Unaudited SIMAK'!$A$2:$S$10004,14,FALSE)</f>
        <v>-4197548610</v>
      </c>
      <c r="E62" s="25">
        <f>SUMIFS('Daftar Koreksi'!$I$5:$I$92,'Daftar Koreksi'!$D$5:$D$92,'0100'!A48,'Daftar Koreksi'!$G$5:$G$92,"Gedung dan Bangunan",'Daftar Koreksi'!$I$5:$I$92,"&gt;0")</f>
        <v>0</v>
      </c>
      <c r="F62" s="25">
        <f>SUMIFS('Daftar Koreksi'!$I$5:$I$92,'Daftar Koreksi'!$D$5:$D$92,'0100'!A48,'Daftar Koreksi'!$G$5:$G$92,"Gedung dan Bangunan",'Daftar Koreksi'!$I$5:$I$92,"&lt;0")-SUMIFS('Daftar Koreksi'!$I$5:$I$92,'Daftar Koreksi'!$D$5:$D$92,'0100'!A48,'Daftar Koreksi'!$G$5:$G$92,"Gedung dan Bangunan",'Daftar Koreksi'!$I$5:$I$92,"&lt;0")-SUMIFS('Daftar Koreksi'!$I$5:$I$92,'Daftar Koreksi'!$D$5:$D$92,'0100'!A48,'Daftar Koreksi'!$G$5:$G$92,"Gedung dan Bangunan",'Daftar Koreksi'!$I$5:$I$92,"&lt;0")</f>
        <v>0</v>
      </c>
      <c r="G62" s="17">
        <f t="shared" si="2"/>
        <v>-4197548610</v>
      </c>
      <c r="H62" s="122"/>
    </row>
    <row r="63" spans="1:8" ht="21.95" customHeight="1">
      <c r="A63" s="14"/>
      <c r="B63" s="14"/>
      <c r="C63" s="16" t="s">
        <v>2089</v>
      </c>
      <c r="D63" s="17">
        <f>VLOOKUP(A48,'Neraca Unaudited SIMAK'!$A$2:$S$10004,15,FALSE)</f>
        <v>0</v>
      </c>
      <c r="E63" s="25">
        <f>SUMIFS('Daftar Koreksi'!$I$5:$I$92,'Daftar Koreksi'!$D$5:$D$92,'0100'!A48,'Daftar Koreksi'!$G$5:$G$92,"Jalan Irigasi Jaringan",'Daftar Koreksi'!$I$5:$I$92,"&gt;0")</f>
        <v>0</v>
      </c>
      <c r="F63" s="25">
        <f>SUMIFS('Daftar Koreksi'!$I$5:$I$92,'Daftar Koreksi'!$D$5:$D$92,'0100'!A48,'Daftar Koreksi'!$G$5:$G$92,"Jalan Irigasi Jaringan",'Daftar Koreksi'!$I$5:$I$92,"&lt;0")-SUMIFS('Daftar Koreksi'!$I$5:$I$92,'Daftar Koreksi'!$D$5:$D$92,'0100'!A48,'Daftar Koreksi'!$G$5:$G$92,"Jalan Irigasi Jaringan",'Daftar Koreksi'!$I$5:$I$92,"&lt;0")-SUMIFS('Daftar Koreksi'!$I$5:$I$92,'Daftar Koreksi'!$D$5:$D$92,'0100'!A48,'Daftar Koreksi'!$G$5:$G$92,"Jalan Irigasi Jaringan",'Daftar Koreksi'!$I$5:$I$92,"&lt;0")</f>
        <v>0</v>
      </c>
      <c r="G63" s="17">
        <f t="shared" si="2"/>
        <v>0</v>
      </c>
      <c r="H63" s="122"/>
    </row>
    <row r="64" spans="1:8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Koreksi'!$D$5:$D$92,'0100'!A48,'Daftar Koreksi'!$G$5:$G$92,"Aset Tetap Lainnya",'Daftar Koreksi'!$I$5:$I$92,"&gt;0")</f>
        <v>0</v>
      </c>
      <c r="F64" s="25">
        <f>SUMIFS('Daftar Koreksi'!$I$5:$I$92,'Daftar Koreksi'!$D$5:$D$92,'0100'!A48,'Daftar Koreksi'!$G$5:$G$92,"Aset Tetap Lainnya",'Daftar Koreksi'!$I$5:$I$92,"&lt;0")-SUMIFS('Daftar Koreksi'!$I$5:$I$92,'Daftar Koreksi'!$D$5:$D$92,'0100'!A48,'Daftar Koreksi'!$G$5:$G$92,"Aset Tetap Lainnya",'Daftar Koreksi'!$I$5:$I$92,"&lt;0")-SUMIFS('Daftar Koreksi'!$I$5:$I$92,'Daftar Koreksi'!$D$5:$D$92,'0100'!A48,'Daftar Koreksi'!$G$5:$G$92,"Aset Tetap Lainnya",'Daftar Koreksi'!$I$5:$I$92,"&lt;0")</f>
        <v>0</v>
      </c>
      <c r="G64" s="17">
        <f t="shared" si="2"/>
        <v>0</v>
      </c>
      <c r="H64" s="122"/>
    </row>
    <row r="65" spans="1:8" ht="21.95" customHeight="1">
      <c r="A65" s="14"/>
      <c r="B65" s="14"/>
      <c r="C65" s="16" t="s">
        <v>2020</v>
      </c>
      <c r="D65" s="17">
        <f>VLOOKUP(A48,'Neraca Unaudited SIMAK'!$A$2:$S$10004,17,FALSE)</f>
        <v>-308394075</v>
      </c>
      <c r="E65" s="25">
        <f>SUMIFS('Daftar Koreksi'!$I$5:$I$92,'Daftar Koreksi'!$D$5:$D$92,'0100'!A48,'Daftar Koreksi'!$G$5:$G$92,"Aset Henti Guna",'Daftar Koreksi'!$I$5:$I$92,"&gt;0")</f>
        <v>0</v>
      </c>
      <c r="F65" s="25">
        <f>SUMIFS('Daftar Koreksi'!$I$5:$I$92,'Daftar Koreksi'!$D$5:$D$92,'0100'!A48,'Daftar Koreksi'!$G$5:$G$92,"Aset Henti Guna",'Daftar Koreksi'!$I$5:$I$92,"&lt;0")-SUMIFS('Daftar Koreksi'!$I$5:$I$92,'Daftar Koreksi'!$D$5:$D$92,'0100'!A48,'Daftar Koreksi'!$G$5:$G$92,"Aset Henti Guna",'Daftar Koreksi'!$I$5:$I$92,"&lt;0")-SUMIFS('Daftar Koreksi'!$I$5:$I$92,'Daftar Koreksi'!$D$5:$D$92,'0100'!A48,'Daftar Koreksi'!$G$5:$G$92,"Aset Henti Guna",'Daftar Koreksi'!$I$5:$I$92,"&lt;0")</f>
        <v>0</v>
      </c>
      <c r="G65" s="17">
        <f t="shared" si="2"/>
        <v>-308394075</v>
      </c>
      <c r="H65" s="122"/>
    </row>
    <row r="66" spans="1:8" ht="21.95" customHeight="1">
      <c r="A66" s="14"/>
      <c r="B66" s="14"/>
      <c r="C66" s="18" t="s">
        <v>2094</v>
      </c>
      <c r="D66" s="19">
        <f>SUM(D61:D65)</f>
        <v>-8713378686</v>
      </c>
      <c r="E66" s="19">
        <f>SUM(E61:E65)</f>
        <v>0</v>
      </c>
      <c r="F66" s="19">
        <f>SUM(F61:F65)</f>
        <v>13340625</v>
      </c>
      <c r="G66" s="19">
        <f t="shared" si="2"/>
        <v>-8726719311</v>
      </c>
      <c r="H66" s="122"/>
    </row>
    <row r="67" spans="1:8" ht="21.95" customHeight="1">
      <c r="A67" s="14"/>
      <c r="B67" s="14"/>
      <c r="C67" s="18" t="s">
        <v>2095</v>
      </c>
      <c r="D67" s="19">
        <f>VLOOKUP(A48,'Neraca Unaudited SIMAK'!$A$2:$S$10004,18,FALSE)</f>
        <v>151181420985</v>
      </c>
      <c r="E67" s="19">
        <f>E66+E60</f>
        <v>111136622</v>
      </c>
      <c r="F67" s="19">
        <f>F66+F60</f>
        <v>13340625</v>
      </c>
      <c r="G67" s="19">
        <f t="shared" si="2"/>
        <v>151279216982</v>
      </c>
      <c r="H67" s="122"/>
    </row>
    <row r="68" spans="1:8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</row>
    <row r="70" spans="1:8" ht="19.5" customHeight="1">
      <c r="A70" s="11" t="str">
        <f>O4</f>
        <v>005010100097492000KD</v>
      </c>
      <c r="B70" s="11" t="str">
        <f>P4</f>
        <v>PN. Jakarta Timur</v>
      </c>
      <c r="C70" s="12" t="str">
        <f>A70&amp;" "&amp;B70</f>
        <v>005010100097492000KD PN. Jakarta Timur</v>
      </c>
      <c r="D70" s="13"/>
      <c r="E70" s="13"/>
      <c r="F70" s="13"/>
      <c r="G70" s="13"/>
      <c r="H70" s="11"/>
    </row>
    <row r="71" spans="1:8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8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8" ht="21.95" customHeight="1">
      <c r="A73" s="14"/>
      <c r="B73" s="14"/>
      <c r="C73" s="16" t="s">
        <v>1165</v>
      </c>
      <c r="D73" s="17">
        <f>VLOOKUP(A70,'Neraca Unaudited SIMAK'!$A$2:$S$10004,3,FALSE)</f>
        <v>8726000</v>
      </c>
      <c r="E73" s="25">
        <f>SUMIFS('Daftar Koreksi'!$H$5:$H$92,'Daftar Koreksi'!$D$5:$D$92,'0100'!A70,'Daftar Koreksi'!$G$5:$G$92,"Persediaan",'Daftar Koreksi'!$H$5:$H$92,"&gt;0")</f>
        <v>0</v>
      </c>
      <c r="F73" s="25">
        <f>SUMIFS('Daftar Koreksi'!$H$5:$H$92,'Daftar Koreksi'!$D$5:$D$92,'0100'!A70,'Daftar Koreksi'!$G$5:$G$92,"Persediaan",'Daftar Koreksi'!$H$5:$H$92,"&lt;0")-SUMIFS('Daftar Koreksi'!$H$5:$H$92,'Daftar Koreksi'!$D$5:$D$92,'0100'!A70,'Daftar Koreksi'!$G$5:$G$92,"Persediaan",'Daftar Koreksi'!$H$5:$H$92,"&lt;0")-SUMIFS('Daftar Koreksi'!$H$5:$H$92,'Daftar Koreksi'!$D$5:$D$92,'0100'!A70,'Daftar Koreksi'!$G$5:$G$92,"Persediaan",'Daftar Koreksi'!$H$5:$H$92,"&lt;0")</f>
        <v>0</v>
      </c>
      <c r="G73" s="17">
        <f>D73+E73-F73</f>
        <v>8726000</v>
      </c>
      <c r="H73" s="121" t="str">
        <f>IF(ISNA(VLOOKUP(A70,'Mutasi Neraca'!$A$3:$S$914,19,FALSE)),"-",VLOOKUP(A70,'Mutasi Neraca'!$A$3:$S$914,19,FALSE))</f>
        <v>TP. No 3</v>
      </c>
    </row>
    <row r="74" spans="1:8" ht="21.95" customHeight="1">
      <c r="A74" s="14"/>
      <c r="B74" s="14"/>
      <c r="C74" s="16" t="s">
        <v>1166</v>
      </c>
      <c r="D74" s="17">
        <f>VLOOKUP(A70,'Neraca Unaudited SIMAK'!$A$2:$S$10004,4,FALSE)</f>
        <v>27934170000</v>
      </c>
      <c r="E74" s="25">
        <f>SUMIFS('Daftar Koreksi'!$H$5:$H$92,'Daftar Koreksi'!$D$5:$D$92,'0100'!A70,'Daftar Koreksi'!$G$5:$G$92,"Tanah",'Daftar Koreksi'!$H$5:$H$92,"&gt;0")</f>
        <v>0</v>
      </c>
      <c r="F74" s="25">
        <f>SUMIFS('Daftar Koreksi'!$H$5:$H$92,'Daftar Koreksi'!$D$5:$D$92,'0100'!A70,'Daftar Koreksi'!$G$5:$G$92,"Tanah",'Daftar Koreksi'!$H$5:$H$92,"&lt;0")-SUMIFS('Daftar Koreksi'!$H$5:$H$92,'Daftar Koreksi'!$D$5:$D$92,'0100'!A70,'Daftar Koreksi'!$G$5:$G$92,"Tanah",'Daftar Koreksi'!$H$5:$H$92,"&lt;0")-SUMIFS('Daftar Koreksi'!$H$5:$H$92,'Daftar Koreksi'!$D$5:$D$92,'0100'!A70,'Daftar Koreksi'!$G$5:$G$92,"Tanah",'Daftar Koreksi'!$H$5:$H$92,"&lt;0")</f>
        <v>0</v>
      </c>
      <c r="G74" s="17">
        <f t="shared" ref="G74:G90" si="3">D74+E74-F74</f>
        <v>27934170000</v>
      </c>
      <c r="H74" s="122"/>
    </row>
    <row r="75" spans="1:8" ht="21.95" customHeight="1">
      <c r="A75" s="14"/>
      <c r="B75" s="14"/>
      <c r="C75" s="16" t="s">
        <v>1167</v>
      </c>
      <c r="D75" s="17">
        <f>VLOOKUP(A70,'Neraca Unaudited SIMAK'!$A$2:$S$10004,5,FALSE)</f>
        <v>5007655334</v>
      </c>
      <c r="E75" s="25">
        <f>SUMIFS('Daftar Koreksi'!$H$5:$H$92,'Daftar Koreksi'!$D$5:$D$92,'0100'!A70,'Daftar Koreksi'!$G$5:$G$92,"Peralatan dan mesin",'Daftar Koreksi'!$H$5:$H$92,"&gt;0")</f>
        <v>0</v>
      </c>
      <c r="F75" s="25">
        <f>SUMIFS('Daftar Koreksi'!$H$5:$H$92,'Daftar Koreksi'!$D$5:$D$92,'0100'!A70,'Daftar Koreksi'!$G$5:$G$92,"Peralatan dan mesin",'Daftar Koreksi'!$H$5:$H$92,"&lt;0")-SUMIFS('Daftar Koreksi'!$H$5:$H$92,'Daftar Koreksi'!$D$5:$D$92,'0100'!A70,'Daftar Koreksi'!$G$5:$G$92,"Peralatan dan mesin",'Daftar Koreksi'!$H$5:$H$92,"&lt;0")-SUMIFS('Daftar Koreksi'!$H$5:$H$92,'Daftar Koreksi'!$D$5:$D$92,'0100'!A70,'Daftar Koreksi'!$G$5:$G$92,"Peralatan dan mesin",'Daftar Koreksi'!$H$5:$H$92,"&lt;0")</f>
        <v>0</v>
      </c>
      <c r="G75" s="17">
        <f t="shared" si="3"/>
        <v>5007655334</v>
      </c>
      <c r="H75" s="122"/>
    </row>
    <row r="76" spans="1:8" ht="21.95" customHeight="1">
      <c r="A76" s="14"/>
      <c r="B76" s="14"/>
      <c r="C76" s="16" t="s">
        <v>1168</v>
      </c>
      <c r="D76" s="17">
        <f>VLOOKUP(A70,'Neraca Unaudited SIMAK'!$A$2:$S$10004,6,FALSE)</f>
        <v>59194289822</v>
      </c>
      <c r="E76" s="25">
        <f>SUMIFS('Daftar Koreksi'!$H$5:$H$92,'Daftar Koreksi'!$D$5:$D$92,'0100'!A70,'Daftar Koreksi'!$G$5:$G$92,"Gedung dan Bangunan",'Daftar Koreksi'!$H$5:$H$92,"&gt;0")</f>
        <v>0</v>
      </c>
      <c r="F76" s="25">
        <f>SUMIFS('Daftar Koreksi'!$H$5:$H$92,'Daftar Koreksi'!$D$5:$D$92,'0100'!A70,'Daftar Koreksi'!$G$5:$G$92,"Gedung dan Bangunan",'Daftar Koreksi'!$H$5:$H$92,"&lt;0")-SUMIFS('Daftar Koreksi'!$H$5:$H$92,'Daftar Koreksi'!$D$5:$D$92,'0100'!A70,'Daftar Koreksi'!$G$5:$G$92,"Gedung dan Bangunan",'Daftar Koreksi'!$H$5:$H$92,"&lt;0")-SUMIFS('Daftar Koreksi'!$H$5:$H$92,'Daftar Koreksi'!$D$5:$D$92,'0100'!A70,'Daftar Koreksi'!$G$5:$G$92,"Gedung dan Bangunan",'Daftar Koreksi'!$H$5:$H$92,"&lt;0")</f>
        <v>0</v>
      </c>
      <c r="G76" s="17">
        <f t="shared" si="3"/>
        <v>59194289822</v>
      </c>
      <c r="H76" s="122"/>
    </row>
    <row r="77" spans="1:8" ht="21.95" customHeight="1">
      <c r="A77" s="14"/>
      <c r="B77" s="14"/>
      <c r="C77" s="16" t="s">
        <v>1169</v>
      </c>
      <c r="D77" s="17">
        <f>VLOOKUP(A70,'Neraca Unaudited SIMAK'!$A$2:$S$10004,7,FALSE)</f>
        <v>0</v>
      </c>
      <c r="E77" s="25">
        <f>SUMIFS('Daftar Koreksi'!$H$5:$H$92,'Daftar Koreksi'!$D$5:$D$92,'0100'!A70,'Daftar Koreksi'!$G$5:$G$92,"Jalan Irigasi Jaringan",'Daftar Koreksi'!$H$5:$H$92,"&gt;0")</f>
        <v>0</v>
      </c>
      <c r="F77" s="25">
        <f>SUMIFS('Daftar Koreksi'!$H$5:$H$92,'Daftar Koreksi'!$D$5:$D$92,'0100'!A70,'Daftar Koreksi'!$G$5:$G$92,"Jalan Irigasi Jaringan",'Daftar Koreksi'!$H$5:$H$92,"&lt;0")-SUMIFS('Daftar Koreksi'!$H$5:$H$92,'Daftar Koreksi'!$D$5:$D$92,'0100'!A70,'Daftar Koreksi'!$G$5:$G$92,"Jalan Irigasi Jaringan",'Daftar Koreksi'!$H$5:$H$92,"&lt;0")-SUMIFS('Daftar Koreksi'!$H$5:$H$92,'Daftar Koreksi'!$D$5:$D$92,'0100'!A70,'Daftar Koreksi'!$G$5:$G$92,"Jalan Irigasi Jaringan",'Daftar Koreksi'!$H$5:$H$92,"&lt;0")</f>
        <v>0</v>
      </c>
      <c r="G77" s="17">
        <f t="shared" si="3"/>
        <v>0</v>
      </c>
      <c r="H77" s="122"/>
    </row>
    <row r="78" spans="1:8" ht="21.95" customHeight="1">
      <c r="A78" s="14"/>
      <c r="B78" s="14"/>
      <c r="C78" s="16" t="s">
        <v>1170</v>
      </c>
      <c r="D78" s="17">
        <f>VLOOKUP(A70,'Neraca Unaudited SIMAK'!$A$2:$S$10004,8,FALSE)</f>
        <v>70826040</v>
      </c>
      <c r="E78" s="25">
        <f>SUMIFS('Daftar Koreksi'!$H$5:$H$92,'Daftar Koreksi'!$D$5:$D$92,'0100'!A70,'Daftar Koreksi'!$G$5:$G$92,"Aset Tetap Lainnya",'Daftar Koreksi'!$H$5:$H$92,"&gt;0")</f>
        <v>4411622</v>
      </c>
      <c r="F78" s="25">
        <f>SUMIFS('Daftar Koreksi'!$H$5:$H$92,'Daftar Koreksi'!$D$5:$D$92,'0100'!A70,'Daftar Koreksi'!$G$5:$G$92,"Aset Tetap Lainnya",'Daftar Koreksi'!$H$5:$H$92,"&lt;0")-SUMIFS('Daftar Koreksi'!$H$5:$H$92,'Daftar Koreksi'!$D$5:$D$92,'0100'!A70,'Daftar Koreksi'!$G$5:$G$92,"Aset Tetap Lainnya",'Daftar Koreksi'!$H$5:$H$92,"&lt;0")-SUMIFS('Daftar Koreksi'!$H$5:$H$92,'Daftar Koreksi'!$D$5:$D$92,'0100'!A70,'Daftar Koreksi'!$G$5:$G$92,"Aset Tetap Lainnya",'Daftar Koreksi'!$H$5:$H$92,"&lt;0")</f>
        <v>0</v>
      </c>
      <c r="G78" s="17">
        <f t="shared" si="3"/>
        <v>75237662</v>
      </c>
      <c r="H78" s="122"/>
    </row>
    <row r="79" spans="1:8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Koreksi'!$D$5:$D$92,'0100'!A70,'Daftar Koreksi'!$G$5:$G$92,"Kontruksi Dalam Pengerjaan",'Daftar Koreksi'!$H$5:$H$92,"&gt;0")</f>
        <v>0</v>
      </c>
      <c r="F79" s="25">
        <f>SUMIFS('Daftar Koreksi'!$H$5:$H$92,'Daftar Koreksi'!$D$5:$D$92,'0100'!A70,'Daftar Koreksi'!$G$5:$G$92,"Kontruksi Dalam Pengerjaan",'Daftar Koreksi'!$H$5:$H$92,"&lt;0")-SUMIFS('Daftar Koreksi'!$H$5:$H$92,'Daftar Koreksi'!$D$5:$D$92,'0100'!A70,'Daftar Koreksi'!$G$5:$G$92,"Kontruksi Dalam Pengerjaan",'Daftar Koreksi'!$H$5:$H$92,"&lt;0")-SUMIFS('Daftar Koreksi'!$H$5:$H$92,'Daftar Koreksi'!$D$5:$D$92,'0100'!A70,'Daftar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8" ht="21.95" customHeight="1">
      <c r="A80" s="14"/>
      <c r="B80" s="14"/>
      <c r="C80" s="16" t="s">
        <v>1172</v>
      </c>
      <c r="D80" s="17">
        <f>VLOOKUP(A70,'Neraca Unaudited SIMAK'!$A$2:$S$10004,10,FALSE)</f>
        <v>9900000</v>
      </c>
      <c r="E80" s="25">
        <f>SUMIFS('Daftar Koreksi'!$H$5:$H$92,'Daftar Koreksi'!$D$5:$D$92,'0100'!A70,'Daftar Koreksi'!$G$5:$G$92,"Aset Tak Berwujud",'Daftar Koreksi'!$H$5:$H$92,"&gt;0")</f>
        <v>0</v>
      </c>
      <c r="F80" s="25">
        <f>SUMIFS('Daftar Koreksi'!$H$5:$H$92,'Daftar Koreksi'!$D$5:$D$92,'0100'!A70,'Daftar Koreksi'!$G$5:$G$92,"Aset Tak Berwujud",'Daftar Koreksi'!$H$5:$H$92,"&lt;0")-SUMIFS('Daftar Koreksi'!$H$5:$H$92,'Daftar Koreksi'!$D$5:$D$92,'0100'!A70,'Daftar Koreksi'!$G$5:$G$92,"Aset Tak Berwujud",'Daftar Koreksi'!$H$5:$H$92,"&lt;0")-SUMIFS('Daftar Koreksi'!$H$5:$H$92,'Daftar Koreksi'!$D$5:$D$92,'0100'!A70,'Daftar Koreksi'!$G$5:$G$92,"Aset Tak Berwujud",'Daftar Koreksi'!$H$5:$H$92,"&lt;0")</f>
        <v>0</v>
      </c>
      <c r="G80" s="17">
        <f t="shared" si="3"/>
        <v>9900000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0</v>
      </c>
      <c r="E81" s="25">
        <f>SUMIFS('Daftar Koreksi'!$H$5:$H$92,'Daftar Koreksi'!$D$5:$D$92,'0100'!A70,'Daftar Koreksi'!$G$5:$G$92,"Aset Henti Guna",'Daftar Koreksi'!$H$5:$H$92,"&gt;0")</f>
        <v>0</v>
      </c>
      <c r="F81" s="25">
        <f>SUMIFS('Daftar Koreksi'!$H$5:$H$92,'Daftar Koreksi'!$D$5:$D$92,'0100'!A70,'Daftar Koreksi'!$G$5:$G$92,"Aset Henti Guna",'Daftar Koreksi'!$H$5:$H$92,"&lt;0")-SUMIFS('Daftar Koreksi'!$H$5:$H$92,'Daftar Koreksi'!$D$5:$D$92,'0100'!A70,'Daftar Koreksi'!$G$5:$G$92,"Aset Henti Guna",'Daftar Koreksi'!$H$5:$H$92,"&lt;0")-SUMIFS('Daftar Koreksi'!$H$5:$H$92,'Daftar Koreksi'!$D$5:$D$92,'0100'!A70,'Daftar Koreksi'!$G$5:$G$92,"Aset Henti Guna",'Daftar Koreksi'!$H$5:$H$92,"&lt;0")</f>
        <v>0</v>
      </c>
      <c r="G81" s="17">
        <f t="shared" si="3"/>
        <v>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92225567196</v>
      </c>
      <c r="E82" s="19">
        <f>SUM(E73:E81)</f>
        <v>4411622</v>
      </c>
      <c r="F82" s="19">
        <f>SUM(F73:F81)</f>
        <v>0</v>
      </c>
      <c r="G82" s="19">
        <f t="shared" si="3"/>
        <v>92229978818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-4794987348</v>
      </c>
      <c r="E83" s="25">
        <f>SUMIFS('Daftar Koreksi'!$I$5:$I$92,'Daftar Koreksi'!$D$5:$D$92,'0100'!A70,'Daftar Koreksi'!$G$5:$G$92,"Peralatan dan mesin",'Daftar Koreksi'!$I$5:$I$92,"&gt;0")</f>
        <v>0</v>
      </c>
      <c r="F83" s="25">
        <f>SUMIFS('Daftar Koreksi'!$I$5:$I$92,'Daftar Koreksi'!$D$5:$D$92,'0100'!A70,'Daftar Koreksi'!$G$5:$G$92,"Peralatan dan mesin",'Daftar Koreksi'!$I$5:$I$92,"&lt;0")-SUMIFS('Daftar Koreksi'!$I$5:$I$92,'Daftar Koreksi'!$D$5:$D$92,'0100'!A70,'Daftar Koreksi'!$G$5:$G$92,"Peralatan dan mesin",'Daftar Koreksi'!$I$5:$I$92,"&lt;0")-SUMIFS('Daftar Koreksi'!$I$5:$I$92,'Daftar Koreksi'!$D$5:$D$92,'0100'!A70,'Daftar Koreksi'!$G$5:$G$92,"Peralatan dan mesin",'Daftar Koreksi'!$I$5:$I$92,"&lt;0")</f>
        <v>0</v>
      </c>
      <c r="G83" s="17">
        <f t="shared" si="3"/>
        <v>-4794987348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-3435310465</v>
      </c>
      <c r="E84" s="25">
        <f>SUMIFS('Daftar Koreksi'!$I$5:$I$92,'Daftar Koreksi'!$D$5:$D$92,'0100'!A70,'Daftar Koreksi'!$G$5:$G$92,"Gedung dan Bangunan",'Daftar Koreksi'!$I$5:$I$92,"&gt;0")</f>
        <v>0</v>
      </c>
      <c r="F84" s="25">
        <f>SUMIFS('Daftar Koreksi'!$I$5:$I$92,'Daftar Koreksi'!$D$5:$D$92,'0100'!A70,'Daftar Koreksi'!$G$5:$G$92,"Gedung dan Bangunan",'Daftar Koreksi'!$I$5:$I$92,"&lt;0")-SUMIFS('Daftar Koreksi'!$I$5:$I$92,'Daftar Koreksi'!$D$5:$D$92,'0100'!A70,'Daftar Koreksi'!$G$5:$G$92,"Gedung dan Bangunan",'Daftar Koreksi'!$I$5:$I$92,"&lt;0")-SUMIFS('Daftar Koreksi'!$I$5:$I$92,'Daftar Koreksi'!$D$5:$D$92,'0100'!A70,'Daftar Koreksi'!$G$5:$G$92,"Gedung dan Bangunan",'Daftar Koreksi'!$I$5:$I$92,"&lt;0")</f>
        <v>0</v>
      </c>
      <c r="G84" s="17">
        <f t="shared" si="3"/>
        <v>-3435310465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0</v>
      </c>
      <c r="E85" s="25">
        <f>SUMIFS('Daftar Koreksi'!$I$5:$I$92,'Daftar Koreksi'!$D$5:$D$92,'0100'!A70,'Daftar Koreksi'!$G$5:$G$92,"Jalan Irigasi Jaringan",'Daftar Koreksi'!$I$5:$I$92,"&gt;0")</f>
        <v>0</v>
      </c>
      <c r="F85" s="25">
        <f>SUMIFS('Daftar Koreksi'!$I$5:$I$92,'Daftar Koreksi'!$D$5:$D$92,'0100'!A70,'Daftar Koreksi'!$G$5:$G$92,"Jalan Irigasi Jaringan",'Daftar Koreksi'!$I$5:$I$92,"&lt;0")-SUMIFS('Daftar Koreksi'!$I$5:$I$92,'Daftar Koreksi'!$D$5:$D$92,'0100'!A70,'Daftar Koreksi'!$G$5:$G$92,"Jalan Irigasi Jaringan",'Daftar Koreksi'!$I$5:$I$92,"&lt;0")-SUMIFS('Daftar Koreksi'!$I$5:$I$92,'Daftar Koreksi'!$D$5:$D$92,'0100'!A70,'Daftar Koreksi'!$G$5:$G$92,"Jalan Irigasi Jaringan",'Daftar Koreksi'!$I$5:$I$92,"&lt;0")</f>
        <v>0</v>
      </c>
      <c r="G85" s="17">
        <f t="shared" si="3"/>
        <v>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Koreksi'!$D$5:$D$92,'0100'!A70,'Daftar Koreksi'!$G$5:$G$92,"Aset Tetap Lainnya",'Daftar Koreksi'!$I$5:$I$92,"&gt;0")</f>
        <v>0</v>
      </c>
      <c r="F86" s="25">
        <f>SUMIFS('Daftar Koreksi'!$I$5:$I$92,'Daftar Koreksi'!$D$5:$D$92,'0100'!A70,'Daftar Koreksi'!$G$5:$G$92,"Aset Tetap Lainnya",'Daftar Koreksi'!$I$5:$I$92,"&lt;0")-SUMIFS('Daftar Koreksi'!$I$5:$I$92,'Daftar Koreksi'!$D$5:$D$92,'0100'!A70,'Daftar Koreksi'!$G$5:$G$92,"Aset Tetap Lainnya",'Daftar Koreksi'!$I$5:$I$92,"&lt;0")-SUMIFS('Daftar Koreksi'!$I$5:$I$92,'Daftar Koreksi'!$D$5:$D$92,'0100'!A70,'Daftar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0</v>
      </c>
      <c r="E87" s="25">
        <f>SUMIFS('Daftar Koreksi'!$I$5:$I$92,'Daftar Koreksi'!$D$5:$D$92,'0100'!A70,'Daftar Koreksi'!$G$5:$G$92,"Aset Henti Guna",'Daftar Koreksi'!$I$5:$I$92,"&gt;0")</f>
        <v>0</v>
      </c>
      <c r="F87" s="25">
        <f>SUMIFS('Daftar Koreksi'!$I$5:$I$92,'Daftar Koreksi'!$D$5:$D$92,'0100'!A70,'Daftar Koreksi'!$G$5:$G$92,"Aset Henti Guna",'Daftar Koreksi'!$I$5:$I$92,"&lt;0")-SUMIFS('Daftar Koreksi'!$I$5:$I$92,'Daftar Koreksi'!$D$5:$D$92,'0100'!A70,'Daftar Koreksi'!$G$5:$G$92,"Aset Henti Guna",'Daftar Koreksi'!$I$5:$I$92,"&lt;0")-SUMIFS('Daftar Koreksi'!$I$5:$I$92,'Daftar Koreksi'!$D$5:$D$92,'0100'!A70,'Daftar Koreksi'!$G$5:$G$92,"Aset Henti Guna",'Daftar Koreksi'!$I$5:$I$92,"&lt;0")</f>
        <v>0</v>
      </c>
      <c r="G87" s="17">
        <f t="shared" si="3"/>
        <v>0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-8230297813</v>
      </c>
      <c r="E88" s="19">
        <f>SUM(E83:E87)</f>
        <v>0</v>
      </c>
      <c r="F88" s="19">
        <f>SUM(F83:F87)</f>
        <v>0</v>
      </c>
      <c r="G88" s="19">
        <f t="shared" si="3"/>
        <v>-8230297813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83995269383</v>
      </c>
      <c r="E89" s="19">
        <f>E88+E82</f>
        <v>4411622</v>
      </c>
      <c r="F89" s="19">
        <f>F88+F82</f>
        <v>0</v>
      </c>
      <c r="G89" s="19">
        <f t="shared" si="3"/>
        <v>83999681005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005010100400214000KD</v>
      </c>
      <c r="B92" s="11" t="str">
        <f>P5</f>
        <v>PN. Jakarta Selatan</v>
      </c>
      <c r="C92" s="12" t="str">
        <f>A92&amp;" "&amp;B92</f>
        <v>005010100400214000KD PN. Jakarta Selatan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28325476</v>
      </c>
      <c r="E95" s="25">
        <f>SUMIFS('Daftar Koreksi'!$H$5:$H$92,'Daftar Koreksi'!$D$5:$D$92,'0100'!A92,'Daftar Koreksi'!$G$5:$G$92,"Persediaan",'Daftar Koreksi'!$H$5:$H$92,"&gt;0")</f>
        <v>0</v>
      </c>
      <c r="F95" s="25">
        <f>SUMIFS('Daftar Koreksi'!$H$5:$H$92,'Daftar Koreksi'!$D$5:$D$92,'0100'!A92,'Daftar Koreksi'!$G$5:$G$92,"Persediaan",'Daftar Koreksi'!$H$5:$H$92,"&lt;0")-SUMIFS('Daftar Koreksi'!$H$5:$H$92,'Daftar Koreksi'!$D$5:$D$92,'0100'!A92,'Daftar Koreksi'!$G$5:$G$92,"Persediaan",'Daftar Koreksi'!$H$5:$H$92,"&lt;0")-SUMIFS('Daftar Koreksi'!$H$5:$H$92,'Daftar Koreksi'!$D$5:$D$92,'0100'!A92,'Daftar Koreksi'!$G$5:$G$92,"Persediaan",'Daftar Koreksi'!$H$5:$H$92,"&lt;0")</f>
        <v>0</v>
      </c>
      <c r="G95" s="17">
        <f>D95+E95-F95</f>
        <v>28325476</v>
      </c>
      <c r="H95" s="121" t="str">
        <f>IF(ISNA(VLOOKUP(A92,'Mutasi Neraca'!$A$3:$S$914,19,FALSE)),"-",VLOOKUP(A92,'Mutasi Neraca'!$A$3:$S$914,19,FALSE))</f>
        <v>-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17767720000</v>
      </c>
      <c r="E96" s="25">
        <f>SUMIFS('Daftar Koreksi'!$H$5:$H$92,'Daftar Koreksi'!$D$5:$D$92,'0100'!A92,'Daftar Koreksi'!$G$5:$G$92,"Tanah",'Daftar Koreksi'!$H$5:$H$92,"&gt;0")</f>
        <v>0</v>
      </c>
      <c r="F96" s="25">
        <f>SUMIFS('Daftar Koreksi'!$H$5:$H$92,'Daftar Koreksi'!$D$5:$D$92,'0100'!A92,'Daftar Koreksi'!$G$5:$G$92,"Tanah",'Daftar Koreksi'!$H$5:$H$92,"&lt;0")-SUMIFS('Daftar Koreksi'!$H$5:$H$92,'Daftar Koreksi'!$D$5:$D$92,'0100'!A92,'Daftar Koreksi'!$G$5:$G$92,"Tanah",'Daftar Koreksi'!$H$5:$H$92,"&lt;0")-SUMIFS('Daftar Koreksi'!$H$5:$H$92,'Daftar Koreksi'!$D$5:$D$92,'0100'!A92,'Daftar Koreksi'!$G$5:$G$92,"Tanah",'Daftar Koreksi'!$H$5:$H$92,"&lt;0")</f>
        <v>0</v>
      </c>
      <c r="G96" s="17">
        <f t="shared" ref="G96:G112" si="4">D96+E96-F96</f>
        <v>17767720000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3538660859</v>
      </c>
      <c r="E97" s="25">
        <f>SUMIFS('Daftar Koreksi'!$H$5:$H$92,'Daftar Koreksi'!$D$5:$D$92,'0100'!A92,'Daftar Koreksi'!$G$5:$G$92,"Peralatan dan mesin",'Daftar Koreksi'!$H$5:$H$92,"&gt;0")</f>
        <v>0</v>
      </c>
      <c r="F97" s="25">
        <f>SUMIFS('Daftar Koreksi'!$H$5:$H$92,'Daftar Koreksi'!$D$5:$D$92,'0100'!A92,'Daftar Koreksi'!$G$5:$G$92,"Peralatan dan mesin",'Daftar Koreksi'!$H$5:$H$92,"&lt;0")-SUMIFS('Daftar Koreksi'!$H$5:$H$92,'Daftar Koreksi'!$D$5:$D$92,'0100'!A92,'Daftar Koreksi'!$G$5:$G$92,"Peralatan dan mesin",'Daftar Koreksi'!$H$5:$H$92,"&lt;0")-SUMIFS('Daftar Koreksi'!$H$5:$H$92,'Daftar Koreksi'!$D$5:$D$92,'0100'!A92,'Daftar Koreksi'!$G$5:$G$92,"Peralatan dan mesin",'Daftar Koreksi'!$H$5:$H$92,"&lt;0")</f>
        <v>0</v>
      </c>
      <c r="G97" s="17">
        <f t="shared" si="4"/>
        <v>3538660859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4666522000</v>
      </c>
      <c r="E98" s="25">
        <f>SUMIFS('Daftar Koreksi'!$H$5:$H$92,'Daftar Koreksi'!$D$5:$D$92,'0100'!A92,'Daftar Koreksi'!$G$5:$G$92,"Gedung dan Bangunan",'Daftar Koreksi'!$H$5:$H$92,"&gt;0")</f>
        <v>0</v>
      </c>
      <c r="F98" s="25">
        <f>SUMIFS('Daftar Koreksi'!$H$5:$H$92,'Daftar Koreksi'!$D$5:$D$92,'0100'!A92,'Daftar Koreksi'!$G$5:$G$92,"Gedung dan Bangunan",'Daftar Koreksi'!$H$5:$H$92,"&lt;0")-SUMIFS('Daftar Koreksi'!$H$5:$H$92,'Daftar Koreksi'!$D$5:$D$92,'0100'!A92,'Daftar Koreksi'!$G$5:$G$92,"Gedung dan Bangunan",'Daftar Koreksi'!$H$5:$H$92,"&lt;0")-SUMIFS('Daftar Koreksi'!$H$5:$H$92,'Daftar Koreksi'!$D$5:$D$92,'0100'!A92,'Daftar Koreksi'!$G$5:$G$92,"Gedung dan Bangunan",'Daftar Koreksi'!$H$5:$H$92,"&lt;0")</f>
        <v>0</v>
      </c>
      <c r="G98" s="17">
        <f t="shared" si="4"/>
        <v>4666522000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146109091</v>
      </c>
      <c r="E99" s="25">
        <f>SUMIFS('Daftar Koreksi'!$H$5:$H$92,'Daftar Koreksi'!$D$5:$D$92,'0100'!A92,'Daftar Koreksi'!$G$5:$G$92,"Jalan Irigasi Jaringan",'Daftar Koreksi'!$H$5:$H$92,"&gt;0")</f>
        <v>0</v>
      </c>
      <c r="F99" s="25">
        <f>SUMIFS('Daftar Koreksi'!$H$5:$H$92,'Daftar Koreksi'!$D$5:$D$92,'0100'!A92,'Daftar Koreksi'!$G$5:$G$92,"Jalan Irigasi Jaringan",'Daftar Koreksi'!$H$5:$H$92,"&lt;0")-SUMIFS('Daftar Koreksi'!$H$5:$H$92,'Daftar Koreksi'!$D$5:$D$92,'0100'!A92,'Daftar Koreksi'!$G$5:$G$92,"Jalan Irigasi Jaringan",'Daftar Koreksi'!$H$5:$H$92,"&lt;0")-SUMIFS('Daftar Koreksi'!$H$5:$H$92,'Daftar Koreksi'!$D$5:$D$92,'0100'!A92,'Daftar Koreksi'!$G$5:$G$92,"Jalan Irigasi Jaringan",'Daftar Koreksi'!$H$5:$H$92,"&lt;0")</f>
        <v>0</v>
      </c>
      <c r="G99" s="17">
        <f t="shared" si="4"/>
        <v>146109091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9732062</v>
      </c>
      <c r="E100" s="25">
        <f>SUMIFS('Daftar Koreksi'!$H$5:$H$92,'Daftar Koreksi'!$D$5:$D$92,'0100'!A92,'Daftar Koreksi'!$G$5:$G$92,"Aset Tetap Lainnya",'Daftar Koreksi'!$H$5:$H$92,"&gt;0")</f>
        <v>0</v>
      </c>
      <c r="F100" s="25">
        <f>SUMIFS('Daftar Koreksi'!$H$5:$H$92,'Daftar Koreksi'!$D$5:$D$92,'0100'!A92,'Daftar Koreksi'!$G$5:$G$92,"Aset Tetap Lainnya",'Daftar Koreksi'!$H$5:$H$92,"&lt;0")-SUMIFS('Daftar Koreksi'!$H$5:$H$92,'Daftar Koreksi'!$D$5:$D$92,'0100'!A92,'Daftar Koreksi'!$G$5:$G$92,"Aset Tetap Lainnya",'Daftar Koreksi'!$H$5:$H$92,"&lt;0")-SUMIFS('Daftar Koreksi'!$H$5:$H$92,'Daftar Koreksi'!$D$5:$D$92,'0100'!A92,'Daftar Koreksi'!$G$5:$G$92,"Aset Tetap Lainnya",'Daftar Koreksi'!$H$5:$H$92,"&lt;0")</f>
        <v>0</v>
      </c>
      <c r="G100" s="17">
        <f t="shared" si="4"/>
        <v>9732062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Koreksi'!$D$5:$D$92,'0100'!A92,'Daftar Koreksi'!$G$5:$G$92,"Kontruksi Dalam Pengerjaan",'Daftar Koreksi'!$H$5:$H$92,"&gt;0")</f>
        <v>0</v>
      </c>
      <c r="F101" s="25">
        <f>SUMIFS('Daftar Koreksi'!$H$5:$H$92,'Daftar Koreksi'!$D$5:$D$92,'0100'!A92,'Daftar Koreksi'!$G$5:$G$92,"Kontruksi Dalam Pengerjaan",'Daftar Koreksi'!$H$5:$H$92,"&lt;0")-SUMIFS('Daftar Koreksi'!$H$5:$H$92,'Daftar Koreksi'!$D$5:$D$92,'0100'!A92,'Daftar Koreksi'!$G$5:$G$92,"Kontruksi Dalam Pengerjaan",'Daftar Koreksi'!$H$5:$H$92,"&lt;0")-SUMIFS('Daftar Koreksi'!$H$5:$H$92,'Daftar Koreksi'!$D$5:$D$92,'0100'!A92,'Daftar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Koreksi'!$D$5:$D$92,'0100'!A92,'Daftar Koreksi'!$G$5:$G$92,"Aset Tak Berwujud",'Daftar Koreksi'!$H$5:$H$92,"&gt;0")</f>
        <v>0</v>
      </c>
      <c r="F102" s="25">
        <f>SUMIFS('Daftar Koreksi'!$H$5:$H$92,'Daftar Koreksi'!$D$5:$D$92,'0100'!A92,'Daftar Koreksi'!$G$5:$G$92,"Aset Tak Berwujud",'Daftar Koreksi'!$H$5:$H$92,"&lt;0")-SUMIFS('Daftar Koreksi'!$H$5:$H$92,'Daftar Koreksi'!$D$5:$D$92,'0100'!A92,'Daftar Koreksi'!$G$5:$G$92,"Aset Tak Berwujud",'Daftar Koreksi'!$H$5:$H$92,"&lt;0")-SUMIFS('Daftar Koreksi'!$H$5:$H$92,'Daftar Koreksi'!$D$5:$D$92,'0100'!A92,'Daftar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38155000</v>
      </c>
      <c r="E103" s="25">
        <f>SUMIFS('Daftar Koreksi'!$H$5:$H$92,'Daftar Koreksi'!$D$5:$D$92,'0100'!A92,'Daftar Koreksi'!$G$5:$G$92,"Aset Henti Guna",'Daftar Koreksi'!$H$5:$H$92,"&gt;0")</f>
        <v>0</v>
      </c>
      <c r="F103" s="25">
        <f>SUMIFS('Daftar Koreksi'!$H$5:$H$92,'Daftar Koreksi'!$D$5:$D$92,'0100'!A92,'Daftar Koreksi'!$G$5:$G$92,"Aset Henti Guna",'Daftar Koreksi'!$H$5:$H$92,"&lt;0")-SUMIFS('Daftar Koreksi'!$H$5:$H$92,'Daftar Koreksi'!$D$5:$D$92,'0100'!A92,'Daftar Koreksi'!$G$5:$G$92,"Aset Henti Guna",'Daftar Koreksi'!$H$5:$H$92,"&lt;0")-SUMIFS('Daftar Koreksi'!$H$5:$H$92,'Daftar Koreksi'!$D$5:$D$92,'0100'!A92,'Daftar Koreksi'!$G$5:$G$92,"Aset Henti Guna",'Daftar Koreksi'!$H$5:$H$92,"&lt;0")</f>
        <v>0</v>
      </c>
      <c r="G103" s="17">
        <f t="shared" si="4"/>
        <v>38155000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26195224488</v>
      </c>
      <c r="E104" s="19">
        <f>SUM(E95:E103)</f>
        <v>0</v>
      </c>
      <c r="F104" s="19">
        <f>SUM(F95:F103)</f>
        <v>0</v>
      </c>
      <c r="G104" s="19">
        <f t="shared" si="4"/>
        <v>26195224488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-3208846998</v>
      </c>
      <c r="E105" s="25">
        <f>SUMIFS('Daftar Koreksi'!$I$5:$I$92,'Daftar Koreksi'!$D$5:$D$92,'0100'!A92,'Daftar Koreksi'!$G$5:$G$92,"Peralatan dan mesin",'Daftar Koreksi'!$I$5:$I$92,"&gt;0")</f>
        <v>0</v>
      </c>
      <c r="F105" s="25">
        <f>SUMIFS('Daftar Koreksi'!$I$5:$I$92,'Daftar Koreksi'!$D$5:$D$92,'0100'!A92,'Daftar Koreksi'!$G$5:$G$92,"Peralatan dan mesin",'Daftar Koreksi'!$I$5:$I$92,"&lt;0")-SUMIFS('Daftar Koreksi'!$I$5:$I$92,'Daftar Koreksi'!$D$5:$D$92,'0100'!A92,'Daftar Koreksi'!$G$5:$G$92,"Peralatan dan mesin",'Daftar Koreksi'!$I$5:$I$92,"&lt;0")-SUMIFS('Daftar Koreksi'!$I$5:$I$92,'Daftar Koreksi'!$D$5:$D$92,'0100'!A92,'Daftar Koreksi'!$G$5:$G$92,"Peralatan dan mesin",'Daftar Koreksi'!$I$5:$I$92,"&lt;0")</f>
        <v>0</v>
      </c>
      <c r="G105" s="17">
        <f t="shared" si="4"/>
        <v>-3208846998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-1208123560</v>
      </c>
      <c r="E106" s="25">
        <f>SUMIFS('Daftar Koreksi'!$I$5:$I$92,'Daftar Koreksi'!$D$5:$D$92,'0100'!A92,'Daftar Koreksi'!$G$5:$G$92,"Gedung dan Bangunan",'Daftar Koreksi'!$I$5:$I$92,"&gt;0")</f>
        <v>0</v>
      </c>
      <c r="F106" s="25">
        <f>SUMIFS('Daftar Koreksi'!$I$5:$I$92,'Daftar Koreksi'!$D$5:$D$92,'0100'!A92,'Daftar Koreksi'!$G$5:$G$92,"Gedung dan Bangunan",'Daftar Koreksi'!$I$5:$I$92,"&lt;0")-SUMIFS('Daftar Koreksi'!$I$5:$I$92,'Daftar Koreksi'!$D$5:$D$92,'0100'!A92,'Daftar Koreksi'!$G$5:$G$92,"Gedung dan Bangunan",'Daftar Koreksi'!$I$5:$I$92,"&lt;0")-SUMIFS('Daftar Koreksi'!$I$5:$I$92,'Daftar Koreksi'!$D$5:$D$92,'0100'!A92,'Daftar Koreksi'!$G$5:$G$92,"Gedung dan Bangunan",'Daftar Koreksi'!$I$5:$I$92,"&lt;0")</f>
        <v>0</v>
      </c>
      <c r="G106" s="17">
        <f t="shared" si="4"/>
        <v>-1208123560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-23742732</v>
      </c>
      <c r="E107" s="25">
        <f>SUMIFS('Daftar Koreksi'!$I$5:$I$92,'Daftar Koreksi'!$D$5:$D$92,'0100'!A92,'Daftar Koreksi'!$G$5:$G$92,"Jalan Irigasi Jaringan",'Daftar Koreksi'!$I$5:$I$92,"&gt;0")</f>
        <v>0</v>
      </c>
      <c r="F107" s="25">
        <f>SUMIFS('Daftar Koreksi'!$I$5:$I$92,'Daftar Koreksi'!$D$5:$D$92,'0100'!A92,'Daftar Koreksi'!$G$5:$G$92,"Jalan Irigasi Jaringan",'Daftar Koreksi'!$I$5:$I$92,"&lt;0")-SUMIFS('Daftar Koreksi'!$I$5:$I$92,'Daftar Koreksi'!$D$5:$D$92,'0100'!A92,'Daftar Koreksi'!$G$5:$G$92,"Jalan Irigasi Jaringan",'Daftar Koreksi'!$I$5:$I$92,"&lt;0")-SUMIFS('Daftar Koreksi'!$I$5:$I$92,'Daftar Koreksi'!$D$5:$D$92,'0100'!A92,'Daftar Koreksi'!$G$5:$G$92,"Jalan Irigasi Jaringan",'Daftar Koreksi'!$I$5:$I$92,"&lt;0")</f>
        <v>0</v>
      </c>
      <c r="G107" s="17">
        <f t="shared" si="4"/>
        <v>-23742732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Koreksi'!$D$5:$D$92,'0100'!A92,'Daftar Koreksi'!$G$5:$G$92,"Aset Tetap Lainnya",'Daftar Koreksi'!$I$5:$I$92,"&gt;0")</f>
        <v>0</v>
      </c>
      <c r="F108" s="25">
        <f>SUMIFS('Daftar Koreksi'!$I$5:$I$92,'Daftar Koreksi'!$D$5:$D$92,'0100'!A92,'Daftar Koreksi'!$G$5:$G$92,"Aset Tetap Lainnya",'Daftar Koreksi'!$I$5:$I$92,"&lt;0")-SUMIFS('Daftar Koreksi'!$I$5:$I$92,'Daftar Koreksi'!$D$5:$D$92,'0100'!A92,'Daftar Koreksi'!$G$5:$G$92,"Aset Tetap Lainnya",'Daftar Koreksi'!$I$5:$I$92,"&lt;0")-SUMIFS('Daftar Koreksi'!$I$5:$I$92,'Daftar Koreksi'!$D$5:$D$92,'0100'!A92,'Daftar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-38155000</v>
      </c>
      <c r="E109" s="25">
        <f>SUMIFS('Daftar Koreksi'!$I$5:$I$92,'Daftar Koreksi'!$D$5:$D$92,'0100'!A92,'Daftar Koreksi'!$G$5:$G$92,"Aset Henti Guna",'Daftar Koreksi'!$I$5:$I$92,"&gt;0")</f>
        <v>0</v>
      </c>
      <c r="F109" s="25">
        <f>SUMIFS('Daftar Koreksi'!$I$5:$I$92,'Daftar Koreksi'!$D$5:$D$92,'0100'!A92,'Daftar Koreksi'!$G$5:$G$92,"Aset Henti Guna",'Daftar Koreksi'!$I$5:$I$92,"&lt;0")-SUMIFS('Daftar Koreksi'!$I$5:$I$92,'Daftar Koreksi'!$D$5:$D$92,'0100'!A92,'Daftar Koreksi'!$G$5:$G$92,"Aset Henti Guna",'Daftar Koreksi'!$I$5:$I$92,"&lt;0")-SUMIFS('Daftar Koreksi'!$I$5:$I$92,'Daftar Koreksi'!$D$5:$D$92,'0100'!A92,'Daftar Koreksi'!$G$5:$G$92,"Aset Henti Guna",'Daftar Koreksi'!$I$5:$I$92,"&lt;0")</f>
        <v>0</v>
      </c>
      <c r="G109" s="17">
        <f t="shared" si="4"/>
        <v>-38155000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-4478868290</v>
      </c>
      <c r="E110" s="19">
        <f>SUM(E105:E109)</f>
        <v>0</v>
      </c>
      <c r="F110" s="19">
        <f>SUM(F105:F109)</f>
        <v>0</v>
      </c>
      <c r="G110" s="19">
        <f t="shared" si="4"/>
        <v>-4478868290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21716356198</v>
      </c>
      <c r="E111" s="19">
        <f>E110+E104</f>
        <v>0</v>
      </c>
      <c r="F111" s="19">
        <f>F110+F104</f>
        <v>0</v>
      </c>
      <c r="G111" s="19">
        <f t="shared" si="4"/>
        <v>21716356198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005010100400220000KD</v>
      </c>
      <c r="B114" s="11" t="str">
        <f>P6</f>
        <v>PN. Jakarta Utara</v>
      </c>
      <c r="C114" s="12" t="str">
        <f>A114&amp;" "&amp;B114</f>
        <v>005010100400220000KD PN. Jakarta Utara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39406455</v>
      </c>
      <c r="E117" s="25">
        <f>SUMIFS('Daftar Koreksi'!$H$5:$H$92,'Daftar Koreksi'!$D$5:$D$92,'0100'!A114,'Daftar Koreksi'!$G$5:$G$92,"Persediaan",'Daftar Koreksi'!$H$5:$H$92,"&gt;0")</f>
        <v>0</v>
      </c>
      <c r="F117" s="25">
        <f>SUMIFS('Daftar Koreksi'!$H$5:$H$92,'Daftar Koreksi'!$D$5:$D$92,'0100'!A114,'Daftar Koreksi'!$G$5:$G$92,"Persediaan",'Daftar Koreksi'!$H$5:$H$92,"&lt;0")-SUMIFS('Daftar Koreksi'!$H$5:$H$92,'Daftar Koreksi'!$D$5:$D$92,'0100'!A114,'Daftar Koreksi'!$G$5:$G$92,"Persediaan",'Daftar Koreksi'!$H$5:$H$92,"&lt;0")-SUMIFS('Daftar Koreksi'!$H$5:$H$92,'Daftar Koreksi'!$D$5:$D$92,'0100'!A114,'Daftar Koreksi'!$G$5:$G$92,"Persediaan",'Daftar Koreksi'!$H$5:$H$92,"&lt;0")</f>
        <v>0</v>
      </c>
      <c r="G117" s="17">
        <f>D117+E117-F117</f>
        <v>39406455</v>
      </c>
      <c r="H117" s="121" t="str">
        <f>IF(ISNA(VLOOKUP(A114,'Mutasi Neraca'!$A$3:$S$914,19,FALSE)),"-",VLOOKUP(A114,'Mutasi Neraca'!$A$3:$S$914,19,FALSE))</f>
        <v>TP. No 3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24642750000</v>
      </c>
      <c r="E118" s="25">
        <f>SUMIFS('Daftar Koreksi'!$H$5:$H$92,'Daftar Koreksi'!$D$5:$D$92,'0100'!A114,'Daftar Koreksi'!$G$5:$G$92,"Tanah",'Daftar Koreksi'!$H$5:$H$92,"&gt;0")</f>
        <v>0</v>
      </c>
      <c r="F118" s="25">
        <f>SUMIFS('Daftar Koreksi'!$H$5:$H$92,'Daftar Koreksi'!$D$5:$D$92,'0100'!A114,'Daftar Koreksi'!$G$5:$G$92,"Tanah",'Daftar Koreksi'!$H$5:$H$92,"&lt;0")-SUMIFS('Daftar Koreksi'!$H$5:$H$92,'Daftar Koreksi'!$D$5:$D$92,'0100'!A114,'Daftar Koreksi'!$G$5:$G$92,"Tanah",'Daftar Koreksi'!$H$5:$H$92,"&lt;0")-SUMIFS('Daftar Koreksi'!$H$5:$H$92,'Daftar Koreksi'!$D$5:$D$92,'0100'!A114,'Daftar Koreksi'!$G$5:$G$92,"Tanah",'Daftar Koreksi'!$H$5:$H$92,"&lt;0")</f>
        <v>0</v>
      </c>
      <c r="G118" s="17">
        <f t="shared" ref="G118:G134" si="5">D118+E118-F118</f>
        <v>24642750000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3351229156</v>
      </c>
      <c r="E119" s="25">
        <f>SUMIFS('Daftar Koreksi'!$H$5:$H$92,'Daftar Koreksi'!$D$5:$D$92,'0100'!A114,'Daftar Koreksi'!$G$5:$G$92,"Peralatan dan mesin",'Daftar Koreksi'!$H$5:$H$92,"&gt;0")</f>
        <v>0</v>
      </c>
      <c r="F119" s="25">
        <f>SUMIFS('Daftar Koreksi'!$H$5:$H$92,'Daftar Koreksi'!$D$5:$D$92,'0100'!A114,'Daftar Koreksi'!$G$5:$G$92,"Peralatan dan mesin",'Daftar Koreksi'!$H$5:$H$92,"&lt;0")-SUMIFS('Daftar Koreksi'!$H$5:$H$92,'Daftar Koreksi'!$D$5:$D$92,'0100'!A114,'Daftar Koreksi'!$G$5:$G$92,"Peralatan dan mesin",'Daftar Koreksi'!$H$5:$H$92,"&lt;0")-SUMIFS('Daftar Koreksi'!$H$5:$H$92,'Daftar Koreksi'!$D$5:$D$92,'0100'!A114,'Daftar Koreksi'!$G$5:$G$92,"Peralatan dan mesin",'Daftar Koreksi'!$H$5:$H$92,"&lt;0")</f>
        <v>0</v>
      </c>
      <c r="G119" s="17">
        <f t="shared" si="5"/>
        <v>3351229156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4955843535</v>
      </c>
      <c r="E120" s="25">
        <f>SUMIFS('Daftar Koreksi'!$H$5:$H$92,'Daftar Koreksi'!$D$5:$D$92,'0100'!A114,'Daftar Koreksi'!$G$5:$G$92,"Gedung dan Bangunan",'Daftar Koreksi'!$H$5:$H$92,"&gt;0")</f>
        <v>0</v>
      </c>
      <c r="F120" s="25">
        <f>SUMIFS('Daftar Koreksi'!$H$5:$H$92,'Daftar Koreksi'!$D$5:$D$92,'0100'!A114,'Daftar Koreksi'!$G$5:$G$92,"Gedung dan Bangunan",'Daftar Koreksi'!$H$5:$H$92,"&lt;0")-SUMIFS('Daftar Koreksi'!$H$5:$H$92,'Daftar Koreksi'!$D$5:$D$92,'0100'!A114,'Daftar Koreksi'!$G$5:$G$92,"Gedung dan Bangunan",'Daftar Koreksi'!$H$5:$H$92,"&lt;0")-SUMIFS('Daftar Koreksi'!$H$5:$H$92,'Daftar Koreksi'!$D$5:$D$92,'0100'!A114,'Daftar Koreksi'!$G$5:$G$92,"Gedung dan Bangunan",'Daftar Koreksi'!$H$5:$H$92,"&lt;0")</f>
        <v>0</v>
      </c>
      <c r="G120" s="17">
        <f t="shared" si="5"/>
        <v>4955843535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0</v>
      </c>
      <c r="E121" s="25">
        <f>SUMIFS('Daftar Koreksi'!$H$5:$H$92,'Daftar Koreksi'!$D$5:$D$92,'0100'!A114,'Daftar Koreksi'!$G$5:$G$92,"Jalan Irigasi Jaringan",'Daftar Koreksi'!$H$5:$H$92,"&gt;0")</f>
        <v>0</v>
      </c>
      <c r="F121" s="25">
        <f>SUMIFS('Daftar Koreksi'!$H$5:$H$92,'Daftar Koreksi'!$D$5:$D$92,'0100'!A114,'Daftar Koreksi'!$G$5:$G$92,"Jalan Irigasi Jaringan",'Daftar Koreksi'!$H$5:$H$92,"&lt;0")-SUMIFS('Daftar Koreksi'!$H$5:$H$92,'Daftar Koreksi'!$D$5:$D$92,'0100'!A114,'Daftar Koreksi'!$G$5:$G$92,"Jalan Irigasi Jaringan",'Daftar Koreksi'!$H$5:$H$92,"&lt;0")-SUMIFS('Daftar Koreksi'!$H$5:$H$92,'Daftar Koreksi'!$D$5:$D$92,'0100'!A114,'Daftar Koreksi'!$G$5:$G$92,"Jalan Irigasi Jaringan",'Daftar Koreksi'!$H$5:$H$92,"&lt;0")</f>
        <v>0</v>
      </c>
      <c r="G121" s="17">
        <f t="shared" si="5"/>
        <v>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16714340</v>
      </c>
      <c r="E122" s="25">
        <f>SUMIFS('Daftar Koreksi'!$H$5:$H$92,'Daftar Koreksi'!$D$5:$D$92,'0100'!A114,'Daftar Koreksi'!$G$5:$G$92,"Aset Tetap Lainnya",'Daftar Koreksi'!$H$5:$H$92,"&gt;0")</f>
        <v>4411622</v>
      </c>
      <c r="F122" s="25">
        <f>SUMIFS('Daftar Koreksi'!$H$5:$H$92,'Daftar Koreksi'!$D$5:$D$92,'0100'!A114,'Daftar Koreksi'!$G$5:$G$92,"Aset Tetap Lainnya",'Daftar Koreksi'!$H$5:$H$92,"&lt;0")-SUMIFS('Daftar Koreksi'!$H$5:$H$92,'Daftar Koreksi'!$D$5:$D$92,'0100'!A114,'Daftar Koreksi'!$G$5:$G$92,"Aset Tetap Lainnya",'Daftar Koreksi'!$H$5:$H$92,"&lt;0")-SUMIFS('Daftar Koreksi'!$H$5:$H$92,'Daftar Koreksi'!$D$5:$D$92,'0100'!A114,'Daftar Koreksi'!$G$5:$G$92,"Aset Tetap Lainnya",'Daftar Koreksi'!$H$5:$H$92,"&lt;0")</f>
        <v>0</v>
      </c>
      <c r="G122" s="17">
        <f t="shared" si="5"/>
        <v>21125962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Koreksi'!$D$5:$D$92,'0100'!A114,'Daftar Koreksi'!$G$5:$G$92,"Kontruksi Dalam Pengerjaan",'Daftar Koreksi'!$H$5:$H$92,"&gt;0")</f>
        <v>0</v>
      </c>
      <c r="F123" s="25">
        <f>SUMIFS('Daftar Koreksi'!$H$5:$H$92,'Daftar Koreksi'!$D$5:$D$92,'0100'!A114,'Daftar Koreksi'!$G$5:$G$92,"Kontruksi Dalam Pengerjaan",'Daftar Koreksi'!$H$5:$H$92,"&lt;0")-SUMIFS('Daftar Koreksi'!$H$5:$H$92,'Daftar Koreksi'!$D$5:$D$92,'0100'!A114,'Daftar Koreksi'!$G$5:$G$92,"Kontruksi Dalam Pengerjaan",'Daftar Koreksi'!$H$5:$H$92,"&lt;0")-SUMIFS('Daftar Koreksi'!$H$5:$H$92,'Daftar Koreksi'!$D$5:$D$92,'0100'!A114,'Daftar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Koreksi'!$D$5:$D$92,'0100'!A114,'Daftar Koreksi'!$G$5:$G$92,"Aset Tak Berwujud",'Daftar Koreksi'!$H$5:$H$92,"&gt;0")</f>
        <v>0</v>
      </c>
      <c r="F124" s="25">
        <f>SUMIFS('Daftar Koreksi'!$H$5:$H$92,'Daftar Koreksi'!$D$5:$D$92,'0100'!A114,'Daftar Koreksi'!$G$5:$G$92,"Aset Tak Berwujud",'Daftar Koreksi'!$H$5:$H$92,"&lt;0")-SUMIFS('Daftar Koreksi'!$H$5:$H$92,'Daftar Koreksi'!$D$5:$D$92,'0100'!A114,'Daftar Koreksi'!$G$5:$G$92,"Aset Tak Berwujud",'Daftar Koreksi'!$H$5:$H$92,"&lt;0")-SUMIFS('Daftar Koreksi'!$H$5:$H$92,'Daftar Koreksi'!$D$5:$D$92,'0100'!A114,'Daftar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25565000</v>
      </c>
      <c r="E125" s="25">
        <f>SUMIFS('Daftar Koreksi'!$H$5:$H$92,'Daftar Koreksi'!$D$5:$D$92,'0100'!A114,'Daftar Koreksi'!$G$5:$G$92,"Aset Henti Guna",'Daftar Koreksi'!$H$5:$H$92,"&gt;0")</f>
        <v>0</v>
      </c>
      <c r="F125" s="25">
        <f>SUMIFS('Daftar Koreksi'!$H$5:$H$92,'Daftar Koreksi'!$D$5:$D$92,'0100'!A114,'Daftar Koreksi'!$G$5:$G$92,"Aset Henti Guna",'Daftar Koreksi'!$H$5:$H$92,"&lt;0")-SUMIFS('Daftar Koreksi'!$H$5:$H$92,'Daftar Koreksi'!$D$5:$D$92,'0100'!A114,'Daftar Koreksi'!$G$5:$G$92,"Aset Henti Guna",'Daftar Koreksi'!$H$5:$H$92,"&lt;0")-SUMIFS('Daftar Koreksi'!$H$5:$H$92,'Daftar Koreksi'!$D$5:$D$92,'0100'!A114,'Daftar Koreksi'!$G$5:$G$92,"Aset Henti Guna",'Daftar Koreksi'!$H$5:$H$92,"&lt;0")</f>
        <v>0</v>
      </c>
      <c r="G125" s="17">
        <f t="shared" si="5"/>
        <v>25565000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33031508486</v>
      </c>
      <c r="E126" s="19">
        <f>SUM(E117:E125)</f>
        <v>4411622</v>
      </c>
      <c r="F126" s="19">
        <f>SUM(F117:F125)</f>
        <v>0</v>
      </c>
      <c r="G126" s="19">
        <f t="shared" si="5"/>
        <v>33035920108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-3165185966</v>
      </c>
      <c r="E127" s="25">
        <f>SUMIFS('Daftar Koreksi'!$I$5:$I$92,'Daftar Koreksi'!$D$5:$D$92,'0100'!A114,'Daftar Koreksi'!$G$5:$G$92,"Peralatan dan mesin",'Daftar Koreksi'!$I$5:$I$92,"&gt;0")</f>
        <v>0</v>
      </c>
      <c r="F127" s="25">
        <f>SUMIFS('Daftar Koreksi'!$I$5:$I$92,'Daftar Koreksi'!$D$5:$D$92,'0100'!A114,'Daftar Koreksi'!$G$5:$G$92,"Peralatan dan mesin",'Daftar Koreksi'!$I$5:$I$92,"&lt;0")-SUMIFS('Daftar Koreksi'!$I$5:$I$92,'Daftar Koreksi'!$D$5:$D$92,'0100'!A114,'Daftar Koreksi'!$G$5:$G$92,"Peralatan dan mesin",'Daftar Koreksi'!$I$5:$I$92,"&lt;0")-SUMIFS('Daftar Koreksi'!$I$5:$I$92,'Daftar Koreksi'!$D$5:$D$92,'0100'!A114,'Daftar Koreksi'!$G$5:$G$92,"Peralatan dan mesin",'Daftar Koreksi'!$I$5:$I$92,"&lt;0")</f>
        <v>0</v>
      </c>
      <c r="G127" s="17">
        <f t="shared" si="5"/>
        <v>-3165185966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-3047459529</v>
      </c>
      <c r="E128" s="25">
        <f>SUMIFS('Daftar Koreksi'!$I$5:$I$92,'Daftar Koreksi'!$D$5:$D$92,'0100'!A114,'Daftar Koreksi'!$G$5:$G$92,"Gedung dan Bangunan",'Daftar Koreksi'!$I$5:$I$92,"&gt;0")</f>
        <v>0</v>
      </c>
      <c r="F128" s="25">
        <f>SUMIFS('Daftar Koreksi'!$I$5:$I$92,'Daftar Koreksi'!$D$5:$D$92,'0100'!A114,'Daftar Koreksi'!$G$5:$G$92,"Gedung dan Bangunan",'Daftar Koreksi'!$I$5:$I$92,"&lt;0")-SUMIFS('Daftar Koreksi'!$I$5:$I$92,'Daftar Koreksi'!$D$5:$D$92,'0100'!A114,'Daftar Koreksi'!$G$5:$G$92,"Gedung dan Bangunan",'Daftar Koreksi'!$I$5:$I$92,"&lt;0")-SUMIFS('Daftar Koreksi'!$I$5:$I$92,'Daftar Koreksi'!$D$5:$D$92,'0100'!A114,'Daftar Koreksi'!$G$5:$G$92,"Gedung dan Bangunan",'Daftar Koreksi'!$I$5:$I$92,"&lt;0")</f>
        <v>0</v>
      </c>
      <c r="G128" s="17">
        <f t="shared" si="5"/>
        <v>-3047459529</v>
      </c>
      <c r="H128" s="122"/>
    </row>
    <row r="129" spans="1:10" ht="21.95" customHeight="1">
      <c r="A129" s="14"/>
      <c r="B129" s="14"/>
      <c r="C129" s="16" t="s">
        <v>2089</v>
      </c>
      <c r="D129" s="17">
        <f>VLOOKUP(A114,'Neraca Unaudited SIMAK'!$A$2:$S$10004,15,FALSE)</f>
        <v>0</v>
      </c>
      <c r="E129" s="25">
        <f>SUMIFS('Daftar Koreksi'!$I$5:$I$92,'Daftar Koreksi'!$D$5:$D$92,'0100'!A114,'Daftar Koreksi'!$G$5:$G$92,"Jalan Irigasi Jaringan",'Daftar Koreksi'!$I$5:$I$92,"&gt;0")</f>
        <v>0</v>
      </c>
      <c r="F129" s="25">
        <f>SUMIFS('Daftar Koreksi'!$I$5:$I$92,'Daftar Koreksi'!$D$5:$D$92,'0100'!A114,'Daftar Koreksi'!$G$5:$G$92,"Jalan Irigasi Jaringan",'Daftar Koreksi'!$I$5:$I$92,"&lt;0")-SUMIFS('Daftar Koreksi'!$I$5:$I$92,'Daftar Koreksi'!$D$5:$D$92,'0100'!A114,'Daftar Koreksi'!$G$5:$G$92,"Jalan Irigasi Jaringan",'Daftar Koreksi'!$I$5:$I$92,"&lt;0")-SUMIFS('Daftar Koreksi'!$I$5:$I$92,'Daftar Koreksi'!$D$5:$D$92,'0100'!A114,'Daftar Koreksi'!$G$5:$G$92,"Jalan Irigasi Jaringan",'Daftar Koreksi'!$I$5:$I$92,"&lt;0")</f>
        <v>0</v>
      </c>
      <c r="G129" s="17">
        <f t="shared" si="5"/>
        <v>0</v>
      </c>
      <c r="H129" s="122"/>
    </row>
    <row r="130" spans="1:10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Koreksi'!$D$5:$D$92,'0100'!A114,'Daftar Koreksi'!$G$5:$G$92,"Aset Tetap Lainnya",'Daftar Koreksi'!$I$5:$I$92,"&gt;0")</f>
        <v>0</v>
      </c>
      <c r="F130" s="25">
        <f>SUMIFS('Daftar Koreksi'!$I$5:$I$92,'Daftar Koreksi'!$D$5:$D$92,'0100'!A114,'Daftar Koreksi'!$G$5:$G$92,"Aset Tetap Lainnya",'Daftar Koreksi'!$I$5:$I$92,"&lt;0")-SUMIFS('Daftar Koreksi'!$I$5:$I$92,'Daftar Koreksi'!$D$5:$D$92,'0100'!A114,'Daftar Koreksi'!$G$5:$G$92,"Aset Tetap Lainnya",'Daftar Koreksi'!$I$5:$I$92,"&lt;0")-SUMIFS('Daftar Koreksi'!$I$5:$I$92,'Daftar Koreksi'!$D$5:$D$92,'0100'!A114,'Daftar Koreksi'!$G$5:$G$92,"Aset Tetap Lainnya",'Daftar Koreksi'!$I$5:$I$92,"&lt;0")</f>
        <v>0</v>
      </c>
      <c r="G130" s="17">
        <f t="shared" si="5"/>
        <v>0</v>
      </c>
      <c r="H130" s="122"/>
    </row>
    <row r="131" spans="1:10" ht="21.95" customHeight="1">
      <c r="A131" s="14"/>
      <c r="B131" s="14"/>
      <c r="C131" s="16" t="s">
        <v>2020</v>
      </c>
      <c r="D131" s="17">
        <f>VLOOKUP(A114,'Neraca Unaudited SIMAK'!$A$2:$S$10004,17,FALSE)</f>
        <v>-25565000</v>
      </c>
      <c r="E131" s="25">
        <f>SUMIFS('Daftar Koreksi'!$I$5:$I$92,'Daftar Koreksi'!$D$5:$D$92,'0100'!A114,'Daftar Koreksi'!$G$5:$G$92,"Aset Henti Guna",'Daftar Koreksi'!$I$5:$I$92,"&gt;0")</f>
        <v>0</v>
      </c>
      <c r="F131" s="25">
        <f>SUMIFS('Daftar Koreksi'!$I$5:$I$92,'Daftar Koreksi'!$D$5:$D$92,'0100'!A114,'Daftar Koreksi'!$G$5:$G$92,"Aset Henti Guna",'Daftar Koreksi'!$I$5:$I$92,"&lt;0")-SUMIFS('Daftar Koreksi'!$I$5:$I$92,'Daftar Koreksi'!$D$5:$D$92,'0100'!A114,'Daftar Koreksi'!$G$5:$G$92,"Aset Henti Guna",'Daftar Koreksi'!$I$5:$I$92,"&lt;0")-SUMIFS('Daftar Koreksi'!$I$5:$I$92,'Daftar Koreksi'!$D$5:$D$92,'0100'!A114,'Daftar Koreksi'!$G$5:$G$92,"Aset Henti Guna",'Daftar Koreksi'!$I$5:$I$92,"&lt;0")</f>
        <v>0</v>
      </c>
      <c r="G131" s="17">
        <f t="shared" si="5"/>
        <v>-25565000</v>
      </c>
      <c r="H131" s="122"/>
    </row>
    <row r="132" spans="1:10" ht="21.95" customHeight="1">
      <c r="A132" s="14"/>
      <c r="B132" s="14"/>
      <c r="C132" s="18" t="s">
        <v>2094</v>
      </c>
      <c r="D132" s="19">
        <f>SUM(D127:D131)</f>
        <v>-6238210495</v>
      </c>
      <c r="E132" s="19">
        <f>SUM(E127:E131)</f>
        <v>0</v>
      </c>
      <c r="F132" s="19">
        <f>SUM(F127:F131)</f>
        <v>0</v>
      </c>
      <c r="G132" s="19">
        <f t="shared" si="5"/>
        <v>-6238210495</v>
      </c>
      <c r="H132" s="122"/>
    </row>
    <row r="133" spans="1:10" ht="21.95" customHeight="1">
      <c r="A133" s="14"/>
      <c r="B133" s="14"/>
      <c r="C133" s="18" t="s">
        <v>2095</v>
      </c>
      <c r="D133" s="19">
        <f>VLOOKUP(A114,'Neraca Unaudited SIMAK'!$A$2:$S$10004,18,FALSE)</f>
        <v>26793297991</v>
      </c>
      <c r="E133" s="19">
        <f>E132+E126</f>
        <v>4411622</v>
      </c>
      <c r="F133" s="19">
        <f>F132+F126</f>
        <v>0</v>
      </c>
      <c r="G133" s="19">
        <f t="shared" si="5"/>
        <v>26797709613</v>
      </c>
      <c r="H133" s="122"/>
    </row>
    <row r="134" spans="1:10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10" ht="19.5" customHeight="1">
      <c r="A136" s="11" t="str">
        <f>O7</f>
        <v>005010100400616000KD</v>
      </c>
      <c r="B136" s="11" t="str">
        <f>P7</f>
        <v>PA. Jakarta Pusat</v>
      </c>
      <c r="C136" s="12" t="str">
        <f>A136&amp;" "&amp;B136</f>
        <v>005010100400616000KD PA. Jakarta Pusat</v>
      </c>
      <c r="D136" s="13"/>
      <c r="E136" s="13"/>
      <c r="F136" s="13"/>
      <c r="G136" s="13"/>
      <c r="H136" s="11"/>
    </row>
    <row r="137" spans="1:10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10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10" ht="21.95" customHeight="1">
      <c r="A139" s="14"/>
      <c r="B139" s="14"/>
      <c r="C139" s="16" t="s">
        <v>1165</v>
      </c>
      <c r="D139" s="17">
        <f>VLOOKUP(A136,'Neraca Unaudited SIMAK'!$A$2:$S$10004,3,FALSE)</f>
        <v>8634200</v>
      </c>
      <c r="E139" s="25">
        <f>SUMIFS('Daftar Koreksi'!$H$5:$H$92,'Daftar Koreksi'!$D$5:$D$92,'0100'!A136,'Daftar Koreksi'!$G$5:$G$92,"Persediaan",'Daftar Koreksi'!$H$5:$H$92,"&gt;0")</f>
        <v>0</v>
      </c>
      <c r="F139" s="25">
        <f>SUMIFS('Daftar Koreksi'!$H$5:$H$92,'Daftar Koreksi'!$D$5:$D$92,'0100'!A136,'Daftar Koreksi'!$G$5:$G$92,"Persediaan",'Daftar Koreksi'!$H$5:$H$92,"&lt;0")-SUMIFS('Daftar Koreksi'!$H$5:$H$92,'Daftar Koreksi'!$D$5:$D$92,'0100'!A136,'Daftar Koreksi'!$G$5:$G$92,"Persediaan",'Daftar Koreksi'!$H$5:$H$92,"&lt;0")-SUMIFS('Daftar Koreksi'!$H$5:$H$92,'Daftar Koreksi'!$D$5:$D$92,'0100'!A136,'Daftar Koreksi'!$G$5:$G$92,"Persediaan",'Daftar Koreksi'!$H$5:$H$92,"&lt;0")</f>
        <v>0</v>
      </c>
      <c r="G139" s="17">
        <f>D139+E139-F139</f>
        <v>8634200</v>
      </c>
      <c r="H139" s="121" t="str">
        <f>IF(ISNA(VLOOKUP(A136,'Mutasi Neraca'!$A$3:$S$914,19,FALSE)),"-",VLOOKUP(A136,'Mutasi Neraca'!$A$3:$S$914,19,FALSE))</f>
        <v>-</v>
      </c>
      <c r="I139" s="28"/>
      <c r="J139" s="28"/>
    </row>
    <row r="140" spans="1:10" ht="21.95" customHeight="1">
      <c r="A140" s="14"/>
      <c r="B140" s="14"/>
      <c r="C140" s="16" t="s">
        <v>1166</v>
      </c>
      <c r="D140" s="17">
        <f>VLOOKUP(A136,'Neraca Unaudited SIMAK'!$A$2:$S$10004,4,FALSE)</f>
        <v>25821465000</v>
      </c>
      <c r="E140" s="25">
        <f>SUMIFS('Daftar Koreksi'!$H$5:$H$92,'Daftar Koreksi'!$D$5:$D$92,'0100'!A136,'Daftar Koreksi'!$G$5:$G$92,"Tanah",'Daftar Koreksi'!$H$5:$H$92,"&gt;0")</f>
        <v>0</v>
      </c>
      <c r="F140" s="25">
        <f>SUMIFS('Daftar Koreksi'!$H$5:$H$92,'Daftar Koreksi'!$D$5:$D$92,'0100'!A136,'Daftar Koreksi'!$G$5:$G$92,"Tanah",'Daftar Koreksi'!$H$5:$H$92,"&lt;0")-SUMIFS('Daftar Koreksi'!$H$5:$H$92,'Daftar Koreksi'!$D$5:$D$92,'0100'!A136,'Daftar Koreksi'!$G$5:$G$92,"Tanah",'Daftar Koreksi'!$H$5:$H$92,"&lt;0")-SUMIFS('Daftar Koreksi'!$H$5:$H$92,'Daftar Koreksi'!$D$5:$D$92,'0100'!A136,'Daftar Koreksi'!$G$5:$G$92,"Tanah",'Daftar Koreksi'!$H$5:$H$92,"&lt;0")</f>
        <v>0</v>
      </c>
      <c r="G140" s="17">
        <f t="shared" ref="G140:G156" si="6">D140+E140-F140</f>
        <v>25821465000</v>
      </c>
      <c r="H140" s="122"/>
      <c r="I140" s="28"/>
      <c r="J140" s="28"/>
    </row>
    <row r="141" spans="1:10" ht="21.95" customHeight="1">
      <c r="A141" s="14"/>
      <c r="B141" s="14"/>
      <c r="C141" s="16" t="s">
        <v>1167</v>
      </c>
      <c r="D141" s="17">
        <f>VLOOKUP(A136,'Neraca Unaudited SIMAK'!$A$2:$S$10004,5,FALSE)</f>
        <v>5115803720</v>
      </c>
      <c r="E141" s="25">
        <f>SUMIFS('Daftar Koreksi'!$H$5:$H$92,'Daftar Koreksi'!$D$5:$D$92,'0100'!A136,'Daftar Koreksi'!$G$5:$G$92,"Peralatan dan mesin",'Daftar Koreksi'!$H$5:$H$92,"&gt;0")</f>
        <v>0</v>
      </c>
      <c r="F141" s="25">
        <f>SUMIFS('Daftar Koreksi'!$H$5:$H$92,'Daftar Koreksi'!$D$5:$D$92,'0100'!A136,'Daftar Koreksi'!$G$5:$G$92,"Peralatan dan mesin",'Daftar Koreksi'!$H$5:$H$92,"&lt;0")-SUMIFS('Daftar Koreksi'!$H$5:$H$92,'Daftar Koreksi'!$D$5:$D$92,'0100'!A136,'Daftar Koreksi'!$G$5:$G$92,"Peralatan dan mesin",'Daftar Koreksi'!$H$5:$H$92,"&lt;0")-SUMIFS('Daftar Koreksi'!$H$5:$H$92,'Daftar Koreksi'!$D$5:$D$92,'0100'!A136,'Daftar Koreksi'!$G$5:$G$92,"Peralatan dan mesin",'Daftar Koreksi'!$H$5:$H$92,"&lt;0")</f>
        <v>0</v>
      </c>
      <c r="G141" s="17">
        <f t="shared" si="6"/>
        <v>5115803720</v>
      </c>
      <c r="H141" s="122"/>
      <c r="I141" s="28"/>
      <c r="J141" s="28"/>
    </row>
    <row r="142" spans="1:10" ht="21.95" customHeight="1">
      <c r="A142" s="14"/>
      <c r="B142" s="14"/>
      <c r="C142" s="16" t="s">
        <v>1168</v>
      </c>
      <c r="D142" s="17">
        <f>VLOOKUP(A136,'Neraca Unaudited SIMAK'!$A$2:$S$10004,6,FALSE)</f>
        <v>18598932806</v>
      </c>
      <c r="E142" s="25">
        <f>SUMIFS('Daftar Koreksi'!$H$5:$H$92,'Daftar Koreksi'!$D$5:$D$92,'0100'!A136,'Daftar Koreksi'!$G$5:$G$92,"Gedung dan Bangunan",'Daftar Koreksi'!$H$5:$H$92,"&gt;0")</f>
        <v>0</v>
      </c>
      <c r="F142" s="25">
        <f>SUMIFS('Daftar Koreksi'!$H$5:$H$92,'Daftar Koreksi'!$D$5:$D$92,'0100'!A136,'Daftar Koreksi'!$G$5:$G$92,"Gedung dan Bangunan",'Daftar Koreksi'!$H$5:$H$92,"&lt;0")-SUMIFS('Daftar Koreksi'!$H$5:$H$92,'Daftar Koreksi'!$D$5:$D$92,'0100'!A136,'Daftar Koreksi'!$G$5:$G$92,"Gedung dan Bangunan",'Daftar Koreksi'!$H$5:$H$92,"&lt;0")-SUMIFS('Daftar Koreksi'!$H$5:$H$92,'Daftar Koreksi'!$D$5:$D$92,'0100'!A136,'Daftar Koreksi'!$G$5:$G$92,"Gedung dan Bangunan",'Daftar Koreksi'!$H$5:$H$92,"&lt;0")</f>
        <v>0</v>
      </c>
      <c r="G142" s="17">
        <f t="shared" si="6"/>
        <v>18598932806</v>
      </c>
      <c r="H142" s="122"/>
      <c r="I142" s="28"/>
      <c r="J142" s="28"/>
    </row>
    <row r="143" spans="1:10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Koreksi'!$D$5:$D$92,'0100'!A136,'Daftar Koreksi'!$G$5:$G$92,"Jalan Irigasi Jaringan",'Daftar Koreksi'!$H$5:$H$92,"&gt;0")</f>
        <v>0</v>
      </c>
      <c r="F143" s="25">
        <f>SUMIFS('Daftar Koreksi'!$H$5:$H$92,'Daftar Koreksi'!$D$5:$D$92,'0100'!A136,'Daftar Koreksi'!$G$5:$G$92,"Jalan Irigasi Jaringan",'Daftar Koreksi'!$H$5:$H$92,"&lt;0")-SUMIFS('Daftar Koreksi'!$H$5:$H$92,'Daftar Koreksi'!$D$5:$D$92,'0100'!A136,'Daftar Koreksi'!$G$5:$G$92,"Jalan Irigasi Jaringan",'Daftar Koreksi'!$H$5:$H$92,"&lt;0")-SUMIFS('Daftar Koreksi'!$H$5:$H$92,'Daftar Koreksi'!$D$5:$D$92,'0100'!A136,'Daftar Koreksi'!$G$5:$G$92,"Jalan Irigasi Jaringan",'Daftar Koreksi'!$H$5:$H$92,"&lt;0")</f>
        <v>0</v>
      </c>
      <c r="G143" s="17">
        <f t="shared" si="6"/>
        <v>0</v>
      </c>
      <c r="H143" s="122"/>
      <c r="I143" s="28"/>
      <c r="J143" s="28"/>
    </row>
    <row r="144" spans="1:10" ht="21.95" customHeight="1">
      <c r="A144" s="14"/>
      <c r="B144" s="14"/>
      <c r="C144" s="16" t="s">
        <v>1170</v>
      </c>
      <c r="D144" s="17">
        <f>VLOOKUP(A136,'Neraca Unaudited SIMAK'!$A$2:$S$10004,8,FALSE)</f>
        <v>2609284000</v>
      </c>
      <c r="E144" s="25">
        <f>SUMIFS('Daftar Koreksi'!$H$5:$H$92,'Daftar Koreksi'!$D$5:$D$92,'0100'!A136,'Daftar Koreksi'!$G$5:$G$92,"Aset Tetap Lainnya",'Daftar Koreksi'!$H$5:$H$92,"&gt;0")</f>
        <v>0</v>
      </c>
      <c r="F144" s="25">
        <f>SUMIFS('Daftar Koreksi'!$H$5:$H$92,'Daftar Koreksi'!$D$5:$D$92,'0100'!A136,'Daftar Koreksi'!$G$5:$G$92,"Aset Tetap Lainnya",'Daftar Koreksi'!$H$5:$H$92,"&lt;0")-SUMIFS('Daftar Koreksi'!$H$5:$H$92,'Daftar Koreksi'!$D$5:$D$92,'0100'!A136,'Daftar Koreksi'!$G$5:$G$92,"Aset Tetap Lainnya",'Daftar Koreksi'!$H$5:$H$92,"&lt;0")-SUMIFS('Daftar Koreksi'!$H$5:$H$92,'Daftar Koreksi'!$D$5:$D$92,'0100'!A136,'Daftar Koreksi'!$G$5:$G$92,"Aset Tetap Lainnya",'Daftar Koreksi'!$H$5:$H$92,"&lt;0")</f>
        <v>0</v>
      </c>
      <c r="G144" s="17">
        <f t="shared" si="6"/>
        <v>2609284000</v>
      </c>
      <c r="H144" s="122"/>
      <c r="I144" s="28"/>
      <c r="J144" s="28"/>
    </row>
    <row r="145" spans="1:10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Koreksi'!$D$5:$D$92,'0100'!A136,'Daftar Koreksi'!$G$5:$G$92,"Kontruksi Dalam Pengerjaan",'Daftar Koreksi'!$H$5:$H$92,"&gt;0")</f>
        <v>0</v>
      </c>
      <c r="F145" s="25">
        <f>SUMIFS('Daftar Koreksi'!$H$5:$H$92,'Daftar Koreksi'!$D$5:$D$92,'0100'!A136,'Daftar Koreksi'!$G$5:$G$92,"Kontruksi Dalam Pengerjaan",'Daftar Koreksi'!$H$5:$H$92,"&lt;0")-SUMIFS('Daftar Koreksi'!$H$5:$H$92,'Daftar Koreksi'!$D$5:$D$92,'0100'!A136,'Daftar Koreksi'!$G$5:$G$92,"Kontruksi Dalam Pengerjaan",'Daftar Koreksi'!$H$5:$H$92,"&lt;0")-SUMIFS('Daftar Koreksi'!$H$5:$H$92,'Daftar Koreksi'!$D$5:$D$92,'0100'!A136,'Daftar Koreksi'!$G$5:$G$92,"Kontruksi Dalam Pengerjaan",'Daftar Koreksi'!$H$5:$H$92,"&lt;0")</f>
        <v>0</v>
      </c>
      <c r="G145" s="17">
        <f t="shared" si="6"/>
        <v>0</v>
      </c>
      <c r="H145" s="122"/>
      <c r="I145" s="28"/>
      <c r="J145" s="28"/>
    </row>
    <row r="146" spans="1:10" ht="21.95" customHeight="1">
      <c r="A146" s="14"/>
      <c r="B146" s="14"/>
      <c r="C146" s="16" t="s">
        <v>1172</v>
      </c>
      <c r="D146" s="17">
        <f>VLOOKUP(A136,'Neraca Unaudited SIMAK'!$A$2:$S$10004,10,FALSE)</f>
        <v>44975000</v>
      </c>
      <c r="E146" s="25">
        <f>SUMIFS('Daftar Koreksi'!$H$5:$H$92,'Daftar Koreksi'!$D$5:$D$92,'0100'!A136,'Daftar Koreksi'!$G$5:$G$92,"Aset Tak Berwujud",'Daftar Koreksi'!$H$5:$H$92,"&gt;0")</f>
        <v>0</v>
      </c>
      <c r="F146" s="25">
        <f>SUMIFS('Daftar Koreksi'!$H$5:$H$92,'Daftar Koreksi'!$D$5:$D$92,'0100'!A136,'Daftar Koreksi'!$G$5:$G$92,"Aset Tak Berwujud",'Daftar Koreksi'!$H$5:$H$92,"&lt;0")-SUMIFS('Daftar Koreksi'!$H$5:$H$92,'Daftar Koreksi'!$D$5:$D$92,'0100'!A136,'Daftar Koreksi'!$G$5:$G$92,"Aset Tak Berwujud",'Daftar Koreksi'!$H$5:$H$92,"&lt;0")-SUMIFS('Daftar Koreksi'!$H$5:$H$92,'Daftar Koreksi'!$D$5:$D$92,'0100'!A136,'Daftar Koreksi'!$G$5:$G$92,"Aset Tak Berwujud",'Daftar Koreksi'!$H$5:$H$92,"&lt;0")</f>
        <v>0</v>
      </c>
      <c r="G146" s="17">
        <f t="shared" si="6"/>
        <v>44975000</v>
      </c>
      <c r="H146" s="122"/>
      <c r="I146" s="28"/>
      <c r="J146" s="28"/>
    </row>
    <row r="147" spans="1:10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Koreksi'!$D$5:$D$92,'0100'!A136,'Daftar Koreksi'!$G$5:$G$92,"Aset Henti Guna",'Daftar Koreksi'!$H$5:$H$92,"&gt;0")</f>
        <v>0</v>
      </c>
      <c r="F147" s="25">
        <f>SUMIFS('Daftar Koreksi'!$H$5:$H$92,'Daftar Koreksi'!$D$5:$D$92,'0100'!A136,'Daftar Koreksi'!$G$5:$G$92,"Aset Henti Guna",'Daftar Koreksi'!$H$5:$H$92,"&lt;0")-SUMIFS('Daftar Koreksi'!$H$5:$H$92,'Daftar Koreksi'!$D$5:$D$92,'0100'!A136,'Daftar Koreksi'!$G$5:$G$92,"Aset Henti Guna",'Daftar Koreksi'!$H$5:$H$92,"&lt;0")-SUMIFS('Daftar Koreksi'!$H$5:$H$92,'Daftar Koreksi'!$D$5:$D$92,'0100'!A136,'Daftar Koreksi'!$G$5:$G$92,"Aset Henti Guna",'Daftar Koreksi'!$H$5:$H$92,"&lt;0")</f>
        <v>0</v>
      </c>
      <c r="G147" s="17">
        <f t="shared" si="6"/>
        <v>0</v>
      </c>
      <c r="H147" s="122"/>
      <c r="I147" s="28"/>
      <c r="J147" s="28"/>
    </row>
    <row r="148" spans="1:10" ht="21.95" customHeight="1">
      <c r="A148" s="14"/>
      <c r="B148" s="14"/>
      <c r="C148" s="18" t="s">
        <v>2093</v>
      </c>
      <c r="D148" s="19">
        <f>VLOOKUP(A136,'Neraca Unaudited SIMAK'!$A$2:$S$10004,12,FALSE)</f>
        <v>52199094726</v>
      </c>
      <c r="E148" s="19">
        <f>SUM(E139:E147)</f>
        <v>0</v>
      </c>
      <c r="F148" s="19">
        <f>SUM(F139:F147)</f>
        <v>0</v>
      </c>
      <c r="G148" s="19">
        <f t="shared" si="6"/>
        <v>52199094726</v>
      </c>
      <c r="H148" s="122"/>
      <c r="I148" s="28"/>
      <c r="J148" s="28"/>
    </row>
    <row r="149" spans="1:10" ht="21.95" customHeight="1">
      <c r="A149" s="14"/>
      <c r="B149" s="14"/>
      <c r="C149" s="16" t="s">
        <v>2087</v>
      </c>
      <c r="D149" s="17">
        <f>VLOOKUP(A136,'Neraca Unaudited SIMAK'!$A$2:$S$10004,13,FALSE)</f>
        <v>-3878525820</v>
      </c>
      <c r="E149" s="25">
        <f>SUMIFS('Daftar Koreksi'!$I$5:$I$92,'Daftar Koreksi'!$D$5:$D$92,'0100'!A136,'Daftar Koreksi'!$G$5:$G$92,"Peralatan dan mesin",'Daftar Koreksi'!$I$5:$I$92,"&gt;0")</f>
        <v>0</v>
      </c>
      <c r="F149" s="25">
        <f>SUMIFS('Daftar Koreksi'!$I$5:$I$92,'Daftar Koreksi'!$D$5:$D$92,'0100'!A136,'Daftar Koreksi'!$G$5:$G$92,"Peralatan dan mesin",'Daftar Koreksi'!$I$5:$I$92,"&lt;0")-SUMIFS('Daftar Koreksi'!$I$5:$I$92,'Daftar Koreksi'!$D$5:$D$92,'0100'!A136,'Daftar Koreksi'!$G$5:$G$92,"Peralatan dan mesin",'Daftar Koreksi'!$I$5:$I$92,"&lt;0")-SUMIFS('Daftar Koreksi'!$I$5:$I$92,'Daftar Koreksi'!$D$5:$D$92,'0100'!A136,'Daftar Koreksi'!$G$5:$G$92,"Peralatan dan mesin",'Daftar Koreksi'!$I$5:$I$92,"&lt;0")</f>
        <v>0</v>
      </c>
      <c r="G149" s="17">
        <f t="shared" si="6"/>
        <v>-3878525820</v>
      </c>
      <c r="H149" s="122"/>
      <c r="I149" s="28"/>
      <c r="J149" s="28"/>
    </row>
    <row r="150" spans="1:10" ht="21.95" customHeight="1">
      <c r="A150" s="14"/>
      <c r="B150" s="14"/>
      <c r="C150" s="16" t="s">
        <v>2088</v>
      </c>
      <c r="D150" s="17">
        <f>VLOOKUP(A136,'Neraca Unaudited SIMAK'!$A$2:$S$10004,14,FALSE)</f>
        <v>-1115955058</v>
      </c>
      <c r="E150" s="25">
        <f>SUMIFS('Daftar Koreksi'!$I$5:$I$92,'Daftar Koreksi'!$D$5:$D$92,'0100'!A136,'Daftar Koreksi'!$G$5:$G$92,"Gedung dan Bangunan",'Daftar Koreksi'!$I$5:$I$92,"&gt;0")</f>
        <v>0</v>
      </c>
      <c r="F150" s="25">
        <f>SUMIFS('Daftar Koreksi'!$I$5:$I$92,'Daftar Koreksi'!$D$5:$D$92,'0100'!A136,'Daftar Koreksi'!$G$5:$G$92,"Gedung dan Bangunan",'Daftar Koreksi'!$I$5:$I$92,"&lt;0")-SUMIFS('Daftar Koreksi'!$I$5:$I$92,'Daftar Koreksi'!$D$5:$D$92,'0100'!A136,'Daftar Koreksi'!$G$5:$G$92,"Gedung dan Bangunan",'Daftar Koreksi'!$I$5:$I$92,"&lt;0")-SUMIFS('Daftar Koreksi'!$I$5:$I$92,'Daftar Koreksi'!$D$5:$D$92,'0100'!A136,'Daftar Koreksi'!$G$5:$G$92,"Gedung dan Bangunan",'Daftar Koreksi'!$I$5:$I$92,"&lt;0")</f>
        <v>0</v>
      </c>
      <c r="G150" s="17">
        <f t="shared" si="6"/>
        <v>-1115955058</v>
      </c>
      <c r="H150" s="122"/>
      <c r="I150" s="28"/>
      <c r="J150" s="28"/>
    </row>
    <row r="151" spans="1:10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Koreksi'!$D$5:$D$92,'0100'!A136,'Daftar Koreksi'!$G$5:$G$92,"Jalan Irigasi Jaringan",'Daftar Koreksi'!$I$5:$I$92,"&gt;0")</f>
        <v>0</v>
      </c>
      <c r="F151" s="25">
        <f>SUMIFS('Daftar Koreksi'!$I$5:$I$92,'Daftar Koreksi'!$D$5:$D$92,'0100'!A136,'Daftar Koreksi'!$G$5:$G$92,"Jalan Irigasi Jaringan",'Daftar Koreksi'!$I$5:$I$92,"&lt;0")-SUMIFS('Daftar Koreksi'!$I$5:$I$92,'Daftar Koreksi'!$D$5:$D$92,'0100'!A136,'Daftar Koreksi'!$G$5:$G$92,"Jalan Irigasi Jaringan",'Daftar Koreksi'!$I$5:$I$92,"&lt;0")-SUMIFS('Daftar Koreksi'!$I$5:$I$92,'Daftar Koreksi'!$D$5:$D$92,'0100'!A136,'Daftar Koreksi'!$G$5:$G$92,"Jalan Irigasi Jaringan",'Daftar Koreksi'!$I$5:$I$92,"&lt;0")</f>
        <v>0</v>
      </c>
      <c r="G151" s="17">
        <f t="shared" si="6"/>
        <v>0</v>
      </c>
      <c r="H151" s="122"/>
      <c r="I151" s="28"/>
      <c r="J151" s="28"/>
    </row>
    <row r="152" spans="1:10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Koreksi'!$D$5:$D$92,'0100'!A136,'Daftar Koreksi'!$G$5:$G$92,"Aset Tetap Lainnya",'Daftar Koreksi'!$I$5:$I$92,"&gt;0")</f>
        <v>0</v>
      </c>
      <c r="F152" s="25">
        <f>SUMIFS('Daftar Koreksi'!$I$5:$I$92,'Daftar Koreksi'!$D$5:$D$92,'0100'!A136,'Daftar Koreksi'!$G$5:$G$92,"Aset Tetap Lainnya",'Daftar Koreksi'!$I$5:$I$92,"&lt;0")-SUMIFS('Daftar Koreksi'!$I$5:$I$92,'Daftar Koreksi'!$D$5:$D$92,'0100'!A136,'Daftar Koreksi'!$G$5:$G$92,"Aset Tetap Lainnya",'Daftar Koreksi'!$I$5:$I$92,"&lt;0")-SUMIFS('Daftar Koreksi'!$I$5:$I$92,'Daftar Koreksi'!$D$5:$D$92,'0100'!A136,'Daftar Koreksi'!$G$5:$G$92,"Aset Tetap Lainnya",'Daftar Koreksi'!$I$5:$I$92,"&lt;0")</f>
        <v>0</v>
      </c>
      <c r="G152" s="17">
        <f t="shared" si="6"/>
        <v>0</v>
      </c>
      <c r="H152" s="122"/>
      <c r="I152" s="28"/>
      <c r="J152" s="28"/>
    </row>
    <row r="153" spans="1:10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Koreksi'!$D$5:$D$92,'0100'!A136,'Daftar Koreksi'!$G$5:$G$92,"Aset Henti Guna",'Daftar Koreksi'!$I$5:$I$92,"&gt;0")</f>
        <v>0</v>
      </c>
      <c r="F153" s="25">
        <f>SUMIFS('Daftar Koreksi'!$I$5:$I$92,'Daftar Koreksi'!$D$5:$D$92,'0100'!A136,'Daftar Koreksi'!$G$5:$G$92,"Aset Henti Guna",'Daftar Koreksi'!$I$5:$I$92,"&lt;0")-SUMIFS('Daftar Koreksi'!$I$5:$I$92,'Daftar Koreksi'!$D$5:$D$92,'0100'!A136,'Daftar Koreksi'!$G$5:$G$92,"Aset Henti Guna",'Daftar Koreksi'!$I$5:$I$92,"&lt;0")-SUMIFS('Daftar Koreksi'!$I$5:$I$92,'Daftar Koreksi'!$D$5:$D$92,'0100'!A136,'Daftar Koreksi'!$G$5:$G$92,"Aset Henti Guna",'Daftar Koreksi'!$I$5:$I$92,"&lt;0")</f>
        <v>0</v>
      </c>
      <c r="G153" s="17">
        <f t="shared" si="6"/>
        <v>0</v>
      </c>
      <c r="H153" s="122"/>
      <c r="I153" s="28"/>
      <c r="J153" s="28"/>
    </row>
    <row r="154" spans="1:10" ht="21.95" customHeight="1">
      <c r="A154" s="14"/>
      <c r="B154" s="14"/>
      <c r="C154" s="18" t="s">
        <v>2094</v>
      </c>
      <c r="D154" s="19">
        <f>SUM(D149:D153)</f>
        <v>-4994480878</v>
      </c>
      <c r="E154" s="19">
        <f>SUM(E149:E153)</f>
        <v>0</v>
      </c>
      <c r="F154" s="19">
        <f>SUM(F149:F153)</f>
        <v>0</v>
      </c>
      <c r="G154" s="19">
        <f t="shared" si="6"/>
        <v>-4994480878</v>
      </c>
      <c r="H154" s="122"/>
      <c r="I154" s="28"/>
      <c r="J154" s="28"/>
    </row>
    <row r="155" spans="1:10" ht="21.95" customHeight="1">
      <c r="A155" s="14"/>
      <c r="B155" s="14"/>
      <c r="C155" s="18" t="s">
        <v>2095</v>
      </c>
      <c r="D155" s="19">
        <f>VLOOKUP(A136,'Neraca Unaudited SIMAK'!$A$2:$S$10004,18,FALSE)</f>
        <v>47204613848</v>
      </c>
      <c r="E155" s="19">
        <f>E154+E148</f>
        <v>0</v>
      </c>
      <c r="F155" s="19">
        <f>F154+F148</f>
        <v>0</v>
      </c>
      <c r="G155" s="19">
        <f t="shared" si="6"/>
        <v>47204613848</v>
      </c>
      <c r="H155" s="122"/>
      <c r="I155" s="28"/>
      <c r="J155" s="28"/>
    </row>
    <row r="156" spans="1:10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  <c r="I156" s="28"/>
      <c r="J156" s="28"/>
    </row>
    <row r="158" spans="1:10" ht="19.5" customHeight="1">
      <c r="A158" s="11" t="str">
        <f>O8</f>
        <v>005010100400622000KD</v>
      </c>
      <c r="B158" s="11" t="str">
        <f>P8</f>
        <v>PA. Jakarta Utara</v>
      </c>
      <c r="C158" s="12" t="str">
        <f>A158&amp;" "&amp;B158</f>
        <v>005010100400622000KD PA. Jakarta Utara</v>
      </c>
      <c r="D158" s="13"/>
      <c r="E158" s="13"/>
      <c r="F158" s="13"/>
      <c r="G158" s="13"/>
      <c r="H158" s="11"/>
    </row>
    <row r="159" spans="1:10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10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486500</v>
      </c>
      <c r="E161" s="25">
        <f>SUMIFS('Daftar Koreksi'!$H$5:$H$92,'Daftar Koreksi'!$D$5:$D$92,'0100'!A158,'Daftar Koreksi'!$G$5:$G$92,"Persediaan",'Daftar Koreksi'!$H$5:$H$92,"&gt;0")</f>
        <v>0</v>
      </c>
      <c r="F161" s="25">
        <f>SUMIFS('Daftar Koreksi'!$H$5:$H$92,'Daftar Koreksi'!$D$5:$D$92,'0100'!A158,'Daftar Koreksi'!$G$5:$G$92,"Persediaan",'Daftar Koreksi'!$H$5:$H$92,"&lt;0")-SUMIFS('Daftar Koreksi'!$H$5:$H$92,'Daftar Koreksi'!$D$5:$D$92,'0100'!A158,'Daftar Koreksi'!$G$5:$G$92,"Persediaan",'Daftar Koreksi'!$H$5:$H$92,"&lt;0")-SUMIFS('Daftar Koreksi'!$H$5:$H$92,'Daftar Koreksi'!$D$5:$D$92,'0100'!A158,'Daftar Koreksi'!$G$5:$G$92,"Persediaan",'Daftar Koreksi'!$H$5:$H$92,"&lt;0")</f>
        <v>0</v>
      </c>
      <c r="G161" s="17">
        <f>D161+E161-F161</f>
        <v>486500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5650000000</v>
      </c>
      <c r="E162" s="25">
        <f>SUMIFS('Daftar Koreksi'!$H$5:$H$92,'Daftar Koreksi'!$D$5:$D$92,'0100'!A158,'Daftar Koreksi'!$G$5:$G$92,"Tanah",'Daftar Koreksi'!$H$5:$H$92,"&gt;0")</f>
        <v>0</v>
      </c>
      <c r="F162" s="25">
        <f>SUMIFS('Daftar Koreksi'!$H$5:$H$92,'Daftar Koreksi'!$D$5:$D$92,'0100'!A158,'Daftar Koreksi'!$G$5:$G$92,"Tanah",'Daftar Koreksi'!$H$5:$H$92,"&lt;0")-SUMIFS('Daftar Koreksi'!$H$5:$H$92,'Daftar Koreksi'!$D$5:$D$92,'0100'!A158,'Daftar Koreksi'!$G$5:$G$92,"Tanah",'Daftar Koreksi'!$H$5:$H$92,"&lt;0")-SUMIFS('Daftar Koreksi'!$H$5:$H$92,'Daftar Koreksi'!$D$5:$D$92,'0100'!A158,'Daftar Koreksi'!$G$5:$G$92,"Tanah",'Daftar Koreksi'!$H$5:$H$92,"&lt;0")</f>
        <v>0</v>
      </c>
      <c r="G162" s="17">
        <f t="shared" ref="G162:G178" si="7">D162+E162-F162</f>
        <v>5650000000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3671880861</v>
      </c>
      <c r="E163" s="25">
        <f>SUMIFS('Daftar Koreksi'!$H$5:$H$92,'Daftar Koreksi'!$D$5:$D$92,'0100'!A158,'Daftar Koreksi'!$G$5:$G$92,"Peralatan dan mesin",'Daftar Koreksi'!$H$5:$H$92,"&gt;0")</f>
        <v>0</v>
      </c>
      <c r="F163" s="25">
        <f>SUMIFS('Daftar Koreksi'!$H$5:$H$92,'Daftar Koreksi'!$D$5:$D$92,'0100'!A158,'Daftar Koreksi'!$G$5:$G$92,"Peralatan dan mesin",'Daftar Koreksi'!$H$5:$H$92,"&lt;0")-SUMIFS('Daftar Koreksi'!$H$5:$H$92,'Daftar Koreksi'!$D$5:$D$92,'0100'!A158,'Daftar Koreksi'!$G$5:$G$92,"Peralatan dan mesin",'Daftar Koreksi'!$H$5:$H$92,"&lt;0")-SUMIFS('Daftar Koreksi'!$H$5:$H$92,'Daftar Koreksi'!$D$5:$D$92,'0100'!A158,'Daftar Koreksi'!$G$5:$G$92,"Peralatan dan mesin",'Daftar Koreksi'!$H$5:$H$92,"&lt;0")</f>
        <v>0</v>
      </c>
      <c r="G163" s="17">
        <f t="shared" si="7"/>
        <v>3671880861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9049508100</v>
      </c>
      <c r="E164" s="25">
        <f>SUMIFS('Daftar Koreksi'!$H$5:$H$92,'Daftar Koreksi'!$D$5:$D$92,'0100'!A158,'Daftar Koreksi'!$G$5:$G$92,"Gedung dan Bangunan",'Daftar Koreksi'!$H$5:$H$92,"&gt;0")</f>
        <v>0</v>
      </c>
      <c r="F164" s="25">
        <f>SUMIFS('Daftar Koreksi'!$H$5:$H$92,'Daftar Koreksi'!$D$5:$D$92,'0100'!A158,'Daftar Koreksi'!$G$5:$G$92,"Gedung dan Bangunan",'Daftar Koreksi'!$H$5:$H$92,"&lt;0")-SUMIFS('Daftar Koreksi'!$H$5:$H$92,'Daftar Koreksi'!$D$5:$D$92,'0100'!A158,'Daftar Koreksi'!$G$5:$G$92,"Gedung dan Bangunan",'Daftar Koreksi'!$H$5:$H$92,"&lt;0")-SUMIFS('Daftar Koreksi'!$H$5:$H$92,'Daftar Koreksi'!$D$5:$D$92,'0100'!A158,'Daftar Koreksi'!$G$5:$G$92,"Gedung dan Bangunan",'Daftar Koreksi'!$H$5:$H$92,"&lt;0")</f>
        <v>0</v>
      </c>
      <c r="G164" s="17">
        <f t="shared" si="7"/>
        <v>9049508100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9000000</v>
      </c>
      <c r="E165" s="25">
        <f>SUMIFS('Daftar Koreksi'!$H$5:$H$92,'Daftar Koreksi'!$D$5:$D$92,'0100'!A158,'Daftar Koreksi'!$G$5:$G$92,"Jalan Irigasi Jaringan",'Daftar Koreksi'!$H$5:$H$92,"&gt;0")</f>
        <v>0</v>
      </c>
      <c r="F165" s="25">
        <f>SUMIFS('Daftar Koreksi'!$H$5:$H$92,'Daftar Koreksi'!$D$5:$D$92,'0100'!A158,'Daftar Koreksi'!$G$5:$G$92,"Jalan Irigasi Jaringan",'Daftar Koreksi'!$H$5:$H$92,"&lt;0")-SUMIFS('Daftar Koreksi'!$H$5:$H$92,'Daftar Koreksi'!$D$5:$D$92,'0100'!A158,'Daftar Koreksi'!$G$5:$G$92,"Jalan Irigasi Jaringan",'Daftar Koreksi'!$H$5:$H$92,"&lt;0")-SUMIFS('Daftar Koreksi'!$H$5:$H$92,'Daftar Koreksi'!$D$5:$D$92,'0100'!A158,'Daftar Koreksi'!$G$5:$G$92,"Jalan Irigasi Jaringan",'Daftar Koreksi'!$H$5:$H$92,"&lt;0")</f>
        <v>0</v>
      </c>
      <c r="G165" s="17">
        <f t="shared" si="7"/>
        <v>9000000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166282678</v>
      </c>
      <c r="E166" s="25">
        <f>SUMIFS('Daftar Koreksi'!$H$5:$H$92,'Daftar Koreksi'!$D$5:$D$92,'0100'!A158,'Daftar Koreksi'!$G$5:$G$92,"Aset Tetap Lainnya",'Daftar Koreksi'!$H$5:$H$92,"&gt;0")</f>
        <v>0</v>
      </c>
      <c r="F166" s="25">
        <f>SUMIFS('Daftar Koreksi'!$H$5:$H$92,'Daftar Koreksi'!$D$5:$D$92,'0100'!A158,'Daftar Koreksi'!$G$5:$G$92,"Aset Tetap Lainnya",'Daftar Koreksi'!$H$5:$H$92,"&lt;0")-SUMIFS('Daftar Koreksi'!$H$5:$H$92,'Daftar Koreksi'!$D$5:$D$92,'0100'!A158,'Daftar Koreksi'!$G$5:$G$92,"Aset Tetap Lainnya",'Daftar Koreksi'!$H$5:$H$92,"&lt;0")-SUMIFS('Daftar Koreksi'!$H$5:$H$92,'Daftar Koreksi'!$D$5:$D$92,'0100'!A158,'Daftar Koreksi'!$G$5:$G$92,"Aset Tetap Lainnya",'Daftar Koreksi'!$H$5:$H$92,"&lt;0")</f>
        <v>0</v>
      </c>
      <c r="G166" s="17">
        <f t="shared" si="7"/>
        <v>166282678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Koreksi'!$D$5:$D$92,'0100'!A158,'Daftar Koreksi'!$G$5:$G$92,"Kontruksi Dalam Pengerjaan",'Daftar Koreksi'!$H$5:$H$92,"&gt;0")</f>
        <v>0</v>
      </c>
      <c r="F167" s="25">
        <f>SUMIFS('Daftar Koreksi'!$H$5:$H$92,'Daftar Koreksi'!$D$5:$D$92,'0100'!A158,'Daftar Koreksi'!$G$5:$G$92,"Kontruksi Dalam Pengerjaan",'Daftar Koreksi'!$H$5:$H$92,"&lt;0")-SUMIFS('Daftar Koreksi'!$H$5:$H$92,'Daftar Koreksi'!$D$5:$D$92,'0100'!A158,'Daftar Koreksi'!$G$5:$G$92,"Kontruksi Dalam Pengerjaan",'Daftar Koreksi'!$H$5:$H$92,"&lt;0")-SUMIFS('Daftar Koreksi'!$H$5:$H$92,'Daftar Koreksi'!$D$5:$D$92,'0100'!A158,'Daftar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Koreksi'!$D$5:$D$92,'0100'!A158,'Daftar Koreksi'!$G$5:$G$92,"Aset Tak Berwujud",'Daftar Koreksi'!$H$5:$H$92,"&gt;0")</f>
        <v>0</v>
      </c>
      <c r="F168" s="25">
        <f>SUMIFS('Daftar Koreksi'!$H$5:$H$92,'Daftar Koreksi'!$D$5:$D$92,'0100'!A158,'Daftar Koreksi'!$G$5:$G$92,"Aset Tak Berwujud",'Daftar Koreksi'!$H$5:$H$92,"&lt;0")-SUMIFS('Daftar Koreksi'!$H$5:$H$92,'Daftar Koreksi'!$D$5:$D$92,'0100'!A158,'Daftar Koreksi'!$G$5:$G$92,"Aset Tak Berwujud",'Daftar Koreksi'!$H$5:$H$92,"&lt;0")-SUMIFS('Daftar Koreksi'!$H$5:$H$92,'Daftar Koreksi'!$D$5:$D$92,'0100'!A158,'Daftar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122280678</v>
      </c>
      <c r="E169" s="25">
        <f>SUMIFS('Daftar Koreksi'!$H$5:$H$92,'Daftar Koreksi'!$D$5:$D$92,'0100'!A158,'Daftar Koreksi'!$G$5:$G$92,"Aset Henti Guna",'Daftar Koreksi'!$H$5:$H$92,"&gt;0")</f>
        <v>0</v>
      </c>
      <c r="F169" s="25">
        <f>SUMIFS('Daftar Koreksi'!$H$5:$H$92,'Daftar Koreksi'!$D$5:$D$92,'0100'!A158,'Daftar Koreksi'!$G$5:$G$92,"Aset Henti Guna",'Daftar Koreksi'!$H$5:$H$92,"&lt;0")-SUMIFS('Daftar Koreksi'!$H$5:$H$92,'Daftar Koreksi'!$D$5:$D$92,'0100'!A158,'Daftar Koreksi'!$G$5:$G$92,"Aset Henti Guna",'Daftar Koreksi'!$H$5:$H$92,"&lt;0")-SUMIFS('Daftar Koreksi'!$H$5:$H$92,'Daftar Koreksi'!$D$5:$D$92,'0100'!A158,'Daftar Koreksi'!$G$5:$G$92,"Aset Henti Guna",'Daftar Koreksi'!$H$5:$H$92,"&lt;0")</f>
        <v>0</v>
      </c>
      <c r="G169" s="17">
        <f t="shared" si="7"/>
        <v>122280678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18669438817</v>
      </c>
      <c r="E170" s="19">
        <f>SUM(E161:E169)</f>
        <v>0</v>
      </c>
      <c r="F170" s="19">
        <f>SUM(F161:F169)</f>
        <v>0</v>
      </c>
      <c r="G170" s="19">
        <f t="shared" si="7"/>
        <v>18669438817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-3288860247</v>
      </c>
      <c r="E171" s="25">
        <f>SUMIFS('Daftar Koreksi'!$I$5:$I$92,'Daftar Koreksi'!$D$5:$D$92,'0100'!A158,'Daftar Koreksi'!$G$5:$G$92,"Peralatan dan mesin",'Daftar Koreksi'!$I$5:$I$92,"&gt;0")</f>
        <v>0</v>
      </c>
      <c r="F171" s="25">
        <f>SUMIFS('Daftar Koreksi'!$I$5:$I$92,'Daftar Koreksi'!$D$5:$D$92,'0100'!A158,'Daftar Koreksi'!$G$5:$G$92,"Peralatan dan mesin",'Daftar Koreksi'!$I$5:$I$92,"&lt;0")-SUMIFS('Daftar Koreksi'!$I$5:$I$92,'Daftar Koreksi'!$D$5:$D$92,'0100'!A158,'Daftar Koreksi'!$G$5:$G$92,"Peralatan dan mesin",'Daftar Koreksi'!$I$5:$I$92,"&lt;0")-SUMIFS('Daftar Koreksi'!$I$5:$I$92,'Daftar Koreksi'!$D$5:$D$92,'0100'!A158,'Daftar Koreksi'!$G$5:$G$92,"Peralatan dan mesin",'Daftar Koreksi'!$I$5:$I$92,"&lt;0")</f>
        <v>0</v>
      </c>
      <c r="G171" s="17">
        <f t="shared" si="7"/>
        <v>-3288860247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-1507591695</v>
      </c>
      <c r="E172" s="25">
        <f>SUMIFS('Daftar Koreksi'!$I$5:$I$92,'Daftar Koreksi'!$D$5:$D$92,'0100'!A158,'Daftar Koreksi'!$G$5:$G$92,"Gedung dan Bangunan",'Daftar Koreksi'!$I$5:$I$92,"&gt;0")</f>
        <v>0</v>
      </c>
      <c r="F172" s="25">
        <f>SUMIFS('Daftar Koreksi'!$I$5:$I$92,'Daftar Koreksi'!$D$5:$D$92,'0100'!A158,'Daftar Koreksi'!$G$5:$G$92,"Gedung dan Bangunan",'Daftar Koreksi'!$I$5:$I$92,"&lt;0")-SUMIFS('Daftar Koreksi'!$I$5:$I$92,'Daftar Koreksi'!$D$5:$D$92,'0100'!A158,'Daftar Koreksi'!$G$5:$G$92,"Gedung dan Bangunan",'Daftar Koreksi'!$I$5:$I$92,"&lt;0")-SUMIFS('Daftar Koreksi'!$I$5:$I$92,'Daftar Koreksi'!$D$5:$D$92,'0100'!A158,'Daftar Koreksi'!$G$5:$G$92,"Gedung dan Bangunan",'Daftar Koreksi'!$I$5:$I$92,"&lt;0")</f>
        <v>0</v>
      </c>
      <c r="G172" s="17">
        <f t="shared" si="7"/>
        <v>-1507591695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-2025000</v>
      </c>
      <c r="E173" s="25">
        <f>SUMIFS('Daftar Koreksi'!$I$5:$I$92,'Daftar Koreksi'!$D$5:$D$92,'0100'!A158,'Daftar Koreksi'!$G$5:$G$92,"Jalan Irigasi Jaringan",'Daftar Koreksi'!$I$5:$I$92,"&gt;0")</f>
        <v>0</v>
      </c>
      <c r="F173" s="25">
        <f>SUMIFS('Daftar Koreksi'!$I$5:$I$92,'Daftar Koreksi'!$D$5:$D$92,'0100'!A158,'Daftar Koreksi'!$G$5:$G$92,"Jalan Irigasi Jaringan",'Daftar Koreksi'!$I$5:$I$92,"&lt;0")-SUMIFS('Daftar Koreksi'!$I$5:$I$92,'Daftar Koreksi'!$D$5:$D$92,'0100'!A158,'Daftar Koreksi'!$G$5:$G$92,"Jalan Irigasi Jaringan",'Daftar Koreksi'!$I$5:$I$92,"&lt;0")-SUMIFS('Daftar Koreksi'!$I$5:$I$92,'Daftar Koreksi'!$D$5:$D$92,'0100'!A158,'Daftar Koreksi'!$G$5:$G$92,"Jalan Irigasi Jaringan",'Daftar Koreksi'!$I$5:$I$92,"&lt;0")</f>
        <v>0</v>
      </c>
      <c r="G173" s="17">
        <f t="shared" si="7"/>
        <v>-2025000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Koreksi'!$D$5:$D$92,'0100'!A158,'Daftar Koreksi'!$G$5:$G$92,"Aset Tetap Lainnya",'Daftar Koreksi'!$I$5:$I$92,"&gt;0")</f>
        <v>0</v>
      </c>
      <c r="F174" s="25">
        <f>SUMIFS('Daftar Koreksi'!$I$5:$I$92,'Daftar Koreksi'!$D$5:$D$92,'0100'!A158,'Daftar Koreksi'!$G$5:$G$92,"Aset Tetap Lainnya",'Daftar Koreksi'!$I$5:$I$92,"&lt;0")-SUMIFS('Daftar Koreksi'!$I$5:$I$92,'Daftar Koreksi'!$D$5:$D$92,'0100'!A158,'Daftar Koreksi'!$G$5:$G$92,"Aset Tetap Lainnya",'Daftar Koreksi'!$I$5:$I$92,"&lt;0")-SUMIFS('Daftar Koreksi'!$I$5:$I$92,'Daftar Koreksi'!$D$5:$D$92,'0100'!A158,'Daftar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-122280678</v>
      </c>
      <c r="E175" s="25">
        <f>SUMIFS('Daftar Koreksi'!$I$5:$I$92,'Daftar Koreksi'!$D$5:$D$92,'0100'!A158,'Daftar Koreksi'!$G$5:$G$92,"Aset Henti Guna",'Daftar Koreksi'!$I$5:$I$92,"&gt;0")</f>
        <v>0</v>
      </c>
      <c r="F175" s="25">
        <f>SUMIFS('Daftar Koreksi'!$I$5:$I$92,'Daftar Koreksi'!$D$5:$D$92,'0100'!A158,'Daftar Koreksi'!$G$5:$G$92,"Aset Henti Guna",'Daftar Koreksi'!$I$5:$I$92,"&lt;0")-SUMIFS('Daftar Koreksi'!$I$5:$I$92,'Daftar Koreksi'!$D$5:$D$92,'0100'!A158,'Daftar Koreksi'!$G$5:$G$92,"Aset Henti Guna",'Daftar Koreksi'!$I$5:$I$92,"&lt;0")-SUMIFS('Daftar Koreksi'!$I$5:$I$92,'Daftar Koreksi'!$D$5:$D$92,'0100'!A158,'Daftar Koreksi'!$G$5:$G$92,"Aset Henti Guna",'Daftar Koreksi'!$I$5:$I$92,"&lt;0")</f>
        <v>0</v>
      </c>
      <c r="G175" s="17">
        <f t="shared" si="7"/>
        <v>-122280678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-4920757620</v>
      </c>
      <c r="E176" s="19">
        <f>SUM(E171:E175)</f>
        <v>0</v>
      </c>
      <c r="F176" s="19">
        <f>SUM(F171:F175)</f>
        <v>0</v>
      </c>
      <c r="G176" s="19">
        <f t="shared" si="7"/>
        <v>-4920757620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13748681197</v>
      </c>
      <c r="E177" s="19">
        <f>E176+E170</f>
        <v>0</v>
      </c>
      <c r="F177" s="19">
        <f>F176+F170</f>
        <v>0</v>
      </c>
      <c r="G177" s="19">
        <f t="shared" si="7"/>
        <v>13748681197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005010100400631000KD</v>
      </c>
      <c r="B180" s="11" t="str">
        <f>P9</f>
        <v>PA. Jakarta Barat</v>
      </c>
      <c r="C180" s="12" t="str">
        <f>A180&amp;" "&amp;B180</f>
        <v>005010100400631000KD PA. Jakarta Barat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5283947</v>
      </c>
      <c r="E183" s="25">
        <f>SUMIFS('Daftar Koreksi'!$H$5:$H$92,'Daftar Koreksi'!$D$5:$D$92,'0100'!A180,'Daftar Koreksi'!$G$5:$G$92,"Persediaan",'Daftar Koreksi'!$H$5:$H$92,"&gt;0")</f>
        <v>0</v>
      </c>
      <c r="F183" s="25">
        <f>SUMIFS('Daftar Koreksi'!$H$5:$H$92,'Daftar Koreksi'!$D$5:$D$92,'0100'!A180,'Daftar Koreksi'!$G$5:$G$92,"Persediaan",'Daftar Koreksi'!$H$5:$H$92,"&lt;0")-SUMIFS('Daftar Koreksi'!$H$5:$H$92,'Daftar Koreksi'!$D$5:$D$92,'0100'!A180,'Daftar Koreksi'!$G$5:$G$92,"Persediaan",'Daftar Koreksi'!$H$5:$H$92,"&lt;0")-SUMIFS('Daftar Koreksi'!$H$5:$H$92,'Daftar Koreksi'!$D$5:$D$92,'0100'!A180,'Daftar Koreksi'!$G$5:$G$92,"Persediaan",'Daftar Koreksi'!$H$5:$H$92,"&lt;0")</f>
        <v>0</v>
      </c>
      <c r="G183" s="17">
        <f>D183+E183-F183</f>
        <v>5283947</v>
      </c>
      <c r="H183" s="121" t="str">
        <f>IF(ISNA(VLOOKUP(A180,'Mutasi Neraca'!$A$3:$S$914,19,FALSE)),"-",VLOOKUP(A180,'Mutasi Neraca'!$A$3:$S$914,19,FALSE))</f>
        <v>-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26966675000</v>
      </c>
      <c r="E184" s="25">
        <f>SUMIFS('Daftar Koreksi'!$H$5:$H$92,'Daftar Koreksi'!$D$5:$D$92,'0100'!A180,'Daftar Koreksi'!$G$5:$G$92,"Tanah",'Daftar Koreksi'!$H$5:$H$92,"&gt;0")</f>
        <v>0</v>
      </c>
      <c r="F184" s="25">
        <f>SUMIFS('Daftar Koreksi'!$H$5:$H$92,'Daftar Koreksi'!$D$5:$D$92,'0100'!A180,'Daftar Koreksi'!$G$5:$G$92,"Tanah",'Daftar Koreksi'!$H$5:$H$92,"&lt;0")-SUMIFS('Daftar Koreksi'!$H$5:$H$92,'Daftar Koreksi'!$D$5:$D$92,'0100'!A180,'Daftar Koreksi'!$G$5:$G$92,"Tanah",'Daftar Koreksi'!$H$5:$H$92,"&lt;0")-SUMIFS('Daftar Koreksi'!$H$5:$H$92,'Daftar Koreksi'!$D$5:$D$92,'0100'!A180,'Daftar Koreksi'!$G$5:$G$92,"Tanah",'Daftar Koreksi'!$H$5:$H$92,"&lt;0")</f>
        <v>0</v>
      </c>
      <c r="G184" s="17">
        <f t="shared" ref="G184:G200" si="8">D184+E184-F184</f>
        <v>26966675000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4597758111</v>
      </c>
      <c r="E185" s="25">
        <f>SUMIFS('Daftar Koreksi'!$H$5:$H$92,'Daftar Koreksi'!$D$5:$D$92,'0100'!A180,'Daftar Koreksi'!$G$5:$G$92,"Peralatan dan mesin",'Daftar Koreksi'!$H$5:$H$92,"&gt;0")</f>
        <v>0</v>
      </c>
      <c r="F185" s="25">
        <f>SUMIFS('Daftar Koreksi'!$H$5:$H$92,'Daftar Koreksi'!$D$5:$D$92,'0100'!A180,'Daftar Koreksi'!$G$5:$G$92,"Peralatan dan mesin",'Daftar Koreksi'!$H$5:$H$92,"&lt;0")-SUMIFS('Daftar Koreksi'!$H$5:$H$92,'Daftar Koreksi'!$D$5:$D$92,'0100'!A180,'Daftar Koreksi'!$G$5:$G$92,"Peralatan dan mesin",'Daftar Koreksi'!$H$5:$H$92,"&lt;0")-SUMIFS('Daftar Koreksi'!$H$5:$H$92,'Daftar Koreksi'!$D$5:$D$92,'0100'!A180,'Daftar Koreksi'!$G$5:$G$92,"Peralatan dan mesin",'Daftar Koreksi'!$H$5:$H$92,"&lt;0")</f>
        <v>0</v>
      </c>
      <c r="G185" s="17">
        <f t="shared" si="8"/>
        <v>4597758111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19710366500</v>
      </c>
      <c r="E186" s="25">
        <f>SUMIFS('Daftar Koreksi'!$H$5:$H$92,'Daftar Koreksi'!$D$5:$D$92,'0100'!A180,'Daftar Koreksi'!$G$5:$G$92,"Gedung dan Bangunan",'Daftar Koreksi'!$H$5:$H$92,"&gt;0")</f>
        <v>0</v>
      </c>
      <c r="F186" s="25">
        <f>SUMIFS('Daftar Koreksi'!$H$5:$H$92,'Daftar Koreksi'!$D$5:$D$92,'0100'!A180,'Daftar Koreksi'!$G$5:$G$92,"Gedung dan Bangunan",'Daftar Koreksi'!$H$5:$H$92,"&lt;0")-SUMIFS('Daftar Koreksi'!$H$5:$H$92,'Daftar Koreksi'!$D$5:$D$92,'0100'!A180,'Daftar Koreksi'!$G$5:$G$92,"Gedung dan Bangunan",'Daftar Koreksi'!$H$5:$H$92,"&lt;0")-SUMIFS('Daftar Koreksi'!$H$5:$H$92,'Daftar Koreksi'!$D$5:$D$92,'0100'!A180,'Daftar Koreksi'!$G$5:$G$92,"Gedung dan Bangunan",'Daftar Koreksi'!$H$5:$H$92,"&lt;0")</f>
        <v>0</v>
      </c>
      <c r="G186" s="17">
        <f t="shared" si="8"/>
        <v>19710366500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109373500</v>
      </c>
      <c r="E187" s="25">
        <f>SUMIFS('Daftar Koreksi'!$H$5:$H$92,'Daftar Koreksi'!$D$5:$D$92,'0100'!A180,'Daftar Koreksi'!$G$5:$G$92,"Jalan Irigasi Jaringan",'Daftar Koreksi'!$H$5:$H$92,"&gt;0")</f>
        <v>0</v>
      </c>
      <c r="F187" s="25">
        <f>SUMIFS('Daftar Koreksi'!$H$5:$H$92,'Daftar Koreksi'!$D$5:$D$92,'0100'!A180,'Daftar Koreksi'!$G$5:$G$92,"Jalan Irigasi Jaringan",'Daftar Koreksi'!$H$5:$H$92,"&lt;0")-SUMIFS('Daftar Koreksi'!$H$5:$H$92,'Daftar Koreksi'!$D$5:$D$92,'0100'!A180,'Daftar Koreksi'!$G$5:$G$92,"Jalan Irigasi Jaringan",'Daftar Koreksi'!$H$5:$H$92,"&lt;0")-SUMIFS('Daftar Koreksi'!$H$5:$H$92,'Daftar Koreksi'!$D$5:$D$92,'0100'!A180,'Daftar Koreksi'!$G$5:$G$92,"Jalan Irigasi Jaringan",'Daftar Koreksi'!$H$5:$H$92,"&lt;0")</f>
        <v>0</v>
      </c>
      <c r="G187" s="17">
        <f t="shared" si="8"/>
        <v>109373500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39732000</v>
      </c>
      <c r="E188" s="25">
        <f>SUMIFS('Daftar Koreksi'!$H$5:$H$92,'Daftar Koreksi'!$D$5:$D$92,'0100'!A180,'Daftar Koreksi'!$G$5:$G$92,"Aset Tetap Lainnya",'Daftar Koreksi'!$H$5:$H$92,"&gt;0")</f>
        <v>0</v>
      </c>
      <c r="F188" s="25">
        <f>SUMIFS('Daftar Koreksi'!$H$5:$H$92,'Daftar Koreksi'!$D$5:$D$92,'0100'!A180,'Daftar Koreksi'!$G$5:$G$92,"Aset Tetap Lainnya",'Daftar Koreksi'!$H$5:$H$92,"&lt;0")-SUMIFS('Daftar Koreksi'!$H$5:$H$92,'Daftar Koreksi'!$D$5:$D$92,'0100'!A180,'Daftar Koreksi'!$G$5:$G$92,"Aset Tetap Lainnya",'Daftar Koreksi'!$H$5:$H$92,"&lt;0")-SUMIFS('Daftar Koreksi'!$H$5:$H$92,'Daftar Koreksi'!$D$5:$D$92,'0100'!A180,'Daftar Koreksi'!$G$5:$G$92,"Aset Tetap Lainnya",'Daftar Koreksi'!$H$5:$H$92,"&lt;0")</f>
        <v>0</v>
      </c>
      <c r="G188" s="17">
        <f t="shared" si="8"/>
        <v>39732000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Koreksi'!$D$5:$D$92,'0100'!A180,'Daftar Koreksi'!$G$5:$G$92,"Kontruksi Dalam Pengerjaan",'Daftar Koreksi'!$H$5:$H$92,"&gt;0")</f>
        <v>0</v>
      </c>
      <c r="F189" s="25">
        <f>SUMIFS('Daftar Koreksi'!$H$5:$H$92,'Daftar Koreksi'!$D$5:$D$92,'0100'!A180,'Daftar Koreksi'!$G$5:$G$92,"Kontruksi Dalam Pengerjaan",'Daftar Koreksi'!$H$5:$H$92,"&lt;0")-SUMIFS('Daftar Koreksi'!$H$5:$H$92,'Daftar Koreksi'!$D$5:$D$92,'0100'!A180,'Daftar Koreksi'!$G$5:$G$92,"Kontruksi Dalam Pengerjaan",'Daftar Koreksi'!$H$5:$H$92,"&lt;0")-SUMIFS('Daftar Koreksi'!$H$5:$H$92,'Daftar Koreksi'!$D$5:$D$92,'0100'!A180,'Daftar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45903950</v>
      </c>
      <c r="E190" s="25">
        <f>SUMIFS('Daftar Koreksi'!$H$5:$H$92,'Daftar Koreksi'!$D$5:$D$92,'0100'!A180,'Daftar Koreksi'!$G$5:$G$92,"Aset Tak Berwujud",'Daftar Koreksi'!$H$5:$H$92,"&gt;0")</f>
        <v>0</v>
      </c>
      <c r="F190" s="25">
        <f>SUMIFS('Daftar Koreksi'!$H$5:$H$92,'Daftar Koreksi'!$D$5:$D$92,'0100'!A180,'Daftar Koreksi'!$G$5:$G$92,"Aset Tak Berwujud",'Daftar Koreksi'!$H$5:$H$92,"&lt;0")-SUMIFS('Daftar Koreksi'!$H$5:$H$92,'Daftar Koreksi'!$D$5:$D$92,'0100'!A180,'Daftar Koreksi'!$G$5:$G$92,"Aset Tak Berwujud",'Daftar Koreksi'!$H$5:$H$92,"&lt;0")-SUMIFS('Daftar Koreksi'!$H$5:$H$92,'Daftar Koreksi'!$D$5:$D$92,'0100'!A180,'Daftar Koreksi'!$G$5:$G$92,"Aset Tak Berwujud",'Daftar Koreksi'!$H$5:$H$92,"&lt;0")</f>
        <v>0</v>
      </c>
      <c r="G190" s="17">
        <f t="shared" si="8"/>
        <v>45903950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178733500</v>
      </c>
      <c r="E191" s="25">
        <f>SUMIFS('Daftar Koreksi'!$H$5:$H$92,'Daftar Koreksi'!$D$5:$D$92,'0100'!A180,'Daftar Koreksi'!$G$5:$G$92,"Aset Henti Guna",'Daftar Koreksi'!$H$5:$H$92,"&gt;0")</f>
        <v>0</v>
      </c>
      <c r="F191" s="25">
        <f>SUMIFS('Daftar Koreksi'!$H$5:$H$92,'Daftar Koreksi'!$D$5:$D$92,'0100'!A180,'Daftar Koreksi'!$G$5:$G$92,"Aset Henti Guna",'Daftar Koreksi'!$H$5:$H$92,"&lt;0")-SUMIFS('Daftar Koreksi'!$H$5:$H$92,'Daftar Koreksi'!$D$5:$D$92,'0100'!A180,'Daftar Koreksi'!$G$5:$G$92,"Aset Henti Guna",'Daftar Koreksi'!$H$5:$H$92,"&lt;0")-SUMIFS('Daftar Koreksi'!$H$5:$H$92,'Daftar Koreksi'!$D$5:$D$92,'0100'!A180,'Daftar Koreksi'!$G$5:$G$92,"Aset Henti Guna",'Daftar Koreksi'!$H$5:$H$92,"&lt;0")</f>
        <v>0</v>
      </c>
      <c r="G191" s="17">
        <f t="shared" si="8"/>
        <v>178733500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51653826508</v>
      </c>
      <c r="E192" s="19">
        <f>SUM(E183:E191)</f>
        <v>0</v>
      </c>
      <c r="F192" s="19">
        <f>SUM(F183:F191)</f>
        <v>0</v>
      </c>
      <c r="G192" s="19">
        <f t="shared" si="8"/>
        <v>51653826508</v>
      </c>
      <c r="H192" s="122"/>
    </row>
    <row r="193" spans="1:10" ht="21.95" customHeight="1">
      <c r="A193" s="14"/>
      <c r="B193" s="14"/>
      <c r="C193" s="16" t="s">
        <v>2087</v>
      </c>
      <c r="D193" s="17">
        <f>VLOOKUP(A180,'Neraca Unaudited SIMAK'!$A$2:$S$10004,13,FALSE)</f>
        <v>-2355308030</v>
      </c>
      <c r="E193" s="25">
        <f>SUMIFS('Daftar Koreksi'!$I$5:$I$92,'Daftar Koreksi'!$D$5:$D$92,'0100'!A180,'Daftar Koreksi'!$G$5:$G$92,"Peralatan dan mesin",'Daftar Koreksi'!$I$5:$I$92,"&gt;0")</f>
        <v>0</v>
      </c>
      <c r="F193" s="25">
        <f>SUMIFS('Daftar Koreksi'!$I$5:$I$92,'Daftar Koreksi'!$D$5:$D$92,'0100'!A180,'Daftar Koreksi'!$G$5:$G$92,"Peralatan dan mesin",'Daftar Koreksi'!$I$5:$I$92,"&lt;0")-SUMIFS('Daftar Koreksi'!$I$5:$I$92,'Daftar Koreksi'!$D$5:$D$92,'0100'!A180,'Daftar Koreksi'!$G$5:$G$92,"Peralatan dan mesin",'Daftar Koreksi'!$I$5:$I$92,"&lt;0")-SUMIFS('Daftar Koreksi'!$I$5:$I$92,'Daftar Koreksi'!$D$5:$D$92,'0100'!A180,'Daftar Koreksi'!$G$5:$G$92,"Peralatan dan mesin",'Daftar Koreksi'!$I$5:$I$92,"&lt;0")</f>
        <v>0</v>
      </c>
      <c r="G193" s="17">
        <f t="shared" si="8"/>
        <v>-2355308030</v>
      </c>
      <c r="H193" s="122"/>
      <c r="J193" s="10"/>
    </row>
    <row r="194" spans="1:10" ht="21.95" customHeight="1">
      <c r="A194" s="14"/>
      <c r="B194" s="14"/>
      <c r="C194" s="16" t="s">
        <v>2088</v>
      </c>
      <c r="D194" s="17">
        <f>VLOOKUP(A180,'Neraca Unaudited SIMAK'!$A$2:$S$10004,14,FALSE)</f>
        <v>-390511920</v>
      </c>
      <c r="E194" s="25">
        <f>SUMIFS('Daftar Koreksi'!$I$5:$I$92,'Daftar Koreksi'!$D$5:$D$92,'0100'!A180,'Daftar Koreksi'!$G$5:$G$92,"Gedung dan Bangunan",'Daftar Koreksi'!$I$5:$I$92,"&gt;0")</f>
        <v>0</v>
      </c>
      <c r="F194" s="25">
        <f>SUMIFS('Daftar Koreksi'!$I$5:$I$92,'Daftar Koreksi'!$D$5:$D$92,'0100'!A180,'Daftar Koreksi'!$G$5:$G$92,"Gedung dan Bangunan",'Daftar Koreksi'!$I$5:$I$92,"&lt;0")-SUMIFS('Daftar Koreksi'!$I$5:$I$92,'Daftar Koreksi'!$D$5:$D$92,'0100'!A180,'Daftar Koreksi'!$G$5:$G$92,"Gedung dan Bangunan",'Daftar Koreksi'!$I$5:$I$92,"&lt;0")-SUMIFS('Daftar Koreksi'!$I$5:$I$92,'Daftar Koreksi'!$D$5:$D$92,'0100'!A180,'Daftar Koreksi'!$G$5:$G$92,"Gedung dan Bangunan",'Daftar Koreksi'!$I$5:$I$92,"&lt;0")</f>
        <v>0</v>
      </c>
      <c r="G194" s="17">
        <f t="shared" si="8"/>
        <v>-390511920</v>
      </c>
      <c r="H194" s="122"/>
    </row>
    <row r="195" spans="1:10" ht="21.95" customHeight="1">
      <c r="A195" s="14"/>
      <c r="B195" s="14"/>
      <c r="C195" s="16" t="s">
        <v>2089</v>
      </c>
      <c r="D195" s="17">
        <f>VLOOKUP(A180,'Neraca Unaudited SIMAK'!$A$2:$S$10004,15,FALSE)</f>
        <v>-75976200</v>
      </c>
      <c r="E195" s="25">
        <f>SUMIFS('Daftar Koreksi'!$I$5:$I$92,'Daftar Koreksi'!$D$5:$D$92,'0100'!A180,'Daftar Koreksi'!$G$5:$G$92,"Jalan Irigasi Jaringan",'Daftar Koreksi'!$I$5:$I$92,"&gt;0")</f>
        <v>0</v>
      </c>
      <c r="F195" s="25">
        <f>SUMIFS('Daftar Koreksi'!$I$5:$I$92,'Daftar Koreksi'!$D$5:$D$92,'0100'!A180,'Daftar Koreksi'!$G$5:$G$92,"Jalan Irigasi Jaringan",'Daftar Koreksi'!$I$5:$I$92,"&lt;0")-SUMIFS('Daftar Koreksi'!$I$5:$I$92,'Daftar Koreksi'!$D$5:$D$92,'0100'!A180,'Daftar Koreksi'!$G$5:$G$92,"Jalan Irigasi Jaringan",'Daftar Koreksi'!$I$5:$I$92,"&lt;0")-SUMIFS('Daftar Koreksi'!$I$5:$I$92,'Daftar Koreksi'!$D$5:$D$92,'0100'!A180,'Daftar Koreksi'!$G$5:$G$92,"Jalan Irigasi Jaringan",'Daftar Koreksi'!$I$5:$I$92,"&lt;0")</f>
        <v>0</v>
      </c>
      <c r="G195" s="17">
        <f t="shared" si="8"/>
        <v>-75976200</v>
      </c>
      <c r="H195" s="122"/>
    </row>
    <row r="196" spans="1:10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Koreksi'!$D$5:$D$92,'0100'!A180,'Daftar Koreksi'!$G$5:$G$92,"Aset Tetap Lainnya",'Daftar Koreksi'!$I$5:$I$92,"&gt;0")</f>
        <v>0</v>
      </c>
      <c r="F196" s="25">
        <f>SUMIFS('Daftar Koreksi'!$I$5:$I$92,'Daftar Koreksi'!$D$5:$D$92,'0100'!A180,'Daftar Koreksi'!$G$5:$G$92,"Aset Tetap Lainnya",'Daftar Koreksi'!$I$5:$I$92,"&lt;0")-SUMIFS('Daftar Koreksi'!$I$5:$I$92,'Daftar Koreksi'!$D$5:$D$92,'0100'!A180,'Daftar Koreksi'!$G$5:$G$92,"Aset Tetap Lainnya",'Daftar Koreksi'!$I$5:$I$92,"&lt;0")-SUMIFS('Daftar Koreksi'!$I$5:$I$92,'Daftar Koreksi'!$D$5:$D$92,'0100'!A180,'Daftar Koreksi'!$G$5:$G$92,"Aset Tetap Lainnya",'Daftar Koreksi'!$I$5:$I$92,"&lt;0")</f>
        <v>0</v>
      </c>
      <c r="G196" s="17">
        <f t="shared" si="8"/>
        <v>0</v>
      </c>
      <c r="H196" s="122"/>
    </row>
    <row r="197" spans="1:10" ht="21.95" customHeight="1">
      <c r="A197" s="14"/>
      <c r="B197" s="14"/>
      <c r="C197" s="16" t="s">
        <v>2020</v>
      </c>
      <c r="D197" s="17">
        <f>VLOOKUP(A180,'Neraca Unaudited SIMAK'!$A$2:$S$10004,17,FALSE)</f>
        <v>-177843600</v>
      </c>
      <c r="E197" s="25">
        <f>SUMIFS('Daftar Koreksi'!$I$5:$I$92,'Daftar Koreksi'!$D$5:$D$92,'0100'!A180,'Daftar Koreksi'!$G$5:$G$92,"Aset Henti Guna",'Daftar Koreksi'!$I$5:$I$92,"&gt;0")</f>
        <v>0</v>
      </c>
      <c r="F197" s="25">
        <f>SUMIFS('Daftar Koreksi'!$I$5:$I$92,'Daftar Koreksi'!$D$5:$D$92,'0100'!A180,'Daftar Koreksi'!$G$5:$G$92,"Aset Henti Guna",'Daftar Koreksi'!$I$5:$I$92,"&lt;0")-SUMIFS('Daftar Koreksi'!$I$5:$I$92,'Daftar Koreksi'!$D$5:$D$92,'0100'!A180,'Daftar Koreksi'!$G$5:$G$92,"Aset Henti Guna",'Daftar Koreksi'!$I$5:$I$92,"&lt;0")-SUMIFS('Daftar Koreksi'!$I$5:$I$92,'Daftar Koreksi'!$D$5:$D$92,'0100'!A180,'Daftar Koreksi'!$G$5:$G$92,"Aset Henti Guna",'Daftar Koreksi'!$I$5:$I$92,"&lt;0")</f>
        <v>0</v>
      </c>
      <c r="G197" s="17">
        <f t="shared" si="8"/>
        <v>-177843600</v>
      </c>
      <c r="H197" s="122"/>
    </row>
    <row r="198" spans="1:10" ht="21.95" customHeight="1">
      <c r="A198" s="14"/>
      <c r="B198" s="14"/>
      <c r="C198" s="18" t="s">
        <v>2094</v>
      </c>
      <c r="D198" s="19">
        <f>SUM(D193:D197)</f>
        <v>-2999639750</v>
      </c>
      <c r="E198" s="19">
        <f>SUM(E193:E197)</f>
        <v>0</v>
      </c>
      <c r="F198" s="19">
        <f>SUM(F193:F197)</f>
        <v>0</v>
      </c>
      <c r="G198" s="19">
        <f t="shared" si="8"/>
        <v>-2999639750</v>
      </c>
      <c r="H198" s="122"/>
    </row>
    <row r="199" spans="1:10" ht="21.95" customHeight="1">
      <c r="A199" s="14"/>
      <c r="B199" s="14"/>
      <c r="C199" s="18" t="s">
        <v>2095</v>
      </c>
      <c r="D199" s="19">
        <f>VLOOKUP(A180,'Neraca Unaudited SIMAK'!$A$2:$S$10004,18,FALSE)</f>
        <v>48654186758</v>
      </c>
      <c r="E199" s="19">
        <f>E198+E192</f>
        <v>0</v>
      </c>
      <c r="F199" s="19">
        <f>F198+F192</f>
        <v>0</v>
      </c>
      <c r="G199" s="19">
        <f t="shared" si="8"/>
        <v>48654186758</v>
      </c>
      <c r="H199" s="122"/>
    </row>
    <row r="200" spans="1:10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10" ht="19.5" customHeight="1">
      <c r="A202" s="11" t="str">
        <f>O10</f>
        <v>005010100400647000KD</v>
      </c>
      <c r="B202" s="11" t="str">
        <f>P10</f>
        <v>PA. Jakarta Timur</v>
      </c>
      <c r="C202" s="12" t="str">
        <f>A202&amp;" "&amp;B202</f>
        <v>005010100400647000KD PA. Jakarta Timur</v>
      </c>
      <c r="D202" s="13"/>
      <c r="E202" s="13"/>
      <c r="F202" s="13"/>
      <c r="G202" s="13"/>
      <c r="H202" s="11"/>
    </row>
    <row r="203" spans="1:10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10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10" ht="21.95" customHeight="1">
      <c r="A205" s="14"/>
      <c r="B205" s="14"/>
      <c r="C205" s="16" t="s">
        <v>1165</v>
      </c>
      <c r="D205" s="17">
        <f>VLOOKUP(A202,'Neraca Unaudited SIMAK'!$A$2:$S$10004,3,FALSE)</f>
        <v>472000</v>
      </c>
      <c r="E205" s="25">
        <f>SUMIFS('Daftar Koreksi'!$H$5:$H$92,'Daftar Koreksi'!$D$5:$D$92,'0100'!A202,'Daftar Koreksi'!$G$5:$G$92,"Persediaan",'Daftar Koreksi'!$H$5:$H$92,"&gt;0")</f>
        <v>0</v>
      </c>
      <c r="F205" s="25">
        <f>SUMIFS('Daftar Koreksi'!$H$5:$H$92,'Daftar Koreksi'!$D$5:$D$92,'0100'!A202,'Daftar Koreksi'!$G$5:$G$92,"Persediaan",'Daftar Koreksi'!$H$5:$H$92,"&lt;0")-SUMIFS('Daftar Koreksi'!$H$5:$H$92,'Daftar Koreksi'!$D$5:$D$92,'0100'!A202,'Daftar Koreksi'!$G$5:$G$92,"Persediaan",'Daftar Koreksi'!$H$5:$H$92,"&lt;0")-SUMIFS('Daftar Koreksi'!$H$5:$H$92,'Daftar Koreksi'!$D$5:$D$92,'0100'!A202,'Daftar Koreksi'!$G$5:$G$92,"Persediaan",'Daftar Koreksi'!$H$5:$H$92,"&lt;0")</f>
        <v>0</v>
      </c>
      <c r="G205" s="17">
        <f>D205+E205-F205</f>
        <v>472000</v>
      </c>
      <c r="H205" s="121" t="str">
        <f>IF(ISNA(VLOOKUP(A202,'Mutasi Neraca'!$A$3:$S$914,19,FALSE)),"-",VLOOKUP(A202,'Mutasi Neraca'!$A$3:$S$914,19,FALSE))</f>
        <v>-</v>
      </c>
    </row>
    <row r="206" spans="1:10" ht="21.95" customHeight="1">
      <c r="A206" s="14"/>
      <c r="B206" s="14"/>
      <c r="C206" s="16" t="s">
        <v>1166</v>
      </c>
      <c r="D206" s="17">
        <f>VLOOKUP(A202,'Neraca Unaudited SIMAK'!$A$2:$S$10004,4,FALSE)</f>
        <v>3463990000</v>
      </c>
      <c r="E206" s="25">
        <f>SUMIFS('Daftar Koreksi'!$H$5:$H$92,'Daftar Koreksi'!$D$5:$D$92,'0100'!A202,'Daftar Koreksi'!$G$5:$G$92,"Tanah",'Daftar Koreksi'!$H$5:$H$92,"&gt;0")</f>
        <v>0</v>
      </c>
      <c r="F206" s="25">
        <f>SUMIFS('Daftar Koreksi'!$H$5:$H$92,'Daftar Koreksi'!$D$5:$D$92,'0100'!A202,'Daftar Koreksi'!$G$5:$G$92,"Tanah",'Daftar Koreksi'!$H$5:$H$92,"&lt;0")-SUMIFS('Daftar Koreksi'!$H$5:$H$92,'Daftar Koreksi'!$D$5:$D$92,'0100'!A202,'Daftar Koreksi'!$G$5:$G$92,"Tanah",'Daftar Koreksi'!$H$5:$H$92,"&lt;0")-SUMIFS('Daftar Koreksi'!$H$5:$H$92,'Daftar Koreksi'!$D$5:$D$92,'0100'!A202,'Daftar Koreksi'!$G$5:$G$92,"Tanah",'Daftar Koreksi'!$H$5:$H$92,"&lt;0")</f>
        <v>0</v>
      </c>
      <c r="G206" s="17">
        <f t="shared" ref="G206:G222" si="9">D206+E206-F206</f>
        <v>3463990000</v>
      </c>
      <c r="H206" s="122"/>
    </row>
    <row r="207" spans="1:10" ht="21.95" customHeight="1">
      <c r="A207" s="14"/>
      <c r="B207" s="14"/>
      <c r="C207" s="16" t="s">
        <v>1167</v>
      </c>
      <c r="D207" s="17">
        <f>VLOOKUP(A202,'Neraca Unaudited SIMAK'!$A$2:$S$10004,5,FALSE)</f>
        <v>2726705143</v>
      </c>
      <c r="E207" s="25">
        <f>SUMIFS('Daftar Koreksi'!$H$5:$H$92,'Daftar Koreksi'!$D$5:$D$92,'0100'!A202,'Daftar Koreksi'!$G$5:$G$92,"Peralatan dan mesin",'Daftar Koreksi'!$H$5:$H$92,"&gt;0")</f>
        <v>0</v>
      </c>
      <c r="F207" s="25">
        <f>SUMIFS('Daftar Koreksi'!$H$5:$H$92,'Daftar Koreksi'!$D$5:$D$92,'0100'!A202,'Daftar Koreksi'!$G$5:$G$92,"Peralatan dan mesin",'Daftar Koreksi'!$H$5:$H$92,"&lt;0")-SUMIFS('Daftar Koreksi'!$H$5:$H$92,'Daftar Koreksi'!$D$5:$D$92,'0100'!A202,'Daftar Koreksi'!$G$5:$G$92,"Peralatan dan mesin",'Daftar Koreksi'!$H$5:$H$92,"&lt;0")-SUMIFS('Daftar Koreksi'!$H$5:$H$92,'Daftar Koreksi'!$D$5:$D$92,'0100'!A202,'Daftar Koreksi'!$G$5:$G$92,"Peralatan dan mesin",'Daftar Koreksi'!$H$5:$H$92,"&lt;0")</f>
        <v>0</v>
      </c>
      <c r="G207" s="17">
        <f t="shared" si="9"/>
        <v>2726705143</v>
      </c>
      <c r="H207" s="122"/>
    </row>
    <row r="208" spans="1:10" ht="21.95" customHeight="1">
      <c r="A208" s="14"/>
      <c r="B208" s="14"/>
      <c r="C208" s="16" t="s">
        <v>1168</v>
      </c>
      <c r="D208" s="17">
        <f>VLOOKUP(A202,'Neraca Unaudited SIMAK'!$A$2:$S$10004,6,FALSE)</f>
        <v>41998000</v>
      </c>
      <c r="E208" s="25">
        <f>SUMIFS('Daftar Koreksi'!$H$5:$H$92,'Daftar Koreksi'!$D$5:$D$92,'0100'!A202,'Daftar Koreksi'!$G$5:$G$92,"Gedung dan Bangunan",'Daftar Koreksi'!$H$5:$H$92,"&gt;0")</f>
        <v>0</v>
      </c>
      <c r="F208" s="25">
        <f>SUMIFS('Daftar Koreksi'!$H$5:$H$92,'Daftar Koreksi'!$D$5:$D$92,'0100'!A202,'Daftar Koreksi'!$G$5:$G$92,"Gedung dan Bangunan",'Daftar Koreksi'!$H$5:$H$92,"&lt;0")-SUMIFS('Daftar Koreksi'!$H$5:$H$92,'Daftar Koreksi'!$D$5:$D$92,'0100'!A202,'Daftar Koreksi'!$G$5:$G$92,"Gedung dan Bangunan",'Daftar Koreksi'!$H$5:$H$92,"&lt;0")-SUMIFS('Daftar Koreksi'!$H$5:$H$92,'Daftar Koreksi'!$D$5:$D$92,'0100'!A202,'Daftar Koreksi'!$G$5:$G$92,"Gedung dan Bangunan",'Daftar Koreksi'!$H$5:$H$92,"&lt;0")</f>
        <v>0</v>
      </c>
      <c r="G208" s="17">
        <f t="shared" si="9"/>
        <v>41998000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46864000</v>
      </c>
      <c r="E209" s="25">
        <f>SUMIFS('Daftar Koreksi'!$H$5:$H$92,'Daftar Koreksi'!$D$5:$D$92,'0100'!A202,'Daftar Koreksi'!$G$5:$G$92,"Jalan Irigasi Jaringan",'Daftar Koreksi'!$H$5:$H$92,"&gt;0")</f>
        <v>0</v>
      </c>
      <c r="F209" s="25">
        <f>SUMIFS('Daftar Koreksi'!$H$5:$H$92,'Daftar Koreksi'!$D$5:$D$92,'0100'!A202,'Daftar Koreksi'!$G$5:$G$92,"Jalan Irigasi Jaringan",'Daftar Koreksi'!$H$5:$H$92,"&lt;0")-SUMIFS('Daftar Koreksi'!$H$5:$H$92,'Daftar Koreksi'!$D$5:$D$92,'0100'!A202,'Daftar Koreksi'!$G$5:$G$92,"Jalan Irigasi Jaringan",'Daftar Koreksi'!$H$5:$H$92,"&lt;0")-SUMIFS('Daftar Koreksi'!$H$5:$H$92,'Daftar Koreksi'!$D$5:$D$92,'0100'!A202,'Daftar Koreksi'!$G$5:$G$92,"Jalan Irigasi Jaringan",'Daftar Koreksi'!$H$5:$H$92,"&lt;0")</f>
        <v>0</v>
      </c>
      <c r="G209" s="17">
        <f t="shared" si="9"/>
        <v>46864000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95437130</v>
      </c>
      <c r="E210" s="25">
        <f>SUMIFS('Daftar Koreksi'!$H$5:$H$92,'Daftar Koreksi'!$D$5:$D$92,'0100'!A202,'Daftar Koreksi'!$G$5:$G$92,"Aset Tetap Lainnya",'Daftar Koreksi'!$H$5:$H$92,"&gt;0")</f>
        <v>0</v>
      </c>
      <c r="F210" s="25">
        <f>SUMIFS('Daftar Koreksi'!$H$5:$H$92,'Daftar Koreksi'!$D$5:$D$92,'0100'!A202,'Daftar Koreksi'!$G$5:$G$92,"Aset Tetap Lainnya",'Daftar Koreksi'!$H$5:$H$92,"&lt;0")-SUMIFS('Daftar Koreksi'!$H$5:$H$92,'Daftar Koreksi'!$D$5:$D$92,'0100'!A202,'Daftar Koreksi'!$G$5:$G$92,"Aset Tetap Lainnya",'Daftar Koreksi'!$H$5:$H$92,"&lt;0")-SUMIFS('Daftar Koreksi'!$H$5:$H$92,'Daftar Koreksi'!$D$5:$D$92,'0100'!A202,'Daftar Koreksi'!$G$5:$G$92,"Aset Tetap Lainnya",'Daftar Koreksi'!$H$5:$H$92,"&lt;0")</f>
        <v>0</v>
      </c>
      <c r="G210" s="17">
        <f t="shared" si="9"/>
        <v>95437130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2710958695</v>
      </c>
      <c r="E211" s="25">
        <f>SUMIFS('Daftar Koreksi'!$H$5:$H$92,'Daftar Koreksi'!$D$5:$D$92,'0100'!A202,'Daftar Koreksi'!$G$5:$G$92,"Kontruksi Dalam Pengerjaan",'Daftar Koreksi'!$H$5:$H$92,"&gt;0")</f>
        <v>0</v>
      </c>
      <c r="F211" s="25">
        <f>SUMIFS('Daftar Koreksi'!$H$5:$H$92,'Daftar Koreksi'!$D$5:$D$92,'0100'!A202,'Daftar Koreksi'!$G$5:$G$92,"Kontruksi Dalam Pengerjaan",'Daftar Koreksi'!$H$5:$H$92,"&lt;0")-SUMIFS('Daftar Koreksi'!$H$5:$H$92,'Daftar Koreksi'!$D$5:$D$92,'0100'!A202,'Daftar Koreksi'!$G$5:$G$92,"Kontruksi Dalam Pengerjaan",'Daftar Koreksi'!$H$5:$H$92,"&lt;0")-SUMIFS('Daftar Koreksi'!$H$5:$H$92,'Daftar Koreksi'!$D$5:$D$92,'0100'!A202,'Daftar Koreksi'!$G$5:$G$92,"Kontruksi Dalam Pengerjaan",'Daftar Koreksi'!$H$5:$H$92,"&lt;0")</f>
        <v>0</v>
      </c>
      <c r="G211" s="17">
        <f t="shared" si="9"/>
        <v>2710958695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42767500</v>
      </c>
      <c r="E212" s="25">
        <f>SUMIFS('Daftar Koreksi'!$H$5:$H$92,'Daftar Koreksi'!$D$5:$D$92,'0100'!A202,'Daftar Koreksi'!$G$5:$G$92,"Aset Tak Berwujud",'Daftar Koreksi'!$H$5:$H$92,"&gt;0")</f>
        <v>0</v>
      </c>
      <c r="F212" s="25">
        <f>SUMIFS('Daftar Koreksi'!$H$5:$H$92,'Daftar Koreksi'!$D$5:$D$92,'0100'!A202,'Daftar Koreksi'!$G$5:$G$92,"Aset Tak Berwujud",'Daftar Koreksi'!$H$5:$H$92,"&lt;0")-SUMIFS('Daftar Koreksi'!$H$5:$H$92,'Daftar Koreksi'!$D$5:$D$92,'0100'!A202,'Daftar Koreksi'!$G$5:$G$92,"Aset Tak Berwujud",'Daftar Koreksi'!$H$5:$H$92,"&lt;0")-SUMIFS('Daftar Koreksi'!$H$5:$H$92,'Daftar Koreksi'!$D$5:$D$92,'0100'!A202,'Daftar Koreksi'!$G$5:$G$92,"Aset Tak Berwujud",'Daftar Koreksi'!$H$5:$H$92,"&lt;0")</f>
        <v>0</v>
      </c>
      <c r="G212" s="17">
        <f t="shared" si="9"/>
        <v>42767500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900000</v>
      </c>
      <c r="E213" s="25">
        <f>SUMIFS('Daftar Koreksi'!$H$5:$H$92,'Daftar Koreksi'!$D$5:$D$92,'0100'!A202,'Daftar Koreksi'!$G$5:$G$92,"Aset Henti Guna",'Daftar Koreksi'!$H$5:$H$92,"&gt;0")</f>
        <v>0</v>
      </c>
      <c r="F213" s="25">
        <f>SUMIFS('Daftar Koreksi'!$H$5:$H$92,'Daftar Koreksi'!$D$5:$D$92,'0100'!A202,'Daftar Koreksi'!$G$5:$G$92,"Aset Henti Guna",'Daftar Koreksi'!$H$5:$H$92,"&lt;0")-SUMIFS('Daftar Koreksi'!$H$5:$H$92,'Daftar Koreksi'!$D$5:$D$92,'0100'!A202,'Daftar Koreksi'!$G$5:$G$92,"Aset Henti Guna",'Daftar Koreksi'!$H$5:$H$92,"&lt;0")-SUMIFS('Daftar Koreksi'!$H$5:$H$92,'Daftar Koreksi'!$D$5:$D$92,'0100'!A202,'Daftar Koreksi'!$G$5:$G$92,"Aset Henti Guna",'Daftar Koreksi'!$H$5:$H$92,"&lt;0")</f>
        <v>0</v>
      </c>
      <c r="G213" s="17">
        <f t="shared" si="9"/>
        <v>900000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9130092468</v>
      </c>
      <c r="E214" s="19">
        <f>SUM(E205:E213)</f>
        <v>0</v>
      </c>
      <c r="F214" s="19">
        <f>SUM(F205:F213)</f>
        <v>0</v>
      </c>
      <c r="G214" s="19">
        <f t="shared" si="9"/>
        <v>9130092468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-2497390397</v>
      </c>
      <c r="E215" s="25">
        <f>SUMIFS('Daftar Koreksi'!$I$5:$I$92,'Daftar Koreksi'!$D$5:$D$92,'0100'!A202,'Daftar Koreksi'!$G$5:$G$92,"Peralatan dan mesin",'Daftar Koreksi'!$I$5:$I$92,"&gt;0")</f>
        <v>0</v>
      </c>
      <c r="F215" s="25">
        <f>SUMIFS('Daftar Koreksi'!$I$5:$I$92,'Daftar Koreksi'!$D$5:$D$92,'0100'!A202,'Daftar Koreksi'!$G$5:$G$92,"Peralatan dan mesin",'Daftar Koreksi'!$I$5:$I$92,"&lt;0")-SUMIFS('Daftar Koreksi'!$I$5:$I$92,'Daftar Koreksi'!$D$5:$D$92,'0100'!A202,'Daftar Koreksi'!$G$5:$G$92,"Peralatan dan mesin",'Daftar Koreksi'!$I$5:$I$92,"&lt;0")-SUMIFS('Daftar Koreksi'!$I$5:$I$92,'Daftar Koreksi'!$D$5:$D$92,'0100'!A202,'Daftar Koreksi'!$G$5:$G$92,"Peralatan dan mesin",'Daftar Koreksi'!$I$5:$I$92,"&lt;0")</f>
        <v>0</v>
      </c>
      <c r="G215" s="17">
        <f t="shared" si="9"/>
        <v>-2497390397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-3359840</v>
      </c>
      <c r="E216" s="25">
        <f>SUMIFS('Daftar Koreksi'!$I$5:$I$92,'Daftar Koreksi'!$D$5:$D$92,'0100'!A202,'Daftar Koreksi'!$G$5:$G$92,"Gedung dan Bangunan",'Daftar Koreksi'!$I$5:$I$92,"&gt;0")</f>
        <v>0</v>
      </c>
      <c r="F216" s="25">
        <f>SUMIFS('Daftar Koreksi'!$I$5:$I$92,'Daftar Koreksi'!$D$5:$D$92,'0100'!A202,'Daftar Koreksi'!$G$5:$G$92,"Gedung dan Bangunan",'Daftar Koreksi'!$I$5:$I$92,"&lt;0")-SUMIFS('Daftar Koreksi'!$I$5:$I$92,'Daftar Koreksi'!$D$5:$D$92,'0100'!A202,'Daftar Koreksi'!$G$5:$G$92,"Gedung dan Bangunan",'Daftar Koreksi'!$I$5:$I$92,"&lt;0")-SUMIFS('Daftar Koreksi'!$I$5:$I$92,'Daftar Koreksi'!$D$5:$D$92,'0100'!A202,'Daftar Koreksi'!$G$5:$G$92,"Gedung dan Bangunan",'Daftar Koreksi'!$I$5:$I$92,"&lt;0")</f>
        <v>0</v>
      </c>
      <c r="G216" s="17">
        <f t="shared" si="9"/>
        <v>-3359840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-13976200</v>
      </c>
      <c r="E217" s="25">
        <f>SUMIFS('Daftar Koreksi'!$I$5:$I$92,'Daftar Koreksi'!$D$5:$D$92,'0100'!A202,'Daftar Koreksi'!$G$5:$G$92,"Jalan Irigasi Jaringan",'Daftar Koreksi'!$I$5:$I$92,"&gt;0")</f>
        <v>0</v>
      </c>
      <c r="F217" s="25">
        <f>SUMIFS('Daftar Koreksi'!$I$5:$I$92,'Daftar Koreksi'!$D$5:$D$92,'0100'!A202,'Daftar Koreksi'!$G$5:$G$92,"Jalan Irigasi Jaringan",'Daftar Koreksi'!$I$5:$I$92,"&lt;0")-SUMIFS('Daftar Koreksi'!$I$5:$I$92,'Daftar Koreksi'!$D$5:$D$92,'0100'!A202,'Daftar Koreksi'!$G$5:$G$92,"Jalan Irigasi Jaringan",'Daftar Koreksi'!$I$5:$I$92,"&lt;0")-SUMIFS('Daftar Koreksi'!$I$5:$I$92,'Daftar Koreksi'!$D$5:$D$92,'0100'!A202,'Daftar Koreksi'!$G$5:$G$92,"Jalan Irigasi Jaringan",'Daftar Koreksi'!$I$5:$I$92,"&lt;0")</f>
        <v>0</v>
      </c>
      <c r="G217" s="17">
        <f t="shared" si="9"/>
        <v>-13976200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Koreksi'!$D$5:$D$92,'0100'!A202,'Daftar Koreksi'!$G$5:$G$92,"Aset Tetap Lainnya",'Daftar Koreksi'!$I$5:$I$92,"&gt;0")</f>
        <v>0</v>
      </c>
      <c r="F218" s="25">
        <f>SUMIFS('Daftar Koreksi'!$I$5:$I$92,'Daftar Koreksi'!$D$5:$D$92,'0100'!A202,'Daftar Koreksi'!$G$5:$G$92,"Aset Tetap Lainnya",'Daftar Koreksi'!$I$5:$I$92,"&lt;0")-SUMIFS('Daftar Koreksi'!$I$5:$I$92,'Daftar Koreksi'!$D$5:$D$92,'0100'!A202,'Daftar Koreksi'!$G$5:$G$92,"Aset Tetap Lainnya",'Daftar Koreksi'!$I$5:$I$92,"&lt;0")-SUMIFS('Daftar Koreksi'!$I$5:$I$92,'Daftar Koreksi'!$D$5:$D$92,'0100'!A202,'Daftar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-900000</v>
      </c>
      <c r="E219" s="25">
        <f>SUMIFS('Daftar Koreksi'!$I$5:$I$92,'Daftar Koreksi'!$D$5:$D$92,'0100'!A202,'Daftar Koreksi'!$G$5:$G$92,"Aset Henti Guna",'Daftar Koreksi'!$I$5:$I$92,"&gt;0")</f>
        <v>0</v>
      </c>
      <c r="F219" s="25">
        <f>SUMIFS('Daftar Koreksi'!$I$5:$I$92,'Daftar Koreksi'!$D$5:$D$92,'0100'!A202,'Daftar Koreksi'!$G$5:$G$92,"Aset Henti Guna",'Daftar Koreksi'!$I$5:$I$92,"&lt;0")-SUMIFS('Daftar Koreksi'!$I$5:$I$92,'Daftar Koreksi'!$D$5:$D$92,'0100'!A202,'Daftar Koreksi'!$G$5:$G$92,"Aset Henti Guna",'Daftar Koreksi'!$I$5:$I$92,"&lt;0")-SUMIFS('Daftar Koreksi'!$I$5:$I$92,'Daftar Koreksi'!$D$5:$D$92,'0100'!A202,'Daftar Koreksi'!$G$5:$G$92,"Aset Henti Guna",'Daftar Koreksi'!$I$5:$I$92,"&lt;0")</f>
        <v>0</v>
      </c>
      <c r="G219" s="17">
        <f t="shared" si="9"/>
        <v>-900000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-2515626437</v>
      </c>
      <c r="E220" s="19">
        <f>SUM(E215:E219)</f>
        <v>0</v>
      </c>
      <c r="F220" s="19">
        <f>SUM(F215:F219)</f>
        <v>0</v>
      </c>
      <c r="G220" s="19">
        <f t="shared" si="9"/>
        <v>-2515626437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6614466031</v>
      </c>
      <c r="E221" s="19">
        <f>E220+E214</f>
        <v>0</v>
      </c>
      <c r="F221" s="19">
        <f>F220+F214</f>
        <v>0</v>
      </c>
      <c r="G221" s="19">
        <f t="shared" si="9"/>
        <v>6614466031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005010100400653000KD</v>
      </c>
      <c r="B224" s="11" t="str">
        <f>P11</f>
        <v>PA. Jakarta Selatan</v>
      </c>
      <c r="C224" s="12" t="str">
        <f>A224&amp;" "&amp;B224</f>
        <v>005010100400653000KD PA. Jakarta Selatan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34000</v>
      </c>
      <c r="E227" s="25">
        <f>SUMIFS('Daftar Koreksi'!$H$5:$H$92,'Daftar Koreksi'!$D$5:$D$92,'0100'!A224,'Daftar Koreksi'!$G$5:$G$92,"Persediaan",'Daftar Koreksi'!$H$5:$H$92,"&gt;0")</f>
        <v>0</v>
      </c>
      <c r="F227" s="25">
        <f>SUMIFS('Daftar Koreksi'!$H$5:$H$92,'Daftar Koreksi'!$D$5:$D$92,'0100'!A224,'Daftar Koreksi'!$G$5:$G$92,"Persediaan",'Daftar Koreksi'!$H$5:$H$92,"&lt;0")-SUMIFS('Daftar Koreksi'!$H$5:$H$92,'Daftar Koreksi'!$D$5:$D$92,'0100'!A224,'Daftar Koreksi'!$G$5:$G$92,"Persediaan",'Daftar Koreksi'!$H$5:$H$92,"&lt;0")-SUMIFS('Daftar Koreksi'!$H$5:$H$92,'Daftar Koreksi'!$D$5:$D$92,'0100'!A224,'Daftar Koreksi'!$G$5:$G$92,"Persediaan",'Daftar Koreksi'!$H$5:$H$92,"&lt;0")</f>
        <v>0</v>
      </c>
      <c r="G227" s="17">
        <f>D227+E227-F227</f>
        <v>34000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22361412000</v>
      </c>
      <c r="E228" s="25">
        <f>SUMIFS('Daftar Koreksi'!$H$5:$H$92,'Daftar Koreksi'!$D$5:$D$92,'0100'!A224,'Daftar Koreksi'!$G$5:$G$92,"Tanah",'Daftar Koreksi'!$H$5:$H$92,"&gt;0")</f>
        <v>0</v>
      </c>
      <c r="F228" s="25">
        <f>SUMIFS('Daftar Koreksi'!$H$5:$H$92,'Daftar Koreksi'!$D$5:$D$92,'0100'!A224,'Daftar Koreksi'!$G$5:$G$92,"Tanah",'Daftar Koreksi'!$H$5:$H$92,"&lt;0")-SUMIFS('Daftar Koreksi'!$H$5:$H$92,'Daftar Koreksi'!$D$5:$D$92,'0100'!A224,'Daftar Koreksi'!$G$5:$G$92,"Tanah",'Daftar Koreksi'!$H$5:$H$92,"&lt;0")-SUMIFS('Daftar Koreksi'!$H$5:$H$92,'Daftar Koreksi'!$D$5:$D$92,'0100'!A224,'Daftar Koreksi'!$G$5:$G$92,"Tanah",'Daftar Koreksi'!$H$5:$H$92,"&lt;0")</f>
        <v>0</v>
      </c>
      <c r="G228" s="17">
        <f t="shared" ref="G228:G244" si="10">D228+E228-F228</f>
        <v>22361412000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4858289160</v>
      </c>
      <c r="E229" s="25">
        <f>SUMIFS('Daftar Koreksi'!$H$5:$H$92,'Daftar Koreksi'!$D$5:$D$92,'0100'!A224,'Daftar Koreksi'!$G$5:$G$92,"Peralatan dan mesin",'Daftar Koreksi'!$H$5:$H$92,"&gt;0")</f>
        <v>0</v>
      </c>
      <c r="F229" s="25">
        <f>SUMIFS('Daftar Koreksi'!$H$5:$H$92,'Daftar Koreksi'!$D$5:$D$92,'0100'!A224,'Daftar Koreksi'!$G$5:$G$92,"Peralatan dan mesin",'Daftar Koreksi'!$H$5:$H$92,"&lt;0")-SUMIFS('Daftar Koreksi'!$H$5:$H$92,'Daftar Koreksi'!$D$5:$D$92,'0100'!A224,'Daftar Koreksi'!$G$5:$G$92,"Peralatan dan mesin",'Daftar Koreksi'!$H$5:$H$92,"&lt;0")-SUMIFS('Daftar Koreksi'!$H$5:$H$92,'Daftar Koreksi'!$D$5:$D$92,'0100'!A224,'Daftar Koreksi'!$G$5:$G$92,"Peralatan dan mesin",'Daftar Koreksi'!$H$5:$H$92,"&lt;0")</f>
        <v>0</v>
      </c>
      <c r="G229" s="17">
        <f t="shared" si="10"/>
        <v>4858289160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19195275013</v>
      </c>
      <c r="E230" s="25">
        <f>SUMIFS('Daftar Koreksi'!$H$5:$H$92,'Daftar Koreksi'!$D$5:$D$92,'0100'!A224,'Daftar Koreksi'!$G$5:$G$92,"Gedung dan Bangunan",'Daftar Koreksi'!$H$5:$H$92,"&gt;0")</f>
        <v>0</v>
      </c>
      <c r="F230" s="25">
        <f>SUMIFS('Daftar Koreksi'!$H$5:$H$92,'Daftar Koreksi'!$D$5:$D$92,'0100'!A224,'Daftar Koreksi'!$G$5:$G$92,"Gedung dan Bangunan",'Daftar Koreksi'!$H$5:$H$92,"&lt;0")-SUMIFS('Daftar Koreksi'!$H$5:$H$92,'Daftar Koreksi'!$D$5:$D$92,'0100'!A224,'Daftar Koreksi'!$G$5:$G$92,"Gedung dan Bangunan",'Daftar Koreksi'!$H$5:$H$92,"&lt;0")-SUMIFS('Daftar Koreksi'!$H$5:$H$92,'Daftar Koreksi'!$D$5:$D$92,'0100'!A224,'Daftar Koreksi'!$G$5:$G$92,"Gedung dan Bangunan",'Daftar Koreksi'!$H$5:$H$92,"&lt;0")</f>
        <v>0</v>
      </c>
      <c r="G230" s="17">
        <f t="shared" si="10"/>
        <v>19195275013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24450000</v>
      </c>
      <c r="E231" s="25">
        <f>SUMIFS('Daftar Koreksi'!$H$5:$H$92,'Daftar Koreksi'!$D$5:$D$92,'0100'!A224,'Daftar Koreksi'!$G$5:$G$92,"Jalan Irigasi Jaringan",'Daftar Koreksi'!$H$5:$H$92,"&gt;0")</f>
        <v>0</v>
      </c>
      <c r="F231" s="25">
        <f>SUMIFS('Daftar Koreksi'!$H$5:$H$92,'Daftar Koreksi'!$D$5:$D$92,'0100'!A224,'Daftar Koreksi'!$G$5:$G$92,"Jalan Irigasi Jaringan",'Daftar Koreksi'!$H$5:$H$92,"&lt;0")-SUMIFS('Daftar Koreksi'!$H$5:$H$92,'Daftar Koreksi'!$D$5:$D$92,'0100'!A224,'Daftar Koreksi'!$G$5:$G$92,"Jalan Irigasi Jaringan",'Daftar Koreksi'!$H$5:$H$92,"&lt;0")-SUMIFS('Daftar Koreksi'!$H$5:$H$92,'Daftar Koreksi'!$D$5:$D$92,'0100'!A224,'Daftar Koreksi'!$G$5:$G$92,"Jalan Irigasi Jaringan",'Daftar Koreksi'!$H$5:$H$92,"&lt;0")</f>
        <v>0</v>
      </c>
      <c r="G231" s="17">
        <f t="shared" si="10"/>
        <v>24450000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27424592</v>
      </c>
      <c r="E232" s="25">
        <f>SUMIFS('Daftar Koreksi'!$H$5:$H$92,'Daftar Koreksi'!$D$5:$D$92,'0100'!A224,'Daftar Koreksi'!$G$5:$G$92,"Aset Tetap Lainnya",'Daftar Koreksi'!$H$5:$H$92,"&gt;0")</f>
        <v>0</v>
      </c>
      <c r="F232" s="25">
        <f>SUMIFS('Daftar Koreksi'!$H$5:$H$92,'Daftar Koreksi'!$D$5:$D$92,'0100'!A224,'Daftar Koreksi'!$G$5:$G$92,"Aset Tetap Lainnya",'Daftar Koreksi'!$H$5:$H$92,"&lt;0")-SUMIFS('Daftar Koreksi'!$H$5:$H$92,'Daftar Koreksi'!$D$5:$D$92,'0100'!A224,'Daftar Koreksi'!$G$5:$G$92,"Aset Tetap Lainnya",'Daftar Koreksi'!$H$5:$H$92,"&lt;0")-SUMIFS('Daftar Koreksi'!$H$5:$H$92,'Daftar Koreksi'!$D$5:$D$92,'0100'!A224,'Daftar Koreksi'!$G$5:$G$92,"Aset Tetap Lainnya",'Daftar Koreksi'!$H$5:$H$92,"&lt;0")</f>
        <v>0</v>
      </c>
      <c r="G232" s="17">
        <f t="shared" si="10"/>
        <v>27424592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Koreksi'!$D$5:$D$92,'0100'!A224,'Daftar Koreksi'!$G$5:$G$92,"Kontruksi Dalam Pengerjaan",'Daftar Koreksi'!$H$5:$H$92,"&gt;0")</f>
        <v>0</v>
      </c>
      <c r="F233" s="25">
        <f>SUMIFS('Daftar Koreksi'!$H$5:$H$92,'Daftar Koreksi'!$D$5:$D$92,'0100'!A224,'Daftar Koreksi'!$G$5:$G$92,"Kontruksi Dalam Pengerjaan",'Daftar Koreksi'!$H$5:$H$92,"&lt;0")-SUMIFS('Daftar Koreksi'!$H$5:$H$92,'Daftar Koreksi'!$D$5:$D$92,'0100'!A224,'Daftar Koreksi'!$G$5:$G$92,"Kontruksi Dalam Pengerjaan",'Daftar Koreksi'!$H$5:$H$92,"&lt;0")-SUMIFS('Daftar Koreksi'!$H$5:$H$92,'Daftar Koreksi'!$D$5:$D$92,'0100'!A224,'Daftar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Koreksi'!$D$5:$D$92,'0100'!A224,'Daftar Koreksi'!$G$5:$G$92,"Aset Tak Berwujud",'Daftar Koreksi'!$H$5:$H$92,"&gt;0")</f>
        <v>0</v>
      </c>
      <c r="F234" s="25">
        <f>SUMIFS('Daftar Koreksi'!$H$5:$H$92,'Daftar Koreksi'!$D$5:$D$92,'0100'!A224,'Daftar Koreksi'!$G$5:$G$92,"Aset Tak Berwujud",'Daftar Koreksi'!$H$5:$H$92,"&lt;0")-SUMIFS('Daftar Koreksi'!$H$5:$H$92,'Daftar Koreksi'!$D$5:$D$92,'0100'!A224,'Daftar Koreksi'!$G$5:$G$92,"Aset Tak Berwujud",'Daftar Koreksi'!$H$5:$H$92,"&lt;0")-SUMIFS('Daftar Koreksi'!$H$5:$H$92,'Daftar Koreksi'!$D$5:$D$92,'0100'!A224,'Daftar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145847997</v>
      </c>
      <c r="E235" s="25">
        <f>SUMIFS('Daftar Koreksi'!$H$5:$H$92,'Daftar Koreksi'!$D$5:$D$92,'0100'!A224,'Daftar Koreksi'!$G$5:$G$92,"Aset Henti Guna",'Daftar Koreksi'!$H$5:$H$92,"&gt;0")</f>
        <v>0</v>
      </c>
      <c r="F235" s="25">
        <f>SUMIFS('Daftar Koreksi'!$H$5:$H$92,'Daftar Koreksi'!$D$5:$D$92,'0100'!A224,'Daftar Koreksi'!$G$5:$G$92,"Aset Henti Guna",'Daftar Koreksi'!$H$5:$H$92,"&lt;0")-SUMIFS('Daftar Koreksi'!$H$5:$H$92,'Daftar Koreksi'!$D$5:$D$92,'0100'!A224,'Daftar Koreksi'!$G$5:$G$92,"Aset Henti Guna",'Daftar Koreksi'!$H$5:$H$92,"&lt;0")-SUMIFS('Daftar Koreksi'!$H$5:$H$92,'Daftar Koreksi'!$D$5:$D$92,'0100'!A224,'Daftar Koreksi'!$G$5:$G$92,"Aset Henti Guna",'Daftar Koreksi'!$H$5:$H$92,"&lt;0")</f>
        <v>0</v>
      </c>
      <c r="G235" s="17">
        <f t="shared" si="10"/>
        <v>145847997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46612732762</v>
      </c>
      <c r="E236" s="19">
        <f>SUM(E227:E235)</f>
        <v>0</v>
      </c>
      <c r="F236" s="19">
        <f>SUM(F227:F235)</f>
        <v>0</v>
      </c>
      <c r="G236" s="19">
        <f t="shared" si="10"/>
        <v>46612732762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-4285741926</v>
      </c>
      <c r="E237" s="25">
        <f>SUMIFS('Daftar Koreksi'!$I$5:$I$92,'Daftar Koreksi'!$D$5:$D$92,'0100'!A224,'Daftar Koreksi'!$G$5:$G$92,"Peralatan dan mesin",'Daftar Koreksi'!$I$5:$I$92,"&gt;0")</f>
        <v>0</v>
      </c>
      <c r="F237" s="25">
        <f>SUMIFS('Daftar Koreksi'!$I$5:$I$92,'Daftar Koreksi'!$D$5:$D$92,'0100'!A224,'Daftar Koreksi'!$G$5:$G$92,"Peralatan dan mesin",'Daftar Koreksi'!$I$5:$I$92,"&lt;0")-SUMIFS('Daftar Koreksi'!$I$5:$I$92,'Daftar Koreksi'!$D$5:$D$92,'0100'!A224,'Daftar Koreksi'!$G$5:$G$92,"Peralatan dan mesin",'Daftar Koreksi'!$I$5:$I$92,"&lt;0")-SUMIFS('Daftar Koreksi'!$I$5:$I$92,'Daftar Koreksi'!$D$5:$D$92,'0100'!A224,'Daftar Koreksi'!$G$5:$G$92,"Peralatan dan mesin",'Daftar Koreksi'!$I$5:$I$92,"&lt;0")</f>
        <v>0</v>
      </c>
      <c r="G237" s="17">
        <f t="shared" si="10"/>
        <v>-4285741926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-3731783239</v>
      </c>
      <c r="E238" s="25">
        <f>SUMIFS('Daftar Koreksi'!$I$5:$I$92,'Daftar Koreksi'!$D$5:$D$92,'0100'!A224,'Daftar Koreksi'!$G$5:$G$92,"Gedung dan Bangunan",'Daftar Koreksi'!$I$5:$I$92,"&gt;0")</f>
        <v>0</v>
      </c>
      <c r="F238" s="25">
        <f>SUMIFS('Daftar Koreksi'!$I$5:$I$92,'Daftar Koreksi'!$D$5:$D$92,'0100'!A224,'Daftar Koreksi'!$G$5:$G$92,"Gedung dan Bangunan",'Daftar Koreksi'!$I$5:$I$92,"&lt;0")-SUMIFS('Daftar Koreksi'!$I$5:$I$92,'Daftar Koreksi'!$D$5:$D$92,'0100'!A224,'Daftar Koreksi'!$G$5:$G$92,"Gedung dan Bangunan",'Daftar Koreksi'!$I$5:$I$92,"&lt;0")-SUMIFS('Daftar Koreksi'!$I$5:$I$92,'Daftar Koreksi'!$D$5:$D$92,'0100'!A224,'Daftar Koreksi'!$G$5:$G$92,"Gedung dan Bangunan",'Daftar Koreksi'!$I$5:$I$92,"&lt;0")</f>
        <v>0</v>
      </c>
      <c r="G238" s="17">
        <f t="shared" si="10"/>
        <v>-3731783239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-5887500</v>
      </c>
      <c r="E239" s="25">
        <f>SUMIFS('Daftar Koreksi'!$I$5:$I$92,'Daftar Koreksi'!$D$5:$D$92,'0100'!A224,'Daftar Koreksi'!$G$5:$G$92,"Jalan Irigasi Jaringan",'Daftar Koreksi'!$I$5:$I$92,"&gt;0")</f>
        <v>0</v>
      </c>
      <c r="F239" s="25">
        <f>SUMIFS('Daftar Koreksi'!$I$5:$I$92,'Daftar Koreksi'!$D$5:$D$92,'0100'!A224,'Daftar Koreksi'!$G$5:$G$92,"Jalan Irigasi Jaringan",'Daftar Koreksi'!$I$5:$I$92,"&lt;0")-SUMIFS('Daftar Koreksi'!$I$5:$I$92,'Daftar Koreksi'!$D$5:$D$92,'0100'!A224,'Daftar Koreksi'!$G$5:$G$92,"Jalan Irigasi Jaringan",'Daftar Koreksi'!$I$5:$I$92,"&lt;0")-SUMIFS('Daftar Koreksi'!$I$5:$I$92,'Daftar Koreksi'!$D$5:$D$92,'0100'!A224,'Daftar Koreksi'!$G$5:$G$92,"Jalan Irigasi Jaringan",'Daftar Koreksi'!$I$5:$I$92,"&lt;0")</f>
        <v>0</v>
      </c>
      <c r="G239" s="17">
        <f t="shared" si="10"/>
        <v>-5887500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Koreksi'!$D$5:$D$92,'0100'!A224,'Daftar Koreksi'!$G$5:$G$92,"Aset Tetap Lainnya",'Daftar Koreksi'!$I$5:$I$92,"&gt;0")</f>
        <v>0</v>
      </c>
      <c r="F240" s="25">
        <f>SUMIFS('Daftar Koreksi'!$I$5:$I$92,'Daftar Koreksi'!$D$5:$D$92,'0100'!A224,'Daftar Koreksi'!$G$5:$G$92,"Aset Tetap Lainnya",'Daftar Koreksi'!$I$5:$I$92,"&lt;0")-SUMIFS('Daftar Koreksi'!$I$5:$I$92,'Daftar Koreksi'!$D$5:$D$92,'0100'!A224,'Daftar Koreksi'!$G$5:$G$92,"Aset Tetap Lainnya",'Daftar Koreksi'!$I$5:$I$92,"&lt;0")-SUMIFS('Daftar Koreksi'!$I$5:$I$92,'Daftar Koreksi'!$D$5:$D$92,'0100'!A224,'Daftar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-145847997</v>
      </c>
      <c r="E241" s="25">
        <f>SUMIFS('Daftar Koreksi'!$I$5:$I$92,'Daftar Koreksi'!$D$5:$D$92,'0100'!A224,'Daftar Koreksi'!$G$5:$G$92,"Aset Henti Guna",'Daftar Koreksi'!$I$5:$I$92,"&gt;0")</f>
        <v>0</v>
      </c>
      <c r="F241" s="25">
        <f>SUMIFS('Daftar Koreksi'!$I$5:$I$92,'Daftar Koreksi'!$D$5:$D$92,'0100'!A224,'Daftar Koreksi'!$G$5:$G$92,"Aset Henti Guna",'Daftar Koreksi'!$I$5:$I$92,"&lt;0")-SUMIFS('Daftar Koreksi'!$I$5:$I$92,'Daftar Koreksi'!$D$5:$D$92,'0100'!A224,'Daftar Koreksi'!$G$5:$G$92,"Aset Henti Guna",'Daftar Koreksi'!$I$5:$I$92,"&lt;0")-SUMIFS('Daftar Koreksi'!$I$5:$I$92,'Daftar Koreksi'!$D$5:$D$92,'0100'!A224,'Daftar Koreksi'!$G$5:$G$92,"Aset Henti Guna",'Daftar Koreksi'!$I$5:$I$92,"&lt;0")</f>
        <v>0</v>
      </c>
      <c r="G241" s="17">
        <f t="shared" si="10"/>
        <v>-145847997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-8169260662</v>
      </c>
      <c r="E242" s="19">
        <f>SUM(E237:E241)</f>
        <v>0</v>
      </c>
      <c r="F242" s="19">
        <f>SUM(F237:F241)</f>
        <v>0</v>
      </c>
      <c r="G242" s="19">
        <f t="shared" si="10"/>
        <v>-8169260662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38443472100</v>
      </c>
      <c r="E243" s="19">
        <f>E242+E236</f>
        <v>0</v>
      </c>
      <c r="F243" s="19">
        <f>F242+F236</f>
        <v>0</v>
      </c>
      <c r="G243" s="19">
        <f t="shared" si="10"/>
        <v>38443472100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005010100401112000KD</v>
      </c>
      <c r="B246" s="11" t="str">
        <f>P12</f>
        <v>PTA. Jakarta</v>
      </c>
      <c r="C246" s="12" t="str">
        <f>A246&amp;" "&amp;B246</f>
        <v>005010100401112000KD PTA. Jakarta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13290365</v>
      </c>
      <c r="E249" s="25">
        <f>SUMIFS('Daftar Koreksi'!$H$5:$H$92,'Daftar Koreksi'!$D$5:$D$92,'0100'!A246,'Daftar Koreksi'!$G$5:$G$92,"Persediaan",'Daftar Koreksi'!$H$5:$H$92,"&gt;0")</f>
        <v>0</v>
      </c>
      <c r="F249" s="25">
        <f>SUMIFS('Daftar Koreksi'!$H$5:$H$92,'Daftar Koreksi'!$D$5:$D$92,'0100'!A246,'Daftar Koreksi'!$G$5:$G$92,"Persediaan",'Daftar Koreksi'!$H$5:$H$92,"&lt;0")-SUMIFS('Daftar Koreksi'!$H$5:$H$92,'Daftar Koreksi'!$D$5:$D$92,'0100'!A246,'Daftar Koreksi'!$G$5:$G$92,"Persediaan",'Daftar Koreksi'!$H$5:$H$92,"&lt;0")-SUMIFS('Daftar Koreksi'!$H$5:$H$92,'Daftar Koreksi'!$D$5:$D$92,'0100'!A246,'Daftar Koreksi'!$G$5:$G$92,"Persediaan",'Daftar Koreksi'!$H$5:$H$92,"&lt;0")</f>
        <v>0</v>
      </c>
      <c r="G249" s="17">
        <f>D249+E249-F249</f>
        <v>13290365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3017079900</v>
      </c>
      <c r="E250" s="25">
        <f>SUMIFS('Daftar Koreksi'!$H$5:$H$92,'Daftar Koreksi'!$D$5:$D$92,'0100'!A246,'Daftar Koreksi'!$G$5:$G$92,"Tanah",'Daftar Koreksi'!$H$5:$H$92,"&gt;0")</f>
        <v>0</v>
      </c>
      <c r="F250" s="25">
        <f>SUMIFS('Daftar Koreksi'!$H$5:$H$92,'Daftar Koreksi'!$D$5:$D$92,'0100'!A246,'Daftar Koreksi'!$G$5:$G$92,"Tanah",'Daftar Koreksi'!$H$5:$H$92,"&lt;0")-SUMIFS('Daftar Koreksi'!$H$5:$H$92,'Daftar Koreksi'!$D$5:$D$92,'0100'!A246,'Daftar Koreksi'!$G$5:$G$92,"Tanah",'Daftar Koreksi'!$H$5:$H$92,"&lt;0")-SUMIFS('Daftar Koreksi'!$H$5:$H$92,'Daftar Koreksi'!$D$5:$D$92,'0100'!A246,'Daftar Koreksi'!$G$5:$G$92,"Tanah",'Daftar Koreksi'!$H$5:$H$92,"&lt;0")</f>
        <v>0</v>
      </c>
      <c r="G250" s="17">
        <f t="shared" ref="G250:G266" si="11">D250+E250-F250</f>
        <v>3017079900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3884258915</v>
      </c>
      <c r="E251" s="25">
        <f>SUMIFS('Daftar Koreksi'!$H$5:$H$92,'Daftar Koreksi'!$D$5:$D$92,'0100'!A246,'Daftar Koreksi'!$G$5:$G$92,"Peralatan dan mesin",'Daftar Koreksi'!$H$5:$H$92,"&gt;0")</f>
        <v>0</v>
      </c>
      <c r="F251" s="25">
        <f>SUMIFS('Daftar Koreksi'!$H$5:$H$92,'Daftar Koreksi'!$D$5:$D$92,'0100'!A246,'Daftar Koreksi'!$G$5:$G$92,"Peralatan dan mesin",'Daftar Koreksi'!$H$5:$H$92,"&lt;0")-SUMIFS('Daftar Koreksi'!$H$5:$H$92,'Daftar Koreksi'!$D$5:$D$92,'0100'!A246,'Daftar Koreksi'!$G$5:$G$92,"Peralatan dan mesin",'Daftar Koreksi'!$H$5:$H$92,"&lt;0")-SUMIFS('Daftar Koreksi'!$H$5:$H$92,'Daftar Koreksi'!$D$5:$D$92,'0100'!A246,'Daftar Koreksi'!$G$5:$G$92,"Peralatan dan mesin",'Daftar Koreksi'!$H$5:$H$92,"&lt;0")</f>
        <v>0</v>
      </c>
      <c r="G251" s="17">
        <f t="shared" si="11"/>
        <v>3884258915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3098700400</v>
      </c>
      <c r="E252" s="25">
        <f>SUMIFS('Daftar Koreksi'!$H$5:$H$92,'Daftar Koreksi'!$D$5:$D$92,'0100'!A246,'Daftar Koreksi'!$G$5:$G$92,"Gedung dan Bangunan",'Daftar Koreksi'!$H$5:$H$92,"&gt;0")</f>
        <v>0</v>
      </c>
      <c r="F252" s="25">
        <f>SUMIFS('Daftar Koreksi'!$H$5:$H$92,'Daftar Koreksi'!$D$5:$D$92,'0100'!A246,'Daftar Koreksi'!$G$5:$G$92,"Gedung dan Bangunan",'Daftar Koreksi'!$H$5:$H$92,"&lt;0")-SUMIFS('Daftar Koreksi'!$H$5:$H$92,'Daftar Koreksi'!$D$5:$D$92,'0100'!A246,'Daftar Koreksi'!$G$5:$G$92,"Gedung dan Bangunan",'Daftar Koreksi'!$H$5:$H$92,"&lt;0")-SUMIFS('Daftar Koreksi'!$H$5:$H$92,'Daftar Koreksi'!$D$5:$D$92,'0100'!A246,'Daftar Koreksi'!$G$5:$G$92,"Gedung dan Bangunan",'Daftar Koreksi'!$H$5:$H$92,"&lt;0")</f>
        <v>0</v>
      </c>
      <c r="G252" s="17">
        <f t="shared" si="11"/>
        <v>3098700400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49563000</v>
      </c>
      <c r="E253" s="25">
        <f>SUMIFS('Daftar Koreksi'!$H$5:$H$92,'Daftar Koreksi'!$D$5:$D$92,'0100'!A246,'Daftar Koreksi'!$G$5:$G$92,"Jalan Irigasi Jaringan",'Daftar Koreksi'!$H$5:$H$92,"&gt;0")</f>
        <v>0</v>
      </c>
      <c r="F253" s="25">
        <f>SUMIFS('Daftar Koreksi'!$H$5:$H$92,'Daftar Koreksi'!$D$5:$D$92,'0100'!A246,'Daftar Koreksi'!$G$5:$G$92,"Jalan Irigasi Jaringan",'Daftar Koreksi'!$H$5:$H$92,"&lt;0")-SUMIFS('Daftar Koreksi'!$H$5:$H$92,'Daftar Koreksi'!$D$5:$D$92,'0100'!A246,'Daftar Koreksi'!$G$5:$G$92,"Jalan Irigasi Jaringan",'Daftar Koreksi'!$H$5:$H$92,"&lt;0")-SUMIFS('Daftar Koreksi'!$H$5:$H$92,'Daftar Koreksi'!$D$5:$D$92,'0100'!A246,'Daftar Koreksi'!$G$5:$G$92,"Jalan Irigasi Jaringan",'Daftar Koreksi'!$H$5:$H$92,"&lt;0")</f>
        <v>0</v>
      </c>
      <c r="G253" s="17">
        <f t="shared" si="11"/>
        <v>49563000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16408646</v>
      </c>
      <c r="E254" s="25">
        <f>SUMIFS('Daftar Koreksi'!$H$5:$H$92,'Daftar Koreksi'!$D$5:$D$92,'0100'!A246,'Daftar Koreksi'!$G$5:$G$92,"Aset Tetap Lainnya",'Daftar Koreksi'!$H$5:$H$92,"&gt;0")</f>
        <v>0</v>
      </c>
      <c r="F254" s="25">
        <f>SUMIFS('Daftar Koreksi'!$H$5:$H$92,'Daftar Koreksi'!$D$5:$D$92,'0100'!A246,'Daftar Koreksi'!$G$5:$G$92,"Aset Tetap Lainnya",'Daftar Koreksi'!$H$5:$H$92,"&lt;0")-SUMIFS('Daftar Koreksi'!$H$5:$H$92,'Daftar Koreksi'!$D$5:$D$92,'0100'!A246,'Daftar Koreksi'!$G$5:$G$92,"Aset Tetap Lainnya",'Daftar Koreksi'!$H$5:$H$92,"&lt;0")-SUMIFS('Daftar Koreksi'!$H$5:$H$92,'Daftar Koreksi'!$D$5:$D$92,'0100'!A246,'Daftar Koreksi'!$G$5:$G$92,"Aset Tetap Lainnya",'Daftar Koreksi'!$H$5:$H$92,"&lt;0")</f>
        <v>0</v>
      </c>
      <c r="G254" s="17">
        <f t="shared" si="11"/>
        <v>16408646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Koreksi'!$D$5:$D$92,'0100'!A246,'Daftar Koreksi'!$G$5:$G$92,"Kontruksi Dalam Pengerjaan",'Daftar Koreksi'!$H$5:$H$92,"&gt;0")</f>
        <v>0</v>
      </c>
      <c r="F255" s="25">
        <f>SUMIFS('Daftar Koreksi'!$H$5:$H$92,'Daftar Koreksi'!$D$5:$D$92,'0100'!A246,'Daftar Koreksi'!$G$5:$G$92,"Kontruksi Dalam Pengerjaan",'Daftar Koreksi'!$H$5:$H$92,"&lt;0")-SUMIFS('Daftar Koreksi'!$H$5:$H$92,'Daftar Koreksi'!$D$5:$D$92,'0100'!A246,'Daftar Koreksi'!$G$5:$G$92,"Kontruksi Dalam Pengerjaan",'Daftar Koreksi'!$H$5:$H$92,"&lt;0")-SUMIFS('Daftar Koreksi'!$H$5:$H$92,'Daftar Koreksi'!$D$5:$D$92,'0100'!A246,'Daftar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34075000</v>
      </c>
      <c r="E256" s="25">
        <f>SUMIFS('Daftar Koreksi'!$H$5:$H$92,'Daftar Koreksi'!$D$5:$D$92,'0100'!A246,'Daftar Koreksi'!$G$5:$G$92,"Aset Tak Berwujud",'Daftar Koreksi'!$H$5:$H$92,"&gt;0")</f>
        <v>0</v>
      </c>
      <c r="F256" s="25">
        <f>SUMIFS('Daftar Koreksi'!$H$5:$H$92,'Daftar Koreksi'!$D$5:$D$92,'0100'!A246,'Daftar Koreksi'!$G$5:$G$92,"Aset Tak Berwujud",'Daftar Koreksi'!$H$5:$H$92,"&lt;0")-SUMIFS('Daftar Koreksi'!$H$5:$H$92,'Daftar Koreksi'!$D$5:$D$92,'0100'!A246,'Daftar Koreksi'!$G$5:$G$92,"Aset Tak Berwujud",'Daftar Koreksi'!$H$5:$H$92,"&lt;0")-SUMIFS('Daftar Koreksi'!$H$5:$H$92,'Daftar Koreksi'!$D$5:$D$92,'0100'!A246,'Daftar Koreksi'!$G$5:$G$92,"Aset Tak Berwujud",'Daftar Koreksi'!$H$5:$H$92,"&lt;0")</f>
        <v>0</v>
      </c>
      <c r="G256" s="17">
        <f t="shared" si="11"/>
        <v>34075000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179926000</v>
      </c>
      <c r="E257" s="25">
        <f>SUMIFS('Daftar Koreksi'!$H$5:$H$92,'Daftar Koreksi'!$D$5:$D$92,'0100'!A246,'Daftar Koreksi'!$G$5:$G$92,"Aset Henti Guna",'Daftar Koreksi'!$H$5:$H$92,"&gt;0")</f>
        <v>0</v>
      </c>
      <c r="F257" s="25">
        <f>SUMIFS('Daftar Koreksi'!$H$5:$H$92,'Daftar Koreksi'!$D$5:$D$92,'0100'!A246,'Daftar Koreksi'!$G$5:$G$92,"Aset Henti Guna",'Daftar Koreksi'!$H$5:$H$92,"&lt;0")-SUMIFS('Daftar Koreksi'!$H$5:$H$92,'Daftar Koreksi'!$D$5:$D$92,'0100'!A246,'Daftar Koreksi'!$G$5:$G$92,"Aset Henti Guna",'Daftar Koreksi'!$H$5:$H$92,"&lt;0")-SUMIFS('Daftar Koreksi'!$H$5:$H$92,'Daftar Koreksi'!$D$5:$D$92,'0100'!A246,'Daftar Koreksi'!$G$5:$G$92,"Aset Henti Guna",'Daftar Koreksi'!$H$5:$H$92,"&lt;0")</f>
        <v>0</v>
      </c>
      <c r="G257" s="17">
        <f t="shared" si="11"/>
        <v>179926000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10293302226</v>
      </c>
      <c r="E258" s="19">
        <f>SUM(E249:E257)</f>
        <v>0</v>
      </c>
      <c r="F258" s="19">
        <f>SUM(F249:F257)</f>
        <v>0</v>
      </c>
      <c r="G258" s="19">
        <f t="shared" si="11"/>
        <v>10293302226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-3567947012</v>
      </c>
      <c r="E259" s="25">
        <f>SUMIFS('Daftar Koreksi'!$I$5:$I$92,'Daftar Koreksi'!$D$5:$D$92,'0100'!A246,'Daftar Koreksi'!$G$5:$G$92,"Peralatan dan mesin",'Daftar Koreksi'!$I$5:$I$92,"&gt;0")</f>
        <v>0</v>
      </c>
      <c r="F259" s="25">
        <f>SUMIFS('Daftar Koreksi'!$I$5:$I$92,'Daftar Koreksi'!$D$5:$D$92,'0100'!A246,'Daftar Koreksi'!$G$5:$G$92,"Peralatan dan mesin",'Daftar Koreksi'!$I$5:$I$92,"&lt;0")-SUMIFS('Daftar Koreksi'!$I$5:$I$92,'Daftar Koreksi'!$D$5:$D$92,'0100'!A246,'Daftar Koreksi'!$G$5:$G$92,"Peralatan dan mesin",'Daftar Koreksi'!$I$5:$I$92,"&lt;0")-SUMIFS('Daftar Koreksi'!$I$5:$I$92,'Daftar Koreksi'!$D$5:$D$92,'0100'!A246,'Daftar Koreksi'!$G$5:$G$92,"Peralatan dan mesin",'Daftar Koreksi'!$I$5:$I$92,"&lt;0")</f>
        <v>0</v>
      </c>
      <c r="G259" s="17">
        <f t="shared" si="11"/>
        <v>-3567947012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-483105612</v>
      </c>
      <c r="E260" s="25">
        <f>SUMIFS('Daftar Koreksi'!$I$5:$I$92,'Daftar Koreksi'!$D$5:$D$92,'0100'!A246,'Daftar Koreksi'!$G$5:$G$92,"Gedung dan Bangunan",'Daftar Koreksi'!$I$5:$I$92,"&gt;0")</f>
        <v>0</v>
      </c>
      <c r="F260" s="25">
        <f>SUMIFS('Daftar Koreksi'!$I$5:$I$92,'Daftar Koreksi'!$D$5:$D$92,'0100'!A246,'Daftar Koreksi'!$G$5:$G$92,"Gedung dan Bangunan",'Daftar Koreksi'!$I$5:$I$92,"&lt;0")-SUMIFS('Daftar Koreksi'!$I$5:$I$92,'Daftar Koreksi'!$D$5:$D$92,'0100'!A246,'Daftar Koreksi'!$G$5:$G$92,"Gedung dan Bangunan",'Daftar Koreksi'!$I$5:$I$92,"&lt;0")-SUMIFS('Daftar Koreksi'!$I$5:$I$92,'Daftar Koreksi'!$D$5:$D$92,'0100'!A246,'Daftar Koreksi'!$G$5:$G$92,"Gedung dan Bangunan",'Daftar Koreksi'!$I$5:$I$92,"&lt;0")</f>
        <v>0</v>
      </c>
      <c r="G260" s="17">
        <f t="shared" si="11"/>
        <v>-483105612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-7434450</v>
      </c>
      <c r="E261" s="25">
        <f>SUMIFS('Daftar Koreksi'!$I$5:$I$92,'Daftar Koreksi'!$D$5:$D$92,'0100'!A246,'Daftar Koreksi'!$G$5:$G$92,"Jalan Irigasi Jaringan",'Daftar Koreksi'!$I$5:$I$92,"&gt;0")</f>
        <v>0</v>
      </c>
      <c r="F261" s="25">
        <f>SUMIFS('Daftar Koreksi'!$I$5:$I$92,'Daftar Koreksi'!$D$5:$D$92,'0100'!A246,'Daftar Koreksi'!$G$5:$G$92,"Jalan Irigasi Jaringan",'Daftar Koreksi'!$I$5:$I$92,"&lt;0")-SUMIFS('Daftar Koreksi'!$I$5:$I$92,'Daftar Koreksi'!$D$5:$D$92,'0100'!A246,'Daftar Koreksi'!$G$5:$G$92,"Jalan Irigasi Jaringan",'Daftar Koreksi'!$I$5:$I$92,"&lt;0")-SUMIFS('Daftar Koreksi'!$I$5:$I$92,'Daftar Koreksi'!$D$5:$D$92,'0100'!A246,'Daftar Koreksi'!$G$5:$G$92,"Jalan Irigasi Jaringan",'Daftar Koreksi'!$I$5:$I$92,"&lt;0")</f>
        <v>0</v>
      </c>
      <c r="G261" s="17">
        <f t="shared" si="11"/>
        <v>-7434450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Koreksi'!$D$5:$D$92,'0100'!A246,'Daftar Koreksi'!$G$5:$G$92,"Aset Tetap Lainnya",'Daftar Koreksi'!$I$5:$I$92,"&gt;0")</f>
        <v>0</v>
      </c>
      <c r="F262" s="25">
        <f>SUMIFS('Daftar Koreksi'!$I$5:$I$92,'Daftar Koreksi'!$D$5:$D$92,'0100'!A246,'Daftar Koreksi'!$G$5:$G$92,"Aset Tetap Lainnya",'Daftar Koreksi'!$I$5:$I$92,"&lt;0")-SUMIFS('Daftar Koreksi'!$I$5:$I$92,'Daftar Koreksi'!$D$5:$D$92,'0100'!A246,'Daftar Koreksi'!$G$5:$G$92,"Aset Tetap Lainnya",'Daftar Koreksi'!$I$5:$I$92,"&lt;0")-SUMIFS('Daftar Koreksi'!$I$5:$I$92,'Daftar Koreksi'!$D$5:$D$92,'0100'!A246,'Daftar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-179926000</v>
      </c>
      <c r="E263" s="25">
        <f>SUMIFS('Daftar Koreksi'!$I$5:$I$92,'Daftar Koreksi'!$D$5:$D$92,'0100'!A246,'Daftar Koreksi'!$G$5:$G$92,"Aset Henti Guna",'Daftar Koreksi'!$I$5:$I$92,"&gt;0")</f>
        <v>0</v>
      </c>
      <c r="F263" s="25">
        <f>SUMIFS('Daftar Koreksi'!$I$5:$I$92,'Daftar Koreksi'!$D$5:$D$92,'0100'!A246,'Daftar Koreksi'!$G$5:$G$92,"Aset Henti Guna",'Daftar Koreksi'!$I$5:$I$92,"&lt;0")-SUMIFS('Daftar Koreksi'!$I$5:$I$92,'Daftar Koreksi'!$D$5:$D$92,'0100'!A246,'Daftar Koreksi'!$G$5:$G$92,"Aset Henti Guna",'Daftar Koreksi'!$I$5:$I$92,"&lt;0")-SUMIFS('Daftar Koreksi'!$I$5:$I$92,'Daftar Koreksi'!$D$5:$D$92,'0100'!A246,'Daftar Koreksi'!$G$5:$G$92,"Aset Henti Guna",'Daftar Koreksi'!$I$5:$I$92,"&lt;0")</f>
        <v>0</v>
      </c>
      <c r="G263" s="17">
        <f t="shared" si="11"/>
        <v>-179926000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-4238413074</v>
      </c>
      <c r="E264" s="19">
        <f>SUM(E259:E263)</f>
        <v>0</v>
      </c>
      <c r="F264" s="19">
        <f>SUM(F259:F263)</f>
        <v>0</v>
      </c>
      <c r="G264" s="19">
        <f t="shared" si="11"/>
        <v>-4238413074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6054889152</v>
      </c>
      <c r="E265" s="19">
        <f>E264+E258</f>
        <v>0</v>
      </c>
      <c r="F265" s="19">
        <f>F264+F258</f>
        <v>0</v>
      </c>
      <c r="G265" s="19">
        <f t="shared" si="11"/>
        <v>6054889152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005010100526704000KD</v>
      </c>
      <c r="B268" s="11" t="str">
        <f>P13</f>
        <v>PT. TUN. Jakarta</v>
      </c>
      <c r="C268" s="12" t="str">
        <f>A268&amp;" "&amp;B268</f>
        <v>005010100526704000KD PT. TUN. Jakarta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15237408</v>
      </c>
      <c r="E271" s="25">
        <f>SUMIFS('Daftar Koreksi'!$H$5:$H$92,'Daftar Koreksi'!$D$5:$D$92,'0100'!A268,'Daftar Koreksi'!$G$5:$G$92,"Persediaan",'Daftar Koreksi'!$H$5:$H$92,"&gt;0")</f>
        <v>0</v>
      </c>
      <c r="F271" s="25">
        <f>SUMIFS('Daftar Koreksi'!$H$5:$H$92,'Daftar Koreksi'!$D$5:$D$92,'0100'!A268,'Daftar Koreksi'!$G$5:$G$92,"Persediaan",'Daftar Koreksi'!$H$5:$H$92,"&lt;0")-SUMIFS('Daftar Koreksi'!$H$5:$H$92,'Daftar Koreksi'!$D$5:$D$92,'0100'!A268,'Daftar Koreksi'!$G$5:$G$92,"Persediaan",'Daftar Koreksi'!$H$5:$H$92,"&lt;0")-SUMIFS('Daftar Koreksi'!$H$5:$H$92,'Daftar Koreksi'!$D$5:$D$92,'0100'!A268,'Daftar Koreksi'!$G$5:$G$92,"Persediaan",'Daftar Koreksi'!$H$5:$H$92,"&lt;0")</f>
        <v>0</v>
      </c>
      <c r="G271" s="17">
        <f>D271+E271-F271</f>
        <v>15237408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15547908000</v>
      </c>
      <c r="E272" s="25">
        <f>SUMIFS('Daftar Koreksi'!$H$5:$H$92,'Daftar Koreksi'!$D$5:$D$92,'0100'!A268,'Daftar Koreksi'!$G$5:$G$92,"Tanah",'Daftar Koreksi'!$H$5:$H$92,"&gt;0")</f>
        <v>0</v>
      </c>
      <c r="F272" s="25">
        <f>SUMIFS('Daftar Koreksi'!$H$5:$H$92,'Daftar Koreksi'!$D$5:$D$92,'0100'!A268,'Daftar Koreksi'!$G$5:$G$92,"Tanah",'Daftar Koreksi'!$H$5:$H$92,"&lt;0")-SUMIFS('Daftar Koreksi'!$H$5:$H$92,'Daftar Koreksi'!$D$5:$D$92,'0100'!A268,'Daftar Koreksi'!$G$5:$G$92,"Tanah",'Daftar Koreksi'!$H$5:$H$92,"&lt;0")-SUMIFS('Daftar Koreksi'!$H$5:$H$92,'Daftar Koreksi'!$D$5:$D$92,'0100'!A268,'Daftar Koreksi'!$G$5:$G$92,"Tanah",'Daftar Koreksi'!$H$5:$H$92,"&lt;0")</f>
        <v>0</v>
      </c>
      <c r="G272" s="17">
        <f t="shared" ref="G272:G288" si="12">D272+E272-F272</f>
        <v>15547908000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4008514129</v>
      </c>
      <c r="E273" s="25">
        <f>SUMIFS('Daftar Koreksi'!$H$5:$H$92,'Daftar Koreksi'!$D$5:$D$92,'0100'!A268,'Daftar Koreksi'!$G$5:$G$92,"Peralatan dan mesin",'Daftar Koreksi'!$H$5:$H$92,"&gt;0")</f>
        <v>0</v>
      </c>
      <c r="F273" s="25">
        <f>SUMIFS('Daftar Koreksi'!$H$5:$H$92,'Daftar Koreksi'!$D$5:$D$92,'0100'!A268,'Daftar Koreksi'!$G$5:$G$92,"Peralatan dan mesin",'Daftar Koreksi'!$H$5:$H$92,"&lt;0")-SUMIFS('Daftar Koreksi'!$H$5:$H$92,'Daftar Koreksi'!$D$5:$D$92,'0100'!A268,'Daftar Koreksi'!$G$5:$G$92,"Peralatan dan mesin",'Daftar Koreksi'!$H$5:$H$92,"&lt;0")-SUMIFS('Daftar Koreksi'!$H$5:$H$92,'Daftar Koreksi'!$D$5:$D$92,'0100'!A268,'Daftar Koreksi'!$G$5:$G$92,"Peralatan dan mesin",'Daftar Koreksi'!$H$5:$H$92,"&lt;0")</f>
        <v>0</v>
      </c>
      <c r="G273" s="17">
        <f t="shared" si="12"/>
        <v>4008514129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32084843600</v>
      </c>
      <c r="E274" s="25">
        <f>SUMIFS('Daftar Koreksi'!$H$5:$H$92,'Daftar Koreksi'!$D$5:$D$92,'0100'!A268,'Daftar Koreksi'!$G$5:$G$92,"Gedung dan Bangunan",'Daftar Koreksi'!$H$5:$H$92,"&gt;0")</f>
        <v>0</v>
      </c>
      <c r="F274" s="25">
        <f>SUMIFS('Daftar Koreksi'!$H$5:$H$92,'Daftar Koreksi'!$D$5:$D$92,'0100'!A268,'Daftar Koreksi'!$G$5:$G$92,"Gedung dan Bangunan",'Daftar Koreksi'!$H$5:$H$92,"&lt;0")-SUMIFS('Daftar Koreksi'!$H$5:$H$92,'Daftar Koreksi'!$D$5:$D$92,'0100'!A268,'Daftar Koreksi'!$G$5:$G$92,"Gedung dan Bangunan",'Daftar Koreksi'!$H$5:$H$92,"&lt;0")-SUMIFS('Daftar Koreksi'!$H$5:$H$92,'Daftar Koreksi'!$D$5:$D$92,'0100'!A268,'Daftar Koreksi'!$G$5:$G$92,"Gedung dan Bangunan",'Daftar Koreksi'!$H$5:$H$92,"&lt;0")</f>
        <v>0</v>
      </c>
      <c r="G274" s="17">
        <f t="shared" si="12"/>
        <v>32084843600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369835000</v>
      </c>
      <c r="E275" s="25">
        <f>SUMIFS('Daftar Koreksi'!$H$5:$H$92,'Daftar Koreksi'!$D$5:$D$92,'0100'!A268,'Daftar Koreksi'!$G$5:$G$92,"Jalan Irigasi Jaringan",'Daftar Koreksi'!$H$5:$H$92,"&gt;0")</f>
        <v>0</v>
      </c>
      <c r="F275" s="25">
        <f>SUMIFS('Daftar Koreksi'!$H$5:$H$92,'Daftar Koreksi'!$D$5:$D$92,'0100'!A268,'Daftar Koreksi'!$G$5:$G$92,"Jalan Irigasi Jaringan",'Daftar Koreksi'!$H$5:$H$92,"&lt;0")-SUMIFS('Daftar Koreksi'!$H$5:$H$92,'Daftar Koreksi'!$D$5:$D$92,'0100'!A268,'Daftar Koreksi'!$G$5:$G$92,"Jalan Irigasi Jaringan",'Daftar Koreksi'!$H$5:$H$92,"&lt;0")-SUMIFS('Daftar Koreksi'!$H$5:$H$92,'Daftar Koreksi'!$D$5:$D$92,'0100'!A268,'Daftar Koreksi'!$G$5:$G$92,"Jalan Irigasi Jaringan",'Daftar Koreksi'!$H$5:$H$92,"&lt;0")</f>
        <v>0</v>
      </c>
      <c r="G275" s="17">
        <f t="shared" si="12"/>
        <v>369835000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12506576</v>
      </c>
      <c r="E276" s="25">
        <f>SUMIFS('Daftar Koreksi'!$H$5:$H$92,'Daftar Koreksi'!$D$5:$D$92,'0100'!A268,'Daftar Koreksi'!$G$5:$G$92,"Aset Tetap Lainnya",'Daftar Koreksi'!$H$5:$H$92,"&gt;0")</f>
        <v>0</v>
      </c>
      <c r="F276" s="25">
        <f>SUMIFS('Daftar Koreksi'!$H$5:$H$92,'Daftar Koreksi'!$D$5:$D$92,'0100'!A268,'Daftar Koreksi'!$G$5:$G$92,"Aset Tetap Lainnya",'Daftar Koreksi'!$H$5:$H$92,"&lt;0")-SUMIFS('Daftar Koreksi'!$H$5:$H$92,'Daftar Koreksi'!$D$5:$D$92,'0100'!A268,'Daftar Koreksi'!$G$5:$G$92,"Aset Tetap Lainnya",'Daftar Koreksi'!$H$5:$H$92,"&lt;0")-SUMIFS('Daftar Koreksi'!$H$5:$H$92,'Daftar Koreksi'!$D$5:$D$92,'0100'!A268,'Daftar Koreksi'!$G$5:$G$92,"Aset Tetap Lainnya",'Daftar Koreksi'!$H$5:$H$92,"&lt;0")</f>
        <v>0</v>
      </c>
      <c r="G276" s="17">
        <f t="shared" si="12"/>
        <v>12506576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Koreksi'!$D$5:$D$92,'0100'!A268,'Daftar Koreksi'!$G$5:$G$92,"Kontruksi Dalam Pengerjaan",'Daftar Koreksi'!$H$5:$H$92,"&gt;0")</f>
        <v>0</v>
      </c>
      <c r="F277" s="25">
        <f>SUMIFS('Daftar Koreksi'!$H$5:$H$92,'Daftar Koreksi'!$D$5:$D$92,'0100'!A268,'Daftar Koreksi'!$G$5:$G$92,"Kontruksi Dalam Pengerjaan",'Daftar Koreksi'!$H$5:$H$92,"&lt;0")-SUMIFS('Daftar Koreksi'!$H$5:$H$92,'Daftar Koreksi'!$D$5:$D$92,'0100'!A268,'Daftar Koreksi'!$G$5:$G$92,"Kontruksi Dalam Pengerjaan",'Daftar Koreksi'!$H$5:$H$92,"&lt;0")-SUMIFS('Daftar Koreksi'!$H$5:$H$92,'Daftar Koreksi'!$D$5:$D$92,'0100'!A268,'Daftar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14850000</v>
      </c>
      <c r="E278" s="25">
        <f>SUMIFS('Daftar Koreksi'!$H$5:$H$92,'Daftar Koreksi'!$D$5:$D$92,'0100'!A268,'Daftar Koreksi'!$G$5:$G$92,"Aset Tak Berwujud",'Daftar Koreksi'!$H$5:$H$92,"&gt;0")</f>
        <v>0</v>
      </c>
      <c r="F278" s="25">
        <f>SUMIFS('Daftar Koreksi'!$H$5:$H$92,'Daftar Koreksi'!$D$5:$D$92,'0100'!A268,'Daftar Koreksi'!$G$5:$G$92,"Aset Tak Berwujud",'Daftar Koreksi'!$H$5:$H$92,"&lt;0")-SUMIFS('Daftar Koreksi'!$H$5:$H$92,'Daftar Koreksi'!$D$5:$D$92,'0100'!A268,'Daftar Koreksi'!$G$5:$G$92,"Aset Tak Berwujud",'Daftar Koreksi'!$H$5:$H$92,"&lt;0")-SUMIFS('Daftar Koreksi'!$H$5:$H$92,'Daftar Koreksi'!$D$5:$D$92,'0100'!A268,'Daftar Koreksi'!$G$5:$G$92,"Aset Tak Berwujud",'Daftar Koreksi'!$H$5:$H$92,"&lt;0")</f>
        <v>0</v>
      </c>
      <c r="G278" s="17">
        <f t="shared" si="12"/>
        <v>14850000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100556700</v>
      </c>
      <c r="E279" s="25">
        <f>SUMIFS('Daftar Koreksi'!$H$5:$H$92,'Daftar Koreksi'!$D$5:$D$92,'0100'!A268,'Daftar Koreksi'!$G$5:$G$92,"Aset Henti Guna",'Daftar Koreksi'!$H$5:$H$92,"&gt;0")</f>
        <v>0</v>
      </c>
      <c r="F279" s="25">
        <f>SUMIFS('Daftar Koreksi'!$H$5:$H$92,'Daftar Koreksi'!$D$5:$D$92,'0100'!A268,'Daftar Koreksi'!$G$5:$G$92,"Aset Henti Guna",'Daftar Koreksi'!$H$5:$H$92,"&lt;0")-SUMIFS('Daftar Koreksi'!$H$5:$H$92,'Daftar Koreksi'!$D$5:$D$92,'0100'!A268,'Daftar Koreksi'!$G$5:$G$92,"Aset Henti Guna",'Daftar Koreksi'!$H$5:$H$92,"&lt;0")-SUMIFS('Daftar Koreksi'!$H$5:$H$92,'Daftar Koreksi'!$D$5:$D$92,'0100'!A268,'Daftar Koreksi'!$G$5:$G$92,"Aset Henti Guna",'Daftar Koreksi'!$H$5:$H$92,"&lt;0")</f>
        <v>0</v>
      </c>
      <c r="G279" s="17">
        <f t="shared" si="12"/>
        <v>100556700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52154251413</v>
      </c>
      <c r="E280" s="19">
        <f>SUM(E271:E279)</f>
        <v>0</v>
      </c>
      <c r="F280" s="19">
        <f>SUM(F271:F279)</f>
        <v>0</v>
      </c>
      <c r="G280" s="19">
        <f t="shared" si="12"/>
        <v>52154251413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-2963499104</v>
      </c>
      <c r="E281" s="25">
        <f>SUMIFS('Daftar Koreksi'!$I$5:$I$92,'Daftar Koreksi'!$D$5:$D$92,'0100'!A268,'Daftar Koreksi'!$G$5:$G$92,"Peralatan dan mesin",'Daftar Koreksi'!$I$5:$I$92,"&gt;0")</f>
        <v>0</v>
      </c>
      <c r="F281" s="25">
        <f>SUMIFS('Daftar Koreksi'!$I$5:$I$92,'Daftar Koreksi'!$D$5:$D$92,'0100'!A268,'Daftar Koreksi'!$G$5:$G$92,"Peralatan dan mesin",'Daftar Koreksi'!$I$5:$I$92,"&lt;0")-SUMIFS('Daftar Koreksi'!$I$5:$I$92,'Daftar Koreksi'!$D$5:$D$92,'0100'!A268,'Daftar Koreksi'!$G$5:$G$92,"Peralatan dan mesin",'Daftar Koreksi'!$I$5:$I$92,"&lt;0")-SUMIFS('Daftar Koreksi'!$I$5:$I$92,'Daftar Koreksi'!$D$5:$D$92,'0100'!A268,'Daftar Koreksi'!$G$5:$G$92,"Peralatan dan mesin",'Daftar Koreksi'!$I$5:$I$92,"&lt;0")</f>
        <v>0</v>
      </c>
      <c r="G281" s="17">
        <f t="shared" si="12"/>
        <v>-2963499104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-995556056</v>
      </c>
      <c r="E282" s="25">
        <f>SUMIFS('Daftar Koreksi'!$I$5:$I$92,'Daftar Koreksi'!$D$5:$D$92,'0100'!A268,'Daftar Koreksi'!$G$5:$G$92,"Gedung dan Bangunan",'Daftar Koreksi'!$I$5:$I$92,"&gt;0")</f>
        <v>0</v>
      </c>
      <c r="F282" s="25">
        <f>SUMIFS('Daftar Koreksi'!$I$5:$I$92,'Daftar Koreksi'!$D$5:$D$92,'0100'!A268,'Daftar Koreksi'!$G$5:$G$92,"Gedung dan Bangunan",'Daftar Koreksi'!$I$5:$I$92,"&lt;0")-SUMIFS('Daftar Koreksi'!$I$5:$I$92,'Daftar Koreksi'!$D$5:$D$92,'0100'!A268,'Daftar Koreksi'!$G$5:$G$92,"Gedung dan Bangunan",'Daftar Koreksi'!$I$5:$I$92,"&lt;0")-SUMIFS('Daftar Koreksi'!$I$5:$I$92,'Daftar Koreksi'!$D$5:$D$92,'0100'!A268,'Daftar Koreksi'!$G$5:$G$92,"Gedung dan Bangunan",'Daftar Koreksi'!$I$5:$I$92,"&lt;0")</f>
        <v>0</v>
      </c>
      <c r="G282" s="17">
        <f t="shared" si="12"/>
        <v>-995556056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-58667161</v>
      </c>
      <c r="E283" s="25">
        <f>SUMIFS('Daftar Koreksi'!$I$5:$I$92,'Daftar Koreksi'!$D$5:$D$92,'0100'!A268,'Daftar Koreksi'!$G$5:$G$92,"Jalan Irigasi Jaringan",'Daftar Koreksi'!$I$5:$I$92,"&gt;0")</f>
        <v>0</v>
      </c>
      <c r="F283" s="25">
        <f>SUMIFS('Daftar Koreksi'!$I$5:$I$92,'Daftar Koreksi'!$D$5:$D$92,'0100'!A268,'Daftar Koreksi'!$G$5:$G$92,"Jalan Irigasi Jaringan",'Daftar Koreksi'!$I$5:$I$92,"&lt;0")-SUMIFS('Daftar Koreksi'!$I$5:$I$92,'Daftar Koreksi'!$D$5:$D$92,'0100'!A268,'Daftar Koreksi'!$G$5:$G$92,"Jalan Irigasi Jaringan",'Daftar Koreksi'!$I$5:$I$92,"&lt;0")-SUMIFS('Daftar Koreksi'!$I$5:$I$92,'Daftar Koreksi'!$D$5:$D$92,'0100'!A268,'Daftar Koreksi'!$G$5:$G$92,"Jalan Irigasi Jaringan",'Daftar Koreksi'!$I$5:$I$92,"&lt;0")</f>
        <v>0</v>
      </c>
      <c r="G283" s="17">
        <f t="shared" si="12"/>
        <v>-58667161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Koreksi'!$D$5:$D$92,'0100'!A268,'Daftar Koreksi'!$G$5:$G$92,"Aset Tetap Lainnya",'Daftar Koreksi'!$I$5:$I$92,"&gt;0")</f>
        <v>0</v>
      </c>
      <c r="F284" s="25">
        <f>SUMIFS('Daftar Koreksi'!$I$5:$I$92,'Daftar Koreksi'!$D$5:$D$92,'0100'!A268,'Daftar Koreksi'!$G$5:$G$92,"Aset Tetap Lainnya",'Daftar Koreksi'!$I$5:$I$92,"&lt;0")-SUMIFS('Daftar Koreksi'!$I$5:$I$92,'Daftar Koreksi'!$D$5:$D$92,'0100'!A268,'Daftar Koreksi'!$G$5:$G$92,"Aset Tetap Lainnya",'Daftar Koreksi'!$I$5:$I$92,"&lt;0")-SUMIFS('Daftar Koreksi'!$I$5:$I$92,'Daftar Koreksi'!$D$5:$D$92,'0100'!A268,'Daftar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-100556700</v>
      </c>
      <c r="E285" s="25">
        <f>SUMIFS('Daftar Koreksi'!$I$5:$I$92,'Daftar Koreksi'!$D$5:$D$92,'0100'!A268,'Daftar Koreksi'!$G$5:$G$92,"Aset Henti Guna",'Daftar Koreksi'!$I$5:$I$92,"&gt;0")</f>
        <v>0</v>
      </c>
      <c r="F285" s="25">
        <f>SUMIFS('Daftar Koreksi'!$I$5:$I$92,'Daftar Koreksi'!$D$5:$D$92,'0100'!A268,'Daftar Koreksi'!$G$5:$G$92,"Aset Henti Guna",'Daftar Koreksi'!$I$5:$I$92,"&lt;0")-SUMIFS('Daftar Koreksi'!$I$5:$I$92,'Daftar Koreksi'!$D$5:$D$92,'0100'!A268,'Daftar Koreksi'!$G$5:$G$92,"Aset Henti Guna",'Daftar Koreksi'!$I$5:$I$92,"&lt;0")-SUMIFS('Daftar Koreksi'!$I$5:$I$92,'Daftar Koreksi'!$D$5:$D$92,'0100'!A268,'Daftar Koreksi'!$G$5:$G$92,"Aset Henti Guna",'Daftar Koreksi'!$I$5:$I$92,"&lt;0")</f>
        <v>0</v>
      </c>
      <c r="G285" s="17">
        <f t="shared" si="12"/>
        <v>-100556700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-4118279021</v>
      </c>
      <c r="E286" s="19">
        <f>SUM(E281:E285)</f>
        <v>0</v>
      </c>
      <c r="F286" s="19">
        <f>SUM(F281:F285)</f>
        <v>0</v>
      </c>
      <c r="G286" s="19">
        <f t="shared" si="12"/>
        <v>-4118279021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48035972392</v>
      </c>
      <c r="E287" s="19">
        <f>E286+E280</f>
        <v>0</v>
      </c>
      <c r="F287" s="19">
        <f>F286+F280</f>
        <v>0</v>
      </c>
      <c r="G287" s="19">
        <f t="shared" si="12"/>
        <v>48035972392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10" ht="19.5" customHeight="1">
      <c r="A290" s="11" t="str">
        <f>O14</f>
        <v>005010100526732000KD</v>
      </c>
      <c r="B290" s="11" t="str">
        <f>P14</f>
        <v>PTUN. Jakarta</v>
      </c>
      <c r="C290" s="12" t="str">
        <f>A290&amp;" "&amp;B290</f>
        <v>005010100526732000KD PTUN. Jakarta</v>
      </c>
      <c r="D290" s="13"/>
      <c r="E290" s="13"/>
      <c r="F290" s="13"/>
      <c r="G290" s="13"/>
      <c r="H290" s="11"/>
    </row>
    <row r="291" spans="1:10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10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10" ht="21.95" customHeight="1">
      <c r="A293" s="14"/>
      <c r="B293" s="14"/>
      <c r="C293" s="16" t="s">
        <v>1165</v>
      </c>
      <c r="D293" s="17">
        <f>VLOOKUP(A290,'Neraca Unaudited SIMAK'!$A$2:$S$10004,3,FALSE)</f>
        <v>12615975</v>
      </c>
      <c r="E293" s="25">
        <f>SUMIFS('Daftar Koreksi'!$H$5:$H$92,'Daftar Koreksi'!$D$5:$D$92,'0100'!A290,'Daftar Koreksi'!$G$5:$G$92,"Persediaan",'Daftar Koreksi'!$H$5:$H$92,"&gt;0")</f>
        <v>0</v>
      </c>
      <c r="F293" s="25">
        <f>SUMIFS('Daftar Koreksi'!$H$5:$H$92,'Daftar Koreksi'!$D$5:$D$92,'0100'!A290,'Daftar Koreksi'!$G$5:$G$92,"Persediaan",'Daftar Koreksi'!$H$5:$H$92,"&lt;0")-SUMIFS('Daftar Koreksi'!$H$5:$H$92,'Daftar Koreksi'!$D$5:$D$92,'0100'!A290,'Daftar Koreksi'!$G$5:$G$92,"Persediaan",'Daftar Koreksi'!$H$5:$H$92,"&lt;0")-SUMIFS('Daftar Koreksi'!$H$5:$H$92,'Daftar Koreksi'!$D$5:$D$92,'0100'!A290,'Daftar Koreksi'!$G$5:$G$92,"Persediaan",'Daftar Koreksi'!$H$5:$H$92,"&lt;0")</f>
        <v>0</v>
      </c>
      <c r="G293" s="17">
        <f>D293+E293-F293</f>
        <v>12615975</v>
      </c>
      <c r="H293" s="121" t="str">
        <f>IF(ISNA(VLOOKUP(A290,'Mutasi Neraca'!$A$3:$S$914,19,FALSE)),"-",VLOOKUP(A290,'Mutasi Neraca'!$A$3:$S$914,19,FALSE))</f>
        <v>-</v>
      </c>
      <c r="I293" s="36"/>
      <c r="J293" s="36"/>
    </row>
    <row r="294" spans="1:10" ht="21.95" customHeight="1">
      <c r="A294" s="14"/>
      <c r="B294" s="14"/>
      <c r="C294" s="16" t="s">
        <v>1166</v>
      </c>
      <c r="D294" s="17">
        <f>VLOOKUP(A290,'Neraca Unaudited SIMAK'!$A$2:$S$10004,4,FALSE)</f>
        <v>10149656000</v>
      </c>
      <c r="E294" s="25">
        <f>SUMIFS('Daftar Koreksi'!$H$5:$H$92,'Daftar Koreksi'!$D$5:$D$92,'0100'!A290,'Daftar Koreksi'!$G$5:$G$92,"Tanah",'Daftar Koreksi'!$H$5:$H$92,"&gt;0")</f>
        <v>0</v>
      </c>
      <c r="F294" s="25">
        <f>SUMIFS('Daftar Koreksi'!$H$5:$H$92,'Daftar Koreksi'!$D$5:$D$92,'0100'!A290,'Daftar Koreksi'!$G$5:$G$92,"Tanah",'Daftar Koreksi'!$H$5:$H$92,"&lt;0")-SUMIFS('Daftar Koreksi'!$H$5:$H$92,'Daftar Koreksi'!$D$5:$D$92,'0100'!A290,'Daftar Koreksi'!$G$5:$G$92,"Tanah",'Daftar Koreksi'!$H$5:$H$92,"&lt;0")-SUMIFS('Daftar Koreksi'!$H$5:$H$92,'Daftar Koreksi'!$D$5:$D$92,'0100'!A290,'Daftar Koreksi'!$G$5:$G$92,"Tanah",'Daftar Koreksi'!$H$5:$H$92,"&lt;0")</f>
        <v>0</v>
      </c>
      <c r="G294" s="17">
        <f t="shared" ref="G294:G310" si="13">D294+E294-F294</f>
        <v>10149656000</v>
      </c>
      <c r="H294" s="122"/>
      <c r="I294" s="36"/>
      <c r="J294" s="36"/>
    </row>
    <row r="295" spans="1:10" ht="21.95" customHeight="1">
      <c r="A295" s="14"/>
      <c r="B295" s="14"/>
      <c r="C295" s="16" t="s">
        <v>1167</v>
      </c>
      <c r="D295" s="17">
        <f>VLOOKUP(A290,'Neraca Unaudited SIMAK'!$A$2:$S$10004,5,FALSE)</f>
        <v>3074124990</v>
      </c>
      <c r="E295" s="25">
        <f>SUMIFS('Daftar Koreksi'!$H$5:$H$92,'Daftar Koreksi'!$D$5:$D$92,'0100'!A290,'Daftar Koreksi'!$G$5:$G$92,"Peralatan dan mesin",'Daftar Koreksi'!$H$5:$H$92,"&gt;0")</f>
        <v>0</v>
      </c>
      <c r="F295" s="25">
        <f>SUMIFS('Daftar Koreksi'!$H$5:$H$92,'Daftar Koreksi'!$D$5:$D$92,'0100'!A290,'Daftar Koreksi'!$G$5:$G$92,"Peralatan dan mesin",'Daftar Koreksi'!$H$5:$H$92,"&lt;0")-SUMIFS('Daftar Koreksi'!$H$5:$H$92,'Daftar Koreksi'!$D$5:$D$92,'0100'!A290,'Daftar Koreksi'!$G$5:$G$92,"Peralatan dan mesin",'Daftar Koreksi'!$H$5:$H$92,"&lt;0")-SUMIFS('Daftar Koreksi'!$H$5:$H$92,'Daftar Koreksi'!$D$5:$D$92,'0100'!A290,'Daftar Koreksi'!$G$5:$G$92,"Peralatan dan mesin",'Daftar Koreksi'!$H$5:$H$92,"&lt;0")</f>
        <v>0</v>
      </c>
      <c r="G295" s="17">
        <f t="shared" si="13"/>
        <v>3074124990</v>
      </c>
      <c r="H295" s="122"/>
      <c r="I295" s="36"/>
      <c r="J295" s="36"/>
    </row>
    <row r="296" spans="1:10" ht="21.95" customHeight="1">
      <c r="A296" s="14"/>
      <c r="B296" s="14"/>
      <c r="C296" s="16" t="s">
        <v>1168</v>
      </c>
      <c r="D296" s="17">
        <f>VLOOKUP(A290,'Neraca Unaudited SIMAK'!$A$2:$S$10004,6,FALSE)</f>
        <v>5910777430</v>
      </c>
      <c r="E296" s="25">
        <f>SUMIFS('Daftar Koreksi'!$H$5:$H$92,'Daftar Koreksi'!$D$5:$D$92,'0100'!A290,'Daftar Koreksi'!$G$5:$G$92,"Gedung dan Bangunan",'Daftar Koreksi'!$H$5:$H$92,"&gt;0")</f>
        <v>0</v>
      </c>
      <c r="F296" s="25">
        <f>SUMIFS('Daftar Koreksi'!$H$5:$H$92,'Daftar Koreksi'!$D$5:$D$92,'0100'!A290,'Daftar Koreksi'!$G$5:$G$92,"Gedung dan Bangunan",'Daftar Koreksi'!$H$5:$H$92,"&lt;0")-SUMIFS('Daftar Koreksi'!$H$5:$H$92,'Daftar Koreksi'!$D$5:$D$92,'0100'!A290,'Daftar Koreksi'!$G$5:$G$92,"Gedung dan Bangunan",'Daftar Koreksi'!$H$5:$H$92,"&lt;0")-SUMIFS('Daftar Koreksi'!$H$5:$H$92,'Daftar Koreksi'!$D$5:$D$92,'0100'!A290,'Daftar Koreksi'!$G$5:$G$92,"Gedung dan Bangunan",'Daftar Koreksi'!$H$5:$H$92,"&lt;0")</f>
        <v>0</v>
      </c>
      <c r="G296" s="17">
        <f t="shared" si="13"/>
        <v>5910777430</v>
      </c>
      <c r="H296" s="122"/>
      <c r="I296" s="36"/>
      <c r="J296" s="36"/>
    </row>
    <row r="297" spans="1:10" ht="21.95" customHeight="1">
      <c r="A297" s="14"/>
      <c r="B297" s="14"/>
      <c r="C297" s="16" t="s">
        <v>1169</v>
      </c>
      <c r="D297" s="17">
        <f>VLOOKUP(A290,'Neraca Unaudited SIMAK'!$A$2:$S$10004,7,FALSE)</f>
        <v>13200000</v>
      </c>
      <c r="E297" s="25">
        <f>SUMIFS('Daftar Koreksi'!$H$5:$H$92,'Daftar Koreksi'!$D$5:$D$92,'0100'!A290,'Daftar Koreksi'!$G$5:$G$92,"Jalan Irigasi Jaringan",'Daftar Koreksi'!$H$5:$H$92,"&gt;0")</f>
        <v>0</v>
      </c>
      <c r="F297" s="25">
        <f>SUMIFS('Daftar Koreksi'!$H$5:$H$92,'Daftar Koreksi'!$D$5:$D$92,'0100'!A290,'Daftar Koreksi'!$G$5:$G$92,"Jalan Irigasi Jaringan",'Daftar Koreksi'!$H$5:$H$92,"&lt;0")-SUMIFS('Daftar Koreksi'!$H$5:$H$92,'Daftar Koreksi'!$D$5:$D$92,'0100'!A290,'Daftar Koreksi'!$G$5:$G$92,"Jalan Irigasi Jaringan",'Daftar Koreksi'!$H$5:$H$92,"&lt;0")-SUMIFS('Daftar Koreksi'!$H$5:$H$92,'Daftar Koreksi'!$D$5:$D$92,'0100'!A290,'Daftar Koreksi'!$G$5:$G$92,"Jalan Irigasi Jaringan",'Daftar Koreksi'!$H$5:$H$92,"&lt;0")</f>
        <v>0</v>
      </c>
      <c r="G297" s="17">
        <f t="shared" si="13"/>
        <v>13200000</v>
      </c>
      <c r="H297" s="122"/>
      <c r="I297" s="36"/>
      <c r="J297" s="36"/>
    </row>
    <row r="298" spans="1:10" ht="21.95" customHeight="1">
      <c r="A298" s="14"/>
      <c r="B298" s="14"/>
      <c r="C298" s="16" t="s">
        <v>1170</v>
      </c>
      <c r="D298" s="17">
        <f>VLOOKUP(A290,'Neraca Unaudited SIMAK'!$A$2:$S$10004,8,FALSE)</f>
        <v>2763400</v>
      </c>
      <c r="E298" s="25">
        <f>SUMIFS('Daftar Koreksi'!$H$5:$H$92,'Daftar Koreksi'!$D$5:$D$92,'0100'!A290,'Daftar Koreksi'!$G$5:$G$92,"Aset Tetap Lainnya",'Daftar Koreksi'!$H$5:$H$92,"&gt;0")</f>
        <v>0</v>
      </c>
      <c r="F298" s="25">
        <f>SUMIFS('Daftar Koreksi'!$H$5:$H$92,'Daftar Koreksi'!$D$5:$D$92,'0100'!A290,'Daftar Koreksi'!$G$5:$G$92,"Aset Tetap Lainnya",'Daftar Koreksi'!$H$5:$H$92,"&lt;0")-SUMIFS('Daftar Koreksi'!$H$5:$H$92,'Daftar Koreksi'!$D$5:$D$92,'0100'!A290,'Daftar Koreksi'!$G$5:$G$92,"Aset Tetap Lainnya",'Daftar Koreksi'!$H$5:$H$92,"&lt;0")-SUMIFS('Daftar Koreksi'!$H$5:$H$92,'Daftar Koreksi'!$D$5:$D$92,'0100'!A290,'Daftar Koreksi'!$G$5:$G$92,"Aset Tetap Lainnya",'Daftar Koreksi'!$H$5:$H$92,"&lt;0")</f>
        <v>0</v>
      </c>
      <c r="G298" s="17">
        <f t="shared" si="13"/>
        <v>2763400</v>
      </c>
      <c r="H298" s="122"/>
      <c r="I298" s="36"/>
      <c r="J298" s="36"/>
    </row>
    <row r="299" spans="1:10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Koreksi'!$D$5:$D$92,'0100'!A290,'Daftar Koreksi'!$G$5:$G$92,"Kontruksi Dalam Pengerjaan",'Daftar Koreksi'!$H$5:$H$92,"&gt;0")</f>
        <v>0</v>
      </c>
      <c r="F299" s="25">
        <f>SUMIFS('Daftar Koreksi'!$H$5:$H$92,'Daftar Koreksi'!$D$5:$D$92,'0100'!A290,'Daftar Koreksi'!$G$5:$G$92,"Kontruksi Dalam Pengerjaan",'Daftar Koreksi'!$H$5:$H$92,"&lt;0")-SUMIFS('Daftar Koreksi'!$H$5:$H$92,'Daftar Koreksi'!$D$5:$D$92,'0100'!A290,'Daftar Koreksi'!$G$5:$G$92,"Kontruksi Dalam Pengerjaan",'Daftar Koreksi'!$H$5:$H$92,"&lt;0")-SUMIFS('Daftar Koreksi'!$H$5:$H$92,'Daftar Koreksi'!$D$5:$D$92,'0100'!A290,'Daftar Koreksi'!$G$5:$G$92,"Kontruksi Dalam Pengerjaan",'Daftar Koreksi'!$H$5:$H$92,"&lt;0")</f>
        <v>0</v>
      </c>
      <c r="G299" s="17">
        <f t="shared" si="13"/>
        <v>0</v>
      </c>
      <c r="H299" s="122"/>
      <c r="I299" s="36"/>
      <c r="J299" s="36"/>
    </row>
    <row r="300" spans="1:10" ht="21.95" customHeight="1">
      <c r="A300" s="14"/>
      <c r="B300" s="14"/>
      <c r="C300" s="16" t="s">
        <v>1172</v>
      </c>
      <c r="D300" s="17">
        <f>VLOOKUP(A290,'Neraca Unaudited SIMAK'!$A$2:$S$10004,10,FALSE)</f>
        <v>119420000</v>
      </c>
      <c r="E300" s="25">
        <f>SUMIFS('Daftar Koreksi'!$H$5:$H$92,'Daftar Koreksi'!$D$5:$D$92,'0100'!A290,'Daftar Koreksi'!$G$5:$G$92,"Aset Tak Berwujud",'Daftar Koreksi'!$H$5:$H$92,"&gt;0")</f>
        <v>0</v>
      </c>
      <c r="F300" s="25">
        <f>SUMIFS('Daftar Koreksi'!$H$5:$H$92,'Daftar Koreksi'!$D$5:$D$92,'0100'!A290,'Daftar Koreksi'!$G$5:$G$92,"Aset Tak Berwujud",'Daftar Koreksi'!$H$5:$H$92,"&lt;0")-SUMIFS('Daftar Koreksi'!$H$5:$H$92,'Daftar Koreksi'!$D$5:$D$92,'0100'!A290,'Daftar Koreksi'!$G$5:$G$92,"Aset Tak Berwujud",'Daftar Koreksi'!$H$5:$H$92,"&lt;0")-SUMIFS('Daftar Koreksi'!$H$5:$H$92,'Daftar Koreksi'!$D$5:$D$92,'0100'!A290,'Daftar Koreksi'!$G$5:$G$92,"Aset Tak Berwujud",'Daftar Koreksi'!$H$5:$H$92,"&lt;0")</f>
        <v>0</v>
      </c>
      <c r="G300" s="17">
        <f t="shared" si="13"/>
        <v>119420000</v>
      </c>
      <c r="H300" s="122"/>
      <c r="I300" s="36"/>
      <c r="J300" s="36"/>
    </row>
    <row r="301" spans="1:10" ht="21.95" customHeight="1">
      <c r="A301" s="14"/>
      <c r="B301" s="14"/>
      <c r="C301" s="16" t="s">
        <v>1173</v>
      </c>
      <c r="D301" s="17">
        <f>VLOOKUP(A290,'Neraca Unaudited SIMAK'!$A$2:$S$10004,11,FALSE)</f>
        <v>34000</v>
      </c>
      <c r="E301" s="25">
        <f>SUMIFS('Daftar Koreksi'!$H$5:$H$92,'Daftar Koreksi'!$D$5:$D$92,'0100'!A290,'Daftar Koreksi'!$G$5:$G$92,"Aset Henti Guna",'Daftar Koreksi'!$H$5:$H$92,"&gt;0")</f>
        <v>0</v>
      </c>
      <c r="F301" s="25">
        <f>SUMIFS('Daftar Koreksi'!$H$5:$H$92,'Daftar Koreksi'!$D$5:$D$92,'0100'!A290,'Daftar Koreksi'!$G$5:$G$92,"Aset Henti Guna",'Daftar Koreksi'!$H$5:$H$92,"&lt;0")-SUMIFS('Daftar Koreksi'!$H$5:$H$92,'Daftar Koreksi'!$D$5:$D$92,'0100'!A290,'Daftar Koreksi'!$G$5:$G$92,"Aset Henti Guna",'Daftar Koreksi'!$H$5:$H$92,"&lt;0")-SUMIFS('Daftar Koreksi'!$H$5:$H$92,'Daftar Koreksi'!$D$5:$D$92,'0100'!A290,'Daftar Koreksi'!$G$5:$G$92,"Aset Henti Guna",'Daftar Koreksi'!$H$5:$H$92,"&lt;0")</f>
        <v>0</v>
      </c>
      <c r="G301" s="17">
        <f t="shared" si="13"/>
        <v>34000</v>
      </c>
      <c r="H301" s="122"/>
      <c r="I301" s="36"/>
      <c r="J301" s="36"/>
    </row>
    <row r="302" spans="1:10" ht="21.95" customHeight="1">
      <c r="A302" s="14"/>
      <c r="B302" s="14"/>
      <c r="C302" s="18" t="s">
        <v>2093</v>
      </c>
      <c r="D302" s="19">
        <f>VLOOKUP(A290,'Neraca Unaudited SIMAK'!$A$2:$S$10004,12,FALSE)</f>
        <v>19282591795</v>
      </c>
      <c r="E302" s="19">
        <f>SUM(E293:E301)</f>
        <v>0</v>
      </c>
      <c r="F302" s="19">
        <f>SUM(F293:F301)</f>
        <v>0</v>
      </c>
      <c r="G302" s="19">
        <f t="shared" si="13"/>
        <v>19282591795</v>
      </c>
      <c r="H302" s="122"/>
      <c r="I302" s="36"/>
      <c r="J302" s="36"/>
    </row>
    <row r="303" spans="1:10" ht="21.95" customHeight="1">
      <c r="A303" s="14"/>
      <c r="B303" s="14"/>
      <c r="C303" s="16" t="s">
        <v>2087</v>
      </c>
      <c r="D303" s="17">
        <f>VLOOKUP(A290,'Neraca Unaudited SIMAK'!$A$2:$S$10004,13,FALSE)</f>
        <v>-2339147134</v>
      </c>
      <c r="E303" s="25">
        <f>SUMIFS('Daftar Koreksi'!$I$5:$I$92,'Daftar Koreksi'!$D$5:$D$92,'0100'!A290,'Daftar Koreksi'!$G$5:$G$92,"Peralatan dan mesin",'Daftar Koreksi'!$I$5:$I$92,"&gt;0")</f>
        <v>0</v>
      </c>
      <c r="F303" s="25">
        <f>SUMIFS('Daftar Koreksi'!$I$5:$I$92,'Daftar Koreksi'!$D$5:$D$92,'0100'!A290,'Daftar Koreksi'!$G$5:$G$92,"Peralatan dan mesin",'Daftar Koreksi'!$I$5:$I$92,"&lt;0")-SUMIFS('Daftar Koreksi'!$I$5:$I$92,'Daftar Koreksi'!$D$5:$D$92,'0100'!A290,'Daftar Koreksi'!$G$5:$G$92,"Peralatan dan mesin",'Daftar Koreksi'!$I$5:$I$92,"&lt;0")-SUMIFS('Daftar Koreksi'!$I$5:$I$92,'Daftar Koreksi'!$D$5:$D$92,'0100'!A290,'Daftar Koreksi'!$G$5:$G$92,"Peralatan dan mesin",'Daftar Koreksi'!$I$5:$I$92,"&lt;0")</f>
        <v>0</v>
      </c>
      <c r="G303" s="17">
        <f t="shared" si="13"/>
        <v>-2339147134</v>
      </c>
      <c r="H303" s="122"/>
      <c r="I303" s="36"/>
      <c r="J303" s="36"/>
    </row>
    <row r="304" spans="1:10" ht="21.95" customHeight="1">
      <c r="A304" s="14"/>
      <c r="B304" s="14"/>
      <c r="C304" s="16" t="s">
        <v>2088</v>
      </c>
      <c r="D304" s="17">
        <f>VLOOKUP(A290,'Neraca Unaudited SIMAK'!$A$2:$S$10004,14,FALSE)</f>
        <v>-678886447</v>
      </c>
      <c r="E304" s="25">
        <f>SUMIFS('Daftar Koreksi'!$I$5:$I$92,'Daftar Koreksi'!$D$5:$D$92,'0100'!A290,'Daftar Koreksi'!$G$5:$G$92,"Gedung dan Bangunan",'Daftar Koreksi'!$I$5:$I$92,"&gt;0")</f>
        <v>0</v>
      </c>
      <c r="F304" s="25">
        <f>SUMIFS('Daftar Koreksi'!$I$5:$I$92,'Daftar Koreksi'!$D$5:$D$92,'0100'!A290,'Daftar Koreksi'!$G$5:$G$92,"Gedung dan Bangunan",'Daftar Koreksi'!$I$5:$I$92,"&lt;0")-SUMIFS('Daftar Koreksi'!$I$5:$I$92,'Daftar Koreksi'!$D$5:$D$92,'0100'!A290,'Daftar Koreksi'!$G$5:$G$92,"Gedung dan Bangunan",'Daftar Koreksi'!$I$5:$I$92,"&lt;0")-SUMIFS('Daftar Koreksi'!$I$5:$I$92,'Daftar Koreksi'!$D$5:$D$92,'0100'!A290,'Daftar Koreksi'!$G$5:$G$92,"Gedung dan Bangunan",'Daftar Koreksi'!$I$5:$I$92,"&lt;0")</f>
        <v>0</v>
      </c>
      <c r="G304" s="17">
        <f t="shared" si="13"/>
        <v>-678886447</v>
      </c>
      <c r="H304" s="122"/>
      <c r="I304" s="36"/>
      <c r="J304" s="36"/>
    </row>
    <row r="305" spans="1:10" ht="21.95" customHeight="1">
      <c r="A305" s="14"/>
      <c r="B305" s="14"/>
      <c r="C305" s="16" t="s">
        <v>2089</v>
      </c>
      <c r="D305" s="17">
        <f>VLOOKUP(A290,'Neraca Unaudited SIMAK'!$A$2:$S$10004,15,FALSE)</f>
        <v>-1539888</v>
      </c>
      <c r="E305" s="25">
        <f>SUMIFS('Daftar Koreksi'!$I$5:$I$92,'Daftar Koreksi'!$D$5:$D$92,'0100'!A290,'Daftar Koreksi'!$G$5:$G$92,"Jalan Irigasi Jaringan",'Daftar Koreksi'!$I$5:$I$92,"&gt;0")</f>
        <v>0</v>
      </c>
      <c r="F305" s="25">
        <f>SUMIFS('Daftar Koreksi'!$I$5:$I$92,'Daftar Koreksi'!$D$5:$D$92,'0100'!A290,'Daftar Koreksi'!$G$5:$G$92,"Jalan Irigasi Jaringan",'Daftar Koreksi'!$I$5:$I$92,"&lt;0")-SUMIFS('Daftar Koreksi'!$I$5:$I$92,'Daftar Koreksi'!$D$5:$D$92,'0100'!A290,'Daftar Koreksi'!$G$5:$G$92,"Jalan Irigasi Jaringan",'Daftar Koreksi'!$I$5:$I$92,"&lt;0")-SUMIFS('Daftar Koreksi'!$I$5:$I$92,'Daftar Koreksi'!$D$5:$D$92,'0100'!A290,'Daftar Koreksi'!$G$5:$G$92,"Jalan Irigasi Jaringan",'Daftar Koreksi'!$I$5:$I$92,"&lt;0")</f>
        <v>0</v>
      </c>
      <c r="G305" s="17">
        <f t="shared" si="13"/>
        <v>-1539888</v>
      </c>
      <c r="H305" s="122"/>
      <c r="I305" s="36"/>
      <c r="J305" s="36"/>
    </row>
    <row r="306" spans="1:10" ht="21.95" customHeight="1">
      <c r="A306" s="14"/>
      <c r="B306" s="14"/>
      <c r="C306" s="16" t="s">
        <v>2090</v>
      </c>
      <c r="D306" s="17">
        <f>VLOOKUP(A290,'Neraca Unaudited SIMAK'!$A$2:$S$10004,16,FALSE)</f>
        <v>-80000</v>
      </c>
      <c r="E306" s="25">
        <f>SUMIFS('Daftar Koreksi'!$I$5:$I$92,'Daftar Koreksi'!$D$5:$D$92,'0100'!A290,'Daftar Koreksi'!$G$5:$G$92,"Aset Tetap Lainnya",'Daftar Koreksi'!$I$5:$I$92,"&gt;0")</f>
        <v>0</v>
      </c>
      <c r="F306" s="25">
        <f>SUMIFS('Daftar Koreksi'!$I$5:$I$92,'Daftar Koreksi'!$D$5:$D$92,'0100'!A290,'Daftar Koreksi'!$G$5:$G$92,"Aset Tetap Lainnya",'Daftar Koreksi'!$I$5:$I$92,"&lt;0")-SUMIFS('Daftar Koreksi'!$I$5:$I$92,'Daftar Koreksi'!$D$5:$D$92,'0100'!A290,'Daftar Koreksi'!$G$5:$G$92,"Aset Tetap Lainnya",'Daftar Koreksi'!$I$5:$I$92,"&lt;0")-SUMIFS('Daftar Koreksi'!$I$5:$I$92,'Daftar Koreksi'!$D$5:$D$92,'0100'!A290,'Daftar Koreksi'!$G$5:$G$92,"Aset Tetap Lainnya",'Daftar Koreksi'!$I$5:$I$92,"&lt;0")</f>
        <v>0</v>
      </c>
      <c r="G306" s="17">
        <f t="shared" si="13"/>
        <v>-80000</v>
      </c>
      <c r="H306" s="122"/>
      <c r="I306" s="36"/>
      <c r="J306" s="36"/>
    </row>
    <row r="307" spans="1:10" ht="21.95" customHeight="1">
      <c r="A307" s="14"/>
      <c r="B307" s="14"/>
      <c r="C307" s="16" t="s">
        <v>2020</v>
      </c>
      <c r="D307" s="17">
        <f>VLOOKUP(A290,'Neraca Unaudited SIMAK'!$A$2:$S$10004,17,FALSE)</f>
        <v>-34000</v>
      </c>
      <c r="E307" s="25">
        <f>SUMIFS('Daftar Koreksi'!$I$5:$I$92,'Daftar Koreksi'!$D$5:$D$92,'0100'!A290,'Daftar Koreksi'!$G$5:$G$92,"Aset Henti Guna",'Daftar Koreksi'!$I$5:$I$92,"&gt;0")</f>
        <v>0</v>
      </c>
      <c r="F307" s="25">
        <f>SUMIFS('Daftar Koreksi'!$I$5:$I$92,'Daftar Koreksi'!$D$5:$D$92,'0100'!A290,'Daftar Koreksi'!$G$5:$G$92,"Aset Henti Guna",'Daftar Koreksi'!$I$5:$I$92,"&lt;0")-SUMIFS('Daftar Koreksi'!$I$5:$I$92,'Daftar Koreksi'!$D$5:$D$92,'0100'!A290,'Daftar Koreksi'!$G$5:$G$92,"Aset Henti Guna",'Daftar Koreksi'!$I$5:$I$92,"&lt;0")-SUMIFS('Daftar Koreksi'!$I$5:$I$92,'Daftar Koreksi'!$D$5:$D$92,'0100'!A290,'Daftar Koreksi'!$G$5:$G$92,"Aset Henti Guna",'Daftar Koreksi'!$I$5:$I$92,"&lt;0")</f>
        <v>0</v>
      </c>
      <c r="G307" s="17">
        <f t="shared" si="13"/>
        <v>-34000</v>
      </c>
      <c r="H307" s="122"/>
      <c r="I307" s="36"/>
      <c r="J307" s="36"/>
    </row>
    <row r="308" spans="1:10" ht="21.95" customHeight="1">
      <c r="A308" s="14"/>
      <c r="B308" s="14"/>
      <c r="C308" s="18" t="s">
        <v>2094</v>
      </c>
      <c r="D308" s="19">
        <f>SUM(D303:D307)</f>
        <v>-3019687469</v>
      </c>
      <c r="E308" s="19">
        <f>SUM(E303:E307)</f>
        <v>0</v>
      </c>
      <c r="F308" s="19">
        <f>SUM(F303:F307)</f>
        <v>0</v>
      </c>
      <c r="G308" s="19">
        <f t="shared" si="13"/>
        <v>-3019687469</v>
      </c>
      <c r="H308" s="122"/>
      <c r="I308" s="36"/>
      <c r="J308" s="36"/>
    </row>
    <row r="309" spans="1:10" ht="21.95" customHeight="1">
      <c r="A309" s="14"/>
      <c r="B309" s="14"/>
      <c r="C309" s="18" t="s">
        <v>2095</v>
      </c>
      <c r="D309" s="19">
        <f>VLOOKUP(A290,'Neraca Unaudited SIMAK'!$A$2:$S$10004,18,FALSE)</f>
        <v>16262904326</v>
      </c>
      <c r="E309" s="19">
        <f>E308+E302</f>
        <v>0</v>
      </c>
      <c r="F309" s="19">
        <f>F308+F302</f>
        <v>0</v>
      </c>
      <c r="G309" s="19">
        <f t="shared" si="13"/>
        <v>16262904326</v>
      </c>
      <c r="H309" s="122"/>
      <c r="I309" s="36"/>
      <c r="J309" s="36"/>
    </row>
    <row r="310" spans="1:10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  <c r="I310" s="36"/>
      <c r="J310" s="36"/>
    </row>
    <row r="312" spans="1:10" ht="19.5" customHeight="1">
      <c r="A312" s="11" t="str">
        <f>O15</f>
        <v>005010100663161000KD</v>
      </c>
      <c r="B312" s="11" t="str">
        <f>P15</f>
        <v>DILMILTAMA</v>
      </c>
      <c r="C312" s="12" t="str">
        <f>A312&amp;" "&amp;B312</f>
        <v>005010100663161000KD DILMILTAMA</v>
      </c>
      <c r="D312" s="13"/>
      <c r="E312" s="13"/>
      <c r="F312" s="13"/>
      <c r="G312" s="13"/>
      <c r="H312" s="11"/>
    </row>
    <row r="313" spans="1:10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10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10" ht="21.95" customHeight="1">
      <c r="A315" s="14"/>
      <c r="B315" s="14"/>
      <c r="C315" s="16" t="s">
        <v>1165</v>
      </c>
      <c r="D315" s="17">
        <f>VLOOKUP(A312,'Neraca Unaudited SIMAK'!$A$2:$S$10004,3,FALSE)</f>
        <v>4430100</v>
      </c>
      <c r="E315" s="25">
        <f>SUMIFS('Daftar Koreksi'!$H$5:$H$92,'Daftar Koreksi'!$D$5:$D$92,'0100'!A312,'Daftar Koreksi'!$G$5:$G$92,"Persediaan",'Daftar Koreksi'!$H$5:$H$92,"&gt;0")</f>
        <v>0</v>
      </c>
      <c r="F315" s="25">
        <f>SUMIFS('Daftar Koreksi'!$H$5:$H$92,'Daftar Koreksi'!$D$5:$D$92,'0100'!A312,'Daftar Koreksi'!$G$5:$G$92,"Persediaan",'Daftar Koreksi'!$H$5:$H$92,"&lt;0")-SUMIFS('Daftar Koreksi'!$H$5:$H$92,'Daftar Koreksi'!$D$5:$D$92,'0100'!A312,'Daftar Koreksi'!$G$5:$G$92,"Persediaan",'Daftar Koreksi'!$H$5:$H$92,"&lt;0")-SUMIFS('Daftar Koreksi'!$H$5:$H$92,'Daftar Koreksi'!$D$5:$D$92,'0100'!A312,'Daftar Koreksi'!$G$5:$G$92,"Persediaan",'Daftar Koreksi'!$H$5:$H$92,"&lt;0")</f>
        <v>0</v>
      </c>
      <c r="G315" s="17">
        <f>D315+E315-F315</f>
        <v>4430100</v>
      </c>
      <c r="H315" s="121" t="str">
        <f>IF(ISNA(VLOOKUP(A312,'Mutasi Neraca'!$A$3:$S$914,19,FALSE)),"-",VLOOKUP(A312,'Mutasi Neraca'!$A$3:$S$914,19,FALSE))</f>
        <v>-</v>
      </c>
      <c r="I315" s="28"/>
      <c r="J315" s="28"/>
    </row>
    <row r="316" spans="1:10" ht="21.95" customHeight="1">
      <c r="A316" s="14"/>
      <c r="B316" s="14"/>
      <c r="C316" s="16" t="s">
        <v>1166</v>
      </c>
      <c r="D316" s="17">
        <f>VLOOKUP(A312,'Neraca Unaudited SIMAK'!$A$2:$S$10004,4,FALSE)</f>
        <v>5550000000</v>
      </c>
      <c r="E316" s="25">
        <f>SUMIFS('Daftar Koreksi'!$H$5:$H$92,'Daftar Koreksi'!$D$5:$D$92,'0100'!A312,'Daftar Koreksi'!$G$5:$G$92,"Tanah",'Daftar Koreksi'!$H$5:$H$92,"&gt;0")</f>
        <v>0</v>
      </c>
      <c r="F316" s="25">
        <f>SUMIFS('Daftar Koreksi'!$H$5:$H$92,'Daftar Koreksi'!$D$5:$D$92,'0100'!A312,'Daftar Koreksi'!$G$5:$G$92,"Tanah",'Daftar Koreksi'!$H$5:$H$92,"&lt;0")-SUMIFS('Daftar Koreksi'!$H$5:$H$92,'Daftar Koreksi'!$D$5:$D$92,'0100'!A312,'Daftar Koreksi'!$G$5:$G$92,"Tanah",'Daftar Koreksi'!$H$5:$H$92,"&lt;0")-SUMIFS('Daftar Koreksi'!$H$5:$H$92,'Daftar Koreksi'!$D$5:$D$92,'0100'!A312,'Daftar Koreksi'!$G$5:$G$92,"Tanah",'Daftar Koreksi'!$H$5:$H$92,"&lt;0")</f>
        <v>0</v>
      </c>
      <c r="G316" s="17">
        <f t="shared" ref="G316:G332" si="14">D316+E316-F316</f>
        <v>5550000000</v>
      </c>
      <c r="H316" s="122"/>
      <c r="I316" s="28"/>
      <c r="J316" s="28"/>
    </row>
    <row r="317" spans="1:10" ht="21.95" customHeight="1">
      <c r="A317" s="14"/>
      <c r="B317" s="14"/>
      <c r="C317" s="16" t="s">
        <v>1167</v>
      </c>
      <c r="D317" s="17">
        <f>VLOOKUP(A312,'Neraca Unaudited SIMAK'!$A$2:$S$10004,5,FALSE)</f>
        <v>5778759556</v>
      </c>
      <c r="E317" s="25">
        <f>SUMIFS('Daftar Koreksi'!$H$5:$H$92,'Daftar Koreksi'!$D$5:$D$92,'0100'!A312,'Daftar Koreksi'!$G$5:$G$92,"Peralatan dan mesin",'Daftar Koreksi'!$H$5:$H$92,"&gt;0")</f>
        <v>0</v>
      </c>
      <c r="F317" s="25">
        <f>SUMIFS('Daftar Koreksi'!$H$5:$H$92,'Daftar Koreksi'!$D$5:$D$92,'0100'!A312,'Daftar Koreksi'!$G$5:$G$92,"Peralatan dan mesin",'Daftar Koreksi'!$H$5:$H$92,"&lt;0")-SUMIFS('Daftar Koreksi'!$H$5:$H$92,'Daftar Koreksi'!$D$5:$D$92,'0100'!A312,'Daftar Koreksi'!$G$5:$G$92,"Peralatan dan mesin",'Daftar Koreksi'!$H$5:$H$92,"&lt;0")-SUMIFS('Daftar Koreksi'!$H$5:$H$92,'Daftar Koreksi'!$D$5:$D$92,'0100'!A312,'Daftar Koreksi'!$G$5:$G$92,"Peralatan dan mesin",'Daftar Koreksi'!$H$5:$H$92,"&lt;0")</f>
        <v>0</v>
      </c>
      <c r="G317" s="17">
        <f t="shared" si="14"/>
        <v>5778759556</v>
      </c>
      <c r="H317" s="122"/>
      <c r="I317" s="28"/>
      <c r="J317" s="28"/>
    </row>
    <row r="318" spans="1:10" ht="21.95" customHeight="1">
      <c r="A318" s="14"/>
      <c r="B318" s="14"/>
      <c r="C318" s="16" t="s">
        <v>1168</v>
      </c>
      <c r="D318" s="17">
        <f>VLOOKUP(A312,'Neraca Unaudited SIMAK'!$A$2:$S$10004,6,FALSE)</f>
        <v>9296582677</v>
      </c>
      <c r="E318" s="25">
        <f>SUMIFS('Daftar Koreksi'!$H$5:$H$92,'Daftar Koreksi'!$D$5:$D$92,'0100'!A312,'Daftar Koreksi'!$G$5:$G$92,"Gedung dan Bangunan",'Daftar Koreksi'!$H$5:$H$92,"&gt;0")</f>
        <v>0</v>
      </c>
      <c r="F318" s="25">
        <f>SUMIFS('Daftar Koreksi'!$H$5:$H$92,'Daftar Koreksi'!$D$5:$D$92,'0100'!A312,'Daftar Koreksi'!$G$5:$G$92,"Gedung dan Bangunan",'Daftar Koreksi'!$H$5:$H$92,"&lt;0")-SUMIFS('Daftar Koreksi'!$H$5:$H$92,'Daftar Koreksi'!$D$5:$D$92,'0100'!A312,'Daftar Koreksi'!$G$5:$G$92,"Gedung dan Bangunan",'Daftar Koreksi'!$H$5:$H$92,"&lt;0")-SUMIFS('Daftar Koreksi'!$H$5:$H$92,'Daftar Koreksi'!$D$5:$D$92,'0100'!A312,'Daftar Koreksi'!$G$5:$G$92,"Gedung dan Bangunan",'Daftar Koreksi'!$H$5:$H$92,"&lt;0")</f>
        <v>0</v>
      </c>
      <c r="G318" s="17">
        <f t="shared" si="14"/>
        <v>9296582677</v>
      </c>
      <c r="H318" s="122"/>
      <c r="I318" s="28"/>
      <c r="J318" s="28"/>
    </row>
    <row r="319" spans="1:10" ht="21.95" customHeight="1">
      <c r="A319" s="14"/>
      <c r="B319" s="14"/>
      <c r="C319" s="16" t="s">
        <v>1169</v>
      </c>
      <c r="D319" s="17">
        <f>VLOOKUP(A312,'Neraca Unaudited SIMAK'!$A$2:$S$10004,7,FALSE)</f>
        <v>0</v>
      </c>
      <c r="E319" s="25">
        <f>SUMIFS('Daftar Koreksi'!$H$5:$H$92,'Daftar Koreksi'!$D$5:$D$92,'0100'!A312,'Daftar Koreksi'!$G$5:$G$92,"Jalan Irigasi Jaringan",'Daftar Koreksi'!$H$5:$H$92,"&gt;0")</f>
        <v>0</v>
      </c>
      <c r="F319" s="25">
        <f>SUMIFS('Daftar Koreksi'!$H$5:$H$92,'Daftar Koreksi'!$D$5:$D$92,'0100'!A312,'Daftar Koreksi'!$G$5:$G$92,"Jalan Irigasi Jaringan",'Daftar Koreksi'!$H$5:$H$92,"&lt;0")-SUMIFS('Daftar Koreksi'!$H$5:$H$92,'Daftar Koreksi'!$D$5:$D$92,'0100'!A312,'Daftar Koreksi'!$G$5:$G$92,"Jalan Irigasi Jaringan",'Daftar Koreksi'!$H$5:$H$92,"&lt;0")-SUMIFS('Daftar Koreksi'!$H$5:$H$92,'Daftar Koreksi'!$D$5:$D$92,'0100'!A312,'Daftar Koreksi'!$G$5:$G$92,"Jalan Irigasi Jaringan",'Daftar Koreksi'!$H$5:$H$92,"&lt;0")</f>
        <v>0</v>
      </c>
      <c r="G319" s="17">
        <f t="shared" si="14"/>
        <v>0</v>
      </c>
      <c r="H319" s="122"/>
      <c r="I319" s="28"/>
      <c r="J319" s="28"/>
    </row>
    <row r="320" spans="1:10" ht="21.95" customHeight="1">
      <c r="A320" s="14"/>
      <c r="B320" s="14"/>
      <c r="C320" s="16" t="s">
        <v>1170</v>
      </c>
      <c r="D320" s="17">
        <f>VLOOKUP(A312,'Neraca Unaudited SIMAK'!$A$2:$S$10004,8,FALSE)</f>
        <v>6750000</v>
      </c>
      <c r="E320" s="25">
        <f>SUMIFS('Daftar Koreksi'!$H$5:$H$92,'Daftar Koreksi'!$D$5:$D$92,'0100'!A312,'Daftar Koreksi'!$G$5:$G$92,"Aset Tetap Lainnya",'Daftar Koreksi'!$H$5:$H$92,"&gt;0")</f>
        <v>0</v>
      </c>
      <c r="F320" s="25">
        <f>SUMIFS('Daftar Koreksi'!$H$5:$H$92,'Daftar Koreksi'!$D$5:$D$92,'0100'!A312,'Daftar Koreksi'!$G$5:$G$92,"Aset Tetap Lainnya",'Daftar Koreksi'!$H$5:$H$92,"&lt;0")-SUMIFS('Daftar Koreksi'!$H$5:$H$92,'Daftar Koreksi'!$D$5:$D$92,'0100'!A312,'Daftar Koreksi'!$G$5:$G$92,"Aset Tetap Lainnya",'Daftar Koreksi'!$H$5:$H$92,"&lt;0")-SUMIFS('Daftar Koreksi'!$H$5:$H$92,'Daftar Koreksi'!$D$5:$D$92,'0100'!A312,'Daftar Koreksi'!$G$5:$G$92,"Aset Tetap Lainnya",'Daftar Koreksi'!$H$5:$H$92,"&lt;0")</f>
        <v>0</v>
      </c>
      <c r="G320" s="17">
        <f t="shared" si="14"/>
        <v>6750000</v>
      </c>
      <c r="H320" s="122"/>
      <c r="I320" s="28"/>
      <c r="J320" s="28"/>
    </row>
    <row r="321" spans="1:10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Koreksi'!$D$5:$D$92,'0100'!A312,'Daftar Koreksi'!$G$5:$G$92,"Kontruksi Dalam Pengerjaan",'Daftar Koreksi'!$H$5:$H$92,"&gt;0")</f>
        <v>0</v>
      </c>
      <c r="F321" s="25">
        <f>SUMIFS('Daftar Koreksi'!$H$5:$H$92,'Daftar Koreksi'!$D$5:$D$92,'0100'!A312,'Daftar Koreksi'!$G$5:$G$92,"Kontruksi Dalam Pengerjaan",'Daftar Koreksi'!$H$5:$H$92,"&lt;0")-SUMIFS('Daftar Koreksi'!$H$5:$H$92,'Daftar Koreksi'!$D$5:$D$92,'0100'!A312,'Daftar Koreksi'!$G$5:$G$92,"Kontruksi Dalam Pengerjaan",'Daftar Koreksi'!$H$5:$H$92,"&lt;0")-SUMIFS('Daftar Koreksi'!$H$5:$H$92,'Daftar Koreksi'!$D$5:$D$92,'0100'!A312,'Daftar Koreksi'!$G$5:$G$92,"Kontruksi Dalam Pengerjaan",'Daftar Koreksi'!$H$5:$H$92,"&lt;0")</f>
        <v>0</v>
      </c>
      <c r="G321" s="17">
        <f t="shared" si="14"/>
        <v>0</v>
      </c>
      <c r="H321" s="122"/>
      <c r="I321" s="28"/>
      <c r="J321" s="28"/>
    </row>
    <row r="322" spans="1:10" ht="21.95" customHeight="1">
      <c r="A322" s="14"/>
      <c r="B322" s="14"/>
      <c r="C322" s="16" t="s">
        <v>1172</v>
      </c>
      <c r="D322" s="17">
        <f>VLOOKUP(A312,'Neraca Unaudited SIMAK'!$A$2:$S$10004,10,FALSE)</f>
        <v>129950000</v>
      </c>
      <c r="E322" s="25">
        <f>SUMIFS('Daftar Koreksi'!$H$5:$H$92,'Daftar Koreksi'!$D$5:$D$92,'0100'!A312,'Daftar Koreksi'!$G$5:$G$92,"Aset Tak Berwujud",'Daftar Koreksi'!$H$5:$H$92,"&gt;0")</f>
        <v>0</v>
      </c>
      <c r="F322" s="25">
        <f>SUMIFS('Daftar Koreksi'!$H$5:$H$92,'Daftar Koreksi'!$D$5:$D$92,'0100'!A312,'Daftar Koreksi'!$G$5:$G$92,"Aset Tak Berwujud",'Daftar Koreksi'!$H$5:$H$92,"&lt;0")-SUMIFS('Daftar Koreksi'!$H$5:$H$92,'Daftar Koreksi'!$D$5:$D$92,'0100'!A312,'Daftar Koreksi'!$G$5:$G$92,"Aset Tak Berwujud",'Daftar Koreksi'!$H$5:$H$92,"&lt;0")-SUMIFS('Daftar Koreksi'!$H$5:$H$92,'Daftar Koreksi'!$D$5:$D$92,'0100'!A312,'Daftar Koreksi'!$G$5:$G$92,"Aset Tak Berwujud",'Daftar Koreksi'!$H$5:$H$92,"&lt;0")</f>
        <v>0</v>
      </c>
      <c r="G322" s="17">
        <f t="shared" si="14"/>
        <v>129950000</v>
      </c>
      <c r="H322" s="122"/>
      <c r="I322" s="28"/>
      <c r="J322" s="28"/>
    </row>
    <row r="323" spans="1:10" ht="21.95" customHeight="1">
      <c r="A323" s="14"/>
      <c r="B323" s="14"/>
      <c r="C323" s="16" t="s">
        <v>1173</v>
      </c>
      <c r="D323" s="17">
        <f>VLOOKUP(A312,'Neraca Unaudited SIMAK'!$A$2:$S$10004,11,FALSE)</f>
        <v>337552000</v>
      </c>
      <c r="E323" s="25">
        <f>SUMIFS('Daftar Koreksi'!$H$5:$H$92,'Daftar Koreksi'!$D$5:$D$92,'0100'!A312,'Daftar Koreksi'!$G$5:$G$92,"Aset Henti Guna",'Daftar Koreksi'!$H$5:$H$92,"&gt;0")</f>
        <v>0</v>
      </c>
      <c r="F323" s="25">
        <f>SUMIFS('Daftar Koreksi'!$H$5:$H$92,'Daftar Koreksi'!$D$5:$D$92,'0100'!A312,'Daftar Koreksi'!$G$5:$G$92,"Aset Henti Guna",'Daftar Koreksi'!$H$5:$H$92,"&lt;0")-SUMIFS('Daftar Koreksi'!$H$5:$H$92,'Daftar Koreksi'!$D$5:$D$92,'0100'!A312,'Daftar Koreksi'!$G$5:$G$92,"Aset Henti Guna",'Daftar Koreksi'!$H$5:$H$92,"&lt;0")-SUMIFS('Daftar Koreksi'!$H$5:$H$92,'Daftar Koreksi'!$D$5:$D$92,'0100'!A312,'Daftar Koreksi'!$G$5:$G$92,"Aset Henti Guna",'Daftar Koreksi'!$H$5:$H$92,"&lt;0")</f>
        <v>0</v>
      </c>
      <c r="G323" s="17">
        <f t="shared" si="14"/>
        <v>337552000</v>
      </c>
      <c r="H323" s="122"/>
      <c r="I323" s="28"/>
      <c r="J323" s="28"/>
    </row>
    <row r="324" spans="1:10" ht="21.95" customHeight="1">
      <c r="A324" s="14"/>
      <c r="B324" s="14"/>
      <c r="C324" s="18" t="s">
        <v>2093</v>
      </c>
      <c r="D324" s="19">
        <f>VLOOKUP(A312,'Neraca Unaudited SIMAK'!$A$2:$S$10004,12,FALSE)</f>
        <v>21104024333</v>
      </c>
      <c r="E324" s="19">
        <f>SUM(E315:E323)</f>
        <v>0</v>
      </c>
      <c r="F324" s="19">
        <f>SUM(F315:F323)</f>
        <v>0</v>
      </c>
      <c r="G324" s="19">
        <f t="shared" si="14"/>
        <v>21104024333</v>
      </c>
      <c r="H324" s="122"/>
      <c r="I324" s="28"/>
      <c r="J324" s="28"/>
    </row>
    <row r="325" spans="1:10" ht="21.95" customHeight="1">
      <c r="A325" s="14"/>
      <c r="B325" s="14"/>
      <c r="C325" s="16" t="s">
        <v>2087</v>
      </c>
      <c r="D325" s="17">
        <f>VLOOKUP(A312,'Neraca Unaudited SIMAK'!$A$2:$S$10004,13,FALSE)</f>
        <v>-5385474059</v>
      </c>
      <c r="E325" s="25">
        <f>SUMIFS('Daftar Koreksi'!$I$5:$I$92,'Daftar Koreksi'!$D$5:$D$92,'0100'!A312,'Daftar Koreksi'!$G$5:$G$92,"Peralatan dan mesin",'Daftar Koreksi'!$I$5:$I$92,"&gt;0")</f>
        <v>0</v>
      </c>
      <c r="F325" s="25">
        <f>SUMIFS('Daftar Koreksi'!$I$5:$I$92,'Daftar Koreksi'!$D$5:$D$92,'0100'!A312,'Daftar Koreksi'!$G$5:$G$92,"Peralatan dan mesin",'Daftar Koreksi'!$I$5:$I$92,"&lt;0")-SUMIFS('Daftar Koreksi'!$I$5:$I$92,'Daftar Koreksi'!$D$5:$D$92,'0100'!A312,'Daftar Koreksi'!$G$5:$G$92,"Peralatan dan mesin",'Daftar Koreksi'!$I$5:$I$92,"&lt;0")-SUMIFS('Daftar Koreksi'!$I$5:$I$92,'Daftar Koreksi'!$D$5:$D$92,'0100'!A312,'Daftar Koreksi'!$G$5:$G$92,"Peralatan dan mesin",'Daftar Koreksi'!$I$5:$I$92,"&lt;0")</f>
        <v>0</v>
      </c>
      <c r="G325" s="17">
        <f t="shared" si="14"/>
        <v>-5385474059</v>
      </c>
      <c r="H325" s="122"/>
      <c r="I325" s="28"/>
      <c r="J325" s="28"/>
    </row>
    <row r="326" spans="1:10" ht="21.95" customHeight="1">
      <c r="A326" s="14"/>
      <c r="B326" s="14"/>
      <c r="C326" s="16" t="s">
        <v>2088</v>
      </c>
      <c r="D326" s="17">
        <f>VLOOKUP(A312,'Neraca Unaudited SIMAK'!$A$2:$S$10004,14,FALSE)</f>
        <v>-1022624096</v>
      </c>
      <c r="E326" s="25">
        <f>SUMIFS('Daftar Koreksi'!$I$5:$I$92,'Daftar Koreksi'!$D$5:$D$92,'0100'!A312,'Daftar Koreksi'!$G$5:$G$92,"Gedung dan Bangunan",'Daftar Koreksi'!$I$5:$I$92,"&gt;0")</f>
        <v>0</v>
      </c>
      <c r="F326" s="25">
        <f>SUMIFS('Daftar Koreksi'!$I$5:$I$92,'Daftar Koreksi'!$D$5:$D$92,'0100'!A312,'Daftar Koreksi'!$G$5:$G$92,"Gedung dan Bangunan",'Daftar Koreksi'!$I$5:$I$92,"&lt;0")-SUMIFS('Daftar Koreksi'!$I$5:$I$92,'Daftar Koreksi'!$D$5:$D$92,'0100'!A312,'Daftar Koreksi'!$G$5:$G$92,"Gedung dan Bangunan",'Daftar Koreksi'!$I$5:$I$92,"&lt;0")-SUMIFS('Daftar Koreksi'!$I$5:$I$92,'Daftar Koreksi'!$D$5:$D$92,'0100'!A312,'Daftar Koreksi'!$G$5:$G$92,"Gedung dan Bangunan",'Daftar Koreksi'!$I$5:$I$92,"&lt;0")</f>
        <v>0</v>
      </c>
      <c r="G326" s="17">
        <f t="shared" si="14"/>
        <v>-1022624096</v>
      </c>
      <c r="H326" s="122"/>
      <c r="I326" s="28"/>
      <c r="J326" s="28"/>
    </row>
    <row r="327" spans="1:10" ht="21.95" customHeight="1">
      <c r="A327" s="14"/>
      <c r="B327" s="14"/>
      <c r="C327" s="16" t="s">
        <v>2089</v>
      </c>
      <c r="D327" s="17">
        <f>VLOOKUP(A312,'Neraca Unaudited SIMAK'!$A$2:$S$10004,15,FALSE)</f>
        <v>0</v>
      </c>
      <c r="E327" s="25">
        <f>SUMIFS('Daftar Koreksi'!$I$5:$I$92,'Daftar Koreksi'!$D$5:$D$92,'0100'!A312,'Daftar Koreksi'!$G$5:$G$92,"Jalan Irigasi Jaringan",'Daftar Koreksi'!$I$5:$I$92,"&gt;0")</f>
        <v>0</v>
      </c>
      <c r="F327" s="25">
        <f>SUMIFS('Daftar Koreksi'!$I$5:$I$92,'Daftar Koreksi'!$D$5:$D$92,'0100'!A312,'Daftar Koreksi'!$G$5:$G$92,"Jalan Irigasi Jaringan",'Daftar Koreksi'!$I$5:$I$92,"&lt;0")-SUMIFS('Daftar Koreksi'!$I$5:$I$92,'Daftar Koreksi'!$D$5:$D$92,'0100'!A312,'Daftar Koreksi'!$G$5:$G$92,"Jalan Irigasi Jaringan",'Daftar Koreksi'!$I$5:$I$92,"&lt;0")-SUMIFS('Daftar Koreksi'!$I$5:$I$92,'Daftar Koreksi'!$D$5:$D$92,'0100'!A312,'Daftar Koreksi'!$G$5:$G$92,"Jalan Irigasi Jaringan",'Daftar Koreksi'!$I$5:$I$92,"&lt;0")</f>
        <v>0</v>
      </c>
      <c r="G327" s="17">
        <f t="shared" si="14"/>
        <v>0</v>
      </c>
      <c r="H327" s="122"/>
      <c r="I327" s="28"/>
      <c r="J327" s="28"/>
    </row>
    <row r="328" spans="1:10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Koreksi'!$D$5:$D$92,'0100'!A312,'Daftar Koreksi'!$G$5:$G$92,"Aset Tetap Lainnya",'Daftar Koreksi'!$I$5:$I$92,"&gt;0")</f>
        <v>0</v>
      </c>
      <c r="F328" s="25">
        <f>SUMIFS('Daftar Koreksi'!$I$5:$I$92,'Daftar Koreksi'!$D$5:$D$92,'0100'!A312,'Daftar Koreksi'!$G$5:$G$92,"Aset Tetap Lainnya",'Daftar Koreksi'!$I$5:$I$92,"&lt;0")-SUMIFS('Daftar Koreksi'!$I$5:$I$92,'Daftar Koreksi'!$D$5:$D$92,'0100'!A312,'Daftar Koreksi'!$G$5:$G$92,"Aset Tetap Lainnya",'Daftar Koreksi'!$I$5:$I$92,"&lt;0")-SUMIFS('Daftar Koreksi'!$I$5:$I$92,'Daftar Koreksi'!$D$5:$D$92,'0100'!A312,'Daftar Koreksi'!$G$5:$G$92,"Aset Tetap Lainnya",'Daftar Koreksi'!$I$5:$I$92,"&lt;0")</f>
        <v>0</v>
      </c>
      <c r="G328" s="17">
        <f t="shared" si="14"/>
        <v>0</v>
      </c>
      <c r="H328" s="122"/>
      <c r="I328" s="28"/>
      <c r="J328" s="28"/>
    </row>
    <row r="329" spans="1:10" ht="21.95" customHeight="1">
      <c r="A329" s="14"/>
      <c r="B329" s="14"/>
      <c r="C329" s="16" t="s">
        <v>2020</v>
      </c>
      <c r="D329" s="17">
        <f>VLOOKUP(A312,'Neraca Unaudited SIMAK'!$A$2:$S$10004,17,FALSE)</f>
        <v>-337552000</v>
      </c>
      <c r="E329" s="25">
        <f>SUMIFS('Daftar Koreksi'!$I$5:$I$92,'Daftar Koreksi'!$D$5:$D$92,'0100'!A312,'Daftar Koreksi'!$G$5:$G$92,"Aset Henti Guna",'Daftar Koreksi'!$I$5:$I$92,"&gt;0")</f>
        <v>0</v>
      </c>
      <c r="F329" s="25">
        <f>SUMIFS('Daftar Koreksi'!$I$5:$I$92,'Daftar Koreksi'!$D$5:$D$92,'0100'!A312,'Daftar Koreksi'!$G$5:$G$92,"Aset Henti Guna",'Daftar Koreksi'!$I$5:$I$92,"&lt;0")-SUMIFS('Daftar Koreksi'!$I$5:$I$92,'Daftar Koreksi'!$D$5:$D$92,'0100'!A312,'Daftar Koreksi'!$G$5:$G$92,"Aset Henti Guna",'Daftar Koreksi'!$I$5:$I$92,"&lt;0")-SUMIFS('Daftar Koreksi'!$I$5:$I$92,'Daftar Koreksi'!$D$5:$D$92,'0100'!A312,'Daftar Koreksi'!$G$5:$G$92,"Aset Henti Guna",'Daftar Koreksi'!$I$5:$I$92,"&lt;0")</f>
        <v>0</v>
      </c>
      <c r="G329" s="17">
        <f t="shared" si="14"/>
        <v>-337552000</v>
      </c>
      <c r="H329" s="122"/>
      <c r="I329" s="28"/>
      <c r="J329" s="28"/>
    </row>
    <row r="330" spans="1:10" ht="21.95" customHeight="1">
      <c r="A330" s="14"/>
      <c r="B330" s="14"/>
      <c r="C330" s="18" t="s">
        <v>2094</v>
      </c>
      <c r="D330" s="19">
        <f>SUM(D325:D329)</f>
        <v>-6745650155</v>
      </c>
      <c r="E330" s="19">
        <f>SUM(E325:E329)</f>
        <v>0</v>
      </c>
      <c r="F330" s="19">
        <f>SUM(F325:F329)</f>
        <v>0</v>
      </c>
      <c r="G330" s="19">
        <f t="shared" si="14"/>
        <v>-6745650155</v>
      </c>
      <c r="H330" s="122"/>
      <c r="I330" s="28"/>
      <c r="J330" s="28"/>
    </row>
    <row r="331" spans="1:10" ht="21.95" customHeight="1">
      <c r="A331" s="14"/>
      <c r="B331" s="14"/>
      <c r="C331" s="18" t="s">
        <v>2095</v>
      </c>
      <c r="D331" s="19">
        <f>VLOOKUP(A312,'Neraca Unaudited SIMAK'!$A$2:$S$10004,18,FALSE)</f>
        <v>14358374178</v>
      </c>
      <c r="E331" s="19">
        <f>E330+E324</f>
        <v>0</v>
      </c>
      <c r="F331" s="19">
        <f>F330+F324</f>
        <v>0</v>
      </c>
      <c r="G331" s="19">
        <f t="shared" si="14"/>
        <v>14358374178</v>
      </c>
      <c r="H331" s="122"/>
      <c r="I331" s="28"/>
      <c r="J331" s="28"/>
    </row>
    <row r="332" spans="1:10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  <c r="I332" s="28"/>
      <c r="J332" s="28"/>
    </row>
    <row r="334" spans="1:10" ht="19.5" customHeight="1">
      <c r="A334" s="11" t="str">
        <f>O16</f>
        <v>005010100663250000KD</v>
      </c>
      <c r="B334" s="11" t="str">
        <f>P16</f>
        <v>DILMILTI II - di Jakarta</v>
      </c>
      <c r="C334" s="12" t="str">
        <f>A334&amp;" "&amp;B334</f>
        <v>005010100663250000KD DILMILTI II - di Jakarta</v>
      </c>
      <c r="D334" s="13"/>
      <c r="E334" s="13"/>
      <c r="F334" s="13"/>
      <c r="G334" s="13"/>
      <c r="H334" s="11"/>
    </row>
    <row r="335" spans="1:10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10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8541500</v>
      </c>
      <c r="E337" s="25">
        <f>SUMIFS('Daftar Koreksi'!$H$5:$H$92,'Daftar Koreksi'!$D$5:$D$92,'0100'!A334,'Daftar Koreksi'!$G$5:$G$92,"Persediaan",'Daftar Koreksi'!$H$5:$H$92,"&gt;0")</f>
        <v>0</v>
      </c>
      <c r="F337" s="25">
        <f>SUMIFS('Daftar Koreksi'!$H$5:$H$92,'Daftar Koreksi'!$D$5:$D$92,'0100'!A334,'Daftar Koreksi'!$G$5:$G$92,"Persediaan",'Daftar Koreksi'!$H$5:$H$92,"&lt;0")-SUMIFS('Daftar Koreksi'!$H$5:$H$92,'Daftar Koreksi'!$D$5:$D$92,'0100'!A334,'Daftar Koreksi'!$G$5:$G$92,"Persediaan",'Daftar Koreksi'!$H$5:$H$92,"&lt;0")-SUMIFS('Daftar Koreksi'!$H$5:$H$92,'Daftar Koreksi'!$D$5:$D$92,'0100'!A334,'Daftar Koreksi'!$G$5:$G$92,"Persediaan",'Daftar Koreksi'!$H$5:$H$92,"&lt;0")</f>
        <v>0</v>
      </c>
      <c r="G337" s="17">
        <f>D337+E337-F337</f>
        <v>8541500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5250000000</v>
      </c>
      <c r="E338" s="25">
        <f>SUMIFS('Daftar Koreksi'!$H$5:$H$92,'Daftar Koreksi'!$D$5:$D$92,'0100'!A334,'Daftar Koreksi'!$G$5:$G$92,"Tanah",'Daftar Koreksi'!$H$5:$H$92,"&gt;0")</f>
        <v>0</v>
      </c>
      <c r="F338" s="25">
        <f>SUMIFS('Daftar Koreksi'!$H$5:$H$92,'Daftar Koreksi'!$D$5:$D$92,'0100'!A334,'Daftar Koreksi'!$G$5:$G$92,"Tanah",'Daftar Koreksi'!$H$5:$H$92,"&lt;0")-SUMIFS('Daftar Koreksi'!$H$5:$H$92,'Daftar Koreksi'!$D$5:$D$92,'0100'!A334,'Daftar Koreksi'!$G$5:$G$92,"Tanah",'Daftar Koreksi'!$H$5:$H$92,"&lt;0")-SUMIFS('Daftar Koreksi'!$H$5:$H$92,'Daftar Koreksi'!$D$5:$D$92,'0100'!A334,'Daftar Koreksi'!$G$5:$G$92,"Tanah",'Daftar Koreksi'!$H$5:$H$92,"&lt;0")</f>
        <v>0</v>
      </c>
      <c r="G338" s="17">
        <f t="shared" ref="G338:G354" si="15">D338+E338-F338</f>
        <v>5250000000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3752568112</v>
      </c>
      <c r="E339" s="25">
        <f>SUMIFS('Daftar Koreksi'!$H$5:$H$92,'Daftar Koreksi'!$D$5:$D$92,'0100'!A334,'Daftar Koreksi'!$G$5:$G$92,"Peralatan dan mesin",'Daftar Koreksi'!$H$5:$H$92,"&gt;0")</f>
        <v>0</v>
      </c>
      <c r="F339" s="25">
        <f>SUMIFS('Daftar Koreksi'!$H$5:$H$92,'Daftar Koreksi'!$D$5:$D$92,'0100'!A334,'Daftar Koreksi'!$G$5:$G$92,"Peralatan dan mesin",'Daftar Koreksi'!$H$5:$H$92,"&lt;0")-SUMIFS('Daftar Koreksi'!$H$5:$H$92,'Daftar Koreksi'!$D$5:$D$92,'0100'!A334,'Daftar Koreksi'!$G$5:$G$92,"Peralatan dan mesin",'Daftar Koreksi'!$H$5:$H$92,"&lt;0")-SUMIFS('Daftar Koreksi'!$H$5:$H$92,'Daftar Koreksi'!$D$5:$D$92,'0100'!A334,'Daftar Koreksi'!$G$5:$G$92,"Peralatan dan mesin",'Daftar Koreksi'!$H$5:$H$92,"&lt;0")</f>
        <v>0</v>
      </c>
      <c r="G339" s="17">
        <f t="shared" si="15"/>
        <v>3752568112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7498207523</v>
      </c>
      <c r="E340" s="25">
        <f>SUMIFS('Daftar Koreksi'!$H$5:$H$92,'Daftar Koreksi'!$D$5:$D$92,'0100'!A334,'Daftar Koreksi'!$G$5:$G$92,"Gedung dan Bangunan",'Daftar Koreksi'!$H$5:$H$92,"&gt;0")</f>
        <v>0</v>
      </c>
      <c r="F340" s="25">
        <f>SUMIFS('Daftar Koreksi'!$H$5:$H$92,'Daftar Koreksi'!$D$5:$D$92,'0100'!A334,'Daftar Koreksi'!$G$5:$G$92,"Gedung dan Bangunan",'Daftar Koreksi'!$H$5:$H$92,"&lt;0")-SUMIFS('Daftar Koreksi'!$H$5:$H$92,'Daftar Koreksi'!$D$5:$D$92,'0100'!A334,'Daftar Koreksi'!$G$5:$G$92,"Gedung dan Bangunan",'Daftar Koreksi'!$H$5:$H$92,"&lt;0")-SUMIFS('Daftar Koreksi'!$H$5:$H$92,'Daftar Koreksi'!$D$5:$D$92,'0100'!A334,'Daftar Koreksi'!$G$5:$G$92,"Gedung dan Bangunan",'Daftar Koreksi'!$H$5:$H$92,"&lt;0")</f>
        <v>0</v>
      </c>
      <c r="G340" s="17">
        <f t="shared" si="15"/>
        <v>7498207523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473555250</v>
      </c>
      <c r="E341" s="25">
        <f>SUMIFS('Daftar Koreksi'!$H$5:$H$92,'Daftar Koreksi'!$D$5:$D$92,'0100'!A334,'Daftar Koreksi'!$G$5:$G$92,"Jalan Irigasi Jaringan",'Daftar Koreksi'!$H$5:$H$92,"&gt;0")</f>
        <v>0</v>
      </c>
      <c r="F341" s="25">
        <f>SUMIFS('Daftar Koreksi'!$H$5:$H$92,'Daftar Koreksi'!$D$5:$D$92,'0100'!A334,'Daftar Koreksi'!$G$5:$G$92,"Jalan Irigasi Jaringan",'Daftar Koreksi'!$H$5:$H$92,"&lt;0")-SUMIFS('Daftar Koreksi'!$H$5:$H$92,'Daftar Koreksi'!$D$5:$D$92,'0100'!A334,'Daftar Koreksi'!$G$5:$G$92,"Jalan Irigasi Jaringan",'Daftar Koreksi'!$H$5:$H$92,"&lt;0")-SUMIFS('Daftar Koreksi'!$H$5:$H$92,'Daftar Koreksi'!$D$5:$D$92,'0100'!A334,'Daftar Koreksi'!$G$5:$G$92,"Jalan Irigasi Jaringan",'Daftar Koreksi'!$H$5:$H$92,"&lt;0")</f>
        <v>0</v>
      </c>
      <c r="G341" s="17">
        <f t="shared" si="15"/>
        <v>473555250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2685000</v>
      </c>
      <c r="E342" s="25">
        <f>SUMIFS('Daftar Koreksi'!$H$5:$H$92,'Daftar Koreksi'!$D$5:$D$92,'0100'!A334,'Daftar Koreksi'!$G$5:$G$92,"Aset Tetap Lainnya",'Daftar Koreksi'!$H$5:$H$92,"&gt;0")</f>
        <v>0</v>
      </c>
      <c r="F342" s="25">
        <f>SUMIFS('Daftar Koreksi'!$H$5:$H$92,'Daftar Koreksi'!$D$5:$D$92,'0100'!A334,'Daftar Koreksi'!$G$5:$G$92,"Aset Tetap Lainnya",'Daftar Koreksi'!$H$5:$H$92,"&lt;0")-SUMIFS('Daftar Koreksi'!$H$5:$H$92,'Daftar Koreksi'!$D$5:$D$92,'0100'!A334,'Daftar Koreksi'!$G$5:$G$92,"Aset Tetap Lainnya",'Daftar Koreksi'!$H$5:$H$92,"&lt;0")-SUMIFS('Daftar Koreksi'!$H$5:$H$92,'Daftar Koreksi'!$D$5:$D$92,'0100'!A334,'Daftar Koreksi'!$G$5:$G$92,"Aset Tetap Lainnya",'Daftar Koreksi'!$H$5:$H$92,"&lt;0")</f>
        <v>0</v>
      </c>
      <c r="G342" s="17">
        <f t="shared" si="15"/>
        <v>2685000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Koreksi'!$D$5:$D$92,'0100'!A334,'Daftar Koreksi'!$G$5:$G$92,"Kontruksi Dalam Pengerjaan",'Daftar Koreksi'!$H$5:$H$92,"&gt;0")</f>
        <v>0</v>
      </c>
      <c r="F343" s="25">
        <f>SUMIFS('Daftar Koreksi'!$H$5:$H$92,'Daftar Koreksi'!$D$5:$D$92,'0100'!A334,'Daftar Koreksi'!$G$5:$G$92,"Kontruksi Dalam Pengerjaan",'Daftar Koreksi'!$H$5:$H$92,"&lt;0")-SUMIFS('Daftar Koreksi'!$H$5:$H$92,'Daftar Koreksi'!$D$5:$D$92,'0100'!A334,'Daftar Koreksi'!$G$5:$G$92,"Kontruksi Dalam Pengerjaan",'Daftar Koreksi'!$H$5:$H$92,"&lt;0")-SUMIFS('Daftar Koreksi'!$H$5:$H$92,'Daftar Koreksi'!$D$5:$D$92,'0100'!A334,'Daftar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252084520</v>
      </c>
      <c r="E344" s="25">
        <f>SUMIFS('Daftar Koreksi'!$H$5:$H$92,'Daftar Koreksi'!$D$5:$D$92,'0100'!A334,'Daftar Koreksi'!$G$5:$G$92,"Aset Tak Berwujud",'Daftar Koreksi'!$H$5:$H$92,"&gt;0")</f>
        <v>0</v>
      </c>
      <c r="F344" s="25">
        <f>SUMIFS('Daftar Koreksi'!$H$5:$H$92,'Daftar Koreksi'!$D$5:$D$92,'0100'!A334,'Daftar Koreksi'!$G$5:$G$92,"Aset Tak Berwujud",'Daftar Koreksi'!$H$5:$H$92,"&lt;0")-SUMIFS('Daftar Koreksi'!$H$5:$H$92,'Daftar Koreksi'!$D$5:$D$92,'0100'!A334,'Daftar Koreksi'!$G$5:$G$92,"Aset Tak Berwujud",'Daftar Koreksi'!$H$5:$H$92,"&lt;0")-SUMIFS('Daftar Koreksi'!$H$5:$H$92,'Daftar Koreksi'!$D$5:$D$92,'0100'!A334,'Daftar Koreksi'!$G$5:$G$92,"Aset Tak Berwujud",'Daftar Koreksi'!$H$5:$H$92,"&lt;0")</f>
        <v>0</v>
      </c>
      <c r="G344" s="17">
        <f t="shared" si="15"/>
        <v>252084520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50495111</v>
      </c>
      <c r="E345" s="25">
        <f>SUMIFS('Daftar Koreksi'!$H$5:$H$92,'Daftar Koreksi'!$D$5:$D$92,'0100'!A334,'Daftar Koreksi'!$G$5:$G$92,"Aset Henti Guna",'Daftar Koreksi'!$H$5:$H$92,"&gt;0")</f>
        <v>0</v>
      </c>
      <c r="F345" s="25">
        <f>SUMIFS('Daftar Koreksi'!$H$5:$H$92,'Daftar Koreksi'!$D$5:$D$92,'0100'!A334,'Daftar Koreksi'!$G$5:$G$92,"Aset Henti Guna",'Daftar Koreksi'!$H$5:$H$92,"&lt;0")-SUMIFS('Daftar Koreksi'!$H$5:$H$92,'Daftar Koreksi'!$D$5:$D$92,'0100'!A334,'Daftar Koreksi'!$G$5:$G$92,"Aset Henti Guna",'Daftar Koreksi'!$H$5:$H$92,"&lt;0")-SUMIFS('Daftar Koreksi'!$H$5:$H$92,'Daftar Koreksi'!$D$5:$D$92,'0100'!A334,'Daftar Koreksi'!$G$5:$G$92,"Aset Henti Guna",'Daftar Koreksi'!$H$5:$H$92,"&lt;0")</f>
        <v>0</v>
      </c>
      <c r="G345" s="17">
        <f t="shared" si="15"/>
        <v>50495111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17288137016</v>
      </c>
      <c r="E346" s="19">
        <f>SUM(E337:E345)</f>
        <v>0</v>
      </c>
      <c r="F346" s="19">
        <f>SUM(F337:F345)</f>
        <v>0</v>
      </c>
      <c r="G346" s="19">
        <f t="shared" si="15"/>
        <v>17288137016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-3603069460</v>
      </c>
      <c r="E347" s="25">
        <f>SUMIFS('Daftar Koreksi'!$I$5:$I$92,'Daftar Koreksi'!$D$5:$D$92,'0100'!A334,'Daftar Koreksi'!$G$5:$G$92,"Peralatan dan mesin",'Daftar Koreksi'!$I$5:$I$92,"&gt;0")</f>
        <v>0</v>
      </c>
      <c r="F347" s="25">
        <f>SUMIFS('Daftar Koreksi'!$I$5:$I$92,'Daftar Koreksi'!$D$5:$D$92,'0100'!A334,'Daftar Koreksi'!$G$5:$G$92,"Peralatan dan mesin",'Daftar Koreksi'!$I$5:$I$92,"&lt;0")-SUMIFS('Daftar Koreksi'!$I$5:$I$92,'Daftar Koreksi'!$D$5:$D$92,'0100'!A334,'Daftar Koreksi'!$G$5:$G$92,"Peralatan dan mesin",'Daftar Koreksi'!$I$5:$I$92,"&lt;0")-SUMIFS('Daftar Koreksi'!$I$5:$I$92,'Daftar Koreksi'!$D$5:$D$92,'0100'!A334,'Daftar Koreksi'!$G$5:$G$92,"Peralatan dan mesin",'Daftar Koreksi'!$I$5:$I$92,"&lt;0")</f>
        <v>0</v>
      </c>
      <c r="G347" s="17">
        <f t="shared" si="15"/>
        <v>-3603069460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-899784900</v>
      </c>
      <c r="E348" s="25">
        <f>SUMIFS('Daftar Koreksi'!$I$5:$I$92,'Daftar Koreksi'!$D$5:$D$92,'0100'!A334,'Daftar Koreksi'!$G$5:$G$92,"Gedung dan Bangunan",'Daftar Koreksi'!$I$5:$I$92,"&gt;0")</f>
        <v>0</v>
      </c>
      <c r="F348" s="25">
        <f>SUMIFS('Daftar Koreksi'!$I$5:$I$92,'Daftar Koreksi'!$D$5:$D$92,'0100'!A334,'Daftar Koreksi'!$G$5:$G$92,"Gedung dan Bangunan",'Daftar Koreksi'!$I$5:$I$92,"&lt;0")-SUMIFS('Daftar Koreksi'!$I$5:$I$92,'Daftar Koreksi'!$D$5:$D$92,'0100'!A334,'Daftar Koreksi'!$G$5:$G$92,"Gedung dan Bangunan",'Daftar Koreksi'!$I$5:$I$92,"&lt;0")-SUMIFS('Daftar Koreksi'!$I$5:$I$92,'Daftar Koreksi'!$D$5:$D$92,'0100'!A334,'Daftar Koreksi'!$G$5:$G$92,"Gedung dan Bangunan",'Daftar Koreksi'!$I$5:$I$92,"&lt;0")</f>
        <v>0</v>
      </c>
      <c r="G348" s="17">
        <f t="shared" si="15"/>
        <v>-899784900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-65805594</v>
      </c>
      <c r="E349" s="25">
        <f>SUMIFS('Daftar Koreksi'!$I$5:$I$92,'Daftar Koreksi'!$D$5:$D$92,'0100'!A334,'Daftar Koreksi'!$G$5:$G$92,"Jalan Irigasi Jaringan",'Daftar Koreksi'!$I$5:$I$92,"&gt;0")</f>
        <v>0</v>
      </c>
      <c r="F349" s="25">
        <f>SUMIFS('Daftar Koreksi'!$I$5:$I$92,'Daftar Koreksi'!$D$5:$D$92,'0100'!A334,'Daftar Koreksi'!$G$5:$G$92,"Jalan Irigasi Jaringan",'Daftar Koreksi'!$I$5:$I$92,"&lt;0")-SUMIFS('Daftar Koreksi'!$I$5:$I$92,'Daftar Koreksi'!$D$5:$D$92,'0100'!A334,'Daftar Koreksi'!$G$5:$G$92,"Jalan Irigasi Jaringan",'Daftar Koreksi'!$I$5:$I$92,"&lt;0")-SUMIFS('Daftar Koreksi'!$I$5:$I$92,'Daftar Koreksi'!$D$5:$D$92,'0100'!A334,'Daftar Koreksi'!$G$5:$G$92,"Jalan Irigasi Jaringan",'Daftar Koreksi'!$I$5:$I$92,"&lt;0")</f>
        <v>0</v>
      </c>
      <c r="G349" s="17">
        <f t="shared" si="15"/>
        <v>-65805594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Koreksi'!$D$5:$D$92,'0100'!A334,'Daftar Koreksi'!$G$5:$G$92,"Aset Tetap Lainnya",'Daftar Koreksi'!$I$5:$I$92,"&gt;0")</f>
        <v>0</v>
      </c>
      <c r="F350" s="25">
        <f>SUMIFS('Daftar Koreksi'!$I$5:$I$92,'Daftar Koreksi'!$D$5:$D$92,'0100'!A334,'Daftar Koreksi'!$G$5:$G$92,"Aset Tetap Lainnya",'Daftar Koreksi'!$I$5:$I$92,"&lt;0")-SUMIFS('Daftar Koreksi'!$I$5:$I$92,'Daftar Koreksi'!$D$5:$D$92,'0100'!A334,'Daftar Koreksi'!$G$5:$G$92,"Aset Tetap Lainnya",'Daftar Koreksi'!$I$5:$I$92,"&lt;0")-SUMIFS('Daftar Koreksi'!$I$5:$I$92,'Daftar Koreksi'!$D$5:$D$92,'0100'!A334,'Daftar Koreksi'!$G$5:$G$92,"Aset Tetap Lainnya",'Daftar Koreksi'!$I$5:$I$92,"&lt;0")</f>
        <v>0</v>
      </c>
      <c r="G350" s="17">
        <f t="shared" si="15"/>
        <v>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-50495111</v>
      </c>
      <c r="E351" s="25">
        <f>SUMIFS('Daftar Koreksi'!$I$5:$I$92,'Daftar Koreksi'!$D$5:$D$92,'0100'!A334,'Daftar Koreksi'!$G$5:$G$92,"Aset Henti Guna",'Daftar Koreksi'!$I$5:$I$92,"&gt;0")</f>
        <v>0</v>
      </c>
      <c r="F351" s="25">
        <f>SUMIFS('Daftar Koreksi'!$I$5:$I$92,'Daftar Koreksi'!$D$5:$D$92,'0100'!A334,'Daftar Koreksi'!$G$5:$G$92,"Aset Henti Guna",'Daftar Koreksi'!$I$5:$I$92,"&lt;0")-SUMIFS('Daftar Koreksi'!$I$5:$I$92,'Daftar Koreksi'!$D$5:$D$92,'0100'!A334,'Daftar Koreksi'!$G$5:$G$92,"Aset Henti Guna",'Daftar Koreksi'!$I$5:$I$92,"&lt;0")-SUMIFS('Daftar Koreksi'!$I$5:$I$92,'Daftar Koreksi'!$D$5:$D$92,'0100'!A334,'Daftar Koreksi'!$G$5:$G$92,"Aset Henti Guna",'Daftar Koreksi'!$I$5:$I$92,"&lt;0")</f>
        <v>0</v>
      </c>
      <c r="G351" s="17">
        <f t="shared" si="15"/>
        <v>-50495111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-4619155065</v>
      </c>
      <c r="E352" s="19">
        <f>SUM(E347:E351)</f>
        <v>0</v>
      </c>
      <c r="F352" s="19">
        <f>SUM(F347:F351)</f>
        <v>0</v>
      </c>
      <c r="G352" s="19">
        <f t="shared" si="15"/>
        <v>-4619155065</v>
      </c>
      <c r="H352" s="122"/>
    </row>
    <row r="353" spans="1:10" ht="21.95" customHeight="1">
      <c r="A353" s="14"/>
      <c r="B353" s="14"/>
      <c r="C353" s="18" t="s">
        <v>2095</v>
      </c>
      <c r="D353" s="19">
        <f>VLOOKUP(A334,'Neraca Unaudited SIMAK'!$A$2:$S$10004,18,FALSE)</f>
        <v>12668981951</v>
      </c>
      <c r="E353" s="19">
        <f>E352+E346</f>
        <v>0</v>
      </c>
      <c r="F353" s="19">
        <f>F352+F346</f>
        <v>0</v>
      </c>
      <c r="G353" s="19">
        <f t="shared" si="15"/>
        <v>12668981951</v>
      </c>
      <c r="H353" s="122"/>
    </row>
    <row r="354" spans="1:10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10" ht="19.5" customHeight="1">
      <c r="A356" s="11" t="str">
        <f>O17</f>
        <v>005010100663267000KD</v>
      </c>
      <c r="B356" s="11" t="str">
        <f>P17</f>
        <v>DILMIL.  II - 08 di Jakarta</v>
      </c>
      <c r="C356" s="12" t="str">
        <f>A356&amp;" "&amp;B356</f>
        <v>005010100663267000KD DILMIL.  II - 08 di Jakarta</v>
      </c>
      <c r="D356" s="13"/>
      <c r="E356" s="13"/>
      <c r="F356" s="13"/>
      <c r="G356" s="13"/>
      <c r="H356" s="11"/>
    </row>
    <row r="357" spans="1:10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10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10" ht="21.95" customHeight="1">
      <c r="A359" s="14"/>
      <c r="B359" s="14"/>
      <c r="C359" s="16" t="s">
        <v>1165</v>
      </c>
      <c r="D359" s="17">
        <f>VLOOKUP(A356,'Neraca Unaudited SIMAK'!$A$2:$S$10004,3,FALSE)</f>
        <v>0</v>
      </c>
      <c r="E359" s="25">
        <f>SUMIFS('Daftar Koreksi'!$H$5:$H$92,'Daftar Koreksi'!$D$5:$D$92,'0100'!A356,'Daftar Koreksi'!$G$5:$G$92,"Persediaan",'Daftar Koreksi'!$H$5:$H$92,"&gt;0")</f>
        <v>0</v>
      </c>
      <c r="F359" s="25">
        <f>SUMIFS('Daftar Koreksi'!$H$5:$H$92,'Daftar Koreksi'!$D$5:$D$92,'0100'!A356,'Daftar Koreksi'!$G$5:$G$92,"Persediaan",'Daftar Koreksi'!$H$5:$H$92,"&lt;0")-SUMIFS('Daftar Koreksi'!$H$5:$H$92,'Daftar Koreksi'!$D$5:$D$92,'0100'!A356,'Daftar Koreksi'!$G$5:$G$92,"Persediaan",'Daftar Koreksi'!$H$5:$H$92,"&lt;0")-SUMIFS('Daftar Koreksi'!$H$5:$H$92,'Daftar Koreksi'!$D$5:$D$92,'0100'!A356,'Daftar Koreksi'!$G$5:$G$92,"Persediaan",'Daftar Koreksi'!$H$5:$H$92,"&lt;0")</f>
        <v>0</v>
      </c>
      <c r="G359" s="17">
        <f>D359+E359-F359</f>
        <v>0</v>
      </c>
      <c r="H359" s="121" t="str">
        <f>IF(ISNA(VLOOKUP(A356,'Mutasi Neraca'!$A$3:$S$914,19,FALSE)),"-",VLOOKUP(A356,'Mutasi Neraca'!$A$3:$S$914,19,FALSE))</f>
        <v>-</v>
      </c>
      <c r="I359" s="28"/>
      <c r="J359" s="28"/>
    </row>
    <row r="360" spans="1:10" ht="21.95" customHeight="1">
      <c r="A360" s="14"/>
      <c r="B360" s="14"/>
      <c r="C360" s="16" t="s">
        <v>1166</v>
      </c>
      <c r="D360" s="17">
        <f>VLOOKUP(A356,'Neraca Unaudited SIMAK'!$A$2:$S$10004,4,FALSE)</f>
        <v>3990000000</v>
      </c>
      <c r="E360" s="25">
        <f>SUMIFS('Daftar Koreksi'!$H$5:$H$92,'Daftar Koreksi'!$D$5:$D$92,'0100'!A356,'Daftar Koreksi'!$G$5:$G$92,"Tanah",'Daftar Koreksi'!$H$5:$H$92,"&gt;0")</f>
        <v>0</v>
      </c>
      <c r="F360" s="25">
        <f>SUMIFS('Daftar Koreksi'!$H$5:$H$92,'Daftar Koreksi'!$D$5:$D$92,'0100'!A356,'Daftar Koreksi'!$G$5:$G$92,"Tanah",'Daftar Koreksi'!$H$5:$H$92,"&lt;0")-SUMIFS('Daftar Koreksi'!$H$5:$H$92,'Daftar Koreksi'!$D$5:$D$92,'0100'!A356,'Daftar Koreksi'!$G$5:$G$92,"Tanah",'Daftar Koreksi'!$H$5:$H$92,"&lt;0")-SUMIFS('Daftar Koreksi'!$H$5:$H$92,'Daftar Koreksi'!$D$5:$D$92,'0100'!A356,'Daftar Koreksi'!$G$5:$G$92,"Tanah",'Daftar Koreksi'!$H$5:$H$92,"&lt;0")</f>
        <v>0</v>
      </c>
      <c r="G360" s="17">
        <f t="shared" ref="G360:G376" si="16">D360+E360-F360</f>
        <v>3990000000</v>
      </c>
      <c r="H360" s="122"/>
      <c r="I360" s="28"/>
      <c r="J360" s="28"/>
    </row>
    <row r="361" spans="1:10" ht="21.95" customHeight="1">
      <c r="A361" s="14"/>
      <c r="B361" s="14"/>
      <c r="C361" s="16" t="s">
        <v>1167</v>
      </c>
      <c r="D361" s="17">
        <f>VLOOKUP(A356,'Neraca Unaudited SIMAK'!$A$2:$S$10004,5,FALSE)</f>
        <v>3891761637</v>
      </c>
      <c r="E361" s="25">
        <f>SUMIFS('Daftar Koreksi'!$H$5:$H$92,'Daftar Koreksi'!$D$5:$D$92,'0100'!A356,'Daftar Koreksi'!$G$5:$G$92,"Peralatan dan mesin",'Daftar Koreksi'!$H$5:$H$92,"&gt;0")</f>
        <v>0</v>
      </c>
      <c r="F361" s="25">
        <f>SUMIFS('Daftar Koreksi'!$H$5:$H$92,'Daftar Koreksi'!$D$5:$D$92,'0100'!A356,'Daftar Koreksi'!$G$5:$G$92,"Peralatan dan mesin",'Daftar Koreksi'!$H$5:$H$92,"&lt;0")-SUMIFS('Daftar Koreksi'!$H$5:$H$92,'Daftar Koreksi'!$D$5:$D$92,'0100'!A356,'Daftar Koreksi'!$G$5:$G$92,"Peralatan dan mesin",'Daftar Koreksi'!$H$5:$H$92,"&lt;0")-SUMIFS('Daftar Koreksi'!$H$5:$H$92,'Daftar Koreksi'!$D$5:$D$92,'0100'!A356,'Daftar Koreksi'!$G$5:$G$92,"Peralatan dan mesin",'Daftar Koreksi'!$H$5:$H$92,"&lt;0")</f>
        <v>0</v>
      </c>
      <c r="G361" s="17">
        <f t="shared" si="16"/>
        <v>3891761637</v>
      </c>
      <c r="H361" s="122"/>
      <c r="I361" s="28"/>
      <c r="J361" s="28"/>
    </row>
    <row r="362" spans="1:10" ht="21.95" customHeight="1">
      <c r="A362" s="14"/>
      <c r="B362" s="14"/>
      <c r="C362" s="16" t="s">
        <v>1168</v>
      </c>
      <c r="D362" s="17">
        <f>VLOOKUP(A356,'Neraca Unaudited SIMAK'!$A$2:$S$10004,6,FALSE)</f>
        <v>9012444700</v>
      </c>
      <c r="E362" s="25">
        <f>SUMIFS('Daftar Koreksi'!$H$5:$H$92,'Daftar Koreksi'!$D$5:$D$92,'0100'!A356,'Daftar Koreksi'!$G$5:$G$92,"Gedung dan Bangunan",'Daftar Koreksi'!$H$5:$H$92,"&gt;0")</f>
        <v>0</v>
      </c>
      <c r="F362" s="25">
        <f>SUMIFS('Daftar Koreksi'!$H$5:$H$92,'Daftar Koreksi'!$D$5:$D$92,'0100'!A356,'Daftar Koreksi'!$G$5:$G$92,"Gedung dan Bangunan",'Daftar Koreksi'!$H$5:$H$92,"&lt;0")-SUMIFS('Daftar Koreksi'!$H$5:$H$92,'Daftar Koreksi'!$D$5:$D$92,'0100'!A356,'Daftar Koreksi'!$G$5:$G$92,"Gedung dan Bangunan",'Daftar Koreksi'!$H$5:$H$92,"&lt;0")-SUMIFS('Daftar Koreksi'!$H$5:$H$92,'Daftar Koreksi'!$D$5:$D$92,'0100'!A356,'Daftar Koreksi'!$G$5:$G$92,"Gedung dan Bangunan",'Daftar Koreksi'!$H$5:$H$92,"&lt;0")</f>
        <v>0</v>
      </c>
      <c r="G362" s="17">
        <f t="shared" si="16"/>
        <v>9012444700</v>
      </c>
      <c r="H362" s="122"/>
      <c r="I362" s="28"/>
      <c r="J362" s="28"/>
    </row>
    <row r="363" spans="1:10" ht="21.95" customHeight="1">
      <c r="A363" s="14"/>
      <c r="B363" s="14"/>
      <c r="C363" s="16" t="s">
        <v>1169</v>
      </c>
      <c r="D363" s="17">
        <f>VLOOKUP(A356,'Neraca Unaudited SIMAK'!$A$2:$S$10004,7,FALSE)</f>
        <v>0</v>
      </c>
      <c r="E363" s="25">
        <f>SUMIFS('Daftar Koreksi'!$H$5:$H$92,'Daftar Koreksi'!$D$5:$D$92,'0100'!A356,'Daftar Koreksi'!$G$5:$G$92,"Jalan Irigasi Jaringan",'Daftar Koreksi'!$H$5:$H$92,"&gt;0")</f>
        <v>0</v>
      </c>
      <c r="F363" s="25">
        <f>SUMIFS('Daftar Koreksi'!$H$5:$H$92,'Daftar Koreksi'!$D$5:$D$92,'0100'!A356,'Daftar Koreksi'!$G$5:$G$92,"Jalan Irigasi Jaringan",'Daftar Koreksi'!$H$5:$H$92,"&lt;0")-SUMIFS('Daftar Koreksi'!$H$5:$H$92,'Daftar Koreksi'!$D$5:$D$92,'0100'!A356,'Daftar Koreksi'!$G$5:$G$92,"Jalan Irigasi Jaringan",'Daftar Koreksi'!$H$5:$H$92,"&lt;0")-SUMIFS('Daftar Koreksi'!$H$5:$H$92,'Daftar Koreksi'!$D$5:$D$92,'0100'!A356,'Daftar Koreksi'!$G$5:$G$92,"Jalan Irigasi Jaringan",'Daftar Koreksi'!$H$5:$H$92,"&lt;0")</f>
        <v>0</v>
      </c>
      <c r="G363" s="17">
        <f t="shared" si="16"/>
        <v>0</v>
      </c>
      <c r="H363" s="122"/>
      <c r="I363" s="28"/>
      <c r="J363" s="28"/>
    </row>
    <row r="364" spans="1:10" ht="21.95" customHeight="1">
      <c r="A364" s="14"/>
      <c r="B364" s="14"/>
      <c r="C364" s="16" t="s">
        <v>1170</v>
      </c>
      <c r="D364" s="17">
        <f>VLOOKUP(A356,'Neraca Unaudited SIMAK'!$A$2:$S$10004,8,FALSE)</f>
        <v>2683400</v>
      </c>
      <c r="E364" s="25">
        <f>SUMIFS('Daftar Koreksi'!$H$5:$H$92,'Daftar Koreksi'!$D$5:$D$92,'0100'!A356,'Daftar Koreksi'!$G$5:$G$92,"Aset Tetap Lainnya",'Daftar Koreksi'!$H$5:$H$92,"&gt;0")</f>
        <v>0</v>
      </c>
      <c r="F364" s="25">
        <f>SUMIFS('Daftar Koreksi'!$H$5:$H$92,'Daftar Koreksi'!$D$5:$D$92,'0100'!A356,'Daftar Koreksi'!$G$5:$G$92,"Aset Tetap Lainnya",'Daftar Koreksi'!$H$5:$H$92,"&lt;0")-SUMIFS('Daftar Koreksi'!$H$5:$H$92,'Daftar Koreksi'!$D$5:$D$92,'0100'!A356,'Daftar Koreksi'!$G$5:$G$92,"Aset Tetap Lainnya",'Daftar Koreksi'!$H$5:$H$92,"&lt;0")-SUMIFS('Daftar Koreksi'!$H$5:$H$92,'Daftar Koreksi'!$D$5:$D$92,'0100'!A356,'Daftar Koreksi'!$G$5:$G$92,"Aset Tetap Lainnya",'Daftar Koreksi'!$H$5:$H$92,"&lt;0")</f>
        <v>0</v>
      </c>
      <c r="G364" s="17">
        <f t="shared" si="16"/>
        <v>2683400</v>
      </c>
      <c r="H364" s="122"/>
      <c r="I364" s="28"/>
      <c r="J364" s="28"/>
    </row>
    <row r="365" spans="1:10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Koreksi'!$D$5:$D$92,'0100'!A356,'Daftar Koreksi'!$G$5:$G$92,"Kontruksi Dalam Pengerjaan",'Daftar Koreksi'!$H$5:$H$92,"&gt;0")</f>
        <v>0</v>
      </c>
      <c r="F365" s="25">
        <f>SUMIFS('Daftar Koreksi'!$H$5:$H$92,'Daftar Koreksi'!$D$5:$D$92,'0100'!A356,'Daftar Koreksi'!$G$5:$G$92,"Kontruksi Dalam Pengerjaan",'Daftar Koreksi'!$H$5:$H$92,"&lt;0")-SUMIFS('Daftar Koreksi'!$H$5:$H$92,'Daftar Koreksi'!$D$5:$D$92,'0100'!A356,'Daftar Koreksi'!$G$5:$G$92,"Kontruksi Dalam Pengerjaan",'Daftar Koreksi'!$H$5:$H$92,"&lt;0")-SUMIFS('Daftar Koreksi'!$H$5:$H$92,'Daftar Koreksi'!$D$5:$D$92,'0100'!A356,'Daftar Koreksi'!$G$5:$G$92,"Kontruksi Dalam Pengerjaan",'Daftar Koreksi'!$H$5:$H$92,"&lt;0")</f>
        <v>0</v>
      </c>
      <c r="G365" s="17">
        <f t="shared" si="16"/>
        <v>0</v>
      </c>
      <c r="H365" s="122"/>
      <c r="I365" s="28"/>
      <c r="J365" s="28"/>
    </row>
    <row r="366" spans="1:10" ht="21.95" customHeight="1">
      <c r="A366" s="14"/>
      <c r="B366" s="14"/>
      <c r="C366" s="16" t="s">
        <v>1172</v>
      </c>
      <c r="D366" s="17">
        <f>VLOOKUP(A356,'Neraca Unaudited SIMAK'!$A$2:$S$10004,10,FALSE)</f>
        <v>111918750</v>
      </c>
      <c r="E366" s="25">
        <f>SUMIFS('Daftar Koreksi'!$H$5:$H$92,'Daftar Koreksi'!$D$5:$D$92,'0100'!A356,'Daftar Koreksi'!$G$5:$G$92,"Aset Tak Berwujud",'Daftar Koreksi'!$H$5:$H$92,"&gt;0")</f>
        <v>0</v>
      </c>
      <c r="F366" s="25">
        <f>SUMIFS('Daftar Koreksi'!$H$5:$H$92,'Daftar Koreksi'!$D$5:$D$92,'0100'!A356,'Daftar Koreksi'!$G$5:$G$92,"Aset Tak Berwujud",'Daftar Koreksi'!$H$5:$H$92,"&lt;0")-SUMIFS('Daftar Koreksi'!$H$5:$H$92,'Daftar Koreksi'!$D$5:$D$92,'0100'!A356,'Daftar Koreksi'!$G$5:$G$92,"Aset Tak Berwujud",'Daftar Koreksi'!$H$5:$H$92,"&lt;0")-SUMIFS('Daftar Koreksi'!$H$5:$H$92,'Daftar Koreksi'!$D$5:$D$92,'0100'!A356,'Daftar Koreksi'!$G$5:$G$92,"Aset Tak Berwujud",'Daftar Koreksi'!$H$5:$H$92,"&lt;0")</f>
        <v>0</v>
      </c>
      <c r="G366" s="17">
        <f t="shared" si="16"/>
        <v>111918750</v>
      </c>
      <c r="H366" s="122"/>
      <c r="I366" s="28"/>
      <c r="J366" s="28"/>
    </row>
    <row r="367" spans="1:10" ht="21.95" customHeight="1">
      <c r="A367" s="14"/>
      <c r="B367" s="14"/>
      <c r="C367" s="16" t="s">
        <v>1173</v>
      </c>
      <c r="D367" s="17">
        <f>VLOOKUP(A356,'Neraca Unaudited SIMAK'!$A$2:$S$10004,11,FALSE)</f>
        <v>104428930</v>
      </c>
      <c r="E367" s="25">
        <f>SUMIFS('Daftar Koreksi'!$H$5:$H$92,'Daftar Koreksi'!$D$5:$D$92,'0100'!A356,'Daftar Koreksi'!$G$5:$G$92,"Aset Henti Guna",'Daftar Koreksi'!$H$5:$H$92,"&gt;0")</f>
        <v>0</v>
      </c>
      <c r="F367" s="25">
        <f>SUMIFS('Daftar Koreksi'!$H$5:$H$92,'Daftar Koreksi'!$D$5:$D$92,'0100'!A356,'Daftar Koreksi'!$G$5:$G$92,"Aset Henti Guna",'Daftar Koreksi'!$H$5:$H$92,"&lt;0")-SUMIFS('Daftar Koreksi'!$H$5:$H$92,'Daftar Koreksi'!$D$5:$D$92,'0100'!A356,'Daftar Koreksi'!$G$5:$G$92,"Aset Henti Guna",'Daftar Koreksi'!$H$5:$H$92,"&lt;0")-SUMIFS('Daftar Koreksi'!$H$5:$H$92,'Daftar Koreksi'!$D$5:$D$92,'0100'!A356,'Daftar Koreksi'!$G$5:$G$92,"Aset Henti Guna",'Daftar Koreksi'!$H$5:$H$92,"&lt;0")</f>
        <v>0</v>
      </c>
      <c r="G367" s="17">
        <f t="shared" si="16"/>
        <v>104428930</v>
      </c>
      <c r="H367" s="122"/>
      <c r="I367" s="28"/>
      <c r="J367" s="28"/>
    </row>
    <row r="368" spans="1:10" ht="21.95" customHeight="1">
      <c r="A368" s="14"/>
      <c r="B368" s="14"/>
      <c r="C368" s="18" t="s">
        <v>2093</v>
      </c>
      <c r="D368" s="19">
        <f>VLOOKUP(A356,'Neraca Unaudited SIMAK'!$A$2:$S$10004,12,FALSE)</f>
        <v>17113237417</v>
      </c>
      <c r="E368" s="19">
        <f>SUM(E359:E367)</f>
        <v>0</v>
      </c>
      <c r="F368" s="19">
        <f>SUM(F359:F367)</f>
        <v>0</v>
      </c>
      <c r="G368" s="19">
        <f t="shared" si="16"/>
        <v>17113237417</v>
      </c>
      <c r="H368" s="122"/>
      <c r="I368" s="28"/>
      <c r="J368" s="28"/>
    </row>
    <row r="369" spans="1:10" ht="21.95" customHeight="1">
      <c r="A369" s="14"/>
      <c r="B369" s="14"/>
      <c r="C369" s="16" t="s">
        <v>2087</v>
      </c>
      <c r="D369" s="17">
        <f>VLOOKUP(A356,'Neraca Unaudited SIMAK'!$A$2:$S$10004,13,FALSE)</f>
        <v>-3153793386</v>
      </c>
      <c r="E369" s="25">
        <f>SUMIFS('Daftar Koreksi'!$I$5:$I$92,'Daftar Koreksi'!$D$5:$D$92,'0100'!A356,'Daftar Koreksi'!$G$5:$G$92,"Peralatan dan mesin",'Daftar Koreksi'!$I$5:$I$92,"&gt;0")</f>
        <v>0</v>
      </c>
      <c r="F369" s="25">
        <f>SUMIFS('Daftar Koreksi'!$I$5:$I$92,'Daftar Koreksi'!$D$5:$D$92,'0100'!A356,'Daftar Koreksi'!$G$5:$G$92,"Peralatan dan mesin",'Daftar Koreksi'!$I$5:$I$92,"&lt;0")-SUMIFS('Daftar Koreksi'!$I$5:$I$92,'Daftar Koreksi'!$D$5:$D$92,'0100'!A356,'Daftar Koreksi'!$G$5:$G$92,"Peralatan dan mesin",'Daftar Koreksi'!$I$5:$I$92,"&lt;0")-SUMIFS('Daftar Koreksi'!$I$5:$I$92,'Daftar Koreksi'!$D$5:$D$92,'0100'!A356,'Daftar Koreksi'!$G$5:$G$92,"Peralatan dan mesin",'Daftar Koreksi'!$I$5:$I$92,"&lt;0")</f>
        <v>0</v>
      </c>
      <c r="G369" s="17">
        <f t="shared" si="16"/>
        <v>-3153793386</v>
      </c>
      <c r="H369" s="122"/>
      <c r="I369" s="28"/>
      <c r="J369" s="28"/>
    </row>
    <row r="370" spans="1:10" ht="21.95" customHeight="1">
      <c r="A370" s="14"/>
      <c r="B370" s="14"/>
      <c r="C370" s="16" t="s">
        <v>2088</v>
      </c>
      <c r="D370" s="17">
        <f>VLOOKUP(A356,'Neraca Unaudited SIMAK'!$A$2:$S$10004,14,FALSE)</f>
        <v>-1168722661</v>
      </c>
      <c r="E370" s="25">
        <f>SUMIFS('Daftar Koreksi'!$I$5:$I$92,'Daftar Koreksi'!$D$5:$D$92,'0100'!A356,'Daftar Koreksi'!$G$5:$G$92,"Gedung dan Bangunan",'Daftar Koreksi'!$I$5:$I$92,"&gt;0")</f>
        <v>0</v>
      </c>
      <c r="F370" s="25">
        <f>SUMIFS('Daftar Koreksi'!$I$5:$I$92,'Daftar Koreksi'!$D$5:$D$92,'0100'!A356,'Daftar Koreksi'!$G$5:$G$92,"Gedung dan Bangunan",'Daftar Koreksi'!$I$5:$I$92,"&lt;0")-SUMIFS('Daftar Koreksi'!$I$5:$I$92,'Daftar Koreksi'!$D$5:$D$92,'0100'!A356,'Daftar Koreksi'!$G$5:$G$92,"Gedung dan Bangunan",'Daftar Koreksi'!$I$5:$I$92,"&lt;0")-SUMIFS('Daftar Koreksi'!$I$5:$I$92,'Daftar Koreksi'!$D$5:$D$92,'0100'!A356,'Daftar Koreksi'!$G$5:$G$92,"Gedung dan Bangunan",'Daftar Koreksi'!$I$5:$I$92,"&lt;0")</f>
        <v>0</v>
      </c>
      <c r="G370" s="17">
        <f t="shared" si="16"/>
        <v>-1168722661</v>
      </c>
      <c r="H370" s="122"/>
      <c r="I370" s="28"/>
      <c r="J370" s="28"/>
    </row>
    <row r="371" spans="1:10" ht="21.95" customHeight="1">
      <c r="A371" s="14"/>
      <c r="B371" s="14"/>
      <c r="C371" s="16" t="s">
        <v>2089</v>
      </c>
      <c r="D371" s="17">
        <f>VLOOKUP(A356,'Neraca Unaudited SIMAK'!$A$2:$S$10004,15,FALSE)</f>
        <v>0</v>
      </c>
      <c r="E371" s="25">
        <f>SUMIFS('Daftar Koreksi'!$I$5:$I$92,'Daftar Koreksi'!$D$5:$D$92,'0100'!A356,'Daftar Koreksi'!$G$5:$G$92,"Jalan Irigasi Jaringan",'Daftar Koreksi'!$I$5:$I$92,"&gt;0")</f>
        <v>0</v>
      </c>
      <c r="F371" s="25">
        <f>SUMIFS('Daftar Koreksi'!$I$5:$I$92,'Daftar Koreksi'!$D$5:$D$92,'0100'!A356,'Daftar Koreksi'!$G$5:$G$92,"Jalan Irigasi Jaringan",'Daftar Koreksi'!$I$5:$I$92,"&lt;0")-SUMIFS('Daftar Koreksi'!$I$5:$I$92,'Daftar Koreksi'!$D$5:$D$92,'0100'!A356,'Daftar Koreksi'!$G$5:$G$92,"Jalan Irigasi Jaringan",'Daftar Koreksi'!$I$5:$I$92,"&lt;0")-SUMIFS('Daftar Koreksi'!$I$5:$I$92,'Daftar Koreksi'!$D$5:$D$92,'0100'!A356,'Daftar Koreksi'!$G$5:$G$92,"Jalan Irigasi Jaringan",'Daftar Koreksi'!$I$5:$I$92,"&lt;0")</f>
        <v>0</v>
      </c>
      <c r="G371" s="17">
        <f t="shared" si="16"/>
        <v>0</v>
      </c>
      <c r="H371" s="122"/>
      <c r="I371" s="28"/>
      <c r="J371" s="28"/>
    </row>
    <row r="372" spans="1:10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Koreksi'!$D$5:$D$92,'0100'!A356,'Daftar Koreksi'!$G$5:$G$92,"Aset Tetap Lainnya",'Daftar Koreksi'!$I$5:$I$92,"&gt;0")</f>
        <v>0</v>
      </c>
      <c r="F372" s="25">
        <f>SUMIFS('Daftar Koreksi'!$I$5:$I$92,'Daftar Koreksi'!$D$5:$D$92,'0100'!A356,'Daftar Koreksi'!$G$5:$G$92,"Aset Tetap Lainnya",'Daftar Koreksi'!$I$5:$I$92,"&lt;0")-SUMIFS('Daftar Koreksi'!$I$5:$I$92,'Daftar Koreksi'!$D$5:$D$92,'0100'!A356,'Daftar Koreksi'!$G$5:$G$92,"Aset Tetap Lainnya",'Daftar Koreksi'!$I$5:$I$92,"&lt;0")-SUMIFS('Daftar Koreksi'!$I$5:$I$92,'Daftar Koreksi'!$D$5:$D$92,'0100'!A356,'Daftar Koreksi'!$G$5:$G$92,"Aset Tetap Lainnya",'Daftar Koreksi'!$I$5:$I$92,"&lt;0")</f>
        <v>0</v>
      </c>
      <c r="G372" s="17">
        <f t="shared" si="16"/>
        <v>0</v>
      </c>
      <c r="H372" s="122"/>
      <c r="I372" s="28"/>
      <c r="J372" s="28"/>
    </row>
    <row r="373" spans="1:10" ht="21.95" customHeight="1">
      <c r="A373" s="14"/>
      <c r="B373" s="14"/>
      <c r="C373" s="16" t="s">
        <v>2020</v>
      </c>
      <c r="D373" s="17">
        <f>VLOOKUP(A356,'Neraca Unaudited SIMAK'!$A$2:$S$10004,17,FALSE)</f>
        <v>-104205630</v>
      </c>
      <c r="E373" s="25">
        <f>SUMIFS('Daftar Koreksi'!$I$5:$I$92,'Daftar Koreksi'!$D$5:$D$92,'0100'!A356,'Daftar Koreksi'!$G$5:$G$92,"Aset Henti Guna",'Daftar Koreksi'!$I$5:$I$92,"&gt;0")</f>
        <v>0</v>
      </c>
      <c r="F373" s="25">
        <f>SUMIFS('Daftar Koreksi'!$I$5:$I$92,'Daftar Koreksi'!$D$5:$D$92,'0100'!A356,'Daftar Koreksi'!$G$5:$G$92,"Aset Henti Guna",'Daftar Koreksi'!$I$5:$I$92,"&lt;0")-SUMIFS('Daftar Koreksi'!$I$5:$I$92,'Daftar Koreksi'!$D$5:$D$92,'0100'!A356,'Daftar Koreksi'!$G$5:$G$92,"Aset Henti Guna",'Daftar Koreksi'!$I$5:$I$92,"&lt;0")-SUMIFS('Daftar Koreksi'!$I$5:$I$92,'Daftar Koreksi'!$D$5:$D$92,'0100'!A356,'Daftar Koreksi'!$G$5:$G$92,"Aset Henti Guna",'Daftar Koreksi'!$I$5:$I$92,"&lt;0")</f>
        <v>0</v>
      </c>
      <c r="G373" s="17">
        <f t="shared" si="16"/>
        <v>-104205630</v>
      </c>
      <c r="H373" s="122"/>
      <c r="I373" s="28"/>
      <c r="J373" s="28"/>
    </row>
    <row r="374" spans="1:10" ht="21.95" customHeight="1">
      <c r="A374" s="14"/>
      <c r="B374" s="14"/>
      <c r="C374" s="18" t="s">
        <v>2094</v>
      </c>
      <c r="D374" s="19">
        <f>SUM(D369:D373)</f>
        <v>-4426721677</v>
      </c>
      <c r="E374" s="19">
        <f>SUM(E369:E373)</f>
        <v>0</v>
      </c>
      <c r="F374" s="19">
        <f>SUM(F369:F373)</f>
        <v>0</v>
      </c>
      <c r="G374" s="19">
        <f t="shared" si="16"/>
        <v>-4426721677</v>
      </c>
      <c r="H374" s="122"/>
      <c r="I374" s="28"/>
      <c r="J374" s="28"/>
    </row>
    <row r="375" spans="1:10" ht="21.95" customHeight="1">
      <c r="A375" s="14"/>
      <c r="B375" s="14"/>
      <c r="C375" s="18" t="s">
        <v>2095</v>
      </c>
      <c r="D375" s="19">
        <f>VLOOKUP(A356,'Neraca Unaudited SIMAK'!$A$2:$S$10004,18,FALSE)</f>
        <v>12686515740</v>
      </c>
      <c r="E375" s="19">
        <f>E374+E368</f>
        <v>0</v>
      </c>
      <c r="F375" s="19">
        <f>F374+F368</f>
        <v>0</v>
      </c>
      <c r="G375" s="19">
        <f t="shared" si="16"/>
        <v>12686515740</v>
      </c>
      <c r="H375" s="122"/>
      <c r="I375" s="28"/>
      <c r="J375" s="28"/>
    </row>
    <row r="376" spans="1:10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  <c r="I376" s="28"/>
      <c r="J376" s="28"/>
    </row>
  </sheetData>
  <mergeCells count="102">
    <mergeCell ref="H359:H376"/>
    <mergeCell ref="H227:H244"/>
    <mergeCell ref="H249:H266"/>
    <mergeCell ref="H271:H288"/>
    <mergeCell ref="H293:H310"/>
    <mergeCell ref="H315:H332"/>
    <mergeCell ref="H117:H134"/>
    <mergeCell ref="H139:H156"/>
    <mergeCell ref="H161:H178"/>
    <mergeCell ref="H183:H200"/>
    <mergeCell ref="H205:H222"/>
    <mergeCell ref="H269:H270"/>
    <mergeCell ref="H29:H46"/>
    <mergeCell ref="H51:H68"/>
    <mergeCell ref="H73:H90"/>
    <mergeCell ref="H95:H112"/>
    <mergeCell ref="C357:C358"/>
    <mergeCell ref="D357:D358"/>
    <mergeCell ref="E357:F357"/>
    <mergeCell ref="G357:G358"/>
    <mergeCell ref="H357:H358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337:H354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14" scale="88" orientation="portrait" r:id="rId1"/>
  <headerFooter>
    <oddFooter>&amp;R&amp;F - &amp;A</oddFooter>
  </headerFooter>
  <rowBreaks count="7" manualBreakCount="7">
    <brk id="91" max="7" man="1"/>
    <brk id="135" max="7" man="1"/>
    <brk id="179" max="7" man="1"/>
    <brk id="223" max="7" man="1"/>
    <brk id="267" max="7" man="1"/>
    <brk id="311" max="7" man="1"/>
    <brk id="355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1080"/>
  <sheetViews>
    <sheetView view="pageBreakPreview" topLeftCell="C34" zoomScale="90" zoomScaleSheetLayoutView="90" workbookViewId="0">
      <selection activeCell="O49" sqref="O49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5.710937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27</v>
      </c>
      <c r="P1" s="8" t="s">
        <v>1191</v>
      </c>
    </row>
    <row r="2" spans="1:16" ht="19.5" customHeight="1">
      <c r="C2" s="9" t="s">
        <v>2097</v>
      </c>
      <c r="O2" s="8" t="s">
        <v>28</v>
      </c>
      <c r="P2" s="8" t="s">
        <v>1192</v>
      </c>
    </row>
    <row r="3" spans="1:16" ht="19.5" customHeight="1">
      <c r="O3" s="8" t="s">
        <v>29</v>
      </c>
      <c r="P3" s="8" t="s">
        <v>1193</v>
      </c>
    </row>
    <row r="4" spans="1:16" ht="19.5" customHeight="1">
      <c r="A4" s="11" t="str">
        <f>O1</f>
        <v>005010200097500000KD</v>
      </c>
      <c r="B4" s="11" t="str">
        <f>P1</f>
        <v>PT. Bandung</v>
      </c>
      <c r="C4" s="12" t="str">
        <f>A4&amp;" "&amp;B4</f>
        <v>005010200097500000KD PT. Bandung</v>
      </c>
      <c r="D4" s="13"/>
      <c r="E4" s="13"/>
      <c r="F4" s="13"/>
      <c r="G4" s="13"/>
      <c r="H4" s="11"/>
      <c r="O4" s="8" t="s">
        <v>30</v>
      </c>
      <c r="P4" s="8" t="s">
        <v>1194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31</v>
      </c>
      <c r="P5" s="8" t="s">
        <v>1195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32</v>
      </c>
      <c r="P6" s="8" t="s">
        <v>1196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28439055</v>
      </c>
      <c r="E7" s="25">
        <f>SUMIFS('Daftar Koreksi'!$H$5:$H$92,'Daftar Koreksi'!$D$5:$D$92,'0200'!A4,'Daftar Koreksi'!$G$5:$G$92,"Persediaan",'Daftar Koreksi'!$H$5:$H$92,"&gt;0")</f>
        <v>0</v>
      </c>
      <c r="F7" s="25">
        <f>SUMIFS('Daftar Koreksi'!$H$5:$H$92,'Daftar Koreksi'!$D$5:$D$92,'0200'!A4,'Daftar Koreksi'!$G$5:$G$92,"Persediaan",'Daftar Koreksi'!$H$5:$H$92,"&lt;0")-SUMIFS('Daftar Koreksi'!$H$5:$H$92,'Daftar Koreksi'!$D$5:$D$92,'0200'!A4,'Daftar Koreksi'!$G$5:$G$92,"Persediaan",'Daftar Koreksi'!$H$5:$H$92,"&lt;0")-SUMIFS('Daftar Koreksi'!$H$5:$H$92,'Daftar Koreksi'!$D$5:$D$92,'0200'!A4,'Daftar Koreksi'!$G$5:$G$92,"Persediaan",'Daftar Koreksi'!$H$5:$H$92,"&lt;0")</f>
        <v>0</v>
      </c>
      <c r="G7" s="17">
        <f>D7+E7-F7</f>
        <v>28439055</v>
      </c>
      <c r="H7" s="121" t="str">
        <f>IF(ISNA(VLOOKUP(A4,'Mutasi Neraca'!$A$3:$S$914,19,FALSE)),"-",VLOOKUP(A4,'Mutasi Neraca'!$A$3:$S$914,19,FALSE))</f>
        <v>-</v>
      </c>
      <c r="I7" s="28"/>
      <c r="J7" s="28"/>
      <c r="O7" s="8" t="s">
        <v>33</v>
      </c>
      <c r="P7" s="8" t="s">
        <v>1197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33360400001</v>
      </c>
      <c r="E8" s="25">
        <f>SUMIFS('Daftar Koreksi'!$H$5:$H$92,'Daftar Koreksi'!$D$5:$D$92,'0200'!A4,'Daftar Koreksi'!$G$5:$G$92,"Tanah",'Daftar Koreksi'!$H$5:$H$92,"&gt;0")</f>
        <v>0</v>
      </c>
      <c r="F8" s="25">
        <f>SUMIFS('Daftar Koreksi'!$H$5:$H$92,'Daftar Koreksi'!$D$5:$D$92,'0200'!A4,'Daftar Koreksi'!$G$5:$G$92,"Tanah",'Daftar Koreksi'!$H$5:$H$92,"&lt;0")-SUMIFS('Daftar Koreksi'!$H$5:$H$92,'Daftar Koreksi'!$D$5:$D$92,'0200'!A4,'Daftar Koreksi'!$G$5:$G$92,"Tanah",'Daftar Koreksi'!$H$5:$H$92,"&lt;0")-SUMIFS('Daftar Koreksi'!$H$5:$H$92,'Daftar Koreksi'!$D$5:$D$92,'0200'!A4,'Daftar Koreksi'!$G$5:$G$92,"Tanah",'Daftar Koreksi'!$H$5:$H$92,"&lt;0")</f>
        <v>0</v>
      </c>
      <c r="G8" s="17">
        <f t="shared" ref="G8:G24" si="0">D8+E8-F8</f>
        <v>33360400001</v>
      </c>
      <c r="H8" s="122"/>
      <c r="I8" s="28"/>
      <c r="J8" s="28"/>
      <c r="O8" s="8" t="s">
        <v>34</v>
      </c>
      <c r="P8" s="8" t="s">
        <v>1198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7779069488</v>
      </c>
      <c r="E9" s="25">
        <f>SUMIFS('Daftar Koreksi'!$H$5:$H$92,'Daftar Koreksi'!$D$5:$D$92,'0200'!A4,'Daftar Koreksi'!$G$5:$G$92,"Peralatan dan mesin",'Daftar Koreksi'!$H$5:$H$92,"&gt;0")</f>
        <v>0</v>
      </c>
      <c r="F9" s="25">
        <f>SUMIFS('Daftar Koreksi'!$H$5:$H$92,'Daftar Koreksi'!$D$5:$D$92,'0200'!A4,'Daftar Koreksi'!$G$5:$G$92,"Peralatan dan mesin",'Daftar Koreksi'!$H$5:$H$92,"&lt;0")-SUMIFS('Daftar Koreksi'!$H$5:$H$92,'Daftar Koreksi'!$D$5:$D$92,'0200'!A4,'Daftar Koreksi'!$G$5:$G$92,"Peralatan dan mesin",'Daftar Koreksi'!$H$5:$H$92,"&lt;0")-SUMIFS('Daftar Koreksi'!$H$5:$H$92,'Daftar Koreksi'!$D$5:$D$92,'0200'!A4,'Daftar Koreksi'!$G$5:$G$92,"Peralatan dan mesin",'Daftar Koreksi'!$H$5:$H$92,"&lt;0")</f>
        <v>0</v>
      </c>
      <c r="G9" s="17">
        <f t="shared" si="0"/>
        <v>7779069488</v>
      </c>
      <c r="H9" s="122"/>
      <c r="I9" s="28"/>
      <c r="J9" s="28"/>
      <c r="O9" s="8" t="s">
        <v>35</v>
      </c>
      <c r="P9" s="8" t="s">
        <v>1199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32469555007</v>
      </c>
      <c r="E10" s="25">
        <f>SUMIFS('Daftar Koreksi'!$H$5:$H$92,'Daftar Koreksi'!$D$5:$D$92,'0200'!A4,'Daftar Koreksi'!$G$5:$G$92,"Gedung dan Bangunan",'Daftar Koreksi'!$H$5:$H$92,"&gt;0")</f>
        <v>0</v>
      </c>
      <c r="F10" s="25">
        <f>SUMIFS('Daftar Koreksi'!$H$5:$H$92,'Daftar Koreksi'!$D$5:$D$92,'0200'!A4,'Daftar Koreksi'!$G$5:$G$92,"Gedung dan Bangunan",'Daftar Koreksi'!$H$5:$H$92,"&lt;0")-SUMIFS('Daftar Koreksi'!$H$5:$H$92,'Daftar Koreksi'!$D$5:$D$92,'0200'!A4,'Daftar Koreksi'!$G$5:$G$92,"Gedung dan Bangunan",'Daftar Koreksi'!$H$5:$H$92,"&lt;0")-SUMIFS('Daftar Koreksi'!$H$5:$H$92,'Daftar Koreksi'!$D$5:$D$92,'0200'!A4,'Daftar Koreksi'!$G$5:$G$92,"Gedung dan Bangunan",'Daftar Koreksi'!$H$5:$H$92,"&lt;0")</f>
        <v>0</v>
      </c>
      <c r="G10" s="17">
        <f t="shared" si="0"/>
        <v>32469555007</v>
      </c>
      <c r="H10" s="122"/>
      <c r="I10" s="28"/>
      <c r="J10" s="28"/>
      <c r="O10" s="8" t="s">
        <v>36</v>
      </c>
      <c r="P10" s="8" t="s">
        <v>1200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0</v>
      </c>
      <c r="E11" s="25">
        <f>SUMIFS('Daftar Koreksi'!$H$5:$H$92,'Daftar Koreksi'!$D$5:$D$92,'0200'!A4,'Daftar Koreksi'!$G$5:$G$92,"Jalan Irigasi Jaringan",'Daftar Koreksi'!$H$5:$H$92,"&gt;0")</f>
        <v>0</v>
      </c>
      <c r="F11" s="25">
        <f>SUMIFS('Daftar Koreksi'!$H$5:$H$92,'Daftar Koreksi'!$D$5:$D$92,'0200'!A4,'Daftar Koreksi'!$G$5:$G$92,"Jalan Irigasi Jaringan",'Daftar Koreksi'!$H$5:$H$92,"&lt;0")-SUMIFS('Daftar Koreksi'!$H$5:$H$92,'Daftar Koreksi'!$D$5:$D$92,'0200'!A4,'Daftar Koreksi'!$G$5:$G$92,"Jalan Irigasi Jaringan",'Daftar Koreksi'!$H$5:$H$92,"&lt;0")-SUMIFS('Daftar Koreksi'!$H$5:$H$92,'Daftar Koreksi'!$D$5:$D$92,'0200'!A4,'Daftar Koreksi'!$G$5:$G$92,"Jalan Irigasi Jaringan",'Daftar Koreksi'!$H$5:$H$92,"&lt;0")</f>
        <v>0</v>
      </c>
      <c r="G11" s="17">
        <f t="shared" si="0"/>
        <v>0</v>
      </c>
      <c r="H11" s="122"/>
      <c r="I11" s="28"/>
      <c r="J11" s="28"/>
      <c r="O11" s="8" t="s">
        <v>37</v>
      </c>
      <c r="P11" s="8" t="s">
        <v>1201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21148062</v>
      </c>
      <c r="E12" s="25">
        <f>SUMIFS('Daftar Koreksi'!$H$5:$H$92,'Daftar Koreksi'!$D$5:$D$92,'0200'!A4,'Daftar Koreksi'!$G$5:$G$92,"Aset Tetap Lainnya",'Daftar Koreksi'!$H$5:$H$92,"&gt;0")</f>
        <v>0</v>
      </c>
      <c r="F12" s="25">
        <f>SUMIFS('Daftar Koreksi'!$H$5:$H$92,'Daftar Koreksi'!$D$5:$D$92,'0200'!A4,'Daftar Koreksi'!$G$5:$G$92,"Aset Tetap Lainnya",'Daftar Koreksi'!$H$5:$H$92,"&lt;0")-SUMIFS('Daftar Koreksi'!$H$5:$H$92,'Daftar Koreksi'!$D$5:$D$92,'0200'!A4,'Daftar Koreksi'!$G$5:$G$92,"Aset Tetap Lainnya",'Daftar Koreksi'!$H$5:$H$92,"&lt;0")-SUMIFS('Daftar Koreksi'!$H$5:$H$92,'Daftar Koreksi'!$D$5:$D$92,'0200'!A4,'Daftar Koreksi'!$G$5:$G$92,"Aset Tetap Lainnya",'Daftar Koreksi'!$H$5:$H$92,"&lt;0")</f>
        <v>0</v>
      </c>
      <c r="G12" s="17">
        <f t="shared" si="0"/>
        <v>21148062</v>
      </c>
      <c r="H12" s="122"/>
      <c r="I12" s="28"/>
      <c r="J12" s="28"/>
      <c r="O12" s="8" t="s">
        <v>38</v>
      </c>
      <c r="P12" s="8" t="s">
        <v>1202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1458153000</v>
      </c>
      <c r="E13" s="25">
        <f>SUMIFS('Daftar Koreksi'!$H$5:$H$92,'Daftar Koreksi'!$D$5:$D$92,'0200'!A4,'Daftar Koreksi'!$G$5:$G$92,"Kontruksi Dalam Pengerjaan",'Daftar Koreksi'!$H$5:$H$92,"&gt;0")</f>
        <v>0</v>
      </c>
      <c r="F13" s="25">
        <f>SUMIFS('Daftar Koreksi'!$H$5:$H$92,'Daftar Koreksi'!$D$5:$D$92,'0200'!A4,'Daftar Koreksi'!$G$5:$G$92,"Kontruksi Dalam Pengerjaan",'Daftar Koreksi'!$H$5:$H$92,"&lt;0")-SUMIFS('Daftar Koreksi'!$H$5:$H$92,'Daftar Koreksi'!$D$5:$D$92,'0200'!A4,'Daftar Koreksi'!$G$5:$G$92,"Kontruksi Dalam Pengerjaan",'Daftar Koreksi'!$H$5:$H$92,"&lt;0")-SUMIFS('Daftar Koreksi'!$H$5:$H$92,'Daftar Koreksi'!$D$5:$D$92,'0200'!A4,'Daftar Koreksi'!$G$5:$G$92,"Kontruksi Dalam Pengerjaan",'Daftar Koreksi'!$H$5:$H$92,"&lt;0")</f>
        <v>0</v>
      </c>
      <c r="G13" s="17">
        <f t="shared" si="0"/>
        <v>1458153000</v>
      </c>
      <c r="H13" s="122"/>
      <c r="I13" s="28"/>
      <c r="J13" s="28"/>
      <c r="O13" s="8" t="s">
        <v>39</v>
      </c>
      <c r="P13" s="8" t="s">
        <v>1203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103290000</v>
      </c>
      <c r="E14" s="25">
        <f>SUMIFS('Daftar Koreksi'!$H$5:$H$92,'Daftar Koreksi'!$D$5:$D$92,'0200'!A4,'Daftar Koreksi'!$G$5:$G$92,"Aset Tak Berwujud",'Daftar Koreksi'!$H$5:$H$92,"&gt;0")</f>
        <v>0</v>
      </c>
      <c r="F14" s="25">
        <f>SUMIFS('Daftar Koreksi'!$H$5:$H$92,'Daftar Koreksi'!$D$5:$D$92,'0200'!A4,'Daftar Koreksi'!$G$5:$G$92,"Aset Tak Berwujud",'Daftar Koreksi'!$H$5:$H$92,"&lt;0")-SUMIFS('Daftar Koreksi'!$H$5:$H$92,'Daftar Koreksi'!$D$5:$D$92,'0200'!A4,'Daftar Koreksi'!$G$5:$G$92,"Aset Tak Berwujud",'Daftar Koreksi'!$H$5:$H$92,"&lt;0")-SUMIFS('Daftar Koreksi'!$H$5:$H$92,'Daftar Koreksi'!$D$5:$D$92,'0200'!A4,'Daftar Koreksi'!$G$5:$G$92,"Aset Tak Berwujud",'Daftar Koreksi'!$H$5:$H$92,"&lt;0")</f>
        <v>0</v>
      </c>
      <c r="G14" s="17">
        <f t="shared" si="0"/>
        <v>103290000</v>
      </c>
      <c r="H14" s="122"/>
      <c r="I14" s="28"/>
      <c r="J14" s="28"/>
      <c r="O14" s="8" t="s">
        <v>40</v>
      </c>
      <c r="P14" s="8" t="s">
        <v>1204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0</v>
      </c>
      <c r="E15" s="25">
        <f>SUMIFS('Daftar Koreksi'!$H$5:$H$92,'Daftar Koreksi'!$D$5:$D$92,'0200'!A4,'Daftar Koreksi'!$G$5:$G$92,"Aset Henti Guna",'Daftar Koreksi'!$H$5:$H$92,"&gt;0")</f>
        <v>0</v>
      </c>
      <c r="F15" s="25">
        <f>SUMIFS('Daftar Koreksi'!$H$5:$H$92,'Daftar Koreksi'!$D$5:$D$92,'0200'!A4,'Daftar Koreksi'!$G$5:$G$92,"Aset Henti Guna",'Daftar Koreksi'!$H$5:$H$92,"&lt;0")-SUMIFS('Daftar Koreksi'!$H$5:$H$92,'Daftar Koreksi'!$D$5:$D$92,'0200'!A4,'Daftar Koreksi'!$G$5:$G$92,"Aset Henti Guna",'Daftar Koreksi'!$H$5:$H$92,"&lt;0")-SUMIFS('Daftar Koreksi'!$H$5:$H$92,'Daftar Koreksi'!$D$5:$D$92,'0200'!A4,'Daftar Koreksi'!$G$5:$G$92,"Aset Henti Guna",'Daftar Koreksi'!$H$5:$H$92,"&lt;0")</f>
        <v>0</v>
      </c>
      <c r="G15" s="17">
        <f t="shared" si="0"/>
        <v>0</v>
      </c>
      <c r="H15" s="122"/>
      <c r="I15" s="28"/>
      <c r="J15" s="28"/>
      <c r="O15" s="8" t="s">
        <v>41</v>
      </c>
      <c r="P15" s="8" t="s">
        <v>1205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75220054613</v>
      </c>
      <c r="E16" s="19">
        <f>SUM(E7:E15)</f>
        <v>0</v>
      </c>
      <c r="F16" s="19">
        <f>SUM(F7:F15)</f>
        <v>0</v>
      </c>
      <c r="G16" s="19">
        <f t="shared" si="0"/>
        <v>75220054613</v>
      </c>
      <c r="H16" s="122"/>
      <c r="I16" s="28"/>
      <c r="J16" s="28"/>
      <c r="O16" s="8" t="s">
        <v>42</v>
      </c>
      <c r="P16" s="8" t="s">
        <v>1206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-4286391971</v>
      </c>
      <c r="E17" s="25">
        <f>SUMIFS('Daftar Koreksi'!$I$5:$I$92,'Daftar Koreksi'!$D$5:$D$92,'0200'!A4,'Daftar Koreksi'!$G$5:$G$92,"Peralatan dan mesin",'Daftar Koreksi'!$I$5:$I$92,"&gt;0")</f>
        <v>0</v>
      </c>
      <c r="F17" s="25">
        <f>SUMIFS('Daftar Koreksi'!$I$5:$I$92,'Daftar Koreksi'!$D$5:$D$92,'0200'!A4,'Daftar Koreksi'!$G$5:$G$92,"Peralatan dan mesin",'Daftar Koreksi'!$I$5:$I$92,"&lt;0")-SUMIFS('Daftar Koreksi'!$I$5:$I$92,'Daftar Koreksi'!$D$5:$D$92,'0200'!A4,'Daftar Koreksi'!$G$5:$G$92,"Peralatan dan mesin",'Daftar Koreksi'!$I$5:$I$92,"&lt;0")-SUMIFS('Daftar Koreksi'!$I$5:$I$92,'Daftar Koreksi'!$D$5:$D$92,'0200'!A4,'Daftar Koreksi'!$G$5:$G$92,"Peralatan dan mesin",'Daftar Koreksi'!$I$5:$I$92,"&lt;0")</f>
        <v>0</v>
      </c>
      <c r="G17" s="17">
        <f t="shared" si="0"/>
        <v>-4286391971</v>
      </c>
      <c r="H17" s="122"/>
      <c r="I17" s="28"/>
      <c r="J17" s="28"/>
      <c r="O17" s="8" t="s">
        <v>43</v>
      </c>
      <c r="P17" s="8" t="s">
        <v>1207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-3080310153</v>
      </c>
      <c r="E18" s="25">
        <f>SUMIFS('Daftar Koreksi'!$I$5:$I$92,'Daftar Koreksi'!$D$5:$D$92,'0200'!A4,'Daftar Koreksi'!$G$5:$G$92,"Gedung dan Bangunan",'Daftar Koreksi'!$I$5:$I$92,"&gt;0")</f>
        <v>0</v>
      </c>
      <c r="F18" s="25">
        <f>SUMIFS('Daftar Koreksi'!$I$5:$I$92,'Daftar Koreksi'!$D$5:$D$92,'0200'!A4,'Daftar Koreksi'!$G$5:$G$92,"Gedung dan Bangunan",'Daftar Koreksi'!$I$5:$I$92,"&lt;0")-SUMIFS('Daftar Koreksi'!$I$5:$I$92,'Daftar Koreksi'!$D$5:$D$92,'0200'!A4,'Daftar Koreksi'!$G$5:$G$92,"Gedung dan Bangunan",'Daftar Koreksi'!$I$5:$I$92,"&lt;0")-SUMIFS('Daftar Koreksi'!$I$5:$I$92,'Daftar Koreksi'!$D$5:$D$92,'0200'!A4,'Daftar Koreksi'!$G$5:$G$92,"Gedung dan Bangunan",'Daftar Koreksi'!$I$5:$I$92,"&lt;0")</f>
        <v>0</v>
      </c>
      <c r="G18" s="17">
        <f t="shared" si="0"/>
        <v>-3080310153</v>
      </c>
      <c r="H18" s="122"/>
      <c r="I18" s="28"/>
      <c r="J18" s="28"/>
      <c r="O18" s="8" t="s">
        <v>44</v>
      </c>
      <c r="P18" s="8" t="s">
        <v>1208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0</v>
      </c>
      <c r="E19" s="25">
        <f>SUMIFS('Daftar Koreksi'!$I$5:$I$92,'Daftar Koreksi'!$D$5:$D$92,'0200'!A4,'Daftar Koreksi'!$G$5:$G$92,"Jalan Irigasi Jaringan",'Daftar Koreksi'!$I$5:$I$92,"&gt;0")</f>
        <v>0</v>
      </c>
      <c r="F19" s="25">
        <f>SUMIFS('Daftar Koreksi'!$I$5:$I$92,'Daftar Koreksi'!$D$5:$D$92,'0200'!A4,'Daftar Koreksi'!$G$5:$G$92,"Jalan Irigasi Jaringan",'Daftar Koreksi'!$I$5:$I$92,"&lt;0")-SUMIFS('Daftar Koreksi'!$I$5:$I$92,'Daftar Koreksi'!$D$5:$D$92,'0200'!A4,'Daftar Koreksi'!$G$5:$G$92,"Jalan Irigasi Jaringan",'Daftar Koreksi'!$I$5:$I$92,"&lt;0")-SUMIFS('Daftar Koreksi'!$I$5:$I$92,'Daftar Koreksi'!$D$5:$D$92,'0200'!A4,'Daftar Koreksi'!$G$5:$G$92,"Jalan Irigasi Jaringan",'Daftar Koreksi'!$I$5:$I$92,"&lt;0")</f>
        <v>0</v>
      </c>
      <c r="G19" s="17">
        <f t="shared" si="0"/>
        <v>0</v>
      </c>
      <c r="H19" s="122"/>
      <c r="I19" s="28"/>
      <c r="J19" s="28"/>
      <c r="O19" s="8" t="s">
        <v>45</v>
      </c>
      <c r="P19" s="8" t="s">
        <v>1209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Koreksi'!$D$5:$D$92,'0200'!A4,'Daftar Koreksi'!$G$5:$G$92,"Aset Tetap Lainnya",'Daftar Koreksi'!$I$5:$I$92,"&gt;0")</f>
        <v>0</v>
      </c>
      <c r="F20" s="25">
        <f>SUMIFS('Daftar Koreksi'!$I$5:$I$92,'Daftar Koreksi'!$D$5:$D$92,'0200'!A4,'Daftar Koreksi'!$G$5:$G$92,"Aset Tetap Lainnya",'Daftar Koreksi'!$I$5:$I$92,"&lt;0")-SUMIFS('Daftar Koreksi'!$I$5:$I$92,'Daftar Koreksi'!$D$5:$D$92,'0200'!A4,'Daftar Koreksi'!$G$5:$G$92,"Aset Tetap Lainnya",'Daftar Koreksi'!$I$5:$I$92,"&lt;0")-SUMIFS('Daftar Koreksi'!$I$5:$I$92,'Daftar Koreksi'!$D$5:$D$92,'0200'!A4,'Daftar Koreksi'!$G$5:$G$92,"Aset Tetap Lainnya",'Daftar Koreksi'!$I$5:$I$92,"&lt;0")</f>
        <v>0</v>
      </c>
      <c r="G20" s="17">
        <f t="shared" si="0"/>
        <v>0</v>
      </c>
      <c r="H20" s="122"/>
      <c r="I20" s="28"/>
      <c r="J20" s="28"/>
      <c r="O20" s="8" t="s">
        <v>46</v>
      </c>
      <c r="P20" s="8" t="s">
        <v>1210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0</v>
      </c>
      <c r="E21" s="25">
        <f>SUMIFS('Daftar Koreksi'!$I$5:$I$92,'Daftar Koreksi'!$D$5:$D$92,'0200'!A4,'Daftar Koreksi'!$G$5:$G$92,"Aset Henti Guna",'Daftar Koreksi'!$I$5:$I$92,"&gt;0")</f>
        <v>0</v>
      </c>
      <c r="F21" s="25">
        <f>SUMIFS('Daftar Koreksi'!$I$5:$I$92,'Daftar Koreksi'!$D$5:$D$92,'0200'!A4,'Daftar Koreksi'!$G$5:$G$92,"Aset Henti Guna",'Daftar Koreksi'!$I$5:$I$92,"&lt;0")-SUMIFS('Daftar Koreksi'!$I$5:$I$92,'Daftar Koreksi'!$D$5:$D$92,'0200'!A4,'Daftar Koreksi'!$G$5:$G$92,"Aset Henti Guna",'Daftar Koreksi'!$I$5:$I$92,"&lt;0")-SUMIFS('Daftar Koreksi'!$I$5:$I$92,'Daftar Koreksi'!$D$5:$D$92,'0200'!A4,'Daftar Koreksi'!$G$5:$G$92,"Aset Henti Guna",'Daftar Koreksi'!$I$5:$I$92,"&lt;0")</f>
        <v>0</v>
      </c>
      <c r="G21" s="17">
        <f t="shared" si="0"/>
        <v>0</v>
      </c>
      <c r="H21" s="122"/>
      <c r="I21" s="28"/>
      <c r="J21" s="28"/>
      <c r="O21" s="8" t="s">
        <v>47</v>
      </c>
      <c r="P21" s="8" t="s">
        <v>1211</v>
      </c>
    </row>
    <row r="22" spans="1:16" ht="21.95" customHeight="1">
      <c r="A22" s="14"/>
      <c r="B22" s="14"/>
      <c r="C22" s="18" t="s">
        <v>2094</v>
      </c>
      <c r="D22" s="19">
        <f>SUM(D17:D21)</f>
        <v>-7366702124</v>
      </c>
      <c r="E22" s="19">
        <f>SUM(E17:E21)</f>
        <v>0</v>
      </c>
      <c r="F22" s="19">
        <f>SUM(F17:F21)</f>
        <v>0</v>
      </c>
      <c r="G22" s="19">
        <f t="shared" si="0"/>
        <v>-7366702124</v>
      </c>
      <c r="H22" s="122"/>
      <c r="I22" s="28"/>
      <c r="J22" s="28"/>
      <c r="O22" s="8" t="s">
        <v>48</v>
      </c>
      <c r="P22" s="8" t="s">
        <v>1212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67853352489</v>
      </c>
      <c r="E23" s="19">
        <f>E22+E16</f>
        <v>0</v>
      </c>
      <c r="F23" s="19">
        <f>F22+F16</f>
        <v>0</v>
      </c>
      <c r="G23" s="19">
        <f t="shared" si="0"/>
        <v>67853352489</v>
      </c>
      <c r="H23" s="122"/>
      <c r="I23" s="28"/>
      <c r="J23" s="28"/>
      <c r="O23" s="8" t="s">
        <v>49</v>
      </c>
      <c r="P23" s="8" t="s">
        <v>1213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I24" s="28"/>
      <c r="J24" s="28"/>
      <c r="O24" s="8" t="s">
        <v>50</v>
      </c>
      <c r="P24" s="8" t="s">
        <v>1214</v>
      </c>
    </row>
    <row r="25" spans="1:16" ht="19.5" customHeight="1">
      <c r="O25" s="8" t="s">
        <v>51</v>
      </c>
      <c r="P25" s="8" t="s">
        <v>1215</v>
      </c>
    </row>
    <row r="26" spans="1:16" ht="19.5" customHeight="1">
      <c r="A26" s="11" t="str">
        <f>O2</f>
        <v>005010200097514000KD</v>
      </c>
      <c r="B26" s="11" t="str">
        <f>P2</f>
        <v>PN. Bandung</v>
      </c>
      <c r="C26" s="12" t="str">
        <f>A26&amp;" "&amp;B26</f>
        <v>005010200097514000KD PN. Bandung</v>
      </c>
      <c r="D26" s="13"/>
      <c r="E26" s="13"/>
      <c r="F26" s="13"/>
      <c r="G26" s="13"/>
      <c r="H26" s="11"/>
      <c r="O26" s="8" t="s">
        <v>52</v>
      </c>
      <c r="P26" s="8" t="s">
        <v>1216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53</v>
      </c>
      <c r="P27" s="8" t="s">
        <v>1217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54</v>
      </c>
      <c r="P28" s="8" t="s">
        <v>1218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6744850</v>
      </c>
      <c r="E29" s="25">
        <f>SUMIFS('Daftar Koreksi'!$H$5:$H$92,'Daftar Koreksi'!$D$5:$D$92,'0200'!A26,'Daftar Koreksi'!$G$5:$G$92,"Persediaan",'Daftar Koreksi'!$H$5:$H$92,"&gt;0")</f>
        <v>0</v>
      </c>
      <c r="F29" s="25">
        <f>SUMIFS('Daftar Koreksi'!$H$5:$H$92,'Daftar Koreksi'!$D$5:$D$92,'0200'!A26,'Daftar Koreksi'!$G$5:$G$92,"Persediaan",'Daftar Koreksi'!$H$5:$H$92,"&lt;0")-SUMIFS('Daftar Koreksi'!$H$5:$H$92,'Daftar Koreksi'!$D$5:$D$92,'0200'!A26,'Daftar Koreksi'!$G$5:$G$92,"Persediaan",'Daftar Koreksi'!$H$5:$H$92,"&lt;0")-SUMIFS('Daftar Koreksi'!$H$5:$H$92,'Daftar Koreksi'!$D$5:$D$92,'0200'!A26,'Daftar Koreksi'!$G$5:$G$92,"Persediaan",'Daftar Koreksi'!$H$5:$H$92,"&lt;0")</f>
        <v>0</v>
      </c>
      <c r="G29" s="17">
        <f>D29+E29-F29</f>
        <v>6744850</v>
      </c>
      <c r="H29" s="121" t="str">
        <f>IF(ISNA(VLOOKUP(A26,'Mutasi Neraca'!$A$3:$S$914,19,FALSE)),"-",VLOOKUP(A26,'Mutasi Neraca'!$A$3:$S$914,19,FALSE))</f>
        <v>-</v>
      </c>
      <c r="O29" s="8" t="s">
        <v>55</v>
      </c>
      <c r="P29" s="8" t="s">
        <v>1219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85610600000</v>
      </c>
      <c r="E30" s="25">
        <f>SUMIFS('Daftar Koreksi'!$H$5:$H$92,'Daftar Koreksi'!$D$5:$D$92,'0200'!A26,'Daftar Koreksi'!$G$5:$G$92,"Tanah",'Daftar Koreksi'!$H$5:$H$92,"&gt;0")</f>
        <v>0</v>
      </c>
      <c r="F30" s="25">
        <f>SUMIFS('Daftar Koreksi'!$H$5:$H$92,'Daftar Koreksi'!$D$5:$D$92,'0200'!A26,'Daftar Koreksi'!$G$5:$G$92,"Tanah",'Daftar Koreksi'!$H$5:$H$92,"&lt;0")-SUMIFS('Daftar Koreksi'!$H$5:$H$92,'Daftar Koreksi'!$D$5:$D$92,'0200'!A26,'Daftar Koreksi'!$G$5:$G$92,"Tanah",'Daftar Koreksi'!$H$5:$H$92,"&lt;0")-SUMIFS('Daftar Koreksi'!$H$5:$H$92,'Daftar Koreksi'!$D$5:$D$92,'0200'!A26,'Daftar Koreksi'!$G$5:$G$92,"Tanah",'Daftar Koreksi'!$H$5:$H$92,"&lt;0")</f>
        <v>0</v>
      </c>
      <c r="G30" s="17">
        <f t="shared" ref="G30:G46" si="1">D30+E30-F30</f>
        <v>85610600000</v>
      </c>
      <c r="H30" s="122"/>
      <c r="O30" s="8" t="s">
        <v>56</v>
      </c>
      <c r="P30" s="8" t="s">
        <v>1220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5879555834</v>
      </c>
      <c r="E31" s="25">
        <f>SUMIFS('Daftar Koreksi'!$H$5:$H$92,'Daftar Koreksi'!$D$5:$D$92,'0200'!A26,'Daftar Koreksi'!$G$5:$G$92,"Peralatan dan mesin",'Daftar Koreksi'!$H$5:$H$92,"&gt;0")</f>
        <v>0</v>
      </c>
      <c r="F31" s="25">
        <f>SUMIFS('Daftar Koreksi'!$H$5:$H$92,'Daftar Koreksi'!$D$5:$D$92,'0200'!A26,'Daftar Koreksi'!$G$5:$G$92,"Peralatan dan mesin",'Daftar Koreksi'!$H$5:$H$92,"&lt;0")-SUMIFS('Daftar Koreksi'!$H$5:$H$92,'Daftar Koreksi'!$D$5:$D$92,'0200'!A26,'Daftar Koreksi'!$G$5:$G$92,"Peralatan dan mesin",'Daftar Koreksi'!$H$5:$H$92,"&lt;0")-SUMIFS('Daftar Koreksi'!$H$5:$H$92,'Daftar Koreksi'!$D$5:$D$92,'0200'!A26,'Daftar Koreksi'!$G$5:$G$92,"Peralatan dan mesin",'Daftar Koreksi'!$H$5:$H$92,"&lt;0")</f>
        <v>0</v>
      </c>
      <c r="G31" s="17">
        <f t="shared" si="1"/>
        <v>5879555834</v>
      </c>
      <c r="H31" s="122"/>
      <c r="O31" s="8" t="s">
        <v>57</v>
      </c>
      <c r="P31" s="8" t="s">
        <v>1221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5741922000</v>
      </c>
      <c r="E32" s="25">
        <f>SUMIFS('Daftar Koreksi'!$H$5:$H$92,'Daftar Koreksi'!$D$5:$D$92,'0200'!A26,'Daftar Koreksi'!$G$5:$G$92,"Gedung dan Bangunan",'Daftar Koreksi'!$H$5:$H$92,"&gt;0")</f>
        <v>0</v>
      </c>
      <c r="F32" s="25">
        <f>SUMIFS('Daftar Koreksi'!$H$5:$H$92,'Daftar Koreksi'!$D$5:$D$92,'0200'!A26,'Daftar Koreksi'!$G$5:$G$92,"Gedung dan Bangunan",'Daftar Koreksi'!$H$5:$H$92,"&lt;0")-SUMIFS('Daftar Koreksi'!$H$5:$H$92,'Daftar Koreksi'!$D$5:$D$92,'0200'!A26,'Daftar Koreksi'!$G$5:$G$92,"Gedung dan Bangunan",'Daftar Koreksi'!$H$5:$H$92,"&lt;0")-SUMIFS('Daftar Koreksi'!$H$5:$H$92,'Daftar Koreksi'!$D$5:$D$92,'0200'!A26,'Daftar Koreksi'!$G$5:$G$92,"Gedung dan Bangunan",'Daftar Koreksi'!$H$5:$H$92,"&lt;0")</f>
        <v>0</v>
      </c>
      <c r="G32" s="17">
        <f t="shared" si="1"/>
        <v>5741922000</v>
      </c>
      <c r="H32" s="122"/>
      <c r="O32" s="8" t="s">
        <v>58</v>
      </c>
      <c r="P32" s="8" t="s">
        <v>1222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67108000</v>
      </c>
      <c r="E33" s="25">
        <f>SUMIFS('Daftar Koreksi'!$H$5:$H$92,'Daftar Koreksi'!$D$5:$D$92,'0200'!A26,'Daftar Koreksi'!$G$5:$G$92,"Jalan Irigasi Jaringan",'Daftar Koreksi'!$H$5:$H$92,"&gt;0")</f>
        <v>0</v>
      </c>
      <c r="F33" s="25">
        <f>SUMIFS('Daftar Koreksi'!$H$5:$H$92,'Daftar Koreksi'!$D$5:$D$92,'0200'!A26,'Daftar Koreksi'!$G$5:$G$92,"Jalan Irigasi Jaringan",'Daftar Koreksi'!$H$5:$H$92,"&lt;0")-SUMIFS('Daftar Koreksi'!$H$5:$H$92,'Daftar Koreksi'!$D$5:$D$92,'0200'!A26,'Daftar Koreksi'!$G$5:$G$92,"Jalan Irigasi Jaringan",'Daftar Koreksi'!$H$5:$H$92,"&lt;0")-SUMIFS('Daftar Koreksi'!$H$5:$H$92,'Daftar Koreksi'!$D$5:$D$92,'0200'!A26,'Daftar Koreksi'!$G$5:$G$92,"Jalan Irigasi Jaringan",'Daftar Koreksi'!$H$5:$H$92,"&lt;0")</f>
        <v>0</v>
      </c>
      <c r="G33" s="17">
        <f t="shared" si="1"/>
        <v>67108000</v>
      </c>
      <c r="H33" s="122"/>
      <c r="O33" s="8" t="s">
        <v>59</v>
      </c>
      <c r="P33" s="8" t="s">
        <v>1223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11591962</v>
      </c>
      <c r="E34" s="25">
        <f>SUMIFS('Daftar Koreksi'!$H$5:$H$92,'Daftar Koreksi'!$D$5:$D$92,'0200'!A26,'Daftar Koreksi'!$G$5:$G$92,"Aset Tetap Lainnya",'Daftar Koreksi'!$H$5:$H$92,"&gt;0")</f>
        <v>0</v>
      </c>
      <c r="F34" s="25">
        <f>SUMIFS('Daftar Koreksi'!$H$5:$H$92,'Daftar Koreksi'!$D$5:$D$92,'0200'!A26,'Daftar Koreksi'!$G$5:$G$92,"Aset Tetap Lainnya",'Daftar Koreksi'!$H$5:$H$92,"&lt;0")-SUMIFS('Daftar Koreksi'!$H$5:$H$92,'Daftar Koreksi'!$D$5:$D$92,'0200'!A26,'Daftar Koreksi'!$G$5:$G$92,"Aset Tetap Lainnya",'Daftar Koreksi'!$H$5:$H$92,"&lt;0")-SUMIFS('Daftar Koreksi'!$H$5:$H$92,'Daftar Koreksi'!$D$5:$D$92,'0200'!A26,'Daftar Koreksi'!$G$5:$G$92,"Aset Tetap Lainnya",'Daftar Koreksi'!$H$5:$H$92,"&lt;0")</f>
        <v>0</v>
      </c>
      <c r="G34" s="17">
        <f t="shared" si="1"/>
        <v>11591962</v>
      </c>
      <c r="H34" s="122"/>
      <c r="O34" s="8" t="s">
        <v>60</v>
      </c>
      <c r="P34" s="8" t="s">
        <v>1224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Koreksi'!$D$5:$D$92,'0200'!A26,'Daftar Koreksi'!$G$5:$G$92,"Kontruksi Dalam Pengerjaan",'Daftar Koreksi'!$H$5:$H$92,"&gt;0")</f>
        <v>0</v>
      </c>
      <c r="F35" s="25">
        <f>SUMIFS('Daftar Koreksi'!$H$5:$H$92,'Daftar Koreksi'!$D$5:$D$92,'0200'!A26,'Daftar Koreksi'!$G$5:$G$92,"Kontruksi Dalam Pengerjaan",'Daftar Koreksi'!$H$5:$H$92,"&lt;0")-SUMIFS('Daftar Koreksi'!$H$5:$H$92,'Daftar Koreksi'!$D$5:$D$92,'0200'!A26,'Daftar Koreksi'!$G$5:$G$92,"Kontruksi Dalam Pengerjaan",'Daftar Koreksi'!$H$5:$H$92,"&lt;0")-SUMIFS('Daftar Koreksi'!$H$5:$H$92,'Daftar Koreksi'!$D$5:$D$92,'0200'!A26,'Daftar Koreksi'!$G$5:$G$92,"Kontruksi Dalam Pengerjaan",'Daftar Koreksi'!$H$5:$H$92,"&lt;0")</f>
        <v>0</v>
      </c>
      <c r="G35" s="17">
        <f t="shared" si="1"/>
        <v>0</v>
      </c>
      <c r="H35" s="122"/>
      <c r="O35" s="8" t="s">
        <v>61</v>
      </c>
      <c r="P35" s="8" t="s">
        <v>1225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26979880</v>
      </c>
      <c r="E36" s="25">
        <f>SUMIFS('Daftar Koreksi'!$H$5:$H$92,'Daftar Koreksi'!$D$5:$D$92,'0200'!A26,'Daftar Koreksi'!$G$5:$G$92,"Aset Tak Berwujud",'Daftar Koreksi'!$H$5:$H$92,"&gt;0")</f>
        <v>0</v>
      </c>
      <c r="F36" s="25">
        <f>SUMIFS('Daftar Koreksi'!$H$5:$H$92,'Daftar Koreksi'!$D$5:$D$92,'0200'!A26,'Daftar Koreksi'!$G$5:$G$92,"Aset Tak Berwujud",'Daftar Koreksi'!$H$5:$H$92,"&lt;0")-SUMIFS('Daftar Koreksi'!$H$5:$H$92,'Daftar Koreksi'!$D$5:$D$92,'0200'!A26,'Daftar Koreksi'!$G$5:$G$92,"Aset Tak Berwujud",'Daftar Koreksi'!$H$5:$H$92,"&lt;0")-SUMIFS('Daftar Koreksi'!$H$5:$H$92,'Daftar Koreksi'!$D$5:$D$92,'0200'!A26,'Daftar Koreksi'!$G$5:$G$92,"Aset Tak Berwujud",'Daftar Koreksi'!$H$5:$H$92,"&lt;0")</f>
        <v>0</v>
      </c>
      <c r="G36" s="17">
        <f t="shared" si="1"/>
        <v>26979880</v>
      </c>
      <c r="H36" s="122"/>
      <c r="O36" s="8" t="s">
        <v>62</v>
      </c>
      <c r="P36" s="8" t="s">
        <v>1226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495024844</v>
      </c>
      <c r="E37" s="25">
        <f>SUMIFS('Daftar Koreksi'!$H$5:$H$92,'Daftar Koreksi'!$D$5:$D$92,'0200'!A26,'Daftar Koreksi'!$G$5:$G$92,"Aset Henti Guna",'Daftar Koreksi'!$H$5:$H$92,"&gt;0")</f>
        <v>0</v>
      </c>
      <c r="F37" s="25">
        <f>SUMIFS('Daftar Koreksi'!$H$5:$H$92,'Daftar Koreksi'!$D$5:$D$92,'0200'!A26,'Daftar Koreksi'!$G$5:$G$92,"Aset Henti Guna",'Daftar Koreksi'!$H$5:$H$92,"&lt;0")-SUMIFS('Daftar Koreksi'!$H$5:$H$92,'Daftar Koreksi'!$D$5:$D$92,'0200'!A26,'Daftar Koreksi'!$G$5:$G$92,"Aset Henti Guna",'Daftar Koreksi'!$H$5:$H$92,"&lt;0")-SUMIFS('Daftar Koreksi'!$H$5:$H$92,'Daftar Koreksi'!$D$5:$D$92,'0200'!A26,'Daftar Koreksi'!$G$5:$G$92,"Aset Henti Guna",'Daftar Koreksi'!$H$5:$H$92,"&lt;0")</f>
        <v>0</v>
      </c>
      <c r="G37" s="17">
        <f t="shared" si="1"/>
        <v>495024844</v>
      </c>
      <c r="H37" s="122"/>
      <c r="O37" s="8" t="s">
        <v>63</v>
      </c>
      <c r="P37" s="8" t="s">
        <v>1227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97839527370</v>
      </c>
      <c r="E38" s="19">
        <f>SUM(E29:E37)</f>
        <v>0</v>
      </c>
      <c r="F38" s="19">
        <f>SUM(F29:F37)</f>
        <v>0</v>
      </c>
      <c r="G38" s="19">
        <f t="shared" si="1"/>
        <v>97839527370</v>
      </c>
      <c r="H38" s="122"/>
      <c r="O38" s="8" t="s">
        <v>64</v>
      </c>
      <c r="P38" s="8" t="s">
        <v>1228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-4700468357</v>
      </c>
      <c r="E39" s="25">
        <f>SUMIFS('Daftar Koreksi'!$I$5:$I$92,'Daftar Koreksi'!$D$5:$D$92,'0200'!A26,'Daftar Koreksi'!$G$5:$G$92,"Peralatan dan mesin",'Daftar Koreksi'!$I$5:$I$92,"&gt;0")</f>
        <v>0</v>
      </c>
      <c r="F39" s="25">
        <f>SUMIFS('Daftar Koreksi'!$I$5:$I$92,'Daftar Koreksi'!$D$5:$D$92,'0200'!A26,'Daftar Koreksi'!$G$5:$G$92,"Peralatan dan mesin",'Daftar Koreksi'!$I$5:$I$92,"&lt;0")-SUMIFS('Daftar Koreksi'!$I$5:$I$92,'Daftar Koreksi'!$D$5:$D$92,'0200'!A26,'Daftar Koreksi'!$G$5:$G$92,"Peralatan dan mesin",'Daftar Koreksi'!$I$5:$I$92,"&lt;0")-SUMIFS('Daftar Koreksi'!$I$5:$I$92,'Daftar Koreksi'!$D$5:$D$92,'0200'!A26,'Daftar Koreksi'!$G$5:$G$92,"Peralatan dan mesin",'Daftar Koreksi'!$I$5:$I$92,"&lt;0")</f>
        <v>0</v>
      </c>
      <c r="G39" s="17">
        <f t="shared" si="1"/>
        <v>-4700468357</v>
      </c>
      <c r="H39" s="122"/>
      <c r="O39" s="8" t="s">
        <v>65</v>
      </c>
      <c r="P39" s="8" t="s">
        <v>1229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-2696328436</v>
      </c>
      <c r="E40" s="25">
        <f>SUMIFS('Daftar Koreksi'!$I$5:$I$92,'Daftar Koreksi'!$D$5:$D$92,'0200'!A26,'Daftar Koreksi'!$G$5:$G$92,"Gedung dan Bangunan",'Daftar Koreksi'!$I$5:$I$92,"&gt;0")</f>
        <v>0</v>
      </c>
      <c r="F40" s="25">
        <f>SUMIFS('Daftar Koreksi'!$I$5:$I$92,'Daftar Koreksi'!$D$5:$D$92,'0200'!A26,'Daftar Koreksi'!$G$5:$G$92,"Gedung dan Bangunan",'Daftar Koreksi'!$I$5:$I$92,"&lt;0")-SUMIFS('Daftar Koreksi'!$I$5:$I$92,'Daftar Koreksi'!$D$5:$D$92,'0200'!A26,'Daftar Koreksi'!$G$5:$G$92,"Gedung dan Bangunan",'Daftar Koreksi'!$I$5:$I$92,"&lt;0")-SUMIFS('Daftar Koreksi'!$I$5:$I$92,'Daftar Koreksi'!$D$5:$D$92,'0200'!A26,'Daftar Koreksi'!$G$5:$G$92,"Gedung dan Bangunan",'Daftar Koreksi'!$I$5:$I$92,"&lt;0")</f>
        <v>0</v>
      </c>
      <c r="G40" s="17">
        <f t="shared" si="1"/>
        <v>-2696328436</v>
      </c>
      <c r="H40" s="122"/>
      <c r="O40" s="8" t="s">
        <v>66</v>
      </c>
      <c r="P40" s="8" t="s">
        <v>1230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-8168400</v>
      </c>
      <c r="E41" s="25">
        <f>SUMIFS('Daftar Koreksi'!$I$5:$I$92,'Daftar Koreksi'!$D$5:$D$92,'0200'!A26,'Daftar Koreksi'!$G$5:$G$92,"Jalan Irigasi Jaringan",'Daftar Koreksi'!$I$5:$I$92,"&gt;0")</f>
        <v>0</v>
      </c>
      <c r="F41" s="25">
        <f>SUMIFS('Daftar Koreksi'!$I$5:$I$92,'Daftar Koreksi'!$D$5:$D$92,'0200'!A26,'Daftar Koreksi'!$G$5:$G$92,"Jalan Irigasi Jaringan",'Daftar Koreksi'!$I$5:$I$92,"&lt;0")-SUMIFS('Daftar Koreksi'!$I$5:$I$92,'Daftar Koreksi'!$D$5:$D$92,'0200'!A26,'Daftar Koreksi'!$G$5:$G$92,"Jalan Irigasi Jaringan",'Daftar Koreksi'!$I$5:$I$92,"&lt;0")-SUMIFS('Daftar Koreksi'!$I$5:$I$92,'Daftar Koreksi'!$D$5:$D$92,'0200'!A26,'Daftar Koreksi'!$G$5:$G$92,"Jalan Irigasi Jaringan",'Daftar Koreksi'!$I$5:$I$92,"&lt;0")</f>
        <v>0</v>
      </c>
      <c r="G41" s="17">
        <f t="shared" si="1"/>
        <v>-8168400</v>
      </c>
      <c r="H41" s="122"/>
      <c r="O41" s="8" t="s">
        <v>67</v>
      </c>
      <c r="P41" s="8" t="s">
        <v>1231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Koreksi'!$D$5:$D$92,'0200'!A26,'Daftar Koreksi'!$G$5:$G$92,"Aset Tetap Lainnya",'Daftar Koreksi'!$I$5:$I$92,"&gt;0")</f>
        <v>0</v>
      </c>
      <c r="F42" s="25">
        <f>SUMIFS('Daftar Koreksi'!$I$5:$I$92,'Daftar Koreksi'!$D$5:$D$92,'0200'!A26,'Daftar Koreksi'!$G$5:$G$92,"Aset Tetap Lainnya",'Daftar Koreksi'!$I$5:$I$92,"&lt;0")-SUMIFS('Daftar Koreksi'!$I$5:$I$92,'Daftar Koreksi'!$D$5:$D$92,'0200'!A26,'Daftar Koreksi'!$G$5:$G$92,"Aset Tetap Lainnya",'Daftar Koreksi'!$I$5:$I$92,"&lt;0")-SUMIFS('Daftar Koreksi'!$I$5:$I$92,'Daftar Koreksi'!$D$5:$D$92,'0200'!A26,'Daftar Koreksi'!$G$5:$G$92,"Aset Tetap Lainnya",'Daftar Koreksi'!$I$5:$I$92,"&lt;0")</f>
        <v>0</v>
      </c>
      <c r="G42" s="17">
        <f t="shared" si="1"/>
        <v>0</v>
      </c>
      <c r="H42" s="122"/>
      <c r="O42" s="8" t="s">
        <v>68</v>
      </c>
      <c r="P42" s="8" t="s">
        <v>1232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-493624844</v>
      </c>
      <c r="E43" s="25">
        <f>SUMIFS('Daftar Koreksi'!$I$5:$I$92,'Daftar Koreksi'!$D$5:$D$92,'0200'!A26,'Daftar Koreksi'!$G$5:$G$92,"Aset Henti Guna",'Daftar Koreksi'!$I$5:$I$92,"&gt;0")</f>
        <v>0</v>
      </c>
      <c r="F43" s="25">
        <f>SUMIFS('Daftar Koreksi'!$I$5:$I$92,'Daftar Koreksi'!$D$5:$D$92,'0200'!A26,'Daftar Koreksi'!$G$5:$G$92,"Aset Henti Guna",'Daftar Koreksi'!$I$5:$I$92,"&lt;0")-SUMIFS('Daftar Koreksi'!$I$5:$I$92,'Daftar Koreksi'!$D$5:$D$92,'0200'!A26,'Daftar Koreksi'!$G$5:$G$92,"Aset Henti Guna",'Daftar Koreksi'!$I$5:$I$92,"&lt;0")-SUMIFS('Daftar Koreksi'!$I$5:$I$92,'Daftar Koreksi'!$D$5:$D$92,'0200'!A26,'Daftar Koreksi'!$G$5:$G$92,"Aset Henti Guna",'Daftar Koreksi'!$I$5:$I$92,"&lt;0")</f>
        <v>0</v>
      </c>
      <c r="G43" s="17">
        <f t="shared" si="1"/>
        <v>-493624844</v>
      </c>
      <c r="H43" s="122"/>
      <c r="O43" s="8" t="s">
        <v>69</v>
      </c>
      <c r="P43" s="8" t="s">
        <v>1233</v>
      </c>
    </row>
    <row r="44" spans="1:16" ht="21.95" customHeight="1">
      <c r="A44" s="14"/>
      <c r="B44" s="14"/>
      <c r="C44" s="18" t="s">
        <v>2094</v>
      </c>
      <c r="D44" s="19">
        <f>SUM(D39:D43)</f>
        <v>-7898590037</v>
      </c>
      <c r="E44" s="19">
        <f>SUM(E39:E43)</f>
        <v>0</v>
      </c>
      <c r="F44" s="19">
        <f>SUM(F39:F43)</f>
        <v>0</v>
      </c>
      <c r="G44" s="19">
        <f t="shared" si="1"/>
        <v>-7898590037</v>
      </c>
      <c r="H44" s="122"/>
      <c r="O44" s="8" t="s">
        <v>70</v>
      </c>
      <c r="P44" s="8" t="s">
        <v>1234</v>
      </c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89940937333</v>
      </c>
      <c r="E45" s="19">
        <f>E44+E38</f>
        <v>0</v>
      </c>
      <c r="F45" s="19">
        <f>F44+F38</f>
        <v>0</v>
      </c>
      <c r="G45" s="19">
        <f t="shared" si="1"/>
        <v>89940937333</v>
      </c>
      <c r="H45" s="122"/>
      <c r="O45" s="8" t="s">
        <v>71</v>
      </c>
      <c r="P45" s="8" t="s">
        <v>1235</v>
      </c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O46" s="8" t="s">
        <v>72</v>
      </c>
      <c r="P46" s="8" t="s">
        <v>1236</v>
      </c>
    </row>
    <row r="47" spans="1:16" ht="19.5" customHeight="1">
      <c r="O47" s="8" t="s">
        <v>73</v>
      </c>
      <c r="P47" s="8" t="s">
        <v>1237</v>
      </c>
    </row>
    <row r="48" spans="1:16" ht="19.5" customHeight="1">
      <c r="A48" s="11" t="str">
        <f>O3</f>
        <v>005010200097521000KD</v>
      </c>
      <c r="B48" s="11" t="str">
        <f>P3</f>
        <v>PN. Sumedang</v>
      </c>
      <c r="C48" s="12" t="str">
        <f>A48&amp;" "&amp;B48</f>
        <v>005010200097521000KD PN. Sumedang</v>
      </c>
      <c r="D48" s="13"/>
      <c r="E48" s="13"/>
      <c r="F48" s="13"/>
      <c r="G48" s="13"/>
      <c r="H48" s="11"/>
      <c r="O48" s="8" t="s">
        <v>74</v>
      </c>
      <c r="P48" s="8" t="s">
        <v>2100</v>
      </c>
    </row>
    <row r="49" spans="1:16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  <c r="O49" s="8" t="s">
        <v>75</v>
      </c>
      <c r="P49" s="8" t="s">
        <v>2101</v>
      </c>
    </row>
    <row r="50" spans="1:16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</row>
    <row r="51" spans="1:16" ht="21.95" customHeight="1">
      <c r="A51" s="14"/>
      <c r="B51" s="14"/>
      <c r="C51" s="16" t="s">
        <v>1165</v>
      </c>
      <c r="D51" s="17">
        <f>VLOOKUP(A48,'Neraca Unaudited SIMAK'!$A$2:$S$10004,3,FALSE)</f>
        <v>524100</v>
      </c>
      <c r="E51" s="25">
        <f>SUMIFS('Daftar Koreksi'!$H$5:$H$92,'Daftar Koreksi'!$D$5:$D$92,'0200'!A48,'Daftar Koreksi'!$G$5:$G$92,"Persediaan",'Daftar Koreksi'!$H$5:$H$92,"&gt;0")</f>
        <v>0</v>
      </c>
      <c r="F51" s="25">
        <f>SUMIFS('Daftar Koreksi'!$H$5:$H$92,'Daftar Koreksi'!$D$5:$D$92,'0200'!A48,'Daftar Koreksi'!$G$5:$G$92,"Persediaan",'Daftar Koreksi'!$H$5:$H$92,"&lt;0")-SUMIFS('Daftar Koreksi'!$H$5:$H$92,'Daftar Koreksi'!$D$5:$D$92,'0200'!A48,'Daftar Koreksi'!$G$5:$G$92,"Persediaan",'Daftar Koreksi'!$H$5:$H$92,"&lt;0")-SUMIFS('Daftar Koreksi'!$H$5:$H$92,'Daftar Koreksi'!$D$5:$D$92,'0200'!A48,'Daftar Koreksi'!$G$5:$G$92,"Persediaan",'Daftar Koreksi'!$H$5:$H$92,"&lt;0")</f>
        <v>0</v>
      </c>
      <c r="G51" s="17">
        <f>D51+E51-F51</f>
        <v>524100</v>
      </c>
      <c r="H51" s="121" t="str">
        <f>IF(ISNA(VLOOKUP(A48,'Mutasi Neraca'!$A$3:$S$914,19,FALSE)),"-",VLOOKUP(A48,'Mutasi Neraca'!$A$3:$S$914,19,FALSE))</f>
        <v>-</v>
      </c>
      <c r="I51" s="28"/>
      <c r="J51" s="28"/>
    </row>
    <row r="52" spans="1:16" ht="21.95" customHeight="1">
      <c r="A52" s="14"/>
      <c r="B52" s="14"/>
      <c r="C52" s="16" t="s">
        <v>1166</v>
      </c>
      <c r="D52" s="17">
        <f>VLOOKUP(A48,'Neraca Unaudited SIMAK'!$A$2:$S$10004,4,FALSE)</f>
        <v>4866747500</v>
      </c>
      <c r="E52" s="25">
        <f>SUMIFS('Daftar Koreksi'!$H$5:$H$92,'Daftar Koreksi'!$D$5:$D$92,'0200'!A48,'Daftar Koreksi'!$G$5:$G$92,"Tanah",'Daftar Koreksi'!$H$5:$H$92,"&gt;0")</f>
        <v>0</v>
      </c>
      <c r="F52" s="25">
        <f>SUMIFS('Daftar Koreksi'!$H$5:$H$92,'Daftar Koreksi'!$D$5:$D$92,'0200'!A48,'Daftar Koreksi'!$G$5:$G$92,"Tanah",'Daftar Koreksi'!$H$5:$H$92,"&lt;0")-SUMIFS('Daftar Koreksi'!$H$5:$H$92,'Daftar Koreksi'!$D$5:$D$92,'0200'!A48,'Daftar Koreksi'!$G$5:$G$92,"Tanah",'Daftar Koreksi'!$H$5:$H$92,"&lt;0")-SUMIFS('Daftar Koreksi'!$H$5:$H$92,'Daftar Koreksi'!$D$5:$D$92,'0200'!A48,'Daftar Koreksi'!$G$5:$G$92,"Tanah",'Daftar Koreksi'!$H$5:$H$92,"&lt;0")</f>
        <v>0</v>
      </c>
      <c r="G52" s="17">
        <f t="shared" ref="G52:G68" si="2">D52+E52-F52</f>
        <v>4866747500</v>
      </c>
      <c r="H52" s="122"/>
      <c r="I52" s="28"/>
      <c r="J52" s="28"/>
    </row>
    <row r="53" spans="1:16" ht="21.95" customHeight="1">
      <c r="A53" s="14"/>
      <c r="B53" s="14"/>
      <c r="C53" s="16" t="s">
        <v>1167</v>
      </c>
      <c r="D53" s="17">
        <f>VLOOKUP(A48,'Neraca Unaudited SIMAK'!$A$2:$S$10004,5,FALSE)</f>
        <v>1577986083</v>
      </c>
      <c r="E53" s="25">
        <f>SUMIFS('Daftar Koreksi'!$H$5:$H$92,'Daftar Koreksi'!$D$5:$D$92,'0200'!A48,'Daftar Koreksi'!$G$5:$G$92,"Peralatan dan mesin",'Daftar Koreksi'!$H$5:$H$92,"&gt;0")</f>
        <v>0</v>
      </c>
      <c r="F53" s="25">
        <f>SUMIFS('Daftar Koreksi'!$H$5:$H$92,'Daftar Koreksi'!$D$5:$D$92,'0200'!A48,'Daftar Koreksi'!$G$5:$G$92,"Peralatan dan mesin",'Daftar Koreksi'!$H$5:$H$92,"&lt;0")-SUMIFS('Daftar Koreksi'!$H$5:$H$92,'Daftar Koreksi'!$D$5:$D$92,'0200'!A48,'Daftar Koreksi'!$G$5:$G$92,"Peralatan dan mesin",'Daftar Koreksi'!$H$5:$H$92,"&lt;0")-SUMIFS('Daftar Koreksi'!$H$5:$H$92,'Daftar Koreksi'!$D$5:$D$92,'0200'!A48,'Daftar Koreksi'!$G$5:$G$92,"Peralatan dan mesin",'Daftar Koreksi'!$H$5:$H$92,"&lt;0")</f>
        <v>0</v>
      </c>
      <c r="G53" s="17">
        <f t="shared" si="2"/>
        <v>1577986083</v>
      </c>
      <c r="H53" s="122"/>
      <c r="I53" s="28"/>
      <c r="J53" s="28"/>
    </row>
    <row r="54" spans="1:16" ht="21.95" customHeight="1">
      <c r="A54" s="14"/>
      <c r="B54" s="14"/>
      <c r="C54" s="16" t="s">
        <v>1168</v>
      </c>
      <c r="D54" s="17">
        <f>VLOOKUP(A48,'Neraca Unaudited SIMAK'!$A$2:$S$10004,6,FALSE)</f>
        <v>2794279813</v>
      </c>
      <c r="E54" s="25">
        <f>SUMIFS('Daftar Koreksi'!$H$5:$H$92,'Daftar Koreksi'!$D$5:$D$92,'0200'!A48,'Daftar Koreksi'!$G$5:$G$92,"Gedung dan Bangunan",'Daftar Koreksi'!$H$5:$H$92,"&gt;0")</f>
        <v>0</v>
      </c>
      <c r="F54" s="25">
        <f>SUMIFS('Daftar Koreksi'!$H$5:$H$92,'Daftar Koreksi'!$D$5:$D$92,'0200'!A48,'Daftar Koreksi'!$G$5:$G$92,"Gedung dan Bangunan",'Daftar Koreksi'!$H$5:$H$92,"&lt;0")-SUMIFS('Daftar Koreksi'!$H$5:$H$92,'Daftar Koreksi'!$D$5:$D$92,'0200'!A48,'Daftar Koreksi'!$G$5:$G$92,"Gedung dan Bangunan",'Daftar Koreksi'!$H$5:$H$92,"&lt;0")-SUMIFS('Daftar Koreksi'!$H$5:$H$92,'Daftar Koreksi'!$D$5:$D$92,'0200'!A48,'Daftar Koreksi'!$G$5:$G$92,"Gedung dan Bangunan",'Daftar Koreksi'!$H$5:$H$92,"&lt;0")</f>
        <v>0</v>
      </c>
      <c r="G54" s="17">
        <f t="shared" si="2"/>
        <v>2794279813</v>
      </c>
      <c r="H54" s="122"/>
      <c r="I54" s="28"/>
      <c r="J54" s="28"/>
    </row>
    <row r="55" spans="1:16" ht="21.95" customHeight="1">
      <c r="A55" s="14"/>
      <c r="B55" s="14"/>
      <c r="C55" s="16" t="s">
        <v>1169</v>
      </c>
      <c r="D55" s="17">
        <f>VLOOKUP(A48,'Neraca Unaudited SIMAK'!$A$2:$S$10004,7,FALSE)</f>
        <v>359574550</v>
      </c>
      <c r="E55" s="25">
        <f>SUMIFS('Daftar Koreksi'!$H$5:$H$92,'Daftar Koreksi'!$D$5:$D$92,'0200'!A48,'Daftar Koreksi'!$G$5:$G$92,"Jalan Irigasi Jaringan",'Daftar Koreksi'!$H$5:$H$92,"&gt;0")</f>
        <v>0</v>
      </c>
      <c r="F55" s="25">
        <f>SUMIFS('Daftar Koreksi'!$H$5:$H$92,'Daftar Koreksi'!$D$5:$D$92,'0200'!A48,'Daftar Koreksi'!$G$5:$G$92,"Jalan Irigasi Jaringan",'Daftar Koreksi'!$H$5:$H$92,"&lt;0")-SUMIFS('Daftar Koreksi'!$H$5:$H$92,'Daftar Koreksi'!$D$5:$D$92,'0200'!A48,'Daftar Koreksi'!$G$5:$G$92,"Jalan Irigasi Jaringan",'Daftar Koreksi'!$H$5:$H$92,"&lt;0")-SUMIFS('Daftar Koreksi'!$H$5:$H$92,'Daftar Koreksi'!$D$5:$D$92,'0200'!A48,'Daftar Koreksi'!$G$5:$G$92,"Jalan Irigasi Jaringan",'Daftar Koreksi'!$H$5:$H$92,"&lt;0")</f>
        <v>0</v>
      </c>
      <c r="G55" s="17">
        <f t="shared" si="2"/>
        <v>359574550</v>
      </c>
      <c r="H55" s="122"/>
      <c r="I55" s="28"/>
      <c r="J55" s="28"/>
    </row>
    <row r="56" spans="1:16" ht="21.95" customHeight="1">
      <c r="A56" s="14"/>
      <c r="B56" s="14"/>
      <c r="C56" s="16" t="s">
        <v>1170</v>
      </c>
      <c r="D56" s="17">
        <f>VLOOKUP(A48,'Neraca Unaudited SIMAK'!$A$2:$S$10004,8,FALSE)</f>
        <v>53594476</v>
      </c>
      <c r="E56" s="25">
        <f>SUMIFS('Daftar Koreksi'!$H$5:$H$92,'Daftar Koreksi'!$D$5:$D$92,'0200'!A48,'Daftar Koreksi'!$G$5:$G$92,"Aset Tetap Lainnya",'Daftar Koreksi'!$H$5:$H$92,"&gt;0")</f>
        <v>0</v>
      </c>
      <c r="F56" s="25">
        <f>SUMIFS('Daftar Koreksi'!$H$5:$H$92,'Daftar Koreksi'!$D$5:$D$92,'0200'!A48,'Daftar Koreksi'!$G$5:$G$92,"Aset Tetap Lainnya",'Daftar Koreksi'!$H$5:$H$92,"&lt;0")-SUMIFS('Daftar Koreksi'!$H$5:$H$92,'Daftar Koreksi'!$D$5:$D$92,'0200'!A48,'Daftar Koreksi'!$G$5:$G$92,"Aset Tetap Lainnya",'Daftar Koreksi'!$H$5:$H$92,"&lt;0")-SUMIFS('Daftar Koreksi'!$H$5:$H$92,'Daftar Koreksi'!$D$5:$D$92,'0200'!A48,'Daftar Koreksi'!$G$5:$G$92,"Aset Tetap Lainnya",'Daftar Koreksi'!$H$5:$H$92,"&lt;0")</f>
        <v>0</v>
      </c>
      <c r="G56" s="17">
        <f t="shared" si="2"/>
        <v>53594476</v>
      </c>
      <c r="H56" s="122"/>
      <c r="I56" s="28"/>
      <c r="J56" s="28"/>
    </row>
    <row r="57" spans="1:16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Koreksi'!$D$5:$D$92,'0200'!A48,'Daftar Koreksi'!$G$5:$G$92,"Kontruksi Dalam Pengerjaan",'Daftar Koreksi'!$H$5:$H$92,"&gt;0")</f>
        <v>0</v>
      </c>
      <c r="F57" s="25">
        <f>SUMIFS('Daftar Koreksi'!$H$5:$H$92,'Daftar Koreksi'!$D$5:$D$92,'0200'!A48,'Daftar Koreksi'!$G$5:$G$92,"Kontruksi Dalam Pengerjaan",'Daftar Koreksi'!$H$5:$H$92,"&lt;0")-SUMIFS('Daftar Koreksi'!$H$5:$H$92,'Daftar Koreksi'!$D$5:$D$92,'0200'!A48,'Daftar Koreksi'!$G$5:$G$92,"Kontruksi Dalam Pengerjaan",'Daftar Koreksi'!$H$5:$H$92,"&lt;0")-SUMIFS('Daftar Koreksi'!$H$5:$H$92,'Daftar Koreksi'!$D$5:$D$92,'0200'!A48,'Daftar Koreksi'!$G$5:$G$92,"Kontruksi Dalam Pengerjaan",'Daftar Koreksi'!$H$5:$H$92,"&lt;0")</f>
        <v>0</v>
      </c>
      <c r="G57" s="17">
        <f t="shared" si="2"/>
        <v>0</v>
      </c>
      <c r="H57" s="122"/>
      <c r="I57" s="28"/>
      <c r="J57" s="28"/>
    </row>
    <row r="58" spans="1:16" ht="21.95" customHeight="1">
      <c r="A58" s="14"/>
      <c r="B58" s="14"/>
      <c r="C58" s="16" t="s">
        <v>1172</v>
      </c>
      <c r="D58" s="17">
        <f>VLOOKUP(A48,'Neraca Unaudited SIMAK'!$A$2:$S$10004,10,FALSE)</f>
        <v>0</v>
      </c>
      <c r="E58" s="25">
        <f>SUMIFS('Daftar Koreksi'!$H$5:$H$92,'Daftar Koreksi'!$D$5:$D$92,'0200'!A48,'Daftar Koreksi'!$G$5:$G$92,"Aset Tak Berwujud",'Daftar Koreksi'!$H$5:$H$92,"&gt;0")</f>
        <v>0</v>
      </c>
      <c r="F58" s="25">
        <f>SUMIFS('Daftar Koreksi'!$H$5:$H$92,'Daftar Koreksi'!$D$5:$D$92,'0200'!A48,'Daftar Koreksi'!$G$5:$G$92,"Aset Tak Berwujud",'Daftar Koreksi'!$H$5:$H$92,"&lt;0")-SUMIFS('Daftar Koreksi'!$H$5:$H$92,'Daftar Koreksi'!$D$5:$D$92,'0200'!A48,'Daftar Koreksi'!$G$5:$G$92,"Aset Tak Berwujud",'Daftar Koreksi'!$H$5:$H$92,"&lt;0")-SUMIFS('Daftar Koreksi'!$H$5:$H$92,'Daftar Koreksi'!$D$5:$D$92,'0200'!A48,'Daftar Koreksi'!$G$5:$G$92,"Aset Tak Berwujud",'Daftar Koreksi'!$H$5:$H$92,"&lt;0")</f>
        <v>0</v>
      </c>
      <c r="G58" s="17">
        <f t="shared" si="2"/>
        <v>0</v>
      </c>
      <c r="H58" s="122"/>
      <c r="I58" s="28"/>
      <c r="J58" s="28"/>
    </row>
    <row r="59" spans="1:16" ht="21.95" customHeight="1">
      <c r="A59" s="14"/>
      <c r="B59" s="14"/>
      <c r="C59" s="16" t="s">
        <v>1173</v>
      </c>
      <c r="D59" s="17">
        <f>VLOOKUP(A48,'Neraca Unaudited SIMAK'!$A$2:$S$10004,11,FALSE)</f>
        <v>138299289</v>
      </c>
      <c r="E59" s="25">
        <f>SUMIFS('Daftar Koreksi'!$H$5:$H$92,'Daftar Koreksi'!$D$5:$D$92,'0200'!A48,'Daftar Koreksi'!$G$5:$G$92,"Aset Henti Guna",'Daftar Koreksi'!$H$5:$H$92,"&gt;0")</f>
        <v>0</v>
      </c>
      <c r="F59" s="25">
        <f>SUMIFS('Daftar Koreksi'!$H$5:$H$92,'Daftar Koreksi'!$D$5:$D$92,'0200'!A48,'Daftar Koreksi'!$G$5:$G$92,"Aset Henti Guna",'Daftar Koreksi'!$H$5:$H$92,"&lt;0")-SUMIFS('Daftar Koreksi'!$H$5:$H$92,'Daftar Koreksi'!$D$5:$D$92,'0200'!A48,'Daftar Koreksi'!$G$5:$G$92,"Aset Henti Guna",'Daftar Koreksi'!$H$5:$H$92,"&lt;0")-SUMIFS('Daftar Koreksi'!$H$5:$H$92,'Daftar Koreksi'!$D$5:$D$92,'0200'!A48,'Daftar Koreksi'!$G$5:$G$92,"Aset Henti Guna",'Daftar Koreksi'!$H$5:$H$92,"&lt;0")</f>
        <v>0</v>
      </c>
      <c r="G59" s="17">
        <f t="shared" si="2"/>
        <v>138299289</v>
      </c>
      <c r="H59" s="122"/>
      <c r="I59" s="28"/>
      <c r="J59" s="28"/>
    </row>
    <row r="60" spans="1:16" ht="21.95" customHeight="1">
      <c r="A60" s="14"/>
      <c r="B60" s="14"/>
      <c r="C60" s="18" t="s">
        <v>2093</v>
      </c>
      <c r="D60" s="19">
        <f>VLOOKUP(A48,'Neraca Unaudited SIMAK'!$A$2:$S$10004,12,FALSE)</f>
        <v>9791005811</v>
      </c>
      <c r="E60" s="19">
        <f>SUM(E51:E59)</f>
        <v>0</v>
      </c>
      <c r="F60" s="19">
        <f>SUM(F51:F59)</f>
        <v>0</v>
      </c>
      <c r="G60" s="19">
        <f t="shared" si="2"/>
        <v>9791005811</v>
      </c>
      <c r="H60" s="122"/>
      <c r="I60" s="28"/>
      <c r="J60" s="28"/>
    </row>
    <row r="61" spans="1:16" ht="21.95" customHeight="1">
      <c r="A61" s="14"/>
      <c r="B61" s="14"/>
      <c r="C61" s="16" t="s">
        <v>2087</v>
      </c>
      <c r="D61" s="17">
        <f>VLOOKUP(A48,'Neraca Unaudited SIMAK'!$A$2:$S$10004,13,FALSE)</f>
        <v>-1417138935</v>
      </c>
      <c r="E61" s="25">
        <f>SUMIFS('Daftar Koreksi'!$I$5:$I$92,'Daftar Koreksi'!$D$5:$D$92,'0200'!A48,'Daftar Koreksi'!$G$5:$G$92,"Peralatan dan mesin",'Daftar Koreksi'!$I$5:$I$92,"&gt;0")</f>
        <v>0</v>
      </c>
      <c r="F61" s="25">
        <f>SUMIFS('Daftar Koreksi'!$I$5:$I$92,'Daftar Koreksi'!$D$5:$D$92,'0200'!A48,'Daftar Koreksi'!$G$5:$G$92,"Peralatan dan mesin",'Daftar Koreksi'!$I$5:$I$92,"&lt;0")-SUMIFS('Daftar Koreksi'!$I$5:$I$92,'Daftar Koreksi'!$D$5:$D$92,'0200'!A48,'Daftar Koreksi'!$G$5:$G$92,"Peralatan dan mesin",'Daftar Koreksi'!$I$5:$I$92,"&lt;0")-SUMIFS('Daftar Koreksi'!$I$5:$I$92,'Daftar Koreksi'!$D$5:$D$92,'0200'!A48,'Daftar Koreksi'!$G$5:$G$92,"Peralatan dan mesin",'Daftar Koreksi'!$I$5:$I$92,"&lt;0")</f>
        <v>0</v>
      </c>
      <c r="G61" s="17">
        <f t="shared" si="2"/>
        <v>-1417138935</v>
      </c>
      <c r="H61" s="122"/>
      <c r="I61" s="28"/>
      <c r="J61" s="28"/>
    </row>
    <row r="62" spans="1:16" ht="21.95" customHeight="1">
      <c r="A62" s="14"/>
      <c r="B62" s="14"/>
      <c r="C62" s="16" t="s">
        <v>2088</v>
      </c>
      <c r="D62" s="17">
        <f>VLOOKUP(A48,'Neraca Unaudited SIMAK'!$A$2:$S$10004,14,FALSE)</f>
        <v>-1060354335</v>
      </c>
      <c r="E62" s="25">
        <f>SUMIFS('Daftar Koreksi'!$I$5:$I$92,'Daftar Koreksi'!$D$5:$D$92,'0200'!A48,'Daftar Koreksi'!$G$5:$G$92,"Gedung dan Bangunan",'Daftar Koreksi'!$I$5:$I$92,"&gt;0")</f>
        <v>0</v>
      </c>
      <c r="F62" s="25">
        <f>SUMIFS('Daftar Koreksi'!$I$5:$I$92,'Daftar Koreksi'!$D$5:$D$92,'0200'!A48,'Daftar Koreksi'!$G$5:$G$92,"Gedung dan Bangunan",'Daftar Koreksi'!$I$5:$I$92,"&lt;0")-SUMIFS('Daftar Koreksi'!$I$5:$I$92,'Daftar Koreksi'!$D$5:$D$92,'0200'!A48,'Daftar Koreksi'!$G$5:$G$92,"Gedung dan Bangunan",'Daftar Koreksi'!$I$5:$I$92,"&lt;0")-SUMIFS('Daftar Koreksi'!$I$5:$I$92,'Daftar Koreksi'!$D$5:$D$92,'0200'!A48,'Daftar Koreksi'!$G$5:$G$92,"Gedung dan Bangunan",'Daftar Koreksi'!$I$5:$I$92,"&lt;0")</f>
        <v>0</v>
      </c>
      <c r="G62" s="17">
        <f t="shared" si="2"/>
        <v>-1060354335</v>
      </c>
      <c r="H62" s="122"/>
      <c r="I62" s="28"/>
      <c r="J62" s="28"/>
    </row>
    <row r="63" spans="1:16" ht="21.95" customHeight="1">
      <c r="A63" s="14"/>
      <c r="B63" s="14"/>
      <c r="C63" s="16" t="s">
        <v>2089</v>
      </c>
      <c r="D63" s="17">
        <f>VLOOKUP(A48,'Neraca Unaudited SIMAK'!$A$2:$S$10004,15,FALSE)</f>
        <v>-102258403</v>
      </c>
      <c r="E63" s="25">
        <f>SUMIFS('Daftar Koreksi'!$I$5:$I$92,'Daftar Koreksi'!$D$5:$D$92,'0200'!A48,'Daftar Koreksi'!$G$5:$G$92,"Jalan Irigasi Jaringan",'Daftar Koreksi'!$I$5:$I$92,"&gt;0")</f>
        <v>0</v>
      </c>
      <c r="F63" s="25">
        <f>SUMIFS('Daftar Koreksi'!$I$5:$I$92,'Daftar Koreksi'!$D$5:$D$92,'0200'!A48,'Daftar Koreksi'!$G$5:$G$92,"Jalan Irigasi Jaringan",'Daftar Koreksi'!$I$5:$I$92,"&lt;0")-SUMIFS('Daftar Koreksi'!$I$5:$I$92,'Daftar Koreksi'!$D$5:$D$92,'0200'!A48,'Daftar Koreksi'!$G$5:$G$92,"Jalan Irigasi Jaringan",'Daftar Koreksi'!$I$5:$I$92,"&lt;0")-SUMIFS('Daftar Koreksi'!$I$5:$I$92,'Daftar Koreksi'!$D$5:$D$92,'0200'!A48,'Daftar Koreksi'!$G$5:$G$92,"Jalan Irigasi Jaringan",'Daftar Koreksi'!$I$5:$I$92,"&lt;0")</f>
        <v>0</v>
      </c>
      <c r="G63" s="17">
        <f t="shared" si="2"/>
        <v>-102258403</v>
      </c>
      <c r="H63" s="122"/>
      <c r="I63" s="28"/>
      <c r="J63" s="28"/>
    </row>
    <row r="64" spans="1:16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Koreksi'!$D$5:$D$92,'0200'!A48,'Daftar Koreksi'!$G$5:$G$92,"Aset Tetap Lainnya",'Daftar Koreksi'!$I$5:$I$92,"&gt;0")</f>
        <v>0</v>
      </c>
      <c r="F64" s="25">
        <f>SUMIFS('Daftar Koreksi'!$I$5:$I$92,'Daftar Koreksi'!$D$5:$D$92,'0200'!A48,'Daftar Koreksi'!$G$5:$G$92,"Aset Tetap Lainnya",'Daftar Koreksi'!$I$5:$I$92,"&lt;0")-SUMIFS('Daftar Koreksi'!$I$5:$I$92,'Daftar Koreksi'!$D$5:$D$92,'0200'!A48,'Daftar Koreksi'!$G$5:$G$92,"Aset Tetap Lainnya",'Daftar Koreksi'!$I$5:$I$92,"&lt;0")-SUMIFS('Daftar Koreksi'!$I$5:$I$92,'Daftar Koreksi'!$D$5:$D$92,'0200'!A48,'Daftar Koreksi'!$G$5:$G$92,"Aset Tetap Lainnya",'Daftar Koreksi'!$I$5:$I$92,"&lt;0")</f>
        <v>0</v>
      </c>
      <c r="G64" s="17">
        <f t="shared" si="2"/>
        <v>0</v>
      </c>
      <c r="H64" s="122"/>
      <c r="I64" s="28"/>
      <c r="J64" s="28"/>
    </row>
    <row r="65" spans="1:10" ht="21.95" customHeight="1">
      <c r="A65" s="14"/>
      <c r="B65" s="14"/>
      <c r="C65" s="16" t="s">
        <v>2020</v>
      </c>
      <c r="D65" s="17">
        <f>VLOOKUP(A48,'Neraca Unaudited SIMAK'!$A$2:$S$10004,17,FALSE)</f>
        <v>-137929289</v>
      </c>
      <c r="E65" s="25">
        <f>SUMIFS('Daftar Koreksi'!$I$5:$I$92,'Daftar Koreksi'!$D$5:$D$92,'0200'!A48,'Daftar Koreksi'!$G$5:$G$92,"Aset Henti Guna",'Daftar Koreksi'!$I$5:$I$92,"&gt;0")</f>
        <v>0</v>
      </c>
      <c r="F65" s="25">
        <f>SUMIFS('Daftar Koreksi'!$I$5:$I$92,'Daftar Koreksi'!$D$5:$D$92,'0200'!A48,'Daftar Koreksi'!$G$5:$G$92,"Aset Henti Guna",'Daftar Koreksi'!$I$5:$I$92,"&lt;0")-SUMIFS('Daftar Koreksi'!$I$5:$I$92,'Daftar Koreksi'!$D$5:$D$92,'0200'!A48,'Daftar Koreksi'!$G$5:$G$92,"Aset Henti Guna",'Daftar Koreksi'!$I$5:$I$92,"&lt;0")-SUMIFS('Daftar Koreksi'!$I$5:$I$92,'Daftar Koreksi'!$D$5:$D$92,'0200'!A48,'Daftar Koreksi'!$G$5:$G$92,"Aset Henti Guna",'Daftar Koreksi'!$I$5:$I$92,"&lt;0")</f>
        <v>0</v>
      </c>
      <c r="G65" s="17">
        <f t="shared" si="2"/>
        <v>-137929289</v>
      </c>
      <c r="H65" s="122"/>
      <c r="I65" s="28"/>
      <c r="J65" s="28"/>
    </row>
    <row r="66" spans="1:10" ht="21.95" customHeight="1">
      <c r="A66" s="14"/>
      <c r="B66" s="14"/>
      <c r="C66" s="18" t="s">
        <v>2094</v>
      </c>
      <c r="D66" s="19">
        <f>SUM(D61:D65)</f>
        <v>-2717680962</v>
      </c>
      <c r="E66" s="19">
        <f>SUM(E61:E65)</f>
        <v>0</v>
      </c>
      <c r="F66" s="19">
        <f>SUM(F61:F65)</f>
        <v>0</v>
      </c>
      <c r="G66" s="19">
        <f t="shared" si="2"/>
        <v>-2717680962</v>
      </c>
      <c r="H66" s="122"/>
      <c r="I66" s="28"/>
      <c r="J66" s="28"/>
    </row>
    <row r="67" spans="1:10" ht="21.95" customHeight="1">
      <c r="A67" s="14"/>
      <c r="B67" s="14"/>
      <c r="C67" s="18" t="s">
        <v>2095</v>
      </c>
      <c r="D67" s="19">
        <f>VLOOKUP(A48,'Neraca Unaudited SIMAK'!$A$2:$S$10004,18,FALSE)</f>
        <v>7073324849</v>
      </c>
      <c r="E67" s="19">
        <f>E66+E60</f>
        <v>0</v>
      </c>
      <c r="F67" s="19">
        <f>F66+F60</f>
        <v>0</v>
      </c>
      <c r="G67" s="19">
        <f t="shared" si="2"/>
        <v>7073324849</v>
      </c>
      <c r="H67" s="122"/>
      <c r="I67" s="28"/>
      <c r="J67" s="28"/>
    </row>
    <row r="68" spans="1:10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  <c r="I68" s="28"/>
      <c r="J68" s="28"/>
    </row>
    <row r="70" spans="1:10" ht="19.5" customHeight="1">
      <c r="A70" s="11" t="str">
        <f>O4</f>
        <v>005010200097535000KD</v>
      </c>
      <c r="B70" s="11" t="str">
        <f>P4</f>
        <v>PN. Tasikmalaya</v>
      </c>
      <c r="C70" s="12" t="str">
        <f>A70&amp;" "&amp;B70</f>
        <v>005010200097535000KD PN. Tasikmalaya</v>
      </c>
      <c r="D70" s="13"/>
      <c r="E70" s="13"/>
      <c r="F70" s="13"/>
      <c r="G70" s="13"/>
      <c r="H70" s="11"/>
    </row>
    <row r="71" spans="1:10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</row>
    <row r="72" spans="1:10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</row>
    <row r="73" spans="1:10" ht="21.95" customHeight="1">
      <c r="A73" s="14"/>
      <c r="B73" s="14"/>
      <c r="C73" s="16" t="s">
        <v>1165</v>
      </c>
      <c r="D73" s="17">
        <f>VLOOKUP(A70,'Neraca Unaudited SIMAK'!$A$2:$S$10004,3,FALSE)</f>
        <v>547500</v>
      </c>
      <c r="E73" s="25">
        <f>SUMIFS('Daftar Koreksi'!$H$5:$H$92,'Daftar Koreksi'!$D$5:$D$92,'0200'!A70,'Daftar Koreksi'!$G$5:$G$92,"Persediaan",'Daftar Koreksi'!$H$5:$H$92,"&gt;0")</f>
        <v>0</v>
      </c>
      <c r="F73" s="25">
        <f>SUMIFS('Daftar Koreksi'!$H$5:$H$92,'Daftar Koreksi'!$D$5:$D$92,'0200'!A70,'Daftar Koreksi'!$G$5:$G$92,"Persediaan",'Daftar Koreksi'!$H$5:$H$92,"&lt;0")-SUMIFS('Daftar Koreksi'!$H$5:$H$92,'Daftar Koreksi'!$D$5:$D$92,'0200'!A70,'Daftar Koreksi'!$G$5:$G$92,"Persediaan",'Daftar Koreksi'!$H$5:$H$92,"&lt;0")-SUMIFS('Daftar Koreksi'!$H$5:$H$92,'Daftar Koreksi'!$D$5:$D$92,'0200'!A70,'Daftar Koreksi'!$G$5:$G$92,"Persediaan",'Daftar Koreksi'!$H$5:$H$92,"&lt;0")</f>
        <v>0</v>
      </c>
      <c r="G73" s="17">
        <f>D73+E73-F73</f>
        <v>547500</v>
      </c>
      <c r="H73" s="121" t="str">
        <f>IF(ISNA(VLOOKUP(A70,'Mutasi Neraca'!$A$3:$S$914,19,FALSE)),"-",VLOOKUP(A70,'Mutasi Neraca'!$A$3:$S$914,19,FALSE))</f>
        <v>TP. No 3</v>
      </c>
    </row>
    <row r="74" spans="1:10" ht="21.95" customHeight="1">
      <c r="A74" s="14"/>
      <c r="B74" s="14"/>
      <c r="C74" s="16" t="s">
        <v>1166</v>
      </c>
      <c r="D74" s="17">
        <f>VLOOKUP(A70,'Neraca Unaudited SIMAK'!$A$2:$S$10004,4,FALSE)</f>
        <v>6602702000</v>
      </c>
      <c r="E74" s="25">
        <f>SUMIFS('Daftar Koreksi'!$H$5:$H$92,'Daftar Koreksi'!$D$5:$D$92,'0200'!A70,'Daftar Koreksi'!$G$5:$G$92,"Tanah",'Daftar Koreksi'!$H$5:$H$92,"&gt;0")</f>
        <v>0</v>
      </c>
      <c r="F74" s="25">
        <f>SUMIFS('Daftar Koreksi'!$H$5:$H$92,'Daftar Koreksi'!$D$5:$D$92,'0200'!A70,'Daftar Koreksi'!$G$5:$G$92,"Tanah",'Daftar Koreksi'!$H$5:$H$92,"&lt;0")-SUMIFS('Daftar Koreksi'!$H$5:$H$92,'Daftar Koreksi'!$D$5:$D$92,'0200'!A70,'Daftar Koreksi'!$G$5:$G$92,"Tanah",'Daftar Koreksi'!$H$5:$H$92,"&lt;0")-SUMIFS('Daftar Koreksi'!$H$5:$H$92,'Daftar Koreksi'!$D$5:$D$92,'0200'!A70,'Daftar Koreksi'!$G$5:$G$92,"Tanah",'Daftar Koreksi'!$H$5:$H$92,"&lt;0")</f>
        <v>0</v>
      </c>
      <c r="G74" s="17">
        <f t="shared" ref="G74:G90" si="3">D74+E74-F74</f>
        <v>6602702000</v>
      </c>
      <c r="H74" s="122"/>
    </row>
    <row r="75" spans="1:10" ht="21.95" customHeight="1">
      <c r="A75" s="14"/>
      <c r="B75" s="14"/>
      <c r="C75" s="16" t="s">
        <v>1167</v>
      </c>
      <c r="D75" s="17">
        <f>VLOOKUP(A70,'Neraca Unaudited SIMAK'!$A$2:$S$10004,5,FALSE)</f>
        <v>2022055721</v>
      </c>
      <c r="E75" s="25">
        <f>SUMIFS('Daftar Koreksi'!$H$5:$H$92,'Daftar Koreksi'!$D$5:$D$92,'0200'!A70,'Daftar Koreksi'!$G$5:$G$92,"Peralatan dan mesin",'Daftar Koreksi'!$H$5:$H$92,"&gt;0")</f>
        <v>0</v>
      </c>
      <c r="F75" s="25">
        <f>SUMIFS('Daftar Koreksi'!$H$5:$H$92,'Daftar Koreksi'!$D$5:$D$92,'0200'!A70,'Daftar Koreksi'!$G$5:$G$92,"Peralatan dan mesin",'Daftar Koreksi'!$H$5:$H$92,"&lt;0")-SUMIFS('Daftar Koreksi'!$H$5:$H$92,'Daftar Koreksi'!$D$5:$D$92,'0200'!A70,'Daftar Koreksi'!$G$5:$G$92,"Peralatan dan mesin",'Daftar Koreksi'!$H$5:$H$92,"&lt;0")-SUMIFS('Daftar Koreksi'!$H$5:$H$92,'Daftar Koreksi'!$D$5:$D$92,'0200'!A70,'Daftar Koreksi'!$G$5:$G$92,"Peralatan dan mesin",'Daftar Koreksi'!$H$5:$H$92,"&lt;0")</f>
        <v>0</v>
      </c>
      <c r="G75" s="17">
        <f t="shared" si="3"/>
        <v>2022055721</v>
      </c>
      <c r="H75" s="122"/>
    </row>
    <row r="76" spans="1:10" ht="21.95" customHeight="1">
      <c r="A76" s="14"/>
      <c r="B76" s="14"/>
      <c r="C76" s="16" t="s">
        <v>1168</v>
      </c>
      <c r="D76" s="17">
        <f>VLOOKUP(A70,'Neraca Unaudited SIMAK'!$A$2:$S$10004,6,FALSE)</f>
        <v>3249261480</v>
      </c>
      <c r="E76" s="25">
        <f>SUMIFS('Daftar Koreksi'!$H$5:$H$92,'Daftar Koreksi'!$D$5:$D$92,'0200'!A70,'Daftar Koreksi'!$G$5:$G$92,"Gedung dan Bangunan",'Daftar Koreksi'!$H$5:$H$92,"&gt;0")</f>
        <v>0</v>
      </c>
      <c r="F76" s="25">
        <f>SUMIFS('Daftar Koreksi'!$H$5:$H$92,'Daftar Koreksi'!$D$5:$D$92,'0200'!A70,'Daftar Koreksi'!$G$5:$G$92,"Gedung dan Bangunan",'Daftar Koreksi'!$H$5:$H$92,"&lt;0")-SUMIFS('Daftar Koreksi'!$H$5:$H$92,'Daftar Koreksi'!$D$5:$D$92,'0200'!A70,'Daftar Koreksi'!$G$5:$G$92,"Gedung dan Bangunan",'Daftar Koreksi'!$H$5:$H$92,"&lt;0")-SUMIFS('Daftar Koreksi'!$H$5:$H$92,'Daftar Koreksi'!$D$5:$D$92,'0200'!A70,'Daftar Koreksi'!$G$5:$G$92,"Gedung dan Bangunan",'Daftar Koreksi'!$H$5:$H$92,"&lt;0")</f>
        <v>0</v>
      </c>
      <c r="G76" s="17">
        <f t="shared" si="3"/>
        <v>3249261480</v>
      </c>
      <c r="H76" s="122"/>
    </row>
    <row r="77" spans="1:10" ht="21.95" customHeight="1">
      <c r="A77" s="14"/>
      <c r="B77" s="14"/>
      <c r="C77" s="16" t="s">
        <v>1169</v>
      </c>
      <c r="D77" s="17">
        <f>VLOOKUP(A70,'Neraca Unaudited SIMAK'!$A$2:$S$10004,7,FALSE)</f>
        <v>32865000</v>
      </c>
      <c r="E77" s="25">
        <f>SUMIFS('Daftar Koreksi'!$H$5:$H$92,'Daftar Koreksi'!$D$5:$D$92,'0200'!A70,'Daftar Koreksi'!$G$5:$G$92,"Jalan Irigasi Jaringan",'Daftar Koreksi'!$H$5:$H$92,"&gt;0")</f>
        <v>0</v>
      </c>
      <c r="F77" s="25">
        <f>SUMIFS('Daftar Koreksi'!$H$5:$H$92,'Daftar Koreksi'!$D$5:$D$92,'0200'!A70,'Daftar Koreksi'!$G$5:$G$92,"Jalan Irigasi Jaringan",'Daftar Koreksi'!$H$5:$H$92,"&lt;0")-SUMIFS('Daftar Koreksi'!$H$5:$H$92,'Daftar Koreksi'!$D$5:$D$92,'0200'!A70,'Daftar Koreksi'!$G$5:$G$92,"Jalan Irigasi Jaringan",'Daftar Koreksi'!$H$5:$H$92,"&lt;0")-SUMIFS('Daftar Koreksi'!$H$5:$H$92,'Daftar Koreksi'!$D$5:$D$92,'0200'!A70,'Daftar Koreksi'!$G$5:$G$92,"Jalan Irigasi Jaringan",'Daftar Koreksi'!$H$5:$H$92,"&lt;0")</f>
        <v>0</v>
      </c>
      <c r="G77" s="17">
        <f t="shared" si="3"/>
        <v>32865000</v>
      </c>
      <c r="H77" s="122"/>
    </row>
    <row r="78" spans="1:10" ht="21.95" customHeight="1">
      <c r="A78" s="14"/>
      <c r="B78" s="14"/>
      <c r="C78" s="16" t="s">
        <v>1170</v>
      </c>
      <c r="D78" s="17">
        <f>VLOOKUP(A70,'Neraca Unaudited SIMAK'!$A$2:$S$10004,8,FALSE)</f>
        <v>1943440</v>
      </c>
      <c r="E78" s="25">
        <f>SUMIFS('Daftar Koreksi'!$H$5:$H$92,'Daftar Koreksi'!$D$5:$D$92,'0200'!A70,'Daftar Koreksi'!$G$5:$G$92,"Aset Tetap Lainnya",'Daftar Koreksi'!$H$5:$H$92,"&gt;0")</f>
        <v>4411622</v>
      </c>
      <c r="F78" s="25">
        <f>SUMIFS('Daftar Koreksi'!$H$5:$H$92,'Daftar Koreksi'!$D$5:$D$92,'0200'!A70,'Daftar Koreksi'!$G$5:$G$92,"Aset Tetap Lainnya",'Daftar Koreksi'!$H$5:$H$92,"&lt;0")-SUMIFS('Daftar Koreksi'!$H$5:$H$92,'Daftar Koreksi'!$D$5:$D$92,'0200'!A70,'Daftar Koreksi'!$G$5:$G$92,"Aset Tetap Lainnya",'Daftar Koreksi'!$H$5:$H$92,"&lt;0")-SUMIFS('Daftar Koreksi'!$H$5:$H$92,'Daftar Koreksi'!$D$5:$D$92,'0200'!A70,'Daftar Koreksi'!$G$5:$G$92,"Aset Tetap Lainnya",'Daftar Koreksi'!$H$5:$H$92,"&lt;0")</f>
        <v>0</v>
      </c>
      <c r="G78" s="17">
        <f t="shared" si="3"/>
        <v>6355062</v>
      </c>
      <c r="H78" s="122"/>
    </row>
    <row r="79" spans="1:10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Koreksi'!$D$5:$D$92,'0200'!A70,'Daftar Koreksi'!$G$5:$G$92,"Kontruksi Dalam Pengerjaan",'Daftar Koreksi'!$H$5:$H$92,"&gt;0")</f>
        <v>0</v>
      </c>
      <c r="F79" s="25">
        <f>SUMIFS('Daftar Koreksi'!$H$5:$H$92,'Daftar Koreksi'!$D$5:$D$92,'0200'!A70,'Daftar Koreksi'!$G$5:$G$92,"Kontruksi Dalam Pengerjaan",'Daftar Koreksi'!$H$5:$H$92,"&lt;0")-SUMIFS('Daftar Koreksi'!$H$5:$H$92,'Daftar Koreksi'!$D$5:$D$92,'0200'!A70,'Daftar Koreksi'!$G$5:$G$92,"Kontruksi Dalam Pengerjaan",'Daftar Koreksi'!$H$5:$H$92,"&lt;0")-SUMIFS('Daftar Koreksi'!$H$5:$H$92,'Daftar Koreksi'!$D$5:$D$92,'0200'!A70,'Daftar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10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Koreksi'!$D$5:$D$92,'0200'!A70,'Daftar Koreksi'!$G$5:$G$92,"Aset Tak Berwujud",'Daftar Koreksi'!$H$5:$H$92,"&gt;0")</f>
        <v>0</v>
      </c>
      <c r="F80" s="25">
        <f>SUMIFS('Daftar Koreksi'!$H$5:$H$92,'Daftar Koreksi'!$D$5:$D$92,'0200'!A70,'Daftar Koreksi'!$G$5:$G$92,"Aset Tak Berwujud",'Daftar Koreksi'!$H$5:$H$92,"&lt;0")-SUMIFS('Daftar Koreksi'!$H$5:$H$92,'Daftar Koreksi'!$D$5:$D$92,'0200'!A70,'Daftar Koreksi'!$G$5:$G$92,"Aset Tak Berwujud",'Daftar Koreksi'!$H$5:$H$92,"&lt;0")-SUMIFS('Daftar Koreksi'!$H$5:$H$92,'Daftar Koreksi'!$D$5:$D$92,'0200'!A70,'Daftar Koreksi'!$G$5:$G$92,"Aset Tak Berwujud",'Daftar Koreksi'!$H$5:$H$92,"&lt;0")</f>
        <v>0</v>
      </c>
      <c r="G80" s="17">
        <f t="shared" si="3"/>
        <v>0</v>
      </c>
      <c r="H80" s="122"/>
    </row>
    <row r="81" spans="1:10" ht="21.95" customHeight="1">
      <c r="A81" s="14"/>
      <c r="B81" s="14"/>
      <c r="C81" s="16" t="s">
        <v>1173</v>
      </c>
      <c r="D81" s="17">
        <f>VLOOKUP(A70,'Neraca Unaudited SIMAK'!$A$2:$S$10004,11,FALSE)</f>
        <v>2528660</v>
      </c>
      <c r="E81" s="25">
        <f>SUMIFS('Daftar Koreksi'!$H$5:$H$92,'Daftar Koreksi'!$D$5:$D$92,'0200'!A70,'Daftar Koreksi'!$G$5:$G$92,"Aset Henti Guna",'Daftar Koreksi'!$H$5:$H$92,"&gt;0")</f>
        <v>0</v>
      </c>
      <c r="F81" s="25">
        <f>SUMIFS('Daftar Koreksi'!$H$5:$H$92,'Daftar Koreksi'!$D$5:$D$92,'0200'!A70,'Daftar Koreksi'!$G$5:$G$92,"Aset Henti Guna",'Daftar Koreksi'!$H$5:$H$92,"&lt;0")-SUMIFS('Daftar Koreksi'!$H$5:$H$92,'Daftar Koreksi'!$D$5:$D$92,'0200'!A70,'Daftar Koreksi'!$G$5:$G$92,"Aset Henti Guna",'Daftar Koreksi'!$H$5:$H$92,"&lt;0")-SUMIFS('Daftar Koreksi'!$H$5:$H$92,'Daftar Koreksi'!$D$5:$D$92,'0200'!A70,'Daftar Koreksi'!$G$5:$G$92,"Aset Henti Guna",'Daftar Koreksi'!$H$5:$H$92,"&lt;0")</f>
        <v>0</v>
      </c>
      <c r="G81" s="17">
        <f t="shared" si="3"/>
        <v>2528660</v>
      </c>
      <c r="H81" s="122"/>
    </row>
    <row r="82" spans="1:10" ht="21.95" customHeight="1">
      <c r="A82" s="14"/>
      <c r="B82" s="14"/>
      <c r="C82" s="18" t="s">
        <v>2093</v>
      </c>
      <c r="D82" s="19">
        <f>VLOOKUP(A70,'Neraca Unaudited SIMAK'!$A$2:$S$10004,12,FALSE)</f>
        <v>11911903801</v>
      </c>
      <c r="E82" s="19">
        <f>SUM(E73:E81)</f>
        <v>4411622</v>
      </c>
      <c r="F82" s="19">
        <f>SUM(F73:F81)</f>
        <v>0</v>
      </c>
      <c r="G82" s="19">
        <f t="shared" si="3"/>
        <v>11916315423</v>
      </c>
      <c r="H82" s="122"/>
    </row>
    <row r="83" spans="1:10" ht="21.95" customHeight="1">
      <c r="A83" s="14"/>
      <c r="B83" s="14"/>
      <c r="C83" s="16" t="s">
        <v>2087</v>
      </c>
      <c r="D83" s="17">
        <f>VLOOKUP(A70,'Neraca Unaudited SIMAK'!$A$2:$S$10004,13,FALSE)</f>
        <v>-1741897709</v>
      </c>
      <c r="E83" s="25">
        <f>SUMIFS('Daftar Koreksi'!$I$5:$I$92,'Daftar Koreksi'!$D$5:$D$92,'0200'!A70,'Daftar Koreksi'!$G$5:$G$92,"Peralatan dan mesin",'Daftar Koreksi'!$I$5:$I$92,"&gt;0")</f>
        <v>0</v>
      </c>
      <c r="F83" s="25">
        <f>SUMIFS('Daftar Koreksi'!$I$5:$I$92,'Daftar Koreksi'!$D$5:$D$92,'0200'!A70,'Daftar Koreksi'!$G$5:$G$92,"Peralatan dan mesin",'Daftar Koreksi'!$I$5:$I$92,"&lt;0")-SUMIFS('Daftar Koreksi'!$I$5:$I$92,'Daftar Koreksi'!$D$5:$D$92,'0200'!A70,'Daftar Koreksi'!$G$5:$G$92,"Peralatan dan mesin",'Daftar Koreksi'!$I$5:$I$92,"&lt;0")-SUMIFS('Daftar Koreksi'!$I$5:$I$92,'Daftar Koreksi'!$D$5:$D$92,'0200'!A70,'Daftar Koreksi'!$G$5:$G$92,"Peralatan dan mesin",'Daftar Koreksi'!$I$5:$I$92,"&lt;0")</f>
        <v>0</v>
      </c>
      <c r="G83" s="17">
        <f t="shared" si="3"/>
        <v>-1741897709</v>
      </c>
      <c r="H83" s="122"/>
    </row>
    <row r="84" spans="1:10" ht="21.95" customHeight="1">
      <c r="A84" s="14"/>
      <c r="B84" s="14"/>
      <c r="C84" s="16" t="s">
        <v>2088</v>
      </c>
      <c r="D84" s="17">
        <f>VLOOKUP(A70,'Neraca Unaudited SIMAK'!$A$2:$S$10004,14,FALSE)</f>
        <v>-2196240628</v>
      </c>
      <c r="E84" s="25">
        <f>SUMIFS('Daftar Koreksi'!$I$5:$I$92,'Daftar Koreksi'!$D$5:$D$92,'0200'!A70,'Daftar Koreksi'!$G$5:$G$92,"Gedung dan Bangunan",'Daftar Koreksi'!$I$5:$I$92,"&gt;0")</f>
        <v>0</v>
      </c>
      <c r="F84" s="25">
        <f>SUMIFS('Daftar Koreksi'!$I$5:$I$92,'Daftar Koreksi'!$D$5:$D$92,'0200'!A70,'Daftar Koreksi'!$G$5:$G$92,"Gedung dan Bangunan",'Daftar Koreksi'!$I$5:$I$92,"&lt;0")-SUMIFS('Daftar Koreksi'!$I$5:$I$92,'Daftar Koreksi'!$D$5:$D$92,'0200'!A70,'Daftar Koreksi'!$G$5:$G$92,"Gedung dan Bangunan",'Daftar Koreksi'!$I$5:$I$92,"&lt;0")-SUMIFS('Daftar Koreksi'!$I$5:$I$92,'Daftar Koreksi'!$D$5:$D$92,'0200'!A70,'Daftar Koreksi'!$G$5:$G$92,"Gedung dan Bangunan",'Daftar Koreksi'!$I$5:$I$92,"&lt;0")</f>
        <v>0</v>
      </c>
      <c r="G84" s="17">
        <f t="shared" si="3"/>
        <v>-2196240628</v>
      </c>
      <c r="H84" s="122"/>
    </row>
    <row r="85" spans="1:10" ht="21.95" customHeight="1">
      <c r="A85" s="14"/>
      <c r="B85" s="14"/>
      <c r="C85" s="16" t="s">
        <v>2089</v>
      </c>
      <c r="D85" s="17">
        <f>VLOOKUP(A70,'Neraca Unaudited SIMAK'!$A$2:$S$10004,15,FALSE)</f>
        <v>-5751375</v>
      </c>
      <c r="E85" s="25">
        <f>SUMIFS('Daftar Koreksi'!$I$5:$I$92,'Daftar Koreksi'!$D$5:$D$92,'0200'!A70,'Daftar Koreksi'!$G$5:$G$92,"Jalan Irigasi Jaringan",'Daftar Koreksi'!$I$5:$I$92,"&gt;0")</f>
        <v>0</v>
      </c>
      <c r="F85" s="25">
        <f>SUMIFS('Daftar Koreksi'!$I$5:$I$92,'Daftar Koreksi'!$D$5:$D$92,'0200'!A70,'Daftar Koreksi'!$G$5:$G$92,"Jalan Irigasi Jaringan",'Daftar Koreksi'!$I$5:$I$92,"&lt;0")-SUMIFS('Daftar Koreksi'!$I$5:$I$92,'Daftar Koreksi'!$D$5:$D$92,'0200'!A70,'Daftar Koreksi'!$G$5:$G$92,"Jalan Irigasi Jaringan",'Daftar Koreksi'!$I$5:$I$92,"&lt;0")-SUMIFS('Daftar Koreksi'!$I$5:$I$92,'Daftar Koreksi'!$D$5:$D$92,'0200'!A70,'Daftar Koreksi'!$G$5:$G$92,"Jalan Irigasi Jaringan",'Daftar Koreksi'!$I$5:$I$92,"&lt;0")</f>
        <v>0</v>
      </c>
      <c r="G85" s="17">
        <f t="shared" si="3"/>
        <v>-5751375</v>
      </c>
      <c r="H85" s="122"/>
    </row>
    <row r="86" spans="1:10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Koreksi'!$D$5:$D$92,'0200'!A70,'Daftar Koreksi'!$G$5:$G$92,"Aset Tetap Lainnya",'Daftar Koreksi'!$I$5:$I$92,"&gt;0")</f>
        <v>0</v>
      </c>
      <c r="F86" s="25">
        <f>SUMIFS('Daftar Koreksi'!$I$5:$I$92,'Daftar Koreksi'!$D$5:$D$92,'0200'!A70,'Daftar Koreksi'!$G$5:$G$92,"Aset Tetap Lainnya",'Daftar Koreksi'!$I$5:$I$92,"&lt;0")-SUMIFS('Daftar Koreksi'!$I$5:$I$92,'Daftar Koreksi'!$D$5:$D$92,'0200'!A70,'Daftar Koreksi'!$G$5:$G$92,"Aset Tetap Lainnya",'Daftar Koreksi'!$I$5:$I$92,"&lt;0")-SUMIFS('Daftar Koreksi'!$I$5:$I$92,'Daftar Koreksi'!$D$5:$D$92,'0200'!A70,'Daftar Koreksi'!$G$5:$G$92,"Aset Tetap Lainnya",'Daftar Koreksi'!$I$5:$I$92,"&lt;0")</f>
        <v>0</v>
      </c>
      <c r="G86" s="17">
        <f t="shared" si="3"/>
        <v>0</v>
      </c>
      <c r="H86" s="122"/>
    </row>
    <row r="87" spans="1:10" ht="21.95" customHeight="1">
      <c r="A87" s="14"/>
      <c r="B87" s="14"/>
      <c r="C87" s="16" t="s">
        <v>2020</v>
      </c>
      <c r="D87" s="17">
        <f>VLOOKUP(A70,'Neraca Unaudited SIMAK'!$A$2:$S$10004,17,FALSE)</f>
        <v>-2528660</v>
      </c>
      <c r="E87" s="25">
        <f>SUMIFS('Daftar Koreksi'!$I$5:$I$92,'Daftar Koreksi'!$D$5:$D$92,'0200'!A70,'Daftar Koreksi'!$G$5:$G$92,"Aset Henti Guna",'Daftar Koreksi'!$I$5:$I$92,"&gt;0")</f>
        <v>0</v>
      </c>
      <c r="F87" s="25">
        <f>SUMIFS('Daftar Koreksi'!$I$5:$I$92,'Daftar Koreksi'!$D$5:$D$92,'0200'!A70,'Daftar Koreksi'!$G$5:$G$92,"Aset Henti Guna",'Daftar Koreksi'!$I$5:$I$92,"&lt;0")-SUMIFS('Daftar Koreksi'!$I$5:$I$92,'Daftar Koreksi'!$D$5:$D$92,'0200'!A70,'Daftar Koreksi'!$G$5:$G$92,"Aset Henti Guna",'Daftar Koreksi'!$I$5:$I$92,"&lt;0")-SUMIFS('Daftar Koreksi'!$I$5:$I$92,'Daftar Koreksi'!$D$5:$D$92,'0200'!A70,'Daftar Koreksi'!$G$5:$G$92,"Aset Henti Guna",'Daftar Koreksi'!$I$5:$I$92,"&lt;0")</f>
        <v>0</v>
      </c>
      <c r="G87" s="17">
        <f t="shared" si="3"/>
        <v>-2528660</v>
      </c>
      <c r="H87" s="122"/>
    </row>
    <row r="88" spans="1:10" ht="21.95" customHeight="1">
      <c r="A88" s="14"/>
      <c r="B88" s="14"/>
      <c r="C88" s="18" t="s">
        <v>2094</v>
      </c>
      <c r="D88" s="19">
        <f>SUM(D83:D87)</f>
        <v>-3946418372</v>
      </c>
      <c r="E88" s="19">
        <f>SUM(E83:E87)</f>
        <v>0</v>
      </c>
      <c r="F88" s="19">
        <f>SUM(F83:F87)</f>
        <v>0</v>
      </c>
      <c r="G88" s="19">
        <f t="shared" si="3"/>
        <v>-3946418372</v>
      </c>
      <c r="H88" s="122"/>
    </row>
    <row r="89" spans="1:10" ht="21.95" customHeight="1">
      <c r="A89" s="14"/>
      <c r="B89" s="14"/>
      <c r="C89" s="18" t="s">
        <v>2095</v>
      </c>
      <c r="D89" s="19">
        <f>VLOOKUP(A70,'Neraca Unaudited SIMAK'!$A$2:$S$10004,18,FALSE)</f>
        <v>7965485429</v>
      </c>
      <c r="E89" s="19">
        <f>E88+E82</f>
        <v>4411622</v>
      </c>
      <c r="F89" s="19">
        <f>F88+F82</f>
        <v>0</v>
      </c>
      <c r="G89" s="19">
        <f t="shared" si="3"/>
        <v>7969897051</v>
      </c>
      <c r="H89" s="122"/>
    </row>
    <row r="90" spans="1:10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10" ht="19.5" customHeight="1">
      <c r="A92" s="11" t="str">
        <f>O5</f>
        <v>005010200097542000KD</v>
      </c>
      <c r="B92" s="11" t="str">
        <f>P5</f>
        <v>PN. Garut</v>
      </c>
      <c r="C92" s="12" t="str">
        <f>A92&amp;" "&amp;B92</f>
        <v>005010200097542000KD PN. Garut</v>
      </c>
      <c r="D92" s="13"/>
      <c r="E92" s="13"/>
      <c r="F92" s="13"/>
      <c r="G92" s="13"/>
      <c r="H92" s="11"/>
    </row>
    <row r="93" spans="1:10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10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10" ht="21.95" customHeight="1">
      <c r="A95" s="14"/>
      <c r="B95" s="14"/>
      <c r="C95" s="16" t="s">
        <v>1165</v>
      </c>
      <c r="D95" s="17">
        <f>VLOOKUP(A92,'Neraca Unaudited SIMAK'!$A$2:$S$10004,3,FALSE)</f>
        <v>781450</v>
      </c>
      <c r="E95" s="25">
        <f>SUMIFS('Daftar Koreksi'!$H$5:$H$92,'Daftar Koreksi'!$D$5:$D$92,'0200'!A92,'Daftar Koreksi'!$G$5:$G$92,"Persediaan",'Daftar Koreksi'!$H$5:$H$92,"&gt;0")</f>
        <v>0</v>
      </c>
      <c r="F95" s="25">
        <f>SUMIFS('Daftar Koreksi'!$H$5:$H$92,'Daftar Koreksi'!$D$5:$D$92,'0200'!A92,'Daftar Koreksi'!$G$5:$G$92,"Persediaan",'Daftar Koreksi'!$H$5:$H$92,"&lt;0")-SUMIFS('Daftar Koreksi'!$H$5:$H$92,'Daftar Koreksi'!$D$5:$D$92,'0200'!A92,'Daftar Koreksi'!$G$5:$G$92,"Persediaan",'Daftar Koreksi'!$H$5:$H$92,"&lt;0")-SUMIFS('Daftar Koreksi'!$H$5:$H$92,'Daftar Koreksi'!$D$5:$D$92,'0200'!A92,'Daftar Koreksi'!$G$5:$G$92,"Persediaan",'Daftar Koreksi'!$H$5:$H$92,"&lt;0")</f>
        <v>0</v>
      </c>
      <c r="G95" s="17">
        <f>D95+E95-F95</f>
        <v>781450</v>
      </c>
      <c r="H95" s="121" t="str">
        <f>IF(ISNA(VLOOKUP(A92,'Mutasi Neraca'!$A$3:$S$914,19,FALSE)),"-",VLOOKUP(A92,'Mutasi Neraca'!$A$3:$S$914,19,FALSE))</f>
        <v>TP. No 3</v>
      </c>
      <c r="I95" s="28"/>
      <c r="J95" s="28"/>
    </row>
    <row r="96" spans="1:10" ht="21.95" customHeight="1">
      <c r="A96" s="14"/>
      <c r="B96" s="14"/>
      <c r="C96" s="16" t="s">
        <v>1166</v>
      </c>
      <c r="D96" s="17">
        <f>VLOOKUP(A92,'Neraca Unaudited SIMAK'!$A$2:$S$10004,4,FALSE)</f>
        <v>3939203750</v>
      </c>
      <c r="E96" s="25">
        <f>SUMIFS('Daftar Koreksi'!$H$5:$H$92,'Daftar Koreksi'!$D$5:$D$92,'0200'!A92,'Daftar Koreksi'!$G$5:$G$92,"Tanah",'Daftar Koreksi'!$H$5:$H$92,"&gt;0")</f>
        <v>0</v>
      </c>
      <c r="F96" s="25">
        <f>SUMIFS('Daftar Koreksi'!$H$5:$H$92,'Daftar Koreksi'!$D$5:$D$92,'0200'!A92,'Daftar Koreksi'!$G$5:$G$92,"Tanah",'Daftar Koreksi'!$H$5:$H$92,"&lt;0")-SUMIFS('Daftar Koreksi'!$H$5:$H$92,'Daftar Koreksi'!$D$5:$D$92,'0200'!A92,'Daftar Koreksi'!$G$5:$G$92,"Tanah",'Daftar Koreksi'!$H$5:$H$92,"&lt;0")-SUMIFS('Daftar Koreksi'!$H$5:$H$92,'Daftar Koreksi'!$D$5:$D$92,'0200'!A92,'Daftar Koreksi'!$G$5:$G$92,"Tanah",'Daftar Koreksi'!$H$5:$H$92,"&lt;0")</f>
        <v>0</v>
      </c>
      <c r="G96" s="17">
        <f t="shared" ref="G96:G112" si="4">D96+E96-F96</f>
        <v>3939203750</v>
      </c>
      <c r="H96" s="122"/>
      <c r="I96" s="28"/>
      <c r="J96" s="28"/>
    </row>
    <row r="97" spans="1:10" ht="21.95" customHeight="1">
      <c r="A97" s="14"/>
      <c r="B97" s="14"/>
      <c r="C97" s="16" t="s">
        <v>1167</v>
      </c>
      <c r="D97" s="17">
        <f>VLOOKUP(A92,'Neraca Unaudited SIMAK'!$A$2:$S$10004,5,FALSE)</f>
        <v>1692806378</v>
      </c>
      <c r="E97" s="25">
        <f>SUMIFS('Daftar Koreksi'!$H$5:$H$92,'Daftar Koreksi'!$D$5:$D$92,'0200'!A92,'Daftar Koreksi'!$G$5:$G$92,"Peralatan dan mesin",'Daftar Koreksi'!$H$5:$H$92,"&gt;0")</f>
        <v>0</v>
      </c>
      <c r="F97" s="25">
        <f>SUMIFS('Daftar Koreksi'!$H$5:$H$92,'Daftar Koreksi'!$D$5:$D$92,'0200'!A92,'Daftar Koreksi'!$G$5:$G$92,"Peralatan dan mesin",'Daftar Koreksi'!$H$5:$H$92,"&lt;0")-SUMIFS('Daftar Koreksi'!$H$5:$H$92,'Daftar Koreksi'!$D$5:$D$92,'0200'!A92,'Daftar Koreksi'!$G$5:$G$92,"Peralatan dan mesin",'Daftar Koreksi'!$H$5:$H$92,"&lt;0")-SUMIFS('Daftar Koreksi'!$H$5:$H$92,'Daftar Koreksi'!$D$5:$D$92,'0200'!A92,'Daftar Koreksi'!$G$5:$G$92,"Peralatan dan mesin",'Daftar Koreksi'!$H$5:$H$92,"&lt;0")</f>
        <v>0</v>
      </c>
      <c r="G97" s="17">
        <f t="shared" si="4"/>
        <v>1692806378</v>
      </c>
      <c r="H97" s="122"/>
      <c r="I97" s="28"/>
      <c r="J97" s="28"/>
    </row>
    <row r="98" spans="1:10" ht="21.95" customHeight="1">
      <c r="A98" s="14"/>
      <c r="B98" s="14"/>
      <c r="C98" s="16" t="s">
        <v>1168</v>
      </c>
      <c r="D98" s="17">
        <f>VLOOKUP(A92,'Neraca Unaudited SIMAK'!$A$2:$S$10004,6,FALSE)</f>
        <v>3754430750</v>
      </c>
      <c r="E98" s="25">
        <f>SUMIFS('Daftar Koreksi'!$H$5:$H$92,'Daftar Koreksi'!$D$5:$D$92,'0200'!A92,'Daftar Koreksi'!$G$5:$G$92,"Gedung dan Bangunan",'Daftar Koreksi'!$H$5:$H$92,"&gt;0")</f>
        <v>0</v>
      </c>
      <c r="F98" s="25">
        <f>SUMIFS('Daftar Koreksi'!$H$5:$H$92,'Daftar Koreksi'!$D$5:$D$92,'0200'!A92,'Daftar Koreksi'!$G$5:$G$92,"Gedung dan Bangunan",'Daftar Koreksi'!$H$5:$H$92,"&lt;0")-SUMIFS('Daftar Koreksi'!$H$5:$H$92,'Daftar Koreksi'!$D$5:$D$92,'0200'!A92,'Daftar Koreksi'!$G$5:$G$92,"Gedung dan Bangunan",'Daftar Koreksi'!$H$5:$H$92,"&lt;0")-SUMIFS('Daftar Koreksi'!$H$5:$H$92,'Daftar Koreksi'!$D$5:$D$92,'0200'!A92,'Daftar Koreksi'!$G$5:$G$92,"Gedung dan Bangunan",'Daftar Koreksi'!$H$5:$H$92,"&lt;0")</f>
        <v>0</v>
      </c>
      <c r="G98" s="17">
        <f t="shared" si="4"/>
        <v>3754430750</v>
      </c>
      <c r="H98" s="122"/>
      <c r="I98" s="28"/>
      <c r="J98" s="28"/>
    </row>
    <row r="99" spans="1:10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Koreksi'!$D$5:$D$92,'0200'!A92,'Daftar Koreksi'!$G$5:$G$92,"Jalan Irigasi Jaringan",'Daftar Koreksi'!$H$5:$H$92,"&gt;0")</f>
        <v>0</v>
      </c>
      <c r="F99" s="25">
        <f>SUMIFS('Daftar Koreksi'!$H$5:$H$92,'Daftar Koreksi'!$D$5:$D$92,'0200'!A92,'Daftar Koreksi'!$G$5:$G$92,"Jalan Irigasi Jaringan",'Daftar Koreksi'!$H$5:$H$92,"&lt;0")-SUMIFS('Daftar Koreksi'!$H$5:$H$92,'Daftar Koreksi'!$D$5:$D$92,'0200'!A92,'Daftar Koreksi'!$G$5:$G$92,"Jalan Irigasi Jaringan",'Daftar Koreksi'!$H$5:$H$92,"&lt;0")-SUMIFS('Daftar Koreksi'!$H$5:$H$92,'Daftar Koreksi'!$D$5:$D$92,'0200'!A92,'Daftar Koreksi'!$G$5:$G$92,"Jalan Irigasi Jaringan",'Daftar Koreksi'!$H$5:$H$92,"&lt;0")</f>
        <v>0</v>
      </c>
      <c r="G99" s="17">
        <f t="shared" si="4"/>
        <v>0</v>
      </c>
      <c r="H99" s="122"/>
      <c r="I99" s="28"/>
      <c r="J99" s="28"/>
    </row>
    <row r="100" spans="1:10" ht="21.95" customHeight="1">
      <c r="A100" s="14"/>
      <c r="B100" s="14"/>
      <c r="C100" s="16" t="s">
        <v>1170</v>
      </c>
      <c r="D100" s="17">
        <f>VLOOKUP(A92,'Neraca Unaudited SIMAK'!$A$2:$S$10004,8,FALSE)</f>
        <v>7239801</v>
      </c>
      <c r="E100" s="25">
        <f>SUMIFS('Daftar Koreksi'!$H$5:$H$92,'Daftar Koreksi'!$D$5:$D$92,'0200'!A92,'Daftar Koreksi'!$G$5:$G$92,"Aset Tetap Lainnya",'Daftar Koreksi'!$H$5:$H$92,"&gt;0")</f>
        <v>4411622</v>
      </c>
      <c r="F100" s="25">
        <f>SUMIFS('Daftar Koreksi'!$H$5:$H$92,'Daftar Koreksi'!$D$5:$D$92,'0200'!A92,'Daftar Koreksi'!$G$5:$G$92,"Aset Tetap Lainnya",'Daftar Koreksi'!$H$5:$H$92,"&lt;0")-SUMIFS('Daftar Koreksi'!$H$5:$H$92,'Daftar Koreksi'!$D$5:$D$92,'0200'!A92,'Daftar Koreksi'!$G$5:$G$92,"Aset Tetap Lainnya",'Daftar Koreksi'!$H$5:$H$92,"&lt;0")-SUMIFS('Daftar Koreksi'!$H$5:$H$92,'Daftar Koreksi'!$D$5:$D$92,'0200'!A92,'Daftar Koreksi'!$G$5:$G$92,"Aset Tetap Lainnya",'Daftar Koreksi'!$H$5:$H$92,"&lt;0")</f>
        <v>0</v>
      </c>
      <c r="G100" s="17">
        <f t="shared" si="4"/>
        <v>11651423</v>
      </c>
      <c r="H100" s="122"/>
      <c r="I100" s="28"/>
      <c r="J100" s="28"/>
    </row>
    <row r="101" spans="1:10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Koreksi'!$D$5:$D$92,'0200'!A92,'Daftar Koreksi'!$G$5:$G$92,"Kontruksi Dalam Pengerjaan",'Daftar Koreksi'!$H$5:$H$92,"&gt;0")</f>
        <v>0</v>
      </c>
      <c r="F101" s="25">
        <f>SUMIFS('Daftar Koreksi'!$H$5:$H$92,'Daftar Koreksi'!$D$5:$D$92,'0200'!A92,'Daftar Koreksi'!$G$5:$G$92,"Kontruksi Dalam Pengerjaan",'Daftar Koreksi'!$H$5:$H$92,"&lt;0")-SUMIFS('Daftar Koreksi'!$H$5:$H$92,'Daftar Koreksi'!$D$5:$D$92,'0200'!A92,'Daftar Koreksi'!$G$5:$G$92,"Kontruksi Dalam Pengerjaan",'Daftar Koreksi'!$H$5:$H$92,"&lt;0")-SUMIFS('Daftar Koreksi'!$H$5:$H$92,'Daftar Koreksi'!$D$5:$D$92,'0200'!A92,'Daftar Koreksi'!$G$5:$G$92,"Kontruksi Dalam Pengerjaan",'Daftar Koreksi'!$H$5:$H$92,"&lt;0")</f>
        <v>0</v>
      </c>
      <c r="G101" s="17">
        <f t="shared" si="4"/>
        <v>0</v>
      </c>
      <c r="H101" s="122"/>
      <c r="I101" s="28"/>
      <c r="J101" s="28"/>
    </row>
    <row r="102" spans="1:10" ht="21.95" customHeight="1">
      <c r="A102" s="14"/>
      <c r="B102" s="14"/>
      <c r="C102" s="16" t="s">
        <v>1172</v>
      </c>
      <c r="D102" s="17">
        <f>VLOOKUP(A92,'Neraca Unaudited SIMAK'!$A$2:$S$10004,10,FALSE)</f>
        <v>12750000</v>
      </c>
      <c r="E102" s="25">
        <f>SUMIFS('Daftar Koreksi'!$H$5:$H$92,'Daftar Koreksi'!$D$5:$D$92,'0200'!A92,'Daftar Koreksi'!$G$5:$G$92,"Aset Tak Berwujud",'Daftar Koreksi'!$H$5:$H$92,"&gt;0")</f>
        <v>0</v>
      </c>
      <c r="F102" s="25">
        <f>SUMIFS('Daftar Koreksi'!$H$5:$H$92,'Daftar Koreksi'!$D$5:$D$92,'0200'!A92,'Daftar Koreksi'!$G$5:$G$92,"Aset Tak Berwujud",'Daftar Koreksi'!$H$5:$H$92,"&lt;0")-SUMIFS('Daftar Koreksi'!$H$5:$H$92,'Daftar Koreksi'!$D$5:$D$92,'0200'!A92,'Daftar Koreksi'!$G$5:$G$92,"Aset Tak Berwujud",'Daftar Koreksi'!$H$5:$H$92,"&lt;0")-SUMIFS('Daftar Koreksi'!$H$5:$H$92,'Daftar Koreksi'!$D$5:$D$92,'0200'!A92,'Daftar Koreksi'!$G$5:$G$92,"Aset Tak Berwujud",'Daftar Koreksi'!$H$5:$H$92,"&lt;0")</f>
        <v>0</v>
      </c>
      <c r="G102" s="17">
        <f t="shared" si="4"/>
        <v>12750000</v>
      </c>
      <c r="H102" s="122"/>
      <c r="I102" s="28"/>
      <c r="J102" s="28"/>
    </row>
    <row r="103" spans="1:10" ht="21.95" customHeight="1">
      <c r="A103" s="14"/>
      <c r="B103" s="14"/>
      <c r="C103" s="16" t="s">
        <v>1173</v>
      </c>
      <c r="D103" s="17">
        <f>VLOOKUP(A92,'Neraca Unaudited SIMAK'!$A$2:$S$10004,11,FALSE)</f>
        <v>137334402</v>
      </c>
      <c r="E103" s="25">
        <f>SUMIFS('Daftar Koreksi'!$H$5:$H$92,'Daftar Koreksi'!$D$5:$D$92,'0200'!A92,'Daftar Koreksi'!$G$5:$G$92,"Aset Henti Guna",'Daftar Koreksi'!$H$5:$H$92,"&gt;0")</f>
        <v>0</v>
      </c>
      <c r="F103" s="25">
        <f>SUMIFS('Daftar Koreksi'!$H$5:$H$92,'Daftar Koreksi'!$D$5:$D$92,'0200'!A92,'Daftar Koreksi'!$G$5:$G$92,"Aset Henti Guna",'Daftar Koreksi'!$H$5:$H$92,"&lt;0")-SUMIFS('Daftar Koreksi'!$H$5:$H$92,'Daftar Koreksi'!$D$5:$D$92,'0200'!A92,'Daftar Koreksi'!$G$5:$G$92,"Aset Henti Guna",'Daftar Koreksi'!$H$5:$H$92,"&lt;0")-SUMIFS('Daftar Koreksi'!$H$5:$H$92,'Daftar Koreksi'!$D$5:$D$92,'0200'!A92,'Daftar Koreksi'!$G$5:$G$92,"Aset Henti Guna",'Daftar Koreksi'!$H$5:$H$92,"&lt;0")</f>
        <v>0</v>
      </c>
      <c r="G103" s="17">
        <f t="shared" si="4"/>
        <v>137334402</v>
      </c>
      <c r="H103" s="122"/>
      <c r="I103" s="28"/>
      <c r="J103" s="28"/>
    </row>
    <row r="104" spans="1:10" ht="21.95" customHeight="1">
      <c r="A104" s="14"/>
      <c r="B104" s="14"/>
      <c r="C104" s="18" t="s">
        <v>2093</v>
      </c>
      <c r="D104" s="19">
        <f>VLOOKUP(A92,'Neraca Unaudited SIMAK'!$A$2:$S$10004,12,FALSE)</f>
        <v>9544546531</v>
      </c>
      <c r="E104" s="19">
        <f>SUM(E95:E103)</f>
        <v>4411622</v>
      </c>
      <c r="F104" s="19">
        <f>SUM(F95:F103)</f>
        <v>0</v>
      </c>
      <c r="G104" s="19">
        <f t="shared" si="4"/>
        <v>9548958153</v>
      </c>
      <c r="H104" s="122"/>
      <c r="I104" s="28"/>
      <c r="J104" s="28"/>
    </row>
    <row r="105" spans="1:10" ht="21.95" customHeight="1">
      <c r="A105" s="14"/>
      <c r="B105" s="14"/>
      <c r="C105" s="16" t="s">
        <v>2087</v>
      </c>
      <c r="D105" s="17">
        <f>VLOOKUP(A92,'Neraca Unaudited SIMAK'!$A$2:$S$10004,13,FALSE)</f>
        <v>-1522221530</v>
      </c>
      <c r="E105" s="25">
        <f>SUMIFS('Daftar Koreksi'!$I$5:$I$92,'Daftar Koreksi'!$D$5:$D$92,'0200'!A92,'Daftar Koreksi'!$G$5:$G$92,"Peralatan dan mesin",'Daftar Koreksi'!$I$5:$I$92,"&gt;0")</f>
        <v>0</v>
      </c>
      <c r="F105" s="25">
        <f>SUMIFS('Daftar Koreksi'!$I$5:$I$92,'Daftar Koreksi'!$D$5:$D$92,'0200'!A92,'Daftar Koreksi'!$G$5:$G$92,"Peralatan dan mesin",'Daftar Koreksi'!$I$5:$I$92,"&lt;0")-SUMIFS('Daftar Koreksi'!$I$5:$I$92,'Daftar Koreksi'!$D$5:$D$92,'0200'!A92,'Daftar Koreksi'!$G$5:$G$92,"Peralatan dan mesin",'Daftar Koreksi'!$I$5:$I$92,"&lt;0")-SUMIFS('Daftar Koreksi'!$I$5:$I$92,'Daftar Koreksi'!$D$5:$D$92,'0200'!A92,'Daftar Koreksi'!$G$5:$G$92,"Peralatan dan mesin",'Daftar Koreksi'!$I$5:$I$92,"&lt;0")</f>
        <v>0</v>
      </c>
      <c r="G105" s="17">
        <f t="shared" si="4"/>
        <v>-1522221530</v>
      </c>
      <c r="H105" s="122"/>
      <c r="I105" s="28"/>
      <c r="J105" s="28"/>
    </row>
    <row r="106" spans="1:10" ht="21.95" customHeight="1">
      <c r="A106" s="14"/>
      <c r="B106" s="14"/>
      <c r="C106" s="16" t="s">
        <v>2088</v>
      </c>
      <c r="D106" s="17">
        <f>VLOOKUP(A92,'Neraca Unaudited SIMAK'!$A$2:$S$10004,14,FALSE)</f>
        <v>-815389640</v>
      </c>
      <c r="E106" s="25">
        <f>SUMIFS('Daftar Koreksi'!$I$5:$I$92,'Daftar Koreksi'!$D$5:$D$92,'0200'!A92,'Daftar Koreksi'!$G$5:$G$92,"Gedung dan Bangunan",'Daftar Koreksi'!$I$5:$I$92,"&gt;0")</f>
        <v>0</v>
      </c>
      <c r="F106" s="25">
        <f>SUMIFS('Daftar Koreksi'!$I$5:$I$92,'Daftar Koreksi'!$D$5:$D$92,'0200'!A92,'Daftar Koreksi'!$G$5:$G$92,"Gedung dan Bangunan",'Daftar Koreksi'!$I$5:$I$92,"&lt;0")-SUMIFS('Daftar Koreksi'!$I$5:$I$92,'Daftar Koreksi'!$D$5:$D$92,'0200'!A92,'Daftar Koreksi'!$G$5:$G$92,"Gedung dan Bangunan",'Daftar Koreksi'!$I$5:$I$92,"&lt;0")-SUMIFS('Daftar Koreksi'!$I$5:$I$92,'Daftar Koreksi'!$D$5:$D$92,'0200'!A92,'Daftar Koreksi'!$G$5:$G$92,"Gedung dan Bangunan",'Daftar Koreksi'!$I$5:$I$92,"&lt;0")</f>
        <v>0</v>
      </c>
      <c r="G106" s="17">
        <f t="shared" si="4"/>
        <v>-815389640</v>
      </c>
      <c r="H106" s="122"/>
      <c r="I106" s="28"/>
      <c r="J106" s="28"/>
    </row>
    <row r="107" spans="1:10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Koreksi'!$D$5:$D$92,'0200'!A92,'Daftar Koreksi'!$G$5:$G$92,"Jalan Irigasi Jaringan",'Daftar Koreksi'!$I$5:$I$92,"&gt;0")</f>
        <v>0</v>
      </c>
      <c r="F107" s="25">
        <f>SUMIFS('Daftar Koreksi'!$I$5:$I$92,'Daftar Koreksi'!$D$5:$D$92,'0200'!A92,'Daftar Koreksi'!$G$5:$G$92,"Jalan Irigasi Jaringan",'Daftar Koreksi'!$I$5:$I$92,"&lt;0")-SUMIFS('Daftar Koreksi'!$I$5:$I$92,'Daftar Koreksi'!$D$5:$D$92,'0200'!A92,'Daftar Koreksi'!$G$5:$G$92,"Jalan Irigasi Jaringan",'Daftar Koreksi'!$I$5:$I$92,"&lt;0")-SUMIFS('Daftar Koreksi'!$I$5:$I$92,'Daftar Koreksi'!$D$5:$D$92,'0200'!A92,'Daftar Koreksi'!$G$5:$G$92,"Jalan Irigasi Jaringan",'Daftar Koreksi'!$I$5:$I$92,"&lt;0")</f>
        <v>0</v>
      </c>
      <c r="G107" s="17">
        <f t="shared" si="4"/>
        <v>0</v>
      </c>
      <c r="H107" s="122"/>
      <c r="I107" s="28"/>
      <c r="J107" s="28"/>
    </row>
    <row r="108" spans="1:10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Koreksi'!$D$5:$D$92,'0200'!A92,'Daftar Koreksi'!$G$5:$G$92,"Aset Tetap Lainnya",'Daftar Koreksi'!$I$5:$I$92,"&gt;0")</f>
        <v>0</v>
      </c>
      <c r="F108" s="25">
        <f>SUMIFS('Daftar Koreksi'!$I$5:$I$92,'Daftar Koreksi'!$D$5:$D$92,'0200'!A92,'Daftar Koreksi'!$G$5:$G$92,"Aset Tetap Lainnya",'Daftar Koreksi'!$I$5:$I$92,"&lt;0")-SUMIFS('Daftar Koreksi'!$I$5:$I$92,'Daftar Koreksi'!$D$5:$D$92,'0200'!A92,'Daftar Koreksi'!$G$5:$G$92,"Aset Tetap Lainnya",'Daftar Koreksi'!$I$5:$I$92,"&lt;0")-SUMIFS('Daftar Koreksi'!$I$5:$I$92,'Daftar Koreksi'!$D$5:$D$92,'0200'!A92,'Daftar Koreksi'!$G$5:$G$92,"Aset Tetap Lainnya",'Daftar Koreksi'!$I$5:$I$92,"&lt;0")</f>
        <v>0</v>
      </c>
      <c r="G108" s="17">
        <f t="shared" si="4"/>
        <v>0</v>
      </c>
      <c r="H108" s="122"/>
      <c r="I108" s="28"/>
      <c r="J108" s="28"/>
    </row>
    <row r="109" spans="1:10" ht="21.95" customHeight="1">
      <c r="A109" s="14"/>
      <c r="B109" s="14"/>
      <c r="C109" s="16" t="s">
        <v>2020</v>
      </c>
      <c r="D109" s="17">
        <f>VLOOKUP(A92,'Neraca Unaudited SIMAK'!$A$2:$S$10004,17,FALSE)</f>
        <v>-138054402</v>
      </c>
      <c r="E109" s="25">
        <f>SUMIFS('Daftar Koreksi'!$I$5:$I$92,'Daftar Koreksi'!$D$5:$D$92,'0200'!A92,'Daftar Koreksi'!$G$5:$G$92,"Aset Henti Guna",'Daftar Koreksi'!$I$5:$I$92,"&gt;0")</f>
        <v>0</v>
      </c>
      <c r="F109" s="25">
        <f>SUMIFS('Daftar Koreksi'!$I$5:$I$92,'Daftar Koreksi'!$D$5:$D$92,'0200'!A92,'Daftar Koreksi'!$G$5:$G$92,"Aset Henti Guna",'Daftar Koreksi'!$I$5:$I$92,"&lt;0")-SUMIFS('Daftar Koreksi'!$I$5:$I$92,'Daftar Koreksi'!$D$5:$D$92,'0200'!A92,'Daftar Koreksi'!$G$5:$G$92,"Aset Henti Guna",'Daftar Koreksi'!$I$5:$I$92,"&lt;0")-SUMIFS('Daftar Koreksi'!$I$5:$I$92,'Daftar Koreksi'!$D$5:$D$92,'0200'!A92,'Daftar Koreksi'!$G$5:$G$92,"Aset Henti Guna",'Daftar Koreksi'!$I$5:$I$92,"&lt;0")</f>
        <v>0</v>
      </c>
      <c r="G109" s="17">
        <f t="shared" si="4"/>
        <v>-138054402</v>
      </c>
      <c r="H109" s="122"/>
      <c r="I109" s="28"/>
      <c r="J109" s="28"/>
    </row>
    <row r="110" spans="1:10" ht="21.95" customHeight="1">
      <c r="A110" s="14"/>
      <c r="B110" s="14"/>
      <c r="C110" s="18" t="s">
        <v>2094</v>
      </c>
      <c r="D110" s="19">
        <f>SUM(D105:D109)</f>
        <v>-2475665572</v>
      </c>
      <c r="E110" s="19">
        <f>SUM(E105:E109)</f>
        <v>0</v>
      </c>
      <c r="F110" s="19">
        <f>SUM(F105:F109)</f>
        <v>0</v>
      </c>
      <c r="G110" s="19">
        <f t="shared" si="4"/>
        <v>-2475665572</v>
      </c>
      <c r="H110" s="122"/>
      <c r="I110" s="28"/>
      <c r="J110" s="28"/>
    </row>
    <row r="111" spans="1:10" ht="21.95" customHeight="1">
      <c r="A111" s="14"/>
      <c r="B111" s="14"/>
      <c r="C111" s="18" t="s">
        <v>2095</v>
      </c>
      <c r="D111" s="19">
        <f>VLOOKUP(A92,'Neraca Unaudited SIMAK'!$A$2:$S$10004,18,FALSE)</f>
        <v>7068880959</v>
      </c>
      <c r="E111" s="19">
        <f>E110+E104</f>
        <v>4411622</v>
      </c>
      <c r="F111" s="19">
        <f>F110+F104</f>
        <v>0</v>
      </c>
      <c r="G111" s="19">
        <f t="shared" si="4"/>
        <v>7073292581</v>
      </c>
      <c r="H111" s="122"/>
      <c r="I111" s="28"/>
      <c r="J111" s="28"/>
    </row>
    <row r="112" spans="1:10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  <c r="I112" s="28"/>
      <c r="J112" s="28"/>
    </row>
    <row r="114" spans="1:8" ht="19.5" customHeight="1">
      <c r="A114" s="11" t="str">
        <f>O6</f>
        <v>005010200097556000KD</v>
      </c>
      <c r="B114" s="11" t="str">
        <f>P6</f>
        <v>PN. Ciamis</v>
      </c>
      <c r="C114" s="12" t="str">
        <f>A114&amp;" "&amp;B114</f>
        <v>005010200097556000KD PN. Ciamis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5463300</v>
      </c>
      <c r="E117" s="25">
        <f>SUMIFS('Daftar Koreksi'!$H$5:$H$92,'Daftar Koreksi'!$D$5:$D$92,'0200'!A114,'Daftar Koreksi'!$G$5:$G$92,"Persediaan",'Daftar Koreksi'!$H$5:$H$92,"&gt;0")</f>
        <v>0</v>
      </c>
      <c r="F117" s="25">
        <f>SUMIFS('Daftar Koreksi'!$H$5:$H$92,'Daftar Koreksi'!$D$5:$D$92,'0200'!A114,'Daftar Koreksi'!$G$5:$G$92,"Persediaan",'Daftar Koreksi'!$H$5:$H$92,"&lt;0")-SUMIFS('Daftar Koreksi'!$H$5:$H$92,'Daftar Koreksi'!$D$5:$D$92,'0200'!A114,'Daftar Koreksi'!$G$5:$G$92,"Persediaan",'Daftar Koreksi'!$H$5:$H$92,"&lt;0")-SUMIFS('Daftar Koreksi'!$H$5:$H$92,'Daftar Koreksi'!$D$5:$D$92,'0200'!A114,'Daftar Koreksi'!$G$5:$G$92,"Persediaan",'Daftar Koreksi'!$H$5:$H$92,"&lt;0")</f>
        <v>0</v>
      </c>
      <c r="G117" s="17">
        <f>D117+E117-F117</f>
        <v>5463300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2926276000</v>
      </c>
      <c r="E118" s="25">
        <f>SUMIFS('Daftar Koreksi'!$H$5:$H$92,'Daftar Koreksi'!$D$5:$D$92,'0200'!A114,'Daftar Koreksi'!$G$5:$G$92,"Tanah",'Daftar Koreksi'!$H$5:$H$92,"&gt;0")</f>
        <v>0</v>
      </c>
      <c r="F118" s="25">
        <f>SUMIFS('Daftar Koreksi'!$H$5:$H$92,'Daftar Koreksi'!$D$5:$D$92,'0200'!A114,'Daftar Koreksi'!$G$5:$G$92,"Tanah",'Daftar Koreksi'!$H$5:$H$92,"&lt;0")-SUMIFS('Daftar Koreksi'!$H$5:$H$92,'Daftar Koreksi'!$D$5:$D$92,'0200'!A114,'Daftar Koreksi'!$G$5:$G$92,"Tanah",'Daftar Koreksi'!$H$5:$H$92,"&lt;0")-SUMIFS('Daftar Koreksi'!$H$5:$H$92,'Daftar Koreksi'!$D$5:$D$92,'0200'!A114,'Daftar Koreksi'!$G$5:$G$92,"Tanah",'Daftar Koreksi'!$H$5:$H$92,"&lt;0")</f>
        <v>0</v>
      </c>
      <c r="G118" s="17">
        <f t="shared" ref="G118:G134" si="5">D118+E118-F118</f>
        <v>2926276000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1487438892</v>
      </c>
      <c r="E119" s="25">
        <f>SUMIFS('Daftar Koreksi'!$H$5:$H$92,'Daftar Koreksi'!$D$5:$D$92,'0200'!A114,'Daftar Koreksi'!$G$5:$G$92,"Peralatan dan mesin",'Daftar Koreksi'!$H$5:$H$92,"&gt;0")</f>
        <v>0</v>
      </c>
      <c r="F119" s="25">
        <f>SUMIFS('Daftar Koreksi'!$H$5:$H$92,'Daftar Koreksi'!$D$5:$D$92,'0200'!A114,'Daftar Koreksi'!$G$5:$G$92,"Peralatan dan mesin",'Daftar Koreksi'!$H$5:$H$92,"&lt;0")-SUMIFS('Daftar Koreksi'!$H$5:$H$92,'Daftar Koreksi'!$D$5:$D$92,'0200'!A114,'Daftar Koreksi'!$G$5:$G$92,"Peralatan dan mesin",'Daftar Koreksi'!$H$5:$H$92,"&lt;0")-SUMIFS('Daftar Koreksi'!$H$5:$H$92,'Daftar Koreksi'!$D$5:$D$92,'0200'!A114,'Daftar Koreksi'!$G$5:$G$92,"Peralatan dan mesin",'Daftar Koreksi'!$H$5:$H$92,"&lt;0")</f>
        <v>0</v>
      </c>
      <c r="G119" s="17">
        <f t="shared" si="5"/>
        <v>1487438892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9215543612</v>
      </c>
      <c r="E120" s="25">
        <f>SUMIFS('Daftar Koreksi'!$H$5:$H$92,'Daftar Koreksi'!$D$5:$D$92,'0200'!A114,'Daftar Koreksi'!$G$5:$G$92,"Gedung dan Bangunan",'Daftar Koreksi'!$H$5:$H$92,"&gt;0")</f>
        <v>0</v>
      </c>
      <c r="F120" s="25">
        <f>SUMIFS('Daftar Koreksi'!$H$5:$H$92,'Daftar Koreksi'!$D$5:$D$92,'0200'!A114,'Daftar Koreksi'!$G$5:$G$92,"Gedung dan Bangunan",'Daftar Koreksi'!$H$5:$H$92,"&lt;0")-SUMIFS('Daftar Koreksi'!$H$5:$H$92,'Daftar Koreksi'!$D$5:$D$92,'0200'!A114,'Daftar Koreksi'!$G$5:$G$92,"Gedung dan Bangunan",'Daftar Koreksi'!$H$5:$H$92,"&lt;0")-SUMIFS('Daftar Koreksi'!$H$5:$H$92,'Daftar Koreksi'!$D$5:$D$92,'0200'!A114,'Daftar Koreksi'!$G$5:$G$92,"Gedung dan Bangunan",'Daftar Koreksi'!$H$5:$H$92,"&lt;0")</f>
        <v>0</v>
      </c>
      <c r="G120" s="17">
        <f t="shared" si="5"/>
        <v>9215543612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67088750</v>
      </c>
      <c r="E121" s="25">
        <f>SUMIFS('Daftar Koreksi'!$H$5:$H$92,'Daftar Koreksi'!$D$5:$D$92,'0200'!A114,'Daftar Koreksi'!$G$5:$G$92,"Jalan Irigasi Jaringan",'Daftar Koreksi'!$H$5:$H$92,"&gt;0")</f>
        <v>0</v>
      </c>
      <c r="F121" s="25">
        <f>SUMIFS('Daftar Koreksi'!$H$5:$H$92,'Daftar Koreksi'!$D$5:$D$92,'0200'!A114,'Daftar Koreksi'!$G$5:$G$92,"Jalan Irigasi Jaringan",'Daftar Koreksi'!$H$5:$H$92,"&lt;0")-SUMIFS('Daftar Koreksi'!$H$5:$H$92,'Daftar Koreksi'!$D$5:$D$92,'0200'!A114,'Daftar Koreksi'!$G$5:$G$92,"Jalan Irigasi Jaringan",'Daftar Koreksi'!$H$5:$H$92,"&lt;0")-SUMIFS('Daftar Koreksi'!$H$5:$H$92,'Daftar Koreksi'!$D$5:$D$92,'0200'!A114,'Daftar Koreksi'!$G$5:$G$92,"Jalan Irigasi Jaringan",'Daftar Koreksi'!$H$5:$H$92,"&lt;0")</f>
        <v>0</v>
      </c>
      <c r="G121" s="17">
        <f t="shared" si="5"/>
        <v>67088750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9038462</v>
      </c>
      <c r="E122" s="25">
        <f>SUMIFS('Daftar Koreksi'!$H$5:$H$92,'Daftar Koreksi'!$D$5:$D$92,'0200'!A114,'Daftar Koreksi'!$G$5:$G$92,"Aset Tetap Lainnya",'Daftar Koreksi'!$H$5:$H$92,"&gt;0")</f>
        <v>0</v>
      </c>
      <c r="F122" s="25">
        <f>SUMIFS('Daftar Koreksi'!$H$5:$H$92,'Daftar Koreksi'!$D$5:$D$92,'0200'!A114,'Daftar Koreksi'!$G$5:$G$92,"Aset Tetap Lainnya",'Daftar Koreksi'!$H$5:$H$92,"&lt;0")-SUMIFS('Daftar Koreksi'!$H$5:$H$92,'Daftar Koreksi'!$D$5:$D$92,'0200'!A114,'Daftar Koreksi'!$G$5:$G$92,"Aset Tetap Lainnya",'Daftar Koreksi'!$H$5:$H$92,"&lt;0")-SUMIFS('Daftar Koreksi'!$H$5:$H$92,'Daftar Koreksi'!$D$5:$D$92,'0200'!A114,'Daftar Koreksi'!$G$5:$G$92,"Aset Tetap Lainnya",'Daftar Koreksi'!$H$5:$H$92,"&lt;0")</f>
        <v>0</v>
      </c>
      <c r="G122" s="17">
        <f t="shared" si="5"/>
        <v>9038462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Koreksi'!$D$5:$D$92,'0200'!A114,'Daftar Koreksi'!$G$5:$G$92,"Kontruksi Dalam Pengerjaan",'Daftar Koreksi'!$H$5:$H$92,"&gt;0")</f>
        <v>0</v>
      </c>
      <c r="F123" s="25">
        <f>SUMIFS('Daftar Koreksi'!$H$5:$H$92,'Daftar Koreksi'!$D$5:$D$92,'0200'!A114,'Daftar Koreksi'!$G$5:$G$92,"Kontruksi Dalam Pengerjaan",'Daftar Koreksi'!$H$5:$H$92,"&lt;0")-SUMIFS('Daftar Koreksi'!$H$5:$H$92,'Daftar Koreksi'!$D$5:$D$92,'0200'!A114,'Daftar Koreksi'!$G$5:$G$92,"Kontruksi Dalam Pengerjaan",'Daftar Koreksi'!$H$5:$H$92,"&lt;0")-SUMIFS('Daftar Koreksi'!$H$5:$H$92,'Daftar Koreksi'!$D$5:$D$92,'0200'!A114,'Daftar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17547100</v>
      </c>
      <c r="E124" s="25">
        <f>SUMIFS('Daftar Koreksi'!$H$5:$H$92,'Daftar Koreksi'!$D$5:$D$92,'0200'!A114,'Daftar Koreksi'!$G$5:$G$92,"Aset Tak Berwujud",'Daftar Koreksi'!$H$5:$H$92,"&gt;0")</f>
        <v>0</v>
      </c>
      <c r="F124" s="25">
        <f>SUMIFS('Daftar Koreksi'!$H$5:$H$92,'Daftar Koreksi'!$D$5:$D$92,'0200'!A114,'Daftar Koreksi'!$G$5:$G$92,"Aset Tak Berwujud",'Daftar Koreksi'!$H$5:$H$92,"&lt;0")-SUMIFS('Daftar Koreksi'!$H$5:$H$92,'Daftar Koreksi'!$D$5:$D$92,'0200'!A114,'Daftar Koreksi'!$G$5:$G$92,"Aset Tak Berwujud",'Daftar Koreksi'!$H$5:$H$92,"&lt;0")-SUMIFS('Daftar Koreksi'!$H$5:$H$92,'Daftar Koreksi'!$D$5:$D$92,'0200'!A114,'Daftar Koreksi'!$G$5:$G$92,"Aset Tak Berwujud",'Daftar Koreksi'!$H$5:$H$92,"&lt;0")</f>
        <v>0</v>
      </c>
      <c r="G124" s="17">
        <f t="shared" si="5"/>
        <v>17547100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7051000</v>
      </c>
      <c r="E125" s="25">
        <f>SUMIFS('Daftar Koreksi'!$H$5:$H$92,'Daftar Koreksi'!$D$5:$D$92,'0200'!A114,'Daftar Koreksi'!$G$5:$G$92,"Aset Henti Guna",'Daftar Koreksi'!$H$5:$H$92,"&gt;0")</f>
        <v>0</v>
      </c>
      <c r="F125" s="25">
        <f>SUMIFS('Daftar Koreksi'!$H$5:$H$92,'Daftar Koreksi'!$D$5:$D$92,'0200'!A114,'Daftar Koreksi'!$G$5:$G$92,"Aset Henti Guna",'Daftar Koreksi'!$H$5:$H$92,"&lt;0")-SUMIFS('Daftar Koreksi'!$H$5:$H$92,'Daftar Koreksi'!$D$5:$D$92,'0200'!A114,'Daftar Koreksi'!$G$5:$G$92,"Aset Henti Guna",'Daftar Koreksi'!$H$5:$H$92,"&lt;0")-SUMIFS('Daftar Koreksi'!$H$5:$H$92,'Daftar Koreksi'!$D$5:$D$92,'0200'!A114,'Daftar Koreksi'!$G$5:$G$92,"Aset Henti Guna",'Daftar Koreksi'!$H$5:$H$92,"&lt;0")</f>
        <v>0</v>
      </c>
      <c r="G125" s="17">
        <f t="shared" si="5"/>
        <v>7051000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13735447116</v>
      </c>
      <c r="E126" s="19">
        <f>SUM(E117:E125)</f>
        <v>0</v>
      </c>
      <c r="F126" s="19">
        <f>SUM(F117:F125)</f>
        <v>0</v>
      </c>
      <c r="G126" s="19">
        <f t="shared" si="5"/>
        <v>13735447116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-1437143501</v>
      </c>
      <c r="E127" s="25">
        <f>SUMIFS('Daftar Koreksi'!$I$5:$I$92,'Daftar Koreksi'!$D$5:$D$92,'0200'!A114,'Daftar Koreksi'!$G$5:$G$92,"Peralatan dan mesin",'Daftar Koreksi'!$I$5:$I$92,"&gt;0")</f>
        <v>0</v>
      </c>
      <c r="F127" s="25">
        <f>SUMIFS('Daftar Koreksi'!$I$5:$I$92,'Daftar Koreksi'!$D$5:$D$92,'0200'!A114,'Daftar Koreksi'!$G$5:$G$92,"Peralatan dan mesin",'Daftar Koreksi'!$I$5:$I$92,"&lt;0")-SUMIFS('Daftar Koreksi'!$I$5:$I$92,'Daftar Koreksi'!$D$5:$D$92,'0200'!A114,'Daftar Koreksi'!$G$5:$G$92,"Peralatan dan mesin",'Daftar Koreksi'!$I$5:$I$92,"&lt;0")-SUMIFS('Daftar Koreksi'!$I$5:$I$92,'Daftar Koreksi'!$D$5:$D$92,'0200'!A114,'Daftar Koreksi'!$G$5:$G$92,"Peralatan dan mesin",'Daftar Koreksi'!$I$5:$I$92,"&lt;0")</f>
        <v>0</v>
      </c>
      <c r="G127" s="17">
        <f t="shared" si="5"/>
        <v>-1437143501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-3499662276</v>
      </c>
      <c r="E128" s="25">
        <f>SUMIFS('Daftar Koreksi'!$I$5:$I$92,'Daftar Koreksi'!$D$5:$D$92,'0200'!A114,'Daftar Koreksi'!$G$5:$G$92,"Gedung dan Bangunan",'Daftar Koreksi'!$I$5:$I$92,"&gt;0")</f>
        <v>0</v>
      </c>
      <c r="F128" s="25">
        <f>SUMIFS('Daftar Koreksi'!$I$5:$I$92,'Daftar Koreksi'!$D$5:$D$92,'0200'!A114,'Daftar Koreksi'!$G$5:$G$92,"Gedung dan Bangunan",'Daftar Koreksi'!$I$5:$I$92,"&lt;0")-SUMIFS('Daftar Koreksi'!$I$5:$I$92,'Daftar Koreksi'!$D$5:$D$92,'0200'!A114,'Daftar Koreksi'!$G$5:$G$92,"Gedung dan Bangunan",'Daftar Koreksi'!$I$5:$I$92,"&lt;0")-SUMIFS('Daftar Koreksi'!$I$5:$I$92,'Daftar Koreksi'!$D$5:$D$92,'0200'!A114,'Daftar Koreksi'!$G$5:$G$92,"Gedung dan Bangunan",'Daftar Koreksi'!$I$5:$I$92,"&lt;0")</f>
        <v>0</v>
      </c>
      <c r="G128" s="17">
        <f t="shared" si="5"/>
        <v>-3499662276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-42510641</v>
      </c>
      <c r="E129" s="25">
        <f>SUMIFS('Daftar Koreksi'!$I$5:$I$92,'Daftar Koreksi'!$D$5:$D$92,'0200'!A114,'Daftar Koreksi'!$G$5:$G$92,"Jalan Irigasi Jaringan",'Daftar Koreksi'!$I$5:$I$92,"&gt;0")</f>
        <v>0</v>
      </c>
      <c r="F129" s="25">
        <f>SUMIFS('Daftar Koreksi'!$I$5:$I$92,'Daftar Koreksi'!$D$5:$D$92,'0200'!A114,'Daftar Koreksi'!$G$5:$G$92,"Jalan Irigasi Jaringan",'Daftar Koreksi'!$I$5:$I$92,"&lt;0")-SUMIFS('Daftar Koreksi'!$I$5:$I$92,'Daftar Koreksi'!$D$5:$D$92,'0200'!A114,'Daftar Koreksi'!$G$5:$G$92,"Jalan Irigasi Jaringan",'Daftar Koreksi'!$I$5:$I$92,"&lt;0")-SUMIFS('Daftar Koreksi'!$I$5:$I$92,'Daftar Koreksi'!$D$5:$D$92,'0200'!A114,'Daftar Koreksi'!$G$5:$G$92,"Jalan Irigasi Jaringan",'Daftar Koreksi'!$I$5:$I$92,"&lt;0")</f>
        <v>0</v>
      </c>
      <c r="G129" s="17">
        <f t="shared" si="5"/>
        <v>-42510641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Koreksi'!$D$5:$D$92,'0200'!A114,'Daftar Koreksi'!$G$5:$G$92,"Aset Tetap Lainnya",'Daftar Koreksi'!$I$5:$I$92,"&gt;0")</f>
        <v>0</v>
      </c>
      <c r="F130" s="25">
        <f>SUMIFS('Daftar Koreksi'!$I$5:$I$92,'Daftar Koreksi'!$D$5:$D$92,'0200'!A114,'Daftar Koreksi'!$G$5:$G$92,"Aset Tetap Lainnya",'Daftar Koreksi'!$I$5:$I$92,"&lt;0")-SUMIFS('Daftar Koreksi'!$I$5:$I$92,'Daftar Koreksi'!$D$5:$D$92,'0200'!A114,'Daftar Koreksi'!$G$5:$G$92,"Aset Tetap Lainnya",'Daftar Koreksi'!$I$5:$I$92,"&lt;0")-SUMIFS('Daftar Koreksi'!$I$5:$I$92,'Daftar Koreksi'!$D$5:$D$92,'0200'!A114,'Daftar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-7051000</v>
      </c>
      <c r="E131" s="25">
        <f>SUMIFS('Daftar Koreksi'!$I$5:$I$92,'Daftar Koreksi'!$D$5:$D$92,'0200'!A114,'Daftar Koreksi'!$G$5:$G$92,"Aset Henti Guna",'Daftar Koreksi'!$I$5:$I$92,"&gt;0")</f>
        <v>0</v>
      </c>
      <c r="F131" s="25">
        <f>SUMIFS('Daftar Koreksi'!$I$5:$I$92,'Daftar Koreksi'!$D$5:$D$92,'0200'!A114,'Daftar Koreksi'!$G$5:$G$92,"Aset Henti Guna",'Daftar Koreksi'!$I$5:$I$92,"&lt;0")-SUMIFS('Daftar Koreksi'!$I$5:$I$92,'Daftar Koreksi'!$D$5:$D$92,'0200'!A114,'Daftar Koreksi'!$G$5:$G$92,"Aset Henti Guna",'Daftar Koreksi'!$I$5:$I$92,"&lt;0")-SUMIFS('Daftar Koreksi'!$I$5:$I$92,'Daftar Koreksi'!$D$5:$D$92,'0200'!A114,'Daftar Koreksi'!$G$5:$G$92,"Aset Henti Guna",'Daftar Koreksi'!$I$5:$I$92,"&lt;0")</f>
        <v>0</v>
      </c>
      <c r="G131" s="17">
        <f t="shared" si="5"/>
        <v>-7051000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-4986367418</v>
      </c>
      <c r="E132" s="19">
        <f>SUM(E127:E131)</f>
        <v>0</v>
      </c>
      <c r="F132" s="19">
        <f>SUM(F127:F131)</f>
        <v>0</v>
      </c>
      <c r="G132" s="19">
        <f t="shared" si="5"/>
        <v>-4986367418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8749079698</v>
      </c>
      <c r="E133" s="19">
        <f>E132+E126</f>
        <v>0</v>
      </c>
      <c r="F133" s="19">
        <f>F132+F126</f>
        <v>0</v>
      </c>
      <c r="G133" s="19">
        <f t="shared" si="5"/>
        <v>8749079698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005010200097603000KD</v>
      </c>
      <c r="B136" s="11" t="str">
        <f>P7</f>
        <v>PN. Puwakarta</v>
      </c>
      <c r="C136" s="12" t="str">
        <f>A136&amp;" "&amp;B136</f>
        <v>005010200097603000KD PN. Puwakarta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9441545</v>
      </c>
      <c r="E139" s="25">
        <f>SUMIFS('Daftar Koreksi'!$H$5:$H$92,'Daftar Koreksi'!$D$5:$D$92,'0200'!A136,'Daftar Koreksi'!$G$5:$G$92,"Persediaan",'Daftar Koreksi'!$H$5:$H$92,"&gt;0")</f>
        <v>0</v>
      </c>
      <c r="F139" s="25">
        <f>SUMIFS('Daftar Koreksi'!$H$5:$H$92,'Daftar Koreksi'!$D$5:$D$92,'0200'!A136,'Daftar Koreksi'!$G$5:$G$92,"Persediaan",'Daftar Koreksi'!$H$5:$H$92,"&lt;0")-SUMIFS('Daftar Koreksi'!$H$5:$H$92,'Daftar Koreksi'!$D$5:$D$92,'0200'!A136,'Daftar Koreksi'!$G$5:$G$92,"Persediaan",'Daftar Koreksi'!$H$5:$H$92,"&lt;0")-SUMIFS('Daftar Koreksi'!$H$5:$H$92,'Daftar Koreksi'!$D$5:$D$92,'0200'!A136,'Daftar Koreksi'!$G$5:$G$92,"Persediaan",'Daftar Koreksi'!$H$5:$H$92,"&lt;0")</f>
        <v>0</v>
      </c>
      <c r="G139" s="17">
        <f>D139+E139-F139</f>
        <v>9441545</v>
      </c>
      <c r="H139" s="121" t="str">
        <f>IF(ISNA(VLOOKUP(A136,'Mutasi Neraca'!$A$3:$S$914,19,FALSE)),"-",VLOOKUP(A136,'Mutasi Neraca'!$A$3:$S$914,19,FALSE))</f>
        <v>-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5011805000</v>
      </c>
      <c r="E140" s="25">
        <f>SUMIFS('Daftar Koreksi'!$H$5:$H$92,'Daftar Koreksi'!$D$5:$D$92,'0200'!A136,'Daftar Koreksi'!$G$5:$G$92,"Tanah",'Daftar Koreksi'!$H$5:$H$92,"&gt;0")</f>
        <v>0</v>
      </c>
      <c r="F140" s="25">
        <f>SUMIFS('Daftar Koreksi'!$H$5:$H$92,'Daftar Koreksi'!$D$5:$D$92,'0200'!A136,'Daftar Koreksi'!$G$5:$G$92,"Tanah",'Daftar Koreksi'!$H$5:$H$92,"&lt;0")-SUMIFS('Daftar Koreksi'!$H$5:$H$92,'Daftar Koreksi'!$D$5:$D$92,'0200'!A136,'Daftar Koreksi'!$G$5:$G$92,"Tanah",'Daftar Koreksi'!$H$5:$H$92,"&lt;0")-SUMIFS('Daftar Koreksi'!$H$5:$H$92,'Daftar Koreksi'!$D$5:$D$92,'0200'!A136,'Daftar Koreksi'!$G$5:$G$92,"Tanah",'Daftar Koreksi'!$H$5:$H$92,"&lt;0")</f>
        <v>0</v>
      </c>
      <c r="G140" s="17">
        <f t="shared" ref="G140:G156" si="6">D140+E140-F140</f>
        <v>5011805000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1670578643</v>
      </c>
      <c r="E141" s="25">
        <f>SUMIFS('Daftar Koreksi'!$H$5:$H$92,'Daftar Koreksi'!$D$5:$D$92,'0200'!A136,'Daftar Koreksi'!$G$5:$G$92,"Peralatan dan mesin",'Daftar Koreksi'!$H$5:$H$92,"&gt;0")</f>
        <v>0</v>
      </c>
      <c r="F141" s="25">
        <f>SUMIFS('Daftar Koreksi'!$H$5:$H$92,'Daftar Koreksi'!$D$5:$D$92,'0200'!A136,'Daftar Koreksi'!$G$5:$G$92,"Peralatan dan mesin",'Daftar Koreksi'!$H$5:$H$92,"&lt;0")-SUMIFS('Daftar Koreksi'!$H$5:$H$92,'Daftar Koreksi'!$D$5:$D$92,'0200'!A136,'Daftar Koreksi'!$G$5:$G$92,"Peralatan dan mesin",'Daftar Koreksi'!$H$5:$H$92,"&lt;0")-SUMIFS('Daftar Koreksi'!$H$5:$H$92,'Daftar Koreksi'!$D$5:$D$92,'0200'!A136,'Daftar Koreksi'!$G$5:$G$92,"Peralatan dan mesin",'Daftar Koreksi'!$H$5:$H$92,"&lt;0")</f>
        <v>0</v>
      </c>
      <c r="G141" s="17">
        <f t="shared" si="6"/>
        <v>1670578643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6216657990</v>
      </c>
      <c r="E142" s="25">
        <f>SUMIFS('Daftar Koreksi'!$H$5:$H$92,'Daftar Koreksi'!$D$5:$D$92,'0200'!A136,'Daftar Koreksi'!$G$5:$G$92,"Gedung dan Bangunan",'Daftar Koreksi'!$H$5:$H$92,"&gt;0")</f>
        <v>0</v>
      </c>
      <c r="F142" s="25">
        <f>SUMIFS('Daftar Koreksi'!$H$5:$H$92,'Daftar Koreksi'!$D$5:$D$92,'0200'!A136,'Daftar Koreksi'!$G$5:$G$92,"Gedung dan Bangunan",'Daftar Koreksi'!$H$5:$H$92,"&lt;0")-SUMIFS('Daftar Koreksi'!$H$5:$H$92,'Daftar Koreksi'!$D$5:$D$92,'0200'!A136,'Daftar Koreksi'!$G$5:$G$92,"Gedung dan Bangunan",'Daftar Koreksi'!$H$5:$H$92,"&lt;0")-SUMIFS('Daftar Koreksi'!$H$5:$H$92,'Daftar Koreksi'!$D$5:$D$92,'0200'!A136,'Daftar Koreksi'!$G$5:$G$92,"Gedung dan Bangunan",'Daftar Koreksi'!$H$5:$H$92,"&lt;0")</f>
        <v>0</v>
      </c>
      <c r="G142" s="17">
        <f t="shared" si="6"/>
        <v>6216657990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0</v>
      </c>
      <c r="E143" s="25">
        <f>SUMIFS('Daftar Koreksi'!$H$5:$H$92,'Daftar Koreksi'!$D$5:$D$92,'0200'!A136,'Daftar Koreksi'!$G$5:$G$92,"Jalan Irigasi Jaringan",'Daftar Koreksi'!$H$5:$H$92,"&gt;0")</f>
        <v>0</v>
      </c>
      <c r="F143" s="25">
        <f>SUMIFS('Daftar Koreksi'!$H$5:$H$92,'Daftar Koreksi'!$D$5:$D$92,'0200'!A136,'Daftar Koreksi'!$G$5:$G$92,"Jalan Irigasi Jaringan",'Daftar Koreksi'!$H$5:$H$92,"&lt;0")-SUMIFS('Daftar Koreksi'!$H$5:$H$92,'Daftar Koreksi'!$D$5:$D$92,'0200'!A136,'Daftar Koreksi'!$G$5:$G$92,"Jalan Irigasi Jaringan",'Daftar Koreksi'!$H$5:$H$92,"&lt;0")-SUMIFS('Daftar Koreksi'!$H$5:$H$92,'Daftar Koreksi'!$D$5:$D$92,'0200'!A136,'Daftar Koreksi'!$G$5:$G$92,"Jalan Irigasi Jaringan",'Daftar Koreksi'!$H$5:$H$92,"&lt;0")</f>
        <v>0</v>
      </c>
      <c r="G143" s="17">
        <f t="shared" si="6"/>
        <v>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4411622</v>
      </c>
      <c r="E144" s="25">
        <f>SUMIFS('Daftar Koreksi'!$H$5:$H$92,'Daftar Koreksi'!$D$5:$D$92,'0200'!A136,'Daftar Koreksi'!$G$5:$G$92,"Aset Tetap Lainnya",'Daftar Koreksi'!$H$5:$H$92,"&gt;0")</f>
        <v>0</v>
      </c>
      <c r="F144" s="25">
        <f>SUMIFS('Daftar Koreksi'!$H$5:$H$92,'Daftar Koreksi'!$D$5:$D$92,'0200'!A136,'Daftar Koreksi'!$G$5:$G$92,"Aset Tetap Lainnya",'Daftar Koreksi'!$H$5:$H$92,"&lt;0")-SUMIFS('Daftar Koreksi'!$H$5:$H$92,'Daftar Koreksi'!$D$5:$D$92,'0200'!A136,'Daftar Koreksi'!$G$5:$G$92,"Aset Tetap Lainnya",'Daftar Koreksi'!$H$5:$H$92,"&lt;0")-SUMIFS('Daftar Koreksi'!$H$5:$H$92,'Daftar Koreksi'!$D$5:$D$92,'0200'!A136,'Daftar Koreksi'!$G$5:$G$92,"Aset Tetap Lainnya",'Daftar Koreksi'!$H$5:$H$92,"&lt;0")</f>
        <v>0</v>
      </c>
      <c r="G144" s="17">
        <f t="shared" si="6"/>
        <v>4411622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Koreksi'!$D$5:$D$92,'0200'!A136,'Daftar Koreksi'!$G$5:$G$92,"Kontruksi Dalam Pengerjaan",'Daftar Koreksi'!$H$5:$H$92,"&gt;0")</f>
        <v>0</v>
      </c>
      <c r="F145" s="25">
        <f>SUMIFS('Daftar Koreksi'!$H$5:$H$92,'Daftar Koreksi'!$D$5:$D$92,'0200'!A136,'Daftar Koreksi'!$G$5:$G$92,"Kontruksi Dalam Pengerjaan",'Daftar Koreksi'!$H$5:$H$92,"&lt;0")-SUMIFS('Daftar Koreksi'!$H$5:$H$92,'Daftar Koreksi'!$D$5:$D$92,'0200'!A136,'Daftar Koreksi'!$G$5:$G$92,"Kontruksi Dalam Pengerjaan",'Daftar Koreksi'!$H$5:$H$92,"&lt;0")-SUMIFS('Daftar Koreksi'!$H$5:$H$92,'Daftar Koreksi'!$D$5:$D$92,'0200'!A136,'Daftar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Koreksi'!$D$5:$D$92,'0200'!A136,'Daftar Koreksi'!$G$5:$G$92,"Aset Tak Berwujud",'Daftar Koreksi'!$H$5:$H$92,"&gt;0")</f>
        <v>0</v>
      </c>
      <c r="F146" s="25">
        <f>SUMIFS('Daftar Koreksi'!$H$5:$H$92,'Daftar Koreksi'!$D$5:$D$92,'0200'!A136,'Daftar Koreksi'!$G$5:$G$92,"Aset Tak Berwujud",'Daftar Koreksi'!$H$5:$H$92,"&lt;0")-SUMIFS('Daftar Koreksi'!$H$5:$H$92,'Daftar Koreksi'!$D$5:$D$92,'0200'!A136,'Daftar Koreksi'!$G$5:$G$92,"Aset Tak Berwujud",'Daftar Koreksi'!$H$5:$H$92,"&lt;0")-SUMIFS('Daftar Koreksi'!$H$5:$H$92,'Daftar Koreksi'!$D$5:$D$92,'0200'!A136,'Daftar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91138440</v>
      </c>
      <c r="E147" s="25">
        <f>SUMIFS('Daftar Koreksi'!$H$5:$H$92,'Daftar Koreksi'!$D$5:$D$92,'0200'!A136,'Daftar Koreksi'!$G$5:$G$92,"Aset Henti Guna",'Daftar Koreksi'!$H$5:$H$92,"&gt;0")</f>
        <v>0</v>
      </c>
      <c r="F147" s="25">
        <f>SUMIFS('Daftar Koreksi'!$H$5:$H$92,'Daftar Koreksi'!$D$5:$D$92,'0200'!A136,'Daftar Koreksi'!$G$5:$G$92,"Aset Henti Guna",'Daftar Koreksi'!$H$5:$H$92,"&lt;0")-SUMIFS('Daftar Koreksi'!$H$5:$H$92,'Daftar Koreksi'!$D$5:$D$92,'0200'!A136,'Daftar Koreksi'!$G$5:$G$92,"Aset Henti Guna",'Daftar Koreksi'!$H$5:$H$92,"&lt;0")-SUMIFS('Daftar Koreksi'!$H$5:$H$92,'Daftar Koreksi'!$D$5:$D$92,'0200'!A136,'Daftar Koreksi'!$G$5:$G$92,"Aset Henti Guna",'Daftar Koreksi'!$H$5:$H$92,"&lt;0")</f>
        <v>0</v>
      </c>
      <c r="G147" s="17">
        <f t="shared" si="6"/>
        <v>91138440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13004033240</v>
      </c>
      <c r="E148" s="19">
        <f>SUM(E139:E147)</f>
        <v>0</v>
      </c>
      <c r="F148" s="19">
        <f>SUM(F139:F147)</f>
        <v>0</v>
      </c>
      <c r="G148" s="19">
        <f t="shared" si="6"/>
        <v>13004033240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-1523692554</v>
      </c>
      <c r="E149" s="25">
        <f>SUMIFS('Daftar Koreksi'!$I$5:$I$92,'Daftar Koreksi'!$D$5:$D$92,'0200'!A136,'Daftar Koreksi'!$G$5:$G$92,"Peralatan dan mesin",'Daftar Koreksi'!$I$5:$I$92,"&gt;0")</f>
        <v>0</v>
      </c>
      <c r="F149" s="25">
        <f>SUMIFS('Daftar Koreksi'!$I$5:$I$92,'Daftar Koreksi'!$D$5:$D$92,'0200'!A136,'Daftar Koreksi'!$G$5:$G$92,"Peralatan dan mesin",'Daftar Koreksi'!$I$5:$I$92,"&lt;0")-SUMIFS('Daftar Koreksi'!$I$5:$I$92,'Daftar Koreksi'!$D$5:$D$92,'0200'!A136,'Daftar Koreksi'!$G$5:$G$92,"Peralatan dan mesin",'Daftar Koreksi'!$I$5:$I$92,"&lt;0")-SUMIFS('Daftar Koreksi'!$I$5:$I$92,'Daftar Koreksi'!$D$5:$D$92,'0200'!A136,'Daftar Koreksi'!$G$5:$G$92,"Peralatan dan mesin",'Daftar Koreksi'!$I$5:$I$92,"&lt;0")</f>
        <v>0</v>
      </c>
      <c r="G149" s="17">
        <f t="shared" si="6"/>
        <v>-1523692554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-2172593124</v>
      </c>
      <c r="E150" s="25">
        <f>SUMIFS('Daftar Koreksi'!$I$5:$I$92,'Daftar Koreksi'!$D$5:$D$92,'0200'!A136,'Daftar Koreksi'!$G$5:$G$92,"Gedung dan Bangunan",'Daftar Koreksi'!$I$5:$I$92,"&gt;0")</f>
        <v>0</v>
      </c>
      <c r="F150" s="25">
        <f>SUMIFS('Daftar Koreksi'!$I$5:$I$92,'Daftar Koreksi'!$D$5:$D$92,'0200'!A136,'Daftar Koreksi'!$G$5:$G$92,"Gedung dan Bangunan",'Daftar Koreksi'!$I$5:$I$92,"&lt;0")-SUMIFS('Daftar Koreksi'!$I$5:$I$92,'Daftar Koreksi'!$D$5:$D$92,'0200'!A136,'Daftar Koreksi'!$G$5:$G$92,"Gedung dan Bangunan",'Daftar Koreksi'!$I$5:$I$92,"&lt;0")-SUMIFS('Daftar Koreksi'!$I$5:$I$92,'Daftar Koreksi'!$D$5:$D$92,'0200'!A136,'Daftar Koreksi'!$G$5:$G$92,"Gedung dan Bangunan",'Daftar Koreksi'!$I$5:$I$92,"&lt;0")</f>
        <v>0</v>
      </c>
      <c r="G150" s="17">
        <f t="shared" si="6"/>
        <v>-2172593124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0</v>
      </c>
      <c r="E151" s="25">
        <f>SUMIFS('Daftar Koreksi'!$I$5:$I$92,'Daftar Koreksi'!$D$5:$D$92,'0200'!A136,'Daftar Koreksi'!$G$5:$G$92,"Jalan Irigasi Jaringan",'Daftar Koreksi'!$I$5:$I$92,"&gt;0")</f>
        <v>0</v>
      </c>
      <c r="F151" s="25">
        <f>SUMIFS('Daftar Koreksi'!$I$5:$I$92,'Daftar Koreksi'!$D$5:$D$92,'0200'!A136,'Daftar Koreksi'!$G$5:$G$92,"Jalan Irigasi Jaringan",'Daftar Koreksi'!$I$5:$I$92,"&lt;0")-SUMIFS('Daftar Koreksi'!$I$5:$I$92,'Daftar Koreksi'!$D$5:$D$92,'0200'!A136,'Daftar Koreksi'!$G$5:$G$92,"Jalan Irigasi Jaringan",'Daftar Koreksi'!$I$5:$I$92,"&lt;0")-SUMIFS('Daftar Koreksi'!$I$5:$I$92,'Daftar Koreksi'!$D$5:$D$92,'0200'!A136,'Daftar Koreksi'!$G$5:$G$92,"Jalan Irigasi Jaringan",'Daftar Koreksi'!$I$5:$I$92,"&lt;0")</f>
        <v>0</v>
      </c>
      <c r="G151" s="17">
        <f t="shared" si="6"/>
        <v>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Koreksi'!$D$5:$D$92,'0200'!A136,'Daftar Koreksi'!$G$5:$G$92,"Aset Tetap Lainnya",'Daftar Koreksi'!$I$5:$I$92,"&gt;0")</f>
        <v>0</v>
      </c>
      <c r="F152" s="25">
        <f>SUMIFS('Daftar Koreksi'!$I$5:$I$92,'Daftar Koreksi'!$D$5:$D$92,'0200'!A136,'Daftar Koreksi'!$G$5:$G$92,"Aset Tetap Lainnya",'Daftar Koreksi'!$I$5:$I$92,"&lt;0")-SUMIFS('Daftar Koreksi'!$I$5:$I$92,'Daftar Koreksi'!$D$5:$D$92,'0200'!A136,'Daftar Koreksi'!$G$5:$G$92,"Aset Tetap Lainnya",'Daftar Koreksi'!$I$5:$I$92,"&lt;0")-SUMIFS('Daftar Koreksi'!$I$5:$I$92,'Daftar Koreksi'!$D$5:$D$92,'0200'!A136,'Daftar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-87320000</v>
      </c>
      <c r="E153" s="25">
        <f>SUMIFS('Daftar Koreksi'!$I$5:$I$92,'Daftar Koreksi'!$D$5:$D$92,'0200'!A136,'Daftar Koreksi'!$G$5:$G$92,"Aset Henti Guna",'Daftar Koreksi'!$I$5:$I$92,"&gt;0")</f>
        <v>0</v>
      </c>
      <c r="F153" s="25">
        <f>SUMIFS('Daftar Koreksi'!$I$5:$I$92,'Daftar Koreksi'!$D$5:$D$92,'0200'!A136,'Daftar Koreksi'!$G$5:$G$92,"Aset Henti Guna",'Daftar Koreksi'!$I$5:$I$92,"&lt;0")-SUMIFS('Daftar Koreksi'!$I$5:$I$92,'Daftar Koreksi'!$D$5:$D$92,'0200'!A136,'Daftar Koreksi'!$G$5:$G$92,"Aset Henti Guna",'Daftar Koreksi'!$I$5:$I$92,"&lt;0")-SUMIFS('Daftar Koreksi'!$I$5:$I$92,'Daftar Koreksi'!$D$5:$D$92,'0200'!A136,'Daftar Koreksi'!$G$5:$G$92,"Aset Henti Guna",'Daftar Koreksi'!$I$5:$I$92,"&lt;0")</f>
        <v>0</v>
      </c>
      <c r="G153" s="17">
        <f t="shared" si="6"/>
        <v>-87320000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-3783605678</v>
      </c>
      <c r="E154" s="19">
        <f>SUM(E149:E153)</f>
        <v>0</v>
      </c>
      <c r="F154" s="19">
        <f>SUM(F149:F153)</f>
        <v>0</v>
      </c>
      <c r="G154" s="19">
        <f t="shared" si="6"/>
        <v>-3783605678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9220427562</v>
      </c>
      <c r="E155" s="19">
        <f>E154+E148</f>
        <v>0</v>
      </c>
      <c r="F155" s="19">
        <f>F154+F148</f>
        <v>0</v>
      </c>
      <c r="G155" s="19">
        <f t="shared" si="6"/>
        <v>9220427562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005010200097610000KD</v>
      </c>
      <c r="B158" s="11" t="str">
        <f>P8</f>
        <v>PN. Bekasi</v>
      </c>
      <c r="C158" s="12" t="str">
        <f>A158&amp;" "&amp;B158</f>
        <v>005010200097610000KD PN. Bekasi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10" ht="21.95" customHeight="1">
      <c r="A161" s="14"/>
      <c r="B161" s="14"/>
      <c r="C161" s="16" t="s">
        <v>1165</v>
      </c>
      <c r="D161" s="17">
        <f>VLOOKUP(A158,'Neraca Unaudited SIMAK'!$A$2:$S$10004,3,FALSE)</f>
        <v>5196200</v>
      </c>
      <c r="E161" s="25">
        <f>SUMIFS('Daftar Koreksi'!$H$5:$H$92,'Daftar Koreksi'!$D$5:$D$92,'0200'!A158,'Daftar Koreksi'!$G$5:$G$92,"Persediaan",'Daftar Koreksi'!$H$5:$H$92,"&gt;0")</f>
        <v>0</v>
      </c>
      <c r="F161" s="25">
        <f>SUMIFS('Daftar Koreksi'!$H$5:$H$92,'Daftar Koreksi'!$D$5:$D$92,'0200'!A158,'Daftar Koreksi'!$G$5:$G$92,"Persediaan",'Daftar Koreksi'!$H$5:$H$92,"&lt;0")-SUMIFS('Daftar Koreksi'!$H$5:$H$92,'Daftar Koreksi'!$D$5:$D$92,'0200'!A158,'Daftar Koreksi'!$G$5:$G$92,"Persediaan",'Daftar Koreksi'!$H$5:$H$92,"&lt;0")-SUMIFS('Daftar Koreksi'!$H$5:$H$92,'Daftar Koreksi'!$D$5:$D$92,'0200'!A158,'Daftar Koreksi'!$G$5:$G$92,"Persediaan",'Daftar Koreksi'!$H$5:$H$92,"&lt;0")</f>
        <v>0</v>
      </c>
      <c r="G161" s="17">
        <f>D161+E161-F161</f>
        <v>5196200</v>
      </c>
      <c r="H161" s="121" t="str">
        <f>IF(ISNA(VLOOKUP(A158,'Mutasi Neraca'!$A$3:$S$914,19,FALSE)),"-",VLOOKUP(A158,'Mutasi Neraca'!$A$3:$S$914,19,FALSE))</f>
        <v>TP. No 3</v>
      </c>
      <c r="I161" s="28"/>
      <c r="J161" s="28"/>
    </row>
    <row r="162" spans="1:10" ht="21.95" customHeight="1">
      <c r="A162" s="14"/>
      <c r="B162" s="14"/>
      <c r="C162" s="16" t="s">
        <v>1166</v>
      </c>
      <c r="D162" s="17">
        <f>VLOOKUP(A158,'Neraca Unaudited SIMAK'!$A$2:$S$10004,4,FALSE)</f>
        <v>7619250000</v>
      </c>
      <c r="E162" s="25">
        <f>SUMIFS('Daftar Koreksi'!$H$5:$H$92,'Daftar Koreksi'!$D$5:$D$92,'0200'!A158,'Daftar Koreksi'!$G$5:$G$92,"Tanah",'Daftar Koreksi'!$H$5:$H$92,"&gt;0")</f>
        <v>0</v>
      </c>
      <c r="F162" s="25">
        <f>SUMIFS('Daftar Koreksi'!$H$5:$H$92,'Daftar Koreksi'!$D$5:$D$92,'0200'!A158,'Daftar Koreksi'!$G$5:$G$92,"Tanah",'Daftar Koreksi'!$H$5:$H$92,"&lt;0")-SUMIFS('Daftar Koreksi'!$H$5:$H$92,'Daftar Koreksi'!$D$5:$D$92,'0200'!A158,'Daftar Koreksi'!$G$5:$G$92,"Tanah",'Daftar Koreksi'!$H$5:$H$92,"&lt;0")-SUMIFS('Daftar Koreksi'!$H$5:$H$92,'Daftar Koreksi'!$D$5:$D$92,'0200'!A158,'Daftar Koreksi'!$G$5:$G$92,"Tanah",'Daftar Koreksi'!$H$5:$H$92,"&lt;0")</f>
        <v>0</v>
      </c>
      <c r="G162" s="17">
        <f t="shared" ref="G162:G178" si="7">D162+E162-F162</f>
        <v>7619250000</v>
      </c>
      <c r="H162" s="122"/>
      <c r="I162" s="28"/>
      <c r="J162" s="28"/>
    </row>
    <row r="163" spans="1:10" ht="21.95" customHeight="1">
      <c r="A163" s="14"/>
      <c r="B163" s="14"/>
      <c r="C163" s="16" t="s">
        <v>1167</v>
      </c>
      <c r="D163" s="17">
        <f>VLOOKUP(A158,'Neraca Unaudited SIMAK'!$A$2:$S$10004,5,FALSE)</f>
        <v>2703396756</v>
      </c>
      <c r="E163" s="25">
        <f>SUMIFS('Daftar Koreksi'!$H$5:$H$92,'Daftar Koreksi'!$D$5:$D$92,'0200'!A158,'Daftar Koreksi'!$G$5:$G$92,"Peralatan dan mesin",'Daftar Koreksi'!$H$5:$H$92,"&gt;0")</f>
        <v>0</v>
      </c>
      <c r="F163" s="25">
        <f>SUMIFS('Daftar Koreksi'!$H$5:$H$92,'Daftar Koreksi'!$D$5:$D$92,'0200'!A158,'Daftar Koreksi'!$G$5:$G$92,"Peralatan dan mesin",'Daftar Koreksi'!$H$5:$H$92,"&lt;0")-SUMIFS('Daftar Koreksi'!$H$5:$H$92,'Daftar Koreksi'!$D$5:$D$92,'0200'!A158,'Daftar Koreksi'!$G$5:$G$92,"Peralatan dan mesin",'Daftar Koreksi'!$H$5:$H$92,"&lt;0")-SUMIFS('Daftar Koreksi'!$H$5:$H$92,'Daftar Koreksi'!$D$5:$D$92,'0200'!A158,'Daftar Koreksi'!$G$5:$G$92,"Peralatan dan mesin",'Daftar Koreksi'!$H$5:$H$92,"&lt;0")</f>
        <v>0</v>
      </c>
      <c r="G163" s="17">
        <f t="shared" si="7"/>
        <v>2703396756</v>
      </c>
      <c r="H163" s="122"/>
      <c r="I163" s="28"/>
      <c r="J163" s="28"/>
    </row>
    <row r="164" spans="1:10" ht="21.95" customHeight="1">
      <c r="A164" s="14"/>
      <c r="B164" s="14"/>
      <c r="C164" s="16" t="s">
        <v>1168</v>
      </c>
      <c r="D164" s="17">
        <f>VLOOKUP(A158,'Neraca Unaudited SIMAK'!$A$2:$S$10004,6,FALSE)</f>
        <v>5938940713</v>
      </c>
      <c r="E164" s="25">
        <f>SUMIFS('Daftar Koreksi'!$H$5:$H$92,'Daftar Koreksi'!$D$5:$D$92,'0200'!A158,'Daftar Koreksi'!$G$5:$G$92,"Gedung dan Bangunan",'Daftar Koreksi'!$H$5:$H$92,"&gt;0")</f>
        <v>0</v>
      </c>
      <c r="F164" s="25">
        <f>SUMIFS('Daftar Koreksi'!$H$5:$H$92,'Daftar Koreksi'!$D$5:$D$92,'0200'!A158,'Daftar Koreksi'!$G$5:$G$92,"Gedung dan Bangunan",'Daftar Koreksi'!$H$5:$H$92,"&lt;0")-SUMIFS('Daftar Koreksi'!$H$5:$H$92,'Daftar Koreksi'!$D$5:$D$92,'0200'!A158,'Daftar Koreksi'!$G$5:$G$92,"Gedung dan Bangunan",'Daftar Koreksi'!$H$5:$H$92,"&lt;0")-SUMIFS('Daftar Koreksi'!$H$5:$H$92,'Daftar Koreksi'!$D$5:$D$92,'0200'!A158,'Daftar Koreksi'!$G$5:$G$92,"Gedung dan Bangunan",'Daftar Koreksi'!$H$5:$H$92,"&lt;0")</f>
        <v>0</v>
      </c>
      <c r="G164" s="17">
        <f t="shared" si="7"/>
        <v>5938940713</v>
      </c>
      <c r="H164" s="122"/>
      <c r="I164" s="28"/>
      <c r="J164" s="28"/>
    </row>
    <row r="165" spans="1:10" ht="21.95" customHeight="1">
      <c r="A165" s="14"/>
      <c r="B165" s="14"/>
      <c r="C165" s="16" t="s">
        <v>1169</v>
      </c>
      <c r="D165" s="17">
        <f>VLOOKUP(A158,'Neraca Unaudited SIMAK'!$A$2:$S$10004,7,FALSE)</f>
        <v>106002500</v>
      </c>
      <c r="E165" s="25">
        <f>SUMIFS('Daftar Koreksi'!$H$5:$H$92,'Daftar Koreksi'!$D$5:$D$92,'0200'!A158,'Daftar Koreksi'!$G$5:$G$92,"Jalan Irigasi Jaringan",'Daftar Koreksi'!$H$5:$H$92,"&gt;0")</f>
        <v>0</v>
      </c>
      <c r="F165" s="25">
        <f>SUMIFS('Daftar Koreksi'!$H$5:$H$92,'Daftar Koreksi'!$D$5:$D$92,'0200'!A158,'Daftar Koreksi'!$G$5:$G$92,"Jalan Irigasi Jaringan",'Daftar Koreksi'!$H$5:$H$92,"&lt;0")-SUMIFS('Daftar Koreksi'!$H$5:$H$92,'Daftar Koreksi'!$D$5:$D$92,'0200'!A158,'Daftar Koreksi'!$G$5:$G$92,"Jalan Irigasi Jaringan",'Daftar Koreksi'!$H$5:$H$92,"&lt;0")-SUMIFS('Daftar Koreksi'!$H$5:$H$92,'Daftar Koreksi'!$D$5:$D$92,'0200'!A158,'Daftar Koreksi'!$G$5:$G$92,"Jalan Irigasi Jaringan",'Daftar Koreksi'!$H$5:$H$92,"&lt;0")</f>
        <v>0</v>
      </c>
      <c r="G165" s="17">
        <f t="shared" si="7"/>
        <v>106002500</v>
      </c>
      <c r="H165" s="122"/>
      <c r="I165" s="28"/>
      <c r="J165" s="28"/>
    </row>
    <row r="166" spans="1:10" ht="21.95" customHeight="1">
      <c r="A166" s="14"/>
      <c r="B166" s="14"/>
      <c r="C166" s="16" t="s">
        <v>1170</v>
      </c>
      <c r="D166" s="17">
        <f>VLOOKUP(A158,'Neraca Unaudited SIMAK'!$A$2:$S$10004,8,FALSE)</f>
        <v>257303586</v>
      </c>
      <c r="E166" s="25">
        <f>SUMIFS('Daftar Koreksi'!$H$5:$H$92,'Daftar Koreksi'!$D$5:$D$92,'0200'!A158,'Daftar Koreksi'!$G$5:$G$92,"Aset Tetap Lainnya",'Daftar Koreksi'!$H$5:$H$92,"&gt;0")</f>
        <v>4411622</v>
      </c>
      <c r="F166" s="25">
        <f>SUMIFS('Daftar Koreksi'!$H$5:$H$92,'Daftar Koreksi'!$D$5:$D$92,'0200'!A158,'Daftar Koreksi'!$G$5:$G$92,"Aset Tetap Lainnya",'Daftar Koreksi'!$H$5:$H$92,"&lt;0")-SUMIFS('Daftar Koreksi'!$H$5:$H$92,'Daftar Koreksi'!$D$5:$D$92,'0200'!A158,'Daftar Koreksi'!$G$5:$G$92,"Aset Tetap Lainnya",'Daftar Koreksi'!$H$5:$H$92,"&lt;0")-SUMIFS('Daftar Koreksi'!$H$5:$H$92,'Daftar Koreksi'!$D$5:$D$92,'0200'!A158,'Daftar Koreksi'!$G$5:$G$92,"Aset Tetap Lainnya",'Daftar Koreksi'!$H$5:$H$92,"&lt;0")</f>
        <v>0</v>
      </c>
      <c r="G166" s="17">
        <f t="shared" si="7"/>
        <v>261715208</v>
      </c>
      <c r="H166" s="122"/>
      <c r="I166" s="28"/>
      <c r="J166" s="28"/>
    </row>
    <row r="167" spans="1:10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Koreksi'!$D$5:$D$92,'0200'!A158,'Daftar Koreksi'!$G$5:$G$92,"Kontruksi Dalam Pengerjaan",'Daftar Koreksi'!$H$5:$H$92,"&gt;0")</f>
        <v>0</v>
      </c>
      <c r="F167" s="25">
        <f>SUMIFS('Daftar Koreksi'!$H$5:$H$92,'Daftar Koreksi'!$D$5:$D$92,'0200'!A158,'Daftar Koreksi'!$G$5:$G$92,"Kontruksi Dalam Pengerjaan",'Daftar Koreksi'!$H$5:$H$92,"&lt;0")-SUMIFS('Daftar Koreksi'!$H$5:$H$92,'Daftar Koreksi'!$D$5:$D$92,'0200'!A158,'Daftar Koreksi'!$G$5:$G$92,"Kontruksi Dalam Pengerjaan",'Daftar Koreksi'!$H$5:$H$92,"&lt;0")-SUMIFS('Daftar Koreksi'!$H$5:$H$92,'Daftar Koreksi'!$D$5:$D$92,'0200'!A158,'Daftar Koreksi'!$G$5:$G$92,"Kontruksi Dalam Pengerjaan",'Daftar Koreksi'!$H$5:$H$92,"&lt;0")</f>
        <v>0</v>
      </c>
      <c r="G167" s="17">
        <f t="shared" si="7"/>
        <v>0</v>
      </c>
      <c r="H167" s="122"/>
      <c r="I167" s="28"/>
      <c r="J167" s="28"/>
    </row>
    <row r="168" spans="1:10" ht="21.95" customHeight="1">
      <c r="A168" s="14"/>
      <c r="B168" s="14"/>
      <c r="C168" s="16" t="s">
        <v>1172</v>
      </c>
      <c r="D168" s="17">
        <f>VLOOKUP(A158,'Neraca Unaudited SIMAK'!$A$2:$S$10004,10,FALSE)</f>
        <v>900000</v>
      </c>
      <c r="E168" s="25">
        <f>SUMIFS('Daftar Koreksi'!$H$5:$H$92,'Daftar Koreksi'!$D$5:$D$92,'0200'!A158,'Daftar Koreksi'!$G$5:$G$92,"Aset Tak Berwujud",'Daftar Koreksi'!$H$5:$H$92,"&gt;0")</f>
        <v>0</v>
      </c>
      <c r="F168" s="25">
        <f>SUMIFS('Daftar Koreksi'!$H$5:$H$92,'Daftar Koreksi'!$D$5:$D$92,'0200'!A158,'Daftar Koreksi'!$G$5:$G$92,"Aset Tak Berwujud",'Daftar Koreksi'!$H$5:$H$92,"&lt;0")-SUMIFS('Daftar Koreksi'!$H$5:$H$92,'Daftar Koreksi'!$D$5:$D$92,'0200'!A158,'Daftar Koreksi'!$G$5:$G$92,"Aset Tak Berwujud",'Daftar Koreksi'!$H$5:$H$92,"&lt;0")-SUMIFS('Daftar Koreksi'!$H$5:$H$92,'Daftar Koreksi'!$D$5:$D$92,'0200'!A158,'Daftar Koreksi'!$G$5:$G$92,"Aset Tak Berwujud",'Daftar Koreksi'!$H$5:$H$92,"&lt;0")</f>
        <v>0</v>
      </c>
      <c r="G168" s="17">
        <f t="shared" si="7"/>
        <v>900000</v>
      </c>
      <c r="H168" s="122"/>
      <c r="I168" s="28"/>
      <c r="J168" s="28"/>
    </row>
    <row r="169" spans="1:10" ht="21.95" customHeight="1">
      <c r="A169" s="14"/>
      <c r="B169" s="14"/>
      <c r="C169" s="16" t="s">
        <v>1173</v>
      </c>
      <c r="D169" s="17">
        <f>VLOOKUP(A158,'Neraca Unaudited SIMAK'!$A$2:$S$10004,11,FALSE)</f>
        <v>227199257</v>
      </c>
      <c r="E169" s="25">
        <f>SUMIFS('Daftar Koreksi'!$H$5:$H$92,'Daftar Koreksi'!$D$5:$D$92,'0200'!A158,'Daftar Koreksi'!$G$5:$G$92,"Aset Henti Guna",'Daftar Koreksi'!$H$5:$H$92,"&gt;0")</f>
        <v>0</v>
      </c>
      <c r="F169" s="25">
        <f>SUMIFS('Daftar Koreksi'!$H$5:$H$92,'Daftar Koreksi'!$D$5:$D$92,'0200'!A158,'Daftar Koreksi'!$G$5:$G$92,"Aset Henti Guna",'Daftar Koreksi'!$H$5:$H$92,"&lt;0")-SUMIFS('Daftar Koreksi'!$H$5:$H$92,'Daftar Koreksi'!$D$5:$D$92,'0200'!A158,'Daftar Koreksi'!$G$5:$G$92,"Aset Henti Guna",'Daftar Koreksi'!$H$5:$H$92,"&lt;0")-SUMIFS('Daftar Koreksi'!$H$5:$H$92,'Daftar Koreksi'!$D$5:$D$92,'0200'!A158,'Daftar Koreksi'!$G$5:$G$92,"Aset Henti Guna",'Daftar Koreksi'!$H$5:$H$92,"&lt;0")</f>
        <v>0</v>
      </c>
      <c r="G169" s="17">
        <f t="shared" si="7"/>
        <v>227199257</v>
      </c>
      <c r="H169" s="122"/>
      <c r="I169" s="28"/>
      <c r="J169" s="28"/>
    </row>
    <row r="170" spans="1:10" ht="21.95" customHeight="1">
      <c r="A170" s="14"/>
      <c r="B170" s="14"/>
      <c r="C170" s="18" t="s">
        <v>2093</v>
      </c>
      <c r="D170" s="19">
        <f>VLOOKUP(A158,'Neraca Unaudited SIMAK'!$A$2:$S$10004,12,FALSE)</f>
        <v>16858189012</v>
      </c>
      <c r="E170" s="19">
        <f>SUM(E161:E169)</f>
        <v>4411622</v>
      </c>
      <c r="F170" s="19">
        <f>SUM(F161:F169)</f>
        <v>0</v>
      </c>
      <c r="G170" s="19">
        <f t="shared" si="7"/>
        <v>16862600634</v>
      </c>
      <c r="H170" s="122"/>
      <c r="I170" s="28"/>
      <c r="J170" s="28"/>
    </row>
    <row r="171" spans="1:10" ht="21.95" customHeight="1">
      <c r="A171" s="14"/>
      <c r="B171" s="14"/>
      <c r="C171" s="16" t="s">
        <v>2087</v>
      </c>
      <c r="D171" s="17">
        <f>VLOOKUP(A158,'Neraca Unaudited SIMAK'!$A$2:$S$10004,13,FALSE)</f>
        <v>-2322073040</v>
      </c>
      <c r="E171" s="25">
        <f>SUMIFS('Daftar Koreksi'!$I$5:$I$92,'Daftar Koreksi'!$D$5:$D$92,'0200'!A158,'Daftar Koreksi'!$G$5:$G$92,"Peralatan dan mesin",'Daftar Koreksi'!$I$5:$I$92,"&gt;0")</f>
        <v>0</v>
      </c>
      <c r="F171" s="25">
        <f>SUMIFS('Daftar Koreksi'!$I$5:$I$92,'Daftar Koreksi'!$D$5:$D$92,'0200'!A158,'Daftar Koreksi'!$G$5:$G$92,"Peralatan dan mesin",'Daftar Koreksi'!$I$5:$I$92,"&lt;0")-SUMIFS('Daftar Koreksi'!$I$5:$I$92,'Daftar Koreksi'!$D$5:$D$92,'0200'!A158,'Daftar Koreksi'!$G$5:$G$92,"Peralatan dan mesin",'Daftar Koreksi'!$I$5:$I$92,"&lt;0")-SUMIFS('Daftar Koreksi'!$I$5:$I$92,'Daftar Koreksi'!$D$5:$D$92,'0200'!A158,'Daftar Koreksi'!$G$5:$G$92,"Peralatan dan mesin",'Daftar Koreksi'!$I$5:$I$92,"&lt;0")</f>
        <v>0</v>
      </c>
      <c r="G171" s="17">
        <f t="shared" si="7"/>
        <v>-2322073040</v>
      </c>
      <c r="H171" s="122"/>
      <c r="I171" s="28"/>
      <c r="J171" s="28"/>
    </row>
    <row r="172" spans="1:10" ht="21.95" customHeight="1">
      <c r="A172" s="14"/>
      <c r="B172" s="14"/>
      <c r="C172" s="16" t="s">
        <v>2088</v>
      </c>
      <c r="D172" s="17">
        <f>VLOOKUP(A158,'Neraca Unaudited SIMAK'!$A$2:$S$10004,14,FALSE)</f>
        <v>-1325888223</v>
      </c>
      <c r="E172" s="25">
        <f>SUMIFS('Daftar Koreksi'!$I$5:$I$92,'Daftar Koreksi'!$D$5:$D$92,'0200'!A158,'Daftar Koreksi'!$G$5:$G$92,"Gedung dan Bangunan",'Daftar Koreksi'!$I$5:$I$92,"&gt;0")</f>
        <v>0</v>
      </c>
      <c r="F172" s="25">
        <f>SUMIFS('Daftar Koreksi'!$I$5:$I$92,'Daftar Koreksi'!$D$5:$D$92,'0200'!A158,'Daftar Koreksi'!$G$5:$G$92,"Gedung dan Bangunan",'Daftar Koreksi'!$I$5:$I$92,"&lt;0")-SUMIFS('Daftar Koreksi'!$I$5:$I$92,'Daftar Koreksi'!$D$5:$D$92,'0200'!A158,'Daftar Koreksi'!$G$5:$G$92,"Gedung dan Bangunan",'Daftar Koreksi'!$I$5:$I$92,"&lt;0")-SUMIFS('Daftar Koreksi'!$I$5:$I$92,'Daftar Koreksi'!$D$5:$D$92,'0200'!A158,'Daftar Koreksi'!$G$5:$G$92,"Gedung dan Bangunan",'Daftar Koreksi'!$I$5:$I$92,"&lt;0")</f>
        <v>0</v>
      </c>
      <c r="G172" s="17">
        <f t="shared" si="7"/>
        <v>-1325888223</v>
      </c>
      <c r="H172" s="122"/>
      <c r="I172" s="28"/>
      <c r="J172" s="28"/>
    </row>
    <row r="173" spans="1:10" ht="21.95" customHeight="1">
      <c r="A173" s="14"/>
      <c r="B173" s="14"/>
      <c r="C173" s="16" t="s">
        <v>2089</v>
      </c>
      <c r="D173" s="17">
        <f>VLOOKUP(A158,'Neraca Unaudited SIMAK'!$A$2:$S$10004,15,FALSE)</f>
        <v>-6791363</v>
      </c>
      <c r="E173" s="25">
        <f>SUMIFS('Daftar Koreksi'!$I$5:$I$92,'Daftar Koreksi'!$D$5:$D$92,'0200'!A158,'Daftar Koreksi'!$G$5:$G$92,"Jalan Irigasi Jaringan",'Daftar Koreksi'!$I$5:$I$92,"&gt;0")</f>
        <v>0</v>
      </c>
      <c r="F173" s="25">
        <f>SUMIFS('Daftar Koreksi'!$I$5:$I$92,'Daftar Koreksi'!$D$5:$D$92,'0200'!A158,'Daftar Koreksi'!$G$5:$G$92,"Jalan Irigasi Jaringan",'Daftar Koreksi'!$I$5:$I$92,"&lt;0")-SUMIFS('Daftar Koreksi'!$I$5:$I$92,'Daftar Koreksi'!$D$5:$D$92,'0200'!A158,'Daftar Koreksi'!$G$5:$G$92,"Jalan Irigasi Jaringan",'Daftar Koreksi'!$I$5:$I$92,"&lt;0")-SUMIFS('Daftar Koreksi'!$I$5:$I$92,'Daftar Koreksi'!$D$5:$D$92,'0200'!A158,'Daftar Koreksi'!$G$5:$G$92,"Jalan Irigasi Jaringan",'Daftar Koreksi'!$I$5:$I$92,"&lt;0")</f>
        <v>0</v>
      </c>
      <c r="G173" s="17">
        <f t="shared" si="7"/>
        <v>-6791363</v>
      </c>
      <c r="H173" s="122"/>
      <c r="I173" s="28"/>
      <c r="J173" s="28"/>
    </row>
    <row r="174" spans="1:10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Koreksi'!$D$5:$D$92,'0200'!A158,'Daftar Koreksi'!$G$5:$G$92,"Aset Tetap Lainnya",'Daftar Koreksi'!$I$5:$I$92,"&gt;0")</f>
        <v>0</v>
      </c>
      <c r="F174" s="25">
        <f>SUMIFS('Daftar Koreksi'!$I$5:$I$92,'Daftar Koreksi'!$D$5:$D$92,'0200'!A158,'Daftar Koreksi'!$G$5:$G$92,"Aset Tetap Lainnya",'Daftar Koreksi'!$I$5:$I$92,"&lt;0")-SUMIFS('Daftar Koreksi'!$I$5:$I$92,'Daftar Koreksi'!$D$5:$D$92,'0200'!A158,'Daftar Koreksi'!$G$5:$G$92,"Aset Tetap Lainnya",'Daftar Koreksi'!$I$5:$I$92,"&lt;0")-SUMIFS('Daftar Koreksi'!$I$5:$I$92,'Daftar Koreksi'!$D$5:$D$92,'0200'!A158,'Daftar Koreksi'!$G$5:$G$92,"Aset Tetap Lainnya",'Daftar Koreksi'!$I$5:$I$92,"&lt;0")</f>
        <v>0</v>
      </c>
      <c r="G174" s="17">
        <f t="shared" si="7"/>
        <v>0</v>
      </c>
      <c r="H174" s="122"/>
      <c r="I174" s="28"/>
      <c r="J174" s="28"/>
    </row>
    <row r="175" spans="1:10" ht="21.95" customHeight="1">
      <c r="A175" s="14"/>
      <c r="B175" s="14"/>
      <c r="C175" s="16" t="s">
        <v>2020</v>
      </c>
      <c r="D175" s="17">
        <f>VLOOKUP(A158,'Neraca Unaudited SIMAK'!$A$2:$S$10004,17,FALSE)</f>
        <v>-78739659</v>
      </c>
      <c r="E175" s="25">
        <f>SUMIFS('Daftar Koreksi'!$I$5:$I$92,'Daftar Koreksi'!$D$5:$D$92,'0200'!A158,'Daftar Koreksi'!$G$5:$G$92,"Aset Henti Guna",'Daftar Koreksi'!$I$5:$I$92,"&gt;0")</f>
        <v>0</v>
      </c>
      <c r="F175" s="25">
        <f>SUMIFS('Daftar Koreksi'!$I$5:$I$92,'Daftar Koreksi'!$D$5:$D$92,'0200'!A158,'Daftar Koreksi'!$G$5:$G$92,"Aset Henti Guna",'Daftar Koreksi'!$I$5:$I$92,"&lt;0")-SUMIFS('Daftar Koreksi'!$I$5:$I$92,'Daftar Koreksi'!$D$5:$D$92,'0200'!A158,'Daftar Koreksi'!$G$5:$G$92,"Aset Henti Guna",'Daftar Koreksi'!$I$5:$I$92,"&lt;0")-SUMIFS('Daftar Koreksi'!$I$5:$I$92,'Daftar Koreksi'!$D$5:$D$92,'0200'!A158,'Daftar Koreksi'!$G$5:$G$92,"Aset Henti Guna",'Daftar Koreksi'!$I$5:$I$92,"&lt;0")</f>
        <v>0</v>
      </c>
      <c r="G175" s="17">
        <f t="shared" si="7"/>
        <v>-78739659</v>
      </c>
      <c r="H175" s="122"/>
      <c r="I175" s="28"/>
      <c r="J175" s="28"/>
    </row>
    <row r="176" spans="1:10" ht="21.95" customHeight="1">
      <c r="A176" s="14"/>
      <c r="B176" s="14"/>
      <c r="C176" s="18" t="s">
        <v>2094</v>
      </c>
      <c r="D176" s="19">
        <f>SUM(D171:D175)</f>
        <v>-3733492285</v>
      </c>
      <c r="E176" s="19">
        <f>SUM(E171:E175)</f>
        <v>0</v>
      </c>
      <c r="F176" s="19">
        <f>SUM(F171:F175)</f>
        <v>0</v>
      </c>
      <c r="G176" s="19">
        <f t="shared" si="7"/>
        <v>-3733492285</v>
      </c>
      <c r="H176" s="122"/>
      <c r="I176" s="28"/>
      <c r="J176" s="28"/>
    </row>
    <row r="177" spans="1:10" ht="21.95" customHeight="1">
      <c r="A177" s="14"/>
      <c r="B177" s="14"/>
      <c r="C177" s="18" t="s">
        <v>2095</v>
      </c>
      <c r="D177" s="19">
        <f>VLOOKUP(A158,'Neraca Unaudited SIMAK'!$A$2:$S$10004,18,FALSE)</f>
        <v>13124696727</v>
      </c>
      <c r="E177" s="19">
        <f>E176+E170</f>
        <v>4411622</v>
      </c>
      <c r="F177" s="19">
        <f>F176+F170</f>
        <v>0</v>
      </c>
      <c r="G177" s="19">
        <f t="shared" si="7"/>
        <v>13129108349</v>
      </c>
      <c r="H177" s="122"/>
      <c r="I177" s="28"/>
      <c r="J177" s="28"/>
    </row>
    <row r="178" spans="1:10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  <c r="I178" s="28"/>
      <c r="J178" s="28"/>
    </row>
    <row r="180" spans="1:10" ht="19.5" customHeight="1">
      <c r="A180" s="11" t="str">
        <f>O9</f>
        <v>005010200097624000KD</v>
      </c>
      <c r="B180" s="11" t="str">
        <f>P9</f>
        <v>PN. Karawang</v>
      </c>
      <c r="C180" s="12" t="str">
        <f>A180&amp;" "&amp;B180</f>
        <v>005010200097624000KD PN. Karawang</v>
      </c>
      <c r="D180" s="13"/>
      <c r="E180" s="13"/>
      <c r="F180" s="13"/>
      <c r="G180" s="13"/>
      <c r="H180" s="11"/>
    </row>
    <row r="181" spans="1:10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10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10" ht="21.95" customHeight="1">
      <c r="A183" s="14"/>
      <c r="B183" s="14"/>
      <c r="C183" s="16" t="s">
        <v>1165</v>
      </c>
      <c r="D183" s="17">
        <f>VLOOKUP(A180,'Neraca Unaudited SIMAK'!$A$2:$S$10004,3,FALSE)</f>
        <v>4759300</v>
      </c>
      <c r="E183" s="25">
        <f>SUMIFS('Daftar Koreksi'!$H$5:$H$92,'Daftar Koreksi'!$D$5:$D$92,'0200'!A180,'Daftar Koreksi'!$G$5:$G$92,"Persediaan",'Daftar Koreksi'!$H$5:$H$92,"&gt;0")</f>
        <v>0</v>
      </c>
      <c r="F183" s="25">
        <f>SUMIFS('Daftar Koreksi'!$H$5:$H$92,'Daftar Koreksi'!$D$5:$D$92,'0200'!A180,'Daftar Koreksi'!$G$5:$G$92,"Persediaan",'Daftar Koreksi'!$H$5:$H$92,"&lt;0")-SUMIFS('Daftar Koreksi'!$H$5:$H$92,'Daftar Koreksi'!$D$5:$D$92,'0200'!A180,'Daftar Koreksi'!$G$5:$G$92,"Persediaan",'Daftar Koreksi'!$H$5:$H$92,"&lt;0")-SUMIFS('Daftar Koreksi'!$H$5:$H$92,'Daftar Koreksi'!$D$5:$D$92,'0200'!A180,'Daftar Koreksi'!$G$5:$G$92,"Persediaan",'Daftar Koreksi'!$H$5:$H$92,"&lt;0")</f>
        <v>0</v>
      </c>
      <c r="G183" s="17">
        <f>D183+E183-F183</f>
        <v>4759300</v>
      </c>
      <c r="H183" s="121" t="str">
        <f>IF(ISNA(VLOOKUP(A180,'Mutasi Neraca'!$A$3:$S$914,19,FALSE)),"-",VLOOKUP(A180,'Mutasi Neraca'!$A$3:$S$914,19,FALSE))</f>
        <v>-</v>
      </c>
    </row>
    <row r="184" spans="1:10" ht="21.95" customHeight="1">
      <c r="A184" s="14"/>
      <c r="B184" s="14"/>
      <c r="C184" s="16" t="s">
        <v>1166</v>
      </c>
      <c r="D184" s="17">
        <f>VLOOKUP(A180,'Neraca Unaudited SIMAK'!$A$2:$S$10004,4,FALSE)</f>
        <v>18569517600</v>
      </c>
      <c r="E184" s="25">
        <f>SUMIFS('Daftar Koreksi'!$H$5:$H$92,'Daftar Koreksi'!$D$5:$D$92,'0200'!A180,'Daftar Koreksi'!$G$5:$G$92,"Tanah",'Daftar Koreksi'!$H$5:$H$92,"&gt;0")</f>
        <v>0</v>
      </c>
      <c r="F184" s="25">
        <f>SUMIFS('Daftar Koreksi'!$H$5:$H$92,'Daftar Koreksi'!$D$5:$D$92,'0200'!A180,'Daftar Koreksi'!$G$5:$G$92,"Tanah",'Daftar Koreksi'!$H$5:$H$92,"&lt;0")-SUMIFS('Daftar Koreksi'!$H$5:$H$92,'Daftar Koreksi'!$D$5:$D$92,'0200'!A180,'Daftar Koreksi'!$G$5:$G$92,"Tanah",'Daftar Koreksi'!$H$5:$H$92,"&lt;0")-SUMIFS('Daftar Koreksi'!$H$5:$H$92,'Daftar Koreksi'!$D$5:$D$92,'0200'!A180,'Daftar Koreksi'!$G$5:$G$92,"Tanah",'Daftar Koreksi'!$H$5:$H$92,"&lt;0")</f>
        <v>0</v>
      </c>
      <c r="G184" s="17">
        <f t="shared" ref="G184:G200" si="8">D184+E184-F184</f>
        <v>18569517600</v>
      </c>
      <c r="H184" s="122"/>
    </row>
    <row r="185" spans="1:10" ht="21.95" customHeight="1">
      <c r="A185" s="14"/>
      <c r="B185" s="14"/>
      <c r="C185" s="16" t="s">
        <v>1167</v>
      </c>
      <c r="D185" s="17">
        <f>VLOOKUP(A180,'Neraca Unaudited SIMAK'!$A$2:$S$10004,5,FALSE)</f>
        <v>1815951386</v>
      </c>
      <c r="E185" s="25">
        <f>SUMIFS('Daftar Koreksi'!$H$5:$H$92,'Daftar Koreksi'!$D$5:$D$92,'0200'!A180,'Daftar Koreksi'!$G$5:$G$92,"Peralatan dan mesin",'Daftar Koreksi'!$H$5:$H$92,"&gt;0")</f>
        <v>0</v>
      </c>
      <c r="F185" s="25">
        <f>SUMIFS('Daftar Koreksi'!$H$5:$H$92,'Daftar Koreksi'!$D$5:$D$92,'0200'!A180,'Daftar Koreksi'!$G$5:$G$92,"Peralatan dan mesin",'Daftar Koreksi'!$H$5:$H$92,"&lt;0")-SUMIFS('Daftar Koreksi'!$H$5:$H$92,'Daftar Koreksi'!$D$5:$D$92,'0200'!A180,'Daftar Koreksi'!$G$5:$G$92,"Peralatan dan mesin",'Daftar Koreksi'!$H$5:$H$92,"&lt;0")-SUMIFS('Daftar Koreksi'!$H$5:$H$92,'Daftar Koreksi'!$D$5:$D$92,'0200'!A180,'Daftar Koreksi'!$G$5:$G$92,"Peralatan dan mesin",'Daftar Koreksi'!$H$5:$H$92,"&lt;0")</f>
        <v>0</v>
      </c>
      <c r="G185" s="17">
        <f t="shared" si="8"/>
        <v>1815951386</v>
      </c>
      <c r="H185" s="122"/>
    </row>
    <row r="186" spans="1:10" ht="21.95" customHeight="1">
      <c r="A186" s="14"/>
      <c r="B186" s="14"/>
      <c r="C186" s="16" t="s">
        <v>1168</v>
      </c>
      <c r="D186" s="17">
        <f>VLOOKUP(A180,'Neraca Unaudited SIMAK'!$A$2:$S$10004,6,FALSE)</f>
        <v>3962099000</v>
      </c>
      <c r="E186" s="25">
        <f>SUMIFS('Daftar Koreksi'!$H$5:$H$92,'Daftar Koreksi'!$D$5:$D$92,'0200'!A180,'Daftar Koreksi'!$G$5:$G$92,"Gedung dan Bangunan",'Daftar Koreksi'!$H$5:$H$92,"&gt;0")</f>
        <v>0</v>
      </c>
      <c r="F186" s="25">
        <f>SUMIFS('Daftar Koreksi'!$H$5:$H$92,'Daftar Koreksi'!$D$5:$D$92,'0200'!A180,'Daftar Koreksi'!$G$5:$G$92,"Gedung dan Bangunan",'Daftar Koreksi'!$H$5:$H$92,"&lt;0")-SUMIFS('Daftar Koreksi'!$H$5:$H$92,'Daftar Koreksi'!$D$5:$D$92,'0200'!A180,'Daftar Koreksi'!$G$5:$G$92,"Gedung dan Bangunan",'Daftar Koreksi'!$H$5:$H$92,"&lt;0")-SUMIFS('Daftar Koreksi'!$H$5:$H$92,'Daftar Koreksi'!$D$5:$D$92,'0200'!A180,'Daftar Koreksi'!$G$5:$G$92,"Gedung dan Bangunan",'Daftar Koreksi'!$H$5:$H$92,"&lt;0")</f>
        <v>0</v>
      </c>
      <c r="G186" s="17">
        <f t="shared" si="8"/>
        <v>3962099000</v>
      </c>
      <c r="H186" s="122"/>
    </row>
    <row r="187" spans="1:10" ht="21.95" customHeight="1">
      <c r="A187" s="14"/>
      <c r="B187" s="14"/>
      <c r="C187" s="16" t="s">
        <v>1169</v>
      </c>
      <c r="D187" s="17">
        <f>VLOOKUP(A180,'Neraca Unaudited SIMAK'!$A$2:$S$10004,7,FALSE)</f>
        <v>68821500</v>
      </c>
      <c r="E187" s="25">
        <f>SUMIFS('Daftar Koreksi'!$H$5:$H$92,'Daftar Koreksi'!$D$5:$D$92,'0200'!A180,'Daftar Koreksi'!$G$5:$G$92,"Jalan Irigasi Jaringan",'Daftar Koreksi'!$H$5:$H$92,"&gt;0")</f>
        <v>0</v>
      </c>
      <c r="F187" s="25">
        <f>SUMIFS('Daftar Koreksi'!$H$5:$H$92,'Daftar Koreksi'!$D$5:$D$92,'0200'!A180,'Daftar Koreksi'!$G$5:$G$92,"Jalan Irigasi Jaringan",'Daftar Koreksi'!$H$5:$H$92,"&lt;0")-SUMIFS('Daftar Koreksi'!$H$5:$H$92,'Daftar Koreksi'!$D$5:$D$92,'0200'!A180,'Daftar Koreksi'!$G$5:$G$92,"Jalan Irigasi Jaringan",'Daftar Koreksi'!$H$5:$H$92,"&lt;0")-SUMIFS('Daftar Koreksi'!$H$5:$H$92,'Daftar Koreksi'!$D$5:$D$92,'0200'!A180,'Daftar Koreksi'!$G$5:$G$92,"Jalan Irigasi Jaringan",'Daftar Koreksi'!$H$5:$H$92,"&lt;0")</f>
        <v>0</v>
      </c>
      <c r="G187" s="17">
        <f t="shared" si="8"/>
        <v>68821500</v>
      </c>
      <c r="H187" s="122"/>
    </row>
    <row r="188" spans="1:10" ht="21.95" customHeight="1">
      <c r="A188" s="14"/>
      <c r="B188" s="14"/>
      <c r="C188" s="16" t="s">
        <v>1170</v>
      </c>
      <c r="D188" s="17">
        <f>VLOOKUP(A180,'Neraca Unaudited SIMAK'!$A$2:$S$10004,8,FALSE)</f>
        <v>62577082</v>
      </c>
      <c r="E188" s="25">
        <f>SUMIFS('Daftar Koreksi'!$H$5:$H$92,'Daftar Koreksi'!$D$5:$D$92,'0200'!A180,'Daftar Koreksi'!$G$5:$G$92,"Aset Tetap Lainnya",'Daftar Koreksi'!$H$5:$H$92,"&gt;0")</f>
        <v>0</v>
      </c>
      <c r="F188" s="25">
        <f>SUMIFS('Daftar Koreksi'!$H$5:$H$92,'Daftar Koreksi'!$D$5:$D$92,'0200'!A180,'Daftar Koreksi'!$G$5:$G$92,"Aset Tetap Lainnya",'Daftar Koreksi'!$H$5:$H$92,"&lt;0")-SUMIFS('Daftar Koreksi'!$H$5:$H$92,'Daftar Koreksi'!$D$5:$D$92,'0200'!A180,'Daftar Koreksi'!$G$5:$G$92,"Aset Tetap Lainnya",'Daftar Koreksi'!$H$5:$H$92,"&lt;0")-SUMIFS('Daftar Koreksi'!$H$5:$H$92,'Daftar Koreksi'!$D$5:$D$92,'0200'!A180,'Daftar Koreksi'!$G$5:$G$92,"Aset Tetap Lainnya",'Daftar Koreksi'!$H$5:$H$92,"&lt;0")</f>
        <v>0</v>
      </c>
      <c r="G188" s="17">
        <f t="shared" si="8"/>
        <v>62577082</v>
      </c>
      <c r="H188" s="122"/>
    </row>
    <row r="189" spans="1:10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Koreksi'!$D$5:$D$92,'0200'!A180,'Daftar Koreksi'!$G$5:$G$92,"Kontruksi Dalam Pengerjaan",'Daftar Koreksi'!$H$5:$H$92,"&gt;0")</f>
        <v>0</v>
      </c>
      <c r="F189" s="25">
        <f>SUMIFS('Daftar Koreksi'!$H$5:$H$92,'Daftar Koreksi'!$D$5:$D$92,'0200'!A180,'Daftar Koreksi'!$G$5:$G$92,"Kontruksi Dalam Pengerjaan",'Daftar Koreksi'!$H$5:$H$92,"&lt;0")-SUMIFS('Daftar Koreksi'!$H$5:$H$92,'Daftar Koreksi'!$D$5:$D$92,'0200'!A180,'Daftar Koreksi'!$G$5:$G$92,"Kontruksi Dalam Pengerjaan",'Daftar Koreksi'!$H$5:$H$92,"&lt;0")-SUMIFS('Daftar Koreksi'!$H$5:$H$92,'Daftar Koreksi'!$D$5:$D$92,'0200'!A180,'Daftar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10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Koreksi'!$D$5:$D$92,'0200'!A180,'Daftar Koreksi'!$G$5:$G$92,"Aset Tak Berwujud",'Daftar Koreksi'!$H$5:$H$92,"&gt;0")</f>
        <v>0</v>
      </c>
      <c r="F190" s="25">
        <f>SUMIFS('Daftar Koreksi'!$H$5:$H$92,'Daftar Koreksi'!$D$5:$D$92,'0200'!A180,'Daftar Koreksi'!$G$5:$G$92,"Aset Tak Berwujud",'Daftar Koreksi'!$H$5:$H$92,"&lt;0")-SUMIFS('Daftar Koreksi'!$H$5:$H$92,'Daftar Koreksi'!$D$5:$D$92,'0200'!A180,'Daftar Koreksi'!$G$5:$G$92,"Aset Tak Berwujud",'Daftar Koreksi'!$H$5:$H$92,"&lt;0")-SUMIFS('Daftar Koreksi'!$H$5:$H$92,'Daftar Koreksi'!$D$5:$D$92,'0200'!A180,'Daftar Koreksi'!$G$5:$G$92,"Aset Tak Berwujud",'Daftar Koreksi'!$H$5:$H$92,"&lt;0")</f>
        <v>0</v>
      </c>
      <c r="G190" s="17">
        <f t="shared" si="8"/>
        <v>0</v>
      </c>
      <c r="H190" s="122"/>
    </row>
    <row r="191" spans="1:10" ht="21.95" customHeight="1">
      <c r="A191" s="14"/>
      <c r="B191" s="14"/>
      <c r="C191" s="16" t="s">
        <v>1173</v>
      </c>
      <c r="D191" s="17">
        <f>VLOOKUP(A180,'Neraca Unaudited SIMAK'!$A$2:$S$10004,11,FALSE)</f>
        <v>136612900</v>
      </c>
      <c r="E191" s="25">
        <f>SUMIFS('Daftar Koreksi'!$H$5:$H$92,'Daftar Koreksi'!$D$5:$D$92,'0200'!A180,'Daftar Koreksi'!$G$5:$G$92,"Aset Henti Guna",'Daftar Koreksi'!$H$5:$H$92,"&gt;0")</f>
        <v>0</v>
      </c>
      <c r="F191" s="25">
        <f>SUMIFS('Daftar Koreksi'!$H$5:$H$92,'Daftar Koreksi'!$D$5:$D$92,'0200'!A180,'Daftar Koreksi'!$G$5:$G$92,"Aset Henti Guna",'Daftar Koreksi'!$H$5:$H$92,"&lt;0")-SUMIFS('Daftar Koreksi'!$H$5:$H$92,'Daftar Koreksi'!$D$5:$D$92,'0200'!A180,'Daftar Koreksi'!$G$5:$G$92,"Aset Henti Guna",'Daftar Koreksi'!$H$5:$H$92,"&lt;0")-SUMIFS('Daftar Koreksi'!$H$5:$H$92,'Daftar Koreksi'!$D$5:$D$92,'0200'!A180,'Daftar Koreksi'!$G$5:$G$92,"Aset Henti Guna",'Daftar Koreksi'!$H$5:$H$92,"&lt;0")</f>
        <v>0</v>
      </c>
      <c r="G191" s="17">
        <f t="shared" si="8"/>
        <v>136612900</v>
      </c>
      <c r="H191" s="122"/>
    </row>
    <row r="192" spans="1:10" ht="21.95" customHeight="1">
      <c r="A192" s="14"/>
      <c r="B192" s="14"/>
      <c r="C192" s="18" t="s">
        <v>2093</v>
      </c>
      <c r="D192" s="19">
        <f>VLOOKUP(A180,'Neraca Unaudited SIMAK'!$A$2:$S$10004,12,FALSE)</f>
        <v>24620338768</v>
      </c>
      <c r="E192" s="19">
        <f>SUM(E183:E191)</f>
        <v>0</v>
      </c>
      <c r="F192" s="19">
        <f>SUM(F183:F191)</f>
        <v>0</v>
      </c>
      <c r="G192" s="19">
        <f t="shared" si="8"/>
        <v>24620338768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-1725538309</v>
      </c>
      <c r="E193" s="25">
        <f>SUMIFS('Daftar Koreksi'!$I$5:$I$92,'Daftar Koreksi'!$D$5:$D$92,'0200'!A180,'Daftar Koreksi'!$G$5:$G$92,"Peralatan dan mesin",'Daftar Koreksi'!$I$5:$I$92,"&gt;0")</f>
        <v>0</v>
      </c>
      <c r="F193" s="25">
        <f>SUMIFS('Daftar Koreksi'!$I$5:$I$92,'Daftar Koreksi'!$D$5:$D$92,'0200'!A180,'Daftar Koreksi'!$G$5:$G$92,"Peralatan dan mesin",'Daftar Koreksi'!$I$5:$I$92,"&lt;0")-SUMIFS('Daftar Koreksi'!$I$5:$I$92,'Daftar Koreksi'!$D$5:$D$92,'0200'!A180,'Daftar Koreksi'!$G$5:$G$92,"Peralatan dan mesin",'Daftar Koreksi'!$I$5:$I$92,"&lt;0")-SUMIFS('Daftar Koreksi'!$I$5:$I$92,'Daftar Koreksi'!$D$5:$D$92,'0200'!A180,'Daftar Koreksi'!$G$5:$G$92,"Peralatan dan mesin",'Daftar Koreksi'!$I$5:$I$92,"&lt;0")</f>
        <v>0</v>
      </c>
      <c r="G193" s="17">
        <f t="shared" si="8"/>
        <v>-1725538309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-2158517180</v>
      </c>
      <c r="E194" s="25">
        <f>SUMIFS('Daftar Koreksi'!$I$5:$I$92,'Daftar Koreksi'!$D$5:$D$92,'0200'!A180,'Daftar Koreksi'!$G$5:$G$92,"Gedung dan Bangunan",'Daftar Koreksi'!$I$5:$I$92,"&gt;0")</f>
        <v>0</v>
      </c>
      <c r="F194" s="25">
        <f>SUMIFS('Daftar Koreksi'!$I$5:$I$92,'Daftar Koreksi'!$D$5:$D$92,'0200'!A180,'Daftar Koreksi'!$G$5:$G$92,"Gedung dan Bangunan",'Daftar Koreksi'!$I$5:$I$92,"&lt;0")-SUMIFS('Daftar Koreksi'!$I$5:$I$92,'Daftar Koreksi'!$D$5:$D$92,'0200'!A180,'Daftar Koreksi'!$G$5:$G$92,"Gedung dan Bangunan",'Daftar Koreksi'!$I$5:$I$92,"&lt;0")-SUMIFS('Daftar Koreksi'!$I$5:$I$92,'Daftar Koreksi'!$D$5:$D$92,'0200'!A180,'Daftar Koreksi'!$G$5:$G$92,"Gedung dan Bangunan",'Daftar Koreksi'!$I$5:$I$92,"&lt;0")</f>
        <v>0</v>
      </c>
      <c r="G194" s="17">
        <f t="shared" si="8"/>
        <v>-2158517180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-871158</v>
      </c>
      <c r="E195" s="25">
        <f>SUMIFS('Daftar Koreksi'!$I$5:$I$92,'Daftar Koreksi'!$D$5:$D$92,'0200'!A180,'Daftar Koreksi'!$G$5:$G$92,"Jalan Irigasi Jaringan",'Daftar Koreksi'!$I$5:$I$92,"&gt;0")</f>
        <v>0</v>
      </c>
      <c r="F195" s="25">
        <f>SUMIFS('Daftar Koreksi'!$I$5:$I$92,'Daftar Koreksi'!$D$5:$D$92,'0200'!A180,'Daftar Koreksi'!$G$5:$G$92,"Jalan Irigasi Jaringan",'Daftar Koreksi'!$I$5:$I$92,"&lt;0")-SUMIFS('Daftar Koreksi'!$I$5:$I$92,'Daftar Koreksi'!$D$5:$D$92,'0200'!A180,'Daftar Koreksi'!$G$5:$G$92,"Jalan Irigasi Jaringan",'Daftar Koreksi'!$I$5:$I$92,"&lt;0")-SUMIFS('Daftar Koreksi'!$I$5:$I$92,'Daftar Koreksi'!$D$5:$D$92,'0200'!A180,'Daftar Koreksi'!$G$5:$G$92,"Jalan Irigasi Jaringan",'Daftar Koreksi'!$I$5:$I$92,"&lt;0")</f>
        <v>0</v>
      </c>
      <c r="G195" s="17">
        <f t="shared" si="8"/>
        <v>-871158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Koreksi'!$D$5:$D$92,'0200'!A180,'Daftar Koreksi'!$G$5:$G$92,"Aset Tetap Lainnya",'Daftar Koreksi'!$I$5:$I$92,"&gt;0")</f>
        <v>0</v>
      </c>
      <c r="F196" s="25">
        <f>SUMIFS('Daftar Koreksi'!$I$5:$I$92,'Daftar Koreksi'!$D$5:$D$92,'0200'!A180,'Daftar Koreksi'!$G$5:$G$92,"Aset Tetap Lainnya",'Daftar Koreksi'!$I$5:$I$92,"&lt;0")-SUMIFS('Daftar Koreksi'!$I$5:$I$92,'Daftar Koreksi'!$D$5:$D$92,'0200'!A180,'Daftar Koreksi'!$G$5:$G$92,"Aset Tetap Lainnya",'Daftar Koreksi'!$I$5:$I$92,"&lt;0")-SUMIFS('Daftar Koreksi'!$I$5:$I$92,'Daftar Koreksi'!$D$5:$D$92,'0200'!A180,'Daftar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-115704960</v>
      </c>
      <c r="E197" s="25">
        <f>SUMIFS('Daftar Koreksi'!$I$5:$I$92,'Daftar Koreksi'!$D$5:$D$92,'0200'!A180,'Daftar Koreksi'!$G$5:$G$92,"Aset Henti Guna",'Daftar Koreksi'!$I$5:$I$92,"&gt;0")</f>
        <v>0</v>
      </c>
      <c r="F197" s="25">
        <f>SUMIFS('Daftar Koreksi'!$I$5:$I$92,'Daftar Koreksi'!$D$5:$D$92,'0200'!A180,'Daftar Koreksi'!$G$5:$G$92,"Aset Henti Guna",'Daftar Koreksi'!$I$5:$I$92,"&lt;0")-SUMIFS('Daftar Koreksi'!$I$5:$I$92,'Daftar Koreksi'!$D$5:$D$92,'0200'!A180,'Daftar Koreksi'!$G$5:$G$92,"Aset Henti Guna",'Daftar Koreksi'!$I$5:$I$92,"&lt;0")-SUMIFS('Daftar Koreksi'!$I$5:$I$92,'Daftar Koreksi'!$D$5:$D$92,'0200'!A180,'Daftar Koreksi'!$G$5:$G$92,"Aset Henti Guna",'Daftar Koreksi'!$I$5:$I$92,"&lt;0")</f>
        <v>0</v>
      </c>
      <c r="G197" s="17">
        <f t="shared" si="8"/>
        <v>-115704960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-4000631607</v>
      </c>
      <c r="E198" s="19">
        <f>SUM(E193:E197)</f>
        <v>0</v>
      </c>
      <c r="F198" s="19">
        <f>SUM(F193:F197)</f>
        <v>0</v>
      </c>
      <c r="G198" s="19">
        <f t="shared" si="8"/>
        <v>-4000631607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20619707161</v>
      </c>
      <c r="E199" s="19">
        <f>E198+E192</f>
        <v>0</v>
      </c>
      <c r="F199" s="19">
        <f>F198+F192</f>
        <v>0</v>
      </c>
      <c r="G199" s="19">
        <f t="shared" si="8"/>
        <v>20619707161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005010200097631000KD</v>
      </c>
      <c r="B202" s="11" t="str">
        <f>P10</f>
        <v>PN. Subang</v>
      </c>
      <c r="C202" s="12" t="str">
        <f>A202&amp;" "&amp;B202</f>
        <v>005010200097631000KD PN. Subang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1824050</v>
      </c>
      <c r="E205" s="25">
        <f>SUMIFS('Daftar Koreksi'!$H$5:$H$92,'Daftar Koreksi'!$D$5:$D$92,'0200'!A202,'Daftar Koreksi'!$G$5:$G$92,"Persediaan",'Daftar Koreksi'!$H$5:$H$92,"&gt;0")</f>
        <v>0</v>
      </c>
      <c r="F205" s="25">
        <f>SUMIFS('Daftar Koreksi'!$H$5:$H$92,'Daftar Koreksi'!$D$5:$D$92,'0200'!A202,'Daftar Koreksi'!$G$5:$G$92,"Persediaan",'Daftar Koreksi'!$H$5:$H$92,"&lt;0")-SUMIFS('Daftar Koreksi'!$H$5:$H$92,'Daftar Koreksi'!$D$5:$D$92,'0200'!A202,'Daftar Koreksi'!$G$5:$G$92,"Persediaan",'Daftar Koreksi'!$H$5:$H$92,"&lt;0")-SUMIFS('Daftar Koreksi'!$H$5:$H$92,'Daftar Koreksi'!$D$5:$D$92,'0200'!A202,'Daftar Koreksi'!$G$5:$G$92,"Persediaan",'Daftar Koreksi'!$H$5:$H$92,"&lt;0")</f>
        <v>0</v>
      </c>
      <c r="G205" s="17">
        <f>D205+E205-F205</f>
        <v>1824050</v>
      </c>
      <c r="H205" s="121" t="str">
        <f>IF(ISNA(VLOOKUP(A202,'Mutasi Neraca'!$A$3:$S$914,19,FALSE)),"-",VLOOKUP(A202,'Mutasi Neraca'!$A$3:$S$914,19,FALSE))</f>
        <v>TP. No 3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2114920200</v>
      </c>
      <c r="E206" s="25">
        <f>SUMIFS('Daftar Koreksi'!$H$5:$H$92,'Daftar Koreksi'!$D$5:$D$92,'0200'!A202,'Daftar Koreksi'!$G$5:$G$92,"Tanah",'Daftar Koreksi'!$H$5:$H$92,"&gt;0")</f>
        <v>0</v>
      </c>
      <c r="F206" s="25">
        <f>SUMIFS('Daftar Koreksi'!$H$5:$H$92,'Daftar Koreksi'!$D$5:$D$92,'0200'!A202,'Daftar Koreksi'!$G$5:$G$92,"Tanah",'Daftar Koreksi'!$H$5:$H$92,"&lt;0")-SUMIFS('Daftar Koreksi'!$H$5:$H$92,'Daftar Koreksi'!$D$5:$D$92,'0200'!A202,'Daftar Koreksi'!$G$5:$G$92,"Tanah",'Daftar Koreksi'!$H$5:$H$92,"&lt;0")-SUMIFS('Daftar Koreksi'!$H$5:$H$92,'Daftar Koreksi'!$D$5:$D$92,'0200'!A202,'Daftar Koreksi'!$G$5:$G$92,"Tanah",'Daftar Koreksi'!$H$5:$H$92,"&lt;0")</f>
        <v>0</v>
      </c>
      <c r="G206" s="17">
        <f t="shared" ref="G206:G222" si="9">D206+E206-F206</f>
        <v>2114920200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1880766765</v>
      </c>
      <c r="E207" s="25">
        <f>SUMIFS('Daftar Koreksi'!$H$5:$H$92,'Daftar Koreksi'!$D$5:$D$92,'0200'!A202,'Daftar Koreksi'!$G$5:$G$92,"Peralatan dan mesin",'Daftar Koreksi'!$H$5:$H$92,"&gt;0")</f>
        <v>0</v>
      </c>
      <c r="F207" s="25">
        <f>SUMIFS('Daftar Koreksi'!$H$5:$H$92,'Daftar Koreksi'!$D$5:$D$92,'0200'!A202,'Daftar Koreksi'!$G$5:$G$92,"Peralatan dan mesin",'Daftar Koreksi'!$H$5:$H$92,"&lt;0")-SUMIFS('Daftar Koreksi'!$H$5:$H$92,'Daftar Koreksi'!$D$5:$D$92,'0200'!A202,'Daftar Koreksi'!$G$5:$G$92,"Peralatan dan mesin",'Daftar Koreksi'!$H$5:$H$92,"&lt;0")-SUMIFS('Daftar Koreksi'!$H$5:$H$92,'Daftar Koreksi'!$D$5:$D$92,'0200'!A202,'Daftar Koreksi'!$G$5:$G$92,"Peralatan dan mesin",'Daftar Koreksi'!$H$5:$H$92,"&lt;0")</f>
        <v>0</v>
      </c>
      <c r="G207" s="17">
        <f t="shared" si="9"/>
        <v>1880766765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3727772000</v>
      </c>
      <c r="E208" s="25">
        <f>SUMIFS('Daftar Koreksi'!$H$5:$H$92,'Daftar Koreksi'!$D$5:$D$92,'0200'!A202,'Daftar Koreksi'!$G$5:$G$92,"Gedung dan Bangunan",'Daftar Koreksi'!$H$5:$H$92,"&gt;0")</f>
        <v>0</v>
      </c>
      <c r="F208" s="25">
        <f>SUMIFS('Daftar Koreksi'!$H$5:$H$92,'Daftar Koreksi'!$D$5:$D$92,'0200'!A202,'Daftar Koreksi'!$G$5:$G$92,"Gedung dan Bangunan",'Daftar Koreksi'!$H$5:$H$92,"&lt;0")-SUMIFS('Daftar Koreksi'!$H$5:$H$92,'Daftar Koreksi'!$D$5:$D$92,'0200'!A202,'Daftar Koreksi'!$G$5:$G$92,"Gedung dan Bangunan",'Daftar Koreksi'!$H$5:$H$92,"&lt;0")-SUMIFS('Daftar Koreksi'!$H$5:$H$92,'Daftar Koreksi'!$D$5:$D$92,'0200'!A202,'Daftar Koreksi'!$G$5:$G$92,"Gedung dan Bangunan",'Daftar Koreksi'!$H$5:$H$92,"&lt;0")</f>
        <v>0</v>
      </c>
      <c r="G208" s="17">
        <f t="shared" si="9"/>
        <v>3727772000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219144000</v>
      </c>
      <c r="E209" s="25">
        <f>SUMIFS('Daftar Koreksi'!$H$5:$H$92,'Daftar Koreksi'!$D$5:$D$92,'0200'!A202,'Daftar Koreksi'!$G$5:$G$92,"Jalan Irigasi Jaringan",'Daftar Koreksi'!$H$5:$H$92,"&gt;0")</f>
        <v>0</v>
      </c>
      <c r="F209" s="25">
        <f>SUMIFS('Daftar Koreksi'!$H$5:$H$92,'Daftar Koreksi'!$D$5:$D$92,'0200'!A202,'Daftar Koreksi'!$G$5:$G$92,"Jalan Irigasi Jaringan",'Daftar Koreksi'!$H$5:$H$92,"&lt;0")-SUMIFS('Daftar Koreksi'!$H$5:$H$92,'Daftar Koreksi'!$D$5:$D$92,'0200'!A202,'Daftar Koreksi'!$G$5:$G$92,"Jalan Irigasi Jaringan",'Daftar Koreksi'!$H$5:$H$92,"&lt;0")-SUMIFS('Daftar Koreksi'!$H$5:$H$92,'Daftar Koreksi'!$D$5:$D$92,'0200'!A202,'Daftar Koreksi'!$G$5:$G$92,"Jalan Irigasi Jaringan",'Daftar Koreksi'!$H$5:$H$92,"&lt;0")</f>
        <v>0</v>
      </c>
      <c r="G209" s="17">
        <f t="shared" si="9"/>
        <v>219144000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8871631</v>
      </c>
      <c r="E210" s="25">
        <f>SUMIFS('Daftar Koreksi'!$H$5:$H$92,'Daftar Koreksi'!$D$5:$D$92,'0200'!A202,'Daftar Koreksi'!$G$5:$G$92,"Aset Tetap Lainnya",'Daftar Koreksi'!$H$5:$H$92,"&gt;0")</f>
        <v>4411622</v>
      </c>
      <c r="F210" s="25">
        <f>SUMIFS('Daftar Koreksi'!$H$5:$H$92,'Daftar Koreksi'!$D$5:$D$92,'0200'!A202,'Daftar Koreksi'!$G$5:$G$92,"Aset Tetap Lainnya",'Daftar Koreksi'!$H$5:$H$92,"&lt;0")-SUMIFS('Daftar Koreksi'!$H$5:$H$92,'Daftar Koreksi'!$D$5:$D$92,'0200'!A202,'Daftar Koreksi'!$G$5:$G$92,"Aset Tetap Lainnya",'Daftar Koreksi'!$H$5:$H$92,"&lt;0")-SUMIFS('Daftar Koreksi'!$H$5:$H$92,'Daftar Koreksi'!$D$5:$D$92,'0200'!A202,'Daftar Koreksi'!$G$5:$G$92,"Aset Tetap Lainnya",'Daftar Koreksi'!$H$5:$H$92,"&lt;0")</f>
        <v>0</v>
      </c>
      <c r="G210" s="17">
        <f t="shared" si="9"/>
        <v>13283253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Koreksi'!$D$5:$D$92,'0200'!A202,'Daftar Koreksi'!$G$5:$G$92,"Kontruksi Dalam Pengerjaan",'Daftar Koreksi'!$H$5:$H$92,"&gt;0")</f>
        <v>0</v>
      </c>
      <c r="F211" s="25">
        <f>SUMIFS('Daftar Koreksi'!$H$5:$H$92,'Daftar Koreksi'!$D$5:$D$92,'0200'!A202,'Daftar Koreksi'!$G$5:$G$92,"Kontruksi Dalam Pengerjaan",'Daftar Koreksi'!$H$5:$H$92,"&lt;0")-SUMIFS('Daftar Koreksi'!$H$5:$H$92,'Daftar Koreksi'!$D$5:$D$92,'0200'!A202,'Daftar Koreksi'!$G$5:$G$92,"Kontruksi Dalam Pengerjaan",'Daftar Koreksi'!$H$5:$H$92,"&lt;0")-SUMIFS('Daftar Koreksi'!$H$5:$H$92,'Daftar Koreksi'!$D$5:$D$92,'0200'!A202,'Daftar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8800000</v>
      </c>
      <c r="E212" s="25">
        <f>SUMIFS('Daftar Koreksi'!$H$5:$H$92,'Daftar Koreksi'!$D$5:$D$92,'0200'!A202,'Daftar Koreksi'!$G$5:$G$92,"Aset Tak Berwujud",'Daftar Koreksi'!$H$5:$H$92,"&gt;0")</f>
        <v>0</v>
      </c>
      <c r="F212" s="25">
        <f>SUMIFS('Daftar Koreksi'!$H$5:$H$92,'Daftar Koreksi'!$D$5:$D$92,'0200'!A202,'Daftar Koreksi'!$G$5:$G$92,"Aset Tak Berwujud",'Daftar Koreksi'!$H$5:$H$92,"&lt;0")-SUMIFS('Daftar Koreksi'!$H$5:$H$92,'Daftar Koreksi'!$D$5:$D$92,'0200'!A202,'Daftar Koreksi'!$G$5:$G$92,"Aset Tak Berwujud",'Daftar Koreksi'!$H$5:$H$92,"&lt;0")-SUMIFS('Daftar Koreksi'!$H$5:$H$92,'Daftar Koreksi'!$D$5:$D$92,'0200'!A202,'Daftar Koreksi'!$G$5:$G$92,"Aset Tak Berwujud",'Daftar Koreksi'!$H$5:$H$92,"&lt;0")</f>
        <v>0</v>
      </c>
      <c r="G212" s="17">
        <f t="shared" si="9"/>
        <v>8800000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144034000</v>
      </c>
      <c r="E213" s="25">
        <f>SUMIFS('Daftar Koreksi'!$H$5:$H$92,'Daftar Koreksi'!$D$5:$D$92,'0200'!A202,'Daftar Koreksi'!$G$5:$G$92,"Aset Henti Guna",'Daftar Koreksi'!$H$5:$H$92,"&gt;0")</f>
        <v>0</v>
      </c>
      <c r="F213" s="25">
        <f>SUMIFS('Daftar Koreksi'!$H$5:$H$92,'Daftar Koreksi'!$D$5:$D$92,'0200'!A202,'Daftar Koreksi'!$G$5:$G$92,"Aset Henti Guna",'Daftar Koreksi'!$H$5:$H$92,"&lt;0")-SUMIFS('Daftar Koreksi'!$H$5:$H$92,'Daftar Koreksi'!$D$5:$D$92,'0200'!A202,'Daftar Koreksi'!$G$5:$G$92,"Aset Henti Guna",'Daftar Koreksi'!$H$5:$H$92,"&lt;0")-SUMIFS('Daftar Koreksi'!$H$5:$H$92,'Daftar Koreksi'!$D$5:$D$92,'0200'!A202,'Daftar Koreksi'!$G$5:$G$92,"Aset Henti Guna",'Daftar Koreksi'!$H$5:$H$92,"&lt;0")</f>
        <v>0</v>
      </c>
      <c r="G213" s="17">
        <f t="shared" si="9"/>
        <v>144034000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8106132646</v>
      </c>
      <c r="E214" s="19">
        <f>SUM(E205:E213)</f>
        <v>4411622</v>
      </c>
      <c r="F214" s="19">
        <f>SUM(F205:F213)</f>
        <v>0</v>
      </c>
      <c r="G214" s="19">
        <f t="shared" si="9"/>
        <v>8110544268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-1681534623</v>
      </c>
      <c r="E215" s="25">
        <f>SUMIFS('Daftar Koreksi'!$I$5:$I$92,'Daftar Koreksi'!$D$5:$D$92,'0200'!A202,'Daftar Koreksi'!$G$5:$G$92,"Peralatan dan mesin",'Daftar Koreksi'!$I$5:$I$92,"&gt;0")</f>
        <v>0</v>
      </c>
      <c r="F215" s="25">
        <f>SUMIFS('Daftar Koreksi'!$I$5:$I$92,'Daftar Koreksi'!$D$5:$D$92,'0200'!A202,'Daftar Koreksi'!$G$5:$G$92,"Peralatan dan mesin",'Daftar Koreksi'!$I$5:$I$92,"&lt;0")-SUMIFS('Daftar Koreksi'!$I$5:$I$92,'Daftar Koreksi'!$D$5:$D$92,'0200'!A202,'Daftar Koreksi'!$G$5:$G$92,"Peralatan dan mesin",'Daftar Koreksi'!$I$5:$I$92,"&lt;0")-SUMIFS('Daftar Koreksi'!$I$5:$I$92,'Daftar Koreksi'!$D$5:$D$92,'0200'!A202,'Daftar Koreksi'!$G$5:$G$92,"Peralatan dan mesin",'Daftar Koreksi'!$I$5:$I$92,"&lt;0")</f>
        <v>0</v>
      </c>
      <c r="G215" s="17">
        <f t="shared" si="9"/>
        <v>-1681534623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-1014069470</v>
      </c>
      <c r="E216" s="25">
        <f>SUMIFS('Daftar Koreksi'!$I$5:$I$92,'Daftar Koreksi'!$D$5:$D$92,'0200'!A202,'Daftar Koreksi'!$G$5:$G$92,"Gedung dan Bangunan",'Daftar Koreksi'!$I$5:$I$92,"&gt;0")</f>
        <v>0</v>
      </c>
      <c r="F216" s="25">
        <f>SUMIFS('Daftar Koreksi'!$I$5:$I$92,'Daftar Koreksi'!$D$5:$D$92,'0200'!A202,'Daftar Koreksi'!$G$5:$G$92,"Gedung dan Bangunan",'Daftar Koreksi'!$I$5:$I$92,"&lt;0")-SUMIFS('Daftar Koreksi'!$I$5:$I$92,'Daftar Koreksi'!$D$5:$D$92,'0200'!A202,'Daftar Koreksi'!$G$5:$G$92,"Gedung dan Bangunan",'Daftar Koreksi'!$I$5:$I$92,"&lt;0")-SUMIFS('Daftar Koreksi'!$I$5:$I$92,'Daftar Koreksi'!$D$5:$D$92,'0200'!A202,'Daftar Koreksi'!$G$5:$G$92,"Gedung dan Bangunan",'Daftar Koreksi'!$I$5:$I$92,"&lt;0")</f>
        <v>0</v>
      </c>
      <c r="G216" s="17">
        <f t="shared" si="9"/>
        <v>-1014069470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-71700400</v>
      </c>
      <c r="E217" s="25">
        <f>SUMIFS('Daftar Koreksi'!$I$5:$I$92,'Daftar Koreksi'!$D$5:$D$92,'0200'!A202,'Daftar Koreksi'!$G$5:$G$92,"Jalan Irigasi Jaringan",'Daftar Koreksi'!$I$5:$I$92,"&gt;0")</f>
        <v>0</v>
      </c>
      <c r="F217" s="25">
        <f>SUMIFS('Daftar Koreksi'!$I$5:$I$92,'Daftar Koreksi'!$D$5:$D$92,'0200'!A202,'Daftar Koreksi'!$G$5:$G$92,"Jalan Irigasi Jaringan",'Daftar Koreksi'!$I$5:$I$92,"&lt;0")-SUMIFS('Daftar Koreksi'!$I$5:$I$92,'Daftar Koreksi'!$D$5:$D$92,'0200'!A202,'Daftar Koreksi'!$G$5:$G$92,"Jalan Irigasi Jaringan",'Daftar Koreksi'!$I$5:$I$92,"&lt;0")-SUMIFS('Daftar Koreksi'!$I$5:$I$92,'Daftar Koreksi'!$D$5:$D$92,'0200'!A202,'Daftar Koreksi'!$G$5:$G$92,"Jalan Irigasi Jaringan",'Daftar Koreksi'!$I$5:$I$92,"&lt;0")</f>
        <v>0</v>
      </c>
      <c r="G217" s="17">
        <f t="shared" si="9"/>
        <v>-71700400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Koreksi'!$D$5:$D$92,'0200'!A202,'Daftar Koreksi'!$G$5:$G$92,"Aset Tetap Lainnya",'Daftar Koreksi'!$I$5:$I$92,"&gt;0")</f>
        <v>0</v>
      </c>
      <c r="F218" s="25">
        <f>SUMIFS('Daftar Koreksi'!$I$5:$I$92,'Daftar Koreksi'!$D$5:$D$92,'0200'!A202,'Daftar Koreksi'!$G$5:$G$92,"Aset Tetap Lainnya",'Daftar Koreksi'!$I$5:$I$92,"&lt;0")-SUMIFS('Daftar Koreksi'!$I$5:$I$92,'Daftar Koreksi'!$D$5:$D$92,'0200'!A202,'Daftar Koreksi'!$G$5:$G$92,"Aset Tetap Lainnya",'Daftar Koreksi'!$I$5:$I$92,"&lt;0")-SUMIFS('Daftar Koreksi'!$I$5:$I$92,'Daftar Koreksi'!$D$5:$D$92,'0200'!A202,'Daftar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-144034000</v>
      </c>
      <c r="E219" s="25">
        <f>SUMIFS('Daftar Koreksi'!$I$5:$I$92,'Daftar Koreksi'!$D$5:$D$92,'0200'!A202,'Daftar Koreksi'!$G$5:$G$92,"Aset Henti Guna",'Daftar Koreksi'!$I$5:$I$92,"&gt;0")</f>
        <v>0</v>
      </c>
      <c r="F219" s="25">
        <f>SUMIFS('Daftar Koreksi'!$I$5:$I$92,'Daftar Koreksi'!$D$5:$D$92,'0200'!A202,'Daftar Koreksi'!$G$5:$G$92,"Aset Henti Guna",'Daftar Koreksi'!$I$5:$I$92,"&lt;0")-SUMIFS('Daftar Koreksi'!$I$5:$I$92,'Daftar Koreksi'!$D$5:$D$92,'0200'!A202,'Daftar Koreksi'!$G$5:$G$92,"Aset Henti Guna",'Daftar Koreksi'!$I$5:$I$92,"&lt;0")-SUMIFS('Daftar Koreksi'!$I$5:$I$92,'Daftar Koreksi'!$D$5:$D$92,'0200'!A202,'Daftar Koreksi'!$G$5:$G$92,"Aset Henti Guna",'Daftar Koreksi'!$I$5:$I$92,"&lt;0")</f>
        <v>0</v>
      </c>
      <c r="G219" s="17">
        <f t="shared" si="9"/>
        <v>-144034000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-2911338493</v>
      </c>
      <c r="E220" s="19">
        <f>SUM(E215:E219)</f>
        <v>0</v>
      </c>
      <c r="F220" s="19">
        <f>SUM(F215:F219)</f>
        <v>0</v>
      </c>
      <c r="G220" s="19">
        <f t="shared" si="9"/>
        <v>-2911338493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5194794153</v>
      </c>
      <c r="E221" s="19">
        <f>E220+E214</f>
        <v>4411622</v>
      </c>
      <c r="F221" s="19">
        <f>F220+F214</f>
        <v>0</v>
      </c>
      <c r="G221" s="19">
        <f t="shared" si="9"/>
        <v>5199205775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005010200097645000KD</v>
      </c>
      <c r="B224" s="11" t="str">
        <f>P11</f>
        <v>PN. Bogor</v>
      </c>
      <c r="C224" s="12" t="str">
        <f>A224&amp;" "&amp;B224</f>
        <v>005010200097645000KD PN. Bogor</v>
      </c>
      <c r="D224" s="13"/>
      <c r="E224" s="13"/>
      <c r="F224" s="13"/>
      <c r="G224" s="13"/>
      <c r="H224" s="11"/>
    </row>
    <row r="225" spans="1:10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10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10" ht="21.95" customHeight="1">
      <c r="A227" s="14"/>
      <c r="B227" s="14"/>
      <c r="C227" s="16" t="s">
        <v>1165</v>
      </c>
      <c r="D227" s="17">
        <f>VLOOKUP(A224,'Neraca Unaudited SIMAK'!$A$2:$S$10004,3,FALSE)</f>
        <v>10000</v>
      </c>
      <c r="E227" s="25">
        <f>SUMIFS('Daftar Koreksi'!$H$5:$H$92,'Daftar Koreksi'!$D$5:$D$92,'0200'!A224,'Daftar Koreksi'!$G$5:$G$92,"Persediaan",'Daftar Koreksi'!$H$5:$H$92,"&gt;0")</f>
        <v>0</v>
      </c>
      <c r="F227" s="25">
        <f>SUMIFS('Daftar Koreksi'!$H$5:$H$92,'Daftar Koreksi'!$D$5:$D$92,'0200'!A224,'Daftar Koreksi'!$G$5:$G$92,"Persediaan",'Daftar Koreksi'!$H$5:$H$92,"&lt;0")-SUMIFS('Daftar Koreksi'!$H$5:$H$92,'Daftar Koreksi'!$D$5:$D$92,'0200'!A224,'Daftar Koreksi'!$G$5:$G$92,"Persediaan",'Daftar Koreksi'!$H$5:$H$92,"&lt;0")-SUMIFS('Daftar Koreksi'!$H$5:$H$92,'Daftar Koreksi'!$D$5:$D$92,'0200'!A224,'Daftar Koreksi'!$G$5:$G$92,"Persediaan",'Daftar Koreksi'!$H$5:$H$92,"&lt;0")</f>
        <v>0</v>
      </c>
      <c r="G227" s="17">
        <f>D227+E227-F227</f>
        <v>10000</v>
      </c>
      <c r="H227" s="121" t="str">
        <f>IF(ISNA(VLOOKUP(A224,'Mutasi Neraca'!$A$3:$S$914,19,FALSE)),"-",VLOOKUP(A224,'Mutasi Neraca'!$A$3:$S$914,19,FALSE))</f>
        <v>TP. No 3</v>
      </c>
      <c r="I227" s="28"/>
      <c r="J227" s="28"/>
    </row>
    <row r="228" spans="1:10" ht="21.95" customHeight="1">
      <c r="A228" s="14"/>
      <c r="B228" s="14"/>
      <c r="C228" s="16" t="s">
        <v>1166</v>
      </c>
      <c r="D228" s="17">
        <f>VLOOKUP(A224,'Neraca Unaudited SIMAK'!$A$2:$S$10004,4,FALSE)</f>
        <v>21002903000</v>
      </c>
      <c r="E228" s="25">
        <f>SUMIFS('Daftar Koreksi'!$H$5:$H$92,'Daftar Koreksi'!$D$5:$D$92,'0200'!A224,'Daftar Koreksi'!$G$5:$G$92,"Tanah",'Daftar Koreksi'!$H$5:$H$92,"&gt;0")</f>
        <v>0</v>
      </c>
      <c r="F228" s="25">
        <f>SUMIFS('Daftar Koreksi'!$H$5:$H$92,'Daftar Koreksi'!$D$5:$D$92,'0200'!A224,'Daftar Koreksi'!$G$5:$G$92,"Tanah",'Daftar Koreksi'!$H$5:$H$92,"&lt;0")-SUMIFS('Daftar Koreksi'!$H$5:$H$92,'Daftar Koreksi'!$D$5:$D$92,'0200'!A224,'Daftar Koreksi'!$G$5:$G$92,"Tanah",'Daftar Koreksi'!$H$5:$H$92,"&lt;0")-SUMIFS('Daftar Koreksi'!$H$5:$H$92,'Daftar Koreksi'!$D$5:$D$92,'0200'!A224,'Daftar Koreksi'!$G$5:$G$92,"Tanah",'Daftar Koreksi'!$H$5:$H$92,"&lt;0")</f>
        <v>0</v>
      </c>
      <c r="G228" s="17">
        <f t="shared" ref="G228:G244" si="10">D228+E228-F228</f>
        <v>21002903000</v>
      </c>
      <c r="H228" s="122"/>
      <c r="I228" s="28"/>
      <c r="J228" s="28"/>
    </row>
    <row r="229" spans="1:10" ht="21.95" customHeight="1">
      <c r="A229" s="14"/>
      <c r="B229" s="14"/>
      <c r="C229" s="16" t="s">
        <v>1167</v>
      </c>
      <c r="D229" s="17">
        <f>VLOOKUP(A224,'Neraca Unaudited SIMAK'!$A$2:$S$10004,5,FALSE)</f>
        <v>1783180923</v>
      </c>
      <c r="E229" s="25">
        <f>SUMIFS('Daftar Koreksi'!$H$5:$H$92,'Daftar Koreksi'!$D$5:$D$92,'0200'!A224,'Daftar Koreksi'!$G$5:$G$92,"Peralatan dan mesin",'Daftar Koreksi'!$H$5:$H$92,"&gt;0")</f>
        <v>0</v>
      </c>
      <c r="F229" s="25">
        <f>SUMIFS('Daftar Koreksi'!$H$5:$H$92,'Daftar Koreksi'!$D$5:$D$92,'0200'!A224,'Daftar Koreksi'!$G$5:$G$92,"Peralatan dan mesin",'Daftar Koreksi'!$H$5:$H$92,"&lt;0")-SUMIFS('Daftar Koreksi'!$H$5:$H$92,'Daftar Koreksi'!$D$5:$D$92,'0200'!A224,'Daftar Koreksi'!$G$5:$G$92,"Peralatan dan mesin",'Daftar Koreksi'!$H$5:$H$92,"&lt;0")-SUMIFS('Daftar Koreksi'!$H$5:$H$92,'Daftar Koreksi'!$D$5:$D$92,'0200'!A224,'Daftar Koreksi'!$G$5:$G$92,"Peralatan dan mesin",'Daftar Koreksi'!$H$5:$H$92,"&lt;0")</f>
        <v>0</v>
      </c>
      <c r="G229" s="17">
        <f t="shared" si="10"/>
        <v>1783180923</v>
      </c>
      <c r="H229" s="122"/>
      <c r="I229" s="28"/>
      <c r="J229" s="28"/>
    </row>
    <row r="230" spans="1:10" ht="21.95" customHeight="1">
      <c r="A230" s="14"/>
      <c r="B230" s="14"/>
      <c r="C230" s="16" t="s">
        <v>1168</v>
      </c>
      <c r="D230" s="17">
        <f>VLOOKUP(A224,'Neraca Unaudited SIMAK'!$A$2:$S$10004,6,FALSE)</f>
        <v>7204508200</v>
      </c>
      <c r="E230" s="25">
        <f>SUMIFS('Daftar Koreksi'!$H$5:$H$92,'Daftar Koreksi'!$D$5:$D$92,'0200'!A224,'Daftar Koreksi'!$G$5:$G$92,"Gedung dan Bangunan",'Daftar Koreksi'!$H$5:$H$92,"&gt;0")</f>
        <v>0</v>
      </c>
      <c r="F230" s="25">
        <f>SUMIFS('Daftar Koreksi'!$H$5:$H$92,'Daftar Koreksi'!$D$5:$D$92,'0200'!A224,'Daftar Koreksi'!$G$5:$G$92,"Gedung dan Bangunan",'Daftar Koreksi'!$H$5:$H$92,"&lt;0")-SUMIFS('Daftar Koreksi'!$H$5:$H$92,'Daftar Koreksi'!$D$5:$D$92,'0200'!A224,'Daftar Koreksi'!$G$5:$G$92,"Gedung dan Bangunan",'Daftar Koreksi'!$H$5:$H$92,"&lt;0")-SUMIFS('Daftar Koreksi'!$H$5:$H$92,'Daftar Koreksi'!$D$5:$D$92,'0200'!A224,'Daftar Koreksi'!$G$5:$G$92,"Gedung dan Bangunan",'Daftar Koreksi'!$H$5:$H$92,"&lt;0")</f>
        <v>0</v>
      </c>
      <c r="G230" s="17">
        <f t="shared" si="10"/>
        <v>7204508200</v>
      </c>
      <c r="H230" s="122"/>
      <c r="I230" s="28"/>
      <c r="J230" s="28"/>
    </row>
    <row r="231" spans="1:10" ht="21.95" customHeight="1">
      <c r="A231" s="14"/>
      <c r="B231" s="14"/>
      <c r="C231" s="16" t="s">
        <v>1169</v>
      </c>
      <c r="D231" s="17">
        <f>VLOOKUP(A224,'Neraca Unaudited SIMAK'!$A$2:$S$10004,7,FALSE)</f>
        <v>29697000</v>
      </c>
      <c r="E231" s="25">
        <f>SUMIFS('Daftar Koreksi'!$H$5:$H$92,'Daftar Koreksi'!$D$5:$D$92,'0200'!A224,'Daftar Koreksi'!$G$5:$G$92,"Jalan Irigasi Jaringan",'Daftar Koreksi'!$H$5:$H$92,"&gt;0")</f>
        <v>0</v>
      </c>
      <c r="F231" s="25">
        <f>SUMIFS('Daftar Koreksi'!$H$5:$H$92,'Daftar Koreksi'!$D$5:$D$92,'0200'!A224,'Daftar Koreksi'!$G$5:$G$92,"Jalan Irigasi Jaringan",'Daftar Koreksi'!$H$5:$H$92,"&lt;0")-SUMIFS('Daftar Koreksi'!$H$5:$H$92,'Daftar Koreksi'!$D$5:$D$92,'0200'!A224,'Daftar Koreksi'!$G$5:$G$92,"Jalan Irigasi Jaringan",'Daftar Koreksi'!$H$5:$H$92,"&lt;0")-SUMIFS('Daftar Koreksi'!$H$5:$H$92,'Daftar Koreksi'!$D$5:$D$92,'0200'!A224,'Daftar Koreksi'!$G$5:$G$92,"Jalan Irigasi Jaringan",'Daftar Koreksi'!$H$5:$H$92,"&lt;0")</f>
        <v>0</v>
      </c>
      <c r="G231" s="17">
        <f t="shared" si="10"/>
        <v>29697000</v>
      </c>
      <c r="H231" s="122"/>
      <c r="I231" s="28"/>
      <c r="J231" s="28"/>
    </row>
    <row r="232" spans="1:10" ht="21.95" customHeight="1">
      <c r="A232" s="14"/>
      <c r="B232" s="14"/>
      <c r="C232" s="16" t="s">
        <v>1170</v>
      </c>
      <c r="D232" s="17">
        <f>VLOOKUP(A224,'Neraca Unaudited SIMAK'!$A$2:$S$10004,8,FALSE)</f>
        <v>1943440</v>
      </c>
      <c r="E232" s="25">
        <f>SUMIFS('Daftar Koreksi'!$H$5:$H$92,'Daftar Koreksi'!$D$5:$D$92,'0200'!A224,'Daftar Koreksi'!$G$5:$G$92,"Aset Tetap Lainnya",'Daftar Koreksi'!$H$5:$H$92,"&gt;0")</f>
        <v>4411622</v>
      </c>
      <c r="F232" s="25">
        <f>SUMIFS('Daftar Koreksi'!$H$5:$H$92,'Daftar Koreksi'!$D$5:$D$92,'0200'!A224,'Daftar Koreksi'!$G$5:$G$92,"Aset Tetap Lainnya",'Daftar Koreksi'!$H$5:$H$92,"&lt;0")-SUMIFS('Daftar Koreksi'!$H$5:$H$92,'Daftar Koreksi'!$D$5:$D$92,'0200'!A224,'Daftar Koreksi'!$G$5:$G$92,"Aset Tetap Lainnya",'Daftar Koreksi'!$H$5:$H$92,"&lt;0")-SUMIFS('Daftar Koreksi'!$H$5:$H$92,'Daftar Koreksi'!$D$5:$D$92,'0200'!A224,'Daftar Koreksi'!$G$5:$G$92,"Aset Tetap Lainnya",'Daftar Koreksi'!$H$5:$H$92,"&lt;0")</f>
        <v>0</v>
      </c>
      <c r="G232" s="17">
        <f t="shared" si="10"/>
        <v>6355062</v>
      </c>
      <c r="H232" s="122"/>
      <c r="I232" s="28"/>
      <c r="J232" s="28"/>
    </row>
    <row r="233" spans="1:10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Koreksi'!$D$5:$D$92,'0200'!A224,'Daftar Koreksi'!$G$5:$G$92,"Kontruksi Dalam Pengerjaan",'Daftar Koreksi'!$H$5:$H$92,"&gt;0")</f>
        <v>0</v>
      </c>
      <c r="F233" s="25">
        <f>SUMIFS('Daftar Koreksi'!$H$5:$H$92,'Daftar Koreksi'!$D$5:$D$92,'0200'!A224,'Daftar Koreksi'!$G$5:$G$92,"Kontruksi Dalam Pengerjaan",'Daftar Koreksi'!$H$5:$H$92,"&lt;0")-SUMIFS('Daftar Koreksi'!$H$5:$H$92,'Daftar Koreksi'!$D$5:$D$92,'0200'!A224,'Daftar Koreksi'!$G$5:$G$92,"Kontruksi Dalam Pengerjaan",'Daftar Koreksi'!$H$5:$H$92,"&lt;0")-SUMIFS('Daftar Koreksi'!$H$5:$H$92,'Daftar Koreksi'!$D$5:$D$92,'0200'!A224,'Daftar Koreksi'!$G$5:$G$92,"Kontruksi Dalam Pengerjaan",'Daftar Koreksi'!$H$5:$H$92,"&lt;0")</f>
        <v>0</v>
      </c>
      <c r="G233" s="17">
        <f t="shared" si="10"/>
        <v>0</v>
      </c>
      <c r="H233" s="122"/>
      <c r="I233" s="28"/>
      <c r="J233" s="28"/>
    </row>
    <row r="234" spans="1:10" ht="21.95" customHeight="1">
      <c r="A234" s="14"/>
      <c r="B234" s="14"/>
      <c r="C234" s="16" t="s">
        <v>1172</v>
      </c>
      <c r="D234" s="17">
        <f>VLOOKUP(A224,'Neraca Unaudited SIMAK'!$A$2:$S$10004,10,FALSE)</f>
        <v>12210000</v>
      </c>
      <c r="E234" s="25">
        <f>SUMIFS('Daftar Koreksi'!$H$5:$H$92,'Daftar Koreksi'!$D$5:$D$92,'0200'!A224,'Daftar Koreksi'!$G$5:$G$92,"Aset Tak Berwujud",'Daftar Koreksi'!$H$5:$H$92,"&gt;0")</f>
        <v>0</v>
      </c>
      <c r="F234" s="25">
        <f>SUMIFS('Daftar Koreksi'!$H$5:$H$92,'Daftar Koreksi'!$D$5:$D$92,'0200'!A224,'Daftar Koreksi'!$G$5:$G$92,"Aset Tak Berwujud",'Daftar Koreksi'!$H$5:$H$92,"&lt;0")-SUMIFS('Daftar Koreksi'!$H$5:$H$92,'Daftar Koreksi'!$D$5:$D$92,'0200'!A224,'Daftar Koreksi'!$G$5:$G$92,"Aset Tak Berwujud",'Daftar Koreksi'!$H$5:$H$92,"&lt;0")-SUMIFS('Daftar Koreksi'!$H$5:$H$92,'Daftar Koreksi'!$D$5:$D$92,'0200'!A224,'Daftar Koreksi'!$G$5:$G$92,"Aset Tak Berwujud",'Daftar Koreksi'!$H$5:$H$92,"&lt;0")</f>
        <v>0</v>
      </c>
      <c r="G234" s="17">
        <f t="shared" si="10"/>
        <v>12210000</v>
      </c>
      <c r="H234" s="122"/>
      <c r="I234" s="28"/>
      <c r="J234" s="28"/>
    </row>
    <row r="235" spans="1:10" ht="21.95" customHeight="1">
      <c r="A235" s="14"/>
      <c r="B235" s="14"/>
      <c r="C235" s="16" t="s">
        <v>1173</v>
      </c>
      <c r="D235" s="17">
        <f>VLOOKUP(A224,'Neraca Unaudited SIMAK'!$A$2:$S$10004,11,FALSE)</f>
        <v>155151000</v>
      </c>
      <c r="E235" s="25">
        <f>SUMIFS('Daftar Koreksi'!$H$5:$H$92,'Daftar Koreksi'!$D$5:$D$92,'0200'!A224,'Daftar Koreksi'!$G$5:$G$92,"Aset Henti Guna",'Daftar Koreksi'!$H$5:$H$92,"&gt;0")</f>
        <v>0</v>
      </c>
      <c r="F235" s="25">
        <f>SUMIFS('Daftar Koreksi'!$H$5:$H$92,'Daftar Koreksi'!$D$5:$D$92,'0200'!A224,'Daftar Koreksi'!$G$5:$G$92,"Aset Henti Guna",'Daftar Koreksi'!$H$5:$H$92,"&lt;0")-SUMIFS('Daftar Koreksi'!$H$5:$H$92,'Daftar Koreksi'!$D$5:$D$92,'0200'!A224,'Daftar Koreksi'!$G$5:$G$92,"Aset Henti Guna",'Daftar Koreksi'!$H$5:$H$92,"&lt;0")-SUMIFS('Daftar Koreksi'!$H$5:$H$92,'Daftar Koreksi'!$D$5:$D$92,'0200'!A224,'Daftar Koreksi'!$G$5:$G$92,"Aset Henti Guna",'Daftar Koreksi'!$H$5:$H$92,"&lt;0")</f>
        <v>0</v>
      </c>
      <c r="G235" s="17">
        <f t="shared" si="10"/>
        <v>155151000</v>
      </c>
      <c r="H235" s="122"/>
      <c r="I235" s="28"/>
      <c r="J235" s="28"/>
    </row>
    <row r="236" spans="1:10" ht="21.95" customHeight="1">
      <c r="A236" s="14"/>
      <c r="B236" s="14"/>
      <c r="C236" s="18" t="s">
        <v>2093</v>
      </c>
      <c r="D236" s="19">
        <f>VLOOKUP(A224,'Neraca Unaudited SIMAK'!$A$2:$S$10004,12,FALSE)</f>
        <v>30189603563</v>
      </c>
      <c r="E236" s="19">
        <f>SUM(E227:E235)</f>
        <v>4411622</v>
      </c>
      <c r="F236" s="19">
        <f>SUM(F227:F235)</f>
        <v>0</v>
      </c>
      <c r="G236" s="19">
        <f t="shared" si="10"/>
        <v>30194015185</v>
      </c>
      <c r="H236" s="122"/>
      <c r="I236" s="28"/>
      <c r="J236" s="28"/>
    </row>
    <row r="237" spans="1:10" ht="21.95" customHeight="1">
      <c r="A237" s="14"/>
      <c r="B237" s="14"/>
      <c r="C237" s="16" t="s">
        <v>2087</v>
      </c>
      <c r="D237" s="17">
        <f>VLOOKUP(A224,'Neraca Unaudited SIMAK'!$A$2:$S$10004,13,FALSE)</f>
        <v>-1507083442</v>
      </c>
      <c r="E237" s="25">
        <f>SUMIFS('Daftar Koreksi'!$I$5:$I$92,'Daftar Koreksi'!$D$5:$D$92,'0200'!A224,'Daftar Koreksi'!$G$5:$G$92,"Peralatan dan mesin",'Daftar Koreksi'!$I$5:$I$92,"&gt;0")</f>
        <v>0</v>
      </c>
      <c r="F237" s="25">
        <f>SUMIFS('Daftar Koreksi'!$I$5:$I$92,'Daftar Koreksi'!$D$5:$D$92,'0200'!A224,'Daftar Koreksi'!$G$5:$G$92,"Peralatan dan mesin",'Daftar Koreksi'!$I$5:$I$92,"&lt;0")-SUMIFS('Daftar Koreksi'!$I$5:$I$92,'Daftar Koreksi'!$D$5:$D$92,'0200'!A224,'Daftar Koreksi'!$G$5:$G$92,"Peralatan dan mesin",'Daftar Koreksi'!$I$5:$I$92,"&lt;0")-SUMIFS('Daftar Koreksi'!$I$5:$I$92,'Daftar Koreksi'!$D$5:$D$92,'0200'!A224,'Daftar Koreksi'!$G$5:$G$92,"Peralatan dan mesin",'Daftar Koreksi'!$I$5:$I$92,"&lt;0")</f>
        <v>0</v>
      </c>
      <c r="G237" s="17">
        <f t="shared" si="10"/>
        <v>-1507083442</v>
      </c>
      <c r="H237" s="122"/>
      <c r="I237" s="28"/>
      <c r="J237" s="28"/>
    </row>
    <row r="238" spans="1:10" ht="21.95" customHeight="1">
      <c r="A238" s="14"/>
      <c r="B238" s="14"/>
      <c r="C238" s="16" t="s">
        <v>2088</v>
      </c>
      <c r="D238" s="17">
        <f>VLOOKUP(A224,'Neraca Unaudited SIMAK'!$A$2:$S$10004,14,FALSE)</f>
        <v>-1644325286</v>
      </c>
      <c r="E238" s="25">
        <f>SUMIFS('Daftar Koreksi'!$I$5:$I$92,'Daftar Koreksi'!$D$5:$D$92,'0200'!A224,'Daftar Koreksi'!$G$5:$G$92,"Gedung dan Bangunan",'Daftar Koreksi'!$I$5:$I$92,"&gt;0")</f>
        <v>0</v>
      </c>
      <c r="F238" s="25">
        <f>SUMIFS('Daftar Koreksi'!$I$5:$I$92,'Daftar Koreksi'!$D$5:$D$92,'0200'!A224,'Daftar Koreksi'!$G$5:$G$92,"Gedung dan Bangunan",'Daftar Koreksi'!$I$5:$I$92,"&lt;0")-SUMIFS('Daftar Koreksi'!$I$5:$I$92,'Daftar Koreksi'!$D$5:$D$92,'0200'!A224,'Daftar Koreksi'!$G$5:$G$92,"Gedung dan Bangunan",'Daftar Koreksi'!$I$5:$I$92,"&lt;0")-SUMIFS('Daftar Koreksi'!$I$5:$I$92,'Daftar Koreksi'!$D$5:$D$92,'0200'!A224,'Daftar Koreksi'!$G$5:$G$92,"Gedung dan Bangunan",'Daftar Koreksi'!$I$5:$I$92,"&lt;0")</f>
        <v>0</v>
      </c>
      <c r="G238" s="17">
        <f t="shared" si="10"/>
        <v>-1644325286</v>
      </c>
      <c r="H238" s="122"/>
      <c r="I238" s="28"/>
      <c r="J238" s="28"/>
    </row>
    <row r="239" spans="1:10" ht="21.95" customHeight="1">
      <c r="A239" s="14"/>
      <c r="B239" s="14"/>
      <c r="C239" s="16" t="s">
        <v>2089</v>
      </c>
      <c r="D239" s="17">
        <f>VLOOKUP(A224,'Neraca Unaudited SIMAK'!$A$2:$S$10004,15,FALSE)</f>
        <v>-29697000</v>
      </c>
      <c r="E239" s="25">
        <f>SUMIFS('Daftar Koreksi'!$I$5:$I$92,'Daftar Koreksi'!$D$5:$D$92,'0200'!A224,'Daftar Koreksi'!$G$5:$G$92,"Jalan Irigasi Jaringan",'Daftar Koreksi'!$I$5:$I$92,"&gt;0")</f>
        <v>0</v>
      </c>
      <c r="F239" s="25">
        <f>SUMIFS('Daftar Koreksi'!$I$5:$I$92,'Daftar Koreksi'!$D$5:$D$92,'0200'!A224,'Daftar Koreksi'!$G$5:$G$92,"Jalan Irigasi Jaringan",'Daftar Koreksi'!$I$5:$I$92,"&lt;0")-SUMIFS('Daftar Koreksi'!$I$5:$I$92,'Daftar Koreksi'!$D$5:$D$92,'0200'!A224,'Daftar Koreksi'!$G$5:$G$92,"Jalan Irigasi Jaringan",'Daftar Koreksi'!$I$5:$I$92,"&lt;0")-SUMIFS('Daftar Koreksi'!$I$5:$I$92,'Daftar Koreksi'!$D$5:$D$92,'0200'!A224,'Daftar Koreksi'!$G$5:$G$92,"Jalan Irigasi Jaringan",'Daftar Koreksi'!$I$5:$I$92,"&lt;0")</f>
        <v>0</v>
      </c>
      <c r="G239" s="17">
        <f t="shared" si="10"/>
        <v>-29697000</v>
      </c>
      <c r="H239" s="122"/>
      <c r="I239" s="28"/>
      <c r="J239" s="28"/>
    </row>
    <row r="240" spans="1:10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Koreksi'!$D$5:$D$92,'0200'!A224,'Daftar Koreksi'!$G$5:$G$92,"Aset Tetap Lainnya",'Daftar Koreksi'!$I$5:$I$92,"&gt;0")</f>
        <v>0</v>
      </c>
      <c r="F240" s="25">
        <f>SUMIFS('Daftar Koreksi'!$I$5:$I$92,'Daftar Koreksi'!$D$5:$D$92,'0200'!A224,'Daftar Koreksi'!$G$5:$G$92,"Aset Tetap Lainnya",'Daftar Koreksi'!$I$5:$I$92,"&lt;0")-SUMIFS('Daftar Koreksi'!$I$5:$I$92,'Daftar Koreksi'!$D$5:$D$92,'0200'!A224,'Daftar Koreksi'!$G$5:$G$92,"Aset Tetap Lainnya",'Daftar Koreksi'!$I$5:$I$92,"&lt;0")-SUMIFS('Daftar Koreksi'!$I$5:$I$92,'Daftar Koreksi'!$D$5:$D$92,'0200'!A224,'Daftar Koreksi'!$G$5:$G$92,"Aset Tetap Lainnya",'Daftar Koreksi'!$I$5:$I$92,"&lt;0")</f>
        <v>0</v>
      </c>
      <c r="G240" s="17">
        <f t="shared" si="10"/>
        <v>0</v>
      </c>
      <c r="H240" s="122"/>
      <c r="I240" s="28"/>
      <c r="J240" s="28"/>
    </row>
    <row r="241" spans="1:10" ht="21.95" customHeight="1">
      <c r="A241" s="14"/>
      <c r="B241" s="14"/>
      <c r="C241" s="16" t="s">
        <v>2020</v>
      </c>
      <c r="D241" s="17">
        <f>VLOOKUP(A224,'Neraca Unaudited SIMAK'!$A$2:$S$10004,17,FALSE)</f>
        <v>-155151000</v>
      </c>
      <c r="E241" s="25">
        <f>SUMIFS('Daftar Koreksi'!$I$5:$I$92,'Daftar Koreksi'!$D$5:$D$92,'0200'!A224,'Daftar Koreksi'!$G$5:$G$92,"Aset Henti Guna",'Daftar Koreksi'!$I$5:$I$92,"&gt;0")</f>
        <v>0</v>
      </c>
      <c r="F241" s="25">
        <f>SUMIFS('Daftar Koreksi'!$I$5:$I$92,'Daftar Koreksi'!$D$5:$D$92,'0200'!A224,'Daftar Koreksi'!$G$5:$G$92,"Aset Henti Guna",'Daftar Koreksi'!$I$5:$I$92,"&lt;0")-SUMIFS('Daftar Koreksi'!$I$5:$I$92,'Daftar Koreksi'!$D$5:$D$92,'0200'!A224,'Daftar Koreksi'!$G$5:$G$92,"Aset Henti Guna",'Daftar Koreksi'!$I$5:$I$92,"&lt;0")-SUMIFS('Daftar Koreksi'!$I$5:$I$92,'Daftar Koreksi'!$D$5:$D$92,'0200'!A224,'Daftar Koreksi'!$G$5:$G$92,"Aset Henti Guna",'Daftar Koreksi'!$I$5:$I$92,"&lt;0")</f>
        <v>0</v>
      </c>
      <c r="G241" s="17">
        <f t="shared" si="10"/>
        <v>-155151000</v>
      </c>
      <c r="H241" s="122"/>
      <c r="I241" s="28"/>
      <c r="J241" s="28"/>
    </row>
    <row r="242" spans="1:10" ht="21.95" customHeight="1">
      <c r="A242" s="14"/>
      <c r="B242" s="14"/>
      <c r="C242" s="18" t="s">
        <v>2094</v>
      </c>
      <c r="D242" s="19">
        <f>SUM(D237:D241)</f>
        <v>-3336256728</v>
      </c>
      <c r="E242" s="19">
        <f>SUM(E237:E241)</f>
        <v>0</v>
      </c>
      <c r="F242" s="19">
        <f>SUM(F237:F241)</f>
        <v>0</v>
      </c>
      <c r="G242" s="19">
        <f t="shared" si="10"/>
        <v>-3336256728</v>
      </c>
      <c r="H242" s="122"/>
      <c r="I242" s="28"/>
      <c r="J242" s="28"/>
    </row>
    <row r="243" spans="1:10" ht="21.95" customHeight="1">
      <c r="A243" s="14"/>
      <c r="B243" s="14"/>
      <c r="C243" s="18" t="s">
        <v>2095</v>
      </c>
      <c r="D243" s="19">
        <f>VLOOKUP(A224,'Neraca Unaudited SIMAK'!$A$2:$S$10004,18,FALSE)</f>
        <v>26853346835</v>
      </c>
      <c r="E243" s="19">
        <f>E242+E236</f>
        <v>4411622</v>
      </c>
      <c r="F243" s="19">
        <f>F242+F236</f>
        <v>0</v>
      </c>
      <c r="G243" s="19">
        <f t="shared" si="10"/>
        <v>26857758457</v>
      </c>
      <c r="H243" s="122"/>
      <c r="I243" s="28"/>
      <c r="J243" s="28"/>
    </row>
    <row r="244" spans="1:10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  <c r="I244" s="28"/>
      <c r="J244" s="28"/>
    </row>
    <row r="246" spans="1:10" ht="19.5" customHeight="1">
      <c r="A246" s="11" t="str">
        <f>O12</f>
        <v>005010200097652000KD</v>
      </c>
      <c r="B246" s="11" t="str">
        <f>P12</f>
        <v>PN. Sukabumi</v>
      </c>
      <c r="C246" s="12" t="str">
        <f>A246&amp;" "&amp;B246</f>
        <v>005010200097652000KD PN. Sukabumi</v>
      </c>
      <c r="D246" s="13"/>
      <c r="E246" s="13"/>
      <c r="F246" s="13"/>
      <c r="G246" s="13"/>
      <c r="H246" s="11"/>
    </row>
    <row r="247" spans="1:10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10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10" ht="21.95" customHeight="1">
      <c r="A249" s="14"/>
      <c r="B249" s="14"/>
      <c r="C249" s="16" t="s">
        <v>1165</v>
      </c>
      <c r="D249" s="17">
        <f>VLOOKUP(A246,'Neraca Unaudited SIMAK'!$A$2:$S$10004,3,FALSE)</f>
        <v>3282400</v>
      </c>
      <c r="E249" s="25">
        <f>SUMIFS('Daftar Koreksi'!$H$5:$H$92,'Daftar Koreksi'!$D$5:$D$92,'0200'!A246,'Daftar Koreksi'!$G$5:$G$92,"Persediaan",'Daftar Koreksi'!$H$5:$H$92,"&gt;0")</f>
        <v>0</v>
      </c>
      <c r="F249" s="25">
        <f>SUMIFS('Daftar Koreksi'!$H$5:$H$92,'Daftar Koreksi'!$D$5:$D$92,'0200'!A246,'Daftar Koreksi'!$G$5:$G$92,"Persediaan",'Daftar Koreksi'!$H$5:$H$92,"&lt;0")-SUMIFS('Daftar Koreksi'!$H$5:$H$92,'Daftar Koreksi'!$D$5:$D$92,'0200'!A246,'Daftar Koreksi'!$G$5:$G$92,"Persediaan",'Daftar Koreksi'!$H$5:$H$92,"&lt;0")-SUMIFS('Daftar Koreksi'!$H$5:$H$92,'Daftar Koreksi'!$D$5:$D$92,'0200'!A246,'Daftar Koreksi'!$G$5:$G$92,"Persediaan",'Daftar Koreksi'!$H$5:$H$92,"&lt;0")</f>
        <v>0</v>
      </c>
      <c r="G249" s="17">
        <f>D249+E249-F249</f>
        <v>3282400</v>
      </c>
      <c r="H249" s="121" t="str">
        <f>IF(ISNA(VLOOKUP(A246,'Mutasi Neraca'!$A$3:$S$914,19,FALSE)),"-",VLOOKUP(A246,'Mutasi Neraca'!$A$3:$S$914,19,FALSE))</f>
        <v>-</v>
      </c>
    </row>
    <row r="250" spans="1:10" ht="21.95" customHeight="1">
      <c r="A250" s="14"/>
      <c r="B250" s="14"/>
      <c r="C250" s="16" t="s">
        <v>1166</v>
      </c>
      <c r="D250" s="17">
        <f>VLOOKUP(A246,'Neraca Unaudited SIMAK'!$A$2:$S$10004,4,FALSE)</f>
        <v>7134086950</v>
      </c>
      <c r="E250" s="25">
        <f>SUMIFS('Daftar Koreksi'!$H$5:$H$92,'Daftar Koreksi'!$D$5:$D$92,'0200'!A246,'Daftar Koreksi'!$G$5:$G$92,"Tanah",'Daftar Koreksi'!$H$5:$H$92,"&gt;0")</f>
        <v>0</v>
      </c>
      <c r="F250" s="25">
        <f>SUMIFS('Daftar Koreksi'!$H$5:$H$92,'Daftar Koreksi'!$D$5:$D$92,'0200'!A246,'Daftar Koreksi'!$G$5:$G$92,"Tanah",'Daftar Koreksi'!$H$5:$H$92,"&lt;0")-SUMIFS('Daftar Koreksi'!$H$5:$H$92,'Daftar Koreksi'!$D$5:$D$92,'0200'!A246,'Daftar Koreksi'!$G$5:$G$92,"Tanah",'Daftar Koreksi'!$H$5:$H$92,"&lt;0")-SUMIFS('Daftar Koreksi'!$H$5:$H$92,'Daftar Koreksi'!$D$5:$D$92,'0200'!A246,'Daftar Koreksi'!$G$5:$G$92,"Tanah",'Daftar Koreksi'!$H$5:$H$92,"&lt;0")</f>
        <v>0</v>
      </c>
      <c r="G250" s="17">
        <f t="shared" ref="G250:G266" si="11">D250+E250-F250</f>
        <v>7134086950</v>
      </c>
      <c r="H250" s="122"/>
    </row>
    <row r="251" spans="1:10" ht="21.95" customHeight="1">
      <c r="A251" s="14"/>
      <c r="B251" s="14"/>
      <c r="C251" s="16" t="s">
        <v>1167</v>
      </c>
      <c r="D251" s="17">
        <f>VLOOKUP(A246,'Neraca Unaudited SIMAK'!$A$2:$S$10004,5,FALSE)</f>
        <v>1462863548</v>
      </c>
      <c r="E251" s="25">
        <f>SUMIFS('Daftar Koreksi'!$H$5:$H$92,'Daftar Koreksi'!$D$5:$D$92,'0200'!A246,'Daftar Koreksi'!$G$5:$G$92,"Peralatan dan mesin",'Daftar Koreksi'!$H$5:$H$92,"&gt;0")</f>
        <v>0</v>
      </c>
      <c r="F251" s="25">
        <f>SUMIFS('Daftar Koreksi'!$H$5:$H$92,'Daftar Koreksi'!$D$5:$D$92,'0200'!A246,'Daftar Koreksi'!$G$5:$G$92,"Peralatan dan mesin",'Daftar Koreksi'!$H$5:$H$92,"&lt;0")-SUMIFS('Daftar Koreksi'!$H$5:$H$92,'Daftar Koreksi'!$D$5:$D$92,'0200'!A246,'Daftar Koreksi'!$G$5:$G$92,"Peralatan dan mesin",'Daftar Koreksi'!$H$5:$H$92,"&lt;0")-SUMIFS('Daftar Koreksi'!$H$5:$H$92,'Daftar Koreksi'!$D$5:$D$92,'0200'!A246,'Daftar Koreksi'!$G$5:$G$92,"Peralatan dan mesin",'Daftar Koreksi'!$H$5:$H$92,"&lt;0")</f>
        <v>0</v>
      </c>
      <c r="G251" s="17">
        <f t="shared" si="11"/>
        <v>1462863548</v>
      </c>
      <c r="H251" s="122"/>
    </row>
    <row r="252" spans="1:10" ht="21.95" customHeight="1">
      <c r="A252" s="14"/>
      <c r="B252" s="14"/>
      <c r="C252" s="16" t="s">
        <v>1168</v>
      </c>
      <c r="D252" s="17">
        <f>VLOOKUP(A246,'Neraca Unaudited SIMAK'!$A$2:$S$10004,6,FALSE)</f>
        <v>5526600800</v>
      </c>
      <c r="E252" s="25">
        <f>SUMIFS('Daftar Koreksi'!$H$5:$H$92,'Daftar Koreksi'!$D$5:$D$92,'0200'!A246,'Daftar Koreksi'!$G$5:$G$92,"Gedung dan Bangunan",'Daftar Koreksi'!$H$5:$H$92,"&gt;0")</f>
        <v>0</v>
      </c>
      <c r="F252" s="25">
        <f>SUMIFS('Daftar Koreksi'!$H$5:$H$92,'Daftar Koreksi'!$D$5:$D$92,'0200'!A246,'Daftar Koreksi'!$G$5:$G$92,"Gedung dan Bangunan",'Daftar Koreksi'!$H$5:$H$92,"&lt;0")-SUMIFS('Daftar Koreksi'!$H$5:$H$92,'Daftar Koreksi'!$D$5:$D$92,'0200'!A246,'Daftar Koreksi'!$G$5:$G$92,"Gedung dan Bangunan",'Daftar Koreksi'!$H$5:$H$92,"&lt;0")-SUMIFS('Daftar Koreksi'!$H$5:$H$92,'Daftar Koreksi'!$D$5:$D$92,'0200'!A246,'Daftar Koreksi'!$G$5:$G$92,"Gedung dan Bangunan",'Daftar Koreksi'!$H$5:$H$92,"&lt;0")</f>
        <v>0</v>
      </c>
      <c r="G252" s="17">
        <f t="shared" si="11"/>
        <v>5526600800</v>
      </c>
      <c r="H252" s="122"/>
    </row>
    <row r="253" spans="1:10" ht="21.95" customHeight="1">
      <c r="A253" s="14"/>
      <c r="B253" s="14"/>
      <c r="C253" s="16" t="s">
        <v>1169</v>
      </c>
      <c r="D253" s="17">
        <f>VLOOKUP(A246,'Neraca Unaudited SIMAK'!$A$2:$S$10004,7,FALSE)</f>
        <v>0</v>
      </c>
      <c r="E253" s="25">
        <f>SUMIFS('Daftar Koreksi'!$H$5:$H$92,'Daftar Koreksi'!$D$5:$D$92,'0200'!A246,'Daftar Koreksi'!$G$5:$G$92,"Jalan Irigasi Jaringan",'Daftar Koreksi'!$H$5:$H$92,"&gt;0")</f>
        <v>0</v>
      </c>
      <c r="F253" s="25">
        <f>SUMIFS('Daftar Koreksi'!$H$5:$H$92,'Daftar Koreksi'!$D$5:$D$92,'0200'!A246,'Daftar Koreksi'!$G$5:$G$92,"Jalan Irigasi Jaringan",'Daftar Koreksi'!$H$5:$H$92,"&lt;0")-SUMIFS('Daftar Koreksi'!$H$5:$H$92,'Daftar Koreksi'!$D$5:$D$92,'0200'!A246,'Daftar Koreksi'!$G$5:$G$92,"Jalan Irigasi Jaringan",'Daftar Koreksi'!$H$5:$H$92,"&lt;0")-SUMIFS('Daftar Koreksi'!$H$5:$H$92,'Daftar Koreksi'!$D$5:$D$92,'0200'!A246,'Daftar Koreksi'!$G$5:$G$92,"Jalan Irigasi Jaringan",'Daftar Koreksi'!$H$5:$H$92,"&lt;0")</f>
        <v>0</v>
      </c>
      <c r="G253" s="17">
        <f t="shared" si="11"/>
        <v>0</v>
      </c>
      <c r="H253" s="122"/>
    </row>
    <row r="254" spans="1:10" ht="21.95" customHeight="1">
      <c r="A254" s="14"/>
      <c r="B254" s="14"/>
      <c r="C254" s="16" t="s">
        <v>1170</v>
      </c>
      <c r="D254" s="17">
        <f>VLOOKUP(A246,'Neraca Unaudited SIMAK'!$A$2:$S$10004,8,FALSE)</f>
        <v>36459082</v>
      </c>
      <c r="E254" s="25">
        <f>SUMIFS('Daftar Koreksi'!$H$5:$H$92,'Daftar Koreksi'!$D$5:$D$92,'0200'!A246,'Daftar Koreksi'!$G$5:$G$92,"Aset Tetap Lainnya",'Daftar Koreksi'!$H$5:$H$92,"&gt;0")</f>
        <v>0</v>
      </c>
      <c r="F254" s="25">
        <f>SUMIFS('Daftar Koreksi'!$H$5:$H$92,'Daftar Koreksi'!$D$5:$D$92,'0200'!A246,'Daftar Koreksi'!$G$5:$G$92,"Aset Tetap Lainnya",'Daftar Koreksi'!$H$5:$H$92,"&lt;0")-SUMIFS('Daftar Koreksi'!$H$5:$H$92,'Daftar Koreksi'!$D$5:$D$92,'0200'!A246,'Daftar Koreksi'!$G$5:$G$92,"Aset Tetap Lainnya",'Daftar Koreksi'!$H$5:$H$92,"&lt;0")-SUMIFS('Daftar Koreksi'!$H$5:$H$92,'Daftar Koreksi'!$D$5:$D$92,'0200'!A246,'Daftar Koreksi'!$G$5:$G$92,"Aset Tetap Lainnya",'Daftar Koreksi'!$H$5:$H$92,"&lt;0")</f>
        <v>0</v>
      </c>
      <c r="G254" s="17">
        <f t="shared" si="11"/>
        <v>36459082</v>
      </c>
      <c r="H254" s="122"/>
    </row>
    <row r="255" spans="1:10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Koreksi'!$D$5:$D$92,'0200'!A246,'Daftar Koreksi'!$G$5:$G$92,"Kontruksi Dalam Pengerjaan",'Daftar Koreksi'!$H$5:$H$92,"&gt;0")</f>
        <v>0</v>
      </c>
      <c r="F255" s="25">
        <f>SUMIFS('Daftar Koreksi'!$H$5:$H$92,'Daftar Koreksi'!$D$5:$D$92,'0200'!A246,'Daftar Koreksi'!$G$5:$G$92,"Kontruksi Dalam Pengerjaan",'Daftar Koreksi'!$H$5:$H$92,"&lt;0")-SUMIFS('Daftar Koreksi'!$H$5:$H$92,'Daftar Koreksi'!$D$5:$D$92,'0200'!A246,'Daftar Koreksi'!$G$5:$G$92,"Kontruksi Dalam Pengerjaan",'Daftar Koreksi'!$H$5:$H$92,"&lt;0")-SUMIFS('Daftar Koreksi'!$H$5:$H$92,'Daftar Koreksi'!$D$5:$D$92,'0200'!A246,'Daftar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10" ht="21.95" customHeight="1">
      <c r="A256" s="14"/>
      <c r="B256" s="14"/>
      <c r="C256" s="16" t="s">
        <v>1172</v>
      </c>
      <c r="D256" s="17">
        <f>VLOOKUP(A246,'Neraca Unaudited SIMAK'!$A$2:$S$10004,10,FALSE)</f>
        <v>0</v>
      </c>
      <c r="E256" s="25">
        <f>SUMIFS('Daftar Koreksi'!$H$5:$H$92,'Daftar Koreksi'!$D$5:$D$92,'0200'!A246,'Daftar Koreksi'!$G$5:$G$92,"Aset Tak Berwujud",'Daftar Koreksi'!$H$5:$H$92,"&gt;0")</f>
        <v>0</v>
      </c>
      <c r="F256" s="25">
        <f>SUMIFS('Daftar Koreksi'!$H$5:$H$92,'Daftar Koreksi'!$D$5:$D$92,'0200'!A246,'Daftar Koreksi'!$G$5:$G$92,"Aset Tak Berwujud",'Daftar Koreksi'!$H$5:$H$92,"&lt;0")-SUMIFS('Daftar Koreksi'!$H$5:$H$92,'Daftar Koreksi'!$D$5:$D$92,'0200'!A246,'Daftar Koreksi'!$G$5:$G$92,"Aset Tak Berwujud",'Daftar Koreksi'!$H$5:$H$92,"&lt;0")-SUMIFS('Daftar Koreksi'!$H$5:$H$92,'Daftar Koreksi'!$D$5:$D$92,'0200'!A246,'Daftar Koreksi'!$G$5:$G$92,"Aset Tak Berwujud",'Daftar Koreksi'!$H$5:$H$92,"&lt;0")</f>
        <v>0</v>
      </c>
      <c r="G256" s="17">
        <f t="shared" si="11"/>
        <v>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93105400</v>
      </c>
      <c r="E257" s="25">
        <f>SUMIFS('Daftar Koreksi'!$H$5:$H$92,'Daftar Koreksi'!$D$5:$D$92,'0200'!A246,'Daftar Koreksi'!$G$5:$G$92,"Aset Henti Guna",'Daftar Koreksi'!$H$5:$H$92,"&gt;0")</f>
        <v>0</v>
      </c>
      <c r="F257" s="25">
        <f>SUMIFS('Daftar Koreksi'!$H$5:$H$92,'Daftar Koreksi'!$D$5:$D$92,'0200'!A246,'Daftar Koreksi'!$G$5:$G$92,"Aset Henti Guna",'Daftar Koreksi'!$H$5:$H$92,"&lt;0")-SUMIFS('Daftar Koreksi'!$H$5:$H$92,'Daftar Koreksi'!$D$5:$D$92,'0200'!A246,'Daftar Koreksi'!$G$5:$G$92,"Aset Henti Guna",'Daftar Koreksi'!$H$5:$H$92,"&lt;0")-SUMIFS('Daftar Koreksi'!$H$5:$H$92,'Daftar Koreksi'!$D$5:$D$92,'0200'!A246,'Daftar Koreksi'!$G$5:$G$92,"Aset Henti Guna",'Daftar Koreksi'!$H$5:$H$92,"&lt;0")</f>
        <v>0</v>
      </c>
      <c r="G257" s="17">
        <f t="shared" si="11"/>
        <v>93105400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14256398180</v>
      </c>
      <c r="E258" s="19">
        <f>SUM(E249:E257)</f>
        <v>0</v>
      </c>
      <c r="F258" s="19">
        <f>SUM(F249:F257)</f>
        <v>0</v>
      </c>
      <c r="G258" s="19">
        <f t="shared" si="11"/>
        <v>14256398180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-1299041723</v>
      </c>
      <c r="E259" s="25">
        <f>SUMIFS('Daftar Koreksi'!$I$5:$I$92,'Daftar Koreksi'!$D$5:$D$92,'0200'!A246,'Daftar Koreksi'!$G$5:$G$92,"Peralatan dan mesin",'Daftar Koreksi'!$I$5:$I$92,"&gt;0")</f>
        <v>0</v>
      </c>
      <c r="F259" s="25">
        <f>SUMIFS('Daftar Koreksi'!$I$5:$I$92,'Daftar Koreksi'!$D$5:$D$92,'0200'!A246,'Daftar Koreksi'!$G$5:$G$92,"Peralatan dan mesin",'Daftar Koreksi'!$I$5:$I$92,"&lt;0")-SUMIFS('Daftar Koreksi'!$I$5:$I$92,'Daftar Koreksi'!$D$5:$D$92,'0200'!A246,'Daftar Koreksi'!$G$5:$G$92,"Peralatan dan mesin",'Daftar Koreksi'!$I$5:$I$92,"&lt;0")-SUMIFS('Daftar Koreksi'!$I$5:$I$92,'Daftar Koreksi'!$D$5:$D$92,'0200'!A246,'Daftar Koreksi'!$G$5:$G$92,"Peralatan dan mesin",'Daftar Koreksi'!$I$5:$I$92,"&lt;0")</f>
        <v>0</v>
      </c>
      <c r="G259" s="17">
        <f t="shared" si="11"/>
        <v>-1299041723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-3281129458</v>
      </c>
      <c r="E260" s="25">
        <f>SUMIFS('Daftar Koreksi'!$I$5:$I$92,'Daftar Koreksi'!$D$5:$D$92,'0200'!A246,'Daftar Koreksi'!$G$5:$G$92,"Gedung dan Bangunan",'Daftar Koreksi'!$I$5:$I$92,"&gt;0")</f>
        <v>0</v>
      </c>
      <c r="F260" s="25">
        <f>SUMIFS('Daftar Koreksi'!$I$5:$I$92,'Daftar Koreksi'!$D$5:$D$92,'0200'!A246,'Daftar Koreksi'!$G$5:$G$92,"Gedung dan Bangunan",'Daftar Koreksi'!$I$5:$I$92,"&lt;0")-SUMIFS('Daftar Koreksi'!$I$5:$I$92,'Daftar Koreksi'!$D$5:$D$92,'0200'!A246,'Daftar Koreksi'!$G$5:$G$92,"Gedung dan Bangunan",'Daftar Koreksi'!$I$5:$I$92,"&lt;0")-SUMIFS('Daftar Koreksi'!$I$5:$I$92,'Daftar Koreksi'!$D$5:$D$92,'0200'!A246,'Daftar Koreksi'!$G$5:$G$92,"Gedung dan Bangunan",'Daftar Koreksi'!$I$5:$I$92,"&lt;0")</f>
        <v>0</v>
      </c>
      <c r="G260" s="17">
        <f t="shared" si="11"/>
        <v>-3281129458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0</v>
      </c>
      <c r="E261" s="25">
        <f>SUMIFS('Daftar Koreksi'!$I$5:$I$92,'Daftar Koreksi'!$D$5:$D$92,'0200'!A246,'Daftar Koreksi'!$G$5:$G$92,"Jalan Irigasi Jaringan",'Daftar Koreksi'!$I$5:$I$92,"&gt;0")</f>
        <v>0</v>
      </c>
      <c r="F261" s="25">
        <f>SUMIFS('Daftar Koreksi'!$I$5:$I$92,'Daftar Koreksi'!$D$5:$D$92,'0200'!A246,'Daftar Koreksi'!$G$5:$G$92,"Jalan Irigasi Jaringan",'Daftar Koreksi'!$I$5:$I$92,"&lt;0")-SUMIFS('Daftar Koreksi'!$I$5:$I$92,'Daftar Koreksi'!$D$5:$D$92,'0200'!A246,'Daftar Koreksi'!$G$5:$G$92,"Jalan Irigasi Jaringan",'Daftar Koreksi'!$I$5:$I$92,"&lt;0")-SUMIFS('Daftar Koreksi'!$I$5:$I$92,'Daftar Koreksi'!$D$5:$D$92,'0200'!A246,'Daftar Koreksi'!$G$5:$G$92,"Jalan Irigasi Jaringan",'Daftar Koreksi'!$I$5:$I$92,"&lt;0")</f>
        <v>0</v>
      </c>
      <c r="G261" s="17">
        <f t="shared" si="11"/>
        <v>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Koreksi'!$D$5:$D$92,'0200'!A246,'Daftar Koreksi'!$G$5:$G$92,"Aset Tetap Lainnya",'Daftar Koreksi'!$I$5:$I$92,"&gt;0")</f>
        <v>0</v>
      </c>
      <c r="F262" s="25">
        <f>SUMIFS('Daftar Koreksi'!$I$5:$I$92,'Daftar Koreksi'!$D$5:$D$92,'0200'!A246,'Daftar Koreksi'!$G$5:$G$92,"Aset Tetap Lainnya",'Daftar Koreksi'!$I$5:$I$92,"&lt;0")-SUMIFS('Daftar Koreksi'!$I$5:$I$92,'Daftar Koreksi'!$D$5:$D$92,'0200'!A246,'Daftar Koreksi'!$G$5:$G$92,"Aset Tetap Lainnya",'Daftar Koreksi'!$I$5:$I$92,"&lt;0")-SUMIFS('Daftar Koreksi'!$I$5:$I$92,'Daftar Koreksi'!$D$5:$D$92,'0200'!A246,'Daftar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-89205400</v>
      </c>
      <c r="E263" s="25">
        <f>SUMIFS('Daftar Koreksi'!$I$5:$I$92,'Daftar Koreksi'!$D$5:$D$92,'0200'!A246,'Daftar Koreksi'!$G$5:$G$92,"Aset Henti Guna",'Daftar Koreksi'!$I$5:$I$92,"&gt;0")</f>
        <v>0</v>
      </c>
      <c r="F263" s="25">
        <f>SUMIFS('Daftar Koreksi'!$I$5:$I$92,'Daftar Koreksi'!$D$5:$D$92,'0200'!A246,'Daftar Koreksi'!$G$5:$G$92,"Aset Henti Guna",'Daftar Koreksi'!$I$5:$I$92,"&lt;0")-SUMIFS('Daftar Koreksi'!$I$5:$I$92,'Daftar Koreksi'!$D$5:$D$92,'0200'!A246,'Daftar Koreksi'!$G$5:$G$92,"Aset Henti Guna",'Daftar Koreksi'!$I$5:$I$92,"&lt;0")-SUMIFS('Daftar Koreksi'!$I$5:$I$92,'Daftar Koreksi'!$D$5:$D$92,'0200'!A246,'Daftar Koreksi'!$G$5:$G$92,"Aset Henti Guna",'Daftar Koreksi'!$I$5:$I$92,"&lt;0")</f>
        <v>0</v>
      </c>
      <c r="G263" s="17">
        <f t="shared" si="11"/>
        <v>-89205400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-4669376581</v>
      </c>
      <c r="E264" s="19">
        <f>SUM(E259:E263)</f>
        <v>0</v>
      </c>
      <c r="F264" s="19">
        <f>SUM(F259:F263)</f>
        <v>0</v>
      </c>
      <c r="G264" s="19">
        <f t="shared" si="11"/>
        <v>-4669376581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9587021599</v>
      </c>
      <c r="E265" s="19">
        <f>E264+E258</f>
        <v>0</v>
      </c>
      <c r="F265" s="19">
        <f>F264+F258</f>
        <v>0</v>
      </c>
      <c r="G265" s="19">
        <f t="shared" si="11"/>
        <v>9587021599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005010200097666000KD</v>
      </c>
      <c r="B268" s="11" t="str">
        <f>P13</f>
        <v>PN. Cianjur</v>
      </c>
      <c r="C268" s="12" t="str">
        <f>A268&amp;" "&amp;B268</f>
        <v>005010200097666000KD PN. Cianjur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1013500</v>
      </c>
      <c r="E271" s="25">
        <f>SUMIFS('Daftar Koreksi'!$H$5:$H$92,'Daftar Koreksi'!$D$5:$D$92,'0200'!A268,'Daftar Koreksi'!$G$5:$G$92,"Persediaan",'Daftar Koreksi'!$H$5:$H$92,"&gt;0")</f>
        <v>0</v>
      </c>
      <c r="F271" s="25">
        <f>SUMIFS('Daftar Koreksi'!$H$5:$H$92,'Daftar Koreksi'!$D$5:$D$92,'0200'!A268,'Daftar Koreksi'!$G$5:$G$92,"Persediaan",'Daftar Koreksi'!$H$5:$H$92,"&lt;0")-SUMIFS('Daftar Koreksi'!$H$5:$H$92,'Daftar Koreksi'!$D$5:$D$92,'0200'!A268,'Daftar Koreksi'!$G$5:$G$92,"Persediaan",'Daftar Koreksi'!$H$5:$H$92,"&lt;0")-SUMIFS('Daftar Koreksi'!$H$5:$H$92,'Daftar Koreksi'!$D$5:$D$92,'0200'!A268,'Daftar Koreksi'!$G$5:$G$92,"Persediaan",'Daftar Koreksi'!$H$5:$H$92,"&lt;0")</f>
        <v>0</v>
      </c>
      <c r="G271" s="17">
        <f>D271+E271-F271</f>
        <v>1013500</v>
      </c>
      <c r="H271" s="121" t="str">
        <f>IF(ISNA(VLOOKUP(A268,'Mutasi Neraca'!$A$3:$S$914,19,FALSE)),"-",VLOOKUP(A268,'Mutasi Neraca'!$A$3:$S$914,19,FALSE))</f>
        <v>TP. No 3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13954970633</v>
      </c>
      <c r="E272" s="25">
        <f>SUMIFS('Daftar Koreksi'!$H$5:$H$92,'Daftar Koreksi'!$D$5:$D$92,'0200'!A268,'Daftar Koreksi'!$G$5:$G$92,"Tanah",'Daftar Koreksi'!$H$5:$H$92,"&gt;0")</f>
        <v>0</v>
      </c>
      <c r="F272" s="25">
        <f>SUMIFS('Daftar Koreksi'!$H$5:$H$92,'Daftar Koreksi'!$D$5:$D$92,'0200'!A268,'Daftar Koreksi'!$G$5:$G$92,"Tanah",'Daftar Koreksi'!$H$5:$H$92,"&lt;0")-SUMIFS('Daftar Koreksi'!$H$5:$H$92,'Daftar Koreksi'!$D$5:$D$92,'0200'!A268,'Daftar Koreksi'!$G$5:$G$92,"Tanah",'Daftar Koreksi'!$H$5:$H$92,"&lt;0")-SUMIFS('Daftar Koreksi'!$H$5:$H$92,'Daftar Koreksi'!$D$5:$D$92,'0200'!A268,'Daftar Koreksi'!$G$5:$G$92,"Tanah",'Daftar Koreksi'!$H$5:$H$92,"&lt;0")</f>
        <v>0</v>
      </c>
      <c r="G272" s="17">
        <f t="shared" ref="G272:G288" si="12">D272+E272-F272</f>
        <v>13954970633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1693816942</v>
      </c>
      <c r="E273" s="25">
        <f>SUMIFS('Daftar Koreksi'!$H$5:$H$92,'Daftar Koreksi'!$D$5:$D$92,'0200'!A268,'Daftar Koreksi'!$G$5:$G$92,"Peralatan dan mesin",'Daftar Koreksi'!$H$5:$H$92,"&gt;0")</f>
        <v>0</v>
      </c>
      <c r="F273" s="25">
        <f>SUMIFS('Daftar Koreksi'!$H$5:$H$92,'Daftar Koreksi'!$D$5:$D$92,'0200'!A268,'Daftar Koreksi'!$G$5:$G$92,"Peralatan dan mesin",'Daftar Koreksi'!$H$5:$H$92,"&lt;0")-SUMIFS('Daftar Koreksi'!$H$5:$H$92,'Daftar Koreksi'!$D$5:$D$92,'0200'!A268,'Daftar Koreksi'!$G$5:$G$92,"Peralatan dan mesin",'Daftar Koreksi'!$H$5:$H$92,"&lt;0")-SUMIFS('Daftar Koreksi'!$H$5:$H$92,'Daftar Koreksi'!$D$5:$D$92,'0200'!A268,'Daftar Koreksi'!$G$5:$G$92,"Peralatan dan mesin",'Daftar Koreksi'!$H$5:$H$92,"&lt;0")</f>
        <v>0</v>
      </c>
      <c r="G273" s="17">
        <f t="shared" si="12"/>
        <v>1693816942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3402324722</v>
      </c>
      <c r="E274" s="25">
        <f>SUMIFS('Daftar Koreksi'!$H$5:$H$92,'Daftar Koreksi'!$D$5:$D$92,'0200'!A268,'Daftar Koreksi'!$G$5:$G$92,"Gedung dan Bangunan",'Daftar Koreksi'!$H$5:$H$92,"&gt;0")</f>
        <v>0</v>
      </c>
      <c r="F274" s="25">
        <f>SUMIFS('Daftar Koreksi'!$H$5:$H$92,'Daftar Koreksi'!$D$5:$D$92,'0200'!A268,'Daftar Koreksi'!$G$5:$G$92,"Gedung dan Bangunan",'Daftar Koreksi'!$H$5:$H$92,"&lt;0")-SUMIFS('Daftar Koreksi'!$H$5:$H$92,'Daftar Koreksi'!$D$5:$D$92,'0200'!A268,'Daftar Koreksi'!$G$5:$G$92,"Gedung dan Bangunan",'Daftar Koreksi'!$H$5:$H$92,"&lt;0")-SUMIFS('Daftar Koreksi'!$H$5:$H$92,'Daftar Koreksi'!$D$5:$D$92,'0200'!A268,'Daftar Koreksi'!$G$5:$G$92,"Gedung dan Bangunan",'Daftar Koreksi'!$H$5:$H$92,"&lt;0")</f>
        <v>0</v>
      </c>
      <c r="G274" s="17">
        <f t="shared" si="12"/>
        <v>3402324722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58616000</v>
      </c>
      <c r="E275" s="25">
        <f>SUMIFS('Daftar Koreksi'!$H$5:$H$92,'Daftar Koreksi'!$D$5:$D$92,'0200'!A268,'Daftar Koreksi'!$G$5:$G$92,"Jalan Irigasi Jaringan",'Daftar Koreksi'!$H$5:$H$92,"&gt;0")</f>
        <v>0</v>
      </c>
      <c r="F275" s="25">
        <f>SUMIFS('Daftar Koreksi'!$H$5:$H$92,'Daftar Koreksi'!$D$5:$D$92,'0200'!A268,'Daftar Koreksi'!$G$5:$G$92,"Jalan Irigasi Jaringan",'Daftar Koreksi'!$H$5:$H$92,"&lt;0")-SUMIFS('Daftar Koreksi'!$H$5:$H$92,'Daftar Koreksi'!$D$5:$D$92,'0200'!A268,'Daftar Koreksi'!$G$5:$G$92,"Jalan Irigasi Jaringan",'Daftar Koreksi'!$H$5:$H$92,"&lt;0")-SUMIFS('Daftar Koreksi'!$H$5:$H$92,'Daftar Koreksi'!$D$5:$D$92,'0200'!A268,'Daftar Koreksi'!$G$5:$G$92,"Jalan Irigasi Jaringan",'Daftar Koreksi'!$H$5:$H$92,"&lt;0")</f>
        <v>0</v>
      </c>
      <c r="G275" s="17">
        <f t="shared" si="12"/>
        <v>58616000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5045440</v>
      </c>
      <c r="E276" s="25">
        <f>SUMIFS('Daftar Koreksi'!$H$5:$H$92,'Daftar Koreksi'!$D$5:$D$92,'0200'!A268,'Daftar Koreksi'!$G$5:$G$92,"Aset Tetap Lainnya",'Daftar Koreksi'!$H$5:$H$92,"&gt;0")</f>
        <v>4411622</v>
      </c>
      <c r="F276" s="25">
        <f>SUMIFS('Daftar Koreksi'!$H$5:$H$92,'Daftar Koreksi'!$D$5:$D$92,'0200'!A268,'Daftar Koreksi'!$G$5:$G$92,"Aset Tetap Lainnya",'Daftar Koreksi'!$H$5:$H$92,"&lt;0")-SUMIFS('Daftar Koreksi'!$H$5:$H$92,'Daftar Koreksi'!$D$5:$D$92,'0200'!A268,'Daftar Koreksi'!$G$5:$G$92,"Aset Tetap Lainnya",'Daftar Koreksi'!$H$5:$H$92,"&lt;0")-SUMIFS('Daftar Koreksi'!$H$5:$H$92,'Daftar Koreksi'!$D$5:$D$92,'0200'!A268,'Daftar Koreksi'!$G$5:$G$92,"Aset Tetap Lainnya",'Daftar Koreksi'!$H$5:$H$92,"&lt;0")</f>
        <v>0</v>
      </c>
      <c r="G276" s="17">
        <f t="shared" si="12"/>
        <v>9457062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Koreksi'!$D$5:$D$92,'0200'!A268,'Daftar Koreksi'!$G$5:$G$92,"Kontruksi Dalam Pengerjaan",'Daftar Koreksi'!$H$5:$H$92,"&gt;0")</f>
        <v>0</v>
      </c>
      <c r="F277" s="25">
        <f>SUMIFS('Daftar Koreksi'!$H$5:$H$92,'Daftar Koreksi'!$D$5:$D$92,'0200'!A268,'Daftar Koreksi'!$G$5:$G$92,"Kontruksi Dalam Pengerjaan",'Daftar Koreksi'!$H$5:$H$92,"&lt;0")-SUMIFS('Daftar Koreksi'!$H$5:$H$92,'Daftar Koreksi'!$D$5:$D$92,'0200'!A268,'Daftar Koreksi'!$G$5:$G$92,"Kontruksi Dalam Pengerjaan",'Daftar Koreksi'!$H$5:$H$92,"&lt;0")-SUMIFS('Daftar Koreksi'!$H$5:$H$92,'Daftar Koreksi'!$D$5:$D$92,'0200'!A268,'Daftar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Koreksi'!$D$5:$D$92,'0200'!A268,'Daftar Koreksi'!$G$5:$G$92,"Aset Tak Berwujud",'Daftar Koreksi'!$H$5:$H$92,"&gt;0")</f>
        <v>0</v>
      </c>
      <c r="F278" s="25">
        <f>SUMIFS('Daftar Koreksi'!$H$5:$H$92,'Daftar Koreksi'!$D$5:$D$92,'0200'!A268,'Daftar Koreksi'!$G$5:$G$92,"Aset Tak Berwujud",'Daftar Koreksi'!$H$5:$H$92,"&lt;0")-SUMIFS('Daftar Koreksi'!$H$5:$H$92,'Daftar Koreksi'!$D$5:$D$92,'0200'!A268,'Daftar Koreksi'!$G$5:$G$92,"Aset Tak Berwujud",'Daftar Koreksi'!$H$5:$H$92,"&lt;0")-SUMIFS('Daftar Koreksi'!$H$5:$H$92,'Daftar Koreksi'!$D$5:$D$92,'0200'!A268,'Daftar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53000</v>
      </c>
      <c r="E279" s="25">
        <f>SUMIFS('Daftar Koreksi'!$H$5:$H$92,'Daftar Koreksi'!$D$5:$D$92,'0200'!A268,'Daftar Koreksi'!$G$5:$G$92,"Aset Henti Guna",'Daftar Koreksi'!$H$5:$H$92,"&gt;0")</f>
        <v>0</v>
      </c>
      <c r="F279" s="25">
        <f>SUMIFS('Daftar Koreksi'!$H$5:$H$92,'Daftar Koreksi'!$D$5:$D$92,'0200'!A268,'Daftar Koreksi'!$G$5:$G$92,"Aset Henti Guna",'Daftar Koreksi'!$H$5:$H$92,"&lt;0")-SUMIFS('Daftar Koreksi'!$H$5:$H$92,'Daftar Koreksi'!$D$5:$D$92,'0200'!A268,'Daftar Koreksi'!$G$5:$G$92,"Aset Henti Guna",'Daftar Koreksi'!$H$5:$H$92,"&lt;0")-SUMIFS('Daftar Koreksi'!$H$5:$H$92,'Daftar Koreksi'!$D$5:$D$92,'0200'!A268,'Daftar Koreksi'!$G$5:$G$92,"Aset Henti Guna",'Daftar Koreksi'!$H$5:$H$92,"&lt;0")</f>
        <v>0</v>
      </c>
      <c r="G279" s="17">
        <f t="shared" si="12"/>
        <v>53000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19115840237</v>
      </c>
      <c r="E280" s="19">
        <f>SUM(E271:E279)</f>
        <v>4411622</v>
      </c>
      <c r="F280" s="19">
        <f>SUM(F271:F279)</f>
        <v>0</v>
      </c>
      <c r="G280" s="19">
        <f t="shared" si="12"/>
        <v>19120251859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-1492968597</v>
      </c>
      <c r="E281" s="25">
        <f>SUMIFS('Daftar Koreksi'!$I$5:$I$92,'Daftar Koreksi'!$D$5:$D$92,'0200'!A268,'Daftar Koreksi'!$G$5:$G$92,"Peralatan dan mesin",'Daftar Koreksi'!$I$5:$I$92,"&gt;0")</f>
        <v>0</v>
      </c>
      <c r="F281" s="25">
        <f>SUMIFS('Daftar Koreksi'!$I$5:$I$92,'Daftar Koreksi'!$D$5:$D$92,'0200'!A268,'Daftar Koreksi'!$G$5:$G$92,"Peralatan dan mesin",'Daftar Koreksi'!$I$5:$I$92,"&lt;0")-SUMIFS('Daftar Koreksi'!$I$5:$I$92,'Daftar Koreksi'!$D$5:$D$92,'0200'!A268,'Daftar Koreksi'!$G$5:$G$92,"Peralatan dan mesin",'Daftar Koreksi'!$I$5:$I$92,"&lt;0")-SUMIFS('Daftar Koreksi'!$I$5:$I$92,'Daftar Koreksi'!$D$5:$D$92,'0200'!A268,'Daftar Koreksi'!$G$5:$G$92,"Peralatan dan mesin",'Daftar Koreksi'!$I$5:$I$92,"&lt;0")</f>
        <v>0</v>
      </c>
      <c r="G281" s="17">
        <f t="shared" si="12"/>
        <v>-1492968597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-1693994349</v>
      </c>
      <c r="E282" s="25">
        <f>SUMIFS('Daftar Koreksi'!$I$5:$I$92,'Daftar Koreksi'!$D$5:$D$92,'0200'!A268,'Daftar Koreksi'!$G$5:$G$92,"Gedung dan Bangunan",'Daftar Koreksi'!$I$5:$I$92,"&gt;0")</f>
        <v>0</v>
      </c>
      <c r="F282" s="25">
        <f>SUMIFS('Daftar Koreksi'!$I$5:$I$92,'Daftar Koreksi'!$D$5:$D$92,'0200'!A268,'Daftar Koreksi'!$G$5:$G$92,"Gedung dan Bangunan",'Daftar Koreksi'!$I$5:$I$92,"&lt;0")-SUMIFS('Daftar Koreksi'!$I$5:$I$92,'Daftar Koreksi'!$D$5:$D$92,'0200'!A268,'Daftar Koreksi'!$G$5:$G$92,"Gedung dan Bangunan",'Daftar Koreksi'!$I$5:$I$92,"&lt;0")-SUMIFS('Daftar Koreksi'!$I$5:$I$92,'Daftar Koreksi'!$D$5:$D$92,'0200'!A268,'Daftar Koreksi'!$G$5:$G$92,"Gedung dan Bangunan",'Daftar Koreksi'!$I$5:$I$92,"&lt;0")</f>
        <v>0</v>
      </c>
      <c r="G282" s="17">
        <f t="shared" si="12"/>
        <v>-1693994349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-51289000</v>
      </c>
      <c r="E283" s="25">
        <f>SUMIFS('Daftar Koreksi'!$I$5:$I$92,'Daftar Koreksi'!$D$5:$D$92,'0200'!A268,'Daftar Koreksi'!$G$5:$G$92,"Jalan Irigasi Jaringan",'Daftar Koreksi'!$I$5:$I$92,"&gt;0")</f>
        <v>0</v>
      </c>
      <c r="F283" s="25">
        <f>SUMIFS('Daftar Koreksi'!$I$5:$I$92,'Daftar Koreksi'!$D$5:$D$92,'0200'!A268,'Daftar Koreksi'!$G$5:$G$92,"Jalan Irigasi Jaringan",'Daftar Koreksi'!$I$5:$I$92,"&lt;0")-SUMIFS('Daftar Koreksi'!$I$5:$I$92,'Daftar Koreksi'!$D$5:$D$92,'0200'!A268,'Daftar Koreksi'!$G$5:$G$92,"Jalan Irigasi Jaringan",'Daftar Koreksi'!$I$5:$I$92,"&lt;0")-SUMIFS('Daftar Koreksi'!$I$5:$I$92,'Daftar Koreksi'!$D$5:$D$92,'0200'!A268,'Daftar Koreksi'!$G$5:$G$92,"Jalan Irigasi Jaringan",'Daftar Koreksi'!$I$5:$I$92,"&lt;0")</f>
        <v>0</v>
      </c>
      <c r="G283" s="17">
        <f t="shared" si="12"/>
        <v>-51289000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Koreksi'!$D$5:$D$92,'0200'!A268,'Daftar Koreksi'!$G$5:$G$92,"Aset Tetap Lainnya",'Daftar Koreksi'!$I$5:$I$92,"&gt;0")</f>
        <v>0</v>
      </c>
      <c r="F284" s="25">
        <f>SUMIFS('Daftar Koreksi'!$I$5:$I$92,'Daftar Koreksi'!$D$5:$D$92,'0200'!A268,'Daftar Koreksi'!$G$5:$G$92,"Aset Tetap Lainnya",'Daftar Koreksi'!$I$5:$I$92,"&lt;0")-SUMIFS('Daftar Koreksi'!$I$5:$I$92,'Daftar Koreksi'!$D$5:$D$92,'0200'!A268,'Daftar Koreksi'!$G$5:$G$92,"Aset Tetap Lainnya",'Daftar Koreksi'!$I$5:$I$92,"&lt;0")-SUMIFS('Daftar Koreksi'!$I$5:$I$92,'Daftar Koreksi'!$D$5:$D$92,'0200'!A268,'Daftar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-53000</v>
      </c>
      <c r="E285" s="25">
        <f>SUMIFS('Daftar Koreksi'!$I$5:$I$92,'Daftar Koreksi'!$D$5:$D$92,'0200'!A268,'Daftar Koreksi'!$G$5:$G$92,"Aset Henti Guna",'Daftar Koreksi'!$I$5:$I$92,"&gt;0")</f>
        <v>0</v>
      </c>
      <c r="F285" s="25">
        <f>SUMIFS('Daftar Koreksi'!$I$5:$I$92,'Daftar Koreksi'!$D$5:$D$92,'0200'!A268,'Daftar Koreksi'!$G$5:$G$92,"Aset Henti Guna",'Daftar Koreksi'!$I$5:$I$92,"&lt;0")-SUMIFS('Daftar Koreksi'!$I$5:$I$92,'Daftar Koreksi'!$D$5:$D$92,'0200'!A268,'Daftar Koreksi'!$G$5:$G$92,"Aset Henti Guna",'Daftar Koreksi'!$I$5:$I$92,"&lt;0")-SUMIFS('Daftar Koreksi'!$I$5:$I$92,'Daftar Koreksi'!$D$5:$D$92,'0200'!A268,'Daftar Koreksi'!$G$5:$G$92,"Aset Henti Guna",'Daftar Koreksi'!$I$5:$I$92,"&lt;0")</f>
        <v>0</v>
      </c>
      <c r="G285" s="17">
        <f t="shared" si="12"/>
        <v>-53000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-3238304946</v>
      </c>
      <c r="E286" s="19">
        <f>SUM(E281:E285)</f>
        <v>0</v>
      </c>
      <c r="F286" s="19">
        <f>SUM(F281:F285)</f>
        <v>0</v>
      </c>
      <c r="G286" s="19">
        <f t="shared" si="12"/>
        <v>-3238304946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15877535291</v>
      </c>
      <c r="E287" s="19">
        <f>E286+E280</f>
        <v>4411622</v>
      </c>
      <c r="F287" s="19">
        <f>F286+F280</f>
        <v>0</v>
      </c>
      <c r="G287" s="19">
        <f t="shared" si="12"/>
        <v>15881946913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10" ht="19.5" customHeight="1">
      <c r="A290" s="11" t="str">
        <f>O14</f>
        <v>005010200097670000KD</v>
      </c>
      <c r="B290" s="11" t="str">
        <f>P14</f>
        <v>PN. Cirebon</v>
      </c>
      <c r="C290" s="12" t="str">
        <f>A290&amp;" "&amp;B290</f>
        <v>005010200097670000KD PN. Cirebon</v>
      </c>
      <c r="D290" s="13"/>
      <c r="E290" s="13"/>
      <c r="F290" s="13"/>
      <c r="G290" s="13"/>
      <c r="H290" s="11"/>
    </row>
    <row r="291" spans="1:10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10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10" ht="21.95" customHeight="1">
      <c r="A293" s="14"/>
      <c r="B293" s="14"/>
      <c r="C293" s="16" t="s">
        <v>1165</v>
      </c>
      <c r="D293" s="17">
        <f>VLOOKUP(A290,'Neraca Unaudited SIMAK'!$A$2:$S$10004,3,FALSE)</f>
        <v>6410085</v>
      </c>
      <c r="E293" s="25">
        <f>SUMIFS('Daftar Koreksi'!$H$5:$H$92,'Daftar Koreksi'!$D$5:$D$92,'0200'!A290,'Daftar Koreksi'!$G$5:$G$92,"Persediaan",'Daftar Koreksi'!$H$5:$H$92,"&gt;0")</f>
        <v>0</v>
      </c>
      <c r="F293" s="25">
        <f>SUMIFS('Daftar Koreksi'!$H$5:$H$92,'Daftar Koreksi'!$D$5:$D$92,'0200'!A290,'Daftar Koreksi'!$G$5:$G$92,"Persediaan",'Daftar Koreksi'!$H$5:$H$92,"&lt;0")-SUMIFS('Daftar Koreksi'!$H$5:$H$92,'Daftar Koreksi'!$D$5:$D$92,'0200'!A290,'Daftar Koreksi'!$G$5:$G$92,"Persediaan",'Daftar Koreksi'!$H$5:$H$92,"&lt;0")-SUMIFS('Daftar Koreksi'!$H$5:$H$92,'Daftar Koreksi'!$D$5:$D$92,'0200'!A290,'Daftar Koreksi'!$G$5:$G$92,"Persediaan",'Daftar Koreksi'!$H$5:$H$92,"&lt;0")</f>
        <v>0</v>
      </c>
      <c r="G293" s="17">
        <f>D293+E293-F293</f>
        <v>6410085</v>
      </c>
      <c r="H293" s="121" t="str">
        <f>IF(ISNA(VLOOKUP(A290,'Mutasi Neraca'!$A$3:$S$914,19,FALSE)),"-",VLOOKUP(A290,'Mutasi Neraca'!$A$3:$S$914,19,FALSE))</f>
        <v>TP. No 3</v>
      </c>
      <c r="I293" s="28"/>
      <c r="J293" s="28"/>
    </row>
    <row r="294" spans="1:10" ht="21.95" customHeight="1">
      <c r="A294" s="14"/>
      <c r="B294" s="14"/>
      <c r="C294" s="16" t="s">
        <v>1166</v>
      </c>
      <c r="D294" s="17">
        <f>VLOOKUP(A290,'Neraca Unaudited SIMAK'!$A$2:$S$10004,4,FALSE)</f>
        <v>8688400000</v>
      </c>
      <c r="E294" s="25">
        <f>SUMIFS('Daftar Koreksi'!$H$5:$H$92,'Daftar Koreksi'!$D$5:$D$92,'0200'!A290,'Daftar Koreksi'!$G$5:$G$92,"Tanah",'Daftar Koreksi'!$H$5:$H$92,"&gt;0")</f>
        <v>0</v>
      </c>
      <c r="F294" s="25">
        <f>SUMIFS('Daftar Koreksi'!$H$5:$H$92,'Daftar Koreksi'!$D$5:$D$92,'0200'!A290,'Daftar Koreksi'!$G$5:$G$92,"Tanah",'Daftar Koreksi'!$H$5:$H$92,"&lt;0")-SUMIFS('Daftar Koreksi'!$H$5:$H$92,'Daftar Koreksi'!$D$5:$D$92,'0200'!A290,'Daftar Koreksi'!$G$5:$G$92,"Tanah",'Daftar Koreksi'!$H$5:$H$92,"&lt;0")-SUMIFS('Daftar Koreksi'!$H$5:$H$92,'Daftar Koreksi'!$D$5:$D$92,'0200'!A290,'Daftar Koreksi'!$G$5:$G$92,"Tanah",'Daftar Koreksi'!$H$5:$H$92,"&lt;0")</f>
        <v>0</v>
      </c>
      <c r="G294" s="17">
        <f t="shared" ref="G294:G310" si="13">D294+E294-F294</f>
        <v>8688400000</v>
      </c>
      <c r="H294" s="122"/>
      <c r="I294" s="28"/>
      <c r="J294" s="28"/>
    </row>
    <row r="295" spans="1:10" ht="21.95" customHeight="1">
      <c r="A295" s="14"/>
      <c r="B295" s="14"/>
      <c r="C295" s="16" t="s">
        <v>1167</v>
      </c>
      <c r="D295" s="17">
        <f>VLOOKUP(A290,'Neraca Unaudited SIMAK'!$A$2:$S$10004,5,FALSE)</f>
        <v>2713996033</v>
      </c>
      <c r="E295" s="25">
        <f>SUMIFS('Daftar Koreksi'!$H$5:$H$92,'Daftar Koreksi'!$D$5:$D$92,'0200'!A290,'Daftar Koreksi'!$G$5:$G$92,"Peralatan dan mesin",'Daftar Koreksi'!$H$5:$H$92,"&gt;0")</f>
        <v>0</v>
      </c>
      <c r="F295" s="25">
        <f>SUMIFS('Daftar Koreksi'!$H$5:$H$92,'Daftar Koreksi'!$D$5:$D$92,'0200'!A290,'Daftar Koreksi'!$G$5:$G$92,"Peralatan dan mesin",'Daftar Koreksi'!$H$5:$H$92,"&lt;0")-SUMIFS('Daftar Koreksi'!$H$5:$H$92,'Daftar Koreksi'!$D$5:$D$92,'0200'!A290,'Daftar Koreksi'!$G$5:$G$92,"Peralatan dan mesin",'Daftar Koreksi'!$H$5:$H$92,"&lt;0")-SUMIFS('Daftar Koreksi'!$H$5:$H$92,'Daftar Koreksi'!$D$5:$D$92,'0200'!A290,'Daftar Koreksi'!$G$5:$G$92,"Peralatan dan mesin",'Daftar Koreksi'!$H$5:$H$92,"&lt;0")</f>
        <v>0</v>
      </c>
      <c r="G295" s="17">
        <f t="shared" si="13"/>
        <v>2713996033</v>
      </c>
      <c r="H295" s="122"/>
      <c r="I295" s="28"/>
      <c r="J295" s="28"/>
    </row>
    <row r="296" spans="1:10" ht="21.95" customHeight="1">
      <c r="A296" s="14"/>
      <c r="B296" s="14"/>
      <c r="C296" s="16" t="s">
        <v>1168</v>
      </c>
      <c r="D296" s="17">
        <f>VLOOKUP(A290,'Neraca Unaudited SIMAK'!$A$2:$S$10004,6,FALSE)</f>
        <v>3869868956</v>
      </c>
      <c r="E296" s="25">
        <f>SUMIFS('Daftar Koreksi'!$H$5:$H$92,'Daftar Koreksi'!$D$5:$D$92,'0200'!A290,'Daftar Koreksi'!$G$5:$G$92,"Gedung dan Bangunan",'Daftar Koreksi'!$H$5:$H$92,"&gt;0")</f>
        <v>0</v>
      </c>
      <c r="F296" s="25">
        <f>SUMIFS('Daftar Koreksi'!$H$5:$H$92,'Daftar Koreksi'!$D$5:$D$92,'0200'!A290,'Daftar Koreksi'!$G$5:$G$92,"Gedung dan Bangunan",'Daftar Koreksi'!$H$5:$H$92,"&lt;0")-SUMIFS('Daftar Koreksi'!$H$5:$H$92,'Daftar Koreksi'!$D$5:$D$92,'0200'!A290,'Daftar Koreksi'!$G$5:$G$92,"Gedung dan Bangunan",'Daftar Koreksi'!$H$5:$H$92,"&lt;0")-SUMIFS('Daftar Koreksi'!$H$5:$H$92,'Daftar Koreksi'!$D$5:$D$92,'0200'!A290,'Daftar Koreksi'!$G$5:$G$92,"Gedung dan Bangunan",'Daftar Koreksi'!$H$5:$H$92,"&lt;0")</f>
        <v>0</v>
      </c>
      <c r="G296" s="17">
        <f t="shared" si="13"/>
        <v>3869868956</v>
      </c>
      <c r="H296" s="122"/>
      <c r="I296" s="28"/>
      <c r="J296" s="28"/>
    </row>
    <row r="297" spans="1:10" ht="21.95" customHeight="1">
      <c r="A297" s="14"/>
      <c r="B297" s="14"/>
      <c r="C297" s="16" t="s">
        <v>1169</v>
      </c>
      <c r="D297" s="17">
        <f>VLOOKUP(A290,'Neraca Unaudited SIMAK'!$A$2:$S$10004,7,FALSE)</f>
        <v>93607183</v>
      </c>
      <c r="E297" s="25">
        <f>SUMIFS('Daftar Koreksi'!$H$5:$H$92,'Daftar Koreksi'!$D$5:$D$92,'0200'!A290,'Daftar Koreksi'!$G$5:$G$92,"Jalan Irigasi Jaringan",'Daftar Koreksi'!$H$5:$H$92,"&gt;0")</f>
        <v>0</v>
      </c>
      <c r="F297" s="25">
        <f>SUMIFS('Daftar Koreksi'!$H$5:$H$92,'Daftar Koreksi'!$D$5:$D$92,'0200'!A290,'Daftar Koreksi'!$G$5:$G$92,"Jalan Irigasi Jaringan",'Daftar Koreksi'!$H$5:$H$92,"&lt;0")-SUMIFS('Daftar Koreksi'!$H$5:$H$92,'Daftar Koreksi'!$D$5:$D$92,'0200'!A290,'Daftar Koreksi'!$G$5:$G$92,"Jalan Irigasi Jaringan",'Daftar Koreksi'!$H$5:$H$92,"&lt;0")-SUMIFS('Daftar Koreksi'!$H$5:$H$92,'Daftar Koreksi'!$D$5:$D$92,'0200'!A290,'Daftar Koreksi'!$G$5:$G$92,"Jalan Irigasi Jaringan",'Daftar Koreksi'!$H$5:$H$92,"&lt;0")</f>
        <v>0</v>
      </c>
      <c r="G297" s="17">
        <f t="shared" si="13"/>
        <v>93607183</v>
      </c>
      <c r="H297" s="122"/>
      <c r="I297" s="28"/>
      <c r="J297" s="28"/>
    </row>
    <row r="298" spans="1:10" ht="21.95" customHeight="1">
      <c r="A298" s="14"/>
      <c r="B298" s="14"/>
      <c r="C298" s="16" t="s">
        <v>1170</v>
      </c>
      <c r="D298" s="17">
        <f>VLOOKUP(A290,'Neraca Unaudited SIMAK'!$A$2:$S$10004,8,FALSE)</f>
        <v>28917060</v>
      </c>
      <c r="E298" s="25">
        <f>SUMIFS('Daftar Koreksi'!$H$5:$H$92,'Daftar Koreksi'!$D$5:$D$92,'0200'!A290,'Daftar Koreksi'!$G$5:$G$92,"Aset Tetap Lainnya",'Daftar Koreksi'!$H$5:$H$92,"&gt;0")</f>
        <v>4411622</v>
      </c>
      <c r="F298" s="25">
        <f>SUMIFS('Daftar Koreksi'!$H$5:$H$92,'Daftar Koreksi'!$D$5:$D$92,'0200'!A290,'Daftar Koreksi'!$G$5:$G$92,"Aset Tetap Lainnya",'Daftar Koreksi'!$H$5:$H$92,"&lt;0")-SUMIFS('Daftar Koreksi'!$H$5:$H$92,'Daftar Koreksi'!$D$5:$D$92,'0200'!A290,'Daftar Koreksi'!$G$5:$G$92,"Aset Tetap Lainnya",'Daftar Koreksi'!$H$5:$H$92,"&lt;0")-SUMIFS('Daftar Koreksi'!$H$5:$H$92,'Daftar Koreksi'!$D$5:$D$92,'0200'!A290,'Daftar Koreksi'!$G$5:$G$92,"Aset Tetap Lainnya",'Daftar Koreksi'!$H$5:$H$92,"&lt;0")</f>
        <v>0</v>
      </c>
      <c r="G298" s="17">
        <f t="shared" si="13"/>
        <v>33328682</v>
      </c>
      <c r="H298" s="122"/>
      <c r="I298" s="28"/>
      <c r="J298" s="28"/>
    </row>
    <row r="299" spans="1:10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Koreksi'!$D$5:$D$92,'0200'!A290,'Daftar Koreksi'!$G$5:$G$92,"Kontruksi Dalam Pengerjaan",'Daftar Koreksi'!$H$5:$H$92,"&gt;0")</f>
        <v>0</v>
      </c>
      <c r="F299" s="25">
        <f>SUMIFS('Daftar Koreksi'!$H$5:$H$92,'Daftar Koreksi'!$D$5:$D$92,'0200'!A290,'Daftar Koreksi'!$G$5:$G$92,"Kontruksi Dalam Pengerjaan",'Daftar Koreksi'!$H$5:$H$92,"&lt;0")-SUMIFS('Daftar Koreksi'!$H$5:$H$92,'Daftar Koreksi'!$D$5:$D$92,'0200'!A290,'Daftar Koreksi'!$G$5:$G$92,"Kontruksi Dalam Pengerjaan",'Daftar Koreksi'!$H$5:$H$92,"&lt;0")-SUMIFS('Daftar Koreksi'!$H$5:$H$92,'Daftar Koreksi'!$D$5:$D$92,'0200'!A290,'Daftar Koreksi'!$G$5:$G$92,"Kontruksi Dalam Pengerjaan",'Daftar Koreksi'!$H$5:$H$92,"&lt;0")</f>
        <v>0</v>
      </c>
      <c r="G299" s="17">
        <f t="shared" si="13"/>
        <v>0</v>
      </c>
      <c r="H299" s="122"/>
      <c r="I299" s="28"/>
      <c r="J299" s="28"/>
    </row>
    <row r="300" spans="1:10" ht="21.95" customHeight="1">
      <c r="A300" s="14"/>
      <c r="B300" s="14"/>
      <c r="C300" s="16" t="s">
        <v>1172</v>
      </c>
      <c r="D300" s="17">
        <f>VLOOKUP(A290,'Neraca Unaudited SIMAK'!$A$2:$S$10004,10,FALSE)</f>
        <v>9000000</v>
      </c>
      <c r="E300" s="25">
        <f>SUMIFS('Daftar Koreksi'!$H$5:$H$92,'Daftar Koreksi'!$D$5:$D$92,'0200'!A290,'Daftar Koreksi'!$G$5:$G$92,"Aset Tak Berwujud",'Daftar Koreksi'!$H$5:$H$92,"&gt;0")</f>
        <v>0</v>
      </c>
      <c r="F300" s="25">
        <f>SUMIFS('Daftar Koreksi'!$H$5:$H$92,'Daftar Koreksi'!$D$5:$D$92,'0200'!A290,'Daftar Koreksi'!$G$5:$G$92,"Aset Tak Berwujud",'Daftar Koreksi'!$H$5:$H$92,"&lt;0")-SUMIFS('Daftar Koreksi'!$H$5:$H$92,'Daftar Koreksi'!$D$5:$D$92,'0200'!A290,'Daftar Koreksi'!$G$5:$G$92,"Aset Tak Berwujud",'Daftar Koreksi'!$H$5:$H$92,"&lt;0")-SUMIFS('Daftar Koreksi'!$H$5:$H$92,'Daftar Koreksi'!$D$5:$D$92,'0200'!A290,'Daftar Koreksi'!$G$5:$G$92,"Aset Tak Berwujud",'Daftar Koreksi'!$H$5:$H$92,"&lt;0")</f>
        <v>0</v>
      </c>
      <c r="G300" s="17">
        <f t="shared" si="13"/>
        <v>9000000</v>
      </c>
      <c r="H300" s="122"/>
      <c r="I300" s="28"/>
      <c r="J300" s="28"/>
    </row>
    <row r="301" spans="1:10" ht="21.95" customHeight="1">
      <c r="A301" s="14"/>
      <c r="B301" s="14"/>
      <c r="C301" s="16" t="s">
        <v>1173</v>
      </c>
      <c r="D301" s="17">
        <f>VLOOKUP(A290,'Neraca Unaudited SIMAK'!$A$2:$S$10004,11,FALSE)</f>
        <v>1847000</v>
      </c>
      <c r="E301" s="25">
        <f>SUMIFS('Daftar Koreksi'!$H$5:$H$92,'Daftar Koreksi'!$D$5:$D$92,'0200'!A290,'Daftar Koreksi'!$G$5:$G$92,"Aset Henti Guna",'Daftar Koreksi'!$H$5:$H$92,"&gt;0")</f>
        <v>0</v>
      </c>
      <c r="F301" s="25">
        <f>SUMIFS('Daftar Koreksi'!$H$5:$H$92,'Daftar Koreksi'!$D$5:$D$92,'0200'!A290,'Daftar Koreksi'!$G$5:$G$92,"Aset Henti Guna",'Daftar Koreksi'!$H$5:$H$92,"&lt;0")-SUMIFS('Daftar Koreksi'!$H$5:$H$92,'Daftar Koreksi'!$D$5:$D$92,'0200'!A290,'Daftar Koreksi'!$G$5:$G$92,"Aset Henti Guna",'Daftar Koreksi'!$H$5:$H$92,"&lt;0")-SUMIFS('Daftar Koreksi'!$H$5:$H$92,'Daftar Koreksi'!$D$5:$D$92,'0200'!A290,'Daftar Koreksi'!$G$5:$G$92,"Aset Henti Guna",'Daftar Koreksi'!$H$5:$H$92,"&lt;0")</f>
        <v>0</v>
      </c>
      <c r="G301" s="17">
        <f t="shared" si="13"/>
        <v>1847000</v>
      </c>
      <c r="H301" s="122"/>
      <c r="I301" s="28"/>
      <c r="J301" s="28"/>
    </row>
    <row r="302" spans="1:10" ht="21.95" customHeight="1">
      <c r="A302" s="14"/>
      <c r="B302" s="14"/>
      <c r="C302" s="18" t="s">
        <v>2093</v>
      </c>
      <c r="D302" s="19">
        <f>VLOOKUP(A290,'Neraca Unaudited SIMAK'!$A$2:$S$10004,12,FALSE)</f>
        <v>15412046317</v>
      </c>
      <c r="E302" s="19">
        <f>SUM(E293:E301)</f>
        <v>4411622</v>
      </c>
      <c r="F302" s="19">
        <f>SUM(F293:F301)</f>
        <v>0</v>
      </c>
      <c r="G302" s="19">
        <f t="shared" si="13"/>
        <v>15416457939</v>
      </c>
      <c r="H302" s="122"/>
      <c r="I302" s="28"/>
      <c r="J302" s="28"/>
    </row>
    <row r="303" spans="1:10" ht="21.95" customHeight="1">
      <c r="A303" s="14"/>
      <c r="B303" s="14"/>
      <c r="C303" s="16" t="s">
        <v>2087</v>
      </c>
      <c r="D303" s="17">
        <f>VLOOKUP(A290,'Neraca Unaudited SIMAK'!$A$2:$S$10004,13,FALSE)</f>
        <v>-2134887315</v>
      </c>
      <c r="E303" s="25">
        <f>SUMIFS('Daftar Koreksi'!$I$5:$I$92,'Daftar Koreksi'!$D$5:$D$92,'0200'!A290,'Daftar Koreksi'!$G$5:$G$92,"Peralatan dan mesin",'Daftar Koreksi'!$I$5:$I$92,"&gt;0")</f>
        <v>0</v>
      </c>
      <c r="F303" s="25">
        <f>SUMIFS('Daftar Koreksi'!$I$5:$I$92,'Daftar Koreksi'!$D$5:$D$92,'0200'!A290,'Daftar Koreksi'!$G$5:$G$92,"Peralatan dan mesin",'Daftar Koreksi'!$I$5:$I$92,"&lt;0")-SUMIFS('Daftar Koreksi'!$I$5:$I$92,'Daftar Koreksi'!$D$5:$D$92,'0200'!A290,'Daftar Koreksi'!$G$5:$G$92,"Peralatan dan mesin",'Daftar Koreksi'!$I$5:$I$92,"&lt;0")-SUMIFS('Daftar Koreksi'!$I$5:$I$92,'Daftar Koreksi'!$D$5:$D$92,'0200'!A290,'Daftar Koreksi'!$G$5:$G$92,"Peralatan dan mesin",'Daftar Koreksi'!$I$5:$I$92,"&lt;0")</f>
        <v>0</v>
      </c>
      <c r="G303" s="17">
        <f t="shared" si="13"/>
        <v>-2134887315</v>
      </c>
      <c r="H303" s="122"/>
      <c r="I303" s="28"/>
      <c r="J303" s="28"/>
    </row>
    <row r="304" spans="1:10" ht="21.95" customHeight="1">
      <c r="A304" s="14"/>
      <c r="B304" s="14"/>
      <c r="C304" s="16" t="s">
        <v>2088</v>
      </c>
      <c r="D304" s="17">
        <f>VLOOKUP(A290,'Neraca Unaudited SIMAK'!$A$2:$S$10004,14,FALSE)</f>
        <v>-1238565458</v>
      </c>
      <c r="E304" s="25">
        <f>SUMIFS('Daftar Koreksi'!$I$5:$I$92,'Daftar Koreksi'!$D$5:$D$92,'0200'!A290,'Daftar Koreksi'!$G$5:$G$92,"Gedung dan Bangunan",'Daftar Koreksi'!$I$5:$I$92,"&gt;0")</f>
        <v>0</v>
      </c>
      <c r="F304" s="25">
        <f>SUMIFS('Daftar Koreksi'!$I$5:$I$92,'Daftar Koreksi'!$D$5:$D$92,'0200'!A290,'Daftar Koreksi'!$G$5:$G$92,"Gedung dan Bangunan",'Daftar Koreksi'!$I$5:$I$92,"&lt;0")-SUMIFS('Daftar Koreksi'!$I$5:$I$92,'Daftar Koreksi'!$D$5:$D$92,'0200'!A290,'Daftar Koreksi'!$G$5:$G$92,"Gedung dan Bangunan",'Daftar Koreksi'!$I$5:$I$92,"&lt;0")-SUMIFS('Daftar Koreksi'!$I$5:$I$92,'Daftar Koreksi'!$D$5:$D$92,'0200'!A290,'Daftar Koreksi'!$G$5:$G$92,"Gedung dan Bangunan",'Daftar Koreksi'!$I$5:$I$92,"&lt;0")</f>
        <v>0</v>
      </c>
      <c r="G304" s="17">
        <f t="shared" si="13"/>
        <v>-1238565458</v>
      </c>
      <c r="H304" s="122"/>
      <c r="I304" s="28"/>
      <c r="J304" s="28"/>
    </row>
    <row r="305" spans="1:10" ht="21.95" customHeight="1">
      <c r="A305" s="14"/>
      <c r="B305" s="14"/>
      <c r="C305" s="16" t="s">
        <v>2089</v>
      </c>
      <c r="D305" s="17">
        <f>VLOOKUP(A290,'Neraca Unaudited SIMAK'!$A$2:$S$10004,15,FALSE)</f>
        <v>-36261239</v>
      </c>
      <c r="E305" s="25">
        <f>SUMIFS('Daftar Koreksi'!$I$5:$I$92,'Daftar Koreksi'!$D$5:$D$92,'0200'!A290,'Daftar Koreksi'!$G$5:$G$92,"Jalan Irigasi Jaringan",'Daftar Koreksi'!$I$5:$I$92,"&gt;0")</f>
        <v>0</v>
      </c>
      <c r="F305" s="25">
        <f>SUMIFS('Daftar Koreksi'!$I$5:$I$92,'Daftar Koreksi'!$D$5:$D$92,'0200'!A290,'Daftar Koreksi'!$G$5:$G$92,"Jalan Irigasi Jaringan",'Daftar Koreksi'!$I$5:$I$92,"&lt;0")-SUMIFS('Daftar Koreksi'!$I$5:$I$92,'Daftar Koreksi'!$D$5:$D$92,'0200'!A290,'Daftar Koreksi'!$G$5:$G$92,"Jalan Irigasi Jaringan",'Daftar Koreksi'!$I$5:$I$92,"&lt;0")-SUMIFS('Daftar Koreksi'!$I$5:$I$92,'Daftar Koreksi'!$D$5:$D$92,'0200'!A290,'Daftar Koreksi'!$G$5:$G$92,"Jalan Irigasi Jaringan",'Daftar Koreksi'!$I$5:$I$92,"&lt;0")</f>
        <v>0</v>
      </c>
      <c r="G305" s="17">
        <f t="shared" si="13"/>
        <v>-36261239</v>
      </c>
      <c r="H305" s="122"/>
      <c r="I305" s="28"/>
      <c r="J305" s="28"/>
    </row>
    <row r="306" spans="1:10" ht="21.95" customHeight="1">
      <c r="A306" s="14"/>
      <c r="B306" s="14"/>
      <c r="C306" s="16" t="s">
        <v>2090</v>
      </c>
      <c r="D306" s="17">
        <f>VLOOKUP(A290,'Neraca Unaudited SIMAK'!$A$2:$S$10004,16,FALSE)</f>
        <v>-12287000</v>
      </c>
      <c r="E306" s="25">
        <f>SUMIFS('Daftar Koreksi'!$I$5:$I$92,'Daftar Koreksi'!$D$5:$D$92,'0200'!A290,'Daftar Koreksi'!$G$5:$G$92,"Aset Tetap Lainnya",'Daftar Koreksi'!$I$5:$I$92,"&gt;0")</f>
        <v>0</v>
      </c>
      <c r="F306" s="25">
        <f>SUMIFS('Daftar Koreksi'!$I$5:$I$92,'Daftar Koreksi'!$D$5:$D$92,'0200'!A290,'Daftar Koreksi'!$G$5:$G$92,"Aset Tetap Lainnya",'Daftar Koreksi'!$I$5:$I$92,"&lt;0")-SUMIFS('Daftar Koreksi'!$I$5:$I$92,'Daftar Koreksi'!$D$5:$D$92,'0200'!A290,'Daftar Koreksi'!$G$5:$G$92,"Aset Tetap Lainnya",'Daftar Koreksi'!$I$5:$I$92,"&lt;0")-SUMIFS('Daftar Koreksi'!$I$5:$I$92,'Daftar Koreksi'!$D$5:$D$92,'0200'!A290,'Daftar Koreksi'!$G$5:$G$92,"Aset Tetap Lainnya",'Daftar Koreksi'!$I$5:$I$92,"&lt;0")</f>
        <v>0</v>
      </c>
      <c r="G306" s="17">
        <f t="shared" si="13"/>
        <v>-12287000</v>
      </c>
      <c r="H306" s="122"/>
      <c r="I306" s="28"/>
      <c r="J306" s="28"/>
    </row>
    <row r="307" spans="1:10" ht="21.95" customHeight="1">
      <c r="A307" s="14"/>
      <c r="B307" s="14"/>
      <c r="C307" s="16" t="s">
        <v>2020</v>
      </c>
      <c r="D307" s="17">
        <f>VLOOKUP(A290,'Neraca Unaudited SIMAK'!$A$2:$S$10004,17,FALSE)</f>
        <v>-1847000</v>
      </c>
      <c r="E307" s="25">
        <f>SUMIFS('Daftar Koreksi'!$I$5:$I$92,'Daftar Koreksi'!$D$5:$D$92,'0200'!A290,'Daftar Koreksi'!$G$5:$G$92,"Aset Henti Guna",'Daftar Koreksi'!$I$5:$I$92,"&gt;0")</f>
        <v>0</v>
      </c>
      <c r="F307" s="25">
        <f>SUMIFS('Daftar Koreksi'!$I$5:$I$92,'Daftar Koreksi'!$D$5:$D$92,'0200'!A290,'Daftar Koreksi'!$G$5:$G$92,"Aset Henti Guna",'Daftar Koreksi'!$I$5:$I$92,"&lt;0")-SUMIFS('Daftar Koreksi'!$I$5:$I$92,'Daftar Koreksi'!$D$5:$D$92,'0200'!A290,'Daftar Koreksi'!$G$5:$G$92,"Aset Henti Guna",'Daftar Koreksi'!$I$5:$I$92,"&lt;0")-SUMIFS('Daftar Koreksi'!$I$5:$I$92,'Daftar Koreksi'!$D$5:$D$92,'0200'!A290,'Daftar Koreksi'!$G$5:$G$92,"Aset Henti Guna",'Daftar Koreksi'!$I$5:$I$92,"&lt;0")</f>
        <v>0</v>
      </c>
      <c r="G307" s="17">
        <f t="shared" si="13"/>
        <v>-1847000</v>
      </c>
      <c r="H307" s="122"/>
      <c r="I307" s="28"/>
      <c r="J307" s="28"/>
    </row>
    <row r="308" spans="1:10" ht="21.95" customHeight="1">
      <c r="A308" s="14"/>
      <c r="B308" s="14"/>
      <c r="C308" s="18" t="s">
        <v>2094</v>
      </c>
      <c r="D308" s="19">
        <f>SUM(D303:D307)</f>
        <v>-3423848012</v>
      </c>
      <c r="E308" s="19">
        <f>SUM(E303:E307)</f>
        <v>0</v>
      </c>
      <c r="F308" s="19">
        <f>SUM(F303:F307)</f>
        <v>0</v>
      </c>
      <c r="G308" s="19">
        <f t="shared" si="13"/>
        <v>-3423848012</v>
      </c>
      <c r="H308" s="122"/>
      <c r="I308" s="28"/>
      <c r="J308" s="28"/>
    </row>
    <row r="309" spans="1:10" ht="21.95" customHeight="1">
      <c r="A309" s="14"/>
      <c r="B309" s="14"/>
      <c r="C309" s="18" t="s">
        <v>2095</v>
      </c>
      <c r="D309" s="19">
        <f>VLOOKUP(A290,'Neraca Unaudited SIMAK'!$A$2:$S$10004,18,FALSE)</f>
        <v>11988198305</v>
      </c>
      <c r="E309" s="19">
        <f>E308+E302</f>
        <v>4411622</v>
      </c>
      <c r="F309" s="19">
        <f>F308+F302</f>
        <v>0</v>
      </c>
      <c r="G309" s="19">
        <f t="shared" si="13"/>
        <v>11992609927</v>
      </c>
      <c r="H309" s="122"/>
      <c r="I309" s="28"/>
      <c r="J309" s="28"/>
    </row>
    <row r="310" spans="1:10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  <c r="I310" s="28"/>
      <c r="J310" s="28"/>
    </row>
    <row r="312" spans="1:10" ht="19.5" customHeight="1">
      <c r="A312" s="11" t="str">
        <f>O15</f>
        <v>005010200097687000KD</v>
      </c>
      <c r="B312" s="11" t="str">
        <f>P15</f>
        <v>PN. Indramayu</v>
      </c>
      <c r="C312" s="12" t="str">
        <f>A312&amp;" "&amp;B312</f>
        <v>005010200097687000KD PN. Indramayu</v>
      </c>
      <c r="D312" s="13"/>
      <c r="E312" s="13"/>
      <c r="F312" s="13"/>
      <c r="G312" s="13"/>
      <c r="H312" s="11"/>
    </row>
    <row r="313" spans="1:10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10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10" ht="21.95" customHeight="1">
      <c r="A315" s="14"/>
      <c r="B315" s="14"/>
      <c r="C315" s="16" t="s">
        <v>1165</v>
      </c>
      <c r="D315" s="17">
        <f>VLOOKUP(A312,'Neraca Unaudited SIMAK'!$A$2:$S$10004,3,FALSE)</f>
        <v>303000</v>
      </c>
      <c r="E315" s="25">
        <f>SUMIFS('Daftar Koreksi'!$H$5:$H$92,'Daftar Koreksi'!$D$5:$D$92,'0200'!A312,'Daftar Koreksi'!$G$5:$G$92,"Persediaan",'Daftar Koreksi'!$H$5:$H$92,"&gt;0")</f>
        <v>0</v>
      </c>
      <c r="F315" s="25">
        <f>SUMIFS('Daftar Koreksi'!$H$5:$H$92,'Daftar Koreksi'!$D$5:$D$92,'0200'!A312,'Daftar Koreksi'!$G$5:$G$92,"Persediaan",'Daftar Koreksi'!$H$5:$H$92,"&lt;0")-SUMIFS('Daftar Koreksi'!$H$5:$H$92,'Daftar Koreksi'!$D$5:$D$92,'0200'!A312,'Daftar Koreksi'!$G$5:$G$92,"Persediaan",'Daftar Koreksi'!$H$5:$H$92,"&lt;0")-SUMIFS('Daftar Koreksi'!$H$5:$H$92,'Daftar Koreksi'!$D$5:$D$92,'0200'!A312,'Daftar Koreksi'!$G$5:$G$92,"Persediaan",'Daftar Koreksi'!$H$5:$H$92,"&lt;0")</f>
        <v>0</v>
      </c>
      <c r="G315" s="17">
        <f>D315+E315-F315</f>
        <v>303000</v>
      </c>
      <c r="H315" s="121" t="str">
        <f>IF(ISNA(VLOOKUP(A312,'Mutasi Neraca'!$A$3:$S$914,19,FALSE)),"-",VLOOKUP(A312,'Mutasi Neraca'!$A$3:$S$914,19,FALSE))</f>
        <v>TP. No 3</v>
      </c>
    </row>
    <row r="316" spans="1:10" ht="21.95" customHeight="1">
      <c r="A316" s="14"/>
      <c r="B316" s="14"/>
      <c r="C316" s="16" t="s">
        <v>1166</v>
      </c>
      <c r="D316" s="17">
        <f>VLOOKUP(A312,'Neraca Unaudited SIMAK'!$A$2:$S$10004,4,FALSE)</f>
        <v>5138320000</v>
      </c>
      <c r="E316" s="25">
        <f>SUMIFS('Daftar Koreksi'!$H$5:$H$92,'Daftar Koreksi'!$D$5:$D$92,'0200'!A312,'Daftar Koreksi'!$G$5:$G$92,"Tanah",'Daftar Koreksi'!$H$5:$H$92,"&gt;0")</f>
        <v>0</v>
      </c>
      <c r="F316" s="25">
        <f>SUMIFS('Daftar Koreksi'!$H$5:$H$92,'Daftar Koreksi'!$D$5:$D$92,'0200'!A312,'Daftar Koreksi'!$G$5:$G$92,"Tanah",'Daftar Koreksi'!$H$5:$H$92,"&lt;0")-SUMIFS('Daftar Koreksi'!$H$5:$H$92,'Daftar Koreksi'!$D$5:$D$92,'0200'!A312,'Daftar Koreksi'!$G$5:$G$92,"Tanah",'Daftar Koreksi'!$H$5:$H$92,"&lt;0")-SUMIFS('Daftar Koreksi'!$H$5:$H$92,'Daftar Koreksi'!$D$5:$D$92,'0200'!A312,'Daftar Koreksi'!$G$5:$G$92,"Tanah",'Daftar Koreksi'!$H$5:$H$92,"&lt;0")</f>
        <v>0</v>
      </c>
      <c r="G316" s="17">
        <f t="shared" ref="G316:G332" si="14">D316+E316-F316</f>
        <v>5138320000</v>
      </c>
      <c r="H316" s="122"/>
    </row>
    <row r="317" spans="1:10" ht="21.95" customHeight="1">
      <c r="A317" s="14"/>
      <c r="B317" s="14"/>
      <c r="C317" s="16" t="s">
        <v>1167</v>
      </c>
      <c r="D317" s="17">
        <f>VLOOKUP(A312,'Neraca Unaudited SIMAK'!$A$2:$S$10004,5,FALSE)</f>
        <v>1627909439</v>
      </c>
      <c r="E317" s="25">
        <f>SUMIFS('Daftar Koreksi'!$H$5:$H$92,'Daftar Koreksi'!$D$5:$D$92,'0200'!A312,'Daftar Koreksi'!$G$5:$G$92,"Peralatan dan mesin",'Daftar Koreksi'!$H$5:$H$92,"&gt;0")</f>
        <v>0</v>
      </c>
      <c r="F317" s="25">
        <f>SUMIFS('Daftar Koreksi'!$H$5:$H$92,'Daftar Koreksi'!$D$5:$D$92,'0200'!A312,'Daftar Koreksi'!$G$5:$G$92,"Peralatan dan mesin",'Daftar Koreksi'!$H$5:$H$92,"&lt;0")-SUMIFS('Daftar Koreksi'!$H$5:$H$92,'Daftar Koreksi'!$D$5:$D$92,'0200'!A312,'Daftar Koreksi'!$G$5:$G$92,"Peralatan dan mesin",'Daftar Koreksi'!$H$5:$H$92,"&lt;0")-SUMIFS('Daftar Koreksi'!$H$5:$H$92,'Daftar Koreksi'!$D$5:$D$92,'0200'!A312,'Daftar Koreksi'!$G$5:$G$92,"Peralatan dan mesin",'Daftar Koreksi'!$H$5:$H$92,"&lt;0")</f>
        <v>0</v>
      </c>
      <c r="G317" s="17">
        <f t="shared" si="14"/>
        <v>1627909439</v>
      </c>
      <c r="H317" s="122"/>
    </row>
    <row r="318" spans="1:10" ht="21.95" customHeight="1">
      <c r="A318" s="14"/>
      <c r="B318" s="14"/>
      <c r="C318" s="16" t="s">
        <v>1168</v>
      </c>
      <c r="D318" s="17">
        <f>VLOOKUP(A312,'Neraca Unaudited SIMAK'!$A$2:$S$10004,6,FALSE)</f>
        <v>3397377000</v>
      </c>
      <c r="E318" s="25">
        <f>SUMIFS('Daftar Koreksi'!$H$5:$H$92,'Daftar Koreksi'!$D$5:$D$92,'0200'!A312,'Daftar Koreksi'!$G$5:$G$92,"Gedung dan Bangunan",'Daftar Koreksi'!$H$5:$H$92,"&gt;0")</f>
        <v>0</v>
      </c>
      <c r="F318" s="25">
        <f>SUMIFS('Daftar Koreksi'!$H$5:$H$92,'Daftar Koreksi'!$D$5:$D$92,'0200'!A312,'Daftar Koreksi'!$G$5:$G$92,"Gedung dan Bangunan",'Daftar Koreksi'!$H$5:$H$92,"&lt;0")-SUMIFS('Daftar Koreksi'!$H$5:$H$92,'Daftar Koreksi'!$D$5:$D$92,'0200'!A312,'Daftar Koreksi'!$G$5:$G$92,"Gedung dan Bangunan",'Daftar Koreksi'!$H$5:$H$92,"&lt;0")-SUMIFS('Daftar Koreksi'!$H$5:$H$92,'Daftar Koreksi'!$D$5:$D$92,'0200'!A312,'Daftar Koreksi'!$G$5:$G$92,"Gedung dan Bangunan",'Daftar Koreksi'!$H$5:$H$92,"&lt;0")</f>
        <v>0</v>
      </c>
      <c r="G318" s="17">
        <f t="shared" si="14"/>
        <v>3397377000</v>
      </c>
      <c r="H318" s="122"/>
    </row>
    <row r="319" spans="1:10" ht="21.95" customHeight="1">
      <c r="A319" s="14"/>
      <c r="B319" s="14"/>
      <c r="C319" s="16" t="s">
        <v>1169</v>
      </c>
      <c r="D319" s="17">
        <f>VLOOKUP(A312,'Neraca Unaudited SIMAK'!$A$2:$S$10004,7,FALSE)</f>
        <v>56899840</v>
      </c>
      <c r="E319" s="25">
        <f>SUMIFS('Daftar Koreksi'!$H$5:$H$92,'Daftar Koreksi'!$D$5:$D$92,'0200'!A312,'Daftar Koreksi'!$G$5:$G$92,"Jalan Irigasi Jaringan",'Daftar Koreksi'!$H$5:$H$92,"&gt;0")</f>
        <v>0</v>
      </c>
      <c r="F319" s="25">
        <f>SUMIFS('Daftar Koreksi'!$H$5:$H$92,'Daftar Koreksi'!$D$5:$D$92,'0200'!A312,'Daftar Koreksi'!$G$5:$G$92,"Jalan Irigasi Jaringan",'Daftar Koreksi'!$H$5:$H$92,"&lt;0")-SUMIFS('Daftar Koreksi'!$H$5:$H$92,'Daftar Koreksi'!$D$5:$D$92,'0200'!A312,'Daftar Koreksi'!$G$5:$G$92,"Jalan Irigasi Jaringan",'Daftar Koreksi'!$H$5:$H$92,"&lt;0")-SUMIFS('Daftar Koreksi'!$H$5:$H$92,'Daftar Koreksi'!$D$5:$D$92,'0200'!A312,'Daftar Koreksi'!$G$5:$G$92,"Jalan Irigasi Jaringan",'Daftar Koreksi'!$H$5:$H$92,"&lt;0")</f>
        <v>0</v>
      </c>
      <c r="G319" s="17">
        <f t="shared" si="14"/>
        <v>56899840</v>
      </c>
      <c r="H319" s="122"/>
    </row>
    <row r="320" spans="1:10" ht="21.95" customHeight="1">
      <c r="A320" s="14"/>
      <c r="B320" s="14"/>
      <c r="C320" s="16" t="s">
        <v>1170</v>
      </c>
      <c r="D320" s="17">
        <f>VLOOKUP(A312,'Neraca Unaudited SIMAK'!$A$2:$S$10004,8,FALSE)</f>
        <v>1943440</v>
      </c>
      <c r="E320" s="25">
        <f>SUMIFS('Daftar Koreksi'!$H$5:$H$92,'Daftar Koreksi'!$D$5:$D$92,'0200'!A312,'Daftar Koreksi'!$G$5:$G$92,"Aset Tetap Lainnya",'Daftar Koreksi'!$H$5:$H$92,"&gt;0")</f>
        <v>4411622</v>
      </c>
      <c r="F320" s="25">
        <f>SUMIFS('Daftar Koreksi'!$H$5:$H$92,'Daftar Koreksi'!$D$5:$D$92,'0200'!A312,'Daftar Koreksi'!$G$5:$G$92,"Aset Tetap Lainnya",'Daftar Koreksi'!$H$5:$H$92,"&lt;0")-SUMIFS('Daftar Koreksi'!$H$5:$H$92,'Daftar Koreksi'!$D$5:$D$92,'0200'!A312,'Daftar Koreksi'!$G$5:$G$92,"Aset Tetap Lainnya",'Daftar Koreksi'!$H$5:$H$92,"&lt;0")-SUMIFS('Daftar Koreksi'!$H$5:$H$92,'Daftar Koreksi'!$D$5:$D$92,'0200'!A312,'Daftar Koreksi'!$G$5:$G$92,"Aset Tetap Lainnya",'Daftar Koreksi'!$H$5:$H$92,"&lt;0")</f>
        <v>0</v>
      </c>
      <c r="G320" s="17">
        <f t="shared" si="14"/>
        <v>6355062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Koreksi'!$D$5:$D$92,'0200'!A312,'Daftar Koreksi'!$G$5:$G$92,"Kontruksi Dalam Pengerjaan",'Daftar Koreksi'!$H$5:$H$92,"&gt;0")</f>
        <v>0</v>
      </c>
      <c r="F321" s="25">
        <f>SUMIFS('Daftar Koreksi'!$H$5:$H$92,'Daftar Koreksi'!$D$5:$D$92,'0200'!A312,'Daftar Koreksi'!$G$5:$G$92,"Kontruksi Dalam Pengerjaan",'Daftar Koreksi'!$H$5:$H$92,"&lt;0")-SUMIFS('Daftar Koreksi'!$H$5:$H$92,'Daftar Koreksi'!$D$5:$D$92,'0200'!A312,'Daftar Koreksi'!$G$5:$G$92,"Kontruksi Dalam Pengerjaan",'Daftar Koreksi'!$H$5:$H$92,"&lt;0")-SUMIFS('Daftar Koreksi'!$H$5:$H$92,'Daftar Koreksi'!$D$5:$D$92,'0200'!A312,'Daftar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Koreksi'!$D$5:$D$92,'0200'!A312,'Daftar Koreksi'!$G$5:$G$92,"Aset Tak Berwujud",'Daftar Koreksi'!$H$5:$H$92,"&gt;0")</f>
        <v>0</v>
      </c>
      <c r="F322" s="25">
        <f>SUMIFS('Daftar Koreksi'!$H$5:$H$92,'Daftar Koreksi'!$D$5:$D$92,'0200'!A312,'Daftar Koreksi'!$G$5:$G$92,"Aset Tak Berwujud",'Daftar Koreksi'!$H$5:$H$92,"&lt;0")-SUMIFS('Daftar Koreksi'!$H$5:$H$92,'Daftar Koreksi'!$D$5:$D$92,'0200'!A312,'Daftar Koreksi'!$G$5:$G$92,"Aset Tak Berwujud",'Daftar Koreksi'!$H$5:$H$92,"&lt;0")-SUMIFS('Daftar Koreksi'!$H$5:$H$92,'Daftar Koreksi'!$D$5:$D$92,'0200'!A312,'Daftar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463000</v>
      </c>
      <c r="E323" s="25">
        <f>SUMIFS('Daftar Koreksi'!$H$5:$H$92,'Daftar Koreksi'!$D$5:$D$92,'0200'!A312,'Daftar Koreksi'!$G$5:$G$92,"Aset Henti Guna",'Daftar Koreksi'!$H$5:$H$92,"&gt;0")</f>
        <v>0</v>
      </c>
      <c r="F323" s="25">
        <f>SUMIFS('Daftar Koreksi'!$H$5:$H$92,'Daftar Koreksi'!$D$5:$D$92,'0200'!A312,'Daftar Koreksi'!$G$5:$G$92,"Aset Henti Guna",'Daftar Koreksi'!$H$5:$H$92,"&lt;0")-SUMIFS('Daftar Koreksi'!$H$5:$H$92,'Daftar Koreksi'!$D$5:$D$92,'0200'!A312,'Daftar Koreksi'!$G$5:$G$92,"Aset Henti Guna",'Daftar Koreksi'!$H$5:$H$92,"&lt;0")-SUMIFS('Daftar Koreksi'!$H$5:$H$92,'Daftar Koreksi'!$D$5:$D$92,'0200'!A312,'Daftar Koreksi'!$G$5:$G$92,"Aset Henti Guna",'Daftar Koreksi'!$H$5:$H$92,"&lt;0")</f>
        <v>0</v>
      </c>
      <c r="G323" s="17">
        <f t="shared" si="14"/>
        <v>463000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10223215719</v>
      </c>
      <c r="E324" s="19">
        <f>SUM(E315:E323)</f>
        <v>4411622</v>
      </c>
      <c r="F324" s="19">
        <f>SUM(F315:F323)</f>
        <v>0</v>
      </c>
      <c r="G324" s="19">
        <f t="shared" si="14"/>
        <v>10227627341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-1483247944</v>
      </c>
      <c r="E325" s="25">
        <f>SUMIFS('Daftar Koreksi'!$I$5:$I$92,'Daftar Koreksi'!$D$5:$D$92,'0200'!A312,'Daftar Koreksi'!$G$5:$G$92,"Peralatan dan mesin",'Daftar Koreksi'!$I$5:$I$92,"&gt;0")</f>
        <v>0</v>
      </c>
      <c r="F325" s="25">
        <f>SUMIFS('Daftar Koreksi'!$I$5:$I$92,'Daftar Koreksi'!$D$5:$D$92,'0200'!A312,'Daftar Koreksi'!$G$5:$G$92,"Peralatan dan mesin",'Daftar Koreksi'!$I$5:$I$92,"&lt;0")-SUMIFS('Daftar Koreksi'!$I$5:$I$92,'Daftar Koreksi'!$D$5:$D$92,'0200'!A312,'Daftar Koreksi'!$G$5:$G$92,"Peralatan dan mesin",'Daftar Koreksi'!$I$5:$I$92,"&lt;0")-SUMIFS('Daftar Koreksi'!$I$5:$I$92,'Daftar Koreksi'!$D$5:$D$92,'0200'!A312,'Daftar Koreksi'!$G$5:$G$92,"Peralatan dan mesin",'Daftar Koreksi'!$I$5:$I$92,"&lt;0")</f>
        <v>0</v>
      </c>
      <c r="G325" s="17">
        <f t="shared" si="14"/>
        <v>-1483247944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-1902574393</v>
      </c>
      <c r="E326" s="25">
        <f>SUMIFS('Daftar Koreksi'!$I$5:$I$92,'Daftar Koreksi'!$D$5:$D$92,'0200'!A312,'Daftar Koreksi'!$G$5:$G$92,"Gedung dan Bangunan",'Daftar Koreksi'!$I$5:$I$92,"&gt;0")</f>
        <v>0</v>
      </c>
      <c r="F326" s="25">
        <f>SUMIFS('Daftar Koreksi'!$I$5:$I$92,'Daftar Koreksi'!$D$5:$D$92,'0200'!A312,'Daftar Koreksi'!$G$5:$G$92,"Gedung dan Bangunan",'Daftar Koreksi'!$I$5:$I$92,"&lt;0")-SUMIFS('Daftar Koreksi'!$I$5:$I$92,'Daftar Koreksi'!$D$5:$D$92,'0200'!A312,'Daftar Koreksi'!$G$5:$G$92,"Gedung dan Bangunan",'Daftar Koreksi'!$I$5:$I$92,"&lt;0")-SUMIFS('Daftar Koreksi'!$I$5:$I$92,'Daftar Koreksi'!$D$5:$D$92,'0200'!A312,'Daftar Koreksi'!$G$5:$G$92,"Gedung dan Bangunan",'Daftar Koreksi'!$I$5:$I$92,"&lt;0")</f>
        <v>0</v>
      </c>
      <c r="G326" s="17">
        <f t="shared" si="14"/>
        <v>-1902574393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-54554848</v>
      </c>
      <c r="E327" s="25">
        <f>SUMIFS('Daftar Koreksi'!$I$5:$I$92,'Daftar Koreksi'!$D$5:$D$92,'0200'!A312,'Daftar Koreksi'!$G$5:$G$92,"Jalan Irigasi Jaringan",'Daftar Koreksi'!$I$5:$I$92,"&gt;0")</f>
        <v>0</v>
      </c>
      <c r="F327" s="25">
        <f>SUMIFS('Daftar Koreksi'!$I$5:$I$92,'Daftar Koreksi'!$D$5:$D$92,'0200'!A312,'Daftar Koreksi'!$G$5:$G$92,"Jalan Irigasi Jaringan",'Daftar Koreksi'!$I$5:$I$92,"&lt;0")-SUMIFS('Daftar Koreksi'!$I$5:$I$92,'Daftar Koreksi'!$D$5:$D$92,'0200'!A312,'Daftar Koreksi'!$G$5:$G$92,"Jalan Irigasi Jaringan",'Daftar Koreksi'!$I$5:$I$92,"&lt;0")-SUMIFS('Daftar Koreksi'!$I$5:$I$92,'Daftar Koreksi'!$D$5:$D$92,'0200'!A312,'Daftar Koreksi'!$G$5:$G$92,"Jalan Irigasi Jaringan",'Daftar Koreksi'!$I$5:$I$92,"&lt;0")</f>
        <v>0</v>
      </c>
      <c r="G327" s="17">
        <f t="shared" si="14"/>
        <v>-54554848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Koreksi'!$D$5:$D$92,'0200'!A312,'Daftar Koreksi'!$G$5:$G$92,"Aset Tetap Lainnya",'Daftar Koreksi'!$I$5:$I$92,"&gt;0")</f>
        <v>0</v>
      </c>
      <c r="F328" s="25">
        <f>SUMIFS('Daftar Koreksi'!$I$5:$I$92,'Daftar Koreksi'!$D$5:$D$92,'0200'!A312,'Daftar Koreksi'!$G$5:$G$92,"Aset Tetap Lainnya",'Daftar Koreksi'!$I$5:$I$92,"&lt;0")-SUMIFS('Daftar Koreksi'!$I$5:$I$92,'Daftar Koreksi'!$D$5:$D$92,'0200'!A312,'Daftar Koreksi'!$G$5:$G$92,"Aset Tetap Lainnya",'Daftar Koreksi'!$I$5:$I$92,"&lt;0")-SUMIFS('Daftar Koreksi'!$I$5:$I$92,'Daftar Koreksi'!$D$5:$D$92,'0200'!A312,'Daftar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-463000</v>
      </c>
      <c r="E329" s="25">
        <f>SUMIFS('Daftar Koreksi'!$I$5:$I$92,'Daftar Koreksi'!$D$5:$D$92,'0200'!A312,'Daftar Koreksi'!$G$5:$G$92,"Aset Henti Guna",'Daftar Koreksi'!$I$5:$I$92,"&gt;0")</f>
        <v>0</v>
      </c>
      <c r="F329" s="25">
        <f>SUMIFS('Daftar Koreksi'!$I$5:$I$92,'Daftar Koreksi'!$D$5:$D$92,'0200'!A312,'Daftar Koreksi'!$G$5:$G$92,"Aset Henti Guna",'Daftar Koreksi'!$I$5:$I$92,"&lt;0")-SUMIFS('Daftar Koreksi'!$I$5:$I$92,'Daftar Koreksi'!$D$5:$D$92,'0200'!A312,'Daftar Koreksi'!$G$5:$G$92,"Aset Henti Guna",'Daftar Koreksi'!$I$5:$I$92,"&lt;0")-SUMIFS('Daftar Koreksi'!$I$5:$I$92,'Daftar Koreksi'!$D$5:$D$92,'0200'!A312,'Daftar Koreksi'!$G$5:$G$92,"Aset Henti Guna",'Daftar Koreksi'!$I$5:$I$92,"&lt;0")</f>
        <v>0</v>
      </c>
      <c r="G329" s="17">
        <f t="shared" si="14"/>
        <v>-463000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-3440840185</v>
      </c>
      <c r="E330" s="19">
        <f>SUM(E325:E329)</f>
        <v>0</v>
      </c>
      <c r="F330" s="19">
        <f>SUM(F325:F329)</f>
        <v>0</v>
      </c>
      <c r="G330" s="19">
        <f t="shared" si="14"/>
        <v>-3440840185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6782375534</v>
      </c>
      <c r="E331" s="19">
        <f>E330+E324</f>
        <v>4411622</v>
      </c>
      <c r="F331" s="19">
        <f>F330+F324</f>
        <v>0</v>
      </c>
      <c r="G331" s="19">
        <f t="shared" si="14"/>
        <v>6786787156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005010200097691000KD</v>
      </c>
      <c r="B334" s="11" t="str">
        <f>P16</f>
        <v>PN. Majalengka</v>
      </c>
      <c r="C334" s="12" t="str">
        <f>A334&amp;" "&amp;B334</f>
        <v>005010200097691000KD PN. Majalengka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10" ht="21.95" customHeight="1">
      <c r="A337" s="14"/>
      <c r="B337" s="14"/>
      <c r="C337" s="16" t="s">
        <v>1165</v>
      </c>
      <c r="D337" s="17">
        <f>VLOOKUP(A334,'Neraca Unaudited SIMAK'!$A$2:$S$10004,3,FALSE)</f>
        <v>1564800</v>
      </c>
      <c r="E337" s="25">
        <f>SUMIFS('Daftar Koreksi'!$H$5:$H$92,'Daftar Koreksi'!$D$5:$D$92,'0200'!A334,'Daftar Koreksi'!$G$5:$G$92,"Persediaan",'Daftar Koreksi'!$H$5:$H$92,"&gt;0")</f>
        <v>0</v>
      </c>
      <c r="F337" s="25">
        <f>SUMIFS('Daftar Koreksi'!$H$5:$H$92,'Daftar Koreksi'!$D$5:$D$92,'0200'!A334,'Daftar Koreksi'!$G$5:$G$92,"Persediaan",'Daftar Koreksi'!$H$5:$H$92,"&lt;0")-SUMIFS('Daftar Koreksi'!$H$5:$H$92,'Daftar Koreksi'!$D$5:$D$92,'0200'!A334,'Daftar Koreksi'!$G$5:$G$92,"Persediaan",'Daftar Koreksi'!$H$5:$H$92,"&lt;0")-SUMIFS('Daftar Koreksi'!$H$5:$H$92,'Daftar Koreksi'!$D$5:$D$92,'0200'!A334,'Daftar Koreksi'!$G$5:$G$92,"Persediaan",'Daftar Koreksi'!$H$5:$H$92,"&lt;0")</f>
        <v>0</v>
      </c>
      <c r="G337" s="17">
        <f>D337+E337-F337</f>
        <v>1564800</v>
      </c>
      <c r="H337" s="121" t="str">
        <f>IF(ISNA(VLOOKUP(A334,'Mutasi Neraca'!$A$3:$S$914,19,FALSE)),"-",VLOOKUP(A334,'Mutasi Neraca'!$A$3:$S$914,19,FALSE))</f>
        <v>TP. No 3</v>
      </c>
      <c r="I337" s="28"/>
      <c r="J337" s="28"/>
    </row>
    <row r="338" spans="1:10" ht="21.95" customHeight="1">
      <c r="A338" s="14"/>
      <c r="B338" s="14"/>
      <c r="C338" s="16" t="s">
        <v>1166</v>
      </c>
      <c r="D338" s="17">
        <f>VLOOKUP(A334,'Neraca Unaudited SIMAK'!$A$2:$S$10004,4,FALSE)</f>
        <v>2550000000</v>
      </c>
      <c r="E338" s="25">
        <f>SUMIFS('Daftar Koreksi'!$H$5:$H$92,'Daftar Koreksi'!$D$5:$D$92,'0200'!A334,'Daftar Koreksi'!$G$5:$G$92,"Tanah",'Daftar Koreksi'!$H$5:$H$92,"&gt;0")</f>
        <v>0</v>
      </c>
      <c r="F338" s="25">
        <f>SUMIFS('Daftar Koreksi'!$H$5:$H$92,'Daftar Koreksi'!$D$5:$D$92,'0200'!A334,'Daftar Koreksi'!$G$5:$G$92,"Tanah",'Daftar Koreksi'!$H$5:$H$92,"&lt;0")-SUMIFS('Daftar Koreksi'!$H$5:$H$92,'Daftar Koreksi'!$D$5:$D$92,'0200'!A334,'Daftar Koreksi'!$G$5:$G$92,"Tanah",'Daftar Koreksi'!$H$5:$H$92,"&lt;0")-SUMIFS('Daftar Koreksi'!$H$5:$H$92,'Daftar Koreksi'!$D$5:$D$92,'0200'!A334,'Daftar Koreksi'!$G$5:$G$92,"Tanah",'Daftar Koreksi'!$H$5:$H$92,"&lt;0")</f>
        <v>0</v>
      </c>
      <c r="G338" s="17">
        <f t="shared" ref="G338:G354" si="15">D338+E338-F338</f>
        <v>2550000000</v>
      </c>
      <c r="H338" s="122"/>
      <c r="I338" s="28"/>
      <c r="J338" s="28"/>
    </row>
    <row r="339" spans="1:10" ht="21.95" customHeight="1">
      <c r="A339" s="14"/>
      <c r="B339" s="14"/>
      <c r="C339" s="16" t="s">
        <v>1167</v>
      </c>
      <c r="D339" s="17">
        <f>VLOOKUP(A334,'Neraca Unaudited SIMAK'!$A$2:$S$10004,5,FALSE)</f>
        <v>1806585665</v>
      </c>
      <c r="E339" s="25">
        <f>SUMIFS('Daftar Koreksi'!$H$5:$H$92,'Daftar Koreksi'!$D$5:$D$92,'0200'!A334,'Daftar Koreksi'!$G$5:$G$92,"Peralatan dan mesin",'Daftar Koreksi'!$H$5:$H$92,"&gt;0")</f>
        <v>0</v>
      </c>
      <c r="F339" s="25">
        <f>SUMIFS('Daftar Koreksi'!$H$5:$H$92,'Daftar Koreksi'!$D$5:$D$92,'0200'!A334,'Daftar Koreksi'!$G$5:$G$92,"Peralatan dan mesin",'Daftar Koreksi'!$H$5:$H$92,"&lt;0")-SUMIFS('Daftar Koreksi'!$H$5:$H$92,'Daftar Koreksi'!$D$5:$D$92,'0200'!A334,'Daftar Koreksi'!$G$5:$G$92,"Peralatan dan mesin",'Daftar Koreksi'!$H$5:$H$92,"&lt;0")-SUMIFS('Daftar Koreksi'!$H$5:$H$92,'Daftar Koreksi'!$D$5:$D$92,'0200'!A334,'Daftar Koreksi'!$G$5:$G$92,"Peralatan dan mesin",'Daftar Koreksi'!$H$5:$H$92,"&lt;0")</f>
        <v>0</v>
      </c>
      <c r="G339" s="17">
        <f t="shared" si="15"/>
        <v>1806585665</v>
      </c>
      <c r="H339" s="122"/>
      <c r="I339" s="28"/>
      <c r="J339" s="28"/>
    </row>
    <row r="340" spans="1:10" ht="21.95" customHeight="1">
      <c r="A340" s="14"/>
      <c r="B340" s="14"/>
      <c r="C340" s="16" t="s">
        <v>1168</v>
      </c>
      <c r="D340" s="17">
        <f>VLOOKUP(A334,'Neraca Unaudited SIMAK'!$A$2:$S$10004,6,FALSE)</f>
        <v>3180806600</v>
      </c>
      <c r="E340" s="25">
        <f>SUMIFS('Daftar Koreksi'!$H$5:$H$92,'Daftar Koreksi'!$D$5:$D$92,'0200'!A334,'Daftar Koreksi'!$G$5:$G$92,"Gedung dan Bangunan",'Daftar Koreksi'!$H$5:$H$92,"&gt;0")</f>
        <v>0</v>
      </c>
      <c r="F340" s="25">
        <f>SUMIFS('Daftar Koreksi'!$H$5:$H$92,'Daftar Koreksi'!$D$5:$D$92,'0200'!A334,'Daftar Koreksi'!$G$5:$G$92,"Gedung dan Bangunan",'Daftar Koreksi'!$H$5:$H$92,"&lt;0")-SUMIFS('Daftar Koreksi'!$H$5:$H$92,'Daftar Koreksi'!$D$5:$D$92,'0200'!A334,'Daftar Koreksi'!$G$5:$G$92,"Gedung dan Bangunan",'Daftar Koreksi'!$H$5:$H$92,"&lt;0")-SUMIFS('Daftar Koreksi'!$H$5:$H$92,'Daftar Koreksi'!$D$5:$D$92,'0200'!A334,'Daftar Koreksi'!$G$5:$G$92,"Gedung dan Bangunan",'Daftar Koreksi'!$H$5:$H$92,"&lt;0")</f>
        <v>0</v>
      </c>
      <c r="G340" s="17">
        <f t="shared" si="15"/>
        <v>3180806600</v>
      </c>
      <c r="H340" s="122"/>
      <c r="I340" s="28"/>
      <c r="J340" s="28"/>
    </row>
    <row r="341" spans="1:10" ht="21.95" customHeight="1">
      <c r="A341" s="14"/>
      <c r="B341" s="14"/>
      <c r="C341" s="16" t="s">
        <v>1169</v>
      </c>
      <c r="D341" s="17">
        <f>VLOOKUP(A334,'Neraca Unaudited SIMAK'!$A$2:$S$10004,7,FALSE)</f>
        <v>90971000</v>
      </c>
      <c r="E341" s="25">
        <f>SUMIFS('Daftar Koreksi'!$H$5:$H$92,'Daftar Koreksi'!$D$5:$D$92,'0200'!A334,'Daftar Koreksi'!$G$5:$G$92,"Jalan Irigasi Jaringan",'Daftar Koreksi'!$H$5:$H$92,"&gt;0")</f>
        <v>0</v>
      </c>
      <c r="F341" s="25">
        <f>SUMIFS('Daftar Koreksi'!$H$5:$H$92,'Daftar Koreksi'!$D$5:$D$92,'0200'!A334,'Daftar Koreksi'!$G$5:$G$92,"Jalan Irigasi Jaringan",'Daftar Koreksi'!$H$5:$H$92,"&lt;0")-SUMIFS('Daftar Koreksi'!$H$5:$H$92,'Daftar Koreksi'!$D$5:$D$92,'0200'!A334,'Daftar Koreksi'!$G$5:$G$92,"Jalan Irigasi Jaringan",'Daftar Koreksi'!$H$5:$H$92,"&lt;0")-SUMIFS('Daftar Koreksi'!$H$5:$H$92,'Daftar Koreksi'!$D$5:$D$92,'0200'!A334,'Daftar Koreksi'!$G$5:$G$92,"Jalan Irigasi Jaringan",'Daftar Koreksi'!$H$5:$H$92,"&lt;0")</f>
        <v>0</v>
      </c>
      <c r="G341" s="17">
        <f t="shared" si="15"/>
        <v>90971000</v>
      </c>
      <c r="H341" s="122"/>
      <c r="I341" s="28"/>
      <c r="J341" s="28"/>
    </row>
    <row r="342" spans="1:10" ht="21.95" customHeight="1">
      <c r="A342" s="14"/>
      <c r="B342" s="14"/>
      <c r="C342" s="16" t="s">
        <v>1170</v>
      </c>
      <c r="D342" s="17">
        <f>VLOOKUP(A334,'Neraca Unaudited SIMAK'!$A$2:$S$10004,8,FALSE)</f>
        <v>6542116</v>
      </c>
      <c r="E342" s="25">
        <f>SUMIFS('Daftar Koreksi'!$H$5:$H$92,'Daftar Koreksi'!$D$5:$D$92,'0200'!A334,'Daftar Koreksi'!$G$5:$G$92,"Aset Tetap Lainnya",'Daftar Koreksi'!$H$5:$H$92,"&gt;0")</f>
        <v>4411622</v>
      </c>
      <c r="F342" s="25">
        <f>SUMIFS('Daftar Koreksi'!$H$5:$H$92,'Daftar Koreksi'!$D$5:$D$92,'0200'!A334,'Daftar Koreksi'!$G$5:$G$92,"Aset Tetap Lainnya",'Daftar Koreksi'!$H$5:$H$92,"&lt;0")-SUMIFS('Daftar Koreksi'!$H$5:$H$92,'Daftar Koreksi'!$D$5:$D$92,'0200'!A334,'Daftar Koreksi'!$G$5:$G$92,"Aset Tetap Lainnya",'Daftar Koreksi'!$H$5:$H$92,"&lt;0")-SUMIFS('Daftar Koreksi'!$H$5:$H$92,'Daftar Koreksi'!$D$5:$D$92,'0200'!A334,'Daftar Koreksi'!$G$5:$G$92,"Aset Tetap Lainnya",'Daftar Koreksi'!$H$5:$H$92,"&lt;0")</f>
        <v>0</v>
      </c>
      <c r="G342" s="17">
        <f t="shared" si="15"/>
        <v>10953738</v>
      </c>
      <c r="H342" s="122"/>
      <c r="I342" s="28"/>
      <c r="J342" s="28"/>
    </row>
    <row r="343" spans="1:10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Koreksi'!$D$5:$D$92,'0200'!A334,'Daftar Koreksi'!$G$5:$G$92,"Kontruksi Dalam Pengerjaan",'Daftar Koreksi'!$H$5:$H$92,"&gt;0")</f>
        <v>0</v>
      </c>
      <c r="F343" s="25">
        <f>SUMIFS('Daftar Koreksi'!$H$5:$H$92,'Daftar Koreksi'!$D$5:$D$92,'0200'!A334,'Daftar Koreksi'!$G$5:$G$92,"Kontruksi Dalam Pengerjaan",'Daftar Koreksi'!$H$5:$H$92,"&lt;0")-SUMIFS('Daftar Koreksi'!$H$5:$H$92,'Daftar Koreksi'!$D$5:$D$92,'0200'!A334,'Daftar Koreksi'!$G$5:$G$92,"Kontruksi Dalam Pengerjaan",'Daftar Koreksi'!$H$5:$H$92,"&lt;0")-SUMIFS('Daftar Koreksi'!$H$5:$H$92,'Daftar Koreksi'!$D$5:$D$92,'0200'!A334,'Daftar Koreksi'!$G$5:$G$92,"Kontruksi Dalam Pengerjaan",'Daftar Koreksi'!$H$5:$H$92,"&lt;0")</f>
        <v>0</v>
      </c>
      <c r="G343" s="17">
        <f t="shared" si="15"/>
        <v>0</v>
      </c>
      <c r="H343" s="122"/>
      <c r="I343" s="28"/>
      <c r="J343" s="28"/>
    </row>
    <row r="344" spans="1:10" ht="21.95" customHeight="1">
      <c r="A344" s="14"/>
      <c r="B344" s="14"/>
      <c r="C344" s="16" t="s">
        <v>1172</v>
      </c>
      <c r="D344" s="17">
        <f>VLOOKUP(A334,'Neraca Unaudited SIMAK'!$A$2:$S$10004,10,FALSE)</f>
        <v>8800000</v>
      </c>
      <c r="E344" s="25">
        <f>SUMIFS('Daftar Koreksi'!$H$5:$H$92,'Daftar Koreksi'!$D$5:$D$92,'0200'!A334,'Daftar Koreksi'!$G$5:$G$92,"Aset Tak Berwujud",'Daftar Koreksi'!$H$5:$H$92,"&gt;0")</f>
        <v>0</v>
      </c>
      <c r="F344" s="25">
        <f>SUMIFS('Daftar Koreksi'!$H$5:$H$92,'Daftar Koreksi'!$D$5:$D$92,'0200'!A334,'Daftar Koreksi'!$G$5:$G$92,"Aset Tak Berwujud",'Daftar Koreksi'!$H$5:$H$92,"&lt;0")-SUMIFS('Daftar Koreksi'!$H$5:$H$92,'Daftar Koreksi'!$D$5:$D$92,'0200'!A334,'Daftar Koreksi'!$G$5:$G$92,"Aset Tak Berwujud",'Daftar Koreksi'!$H$5:$H$92,"&lt;0")-SUMIFS('Daftar Koreksi'!$H$5:$H$92,'Daftar Koreksi'!$D$5:$D$92,'0200'!A334,'Daftar Koreksi'!$G$5:$G$92,"Aset Tak Berwujud",'Daftar Koreksi'!$H$5:$H$92,"&lt;0")</f>
        <v>0</v>
      </c>
      <c r="G344" s="17">
        <f t="shared" si="15"/>
        <v>8800000</v>
      </c>
      <c r="H344" s="122"/>
      <c r="I344" s="28"/>
      <c r="J344" s="28"/>
    </row>
    <row r="345" spans="1:10" ht="21.95" customHeight="1">
      <c r="A345" s="14"/>
      <c r="B345" s="14"/>
      <c r="C345" s="16" t="s">
        <v>1173</v>
      </c>
      <c r="D345" s="17">
        <f>VLOOKUP(A334,'Neraca Unaudited SIMAK'!$A$2:$S$10004,11,FALSE)</f>
        <v>56961000</v>
      </c>
      <c r="E345" s="25">
        <f>SUMIFS('Daftar Koreksi'!$H$5:$H$92,'Daftar Koreksi'!$D$5:$D$92,'0200'!A334,'Daftar Koreksi'!$G$5:$G$92,"Aset Henti Guna",'Daftar Koreksi'!$H$5:$H$92,"&gt;0")</f>
        <v>0</v>
      </c>
      <c r="F345" s="25">
        <f>SUMIFS('Daftar Koreksi'!$H$5:$H$92,'Daftar Koreksi'!$D$5:$D$92,'0200'!A334,'Daftar Koreksi'!$G$5:$G$92,"Aset Henti Guna",'Daftar Koreksi'!$H$5:$H$92,"&lt;0")-SUMIFS('Daftar Koreksi'!$H$5:$H$92,'Daftar Koreksi'!$D$5:$D$92,'0200'!A334,'Daftar Koreksi'!$G$5:$G$92,"Aset Henti Guna",'Daftar Koreksi'!$H$5:$H$92,"&lt;0")-SUMIFS('Daftar Koreksi'!$H$5:$H$92,'Daftar Koreksi'!$D$5:$D$92,'0200'!A334,'Daftar Koreksi'!$G$5:$G$92,"Aset Henti Guna",'Daftar Koreksi'!$H$5:$H$92,"&lt;0")</f>
        <v>0</v>
      </c>
      <c r="G345" s="17">
        <f t="shared" si="15"/>
        <v>56961000</v>
      </c>
      <c r="H345" s="122"/>
      <c r="I345" s="28"/>
      <c r="J345" s="28"/>
    </row>
    <row r="346" spans="1:10" ht="21.95" customHeight="1">
      <c r="A346" s="14"/>
      <c r="B346" s="14"/>
      <c r="C346" s="18" t="s">
        <v>2093</v>
      </c>
      <c r="D346" s="19">
        <f>VLOOKUP(A334,'Neraca Unaudited SIMAK'!$A$2:$S$10004,12,FALSE)</f>
        <v>7702231181</v>
      </c>
      <c r="E346" s="19">
        <f>SUM(E337:E345)</f>
        <v>4411622</v>
      </c>
      <c r="F346" s="19">
        <f>SUM(F337:F345)</f>
        <v>0</v>
      </c>
      <c r="G346" s="19">
        <f t="shared" si="15"/>
        <v>7706642803</v>
      </c>
      <c r="H346" s="122"/>
      <c r="I346" s="28"/>
      <c r="J346" s="28"/>
    </row>
    <row r="347" spans="1:10" ht="21.95" customHeight="1">
      <c r="A347" s="14"/>
      <c r="B347" s="14"/>
      <c r="C347" s="16" t="s">
        <v>2087</v>
      </c>
      <c r="D347" s="17">
        <f>VLOOKUP(A334,'Neraca Unaudited SIMAK'!$A$2:$S$10004,13,FALSE)</f>
        <v>-1585523268</v>
      </c>
      <c r="E347" s="25">
        <f>SUMIFS('Daftar Koreksi'!$I$5:$I$92,'Daftar Koreksi'!$D$5:$D$92,'0200'!A334,'Daftar Koreksi'!$G$5:$G$92,"Peralatan dan mesin",'Daftar Koreksi'!$I$5:$I$92,"&gt;0")</f>
        <v>0</v>
      </c>
      <c r="F347" s="25">
        <f>SUMIFS('Daftar Koreksi'!$I$5:$I$92,'Daftar Koreksi'!$D$5:$D$92,'0200'!A334,'Daftar Koreksi'!$G$5:$G$92,"Peralatan dan mesin",'Daftar Koreksi'!$I$5:$I$92,"&lt;0")-SUMIFS('Daftar Koreksi'!$I$5:$I$92,'Daftar Koreksi'!$D$5:$D$92,'0200'!A334,'Daftar Koreksi'!$G$5:$G$92,"Peralatan dan mesin",'Daftar Koreksi'!$I$5:$I$92,"&lt;0")-SUMIFS('Daftar Koreksi'!$I$5:$I$92,'Daftar Koreksi'!$D$5:$D$92,'0200'!A334,'Daftar Koreksi'!$G$5:$G$92,"Peralatan dan mesin",'Daftar Koreksi'!$I$5:$I$92,"&lt;0")</f>
        <v>0</v>
      </c>
      <c r="G347" s="17">
        <f t="shared" si="15"/>
        <v>-1585523268</v>
      </c>
      <c r="H347" s="122"/>
      <c r="I347" s="28"/>
      <c r="J347" s="28"/>
    </row>
    <row r="348" spans="1:10" ht="21.95" customHeight="1">
      <c r="A348" s="14"/>
      <c r="B348" s="14"/>
      <c r="C348" s="16" t="s">
        <v>2088</v>
      </c>
      <c r="D348" s="17">
        <f>VLOOKUP(A334,'Neraca Unaudited SIMAK'!$A$2:$S$10004,14,FALSE)</f>
        <v>-1613406529</v>
      </c>
      <c r="E348" s="25">
        <f>SUMIFS('Daftar Koreksi'!$I$5:$I$92,'Daftar Koreksi'!$D$5:$D$92,'0200'!A334,'Daftar Koreksi'!$G$5:$G$92,"Gedung dan Bangunan",'Daftar Koreksi'!$I$5:$I$92,"&gt;0")</f>
        <v>0</v>
      </c>
      <c r="F348" s="25">
        <f>SUMIFS('Daftar Koreksi'!$I$5:$I$92,'Daftar Koreksi'!$D$5:$D$92,'0200'!A334,'Daftar Koreksi'!$G$5:$G$92,"Gedung dan Bangunan",'Daftar Koreksi'!$I$5:$I$92,"&lt;0")-SUMIFS('Daftar Koreksi'!$I$5:$I$92,'Daftar Koreksi'!$D$5:$D$92,'0200'!A334,'Daftar Koreksi'!$G$5:$G$92,"Gedung dan Bangunan",'Daftar Koreksi'!$I$5:$I$92,"&lt;0")-SUMIFS('Daftar Koreksi'!$I$5:$I$92,'Daftar Koreksi'!$D$5:$D$92,'0200'!A334,'Daftar Koreksi'!$G$5:$G$92,"Gedung dan Bangunan",'Daftar Koreksi'!$I$5:$I$92,"&lt;0")</f>
        <v>0</v>
      </c>
      <c r="G348" s="17">
        <f t="shared" si="15"/>
        <v>-1613406529</v>
      </c>
      <c r="H348" s="122"/>
      <c r="I348" s="28"/>
      <c r="J348" s="28"/>
    </row>
    <row r="349" spans="1:10" ht="21.95" customHeight="1">
      <c r="A349" s="14"/>
      <c r="B349" s="14"/>
      <c r="C349" s="16" t="s">
        <v>2089</v>
      </c>
      <c r="D349" s="17">
        <f>VLOOKUP(A334,'Neraca Unaudited SIMAK'!$A$2:$S$10004,15,FALSE)</f>
        <v>-30917225</v>
      </c>
      <c r="E349" s="25">
        <f>SUMIFS('Daftar Koreksi'!$I$5:$I$92,'Daftar Koreksi'!$D$5:$D$92,'0200'!A334,'Daftar Koreksi'!$G$5:$G$92,"Jalan Irigasi Jaringan",'Daftar Koreksi'!$I$5:$I$92,"&gt;0")</f>
        <v>0</v>
      </c>
      <c r="F349" s="25">
        <f>SUMIFS('Daftar Koreksi'!$I$5:$I$92,'Daftar Koreksi'!$D$5:$D$92,'0200'!A334,'Daftar Koreksi'!$G$5:$G$92,"Jalan Irigasi Jaringan",'Daftar Koreksi'!$I$5:$I$92,"&lt;0")-SUMIFS('Daftar Koreksi'!$I$5:$I$92,'Daftar Koreksi'!$D$5:$D$92,'0200'!A334,'Daftar Koreksi'!$G$5:$G$92,"Jalan Irigasi Jaringan",'Daftar Koreksi'!$I$5:$I$92,"&lt;0")-SUMIFS('Daftar Koreksi'!$I$5:$I$92,'Daftar Koreksi'!$D$5:$D$92,'0200'!A334,'Daftar Koreksi'!$G$5:$G$92,"Jalan Irigasi Jaringan",'Daftar Koreksi'!$I$5:$I$92,"&lt;0")</f>
        <v>0</v>
      </c>
      <c r="G349" s="17">
        <f t="shared" si="15"/>
        <v>-30917225</v>
      </c>
      <c r="H349" s="122"/>
      <c r="I349" s="28"/>
      <c r="J349" s="28"/>
    </row>
    <row r="350" spans="1:10" ht="21.95" customHeight="1">
      <c r="A350" s="14"/>
      <c r="B350" s="14"/>
      <c r="C350" s="16" t="s">
        <v>2090</v>
      </c>
      <c r="D350" s="17">
        <f>VLOOKUP(A334,'Neraca Unaudited SIMAK'!$A$2:$S$10004,16,FALSE)</f>
        <v>0</v>
      </c>
      <c r="E350" s="25">
        <f>SUMIFS('Daftar Koreksi'!$I$5:$I$92,'Daftar Koreksi'!$D$5:$D$92,'0200'!A334,'Daftar Koreksi'!$G$5:$G$92,"Aset Tetap Lainnya",'Daftar Koreksi'!$I$5:$I$92,"&gt;0")</f>
        <v>0</v>
      </c>
      <c r="F350" s="25">
        <f>SUMIFS('Daftar Koreksi'!$I$5:$I$92,'Daftar Koreksi'!$D$5:$D$92,'0200'!A334,'Daftar Koreksi'!$G$5:$G$92,"Aset Tetap Lainnya",'Daftar Koreksi'!$I$5:$I$92,"&lt;0")-SUMIFS('Daftar Koreksi'!$I$5:$I$92,'Daftar Koreksi'!$D$5:$D$92,'0200'!A334,'Daftar Koreksi'!$G$5:$G$92,"Aset Tetap Lainnya",'Daftar Koreksi'!$I$5:$I$92,"&lt;0")-SUMIFS('Daftar Koreksi'!$I$5:$I$92,'Daftar Koreksi'!$D$5:$D$92,'0200'!A334,'Daftar Koreksi'!$G$5:$G$92,"Aset Tetap Lainnya",'Daftar Koreksi'!$I$5:$I$92,"&lt;0")</f>
        <v>0</v>
      </c>
      <c r="G350" s="17">
        <f t="shared" si="15"/>
        <v>0</v>
      </c>
      <c r="H350" s="122"/>
      <c r="I350" s="28"/>
      <c r="J350" s="28"/>
    </row>
    <row r="351" spans="1:10" ht="21.95" customHeight="1">
      <c r="A351" s="14"/>
      <c r="B351" s="14"/>
      <c r="C351" s="16" t="s">
        <v>2020</v>
      </c>
      <c r="D351" s="17">
        <f>VLOOKUP(A334,'Neraca Unaudited SIMAK'!$A$2:$S$10004,17,FALSE)</f>
        <v>-56961000</v>
      </c>
      <c r="E351" s="25">
        <f>SUMIFS('Daftar Koreksi'!$I$5:$I$92,'Daftar Koreksi'!$D$5:$D$92,'0200'!A334,'Daftar Koreksi'!$G$5:$G$92,"Aset Henti Guna",'Daftar Koreksi'!$I$5:$I$92,"&gt;0")</f>
        <v>0</v>
      </c>
      <c r="F351" s="25">
        <f>SUMIFS('Daftar Koreksi'!$I$5:$I$92,'Daftar Koreksi'!$D$5:$D$92,'0200'!A334,'Daftar Koreksi'!$G$5:$G$92,"Aset Henti Guna",'Daftar Koreksi'!$I$5:$I$92,"&lt;0")-SUMIFS('Daftar Koreksi'!$I$5:$I$92,'Daftar Koreksi'!$D$5:$D$92,'0200'!A334,'Daftar Koreksi'!$G$5:$G$92,"Aset Henti Guna",'Daftar Koreksi'!$I$5:$I$92,"&lt;0")-SUMIFS('Daftar Koreksi'!$I$5:$I$92,'Daftar Koreksi'!$D$5:$D$92,'0200'!A334,'Daftar Koreksi'!$G$5:$G$92,"Aset Henti Guna",'Daftar Koreksi'!$I$5:$I$92,"&lt;0")</f>
        <v>0</v>
      </c>
      <c r="G351" s="17">
        <f t="shared" si="15"/>
        <v>-56961000</v>
      </c>
      <c r="H351" s="122"/>
      <c r="I351" s="28"/>
      <c r="J351" s="28"/>
    </row>
    <row r="352" spans="1:10" ht="21.95" customHeight="1">
      <c r="A352" s="14"/>
      <c r="B352" s="14"/>
      <c r="C352" s="18" t="s">
        <v>2094</v>
      </c>
      <c r="D352" s="19">
        <f>SUM(D347:D351)</f>
        <v>-3286808022</v>
      </c>
      <c r="E352" s="19">
        <f>SUM(E347:E351)</f>
        <v>0</v>
      </c>
      <c r="F352" s="19">
        <f>SUM(F347:F351)</f>
        <v>0</v>
      </c>
      <c r="G352" s="19">
        <f t="shared" si="15"/>
        <v>-3286808022</v>
      </c>
      <c r="H352" s="122"/>
      <c r="I352" s="28"/>
      <c r="J352" s="28"/>
    </row>
    <row r="353" spans="1:10" ht="21.95" customHeight="1">
      <c r="A353" s="14"/>
      <c r="B353" s="14"/>
      <c r="C353" s="18" t="s">
        <v>2095</v>
      </c>
      <c r="D353" s="19">
        <f>VLOOKUP(A334,'Neraca Unaudited SIMAK'!$A$2:$S$10004,18,FALSE)</f>
        <v>4415423159</v>
      </c>
      <c r="E353" s="19">
        <f>E352+E346</f>
        <v>4411622</v>
      </c>
      <c r="F353" s="19">
        <f>F352+F346</f>
        <v>0</v>
      </c>
      <c r="G353" s="19">
        <f t="shared" si="15"/>
        <v>4419834781</v>
      </c>
      <c r="H353" s="122"/>
      <c r="I353" s="28"/>
      <c r="J353" s="28"/>
    </row>
    <row r="354" spans="1:10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  <c r="I354" s="28"/>
      <c r="J354" s="28"/>
    </row>
    <row r="356" spans="1:10" ht="19.5" customHeight="1">
      <c r="A356" s="11" t="str">
        <f>O17</f>
        <v>005010200097709000KD</v>
      </c>
      <c r="B356" s="11" t="str">
        <f>P17</f>
        <v>PN. Kuningan</v>
      </c>
      <c r="C356" s="12" t="str">
        <f>A356&amp;" "&amp;B356</f>
        <v>005010200097709000KD PN. Kuningan</v>
      </c>
      <c r="D356" s="13"/>
      <c r="E356" s="13"/>
      <c r="F356" s="13"/>
      <c r="G356" s="13"/>
      <c r="H356" s="11"/>
    </row>
    <row r="357" spans="1:10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10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10" ht="21.95" customHeight="1">
      <c r="A359" s="14"/>
      <c r="B359" s="14"/>
      <c r="C359" s="16" t="s">
        <v>1165</v>
      </c>
      <c r="D359" s="17">
        <f>VLOOKUP(A356,'Neraca Unaudited SIMAK'!$A$2:$S$10004,3,FALSE)</f>
        <v>3751000</v>
      </c>
      <c r="E359" s="25">
        <f>SUMIFS('Daftar Koreksi'!$H$5:$H$92,'Daftar Koreksi'!$D$5:$D$92,'0200'!A356,'Daftar Koreksi'!$G$5:$G$92,"Persediaan",'Daftar Koreksi'!$H$5:$H$92,"&gt;0")</f>
        <v>0</v>
      </c>
      <c r="F359" s="25">
        <f>SUMIFS('Daftar Koreksi'!$H$5:$H$92,'Daftar Koreksi'!$D$5:$D$92,'0200'!A356,'Daftar Koreksi'!$G$5:$G$92,"Persediaan",'Daftar Koreksi'!$H$5:$H$92,"&lt;0")-SUMIFS('Daftar Koreksi'!$H$5:$H$92,'Daftar Koreksi'!$D$5:$D$92,'0200'!A356,'Daftar Koreksi'!$G$5:$G$92,"Persediaan",'Daftar Koreksi'!$H$5:$H$92,"&lt;0")-SUMIFS('Daftar Koreksi'!$H$5:$H$92,'Daftar Koreksi'!$D$5:$D$92,'0200'!A356,'Daftar Koreksi'!$G$5:$G$92,"Persediaan",'Daftar Koreksi'!$H$5:$H$92,"&lt;0")</f>
        <v>0</v>
      </c>
      <c r="G359" s="17">
        <f>D359+E359-F359</f>
        <v>3751000</v>
      </c>
      <c r="H359" s="121" t="str">
        <f>IF(ISNA(VLOOKUP(A356,'Mutasi Neraca'!$A$3:$S$914,19,FALSE)),"-",VLOOKUP(A356,'Mutasi Neraca'!$A$3:$S$914,19,FALSE))</f>
        <v>-</v>
      </c>
    </row>
    <row r="360" spans="1:10" ht="21.95" customHeight="1">
      <c r="A360" s="14"/>
      <c r="B360" s="14"/>
      <c r="C360" s="16" t="s">
        <v>1166</v>
      </c>
      <c r="D360" s="17">
        <f>VLOOKUP(A356,'Neraca Unaudited SIMAK'!$A$2:$S$10004,4,FALSE)</f>
        <v>1998720000</v>
      </c>
      <c r="E360" s="25">
        <f>SUMIFS('Daftar Koreksi'!$H$5:$H$92,'Daftar Koreksi'!$D$5:$D$92,'0200'!A356,'Daftar Koreksi'!$G$5:$G$92,"Tanah",'Daftar Koreksi'!$H$5:$H$92,"&gt;0")</f>
        <v>0</v>
      </c>
      <c r="F360" s="25">
        <f>SUMIFS('Daftar Koreksi'!$H$5:$H$92,'Daftar Koreksi'!$D$5:$D$92,'0200'!A356,'Daftar Koreksi'!$G$5:$G$92,"Tanah",'Daftar Koreksi'!$H$5:$H$92,"&lt;0")-SUMIFS('Daftar Koreksi'!$H$5:$H$92,'Daftar Koreksi'!$D$5:$D$92,'0200'!A356,'Daftar Koreksi'!$G$5:$G$92,"Tanah",'Daftar Koreksi'!$H$5:$H$92,"&lt;0")-SUMIFS('Daftar Koreksi'!$H$5:$H$92,'Daftar Koreksi'!$D$5:$D$92,'0200'!A356,'Daftar Koreksi'!$G$5:$G$92,"Tanah",'Daftar Koreksi'!$H$5:$H$92,"&lt;0")</f>
        <v>0</v>
      </c>
      <c r="G360" s="17">
        <f t="shared" ref="G360:G376" si="16">D360+E360-F360</f>
        <v>1998720000</v>
      </c>
      <c r="H360" s="122"/>
    </row>
    <row r="361" spans="1:10" ht="21.95" customHeight="1">
      <c r="A361" s="14"/>
      <c r="B361" s="14"/>
      <c r="C361" s="16" t="s">
        <v>1167</v>
      </c>
      <c r="D361" s="17">
        <f>VLOOKUP(A356,'Neraca Unaudited SIMAK'!$A$2:$S$10004,5,FALSE)</f>
        <v>2702361631</v>
      </c>
      <c r="E361" s="25">
        <f>SUMIFS('Daftar Koreksi'!$H$5:$H$92,'Daftar Koreksi'!$D$5:$D$92,'0200'!A356,'Daftar Koreksi'!$G$5:$G$92,"Peralatan dan mesin",'Daftar Koreksi'!$H$5:$H$92,"&gt;0")</f>
        <v>0</v>
      </c>
      <c r="F361" s="25">
        <f>SUMIFS('Daftar Koreksi'!$H$5:$H$92,'Daftar Koreksi'!$D$5:$D$92,'0200'!A356,'Daftar Koreksi'!$G$5:$G$92,"Peralatan dan mesin",'Daftar Koreksi'!$H$5:$H$92,"&lt;0")-SUMIFS('Daftar Koreksi'!$H$5:$H$92,'Daftar Koreksi'!$D$5:$D$92,'0200'!A356,'Daftar Koreksi'!$G$5:$G$92,"Peralatan dan mesin",'Daftar Koreksi'!$H$5:$H$92,"&lt;0")-SUMIFS('Daftar Koreksi'!$H$5:$H$92,'Daftar Koreksi'!$D$5:$D$92,'0200'!A356,'Daftar Koreksi'!$G$5:$G$92,"Peralatan dan mesin",'Daftar Koreksi'!$H$5:$H$92,"&lt;0")</f>
        <v>0</v>
      </c>
      <c r="G361" s="17">
        <f t="shared" si="16"/>
        <v>2702361631</v>
      </c>
      <c r="H361" s="122"/>
    </row>
    <row r="362" spans="1:10" ht="21.95" customHeight="1">
      <c r="A362" s="14"/>
      <c r="B362" s="14"/>
      <c r="C362" s="16" t="s">
        <v>1168</v>
      </c>
      <c r="D362" s="17">
        <f>VLOOKUP(A356,'Neraca Unaudited SIMAK'!$A$2:$S$10004,6,FALSE)</f>
        <v>2371121415</v>
      </c>
      <c r="E362" s="25">
        <f>SUMIFS('Daftar Koreksi'!$H$5:$H$92,'Daftar Koreksi'!$D$5:$D$92,'0200'!A356,'Daftar Koreksi'!$G$5:$G$92,"Gedung dan Bangunan",'Daftar Koreksi'!$H$5:$H$92,"&gt;0")</f>
        <v>0</v>
      </c>
      <c r="F362" s="25">
        <f>SUMIFS('Daftar Koreksi'!$H$5:$H$92,'Daftar Koreksi'!$D$5:$D$92,'0200'!A356,'Daftar Koreksi'!$G$5:$G$92,"Gedung dan Bangunan",'Daftar Koreksi'!$H$5:$H$92,"&lt;0")-SUMIFS('Daftar Koreksi'!$H$5:$H$92,'Daftar Koreksi'!$D$5:$D$92,'0200'!A356,'Daftar Koreksi'!$G$5:$G$92,"Gedung dan Bangunan",'Daftar Koreksi'!$H$5:$H$92,"&lt;0")-SUMIFS('Daftar Koreksi'!$H$5:$H$92,'Daftar Koreksi'!$D$5:$D$92,'0200'!A356,'Daftar Koreksi'!$G$5:$G$92,"Gedung dan Bangunan",'Daftar Koreksi'!$H$5:$H$92,"&lt;0")</f>
        <v>0</v>
      </c>
      <c r="G362" s="17">
        <f t="shared" si="16"/>
        <v>2371121415</v>
      </c>
      <c r="H362" s="122"/>
    </row>
    <row r="363" spans="1:10" ht="21.95" customHeight="1">
      <c r="A363" s="14"/>
      <c r="B363" s="14"/>
      <c r="C363" s="16" t="s">
        <v>1169</v>
      </c>
      <c r="D363" s="17">
        <f>VLOOKUP(A356,'Neraca Unaudited SIMAK'!$A$2:$S$10004,7,FALSE)</f>
        <v>69560000</v>
      </c>
      <c r="E363" s="25">
        <f>SUMIFS('Daftar Koreksi'!$H$5:$H$92,'Daftar Koreksi'!$D$5:$D$92,'0200'!A356,'Daftar Koreksi'!$G$5:$G$92,"Jalan Irigasi Jaringan",'Daftar Koreksi'!$H$5:$H$92,"&gt;0")</f>
        <v>0</v>
      </c>
      <c r="F363" s="25">
        <f>SUMIFS('Daftar Koreksi'!$H$5:$H$92,'Daftar Koreksi'!$D$5:$D$92,'0200'!A356,'Daftar Koreksi'!$G$5:$G$92,"Jalan Irigasi Jaringan",'Daftar Koreksi'!$H$5:$H$92,"&lt;0")-SUMIFS('Daftar Koreksi'!$H$5:$H$92,'Daftar Koreksi'!$D$5:$D$92,'0200'!A356,'Daftar Koreksi'!$G$5:$G$92,"Jalan Irigasi Jaringan",'Daftar Koreksi'!$H$5:$H$92,"&lt;0")-SUMIFS('Daftar Koreksi'!$H$5:$H$92,'Daftar Koreksi'!$D$5:$D$92,'0200'!A356,'Daftar Koreksi'!$G$5:$G$92,"Jalan Irigasi Jaringan",'Daftar Koreksi'!$H$5:$H$92,"&lt;0")</f>
        <v>0</v>
      </c>
      <c r="G363" s="17">
        <f t="shared" si="16"/>
        <v>69560000</v>
      </c>
      <c r="H363" s="122"/>
    </row>
    <row r="364" spans="1:10" ht="21.95" customHeight="1">
      <c r="A364" s="14"/>
      <c r="B364" s="14"/>
      <c r="C364" s="16" t="s">
        <v>1170</v>
      </c>
      <c r="D364" s="17">
        <f>VLOOKUP(A356,'Neraca Unaudited SIMAK'!$A$2:$S$10004,8,FALSE)</f>
        <v>315268062</v>
      </c>
      <c r="E364" s="25">
        <f>SUMIFS('Daftar Koreksi'!$H$5:$H$92,'Daftar Koreksi'!$D$5:$D$92,'0200'!A356,'Daftar Koreksi'!$G$5:$G$92,"Aset Tetap Lainnya",'Daftar Koreksi'!$H$5:$H$92,"&gt;0")</f>
        <v>0</v>
      </c>
      <c r="F364" s="25">
        <f>SUMIFS('Daftar Koreksi'!$H$5:$H$92,'Daftar Koreksi'!$D$5:$D$92,'0200'!A356,'Daftar Koreksi'!$G$5:$G$92,"Aset Tetap Lainnya",'Daftar Koreksi'!$H$5:$H$92,"&lt;0")-SUMIFS('Daftar Koreksi'!$H$5:$H$92,'Daftar Koreksi'!$D$5:$D$92,'0200'!A356,'Daftar Koreksi'!$G$5:$G$92,"Aset Tetap Lainnya",'Daftar Koreksi'!$H$5:$H$92,"&lt;0")-SUMIFS('Daftar Koreksi'!$H$5:$H$92,'Daftar Koreksi'!$D$5:$D$92,'0200'!A356,'Daftar Koreksi'!$G$5:$G$92,"Aset Tetap Lainnya",'Daftar Koreksi'!$H$5:$H$92,"&lt;0")</f>
        <v>0</v>
      </c>
      <c r="G364" s="17">
        <f t="shared" si="16"/>
        <v>315268062</v>
      </c>
      <c r="H364" s="122"/>
    </row>
    <row r="365" spans="1:10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Koreksi'!$D$5:$D$92,'0200'!A356,'Daftar Koreksi'!$G$5:$G$92,"Kontruksi Dalam Pengerjaan",'Daftar Koreksi'!$H$5:$H$92,"&gt;0")</f>
        <v>0</v>
      </c>
      <c r="F365" s="25">
        <f>SUMIFS('Daftar Koreksi'!$H$5:$H$92,'Daftar Koreksi'!$D$5:$D$92,'0200'!A356,'Daftar Koreksi'!$G$5:$G$92,"Kontruksi Dalam Pengerjaan",'Daftar Koreksi'!$H$5:$H$92,"&lt;0")-SUMIFS('Daftar Koreksi'!$H$5:$H$92,'Daftar Koreksi'!$D$5:$D$92,'0200'!A356,'Daftar Koreksi'!$G$5:$G$92,"Kontruksi Dalam Pengerjaan",'Daftar Koreksi'!$H$5:$H$92,"&lt;0")-SUMIFS('Daftar Koreksi'!$H$5:$H$92,'Daftar Koreksi'!$D$5:$D$92,'0200'!A356,'Daftar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10" ht="21.95" customHeight="1">
      <c r="A366" s="14"/>
      <c r="B366" s="14"/>
      <c r="C366" s="16" t="s">
        <v>1172</v>
      </c>
      <c r="D366" s="17">
        <f>VLOOKUP(A356,'Neraca Unaudited SIMAK'!$A$2:$S$10004,10,FALSE)</f>
        <v>8900000</v>
      </c>
      <c r="E366" s="25">
        <f>SUMIFS('Daftar Koreksi'!$H$5:$H$92,'Daftar Koreksi'!$D$5:$D$92,'0200'!A356,'Daftar Koreksi'!$G$5:$G$92,"Aset Tak Berwujud",'Daftar Koreksi'!$H$5:$H$92,"&gt;0")</f>
        <v>0</v>
      </c>
      <c r="F366" s="25">
        <f>SUMIFS('Daftar Koreksi'!$H$5:$H$92,'Daftar Koreksi'!$D$5:$D$92,'0200'!A356,'Daftar Koreksi'!$G$5:$G$92,"Aset Tak Berwujud",'Daftar Koreksi'!$H$5:$H$92,"&lt;0")-SUMIFS('Daftar Koreksi'!$H$5:$H$92,'Daftar Koreksi'!$D$5:$D$92,'0200'!A356,'Daftar Koreksi'!$G$5:$G$92,"Aset Tak Berwujud",'Daftar Koreksi'!$H$5:$H$92,"&lt;0")-SUMIFS('Daftar Koreksi'!$H$5:$H$92,'Daftar Koreksi'!$D$5:$D$92,'0200'!A356,'Daftar Koreksi'!$G$5:$G$92,"Aset Tak Berwujud",'Daftar Koreksi'!$H$5:$H$92,"&lt;0")</f>
        <v>0</v>
      </c>
      <c r="G366" s="17">
        <f t="shared" si="16"/>
        <v>8900000</v>
      </c>
      <c r="H366" s="122"/>
    </row>
    <row r="367" spans="1:10" ht="21.95" customHeight="1">
      <c r="A367" s="14"/>
      <c r="B367" s="14"/>
      <c r="C367" s="16" t="s">
        <v>1173</v>
      </c>
      <c r="D367" s="17">
        <f>VLOOKUP(A356,'Neraca Unaudited SIMAK'!$A$2:$S$10004,11,FALSE)</f>
        <v>4261000</v>
      </c>
      <c r="E367" s="25">
        <f>SUMIFS('Daftar Koreksi'!$H$5:$H$92,'Daftar Koreksi'!$D$5:$D$92,'0200'!A356,'Daftar Koreksi'!$G$5:$G$92,"Aset Henti Guna",'Daftar Koreksi'!$H$5:$H$92,"&gt;0")</f>
        <v>0</v>
      </c>
      <c r="F367" s="25">
        <f>SUMIFS('Daftar Koreksi'!$H$5:$H$92,'Daftar Koreksi'!$D$5:$D$92,'0200'!A356,'Daftar Koreksi'!$G$5:$G$92,"Aset Henti Guna",'Daftar Koreksi'!$H$5:$H$92,"&lt;0")-SUMIFS('Daftar Koreksi'!$H$5:$H$92,'Daftar Koreksi'!$D$5:$D$92,'0200'!A356,'Daftar Koreksi'!$G$5:$G$92,"Aset Henti Guna",'Daftar Koreksi'!$H$5:$H$92,"&lt;0")-SUMIFS('Daftar Koreksi'!$H$5:$H$92,'Daftar Koreksi'!$D$5:$D$92,'0200'!A356,'Daftar Koreksi'!$G$5:$G$92,"Aset Henti Guna",'Daftar Koreksi'!$H$5:$H$92,"&lt;0")</f>
        <v>0</v>
      </c>
      <c r="G367" s="17">
        <f t="shared" si="16"/>
        <v>4261000</v>
      </c>
      <c r="H367" s="122"/>
    </row>
    <row r="368" spans="1:10" ht="21.95" customHeight="1">
      <c r="A368" s="14"/>
      <c r="B368" s="14"/>
      <c r="C368" s="18" t="s">
        <v>2093</v>
      </c>
      <c r="D368" s="19">
        <f>VLOOKUP(A356,'Neraca Unaudited SIMAK'!$A$2:$S$10004,12,FALSE)</f>
        <v>7473943108</v>
      </c>
      <c r="E368" s="19">
        <f>SUM(E359:E367)</f>
        <v>0</v>
      </c>
      <c r="F368" s="19">
        <f>SUM(F359:F367)</f>
        <v>0</v>
      </c>
      <c r="G368" s="19">
        <f t="shared" si="16"/>
        <v>7473943108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-2223741222</v>
      </c>
      <c r="E369" s="25">
        <f>SUMIFS('Daftar Koreksi'!$I$5:$I$92,'Daftar Koreksi'!$D$5:$D$92,'0200'!A356,'Daftar Koreksi'!$G$5:$G$92,"Peralatan dan mesin",'Daftar Koreksi'!$I$5:$I$92,"&gt;0")</f>
        <v>0</v>
      </c>
      <c r="F369" s="25">
        <f>SUMIFS('Daftar Koreksi'!$I$5:$I$92,'Daftar Koreksi'!$D$5:$D$92,'0200'!A356,'Daftar Koreksi'!$G$5:$G$92,"Peralatan dan mesin",'Daftar Koreksi'!$I$5:$I$92,"&lt;0")-SUMIFS('Daftar Koreksi'!$I$5:$I$92,'Daftar Koreksi'!$D$5:$D$92,'0200'!A356,'Daftar Koreksi'!$G$5:$G$92,"Peralatan dan mesin",'Daftar Koreksi'!$I$5:$I$92,"&lt;0")-SUMIFS('Daftar Koreksi'!$I$5:$I$92,'Daftar Koreksi'!$D$5:$D$92,'0200'!A356,'Daftar Koreksi'!$G$5:$G$92,"Peralatan dan mesin",'Daftar Koreksi'!$I$5:$I$92,"&lt;0")</f>
        <v>0</v>
      </c>
      <c r="G369" s="17">
        <f t="shared" si="16"/>
        <v>-2223741222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-698365143</v>
      </c>
      <c r="E370" s="25">
        <f>SUMIFS('Daftar Koreksi'!$I$5:$I$92,'Daftar Koreksi'!$D$5:$D$92,'0200'!A356,'Daftar Koreksi'!$G$5:$G$92,"Gedung dan Bangunan",'Daftar Koreksi'!$I$5:$I$92,"&gt;0")</f>
        <v>0</v>
      </c>
      <c r="F370" s="25">
        <f>SUMIFS('Daftar Koreksi'!$I$5:$I$92,'Daftar Koreksi'!$D$5:$D$92,'0200'!A356,'Daftar Koreksi'!$G$5:$G$92,"Gedung dan Bangunan",'Daftar Koreksi'!$I$5:$I$92,"&lt;0")-SUMIFS('Daftar Koreksi'!$I$5:$I$92,'Daftar Koreksi'!$D$5:$D$92,'0200'!A356,'Daftar Koreksi'!$G$5:$G$92,"Gedung dan Bangunan",'Daftar Koreksi'!$I$5:$I$92,"&lt;0")-SUMIFS('Daftar Koreksi'!$I$5:$I$92,'Daftar Koreksi'!$D$5:$D$92,'0200'!A356,'Daftar Koreksi'!$G$5:$G$92,"Gedung dan Bangunan",'Daftar Koreksi'!$I$5:$I$92,"&lt;0")</f>
        <v>0</v>
      </c>
      <c r="G370" s="17">
        <f t="shared" si="16"/>
        <v>-698365143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-7635343</v>
      </c>
      <c r="E371" s="25">
        <f>SUMIFS('Daftar Koreksi'!$I$5:$I$92,'Daftar Koreksi'!$D$5:$D$92,'0200'!A356,'Daftar Koreksi'!$G$5:$G$92,"Jalan Irigasi Jaringan",'Daftar Koreksi'!$I$5:$I$92,"&gt;0")</f>
        <v>0</v>
      </c>
      <c r="F371" s="25">
        <f>SUMIFS('Daftar Koreksi'!$I$5:$I$92,'Daftar Koreksi'!$D$5:$D$92,'0200'!A356,'Daftar Koreksi'!$G$5:$G$92,"Jalan Irigasi Jaringan",'Daftar Koreksi'!$I$5:$I$92,"&lt;0")-SUMIFS('Daftar Koreksi'!$I$5:$I$92,'Daftar Koreksi'!$D$5:$D$92,'0200'!A356,'Daftar Koreksi'!$G$5:$G$92,"Jalan Irigasi Jaringan",'Daftar Koreksi'!$I$5:$I$92,"&lt;0")-SUMIFS('Daftar Koreksi'!$I$5:$I$92,'Daftar Koreksi'!$D$5:$D$92,'0200'!A356,'Daftar Koreksi'!$G$5:$G$92,"Jalan Irigasi Jaringan",'Daftar Koreksi'!$I$5:$I$92,"&lt;0")</f>
        <v>0</v>
      </c>
      <c r="G371" s="17">
        <f t="shared" si="16"/>
        <v>-7635343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Koreksi'!$D$5:$D$92,'0200'!A356,'Daftar Koreksi'!$G$5:$G$92,"Aset Tetap Lainnya",'Daftar Koreksi'!$I$5:$I$92,"&gt;0")</f>
        <v>0</v>
      </c>
      <c r="F372" s="25">
        <f>SUMIFS('Daftar Koreksi'!$I$5:$I$92,'Daftar Koreksi'!$D$5:$D$92,'0200'!A356,'Daftar Koreksi'!$G$5:$G$92,"Aset Tetap Lainnya",'Daftar Koreksi'!$I$5:$I$92,"&lt;0")-SUMIFS('Daftar Koreksi'!$I$5:$I$92,'Daftar Koreksi'!$D$5:$D$92,'0200'!A356,'Daftar Koreksi'!$G$5:$G$92,"Aset Tetap Lainnya",'Daftar Koreksi'!$I$5:$I$92,"&lt;0")-SUMIFS('Daftar Koreksi'!$I$5:$I$92,'Daftar Koreksi'!$D$5:$D$92,'0200'!A356,'Daftar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-6793000</v>
      </c>
      <c r="E373" s="25">
        <f>SUMIFS('Daftar Koreksi'!$I$5:$I$92,'Daftar Koreksi'!$D$5:$D$92,'0200'!A356,'Daftar Koreksi'!$G$5:$G$92,"Aset Henti Guna",'Daftar Koreksi'!$I$5:$I$92,"&gt;0")</f>
        <v>0</v>
      </c>
      <c r="F373" s="25">
        <f>SUMIFS('Daftar Koreksi'!$I$5:$I$92,'Daftar Koreksi'!$D$5:$D$92,'0200'!A356,'Daftar Koreksi'!$G$5:$G$92,"Aset Henti Guna",'Daftar Koreksi'!$I$5:$I$92,"&lt;0")-SUMIFS('Daftar Koreksi'!$I$5:$I$92,'Daftar Koreksi'!$D$5:$D$92,'0200'!A356,'Daftar Koreksi'!$G$5:$G$92,"Aset Henti Guna",'Daftar Koreksi'!$I$5:$I$92,"&lt;0")-SUMIFS('Daftar Koreksi'!$I$5:$I$92,'Daftar Koreksi'!$D$5:$D$92,'0200'!A356,'Daftar Koreksi'!$G$5:$G$92,"Aset Henti Guna",'Daftar Koreksi'!$I$5:$I$92,"&lt;0")</f>
        <v>0</v>
      </c>
      <c r="G373" s="17">
        <f t="shared" si="16"/>
        <v>-6793000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-2936534708</v>
      </c>
      <c r="E374" s="19">
        <f>SUM(E369:E373)</f>
        <v>0</v>
      </c>
      <c r="F374" s="19">
        <f>SUM(F369:F373)</f>
        <v>0</v>
      </c>
      <c r="G374" s="19">
        <f t="shared" si="16"/>
        <v>-2936534708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4537408400</v>
      </c>
      <c r="E375" s="19">
        <f>E374+E368</f>
        <v>0</v>
      </c>
      <c r="F375" s="19">
        <f>F374+F368</f>
        <v>0</v>
      </c>
      <c r="G375" s="19">
        <f t="shared" si="16"/>
        <v>4537408400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005010200308166000KD</v>
      </c>
      <c r="B378" s="11" t="str">
        <f>P18</f>
        <v>PTA. Bandung</v>
      </c>
      <c r="C378" s="12" t="str">
        <f>A378&amp;" "&amp;B378</f>
        <v>005010200308166000KD PTA. Bandung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30349887</v>
      </c>
      <c r="E381" s="25">
        <f>SUMIFS('Daftar Koreksi'!$H$5:$H$92,'Daftar Koreksi'!$D$5:$D$92,'0200'!A378,'Daftar Koreksi'!$G$5:$G$92,"Persediaan",'Daftar Koreksi'!$H$5:$H$92,"&gt;0")</f>
        <v>0</v>
      </c>
      <c r="F381" s="25">
        <f>SUMIFS('Daftar Koreksi'!$H$5:$H$92,'Daftar Koreksi'!$D$5:$D$92,'0200'!A378,'Daftar Koreksi'!$G$5:$G$92,"Persediaan",'Daftar Koreksi'!$H$5:$H$92,"&lt;0")-SUMIFS('Daftar Koreksi'!$H$5:$H$92,'Daftar Koreksi'!$D$5:$D$92,'0200'!A378,'Daftar Koreksi'!$G$5:$G$92,"Persediaan",'Daftar Koreksi'!$H$5:$H$92,"&lt;0")-SUMIFS('Daftar Koreksi'!$H$5:$H$92,'Daftar Koreksi'!$D$5:$D$92,'0200'!A378,'Daftar Koreksi'!$G$5:$G$92,"Persediaan",'Daftar Koreksi'!$H$5:$H$92,"&lt;0")</f>
        <v>0</v>
      </c>
      <c r="G381" s="17">
        <f>D381+E381-F381</f>
        <v>30349887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8356500000</v>
      </c>
      <c r="E382" s="25">
        <f>SUMIFS('Daftar Koreksi'!$H$5:$H$92,'Daftar Koreksi'!$D$5:$D$92,'0200'!A378,'Daftar Koreksi'!$G$5:$G$92,"Tanah",'Daftar Koreksi'!$H$5:$H$92,"&gt;0")</f>
        <v>0</v>
      </c>
      <c r="F382" s="25">
        <f>SUMIFS('Daftar Koreksi'!$H$5:$H$92,'Daftar Koreksi'!$D$5:$D$92,'0200'!A378,'Daftar Koreksi'!$G$5:$G$92,"Tanah",'Daftar Koreksi'!$H$5:$H$92,"&lt;0")-SUMIFS('Daftar Koreksi'!$H$5:$H$92,'Daftar Koreksi'!$D$5:$D$92,'0200'!A378,'Daftar Koreksi'!$G$5:$G$92,"Tanah",'Daftar Koreksi'!$H$5:$H$92,"&lt;0")-SUMIFS('Daftar Koreksi'!$H$5:$H$92,'Daftar Koreksi'!$D$5:$D$92,'0200'!A378,'Daftar Koreksi'!$G$5:$G$92,"Tanah",'Daftar Koreksi'!$H$5:$H$92,"&lt;0")</f>
        <v>0</v>
      </c>
      <c r="G382" s="17">
        <f t="shared" ref="G382:G398" si="17">D382+E382-F382</f>
        <v>8356500000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6685634737</v>
      </c>
      <c r="E383" s="25">
        <f>SUMIFS('Daftar Koreksi'!$H$5:$H$92,'Daftar Koreksi'!$D$5:$D$92,'0200'!A378,'Daftar Koreksi'!$G$5:$G$92,"Peralatan dan mesin",'Daftar Koreksi'!$H$5:$H$92,"&gt;0")</f>
        <v>0</v>
      </c>
      <c r="F383" s="25">
        <f>SUMIFS('Daftar Koreksi'!$H$5:$H$92,'Daftar Koreksi'!$D$5:$D$92,'0200'!A378,'Daftar Koreksi'!$G$5:$G$92,"Peralatan dan mesin",'Daftar Koreksi'!$H$5:$H$92,"&lt;0")-SUMIFS('Daftar Koreksi'!$H$5:$H$92,'Daftar Koreksi'!$D$5:$D$92,'0200'!A378,'Daftar Koreksi'!$G$5:$G$92,"Peralatan dan mesin",'Daftar Koreksi'!$H$5:$H$92,"&lt;0")-SUMIFS('Daftar Koreksi'!$H$5:$H$92,'Daftar Koreksi'!$D$5:$D$92,'0200'!A378,'Daftar Koreksi'!$G$5:$G$92,"Peralatan dan mesin",'Daftar Koreksi'!$H$5:$H$92,"&lt;0")</f>
        <v>0</v>
      </c>
      <c r="G383" s="17">
        <f t="shared" si="17"/>
        <v>6685634737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10355503194</v>
      </c>
      <c r="E384" s="25">
        <f>SUMIFS('Daftar Koreksi'!$H$5:$H$92,'Daftar Koreksi'!$D$5:$D$92,'0200'!A378,'Daftar Koreksi'!$G$5:$G$92,"Gedung dan Bangunan",'Daftar Koreksi'!$H$5:$H$92,"&gt;0")</f>
        <v>0</v>
      </c>
      <c r="F384" s="25">
        <f>SUMIFS('Daftar Koreksi'!$H$5:$H$92,'Daftar Koreksi'!$D$5:$D$92,'0200'!A378,'Daftar Koreksi'!$G$5:$G$92,"Gedung dan Bangunan",'Daftar Koreksi'!$H$5:$H$92,"&lt;0")-SUMIFS('Daftar Koreksi'!$H$5:$H$92,'Daftar Koreksi'!$D$5:$D$92,'0200'!A378,'Daftar Koreksi'!$G$5:$G$92,"Gedung dan Bangunan",'Daftar Koreksi'!$H$5:$H$92,"&lt;0")-SUMIFS('Daftar Koreksi'!$H$5:$H$92,'Daftar Koreksi'!$D$5:$D$92,'0200'!A378,'Daftar Koreksi'!$G$5:$G$92,"Gedung dan Bangunan",'Daftar Koreksi'!$H$5:$H$92,"&lt;0")</f>
        <v>0</v>
      </c>
      <c r="G384" s="17">
        <f t="shared" si="17"/>
        <v>10355503194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Koreksi'!$D$5:$D$92,'0200'!A378,'Daftar Koreksi'!$G$5:$G$92,"Jalan Irigasi Jaringan",'Daftar Koreksi'!$H$5:$H$92,"&gt;0")</f>
        <v>0</v>
      </c>
      <c r="F385" s="25">
        <f>SUMIFS('Daftar Koreksi'!$H$5:$H$92,'Daftar Koreksi'!$D$5:$D$92,'0200'!A378,'Daftar Koreksi'!$G$5:$G$92,"Jalan Irigasi Jaringan",'Daftar Koreksi'!$H$5:$H$92,"&lt;0")-SUMIFS('Daftar Koreksi'!$H$5:$H$92,'Daftar Koreksi'!$D$5:$D$92,'0200'!A378,'Daftar Koreksi'!$G$5:$G$92,"Jalan Irigasi Jaringan",'Daftar Koreksi'!$H$5:$H$92,"&lt;0")-SUMIFS('Daftar Koreksi'!$H$5:$H$92,'Daftar Koreksi'!$D$5:$D$92,'0200'!A378,'Daftar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80849740</v>
      </c>
      <c r="E386" s="25">
        <f>SUMIFS('Daftar Koreksi'!$H$5:$H$92,'Daftar Koreksi'!$D$5:$D$92,'0200'!A378,'Daftar Koreksi'!$G$5:$G$92,"Aset Tetap Lainnya",'Daftar Koreksi'!$H$5:$H$92,"&gt;0")</f>
        <v>0</v>
      </c>
      <c r="F386" s="25">
        <f>SUMIFS('Daftar Koreksi'!$H$5:$H$92,'Daftar Koreksi'!$D$5:$D$92,'0200'!A378,'Daftar Koreksi'!$G$5:$G$92,"Aset Tetap Lainnya",'Daftar Koreksi'!$H$5:$H$92,"&lt;0")-SUMIFS('Daftar Koreksi'!$H$5:$H$92,'Daftar Koreksi'!$D$5:$D$92,'0200'!A378,'Daftar Koreksi'!$G$5:$G$92,"Aset Tetap Lainnya",'Daftar Koreksi'!$H$5:$H$92,"&lt;0")-SUMIFS('Daftar Koreksi'!$H$5:$H$92,'Daftar Koreksi'!$D$5:$D$92,'0200'!A378,'Daftar Koreksi'!$G$5:$G$92,"Aset Tetap Lainnya",'Daftar Koreksi'!$H$5:$H$92,"&lt;0")</f>
        <v>0</v>
      </c>
      <c r="G386" s="17">
        <f t="shared" si="17"/>
        <v>80849740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Koreksi'!$D$5:$D$92,'0200'!A378,'Daftar Koreksi'!$G$5:$G$92,"Kontruksi Dalam Pengerjaan",'Daftar Koreksi'!$H$5:$H$92,"&gt;0")</f>
        <v>0</v>
      </c>
      <c r="F387" s="25">
        <f>SUMIFS('Daftar Koreksi'!$H$5:$H$92,'Daftar Koreksi'!$D$5:$D$92,'0200'!A378,'Daftar Koreksi'!$G$5:$G$92,"Kontruksi Dalam Pengerjaan",'Daftar Koreksi'!$H$5:$H$92,"&lt;0")-SUMIFS('Daftar Koreksi'!$H$5:$H$92,'Daftar Koreksi'!$D$5:$D$92,'0200'!A378,'Daftar Koreksi'!$G$5:$G$92,"Kontruksi Dalam Pengerjaan",'Daftar Koreksi'!$H$5:$H$92,"&lt;0")-SUMIFS('Daftar Koreksi'!$H$5:$H$92,'Daftar Koreksi'!$D$5:$D$92,'0200'!A378,'Daftar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19932000</v>
      </c>
      <c r="E388" s="25">
        <f>SUMIFS('Daftar Koreksi'!$H$5:$H$92,'Daftar Koreksi'!$D$5:$D$92,'0200'!A378,'Daftar Koreksi'!$G$5:$G$92,"Aset Tak Berwujud",'Daftar Koreksi'!$H$5:$H$92,"&gt;0")</f>
        <v>0</v>
      </c>
      <c r="F388" s="25">
        <f>SUMIFS('Daftar Koreksi'!$H$5:$H$92,'Daftar Koreksi'!$D$5:$D$92,'0200'!A378,'Daftar Koreksi'!$G$5:$G$92,"Aset Tak Berwujud",'Daftar Koreksi'!$H$5:$H$92,"&lt;0")-SUMIFS('Daftar Koreksi'!$H$5:$H$92,'Daftar Koreksi'!$D$5:$D$92,'0200'!A378,'Daftar Koreksi'!$G$5:$G$92,"Aset Tak Berwujud",'Daftar Koreksi'!$H$5:$H$92,"&lt;0")-SUMIFS('Daftar Koreksi'!$H$5:$H$92,'Daftar Koreksi'!$D$5:$D$92,'0200'!A378,'Daftar Koreksi'!$G$5:$G$92,"Aset Tak Berwujud",'Daftar Koreksi'!$H$5:$H$92,"&lt;0")</f>
        <v>0</v>
      </c>
      <c r="G388" s="17">
        <f t="shared" si="17"/>
        <v>19932000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212664000</v>
      </c>
      <c r="E389" s="25">
        <f>SUMIFS('Daftar Koreksi'!$H$5:$H$92,'Daftar Koreksi'!$D$5:$D$92,'0200'!A378,'Daftar Koreksi'!$G$5:$G$92,"Aset Henti Guna",'Daftar Koreksi'!$H$5:$H$92,"&gt;0")</f>
        <v>0</v>
      </c>
      <c r="F389" s="25">
        <f>SUMIFS('Daftar Koreksi'!$H$5:$H$92,'Daftar Koreksi'!$D$5:$D$92,'0200'!A378,'Daftar Koreksi'!$G$5:$G$92,"Aset Henti Guna",'Daftar Koreksi'!$H$5:$H$92,"&lt;0")-SUMIFS('Daftar Koreksi'!$H$5:$H$92,'Daftar Koreksi'!$D$5:$D$92,'0200'!A378,'Daftar Koreksi'!$G$5:$G$92,"Aset Henti Guna",'Daftar Koreksi'!$H$5:$H$92,"&lt;0")-SUMIFS('Daftar Koreksi'!$H$5:$H$92,'Daftar Koreksi'!$D$5:$D$92,'0200'!A378,'Daftar Koreksi'!$G$5:$G$92,"Aset Henti Guna",'Daftar Koreksi'!$H$5:$H$92,"&lt;0")</f>
        <v>0</v>
      </c>
      <c r="G389" s="17">
        <f t="shared" si="17"/>
        <v>212664000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25741433558</v>
      </c>
      <c r="E390" s="19">
        <f>SUM(E381:E389)</f>
        <v>0</v>
      </c>
      <c r="F390" s="19">
        <f>SUM(F381:F389)</f>
        <v>0</v>
      </c>
      <c r="G390" s="19">
        <f t="shared" si="17"/>
        <v>25741433558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-6159904797</v>
      </c>
      <c r="E391" s="25">
        <f>SUMIFS('Daftar Koreksi'!$I$5:$I$92,'Daftar Koreksi'!$D$5:$D$92,'0200'!A378,'Daftar Koreksi'!$G$5:$G$92,"Peralatan dan mesin",'Daftar Koreksi'!$I$5:$I$92,"&gt;0")</f>
        <v>0</v>
      </c>
      <c r="F391" s="25">
        <f>SUMIFS('Daftar Koreksi'!$I$5:$I$92,'Daftar Koreksi'!$D$5:$D$92,'0200'!A378,'Daftar Koreksi'!$G$5:$G$92,"Peralatan dan mesin",'Daftar Koreksi'!$I$5:$I$92,"&lt;0")-SUMIFS('Daftar Koreksi'!$I$5:$I$92,'Daftar Koreksi'!$D$5:$D$92,'0200'!A378,'Daftar Koreksi'!$G$5:$G$92,"Peralatan dan mesin",'Daftar Koreksi'!$I$5:$I$92,"&lt;0")-SUMIFS('Daftar Koreksi'!$I$5:$I$92,'Daftar Koreksi'!$D$5:$D$92,'0200'!A378,'Daftar Koreksi'!$G$5:$G$92,"Peralatan dan mesin",'Daftar Koreksi'!$I$5:$I$92,"&lt;0")</f>
        <v>0</v>
      </c>
      <c r="G391" s="17">
        <f t="shared" si="17"/>
        <v>-6159904797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-1902953789</v>
      </c>
      <c r="E392" s="25">
        <f>SUMIFS('Daftar Koreksi'!$I$5:$I$92,'Daftar Koreksi'!$D$5:$D$92,'0200'!A378,'Daftar Koreksi'!$G$5:$G$92,"Gedung dan Bangunan",'Daftar Koreksi'!$I$5:$I$92,"&gt;0")</f>
        <v>0</v>
      </c>
      <c r="F392" s="25">
        <f>SUMIFS('Daftar Koreksi'!$I$5:$I$92,'Daftar Koreksi'!$D$5:$D$92,'0200'!A378,'Daftar Koreksi'!$G$5:$G$92,"Gedung dan Bangunan",'Daftar Koreksi'!$I$5:$I$92,"&lt;0")-SUMIFS('Daftar Koreksi'!$I$5:$I$92,'Daftar Koreksi'!$D$5:$D$92,'0200'!A378,'Daftar Koreksi'!$G$5:$G$92,"Gedung dan Bangunan",'Daftar Koreksi'!$I$5:$I$92,"&lt;0")-SUMIFS('Daftar Koreksi'!$I$5:$I$92,'Daftar Koreksi'!$D$5:$D$92,'0200'!A378,'Daftar Koreksi'!$G$5:$G$92,"Gedung dan Bangunan",'Daftar Koreksi'!$I$5:$I$92,"&lt;0")</f>
        <v>0</v>
      </c>
      <c r="G392" s="17">
        <f t="shared" si="17"/>
        <v>-1902953789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Koreksi'!$D$5:$D$92,'0200'!A378,'Daftar Koreksi'!$G$5:$G$92,"Jalan Irigasi Jaringan",'Daftar Koreksi'!$I$5:$I$92,"&gt;0")</f>
        <v>0</v>
      </c>
      <c r="F393" s="25">
        <f>SUMIFS('Daftar Koreksi'!$I$5:$I$92,'Daftar Koreksi'!$D$5:$D$92,'0200'!A378,'Daftar Koreksi'!$G$5:$G$92,"Jalan Irigasi Jaringan",'Daftar Koreksi'!$I$5:$I$92,"&lt;0")-SUMIFS('Daftar Koreksi'!$I$5:$I$92,'Daftar Koreksi'!$D$5:$D$92,'0200'!A378,'Daftar Koreksi'!$G$5:$G$92,"Jalan Irigasi Jaringan",'Daftar Koreksi'!$I$5:$I$92,"&lt;0")-SUMIFS('Daftar Koreksi'!$I$5:$I$92,'Daftar Koreksi'!$D$5:$D$92,'0200'!A378,'Daftar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Koreksi'!$D$5:$D$92,'0200'!A378,'Daftar Koreksi'!$G$5:$G$92,"Aset Tetap Lainnya",'Daftar Koreksi'!$I$5:$I$92,"&gt;0")</f>
        <v>0</v>
      </c>
      <c r="F394" s="25">
        <f>SUMIFS('Daftar Koreksi'!$I$5:$I$92,'Daftar Koreksi'!$D$5:$D$92,'0200'!A378,'Daftar Koreksi'!$G$5:$G$92,"Aset Tetap Lainnya",'Daftar Koreksi'!$I$5:$I$92,"&lt;0")-SUMIFS('Daftar Koreksi'!$I$5:$I$92,'Daftar Koreksi'!$D$5:$D$92,'0200'!A378,'Daftar Koreksi'!$G$5:$G$92,"Aset Tetap Lainnya",'Daftar Koreksi'!$I$5:$I$92,"&lt;0")-SUMIFS('Daftar Koreksi'!$I$5:$I$92,'Daftar Koreksi'!$D$5:$D$92,'0200'!A378,'Daftar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-210725221</v>
      </c>
      <c r="E395" s="25">
        <f>SUMIFS('Daftar Koreksi'!$I$5:$I$92,'Daftar Koreksi'!$D$5:$D$92,'0200'!A378,'Daftar Koreksi'!$G$5:$G$92,"Aset Henti Guna",'Daftar Koreksi'!$I$5:$I$92,"&gt;0")</f>
        <v>0</v>
      </c>
      <c r="F395" s="25">
        <f>SUMIFS('Daftar Koreksi'!$I$5:$I$92,'Daftar Koreksi'!$D$5:$D$92,'0200'!A378,'Daftar Koreksi'!$G$5:$G$92,"Aset Henti Guna",'Daftar Koreksi'!$I$5:$I$92,"&lt;0")-SUMIFS('Daftar Koreksi'!$I$5:$I$92,'Daftar Koreksi'!$D$5:$D$92,'0200'!A378,'Daftar Koreksi'!$G$5:$G$92,"Aset Henti Guna",'Daftar Koreksi'!$I$5:$I$92,"&lt;0")-SUMIFS('Daftar Koreksi'!$I$5:$I$92,'Daftar Koreksi'!$D$5:$D$92,'0200'!A378,'Daftar Koreksi'!$G$5:$G$92,"Aset Henti Guna",'Daftar Koreksi'!$I$5:$I$92,"&lt;0")</f>
        <v>0</v>
      </c>
      <c r="G395" s="17">
        <f t="shared" si="17"/>
        <v>-210725221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-8273583807</v>
      </c>
      <c r="E396" s="19">
        <f>SUM(E391:E395)</f>
        <v>0</v>
      </c>
      <c r="F396" s="19">
        <f>SUM(F391:F395)</f>
        <v>0</v>
      </c>
      <c r="G396" s="19">
        <f t="shared" si="17"/>
        <v>-8273583807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17467849751</v>
      </c>
      <c r="E397" s="19">
        <f>E396+E390</f>
        <v>0</v>
      </c>
      <c r="F397" s="19">
        <f>F396+F390</f>
        <v>0</v>
      </c>
      <c r="G397" s="19">
        <f t="shared" si="17"/>
        <v>17467849751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005010200400409000KD</v>
      </c>
      <c r="B400" s="11" t="str">
        <f>P19</f>
        <v>PN. Cibadak</v>
      </c>
      <c r="C400" s="12" t="str">
        <f>A400&amp;" "&amp;B400</f>
        <v>005010200400409000KD PN. Cibadak</v>
      </c>
      <c r="D400" s="13"/>
      <c r="E400" s="13"/>
      <c r="F400" s="13"/>
      <c r="G400" s="13"/>
      <c r="H400" s="11"/>
    </row>
    <row r="401" spans="1:10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10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10" ht="21.95" customHeight="1">
      <c r="A403" s="14"/>
      <c r="B403" s="14"/>
      <c r="C403" s="16" t="s">
        <v>1165</v>
      </c>
      <c r="D403" s="17">
        <f>VLOOKUP(A400,'Neraca Unaudited SIMAK'!$A$2:$S$10004,3,FALSE)</f>
        <v>601850</v>
      </c>
      <c r="E403" s="25">
        <f>SUMIFS('Daftar Koreksi'!$H$5:$H$92,'Daftar Koreksi'!$D$5:$D$92,'0200'!A400,'Daftar Koreksi'!$G$5:$G$92,"Persediaan",'Daftar Koreksi'!$H$5:$H$92,"&gt;0")</f>
        <v>0</v>
      </c>
      <c r="F403" s="25">
        <f>SUMIFS('Daftar Koreksi'!$H$5:$H$92,'Daftar Koreksi'!$D$5:$D$92,'0200'!A400,'Daftar Koreksi'!$G$5:$G$92,"Persediaan",'Daftar Koreksi'!$H$5:$H$92,"&lt;0")-SUMIFS('Daftar Koreksi'!$H$5:$H$92,'Daftar Koreksi'!$D$5:$D$92,'0200'!A400,'Daftar Koreksi'!$G$5:$G$92,"Persediaan",'Daftar Koreksi'!$H$5:$H$92,"&lt;0")-SUMIFS('Daftar Koreksi'!$H$5:$H$92,'Daftar Koreksi'!$D$5:$D$92,'0200'!A400,'Daftar Koreksi'!$G$5:$G$92,"Persediaan",'Daftar Koreksi'!$H$5:$H$92,"&lt;0")</f>
        <v>0</v>
      </c>
      <c r="G403" s="17">
        <f>D403+E403-F403</f>
        <v>601850</v>
      </c>
      <c r="H403" s="121" t="str">
        <f>IF(ISNA(VLOOKUP(A400,'Mutasi Neraca'!$A$3:$S$914,19,FALSE)),"-",VLOOKUP(A400,'Mutasi Neraca'!$A$3:$S$914,19,FALSE))</f>
        <v>-</v>
      </c>
      <c r="I403" s="28"/>
      <c r="J403" s="28"/>
    </row>
    <row r="404" spans="1:10" ht="21.95" customHeight="1">
      <c r="A404" s="14"/>
      <c r="B404" s="14"/>
      <c r="C404" s="16" t="s">
        <v>1166</v>
      </c>
      <c r="D404" s="17">
        <f>VLOOKUP(A400,'Neraca Unaudited SIMAK'!$A$2:$S$10004,4,FALSE)</f>
        <v>6732745000</v>
      </c>
      <c r="E404" s="25">
        <f>SUMIFS('Daftar Koreksi'!$H$5:$H$92,'Daftar Koreksi'!$D$5:$D$92,'0200'!A400,'Daftar Koreksi'!$G$5:$G$92,"Tanah",'Daftar Koreksi'!$H$5:$H$92,"&gt;0")</f>
        <v>0</v>
      </c>
      <c r="F404" s="25">
        <f>SUMIFS('Daftar Koreksi'!$H$5:$H$92,'Daftar Koreksi'!$D$5:$D$92,'0200'!A400,'Daftar Koreksi'!$G$5:$G$92,"Tanah",'Daftar Koreksi'!$H$5:$H$92,"&lt;0")-SUMIFS('Daftar Koreksi'!$H$5:$H$92,'Daftar Koreksi'!$D$5:$D$92,'0200'!A400,'Daftar Koreksi'!$G$5:$G$92,"Tanah",'Daftar Koreksi'!$H$5:$H$92,"&lt;0")-SUMIFS('Daftar Koreksi'!$H$5:$H$92,'Daftar Koreksi'!$D$5:$D$92,'0200'!A400,'Daftar Koreksi'!$G$5:$G$92,"Tanah",'Daftar Koreksi'!$H$5:$H$92,"&lt;0")</f>
        <v>0</v>
      </c>
      <c r="G404" s="17">
        <f t="shared" ref="G404:G420" si="18">D404+E404-F404</f>
        <v>6732745000</v>
      </c>
      <c r="H404" s="122"/>
      <c r="I404" s="28"/>
      <c r="J404" s="28"/>
    </row>
    <row r="405" spans="1:10" ht="21.95" customHeight="1">
      <c r="A405" s="14"/>
      <c r="B405" s="14"/>
      <c r="C405" s="16" t="s">
        <v>1167</v>
      </c>
      <c r="D405" s="17">
        <f>VLOOKUP(A400,'Neraca Unaudited SIMAK'!$A$2:$S$10004,5,FALSE)</f>
        <v>4532755976</v>
      </c>
      <c r="E405" s="25">
        <f>SUMIFS('Daftar Koreksi'!$H$5:$H$92,'Daftar Koreksi'!$D$5:$D$92,'0200'!A400,'Daftar Koreksi'!$G$5:$G$92,"Peralatan dan mesin",'Daftar Koreksi'!$H$5:$H$92,"&gt;0")</f>
        <v>0</v>
      </c>
      <c r="F405" s="25">
        <f>SUMIFS('Daftar Koreksi'!$H$5:$H$92,'Daftar Koreksi'!$D$5:$D$92,'0200'!A400,'Daftar Koreksi'!$G$5:$G$92,"Peralatan dan mesin",'Daftar Koreksi'!$H$5:$H$92,"&lt;0")-SUMIFS('Daftar Koreksi'!$H$5:$H$92,'Daftar Koreksi'!$D$5:$D$92,'0200'!A400,'Daftar Koreksi'!$G$5:$G$92,"Peralatan dan mesin",'Daftar Koreksi'!$H$5:$H$92,"&lt;0")-SUMIFS('Daftar Koreksi'!$H$5:$H$92,'Daftar Koreksi'!$D$5:$D$92,'0200'!A400,'Daftar Koreksi'!$G$5:$G$92,"Peralatan dan mesin",'Daftar Koreksi'!$H$5:$H$92,"&lt;0")</f>
        <v>0</v>
      </c>
      <c r="G405" s="17">
        <f t="shared" si="18"/>
        <v>4532755976</v>
      </c>
      <c r="H405" s="122"/>
      <c r="I405" s="28"/>
      <c r="J405" s="28"/>
    </row>
    <row r="406" spans="1:10" ht="21.95" customHeight="1">
      <c r="A406" s="14"/>
      <c r="B406" s="14"/>
      <c r="C406" s="16" t="s">
        <v>1168</v>
      </c>
      <c r="D406" s="17">
        <f>VLOOKUP(A400,'Neraca Unaudited SIMAK'!$A$2:$S$10004,6,FALSE)</f>
        <v>10108498555</v>
      </c>
      <c r="E406" s="25">
        <f>SUMIFS('Daftar Koreksi'!$H$5:$H$92,'Daftar Koreksi'!$D$5:$D$92,'0200'!A400,'Daftar Koreksi'!$G$5:$G$92,"Gedung dan Bangunan",'Daftar Koreksi'!$H$5:$H$92,"&gt;0")</f>
        <v>0</v>
      </c>
      <c r="F406" s="25">
        <f>SUMIFS('Daftar Koreksi'!$H$5:$H$92,'Daftar Koreksi'!$D$5:$D$92,'0200'!A400,'Daftar Koreksi'!$G$5:$G$92,"Gedung dan Bangunan",'Daftar Koreksi'!$H$5:$H$92,"&lt;0")-SUMIFS('Daftar Koreksi'!$H$5:$H$92,'Daftar Koreksi'!$D$5:$D$92,'0200'!A400,'Daftar Koreksi'!$G$5:$G$92,"Gedung dan Bangunan",'Daftar Koreksi'!$H$5:$H$92,"&lt;0")-SUMIFS('Daftar Koreksi'!$H$5:$H$92,'Daftar Koreksi'!$D$5:$D$92,'0200'!A400,'Daftar Koreksi'!$G$5:$G$92,"Gedung dan Bangunan",'Daftar Koreksi'!$H$5:$H$92,"&lt;0")</f>
        <v>0</v>
      </c>
      <c r="G406" s="17">
        <f t="shared" si="18"/>
        <v>10108498555</v>
      </c>
      <c r="H406" s="122"/>
      <c r="I406" s="28"/>
      <c r="J406" s="28"/>
    </row>
    <row r="407" spans="1:10" ht="21.95" customHeight="1">
      <c r="A407" s="14"/>
      <c r="B407" s="14"/>
      <c r="C407" s="16" t="s">
        <v>1169</v>
      </c>
      <c r="D407" s="17">
        <f>VLOOKUP(A400,'Neraca Unaudited SIMAK'!$A$2:$S$10004,7,FALSE)</f>
        <v>2206268049</v>
      </c>
      <c r="E407" s="25">
        <f>SUMIFS('Daftar Koreksi'!$H$5:$H$92,'Daftar Koreksi'!$D$5:$D$92,'0200'!A400,'Daftar Koreksi'!$G$5:$G$92,"Jalan Irigasi Jaringan",'Daftar Koreksi'!$H$5:$H$92,"&gt;0")</f>
        <v>0</v>
      </c>
      <c r="F407" s="25">
        <f>SUMIFS('Daftar Koreksi'!$H$5:$H$92,'Daftar Koreksi'!$D$5:$D$92,'0200'!A400,'Daftar Koreksi'!$G$5:$G$92,"Jalan Irigasi Jaringan",'Daftar Koreksi'!$H$5:$H$92,"&lt;0")-SUMIFS('Daftar Koreksi'!$H$5:$H$92,'Daftar Koreksi'!$D$5:$D$92,'0200'!A400,'Daftar Koreksi'!$G$5:$G$92,"Jalan Irigasi Jaringan",'Daftar Koreksi'!$H$5:$H$92,"&lt;0")-SUMIFS('Daftar Koreksi'!$H$5:$H$92,'Daftar Koreksi'!$D$5:$D$92,'0200'!A400,'Daftar Koreksi'!$G$5:$G$92,"Jalan Irigasi Jaringan",'Daftar Koreksi'!$H$5:$H$92,"&lt;0")</f>
        <v>0</v>
      </c>
      <c r="G407" s="17">
        <f t="shared" si="18"/>
        <v>2206268049</v>
      </c>
      <c r="H407" s="122"/>
      <c r="I407" s="28"/>
      <c r="J407" s="28"/>
    </row>
    <row r="408" spans="1:10" ht="21.95" customHeight="1">
      <c r="A408" s="14"/>
      <c r="B408" s="14"/>
      <c r="C408" s="16" t="s">
        <v>1170</v>
      </c>
      <c r="D408" s="17">
        <f>VLOOKUP(A400,'Neraca Unaudited SIMAK'!$A$2:$S$10004,8,FALSE)</f>
        <v>52563729</v>
      </c>
      <c r="E408" s="25">
        <f>SUMIFS('Daftar Koreksi'!$H$5:$H$92,'Daftar Koreksi'!$D$5:$D$92,'0200'!A400,'Daftar Koreksi'!$G$5:$G$92,"Aset Tetap Lainnya",'Daftar Koreksi'!$H$5:$H$92,"&gt;0")</f>
        <v>0</v>
      </c>
      <c r="F408" s="25">
        <f>SUMIFS('Daftar Koreksi'!$H$5:$H$92,'Daftar Koreksi'!$D$5:$D$92,'0200'!A400,'Daftar Koreksi'!$G$5:$G$92,"Aset Tetap Lainnya",'Daftar Koreksi'!$H$5:$H$92,"&lt;0")-SUMIFS('Daftar Koreksi'!$H$5:$H$92,'Daftar Koreksi'!$D$5:$D$92,'0200'!A400,'Daftar Koreksi'!$G$5:$G$92,"Aset Tetap Lainnya",'Daftar Koreksi'!$H$5:$H$92,"&lt;0")-SUMIFS('Daftar Koreksi'!$H$5:$H$92,'Daftar Koreksi'!$D$5:$D$92,'0200'!A400,'Daftar Koreksi'!$G$5:$G$92,"Aset Tetap Lainnya",'Daftar Koreksi'!$H$5:$H$92,"&lt;0")</f>
        <v>0</v>
      </c>
      <c r="G408" s="17">
        <f t="shared" si="18"/>
        <v>52563729</v>
      </c>
      <c r="H408" s="122"/>
      <c r="I408" s="28"/>
      <c r="J408" s="28"/>
    </row>
    <row r="409" spans="1:10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Koreksi'!$D$5:$D$92,'0200'!A400,'Daftar Koreksi'!$G$5:$G$92,"Kontruksi Dalam Pengerjaan",'Daftar Koreksi'!$H$5:$H$92,"&gt;0")</f>
        <v>0</v>
      </c>
      <c r="F409" s="25">
        <f>SUMIFS('Daftar Koreksi'!$H$5:$H$92,'Daftar Koreksi'!$D$5:$D$92,'0200'!A400,'Daftar Koreksi'!$G$5:$G$92,"Kontruksi Dalam Pengerjaan",'Daftar Koreksi'!$H$5:$H$92,"&lt;0")-SUMIFS('Daftar Koreksi'!$H$5:$H$92,'Daftar Koreksi'!$D$5:$D$92,'0200'!A400,'Daftar Koreksi'!$G$5:$G$92,"Kontruksi Dalam Pengerjaan",'Daftar Koreksi'!$H$5:$H$92,"&lt;0")-SUMIFS('Daftar Koreksi'!$H$5:$H$92,'Daftar Koreksi'!$D$5:$D$92,'0200'!A400,'Daftar Koreksi'!$G$5:$G$92,"Kontruksi Dalam Pengerjaan",'Daftar Koreksi'!$H$5:$H$92,"&lt;0")</f>
        <v>0</v>
      </c>
      <c r="G409" s="17">
        <f t="shared" si="18"/>
        <v>0</v>
      </c>
      <c r="H409" s="122"/>
      <c r="I409" s="28"/>
      <c r="J409" s="28"/>
    </row>
    <row r="410" spans="1:10" ht="21.95" customHeight="1">
      <c r="A410" s="14"/>
      <c r="B410" s="14"/>
      <c r="C410" s="16" t="s">
        <v>1172</v>
      </c>
      <c r="D410" s="17">
        <f>VLOOKUP(A400,'Neraca Unaudited SIMAK'!$A$2:$S$10004,10,FALSE)</f>
        <v>74145000</v>
      </c>
      <c r="E410" s="25">
        <f>SUMIFS('Daftar Koreksi'!$H$5:$H$92,'Daftar Koreksi'!$D$5:$D$92,'0200'!A400,'Daftar Koreksi'!$G$5:$G$92,"Aset Tak Berwujud",'Daftar Koreksi'!$H$5:$H$92,"&gt;0")</f>
        <v>0</v>
      </c>
      <c r="F410" s="25">
        <f>SUMIFS('Daftar Koreksi'!$H$5:$H$92,'Daftar Koreksi'!$D$5:$D$92,'0200'!A400,'Daftar Koreksi'!$G$5:$G$92,"Aset Tak Berwujud",'Daftar Koreksi'!$H$5:$H$92,"&lt;0")-SUMIFS('Daftar Koreksi'!$H$5:$H$92,'Daftar Koreksi'!$D$5:$D$92,'0200'!A400,'Daftar Koreksi'!$G$5:$G$92,"Aset Tak Berwujud",'Daftar Koreksi'!$H$5:$H$92,"&lt;0")-SUMIFS('Daftar Koreksi'!$H$5:$H$92,'Daftar Koreksi'!$D$5:$D$92,'0200'!A400,'Daftar Koreksi'!$G$5:$G$92,"Aset Tak Berwujud",'Daftar Koreksi'!$H$5:$H$92,"&lt;0")</f>
        <v>0</v>
      </c>
      <c r="G410" s="17">
        <f t="shared" si="18"/>
        <v>74145000</v>
      </c>
      <c r="H410" s="122"/>
      <c r="I410" s="28"/>
      <c r="J410" s="28"/>
    </row>
    <row r="411" spans="1:10" ht="21.95" customHeight="1">
      <c r="A411" s="14"/>
      <c r="B411" s="14"/>
      <c r="C411" s="16" t="s">
        <v>1173</v>
      </c>
      <c r="D411" s="17">
        <f>VLOOKUP(A400,'Neraca Unaudited SIMAK'!$A$2:$S$10004,11,FALSE)</f>
        <v>30635000</v>
      </c>
      <c r="E411" s="25">
        <f>SUMIFS('Daftar Koreksi'!$H$5:$H$92,'Daftar Koreksi'!$D$5:$D$92,'0200'!A400,'Daftar Koreksi'!$G$5:$G$92,"Aset Henti Guna",'Daftar Koreksi'!$H$5:$H$92,"&gt;0")</f>
        <v>0</v>
      </c>
      <c r="F411" s="25">
        <f>SUMIFS('Daftar Koreksi'!$H$5:$H$92,'Daftar Koreksi'!$D$5:$D$92,'0200'!A400,'Daftar Koreksi'!$G$5:$G$92,"Aset Henti Guna",'Daftar Koreksi'!$H$5:$H$92,"&lt;0")-SUMIFS('Daftar Koreksi'!$H$5:$H$92,'Daftar Koreksi'!$D$5:$D$92,'0200'!A400,'Daftar Koreksi'!$G$5:$G$92,"Aset Henti Guna",'Daftar Koreksi'!$H$5:$H$92,"&lt;0")-SUMIFS('Daftar Koreksi'!$H$5:$H$92,'Daftar Koreksi'!$D$5:$D$92,'0200'!A400,'Daftar Koreksi'!$G$5:$G$92,"Aset Henti Guna",'Daftar Koreksi'!$H$5:$H$92,"&lt;0")</f>
        <v>0</v>
      </c>
      <c r="G411" s="17">
        <f t="shared" si="18"/>
        <v>30635000</v>
      </c>
      <c r="H411" s="122"/>
      <c r="I411" s="28"/>
      <c r="J411" s="28"/>
    </row>
    <row r="412" spans="1:10" ht="21.95" customHeight="1">
      <c r="A412" s="14"/>
      <c r="B412" s="14"/>
      <c r="C412" s="18" t="s">
        <v>2093</v>
      </c>
      <c r="D412" s="19">
        <f>VLOOKUP(A400,'Neraca Unaudited SIMAK'!$A$2:$S$10004,12,FALSE)</f>
        <v>23738213159</v>
      </c>
      <c r="E412" s="19">
        <f>SUM(E403:E411)</f>
        <v>0</v>
      </c>
      <c r="F412" s="19">
        <f>SUM(F403:F411)</f>
        <v>0</v>
      </c>
      <c r="G412" s="19">
        <f t="shared" si="18"/>
        <v>23738213159</v>
      </c>
      <c r="H412" s="122"/>
      <c r="I412" s="28"/>
      <c r="J412" s="28"/>
    </row>
    <row r="413" spans="1:10" ht="21.95" customHeight="1">
      <c r="A413" s="14"/>
      <c r="B413" s="14"/>
      <c r="C413" s="16" t="s">
        <v>2087</v>
      </c>
      <c r="D413" s="17">
        <f>VLOOKUP(A400,'Neraca Unaudited SIMAK'!$A$2:$S$10004,13,FALSE)</f>
        <v>-3087836498</v>
      </c>
      <c r="E413" s="25">
        <f>SUMIFS('Daftar Koreksi'!$I$5:$I$92,'Daftar Koreksi'!$D$5:$D$92,'0200'!A400,'Daftar Koreksi'!$G$5:$G$92,"Peralatan dan mesin",'Daftar Koreksi'!$I$5:$I$92,"&gt;0")</f>
        <v>0</v>
      </c>
      <c r="F413" s="25">
        <f>SUMIFS('Daftar Koreksi'!$I$5:$I$92,'Daftar Koreksi'!$D$5:$D$92,'0200'!A400,'Daftar Koreksi'!$G$5:$G$92,"Peralatan dan mesin",'Daftar Koreksi'!$I$5:$I$92,"&lt;0")-SUMIFS('Daftar Koreksi'!$I$5:$I$92,'Daftar Koreksi'!$D$5:$D$92,'0200'!A400,'Daftar Koreksi'!$G$5:$G$92,"Peralatan dan mesin",'Daftar Koreksi'!$I$5:$I$92,"&lt;0")-SUMIFS('Daftar Koreksi'!$I$5:$I$92,'Daftar Koreksi'!$D$5:$D$92,'0200'!A400,'Daftar Koreksi'!$G$5:$G$92,"Peralatan dan mesin",'Daftar Koreksi'!$I$5:$I$92,"&lt;0")</f>
        <v>0</v>
      </c>
      <c r="G413" s="17">
        <f t="shared" si="18"/>
        <v>-3087836498</v>
      </c>
      <c r="H413" s="122"/>
      <c r="I413" s="28"/>
      <c r="J413" s="28"/>
    </row>
    <row r="414" spans="1:10" ht="21.95" customHeight="1">
      <c r="A414" s="14"/>
      <c r="B414" s="14"/>
      <c r="C414" s="16" t="s">
        <v>2088</v>
      </c>
      <c r="D414" s="17">
        <f>VLOOKUP(A400,'Neraca Unaudited SIMAK'!$A$2:$S$10004,14,FALSE)</f>
        <v>-1905634660</v>
      </c>
      <c r="E414" s="25">
        <f>SUMIFS('Daftar Koreksi'!$I$5:$I$92,'Daftar Koreksi'!$D$5:$D$92,'0200'!A400,'Daftar Koreksi'!$G$5:$G$92,"Gedung dan Bangunan",'Daftar Koreksi'!$I$5:$I$92,"&gt;0")</f>
        <v>0</v>
      </c>
      <c r="F414" s="25">
        <f>SUMIFS('Daftar Koreksi'!$I$5:$I$92,'Daftar Koreksi'!$D$5:$D$92,'0200'!A400,'Daftar Koreksi'!$G$5:$G$92,"Gedung dan Bangunan",'Daftar Koreksi'!$I$5:$I$92,"&lt;0")-SUMIFS('Daftar Koreksi'!$I$5:$I$92,'Daftar Koreksi'!$D$5:$D$92,'0200'!A400,'Daftar Koreksi'!$G$5:$G$92,"Gedung dan Bangunan",'Daftar Koreksi'!$I$5:$I$92,"&lt;0")-SUMIFS('Daftar Koreksi'!$I$5:$I$92,'Daftar Koreksi'!$D$5:$D$92,'0200'!A400,'Daftar Koreksi'!$G$5:$G$92,"Gedung dan Bangunan",'Daftar Koreksi'!$I$5:$I$92,"&lt;0")</f>
        <v>0</v>
      </c>
      <c r="G414" s="17">
        <f t="shared" si="18"/>
        <v>-1905634660</v>
      </c>
      <c r="H414" s="122"/>
      <c r="I414" s="28"/>
      <c r="J414" s="28"/>
    </row>
    <row r="415" spans="1:10" ht="21.95" customHeight="1">
      <c r="A415" s="14"/>
      <c r="B415" s="14"/>
      <c r="C415" s="16" t="s">
        <v>2089</v>
      </c>
      <c r="D415" s="17">
        <f>VLOOKUP(A400,'Neraca Unaudited SIMAK'!$A$2:$S$10004,15,FALSE)</f>
        <v>-140254544</v>
      </c>
      <c r="E415" s="25">
        <f>SUMIFS('Daftar Koreksi'!$I$5:$I$92,'Daftar Koreksi'!$D$5:$D$92,'0200'!A400,'Daftar Koreksi'!$G$5:$G$92,"Jalan Irigasi Jaringan",'Daftar Koreksi'!$I$5:$I$92,"&gt;0")</f>
        <v>0</v>
      </c>
      <c r="F415" s="25">
        <f>SUMIFS('Daftar Koreksi'!$I$5:$I$92,'Daftar Koreksi'!$D$5:$D$92,'0200'!A400,'Daftar Koreksi'!$G$5:$G$92,"Jalan Irigasi Jaringan",'Daftar Koreksi'!$I$5:$I$92,"&lt;0")-SUMIFS('Daftar Koreksi'!$I$5:$I$92,'Daftar Koreksi'!$D$5:$D$92,'0200'!A400,'Daftar Koreksi'!$G$5:$G$92,"Jalan Irigasi Jaringan",'Daftar Koreksi'!$I$5:$I$92,"&lt;0")-SUMIFS('Daftar Koreksi'!$I$5:$I$92,'Daftar Koreksi'!$D$5:$D$92,'0200'!A400,'Daftar Koreksi'!$G$5:$G$92,"Jalan Irigasi Jaringan",'Daftar Koreksi'!$I$5:$I$92,"&lt;0")</f>
        <v>0</v>
      </c>
      <c r="G415" s="17">
        <f t="shared" si="18"/>
        <v>-140254544</v>
      </c>
      <c r="H415" s="122"/>
      <c r="I415" s="28"/>
      <c r="J415" s="28"/>
    </row>
    <row r="416" spans="1:10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Koreksi'!$D$5:$D$92,'0200'!A400,'Daftar Koreksi'!$G$5:$G$92,"Aset Tetap Lainnya",'Daftar Koreksi'!$I$5:$I$92,"&gt;0")</f>
        <v>0</v>
      </c>
      <c r="F416" s="25">
        <f>SUMIFS('Daftar Koreksi'!$I$5:$I$92,'Daftar Koreksi'!$D$5:$D$92,'0200'!A400,'Daftar Koreksi'!$G$5:$G$92,"Aset Tetap Lainnya",'Daftar Koreksi'!$I$5:$I$92,"&lt;0")-SUMIFS('Daftar Koreksi'!$I$5:$I$92,'Daftar Koreksi'!$D$5:$D$92,'0200'!A400,'Daftar Koreksi'!$G$5:$G$92,"Aset Tetap Lainnya",'Daftar Koreksi'!$I$5:$I$92,"&lt;0")-SUMIFS('Daftar Koreksi'!$I$5:$I$92,'Daftar Koreksi'!$D$5:$D$92,'0200'!A400,'Daftar Koreksi'!$G$5:$G$92,"Aset Tetap Lainnya",'Daftar Koreksi'!$I$5:$I$92,"&lt;0")</f>
        <v>0</v>
      </c>
      <c r="G416" s="17">
        <f t="shared" si="18"/>
        <v>0</v>
      </c>
      <c r="H416" s="122"/>
      <c r="I416" s="28"/>
      <c r="J416" s="28"/>
    </row>
    <row r="417" spans="1:10" ht="21.95" customHeight="1">
      <c r="A417" s="14"/>
      <c r="B417" s="14"/>
      <c r="C417" s="16" t="s">
        <v>2020</v>
      </c>
      <c r="D417" s="17">
        <f>VLOOKUP(A400,'Neraca Unaudited SIMAK'!$A$2:$S$10004,17,FALSE)</f>
        <v>-30635000</v>
      </c>
      <c r="E417" s="25">
        <f>SUMIFS('Daftar Koreksi'!$I$5:$I$92,'Daftar Koreksi'!$D$5:$D$92,'0200'!A400,'Daftar Koreksi'!$G$5:$G$92,"Aset Henti Guna",'Daftar Koreksi'!$I$5:$I$92,"&gt;0")</f>
        <v>0</v>
      </c>
      <c r="F417" s="25">
        <f>SUMIFS('Daftar Koreksi'!$I$5:$I$92,'Daftar Koreksi'!$D$5:$D$92,'0200'!A400,'Daftar Koreksi'!$G$5:$G$92,"Aset Henti Guna",'Daftar Koreksi'!$I$5:$I$92,"&lt;0")-SUMIFS('Daftar Koreksi'!$I$5:$I$92,'Daftar Koreksi'!$D$5:$D$92,'0200'!A400,'Daftar Koreksi'!$G$5:$G$92,"Aset Henti Guna",'Daftar Koreksi'!$I$5:$I$92,"&lt;0")-SUMIFS('Daftar Koreksi'!$I$5:$I$92,'Daftar Koreksi'!$D$5:$D$92,'0200'!A400,'Daftar Koreksi'!$G$5:$G$92,"Aset Henti Guna",'Daftar Koreksi'!$I$5:$I$92,"&lt;0")</f>
        <v>0</v>
      </c>
      <c r="G417" s="17">
        <f t="shared" si="18"/>
        <v>-30635000</v>
      </c>
      <c r="H417" s="122"/>
      <c r="I417" s="28"/>
      <c r="J417" s="28"/>
    </row>
    <row r="418" spans="1:10" ht="21.95" customHeight="1">
      <c r="A418" s="14"/>
      <c r="B418" s="14"/>
      <c r="C418" s="18" t="s">
        <v>2094</v>
      </c>
      <c r="D418" s="19">
        <f>SUM(D413:D417)</f>
        <v>-5164360702</v>
      </c>
      <c r="E418" s="19">
        <f>SUM(E413:E417)</f>
        <v>0</v>
      </c>
      <c r="F418" s="19">
        <f>SUM(F413:F417)</f>
        <v>0</v>
      </c>
      <c r="G418" s="19">
        <f t="shared" si="18"/>
        <v>-5164360702</v>
      </c>
      <c r="H418" s="122"/>
      <c r="I418" s="28"/>
      <c r="J418" s="28"/>
    </row>
    <row r="419" spans="1:10" ht="21.95" customHeight="1">
      <c r="A419" s="14"/>
      <c r="B419" s="14"/>
      <c r="C419" s="18" t="s">
        <v>2095</v>
      </c>
      <c r="D419" s="19">
        <f>VLOOKUP(A400,'Neraca Unaudited SIMAK'!$A$2:$S$10004,18,FALSE)</f>
        <v>18573852457</v>
      </c>
      <c r="E419" s="19">
        <f>E418+E412</f>
        <v>0</v>
      </c>
      <c r="F419" s="19">
        <f>F418+F412</f>
        <v>0</v>
      </c>
      <c r="G419" s="19">
        <f t="shared" si="18"/>
        <v>18573852457</v>
      </c>
      <c r="H419" s="122"/>
      <c r="I419" s="28"/>
      <c r="J419" s="28"/>
    </row>
    <row r="420" spans="1:10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  <c r="I420" s="28"/>
      <c r="J420" s="28"/>
    </row>
    <row r="422" spans="1:10" ht="19.5" customHeight="1">
      <c r="A422" s="11" t="str">
        <f>O20</f>
        <v>005010200400477000KD</v>
      </c>
      <c r="B422" s="11" t="str">
        <f>P20</f>
        <v>PN. Sumber</v>
      </c>
      <c r="C422" s="12" t="str">
        <f>A422&amp;" "&amp;B422</f>
        <v>005010200400477000KD PN. Sumber</v>
      </c>
      <c r="D422" s="13"/>
      <c r="E422" s="13"/>
      <c r="F422" s="13"/>
      <c r="G422" s="13"/>
      <c r="H422" s="11"/>
    </row>
    <row r="423" spans="1:10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10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10" ht="21.95" customHeight="1">
      <c r="A425" s="14"/>
      <c r="B425" s="14"/>
      <c r="C425" s="16" t="s">
        <v>1165</v>
      </c>
      <c r="D425" s="17">
        <f>VLOOKUP(A422,'Neraca Unaudited SIMAK'!$A$2:$S$10004,3,FALSE)</f>
        <v>8933961</v>
      </c>
      <c r="E425" s="25">
        <f>SUMIFS('Daftar Koreksi'!$H$5:$H$92,'Daftar Koreksi'!$D$5:$D$92,'0200'!A422,'Daftar Koreksi'!$G$5:$G$92,"Persediaan",'Daftar Koreksi'!$H$5:$H$92,"&gt;0")</f>
        <v>0</v>
      </c>
      <c r="F425" s="25">
        <f>SUMIFS('Daftar Koreksi'!$H$5:$H$92,'Daftar Koreksi'!$D$5:$D$92,'0200'!A422,'Daftar Koreksi'!$G$5:$G$92,"Persediaan",'Daftar Koreksi'!$H$5:$H$92,"&lt;0")-SUMIFS('Daftar Koreksi'!$H$5:$H$92,'Daftar Koreksi'!$D$5:$D$92,'0200'!A422,'Daftar Koreksi'!$G$5:$G$92,"Persediaan",'Daftar Koreksi'!$H$5:$H$92,"&lt;0")-SUMIFS('Daftar Koreksi'!$H$5:$H$92,'Daftar Koreksi'!$D$5:$D$92,'0200'!A422,'Daftar Koreksi'!$G$5:$G$92,"Persediaan",'Daftar Koreksi'!$H$5:$H$92,"&lt;0")</f>
        <v>0</v>
      </c>
      <c r="G425" s="17">
        <f>D425+E425-F425</f>
        <v>8933961</v>
      </c>
      <c r="H425" s="121" t="str">
        <f>IF(ISNA(VLOOKUP(A422,'Mutasi Neraca'!$A$3:$S$914,19,FALSE)),"-",VLOOKUP(A422,'Mutasi Neraca'!$A$3:$S$914,19,FALSE))</f>
        <v>-</v>
      </c>
    </row>
    <row r="426" spans="1:10" ht="21.95" customHeight="1">
      <c r="A426" s="14"/>
      <c r="B426" s="14"/>
      <c r="C426" s="16" t="s">
        <v>1166</v>
      </c>
      <c r="D426" s="17">
        <f>VLOOKUP(A422,'Neraca Unaudited SIMAK'!$A$2:$S$10004,4,FALSE)</f>
        <v>2007000000</v>
      </c>
      <c r="E426" s="25">
        <f>SUMIFS('Daftar Koreksi'!$H$5:$H$92,'Daftar Koreksi'!$D$5:$D$92,'0200'!A422,'Daftar Koreksi'!$G$5:$G$92,"Tanah",'Daftar Koreksi'!$H$5:$H$92,"&gt;0")</f>
        <v>0</v>
      </c>
      <c r="F426" s="25">
        <f>SUMIFS('Daftar Koreksi'!$H$5:$H$92,'Daftar Koreksi'!$D$5:$D$92,'0200'!A422,'Daftar Koreksi'!$G$5:$G$92,"Tanah",'Daftar Koreksi'!$H$5:$H$92,"&lt;0")-SUMIFS('Daftar Koreksi'!$H$5:$H$92,'Daftar Koreksi'!$D$5:$D$92,'0200'!A422,'Daftar Koreksi'!$G$5:$G$92,"Tanah",'Daftar Koreksi'!$H$5:$H$92,"&lt;0")-SUMIFS('Daftar Koreksi'!$H$5:$H$92,'Daftar Koreksi'!$D$5:$D$92,'0200'!A422,'Daftar Koreksi'!$G$5:$G$92,"Tanah",'Daftar Koreksi'!$H$5:$H$92,"&lt;0")</f>
        <v>0</v>
      </c>
      <c r="G426" s="17">
        <f t="shared" ref="G426:G442" si="19">D426+E426-F426</f>
        <v>2007000000</v>
      </c>
      <c r="H426" s="122"/>
    </row>
    <row r="427" spans="1:10" ht="21.95" customHeight="1">
      <c r="A427" s="14"/>
      <c r="B427" s="14"/>
      <c r="C427" s="16" t="s">
        <v>1167</v>
      </c>
      <c r="D427" s="17">
        <f>VLOOKUP(A422,'Neraca Unaudited SIMAK'!$A$2:$S$10004,5,FALSE)</f>
        <v>1521638742</v>
      </c>
      <c r="E427" s="25">
        <f>SUMIFS('Daftar Koreksi'!$H$5:$H$92,'Daftar Koreksi'!$D$5:$D$92,'0200'!A422,'Daftar Koreksi'!$G$5:$G$92,"Peralatan dan mesin",'Daftar Koreksi'!$H$5:$H$92,"&gt;0")</f>
        <v>0</v>
      </c>
      <c r="F427" s="25">
        <f>SUMIFS('Daftar Koreksi'!$H$5:$H$92,'Daftar Koreksi'!$D$5:$D$92,'0200'!A422,'Daftar Koreksi'!$G$5:$G$92,"Peralatan dan mesin",'Daftar Koreksi'!$H$5:$H$92,"&lt;0")-SUMIFS('Daftar Koreksi'!$H$5:$H$92,'Daftar Koreksi'!$D$5:$D$92,'0200'!A422,'Daftar Koreksi'!$G$5:$G$92,"Peralatan dan mesin",'Daftar Koreksi'!$H$5:$H$92,"&lt;0")-SUMIFS('Daftar Koreksi'!$H$5:$H$92,'Daftar Koreksi'!$D$5:$D$92,'0200'!A422,'Daftar Koreksi'!$G$5:$G$92,"Peralatan dan mesin",'Daftar Koreksi'!$H$5:$H$92,"&lt;0")</f>
        <v>0</v>
      </c>
      <c r="G427" s="17">
        <f t="shared" si="19"/>
        <v>1521638742</v>
      </c>
      <c r="H427" s="122"/>
    </row>
    <row r="428" spans="1:10" ht="21.95" customHeight="1">
      <c r="A428" s="14"/>
      <c r="B428" s="14"/>
      <c r="C428" s="16" t="s">
        <v>1168</v>
      </c>
      <c r="D428" s="17">
        <f>VLOOKUP(A422,'Neraca Unaudited SIMAK'!$A$2:$S$10004,6,FALSE)</f>
        <v>4548688350</v>
      </c>
      <c r="E428" s="25">
        <f>SUMIFS('Daftar Koreksi'!$H$5:$H$92,'Daftar Koreksi'!$D$5:$D$92,'0200'!A422,'Daftar Koreksi'!$G$5:$G$92,"Gedung dan Bangunan",'Daftar Koreksi'!$H$5:$H$92,"&gt;0")</f>
        <v>0</v>
      </c>
      <c r="F428" s="25">
        <f>SUMIFS('Daftar Koreksi'!$H$5:$H$92,'Daftar Koreksi'!$D$5:$D$92,'0200'!A422,'Daftar Koreksi'!$G$5:$G$92,"Gedung dan Bangunan",'Daftar Koreksi'!$H$5:$H$92,"&lt;0")-SUMIFS('Daftar Koreksi'!$H$5:$H$92,'Daftar Koreksi'!$D$5:$D$92,'0200'!A422,'Daftar Koreksi'!$G$5:$G$92,"Gedung dan Bangunan",'Daftar Koreksi'!$H$5:$H$92,"&lt;0")-SUMIFS('Daftar Koreksi'!$H$5:$H$92,'Daftar Koreksi'!$D$5:$D$92,'0200'!A422,'Daftar Koreksi'!$G$5:$G$92,"Gedung dan Bangunan",'Daftar Koreksi'!$H$5:$H$92,"&lt;0")</f>
        <v>0</v>
      </c>
      <c r="G428" s="17">
        <f t="shared" si="19"/>
        <v>4548688350</v>
      </c>
      <c r="H428" s="122"/>
    </row>
    <row r="429" spans="1:10" ht="21.95" customHeight="1">
      <c r="A429" s="14"/>
      <c r="B429" s="14"/>
      <c r="C429" s="16" t="s">
        <v>1169</v>
      </c>
      <c r="D429" s="17">
        <f>VLOOKUP(A422,'Neraca Unaudited SIMAK'!$A$2:$S$10004,7,FALSE)</f>
        <v>279479600</v>
      </c>
      <c r="E429" s="25">
        <f>SUMIFS('Daftar Koreksi'!$H$5:$H$92,'Daftar Koreksi'!$D$5:$D$92,'0200'!A422,'Daftar Koreksi'!$G$5:$G$92,"Jalan Irigasi Jaringan",'Daftar Koreksi'!$H$5:$H$92,"&gt;0")</f>
        <v>0</v>
      </c>
      <c r="F429" s="25">
        <f>SUMIFS('Daftar Koreksi'!$H$5:$H$92,'Daftar Koreksi'!$D$5:$D$92,'0200'!A422,'Daftar Koreksi'!$G$5:$G$92,"Jalan Irigasi Jaringan",'Daftar Koreksi'!$H$5:$H$92,"&lt;0")-SUMIFS('Daftar Koreksi'!$H$5:$H$92,'Daftar Koreksi'!$D$5:$D$92,'0200'!A422,'Daftar Koreksi'!$G$5:$G$92,"Jalan Irigasi Jaringan",'Daftar Koreksi'!$H$5:$H$92,"&lt;0")-SUMIFS('Daftar Koreksi'!$H$5:$H$92,'Daftar Koreksi'!$D$5:$D$92,'0200'!A422,'Daftar Koreksi'!$G$5:$G$92,"Jalan Irigasi Jaringan",'Daftar Koreksi'!$H$5:$H$92,"&lt;0")</f>
        <v>0</v>
      </c>
      <c r="G429" s="17">
        <f t="shared" si="19"/>
        <v>279479600</v>
      </c>
      <c r="H429" s="122"/>
    </row>
    <row r="430" spans="1:10" ht="21.95" customHeight="1">
      <c r="A430" s="14"/>
      <c r="B430" s="14"/>
      <c r="C430" s="16" t="s">
        <v>1170</v>
      </c>
      <c r="D430" s="17">
        <f>VLOOKUP(A422,'Neraca Unaudited SIMAK'!$A$2:$S$10004,8,FALSE)</f>
        <v>22049862</v>
      </c>
      <c r="E430" s="25">
        <f>SUMIFS('Daftar Koreksi'!$H$5:$H$92,'Daftar Koreksi'!$D$5:$D$92,'0200'!A422,'Daftar Koreksi'!$G$5:$G$92,"Aset Tetap Lainnya",'Daftar Koreksi'!$H$5:$H$92,"&gt;0")</f>
        <v>0</v>
      </c>
      <c r="F430" s="25">
        <f>SUMIFS('Daftar Koreksi'!$H$5:$H$92,'Daftar Koreksi'!$D$5:$D$92,'0200'!A422,'Daftar Koreksi'!$G$5:$G$92,"Aset Tetap Lainnya",'Daftar Koreksi'!$H$5:$H$92,"&lt;0")-SUMIFS('Daftar Koreksi'!$H$5:$H$92,'Daftar Koreksi'!$D$5:$D$92,'0200'!A422,'Daftar Koreksi'!$G$5:$G$92,"Aset Tetap Lainnya",'Daftar Koreksi'!$H$5:$H$92,"&lt;0")-SUMIFS('Daftar Koreksi'!$H$5:$H$92,'Daftar Koreksi'!$D$5:$D$92,'0200'!A422,'Daftar Koreksi'!$G$5:$G$92,"Aset Tetap Lainnya",'Daftar Koreksi'!$H$5:$H$92,"&lt;0")</f>
        <v>0</v>
      </c>
      <c r="G430" s="17">
        <f t="shared" si="19"/>
        <v>22049862</v>
      </c>
      <c r="H430" s="122"/>
    </row>
    <row r="431" spans="1:10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Koreksi'!$D$5:$D$92,'0200'!A422,'Daftar Koreksi'!$G$5:$G$92,"Kontruksi Dalam Pengerjaan",'Daftar Koreksi'!$H$5:$H$92,"&gt;0")</f>
        <v>0</v>
      </c>
      <c r="F431" s="25">
        <f>SUMIFS('Daftar Koreksi'!$H$5:$H$92,'Daftar Koreksi'!$D$5:$D$92,'0200'!A422,'Daftar Koreksi'!$G$5:$G$92,"Kontruksi Dalam Pengerjaan",'Daftar Koreksi'!$H$5:$H$92,"&lt;0")-SUMIFS('Daftar Koreksi'!$H$5:$H$92,'Daftar Koreksi'!$D$5:$D$92,'0200'!A422,'Daftar Koreksi'!$G$5:$G$92,"Kontruksi Dalam Pengerjaan",'Daftar Koreksi'!$H$5:$H$92,"&lt;0")-SUMIFS('Daftar Koreksi'!$H$5:$H$92,'Daftar Koreksi'!$D$5:$D$92,'0200'!A422,'Daftar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10" ht="21.95" customHeight="1">
      <c r="A432" s="14"/>
      <c r="B432" s="14"/>
      <c r="C432" s="16" t="s">
        <v>1172</v>
      </c>
      <c r="D432" s="17">
        <f>VLOOKUP(A422,'Neraca Unaudited SIMAK'!$A$2:$S$10004,10,FALSE)</f>
        <v>9126250</v>
      </c>
      <c r="E432" s="25">
        <f>SUMIFS('Daftar Koreksi'!$H$5:$H$92,'Daftar Koreksi'!$D$5:$D$92,'0200'!A422,'Daftar Koreksi'!$G$5:$G$92,"Aset Tak Berwujud",'Daftar Koreksi'!$H$5:$H$92,"&gt;0")</f>
        <v>0</v>
      </c>
      <c r="F432" s="25">
        <f>SUMIFS('Daftar Koreksi'!$H$5:$H$92,'Daftar Koreksi'!$D$5:$D$92,'0200'!A422,'Daftar Koreksi'!$G$5:$G$92,"Aset Tak Berwujud",'Daftar Koreksi'!$H$5:$H$92,"&lt;0")-SUMIFS('Daftar Koreksi'!$H$5:$H$92,'Daftar Koreksi'!$D$5:$D$92,'0200'!A422,'Daftar Koreksi'!$G$5:$G$92,"Aset Tak Berwujud",'Daftar Koreksi'!$H$5:$H$92,"&lt;0")-SUMIFS('Daftar Koreksi'!$H$5:$H$92,'Daftar Koreksi'!$D$5:$D$92,'0200'!A422,'Daftar Koreksi'!$G$5:$G$92,"Aset Tak Berwujud",'Daftar Koreksi'!$H$5:$H$92,"&lt;0")</f>
        <v>0</v>
      </c>
      <c r="G432" s="17">
        <f t="shared" si="19"/>
        <v>9126250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135991750</v>
      </c>
      <c r="E433" s="25">
        <f>SUMIFS('Daftar Koreksi'!$H$5:$H$92,'Daftar Koreksi'!$D$5:$D$92,'0200'!A422,'Daftar Koreksi'!$G$5:$G$92,"Aset Henti Guna",'Daftar Koreksi'!$H$5:$H$92,"&gt;0")</f>
        <v>0</v>
      </c>
      <c r="F433" s="25">
        <f>SUMIFS('Daftar Koreksi'!$H$5:$H$92,'Daftar Koreksi'!$D$5:$D$92,'0200'!A422,'Daftar Koreksi'!$G$5:$G$92,"Aset Henti Guna",'Daftar Koreksi'!$H$5:$H$92,"&lt;0")-SUMIFS('Daftar Koreksi'!$H$5:$H$92,'Daftar Koreksi'!$D$5:$D$92,'0200'!A422,'Daftar Koreksi'!$G$5:$G$92,"Aset Henti Guna",'Daftar Koreksi'!$H$5:$H$92,"&lt;0")-SUMIFS('Daftar Koreksi'!$H$5:$H$92,'Daftar Koreksi'!$D$5:$D$92,'0200'!A422,'Daftar Koreksi'!$G$5:$G$92,"Aset Henti Guna",'Daftar Koreksi'!$H$5:$H$92,"&lt;0")</f>
        <v>0</v>
      </c>
      <c r="G433" s="17">
        <f t="shared" si="19"/>
        <v>135991750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8532908515</v>
      </c>
      <c r="E434" s="19">
        <f>SUM(E425:E433)</f>
        <v>0</v>
      </c>
      <c r="F434" s="19">
        <f>SUM(F425:F433)</f>
        <v>0</v>
      </c>
      <c r="G434" s="19">
        <f t="shared" si="19"/>
        <v>8532908515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-1441904461</v>
      </c>
      <c r="E435" s="25">
        <f>SUMIFS('Daftar Koreksi'!$I$5:$I$92,'Daftar Koreksi'!$D$5:$D$92,'0200'!A422,'Daftar Koreksi'!$G$5:$G$92,"Peralatan dan mesin",'Daftar Koreksi'!$I$5:$I$92,"&gt;0")</f>
        <v>0</v>
      </c>
      <c r="F435" s="25">
        <f>SUMIFS('Daftar Koreksi'!$I$5:$I$92,'Daftar Koreksi'!$D$5:$D$92,'0200'!A422,'Daftar Koreksi'!$G$5:$G$92,"Peralatan dan mesin",'Daftar Koreksi'!$I$5:$I$92,"&lt;0")-SUMIFS('Daftar Koreksi'!$I$5:$I$92,'Daftar Koreksi'!$D$5:$D$92,'0200'!A422,'Daftar Koreksi'!$G$5:$G$92,"Peralatan dan mesin",'Daftar Koreksi'!$I$5:$I$92,"&lt;0")-SUMIFS('Daftar Koreksi'!$I$5:$I$92,'Daftar Koreksi'!$D$5:$D$92,'0200'!A422,'Daftar Koreksi'!$G$5:$G$92,"Peralatan dan mesin",'Daftar Koreksi'!$I$5:$I$92,"&lt;0")</f>
        <v>0</v>
      </c>
      <c r="G435" s="17">
        <f t="shared" si="19"/>
        <v>-1441904461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-1962962892</v>
      </c>
      <c r="E436" s="25">
        <f>SUMIFS('Daftar Koreksi'!$I$5:$I$92,'Daftar Koreksi'!$D$5:$D$92,'0200'!A422,'Daftar Koreksi'!$G$5:$G$92,"Gedung dan Bangunan",'Daftar Koreksi'!$I$5:$I$92,"&gt;0")</f>
        <v>0</v>
      </c>
      <c r="F436" s="25">
        <f>SUMIFS('Daftar Koreksi'!$I$5:$I$92,'Daftar Koreksi'!$D$5:$D$92,'0200'!A422,'Daftar Koreksi'!$G$5:$G$92,"Gedung dan Bangunan",'Daftar Koreksi'!$I$5:$I$92,"&lt;0")-SUMIFS('Daftar Koreksi'!$I$5:$I$92,'Daftar Koreksi'!$D$5:$D$92,'0200'!A422,'Daftar Koreksi'!$G$5:$G$92,"Gedung dan Bangunan",'Daftar Koreksi'!$I$5:$I$92,"&lt;0")-SUMIFS('Daftar Koreksi'!$I$5:$I$92,'Daftar Koreksi'!$D$5:$D$92,'0200'!A422,'Daftar Koreksi'!$G$5:$G$92,"Gedung dan Bangunan",'Daftar Koreksi'!$I$5:$I$92,"&lt;0")</f>
        <v>0</v>
      </c>
      <c r="G436" s="17">
        <f t="shared" si="19"/>
        <v>-1962962892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-195635720</v>
      </c>
      <c r="E437" s="25">
        <f>SUMIFS('Daftar Koreksi'!$I$5:$I$92,'Daftar Koreksi'!$D$5:$D$92,'0200'!A422,'Daftar Koreksi'!$G$5:$G$92,"Jalan Irigasi Jaringan",'Daftar Koreksi'!$I$5:$I$92,"&gt;0")</f>
        <v>0</v>
      </c>
      <c r="F437" s="25">
        <f>SUMIFS('Daftar Koreksi'!$I$5:$I$92,'Daftar Koreksi'!$D$5:$D$92,'0200'!A422,'Daftar Koreksi'!$G$5:$G$92,"Jalan Irigasi Jaringan",'Daftar Koreksi'!$I$5:$I$92,"&lt;0")-SUMIFS('Daftar Koreksi'!$I$5:$I$92,'Daftar Koreksi'!$D$5:$D$92,'0200'!A422,'Daftar Koreksi'!$G$5:$G$92,"Jalan Irigasi Jaringan",'Daftar Koreksi'!$I$5:$I$92,"&lt;0")-SUMIFS('Daftar Koreksi'!$I$5:$I$92,'Daftar Koreksi'!$D$5:$D$92,'0200'!A422,'Daftar Koreksi'!$G$5:$G$92,"Jalan Irigasi Jaringan",'Daftar Koreksi'!$I$5:$I$92,"&lt;0")</f>
        <v>0</v>
      </c>
      <c r="G437" s="17">
        <f t="shared" si="19"/>
        <v>-195635720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Koreksi'!$D$5:$D$92,'0200'!A422,'Daftar Koreksi'!$G$5:$G$92,"Aset Tetap Lainnya",'Daftar Koreksi'!$I$5:$I$92,"&gt;0")</f>
        <v>0</v>
      </c>
      <c r="F438" s="25">
        <f>SUMIFS('Daftar Koreksi'!$I$5:$I$92,'Daftar Koreksi'!$D$5:$D$92,'0200'!A422,'Daftar Koreksi'!$G$5:$G$92,"Aset Tetap Lainnya",'Daftar Koreksi'!$I$5:$I$92,"&lt;0")-SUMIFS('Daftar Koreksi'!$I$5:$I$92,'Daftar Koreksi'!$D$5:$D$92,'0200'!A422,'Daftar Koreksi'!$G$5:$G$92,"Aset Tetap Lainnya",'Daftar Koreksi'!$I$5:$I$92,"&lt;0")-SUMIFS('Daftar Koreksi'!$I$5:$I$92,'Daftar Koreksi'!$D$5:$D$92,'0200'!A422,'Daftar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-114247750</v>
      </c>
      <c r="E439" s="25">
        <f>SUMIFS('Daftar Koreksi'!$I$5:$I$92,'Daftar Koreksi'!$D$5:$D$92,'0200'!A422,'Daftar Koreksi'!$G$5:$G$92,"Aset Henti Guna",'Daftar Koreksi'!$I$5:$I$92,"&gt;0")</f>
        <v>0</v>
      </c>
      <c r="F439" s="25">
        <f>SUMIFS('Daftar Koreksi'!$I$5:$I$92,'Daftar Koreksi'!$D$5:$D$92,'0200'!A422,'Daftar Koreksi'!$G$5:$G$92,"Aset Henti Guna",'Daftar Koreksi'!$I$5:$I$92,"&lt;0")-SUMIFS('Daftar Koreksi'!$I$5:$I$92,'Daftar Koreksi'!$D$5:$D$92,'0200'!A422,'Daftar Koreksi'!$G$5:$G$92,"Aset Henti Guna",'Daftar Koreksi'!$I$5:$I$92,"&lt;0")-SUMIFS('Daftar Koreksi'!$I$5:$I$92,'Daftar Koreksi'!$D$5:$D$92,'0200'!A422,'Daftar Koreksi'!$G$5:$G$92,"Aset Henti Guna",'Daftar Koreksi'!$I$5:$I$92,"&lt;0")</f>
        <v>0</v>
      </c>
      <c r="G439" s="17">
        <f t="shared" si="19"/>
        <v>-114247750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-3714750823</v>
      </c>
      <c r="E440" s="19">
        <f>SUM(E435:E439)</f>
        <v>0</v>
      </c>
      <c r="F440" s="19">
        <f>SUM(F435:F439)</f>
        <v>0</v>
      </c>
      <c r="G440" s="19">
        <f t="shared" si="19"/>
        <v>-3714750823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4818157692</v>
      </c>
      <c r="E441" s="19">
        <f>E440+E434</f>
        <v>0</v>
      </c>
      <c r="F441" s="19">
        <f>F440+F434</f>
        <v>0</v>
      </c>
      <c r="G441" s="19">
        <f t="shared" si="19"/>
        <v>4818157692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005010200400483000KD</v>
      </c>
      <c r="B444" s="11" t="str">
        <f>P21</f>
        <v>PN. Bale Bandung</v>
      </c>
      <c r="C444" s="12" t="str">
        <f>A444&amp;" "&amp;B444</f>
        <v>005010200400483000KD PN. Bale Bandung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2497500</v>
      </c>
      <c r="E447" s="25">
        <f>SUMIFS('Daftar Koreksi'!$H$5:$H$92,'Daftar Koreksi'!$D$5:$D$92,'0200'!A444,'Daftar Koreksi'!$G$5:$G$92,"Persediaan",'Daftar Koreksi'!$H$5:$H$92,"&gt;0")</f>
        <v>0</v>
      </c>
      <c r="F447" s="25">
        <f>SUMIFS('Daftar Koreksi'!$H$5:$H$92,'Daftar Koreksi'!$D$5:$D$92,'0200'!A444,'Daftar Koreksi'!$G$5:$G$92,"Persediaan",'Daftar Koreksi'!$H$5:$H$92,"&lt;0")-SUMIFS('Daftar Koreksi'!$H$5:$H$92,'Daftar Koreksi'!$D$5:$D$92,'0200'!A444,'Daftar Koreksi'!$G$5:$G$92,"Persediaan",'Daftar Koreksi'!$H$5:$H$92,"&lt;0")-SUMIFS('Daftar Koreksi'!$H$5:$H$92,'Daftar Koreksi'!$D$5:$D$92,'0200'!A444,'Daftar Koreksi'!$G$5:$G$92,"Persediaan",'Daftar Koreksi'!$H$5:$H$92,"&lt;0")</f>
        <v>0</v>
      </c>
      <c r="G447" s="17">
        <f>D447+E447-F447</f>
        <v>2497500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4864550000</v>
      </c>
      <c r="E448" s="25">
        <f>SUMIFS('Daftar Koreksi'!$H$5:$H$92,'Daftar Koreksi'!$D$5:$D$92,'0200'!A444,'Daftar Koreksi'!$G$5:$G$92,"Tanah",'Daftar Koreksi'!$H$5:$H$92,"&gt;0")</f>
        <v>0</v>
      </c>
      <c r="F448" s="25">
        <f>SUMIFS('Daftar Koreksi'!$H$5:$H$92,'Daftar Koreksi'!$D$5:$D$92,'0200'!A444,'Daftar Koreksi'!$G$5:$G$92,"Tanah",'Daftar Koreksi'!$H$5:$H$92,"&lt;0")-SUMIFS('Daftar Koreksi'!$H$5:$H$92,'Daftar Koreksi'!$D$5:$D$92,'0200'!A444,'Daftar Koreksi'!$G$5:$G$92,"Tanah",'Daftar Koreksi'!$H$5:$H$92,"&lt;0")-SUMIFS('Daftar Koreksi'!$H$5:$H$92,'Daftar Koreksi'!$D$5:$D$92,'0200'!A444,'Daftar Koreksi'!$G$5:$G$92,"Tanah",'Daftar Koreksi'!$H$5:$H$92,"&lt;0")</f>
        <v>0</v>
      </c>
      <c r="G448" s="17">
        <f t="shared" ref="G448:G464" si="20">D448+E448-F448</f>
        <v>4864550000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3607243299</v>
      </c>
      <c r="E449" s="25">
        <f>SUMIFS('Daftar Koreksi'!$H$5:$H$92,'Daftar Koreksi'!$D$5:$D$92,'0200'!A444,'Daftar Koreksi'!$G$5:$G$92,"Peralatan dan mesin",'Daftar Koreksi'!$H$5:$H$92,"&gt;0")</f>
        <v>0</v>
      </c>
      <c r="F449" s="25">
        <f>SUMIFS('Daftar Koreksi'!$H$5:$H$92,'Daftar Koreksi'!$D$5:$D$92,'0200'!A444,'Daftar Koreksi'!$G$5:$G$92,"Peralatan dan mesin",'Daftar Koreksi'!$H$5:$H$92,"&lt;0")-SUMIFS('Daftar Koreksi'!$H$5:$H$92,'Daftar Koreksi'!$D$5:$D$92,'0200'!A444,'Daftar Koreksi'!$G$5:$G$92,"Peralatan dan mesin",'Daftar Koreksi'!$H$5:$H$92,"&lt;0")-SUMIFS('Daftar Koreksi'!$H$5:$H$92,'Daftar Koreksi'!$D$5:$D$92,'0200'!A444,'Daftar Koreksi'!$G$5:$G$92,"Peralatan dan mesin",'Daftar Koreksi'!$H$5:$H$92,"&lt;0")</f>
        <v>0</v>
      </c>
      <c r="G449" s="17">
        <f t="shared" si="20"/>
        <v>3607243299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5264610826</v>
      </c>
      <c r="E450" s="25">
        <f>SUMIFS('Daftar Koreksi'!$H$5:$H$92,'Daftar Koreksi'!$D$5:$D$92,'0200'!A444,'Daftar Koreksi'!$G$5:$G$92,"Gedung dan Bangunan",'Daftar Koreksi'!$H$5:$H$92,"&gt;0")</f>
        <v>0</v>
      </c>
      <c r="F450" s="25">
        <f>SUMIFS('Daftar Koreksi'!$H$5:$H$92,'Daftar Koreksi'!$D$5:$D$92,'0200'!A444,'Daftar Koreksi'!$G$5:$G$92,"Gedung dan Bangunan",'Daftar Koreksi'!$H$5:$H$92,"&lt;0")-SUMIFS('Daftar Koreksi'!$H$5:$H$92,'Daftar Koreksi'!$D$5:$D$92,'0200'!A444,'Daftar Koreksi'!$G$5:$G$92,"Gedung dan Bangunan",'Daftar Koreksi'!$H$5:$H$92,"&lt;0")-SUMIFS('Daftar Koreksi'!$H$5:$H$92,'Daftar Koreksi'!$D$5:$D$92,'0200'!A444,'Daftar Koreksi'!$G$5:$G$92,"Gedung dan Bangunan",'Daftar Koreksi'!$H$5:$H$92,"&lt;0")</f>
        <v>0</v>
      </c>
      <c r="G450" s="17">
        <f t="shared" si="20"/>
        <v>5264610826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25000000</v>
      </c>
      <c r="E451" s="25">
        <f>SUMIFS('Daftar Koreksi'!$H$5:$H$92,'Daftar Koreksi'!$D$5:$D$92,'0200'!A444,'Daftar Koreksi'!$G$5:$G$92,"Jalan Irigasi Jaringan",'Daftar Koreksi'!$H$5:$H$92,"&gt;0")</f>
        <v>0</v>
      </c>
      <c r="F451" s="25">
        <f>SUMIFS('Daftar Koreksi'!$H$5:$H$92,'Daftar Koreksi'!$D$5:$D$92,'0200'!A444,'Daftar Koreksi'!$G$5:$G$92,"Jalan Irigasi Jaringan",'Daftar Koreksi'!$H$5:$H$92,"&lt;0")-SUMIFS('Daftar Koreksi'!$H$5:$H$92,'Daftar Koreksi'!$D$5:$D$92,'0200'!A444,'Daftar Koreksi'!$G$5:$G$92,"Jalan Irigasi Jaringan",'Daftar Koreksi'!$H$5:$H$92,"&lt;0")-SUMIFS('Daftar Koreksi'!$H$5:$H$92,'Daftar Koreksi'!$D$5:$D$92,'0200'!A444,'Daftar Koreksi'!$G$5:$G$92,"Jalan Irigasi Jaringan",'Daftar Koreksi'!$H$5:$H$92,"&lt;0")</f>
        <v>0</v>
      </c>
      <c r="G451" s="17">
        <f t="shared" si="20"/>
        <v>25000000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28073562</v>
      </c>
      <c r="E452" s="25">
        <f>SUMIFS('Daftar Koreksi'!$H$5:$H$92,'Daftar Koreksi'!$D$5:$D$92,'0200'!A444,'Daftar Koreksi'!$G$5:$G$92,"Aset Tetap Lainnya",'Daftar Koreksi'!$H$5:$H$92,"&gt;0")</f>
        <v>0</v>
      </c>
      <c r="F452" s="25">
        <f>SUMIFS('Daftar Koreksi'!$H$5:$H$92,'Daftar Koreksi'!$D$5:$D$92,'0200'!A444,'Daftar Koreksi'!$G$5:$G$92,"Aset Tetap Lainnya",'Daftar Koreksi'!$H$5:$H$92,"&lt;0")-SUMIFS('Daftar Koreksi'!$H$5:$H$92,'Daftar Koreksi'!$D$5:$D$92,'0200'!A444,'Daftar Koreksi'!$G$5:$G$92,"Aset Tetap Lainnya",'Daftar Koreksi'!$H$5:$H$92,"&lt;0")-SUMIFS('Daftar Koreksi'!$H$5:$H$92,'Daftar Koreksi'!$D$5:$D$92,'0200'!A444,'Daftar Koreksi'!$G$5:$G$92,"Aset Tetap Lainnya",'Daftar Koreksi'!$H$5:$H$92,"&lt;0")</f>
        <v>0</v>
      </c>
      <c r="G452" s="17">
        <f t="shared" si="20"/>
        <v>28073562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Koreksi'!$D$5:$D$92,'0200'!A444,'Daftar Koreksi'!$G$5:$G$92,"Kontruksi Dalam Pengerjaan",'Daftar Koreksi'!$H$5:$H$92,"&gt;0")</f>
        <v>0</v>
      </c>
      <c r="F453" s="25">
        <f>SUMIFS('Daftar Koreksi'!$H$5:$H$92,'Daftar Koreksi'!$D$5:$D$92,'0200'!A444,'Daftar Koreksi'!$G$5:$G$92,"Kontruksi Dalam Pengerjaan",'Daftar Koreksi'!$H$5:$H$92,"&lt;0")-SUMIFS('Daftar Koreksi'!$H$5:$H$92,'Daftar Koreksi'!$D$5:$D$92,'0200'!A444,'Daftar Koreksi'!$G$5:$G$92,"Kontruksi Dalam Pengerjaan",'Daftar Koreksi'!$H$5:$H$92,"&lt;0")-SUMIFS('Daftar Koreksi'!$H$5:$H$92,'Daftar Koreksi'!$D$5:$D$92,'0200'!A444,'Daftar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6500000</v>
      </c>
      <c r="E454" s="25">
        <f>SUMIFS('Daftar Koreksi'!$H$5:$H$92,'Daftar Koreksi'!$D$5:$D$92,'0200'!A444,'Daftar Koreksi'!$G$5:$G$92,"Aset Tak Berwujud",'Daftar Koreksi'!$H$5:$H$92,"&gt;0")</f>
        <v>0</v>
      </c>
      <c r="F454" s="25">
        <f>SUMIFS('Daftar Koreksi'!$H$5:$H$92,'Daftar Koreksi'!$D$5:$D$92,'0200'!A444,'Daftar Koreksi'!$G$5:$G$92,"Aset Tak Berwujud",'Daftar Koreksi'!$H$5:$H$92,"&lt;0")-SUMIFS('Daftar Koreksi'!$H$5:$H$92,'Daftar Koreksi'!$D$5:$D$92,'0200'!A444,'Daftar Koreksi'!$G$5:$G$92,"Aset Tak Berwujud",'Daftar Koreksi'!$H$5:$H$92,"&lt;0")-SUMIFS('Daftar Koreksi'!$H$5:$H$92,'Daftar Koreksi'!$D$5:$D$92,'0200'!A444,'Daftar Koreksi'!$G$5:$G$92,"Aset Tak Berwujud",'Daftar Koreksi'!$H$5:$H$92,"&lt;0")</f>
        <v>0</v>
      </c>
      <c r="G454" s="17">
        <f t="shared" si="20"/>
        <v>6500000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29400000</v>
      </c>
      <c r="E455" s="25">
        <f>SUMIFS('Daftar Koreksi'!$H$5:$H$92,'Daftar Koreksi'!$D$5:$D$92,'0200'!A444,'Daftar Koreksi'!$G$5:$G$92,"Aset Henti Guna",'Daftar Koreksi'!$H$5:$H$92,"&gt;0")</f>
        <v>0</v>
      </c>
      <c r="F455" s="25">
        <f>SUMIFS('Daftar Koreksi'!$H$5:$H$92,'Daftar Koreksi'!$D$5:$D$92,'0200'!A444,'Daftar Koreksi'!$G$5:$G$92,"Aset Henti Guna",'Daftar Koreksi'!$H$5:$H$92,"&lt;0")-SUMIFS('Daftar Koreksi'!$H$5:$H$92,'Daftar Koreksi'!$D$5:$D$92,'0200'!A444,'Daftar Koreksi'!$G$5:$G$92,"Aset Henti Guna",'Daftar Koreksi'!$H$5:$H$92,"&lt;0")-SUMIFS('Daftar Koreksi'!$H$5:$H$92,'Daftar Koreksi'!$D$5:$D$92,'0200'!A444,'Daftar Koreksi'!$G$5:$G$92,"Aset Henti Guna",'Daftar Koreksi'!$H$5:$H$92,"&lt;0")</f>
        <v>0</v>
      </c>
      <c r="G455" s="17">
        <f t="shared" si="20"/>
        <v>29400000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13827875187</v>
      </c>
      <c r="E456" s="19">
        <f>SUM(E447:E455)</f>
        <v>0</v>
      </c>
      <c r="F456" s="19">
        <f>SUM(F447:F455)</f>
        <v>0</v>
      </c>
      <c r="G456" s="19">
        <f t="shared" si="20"/>
        <v>13827875187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-3365212552</v>
      </c>
      <c r="E457" s="25">
        <f>SUMIFS('Daftar Koreksi'!$I$5:$I$92,'Daftar Koreksi'!$D$5:$D$92,'0200'!A444,'Daftar Koreksi'!$G$5:$G$92,"Peralatan dan mesin",'Daftar Koreksi'!$I$5:$I$92,"&gt;0")</f>
        <v>0</v>
      </c>
      <c r="F457" s="25">
        <f>SUMIFS('Daftar Koreksi'!$I$5:$I$92,'Daftar Koreksi'!$D$5:$D$92,'0200'!A444,'Daftar Koreksi'!$G$5:$G$92,"Peralatan dan mesin",'Daftar Koreksi'!$I$5:$I$92,"&lt;0")-SUMIFS('Daftar Koreksi'!$I$5:$I$92,'Daftar Koreksi'!$D$5:$D$92,'0200'!A444,'Daftar Koreksi'!$G$5:$G$92,"Peralatan dan mesin",'Daftar Koreksi'!$I$5:$I$92,"&lt;0")-SUMIFS('Daftar Koreksi'!$I$5:$I$92,'Daftar Koreksi'!$D$5:$D$92,'0200'!A444,'Daftar Koreksi'!$G$5:$G$92,"Peralatan dan mesin",'Daftar Koreksi'!$I$5:$I$92,"&lt;0")</f>
        <v>0</v>
      </c>
      <c r="G457" s="17">
        <f t="shared" si="20"/>
        <v>-3365212552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-1141516688</v>
      </c>
      <c r="E458" s="25">
        <f>SUMIFS('Daftar Koreksi'!$I$5:$I$92,'Daftar Koreksi'!$D$5:$D$92,'0200'!A444,'Daftar Koreksi'!$G$5:$G$92,"Gedung dan Bangunan",'Daftar Koreksi'!$I$5:$I$92,"&gt;0")</f>
        <v>0</v>
      </c>
      <c r="F458" s="25">
        <f>SUMIFS('Daftar Koreksi'!$I$5:$I$92,'Daftar Koreksi'!$D$5:$D$92,'0200'!A444,'Daftar Koreksi'!$G$5:$G$92,"Gedung dan Bangunan",'Daftar Koreksi'!$I$5:$I$92,"&lt;0")-SUMIFS('Daftar Koreksi'!$I$5:$I$92,'Daftar Koreksi'!$D$5:$D$92,'0200'!A444,'Daftar Koreksi'!$G$5:$G$92,"Gedung dan Bangunan",'Daftar Koreksi'!$I$5:$I$92,"&lt;0")-SUMIFS('Daftar Koreksi'!$I$5:$I$92,'Daftar Koreksi'!$D$5:$D$92,'0200'!A444,'Daftar Koreksi'!$G$5:$G$92,"Gedung dan Bangunan",'Daftar Koreksi'!$I$5:$I$92,"&lt;0")</f>
        <v>0</v>
      </c>
      <c r="G458" s="17">
        <f t="shared" si="20"/>
        <v>-1141516688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-4375000</v>
      </c>
      <c r="E459" s="25">
        <f>SUMIFS('Daftar Koreksi'!$I$5:$I$92,'Daftar Koreksi'!$D$5:$D$92,'0200'!A444,'Daftar Koreksi'!$G$5:$G$92,"Jalan Irigasi Jaringan",'Daftar Koreksi'!$I$5:$I$92,"&gt;0")</f>
        <v>0</v>
      </c>
      <c r="F459" s="25">
        <f>SUMIFS('Daftar Koreksi'!$I$5:$I$92,'Daftar Koreksi'!$D$5:$D$92,'0200'!A444,'Daftar Koreksi'!$G$5:$G$92,"Jalan Irigasi Jaringan",'Daftar Koreksi'!$I$5:$I$92,"&lt;0")-SUMIFS('Daftar Koreksi'!$I$5:$I$92,'Daftar Koreksi'!$D$5:$D$92,'0200'!A444,'Daftar Koreksi'!$G$5:$G$92,"Jalan Irigasi Jaringan",'Daftar Koreksi'!$I$5:$I$92,"&lt;0")-SUMIFS('Daftar Koreksi'!$I$5:$I$92,'Daftar Koreksi'!$D$5:$D$92,'0200'!A444,'Daftar Koreksi'!$G$5:$G$92,"Jalan Irigasi Jaringan",'Daftar Koreksi'!$I$5:$I$92,"&lt;0")</f>
        <v>0</v>
      </c>
      <c r="G459" s="17">
        <f t="shared" si="20"/>
        <v>-4375000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Koreksi'!$D$5:$D$92,'0200'!A444,'Daftar Koreksi'!$G$5:$G$92,"Aset Tetap Lainnya",'Daftar Koreksi'!$I$5:$I$92,"&gt;0")</f>
        <v>0</v>
      </c>
      <c r="F460" s="25">
        <f>SUMIFS('Daftar Koreksi'!$I$5:$I$92,'Daftar Koreksi'!$D$5:$D$92,'0200'!A444,'Daftar Koreksi'!$G$5:$G$92,"Aset Tetap Lainnya",'Daftar Koreksi'!$I$5:$I$92,"&lt;0")-SUMIFS('Daftar Koreksi'!$I$5:$I$92,'Daftar Koreksi'!$D$5:$D$92,'0200'!A444,'Daftar Koreksi'!$G$5:$G$92,"Aset Tetap Lainnya",'Daftar Koreksi'!$I$5:$I$92,"&lt;0")-SUMIFS('Daftar Koreksi'!$I$5:$I$92,'Daftar Koreksi'!$D$5:$D$92,'0200'!A444,'Daftar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-29400000</v>
      </c>
      <c r="E461" s="25">
        <f>SUMIFS('Daftar Koreksi'!$I$5:$I$92,'Daftar Koreksi'!$D$5:$D$92,'0200'!A444,'Daftar Koreksi'!$G$5:$G$92,"Aset Henti Guna",'Daftar Koreksi'!$I$5:$I$92,"&gt;0")</f>
        <v>0</v>
      </c>
      <c r="F461" s="25">
        <f>SUMIFS('Daftar Koreksi'!$I$5:$I$92,'Daftar Koreksi'!$D$5:$D$92,'0200'!A444,'Daftar Koreksi'!$G$5:$G$92,"Aset Henti Guna",'Daftar Koreksi'!$I$5:$I$92,"&lt;0")-SUMIFS('Daftar Koreksi'!$I$5:$I$92,'Daftar Koreksi'!$D$5:$D$92,'0200'!A444,'Daftar Koreksi'!$G$5:$G$92,"Aset Henti Guna",'Daftar Koreksi'!$I$5:$I$92,"&lt;0")-SUMIFS('Daftar Koreksi'!$I$5:$I$92,'Daftar Koreksi'!$D$5:$D$92,'0200'!A444,'Daftar Koreksi'!$G$5:$G$92,"Aset Henti Guna",'Daftar Koreksi'!$I$5:$I$92,"&lt;0")</f>
        <v>0</v>
      </c>
      <c r="G461" s="17">
        <f t="shared" si="20"/>
        <v>-29400000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-4540504240</v>
      </c>
      <c r="E462" s="19">
        <f>SUM(E457:E461)</f>
        <v>0</v>
      </c>
      <c r="F462" s="19">
        <f>SUM(F457:F461)</f>
        <v>0</v>
      </c>
      <c r="G462" s="19">
        <f t="shared" si="20"/>
        <v>-4540504240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9287370947</v>
      </c>
      <c r="E463" s="19">
        <f>E462+E456</f>
        <v>0</v>
      </c>
      <c r="F463" s="19">
        <f>F462+F456</f>
        <v>0</v>
      </c>
      <c r="G463" s="19">
        <f t="shared" si="20"/>
        <v>9287370947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8" ht="19.5" customHeight="1">
      <c r="A466" s="11" t="str">
        <f>O22</f>
        <v>005010200400662000KD</v>
      </c>
      <c r="B466" s="11" t="str">
        <f>P22</f>
        <v>PA. Bandung</v>
      </c>
      <c r="C466" s="12" t="str">
        <f>A466&amp;" "&amp;B466</f>
        <v>005010200400662000KD PA. Bandung</v>
      </c>
      <c r="D466" s="13"/>
      <c r="E466" s="13"/>
      <c r="F466" s="13"/>
      <c r="G466" s="13"/>
      <c r="H466" s="11"/>
    </row>
    <row r="467" spans="1:8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8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8" ht="21.95" customHeight="1">
      <c r="A469" s="14"/>
      <c r="B469" s="14"/>
      <c r="C469" s="16" t="s">
        <v>1165</v>
      </c>
      <c r="D469" s="17">
        <f>VLOOKUP(A466,'Neraca Unaudited SIMAK'!$A$2:$S$10004,3,FALSE)</f>
        <v>0</v>
      </c>
      <c r="E469" s="25">
        <f>SUMIFS('Daftar Koreksi'!$H$5:$H$92,'Daftar Koreksi'!$D$5:$D$92,'0200'!A466,'Daftar Koreksi'!$G$5:$G$92,"Persediaan",'Daftar Koreksi'!$H$5:$H$92,"&gt;0")</f>
        <v>0</v>
      </c>
      <c r="F469" s="25">
        <f>SUMIFS('Daftar Koreksi'!$H$5:$H$92,'Daftar Koreksi'!$D$5:$D$92,'0200'!A466,'Daftar Koreksi'!$G$5:$G$92,"Persediaan",'Daftar Koreksi'!$H$5:$H$92,"&lt;0")-SUMIFS('Daftar Koreksi'!$H$5:$H$92,'Daftar Koreksi'!$D$5:$D$92,'0200'!A466,'Daftar Koreksi'!$G$5:$G$92,"Persediaan",'Daftar Koreksi'!$H$5:$H$92,"&lt;0")-SUMIFS('Daftar Koreksi'!$H$5:$H$92,'Daftar Koreksi'!$D$5:$D$92,'0200'!A466,'Daftar Koreksi'!$G$5:$G$92,"Persediaan",'Daftar Koreksi'!$H$5:$H$92,"&lt;0")</f>
        <v>0</v>
      </c>
      <c r="G469" s="17">
        <f>D469+E469-F469</f>
        <v>0</v>
      </c>
      <c r="H469" s="121" t="str">
        <f>IF(ISNA(VLOOKUP(A466,'Mutasi Neraca'!$A$3:$S$914,19,FALSE)),"-",VLOOKUP(A466,'Mutasi Neraca'!$A$3:$S$914,19,FALSE))</f>
        <v>-</v>
      </c>
    </row>
    <row r="470" spans="1:8" ht="21.95" customHeight="1">
      <c r="A470" s="14"/>
      <c r="B470" s="14"/>
      <c r="C470" s="16" t="s">
        <v>1166</v>
      </c>
      <c r="D470" s="17">
        <f>VLOOKUP(A466,'Neraca Unaudited SIMAK'!$A$2:$S$10004,4,FALSE)</f>
        <v>3231800000</v>
      </c>
      <c r="E470" s="25">
        <f>SUMIFS('Daftar Koreksi'!$H$5:$H$92,'Daftar Koreksi'!$D$5:$D$92,'0200'!A466,'Daftar Koreksi'!$G$5:$G$92,"Tanah",'Daftar Koreksi'!$H$5:$H$92,"&gt;0")</f>
        <v>0</v>
      </c>
      <c r="F470" s="25">
        <f>SUMIFS('Daftar Koreksi'!$H$5:$H$92,'Daftar Koreksi'!$D$5:$D$92,'0200'!A466,'Daftar Koreksi'!$G$5:$G$92,"Tanah",'Daftar Koreksi'!$H$5:$H$92,"&lt;0")-SUMIFS('Daftar Koreksi'!$H$5:$H$92,'Daftar Koreksi'!$D$5:$D$92,'0200'!A466,'Daftar Koreksi'!$G$5:$G$92,"Tanah",'Daftar Koreksi'!$H$5:$H$92,"&lt;0")-SUMIFS('Daftar Koreksi'!$H$5:$H$92,'Daftar Koreksi'!$D$5:$D$92,'0200'!A466,'Daftar Koreksi'!$G$5:$G$92,"Tanah",'Daftar Koreksi'!$H$5:$H$92,"&lt;0")</f>
        <v>0</v>
      </c>
      <c r="G470" s="17">
        <f t="shared" ref="G470:G486" si="21">D470+E470-F470</f>
        <v>3231800000</v>
      </c>
      <c r="H470" s="122"/>
    </row>
    <row r="471" spans="1:8" ht="21.95" customHeight="1">
      <c r="A471" s="14"/>
      <c r="B471" s="14"/>
      <c r="C471" s="16" t="s">
        <v>1167</v>
      </c>
      <c r="D471" s="17">
        <f>VLOOKUP(A466,'Neraca Unaudited SIMAK'!$A$2:$S$10004,5,FALSE)</f>
        <v>2991452231</v>
      </c>
      <c r="E471" s="25">
        <f>SUMIFS('Daftar Koreksi'!$H$5:$H$92,'Daftar Koreksi'!$D$5:$D$92,'0200'!A466,'Daftar Koreksi'!$G$5:$G$92,"Peralatan dan mesin",'Daftar Koreksi'!$H$5:$H$92,"&gt;0")</f>
        <v>0</v>
      </c>
      <c r="F471" s="25">
        <f>SUMIFS('Daftar Koreksi'!$H$5:$H$92,'Daftar Koreksi'!$D$5:$D$92,'0200'!A466,'Daftar Koreksi'!$G$5:$G$92,"Peralatan dan mesin",'Daftar Koreksi'!$H$5:$H$92,"&lt;0")-SUMIFS('Daftar Koreksi'!$H$5:$H$92,'Daftar Koreksi'!$D$5:$D$92,'0200'!A466,'Daftar Koreksi'!$G$5:$G$92,"Peralatan dan mesin",'Daftar Koreksi'!$H$5:$H$92,"&lt;0")-SUMIFS('Daftar Koreksi'!$H$5:$H$92,'Daftar Koreksi'!$D$5:$D$92,'0200'!A466,'Daftar Koreksi'!$G$5:$G$92,"Peralatan dan mesin",'Daftar Koreksi'!$H$5:$H$92,"&lt;0")</f>
        <v>0</v>
      </c>
      <c r="G471" s="17">
        <f t="shared" si="21"/>
        <v>2991452231</v>
      </c>
      <c r="H471" s="122"/>
    </row>
    <row r="472" spans="1:8" ht="21.95" customHeight="1">
      <c r="A472" s="14"/>
      <c r="B472" s="14"/>
      <c r="C472" s="16" t="s">
        <v>1168</v>
      </c>
      <c r="D472" s="17">
        <f>VLOOKUP(A466,'Neraca Unaudited SIMAK'!$A$2:$S$10004,6,FALSE)</f>
        <v>7730613923</v>
      </c>
      <c r="E472" s="25">
        <f>SUMIFS('Daftar Koreksi'!$H$5:$H$92,'Daftar Koreksi'!$D$5:$D$92,'0200'!A466,'Daftar Koreksi'!$G$5:$G$92,"Gedung dan Bangunan",'Daftar Koreksi'!$H$5:$H$92,"&gt;0")</f>
        <v>0</v>
      </c>
      <c r="F472" s="25">
        <f>SUMIFS('Daftar Koreksi'!$H$5:$H$92,'Daftar Koreksi'!$D$5:$D$92,'0200'!A466,'Daftar Koreksi'!$G$5:$G$92,"Gedung dan Bangunan",'Daftar Koreksi'!$H$5:$H$92,"&lt;0")-SUMIFS('Daftar Koreksi'!$H$5:$H$92,'Daftar Koreksi'!$D$5:$D$92,'0200'!A466,'Daftar Koreksi'!$G$5:$G$92,"Gedung dan Bangunan",'Daftar Koreksi'!$H$5:$H$92,"&lt;0")-SUMIFS('Daftar Koreksi'!$H$5:$H$92,'Daftar Koreksi'!$D$5:$D$92,'0200'!A466,'Daftar Koreksi'!$G$5:$G$92,"Gedung dan Bangunan",'Daftar Koreksi'!$H$5:$H$92,"&lt;0")</f>
        <v>0</v>
      </c>
      <c r="G472" s="17">
        <f t="shared" si="21"/>
        <v>7730613923</v>
      </c>
      <c r="H472" s="122"/>
    </row>
    <row r="473" spans="1:8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Koreksi'!$D$5:$D$92,'0200'!A466,'Daftar Koreksi'!$G$5:$G$92,"Jalan Irigasi Jaringan",'Daftar Koreksi'!$H$5:$H$92,"&gt;0")</f>
        <v>0</v>
      </c>
      <c r="F473" s="25">
        <f>SUMIFS('Daftar Koreksi'!$H$5:$H$92,'Daftar Koreksi'!$D$5:$D$92,'0200'!A466,'Daftar Koreksi'!$G$5:$G$92,"Jalan Irigasi Jaringan",'Daftar Koreksi'!$H$5:$H$92,"&lt;0")-SUMIFS('Daftar Koreksi'!$H$5:$H$92,'Daftar Koreksi'!$D$5:$D$92,'0200'!A466,'Daftar Koreksi'!$G$5:$G$92,"Jalan Irigasi Jaringan",'Daftar Koreksi'!$H$5:$H$92,"&lt;0")-SUMIFS('Daftar Koreksi'!$H$5:$H$92,'Daftar Koreksi'!$D$5:$D$92,'0200'!A466,'Daftar Koreksi'!$G$5:$G$92,"Jalan Irigasi Jaringan",'Daftar Koreksi'!$H$5:$H$92,"&lt;0")</f>
        <v>0</v>
      </c>
      <c r="G473" s="17">
        <f t="shared" si="21"/>
        <v>0</v>
      </c>
      <c r="H473" s="122"/>
    </row>
    <row r="474" spans="1:8" ht="21.95" customHeight="1">
      <c r="A474" s="14"/>
      <c r="B474" s="14"/>
      <c r="C474" s="16" t="s">
        <v>1170</v>
      </c>
      <c r="D474" s="17">
        <f>VLOOKUP(A466,'Neraca Unaudited SIMAK'!$A$2:$S$10004,8,FALSE)</f>
        <v>15858000</v>
      </c>
      <c r="E474" s="25">
        <f>SUMIFS('Daftar Koreksi'!$H$5:$H$92,'Daftar Koreksi'!$D$5:$D$92,'0200'!A466,'Daftar Koreksi'!$G$5:$G$92,"Aset Tetap Lainnya",'Daftar Koreksi'!$H$5:$H$92,"&gt;0")</f>
        <v>0</v>
      </c>
      <c r="F474" s="25">
        <f>SUMIFS('Daftar Koreksi'!$H$5:$H$92,'Daftar Koreksi'!$D$5:$D$92,'0200'!A466,'Daftar Koreksi'!$G$5:$G$92,"Aset Tetap Lainnya",'Daftar Koreksi'!$H$5:$H$92,"&lt;0")-SUMIFS('Daftar Koreksi'!$H$5:$H$92,'Daftar Koreksi'!$D$5:$D$92,'0200'!A466,'Daftar Koreksi'!$G$5:$G$92,"Aset Tetap Lainnya",'Daftar Koreksi'!$H$5:$H$92,"&lt;0")-SUMIFS('Daftar Koreksi'!$H$5:$H$92,'Daftar Koreksi'!$D$5:$D$92,'0200'!A466,'Daftar Koreksi'!$G$5:$G$92,"Aset Tetap Lainnya",'Daftar Koreksi'!$H$5:$H$92,"&lt;0")</f>
        <v>0</v>
      </c>
      <c r="G474" s="17">
        <f t="shared" si="21"/>
        <v>15858000</v>
      </c>
      <c r="H474" s="122"/>
    </row>
    <row r="475" spans="1:8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Koreksi'!$D$5:$D$92,'0200'!A466,'Daftar Koreksi'!$G$5:$G$92,"Kontruksi Dalam Pengerjaan",'Daftar Koreksi'!$H$5:$H$92,"&gt;0")</f>
        <v>0</v>
      </c>
      <c r="F475" s="25">
        <f>SUMIFS('Daftar Koreksi'!$H$5:$H$92,'Daftar Koreksi'!$D$5:$D$92,'0200'!A466,'Daftar Koreksi'!$G$5:$G$92,"Kontruksi Dalam Pengerjaan",'Daftar Koreksi'!$H$5:$H$92,"&lt;0")-SUMIFS('Daftar Koreksi'!$H$5:$H$92,'Daftar Koreksi'!$D$5:$D$92,'0200'!A466,'Daftar Koreksi'!$G$5:$G$92,"Kontruksi Dalam Pengerjaan",'Daftar Koreksi'!$H$5:$H$92,"&lt;0")-SUMIFS('Daftar Koreksi'!$H$5:$H$92,'Daftar Koreksi'!$D$5:$D$92,'0200'!A466,'Daftar Koreksi'!$G$5:$G$92,"Kontruksi Dalam Pengerjaan",'Daftar Koreksi'!$H$5:$H$92,"&lt;0")</f>
        <v>0</v>
      </c>
      <c r="G475" s="17">
        <f t="shared" si="21"/>
        <v>0</v>
      </c>
      <c r="H475" s="122"/>
    </row>
    <row r="476" spans="1:8" ht="21.95" customHeight="1">
      <c r="A476" s="14"/>
      <c r="B476" s="14"/>
      <c r="C476" s="16" t="s">
        <v>1172</v>
      </c>
      <c r="D476" s="17">
        <f>VLOOKUP(A466,'Neraca Unaudited SIMAK'!$A$2:$S$10004,10,FALSE)</f>
        <v>39600000</v>
      </c>
      <c r="E476" s="25">
        <f>SUMIFS('Daftar Koreksi'!$H$5:$H$92,'Daftar Koreksi'!$D$5:$D$92,'0200'!A466,'Daftar Koreksi'!$G$5:$G$92,"Aset Tak Berwujud",'Daftar Koreksi'!$H$5:$H$92,"&gt;0")</f>
        <v>0</v>
      </c>
      <c r="F476" s="25">
        <f>SUMIFS('Daftar Koreksi'!$H$5:$H$92,'Daftar Koreksi'!$D$5:$D$92,'0200'!A466,'Daftar Koreksi'!$G$5:$G$92,"Aset Tak Berwujud",'Daftar Koreksi'!$H$5:$H$92,"&lt;0")-SUMIFS('Daftar Koreksi'!$H$5:$H$92,'Daftar Koreksi'!$D$5:$D$92,'0200'!A466,'Daftar Koreksi'!$G$5:$G$92,"Aset Tak Berwujud",'Daftar Koreksi'!$H$5:$H$92,"&lt;0")-SUMIFS('Daftar Koreksi'!$H$5:$H$92,'Daftar Koreksi'!$D$5:$D$92,'0200'!A466,'Daftar Koreksi'!$G$5:$G$92,"Aset Tak Berwujud",'Daftar Koreksi'!$H$5:$H$92,"&lt;0")</f>
        <v>0</v>
      </c>
      <c r="G476" s="17">
        <f t="shared" si="21"/>
        <v>39600000</v>
      </c>
      <c r="H476" s="122"/>
    </row>
    <row r="477" spans="1:8" ht="21.95" customHeight="1">
      <c r="A477" s="14"/>
      <c r="B477" s="14"/>
      <c r="C477" s="16" t="s">
        <v>1173</v>
      </c>
      <c r="D477" s="17">
        <f>VLOOKUP(A466,'Neraca Unaudited SIMAK'!$A$2:$S$10004,11,FALSE)</f>
        <v>0</v>
      </c>
      <c r="E477" s="25">
        <f>SUMIFS('Daftar Koreksi'!$H$5:$H$92,'Daftar Koreksi'!$D$5:$D$92,'0200'!A466,'Daftar Koreksi'!$G$5:$G$92,"Aset Henti Guna",'Daftar Koreksi'!$H$5:$H$92,"&gt;0")</f>
        <v>0</v>
      </c>
      <c r="F477" s="25">
        <f>SUMIFS('Daftar Koreksi'!$H$5:$H$92,'Daftar Koreksi'!$D$5:$D$92,'0200'!A466,'Daftar Koreksi'!$G$5:$G$92,"Aset Henti Guna",'Daftar Koreksi'!$H$5:$H$92,"&lt;0")-SUMIFS('Daftar Koreksi'!$H$5:$H$92,'Daftar Koreksi'!$D$5:$D$92,'0200'!A466,'Daftar Koreksi'!$G$5:$G$92,"Aset Henti Guna",'Daftar Koreksi'!$H$5:$H$92,"&lt;0")-SUMIFS('Daftar Koreksi'!$H$5:$H$92,'Daftar Koreksi'!$D$5:$D$92,'0200'!A466,'Daftar Koreksi'!$G$5:$G$92,"Aset Henti Guna",'Daftar Koreksi'!$H$5:$H$92,"&lt;0")</f>
        <v>0</v>
      </c>
      <c r="G477" s="17">
        <f t="shared" si="21"/>
        <v>0</v>
      </c>
      <c r="H477" s="122"/>
    </row>
    <row r="478" spans="1:8" ht="21.95" customHeight="1">
      <c r="A478" s="14"/>
      <c r="B478" s="14"/>
      <c r="C478" s="18" t="s">
        <v>2093</v>
      </c>
      <c r="D478" s="19">
        <f>VLOOKUP(A466,'Neraca Unaudited SIMAK'!$A$2:$S$10004,12,FALSE)</f>
        <v>14009324154</v>
      </c>
      <c r="E478" s="19">
        <f>SUM(E469:E477)</f>
        <v>0</v>
      </c>
      <c r="F478" s="19">
        <f>SUM(F469:F477)</f>
        <v>0</v>
      </c>
      <c r="G478" s="19">
        <f t="shared" si="21"/>
        <v>14009324154</v>
      </c>
      <c r="H478" s="122"/>
    </row>
    <row r="479" spans="1:8" ht="21.95" customHeight="1">
      <c r="A479" s="14"/>
      <c r="B479" s="14"/>
      <c r="C479" s="16" t="s">
        <v>2087</v>
      </c>
      <c r="D479" s="17">
        <f>VLOOKUP(A466,'Neraca Unaudited SIMAK'!$A$2:$S$10004,13,FALSE)</f>
        <v>-2647660525</v>
      </c>
      <c r="E479" s="25">
        <f>SUMIFS('Daftar Koreksi'!$I$5:$I$92,'Daftar Koreksi'!$D$5:$D$92,'0200'!A466,'Daftar Koreksi'!$G$5:$G$92,"Peralatan dan mesin",'Daftar Koreksi'!$I$5:$I$92,"&gt;0")</f>
        <v>0</v>
      </c>
      <c r="F479" s="25">
        <f>SUMIFS('Daftar Koreksi'!$I$5:$I$92,'Daftar Koreksi'!$D$5:$D$92,'0200'!A466,'Daftar Koreksi'!$G$5:$G$92,"Peralatan dan mesin",'Daftar Koreksi'!$I$5:$I$92,"&lt;0")-SUMIFS('Daftar Koreksi'!$I$5:$I$92,'Daftar Koreksi'!$D$5:$D$92,'0200'!A466,'Daftar Koreksi'!$G$5:$G$92,"Peralatan dan mesin",'Daftar Koreksi'!$I$5:$I$92,"&lt;0")-SUMIFS('Daftar Koreksi'!$I$5:$I$92,'Daftar Koreksi'!$D$5:$D$92,'0200'!A466,'Daftar Koreksi'!$G$5:$G$92,"Peralatan dan mesin",'Daftar Koreksi'!$I$5:$I$92,"&lt;0")</f>
        <v>0</v>
      </c>
      <c r="G479" s="17">
        <f t="shared" si="21"/>
        <v>-2647660525</v>
      </c>
      <c r="H479" s="122"/>
    </row>
    <row r="480" spans="1:8" ht="21.95" customHeight="1">
      <c r="A480" s="14"/>
      <c r="B480" s="14"/>
      <c r="C480" s="16" t="s">
        <v>2088</v>
      </c>
      <c r="D480" s="17">
        <f>VLOOKUP(A466,'Neraca Unaudited SIMAK'!$A$2:$S$10004,14,FALSE)</f>
        <v>-1300964286</v>
      </c>
      <c r="E480" s="25">
        <f>SUMIFS('Daftar Koreksi'!$I$5:$I$92,'Daftar Koreksi'!$D$5:$D$92,'0200'!A466,'Daftar Koreksi'!$G$5:$G$92,"Gedung dan Bangunan",'Daftar Koreksi'!$I$5:$I$92,"&gt;0")</f>
        <v>0</v>
      </c>
      <c r="F480" s="25">
        <f>SUMIFS('Daftar Koreksi'!$I$5:$I$92,'Daftar Koreksi'!$D$5:$D$92,'0200'!A466,'Daftar Koreksi'!$G$5:$G$92,"Gedung dan Bangunan",'Daftar Koreksi'!$I$5:$I$92,"&lt;0")-SUMIFS('Daftar Koreksi'!$I$5:$I$92,'Daftar Koreksi'!$D$5:$D$92,'0200'!A466,'Daftar Koreksi'!$G$5:$G$92,"Gedung dan Bangunan",'Daftar Koreksi'!$I$5:$I$92,"&lt;0")-SUMIFS('Daftar Koreksi'!$I$5:$I$92,'Daftar Koreksi'!$D$5:$D$92,'0200'!A466,'Daftar Koreksi'!$G$5:$G$92,"Gedung dan Bangunan",'Daftar Koreksi'!$I$5:$I$92,"&lt;0")</f>
        <v>0</v>
      </c>
      <c r="G480" s="17">
        <f t="shared" si="21"/>
        <v>-1300964286</v>
      </c>
      <c r="H480" s="122"/>
    </row>
    <row r="481" spans="1:8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Koreksi'!$D$5:$D$92,'0200'!A466,'Daftar Koreksi'!$G$5:$G$92,"Jalan Irigasi Jaringan",'Daftar Koreksi'!$I$5:$I$92,"&gt;0")</f>
        <v>0</v>
      </c>
      <c r="F481" s="25">
        <f>SUMIFS('Daftar Koreksi'!$I$5:$I$92,'Daftar Koreksi'!$D$5:$D$92,'0200'!A466,'Daftar Koreksi'!$G$5:$G$92,"Jalan Irigasi Jaringan",'Daftar Koreksi'!$I$5:$I$92,"&lt;0")-SUMIFS('Daftar Koreksi'!$I$5:$I$92,'Daftar Koreksi'!$D$5:$D$92,'0200'!A466,'Daftar Koreksi'!$G$5:$G$92,"Jalan Irigasi Jaringan",'Daftar Koreksi'!$I$5:$I$92,"&lt;0")-SUMIFS('Daftar Koreksi'!$I$5:$I$92,'Daftar Koreksi'!$D$5:$D$92,'0200'!A466,'Daftar Koreksi'!$G$5:$G$92,"Jalan Irigasi Jaringan",'Daftar Koreksi'!$I$5:$I$92,"&lt;0")</f>
        <v>0</v>
      </c>
      <c r="G481" s="17">
        <f t="shared" si="21"/>
        <v>0</v>
      </c>
      <c r="H481" s="122"/>
    </row>
    <row r="482" spans="1:8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Koreksi'!$D$5:$D$92,'0200'!A466,'Daftar Koreksi'!$G$5:$G$92,"Aset Tetap Lainnya",'Daftar Koreksi'!$I$5:$I$92,"&gt;0")</f>
        <v>0</v>
      </c>
      <c r="F482" s="25">
        <f>SUMIFS('Daftar Koreksi'!$I$5:$I$92,'Daftar Koreksi'!$D$5:$D$92,'0200'!A466,'Daftar Koreksi'!$G$5:$G$92,"Aset Tetap Lainnya",'Daftar Koreksi'!$I$5:$I$92,"&lt;0")-SUMIFS('Daftar Koreksi'!$I$5:$I$92,'Daftar Koreksi'!$D$5:$D$92,'0200'!A466,'Daftar Koreksi'!$G$5:$G$92,"Aset Tetap Lainnya",'Daftar Koreksi'!$I$5:$I$92,"&lt;0")-SUMIFS('Daftar Koreksi'!$I$5:$I$92,'Daftar Koreksi'!$D$5:$D$92,'0200'!A466,'Daftar Koreksi'!$G$5:$G$92,"Aset Tetap Lainnya",'Daftar Koreksi'!$I$5:$I$92,"&lt;0")</f>
        <v>0</v>
      </c>
      <c r="G482" s="17">
        <f t="shared" si="21"/>
        <v>0</v>
      </c>
      <c r="H482" s="122"/>
    </row>
    <row r="483" spans="1:8" ht="21.95" customHeight="1">
      <c r="A483" s="14"/>
      <c r="B483" s="14"/>
      <c r="C483" s="16" t="s">
        <v>2020</v>
      </c>
      <c r="D483" s="17">
        <f>VLOOKUP(A466,'Neraca Unaudited SIMAK'!$A$2:$S$10004,17,FALSE)</f>
        <v>0</v>
      </c>
      <c r="E483" s="25">
        <f>SUMIFS('Daftar Koreksi'!$I$5:$I$92,'Daftar Koreksi'!$D$5:$D$92,'0200'!A466,'Daftar Koreksi'!$G$5:$G$92,"Aset Henti Guna",'Daftar Koreksi'!$I$5:$I$92,"&gt;0")</f>
        <v>0</v>
      </c>
      <c r="F483" s="25">
        <f>SUMIFS('Daftar Koreksi'!$I$5:$I$92,'Daftar Koreksi'!$D$5:$D$92,'0200'!A466,'Daftar Koreksi'!$G$5:$G$92,"Aset Henti Guna",'Daftar Koreksi'!$I$5:$I$92,"&lt;0")-SUMIFS('Daftar Koreksi'!$I$5:$I$92,'Daftar Koreksi'!$D$5:$D$92,'0200'!A466,'Daftar Koreksi'!$G$5:$G$92,"Aset Henti Guna",'Daftar Koreksi'!$I$5:$I$92,"&lt;0")-SUMIFS('Daftar Koreksi'!$I$5:$I$92,'Daftar Koreksi'!$D$5:$D$92,'0200'!A466,'Daftar Koreksi'!$G$5:$G$92,"Aset Henti Guna",'Daftar Koreksi'!$I$5:$I$92,"&lt;0")</f>
        <v>0</v>
      </c>
      <c r="G483" s="17">
        <f t="shared" si="21"/>
        <v>0</v>
      </c>
      <c r="H483" s="122"/>
    </row>
    <row r="484" spans="1:8" ht="21.95" customHeight="1">
      <c r="A484" s="14"/>
      <c r="B484" s="14"/>
      <c r="C484" s="18" t="s">
        <v>2094</v>
      </c>
      <c r="D484" s="19">
        <f>SUM(D479:D483)</f>
        <v>-3948624811</v>
      </c>
      <c r="E484" s="19">
        <f>SUM(E479:E483)</f>
        <v>0</v>
      </c>
      <c r="F484" s="19">
        <f>SUM(F479:F483)</f>
        <v>0</v>
      </c>
      <c r="G484" s="19">
        <f t="shared" si="21"/>
        <v>-3948624811</v>
      </c>
      <c r="H484" s="122"/>
    </row>
    <row r="485" spans="1:8" ht="21.95" customHeight="1">
      <c r="A485" s="14"/>
      <c r="B485" s="14"/>
      <c r="C485" s="18" t="s">
        <v>2095</v>
      </c>
      <c r="D485" s="19">
        <f>VLOOKUP(A466,'Neraca Unaudited SIMAK'!$A$2:$S$10004,18,FALSE)</f>
        <v>10060699343</v>
      </c>
      <c r="E485" s="19">
        <f>E484+E478</f>
        <v>0</v>
      </c>
      <c r="F485" s="19">
        <f>F484+F478</f>
        <v>0</v>
      </c>
      <c r="G485" s="19">
        <f t="shared" si="21"/>
        <v>10060699343</v>
      </c>
      <c r="H485" s="122"/>
    </row>
    <row r="486" spans="1:8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</row>
    <row r="488" spans="1:8" ht="19.5" customHeight="1">
      <c r="A488" s="11" t="str">
        <f>O23</f>
        <v>005010200400678000KD</v>
      </c>
      <c r="B488" s="11" t="str">
        <f>P23</f>
        <v>PA. Sumedang</v>
      </c>
      <c r="C488" s="12" t="str">
        <f>A488&amp;" "&amp;B488</f>
        <v>005010200400678000KD PA. Sumedang</v>
      </c>
      <c r="D488" s="13"/>
      <c r="E488" s="13"/>
      <c r="F488" s="13"/>
      <c r="G488" s="13"/>
      <c r="H488" s="11"/>
    </row>
    <row r="489" spans="1:8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8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8" ht="21.95" customHeight="1">
      <c r="A491" s="14"/>
      <c r="B491" s="14"/>
      <c r="C491" s="16" t="s">
        <v>1165</v>
      </c>
      <c r="D491" s="17">
        <f>VLOOKUP(A488,'Neraca Unaudited SIMAK'!$A$2:$S$10004,3,FALSE)</f>
        <v>0</v>
      </c>
      <c r="E491" s="25">
        <f>SUMIFS('Daftar Koreksi'!$H$5:$H$92,'Daftar Koreksi'!$D$5:$D$92,'0200'!A488,'Daftar Koreksi'!$G$5:$G$92,"Persediaan",'Daftar Koreksi'!$H$5:$H$92,"&gt;0")</f>
        <v>0</v>
      </c>
      <c r="F491" s="25">
        <f>SUMIFS('Daftar Koreksi'!$H$5:$H$92,'Daftar Koreksi'!$D$5:$D$92,'0200'!A488,'Daftar Koreksi'!$G$5:$G$92,"Persediaan",'Daftar Koreksi'!$H$5:$H$92,"&lt;0")-SUMIFS('Daftar Koreksi'!$H$5:$H$92,'Daftar Koreksi'!$D$5:$D$92,'0200'!A488,'Daftar Koreksi'!$G$5:$G$92,"Persediaan",'Daftar Koreksi'!$H$5:$H$92,"&lt;0")-SUMIFS('Daftar Koreksi'!$H$5:$H$92,'Daftar Koreksi'!$D$5:$D$92,'0200'!A488,'Daftar Koreksi'!$G$5:$G$92,"Persediaan",'Daftar Koreksi'!$H$5:$H$92,"&lt;0")</f>
        <v>0</v>
      </c>
      <c r="G491" s="17">
        <f>D491+E491-F491</f>
        <v>0</v>
      </c>
      <c r="H491" s="121" t="str">
        <f>IF(ISNA(VLOOKUP(A488,'Mutasi Neraca'!$A$3:$S$914,19,FALSE)),"-",VLOOKUP(A488,'Mutasi Neraca'!$A$3:$S$914,19,FALSE))</f>
        <v>-</v>
      </c>
    </row>
    <row r="492" spans="1:8" ht="21.95" customHeight="1">
      <c r="A492" s="14"/>
      <c r="B492" s="14"/>
      <c r="C492" s="16" t="s">
        <v>1166</v>
      </c>
      <c r="D492" s="17">
        <f>VLOOKUP(A488,'Neraca Unaudited SIMAK'!$A$2:$S$10004,4,FALSE)</f>
        <v>2696305000</v>
      </c>
      <c r="E492" s="25">
        <f>SUMIFS('Daftar Koreksi'!$H$5:$H$92,'Daftar Koreksi'!$D$5:$D$92,'0200'!A488,'Daftar Koreksi'!$G$5:$G$92,"Tanah",'Daftar Koreksi'!$H$5:$H$92,"&gt;0")</f>
        <v>0</v>
      </c>
      <c r="F492" s="25">
        <f>SUMIFS('Daftar Koreksi'!$H$5:$H$92,'Daftar Koreksi'!$D$5:$D$92,'0200'!A488,'Daftar Koreksi'!$G$5:$G$92,"Tanah",'Daftar Koreksi'!$H$5:$H$92,"&lt;0")-SUMIFS('Daftar Koreksi'!$H$5:$H$92,'Daftar Koreksi'!$D$5:$D$92,'0200'!A488,'Daftar Koreksi'!$G$5:$G$92,"Tanah",'Daftar Koreksi'!$H$5:$H$92,"&lt;0")-SUMIFS('Daftar Koreksi'!$H$5:$H$92,'Daftar Koreksi'!$D$5:$D$92,'0200'!A488,'Daftar Koreksi'!$G$5:$G$92,"Tanah",'Daftar Koreksi'!$H$5:$H$92,"&lt;0")</f>
        <v>0</v>
      </c>
      <c r="G492" s="17">
        <f t="shared" ref="G492:G508" si="22">D492+E492-F492</f>
        <v>2696305000</v>
      </c>
      <c r="H492" s="122"/>
    </row>
    <row r="493" spans="1:8" ht="21.95" customHeight="1">
      <c r="A493" s="14"/>
      <c r="B493" s="14"/>
      <c r="C493" s="16" t="s">
        <v>1167</v>
      </c>
      <c r="D493" s="17">
        <f>VLOOKUP(A488,'Neraca Unaudited SIMAK'!$A$2:$S$10004,5,FALSE)</f>
        <v>1389008042</v>
      </c>
      <c r="E493" s="25">
        <f>SUMIFS('Daftar Koreksi'!$H$5:$H$92,'Daftar Koreksi'!$D$5:$D$92,'0200'!A488,'Daftar Koreksi'!$G$5:$G$92,"Peralatan dan mesin",'Daftar Koreksi'!$H$5:$H$92,"&gt;0")</f>
        <v>0</v>
      </c>
      <c r="F493" s="25">
        <f>SUMIFS('Daftar Koreksi'!$H$5:$H$92,'Daftar Koreksi'!$D$5:$D$92,'0200'!A488,'Daftar Koreksi'!$G$5:$G$92,"Peralatan dan mesin",'Daftar Koreksi'!$H$5:$H$92,"&lt;0")-SUMIFS('Daftar Koreksi'!$H$5:$H$92,'Daftar Koreksi'!$D$5:$D$92,'0200'!A488,'Daftar Koreksi'!$G$5:$G$92,"Peralatan dan mesin",'Daftar Koreksi'!$H$5:$H$92,"&lt;0")-SUMIFS('Daftar Koreksi'!$H$5:$H$92,'Daftar Koreksi'!$D$5:$D$92,'0200'!A488,'Daftar Koreksi'!$G$5:$G$92,"Peralatan dan mesin",'Daftar Koreksi'!$H$5:$H$92,"&lt;0")</f>
        <v>0</v>
      </c>
      <c r="G493" s="17">
        <f t="shared" si="22"/>
        <v>1389008042</v>
      </c>
      <c r="H493" s="122"/>
    </row>
    <row r="494" spans="1:8" ht="21.95" customHeight="1">
      <c r="A494" s="14"/>
      <c r="B494" s="14"/>
      <c r="C494" s="16" t="s">
        <v>1168</v>
      </c>
      <c r="D494" s="17">
        <f>VLOOKUP(A488,'Neraca Unaudited SIMAK'!$A$2:$S$10004,6,FALSE)</f>
        <v>1174707500</v>
      </c>
      <c r="E494" s="25">
        <f>SUMIFS('Daftar Koreksi'!$H$5:$H$92,'Daftar Koreksi'!$D$5:$D$92,'0200'!A488,'Daftar Koreksi'!$G$5:$G$92,"Gedung dan Bangunan",'Daftar Koreksi'!$H$5:$H$92,"&gt;0")</f>
        <v>0</v>
      </c>
      <c r="F494" s="25">
        <f>SUMIFS('Daftar Koreksi'!$H$5:$H$92,'Daftar Koreksi'!$D$5:$D$92,'0200'!A488,'Daftar Koreksi'!$G$5:$G$92,"Gedung dan Bangunan",'Daftar Koreksi'!$H$5:$H$92,"&lt;0")-SUMIFS('Daftar Koreksi'!$H$5:$H$92,'Daftar Koreksi'!$D$5:$D$92,'0200'!A488,'Daftar Koreksi'!$G$5:$G$92,"Gedung dan Bangunan",'Daftar Koreksi'!$H$5:$H$92,"&lt;0")-SUMIFS('Daftar Koreksi'!$H$5:$H$92,'Daftar Koreksi'!$D$5:$D$92,'0200'!A488,'Daftar Koreksi'!$G$5:$G$92,"Gedung dan Bangunan",'Daftar Koreksi'!$H$5:$H$92,"&lt;0")</f>
        <v>0</v>
      </c>
      <c r="G494" s="17">
        <f t="shared" si="22"/>
        <v>1174707500</v>
      </c>
      <c r="H494" s="122"/>
    </row>
    <row r="495" spans="1:8" ht="21.95" customHeight="1">
      <c r="A495" s="14"/>
      <c r="B495" s="14"/>
      <c r="C495" s="16" t="s">
        <v>1169</v>
      </c>
      <c r="D495" s="17">
        <f>VLOOKUP(A488,'Neraca Unaudited SIMAK'!$A$2:$S$10004,7,FALSE)</f>
        <v>1100000</v>
      </c>
      <c r="E495" s="25">
        <f>SUMIFS('Daftar Koreksi'!$H$5:$H$92,'Daftar Koreksi'!$D$5:$D$92,'0200'!A488,'Daftar Koreksi'!$G$5:$G$92,"Jalan Irigasi Jaringan",'Daftar Koreksi'!$H$5:$H$92,"&gt;0")</f>
        <v>0</v>
      </c>
      <c r="F495" s="25">
        <f>SUMIFS('Daftar Koreksi'!$H$5:$H$92,'Daftar Koreksi'!$D$5:$D$92,'0200'!A488,'Daftar Koreksi'!$G$5:$G$92,"Jalan Irigasi Jaringan",'Daftar Koreksi'!$H$5:$H$92,"&lt;0")-SUMIFS('Daftar Koreksi'!$H$5:$H$92,'Daftar Koreksi'!$D$5:$D$92,'0200'!A488,'Daftar Koreksi'!$G$5:$G$92,"Jalan Irigasi Jaringan",'Daftar Koreksi'!$H$5:$H$92,"&lt;0")-SUMIFS('Daftar Koreksi'!$H$5:$H$92,'Daftar Koreksi'!$D$5:$D$92,'0200'!A488,'Daftar Koreksi'!$G$5:$G$92,"Jalan Irigasi Jaringan",'Daftar Koreksi'!$H$5:$H$92,"&lt;0")</f>
        <v>0</v>
      </c>
      <c r="G495" s="17">
        <f t="shared" si="22"/>
        <v>1100000</v>
      </c>
      <c r="H495" s="122"/>
    </row>
    <row r="496" spans="1:8" ht="21.95" customHeight="1">
      <c r="A496" s="14"/>
      <c r="B496" s="14"/>
      <c r="C496" s="16" t="s">
        <v>1170</v>
      </c>
      <c r="D496" s="17">
        <f>VLOOKUP(A488,'Neraca Unaudited SIMAK'!$A$2:$S$10004,8,FALSE)</f>
        <v>8975928</v>
      </c>
      <c r="E496" s="25">
        <f>SUMIFS('Daftar Koreksi'!$H$5:$H$92,'Daftar Koreksi'!$D$5:$D$92,'0200'!A488,'Daftar Koreksi'!$G$5:$G$92,"Aset Tetap Lainnya",'Daftar Koreksi'!$H$5:$H$92,"&gt;0")</f>
        <v>0</v>
      </c>
      <c r="F496" s="25">
        <f>SUMIFS('Daftar Koreksi'!$H$5:$H$92,'Daftar Koreksi'!$D$5:$D$92,'0200'!A488,'Daftar Koreksi'!$G$5:$G$92,"Aset Tetap Lainnya",'Daftar Koreksi'!$H$5:$H$92,"&lt;0")-SUMIFS('Daftar Koreksi'!$H$5:$H$92,'Daftar Koreksi'!$D$5:$D$92,'0200'!A488,'Daftar Koreksi'!$G$5:$G$92,"Aset Tetap Lainnya",'Daftar Koreksi'!$H$5:$H$92,"&lt;0")-SUMIFS('Daftar Koreksi'!$H$5:$H$92,'Daftar Koreksi'!$D$5:$D$92,'0200'!A488,'Daftar Koreksi'!$G$5:$G$92,"Aset Tetap Lainnya",'Daftar Koreksi'!$H$5:$H$92,"&lt;0")</f>
        <v>0</v>
      </c>
      <c r="G496" s="17">
        <f t="shared" si="22"/>
        <v>8975928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Koreksi'!$D$5:$D$92,'0200'!A488,'Daftar Koreksi'!$G$5:$G$92,"Kontruksi Dalam Pengerjaan",'Daftar Koreksi'!$H$5:$H$92,"&gt;0")</f>
        <v>0</v>
      </c>
      <c r="F497" s="25">
        <f>SUMIFS('Daftar Koreksi'!$H$5:$H$92,'Daftar Koreksi'!$D$5:$D$92,'0200'!A488,'Daftar Koreksi'!$G$5:$G$92,"Kontruksi Dalam Pengerjaan",'Daftar Koreksi'!$H$5:$H$92,"&lt;0")-SUMIFS('Daftar Koreksi'!$H$5:$H$92,'Daftar Koreksi'!$D$5:$D$92,'0200'!A488,'Daftar Koreksi'!$G$5:$G$92,"Kontruksi Dalam Pengerjaan",'Daftar Koreksi'!$H$5:$H$92,"&lt;0")-SUMIFS('Daftar Koreksi'!$H$5:$H$92,'Daftar Koreksi'!$D$5:$D$92,'0200'!A488,'Daftar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67905000</v>
      </c>
      <c r="E498" s="25">
        <f>SUMIFS('Daftar Koreksi'!$H$5:$H$92,'Daftar Koreksi'!$D$5:$D$92,'0200'!A488,'Daftar Koreksi'!$G$5:$G$92,"Aset Tak Berwujud",'Daftar Koreksi'!$H$5:$H$92,"&gt;0")</f>
        <v>0</v>
      </c>
      <c r="F498" s="25">
        <f>SUMIFS('Daftar Koreksi'!$H$5:$H$92,'Daftar Koreksi'!$D$5:$D$92,'0200'!A488,'Daftar Koreksi'!$G$5:$G$92,"Aset Tak Berwujud",'Daftar Koreksi'!$H$5:$H$92,"&lt;0")-SUMIFS('Daftar Koreksi'!$H$5:$H$92,'Daftar Koreksi'!$D$5:$D$92,'0200'!A488,'Daftar Koreksi'!$G$5:$G$92,"Aset Tak Berwujud",'Daftar Koreksi'!$H$5:$H$92,"&lt;0")-SUMIFS('Daftar Koreksi'!$H$5:$H$92,'Daftar Koreksi'!$D$5:$D$92,'0200'!A488,'Daftar Koreksi'!$G$5:$G$92,"Aset Tak Berwujud",'Daftar Koreksi'!$H$5:$H$92,"&lt;0")</f>
        <v>0</v>
      </c>
      <c r="G498" s="17">
        <f t="shared" si="22"/>
        <v>67905000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27275000</v>
      </c>
      <c r="E499" s="25">
        <f>SUMIFS('Daftar Koreksi'!$H$5:$H$92,'Daftar Koreksi'!$D$5:$D$92,'0200'!A488,'Daftar Koreksi'!$G$5:$G$92,"Aset Henti Guna",'Daftar Koreksi'!$H$5:$H$92,"&gt;0")</f>
        <v>0</v>
      </c>
      <c r="F499" s="25">
        <f>SUMIFS('Daftar Koreksi'!$H$5:$H$92,'Daftar Koreksi'!$D$5:$D$92,'0200'!A488,'Daftar Koreksi'!$G$5:$G$92,"Aset Henti Guna",'Daftar Koreksi'!$H$5:$H$92,"&lt;0")-SUMIFS('Daftar Koreksi'!$H$5:$H$92,'Daftar Koreksi'!$D$5:$D$92,'0200'!A488,'Daftar Koreksi'!$G$5:$G$92,"Aset Henti Guna",'Daftar Koreksi'!$H$5:$H$92,"&lt;0")-SUMIFS('Daftar Koreksi'!$H$5:$H$92,'Daftar Koreksi'!$D$5:$D$92,'0200'!A488,'Daftar Koreksi'!$G$5:$G$92,"Aset Henti Guna",'Daftar Koreksi'!$H$5:$H$92,"&lt;0")</f>
        <v>0</v>
      </c>
      <c r="G499" s="17">
        <f t="shared" si="22"/>
        <v>27275000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5365276470</v>
      </c>
      <c r="E500" s="19">
        <f>SUM(E491:E499)</f>
        <v>0</v>
      </c>
      <c r="F500" s="19">
        <f>SUM(F491:F499)</f>
        <v>0</v>
      </c>
      <c r="G500" s="19">
        <f t="shared" si="22"/>
        <v>5365276470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-1252042855</v>
      </c>
      <c r="E501" s="25">
        <f>SUMIFS('Daftar Koreksi'!$I$5:$I$92,'Daftar Koreksi'!$D$5:$D$92,'0200'!A488,'Daftar Koreksi'!$G$5:$G$92,"Peralatan dan mesin",'Daftar Koreksi'!$I$5:$I$92,"&gt;0")</f>
        <v>0</v>
      </c>
      <c r="F501" s="25">
        <f>SUMIFS('Daftar Koreksi'!$I$5:$I$92,'Daftar Koreksi'!$D$5:$D$92,'0200'!A488,'Daftar Koreksi'!$G$5:$G$92,"Peralatan dan mesin",'Daftar Koreksi'!$I$5:$I$92,"&lt;0")-SUMIFS('Daftar Koreksi'!$I$5:$I$92,'Daftar Koreksi'!$D$5:$D$92,'0200'!A488,'Daftar Koreksi'!$G$5:$G$92,"Peralatan dan mesin",'Daftar Koreksi'!$I$5:$I$92,"&lt;0")-SUMIFS('Daftar Koreksi'!$I$5:$I$92,'Daftar Koreksi'!$D$5:$D$92,'0200'!A488,'Daftar Koreksi'!$G$5:$G$92,"Peralatan dan mesin",'Daftar Koreksi'!$I$5:$I$92,"&lt;0")</f>
        <v>0</v>
      </c>
      <c r="G501" s="17">
        <f t="shared" si="22"/>
        <v>-1252042855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-322270684</v>
      </c>
      <c r="E502" s="25">
        <f>SUMIFS('Daftar Koreksi'!$I$5:$I$92,'Daftar Koreksi'!$D$5:$D$92,'0200'!A488,'Daftar Koreksi'!$G$5:$G$92,"Gedung dan Bangunan",'Daftar Koreksi'!$I$5:$I$92,"&gt;0")</f>
        <v>0</v>
      </c>
      <c r="F502" s="25">
        <f>SUMIFS('Daftar Koreksi'!$I$5:$I$92,'Daftar Koreksi'!$D$5:$D$92,'0200'!A488,'Daftar Koreksi'!$G$5:$G$92,"Gedung dan Bangunan",'Daftar Koreksi'!$I$5:$I$92,"&lt;0")-SUMIFS('Daftar Koreksi'!$I$5:$I$92,'Daftar Koreksi'!$D$5:$D$92,'0200'!A488,'Daftar Koreksi'!$G$5:$G$92,"Gedung dan Bangunan",'Daftar Koreksi'!$I$5:$I$92,"&lt;0")-SUMIFS('Daftar Koreksi'!$I$5:$I$92,'Daftar Koreksi'!$D$5:$D$92,'0200'!A488,'Daftar Koreksi'!$G$5:$G$92,"Gedung dan Bangunan",'Daftar Koreksi'!$I$5:$I$92,"&lt;0")</f>
        <v>0</v>
      </c>
      <c r="G502" s="17">
        <f t="shared" si="22"/>
        <v>-322270684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-880000</v>
      </c>
      <c r="E503" s="25">
        <f>SUMIFS('Daftar Koreksi'!$I$5:$I$92,'Daftar Koreksi'!$D$5:$D$92,'0200'!A488,'Daftar Koreksi'!$G$5:$G$92,"Jalan Irigasi Jaringan",'Daftar Koreksi'!$I$5:$I$92,"&gt;0")</f>
        <v>0</v>
      </c>
      <c r="F503" s="25">
        <f>SUMIFS('Daftar Koreksi'!$I$5:$I$92,'Daftar Koreksi'!$D$5:$D$92,'0200'!A488,'Daftar Koreksi'!$G$5:$G$92,"Jalan Irigasi Jaringan",'Daftar Koreksi'!$I$5:$I$92,"&lt;0")-SUMIFS('Daftar Koreksi'!$I$5:$I$92,'Daftar Koreksi'!$D$5:$D$92,'0200'!A488,'Daftar Koreksi'!$G$5:$G$92,"Jalan Irigasi Jaringan",'Daftar Koreksi'!$I$5:$I$92,"&lt;0")-SUMIFS('Daftar Koreksi'!$I$5:$I$92,'Daftar Koreksi'!$D$5:$D$92,'0200'!A488,'Daftar Koreksi'!$G$5:$G$92,"Jalan Irigasi Jaringan",'Daftar Koreksi'!$I$5:$I$92,"&lt;0")</f>
        <v>0</v>
      </c>
      <c r="G503" s="17">
        <f t="shared" si="22"/>
        <v>-880000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Koreksi'!$D$5:$D$92,'0200'!A488,'Daftar Koreksi'!$G$5:$G$92,"Aset Tetap Lainnya",'Daftar Koreksi'!$I$5:$I$92,"&gt;0")</f>
        <v>0</v>
      </c>
      <c r="F504" s="25">
        <f>SUMIFS('Daftar Koreksi'!$I$5:$I$92,'Daftar Koreksi'!$D$5:$D$92,'0200'!A488,'Daftar Koreksi'!$G$5:$G$92,"Aset Tetap Lainnya",'Daftar Koreksi'!$I$5:$I$92,"&lt;0")-SUMIFS('Daftar Koreksi'!$I$5:$I$92,'Daftar Koreksi'!$D$5:$D$92,'0200'!A488,'Daftar Koreksi'!$G$5:$G$92,"Aset Tetap Lainnya",'Daftar Koreksi'!$I$5:$I$92,"&lt;0")-SUMIFS('Daftar Koreksi'!$I$5:$I$92,'Daftar Koreksi'!$D$5:$D$92,'0200'!A488,'Daftar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-27275000</v>
      </c>
      <c r="E505" s="25">
        <f>SUMIFS('Daftar Koreksi'!$I$5:$I$92,'Daftar Koreksi'!$D$5:$D$92,'0200'!A488,'Daftar Koreksi'!$G$5:$G$92,"Aset Henti Guna",'Daftar Koreksi'!$I$5:$I$92,"&gt;0")</f>
        <v>0</v>
      </c>
      <c r="F505" s="25">
        <f>SUMIFS('Daftar Koreksi'!$I$5:$I$92,'Daftar Koreksi'!$D$5:$D$92,'0200'!A488,'Daftar Koreksi'!$G$5:$G$92,"Aset Henti Guna",'Daftar Koreksi'!$I$5:$I$92,"&lt;0")-SUMIFS('Daftar Koreksi'!$I$5:$I$92,'Daftar Koreksi'!$D$5:$D$92,'0200'!A488,'Daftar Koreksi'!$G$5:$G$92,"Aset Henti Guna",'Daftar Koreksi'!$I$5:$I$92,"&lt;0")-SUMIFS('Daftar Koreksi'!$I$5:$I$92,'Daftar Koreksi'!$D$5:$D$92,'0200'!A488,'Daftar Koreksi'!$G$5:$G$92,"Aset Henti Guna",'Daftar Koreksi'!$I$5:$I$92,"&lt;0")</f>
        <v>0</v>
      </c>
      <c r="G505" s="17">
        <f t="shared" si="22"/>
        <v>-27275000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-1602468539</v>
      </c>
      <c r="E506" s="19">
        <f>SUM(E501:E505)</f>
        <v>0</v>
      </c>
      <c r="F506" s="19">
        <f>SUM(F501:F505)</f>
        <v>0</v>
      </c>
      <c r="G506" s="19">
        <f t="shared" si="22"/>
        <v>-1602468539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3762807931</v>
      </c>
      <c r="E507" s="19">
        <f>E506+E500</f>
        <v>0</v>
      </c>
      <c r="F507" s="19">
        <f>F506+F500</f>
        <v>0</v>
      </c>
      <c r="G507" s="19">
        <f t="shared" si="22"/>
        <v>3762807931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005010200400684000KD</v>
      </c>
      <c r="B510" s="11" t="str">
        <f>P24</f>
        <v>PA. Cimahi</v>
      </c>
      <c r="C510" s="12" t="str">
        <f>A510&amp;" "&amp;B510</f>
        <v>005010200400684000KD PA. Cimahi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1678550</v>
      </c>
      <c r="E513" s="25">
        <f>SUMIFS('Daftar Koreksi'!$H$5:$H$92,'Daftar Koreksi'!$D$5:$D$92,'0200'!A510,'Daftar Koreksi'!$G$5:$G$92,"Persediaan",'Daftar Koreksi'!$H$5:$H$92,"&gt;0")</f>
        <v>0</v>
      </c>
      <c r="F513" s="25">
        <f>SUMIFS('Daftar Koreksi'!$H$5:$H$92,'Daftar Koreksi'!$D$5:$D$92,'0200'!A510,'Daftar Koreksi'!$G$5:$G$92,"Persediaan",'Daftar Koreksi'!$H$5:$H$92,"&lt;0")-SUMIFS('Daftar Koreksi'!$H$5:$H$92,'Daftar Koreksi'!$D$5:$D$92,'0200'!A510,'Daftar Koreksi'!$G$5:$G$92,"Persediaan",'Daftar Koreksi'!$H$5:$H$92,"&lt;0")-SUMIFS('Daftar Koreksi'!$H$5:$H$92,'Daftar Koreksi'!$D$5:$D$92,'0200'!A510,'Daftar Koreksi'!$G$5:$G$92,"Persediaan",'Daftar Koreksi'!$H$5:$H$92,"&lt;0")</f>
        <v>0</v>
      </c>
      <c r="G513" s="17">
        <f>D513+E513-F513</f>
        <v>1678550</v>
      </c>
      <c r="H513" s="121" t="str">
        <f>IF(ISNA(VLOOKUP(A510,'Mutasi Neraca'!$A$3:$S$914,19,FALSE)),"-",VLOOKUP(A510,'Mutasi Neraca'!$A$3:$S$914,19,FALSE))</f>
        <v>TP. No 2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3116911200</v>
      </c>
      <c r="E514" s="25">
        <f>SUMIFS('Daftar Koreksi'!$H$5:$H$92,'Daftar Koreksi'!$D$5:$D$92,'0200'!A510,'Daftar Koreksi'!$G$5:$G$92,"Tanah",'Daftar Koreksi'!$H$5:$H$92,"&gt;0")</f>
        <v>0</v>
      </c>
      <c r="F514" s="25">
        <f>SUMIFS('Daftar Koreksi'!$H$5:$H$92,'Daftar Koreksi'!$D$5:$D$92,'0200'!A510,'Daftar Koreksi'!$G$5:$G$92,"Tanah",'Daftar Koreksi'!$H$5:$H$92,"&lt;0")-SUMIFS('Daftar Koreksi'!$H$5:$H$92,'Daftar Koreksi'!$D$5:$D$92,'0200'!A510,'Daftar Koreksi'!$G$5:$G$92,"Tanah",'Daftar Koreksi'!$H$5:$H$92,"&lt;0")-SUMIFS('Daftar Koreksi'!$H$5:$H$92,'Daftar Koreksi'!$D$5:$D$92,'0200'!A510,'Daftar Koreksi'!$G$5:$G$92,"Tanah",'Daftar Koreksi'!$H$5:$H$92,"&lt;0")</f>
        <v>0</v>
      </c>
      <c r="G514" s="17">
        <f t="shared" ref="G514:G530" si="23">D514+E514-F514</f>
        <v>3116911200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2807545369</v>
      </c>
      <c r="E515" s="25">
        <f>SUMIFS('Daftar Koreksi'!$H$5:$H$92,'Daftar Koreksi'!$D$5:$D$92,'0200'!A510,'Daftar Koreksi'!$G$5:$G$92,"Peralatan dan mesin",'Daftar Koreksi'!$H$5:$H$92,"&gt;0")</f>
        <v>321401800</v>
      </c>
      <c r="F515" s="25">
        <f>SUMIFS('Daftar Koreksi'!$H$5:$H$92,'Daftar Koreksi'!$D$5:$D$92,'0200'!A510,'Daftar Koreksi'!$G$5:$G$92,"Peralatan dan mesin",'Daftar Koreksi'!$H$5:$H$92,"&lt;0")-SUMIFS('Daftar Koreksi'!$H$5:$H$92,'Daftar Koreksi'!$D$5:$D$92,'0200'!A510,'Daftar Koreksi'!$G$5:$G$92,"Peralatan dan mesin",'Daftar Koreksi'!$H$5:$H$92,"&lt;0")-SUMIFS('Daftar Koreksi'!$H$5:$H$92,'Daftar Koreksi'!$D$5:$D$92,'0200'!A510,'Daftar Koreksi'!$G$5:$G$92,"Peralatan dan mesin",'Daftar Koreksi'!$H$5:$H$92,"&lt;0")</f>
        <v>0</v>
      </c>
      <c r="G515" s="17">
        <f t="shared" si="23"/>
        <v>3128947169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10964997925</v>
      </c>
      <c r="E516" s="25">
        <f>SUMIFS('Daftar Koreksi'!$H$5:$H$92,'Daftar Koreksi'!$D$5:$D$92,'0200'!A510,'Daftar Koreksi'!$G$5:$G$92,"Gedung dan Bangunan",'Daftar Koreksi'!$H$5:$H$92,"&gt;0")</f>
        <v>0</v>
      </c>
      <c r="F516" s="25">
        <f>SUMIFS('Daftar Koreksi'!$H$5:$H$92,'Daftar Koreksi'!$D$5:$D$92,'0200'!A510,'Daftar Koreksi'!$G$5:$G$92,"Gedung dan Bangunan",'Daftar Koreksi'!$H$5:$H$92,"&lt;0")-SUMIFS('Daftar Koreksi'!$H$5:$H$92,'Daftar Koreksi'!$D$5:$D$92,'0200'!A510,'Daftar Koreksi'!$G$5:$G$92,"Gedung dan Bangunan",'Daftar Koreksi'!$H$5:$H$92,"&lt;0")-SUMIFS('Daftar Koreksi'!$H$5:$H$92,'Daftar Koreksi'!$D$5:$D$92,'0200'!A510,'Daftar Koreksi'!$G$5:$G$92,"Gedung dan Bangunan",'Daftar Koreksi'!$H$5:$H$92,"&lt;0")</f>
        <v>0</v>
      </c>
      <c r="G516" s="17">
        <f t="shared" si="23"/>
        <v>10964997925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0</v>
      </c>
      <c r="E517" s="25">
        <f>SUMIFS('Daftar Koreksi'!$H$5:$H$92,'Daftar Koreksi'!$D$5:$D$92,'0200'!A510,'Daftar Koreksi'!$G$5:$G$92,"Jalan Irigasi Jaringan",'Daftar Koreksi'!$H$5:$H$92,"&gt;0")</f>
        <v>0</v>
      </c>
      <c r="F517" s="25">
        <f>SUMIFS('Daftar Koreksi'!$H$5:$H$92,'Daftar Koreksi'!$D$5:$D$92,'0200'!A510,'Daftar Koreksi'!$G$5:$G$92,"Jalan Irigasi Jaringan",'Daftar Koreksi'!$H$5:$H$92,"&lt;0")-SUMIFS('Daftar Koreksi'!$H$5:$H$92,'Daftar Koreksi'!$D$5:$D$92,'0200'!A510,'Daftar Koreksi'!$G$5:$G$92,"Jalan Irigasi Jaringan",'Daftar Koreksi'!$H$5:$H$92,"&lt;0")-SUMIFS('Daftar Koreksi'!$H$5:$H$92,'Daftar Koreksi'!$D$5:$D$92,'0200'!A510,'Daftar Koreksi'!$G$5:$G$92,"Jalan Irigasi Jaringan",'Daftar Koreksi'!$H$5:$H$92,"&lt;0")</f>
        <v>0</v>
      </c>
      <c r="G517" s="17">
        <f t="shared" si="23"/>
        <v>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0</v>
      </c>
      <c r="E518" s="25">
        <f>SUMIFS('Daftar Koreksi'!$H$5:$H$92,'Daftar Koreksi'!$D$5:$D$92,'0200'!A510,'Daftar Koreksi'!$G$5:$G$92,"Aset Tetap Lainnya",'Daftar Koreksi'!$H$5:$H$92,"&gt;0")</f>
        <v>0</v>
      </c>
      <c r="F518" s="25">
        <f>SUMIFS('Daftar Koreksi'!$H$5:$H$92,'Daftar Koreksi'!$D$5:$D$92,'0200'!A510,'Daftar Koreksi'!$G$5:$G$92,"Aset Tetap Lainnya",'Daftar Koreksi'!$H$5:$H$92,"&lt;0")-SUMIFS('Daftar Koreksi'!$H$5:$H$92,'Daftar Koreksi'!$D$5:$D$92,'0200'!A510,'Daftar Koreksi'!$G$5:$G$92,"Aset Tetap Lainnya",'Daftar Koreksi'!$H$5:$H$92,"&lt;0")-SUMIFS('Daftar Koreksi'!$H$5:$H$92,'Daftar Koreksi'!$D$5:$D$92,'0200'!A510,'Daftar Koreksi'!$G$5:$G$92,"Aset Tetap Lainnya",'Daftar Koreksi'!$H$5:$H$92,"&lt;0")</f>
        <v>0</v>
      </c>
      <c r="G518" s="17">
        <f t="shared" si="23"/>
        <v>0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Koreksi'!$D$5:$D$92,'0200'!A510,'Daftar Koreksi'!$G$5:$G$92,"Kontruksi Dalam Pengerjaan",'Daftar Koreksi'!$H$5:$H$92,"&gt;0")</f>
        <v>0</v>
      </c>
      <c r="F519" s="25">
        <f>SUMIFS('Daftar Koreksi'!$H$5:$H$92,'Daftar Koreksi'!$D$5:$D$92,'0200'!A510,'Daftar Koreksi'!$G$5:$G$92,"Kontruksi Dalam Pengerjaan",'Daftar Koreksi'!$H$5:$H$92,"&lt;0")-SUMIFS('Daftar Koreksi'!$H$5:$H$92,'Daftar Koreksi'!$D$5:$D$92,'0200'!A510,'Daftar Koreksi'!$G$5:$G$92,"Kontruksi Dalam Pengerjaan",'Daftar Koreksi'!$H$5:$H$92,"&lt;0")-SUMIFS('Daftar Koreksi'!$H$5:$H$92,'Daftar Koreksi'!$D$5:$D$92,'0200'!A510,'Daftar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69300000</v>
      </c>
      <c r="E520" s="25">
        <f>SUMIFS('Daftar Koreksi'!$H$5:$H$92,'Daftar Koreksi'!$D$5:$D$92,'0200'!A510,'Daftar Koreksi'!$G$5:$G$92,"Aset Tak Berwujud",'Daftar Koreksi'!$H$5:$H$92,"&gt;0")</f>
        <v>0</v>
      </c>
      <c r="F520" s="25">
        <f>SUMIFS('Daftar Koreksi'!$H$5:$H$92,'Daftar Koreksi'!$D$5:$D$92,'0200'!A510,'Daftar Koreksi'!$G$5:$G$92,"Aset Tak Berwujud",'Daftar Koreksi'!$H$5:$H$92,"&lt;0")-SUMIFS('Daftar Koreksi'!$H$5:$H$92,'Daftar Koreksi'!$D$5:$D$92,'0200'!A510,'Daftar Koreksi'!$G$5:$G$92,"Aset Tak Berwujud",'Daftar Koreksi'!$H$5:$H$92,"&lt;0")-SUMIFS('Daftar Koreksi'!$H$5:$H$92,'Daftar Koreksi'!$D$5:$D$92,'0200'!A510,'Daftar Koreksi'!$G$5:$G$92,"Aset Tak Berwujud",'Daftar Koreksi'!$H$5:$H$92,"&lt;0")</f>
        <v>0</v>
      </c>
      <c r="G520" s="17">
        <f t="shared" si="23"/>
        <v>69300000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129280300</v>
      </c>
      <c r="E521" s="25">
        <f>SUMIFS('Daftar Koreksi'!$H$5:$H$92,'Daftar Koreksi'!$D$5:$D$92,'0200'!A510,'Daftar Koreksi'!$G$5:$G$92,"Aset Henti Guna",'Daftar Koreksi'!$H$5:$H$92,"&gt;0")</f>
        <v>0</v>
      </c>
      <c r="F521" s="25">
        <f>SUMIFS('Daftar Koreksi'!$H$5:$H$92,'Daftar Koreksi'!$D$5:$D$92,'0200'!A510,'Daftar Koreksi'!$G$5:$G$92,"Aset Henti Guna",'Daftar Koreksi'!$H$5:$H$92,"&lt;0")-SUMIFS('Daftar Koreksi'!$H$5:$H$92,'Daftar Koreksi'!$D$5:$D$92,'0200'!A510,'Daftar Koreksi'!$G$5:$G$92,"Aset Henti Guna",'Daftar Koreksi'!$H$5:$H$92,"&lt;0")-SUMIFS('Daftar Koreksi'!$H$5:$H$92,'Daftar Koreksi'!$D$5:$D$92,'0200'!A510,'Daftar Koreksi'!$G$5:$G$92,"Aset Henti Guna",'Daftar Koreksi'!$H$5:$H$92,"&lt;0")</f>
        <v>0</v>
      </c>
      <c r="G521" s="17">
        <f t="shared" si="23"/>
        <v>129280300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17089713344</v>
      </c>
      <c r="E522" s="19">
        <f>SUM(E513:E521)</f>
        <v>321401800</v>
      </c>
      <c r="F522" s="19">
        <f>SUM(F513:F521)</f>
        <v>0</v>
      </c>
      <c r="G522" s="19">
        <f t="shared" si="23"/>
        <v>17411115144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-1705802563</v>
      </c>
      <c r="E523" s="25">
        <f>SUMIFS('Daftar Koreksi'!$I$5:$I$92,'Daftar Koreksi'!$D$5:$D$92,'0200'!A510,'Daftar Koreksi'!$G$5:$G$92,"Peralatan dan mesin",'Daftar Koreksi'!$I$5:$I$92,"&gt;0")</f>
        <v>0</v>
      </c>
      <c r="F523" s="25">
        <f>SUMIFS('Daftar Koreksi'!$I$5:$I$92,'Daftar Koreksi'!$D$5:$D$92,'0200'!A510,'Daftar Koreksi'!$G$5:$G$92,"Peralatan dan mesin",'Daftar Koreksi'!$I$5:$I$92,"&lt;0")-SUMIFS('Daftar Koreksi'!$I$5:$I$92,'Daftar Koreksi'!$D$5:$D$92,'0200'!A510,'Daftar Koreksi'!$G$5:$G$92,"Peralatan dan mesin",'Daftar Koreksi'!$I$5:$I$92,"&lt;0")-SUMIFS('Daftar Koreksi'!$I$5:$I$92,'Daftar Koreksi'!$D$5:$D$92,'0200'!A510,'Daftar Koreksi'!$G$5:$G$92,"Peralatan dan mesin",'Daftar Koreksi'!$I$5:$I$92,"&lt;0")</f>
        <v>128284648</v>
      </c>
      <c r="G523" s="17">
        <f t="shared" si="23"/>
        <v>-1834087211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-271453980</v>
      </c>
      <c r="E524" s="25">
        <f>SUMIFS('Daftar Koreksi'!$I$5:$I$92,'Daftar Koreksi'!$D$5:$D$92,'0200'!A510,'Daftar Koreksi'!$G$5:$G$92,"Gedung dan Bangunan",'Daftar Koreksi'!$I$5:$I$92,"&gt;0")</f>
        <v>0</v>
      </c>
      <c r="F524" s="25">
        <f>SUMIFS('Daftar Koreksi'!$I$5:$I$92,'Daftar Koreksi'!$D$5:$D$92,'0200'!A510,'Daftar Koreksi'!$G$5:$G$92,"Gedung dan Bangunan",'Daftar Koreksi'!$I$5:$I$92,"&lt;0")-SUMIFS('Daftar Koreksi'!$I$5:$I$92,'Daftar Koreksi'!$D$5:$D$92,'0200'!A510,'Daftar Koreksi'!$G$5:$G$92,"Gedung dan Bangunan",'Daftar Koreksi'!$I$5:$I$92,"&lt;0")-SUMIFS('Daftar Koreksi'!$I$5:$I$92,'Daftar Koreksi'!$D$5:$D$92,'0200'!A510,'Daftar Koreksi'!$G$5:$G$92,"Gedung dan Bangunan",'Daftar Koreksi'!$I$5:$I$92,"&lt;0")</f>
        <v>0</v>
      </c>
      <c r="G524" s="17">
        <f t="shared" si="23"/>
        <v>-271453980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0</v>
      </c>
      <c r="E525" s="25">
        <f>SUMIFS('Daftar Koreksi'!$I$5:$I$92,'Daftar Koreksi'!$D$5:$D$92,'0200'!A510,'Daftar Koreksi'!$G$5:$G$92,"Jalan Irigasi Jaringan",'Daftar Koreksi'!$I$5:$I$92,"&gt;0")</f>
        <v>0</v>
      </c>
      <c r="F525" s="25">
        <f>SUMIFS('Daftar Koreksi'!$I$5:$I$92,'Daftar Koreksi'!$D$5:$D$92,'0200'!A510,'Daftar Koreksi'!$G$5:$G$92,"Jalan Irigasi Jaringan",'Daftar Koreksi'!$I$5:$I$92,"&lt;0")-SUMIFS('Daftar Koreksi'!$I$5:$I$92,'Daftar Koreksi'!$D$5:$D$92,'0200'!A510,'Daftar Koreksi'!$G$5:$G$92,"Jalan Irigasi Jaringan",'Daftar Koreksi'!$I$5:$I$92,"&lt;0")-SUMIFS('Daftar Koreksi'!$I$5:$I$92,'Daftar Koreksi'!$D$5:$D$92,'0200'!A510,'Daftar Koreksi'!$G$5:$G$92,"Jalan Irigasi Jaringan",'Daftar Koreksi'!$I$5:$I$92,"&lt;0")</f>
        <v>0</v>
      </c>
      <c r="G525" s="17">
        <f t="shared" si="23"/>
        <v>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Koreksi'!$D$5:$D$92,'0200'!A510,'Daftar Koreksi'!$G$5:$G$92,"Aset Tetap Lainnya",'Daftar Koreksi'!$I$5:$I$92,"&gt;0")</f>
        <v>0</v>
      </c>
      <c r="F526" s="25">
        <f>SUMIFS('Daftar Koreksi'!$I$5:$I$92,'Daftar Koreksi'!$D$5:$D$92,'0200'!A510,'Daftar Koreksi'!$G$5:$G$92,"Aset Tetap Lainnya",'Daftar Koreksi'!$I$5:$I$92,"&lt;0")-SUMIFS('Daftar Koreksi'!$I$5:$I$92,'Daftar Koreksi'!$D$5:$D$92,'0200'!A510,'Daftar Koreksi'!$G$5:$G$92,"Aset Tetap Lainnya",'Daftar Koreksi'!$I$5:$I$92,"&lt;0")-SUMIFS('Daftar Koreksi'!$I$5:$I$92,'Daftar Koreksi'!$D$5:$D$92,'0200'!A510,'Daftar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-129280300</v>
      </c>
      <c r="E527" s="25">
        <f>SUMIFS('Daftar Koreksi'!$I$5:$I$92,'Daftar Koreksi'!$D$5:$D$92,'0200'!A510,'Daftar Koreksi'!$G$5:$G$92,"Aset Henti Guna",'Daftar Koreksi'!$I$5:$I$92,"&gt;0")</f>
        <v>0</v>
      </c>
      <c r="F527" s="25">
        <f>SUMIFS('Daftar Koreksi'!$I$5:$I$92,'Daftar Koreksi'!$D$5:$D$92,'0200'!A510,'Daftar Koreksi'!$G$5:$G$92,"Aset Henti Guna",'Daftar Koreksi'!$I$5:$I$92,"&lt;0")-SUMIFS('Daftar Koreksi'!$I$5:$I$92,'Daftar Koreksi'!$D$5:$D$92,'0200'!A510,'Daftar Koreksi'!$G$5:$G$92,"Aset Henti Guna",'Daftar Koreksi'!$I$5:$I$92,"&lt;0")-SUMIFS('Daftar Koreksi'!$I$5:$I$92,'Daftar Koreksi'!$D$5:$D$92,'0200'!A510,'Daftar Koreksi'!$G$5:$G$92,"Aset Henti Guna",'Daftar Koreksi'!$I$5:$I$92,"&lt;0")</f>
        <v>0</v>
      </c>
      <c r="G527" s="17">
        <f t="shared" si="23"/>
        <v>-129280300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-2106536843</v>
      </c>
      <c r="E528" s="19">
        <f>SUM(E523:E527)</f>
        <v>0</v>
      </c>
      <c r="F528" s="19">
        <f>SUM(F523:F527)</f>
        <v>128284648</v>
      </c>
      <c r="G528" s="19">
        <f t="shared" si="23"/>
        <v>-2234821491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14983176501</v>
      </c>
      <c r="E529" s="19">
        <f>E528+E522</f>
        <v>321401800</v>
      </c>
      <c r="F529" s="19">
        <f>F528+F522</f>
        <v>128284648</v>
      </c>
      <c r="G529" s="19">
        <f t="shared" si="23"/>
        <v>15176293653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005010200400690000KD</v>
      </c>
      <c r="B532" s="11" t="str">
        <f>P25</f>
        <v>PA. Ciamis</v>
      </c>
      <c r="C532" s="12" t="str">
        <f>A532&amp;" "&amp;B532</f>
        <v>005010200400690000KD PA. Ciamis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13568156</v>
      </c>
      <c r="E535" s="25">
        <f>SUMIFS('Daftar Koreksi'!$H$5:$H$92,'Daftar Koreksi'!$D$5:$D$92,'0200'!A532,'Daftar Koreksi'!$G$5:$G$92,"Persediaan",'Daftar Koreksi'!$H$5:$H$92,"&gt;0")</f>
        <v>0</v>
      </c>
      <c r="F535" s="25">
        <f>SUMIFS('Daftar Koreksi'!$H$5:$H$92,'Daftar Koreksi'!$D$5:$D$92,'0200'!A532,'Daftar Koreksi'!$G$5:$G$92,"Persediaan",'Daftar Koreksi'!$H$5:$H$92,"&lt;0")-SUMIFS('Daftar Koreksi'!$H$5:$H$92,'Daftar Koreksi'!$D$5:$D$92,'0200'!A532,'Daftar Koreksi'!$G$5:$G$92,"Persediaan",'Daftar Koreksi'!$H$5:$H$92,"&lt;0")-SUMIFS('Daftar Koreksi'!$H$5:$H$92,'Daftar Koreksi'!$D$5:$D$92,'0200'!A532,'Daftar Koreksi'!$G$5:$G$92,"Persediaan",'Daftar Koreksi'!$H$5:$H$92,"&lt;0")</f>
        <v>0</v>
      </c>
      <c r="G535" s="17">
        <f>D535+E535-F535</f>
        <v>13568156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675834000</v>
      </c>
      <c r="E536" s="25">
        <f>SUMIFS('Daftar Koreksi'!$H$5:$H$92,'Daftar Koreksi'!$D$5:$D$92,'0200'!A532,'Daftar Koreksi'!$G$5:$G$92,"Tanah",'Daftar Koreksi'!$H$5:$H$92,"&gt;0")</f>
        <v>0</v>
      </c>
      <c r="F536" s="25">
        <f>SUMIFS('Daftar Koreksi'!$H$5:$H$92,'Daftar Koreksi'!$D$5:$D$92,'0200'!A532,'Daftar Koreksi'!$G$5:$G$92,"Tanah",'Daftar Koreksi'!$H$5:$H$92,"&lt;0")-SUMIFS('Daftar Koreksi'!$H$5:$H$92,'Daftar Koreksi'!$D$5:$D$92,'0200'!A532,'Daftar Koreksi'!$G$5:$G$92,"Tanah",'Daftar Koreksi'!$H$5:$H$92,"&lt;0")-SUMIFS('Daftar Koreksi'!$H$5:$H$92,'Daftar Koreksi'!$D$5:$D$92,'0200'!A532,'Daftar Koreksi'!$G$5:$G$92,"Tanah",'Daftar Koreksi'!$H$5:$H$92,"&lt;0")</f>
        <v>0</v>
      </c>
      <c r="G536" s="17">
        <f t="shared" ref="G536:G552" si="24">D536+E536-F536</f>
        <v>675834000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2066231021</v>
      </c>
      <c r="E537" s="25">
        <f>SUMIFS('Daftar Koreksi'!$H$5:$H$92,'Daftar Koreksi'!$D$5:$D$92,'0200'!A532,'Daftar Koreksi'!$G$5:$G$92,"Peralatan dan mesin",'Daftar Koreksi'!$H$5:$H$92,"&gt;0")</f>
        <v>0</v>
      </c>
      <c r="F537" s="25">
        <f>SUMIFS('Daftar Koreksi'!$H$5:$H$92,'Daftar Koreksi'!$D$5:$D$92,'0200'!A532,'Daftar Koreksi'!$G$5:$G$92,"Peralatan dan mesin",'Daftar Koreksi'!$H$5:$H$92,"&lt;0")-SUMIFS('Daftar Koreksi'!$H$5:$H$92,'Daftar Koreksi'!$D$5:$D$92,'0200'!A532,'Daftar Koreksi'!$G$5:$G$92,"Peralatan dan mesin",'Daftar Koreksi'!$H$5:$H$92,"&lt;0")-SUMIFS('Daftar Koreksi'!$H$5:$H$92,'Daftar Koreksi'!$D$5:$D$92,'0200'!A532,'Daftar Koreksi'!$G$5:$G$92,"Peralatan dan mesin",'Daftar Koreksi'!$H$5:$H$92,"&lt;0")</f>
        <v>0</v>
      </c>
      <c r="G537" s="17">
        <f t="shared" si="24"/>
        <v>2066231021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6873834410</v>
      </c>
      <c r="E538" s="25">
        <f>SUMIFS('Daftar Koreksi'!$H$5:$H$92,'Daftar Koreksi'!$D$5:$D$92,'0200'!A532,'Daftar Koreksi'!$G$5:$G$92,"Gedung dan Bangunan",'Daftar Koreksi'!$H$5:$H$92,"&gt;0")</f>
        <v>0</v>
      </c>
      <c r="F538" s="25">
        <f>SUMIFS('Daftar Koreksi'!$H$5:$H$92,'Daftar Koreksi'!$D$5:$D$92,'0200'!A532,'Daftar Koreksi'!$G$5:$G$92,"Gedung dan Bangunan",'Daftar Koreksi'!$H$5:$H$92,"&lt;0")-SUMIFS('Daftar Koreksi'!$H$5:$H$92,'Daftar Koreksi'!$D$5:$D$92,'0200'!A532,'Daftar Koreksi'!$G$5:$G$92,"Gedung dan Bangunan",'Daftar Koreksi'!$H$5:$H$92,"&lt;0")-SUMIFS('Daftar Koreksi'!$H$5:$H$92,'Daftar Koreksi'!$D$5:$D$92,'0200'!A532,'Daftar Koreksi'!$G$5:$G$92,"Gedung dan Bangunan",'Daftar Koreksi'!$H$5:$H$92,"&lt;0")</f>
        <v>0</v>
      </c>
      <c r="G538" s="17">
        <f t="shared" si="24"/>
        <v>6873834410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6400000</v>
      </c>
      <c r="E539" s="25">
        <f>SUMIFS('Daftar Koreksi'!$H$5:$H$92,'Daftar Koreksi'!$D$5:$D$92,'0200'!A532,'Daftar Koreksi'!$G$5:$G$92,"Jalan Irigasi Jaringan",'Daftar Koreksi'!$H$5:$H$92,"&gt;0")</f>
        <v>0</v>
      </c>
      <c r="F539" s="25">
        <f>SUMIFS('Daftar Koreksi'!$H$5:$H$92,'Daftar Koreksi'!$D$5:$D$92,'0200'!A532,'Daftar Koreksi'!$G$5:$G$92,"Jalan Irigasi Jaringan",'Daftar Koreksi'!$H$5:$H$92,"&lt;0")-SUMIFS('Daftar Koreksi'!$H$5:$H$92,'Daftar Koreksi'!$D$5:$D$92,'0200'!A532,'Daftar Koreksi'!$G$5:$G$92,"Jalan Irigasi Jaringan",'Daftar Koreksi'!$H$5:$H$92,"&lt;0")-SUMIFS('Daftar Koreksi'!$H$5:$H$92,'Daftar Koreksi'!$D$5:$D$92,'0200'!A532,'Daftar Koreksi'!$G$5:$G$92,"Jalan Irigasi Jaringan",'Daftar Koreksi'!$H$5:$H$92,"&lt;0")</f>
        <v>0</v>
      </c>
      <c r="G539" s="17">
        <f t="shared" si="24"/>
        <v>6400000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9876830</v>
      </c>
      <c r="E540" s="25">
        <f>SUMIFS('Daftar Koreksi'!$H$5:$H$92,'Daftar Koreksi'!$D$5:$D$92,'0200'!A532,'Daftar Koreksi'!$G$5:$G$92,"Aset Tetap Lainnya",'Daftar Koreksi'!$H$5:$H$92,"&gt;0")</f>
        <v>0</v>
      </c>
      <c r="F540" s="25">
        <f>SUMIFS('Daftar Koreksi'!$H$5:$H$92,'Daftar Koreksi'!$D$5:$D$92,'0200'!A532,'Daftar Koreksi'!$G$5:$G$92,"Aset Tetap Lainnya",'Daftar Koreksi'!$H$5:$H$92,"&lt;0")-SUMIFS('Daftar Koreksi'!$H$5:$H$92,'Daftar Koreksi'!$D$5:$D$92,'0200'!A532,'Daftar Koreksi'!$G$5:$G$92,"Aset Tetap Lainnya",'Daftar Koreksi'!$H$5:$H$92,"&lt;0")-SUMIFS('Daftar Koreksi'!$H$5:$H$92,'Daftar Koreksi'!$D$5:$D$92,'0200'!A532,'Daftar Koreksi'!$G$5:$G$92,"Aset Tetap Lainnya",'Daftar Koreksi'!$H$5:$H$92,"&lt;0")</f>
        <v>0</v>
      </c>
      <c r="G540" s="17">
        <f t="shared" si="24"/>
        <v>9876830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Koreksi'!$D$5:$D$92,'0200'!A532,'Daftar Koreksi'!$G$5:$G$92,"Kontruksi Dalam Pengerjaan",'Daftar Koreksi'!$H$5:$H$92,"&gt;0")</f>
        <v>0</v>
      </c>
      <c r="F541" s="25">
        <f>SUMIFS('Daftar Koreksi'!$H$5:$H$92,'Daftar Koreksi'!$D$5:$D$92,'0200'!A532,'Daftar Koreksi'!$G$5:$G$92,"Kontruksi Dalam Pengerjaan",'Daftar Koreksi'!$H$5:$H$92,"&lt;0")-SUMIFS('Daftar Koreksi'!$H$5:$H$92,'Daftar Koreksi'!$D$5:$D$92,'0200'!A532,'Daftar Koreksi'!$G$5:$G$92,"Kontruksi Dalam Pengerjaan",'Daftar Koreksi'!$H$5:$H$92,"&lt;0")-SUMIFS('Daftar Koreksi'!$H$5:$H$92,'Daftar Koreksi'!$D$5:$D$92,'0200'!A532,'Daftar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70800000</v>
      </c>
      <c r="E542" s="25">
        <f>SUMIFS('Daftar Koreksi'!$H$5:$H$92,'Daftar Koreksi'!$D$5:$D$92,'0200'!A532,'Daftar Koreksi'!$G$5:$G$92,"Aset Tak Berwujud",'Daftar Koreksi'!$H$5:$H$92,"&gt;0")</f>
        <v>0</v>
      </c>
      <c r="F542" s="25">
        <f>SUMIFS('Daftar Koreksi'!$H$5:$H$92,'Daftar Koreksi'!$D$5:$D$92,'0200'!A532,'Daftar Koreksi'!$G$5:$G$92,"Aset Tak Berwujud",'Daftar Koreksi'!$H$5:$H$92,"&lt;0")-SUMIFS('Daftar Koreksi'!$H$5:$H$92,'Daftar Koreksi'!$D$5:$D$92,'0200'!A532,'Daftar Koreksi'!$G$5:$G$92,"Aset Tak Berwujud",'Daftar Koreksi'!$H$5:$H$92,"&lt;0")-SUMIFS('Daftar Koreksi'!$H$5:$H$92,'Daftar Koreksi'!$D$5:$D$92,'0200'!A532,'Daftar Koreksi'!$G$5:$G$92,"Aset Tak Berwujud",'Daftar Koreksi'!$H$5:$H$92,"&lt;0")</f>
        <v>0</v>
      </c>
      <c r="G542" s="17">
        <f t="shared" si="24"/>
        <v>70800000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97017750</v>
      </c>
      <c r="E543" s="25">
        <f>SUMIFS('Daftar Koreksi'!$H$5:$H$92,'Daftar Koreksi'!$D$5:$D$92,'0200'!A532,'Daftar Koreksi'!$G$5:$G$92,"Aset Henti Guna",'Daftar Koreksi'!$H$5:$H$92,"&gt;0")</f>
        <v>0</v>
      </c>
      <c r="F543" s="25">
        <f>SUMIFS('Daftar Koreksi'!$H$5:$H$92,'Daftar Koreksi'!$D$5:$D$92,'0200'!A532,'Daftar Koreksi'!$G$5:$G$92,"Aset Henti Guna",'Daftar Koreksi'!$H$5:$H$92,"&lt;0")-SUMIFS('Daftar Koreksi'!$H$5:$H$92,'Daftar Koreksi'!$D$5:$D$92,'0200'!A532,'Daftar Koreksi'!$G$5:$G$92,"Aset Henti Guna",'Daftar Koreksi'!$H$5:$H$92,"&lt;0")-SUMIFS('Daftar Koreksi'!$H$5:$H$92,'Daftar Koreksi'!$D$5:$D$92,'0200'!A532,'Daftar Koreksi'!$G$5:$G$92,"Aset Henti Guna",'Daftar Koreksi'!$H$5:$H$92,"&lt;0")</f>
        <v>0</v>
      </c>
      <c r="G543" s="17">
        <f t="shared" si="24"/>
        <v>97017750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9813562167</v>
      </c>
      <c r="E544" s="19">
        <f>SUM(E535:E543)</f>
        <v>0</v>
      </c>
      <c r="F544" s="19">
        <f>SUM(F535:F543)</f>
        <v>0</v>
      </c>
      <c r="G544" s="19">
        <f t="shared" si="24"/>
        <v>9813562167</v>
      </c>
      <c r="H544" s="122"/>
    </row>
    <row r="545" spans="1:10" ht="21.95" customHeight="1">
      <c r="A545" s="14"/>
      <c r="B545" s="14"/>
      <c r="C545" s="16" t="s">
        <v>2087</v>
      </c>
      <c r="D545" s="17">
        <f>VLOOKUP(A532,'Neraca Unaudited SIMAK'!$A$2:$S$10004,13,FALSE)</f>
        <v>-1831401868</v>
      </c>
      <c r="E545" s="25">
        <f>SUMIFS('Daftar Koreksi'!$I$5:$I$92,'Daftar Koreksi'!$D$5:$D$92,'0200'!A532,'Daftar Koreksi'!$G$5:$G$92,"Peralatan dan mesin",'Daftar Koreksi'!$I$5:$I$92,"&gt;0")</f>
        <v>0</v>
      </c>
      <c r="F545" s="25">
        <f>SUMIFS('Daftar Koreksi'!$I$5:$I$92,'Daftar Koreksi'!$D$5:$D$92,'0200'!A532,'Daftar Koreksi'!$G$5:$G$92,"Peralatan dan mesin",'Daftar Koreksi'!$I$5:$I$92,"&lt;0")-SUMIFS('Daftar Koreksi'!$I$5:$I$92,'Daftar Koreksi'!$D$5:$D$92,'0200'!A532,'Daftar Koreksi'!$G$5:$G$92,"Peralatan dan mesin",'Daftar Koreksi'!$I$5:$I$92,"&lt;0")-SUMIFS('Daftar Koreksi'!$I$5:$I$92,'Daftar Koreksi'!$D$5:$D$92,'0200'!A532,'Daftar Koreksi'!$G$5:$G$92,"Peralatan dan mesin",'Daftar Koreksi'!$I$5:$I$92,"&lt;0")</f>
        <v>0</v>
      </c>
      <c r="G545" s="17">
        <f t="shared" si="24"/>
        <v>-1831401868</v>
      </c>
      <c r="H545" s="122"/>
    </row>
    <row r="546" spans="1:10" ht="21.95" customHeight="1">
      <c r="A546" s="14"/>
      <c r="B546" s="14"/>
      <c r="C546" s="16" t="s">
        <v>2088</v>
      </c>
      <c r="D546" s="17">
        <f>VLOOKUP(A532,'Neraca Unaudited SIMAK'!$A$2:$S$10004,14,FALSE)</f>
        <v>-1658467301</v>
      </c>
      <c r="E546" s="25">
        <f>SUMIFS('Daftar Koreksi'!$I$5:$I$92,'Daftar Koreksi'!$D$5:$D$92,'0200'!A532,'Daftar Koreksi'!$G$5:$G$92,"Gedung dan Bangunan",'Daftar Koreksi'!$I$5:$I$92,"&gt;0")</f>
        <v>0</v>
      </c>
      <c r="F546" s="25">
        <f>SUMIFS('Daftar Koreksi'!$I$5:$I$92,'Daftar Koreksi'!$D$5:$D$92,'0200'!A532,'Daftar Koreksi'!$G$5:$G$92,"Gedung dan Bangunan",'Daftar Koreksi'!$I$5:$I$92,"&lt;0")-SUMIFS('Daftar Koreksi'!$I$5:$I$92,'Daftar Koreksi'!$D$5:$D$92,'0200'!A532,'Daftar Koreksi'!$G$5:$G$92,"Gedung dan Bangunan",'Daftar Koreksi'!$I$5:$I$92,"&lt;0")-SUMIFS('Daftar Koreksi'!$I$5:$I$92,'Daftar Koreksi'!$D$5:$D$92,'0200'!A532,'Daftar Koreksi'!$G$5:$G$92,"Gedung dan Bangunan",'Daftar Koreksi'!$I$5:$I$92,"&lt;0")</f>
        <v>0</v>
      </c>
      <c r="G546" s="17">
        <f t="shared" si="24"/>
        <v>-1658467301</v>
      </c>
      <c r="H546" s="122"/>
    </row>
    <row r="547" spans="1:10" ht="21.95" customHeight="1">
      <c r="A547" s="14"/>
      <c r="B547" s="14"/>
      <c r="C547" s="16" t="s">
        <v>2089</v>
      </c>
      <c r="D547" s="17">
        <f>VLOOKUP(A532,'Neraca Unaudited SIMAK'!$A$2:$S$10004,15,FALSE)</f>
        <v>-2488331</v>
      </c>
      <c r="E547" s="25">
        <f>SUMIFS('Daftar Koreksi'!$I$5:$I$92,'Daftar Koreksi'!$D$5:$D$92,'0200'!A532,'Daftar Koreksi'!$G$5:$G$92,"Jalan Irigasi Jaringan",'Daftar Koreksi'!$I$5:$I$92,"&gt;0")</f>
        <v>0</v>
      </c>
      <c r="F547" s="25">
        <f>SUMIFS('Daftar Koreksi'!$I$5:$I$92,'Daftar Koreksi'!$D$5:$D$92,'0200'!A532,'Daftar Koreksi'!$G$5:$G$92,"Jalan Irigasi Jaringan",'Daftar Koreksi'!$I$5:$I$92,"&lt;0")-SUMIFS('Daftar Koreksi'!$I$5:$I$92,'Daftar Koreksi'!$D$5:$D$92,'0200'!A532,'Daftar Koreksi'!$G$5:$G$92,"Jalan Irigasi Jaringan",'Daftar Koreksi'!$I$5:$I$92,"&lt;0")-SUMIFS('Daftar Koreksi'!$I$5:$I$92,'Daftar Koreksi'!$D$5:$D$92,'0200'!A532,'Daftar Koreksi'!$G$5:$G$92,"Jalan Irigasi Jaringan",'Daftar Koreksi'!$I$5:$I$92,"&lt;0")</f>
        <v>0</v>
      </c>
      <c r="G547" s="17">
        <f t="shared" si="24"/>
        <v>-2488331</v>
      </c>
      <c r="H547" s="122"/>
    </row>
    <row r="548" spans="1:10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Koreksi'!$D$5:$D$92,'0200'!A532,'Daftar Koreksi'!$G$5:$G$92,"Aset Tetap Lainnya",'Daftar Koreksi'!$I$5:$I$92,"&gt;0")</f>
        <v>0</v>
      </c>
      <c r="F548" s="25">
        <f>SUMIFS('Daftar Koreksi'!$I$5:$I$92,'Daftar Koreksi'!$D$5:$D$92,'0200'!A532,'Daftar Koreksi'!$G$5:$G$92,"Aset Tetap Lainnya",'Daftar Koreksi'!$I$5:$I$92,"&lt;0")-SUMIFS('Daftar Koreksi'!$I$5:$I$92,'Daftar Koreksi'!$D$5:$D$92,'0200'!A532,'Daftar Koreksi'!$G$5:$G$92,"Aset Tetap Lainnya",'Daftar Koreksi'!$I$5:$I$92,"&lt;0")-SUMIFS('Daftar Koreksi'!$I$5:$I$92,'Daftar Koreksi'!$D$5:$D$92,'0200'!A532,'Daftar Koreksi'!$G$5:$G$92,"Aset Tetap Lainnya",'Daftar Koreksi'!$I$5:$I$92,"&lt;0")</f>
        <v>0</v>
      </c>
      <c r="G548" s="17">
        <f t="shared" si="24"/>
        <v>0</v>
      </c>
      <c r="H548" s="122"/>
    </row>
    <row r="549" spans="1:10" ht="21.95" customHeight="1">
      <c r="A549" s="14"/>
      <c r="B549" s="14"/>
      <c r="C549" s="16" t="s">
        <v>2020</v>
      </c>
      <c r="D549" s="17">
        <f>VLOOKUP(A532,'Neraca Unaudited SIMAK'!$A$2:$S$10004,17,FALSE)</f>
        <v>-95967375</v>
      </c>
      <c r="E549" s="25">
        <f>SUMIFS('Daftar Koreksi'!$I$5:$I$92,'Daftar Koreksi'!$D$5:$D$92,'0200'!A532,'Daftar Koreksi'!$G$5:$G$92,"Aset Henti Guna",'Daftar Koreksi'!$I$5:$I$92,"&gt;0")</f>
        <v>0</v>
      </c>
      <c r="F549" s="25">
        <f>SUMIFS('Daftar Koreksi'!$I$5:$I$92,'Daftar Koreksi'!$D$5:$D$92,'0200'!A532,'Daftar Koreksi'!$G$5:$G$92,"Aset Henti Guna",'Daftar Koreksi'!$I$5:$I$92,"&lt;0")-SUMIFS('Daftar Koreksi'!$I$5:$I$92,'Daftar Koreksi'!$D$5:$D$92,'0200'!A532,'Daftar Koreksi'!$G$5:$G$92,"Aset Henti Guna",'Daftar Koreksi'!$I$5:$I$92,"&lt;0")-SUMIFS('Daftar Koreksi'!$I$5:$I$92,'Daftar Koreksi'!$D$5:$D$92,'0200'!A532,'Daftar Koreksi'!$G$5:$G$92,"Aset Henti Guna",'Daftar Koreksi'!$I$5:$I$92,"&lt;0")</f>
        <v>0</v>
      </c>
      <c r="G549" s="17">
        <f t="shared" si="24"/>
        <v>-95967375</v>
      </c>
      <c r="H549" s="122"/>
    </row>
    <row r="550" spans="1:10" ht="21.95" customHeight="1">
      <c r="A550" s="14"/>
      <c r="B550" s="14"/>
      <c r="C550" s="18" t="s">
        <v>2094</v>
      </c>
      <c r="D550" s="19">
        <f>SUM(D545:D549)</f>
        <v>-3588324875</v>
      </c>
      <c r="E550" s="19">
        <f>SUM(E545:E549)</f>
        <v>0</v>
      </c>
      <c r="F550" s="19">
        <f>SUM(F545:F549)</f>
        <v>0</v>
      </c>
      <c r="G550" s="19">
        <f t="shared" si="24"/>
        <v>-3588324875</v>
      </c>
      <c r="H550" s="122"/>
    </row>
    <row r="551" spans="1:10" ht="21.95" customHeight="1">
      <c r="A551" s="14"/>
      <c r="B551" s="14"/>
      <c r="C551" s="18" t="s">
        <v>2095</v>
      </c>
      <c r="D551" s="19">
        <f>VLOOKUP(A532,'Neraca Unaudited SIMAK'!$A$2:$S$10004,18,FALSE)</f>
        <v>6225237292</v>
      </c>
      <c r="E551" s="19">
        <f>E550+E544</f>
        <v>0</v>
      </c>
      <c r="F551" s="19">
        <f>F550+F544</f>
        <v>0</v>
      </c>
      <c r="G551" s="19">
        <f t="shared" si="24"/>
        <v>6225237292</v>
      </c>
      <c r="H551" s="122"/>
    </row>
    <row r="552" spans="1:10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10" ht="19.5" customHeight="1">
      <c r="A554" s="11" t="str">
        <f>O26</f>
        <v>005010200400704000KD</v>
      </c>
      <c r="B554" s="11" t="str">
        <f>P26</f>
        <v>PA. Tasikmalaya</v>
      </c>
      <c r="C554" s="12" t="str">
        <f>A554&amp;" "&amp;B554</f>
        <v>005010200400704000KD PA. Tasikmalaya</v>
      </c>
      <c r="D554" s="13"/>
      <c r="E554" s="13"/>
      <c r="F554" s="13"/>
      <c r="G554" s="13"/>
      <c r="H554" s="11"/>
    </row>
    <row r="555" spans="1:10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10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10" ht="21.95" customHeight="1">
      <c r="A557" s="14"/>
      <c r="B557" s="14"/>
      <c r="C557" s="16" t="s">
        <v>1165</v>
      </c>
      <c r="D557" s="17">
        <f>VLOOKUP(A554,'Neraca Unaudited SIMAK'!$A$2:$S$10004,3,FALSE)</f>
        <v>151000</v>
      </c>
      <c r="E557" s="25">
        <f>SUMIFS('Daftar Koreksi'!$H$5:$H$92,'Daftar Koreksi'!$D$5:$D$92,'0200'!A554,'Daftar Koreksi'!$G$5:$G$92,"Persediaan",'Daftar Koreksi'!$H$5:$H$92,"&gt;0")</f>
        <v>0</v>
      </c>
      <c r="F557" s="25">
        <f>SUMIFS('Daftar Koreksi'!$H$5:$H$92,'Daftar Koreksi'!$D$5:$D$92,'0200'!A554,'Daftar Koreksi'!$G$5:$G$92,"Persediaan",'Daftar Koreksi'!$H$5:$H$92,"&lt;0")-SUMIFS('Daftar Koreksi'!$H$5:$H$92,'Daftar Koreksi'!$D$5:$D$92,'0200'!A554,'Daftar Koreksi'!$G$5:$G$92,"Persediaan",'Daftar Koreksi'!$H$5:$H$92,"&lt;0")-SUMIFS('Daftar Koreksi'!$H$5:$H$92,'Daftar Koreksi'!$D$5:$D$92,'0200'!A554,'Daftar Koreksi'!$G$5:$G$92,"Persediaan",'Daftar Koreksi'!$H$5:$H$92,"&lt;0")</f>
        <v>0</v>
      </c>
      <c r="G557" s="17">
        <f>D557+E557-F557</f>
        <v>151000</v>
      </c>
      <c r="H557" s="121" t="str">
        <f>IF(ISNA(VLOOKUP(A554,'Mutasi Neraca'!$A$3:$S$914,19,FALSE)),"-",VLOOKUP(A554,'Mutasi Neraca'!$A$3:$S$914,19,FALSE))</f>
        <v>TP. No 2, TP Koreksi Hibah No. 20</v>
      </c>
      <c r="I557" s="28"/>
      <c r="J557" s="28"/>
    </row>
    <row r="558" spans="1:10" ht="21.95" customHeight="1">
      <c r="A558" s="14"/>
      <c r="B558" s="14"/>
      <c r="C558" s="16" t="s">
        <v>1166</v>
      </c>
      <c r="D558" s="17">
        <f>VLOOKUP(A554,'Neraca Unaudited SIMAK'!$A$2:$S$10004,4,FALSE)</f>
        <v>273262000</v>
      </c>
      <c r="E558" s="25">
        <f>SUMIFS('Daftar Koreksi'!$H$5:$H$92,'Daftar Koreksi'!$D$5:$D$92,'0200'!A554,'Daftar Koreksi'!$G$5:$G$92,"Tanah",'Daftar Koreksi'!$H$5:$H$92,"&gt;0")</f>
        <v>705600000</v>
      </c>
      <c r="F558" s="25">
        <f>SUMIFS('Daftar Koreksi'!$H$5:$H$92,'Daftar Koreksi'!$D$5:$D$92,'0200'!A554,'Daftar Koreksi'!$G$5:$G$92,"Tanah",'Daftar Koreksi'!$H$5:$H$92,"&lt;0")-SUMIFS('Daftar Koreksi'!$H$5:$H$92,'Daftar Koreksi'!$D$5:$D$92,'0200'!A554,'Daftar Koreksi'!$G$5:$G$92,"Tanah",'Daftar Koreksi'!$H$5:$H$92,"&lt;0")-SUMIFS('Daftar Koreksi'!$H$5:$H$92,'Daftar Koreksi'!$D$5:$D$92,'0200'!A554,'Daftar Koreksi'!$G$5:$G$92,"Tanah",'Daftar Koreksi'!$H$5:$H$92,"&lt;0")</f>
        <v>0</v>
      </c>
      <c r="G558" s="17">
        <f t="shared" ref="G558:G574" si="25">D558+E558-F558</f>
        <v>978862000</v>
      </c>
      <c r="H558" s="122"/>
      <c r="I558" s="28"/>
      <c r="J558" s="28"/>
    </row>
    <row r="559" spans="1:10" ht="21.95" customHeight="1">
      <c r="A559" s="14"/>
      <c r="B559" s="14"/>
      <c r="C559" s="16" t="s">
        <v>1167</v>
      </c>
      <c r="D559" s="17">
        <f>VLOOKUP(A554,'Neraca Unaudited SIMAK'!$A$2:$S$10004,5,FALSE)</f>
        <v>2482855884</v>
      </c>
      <c r="E559" s="25">
        <f>SUMIFS('Daftar Koreksi'!$H$5:$H$92,'Daftar Koreksi'!$D$5:$D$92,'0200'!A554,'Daftar Koreksi'!$G$5:$G$92,"Peralatan dan mesin",'Daftar Koreksi'!$H$5:$H$92,"&gt;0")</f>
        <v>263600000</v>
      </c>
      <c r="F559" s="25">
        <f>SUMIFS('Daftar Koreksi'!$H$5:$H$92,'Daftar Koreksi'!$D$5:$D$92,'0200'!A554,'Daftar Koreksi'!$G$5:$G$92,"Peralatan dan mesin",'Daftar Koreksi'!$H$5:$H$92,"&lt;0")-SUMIFS('Daftar Koreksi'!$H$5:$H$92,'Daftar Koreksi'!$D$5:$D$92,'0200'!A554,'Daftar Koreksi'!$G$5:$G$92,"Peralatan dan mesin",'Daftar Koreksi'!$H$5:$H$92,"&lt;0")-SUMIFS('Daftar Koreksi'!$H$5:$H$92,'Daftar Koreksi'!$D$5:$D$92,'0200'!A554,'Daftar Koreksi'!$G$5:$G$92,"Peralatan dan mesin",'Daftar Koreksi'!$H$5:$H$92,"&lt;0")</f>
        <v>0</v>
      </c>
      <c r="G559" s="17">
        <f t="shared" si="25"/>
        <v>2746455884</v>
      </c>
      <c r="H559" s="122"/>
      <c r="I559" s="28"/>
      <c r="J559" s="28"/>
    </row>
    <row r="560" spans="1:10" ht="21.95" customHeight="1">
      <c r="A560" s="14"/>
      <c r="B560" s="14"/>
      <c r="C560" s="16" t="s">
        <v>1168</v>
      </c>
      <c r="D560" s="17">
        <f>VLOOKUP(A554,'Neraca Unaudited SIMAK'!$A$2:$S$10004,6,FALSE)</f>
        <v>8315442770</v>
      </c>
      <c r="E560" s="25">
        <f>SUMIFS('Daftar Koreksi'!$H$5:$H$92,'Daftar Koreksi'!$D$5:$D$92,'0200'!A554,'Daftar Koreksi'!$G$5:$G$92,"Gedung dan Bangunan",'Daftar Koreksi'!$H$5:$H$92,"&gt;0")</f>
        <v>0</v>
      </c>
      <c r="F560" s="25">
        <f>SUMIFS('Daftar Koreksi'!$H$5:$H$92,'Daftar Koreksi'!$D$5:$D$92,'0200'!A554,'Daftar Koreksi'!$G$5:$G$92,"Gedung dan Bangunan",'Daftar Koreksi'!$H$5:$H$92,"&lt;0")-SUMIFS('Daftar Koreksi'!$H$5:$H$92,'Daftar Koreksi'!$D$5:$D$92,'0200'!A554,'Daftar Koreksi'!$G$5:$G$92,"Gedung dan Bangunan",'Daftar Koreksi'!$H$5:$H$92,"&lt;0")-SUMIFS('Daftar Koreksi'!$H$5:$H$92,'Daftar Koreksi'!$D$5:$D$92,'0200'!A554,'Daftar Koreksi'!$G$5:$G$92,"Gedung dan Bangunan",'Daftar Koreksi'!$H$5:$H$92,"&lt;0")</f>
        <v>0</v>
      </c>
      <c r="G560" s="17">
        <f t="shared" si="25"/>
        <v>8315442770</v>
      </c>
      <c r="H560" s="122"/>
      <c r="I560" s="28"/>
      <c r="J560" s="28"/>
    </row>
    <row r="561" spans="1:10" ht="21.95" customHeight="1">
      <c r="A561" s="14"/>
      <c r="B561" s="14"/>
      <c r="C561" s="16" t="s">
        <v>1169</v>
      </c>
      <c r="D561" s="17">
        <f>VLOOKUP(A554,'Neraca Unaudited SIMAK'!$A$2:$S$10004,7,FALSE)</f>
        <v>0</v>
      </c>
      <c r="E561" s="25">
        <f>SUMIFS('Daftar Koreksi'!$H$5:$H$92,'Daftar Koreksi'!$D$5:$D$92,'0200'!A554,'Daftar Koreksi'!$G$5:$G$92,"Jalan Irigasi Jaringan",'Daftar Koreksi'!$H$5:$H$92,"&gt;0")</f>
        <v>0</v>
      </c>
      <c r="F561" s="25">
        <f>SUMIFS('Daftar Koreksi'!$H$5:$H$92,'Daftar Koreksi'!$D$5:$D$92,'0200'!A554,'Daftar Koreksi'!$G$5:$G$92,"Jalan Irigasi Jaringan",'Daftar Koreksi'!$H$5:$H$92,"&lt;0")-SUMIFS('Daftar Koreksi'!$H$5:$H$92,'Daftar Koreksi'!$D$5:$D$92,'0200'!A554,'Daftar Koreksi'!$G$5:$G$92,"Jalan Irigasi Jaringan",'Daftar Koreksi'!$H$5:$H$92,"&lt;0")-SUMIFS('Daftar Koreksi'!$H$5:$H$92,'Daftar Koreksi'!$D$5:$D$92,'0200'!A554,'Daftar Koreksi'!$G$5:$G$92,"Jalan Irigasi Jaringan",'Daftar Koreksi'!$H$5:$H$92,"&lt;0")</f>
        <v>0</v>
      </c>
      <c r="G561" s="17">
        <f t="shared" si="25"/>
        <v>0</v>
      </c>
      <c r="H561" s="122"/>
      <c r="I561" s="28"/>
      <c r="J561" s="28"/>
    </row>
    <row r="562" spans="1:10" ht="21.95" customHeight="1">
      <c r="A562" s="14"/>
      <c r="B562" s="14"/>
      <c r="C562" s="16" t="s">
        <v>1170</v>
      </c>
      <c r="D562" s="17">
        <f>VLOOKUP(A554,'Neraca Unaudited SIMAK'!$A$2:$S$10004,8,FALSE)</f>
        <v>59508351</v>
      </c>
      <c r="E562" s="25">
        <f>SUMIFS('Daftar Koreksi'!$H$5:$H$92,'Daftar Koreksi'!$D$5:$D$92,'0200'!A554,'Daftar Koreksi'!$G$5:$G$92,"Aset Tetap Lainnya",'Daftar Koreksi'!$H$5:$H$92,"&gt;0")</f>
        <v>0</v>
      </c>
      <c r="F562" s="25">
        <f>SUMIFS('Daftar Koreksi'!$H$5:$H$92,'Daftar Koreksi'!$D$5:$D$92,'0200'!A554,'Daftar Koreksi'!$G$5:$G$92,"Aset Tetap Lainnya",'Daftar Koreksi'!$H$5:$H$92,"&lt;0")-SUMIFS('Daftar Koreksi'!$H$5:$H$92,'Daftar Koreksi'!$D$5:$D$92,'0200'!A554,'Daftar Koreksi'!$G$5:$G$92,"Aset Tetap Lainnya",'Daftar Koreksi'!$H$5:$H$92,"&lt;0")-SUMIFS('Daftar Koreksi'!$H$5:$H$92,'Daftar Koreksi'!$D$5:$D$92,'0200'!A554,'Daftar Koreksi'!$G$5:$G$92,"Aset Tetap Lainnya",'Daftar Koreksi'!$H$5:$H$92,"&lt;0")</f>
        <v>0</v>
      </c>
      <c r="G562" s="17">
        <f t="shared" si="25"/>
        <v>59508351</v>
      </c>
      <c r="H562" s="122"/>
      <c r="I562" s="28"/>
      <c r="J562" s="28"/>
    </row>
    <row r="563" spans="1:10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Koreksi'!$D$5:$D$92,'0200'!A554,'Daftar Koreksi'!$G$5:$G$92,"Kontruksi Dalam Pengerjaan",'Daftar Koreksi'!$H$5:$H$92,"&gt;0")</f>
        <v>0</v>
      </c>
      <c r="F563" s="25">
        <f>SUMIFS('Daftar Koreksi'!$H$5:$H$92,'Daftar Koreksi'!$D$5:$D$92,'0200'!A554,'Daftar Koreksi'!$G$5:$G$92,"Kontruksi Dalam Pengerjaan",'Daftar Koreksi'!$H$5:$H$92,"&lt;0")-SUMIFS('Daftar Koreksi'!$H$5:$H$92,'Daftar Koreksi'!$D$5:$D$92,'0200'!A554,'Daftar Koreksi'!$G$5:$G$92,"Kontruksi Dalam Pengerjaan",'Daftar Koreksi'!$H$5:$H$92,"&lt;0")-SUMIFS('Daftar Koreksi'!$H$5:$H$92,'Daftar Koreksi'!$D$5:$D$92,'0200'!A554,'Daftar Koreksi'!$G$5:$G$92,"Kontruksi Dalam Pengerjaan",'Daftar Koreksi'!$H$5:$H$92,"&lt;0")</f>
        <v>0</v>
      </c>
      <c r="G563" s="17">
        <f t="shared" si="25"/>
        <v>0</v>
      </c>
      <c r="H563" s="122"/>
      <c r="I563" s="28"/>
      <c r="J563" s="28"/>
    </row>
    <row r="564" spans="1:10" ht="21.95" customHeight="1">
      <c r="A564" s="14"/>
      <c r="B564" s="14"/>
      <c r="C564" s="16" t="s">
        <v>1172</v>
      </c>
      <c r="D564" s="17">
        <f>VLOOKUP(A554,'Neraca Unaudited SIMAK'!$A$2:$S$10004,10,FALSE)</f>
        <v>7000000</v>
      </c>
      <c r="E564" s="25">
        <f>SUMIFS('Daftar Koreksi'!$H$5:$H$92,'Daftar Koreksi'!$D$5:$D$92,'0200'!A554,'Daftar Koreksi'!$G$5:$G$92,"Aset Tak Berwujud",'Daftar Koreksi'!$H$5:$H$92,"&gt;0")</f>
        <v>0</v>
      </c>
      <c r="F564" s="25">
        <f>SUMIFS('Daftar Koreksi'!$H$5:$H$92,'Daftar Koreksi'!$D$5:$D$92,'0200'!A554,'Daftar Koreksi'!$G$5:$G$92,"Aset Tak Berwujud",'Daftar Koreksi'!$H$5:$H$92,"&lt;0")-SUMIFS('Daftar Koreksi'!$H$5:$H$92,'Daftar Koreksi'!$D$5:$D$92,'0200'!A554,'Daftar Koreksi'!$G$5:$G$92,"Aset Tak Berwujud",'Daftar Koreksi'!$H$5:$H$92,"&lt;0")-SUMIFS('Daftar Koreksi'!$H$5:$H$92,'Daftar Koreksi'!$D$5:$D$92,'0200'!A554,'Daftar Koreksi'!$G$5:$G$92,"Aset Tak Berwujud",'Daftar Koreksi'!$H$5:$H$92,"&lt;0")</f>
        <v>0</v>
      </c>
      <c r="G564" s="17">
        <f t="shared" si="25"/>
        <v>7000000</v>
      </c>
      <c r="H564" s="122"/>
      <c r="I564" s="28"/>
      <c r="J564" s="28"/>
    </row>
    <row r="565" spans="1:10" ht="21.95" customHeight="1">
      <c r="A565" s="14"/>
      <c r="B565" s="14"/>
      <c r="C565" s="16" t="s">
        <v>1173</v>
      </c>
      <c r="D565" s="17">
        <f>VLOOKUP(A554,'Neraca Unaudited SIMAK'!$A$2:$S$10004,11,FALSE)</f>
        <v>36418250</v>
      </c>
      <c r="E565" s="25">
        <f>SUMIFS('Daftar Koreksi'!$H$5:$H$92,'Daftar Koreksi'!$D$5:$D$92,'0200'!A554,'Daftar Koreksi'!$G$5:$G$92,"Aset Henti Guna",'Daftar Koreksi'!$H$5:$H$92,"&gt;0")</f>
        <v>0</v>
      </c>
      <c r="F565" s="25">
        <f>SUMIFS('Daftar Koreksi'!$H$5:$H$92,'Daftar Koreksi'!$D$5:$D$92,'0200'!A554,'Daftar Koreksi'!$G$5:$G$92,"Aset Henti Guna",'Daftar Koreksi'!$H$5:$H$92,"&lt;0")-SUMIFS('Daftar Koreksi'!$H$5:$H$92,'Daftar Koreksi'!$D$5:$D$92,'0200'!A554,'Daftar Koreksi'!$G$5:$G$92,"Aset Henti Guna",'Daftar Koreksi'!$H$5:$H$92,"&lt;0")-SUMIFS('Daftar Koreksi'!$H$5:$H$92,'Daftar Koreksi'!$D$5:$D$92,'0200'!A554,'Daftar Koreksi'!$G$5:$G$92,"Aset Henti Guna",'Daftar Koreksi'!$H$5:$H$92,"&lt;0")</f>
        <v>0</v>
      </c>
      <c r="G565" s="17">
        <f t="shared" si="25"/>
        <v>36418250</v>
      </c>
      <c r="H565" s="122"/>
      <c r="I565" s="28"/>
      <c r="J565" s="28"/>
    </row>
    <row r="566" spans="1:10" ht="21.95" customHeight="1">
      <c r="A566" s="14"/>
      <c r="B566" s="14"/>
      <c r="C566" s="18" t="s">
        <v>2093</v>
      </c>
      <c r="D566" s="19">
        <f>VLOOKUP(A554,'Neraca Unaudited SIMAK'!$A$2:$S$10004,12,FALSE)</f>
        <v>11174638255</v>
      </c>
      <c r="E566" s="19">
        <f>SUM(E557:E565)</f>
        <v>969200000</v>
      </c>
      <c r="F566" s="19">
        <f>SUM(F557:F565)</f>
        <v>0</v>
      </c>
      <c r="G566" s="19">
        <f t="shared" si="25"/>
        <v>12143838255</v>
      </c>
      <c r="H566" s="122"/>
      <c r="I566" s="28"/>
      <c r="J566" s="28"/>
    </row>
    <row r="567" spans="1:10" ht="21.95" customHeight="1">
      <c r="A567" s="14"/>
      <c r="B567" s="14"/>
      <c r="C567" s="16" t="s">
        <v>2087</v>
      </c>
      <c r="D567" s="17">
        <f>VLOOKUP(A554,'Neraca Unaudited SIMAK'!$A$2:$S$10004,13,FALSE)</f>
        <v>-2106316258</v>
      </c>
      <c r="E567" s="25">
        <f>SUMIFS('Daftar Koreksi'!$I$5:$I$92,'Daftar Koreksi'!$D$5:$D$92,'0200'!A554,'Daftar Koreksi'!$G$5:$G$92,"Peralatan dan mesin",'Daftar Koreksi'!$I$5:$I$92,"&gt;0")</f>
        <v>0</v>
      </c>
      <c r="F567" s="25">
        <f>SUMIFS('Daftar Koreksi'!$I$5:$I$92,'Daftar Koreksi'!$D$5:$D$92,'0200'!A554,'Daftar Koreksi'!$G$5:$G$92,"Peralatan dan mesin",'Daftar Koreksi'!$I$5:$I$92,"&lt;0")-SUMIFS('Daftar Koreksi'!$I$5:$I$92,'Daftar Koreksi'!$D$5:$D$92,'0200'!A554,'Daftar Koreksi'!$G$5:$G$92,"Peralatan dan mesin",'Daftar Koreksi'!$I$5:$I$92,"&lt;0")-SUMIFS('Daftar Koreksi'!$I$5:$I$92,'Daftar Koreksi'!$D$5:$D$92,'0200'!A554,'Daftar Koreksi'!$G$5:$G$92,"Peralatan dan mesin",'Daftar Koreksi'!$I$5:$I$92,"&lt;0")</f>
        <v>263600000</v>
      </c>
      <c r="G567" s="17">
        <f t="shared" si="25"/>
        <v>-2369916258</v>
      </c>
      <c r="H567" s="122"/>
      <c r="I567" s="28"/>
      <c r="J567" s="28"/>
    </row>
    <row r="568" spans="1:10" ht="21.95" customHeight="1">
      <c r="A568" s="14"/>
      <c r="B568" s="14"/>
      <c r="C568" s="16" t="s">
        <v>2088</v>
      </c>
      <c r="D568" s="17">
        <f>VLOOKUP(A554,'Neraca Unaudited SIMAK'!$A$2:$S$10004,14,FALSE)</f>
        <v>-1106442091</v>
      </c>
      <c r="E568" s="25">
        <f>SUMIFS('Daftar Koreksi'!$I$5:$I$92,'Daftar Koreksi'!$D$5:$D$92,'0200'!A554,'Daftar Koreksi'!$G$5:$G$92,"Gedung dan Bangunan",'Daftar Koreksi'!$I$5:$I$92,"&gt;0")</f>
        <v>0</v>
      </c>
      <c r="F568" s="25">
        <f>SUMIFS('Daftar Koreksi'!$I$5:$I$92,'Daftar Koreksi'!$D$5:$D$92,'0200'!A554,'Daftar Koreksi'!$G$5:$G$92,"Gedung dan Bangunan",'Daftar Koreksi'!$I$5:$I$92,"&lt;0")-SUMIFS('Daftar Koreksi'!$I$5:$I$92,'Daftar Koreksi'!$D$5:$D$92,'0200'!A554,'Daftar Koreksi'!$G$5:$G$92,"Gedung dan Bangunan",'Daftar Koreksi'!$I$5:$I$92,"&lt;0")-SUMIFS('Daftar Koreksi'!$I$5:$I$92,'Daftar Koreksi'!$D$5:$D$92,'0200'!A554,'Daftar Koreksi'!$G$5:$G$92,"Gedung dan Bangunan",'Daftar Koreksi'!$I$5:$I$92,"&lt;0")</f>
        <v>0</v>
      </c>
      <c r="G568" s="17">
        <f t="shared" si="25"/>
        <v>-1106442091</v>
      </c>
      <c r="H568" s="122"/>
      <c r="I568" s="28"/>
      <c r="J568" s="28"/>
    </row>
    <row r="569" spans="1:10" ht="21.95" customHeight="1">
      <c r="A569" s="14"/>
      <c r="B569" s="14"/>
      <c r="C569" s="16" t="s">
        <v>2089</v>
      </c>
      <c r="D569" s="17">
        <f>VLOOKUP(A554,'Neraca Unaudited SIMAK'!$A$2:$S$10004,15,FALSE)</f>
        <v>0</v>
      </c>
      <c r="E569" s="25">
        <f>SUMIFS('Daftar Koreksi'!$I$5:$I$92,'Daftar Koreksi'!$D$5:$D$92,'0200'!A554,'Daftar Koreksi'!$G$5:$G$92,"Jalan Irigasi Jaringan",'Daftar Koreksi'!$I$5:$I$92,"&gt;0")</f>
        <v>0</v>
      </c>
      <c r="F569" s="25">
        <f>SUMIFS('Daftar Koreksi'!$I$5:$I$92,'Daftar Koreksi'!$D$5:$D$92,'0200'!A554,'Daftar Koreksi'!$G$5:$G$92,"Jalan Irigasi Jaringan",'Daftar Koreksi'!$I$5:$I$92,"&lt;0")-SUMIFS('Daftar Koreksi'!$I$5:$I$92,'Daftar Koreksi'!$D$5:$D$92,'0200'!A554,'Daftar Koreksi'!$G$5:$G$92,"Jalan Irigasi Jaringan",'Daftar Koreksi'!$I$5:$I$92,"&lt;0")-SUMIFS('Daftar Koreksi'!$I$5:$I$92,'Daftar Koreksi'!$D$5:$D$92,'0200'!A554,'Daftar Koreksi'!$G$5:$G$92,"Jalan Irigasi Jaringan",'Daftar Koreksi'!$I$5:$I$92,"&lt;0")</f>
        <v>0</v>
      </c>
      <c r="G569" s="17">
        <f t="shared" si="25"/>
        <v>0</v>
      </c>
      <c r="H569" s="122"/>
      <c r="I569" s="28"/>
      <c r="J569" s="28"/>
    </row>
    <row r="570" spans="1:10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Koreksi'!$D$5:$D$92,'0200'!A554,'Daftar Koreksi'!$G$5:$G$92,"Aset Tetap Lainnya",'Daftar Koreksi'!$I$5:$I$92,"&gt;0")</f>
        <v>0</v>
      </c>
      <c r="F570" s="25">
        <f>SUMIFS('Daftar Koreksi'!$I$5:$I$92,'Daftar Koreksi'!$D$5:$D$92,'0200'!A554,'Daftar Koreksi'!$G$5:$G$92,"Aset Tetap Lainnya",'Daftar Koreksi'!$I$5:$I$92,"&lt;0")-SUMIFS('Daftar Koreksi'!$I$5:$I$92,'Daftar Koreksi'!$D$5:$D$92,'0200'!A554,'Daftar Koreksi'!$G$5:$G$92,"Aset Tetap Lainnya",'Daftar Koreksi'!$I$5:$I$92,"&lt;0")-SUMIFS('Daftar Koreksi'!$I$5:$I$92,'Daftar Koreksi'!$D$5:$D$92,'0200'!A554,'Daftar Koreksi'!$G$5:$G$92,"Aset Tetap Lainnya",'Daftar Koreksi'!$I$5:$I$92,"&lt;0")</f>
        <v>0</v>
      </c>
      <c r="G570" s="17">
        <f t="shared" si="25"/>
        <v>0</v>
      </c>
      <c r="H570" s="122"/>
      <c r="I570" s="28"/>
      <c r="J570" s="28"/>
    </row>
    <row r="571" spans="1:10" ht="21.95" customHeight="1">
      <c r="A571" s="14"/>
      <c r="B571" s="14"/>
      <c r="C571" s="16" t="s">
        <v>2020</v>
      </c>
      <c r="D571" s="17">
        <f>VLOOKUP(A554,'Neraca Unaudited SIMAK'!$A$2:$S$10004,17,FALSE)</f>
        <v>-36418250</v>
      </c>
      <c r="E571" s="25">
        <f>SUMIFS('Daftar Koreksi'!$I$5:$I$92,'Daftar Koreksi'!$D$5:$D$92,'0200'!A554,'Daftar Koreksi'!$G$5:$G$92,"Aset Henti Guna",'Daftar Koreksi'!$I$5:$I$92,"&gt;0")</f>
        <v>0</v>
      </c>
      <c r="F571" s="25">
        <f>SUMIFS('Daftar Koreksi'!$I$5:$I$92,'Daftar Koreksi'!$D$5:$D$92,'0200'!A554,'Daftar Koreksi'!$G$5:$G$92,"Aset Henti Guna",'Daftar Koreksi'!$I$5:$I$92,"&lt;0")-SUMIFS('Daftar Koreksi'!$I$5:$I$92,'Daftar Koreksi'!$D$5:$D$92,'0200'!A554,'Daftar Koreksi'!$G$5:$G$92,"Aset Henti Guna",'Daftar Koreksi'!$I$5:$I$92,"&lt;0")-SUMIFS('Daftar Koreksi'!$I$5:$I$92,'Daftar Koreksi'!$D$5:$D$92,'0200'!A554,'Daftar Koreksi'!$G$5:$G$92,"Aset Henti Guna",'Daftar Koreksi'!$I$5:$I$92,"&lt;0")</f>
        <v>0</v>
      </c>
      <c r="G571" s="17">
        <f t="shared" si="25"/>
        <v>-36418250</v>
      </c>
      <c r="H571" s="122"/>
      <c r="I571" s="28"/>
      <c r="J571" s="28"/>
    </row>
    <row r="572" spans="1:10" ht="21.95" customHeight="1">
      <c r="A572" s="14"/>
      <c r="B572" s="14"/>
      <c r="C572" s="18" t="s">
        <v>2094</v>
      </c>
      <c r="D572" s="19">
        <f>SUM(D567:D571)</f>
        <v>-3249176599</v>
      </c>
      <c r="E572" s="19">
        <f>SUM(E567:E571)</f>
        <v>0</v>
      </c>
      <c r="F572" s="19">
        <f>SUM(F567:F571)</f>
        <v>263600000</v>
      </c>
      <c r="G572" s="19">
        <f t="shared" si="25"/>
        <v>-3512776599</v>
      </c>
      <c r="H572" s="122"/>
      <c r="I572" s="28"/>
      <c r="J572" s="28"/>
    </row>
    <row r="573" spans="1:10" ht="21.95" customHeight="1">
      <c r="A573" s="14"/>
      <c r="B573" s="14"/>
      <c r="C573" s="18" t="s">
        <v>2095</v>
      </c>
      <c r="D573" s="19">
        <f>VLOOKUP(A554,'Neraca Unaudited SIMAK'!$A$2:$S$10004,18,FALSE)</f>
        <v>7925461656</v>
      </c>
      <c r="E573" s="19">
        <f>E572+E566</f>
        <v>969200000</v>
      </c>
      <c r="F573" s="19">
        <f>F572+F566</f>
        <v>263600000</v>
      </c>
      <c r="G573" s="19">
        <f t="shared" si="25"/>
        <v>8631061656</v>
      </c>
      <c r="H573" s="122"/>
      <c r="I573" s="28"/>
      <c r="J573" s="28"/>
    </row>
    <row r="574" spans="1:10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  <c r="I574" s="28"/>
      <c r="J574" s="28"/>
    </row>
    <row r="576" spans="1:10" ht="19.5" customHeight="1">
      <c r="A576" s="11" t="str">
        <f>O27</f>
        <v>005010200400710000KD</v>
      </c>
      <c r="B576" s="11" t="str">
        <f>P27</f>
        <v>PA. Garut</v>
      </c>
      <c r="C576" s="12" t="str">
        <f>A576&amp;" "&amp;B576</f>
        <v>005010200400710000KD PA. Garut</v>
      </c>
      <c r="D576" s="13"/>
      <c r="E576" s="13"/>
      <c r="F576" s="13"/>
      <c r="G576" s="13"/>
      <c r="H576" s="11"/>
    </row>
    <row r="577" spans="1:8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8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8" ht="21.95" customHeight="1">
      <c r="A579" s="14"/>
      <c r="B579" s="14"/>
      <c r="C579" s="16" t="s">
        <v>1165</v>
      </c>
      <c r="D579" s="17">
        <f>VLOOKUP(A576,'Neraca Unaudited SIMAK'!$A$2:$S$10004,3,FALSE)</f>
        <v>7744900</v>
      </c>
      <c r="E579" s="25">
        <f>SUMIFS('Daftar Koreksi'!$H$5:$H$92,'Daftar Koreksi'!$D$5:$D$92,'0200'!A576,'Daftar Koreksi'!$G$5:$G$92,"Persediaan",'Daftar Koreksi'!$H$5:$H$92,"&gt;0")</f>
        <v>0</v>
      </c>
      <c r="F579" s="25">
        <f>SUMIFS('Daftar Koreksi'!$H$5:$H$92,'Daftar Koreksi'!$D$5:$D$92,'0200'!A576,'Daftar Koreksi'!$G$5:$G$92,"Persediaan",'Daftar Koreksi'!$H$5:$H$92,"&lt;0")-SUMIFS('Daftar Koreksi'!$H$5:$H$92,'Daftar Koreksi'!$D$5:$D$92,'0200'!A576,'Daftar Koreksi'!$G$5:$G$92,"Persediaan",'Daftar Koreksi'!$H$5:$H$92,"&lt;0")-SUMIFS('Daftar Koreksi'!$H$5:$H$92,'Daftar Koreksi'!$D$5:$D$92,'0200'!A576,'Daftar Koreksi'!$G$5:$G$92,"Persediaan",'Daftar Koreksi'!$H$5:$H$92,"&lt;0")</f>
        <v>0</v>
      </c>
      <c r="G579" s="17">
        <f>D579+E579-F579</f>
        <v>7744900</v>
      </c>
      <c r="H579" s="121" t="str">
        <f>IF(ISNA(VLOOKUP(A576,'Mutasi Neraca'!$A$3:$S$914,19,FALSE)),"-",VLOOKUP(A576,'Mutasi Neraca'!$A$3:$S$914,19,FALSE))</f>
        <v>-</v>
      </c>
    </row>
    <row r="580" spans="1:8" ht="21.95" customHeight="1">
      <c r="A580" s="14"/>
      <c r="B580" s="14"/>
      <c r="C580" s="16" t="s">
        <v>1166</v>
      </c>
      <c r="D580" s="17">
        <f>VLOOKUP(A576,'Neraca Unaudited SIMAK'!$A$2:$S$10004,4,FALSE)</f>
        <v>2582010000</v>
      </c>
      <c r="E580" s="25">
        <f>SUMIFS('Daftar Koreksi'!$H$5:$H$92,'Daftar Koreksi'!$D$5:$D$92,'0200'!A576,'Daftar Koreksi'!$G$5:$G$92,"Tanah",'Daftar Koreksi'!$H$5:$H$92,"&gt;0")</f>
        <v>0</v>
      </c>
      <c r="F580" s="25">
        <f>SUMIFS('Daftar Koreksi'!$H$5:$H$92,'Daftar Koreksi'!$D$5:$D$92,'0200'!A576,'Daftar Koreksi'!$G$5:$G$92,"Tanah",'Daftar Koreksi'!$H$5:$H$92,"&lt;0")-SUMIFS('Daftar Koreksi'!$H$5:$H$92,'Daftar Koreksi'!$D$5:$D$92,'0200'!A576,'Daftar Koreksi'!$G$5:$G$92,"Tanah",'Daftar Koreksi'!$H$5:$H$92,"&lt;0")-SUMIFS('Daftar Koreksi'!$H$5:$H$92,'Daftar Koreksi'!$D$5:$D$92,'0200'!A576,'Daftar Koreksi'!$G$5:$G$92,"Tanah",'Daftar Koreksi'!$H$5:$H$92,"&lt;0")</f>
        <v>0</v>
      </c>
      <c r="G580" s="17">
        <f t="shared" ref="G580:G596" si="26">D580+E580-F580</f>
        <v>2582010000</v>
      </c>
      <c r="H580" s="122"/>
    </row>
    <row r="581" spans="1:8" ht="21.95" customHeight="1">
      <c r="A581" s="14"/>
      <c r="B581" s="14"/>
      <c r="C581" s="16" t="s">
        <v>1167</v>
      </c>
      <c r="D581" s="17">
        <f>VLOOKUP(A576,'Neraca Unaudited SIMAK'!$A$2:$S$10004,5,FALSE)</f>
        <v>2201160573</v>
      </c>
      <c r="E581" s="25">
        <f>SUMIFS('Daftar Koreksi'!$H$5:$H$92,'Daftar Koreksi'!$D$5:$D$92,'0200'!A576,'Daftar Koreksi'!$G$5:$G$92,"Peralatan dan mesin",'Daftar Koreksi'!$H$5:$H$92,"&gt;0")</f>
        <v>0</v>
      </c>
      <c r="F581" s="25">
        <f>SUMIFS('Daftar Koreksi'!$H$5:$H$92,'Daftar Koreksi'!$D$5:$D$92,'0200'!A576,'Daftar Koreksi'!$G$5:$G$92,"Peralatan dan mesin",'Daftar Koreksi'!$H$5:$H$92,"&lt;0")-SUMIFS('Daftar Koreksi'!$H$5:$H$92,'Daftar Koreksi'!$D$5:$D$92,'0200'!A576,'Daftar Koreksi'!$G$5:$G$92,"Peralatan dan mesin",'Daftar Koreksi'!$H$5:$H$92,"&lt;0")-SUMIFS('Daftar Koreksi'!$H$5:$H$92,'Daftar Koreksi'!$D$5:$D$92,'0200'!A576,'Daftar Koreksi'!$G$5:$G$92,"Peralatan dan mesin",'Daftar Koreksi'!$H$5:$H$92,"&lt;0")</f>
        <v>0</v>
      </c>
      <c r="G581" s="17">
        <f t="shared" si="26"/>
        <v>2201160573</v>
      </c>
      <c r="H581" s="122"/>
    </row>
    <row r="582" spans="1:8" ht="21.95" customHeight="1">
      <c r="A582" s="14"/>
      <c r="B582" s="14"/>
      <c r="C582" s="16" t="s">
        <v>1168</v>
      </c>
      <c r="D582" s="17">
        <f>VLOOKUP(A576,'Neraca Unaudited SIMAK'!$A$2:$S$10004,6,FALSE)</f>
        <v>9592303988</v>
      </c>
      <c r="E582" s="25">
        <f>SUMIFS('Daftar Koreksi'!$H$5:$H$92,'Daftar Koreksi'!$D$5:$D$92,'0200'!A576,'Daftar Koreksi'!$G$5:$G$92,"Gedung dan Bangunan",'Daftar Koreksi'!$H$5:$H$92,"&gt;0")</f>
        <v>0</v>
      </c>
      <c r="F582" s="25">
        <f>SUMIFS('Daftar Koreksi'!$H$5:$H$92,'Daftar Koreksi'!$D$5:$D$92,'0200'!A576,'Daftar Koreksi'!$G$5:$G$92,"Gedung dan Bangunan",'Daftar Koreksi'!$H$5:$H$92,"&lt;0")-SUMIFS('Daftar Koreksi'!$H$5:$H$92,'Daftar Koreksi'!$D$5:$D$92,'0200'!A576,'Daftar Koreksi'!$G$5:$G$92,"Gedung dan Bangunan",'Daftar Koreksi'!$H$5:$H$92,"&lt;0")-SUMIFS('Daftar Koreksi'!$H$5:$H$92,'Daftar Koreksi'!$D$5:$D$92,'0200'!A576,'Daftar Koreksi'!$G$5:$G$92,"Gedung dan Bangunan",'Daftar Koreksi'!$H$5:$H$92,"&lt;0")</f>
        <v>0</v>
      </c>
      <c r="G582" s="17">
        <f t="shared" si="26"/>
        <v>9592303988</v>
      </c>
      <c r="H582" s="122"/>
    </row>
    <row r="583" spans="1:8" ht="21.95" customHeight="1">
      <c r="A583" s="14"/>
      <c r="B583" s="14"/>
      <c r="C583" s="16" t="s">
        <v>1169</v>
      </c>
      <c r="D583" s="17">
        <f>VLOOKUP(A576,'Neraca Unaudited SIMAK'!$A$2:$S$10004,7,FALSE)</f>
        <v>0</v>
      </c>
      <c r="E583" s="25">
        <f>SUMIFS('Daftar Koreksi'!$H$5:$H$92,'Daftar Koreksi'!$D$5:$D$92,'0200'!A576,'Daftar Koreksi'!$G$5:$G$92,"Jalan Irigasi Jaringan",'Daftar Koreksi'!$H$5:$H$92,"&gt;0")</f>
        <v>0</v>
      </c>
      <c r="F583" s="25">
        <f>SUMIFS('Daftar Koreksi'!$H$5:$H$92,'Daftar Koreksi'!$D$5:$D$92,'0200'!A576,'Daftar Koreksi'!$G$5:$G$92,"Jalan Irigasi Jaringan",'Daftar Koreksi'!$H$5:$H$92,"&lt;0")-SUMIFS('Daftar Koreksi'!$H$5:$H$92,'Daftar Koreksi'!$D$5:$D$92,'0200'!A576,'Daftar Koreksi'!$G$5:$G$92,"Jalan Irigasi Jaringan",'Daftar Koreksi'!$H$5:$H$92,"&lt;0")-SUMIFS('Daftar Koreksi'!$H$5:$H$92,'Daftar Koreksi'!$D$5:$D$92,'0200'!A576,'Daftar Koreksi'!$G$5:$G$92,"Jalan Irigasi Jaringan",'Daftar Koreksi'!$H$5:$H$92,"&lt;0")</f>
        <v>0</v>
      </c>
      <c r="G583" s="17">
        <f t="shared" si="26"/>
        <v>0</v>
      </c>
      <c r="H583" s="122"/>
    </row>
    <row r="584" spans="1:8" ht="21.95" customHeight="1">
      <c r="A584" s="14"/>
      <c r="B584" s="14"/>
      <c r="C584" s="16" t="s">
        <v>1170</v>
      </c>
      <c r="D584" s="17">
        <f>VLOOKUP(A576,'Neraca Unaudited SIMAK'!$A$2:$S$10004,8,FALSE)</f>
        <v>408000</v>
      </c>
      <c r="E584" s="25">
        <f>SUMIFS('Daftar Koreksi'!$H$5:$H$92,'Daftar Koreksi'!$D$5:$D$92,'0200'!A576,'Daftar Koreksi'!$G$5:$G$92,"Aset Tetap Lainnya",'Daftar Koreksi'!$H$5:$H$92,"&gt;0")</f>
        <v>0</v>
      </c>
      <c r="F584" s="25">
        <f>SUMIFS('Daftar Koreksi'!$H$5:$H$92,'Daftar Koreksi'!$D$5:$D$92,'0200'!A576,'Daftar Koreksi'!$G$5:$G$92,"Aset Tetap Lainnya",'Daftar Koreksi'!$H$5:$H$92,"&lt;0")-SUMIFS('Daftar Koreksi'!$H$5:$H$92,'Daftar Koreksi'!$D$5:$D$92,'0200'!A576,'Daftar Koreksi'!$G$5:$G$92,"Aset Tetap Lainnya",'Daftar Koreksi'!$H$5:$H$92,"&lt;0")-SUMIFS('Daftar Koreksi'!$H$5:$H$92,'Daftar Koreksi'!$D$5:$D$92,'0200'!A576,'Daftar Koreksi'!$G$5:$G$92,"Aset Tetap Lainnya",'Daftar Koreksi'!$H$5:$H$92,"&lt;0")</f>
        <v>0</v>
      </c>
      <c r="G584" s="17">
        <f t="shared" si="26"/>
        <v>408000</v>
      </c>
      <c r="H584" s="122"/>
    </row>
    <row r="585" spans="1:8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Koreksi'!$D$5:$D$92,'0200'!A576,'Daftar Koreksi'!$G$5:$G$92,"Kontruksi Dalam Pengerjaan",'Daftar Koreksi'!$H$5:$H$92,"&gt;0")</f>
        <v>0</v>
      </c>
      <c r="F585" s="25">
        <f>SUMIFS('Daftar Koreksi'!$H$5:$H$92,'Daftar Koreksi'!$D$5:$D$92,'0200'!A576,'Daftar Koreksi'!$G$5:$G$92,"Kontruksi Dalam Pengerjaan",'Daftar Koreksi'!$H$5:$H$92,"&lt;0")-SUMIFS('Daftar Koreksi'!$H$5:$H$92,'Daftar Koreksi'!$D$5:$D$92,'0200'!A576,'Daftar Koreksi'!$G$5:$G$92,"Kontruksi Dalam Pengerjaan",'Daftar Koreksi'!$H$5:$H$92,"&lt;0")-SUMIFS('Daftar Koreksi'!$H$5:$H$92,'Daftar Koreksi'!$D$5:$D$92,'0200'!A576,'Daftar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8" ht="21.95" customHeight="1">
      <c r="A586" s="14"/>
      <c r="B586" s="14"/>
      <c r="C586" s="16" t="s">
        <v>1172</v>
      </c>
      <c r="D586" s="17">
        <f>VLOOKUP(A576,'Neraca Unaudited SIMAK'!$A$2:$S$10004,10,FALSE)</f>
        <v>50400000</v>
      </c>
      <c r="E586" s="25">
        <f>SUMIFS('Daftar Koreksi'!$H$5:$H$92,'Daftar Koreksi'!$D$5:$D$92,'0200'!A576,'Daftar Koreksi'!$G$5:$G$92,"Aset Tak Berwujud",'Daftar Koreksi'!$H$5:$H$92,"&gt;0")</f>
        <v>0</v>
      </c>
      <c r="F586" s="25">
        <f>SUMIFS('Daftar Koreksi'!$H$5:$H$92,'Daftar Koreksi'!$D$5:$D$92,'0200'!A576,'Daftar Koreksi'!$G$5:$G$92,"Aset Tak Berwujud",'Daftar Koreksi'!$H$5:$H$92,"&lt;0")-SUMIFS('Daftar Koreksi'!$H$5:$H$92,'Daftar Koreksi'!$D$5:$D$92,'0200'!A576,'Daftar Koreksi'!$G$5:$G$92,"Aset Tak Berwujud",'Daftar Koreksi'!$H$5:$H$92,"&lt;0")-SUMIFS('Daftar Koreksi'!$H$5:$H$92,'Daftar Koreksi'!$D$5:$D$92,'0200'!A576,'Daftar Koreksi'!$G$5:$G$92,"Aset Tak Berwujud",'Daftar Koreksi'!$H$5:$H$92,"&lt;0")</f>
        <v>0</v>
      </c>
      <c r="G586" s="17">
        <f t="shared" si="26"/>
        <v>50400000</v>
      </c>
      <c r="H586" s="122"/>
    </row>
    <row r="587" spans="1:8" ht="21.95" customHeight="1">
      <c r="A587" s="14"/>
      <c r="B587" s="14"/>
      <c r="C587" s="16" t="s">
        <v>1173</v>
      </c>
      <c r="D587" s="17">
        <f>VLOOKUP(A576,'Neraca Unaudited SIMAK'!$A$2:$S$10004,11,FALSE)</f>
        <v>14762532</v>
      </c>
      <c r="E587" s="25">
        <f>SUMIFS('Daftar Koreksi'!$H$5:$H$92,'Daftar Koreksi'!$D$5:$D$92,'0200'!A576,'Daftar Koreksi'!$G$5:$G$92,"Aset Henti Guna",'Daftar Koreksi'!$H$5:$H$92,"&gt;0")</f>
        <v>0</v>
      </c>
      <c r="F587" s="25">
        <f>SUMIFS('Daftar Koreksi'!$H$5:$H$92,'Daftar Koreksi'!$D$5:$D$92,'0200'!A576,'Daftar Koreksi'!$G$5:$G$92,"Aset Henti Guna",'Daftar Koreksi'!$H$5:$H$92,"&lt;0")-SUMIFS('Daftar Koreksi'!$H$5:$H$92,'Daftar Koreksi'!$D$5:$D$92,'0200'!A576,'Daftar Koreksi'!$G$5:$G$92,"Aset Henti Guna",'Daftar Koreksi'!$H$5:$H$92,"&lt;0")-SUMIFS('Daftar Koreksi'!$H$5:$H$92,'Daftar Koreksi'!$D$5:$D$92,'0200'!A576,'Daftar Koreksi'!$G$5:$G$92,"Aset Henti Guna",'Daftar Koreksi'!$H$5:$H$92,"&lt;0")</f>
        <v>0</v>
      </c>
      <c r="G587" s="17">
        <f t="shared" si="26"/>
        <v>14762532</v>
      </c>
      <c r="H587" s="122"/>
    </row>
    <row r="588" spans="1:8" ht="21.95" customHeight="1">
      <c r="A588" s="14"/>
      <c r="B588" s="14"/>
      <c r="C588" s="18" t="s">
        <v>2093</v>
      </c>
      <c r="D588" s="19">
        <f>VLOOKUP(A576,'Neraca Unaudited SIMAK'!$A$2:$S$10004,12,FALSE)</f>
        <v>14448789993</v>
      </c>
      <c r="E588" s="19">
        <f>SUM(E579:E587)</f>
        <v>0</v>
      </c>
      <c r="F588" s="19">
        <f>SUM(F579:F587)</f>
        <v>0</v>
      </c>
      <c r="G588" s="19">
        <f t="shared" si="26"/>
        <v>14448789993</v>
      </c>
      <c r="H588" s="122"/>
    </row>
    <row r="589" spans="1:8" ht="21.95" customHeight="1">
      <c r="A589" s="14"/>
      <c r="B589" s="14"/>
      <c r="C589" s="16" t="s">
        <v>2087</v>
      </c>
      <c r="D589" s="17">
        <f>VLOOKUP(A576,'Neraca Unaudited SIMAK'!$A$2:$S$10004,13,FALSE)</f>
        <v>-1076165921</v>
      </c>
      <c r="E589" s="25">
        <f>SUMIFS('Daftar Koreksi'!$I$5:$I$92,'Daftar Koreksi'!$D$5:$D$92,'0200'!A576,'Daftar Koreksi'!$G$5:$G$92,"Peralatan dan mesin",'Daftar Koreksi'!$I$5:$I$92,"&gt;0")</f>
        <v>0</v>
      </c>
      <c r="F589" s="25">
        <f>SUMIFS('Daftar Koreksi'!$I$5:$I$92,'Daftar Koreksi'!$D$5:$D$92,'0200'!A576,'Daftar Koreksi'!$G$5:$G$92,"Peralatan dan mesin",'Daftar Koreksi'!$I$5:$I$92,"&lt;0")-SUMIFS('Daftar Koreksi'!$I$5:$I$92,'Daftar Koreksi'!$D$5:$D$92,'0200'!A576,'Daftar Koreksi'!$G$5:$G$92,"Peralatan dan mesin",'Daftar Koreksi'!$I$5:$I$92,"&lt;0")-SUMIFS('Daftar Koreksi'!$I$5:$I$92,'Daftar Koreksi'!$D$5:$D$92,'0200'!A576,'Daftar Koreksi'!$G$5:$G$92,"Peralatan dan mesin",'Daftar Koreksi'!$I$5:$I$92,"&lt;0")</f>
        <v>0</v>
      </c>
      <c r="G589" s="17">
        <f t="shared" si="26"/>
        <v>-1076165921</v>
      </c>
      <c r="H589" s="122"/>
    </row>
    <row r="590" spans="1:8" ht="21.95" customHeight="1">
      <c r="A590" s="14"/>
      <c r="B590" s="14"/>
      <c r="C590" s="16" t="s">
        <v>2088</v>
      </c>
      <c r="D590" s="17">
        <f>VLOOKUP(A576,'Neraca Unaudited SIMAK'!$A$2:$S$10004,14,FALSE)</f>
        <v>-236093006</v>
      </c>
      <c r="E590" s="25">
        <f>SUMIFS('Daftar Koreksi'!$I$5:$I$92,'Daftar Koreksi'!$D$5:$D$92,'0200'!A576,'Daftar Koreksi'!$G$5:$G$92,"Gedung dan Bangunan",'Daftar Koreksi'!$I$5:$I$92,"&gt;0")</f>
        <v>0</v>
      </c>
      <c r="F590" s="25">
        <f>SUMIFS('Daftar Koreksi'!$I$5:$I$92,'Daftar Koreksi'!$D$5:$D$92,'0200'!A576,'Daftar Koreksi'!$G$5:$G$92,"Gedung dan Bangunan",'Daftar Koreksi'!$I$5:$I$92,"&lt;0")-SUMIFS('Daftar Koreksi'!$I$5:$I$92,'Daftar Koreksi'!$D$5:$D$92,'0200'!A576,'Daftar Koreksi'!$G$5:$G$92,"Gedung dan Bangunan",'Daftar Koreksi'!$I$5:$I$92,"&lt;0")-SUMIFS('Daftar Koreksi'!$I$5:$I$92,'Daftar Koreksi'!$D$5:$D$92,'0200'!A576,'Daftar Koreksi'!$G$5:$G$92,"Gedung dan Bangunan",'Daftar Koreksi'!$I$5:$I$92,"&lt;0")</f>
        <v>0</v>
      </c>
      <c r="G590" s="17">
        <f t="shared" si="26"/>
        <v>-236093006</v>
      </c>
      <c r="H590" s="122"/>
    </row>
    <row r="591" spans="1:8" ht="21.95" customHeight="1">
      <c r="A591" s="14"/>
      <c r="B591" s="14"/>
      <c r="C591" s="16" t="s">
        <v>2089</v>
      </c>
      <c r="D591" s="17">
        <f>VLOOKUP(A576,'Neraca Unaudited SIMAK'!$A$2:$S$10004,15,FALSE)</f>
        <v>0</v>
      </c>
      <c r="E591" s="25">
        <f>SUMIFS('Daftar Koreksi'!$I$5:$I$92,'Daftar Koreksi'!$D$5:$D$92,'0200'!A576,'Daftar Koreksi'!$G$5:$G$92,"Jalan Irigasi Jaringan",'Daftar Koreksi'!$I$5:$I$92,"&gt;0")</f>
        <v>0</v>
      </c>
      <c r="F591" s="25">
        <f>SUMIFS('Daftar Koreksi'!$I$5:$I$92,'Daftar Koreksi'!$D$5:$D$92,'0200'!A576,'Daftar Koreksi'!$G$5:$G$92,"Jalan Irigasi Jaringan",'Daftar Koreksi'!$I$5:$I$92,"&lt;0")-SUMIFS('Daftar Koreksi'!$I$5:$I$92,'Daftar Koreksi'!$D$5:$D$92,'0200'!A576,'Daftar Koreksi'!$G$5:$G$92,"Jalan Irigasi Jaringan",'Daftar Koreksi'!$I$5:$I$92,"&lt;0")-SUMIFS('Daftar Koreksi'!$I$5:$I$92,'Daftar Koreksi'!$D$5:$D$92,'0200'!A576,'Daftar Koreksi'!$G$5:$G$92,"Jalan Irigasi Jaringan",'Daftar Koreksi'!$I$5:$I$92,"&lt;0")</f>
        <v>0</v>
      </c>
      <c r="G591" s="17">
        <f t="shared" si="26"/>
        <v>0</v>
      </c>
      <c r="H591" s="122"/>
    </row>
    <row r="592" spans="1:8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Koreksi'!$D$5:$D$92,'0200'!A576,'Daftar Koreksi'!$G$5:$G$92,"Aset Tetap Lainnya",'Daftar Koreksi'!$I$5:$I$92,"&gt;0")</f>
        <v>0</v>
      </c>
      <c r="F592" s="25">
        <f>SUMIFS('Daftar Koreksi'!$I$5:$I$92,'Daftar Koreksi'!$D$5:$D$92,'0200'!A576,'Daftar Koreksi'!$G$5:$G$92,"Aset Tetap Lainnya",'Daftar Koreksi'!$I$5:$I$92,"&lt;0")-SUMIFS('Daftar Koreksi'!$I$5:$I$92,'Daftar Koreksi'!$D$5:$D$92,'0200'!A576,'Daftar Koreksi'!$G$5:$G$92,"Aset Tetap Lainnya",'Daftar Koreksi'!$I$5:$I$92,"&lt;0")-SUMIFS('Daftar Koreksi'!$I$5:$I$92,'Daftar Koreksi'!$D$5:$D$92,'0200'!A576,'Daftar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-14762532</v>
      </c>
      <c r="E593" s="25">
        <f>SUMIFS('Daftar Koreksi'!$I$5:$I$92,'Daftar Koreksi'!$D$5:$D$92,'0200'!A576,'Daftar Koreksi'!$G$5:$G$92,"Aset Henti Guna",'Daftar Koreksi'!$I$5:$I$92,"&gt;0")</f>
        <v>0</v>
      </c>
      <c r="F593" s="25">
        <f>SUMIFS('Daftar Koreksi'!$I$5:$I$92,'Daftar Koreksi'!$D$5:$D$92,'0200'!A576,'Daftar Koreksi'!$G$5:$G$92,"Aset Henti Guna",'Daftar Koreksi'!$I$5:$I$92,"&lt;0")-SUMIFS('Daftar Koreksi'!$I$5:$I$92,'Daftar Koreksi'!$D$5:$D$92,'0200'!A576,'Daftar Koreksi'!$G$5:$G$92,"Aset Henti Guna",'Daftar Koreksi'!$I$5:$I$92,"&lt;0")-SUMIFS('Daftar Koreksi'!$I$5:$I$92,'Daftar Koreksi'!$D$5:$D$92,'0200'!A576,'Daftar Koreksi'!$G$5:$G$92,"Aset Henti Guna",'Daftar Koreksi'!$I$5:$I$92,"&lt;0")</f>
        <v>0</v>
      </c>
      <c r="G593" s="17">
        <f t="shared" si="26"/>
        <v>-14762532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-1327021459</v>
      </c>
      <c r="E594" s="19">
        <f>SUM(E589:E593)</f>
        <v>0</v>
      </c>
      <c r="F594" s="19">
        <f>SUM(F589:F593)</f>
        <v>0</v>
      </c>
      <c r="G594" s="19">
        <f t="shared" si="26"/>
        <v>-1327021459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13121768534</v>
      </c>
      <c r="E595" s="19">
        <f>E594+E588</f>
        <v>0</v>
      </c>
      <c r="F595" s="19">
        <f>F594+F588</f>
        <v>0</v>
      </c>
      <c r="G595" s="19">
        <f t="shared" si="26"/>
        <v>13121768534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005010200400729000KD</v>
      </c>
      <c r="B598" s="11" t="str">
        <f>P28</f>
        <v>PA. Bogor</v>
      </c>
      <c r="C598" s="12" t="str">
        <f>A598&amp;" "&amp;B598</f>
        <v>005010200400729000KD PA. Bogor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1040000</v>
      </c>
      <c r="E601" s="25">
        <f>SUMIFS('Daftar Koreksi'!$H$5:$H$92,'Daftar Koreksi'!$D$5:$D$92,'0200'!A598,'Daftar Koreksi'!$G$5:$G$92,"Persediaan",'Daftar Koreksi'!$H$5:$H$92,"&gt;0")</f>
        <v>0</v>
      </c>
      <c r="F601" s="25">
        <f>SUMIFS('Daftar Koreksi'!$H$5:$H$92,'Daftar Koreksi'!$D$5:$D$92,'0200'!A598,'Daftar Koreksi'!$G$5:$G$92,"Persediaan",'Daftar Koreksi'!$H$5:$H$92,"&lt;0")-SUMIFS('Daftar Koreksi'!$H$5:$H$92,'Daftar Koreksi'!$D$5:$D$92,'0200'!A598,'Daftar Koreksi'!$G$5:$G$92,"Persediaan",'Daftar Koreksi'!$H$5:$H$92,"&lt;0")-SUMIFS('Daftar Koreksi'!$H$5:$H$92,'Daftar Koreksi'!$D$5:$D$92,'0200'!A598,'Daftar Koreksi'!$G$5:$G$92,"Persediaan",'Daftar Koreksi'!$H$5:$H$92,"&lt;0")</f>
        <v>0</v>
      </c>
      <c r="G601" s="17">
        <f>D601+E601-F601</f>
        <v>1040000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4436828000</v>
      </c>
      <c r="E602" s="25">
        <f>SUMIFS('Daftar Koreksi'!$H$5:$H$92,'Daftar Koreksi'!$D$5:$D$92,'0200'!A598,'Daftar Koreksi'!$G$5:$G$92,"Tanah",'Daftar Koreksi'!$H$5:$H$92,"&gt;0")</f>
        <v>0</v>
      </c>
      <c r="F602" s="25">
        <f>SUMIFS('Daftar Koreksi'!$H$5:$H$92,'Daftar Koreksi'!$D$5:$D$92,'0200'!A598,'Daftar Koreksi'!$G$5:$G$92,"Tanah",'Daftar Koreksi'!$H$5:$H$92,"&lt;0")-SUMIFS('Daftar Koreksi'!$H$5:$H$92,'Daftar Koreksi'!$D$5:$D$92,'0200'!A598,'Daftar Koreksi'!$G$5:$G$92,"Tanah",'Daftar Koreksi'!$H$5:$H$92,"&lt;0")-SUMIFS('Daftar Koreksi'!$H$5:$H$92,'Daftar Koreksi'!$D$5:$D$92,'0200'!A598,'Daftar Koreksi'!$G$5:$G$92,"Tanah",'Daftar Koreksi'!$H$5:$H$92,"&lt;0")</f>
        <v>0</v>
      </c>
      <c r="G602" s="17">
        <f t="shared" ref="G602:G618" si="27">D602+E602-F602</f>
        <v>4436828000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2265138771</v>
      </c>
      <c r="E603" s="25">
        <f>SUMIFS('Daftar Koreksi'!$H$5:$H$92,'Daftar Koreksi'!$D$5:$D$92,'0200'!A598,'Daftar Koreksi'!$G$5:$G$92,"Peralatan dan mesin",'Daftar Koreksi'!$H$5:$H$92,"&gt;0")</f>
        <v>0</v>
      </c>
      <c r="F603" s="25">
        <f>SUMIFS('Daftar Koreksi'!$H$5:$H$92,'Daftar Koreksi'!$D$5:$D$92,'0200'!A598,'Daftar Koreksi'!$G$5:$G$92,"Peralatan dan mesin",'Daftar Koreksi'!$H$5:$H$92,"&lt;0")-SUMIFS('Daftar Koreksi'!$H$5:$H$92,'Daftar Koreksi'!$D$5:$D$92,'0200'!A598,'Daftar Koreksi'!$G$5:$G$92,"Peralatan dan mesin",'Daftar Koreksi'!$H$5:$H$92,"&lt;0")-SUMIFS('Daftar Koreksi'!$H$5:$H$92,'Daftar Koreksi'!$D$5:$D$92,'0200'!A598,'Daftar Koreksi'!$G$5:$G$92,"Peralatan dan mesin",'Daftar Koreksi'!$H$5:$H$92,"&lt;0")</f>
        <v>0</v>
      </c>
      <c r="G603" s="17">
        <f t="shared" si="27"/>
        <v>2265138771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7372375975</v>
      </c>
      <c r="E604" s="25">
        <f>SUMIFS('Daftar Koreksi'!$H$5:$H$92,'Daftar Koreksi'!$D$5:$D$92,'0200'!A598,'Daftar Koreksi'!$G$5:$G$92,"Gedung dan Bangunan",'Daftar Koreksi'!$H$5:$H$92,"&gt;0")</f>
        <v>0</v>
      </c>
      <c r="F604" s="25">
        <f>SUMIFS('Daftar Koreksi'!$H$5:$H$92,'Daftar Koreksi'!$D$5:$D$92,'0200'!A598,'Daftar Koreksi'!$G$5:$G$92,"Gedung dan Bangunan",'Daftar Koreksi'!$H$5:$H$92,"&lt;0")-SUMIFS('Daftar Koreksi'!$H$5:$H$92,'Daftar Koreksi'!$D$5:$D$92,'0200'!A598,'Daftar Koreksi'!$G$5:$G$92,"Gedung dan Bangunan",'Daftar Koreksi'!$H$5:$H$92,"&lt;0")-SUMIFS('Daftar Koreksi'!$H$5:$H$92,'Daftar Koreksi'!$D$5:$D$92,'0200'!A598,'Daftar Koreksi'!$G$5:$G$92,"Gedung dan Bangunan",'Daftar Koreksi'!$H$5:$H$92,"&lt;0")</f>
        <v>0</v>
      </c>
      <c r="G604" s="17">
        <f t="shared" si="27"/>
        <v>7372375975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0</v>
      </c>
      <c r="E605" s="25">
        <f>SUMIFS('Daftar Koreksi'!$H$5:$H$92,'Daftar Koreksi'!$D$5:$D$92,'0200'!A598,'Daftar Koreksi'!$G$5:$G$92,"Jalan Irigasi Jaringan",'Daftar Koreksi'!$H$5:$H$92,"&gt;0")</f>
        <v>0</v>
      </c>
      <c r="F605" s="25">
        <f>SUMIFS('Daftar Koreksi'!$H$5:$H$92,'Daftar Koreksi'!$D$5:$D$92,'0200'!A598,'Daftar Koreksi'!$G$5:$G$92,"Jalan Irigasi Jaringan",'Daftar Koreksi'!$H$5:$H$92,"&lt;0")-SUMIFS('Daftar Koreksi'!$H$5:$H$92,'Daftar Koreksi'!$D$5:$D$92,'0200'!A598,'Daftar Koreksi'!$G$5:$G$92,"Jalan Irigasi Jaringan",'Daftar Koreksi'!$H$5:$H$92,"&lt;0")-SUMIFS('Daftar Koreksi'!$H$5:$H$92,'Daftar Koreksi'!$D$5:$D$92,'0200'!A598,'Daftar Koreksi'!$G$5:$G$92,"Jalan Irigasi Jaringan",'Daftar Koreksi'!$H$5:$H$92,"&lt;0")</f>
        <v>0</v>
      </c>
      <c r="G605" s="17">
        <f t="shared" si="27"/>
        <v>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408000</v>
      </c>
      <c r="E606" s="25">
        <f>SUMIFS('Daftar Koreksi'!$H$5:$H$92,'Daftar Koreksi'!$D$5:$D$92,'0200'!A598,'Daftar Koreksi'!$G$5:$G$92,"Aset Tetap Lainnya",'Daftar Koreksi'!$H$5:$H$92,"&gt;0")</f>
        <v>0</v>
      </c>
      <c r="F606" s="25">
        <f>SUMIFS('Daftar Koreksi'!$H$5:$H$92,'Daftar Koreksi'!$D$5:$D$92,'0200'!A598,'Daftar Koreksi'!$G$5:$G$92,"Aset Tetap Lainnya",'Daftar Koreksi'!$H$5:$H$92,"&lt;0")-SUMIFS('Daftar Koreksi'!$H$5:$H$92,'Daftar Koreksi'!$D$5:$D$92,'0200'!A598,'Daftar Koreksi'!$G$5:$G$92,"Aset Tetap Lainnya",'Daftar Koreksi'!$H$5:$H$92,"&lt;0")-SUMIFS('Daftar Koreksi'!$H$5:$H$92,'Daftar Koreksi'!$D$5:$D$92,'0200'!A598,'Daftar Koreksi'!$G$5:$G$92,"Aset Tetap Lainnya",'Daftar Koreksi'!$H$5:$H$92,"&lt;0")</f>
        <v>0</v>
      </c>
      <c r="G606" s="17">
        <f t="shared" si="27"/>
        <v>408000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Koreksi'!$D$5:$D$92,'0200'!A598,'Daftar Koreksi'!$G$5:$G$92,"Kontruksi Dalam Pengerjaan",'Daftar Koreksi'!$H$5:$H$92,"&gt;0")</f>
        <v>0</v>
      </c>
      <c r="F607" s="25">
        <f>SUMIFS('Daftar Koreksi'!$H$5:$H$92,'Daftar Koreksi'!$D$5:$D$92,'0200'!A598,'Daftar Koreksi'!$G$5:$G$92,"Kontruksi Dalam Pengerjaan",'Daftar Koreksi'!$H$5:$H$92,"&lt;0")-SUMIFS('Daftar Koreksi'!$H$5:$H$92,'Daftar Koreksi'!$D$5:$D$92,'0200'!A598,'Daftar Koreksi'!$G$5:$G$92,"Kontruksi Dalam Pengerjaan",'Daftar Koreksi'!$H$5:$H$92,"&lt;0")-SUMIFS('Daftar Koreksi'!$H$5:$H$92,'Daftar Koreksi'!$D$5:$D$92,'0200'!A598,'Daftar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67000000</v>
      </c>
      <c r="E608" s="25">
        <f>SUMIFS('Daftar Koreksi'!$H$5:$H$92,'Daftar Koreksi'!$D$5:$D$92,'0200'!A598,'Daftar Koreksi'!$G$5:$G$92,"Aset Tak Berwujud",'Daftar Koreksi'!$H$5:$H$92,"&gt;0")</f>
        <v>0</v>
      </c>
      <c r="F608" s="25">
        <f>SUMIFS('Daftar Koreksi'!$H$5:$H$92,'Daftar Koreksi'!$D$5:$D$92,'0200'!A598,'Daftar Koreksi'!$G$5:$G$92,"Aset Tak Berwujud",'Daftar Koreksi'!$H$5:$H$92,"&lt;0")-SUMIFS('Daftar Koreksi'!$H$5:$H$92,'Daftar Koreksi'!$D$5:$D$92,'0200'!A598,'Daftar Koreksi'!$G$5:$G$92,"Aset Tak Berwujud",'Daftar Koreksi'!$H$5:$H$92,"&lt;0")-SUMIFS('Daftar Koreksi'!$H$5:$H$92,'Daftar Koreksi'!$D$5:$D$92,'0200'!A598,'Daftar Koreksi'!$G$5:$G$92,"Aset Tak Berwujud",'Daftar Koreksi'!$H$5:$H$92,"&lt;0")</f>
        <v>0</v>
      </c>
      <c r="G608" s="17">
        <f t="shared" si="27"/>
        <v>67000000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305490166</v>
      </c>
      <c r="E609" s="25">
        <f>SUMIFS('Daftar Koreksi'!$H$5:$H$92,'Daftar Koreksi'!$D$5:$D$92,'0200'!A598,'Daftar Koreksi'!$G$5:$G$92,"Aset Henti Guna",'Daftar Koreksi'!$H$5:$H$92,"&gt;0")</f>
        <v>0</v>
      </c>
      <c r="F609" s="25">
        <f>SUMIFS('Daftar Koreksi'!$H$5:$H$92,'Daftar Koreksi'!$D$5:$D$92,'0200'!A598,'Daftar Koreksi'!$G$5:$G$92,"Aset Henti Guna",'Daftar Koreksi'!$H$5:$H$92,"&lt;0")-SUMIFS('Daftar Koreksi'!$H$5:$H$92,'Daftar Koreksi'!$D$5:$D$92,'0200'!A598,'Daftar Koreksi'!$G$5:$G$92,"Aset Henti Guna",'Daftar Koreksi'!$H$5:$H$92,"&lt;0")-SUMIFS('Daftar Koreksi'!$H$5:$H$92,'Daftar Koreksi'!$D$5:$D$92,'0200'!A598,'Daftar Koreksi'!$G$5:$G$92,"Aset Henti Guna",'Daftar Koreksi'!$H$5:$H$92,"&lt;0")</f>
        <v>0</v>
      </c>
      <c r="G609" s="17">
        <f t="shared" si="27"/>
        <v>305490166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14448280912</v>
      </c>
      <c r="E610" s="19">
        <f>SUM(E601:E609)</f>
        <v>0</v>
      </c>
      <c r="F610" s="19">
        <f>SUM(F601:F609)</f>
        <v>0</v>
      </c>
      <c r="G610" s="19">
        <f t="shared" si="27"/>
        <v>14448280912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-1824404386</v>
      </c>
      <c r="E611" s="25">
        <f>SUMIFS('Daftar Koreksi'!$I$5:$I$92,'Daftar Koreksi'!$D$5:$D$92,'0200'!A598,'Daftar Koreksi'!$G$5:$G$92,"Peralatan dan mesin",'Daftar Koreksi'!$I$5:$I$92,"&gt;0")</f>
        <v>0</v>
      </c>
      <c r="F611" s="25">
        <f>SUMIFS('Daftar Koreksi'!$I$5:$I$92,'Daftar Koreksi'!$D$5:$D$92,'0200'!A598,'Daftar Koreksi'!$G$5:$G$92,"Peralatan dan mesin",'Daftar Koreksi'!$I$5:$I$92,"&lt;0")-SUMIFS('Daftar Koreksi'!$I$5:$I$92,'Daftar Koreksi'!$D$5:$D$92,'0200'!A598,'Daftar Koreksi'!$G$5:$G$92,"Peralatan dan mesin",'Daftar Koreksi'!$I$5:$I$92,"&lt;0")-SUMIFS('Daftar Koreksi'!$I$5:$I$92,'Daftar Koreksi'!$D$5:$D$92,'0200'!A598,'Daftar Koreksi'!$G$5:$G$92,"Peralatan dan mesin",'Daftar Koreksi'!$I$5:$I$92,"&lt;0")</f>
        <v>0</v>
      </c>
      <c r="G611" s="17">
        <f t="shared" si="27"/>
        <v>-1824404386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-963150450</v>
      </c>
      <c r="E612" s="25">
        <f>SUMIFS('Daftar Koreksi'!$I$5:$I$92,'Daftar Koreksi'!$D$5:$D$92,'0200'!A598,'Daftar Koreksi'!$G$5:$G$92,"Gedung dan Bangunan",'Daftar Koreksi'!$I$5:$I$92,"&gt;0")</f>
        <v>0</v>
      </c>
      <c r="F612" s="25">
        <f>SUMIFS('Daftar Koreksi'!$I$5:$I$92,'Daftar Koreksi'!$D$5:$D$92,'0200'!A598,'Daftar Koreksi'!$G$5:$G$92,"Gedung dan Bangunan",'Daftar Koreksi'!$I$5:$I$92,"&lt;0")-SUMIFS('Daftar Koreksi'!$I$5:$I$92,'Daftar Koreksi'!$D$5:$D$92,'0200'!A598,'Daftar Koreksi'!$G$5:$G$92,"Gedung dan Bangunan",'Daftar Koreksi'!$I$5:$I$92,"&lt;0")-SUMIFS('Daftar Koreksi'!$I$5:$I$92,'Daftar Koreksi'!$D$5:$D$92,'0200'!A598,'Daftar Koreksi'!$G$5:$G$92,"Gedung dan Bangunan",'Daftar Koreksi'!$I$5:$I$92,"&lt;0")</f>
        <v>0</v>
      </c>
      <c r="G612" s="17">
        <f t="shared" si="27"/>
        <v>-963150450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0</v>
      </c>
      <c r="E613" s="25">
        <f>SUMIFS('Daftar Koreksi'!$I$5:$I$92,'Daftar Koreksi'!$D$5:$D$92,'0200'!A598,'Daftar Koreksi'!$G$5:$G$92,"Jalan Irigasi Jaringan",'Daftar Koreksi'!$I$5:$I$92,"&gt;0")</f>
        <v>0</v>
      </c>
      <c r="F613" s="25">
        <f>SUMIFS('Daftar Koreksi'!$I$5:$I$92,'Daftar Koreksi'!$D$5:$D$92,'0200'!A598,'Daftar Koreksi'!$G$5:$G$92,"Jalan Irigasi Jaringan",'Daftar Koreksi'!$I$5:$I$92,"&lt;0")-SUMIFS('Daftar Koreksi'!$I$5:$I$92,'Daftar Koreksi'!$D$5:$D$92,'0200'!A598,'Daftar Koreksi'!$G$5:$G$92,"Jalan Irigasi Jaringan",'Daftar Koreksi'!$I$5:$I$92,"&lt;0")-SUMIFS('Daftar Koreksi'!$I$5:$I$92,'Daftar Koreksi'!$D$5:$D$92,'0200'!A598,'Daftar Koreksi'!$G$5:$G$92,"Jalan Irigasi Jaringan",'Daftar Koreksi'!$I$5:$I$92,"&lt;0")</f>
        <v>0</v>
      </c>
      <c r="G613" s="17">
        <f t="shared" si="27"/>
        <v>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Koreksi'!$D$5:$D$92,'0200'!A598,'Daftar Koreksi'!$G$5:$G$92,"Aset Tetap Lainnya",'Daftar Koreksi'!$I$5:$I$92,"&gt;0")</f>
        <v>0</v>
      </c>
      <c r="F614" s="25">
        <f>SUMIFS('Daftar Koreksi'!$I$5:$I$92,'Daftar Koreksi'!$D$5:$D$92,'0200'!A598,'Daftar Koreksi'!$G$5:$G$92,"Aset Tetap Lainnya",'Daftar Koreksi'!$I$5:$I$92,"&lt;0")-SUMIFS('Daftar Koreksi'!$I$5:$I$92,'Daftar Koreksi'!$D$5:$D$92,'0200'!A598,'Daftar Koreksi'!$G$5:$G$92,"Aset Tetap Lainnya",'Daftar Koreksi'!$I$5:$I$92,"&lt;0")-SUMIFS('Daftar Koreksi'!$I$5:$I$92,'Daftar Koreksi'!$D$5:$D$92,'0200'!A598,'Daftar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-291123186</v>
      </c>
      <c r="E615" s="25">
        <f>SUMIFS('Daftar Koreksi'!$I$5:$I$92,'Daftar Koreksi'!$D$5:$D$92,'0200'!A598,'Daftar Koreksi'!$G$5:$G$92,"Aset Henti Guna",'Daftar Koreksi'!$I$5:$I$92,"&gt;0")</f>
        <v>0</v>
      </c>
      <c r="F615" s="25">
        <f>SUMIFS('Daftar Koreksi'!$I$5:$I$92,'Daftar Koreksi'!$D$5:$D$92,'0200'!A598,'Daftar Koreksi'!$G$5:$G$92,"Aset Henti Guna",'Daftar Koreksi'!$I$5:$I$92,"&lt;0")-SUMIFS('Daftar Koreksi'!$I$5:$I$92,'Daftar Koreksi'!$D$5:$D$92,'0200'!A598,'Daftar Koreksi'!$G$5:$G$92,"Aset Henti Guna",'Daftar Koreksi'!$I$5:$I$92,"&lt;0")-SUMIFS('Daftar Koreksi'!$I$5:$I$92,'Daftar Koreksi'!$D$5:$D$92,'0200'!A598,'Daftar Koreksi'!$G$5:$G$92,"Aset Henti Guna",'Daftar Koreksi'!$I$5:$I$92,"&lt;0")</f>
        <v>0</v>
      </c>
      <c r="G615" s="17">
        <f t="shared" si="27"/>
        <v>-291123186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-3078678022</v>
      </c>
      <c r="E616" s="19">
        <f>SUM(E611:E615)</f>
        <v>0</v>
      </c>
      <c r="F616" s="19">
        <f>SUM(F611:F615)</f>
        <v>0</v>
      </c>
      <c r="G616" s="19">
        <f t="shared" si="27"/>
        <v>-3078678022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11369602890</v>
      </c>
      <c r="E617" s="19">
        <f>E616+E610</f>
        <v>0</v>
      </c>
      <c r="F617" s="19">
        <f>F616+F610</f>
        <v>0</v>
      </c>
      <c r="G617" s="19">
        <f t="shared" si="27"/>
        <v>11369602890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005010200400735000KD</v>
      </c>
      <c r="B620" s="11" t="str">
        <f>P29</f>
        <v>PA. Sukabumi</v>
      </c>
      <c r="C620" s="12" t="str">
        <f>A620&amp;" "&amp;B620</f>
        <v>005010200400735000KD PA. Sukabumi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3864450</v>
      </c>
      <c r="E623" s="25">
        <f>SUMIFS('Daftar Koreksi'!$H$5:$H$92,'Daftar Koreksi'!$D$5:$D$92,'0200'!A620,'Daftar Koreksi'!$G$5:$G$92,"Persediaan",'Daftar Koreksi'!$H$5:$H$92,"&gt;0")</f>
        <v>0</v>
      </c>
      <c r="F623" s="25">
        <f>SUMIFS('Daftar Koreksi'!$H$5:$H$92,'Daftar Koreksi'!$D$5:$D$92,'0200'!A620,'Daftar Koreksi'!$G$5:$G$92,"Persediaan",'Daftar Koreksi'!$H$5:$H$92,"&lt;0")-SUMIFS('Daftar Koreksi'!$H$5:$H$92,'Daftar Koreksi'!$D$5:$D$92,'0200'!A620,'Daftar Koreksi'!$G$5:$G$92,"Persediaan",'Daftar Koreksi'!$H$5:$H$92,"&lt;0")-SUMIFS('Daftar Koreksi'!$H$5:$H$92,'Daftar Koreksi'!$D$5:$D$92,'0200'!A620,'Daftar Koreksi'!$G$5:$G$92,"Persediaan",'Daftar Koreksi'!$H$5:$H$92,"&lt;0")</f>
        <v>0</v>
      </c>
      <c r="G623" s="17">
        <f>D623+E623-F623</f>
        <v>3864450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5379236434</v>
      </c>
      <c r="E624" s="25">
        <f>SUMIFS('Daftar Koreksi'!$H$5:$H$92,'Daftar Koreksi'!$D$5:$D$92,'0200'!A620,'Daftar Koreksi'!$G$5:$G$92,"Tanah",'Daftar Koreksi'!$H$5:$H$92,"&gt;0")</f>
        <v>0</v>
      </c>
      <c r="F624" s="25">
        <f>SUMIFS('Daftar Koreksi'!$H$5:$H$92,'Daftar Koreksi'!$D$5:$D$92,'0200'!A620,'Daftar Koreksi'!$G$5:$G$92,"Tanah",'Daftar Koreksi'!$H$5:$H$92,"&lt;0")-SUMIFS('Daftar Koreksi'!$H$5:$H$92,'Daftar Koreksi'!$D$5:$D$92,'0200'!A620,'Daftar Koreksi'!$G$5:$G$92,"Tanah",'Daftar Koreksi'!$H$5:$H$92,"&lt;0")-SUMIFS('Daftar Koreksi'!$H$5:$H$92,'Daftar Koreksi'!$D$5:$D$92,'0200'!A620,'Daftar Koreksi'!$G$5:$G$92,"Tanah",'Daftar Koreksi'!$H$5:$H$92,"&lt;0")</f>
        <v>0</v>
      </c>
      <c r="G624" s="17">
        <f t="shared" ref="G624:G640" si="28">D624+E624-F624</f>
        <v>5379236434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1060860135</v>
      </c>
      <c r="E625" s="25">
        <f>SUMIFS('Daftar Koreksi'!$H$5:$H$92,'Daftar Koreksi'!$D$5:$D$92,'0200'!A620,'Daftar Koreksi'!$G$5:$G$92,"Peralatan dan mesin",'Daftar Koreksi'!$H$5:$H$92,"&gt;0")</f>
        <v>0</v>
      </c>
      <c r="F625" s="25">
        <f>SUMIFS('Daftar Koreksi'!$H$5:$H$92,'Daftar Koreksi'!$D$5:$D$92,'0200'!A620,'Daftar Koreksi'!$G$5:$G$92,"Peralatan dan mesin",'Daftar Koreksi'!$H$5:$H$92,"&lt;0")-SUMIFS('Daftar Koreksi'!$H$5:$H$92,'Daftar Koreksi'!$D$5:$D$92,'0200'!A620,'Daftar Koreksi'!$G$5:$G$92,"Peralatan dan mesin",'Daftar Koreksi'!$H$5:$H$92,"&lt;0")-SUMIFS('Daftar Koreksi'!$H$5:$H$92,'Daftar Koreksi'!$D$5:$D$92,'0200'!A620,'Daftar Koreksi'!$G$5:$G$92,"Peralatan dan mesin",'Daftar Koreksi'!$H$5:$H$92,"&lt;0")</f>
        <v>0</v>
      </c>
      <c r="G625" s="17">
        <f t="shared" si="28"/>
        <v>1060860135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735372900</v>
      </c>
      <c r="E626" s="25">
        <f>SUMIFS('Daftar Koreksi'!$H$5:$H$92,'Daftar Koreksi'!$D$5:$D$92,'0200'!A620,'Daftar Koreksi'!$G$5:$G$92,"Gedung dan Bangunan",'Daftar Koreksi'!$H$5:$H$92,"&gt;0")</f>
        <v>0</v>
      </c>
      <c r="F626" s="25">
        <f>SUMIFS('Daftar Koreksi'!$H$5:$H$92,'Daftar Koreksi'!$D$5:$D$92,'0200'!A620,'Daftar Koreksi'!$G$5:$G$92,"Gedung dan Bangunan",'Daftar Koreksi'!$H$5:$H$92,"&lt;0")-SUMIFS('Daftar Koreksi'!$H$5:$H$92,'Daftar Koreksi'!$D$5:$D$92,'0200'!A620,'Daftar Koreksi'!$G$5:$G$92,"Gedung dan Bangunan",'Daftar Koreksi'!$H$5:$H$92,"&lt;0")-SUMIFS('Daftar Koreksi'!$H$5:$H$92,'Daftar Koreksi'!$D$5:$D$92,'0200'!A620,'Daftar Koreksi'!$G$5:$G$92,"Gedung dan Bangunan",'Daftar Koreksi'!$H$5:$H$92,"&lt;0")</f>
        <v>0</v>
      </c>
      <c r="G626" s="17">
        <f t="shared" si="28"/>
        <v>735372900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0</v>
      </c>
      <c r="E627" s="25">
        <f>SUMIFS('Daftar Koreksi'!$H$5:$H$92,'Daftar Koreksi'!$D$5:$D$92,'0200'!A620,'Daftar Koreksi'!$G$5:$G$92,"Jalan Irigasi Jaringan",'Daftar Koreksi'!$H$5:$H$92,"&gt;0")</f>
        <v>0</v>
      </c>
      <c r="F627" s="25">
        <f>SUMIFS('Daftar Koreksi'!$H$5:$H$92,'Daftar Koreksi'!$D$5:$D$92,'0200'!A620,'Daftar Koreksi'!$G$5:$G$92,"Jalan Irigasi Jaringan",'Daftar Koreksi'!$H$5:$H$92,"&lt;0")-SUMIFS('Daftar Koreksi'!$H$5:$H$92,'Daftar Koreksi'!$D$5:$D$92,'0200'!A620,'Daftar Koreksi'!$G$5:$G$92,"Jalan Irigasi Jaringan",'Daftar Koreksi'!$H$5:$H$92,"&lt;0")-SUMIFS('Daftar Koreksi'!$H$5:$H$92,'Daftar Koreksi'!$D$5:$D$92,'0200'!A620,'Daftar Koreksi'!$G$5:$G$92,"Jalan Irigasi Jaringan",'Daftar Koreksi'!$H$5:$H$92,"&lt;0")</f>
        <v>0</v>
      </c>
      <c r="G627" s="17">
        <f t="shared" si="28"/>
        <v>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408000</v>
      </c>
      <c r="E628" s="25">
        <f>SUMIFS('Daftar Koreksi'!$H$5:$H$92,'Daftar Koreksi'!$D$5:$D$92,'0200'!A620,'Daftar Koreksi'!$G$5:$G$92,"Aset Tetap Lainnya",'Daftar Koreksi'!$H$5:$H$92,"&gt;0")</f>
        <v>0</v>
      </c>
      <c r="F628" s="25">
        <f>SUMIFS('Daftar Koreksi'!$H$5:$H$92,'Daftar Koreksi'!$D$5:$D$92,'0200'!A620,'Daftar Koreksi'!$G$5:$G$92,"Aset Tetap Lainnya",'Daftar Koreksi'!$H$5:$H$92,"&lt;0")-SUMIFS('Daftar Koreksi'!$H$5:$H$92,'Daftar Koreksi'!$D$5:$D$92,'0200'!A620,'Daftar Koreksi'!$G$5:$G$92,"Aset Tetap Lainnya",'Daftar Koreksi'!$H$5:$H$92,"&lt;0")-SUMIFS('Daftar Koreksi'!$H$5:$H$92,'Daftar Koreksi'!$D$5:$D$92,'0200'!A620,'Daftar Koreksi'!$G$5:$G$92,"Aset Tetap Lainnya",'Daftar Koreksi'!$H$5:$H$92,"&lt;0")</f>
        <v>0</v>
      </c>
      <c r="G628" s="17">
        <f t="shared" si="28"/>
        <v>408000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Koreksi'!$D$5:$D$92,'0200'!A620,'Daftar Koreksi'!$G$5:$G$92,"Kontruksi Dalam Pengerjaan",'Daftar Koreksi'!$H$5:$H$92,"&gt;0")</f>
        <v>0</v>
      </c>
      <c r="F629" s="25">
        <f>SUMIFS('Daftar Koreksi'!$H$5:$H$92,'Daftar Koreksi'!$D$5:$D$92,'0200'!A620,'Daftar Koreksi'!$G$5:$G$92,"Kontruksi Dalam Pengerjaan",'Daftar Koreksi'!$H$5:$H$92,"&lt;0")-SUMIFS('Daftar Koreksi'!$H$5:$H$92,'Daftar Koreksi'!$D$5:$D$92,'0200'!A620,'Daftar Koreksi'!$G$5:$G$92,"Kontruksi Dalam Pengerjaan",'Daftar Koreksi'!$H$5:$H$92,"&lt;0")-SUMIFS('Daftar Koreksi'!$H$5:$H$92,'Daftar Koreksi'!$D$5:$D$92,'0200'!A620,'Daftar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72955000</v>
      </c>
      <c r="E630" s="25">
        <f>SUMIFS('Daftar Koreksi'!$H$5:$H$92,'Daftar Koreksi'!$D$5:$D$92,'0200'!A620,'Daftar Koreksi'!$G$5:$G$92,"Aset Tak Berwujud",'Daftar Koreksi'!$H$5:$H$92,"&gt;0")</f>
        <v>0</v>
      </c>
      <c r="F630" s="25">
        <f>SUMIFS('Daftar Koreksi'!$H$5:$H$92,'Daftar Koreksi'!$D$5:$D$92,'0200'!A620,'Daftar Koreksi'!$G$5:$G$92,"Aset Tak Berwujud",'Daftar Koreksi'!$H$5:$H$92,"&lt;0")-SUMIFS('Daftar Koreksi'!$H$5:$H$92,'Daftar Koreksi'!$D$5:$D$92,'0200'!A620,'Daftar Koreksi'!$G$5:$G$92,"Aset Tak Berwujud",'Daftar Koreksi'!$H$5:$H$92,"&lt;0")-SUMIFS('Daftar Koreksi'!$H$5:$H$92,'Daftar Koreksi'!$D$5:$D$92,'0200'!A620,'Daftar Koreksi'!$G$5:$G$92,"Aset Tak Berwujud",'Daftar Koreksi'!$H$5:$H$92,"&lt;0")</f>
        <v>0</v>
      </c>
      <c r="G630" s="17">
        <f t="shared" si="28"/>
        <v>72955000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88296875</v>
      </c>
      <c r="E631" s="25">
        <f>SUMIFS('Daftar Koreksi'!$H$5:$H$92,'Daftar Koreksi'!$D$5:$D$92,'0200'!A620,'Daftar Koreksi'!$G$5:$G$92,"Aset Henti Guna",'Daftar Koreksi'!$H$5:$H$92,"&gt;0")</f>
        <v>0</v>
      </c>
      <c r="F631" s="25">
        <f>SUMIFS('Daftar Koreksi'!$H$5:$H$92,'Daftar Koreksi'!$D$5:$D$92,'0200'!A620,'Daftar Koreksi'!$G$5:$G$92,"Aset Henti Guna",'Daftar Koreksi'!$H$5:$H$92,"&lt;0")-SUMIFS('Daftar Koreksi'!$H$5:$H$92,'Daftar Koreksi'!$D$5:$D$92,'0200'!A620,'Daftar Koreksi'!$G$5:$G$92,"Aset Henti Guna",'Daftar Koreksi'!$H$5:$H$92,"&lt;0")-SUMIFS('Daftar Koreksi'!$H$5:$H$92,'Daftar Koreksi'!$D$5:$D$92,'0200'!A620,'Daftar Koreksi'!$G$5:$G$92,"Aset Henti Guna",'Daftar Koreksi'!$H$5:$H$92,"&lt;0")</f>
        <v>0</v>
      </c>
      <c r="G631" s="17">
        <f t="shared" si="28"/>
        <v>88296875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7340993794</v>
      </c>
      <c r="E632" s="19">
        <f>SUM(E623:E631)</f>
        <v>0</v>
      </c>
      <c r="F632" s="19">
        <f>SUM(F623:F631)</f>
        <v>0</v>
      </c>
      <c r="G632" s="19">
        <f t="shared" si="28"/>
        <v>7340993794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-822731313</v>
      </c>
      <c r="E633" s="25">
        <f>SUMIFS('Daftar Koreksi'!$I$5:$I$92,'Daftar Koreksi'!$D$5:$D$92,'0200'!A620,'Daftar Koreksi'!$G$5:$G$92,"Peralatan dan mesin",'Daftar Koreksi'!$I$5:$I$92,"&gt;0")</f>
        <v>0</v>
      </c>
      <c r="F633" s="25">
        <f>SUMIFS('Daftar Koreksi'!$I$5:$I$92,'Daftar Koreksi'!$D$5:$D$92,'0200'!A620,'Daftar Koreksi'!$G$5:$G$92,"Peralatan dan mesin",'Daftar Koreksi'!$I$5:$I$92,"&lt;0")-SUMIFS('Daftar Koreksi'!$I$5:$I$92,'Daftar Koreksi'!$D$5:$D$92,'0200'!A620,'Daftar Koreksi'!$G$5:$G$92,"Peralatan dan mesin",'Daftar Koreksi'!$I$5:$I$92,"&lt;0")-SUMIFS('Daftar Koreksi'!$I$5:$I$92,'Daftar Koreksi'!$D$5:$D$92,'0200'!A620,'Daftar Koreksi'!$G$5:$G$92,"Peralatan dan mesin",'Daftar Koreksi'!$I$5:$I$92,"&lt;0")</f>
        <v>0</v>
      </c>
      <c r="G633" s="17">
        <f t="shared" si="28"/>
        <v>-822731313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-282516560</v>
      </c>
      <c r="E634" s="25">
        <f>SUMIFS('Daftar Koreksi'!$I$5:$I$92,'Daftar Koreksi'!$D$5:$D$92,'0200'!A620,'Daftar Koreksi'!$G$5:$G$92,"Gedung dan Bangunan",'Daftar Koreksi'!$I$5:$I$92,"&gt;0")</f>
        <v>0</v>
      </c>
      <c r="F634" s="25">
        <f>SUMIFS('Daftar Koreksi'!$I$5:$I$92,'Daftar Koreksi'!$D$5:$D$92,'0200'!A620,'Daftar Koreksi'!$G$5:$G$92,"Gedung dan Bangunan",'Daftar Koreksi'!$I$5:$I$92,"&lt;0")-SUMIFS('Daftar Koreksi'!$I$5:$I$92,'Daftar Koreksi'!$D$5:$D$92,'0200'!A620,'Daftar Koreksi'!$G$5:$G$92,"Gedung dan Bangunan",'Daftar Koreksi'!$I$5:$I$92,"&lt;0")-SUMIFS('Daftar Koreksi'!$I$5:$I$92,'Daftar Koreksi'!$D$5:$D$92,'0200'!A620,'Daftar Koreksi'!$G$5:$G$92,"Gedung dan Bangunan",'Daftar Koreksi'!$I$5:$I$92,"&lt;0")</f>
        <v>0</v>
      </c>
      <c r="G634" s="17">
        <f t="shared" si="28"/>
        <v>-282516560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0</v>
      </c>
      <c r="E635" s="25">
        <f>SUMIFS('Daftar Koreksi'!$I$5:$I$92,'Daftar Koreksi'!$D$5:$D$92,'0200'!A620,'Daftar Koreksi'!$G$5:$G$92,"Jalan Irigasi Jaringan",'Daftar Koreksi'!$I$5:$I$92,"&gt;0")</f>
        <v>0</v>
      </c>
      <c r="F635" s="25">
        <f>SUMIFS('Daftar Koreksi'!$I$5:$I$92,'Daftar Koreksi'!$D$5:$D$92,'0200'!A620,'Daftar Koreksi'!$G$5:$G$92,"Jalan Irigasi Jaringan",'Daftar Koreksi'!$I$5:$I$92,"&lt;0")-SUMIFS('Daftar Koreksi'!$I$5:$I$92,'Daftar Koreksi'!$D$5:$D$92,'0200'!A620,'Daftar Koreksi'!$G$5:$G$92,"Jalan Irigasi Jaringan",'Daftar Koreksi'!$I$5:$I$92,"&lt;0")-SUMIFS('Daftar Koreksi'!$I$5:$I$92,'Daftar Koreksi'!$D$5:$D$92,'0200'!A620,'Daftar Koreksi'!$G$5:$G$92,"Jalan Irigasi Jaringan",'Daftar Koreksi'!$I$5:$I$92,"&lt;0")</f>
        <v>0</v>
      </c>
      <c r="G635" s="17">
        <f t="shared" si="28"/>
        <v>0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Koreksi'!$D$5:$D$92,'0200'!A620,'Daftar Koreksi'!$G$5:$G$92,"Aset Tetap Lainnya",'Daftar Koreksi'!$I$5:$I$92,"&gt;0")</f>
        <v>0</v>
      </c>
      <c r="F636" s="25">
        <f>SUMIFS('Daftar Koreksi'!$I$5:$I$92,'Daftar Koreksi'!$D$5:$D$92,'0200'!A620,'Daftar Koreksi'!$G$5:$G$92,"Aset Tetap Lainnya",'Daftar Koreksi'!$I$5:$I$92,"&lt;0")-SUMIFS('Daftar Koreksi'!$I$5:$I$92,'Daftar Koreksi'!$D$5:$D$92,'0200'!A620,'Daftar Koreksi'!$G$5:$G$92,"Aset Tetap Lainnya",'Daftar Koreksi'!$I$5:$I$92,"&lt;0")-SUMIFS('Daftar Koreksi'!$I$5:$I$92,'Daftar Koreksi'!$D$5:$D$92,'0200'!A620,'Daftar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-88296875</v>
      </c>
      <c r="E637" s="25">
        <f>SUMIFS('Daftar Koreksi'!$I$5:$I$92,'Daftar Koreksi'!$D$5:$D$92,'0200'!A620,'Daftar Koreksi'!$G$5:$G$92,"Aset Henti Guna",'Daftar Koreksi'!$I$5:$I$92,"&gt;0")</f>
        <v>0</v>
      </c>
      <c r="F637" s="25">
        <f>SUMIFS('Daftar Koreksi'!$I$5:$I$92,'Daftar Koreksi'!$D$5:$D$92,'0200'!A620,'Daftar Koreksi'!$G$5:$G$92,"Aset Henti Guna",'Daftar Koreksi'!$I$5:$I$92,"&lt;0")-SUMIFS('Daftar Koreksi'!$I$5:$I$92,'Daftar Koreksi'!$D$5:$D$92,'0200'!A620,'Daftar Koreksi'!$G$5:$G$92,"Aset Henti Guna",'Daftar Koreksi'!$I$5:$I$92,"&lt;0")-SUMIFS('Daftar Koreksi'!$I$5:$I$92,'Daftar Koreksi'!$D$5:$D$92,'0200'!A620,'Daftar Koreksi'!$G$5:$G$92,"Aset Henti Guna",'Daftar Koreksi'!$I$5:$I$92,"&lt;0")</f>
        <v>0</v>
      </c>
      <c r="G637" s="17">
        <f t="shared" si="28"/>
        <v>-88296875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-1193544748</v>
      </c>
      <c r="E638" s="19">
        <f>SUM(E633:E637)</f>
        <v>0</v>
      </c>
      <c r="F638" s="19">
        <f>SUM(F633:F637)</f>
        <v>0</v>
      </c>
      <c r="G638" s="19">
        <f t="shared" si="28"/>
        <v>-1193544748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6147449046</v>
      </c>
      <c r="E639" s="19">
        <f>E638+E632</f>
        <v>0</v>
      </c>
      <c r="F639" s="19">
        <f>F638+F632</f>
        <v>0</v>
      </c>
      <c r="G639" s="19">
        <f t="shared" si="28"/>
        <v>6147449046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005010200400741000KD</v>
      </c>
      <c r="B642" s="11" t="str">
        <f>P30</f>
        <v>PA. Cianjur</v>
      </c>
      <c r="C642" s="12" t="str">
        <f>A642&amp;" "&amp;B642</f>
        <v>005010200400741000KD PA. Cianjur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0</v>
      </c>
      <c r="E645" s="25">
        <f>SUMIFS('Daftar Koreksi'!$H$5:$H$92,'Daftar Koreksi'!$D$5:$D$92,'0200'!A642,'Daftar Koreksi'!$G$5:$G$92,"Persediaan",'Daftar Koreksi'!$H$5:$H$92,"&gt;0")</f>
        <v>0</v>
      </c>
      <c r="F645" s="25">
        <f>SUMIFS('Daftar Koreksi'!$H$5:$H$92,'Daftar Koreksi'!$D$5:$D$92,'0200'!A642,'Daftar Koreksi'!$G$5:$G$92,"Persediaan",'Daftar Koreksi'!$H$5:$H$92,"&lt;0")-SUMIFS('Daftar Koreksi'!$H$5:$H$92,'Daftar Koreksi'!$D$5:$D$92,'0200'!A642,'Daftar Koreksi'!$G$5:$G$92,"Persediaan",'Daftar Koreksi'!$H$5:$H$92,"&lt;0")-SUMIFS('Daftar Koreksi'!$H$5:$H$92,'Daftar Koreksi'!$D$5:$D$92,'0200'!A642,'Daftar Koreksi'!$G$5:$G$92,"Persediaan",'Daftar Koreksi'!$H$5:$H$92,"&lt;0")</f>
        <v>0</v>
      </c>
      <c r="G645" s="17">
        <f>D645+E645-F645</f>
        <v>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4061296300</v>
      </c>
      <c r="E646" s="25">
        <f>SUMIFS('Daftar Koreksi'!$H$5:$H$92,'Daftar Koreksi'!$D$5:$D$92,'0200'!A642,'Daftar Koreksi'!$G$5:$G$92,"Tanah",'Daftar Koreksi'!$H$5:$H$92,"&gt;0")</f>
        <v>0</v>
      </c>
      <c r="F646" s="25">
        <f>SUMIFS('Daftar Koreksi'!$H$5:$H$92,'Daftar Koreksi'!$D$5:$D$92,'0200'!A642,'Daftar Koreksi'!$G$5:$G$92,"Tanah",'Daftar Koreksi'!$H$5:$H$92,"&lt;0")-SUMIFS('Daftar Koreksi'!$H$5:$H$92,'Daftar Koreksi'!$D$5:$D$92,'0200'!A642,'Daftar Koreksi'!$G$5:$G$92,"Tanah",'Daftar Koreksi'!$H$5:$H$92,"&lt;0")-SUMIFS('Daftar Koreksi'!$H$5:$H$92,'Daftar Koreksi'!$D$5:$D$92,'0200'!A642,'Daftar Koreksi'!$G$5:$G$92,"Tanah",'Daftar Koreksi'!$H$5:$H$92,"&lt;0")</f>
        <v>0</v>
      </c>
      <c r="G646" s="17">
        <f t="shared" ref="G646:G662" si="29">D646+E646-F646</f>
        <v>4061296300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1707486992</v>
      </c>
      <c r="E647" s="25">
        <f>SUMIFS('Daftar Koreksi'!$H$5:$H$92,'Daftar Koreksi'!$D$5:$D$92,'0200'!A642,'Daftar Koreksi'!$G$5:$G$92,"Peralatan dan mesin",'Daftar Koreksi'!$H$5:$H$92,"&gt;0")</f>
        <v>0</v>
      </c>
      <c r="F647" s="25">
        <f>SUMIFS('Daftar Koreksi'!$H$5:$H$92,'Daftar Koreksi'!$D$5:$D$92,'0200'!A642,'Daftar Koreksi'!$G$5:$G$92,"Peralatan dan mesin",'Daftar Koreksi'!$H$5:$H$92,"&lt;0")-SUMIFS('Daftar Koreksi'!$H$5:$H$92,'Daftar Koreksi'!$D$5:$D$92,'0200'!A642,'Daftar Koreksi'!$G$5:$G$92,"Peralatan dan mesin",'Daftar Koreksi'!$H$5:$H$92,"&lt;0")-SUMIFS('Daftar Koreksi'!$H$5:$H$92,'Daftar Koreksi'!$D$5:$D$92,'0200'!A642,'Daftar Koreksi'!$G$5:$G$92,"Peralatan dan mesin",'Daftar Koreksi'!$H$5:$H$92,"&lt;0")</f>
        <v>0</v>
      </c>
      <c r="G647" s="17">
        <f t="shared" si="29"/>
        <v>1707486992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7074577950</v>
      </c>
      <c r="E648" s="25">
        <f>SUMIFS('Daftar Koreksi'!$H$5:$H$92,'Daftar Koreksi'!$D$5:$D$92,'0200'!A642,'Daftar Koreksi'!$G$5:$G$92,"Gedung dan Bangunan",'Daftar Koreksi'!$H$5:$H$92,"&gt;0")</f>
        <v>0</v>
      </c>
      <c r="F648" s="25">
        <f>SUMIFS('Daftar Koreksi'!$H$5:$H$92,'Daftar Koreksi'!$D$5:$D$92,'0200'!A642,'Daftar Koreksi'!$G$5:$G$92,"Gedung dan Bangunan",'Daftar Koreksi'!$H$5:$H$92,"&lt;0")-SUMIFS('Daftar Koreksi'!$H$5:$H$92,'Daftar Koreksi'!$D$5:$D$92,'0200'!A642,'Daftar Koreksi'!$G$5:$G$92,"Gedung dan Bangunan",'Daftar Koreksi'!$H$5:$H$92,"&lt;0")-SUMIFS('Daftar Koreksi'!$H$5:$H$92,'Daftar Koreksi'!$D$5:$D$92,'0200'!A642,'Daftar Koreksi'!$G$5:$G$92,"Gedung dan Bangunan",'Daftar Koreksi'!$H$5:$H$92,"&lt;0")</f>
        <v>0</v>
      </c>
      <c r="G648" s="17">
        <f t="shared" si="29"/>
        <v>7074577950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0</v>
      </c>
      <c r="E649" s="25">
        <f>SUMIFS('Daftar Koreksi'!$H$5:$H$92,'Daftar Koreksi'!$D$5:$D$92,'0200'!A642,'Daftar Koreksi'!$G$5:$G$92,"Jalan Irigasi Jaringan",'Daftar Koreksi'!$H$5:$H$92,"&gt;0")</f>
        <v>0</v>
      </c>
      <c r="F649" s="25">
        <f>SUMIFS('Daftar Koreksi'!$H$5:$H$92,'Daftar Koreksi'!$D$5:$D$92,'0200'!A642,'Daftar Koreksi'!$G$5:$G$92,"Jalan Irigasi Jaringan",'Daftar Koreksi'!$H$5:$H$92,"&lt;0")-SUMIFS('Daftar Koreksi'!$H$5:$H$92,'Daftar Koreksi'!$D$5:$D$92,'0200'!A642,'Daftar Koreksi'!$G$5:$G$92,"Jalan Irigasi Jaringan",'Daftar Koreksi'!$H$5:$H$92,"&lt;0")-SUMIFS('Daftar Koreksi'!$H$5:$H$92,'Daftar Koreksi'!$D$5:$D$92,'0200'!A642,'Daftar Koreksi'!$G$5:$G$92,"Jalan Irigasi Jaringan",'Daftar Koreksi'!$H$5:$H$92,"&lt;0")</f>
        <v>0</v>
      </c>
      <c r="G649" s="17">
        <f t="shared" si="29"/>
        <v>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408000</v>
      </c>
      <c r="E650" s="25">
        <f>SUMIFS('Daftar Koreksi'!$H$5:$H$92,'Daftar Koreksi'!$D$5:$D$92,'0200'!A642,'Daftar Koreksi'!$G$5:$G$92,"Aset Tetap Lainnya",'Daftar Koreksi'!$H$5:$H$92,"&gt;0")</f>
        <v>0</v>
      </c>
      <c r="F650" s="25">
        <f>SUMIFS('Daftar Koreksi'!$H$5:$H$92,'Daftar Koreksi'!$D$5:$D$92,'0200'!A642,'Daftar Koreksi'!$G$5:$G$92,"Aset Tetap Lainnya",'Daftar Koreksi'!$H$5:$H$92,"&lt;0")-SUMIFS('Daftar Koreksi'!$H$5:$H$92,'Daftar Koreksi'!$D$5:$D$92,'0200'!A642,'Daftar Koreksi'!$G$5:$G$92,"Aset Tetap Lainnya",'Daftar Koreksi'!$H$5:$H$92,"&lt;0")-SUMIFS('Daftar Koreksi'!$H$5:$H$92,'Daftar Koreksi'!$D$5:$D$92,'0200'!A642,'Daftar Koreksi'!$G$5:$G$92,"Aset Tetap Lainnya",'Daftar Koreksi'!$H$5:$H$92,"&lt;0")</f>
        <v>0</v>
      </c>
      <c r="G650" s="17">
        <f t="shared" si="29"/>
        <v>408000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Koreksi'!$D$5:$D$92,'0200'!A642,'Daftar Koreksi'!$G$5:$G$92,"Kontruksi Dalam Pengerjaan",'Daftar Koreksi'!$H$5:$H$92,"&gt;0")</f>
        <v>0</v>
      </c>
      <c r="F651" s="25">
        <f>SUMIFS('Daftar Koreksi'!$H$5:$H$92,'Daftar Koreksi'!$D$5:$D$92,'0200'!A642,'Daftar Koreksi'!$G$5:$G$92,"Kontruksi Dalam Pengerjaan",'Daftar Koreksi'!$H$5:$H$92,"&lt;0")-SUMIFS('Daftar Koreksi'!$H$5:$H$92,'Daftar Koreksi'!$D$5:$D$92,'0200'!A642,'Daftar Koreksi'!$G$5:$G$92,"Kontruksi Dalam Pengerjaan",'Daftar Koreksi'!$H$5:$H$92,"&lt;0")-SUMIFS('Daftar Koreksi'!$H$5:$H$92,'Daftar Koreksi'!$D$5:$D$92,'0200'!A642,'Daftar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76500000</v>
      </c>
      <c r="E652" s="25">
        <f>SUMIFS('Daftar Koreksi'!$H$5:$H$92,'Daftar Koreksi'!$D$5:$D$92,'0200'!A642,'Daftar Koreksi'!$G$5:$G$92,"Aset Tak Berwujud",'Daftar Koreksi'!$H$5:$H$92,"&gt;0")</f>
        <v>0</v>
      </c>
      <c r="F652" s="25">
        <f>SUMIFS('Daftar Koreksi'!$H$5:$H$92,'Daftar Koreksi'!$D$5:$D$92,'0200'!A642,'Daftar Koreksi'!$G$5:$G$92,"Aset Tak Berwujud",'Daftar Koreksi'!$H$5:$H$92,"&lt;0")-SUMIFS('Daftar Koreksi'!$H$5:$H$92,'Daftar Koreksi'!$D$5:$D$92,'0200'!A642,'Daftar Koreksi'!$G$5:$G$92,"Aset Tak Berwujud",'Daftar Koreksi'!$H$5:$H$92,"&lt;0")-SUMIFS('Daftar Koreksi'!$H$5:$H$92,'Daftar Koreksi'!$D$5:$D$92,'0200'!A642,'Daftar Koreksi'!$G$5:$G$92,"Aset Tak Berwujud",'Daftar Koreksi'!$H$5:$H$92,"&lt;0")</f>
        <v>0</v>
      </c>
      <c r="G652" s="17">
        <f t="shared" si="29"/>
        <v>76500000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0</v>
      </c>
      <c r="E653" s="25">
        <f>SUMIFS('Daftar Koreksi'!$H$5:$H$92,'Daftar Koreksi'!$D$5:$D$92,'0200'!A642,'Daftar Koreksi'!$G$5:$G$92,"Aset Henti Guna",'Daftar Koreksi'!$H$5:$H$92,"&gt;0")</f>
        <v>0</v>
      </c>
      <c r="F653" s="25">
        <f>SUMIFS('Daftar Koreksi'!$H$5:$H$92,'Daftar Koreksi'!$D$5:$D$92,'0200'!A642,'Daftar Koreksi'!$G$5:$G$92,"Aset Henti Guna",'Daftar Koreksi'!$H$5:$H$92,"&lt;0")-SUMIFS('Daftar Koreksi'!$H$5:$H$92,'Daftar Koreksi'!$D$5:$D$92,'0200'!A642,'Daftar Koreksi'!$G$5:$G$92,"Aset Henti Guna",'Daftar Koreksi'!$H$5:$H$92,"&lt;0")-SUMIFS('Daftar Koreksi'!$H$5:$H$92,'Daftar Koreksi'!$D$5:$D$92,'0200'!A642,'Daftar Koreksi'!$G$5:$G$92,"Aset Henti Guna",'Daftar Koreksi'!$H$5:$H$92,"&lt;0")</f>
        <v>0</v>
      </c>
      <c r="G653" s="17">
        <f t="shared" si="29"/>
        <v>0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12920269242</v>
      </c>
      <c r="E654" s="19">
        <f>SUM(E645:E653)</f>
        <v>0</v>
      </c>
      <c r="F654" s="19">
        <f>SUM(F645:F653)</f>
        <v>0</v>
      </c>
      <c r="G654" s="19">
        <f t="shared" si="29"/>
        <v>12920269242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-1567292709</v>
      </c>
      <c r="E655" s="25">
        <f>SUMIFS('Daftar Koreksi'!$I$5:$I$92,'Daftar Koreksi'!$D$5:$D$92,'0200'!A642,'Daftar Koreksi'!$G$5:$G$92,"Peralatan dan mesin",'Daftar Koreksi'!$I$5:$I$92,"&gt;0")</f>
        <v>0</v>
      </c>
      <c r="F655" s="25">
        <f>SUMIFS('Daftar Koreksi'!$I$5:$I$92,'Daftar Koreksi'!$D$5:$D$92,'0200'!A642,'Daftar Koreksi'!$G$5:$G$92,"Peralatan dan mesin",'Daftar Koreksi'!$I$5:$I$92,"&lt;0")-SUMIFS('Daftar Koreksi'!$I$5:$I$92,'Daftar Koreksi'!$D$5:$D$92,'0200'!A642,'Daftar Koreksi'!$G$5:$G$92,"Peralatan dan mesin",'Daftar Koreksi'!$I$5:$I$92,"&lt;0")-SUMIFS('Daftar Koreksi'!$I$5:$I$92,'Daftar Koreksi'!$D$5:$D$92,'0200'!A642,'Daftar Koreksi'!$G$5:$G$92,"Peralatan dan mesin",'Daftar Koreksi'!$I$5:$I$92,"&lt;0")</f>
        <v>0</v>
      </c>
      <c r="G655" s="17">
        <f t="shared" si="29"/>
        <v>-1567292709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-960520900</v>
      </c>
      <c r="E656" s="25">
        <f>SUMIFS('Daftar Koreksi'!$I$5:$I$92,'Daftar Koreksi'!$D$5:$D$92,'0200'!A642,'Daftar Koreksi'!$G$5:$G$92,"Gedung dan Bangunan",'Daftar Koreksi'!$I$5:$I$92,"&gt;0")</f>
        <v>0</v>
      </c>
      <c r="F656" s="25">
        <f>SUMIFS('Daftar Koreksi'!$I$5:$I$92,'Daftar Koreksi'!$D$5:$D$92,'0200'!A642,'Daftar Koreksi'!$G$5:$G$92,"Gedung dan Bangunan",'Daftar Koreksi'!$I$5:$I$92,"&lt;0")-SUMIFS('Daftar Koreksi'!$I$5:$I$92,'Daftar Koreksi'!$D$5:$D$92,'0200'!A642,'Daftar Koreksi'!$G$5:$G$92,"Gedung dan Bangunan",'Daftar Koreksi'!$I$5:$I$92,"&lt;0")-SUMIFS('Daftar Koreksi'!$I$5:$I$92,'Daftar Koreksi'!$D$5:$D$92,'0200'!A642,'Daftar Koreksi'!$G$5:$G$92,"Gedung dan Bangunan",'Daftar Koreksi'!$I$5:$I$92,"&lt;0")</f>
        <v>0</v>
      </c>
      <c r="G656" s="17">
        <f t="shared" si="29"/>
        <v>-960520900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0</v>
      </c>
      <c r="E657" s="25">
        <f>SUMIFS('Daftar Koreksi'!$I$5:$I$92,'Daftar Koreksi'!$D$5:$D$92,'0200'!A642,'Daftar Koreksi'!$G$5:$G$92,"Jalan Irigasi Jaringan",'Daftar Koreksi'!$I$5:$I$92,"&gt;0")</f>
        <v>0</v>
      </c>
      <c r="F657" s="25">
        <f>SUMIFS('Daftar Koreksi'!$I$5:$I$92,'Daftar Koreksi'!$D$5:$D$92,'0200'!A642,'Daftar Koreksi'!$G$5:$G$92,"Jalan Irigasi Jaringan",'Daftar Koreksi'!$I$5:$I$92,"&lt;0")-SUMIFS('Daftar Koreksi'!$I$5:$I$92,'Daftar Koreksi'!$D$5:$D$92,'0200'!A642,'Daftar Koreksi'!$G$5:$G$92,"Jalan Irigasi Jaringan",'Daftar Koreksi'!$I$5:$I$92,"&lt;0")-SUMIFS('Daftar Koreksi'!$I$5:$I$92,'Daftar Koreksi'!$D$5:$D$92,'0200'!A642,'Daftar Koreksi'!$G$5:$G$92,"Jalan Irigasi Jaringan",'Daftar Koreksi'!$I$5:$I$92,"&lt;0")</f>
        <v>0</v>
      </c>
      <c r="G657" s="17">
        <f t="shared" si="29"/>
        <v>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Koreksi'!$D$5:$D$92,'0200'!A642,'Daftar Koreksi'!$G$5:$G$92,"Aset Tetap Lainnya",'Daftar Koreksi'!$I$5:$I$92,"&gt;0")</f>
        <v>0</v>
      </c>
      <c r="F658" s="25">
        <f>SUMIFS('Daftar Koreksi'!$I$5:$I$92,'Daftar Koreksi'!$D$5:$D$92,'0200'!A642,'Daftar Koreksi'!$G$5:$G$92,"Aset Tetap Lainnya",'Daftar Koreksi'!$I$5:$I$92,"&lt;0")-SUMIFS('Daftar Koreksi'!$I$5:$I$92,'Daftar Koreksi'!$D$5:$D$92,'0200'!A642,'Daftar Koreksi'!$G$5:$G$92,"Aset Tetap Lainnya",'Daftar Koreksi'!$I$5:$I$92,"&lt;0")-SUMIFS('Daftar Koreksi'!$I$5:$I$92,'Daftar Koreksi'!$D$5:$D$92,'0200'!A642,'Daftar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0</v>
      </c>
      <c r="E659" s="25">
        <f>SUMIFS('Daftar Koreksi'!$I$5:$I$92,'Daftar Koreksi'!$D$5:$D$92,'0200'!A642,'Daftar Koreksi'!$G$5:$G$92,"Aset Henti Guna",'Daftar Koreksi'!$I$5:$I$92,"&gt;0")</f>
        <v>0</v>
      </c>
      <c r="F659" s="25">
        <f>SUMIFS('Daftar Koreksi'!$I$5:$I$92,'Daftar Koreksi'!$D$5:$D$92,'0200'!A642,'Daftar Koreksi'!$G$5:$G$92,"Aset Henti Guna",'Daftar Koreksi'!$I$5:$I$92,"&lt;0")-SUMIFS('Daftar Koreksi'!$I$5:$I$92,'Daftar Koreksi'!$D$5:$D$92,'0200'!A642,'Daftar Koreksi'!$G$5:$G$92,"Aset Henti Guna",'Daftar Koreksi'!$I$5:$I$92,"&lt;0")-SUMIFS('Daftar Koreksi'!$I$5:$I$92,'Daftar Koreksi'!$D$5:$D$92,'0200'!A642,'Daftar Koreksi'!$G$5:$G$92,"Aset Henti Guna",'Daftar Koreksi'!$I$5:$I$92,"&lt;0")</f>
        <v>0</v>
      </c>
      <c r="G659" s="17">
        <f t="shared" si="29"/>
        <v>0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-2527813609</v>
      </c>
      <c r="E660" s="19">
        <f>SUM(E655:E659)</f>
        <v>0</v>
      </c>
      <c r="F660" s="19">
        <f>SUM(F655:F659)</f>
        <v>0</v>
      </c>
      <c r="G660" s="19">
        <f t="shared" si="29"/>
        <v>-2527813609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10392455633</v>
      </c>
      <c r="E661" s="19">
        <f>E660+E654</f>
        <v>0</v>
      </c>
      <c r="F661" s="19">
        <f>F660+F654</f>
        <v>0</v>
      </c>
      <c r="G661" s="19">
        <f t="shared" si="29"/>
        <v>10392455633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005010200400750000KD</v>
      </c>
      <c r="B664" s="11" t="str">
        <f>P31</f>
        <v>PA. Cirebon</v>
      </c>
      <c r="C664" s="12" t="str">
        <f>A664&amp;" "&amp;B664</f>
        <v>005010200400750000KD PA. Cirebon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1971249</v>
      </c>
      <c r="E667" s="25">
        <f>SUMIFS('Daftar Koreksi'!$H$5:$H$92,'Daftar Koreksi'!$D$5:$D$92,'0200'!A664,'Daftar Koreksi'!$G$5:$G$92,"Persediaan",'Daftar Koreksi'!$H$5:$H$92,"&gt;0")</f>
        <v>0</v>
      </c>
      <c r="F667" s="25">
        <f>SUMIFS('Daftar Koreksi'!$H$5:$H$92,'Daftar Koreksi'!$D$5:$D$92,'0200'!A664,'Daftar Koreksi'!$G$5:$G$92,"Persediaan",'Daftar Koreksi'!$H$5:$H$92,"&lt;0")-SUMIFS('Daftar Koreksi'!$H$5:$H$92,'Daftar Koreksi'!$D$5:$D$92,'0200'!A664,'Daftar Koreksi'!$G$5:$G$92,"Persediaan",'Daftar Koreksi'!$H$5:$H$92,"&lt;0")-SUMIFS('Daftar Koreksi'!$H$5:$H$92,'Daftar Koreksi'!$D$5:$D$92,'0200'!A664,'Daftar Koreksi'!$G$5:$G$92,"Persediaan",'Daftar Koreksi'!$H$5:$H$92,"&lt;0")</f>
        <v>0</v>
      </c>
      <c r="G667" s="17">
        <f>D667+E667-F667</f>
        <v>1971249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6595052000</v>
      </c>
      <c r="E668" s="25">
        <f>SUMIFS('Daftar Koreksi'!$H$5:$H$92,'Daftar Koreksi'!$D$5:$D$92,'0200'!A664,'Daftar Koreksi'!$G$5:$G$92,"Tanah",'Daftar Koreksi'!$H$5:$H$92,"&gt;0")</f>
        <v>0</v>
      </c>
      <c r="F668" s="25">
        <f>SUMIFS('Daftar Koreksi'!$H$5:$H$92,'Daftar Koreksi'!$D$5:$D$92,'0200'!A664,'Daftar Koreksi'!$G$5:$G$92,"Tanah",'Daftar Koreksi'!$H$5:$H$92,"&lt;0")-SUMIFS('Daftar Koreksi'!$H$5:$H$92,'Daftar Koreksi'!$D$5:$D$92,'0200'!A664,'Daftar Koreksi'!$G$5:$G$92,"Tanah",'Daftar Koreksi'!$H$5:$H$92,"&lt;0")-SUMIFS('Daftar Koreksi'!$H$5:$H$92,'Daftar Koreksi'!$D$5:$D$92,'0200'!A664,'Daftar Koreksi'!$G$5:$G$92,"Tanah",'Daftar Koreksi'!$H$5:$H$92,"&lt;0")</f>
        <v>0</v>
      </c>
      <c r="G668" s="17">
        <f t="shared" ref="G668:G684" si="30">D668+E668-F668</f>
        <v>6595052000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2220993285</v>
      </c>
      <c r="E669" s="25">
        <f>SUMIFS('Daftar Koreksi'!$H$5:$H$92,'Daftar Koreksi'!$D$5:$D$92,'0200'!A664,'Daftar Koreksi'!$G$5:$G$92,"Peralatan dan mesin",'Daftar Koreksi'!$H$5:$H$92,"&gt;0")</f>
        <v>0</v>
      </c>
      <c r="F669" s="25">
        <f>SUMIFS('Daftar Koreksi'!$H$5:$H$92,'Daftar Koreksi'!$D$5:$D$92,'0200'!A664,'Daftar Koreksi'!$G$5:$G$92,"Peralatan dan mesin",'Daftar Koreksi'!$H$5:$H$92,"&lt;0")-SUMIFS('Daftar Koreksi'!$H$5:$H$92,'Daftar Koreksi'!$D$5:$D$92,'0200'!A664,'Daftar Koreksi'!$G$5:$G$92,"Peralatan dan mesin",'Daftar Koreksi'!$H$5:$H$92,"&lt;0")-SUMIFS('Daftar Koreksi'!$H$5:$H$92,'Daftar Koreksi'!$D$5:$D$92,'0200'!A664,'Daftar Koreksi'!$G$5:$G$92,"Peralatan dan mesin",'Daftar Koreksi'!$H$5:$H$92,"&lt;0")</f>
        <v>0</v>
      </c>
      <c r="G669" s="17">
        <f t="shared" si="30"/>
        <v>2220993285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9491474556</v>
      </c>
      <c r="E670" s="25">
        <f>SUMIFS('Daftar Koreksi'!$H$5:$H$92,'Daftar Koreksi'!$D$5:$D$92,'0200'!A664,'Daftar Koreksi'!$G$5:$G$92,"Gedung dan Bangunan",'Daftar Koreksi'!$H$5:$H$92,"&gt;0")</f>
        <v>0</v>
      </c>
      <c r="F670" s="25">
        <f>SUMIFS('Daftar Koreksi'!$H$5:$H$92,'Daftar Koreksi'!$D$5:$D$92,'0200'!A664,'Daftar Koreksi'!$G$5:$G$92,"Gedung dan Bangunan",'Daftar Koreksi'!$H$5:$H$92,"&lt;0")-SUMIFS('Daftar Koreksi'!$H$5:$H$92,'Daftar Koreksi'!$D$5:$D$92,'0200'!A664,'Daftar Koreksi'!$G$5:$G$92,"Gedung dan Bangunan",'Daftar Koreksi'!$H$5:$H$92,"&lt;0")-SUMIFS('Daftar Koreksi'!$H$5:$H$92,'Daftar Koreksi'!$D$5:$D$92,'0200'!A664,'Daftar Koreksi'!$G$5:$G$92,"Gedung dan Bangunan",'Daftar Koreksi'!$H$5:$H$92,"&lt;0")</f>
        <v>0</v>
      </c>
      <c r="G670" s="17">
        <f t="shared" si="30"/>
        <v>9491474556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0</v>
      </c>
      <c r="E671" s="25">
        <f>SUMIFS('Daftar Koreksi'!$H$5:$H$92,'Daftar Koreksi'!$D$5:$D$92,'0200'!A664,'Daftar Koreksi'!$G$5:$G$92,"Jalan Irigasi Jaringan",'Daftar Koreksi'!$H$5:$H$92,"&gt;0")</f>
        <v>0</v>
      </c>
      <c r="F671" s="25">
        <f>SUMIFS('Daftar Koreksi'!$H$5:$H$92,'Daftar Koreksi'!$D$5:$D$92,'0200'!A664,'Daftar Koreksi'!$G$5:$G$92,"Jalan Irigasi Jaringan",'Daftar Koreksi'!$H$5:$H$92,"&lt;0")-SUMIFS('Daftar Koreksi'!$H$5:$H$92,'Daftar Koreksi'!$D$5:$D$92,'0200'!A664,'Daftar Koreksi'!$G$5:$G$92,"Jalan Irigasi Jaringan",'Daftar Koreksi'!$H$5:$H$92,"&lt;0")-SUMIFS('Daftar Koreksi'!$H$5:$H$92,'Daftar Koreksi'!$D$5:$D$92,'0200'!A664,'Daftar Koreksi'!$G$5:$G$92,"Jalan Irigasi Jaringan",'Daftar Koreksi'!$H$5:$H$92,"&lt;0")</f>
        <v>0</v>
      </c>
      <c r="G671" s="17">
        <f t="shared" si="30"/>
        <v>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9369000</v>
      </c>
      <c r="E672" s="25">
        <f>SUMIFS('Daftar Koreksi'!$H$5:$H$92,'Daftar Koreksi'!$D$5:$D$92,'0200'!A664,'Daftar Koreksi'!$G$5:$G$92,"Aset Tetap Lainnya",'Daftar Koreksi'!$H$5:$H$92,"&gt;0")</f>
        <v>0</v>
      </c>
      <c r="F672" s="25">
        <f>SUMIFS('Daftar Koreksi'!$H$5:$H$92,'Daftar Koreksi'!$D$5:$D$92,'0200'!A664,'Daftar Koreksi'!$G$5:$G$92,"Aset Tetap Lainnya",'Daftar Koreksi'!$H$5:$H$92,"&lt;0")-SUMIFS('Daftar Koreksi'!$H$5:$H$92,'Daftar Koreksi'!$D$5:$D$92,'0200'!A664,'Daftar Koreksi'!$G$5:$G$92,"Aset Tetap Lainnya",'Daftar Koreksi'!$H$5:$H$92,"&lt;0")-SUMIFS('Daftar Koreksi'!$H$5:$H$92,'Daftar Koreksi'!$D$5:$D$92,'0200'!A664,'Daftar Koreksi'!$G$5:$G$92,"Aset Tetap Lainnya",'Daftar Koreksi'!$H$5:$H$92,"&lt;0")</f>
        <v>0</v>
      </c>
      <c r="G672" s="17">
        <f t="shared" si="30"/>
        <v>9369000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Koreksi'!$D$5:$D$92,'0200'!A664,'Daftar Koreksi'!$G$5:$G$92,"Kontruksi Dalam Pengerjaan",'Daftar Koreksi'!$H$5:$H$92,"&gt;0")</f>
        <v>0</v>
      </c>
      <c r="F673" s="25">
        <f>SUMIFS('Daftar Koreksi'!$H$5:$H$92,'Daftar Koreksi'!$D$5:$D$92,'0200'!A664,'Daftar Koreksi'!$G$5:$G$92,"Kontruksi Dalam Pengerjaan",'Daftar Koreksi'!$H$5:$H$92,"&lt;0")-SUMIFS('Daftar Koreksi'!$H$5:$H$92,'Daftar Koreksi'!$D$5:$D$92,'0200'!A664,'Daftar Koreksi'!$G$5:$G$92,"Kontruksi Dalam Pengerjaan",'Daftar Koreksi'!$H$5:$H$92,"&lt;0")-SUMIFS('Daftar Koreksi'!$H$5:$H$92,'Daftar Koreksi'!$D$5:$D$92,'0200'!A664,'Daftar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48350000</v>
      </c>
      <c r="E674" s="25">
        <f>SUMIFS('Daftar Koreksi'!$H$5:$H$92,'Daftar Koreksi'!$D$5:$D$92,'0200'!A664,'Daftar Koreksi'!$G$5:$G$92,"Aset Tak Berwujud",'Daftar Koreksi'!$H$5:$H$92,"&gt;0")</f>
        <v>0</v>
      </c>
      <c r="F674" s="25">
        <f>SUMIFS('Daftar Koreksi'!$H$5:$H$92,'Daftar Koreksi'!$D$5:$D$92,'0200'!A664,'Daftar Koreksi'!$G$5:$G$92,"Aset Tak Berwujud",'Daftar Koreksi'!$H$5:$H$92,"&lt;0")-SUMIFS('Daftar Koreksi'!$H$5:$H$92,'Daftar Koreksi'!$D$5:$D$92,'0200'!A664,'Daftar Koreksi'!$G$5:$G$92,"Aset Tak Berwujud",'Daftar Koreksi'!$H$5:$H$92,"&lt;0")-SUMIFS('Daftar Koreksi'!$H$5:$H$92,'Daftar Koreksi'!$D$5:$D$92,'0200'!A664,'Daftar Koreksi'!$G$5:$G$92,"Aset Tak Berwujud",'Daftar Koreksi'!$H$5:$H$92,"&lt;0")</f>
        <v>0</v>
      </c>
      <c r="G674" s="17">
        <f t="shared" si="30"/>
        <v>48350000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14993000</v>
      </c>
      <c r="E675" s="25">
        <f>SUMIFS('Daftar Koreksi'!$H$5:$H$92,'Daftar Koreksi'!$D$5:$D$92,'0200'!A664,'Daftar Koreksi'!$G$5:$G$92,"Aset Henti Guna",'Daftar Koreksi'!$H$5:$H$92,"&gt;0")</f>
        <v>0</v>
      </c>
      <c r="F675" s="25">
        <f>SUMIFS('Daftar Koreksi'!$H$5:$H$92,'Daftar Koreksi'!$D$5:$D$92,'0200'!A664,'Daftar Koreksi'!$G$5:$G$92,"Aset Henti Guna",'Daftar Koreksi'!$H$5:$H$92,"&lt;0")-SUMIFS('Daftar Koreksi'!$H$5:$H$92,'Daftar Koreksi'!$D$5:$D$92,'0200'!A664,'Daftar Koreksi'!$G$5:$G$92,"Aset Henti Guna",'Daftar Koreksi'!$H$5:$H$92,"&lt;0")-SUMIFS('Daftar Koreksi'!$H$5:$H$92,'Daftar Koreksi'!$D$5:$D$92,'0200'!A664,'Daftar Koreksi'!$G$5:$G$92,"Aset Henti Guna",'Daftar Koreksi'!$H$5:$H$92,"&lt;0")</f>
        <v>0</v>
      </c>
      <c r="G675" s="17">
        <f t="shared" si="30"/>
        <v>14993000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18382203090</v>
      </c>
      <c r="E676" s="19">
        <f>SUM(E667:E675)</f>
        <v>0</v>
      </c>
      <c r="F676" s="19">
        <f>SUM(F667:F675)</f>
        <v>0</v>
      </c>
      <c r="G676" s="19">
        <f t="shared" si="30"/>
        <v>18382203090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-1043965650</v>
      </c>
      <c r="E677" s="25">
        <f>SUMIFS('Daftar Koreksi'!$I$5:$I$92,'Daftar Koreksi'!$D$5:$D$92,'0200'!A664,'Daftar Koreksi'!$G$5:$G$92,"Peralatan dan mesin",'Daftar Koreksi'!$I$5:$I$92,"&gt;0")</f>
        <v>0</v>
      </c>
      <c r="F677" s="25">
        <f>SUMIFS('Daftar Koreksi'!$I$5:$I$92,'Daftar Koreksi'!$D$5:$D$92,'0200'!A664,'Daftar Koreksi'!$G$5:$G$92,"Peralatan dan mesin",'Daftar Koreksi'!$I$5:$I$92,"&lt;0")-SUMIFS('Daftar Koreksi'!$I$5:$I$92,'Daftar Koreksi'!$D$5:$D$92,'0200'!A664,'Daftar Koreksi'!$G$5:$G$92,"Peralatan dan mesin",'Daftar Koreksi'!$I$5:$I$92,"&lt;0")-SUMIFS('Daftar Koreksi'!$I$5:$I$92,'Daftar Koreksi'!$D$5:$D$92,'0200'!A664,'Daftar Koreksi'!$G$5:$G$92,"Peralatan dan mesin",'Daftar Koreksi'!$I$5:$I$92,"&lt;0")</f>
        <v>0</v>
      </c>
      <c r="G677" s="17">
        <f t="shared" si="30"/>
        <v>-1043965650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-138409279</v>
      </c>
      <c r="E678" s="25">
        <f>SUMIFS('Daftar Koreksi'!$I$5:$I$92,'Daftar Koreksi'!$D$5:$D$92,'0200'!A664,'Daftar Koreksi'!$G$5:$G$92,"Gedung dan Bangunan",'Daftar Koreksi'!$I$5:$I$92,"&gt;0")</f>
        <v>0</v>
      </c>
      <c r="F678" s="25">
        <f>SUMIFS('Daftar Koreksi'!$I$5:$I$92,'Daftar Koreksi'!$D$5:$D$92,'0200'!A664,'Daftar Koreksi'!$G$5:$G$92,"Gedung dan Bangunan",'Daftar Koreksi'!$I$5:$I$92,"&lt;0")-SUMIFS('Daftar Koreksi'!$I$5:$I$92,'Daftar Koreksi'!$D$5:$D$92,'0200'!A664,'Daftar Koreksi'!$G$5:$G$92,"Gedung dan Bangunan",'Daftar Koreksi'!$I$5:$I$92,"&lt;0")-SUMIFS('Daftar Koreksi'!$I$5:$I$92,'Daftar Koreksi'!$D$5:$D$92,'0200'!A664,'Daftar Koreksi'!$G$5:$G$92,"Gedung dan Bangunan",'Daftar Koreksi'!$I$5:$I$92,"&lt;0")</f>
        <v>0</v>
      </c>
      <c r="G678" s="17">
        <f t="shared" si="30"/>
        <v>-138409279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0</v>
      </c>
      <c r="E679" s="25">
        <f>SUMIFS('Daftar Koreksi'!$I$5:$I$92,'Daftar Koreksi'!$D$5:$D$92,'0200'!A664,'Daftar Koreksi'!$G$5:$G$92,"Jalan Irigasi Jaringan",'Daftar Koreksi'!$I$5:$I$92,"&gt;0")</f>
        <v>0</v>
      </c>
      <c r="F679" s="25">
        <f>SUMIFS('Daftar Koreksi'!$I$5:$I$92,'Daftar Koreksi'!$D$5:$D$92,'0200'!A664,'Daftar Koreksi'!$G$5:$G$92,"Jalan Irigasi Jaringan",'Daftar Koreksi'!$I$5:$I$92,"&lt;0")-SUMIFS('Daftar Koreksi'!$I$5:$I$92,'Daftar Koreksi'!$D$5:$D$92,'0200'!A664,'Daftar Koreksi'!$G$5:$G$92,"Jalan Irigasi Jaringan",'Daftar Koreksi'!$I$5:$I$92,"&lt;0")-SUMIFS('Daftar Koreksi'!$I$5:$I$92,'Daftar Koreksi'!$D$5:$D$92,'0200'!A664,'Daftar Koreksi'!$G$5:$G$92,"Jalan Irigasi Jaringan",'Daftar Koreksi'!$I$5:$I$92,"&lt;0")</f>
        <v>0</v>
      </c>
      <c r="G679" s="17">
        <f t="shared" si="30"/>
        <v>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Koreksi'!$D$5:$D$92,'0200'!A664,'Daftar Koreksi'!$G$5:$G$92,"Aset Tetap Lainnya",'Daftar Koreksi'!$I$5:$I$92,"&gt;0")</f>
        <v>0</v>
      </c>
      <c r="F680" s="25">
        <f>SUMIFS('Daftar Koreksi'!$I$5:$I$92,'Daftar Koreksi'!$D$5:$D$92,'0200'!A664,'Daftar Koreksi'!$G$5:$G$92,"Aset Tetap Lainnya",'Daftar Koreksi'!$I$5:$I$92,"&lt;0")-SUMIFS('Daftar Koreksi'!$I$5:$I$92,'Daftar Koreksi'!$D$5:$D$92,'0200'!A664,'Daftar Koreksi'!$G$5:$G$92,"Aset Tetap Lainnya",'Daftar Koreksi'!$I$5:$I$92,"&lt;0")-SUMIFS('Daftar Koreksi'!$I$5:$I$92,'Daftar Koreksi'!$D$5:$D$92,'0200'!A664,'Daftar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-14993000</v>
      </c>
      <c r="E681" s="25">
        <f>SUMIFS('Daftar Koreksi'!$I$5:$I$92,'Daftar Koreksi'!$D$5:$D$92,'0200'!A664,'Daftar Koreksi'!$G$5:$G$92,"Aset Henti Guna",'Daftar Koreksi'!$I$5:$I$92,"&gt;0")</f>
        <v>0</v>
      </c>
      <c r="F681" s="25">
        <f>SUMIFS('Daftar Koreksi'!$I$5:$I$92,'Daftar Koreksi'!$D$5:$D$92,'0200'!A664,'Daftar Koreksi'!$G$5:$G$92,"Aset Henti Guna",'Daftar Koreksi'!$I$5:$I$92,"&lt;0")-SUMIFS('Daftar Koreksi'!$I$5:$I$92,'Daftar Koreksi'!$D$5:$D$92,'0200'!A664,'Daftar Koreksi'!$G$5:$G$92,"Aset Henti Guna",'Daftar Koreksi'!$I$5:$I$92,"&lt;0")-SUMIFS('Daftar Koreksi'!$I$5:$I$92,'Daftar Koreksi'!$D$5:$D$92,'0200'!A664,'Daftar Koreksi'!$G$5:$G$92,"Aset Henti Guna",'Daftar Koreksi'!$I$5:$I$92,"&lt;0")</f>
        <v>0</v>
      </c>
      <c r="G681" s="17">
        <f t="shared" si="30"/>
        <v>-14993000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-1197367929</v>
      </c>
      <c r="E682" s="19">
        <f>SUM(E677:E681)</f>
        <v>0</v>
      </c>
      <c r="F682" s="19">
        <f>SUM(F677:F681)</f>
        <v>0</v>
      </c>
      <c r="G682" s="19">
        <f t="shared" si="30"/>
        <v>-1197367929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17184835161</v>
      </c>
      <c r="E683" s="19">
        <f>E682+E676</f>
        <v>0</v>
      </c>
      <c r="F683" s="19">
        <f>F682+F676</f>
        <v>0</v>
      </c>
      <c r="G683" s="19">
        <f t="shared" si="30"/>
        <v>17184835161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005010200400766000KD</v>
      </c>
      <c r="B686" s="11" t="str">
        <f>P32</f>
        <v>PA. Indramayu</v>
      </c>
      <c r="C686" s="12" t="str">
        <f>A686&amp;" "&amp;B686</f>
        <v>005010200400766000KD PA. Indramayu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4632693</v>
      </c>
      <c r="E689" s="25">
        <f>SUMIFS('Daftar Koreksi'!$H$5:$H$92,'Daftar Koreksi'!$D$5:$D$92,'0200'!A686,'Daftar Koreksi'!$G$5:$G$92,"Persediaan",'Daftar Koreksi'!$H$5:$H$92,"&gt;0")</f>
        <v>0</v>
      </c>
      <c r="F689" s="25">
        <f>SUMIFS('Daftar Koreksi'!$H$5:$H$92,'Daftar Koreksi'!$D$5:$D$92,'0200'!A686,'Daftar Koreksi'!$G$5:$G$92,"Persediaan",'Daftar Koreksi'!$H$5:$H$92,"&lt;0")-SUMIFS('Daftar Koreksi'!$H$5:$H$92,'Daftar Koreksi'!$D$5:$D$92,'0200'!A686,'Daftar Koreksi'!$G$5:$G$92,"Persediaan",'Daftar Koreksi'!$H$5:$H$92,"&lt;0")-SUMIFS('Daftar Koreksi'!$H$5:$H$92,'Daftar Koreksi'!$D$5:$D$92,'0200'!A686,'Daftar Koreksi'!$G$5:$G$92,"Persediaan",'Daftar Koreksi'!$H$5:$H$92,"&lt;0")</f>
        <v>0</v>
      </c>
      <c r="G689" s="17">
        <f>D689+E689-F689</f>
        <v>4632693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2278040000</v>
      </c>
      <c r="E690" s="25">
        <f>SUMIFS('Daftar Koreksi'!$H$5:$H$92,'Daftar Koreksi'!$D$5:$D$92,'0200'!A686,'Daftar Koreksi'!$G$5:$G$92,"Tanah",'Daftar Koreksi'!$H$5:$H$92,"&gt;0")</f>
        <v>0</v>
      </c>
      <c r="F690" s="25">
        <f>SUMIFS('Daftar Koreksi'!$H$5:$H$92,'Daftar Koreksi'!$D$5:$D$92,'0200'!A686,'Daftar Koreksi'!$G$5:$G$92,"Tanah",'Daftar Koreksi'!$H$5:$H$92,"&lt;0")-SUMIFS('Daftar Koreksi'!$H$5:$H$92,'Daftar Koreksi'!$D$5:$D$92,'0200'!A686,'Daftar Koreksi'!$G$5:$G$92,"Tanah",'Daftar Koreksi'!$H$5:$H$92,"&lt;0")-SUMIFS('Daftar Koreksi'!$H$5:$H$92,'Daftar Koreksi'!$D$5:$D$92,'0200'!A686,'Daftar Koreksi'!$G$5:$G$92,"Tanah",'Daftar Koreksi'!$H$5:$H$92,"&lt;0")</f>
        <v>0</v>
      </c>
      <c r="G690" s="17">
        <f t="shared" ref="G690:G706" si="31">D690+E690-F690</f>
        <v>2278040000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2917467946</v>
      </c>
      <c r="E691" s="25">
        <f>SUMIFS('Daftar Koreksi'!$H$5:$H$92,'Daftar Koreksi'!$D$5:$D$92,'0200'!A686,'Daftar Koreksi'!$G$5:$G$92,"Peralatan dan mesin",'Daftar Koreksi'!$H$5:$H$92,"&gt;0")</f>
        <v>0</v>
      </c>
      <c r="F691" s="25">
        <f>SUMIFS('Daftar Koreksi'!$H$5:$H$92,'Daftar Koreksi'!$D$5:$D$92,'0200'!A686,'Daftar Koreksi'!$G$5:$G$92,"Peralatan dan mesin",'Daftar Koreksi'!$H$5:$H$92,"&lt;0")-SUMIFS('Daftar Koreksi'!$H$5:$H$92,'Daftar Koreksi'!$D$5:$D$92,'0200'!A686,'Daftar Koreksi'!$G$5:$G$92,"Peralatan dan mesin",'Daftar Koreksi'!$H$5:$H$92,"&lt;0")-SUMIFS('Daftar Koreksi'!$H$5:$H$92,'Daftar Koreksi'!$D$5:$D$92,'0200'!A686,'Daftar Koreksi'!$G$5:$G$92,"Peralatan dan mesin",'Daftar Koreksi'!$H$5:$H$92,"&lt;0")</f>
        <v>0</v>
      </c>
      <c r="G691" s="17">
        <f t="shared" si="31"/>
        <v>2917467946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9974739580</v>
      </c>
      <c r="E692" s="25">
        <f>SUMIFS('Daftar Koreksi'!$H$5:$H$92,'Daftar Koreksi'!$D$5:$D$92,'0200'!A686,'Daftar Koreksi'!$G$5:$G$92,"Gedung dan Bangunan",'Daftar Koreksi'!$H$5:$H$92,"&gt;0")</f>
        <v>0</v>
      </c>
      <c r="F692" s="25">
        <f>SUMIFS('Daftar Koreksi'!$H$5:$H$92,'Daftar Koreksi'!$D$5:$D$92,'0200'!A686,'Daftar Koreksi'!$G$5:$G$92,"Gedung dan Bangunan",'Daftar Koreksi'!$H$5:$H$92,"&lt;0")-SUMIFS('Daftar Koreksi'!$H$5:$H$92,'Daftar Koreksi'!$D$5:$D$92,'0200'!A686,'Daftar Koreksi'!$G$5:$G$92,"Gedung dan Bangunan",'Daftar Koreksi'!$H$5:$H$92,"&lt;0")-SUMIFS('Daftar Koreksi'!$H$5:$H$92,'Daftar Koreksi'!$D$5:$D$92,'0200'!A686,'Daftar Koreksi'!$G$5:$G$92,"Gedung dan Bangunan",'Daftar Koreksi'!$H$5:$H$92,"&lt;0")</f>
        <v>0</v>
      </c>
      <c r="G692" s="17">
        <f t="shared" si="31"/>
        <v>9974739580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0</v>
      </c>
      <c r="E693" s="25">
        <f>SUMIFS('Daftar Koreksi'!$H$5:$H$92,'Daftar Koreksi'!$D$5:$D$92,'0200'!A686,'Daftar Koreksi'!$G$5:$G$92,"Jalan Irigasi Jaringan",'Daftar Koreksi'!$H$5:$H$92,"&gt;0")</f>
        <v>0</v>
      </c>
      <c r="F693" s="25">
        <f>SUMIFS('Daftar Koreksi'!$H$5:$H$92,'Daftar Koreksi'!$D$5:$D$92,'0200'!A686,'Daftar Koreksi'!$G$5:$G$92,"Jalan Irigasi Jaringan",'Daftar Koreksi'!$H$5:$H$92,"&lt;0")-SUMIFS('Daftar Koreksi'!$H$5:$H$92,'Daftar Koreksi'!$D$5:$D$92,'0200'!A686,'Daftar Koreksi'!$G$5:$G$92,"Jalan Irigasi Jaringan",'Daftar Koreksi'!$H$5:$H$92,"&lt;0")-SUMIFS('Daftar Koreksi'!$H$5:$H$92,'Daftar Koreksi'!$D$5:$D$92,'0200'!A686,'Daftar Koreksi'!$G$5:$G$92,"Jalan Irigasi Jaringan",'Daftar Koreksi'!$H$5:$H$92,"&lt;0")</f>
        <v>0</v>
      </c>
      <c r="G693" s="17">
        <f t="shared" si="31"/>
        <v>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7716000</v>
      </c>
      <c r="E694" s="25">
        <f>SUMIFS('Daftar Koreksi'!$H$5:$H$92,'Daftar Koreksi'!$D$5:$D$92,'0200'!A686,'Daftar Koreksi'!$G$5:$G$92,"Aset Tetap Lainnya",'Daftar Koreksi'!$H$5:$H$92,"&gt;0")</f>
        <v>0</v>
      </c>
      <c r="F694" s="25">
        <f>SUMIFS('Daftar Koreksi'!$H$5:$H$92,'Daftar Koreksi'!$D$5:$D$92,'0200'!A686,'Daftar Koreksi'!$G$5:$G$92,"Aset Tetap Lainnya",'Daftar Koreksi'!$H$5:$H$92,"&lt;0")-SUMIFS('Daftar Koreksi'!$H$5:$H$92,'Daftar Koreksi'!$D$5:$D$92,'0200'!A686,'Daftar Koreksi'!$G$5:$G$92,"Aset Tetap Lainnya",'Daftar Koreksi'!$H$5:$H$92,"&lt;0")-SUMIFS('Daftar Koreksi'!$H$5:$H$92,'Daftar Koreksi'!$D$5:$D$92,'0200'!A686,'Daftar Koreksi'!$G$5:$G$92,"Aset Tetap Lainnya",'Daftar Koreksi'!$H$5:$H$92,"&lt;0")</f>
        <v>0</v>
      </c>
      <c r="G694" s="17">
        <f t="shared" si="31"/>
        <v>7716000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Koreksi'!$D$5:$D$92,'0200'!A686,'Daftar Koreksi'!$G$5:$G$92,"Kontruksi Dalam Pengerjaan",'Daftar Koreksi'!$H$5:$H$92,"&gt;0")</f>
        <v>0</v>
      </c>
      <c r="F695" s="25">
        <f>SUMIFS('Daftar Koreksi'!$H$5:$H$92,'Daftar Koreksi'!$D$5:$D$92,'0200'!A686,'Daftar Koreksi'!$G$5:$G$92,"Kontruksi Dalam Pengerjaan",'Daftar Koreksi'!$H$5:$H$92,"&lt;0")-SUMIFS('Daftar Koreksi'!$H$5:$H$92,'Daftar Koreksi'!$D$5:$D$92,'0200'!A686,'Daftar Koreksi'!$G$5:$G$92,"Kontruksi Dalam Pengerjaan",'Daftar Koreksi'!$H$5:$H$92,"&lt;0")-SUMIFS('Daftar Koreksi'!$H$5:$H$92,'Daftar Koreksi'!$D$5:$D$92,'0200'!A686,'Daftar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Koreksi'!$D$5:$D$92,'0200'!A686,'Daftar Koreksi'!$G$5:$G$92,"Aset Tak Berwujud",'Daftar Koreksi'!$H$5:$H$92,"&gt;0")</f>
        <v>0</v>
      </c>
      <c r="F696" s="25">
        <f>SUMIFS('Daftar Koreksi'!$H$5:$H$92,'Daftar Koreksi'!$D$5:$D$92,'0200'!A686,'Daftar Koreksi'!$G$5:$G$92,"Aset Tak Berwujud",'Daftar Koreksi'!$H$5:$H$92,"&lt;0")-SUMIFS('Daftar Koreksi'!$H$5:$H$92,'Daftar Koreksi'!$D$5:$D$92,'0200'!A686,'Daftar Koreksi'!$G$5:$G$92,"Aset Tak Berwujud",'Daftar Koreksi'!$H$5:$H$92,"&lt;0")-SUMIFS('Daftar Koreksi'!$H$5:$H$92,'Daftar Koreksi'!$D$5:$D$92,'0200'!A686,'Daftar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2813000</v>
      </c>
      <c r="E697" s="25">
        <f>SUMIFS('Daftar Koreksi'!$H$5:$H$92,'Daftar Koreksi'!$D$5:$D$92,'0200'!A686,'Daftar Koreksi'!$G$5:$G$92,"Aset Henti Guna",'Daftar Koreksi'!$H$5:$H$92,"&gt;0")</f>
        <v>0</v>
      </c>
      <c r="F697" s="25">
        <f>SUMIFS('Daftar Koreksi'!$H$5:$H$92,'Daftar Koreksi'!$D$5:$D$92,'0200'!A686,'Daftar Koreksi'!$G$5:$G$92,"Aset Henti Guna",'Daftar Koreksi'!$H$5:$H$92,"&lt;0")-SUMIFS('Daftar Koreksi'!$H$5:$H$92,'Daftar Koreksi'!$D$5:$D$92,'0200'!A686,'Daftar Koreksi'!$G$5:$G$92,"Aset Henti Guna",'Daftar Koreksi'!$H$5:$H$92,"&lt;0")-SUMIFS('Daftar Koreksi'!$H$5:$H$92,'Daftar Koreksi'!$D$5:$D$92,'0200'!A686,'Daftar Koreksi'!$G$5:$G$92,"Aset Henti Guna",'Daftar Koreksi'!$H$5:$H$92,"&lt;0")</f>
        <v>0</v>
      </c>
      <c r="G697" s="17">
        <f t="shared" si="31"/>
        <v>2813000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15185409219</v>
      </c>
      <c r="E698" s="19">
        <f>SUM(E689:E697)</f>
        <v>0</v>
      </c>
      <c r="F698" s="19">
        <f>SUM(F689:F697)</f>
        <v>0</v>
      </c>
      <c r="G698" s="19">
        <f t="shared" si="31"/>
        <v>15185409219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-1573819335</v>
      </c>
      <c r="E699" s="25">
        <f>SUMIFS('Daftar Koreksi'!$I$5:$I$92,'Daftar Koreksi'!$D$5:$D$92,'0200'!A686,'Daftar Koreksi'!$G$5:$G$92,"Peralatan dan mesin",'Daftar Koreksi'!$I$5:$I$92,"&gt;0")</f>
        <v>0</v>
      </c>
      <c r="F699" s="25">
        <f>SUMIFS('Daftar Koreksi'!$I$5:$I$92,'Daftar Koreksi'!$D$5:$D$92,'0200'!A686,'Daftar Koreksi'!$G$5:$G$92,"Peralatan dan mesin",'Daftar Koreksi'!$I$5:$I$92,"&lt;0")-SUMIFS('Daftar Koreksi'!$I$5:$I$92,'Daftar Koreksi'!$D$5:$D$92,'0200'!A686,'Daftar Koreksi'!$G$5:$G$92,"Peralatan dan mesin",'Daftar Koreksi'!$I$5:$I$92,"&lt;0")-SUMIFS('Daftar Koreksi'!$I$5:$I$92,'Daftar Koreksi'!$D$5:$D$92,'0200'!A686,'Daftar Koreksi'!$G$5:$G$92,"Peralatan dan mesin",'Daftar Koreksi'!$I$5:$I$92,"&lt;0")</f>
        <v>0</v>
      </c>
      <c r="G699" s="17">
        <f t="shared" si="31"/>
        <v>-1573819335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-669856719</v>
      </c>
      <c r="E700" s="25">
        <f>SUMIFS('Daftar Koreksi'!$I$5:$I$92,'Daftar Koreksi'!$D$5:$D$92,'0200'!A686,'Daftar Koreksi'!$G$5:$G$92,"Gedung dan Bangunan",'Daftar Koreksi'!$I$5:$I$92,"&gt;0")</f>
        <v>0</v>
      </c>
      <c r="F700" s="25">
        <f>SUMIFS('Daftar Koreksi'!$I$5:$I$92,'Daftar Koreksi'!$D$5:$D$92,'0200'!A686,'Daftar Koreksi'!$G$5:$G$92,"Gedung dan Bangunan",'Daftar Koreksi'!$I$5:$I$92,"&lt;0")-SUMIFS('Daftar Koreksi'!$I$5:$I$92,'Daftar Koreksi'!$D$5:$D$92,'0200'!A686,'Daftar Koreksi'!$G$5:$G$92,"Gedung dan Bangunan",'Daftar Koreksi'!$I$5:$I$92,"&lt;0")-SUMIFS('Daftar Koreksi'!$I$5:$I$92,'Daftar Koreksi'!$D$5:$D$92,'0200'!A686,'Daftar Koreksi'!$G$5:$G$92,"Gedung dan Bangunan",'Daftar Koreksi'!$I$5:$I$92,"&lt;0")</f>
        <v>0</v>
      </c>
      <c r="G700" s="17">
        <f t="shared" si="31"/>
        <v>-669856719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0</v>
      </c>
      <c r="E701" s="25">
        <f>SUMIFS('Daftar Koreksi'!$I$5:$I$92,'Daftar Koreksi'!$D$5:$D$92,'0200'!A686,'Daftar Koreksi'!$G$5:$G$92,"Jalan Irigasi Jaringan",'Daftar Koreksi'!$I$5:$I$92,"&gt;0")</f>
        <v>0</v>
      </c>
      <c r="F701" s="25">
        <f>SUMIFS('Daftar Koreksi'!$I$5:$I$92,'Daftar Koreksi'!$D$5:$D$92,'0200'!A686,'Daftar Koreksi'!$G$5:$G$92,"Jalan Irigasi Jaringan",'Daftar Koreksi'!$I$5:$I$92,"&lt;0")-SUMIFS('Daftar Koreksi'!$I$5:$I$92,'Daftar Koreksi'!$D$5:$D$92,'0200'!A686,'Daftar Koreksi'!$G$5:$G$92,"Jalan Irigasi Jaringan",'Daftar Koreksi'!$I$5:$I$92,"&lt;0")-SUMIFS('Daftar Koreksi'!$I$5:$I$92,'Daftar Koreksi'!$D$5:$D$92,'0200'!A686,'Daftar Koreksi'!$G$5:$G$92,"Jalan Irigasi Jaringan",'Daftar Koreksi'!$I$5:$I$92,"&lt;0")</f>
        <v>0</v>
      </c>
      <c r="G701" s="17">
        <f t="shared" si="31"/>
        <v>0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Koreksi'!$D$5:$D$92,'0200'!A686,'Daftar Koreksi'!$G$5:$G$92,"Aset Tetap Lainnya",'Daftar Koreksi'!$I$5:$I$92,"&gt;0")</f>
        <v>0</v>
      </c>
      <c r="F702" s="25">
        <f>SUMIFS('Daftar Koreksi'!$I$5:$I$92,'Daftar Koreksi'!$D$5:$D$92,'0200'!A686,'Daftar Koreksi'!$G$5:$G$92,"Aset Tetap Lainnya",'Daftar Koreksi'!$I$5:$I$92,"&lt;0")-SUMIFS('Daftar Koreksi'!$I$5:$I$92,'Daftar Koreksi'!$D$5:$D$92,'0200'!A686,'Daftar Koreksi'!$G$5:$G$92,"Aset Tetap Lainnya",'Daftar Koreksi'!$I$5:$I$92,"&lt;0")-SUMIFS('Daftar Koreksi'!$I$5:$I$92,'Daftar Koreksi'!$D$5:$D$92,'0200'!A686,'Daftar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-2813000</v>
      </c>
      <c r="E703" s="25">
        <f>SUMIFS('Daftar Koreksi'!$I$5:$I$92,'Daftar Koreksi'!$D$5:$D$92,'0200'!A686,'Daftar Koreksi'!$G$5:$G$92,"Aset Henti Guna",'Daftar Koreksi'!$I$5:$I$92,"&gt;0")</f>
        <v>0</v>
      </c>
      <c r="F703" s="25">
        <f>SUMIFS('Daftar Koreksi'!$I$5:$I$92,'Daftar Koreksi'!$D$5:$D$92,'0200'!A686,'Daftar Koreksi'!$G$5:$G$92,"Aset Henti Guna",'Daftar Koreksi'!$I$5:$I$92,"&lt;0")-SUMIFS('Daftar Koreksi'!$I$5:$I$92,'Daftar Koreksi'!$D$5:$D$92,'0200'!A686,'Daftar Koreksi'!$G$5:$G$92,"Aset Henti Guna",'Daftar Koreksi'!$I$5:$I$92,"&lt;0")-SUMIFS('Daftar Koreksi'!$I$5:$I$92,'Daftar Koreksi'!$D$5:$D$92,'0200'!A686,'Daftar Koreksi'!$G$5:$G$92,"Aset Henti Guna",'Daftar Koreksi'!$I$5:$I$92,"&lt;0")</f>
        <v>0</v>
      </c>
      <c r="G703" s="17">
        <f t="shared" si="31"/>
        <v>-2813000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-2246489054</v>
      </c>
      <c r="E704" s="19">
        <f>SUM(E699:E703)</f>
        <v>0</v>
      </c>
      <c r="F704" s="19">
        <f>SUM(F699:F703)</f>
        <v>0</v>
      </c>
      <c r="G704" s="19">
        <f t="shared" si="31"/>
        <v>-2246489054</v>
      </c>
      <c r="H704" s="122"/>
    </row>
    <row r="705" spans="1:10" ht="21.95" customHeight="1">
      <c r="A705" s="14"/>
      <c r="B705" s="14"/>
      <c r="C705" s="18" t="s">
        <v>2095</v>
      </c>
      <c r="D705" s="19">
        <f>VLOOKUP(A686,'Neraca Unaudited SIMAK'!$A$2:$S$10004,18,FALSE)</f>
        <v>12938920165</v>
      </c>
      <c r="E705" s="19">
        <f>E704+E698</f>
        <v>0</v>
      </c>
      <c r="F705" s="19">
        <f>F704+F698</f>
        <v>0</v>
      </c>
      <c r="G705" s="19">
        <f t="shared" si="31"/>
        <v>12938920165</v>
      </c>
      <c r="H705" s="122"/>
    </row>
    <row r="706" spans="1:10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10" ht="19.5" customHeight="1">
      <c r="A708" s="11" t="str">
        <f>O33</f>
        <v>005010200400772000KD</v>
      </c>
      <c r="B708" s="11" t="str">
        <f>P33</f>
        <v>PA. Majalengka</v>
      </c>
      <c r="C708" s="12" t="str">
        <f>A708&amp;" "&amp;B708</f>
        <v>005010200400772000KD PA. Majalengka</v>
      </c>
      <c r="D708" s="13"/>
      <c r="E708" s="13"/>
      <c r="F708" s="13"/>
      <c r="G708" s="13"/>
      <c r="H708" s="11"/>
    </row>
    <row r="709" spans="1:10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10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10" ht="21.95" customHeight="1">
      <c r="A711" s="14"/>
      <c r="B711" s="14"/>
      <c r="C711" s="16" t="s">
        <v>1165</v>
      </c>
      <c r="D711" s="17">
        <f>VLOOKUP(A708,'Neraca Unaudited SIMAK'!$A$2:$S$10004,3,FALSE)</f>
        <v>691000</v>
      </c>
      <c r="E711" s="25">
        <f>SUMIFS('Daftar Koreksi'!$H$5:$H$92,'Daftar Koreksi'!$D$5:$D$92,'0200'!A708,'Daftar Koreksi'!$G$5:$G$92,"Persediaan",'Daftar Koreksi'!$H$5:$H$92,"&gt;0")</f>
        <v>0</v>
      </c>
      <c r="F711" s="25">
        <f>SUMIFS('Daftar Koreksi'!$H$5:$H$92,'Daftar Koreksi'!$D$5:$D$92,'0200'!A708,'Daftar Koreksi'!$G$5:$G$92,"Persediaan",'Daftar Koreksi'!$H$5:$H$92,"&lt;0")-SUMIFS('Daftar Koreksi'!$H$5:$H$92,'Daftar Koreksi'!$D$5:$D$92,'0200'!A708,'Daftar Koreksi'!$G$5:$G$92,"Persediaan",'Daftar Koreksi'!$H$5:$H$92,"&lt;0")-SUMIFS('Daftar Koreksi'!$H$5:$H$92,'Daftar Koreksi'!$D$5:$D$92,'0200'!A708,'Daftar Koreksi'!$G$5:$G$92,"Persediaan",'Daftar Koreksi'!$H$5:$H$92,"&lt;0")</f>
        <v>0</v>
      </c>
      <c r="G711" s="17">
        <f>D711+E711-F711</f>
        <v>691000</v>
      </c>
      <c r="H711" s="121" t="str">
        <f>IF(ISNA(VLOOKUP(A708,'Mutasi Neraca'!$A$3:$S$914,19,FALSE)),"-",VLOOKUP(A708,'Mutasi Neraca'!$A$3:$S$914,19,FALSE))</f>
        <v>-</v>
      </c>
      <c r="I711" s="28"/>
      <c r="J711" s="28"/>
    </row>
    <row r="712" spans="1:10" ht="21.95" customHeight="1">
      <c r="A712" s="14"/>
      <c r="B712" s="14"/>
      <c r="C712" s="16" t="s">
        <v>1166</v>
      </c>
      <c r="D712" s="17">
        <f>VLOOKUP(A708,'Neraca Unaudited SIMAK'!$A$2:$S$10004,4,FALSE)</f>
        <v>2783170000</v>
      </c>
      <c r="E712" s="25">
        <f>SUMIFS('Daftar Koreksi'!$H$5:$H$92,'Daftar Koreksi'!$D$5:$D$92,'0200'!A708,'Daftar Koreksi'!$G$5:$G$92,"Tanah",'Daftar Koreksi'!$H$5:$H$92,"&gt;0")</f>
        <v>0</v>
      </c>
      <c r="F712" s="25">
        <f>SUMIFS('Daftar Koreksi'!$H$5:$H$92,'Daftar Koreksi'!$D$5:$D$92,'0200'!A708,'Daftar Koreksi'!$G$5:$G$92,"Tanah",'Daftar Koreksi'!$H$5:$H$92,"&lt;0")-SUMIFS('Daftar Koreksi'!$H$5:$H$92,'Daftar Koreksi'!$D$5:$D$92,'0200'!A708,'Daftar Koreksi'!$G$5:$G$92,"Tanah",'Daftar Koreksi'!$H$5:$H$92,"&lt;0")-SUMIFS('Daftar Koreksi'!$H$5:$H$92,'Daftar Koreksi'!$D$5:$D$92,'0200'!A708,'Daftar Koreksi'!$G$5:$G$92,"Tanah",'Daftar Koreksi'!$H$5:$H$92,"&lt;0")</f>
        <v>0</v>
      </c>
      <c r="G712" s="17">
        <f t="shared" ref="G712:G728" si="32">D712+E712-F712</f>
        <v>2783170000</v>
      </c>
      <c r="H712" s="122"/>
      <c r="I712" s="28"/>
      <c r="J712" s="28"/>
    </row>
    <row r="713" spans="1:10" ht="21.95" customHeight="1">
      <c r="A713" s="14"/>
      <c r="B713" s="14"/>
      <c r="C713" s="16" t="s">
        <v>1167</v>
      </c>
      <c r="D713" s="17">
        <f>VLOOKUP(A708,'Neraca Unaudited SIMAK'!$A$2:$S$10004,5,FALSE)</f>
        <v>1207539493</v>
      </c>
      <c r="E713" s="25">
        <f>SUMIFS('Daftar Koreksi'!$H$5:$H$92,'Daftar Koreksi'!$D$5:$D$92,'0200'!A708,'Daftar Koreksi'!$G$5:$G$92,"Peralatan dan mesin",'Daftar Koreksi'!$H$5:$H$92,"&gt;0")</f>
        <v>0</v>
      </c>
      <c r="F713" s="25">
        <f>SUMIFS('Daftar Koreksi'!$H$5:$H$92,'Daftar Koreksi'!$D$5:$D$92,'0200'!A708,'Daftar Koreksi'!$G$5:$G$92,"Peralatan dan mesin",'Daftar Koreksi'!$H$5:$H$92,"&lt;0")-SUMIFS('Daftar Koreksi'!$H$5:$H$92,'Daftar Koreksi'!$D$5:$D$92,'0200'!A708,'Daftar Koreksi'!$G$5:$G$92,"Peralatan dan mesin",'Daftar Koreksi'!$H$5:$H$92,"&lt;0")-SUMIFS('Daftar Koreksi'!$H$5:$H$92,'Daftar Koreksi'!$D$5:$D$92,'0200'!A708,'Daftar Koreksi'!$G$5:$G$92,"Peralatan dan mesin",'Daftar Koreksi'!$H$5:$H$92,"&lt;0")</f>
        <v>0</v>
      </c>
      <c r="G713" s="17">
        <f t="shared" si="32"/>
        <v>1207539493</v>
      </c>
      <c r="H713" s="122"/>
      <c r="I713" s="28"/>
      <c r="J713" s="28"/>
    </row>
    <row r="714" spans="1:10" ht="21.95" customHeight="1">
      <c r="A714" s="14"/>
      <c r="B714" s="14"/>
      <c r="C714" s="16" t="s">
        <v>1168</v>
      </c>
      <c r="D714" s="17">
        <f>VLOOKUP(A708,'Neraca Unaudited SIMAK'!$A$2:$S$10004,6,FALSE)</f>
        <v>1446756300</v>
      </c>
      <c r="E714" s="25">
        <f>SUMIFS('Daftar Koreksi'!$H$5:$H$92,'Daftar Koreksi'!$D$5:$D$92,'0200'!A708,'Daftar Koreksi'!$G$5:$G$92,"Gedung dan Bangunan",'Daftar Koreksi'!$H$5:$H$92,"&gt;0")</f>
        <v>0</v>
      </c>
      <c r="F714" s="25">
        <f>SUMIFS('Daftar Koreksi'!$H$5:$H$92,'Daftar Koreksi'!$D$5:$D$92,'0200'!A708,'Daftar Koreksi'!$G$5:$G$92,"Gedung dan Bangunan",'Daftar Koreksi'!$H$5:$H$92,"&lt;0")-SUMIFS('Daftar Koreksi'!$H$5:$H$92,'Daftar Koreksi'!$D$5:$D$92,'0200'!A708,'Daftar Koreksi'!$G$5:$G$92,"Gedung dan Bangunan",'Daftar Koreksi'!$H$5:$H$92,"&lt;0")-SUMIFS('Daftar Koreksi'!$H$5:$H$92,'Daftar Koreksi'!$D$5:$D$92,'0200'!A708,'Daftar Koreksi'!$G$5:$G$92,"Gedung dan Bangunan",'Daftar Koreksi'!$H$5:$H$92,"&lt;0")</f>
        <v>0</v>
      </c>
      <c r="G714" s="17">
        <f t="shared" si="32"/>
        <v>1446756300</v>
      </c>
      <c r="H714" s="122"/>
      <c r="I714" s="28"/>
      <c r="J714" s="28"/>
    </row>
    <row r="715" spans="1:10" ht="21.95" customHeight="1">
      <c r="A715" s="14"/>
      <c r="B715" s="14"/>
      <c r="C715" s="16" t="s">
        <v>1169</v>
      </c>
      <c r="D715" s="17">
        <f>VLOOKUP(A708,'Neraca Unaudited SIMAK'!$A$2:$S$10004,7,FALSE)</f>
        <v>15000000</v>
      </c>
      <c r="E715" s="25">
        <f>SUMIFS('Daftar Koreksi'!$H$5:$H$92,'Daftar Koreksi'!$D$5:$D$92,'0200'!A708,'Daftar Koreksi'!$G$5:$G$92,"Jalan Irigasi Jaringan",'Daftar Koreksi'!$H$5:$H$92,"&gt;0")</f>
        <v>0</v>
      </c>
      <c r="F715" s="25">
        <f>SUMIFS('Daftar Koreksi'!$H$5:$H$92,'Daftar Koreksi'!$D$5:$D$92,'0200'!A708,'Daftar Koreksi'!$G$5:$G$92,"Jalan Irigasi Jaringan",'Daftar Koreksi'!$H$5:$H$92,"&lt;0")-SUMIFS('Daftar Koreksi'!$H$5:$H$92,'Daftar Koreksi'!$D$5:$D$92,'0200'!A708,'Daftar Koreksi'!$G$5:$G$92,"Jalan Irigasi Jaringan",'Daftar Koreksi'!$H$5:$H$92,"&lt;0")-SUMIFS('Daftar Koreksi'!$H$5:$H$92,'Daftar Koreksi'!$D$5:$D$92,'0200'!A708,'Daftar Koreksi'!$G$5:$G$92,"Jalan Irigasi Jaringan",'Daftar Koreksi'!$H$5:$H$92,"&lt;0")</f>
        <v>0</v>
      </c>
      <c r="G715" s="17">
        <f t="shared" si="32"/>
        <v>15000000</v>
      </c>
      <c r="H715" s="122"/>
      <c r="I715" s="28"/>
      <c r="J715" s="28"/>
    </row>
    <row r="716" spans="1:10" ht="21.95" customHeight="1">
      <c r="A716" s="14"/>
      <c r="B716" s="14"/>
      <c r="C716" s="16" t="s">
        <v>1170</v>
      </c>
      <c r="D716" s="17">
        <f>VLOOKUP(A708,'Neraca Unaudited SIMAK'!$A$2:$S$10004,8,FALSE)</f>
        <v>71014000</v>
      </c>
      <c r="E716" s="25">
        <f>SUMIFS('Daftar Koreksi'!$H$5:$H$92,'Daftar Koreksi'!$D$5:$D$92,'0200'!A708,'Daftar Koreksi'!$G$5:$G$92,"Aset Tetap Lainnya",'Daftar Koreksi'!$H$5:$H$92,"&gt;0")</f>
        <v>0</v>
      </c>
      <c r="F716" s="25">
        <f>SUMIFS('Daftar Koreksi'!$H$5:$H$92,'Daftar Koreksi'!$D$5:$D$92,'0200'!A708,'Daftar Koreksi'!$G$5:$G$92,"Aset Tetap Lainnya",'Daftar Koreksi'!$H$5:$H$92,"&lt;0")-SUMIFS('Daftar Koreksi'!$H$5:$H$92,'Daftar Koreksi'!$D$5:$D$92,'0200'!A708,'Daftar Koreksi'!$G$5:$G$92,"Aset Tetap Lainnya",'Daftar Koreksi'!$H$5:$H$92,"&lt;0")-SUMIFS('Daftar Koreksi'!$H$5:$H$92,'Daftar Koreksi'!$D$5:$D$92,'0200'!A708,'Daftar Koreksi'!$G$5:$G$92,"Aset Tetap Lainnya",'Daftar Koreksi'!$H$5:$H$92,"&lt;0")</f>
        <v>0</v>
      </c>
      <c r="G716" s="17">
        <f t="shared" si="32"/>
        <v>71014000</v>
      </c>
      <c r="H716" s="122"/>
      <c r="I716" s="28"/>
      <c r="J716" s="28"/>
    </row>
    <row r="717" spans="1:10" ht="21.95" customHeight="1">
      <c r="A717" s="14"/>
      <c r="B717" s="14"/>
      <c r="C717" s="16" t="s">
        <v>1171</v>
      </c>
      <c r="D717" s="17">
        <f>VLOOKUP(A708,'Neraca Unaudited SIMAK'!$A$2:$S$10004,9,FALSE)</f>
        <v>5437049900</v>
      </c>
      <c r="E717" s="25">
        <f>SUMIFS('Daftar Koreksi'!$H$5:$H$92,'Daftar Koreksi'!$D$5:$D$92,'0200'!A708,'Daftar Koreksi'!$G$5:$G$92,"Kontruksi Dalam Pengerjaan",'Daftar Koreksi'!$H$5:$H$92,"&gt;0")</f>
        <v>0</v>
      </c>
      <c r="F717" s="25">
        <f>SUMIFS('Daftar Koreksi'!$H$5:$H$92,'Daftar Koreksi'!$D$5:$D$92,'0200'!A708,'Daftar Koreksi'!$G$5:$G$92,"Kontruksi Dalam Pengerjaan",'Daftar Koreksi'!$H$5:$H$92,"&lt;0")-SUMIFS('Daftar Koreksi'!$H$5:$H$92,'Daftar Koreksi'!$D$5:$D$92,'0200'!A708,'Daftar Koreksi'!$G$5:$G$92,"Kontruksi Dalam Pengerjaan",'Daftar Koreksi'!$H$5:$H$92,"&lt;0")-SUMIFS('Daftar Koreksi'!$H$5:$H$92,'Daftar Koreksi'!$D$5:$D$92,'0200'!A708,'Daftar Koreksi'!$G$5:$G$92,"Kontruksi Dalam Pengerjaan",'Daftar Koreksi'!$H$5:$H$92,"&lt;0")</f>
        <v>0</v>
      </c>
      <c r="G717" s="17">
        <f t="shared" si="32"/>
        <v>5437049900</v>
      </c>
      <c r="H717" s="122"/>
      <c r="I717" s="28"/>
      <c r="J717" s="28"/>
    </row>
    <row r="718" spans="1:10" ht="21.95" customHeight="1">
      <c r="A718" s="14"/>
      <c r="B718" s="14"/>
      <c r="C718" s="16" t="s">
        <v>1172</v>
      </c>
      <c r="D718" s="17">
        <f>VLOOKUP(A708,'Neraca Unaudited SIMAK'!$A$2:$S$10004,10,FALSE)</f>
        <v>46800000</v>
      </c>
      <c r="E718" s="25">
        <f>SUMIFS('Daftar Koreksi'!$H$5:$H$92,'Daftar Koreksi'!$D$5:$D$92,'0200'!A708,'Daftar Koreksi'!$G$5:$G$92,"Aset Tak Berwujud",'Daftar Koreksi'!$H$5:$H$92,"&gt;0")</f>
        <v>0</v>
      </c>
      <c r="F718" s="25">
        <f>SUMIFS('Daftar Koreksi'!$H$5:$H$92,'Daftar Koreksi'!$D$5:$D$92,'0200'!A708,'Daftar Koreksi'!$G$5:$G$92,"Aset Tak Berwujud",'Daftar Koreksi'!$H$5:$H$92,"&lt;0")-SUMIFS('Daftar Koreksi'!$H$5:$H$92,'Daftar Koreksi'!$D$5:$D$92,'0200'!A708,'Daftar Koreksi'!$G$5:$G$92,"Aset Tak Berwujud",'Daftar Koreksi'!$H$5:$H$92,"&lt;0")-SUMIFS('Daftar Koreksi'!$H$5:$H$92,'Daftar Koreksi'!$D$5:$D$92,'0200'!A708,'Daftar Koreksi'!$G$5:$G$92,"Aset Tak Berwujud",'Daftar Koreksi'!$H$5:$H$92,"&lt;0")</f>
        <v>0</v>
      </c>
      <c r="G718" s="17">
        <f t="shared" si="32"/>
        <v>46800000</v>
      </c>
      <c r="H718" s="122"/>
      <c r="I718" s="28"/>
      <c r="J718" s="28"/>
    </row>
    <row r="719" spans="1:10" ht="21.95" customHeight="1">
      <c r="A719" s="14"/>
      <c r="B719" s="14"/>
      <c r="C719" s="16" t="s">
        <v>1173</v>
      </c>
      <c r="D719" s="17">
        <f>VLOOKUP(A708,'Neraca Unaudited SIMAK'!$A$2:$S$10004,11,FALSE)</f>
        <v>218754100</v>
      </c>
      <c r="E719" s="25">
        <f>SUMIFS('Daftar Koreksi'!$H$5:$H$92,'Daftar Koreksi'!$D$5:$D$92,'0200'!A708,'Daftar Koreksi'!$G$5:$G$92,"Aset Henti Guna",'Daftar Koreksi'!$H$5:$H$92,"&gt;0")</f>
        <v>0</v>
      </c>
      <c r="F719" s="25">
        <f>SUMIFS('Daftar Koreksi'!$H$5:$H$92,'Daftar Koreksi'!$D$5:$D$92,'0200'!A708,'Daftar Koreksi'!$G$5:$G$92,"Aset Henti Guna",'Daftar Koreksi'!$H$5:$H$92,"&lt;0")-SUMIFS('Daftar Koreksi'!$H$5:$H$92,'Daftar Koreksi'!$D$5:$D$92,'0200'!A708,'Daftar Koreksi'!$G$5:$G$92,"Aset Henti Guna",'Daftar Koreksi'!$H$5:$H$92,"&lt;0")-SUMIFS('Daftar Koreksi'!$H$5:$H$92,'Daftar Koreksi'!$D$5:$D$92,'0200'!A708,'Daftar Koreksi'!$G$5:$G$92,"Aset Henti Guna",'Daftar Koreksi'!$H$5:$H$92,"&lt;0")</f>
        <v>0</v>
      </c>
      <c r="G719" s="17">
        <f t="shared" si="32"/>
        <v>218754100</v>
      </c>
      <c r="H719" s="122"/>
      <c r="I719" s="28"/>
      <c r="J719" s="28"/>
    </row>
    <row r="720" spans="1:10" ht="21.95" customHeight="1">
      <c r="A720" s="14"/>
      <c r="B720" s="14"/>
      <c r="C720" s="18" t="s">
        <v>2093</v>
      </c>
      <c r="D720" s="19">
        <f>VLOOKUP(A708,'Neraca Unaudited SIMAK'!$A$2:$S$10004,12,FALSE)</f>
        <v>11226774793</v>
      </c>
      <c r="E720" s="19">
        <f>SUM(E711:E719)</f>
        <v>0</v>
      </c>
      <c r="F720" s="19">
        <f>SUM(F711:F719)</f>
        <v>0</v>
      </c>
      <c r="G720" s="19">
        <f t="shared" si="32"/>
        <v>11226774793</v>
      </c>
      <c r="H720" s="122"/>
      <c r="I720" s="28"/>
      <c r="J720" s="28"/>
    </row>
    <row r="721" spans="1:10" ht="21.95" customHeight="1">
      <c r="A721" s="14"/>
      <c r="B721" s="14"/>
      <c r="C721" s="16" t="s">
        <v>2087</v>
      </c>
      <c r="D721" s="17">
        <f>VLOOKUP(A708,'Neraca Unaudited SIMAK'!$A$2:$S$10004,13,FALSE)</f>
        <v>-971341112</v>
      </c>
      <c r="E721" s="25">
        <f>SUMIFS('Daftar Koreksi'!$I$5:$I$92,'Daftar Koreksi'!$D$5:$D$92,'0200'!A708,'Daftar Koreksi'!$G$5:$G$92,"Peralatan dan mesin",'Daftar Koreksi'!$I$5:$I$92,"&gt;0")</f>
        <v>0</v>
      </c>
      <c r="F721" s="25">
        <f>SUMIFS('Daftar Koreksi'!$I$5:$I$92,'Daftar Koreksi'!$D$5:$D$92,'0200'!A708,'Daftar Koreksi'!$G$5:$G$92,"Peralatan dan mesin",'Daftar Koreksi'!$I$5:$I$92,"&lt;0")-SUMIFS('Daftar Koreksi'!$I$5:$I$92,'Daftar Koreksi'!$D$5:$D$92,'0200'!A708,'Daftar Koreksi'!$G$5:$G$92,"Peralatan dan mesin",'Daftar Koreksi'!$I$5:$I$92,"&lt;0")-SUMIFS('Daftar Koreksi'!$I$5:$I$92,'Daftar Koreksi'!$D$5:$D$92,'0200'!A708,'Daftar Koreksi'!$G$5:$G$92,"Peralatan dan mesin",'Daftar Koreksi'!$I$5:$I$92,"&lt;0")</f>
        <v>0</v>
      </c>
      <c r="G721" s="17">
        <f t="shared" si="32"/>
        <v>-971341112</v>
      </c>
      <c r="H721" s="122"/>
      <c r="I721" s="28"/>
      <c r="J721" s="28"/>
    </row>
    <row r="722" spans="1:10" ht="21.95" customHeight="1">
      <c r="A722" s="14"/>
      <c r="B722" s="14"/>
      <c r="C722" s="16" t="s">
        <v>2088</v>
      </c>
      <c r="D722" s="17">
        <f>VLOOKUP(A708,'Neraca Unaudited SIMAK'!$A$2:$S$10004,14,FALSE)</f>
        <v>-180844537</v>
      </c>
      <c r="E722" s="25">
        <f>SUMIFS('Daftar Koreksi'!$I$5:$I$92,'Daftar Koreksi'!$D$5:$D$92,'0200'!A708,'Daftar Koreksi'!$G$5:$G$92,"Gedung dan Bangunan",'Daftar Koreksi'!$I$5:$I$92,"&gt;0")</f>
        <v>0</v>
      </c>
      <c r="F722" s="25">
        <f>SUMIFS('Daftar Koreksi'!$I$5:$I$92,'Daftar Koreksi'!$D$5:$D$92,'0200'!A708,'Daftar Koreksi'!$G$5:$G$92,"Gedung dan Bangunan",'Daftar Koreksi'!$I$5:$I$92,"&lt;0")-SUMIFS('Daftar Koreksi'!$I$5:$I$92,'Daftar Koreksi'!$D$5:$D$92,'0200'!A708,'Daftar Koreksi'!$G$5:$G$92,"Gedung dan Bangunan",'Daftar Koreksi'!$I$5:$I$92,"&lt;0")-SUMIFS('Daftar Koreksi'!$I$5:$I$92,'Daftar Koreksi'!$D$5:$D$92,'0200'!A708,'Daftar Koreksi'!$G$5:$G$92,"Gedung dan Bangunan",'Daftar Koreksi'!$I$5:$I$92,"&lt;0")</f>
        <v>0</v>
      </c>
      <c r="G722" s="17">
        <f t="shared" si="32"/>
        <v>-180844537</v>
      </c>
      <c r="H722" s="122"/>
      <c r="I722" s="28"/>
      <c r="J722" s="28"/>
    </row>
    <row r="723" spans="1:10" ht="21.95" customHeight="1">
      <c r="A723" s="14"/>
      <c r="B723" s="14"/>
      <c r="C723" s="16" t="s">
        <v>2089</v>
      </c>
      <c r="D723" s="17">
        <f>VLOOKUP(A708,'Neraca Unaudited SIMAK'!$A$2:$S$10004,15,FALSE)</f>
        <v>-1500000</v>
      </c>
      <c r="E723" s="25">
        <f>SUMIFS('Daftar Koreksi'!$I$5:$I$92,'Daftar Koreksi'!$D$5:$D$92,'0200'!A708,'Daftar Koreksi'!$G$5:$G$92,"Jalan Irigasi Jaringan",'Daftar Koreksi'!$I$5:$I$92,"&gt;0")</f>
        <v>0</v>
      </c>
      <c r="F723" s="25">
        <f>SUMIFS('Daftar Koreksi'!$I$5:$I$92,'Daftar Koreksi'!$D$5:$D$92,'0200'!A708,'Daftar Koreksi'!$G$5:$G$92,"Jalan Irigasi Jaringan",'Daftar Koreksi'!$I$5:$I$92,"&lt;0")-SUMIFS('Daftar Koreksi'!$I$5:$I$92,'Daftar Koreksi'!$D$5:$D$92,'0200'!A708,'Daftar Koreksi'!$G$5:$G$92,"Jalan Irigasi Jaringan",'Daftar Koreksi'!$I$5:$I$92,"&lt;0")-SUMIFS('Daftar Koreksi'!$I$5:$I$92,'Daftar Koreksi'!$D$5:$D$92,'0200'!A708,'Daftar Koreksi'!$G$5:$G$92,"Jalan Irigasi Jaringan",'Daftar Koreksi'!$I$5:$I$92,"&lt;0")</f>
        <v>0</v>
      </c>
      <c r="G723" s="17">
        <f t="shared" si="32"/>
        <v>-1500000</v>
      </c>
      <c r="H723" s="122"/>
      <c r="I723" s="28"/>
      <c r="J723" s="28"/>
    </row>
    <row r="724" spans="1:10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Koreksi'!$D$5:$D$92,'0200'!A708,'Daftar Koreksi'!$G$5:$G$92,"Aset Tetap Lainnya",'Daftar Koreksi'!$I$5:$I$92,"&gt;0")</f>
        <v>0</v>
      </c>
      <c r="F724" s="25">
        <f>SUMIFS('Daftar Koreksi'!$I$5:$I$92,'Daftar Koreksi'!$D$5:$D$92,'0200'!A708,'Daftar Koreksi'!$G$5:$G$92,"Aset Tetap Lainnya",'Daftar Koreksi'!$I$5:$I$92,"&lt;0")-SUMIFS('Daftar Koreksi'!$I$5:$I$92,'Daftar Koreksi'!$D$5:$D$92,'0200'!A708,'Daftar Koreksi'!$G$5:$G$92,"Aset Tetap Lainnya",'Daftar Koreksi'!$I$5:$I$92,"&lt;0")-SUMIFS('Daftar Koreksi'!$I$5:$I$92,'Daftar Koreksi'!$D$5:$D$92,'0200'!A708,'Daftar Koreksi'!$G$5:$G$92,"Aset Tetap Lainnya",'Daftar Koreksi'!$I$5:$I$92,"&lt;0")</f>
        <v>0</v>
      </c>
      <c r="G724" s="17">
        <f t="shared" si="32"/>
        <v>0</v>
      </c>
      <c r="H724" s="122"/>
      <c r="I724" s="28"/>
      <c r="J724" s="28"/>
    </row>
    <row r="725" spans="1:10" ht="21.95" customHeight="1">
      <c r="A725" s="14"/>
      <c r="B725" s="14"/>
      <c r="C725" s="16" t="s">
        <v>2020</v>
      </c>
      <c r="D725" s="17">
        <f>VLOOKUP(A708,'Neraca Unaudited SIMAK'!$A$2:$S$10004,17,FALSE)</f>
        <v>-216980100</v>
      </c>
      <c r="E725" s="25">
        <f>SUMIFS('Daftar Koreksi'!$I$5:$I$92,'Daftar Koreksi'!$D$5:$D$92,'0200'!A708,'Daftar Koreksi'!$G$5:$G$92,"Aset Henti Guna",'Daftar Koreksi'!$I$5:$I$92,"&gt;0")</f>
        <v>0</v>
      </c>
      <c r="F725" s="25">
        <f>SUMIFS('Daftar Koreksi'!$I$5:$I$92,'Daftar Koreksi'!$D$5:$D$92,'0200'!A708,'Daftar Koreksi'!$G$5:$G$92,"Aset Henti Guna",'Daftar Koreksi'!$I$5:$I$92,"&lt;0")-SUMIFS('Daftar Koreksi'!$I$5:$I$92,'Daftar Koreksi'!$D$5:$D$92,'0200'!A708,'Daftar Koreksi'!$G$5:$G$92,"Aset Henti Guna",'Daftar Koreksi'!$I$5:$I$92,"&lt;0")-SUMIFS('Daftar Koreksi'!$I$5:$I$92,'Daftar Koreksi'!$D$5:$D$92,'0200'!A708,'Daftar Koreksi'!$G$5:$G$92,"Aset Henti Guna",'Daftar Koreksi'!$I$5:$I$92,"&lt;0")</f>
        <v>0</v>
      </c>
      <c r="G725" s="17">
        <f t="shared" si="32"/>
        <v>-216980100</v>
      </c>
      <c r="H725" s="122"/>
      <c r="I725" s="28"/>
      <c r="J725" s="28"/>
    </row>
    <row r="726" spans="1:10" ht="21.95" customHeight="1">
      <c r="A726" s="14"/>
      <c r="B726" s="14"/>
      <c r="C726" s="18" t="s">
        <v>2094</v>
      </c>
      <c r="D726" s="19">
        <f>SUM(D721:D725)</f>
        <v>-1370665749</v>
      </c>
      <c r="E726" s="19">
        <f>SUM(E721:E725)</f>
        <v>0</v>
      </c>
      <c r="F726" s="19">
        <f>SUM(F721:F725)</f>
        <v>0</v>
      </c>
      <c r="G726" s="19">
        <f t="shared" si="32"/>
        <v>-1370665749</v>
      </c>
      <c r="H726" s="122"/>
      <c r="I726" s="28"/>
      <c r="J726" s="28"/>
    </row>
    <row r="727" spans="1:10" ht="21.95" customHeight="1">
      <c r="A727" s="14"/>
      <c r="B727" s="14"/>
      <c r="C727" s="18" t="s">
        <v>2095</v>
      </c>
      <c r="D727" s="19">
        <f>VLOOKUP(A708,'Neraca Unaudited SIMAK'!$A$2:$S$10004,18,FALSE)</f>
        <v>9856109044</v>
      </c>
      <c r="E727" s="19">
        <f>E726+E720</f>
        <v>0</v>
      </c>
      <c r="F727" s="19">
        <f>F726+F720</f>
        <v>0</v>
      </c>
      <c r="G727" s="19">
        <f t="shared" si="32"/>
        <v>9856109044</v>
      </c>
      <c r="H727" s="122"/>
      <c r="I727" s="28"/>
      <c r="J727" s="28"/>
    </row>
    <row r="728" spans="1:10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  <c r="I728" s="28"/>
      <c r="J728" s="28"/>
    </row>
    <row r="730" spans="1:10" ht="19.5" customHeight="1">
      <c r="A730" s="11" t="str">
        <f>O34</f>
        <v>005010200400781000KD</v>
      </c>
      <c r="B730" s="11" t="str">
        <f>P34</f>
        <v>PA. Kuningan</v>
      </c>
      <c r="C730" s="12" t="str">
        <f>A730&amp;" "&amp;B730</f>
        <v>005010200400781000KD PA. Kuningan</v>
      </c>
      <c r="D730" s="13"/>
      <c r="E730" s="13"/>
      <c r="F730" s="13"/>
      <c r="G730" s="13"/>
      <c r="H730" s="11"/>
    </row>
    <row r="731" spans="1:10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10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10" ht="21.95" customHeight="1">
      <c r="A733" s="14"/>
      <c r="B733" s="14"/>
      <c r="C733" s="16" t="s">
        <v>1165</v>
      </c>
      <c r="D733" s="17">
        <f>VLOOKUP(A730,'Neraca Unaudited SIMAK'!$A$2:$S$10004,3,FALSE)</f>
        <v>2281000</v>
      </c>
      <c r="E733" s="25">
        <f>SUMIFS('Daftar Koreksi'!$H$5:$H$92,'Daftar Koreksi'!$D$5:$D$92,'0200'!A730,'Daftar Koreksi'!$G$5:$G$92,"Persediaan",'Daftar Koreksi'!$H$5:$H$92,"&gt;0")</f>
        <v>0</v>
      </c>
      <c r="F733" s="25">
        <f>SUMIFS('Daftar Koreksi'!$H$5:$H$92,'Daftar Koreksi'!$D$5:$D$92,'0200'!A730,'Daftar Koreksi'!$G$5:$G$92,"Persediaan",'Daftar Koreksi'!$H$5:$H$92,"&lt;0")-SUMIFS('Daftar Koreksi'!$H$5:$H$92,'Daftar Koreksi'!$D$5:$D$92,'0200'!A730,'Daftar Koreksi'!$G$5:$G$92,"Persediaan",'Daftar Koreksi'!$H$5:$H$92,"&lt;0")-SUMIFS('Daftar Koreksi'!$H$5:$H$92,'Daftar Koreksi'!$D$5:$D$92,'0200'!A730,'Daftar Koreksi'!$G$5:$G$92,"Persediaan",'Daftar Koreksi'!$H$5:$H$92,"&lt;0")</f>
        <v>0</v>
      </c>
      <c r="G733" s="17">
        <f>D733+E733-F733</f>
        <v>2281000</v>
      </c>
      <c r="H733" s="121" t="str">
        <f>IF(ISNA(VLOOKUP(A730,'Mutasi Neraca'!$A$3:$S$914,19,FALSE)),"-",VLOOKUP(A730,'Mutasi Neraca'!$A$3:$S$914,19,FALSE))</f>
        <v>-</v>
      </c>
    </row>
    <row r="734" spans="1:10" ht="21.95" customHeight="1">
      <c r="A734" s="14"/>
      <c r="B734" s="14"/>
      <c r="C734" s="16" t="s">
        <v>1166</v>
      </c>
      <c r="D734" s="17">
        <f>VLOOKUP(A730,'Neraca Unaudited SIMAK'!$A$2:$S$10004,4,FALSE)</f>
        <v>2743200000</v>
      </c>
      <c r="E734" s="25">
        <f>SUMIFS('Daftar Koreksi'!$H$5:$H$92,'Daftar Koreksi'!$D$5:$D$92,'0200'!A730,'Daftar Koreksi'!$G$5:$G$92,"Tanah",'Daftar Koreksi'!$H$5:$H$92,"&gt;0")</f>
        <v>0</v>
      </c>
      <c r="F734" s="25">
        <f>SUMIFS('Daftar Koreksi'!$H$5:$H$92,'Daftar Koreksi'!$D$5:$D$92,'0200'!A730,'Daftar Koreksi'!$G$5:$G$92,"Tanah",'Daftar Koreksi'!$H$5:$H$92,"&lt;0")-SUMIFS('Daftar Koreksi'!$H$5:$H$92,'Daftar Koreksi'!$D$5:$D$92,'0200'!A730,'Daftar Koreksi'!$G$5:$G$92,"Tanah",'Daftar Koreksi'!$H$5:$H$92,"&lt;0")-SUMIFS('Daftar Koreksi'!$H$5:$H$92,'Daftar Koreksi'!$D$5:$D$92,'0200'!A730,'Daftar Koreksi'!$G$5:$G$92,"Tanah",'Daftar Koreksi'!$H$5:$H$92,"&lt;0")</f>
        <v>0</v>
      </c>
      <c r="G734" s="17">
        <f t="shared" ref="G734:G750" si="33">D734+E734-F734</f>
        <v>2743200000</v>
      </c>
      <c r="H734" s="122"/>
    </row>
    <row r="735" spans="1:10" ht="21.95" customHeight="1">
      <c r="A735" s="14"/>
      <c r="B735" s="14"/>
      <c r="C735" s="16" t="s">
        <v>1167</v>
      </c>
      <c r="D735" s="17">
        <f>VLOOKUP(A730,'Neraca Unaudited SIMAK'!$A$2:$S$10004,5,FALSE)</f>
        <v>1165419235</v>
      </c>
      <c r="E735" s="25">
        <f>SUMIFS('Daftar Koreksi'!$H$5:$H$92,'Daftar Koreksi'!$D$5:$D$92,'0200'!A730,'Daftar Koreksi'!$G$5:$G$92,"Peralatan dan mesin",'Daftar Koreksi'!$H$5:$H$92,"&gt;0")</f>
        <v>0</v>
      </c>
      <c r="F735" s="25">
        <f>SUMIFS('Daftar Koreksi'!$H$5:$H$92,'Daftar Koreksi'!$D$5:$D$92,'0200'!A730,'Daftar Koreksi'!$G$5:$G$92,"Peralatan dan mesin",'Daftar Koreksi'!$H$5:$H$92,"&lt;0")-SUMIFS('Daftar Koreksi'!$H$5:$H$92,'Daftar Koreksi'!$D$5:$D$92,'0200'!A730,'Daftar Koreksi'!$G$5:$G$92,"Peralatan dan mesin",'Daftar Koreksi'!$H$5:$H$92,"&lt;0")-SUMIFS('Daftar Koreksi'!$H$5:$H$92,'Daftar Koreksi'!$D$5:$D$92,'0200'!A730,'Daftar Koreksi'!$G$5:$G$92,"Peralatan dan mesin",'Daftar Koreksi'!$H$5:$H$92,"&lt;0")</f>
        <v>0</v>
      </c>
      <c r="G735" s="17">
        <f t="shared" si="33"/>
        <v>1165419235</v>
      </c>
      <c r="H735" s="122"/>
    </row>
    <row r="736" spans="1:10" ht="21.95" customHeight="1">
      <c r="A736" s="14"/>
      <c r="B736" s="14"/>
      <c r="C736" s="16" t="s">
        <v>1168</v>
      </c>
      <c r="D736" s="17">
        <f>VLOOKUP(A730,'Neraca Unaudited SIMAK'!$A$2:$S$10004,6,FALSE)</f>
        <v>1104525487</v>
      </c>
      <c r="E736" s="25">
        <f>SUMIFS('Daftar Koreksi'!$H$5:$H$92,'Daftar Koreksi'!$D$5:$D$92,'0200'!A730,'Daftar Koreksi'!$G$5:$G$92,"Gedung dan Bangunan",'Daftar Koreksi'!$H$5:$H$92,"&gt;0")</f>
        <v>0</v>
      </c>
      <c r="F736" s="25">
        <f>SUMIFS('Daftar Koreksi'!$H$5:$H$92,'Daftar Koreksi'!$D$5:$D$92,'0200'!A730,'Daftar Koreksi'!$G$5:$G$92,"Gedung dan Bangunan",'Daftar Koreksi'!$H$5:$H$92,"&lt;0")-SUMIFS('Daftar Koreksi'!$H$5:$H$92,'Daftar Koreksi'!$D$5:$D$92,'0200'!A730,'Daftar Koreksi'!$G$5:$G$92,"Gedung dan Bangunan",'Daftar Koreksi'!$H$5:$H$92,"&lt;0")-SUMIFS('Daftar Koreksi'!$H$5:$H$92,'Daftar Koreksi'!$D$5:$D$92,'0200'!A730,'Daftar Koreksi'!$G$5:$G$92,"Gedung dan Bangunan",'Daftar Koreksi'!$H$5:$H$92,"&lt;0")</f>
        <v>0</v>
      </c>
      <c r="G736" s="17">
        <f t="shared" si="33"/>
        <v>1104525487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10995000</v>
      </c>
      <c r="E737" s="25">
        <f>SUMIFS('Daftar Koreksi'!$H$5:$H$92,'Daftar Koreksi'!$D$5:$D$92,'0200'!A730,'Daftar Koreksi'!$G$5:$G$92,"Jalan Irigasi Jaringan",'Daftar Koreksi'!$H$5:$H$92,"&gt;0")</f>
        <v>0</v>
      </c>
      <c r="F737" s="25">
        <f>SUMIFS('Daftar Koreksi'!$H$5:$H$92,'Daftar Koreksi'!$D$5:$D$92,'0200'!A730,'Daftar Koreksi'!$G$5:$G$92,"Jalan Irigasi Jaringan",'Daftar Koreksi'!$H$5:$H$92,"&lt;0")-SUMIFS('Daftar Koreksi'!$H$5:$H$92,'Daftar Koreksi'!$D$5:$D$92,'0200'!A730,'Daftar Koreksi'!$G$5:$G$92,"Jalan Irigasi Jaringan",'Daftar Koreksi'!$H$5:$H$92,"&lt;0")-SUMIFS('Daftar Koreksi'!$H$5:$H$92,'Daftar Koreksi'!$D$5:$D$92,'0200'!A730,'Daftar Koreksi'!$G$5:$G$92,"Jalan Irigasi Jaringan",'Daftar Koreksi'!$H$5:$H$92,"&lt;0")</f>
        <v>0</v>
      </c>
      <c r="G737" s="17">
        <f t="shared" si="33"/>
        <v>10995000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4591400</v>
      </c>
      <c r="E738" s="25">
        <f>SUMIFS('Daftar Koreksi'!$H$5:$H$92,'Daftar Koreksi'!$D$5:$D$92,'0200'!A730,'Daftar Koreksi'!$G$5:$G$92,"Aset Tetap Lainnya",'Daftar Koreksi'!$H$5:$H$92,"&gt;0")</f>
        <v>0</v>
      </c>
      <c r="F738" s="25">
        <f>SUMIFS('Daftar Koreksi'!$H$5:$H$92,'Daftar Koreksi'!$D$5:$D$92,'0200'!A730,'Daftar Koreksi'!$G$5:$G$92,"Aset Tetap Lainnya",'Daftar Koreksi'!$H$5:$H$92,"&lt;0")-SUMIFS('Daftar Koreksi'!$H$5:$H$92,'Daftar Koreksi'!$D$5:$D$92,'0200'!A730,'Daftar Koreksi'!$G$5:$G$92,"Aset Tetap Lainnya",'Daftar Koreksi'!$H$5:$H$92,"&lt;0")-SUMIFS('Daftar Koreksi'!$H$5:$H$92,'Daftar Koreksi'!$D$5:$D$92,'0200'!A730,'Daftar Koreksi'!$G$5:$G$92,"Aset Tetap Lainnya",'Daftar Koreksi'!$H$5:$H$92,"&lt;0")</f>
        <v>0</v>
      </c>
      <c r="G738" s="17">
        <f t="shared" si="33"/>
        <v>4591400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Koreksi'!$D$5:$D$92,'0200'!A730,'Daftar Koreksi'!$G$5:$G$92,"Kontruksi Dalam Pengerjaan",'Daftar Koreksi'!$H$5:$H$92,"&gt;0")</f>
        <v>0</v>
      </c>
      <c r="F739" s="25">
        <f>SUMIFS('Daftar Koreksi'!$H$5:$H$92,'Daftar Koreksi'!$D$5:$D$92,'0200'!A730,'Daftar Koreksi'!$G$5:$G$92,"Kontruksi Dalam Pengerjaan",'Daftar Koreksi'!$H$5:$H$92,"&lt;0")-SUMIFS('Daftar Koreksi'!$H$5:$H$92,'Daftar Koreksi'!$D$5:$D$92,'0200'!A730,'Daftar Koreksi'!$G$5:$G$92,"Kontruksi Dalam Pengerjaan",'Daftar Koreksi'!$H$5:$H$92,"&lt;0")-SUMIFS('Daftar Koreksi'!$H$5:$H$92,'Daftar Koreksi'!$D$5:$D$92,'0200'!A730,'Daftar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46972000</v>
      </c>
      <c r="E740" s="25">
        <f>SUMIFS('Daftar Koreksi'!$H$5:$H$92,'Daftar Koreksi'!$D$5:$D$92,'0200'!A730,'Daftar Koreksi'!$G$5:$G$92,"Aset Tak Berwujud",'Daftar Koreksi'!$H$5:$H$92,"&gt;0")</f>
        <v>0</v>
      </c>
      <c r="F740" s="25">
        <f>SUMIFS('Daftar Koreksi'!$H$5:$H$92,'Daftar Koreksi'!$D$5:$D$92,'0200'!A730,'Daftar Koreksi'!$G$5:$G$92,"Aset Tak Berwujud",'Daftar Koreksi'!$H$5:$H$92,"&lt;0")-SUMIFS('Daftar Koreksi'!$H$5:$H$92,'Daftar Koreksi'!$D$5:$D$92,'0200'!A730,'Daftar Koreksi'!$G$5:$G$92,"Aset Tak Berwujud",'Daftar Koreksi'!$H$5:$H$92,"&lt;0")-SUMIFS('Daftar Koreksi'!$H$5:$H$92,'Daftar Koreksi'!$D$5:$D$92,'0200'!A730,'Daftar Koreksi'!$G$5:$G$92,"Aset Tak Berwujud",'Daftar Koreksi'!$H$5:$H$92,"&lt;0")</f>
        <v>0</v>
      </c>
      <c r="G740" s="17">
        <f t="shared" si="33"/>
        <v>46972000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0</v>
      </c>
      <c r="E741" s="25">
        <f>SUMIFS('Daftar Koreksi'!$H$5:$H$92,'Daftar Koreksi'!$D$5:$D$92,'0200'!A730,'Daftar Koreksi'!$G$5:$G$92,"Aset Henti Guna",'Daftar Koreksi'!$H$5:$H$92,"&gt;0")</f>
        <v>0</v>
      </c>
      <c r="F741" s="25">
        <f>SUMIFS('Daftar Koreksi'!$H$5:$H$92,'Daftar Koreksi'!$D$5:$D$92,'0200'!A730,'Daftar Koreksi'!$G$5:$G$92,"Aset Henti Guna",'Daftar Koreksi'!$H$5:$H$92,"&lt;0")-SUMIFS('Daftar Koreksi'!$H$5:$H$92,'Daftar Koreksi'!$D$5:$D$92,'0200'!A730,'Daftar Koreksi'!$G$5:$G$92,"Aset Henti Guna",'Daftar Koreksi'!$H$5:$H$92,"&lt;0")-SUMIFS('Daftar Koreksi'!$H$5:$H$92,'Daftar Koreksi'!$D$5:$D$92,'0200'!A730,'Daftar Koreksi'!$G$5:$G$92,"Aset Henti Guna",'Daftar Koreksi'!$H$5:$H$92,"&lt;0")</f>
        <v>0</v>
      </c>
      <c r="G741" s="17">
        <f t="shared" si="33"/>
        <v>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5077984122</v>
      </c>
      <c r="E742" s="19">
        <f>SUM(E733:E741)</f>
        <v>0</v>
      </c>
      <c r="F742" s="19">
        <f>SUM(F733:F741)</f>
        <v>0</v>
      </c>
      <c r="G742" s="19">
        <f t="shared" si="33"/>
        <v>5077984122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-902759718</v>
      </c>
      <c r="E743" s="25">
        <f>SUMIFS('Daftar Koreksi'!$I$5:$I$92,'Daftar Koreksi'!$D$5:$D$92,'0200'!A730,'Daftar Koreksi'!$G$5:$G$92,"Peralatan dan mesin",'Daftar Koreksi'!$I$5:$I$92,"&gt;0")</f>
        <v>0</v>
      </c>
      <c r="F743" s="25">
        <f>SUMIFS('Daftar Koreksi'!$I$5:$I$92,'Daftar Koreksi'!$D$5:$D$92,'0200'!A730,'Daftar Koreksi'!$G$5:$G$92,"Peralatan dan mesin",'Daftar Koreksi'!$I$5:$I$92,"&lt;0")-SUMIFS('Daftar Koreksi'!$I$5:$I$92,'Daftar Koreksi'!$D$5:$D$92,'0200'!A730,'Daftar Koreksi'!$G$5:$G$92,"Peralatan dan mesin",'Daftar Koreksi'!$I$5:$I$92,"&lt;0")-SUMIFS('Daftar Koreksi'!$I$5:$I$92,'Daftar Koreksi'!$D$5:$D$92,'0200'!A730,'Daftar Koreksi'!$G$5:$G$92,"Peralatan dan mesin",'Daftar Koreksi'!$I$5:$I$92,"&lt;0")</f>
        <v>0</v>
      </c>
      <c r="G743" s="17">
        <f t="shared" si="33"/>
        <v>-902759718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-355237902</v>
      </c>
      <c r="E744" s="25">
        <f>SUMIFS('Daftar Koreksi'!$I$5:$I$92,'Daftar Koreksi'!$D$5:$D$92,'0200'!A730,'Daftar Koreksi'!$G$5:$G$92,"Gedung dan Bangunan",'Daftar Koreksi'!$I$5:$I$92,"&gt;0")</f>
        <v>0</v>
      </c>
      <c r="F744" s="25">
        <f>SUMIFS('Daftar Koreksi'!$I$5:$I$92,'Daftar Koreksi'!$D$5:$D$92,'0200'!A730,'Daftar Koreksi'!$G$5:$G$92,"Gedung dan Bangunan",'Daftar Koreksi'!$I$5:$I$92,"&lt;0")-SUMIFS('Daftar Koreksi'!$I$5:$I$92,'Daftar Koreksi'!$D$5:$D$92,'0200'!A730,'Daftar Koreksi'!$G$5:$G$92,"Gedung dan Bangunan",'Daftar Koreksi'!$I$5:$I$92,"&lt;0")-SUMIFS('Daftar Koreksi'!$I$5:$I$92,'Daftar Koreksi'!$D$5:$D$92,'0200'!A730,'Daftar Koreksi'!$G$5:$G$92,"Gedung dan Bangunan",'Daftar Koreksi'!$I$5:$I$92,"&lt;0")</f>
        <v>0</v>
      </c>
      <c r="G744" s="17">
        <f t="shared" si="33"/>
        <v>-355237902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-1786688</v>
      </c>
      <c r="E745" s="25">
        <f>SUMIFS('Daftar Koreksi'!$I$5:$I$92,'Daftar Koreksi'!$D$5:$D$92,'0200'!A730,'Daftar Koreksi'!$G$5:$G$92,"Jalan Irigasi Jaringan",'Daftar Koreksi'!$I$5:$I$92,"&gt;0")</f>
        <v>0</v>
      </c>
      <c r="F745" s="25">
        <f>SUMIFS('Daftar Koreksi'!$I$5:$I$92,'Daftar Koreksi'!$D$5:$D$92,'0200'!A730,'Daftar Koreksi'!$G$5:$G$92,"Jalan Irigasi Jaringan",'Daftar Koreksi'!$I$5:$I$92,"&lt;0")-SUMIFS('Daftar Koreksi'!$I$5:$I$92,'Daftar Koreksi'!$D$5:$D$92,'0200'!A730,'Daftar Koreksi'!$G$5:$G$92,"Jalan Irigasi Jaringan",'Daftar Koreksi'!$I$5:$I$92,"&lt;0")-SUMIFS('Daftar Koreksi'!$I$5:$I$92,'Daftar Koreksi'!$D$5:$D$92,'0200'!A730,'Daftar Koreksi'!$G$5:$G$92,"Jalan Irigasi Jaringan",'Daftar Koreksi'!$I$5:$I$92,"&lt;0")</f>
        <v>0</v>
      </c>
      <c r="G745" s="17">
        <f t="shared" si="33"/>
        <v>-1786688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Koreksi'!$D$5:$D$92,'0200'!A730,'Daftar Koreksi'!$G$5:$G$92,"Aset Tetap Lainnya",'Daftar Koreksi'!$I$5:$I$92,"&gt;0")</f>
        <v>0</v>
      </c>
      <c r="F746" s="25">
        <f>SUMIFS('Daftar Koreksi'!$I$5:$I$92,'Daftar Koreksi'!$D$5:$D$92,'0200'!A730,'Daftar Koreksi'!$G$5:$G$92,"Aset Tetap Lainnya",'Daftar Koreksi'!$I$5:$I$92,"&lt;0")-SUMIFS('Daftar Koreksi'!$I$5:$I$92,'Daftar Koreksi'!$D$5:$D$92,'0200'!A730,'Daftar Koreksi'!$G$5:$G$92,"Aset Tetap Lainnya",'Daftar Koreksi'!$I$5:$I$92,"&lt;0")-SUMIFS('Daftar Koreksi'!$I$5:$I$92,'Daftar Koreksi'!$D$5:$D$92,'0200'!A730,'Daftar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0</v>
      </c>
      <c r="E747" s="25">
        <f>SUMIFS('Daftar Koreksi'!$I$5:$I$92,'Daftar Koreksi'!$D$5:$D$92,'0200'!A730,'Daftar Koreksi'!$G$5:$G$92,"Aset Henti Guna",'Daftar Koreksi'!$I$5:$I$92,"&gt;0")</f>
        <v>0</v>
      </c>
      <c r="F747" s="25">
        <f>SUMIFS('Daftar Koreksi'!$I$5:$I$92,'Daftar Koreksi'!$D$5:$D$92,'0200'!A730,'Daftar Koreksi'!$G$5:$G$92,"Aset Henti Guna",'Daftar Koreksi'!$I$5:$I$92,"&lt;0")-SUMIFS('Daftar Koreksi'!$I$5:$I$92,'Daftar Koreksi'!$D$5:$D$92,'0200'!A730,'Daftar Koreksi'!$G$5:$G$92,"Aset Henti Guna",'Daftar Koreksi'!$I$5:$I$92,"&lt;0")-SUMIFS('Daftar Koreksi'!$I$5:$I$92,'Daftar Koreksi'!$D$5:$D$92,'0200'!A730,'Daftar Koreksi'!$G$5:$G$92,"Aset Henti Guna",'Daftar Koreksi'!$I$5:$I$92,"&lt;0")</f>
        <v>0</v>
      </c>
      <c r="G747" s="17">
        <f t="shared" si="33"/>
        <v>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-1259784308</v>
      </c>
      <c r="E748" s="19">
        <f>SUM(E743:E747)</f>
        <v>0</v>
      </c>
      <c r="F748" s="19">
        <f>SUM(F743:F747)</f>
        <v>0</v>
      </c>
      <c r="G748" s="19">
        <f t="shared" si="33"/>
        <v>-1259784308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3818199814</v>
      </c>
      <c r="E749" s="19">
        <f>E748+E742</f>
        <v>0</v>
      </c>
      <c r="F749" s="19">
        <f>F748+F742</f>
        <v>0</v>
      </c>
      <c r="G749" s="19">
        <f t="shared" si="33"/>
        <v>3818199814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005010200400832000KD</v>
      </c>
      <c r="B752" s="11" t="str">
        <f>P35</f>
        <v>PA. Bekasi</v>
      </c>
      <c r="C752" s="12" t="str">
        <f>A752&amp;" "&amp;B752</f>
        <v>005010200400832000KD PA. Bekasi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5856600</v>
      </c>
      <c r="E755" s="25">
        <f>SUMIFS('Daftar Koreksi'!$H$5:$H$92,'Daftar Koreksi'!$D$5:$D$92,'0200'!A752,'Daftar Koreksi'!$G$5:$G$92,"Persediaan",'Daftar Koreksi'!$H$5:$H$92,"&gt;0")</f>
        <v>0</v>
      </c>
      <c r="F755" s="25">
        <f>SUMIFS('Daftar Koreksi'!$H$5:$H$92,'Daftar Koreksi'!$D$5:$D$92,'0200'!A752,'Daftar Koreksi'!$G$5:$G$92,"Persediaan",'Daftar Koreksi'!$H$5:$H$92,"&lt;0")-SUMIFS('Daftar Koreksi'!$H$5:$H$92,'Daftar Koreksi'!$D$5:$D$92,'0200'!A752,'Daftar Koreksi'!$G$5:$G$92,"Persediaan",'Daftar Koreksi'!$H$5:$H$92,"&lt;0")-SUMIFS('Daftar Koreksi'!$H$5:$H$92,'Daftar Koreksi'!$D$5:$D$92,'0200'!A752,'Daftar Koreksi'!$G$5:$G$92,"Persediaan",'Daftar Koreksi'!$H$5:$H$92,"&lt;0")</f>
        <v>0</v>
      </c>
      <c r="G755" s="17">
        <f>D755+E755-F755</f>
        <v>5856600</v>
      </c>
      <c r="H755" s="121" t="str">
        <f>IF(ISNA(VLOOKUP(A752,'Mutasi Neraca'!$A$3:$S$914,19,FALSE)),"-",VLOOKUP(A752,'Mutasi Neraca'!$A$3:$S$914,19,FALSE))</f>
        <v>-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7051300000</v>
      </c>
      <c r="E756" s="25">
        <f>SUMIFS('Daftar Koreksi'!$H$5:$H$92,'Daftar Koreksi'!$D$5:$D$92,'0200'!A752,'Daftar Koreksi'!$G$5:$G$92,"Tanah",'Daftar Koreksi'!$H$5:$H$92,"&gt;0")</f>
        <v>0</v>
      </c>
      <c r="F756" s="25">
        <f>SUMIFS('Daftar Koreksi'!$H$5:$H$92,'Daftar Koreksi'!$D$5:$D$92,'0200'!A752,'Daftar Koreksi'!$G$5:$G$92,"Tanah",'Daftar Koreksi'!$H$5:$H$92,"&lt;0")-SUMIFS('Daftar Koreksi'!$H$5:$H$92,'Daftar Koreksi'!$D$5:$D$92,'0200'!A752,'Daftar Koreksi'!$G$5:$G$92,"Tanah",'Daftar Koreksi'!$H$5:$H$92,"&lt;0")-SUMIFS('Daftar Koreksi'!$H$5:$H$92,'Daftar Koreksi'!$D$5:$D$92,'0200'!A752,'Daftar Koreksi'!$G$5:$G$92,"Tanah",'Daftar Koreksi'!$H$5:$H$92,"&lt;0")</f>
        <v>0</v>
      </c>
      <c r="G756" s="17">
        <f t="shared" ref="G756:G772" si="34">D756+E756-F756</f>
        <v>7051300000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2006009543</v>
      </c>
      <c r="E757" s="25">
        <f>SUMIFS('Daftar Koreksi'!$H$5:$H$92,'Daftar Koreksi'!$D$5:$D$92,'0200'!A752,'Daftar Koreksi'!$G$5:$G$92,"Peralatan dan mesin",'Daftar Koreksi'!$H$5:$H$92,"&gt;0")</f>
        <v>0</v>
      </c>
      <c r="F757" s="25">
        <f>SUMIFS('Daftar Koreksi'!$H$5:$H$92,'Daftar Koreksi'!$D$5:$D$92,'0200'!A752,'Daftar Koreksi'!$G$5:$G$92,"Peralatan dan mesin",'Daftar Koreksi'!$H$5:$H$92,"&lt;0")-SUMIFS('Daftar Koreksi'!$H$5:$H$92,'Daftar Koreksi'!$D$5:$D$92,'0200'!A752,'Daftar Koreksi'!$G$5:$G$92,"Peralatan dan mesin",'Daftar Koreksi'!$H$5:$H$92,"&lt;0")-SUMIFS('Daftar Koreksi'!$H$5:$H$92,'Daftar Koreksi'!$D$5:$D$92,'0200'!A752,'Daftar Koreksi'!$G$5:$G$92,"Peralatan dan mesin",'Daftar Koreksi'!$H$5:$H$92,"&lt;0")</f>
        <v>0</v>
      </c>
      <c r="G757" s="17">
        <f t="shared" si="34"/>
        <v>2006009543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7702793800</v>
      </c>
      <c r="E758" s="25">
        <f>SUMIFS('Daftar Koreksi'!$H$5:$H$92,'Daftar Koreksi'!$D$5:$D$92,'0200'!A752,'Daftar Koreksi'!$G$5:$G$92,"Gedung dan Bangunan",'Daftar Koreksi'!$H$5:$H$92,"&gt;0")</f>
        <v>0</v>
      </c>
      <c r="F758" s="25">
        <f>SUMIFS('Daftar Koreksi'!$H$5:$H$92,'Daftar Koreksi'!$D$5:$D$92,'0200'!A752,'Daftar Koreksi'!$G$5:$G$92,"Gedung dan Bangunan",'Daftar Koreksi'!$H$5:$H$92,"&lt;0")-SUMIFS('Daftar Koreksi'!$H$5:$H$92,'Daftar Koreksi'!$D$5:$D$92,'0200'!A752,'Daftar Koreksi'!$G$5:$G$92,"Gedung dan Bangunan",'Daftar Koreksi'!$H$5:$H$92,"&lt;0")-SUMIFS('Daftar Koreksi'!$H$5:$H$92,'Daftar Koreksi'!$D$5:$D$92,'0200'!A752,'Daftar Koreksi'!$G$5:$G$92,"Gedung dan Bangunan",'Daftar Koreksi'!$H$5:$H$92,"&lt;0")</f>
        <v>0</v>
      </c>
      <c r="G758" s="17">
        <f t="shared" si="34"/>
        <v>7702793800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8698200</v>
      </c>
      <c r="E759" s="25">
        <f>SUMIFS('Daftar Koreksi'!$H$5:$H$92,'Daftar Koreksi'!$D$5:$D$92,'0200'!A752,'Daftar Koreksi'!$G$5:$G$92,"Jalan Irigasi Jaringan",'Daftar Koreksi'!$H$5:$H$92,"&gt;0")</f>
        <v>0</v>
      </c>
      <c r="F759" s="25">
        <f>SUMIFS('Daftar Koreksi'!$H$5:$H$92,'Daftar Koreksi'!$D$5:$D$92,'0200'!A752,'Daftar Koreksi'!$G$5:$G$92,"Jalan Irigasi Jaringan",'Daftar Koreksi'!$H$5:$H$92,"&lt;0")-SUMIFS('Daftar Koreksi'!$H$5:$H$92,'Daftar Koreksi'!$D$5:$D$92,'0200'!A752,'Daftar Koreksi'!$G$5:$G$92,"Jalan Irigasi Jaringan",'Daftar Koreksi'!$H$5:$H$92,"&lt;0")-SUMIFS('Daftar Koreksi'!$H$5:$H$92,'Daftar Koreksi'!$D$5:$D$92,'0200'!A752,'Daftar Koreksi'!$G$5:$G$92,"Jalan Irigasi Jaringan",'Daftar Koreksi'!$H$5:$H$92,"&lt;0")</f>
        <v>0</v>
      </c>
      <c r="G759" s="17">
        <f t="shared" si="34"/>
        <v>8698200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468000</v>
      </c>
      <c r="E760" s="25">
        <f>SUMIFS('Daftar Koreksi'!$H$5:$H$92,'Daftar Koreksi'!$D$5:$D$92,'0200'!A752,'Daftar Koreksi'!$G$5:$G$92,"Aset Tetap Lainnya",'Daftar Koreksi'!$H$5:$H$92,"&gt;0")</f>
        <v>0</v>
      </c>
      <c r="F760" s="25">
        <f>SUMIFS('Daftar Koreksi'!$H$5:$H$92,'Daftar Koreksi'!$D$5:$D$92,'0200'!A752,'Daftar Koreksi'!$G$5:$G$92,"Aset Tetap Lainnya",'Daftar Koreksi'!$H$5:$H$92,"&lt;0")-SUMIFS('Daftar Koreksi'!$H$5:$H$92,'Daftar Koreksi'!$D$5:$D$92,'0200'!A752,'Daftar Koreksi'!$G$5:$G$92,"Aset Tetap Lainnya",'Daftar Koreksi'!$H$5:$H$92,"&lt;0")-SUMIFS('Daftar Koreksi'!$H$5:$H$92,'Daftar Koreksi'!$D$5:$D$92,'0200'!A752,'Daftar Koreksi'!$G$5:$G$92,"Aset Tetap Lainnya",'Daftar Koreksi'!$H$5:$H$92,"&lt;0")</f>
        <v>0</v>
      </c>
      <c r="G760" s="17">
        <f t="shared" si="34"/>
        <v>468000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Koreksi'!$D$5:$D$92,'0200'!A752,'Daftar Koreksi'!$G$5:$G$92,"Kontruksi Dalam Pengerjaan",'Daftar Koreksi'!$H$5:$H$92,"&gt;0")</f>
        <v>0</v>
      </c>
      <c r="F761" s="25">
        <f>SUMIFS('Daftar Koreksi'!$H$5:$H$92,'Daftar Koreksi'!$D$5:$D$92,'0200'!A752,'Daftar Koreksi'!$G$5:$G$92,"Kontruksi Dalam Pengerjaan",'Daftar Koreksi'!$H$5:$H$92,"&lt;0")-SUMIFS('Daftar Koreksi'!$H$5:$H$92,'Daftar Koreksi'!$D$5:$D$92,'0200'!A752,'Daftar Koreksi'!$G$5:$G$92,"Kontruksi Dalam Pengerjaan",'Daftar Koreksi'!$H$5:$H$92,"&lt;0")-SUMIFS('Daftar Koreksi'!$H$5:$H$92,'Daftar Koreksi'!$D$5:$D$92,'0200'!A752,'Daftar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19690000</v>
      </c>
      <c r="E762" s="25">
        <f>SUMIFS('Daftar Koreksi'!$H$5:$H$92,'Daftar Koreksi'!$D$5:$D$92,'0200'!A752,'Daftar Koreksi'!$G$5:$G$92,"Aset Tak Berwujud",'Daftar Koreksi'!$H$5:$H$92,"&gt;0")</f>
        <v>0</v>
      </c>
      <c r="F762" s="25">
        <f>SUMIFS('Daftar Koreksi'!$H$5:$H$92,'Daftar Koreksi'!$D$5:$D$92,'0200'!A752,'Daftar Koreksi'!$G$5:$G$92,"Aset Tak Berwujud",'Daftar Koreksi'!$H$5:$H$92,"&lt;0")-SUMIFS('Daftar Koreksi'!$H$5:$H$92,'Daftar Koreksi'!$D$5:$D$92,'0200'!A752,'Daftar Koreksi'!$G$5:$G$92,"Aset Tak Berwujud",'Daftar Koreksi'!$H$5:$H$92,"&lt;0")-SUMIFS('Daftar Koreksi'!$H$5:$H$92,'Daftar Koreksi'!$D$5:$D$92,'0200'!A752,'Daftar Koreksi'!$G$5:$G$92,"Aset Tak Berwujud",'Daftar Koreksi'!$H$5:$H$92,"&lt;0")</f>
        <v>0</v>
      </c>
      <c r="G762" s="17">
        <f t="shared" si="34"/>
        <v>19690000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34248000</v>
      </c>
      <c r="E763" s="25">
        <f>SUMIFS('Daftar Koreksi'!$H$5:$H$92,'Daftar Koreksi'!$D$5:$D$92,'0200'!A752,'Daftar Koreksi'!$G$5:$G$92,"Aset Henti Guna",'Daftar Koreksi'!$H$5:$H$92,"&gt;0")</f>
        <v>0</v>
      </c>
      <c r="F763" s="25">
        <f>SUMIFS('Daftar Koreksi'!$H$5:$H$92,'Daftar Koreksi'!$D$5:$D$92,'0200'!A752,'Daftar Koreksi'!$G$5:$G$92,"Aset Henti Guna",'Daftar Koreksi'!$H$5:$H$92,"&lt;0")-SUMIFS('Daftar Koreksi'!$H$5:$H$92,'Daftar Koreksi'!$D$5:$D$92,'0200'!A752,'Daftar Koreksi'!$G$5:$G$92,"Aset Henti Guna",'Daftar Koreksi'!$H$5:$H$92,"&lt;0")-SUMIFS('Daftar Koreksi'!$H$5:$H$92,'Daftar Koreksi'!$D$5:$D$92,'0200'!A752,'Daftar Koreksi'!$G$5:$G$92,"Aset Henti Guna",'Daftar Koreksi'!$H$5:$H$92,"&lt;0")</f>
        <v>0</v>
      </c>
      <c r="G763" s="17">
        <f t="shared" si="34"/>
        <v>34248000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16829064143</v>
      </c>
      <c r="E764" s="19">
        <f>SUM(E755:E763)</f>
        <v>0</v>
      </c>
      <c r="F764" s="19">
        <f>SUM(F755:F763)</f>
        <v>0</v>
      </c>
      <c r="G764" s="19">
        <f t="shared" si="34"/>
        <v>16829064143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-1492516487</v>
      </c>
      <c r="E765" s="25">
        <f>SUMIFS('Daftar Koreksi'!$I$5:$I$92,'Daftar Koreksi'!$D$5:$D$92,'0200'!A752,'Daftar Koreksi'!$G$5:$G$92,"Peralatan dan mesin",'Daftar Koreksi'!$I$5:$I$92,"&gt;0")</f>
        <v>0</v>
      </c>
      <c r="F765" s="25">
        <f>SUMIFS('Daftar Koreksi'!$I$5:$I$92,'Daftar Koreksi'!$D$5:$D$92,'0200'!A752,'Daftar Koreksi'!$G$5:$G$92,"Peralatan dan mesin",'Daftar Koreksi'!$I$5:$I$92,"&lt;0")-SUMIFS('Daftar Koreksi'!$I$5:$I$92,'Daftar Koreksi'!$D$5:$D$92,'0200'!A752,'Daftar Koreksi'!$G$5:$G$92,"Peralatan dan mesin",'Daftar Koreksi'!$I$5:$I$92,"&lt;0")-SUMIFS('Daftar Koreksi'!$I$5:$I$92,'Daftar Koreksi'!$D$5:$D$92,'0200'!A752,'Daftar Koreksi'!$G$5:$G$92,"Peralatan dan mesin",'Daftar Koreksi'!$I$5:$I$92,"&lt;0")</f>
        <v>0</v>
      </c>
      <c r="G765" s="17">
        <f t="shared" si="34"/>
        <v>-1492516487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-458755288</v>
      </c>
      <c r="E766" s="25">
        <f>SUMIFS('Daftar Koreksi'!$I$5:$I$92,'Daftar Koreksi'!$D$5:$D$92,'0200'!A752,'Daftar Koreksi'!$G$5:$G$92,"Gedung dan Bangunan",'Daftar Koreksi'!$I$5:$I$92,"&gt;0")</f>
        <v>0</v>
      </c>
      <c r="F766" s="25">
        <f>SUMIFS('Daftar Koreksi'!$I$5:$I$92,'Daftar Koreksi'!$D$5:$D$92,'0200'!A752,'Daftar Koreksi'!$G$5:$G$92,"Gedung dan Bangunan",'Daftar Koreksi'!$I$5:$I$92,"&lt;0")-SUMIFS('Daftar Koreksi'!$I$5:$I$92,'Daftar Koreksi'!$D$5:$D$92,'0200'!A752,'Daftar Koreksi'!$G$5:$G$92,"Gedung dan Bangunan",'Daftar Koreksi'!$I$5:$I$92,"&lt;0")-SUMIFS('Daftar Koreksi'!$I$5:$I$92,'Daftar Koreksi'!$D$5:$D$92,'0200'!A752,'Daftar Koreksi'!$G$5:$G$92,"Gedung dan Bangunan",'Daftar Koreksi'!$I$5:$I$92,"&lt;0")</f>
        <v>0</v>
      </c>
      <c r="G766" s="17">
        <f t="shared" si="34"/>
        <v>-458755288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-1304730</v>
      </c>
      <c r="E767" s="25">
        <f>SUMIFS('Daftar Koreksi'!$I$5:$I$92,'Daftar Koreksi'!$D$5:$D$92,'0200'!A752,'Daftar Koreksi'!$G$5:$G$92,"Jalan Irigasi Jaringan",'Daftar Koreksi'!$I$5:$I$92,"&gt;0")</f>
        <v>0</v>
      </c>
      <c r="F767" s="25">
        <f>SUMIFS('Daftar Koreksi'!$I$5:$I$92,'Daftar Koreksi'!$D$5:$D$92,'0200'!A752,'Daftar Koreksi'!$G$5:$G$92,"Jalan Irigasi Jaringan",'Daftar Koreksi'!$I$5:$I$92,"&lt;0")-SUMIFS('Daftar Koreksi'!$I$5:$I$92,'Daftar Koreksi'!$D$5:$D$92,'0200'!A752,'Daftar Koreksi'!$G$5:$G$92,"Jalan Irigasi Jaringan",'Daftar Koreksi'!$I$5:$I$92,"&lt;0")-SUMIFS('Daftar Koreksi'!$I$5:$I$92,'Daftar Koreksi'!$D$5:$D$92,'0200'!A752,'Daftar Koreksi'!$G$5:$G$92,"Jalan Irigasi Jaringan",'Daftar Koreksi'!$I$5:$I$92,"&lt;0")</f>
        <v>0</v>
      </c>
      <c r="G767" s="17">
        <f t="shared" si="34"/>
        <v>-1304730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Koreksi'!$D$5:$D$92,'0200'!A752,'Daftar Koreksi'!$G$5:$G$92,"Aset Tetap Lainnya",'Daftar Koreksi'!$I$5:$I$92,"&gt;0")</f>
        <v>0</v>
      </c>
      <c r="F768" s="25">
        <f>SUMIFS('Daftar Koreksi'!$I$5:$I$92,'Daftar Koreksi'!$D$5:$D$92,'0200'!A752,'Daftar Koreksi'!$G$5:$G$92,"Aset Tetap Lainnya",'Daftar Koreksi'!$I$5:$I$92,"&lt;0")-SUMIFS('Daftar Koreksi'!$I$5:$I$92,'Daftar Koreksi'!$D$5:$D$92,'0200'!A752,'Daftar Koreksi'!$G$5:$G$92,"Aset Tetap Lainnya",'Daftar Koreksi'!$I$5:$I$92,"&lt;0")-SUMIFS('Daftar Koreksi'!$I$5:$I$92,'Daftar Koreksi'!$D$5:$D$92,'0200'!A752,'Daftar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-34248000</v>
      </c>
      <c r="E769" s="25">
        <f>SUMIFS('Daftar Koreksi'!$I$5:$I$92,'Daftar Koreksi'!$D$5:$D$92,'0200'!A752,'Daftar Koreksi'!$G$5:$G$92,"Aset Henti Guna",'Daftar Koreksi'!$I$5:$I$92,"&gt;0")</f>
        <v>0</v>
      </c>
      <c r="F769" s="25">
        <f>SUMIFS('Daftar Koreksi'!$I$5:$I$92,'Daftar Koreksi'!$D$5:$D$92,'0200'!A752,'Daftar Koreksi'!$G$5:$G$92,"Aset Henti Guna",'Daftar Koreksi'!$I$5:$I$92,"&lt;0")-SUMIFS('Daftar Koreksi'!$I$5:$I$92,'Daftar Koreksi'!$D$5:$D$92,'0200'!A752,'Daftar Koreksi'!$G$5:$G$92,"Aset Henti Guna",'Daftar Koreksi'!$I$5:$I$92,"&lt;0")-SUMIFS('Daftar Koreksi'!$I$5:$I$92,'Daftar Koreksi'!$D$5:$D$92,'0200'!A752,'Daftar Koreksi'!$G$5:$G$92,"Aset Henti Guna",'Daftar Koreksi'!$I$5:$I$92,"&lt;0")</f>
        <v>0</v>
      </c>
      <c r="G769" s="17">
        <f t="shared" si="34"/>
        <v>-34248000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-1986824505</v>
      </c>
      <c r="E770" s="19">
        <f>SUM(E765:E769)</f>
        <v>0</v>
      </c>
      <c r="F770" s="19">
        <f>SUM(F765:F769)</f>
        <v>0</v>
      </c>
      <c r="G770" s="19">
        <f t="shared" si="34"/>
        <v>-1986824505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14842239638</v>
      </c>
      <c r="E771" s="19">
        <f>E770+E764</f>
        <v>0</v>
      </c>
      <c r="F771" s="19">
        <f>F770+F764</f>
        <v>0</v>
      </c>
      <c r="G771" s="19">
        <f t="shared" si="34"/>
        <v>14842239638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005010200400848000KD</v>
      </c>
      <c r="B774" s="11" t="str">
        <f>P36</f>
        <v>PA. Karawang</v>
      </c>
      <c r="C774" s="12" t="str">
        <f>A774&amp;" "&amp;B774</f>
        <v>005010200400848000KD PA. Karawang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14416637</v>
      </c>
      <c r="E777" s="25">
        <f>SUMIFS('Daftar Koreksi'!$H$5:$H$92,'Daftar Koreksi'!$D$5:$D$92,'0200'!A774,'Daftar Koreksi'!$G$5:$G$92,"Persediaan",'Daftar Koreksi'!$H$5:$H$92,"&gt;0")</f>
        <v>0</v>
      </c>
      <c r="F777" s="25">
        <f>SUMIFS('Daftar Koreksi'!$H$5:$H$92,'Daftar Koreksi'!$D$5:$D$92,'0200'!A774,'Daftar Koreksi'!$G$5:$G$92,"Persediaan",'Daftar Koreksi'!$H$5:$H$92,"&lt;0")-SUMIFS('Daftar Koreksi'!$H$5:$H$92,'Daftar Koreksi'!$D$5:$D$92,'0200'!A774,'Daftar Koreksi'!$G$5:$G$92,"Persediaan",'Daftar Koreksi'!$H$5:$H$92,"&lt;0")-SUMIFS('Daftar Koreksi'!$H$5:$H$92,'Daftar Koreksi'!$D$5:$D$92,'0200'!A774,'Daftar Koreksi'!$G$5:$G$92,"Persediaan",'Daftar Koreksi'!$H$5:$H$92,"&lt;0")</f>
        <v>0</v>
      </c>
      <c r="G777" s="17">
        <f>D777+E777-F777</f>
        <v>14416637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266400000</v>
      </c>
      <c r="E778" s="25">
        <f>SUMIFS('Daftar Koreksi'!$H$5:$H$92,'Daftar Koreksi'!$D$5:$D$92,'0200'!A774,'Daftar Koreksi'!$G$5:$G$92,"Tanah",'Daftar Koreksi'!$H$5:$H$92,"&gt;0")</f>
        <v>0</v>
      </c>
      <c r="F778" s="25">
        <f>SUMIFS('Daftar Koreksi'!$H$5:$H$92,'Daftar Koreksi'!$D$5:$D$92,'0200'!A774,'Daftar Koreksi'!$G$5:$G$92,"Tanah",'Daftar Koreksi'!$H$5:$H$92,"&lt;0")-SUMIFS('Daftar Koreksi'!$H$5:$H$92,'Daftar Koreksi'!$D$5:$D$92,'0200'!A774,'Daftar Koreksi'!$G$5:$G$92,"Tanah",'Daftar Koreksi'!$H$5:$H$92,"&lt;0")-SUMIFS('Daftar Koreksi'!$H$5:$H$92,'Daftar Koreksi'!$D$5:$D$92,'0200'!A774,'Daftar Koreksi'!$G$5:$G$92,"Tanah",'Daftar Koreksi'!$H$5:$H$92,"&lt;0")</f>
        <v>0</v>
      </c>
      <c r="G778" s="17">
        <f t="shared" ref="G778:G794" si="35">D778+E778-F778</f>
        <v>266400000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2208529985</v>
      </c>
      <c r="E779" s="25">
        <f>SUMIFS('Daftar Koreksi'!$H$5:$H$92,'Daftar Koreksi'!$D$5:$D$92,'0200'!A774,'Daftar Koreksi'!$G$5:$G$92,"Peralatan dan mesin",'Daftar Koreksi'!$H$5:$H$92,"&gt;0")</f>
        <v>0</v>
      </c>
      <c r="F779" s="25">
        <f>SUMIFS('Daftar Koreksi'!$H$5:$H$92,'Daftar Koreksi'!$D$5:$D$92,'0200'!A774,'Daftar Koreksi'!$G$5:$G$92,"Peralatan dan mesin",'Daftar Koreksi'!$H$5:$H$92,"&lt;0")-SUMIFS('Daftar Koreksi'!$H$5:$H$92,'Daftar Koreksi'!$D$5:$D$92,'0200'!A774,'Daftar Koreksi'!$G$5:$G$92,"Peralatan dan mesin",'Daftar Koreksi'!$H$5:$H$92,"&lt;0")-SUMIFS('Daftar Koreksi'!$H$5:$H$92,'Daftar Koreksi'!$D$5:$D$92,'0200'!A774,'Daftar Koreksi'!$G$5:$G$92,"Peralatan dan mesin",'Daftar Koreksi'!$H$5:$H$92,"&lt;0")</f>
        <v>0</v>
      </c>
      <c r="G779" s="17">
        <f t="shared" si="35"/>
        <v>2208529985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6580049307</v>
      </c>
      <c r="E780" s="25">
        <f>SUMIFS('Daftar Koreksi'!$H$5:$H$92,'Daftar Koreksi'!$D$5:$D$92,'0200'!A774,'Daftar Koreksi'!$G$5:$G$92,"Gedung dan Bangunan",'Daftar Koreksi'!$H$5:$H$92,"&gt;0")</f>
        <v>0</v>
      </c>
      <c r="F780" s="25">
        <f>SUMIFS('Daftar Koreksi'!$H$5:$H$92,'Daftar Koreksi'!$D$5:$D$92,'0200'!A774,'Daftar Koreksi'!$G$5:$G$92,"Gedung dan Bangunan",'Daftar Koreksi'!$H$5:$H$92,"&lt;0")-SUMIFS('Daftar Koreksi'!$H$5:$H$92,'Daftar Koreksi'!$D$5:$D$92,'0200'!A774,'Daftar Koreksi'!$G$5:$G$92,"Gedung dan Bangunan",'Daftar Koreksi'!$H$5:$H$92,"&lt;0")-SUMIFS('Daftar Koreksi'!$H$5:$H$92,'Daftar Koreksi'!$D$5:$D$92,'0200'!A774,'Daftar Koreksi'!$G$5:$G$92,"Gedung dan Bangunan",'Daftar Koreksi'!$H$5:$H$92,"&lt;0")</f>
        <v>0</v>
      </c>
      <c r="G780" s="17">
        <f t="shared" si="35"/>
        <v>6580049307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0</v>
      </c>
      <c r="E781" s="25">
        <f>SUMIFS('Daftar Koreksi'!$H$5:$H$92,'Daftar Koreksi'!$D$5:$D$92,'0200'!A774,'Daftar Koreksi'!$G$5:$G$92,"Jalan Irigasi Jaringan",'Daftar Koreksi'!$H$5:$H$92,"&gt;0")</f>
        <v>0</v>
      </c>
      <c r="F781" s="25">
        <f>SUMIFS('Daftar Koreksi'!$H$5:$H$92,'Daftar Koreksi'!$D$5:$D$92,'0200'!A774,'Daftar Koreksi'!$G$5:$G$92,"Jalan Irigasi Jaringan",'Daftar Koreksi'!$H$5:$H$92,"&lt;0")-SUMIFS('Daftar Koreksi'!$H$5:$H$92,'Daftar Koreksi'!$D$5:$D$92,'0200'!A774,'Daftar Koreksi'!$G$5:$G$92,"Jalan Irigasi Jaringan",'Daftar Koreksi'!$H$5:$H$92,"&lt;0")-SUMIFS('Daftar Koreksi'!$H$5:$H$92,'Daftar Koreksi'!$D$5:$D$92,'0200'!A774,'Daftar Koreksi'!$G$5:$G$92,"Jalan Irigasi Jaringan",'Daftar Koreksi'!$H$5:$H$92,"&lt;0")</f>
        <v>0</v>
      </c>
      <c r="G781" s="17">
        <f t="shared" si="35"/>
        <v>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0</v>
      </c>
      <c r="E782" s="25">
        <f>SUMIFS('Daftar Koreksi'!$H$5:$H$92,'Daftar Koreksi'!$D$5:$D$92,'0200'!A774,'Daftar Koreksi'!$G$5:$G$92,"Aset Tetap Lainnya",'Daftar Koreksi'!$H$5:$H$92,"&gt;0")</f>
        <v>0</v>
      </c>
      <c r="F782" s="25">
        <f>SUMIFS('Daftar Koreksi'!$H$5:$H$92,'Daftar Koreksi'!$D$5:$D$92,'0200'!A774,'Daftar Koreksi'!$G$5:$G$92,"Aset Tetap Lainnya",'Daftar Koreksi'!$H$5:$H$92,"&lt;0")-SUMIFS('Daftar Koreksi'!$H$5:$H$92,'Daftar Koreksi'!$D$5:$D$92,'0200'!A774,'Daftar Koreksi'!$G$5:$G$92,"Aset Tetap Lainnya",'Daftar Koreksi'!$H$5:$H$92,"&lt;0")-SUMIFS('Daftar Koreksi'!$H$5:$H$92,'Daftar Koreksi'!$D$5:$D$92,'0200'!A774,'Daftar Koreksi'!$G$5:$G$92,"Aset Tetap Lainnya",'Daftar Koreksi'!$H$5:$H$92,"&lt;0")</f>
        <v>0</v>
      </c>
      <c r="G782" s="17">
        <f t="shared" si="35"/>
        <v>0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Koreksi'!$D$5:$D$92,'0200'!A774,'Daftar Koreksi'!$G$5:$G$92,"Kontruksi Dalam Pengerjaan",'Daftar Koreksi'!$H$5:$H$92,"&gt;0")</f>
        <v>0</v>
      </c>
      <c r="F783" s="25">
        <f>SUMIFS('Daftar Koreksi'!$H$5:$H$92,'Daftar Koreksi'!$D$5:$D$92,'0200'!A774,'Daftar Koreksi'!$G$5:$G$92,"Kontruksi Dalam Pengerjaan",'Daftar Koreksi'!$H$5:$H$92,"&lt;0")-SUMIFS('Daftar Koreksi'!$H$5:$H$92,'Daftar Koreksi'!$D$5:$D$92,'0200'!A774,'Daftar Koreksi'!$G$5:$G$92,"Kontruksi Dalam Pengerjaan",'Daftar Koreksi'!$H$5:$H$92,"&lt;0")-SUMIFS('Daftar Koreksi'!$H$5:$H$92,'Daftar Koreksi'!$D$5:$D$92,'0200'!A774,'Daftar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49280000</v>
      </c>
      <c r="E784" s="25">
        <f>SUMIFS('Daftar Koreksi'!$H$5:$H$92,'Daftar Koreksi'!$D$5:$D$92,'0200'!A774,'Daftar Koreksi'!$G$5:$G$92,"Aset Tak Berwujud",'Daftar Koreksi'!$H$5:$H$92,"&gt;0")</f>
        <v>0</v>
      </c>
      <c r="F784" s="25">
        <f>SUMIFS('Daftar Koreksi'!$H$5:$H$92,'Daftar Koreksi'!$D$5:$D$92,'0200'!A774,'Daftar Koreksi'!$G$5:$G$92,"Aset Tak Berwujud",'Daftar Koreksi'!$H$5:$H$92,"&lt;0")-SUMIFS('Daftar Koreksi'!$H$5:$H$92,'Daftar Koreksi'!$D$5:$D$92,'0200'!A774,'Daftar Koreksi'!$G$5:$G$92,"Aset Tak Berwujud",'Daftar Koreksi'!$H$5:$H$92,"&lt;0")-SUMIFS('Daftar Koreksi'!$H$5:$H$92,'Daftar Koreksi'!$D$5:$D$92,'0200'!A774,'Daftar Koreksi'!$G$5:$G$92,"Aset Tak Berwujud",'Daftar Koreksi'!$H$5:$H$92,"&lt;0")</f>
        <v>0</v>
      </c>
      <c r="G784" s="17">
        <f t="shared" si="35"/>
        <v>49280000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179863869</v>
      </c>
      <c r="E785" s="25">
        <f>SUMIFS('Daftar Koreksi'!$H$5:$H$92,'Daftar Koreksi'!$D$5:$D$92,'0200'!A774,'Daftar Koreksi'!$G$5:$G$92,"Aset Henti Guna",'Daftar Koreksi'!$H$5:$H$92,"&gt;0")</f>
        <v>0</v>
      </c>
      <c r="F785" s="25">
        <f>SUMIFS('Daftar Koreksi'!$H$5:$H$92,'Daftar Koreksi'!$D$5:$D$92,'0200'!A774,'Daftar Koreksi'!$G$5:$G$92,"Aset Henti Guna",'Daftar Koreksi'!$H$5:$H$92,"&lt;0")-SUMIFS('Daftar Koreksi'!$H$5:$H$92,'Daftar Koreksi'!$D$5:$D$92,'0200'!A774,'Daftar Koreksi'!$G$5:$G$92,"Aset Henti Guna",'Daftar Koreksi'!$H$5:$H$92,"&lt;0")-SUMIFS('Daftar Koreksi'!$H$5:$H$92,'Daftar Koreksi'!$D$5:$D$92,'0200'!A774,'Daftar Koreksi'!$G$5:$G$92,"Aset Henti Guna",'Daftar Koreksi'!$H$5:$H$92,"&lt;0")</f>
        <v>0</v>
      </c>
      <c r="G785" s="17">
        <f t="shared" si="35"/>
        <v>179863869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9298539798</v>
      </c>
      <c r="E786" s="19">
        <f>SUM(E777:E785)</f>
        <v>0</v>
      </c>
      <c r="F786" s="19">
        <f>SUM(F777:F785)</f>
        <v>0</v>
      </c>
      <c r="G786" s="19">
        <f t="shared" si="35"/>
        <v>9298539798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-2123948989</v>
      </c>
      <c r="E787" s="25">
        <f>SUMIFS('Daftar Koreksi'!$I$5:$I$92,'Daftar Koreksi'!$D$5:$D$92,'0200'!A774,'Daftar Koreksi'!$G$5:$G$92,"Peralatan dan mesin",'Daftar Koreksi'!$I$5:$I$92,"&gt;0")</f>
        <v>0</v>
      </c>
      <c r="F787" s="25">
        <f>SUMIFS('Daftar Koreksi'!$I$5:$I$92,'Daftar Koreksi'!$D$5:$D$92,'0200'!A774,'Daftar Koreksi'!$G$5:$G$92,"Peralatan dan mesin",'Daftar Koreksi'!$I$5:$I$92,"&lt;0")-SUMIFS('Daftar Koreksi'!$I$5:$I$92,'Daftar Koreksi'!$D$5:$D$92,'0200'!A774,'Daftar Koreksi'!$G$5:$G$92,"Peralatan dan mesin",'Daftar Koreksi'!$I$5:$I$92,"&lt;0")-SUMIFS('Daftar Koreksi'!$I$5:$I$92,'Daftar Koreksi'!$D$5:$D$92,'0200'!A774,'Daftar Koreksi'!$G$5:$G$92,"Peralatan dan mesin",'Daftar Koreksi'!$I$5:$I$92,"&lt;0")</f>
        <v>0</v>
      </c>
      <c r="G787" s="17">
        <f t="shared" si="35"/>
        <v>-2123948989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-1052807889</v>
      </c>
      <c r="E788" s="25">
        <f>SUMIFS('Daftar Koreksi'!$I$5:$I$92,'Daftar Koreksi'!$D$5:$D$92,'0200'!A774,'Daftar Koreksi'!$G$5:$G$92,"Gedung dan Bangunan",'Daftar Koreksi'!$I$5:$I$92,"&gt;0")</f>
        <v>0</v>
      </c>
      <c r="F788" s="25">
        <f>SUMIFS('Daftar Koreksi'!$I$5:$I$92,'Daftar Koreksi'!$D$5:$D$92,'0200'!A774,'Daftar Koreksi'!$G$5:$G$92,"Gedung dan Bangunan",'Daftar Koreksi'!$I$5:$I$92,"&lt;0")-SUMIFS('Daftar Koreksi'!$I$5:$I$92,'Daftar Koreksi'!$D$5:$D$92,'0200'!A774,'Daftar Koreksi'!$G$5:$G$92,"Gedung dan Bangunan",'Daftar Koreksi'!$I$5:$I$92,"&lt;0")-SUMIFS('Daftar Koreksi'!$I$5:$I$92,'Daftar Koreksi'!$D$5:$D$92,'0200'!A774,'Daftar Koreksi'!$G$5:$G$92,"Gedung dan Bangunan",'Daftar Koreksi'!$I$5:$I$92,"&lt;0")</f>
        <v>0</v>
      </c>
      <c r="G788" s="17">
        <f t="shared" si="35"/>
        <v>-1052807889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0</v>
      </c>
      <c r="E789" s="25">
        <f>SUMIFS('Daftar Koreksi'!$I$5:$I$92,'Daftar Koreksi'!$D$5:$D$92,'0200'!A774,'Daftar Koreksi'!$G$5:$G$92,"Jalan Irigasi Jaringan",'Daftar Koreksi'!$I$5:$I$92,"&gt;0")</f>
        <v>0</v>
      </c>
      <c r="F789" s="25">
        <f>SUMIFS('Daftar Koreksi'!$I$5:$I$92,'Daftar Koreksi'!$D$5:$D$92,'0200'!A774,'Daftar Koreksi'!$G$5:$G$92,"Jalan Irigasi Jaringan",'Daftar Koreksi'!$I$5:$I$92,"&lt;0")-SUMIFS('Daftar Koreksi'!$I$5:$I$92,'Daftar Koreksi'!$D$5:$D$92,'0200'!A774,'Daftar Koreksi'!$G$5:$G$92,"Jalan Irigasi Jaringan",'Daftar Koreksi'!$I$5:$I$92,"&lt;0")-SUMIFS('Daftar Koreksi'!$I$5:$I$92,'Daftar Koreksi'!$D$5:$D$92,'0200'!A774,'Daftar Koreksi'!$G$5:$G$92,"Jalan Irigasi Jaringan",'Daftar Koreksi'!$I$5:$I$92,"&lt;0")</f>
        <v>0</v>
      </c>
      <c r="G789" s="17">
        <f t="shared" si="35"/>
        <v>0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Koreksi'!$D$5:$D$92,'0200'!A774,'Daftar Koreksi'!$G$5:$G$92,"Aset Tetap Lainnya",'Daftar Koreksi'!$I$5:$I$92,"&gt;0")</f>
        <v>0</v>
      </c>
      <c r="F790" s="25">
        <f>SUMIFS('Daftar Koreksi'!$I$5:$I$92,'Daftar Koreksi'!$D$5:$D$92,'0200'!A774,'Daftar Koreksi'!$G$5:$G$92,"Aset Tetap Lainnya",'Daftar Koreksi'!$I$5:$I$92,"&lt;0")-SUMIFS('Daftar Koreksi'!$I$5:$I$92,'Daftar Koreksi'!$D$5:$D$92,'0200'!A774,'Daftar Koreksi'!$G$5:$G$92,"Aset Tetap Lainnya",'Daftar Koreksi'!$I$5:$I$92,"&lt;0")-SUMIFS('Daftar Koreksi'!$I$5:$I$92,'Daftar Koreksi'!$D$5:$D$92,'0200'!A774,'Daftar Koreksi'!$G$5:$G$92,"Aset Tetap Lainnya",'Daftar Koreksi'!$I$5:$I$92,"&lt;0")</f>
        <v>0</v>
      </c>
      <c r="G790" s="17">
        <f t="shared" si="35"/>
        <v>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-179455869</v>
      </c>
      <c r="E791" s="25">
        <f>SUMIFS('Daftar Koreksi'!$I$5:$I$92,'Daftar Koreksi'!$D$5:$D$92,'0200'!A774,'Daftar Koreksi'!$G$5:$G$92,"Aset Henti Guna",'Daftar Koreksi'!$I$5:$I$92,"&gt;0")</f>
        <v>0</v>
      </c>
      <c r="F791" s="25">
        <f>SUMIFS('Daftar Koreksi'!$I$5:$I$92,'Daftar Koreksi'!$D$5:$D$92,'0200'!A774,'Daftar Koreksi'!$G$5:$G$92,"Aset Henti Guna",'Daftar Koreksi'!$I$5:$I$92,"&lt;0")-SUMIFS('Daftar Koreksi'!$I$5:$I$92,'Daftar Koreksi'!$D$5:$D$92,'0200'!A774,'Daftar Koreksi'!$G$5:$G$92,"Aset Henti Guna",'Daftar Koreksi'!$I$5:$I$92,"&lt;0")-SUMIFS('Daftar Koreksi'!$I$5:$I$92,'Daftar Koreksi'!$D$5:$D$92,'0200'!A774,'Daftar Koreksi'!$G$5:$G$92,"Aset Henti Guna",'Daftar Koreksi'!$I$5:$I$92,"&lt;0")</f>
        <v>0</v>
      </c>
      <c r="G791" s="17">
        <f t="shared" si="35"/>
        <v>-179455869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-3356212747</v>
      </c>
      <c r="E792" s="19">
        <f>SUM(E787:E791)</f>
        <v>0</v>
      </c>
      <c r="F792" s="19">
        <f>SUM(F787:F791)</f>
        <v>0</v>
      </c>
      <c r="G792" s="19">
        <f t="shared" si="35"/>
        <v>-3356212747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5942327051</v>
      </c>
      <c r="E793" s="19">
        <f>E792+E786</f>
        <v>0</v>
      </c>
      <c r="F793" s="19">
        <f>F792+F786</f>
        <v>0</v>
      </c>
      <c r="G793" s="19">
        <f t="shared" si="35"/>
        <v>5942327051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8" ht="19.5" customHeight="1">
      <c r="A796" s="11" t="str">
        <f>O37</f>
        <v>005010200400854000KD</v>
      </c>
      <c r="B796" s="11" t="str">
        <f>P37</f>
        <v>PA. Purwakarta</v>
      </c>
      <c r="C796" s="12" t="str">
        <f>A796&amp;" "&amp;B796</f>
        <v>005010200400854000KD PA. Purwakarta</v>
      </c>
      <c r="D796" s="13"/>
      <c r="E796" s="13"/>
      <c r="F796" s="13"/>
      <c r="G796" s="13"/>
      <c r="H796" s="11"/>
    </row>
    <row r="797" spans="1:8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8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8" ht="21.95" customHeight="1">
      <c r="A799" s="14"/>
      <c r="B799" s="14"/>
      <c r="C799" s="16" t="s">
        <v>1165</v>
      </c>
      <c r="D799" s="17">
        <f>VLOOKUP(A796,'Neraca Unaudited SIMAK'!$A$2:$S$10004,3,FALSE)</f>
        <v>1498200</v>
      </c>
      <c r="E799" s="25">
        <f>SUMIFS('Daftar Koreksi'!$H$5:$H$92,'Daftar Koreksi'!$D$5:$D$92,'0200'!A796,'Daftar Koreksi'!$G$5:$G$92,"Persediaan",'Daftar Koreksi'!$H$5:$H$92,"&gt;0")</f>
        <v>0</v>
      </c>
      <c r="F799" s="25">
        <f>SUMIFS('Daftar Koreksi'!$H$5:$H$92,'Daftar Koreksi'!$D$5:$D$92,'0200'!A796,'Daftar Koreksi'!$G$5:$G$92,"Persediaan",'Daftar Koreksi'!$H$5:$H$92,"&lt;0")-SUMIFS('Daftar Koreksi'!$H$5:$H$92,'Daftar Koreksi'!$D$5:$D$92,'0200'!A796,'Daftar Koreksi'!$G$5:$G$92,"Persediaan",'Daftar Koreksi'!$H$5:$H$92,"&lt;0")-SUMIFS('Daftar Koreksi'!$H$5:$H$92,'Daftar Koreksi'!$D$5:$D$92,'0200'!A796,'Daftar Koreksi'!$G$5:$G$92,"Persediaan",'Daftar Koreksi'!$H$5:$H$92,"&lt;0")</f>
        <v>0</v>
      </c>
      <c r="G799" s="17">
        <f>D799+E799-F799</f>
        <v>1498200</v>
      </c>
      <c r="H799" s="121" t="str">
        <f>IF(ISNA(VLOOKUP(A796,'Mutasi Neraca'!$A$3:$S$914,19,FALSE)),"-",VLOOKUP(A796,'Mutasi Neraca'!$A$3:$S$914,19,FALSE))</f>
        <v>-</v>
      </c>
    </row>
    <row r="800" spans="1:8" ht="21.95" customHeight="1">
      <c r="A800" s="14"/>
      <c r="B800" s="14"/>
      <c r="C800" s="16" t="s">
        <v>1166</v>
      </c>
      <c r="D800" s="17">
        <f>VLOOKUP(A796,'Neraca Unaudited SIMAK'!$A$2:$S$10004,4,FALSE)</f>
        <v>1392450000</v>
      </c>
      <c r="E800" s="25">
        <f>SUMIFS('Daftar Koreksi'!$H$5:$H$92,'Daftar Koreksi'!$D$5:$D$92,'0200'!A796,'Daftar Koreksi'!$G$5:$G$92,"Tanah",'Daftar Koreksi'!$H$5:$H$92,"&gt;0")</f>
        <v>0</v>
      </c>
      <c r="F800" s="25">
        <f>SUMIFS('Daftar Koreksi'!$H$5:$H$92,'Daftar Koreksi'!$D$5:$D$92,'0200'!A796,'Daftar Koreksi'!$G$5:$G$92,"Tanah",'Daftar Koreksi'!$H$5:$H$92,"&lt;0")-SUMIFS('Daftar Koreksi'!$H$5:$H$92,'Daftar Koreksi'!$D$5:$D$92,'0200'!A796,'Daftar Koreksi'!$G$5:$G$92,"Tanah",'Daftar Koreksi'!$H$5:$H$92,"&lt;0")-SUMIFS('Daftar Koreksi'!$H$5:$H$92,'Daftar Koreksi'!$D$5:$D$92,'0200'!A796,'Daftar Koreksi'!$G$5:$G$92,"Tanah",'Daftar Koreksi'!$H$5:$H$92,"&lt;0")</f>
        <v>0</v>
      </c>
      <c r="G800" s="17">
        <f t="shared" ref="G800:G816" si="36">D800+E800-F800</f>
        <v>1392450000</v>
      </c>
      <c r="H800" s="122"/>
    </row>
    <row r="801" spans="1:8" ht="21.95" customHeight="1">
      <c r="A801" s="14"/>
      <c r="B801" s="14"/>
      <c r="C801" s="16" t="s">
        <v>1167</v>
      </c>
      <c r="D801" s="17">
        <f>VLOOKUP(A796,'Neraca Unaudited SIMAK'!$A$2:$S$10004,5,FALSE)</f>
        <v>2139696857</v>
      </c>
      <c r="E801" s="25">
        <f>SUMIFS('Daftar Koreksi'!$H$5:$H$92,'Daftar Koreksi'!$D$5:$D$92,'0200'!A796,'Daftar Koreksi'!$G$5:$G$92,"Peralatan dan mesin",'Daftar Koreksi'!$H$5:$H$92,"&gt;0")</f>
        <v>0</v>
      </c>
      <c r="F801" s="25">
        <f>SUMIFS('Daftar Koreksi'!$H$5:$H$92,'Daftar Koreksi'!$D$5:$D$92,'0200'!A796,'Daftar Koreksi'!$G$5:$G$92,"Peralatan dan mesin",'Daftar Koreksi'!$H$5:$H$92,"&lt;0")-SUMIFS('Daftar Koreksi'!$H$5:$H$92,'Daftar Koreksi'!$D$5:$D$92,'0200'!A796,'Daftar Koreksi'!$G$5:$G$92,"Peralatan dan mesin",'Daftar Koreksi'!$H$5:$H$92,"&lt;0")-SUMIFS('Daftar Koreksi'!$H$5:$H$92,'Daftar Koreksi'!$D$5:$D$92,'0200'!A796,'Daftar Koreksi'!$G$5:$G$92,"Peralatan dan mesin",'Daftar Koreksi'!$H$5:$H$92,"&lt;0")</f>
        <v>0</v>
      </c>
      <c r="G801" s="17">
        <f t="shared" si="36"/>
        <v>2139696857</v>
      </c>
      <c r="H801" s="122"/>
    </row>
    <row r="802" spans="1:8" ht="21.95" customHeight="1">
      <c r="A802" s="14"/>
      <c r="B802" s="14"/>
      <c r="C802" s="16" t="s">
        <v>1168</v>
      </c>
      <c r="D802" s="17">
        <f>VLOOKUP(A796,'Neraca Unaudited SIMAK'!$A$2:$S$10004,6,FALSE)</f>
        <v>10058860517</v>
      </c>
      <c r="E802" s="25">
        <f>SUMIFS('Daftar Koreksi'!$H$5:$H$92,'Daftar Koreksi'!$D$5:$D$92,'0200'!A796,'Daftar Koreksi'!$G$5:$G$92,"Gedung dan Bangunan",'Daftar Koreksi'!$H$5:$H$92,"&gt;0")</f>
        <v>0</v>
      </c>
      <c r="F802" s="25">
        <f>SUMIFS('Daftar Koreksi'!$H$5:$H$92,'Daftar Koreksi'!$D$5:$D$92,'0200'!A796,'Daftar Koreksi'!$G$5:$G$92,"Gedung dan Bangunan",'Daftar Koreksi'!$H$5:$H$92,"&lt;0")-SUMIFS('Daftar Koreksi'!$H$5:$H$92,'Daftar Koreksi'!$D$5:$D$92,'0200'!A796,'Daftar Koreksi'!$G$5:$G$92,"Gedung dan Bangunan",'Daftar Koreksi'!$H$5:$H$92,"&lt;0")-SUMIFS('Daftar Koreksi'!$H$5:$H$92,'Daftar Koreksi'!$D$5:$D$92,'0200'!A796,'Daftar Koreksi'!$G$5:$G$92,"Gedung dan Bangunan",'Daftar Koreksi'!$H$5:$H$92,"&lt;0")</f>
        <v>0</v>
      </c>
      <c r="G802" s="17">
        <f t="shared" si="36"/>
        <v>10058860517</v>
      </c>
      <c r="H802" s="122"/>
    </row>
    <row r="803" spans="1:8" ht="21.95" customHeight="1">
      <c r="A803" s="14"/>
      <c r="B803" s="14"/>
      <c r="C803" s="16" t="s">
        <v>1169</v>
      </c>
      <c r="D803" s="17">
        <f>VLOOKUP(A796,'Neraca Unaudited SIMAK'!$A$2:$S$10004,7,FALSE)</f>
        <v>39600000</v>
      </c>
      <c r="E803" s="25">
        <f>SUMIFS('Daftar Koreksi'!$H$5:$H$92,'Daftar Koreksi'!$D$5:$D$92,'0200'!A796,'Daftar Koreksi'!$G$5:$G$92,"Jalan Irigasi Jaringan",'Daftar Koreksi'!$H$5:$H$92,"&gt;0")</f>
        <v>0</v>
      </c>
      <c r="F803" s="25">
        <f>SUMIFS('Daftar Koreksi'!$H$5:$H$92,'Daftar Koreksi'!$D$5:$D$92,'0200'!A796,'Daftar Koreksi'!$G$5:$G$92,"Jalan Irigasi Jaringan",'Daftar Koreksi'!$H$5:$H$92,"&lt;0")-SUMIFS('Daftar Koreksi'!$H$5:$H$92,'Daftar Koreksi'!$D$5:$D$92,'0200'!A796,'Daftar Koreksi'!$G$5:$G$92,"Jalan Irigasi Jaringan",'Daftar Koreksi'!$H$5:$H$92,"&lt;0")-SUMIFS('Daftar Koreksi'!$H$5:$H$92,'Daftar Koreksi'!$D$5:$D$92,'0200'!A796,'Daftar Koreksi'!$G$5:$G$92,"Jalan Irigasi Jaringan",'Daftar Koreksi'!$H$5:$H$92,"&lt;0")</f>
        <v>0</v>
      </c>
      <c r="G803" s="17">
        <f t="shared" si="36"/>
        <v>39600000</v>
      </c>
      <c r="H803" s="122"/>
    </row>
    <row r="804" spans="1:8" ht="21.95" customHeight="1">
      <c r="A804" s="14"/>
      <c r="B804" s="14"/>
      <c r="C804" s="16" t="s">
        <v>1170</v>
      </c>
      <c r="D804" s="17">
        <f>VLOOKUP(A796,'Neraca Unaudited SIMAK'!$A$2:$S$10004,8,FALSE)</f>
        <v>14223498</v>
      </c>
      <c r="E804" s="25">
        <f>SUMIFS('Daftar Koreksi'!$H$5:$H$92,'Daftar Koreksi'!$D$5:$D$92,'0200'!A796,'Daftar Koreksi'!$G$5:$G$92,"Aset Tetap Lainnya",'Daftar Koreksi'!$H$5:$H$92,"&gt;0")</f>
        <v>0</v>
      </c>
      <c r="F804" s="25">
        <f>SUMIFS('Daftar Koreksi'!$H$5:$H$92,'Daftar Koreksi'!$D$5:$D$92,'0200'!A796,'Daftar Koreksi'!$G$5:$G$92,"Aset Tetap Lainnya",'Daftar Koreksi'!$H$5:$H$92,"&lt;0")-SUMIFS('Daftar Koreksi'!$H$5:$H$92,'Daftar Koreksi'!$D$5:$D$92,'0200'!A796,'Daftar Koreksi'!$G$5:$G$92,"Aset Tetap Lainnya",'Daftar Koreksi'!$H$5:$H$92,"&lt;0")-SUMIFS('Daftar Koreksi'!$H$5:$H$92,'Daftar Koreksi'!$D$5:$D$92,'0200'!A796,'Daftar Koreksi'!$G$5:$G$92,"Aset Tetap Lainnya",'Daftar Koreksi'!$H$5:$H$92,"&lt;0")</f>
        <v>0</v>
      </c>
      <c r="G804" s="17">
        <f t="shared" si="36"/>
        <v>14223498</v>
      </c>
      <c r="H804" s="122"/>
    </row>
    <row r="805" spans="1:8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Koreksi'!$D$5:$D$92,'0200'!A796,'Daftar Koreksi'!$G$5:$G$92,"Kontruksi Dalam Pengerjaan",'Daftar Koreksi'!$H$5:$H$92,"&gt;0")</f>
        <v>0</v>
      </c>
      <c r="F805" s="25">
        <f>SUMIFS('Daftar Koreksi'!$H$5:$H$92,'Daftar Koreksi'!$D$5:$D$92,'0200'!A796,'Daftar Koreksi'!$G$5:$G$92,"Kontruksi Dalam Pengerjaan",'Daftar Koreksi'!$H$5:$H$92,"&lt;0")-SUMIFS('Daftar Koreksi'!$H$5:$H$92,'Daftar Koreksi'!$D$5:$D$92,'0200'!A796,'Daftar Koreksi'!$G$5:$G$92,"Kontruksi Dalam Pengerjaan",'Daftar Koreksi'!$H$5:$H$92,"&lt;0")-SUMIFS('Daftar Koreksi'!$H$5:$H$92,'Daftar Koreksi'!$D$5:$D$92,'0200'!A796,'Daftar Koreksi'!$G$5:$G$92,"Kontruksi Dalam Pengerjaan",'Daftar Koreksi'!$H$5:$H$92,"&lt;0")</f>
        <v>0</v>
      </c>
      <c r="G805" s="17">
        <f t="shared" si="36"/>
        <v>0</v>
      </c>
      <c r="H805" s="122"/>
    </row>
    <row r="806" spans="1:8" ht="21.95" customHeight="1">
      <c r="A806" s="14"/>
      <c r="B806" s="14"/>
      <c r="C806" s="16" t="s">
        <v>1172</v>
      </c>
      <c r="D806" s="17">
        <f>VLOOKUP(A796,'Neraca Unaudited SIMAK'!$A$2:$S$10004,10,FALSE)</f>
        <v>69500000</v>
      </c>
      <c r="E806" s="25">
        <f>SUMIFS('Daftar Koreksi'!$H$5:$H$92,'Daftar Koreksi'!$D$5:$D$92,'0200'!A796,'Daftar Koreksi'!$G$5:$G$92,"Aset Tak Berwujud",'Daftar Koreksi'!$H$5:$H$92,"&gt;0")</f>
        <v>0</v>
      </c>
      <c r="F806" s="25">
        <f>SUMIFS('Daftar Koreksi'!$H$5:$H$92,'Daftar Koreksi'!$D$5:$D$92,'0200'!A796,'Daftar Koreksi'!$G$5:$G$92,"Aset Tak Berwujud",'Daftar Koreksi'!$H$5:$H$92,"&lt;0")-SUMIFS('Daftar Koreksi'!$H$5:$H$92,'Daftar Koreksi'!$D$5:$D$92,'0200'!A796,'Daftar Koreksi'!$G$5:$G$92,"Aset Tak Berwujud",'Daftar Koreksi'!$H$5:$H$92,"&lt;0")-SUMIFS('Daftar Koreksi'!$H$5:$H$92,'Daftar Koreksi'!$D$5:$D$92,'0200'!A796,'Daftar Koreksi'!$G$5:$G$92,"Aset Tak Berwujud",'Daftar Koreksi'!$H$5:$H$92,"&lt;0")</f>
        <v>0</v>
      </c>
      <c r="G806" s="17">
        <f t="shared" si="36"/>
        <v>69500000</v>
      </c>
      <c r="H806" s="122"/>
    </row>
    <row r="807" spans="1:8" ht="21.95" customHeight="1">
      <c r="A807" s="14"/>
      <c r="B807" s="14"/>
      <c r="C807" s="16" t="s">
        <v>1173</v>
      </c>
      <c r="D807" s="17">
        <f>VLOOKUP(A796,'Neraca Unaudited SIMAK'!$A$2:$S$10004,11,FALSE)</f>
        <v>3336500</v>
      </c>
      <c r="E807" s="25">
        <f>SUMIFS('Daftar Koreksi'!$H$5:$H$92,'Daftar Koreksi'!$D$5:$D$92,'0200'!A796,'Daftar Koreksi'!$G$5:$G$92,"Aset Henti Guna",'Daftar Koreksi'!$H$5:$H$92,"&gt;0")</f>
        <v>0</v>
      </c>
      <c r="F807" s="25">
        <f>SUMIFS('Daftar Koreksi'!$H$5:$H$92,'Daftar Koreksi'!$D$5:$D$92,'0200'!A796,'Daftar Koreksi'!$G$5:$G$92,"Aset Henti Guna",'Daftar Koreksi'!$H$5:$H$92,"&lt;0")-SUMIFS('Daftar Koreksi'!$H$5:$H$92,'Daftar Koreksi'!$D$5:$D$92,'0200'!A796,'Daftar Koreksi'!$G$5:$G$92,"Aset Henti Guna",'Daftar Koreksi'!$H$5:$H$92,"&lt;0")-SUMIFS('Daftar Koreksi'!$H$5:$H$92,'Daftar Koreksi'!$D$5:$D$92,'0200'!A796,'Daftar Koreksi'!$G$5:$G$92,"Aset Henti Guna",'Daftar Koreksi'!$H$5:$H$92,"&lt;0")</f>
        <v>0</v>
      </c>
      <c r="G807" s="17">
        <f t="shared" si="36"/>
        <v>3336500</v>
      </c>
      <c r="H807" s="122"/>
    </row>
    <row r="808" spans="1:8" ht="21.95" customHeight="1">
      <c r="A808" s="14"/>
      <c r="B808" s="14"/>
      <c r="C808" s="18" t="s">
        <v>2093</v>
      </c>
      <c r="D808" s="19">
        <f>VLOOKUP(A796,'Neraca Unaudited SIMAK'!$A$2:$S$10004,12,FALSE)</f>
        <v>13719165572</v>
      </c>
      <c r="E808" s="19">
        <f>SUM(E799:E807)</f>
        <v>0</v>
      </c>
      <c r="F808" s="19">
        <f>SUM(F799:F807)</f>
        <v>0</v>
      </c>
      <c r="G808" s="19">
        <f t="shared" si="36"/>
        <v>13719165572</v>
      </c>
      <c r="H808" s="122"/>
    </row>
    <row r="809" spans="1:8" ht="21.95" customHeight="1">
      <c r="A809" s="14"/>
      <c r="B809" s="14"/>
      <c r="C809" s="16" t="s">
        <v>2087</v>
      </c>
      <c r="D809" s="17">
        <f>VLOOKUP(A796,'Neraca Unaudited SIMAK'!$A$2:$S$10004,13,FALSE)</f>
        <v>-839575990</v>
      </c>
      <c r="E809" s="25">
        <f>SUMIFS('Daftar Koreksi'!$I$5:$I$92,'Daftar Koreksi'!$D$5:$D$92,'0200'!A796,'Daftar Koreksi'!$G$5:$G$92,"Peralatan dan mesin",'Daftar Koreksi'!$I$5:$I$92,"&gt;0")</f>
        <v>0</v>
      </c>
      <c r="F809" s="25">
        <f>SUMIFS('Daftar Koreksi'!$I$5:$I$92,'Daftar Koreksi'!$D$5:$D$92,'0200'!A796,'Daftar Koreksi'!$G$5:$G$92,"Peralatan dan mesin",'Daftar Koreksi'!$I$5:$I$92,"&lt;0")-SUMIFS('Daftar Koreksi'!$I$5:$I$92,'Daftar Koreksi'!$D$5:$D$92,'0200'!A796,'Daftar Koreksi'!$G$5:$G$92,"Peralatan dan mesin",'Daftar Koreksi'!$I$5:$I$92,"&lt;0")-SUMIFS('Daftar Koreksi'!$I$5:$I$92,'Daftar Koreksi'!$D$5:$D$92,'0200'!A796,'Daftar Koreksi'!$G$5:$G$92,"Peralatan dan mesin",'Daftar Koreksi'!$I$5:$I$92,"&lt;0")</f>
        <v>0</v>
      </c>
      <c r="G809" s="17">
        <f t="shared" si="36"/>
        <v>-839575990</v>
      </c>
      <c r="H809" s="122"/>
    </row>
    <row r="810" spans="1:8" ht="21.95" customHeight="1">
      <c r="A810" s="14"/>
      <c r="B810" s="14"/>
      <c r="C810" s="16" t="s">
        <v>2088</v>
      </c>
      <c r="D810" s="17">
        <f>VLOOKUP(A796,'Neraca Unaudited SIMAK'!$A$2:$S$10004,14,FALSE)</f>
        <v>-257434233</v>
      </c>
      <c r="E810" s="25">
        <f>SUMIFS('Daftar Koreksi'!$I$5:$I$92,'Daftar Koreksi'!$D$5:$D$92,'0200'!A796,'Daftar Koreksi'!$G$5:$G$92,"Gedung dan Bangunan",'Daftar Koreksi'!$I$5:$I$92,"&gt;0")</f>
        <v>0</v>
      </c>
      <c r="F810" s="25">
        <f>SUMIFS('Daftar Koreksi'!$I$5:$I$92,'Daftar Koreksi'!$D$5:$D$92,'0200'!A796,'Daftar Koreksi'!$G$5:$G$92,"Gedung dan Bangunan",'Daftar Koreksi'!$I$5:$I$92,"&lt;0")-SUMIFS('Daftar Koreksi'!$I$5:$I$92,'Daftar Koreksi'!$D$5:$D$92,'0200'!A796,'Daftar Koreksi'!$G$5:$G$92,"Gedung dan Bangunan",'Daftar Koreksi'!$I$5:$I$92,"&lt;0")-SUMIFS('Daftar Koreksi'!$I$5:$I$92,'Daftar Koreksi'!$D$5:$D$92,'0200'!A796,'Daftar Koreksi'!$G$5:$G$92,"Gedung dan Bangunan",'Daftar Koreksi'!$I$5:$I$92,"&lt;0")</f>
        <v>0</v>
      </c>
      <c r="G810" s="17">
        <f t="shared" si="36"/>
        <v>-257434233</v>
      </c>
      <c r="H810" s="122"/>
    </row>
    <row r="811" spans="1:8" ht="21.95" customHeight="1">
      <c r="A811" s="14"/>
      <c r="B811" s="14"/>
      <c r="C811" s="16" t="s">
        <v>2089</v>
      </c>
      <c r="D811" s="17">
        <f>VLOOKUP(A796,'Neraca Unaudited SIMAK'!$A$2:$S$10004,15,FALSE)</f>
        <v>-495000</v>
      </c>
      <c r="E811" s="25">
        <f>SUMIFS('Daftar Koreksi'!$I$5:$I$92,'Daftar Koreksi'!$D$5:$D$92,'0200'!A796,'Daftar Koreksi'!$G$5:$G$92,"Jalan Irigasi Jaringan",'Daftar Koreksi'!$I$5:$I$92,"&gt;0")</f>
        <v>0</v>
      </c>
      <c r="F811" s="25">
        <f>SUMIFS('Daftar Koreksi'!$I$5:$I$92,'Daftar Koreksi'!$D$5:$D$92,'0200'!A796,'Daftar Koreksi'!$G$5:$G$92,"Jalan Irigasi Jaringan",'Daftar Koreksi'!$I$5:$I$92,"&lt;0")-SUMIFS('Daftar Koreksi'!$I$5:$I$92,'Daftar Koreksi'!$D$5:$D$92,'0200'!A796,'Daftar Koreksi'!$G$5:$G$92,"Jalan Irigasi Jaringan",'Daftar Koreksi'!$I$5:$I$92,"&lt;0")-SUMIFS('Daftar Koreksi'!$I$5:$I$92,'Daftar Koreksi'!$D$5:$D$92,'0200'!A796,'Daftar Koreksi'!$G$5:$G$92,"Jalan Irigasi Jaringan",'Daftar Koreksi'!$I$5:$I$92,"&lt;0")</f>
        <v>0</v>
      </c>
      <c r="G811" s="17">
        <f t="shared" si="36"/>
        <v>-495000</v>
      </c>
      <c r="H811" s="122"/>
    </row>
    <row r="812" spans="1:8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Koreksi'!$D$5:$D$92,'0200'!A796,'Daftar Koreksi'!$G$5:$G$92,"Aset Tetap Lainnya",'Daftar Koreksi'!$I$5:$I$92,"&gt;0")</f>
        <v>0</v>
      </c>
      <c r="F812" s="25">
        <f>SUMIFS('Daftar Koreksi'!$I$5:$I$92,'Daftar Koreksi'!$D$5:$D$92,'0200'!A796,'Daftar Koreksi'!$G$5:$G$92,"Aset Tetap Lainnya",'Daftar Koreksi'!$I$5:$I$92,"&lt;0")-SUMIFS('Daftar Koreksi'!$I$5:$I$92,'Daftar Koreksi'!$D$5:$D$92,'0200'!A796,'Daftar Koreksi'!$G$5:$G$92,"Aset Tetap Lainnya",'Daftar Koreksi'!$I$5:$I$92,"&lt;0")-SUMIFS('Daftar Koreksi'!$I$5:$I$92,'Daftar Koreksi'!$D$5:$D$92,'0200'!A796,'Daftar Koreksi'!$G$5:$G$92,"Aset Tetap Lainnya",'Daftar Koreksi'!$I$5:$I$92,"&lt;0")</f>
        <v>0</v>
      </c>
      <c r="G812" s="17">
        <f t="shared" si="36"/>
        <v>0</v>
      </c>
      <c r="H812" s="122"/>
    </row>
    <row r="813" spans="1:8" ht="21.95" customHeight="1">
      <c r="A813" s="14"/>
      <c r="B813" s="14"/>
      <c r="C813" s="16" t="s">
        <v>2020</v>
      </c>
      <c r="D813" s="17">
        <f>VLOOKUP(A796,'Neraca Unaudited SIMAK'!$A$2:$S$10004,17,FALSE)</f>
        <v>-3336500</v>
      </c>
      <c r="E813" s="25">
        <f>SUMIFS('Daftar Koreksi'!$I$5:$I$92,'Daftar Koreksi'!$D$5:$D$92,'0200'!A796,'Daftar Koreksi'!$G$5:$G$92,"Aset Henti Guna",'Daftar Koreksi'!$I$5:$I$92,"&gt;0")</f>
        <v>0</v>
      </c>
      <c r="F813" s="25">
        <f>SUMIFS('Daftar Koreksi'!$I$5:$I$92,'Daftar Koreksi'!$D$5:$D$92,'0200'!A796,'Daftar Koreksi'!$G$5:$G$92,"Aset Henti Guna",'Daftar Koreksi'!$I$5:$I$92,"&lt;0")-SUMIFS('Daftar Koreksi'!$I$5:$I$92,'Daftar Koreksi'!$D$5:$D$92,'0200'!A796,'Daftar Koreksi'!$G$5:$G$92,"Aset Henti Guna",'Daftar Koreksi'!$I$5:$I$92,"&lt;0")-SUMIFS('Daftar Koreksi'!$I$5:$I$92,'Daftar Koreksi'!$D$5:$D$92,'0200'!A796,'Daftar Koreksi'!$G$5:$G$92,"Aset Henti Guna",'Daftar Koreksi'!$I$5:$I$92,"&lt;0")</f>
        <v>0</v>
      </c>
      <c r="G813" s="17">
        <f t="shared" si="36"/>
        <v>-3336500</v>
      </c>
      <c r="H813" s="122"/>
    </row>
    <row r="814" spans="1:8" ht="21.95" customHeight="1">
      <c r="A814" s="14"/>
      <c r="B814" s="14"/>
      <c r="C814" s="18" t="s">
        <v>2094</v>
      </c>
      <c r="D814" s="19">
        <f>SUM(D809:D813)</f>
        <v>-1100841723</v>
      </c>
      <c r="E814" s="19">
        <f>SUM(E809:E813)</f>
        <v>0</v>
      </c>
      <c r="F814" s="19">
        <f>SUM(F809:F813)</f>
        <v>0</v>
      </c>
      <c r="G814" s="19">
        <f t="shared" si="36"/>
        <v>-1100841723</v>
      </c>
      <c r="H814" s="122"/>
    </row>
    <row r="815" spans="1:8" ht="21.95" customHeight="1">
      <c r="A815" s="14"/>
      <c r="B815" s="14"/>
      <c r="C815" s="18" t="s">
        <v>2095</v>
      </c>
      <c r="D815" s="19">
        <f>VLOOKUP(A796,'Neraca Unaudited SIMAK'!$A$2:$S$10004,18,FALSE)</f>
        <v>12618323849</v>
      </c>
      <c r="E815" s="19">
        <f>E814+E808</f>
        <v>0</v>
      </c>
      <c r="F815" s="19">
        <f>F814+F808</f>
        <v>0</v>
      </c>
      <c r="G815" s="19">
        <f t="shared" si="36"/>
        <v>12618323849</v>
      </c>
      <c r="H815" s="122"/>
    </row>
    <row r="816" spans="1:8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</row>
    <row r="818" spans="1:8" ht="19.5" customHeight="1">
      <c r="A818" s="11" t="str">
        <f>O38</f>
        <v>005010200402587000KD</v>
      </c>
      <c r="B818" s="11" t="str">
        <f>P38</f>
        <v>PA. Subang</v>
      </c>
      <c r="C818" s="12" t="str">
        <f>A818&amp;" "&amp;B818</f>
        <v>005010200402587000KD PA. Subang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1046270</v>
      </c>
      <c r="E821" s="25">
        <f>SUMIFS('Daftar Koreksi'!$H$5:$H$92,'Daftar Koreksi'!$D$5:$D$92,'0200'!A818,'Daftar Koreksi'!$G$5:$G$92,"Persediaan",'Daftar Koreksi'!$H$5:$H$92,"&gt;0")</f>
        <v>0</v>
      </c>
      <c r="F821" s="25">
        <f>SUMIFS('Daftar Koreksi'!$H$5:$H$92,'Daftar Koreksi'!$D$5:$D$92,'0200'!A818,'Daftar Koreksi'!$G$5:$G$92,"Persediaan",'Daftar Koreksi'!$H$5:$H$92,"&lt;0")-SUMIFS('Daftar Koreksi'!$H$5:$H$92,'Daftar Koreksi'!$D$5:$D$92,'0200'!A818,'Daftar Koreksi'!$G$5:$G$92,"Persediaan",'Daftar Koreksi'!$H$5:$H$92,"&lt;0")-SUMIFS('Daftar Koreksi'!$H$5:$H$92,'Daftar Koreksi'!$D$5:$D$92,'0200'!A818,'Daftar Koreksi'!$G$5:$G$92,"Persediaan",'Daftar Koreksi'!$H$5:$H$92,"&lt;0")</f>
        <v>0</v>
      </c>
      <c r="G821" s="17">
        <f>D821+E821-F821</f>
        <v>1046270</v>
      </c>
      <c r="H821" s="121" t="str">
        <f>IF(ISNA(VLOOKUP(A818,'Mutasi Neraca'!$A$3:$S$914,19,FALSE)),"-",VLOOKUP(A818,'Mutasi Neraca'!$A$3:$S$914,19,FALSE))</f>
        <v>-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1738858000</v>
      </c>
      <c r="E822" s="25">
        <f>SUMIFS('Daftar Koreksi'!$H$5:$H$92,'Daftar Koreksi'!$D$5:$D$92,'0200'!A818,'Daftar Koreksi'!$G$5:$G$92,"Tanah",'Daftar Koreksi'!$H$5:$H$92,"&gt;0")</f>
        <v>0</v>
      </c>
      <c r="F822" s="25">
        <f>SUMIFS('Daftar Koreksi'!$H$5:$H$92,'Daftar Koreksi'!$D$5:$D$92,'0200'!A818,'Daftar Koreksi'!$G$5:$G$92,"Tanah",'Daftar Koreksi'!$H$5:$H$92,"&lt;0")-SUMIFS('Daftar Koreksi'!$H$5:$H$92,'Daftar Koreksi'!$D$5:$D$92,'0200'!A818,'Daftar Koreksi'!$G$5:$G$92,"Tanah",'Daftar Koreksi'!$H$5:$H$92,"&lt;0")-SUMIFS('Daftar Koreksi'!$H$5:$H$92,'Daftar Koreksi'!$D$5:$D$92,'0200'!A818,'Daftar Koreksi'!$G$5:$G$92,"Tanah",'Daftar Koreksi'!$H$5:$H$92,"&lt;0")</f>
        <v>0</v>
      </c>
      <c r="G822" s="17">
        <f t="shared" ref="G822:G838" si="37">D822+E822-F822</f>
        <v>1738858000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2028721868</v>
      </c>
      <c r="E823" s="25">
        <f>SUMIFS('Daftar Koreksi'!$H$5:$H$92,'Daftar Koreksi'!$D$5:$D$92,'0200'!A818,'Daftar Koreksi'!$G$5:$G$92,"Peralatan dan mesin",'Daftar Koreksi'!$H$5:$H$92,"&gt;0")</f>
        <v>0</v>
      </c>
      <c r="F823" s="25">
        <f>SUMIFS('Daftar Koreksi'!$H$5:$H$92,'Daftar Koreksi'!$D$5:$D$92,'0200'!A818,'Daftar Koreksi'!$G$5:$G$92,"Peralatan dan mesin",'Daftar Koreksi'!$H$5:$H$92,"&lt;0")-SUMIFS('Daftar Koreksi'!$H$5:$H$92,'Daftar Koreksi'!$D$5:$D$92,'0200'!A818,'Daftar Koreksi'!$G$5:$G$92,"Peralatan dan mesin",'Daftar Koreksi'!$H$5:$H$92,"&lt;0")-SUMIFS('Daftar Koreksi'!$H$5:$H$92,'Daftar Koreksi'!$D$5:$D$92,'0200'!A818,'Daftar Koreksi'!$G$5:$G$92,"Peralatan dan mesin",'Daftar Koreksi'!$H$5:$H$92,"&lt;0")</f>
        <v>0</v>
      </c>
      <c r="G823" s="17">
        <f t="shared" si="37"/>
        <v>2028721868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9367678260</v>
      </c>
      <c r="E824" s="25">
        <f>SUMIFS('Daftar Koreksi'!$H$5:$H$92,'Daftar Koreksi'!$D$5:$D$92,'0200'!A818,'Daftar Koreksi'!$G$5:$G$92,"Gedung dan Bangunan",'Daftar Koreksi'!$H$5:$H$92,"&gt;0")</f>
        <v>0</v>
      </c>
      <c r="F824" s="25">
        <f>SUMIFS('Daftar Koreksi'!$H$5:$H$92,'Daftar Koreksi'!$D$5:$D$92,'0200'!A818,'Daftar Koreksi'!$G$5:$G$92,"Gedung dan Bangunan",'Daftar Koreksi'!$H$5:$H$92,"&lt;0")-SUMIFS('Daftar Koreksi'!$H$5:$H$92,'Daftar Koreksi'!$D$5:$D$92,'0200'!A818,'Daftar Koreksi'!$G$5:$G$92,"Gedung dan Bangunan",'Daftar Koreksi'!$H$5:$H$92,"&lt;0")-SUMIFS('Daftar Koreksi'!$H$5:$H$92,'Daftar Koreksi'!$D$5:$D$92,'0200'!A818,'Daftar Koreksi'!$G$5:$G$92,"Gedung dan Bangunan",'Daftar Koreksi'!$H$5:$H$92,"&lt;0")</f>
        <v>0</v>
      </c>
      <c r="G824" s="17">
        <f t="shared" si="37"/>
        <v>9367678260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0</v>
      </c>
      <c r="E825" s="25">
        <f>SUMIFS('Daftar Koreksi'!$H$5:$H$92,'Daftar Koreksi'!$D$5:$D$92,'0200'!A818,'Daftar Koreksi'!$G$5:$G$92,"Jalan Irigasi Jaringan",'Daftar Koreksi'!$H$5:$H$92,"&gt;0")</f>
        <v>0</v>
      </c>
      <c r="F825" s="25">
        <f>SUMIFS('Daftar Koreksi'!$H$5:$H$92,'Daftar Koreksi'!$D$5:$D$92,'0200'!A818,'Daftar Koreksi'!$G$5:$G$92,"Jalan Irigasi Jaringan",'Daftar Koreksi'!$H$5:$H$92,"&lt;0")-SUMIFS('Daftar Koreksi'!$H$5:$H$92,'Daftar Koreksi'!$D$5:$D$92,'0200'!A818,'Daftar Koreksi'!$G$5:$G$92,"Jalan Irigasi Jaringan",'Daftar Koreksi'!$H$5:$H$92,"&lt;0")-SUMIFS('Daftar Koreksi'!$H$5:$H$92,'Daftar Koreksi'!$D$5:$D$92,'0200'!A818,'Daftar Koreksi'!$G$5:$G$92,"Jalan Irigasi Jaringan",'Daftar Koreksi'!$H$5:$H$92,"&lt;0")</f>
        <v>0</v>
      </c>
      <c r="G825" s="17">
        <f t="shared" si="37"/>
        <v>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7880000</v>
      </c>
      <c r="E826" s="25">
        <f>SUMIFS('Daftar Koreksi'!$H$5:$H$92,'Daftar Koreksi'!$D$5:$D$92,'0200'!A818,'Daftar Koreksi'!$G$5:$G$92,"Aset Tetap Lainnya",'Daftar Koreksi'!$H$5:$H$92,"&gt;0")</f>
        <v>0</v>
      </c>
      <c r="F826" s="25">
        <f>SUMIFS('Daftar Koreksi'!$H$5:$H$92,'Daftar Koreksi'!$D$5:$D$92,'0200'!A818,'Daftar Koreksi'!$G$5:$G$92,"Aset Tetap Lainnya",'Daftar Koreksi'!$H$5:$H$92,"&lt;0")-SUMIFS('Daftar Koreksi'!$H$5:$H$92,'Daftar Koreksi'!$D$5:$D$92,'0200'!A818,'Daftar Koreksi'!$G$5:$G$92,"Aset Tetap Lainnya",'Daftar Koreksi'!$H$5:$H$92,"&lt;0")-SUMIFS('Daftar Koreksi'!$H$5:$H$92,'Daftar Koreksi'!$D$5:$D$92,'0200'!A818,'Daftar Koreksi'!$G$5:$G$92,"Aset Tetap Lainnya",'Daftar Koreksi'!$H$5:$H$92,"&lt;0")</f>
        <v>0</v>
      </c>
      <c r="G826" s="17">
        <f t="shared" si="37"/>
        <v>7880000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Koreksi'!$D$5:$D$92,'0200'!A818,'Daftar Koreksi'!$G$5:$G$92,"Kontruksi Dalam Pengerjaan",'Daftar Koreksi'!$H$5:$H$92,"&gt;0")</f>
        <v>0</v>
      </c>
      <c r="F827" s="25">
        <f>SUMIFS('Daftar Koreksi'!$H$5:$H$92,'Daftar Koreksi'!$D$5:$D$92,'0200'!A818,'Daftar Koreksi'!$G$5:$G$92,"Kontruksi Dalam Pengerjaan",'Daftar Koreksi'!$H$5:$H$92,"&lt;0")-SUMIFS('Daftar Koreksi'!$H$5:$H$92,'Daftar Koreksi'!$D$5:$D$92,'0200'!A818,'Daftar Koreksi'!$G$5:$G$92,"Kontruksi Dalam Pengerjaan",'Daftar Koreksi'!$H$5:$H$92,"&lt;0")-SUMIFS('Daftar Koreksi'!$H$5:$H$92,'Daftar Koreksi'!$D$5:$D$92,'0200'!A818,'Daftar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46580000</v>
      </c>
      <c r="E828" s="25">
        <f>SUMIFS('Daftar Koreksi'!$H$5:$H$92,'Daftar Koreksi'!$D$5:$D$92,'0200'!A818,'Daftar Koreksi'!$G$5:$G$92,"Aset Tak Berwujud",'Daftar Koreksi'!$H$5:$H$92,"&gt;0")</f>
        <v>0</v>
      </c>
      <c r="F828" s="25">
        <f>SUMIFS('Daftar Koreksi'!$H$5:$H$92,'Daftar Koreksi'!$D$5:$D$92,'0200'!A818,'Daftar Koreksi'!$G$5:$G$92,"Aset Tak Berwujud",'Daftar Koreksi'!$H$5:$H$92,"&lt;0")-SUMIFS('Daftar Koreksi'!$H$5:$H$92,'Daftar Koreksi'!$D$5:$D$92,'0200'!A818,'Daftar Koreksi'!$G$5:$G$92,"Aset Tak Berwujud",'Daftar Koreksi'!$H$5:$H$92,"&lt;0")-SUMIFS('Daftar Koreksi'!$H$5:$H$92,'Daftar Koreksi'!$D$5:$D$92,'0200'!A818,'Daftar Koreksi'!$G$5:$G$92,"Aset Tak Berwujud",'Daftar Koreksi'!$H$5:$H$92,"&lt;0")</f>
        <v>0</v>
      </c>
      <c r="G828" s="17">
        <f t="shared" si="37"/>
        <v>46580000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15207000</v>
      </c>
      <c r="E829" s="25">
        <f>SUMIFS('Daftar Koreksi'!$H$5:$H$92,'Daftar Koreksi'!$D$5:$D$92,'0200'!A818,'Daftar Koreksi'!$G$5:$G$92,"Aset Henti Guna",'Daftar Koreksi'!$H$5:$H$92,"&gt;0")</f>
        <v>0</v>
      </c>
      <c r="F829" s="25">
        <f>SUMIFS('Daftar Koreksi'!$H$5:$H$92,'Daftar Koreksi'!$D$5:$D$92,'0200'!A818,'Daftar Koreksi'!$G$5:$G$92,"Aset Henti Guna",'Daftar Koreksi'!$H$5:$H$92,"&lt;0")-SUMIFS('Daftar Koreksi'!$H$5:$H$92,'Daftar Koreksi'!$D$5:$D$92,'0200'!A818,'Daftar Koreksi'!$G$5:$G$92,"Aset Henti Guna",'Daftar Koreksi'!$H$5:$H$92,"&lt;0")-SUMIFS('Daftar Koreksi'!$H$5:$H$92,'Daftar Koreksi'!$D$5:$D$92,'0200'!A818,'Daftar Koreksi'!$G$5:$G$92,"Aset Henti Guna",'Daftar Koreksi'!$H$5:$H$92,"&lt;0")</f>
        <v>0</v>
      </c>
      <c r="G829" s="17">
        <f t="shared" si="37"/>
        <v>15207000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13205971398</v>
      </c>
      <c r="E830" s="19">
        <f>SUM(E821:E829)</f>
        <v>0</v>
      </c>
      <c r="F830" s="19">
        <f>SUM(F821:F829)</f>
        <v>0</v>
      </c>
      <c r="G830" s="19">
        <f t="shared" si="37"/>
        <v>13205971398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-1201319291</v>
      </c>
      <c r="E831" s="25">
        <f>SUMIFS('Daftar Koreksi'!$I$5:$I$92,'Daftar Koreksi'!$D$5:$D$92,'0200'!A818,'Daftar Koreksi'!$G$5:$G$92,"Peralatan dan mesin",'Daftar Koreksi'!$I$5:$I$92,"&gt;0")</f>
        <v>0</v>
      </c>
      <c r="F831" s="25">
        <f>SUMIFS('Daftar Koreksi'!$I$5:$I$92,'Daftar Koreksi'!$D$5:$D$92,'0200'!A818,'Daftar Koreksi'!$G$5:$G$92,"Peralatan dan mesin",'Daftar Koreksi'!$I$5:$I$92,"&lt;0")-SUMIFS('Daftar Koreksi'!$I$5:$I$92,'Daftar Koreksi'!$D$5:$D$92,'0200'!A818,'Daftar Koreksi'!$G$5:$G$92,"Peralatan dan mesin",'Daftar Koreksi'!$I$5:$I$92,"&lt;0")-SUMIFS('Daftar Koreksi'!$I$5:$I$92,'Daftar Koreksi'!$D$5:$D$92,'0200'!A818,'Daftar Koreksi'!$G$5:$G$92,"Peralatan dan mesin",'Daftar Koreksi'!$I$5:$I$92,"&lt;0")</f>
        <v>0</v>
      </c>
      <c r="G831" s="17">
        <f t="shared" si="37"/>
        <v>-1201319291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-93676783</v>
      </c>
      <c r="E832" s="25">
        <f>SUMIFS('Daftar Koreksi'!$I$5:$I$92,'Daftar Koreksi'!$D$5:$D$92,'0200'!A818,'Daftar Koreksi'!$G$5:$G$92,"Gedung dan Bangunan",'Daftar Koreksi'!$I$5:$I$92,"&gt;0")</f>
        <v>0</v>
      </c>
      <c r="F832" s="25">
        <f>SUMIFS('Daftar Koreksi'!$I$5:$I$92,'Daftar Koreksi'!$D$5:$D$92,'0200'!A818,'Daftar Koreksi'!$G$5:$G$92,"Gedung dan Bangunan",'Daftar Koreksi'!$I$5:$I$92,"&lt;0")-SUMIFS('Daftar Koreksi'!$I$5:$I$92,'Daftar Koreksi'!$D$5:$D$92,'0200'!A818,'Daftar Koreksi'!$G$5:$G$92,"Gedung dan Bangunan",'Daftar Koreksi'!$I$5:$I$92,"&lt;0")-SUMIFS('Daftar Koreksi'!$I$5:$I$92,'Daftar Koreksi'!$D$5:$D$92,'0200'!A818,'Daftar Koreksi'!$G$5:$G$92,"Gedung dan Bangunan",'Daftar Koreksi'!$I$5:$I$92,"&lt;0")</f>
        <v>0</v>
      </c>
      <c r="G832" s="17">
        <f t="shared" si="37"/>
        <v>-93676783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0</v>
      </c>
      <c r="E833" s="25">
        <f>SUMIFS('Daftar Koreksi'!$I$5:$I$92,'Daftar Koreksi'!$D$5:$D$92,'0200'!A818,'Daftar Koreksi'!$G$5:$G$92,"Jalan Irigasi Jaringan",'Daftar Koreksi'!$I$5:$I$92,"&gt;0")</f>
        <v>0</v>
      </c>
      <c r="F833" s="25">
        <f>SUMIFS('Daftar Koreksi'!$I$5:$I$92,'Daftar Koreksi'!$D$5:$D$92,'0200'!A818,'Daftar Koreksi'!$G$5:$G$92,"Jalan Irigasi Jaringan",'Daftar Koreksi'!$I$5:$I$92,"&lt;0")-SUMIFS('Daftar Koreksi'!$I$5:$I$92,'Daftar Koreksi'!$D$5:$D$92,'0200'!A818,'Daftar Koreksi'!$G$5:$G$92,"Jalan Irigasi Jaringan",'Daftar Koreksi'!$I$5:$I$92,"&lt;0")-SUMIFS('Daftar Koreksi'!$I$5:$I$92,'Daftar Koreksi'!$D$5:$D$92,'0200'!A818,'Daftar Koreksi'!$G$5:$G$92,"Jalan Irigasi Jaringan",'Daftar Koreksi'!$I$5:$I$92,"&lt;0")</f>
        <v>0</v>
      </c>
      <c r="G833" s="17">
        <f t="shared" si="37"/>
        <v>0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Koreksi'!$D$5:$D$92,'0200'!A818,'Daftar Koreksi'!$G$5:$G$92,"Aset Tetap Lainnya",'Daftar Koreksi'!$I$5:$I$92,"&gt;0")</f>
        <v>0</v>
      </c>
      <c r="F834" s="25">
        <f>SUMIFS('Daftar Koreksi'!$I$5:$I$92,'Daftar Koreksi'!$D$5:$D$92,'0200'!A818,'Daftar Koreksi'!$G$5:$G$92,"Aset Tetap Lainnya",'Daftar Koreksi'!$I$5:$I$92,"&lt;0")-SUMIFS('Daftar Koreksi'!$I$5:$I$92,'Daftar Koreksi'!$D$5:$D$92,'0200'!A818,'Daftar Koreksi'!$G$5:$G$92,"Aset Tetap Lainnya",'Daftar Koreksi'!$I$5:$I$92,"&lt;0")-SUMIFS('Daftar Koreksi'!$I$5:$I$92,'Daftar Koreksi'!$D$5:$D$92,'0200'!A818,'Daftar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-15207000</v>
      </c>
      <c r="E835" s="25">
        <f>SUMIFS('Daftar Koreksi'!$I$5:$I$92,'Daftar Koreksi'!$D$5:$D$92,'0200'!A818,'Daftar Koreksi'!$G$5:$G$92,"Aset Henti Guna",'Daftar Koreksi'!$I$5:$I$92,"&gt;0")</f>
        <v>0</v>
      </c>
      <c r="F835" s="25">
        <f>SUMIFS('Daftar Koreksi'!$I$5:$I$92,'Daftar Koreksi'!$D$5:$D$92,'0200'!A818,'Daftar Koreksi'!$G$5:$G$92,"Aset Henti Guna",'Daftar Koreksi'!$I$5:$I$92,"&lt;0")-SUMIFS('Daftar Koreksi'!$I$5:$I$92,'Daftar Koreksi'!$D$5:$D$92,'0200'!A818,'Daftar Koreksi'!$G$5:$G$92,"Aset Henti Guna",'Daftar Koreksi'!$I$5:$I$92,"&lt;0")-SUMIFS('Daftar Koreksi'!$I$5:$I$92,'Daftar Koreksi'!$D$5:$D$92,'0200'!A818,'Daftar Koreksi'!$G$5:$G$92,"Aset Henti Guna",'Daftar Koreksi'!$I$5:$I$92,"&lt;0")</f>
        <v>0</v>
      </c>
      <c r="G835" s="17">
        <f t="shared" si="37"/>
        <v>-15207000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-1310203074</v>
      </c>
      <c r="E836" s="19">
        <f>SUM(E831:E835)</f>
        <v>0</v>
      </c>
      <c r="F836" s="19">
        <f>SUM(F831:F835)</f>
        <v>0</v>
      </c>
      <c r="G836" s="19">
        <f t="shared" si="37"/>
        <v>-1310203074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11895768324</v>
      </c>
      <c r="E837" s="19">
        <f>E836+E830</f>
        <v>0</v>
      </c>
      <c r="F837" s="19">
        <f>F836+F830</f>
        <v>0</v>
      </c>
      <c r="G837" s="19">
        <f t="shared" si="37"/>
        <v>11895768324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005010200402995000KD</v>
      </c>
      <c r="B840" s="11" t="str">
        <f>P39</f>
        <v>PA. Cibadak</v>
      </c>
      <c r="C840" s="12" t="str">
        <f>A840&amp;" "&amp;B840</f>
        <v>005010200402995000KD PA. Cibadak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4677000</v>
      </c>
      <c r="E843" s="25">
        <f>SUMIFS('Daftar Koreksi'!$H$5:$H$92,'Daftar Koreksi'!$D$5:$D$92,'0200'!A840,'Daftar Koreksi'!$G$5:$G$92,"Persediaan",'Daftar Koreksi'!$H$5:$H$92,"&gt;0")</f>
        <v>0</v>
      </c>
      <c r="F843" s="25">
        <f>SUMIFS('Daftar Koreksi'!$H$5:$H$92,'Daftar Koreksi'!$D$5:$D$92,'0200'!A840,'Daftar Koreksi'!$G$5:$G$92,"Persediaan",'Daftar Koreksi'!$H$5:$H$92,"&lt;0")-SUMIFS('Daftar Koreksi'!$H$5:$H$92,'Daftar Koreksi'!$D$5:$D$92,'0200'!A840,'Daftar Koreksi'!$G$5:$G$92,"Persediaan",'Daftar Koreksi'!$H$5:$H$92,"&lt;0")-SUMIFS('Daftar Koreksi'!$H$5:$H$92,'Daftar Koreksi'!$D$5:$D$92,'0200'!A840,'Daftar Koreksi'!$G$5:$G$92,"Persediaan",'Daftar Koreksi'!$H$5:$H$92,"&lt;0")</f>
        <v>0</v>
      </c>
      <c r="G843" s="17">
        <f>D843+E843-F843</f>
        <v>4677000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990000000</v>
      </c>
      <c r="E844" s="25">
        <f>SUMIFS('Daftar Koreksi'!$H$5:$H$92,'Daftar Koreksi'!$D$5:$D$92,'0200'!A840,'Daftar Koreksi'!$G$5:$G$92,"Tanah",'Daftar Koreksi'!$H$5:$H$92,"&gt;0")</f>
        <v>0</v>
      </c>
      <c r="F844" s="25">
        <f>SUMIFS('Daftar Koreksi'!$H$5:$H$92,'Daftar Koreksi'!$D$5:$D$92,'0200'!A840,'Daftar Koreksi'!$G$5:$G$92,"Tanah",'Daftar Koreksi'!$H$5:$H$92,"&lt;0")-SUMIFS('Daftar Koreksi'!$H$5:$H$92,'Daftar Koreksi'!$D$5:$D$92,'0200'!A840,'Daftar Koreksi'!$G$5:$G$92,"Tanah",'Daftar Koreksi'!$H$5:$H$92,"&lt;0")-SUMIFS('Daftar Koreksi'!$H$5:$H$92,'Daftar Koreksi'!$D$5:$D$92,'0200'!A840,'Daftar Koreksi'!$G$5:$G$92,"Tanah",'Daftar Koreksi'!$H$5:$H$92,"&lt;0")</f>
        <v>0</v>
      </c>
      <c r="G844" s="17">
        <f t="shared" ref="G844:G860" si="38">D844+E844-F844</f>
        <v>990000000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2843693826</v>
      </c>
      <c r="E845" s="25">
        <f>SUMIFS('Daftar Koreksi'!$H$5:$H$92,'Daftar Koreksi'!$D$5:$D$92,'0200'!A840,'Daftar Koreksi'!$G$5:$G$92,"Peralatan dan mesin",'Daftar Koreksi'!$H$5:$H$92,"&gt;0")</f>
        <v>0</v>
      </c>
      <c r="F845" s="25">
        <f>SUMIFS('Daftar Koreksi'!$H$5:$H$92,'Daftar Koreksi'!$D$5:$D$92,'0200'!A840,'Daftar Koreksi'!$G$5:$G$92,"Peralatan dan mesin",'Daftar Koreksi'!$H$5:$H$92,"&lt;0")-SUMIFS('Daftar Koreksi'!$H$5:$H$92,'Daftar Koreksi'!$D$5:$D$92,'0200'!A840,'Daftar Koreksi'!$G$5:$G$92,"Peralatan dan mesin",'Daftar Koreksi'!$H$5:$H$92,"&lt;0")-SUMIFS('Daftar Koreksi'!$H$5:$H$92,'Daftar Koreksi'!$D$5:$D$92,'0200'!A840,'Daftar Koreksi'!$G$5:$G$92,"Peralatan dan mesin",'Daftar Koreksi'!$H$5:$H$92,"&lt;0")</f>
        <v>0</v>
      </c>
      <c r="G845" s="17">
        <f t="shared" si="38"/>
        <v>2843693826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7166893676</v>
      </c>
      <c r="E846" s="25">
        <f>SUMIFS('Daftar Koreksi'!$H$5:$H$92,'Daftar Koreksi'!$D$5:$D$92,'0200'!A840,'Daftar Koreksi'!$G$5:$G$92,"Gedung dan Bangunan",'Daftar Koreksi'!$H$5:$H$92,"&gt;0")</f>
        <v>0</v>
      </c>
      <c r="F846" s="25">
        <f>SUMIFS('Daftar Koreksi'!$H$5:$H$92,'Daftar Koreksi'!$D$5:$D$92,'0200'!A840,'Daftar Koreksi'!$G$5:$G$92,"Gedung dan Bangunan",'Daftar Koreksi'!$H$5:$H$92,"&lt;0")-SUMIFS('Daftar Koreksi'!$H$5:$H$92,'Daftar Koreksi'!$D$5:$D$92,'0200'!A840,'Daftar Koreksi'!$G$5:$G$92,"Gedung dan Bangunan",'Daftar Koreksi'!$H$5:$H$92,"&lt;0")-SUMIFS('Daftar Koreksi'!$H$5:$H$92,'Daftar Koreksi'!$D$5:$D$92,'0200'!A840,'Daftar Koreksi'!$G$5:$G$92,"Gedung dan Bangunan",'Daftar Koreksi'!$H$5:$H$92,"&lt;0")</f>
        <v>0</v>
      </c>
      <c r="G846" s="17">
        <f t="shared" si="38"/>
        <v>7166893676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630168999</v>
      </c>
      <c r="E847" s="25">
        <f>SUMIFS('Daftar Koreksi'!$H$5:$H$92,'Daftar Koreksi'!$D$5:$D$92,'0200'!A840,'Daftar Koreksi'!$G$5:$G$92,"Jalan Irigasi Jaringan",'Daftar Koreksi'!$H$5:$H$92,"&gt;0")</f>
        <v>0</v>
      </c>
      <c r="F847" s="25">
        <f>SUMIFS('Daftar Koreksi'!$H$5:$H$92,'Daftar Koreksi'!$D$5:$D$92,'0200'!A840,'Daftar Koreksi'!$G$5:$G$92,"Jalan Irigasi Jaringan",'Daftar Koreksi'!$H$5:$H$92,"&lt;0")-SUMIFS('Daftar Koreksi'!$H$5:$H$92,'Daftar Koreksi'!$D$5:$D$92,'0200'!A840,'Daftar Koreksi'!$G$5:$G$92,"Jalan Irigasi Jaringan",'Daftar Koreksi'!$H$5:$H$92,"&lt;0")-SUMIFS('Daftar Koreksi'!$H$5:$H$92,'Daftar Koreksi'!$D$5:$D$92,'0200'!A840,'Daftar Koreksi'!$G$5:$G$92,"Jalan Irigasi Jaringan",'Daftar Koreksi'!$H$5:$H$92,"&lt;0")</f>
        <v>0</v>
      </c>
      <c r="G847" s="17">
        <f t="shared" si="38"/>
        <v>630168999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408000</v>
      </c>
      <c r="E848" s="25">
        <f>SUMIFS('Daftar Koreksi'!$H$5:$H$92,'Daftar Koreksi'!$D$5:$D$92,'0200'!A840,'Daftar Koreksi'!$G$5:$G$92,"Aset Tetap Lainnya",'Daftar Koreksi'!$H$5:$H$92,"&gt;0")</f>
        <v>0</v>
      </c>
      <c r="F848" s="25">
        <f>SUMIFS('Daftar Koreksi'!$H$5:$H$92,'Daftar Koreksi'!$D$5:$D$92,'0200'!A840,'Daftar Koreksi'!$G$5:$G$92,"Aset Tetap Lainnya",'Daftar Koreksi'!$H$5:$H$92,"&lt;0")-SUMIFS('Daftar Koreksi'!$H$5:$H$92,'Daftar Koreksi'!$D$5:$D$92,'0200'!A840,'Daftar Koreksi'!$G$5:$G$92,"Aset Tetap Lainnya",'Daftar Koreksi'!$H$5:$H$92,"&lt;0")-SUMIFS('Daftar Koreksi'!$H$5:$H$92,'Daftar Koreksi'!$D$5:$D$92,'0200'!A840,'Daftar Koreksi'!$G$5:$G$92,"Aset Tetap Lainnya",'Daftar Koreksi'!$H$5:$H$92,"&lt;0")</f>
        <v>0</v>
      </c>
      <c r="G848" s="17">
        <f t="shared" si="38"/>
        <v>408000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Koreksi'!$D$5:$D$92,'0200'!A840,'Daftar Koreksi'!$G$5:$G$92,"Kontruksi Dalam Pengerjaan",'Daftar Koreksi'!$H$5:$H$92,"&gt;0")</f>
        <v>0</v>
      </c>
      <c r="F849" s="25">
        <f>SUMIFS('Daftar Koreksi'!$H$5:$H$92,'Daftar Koreksi'!$D$5:$D$92,'0200'!A840,'Daftar Koreksi'!$G$5:$G$92,"Kontruksi Dalam Pengerjaan",'Daftar Koreksi'!$H$5:$H$92,"&lt;0")-SUMIFS('Daftar Koreksi'!$H$5:$H$92,'Daftar Koreksi'!$D$5:$D$92,'0200'!A840,'Daftar Koreksi'!$G$5:$G$92,"Kontruksi Dalam Pengerjaan",'Daftar Koreksi'!$H$5:$H$92,"&lt;0")-SUMIFS('Daftar Koreksi'!$H$5:$H$92,'Daftar Koreksi'!$D$5:$D$92,'0200'!A840,'Daftar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39555000</v>
      </c>
      <c r="E850" s="25">
        <f>SUMIFS('Daftar Koreksi'!$H$5:$H$92,'Daftar Koreksi'!$D$5:$D$92,'0200'!A840,'Daftar Koreksi'!$G$5:$G$92,"Aset Tak Berwujud",'Daftar Koreksi'!$H$5:$H$92,"&gt;0")</f>
        <v>0</v>
      </c>
      <c r="F850" s="25">
        <f>SUMIFS('Daftar Koreksi'!$H$5:$H$92,'Daftar Koreksi'!$D$5:$D$92,'0200'!A840,'Daftar Koreksi'!$G$5:$G$92,"Aset Tak Berwujud",'Daftar Koreksi'!$H$5:$H$92,"&lt;0")-SUMIFS('Daftar Koreksi'!$H$5:$H$92,'Daftar Koreksi'!$D$5:$D$92,'0200'!A840,'Daftar Koreksi'!$G$5:$G$92,"Aset Tak Berwujud",'Daftar Koreksi'!$H$5:$H$92,"&lt;0")-SUMIFS('Daftar Koreksi'!$H$5:$H$92,'Daftar Koreksi'!$D$5:$D$92,'0200'!A840,'Daftar Koreksi'!$G$5:$G$92,"Aset Tak Berwujud",'Daftar Koreksi'!$H$5:$H$92,"&lt;0")</f>
        <v>0</v>
      </c>
      <c r="G850" s="17">
        <f t="shared" si="38"/>
        <v>39555000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17827000</v>
      </c>
      <c r="E851" s="25">
        <f>SUMIFS('Daftar Koreksi'!$H$5:$H$92,'Daftar Koreksi'!$D$5:$D$92,'0200'!A840,'Daftar Koreksi'!$G$5:$G$92,"Aset Henti Guna",'Daftar Koreksi'!$H$5:$H$92,"&gt;0")</f>
        <v>0</v>
      </c>
      <c r="F851" s="25">
        <f>SUMIFS('Daftar Koreksi'!$H$5:$H$92,'Daftar Koreksi'!$D$5:$D$92,'0200'!A840,'Daftar Koreksi'!$G$5:$G$92,"Aset Henti Guna",'Daftar Koreksi'!$H$5:$H$92,"&lt;0")-SUMIFS('Daftar Koreksi'!$H$5:$H$92,'Daftar Koreksi'!$D$5:$D$92,'0200'!A840,'Daftar Koreksi'!$G$5:$G$92,"Aset Henti Guna",'Daftar Koreksi'!$H$5:$H$92,"&lt;0")-SUMIFS('Daftar Koreksi'!$H$5:$H$92,'Daftar Koreksi'!$D$5:$D$92,'0200'!A840,'Daftar Koreksi'!$G$5:$G$92,"Aset Henti Guna",'Daftar Koreksi'!$H$5:$H$92,"&lt;0")</f>
        <v>0</v>
      </c>
      <c r="G851" s="17">
        <f t="shared" si="38"/>
        <v>17827000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11693223501</v>
      </c>
      <c r="E852" s="19">
        <f>SUM(E843:E851)</f>
        <v>0</v>
      </c>
      <c r="F852" s="19">
        <f>SUM(F843:F851)</f>
        <v>0</v>
      </c>
      <c r="G852" s="19">
        <f t="shared" si="38"/>
        <v>11693223501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-2257611247</v>
      </c>
      <c r="E853" s="25">
        <f>SUMIFS('Daftar Koreksi'!$I$5:$I$92,'Daftar Koreksi'!$D$5:$D$92,'0200'!A840,'Daftar Koreksi'!$G$5:$G$92,"Peralatan dan mesin",'Daftar Koreksi'!$I$5:$I$92,"&gt;0")</f>
        <v>0</v>
      </c>
      <c r="F853" s="25">
        <f>SUMIFS('Daftar Koreksi'!$I$5:$I$92,'Daftar Koreksi'!$D$5:$D$92,'0200'!A840,'Daftar Koreksi'!$G$5:$G$92,"Peralatan dan mesin",'Daftar Koreksi'!$I$5:$I$92,"&lt;0")-SUMIFS('Daftar Koreksi'!$I$5:$I$92,'Daftar Koreksi'!$D$5:$D$92,'0200'!A840,'Daftar Koreksi'!$G$5:$G$92,"Peralatan dan mesin",'Daftar Koreksi'!$I$5:$I$92,"&lt;0")-SUMIFS('Daftar Koreksi'!$I$5:$I$92,'Daftar Koreksi'!$D$5:$D$92,'0200'!A840,'Daftar Koreksi'!$G$5:$G$92,"Peralatan dan mesin",'Daftar Koreksi'!$I$5:$I$92,"&lt;0")</f>
        <v>0</v>
      </c>
      <c r="G853" s="17">
        <f t="shared" si="38"/>
        <v>-2257611247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-490098182</v>
      </c>
      <c r="E854" s="25">
        <f>SUMIFS('Daftar Koreksi'!$I$5:$I$92,'Daftar Koreksi'!$D$5:$D$92,'0200'!A840,'Daftar Koreksi'!$G$5:$G$92,"Gedung dan Bangunan",'Daftar Koreksi'!$I$5:$I$92,"&gt;0")</f>
        <v>0</v>
      </c>
      <c r="F854" s="25">
        <f>SUMIFS('Daftar Koreksi'!$I$5:$I$92,'Daftar Koreksi'!$D$5:$D$92,'0200'!A840,'Daftar Koreksi'!$G$5:$G$92,"Gedung dan Bangunan",'Daftar Koreksi'!$I$5:$I$92,"&lt;0")-SUMIFS('Daftar Koreksi'!$I$5:$I$92,'Daftar Koreksi'!$D$5:$D$92,'0200'!A840,'Daftar Koreksi'!$G$5:$G$92,"Gedung dan Bangunan",'Daftar Koreksi'!$I$5:$I$92,"&lt;0")-SUMIFS('Daftar Koreksi'!$I$5:$I$92,'Daftar Koreksi'!$D$5:$D$92,'0200'!A840,'Daftar Koreksi'!$G$5:$G$92,"Gedung dan Bangunan",'Daftar Koreksi'!$I$5:$I$92,"&lt;0")</f>
        <v>0</v>
      </c>
      <c r="G854" s="17">
        <f t="shared" si="38"/>
        <v>-490098182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-63855435</v>
      </c>
      <c r="E855" s="25">
        <f>SUMIFS('Daftar Koreksi'!$I$5:$I$92,'Daftar Koreksi'!$D$5:$D$92,'0200'!A840,'Daftar Koreksi'!$G$5:$G$92,"Jalan Irigasi Jaringan",'Daftar Koreksi'!$I$5:$I$92,"&gt;0")</f>
        <v>0</v>
      </c>
      <c r="F855" s="25">
        <f>SUMIFS('Daftar Koreksi'!$I$5:$I$92,'Daftar Koreksi'!$D$5:$D$92,'0200'!A840,'Daftar Koreksi'!$G$5:$G$92,"Jalan Irigasi Jaringan",'Daftar Koreksi'!$I$5:$I$92,"&lt;0")-SUMIFS('Daftar Koreksi'!$I$5:$I$92,'Daftar Koreksi'!$D$5:$D$92,'0200'!A840,'Daftar Koreksi'!$G$5:$G$92,"Jalan Irigasi Jaringan",'Daftar Koreksi'!$I$5:$I$92,"&lt;0")-SUMIFS('Daftar Koreksi'!$I$5:$I$92,'Daftar Koreksi'!$D$5:$D$92,'0200'!A840,'Daftar Koreksi'!$G$5:$G$92,"Jalan Irigasi Jaringan",'Daftar Koreksi'!$I$5:$I$92,"&lt;0")</f>
        <v>0</v>
      </c>
      <c r="G855" s="17">
        <f t="shared" si="38"/>
        <v>-63855435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Koreksi'!$D$5:$D$92,'0200'!A840,'Daftar Koreksi'!$G$5:$G$92,"Aset Tetap Lainnya",'Daftar Koreksi'!$I$5:$I$92,"&gt;0")</f>
        <v>0</v>
      </c>
      <c r="F856" s="25">
        <f>SUMIFS('Daftar Koreksi'!$I$5:$I$92,'Daftar Koreksi'!$D$5:$D$92,'0200'!A840,'Daftar Koreksi'!$G$5:$G$92,"Aset Tetap Lainnya",'Daftar Koreksi'!$I$5:$I$92,"&lt;0")-SUMIFS('Daftar Koreksi'!$I$5:$I$92,'Daftar Koreksi'!$D$5:$D$92,'0200'!A840,'Daftar Koreksi'!$G$5:$G$92,"Aset Tetap Lainnya",'Daftar Koreksi'!$I$5:$I$92,"&lt;0")-SUMIFS('Daftar Koreksi'!$I$5:$I$92,'Daftar Koreksi'!$D$5:$D$92,'0200'!A840,'Daftar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-17827000</v>
      </c>
      <c r="E857" s="25">
        <f>SUMIFS('Daftar Koreksi'!$I$5:$I$92,'Daftar Koreksi'!$D$5:$D$92,'0200'!A840,'Daftar Koreksi'!$G$5:$G$92,"Aset Henti Guna",'Daftar Koreksi'!$I$5:$I$92,"&gt;0")</f>
        <v>0</v>
      </c>
      <c r="F857" s="25">
        <f>SUMIFS('Daftar Koreksi'!$I$5:$I$92,'Daftar Koreksi'!$D$5:$D$92,'0200'!A840,'Daftar Koreksi'!$G$5:$G$92,"Aset Henti Guna",'Daftar Koreksi'!$I$5:$I$92,"&lt;0")-SUMIFS('Daftar Koreksi'!$I$5:$I$92,'Daftar Koreksi'!$D$5:$D$92,'0200'!A840,'Daftar Koreksi'!$G$5:$G$92,"Aset Henti Guna",'Daftar Koreksi'!$I$5:$I$92,"&lt;0")-SUMIFS('Daftar Koreksi'!$I$5:$I$92,'Daftar Koreksi'!$D$5:$D$92,'0200'!A840,'Daftar Koreksi'!$G$5:$G$92,"Aset Henti Guna",'Daftar Koreksi'!$I$5:$I$92,"&lt;0")</f>
        <v>0</v>
      </c>
      <c r="G857" s="17">
        <f t="shared" si="38"/>
        <v>-17827000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-2829391864</v>
      </c>
      <c r="E858" s="19">
        <f>SUM(E853:E857)</f>
        <v>0</v>
      </c>
      <c r="F858" s="19">
        <f>SUM(F853:F857)</f>
        <v>0</v>
      </c>
      <c r="G858" s="19">
        <f t="shared" si="38"/>
        <v>-2829391864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8863831637</v>
      </c>
      <c r="E859" s="19">
        <f>E858+E852</f>
        <v>0</v>
      </c>
      <c r="F859" s="19">
        <f>F858+F852</f>
        <v>0</v>
      </c>
      <c r="G859" s="19">
        <f t="shared" si="38"/>
        <v>8863831637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005010200403009000KD</v>
      </c>
      <c r="B862" s="11" t="str">
        <f>P40</f>
        <v>PA. Sumber</v>
      </c>
      <c r="C862" s="12" t="str">
        <f>A862&amp;" "&amp;B862</f>
        <v>005010200403009000KD PA. Sumber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10" ht="21.95" customHeight="1">
      <c r="A865" s="14"/>
      <c r="B865" s="14"/>
      <c r="C865" s="16" t="s">
        <v>1165</v>
      </c>
      <c r="D865" s="17">
        <f>VLOOKUP(A862,'Neraca Unaudited SIMAK'!$A$2:$S$10004,3,FALSE)</f>
        <v>10774000</v>
      </c>
      <c r="E865" s="25">
        <f>SUMIFS('Daftar Koreksi'!$H$5:$H$92,'Daftar Koreksi'!$D$5:$D$92,'0200'!A862,'Daftar Koreksi'!$G$5:$G$92,"Persediaan",'Daftar Koreksi'!$H$5:$H$92,"&gt;0")</f>
        <v>0</v>
      </c>
      <c r="F865" s="25">
        <f>SUMIFS('Daftar Koreksi'!$H$5:$H$92,'Daftar Koreksi'!$D$5:$D$92,'0200'!A862,'Daftar Koreksi'!$G$5:$G$92,"Persediaan",'Daftar Koreksi'!$H$5:$H$92,"&lt;0")-SUMIFS('Daftar Koreksi'!$H$5:$H$92,'Daftar Koreksi'!$D$5:$D$92,'0200'!A862,'Daftar Koreksi'!$G$5:$G$92,"Persediaan",'Daftar Koreksi'!$H$5:$H$92,"&lt;0")-SUMIFS('Daftar Koreksi'!$H$5:$H$92,'Daftar Koreksi'!$D$5:$D$92,'0200'!A862,'Daftar Koreksi'!$G$5:$G$92,"Persediaan",'Daftar Koreksi'!$H$5:$H$92,"&lt;0")</f>
        <v>0</v>
      </c>
      <c r="G865" s="17">
        <f>D865+E865-F865</f>
        <v>10774000</v>
      </c>
      <c r="H865" s="121" t="str">
        <f>IF(ISNA(VLOOKUP(A862,'Mutasi Neraca'!$A$3:$S$914,19,FALSE)),"-",VLOOKUP(A862,'Mutasi Neraca'!$A$3:$S$914,19,FALSE))</f>
        <v>-</v>
      </c>
      <c r="I865" s="28"/>
      <c r="J865" s="28"/>
    </row>
    <row r="866" spans="1:10" ht="21.95" customHeight="1">
      <c r="A866" s="14"/>
      <c r="B866" s="14"/>
      <c r="C866" s="16" t="s">
        <v>1166</v>
      </c>
      <c r="D866" s="17">
        <f>VLOOKUP(A862,'Neraca Unaudited SIMAK'!$A$2:$S$10004,4,FALSE)</f>
        <v>1113521570</v>
      </c>
      <c r="E866" s="25">
        <f>SUMIFS('Daftar Koreksi'!$H$5:$H$92,'Daftar Koreksi'!$D$5:$D$92,'0200'!A862,'Daftar Koreksi'!$G$5:$G$92,"Tanah",'Daftar Koreksi'!$H$5:$H$92,"&gt;0")</f>
        <v>0</v>
      </c>
      <c r="F866" s="25">
        <f>SUMIFS('Daftar Koreksi'!$H$5:$H$92,'Daftar Koreksi'!$D$5:$D$92,'0200'!A862,'Daftar Koreksi'!$G$5:$G$92,"Tanah",'Daftar Koreksi'!$H$5:$H$92,"&lt;0")-SUMIFS('Daftar Koreksi'!$H$5:$H$92,'Daftar Koreksi'!$D$5:$D$92,'0200'!A862,'Daftar Koreksi'!$G$5:$G$92,"Tanah",'Daftar Koreksi'!$H$5:$H$92,"&lt;0")-SUMIFS('Daftar Koreksi'!$H$5:$H$92,'Daftar Koreksi'!$D$5:$D$92,'0200'!A862,'Daftar Koreksi'!$G$5:$G$92,"Tanah",'Daftar Koreksi'!$H$5:$H$92,"&lt;0")</f>
        <v>0</v>
      </c>
      <c r="G866" s="17">
        <f t="shared" ref="G866:G882" si="39">D866+E866-F866</f>
        <v>1113521570</v>
      </c>
      <c r="H866" s="122"/>
      <c r="I866" s="28"/>
      <c r="J866" s="28"/>
    </row>
    <row r="867" spans="1:10" ht="21.95" customHeight="1">
      <c r="A867" s="14"/>
      <c r="B867" s="14"/>
      <c r="C867" s="16" t="s">
        <v>1167</v>
      </c>
      <c r="D867" s="17">
        <f>VLOOKUP(A862,'Neraca Unaudited SIMAK'!$A$2:$S$10004,5,FALSE)</f>
        <v>1807294996</v>
      </c>
      <c r="E867" s="25">
        <f>SUMIFS('Daftar Koreksi'!$H$5:$H$92,'Daftar Koreksi'!$D$5:$D$92,'0200'!A862,'Daftar Koreksi'!$G$5:$G$92,"Peralatan dan mesin",'Daftar Koreksi'!$H$5:$H$92,"&gt;0")</f>
        <v>0</v>
      </c>
      <c r="F867" s="25">
        <f>SUMIFS('Daftar Koreksi'!$H$5:$H$92,'Daftar Koreksi'!$D$5:$D$92,'0200'!A862,'Daftar Koreksi'!$G$5:$G$92,"Peralatan dan mesin",'Daftar Koreksi'!$H$5:$H$92,"&lt;0")-SUMIFS('Daftar Koreksi'!$H$5:$H$92,'Daftar Koreksi'!$D$5:$D$92,'0200'!A862,'Daftar Koreksi'!$G$5:$G$92,"Peralatan dan mesin",'Daftar Koreksi'!$H$5:$H$92,"&lt;0")-SUMIFS('Daftar Koreksi'!$H$5:$H$92,'Daftar Koreksi'!$D$5:$D$92,'0200'!A862,'Daftar Koreksi'!$G$5:$G$92,"Peralatan dan mesin",'Daftar Koreksi'!$H$5:$H$92,"&lt;0")</f>
        <v>0</v>
      </c>
      <c r="G867" s="17">
        <f t="shared" si="39"/>
        <v>1807294996</v>
      </c>
      <c r="H867" s="122"/>
      <c r="I867" s="28"/>
      <c r="J867" s="28"/>
    </row>
    <row r="868" spans="1:10" ht="21.95" customHeight="1">
      <c r="A868" s="14"/>
      <c r="B868" s="14"/>
      <c r="C868" s="16" t="s">
        <v>1168</v>
      </c>
      <c r="D868" s="17">
        <f>VLOOKUP(A862,'Neraca Unaudited SIMAK'!$A$2:$S$10004,6,FALSE)</f>
        <v>8928988944</v>
      </c>
      <c r="E868" s="25">
        <f>SUMIFS('Daftar Koreksi'!$H$5:$H$92,'Daftar Koreksi'!$D$5:$D$92,'0200'!A862,'Daftar Koreksi'!$G$5:$G$92,"Gedung dan Bangunan",'Daftar Koreksi'!$H$5:$H$92,"&gt;0")</f>
        <v>0</v>
      </c>
      <c r="F868" s="25">
        <f>SUMIFS('Daftar Koreksi'!$H$5:$H$92,'Daftar Koreksi'!$D$5:$D$92,'0200'!A862,'Daftar Koreksi'!$G$5:$G$92,"Gedung dan Bangunan",'Daftar Koreksi'!$H$5:$H$92,"&lt;0")-SUMIFS('Daftar Koreksi'!$H$5:$H$92,'Daftar Koreksi'!$D$5:$D$92,'0200'!A862,'Daftar Koreksi'!$G$5:$G$92,"Gedung dan Bangunan",'Daftar Koreksi'!$H$5:$H$92,"&lt;0")-SUMIFS('Daftar Koreksi'!$H$5:$H$92,'Daftar Koreksi'!$D$5:$D$92,'0200'!A862,'Daftar Koreksi'!$G$5:$G$92,"Gedung dan Bangunan",'Daftar Koreksi'!$H$5:$H$92,"&lt;0")</f>
        <v>0</v>
      </c>
      <c r="G868" s="17">
        <f t="shared" si="39"/>
        <v>8928988944</v>
      </c>
      <c r="H868" s="122"/>
      <c r="I868" s="28"/>
      <c r="J868" s="28"/>
    </row>
    <row r="869" spans="1:10" ht="21.95" customHeight="1">
      <c r="A869" s="14"/>
      <c r="B869" s="14"/>
      <c r="C869" s="16" t="s">
        <v>1169</v>
      </c>
      <c r="D869" s="17">
        <f>VLOOKUP(A862,'Neraca Unaudited SIMAK'!$A$2:$S$10004,7,FALSE)</f>
        <v>0</v>
      </c>
      <c r="E869" s="25">
        <f>SUMIFS('Daftar Koreksi'!$H$5:$H$92,'Daftar Koreksi'!$D$5:$D$92,'0200'!A862,'Daftar Koreksi'!$G$5:$G$92,"Jalan Irigasi Jaringan",'Daftar Koreksi'!$H$5:$H$92,"&gt;0")</f>
        <v>0</v>
      </c>
      <c r="F869" s="25">
        <f>SUMIFS('Daftar Koreksi'!$H$5:$H$92,'Daftar Koreksi'!$D$5:$D$92,'0200'!A862,'Daftar Koreksi'!$G$5:$G$92,"Jalan Irigasi Jaringan",'Daftar Koreksi'!$H$5:$H$92,"&lt;0")-SUMIFS('Daftar Koreksi'!$H$5:$H$92,'Daftar Koreksi'!$D$5:$D$92,'0200'!A862,'Daftar Koreksi'!$G$5:$G$92,"Jalan Irigasi Jaringan",'Daftar Koreksi'!$H$5:$H$92,"&lt;0")-SUMIFS('Daftar Koreksi'!$H$5:$H$92,'Daftar Koreksi'!$D$5:$D$92,'0200'!A862,'Daftar Koreksi'!$G$5:$G$92,"Jalan Irigasi Jaringan",'Daftar Koreksi'!$H$5:$H$92,"&lt;0")</f>
        <v>0</v>
      </c>
      <c r="G869" s="17">
        <f t="shared" si="39"/>
        <v>0</v>
      </c>
      <c r="H869" s="122"/>
      <c r="I869" s="28"/>
      <c r="J869" s="28"/>
    </row>
    <row r="870" spans="1:10" ht="21.95" customHeight="1">
      <c r="A870" s="14"/>
      <c r="B870" s="14"/>
      <c r="C870" s="16" t="s">
        <v>1170</v>
      </c>
      <c r="D870" s="17">
        <f>VLOOKUP(A862,'Neraca Unaudited SIMAK'!$A$2:$S$10004,8,FALSE)</f>
        <v>5710166</v>
      </c>
      <c r="E870" s="25">
        <f>SUMIFS('Daftar Koreksi'!$H$5:$H$92,'Daftar Koreksi'!$D$5:$D$92,'0200'!A862,'Daftar Koreksi'!$G$5:$G$92,"Aset Tetap Lainnya",'Daftar Koreksi'!$H$5:$H$92,"&gt;0")</f>
        <v>0</v>
      </c>
      <c r="F870" s="25">
        <f>SUMIFS('Daftar Koreksi'!$H$5:$H$92,'Daftar Koreksi'!$D$5:$D$92,'0200'!A862,'Daftar Koreksi'!$G$5:$G$92,"Aset Tetap Lainnya",'Daftar Koreksi'!$H$5:$H$92,"&lt;0")-SUMIFS('Daftar Koreksi'!$H$5:$H$92,'Daftar Koreksi'!$D$5:$D$92,'0200'!A862,'Daftar Koreksi'!$G$5:$G$92,"Aset Tetap Lainnya",'Daftar Koreksi'!$H$5:$H$92,"&lt;0")-SUMIFS('Daftar Koreksi'!$H$5:$H$92,'Daftar Koreksi'!$D$5:$D$92,'0200'!A862,'Daftar Koreksi'!$G$5:$G$92,"Aset Tetap Lainnya",'Daftar Koreksi'!$H$5:$H$92,"&lt;0")</f>
        <v>0</v>
      </c>
      <c r="G870" s="17">
        <f t="shared" si="39"/>
        <v>5710166</v>
      </c>
      <c r="H870" s="122"/>
      <c r="I870" s="28"/>
      <c r="J870" s="28"/>
    </row>
    <row r="871" spans="1:10" ht="21.95" customHeight="1">
      <c r="A871" s="14"/>
      <c r="B871" s="14"/>
      <c r="C871" s="16" t="s">
        <v>1171</v>
      </c>
      <c r="D871" s="17">
        <f>VLOOKUP(A862,'Neraca Unaudited SIMAK'!$A$2:$S$10004,9,FALSE)</f>
        <v>0</v>
      </c>
      <c r="E871" s="25">
        <f>SUMIFS('Daftar Koreksi'!$H$5:$H$92,'Daftar Koreksi'!$D$5:$D$92,'0200'!A862,'Daftar Koreksi'!$G$5:$G$92,"Kontruksi Dalam Pengerjaan",'Daftar Koreksi'!$H$5:$H$92,"&gt;0")</f>
        <v>0</v>
      </c>
      <c r="F871" s="25">
        <f>SUMIFS('Daftar Koreksi'!$H$5:$H$92,'Daftar Koreksi'!$D$5:$D$92,'0200'!A862,'Daftar Koreksi'!$G$5:$G$92,"Kontruksi Dalam Pengerjaan",'Daftar Koreksi'!$H$5:$H$92,"&lt;0")-SUMIFS('Daftar Koreksi'!$H$5:$H$92,'Daftar Koreksi'!$D$5:$D$92,'0200'!A862,'Daftar Koreksi'!$G$5:$G$92,"Kontruksi Dalam Pengerjaan",'Daftar Koreksi'!$H$5:$H$92,"&lt;0")-SUMIFS('Daftar Koreksi'!$H$5:$H$92,'Daftar Koreksi'!$D$5:$D$92,'0200'!A862,'Daftar Koreksi'!$G$5:$G$92,"Kontruksi Dalam Pengerjaan",'Daftar Koreksi'!$H$5:$H$92,"&lt;0")</f>
        <v>0</v>
      </c>
      <c r="G871" s="17">
        <f t="shared" si="39"/>
        <v>0</v>
      </c>
      <c r="H871" s="122"/>
      <c r="I871" s="28"/>
      <c r="J871" s="28"/>
    </row>
    <row r="872" spans="1:10" ht="21.95" customHeight="1">
      <c r="A872" s="14"/>
      <c r="B872" s="14"/>
      <c r="C872" s="16" t="s">
        <v>1172</v>
      </c>
      <c r="D872" s="17">
        <f>VLOOKUP(A862,'Neraca Unaudited SIMAK'!$A$2:$S$10004,10,FALSE)</f>
        <v>77900000</v>
      </c>
      <c r="E872" s="25">
        <f>SUMIFS('Daftar Koreksi'!$H$5:$H$92,'Daftar Koreksi'!$D$5:$D$92,'0200'!A862,'Daftar Koreksi'!$G$5:$G$92,"Aset Tak Berwujud",'Daftar Koreksi'!$H$5:$H$92,"&gt;0")</f>
        <v>0</v>
      </c>
      <c r="F872" s="25">
        <f>SUMIFS('Daftar Koreksi'!$H$5:$H$92,'Daftar Koreksi'!$D$5:$D$92,'0200'!A862,'Daftar Koreksi'!$G$5:$G$92,"Aset Tak Berwujud",'Daftar Koreksi'!$H$5:$H$92,"&lt;0")-SUMIFS('Daftar Koreksi'!$H$5:$H$92,'Daftar Koreksi'!$D$5:$D$92,'0200'!A862,'Daftar Koreksi'!$G$5:$G$92,"Aset Tak Berwujud",'Daftar Koreksi'!$H$5:$H$92,"&lt;0")-SUMIFS('Daftar Koreksi'!$H$5:$H$92,'Daftar Koreksi'!$D$5:$D$92,'0200'!A862,'Daftar Koreksi'!$G$5:$G$92,"Aset Tak Berwujud",'Daftar Koreksi'!$H$5:$H$92,"&lt;0")</f>
        <v>0</v>
      </c>
      <c r="G872" s="17">
        <f t="shared" si="39"/>
        <v>77900000</v>
      </c>
      <c r="H872" s="122"/>
      <c r="I872" s="28"/>
      <c r="J872" s="28"/>
    </row>
    <row r="873" spans="1:10" ht="21.95" customHeight="1">
      <c r="A873" s="14"/>
      <c r="B873" s="14"/>
      <c r="C873" s="16" t="s">
        <v>1173</v>
      </c>
      <c r="D873" s="17">
        <f>VLOOKUP(A862,'Neraca Unaudited SIMAK'!$A$2:$S$10004,11,FALSE)</f>
        <v>64706000</v>
      </c>
      <c r="E873" s="25">
        <f>SUMIFS('Daftar Koreksi'!$H$5:$H$92,'Daftar Koreksi'!$D$5:$D$92,'0200'!A862,'Daftar Koreksi'!$G$5:$G$92,"Aset Henti Guna",'Daftar Koreksi'!$H$5:$H$92,"&gt;0")</f>
        <v>0</v>
      </c>
      <c r="F873" s="25">
        <f>SUMIFS('Daftar Koreksi'!$H$5:$H$92,'Daftar Koreksi'!$D$5:$D$92,'0200'!A862,'Daftar Koreksi'!$G$5:$G$92,"Aset Henti Guna",'Daftar Koreksi'!$H$5:$H$92,"&lt;0")-SUMIFS('Daftar Koreksi'!$H$5:$H$92,'Daftar Koreksi'!$D$5:$D$92,'0200'!A862,'Daftar Koreksi'!$G$5:$G$92,"Aset Henti Guna",'Daftar Koreksi'!$H$5:$H$92,"&lt;0")-SUMIFS('Daftar Koreksi'!$H$5:$H$92,'Daftar Koreksi'!$D$5:$D$92,'0200'!A862,'Daftar Koreksi'!$G$5:$G$92,"Aset Henti Guna",'Daftar Koreksi'!$H$5:$H$92,"&lt;0")</f>
        <v>0</v>
      </c>
      <c r="G873" s="17">
        <f t="shared" si="39"/>
        <v>64706000</v>
      </c>
      <c r="H873" s="122"/>
      <c r="I873" s="28"/>
      <c r="J873" s="28"/>
    </row>
    <row r="874" spans="1:10" ht="21.95" customHeight="1">
      <c r="A874" s="14"/>
      <c r="B874" s="14"/>
      <c r="C874" s="18" t="s">
        <v>2093</v>
      </c>
      <c r="D874" s="19">
        <f>VLOOKUP(A862,'Neraca Unaudited SIMAK'!$A$2:$S$10004,12,FALSE)</f>
        <v>12008895676</v>
      </c>
      <c r="E874" s="19">
        <f>SUM(E865:E873)</f>
        <v>0</v>
      </c>
      <c r="F874" s="19">
        <f>SUM(F865:F873)</f>
        <v>0</v>
      </c>
      <c r="G874" s="19">
        <f t="shared" si="39"/>
        <v>12008895676</v>
      </c>
      <c r="H874" s="122"/>
      <c r="I874" s="28"/>
      <c r="J874" s="28"/>
    </row>
    <row r="875" spans="1:10" ht="21.95" customHeight="1">
      <c r="A875" s="14"/>
      <c r="B875" s="14"/>
      <c r="C875" s="16" t="s">
        <v>2087</v>
      </c>
      <c r="D875" s="17">
        <f>VLOOKUP(A862,'Neraca Unaudited SIMAK'!$A$2:$S$10004,13,FALSE)</f>
        <v>-1469356274</v>
      </c>
      <c r="E875" s="25">
        <f>SUMIFS('Daftar Koreksi'!$I$5:$I$92,'Daftar Koreksi'!$D$5:$D$92,'0200'!A862,'Daftar Koreksi'!$G$5:$G$92,"Peralatan dan mesin",'Daftar Koreksi'!$I$5:$I$92,"&gt;0")</f>
        <v>0</v>
      </c>
      <c r="F875" s="25">
        <f>SUMIFS('Daftar Koreksi'!$I$5:$I$92,'Daftar Koreksi'!$D$5:$D$92,'0200'!A862,'Daftar Koreksi'!$G$5:$G$92,"Peralatan dan mesin",'Daftar Koreksi'!$I$5:$I$92,"&lt;0")-SUMIFS('Daftar Koreksi'!$I$5:$I$92,'Daftar Koreksi'!$D$5:$D$92,'0200'!A862,'Daftar Koreksi'!$G$5:$G$92,"Peralatan dan mesin",'Daftar Koreksi'!$I$5:$I$92,"&lt;0")-SUMIFS('Daftar Koreksi'!$I$5:$I$92,'Daftar Koreksi'!$D$5:$D$92,'0200'!A862,'Daftar Koreksi'!$G$5:$G$92,"Peralatan dan mesin",'Daftar Koreksi'!$I$5:$I$92,"&lt;0")</f>
        <v>0</v>
      </c>
      <c r="G875" s="17">
        <f t="shared" si="39"/>
        <v>-1469356274</v>
      </c>
      <c r="H875" s="122"/>
      <c r="I875" s="28"/>
      <c r="J875" s="28"/>
    </row>
    <row r="876" spans="1:10" ht="21.95" customHeight="1">
      <c r="A876" s="14"/>
      <c r="B876" s="14"/>
      <c r="C876" s="16" t="s">
        <v>2088</v>
      </c>
      <c r="D876" s="17">
        <f>VLOOKUP(A862,'Neraca Unaudited SIMAK'!$A$2:$S$10004,14,FALSE)</f>
        <v>-669533113</v>
      </c>
      <c r="E876" s="25">
        <f>SUMIFS('Daftar Koreksi'!$I$5:$I$92,'Daftar Koreksi'!$D$5:$D$92,'0200'!A862,'Daftar Koreksi'!$G$5:$G$92,"Gedung dan Bangunan",'Daftar Koreksi'!$I$5:$I$92,"&gt;0")</f>
        <v>0</v>
      </c>
      <c r="F876" s="25">
        <f>SUMIFS('Daftar Koreksi'!$I$5:$I$92,'Daftar Koreksi'!$D$5:$D$92,'0200'!A862,'Daftar Koreksi'!$G$5:$G$92,"Gedung dan Bangunan",'Daftar Koreksi'!$I$5:$I$92,"&lt;0")-SUMIFS('Daftar Koreksi'!$I$5:$I$92,'Daftar Koreksi'!$D$5:$D$92,'0200'!A862,'Daftar Koreksi'!$G$5:$G$92,"Gedung dan Bangunan",'Daftar Koreksi'!$I$5:$I$92,"&lt;0")-SUMIFS('Daftar Koreksi'!$I$5:$I$92,'Daftar Koreksi'!$D$5:$D$92,'0200'!A862,'Daftar Koreksi'!$G$5:$G$92,"Gedung dan Bangunan",'Daftar Koreksi'!$I$5:$I$92,"&lt;0")</f>
        <v>0</v>
      </c>
      <c r="G876" s="17">
        <f t="shared" si="39"/>
        <v>-669533113</v>
      </c>
      <c r="H876" s="122"/>
      <c r="I876" s="28"/>
      <c r="J876" s="28"/>
    </row>
    <row r="877" spans="1:10" ht="21.95" customHeight="1">
      <c r="A877" s="14"/>
      <c r="B877" s="14"/>
      <c r="C877" s="16" t="s">
        <v>2089</v>
      </c>
      <c r="D877" s="17">
        <f>VLOOKUP(A862,'Neraca Unaudited SIMAK'!$A$2:$S$10004,15,FALSE)</f>
        <v>0</v>
      </c>
      <c r="E877" s="25">
        <f>SUMIFS('Daftar Koreksi'!$I$5:$I$92,'Daftar Koreksi'!$D$5:$D$92,'0200'!A862,'Daftar Koreksi'!$G$5:$G$92,"Jalan Irigasi Jaringan",'Daftar Koreksi'!$I$5:$I$92,"&gt;0")</f>
        <v>0</v>
      </c>
      <c r="F877" s="25">
        <f>SUMIFS('Daftar Koreksi'!$I$5:$I$92,'Daftar Koreksi'!$D$5:$D$92,'0200'!A862,'Daftar Koreksi'!$G$5:$G$92,"Jalan Irigasi Jaringan",'Daftar Koreksi'!$I$5:$I$92,"&lt;0")-SUMIFS('Daftar Koreksi'!$I$5:$I$92,'Daftar Koreksi'!$D$5:$D$92,'0200'!A862,'Daftar Koreksi'!$G$5:$G$92,"Jalan Irigasi Jaringan",'Daftar Koreksi'!$I$5:$I$92,"&lt;0")-SUMIFS('Daftar Koreksi'!$I$5:$I$92,'Daftar Koreksi'!$D$5:$D$92,'0200'!A862,'Daftar Koreksi'!$G$5:$G$92,"Jalan Irigasi Jaringan",'Daftar Koreksi'!$I$5:$I$92,"&lt;0")</f>
        <v>0</v>
      </c>
      <c r="G877" s="17">
        <f t="shared" si="39"/>
        <v>0</v>
      </c>
      <c r="H877" s="122"/>
      <c r="I877" s="28"/>
      <c r="J877" s="28"/>
    </row>
    <row r="878" spans="1:10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Koreksi'!$D$5:$D$92,'0200'!A862,'Daftar Koreksi'!$G$5:$G$92,"Aset Tetap Lainnya",'Daftar Koreksi'!$I$5:$I$92,"&gt;0")</f>
        <v>0</v>
      </c>
      <c r="F878" s="25">
        <f>SUMIFS('Daftar Koreksi'!$I$5:$I$92,'Daftar Koreksi'!$D$5:$D$92,'0200'!A862,'Daftar Koreksi'!$G$5:$G$92,"Aset Tetap Lainnya",'Daftar Koreksi'!$I$5:$I$92,"&lt;0")-SUMIFS('Daftar Koreksi'!$I$5:$I$92,'Daftar Koreksi'!$D$5:$D$92,'0200'!A862,'Daftar Koreksi'!$G$5:$G$92,"Aset Tetap Lainnya",'Daftar Koreksi'!$I$5:$I$92,"&lt;0")-SUMIFS('Daftar Koreksi'!$I$5:$I$92,'Daftar Koreksi'!$D$5:$D$92,'0200'!A862,'Daftar Koreksi'!$G$5:$G$92,"Aset Tetap Lainnya",'Daftar Koreksi'!$I$5:$I$92,"&lt;0")</f>
        <v>0</v>
      </c>
      <c r="G878" s="17">
        <f t="shared" si="39"/>
        <v>0</v>
      </c>
      <c r="H878" s="122"/>
      <c r="I878" s="28"/>
      <c r="J878" s="28"/>
    </row>
    <row r="879" spans="1:10" ht="21.95" customHeight="1">
      <c r="A879" s="14"/>
      <c r="B879" s="14"/>
      <c r="C879" s="16" t="s">
        <v>2020</v>
      </c>
      <c r="D879" s="17">
        <f>VLOOKUP(A862,'Neraca Unaudited SIMAK'!$A$2:$S$10004,17,FALSE)</f>
        <v>-65746000</v>
      </c>
      <c r="E879" s="25">
        <f>SUMIFS('Daftar Koreksi'!$I$5:$I$92,'Daftar Koreksi'!$D$5:$D$92,'0200'!A862,'Daftar Koreksi'!$G$5:$G$92,"Aset Henti Guna",'Daftar Koreksi'!$I$5:$I$92,"&gt;0")</f>
        <v>0</v>
      </c>
      <c r="F879" s="25">
        <f>SUMIFS('Daftar Koreksi'!$I$5:$I$92,'Daftar Koreksi'!$D$5:$D$92,'0200'!A862,'Daftar Koreksi'!$G$5:$G$92,"Aset Henti Guna",'Daftar Koreksi'!$I$5:$I$92,"&lt;0")-SUMIFS('Daftar Koreksi'!$I$5:$I$92,'Daftar Koreksi'!$D$5:$D$92,'0200'!A862,'Daftar Koreksi'!$G$5:$G$92,"Aset Henti Guna",'Daftar Koreksi'!$I$5:$I$92,"&lt;0")-SUMIFS('Daftar Koreksi'!$I$5:$I$92,'Daftar Koreksi'!$D$5:$D$92,'0200'!A862,'Daftar Koreksi'!$G$5:$G$92,"Aset Henti Guna",'Daftar Koreksi'!$I$5:$I$92,"&lt;0")</f>
        <v>0</v>
      </c>
      <c r="G879" s="17">
        <f t="shared" si="39"/>
        <v>-65746000</v>
      </c>
      <c r="H879" s="122"/>
      <c r="I879" s="28"/>
      <c r="J879" s="28"/>
    </row>
    <row r="880" spans="1:10" ht="21.95" customHeight="1">
      <c r="A880" s="14"/>
      <c r="B880" s="14"/>
      <c r="C880" s="18" t="s">
        <v>2094</v>
      </c>
      <c r="D880" s="19">
        <f>SUM(D875:D879)</f>
        <v>-2204635387</v>
      </c>
      <c r="E880" s="19">
        <f>SUM(E875:E879)</f>
        <v>0</v>
      </c>
      <c r="F880" s="19">
        <f>SUM(F875:F879)</f>
        <v>0</v>
      </c>
      <c r="G880" s="19">
        <f t="shared" si="39"/>
        <v>-2204635387</v>
      </c>
      <c r="H880" s="122"/>
      <c r="I880" s="28"/>
      <c r="J880" s="28"/>
    </row>
    <row r="881" spans="1:10" ht="21.95" customHeight="1">
      <c r="A881" s="14"/>
      <c r="B881" s="14"/>
      <c r="C881" s="18" t="s">
        <v>2095</v>
      </c>
      <c r="D881" s="19">
        <f>VLOOKUP(A862,'Neraca Unaudited SIMAK'!$A$2:$S$10004,18,FALSE)</f>
        <v>9804260289</v>
      </c>
      <c r="E881" s="19">
        <f>E880+E874</f>
        <v>0</v>
      </c>
      <c r="F881" s="19">
        <f>F880+F874</f>
        <v>0</v>
      </c>
      <c r="G881" s="19">
        <f t="shared" si="39"/>
        <v>9804260289</v>
      </c>
      <c r="H881" s="122"/>
      <c r="I881" s="28"/>
      <c r="J881" s="28"/>
    </row>
    <row r="882" spans="1:10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  <c r="I882" s="28"/>
      <c r="J882" s="28"/>
    </row>
    <row r="884" spans="1:10" ht="19.5" customHeight="1">
      <c r="A884" s="11" t="str">
        <f>O41</f>
        <v>005010200477292000KD</v>
      </c>
      <c r="B884" s="11" t="str">
        <f>P41</f>
        <v>PN. Depok</v>
      </c>
      <c r="C884" s="12" t="str">
        <f>A884&amp;" "&amp;B884</f>
        <v>005010200477292000KD PN. Depok</v>
      </c>
      <c r="D884" s="13"/>
      <c r="E884" s="13"/>
      <c r="F884" s="13"/>
      <c r="G884" s="13"/>
      <c r="H884" s="11"/>
    </row>
    <row r="885" spans="1:10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10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10" ht="21.95" customHeight="1">
      <c r="A887" s="14"/>
      <c r="B887" s="14"/>
      <c r="C887" s="16" t="s">
        <v>1165</v>
      </c>
      <c r="D887" s="17">
        <f>VLOOKUP(A884,'Neraca Unaudited SIMAK'!$A$2:$S$10004,3,FALSE)</f>
        <v>17380700</v>
      </c>
      <c r="E887" s="25">
        <f>SUMIFS('Daftar Koreksi'!$H$5:$H$92,'Daftar Koreksi'!$D$5:$D$92,'0200'!A884,'Daftar Koreksi'!$G$5:$G$92,"Persediaan",'Daftar Koreksi'!$H$5:$H$92,"&gt;0")</f>
        <v>0</v>
      </c>
      <c r="F887" s="25">
        <f>SUMIFS('Daftar Koreksi'!$H$5:$H$92,'Daftar Koreksi'!$D$5:$D$92,'0200'!A884,'Daftar Koreksi'!$G$5:$G$92,"Persediaan",'Daftar Koreksi'!$H$5:$H$92,"&lt;0")-SUMIFS('Daftar Koreksi'!$H$5:$H$92,'Daftar Koreksi'!$D$5:$D$92,'0200'!A884,'Daftar Koreksi'!$G$5:$G$92,"Persediaan",'Daftar Koreksi'!$H$5:$H$92,"&lt;0")-SUMIFS('Daftar Koreksi'!$H$5:$H$92,'Daftar Koreksi'!$D$5:$D$92,'0200'!A884,'Daftar Koreksi'!$G$5:$G$92,"Persediaan",'Daftar Koreksi'!$H$5:$H$92,"&lt;0")</f>
        <v>0</v>
      </c>
      <c r="G887" s="17">
        <f>D887+E887-F887</f>
        <v>17380700</v>
      </c>
      <c r="H887" s="121" t="str">
        <f>IF(ISNA(VLOOKUP(A884,'Mutasi Neraca'!$A$3:$S$914,19,FALSE)),"-",VLOOKUP(A884,'Mutasi Neraca'!$A$3:$S$914,19,FALSE))</f>
        <v>TP. No 3</v>
      </c>
    </row>
    <row r="888" spans="1:10" ht="21.95" customHeight="1">
      <c r="A888" s="14"/>
      <c r="B888" s="14"/>
      <c r="C888" s="16" t="s">
        <v>1166</v>
      </c>
      <c r="D888" s="17">
        <f>VLOOKUP(A884,'Neraca Unaudited SIMAK'!$A$2:$S$10004,4,FALSE)</f>
        <v>1200000000</v>
      </c>
      <c r="E888" s="25">
        <f>SUMIFS('Daftar Koreksi'!$H$5:$H$92,'Daftar Koreksi'!$D$5:$D$92,'0200'!A884,'Daftar Koreksi'!$G$5:$G$92,"Tanah",'Daftar Koreksi'!$H$5:$H$92,"&gt;0")</f>
        <v>0</v>
      </c>
      <c r="F888" s="25">
        <f>SUMIFS('Daftar Koreksi'!$H$5:$H$92,'Daftar Koreksi'!$D$5:$D$92,'0200'!A884,'Daftar Koreksi'!$G$5:$G$92,"Tanah",'Daftar Koreksi'!$H$5:$H$92,"&lt;0")-SUMIFS('Daftar Koreksi'!$H$5:$H$92,'Daftar Koreksi'!$D$5:$D$92,'0200'!A884,'Daftar Koreksi'!$G$5:$G$92,"Tanah",'Daftar Koreksi'!$H$5:$H$92,"&lt;0")-SUMIFS('Daftar Koreksi'!$H$5:$H$92,'Daftar Koreksi'!$D$5:$D$92,'0200'!A884,'Daftar Koreksi'!$G$5:$G$92,"Tanah",'Daftar Koreksi'!$H$5:$H$92,"&lt;0")</f>
        <v>0</v>
      </c>
      <c r="G888" s="17">
        <f t="shared" ref="G888:G904" si="40">D888+E888-F888</f>
        <v>1200000000</v>
      </c>
      <c r="H888" s="122"/>
    </row>
    <row r="889" spans="1:10" ht="21.95" customHeight="1">
      <c r="A889" s="14"/>
      <c r="B889" s="14"/>
      <c r="C889" s="16" t="s">
        <v>1167</v>
      </c>
      <c r="D889" s="17">
        <f>VLOOKUP(A884,'Neraca Unaudited SIMAK'!$A$2:$S$10004,5,FALSE)</f>
        <v>1811345631</v>
      </c>
      <c r="E889" s="25">
        <f>SUMIFS('Daftar Koreksi'!$H$5:$H$92,'Daftar Koreksi'!$D$5:$D$92,'0200'!A884,'Daftar Koreksi'!$G$5:$G$92,"Peralatan dan mesin",'Daftar Koreksi'!$H$5:$H$92,"&gt;0")</f>
        <v>0</v>
      </c>
      <c r="F889" s="25">
        <f>SUMIFS('Daftar Koreksi'!$H$5:$H$92,'Daftar Koreksi'!$D$5:$D$92,'0200'!A884,'Daftar Koreksi'!$G$5:$G$92,"Peralatan dan mesin",'Daftar Koreksi'!$H$5:$H$92,"&lt;0")-SUMIFS('Daftar Koreksi'!$H$5:$H$92,'Daftar Koreksi'!$D$5:$D$92,'0200'!A884,'Daftar Koreksi'!$G$5:$G$92,"Peralatan dan mesin",'Daftar Koreksi'!$H$5:$H$92,"&lt;0")-SUMIFS('Daftar Koreksi'!$H$5:$H$92,'Daftar Koreksi'!$D$5:$D$92,'0200'!A884,'Daftar Koreksi'!$G$5:$G$92,"Peralatan dan mesin",'Daftar Koreksi'!$H$5:$H$92,"&lt;0")</f>
        <v>0</v>
      </c>
      <c r="G889" s="17">
        <f t="shared" si="40"/>
        <v>1811345631</v>
      </c>
      <c r="H889" s="122"/>
    </row>
    <row r="890" spans="1:10" ht="21.95" customHeight="1">
      <c r="A890" s="14"/>
      <c r="B890" s="14"/>
      <c r="C890" s="16" t="s">
        <v>1168</v>
      </c>
      <c r="D890" s="17">
        <f>VLOOKUP(A884,'Neraca Unaudited SIMAK'!$A$2:$S$10004,6,FALSE)</f>
        <v>6129640825</v>
      </c>
      <c r="E890" s="25">
        <f>SUMIFS('Daftar Koreksi'!$H$5:$H$92,'Daftar Koreksi'!$D$5:$D$92,'0200'!A884,'Daftar Koreksi'!$G$5:$G$92,"Gedung dan Bangunan",'Daftar Koreksi'!$H$5:$H$92,"&gt;0")</f>
        <v>0</v>
      </c>
      <c r="F890" s="25">
        <f>SUMIFS('Daftar Koreksi'!$H$5:$H$92,'Daftar Koreksi'!$D$5:$D$92,'0200'!A884,'Daftar Koreksi'!$G$5:$G$92,"Gedung dan Bangunan",'Daftar Koreksi'!$H$5:$H$92,"&lt;0")-SUMIFS('Daftar Koreksi'!$H$5:$H$92,'Daftar Koreksi'!$D$5:$D$92,'0200'!A884,'Daftar Koreksi'!$G$5:$G$92,"Gedung dan Bangunan",'Daftar Koreksi'!$H$5:$H$92,"&lt;0")-SUMIFS('Daftar Koreksi'!$H$5:$H$92,'Daftar Koreksi'!$D$5:$D$92,'0200'!A884,'Daftar Koreksi'!$G$5:$G$92,"Gedung dan Bangunan",'Daftar Koreksi'!$H$5:$H$92,"&lt;0")</f>
        <v>0</v>
      </c>
      <c r="G890" s="17">
        <f t="shared" si="40"/>
        <v>6129640825</v>
      </c>
      <c r="H890" s="122"/>
    </row>
    <row r="891" spans="1:10" ht="21.95" customHeight="1">
      <c r="A891" s="14"/>
      <c r="B891" s="14"/>
      <c r="C891" s="16" t="s">
        <v>1169</v>
      </c>
      <c r="D891" s="17">
        <f>VLOOKUP(A884,'Neraca Unaudited SIMAK'!$A$2:$S$10004,7,FALSE)</f>
        <v>3162500</v>
      </c>
      <c r="E891" s="25">
        <f>SUMIFS('Daftar Koreksi'!$H$5:$H$92,'Daftar Koreksi'!$D$5:$D$92,'0200'!A884,'Daftar Koreksi'!$G$5:$G$92,"Jalan Irigasi Jaringan",'Daftar Koreksi'!$H$5:$H$92,"&gt;0")</f>
        <v>0</v>
      </c>
      <c r="F891" s="25">
        <f>SUMIFS('Daftar Koreksi'!$H$5:$H$92,'Daftar Koreksi'!$D$5:$D$92,'0200'!A884,'Daftar Koreksi'!$G$5:$G$92,"Jalan Irigasi Jaringan",'Daftar Koreksi'!$H$5:$H$92,"&lt;0")-SUMIFS('Daftar Koreksi'!$H$5:$H$92,'Daftar Koreksi'!$D$5:$D$92,'0200'!A884,'Daftar Koreksi'!$G$5:$G$92,"Jalan Irigasi Jaringan",'Daftar Koreksi'!$H$5:$H$92,"&lt;0")-SUMIFS('Daftar Koreksi'!$H$5:$H$92,'Daftar Koreksi'!$D$5:$D$92,'0200'!A884,'Daftar Koreksi'!$G$5:$G$92,"Jalan Irigasi Jaringan",'Daftar Koreksi'!$H$5:$H$92,"&lt;0")</f>
        <v>0</v>
      </c>
      <c r="G891" s="17">
        <f t="shared" si="40"/>
        <v>3162500</v>
      </c>
      <c r="H891" s="122"/>
    </row>
    <row r="892" spans="1:10" ht="21.95" customHeight="1">
      <c r="A892" s="14"/>
      <c r="B892" s="14"/>
      <c r="C892" s="16" t="s">
        <v>1170</v>
      </c>
      <c r="D892" s="17">
        <f>VLOOKUP(A884,'Neraca Unaudited SIMAK'!$A$2:$S$10004,8,FALSE)</f>
        <v>5045440</v>
      </c>
      <c r="E892" s="25">
        <f>SUMIFS('Daftar Koreksi'!$H$5:$H$92,'Daftar Koreksi'!$D$5:$D$92,'0200'!A884,'Daftar Koreksi'!$G$5:$G$92,"Aset Tetap Lainnya",'Daftar Koreksi'!$H$5:$H$92,"&gt;0")</f>
        <v>4411622</v>
      </c>
      <c r="F892" s="25">
        <f>SUMIFS('Daftar Koreksi'!$H$5:$H$92,'Daftar Koreksi'!$D$5:$D$92,'0200'!A884,'Daftar Koreksi'!$G$5:$G$92,"Aset Tetap Lainnya",'Daftar Koreksi'!$H$5:$H$92,"&lt;0")-SUMIFS('Daftar Koreksi'!$H$5:$H$92,'Daftar Koreksi'!$D$5:$D$92,'0200'!A884,'Daftar Koreksi'!$G$5:$G$92,"Aset Tetap Lainnya",'Daftar Koreksi'!$H$5:$H$92,"&lt;0")-SUMIFS('Daftar Koreksi'!$H$5:$H$92,'Daftar Koreksi'!$D$5:$D$92,'0200'!A884,'Daftar Koreksi'!$G$5:$G$92,"Aset Tetap Lainnya",'Daftar Koreksi'!$H$5:$H$92,"&lt;0")</f>
        <v>0</v>
      </c>
      <c r="G892" s="17">
        <f t="shared" si="40"/>
        <v>9457062</v>
      </c>
      <c r="H892" s="122"/>
    </row>
    <row r="893" spans="1:10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Koreksi'!$D$5:$D$92,'0200'!A884,'Daftar Koreksi'!$G$5:$G$92,"Kontruksi Dalam Pengerjaan",'Daftar Koreksi'!$H$5:$H$92,"&gt;0")</f>
        <v>0</v>
      </c>
      <c r="F893" s="25">
        <f>SUMIFS('Daftar Koreksi'!$H$5:$H$92,'Daftar Koreksi'!$D$5:$D$92,'0200'!A884,'Daftar Koreksi'!$G$5:$G$92,"Kontruksi Dalam Pengerjaan",'Daftar Koreksi'!$H$5:$H$92,"&lt;0")-SUMIFS('Daftar Koreksi'!$H$5:$H$92,'Daftar Koreksi'!$D$5:$D$92,'0200'!A884,'Daftar Koreksi'!$G$5:$G$92,"Kontruksi Dalam Pengerjaan",'Daftar Koreksi'!$H$5:$H$92,"&lt;0")-SUMIFS('Daftar Koreksi'!$H$5:$H$92,'Daftar Koreksi'!$D$5:$D$92,'0200'!A884,'Daftar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10" ht="21.95" customHeight="1">
      <c r="A894" s="14"/>
      <c r="B894" s="14"/>
      <c r="C894" s="16" t="s">
        <v>1172</v>
      </c>
      <c r="D894" s="17">
        <f>VLOOKUP(A884,'Neraca Unaudited SIMAK'!$A$2:$S$10004,10,FALSE)</f>
        <v>90947000</v>
      </c>
      <c r="E894" s="25">
        <f>SUMIFS('Daftar Koreksi'!$H$5:$H$92,'Daftar Koreksi'!$D$5:$D$92,'0200'!A884,'Daftar Koreksi'!$G$5:$G$92,"Aset Tak Berwujud",'Daftar Koreksi'!$H$5:$H$92,"&gt;0")</f>
        <v>0</v>
      </c>
      <c r="F894" s="25">
        <f>SUMIFS('Daftar Koreksi'!$H$5:$H$92,'Daftar Koreksi'!$D$5:$D$92,'0200'!A884,'Daftar Koreksi'!$G$5:$G$92,"Aset Tak Berwujud",'Daftar Koreksi'!$H$5:$H$92,"&lt;0")-SUMIFS('Daftar Koreksi'!$H$5:$H$92,'Daftar Koreksi'!$D$5:$D$92,'0200'!A884,'Daftar Koreksi'!$G$5:$G$92,"Aset Tak Berwujud",'Daftar Koreksi'!$H$5:$H$92,"&lt;0")-SUMIFS('Daftar Koreksi'!$H$5:$H$92,'Daftar Koreksi'!$D$5:$D$92,'0200'!A884,'Daftar Koreksi'!$G$5:$G$92,"Aset Tak Berwujud",'Daftar Koreksi'!$H$5:$H$92,"&lt;0")</f>
        <v>0</v>
      </c>
      <c r="G894" s="17">
        <f t="shared" si="40"/>
        <v>90947000</v>
      </c>
      <c r="H894" s="122"/>
    </row>
    <row r="895" spans="1:10" ht="21.95" customHeight="1">
      <c r="A895" s="14"/>
      <c r="B895" s="14"/>
      <c r="C895" s="16" t="s">
        <v>1173</v>
      </c>
      <c r="D895" s="17">
        <f>VLOOKUP(A884,'Neraca Unaudited SIMAK'!$A$2:$S$10004,11,FALSE)</f>
        <v>148117280</v>
      </c>
      <c r="E895" s="25">
        <f>SUMIFS('Daftar Koreksi'!$H$5:$H$92,'Daftar Koreksi'!$D$5:$D$92,'0200'!A884,'Daftar Koreksi'!$G$5:$G$92,"Aset Henti Guna",'Daftar Koreksi'!$H$5:$H$92,"&gt;0")</f>
        <v>0</v>
      </c>
      <c r="F895" s="25">
        <f>SUMIFS('Daftar Koreksi'!$H$5:$H$92,'Daftar Koreksi'!$D$5:$D$92,'0200'!A884,'Daftar Koreksi'!$G$5:$G$92,"Aset Henti Guna",'Daftar Koreksi'!$H$5:$H$92,"&lt;0")-SUMIFS('Daftar Koreksi'!$H$5:$H$92,'Daftar Koreksi'!$D$5:$D$92,'0200'!A884,'Daftar Koreksi'!$G$5:$G$92,"Aset Henti Guna",'Daftar Koreksi'!$H$5:$H$92,"&lt;0")-SUMIFS('Daftar Koreksi'!$H$5:$H$92,'Daftar Koreksi'!$D$5:$D$92,'0200'!A884,'Daftar Koreksi'!$G$5:$G$92,"Aset Henti Guna",'Daftar Koreksi'!$H$5:$H$92,"&lt;0")</f>
        <v>0</v>
      </c>
      <c r="G895" s="17">
        <f t="shared" si="40"/>
        <v>148117280</v>
      </c>
      <c r="H895" s="122"/>
    </row>
    <row r="896" spans="1:10" ht="21.95" customHeight="1">
      <c r="A896" s="14"/>
      <c r="B896" s="14"/>
      <c r="C896" s="18" t="s">
        <v>2093</v>
      </c>
      <c r="D896" s="19">
        <f>VLOOKUP(A884,'Neraca Unaudited SIMAK'!$A$2:$S$10004,12,FALSE)</f>
        <v>9405639376</v>
      </c>
      <c r="E896" s="19">
        <f>SUM(E887:E895)</f>
        <v>4411622</v>
      </c>
      <c r="F896" s="19">
        <f>SUM(F887:F895)</f>
        <v>0</v>
      </c>
      <c r="G896" s="19">
        <f t="shared" si="40"/>
        <v>9410050998</v>
      </c>
      <c r="H896" s="122"/>
    </row>
    <row r="897" spans="1:10" ht="21.95" customHeight="1">
      <c r="A897" s="14"/>
      <c r="B897" s="14"/>
      <c r="C897" s="16" t="s">
        <v>2087</v>
      </c>
      <c r="D897" s="17">
        <f>VLOOKUP(A884,'Neraca Unaudited SIMAK'!$A$2:$S$10004,13,FALSE)</f>
        <v>-1511786795</v>
      </c>
      <c r="E897" s="25">
        <f>SUMIFS('Daftar Koreksi'!$I$5:$I$92,'Daftar Koreksi'!$D$5:$D$92,'0200'!A884,'Daftar Koreksi'!$G$5:$G$92,"Peralatan dan mesin",'Daftar Koreksi'!$I$5:$I$92,"&gt;0")</f>
        <v>0</v>
      </c>
      <c r="F897" s="25">
        <f>SUMIFS('Daftar Koreksi'!$I$5:$I$92,'Daftar Koreksi'!$D$5:$D$92,'0200'!A884,'Daftar Koreksi'!$G$5:$G$92,"Peralatan dan mesin",'Daftar Koreksi'!$I$5:$I$92,"&lt;0")-SUMIFS('Daftar Koreksi'!$I$5:$I$92,'Daftar Koreksi'!$D$5:$D$92,'0200'!A884,'Daftar Koreksi'!$G$5:$G$92,"Peralatan dan mesin",'Daftar Koreksi'!$I$5:$I$92,"&lt;0")-SUMIFS('Daftar Koreksi'!$I$5:$I$92,'Daftar Koreksi'!$D$5:$D$92,'0200'!A884,'Daftar Koreksi'!$G$5:$G$92,"Peralatan dan mesin",'Daftar Koreksi'!$I$5:$I$92,"&lt;0")</f>
        <v>0</v>
      </c>
      <c r="G897" s="17">
        <f t="shared" si="40"/>
        <v>-1511786795</v>
      </c>
      <c r="H897" s="122"/>
    </row>
    <row r="898" spans="1:10" ht="21.95" customHeight="1">
      <c r="A898" s="14"/>
      <c r="B898" s="14"/>
      <c r="C898" s="16" t="s">
        <v>2088</v>
      </c>
      <c r="D898" s="17">
        <f>VLOOKUP(A884,'Neraca Unaudited SIMAK'!$A$2:$S$10004,14,FALSE)</f>
        <v>-1226581165</v>
      </c>
      <c r="E898" s="25">
        <f>SUMIFS('Daftar Koreksi'!$I$5:$I$92,'Daftar Koreksi'!$D$5:$D$92,'0200'!A884,'Daftar Koreksi'!$G$5:$G$92,"Gedung dan Bangunan",'Daftar Koreksi'!$I$5:$I$92,"&gt;0")</f>
        <v>0</v>
      </c>
      <c r="F898" s="25">
        <f>SUMIFS('Daftar Koreksi'!$I$5:$I$92,'Daftar Koreksi'!$D$5:$D$92,'0200'!A884,'Daftar Koreksi'!$G$5:$G$92,"Gedung dan Bangunan",'Daftar Koreksi'!$I$5:$I$92,"&lt;0")-SUMIFS('Daftar Koreksi'!$I$5:$I$92,'Daftar Koreksi'!$D$5:$D$92,'0200'!A884,'Daftar Koreksi'!$G$5:$G$92,"Gedung dan Bangunan",'Daftar Koreksi'!$I$5:$I$92,"&lt;0")-SUMIFS('Daftar Koreksi'!$I$5:$I$92,'Daftar Koreksi'!$D$5:$D$92,'0200'!A884,'Daftar Koreksi'!$G$5:$G$92,"Gedung dan Bangunan",'Daftar Koreksi'!$I$5:$I$92,"&lt;0")</f>
        <v>0</v>
      </c>
      <c r="G898" s="17">
        <f t="shared" si="40"/>
        <v>-1226581165</v>
      </c>
      <c r="H898" s="122"/>
    </row>
    <row r="899" spans="1:10" ht="21.95" customHeight="1">
      <c r="A899" s="14"/>
      <c r="B899" s="14"/>
      <c r="C899" s="16" t="s">
        <v>2089</v>
      </c>
      <c r="D899" s="17">
        <f>VLOOKUP(A884,'Neraca Unaudited SIMAK'!$A$2:$S$10004,15,FALSE)</f>
        <v>-1897500</v>
      </c>
      <c r="E899" s="25">
        <f>SUMIFS('Daftar Koreksi'!$I$5:$I$92,'Daftar Koreksi'!$D$5:$D$92,'0200'!A884,'Daftar Koreksi'!$G$5:$G$92,"Jalan Irigasi Jaringan",'Daftar Koreksi'!$I$5:$I$92,"&gt;0")</f>
        <v>0</v>
      </c>
      <c r="F899" s="25">
        <f>SUMIFS('Daftar Koreksi'!$I$5:$I$92,'Daftar Koreksi'!$D$5:$D$92,'0200'!A884,'Daftar Koreksi'!$G$5:$G$92,"Jalan Irigasi Jaringan",'Daftar Koreksi'!$I$5:$I$92,"&lt;0")-SUMIFS('Daftar Koreksi'!$I$5:$I$92,'Daftar Koreksi'!$D$5:$D$92,'0200'!A884,'Daftar Koreksi'!$G$5:$G$92,"Jalan Irigasi Jaringan",'Daftar Koreksi'!$I$5:$I$92,"&lt;0")-SUMIFS('Daftar Koreksi'!$I$5:$I$92,'Daftar Koreksi'!$D$5:$D$92,'0200'!A884,'Daftar Koreksi'!$G$5:$G$92,"Jalan Irigasi Jaringan",'Daftar Koreksi'!$I$5:$I$92,"&lt;0")</f>
        <v>0</v>
      </c>
      <c r="G899" s="17">
        <f t="shared" si="40"/>
        <v>-1897500</v>
      </c>
      <c r="H899" s="122"/>
    </row>
    <row r="900" spans="1:10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Koreksi'!$D$5:$D$92,'0200'!A884,'Daftar Koreksi'!$G$5:$G$92,"Aset Tetap Lainnya",'Daftar Koreksi'!$I$5:$I$92,"&gt;0")</f>
        <v>0</v>
      </c>
      <c r="F900" s="25">
        <f>SUMIFS('Daftar Koreksi'!$I$5:$I$92,'Daftar Koreksi'!$D$5:$D$92,'0200'!A884,'Daftar Koreksi'!$G$5:$G$92,"Aset Tetap Lainnya",'Daftar Koreksi'!$I$5:$I$92,"&lt;0")-SUMIFS('Daftar Koreksi'!$I$5:$I$92,'Daftar Koreksi'!$D$5:$D$92,'0200'!A884,'Daftar Koreksi'!$G$5:$G$92,"Aset Tetap Lainnya",'Daftar Koreksi'!$I$5:$I$92,"&lt;0")-SUMIFS('Daftar Koreksi'!$I$5:$I$92,'Daftar Koreksi'!$D$5:$D$92,'0200'!A884,'Daftar Koreksi'!$G$5:$G$92,"Aset Tetap Lainnya",'Daftar Koreksi'!$I$5:$I$92,"&lt;0")</f>
        <v>0</v>
      </c>
      <c r="G900" s="17">
        <f t="shared" si="40"/>
        <v>0</v>
      </c>
      <c r="H900" s="122"/>
    </row>
    <row r="901" spans="1:10" ht="21.95" customHeight="1">
      <c r="A901" s="14"/>
      <c r="B901" s="14"/>
      <c r="C901" s="16" t="s">
        <v>2020</v>
      </c>
      <c r="D901" s="17">
        <f>VLOOKUP(A884,'Neraca Unaudited SIMAK'!$A$2:$S$10004,17,FALSE)</f>
        <v>-135510380</v>
      </c>
      <c r="E901" s="25">
        <f>SUMIFS('Daftar Koreksi'!$I$5:$I$92,'Daftar Koreksi'!$D$5:$D$92,'0200'!A884,'Daftar Koreksi'!$G$5:$G$92,"Aset Henti Guna",'Daftar Koreksi'!$I$5:$I$92,"&gt;0")</f>
        <v>0</v>
      </c>
      <c r="F901" s="25">
        <f>SUMIFS('Daftar Koreksi'!$I$5:$I$92,'Daftar Koreksi'!$D$5:$D$92,'0200'!A884,'Daftar Koreksi'!$G$5:$G$92,"Aset Henti Guna",'Daftar Koreksi'!$I$5:$I$92,"&lt;0")-SUMIFS('Daftar Koreksi'!$I$5:$I$92,'Daftar Koreksi'!$D$5:$D$92,'0200'!A884,'Daftar Koreksi'!$G$5:$G$92,"Aset Henti Guna",'Daftar Koreksi'!$I$5:$I$92,"&lt;0")-SUMIFS('Daftar Koreksi'!$I$5:$I$92,'Daftar Koreksi'!$D$5:$D$92,'0200'!A884,'Daftar Koreksi'!$G$5:$G$92,"Aset Henti Guna",'Daftar Koreksi'!$I$5:$I$92,"&lt;0")</f>
        <v>0</v>
      </c>
      <c r="G901" s="17">
        <f t="shared" si="40"/>
        <v>-135510380</v>
      </c>
      <c r="H901" s="122"/>
    </row>
    <row r="902" spans="1:10" ht="21.95" customHeight="1">
      <c r="A902" s="14"/>
      <c r="B902" s="14"/>
      <c r="C902" s="18" t="s">
        <v>2094</v>
      </c>
      <c r="D902" s="19">
        <f>SUM(D897:D901)</f>
        <v>-2875775840</v>
      </c>
      <c r="E902" s="19">
        <f>SUM(E897:E901)</f>
        <v>0</v>
      </c>
      <c r="F902" s="19">
        <f>SUM(F897:F901)</f>
        <v>0</v>
      </c>
      <c r="G902" s="19">
        <f t="shared" si="40"/>
        <v>-2875775840</v>
      </c>
      <c r="H902" s="122"/>
    </row>
    <row r="903" spans="1:10" ht="21.95" customHeight="1">
      <c r="A903" s="14"/>
      <c r="B903" s="14"/>
      <c r="C903" s="18" t="s">
        <v>2095</v>
      </c>
      <c r="D903" s="19">
        <f>VLOOKUP(A884,'Neraca Unaudited SIMAK'!$A$2:$S$10004,18,FALSE)</f>
        <v>6529863536</v>
      </c>
      <c r="E903" s="19">
        <f>E902+E896</f>
        <v>4411622</v>
      </c>
      <c r="F903" s="19">
        <f>F902+F896</f>
        <v>0</v>
      </c>
      <c r="G903" s="19">
        <f t="shared" si="40"/>
        <v>6534275158</v>
      </c>
      <c r="H903" s="122"/>
    </row>
    <row r="904" spans="1:10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10" ht="19.5" customHeight="1">
      <c r="A906" s="11" t="str">
        <f>O42</f>
        <v>005010200531823000KD</v>
      </c>
      <c r="B906" s="11" t="str">
        <f>P42</f>
        <v>PTUN. Bandung</v>
      </c>
      <c r="C906" s="12" t="str">
        <f>A906&amp;" "&amp;B906</f>
        <v>005010200531823000KD PTUN. Bandung</v>
      </c>
      <c r="D906" s="13"/>
      <c r="E906" s="13"/>
      <c r="F906" s="13"/>
      <c r="G906" s="13"/>
      <c r="H906" s="11"/>
    </row>
    <row r="907" spans="1:10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10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10" ht="21.95" customHeight="1">
      <c r="A909" s="14"/>
      <c r="B909" s="14"/>
      <c r="C909" s="16" t="s">
        <v>1165</v>
      </c>
      <c r="D909" s="17">
        <f>VLOOKUP(A906,'Neraca Unaudited SIMAK'!$A$2:$S$10004,3,FALSE)</f>
        <v>1365600</v>
      </c>
      <c r="E909" s="25">
        <f>SUMIFS('Daftar Koreksi'!$H$5:$H$92,'Daftar Koreksi'!$D$5:$D$92,'0200'!A906,'Daftar Koreksi'!$G$5:$G$92,"Persediaan",'Daftar Koreksi'!$H$5:$H$92,"&gt;0")</f>
        <v>0</v>
      </c>
      <c r="F909" s="25">
        <f>SUMIFS('Daftar Koreksi'!$H$5:$H$92,'Daftar Koreksi'!$D$5:$D$92,'0200'!A906,'Daftar Koreksi'!$G$5:$G$92,"Persediaan",'Daftar Koreksi'!$H$5:$H$92,"&lt;0")-SUMIFS('Daftar Koreksi'!$H$5:$H$92,'Daftar Koreksi'!$D$5:$D$92,'0200'!A906,'Daftar Koreksi'!$G$5:$G$92,"Persediaan",'Daftar Koreksi'!$H$5:$H$92,"&lt;0")-SUMIFS('Daftar Koreksi'!$H$5:$H$92,'Daftar Koreksi'!$D$5:$D$92,'0200'!A906,'Daftar Koreksi'!$G$5:$G$92,"Persediaan",'Daftar Koreksi'!$H$5:$H$92,"&lt;0")</f>
        <v>0</v>
      </c>
      <c r="G909" s="17">
        <f>D909+E909-F909</f>
        <v>1365600</v>
      </c>
      <c r="H909" s="121" t="str">
        <f>IF(ISNA(VLOOKUP(A906,'Mutasi Neraca'!$A$3:$S$914,19,FALSE)),"-",VLOOKUP(A906,'Mutasi Neraca'!$A$3:$S$914,19,FALSE))</f>
        <v>-</v>
      </c>
      <c r="I909" s="28"/>
      <c r="J909" s="28"/>
    </row>
    <row r="910" spans="1:10" ht="21.95" customHeight="1">
      <c r="A910" s="14"/>
      <c r="B910" s="14"/>
      <c r="C910" s="16" t="s">
        <v>1166</v>
      </c>
      <c r="D910" s="17">
        <f>VLOOKUP(A906,'Neraca Unaudited SIMAK'!$A$2:$S$10004,4,FALSE)</f>
        <v>16965000000</v>
      </c>
      <c r="E910" s="25">
        <f>SUMIFS('Daftar Koreksi'!$H$5:$H$92,'Daftar Koreksi'!$D$5:$D$92,'0200'!A906,'Daftar Koreksi'!$G$5:$G$92,"Tanah",'Daftar Koreksi'!$H$5:$H$92,"&gt;0")</f>
        <v>0</v>
      </c>
      <c r="F910" s="25">
        <f>SUMIFS('Daftar Koreksi'!$H$5:$H$92,'Daftar Koreksi'!$D$5:$D$92,'0200'!A906,'Daftar Koreksi'!$G$5:$G$92,"Tanah",'Daftar Koreksi'!$H$5:$H$92,"&lt;0")-SUMIFS('Daftar Koreksi'!$H$5:$H$92,'Daftar Koreksi'!$D$5:$D$92,'0200'!A906,'Daftar Koreksi'!$G$5:$G$92,"Tanah",'Daftar Koreksi'!$H$5:$H$92,"&lt;0")-SUMIFS('Daftar Koreksi'!$H$5:$H$92,'Daftar Koreksi'!$D$5:$D$92,'0200'!A906,'Daftar Koreksi'!$G$5:$G$92,"Tanah",'Daftar Koreksi'!$H$5:$H$92,"&lt;0")</f>
        <v>0</v>
      </c>
      <c r="G910" s="17">
        <f t="shared" ref="G910:G926" si="41">D910+E910-F910</f>
        <v>16965000000</v>
      </c>
      <c r="H910" s="122"/>
      <c r="I910" s="28"/>
      <c r="J910" s="28"/>
    </row>
    <row r="911" spans="1:10" ht="21.95" customHeight="1">
      <c r="A911" s="14"/>
      <c r="B911" s="14"/>
      <c r="C911" s="16" t="s">
        <v>1167</v>
      </c>
      <c r="D911" s="17">
        <f>VLOOKUP(A906,'Neraca Unaudited SIMAK'!$A$2:$S$10004,5,FALSE)</f>
        <v>2453483731</v>
      </c>
      <c r="E911" s="25">
        <f>SUMIFS('Daftar Koreksi'!$H$5:$H$92,'Daftar Koreksi'!$D$5:$D$92,'0200'!A906,'Daftar Koreksi'!$G$5:$G$92,"Peralatan dan mesin",'Daftar Koreksi'!$H$5:$H$92,"&gt;0")</f>
        <v>0</v>
      </c>
      <c r="F911" s="25">
        <f>SUMIFS('Daftar Koreksi'!$H$5:$H$92,'Daftar Koreksi'!$D$5:$D$92,'0200'!A906,'Daftar Koreksi'!$G$5:$G$92,"Peralatan dan mesin",'Daftar Koreksi'!$H$5:$H$92,"&lt;0")-SUMIFS('Daftar Koreksi'!$H$5:$H$92,'Daftar Koreksi'!$D$5:$D$92,'0200'!A906,'Daftar Koreksi'!$G$5:$G$92,"Peralatan dan mesin",'Daftar Koreksi'!$H$5:$H$92,"&lt;0")-SUMIFS('Daftar Koreksi'!$H$5:$H$92,'Daftar Koreksi'!$D$5:$D$92,'0200'!A906,'Daftar Koreksi'!$G$5:$G$92,"Peralatan dan mesin",'Daftar Koreksi'!$H$5:$H$92,"&lt;0")</f>
        <v>0</v>
      </c>
      <c r="G911" s="17">
        <f t="shared" si="41"/>
        <v>2453483731</v>
      </c>
      <c r="H911" s="122"/>
      <c r="I911" s="28"/>
      <c r="J911" s="28"/>
    </row>
    <row r="912" spans="1:10" ht="21.95" customHeight="1">
      <c r="A912" s="14"/>
      <c r="B912" s="14"/>
      <c r="C912" s="16" t="s">
        <v>1168</v>
      </c>
      <c r="D912" s="17">
        <f>VLOOKUP(A906,'Neraca Unaudited SIMAK'!$A$2:$S$10004,6,FALSE)</f>
        <v>10417060355</v>
      </c>
      <c r="E912" s="25">
        <f>SUMIFS('Daftar Koreksi'!$H$5:$H$92,'Daftar Koreksi'!$D$5:$D$92,'0200'!A906,'Daftar Koreksi'!$G$5:$G$92,"Gedung dan Bangunan",'Daftar Koreksi'!$H$5:$H$92,"&gt;0")</f>
        <v>0</v>
      </c>
      <c r="F912" s="25">
        <f>SUMIFS('Daftar Koreksi'!$H$5:$H$92,'Daftar Koreksi'!$D$5:$D$92,'0200'!A906,'Daftar Koreksi'!$G$5:$G$92,"Gedung dan Bangunan",'Daftar Koreksi'!$H$5:$H$92,"&lt;0")-SUMIFS('Daftar Koreksi'!$H$5:$H$92,'Daftar Koreksi'!$D$5:$D$92,'0200'!A906,'Daftar Koreksi'!$G$5:$G$92,"Gedung dan Bangunan",'Daftar Koreksi'!$H$5:$H$92,"&lt;0")-SUMIFS('Daftar Koreksi'!$H$5:$H$92,'Daftar Koreksi'!$D$5:$D$92,'0200'!A906,'Daftar Koreksi'!$G$5:$G$92,"Gedung dan Bangunan",'Daftar Koreksi'!$H$5:$H$92,"&lt;0")</f>
        <v>0</v>
      </c>
      <c r="G912" s="17">
        <f t="shared" si="41"/>
        <v>10417060355</v>
      </c>
      <c r="H912" s="122"/>
      <c r="I912" s="28"/>
      <c r="J912" s="28"/>
    </row>
    <row r="913" spans="1:10" ht="21.95" customHeight="1">
      <c r="A913" s="14"/>
      <c r="B913" s="14"/>
      <c r="C913" s="16" t="s">
        <v>1169</v>
      </c>
      <c r="D913" s="17">
        <f>VLOOKUP(A906,'Neraca Unaudited SIMAK'!$A$2:$S$10004,7,FALSE)</f>
        <v>0</v>
      </c>
      <c r="E913" s="25">
        <f>SUMIFS('Daftar Koreksi'!$H$5:$H$92,'Daftar Koreksi'!$D$5:$D$92,'0200'!A906,'Daftar Koreksi'!$G$5:$G$92,"Jalan Irigasi Jaringan",'Daftar Koreksi'!$H$5:$H$92,"&gt;0")</f>
        <v>0</v>
      </c>
      <c r="F913" s="25">
        <f>SUMIFS('Daftar Koreksi'!$H$5:$H$92,'Daftar Koreksi'!$D$5:$D$92,'0200'!A906,'Daftar Koreksi'!$G$5:$G$92,"Jalan Irigasi Jaringan",'Daftar Koreksi'!$H$5:$H$92,"&lt;0")-SUMIFS('Daftar Koreksi'!$H$5:$H$92,'Daftar Koreksi'!$D$5:$D$92,'0200'!A906,'Daftar Koreksi'!$G$5:$G$92,"Jalan Irigasi Jaringan",'Daftar Koreksi'!$H$5:$H$92,"&lt;0")-SUMIFS('Daftar Koreksi'!$H$5:$H$92,'Daftar Koreksi'!$D$5:$D$92,'0200'!A906,'Daftar Koreksi'!$G$5:$G$92,"Jalan Irigasi Jaringan",'Daftar Koreksi'!$H$5:$H$92,"&lt;0")</f>
        <v>0</v>
      </c>
      <c r="G913" s="17">
        <f t="shared" si="41"/>
        <v>0</v>
      </c>
      <c r="H913" s="122"/>
      <c r="I913" s="28"/>
      <c r="J913" s="28"/>
    </row>
    <row r="914" spans="1:10" ht="21.95" customHeight="1">
      <c r="A914" s="14"/>
      <c r="B914" s="14"/>
      <c r="C914" s="16" t="s">
        <v>1170</v>
      </c>
      <c r="D914" s="17">
        <f>VLOOKUP(A906,'Neraca Unaudited SIMAK'!$A$2:$S$10004,8,FALSE)</f>
        <v>18283400</v>
      </c>
      <c r="E914" s="25">
        <f>SUMIFS('Daftar Koreksi'!$H$5:$H$92,'Daftar Koreksi'!$D$5:$D$92,'0200'!A906,'Daftar Koreksi'!$G$5:$G$92,"Aset Tetap Lainnya",'Daftar Koreksi'!$H$5:$H$92,"&gt;0")</f>
        <v>0</v>
      </c>
      <c r="F914" s="25">
        <f>SUMIFS('Daftar Koreksi'!$H$5:$H$92,'Daftar Koreksi'!$D$5:$D$92,'0200'!A906,'Daftar Koreksi'!$G$5:$G$92,"Aset Tetap Lainnya",'Daftar Koreksi'!$H$5:$H$92,"&lt;0")-SUMIFS('Daftar Koreksi'!$H$5:$H$92,'Daftar Koreksi'!$D$5:$D$92,'0200'!A906,'Daftar Koreksi'!$G$5:$G$92,"Aset Tetap Lainnya",'Daftar Koreksi'!$H$5:$H$92,"&lt;0")-SUMIFS('Daftar Koreksi'!$H$5:$H$92,'Daftar Koreksi'!$D$5:$D$92,'0200'!A906,'Daftar Koreksi'!$G$5:$G$92,"Aset Tetap Lainnya",'Daftar Koreksi'!$H$5:$H$92,"&lt;0")</f>
        <v>0</v>
      </c>
      <c r="G914" s="17">
        <f t="shared" si="41"/>
        <v>18283400</v>
      </c>
      <c r="H914" s="122"/>
      <c r="I914" s="28"/>
      <c r="J914" s="28"/>
    </row>
    <row r="915" spans="1:10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Koreksi'!$D$5:$D$92,'0200'!A906,'Daftar Koreksi'!$G$5:$G$92,"Kontruksi Dalam Pengerjaan",'Daftar Koreksi'!$H$5:$H$92,"&gt;0")</f>
        <v>0</v>
      </c>
      <c r="F915" s="25">
        <f>SUMIFS('Daftar Koreksi'!$H$5:$H$92,'Daftar Koreksi'!$D$5:$D$92,'0200'!A906,'Daftar Koreksi'!$G$5:$G$92,"Kontruksi Dalam Pengerjaan",'Daftar Koreksi'!$H$5:$H$92,"&lt;0")-SUMIFS('Daftar Koreksi'!$H$5:$H$92,'Daftar Koreksi'!$D$5:$D$92,'0200'!A906,'Daftar Koreksi'!$G$5:$G$92,"Kontruksi Dalam Pengerjaan",'Daftar Koreksi'!$H$5:$H$92,"&lt;0")-SUMIFS('Daftar Koreksi'!$H$5:$H$92,'Daftar Koreksi'!$D$5:$D$92,'0200'!A906,'Daftar Koreksi'!$G$5:$G$92,"Kontruksi Dalam Pengerjaan",'Daftar Koreksi'!$H$5:$H$92,"&lt;0")</f>
        <v>0</v>
      </c>
      <c r="G915" s="17">
        <f t="shared" si="41"/>
        <v>0</v>
      </c>
      <c r="H915" s="122"/>
      <c r="I915" s="28"/>
      <c r="J915" s="28"/>
    </row>
    <row r="916" spans="1:10" ht="21.95" customHeight="1">
      <c r="A916" s="14"/>
      <c r="B916" s="14"/>
      <c r="C916" s="16" t="s">
        <v>1172</v>
      </c>
      <c r="D916" s="17">
        <f>VLOOKUP(A906,'Neraca Unaudited SIMAK'!$A$2:$S$10004,10,FALSE)</f>
        <v>112180000</v>
      </c>
      <c r="E916" s="25">
        <f>SUMIFS('Daftar Koreksi'!$H$5:$H$92,'Daftar Koreksi'!$D$5:$D$92,'0200'!A906,'Daftar Koreksi'!$G$5:$G$92,"Aset Tak Berwujud",'Daftar Koreksi'!$H$5:$H$92,"&gt;0")</f>
        <v>0</v>
      </c>
      <c r="F916" s="25">
        <f>SUMIFS('Daftar Koreksi'!$H$5:$H$92,'Daftar Koreksi'!$D$5:$D$92,'0200'!A906,'Daftar Koreksi'!$G$5:$G$92,"Aset Tak Berwujud",'Daftar Koreksi'!$H$5:$H$92,"&lt;0")-SUMIFS('Daftar Koreksi'!$H$5:$H$92,'Daftar Koreksi'!$D$5:$D$92,'0200'!A906,'Daftar Koreksi'!$G$5:$G$92,"Aset Tak Berwujud",'Daftar Koreksi'!$H$5:$H$92,"&lt;0")-SUMIFS('Daftar Koreksi'!$H$5:$H$92,'Daftar Koreksi'!$D$5:$D$92,'0200'!A906,'Daftar Koreksi'!$G$5:$G$92,"Aset Tak Berwujud",'Daftar Koreksi'!$H$5:$H$92,"&lt;0")</f>
        <v>0</v>
      </c>
      <c r="G916" s="17">
        <f t="shared" si="41"/>
        <v>112180000</v>
      </c>
      <c r="H916" s="122"/>
      <c r="I916" s="28"/>
      <c r="J916" s="28"/>
    </row>
    <row r="917" spans="1:10" ht="21.95" customHeight="1">
      <c r="A917" s="14"/>
      <c r="B917" s="14"/>
      <c r="C917" s="16" t="s">
        <v>1173</v>
      </c>
      <c r="D917" s="17">
        <f>VLOOKUP(A906,'Neraca Unaudited SIMAK'!$A$2:$S$10004,11,FALSE)</f>
        <v>0</v>
      </c>
      <c r="E917" s="25">
        <f>SUMIFS('Daftar Koreksi'!$H$5:$H$92,'Daftar Koreksi'!$D$5:$D$92,'0200'!A906,'Daftar Koreksi'!$G$5:$G$92,"Aset Henti Guna",'Daftar Koreksi'!$H$5:$H$92,"&gt;0")</f>
        <v>0</v>
      </c>
      <c r="F917" s="25">
        <f>SUMIFS('Daftar Koreksi'!$H$5:$H$92,'Daftar Koreksi'!$D$5:$D$92,'0200'!A906,'Daftar Koreksi'!$G$5:$G$92,"Aset Henti Guna",'Daftar Koreksi'!$H$5:$H$92,"&lt;0")-SUMIFS('Daftar Koreksi'!$H$5:$H$92,'Daftar Koreksi'!$D$5:$D$92,'0200'!A906,'Daftar Koreksi'!$G$5:$G$92,"Aset Henti Guna",'Daftar Koreksi'!$H$5:$H$92,"&lt;0")-SUMIFS('Daftar Koreksi'!$H$5:$H$92,'Daftar Koreksi'!$D$5:$D$92,'0200'!A906,'Daftar Koreksi'!$G$5:$G$92,"Aset Henti Guna",'Daftar Koreksi'!$H$5:$H$92,"&lt;0")</f>
        <v>0</v>
      </c>
      <c r="G917" s="17">
        <f t="shared" si="41"/>
        <v>0</v>
      </c>
      <c r="H917" s="122"/>
      <c r="I917" s="28"/>
      <c r="J917" s="28"/>
    </row>
    <row r="918" spans="1:10" ht="21.95" customHeight="1">
      <c r="A918" s="14"/>
      <c r="B918" s="14"/>
      <c r="C918" s="18" t="s">
        <v>2093</v>
      </c>
      <c r="D918" s="19">
        <f>VLOOKUP(A906,'Neraca Unaudited SIMAK'!$A$2:$S$10004,12,FALSE)</f>
        <v>29967373086</v>
      </c>
      <c r="E918" s="19">
        <f>SUM(E909:E917)</f>
        <v>0</v>
      </c>
      <c r="F918" s="19">
        <f>SUM(F909:F917)</f>
        <v>0</v>
      </c>
      <c r="G918" s="19">
        <f t="shared" si="41"/>
        <v>29967373086</v>
      </c>
      <c r="H918" s="122"/>
      <c r="I918" s="28"/>
      <c r="J918" s="28"/>
    </row>
    <row r="919" spans="1:10" ht="21.95" customHeight="1">
      <c r="A919" s="14"/>
      <c r="B919" s="14"/>
      <c r="C919" s="16" t="s">
        <v>2087</v>
      </c>
      <c r="D919" s="17">
        <f>VLOOKUP(A906,'Neraca Unaudited SIMAK'!$A$2:$S$10004,13,FALSE)</f>
        <v>-2065683483</v>
      </c>
      <c r="E919" s="25">
        <f>SUMIFS('Daftar Koreksi'!$I$5:$I$92,'Daftar Koreksi'!$D$5:$D$92,'0200'!A906,'Daftar Koreksi'!$G$5:$G$92,"Peralatan dan mesin",'Daftar Koreksi'!$I$5:$I$92,"&gt;0")</f>
        <v>0</v>
      </c>
      <c r="F919" s="25">
        <f>SUMIFS('Daftar Koreksi'!$I$5:$I$92,'Daftar Koreksi'!$D$5:$D$92,'0200'!A906,'Daftar Koreksi'!$G$5:$G$92,"Peralatan dan mesin",'Daftar Koreksi'!$I$5:$I$92,"&lt;0")-SUMIFS('Daftar Koreksi'!$I$5:$I$92,'Daftar Koreksi'!$D$5:$D$92,'0200'!A906,'Daftar Koreksi'!$G$5:$G$92,"Peralatan dan mesin",'Daftar Koreksi'!$I$5:$I$92,"&lt;0")-SUMIFS('Daftar Koreksi'!$I$5:$I$92,'Daftar Koreksi'!$D$5:$D$92,'0200'!A906,'Daftar Koreksi'!$G$5:$G$92,"Peralatan dan mesin",'Daftar Koreksi'!$I$5:$I$92,"&lt;0")</f>
        <v>0</v>
      </c>
      <c r="G919" s="17">
        <f t="shared" si="41"/>
        <v>-2065683483</v>
      </c>
      <c r="H919" s="122"/>
      <c r="I919" s="28"/>
      <c r="J919" s="28"/>
    </row>
    <row r="920" spans="1:10" ht="21.95" customHeight="1">
      <c r="A920" s="14"/>
      <c r="B920" s="14"/>
      <c r="C920" s="16" t="s">
        <v>2088</v>
      </c>
      <c r="D920" s="17">
        <f>VLOOKUP(A906,'Neraca Unaudited SIMAK'!$A$2:$S$10004,14,FALSE)</f>
        <v>-4240536395</v>
      </c>
      <c r="E920" s="25">
        <f>SUMIFS('Daftar Koreksi'!$I$5:$I$92,'Daftar Koreksi'!$D$5:$D$92,'0200'!A906,'Daftar Koreksi'!$G$5:$G$92,"Gedung dan Bangunan",'Daftar Koreksi'!$I$5:$I$92,"&gt;0")</f>
        <v>0</v>
      </c>
      <c r="F920" s="25">
        <f>SUMIFS('Daftar Koreksi'!$I$5:$I$92,'Daftar Koreksi'!$D$5:$D$92,'0200'!A906,'Daftar Koreksi'!$G$5:$G$92,"Gedung dan Bangunan",'Daftar Koreksi'!$I$5:$I$92,"&lt;0")-SUMIFS('Daftar Koreksi'!$I$5:$I$92,'Daftar Koreksi'!$D$5:$D$92,'0200'!A906,'Daftar Koreksi'!$G$5:$G$92,"Gedung dan Bangunan",'Daftar Koreksi'!$I$5:$I$92,"&lt;0")-SUMIFS('Daftar Koreksi'!$I$5:$I$92,'Daftar Koreksi'!$D$5:$D$92,'0200'!A906,'Daftar Koreksi'!$G$5:$G$92,"Gedung dan Bangunan",'Daftar Koreksi'!$I$5:$I$92,"&lt;0")</f>
        <v>0</v>
      </c>
      <c r="G920" s="17">
        <f t="shared" si="41"/>
        <v>-4240536395</v>
      </c>
      <c r="H920" s="122"/>
      <c r="I920" s="28"/>
      <c r="J920" s="28"/>
    </row>
    <row r="921" spans="1:10" ht="21.95" customHeight="1">
      <c r="A921" s="14"/>
      <c r="B921" s="14"/>
      <c r="C921" s="16" t="s">
        <v>2089</v>
      </c>
      <c r="D921" s="17">
        <f>VLOOKUP(A906,'Neraca Unaudited SIMAK'!$A$2:$S$10004,15,FALSE)</f>
        <v>0</v>
      </c>
      <c r="E921" s="25">
        <f>SUMIFS('Daftar Koreksi'!$I$5:$I$92,'Daftar Koreksi'!$D$5:$D$92,'0200'!A906,'Daftar Koreksi'!$G$5:$G$92,"Jalan Irigasi Jaringan",'Daftar Koreksi'!$I$5:$I$92,"&gt;0")</f>
        <v>0</v>
      </c>
      <c r="F921" s="25">
        <f>SUMIFS('Daftar Koreksi'!$I$5:$I$92,'Daftar Koreksi'!$D$5:$D$92,'0200'!A906,'Daftar Koreksi'!$G$5:$G$92,"Jalan Irigasi Jaringan",'Daftar Koreksi'!$I$5:$I$92,"&lt;0")-SUMIFS('Daftar Koreksi'!$I$5:$I$92,'Daftar Koreksi'!$D$5:$D$92,'0200'!A906,'Daftar Koreksi'!$G$5:$G$92,"Jalan Irigasi Jaringan",'Daftar Koreksi'!$I$5:$I$92,"&lt;0")-SUMIFS('Daftar Koreksi'!$I$5:$I$92,'Daftar Koreksi'!$D$5:$D$92,'0200'!A906,'Daftar Koreksi'!$G$5:$G$92,"Jalan Irigasi Jaringan",'Daftar Koreksi'!$I$5:$I$92,"&lt;0")</f>
        <v>0</v>
      </c>
      <c r="G921" s="17">
        <f t="shared" si="41"/>
        <v>0</v>
      </c>
      <c r="H921" s="122"/>
      <c r="I921" s="28"/>
      <c r="J921" s="28"/>
    </row>
    <row r="922" spans="1:10" ht="21.95" customHeight="1">
      <c r="A922" s="14"/>
      <c r="B922" s="14"/>
      <c r="C922" s="16" t="s">
        <v>2090</v>
      </c>
      <c r="D922" s="17">
        <f>VLOOKUP(A906,'Neraca Unaudited SIMAK'!$A$2:$S$10004,16,FALSE)</f>
        <v>-8000000</v>
      </c>
      <c r="E922" s="25">
        <f>SUMIFS('Daftar Koreksi'!$I$5:$I$92,'Daftar Koreksi'!$D$5:$D$92,'0200'!A906,'Daftar Koreksi'!$G$5:$G$92,"Aset Tetap Lainnya",'Daftar Koreksi'!$I$5:$I$92,"&gt;0")</f>
        <v>0</v>
      </c>
      <c r="F922" s="25">
        <f>SUMIFS('Daftar Koreksi'!$I$5:$I$92,'Daftar Koreksi'!$D$5:$D$92,'0200'!A906,'Daftar Koreksi'!$G$5:$G$92,"Aset Tetap Lainnya",'Daftar Koreksi'!$I$5:$I$92,"&lt;0")-SUMIFS('Daftar Koreksi'!$I$5:$I$92,'Daftar Koreksi'!$D$5:$D$92,'0200'!A906,'Daftar Koreksi'!$G$5:$G$92,"Aset Tetap Lainnya",'Daftar Koreksi'!$I$5:$I$92,"&lt;0")-SUMIFS('Daftar Koreksi'!$I$5:$I$92,'Daftar Koreksi'!$D$5:$D$92,'0200'!A906,'Daftar Koreksi'!$G$5:$G$92,"Aset Tetap Lainnya",'Daftar Koreksi'!$I$5:$I$92,"&lt;0")</f>
        <v>0</v>
      </c>
      <c r="G922" s="17">
        <f t="shared" si="41"/>
        <v>-8000000</v>
      </c>
      <c r="H922" s="122"/>
      <c r="I922" s="28"/>
      <c r="J922" s="28"/>
    </row>
    <row r="923" spans="1:10" ht="21.95" customHeight="1">
      <c r="A923" s="14"/>
      <c r="B923" s="14"/>
      <c r="C923" s="16" t="s">
        <v>2020</v>
      </c>
      <c r="D923" s="17">
        <f>VLOOKUP(A906,'Neraca Unaudited SIMAK'!$A$2:$S$10004,17,FALSE)</f>
        <v>0</v>
      </c>
      <c r="E923" s="25">
        <f>SUMIFS('Daftar Koreksi'!$I$5:$I$92,'Daftar Koreksi'!$D$5:$D$92,'0200'!A906,'Daftar Koreksi'!$G$5:$G$92,"Aset Henti Guna",'Daftar Koreksi'!$I$5:$I$92,"&gt;0")</f>
        <v>0</v>
      </c>
      <c r="F923" s="25">
        <f>SUMIFS('Daftar Koreksi'!$I$5:$I$92,'Daftar Koreksi'!$D$5:$D$92,'0200'!A906,'Daftar Koreksi'!$G$5:$G$92,"Aset Henti Guna",'Daftar Koreksi'!$I$5:$I$92,"&lt;0")-SUMIFS('Daftar Koreksi'!$I$5:$I$92,'Daftar Koreksi'!$D$5:$D$92,'0200'!A906,'Daftar Koreksi'!$G$5:$G$92,"Aset Henti Guna",'Daftar Koreksi'!$I$5:$I$92,"&lt;0")-SUMIFS('Daftar Koreksi'!$I$5:$I$92,'Daftar Koreksi'!$D$5:$D$92,'0200'!A906,'Daftar Koreksi'!$G$5:$G$92,"Aset Henti Guna",'Daftar Koreksi'!$I$5:$I$92,"&lt;0")</f>
        <v>0</v>
      </c>
      <c r="G923" s="17">
        <f t="shared" si="41"/>
        <v>0</v>
      </c>
      <c r="H923" s="122"/>
      <c r="I923" s="28"/>
      <c r="J923" s="28"/>
    </row>
    <row r="924" spans="1:10" ht="21.95" customHeight="1">
      <c r="A924" s="14"/>
      <c r="B924" s="14"/>
      <c r="C924" s="18" t="s">
        <v>2094</v>
      </c>
      <c r="D924" s="19">
        <f>SUM(D919:D923)</f>
        <v>-6314219878</v>
      </c>
      <c r="E924" s="19">
        <f>SUM(E919:E923)</f>
        <v>0</v>
      </c>
      <c r="F924" s="19">
        <f>SUM(F919:F923)</f>
        <v>0</v>
      </c>
      <c r="G924" s="19">
        <f t="shared" si="41"/>
        <v>-6314219878</v>
      </c>
      <c r="H924" s="122"/>
      <c r="I924" s="28"/>
      <c r="J924" s="28"/>
    </row>
    <row r="925" spans="1:10" ht="21.95" customHeight="1">
      <c r="A925" s="14"/>
      <c r="B925" s="14"/>
      <c r="C925" s="18" t="s">
        <v>2095</v>
      </c>
      <c r="D925" s="19">
        <f>VLOOKUP(A906,'Neraca Unaudited SIMAK'!$A$2:$S$10004,18,FALSE)</f>
        <v>23653153208</v>
      </c>
      <c r="E925" s="19">
        <f>E924+E918</f>
        <v>0</v>
      </c>
      <c r="F925" s="19">
        <f>F924+F918</f>
        <v>0</v>
      </c>
      <c r="G925" s="19">
        <f t="shared" si="41"/>
        <v>23653153208</v>
      </c>
      <c r="H925" s="122"/>
      <c r="I925" s="28"/>
      <c r="J925" s="28"/>
    </row>
    <row r="926" spans="1:10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  <c r="I926" s="28"/>
      <c r="J926" s="28"/>
    </row>
    <row r="928" spans="1:10" ht="19.5" customHeight="1">
      <c r="A928" s="11" t="str">
        <f>O43</f>
        <v>005010200604719000KD</v>
      </c>
      <c r="B928" s="11" t="str">
        <f>P43</f>
        <v>PA. Cibinong</v>
      </c>
      <c r="C928" s="12" t="str">
        <f>A928&amp;" "&amp;B928</f>
        <v>005010200604719000KD PA. Cibinong</v>
      </c>
      <c r="D928" s="13"/>
      <c r="E928" s="13"/>
      <c r="F928" s="13"/>
      <c r="G928" s="13"/>
      <c r="H928" s="11"/>
    </row>
    <row r="929" spans="1:10" ht="21.95" customHeight="1">
      <c r="A929" s="14"/>
      <c r="B929" s="14"/>
      <c r="C929" s="124" t="s">
        <v>1982</v>
      </c>
      <c r="D929" s="126" t="s">
        <v>1983</v>
      </c>
      <c r="E929" s="132" t="s">
        <v>1984</v>
      </c>
      <c r="F929" s="132"/>
      <c r="G929" s="126" t="s">
        <v>1987</v>
      </c>
      <c r="H929" s="130" t="s">
        <v>1175</v>
      </c>
    </row>
    <row r="930" spans="1:10" ht="21.95" customHeight="1">
      <c r="A930" s="14"/>
      <c r="B930" s="14"/>
      <c r="C930" s="125"/>
      <c r="D930" s="127"/>
      <c r="E930" s="26" t="s">
        <v>1985</v>
      </c>
      <c r="F930" s="26" t="s">
        <v>1986</v>
      </c>
      <c r="G930" s="127"/>
      <c r="H930" s="131"/>
    </row>
    <row r="931" spans="1:10" ht="21.95" customHeight="1">
      <c r="A931" s="14"/>
      <c r="B931" s="14"/>
      <c r="C931" s="16" t="s">
        <v>1165</v>
      </c>
      <c r="D931" s="17">
        <f>VLOOKUP(A928,'Neraca Unaudited SIMAK'!$A$2:$S$10004,3,FALSE)</f>
        <v>327000</v>
      </c>
      <c r="E931" s="25">
        <f>SUMIFS('Daftar Koreksi'!$H$5:$H$92,'Daftar Koreksi'!$D$5:$D$92,'0200'!A928,'Daftar Koreksi'!$G$5:$G$92,"Persediaan",'Daftar Koreksi'!$H$5:$H$92,"&gt;0")</f>
        <v>0</v>
      </c>
      <c r="F931" s="25">
        <f>SUMIFS('Daftar Koreksi'!$H$5:$H$92,'Daftar Koreksi'!$D$5:$D$92,'0200'!A928,'Daftar Koreksi'!$G$5:$G$92,"Persediaan",'Daftar Koreksi'!$H$5:$H$92,"&lt;0")-SUMIFS('Daftar Koreksi'!$H$5:$H$92,'Daftar Koreksi'!$D$5:$D$92,'0200'!A928,'Daftar Koreksi'!$G$5:$G$92,"Persediaan",'Daftar Koreksi'!$H$5:$H$92,"&lt;0")-SUMIFS('Daftar Koreksi'!$H$5:$H$92,'Daftar Koreksi'!$D$5:$D$92,'0200'!A928,'Daftar Koreksi'!$G$5:$G$92,"Persediaan",'Daftar Koreksi'!$H$5:$H$92,"&lt;0")</f>
        <v>0</v>
      </c>
      <c r="G931" s="17">
        <f>D931+E931-F931</f>
        <v>327000</v>
      </c>
      <c r="H931" s="121" t="str">
        <f>IF(ISNA(VLOOKUP(A928,'Mutasi Neraca'!$A$3:$S$914,19,FALSE)),"-",VLOOKUP(A928,'Mutasi Neraca'!$A$3:$S$914,19,FALSE))</f>
        <v>TP. No 2</v>
      </c>
      <c r="I931" s="28"/>
      <c r="J931" s="28"/>
    </row>
    <row r="932" spans="1:10" ht="21.95" customHeight="1">
      <c r="A932" s="14"/>
      <c r="B932" s="14"/>
      <c r="C932" s="16" t="s">
        <v>1166</v>
      </c>
      <c r="D932" s="17">
        <f>VLOOKUP(A928,'Neraca Unaudited SIMAK'!$A$2:$S$10004,4,FALSE)</f>
        <v>0</v>
      </c>
      <c r="E932" s="25">
        <f>SUMIFS('Daftar Koreksi'!$H$5:$H$92,'Daftar Koreksi'!$D$5:$D$92,'0200'!A928,'Daftar Koreksi'!$G$5:$G$92,"Tanah",'Daftar Koreksi'!$H$5:$H$92,"&gt;0")</f>
        <v>0</v>
      </c>
      <c r="F932" s="25">
        <f>SUMIFS('Daftar Koreksi'!$H$5:$H$92,'Daftar Koreksi'!$D$5:$D$92,'0200'!A928,'Daftar Koreksi'!$G$5:$G$92,"Tanah",'Daftar Koreksi'!$H$5:$H$92,"&lt;0")-SUMIFS('Daftar Koreksi'!$H$5:$H$92,'Daftar Koreksi'!$D$5:$D$92,'0200'!A928,'Daftar Koreksi'!$G$5:$G$92,"Tanah",'Daftar Koreksi'!$H$5:$H$92,"&lt;0")-SUMIFS('Daftar Koreksi'!$H$5:$H$92,'Daftar Koreksi'!$D$5:$D$92,'0200'!A928,'Daftar Koreksi'!$G$5:$G$92,"Tanah",'Daftar Koreksi'!$H$5:$H$92,"&lt;0")</f>
        <v>0</v>
      </c>
      <c r="G932" s="17">
        <f t="shared" ref="G932:G948" si="42">D932+E932-F932</f>
        <v>0</v>
      </c>
      <c r="H932" s="122"/>
      <c r="I932" s="28"/>
      <c r="J932" s="28"/>
    </row>
    <row r="933" spans="1:10" ht="21.95" customHeight="1">
      <c r="A933" s="14"/>
      <c r="B933" s="14"/>
      <c r="C933" s="16" t="s">
        <v>1167</v>
      </c>
      <c r="D933" s="17">
        <f>VLOOKUP(A928,'Neraca Unaudited SIMAK'!$A$2:$S$10004,5,FALSE)</f>
        <v>2250657860</v>
      </c>
      <c r="E933" s="25">
        <f>SUMIFS('Daftar Koreksi'!$H$5:$H$92,'Daftar Koreksi'!$D$5:$D$92,'0200'!A928,'Daftar Koreksi'!$G$5:$G$92,"Peralatan dan mesin",'Daftar Koreksi'!$H$5:$H$92,"&gt;0")</f>
        <v>263600000</v>
      </c>
      <c r="F933" s="25">
        <f>SUMIFS('Daftar Koreksi'!$H$5:$H$92,'Daftar Koreksi'!$D$5:$D$92,'0200'!A928,'Daftar Koreksi'!$G$5:$G$92,"Peralatan dan mesin",'Daftar Koreksi'!$H$5:$H$92,"&lt;0")-SUMIFS('Daftar Koreksi'!$H$5:$H$92,'Daftar Koreksi'!$D$5:$D$92,'0200'!A928,'Daftar Koreksi'!$G$5:$G$92,"Peralatan dan mesin",'Daftar Koreksi'!$H$5:$H$92,"&lt;0")-SUMIFS('Daftar Koreksi'!$H$5:$H$92,'Daftar Koreksi'!$D$5:$D$92,'0200'!A928,'Daftar Koreksi'!$G$5:$G$92,"Peralatan dan mesin",'Daftar Koreksi'!$H$5:$H$92,"&lt;0")</f>
        <v>0</v>
      </c>
      <c r="G933" s="17">
        <f t="shared" si="42"/>
        <v>2514257860</v>
      </c>
      <c r="H933" s="122"/>
      <c r="I933" s="28"/>
      <c r="J933" s="28"/>
    </row>
    <row r="934" spans="1:10" ht="21.95" customHeight="1">
      <c r="A934" s="14"/>
      <c r="B934" s="14"/>
      <c r="C934" s="16" t="s">
        <v>1168</v>
      </c>
      <c r="D934" s="17">
        <f>VLOOKUP(A928,'Neraca Unaudited SIMAK'!$A$2:$S$10004,6,FALSE)</f>
        <v>6761234131</v>
      </c>
      <c r="E934" s="25">
        <f>SUMIFS('Daftar Koreksi'!$H$5:$H$92,'Daftar Koreksi'!$D$5:$D$92,'0200'!A928,'Daftar Koreksi'!$G$5:$G$92,"Gedung dan Bangunan",'Daftar Koreksi'!$H$5:$H$92,"&gt;0")</f>
        <v>0</v>
      </c>
      <c r="F934" s="25">
        <f>SUMIFS('Daftar Koreksi'!$H$5:$H$92,'Daftar Koreksi'!$D$5:$D$92,'0200'!A928,'Daftar Koreksi'!$G$5:$G$92,"Gedung dan Bangunan",'Daftar Koreksi'!$H$5:$H$92,"&lt;0")-SUMIFS('Daftar Koreksi'!$H$5:$H$92,'Daftar Koreksi'!$D$5:$D$92,'0200'!A928,'Daftar Koreksi'!$G$5:$G$92,"Gedung dan Bangunan",'Daftar Koreksi'!$H$5:$H$92,"&lt;0")-SUMIFS('Daftar Koreksi'!$H$5:$H$92,'Daftar Koreksi'!$D$5:$D$92,'0200'!A928,'Daftar Koreksi'!$G$5:$G$92,"Gedung dan Bangunan",'Daftar Koreksi'!$H$5:$H$92,"&lt;0")</f>
        <v>0</v>
      </c>
      <c r="G934" s="17">
        <f t="shared" si="42"/>
        <v>6761234131</v>
      </c>
      <c r="H934" s="122"/>
      <c r="I934" s="28"/>
      <c r="J934" s="28"/>
    </row>
    <row r="935" spans="1:10" ht="21.95" customHeight="1">
      <c r="A935" s="14"/>
      <c r="B935" s="14"/>
      <c r="C935" s="16" t="s">
        <v>1169</v>
      </c>
      <c r="D935" s="17">
        <f>VLOOKUP(A928,'Neraca Unaudited SIMAK'!$A$2:$S$10004,7,FALSE)</f>
        <v>64888000</v>
      </c>
      <c r="E935" s="25">
        <f>SUMIFS('Daftar Koreksi'!$H$5:$H$92,'Daftar Koreksi'!$D$5:$D$92,'0200'!A928,'Daftar Koreksi'!$G$5:$G$92,"Jalan Irigasi Jaringan",'Daftar Koreksi'!$H$5:$H$92,"&gt;0")</f>
        <v>0</v>
      </c>
      <c r="F935" s="25">
        <f>SUMIFS('Daftar Koreksi'!$H$5:$H$92,'Daftar Koreksi'!$D$5:$D$92,'0200'!A928,'Daftar Koreksi'!$G$5:$G$92,"Jalan Irigasi Jaringan",'Daftar Koreksi'!$H$5:$H$92,"&lt;0")-SUMIFS('Daftar Koreksi'!$H$5:$H$92,'Daftar Koreksi'!$D$5:$D$92,'0200'!A928,'Daftar Koreksi'!$G$5:$G$92,"Jalan Irigasi Jaringan",'Daftar Koreksi'!$H$5:$H$92,"&lt;0")-SUMIFS('Daftar Koreksi'!$H$5:$H$92,'Daftar Koreksi'!$D$5:$D$92,'0200'!A928,'Daftar Koreksi'!$G$5:$G$92,"Jalan Irigasi Jaringan",'Daftar Koreksi'!$H$5:$H$92,"&lt;0")</f>
        <v>0</v>
      </c>
      <c r="G935" s="17">
        <f t="shared" si="42"/>
        <v>64888000</v>
      </c>
      <c r="H935" s="122"/>
      <c r="I935" s="28"/>
      <c r="J935" s="28"/>
    </row>
    <row r="936" spans="1:10" ht="21.95" customHeight="1">
      <c r="A936" s="14"/>
      <c r="B936" s="14"/>
      <c r="C936" s="16" t="s">
        <v>1170</v>
      </c>
      <c r="D936" s="17">
        <f>VLOOKUP(A928,'Neraca Unaudited SIMAK'!$A$2:$S$10004,8,FALSE)</f>
        <v>4288000</v>
      </c>
      <c r="E936" s="25">
        <f>SUMIFS('Daftar Koreksi'!$H$5:$H$92,'Daftar Koreksi'!$D$5:$D$92,'0200'!A928,'Daftar Koreksi'!$G$5:$G$92,"Aset Tetap Lainnya",'Daftar Koreksi'!$H$5:$H$92,"&gt;0")</f>
        <v>0</v>
      </c>
      <c r="F936" s="25">
        <f>SUMIFS('Daftar Koreksi'!$H$5:$H$92,'Daftar Koreksi'!$D$5:$D$92,'0200'!A928,'Daftar Koreksi'!$G$5:$G$92,"Aset Tetap Lainnya",'Daftar Koreksi'!$H$5:$H$92,"&lt;0")-SUMIFS('Daftar Koreksi'!$H$5:$H$92,'Daftar Koreksi'!$D$5:$D$92,'0200'!A928,'Daftar Koreksi'!$G$5:$G$92,"Aset Tetap Lainnya",'Daftar Koreksi'!$H$5:$H$92,"&lt;0")-SUMIFS('Daftar Koreksi'!$H$5:$H$92,'Daftar Koreksi'!$D$5:$D$92,'0200'!A928,'Daftar Koreksi'!$G$5:$G$92,"Aset Tetap Lainnya",'Daftar Koreksi'!$H$5:$H$92,"&lt;0")</f>
        <v>0</v>
      </c>
      <c r="G936" s="17">
        <f t="shared" si="42"/>
        <v>4288000</v>
      </c>
      <c r="H936" s="122"/>
      <c r="I936" s="28"/>
      <c r="J936" s="28"/>
    </row>
    <row r="937" spans="1:10" ht="21.95" customHeight="1">
      <c r="A937" s="14"/>
      <c r="B937" s="14"/>
      <c r="C937" s="16" t="s">
        <v>1171</v>
      </c>
      <c r="D937" s="17">
        <f>VLOOKUP(A928,'Neraca Unaudited SIMAK'!$A$2:$S$10004,9,FALSE)</f>
        <v>0</v>
      </c>
      <c r="E937" s="25">
        <f>SUMIFS('Daftar Koreksi'!$H$5:$H$92,'Daftar Koreksi'!$D$5:$D$92,'0200'!A928,'Daftar Koreksi'!$G$5:$G$92,"Kontruksi Dalam Pengerjaan",'Daftar Koreksi'!$H$5:$H$92,"&gt;0")</f>
        <v>0</v>
      </c>
      <c r="F937" s="25">
        <f>SUMIFS('Daftar Koreksi'!$H$5:$H$92,'Daftar Koreksi'!$D$5:$D$92,'0200'!A928,'Daftar Koreksi'!$G$5:$G$92,"Kontruksi Dalam Pengerjaan",'Daftar Koreksi'!$H$5:$H$92,"&lt;0")-SUMIFS('Daftar Koreksi'!$H$5:$H$92,'Daftar Koreksi'!$D$5:$D$92,'0200'!A928,'Daftar Koreksi'!$G$5:$G$92,"Kontruksi Dalam Pengerjaan",'Daftar Koreksi'!$H$5:$H$92,"&lt;0")-SUMIFS('Daftar Koreksi'!$H$5:$H$92,'Daftar Koreksi'!$D$5:$D$92,'0200'!A928,'Daftar Koreksi'!$G$5:$G$92,"Kontruksi Dalam Pengerjaan",'Daftar Koreksi'!$H$5:$H$92,"&lt;0")</f>
        <v>0</v>
      </c>
      <c r="G937" s="17">
        <f t="shared" si="42"/>
        <v>0</v>
      </c>
      <c r="H937" s="122"/>
      <c r="I937" s="28"/>
      <c r="J937" s="28"/>
    </row>
    <row r="938" spans="1:10" ht="21.95" customHeight="1">
      <c r="A938" s="14"/>
      <c r="B938" s="14"/>
      <c r="C938" s="16" t="s">
        <v>1172</v>
      </c>
      <c r="D938" s="17">
        <f>VLOOKUP(A928,'Neraca Unaudited SIMAK'!$A$2:$S$10004,10,FALSE)</f>
        <v>39750000</v>
      </c>
      <c r="E938" s="25">
        <f>SUMIFS('Daftar Koreksi'!$H$5:$H$92,'Daftar Koreksi'!$D$5:$D$92,'0200'!A928,'Daftar Koreksi'!$G$5:$G$92,"Aset Tak Berwujud",'Daftar Koreksi'!$H$5:$H$92,"&gt;0")</f>
        <v>0</v>
      </c>
      <c r="F938" s="25">
        <f>SUMIFS('Daftar Koreksi'!$H$5:$H$92,'Daftar Koreksi'!$D$5:$D$92,'0200'!A928,'Daftar Koreksi'!$G$5:$G$92,"Aset Tak Berwujud",'Daftar Koreksi'!$H$5:$H$92,"&lt;0")-SUMIFS('Daftar Koreksi'!$H$5:$H$92,'Daftar Koreksi'!$D$5:$D$92,'0200'!A928,'Daftar Koreksi'!$G$5:$G$92,"Aset Tak Berwujud",'Daftar Koreksi'!$H$5:$H$92,"&lt;0")-SUMIFS('Daftar Koreksi'!$H$5:$H$92,'Daftar Koreksi'!$D$5:$D$92,'0200'!A928,'Daftar Koreksi'!$G$5:$G$92,"Aset Tak Berwujud",'Daftar Koreksi'!$H$5:$H$92,"&lt;0")</f>
        <v>0</v>
      </c>
      <c r="G938" s="17">
        <f t="shared" si="42"/>
        <v>39750000</v>
      </c>
      <c r="H938" s="122"/>
      <c r="I938" s="28"/>
      <c r="J938" s="28"/>
    </row>
    <row r="939" spans="1:10" ht="21.95" customHeight="1">
      <c r="A939" s="14"/>
      <c r="B939" s="14"/>
      <c r="C939" s="16" t="s">
        <v>1173</v>
      </c>
      <c r="D939" s="17">
        <f>VLOOKUP(A928,'Neraca Unaudited SIMAK'!$A$2:$S$10004,11,FALSE)</f>
        <v>107912237</v>
      </c>
      <c r="E939" s="25">
        <f>SUMIFS('Daftar Koreksi'!$H$5:$H$92,'Daftar Koreksi'!$D$5:$D$92,'0200'!A928,'Daftar Koreksi'!$G$5:$G$92,"Aset Henti Guna",'Daftar Koreksi'!$H$5:$H$92,"&gt;0")</f>
        <v>0</v>
      </c>
      <c r="F939" s="25">
        <f>SUMIFS('Daftar Koreksi'!$H$5:$H$92,'Daftar Koreksi'!$D$5:$D$92,'0200'!A928,'Daftar Koreksi'!$G$5:$G$92,"Aset Henti Guna",'Daftar Koreksi'!$H$5:$H$92,"&lt;0")-SUMIFS('Daftar Koreksi'!$H$5:$H$92,'Daftar Koreksi'!$D$5:$D$92,'0200'!A928,'Daftar Koreksi'!$G$5:$G$92,"Aset Henti Guna",'Daftar Koreksi'!$H$5:$H$92,"&lt;0")-SUMIFS('Daftar Koreksi'!$H$5:$H$92,'Daftar Koreksi'!$D$5:$D$92,'0200'!A928,'Daftar Koreksi'!$G$5:$G$92,"Aset Henti Guna",'Daftar Koreksi'!$H$5:$H$92,"&lt;0")</f>
        <v>0</v>
      </c>
      <c r="G939" s="17">
        <f t="shared" si="42"/>
        <v>107912237</v>
      </c>
      <c r="H939" s="122"/>
      <c r="I939" s="28"/>
      <c r="J939" s="28"/>
    </row>
    <row r="940" spans="1:10" ht="21.95" customHeight="1">
      <c r="A940" s="14"/>
      <c r="B940" s="14"/>
      <c r="C940" s="18" t="s">
        <v>2093</v>
      </c>
      <c r="D940" s="19">
        <f>VLOOKUP(A928,'Neraca Unaudited SIMAK'!$A$2:$S$10004,12,FALSE)</f>
        <v>9229057228</v>
      </c>
      <c r="E940" s="19">
        <f>SUM(E931:E939)</f>
        <v>263600000</v>
      </c>
      <c r="F940" s="19">
        <f>SUM(F931:F939)</f>
        <v>0</v>
      </c>
      <c r="G940" s="19">
        <f t="shared" si="42"/>
        <v>9492657228</v>
      </c>
      <c r="H940" s="122"/>
      <c r="I940" s="28"/>
      <c r="J940" s="28"/>
    </row>
    <row r="941" spans="1:10" ht="21.95" customHeight="1">
      <c r="A941" s="14"/>
      <c r="B941" s="14"/>
      <c r="C941" s="16" t="s">
        <v>2087</v>
      </c>
      <c r="D941" s="17">
        <f>VLOOKUP(A928,'Neraca Unaudited SIMAK'!$A$2:$S$10004,13,FALSE)</f>
        <v>-1430265178</v>
      </c>
      <c r="E941" s="25">
        <f>SUMIFS('Daftar Koreksi'!$I$5:$I$92,'Daftar Koreksi'!$D$5:$D$92,'0200'!A928,'Daftar Koreksi'!$G$5:$G$92,"Peralatan dan mesin",'Daftar Koreksi'!$I$5:$I$92,"&gt;0")</f>
        <v>0</v>
      </c>
      <c r="F941" s="25">
        <f>SUMIFS('Daftar Koreksi'!$I$5:$I$92,'Daftar Koreksi'!$D$5:$D$92,'0200'!A928,'Daftar Koreksi'!$G$5:$G$92,"Peralatan dan mesin",'Daftar Koreksi'!$I$5:$I$92,"&lt;0")-SUMIFS('Daftar Koreksi'!$I$5:$I$92,'Daftar Koreksi'!$D$5:$D$92,'0200'!A928,'Daftar Koreksi'!$G$5:$G$92,"Peralatan dan mesin",'Daftar Koreksi'!$I$5:$I$92,"&lt;0")-SUMIFS('Daftar Koreksi'!$I$5:$I$92,'Daftar Koreksi'!$D$5:$D$92,'0200'!A928,'Daftar Koreksi'!$G$5:$G$92,"Peralatan dan mesin",'Daftar Koreksi'!$I$5:$I$92,"&lt;0")</f>
        <v>263600000</v>
      </c>
      <c r="G941" s="17">
        <f t="shared" si="42"/>
        <v>-1693865178</v>
      </c>
      <c r="H941" s="122"/>
      <c r="I941" s="28"/>
      <c r="J941" s="28"/>
    </row>
    <row r="942" spans="1:10" ht="21.95" customHeight="1">
      <c r="A942" s="14"/>
      <c r="B942" s="14"/>
      <c r="C942" s="16" t="s">
        <v>2088</v>
      </c>
      <c r="D942" s="17">
        <f>VLOOKUP(A928,'Neraca Unaudited SIMAK'!$A$2:$S$10004,14,FALSE)</f>
        <v>-324276341</v>
      </c>
      <c r="E942" s="25">
        <f>SUMIFS('Daftar Koreksi'!$I$5:$I$92,'Daftar Koreksi'!$D$5:$D$92,'0200'!A928,'Daftar Koreksi'!$G$5:$G$92,"Gedung dan Bangunan",'Daftar Koreksi'!$I$5:$I$92,"&gt;0")</f>
        <v>0</v>
      </c>
      <c r="F942" s="25">
        <f>SUMIFS('Daftar Koreksi'!$I$5:$I$92,'Daftar Koreksi'!$D$5:$D$92,'0200'!A928,'Daftar Koreksi'!$G$5:$G$92,"Gedung dan Bangunan",'Daftar Koreksi'!$I$5:$I$92,"&lt;0")-SUMIFS('Daftar Koreksi'!$I$5:$I$92,'Daftar Koreksi'!$D$5:$D$92,'0200'!A928,'Daftar Koreksi'!$G$5:$G$92,"Gedung dan Bangunan",'Daftar Koreksi'!$I$5:$I$92,"&lt;0")-SUMIFS('Daftar Koreksi'!$I$5:$I$92,'Daftar Koreksi'!$D$5:$D$92,'0200'!A928,'Daftar Koreksi'!$G$5:$G$92,"Gedung dan Bangunan",'Daftar Koreksi'!$I$5:$I$92,"&lt;0")</f>
        <v>0</v>
      </c>
      <c r="G942" s="17">
        <f t="shared" si="42"/>
        <v>-324276341</v>
      </c>
      <c r="H942" s="122"/>
      <c r="I942" s="28"/>
      <c r="J942" s="28"/>
    </row>
    <row r="943" spans="1:10" ht="21.95" customHeight="1">
      <c r="A943" s="14"/>
      <c r="B943" s="14"/>
      <c r="C943" s="16" t="s">
        <v>2089</v>
      </c>
      <c r="D943" s="17">
        <f>VLOOKUP(A928,'Neraca Unaudited SIMAK'!$A$2:$S$10004,15,FALSE)</f>
        <v>-64888000</v>
      </c>
      <c r="E943" s="25">
        <f>SUMIFS('Daftar Koreksi'!$I$5:$I$92,'Daftar Koreksi'!$D$5:$D$92,'0200'!A928,'Daftar Koreksi'!$G$5:$G$92,"Jalan Irigasi Jaringan",'Daftar Koreksi'!$I$5:$I$92,"&gt;0")</f>
        <v>0</v>
      </c>
      <c r="F943" s="25">
        <f>SUMIFS('Daftar Koreksi'!$I$5:$I$92,'Daftar Koreksi'!$D$5:$D$92,'0200'!A928,'Daftar Koreksi'!$G$5:$G$92,"Jalan Irigasi Jaringan",'Daftar Koreksi'!$I$5:$I$92,"&lt;0")-SUMIFS('Daftar Koreksi'!$I$5:$I$92,'Daftar Koreksi'!$D$5:$D$92,'0200'!A928,'Daftar Koreksi'!$G$5:$G$92,"Jalan Irigasi Jaringan",'Daftar Koreksi'!$I$5:$I$92,"&lt;0")-SUMIFS('Daftar Koreksi'!$I$5:$I$92,'Daftar Koreksi'!$D$5:$D$92,'0200'!A928,'Daftar Koreksi'!$G$5:$G$92,"Jalan Irigasi Jaringan",'Daftar Koreksi'!$I$5:$I$92,"&lt;0")</f>
        <v>0</v>
      </c>
      <c r="G943" s="17">
        <f t="shared" si="42"/>
        <v>-64888000</v>
      </c>
      <c r="H943" s="122"/>
      <c r="I943" s="28"/>
      <c r="J943" s="28"/>
    </row>
    <row r="944" spans="1:10" ht="21.95" customHeight="1">
      <c r="A944" s="14"/>
      <c r="B944" s="14"/>
      <c r="C944" s="16" t="s">
        <v>2090</v>
      </c>
      <c r="D944" s="17">
        <f>VLOOKUP(A928,'Neraca Unaudited SIMAK'!$A$2:$S$10004,16,FALSE)</f>
        <v>0</v>
      </c>
      <c r="E944" s="25">
        <f>SUMIFS('Daftar Koreksi'!$I$5:$I$92,'Daftar Koreksi'!$D$5:$D$92,'0200'!A928,'Daftar Koreksi'!$G$5:$G$92,"Aset Tetap Lainnya",'Daftar Koreksi'!$I$5:$I$92,"&gt;0")</f>
        <v>0</v>
      </c>
      <c r="F944" s="25">
        <f>SUMIFS('Daftar Koreksi'!$I$5:$I$92,'Daftar Koreksi'!$D$5:$D$92,'0200'!A928,'Daftar Koreksi'!$G$5:$G$92,"Aset Tetap Lainnya",'Daftar Koreksi'!$I$5:$I$92,"&lt;0")-SUMIFS('Daftar Koreksi'!$I$5:$I$92,'Daftar Koreksi'!$D$5:$D$92,'0200'!A928,'Daftar Koreksi'!$G$5:$G$92,"Aset Tetap Lainnya",'Daftar Koreksi'!$I$5:$I$92,"&lt;0")-SUMIFS('Daftar Koreksi'!$I$5:$I$92,'Daftar Koreksi'!$D$5:$D$92,'0200'!A928,'Daftar Koreksi'!$G$5:$G$92,"Aset Tetap Lainnya",'Daftar Koreksi'!$I$5:$I$92,"&lt;0")</f>
        <v>0</v>
      </c>
      <c r="G944" s="17">
        <f t="shared" si="42"/>
        <v>0</v>
      </c>
      <c r="H944" s="122"/>
      <c r="I944" s="28"/>
      <c r="J944" s="28"/>
    </row>
    <row r="945" spans="1:10" ht="21.95" customHeight="1">
      <c r="A945" s="14"/>
      <c r="B945" s="14"/>
      <c r="C945" s="16" t="s">
        <v>2020</v>
      </c>
      <c r="D945" s="17">
        <f>VLOOKUP(A928,'Neraca Unaudited SIMAK'!$A$2:$S$10004,17,FALSE)</f>
        <v>-107912237</v>
      </c>
      <c r="E945" s="25">
        <f>SUMIFS('Daftar Koreksi'!$I$5:$I$92,'Daftar Koreksi'!$D$5:$D$92,'0200'!A928,'Daftar Koreksi'!$G$5:$G$92,"Aset Henti Guna",'Daftar Koreksi'!$I$5:$I$92,"&gt;0")</f>
        <v>0</v>
      </c>
      <c r="F945" s="25">
        <f>SUMIFS('Daftar Koreksi'!$I$5:$I$92,'Daftar Koreksi'!$D$5:$D$92,'0200'!A928,'Daftar Koreksi'!$G$5:$G$92,"Aset Henti Guna",'Daftar Koreksi'!$I$5:$I$92,"&lt;0")-SUMIFS('Daftar Koreksi'!$I$5:$I$92,'Daftar Koreksi'!$D$5:$D$92,'0200'!A928,'Daftar Koreksi'!$G$5:$G$92,"Aset Henti Guna",'Daftar Koreksi'!$I$5:$I$92,"&lt;0")-SUMIFS('Daftar Koreksi'!$I$5:$I$92,'Daftar Koreksi'!$D$5:$D$92,'0200'!A928,'Daftar Koreksi'!$G$5:$G$92,"Aset Henti Guna",'Daftar Koreksi'!$I$5:$I$92,"&lt;0")</f>
        <v>0</v>
      </c>
      <c r="G945" s="17">
        <f t="shared" si="42"/>
        <v>-107912237</v>
      </c>
      <c r="H945" s="122"/>
      <c r="I945" s="28"/>
      <c r="J945" s="28"/>
    </row>
    <row r="946" spans="1:10" ht="21.95" customHeight="1">
      <c r="A946" s="14"/>
      <c r="B946" s="14"/>
      <c r="C946" s="18" t="s">
        <v>2094</v>
      </c>
      <c r="D946" s="19">
        <f>SUM(D941:D945)</f>
        <v>-1927341756</v>
      </c>
      <c r="E946" s="19">
        <f>SUM(E941:E945)</f>
        <v>0</v>
      </c>
      <c r="F946" s="19">
        <f>SUM(F941:F945)</f>
        <v>263600000</v>
      </c>
      <c r="G946" s="19">
        <f t="shared" si="42"/>
        <v>-2190941756</v>
      </c>
      <c r="H946" s="122"/>
      <c r="I946" s="28"/>
      <c r="J946" s="28"/>
    </row>
    <row r="947" spans="1:10" ht="21.95" customHeight="1">
      <c r="A947" s="14"/>
      <c r="B947" s="14"/>
      <c r="C947" s="18" t="s">
        <v>2095</v>
      </c>
      <c r="D947" s="19">
        <f>VLOOKUP(A928,'Neraca Unaudited SIMAK'!$A$2:$S$10004,18,FALSE)</f>
        <v>7301715472</v>
      </c>
      <c r="E947" s="19">
        <f>E946+E940</f>
        <v>263600000</v>
      </c>
      <c r="F947" s="19">
        <f>F946+F940</f>
        <v>263600000</v>
      </c>
      <c r="G947" s="19">
        <f t="shared" si="42"/>
        <v>7301715472</v>
      </c>
      <c r="H947" s="122"/>
      <c r="I947" s="28"/>
      <c r="J947" s="28"/>
    </row>
    <row r="948" spans="1:10" ht="21.95" customHeight="1">
      <c r="A948" s="14"/>
      <c r="B948" s="14"/>
      <c r="C948" s="16" t="s">
        <v>2091</v>
      </c>
      <c r="D948" s="17">
        <f>VLOOKUP(A928,'Neraca Unaudited SIMAK'!$A$2:$S$10004,19,FALSE)</f>
        <v>0</v>
      </c>
      <c r="E948" s="25"/>
      <c r="F948" s="25"/>
      <c r="G948" s="17">
        <f t="shared" si="42"/>
        <v>0</v>
      </c>
      <c r="H948" s="123"/>
      <c r="I948" s="28"/>
      <c r="J948" s="28"/>
    </row>
    <row r="950" spans="1:10" ht="19.5" customHeight="1">
      <c r="A950" s="11" t="str">
        <f>O44</f>
        <v>005010200613519000KD</v>
      </c>
      <c r="B950" s="11" t="str">
        <f>P44</f>
        <v>PN. Kab. Bogor di Cibinong, Jawa Barat</v>
      </c>
      <c r="C950" s="12" t="str">
        <f>A950&amp;" "&amp;B950</f>
        <v>005010200613519000KD PN. Kab. Bogor di Cibinong, Jawa Barat</v>
      </c>
      <c r="D950" s="13"/>
      <c r="E950" s="13"/>
      <c r="F950" s="13"/>
      <c r="G950" s="13"/>
      <c r="H950" s="11"/>
    </row>
    <row r="951" spans="1:10" ht="21.95" customHeight="1">
      <c r="A951" s="14"/>
      <c r="B951" s="14"/>
      <c r="C951" s="124" t="s">
        <v>1982</v>
      </c>
      <c r="D951" s="126" t="s">
        <v>1983</v>
      </c>
      <c r="E951" s="132" t="s">
        <v>1984</v>
      </c>
      <c r="F951" s="132"/>
      <c r="G951" s="126" t="s">
        <v>1987</v>
      </c>
      <c r="H951" s="130" t="s">
        <v>1175</v>
      </c>
    </row>
    <row r="952" spans="1:10" ht="21.95" customHeight="1">
      <c r="A952" s="14"/>
      <c r="B952" s="14"/>
      <c r="C952" s="125"/>
      <c r="D952" s="127"/>
      <c r="E952" s="26" t="s">
        <v>1985</v>
      </c>
      <c r="F952" s="26" t="s">
        <v>1986</v>
      </c>
      <c r="G952" s="127"/>
      <c r="H952" s="131"/>
    </row>
    <row r="953" spans="1:10" ht="21.95" customHeight="1">
      <c r="A953" s="14"/>
      <c r="B953" s="14"/>
      <c r="C953" s="16" t="s">
        <v>1165</v>
      </c>
      <c r="D953" s="17">
        <f>VLOOKUP(A950,'Neraca Unaudited SIMAK'!$A$2:$S$10004,3,FALSE)</f>
        <v>6012870</v>
      </c>
      <c r="E953" s="25">
        <f>SUMIFS('Daftar Koreksi'!$H$5:$H$92,'Daftar Koreksi'!$D$5:$D$92,'0200'!A950,'Daftar Koreksi'!$G$5:$G$92,"Persediaan",'Daftar Koreksi'!$H$5:$H$92,"&gt;0")</f>
        <v>0</v>
      </c>
      <c r="F953" s="25">
        <f>SUMIFS('Daftar Koreksi'!$H$5:$H$92,'Daftar Koreksi'!$D$5:$D$92,'0200'!A950,'Daftar Koreksi'!$G$5:$G$92,"Persediaan",'Daftar Koreksi'!$H$5:$H$92,"&lt;0")-SUMIFS('Daftar Koreksi'!$H$5:$H$92,'Daftar Koreksi'!$D$5:$D$92,'0200'!A950,'Daftar Koreksi'!$G$5:$G$92,"Persediaan",'Daftar Koreksi'!$H$5:$H$92,"&lt;0")-SUMIFS('Daftar Koreksi'!$H$5:$H$92,'Daftar Koreksi'!$D$5:$D$92,'0200'!A950,'Daftar Koreksi'!$G$5:$G$92,"Persediaan",'Daftar Koreksi'!$H$5:$H$92,"&lt;0")</f>
        <v>0</v>
      </c>
      <c r="G953" s="17">
        <f>D953+E953-F953</f>
        <v>6012870</v>
      </c>
      <c r="H953" s="121" t="str">
        <f>IF(ISNA(VLOOKUP(A950,'Mutasi Neraca'!$A$3:$S$914,19,FALSE)),"-",VLOOKUP(A950,'Mutasi Neraca'!$A$3:$S$914,19,FALSE))</f>
        <v>-</v>
      </c>
    </row>
    <row r="954" spans="1:10" ht="21.95" customHeight="1">
      <c r="A954" s="14"/>
      <c r="B954" s="14"/>
      <c r="C954" s="16" t="s">
        <v>1166</v>
      </c>
      <c r="D954" s="17">
        <f>VLOOKUP(A950,'Neraca Unaudited SIMAK'!$A$2:$S$10004,4,FALSE)</f>
        <v>9523572000</v>
      </c>
      <c r="E954" s="25">
        <f>SUMIFS('Daftar Koreksi'!$H$5:$H$92,'Daftar Koreksi'!$D$5:$D$92,'0200'!A950,'Daftar Koreksi'!$G$5:$G$92,"Tanah",'Daftar Koreksi'!$H$5:$H$92,"&gt;0")</f>
        <v>0</v>
      </c>
      <c r="F954" s="25">
        <f>SUMIFS('Daftar Koreksi'!$H$5:$H$92,'Daftar Koreksi'!$D$5:$D$92,'0200'!A950,'Daftar Koreksi'!$G$5:$G$92,"Tanah",'Daftar Koreksi'!$H$5:$H$92,"&lt;0")-SUMIFS('Daftar Koreksi'!$H$5:$H$92,'Daftar Koreksi'!$D$5:$D$92,'0200'!A950,'Daftar Koreksi'!$G$5:$G$92,"Tanah",'Daftar Koreksi'!$H$5:$H$92,"&lt;0")-SUMIFS('Daftar Koreksi'!$H$5:$H$92,'Daftar Koreksi'!$D$5:$D$92,'0200'!A950,'Daftar Koreksi'!$G$5:$G$92,"Tanah",'Daftar Koreksi'!$H$5:$H$92,"&lt;0")</f>
        <v>0</v>
      </c>
      <c r="G954" s="17">
        <f t="shared" ref="G954:G970" si="43">D954+E954-F954</f>
        <v>9523572000</v>
      </c>
      <c r="H954" s="122"/>
    </row>
    <row r="955" spans="1:10" ht="21.95" customHeight="1">
      <c r="A955" s="14"/>
      <c r="B955" s="14"/>
      <c r="C955" s="16" t="s">
        <v>1167</v>
      </c>
      <c r="D955" s="17">
        <f>VLOOKUP(A950,'Neraca Unaudited SIMAK'!$A$2:$S$10004,5,FALSE)</f>
        <v>2823207347</v>
      </c>
      <c r="E955" s="25">
        <f>SUMIFS('Daftar Koreksi'!$H$5:$H$92,'Daftar Koreksi'!$D$5:$D$92,'0200'!A950,'Daftar Koreksi'!$G$5:$G$92,"Peralatan dan mesin",'Daftar Koreksi'!$H$5:$H$92,"&gt;0")</f>
        <v>0</v>
      </c>
      <c r="F955" s="25">
        <f>SUMIFS('Daftar Koreksi'!$H$5:$H$92,'Daftar Koreksi'!$D$5:$D$92,'0200'!A950,'Daftar Koreksi'!$G$5:$G$92,"Peralatan dan mesin",'Daftar Koreksi'!$H$5:$H$92,"&lt;0")-SUMIFS('Daftar Koreksi'!$H$5:$H$92,'Daftar Koreksi'!$D$5:$D$92,'0200'!A950,'Daftar Koreksi'!$G$5:$G$92,"Peralatan dan mesin",'Daftar Koreksi'!$H$5:$H$92,"&lt;0")-SUMIFS('Daftar Koreksi'!$H$5:$H$92,'Daftar Koreksi'!$D$5:$D$92,'0200'!A950,'Daftar Koreksi'!$G$5:$G$92,"Peralatan dan mesin",'Daftar Koreksi'!$H$5:$H$92,"&lt;0")</f>
        <v>0</v>
      </c>
      <c r="G955" s="17">
        <f t="shared" si="43"/>
        <v>2823207347</v>
      </c>
      <c r="H955" s="122"/>
    </row>
    <row r="956" spans="1:10" ht="21.95" customHeight="1">
      <c r="A956" s="14"/>
      <c r="B956" s="14"/>
      <c r="C956" s="16" t="s">
        <v>1168</v>
      </c>
      <c r="D956" s="17">
        <f>VLOOKUP(A950,'Neraca Unaudited SIMAK'!$A$2:$S$10004,6,FALSE)</f>
        <v>7198572000</v>
      </c>
      <c r="E956" s="25">
        <f>SUMIFS('Daftar Koreksi'!$H$5:$H$92,'Daftar Koreksi'!$D$5:$D$92,'0200'!A950,'Daftar Koreksi'!$G$5:$G$92,"Gedung dan Bangunan",'Daftar Koreksi'!$H$5:$H$92,"&gt;0")</f>
        <v>0</v>
      </c>
      <c r="F956" s="25">
        <f>SUMIFS('Daftar Koreksi'!$H$5:$H$92,'Daftar Koreksi'!$D$5:$D$92,'0200'!A950,'Daftar Koreksi'!$G$5:$G$92,"Gedung dan Bangunan",'Daftar Koreksi'!$H$5:$H$92,"&lt;0")-SUMIFS('Daftar Koreksi'!$H$5:$H$92,'Daftar Koreksi'!$D$5:$D$92,'0200'!A950,'Daftar Koreksi'!$G$5:$G$92,"Gedung dan Bangunan",'Daftar Koreksi'!$H$5:$H$92,"&lt;0")-SUMIFS('Daftar Koreksi'!$H$5:$H$92,'Daftar Koreksi'!$D$5:$D$92,'0200'!A950,'Daftar Koreksi'!$G$5:$G$92,"Gedung dan Bangunan",'Daftar Koreksi'!$H$5:$H$92,"&lt;0")</f>
        <v>0</v>
      </c>
      <c r="G956" s="17">
        <f t="shared" si="43"/>
        <v>7198572000</v>
      </c>
      <c r="H956" s="122"/>
    </row>
    <row r="957" spans="1:10" ht="21.95" customHeight="1">
      <c r="A957" s="14"/>
      <c r="B957" s="14"/>
      <c r="C957" s="16" t="s">
        <v>1169</v>
      </c>
      <c r="D957" s="17">
        <f>VLOOKUP(A950,'Neraca Unaudited SIMAK'!$A$2:$S$10004,7,FALSE)</f>
        <v>582694800</v>
      </c>
      <c r="E957" s="25">
        <f>SUMIFS('Daftar Koreksi'!$H$5:$H$92,'Daftar Koreksi'!$D$5:$D$92,'0200'!A950,'Daftar Koreksi'!$G$5:$G$92,"Jalan Irigasi Jaringan",'Daftar Koreksi'!$H$5:$H$92,"&gt;0")</f>
        <v>0</v>
      </c>
      <c r="F957" s="25">
        <f>SUMIFS('Daftar Koreksi'!$H$5:$H$92,'Daftar Koreksi'!$D$5:$D$92,'0200'!A950,'Daftar Koreksi'!$G$5:$G$92,"Jalan Irigasi Jaringan",'Daftar Koreksi'!$H$5:$H$92,"&lt;0")-SUMIFS('Daftar Koreksi'!$H$5:$H$92,'Daftar Koreksi'!$D$5:$D$92,'0200'!A950,'Daftar Koreksi'!$G$5:$G$92,"Jalan Irigasi Jaringan",'Daftar Koreksi'!$H$5:$H$92,"&lt;0")-SUMIFS('Daftar Koreksi'!$H$5:$H$92,'Daftar Koreksi'!$D$5:$D$92,'0200'!A950,'Daftar Koreksi'!$G$5:$G$92,"Jalan Irigasi Jaringan",'Daftar Koreksi'!$H$5:$H$92,"&lt;0")</f>
        <v>0</v>
      </c>
      <c r="G957" s="17">
        <f t="shared" si="43"/>
        <v>582694800</v>
      </c>
      <c r="H957" s="122"/>
    </row>
    <row r="958" spans="1:10" ht="21.95" customHeight="1">
      <c r="A958" s="14"/>
      <c r="B958" s="14"/>
      <c r="C958" s="16" t="s">
        <v>1170</v>
      </c>
      <c r="D958" s="17">
        <f>VLOOKUP(A950,'Neraca Unaudited SIMAK'!$A$2:$S$10004,8,FALSE)</f>
        <v>17254962</v>
      </c>
      <c r="E958" s="25">
        <f>SUMIFS('Daftar Koreksi'!$H$5:$H$92,'Daftar Koreksi'!$D$5:$D$92,'0200'!A950,'Daftar Koreksi'!$G$5:$G$92,"Aset Tetap Lainnya",'Daftar Koreksi'!$H$5:$H$92,"&gt;0")</f>
        <v>0</v>
      </c>
      <c r="F958" s="25">
        <f>SUMIFS('Daftar Koreksi'!$H$5:$H$92,'Daftar Koreksi'!$D$5:$D$92,'0200'!A950,'Daftar Koreksi'!$G$5:$G$92,"Aset Tetap Lainnya",'Daftar Koreksi'!$H$5:$H$92,"&lt;0")-SUMIFS('Daftar Koreksi'!$H$5:$H$92,'Daftar Koreksi'!$D$5:$D$92,'0200'!A950,'Daftar Koreksi'!$G$5:$G$92,"Aset Tetap Lainnya",'Daftar Koreksi'!$H$5:$H$92,"&lt;0")-SUMIFS('Daftar Koreksi'!$H$5:$H$92,'Daftar Koreksi'!$D$5:$D$92,'0200'!A950,'Daftar Koreksi'!$G$5:$G$92,"Aset Tetap Lainnya",'Daftar Koreksi'!$H$5:$H$92,"&lt;0")</f>
        <v>0</v>
      </c>
      <c r="G958" s="17">
        <f t="shared" si="43"/>
        <v>17254962</v>
      </c>
      <c r="H958" s="122"/>
    </row>
    <row r="959" spans="1:10" ht="21.95" customHeight="1">
      <c r="A959" s="14"/>
      <c r="B959" s="14"/>
      <c r="C959" s="16" t="s">
        <v>1171</v>
      </c>
      <c r="D959" s="17">
        <f>VLOOKUP(A950,'Neraca Unaudited SIMAK'!$A$2:$S$10004,9,FALSE)</f>
        <v>0</v>
      </c>
      <c r="E959" s="25">
        <f>SUMIFS('Daftar Koreksi'!$H$5:$H$92,'Daftar Koreksi'!$D$5:$D$92,'0200'!A950,'Daftar Koreksi'!$G$5:$G$92,"Kontruksi Dalam Pengerjaan",'Daftar Koreksi'!$H$5:$H$92,"&gt;0")</f>
        <v>0</v>
      </c>
      <c r="F959" s="25">
        <f>SUMIFS('Daftar Koreksi'!$H$5:$H$92,'Daftar Koreksi'!$D$5:$D$92,'0200'!A950,'Daftar Koreksi'!$G$5:$G$92,"Kontruksi Dalam Pengerjaan",'Daftar Koreksi'!$H$5:$H$92,"&lt;0")-SUMIFS('Daftar Koreksi'!$H$5:$H$92,'Daftar Koreksi'!$D$5:$D$92,'0200'!A950,'Daftar Koreksi'!$G$5:$G$92,"Kontruksi Dalam Pengerjaan",'Daftar Koreksi'!$H$5:$H$92,"&lt;0")-SUMIFS('Daftar Koreksi'!$H$5:$H$92,'Daftar Koreksi'!$D$5:$D$92,'0200'!A950,'Daftar Koreksi'!$G$5:$G$92,"Kontruksi Dalam Pengerjaan",'Daftar Koreksi'!$H$5:$H$92,"&lt;0")</f>
        <v>0</v>
      </c>
      <c r="G959" s="17">
        <f t="shared" si="43"/>
        <v>0</v>
      </c>
      <c r="H959" s="122"/>
    </row>
    <row r="960" spans="1:10" ht="21.95" customHeight="1">
      <c r="A960" s="14"/>
      <c r="B960" s="14"/>
      <c r="C960" s="16" t="s">
        <v>1172</v>
      </c>
      <c r="D960" s="17">
        <f>VLOOKUP(A950,'Neraca Unaudited SIMAK'!$A$2:$S$10004,10,FALSE)</f>
        <v>84470000</v>
      </c>
      <c r="E960" s="25">
        <f>SUMIFS('Daftar Koreksi'!$H$5:$H$92,'Daftar Koreksi'!$D$5:$D$92,'0200'!A950,'Daftar Koreksi'!$G$5:$G$92,"Aset Tak Berwujud",'Daftar Koreksi'!$H$5:$H$92,"&gt;0")</f>
        <v>0</v>
      </c>
      <c r="F960" s="25">
        <f>SUMIFS('Daftar Koreksi'!$H$5:$H$92,'Daftar Koreksi'!$D$5:$D$92,'0200'!A950,'Daftar Koreksi'!$G$5:$G$92,"Aset Tak Berwujud",'Daftar Koreksi'!$H$5:$H$92,"&lt;0")-SUMIFS('Daftar Koreksi'!$H$5:$H$92,'Daftar Koreksi'!$D$5:$D$92,'0200'!A950,'Daftar Koreksi'!$G$5:$G$92,"Aset Tak Berwujud",'Daftar Koreksi'!$H$5:$H$92,"&lt;0")-SUMIFS('Daftar Koreksi'!$H$5:$H$92,'Daftar Koreksi'!$D$5:$D$92,'0200'!A950,'Daftar Koreksi'!$G$5:$G$92,"Aset Tak Berwujud",'Daftar Koreksi'!$H$5:$H$92,"&lt;0")</f>
        <v>0</v>
      </c>
      <c r="G960" s="17">
        <f t="shared" si="43"/>
        <v>84470000</v>
      </c>
      <c r="H960" s="122"/>
    </row>
    <row r="961" spans="1:8" ht="21.95" customHeight="1">
      <c r="A961" s="14"/>
      <c r="B961" s="14"/>
      <c r="C961" s="16" t="s">
        <v>1173</v>
      </c>
      <c r="D961" s="17">
        <f>VLOOKUP(A950,'Neraca Unaudited SIMAK'!$A$2:$S$10004,11,FALSE)</f>
        <v>110791777</v>
      </c>
      <c r="E961" s="25">
        <f>SUMIFS('Daftar Koreksi'!$H$5:$H$92,'Daftar Koreksi'!$D$5:$D$92,'0200'!A950,'Daftar Koreksi'!$G$5:$G$92,"Aset Henti Guna",'Daftar Koreksi'!$H$5:$H$92,"&gt;0")</f>
        <v>0</v>
      </c>
      <c r="F961" s="25">
        <f>SUMIFS('Daftar Koreksi'!$H$5:$H$92,'Daftar Koreksi'!$D$5:$D$92,'0200'!A950,'Daftar Koreksi'!$G$5:$G$92,"Aset Henti Guna",'Daftar Koreksi'!$H$5:$H$92,"&lt;0")-SUMIFS('Daftar Koreksi'!$H$5:$H$92,'Daftar Koreksi'!$D$5:$D$92,'0200'!A950,'Daftar Koreksi'!$G$5:$G$92,"Aset Henti Guna",'Daftar Koreksi'!$H$5:$H$92,"&lt;0")-SUMIFS('Daftar Koreksi'!$H$5:$H$92,'Daftar Koreksi'!$D$5:$D$92,'0200'!A950,'Daftar Koreksi'!$G$5:$G$92,"Aset Henti Guna",'Daftar Koreksi'!$H$5:$H$92,"&lt;0")</f>
        <v>0</v>
      </c>
      <c r="G961" s="17">
        <f t="shared" si="43"/>
        <v>110791777</v>
      </c>
      <c r="H961" s="122"/>
    </row>
    <row r="962" spans="1:8" ht="21.95" customHeight="1">
      <c r="A962" s="14"/>
      <c r="B962" s="14"/>
      <c r="C962" s="18" t="s">
        <v>2093</v>
      </c>
      <c r="D962" s="19">
        <f>VLOOKUP(A950,'Neraca Unaudited SIMAK'!$A$2:$S$10004,12,FALSE)</f>
        <v>20346575756</v>
      </c>
      <c r="E962" s="19">
        <f>SUM(E953:E961)</f>
        <v>0</v>
      </c>
      <c r="F962" s="19">
        <f>SUM(F953:F961)</f>
        <v>0</v>
      </c>
      <c r="G962" s="19">
        <f t="shared" si="43"/>
        <v>20346575756</v>
      </c>
      <c r="H962" s="122"/>
    </row>
    <row r="963" spans="1:8" ht="21.95" customHeight="1">
      <c r="A963" s="14"/>
      <c r="B963" s="14"/>
      <c r="C963" s="16" t="s">
        <v>2087</v>
      </c>
      <c r="D963" s="17">
        <f>VLOOKUP(A950,'Neraca Unaudited SIMAK'!$A$2:$S$10004,13,FALSE)</f>
        <v>-2248807980</v>
      </c>
      <c r="E963" s="25">
        <f>SUMIFS('Daftar Koreksi'!$I$5:$I$92,'Daftar Koreksi'!$D$5:$D$92,'0200'!A950,'Daftar Koreksi'!$G$5:$G$92,"Peralatan dan mesin",'Daftar Koreksi'!$I$5:$I$92,"&gt;0")</f>
        <v>0</v>
      </c>
      <c r="F963" s="25">
        <f>SUMIFS('Daftar Koreksi'!$I$5:$I$92,'Daftar Koreksi'!$D$5:$D$92,'0200'!A950,'Daftar Koreksi'!$G$5:$G$92,"Peralatan dan mesin",'Daftar Koreksi'!$I$5:$I$92,"&lt;0")-SUMIFS('Daftar Koreksi'!$I$5:$I$92,'Daftar Koreksi'!$D$5:$D$92,'0200'!A950,'Daftar Koreksi'!$G$5:$G$92,"Peralatan dan mesin",'Daftar Koreksi'!$I$5:$I$92,"&lt;0")-SUMIFS('Daftar Koreksi'!$I$5:$I$92,'Daftar Koreksi'!$D$5:$D$92,'0200'!A950,'Daftar Koreksi'!$G$5:$G$92,"Peralatan dan mesin",'Daftar Koreksi'!$I$5:$I$92,"&lt;0")</f>
        <v>0</v>
      </c>
      <c r="G963" s="17">
        <f t="shared" si="43"/>
        <v>-2248807980</v>
      </c>
      <c r="H963" s="122"/>
    </row>
    <row r="964" spans="1:8" ht="21.95" customHeight="1">
      <c r="A964" s="14"/>
      <c r="B964" s="14"/>
      <c r="C964" s="16" t="s">
        <v>2088</v>
      </c>
      <c r="D964" s="17">
        <f>VLOOKUP(A950,'Neraca Unaudited SIMAK'!$A$2:$S$10004,14,FALSE)</f>
        <v>-1500313935</v>
      </c>
      <c r="E964" s="25">
        <f>SUMIFS('Daftar Koreksi'!$I$5:$I$92,'Daftar Koreksi'!$D$5:$D$92,'0200'!A950,'Daftar Koreksi'!$G$5:$G$92,"Gedung dan Bangunan",'Daftar Koreksi'!$I$5:$I$92,"&gt;0")</f>
        <v>0</v>
      </c>
      <c r="F964" s="25">
        <f>SUMIFS('Daftar Koreksi'!$I$5:$I$92,'Daftar Koreksi'!$D$5:$D$92,'0200'!A950,'Daftar Koreksi'!$G$5:$G$92,"Gedung dan Bangunan",'Daftar Koreksi'!$I$5:$I$92,"&lt;0")-SUMIFS('Daftar Koreksi'!$I$5:$I$92,'Daftar Koreksi'!$D$5:$D$92,'0200'!A950,'Daftar Koreksi'!$G$5:$G$92,"Gedung dan Bangunan",'Daftar Koreksi'!$I$5:$I$92,"&lt;0")-SUMIFS('Daftar Koreksi'!$I$5:$I$92,'Daftar Koreksi'!$D$5:$D$92,'0200'!A950,'Daftar Koreksi'!$G$5:$G$92,"Gedung dan Bangunan",'Daftar Koreksi'!$I$5:$I$92,"&lt;0")</f>
        <v>0</v>
      </c>
      <c r="G964" s="17">
        <f t="shared" si="43"/>
        <v>-1500313935</v>
      </c>
      <c r="H964" s="122"/>
    </row>
    <row r="965" spans="1:8" ht="21.95" customHeight="1">
      <c r="A965" s="14"/>
      <c r="B965" s="14"/>
      <c r="C965" s="16" t="s">
        <v>2089</v>
      </c>
      <c r="D965" s="17">
        <f>VLOOKUP(A950,'Neraca Unaudited SIMAK'!$A$2:$S$10004,15,FALSE)</f>
        <v>-393629383</v>
      </c>
      <c r="E965" s="25">
        <f>SUMIFS('Daftar Koreksi'!$I$5:$I$92,'Daftar Koreksi'!$D$5:$D$92,'0200'!A950,'Daftar Koreksi'!$G$5:$G$92,"Jalan Irigasi Jaringan",'Daftar Koreksi'!$I$5:$I$92,"&gt;0")</f>
        <v>0</v>
      </c>
      <c r="F965" s="25">
        <f>SUMIFS('Daftar Koreksi'!$I$5:$I$92,'Daftar Koreksi'!$D$5:$D$92,'0200'!A950,'Daftar Koreksi'!$G$5:$G$92,"Jalan Irigasi Jaringan",'Daftar Koreksi'!$I$5:$I$92,"&lt;0")-SUMIFS('Daftar Koreksi'!$I$5:$I$92,'Daftar Koreksi'!$D$5:$D$92,'0200'!A950,'Daftar Koreksi'!$G$5:$G$92,"Jalan Irigasi Jaringan",'Daftar Koreksi'!$I$5:$I$92,"&lt;0")-SUMIFS('Daftar Koreksi'!$I$5:$I$92,'Daftar Koreksi'!$D$5:$D$92,'0200'!A950,'Daftar Koreksi'!$G$5:$G$92,"Jalan Irigasi Jaringan",'Daftar Koreksi'!$I$5:$I$92,"&lt;0")</f>
        <v>0</v>
      </c>
      <c r="G965" s="17">
        <f t="shared" si="43"/>
        <v>-393629383</v>
      </c>
      <c r="H965" s="122"/>
    </row>
    <row r="966" spans="1:8" ht="21.95" customHeight="1">
      <c r="A966" s="14"/>
      <c r="B966" s="14"/>
      <c r="C966" s="16" t="s">
        <v>2090</v>
      </c>
      <c r="D966" s="17">
        <f>VLOOKUP(A950,'Neraca Unaudited SIMAK'!$A$2:$S$10004,16,FALSE)</f>
        <v>0</v>
      </c>
      <c r="E966" s="25">
        <f>SUMIFS('Daftar Koreksi'!$I$5:$I$92,'Daftar Koreksi'!$D$5:$D$92,'0200'!A950,'Daftar Koreksi'!$G$5:$G$92,"Aset Tetap Lainnya",'Daftar Koreksi'!$I$5:$I$92,"&gt;0")</f>
        <v>0</v>
      </c>
      <c r="F966" s="25">
        <f>SUMIFS('Daftar Koreksi'!$I$5:$I$92,'Daftar Koreksi'!$D$5:$D$92,'0200'!A950,'Daftar Koreksi'!$G$5:$G$92,"Aset Tetap Lainnya",'Daftar Koreksi'!$I$5:$I$92,"&lt;0")-SUMIFS('Daftar Koreksi'!$I$5:$I$92,'Daftar Koreksi'!$D$5:$D$92,'0200'!A950,'Daftar Koreksi'!$G$5:$G$92,"Aset Tetap Lainnya",'Daftar Koreksi'!$I$5:$I$92,"&lt;0")-SUMIFS('Daftar Koreksi'!$I$5:$I$92,'Daftar Koreksi'!$D$5:$D$92,'0200'!A950,'Daftar Koreksi'!$G$5:$G$92,"Aset Tetap Lainnya",'Daftar Koreksi'!$I$5:$I$92,"&lt;0")</f>
        <v>0</v>
      </c>
      <c r="G966" s="17">
        <f t="shared" si="43"/>
        <v>0</v>
      </c>
      <c r="H966" s="122"/>
    </row>
    <row r="967" spans="1:8" ht="21.95" customHeight="1">
      <c r="A967" s="14"/>
      <c r="B967" s="14"/>
      <c r="C967" s="16" t="s">
        <v>2020</v>
      </c>
      <c r="D967" s="17">
        <f>VLOOKUP(A950,'Neraca Unaudited SIMAK'!$A$2:$S$10004,17,FALSE)</f>
        <v>-110756777</v>
      </c>
      <c r="E967" s="25">
        <f>SUMIFS('Daftar Koreksi'!$I$5:$I$92,'Daftar Koreksi'!$D$5:$D$92,'0200'!A950,'Daftar Koreksi'!$G$5:$G$92,"Aset Henti Guna",'Daftar Koreksi'!$I$5:$I$92,"&gt;0")</f>
        <v>0</v>
      </c>
      <c r="F967" s="25">
        <f>SUMIFS('Daftar Koreksi'!$I$5:$I$92,'Daftar Koreksi'!$D$5:$D$92,'0200'!A950,'Daftar Koreksi'!$G$5:$G$92,"Aset Henti Guna",'Daftar Koreksi'!$I$5:$I$92,"&lt;0")-SUMIFS('Daftar Koreksi'!$I$5:$I$92,'Daftar Koreksi'!$D$5:$D$92,'0200'!A950,'Daftar Koreksi'!$G$5:$G$92,"Aset Henti Guna",'Daftar Koreksi'!$I$5:$I$92,"&lt;0")-SUMIFS('Daftar Koreksi'!$I$5:$I$92,'Daftar Koreksi'!$D$5:$D$92,'0200'!A950,'Daftar Koreksi'!$G$5:$G$92,"Aset Henti Guna",'Daftar Koreksi'!$I$5:$I$92,"&lt;0")</f>
        <v>0</v>
      </c>
      <c r="G967" s="17">
        <f t="shared" si="43"/>
        <v>-110756777</v>
      </c>
      <c r="H967" s="122"/>
    </row>
    <row r="968" spans="1:8" ht="21.95" customHeight="1">
      <c r="A968" s="14"/>
      <c r="B968" s="14"/>
      <c r="C968" s="18" t="s">
        <v>2094</v>
      </c>
      <c r="D968" s="19">
        <f>SUM(D963:D967)</f>
        <v>-4253508075</v>
      </c>
      <c r="E968" s="19">
        <f>SUM(E963:E967)</f>
        <v>0</v>
      </c>
      <c r="F968" s="19">
        <f>SUM(F963:F967)</f>
        <v>0</v>
      </c>
      <c r="G968" s="19">
        <f t="shared" si="43"/>
        <v>-4253508075</v>
      </c>
      <c r="H968" s="122"/>
    </row>
    <row r="969" spans="1:8" ht="21.95" customHeight="1">
      <c r="A969" s="14"/>
      <c r="B969" s="14"/>
      <c r="C969" s="18" t="s">
        <v>2095</v>
      </c>
      <c r="D969" s="19">
        <f>VLOOKUP(A950,'Neraca Unaudited SIMAK'!$A$2:$S$10004,18,FALSE)</f>
        <v>16093067681</v>
      </c>
      <c r="E969" s="19">
        <f>E968+E962</f>
        <v>0</v>
      </c>
      <c r="F969" s="19">
        <f>F968+F962</f>
        <v>0</v>
      </c>
      <c r="G969" s="19">
        <f t="shared" si="43"/>
        <v>16093067681</v>
      </c>
      <c r="H969" s="122"/>
    </row>
    <row r="970" spans="1:8" ht="21.95" customHeight="1">
      <c r="A970" s="14"/>
      <c r="B970" s="14"/>
      <c r="C970" s="16" t="s">
        <v>2091</v>
      </c>
      <c r="D970" s="17">
        <f>VLOOKUP(A950,'Neraca Unaudited SIMAK'!$A$2:$S$10004,19,FALSE)</f>
        <v>0</v>
      </c>
      <c r="E970" s="25"/>
      <c r="F970" s="25"/>
      <c r="G970" s="17">
        <f t="shared" si="43"/>
        <v>0</v>
      </c>
      <c r="H970" s="123"/>
    </row>
    <row r="972" spans="1:8" ht="19.5" customHeight="1">
      <c r="A972" s="11" t="str">
        <f>O45</f>
        <v>005010200614706000KD</v>
      </c>
      <c r="B972" s="11" t="str">
        <f>P45</f>
        <v>PA. Cikarang</v>
      </c>
      <c r="C972" s="12" t="str">
        <f>A972&amp;" "&amp;B972</f>
        <v>005010200614706000KD PA. Cikarang</v>
      </c>
      <c r="D972" s="13"/>
      <c r="E972" s="13"/>
      <c r="F972" s="13"/>
      <c r="G972" s="13"/>
      <c r="H972" s="11"/>
    </row>
    <row r="973" spans="1:8" ht="21.95" customHeight="1">
      <c r="A973" s="14"/>
      <c r="B973" s="14"/>
      <c r="C973" s="124" t="s">
        <v>1982</v>
      </c>
      <c r="D973" s="126" t="s">
        <v>1983</v>
      </c>
      <c r="E973" s="132" t="s">
        <v>1984</v>
      </c>
      <c r="F973" s="132"/>
      <c r="G973" s="126" t="s">
        <v>1987</v>
      </c>
      <c r="H973" s="130" t="s">
        <v>1175</v>
      </c>
    </row>
    <row r="974" spans="1:8" ht="21.95" customHeight="1">
      <c r="A974" s="14"/>
      <c r="B974" s="14"/>
      <c r="C974" s="125"/>
      <c r="D974" s="127"/>
      <c r="E974" s="26" t="s">
        <v>1985</v>
      </c>
      <c r="F974" s="26" t="s">
        <v>1986</v>
      </c>
      <c r="G974" s="127"/>
      <c r="H974" s="131"/>
    </row>
    <row r="975" spans="1:8" ht="21.95" customHeight="1">
      <c r="A975" s="14"/>
      <c r="B975" s="14"/>
      <c r="C975" s="16" t="s">
        <v>1165</v>
      </c>
      <c r="D975" s="17">
        <f>VLOOKUP(A972,'Neraca Unaudited SIMAK'!$A$2:$S$10004,3,FALSE)</f>
        <v>1577500</v>
      </c>
      <c r="E975" s="25">
        <f>SUMIFS('Daftar Koreksi'!$H$5:$H$92,'Daftar Koreksi'!$D$5:$D$92,'0200'!A972,'Daftar Koreksi'!$G$5:$G$92,"Persediaan",'Daftar Koreksi'!$H$5:$H$92,"&gt;0")</f>
        <v>0</v>
      </c>
      <c r="F975" s="25">
        <f>SUMIFS('Daftar Koreksi'!$H$5:$H$92,'Daftar Koreksi'!$D$5:$D$92,'0200'!A972,'Daftar Koreksi'!$G$5:$G$92,"Persediaan",'Daftar Koreksi'!$H$5:$H$92,"&lt;0")-SUMIFS('Daftar Koreksi'!$H$5:$H$92,'Daftar Koreksi'!$D$5:$D$92,'0200'!A972,'Daftar Koreksi'!$G$5:$G$92,"Persediaan",'Daftar Koreksi'!$H$5:$H$92,"&lt;0")-SUMIFS('Daftar Koreksi'!$H$5:$H$92,'Daftar Koreksi'!$D$5:$D$92,'0200'!A972,'Daftar Koreksi'!$G$5:$G$92,"Persediaan",'Daftar Koreksi'!$H$5:$H$92,"&lt;0")</f>
        <v>0</v>
      </c>
      <c r="G975" s="17">
        <f>D975+E975-F975</f>
        <v>1577500</v>
      </c>
      <c r="H975" s="121" t="str">
        <f>IF(ISNA(VLOOKUP(A972,'Mutasi Neraca'!$A$3:$S$914,19,FALSE)),"-",VLOOKUP(A972,'Mutasi Neraca'!$A$3:$S$914,19,FALSE))</f>
        <v>-</v>
      </c>
    </row>
    <row r="976" spans="1:8" ht="21.95" customHeight="1">
      <c r="A976" s="14"/>
      <c r="B976" s="14"/>
      <c r="C976" s="16" t="s">
        <v>1166</v>
      </c>
      <c r="D976" s="17">
        <f>VLOOKUP(A972,'Neraca Unaudited SIMAK'!$A$2:$S$10004,4,FALSE)</f>
        <v>0</v>
      </c>
      <c r="E976" s="25">
        <f>SUMIFS('Daftar Koreksi'!$H$5:$H$92,'Daftar Koreksi'!$D$5:$D$92,'0200'!A972,'Daftar Koreksi'!$G$5:$G$92,"Tanah",'Daftar Koreksi'!$H$5:$H$92,"&gt;0")</f>
        <v>0</v>
      </c>
      <c r="F976" s="25">
        <f>SUMIFS('Daftar Koreksi'!$H$5:$H$92,'Daftar Koreksi'!$D$5:$D$92,'0200'!A972,'Daftar Koreksi'!$G$5:$G$92,"Tanah",'Daftar Koreksi'!$H$5:$H$92,"&lt;0")-SUMIFS('Daftar Koreksi'!$H$5:$H$92,'Daftar Koreksi'!$D$5:$D$92,'0200'!A972,'Daftar Koreksi'!$G$5:$G$92,"Tanah",'Daftar Koreksi'!$H$5:$H$92,"&lt;0")-SUMIFS('Daftar Koreksi'!$H$5:$H$92,'Daftar Koreksi'!$D$5:$D$92,'0200'!A972,'Daftar Koreksi'!$G$5:$G$92,"Tanah",'Daftar Koreksi'!$H$5:$H$92,"&lt;0")</f>
        <v>0</v>
      </c>
      <c r="G976" s="17">
        <f t="shared" ref="G976:G992" si="44">D976+E976-F976</f>
        <v>0</v>
      </c>
      <c r="H976" s="122"/>
    </row>
    <row r="977" spans="1:8" ht="21.95" customHeight="1">
      <c r="A977" s="14"/>
      <c r="B977" s="14"/>
      <c r="C977" s="16" t="s">
        <v>1167</v>
      </c>
      <c r="D977" s="17">
        <f>VLOOKUP(A972,'Neraca Unaudited SIMAK'!$A$2:$S$10004,5,FALSE)</f>
        <v>2205196019</v>
      </c>
      <c r="E977" s="25">
        <f>SUMIFS('Daftar Koreksi'!$H$5:$H$92,'Daftar Koreksi'!$D$5:$D$92,'0200'!A972,'Daftar Koreksi'!$G$5:$G$92,"Peralatan dan mesin",'Daftar Koreksi'!$H$5:$H$92,"&gt;0")</f>
        <v>0</v>
      </c>
      <c r="F977" s="25">
        <f>SUMIFS('Daftar Koreksi'!$H$5:$H$92,'Daftar Koreksi'!$D$5:$D$92,'0200'!A972,'Daftar Koreksi'!$G$5:$G$92,"Peralatan dan mesin",'Daftar Koreksi'!$H$5:$H$92,"&lt;0")-SUMIFS('Daftar Koreksi'!$H$5:$H$92,'Daftar Koreksi'!$D$5:$D$92,'0200'!A972,'Daftar Koreksi'!$G$5:$G$92,"Peralatan dan mesin",'Daftar Koreksi'!$H$5:$H$92,"&lt;0")-SUMIFS('Daftar Koreksi'!$H$5:$H$92,'Daftar Koreksi'!$D$5:$D$92,'0200'!A972,'Daftar Koreksi'!$G$5:$G$92,"Peralatan dan mesin",'Daftar Koreksi'!$H$5:$H$92,"&lt;0")</f>
        <v>0</v>
      </c>
      <c r="G977" s="17">
        <f t="shared" si="44"/>
        <v>2205196019</v>
      </c>
      <c r="H977" s="122"/>
    </row>
    <row r="978" spans="1:8" ht="21.95" customHeight="1">
      <c r="A978" s="14"/>
      <c r="B978" s="14"/>
      <c r="C978" s="16" t="s">
        <v>1168</v>
      </c>
      <c r="D978" s="17">
        <f>VLOOKUP(A972,'Neraca Unaudited SIMAK'!$A$2:$S$10004,6,FALSE)</f>
        <v>3342550000</v>
      </c>
      <c r="E978" s="25">
        <f>SUMIFS('Daftar Koreksi'!$H$5:$H$92,'Daftar Koreksi'!$D$5:$D$92,'0200'!A972,'Daftar Koreksi'!$G$5:$G$92,"Gedung dan Bangunan",'Daftar Koreksi'!$H$5:$H$92,"&gt;0")</f>
        <v>0</v>
      </c>
      <c r="F978" s="25">
        <f>SUMIFS('Daftar Koreksi'!$H$5:$H$92,'Daftar Koreksi'!$D$5:$D$92,'0200'!A972,'Daftar Koreksi'!$G$5:$G$92,"Gedung dan Bangunan",'Daftar Koreksi'!$H$5:$H$92,"&lt;0")-SUMIFS('Daftar Koreksi'!$H$5:$H$92,'Daftar Koreksi'!$D$5:$D$92,'0200'!A972,'Daftar Koreksi'!$G$5:$G$92,"Gedung dan Bangunan",'Daftar Koreksi'!$H$5:$H$92,"&lt;0")-SUMIFS('Daftar Koreksi'!$H$5:$H$92,'Daftar Koreksi'!$D$5:$D$92,'0200'!A972,'Daftar Koreksi'!$G$5:$G$92,"Gedung dan Bangunan",'Daftar Koreksi'!$H$5:$H$92,"&lt;0")</f>
        <v>0</v>
      </c>
      <c r="G978" s="17">
        <f t="shared" si="44"/>
        <v>3342550000</v>
      </c>
      <c r="H978" s="122"/>
    </row>
    <row r="979" spans="1:8" ht="21.95" customHeight="1">
      <c r="A979" s="14"/>
      <c r="B979" s="14"/>
      <c r="C979" s="16" t="s">
        <v>1169</v>
      </c>
      <c r="D979" s="17">
        <f>VLOOKUP(A972,'Neraca Unaudited SIMAK'!$A$2:$S$10004,7,FALSE)</f>
        <v>0</v>
      </c>
      <c r="E979" s="25">
        <f>SUMIFS('Daftar Koreksi'!$H$5:$H$92,'Daftar Koreksi'!$D$5:$D$92,'0200'!A972,'Daftar Koreksi'!$G$5:$G$92,"Jalan Irigasi Jaringan",'Daftar Koreksi'!$H$5:$H$92,"&gt;0")</f>
        <v>0</v>
      </c>
      <c r="F979" s="25">
        <f>SUMIFS('Daftar Koreksi'!$H$5:$H$92,'Daftar Koreksi'!$D$5:$D$92,'0200'!A972,'Daftar Koreksi'!$G$5:$G$92,"Jalan Irigasi Jaringan",'Daftar Koreksi'!$H$5:$H$92,"&lt;0")-SUMIFS('Daftar Koreksi'!$H$5:$H$92,'Daftar Koreksi'!$D$5:$D$92,'0200'!A972,'Daftar Koreksi'!$G$5:$G$92,"Jalan Irigasi Jaringan",'Daftar Koreksi'!$H$5:$H$92,"&lt;0")-SUMIFS('Daftar Koreksi'!$H$5:$H$92,'Daftar Koreksi'!$D$5:$D$92,'0200'!A972,'Daftar Koreksi'!$G$5:$G$92,"Jalan Irigasi Jaringan",'Daftar Koreksi'!$H$5:$H$92,"&lt;0")</f>
        <v>0</v>
      </c>
      <c r="G979" s="17">
        <f t="shared" si="44"/>
        <v>0</v>
      </c>
      <c r="H979" s="122"/>
    </row>
    <row r="980" spans="1:8" ht="21.95" customHeight="1">
      <c r="A980" s="14"/>
      <c r="B980" s="14"/>
      <c r="C980" s="16" t="s">
        <v>1170</v>
      </c>
      <c r="D980" s="17">
        <f>VLOOKUP(A972,'Neraca Unaudited SIMAK'!$A$2:$S$10004,8,FALSE)</f>
        <v>408000</v>
      </c>
      <c r="E980" s="25">
        <f>SUMIFS('Daftar Koreksi'!$H$5:$H$92,'Daftar Koreksi'!$D$5:$D$92,'0200'!A972,'Daftar Koreksi'!$G$5:$G$92,"Aset Tetap Lainnya",'Daftar Koreksi'!$H$5:$H$92,"&gt;0")</f>
        <v>0</v>
      </c>
      <c r="F980" s="25">
        <f>SUMIFS('Daftar Koreksi'!$H$5:$H$92,'Daftar Koreksi'!$D$5:$D$92,'0200'!A972,'Daftar Koreksi'!$G$5:$G$92,"Aset Tetap Lainnya",'Daftar Koreksi'!$H$5:$H$92,"&lt;0")-SUMIFS('Daftar Koreksi'!$H$5:$H$92,'Daftar Koreksi'!$D$5:$D$92,'0200'!A972,'Daftar Koreksi'!$G$5:$G$92,"Aset Tetap Lainnya",'Daftar Koreksi'!$H$5:$H$92,"&lt;0")-SUMIFS('Daftar Koreksi'!$H$5:$H$92,'Daftar Koreksi'!$D$5:$D$92,'0200'!A972,'Daftar Koreksi'!$G$5:$G$92,"Aset Tetap Lainnya",'Daftar Koreksi'!$H$5:$H$92,"&lt;0")</f>
        <v>0</v>
      </c>
      <c r="G980" s="17">
        <f t="shared" si="44"/>
        <v>408000</v>
      </c>
      <c r="H980" s="122"/>
    </row>
    <row r="981" spans="1:8" ht="21.95" customHeight="1">
      <c r="A981" s="14"/>
      <c r="B981" s="14"/>
      <c r="C981" s="16" t="s">
        <v>1171</v>
      </c>
      <c r="D981" s="17">
        <f>VLOOKUP(A972,'Neraca Unaudited SIMAK'!$A$2:$S$10004,9,FALSE)</f>
        <v>0</v>
      </c>
      <c r="E981" s="25">
        <f>SUMIFS('Daftar Koreksi'!$H$5:$H$92,'Daftar Koreksi'!$D$5:$D$92,'0200'!A972,'Daftar Koreksi'!$G$5:$G$92,"Kontruksi Dalam Pengerjaan",'Daftar Koreksi'!$H$5:$H$92,"&gt;0")</f>
        <v>0</v>
      </c>
      <c r="F981" s="25">
        <f>SUMIFS('Daftar Koreksi'!$H$5:$H$92,'Daftar Koreksi'!$D$5:$D$92,'0200'!A972,'Daftar Koreksi'!$G$5:$G$92,"Kontruksi Dalam Pengerjaan",'Daftar Koreksi'!$H$5:$H$92,"&lt;0")-SUMIFS('Daftar Koreksi'!$H$5:$H$92,'Daftar Koreksi'!$D$5:$D$92,'0200'!A972,'Daftar Koreksi'!$G$5:$G$92,"Kontruksi Dalam Pengerjaan",'Daftar Koreksi'!$H$5:$H$92,"&lt;0")-SUMIFS('Daftar Koreksi'!$H$5:$H$92,'Daftar Koreksi'!$D$5:$D$92,'0200'!A972,'Daftar Koreksi'!$G$5:$G$92,"Kontruksi Dalam Pengerjaan",'Daftar Koreksi'!$H$5:$H$92,"&lt;0")</f>
        <v>0</v>
      </c>
      <c r="G981" s="17">
        <f t="shared" si="44"/>
        <v>0</v>
      </c>
      <c r="H981" s="122"/>
    </row>
    <row r="982" spans="1:8" ht="21.95" customHeight="1">
      <c r="A982" s="14"/>
      <c r="B982" s="14"/>
      <c r="C982" s="16" t="s">
        <v>1172</v>
      </c>
      <c r="D982" s="17">
        <f>VLOOKUP(A972,'Neraca Unaudited SIMAK'!$A$2:$S$10004,10,FALSE)</f>
        <v>39600000</v>
      </c>
      <c r="E982" s="25">
        <f>SUMIFS('Daftar Koreksi'!$H$5:$H$92,'Daftar Koreksi'!$D$5:$D$92,'0200'!A972,'Daftar Koreksi'!$G$5:$G$92,"Aset Tak Berwujud",'Daftar Koreksi'!$H$5:$H$92,"&gt;0")</f>
        <v>0</v>
      </c>
      <c r="F982" s="25">
        <f>SUMIFS('Daftar Koreksi'!$H$5:$H$92,'Daftar Koreksi'!$D$5:$D$92,'0200'!A972,'Daftar Koreksi'!$G$5:$G$92,"Aset Tak Berwujud",'Daftar Koreksi'!$H$5:$H$92,"&lt;0")-SUMIFS('Daftar Koreksi'!$H$5:$H$92,'Daftar Koreksi'!$D$5:$D$92,'0200'!A972,'Daftar Koreksi'!$G$5:$G$92,"Aset Tak Berwujud",'Daftar Koreksi'!$H$5:$H$92,"&lt;0")-SUMIFS('Daftar Koreksi'!$H$5:$H$92,'Daftar Koreksi'!$D$5:$D$92,'0200'!A972,'Daftar Koreksi'!$G$5:$G$92,"Aset Tak Berwujud",'Daftar Koreksi'!$H$5:$H$92,"&lt;0")</f>
        <v>0</v>
      </c>
      <c r="G982" s="17">
        <f t="shared" si="44"/>
        <v>39600000</v>
      </c>
      <c r="H982" s="122"/>
    </row>
    <row r="983" spans="1:8" ht="21.95" customHeight="1">
      <c r="A983" s="14"/>
      <c r="B983" s="14"/>
      <c r="C983" s="16" t="s">
        <v>1173</v>
      </c>
      <c r="D983" s="17">
        <f>VLOOKUP(A972,'Neraca Unaudited SIMAK'!$A$2:$S$10004,11,FALSE)</f>
        <v>30396022</v>
      </c>
      <c r="E983" s="25">
        <f>SUMIFS('Daftar Koreksi'!$H$5:$H$92,'Daftar Koreksi'!$D$5:$D$92,'0200'!A972,'Daftar Koreksi'!$G$5:$G$92,"Aset Henti Guna",'Daftar Koreksi'!$H$5:$H$92,"&gt;0")</f>
        <v>0</v>
      </c>
      <c r="F983" s="25">
        <f>SUMIFS('Daftar Koreksi'!$H$5:$H$92,'Daftar Koreksi'!$D$5:$D$92,'0200'!A972,'Daftar Koreksi'!$G$5:$G$92,"Aset Henti Guna",'Daftar Koreksi'!$H$5:$H$92,"&lt;0")-SUMIFS('Daftar Koreksi'!$H$5:$H$92,'Daftar Koreksi'!$D$5:$D$92,'0200'!A972,'Daftar Koreksi'!$G$5:$G$92,"Aset Henti Guna",'Daftar Koreksi'!$H$5:$H$92,"&lt;0")-SUMIFS('Daftar Koreksi'!$H$5:$H$92,'Daftar Koreksi'!$D$5:$D$92,'0200'!A972,'Daftar Koreksi'!$G$5:$G$92,"Aset Henti Guna",'Daftar Koreksi'!$H$5:$H$92,"&lt;0")</f>
        <v>0</v>
      </c>
      <c r="G983" s="17">
        <f t="shared" si="44"/>
        <v>30396022</v>
      </c>
      <c r="H983" s="122"/>
    </row>
    <row r="984" spans="1:8" ht="21.95" customHeight="1">
      <c r="A984" s="14"/>
      <c r="B984" s="14"/>
      <c r="C984" s="18" t="s">
        <v>2093</v>
      </c>
      <c r="D984" s="19">
        <f>VLOOKUP(A972,'Neraca Unaudited SIMAK'!$A$2:$S$10004,12,FALSE)</f>
        <v>5619727541</v>
      </c>
      <c r="E984" s="19">
        <f>SUM(E975:E983)</f>
        <v>0</v>
      </c>
      <c r="F984" s="19">
        <f>SUM(F975:F983)</f>
        <v>0</v>
      </c>
      <c r="G984" s="19">
        <f t="shared" si="44"/>
        <v>5619727541</v>
      </c>
      <c r="H984" s="122"/>
    </row>
    <row r="985" spans="1:8" ht="21.95" customHeight="1">
      <c r="A985" s="14"/>
      <c r="B985" s="14"/>
      <c r="C985" s="16" t="s">
        <v>2087</v>
      </c>
      <c r="D985" s="17">
        <f>VLOOKUP(A972,'Neraca Unaudited SIMAK'!$A$2:$S$10004,13,FALSE)</f>
        <v>-1844588374</v>
      </c>
      <c r="E985" s="25">
        <f>SUMIFS('Daftar Koreksi'!$I$5:$I$92,'Daftar Koreksi'!$D$5:$D$92,'0200'!A972,'Daftar Koreksi'!$G$5:$G$92,"Peralatan dan mesin",'Daftar Koreksi'!$I$5:$I$92,"&gt;0")</f>
        <v>0</v>
      </c>
      <c r="F985" s="25">
        <f>SUMIFS('Daftar Koreksi'!$I$5:$I$92,'Daftar Koreksi'!$D$5:$D$92,'0200'!A972,'Daftar Koreksi'!$G$5:$G$92,"Peralatan dan mesin",'Daftar Koreksi'!$I$5:$I$92,"&lt;0")-SUMIFS('Daftar Koreksi'!$I$5:$I$92,'Daftar Koreksi'!$D$5:$D$92,'0200'!A972,'Daftar Koreksi'!$G$5:$G$92,"Peralatan dan mesin",'Daftar Koreksi'!$I$5:$I$92,"&lt;0")-SUMIFS('Daftar Koreksi'!$I$5:$I$92,'Daftar Koreksi'!$D$5:$D$92,'0200'!A972,'Daftar Koreksi'!$G$5:$G$92,"Peralatan dan mesin",'Daftar Koreksi'!$I$5:$I$92,"&lt;0")</f>
        <v>0</v>
      </c>
      <c r="G985" s="17">
        <f t="shared" si="44"/>
        <v>-1844588374</v>
      </c>
      <c r="H985" s="122"/>
    </row>
    <row r="986" spans="1:8" ht="21.95" customHeight="1">
      <c r="A986" s="14"/>
      <c r="B986" s="14"/>
      <c r="C986" s="16" t="s">
        <v>2088</v>
      </c>
      <c r="D986" s="17">
        <f>VLOOKUP(A972,'Neraca Unaudited SIMAK'!$A$2:$S$10004,14,FALSE)</f>
        <v>-540732420</v>
      </c>
      <c r="E986" s="25">
        <f>SUMIFS('Daftar Koreksi'!$I$5:$I$92,'Daftar Koreksi'!$D$5:$D$92,'0200'!A972,'Daftar Koreksi'!$G$5:$G$92,"Gedung dan Bangunan",'Daftar Koreksi'!$I$5:$I$92,"&gt;0")</f>
        <v>0</v>
      </c>
      <c r="F986" s="25">
        <f>SUMIFS('Daftar Koreksi'!$I$5:$I$92,'Daftar Koreksi'!$D$5:$D$92,'0200'!A972,'Daftar Koreksi'!$G$5:$G$92,"Gedung dan Bangunan",'Daftar Koreksi'!$I$5:$I$92,"&lt;0")-SUMIFS('Daftar Koreksi'!$I$5:$I$92,'Daftar Koreksi'!$D$5:$D$92,'0200'!A972,'Daftar Koreksi'!$G$5:$G$92,"Gedung dan Bangunan",'Daftar Koreksi'!$I$5:$I$92,"&lt;0")-SUMIFS('Daftar Koreksi'!$I$5:$I$92,'Daftar Koreksi'!$D$5:$D$92,'0200'!A972,'Daftar Koreksi'!$G$5:$G$92,"Gedung dan Bangunan",'Daftar Koreksi'!$I$5:$I$92,"&lt;0")</f>
        <v>0</v>
      </c>
      <c r="G986" s="17">
        <f t="shared" si="44"/>
        <v>-540732420</v>
      </c>
      <c r="H986" s="122"/>
    </row>
    <row r="987" spans="1:8" ht="21.95" customHeight="1">
      <c r="A987" s="14"/>
      <c r="B987" s="14"/>
      <c r="C987" s="16" t="s">
        <v>2089</v>
      </c>
      <c r="D987" s="17">
        <f>VLOOKUP(A972,'Neraca Unaudited SIMAK'!$A$2:$S$10004,15,FALSE)</f>
        <v>0</v>
      </c>
      <c r="E987" s="25">
        <f>SUMIFS('Daftar Koreksi'!$I$5:$I$92,'Daftar Koreksi'!$D$5:$D$92,'0200'!A972,'Daftar Koreksi'!$G$5:$G$92,"Jalan Irigasi Jaringan",'Daftar Koreksi'!$I$5:$I$92,"&gt;0")</f>
        <v>0</v>
      </c>
      <c r="F987" s="25">
        <f>SUMIFS('Daftar Koreksi'!$I$5:$I$92,'Daftar Koreksi'!$D$5:$D$92,'0200'!A972,'Daftar Koreksi'!$G$5:$G$92,"Jalan Irigasi Jaringan",'Daftar Koreksi'!$I$5:$I$92,"&lt;0")-SUMIFS('Daftar Koreksi'!$I$5:$I$92,'Daftar Koreksi'!$D$5:$D$92,'0200'!A972,'Daftar Koreksi'!$G$5:$G$92,"Jalan Irigasi Jaringan",'Daftar Koreksi'!$I$5:$I$92,"&lt;0")-SUMIFS('Daftar Koreksi'!$I$5:$I$92,'Daftar Koreksi'!$D$5:$D$92,'0200'!A972,'Daftar Koreksi'!$G$5:$G$92,"Jalan Irigasi Jaringan",'Daftar Koreksi'!$I$5:$I$92,"&lt;0")</f>
        <v>0</v>
      </c>
      <c r="G987" s="17">
        <f t="shared" si="44"/>
        <v>0</v>
      </c>
      <c r="H987" s="122"/>
    </row>
    <row r="988" spans="1:8" ht="21.95" customHeight="1">
      <c r="A988" s="14"/>
      <c r="B988" s="14"/>
      <c r="C988" s="16" t="s">
        <v>2090</v>
      </c>
      <c r="D988" s="17">
        <f>VLOOKUP(A972,'Neraca Unaudited SIMAK'!$A$2:$S$10004,16,FALSE)</f>
        <v>0</v>
      </c>
      <c r="E988" s="25">
        <f>SUMIFS('Daftar Koreksi'!$I$5:$I$92,'Daftar Koreksi'!$D$5:$D$92,'0200'!A972,'Daftar Koreksi'!$G$5:$G$92,"Aset Tetap Lainnya",'Daftar Koreksi'!$I$5:$I$92,"&gt;0")</f>
        <v>0</v>
      </c>
      <c r="F988" s="25">
        <f>SUMIFS('Daftar Koreksi'!$I$5:$I$92,'Daftar Koreksi'!$D$5:$D$92,'0200'!A972,'Daftar Koreksi'!$G$5:$G$92,"Aset Tetap Lainnya",'Daftar Koreksi'!$I$5:$I$92,"&lt;0")-SUMIFS('Daftar Koreksi'!$I$5:$I$92,'Daftar Koreksi'!$D$5:$D$92,'0200'!A972,'Daftar Koreksi'!$G$5:$G$92,"Aset Tetap Lainnya",'Daftar Koreksi'!$I$5:$I$92,"&lt;0")-SUMIFS('Daftar Koreksi'!$I$5:$I$92,'Daftar Koreksi'!$D$5:$D$92,'0200'!A972,'Daftar Koreksi'!$G$5:$G$92,"Aset Tetap Lainnya",'Daftar Koreksi'!$I$5:$I$92,"&lt;0")</f>
        <v>0</v>
      </c>
      <c r="G988" s="17">
        <f t="shared" si="44"/>
        <v>0</v>
      </c>
      <c r="H988" s="122"/>
    </row>
    <row r="989" spans="1:8" ht="21.95" customHeight="1">
      <c r="A989" s="14"/>
      <c r="B989" s="14"/>
      <c r="C989" s="16" t="s">
        <v>2020</v>
      </c>
      <c r="D989" s="17">
        <f>VLOOKUP(A972,'Neraca Unaudited SIMAK'!$A$2:$S$10004,17,FALSE)</f>
        <v>-24036022</v>
      </c>
      <c r="E989" s="25">
        <f>SUMIFS('Daftar Koreksi'!$I$5:$I$92,'Daftar Koreksi'!$D$5:$D$92,'0200'!A972,'Daftar Koreksi'!$G$5:$G$92,"Aset Henti Guna",'Daftar Koreksi'!$I$5:$I$92,"&gt;0")</f>
        <v>0</v>
      </c>
      <c r="F989" s="25">
        <f>SUMIFS('Daftar Koreksi'!$I$5:$I$92,'Daftar Koreksi'!$D$5:$D$92,'0200'!A972,'Daftar Koreksi'!$G$5:$G$92,"Aset Henti Guna",'Daftar Koreksi'!$I$5:$I$92,"&lt;0")-SUMIFS('Daftar Koreksi'!$I$5:$I$92,'Daftar Koreksi'!$D$5:$D$92,'0200'!A972,'Daftar Koreksi'!$G$5:$G$92,"Aset Henti Guna",'Daftar Koreksi'!$I$5:$I$92,"&lt;0")-SUMIFS('Daftar Koreksi'!$I$5:$I$92,'Daftar Koreksi'!$D$5:$D$92,'0200'!A972,'Daftar Koreksi'!$G$5:$G$92,"Aset Henti Guna",'Daftar Koreksi'!$I$5:$I$92,"&lt;0")</f>
        <v>0</v>
      </c>
      <c r="G989" s="17">
        <f t="shared" si="44"/>
        <v>-24036022</v>
      </c>
      <c r="H989" s="122"/>
    </row>
    <row r="990" spans="1:8" ht="21.95" customHeight="1">
      <c r="A990" s="14"/>
      <c r="B990" s="14"/>
      <c r="C990" s="18" t="s">
        <v>2094</v>
      </c>
      <c r="D990" s="19">
        <f>SUM(D985:D989)</f>
        <v>-2409356816</v>
      </c>
      <c r="E990" s="19">
        <f>SUM(E985:E989)</f>
        <v>0</v>
      </c>
      <c r="F990" s="19">
        <f>SUM(F985:F989)</f>
        <v>0</v>
      </c>
      <c r="G990" s="19">
        <f t="shared" si="44"/>
        <v>-2409356816</v>
      </c>
      <c r="H990" s="122"/>
    </row>
    <row r="991" spans="1:8" ht="21.95" customHeight="1">
      <c r="A991" s="14"/>
      <c r="B991" s="14"/>
      <c r="C991" s="18" t="s">
        <v>2095</v>
      </c>
      <c r="D991" s="19">
        <f>VLOOKUP(A972,'Neraca Unaudited SIMAK'!$A$2:$S$10004,18,FALSE)</f>
        <v>3210370725</v>
      </c>
      <c r="E991" s="19">
        <f>E990+E984</f>
        <v>0</v>
      </c>
      <c r="F991" s="19">
        <f>F990+F984</f>
        <v>0</v>
      </c>
      <c r="G991" s="19">
        <f t="shared" si="44"/>
        <v>3210370725</v>
      </c>
      <c r="H991" s="122"/>
    </row>
    <row r="992" spans="1:8" ht="21.95" customHeight="1">
      <c r="A992" s="14"/>
      <c r="B992" s="14"/>
      <c r="C992" s="16" t="s">
        <v>2091</v>
      </c>
      <c r="D992" s="17">
        <f>VLOOKUP(A972,'Neraca Unaudited SIMAK'!$A$2:$S$10004,19,FALSE)</f>
        <v>0</v>
      </c>
      <c r="E992" s="25"/>
      <c r="F992" s="25"/>
      <c r="G992" s="17">
        <f t="shared" si="44"/>
        <v>0</v>
      </c>
      <c r="H992" s="123"/>
    </row>
    <row r="994" spans="1:8" ht="19.5" customHeight="1">
      <c r="A994" s="11" t="str">
        <f>O46</f>
        <v>005010200652062000KD</v>
      </c>
      <c r="B994" s="11" t="str">
        <f>P46</f>
        <v>PA. Depok</v>
      </c>
      <c r="C994" s="12" t="str">
        <f>A994&amp;" "&amp;B994</f>
        <v>005010200652062000KD PA. Depok</v>
      </c>
      <c r="D994" s="13"/>
      <c r="E994" s="13"/>
      <c r="F994" s="13"/>
      <c r="G994" s="13"/>
      <c r="H994" s="11"/>
    </row>
    <row r="995" spans="1:8" ht="21.95" customHeight="1">
      <c r="A995" s="14"/>
      <c r="B995" s="14"/>
      <c r="C995" s="124" t="s">
        <v>1982</v>
      </c>
      <c r="D995" s="126" t="s">
        <v>1983</v>
      </c>
      <c r="E995" s="132" t="s">
        <v>1984</v>
      </c>
      <c r="F995" s="132"/>
      <c r="G995" s="126" t="s">
        <v>1987</v>
      </c>
      <c r="H995" s="130" t="s">
        <v>1175</v>
      </c>
    </row>
    <row r="996" spans="1:8" ht="21.95" customHeight="1">
      <c r="A996" s="14"/>
      <c r="B996" s="14"/>
      <c r="C996" s="125"/>
      <c r="D996" s="127"/>
      <c r="E996" s="26" t="s">
        <v>1985</v>
      </c>
      <c r="F996" s="26" t="s">
        <v>1986</v>
      </c>
      <c r="G996" s="127"/>
      <c r="H996" s="131"/>
    </row>
    <row r="997" spans="1:8" ht="21.95" customHeight="1">
      <c r="A997" s="14"/>
      <c r="B997" s="14"/>
      <c r="C997" s="16" t="s">
        <v>1165</v>
      </c>
      <c r="D997" s="17">
        <f>VLOOKUP(A994,'Neraca Unaudited SIMAK'!$A$2:$S$10004,3,FALSE)</f>
        <v>1291515</v>
      </c>
      <c r="E997" s="25">
        <f>SUMIFS('Daftar Koreksi'!$H$5:$H$92,'Daftar Koreksi'!$D$5:$D$92,'0200'!A994,'Daftar Koreksi'!$G$5:$G$92,"Persediaan",'Daftar Koreksi'!$H$5:$H$92,"&gt;0")</f>
        <v>0</v>
      </c>
      <c r="F997" s="25">
        <f>SUMIFS('Daftar Koreksi'!$H$5:$H$92,'Daftar Koreksi'!$D$5:$D$92,'0200'!A994,'Daftar Koreksi'!$G$5:$G$92,"Persediaan",'Daftar Koreksi'!$H$5:$H$92,"&lt;0")-SUMIFS('Daftar Koreksi'!$H$5:$H$92,'Daftar Koreksi'!$D$5:$D$92,'0200'!A994,'Daftar Koreksi'!$G$5:$G$92,"Persediaan",'Daftar Koreksi'!$H$5:$H$92,"&lt;0")-SUMIFS('Daftar Koreksi'!$H$5:$H$92,'Daftar Koreksi'!$D$5:$D$92,'0200'!A994,'Daftar Koreksi'!$G$5:$G$92,"Persediaan",'Daftar Koreksi'!$H$5:$H$92,"&lt;0")</f>
        <v>0</v>
      </c>
      <c r="G997" s="17">
        <f>D997+E997-F997</f>
        <v>1291515</v>
      </c>
      <c r="H997" s="121" t="str">
        <f>IF(ISNA(VLOOKUP(A994,'Mutasi Neraca'!$A$3:$S$914,19,FALSE)),"-",VLOOKUP(A994,'Mutasi Neraca'!$A$3:$S$914,19,FALSE))</f>
        <v>-</v>
      </c>
    </row>
    <row r="998" spans="1:8" ht="21.95" customHeight="1">
      <c r="A998" s="14"/>
      <c r="B998" s="14"/>
      <c r="C998" s="16" t="s">
        <v>1166</v>
      </c>
      <c r="D998" s="17">
        <f>VLOOKUP(A994,'Neraca Unaudited SIMAK'!$A$2:$S$10004,4,FALSE)</f>
        <v>993820000</v>
      </c>
      <c r="E998" s="25">
        <f>SUMIFS('Daftar Koreksi'!$H$5:$H$92,'Daftar Koreksi'!$D$5:$D$92,'0200'!A994,'Daftar Koreksi'!$G$5:$G$92,"Tanah",'Daftar Koreksi'!$H$5:$H$92,"&gt;0")</f>
        <v>0</v>
      </c>
      <c r="F998" s="25">
        <f>SUMIFS('Daftar Koreksi'!$H$5:$H$92,'Daftar Koreksi'!$D$5:$D$92,'0200'!A994,'Daftar Koreksi'!$G$5:$G$92,"Tanah",'Daftar Koreksi'!$H$5:$H$92,"&lt;0")-SUMIFS('Daftar Koreksi'!$H$5:$H$92,'Daftar Koreksi'!$D$5:$D$92,'0200'!A994,'Daftar Koreksi'!$G$5:$G$92,"Tanah",'Daftar Koreksi'!$H$5:$H$92,"&lt;0")-SUMIFS('Daftar Koreksi'!$H$5:$H$92,'Daftar Koreksi'!$D$5:$D$92,'0200'!A994,'Daftar Koreksi'!$G$5:$G$92,"Tanah",'Daftar Koreksi'!$H$5:$H$92,"&lt;0")</f>
        <v>0</v>
      </c>
      <c r="G998" s="17">
        <f t="shared" ref="G998:G1014" si="45">D998+E998-F998</f>
        <v>993820000</v>
      </c>
      <c r="H998" s="122"/>
    </row>
    <row r="999" spans="1:8" ht="21.95" customHeight="1">
      <c r="A999" s="14"/>
      <c r="B999" s="14"/>
      <c r="C999" s="16" t="s">
        <v>1167</v>
      </c>
      <c r="D999" s="17">
        <f>VLOOKUP(A994,'Neraca Unaudited SIMAK'!$A$2:$S$10004,5,FALSE)</f>
        <v>1944993928</v>
      </c>
      <c r="E999" s="25">
        <f>SUMIFS('Daftar Koreksi'!$H$5:$H$92,'Daftar Koreksi'!$D$5:$D$92,'0200'!A994,'Daftar Koreksi'!$G$5:$G$92,"Peralatan dan mesin",'Daftar Koreksi'!$H$5:$H$92,"&gt;0")</f>
        <v>0</v>
      </c>
      <c r="F999" s="25">
        <f>SUMIFS('Daftar Koreksi'!$H$5:$H$92,'Daftar Koreksi'!$D$5:$D$92,'0200'!A994,'Daftar Koreksi'!$G$5:$G$92,"Peralatan dan mesin",'Daftar Koreksi'!$H$5:$H$92,"&lt;0")-SUMIFS('Daftar Koreksi'!$H$5:$H$92,'Daftar Koreksi'!$D$5:$D$92,'0200'!A994,'Daftar Koreksi'!$G$5:$G$92,"Peralatan dan mesin",'Daftar Koreksi'!$H$5:$H$92,"&lt;0")-SUMIFS('Daftar Koreksi'!$H$5:$H$92,'Daftar Koreksi'!$D$5:$D$92,'0200'!A994,'Daftar Koreksi'!$G$5:$G$92,"Peralatan dan mesin",'Daftar Koreksi'!$H$5:$H$92,"&lt;0")</f>
        <v>0</v>
      </c>
      <c r="G999" s="17">
        <f t="shared" si="45"/>
        <v>1944993928</v>
      </c>
      <c r="H999" s="122"/>
    </row>
    <row r="1000" spans="1:8" ht="21.95" customHeight="1">
      <c r="A1000" s="14"/>
      <c r="B1000" s="14"/>
      <c r="C1000" s="16" t="s">
        <v>1168</v>
      </c>
      <c r="D1000" s="17">
        <f>VLOOKUP(A994,'Neraca Unaudited SIMAK'!$A$2:$S$10004,6,FALSE)</f>
        <v>4762728807</v>
      </c>
      <c r="E1000" s="25">
        <f>SUMIFS('Daftar Koreksi'!$H$5:$H$92,'Daftar Koreksi'!$D$5:$D$92,'0200'!A994,'Daftar Koreksi'!$G$5:$G$92,"Gedung dan Bangunan",'Daftar Koreksi'!$H$5:$H$92,"&gt;0")</f>
        <v>0</v>
      </c>
      <c r="F1000" s="25">
        <f>SUMIFS('Daftar Koreksi'!$H$5:$H$92,'Daftar Koreksi'!$D$5:$D$92,'0200'!A994,'Daftar Koreksi'!$G$5:$G$92,"Gedung dan Bangunan",'Daftar Koreksi'!$H$5:$H$92,"&lt;0")-SUMIFS('Daftar Koreksi'!$H$5:$H$92,'Daftar Koreksi'!$D$5:$D$92,'0200'!A994,'Daftar Koreksi'!$G$5:$G$92,"Gedung dan Bangunan",'Daftar Koreksi'!$H$5:$H$92,"&lt;0")-SUMIFS('Daftar Koreksi'!$H$5:$H$92,'Daftar Koreksi'!$D$5:$D$92,'0200'!A994,'Daftar Koreksi'!$G$5:$G$92,"Gedung dan Bangunan",'Daftar Koreksi'!$H$5:$H$92,"&lt;0")</f>
        <v>0</v>
      </c>
      <c r="G1000" s="17">
        <f t="shared" si="45"/>
        <v>4762728807</v>
      </c>
      <c r="H1000" s="122"/>
    </row>
    <row r="1001" spans="1:8" ht="21.95" customHeight="1">
      <c r="A1001" s="14"/>
      <c r="B1001" s="14"/>
      <c r="C1001" s="16" t="s">
        <v>1169</v>
      </c>
      <c r="D1001" s="17">
        <f>VLOOKUP(A994,'Neraca Unaudited SIMAK'!$A$2:$S$10004,7,FALSE)</f>
        <v>0</v>
      </c>
      <c r="E1001" s="25">
        <f>SUMIFS('Daftar Koreksi'!$H$5:$H$92,'Daftar Koreksi'!$D$5:$D$92,'0200'!A994,'Daftar Koreksi'!$G$5:$G$92,"Jalan Irigasi Jaringan",'Daftar Koreksi'!$H$5:$H$92,"&gt;0")</f>
        <v>0</v>
      </c>
      <c r="F1001" s="25">
        <f>SUMIFS('Daftar Koreksi'!$H$5:$H$92,'Daftar Koreksi'!$D$5:$D$92,'0200'!A994,'Daftar Koreksi'!$G$5:$G$92,"Jalan Irigasi Jaringan",'Daftar Koreksi'!$H$5:$H$92,"&lt;0")-SUMIFS('Daftar Koreksi'!$H$5:$H$92,'Daftar Koreksi'!$D$5:$D$92,'0200'!A994,'Daftar Koreksi'!$G$5:$G$92,"Jalan Irigasi Jaringan",'Daftar Koreksi'!$H$5:$H$92,"&lt;0")-SUMIFS('Daftar Koreksi'!$H$5:$H$92,'Daftar Koreksi'!$D$5:$D$92,'0200'!A994,'Daftar Koreksi'!$G$5:$G$92,"Jalan Irigasi Jaringan",'Daftar Koreksi'!$H$5:$H$92,"&lt;0")</f>
        <v>0</v>
      </c>
      <c r="G1001" s="17">
        <f t="shared" si="45"/>
        <v>0</v>
      </c>
      <c r="H1001" s="122"/>
    </row>
    <row r="1002" spans="1:8" ht="21.95" customHeight="1">
      <c r="A1002" s="14"/>
      <c r="B1002" s="14"/>
      <c r="C1002" s="16" t="s">
        <v>1170</v>
      </c>
      <c r="D1002" s="17">
        <f>VLOOKUP(A994,'Neraca Unaudited SIMAK'!$A$2:$S$10004,8,FALSE)</f>
        <v>9142300</v>
      </c>
      <c r="E1002" s="25">
        <f>SUMIFS('Daftar Koreksi'!$H$5:$H$92,'Daftar Koreksi'!$D$5:$D$92,'0200'!A994,'Daftar Koreksi'!$G$5:$G$92,"Aset Tetap Lainnya",'Daftar Koreksi'!$H$5:$H$92,"&gt;0")</f>
        <v>0</v>
      </c>
      <c r="F1002" s="25">
        <f>SUMIFS('Daftar Koreksi'!$H$5:$H$92,'Daftar Koreksi'!$D$5:$D$92,'0200'!A994,'Daftar Koreksi'!$G$5:$G$92,"Aset Tetap Lainnya",'Daftar Koreksi'!$H$5:$H$92,"&lt;0")-SUMIFS('Daftar Koreksi'!$H$5:$H$92,'Daftar Koreksi'!$D$5:$D$92,'0200'!A994,'Daftar Koreksi'!$G$5:$G$92,"Aset Tetap Lainnya",'Daftar Koreksi'!$H$5:$H$92,"&lt;0")-SUMIFS('Daftar Koreksi'!$H$5:$H$92,'Daftar Koreksi'!$D$5:$D$92,'0200'!A994,'Daftar Koreksi'!$G$5:$G$92,"Aset Tetap Lainnya",'Daftar Koreksi'!$H$5:$H$92,"&lt;0")</f>
        <v>0</v>
      </c>
      <c r="G1002" s="17">
        <f t="shared" si="45"/>
        <v>9142300</v>
      </c>
      <c r="H1002" s="122"/>
    </row>
    <row r="1003" spans="1:8" ht="21.95" customHeight="1">
      <c r="A1003" s="14"/>
      <c r="B1003" s="14"/>
      <c r="C1003" s="16" t="s">
        <v>1171</v>
      </c>
      <c r="D1003" s="17">
        <f>VLOOKUP(A994,'Neraca Unaudited SIMAK'!$A$2:$S$10004,9,FALSE)</f>
        <v>0</v>
      </c>
      <c r="E1003" s="25">
        <f>SUMIFS('Daftar Koreksi'!$H$5:$H$92,'Daftar Koreksi'!$D$5:$D$92,'0200'!A994,'Daftar Koreksi'!$G$5:$G$92,"Kontruksi Dalam Pengerjaan",'Daftar Koreksi'!$H$5:$H$92,"&gt;0")</f>
        <v>0</v>
      </c>
      <c r="F1003" s="25">
        <f>SUMIFS('Daftar Koreksi'!$H$5:$H$92,'Daftar Koreksi'!$D$5:$D$92,'0200'!A994,'Daftar Koreksi'!$G$5:$G$92,"Kontruksi Dalam Pengerjaan",'Daftar Koreksi'!$H$5:$H$92,"&lt;0")-SUMIFS('Daftar Koreksi'!$H$5:$H$92,'Daftar Koreksi'!$D$5:$D$92,'0200'!A994,'Daftar Koreksi'!$G$5:$G$92,"Kontruksi Dalam Pengerjaan",'Daftar Koreksi'!$H$5:$H$92,"&lt;0")-SUMIFS('Daftar Koreksi'!$H$5:$H$92,'Daftar Koreksi'!$D$5:$D$92,'0200'!A994,'Daftar Koreksi'!$G$5:$G$92,"Kontruksi Dalam Pengerjaan",'Daftar Koreksi'!$H$5:$H$92,"&lt;0")</f>
        <v>0</v>
      </c>
      <c r="G1003" s="17">
        <f t="shared" si="45"/>
        <v>0</v>
      </c>
      <c r="H1003" s="122"/>
    </row>
    <row r="1004" spans="1:8" ht="21.95" customHeight="1">
      <c r="A1004" s="14"/>
      <c r="B1004" s="14"/>
      <c r="C1004" s="16" t="s">
        <v>1172</v>
      </c>
      <c r="D1004" s="17">
        <f>VLOOKUP(A994,'Neraca Unaudited SIMAK'!$A$2:$S$10004,10,FALSE)</f>
        <v>49700000</v>
      </c>
      <c r="E1004" s="25">
        <f>SUMIFS('Daftar Koreksi'!$H$5:$H$92,'Daftar Koreksi'!$D$5:$D$92,'0200'!A994,'Daftar Koreksi'!$G$5:$G$92,"Aset Tak Berwujud",'Daftar Koreksi'!$H$5:$H$92,"&gt;0")</f>
        <v>0</v>
      </c>
      <c r="F1004" s="25">
        <f>SUMIFS('Daftar Koreksi'!$H$5:$H$92,'Daftar Koreksi'!$D$5:$D$92,'0200'!A994,'Daftar Koreksi'!$G$5:$G$92,"Aset Tak Berwujud",'Daftar Koreksi'!$H$5:$H$92,"&lt;0")-SUMIFS('Daftar Koreksi'!$H$5:$H$92,'Daftar Koreksi'!$D$5:$D$92,'0200'!A994,'Daftar Koreksi'!$G$5:$G$92,"Aset Tak Berwujud",'Daftar Koreksi'!$H$5:$H$92,"&lt;0")-SUMIFS('Daftar Koreksi'!$H$5:$H$92,'Daftar Koreksi'!$D$5:$D$92,'0200'!A994,'Daftar Koreksi'!$G$5:$G$92,"Aset Tak Berwujud",'Daftar Koreksi'!$H$5:$H$92,"&lt;0")</f>
        <v>0</v>
      </c>
      <c r="G1004" s="17">
        <f t="shared" si="45"/>
        <v>49700000</v>
      </c>
      <c r="H1004" s="122"/>
    </row>
    <row r="1005" spans="1:8" ht="21.95" customHeight="1">
      <c r="A1005" s="14"/>
      <c r="B1005" s="14"/>
      <c r="C1005" s="16" t="s">
        <v>1173</v>
      </c>
      <c r="D1005" s="17">
        <f>VLOOKUP(A994,'Neraca Unaudited SIMAK'!$A$2:$S$10004,11,FALSE)</f>
        <v>0</v>
      </c>
      <c r="E1005" s="25">
        <f>SUMIFS('Daftar Koreksi'!$H$5:$H$92,'Daftar Koreksi'!$D$5:$D$92,'0200'!A994,'Daftar Koreksi'!$G$5:$G$92,"Aset Henti Guna",'Daftar Koreksi'!$H$5:$H$92,"&gt;0")</f>
        <v>0</v>
      </c>
      <c r="F1005" s="25">
        <f>SUMIFS('Daftar Koreksi'!$H$5:$H$92,'Daftar Koreksi'!$D$5:$D$92,'0200'!A994,'Daftar Koreksi'!$G$5:$G$92,"Aset Henti Guna",'Daftar Koreksi'!$H$5:$H$92,"&lt;0")-SUMIFS('Daftar Koreksi'!$H$5:$H$92,'Daftar Koreksi'!$D$5:$D$92,'0200'!A994,'Daftar Koreksi'!$G$5:$G$92,"Aset Henti Guna",'Daftar Koreksi'!$H$5:$H$92,"&lt;0")-SUMIFS('Daftar Koreksi'!$H$5:$H$92,'Daftar Koreksi'!$D$5:$D$92,'0200'!A994,'Daftar Koreksi'!$G$5:$G$92,"Aset Henti Guna",'Daftar Koreksi'!$H$5:$H$92,"&lt;0")</f>
        <v>0</v>
      </c>
      <c r="G1005" s="17">
        <f t="shared" si="45"/>
        <v>0</v>
      </c>
      <c r="H1005" s="122"/>
    </row>
    <row r="1006" spans="1:8" ht="21.95" customHeight="1">
      <c r="A1006" s="14"/>
      <c r="B1006" s="14"/>
      <c r="C1006" s="18" t="s">
        <v>2093</v>
      </c>
      <c r="D1006" s="19">
        <f>VLOOKUP(A994,'Neraca Unaudited SIMAK'!$A$2:$S$10004,12,FALSE)</f>
        <v>7761676550</v>
      </c>
      <c r="E1006" s="19">
        <f>SUM(E997:E1005)</f>
        <v>0</v>
      </c>
      <c r="F1006" s="19">
        <f>SUM(F997:F1005)</f>
        <v>0</v>
      </c>
      <c r="G1006" s="19">
        <f t="shared" si="45"/>
        <v>7761676550</v>
      </c>
      <c r="H1006" s="122"/>
    </row>
    <row r="1007" spans="1:8" ht="21.95" customHeight="1">
      <c r="A1007" s="14"/>
      <c r="B1007" s="14"/>
      <c r="C1007" s="16" t="s">
        <v>2087</v>
      </c>
      <c r="D1007" s="17">
        <f>VLOOKUP(A994,'Neraca Unaudited SIMAK'!$A$2:$S$10004,13,FALSE)</f>
        <v>-1640802391</v>
      </c>
      <c r="E1007" s="25">
        <f>SUMIFS('Daftar Koreksi'!$I$5:$I$92,'Daftar Koreksi'!$D$5:$D$92,'0200'!A994,'Daftar Koreksi'!$G$5:$G$92,"Peralatan dan mesin",'Daftar Koreksi'!$I$5:$I$92,"&gt;0")</f>
        <v>0</v>
      </c>
      <c r="F1007" s="25">
        <f>SUMIFS('Daftar Koreksi'!$I$5:$I$92,'Daftar Koreksi'!$D$5:$D$92,'0200'!A994,'Daftar Koreksi'!$G$5:$G$92,"Peralatan dan mesin",'Daftar Koreksi'!$I$5:$I$92,"&lt;0")-SUMIFS('Daftar Koreksi'!$I$5:$I$92,'Daftar Koreksi'!$D$5:$D$92,'0200'!A994,'Daftar Koreksi'!$G$5:$G$92,"Peralatan dan mesin",'Daftar Koreksi'!$I$5:$I$92,"&lt;0")-SUMIFS('Daftar Koreksi'!$I$5:$I$92,'Daftar Koreksi'!$D$5:$D$92,'0200'!A994,'Daftar Koreksi'!$G$5:$G$92,"Peralatan dan mesin",'Daftar Koreksi'!$I$5:$I$92,"&lt;0")</f>
        <v>0</v>
      </c>
      <c r="G1007" s="17">
        <f t="shared" si="45"/>
        <v>-1640802391</v>
      </c>
      <c r="H1007" s="122"/>
    </row>
    <row r="1008" spans="1:8" ht="21.95" customHeight="1">
      <c r="A1008" s="14"/>
      <c r="B1008" s="14"/>
      <c r="C1008" s="16" t="s">
        <v>2088</v>
      </c>
      <c r="D1008" s="17">
        <f>VLOOKUP(A994,'Neraca Unaudited SIMAK'!$A$2:$S$10004,14,FALSE)</f>
        <v>-699420485</v>
      </c>
      <c r="E1008" s="25">
        <f>SUMIFS('Daftar Koreksi'!$I$5:$I$92,'Daftar Koreksi'!$D$5:$D$92,'0200'!A994,'Daftar Koreksi'!$G$5:$G$92,"Gedung dan Bangunan",'Daftar Koreksi'!$I$5:$I$92,"&gt;0")</f>
        <v>0</v>
      </c>
      <c r="F1008" s="25">
        <f>SUMIFS('Daftar Koreksi'!$I$5:$I$92,'Daftar Koreksi'!$D$5:$D$92,'0200'!A994,'Daftar Koreksi'!$G$5:$G$92,"Gedung dan Bangunan",'Daftar Koreksi'!$I$5:$I$92,"&lt;0")-SUMIFS('Daftar Koreksi'!$I$5:$I$92,'Daftar Koreksi'!$D$5:$D$92,'0200'!A994,'Daftar Koreksi'!$G$5:$G$92,"Gedung dan Bangunan",'Daftar Koreksi'!$I$5:$I$92,"&lt;0")-SUMIFS('Daftar Koreksi'!$I$5:$I$92,'Daftar Koreksi'!$D$5:$D$92,'0200'!A994,'Daftar Koreksi'!$G$5:$G$92,"Gedung dan Bangunan",'Daftar Koreksi'!$I$5:$I$92,"&lt;0")</f>
        <v>0</v>
      </c>
      <c r="G1008" s="17">
        <f t="shared" si="45"/>
        <v>-699420485</v>
      </c>
      <c r="H1008" s="122"/>
    </row>
    <row r="1009" spans="1:8" ht="21.95" customHeight="1">
      <c r="A1009" s="14"/>
      <c r="B1009" s="14"/>
      <c r="C1009" s="16" t="s">
        <v>2089</v>
      </c>
      <c r="D1009" s="17">
        <f>VLOOKUP(A994,'Neraca Unaudited SIMAK'!$A$2:$S$10004,15,FALSE)</f>
        <v>0</v>
      </c>
      <c r="E1009" s="25">
        <f>SUMIFS('Daftar Koreksi'!$I$5:$I$92,'Daftar Koreksi'!$D$5:$D$92,'0200'!A994,'Daftar Koreksi'!$G$5:$G$92,"Jalan Irigasi Jaringan",'Daftar Koreksi'!$I$5:$I$92,"&gt;0")</f>
        <v>0</v>
      </c>
      <c r="F1009" s="25">
        <f>SUMIFS('Daftar Koreksi'!$I$5:$I$92,'Daftar Koreksi'!$D$5:$D$92,'0200'!A994,'Daftar Koreksi'!$G$5:$G$92,"Jalan Irigasi Jaringan",'Daftar Koreksi'!$I$5:$I$92,"&lt;0")-SUMIFS('Daftar Koreksi'!$I$5:$I$92,'Daftar Koreksi'!$D$5:$D$92,'0200'!A994,'Daftar Koreksi'!$G$5:$G$92,"Jalan Irigasi Jaringan",'Daftar Koreksi'!$I$5:$I$92,"&lt;0")-SUMIFS('Daftar Koreksi'!$I$5:$I$92,'Daftar Koreksi'!$D$5:$D$92,'0200'!A994,'Daftar Koreksi'!$G$5:$G$92,"Jalan Irigasi Jaringan",'Daftar Koreksi'!$I$5:$I$92,"&lt;0")</f>
        <v>0</v>
      </c>
      <c r="G1009" s="17">
        <f t="shared" si="45"/>
        <v>0</v>
      </c>
      <c r="H1009" s="122"/>
    </row>
    <row r="1010" spans="1:8" ht="21.95" customHeight="1">
      <c r="A1010" s="14"/>
      <c r="B1010" s="14"/>
      <c r="C1010" s="16" t="s">
        <v>2090</v>
      </c>
      <c r="D1010" s="17">
        <f>VLOOKUP(A994,'Neraca Unaudited SIMAK'!$A$2:$S$10004,16,FALSE)</f>
        <v>0</v>
      </c>
      <c r="E1010" s="25">
        <f>SUMIFS('Daftar Koreksi'!$I$5:$I$92,'Daftar Koreksi'!$D$5:$D$92,'0200'!A994,'Daftar Koreksi'!$G$5:$G$92,"Aset Tetap Lainnya",'Daftar Koreksi'!$I$5:$I$92,"&gt;0")</f>
        <v>0</v>
      </c>
      <c r="F1010" s="25">
        <f>SUMIFS('Daftar Koreksi'!$I$5:$I$92,'Daftar Koreksi'!$D$5:$D$92,'0200'!A994,'Daftar Koreksi'!$G$5:$G$92,"Aset Tetap Lainnya",'Daftar Koreksi'!$I$5:$I$92,"&lt;0")-SUMIFS('Daftar Koreksi'!$I$5:$I$92,'Daftar Koreksi'!$D$5:$D$92,'0200'!A994,'Daftar Koreksi'!$G$5:$G$92,"Aset Tetap Lainnya",'Daftar Koreksi'!$I$5:$I$92,"&lt;0")-SUMIFS('Daftar Koreksi'!$I$5:$I$92,'Daftar Koreksi'!$D$5:$D$92,'0200'!A994,'Daftar Koreksi'!$G$5:$G$92,"Aset Tetap Lainnya",'Daftar Koreksi'!$I$5:$I$92,"&lt;0")</f>
        <v>0</v>
      </c>
      <c r="G1010" s="17">
        <f t="shared" si="45"/>
        <v>0</v>
      </c>
      <c r="H1010" s="122"/>
    </row>
    <row r="1011" spans="1:8" ht="21.95" customHeight="1">
      <c r="A1011" s="14"/>
      <c r="B1011" s="14"/>
      <c r="C1011" s="16" t="s">
        <v>2020</v>
      </c>
      <c r="D1011" s="17">
        <f>VLOOKUP(A994,'Neraca Unaudited SIMAK'!$A$2:$S$10004,17,FALSE)</f>
        <v>0</v>
      </c>
      <c r="E1011" s="25">
        <f>SUMIFS('Daftar Koreksi'!$I$5:$I$92,'Daftar Koreksi'!$D$5:$D$92,'0200'!A994,'Daftar Koreksi'!$G$5:$G$92,"Aset Henti Guna",'Daftar Koreksi'!$I$5:$I$92,"&gt;0")</f>
        <v>0</v>
      </c>
      <c r="F1011" s="25">
        <f>SUMIFS('Daftar Koreksi'!$I$5:$I$92,'Daftar Koreksi'!$D$5:$D$92,'0200'!A994,'Daftar Koreksi'!$G$5:$G$92,"Aset Henti Guna",'Daftar Koreksi'!$I$5:$I$92,"&lt;0")-SUMIFS('Daftar Koreksi'!$I$5:$I$92,'Daftar Koreksi'!$D$5:$D$92,'0200'!A994,'Daftar Koreksi'!$G$5:$G$92,"Aset Henti Guna",'Daftar Koreksi'!$I$5:$I$92,"&lt;0")-SUMIFS('Daftar Koreksi'!$I$5:$I$92,'Daftar Koreksi'!$D$5:$D$92,'0200'!A994,'Daftar Koreksi'!$G$5:$G$92,"Aset Henti Guna",'Daftar Koreksi'!$I$5:$I$92,"&lt;0")</f>
        <v>0</v>
      </c>
      <c r="G1011" s="17">
        <f t="shared" si="45"/>
        <v>0</v>
      </c>
      <c r="H1011" s="122"/>
    </row>
    <row r="1012" spans="1:8" ht="21.95" customHeight="1">
      <c r="A1012" s="14"/>
      <c r="B1012" s="14"/>
      <c r="C1012" s="18" t="s">
        <v>2094</v>
      </c>
      <c r="D1012" s="19">
        <f>SUM(D1007:D1011)</f>
        <v>-2340222876</v>
      </c>
      <c r="E1012" s="19">
        <f>SUM(E1007:E1011)</f>
        <v>0</v>
      </c>
      <c r="F1012" s="19">
        <f>SUM(F1007:F1011)</f>
        <v>0</v>
      </c>
      <c r="G1012" s="19">
        <f t="shared" si="45"/>
        <v>-2340222876</v>
      </c>
      <c r="H1012" s="122"/>
    </row>
    <row r="1013" spans="1:8" ht="21.95" customHeight="1">
      <c r="A1013" s="14"/>
      <c r="B1013" s="14"/>
      <c r="C1013" s="18" t="s">
        <v>2095</v>
      </c>
      <c r="D1013" s="19">
        <f>VLOOKUP(A994,'Neraca Unaudited SIMAK'!$A$2:$S$10004,18,FALSE)</f>
        <v>5421453674</v>
      </c>
      <c r="E1013" s="19">
        <f>E1012+E1006</f>
        <v>0</v>
      </c>
      <c r="F1013" s="19">
        <f>F1012+F1006</f>
        <v>0</v>
      </c>
      <c r="G1013" s="19">
        <f t="shared" si="45"/>
        <v>5421453674</v>
      </c>
      <c r="H1013" s="122"/>
    </row>
    <row r="1014" spans="1:8" ht="21.95" customHeight="1">
      <c r="A1014" s="14"/>
      <c r="B1014" s="14"/>
      <c r="C1014" s="16" t="s">
        <v>2091</v>
      </c>
      <c r="D1014" s="17">
        <f>VLOOKUP(A994,'Neraca Unaudited SIMAK'!$A$2:$S$10004,19,FALSE)</f>
        <v>0</v>
      </c>
      <c r="E1014" s="25"/>
      <c r="F1014" s="25"/>
      <c r="G1014" s="17">
        <f t="shared" si="45"/>
        <v>0</v>
      </c>
      <c r="H1014" s="123"/>
    </row>
    <row r="1016" spans="1:8" ht="19.5" customHeight="1">
      <c r="A1016" s="11" t="str">
        <f>O47</f>
        <v>005010200663271000KD</v>
      </c>
      <c r="B1016" s="11" t="str">
        <f>P47</f>
        <v>DILMIL.  II - 09 di Bandung</v>
      </c>
      <c r="C1016" s="12" t="str">
        <f>A1016&amp;" "&amp;B1016</f>
        <v>005010200663271000KD DILMIL.  II - 09 di Bandung</v>
      </c>
      <c r="D1016" s="13"/>
      <c r="E1016" s="13"/>
      <c r="F1016" s="13"/>
      <c r="G1016" s="13"/>
      <c r="H1016" s="11"/>
    </row>
    <row r="1017" spans="1:8" ht="21.95" customHeight="1">
      <c r="A1017" s="14"/>
      <c r="B1017" s="14"/>
      <c r="C1017" s="124" t="s">
        <v>1982</v>
      </c>
      <c r="D1017" s="126" t="s">
        <v>1983</v>
      </c>
      <c r="E1017" s="132" t="s">
        <v>1984</v>
      </c>
      <c r="F1017" s="132"/>
      <c r="G1017" s="126" t="s">
        <v>1987</v>
      </c>
      <c r="H1017" s="130" t="s">
        <v>1175</v>
      </c>
    </row>
    <row r="1018" spans="1:8" ht="21.95" customHeight="1">
      <c r="A1018" s="14"/>
      <c r="B1018" s="14"/>
      <c r="C1018" s="125"/>
      <c r="D1018" s="127"/>
      <c r="E1018" s="26" t="s">
        <v>1985</v>
      </c>
      <c r="F1018" s="26" t="s">
        <v>1986</v>
      </c>
      <c r="G1018" s="127"/>
      <c r="H1018" s="131"/>
    </row>
    <row r="1019" spans="1:8" ht="21.95" customHeight="1">
      <c r="A1019" s="14"/>
      <c r="B1019" s="14"/>
      <c r="C1019" s="16" t="s">
        <v>1165</v>
      </c>
      <c r="D1019" s="17">
        <f>VLOOKUP(A1016,'Neraca Unaudited SIMAK'!$A$2:$S$10004,3,FALSE)</f>
        <v>410000</v>
      </c>
      <c r="E1019" s="25">
        <f>SUMIFS('Daftar Koreksi'!$H$5:$H$92,'Daftar Koreksi'!$D$5:$D$92,'0200'!A1016,'Daftar Koreksi'!$G$5:$G$92,"Persediaan",'Daftar Koreksi'!$H$5:$H$92,"&gt;0")</f>
        <v>0</v>
      </c>
      <c r="F1019" s="25">
        <f>SUMIFS('Daftar Koreksi'!$H$5:$H$92,'Daftar Koreksi'!$D$5:$D$92,'0200'!A1016,'Daftar Koreksi'!$G$5:$G$92,"Persediaan",'Daftar Koreksi'!$H$5:$H$92,"&lt;0")-SUMIFS('Daftar Koreksi'!$H$5:$H$92,'Daftar Koreksi'!$D$5:$D$92,'0200'!A1016,'Daftar Koreksi'!$G$5:$G$92,"Persediaan",'Daftar Koreksi'!$H$5:$H$92,"&lt;0")-SUMIFS('Daftar Koreksi'!$H$5:$H$92,'Daftar Koreksi'!$D$5:$D$92,'0200'!A1016,'Daftar Koreksi'!$G$5:$G$92,"Persediaan",'Daftar Koreksi'!$H$5:$H$92,"&lt;0")</f>
        <v>0</v>
      </c>
      <c r="G1019" s="17">
        <f>D1019+E1019-F1019</f>
        <v>410000</v>
      </c>
      <c r="H1019" s="121" t="str">
        <f>IF(ISNA(VLOOKUP(A1016,'Mutasi Neraca'!$A$3:$S$914,19,FALSE)),"-",VLOOKUP(A1016,'Mutasi Neraca'!$A$3:$S$914,19,FALSE))</f>
        <v>-</v>
      </c>
    </row>
    <row r="1020" spans="1:8" ht="21.95" customHeight="1">
      <c r="A1020" s="14"/>
      <c r="B1020" s="14"/>
      <c r="C1020" s="16" t="s">
        <v>1166</v>
      </c>
      <c r="D1020" s="17">
        <f>VLOOKUP(A1016,'Neraca Unaudited SIMAK'!$A$2:$S$10004,4,FALSE)</f>
        <v>3200000000</v>
      </c>
      <c r="E1020" s="25">
        <f>SUMIFS('Daftar Koreksi'!$H$5:$H$92,'Daftar Koreksi'!$D$5:$D$92,'0200'!A1016,'Daftar Koreksi'!$G$5:$G$92,"Tanah",'Daftar Koreksi'!$H$5:$H$92,"&gt;0")</f>
        <v>0</v>
      </c>
      <c r="F1020" s="25">
        <f>SUMIFS('Daftar Koreksi'!$H$5:$H$92,'Daftar Koreksi'!$D$5:$D$92,'0200'!A1016,'Daftar Koreksi'!$G$5:$G$92,"Tanah",'Daftar Koreksi'!$H$5:$H$92,"&lt;0")-SUMIFS('Daftar Koreksi'!$H$5:$H$92,'Daftar Koreksi'!$D$5:$D$92,'0200'!A1016,'Daftar Koreksi'!$G$5:$G$92,"Tanah",'Daftar Koreksi'!$H$5:$H$92,"&lt;0")-SUMIFS('Daftar Koreksi'!$H$5:$H$92,'Daftar Koreksi'!$D$5:$D$92,'0200'!A1016,'Daftar Koreksi'!$G$5:$G$92,"Tanah",'Daftar Koreksi'!$H$5:$H$92,"&lt;0")</f>
        <v>0</v>
      </c>
      <c r="G1020" s="17">
        <f t="shared" ref="G1020:G1036" si="46">D1020+E1020-F1020</f>
        <v>3200000000</v>
      </c>
      <c r="H1020" s="122"/>
    </row>
    <row r="1021" spans="1:8" ht="21.95" customHeight="1">
      <c r="A1021" s="14"/>
      <c r="B1021" s="14"/>
      <c r="C1021" s="16" t="s">
        <v>1167</v>
      </c>
      <c r="D1021" s="17">
        <f>VLOOKUP(A1016,'Neraca Unaudited SIMAK'!$A$2:$S$10004,5,FALSE)</f>
        <v>2849359956</v>
      </c>
      <c r="E1021" s="25">
        <f>SUMIFS('Daftar Koreksi'!$H$5:$H$92,'Daftar Koreksi'!$D$5:$D$92,'0200'!A1016,'Daftar Koreksi'!$G$5:$G$92,"Peralatan dan mesin",'Daftar Koreksi'!$H$5:$H$92,"&gt;0")</f>
        <v>0</v>
      </c>
      <c r="F1021" s="25">
        <f>SUMIFS('Daftar Koreksi'!$H$5:$H$92,'Daftar Koreksi'!$D$5:$D$92,'0200'!A1016,'Daftar Koreksi'!$G$5:$G$92,"Peralatan dan mesin",'Daftar Koreksi'!$H$5:$H$92,"&lt;0")-SUMIFS('Daftar Koreksi'!$H$5:$H$92,'Daftar Koreksi'!$D$5:$D$92,'0200'!A1016,'Daftar Koreksi'!$G$5:$G$92,"Peralatan dan mesin",'Daftar Koreksi'!$H$5:$H$92,"&lt;0")-SUMIFS('Daftar Koreksi'!$H$5:$H$92,'Daftar Koreksi'!$D$5:$D$92,'0200'!A1016,'Daftar Koreksi'!$G$5:$G$92,"Peralatan dan mesin",'Daftar Koreksi'!$H$5:$H$92,"&lt;0")</f>
        <v>0</v>
      </c>
      <c r="G1021" s="17">
        <f t="shared" si="46"/>
        <v>2849359956</v>
      </c>
      <c r="H1021" s="122"/>
    </row>
    <row r="1022" spans="1:8" ht="21.95" customHeight="1">
      <c r="A1022" s="14"/>
      <c r="B1022" s="14"/>
      <c r="C1022" s="16" t="s">
        <v>1168</v>
      </c>
      <c r="D1022" s="17">
        <f>VLOOKUP(A1016,'Neraca Unaudited SIMAK'!$A$2:$S$10004,6,FALSE)</f>
        <v>10072549000</v>
      </c>
      <c r="E1022" s="25">
        <f>SUMIFS('Daftar Koreksi'!$H$5:$H$92,'Daftar Koreksi'!$D$5:$D$92,'0200'!A1016,'Daftar Koreksi'!$G$5:$G$92,"Gedung dan Bangunan",'Daftar Koreksi'!$H$5:$H$92,"&gt;0")</f>
        <v>0</v>
      </c>
      <c r="F1022" s="25">
        <f>SUMIFS('Daftar Koreksi'!$H$5:$H$92,'Daftar Koreksi'!$D$5:$D$92,'0200'!A1016,'Daftar Koreksi'!$G$5:$G$92,"Gedung dan Bangunan",'Daftar Koreksi'!$H$5:$H$92,"&lt;0")-SUMIFS('Daftar Koreksi'!$H$5:$H$92,'Daftar Koreksi'!$D$5:$D$92,'0200'!A1016,'Daftar Koreksi'!$G$5:$G$92,"Gedung dan Bangunan",'Daftar Koreksi'!$H$5:$H$92,"&lt;0")-SUMIFS('Daftar Koreksi'!$H$5:$H$92,'Daftar Koreksi'!$D$5:$D$92,'0200'!A1016,'Daftar Koreksi'!$G$5:$G$92,"Gedung dan Bangunan",'Daftar Koreksi'!$H$5:$H$92,"&lt;0")</f>
        <v>0</v>
      </c>
      <c r="G1022" s="17">
        <f t="shared" si="46"/>
        <v>10072549000</v>
      </c>
      <c r="H1022" s="122"/>
    </row>
    <row r="1023" spans="1:8" ht="21.95" customHeight="1">
      <c r="A1023" s="14"/>
      <c r="B1023" s="14"/>
      <c r="C1023" s="16" t="s">
        <v>1169</v>
      </c>
      <c r="D1023" s="17">
        <f>VLOOKUP(A1016,'Neraca Unaudited SIMAK'!$A$2:$S$10004,7,FALSE)</f>
        <v>0</v>
      </c>
      <c r="E1023" s="25">
        <f>SUMIFS('Daftar Koreksi'!$H$5:$H$92,'Daftar Koreksi'!$D$5:$D$92,'0200'!A1016,'Daftar Koreksi'!$G$5:$G$92,"Jalan Irigasi Jaringan",'Daftar Koreksi'!$H$5:$H$92,"&gt;0")</f>
        <v>0</v>
      </c>
      <c r="F1023" s="25">
        <f>SUMIFS('Daftar Koreksi'!$H$5:$H$92,'Daftar Koreksi'!$D$5:$D$92,'0200'!A1016,'Daftar Koreksi'!$G$5:$G$92,"Jalan Irigasi Jaringan",'Daftar Koreksi'!$H$5:$H$92,"&lt;0")-SUMIFS('Daftar Koreksi'!$H$5:$H$92,'Daftar Koreksi'!$D$5:$D$92,'0200'!A1016,'Daftar Koreksi'!$G$5:$G$92,"Jalan Irigasi Jaringan",'Daftar Koreksi'!$H$5:$H$92,"&lt;0")-SUMIFS('Daftar Koreksi'!$H$5:$H$92,'Daftar Koreksi'!$D$5:$D$92,'0200'!A1016,'Daftar Koreksi'!$G$5:$G$92,"Jalan Irigasi Jaringan",'Daftar Koreksi'!$H$5:$H$92,"&lt;0")</f>
        <v>0</v>
      </c>
      <c r="G1023" s="17">
        <f t="shared" si="46"/>
        <v>0</v>
      </c>
      <c r="H1023" s="122"/>
    </row>
    <row r="1024" spans="1:8" ht="21.95" customHeight="1">
      <c r="A1024" s="14"/>
      <c r="B1024" s="14"/>
      <c r="C1024" s="16" t="s">
        <v>1170</v>
      </c>
      <c r="D1024" s="17">
        <f>VLOOKUP(A1016,'Neraca Unaudited SIMAK'!$A$2:$S$10004,8,FALSE)</f>
        <v>3000000</v>
      </c>
      <c r="E1024" s="25">
        <f>SUMIFS('Daftar Koreksi'!$H$5:$H$92,'Daftar Koreksi'!$D$5:$D$92,'0200'!A1016,'Daftar Koreksi'!$G$5:$G$92,"Aset Tetap Lainnya",'Daftar Koreksi'!$H$5:$H$92,"&gt;0")</f>
        <v>0</v>
      </c>
      <c r="F1024" s="25">
        <f>SUMIFS('Daftar Koreksi'!$H$5:$H$92,'Daftar Koreksi'!$D$5:$D$92,'0200'!A1016,'Daftar Koreksi'!$G$5:$G$92,"Aset Tetap Lainnya",'Daftar Koreksi'!$H$5:$H$92,"&lt;0")-SUMIFS('Daftar Koreksi'!$H$5:$H$92,'Daftar Koreksi'!$D$5:$D$92,'0200'!A1016,'Daftar Koreksi'!$G$5:$G$92,"Aset Tetap Lainnya",'Daftar Koreksi'!$H$5:$H$92,"&lt;0")-SUMIFS('Daftar Koreksi'!$H$5:$H$92,'Daftar Koreksi'!$D$5:$D$92,'0200'!A1016,'Daftar Koreksi'!$G$5:$G$92,"Aset Tetap Lainnya",'Daftar Koreksi'!$H$5:$H$92,"&lt;0")</f>
        <v>0</v>
      </c>
      <c r="G1024" s="17">
        <f t="shared" si="46"/>
        <v>3000000</v>
      </c>
      <c r="H1024" s="122"/>
    </row>
    <row r="1025" spans="1:8" ht="21.95" customHeight="1">
      <c r="A1025" s="14"/>
      <c r="B1025" s="14"/>
      <c r="C1025" s="16" t="s">
        <v>1171</v>
      </c>
      <c r="D1025" s="17">
        <f>VLOOKUP(A1016,'Neraca Unaudited SIMAK'!$A$2:$S$10004,9,FALSE)</f>
        <v>0</v>
      </c>
      <c r="E1025" s="25">
        <f>SUMIFS('Daftar Koreksi'!$H$5:$H$92,'Daftar Koreksi'!$D$5:$D$92,'0200'!A1016,'Daftar Koreksi'!$G$5:$G$92,"Kontruksi Dalam Pengerjaan",'Daftar Koreksi'!$H$5:$H$92,"&gt;0")</f>
        <v>0</v>
      </c>
      <c r="F1025" s="25">
        <f>SUMIFS('Daftar Koreksi'!$H$5:$H$92,'Daftar Koreksi'!$D$5:$D$92,'0200'!A1016,'Daftar Koreksi'!$G$5:$G$92,"Kontruksi Dalam Pengerjaan",'Daftar Koreksi'!$H$5:$H$92,"&lt;0")-SUMIFS('Daftar Koreksi'!$H$5:$H$92,'Daftar Koreksi'!$D$5:$D$92,'0200'!A1016,'Daftar Koreksi'!$G$5:$G$92,"Kontruksi Dalam Pengerjaan",'Daftar Koreksi'!$H$5:$H$92,"&lt;0")-SUMIFS('Daftar Koreksi'!$H$5:$H$92,'Daftar Koreksi'!$D$5:$D$92,'0200'!A1016,'Daftar Koreksi'!$G$5:$G$92,"Kontruksi Dalam Pengerjaan",'Daftar Koreksi'!$H$5:$H$92,"&lt;0")</f>
        <v>0</v>
      </c>
      <c r="G1025" s="17">
        <f t="shared" si="46"/>
        <v>0</v>
      </c>
      <c r="H1025" s="122"/>
    </row>
    <row r="1026" spans="1:8" ht="21.95" customHeight="1">
      <c r="A1026" s="14"/>
      <c r="B1026" s="14"/>
      <c r="C1026" s="16" t="s">
        <v>1172</v>
      </c>
      <c r="D1026" s="17">
        <f>VLOOKUP(A1016,'Neraca Unaudited SIMAK'!$A$2:$S$10004,10,FALSE)</f>
        <v>372776000</v>
      </c>
      <c r="E1026" s="25">
        <f>SUMIFS('Daftar Koreksi'!$H$5:$H$92,'Daftar Koreksi'!$D$5:$D$92,'0200'!A1016,'Daftar Koreksi'!$G$5:$G$92,"Aset Tak Berwujud",'Daftar Koreksi'!$H$5:$H$92,"&gt;0")</f>
        <v>0</v>
      </c>
      <c r="F1026" s="25">
        <f>SUMIFS('Daftar Koreksi'!$H$5:$H$92,'Daftar Koreksi'!$D$5:$D$92,'0200'!A1016,'Daftar Koreksi'!$G$5:$G$92,"Aset Tak Berwujud",'Daftar Koreksi'!$H$5:$H$92,"&lt;0")-SUMIFS('Daftar Koreksi'!$H$5:$H$92,'Daftar Koreksi'!$D$5:$D$92,'0200'!A1016,'Daftar Koreksi'!$G$5:$G$92,"Aset Tak Berwujud",'Daftar Koreksi'!$H$5:$H$92,"&lt;0")-SUMIFS('Daftar Koreksi'!$H$5:$H$92,'Daftar Koreksi'!$D$5:$D$92,'0200'!A1016,'Daftar Koreksi'!$G$5:$G$92,"Aset Tak Berwujud",'Daftar Koreksi'!$H$5:$H$92,"&lt;0")</f>
        <v>0</v>
      </c>
      <c r="G1026" s="17">
        <f t="shared" si="46"/>
        <v>372776000</v>
      </c>
      <c r="H1026" s="122"/>
    </row>
    <row r="1027" spans="1:8" ht="21.95" customHeight="1">
      <c r="A1027" s="14"/>
      <c r="B1027" s="14"/>
      <c r="C1027" s="16" t="s">
        <v>1173</v>
      </c>
      <c r="D1027" s="17">
        <f>VLOOKUP(A1016,'Neraca Unaudited SIMAK'!$A$2:$S$10004,11,FALSE)</f>
        <v>0</v>
      </c>
      <c r="E1027" s="25">
        <f>SUMIFS('Daftar Koreksi'!$H$5:$H$92,'Daftar Koreksi'!$D$5:$D$92,'0200'!A1016,'Daftar Koreksi'!$G$5:$G$92,"Aset Henti Guna",'Daftar Koreksi'!$H$5:$H$92,"&gt;0")</f>
        <v>0</v>
      </c>
      <c r="F1027" s="25">
        <f>SUMIFS('Daftar Koreksi'!$H$5:$H$92,'Daftar Koreksi'!$D$5:$D$92,'0200'!A1016,'Daftar Koreksi'!$G$5:$G$92,"Aset Henti Guna",'Daftar Koreksi'!$H$5:$H$92,"&lt;0")-SUMIFS('Daftar Koreksi'!$H$5:$H$92,'Daftar Koreksi'!$D$5:$D$92,'0200'!A1016,'Daftar Koreksi'!$G$5:$G$92,"Aset Henti Guna",'Daftar Koreksi'!$H$5:$H$92,"&lt;0")-SUMIFS('Daftar Koreksi'!$H$5:$H$92,'Daftar Koreksi'!$D$5:$D$92,'0200'!A1016,'Daftar Koreksi'!$G$5:$G$92,"Aset Henti Guna",'Daftar Koreksi'!$H$5:$H$92,"&lt;0")</f>
        <v>0</v>
      </c>
      <c r="G1027" s="17">
        <f t="shared" si="46"/>
        <v>0</v>
      </c>
      <c r="H1027" s="122"/>
    </row>
    <row r="1028" spans="1:8" ht="21.95" customHeight="1">
      <c r="A1028" s="14"/>
      <c r="B1028" s="14"/>
      <c r="C1028" s="18" t="s">
        <v>2093</v>
      </c>
      <c r="D1028" s="19">
        <f>VLOOKUP(A1016,'Neraca Unaudited SIMAK'!$A$2:$S$10004,12,FALSE)</f>
        <v>16498094956</v>
      </c>
      <c r="E1028" s="19">
        <f>SUM(E1019:E1027)</f>
        <v>0</v>
      </c>
      <c r="F1028" s="19">
        <f>SUM(F1019:F1027)</f>
        <v>0</v>
      </c>
      <c r="G1028" s="19">
        <f t="shared" si="46"/>
        <v>16498094956</v>
      </c>
      <c r="H1028" s="122"/>
    </row>
    <row r="1029" spans="1:8" ht="21.95" customHeight="1">
      <c r="A1029" s="14"/>
      <c r="B1029" s="14"/>
      <c r="C1029" s="16" t="s">
        <v>2087</v>
      </c>
      <c r="D1029" s="17">
        <f>VLOOKUP(A1016,'Neraca Unaudited SIMAK'!$A$2:$S$10004,13,FALSE)</f>
        <v>-2092912287</v>
      </c>
      <c r="E1029" s="25">
        <f>SUMIFS('Daftar Koreksi'!$I$5:$I$92,'Daftar Koreksi'!$D$5:$D$92,'0200'!A1016,'Daftar Koreksi'!$G$5:$G$92,"Peralatan dan mesin",'Daftar Koreksi'!$I$5:$I$92,"&gt;0")</f>
        <v>0</v>
      </c>
      <c r="F1029" s="25">
        <f>SUMIFS('Daftar Koreksi'!$I$5:$I$92,'Daftar Koreksi'!$D$5:$D$92,'0200'!A1016,'Daftar Koreksi'!$G$5:$G$92,"Peralatan dan mesin",'Daftar Koreksi'!$I$5:$I$92,"&lt;0")-SUMIFS('Daftar Koreksi'!$I$5:$I$92,'Daftar Koreksi'!$D$5:$D$92,'0200'!A1016,'Daftar Koreksi'!$G$5:$G$92,"Peralatan dan mesin",'Daftar Koreksi'!$I$5:$I$92,"&lt;0")-SUMIFS('Daftar Koreksi'!$I$5:$I$92,'Daftar Koreksi'!$D$5:$D$92,'0200'!A1016,'Daftar Koreksi'!$G$5:$G$92,"Peralatan dan mesin",'Daftar Koreksi'!$I$5:$I$92,"&lt;0")</f>
        <v>0</v>
      </c>
      <c r="G1029" s="17">
        <f t="shared" si="46"/>
        <v>-2092912287</v>
      </c>
      <c r="H1029" s="122"/>
    </row>
    <row r="1030" spans="1:8" ht="21.95" customHeight="1">
      <c r="A1030" s="14"/>
      <c r="B1030" s="14"/>
      <c r="C1030" s="16" t="s">
        <v>2088</v>
      </c>
      <c r="D1030" s="17">
        <f>VLOOKUP(A1016,'Neraca Unaudited SIMAK'!$A$2:$S$10004,14,FALSE)</f>
        <v>-901250220</v>
      </c>
      <c r="E1030" s="25">
        <f>SUMIFS('Daftar Koreksi'!$I$5:$I$92,'Daftar Koreksi'!$D$5:$D$92,'0200'!A1016,'Daftar Koreksi'!$G$5:$G$92,"Gedung dan Bangunan",'Daftar Koreksi'!$I$5:$I$92,"&gt;0")</f>
        <v>0</v>
      </c>
      <c r="F1030" s="25">
        <f>SUMIFS('Daftar Koreksi'!$I$5:$I$92,'Daftar Koreksi'!$D$5:$D$92,'0200'!A1016,'Daftar Koreksi'!$G$5:$G$92,"Gedung dan Bangunan",'Daftar Koreksi'!$I$5:$I$92,"&lt;0")-SUMIFS('Daftar Koreksi'!$I$5:$I$92,'Daftar Koreksi'!$D$5:$D$92,'0200'!A1016,'Daftar Koreksi'!$G$5:$G$92,"Gedung dan Bangunan",'Daftar Koreksi'!$I$5:$I$92,"&lt;0")-SUMIFS('Daftar Koreksi'!$I$5:$I$92,'Daftar Koreksi'!$D$5:$D$92,'0200'!A1016,'Daftar Koreksi'!$G$5:$G$92,"Gedung dan Bangunan",'Daftar Koreksi'!$I$5:$I$92,"&lt;0")</f>
        <v>0</v>
      </c>
      <c r="G1030" s="17">
        <f t="shared" si="46"/>
        <v>-901250220</v>
      </c>
      <c r="H1030" s="122"/>
    </row>
    <row r="1031" spans="1:8" ht="21.95" customHeight="1">
      <c r="A1031" s="14"/>
      <c r="B1031" s="14"/>
      <c r="C1031" s="16" t="s">
        <v>2089</v>
      </c>
      <c r="D1031" s="17">
        <f>VLOOKUP(A1016,'Neraca Unaudited SIMAK'!$A$2:$S$10004,15,FALSE)</f>
        <v>0</v>
      </c>
      <c r="E1031" s="25">
        <f>SUMIFS('Daftar Koreksi'!$I$5:$I$92,'Daftar Koreksi'!$D$5:$D$92,'0200'!A1016,'Daftar Koreksi'!$G$5:$G$92,"Jalan Irigasi Jaringan",'Daftar Koreksi'!$I$5:$I$92,"&gt;0")</f>
        <v>0</v>
      </c>
      <c r="F1031" s="25">
        <f>SUMIFS('Daftar Koreksi'!$I$5:$I$92,'Daftar Koreksi'!$D$5:$D$92,'0200'!A1016,'Daftar Koreksi'!$G$5:$G$92,"Jalan Irigasi Jaringan",'Daftar Koreksi'!$I$5:$I$92,"&lt;0")-SUMIFS('Daftar Koreksi'!$I$5:$I$92,'Daftar Koreksi'!$D$5:$D$92,'0200'!A1016,'Daftar Koreksi'!$G$5:$G$92,"Jalan Irigasi Jaringan",'Daftar Koreksi'!$I$5:$I$92,"&lt;0")-SUMIFS('Daftar Koreksi'!$I$5:$I$92,'Daftar Koreksi'!$D$5:$D$92,'0200'!A1016,'Daftar Koreksi'!$G$5:$G$92,"Jalan Irigasi Jaringan",'Daftar Koreksi'!$I$5:$I$92,"&lt;0")</f>
        <v>0</v>
      </c>
      <c r="G1031" s="17">
        <f t="shared" si="46"/>
        <v>0</v>
      </c>
      <c r="H1031" s="122"/>
    </row>
    <row r="1032" spans="1:8" ht="21.95" customHeight="1">
      <c r="A1032" s="14"/>
      <c r="B1032" s="14"/>
      <c r="C1032" s="16" t="s">
        <v>2090</v>
      </c>
      <c r="D1032" s="17">
        <f>VLOOKUP(A1016,'Neraca Unaudited SIMAK'!$A$2:$S$10004,16,FALSE)</f>
        <v>0</v>
      </c>
      <c r="E1032" s="25">
        <f>SUMIFS('Daftar Koreksi'!$I$5:$I$92,'Daftar Koreksi'!$D$5:$D$92,'0200'!A1016,'Daftar Koreksi'!$G$5:$G$92,"Aset Tetap Lainnya",'Daftar Koreksi'!$I$5:$I$92,"&gt;0")</f>
        <v>0</v>
      </c>
      <c r="F1032" s="25">
        <f>SUMIFS('Daftar Koreksi'!$I$5:$I$92,'Daftar Koreksi'!$D$5:$D$92,'0200'!A1016,'Daftar Koreksi'!$G$5:$G$92,"Aset Tetap Lainnya",'Daftar Koreksi'!$I$5:$I$92,"&lt;0")-SUMIFS('Daftar Koreksi'!$I$5:$I$92,'Daftar Koreksi'!$D$5:$D$92,'0200'!A1016,'Daftar Koreksi'!$G$5:$G$92,"Aset Tetap Lainnya",'Daftar Koreksi'!$I$5:$I$92,"&lt;0")-SUMIFS('Daftar Koreksi'!$I$5:$I$92,'Daftar Koreksi'!$D$5:$D$92,'0200'!A1016,'Daftar Koreksi'!$G$5:$G$92,"Aset Tetap Lainnya",'Daftar Koreksi'!$I$5:$I$92,"&lt;0")</f>
        <v>0</v>
      </c>
      <c r="G1032" s="17">
        <f t="shared" si="46"/>
        <v>0</v>
      </c>
      <c r="H1032" s="122"/>
    </row>
    <row r="1033" spans="1:8" ht="21.95" customHeight="1">
      <c r="A1033" s="14"/>
      <c r="B1033" s="14"/>
      <c r="C1033" s="16" t="s">
        <v>2020</v>
      </c>
      <c r="D1033" s="17">
        <f>VLOOKUP(A1016,'Neraca Unaudited SIMAK'!$A$2:$S$10004,17,FALSE)</f>
        <v>0</v>
      </c>
      <c r="E1033" s="25">
        <f>SUMIFS('Daftar Koreksi'!$I$5:$I$92,'Daftar Koreksi'!$D$5:$D$92,'0200'!A1016,'Daftar Koreksi'!$G$5:$G$92,"Aset Henti Guna",'Daftar Koreksi'!$I$5:$I$92,"&gt;0")</f>
        <v>0</v>
      </c>
      <c r="F1033" s="25">
        <f>SUMIFS('Daftar Koreksi'!$I$5:$I$92,'Daftar Koreksi'!$D$5:$D$92,'0200'!A1016,'Daftar Koreksi'!$G$5:$G$92,"Aset Henti Guna",'Daftar Koreksi'!$I$5:$I$92,"&lt;0")-SUMIFS('Daftar Koreksi'!$I$5:$I$92,'Daftar Koreksi'!$D$5:$D$92,'0200'!A1016,'Daftar Koreksi'!$G$5:$G$92,"Aset Henti Guna",'Daftar Koreksi'!$I$5:$I$92,"&lt;0")-SUMIFS('Daftar Koreksi'!$I$5:$I$92,'Daftar Koreksi'!$D$5:$D$92,'0200'!A1016,'Daftar Koreksi'!$G$5:$G$92,"Aset Henti Guna",'Daftar Koreksi'!$I$5:$I$92,"&lt;0")</f>
        <v>0</v>
      </c>
      <c r="G1033" s="17">
        <f t="shared" si="46"/>
        <v>0</v>
      </c>
      <c r="H1033" s="122"/>
    </row>
    <row r="1034" spans="1:8" ht="21.95" customHeight="1">
      <c r="A1034" s="14"/>
      <c r="B1034" s="14"/>
      <c r="C1034" s="18" t="s">
        <v>2094</v>
      </c>
      <c r="D1034" s="19">
        <f>SUM(D1029:D1033)</f>
        <v>-2994162507</v>
      </c>
      <c r="E1034" s="19">
        <f>SUM(E1029:E1033)</f>
        <v>0</v>
      </c>
      <c r="F1034" s="19">
        <f>SUM(F1029:F1033)</f>
        <v>0</v>
      </c>
      <c r="G1034" s="19">
        <f t="shared" si="46"/>
        <v>-2994162507</v>
      </c>
      <c r="H1034" s="122"/>
    </row>
    <row r="1035" spans="1:8" ht="21.95" customHeight="1">
      <c r="A1035" s="14"/>
      <c r="B1035" s="14"/>
      <c r="C1035" s="18" t="s">
        <v>2095</v>
      </c>
      <c r="D1035" s="19">
        <f>VLOOKUP(A1016,'Neraca Unaudited SIMAK'!$A$2:$S$10004,18,FALSE)</f>
        <v>13503932449</v>
      </c>
      <c r="E1035" s="19">
        <f>E1034+E1028</f>
        <v>0</v>
      </c>
      <c r="F1035" s="19">
        <f>F1034+F1028</f>
        <v>0</v>
      </c>
      <c r="G1035" s="19">
        <f t="shared" si="46"/>
        <v>13503932449</v>
      </c>
      <c r="H1035" s="122"/>
    </row>
    <row r="1036" spans="1:8" ht="21.95" customHeight="1">
      <c r="A1036" s="14"/>
      <c r="B1036" s="14"/>
      <c r="C1036" s="16" t="s">
        <v>2091</v>
      </c>
      <c r="D1036" s="17">
        <f>VLOOKUP(A1016,'Neraca Unaudited SIMAK'!$A$2:$S$10004,19,FALSE)</f>
        <v>0</v>
      </c>
      <c r="E1036" s="25"/>
      <c r="F1036" s="25"/>
      <c r="G1036" s="17">
        <f t="shared" si="46"/>
        <v>0</v>
      </c>
      <c r="H1036" s="123"/>
    </row>
    <row r="1038" spans="1:8" ht="19.5" customHeight="1">
      <c r="A1038" s="11" t="str">
        <f>O48</f>
        <v>005010200682150000KD</v>
      </c>
      <c r="B1038" s="11" t="str">
        <f>P48</f>
        <v>PN Kota Tasikmalaya</v>
      </c>
      <c r="C1038" s="12" t="str">
        <f>A1038&amp;" "&amp;B1038</f>
        <v>005010200682150000KD PN Kota Tasikmalaya</v>
      </c>
      <c r="D1038" s="13"/>
      <c r="E1038" s="13"/>
      <c r="F1038" s="13"/>
      <c r="G1038" s="13"/>
      <c r="H1038" s="11"/>
    </row>
    <row r="1039" spans="1:8" ht="21.95" customHeight="1">
      <c r="A1039" s="14"/>
      <c r="B1039" s="14"/>
      <c r="C1039" s="124" t="s">
        <v>1982</v>
      </c>
      <c r="D1039" s="126" t="s">
        <v>1983</v>
      </c>
      <c r="E1039" s="132" t="s">
        <v>1984</v>
      </c>
      <c r="F1039" s="132"/>
      <c r="G1039" s="126" t="s">
        <v>1987</v>
      </c>
      <c r="H1039" s="130" t="s">
        <v>1175</v>
      </c>
    </row>
    <row r="1040" spans="1:8" ht="21.95" customHeight="1">
      <c r="A1040" s="14"/>
      <c r="B1040" s="14"/>
      <c r="C1040" s="125"/>
      <c r="D1040" s="127"/>
      <c r="E1040" s="26" t="s">
        <v>1985</v>
      </c>
      <c r="F1040" s="26" t="s">
        <v>1986</v>
      </c>
      <c r="G1040" s="127"/>
      <c r="H1040" s="131"/>
    </row>
    <row r="1041" spans="1:8" ht="21.95" customHeight="1">
      <c r="A1041" s="14"/>
      <c r="B1041" s="14"/>
      <c r="C1041" s="16" t="s">
        <v>1165</v>
      </c>
      <c r="D1041" s="17">
        <f>VLOOKUP(A1038,'Neraca Unaudited SIMAK'!$A$2:$S$10004,3,FALSE)</f>
        <v>1525000</v>
      </c>
      <c r="E1041" s="25">
        <f>SUMIFS('Daftar Koreksi'!$H$5:$H$92,'Daftar Koreksi'!$D$5:$D$92,'0200'!A1038,'Daftar Koreksi'!$G$5:$G$92,"Persediaan",'Daftar Koreksi'!$H$5:$H$92,"&gt;0")</f>
        <v>0</v>
      </c>
      <c r="F1041" s="25">
        <f>SUMIFS('Daftar Koreksi'!$H$5:$H$92,'Daftar Koreksi'!$D$5:$D$92,'0200'!A1038,'Daftar Koreksi'!$G$5:$G$92,"Persediaan",'Daftar Koreksi'!$H$5:$H$92,"&lt;0")-SUMIFS('Daftar Koreksi'!$H$5:$H$92,'Daftar Koreksi'!$D$5:$D$92,'0200'!A1038,'Daftar Koreksi'!$G$5:$G$92,"Persediaan",'Daftar Koreksi'!$H$5:$H$92,"&lt;0")-SUMIFS('Daftar Koreksi'!$H$5:$H$92,'Daftar Koreksi'!$D$5:$D$92,'0200'!A1038,'Daftar Koreksi'!$G$5:$G$92,"Persediaan",'Daftar Koreksi'!$H$5:$H$92,"&lt;0")</f>
        <v>0</v>
      </c>
      <c r="G1041" s="17">
        <f>D1041+E1041-F1041</f>
        <v>1525000</v>
      </c>
      <c r="H1041" s="121" t="str">
        <f>IF(ISNA(VLOOKUP(A1038,'Mutasi Neraca'!$A$3:$S$914,19,FALSE)),"-",VLOOKUP(A1038,'Mutasi Neraca'!$A$3:$S$914,19,FALSE))</f>
        <v>-</v>
      </c>
    </row>
    <row r="1042" spans="1:8" ht="21.95" customHeight="1">
      <c r="A1042" s="14"/>
      <c r="B1042" s="14"/>
      <c r="C1042" s="16" t="s">
        <v>1166</v>
      </c>
      <c r="D1042" s="17">
        <f>VLOOKUP(A1038,'Neraca Unaudited SIMAK'!$A$2:$S$10004,4,FALSE)</f>
        <v>1951500000</v>
      </c>
      <c r="E1042" s="25">
        <f>SUMIFS('Daftar Koreksi'!$H$5:$H$92,'Daftar Koreksi'!$D$5:$D$92,'0200'!A1038,'Daftar Koreksi'!$G$5:$G$92,"Tanah",'Daftar Koreksi'!$H$5:$H$92,"&gt;0")</f>
        <v>0</v>
      </c>
      <c r="F1042" s="25">
        <f>SUMIFS('Daftar Koreksi'!$H$5:$H$92,'Daftar Koreksi'!$D$5:$D$92,'0200'!A1038,'Daftar Koreksi'!$G$5:$G$92,"Tanah",'Daftar Koreksi'!$H$5:$H$92,"&lt;0")-SUMIFS('Daftar Koreksi'!$H$5:$H$92,'Daftar Koreksi'!$D$5:$D$92,'0200'!A1038,'Daftar Koreksi'!$G$5:$G$92,"Tanah",'Daftar Koreksi'!$H$5:$H$92,"&lt;0")-SUMIFS('Daftar Koreksi'!$H$5:$H$92,'Daftar Koreksi'!$D$5:$D$92,'0200'!A1038,'Daftar Koreksi'!$G$5:$G$92,"Tanah",'Daftar Koreksi'!$H$5:$H$92,"&lt;0")</f>
        <v>0</v>
      </c>
      <c r="G1042" s="17">
        <f t="shared" ref="G1042:G1058" si="47">D1042+E1042-F1042</f>
        <v>1951500000</v>
      </c>
      <c r="H1042" s="122"/>
    </row>
    <row r="1043" spans="1:8" ht="21.95" customHeight="1">
      <c r="A1043" s="14"/>
      <c r="B1043" s="14"/>
      <c r="C1043" s="16" t="s">
        <v>1167</v>
      </c>
      <c r="D1043" s="17">
        <f>VLOOKUP(A1038,'Neraca Unaudited SIMAK'!$A$2:$S$10004,5,FALSE)</f>
        <v>975087300</v>
      </c>
      <c r="E1043" s="25">
        <f>SUMIFS('Daftar Koreksi'!$H$5:$H$92,'Daftar Koreksi'!$D$5:$D$92,'0200'!A1038,'Daftar Koreksi'!$G$5:$G$92,"Peralatan dan mesin",'Daftar Koreksi'!$H$5:$H$92,"&gt;0")</f>
        <v>0</v>
      </c>
      <c r="F1043" s="25">
        <f>SUMIFS('Daftar Koreksi'!$H$5:$H$92,'Daftar Koreksi'!$D$5:$D$92,'0200'!A1038,'Daftar Koreksi'!$G$5:$G$92,"Peralatan dan mesin",'Daftar Koreksi'!$H$5:$H$92,"&lt;0")-SUMIFS('Daftar Koreksi'!$H$5:$H$92,'Daftar Koreksi'!$D$5:$D$92,'0200'!A1038,'Daftar Koreksi'!$G$5:$G$92,"Peralatan dan mesin",'Daftar Koreksi'!$H$5:$H$92,"&lt;0")-SUMIFS('Daftar Koreksi'!$H$5:$H$92,'Daftar Koreksi'!$D$5:$D$92,'0200'!A1038,'Daftar Koreksi'!$G$5:$G$92,"Peralatan dan mesin",'Daftar Koreksi'!$H$5:$H$92,"&lt;0")</f>
        <v>0</v>
      </c>
      <c r="G1043" s="17">
        <f t="shared" si="47"/>
        <v>975087300</v>
      </c>
      <c r="H1043" s="122"/>
    </row>
    <row r="1044" spans="1:8" ht="21.95" customHeight="1">
      <c r="A1044" s="14"/>
      <c r="B1044" s="14"/>
      <c r="C1044" s="16" t="s">
        <v>1168</v>
      </c>
      <c r="D1044" s="17">
        <f>VLOOKUP(A1038,'Neraca Unaudited SIMAK'!$A$2:$S$10004,6,FALSE)</f>
        <v>0</v>
      </c>
      <c r="E1044" s="25">
        <f>SUMIFS('Daftar Koreksi'!$H$5:$H$92,'Daftar Koreksi'!$D$5:$D$92,'0200'!A1038,'Daftar Koreksi'!$G$5:$G$92,"Gedung dan Bangunan",'Daftar Koreksi'!$H$5:$H$92,"&gt;0")</f>
        <v>0</v>
      </c>
      <c r="F1044" s="25">
        <f>SUMIFS('Daftar Koreksi'!$H$5:$H$92,'Daftar Koreksi'!$D$5:$D$92,'0200'!A1038,'Daftar Koreksi'!$G$5:$G$92,"Gedung dan Bangunan",'Daftar Koreksi'!$H$5:$H$92,"&lt;0")-SUMIFS('Daftar Koreksi'!$H$5:$H$92,'Daftar Koreksi'!$D$5:$D$92,'0200'!A1038,'Daftar Koreksi'!$G$5:$G$92,"Gedung dan Bangunan",'Daftar Koreksi'!$H$5:$H$92,"&lt;0")-SUMIFS('Daftar Koreksi'!$H$5:$H$92,'Daftar Koreksi'!$D$5:$D$92,'0200'!A1038,'Daftar Koreksi'!$G$5:$G$92,"Gedung dan Bangunan",'Daftar Koreksi'!$H$5:$H$92,"&lt;0")</f>
        <v>0</v>
      </c>
      <c r="G1044" s="17">
        <f t="shared" si="47"/>
        <v>0</v>
      </c>
      <c r="H1044" s="122"/>
    </row>
    <row r="1045" spans="1:8" ht="21.95" customHeight="1">
      <c r="A1045" s="14"/>
      <c r="B1045" s="14"/>
      <c r="C1045" s="16" t="s">
        <v>1169</v>
      </c>
      <c r="D1045" s="17">
        <f>VLOOKUP(A1038,'Neraca Unaudited SIMAK'!$A$2:$S$10004,7,FALSE)</f>
        <v>0</v>
      </c>
      <c r="E1045" s="25">
        <f>SUMIFS('Daftar Koreksi'!$H$5:$H$92,'Daftar Koreksi'!$D$5:$D$92,'0200'!A1038,'Daftar Koreksi'!$G$5:$G$92,"Jalan Irigasi Jaringan",'Daftar Koreksi'!$H$5:$H$92,"&gt;0")</f>
        <v>0</v>
      </c>
      <c r="F1045" s="25">
        <f>SUMIFS('Daftar Koreksi'!$H$5:$H$92,'Daftar Koreksi'!$D$5:$D$92,'0200'!A1038,'Daftar Koreksi'!$G$5:$G$92,"Jalan Irigasi Jaringan",'Daftar Koreksi'!$H$5:$H$92,"&lt;0")-SUMIFS('Daftar Koreksi'!$H$5:$H$92,'Daftar Koreksi'!$D$5:$D$92,'0200'!A1038,'Daftar Koreksi'!$G$5:$G$92,"Jalan Irigasi Jaringan",'Daftar Koreksi'!$H$5:$H$92,"&lt;0")-SUMIFS('Daftar Koreksi'!$H$5:$H$92,'Daftar Koreksi'!$D$5:$D$92,'0200'!A1038,'Daftar Koreksi'!$G$5:$G$92,"Jalan Irigasi Jaringan",'Daftar Koreksi'!$H$5:$H$92,"&lt;0")</f>
        <v>0</v>
      </c>
      <c r="G1045" s="17">
        <f t="shared" si="47"/>
        <v>0</v>
      </c>
      <c r="H1045" s="122"/>
    </row>
    <row r="1046" spans="1:8" ht="21.95" customHeight="1">
      <c r="A1046" s="14"/>
      <c r="B1046" s="14"/>
      <c r="C1046" s="16" t="s">
        <v>1170</v>
      </c>
      <c r="D1046" s="17">
        <f>VLOOKUP(A1038,'Neraca Unaudited SIMAK'!$A$2:$S$10004,8,FALSE)</f>
        <v>54053168</v>
      </c>
      <c r="E1046" s="25">
        <f>SUMIFS('Daftar Koreksi'!$H$5:$H$92,'Daftar Koreksi'!$D$5:$D$92,'0200'!A1038,'Daftar Koreksi'!$G$5:$G$92,"Aset Tetap Lainnya",'Daftar Koreksi'!$H$5:$H$92,"&gt;0")</f>
        <v>0</v>
      </c>
      <c r="F1046" s="25">
        <f>SUMIFS('Daftar Koreksi'!$H$5:$H$92,'Daftar Koreksi'!$D$5:$D$92,'0200'!A1038,'Daftar Koreksi'!$G$5:$G$92,"Aset Tetap Lainnya",'Daftar Koreksi'!$H$5:$H$92,"&lt;0")-SUMIFS('Daftar Koreksi'!$H$5:$H$92,'Daftar Koreksi'!$D$5:$D$92,'0200'!A1038,'Daftar Koreksi'!$G$5:$G$92,"Aset Tetap Lainnya",'Daftar Koreksi'!$H$5:$H$92,"&lt;0")-SUMIFS('Daftar Koreksi'!$H$5:$H$92,'Daftar Koreksi'!$D$5:$D$92,'0200'!A1038,'Daftar Koreksi'!$G$5:$G$92,"Aset Tetap Lainnya",'Daftar Koreksi'!$H$5:$H$92,"&lt;0")</f>
        <v>0</v>
      </c>
      <c r="G1046" s="17">
        <f t="shared" si="47"/>
        <v>54053168</v>
      </c>
      <c r="H1046" s="122"/>
    </row>
    <row r="1047" spans="1:8" ht="21.95" customHeight="1">
      <c r="A1047" s="14"/>
      <c r="B1047" s="14"/>
      <c r="C1047" s="16" t="s">
        <v>1171</v>
      </c>
      <c r="D1047" s="17">
        <f>VLOOKUP(A1038,'Neraca Unaudited SIMAK'!$A$2:$S$10004,9,FALSE)</f>
        <v>6481880000</v>
      </c>
      <c r="E1047" s="25">
        <f>SUMIFS('Daftar Koreksi'!$H$5:$H$92,'Daftar Koreksi'!$D$5:$D$92,'0200'!A1038,'Daftar Koreksi'!$G$5:$G$92,"Kontruksi Dalam Pengerjaan",'Daftar Koreksi'!$H$5:$H$92,"&gt;0")</f>
        <v>0</v>
      </c>
      <c r="F1047" s="25">
        <f>SUMIFS('Daftar Koreksi'!$H$5:$H$92,'Daftar Koreksi'!$D$5:$D$92,'0200'!A1038,'Daftar Koreksi'!$G$5:$G$92,"Kontruksi Dalam Pengerjaan",'Daftar Koreksi'!$H$5:$H$92,"&lt;0")-SUMIFS('Daftar Koreksi'!$H$5:$H$92,'Daftar Koreksi'!$D$5:$D$92,'0200'!A1038,'Daftar Koreksi'!$G$5:$G$92,"Kontruksi Dalam Pengerjaan",'Daftar Koreksi'!$H$5:$H$92,"&lt;0")-SUMIFS('Daftar Koreksi'!$H$5:$H$92,'Daftar Koreksi'!$D$5:$D$92,'0200'!A1038,'Daftar Koreksi'!$G$5:$G$92,"Kontruksi Dalam Pengerjaan",'Daftar Koreksi'!$H$5:$H$92,"&lt;0")</f>
        <v>0</v>
      </c>
      <c r="G1047" s="17">
        <f t="shared" si="47"/>
        <v>6481880000</v>
      </c>
      <c r="H1047" s="122"/>
    </row>
    <row r="1048" spans="1:8" ht="21.95" customHeight="1">
      <c r="A1048" s="14"/>
      <c r="B1048" s="14"/>
      <c r="C1048" s="16" t="s">
        <v>1172</v>
      </c>
      <c r="D1048" s="17">
        <f>VLOOKUP(A1038,'Neraca Unaudited SIMAK'!$A$2:$S$10004,10,FALSE)</f>
        <v>0</v>
      </c>
      <c r="E1048" s="25">
        <f>SUMIFS('Daftar Koreksi'!$H$5:$H$92,'Daftar Koreksi'!$D$5:$D$92,'0200'!A1038,'Daftar Koreksi'!$G$5:$G$92,"Aset Tak Berwujud",'Daftar Koreksi'!$H$5:$H$92,"&gt;0")</f>
        <v>0</v>
      </c>
      <c r="F1048" s="25">
        <f>SUMIFS('Daftar Koreksi'!$H$5:$H$92,'Daftar Koreksi'!$D$5:$D$92,'0200'!A1038,'Daftar Koreksi'!$G$5:$G$92,"Aset Tak Berwujud",'Daftar Koreksi'!$H$5:$H$92,"&lt;0")-SUMIFS('Daftar Koreksi'!$H$5:$H$92,'Daftar Koreksi'!$D$5:$D$92,'0200'!A1038,'Daftar Koreksi'!$G$5:$G$92,"Aset Tak Berwujud",'Daftar Koreksi'!$H$5:$H$92,"&lt;0")-SUMIFS('Daftar Koreksi'!$H$5:$H$92,'Daftar Koreksi'!$D$5:$D$92,'0200'!A1038,'Daftar Koreksi'!$G$5:$G$92,"Aset Tak Berwujud",'Daftar Koreksi'!$H$5:$H$92,"&lt;0")</f>
        <v>0</v>
      </c>
      <c r="G1048" s="17">
        <f t="shared" si="47"/>
        <v>0</v>
      </c>
      <c r="H1048" s="122"/>
    </row>
    <row r="1049" spans="1:8" ht="21.95" customHeight="1">
      <c r="A1049" s="14"/>
      <c r="B1049" s="14"/>
      <c r="C1049" s="16" t="s">
        <v>1173</v>
      </c>
      <c r="D1049" s="17">
        <f>VLOOKUP(A1038,'Neraca Unaudited SIMAK'!$A$2:$S$10004,11,FALSE)</f>
        <v>12498000</v>
      </c>
      <c r="E1049" s="25">
        <f>SUMIFS('Daftar Koreksi'!$H$5:$H$92,'Daftar Koreksi'!$D$5:$D$92,'0200'!A1038,'Daftar Koreksi'!$G$5:$G$92,"Aset Henti Guna",'Daftar Koreksi'!$H$5:$H$92,"&gt;0")</f>
        <v>0</v>
      </c>
      <c r="F1049" s="25">
        <f>SUMIFS('Daftar Koreksi'!$H$5:$H$92,'Daftar Koreksi'!$D$5:$D$92,'0200'!A1038,'Daftar Koreksi'!$G$5:$G$92,"Aset Henti Guna",'Daftar Koreksi'!$H$5:$H$92,"&lt;0")-SUMIFS('Daftar Koreksi'!$H$5:$H$92,'Daftar Koreksi'!$D$5:$D$92,'0200'!A1038,'Daftar Koreksi'!$G$5:$G$92,"Aset Henti Guna",'Daftar Koreksi'!$H$5:$H$92,"&lt;0")-SUMIFS('Daftar Koreksi'!$H$5:$H$92,'Daftar Koreksi'!$D$5:$D$92,'0200'!A1038,'Daftar Koreksi'!$G$5:$G$92,"Aset Henti Guna",'Daftar Koreksi'!$H$5:$H$92,"&lt;0")</f>
        <v>0</v>
      </c>
      <c r="G1049" s="17">
        <f t="shared" si="47"/>
        <v>12498000</v>
      </c>
      <c r="H1049" s="122"/>
    </row>
    <row r="1050" spans="1:8" ht="21.95" customHeight="1">
      <c r="A1050" s="14"/>
      <c r="B1050" s="14"/>
      <c r="C1050" s="18" t="s">
        <v>2093</v>
      </c>
      <c r="D1050" s="19">
        <f>VLOOKUP(A1038,'Neraca Unaudited SIMAK'!$A$2:$S$10004,12,FALSE)</f>
        <v>9476543468</v>
      </c>
      <c r="E1050" s="19">
        <f>SUM(E1041:E1049)</f>
        <v>0</v>
      </c>
      <c r="F1050" s="19">
        <f>SUM(F1041:F1049)</f>
        <v>0</v>
      </c>
      <c r="G1050" s="19">
        <f t="shared" si="47"/>
        <v>9476543468</v>
      </c>
      <c r="H1050" s="122"/>
    </row>
    <row r="1051" spans="1:8" ht="21.95" customHeight="1">
      <c r="A1051" s="14"/>
      <c r="B1051" s="14"/>
      <c r="C1051" s="16" t="s">
        <v>2087</v>
      </c>
      <c r="D1051" s="17">
        <f>VLOOKUP(A1038,'Neraca Unaudited SIMAK'!$A$2:$S$10004,13,FALSE)</f>
        <v>-707803370</v>
      </c>
      <c r="E1051" s="25">
        <f>SUMIFS('Daftar Koreksi'!$I$5:$I$92,'Daftar Koreksi'!$D$5:$D$92,'0200'!A1038,'Daftar Koreksi'!$G$5:$G$92,"Peralatan dan mesin",'Daftar Koreksi'!$I$5:$I$92,"&gt;0")</f>
        <v>0</v>
      </c>
      <c r="F1051" s="25">
        <f>SUMIFS('Daftar Koreksi'!$I$5:$I$92,'Daftar Koreksi'!$D$5:$D$92,'0200'!A1038,'Daftar Koreksi'!$G$5:$G$92,"Peralatan dan mesin",'Daftar Koreksi'!$I$5:$I$92,"&lt;0")-SUMIFS('Daftar Koreksi'!$I$5:$I$92,'Daftar Koreksi'!$D$5:$D$92,'0200'!A1038,'Daftar Koreksi'!$G$5:$G$92,"Peralatan dan mesin",'Daftar Koreksi'!$I$5:$I$92,"&lt;0")-SUMIFS('Daftar Koreksi'!$I$5:$I$92,'Daftar Koreksi'!$D$5:$D$92,'0200'!A1038,'Daftar Koreksi'!$G$5:$G$92,"Peralatan dan mesin",'Daftar Koreksi'!$I$5:$I$92,"&lt;0")</f>
        <v>0</v>
      </c>
      <c r="G1051" s="17">
        <f t="shared" si="47"/>
        <v>-707803370</v>
      </c>
      <c r="H1051" s="122"/>
    </row>
    <row r="1052" spans="1:8" ht="21.95" customHeight="1">
      <c r="A1052" s="14"/>
      <c r="B1052" s="14"/>
      <c r="C1052" s="16" t="s">
        <v>2088</v>
      </c>
      <c r="D1052" s="17">
        <f>VLOOKUP(A1038,'Neraca Unaudited SIMAK'!$A$2:$S$10004,14,FALSE)</f>
        <v>0</v>
      </c>
      <c r="E1052" s="25">
        <f>SUMIFS('Daftar Koreksi'!$I$5:$I$92,'Daftar Koreksi'!$D$5:$D$92,'0200'!A1038,'Daftar Koreksi'!$G$5:$G$92,"Gedung dan Bangunan",'Daftar Koreksi'!$I$5:$I$92,"&gt;0")</f>
        <v>0</v>
      </c>
      <c r="F1052" s="25">
        <f>SUMIFS('Daftar Koreksi'!$I$5:$I$92,'Daftar Koreksi'!$D$5:$D$92,'0200'!A1038,'Daftar Koreksi'!$G$5:$G$92,"Gedung dan Bangunan",'Daftar Koreksi'!$I$5:$I$92,"&lt;0")-SUMIFS('Daftar Koreksi'!$I$5:$I$92,'Daftar Koreksi'!$D$5:$D$92,'0200'!A1038,'Daftar Koreksi'!$G$5:$G$92,"Gedung dan Bangunan",'Daftar Koreksi'!$I$5:$I$92,"&lt;0")-SUMIFS('Daftar Koreksi'!$I$5:$I$92,'Daftar Koreksi'!$D$5:$D$92,'0200'!A1038,'Daftar Koreksi'!$G$5:$G$92,"Gedung dan Bangunan",'Daftar Koreksi'!$I$5:$I$92,"&lt;0")</f>
        <v>0</v>
      </c>
      <c r="G1052" s="17">
        <f t="shared" si="47"/>
        <v>0</v>
      </c>
      <c r="H1052" s="122"/>
    </row>
    <row r="1053" spans="1:8" ht="21.95" customHeight="1">
      <c r="A1053" s="14"/>
      <c r="B1053" s="14"/>
      <c r="C1053" s="16" t="s">
        <v>2089</v>
      </c>
      <c r="D1053" s="17">
        <f>VLOOKUP(A1038,'Neraca Unaudited SIMAK'!$A$2:$S$10004,15,FALSE)</f>
        <v>0</v>
      </c>
      <c r="E1053" s="25">
        <f>SUMIFS('Daftar Koreksi'!$I$5:$I$92,'Daftar Koreksi'!$D$5:$D$92,'0200'!A1038,'Daftar Koreksi'!$G$5:$G$92,"Jalan Irigasi Jaringan",'Daftar Koreksi'!$I$5:$I$92,"&gt;0")</f>
        <v>0</v>
      </c>
      <c r="F1053" s="25">
        <f>SUMIFS('Daftar Koreksi'!$I$5:$I$92,'Daftar Koreksi'!$D$5:$D$92,'0200'!A1038,'Daftar Koreksi'!$G$5:$G$92,"Jalan Irigasi Jaringan",'Daftar Koreksi'!$I$5:$I$92,"&lt;0")-SUMIFS('Daftar Koreksi'!$I$5:$I$92,'Daftar Koreksi'!$D$5:$D$92,'0200'!A1038,'Daftar Koreksi'!$G$5:$G$92,"Jalan Irigasi Jaringan",'Daftar Koreksi'!$I$5:$I$92,"&lt;0")-SUMIFS('Daftar Koreksi'!$I$5:$I$92,'Daftar Koreksi'!$D$5:$D$92,'0200'!A1038,'Daftar Koreksi'!$G$5:$G$92,"Jalan Irigasi Jaringan",'Daftar Koreksi'!$I$5:$I$92,"&lt;0")</f>
        <v>0</v>
      </c>
      <c r="G1053" s="17">
        <f t="shared" si="47"/>
        <v>0</v>
      </c>
      <c r="H1053" s="122"/>
    </row>
    <row r="1054" spans="1:8" ht="21.95" customHeight="1">
      <c r="A1054" s="14"/>
      <c r="B1054" s="14"/>
      <c r="C1054" s="16" t="s">
        <v>2090</v>
      </c>
      <c r="D1054" s="17">
        <f>VLOOKUP(A1038,'Neraca Unaudited SIMAK'!$A$2:$S$10004,16,FALSE)</f>
        <v>0</v>
      </c>
      <c r="E1054" s="25">
        <f>SUMIFS('Daftar Koreksi'!$I$5:$I$92,'Daftar Koreksi'!$D$5:$D$92,'0200'!A1038,'Daftar Koreksi'!$G$5:$G$92,"Aset Tetap Lainnya",'Daftar Koreksi'!$I$5:$I$92,"&gt;0")</f>
        <v>0</v>
      </c>
      <c r="F1054" s="25">
        <f>SUMIFS('Daftar Koreksi'!$I$5:$I$92,'Daftar Koreksi'!$D$5:$D$92,'0200'!A1038,'Daftar Koreksi'!$G$5:$G$92,"Aset Tetap Lainnya",'Daftar Koreksi'!$I$5:$I$92,"&lt;0")-SUMIFS('Daftar Koreksi'!$I$5:$I$92,'Daftar Koreksi'!$D$5:$D$92,'0200'!A1038,'Daftar Koreksi'!$G$5:$G$92,"Aset Tetap Lainnya",'Daftar Koreksi'!$I$5:$I$92,"&lt;0")-SUMIFS('Daftar Koreksi'!$I$5:$I$92,'Daftar Koreksi'!$D$5:$D$92,'0200'!A1038,'Daftar Koreksi'!$G$5:$G$92,"Aset Tetap Lainnya",'Daftar Koreksi'!$I$5:$I$92,"&lt;0")</f>
        <v>0</v>
      </c>
      <c r="G1054" s="17">
        <f t="shared" si="47"/>
        <v>0</v>
      </c>
      <c r="H1054" s="122"/>
    </row>
    <row r="1055" spans="1:8" ht="21.95" customHeight="1">
      <c r="A1055" s="14"/>
      <c r="B1055" s="14"/>
      <c r="C1055" s="16" t="s">
        <v>2020</v>
      </c>
      <c r="D1055" s="17">
        <f>VLOOKUP(A1038,'Neraca Unaudited SIMAK'!$A$2:$S$10004,17,FALSE)</f>
        <v>-12498000</v>
      </c>
      <c r="E1055" s="25">
        <f>SUMIFS('Daftar Koreksi'!$I$5:$I$92,'Daftar Koreksi'!$D$5:$D$92,'0200'!A1038,'Daftar Koreksi'!$G$5:$G$92,"Aset Henti Guna",'Daftar Koreksi'!$I$5:$I$92,"&gt;0")</f>
        <v>0</v>
      </c>
      <c r="F1055" s="25">
        <f>SUMIFS('Daftar Koreksi'!$I$5:$I$92,'Daftar Koreksi'!$D$5:$D$92,'0200'!A1038,'Daftar Koreksi'!$G$5:$G$92,"Aset Henti Guna",'Daftar Koreksi'!$I$5:$I$92,"&lt;0")-SUMIFS('Daftar Koreksi'!$I$5:$I$92,'Daftar Koreksi'!$D$5:$D$92,'0200'!A1038,'Daftar Koreksi'!$G$5:$G$92,"Aset Henti Guna",'Daftar Koreksi'!$I$5:$I$92,"&lt;0")-SUMIFS('Daftar Koreksi'!$I$5:$I$92,'Daftar Koreksi'!$D$5:$D$92,'0200'!A1038,'Daftar Koreksi'!$G$5:$G$92,"Aset Henti Guna",'Daftar Koreksi'!$I$5:$I$92,"&lt;0")</f>
        <v>0</v>
      </c>
      <c r="G1055" s="17">
        <f t="shared" si="47"/>
        <v>-12498000</v>
      </c>
      <c r="H1055" s="122"/>
    </row>
    <row r="1056" spans="1:8" ht="21.95" customHeight="1">
      <c r="A1056" s="14"/>
      <c r="B1056" s="14"/>
      <c r="C1056" s="18" t="s">
        <v>2094</v>
      </c>
      <c r="D1056" s="19">
        <f>SUM(D1051:D1055)</f>
        <v>-720301370</v>
      </c>
      <c r="E1056" s="19">
        <f>SUM(E1051:E1055)</f>
        <v>0</v>
      </c>
      <c r="F1056" s="19">
        <f>SUM(F1051:F1055)</f>
        <v>0</v>
      </c>
      <c r="G1056" s="19">
        <f t="shared" si="47"/>
        <v>-720301370</v>
      </c>
      <c r="H1056" s="122"/>
    </row>
    <row r="1057" spans="1:8" ht="21.95" customHeight="1">
      <c r="A1057" s="14"/>
      <c r="B1057" s="14"/>
      <c r="C1057" s="18" t="s">
        <v>2095</v>
      </c>
      <c r="D1057" s="19">
        <f>VLOOKUP(A1038,'Neraca Unaudited SIMAK'!$A$2:$S$10004,18,FALSE)</f>
        <v>8756242098</v>
      </c>
      <c r="E1057" s="19">
        <f>E1056+E1050</f>
        <v>0</v>
      </c>
      <c r="F1057" s="19">
        <f>F1056+F1050</f>
        <v>0</v>
      </c>
      <c r="G1057" s="19">
        <f t="shared" si="47"/>
        <v>8756242098</v>
      </c>
      <c r="H1057" s="122"/>
    </row>
    <row r="1058" spans="1:8" ht="21.95" customHeight="1">
      <c r="A1058" s="14"/>
      <c r="B1058" s="14"/>
      <c r="C1058" s="16" t="s">
        <v>2091</v>
      </c>
      <c r="D1058" s="17">
        <f>VLOOKUP(A1038,'Neraca Unaudited SIMAK'!$A$2:$S$10004,19,FALSE)</f>
        <v>0</v>
      </c>
      <c r="E1058" s="25"/>
      <c r="F1058" s="25"/>
      <c r="G1058" s="17">
        <f t="shared" si="47"/>
        <v>0</v>
      </c>
      <c r="H1058" s="123"/>
    </row>
    <row r="1060" spans="1:8" ht="19.5" customHeight="1">
      <c r="A1060" s="11" t="str">
        <f>O49</f>
        <v>005010200682164000KD</v>
      </c>
      <c r="B1060" s="11" t="str">
        <f>P49</f>
        <v>PA Kota Banjar</v>
      </c>
      <c r="C1060" s="12" t="str">
        <f>A1060&amp;" "&amp;B1060</f>
        <v>005010200682164000KD PA Kota Banjar</v>
      </c>
      <c r="D1060" s="13"/>
      <c r="E1060" s="13"/>
      <c r="F1060" s="13"/>
      <c r="G1060" s="13"/>
      <c r="H1060" s="11"/>
    </row>
    <row r="1061" spans="1:8" ht="21.95" customHeight="1">
      <c r="A1061" s="14"/>
      <c r="B1061" s="14"/>
      <c r="C1061" s="124" t="s">
        <v>1982</v>
      </c>
      <c r="D1061" s="126" t="s">
        <v>1983</v>
      </c>
      <c r="E1061" s="132" t="s">
        <v>1984</v>
      </c>
      <c r="F1061" s="132"/>
      <c r="G1061" s="126" t="s">
        <v>1987</v>
      </c>
      <c r="H1061" s="130" t="s">
        <v>1175</v>
      </c>
    </row>
    <row r="1062" spans="1:8" ht="21.95" customHeight="1">
      <c r="A1062" s="14"/>
      <c r="B1062" s="14"/>
      <c r="C1062" s="125"/>
      <c r="D1062" s="127"/>
      <c r="E1062" s="26" t="s">
        <v>1985</v>
      </c>
      <c r="F1062" s="26" t="s">
        <v>1986</v>
      </c>
      <c r="G1062" s="127"/>
      <c r="H1062" s="131"/>
    </row>
    <row r="1063" spans="1:8" ht="21.95" customHeight="1">
      <c r="A1063" s="14"/>
      <c r="B1063" s="14"/>
      <c r="C1063" s="16" t="s">
        <v>1165</v>
      </c>
      <c r="D1063" s="17">
        <f>VLOOKUP(A1060,'Neraca Unaudited SIMAK'!$A$2:$S$10004,3,FALSE)</f>
        <v>10191287</v>
      </c>
      <c r="E1063" s="25">
        <f>SUMIFS('Daftar Koreksi'!$H$5:$H$92,'Daftar Koreksi'!$D$5:$D$92,'0200'!A1060,'Daftar Koreksi'!$G$5:$G$92,"Persediaan",'Daftar Koreksi'!$H$5:$H$92,"&gt;0")</f>
        <v>0</v>
      </c>
      <c r="F1063" s="25">
        <f>SUMIFS('Daftar Koreksi'!$H$5:$H$92,'Daftar Koreksi'!$D$5:$D$92,'0200'!A1060,'Daftar Koreksi'!$G$5:$G$92,"Persediaan",'Daftar Koreksi'!$H$5:$H$92,"&lt;0")-SUMIFS('Daftar Koreksi'!$H$5:$H$92,'Daftar Koreksi'!$D$5:$D$92,'0200'!A1060,'Daftar Koreksi'!$G$5:$G$92,"Persediaan",'Daftar Koreksi'!$H$5:$H$92,"&lt;0")-SUMIFS('Daftar Koreksi'!$H$5:$H$92,'Daftar Koreksi'!$D$5:$D$92,'0200'!A1060,'Daftar Koreksi'!$G$5:$G$92,"Persediaan",'Daftar Koreksi'!$H$5:$H$92,"&lt;0")</f>
        <v>0</v>
      </c>
      <c r="G1063" s="17">
        <f>D1063+E1063-F1063</f>
        <v>10191287</v>
      </c>
      <c r="H1063" s="121" t="str">
        <f>IF(ISNA(VLOOKUP(A1060,'Mutasi Neraca'!$A$3:$S$914,19,FALSE)),"-",VLOOKUP(A1060,'Mutasi Neraca'!$A$3:$S$914,19,FALSE))</f>
        <v>-</v>
      </c>
    </row>
    <row r="1064" spans="1:8" ht="21.95" customHeight="1">
      <c r="A1064" s="14"/>
      <c r="B1064" s="14"/>
      <c r="C1064" s="16" t="s">
        <v>1166</v>
      </c>
      <c r="D1064" s="17">
        <f>VLOOKUP(A1060,'Neraca Unaudited SIMAK'!$A$2:$S$10004,4,FALSE)</f>
        <v>2589303000</v>
      </c>
      <c r="E1064" s="25">
        <f>SUMIFS('Daftar Koreksi'!$H$5:$H$92,'Daftar Koreksi'!$D$5:$D$92,'0200'!A1060,'Daftar Koreksi'!$G$5:$G$92,"Tanah",'Daftar Koreksi'!$H$5:$H$92,"&gt;0")</f>
        <v>0</v>
      </c>
      <c r="F1064" s="25">
        <f>SUMIFS('Daftar Koreksi'!$H$5:$H$92,'Daftar Koreksi'!$D$5:$D$92,'0200'!A1060,'Daftar Koreksi'!$G$5:$G$92,"Tanah",'Daftar Koreksi'!$H$5:$H$92,"&lt;0")-SUMIFS('Daftar Koreksi'!$H$5:$H$92,'Daftar Koreksi'!$D$5:$D$92,'0200'!A1060,'Daftar Koreksi'!$G$5:$G$92,"Tanah",'Daftar Koreksi'!$H$5:$H$92,"&lt;0")-SUMIFS('Daftar Koreksi'!$H$5:$H$92,'Daftar Koreksi'!$D$5:$D$92,'0200'!A1060,'Daftar Koreksi'!$G$5:$G$92,"Tanah",'Daftar Koreksi'!$H$5:$H$92,"&lt;0")</f>
        <v>0</v>
      </c>
      <c r="G1064" s="17">
        <f t="shared" ref="G1064:G1080" si="48">D1064+E1064-F1064</f>
        <v>2589303000</v>
      </c>
      <c r="H1064" s="122"/>
    </row>
    <row r="1065" spans="1:8" ht="21.95" customHeight="1">
      <c r="A1065" s="14"/>
      <c r="B1065" s="14"/>
      <c r="C1065" s="16" t="s">
        <v>1167</v>
      </c>
      <c r="D1065" s="17">
        <f>VLOOKUP(A1060,'Neraca Unaudited SIMAK'!$A$2:$S$10004,5,FALSE)</f>
        <v>764272808</v>
      </c>
      <c r="E1065" s="25">
        <f>SUMIFS('Daftar Koreksi'!$H$5:$H$92,'Daftar Koreksi'!$D$5:$D$92,'0200'!A1060,'Daftar Koreksi'!$G$5:$G$92,"Peralatan dan mesin",'Daftar Koreksi'!$H$5:$H$92,"&gt;0")</f>
        <v>0</v>
      </c>
      <c r="F1065" s="25">
        <f>SUMIFS('Daftar Koreksi'!$H$5:$H$92,'Daftar Koreksi'!$D$5:$D$92,'0200'!A1060,'Daftar Koreksi'!$G$5:$G$92,"Peralatan dan mesin",'Daftar Koreksi'!$H$5:$H$92,"&lt;0")-SUMIFS('Daftar Koreksi'!$H$5:$H$92,'Daftar Koreksi'!$D$5:$D$92,'0200'!A1060,'Daftar Koreksi'!$G$5:$G$92,"Peralatan dan mesin",'Daftar Koreksi'!$H$5:$H$92,"&lt;0")-SUMIFS('Daftar Koreksi'!$H$5:$H$92,'Daftar Koreksi'!$D$5:$D$92,'0200'!A1060,'Daftar Koreksi'!$G$5:$G$92,"Peralatan dan mesin",'Daftar Koreksi'!$H$5:$H$92,"&lt;0")</f>
        <v>0</v>
      </c>
      <c r="G1065" s="17">
        <f t="shared" si="48"/>
        <v>764272808</v>
      </c>
      <c r="H1065" s="122"/>
    </row>
    <row r="1066" spans="1:8" ht="21.95" customHeight="1">
      <c r="A1066" s="14"/>
      <c r="B1066" s="14"/>
      <c r="C1066" s="16" t="s">
        <v>1168</v>
      </c>
      <c r="D1066" s="17">
        <f>VLOOKUP(A1060,'Neraca Unaudited SIMAK'!$A$2:$S$10004,6,FALSE)</f>
        <v>0</v>
      </c>
      <c r="E1066" s="25">
        <f>SUMIFS('Daftar Koreksi'!$H$5:$H$92,'Daftar Koreksi'!$D$5:$D$92,'0200'!A1060,'Daftar Koreksi'!$G$5:$G$92,"Gedung dan Bangunan",'Daftar Koreksi'!$H$5:$H$92,"&gt;0")</f>
        <v>0</v>
      </c>
      <c r="F1066" s="25">
        <f>SUMIFS('Daftar Koreksi'!$H$5:$H$92,'Daftar Koreksi'!$D$5:$D$92,'0200'!A1060,'Daftar Koreksi'!$G$5:$G$92,"Gedung dan Bangunan",'Daftar Koreksi'!$H$5:$H$92,"&lt;0")-SUMIFS('Daftar Koreksi'!$H$5:$H$92,'Daftar Koreksi'!$D$5:$D$92,'0200'!A1060,'Daftar Koreksi'!$G$5:$G$92,"Gedung dan Bangunan",'Daftar Koreksi'!$H$5:$H$92,"&lt;0")-SUMIFS('Daftar Koreksi'!$H$5:$H$92,'Daftar Koreksi'!$D$5:$D$92,'0200'!A1060,'Daftar Koreksi'!$G$5:$G$92,"Gedung dan Bangunan",'Daftar Koreksi'!$H$5:$H$92,"&lt;0")</f>
        <v>0</v>
      </c>
      <c r="G1066" s="17">
        <f t="shared" si="48"/>
        <v>0</v>
      </c>
      <c r="H1066" s="122"/>
    </row>
    <row r="1067" spans="1:8" ht="21.95" customHeight="1">
      <c r="A1067" s="14"/>
      <c r="B1067" s="14"/>
      <c r="C1067" s="16" t="s">
        <v>1169</v>
      </c>
      <c r="D1067" s="17">
        <f>VLOOKUP(A1060,'Neraca Unaudited SIMAK'!$A$2:$S$10004,7,FALSE)</f>
        <v>0</v>
      </c>
      <c r="E1067" s="25">
        <f>SUMIFS('Daftar Koreksi'!$H$5:$H$92,'Daftar Koreksi'!$D$5:$D$92,'0200'!A1060,'Daftar Koreksi'!$G$5:$G$92,"Jalan Irigasi Jaringan",'Daftar Koreksi'!$H$5:$H$92,"&gt;0")</f>
        <v>0</v>
      </c>
      <c r="F1067" s="25">
        <f>SUMIFS('Daftar Koreksi'!$H$5:$H$92,'Daftar Koreksi'!$D$5:$D$92,'0200'!A1060,'Daftar Koreksi'!$G$5:$G$92,"Jalan Irigasi Jaringan",'Daftar Koreksi'!$H$5:$H$92,"&lt;0")-SUMIFS('Daftar Koreksi'!$H$5:$H$92,'Daftar Koreksi'!$D$5:$D$92,'0200'!A1060,'Daftar Koreksi'!$G$5:$G$92,"Jalan Irigasi Jaringan",'Daftar Koreksi'!$H$5:$H$92,"&lt;0")-SUMIFS('Daftar Koreksi'!$H$5:$H$92,'Daftar Koreksi'!$D$5:$D$92,'0200'!A1060,'Daftar Koreksi'!$G$5:$G$92,"Jalan Irigasi Jaringan",'Daftar Koreksi'!$H$5:$H$92,"&lt;0")</f>
        <v>0</v>
      </c>
      <c r="G1067" s="17">
        <f t="shared" si="48"/>
        <v>0</v>
      </c>
      <c r="H1067" s="122"/>
    </row>
    <row r="1068" spans="1:8" ht="21.95" customHeight="1">
      <c r="A1068" s="14"/>
      <c r="B1068" s="14"/>
      <c r="C1068" s="16" t="s">
        <v>1170</v>
      </c>
      <c r="D1068" s="17">
        <f>VLOOKUP(A1060,'Neraca Unaudited SIMAK'!$A$2:$S$10004,8,FALSE)</f>
        <v>0</v>
      </c>
      <c r="E1068" s="25">
        <f>SUMIFS('Daftar Koreksi'!$H$5:$H$92,'Daftar Koreksi'!$D$5:$D$92,'0200'!A1060,'Daftar Koreksi'!$G$5:$G$92,"Aset Tetap Lainnya",'Daftar Koreksi'!$H$5:$H$92,"&gt;0")</f>
        <v>0</v>
      </c>
      <c r="F1068" s="25">
        <f>SUMIFS('Daftar Koreksi'!$H$5:$H$92,'Daftar Koreksi'!$D$5:$D$92,'0200'!A1060,'Daftar Koreksi'!$G$5:$G$92,"Aset Tetap Lainnya",'Daftar Koreksi'!$H$5:$H$92,"&lt;0")-SUMIFS('Daftar Koreksi'!$H$5:$H$92,'Daftar Koreksi'!$D$5:$D$92,'0200'!A1060,'Daftar Koreksi'!$G$5:$G$92,"Aset Tetap Lainnya",'Daftar Koreksi'!$H$5:$H$92,"&lt;0")-SUMIFS('Daftar Koreksi'!$H$5:$H$92,'Daftar Koreksi'!$D$5:$D$92,'0200'!A1060,'Daftar Koreksi'!$G$5:$G$92,"Aset Tetap Lainnya",'Daftar Koreksi'!$H$5:$H$92,"&lt;0")</f>
        <v>0</v>
      </c>
      <c r="G1068" s="17">
        <f t="shared" si="48"/>
        <v>0</v>
      </c>
      <c r="H1068" s="122"/>
    </row>
    <row r="1069" spans="1:8" ht="21.95" customHeight="1">
      <c r="A1069" s="14"/>
      <c r="B1069" s="14"/>
      <c r="C1069" s="16" t="s">
        <v>1171</v>
      </c>
      <c r="D1069" s="17">
        <f>VLOOKUP(A1060,'Neraca Unaudited SIMAK'!$A$2:$S$10004,9,FALSE)</f>
        <v>4899993000</v>
      </c>
      <c r="E1069" s="25">
        <f>SUMIFS('Daftar Koreksi'!$H$5:$H$92,'Daftar Koreksi'!$D$5:$D$92,'0200'!A1060,'Daftar Koreksi'!$G$5:$G$92,"Kontruksi Dalam Pengerjaan",'Daftar Koreksi'!$H$5:$H$92,"&gt;0")</f>
        <v>0</v>
      </c>
      <c r="F1069" s="25">
        <f>SUMIFS('Daftar Koreksi'!$H$5:$H$92,'Daftar Koreksi'!$D$5:$D$92,'0200'!A1060,'Daftar Koreksi'!$G$5:$G$92,"Kontruksi Dalam Pengerjaan",'Daftar Koreksi'!$H$5:$H$92,"&lt;0")-SUMIFS('Daftar Koreksi'!$H$5:$H$92,'Daftar Koreksi'!$D$5:$D$92,'0200'!A1060,'Daftar Koreksi'!$G$5:$G$92,"Kontruksi Dalam Pengerjaan",'Daftar Koreksi'!$H$5:$H$92,"&lt;0")-SUMIFS('Daftar Koreksi'!$H$5:$H$92,'Daftar Koreksi'!$D$5:$D$92,'0200'!A1060,'Daftar Koreksi'!$G$5:$G$92,"Kontruksi Dalam Pengerjaan",'Daftar Koreksi'!$H$5:$H$92,"&lt;0")</f>
        <v>0</v>
      </c>
      <c r="G1069" s="17">
        <f t="shared" si="48"/>
        <v>4899993000</v>
      </c>
      <c r="H1069" s="122"/>
    </row>
    <row r="1070" spans="1:8" ht="21.95" customHeight="1">
      <c r="A1070" s="14"/>
      <c r="B1070" s="14"/>
      <c r="C1070" s="16" t="s">
        <v>1172</v>
      </c>
      <c r="D1070" s="17">
        <f>VLOOKUP(A1060,'Neraca Unaudited SIMAK'!$A$2:$S$10004,10,FALSE)</f>
        <v>19195000</v>
      </c>
      <c r="E1070" s="25">
        <f>SUMIFS('Daftar Koreksi'!$H$5:$H$92,'Daftar Koreksi'!$D$5:$D$92,'0200'!A1060,'Daftar Koreksi'!$G$5:$G$92,"Aset Tak Berwujud",'Daftar Koreksi'!$H$5:$H$92,"&gt;0")</f>
        <v>0</v>
      </c>
      <c r="F1070" s="25">
        <f>SUMIFS('Daftar Koreksi'!$H$5:$H$92,'Daftar Koreksi'!$D$5:$D$92,'0200'!A1060,'Daftar Koreksi'!$G$5:$G$92,"Aset Tak Berwujud",'Daftar Koreksi'!$H$5:$H$92,"&lt;0")-SUMIFS('Daftar Koreksi'!$H$5:$H$92,'Daftar Koreksi'!$D$5:$D$92,'0200'!A1060,'Daftar Koreksi'!$G$5:$G$92,"Aset Tak Berwujud",'Daftar Koreksi'!$H$5:$H$92,"&lt;0")-SUMIFS('Daftar Koreksi'!$H$5:$H$92,'Daftar Koreksi'!$D$5:$D$92,'0200'!A1060,'Daftar Koreksi'!$G$5:$G$92,"Aset Tak Berwujud",'Daftar Koreksi'!$H$5:$H$92,"&lt;0")</f>
        <v>0</v>
      </c>
      <c r="G1070" s="17">
        <f t="shared" si="48"/>
        <v>19195000</v>
      </c>
      <c r="H1070" s="122"/>
    </row>
    <row r="1071" spans="1:8" ht="21.95" customHeight="1">
      <c r="A1071" s="14"/>
      <c r="B1071" s="14"/>
      <c r="C1071" s="16" t="s">
        <v>1173</v>
      </c>
      <c r="D1071" s="17">
        <f>VLOOKUP(A1060,'Neraca Unaudited SIMAK'!$A$2:$S$10004,11,FALSE)</f>
        <v>13991500</v>
      </c>
      <c r="E1071" s="25">
        <f>SUMIFS('Daftar Koreksi'!$H$5:$H$92,'Daftar Koreksi'!$D$5:$D$92,'0200'!A1060,'Daftar Koreksi'!$G$5:$G$92,"Aset Henti Guna",'Daftar Koreksi'!$H$5:$H$92,"&gt;0")</f>
        <v>0</v>
      </c>
      <c r="F1071" s="25">
        <f>SUMIFS('Daftar Koreksi'!$H$5:$H$92,'Daftar Koreksi'!$D$5:$D$92,'0200'!A1060,'Daftar Koreksi'!$G$5:$G$92,"Aset Henti Guna",'Daftar Koreksi'!$H$5:$H$92,"&lt;0")-SUMIFS('Daftar Koreksi'!$H$5:$H$92,'Daftar Koreksi'!$D$5:$D$92,'0200'!A1060,'Daftar Koreksi'!$G$5:$G$92,"Aset Henti Guna",'Daftar Koreksi'!$H$5:$H$92,"&lt;0")-SUMIFS('Daftar Koreksi'!$H$5:$H$92,'Daftar Koreksi'!$D$5:$D$92,'0200'!A1060,'Daftar Koreksi'!$G$5:$G$92,"Aset Henti Guna",'Daftar Koreksi'!$H$5:$H$92,"&lt;0")</f>
        <v>0</v>
      </c>
      <c r="G1071" s="17">
        <f t="shared" si="48"/>
        <v>13991500</v>
      </c>
      <c r="H1071" s="122"/>
    </row>
    <row r="1072" spans="1:8" ht="21.95" customHeight="1">
      <c r="A1072" s="14"/>
      <c r="B1072" s="14"/>
      <c r="C1072" s="18" t="s">
        <v>2093</v>
      </c>
      <c r="D1072" s="19">
        <f>VLOOKUP(A1060,'Neraca Unaudited SIMAK'!$A$2:$S$10004,12,FALSE)</f>
        <v>8296946595</v>
      </c>
      <c r="E1072" s="19">
        <f>SUM(E1063:E1071)</f>
        <v>0</v>
      </c>
      <c r="F1072" s="19">
        <f>SUM(F1063:F1071)</f>
        <v>0</v>
      </c>
      <c r="G1072" s="19">
        <f t="shared" si="48"/>
        <v>8296946595</v>
      </c>
      <c r="H1072" s="122"/>
    </row>
    <row r="1073" spans="1:8" ht="21.95" customHeight="1">
      <c r="A1073" s="14"/>
      <c r="B1073" s="14"/>
      <c r="C1073" s="16" t="s">
        <v>2087</v>
      </c>
      <c r="D1073" s="17">
        <f>VLOOKUP(A1060,'Neraca Unaudited SIMAK'!$A$2:$S$10004,13,FALSE)</f>
        <v>-554496355</v>
      </c>
      <c r="E1073" s="25">
        <f>SUMIFS('Daftar Koreksi'!$I$5:$I$92,'Daftar Koreksi'!$D$5:$D$92,'0200'!A1060,'Daftar Koreksi'!$G$5:$G$92,"Peralatan dan mesin",'Daftar Koreksi'!$I$5:$I$92,"&gt;0")</f>
        <v>0</v>
      </c>
      <c r="F1073" s="25">
        <f>SUMIFS('Daftar Koreksi'!$I$5:$I$92,'Daftar Koreksi'!$D$5:$D$92,'0200'!A1060,'Daftar Koreksi'!$G$5:$G$92,"Peralatan dan mesin",'Daftar Koreksi'!$I$5:$I$92,"&lt;0")-SUMIFS('Daftar Koreksi'!$I$5:$I$92,'Daftar Koreksi'!$D$5:$D$92,'0200'!A1060,'Daftar Koreksi'!$G$5:$G$92,"Peralatan dan mesin",'Daftar Koreksi'!$I$5:$I$92,"&lt;0")-SUMIFS('Daftar Koreksi'!$I$5:$I$92,'Daftar Koreksi'!$D$5:$D$92,'0200'!A1060,'Daftar Koreksi'!$G$5:$G$92,"Peralatan dan mesin",'Daftar Koreksi'!$I$5:$I$92,"&lt;0")</f>
        <v>0</v>
      </c>
      <c r="G1073" s="17">
        <f t="shared" si="48"/>
        <v>-554496355</v>
      </c>
      <c r="H1073" s="122"/>
    </row>
    <row r="1074" spans="1:8" ht="21.95" customHeight="1">
      <c r="A1074" s="14"/>
      <c r="B1074" s="14"/>
      <c r="C1074" s="16" t="s">
        <v>2088</v>
      </c>
      <c r="D1074" s="17">
        <f>VLOOKUP(A1060,'Neraca Unaudited SIMAK'!$A$2:$S$10004,14,FALSE)</f>
        <v>0</v>
      </c>
      <c r="E1074" s="25">
        <f>SUMIFS('Daftar Koreksi'!$I$5:$I$92,'Daftar Koreksi'!$D$5:$D$92,'0200'!A1060,'Daftar Koreksi'!$G$5:$G$92,"Gedung dan Bangunan",'Daftar Koreksi'!$I$5:$I$92,"&gt;0")</f>
        <v>0</v>
      </c>
      <c r="F1074" s="25">
        <f>SUMIFS('Daftar Koreksi'!$I$5:$I$92,'Daftar Koreksi'!$D$5:$D$92,'0200'!A1060,'Daftar Koreksi'!$G$5:$G$92,"Gedung dan Bangunan",'Daftar Koreksi'!$I$5:$I$92,"&lt;0")-SUMIFS('Daftar Koreksi'!$I$5:$I$92,'Daftar Koreksi'!$D$5:$D$92,'0200'!A1060,'Daftar Koreksi'!$G$5:$G$92,"Gedung dan Bangunan",'Daftar Koreksi'!$I$5:$I$92,"&lt;0")-SUMIFS('Daftar Koreksi'!$I$5:$I$92,'Daftar Koreksi'!$D$5:$D$92,'0200'!A1060,'Daftar Koreksi'!$G$5:$G$92,"Gedung dan Bangunan",'Daftar Koreksi'!$I$5:$I$92,"&lt;0")</f>
        <v>0</v>
      </c>
      <c r="G1074" s="17">
        <f t="shared" si="48"/>
        <v>0</v>
      </c>
      <c r="H1074" s="122"/>
    </row>
    <row r="1075" spans="1:8" ht="21.95" customHeight="1">
      <c r="A1075" s="14"/>
      <c r="B1075" s="14"/>
      <c r="C1075" s="16" t="s">
        <v>2089</v>
      </c>
      <c r="D1075" s="17">
        <f>VLOOKUP(A1060,'Neraca Unaudited SIMAK'!$A$2:$S$10004,15,FALSE)</f>
        <v>0</v>
      </c>
      <c r="E1075" s="25">
        <f>SUMIFS('Daftar Koreksi'!$I$5:$I$92,'Daftar Koreksi'!$D$5:$D$92,'0200'!A1060,'Daftar Koreksi'!$G$5:$G$92,"Jalan Irigasi Jaringan",'Daftar Koreksi'!$I$5:$I$92,"&gt;0")</f>
        <v>0</v>
      </c>
      <c r="F1075" s="25">
        <f>SUMIFS('Daftar Koreksi'!$I$5:$I$92,'Daftar Koreksi'!$D$5:$D$92,'0200'!A1060,'Daftar Koreksi'!$G$5:$G$92,"Jalan Irigasi Jaringan",'Daftar Koreksi'!$I$5:$I$92,"&lt;0")-SUMIFS('Daftar Koreksi'!$I$5:$I$92,'Daftar Koreksi'!$D$5:$D$92,'0200'!A1060,'Daftar Koreksi'!$G$5:$G$92,"Jalan Irigasi Jaringan",'Daftar Koreksi'!$I$5:$I$92,"&lt;0")-SUMIFS('Daftar Koreksi'!$I$5:$I$92,'Daftar Koreksi'!$D$5:$D$92,'0200'!A1060,'Daftar Koreksi'!$G$5:$G$92,"Jalan Irigasi Jaringan",'Daftar Koreksi'!$I$5:$I$92,"&lt;0")</f>
        <v>0</v>
      </c>
      <c r="G1075" s="17">
        <f t="shared" si="48"/>
        <v>0</v>
      </c>
      <c r="H1075" s="122"/>
    </row>
    <row r="1076" spans="1:8" ht="21.95" customHeight="1">
      <c r="A1076" s="14"/>
      <c r="B1076" s="14"/>
      <c r="C1076" s="16" t="s">
        <v>2090</v>
      </c>
      <c r="D1076" s="17">
        <f>VLOOKUP(A1060,'Neraca Unaudited SIMAK'!$A$2:$S$10004,16,FALSE)</f>
        <v>0</v>
      </c>
      <c r="E1076" s="25">
        <f>SUMIFS('Daftar Koreksi'!$I$5:$I$92,'Daftar Koreksi'!$D$5:$D$92,'0200'!A1060,'Daftar Koreksi'!$G$5:$G$92,"Aset Tetap Lainnya",'Daftar Koreksi'!$I$5:$I$92,"&gt;0")</f>
        <v>0</v>
      </c>
      <c r="F1076" s="25">
        <f>SUMIFS('Daftar Koreksi'!$I$5:$I$92,'Daftar Koreksi'!$D$5:$D$92,'0200'!A1060,'Daftar Koreksi'!$G$5:$G$92,"Aset Tetap Lainnya",'Daftar Koreksi'!$I$5:$I$92,"&lt;0")-SUMIFS('Daftar Koreksi'!$I$5:$I$92,'Daftar Koreksi'!$D$5:$D$92,'0200'!A1060,'Daftar Koreksi'!$G$5:$G$92,"Aset Tetap Lainnya",'Daftar Koreksi'!$I$5:$I$92,"&lt;0")-SUMIFS('Daftar Koreksi'!$I$5:$I$92,'Daftar Koreksi'!$D$5:$D$92,'0200'!A1060,'Daftar Koreksi'!$G$5:$G$92,"Aset Tetap Lainnya",'Daftar Koreksi'!$I$5:$I$92,"&lt;0")</f>
        <v>0</v>
      </c>
      <c r="G1076" s="17">
        <f t="shared" si="48"/>
        <v>0</v>
      </c>
      <c r="H1076" s="122"/>
    </row>
    <row r="1077" spans="1:8" ht="21.95" customHeight="1">
      <c r="A1077" s="14"/>
      <c r="B1077" s="14"/>
      <c r="C1077" s="16" t="s">
        <v>2020</v>
      </c>
      <c r="D1077" s="17">
        <f>VLOOKUP(A1060,'Neraca Unaudited SIMAK'!$A$2:$S$10004,17,FALSE)</f>
        <v>-13654900</v>
      </c>
      <c r="E1077" s="25">
        <f>SUMIFS('Daftar Koreksi'!$I$5:$I$92,'Daftar Koreksi'!$D$5:$D$92,'0200'!A1060,'Daftar Koreksi'!$G$5:$G$92,"Aset Henti Guna",'Daftar Koreksi'!$I$5:$I$92,"&gt;0")</f>
        <v>0</v>
      </c>
      <c r="F1077" s="25">
        <f>SUMIFS('Daftar Koreksi'!$I$5:$I$92,'Daftar Koreksi'!$D$5:$D$92,'0200'!A1060,'Daftar Koreksi'!$G$5:$G$92,"Aset Henti Guna",'Daftar Koreksi'!$I$5:$I$92,"&lt;0")-SUMIFS('Daftar Koreksi'!$I$5:$I$92,'Daftar Koreksi'!$D$5:$D$92,'0200'!A1060,'Daftar Koreksi'!$G$5:$G$92,"Aset Henti Guna",'Daftar Koreksi'!$I$5:$I$92,"&lt;0")-SUMIFS('Daftar Koreksi'!$I$5:$I$92,'Daftar Koreksi'!$D$5:$D$92,'0200'!A1060,'Daftar Koreksi'!$G$5:$G$92,"Aset Henti Guna",'Daftar Koreksi'!$I$5:$I$92,"&lt;0")</f>
        <v>0</v>
      </c>
      <c r="G1077" s="17">
        <f t="shared" si="48"/>
        <v>-13654900</v>
      </c>
      <c r="H1077" s="122"/>
    </row>
    <row r="1078" spans="1:8" ht="21.95" customHeight="1">
      <c r="A1078" s="14"/>
      <c r="B1078" s="14"/>
      <c r="C1078" s="18" t="s">
        <v>2094</v>
      </c>
      <c r="D1078" s="19">
        <f>SUM(D1073:D1077)</f>
        <v>-568151255</v>
      </c>
      <c r="E1078" s="19">
        <f>SUM(E1073:E1077)</f>
        <v>0</v>
      </c>
      <c r="F1078" s="19">
        <f>SUM(F1073:F1077)</f>
        <v>0</v>
      </c>
      <c r="G1078" s="19">
        <f t="shared" si="48"/>
        <v>-568151255</v>
      </c>
      <c r="H1078" s="122"/>
    </row>
    <row r="1079" spans="1:8" ht="21.95" customHeight="1">
      <c r="A1079" s="14"/>
      <c r="B1079" s="14"/>
      <c r="C1079" s="18" t="s">
        <v>2095</v>
      </c>
      <c r="D1079" s="19">
        <f>VLOOKUP(A1060,'Neraca Unaudited SIMAK'!$A$2:$S$10004,18,FALSE)</f>
        <v>7728795340</v>
      </c>
      <c r="E1079" s="19">
        <f>E1078+E1072</f>
        <v>0</v>
      </c>
      <c r="F1079" s="19">
        <f>F1078+F1072</f>
        <v>0</v>
      </c>
      <c r="G1079" s="19">
        <f t="shared" si="48"/>
        <v>7728795340</v>
      </c>
      <c r="H1079" s="122"/>
    </row>
    <row r="1080" spans="1:8" ht="21.95" customHeight="1">
      <c r="A1080" s="14"/>
      <c r="B1080" s="14"/>
      <c r="C1080" s="16" t="s">
        <v>2091</v>
      </c>
      <c r="D1080" s="17">
        <f>VLOOKUP(A1060,'Neraca Unaudited SIMAK'!$A$2:$S$10004,19,FALSE)</f>
        <v>0</v>
      </c>
      <c r="E1080" s="25"/>
      <c r="F1080" s="25"/>
      <c r="G1080" s="17">
        <f t="shared" si="48"/>
        <v>0</v>
      </c>
      <c r="H1080" s="123"/>
    </row>
  </sheetData>
  <mergeCells count="294">
    <mergeCell ref="H909:H926"/>
    <mergeCell ref="H931:H948"/>
    <mergeCell ref="H953:H970"/>
    <mergeCell ref="H975:H992"/>
    <mergeCell ref="H997:H1014"/>
    <mergeCell ref="H1019:H1036"/>
    <mergeCell ref="H1041:H1058"/>
    <mergeCell ref="H1063:H1080"/>
    <mergeCell ref="H689:H706"/>
    <mergeCell ref="H711:H728"/>
    <mergeCell ref="H733:H750"/>
    <mergeCell ref="H755:H772"/>
    <mergeCell ref="H777:H794"/>
    <mergeCell ref="H799:H816"/>
    <mergeCell ref="H821:H838"/>
    <mergeCell ref="H843:H860"/>
    <mergeCell ref="H865:H882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1061:C1062"/>
    <mergeCell ref="D1061:D1062"/>
    <mergeCell ref="E1061:F1061"/>
    <mergeCell ref="G1061:G1062"/>
    <mergeCell ref="H1061:H1062"/>
    <mergeCell ref="C1017:C1018"/>
    <mergeCell ref="D1017:D1018"/>
    <mergeCell ref="E1017:F1017"/>
    <mergeCell ref="G1017:G1018"/>
    <mergeCell ref="H1017:H1018"/>
    <mergeCell ref="C1039:C1040"/>
    <mergeCell ref="D1039:D1040"/>
    <mergeCell ref="E1039:F1039"/>
    <mergeCell ref="G1039:G1040"/>
    <mergeCell ref="H1039:H1040"/>
    <mergeCell ref="C973:C974"/>
    <mergeCell ref="D973:D974"/>
    <mergeCell ref="E973:F973"/>
    <mergeCell ref="G973:G974"/>
    <mergeCell ref="H973:H974"/>
    <mergeCell ref="C995:C996"/>
    <mergeCell ref="D995:D996"/>
    <mergeCell ref="E995:F995"/>
    <mergeCell ref="G995:G996"/>
    <mergeCell ref="H995:H996"/>
    <mergeCell ref="C929:C930"/>
    <mergeCell ref="D929:D930"/>
    <mergeCell ref="E929:F929"/>
    <mergeCell ref="G929:G930"/>
    <mergeCell ref="H929:H930"/>
    <mergeCell ref="C951:C952"/>
    <mergeCell ref="D951:D952"/>
    <mergeCell ref="E951:F951"/>
    <mergeCell ref="G951:G952"/>
    <mergeCell ref="H951:H952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H887:H904"/>
    <mergeCell ref="C841:C842"/>
    <mergeCell ref="D841:D842"/>
    <mergeCell ref="E841:F841"/>
    <mergeCell ref="G841:G842"/>
    <mergeCell ref="H841:H842"/>
    <mergeCell ref="C863:C864"/>
    <mergeCell ref="D863:D864"/>
    <mergeCell ref="E863:F863"/>
    <mergeCell ref="G863:G864"/>
    <mergeCell ref="H863:H864"/>
    <mergeCell ref="C797:C798"/>
    <mergeCell ref="D797:D798"/>
    <mergeCell ref="E797:F797"/>
    <mergeCell ref="G797:G798"/>
    <mergeCell ref="H797:H798"/>
    <mergeCell ref="C819:C820"/>
    <mergeCell ref="D819:D820"/>
    <mergeCell ref="E819:F819"/>
    <mergeCell ref="G819:G820"/>
    <mergeCell ref="H819:H820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258" scale="88" orientation="portrait" r:id="rId1"/>
  <headerFooter>
    <oddFooter>&amp;R&amp;F - &amp;A</oddFooter>
  </headerFooter>
  <rowBreaks count="23" manualBreakCount="23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  <brk id="927" max="7" man="1"/>
    <brk id="971" max="7" man="1"/>
    <brk id="1015" max="7" man="1"/>
    <brk id="1059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P1652"/>
  <sheetViews>
    <sheetView view="pageBreakPreview" topLeftCell="C31" zoomScale="90" zoomScaleSheetLayoutView="90" workbookViewId="0">
      <selection activeCell="C46" sqref="C46"/>
    </sheetView>
  </sheetViews>
  <sheetFormatPr defaultRowHeight="19.5" customHeight="1"/>
  <cols>
    <col min="1" max="2" width="22" style="8" hidden="1" customWidth="1"/>
    <col min="3" max="3" width="20.140625" style="8" bestFit="1" customWidth="1"/>
    <col min="4" max="7" width="16.28515625" style="10" customWidth="1"/>
    <col min="8" max="8" width="17.7109375" style="8" customWidth="1"/>
    <col min="9" max="9" width="16.140625" style="8" bestFit="1" customWidth="1"/>
    <col min="10" max="10" width="14.28515625" style="8" bestFit="1" customWidth="1"/>
    <col min="11" max="14" width="9.140625" style="8"/>
    <col min="15" max="15" width="22" style="8" bestFit="1" customWidth="1"/>
    <col min="16" max="16384" width="9.140625" style="8"/>
  </cols>
  <sheetData>
    <row r="1" spans="1:16" ht="19.5" customHeight="1">
      <c r="C1" s="9" t="s">
        <v>2217</v>
      </c>
      <c r="O1" s="8" t="s">
        <v>76</v>
      </c>
      <c r="P1" s="8" t="s">
        <v>1238</v>
      </c>
    </row>
    <row r="2" spans="1:16" ht="19.5" customHeight="1">
      <c r="C2" s="9" t="s">
        <v>2098</v>
      </c>
      <c r="O2" s="8" t="s">
        <v>77</v>
      </c>
      <c r="P2" s="8" t="s">
        <v>1971</v>
      </c>
    </row>
    <row r="3" spans="1:16" ht="19.5" customHeight="1">
      <c r="O3" s="8" t="s">
        <v>78</v>
      </c>
      <c r="P3" s="8" t="s">
        <v>1239</v>
      </c>
    </row>
    <row r="4" spans="1:16" ht="19.5" customHeight="1">
      <c r="A4" s="11" t="str">
        <f>O1</f>
        <v>005010300097713000KD</v>
      </c>
      <c r="B4" s="11" t="str">
        <f>P1</f>
        <v>PT. Semarang</v>
      </c>
      <c r="C4" s="12" t="str">
        <f>A4&amp;" "&amp;B4</f>
        <v>005010300097713000KD PT. Semarang</v>
      </c>
      <c r="D4" s="13"/>
      <c r="E4" s="13"/>
      <c r="F4" s="13"/>
      <c r="G4" s="13"/>
      <c r="H4" s="11"/>
      <c r="O4" s="8" t="s">
        <v>79</v>
      </c>
      <c r="P4" s="8" t="s">
        <v>1240</v>
      </c>
    </row>
    <row r="5" spans="1:16" ht="21.95" customHeight="1">
      <c r="A5" s="14"/>
      <c r="B5" s="14"/>
      <c r="C5" s="124" t="s">
        <v>1982</v>
      </c>
      <c r="D5" s="126" t="s">
        <v>1983</v>
      </c>
      <c r="E5" s="132" t="s">
        <v>1984</v>
      </c>
      <c r="F5" s="132"/>
      <c r="G5" s="126" t="s">
        <v>1987</v>
      </c>
      <c r="H5" s="130" t="s">
        <v>1175</v>
      </c>
      <c r="O5" s="8" t="s">
        <v>80</v>
      </c>
      <c r="P5" s="8" t="s">
        <v>1241</v>
      </c>
    </row>
    <row r="6" spans="1:16" ht="21.95" customHeight="1">
      <c r="A6" s="14"/>
      <c r="B6" s="14"/>
      <c r="C6" s="125"/>
      <c r="D6" s="127"/>
      <c r="E6" s="26" t="s">
        <v>1985</v>
      </c>
      <c r="F6" s="26" t="s">
        <v>1986</v>
      </c>
      <c r="G6" s="127"/>
      <c r="H6" s="131"/>
      <c r="O6" s="8" t="s">
        <v>81</v>
      </c>
      <c r="P6" s="8" t="s">
        <v>1242</v>
      </c>
    </row>
    <row r="7" spans="1:16" ht="21.95" customHeight="1">
      <c r="A7" s="14"/>
      <c r="B7" s="14"/>
      <c r="C7" s="16" t="s">
        <v>1165</v>
      </c>
      <c r="D7" s="17">
        <f>VLOOKUP(A4,'Neraca Unaudited SIMAK'!$A$2:$S$10004,3,FALSE)</f>
        <v>15022650</v>
      </c>
      <c r="E7" s="25">
        <f>SUMIFS('Daftar Koreksi'!$H$5:$H$92,'Daftar Koreksi'!$D$5:$D$92,'0300'!A4,'Daftar Koreksi'!$G$5:$G$92,"Persediaan",'Daftar Koreksi'!$H$5:$H$92,"&gt;0")</f>
        <v>0</v>
      </c>
      <c r="F7" s="25">
        <f>SUMIFS('Daftar Koreksi'!$H$5:$H$92,'Daftar Koreksi'!$D$5:$D$92,'0300'!A4,'Daftar Koreksi'!$G$5:$G$92,"Persediaan",'Daftar Koreksi'!$H$5:$H$92,"&lt;0")-SUMIFS('Daftar Koreksi'!$H$5:$H$92,'Daftar Koreksi'!$D$5:$D$92,'0300'!A4,'Daftar Koreksi'!$G$5:$G$92,"Persediaan",'Daftar Koreksi'!$H$5:$H$92,"&lt;0")-SUMIFS('Daftar Koreksi'!$H$5:$H$92,'Daftar Koreksi'!$D$5:$D$92,'0300'!A4,'Daftar Koreksi'!$G$5:$G$92,"Persediaan",'Daftar Koreksi'!$H$5:$H$92,"&lt;0")</f>
        <v>0</v>
      </c>
      <c r="G7" s="17">
        <f>D7+E7-F7</f>
        <v>15022650</v>
      </c>
      <c r="H7" s="121" t="str">
        <f>IF(ISNA(VLOOKUP(A4,'Mutasi Neraca'!$A$3:$S$914,19,FALSE)),"-",VLOOKUP(A4,'Mutasi Neraca'!$A$3:$S$914,19,FALSE))</f>
        <v>-</v>
      </c>
      <c r="O7" s="8" t="s">
        <v>82</v>
      </c>
      <c r="P7" s="8" t="s">
        <v>1243</v>
      </c>
    </row>
    <row r="8" spans="1:16" ht="21.95" customHeight="1">
      <c r="A8" s="14"/>
      <c r="B8" s="14"/>
      <c r="C8" s="16" t="s">
        <v>1166</v>
      </c>
      <c r="D8" s="17">
        <f>VLOOKUP(A4,'Neraca Unaudited SIMAK'!$A$2:$S$10004,4,FALSE)</f>
        <v>34145201000</v>
      </c>
      <c r="E8" s="25">
        <f>SUMIFS('Daftar Koreksi'!$H$5:$H$92,'Daftar Koreksi'!$D$5:$D$92,'0300'!A4,'Daftar Koreksi'!$G$5:$G$92,"Tanah",'Daftar Koreksi'!$H$5:$H$92,"&gt;0")</f>
        <v>0</v>
      </c>
      <c r="F8" s="25">
        <f>SUMIFS('Daftar Koreksi'!$H$5:$H$92,'Daftar Koreksi'!$D$5:$D$92,'0300'!A4,'Daftar Koreksi'!$G$5:$G$92,"Tanah",'Daftar Koreksi'!$H$5:$H$92,"&lt;0")-SUMIFS('Daftar Koreksi'!$H$5:$H$92,'Daftar Koreksi'!$D$5:$D$92,'0300'!A4,'Daftar Koreksi'!$G$5:$G$92,"Tanah",'Daftar Koreksi'!$H$5:$H$92,"&lt;0")-SUMIFS('Daftar Koreksi'!$H$5:$H$92,'Daftar Koreksi'!$D$5:$D$92,'0300'!A4,'Daftar Koreksi'!$G$5:$G$92,"Tanah",'Daftar Koreksi'!$H$5:$H$92,"&lt;0")</f>
        <v>0</v>
      </c>
      <c r="G8" s="17">
        <f t="shared" ref="G8:G24" si="0">D8+E8-F8</f>
        <v>34145201000</v>
      </c>
      <c r="H8" s="122"/>
      <c r="O8" s="8" t="s">
        <v>83</v>
      </c>
      <c r="P8" s="8" t="s">
        <v>1244</v>
      </c>
    </row>
    <row r="9" spans="1:16" ht="21.95" customHeight="1">
      <c r="A9" s="14"/>
      <c r="B9" s="14"/>
      <c r="C9" s="16" t="s">
        <v>1167</v>
      </c>
      <c r="D9" s="17">
        <f>VLOOKUP(A4,'Neraca Unaudited SIMAK'!$A$2:$S$10004,5,FALSE)</f>
        <v>5654794845</v>
      </c>
      <c r="E9" s="25">
        <f>SUMIFS('Daftar Koreksi'!$H$5:$H$92,'Daftar Koreksi'!$D$5:$D$92,'0300'!A4,'Daftar Koreksi'!$G$5:$G$92,"Peralatan dan mesin",'Daftar Koreksi'!$H$5:$H$92,"&gt;0")</f>
        <v>0</v>
      </c>
      <c r="F9" s="25">
        <f>SUMIFS('Daftar Koreksi'!$H$5:$H$92,'Daftar Koreksi'!$D$5:$D$92,'0300'!A4,'Daftar Koreksi'!$G$5:$G$92,"Peralatan dan mesin",'Daftar Koreksi'!$H$5:$H$92,"&lt;0")-SUMIFS('Daftar Koreksi'!$H$5:$H$92,'Daftar Koreksi'!$D$5:$D$92,'0300'!A4,'Daftar Koreksi'!$G$5:$G$92,"Peralatan dan mesin",'Daftar Koreksi'!$H$5:$H$92,"&lt;0")-SUMIFS('Daftar Koreksi'!$H$5:$H$92,'Daftar Koreksi'!$D$5:$D$92,'0300'!A4,'Daftar Koreksi'!$G$5:$G$92,"Peralatan dan mesin",'Daftar Koreksi'!$H$5:$H$92,"&lt;0")</f>
        <v>0</v>
      </c>
      <c r="G9" s="17">
        <f t="shared" si="0"/>
        <v>5654794845</v>
      </c>
      <c r="H9" s="122"/>
      <c r="O9" s="8" t="s">
        <v>84</v>
      </c>
      <c r="P9" s="8" t="s">
        <v>1245</v>
      </c>
    </row>
    <row r="10" spans="1:16" ht="21.95" customHeight="1">
      <c r="A10" s="14"/>
      <c r="B10" s="14"/>
      <c r="C10" s="16" t="s">
        <v>1168</v>
      </c>
      <c r="D10" s="17">
        <f>VLOOKUP(A4,'Neraca Unaudited SIMAK'!$A$2:$S$10004,6,FALSE)</f>
        <v>12136629145</v>
      </c>
      <c r="E10" s="25">
        <f>SUMIFS('Daftar Koreksi'!$H$5:$H$92,'Daftar Koreksi'!$D$5:$D$92,'0300'!A4,'Daftar Koreksi'!$G$5:$G$92,"Gedung dan Bangunan",'Daftar Koreksi'!$H$5:$H$92,"&gt;0")</f>
        <v>0</v>
      </c>
      <c r="F10" s="25">
        <f>SUMIFS('Daftar Koreksi'!$H$5:$H$92,'Daftar Koreksi'!$D$5:$D$92,'0300'!A4,'Daftar Koreksi'!$G$5:$G$92,"Gedung dan Bangunan",'Daftar Koreksi'!$H$5:$H$92,"&lt;0")-SUMIFS('Daftar Koreksi'!$H$5:$H$92,'Daftar Koreksi'!$D$5:$D$92,'0300'!A4,'Daftar Koreksi'!$G$5:$G$92,"Gedung dan Bangunan",'Daftar Koreksi'!$H$5:$H$92,"&lt;0")-SUMIFS('Daftar Koreksi'!$H$5:$H$92,'Daftar Koreksi'!$D$5:$D$92,'0300'!A4,'Daftar Koreksi'!$G$5:$G$92,"Gedung dan Bangunan",'Daftar Koreksi'!$H$5:$H$92,"&lt;0")</f>
        <v>0</v>
      </c>
      <c r="G10" s="17">
        <f t="shared" si="0"/>
        <v>12136629145</v>
      </c>
      <c r="H10" s="122"/>
      <c r="O10" s="8" t="s">
        <v>85</v>
      </c>
      <c r="P10" s="8" t="s">
        <v>1246</v>
      </c>
    </row>
    <row r="11" spans="1:16" ht="21.95" customHeight="1">
      <c r="A11" s="14"/>
      <c r="B11" s="14"/>
      <c r="C11" s="16" t="s">
        <v>1169</v>
      </c>
      <c r="D11" s="17">
        <f>VLOOKUP(A4,'Neraca Unaudited SIMAK'!$A$2:$S$10004,7,FALSE)</f>
        <v>391215600</v>
      </c>
      <c r="E11" s="25">
        <f>SUMIFS('Daftar Koreksi'!$H$5:$H$92,'Daftar Koreksi'!$D$5:$D$92,'0300'!A4,'Daftar Koreksi'!$G$5:$G$92,"Jalan Irigasi Jaringan",'Daftar Koreksi'!$H$5:$H$92,"&gt;0")</f>
        <v>0</v>
      </c>
      <c r="F11" s="25">
        <f>SUMIFS('Daftar Koreksi'!$H$5:$H$92,'Daftar Koreksi'!$D$5:$D$92,'0300'!A4,'Daftar Koreksi'!$G$5:$G$92,"Jalan Irigasi Jaringan",'Daftar Koreksi'!$H$5:$H$92,"&lt;0")-SUMIFS('Daftar Koreksi'!$H$5:$H$92,'Daftar Koreksi'!$D$5:$D$92,'0300'!A4,'Daftar Koreksi'!$G$5:$G$92,"Jalan Irigasi Jaringan",'Daftar Koreksi'!$H$5:$H$92,"&lt;0")-SUMIFS('Daftar Koreksi'!$H$5:$H$92,'Daftar Koreksi'!$D$5:$D$92,'0300'!A4,'Daftar Koreksi'!$G$5:$G$92,"Jalan Irigasi Jaringan",'Daftar Koreksi'!$H$5:$H$92,"&lt;0")</f>
        <v>0</v>
      </c>
      <c r="G11" s="17">
        <f t="shared" si="0"/>
        <v>391215600</v>
      </c>
      <c r="H11" s="122"/>
      <c r="O11" s="8" t="s">
        <v>86</v>
      </c>
      <c r="P11" s="8" t="s">
        <v>1247</v>
      </c>
    </row>
    <row r="12" spans="1:16" ht="21.95" customHeight="1">
      <c r="A12" s="14"/>
      <c r="B12" s="14"/>
      <c r="C12" s="16" t="s">
        <v>1170</v>
      </c>
      <c r="D12" s="17">
        <f>VLOOKUP(A4,'Neraca Unaudited SIMAK'!$A$2:$S$10004,8,FALSE)</f>
        <v>82766742</v>
      </c>
      <c r="E12" s="25">
        <f>SUMIFS('Daftar Koreksi'!$H$5:$H$92,'Daftar Koreksi'!$D$5:$D$92,'0300'!A4,'Daftar Koreksi'!$G$5:$G$92,"Aset Tetap Lainnya",'Daftar Koreksi'!$H$5:$H$92,"&gt;0")</f>
        <v>0</v>
      </c>
      <c r="F12" s="25">
        <f>SUMIFS('Daftar Koreksi'!$H$5:$H$92,'Daftar Koreksi'!$D$5:$D$92,'0300'!A4,'Daftar Koreksi'!$G$5:$G$92,"Aset Tetap Lainnya",'Daftar Koreksi'!$H$5:$H$92,"&lt;0")-SUMIFS('Daftar Koreksi'!$H$5:$H$92,'Daftar Koreksi'!$D$5:$D$92,'0300'!A4,'Daftar Koreksi'!$G$5:$G$92,"Aset Tetap Lainnya",'Daftar Koreksi'!$H$5:$H$92,"&lt;0")-SUMIFS('Daftar Koreksi'!$H$5:$H$92,'Daftar Koreksi'!$D$5:$D$92,'0300'!A4,'Daftar Koreksi'!$G$5:$G$92,"Aset Tetap Lainnya",'Daftar Koreksi'!$H$5:$H$92,"&lt;0")</f>
        <v>0</v>
      </c>
      <c r="G12" s="17">
        <f t="shared" si="0"/>
        <v>82766742</v>
      </c>
      <c r="H12" s="122"/>
      <c r="O12" s="8" t="s">
        <v>87</v>
      </c>
      <c r="P12" s="8" t="s">
        <v>1248</v>
      </c>
    </row>
    <row r="13" spans="1:16" ht="21.95" customHeight="1">
      <c r="A13" s="14"/>
      <c r="B13" s="14"/>
      <c r="C13" s="16" t="s">
        <v>1171</v>
      </c>
      <c r="D13" s="17">
        <f>VLOOKUP(A4,'Neraca Unaudited SIMAK'!$A$2:$S$10004,9,FALSE)</f>
        <v>0</v>
      </c>
      <c r="E13" s="25">
        <f>SUMIFS('Daftar Koreksi'!$H$5:$H$92,'Daftar Koreksi'!$D$5:$D$92,'0300'!A4,'Daftar Koreksi'!$G$5:$G$92,"Kontruksi Dalam Pengerjaan",'Daftar Koreksi'!$H$5:$H$92,"&gt;0")</f>
        <v>0</v>
      </c>
      <c r="F13" s="25">
        <f>SUMIFS('Daftar Koreksi'!$H$5:$H$92,'Daftar Koreksi'!$D$5:$D$92,'0300'!A4,'Daftar Koreksi'!$G$5:$G$92,"Kontruksi Dalam Pengerjaan",'Daftar Koreksi'!$H$5:$H$92,"&lt;0")-SUMIFS('Daftar Koreksi'!$H$5:$H$92,'Daftar Koreksi'!$D$5:$D$92,'0300'!A4,'Daftar Koreksi'!$G$5:$G$92,"Kontruksi Dalam Pengerjaan",'Daftar Koreksi'!$H$5:$H$92,"&lt;0")-SUMIFS('Daftar Koreksi'!$H$5:$H$92,'Daftar Koreksi'!$D$5:$D$92,'0300'!A4,'Daftar Koreksi'!$G$5:$G$92,"Kontruksi Dalam Pengerjaan",'Daftar Koreksi'!$H$5:$H$92,"&lt;0")</f>
        <v>0</v>
      </c>
      <c r="G13" s="17">
        <f t="shared" si="0"/>
        <v>0</v>
      </c>
      <c r="H13" s="122"/>
      <c r="O13" s="8" t="s">
        <v>88</v>
      </c>
      <c r="P13" s="8" t="s">
        <v>1972</v>
      </c>
    </row>
    <row r="14" spans="1:16" ht="21.95" customHeight="1">
      <c r="A14" s="14"/>
      <c r="B14" s="14"/>
      <c r="C14" s="16" t="s">
        <v>1172</v>
      </c>
      <c r="D14" s="17">
        <f>VLOOKUP(A4,'Neraca Unaudited SIMAK'!$A$2:$S$10004,10,FALSE)</f>
        <v>131300000</v>
      </c>
      <c r="E14" s="25">
        <f>SUMIFS('Daftar Koreksi'!$H$5:$H$92,'Daftar Koreksi'!$D$5:$D$92,'0300'!A4,'Daftar Koreksi'!$G$5:$G$92,"Aset Tak Berwujud",'Daftar Koreksi'!$H$5:$H$92,"&gt;0")</f>
        <v>0</v>
      </c>
      <c r="F14" s="25">
        <f>SUMIFS('Daftar Koreksi'!$H$5:$H$92,'Daftar Koreksi'!$D$5:$D$92,'0300'!A4,'Daftar Koreksi'!$G$5:$G$92,"Aset Tak Berwujud",'Daftar Koreksi'!$H$5:$H$92,"&lt;0")-SUMIFS('Daftar Koreksi'!$H$5:$H$92,'Daftar Koreksi'!$D$5:$D$92,'0300'!A4,'Daftar Koreksi'!$G$5:$G$92,"Aset Tak Berwujud",'Daftar Koreksi'!$H$5:$H$92,"&lt;0")-SUMIFS('Daftar Koreksi'!$H$5:$H$92,'Daftar Koreksi'!$D$5:$D$92,'0300'!A4,'Daftar Koreksi'!$G$5:$G$92,"Aset Tak Berwujud",'Daftar Koreksi'!$H$5:$H$92,"&lt;0")</f>
        <v>0</v>
      </c>
      <c r="G14" s="17">
        <f t="shared" si="0"/>
        <v>131300000</v>
      </c>
      <c r="H14" s="122"/>
      <c r="O14" s="8" t="s">
        <v>89</v>
      </c>
      <c r="P14" s="8" t="s">
        <v>1249</v>
      </c>
    </row>
    <row r="15" spans="1:16" ht="21.95" customHeight="1">
      <c r="A15" s="14"/>
      <c r="B15" s="14"/>
      <c r="C15" s="16" t="s">
        <v>1173</v>
      </c>
      <c r="D15" s="17">
        <f>VLOOKUP(A4,'Neraca Unaudited SIMAK'!$A$2:$S$10004,11,FALSE)</f>
        <v>2600000</v>
      </c>
      <c r="E15" s="25">
        <f>SUMIFS('Daftar Koreksi'!$H$5:$H$92,'Daftar Koreksi'!$D$5:$D$92,'0300'!A4,'Daftar Koreksi'!$G$5:$G$92,"Aset Henti Guna",'Daftar Koreksi'!$H$5:$H$92,"&gt;0")</f>
        <v>0</v>
      </c>
      <c r="F15" s="25">
        <f>SUMIFS('Daftar Koreksi'!$H$5:$H$92,'Daftar Koreksi'!$D$5:$D$92,'0300'!A4,'Daftar Koreksi'!$G$5:$G$92,"Aset Henti Guna",'Daftar Koreksi'!$H$5:$H$92,"&lt;0")-SUMIFS('Daftar Koreksi'!$H$5:$H$92,'Daftar Koreksi'!$D$5:$D$92,'0300'!A4,'Daftar Koreksi'!$G$5:$G$92,"Aset Henti Guna",'Daftar Koreksi'!$H$5:$H$92,"&lt;0")-SUMIFS('Daftar Koreksi'!$H$5:$H$92,'Daftar Koreksi'!$D$5:$D$92,'0300'!A4,'Daftar Koreksi'!$G$5:$G$92,"Aset Henti Guna",'Daftar Koreksi'!$H$5:$H$92,"&lt;0")</f>
        <v>0</v>
      </c>
      <c r="G15" s="17">
        <f t="shared" si="0"/>
        <v>2600000</v>
      </c>
      <c r="H15" s="122"/>
      <c r="O15" s="8" t="s">
        <v>90</v>
      </c>
      <c r="P15" s="8" t="s">
        <v>1250</v>
      </c>
    </row>
    <row r="16" spans="1:16" ht="21.95" customHeight="1">
      <c r="A16" s="14"/>
      <c r="B16" s="14"/>
      <c r="C16" s="18" t="s">
        <v>2093</v>
      </c>
      <c r="D16" s="19">
        <f>VLOOKUP(A4,'Neraca Unaudited SIMAK'!$A$2:$S$10004,12,FALSE)</f>
        <v>52559529982</v>
      </c>
      <c r="E16" s="19">
        <f>SUM(E7:E15)</f>
        <v>0</v>
      </c>
      <c r="F16" s="19">
        <f>SUM(F7:F15)</f>
        <v>0</v>
      </c>
      <c r="G16" s="19">
        <f t="shared" si="0"/>
        <v>52559529982</v>
      </c>
      <c r="H16" s="122"/>
      <c r="O16" s="8" t="s">
        <v>91</v>
      </c>
      <c r="P16" s="8" t="s">
        <v>1251</v>
      </c>
    </row>
    <row r="17" spans="1:16" ht="21.95" customHeight="1">
      <c r="A17" s="14"/>
      <c r="B17" s="14"/>
      <c r="C17" s="16" t="s">
        <v>2087</v>
      </c>
      <c r="D17" s="17">
        <f>VLOOKUP(A4,'Neraca Unaudited SIMAK'!$A$2:$S$10004,13,FALSE)</f>
        <v>-4516925114</v>
      </c>
      <c r="E17" s="25">
        <f>SUMIFS('Daftar Koreksi'!$I$5:$I$92,'Daftar Koreksi'!$D$5:$D$92,'0300'!A4,'Daftar Koreksi'!$G$5:$G$92,"Peralatan dan mesin",'Daftar Koreksi'!$I$5:$I$92,"&gt;0")</f>
        <v>0</v>
      </c>
      <c r="F17" s="25">
        <f>SUMIFS('Daftar Koreksi'!$I$5:$I$92,'Daftar Koreksi'!$D$5:$D$92,'0300'!A4,'Daftar Koreksi'!$G$5:$G$92,"Peralatan dan mesin",'Daftar Koreksi'!$I$5:$I$92,"&lt;0")-SUMIFS('Daftar Koreksi'!$I$5:$I$92,'Daftar Koreksi'!$D$5:$D$92,'0300'!A4,'Daftar Koreksi'!$G$5:$G$92,"Peralatan dan mesin",'Daftar Koreksi'!$I$5:$I$92,"&lt;0")-SUMIFS('Daftar Koreksi'!$I$5:$I$92,'Daftar Koreksi'!$D$5:$D$92,'0300'!A4,'Daftar Koreksi'!$G$5:$G$92,"Peralatan dan mesin",'Daftar Koreksi'!$I$5:$I$92,"&lt;0")</f>
        <v>0</v>
      </c>
      <c r="G17" s="17">
        <f t="shared" si="0"/>
        <v>-4516925114</v>
      </c>
      <c r="H17" s="122"/>
      <c r="O17" s="8" t="s">
        <v>92</v>
      </c>
      <c r="P17" s="8" t="s">
        <v>1252</v>
      </c>
    </row>
    <row r="18" spans="1:16" ht="21.95" customHeight="1">
      <c r="A18" s="14"/>
      <c r="B18" s="14"/>
      <c r="C18" s="16" t="s">
        <v>2088</v>
      </c>
      <c r="D18" s="17">
        <f>VLOOKUP(A4,'Neraca Unaudited SIMAK'!$A$2:$S$10004,14,FALSE)</f>
        <v>-3619147710</v>
      </c>
      <c r="E18" s="25">
        <f>SUMIFS('Daftar Koreksi'!$I$5:$I$92,'Daftar Koreksi'!$D$5:$D$92,'0300'!A4,'Daftar Koreksi'!$G$5:$G$92,"Gedung dan Bangunan",'Daftar Koreksi'!$I$5:$I$92,"&gt;0")</f>
        <v>0</v>
      </c>
      <c r="F18" s="25">
        <f>SUMIFS('Daftar Koreksi'!$I$5:$I$92,'Daftar Koreksi'!$D$5:$D$92,'0300'!A4,'Daftar Koreksi'!$G$5:$G$92,"Gedung dan Bangunan",'Daftar Koreksi'!$I$5:$I$92,"&lt;0")-SUMIFS('Daftar Koreksi'!$I$5:$I$92,'Daftar Koreksi'!$D$5:$D$92,'0300'!A4,'Daftar Koreksi'!$G$5:$G$92,"Gedung dan Bangunan",'Daftar Koreksi'!$I$5:$I$92,"&lt;0")-SUMIFS('Daftar Koreksi'!$I$5:$I$92,'Daftar Koreksi'!$D$5:$D$92,'0300'!A4,'Daftar Koreksi'!$G$5:$G$92,"Gedung dan Bangunan",'Daftar Koreksi'!$I$5:$I$92,"&lt;0")</f>
        <v>0</v>
      </c>
      <c r="G18" s="17">
        <f t="shared" si="0"/>
        <v>-3619147710</v>
      </c>
      <c r="H18" s="122"/>
      <c r="O18" s="8" t="s">
        <v>93</v>
      </c>
      <c r="P18" s="8" t="s">
        <v>1253</v>
      </c>
    </row>
    <row r="19" spans="1:16" ht="21.95" customHeight="1">
      <c r="A19" s="14"/>
      <c r="B19" s="14"/>
      <c r="C19" s="16" t="s">
        <v>2089</v>
      </c>
      <c r="D19" s="17">
        <f>VLOOKUP(A4,'Neraca Unaudited SIMAK'!$A$2:$S$10004,15,FALSE)</f>
        <v>-261192590</v>
      </c>
      <c r="E19" s="25">
        <f>SUMIFS('Daftar Koreksi'!$I$5:$I$92,'Daftar Koreksi'!$D$5:$D$92,'0300'!A4,'Daftar Koreksi'!$G$5:$G$92,"Jalan Irigasi Jaringan",'Daftar Koreksi'!$I$5:$I$92,"&gt;0")</f>
        <v>0</v>
      </c>
      <c r="F19" s="25">
        <f>SUMIFS('Daftar Koreksi'!$I$5:$I$92,'Daftar Koreksi'!$D$5:$D$92,'0300'!A4,'Daftar Koreksi'!$G$5:$G$92,"Jalan Irigasi Jaringan",'Daftar Koreksi'!$I$5:$I$92,"&lt;0")-SUMIFS('Daftar Koreksi'!$I$5:$I$92,'Daftar Koreksi'!$D$5:$D$92,'0300'!A4,'Daftar Koreksi'!$G$5:$G$92,"Jalan Irigasi Jaringan",'Daftar Koreksi'!$I$5:$I$92,"&lt;0")-SUMIFS('Daftar Koreksi'!$I$5:$I$92,'Daftar Koreksi'!$D$5:$D$92,'0300'!A4,'Daftar Koreksi'!$G$5:$G$92,"Jalan Irigasi Jaringan",'Daftar Koreksi'!$I$5:$I$92,"&lt;0")</f>
        <v>0</v>
      </c>
      <c r="G19" s="17">
        <f t="shared" si="0"/>
        <v>-261192590</v>
      </c>
      <c r="H19" s="122"/>
      <c r="O19" s="8" t="s">
        <v>94</v>
      </c>
      <c r="P19" s="8" t="s">
        <v>1254</v>
      </c>
    </row>
    <row r="20" spans="1:16" ht="21.95" customHeight="1">
      <c r="A20" s="14"/>
      <c r="B20" s="14"/>
      <c r="C20" s="16" t="s">
        <v>2090</v>
      </c>
      <c r="D20" s="17">
        <f>VLOOKUP(A4,'Neraca Unaudited SIMAK'!$A$2:$S$10004,16,FALSE)</f>
        <v>0</v>
      </c>
      <c r="E20" s="25">
        <f>SUMIFS('Daftar Koreksi'!$I$5:$I$92,'Daftar Koreksi'!$D$5:$D$92,'0300'!A4,'Daftar Koreksi'!$G$5:$G$92,"Aset Tetap Lainnya",'Daftar Koreksi'!$I$5:$I$92,"&gt;0")</f>
        <v>0</v>
      </c>
      <c r="F20" s="25">
        <f>SUMIFS('Daftar Koreksi'!$I$5:$I$92,'Daftar Koreksi'!$D$5:$D$92,'0300'!A4,'Daftar Koreksi'!$G$5:$G$92,"Aset Tetap Lainnya",'Daftar Koreksi'!$I$5:$I$92,"&lt;0")-SUMIFS('Daftar Koreksi'!$I$5:$I$92,'Daftar Koreksi'!$D$5:$D$92,'0300'!A4,'Daftar Koreksi'!$G$5:$G$92,"Aset Tetap Lainnya",'Daftar Koreksi'!$I$5:$I$92,"&lt;0")-SUMIFS('Daftar Koreksi'!$I$5:$I$92,'Daftar Koreksi'!$D$5:$D$92,'0300'!A4,'Daftar Koreksi'!$G$5:$G$92,"Aset Tetap Lainnya",'Daftar Koreksi'!$I$5:$I$92,"&lt;0")</f>
        <v>0</v>
      </c>
      <c r="G20" s="17">
        <f t="shared" si="0"/>
        <v>0</v>
      </c>
      <c r="H20" s="122"/>
      <c r="O20" s="8" t="s">
        <v>95</v>
      </c>
      <c r="P20" s="8" t="s">
        <v>1255</v>
      </c>
    </row>
    <row r="21" spans="1:16" ht="21.95" customHeight="1">
      <c r="A21" s="14"/>
      <c r="B21" s="14"/>
      <c r="C21" s="16" t="s">
        <v>2020</v>
      </c>
      <c r="D21" s="17">
        <f>VLOOKUP(A4,'Neraca Unaudited SIMAK'!$A$2:$S$10004,17,FALSE)</f>
        <v>-2600000</v>
      </c>
      <c r="E21" s="25">
        <f>SUMIFS('Daftar Koreksi'!$I$5:$I$92,'Daftar Koreksi'!$D$5:$D$92,'0300'!A4,'Daftar Koreksi'!$G$5:$G$92,"Aset Henti Guna",'Daftar Koreksi'!$I$5:$I$92,"&gt;0")</f>
        <v>0</v>
      </c>
      <c r="F21" s="25">
        <f>SUMIFS('Daftar Koreksi'!$I$5:$I$92,'Daftar Koreksi'!$D$5:$D$92,'0300'!A4,'Daftar Koreksi'!$G$5:$G$92,"Aset Henti Guna",'Daftar Koreksi'!$I$5:$I$92,"&lt;0")-SUMIFS('Daftar Koreksi'!$I$5:$I$92,'Daftar Koreksi'!$D$5:$D$92,'0300'!A4,'Daftar Koreksi'!$G$5:$G$92,"Aset Henti Guna",'Daftar Koreksi'!$I$5:$I$92,"&lt;0")-SUMIFS('Daftar Koreksi'!$I$5:$I$92,'Daftar Koreksi'!$D$5:$D$92,'0300'!A4,'Daftar Koreksi'!$G$5:$G$92,"Aset Henti Guna",'Daftar Koreksi'!$I$5:$I$92,"&lt;0")</f>
        <v>0</v>
      </c>
      <c r="G21" s="17">
        <f t="shared" si="0"/>
        <v>-2600000</v>
      </c>
      <c r="H21" s="122"/>
      <c r="O21" s="8" t="s">
        <v>96</v>
      </c>
      <c r="P21" s="8" t="s">
        <v>1256</v>
      </c>
    </row>
    <row r="22" spans="1:16" ht="21.95" customHeight="1">
      <c r="A22" s="14"/>
      <c r="B22" s="14"/>
      <c r="C22" s="18" t="s">
        <v>2094</v>
      </c>
      <c r="D22" s="19">
        <f>SUM(D17:D21)</f>
        <v>-8399865414</v>
      </c>
      <c r="E22" s="19">
        <f>SUM(E17:E21)</f>
        <v>0</v>
      </c>
      <c r="F22" s="19">
        <f>SUM(F17:F21)</f>
        <v>0</v>
      </c>
      <c r="G22" s="19">
        <f t="shared" si="0"/>
        <v>-8399865414</v>
      </c>
      <c r="H22" s="122"/>
      <c r="O22" s="8" t="s">
        <v>97</v>
      </c>
      <c r="P22" s="8" t="s">
        <v>1257</v>
      </c>
    </row>
    <row r="23" spans="1:16" ht="21.95" customHeight="1">
      <c r="A23" s="14"/>
      <c r="B23" s="14"/>
      <c r="C23" s="18" t="s">
        <v>2095</v>
      </c>
      <c r="D23" s="19">
        <f>VLOOKUP(A4,'Neraca Unaudited SIMAK'!$A$2:$S$10004,18,FALSE)</f>
        <v>44159664568</v>
      </c>
      <c r="E23" s="19">
        <f>E22+E16</f>
        <v>0</v>
      </c>
      <c r="F23" s="19">
        <f>F22+F16</f>
        <v>0</v>
      </c>
      <c r="G23" s="19">
        <f t="shared" si="0"/>
        <v>44159664568</v>
      </c>
      <c r="H23" s="122"/>
      <c r="O23" s="8" t="s">
        <v>98</v>
      </c>
      <c r="P23" s="8" t="s">
        <v>1258</v>
      </c>
    </row>
    <row r="24" spans="1:16" ht="21.95" customHeight="1">
      <c r="A24" s="14"/>
      <c r="B24" s="14"/>
      <c r="C24" s="16" t="s">
        <v>2091</v>
      </c>
      <c r="D24" s="17">
        <f>VLOOKUP(A4,'Neraca Unaudited SIMAK'!$A$2:$S$10004,19,FALSE)</f>
        <v>0</v>
      </c>
      <c r="E24" s="25"/>
      <c r="F24" s="25"/>
      <c r="G24" s="17">
        <f t="shared" si="0"/>
        <v>0</v>
      </c>
      <c r="H24" s="123"/>
      <c r="O24" s="8" t="s">
        <v>99</v>
      </c>
      <c r="P24" s="8" t="s">
        <v>1259</v>
      </c>
    </row>
    <row r="25" spans="1:16" ht="19.5" customHeight="1">
      <c r="O25" s="8" t="s">
        <v>100</v>
      </c>
      <c r="P25" s="8" t="s">
        <v>1260</v>
      </c>
    </row>
    <row r="26" spans="1:16" ht="19.5" customHeight="1">
      <c r="A26" s="11" t="str">
        <f>O2</f>
        <v>005010300097720000KD</v>
      </c>
      <c r="B26" s="11" t="str">
        <f>P2</f>
        <v>PN. Semarang</v>
      </c>
      <c r="C26" s="12" t="str">
        <f>A26&amp;" "&amp;B26</f>
        <v>005010300097720000KD PN. Semarang</v>
      </c>
      <c r="D26" s="13"/>
      <c r="E26" s="13"/>
      <c r="F26" s="13"/>
      <c r="G26" s="13"/>
      <c r="H26" s="11"/>
      <c r="O26" s="8" t="s">
        <v>101</v>
      </c>
      <c r="P26" s="8" t="s">
        <v>1261</v>
      </c>
    </row>
    <row r="27" spans="1:16" ht="21.95" customHeight="1">
      <c r="A27" s="14"/>
      <c r="B27" s="14"/>
      <c r="C27" s="124" t="s">
        <v>1982</v>
      </c>
      <c r="D27" s="126" t="s">
        <v>1983</v>
      </c>
      <c r="E27" s="132" t="s">
        <v>1984</v>
      </c>
      <c r="F27" s="132"/>
      <c r="G27" s="126" t="s">
        <v>1987</v>
      </c>
      <c r="H27" s="130" t="s">
        <v>1175</v>
      </c>
      <c r="O27" s="8" t="s">
        <v>102</v>
      </c>
      <c r="P27" s="8" t="s">
        <v>1997</v>
      </c>
    </row>
    <row r="28" spans="1:16" ht="21.95" customHeight="1">
      <c r="A28" s="14"/>
      <c r="B28" s="14"/>
      <c r="C28" s="125"/>
      <c r="D28" s="127"/>
      <c r="E28" s="26" t="s">
        <v>1985</v>
      </c>
      <c r="F28" s="26" t="s">
        <v>1986</v>
      </c>
      <c r="G28" s="127"/>
      <c r="H28" s="131"/>
      <c r="O28" s="8" t="s">
        <v>103</v>
      </c>
      <c r="P28" s="8" t="s">
        <v>1262</v>
      </c>
    </row>
    <row r="29" spans="1:16" ht="21.95" customHeight="1">
      <c r="A29" s="14"/>
      <c r="B29" s="14"/>
      <c r="C29" s="16" t="s">
        <v>1165</v>
      </c>
      <c r="D29" s="17">
        <f>VLOOKUP(A26,'Neraca Unaudited SIMAK'!$A$2:$S$10004,3,FALSE)</f>
        <v>1657500</v>
      </c>
      <c r="E29" s="25">
        <f>SUMIFS('Daftar Koreksi'!$H$5:$H$92,'Daftar Koreksi'!$D$5:$D$92,'0300'!A26,'Daftar Koreksi'!$G$5:$G$92,"Persediaan",'Daftar Koreksi'!$H$5:$H$92,"&gt;0")</f>
        <v>0</v>
      </c>
      <c r="F29" s="25">
        <f>SUMIFS('Daftar Koreksi'!$H$5:$H$92,'Daftar Koreksi'!$D$5:$D$92,'0300'!A26,'Daftar Koreksi'!$G$5:$G$92,"Persediaan",'Daftar Koreksi'!$H$5:$H$92,"&lt;0")-SUMIFS('Daftar Koreksi'!$H$5:$H$92,'Daftar Koreksi'!$D$5:$D$92,'0300'!A26,'Daftar Koreksi'!$G$5:$G$92,"Persediaan",'Daftar Koreksi'!$H$5:$H$92,"&lt;0")-SUMIFS('Daftar Koreksi'!$H$5:$H$92,'Daftar Koreksi'!$D$5:$D$92,'0300'!A26,'Daftar Koreksi'!$G$5:$G$92,"Persediaan",'Daftar Koreksi'!$H$5:$H$92,"&lt;0")</f>
        <v>0</v>
      </c>
      <c r="G29" s="17">
        <f>D29+E29-F29</f>
        <v>1657500</v>
      </c>
      <c r="H29" s="121" t="str">
        <f>IF(ISNA(VLOOKUP(A26,'Mutasi Neraca'!$A$3:$S$914,19,FALSE)),"-",VLOOKUP(A26,'Mutasi Neraca'!$A$3:$S$914,19,FALSE))</f>
        <v>-</v>
      </c>
      <c r="O29" s="8" t="s">
        <v>104</v>
      </c>
      <c r="P29" s="8" t="s">
        <v>1263</v>
      </c>
    </row>
    <row r="30" spans="1:16" ht="21.95" customHeight="1">
      <c r="A30" s="14"/>
      <c r="B30" s="14"/>
      <c r="C30" s="16" t="s">
        <v>1166</v>
      </c>
      <c r="D30" s="17">
        <f>VLOOKUP(A26,'Neraca Unaudited SIMAK'!$A$2:$S$10004,4,FALSE)</f>
        <v>25666300000</v>
      </c>
      <c r="E30" s="25">
        <f>SUMIFS('Daftar Koreksi'!$H$5:$H$92,'Daftar Koreksi'!$D$5:$D$92,'0300'!A26,'Daftar Koreksi'!$G$5:$G$92,"Tanah",'Daftar Koreksi'!$H$5:$H$92,"&gt;0")</f>
        <v>0</v>
      </c>
      <c r="F30" s="25">
        <f>SUMIFS('Daftar Koreksi'!$H$5:$H$92,'Daftar Koreksi'!$D$5:$D$92,'0300'!A26,'Daftar Koreksi'!$G$5:$G$92,"Tanah",'Daftar Koreksi'!$H$5:$H$92,"&lt;0")-SUMIFS('Daftar Koreksi'!$H$5:$H$92,'Daftar Koreksi'!$D$5:$D$92,'0300'!A26,'Daftar Koreksi'!$G$5:$G$92,"Tanah",'Daftar Koreksi'!$H$5:$H$92,"&lt;0")-SUMIFS('Daftar Koreksi'!$H$5:$H$92,'Daftar Koreksi'!$D$5:$D$92,'0300'!A26,'Daftar Koreksi'!$G$5:$G$92,"Tanah",'Daftar Koreksi'!$H$5:$H$92,"&lt;0")</f>
        <v>0</v>
      </c>
      <c r="G30" s="17">
        <f t="shared" ref="G30:G46" si="1">D30+E30-F30</f>
        <v>25666300000</v>
      </c>
      <c r="H30" s="122"/>
      <c r="O30" s="8" t="s">
        <v>105</v>
      </c>
      <c r="P30" s="8" t="s">
        <v>1264</v>
      </c>
    </row>
    <row r="31" spans="1:16" ht="21.95" customHeight="1">
      <c r="A31" s="14"/>
      <c r="B31" s="14"/>
      <c r="C31" s="16" t="s">
        <v>1167</v>
      </c>
      <c r="D31" s="17">
        <f>VLOOKUP(A26,'Neraca Unaudited SIMAK'!$A$2:$S$10004,5,FALSE)</f>
        <v>6769744170</v>
      </c>
      <c r="E31" s="25">
        <f>SUMIFS('Daftar Koreksi'!$H$5:$H$92,'Daftar Koreksi'!$D$5:$D$92,'0300'!A26,'Daftar Koreksi'!$G$5:$G$92,"Peralatan dan mesin",'Daftar Koreksi'!$H$5:$H$92,"&gt;0")</f>
        <v>0</v>
      </c>
      <c r="F31" s="25">
        <f>SUMIFS('Daftar Koreksi'!$H$5:$H$92,'Daftar Koreksi'!$D$5:$D$92,'0300'!A26,'Daftar Koreksi'!$G$5:$G$92,"Peralatan dan mesin",'Daftar Koreksi'!$H$5:$H$92,"&lt;0")-SUMIFS('Daftar Koreksi'!$H$5:$H$92,'Daftar Koreksi'!$D$5:$D$92,'0300'!A26,'Daftar Koreksi'!$G$5:$G$92,"Peralatan dan mesin",'Daftar Koreksi'!$H$5:$H$92,"&lt;0")-SUMIFS('Daftar Koreksi'!$H$5:$H$92,'Daftar Koreksi'!$D$5:$D$92,'0300'!A26,'Daftar Koreksi'!$G$5:$G$92,"Peralatan dan mesin",'Daftar Koreksi'!$H$5:$H$92,"&lt;0")</f>
        <v>0</v>
      </c>
      <c r="G31" s="17">
        <f t="shared" si="1"/>
        <v>6769744170</v>
      </c>
      <c r="H31" s="122"/>
      <c r="O31" s="8" t="s">
        <v>106</v>
      </c>
      <c r="P31" s="8" t="s">
        <v>1265</v>
      </c>
    </row>
    <row r="32" spans="1:16" ht="21.95" customHeight="1">
      <c r="A32" s="14"/>
      <c r="B32" s="14"/>
      <c r="C32" s="16" t="s">
        <v>1168</v>
      </c>
      <c r="D32" s="17">
        <f>VLOOKUP(A26,'Neraca Unaudited SIMAK'!$A$2:$S$10004,6,FALSE)</f>
        <v>10846588660</v>
      </c>
      <c r="E32" s="25">
        <f>SUMIFS('Daftar Koreksi'!$H$5:$H$92,'Daftar Koreksi'!$D$5:$D$92,'0300'!A26,'Daftar Koreksi'!$G$5:$G$92,"Gedung dan Bangunan",'Daftar Koreksi'!$H$5:$H$92,"&gt;0")</f>
        <v>0</v>
      </c>
      <c r="F32" s="25">
        <f>SUMIFS('Daftar Koreksi'!$H$5:$H$92,'Daftar Koreksi'!$D$5:$D$92,'0300'!A26,'Daftar Koreksi'!$G$5:$G$92,"Gedung dan Bangunan",'Daftar Koreksi'!$H$5:$H$92,"&lt;0")-SUMIFS('Daftar Koreksi'!$H$5:$H$92,'Daftar Koreksi'!$D$5:$D$92,'0300'!A26,'Daftar Koreksi'!$G$5:$G$92,"Gedung dan Bangunan",'Daftar Koreksi'!$H$5:$H$92,"&lt;0")-SUMIFS('Daftar Koreksi'!$H$5:$H$92,'Daftar Koreksi'!$D$5:$D$92,'0300'!A26,'Daftar Koreksi'!$G$5:$G$92,"Gedung dan Bangunan",'Daftar Koreksi'!$H$5:$H$92,"&lt;0")</f>
        <v>0</v>
      </c>
      <c r="G32" s="17">
        <f t="shared" si="1"/>
        <v>10846588660</v>
      </c>
      <c r="H32" s="122"/>
      <c r="O32" s="8" t="s">
        <v>107</v>
      </c>
      <c r="P32" s="8" t="s">
        <v>1266</v>
      </c>
    </row>
    <row r="33" spans="1:16" ht="21.95" customHeight="1">
      <c r="A33" s="14"/>
      <c r="B33" s="14"/>
      <c r="C33" s="16" t="s">
        <v>1169</v>
      </c>
      <c r="D33" s="17">
        <f>VLOOKUP(A26,'Neraca Unaudited SIMAK'!$A$2:$S$10004,7,FALSE)</f>
        <v>0</v>
      </c>
      <c r="E33" s="25">
        <f>SUMIFS('Daftar Koreksi'!$H$5:$H$92,'Daftar Koreksi'!$D$5:$D$92,'0300'!A26,'Daftar Koreksi'!$G$5:$G$92,"Jalan Irigasi Jaringan",'Daftar Koreksi'!$H$5:$H$92,"&gt;0")</f>
        <v>0</v>
      </c>
      <c r="F33" s="25">
        <f>SUMIFS('Daftar Koreksi'!$H$5:$H$92,'Daftar Koreksi'!$D$5:$D$92,'0300'!A26,'Daftar Koreksi'!$G$5:$G$92,"Jalan Irigasi Jaringan",'Daftar Koreksi'!$H$5:$H$92,"&lt;0")-SUMIFS('Daftar Koreksi'!$H$5:$H$92,'Daftar Koreksi'!$D$5:$D$92,'0300'!A26,'Daftar Koreksi'!$G$5:$G$92,"Jalan Irigasi Jaringan",'Daftar Koreksi'!$H$5:$H$92,"&lt;0")-SUMIFS('Daftar Koreksi'!$H$5:$H$92,'Daftar Koreksi'!$D$5:$D$92,'0300'!A26,'Daftar Koreksi'!$G$5:$G$92,"Jalan Irigasi Jaringan",'Daftar Koreksi'!$H$5:$H$92,"&lt;0")</f>
        <v>0</v>
      </c>
      <c r="G33" s="17">
        <f t="shared" si="1"/>
        <v>0</v>
      </c>
      <c r="H33" s="122"/>
      <c r="O33" s="8" t="s">
        <v>108</v>
      </c>
      <c r="P33" s="8" t="s">
        <v>1267</v>
      </c>
    </row>
    <row r="34" spans="1:16" ht="21.95" customHeight="1">
      <c r="A34" s="14"/>
      <c r="B34" s="14"/>
      <c r="C34" s="16" t="s">
        <v>1170</v>
      </c>
      <c r="D34" s="17">
        <f>VLOOKUP(A26,'Neraca Unaudited SIMAK'!$A$2:$S$10004,8,FALSE)</f>
        <v>9183742</v>
      </c>
      <c r="E34" s="25">
        <f>SUMIFS('Daftar Koreksi'!$H$5:$H$92,'Daftar Koreksi'!$D$5:$D$92,'0300'!A26,'Daftar Koreksi'!$G$5:$G$92,"Aset Tetap Lainnya",'Daftar Koreksi'!$H$5:$H$92,"&gt;0")</f>
        <v>0</v>
      </c>
      <c r="F34" s="25">
        <f>SUMIFS('Daftar Koreksi'!$H$5:$H$92,'Daftar Koreksi'!$D$5:$D$92,'0300'!A26,'Daftar Koreksi'!$G$5:$G$92,"Aset Tetap Lainnya",'Daftar Koreksi'!$H$5:$H$92,"&lt;0")-SUMIFS('Daftar Koreksi'!$H$5:$H$92,'Daftar Koreksi'!$D$5:$D$92,'0300'!A26,'Daftar Koreksi'!$G$5:$G$92,"Aset Tetap Lainnya",'Daftar Koreksi'!$H$5:$H$92,"&lt;0")-SUMIFS('Daftar Koreksi'!$H$5:$H$92,'Daftar Koreksi'!$D$5:$D$92,'0300'!A26,'Daftar Koreksi'!$G$5:$G$92,"Aset Tetap Lainnya",'Daftar Koreksi'!$H$5:$H$92,"&lt;0")</f>
        <v>0</v>
      </c>
      <c r="G34" s="17">
        <f t="shared" si="1"/>
        <v>9183742</v>
      </c>
      <c r="H34" s="122"/>
      <c r="O34" s="8" t="s">
        <v>109</v>
      </c>
      <c r="P34" s="8" t="s">
        <v>1268</v>
      </c>
    </row>
    <row r="35" spans="1:16" ht="21.95" customHeight="1">
      <c r="A35" s="14"/>
      <c r="B35" s="14"/>
      <c r="C35" s="16" t="s">
        <v>1171</v>
      </c>
      <c r="D35" s="17">
        <f>VLOOKUP(A26,'Neraca Unaudited SIMAK'!$A$2:$S$10004,9,FALSE)</f>
        <v>0</v>
      </c>
      <c r="E35" s="25">
        <f>SUMIFS('Daftar Koreksi'!$H$5:$H$92,'Daftar Koreksi'!$D$5:$D$92,'0300'!A26,'Daftar Koreksi'!$G$5:$G$92,"Kontruksi Dalam Pengerjaan",'Daftar Koreksi'!$H$5:$H$92,"&gt;0")</f>
        <v>0</v>
      </c>
      <c r="F35" s="25">
        <f>SUMIFS('Daftar Koreksi'!$H$5:$H$92,'Daftar Koreksi'!$D$5:$D$92,'0300'!A26,'Daftar Koreksi'!$G$5:$G$92,"Kontruksi Dalam Pengerjaan",'Daftar Koreksi'!$H$5:$H$92,"&lt;0")-SUMIFS('Daftar Koreksi'!$H$5:$H$92,'Daftar Koreksi'!$D$5:$D$92,'0300'!A26,'Daftar Koreksi'!$G$5:$G$92,"Kontruksi Dalam Pengerjaan",'Daftar Koreksi'!$H$5:$H$92,"&lt;0")-SUMIFS('Daftar Koreksi'!$H$5:$H$92,'Daftar Koreksi'!$D$5:$D$92,'0300'!A26,'Daftar Koreksi'!$G$5:$G$92,"Kontruksi Dalam Pengerjaan",'Daftar Koreksi'!$H$5:$H$92,"&lt;0")</f>
        <v>0</v>
      </c>
      <c r="G35" s="17">
        <f t="shared" si="1"/>
        <v>0</v>
      </c>
      <c r="H35" s="122"/>
      <c r="O35" s="8" t="s">
        <v>110</v>
      </c>
      <c r="P35" s="8" t="s">
        <v>1973</v>
      </c>
    </row>
    <row r="36" spans="1:16" ht="21.95" customHeight="1">
      <c r="A36" s="14"/>
      <c r="B36" s="14"/>
      <c r="C36" s="16" t="s">
        <v>1172</v>
      </c>
      <c r="D36" s="17">
        <f>VLOOKUP(A26,'Neraca Unaudited SIMAK'!$A$2:$S$10004,10,FALSE)</f>
        <v>0</v>
      </c>
      <c r="E36" s="25">
        <f>SUMIFS('Daftar Koreksi'!$H$5:$H$92,'Daftar Koreksi'!$D$5:$D$92,'0300'!A26,'Daftar Koreksi'!$G$5:$G$92,"Aset Tak Berwujud",'Daftar Koreksi'!$H$5:$H$92,"&gt;0")</f>
        <v>0</v>
      </c>
      <c r="F36" s="25">
        <f>SUMIFS('Daftar Koreksi'!$H$5:$H$92,'Daftar Koreksi'!$D$5:$D$92,'0300'!A26,'Daftar Koreksi'!$G$5:$G$92,"Aset Tak Berwujud",'Daftar Koreksi'!$H$5:$H$92,"&lt;0")-SUMIFS('Daftar Koreksi'!$H$5:$H$92,'Daftar Koreksi'!$D$5:$D$92,'0300'!A26,'Daftar Koreksi'!$G$5:$G$92,"Aset Tak Berwujud",'Daftar Koreksi'!$H$5:$H$92,"&lt;0")-SUMIFS('Daftar Koreksi'!$H$5:$H$92,'Daftar Koreksi'!$D$5:$D$92,'0300'!A26,'Daftar Koreksi'!$G$5:$G$92,"Aset Tak Berwujud",'Daftar Koreksi'!$H$5:$H$92,"&lt;0")</f>
        <v>0</v>
      </c>
      <c r="G36" s="17">
        <f t="shared" si="1"/>
        <v>0</v>
      </c>
      <c r="H36" s="122"/>
      <c r="O36" s="8" t="s">
        <v>111</v>
      </c>
      <c r="P36" s="8" t="s">
        <v>1994</v>
      </c>
    </row>
    <row r="37" spans="1:16" ht="21.95" customHeight="1">
      <c r="A37" s="14"/>
      <c r="B37" s="14"/>
      <c r="C37" s="16" t="s">
        <v>1173</v>
      </c>
      <c r="D37" s="17">
        <f>VLOOKUP(A26,'Neraca Unaudited SIMAK'!$A$2:$S$10004,11,FALSE)</f>
        <v>12448400</v>
      </c>
      <c r="E37" s="25">
        <f>SUMIFS('Daftar Koreksi'!$H$5:$H$92,'Daftar Koreksi'!$D$5:$D$92,'0300'!A26,'Daftar Koreksi'!$G$5:$G$92,"Aset Henti Guna",'Daftar Koreksi'!$H$5:$H$92,"&gt;0")</f>
        <v>0</v>
      </c>
      <c r="F37" s="25">
        <f>SUMIFS('Daftar Koreksi'!$H$5:$H$92,'Daftar Koreksi'!$D$5:$D$92,'0300'!A26,'Daftar Koreksi'!$G$5:$G$92,"Aset Henti Guna",'Daftar Koreksi'!$H$5:$H$92,"&lt;0")-SUMIFS('Daftar Koreksi'!$H$5:$H$92,'Daftar Koreksi'!$D$5:$D$92,'0300'!A26,'Daftar Koreksi'!$G$5:$G$92,"Aset Henti Guna",'Daftar Koreksi'!$H$5:$H$92,"&lt;0")-SUMIFS('Daftar Koreksi'!$H$5:$H$92,'Daftar Koreksi'!$D$5:$D$92,'0300'!A26,'Daftar Koreksi'!$G$5:$G$92,"Aset Henti Guna",'Daftar Koreksi'!$H$5:$H$92,"&lt;0")</f>
        <v>0</v>
      </c>
      <c r="G37" s="17">
        <f t="shared" si="1"/>
        <v>12448400</v>
      </c>
      <c r="H37" s="122"/>
      <c r="O37" s="8" t="s">
        <v>112</v>
      </c>
      <c r="P37" s="8" t="s">
        <v>1269</v>
      </c>
    </row>
    <row r="38" spans="1:16" ht="21.95" customHeight="1">
      <c r="A38" s="14"/>
      <c r="B38" s="14"/>
      <c r="C38" s="18" t="s">
        <v>2093</v>
      </c>
      <c r="D38" s="19">
        <f>VLOOKUP(A26,'Neraca Unaudited SIMAK'!$A$2:$S$10004,12,FALSE)</f>
        <v>43305922472</v>
      </c>
      <c r="E38" s="19">
        <f>SUM(E29:E37)</f>
        <v>0</v>
      </c>
      <c r="F38" s="19">
        <f>SUM(F29:F37)</f>
        <v>0</v>
      </c>
      <c r="G38" s="19">
        <f t="shared" si="1"/>
        <v>43305922472</v>
      </c>
      <c r="H38" s="122"/>
      <c r="O38" s="8" t="s">
        <v>113</v>
      </c>
      <c r="P38" s="8" t="s">
        <v>1270</v>
      </c>
    </row>
    <row r="39" spans="1:16" ht="21.95" customHeight="1">
      <c r="A39" s="14"/>
      <c r="B39" s="14"/>
      <c r="C39" s="16" t="s">
        <v>2087</v>
      </c>
      <c r="D39" s="17">
        <f>VLOOKUP(A26,'Neraca Unaudited SIMAK'!$A$2:$S$10004,13,FALSE)</f>
        <v>-6153481280</v>
      </c>
      <c r="E39" s="25">
        <f>SUMIFS('Daftar Koreksi'!$I$5:$I$92,'Daftar Koreksi'!$D$5:$D$92,'0300'!A26,'Daftar Koreksi'!$G$5:$G$92,"Peralatan dan mesin",'Daftar Koreksi'!$I$5:$I$92,"&gt;0")</f>
        <v>0</v>
      </c>
      <c r="F39" s="25">
        <f>SUMIFS('Daftar Koreksi'!$I$5:$I$92,'Daftar Koreksi'!$D$5:$D$92,'0300'!A26,'Daftar Koreksi'!$G$5:$G$92,"Peralatan dan mesin",'Daftar Koreksi'!$I$5:$I$92,"&lt;0")-SUMIFS('Daftar Koreksi'!$I$5:$I$92,'Daftar Koreksi'!$D$5:$D$92,'0300'!A26,'Daftar Koreksi'!$G$5:$G$92,"Peralatan dan mesin",'Daftar Koreksi'!$I$5:$I$92,"&lt;0")-SUMIFS('Daftar Koreksi'!$I$5:$I$92,'Daftar Koreksi'!$D$5:$D$92,'0300'!A26,'Daftar Koreksi'!$G$5:$G$92,"Peralatan dan mesin",'Daftar Koreksi'!$I$5:$I$92,"&lt;0")</f>
        <v>0</v>
      </c>
      <c r="G39" s="17">
        <f t="shared" si="1"/>
        <v>-6153481280</v>
      </c>
      <c r="H39" s="122"/>
      <c r="O39" s="8" t="s">
        <v>114</v>
      </c>
      <c r="P39" s="8" t="s">
        <v>1271</v>
      </c>
    </row>
    <row r="40" spans="1:16" ht="21.95" customHeight="1">
      <c r="A40" s="14"/>
      <c r="B40" s="14"/>
      <c r="C40" s="16" t="s">
        <v>2088</v>
      </c>
      <c r="D40" s="17">
        <f>VLOOKUP(A26,'Neraca Unaudited SIMAK'!$A$2:$S$10004,14,FALSE)</f>
        <v>-2040402416</v>
      </c>
      <c r="E40" s="25">
        <f>SUMIFS('Daftar Koreksi'!$I$5:$I$92,'Daftar Koreksi'!$D$5:$D$92,'0300'!A26,'Daftar Koreksi'!$G$5:$G$92,"Gedung dan Bangunan",'Daftar Koreksi'!$I$5:$I$92,"&gt;0")</f>
        <v>0</v>
      </c>
      <c r="F40" s="25">
        <f>SUMIFS('Daftar Koreksi'!$I$5:$I$92,'Daftar Koreksi'!$D$5:$D$92,'0300'!A26,'Daftar Koreksi'!$G$5:$G$92,"Gedung dan Bangunan",'Daftar Koreksi'!$I$5:$I$92,"&lt;0")-SUMIFS('Daftar Koreksi'!$I$5:$I$92,'Daftar Koreksi'!$D$5:$D$92,'0300'!A26,'Daftar Koreksi'!$G$5:$G$92,"Gedung dan Bangunan",'Daftar Koreksi'!$I$5:$I$92,"&lt;0")-SUMIFS('Daftar Koreksi'!$I$5:$I$92,'Daftar Koreksi'!$D$5:$D$92,'0300'!A26,'Daftar Koreksi'!$G$5:$G$92,"Gedung dan Bangunan",'Daftar Koreksi'!$I$5:$I$92,"&lt;0")</f>
        <v>0</v>
      </c>
      <c r="G40" s="17">
        <f t="shared" si="1"/>
        <v>-2040402416</v>
      </c>
      <c r="H40" s="122"/>
      <c r="O40" s="8" t="s">
        <v>115</v>
      </c>
      <c r="P40" s="8" t="s">
        <v>1272</v>
      </c>
    </row>
    <row r="41" spans="1:16" ht="21.95" customHeight="1">
      <c r="A41" s="14"/>
      <c r="B41" s="14"/>
      <c r="C41" s="16" t="s">
        <v>2089</v>
      </c>
      <c r="D41" s="17">
        <f>VLOOKUP(A26,'Neraca Unaudited SIMAK'!$A$2:$S$10004,15,FALSE)</f>
        <v>0</v>
      </c>
      <c r="E41" s="25">
        <f>SUMIFS('Daftar Koreksi'!$I$5:$I$92,'Daftar Koreksi'!$D$5:$D$92,'0300'!A26,'Daftar Koreksi'!$G$5:$G$92,"Jalan Irigasi Jaringan",'Daftar Koreksi'!$I$5:$I$92,"&gt;0")</f>
        <v>0</v>
      </c>
      <c r="F41" s="25">
        <f>SUMIFS('Daftar Koreksi'!$I$5:$I$92,'Daftar Koreksi'!$D$5:$D$92,'0300'!A26,'Daftar Koreksi'!$G$5:$G$92,"Jalan Irigasi Jaringan",'Daftar Koreksi'!$I$5:$I$92,"&lt;0")-SUMIFS('Daftar Koreksi'!$I$5:$I$92,'Daftar Koreksi'!$D$5:$D$92,'0300'!A26,'Daftar Koreksi'!$G$5:$G$92,"Jalan Irigasi Jaringan",'Daftar Koreksi'!$I$5:$I$92,"&lt;0")-SUMIFS('Daftar Koreksi'!$I$5:$I$92,'Daftar Koreksi'!$D$5:$D$92,'0300'!A26,'Daftar Koreksi'!$G$5:$G$92,"Jalan Irigasi Jaringan",'Daftar Koreksi'!$I$5:$I$92,"&lt;0")</f>
        <v>0</v>
      </c>
      <c r="G41" s="17">
        <f t="shared" si="1"/>
        <v>0</v>
      </c>
      <c r="H41" s="122"/>
      <c r="O41" s="8" t="s">
        <v>116</v>
      </c>
      <c r="P41" s="8" t="s">
        <v>1273</v>
      </c>
    </row>
    <row r="42" spans="1:16" ht="21.95" customHeight="1">
      <c r="A42" s="14"/>
      <c r="B42" s="14"/>
      <c r="C42" s="16" t="s">
        <v>2090</v>
      </c>
      <c r="D42" s="17">
        <f>VLOOKUP(A26,'Neraca Unaudited SIMAK'!$A$2:$S$10004,16,FALSE)</f>
        <v>0</v>
      </c>
      <c r="E42" s="25">
        <f>SUMIFS('Daftar Koreksi'!$I$5:$I$92,'Daftar Koreksi'!$D$5:$D$92,'0300'!A26,'Daftar Koreksi'!$G$5:$G$92,"Aset Tetap Lainnya",'Daftar Koreksi'!$I$5:$I$92,"&gt;0")</f>
        <v>0</v>
      </c>
      <c r="F42" s="25">
        <f>SUMIFS('Daftar Koreksi'!$I$5:$I$92,'Daftar Koreksi'!$D$5:$D$92,'0300'!A26,'Daftar Koreksi'!$G$5:$G$92,"Aset Tetap Lainnya",'Daftar Koreksi'!$I$5:$I$92,"&lt;0")-SUMIFS('Daftar Koreksi'!$I$5:$I$92,'Daftar Koreksi'!$D$5:$D$92,'0300'!A26,'Daftar Koreksi'!$G$5:$G$92,"Aset Tetap Lainnya",'Daftar Koreksi'!$I$5:$I$92,"&lt;0")-SUMIFS('Daftar Koreksi'!$I$5:$I$92,'Daftar Koreksi'!$D$5:$D$92,'0300'!A26,'Daftar Koreksi'!$G$5:$G$92,"Aset Tetap Lainnya",'Daftar Koreksi'!$I$5:$I$92,"&lt;0")</f>
        <v>0</v>
      </c>
      <c r="G42" s="17">
        <f t="shared" si="1"/>
        <v>0</v>
      </c>
      <c r="H42" s="122"/>
      <c r="O42" s="8" t="s">
        <v>117</v>
      </c>
      <c r="P42" s="8" t="s">
        <v>1998</v>
      </c>
    </row>
    <row r="43" spans="1:16" ht="21.95" customHeight="1">
      <c r="A43" s="14"/>
      <c r="B43" s="14"/>
      <c r="C43" s="16" t="s">
        <v>2020</v>
      </c>
      <c r="D43" s="17">
        <f>VLOOKUP(A26,'Neraca Unaudited SIMAK'!$A$2:$S$10004,17,FALSE)</f>
        <v>-12448400</v>
      </c>
      <c r="E43" s="25">
        <f>SUMIFS('Daftar Koreksi'!$I$5:$I$92,'Daftar Koreksi'!$D$5:$D$92,'0300'!A26,'Daftar Koreksi'!$G$5:$G$92,"Aset Henti Guna",'Daftar Koreksi'!$I$5:$I$92,"&gt;0")</f>
        <v>0</v>
      </c>
      <c r="F43" s="25">
        <f>SUMIFS('Daftar Koreksi'!$I$5:$I$92,'Daftar Koreksi'!$D$5:$D$92,'0300'!A26,'Daftar Koreksi'!$G$5:$G$92,"Aset Henti Guna",'Daftar Koreksi'!$I$5:$I$92,"&lt;0")-SUMIFS('Daftar Koreksi'!$I$5:$I$92,'Daftar Koreksi'!$D$5:$D$92,'0300'!A26,'Daftar Koreksi'!$G$5:$G$92,"Aset Henti Guna",'Daftar Koreksi'!$I$5:$I$92,"&lt;0")-SUMIFS('Daftar Koreksi'!$I$5:$I$92,'Daftar Koreksi'!$D$5:$D$92,'0300'!A26,'Daftar Koreksi'!$G$5:$G$92,"Aset Henti Guna",'Daftar Koreksi'!$I$5:$I$92,"&lt;0")</f>
        <v>0</v>
      </c>
      <c r="G43" s="17">
        <f t="shared" si="1"/>
        <v>-12448400</v>
      </c>
      <c r="H43" s="122"/>
      <c r="O43" s="8" t="s">
        <v>118</v>
      </c>
      <c r="P43" s="8" t="s">
        <v>1274</v>
      </c>
    </row>
    <row r="44" spans="1:16" ht="21.95" customHeight="1">
      <c r="A44" s="14"/>
      <c r="B44" s="14"/>
      <c r="C44" s="18" t="s">
        <v>2094</v>
      </c>
      <c r="D44" s="19">
        <f>SUM(D39:D43)</f>
        <v>-8206332096</v>
      </c>
      <c r="E44" s="19">
        <f>SUM(E39:E43)</f>
        <v>0</v>
      </c>
      <c r="F44" s="19">
        <f>SUM(F39:F43)</f>
        <v>0</v>
      </c>
      <c r="G44" s="19">
        <f t="shared" si="1"/>
        <v>-8206332096</v>
      </c>
      <c r="H44" s="122"/>
      <c r="O44" s="8" t="s">
        <v>119</v>
      </c>
      <c r="P44" s="8" t="s">
        <v>1275</v>
      </c>
    </row>
    <row r="45" spans="1:16" ht="21.95" customHeight="1">
      <c r="A45" s="14"/>
      <c r="B45" s="14"/>
      <c r="C45" s="18" t="s">
        <v>2095</v>
      </c>
      <c r="D45" s="19">
        <f>VLOOKUP(A26,'Neraca Unaudited SIMAK'!$A$2:$S$10004,18,FALSE)</f>
        <v>35099590376</v>
      </c>
      <c r="E45" s="19">
        <f>E44+E38</f>
        <v>0</v>
      </c>
      <c r="F45" s="19">
        <f>F44+F38</f>
        <v>0</v>
      </c>
      <c r="G45" s="19">
        <f t="shared" si="1"/>
        <v>35099590376</v>
      </c>
      <c r="H45" s="122"/>
      <c r="O45" s="8" t="s">
        <v>120</v>
      </c>
      <c r="P45" s="8" t="s">
        <v>1276</v>
      </c>
    </row>
    <row r="46" spans="1:16" ht="21.95" customHeight="1">
      <c r="A46" s="14"/>
      <c r="B46" s="14"/>
      <c r="C46" s="16" t="s">
        <v>2091</v>
      </c>
      <c r="D46" s="17">
        <f>VLOOKUP(A26,'Neraca Unaudited SIMAK'!$A$2:$S$10004,19,FALSE)</f>
        <v>0</v>
      </c>
      <c r="E46" s="25"/>
      <c r="F46" s="25"/>
      <c r="G46" s="17">
        <f t="shared" si="1"/>
        <v>0</v>
      </c>
      <c r="H46" s="123"/>
      <c r="O46" s="8" t="s">
        <v>121</v>
      </c>
      <c r="P46" s="8" t="s">
        <v>1277</v>
      </c>
    </row>
    <row r="47" spans="1:16" ht="19.5" customHeight="1">
      <c r="O47" s="8" t="s">
        <v>122</v>
      </c>
      <c r="P47" s="8" t="s">
        <v>1278</v>
      </c>
    </row>
    <row r="48" spans="1:16" ht="19.5" customHeight="1">
      <c r="A48" s="11" t="str">
        <f>O3</f>
        <v>005010300097734000KD</v>
      </c>
      <c r="B48" s="11" t="str">
        <f>P3</f>
        <v>PN. Tegal</v>
      </c>
      <c r="C48" s="12" t="str">
        <f>A48&amp;" "&amp;B48</f>
        <v>005010300097734000KD PN. Tegal</v>
      </c>
      <c r="D48" s="13"/>
      <c r="E48" s="13"/>
      <c r="F48" s="13"/>
      <c r="G48" s="13"/>
      <c r="H48" s="11"/>
      <c r="O48" s="8" t="s">
        <v>123</v>
      </c>
      <c r="P48" s="8" t="s">
        <v>1279</v>
      </c>
    </row>
    <row r="49" spans="1:16" ht="21.95" customHeight="1">
      <c r="A49" s="14"/>
      <c r="B49" s="14"/>
      <c r="C49" s="124" t="s">
        <v>1982</v>
      </c>
      <c r="D49" s="126" t="s">
        <v>1983</v>
      </c>
      <c r="E49" s="132" t="s">
        <v>1984</v>
      </c>
      <c r="F49" s="132"/>
      <c r="G49" s="126" t="s">
        <v>1987</v>
      </c>
      <c r="H49" s="130" t="s">
        <v>1175</v>
      </c>
      <c r="O49" s="8" t="s">
        <v>124</v>
      </c>
      <c r="P49" s="8" t="s">
        <v>1280</v>
      </c>
    </row>
    <row r="50" spans="1:16" ht="21.95" customHeight="1">
      <c r="A50" s="14"/>
      <c r="B50" s="14"/>
      <c r="C50" s="125"/>
      <c r="D50" s="127"/>
      <c r="E50" s="26" t="s">
        <v>1985</v>
      </c>
      <c r="F50" s="26" t="s">
        <v>1986</v>
      </c>
      <c r="G50" s="127"/>
      <c r="H50" s="131"/>
      <c r="O50" s="8" t="s">
        <v>125</v>
      </c>
      <c r="P50" s="8" t="s">
        <v>1281</v>
      </c>
    </row>
    <row r="51" spans="1:16" ht="21.95" customHeight="1">
      <c r="A51" s="14"/>
      <c r="B51" s="14"/>
      <c r="C51" s="16" t="s">
        <v>1165</v>
      </c>
      <c r="D51" s="17">
        <f>VLOOKUP(A48,'Neraca Unaudited SIMAK'!$A$2:$S$10004,3,FALSE)</f>
        <v>5916250</v>
      </c>
      <c r="E51" s="25">
        <f>SUMIFS('Daftar Koreksi'!$H$5:$H$92,'Daftar Koreksi'!$D$5:$D$92,'0300'!A48,'Daftar Koreksi'!$G$5:$G$92,"Persediaan",'Daftar Koreksi'!$H$5:$H$92,"&gt;0")</f>
        <v>0</v>
      </c>
      <c r="F51" s="25">
        <f>SUMIFS('Daftar Koreksi'!$H$5:$H$92,'Daftar Koreksi'!$D$5:$D$92,'0300'!A48,'Daftar Koreksi'!$G$5:$G$92,"Persediaan",'Daftar Koreksi'!$H$5:$H$92,"&lt;0")-SUMIFS('Daftar Koreksi'!$H$5:$H$92,'Daftar Koreksi'!$D$5:$D$92,'0300'!A48,'Daftar Koreksi'!$G$5:$G$92,"Persediaan",'Daftar Koreksi'!$H$5:$H$92,"&lt;0")-SUMIFS('Daftar Koreksi'!$H$5:$H$92,'Daftar Koreksi'!$D$5:$D$92,'0300'!A48,'Daftar Koreksi'!$G$5:$G$92,"Persediaan",'Daftar Koreksi'!$H$5:$H$92,"&lt;0")</f>
        <v>0</v>
      </c>
      <c r="G51" s="17">
        <f>D51+E51-F51</f>
        <v>5916250</v>
      </c>
      <c r="H51" s="121" t="str">
        <f>IF(ISNA(VLOOKUP(A48,'Mutasi Neraca'!$A$3:$S$914,19,FALSE)),"-",VLOOKUP(A48,'Mutasi Neraca'!$A$3:$S$914,19,FALSE))</f>
        <v>-</v>
      </c>
      <c r="O51" s="8" t="s">
        <v>126</v>
      </c>
      <c r="P51" s="8" t="s">
        <v>1282</v>
      </c>
    </row>
    <row r="52" spans="1:16" ht="21.95" customHeight="1">
      <c r="A52" s="14"/>
      <c r="B52" s="14"/>
      <c r="C52" s="16" t="s">
        <v>1166</v>
      </c>
      <c r="D52" s="17">
        <f>VLOOKUP(A48,'Neraca Unaudited SIMAK'!$A$2:$S$10004,4,FALSE)</f>
        <v>15415990000</v>
      </c>
      <c r="E52" s="25">
        <f>SUMIFS('Daftar Koreksi'!$H$5:$H$92,'Daftar Koreksi'!$D$5:$D$92,'0300'!A48,'Daftar Koreksi'!$G$5:$G$92,"Tanah",'Daftar Koreksi'!$H$5:$H$92,"&gt;0")</f>
        <v>0</v>
      </c>
      <c r="F52" s="25">
        <f>SUMIFS('Daftar Koreksi'!$H$5:$H$92,'Daftar Koreksi'!$D$5:$D$92,'0300'!A48,'Daftar Koreksi'!$G$5:$G$92,"Tanah",'Daftar Koreksi'!$H$5:$H$92,"&lt;0")-SUMIFS('Daftar Koreksi'!$H$5:$H$92,'Daftar Koreksi'!$D$5:$D$92,'0300'!A48,'Daftar Koreksi'!$G$5:$G$92,"Tanah",'Daftar Koreksi'!$H$5:$H$92,"&lt;0")-SUMIFS('Daftar Koreksi'!$H$5:$H$92,'Daftar Koreksi'!$D$5:$D$92,'0300'!A48,'Daftar Koreksi'!$G$5:$G$92,"Tanah",'Daftar Koreksi'!$H$5:$H$92,"&lt;0")</f>
        <v>0</v>
      </c>
      <c r="G52" s="17">
        <f t="shared" ref="G52:G68" si="2">D52+E52-F52</f>
        <v>15415990000</v>
      </c>
      <c r="H52" s="122"/>
      <c r="O52" s="8" t="s">
        <v>127</v>
      </c>
      <c r="P52" s="8" t="s">
        <v>1283</v>
      </c>
    </row>
    <row r="53" spans="1:16" ht="21.95" customHeight="1">
      <c r="A53" s="14"/>
      <c r="B53" s="14"/>
      <c r="C53" s="16" t="s">
        <v>1167</v>
      </c>
      <c r="D53" s="17">
        <f>VLOOKUP(A48,'Neraca Unaudited SIMAK'!$A$2:$S$10004,5,FALSE)</f>
        <v>2316789523</v>
      </c>
      <c r="E53" s="25">
        <f>SUMIFS('Daftar Koreksi'!$H$5:$H$92,'Daftar Koreksi'!$D$5:$D$92,'0300'!A48,'Daftar Koreksi'!$G$5:$G$92,"Peralatan dan mesin",'Daftar Koreksi'!$H$5:$H$92,"&gt;0")</f>
        <v>0</v>
      </c>
      <c r="F53" s="25">
        <f>SUMIFS('Daftar Koreksi'!$H$5:$H$92,'Daftar Koreksi'!$D$5:$D$92,'0300'!A48,'Daftar Koreksi'!$G$5:$G$92,"Peralatan dan mesin",'Daftar Koreksi'!$H$5:$H$92,"&lt;0")-SUMIFS('Daftar Koreksi'!$H$5:$H$92,'Daftar Koreksi'!$D$5:$D$92,'0300'!A48,'Daftar Koreksi'!$G$5:$G$92,"Peralatan dan mesin",'Daftar Koreksi'!$H$5:$H$92,"&lt;0")-SUMIFS('Daftar Koreksi'!$H$5:$H$92,'Daftar Koreksi'!$D$5:$D$92,'0300'!A48,'Daftar Koreksi'!$G$5:$G$92,"Peralatan dan mesin",'Daftar Koreksi'!$H$5:$H$92,"&lt;0")</f>
        <v>0</v>
      </c>
      <c r="G53" s="17">
        <f t="shared" si="2"/>
        <v>2316789523</v>
      </c>
      <c r="H53" s="122"/>
      <c r="O53" s="8" t="s">
        <v>128</v>
      </c>
      <c r="P53" s="8" t="s">
        <v>1284</v>
      </c>
    </row>
    <row r="54" spans="1:16" ht="21.95" customHeight="1">
      <c r="A54" s="14"/>
      <c r="B54" s="14"/>
      <c r="C54" s="16" t="s">
        <v>1168</v>
      </c>
      <c r="D54" s="17">
        <f>VLOOKUP(A48,'Neraca Unaudited SIMAK'!$A$2:$S$10004,6,FALSE)</f>
        <v>7273879459</v>
      </c>
      <c r="E54" s="25">
        <f>SUMIFS('Daftar Koreksi'!$H$5:$H$92,'Daftar Koreksi'!$D$5:$D$92,'0300'!A48,'Daftar Koreksi'!$G$5:$G$92,"Gedung dan Bangunan",'Daftar Koreksi'!$H$5:$H$92,"&gt;0")</f>
        <v>0</v>
      </c>
      <c r="F54" s="25">
        <f>SUMIFS('Daftar Koreksi'!$H$5:$H$92,'Daftar Koreksi'!$D$5:$D$92,'0300'!A48,'Daftar Koreksi'!$G$5:$G$92,"Gedung dan Bangunan",'Daftar Koreksi'!$H$5:$H$92,"&lt;0")-SUMIFS('Daftar Koreksi'!$H$5:$H$92,'Daftar Koreksi'!$D$5:$D$92,'0300'!A48,'Daftar Koreksi'!$G$5:$G$92,"Gedung dan Bangunan",'Daftar Koreksi'!$H$5:$H$92,"&lt;0")-SUMIFS('Daftar Koreksi'!$H$5:$H$92,'Daftar Koreksi'!$D$5:$D$92,'0300'!A48,'Daftar Koreksi'!$G$5:$G$92,"Gedung dan Bangunan",'Daftar Koreksi'!$H$5:$H$92,"&lt;0")</f>
        <v>0</v>
      </c>
      <c r="G54" s="17">
        <f t="shared" si="2"/>
        <v>7273879459</v>
      </c>
      <c r="H54" s="122"/>
      <c r="O54" s="8" t="s">
        <v>129</v>
      </c>
      <c r="P54" s="8" t="s">
        <v>1285</v>
      </c>
    </row>
    <row r="55" spans="1:16" ht="21.95" customHeight="1">
      <c r="A55" s="14"/>
      <c r="B55" s="14"/>
      <c r="C55" s="16" t="s">
        <v>1169</v>
      </c>
      <c r="D55" s="17">
        <f>VLOOKUP(A48,'Neraca Unaudited SIMAK'!$A$2:$S$10004,7,FALSE)</f>
        <v>96460000</v>
      </c>
      <c r="E55" s="25">
        <f>SUMIFS('Daftar Koreksi'!$H$5:$H$92,'Daftar Koreksi'!$D$5:$D$92,'0300'!A48,'Daftar Koreksi'!$G$5:$G$92,"Jalan Irigasi Jaringan",'Daftar Koreksi'!$H$5:$H$92,"&gt;0")</f>
        <v>0</v>
      </c>
      <c r="F55" s="25">
        <f>SUMIFS('Daftar Koreksi'!$H$5:$H$92,'Daftar Koreksi'!$D$5:$D$92,'0300'!A48,'Daftar Koreksi'!$G$5:$G$92,"Jalan Irigasi Jaringan",'Daftar Koreksi'!$H$5:$H$92,"&lt;0")-SUMIFS('Daftar Koreksi'!$H$5:$H$92,'Daftar Koreksi'!$D$5:$D$92,'0300'!A48,'Daftar Koreksi'!$G$5:$G$92,"Jalan Irigasi Jaringan",'Daftar Koreksi'!$H$5:$H$92,"&lt;0")-SUMIFS('Daftar Koreksi'!$H$5:$H$92,'Daftar Koreksi'!$D$5:$D$92,'0300'!A48,'Daftar Koreksi'!$G$5:$G$92,"Jalan Irigasi Jaringan",'Daftar Koreksi'!$H$5:$H$92,"&lt;0")</f>
        <v>0</v>
      </c>
      <c r="G55" s="17">
        <f t="shared" si="2"/>
        <v>96460000</v>
      </c>
      <c r="H55" s="122"/>
      <c r="O55" s="8" t="s">
        <v>130</v>
      </c>
      <c r="P55" s="8" t="s">
        <v>1286</v>
      </c>
    </row>
    <row r="56" spans="1:16" ht="21.95" customHeight="1">
      <c r="A56" s="14"/>
      <c r="B56" s="14"/>
      <c r="C56" s="16" t="s">
        <v>1170</v>
      </c>
      <c r="D56" s="17">
        <f>VLOOKUP(A48,'Neraca Unaudited SIMAK'!$A$2:$S$10004,8,FALSE)</f>
        <v>114709781</v>
      </c>
      <c r="E56" s="25">
        <f>SUMIFS('Daftar Koreksi'!$H$5:$H$92,'Daftar Koreksi'!$D$5:$D$92,'0300'!A48,'Daftar Koreksi'!$G$5:$G$92,"Aset Tetap Lainnya",'Daftar Koreksi'!$H$5:$H$92,"&gt;0")</f>
        <v>0</v>
      </c>
      <c r="F56" s="25">
        <f>SUMIFS('Daftar Koreksi'!$H$5:$H$92,'Daftar Koreksi'!$D$5:$D$92,'0300'!A48,'Daftar Koreksi'!$G$5:$G$92,"Aset Tetap Lainnya",'Daftar Koreksi'!$H$5:$H$92,"&lt;0")-SUMIFS('Daftar Koreksi'!$H$5:$H$92,'Daftar Koreksi'!$D$5:$D$92,'0300'!A48,'Daftar Koreksi'!$G$5:$G$92,"Aset Tetap Lainnya",'Daftar Koreksi'!$H$5:$H$92,"&lt;0")-SUMIFS('Daftar Koreksi'!$H$5:$H$92,'Daftar Koreksi'!$D$5:$D$92,'0300'!A48,'Daftar Koreksi'!$G$5:$G$92,"Aset Tetap Lainnya",'Daftar Koreksi'!$H$5:$H$92,"&lt;0")</f>
        <v>0</v>
      </c>
      <c r="G56" s="17">
        <f t="shared" si="2"/>
        <v>114709781</v>
      </c>
      <c r="H56" s="122"/>
      <c r="O56" s="8" t="s">
        <v>131</v>
      </c>
      <c r="P56" s="8" t="s">
        <v>1287</v>
      </c>
    </row>
    <row r="57" spans="1:16" ht="21.95" customHeight="1">
      <c r="A57" s="14"/>
      <c r="B57" s="14"/>
      <c r="C57" s="16" t="s">
        <v>1171</v>
      </c>
      <c r="D57" s="17">
        <f>VLOOKUP(A48,'Neraca Unaudited SIMAK'!$A$2:$S$10004,9,FALSE)</f>
        <v>0</v>
      </c>
      <c r="E57" s="25">
        <f>SUMIFS('Daftar Koreksi'!$H$5:$H$92,'Daftar Koreksi'!$D$5:$D$92,'0300'!A48,'Daftar Koreksi'!$G$5:$G$92,"Kontruksi Dalam Pengerjaan",'Daftar Koreksi'!$H$5:$H$92,"&gt;0")</f>
        <v>0</v>
      </c>
      <c r="F57" s="25">
        <f>SUMIFS('Daftar Koreksi'!$H$5:$H$92,'Daftar Koreksi'!$D$5:$D$92,'0300'!A48,'Daftar Koreksi'!$G$5:$G$92,"Kontruksi Dalam Pengerjaan",'Daftar Koreksi'!$H$5:$H$92,"&lt;0")-SUMIFS('Daftar Koreksi'!$H$5:$H$92,'Daftar Koreksi'!$D$5:$D$92,'0300'!A48,'Daftar Koreksi'!$G$5:$G$92,"Kontruksi Dalam Pengerjaan",'Daftar Koreksi'!$H$5:$H$92,"&lt;0")-SUMIFS('Daftar Koreksi'!$H$5:$H$92,'Daftar Koreksi'!$D$5:$D$92,'0300'!A48,'Daftar Koreksi'!$G$5:$G$92,"Kontruksi Dalam Pengerjaan",'Daftar Koreksi'!$H$5:$H$92,"&lt;0")</f>
        <v>0</v>
      </c>
      <c r="G57" s="17">
        <f t="shared" si="2"/>
        <v>0</v>
      </c>
      <c r="H57" s="122"/>
      <c r="O57" s="8" t="s">
        <v>132</v>
      </c>
      <c r="P57" s="8" t="s">
        <v>1288</v>
      </c>
    </row>
    <row r="58" spans="1:16" ht="21.95" customHeight="1">
      <c r="A58" s="14"/>
      <c r="B58" s="14"/>
      <c r="C58" s="16" t="s">
        <v>1172</v>
      </c>
      <c r="D58" s="17">
        <f>VLOOKUP(A48,'Neraca Unaudited SIMAK'!$A$2:$S$10004,10,FALSE)</f>
        <v>49225000</v>
      </c>
      <c r="E58" s="25">
        <f>SUMIFS('Daftar Koreksi'!$H$5:$H$92,'Daftar Koreksi'!$D$5:$D$92,'0300'!A48,'Daftar Koreksi'!$G$5:$G$92,"Aset Tak Berwujud",'Daftar Koreksi'!$H$5:$H$92,"&gt;0")</f>
        <v>0</v>
      </c>
      <c r="F58" s="25">
        <f>SUMIFS('Daftar Koreksi'!$H$5:$H$92,'Daftar Koreksi'!$D$5:$D$92,'0300'!A48,'Daftar Koreksi'!$G$5:$G$92,"Aset Tak Berwujud",'Daftar Koreksi'!$H$5:$H$92,"&lt;0")-SUMIFS('Daftar Koreksi'!$H$5:$H$92,'Daftar Koreksi'!$D$5:$D$92,'0300'!A48,'Daftar Koreksi'!$G$5:$G$92,"Aset Tak Berwujud",'Daftar Koreksi'!$H$5:$H$92,"&lt;0")-SUMIFS('Daftar Koreksi'!$H$5:$H$92,'Daftar Koreksi'!$D$5:$D$92,'0300'!A48,'Daftar Koreksi'!$G$5:$G$92,"Aset Tak Berwujud",'Daftar Koreksi'!$H$5:$H$92,"&lt;0")</f>
        <v>0</v>
      </c>
      <c r="G58" s="17">
        <f t="shared" si="2"/>
        <v>49225000</v>
      </c>
      <c r="H58" s="122"/>
      <c r="O58" s="8" t="s">
        <v>133</v>
      </c>
      <c r="P58" s="8" t="s">
        <v>1289</v>
      </c>
    </row>
    <row r="59" spans="1:16" ht="21.95" customHeight="1">
      <c r="A59" s="14"/>
      <c r="B59" s="14"/>
      <c r="C59" s="16" t="s">
        <v>1173</v>
      </c>
      <c r="D59" s="17">
        <f>VLOOKUP(A48,'Neraca Unaudited SIMAK'!$A$2:$S$10004,11,FALSE)</f>
        <v>173053821</v>
      </c>
      <c r="E59" s="25">
        <f>SUMIFS('Daftar Koreksi'!$H$5:$H$92,'Daftar Koreksi'!$D$5:$D$92,'0300'!A48,'Daftar Koreksi'!$G$5:$G$92,"Aset Henti Guna",'Daftar Koreksi'!$H$5:$H$92,"&gt;0")</f>
        <v>0</v>
      </c>
      <c r="F59" s="25">
        <f>SUMIFS('Daftar Koreksi'!$H$5:$H$92,'Daftar Koreksi'!$D$5:$D$92,'0300'!A48,'Daftar Koreksi'!$G$5:$G$92,"Aset Henti Guna",'Daftar Koreksi'!$H$5:$H$92,"&lt;0")-SUMIFS('Daftar Koreksi'!$H$5:$H$92,'Daftar Koreksi'!$D$5:$D$92,'0300'!A48,'Daftar Koreksi'!$G$5:$G$92,"Aset Henti Guna",'Daftar Koreksi'!$H$5:$H$92,"&lt;0")-SUMIFS('Daftar Koreksi'!$H$5:$H$92,'Daftar Koreksi'!$D$5:$D$92,'0300'!A48,'Daftar Koreksi'!$G$5:$G$92,"Aset Henti Guna",'Daftar Koreksi'!$H$5:$H$92,"&lt;0")</f>
        <v>0</v>
      </c>
      <c r="G59" s="17">
        <f t="shared" si="2"/>
        <v>173053821</v>
      </c>
      <c r="H59" s="122"/>
      <c r="O59" s="8" t="s">
        <v>134</v>
      </c>
      <c r="P59" s="8" t="s">
        <v>1290</v>
      </c>
    </row>
    <row r="60" spans="1:16" ht="21.95" customHeight="1">
      <c r="A60" s="14"/>
      <c r="B60" s="14"/>
      <c r="C60" s="18" t="s">
        <v>2093</v>
      </c>
      <c r="D60" s="19">
        <f>VLOOKUP(A48,'Neraca Unaudited SIMAK'!$A$2:$S$10004,12,FALSE)</f>
        <v>25446023834</v>
      </c>
      <c r="E60" s="19">
        <f>SUM(E51:E59)</f>
        <v>0</v>
      </c>
      <c r="F60" s="19">
        <f>SUM(F51:F59)</f>
        <v>0</v>
      </c>
      <c r="G60" s="19">
        <f t="shared" si="2"/>
        <v>25446023834</v>
      </c>
      <c r="H60" s="122"/>
      <c r="O60" s="8" t="s">
        <v>135</v>
      </c>
      <c r="P60" s="8" t="s">
        <v>1291</v>
      </c>
    </row>
    <row r="61" spans="1:16" ht="21.95" customHeight="1">
      <c r="A61" s="14"/>
      <c r="B61" s="14"/>
      <c r="C61" s="16" t="s">
        <v>2087</v>
      </c>
      <c r="D61" s="17">
        <f>VLOOKUP(A48,'Neraca Unaudited SIMAK'!$A$2:$S$10004,13,FALSE)</f>
        <v>-2089887123</v>
      </c>
      <c r="E61" s="25">
        <f>SUMIFS('Daftar Koreksi'!$I$5:$I$92,'Daftar Koreksi'!$D$5:$D$92,'0300'!A48,'Daftar Koreksi'!$G$5:$G$92,"Peralatan dan mesin",'Daftar Koreksi'!$I$5:$I$92,"&gt;0")</f>
        <v>0</v>
      </c>
      <c r="F61" s="25">
        <f>SUMIFS('Daftar Koreksi'!$I$5:$I$92,'Daftar Koreksi'!$D$5:$D$92,'0300'!A48,'Daftar Koreksi'!$G$5:$G$92,"Peralatan dan mesin",'Daftar Koreksi'!$I$5:$I$92,"&lt;0")-SUMIFS('Daftar Koreksi'!$I$5:$I$92,'Daftar Koreksi'!$D$5:$D$92,'0300'!A48,'Daftar Koreksi'!$G$5:$G$92,"Peralatan dan mesin",'Daftar Koreksi'!$I$5:$I$92,"&lt;0")-SUMIFS('Daftar Koreksi'!$I$5:$I$92,'Daftar Koreksi'!$D$5:$D$92,'0300'!A48,'Daftar Koreksi'!$G$5:$G$92,"Peralatan dan mesin",'Daftar Koreksi'!$I$5:$I$92,"&lt;0")</f>
        <v>0</v>
      </c>
      <c r="G61" s="17">
        <f t="shared" si="2"/>
        <v>-2089887123</v>
      </c>
      <c r="H61" s="122"/>
      <c r="O61" s="8" t="s">
        <v>136</v>
      </c>
      <c r="P61" s="8" t="s">
        <v>1292</v>
      </c>
    </row>
    <row r="62" spans="1:16" ht="21.95" customHeight="1">
      <c r="A62" s="14"/>
      <c r="B62" s="14"/>
      <c r="C62" s="16" t="s">
        <v>2088</v>
      </c>
      <c r="D62" s="17">
        <f>VLOOKUP(A48,'Neraca Unaudited SIMAK'!$A$2:$S$10004,14,FALSE)</f>
        <v>-6443558174</v>
      </c>
      <c r="E62" s="25">
        <f>SUMIFS('Daftar Koreksi'!$I$5:$I$92,'Daftar Koreksi'!$D$5:$D$92,'0300'!A48,'Daftar Koreksi'!$G$5:$G$92,"Gedung dan Bangunan",'Daftar Koreksi'!$I$5:$I$92,"&gt;0")</f>
        <v>0</v>
      </c>
      <c r="F62" s="25">
        <f>SUMIFS('Daftar Koreksi'!$I$5:$I$92,'Daftar Koreksi'!$D$5:$D$92,'0300'!A48,'Daftar Koreksi'!$G$5:$G$92,"Gedung dan Bangunan",'Daftar Koreksi'!$I$5:$I$92,"&lt;0")-SUMIFS('Daftar Koreksi'!$I$5:$I$92,'Daftar Koreksi'!$D$5:$D$92,'0300'!A48,'Daftar Koreksi'!$G$5:$G$92,"Gedung dan Bangunan",'Daftar Koreksi'!$I$5:$I$92,"&lt;0")-SUMIFS('Daftar Koreksi'!$I$5:$I$92,'Daftar Koreksi'!$D$5:$D$92,'0300'!A48,'Daftar Koreksi'!$G$5:$G$92,"Gedung dan Bangunan",'Daftar Koreksi'!$I$5:$I$92,"&lt;0")</f>
        <v>0</v>
      </c>
      <c r="G62" s="17">
        <f t="shared" si="2"/>
        <v>-6443558174</v>
      </c>
      <c r="H62" s="122"/>
      <c r="O62" s="8" t="s">
        <v>137</v>
      </c>
      <c r="P62" s="8" t="s">
        <v>1293</v>
      </c>
    </row>
    <row r="63" spans="1:16" ht="21.95" customHeight="1">
      <c r="A63" s="14"/>
      <c r="B63" s="14"/>
      <c r="C63" s="16" t="s">
        <v>2089</v>
      </c>
      <c r="D63" s="17">
        <f>VLOOKUP(A48,'Neraca Unaudited SIMAK'!$A$2:$S$10004,15,FALSE)</f>
        <v>-96460000</v>
      </c>
      <c r="E63" s="25">
        <f>SUMIFS('Daftar Koreksi'!$I$5:$I$92,'Daftar Koreksi'!$D$5:$D$92,'0300'!A48,'Daftar Koreksi'!$G$5:$G$92,"Jalan Irigasi Jaringan",'Daftar Koreksi'!$I$5:$I$92,"&gt;0")</f>
        <v>0</v>
      </c>
      <c r="F63" s="25">
        <f>SUMIFS('Daftar Koreksi'!$I$5:$I$92,'Daftar Koreksi'!$D$5:$D$92,'0300'!A48,'Daftar Koreksi'!$G$5:$G$92,"Jalan Irigasi Jaringan",'Daftar Koreksi'!$I$5:$I$92,"&lt;0")-SUMIFS('Daftar Koreksi'!$I$5:$I$92,'Daftar Koreksi'!$D$5:$D$92,'0300'!A48,'Daftar Koreksi'!$G$5:$G$92,"Jalan Irigasi Jaringan",'Daftar Koreksi'!$I$5:$I$92,"&lt;0")-SUMIFS('Daftar Koreksi'!$I$5:$I$92,'Daftar Koreksi'!$D$5:$D$92,'0300'!A48,'Daftar Koreksi'!$G$5:$G$92,"Jalan Irigasi Jaringan",'Daftar Koreksi'!$I$5:$I$92,"&lt;0")</f>
        <v>0</v>
      </c>
      <c r="G63" s="17">
        <f t="shared" si="2"/>
        <v>-96460000</v>
      </c>
      <c r="H63" s="122"/>
      <c r="O63" s="8" t="s">
        <v>138</v>
      </c>
      <c r="P63" s="8" t="s">
        <v>1999</v>
      </c>
    </row>
    <row r="64" spans="1:16" ht="21.95" customHeight="1">
      <c r="A64" s="14"/>
      <c r="B64" s="14"/>
      <c r="C64" s="16" t="s">
        <v>2090</v>
      </c>
      <c r="D64" s="17">
        <f>VLOOKUP(A48,'Neraca Unaudited SIMAK'!$A$2:$S$10004,16,FALSE)</f>
        <v>0</v>
      </c>
      <c r="E64" s="25">
        <f>SUMIFS('Daftar Koreksi'!$I$5:$I$92,'Daftar Koreksi'!$D$5:$D$92,'0300'!A48,'Daftar Koreksi'!$G$5:$G$92,"Aset Tetap Lainnya",'Daftar Koreksi'!$I$5:$I$92,"&gt;0")</f>
        <v>0</v>
      </c>
      <c r="F64" s="25">
        <f>SUMIFS('Daftar Koreksi'!$I$5:$I$92,'Daftar Koreksi'!$D$5:$D$92,'0300'!A48,'Daftar Koreksi'!$G$5:$G$92,"Aset Tetap Lainnya",'Daftar Koreksi'!$I$5:$I$92,"&lt;0")-SUMIFS('Daftar Koreksi'!$I$5:$I$92,'Daftar Koreksi'!$D$5:$D$92,'0300'!A48,'Daftar Koreksi'!$G$5:$G$92,"Aset Tetap Lainnya",'Daftar Koreksi'!$I$5:$I$92,"&lt;0")-SUMIFS('Daftar Koreksi'!$I$5:$I$92,'Daftar Koreksi'!$D$5:$D$92,'0300'!A48,'Daftar Koreksi'!$G$5:$G$92,"Aset Tetap Lainnya",'Daftar Koreksi'!$I$5:$I$92,"&lt;0")</f>
        <v>0</v>
      </c>
      <c r="G64" s="17">
        <f t="shared" si="2"/>
        <v>0</v>
      </c>
      <c r="H64" s="122"/>
      <c r="O64" s="8" t="s">
        <v>139</v>
      </c>
      <c r="P64" s="8" t="s">
        <v>2000</v>
      </c>
    </row>
    <row r="65" spans="1:16" ht="21.95" customHeight="1">
      <c r="A65" s="14"/>
      <c r="B65" s="14"/>
      <c r="C65" s="16" t="s">
        <v>2020</v>
      </c>
      <c r="D65" s="17">
        <f>VLOOKUP(A48,'Neraca Unaudited SIMAK'!$A$2:$S$10004,17,FALSE)</f>
        <v>-143222447</v>
      </c>
      <c r="E65" s="25">
        <f>SUMIFS('Daftar Koreksi'!$I$5:$I$92,'Daftar Koreksi'!$D$5:$D$92,'0300'!A48,'Daftar Koreksi'!$G$5:$G$92,"Aset Henti Guna",'Daftar Koreksi'!$I$5:$I$92,"&gt;0")</f>
        <v>0</v>
      </c>
      <c r="F65" s="25">
        <f>SUMIFS('Daftar Koreksi'!$I$5:$I$92,'Daftar Koreksi'!$D$5:$D$92,'0300'!A48,'Daftar Koreksi'!$G$5:$G$92,"Aset Henti Guna",'Daftar Koreksi'!$I$5:$I$92,"&lt;0")-SUMIFS('Daftar Koreksi'!$I$5:$I$92,'Daftar Koreksi'!$D$5:$D$92,'0300'!A48,'Daftar Koreksi'!$G$5:$G$92,"Aset Henti Guna",'Daftar Koreksi'!$I$5:$I$92,"&lt;0")-SUMIFS('Daftar Koreksi'!$I$5:$I$92,'Daftar Koreksi'!$D$5:$D$92,'0300'!A48,'Daftar Koreksi'!$G$5:$G$92,"Aset Henti Guna",'Daftar Koreksi'!$I$5:$I$92,"&lt;0")</f>
        <v>0</v>
      </c>
      <c r="G65" s="17">
        <f t="shared" si="2"/>
        <v>-143222447</v>
      </c>
      <c r="H65" s="122"/>
      <c r="O65" s="8" t="s">
        <v>140</v>
      </c>
      <c r="P65" s="8" t="s">
        <v>1294</v>
      </c>
    </row>
    <row r="66" spans="1:16" ht="21.95" customHeight="1">
      <c r="A66" s="14"/>
      <c r="B66" s="14"/>
      <c r="C66" s="18" t="s">
        <v>2094</v>
      </c>
      <c r="D66" s="19">
        <f>SUM(D61:D65)</f>
        <v>-8773127744</v>
      </c>
      <c r="E66" s="19">
        <f>SUM(E61:E65)</f>
        <v>0</v>
      </c>
      <c r="F66" s="19">
        <f>SUM(F61:F65)</f>
        <v>0</v>
      </c>
      <c r="G66" s="19">
        <f t="shared" si="2"/>
        <v>-8773127744</v>
      </c>
      <c r="H66" s="122"/>
      <c r="O66" s="8" t="s">
        <v>141</v>
      </c>
      <c r="P66" s="8" t="s">
        <v>1295</v>
      </c>
    </row>
    <row r="67" spans="1:16" ht="21.95" customHeight="1">
      <c r="A67" s="14"/>
      <c r="B67" s="14"/>
      <c r="C67" s="18" t="s">
        <v>2095</v>
      </c>
      <c r="D67" s="19">
        <f>VLOOKUP(A48,'Neraca Unaudited SIMAK'!$A$2:$S$10004,18,FALSE)</f>
        <v>16672896090</v>
      </c>
      <c r="E67" s="19">
        <f>E66+E60</f>
        <v>0</v>
      </c>
      <c r="F67" s="19">
        <f>F66+F60</f>
        <v>0</v>
      </c>
      <c r="G67" s="19">
        <f t="shared" si="2"/>
        <v>16672896090</v>
      </c>
      <c r="H67" s="122"/>
      <c r="O67" s="8" t="s">
        <v>142</v>
      </c>
      <c r="P67" s="8" t="s">
        <v>1296</v>
      </c>
    </row>
    <row r="68" spans="1:16" ht="21.95" customHeight="1">
      <c r="A68" s="14"/>
      <c r="B68" s="14"/>
      <c r="C68" s="16" t="s">
        <v>2091</v>
      </c>
      <c r="D68" s="17">
        <f>VLOOKUP(A48,'Neraca Unaudited SIMAK'!$A$2:$S$10004,19,FALSE)</f>
        <v>0</v>
      </c>
      <c r="E68" s="25"/>
      <c r="F68" s="25"/>
      <c r="G68" s="17">
        <f t="shared" si="2"/>
        <v>0</v>
      </c>
      <c r="H68" s="123"/>
      <c r="O68" s="8" t="s">
        <v>143</v>
      </c>
      <c r="P68" s="8" t="s">
        <v>1297</v>
      </c>
    </row>
    <row r="69" spans="1:16" ht="19.5" customHeight="1">
      <c r="O69" s="8" t="s">
        <v>144</v>
      </c>
      <c r="P69" s="8" t="s">
        <v>1298</v>
      </c>
    </row>
    <row r="70" spans="1:16" ht="19.5" customHeight="1">
      <c r="A70" s="11" t="str">
        <f>O4</f>
        <v>005010300097741000KD</v>
      </c>
      <c r="B70" s="11" t="str">
        <f>P4</f>
        <v>PN. Pekalongan</v>
      </c>
      <c r="C70" s="12" t="str">
        <f>A70&amp;" "&amp;B70</f>
        <v>005010300097741000KD PN. Pekalongan</v>
      </c>
      <c r="D70" s="13"/>
      <c r="E70" s="13"/>
      <c r="F70" s="13"/>
      <c r="G70" s="13"/>
      <c r="H70" s="11"/>
      <c r="O70" s="8" t="s">
        <v>145</v>
      </c>
      <c r="P70" s="8" t="s">
        <v>1299</v>
      </c>
    </row>
    <row r="71" spans="1:16" ht="21.95" customHeight="1">
      <c r="A71" s="14"/>
      <c r="B71" s="14"/>
      <c r="C71" s="124" t="s">
        <v>1982</v>
      </c>
      <c r="D71" s="126" t="s">
        <v>1983</v>
      </c>
      <c r="E71" s="132" t="s">
        <v>1984</v>
      </c>
      <c r="F71" s="132"/>
      <c r="G71" s="126" t="s">
        <v>1987</v>
      </c>
      <c r="H71" s="130" t="s">
        <v>1175</v>
      </c>
      <c r="O71" s="8" t="s">
        <v>146</v>
      </c>
      <c r="P71" s="8" t="s">
        <v>1300</v>
      </c>
    </row>
    <row r="72" spans="1:16" ht="21.95" customHeight="1">
      <c r="A72" s="14"/>
      <c r="B72" s="14"/>
      <c r="C72" s="125"/>
      <c r="D72" s="127"/>
      <c r="E72" s="26" t="s">
        <v>1985</v>
      </c>
      <c r="F72" s="26" t="s">
        <v>1986</v>
      </c>
      <c r="G72" s="127"/>
      <c r="H72" s="131"/>
      <c r="O72" s="8" t="s">
        <v>147</v>
      </c>
      <c r="P72" s="8" t="s">
        <v>1301</v>
      </c>
    </row>
    <row r="73" spans="1:16" ht="21.95" customHeight="1">
      <c r="A73" s="14"/>
      <c r="B73" s="14"/>
      <c r="C73" s="16" t="s">
        <v>1165</v>
      </c>
      <c r="D73" s="17">
        <f>VLOOKUP(A70,'Neraca Unaudited SIMAK'!$A$2:$S$10004,3,FALSE)</f>
        <v>4820800</v>
      </c>
      <c r="E73" s="25">
        <f>SUMIFS('Daftar Koreksi'!$H$5:$H$92,'Daftar Koreksi'!$D$5:$D$92,'0300'!A70,'Daftar Koreksi'!$G$5:$G$92,"Persediaan",'Daftar Koreksi'!$H$5:$H$92,"&gt;0")</f>
        <v>0</v>
      </c>
      <c r="F73" s="25">
        <f>SUMIFS('Daftar Koreksi'!$H$5:$H$92,'Daftar Koreksi'!$D$5:$D$92,'0300'!A70,'Daftar Koreksi'!$G$5:$G$92,"Persediaan",'Daftar Koreksi'!$H$5:$H$92,"&lt;0")-SUMIFS('Daftar Koreksi'!$H$5:$H$92,'Daftar Koreksi'!$D$5:$D$92,'0300'!A70,'Daftar Koreksi'!$G$5:$G$92,"Persediaan",'Daftar Koreksi'!$H$5:$H$92,"&lt;0")-SUMIFS('Daftar Koreksi'!$H$5:$H$92,'Daftar Koreksi'!$D$5:$D$92,'0300'!A70,'Daftar Koreksi'!$G$5:$G$92,"Persediaan",'Daftar Koreksi'!$H$5:$H$92,"&lt;0")</f>
        <v>0</v>
      </c>
      <c r="G73" s="17">
        <f>D73+E73-F73</f>
        <v>4820800</v>
      </c>
      <c r="H73" s="121" t="str">
        <f>IF(ISNA(VLOOKUP(A70,'Mutasi Neraca'!$A$3:$S$914,19,FALSE)),"-",VLOOKUP(A70,'Mutasi Neraca'!$A$3:$S$914,19,FALSE))</f>
        <v>-</v>
      </c>
      <c r="O73" s="8" t="s">
        <v>148</v>
      </c>
      <c r="P73" s="8" t="s">
        <v>1302</v>
      </c>
    </row>
    <row r="74" spans="1:16" ht="21.95" customHeight="1">
      <c r="A74" s="14"/>
      <c r="B74" s="14"/>
      <c r="C74" s="16" t="s">
        <v>1166</v>
      </c>
      <c r="D74" s="17">
        <f>VLOOKUP(A70,'Neraca Unaudited SIMAK'!$A$2:$S$10004,4,FALSE)</f>
        <v>13155200000</v>
      </c>
      <c r="E74" s="25">
        <f>SUMIFS('Daftar Koreksi'!$H$5:$H$92,'Daftar Koreksi'!$D$5:$D$92,'0300'!A70,'Daftar Koreksi'!$G$5:$G$92,"Tanah",'Daftar Koreksi'!$H$5:$H$92,"&gt;0")</f>
        <v>0</v>
      </c>
      <c r="F74" s="25">
        <f>SUMIFS('Daftar Koreksi'!$H$5:$H$92,'Daftar Koreksi'!$D$5:$D$92,'0300'!A70,'Daftar Koreksi'!$G$5:$G$92,"Tanah",'Daftar Koreksi'!$H$5:$H$92,"&lt;0")-SUMIFS('Daftar Koreksi'!$H$5:$H$92,'Daftar Koreksi'!$D$5:$D$92,'0300'!A70,'Daftar Koreksi'!$G$5:$G$92,"Tanah",'Daftar Koreksi'!$H$5:$H$92,"&lt;0")-SUMIFS('Daftar Koreksi'!$H$5:$H$92,'Daftar Koreksi'!$D$5:$D$92,'0300'!A70,'Daftar Koreksi'!$G$5:$G$92,"Tanah",'Daftar Koreksi'!$H$5:$H$92,"&lt;0")</f>
        <v>0</v>
      </c>
      <c r="G74" s="17">
        <f t="shared" ref="G74:G90" si="3">D74+E74-F74</f>
        <v>13155200000</v>
      </c>
      <c r="H74" s="122"/>
      <c r="O74" s="8" t="s">
        <v>149</v>
      </c>
      <c r="P74" s="8" t="s">
        <v>1303</v>
      </c>
    </row>
    <row r="75" spans="1:16" ht="21.95" customHeight="1">
      <c r="A75" s="14"/>
      <c r="B75" s="14"/>
      <c r="C75" s="16" t="s">
        <v>1167</v>
      </c>
      <c r="D75" s="17">
        <f>VLOOKUP(A70,'Neraca Unaudited SIMAK'!$A$2:$S$10004,5,FALSE)</f>
        <v>1874011378</v>
      </c>
      <c r="E75" s="25">
        <f>SUMIFS('Daftar Koreksi'!$H$5:$H$92,'Daftar Koreksi'!$D$5:$D$92,'0300'!A70,'Daftar Koreksi'!$G$5:$G$92,"Peralatan dan mesin",'Daftar Koreksi'!$H$5:$H$92,"&gt;0")</f>
        <v>0</v>
      </c>
      <c r="F75" s="25">
        <f>SUMIFS('Daftar Koreksi'!$H$5:$H$92,'Daftar Koreksi'!$D$5:$D$92,'0300'!A70,'Daftar Koreksi'!$G$5:$G$92,"Peralatan dan mesin",'Daftar Koreksi'!$H$5:$H$92,"&lt;0")-SUMIFS('Daftar Koreksi'!$H$5:$H$92,'Daftar Koreksi'!$D$5:$D$92,'0300'!A70,'Daftar Koreksi'!$G$5:$G$92,"Peralatan dan mesin",'Daftar Koreksi'!$H$5:$H$92,"&lt;0")-SUMIFS('Daftar Koreksi'!$H$5:$H$92,'Daftar Koreksi'!$D$5:$D$92,'0300'!A70,'Daftar Koreksi'!$G$5:$G$92,"Peralatan dan mesin",'Daftar Koreksi'!$H$5:$H$92,"&lt;0")</f>
        <v>0</v>
      </c>
      <c r="G75" s="17">
        <f t="shared" si="3"/>
        <v>1874011378</v>
      </c>
      <c r="H75" s="122"/>
      <c r="O75" s="8" t="s">
        <v>150</v>
      </c>
      <c r="P75" s="8" t="s">
        <v>2001</v>
      </c>
    </row>
    <row r="76" spans="1:16" ht="21.95" customHeight="1">
      <c r="A76" s="14"/>
      <c r="B76" s="14"/>
      <c r="C76" s="16" t="s">
        <v>1168</v>
      </c>
      <c r="D76" s="17">
        <f>VLOOKUP(A70,'Neraca Unaudited SIMAK'!$A$2:$S$10004,6,FALSE)</f>
        <v>4166579170</v>
      </c>
      <c r="E76" s="25">
        <f>SUMIFS('Daftar Koreksi'!$H$5:$H$92,'Daftar Koreksi'!$D$5:$D$92,'0300'!A70,'Daftar Koreksi'!$G$5:$G$92,"Gedung dan Bangunan",'Daftar Koreksi'!$H$5:$H$92,"&gt;0")</f>
        <v>0</v>
      </c>
      <c r="F76" s="25">
        <f>SUMIFS('Daftar Koreksi'!$H$5:$H$92,'Daftar Koreksi'!$D$5:$D$92,'0300'!A70,'Daftar Koreksi'!$G$5:$G$92,"Gedung dan Bangunan",'Daftar Koreksi'!$H$5:$H$92,"&lt;0")-SUMIFS('Daftar Koreksi'!$H$5:$H$92,'Daftar Koreksi'!$D$5:$D$92,'0300'!A70,'Daftar Koreksi'!$G$5:$G$92,"Gedung dan Bangunan",'Daftar Koreksi'!$H$5:$H$92,"&lt;0")-SUMIFS('Daftar Koreksi'!$H$5:$H$92,'Daftar Koreksi'!$D$5:$D$92,'0300'!A70,'Daftar Koreksi'!$G$5:$G$92,"Gedung dan Bangunan",'Daftar Koreksi'!$H$5:$H$92,"&lt;0")</f>
        <v>0</v>
      </c>
      <c r="G76" s="17">
        <f t="shared" si="3"/>
        <v>4166579170</v>
      </c>
      <c r="H76" s="122"/>
    </row>
    <row r="77" spans="1:16" ht="21.95" customHeight="1">
      <c r="A77" s="14"/>
      <c r="B77" s="14"/>
      <c r="C77" s="16" t="s">
        <v>1169</v>
      </c>
      <c r="D77" s="17">
        <f>VLOOKUP(A70,'Neraca Unaudited SIMAK'!$A$2:$S$10004,7,FALSE)</f>
        <v>71277000</v>
      </c>
      <c r="E77" s="25">
        <f>SUMIFS('Daftar Koreksi'!$H$5:$H$92,'Daftar Koreksi'!$D$5:$D$92,'0300'!A70,'Daftar Koreksi'!$G$5:$G$92,"Jalan Irigasi Jaringan",'Daftar Koreksi'!$H$5:$H$92,"&gt;0")</f>
        <v>0</v>
      </c>
      <c r="F77" s="25">
        <f>SUMIFS('Daftar Koreksi'!$H$5:$H$92,'Daftar Koreksi'!$D$5:$D$92,'0300'!A70,'Daftar Koreksi'!$G$5:$G$92,"Jalan Irigasi Jaringan",'Daftar Koreksi'!$H$5:$H$92,"&lt;0")-SUMIFS('Daftar Koreksi'!$H$5:$H$92,'Daftar Koreksi'!$D$5:$D$92,'0300'!A70,'Daftar Koreksi'!$G$5:$G$92,"Jalan Irigasi Jaringan",'Daftar Koreksi'!$H$5:$H$92,"&lt;0")-SUMIFS('Daftar Koreksi'!$H$5:$H$92,'Daftar Koreksi'!$D$5:$D$92,'0300'!A70,'Daftar Koreksi'!$G$5:$G$92,"Jalan Irigasi Jaringan",'Daftar Koreksi'!$H$5:$H$92,"&lt;0")</f>
        <v>0</v>
      </c>
      <c r="G77" s="17">
        <f t="shared" si="3"/>
        <v>71277000</v>
      </c>
      <c r="H77" s="122"/>
    </row>
    <row r="78" spans="1:16" ht="21.95" customHeight="1">
      <c r="A78" s="14"/>
      <c r="B78" s="14"/>
      <c r="C78" s="16" t="s">
        <v>1170</v>
      </c>
      <c r="D78" s="17">
        <f>VLOOKUP(A70,'Neraca Unaudited SIMAK'!$A$2:$S$10004,8,FALSE)</f>
        <v>57172940</v>
      </c>
      <c r="E78" s="25">
        <f>SUMIFS('Daftar Koreksi'!$H$5:$H$92,'Daftar Koreksi'!$D$5:$D$92,'0300'!A70,'Daftar Koreksi'!$G$5:$G$92,"Aset Tetap Lainnya",'Daftar Koreksi'!$H$5:$H$92,"&gt;0")</f>
        <v>0</v>
      </c>
      <c r="F78" s="25">
        <f>SUMIFS('Daftar Koreksi'!$H$5:$H$92,'Daftar Koreksi'!$D$5:$D$92,'0300'!A70,'Daftar Koreksi'!$G$5:$G$92,"Aset Tetap Lainnya",'Daftar Koreksi'!$H$5:$H$92,"&lt;0")-SUMIFS('Daftar Koreksi'!$H$5:$H$92,'Daftar Koreksi'!$D$5:$D$92,'0300'!A70,'Daftar Koreksi'!$G$5:$G$92,"Aset Tetap Lainnya",'Daftar Koreksi'!$H$5:$H$92,"&lt;0")-SUMIFS('Daftar Koreksi'!$H$5:$H$92,'Daftar Koreksi'!$D$5:$D$92,'0300'!A70,'Daftar Koreksi'!$G$5:$G$92,"Aset Tetap Lainnya",'Daftar Koreksi'!$H$5:$H$92,"&lt;0")</f>
        <v>0</v>
      </c>
      <c r="G78" s="17">
        <f t="shared" si="3"/>
        <v>57172940</v>
      </c>
      <c r="H78" s="122"/>
    </row>
    <row r="79" spans="1:16" ht="21.95" customHeight="1">
      <c r="A79" s="14"/>
      <c r="B79" s="14"/>
      <c r="C79" s="16" t="s">
        <v>1171</v>
      </c>
      <c r="D79" s="17">
        <f>VLOOKUP(A70,'Neraca Unaudited SIMAK'!$A$2:$S$10004,9,FALSE)</f>
        <v>0</v>
      </c>
      <c r="E79" s="25">
        <f>SUMIFS('Daftar Koreksi'!$H$5:$H$92,'Daftar Koreksi'!$D$5:$D$92,'0300'!A70,'Daftar Koreksi'!$G$5:$G$92,"Kontruksi Dalam Pengerjaan",'Daftar Koreksi'!$H$5:$H$92,"&gt;0")</f>
        <v>0</v>
      </c>
      <c r="F79" s="25">
        <f>SUMIFS('Daftar Koreksi'!$H$5:$H$92,'Daftar Koreksi'!$D$5:$D$92,'0300'!A70,'Daftar Koreksi'!$G$5:$G$92,"Kontruksi Dalam Pengerjaan",'Daftar Koreksi'!$H$5:$H$92,"&lt;0")-SUMIFS('Daftar Koreksi'!$H$5:$H$92,'Daftar Koreksi'!$D$5:$D$92,'0300'!A70,'Daftar Koreksi'!$G$5:$G$92,"Kontruksi Dalam Pengerjaan",'Daftar Koreksi'!$H$5:$H$92,"&lt;0")-SUMIFS('Daftar Koreksi'!$H$5:$H$92,'Daftar Koreksi'!$D$5:$D$92,'0300'!A70,'Daftar Koreksi'!$G$5:$G$92,"Kontruksi Dalam Pengerjaan",'Daftar Koreksi'!$H$5:$H$92,"&lt;0")</f>
        <v>0</v>
      </c>
      <c r="G79" s="17">
        <f t="shared" si="3"/>
        <v>0</v>
      </c>
      <c r="H79" s="122"/>
    </row>
    <row r="80" spans="1:16" ht="21.95" customHeight="1">
      <c r="A80" s="14"/>
      <c r="B80" s="14"/>
      <c r="C80" s="16" t="s">
        <v>1172</v>
      </c>
      <c r="D80" s="17">
        <f>VLOOKUP(A70,'Neraca Unaudited SIMAK'!$A$2:$S$10004,10,FALSE)</f>
        <v>0</v>
      </c>
      <c r="E80" s="25">
        <f>SUMIFS('Daftar Koreksi'!$H$5:$H$92,'Daftar Koreksi'!$D$5:$D$92,'0300'!A70,'Daftar Koreksi'!$G$5:$G$92,"Aset Tak Berwujud",'Daftar Koreksi'!$H$5:$H$92,"&gt;0")</f>
        <v>0</v>
      </c>
      <c r="F80" s="25">
        <f>SUMIFS('Daftar Koreksi'!$H$5:$H$92,'Daftar Koreksi'!$D$5:$D$92,'0300'!A70,'Daftar Koreksi'!$G$5:$G$92,"Aset Tak Berwujud",'Daftar Koreksi'!$H$5:$H$92,"&lt;0")-SUMIFS('Daftar Koreksi'!$H$5:$H$92,'Daftar Koreksi'!$D$5:$D$92,'0300'!A70,'Daftar Koreksi'!$G$5:$G$92,"Aset Tak Berwujud",'Daftar Koreksi'!$H$5:$H$92,"&lt;0")-SUMIFS('Daftar Koreksi'!$H$5:$H$92,'Daftar Koreksi'!$D$5:$D$92,'0300'!A70,'Daftar Koreksi'!$G$5:$G$92,"Aset Tak Berwujud",'Daftar Koreksi'!$H$5:$H$92,"&lt;0")</f>
        <v>0</v>
      </c>
      <c r="G80" s="17">
        <f t="shared" si="3"/>
        <v>0</v>
      </c>
      <c r="H80" s="122"/>
    </row>
    <row r="81" spans="1:8" ht="21.95" customHeight="1">
      <c r="A81" s="14"/>
      <c r="B81" s="14"/>
      <c r="C81" s="16" t="s">
        <v>1173</v>
      </c>
      <c r="D81" s="17">
        <f>VLOOKUP(A70,'Neraca Unaudited SIMAK'!$A$2:$S$10004,11,FALSE)</f>
        <v>77473150</v>
      </c>
      <c r="E81" s="25">
        <f>SUMIFS('Daftar Koreksi'!$H$5:$H$92,'Daftar Koreksi'!$D$5:$D$92,'0300'!A70,'Daftar Koreksi'!$G$5:$G$92,"Aset Henti Guna",'Daftar Koreksi'!$H$5:$H$92,"&gt;0")</f>
        <v>0</v>
      </c>
      <c r="F81" s="25">
        <f>SUMIFS('Daftar Koreksi'!$H$5:$H$92,'Daftar Koreksi'!$D$5:$D$92,'0300'!A70,'Daftar Koreksi'!$G$5:$G$92,"Aset Henti Guna",'Daftar Koreksi'!$H$5:$H$92,"&lt;0")-SUMIFS('Daftar Koreksi'!$H$5:$H$92,'Daftar Koreksi'!$D$5:$D$92,'0300'!A70,'Daftar Koreksi'!$G$5:$G$92,"Aset Henti Guna",'Daftar Koreksi'!$H$5:$H$92,"&lt;0")-SUMIFS('Daftar Koreksi'!$H$5:$H$92,'Daftar Koreksi'!$D$5:$D$92,'0300'!A70,'Daftar Koreksi'!$G$5:$G$92,"Aset Henti Guna",'Daftar Koreksi'!$H$5:$H$92,"&lt;0")</f>
        <v>0</v>
      </c>
      <c r="G81" s="17">
        <f t="shared" si="3"/>
        <v>77473150</v>
      </c>
      <c r="H81" s="122"/>
    </row>
    <row r="82" spans="1:8" ht="21.95" customHeight="1">
      <c r="A82" s="14"/>
      <c r="B82" s="14"/>
      <c r="C82" s="18" t="s">
        <v>2093</v>
      </c>
      <c r="D82" s="19">
        <f>VLOOKUP(A70,'Neraca Unaudited SIMAK'!$A$2:$S$10004,12,FALSE)</f>
        <v>19406534438</v>
      </c>
      <c r="E82" s="19">
        <f>SUM(E73:E81)</f>
        <v>0</v>
      </c>
      <c r="F82" s="19">
        <f>SUM(F73:F81)</f>
        <v>0</v>
      </c>
      <c r="G82" s="19">
        <f t="shared" si="3"/>
        <v>19406534438</v>
      </c>
      <c r="H82" s="122"/>
    </row>
    <row r="83" spans="1:8" ht="21.95" customHeight="1">
      <c r="A83" s="14"/>
      <c r="B83" s="14"/>
      <c r="C83" s="16" t="s">
        <v>2087</v>
      </c>
      <c r="D83" s="17">
        <f>VLOOKUP(A70,'Neraca Unaudited SIMAK'!$A$2:$S$10004,13,FALSE)</f>
        <v>-1699445880</v>
      </c>
      <c r="E83" s="25">
        <f>SUMIFS('Daftar Koreksi'!$I$5:$I$92,'Daftar Koreksi'!$D$5:$D$92,'0300'!A70,'Daftar Koreksi'!$G$5:$G$92,"Peralatan dan mesin",'Daftar Koreksi'!$I$5:$I$92,"&gt;0")</f>
        <v>0</v>
      </c>
      <c r="F83" s="25">
        <f>SUMIFS('Daftar Koreksi'!$I$5:$I$92,'Daftar Koreksi'!$D$5:$D$92,'0300'!A70,'Daftar Koreksi'!$G$5:$G$92,"Peralatan dan mesin",'Daftar Koreksi'!$I$5:$I$92,"&lt;0")-SUMIFS('Daftar Koreksi'!$I$5:$I$92,'Daftar Koreksi'!$D$5:$D$92,'0300'!A70,'Daftar Koreksi'!$G$5:$G$92,"Peralatan dan mesin",'Daftar Koreksi'!$I$5:$I$92,"&lt;0")-SUMIFS('Daftar Koreksi'!$I$5:$I$92,'Daftar Koreksi'!$D$5:$D$92,'0300'!A70,'Daftar Koreksi'!$G$5:$G$92,"Peralatan dan mesin",'Daftar Koreksi'!$I$5:$I$92,"&lt;0")</f>
        <v>0</v>
      </c>
      <c r="G83" s="17">
        <f t="shared" si="3"/>
        <v>-1699445880</v>
      </c>
      <c r="H83" s="122"/>
    </row>
    <row r="84" spans="1:8" ht="21.95" customHeight="1">
      <c r="A84" s="14"/>
      <c r="B84" s="14"/>
      <c r="C84" s="16" t="s">
        <v>2088</v>
      </c>
      <c r="D84" s="17">
        <f>VLOOKUP(A70,'Neraca Unaudited SIMAK'!$A$2:$S$10004,14,FALSE)</f>
        <v>-857440445</v>
      </c>
      <c r="E84" s="25">
        <f>SUMIFS('Daftar Koreksi'!$I$5:$I$92,'Daftar Koreksi'!$D$5:$D$92,'0300'!A70,'Daftar Koreksi'!$G$5:$G$92,"Gedung dan Bangunan",'Daftar Koreksi'!$I$5:$I$92,"&gt;0")</f>
        <v>0</v>
      </c>
      <c r="F84" s="25">
        <f>SUMIFS('Daftar Koreksi'!$I$5:$I$92,'Daftar Koreksi'!$D$5:$D$92,'0300'!A70,'Daftar Koreksi'!$G$5:$G$92,"Gedung dan Bangunan",'Daftar Koreksi'!$I$5:$I$92,"&lt;0")-SUMIFS('Daftar Koreksi'!$I$5:$I$92,'Daftar Koreksi'!$D$5:$D$92,'0300'!A70,'Daftar Koreksi'!$G$5:$G$92,"Gedung dan Bangunan",'Daftar Koreksi'!$I$5:$I$92,"&lt;0")-SUMIFS('Daftar Koreksi'!$I$5:$I$92,'Daftar Koreksi'!$D$5:$D$92,'0300'!A70,'Daftar Koreksi'!$G$5:$G$92,"Gedung dan Bangunan",'Daftar Koreksi'!$I$5:$I$92,"&lt;0")</f>
        <v>0</v>
      </c>
      <c r="G84" s="17">
        <f t="shared" si="3"/>
        <v>-857440445</v>
      </c>
      <c r="H84" s="122"/>
    </row>
    <row r="85" spans="1:8" ht="21.95" customHeight="1">
      <c r="A85" s="14"/>
      <c r="B85" s="14"/>
      <c r="C85" s="16" t="s">
        <v>2089</v>
      </c>
      <c r="D85" s="17">
        <f>VLOOKUP(A70,'Neraca Unaudited SIMAK'!$A$2:$S$10004,15,FALSE)</f>
        <v>-67119000</v>
      </c>
      <c r="E85" s="25">
        <f>SUMIFS('Daftar Koreksi'!$I$5:$I$92,'Daftar Koreksi'!$D$5:$D$92,'0300'!A70,'Daftar Koreksi'!$G$5:$G$92,"Jalan Irigasi Jaringan",'Daftar Koreksi'!$I$5:$I$92,"&gt;0")</f>
        <v>0</v>
      </c>
      <c r="F85" s="25">
        <f>SUMIFS('Daftar Koreksi'!$I$5:$I$92,'Daftar Koreksi'!$D$5:$D$92,'0300'!A70,'Daftar Koreksi'!$G$5:$G$92,"Jalan Irigasi Jaringan",'Daftar Koreksi'!$I$5:$I$92,"&lt;0")-SUMIFS('Daftar Koreksi'!$I$5:$I$92,'Daftar Koreksi'!$D$5:$D$92,'0300'!A70,'Daftar Koreksi'!$G$5:$G$92,"Jalan Irigasi Jaringan",'Daftar Koreksi'!$I$5:$I$92,"&lt;0")-SUMIFS('Daftar Koreksi'!$I$5:$I$92,'Daftar Koreksi'!$D$5:$D$92,'0300'!A70,'Daftar Koreksi'!$G$5:$G$92,"Jalan Irigasi Jaringan",'Daftar Koreksi'!$I$5:$I$92,"&lt;0")</f>
        <v>0</v>
      </c>
      <c r="G85" s="17">
        <f t="shared" si="3"/>
        <v>-67119000</v>
      </c>
      <c r="H85" s="122"/>
    </row>
    <row r="86" spans="1:8" ht="21.95" customHeight="1">
      <c r="A86" s="14"/>
      <c r="B86" s="14"/>
      <c r="C86" s="16" t="s">
        <v>2090</v>
      </c>
      <c r="D86" s="17">
        <f>VLOOKUP(A70,'Neraca Unaudited SIMAK'!$A$2:$S$10004,16,FALSE)</f>
        <v>0</v>
      </c>
      <c r="E86" s="25">
        <f>SUMIFS('Daftar Koreksi'!$I$5:$I$92,'Daftar Koreksi'!$D$5:$D$92,'0300'!A70,'Daftar Koreksi'!$G$5:$G$92,"Aset Tetap Lainnya",'Daftar Koreksi'!$I$5:$I$92,"&gt;0")</f>
        <v>0</v>
      </c>
      <c r="F86" s="25">
        <f>SUMIFS('Daftar Koreksi'!$I$5:$I$92,'Daftar Koreksi'!$D$5:$D$92,'0300'!A70,'Daftar Koreksi'!$G$5:$G$92,"Aset Tetap Lainnya",'Daftar Koreksi'!$I$5:$I$92,"&lt;0")-SUMIFS('Daftar Koreksi'!$I$5:$I$92,'Daftar Koreksi'!$D$5:$D$92,'0300'!A70,'Daftar Koreksi'!$G$5:$G$92,"Aset Tetap Lainnya",'Daftar Koreksi'!$I$5:$I$92,"&lt;0")-SUMIFS('Daftar Koreksi'!$I$5:$I$92,'Daftar Koreksi'!$D$5:$D$92,'0300'!A70,'Daftar Koreksi'!$G$5:$G$92,"Aset Tetap Lainnya",'Daftar Koreksi'!$I$5:$I$92,"&lt;0")</f>
        <v>0</v>
      </c>
      <c r="G86" s="17">
        <f t="shared" si="3"/>
        <v>0</v>
      </c>
      <c r="H86" s="122"/>
    </row>
    <row r="87" spans="1:8" ht="21.95" customHeight="1">
      <c r="A87" s="14"/>
      <c r="B87" s="14"/>
      <c r="C87" s="16" t="s">
        <v>2020</v>
      </c>
      <c r="D87" s="17">
        <f>VLOOKUP(A70,'Neraca Unaudited SIMAK'!$A$2:$S$10004,17,FALSE)</f>
        <v>-43725062</v>
      </c>
      <c r="E87" s="25">
        <f>SUMIFS('Daftar Koreksi'!$I$5:$I$92,'Daftar Koreksi'!$D$5:$D$92,'0300'!A70,'Daftar Koreksi'!$G$5:$G$92,"Aset Henti Guna",'Daftar Koreksi'!$I$5:$I$92,"&gt;0")</f>
        <v>0</v>
      </c>
      <c r="F87" s="25">
        <f>SUMIFS('Daftar Koreksi'!$I$5:$I$92,'Daftar Koreksi'!$D$5:$D$92,'0300'!A70,'Daftar Koreksi'!$G$5:$G$92,"Aset Henti Guna",'Daftar Koreksi'!$I$5:$I$92,"&lt;0")-SUMIFS('Daftar Koreksi'!$I$5:$I$92,'Daftar Koreksi'!$D$5:$D$92,'0300'!A70,'Daftar Koreksi'!$G$5:$G$92,"Aset Henti Guna",'Daftar Koreksi'!$I$5:$I$92,"&lt;0")-SUMIFS('Daftar Koreksi'!$I$5:$I$92,'Daftar Koreksi'!$D$5:$D$92,'0300'!A70,'Daftar Koreksi'!$G$5:$G$92,"Aset Henti Guna",'Daftar Koreksi'!$I$5:$I$92,"&lt;0")</f>
        <v>0</v>
      </c>
      <c r="G87" s="17">
        <f t="shared" si="3"/>
        <v>-43725062</v>
      </c>
      <c r="H87" s="122"/>
    </row>
    <row r="88" spans="1:8" ht="21.95" customHeight="1">
      <c r="A88" s="14"/>
      <c r="B88" s="14"/>
      <c r="C88" s="18" t="s">
        <v>2094</v>
      </c>
      <c r="D88" s="19">
        <f>SUM(D83:D87)</f>
        <v>-2667730387</v>
      </c>
      <c r="E88" s="19">
        <f>SUM(E83:E87)</f>
        <v>0</v>
      </c>
      <c r="F88" s="19">
        <f>SUM(F83:F87)</f>
        <v>0</v>
      </c>
      <c r="G88" s="19">
        <f t="shared" si="3"/>
        <v>-2667730387</v>
      </c>
      <c r="H88" s="122"/>
    </row>
    <row r="89" spans="1:8" ht="21.95" customHeight="1">
      <c r="A89" s="14"/>
      <c r="B89" s="14"/>
      <c r="C89" s="18" t="s">
        <v>2095</v>
      </c>
      <c r="D89" s="19">
        <f>VLOOKUP(A70,'Neraca Unaudited SIMAK'!$A$2:$S$10004,18,FALSE)</f>
        <v>16738804051</v>
      </c>
      <c r="E89" s="19">
        <f>E88+E82</f>
        <v>0</v>
      </c>
      <c r="F89" s="19">
        <f>F88+F82</f>
        <v>0</v>
      </c>
      <c r="G89" s="19">
        <f t="shared" si="3"/>
        <v>16738804051</v>
      </c>
      <c r="H89" s="122"/>
    </row>
    <row r="90" spans="1:8" ht="21.95" customHeight="1">
      <c r="A90" s="14"/>
      <c r="B90" s="14"/>
      <c r="C90" s="16" t="s">
        <v>2091</v>
      </c>
      <c r="D90" s="17">
        <f>VLOOKUP(A70,'Neraca Unaudited SIMAK'!$A$2:$S$10004,19,FALSE)</f>
        <v>0</v>
      </c>
      <c r="E90" s="25"/>
      <c r="F90" s="25"/>
      <c r="G90" s="17">
        <f t="shared" si="3"/>
        <v>0</v>
      </c>
      <c r="H90" s="123"/>
    </row>
    <row r="92" spans="1:8" ht="19.5" customHeight="1">
      <c r="A92" s="11" t="str">
        <f>O5</f>
        <v>005010300097755000KD</v>
      </c>
      <c r="B92" s="11" t="str">
        <f>P5</f>
        <v>PN. Kudus</v>
      </c>
      <c r="C92" s="12" t="str">
        <f>A92&amp;" "&amp;B92</f>
        <v>005010300097755000KD PN. Kudus</v>
      </c>
      <c r="D92" s="13"/>
      <c r="E92" s="13"/>
      <c r="F92" s="13"/>
      <c r="G92" s="13"/>
      <c r="H92" s="11"/>
    </row>
    <row r="93" spans="1:8" ht="21.95" customHeight="1">
      <c r="A93" s="14"/>
      <c r="B93" s="14"/>
      <c r="C93" s="124" t="s">
        <v>1982</v>
      </c>
      <c r="D93" s="126" t="s">
        <v>1983</v>
      </c>
      <c r="E93" s="132" t="s">
        <v>1984</v>
      </c>
      <c r="F93" s="132"/>
      <c r="G93" s="126" t="s">
        <v>1987</v>
      </c>
      <c r="H93" s="130" t="s">
        <v>1175</v>
      </c>
    </row>
    <row r="94" spans="1:8" ht="21.95" customHeight="1">
      <c r="A94" s="14"/>
      <c r="B94" s="14"/>
      <c r="C94" s="125"/>
      <c r="D94" s="127"/>
      <c r="E94" s="26" t="s">
        <v>1985</v>
      </c>
      <c r="F94" s="26" t="s">
        <v>1986</v>
      </c>
      <c r="G94" s="127"/>
      <c r="H94" s="131"/>
    </row>
    <row r="95" spans="1:8" ht="21.95" customHeight="1">
      <c r="A95" s="14"/>
      <c r="B95" s="14"/>
      <c r="C95" s="16" t="s">
        <v>1165</v>
      </c>
      <c r="D95" s="17">
        <f>VLOOKUP(A92,'Neraca Unaudited SIMAK'!$A$2:$S$10004,3,FALSE)</f>
        <v>2379225</v>
      </c>
      <c r="E95" s="25">
        <f>SUMIFS('Daftar Koreksi'!$H$5:$H$92,'Daftar Koreksi'!$D$5:$D$92,'0300'!A92,'Daftar Koreksi'!$G$5:$G$92,"Persediaan",'Daftar Koreksi'!$H$5:$H$92,"&gt;0")</f>
        <v>0</v>
      </c>
      <c r="F95" s="25">
        <f>SUMIFS('Daftar Koreksi'!$H$5:$H$92,'Daftar Koreksi'!$D$5:$D$92,'0300'!A92,'Daftar Koreksi'!$G$5:$G$92,"Persediaan",'Daftar Koreksi'!$H$5:$H$92,"&lt;0")-SUMIFS('Daftar Koreksi'!$H$5:$H$92,'Daftar Koreksi'!$D$5:$D$92,'0300'!A92,'Daftar Koreksi'!$G$5:$G$92,"Persediaan",'Daftar Koreksi'!$H$5:$H$92,"&lt;0")-SUMIFS('Daftar Koreksi'!$H$5:$H$92,'Daftar Koreksi'!$D$5:$D$92,'0300'!A92,'Daftar Koreksi'!$G$5:$G$92,"Persediaan",'Daftar Koreksi'!$H$5:$H$92,"&lt;0")</f>
        <v>0</v>
      </c>
      <c r="G95" s="17">
        <f>D95+E95-F95</f>
        <v>2379225</v>
      </c>
      <c r="H95" s="121" t="str">
        <f>IF(ISNA(VLOOKUP(A92,'Mutasi Neraca'!$A$3:$S$914,19,FALSE)),"-",VLOOKUP(A92,'Mutasi Neraca'!$A$3:$S$914,19,FALSE))</f>
        <v>TP. No 3</v>
      </c>
    </row>
    <row r="96" spans="1:8" ht="21.95" customHeight="1">
      <c r="A96" s="14"/>
      <c r="B96" s="14"/>
      <c r="C96" s="16" t="s">
        <v>1166</v>
      </c>
      <c r="D96" s="17">
        <f>VLOOKUP(A92,'Neraca Unaudited SIMAK'!$A$2:$S$10004,4,FALSE)</f>
        <v>6020950000</v>
      </c>
      <c r="E96" s="25">
        <f>SUMIFS('Daftar Koreksi'!$H$5:$H$92,'Daftar Koreksi'!$D$5:$D$92,'0300'!A92,'Daftar Koreksi'!$G$5:$G$92,"Tanah",'Daftar Koreksi'!$H$5:$H$92,"&gt;0")</f>
        <v>0</v>
      </c>
      <c r="F96" s="25">
        <f>SUMIFS('Daftar Koreksi'!$H$5:$H$92,'Daftar Koreksi'!$D$5:$D$92,'0300'!A92,'Daftar Koreksi'!$G$5:$G$92,"Tanah",'Daftar Koreksi'!$H$5:$H$92,"&lt;0")-SUMIFS('Daftar Koreksi'!$H$5:$H$92,'Daftar Koreksi'!$D$5:$D$92,'0300'!A92,'Daftar Koreksi'!$G$5:$G$92,"Tanah",'Daftar Koreksi'!$H$5:$H$92,"&lt;0")-SUMIFS('Daftar Koreksi'!$H$5:$H$92,'Daftar Koreksi'!$D$5:$D$92,'0300'!A92,'Daftar Koreksi'!$G$5:$G$92,"Tanah",'Daftar Koreksi'!$H$5:$H$92,"&lt;0")</f>
        <v>0</v>
      </c>
      <c r="G96" s="17">
        <f t="shared" ref="G96:G112" si="4">D96+E96-F96</f>
        <v>6020950000</v>
      </c>
      <c r="H96" s="122"/>
    </row>
    <row r="97" spans="1:8" ht="21.95" customHeight="1">
      <c r="A97" s="14"/>
      <c r="B97" s="14"/>
      <c r="C97" s="16" t="s">
        <v>1167</v>
      </c>
      <c r="D97" s="17">
        <f>VLOOKUP(A92,'Neraca Unaudited SIMAK'!$A$2:$S$10004,5,FALSE)</f>
        <v>1913714992</v>
      </c>
      <c r="E97" s="25">
        <f>SUMIFS('Daftar Koreksi'!$H$5:$H$92,'Daftar Koreksi'!$D$5:$D$92,'0300'!A92,'Daftar Koreksi'!$G$5:$G$92,"Peralatan dan mesin",'Daftar Koreksi'!$H$5:$H$92,"&gt;0")</f>
        <v>0</v>
      </c>
      <c r="F97" s="25">
        <f>SUMIFS('Daftar Koreksi'!$H$5:$H$92,'Daftar Koreksi'!$D$5:$D$92,'0300'!A92,'Daftar Koreksi'!$G$5:$G$92,"Peralatan dan mesin",'Daftar Koreksi'!$H$5:$H$92,"&lt;0")-SUMIFS('Daftar Koreksi'!$H$5:$H$92,'Daftar Koreksi'!$D$5:$D$92,'0300'!A92,'Daftar Koreksi'!$G$5:$G$92,"Peralatan dan mesin",'Daftar Koreksi'!$H$5:$H$92,"&lt;0")-SUMIFS('Daftar Koreksi'!$H$5:$H$92,'Daftar Koreksi'!$D$5:$D$92,'0300'!A92,'Daftar Koreksi'!$G$5:$G$92,"Peralatan dan mesin",'Daftar Koreksi'!$H$5:$H$92,"&lt;0")</f>
        <v>0</v>
      </c>
      <c r="G97" s="17">
        <f t="shared" si="4"/>
        <v>1913714992</v>
      </c>
      <c r="H97" s="122"/>
    </row>
    <row r="98" spans="1:8" ht="21.95" customHeight="1">
      <c r="A98" s="14"/>
      <c r="B98" s="14"/>
      <c r="C98" s="16" t="s">
        <v>1168</v>
      </c>
      <c r="D98" s="17">
        <f>VLOOKUP(A92,'Neraca Unaudited SIMAK'!$A$2:$S$10004,6,FALSE)</f>
        <v>6098470923</v>
      </c>
      <c r="E98" s="25">
        <f>SUMIFS('Daftar Koreksi'!$H$5:$H$92,'Daftar Koreksi'!$D$5:$D$92,'0300'!A92,'Daftar Koreksi'!$G$5:$G$92,"Gedung dan Bangunan",'Daftar Koreksi'!$H$5:$H$92,"&gt;0")</f>
        <v>0</v>
      </c>
      <c r="F98" s="25">
        <f>SUMIFS('Daftar Koreksi'!$H$5:$H$92,'Daftar Koreksi'!$D$5:$D$92,'0300'!A92,'Daftar Koreksi'!$G$5:$G$92,"Gedung dan Bangunan",'Daftar Koreksi'!$H$5:$H$92,"&lt;0")-SUMIFS('Daftar Koreksi'!$H$5:$H$92,'Daftar Koreksi'!$D$5:$D$92,'0300'!A92,'Daftar Koreksi'!$G$5:$G$92,"Gedung dan Bangunan",'Daftar Koreksi'!$H$5:$H$92,"&lt;0")-SUMIFS('Daftar Koreksi'!$H$5:$H$92,'Daftar Koreksi'!$D$5:$D$92,'0300'!A92,'Daftar Koreksi'!$G$5:$G$92,"Gedung dan Bangunan",'Daftar Koreksi'!$H$5:$H$92,"&lt;0")</f>
        <v>0</v>
      </c>
      <c r="G98" s="17">
        <f t="shared" si="4"/>
        <v>6098470923</v>
      </c>
      <c r="H98" s="122"/>
    </row>
    <row r="99" spans="1:8" ht="21.95" customHeight="1">
      <c r="A99" s="14"/>
      <c r="B99" s="14"/>
      <c r="C99" s="16" t="s">
        <v>1169</v>
      </c>
      <c r="D99" s="17">
        <f>VLOOKUP(A92,'Neraca Unaudited SIMAK'!$A$2:$S$10004,7,FALSE)</f>
        <v>0</v>
      </c>
      <c r="E99" s="25">
        <f>SUMIFS('Daftar Koreksi'!$H$5:$H$92,'Daftar Koreksi'!$D$5:$D$92,'0300'!A92,'Daftar Koreksi'!$G$5:$G$92,"Jalan Irigasi Jaringan",'Daftar Koreksi'!$H$5:$H$92,"&gt;0")</f>
        <v>0</v>
      </c>
      <c r="F99" s="25">
        <f>SUMIFS('Daftar Koreksi'!$H$5:$H$92,'Daftar Koreksi'!$D$5:$D$92,'0300'!A92,'Daftar Koreksi'!$G$5:$G$92,"Jalan Irigasi Jaringan",'Daftar Koreksi'!$H$5:$H$92,"&lt;0")-SUMIFS('Daftar Koreksi'!$H$5:$H$92,'Daftar Koreksi'!$D$5:$D$92,'0300'!A92,'Daftar Koreksi'!$G$5:$G$92,"Jalan Irigasi Jaringan",'Daftar Koreksi'!$H$5:$H$92,"&lt;0")-SUMIFS('Daftar Koreksi'!$H$5:$H$92,'Daftar Koreksi'!$D$5:$D$92,'0300'!A92,'Daftar Koreksi'!$G$5:$G$92,"Jalan Irigasi Jaringan",'Daftar Koreksi'!$H$5:$H$92,"&lt;0")</f>
        <v>0</v>
      </c>
      <c r="G99" s="17">
        <f t="shared" si="4"/>
        <v>0</v>
      </c>
      <c r="H99" s="122"/>
    </row>
    <row r="100" spans="1:8" ht="21.95" customHeight="1">
      <c r="A100" s="14"/>
      <c r="B100" s="14"/>
      <c r="C100" s="16" t="s">
        <v>1170</v>
      </c>
      <c r="D100" s="17">
        <f>VLOOKUP(A92,'Neraca Unaudited SIMAK'!$A$2:$S$10004,8,FALSE)</f>
        <v>39532090</v>
      </c>
      <c r="E100" s="25">
        <f>SUMIFS('Daftar Koreksi'!$H$5:$H$92,'Daftar Koreksi'!$D$5:$D$92,'0300'!A92,'Daftar Koreksi'!$G$5:$G$92,"Aset Tetap Lainnya",'Daftar Koreksi'!$H$5:$H$92,"&gt;0")</f>
        <v>4411622</v>
      </c>
      <c r="F100" s="25">
        <f>SUMIFS('Daftar Koreksi'!$H$5:$H$92,'Daftar Koreksi'!$D$5:$D$92,'0300'!A92,'Daftar Koreksi'!$G$5:$G$92,"Aset Tetap Lainnya",'Daftar Koreksi'!$H$5:$H$92,"&lt;0")-SUMIFS('Daftar Koreksi'!$H$5:$H$92,'Daftar Koreksi'!$D$5:$D$92,'0300'!A92,'Daftar Koreksi'!$G$5:$G$92,"Aset Tetap Lainnya",'Daftar Koreksi'!$H$5:$H$92,"&lt;0")-SUMIFS('Daftar Koreksi'!$H$5:$H$92,'Daftar Koreksi'!$D$5:$D$92,'0300'!A92,'Daftar Koreksi'!$G$5:$G$92,"Aset Tetap Lainnya",'Daftar Koreksi'!$H$5:$H$92,"&lt;0")</f>
        <v>0</v>
      </c>
      <c r="G100" s="17">
        <f t="shared" si="4"/>
        <v>43943712</v>
      </c>
      <c r="H100" s="122"/>
    </row>
    <row r="101" spans="1:8" ht="21.95" customHeight="1">
      <c r="A101" s="14"/>
      <c r="B101" s="14"/>
      <c r="C101" s="16" t="s">
        <v>1171</v>
      </c>
      <c r="D101" s="17">
        <f>VLOOKUP(A92,'Neraca Unaudited SIMAK'!$A$2:$S$10004,9,FALSE)</f>
        <v>0</v>
      </c>
      <c r="E101" s="25">
        <f>SUMIFS('Daftar Koreksi'!$H$5:$H$92,'Daftar Koreksi'!$D$5:$D$92,'0300'!A92,'Daftar Koreksi'!$G$5:$G$92,"Kontruksi Dalam Pengerjaan",'Daftar Koreksi'!$H$5:$H$92,"&gt;0")</f>
        <v>0</v>
      </c>
      <c r="F101" s="25">
        <f>SUMIFS('Daftar Koreksi'!$H$5:$H$92,'Daftar Koreksi'!$D$5:$D$92,'0300'!A92,'Daftar Koreksi'!$G$5:$G$92,"Kontruksi Dalam Pengerjaan",'Daftar Koreksi'!$H$5:$H$92,"&lt;0")-SUMIFS('Daftar Koreksi'!$H$5:$H$92,'Daftar Koreksi'!$D$5:$D$92,'0300'!A92,'Daftar Koreksi'!$G$5:$G$92,"Kontruksi Dalam Pengerjaan",'Daftar Koreksi'!$H$5:$H$92,"&lt;0")-SUMIFS('Daftar Koreksi'!$H$5:$H$92,'Daftar Koreksi'!$D$5:$D$92,'0300'!A92,'Daftar Koreksi'!$G$5:$G$92,"Kontruksi Dalam Pengerjaan",'Daftar Koreksi'!$H$5:$H$92,"&lt;0")</f>
        <v>0</v>
      </c>
      <c r="G101" s="17">
        <f t="shared" si="4"/>
        <v>0</v>
      </c>
      <c r="H101" s="122"/>
    </row>
    <row r="102" spans="1:8" ht="21.95" customHeight="1">
      <c r="A102" s="14"/>
      <c r="B102" s="14"/>
      <c r="C102" s="16" t="s">
        <v>1172</v>
      </c>
      <c r="D102" s="17">
        <f>VLOOKUP(A92,'Neraca Unaudited SIMAK'!$A$2:$S$10004,10,FALSE)</f>
        <v>0</v>
      </c>
      <c r="E102" s="25">
        <f>SUMIFS('Daftar Koreksi'!$H$5:$H$92,'Daftar Koreksi'!$D$5:$D$92,'0300'!A92,'Daftar Koreksi'!$G$5:$G$92,"Aset Tak Berwujud",'Daftar Koreksi'!$H$5:$H$92,"&gt;0")</f>
        <v>0</v>
      </c>
      <c r="F102" s="25">
        <f>SUMIFS('Daftar Koreksi'!$H$5:$H$92,'Daftar Koreksi'!$D$5:$D$92,'0300'!A92,'Daftar Koreksi'!$G$5:$G$92,"Aset Tak Berwujud",'Daftar Koreksi'!$H$5:$H$92,"&lt;0")-SUMIFS('Daftar Koreksi'!$H$5:$H$92,'Daftar Koreksi'!$D$5:$D$92,'0300'!A92,'Daftar Koreksi'!$G$5:$G$92,"Aset Tak Berwujud",'Daftar Koreksi'!$H$5:$H$92,"&lt;0")-SUMIFS('Daftar Koreksi'!$H$5:$H$92,'Daftar Koreksi'!$D$5:$D$92,'0300'!A92,'Daftar Koreksi'!$G$5:$G$92,"Aset Tak Berwujud",'Daftar Koreksi'!$H$5:$H$92,"&lt;0")</f>
        <v>0</v>
      </c>
      <c r="G102" s="17">
        <f t="shared" si="4"/>
        <v>0</v>
      </c>
      <c r="H102" s="122"/>
    </row>
    <row r="103" spans="1:8" ht="21.95" customHeight="1">
      <c r="A103" s="14"/>
      <c r="B103" s="14"/>
      <c r="C103" s="16" t="s">
        <v>1173</v>
      </c>
      <c r="D103" s="17">
        <f>VLOOKUP(A92,'Neraca Unaudited SIMAK'!$A$2:$S$10004,11,FALSE)</f>
        <v>0</v>
      </c>
      <c r="E103" s="25">
        <f>SUMIFS('Daftar Koreksi'!$H$5:$H$92,'Daftar Koreksi'!$D$5:$D$92,'0300'!A92,'Daftar Koreksi'!$G$5:$G$92,"Aset Henti Guna",'Daftar Koreksi'!$H$5:$H$92,"&gt;0")</f>
        <v>0</v>
      </c>
      <c r="F103" s="25">
        <f>SUMIFS('Daftar Koreksi'!$H$5:$H$92,'Daftar Koreksi'!$D$5:$D$92,'0300'!A92,'Daftar Koreksi'!$G$5:$G$92,"Aset Henti Guna",'Daftar Koreksi'!$H$5:$H$92,"&lt;0")-SUMIFS('Daftar Koreksi'!$H$5:$H$92,'Daftar Koreksi'!$D$5:$D$92,'0300'!A92,'Daftar Koreksi'!$G$5:$G$92,"Aset Henti Guna",'Daftar Koreksi'!$H$5:$H$92,"&lt;0")-SUMIFS('Daftar Koreksi'!$H$5:$H$92,'Daftar Koreksi'!$D$5:$D$92,'0300'!A92,'Daftar Koreksi'!$G$5:$G$92,"Aset Henti Guna",'Daftar Koreksi'!$H$5:$H$92,"&lt;0")</f>
        <v>0</v>
      </c>
      <c r="G103" s="17">
        <f t="shared" si="4"/>
        <v>0</v>
      </c>
      <c r="H103" s="122"/>
    </row>
    <row r="104" spans="1:8" ht="21.95" customHeight="1">
      <c r="A104" s="14"/>
      <c r="B104" s="14"/>
      <c r="C104" s="18" t="s">
        <v>2093</v>
      </c>
      <c r="D104" s="19">
        <f>VLOOKUP(A92,'Neraca Unaudited SIMAK'!$A$2:$S$10004,12,FALSE)</f>
        <v>14075047230</v>
      </c>
      <c r="E104" s="19">
        <f>SUM(E95:E103)</f>
        <v>4411622</v>
      </c>
      <c r="F104" s="19">
        <f>SUM(F95:F103)</f>
        <v>0</v>
      </c>
      <c r="G104" s="19">
        <f t="shared" si="4"/>
        <v>14079458852</v>
      </c>
      <c r="H104" s="122"/>
    </row>
    <row r="105" spans="1:8" ht="21.95" customHeight="1">
      <c r="A105" s="14"/>
      <c r="B105" s="14"/>
      <c r="C105" s="16" t="s">
        <v>2087</v>
      </c>
      <c r="D105" s="17">
        <f>VLOOKUP(A92,'Neraca Unaudited SIMAK'!$A$2:$S$10004,13,FALSE)</f>
        <v>-1793358235</v>
      </c>
      <c r="E105" s="25">
        <f>SUMIFS('Daftar Koreksi'!$I$5:$I$92,'Daftar Koreksi'!$D$5:$D$92,'0300'!A92,'Daftar Koreksi'!$G$5:$G$92,"Peralatan dan mesin",'Daftar Koreksi'!$I$5:$I$92,"&gt;0")</f>
        <v>0</v>
      </c>
      <c r="F105" s="25">
        <f>SUMIFS('Daftar Koreksi'!$I$5:$I$92,'Daftar Koreksi'!$D$5:$D$92,'0300'!A92,'Daftar Koreksi'!$G$5:$G$92,"Peralatan dan mesin",'Daftar Koreksi'!$I$5:$I$92,"&lt;0")-SUMIFS('Daftar Koreksi'!$I$5:$I$92,'Daftar Koreksi'!$D$5:$D$92,'0300'!A92,'Daftar Koreksi'!$G$5:$G$92,"Peralatan dan mesin",'Daftar Koreksi'!$I$5:$I$92,"&lt;0")-SUMIFS('Daftar Koreksi'!$I$5:$I$92,'Daftar Koreksi'!$D$5:$D$92,'0300'!A92,'Daftar Koreksi'!$G$5:$G$92,"Peralatan dan mesin",'Daftar Koreksi'!$I$5:$I$92,"&lt;0")</f>
        <v>0</v>
      </c>
      <c r="G105" s="17">
        <f t="shared" si="4"/>
        <v>-1793358235</v>
      </c>
      <c r="H105" s="122"/>
    </row>
    <row r="106" spans="1:8" ht="21.95" customHeight="1">
      <c r="A106" s="14"/>
      <c r="B106" s="14"/>
      <c r="C106" s="16" t="s">
        <v>2088</v>
      </c>
      <c r="D106" s="17">
        <f>VLOOKUP(A92,'Neraca Unaudited SIMAK'!$A$2:$S$10004,14,FALSE)</f>
        <v>-1304405341</v>
      </c>
      <c r="E106" s="25">
        <f>SUMIFS('Daftar Koreksi'!$I$5:$I$92,'Daftar Koreksi'!$D$5:$D$92,'0300'!A92,'Daftar Koreksi'!$G$5:$G$92,"Gedung dan Bangunan",'Daftar Koreksi'!$I$5:$I$92,"&gt;0")</f>
        <v>0</v>
      </c>
      <c r="F106" s="25">
        <f>SUMIFS('Daftar Koreksi'!$I$5:$I$92,'Daftar Koreksi'!$D$5:$D$92,'0300'!A92,'Daftar Koreksi'!$G$5:$G$92,"Gedung dan Bangunan",'Daftar Koreksi'!$I$5:$I$92,"&lt;0")-SUMIFS('Daftar Koreksi'!$I$5:$I$92,'Daftar Koreksi'!$D$5:$D$92,'0300'!A92,'Daftar Koreksi'!$G$5:$G$92,"Gedung dan Bangunan",'Daftar Koreksi'!$I$5:$I$92,"&lt;0")-SUMIFS('Daftar Koreksi'!$I$5:$I$92,'Daftar Koreksi'!$D$5:$D$92,'0300'!A92,'Daftar Koreksi'!$G$5:$G$92,"Gedung dan Bangunan",'Daftar Koreksi'!$I$5:$I$92,"&lt;0")</f>
        <v>0</v>
      </c>
      <c r="G106" s="17">
        <f t="shared" si="4"/>
        <v>-1304405341</v>
      </c>
      <c r="H106" s="122"/>
    </row>
    <row r="107" spans="1:8" ht="21.95" customHeight="1">
      <c r="A107" s="14"/>
      <c r="B107" s="14"/>
      <c r="C107" s="16" t="s">
        <v>2089</v>
      </c>
      <c r="D107" s="17">
        <f>VLOOKUP(A92,'Neraca Unaudited SIMAK'!$A$2:$S$10004,15,FALSE)</f>
        <v>0</v>
      </c>
      <c r="E107" s="25">
        <f>SUMIFS('Daftar Koreksi'!$I$5:$I$92,'Daftar Koreksi'!$D$5:$D$92,'0300'!A92,'Daftar Koreksi'!$G$5:$G$92,"Jalan Irigasi Jaringan",'Daftar Koreksi'!$I$5:$I$92,"&gt;0")</f>
        <v>0</v>
      </c>
      <c r="F107" s="25">
        <f>SUMIFS('Daftar Koreksi'!$I$5:$I$92,'Daftar Koreksi'!$D$5:$D$92,'0300'!A92,'Daftar Koreksi'!$G$5:$G$92,"Jalan Irigasi Jaringan",'Daftar Koreksi'!$I$5:$I$92,"&lt;0")-SUMIFS('Daftar Koreksi'!$I$5:$I$92,'Daftar Koreksi'!$D$5:$D$92,'0300'!A92,'Daftar Koreksi'!$G$5:$G$92,"Jalan Irigasi Jaringan",'Daftar Koreksi'!$I$5:$I$92,"&lt;0")-SUMIFS('Daftar Koreksi'!$I$5:$I$92,'Daftar Koreksi'!$D$5:$D$92,'0300'!A92,'Daftar Koreksi'!$G$5:$G$92,"Jalan Irigasi Jaringan",'Daftar Koreksi'!$I$5:$I$92,"&lt;0")</f>
        <v>0</v>
      </c>
      <c r="G107" s="17">
        <f t="shared" si="4"/>
        <v>0</v>
      </c>
      <c r="H107" s="122"/>
    </row>
    <row r="108" spans="1:8" ht="21.95" customHeight="1">
      <c r="A108" s="14"/>
      <c r="B108" s="14"/>
      <c r="C108" s="16" t="s">
        <v>2090</v>
      </c>
      <c r="D108" s="17">
        <f>VLOOKUP(A92,'Neraca Unaudited SIMAK'!$A$2:$S$10004,16,FALSE)</f>
        <v>0</v>
      </c>
      <c r="E108" s="25">
        <f>SUMIFS('Daftar Koreksi'!$I$5:$I$92,'Daftar Koreksi'!$D$5:$D$92,'0300'!A92,'Daftar Koreksi'!$G$5:$G$92,"Aset Tetap Lainnya",'Daftar Koreksi'!$I$5:$I$92,"&gt;0")</f>
        <v>0</v>
      </c>
      <c r="F108" s="25">
        <f>SUMIFS('Daftar Koreksi'!$I$5:$I$92,'Daftar Koreksi'!$D$5:$D$92,'0300'!A92,'Daftar Koreksi'!$G$5:$G$92,"Aset Tetap Lainnya",'Daftar Koreksi'!$I$5:$I$92,"&lt;0")-SUMIFS('Daftar Koreksi'!$I$5:$I$92,'Daftar Koreksi'!$D$5:$D$92,'0300'!A92,'Daftar Koreksi'!$G$5:$G$92,"Aset Tetap Lainnya",'Daftar Koreksi'!$I$5:$I$92,"&lt;0")-SUMIFS('Daftar Koreksi'!$I$5:$I$92,'Daftar Koreksi'!$D$5:$D$92,'0300'!A92,'Daftar Koreksi'!$G$5:$G$92,"Aset Tetap Lainnya",'Daftar Koreksi'!$I$5:$I$92,"&lt;0")</f>
        <v>0</v>
      </c>
      <c r="G108" s="17">
        <f t="shared" si="4"/>
        <v>0</v>
      </c>
      <c r="H108" s="122"/>
    </row>
    <row r="109" spans="1:8" ht="21.95" customHeight="1">
      <c r="A109" s="14"/>
      <c r="B109" s="14"/>
      <c r="C109" s="16" t="s">
        <v>2020</v>
      </c>
      <c r="D109" s="17">
        <f>VLOOKUP(A92,'Neraca Unaudited SIMAK'!$A$2:$S$10004,17,FALSE)</f>
        <v>0</v>
      </c>
      <c r="E109" s="25">
        <f>SUMIFS('Daftar Koreksi'!$I$5:$I$92,'Daftar Koreksi'!$D$5:$D$92,'0300'!A92,'Daftar Koreksi'!$G$5:$G$92,"Aset Henti Guna",'Daftar Koreksi'!$I$5:$I$92,"&gt;0")</f>
        <v>0</v>
      </c>
      <c r="F109" s="25">
        <f>SUMIFS('Daftar Koreksi'!$I$5:$I$92,'Daftar Koreksi'!$D$5:$D$92,'0300'!A92,'Daftar Koreksi'!$G$5:$G$92,"Aset Henti Guna",'Daftar Koreksi'!$I$5:$I$92,"&lt;0")-SUMIFS('Daftar Koreksi'!$I$5:$I$92,'Daftar Koreksi'!$D$5:$D$92,'0300'!A92,'Daftar Koreksi'!$G$5:$G$92,"Aset Henti Guna",'Daftar Koreksi'!$I$5:$I$92,"&lt;0")-SUMIFS('Daftar Koreksi'!$I$5:$I$92,'Daftar Koreksi'!$D$5:$D$92,'0300'!A92,'Daftar Koreksi'!$G$5:$G$92,"Aset Henti Guna",'Daftar Koreksi'!$I$5:$I$92,"&lt;0")</f>
        <v>0</v>
      </c>
      <c r="G109" s="17">
        <f t="shared" si="4"/>
        <v>0</v>
      </c>
      <c r="H109" s="122"/>
    </row>
    <row r="110" spans="1:8" ht="21.95" customHeight="1">
      <c r="A110" s="14"/>
      <c r="B110" s="14"/>
      <c r="C110" s="18" t="s">
        <v>2094</v>
      </c>
      <c r="D110" s="19">
        <f>SUM(D105:D109)</f>
        <v>-3097763576</v>
      </c>
      <c r="E110" s="19">
        <f>SUM(E105:E109)</f>
        <v>0</v>
      </c>
      <c r="F110" s="19">
        <f>SUM(F105:F109)</f>
        <v>0</v>
      </c>
      <c r="G110" s="19">
        <f t="shared" si="4"/>
        <v>-3097763576</v>
      </c>
      <c r="H110" s="122"/>
    </row>
    <row r="111" spans="1:8" ht="21.95" customHeight="1">
      <c r="A111" s="14"/>
      <c r="B111" s="14"/>
      <c r="C111" s="18" t="s">
        <v>2095</v>
      </c>
      <c r="D111" s="19">
        <f>VLOOKUP(A92,'Neraca Unaudited SIMAK'!$A$2:$S$10004,18,FALSE)</f>
        <v>10977283654</v>
      </c>
      <c r="E111" s="19">
        <f>E110+E104</f>
        <v>4411622</v>
      </c>
      <c r="F111" s="19">
        <f>F110+F104</f>
        <v>0</v>
      </c>
      <c r="G111" s="19">
        <f t="shared" si="4"/>
        <v>10981695276</v>
      </c>
      <c r="H111" s="122"/>
    </row>
    <row r="112" spans="1:8" ht="21.95" customHeight="1">
      <c r="A112" s="14"/>
      <c r="B112" s="14"/>
      <c r="C112" s="16" t="s">
        <v>2091</v>
      </c>
      <c r="D112" s="17">
        <f>VLOOKUP(A92,'Neraca Unaudited SIMAK'!$A$2:$S$10004,19,FALSE)</f>
        <v>0</v>
      </c>
      <c r="E112" s="25"/>
      <c r="F112" s="25"/>
      <c r="G112" s="17">
        <f t="shared" si="4"/>
        <v>0</v>
      </c>
      <c r="H112" s="123"/>
    </row>
    <row r="114" spans="1:8" ht="19.5" customHeight="1">
      <c r="A114" s="11" t="str">
        <f>O6</f>
        <v>005010300097762000KD</v>
      </c>
      <c r="B114" s="11" t="str">
        <f>P6</f>
        <v>PN. Pati</v>
      </c>
      <c r="C114" s="12" t="str">
        <f>A114&amp;" "&amp;B114</f>
        <v>005010300097762000KD PN. Pati</v>
      </c>
      <c r="D114" s="13"/>
      <c r="E114" s="13"/>
      <c r="F114" s="13"/>
      <c r="G114" s="13"/>
      <c r="H114" s="11"/>
    </row>
    <row r="115" spans="1:8" ht="21.95" customHeight="1">
      <c r="A115" s="14"/>
      <c r="B115" s="14"/>
      <c r="C115" s="124" t="s">
        <v>1982</v>
      </c>
      <c r="D115" s="126" t="s">
        <v>1983</v>
      </c>
      <c r="E115" s="132" t="s">
        <v>1984</v>
      </c>
      <c r="F115" s="132"/>
      <c r="G115" s="126" t="s">
        <v>1987</v>
      </c>
      <c r="H115" s="130" t="s">
        <v>1175</v>
      </c>
    </row>
    <row r="116" spans="1:8" ht="21.95" customHeight="1">
      <c r="A116" s="14"/>
      <c r="B116" s="14"/>
      <c r="C116" s="125"/>
      <c r="D116" s="127"/>
      <c r="E116" s="26" t="s">
        <v>1985</v>
      </c>
      <c r="F116" s="26" t="s">
        <v>1986</v>
      </c>
      <c r="G116" s="127"/>
      <c r="H116" s="131"/>
    </row>
    <row r="117" spans="1:8" ht="21.95" customHeight="1">
      <c r="A117" s="14"/>
      <c r="B117" s="14"/>
      <c r="C117" s="16" t="s">
        <v>1165</v>
      </c>
      <c r="D117" s="17">
        <f>VLOOKUP(A114,'Neraca Unaudited SIMAK'!$A$2:$S$10004,3,FALSE)</f>
        <v>291500</v>
      </c>
      <c r="E117" s="25">
        <f>SUMIFS('Daftar Koreksi'!$H$5:$H$92,'Daftar Koreksi'!$D$5:$D$92,'0300'!A114,'Daftar Koreksi'!$G$5:$G$92,"Persediaan",'Daftar Koreksi'!$H$5:$H$92,"&gt;0")</f>
        <v>0</v>
      </c>
      <c r="F117" s="25">
        <f>SUMIFS('Daftar Koreksi'!$H$5:$H$92,'Daftar Koreksi'!$D$5:$D$92,'0300'!A114,'Daftar Koreksi'!$G$5:$G$92,"Persediaan",'Daftar Koreksi'!$H$5:$H$92,"&lt;0")-SUMIFS('Daftar Koreksi'!$H$5:$H$92,'Daftar Koreksi'!$D$5:$D$92,'0300'!A114,'Daftar Koreksi'!$G$5:$G$92,"Persediaan",'Daftar Koreksi'!$H$5:$H$92,"&lt;0")-SUMIFS('Daftar Koreksi'!$H$5:$H$92,'Daftar Koreksi'!$D$5:$D$92,'0300'!A114,'Daftar Koreksi'!$G$5:$G$92,"Persediaan",'Daftar Koreksi'!$H$5:$H$92,"&lt;0")</f>
        <v>0</v>
      </c>
      <c r="G117" s="17">
        <f>D117+E117-F117</f>
        <v>291500</v>
      </c>
      <c r="H117" s="121" t="str">
        <f>IF(ISNA(VLOOKUP(A114,'Mutasi Neraca'!$A$3:$S$914,19,FALSE)),"-",VLOOKUP(A114,'Mutasi Neraca'!$A$3:$S$914,19,FALSE))</f>
        <v>-</v>
      </c>
    </row>
    <row r="118" spans="1:8" ht="21.95" customHeight="1">
      <c r="A118" s="14"/>
      <c r="B118" s="14"/>
      <c r="C118" s="16" t="s">
        <v>1166</v>
      </c>
      <c r="D118" s="17">
        <f>VLOOKUP(A114,'Neraca Unaudited SIMAK'!$A$2:$S$10004,4,FALSE)</f>
        <v>9676042000</v>
      </c>
      <c r="E118" s="25">
        <f>SUMIFS('Daftar Koreksi'!$H$5:$H$92,'Daftar Koreksi'!$D$5:$D$92,'0300'!A114,'Daftar Koreksi'!$G$5:$G$92,"Tanah",'Daftar Koreksi'!$H$5:$H$92,"&gt;0")</f>
        <v>0</v>
      </c>
      <c r="F118" s="25">
        <f>SUMIFS('Daftar Koreksi'!$H$5:$H$92,'Daftar Koreksi'!$D$5:$D$92,'0300'!A114,'Daftar Koreksi'!$G$5:$G$92,"Tanah",'Daftar Koreksi'!$H$5:$H$92,"&lt;0")-SUMIFS('Daftar Koreksi'!$H$5:$H$92,'Daftar Koreksi'!$D$5:$D$92,'0300'!A114,'Daftar Koreksi'!$G$5:$G$92,"Tanah",'Daftar Koreksi'!$H$5:$H$92,"&lt;0")-SUMIFS('Daftar Koreksi'!$H$5:$H$92,'Daftar Koreksi'!$D$5:$D$92,'0300'!A114,'Daftar Koreksi'!$G$5:$G$92,"Tanah",'Daftar Koreksi'!$H$5:$H$92,"&lt;0")</f>
        <v>0</v>
      </c>
      <c r="G118" s="17">
        <f t="shared" ref="G118:G134" si="5">D118+E118-F118</f>
        <v>9676042000</v>
      </c>
      <c r="H118" s="122"/>
    </row>
    <row r="119" spans="1:8" ht="21.95" customHeight="1">
      <c r="A119" s="14"/>
      <c r="B119" s="14"/>
      <c r="C119" s="16" t="s">
        <v>1167</v>
      </c>
      <c r="D119" s="17">
        <f>VLOOKUP(A114,'Neraca Unaudited SIMAK'!$A$2:$S$10004,5,FALSE)</f>
        <v>1704237536</v>
      </c>
      <c r="E119" s="25">
        <f>SUMIFS('Daftar Koreksi'!$H$5:$H$92,'Daftar Koreksi'!$D$5:$D$92,'0300'!A114,'Daftar Koreksi'!$G$5:$G$92,"Peralatan dan mesin",'Daftar Koreksi'!$H$5:$H$92,"&gt;0")</f>
        <v>0</v>
      </c>
      <c r="F119" s="25">
        <f>SUMIFS('Daftar Koreksi'!$H$5:$H$92,'Daftar Koreksi'!$D$5:$D$92,'0300'!A114,'Daftar Koreksi'!$G$5:$G$92,"Peralatan dan mesin",'Daftar Koreksi'!$H$5:$H$92,"&lt;0")-SUMIFS('Daftar Koreksi'!$H$5:$H$92,'Daftar Koreksi'!$D$5:$D$92,'0300'!A114,'Daftar Koreksi'!$G$5:$G$92,"Peralatan dan mesin",'Daftar Koreksi'!$H$5:$H$92,"&lt;0")-SUMIFS('Daftar Koreksi'!$H$5:$H$92,'Daftar Koreksi'!$D$5:$D$92,'0300'!A114,'Daftar Koreksi'!$G$5:$G$92,"Peralatan dan mesin",'Daftar Koreksi'!$H$5:$H$92,"&lt;0")</f>
        <v>0</v>
      </c>
      <c r="G119" s="17">
        <f t="shared" si="5"/>
        <v>1704237536</v>
      </c>
      <c r="H119" s="122"/>
    </row>
    <row r="120" spans="1:8" ht="21.95" customHeight="1">
      <c r="A120" s="14"/>
      <c r="B120" s="14"/>
      <c r="C120" s="16" t="s">
        <v>1168</v>
      </c>
      <c r="D120" s="17">
        <f>VLOOKUP(A114,'Neraca Unaudited SIMAK'!$A$2:$S$10004,6,FALSE)</f>
        <v>5322216399</v>
      </c>
      <c r="E120" s="25">
        <f>SUMIFS('Daftar Koreksi'!$H$5:$H$92,'Daftar Koreksi'!$D$5:$D$92,'0300'!A114,'Daftar Koreksi'!$G$5:$G$92,"Gedung dan Bangunan",'Daftar Koreksi'!$H$5:$H$92,"&gt;0")</f>
        <v>0</v>
      </c>
      <c r="F120" s="25">
        <f>SUMIFS('Daftar Koreksi'!$H$5:$H$92,'Daftar Koreksi'!$D$5:$D$92,'0300'!A114,'Daftar Koreksi'!$G$5:$G$92,"Gedung dan Bangunan",'Daftar Koreksi'!$H$5:$H$92,"&lt;0")-SUMIFS('Daftar Koreksi'!$H$5:$H$92,'Daftar Koreksi'!$D$5:$D$92,'0300'!A114,'Daftar Koreksi'!$G$5:$G$92,"Gedung dan Bangunan",'Daftar Koreksi'!$H$5:$H$92,"&lt;0")-SUMIFS('Daftar Koreksi'!$H$5:$H$92,'Daftar Koreksi'!$D$5:$D$92,'0300'!A114,'Daftar Koreksi'!$G$5:$G$92,"Gedung dan Bangunan",'Daftar Koreksi'!$H$5:$H$92,"&lt;0")</f>
        <v>0</v>
      </c>
      <c r="G120" s="17">
        <f t="shared" si="5"/>
        <v>5322216399</v>
      </c>
      <c r="H120" s="122"/>
    </row>
    <row r="121" spans="1:8" ht="21.95" customHeight="1">
      <c r="A121" s="14"/>
      <c r="B121" s="14"/>
      <c r="C121" s="16" t="s">
        <v>1169</v>
      </c>
      <c r="D121" s="17">
        <f>VLOOKUP(A114,'Neraca Unaudited SIMAK'!$A$2:$S$10004,7,FALSE)</f>
        <v>205939900</v>
      </c>
      <c r="E121" s="25">
        <f>SUMIFS('Daftar Koreksi'!$H$5:$H$92,'Daftar Koreksi'!$D$5:$D$92,'0300'!A114,'Daftar Koreksi'!$G$5:$G$92,"Jalan Irigasi Jaringan",'Daftar Koreksi'!$H$5:$H$92,"&gt;0")</f>
        <v>0</v>
      </c>
      <c r="F121" s="25">
        <f>SUMIFS('Daftar Koreksi'!$H$5:$H$92,'Daftar Koreksi'!$D$5:$D$92,'0300'!A114,'Daftar Koreksi'!$G$5:$G$92,"Jalan Irigasi Jaringan",'Daftar Koreksi'!$H$5:$H$92,"&lt;0")-SUMIFS('Daftar Koreksi'!$H$5:$H$92,'Daftar Koreksi'!$D$5:$D$92,'0300'!A114,'Daftar Koreksi'!$G$5:$G$92,"Jalan Irigasi Jaringan",'Daftar Koreksi'!$H$5:$H$92,"&lt;0")-SUMIFS('Daftar Koreksi'!$H$5:$H$92,'Daftar Koreksi'!$D$5:$D$92,'0300'!A114,'Daftar Koreksi'!$G$5:$G$92,"Jalan Irigasi Jaringan",'Daftar Koreksi'!$H$5:$H$92,"&lt;0")</f>
        <v>0</v>
      </c>
      <c r="G121" s="17">
        <f t="shared" si="5"/>
        <v>205939900</v>
      </c>
      <c r="H121" s="122"/>
    </row>
    <row r="122" spans="1:8" ht="21.95" customHeight="1">
      <c r="A122" s="14"/>
      <c r="B122" s="14"/>
      <c r="C122" s="16" t="s">
        <v>1170</v>
      </c>
      <c r="D122" s="17">
        <f>VLOOKUP(A114,'Neraca Unaudited SIMAK'!$A$2:$S$10004,8,FALSE)</f>
        <v>169791742</v>
      </c>
      <c r="E122" s="25">
        <f>SUMIFS('Daftar Koreksi'!$H$5:$H$92,'Daftar Koreksi'!$D$5:$D$92,'0300'!A114,'Daftar Koreksi'!$G$5:$G$92,"Aset Tetap Lainnya",'Daftar Koreksi'!$H$5:$H$92,"&gt;0")</f>
        <v>0</v>
      </c>
      <c r="F122" s="25">
        <f>SUMIFS('Daftar Koreksi'!$H$5:$H$92,'Daftar Koreksi'!$D$5:$D$92,'0300'!A114,'Daftar Koreksi'!$G$5:$G$92,"Aset Tetap Lainnya",'Daftar Koreksi'!$H$5:$H$92,"&lt;0")-SUMIFS('Daftar Koreksi'!$H$5:$H$92,'Daftar Koreksi'!$D$5:$D$92,'0300'!A114,'Daftar Koreksi'!$G$5:$G$92,"Aset Tetap Lainnya",'Daftar Koreksi'!$H$5:$H$92,"&lt;0")-SUMIFS('Daftar Koreksi'!$H$5:$H$92,'Daftar Koreksi'!$D$5:$D$92,'0300'!A114,'Daftar Koreksi'!$G$5:$G$92,"Aset Tetap Lainnya",'Daftar Koreksi'!$H$5:$H$92,"&lt;0")</f>
        <v>0</v>
      </c>
      <c r="G122" s="17">
        <f t="shared" si="5"/>
        <v>169791742</v>
      </c>
      <c r="H122" s="122"/>
    </row>
    <row r="123" spans="1:8" ht="21.95" customHeight="1">
      <c r="A123" s="14"/>
      <c r="B123" s="14"/>
      <c r="C123" s="16" t="s">
        <v>1171</v>
      </c>
      <c r="D123" s="17">
        <f>VLOOKUP(A114,'Neraca Unaudited SIMAK'!$A$2:$S$10004,9,FALSE)</f>
        <v>0</v>
      </c>
      <c r="E123" s="25">
        <f>SUMIFS('Daftar Koreksi'!$H$5:$H$92,'Daftar Koreksi'!$D$5:$D$92,'0300'!A114,'Daftar Koreksi'!$G$5:$G$92,"Kontruksi Dalam Pengerjaan",'Daftar Koreksi'!$H$5:$H$92,"&gt;0")</f>
        <v>0</v>
      </c>
      <c r="F123" s="25">
        <f>SUMIFS('Daftar Koreksi'!$H$5:$H$92,'Daftar Koreksi'!$D$5:$D$92,'0300'!A114,'Daftar Koreksi'!$G$5:$G$92,"Kontruksi Dalam Pengerjaan",'Daftar Koreksi'!$H$5:$H$92,"&lt;0")-SUMIFS('Daftar Koreksi'!$H$5:$H$92,'Daftar Koreksi'!$D$5:$D$92,'0300'!A114,'Daftar Koreksi'!$G$5:$G$92,"Kontruksi Dalam Pengerjaan",'Daftar Koreksi'!$H$5:$H$92,"&lt;0")-SUMIFS('Daftar Koreksi'!$H$5:$H$92,'Daftar Koreksi'!$D$5:$D$92,'0300'!A114,'Daftar Koreksi'!$G$5:$G$92,"Kontruksi Dalam Pengerjaan",'Daftar Koreksi'!$H$5:$H$92,"&lt;0")</f>
        <v>0</v>
      </c>
      <c r="G123" s="17">
        <f t="shared" si="5"/>
        <v>0</v>
      </c>
      <c r="H123" s="122"/>
    </row>
    <row r="124" spans="1:8" ht="21.95" customHeight="1">
      <c r="A124" s="14"/>
      <c r="B124" s="14"/>
      <c r="C124" s="16" t="s">
        <v>1172</v>
      </c>
      <c r="D124" s="17">
        <f>VLOOKUP(A114,'Neraca Unaudited SIMAK'!$A$2:$S$10004,10,FALSE)</f>
        <v>0</v>
      </c>
      <c r="E124" s="25">
        <f>SUMIFS('Daftar Koreksi'!$H$5:$H$92,'Daftar Koreksi'!$D$5:$D$92,'0300'!A114,'Daftar Koreksi'!$G$5:$G$92,"Aset Tak Berwujud",'Daftar Koreksi'!$H$5:$H$92,"&gt;0")</f>
        <v>0</v>
      </c>
      <c r="F124" s="25">
        <f>SUMIFS('Daftar Koreksi'!$H$5:$H$92,'Daftar Koreksi'!$D$5:$D$92,'0300'!A114,'Daftar Koreksi'!$G$5:$G$92,"Aset Tak Berwujud",'Daftar Koreksi'!$H$5:$H$92,"&lt;0")-SUMIFS('Daftar Koreksi'!$H$5:$H$92,'Daftar Koreksi'!$D$5:$D$92,'0300'!A114,'Daftar Koreksi'!$G$5:$G$92,"Aset Tak Berwujud",'Daftar Koreksi'!$H$5:$H$92,"&lt;0")-SUMIFS('Daftar Koreksi'!$H$5:$H$92,'Daftar Koreksi'!$D$5:$D$92,'0300'!A114,'Daftar Koreksi'!$G$5:$G$92,"Aset Tak Berwujud",'Daftar Koreksi'!$H$5:$H$92,"&lt;0")</f>
        <v>0</v>
      </c>
      <c r="G124" s="17">
        <f t="shared" si="5"/>
        <v>0</v>
      </c>
      <c r="H124" s="122"/>
    </row>
    <row r="125" spans="1:8" ht="21.95" customHeight="1">
      <c r="A125" s="14"/>
      <c r="B125" s="14"/>
      <c r="C125" s="16" t="s">
        <v>1173</v>
      </c>
      <c r="D125" s="17">
        <f>VLOOKUP(A114,'Neraca Unaudited SIMAK'!$A$2:$S$10004,11,FALSE)</f>
        <v>49709514</v>
      </c>
      <c r="E125" s="25">
        <f>SUMIFS('Daftar Koreksi'!$H$5:$H$92,'Daftar Koreksi'!$D$5:$D$92,'0300'!A114,'Daftar Koreksi'!$G$5:$G$92,"Aset Henti Guna",'Daftar Koreksi'!$H$5:$H$92,"&gt;0")</f>
        <v>0</v>
      </c>
      <c r="F125" s="25">
        <f>SUMIFS('Daftar Koreksi'!$H$5:$H$92,'Daftar Koreksi'!$D$5:$D$92,'0300'!A114,'Daftar Koreksi'!$G$5:$G$92,"Aset Henti Guna",'Daftar Koreksi'!$H$5:$H$92,"&lt;0")-SUMIFS('Daftar Koreksi'!$H$5:$H$92,'Daftar Koreksi'!$D$5:$D$92,'0300'!A114,'Daftar Koreksi'!$G$5:$G$92,"Aset Henti Guna",'Daftar Koreksi'!$H$5:$H$92,"&lt;0")-SUMIFS('Daftar Koreksi'!$H$5:$H$92,'Daftar Koreksi'!$D$5:$D$92,'0300'!A114,'Daftar Koreksi'!$G$5:$G$92,"Aset Henti Guna",'Daftar Koreksi'!$H$5:$H$92,"&lt;0")</f>
        <v>0</v>
      </c>
      <c r="G125" s="17">
        <f t="shared" si="5"/>
        <v>49709514</v>
      </c>
      <c r="H125" s="122"/>
    </row>
    <row r="126" spans="1:8" ht="21.95" customHeight="1">
      <c r="A126" s="14"/>
      <c r="B126" s="14"/>
      <c r="C126" s="18" t="s">
        <v>2093</v>
      </c>
      <c r="D126" s="19">
        <f>VLOOKUP(A114,'Neraca Unaudited SIMAK'!$A$2:$S$10004,12,FALSE)</f>
        <v>17128228591</v>
      </c>
      <c r="E126" s="19">
        <f>SUM(E117:E125)</f>
        <v>0</v>
      </c>
      <c r="F126" s="19">
        <f>SUM(F117:F125)</f>
        <v>0</v>
      </c>
      <c r="G126" s="19">
        <f t="shared" si="5"/>
        <v>17128228591</v>
      </c>
      <c r="H126" s="122"/>
    </row>
    <row r="127" spans="1:8" ht="21.95" customHeight="1">
      <c r="A127" s="14"/>
      <c r="B127" s="14"/>
      <c r="C127" s="16" t="s">
        <v>2087</v>
      </c>
      <c r="D127" s="17">
        <f>VLOOKUP(A114,'Neraca Unaudited SIMAK'!$A$2:$S$10004,13,FALSE)</f>
        <v>-1352327799</v>
      </c>
      <c r="E127" s="25">
        <f>SUMIFS('Daftar Koreksi'!$I$5:$I$92,'Daftar Koreksi'!$D$5:$D$92,'0300'!A114,'Daftar Koreksi'!$G$5:$G$92,"Peralatan dan mesin",'Daftar Koreksi'!$I$5:$I$92,"&gt;0")</f>
        <v>0</v>
      </c>
      <c r="F127" s="25">
        <f>SUMIFS('Daftar Koreksi'!$I$5:$I$92,'Daftar Koreksi'!$D$5:$D$92,'0300'!A114,'Daftar Koreksi'!$G$5:$G$92,"Peralatan dan mesin",'Daftar Koreksi'!$I$5:$I$92,"&lt;0")-SUMIFS('Daftar Koreksi'!$I$5:$I$92,'Daftar Koreksi'!$D$5:$D$92,'0300'!A114,'Daftar Koreksi'!$G$5:$G$92,"Peralatan dan mesin",'Daftar Koreksi'!$I$5:$I$92,"&lt;0")-SUMIFS('Daftar Koreksi'!$I$5:$I$92,'Daftar Koreksi'!$D$5:$D$92,'0300'!A114,'Daftar Koreksi'!$G$5:$G$92,"Peralatan dan mesin",'Daftar Koreksi'!$I$5:$I$92,"&lt;0")</f>
        <v>0</v>
      </c>
      <c r="G127" s="17">
        <f t="shared" si="5"/>
        <v>-1352327799</v>
      </c>
      <c r="H127" s="122"/>
    </row>
    <row r="128" spans="1:8" ht="21.95" customHeight="1">
      <c r="A128" s="14"/>
      <c r="B128" s="14"/>
      <c r="C128" s="16" t="s">
        <v>2088</v>
      </c>
      <c r="D128" s="17">
        <f>VLOOKUP(A114,'Neraca Unaudited SIMAK'!$A$2:$S$10004,14,FALSE)</f>
        <v>-574408231</v>
      </c>
      <c r="E128" s="25">
        <f>SUMIFS('Daftar Koreksi'!$I$5:$I$92,'Daftar Koreksi'!$D$5:$D$92,'0300'!A114,'Daftar Koreksi'!$G$5:$G$92,"Gedung dan Bangunan",'Daftar Koreksi'!$I$5:$I$92,"&gt;0")</f>
        <v>0</v>
      </c>
      <c r="F128" s="25">
        <f>SUMIFS('Daftar Koreksi'!$I$5:$I$92,'Daftar Koreksi'!$D$5:$D$92,'0300'!A114,'Daftar Koreksi'!$G$5:$G$92,"Gedung dan Bangunan",'Daftar Koreksi'!$I$5:$I$92,"&lt;0")-SUMIFS('Daftar Koreksi'!$I$5:$I$92,'Daftar Koreksi'!$D$5:$D$92,'0300'!A114,'Daftar Koreksi'!$G$5:$G$92,"Gedung dan Bangunan",'Daftar Koreksi'!$I$5:$I$92,"&lt;0")-SUMIFS('Daftar Koreksi'!$I$5:$I$92,'Daftar Koreksi'!$D$5:$D$92,'0300'!A114,'Daftar Koreksi'!$G$5:$G$92,"Gedung dan Bangunan",'Daftar Koreksi'!$I$5:$I$92,"&lt;0")</f>
        <v>0</v>
      </c>
      <c r="G128" s="17">
        <f t="shared" si="5"/>
        <v>-574408231</v>
      </c>
      <c r="H128" s="122"/>
    </row>
    <row r="129" spans="1:8" ht="21.95" customHeight="1">
      <c r="A129" s="14"/>
      <c r="B129" s="14"/>
      <c r="C129" s="16" t="s">
        <v>2089</v>
      </c>
      <c r="D129" s="17">
        <f>VLOOKUP(A114,'Neraca Unaudited SIMAK'!$A$2:$S$10004,15,FALSE)</f>
        <v>-46578899</v>
      </c>
      <c r="E129" s="25">
        <f>SUMIFS('Daftar Koreksi'!$I$5:$I$92,'Daftar Koreksi'!$D$5:$D$92,'0300'!A114,'Daftar Koreksi'!$G$5:$G$92,"Jalan Irigasi Jaringan",'Daftar Koreksi'!$I$5:$I$92,"&gt;0")</f>
        <v>0</v>
      </c>
      <c r="F129" s="25">
        <f>SUMIFS('Daftar Koreksi'!$I$5:$I$92,'Daftar Koreksi'!$D$5:$D$92,'0300'!A114,'Daftar Koreksi'!$G$5:$G$92,"Jalan Irigasi Jaringan",'Daftar Koreksi'!$I$5:$I$92,"&lt;0")-SUMIFS('Daftar Koreksi'!$I$5:$I$92,'Daftar Koreksi'!$D$5:$D$92,'0300'!A114,'Daftar Koreksi'!$G$5:$G$92,"Jalan Irigasi Jaringan",'Daftar Koreksi'!$I$5:$I$92,"&lt;0")-SUMIFS('Daftar Koreksi'!$I$5:$I$92,'Daftar Koreksi'!$D$5:$D$92,'0300'!A114,'Daftar Koreksi'!$G$5:$G$92,"Jalan Irigasi Jaringan",'Daftar Koreksi'!$I$5:$I$92,"&lt;0")</f>
        <v>0</v>
      </c>
      <c r="G129" s="17">
        <f t="shared" si="5"/>
        <v>-46578899</v>
      </c>
      <c r="H129" s="122"/>
    </row>
    <row r="130" spans="1:8" ht="21.95" customHeight="1">
      <c r="A130" s="14"/>
      <c r="B130" s="14"/>
      <c r="C130" s="16" t="s">
        <v>2090</v>
      </c>
      <c r="D130" s="17">
        <f>VLOOKUP(A114,'Neraca Unaudited SIMAK'!$A$2:$S$10004,16,FALSE)</f>
        <v>0</v>
      </c>
      <c r="E130" s="25">
        <f>SUMIFS('Daftar Koreksi'!$I$5:$I$92,'Daftar Koreksi'!$D$5:$D$92,'0300'!A114,'Daftar Koreksi'!$G$5:$G$92,"Aset Tetap Lainnya",'Daftar Koreksi'!$I$5:$I$92,"&gt;0")</f>
        <v>0</v>
      </c>
      <c r="F130" s="25">
        <f>SUMIFS('Daftar Koreksi'!$I$5:$I$92,'Daftar Koreksi'!$D$5:$D$92,'0300'!A114,'Daftar Koreksi'!$G$5:$G$92,"Aset Tetap Lainnya",'Daftar Koreksi'!$I$5:$I$92,"&lt;0")-SUMIFS('Daftar Koreksi'!$I$5:$I$92,'Daftar Koreksi'!$D$5:$D$92,'0300'!A114,'Daftar Koreksi'!$G$5:$G$92,"Aset Tetap Lainnya",'Daftar Koreksi'!$I$5:$I$92,"&lt;0")-SUMIFS('Daftar Koreksi'!$I$5:$I$92,'Daftar Koreksi'!$D$5:$D$92,'0300'!A114,'Daftar Koreksi'!$G$5:$G$92,"Aset Tetap Lainnya",'Daftar Koreksi'!$I$5:$I$92,"&lt;0")</f>
        <v>0</v>
      </c>
      <c r="G130" s="17">
        <f t="shared" si="5"/>
        <v>0</v>
      </c>
      <c r="H130" s="122"/>
    </row>
    <row r="131" spans="1:8" ht="21.95" customHeight="1">
      <c r="A131" s="14"/>
      <c r="B131" s="14"/>
      <c r="C131" s="16" t="s">
        <v>2020</v>
      </c>
      <c r="D131" s="17">
        <f>VLOOKUP(A114,'Neraca Unaudited SIMAK'!$A$2:$S$10004,17,FALSE)</f>
        <v>-48422953</v>
      </c>
      <c r="E131" s="25">
        <f>SUMIFS('Daftar Koreksi'!$I$5:$I$92,'Daftar Koreksi'!$D$5:$D$92,'0300'!A114,'Daftar Koreksi'!$G$5:$G$92,"Aset Henti Guna",'Daftar Koreksi'!$I$5:$I$92,"&gt;0")</f>
        <v>0</v>
      </c>
      <c r="F131" s="25">
        <f>SUMIFS('Daftar Koreksi'!$I$5:$I$92,'Daftar Koreksi'!$D$5:$D$92,'0300'!A114,'Daftar Koreksi'!$G$5:$G$92,"Aset Henti Guna",'Daftar Koreksi'!$I$5:$I$92,"&lt;0")-SUMIFS('Daftar Koreksi'!$I$5:$I$92,'Daftar Koreksi'!$D$5:$D$92,'0300'!A114,'Daftar Koreksi'!$G$5:$G$92,"Aset Henti Guna",'Daftar Koreksi'!$I$5:$I$92,"&lt;0")-SUMIFS('Daftar Koreksi'!$I$5:$I$92,'Daftar Koreksi'!$D$5:$D$92,'0300'!A114,'Daftar Koreksi'!$G$5:$G$92,"Aset Henti Guna",'Daftar Koreksi'!$I$5:$I$92,"&lt;0")</f>
        <v>0</v>
      </c>
      <c r="G131" s="17">
        <f t="shared" si="5"/>
        <v>-48422953</v>
      </c>
      <c r="H131" s="122"/>
    </row>
    <row r="132" spans="1:8" ht="21.95" customHeight="1">
      <c r="A132" s="14"/>
      <c r="B132" s="14"/>
      <c r="C132" s="18" t="s">
        <v>2094</v>
      </c>
      <c r="D132" s="19">
        <f>SUM(D127:D131)</f>
        <v>-2021737882</v>
      </c>
      <c r="E132" s="19">
        <f>SUM(E127:E131)</f>
        <v>0</v>
      </c>
      <c r="F132" s="19">
        <f>SUM(F127:F131)</f>
        <v>0</v>
      </c>
      <c r="G132" s="19">
        <f t="shared" si="5"/>
        <v>-2021737882</v>
      </c>
      <c r="H132" s="122"/>
    </row>
    <row r="133" spans="1:8" ht="21.95" customHeight="1">
      <c r="A133" s="14"/>
      <c r="B133" s="14"/>
      <c r="C133" s="18" t="s">
        <v>2095</v>
      </c>
      <c r="D133" s="19">
        <f>VLOOKUP(A114,'Neraca Unaudited SIMAK'!$A$2:$S$10004,18,FALSE)</f>
        <v>15106490709</v>
      </c>
      <c r="E133" s="19">
        <f>E132+E126</f>
        <v>0</v>
      </c>
      <c r="F133" s="19">
        <f>F132+F126</f>
        <v>0</v>
      </c>
      <c r="G133" s="19">
        <f t="shared" si="5"/>
        <v>15106490709</v>
      </c>
      <c r="H133" s="122"/>
    </row>
    <row r="134" spans="1:8" ht="21.95" customHeight="1">
      <c r="A134" s="14"/>
      <c r="B134" s="14"/>
      <c r="C134" s="16" t="s">
        <v>2091</v>
      </c>
      <c r="D134" s="17">
        <f>VLOOKUP(A114,'Neraca Unaudited SIMAK'!$A$2:$S$10004,19,FALSE)</f>
        <v>0</v>
      </c>
      <c r="E134" s="25"/>
      <c r="F134" s="25"/>
      <c r="G134" s="17">
        <f t="shared" si="5"/>
        <v>0</v>
      </c>
      <c r="H134" s="123"/>
    </row>
    <row r="136" spans="1:8" ht="19.5" customHeight="1">
      <c r="A136" s="11" t="str">
        <f>O7</f>
        <v>005010300097776000KD</v>
      </c>
      <c r="B136" s="11" t="str">
        <f>P7</f>
        <v>PN. Brebes</v>
      </c>
      <c r="C136" s="12" t="str">
        <f>A136&amp;" "&amp;B136</f>
        <v>005010300097776000KD PN. Brebes</v>
      </c>
      <c r="D136" s="13"/>
      <c r="E136" s="13"/>
      <c r="F136" s="13"/>
      <c r="G136" s="13"/>
      <c r="H136" s="11"/>
    </row>
    <row r="137" spans="1:8" ht="21.95" customHeight="1">
      <c r="A137" s="14"/>
      <c r="B137" s="14"/>
      <c r="C137" s="124" t="s">
        <v>1982</v>
      </c>
      <c r="D137" s="126" t="s">
        <v>1983</v>
      </c>
      <c r="E137" s="132" t="s">
        <v>1984</v>
      </c>
      <c r="F137" s="132"/>
      <c r="G137" s="126" t="s">
        <v>1987</v>
      </c>
      <c r="H137" s="130" t="s">
        <v>1175</v>
      </c>
    </row>
    <row r="138" spans="1:8" ht="21.95" customHeight="1">
      <c r="A138" s="14"/>
      <c r="B138" s="14"/>
      <c r="C138" s="125"/>
      <c r="D138" s="127"/>
      <c r="E138" s="26" t="s">
        <v>1985</v>
      </c>
      <c r="F138" s="26" t="s">
        <v>1986</v>
      </c>
      <c r="G138" s="127"/>
      <c r="H138" s="131"/>
    </row>
    <row r="139" spans="1:8" ht="21.95" customHeight="1">
      <c r="A139" s="14"/>
      <c r="B139" s="14"/>
      <c r="C139" s="16" t="s">
        <v>1165</v>
      </c>
      <c r="D139" s="17">
        <f>VLOOKUP(A136,'Neraca Unaudited SIMAK'!$A$2:$S$10004,3,FALSE)</f>
        <v>4127025</v>
      </c>
      <c r="E139" s="25">
        <f>SUMIFS('Daftar Koreksi'!$H$5:$H$92,'Daftar Koreksi'!$D$5:$D$92,'0300'!A136,'Daftar Koreksi'!$G$5:$G$92,"Persediaan",'Daftar Koreksi'!$H$5:$H$92,"&gt;0")</f>
        <v>0</v>
      </c>
      <c r="F139" s="25">
        <f>SUMIFS('Daftar Koreksi'!$H$5:$H$92,'Daftar Koreksi'!$D$5:$D$92,'0300'!A136,'Daftar Koreksi'!$G$5:$G$92,"Persediaan",'Daftar Koreksi'!$H$5:$H$92,"&lt;0")-SUMIFS('Daftar Koreksi'!$H$5:$H$92,'Daftar Koreksi'!$D$5:$D$92,'0300'!A136,'Daftar Koreksi'!$G$5:$G$92,"Persediaan",'Daftar Koreksi'!$H$5:$H$92,"&lt;0")-SUMIFS('Daftar Koreksi'!$H$5:$H$92,'Daftar Koreksi'!$D$5:$D$92,'0300'!A136,'Daftar Koreksi'!$G$5:$G$92,"Persediaan",'Daftar Koreksi'!$H$5:$H$92,"&lt;0")</f>
        <v>0</v>
      </c>
      <c r="G139" s="17">
        <f>D139+E139-F139</f>
        <v>4127025</v>
      </c>
      <c r="H139" s="121" t="str">
        <f>IF(ISNA(VLOOKUP(A136,'Mutasi Neraca'!$A$3:$S$914,19,FALSE)),"-",VLOOKUP(A136,'Mutasi Neraca'!$A$3:$S$914,19,FALSE))</f>
        <v>TP. No 3</v>
      </c>
    </row>
    <row r="140" spans="1:8" ht="21.95" customHeight="1">
      <c r="A140" s="14"/>
      <c r="B140" s="14"/>
      <c r="C140" s="16" t="s">
        <v>1166</v>
      </c>
      <c r="D140" s="17">
        <f>VLOOKUP(A136,'Neraca Unaudited SIMAK'!$A$2:$S$10004,4,FALSE)</f>
        <v>6805650000</v>
      </c>
      <c r="E140" s="25">
        <f>SUMIFS('Daftar Koreksi'!$H$5:$H$92,'Daftar Koreksi'!$D$5:$D$92,'0300'!A136,'Daftar Koreksi'!$G$5:$G$92,"Tanah",'Daftar Koreksi'!$H$5:$H$92,"&gt;0")</f>
        <v>0</v>
      </c>
      <c r="F140" s="25">
        <f>SUMIFS('Daftar Koreksi'!$H$5:$H$92,'Daftar Koreksi'!$D$5:$D$92,'0300'!A136,'Daftar Koreksi'!$G$5:$G$92,"Tanah",'Daftar Koreksi'!$H$5:$H$92,"&lt;0")-SUMIFS('Daftar Koreksi'!$H$5:$H$92,'Daftar Koreksi'!$D$5:$D$92,'0300'!A136,'Daftar Koreksi'!$G$5:$G$92,"Tanah",'Daftar Koreksi'!$H$5:$H$92,"&lt;0")-SUMIFS('Daftar Koreksi'!$H$5:$H$92,'Daftar Koreksi'!$D$5:$D$92,'0300'!A136,'Daftar Koreksi'!$G$5:$G$92,"Tanah",'Daftar Koreksi'!$H$5:$H$92,"&lt;0")</f>
        <v>0</v>
      </c>
      <c r="G140" s="17">
        <f t="shared" ref="G140:G156" si="6">D140+E140-F140</f>
        <v>6805650000</v>
      </c>
      <c r="H140" s="122"/>
    </row>
    <row r="141" spans="1:8" ht="21.95" customHeight="1">
      <c r="A141" s="14"/>
      <c r="B141" s="14"/>
      <c r="C141" s="16" t="s">
        <v>1167</v>
      </c>
      <c r="D141" s="17">
        <f>VLOOKUP(A136,'Neraca Unaudited SIMAK'!$A$2:$S$10004,5,FALSE)</f>
        <v>2045103527</v>
      </c>
      <c r="E141" s="25">
        <f>SUMIFS('Daftar Koreksi'!$H$5:$H$92,'Daftar Koreksi'!$D$5:$D$92,'0300'!A136,'Daftar Koreksi'!$G$5:$G$92,"Peralatan dan mesin",'Daftar Koreksi'!$H$5:$H$92,"&gt;0")</f>
        <v>0</v>
      </c>
      <c r="F141" s="25">
        <f>SUMIFS('Daftar Koreksi'!$H$5:$H$92,'Daftar Koreksi'!$D$5:$D$92,'0300'!A136,'Daftar Koreksi'!$G$5:$G$92,"Peralatan dan mesin",'Daftar Koreksi'!$H$5:$H$92,"&lt;0")-SUMIFS('Daftar Koreksi'!$H$5:$H$92,'Daftar Koreksi'!$D$5:$D$92,'0300'!A136,'Daftar Koreksi'!$G$5:$G$92,"Peralatan dan mesin",'Daftar Koreksi'!$H$5:$H$92,"&lt;0")-SUMIFS('Daftar Koreksi'!$H$5:$H$92,'Daftar Koreksi'!$D$5:$D$92,'0300'!A136,'Daftar Koreksi'!$G$5:$G$92,"Peralatan dan mesin",'Daftar Koreksi'!$H$5:$H$92,"&lt;0")</f>
        <v>0</v>
      </c>
      <c r="G141" s="17">
        <f t="shared" si="6"/>
        <v>2045103527</v>
      </c>
      <c r="H141" s="122"/>
    </row>
    <row r="142" spans="1:8" ht="21.95" customHeight="1">
      <c r="A142" s="14"/>
      <c r="B142" s="14"/>
      <c r="C142" s="16" t="s">
        <v>1168</v>
      </c>
      <c r="D142" s="17">
        <f>VLOOKUP(A136,'Neraca Unaudited SIMAK'!$A$2:$S$10004,6,FALSE)</f>
        <v>5018430000</v>
      </c>
      <c r="E142" s="25">
        <f>SUMIFS('Daftar Koreksi'!$H$5:$H$92,'Daftar Koreksi'!$D$5:$D$92,'0300'!A136,'Daftar Koreksi'!$G$5:$G$92,"Gedung dan Bangunan",'Daftar Koreksi'!$H$5:$H$92,"&gt;0")</f>
        <v>0</v>
      </c>
      <c r="F142" s="25">
        <f>SUMIFS('Daftar Koreksi'!$H$5:$H$92,'Daftar Koreksi'!$D$5:$D$92,'0300'!A136,'Daftar Koreksi'!$G$5:$G$92,"Gedung dan Bangunan",'Daftar Koreksi'!$H$5:$H$92,"&lt;0")-SUMIFS('Daftar Koreksi'!$H$5:$H$92,'Daftar Koreksi'!$D$5:$D$92,'0300'!A136,'Daftar Koreksi'!$G$5:$G$92,"Gedung dan Bangunan",'Daftar Koreksi'!$H$5:$H$92,"&lt;0")-SUMIFS('Daftar Koreksi'!$H$5:$H$92,'Daftar Koreksi'!$D$5:$D$92,'0300'!A136,'Daftar Koreksi'!$G$5:$G$92,"Gedung dan Bangunan",'Daftar Koreksi'!$H$5:$H$92,"&lt;0")</f>
        <v>0</v>
      </c>
      <c r="G142" s="17">
        <f t="shared" si="6"/>
        <v>5018430000</v>
      </c>
      <c r="H142" s="122"/>
    </row>
    <row r="143" spans="1:8" ht="21.95" customHeight="1">
      <c r="A143" s="14"/>
      <c r="B143" s="14"/>
      <c r="C143" s="16" t="s">
        <v>1169</v>
      </c>
      <c r="D143" s="17">
        <f>VLOOKUP(A136,'Neraca Unaudited SIMAK'!$A$2:$S$10004,7,FALSE)</f>
        <v>86020000</v>
      </c>
      <c r="E143" s="25">
        <f>SUMIFS('Daftar Koreksi'!$H$5:$H$92,'Daftar Koreksi'!$D$5:$D$92,'0300'!A136,'Daftar Koreksi'!$G$5:$G$92,"Jalan Irigasi Jaringan",'Daftar Koreksi'!$H$5:$H$92,"&gt;0")</f>
        <v>0</v>
      </c>
      <c r="F143" s="25">
        <f>SUMIFS('Daftar Koreksi'!$H$5:$H$92,'Daftar Koreksi'!$D$5:$D$92,'0300'!A136,'Daftar Koreksi'!$G$5:$G$92,"Jalan Irigasi Jaringan",'Daftar Koreksi'!$H$5:$H$92,"&lt;0")-SUMIFS('Daftar Koreksi'!$H$5:$H$92,'Daftar Koreksi'!$D$5:$D$92,'0300'!A136,'Daftar Koreksi'!$G$5:$G$92,"Jalan Irigasi Jaringan",'Daftar Koreksi'!$H$5:$H$92,"&lt;0")-SUMIFS('Daftar Koreksi'!$H$5:$H$92,'Daftar Koreksi'!$D$5:$D$92,'0300'!A136,'Daftar Koreksi'!$G$5:$G$92,"Jalan Irigasi Jaringan",'Daftar Koreksi'!$H$5:$H$92,"&lt;0")</f>
        <v>0</v>
      </c>
      <c r="G143" s="17">
        <f t="shared" si="6"/>
        <v>86020000</v>
      </c>
      <c r="H143" s="122"/>
    </row>
    <row r="144" spans="1:8" ht="21.95" customHeight="1">
      <c r="A144" s="14"/>
      <c r="B144" s="14"/>
      <c r="C144" s="16" t="s">
        <v>1170</v>
      </c>
      <c r="D144" s="17">
        <f>VLOOKUP(A136,'Neraca Unaudited SIMAK'!$A$2:$S$10004,8,FALSE)</f>
        <v>37059339</v>
      </c>
      <c r="E144" s="25">
        <f>SUMIFS('Daftar Koreksi'!$H$5:$H$92,'Daftar Koreksi'!$D$5:$D$92,'0300'!A136,'Daftar Koreksi'!$G$5:$G$92,"Aset Tetap Lainnya",'Daftar Koreksi'!$H$5:$H$92,"&gt;0")</f>
        <v>4411622</v>
      </c>
      <c r="F144" s="25">
        <f>SUMIFS('Daftar Koreksi'!$H$5:$H$92,'Daftar Koreksi'!$D$5:$D$92,'0300'!A136,'Daftar Koreksi'!$G$5:$G$92,"Aset Tetap Lainnya",'Daftar Koreksi'!$H$5:$H$92,"&lt;0")-SUMIFS('Daftar Koreksi'!$H$5:$H$92,'Daftar Koreksi'!$D$5:$D$92,'0300'!A136,'Daftar Koreksi'!$G$5:$G$92,"Aset Tetap Lainnya",'Daftar Koreksi'!$H$5:$H$92,"&lt;0")-SUMIFS('Daftar Koreksi'!$H$5:$H$92,'Daftar Koreksi'!$D$5:$D$92,'0300'!A136,'Daftar Koreksi'!$G$5:$G$92,"Aset Tetap Lainnya",'Daftar Koreksi'!$H$5:$H$92,"&lt;0")</f>
        <v>0</v>
      </c>
      <c r="G144" s="17">
        <f t="shared" si="6"/>
        <v>41470961</v>
      </c>
      <c r="H144" s="122"/>
    </row>
    <row r="145" spans="1:8" ht="21.95" customHeight="1">
      <c r="A145" s="14"/>
      <c r="B145" s="14"/>
      <c r="C145" s="16" t="s">
        <v>1171</v>
      </c>
      <c r="D145" s="17">
        <f>VLOOKUP(A136,'Neraca Unaudited SIMAK'!$A$2:$S$10004,9,FALSE)</f>
        <v>0</v>
      </c>
      <c r="E145" s="25">
        <f>SUMIFS('Daftar Koreksi'!$H$5:$H$92,'Daftar Koreksi'!$D$5:$D$92,'0300'!A136,'Daftar Koreksi'!$G$5:$G$92,"Kontruksi Dalam Pengerjaan",'Daftar Koreksi'!$H$5:$H$92,"&gt;0")</f>
        <v>0</v>
      </c>
      <c r="F145" s="25">
        <f>SUMIFS('Daftar Koreksi'!$H$5:$H$92,'Daftar Koreksi'!$D$5:$D$92,'0300'!A136,'Daftar Koreksi'!$G$5:$G$92,"Kontruksi Dalam Pengerjaan",'Daftar Koreksi'!$H$5:$H$92,"&lt;0")-SUMIFS('Daftar Koreksi'!$H$5:$H$92,'Daftar Koreksi'!$D$5:$D$92,'0300'!A136,'Daftar Koreksi'!$G$5:$G$92,"Kontruksi Dalam Pengerjaan",'Daftar Koreksi'!$H$5:$H$92,"&lt;0")-SUMIFS('Daftar Koreksi'!$H$5:$H$92,'Daftar Koreksi'!$D$5:$D$92,'0300'!A136,'Daftar Koreksi'!$G$5:$G$92,"Kontruksi Dalam Pengerjaan",'Daftar Koreksi'!$H$5:$H$92,"&lt;0")</f>
        <v>0</v>
      </c>
      <c r="G145" s="17">
        <f t="shared" si="6"/>
        <v>0</v>
      </c>
      <c r="H145" s="122"/>
    </row>
    <row r="146" spans="1:8" ht="21.95" customHeight="1">
      <c r="A146" s="14"/>
      <c r="B146" s="14"/>
      <c r="C146" s="16" t="s">
        <v>1172</v>
      </c>
      <c r="D146" s="17">
        <f>VLOOKUP(A136,'Neraca Unaudited SIMAK'!$A$2:$S$10004,10,FALSE)</f>
        <v>0</v>
      </c>
      <c r="E146" s="25">
        <f>SUMIFS('Daftar Koreksi'!$H$5:$H$92,'Daftar Koreksi'!$D$5:$D$92,'0300'!A136,'Daftar Koreksi'!$G$5:$G$92,"Aset Tak Berwujud",'Daftar Koreksi'!$H$5:$H$92,"&gt;0")</f>
        <v>0</v>
      </c>
      <c r="F146" s="25">
        <f>SUMIFS('Daftar Koreksi'!$H$5:$H$92,'Daftar Koreksi'!$D$5:$D$92,'0300'!A136,'Daftar Koreksi'!$G$5:$G$92,"Aset Tak Berwujud",'Daftar Koreksi'!$H$5:$H$92,"&lt;0")-SUMIFS('Daftar Koreksi'!$H$5:$H$92,'Daftar Koreksi'!$D$5:$D$92,'0300'!A136,'Daftar Koreksi'!$G$5:$G$92,"Aset Tak Berwujud",'Daftar Koreksi'!$H$5:$H$92,"&lt;0")-SUMIFS('Daftar Koreksi'!$H$5:$H$92,'Daftar Koreksi'!$D$5:$D$92,'0300'!A136,'Daftar Koreksi'!$G$5:$G$92,"Aset Tak Berwujud",'Daftar Koreksi'!$H$5:$H$92,"&lt;0")</f>
        <v>0</v>
      </c>
      <c r="G146" s="17">
        <f t="shared" si="6"/>
        <v>0</v>
      </c>
      <c r="H146" s="122"/>
    </row>
    <row r="147" spans="1:8" ht="21.95" customHeight="1">
      <c r="A147" s="14"/>
      <c r="B147" s="14"/>
      <c r="C147" s="16" t="s">
        <v>1173</v>
      </c>
      <c r="D147" s="17">
        <f>VLOOKUP(A136,'Neraca Unaudited SIMAK'!$A$2:$S$10004,11,FALSE)</f>
        <v>0</v>
      </c>
      <c r="E147" s="25">
        <f>SUMIFS('Daftar Koreksi'!$H$5:$H$92,'Daftar Koreksi'!$D$5:$D$92,'0300'!A136,'Daftar Koreksi'!$G$5:$G$92,"Aset Henti Guna",'Daftar Koreksi'!$H$5:$H$92,"&gt;0")</f>
        <v>0</v>
      </c>
      <c r="F147" s="25">
        <f>SUMIFS('Daftar Koreksi'!$H$5:$H$92,'Daftar Koreksi'!$D$5:$D$92,'0300'!A136,'Daftar Koreksi'!$G$5:$G$92,"Aset Henti Guna",'Daftar Koreksi'!$H$5:$H$92,"&lt;0")-SUMIFS('Daftar Koreksi'!$H$5:$H$92,'Daftar Koreksi'!$D$5:$D$92,'0300'!A136,'Daftar Koreksi'!$G$5:$G$92,"Aset Henti Guna",'Daftar Koreksi'!$H$5:$H$92,"&lt;0")-SUMIFS('Daftar Koreksi'!$H$5:$H$92,'Daftar Koreksi'!$D$5:$D$92,'0300'!A136,'Daftar Koreksi'!$G$5:$G$92,"Aset Henti Guna",'Daftar Koreksi'!$H$5:$H$92,"&lt;0")</f>
        <v>0</v>
      </c>
      <c r="G147" s="17">
        <f t="shared" si="6"/>
        <v>0</v>
      </c>
      <c r="H147" s="122"/>
    </row>
    <row r="148" spans="1:8" ht="21.95" customHeight="1">
      <c r="A148" s="14"/>
      <c r="B148" s="14"/>
      <c r="C148" s="18" t="s">
        <v>2093</v>
      </c>
      <c r="D148" s="19">
        <f>VLOOKUP(A136,'Neraca Unaudited SIMAK'!$A$2:$S$10004,12,FALSE)</f>
        <v>13996389891</v>
      </c>
      <c r="E148" s="19">
        <f>SUM(E139:E147)</f>
        <v>4411622</v>
      </c>
      <c r="F148" s="19">
        <f>SUM(F139:F147)</f>
        <v>0</v>
      </c>
      <c r="G148" s="19">
        <f t="shared" si="6"/>
        <v>14000801513</v>
      </c>
      <c r="H148" s="122"/>
    </row>
    <row r="149" spans="1:8" ht="21.95" customHeight="1">
      <c r="A149" s="14"/>
      <c r="B149" s="14"/>
      <c r="C149" s="16" t="s">
        <v>2087</v>
      </c>
      <c r="D149" s="17">
        <f>VLOOKUP(A136,'Neraca Unaudited SIMAK'!$A$2:$S$10004,13,FALSE)</f>
        <v>-1707644977</v>
      </c>
      <c r="E149" s="25">
        <f>SUMIFS('Daftar Koreksi'!$I$5:$I$92,'Daftar Koreksi'!$D$5:$D$92,'0300'!A136,'Daftar Koreksi'!$G$5:$G$92,"Peralatan dan mesin",'Daftar Koreksi'!$I$5:$I$92,"&gt;0")</f>
        <v>0</v>
      </c>
      <c r="F149" s="25">
        <f>SUMIFS('Daftar Koreksi'!$I$5:$I$92,'Daftar Koreksi'!$D$5:$D$92,'0300'!A136,'Daftar Koreksi'!$G$5:$G$92,"Peralatan dan mesin",'Daftar Koreksi'!$I$5:$I$92,"&lt;0")-SUMIFS('Daftar Koreksi'!$I$5:$I$92,'Daftar Koreksi'!$D$5:$D$92,'0300'!A136,'Daftar Koreksi'!$G$5:$G$92,"Peralatan dan mesin",'Daftar Koreksi'!$I$5:$I$92,"&lt;0")-SUMIFS('Daftar Koreksi'!$I$5:$I$92,'Daftar Koreksi'!$D$5:$D$92,'0300'!A136,'Daftar Koreksi'!$G$5:$G$92,"Peralatan dan mesin",'Daftar Koreksi'!$I$5:$I$92,"&lt;0")</f>
        <v>0</v>
      </c>
      <c r="G149" s="17">
        <f t="shared" si="6"/>
        <v>-1707644977</v>
      </c>
      <c r="H149" s="122"/>
    </row>
    <row r="150" spans="1:8" ht="21.95" customHeight="1">
      <c r="A150" s="14"/>
      <c r="B150" s="14"/>
      <c r="C150" s="16" t="s">
        <v>2088</v>
      </c>
      <c r="D150" s="17">
        <f>VLOOKUP(A136,'Neraca Unaudited SIMAK'!$A$2:$S$10004,14,FALSE)</f>
        <v>-1121511003</v>
      </c>
      <c r="E150" s="25">
        <f>SUMIFS('Daftar Koreksi'!$I$5:$I$92,'Daftar Koreksi'!$D$5:$D$92,'0300'!A136,'Daftar Koreksi'!$G$5:$G$92,"Gedung dan Bangunan",'Daftar Koreksi'!$I$5:$I$92,"&gt;0")</f>
        <v>0</v>
      </c>
      <c r="F150" s="25">
        <f>SUMIFS('Daftar Koreksi'!$I$5:$I$92,'Daftar Koreksi'!$D$5:$D$92,'0300'!A136,'Daftar Koreksi'!$G$5:$G$92,"Gedung dan Bangunan",'Daftar Koreksi'!$I$5:$I$92,"&lt;0")-SUMIFS('Daftar Koreksi'!$I$5:$I$92,'Daftar Koreksi'!$D$5:$D$92,'0300'!A136,'Daftar Koreksi'!$G$5:$G$92,"Gedung dan Bangunan",'Daftar Koreksi'!$I$5:$I$92,"&lt;0")-SUMIFS('Daftar Koreksi'!$I$5:$I$92,'Daftar Koreksi'!$D$5:$D$92,'0300'!A136,'Daftar Koreksi'!$G$5:$G$92,"Gedung dan Bangunan",'Daftar Koreksi'!$I$5:$I$92,"&lt;0")</f>
        <v>0</v>
      </c>
      <c r="G150" s="17">
        <f t="shared" si="6"/>
        <v>-1121511003</v>
      </c>
      <c r="H150" s="122"/>
    </row>
    <row r="151" spans="1:8" ht="21.95" customHeight="1">
      <c r="A151" s="14"/>
      <c r="B151" s="14"/>
      <c r="C151" s="16" t="s">
        <v>2089</v>
      </c>
      <c r="D151" s="17">
        <f>VLOOKUP(A136,'Neraca Unaudited SIMAK'!$A$2:$S$10004,15,FALSE)</f>
        <v>-84770000</v>
      </c>
      <c r="E151" s="25">
        <f>SUMIFS('Daftar Koreksi'!$I$5:$I$92,'Daftar Koreksi'!$D$5:$D$92,'0300'!A136,'Daftar Koreksi'!$G$5:$G$92,"Jalan Irigasi Jaringan",'Daftar Koreksi'!$I$5:$I$92,"&gt;0")</f>
        <v>0</v>
      </c>
      <c r="F151" s="25">
        <f>SUMIFS('Daftar Koreksi'!$I$5:$I$92,'Daftar Koreksi'!$D$5:$D$92,'0300'!A136,'Daftar Koreksi'!$G$5:$G$92,"Jalan Irigasi Jaringan",'Daftar Koreksi'!$I$5:$I$92,"&lt;0")-SUMIFS('Daftar Koreksi'!$I$5:$I$92,'Daftar Koreksi'!$D$5:$D$92,'0300'!A136,'Daftar Koreksi'!$G$5:$G$92,"Jalan Irigasi Jaringan",'Daftar Koreksi'!$I$5:$I$92,"&lt;0")-SUMIFS('Daftar Koreksi'!$I$5:$I$92,'Daftar Koreksi'!$D$5:$D$92,'0300'!A136,'Daftar Koreksi'!$G$5:$G$92,"Jalan Irigasi Jaringan",'Daftar Koreksi'!$I$5:$I$92,"&lt;0")</f>
        <v>0</v>
      </c>
      <c r="G151" s="17">
        <f t="shared" si="6"/>
        <v>-84770000</v>
      </c>
      <c r="H151" s="122"/>
    </row>
    <row r="152" spans="1:8" ht="21.95" customHeight="1">
      <c r="A152" s="14"/>
      <c r="B152" s="14"/>
      <c r="C152" s="16" t="s">
        <v>2090</v>
      </c>
      <c r="D152" s="17">
        <f>VLOOKUP(A136,'Neraca Unaudited SIMAK'!$A$2:$S$10004,16,FALSE)</f>
        <v>0</v>
      </c>
      <c r="E152" s="25">
        <f>SUMIFS('Daftar Koreksi'!$I$5:$I$92,'Daftar Koreksi'!$D$5:$D$92,'0300'!A136,'Daftar Koreksi'!$G$5:$G$92,"Aset Tetap Lainnya",'Daftar Koreksi'!$I$5:$I$92,"&gt;0")</f>
        <v>0</v>
      </c>
      <c r="F152" s="25">
        <f>SUMIFS('Daftar Koreksi'!$I$5:$I$92,'Daftar Koreksi'!$D$5:$D$92,'0300'!A136,'Daftar Koreksi'!$G$5:$G$92,"Aset Tetap Lainnya",'Daftar Koreksi'!$I$5:$I$92,"&lt;0")-SUMIFS('Daftar Koreksi'!$I$5:$I$92,'Daftar Koreksi'!$D$5:$D$92,'0300'!A136,'Daftar Koreksi'!$G$5:$G$92,"Aset Tetap Lainnya",'Daftar Koreksi'!$I$5:$I$92,"&lt;0")-SUMIFS('Daftar Koreksi'!$I$5:$I$92,'Daftar Koreksi'!$D$5:$D$92,'0300'!A136,'Daftar Koreksi'!$G$5:$G$92,"Aset Tetap Lainnya",'Daftar Koreksi'!$I$5:$I$92,"&lt;0")</f>
        <v>0</v>
      </c>
      <c r="G152" s="17">
        <f t="shared" si="6"/>
        <v>0</v>
      </c>
      <c r="H152" s="122"/>
    </row>
    <row r="153" spans="1:8" ht="21.95" customHeight="1">
      <c r="A153" s="14"/>
      <c r="B153" s="14"/>
      <c r="C153" s="16" t="s">
        <v>2020</v>
      </c>
      <c r="D153" s="17">
        <f>VLOOKUP(A136,'Neraca Unaudited SIMAK'!$A$2:$S$10004,17,FALSE)</f>
        <v>0</v>
      </c>
      <c r="E153" s="25">
        <f>SUMIFS('Daftar Koreksi'!$I$5:$I$92,'Daftar Koreksi'!$D$5:$D$92,'0300'!A136,'Daftar Koreksi'!$G$5:$G$92,"Aset Henti Guna",'Daftar Koreksi'!$I$5:$I$92,"&gt;0")</f>
        <v>0</v>
      </c>
      <c r="F153" s="25">
        <f>SUMIFS('Daftar Koreksi'!$I$5:$I$92,'Daftar Koreksi'!$D$5:$D$92,'0300'!A136,'Daftar Koreksi'!$G$5:$G$92,"Aset Henti Guna",'Daftar Koreksi'!$I$5:$I$92,"&lt;0")-SUMIFS('Daftar Koreksi'!$I$5:$I$92,'Daftar Koreksi'!$D$5:$D$92,'0300'!A136,'Daftar Koreksi'!$G$5:$G$92,"Aset Henti Guna",'Daftar Koreksi'!$I$5:$I$92,"&lt;0")-SUMIFS('Daftar Koreksi'!$I$5:$I$92,'Daftar Koreksi'!$D$5:$D$92,'0300'!A136,'Daftar Koreksi'!$G$5:$G$92,"Aset Henti Guna",'Daftar Koreksi'!$I$5:$I$92,"&lt;0")</f>
        <v>0</v>
      </c>
      <c r="G153" s="17">
        <f t="shared" si="6"/>
        <v>0</v>
      </c>
      <c r="H153" s="122"/>
    </row>
    <row r="154" spans="1:8" ht="21.95" customHeight="1">
      <c r="A154" s="14"/>
      <c r="B154" s="14"/>
      <c r="C154" s="18" t="s">
        <v>2094</v>
      </c>
      <c r="D154" s="19">
        <f>SUM(D149:D153)</f>
        <v>-2913925980</v>
      </c>
      <c r="E154" s="19">
        <f>SUM(E149:E153)</f>
        <v>0</v>
      </c>
      <c r="F154" s="19">
        <f>SUM(F149:F153)</f>
        <v>0</v>
      </c>
      <c r="G154" s="19">
        <f t="shared" si="6"/>
        <v>-2913925980</v>
      </c>
      <c r="H154" s="122"/>
    </row>
    <row r="155" spans="1:8" ht="21.95" customHeight="1">
      <c r="A155" s="14"/>
      <c r="B155" s="14"/>
      <c r="C155" s="18" t="s">
        <v>2095</v>
      </c>
      <c r="D155" s="19">
        <f>VLOOKUP(A136,'Neraca Unaudited SIMAK'!$A$2:$S$10004,18,FALSE)</f>
        <v>11082463911</v>
      </c>
      <c r="E155" s="19">
        <f>E154+E148</f>
        <v>4411622</v>
      </c>
      <c r="F155" s="19">
        <f>F154+F148</f>
        <v>0</v>
      </c>
      <c r="G155" s="19">
        <f t="shared" si="6"/>
        <v>11086875533</v>
      </c>
      <c r="H155" s="122"/>
    </row>
    <row r="156" spans="1:8" ht="21.95" customHeight="1">
      <c r="A156" s="14"/>
      <c r="B156" s="14"/>
      <c r="C156" s="16" t="s">
        <v>2091</v>
      </c>
      <c r="D156" s="17">
        <f>VLOOKUP(A136,'Neraca Unaudited SIMAK'!$A$2:$S$10004,19,FALSE)</f>
        <v>0</v>
      </c>
      <c r="E156" s="25"/>
      <c r="F156" s="25"/>
      <c r="G156" s="17">
        <f t="shared" si="6"/>
        <v>0</v>
      </c>
      <c r="H156" s="123"/>
    </row>
    <row r="158" spans="1:8" ht="19.5" customHeight="1">
      <c r="A158" s="11" t="str">
        <f>O8</f>
        <v>005010300097780000KD</v>
      </c>
      <c r="B158" s="11" t="str">
        <f>P8</f>
        <v>PN. Pemalang</v>
      </c>
      <c r="C158" s="12" t="str">
        <f>A158&amp;" "&amp;B158</f>
        <v>005010300097780000KD PN. Pemalang</v>
      </c>
      <c r="D158" s="13"/>
      <c r="E158" s="13"/>
      <c r="F158" s="13"/>
      <c r="G158" s="13"/>
      <c r="H158" s="11"/>
    </row>
    <row r="159" spans="1:8" ht="21.95" customHeight="1">
      <c r="A159" s="14"/>
      <c r="B159" s="14"/>
      <c r="C159" s="124" t="s">
        <v>1982</v>
      </c>
      <c r="D159" s="126" t="s">
        <v>1983</v>
      </c>
      <c r="E159" s="132" t="s">
        <v>1984</v>
      </c>
      <c r="F159" s="132"/>
      <c r="G159" s="126" t="s">
        <v>1987</v>
      </c>
      <c r="H159" s="130" t="s">
        <v>1175</v>
      </c>
    </row>
    <row r="160" spans="1:8" ht="21.95" customHeight="1">
      <c r="A160" s="14"/>
      <c r="B160" s="14"/>
      <c r="C160" s="125"/>
      <c r="D160" s="127"/>
      <c r="E160" s="26" t="s">
        <v>1985</v>
      </c>
      <c r="F160" s="26" t="s">
        <v>1986</v>
      </c>
      <c r="G160" s="127"/>
      <c r="H160" s="131"/>
    </row>
    <row r="161" spans="1:8" ht="21.95" customHeight="1">
      <c r="A161" s="14"/>
      <c r="B161" s="14"/>
      <c r="C161" s="16" t="s">
        <v>1165</v>
      </c>
      <c r="D161" s="17">
        <f>VLOOKUP(A158,'Neraca Unaudited SIMAK'!$A$2:$S$10004,3,FALSE)</f>
        <v>1084050</v>
      </c>
      <c r="E161" s="25">
        <f>SUMIFS('Daftar Koreksi'!$H$5:$H$92,'Daftar Koreksi'!$D$5:$D$92,'0300'!A158,'Daftar Koreksi'!$G$5:$G$92,"Persediaan",'Daftar Koreksi'!$H$5:$H$92,"&gt;0")</f>
        <v>0</v>
      </c>
      <c r="F161" s="25">
        <f>SUMIFS('Daftar Koreksi'!$H$5:$H$92,'Daftar Koreksi'!$D$5:$D$92,'0300'!A158,'Daftar Koreksi'!$G$5:$G$92,"Persediaan",'Daftar Koreksi'!$H$5:$H$92,"&lt;0")-SUMIFS('Daftar Koreksi'!$H$5:$H$92,'Daftar Koreksi'!$D$5:$D$92,'0300'!A158,'Daftar Koreksi'!$G$5:$G$92,"Persediaan",'Daftar Koreksi'!$H$5:$H$92,"&lt;0")-SUMIFS('Daftar Koreksi'!$H$5:$H$92,'Daftar Koreksi'!$D$5:$D$92,'0300'!A158,'Daftar Koreksi'!$G$5:$G$92,"Persediaan",'Daftar Koreksi'!$H$5:$H$92,"&lt;0")</f>
        <v>0</v>
      </c>
      <c r="G161" s="17">
        <f>D161+E161-F161</f>
        <v>1084050</v>
      </c>
      <c r="H161" s="121" t="str">
        <f>IF(ISNA(VLOOKUP(A158,'Mutasi Neraca'!$A$3:$S$914,19,FALSE)),"-",VLOOKUP(A158,'Mutasi Neraca'!$A$3:$S$914,19,FALSE))</f>
        <v>-</v>
      </c>
    </row>
    <row r="162" spans="1:8" ht="21.95" customHeight="1">
      <c r="A162" s="14"/>
      <c r="B162" s="14"/>
      <c r="C162" s="16" t="s">
        <v>1166</v>
      </c>
      <c r="D162" s="17">
        <f>VLOOKUP(A158,'Neraca Unaudited SIMAK'!$A$2:$S$10004,4,FALSE)</f>
        <v>7733546000</v>
      </c>
      <c r="E162" s="25">
        <f>SUMIFS('Daftar Koreksi'!$H$5:$H$92,'Daftar Koreksi'!$D$5:$D$92,'0300'!A158,'Daftar Koreksi'!$G$5:$G$92,"Tanah",'Daftar Koreksi'!$H$5:$H$92,"&gt;0")</f>
        <v>0</v>
      </c>
      <c r="F162" s="25">
        <f>SUMIFS('Daftar Koreksi'!$H$5:$H$92,'Daftar Koreksi'!$D$5:$D$92,'0300'!A158,'Daftar Koreksi'!$G$5:$G$92,"Tanah",'Daftar Koreksi'!$H$5:$H$92,"&lt;0")-SUMIFS('Daftar Koreksi'!$H$5:$H$92,'Daftar Koreksi'!$D$5:$D$92,'0300'!A158,'Daftar Koreksi'!$G$5:$G$92,"Tanah",'Daftar Koreksi'!$H$5:$H$92,"&lt;0")-SUMIFS('Daftar Koreksi'!$H$5:$H$92,'Daftar Koreksi'!$D$5:$D$92,'0300'!A158,'Daftar Koreksi'!$G$5:$G$92,"Tanah",'Daftar Koreksi'!$H$5:$H$92,"&lt;0")</f>
        <v>0</v>
      </c>
      <c r="G162" s="17">
        <f t="shared" ref="G162:G178" si="7">D162+E162-F162</f>
        <v>7733546000</v>
      </c>
      <c r="H162" s="122"/>
    </row>
    <row r="163" spans="1:8" ht="21.95" customHeight="1">
      <c r="A163" s="14"/>
      <c r="B163" s="14"/>
      <c r="C163" s="16" t="s">
        <v>1167</v>
      </c>
      <c r="D163" s="17">
        <f>VLOOKUP(A158,'Neraca Unaudited SIMAK'!$A$2:$S$10004,5,FALSE)</f>
        <v>1073832513</v>
      </c>
      <c r="E163" s="25">
        <f>SUMIFS('Daftar Koreksi'!$H$5:$H$92,'Daftar Koreksi'!$D$5:$D$92,'0300'!A158,'Daftar Koreksi'!$G$5:$G$92,"Peralatan dan mesin",'Daftar Koreksi'!$H$5:$H$92,"&gt;0")</f>
        <v>0</v>
      </c>
      <c r="F163" s="25">
        <f>SUMIFS('Daftar Koreksi'!$H$5:$H$92,'Daftar Koreksi'!$D$5:$D$92,'0300'!A158,'Daftar Koreksi'!$G$5:$G$92,"Peralatan dan mesin",'Daftar Koreksi'!$H$5:$H$92,"&lt;0")-SUMIFS('Daftar Koreksi'!$H$5:$H$92,'Daftar Koreksi'!$D$5:$D$92,'0300'!A158,'Daftar Koreksi'!$G$5:$G$92,"Peralatan dan mesin",'Daftar Koreksi'!$H$5:$H$92,"&lt;0")-SUMIFS('Daftar Koreksi'!$H$5:$H$92,'Daftar Koreksi'!$D$5:$D$92,'0300'!A158,'Daftar Koreksi'!$G$5:$G$92,"Peralatan dan mesin",'Daftar Koreksi'!$H$5:$H$92,"&lt;0")</f>
        <v>0</v>
      </c>
      <c r="G163" s="17">
        <f t="shared" si="7"/>
        <v>1073832513</v>
      </c>
      <c r="H163" s="122"/>
    </row>
    <row r="164" spans="1:8" ht="21.95" customHeight="1">
      <c r="A164" s="14"/>
      <c r="B164" s="14"/>
      <c r="C164" s="16" t="s">
        <v>1168</v>
      </c>
      <c r="D164" s="17">
        <f>VLOOKUP(A158,'Neraca Unaudited SIMAK'!$A$2:$S$10004,6,FALSE)</f>
        <v>2211739000</v>
      </c>
      <c r="E164" s="25">
        <f>SUMIFS('Daftar Koreksi'!$H$5:$H$92,'Daftar Koreksi'!$D$5:$D$92,'0300'!A158,'Daftar Koreksi'!$G$5:$G$92,"Gedung dan Bangunan",'Daftar Koreksi'!$H$5:$H$92,"&gt;0")</f>
        <v>0</v>
      </c>
      <c r="F164" s="25">
        <f>SUMIFS('Daftar Koreksi'!$H$5:$H$92,'Daftar Koreksi'!$D$5:$D$92,'0300'!A158,'Daftar Koreksi'!$G$5:$G$92,"Gedung dan Bangunan",'Daftar Koreksi'!$H$5:$H$92,"&lt;0")-SUMIFS('Daftar Koreksi'!$H$5:$H$92,'Daftar Koreksi'!$D$5:$D$92,'0300'!A158,'Daftar Koreksi'!$G$5:$G$92,"Gedung dan Bangunan",'Daftar Koreksi'!$H$5:$H$92,"&lt;0")-SUMIFS('Daftar Koreksi'!$H$5:$H$92,'Daftar Koreksi'!$D$5:$D$92,'0300'!A158,'Daftar Koreksi'!$G$5:$G$92,"Gedung dan Bangunan",'Daftar Koreksi'!$H$5:$H$92,"&lt;0")</f>
        <v>0</v>
      </c>
      <c r="G164" s="17">
        <f t="shared" si="7"/>
        <v>2211739000</v>
      </c>
      <c r="H164" s="122"/>
    </row>
    <row r="165" spans="1:8" ht="21.95" customHeight="1">
      <c r="A165" s="14"/>
      <c r="B165" s="14"/>
      <c r="C165" s="16" t="s">
        <v>1169</v>
      </c>
      <c r="D165" s="17">
        <f>VLOOKUP(A158,'Neraca Unaudited SIMAK'!$A$2:$S$10004,7,FALSE)</f>
        <v>58164000</v>
      </c>
      <c r="E165" s="25">
        <f>SUMIFS('Daftar Koreksi'!$H$5:$H$92,'Daftar Koreksi'!$D$5:$D$92,'0300'!A158,'Daftar Koreksi'!$G$5:$G$92,"Jalan Irigasi Jaringan",'Daftar Koreksi'!$H$5:$H$92,"&gt;0")</f>
        <v>0</v>
      </c>
      <c r="F165" s="25">
        <f>SUMIFS('Daftar Koreksi'!$H$5:$H$92,'Daftar Koreksi'!$D$5:$D$92,'0300'!A158,'Daftar Koreksi'!$G$5:$G$92,"Jalan Irigasi Jaringan",'Daftar Koreksi'!$H$5:$H$92,"&lt;0")-SUMIFS('Daftar Koreksi'!$H$5:$H$92,'Daftar Koreksi'!$D$5:$D$92,'0300'!A158,'Daftar Koreksi'!$G$5:$G$92,"Jalan Irigasi Jaringan",'Daftar Koreksi'!$H$5:$H$92,"&lt;0")-SUMIFS('Daftar Koreksi'!$H$5:$H$92,'Daftar Koreksi'!$D$5:$D$92,'0300'!A158,'Daftar Koreksi'!$G$5:$G$92,"Jalan Irigasi Jaringan",'Daftar Koreksi'!$H$5:$H$92,"&lt;0")</f>
        <v>0</v>
      </c>
      <c r="G165" s="17">
        <f t="shared" si="7"/>
        <v>58164000</v>
      </c>
      <c r="H165" s="122"/>
    </row>
    <row r="166" spans="1:8" ht="21.95" customHeight="1">
      <c r="A166" s="14"/>
      <c r="B166" s="14"/>
      <c r="C166" s="16" t="s">
        <v>1170</v>
      </c>
      <c r="D166" s="17">
        <f>VLOOKUP(A158,'Neraca Unaudited SIMAK'!$A$2:$S$10004,8,FALSE)</f>
        <v>31382142</v>
      </c>
      <c r="E166" s="25">
        <f>SUMIFS('Daftar Koreksi'!$H$5:$H$92,'Daftar Koreksi'!$D$5:$D$92,'0300'!A158,'Daftar Koreksi'!$G$5:$G$92,"Aset Tetap Lainnya",'Daftar Koreksi'!$H$5:$H$92,"&gt;0")</f>
        <v>0</v>
      </c>
      <c r="F166" s="25">
        <f>SUMIFS('Daftar Koreksi'!$H$5:$H$92,'Daftar Koreksi'!$D$5:$D$92,'0300'!A158,'Daftar Koreksi'!$G$5:$G$92,"Aset Tetap Lainnya",'Daftar Koreksi'!$H$5:$H$92,"&lt;0")-SUMIFS('Daftar Koreksi'!$H$5:$H$92,'Daftar Koreksi'!$D$5:$D$92,'0300'!A158,'Daftar Koreksi'!$G$5:$G$92,"Aset Tetap Lainnya",'Daftar Koreksi'!$H$5:$H$92,"&lt;0")-SUMIFS('Daftar Koreksi'!$H$5:$H$92,'Daftar Koreksi'!$D$5:$D$92,'0300'!A158,'Daftar Koreksi'!$G$5:$G$92,"Aset Tetap Lainnya",'Daftar Koreksi'!$H$5:$H$92,"&lt;0")</f>
        <v>0</v>
      </c>
      <c r="G166" s="17">
        <f t="shared" si="7"/>
        <v>31382142</v>
      </c>
      <c r="H166" s="122"/>
    </row>
    <row r="167" spans="1:8" ht="21.95" customHeight="1">
      <c r="A167" s="14"/>
      <c r="B167" s="14"/>
      <c r="C167" s="16" t="s">
        <v>1171</v>
      </c>
      <c r="D167" s="17">
        <f>VLOOKUP(A158,'Neraca Unaudited SIMAK'!$A$2:$S$10004,9,FALSE)</f>
        <v>0</v>
      </c>
      <c r="E167" s="25">
        <f>SUMIFS('Daftar Koreksi'!$H$5:$H$92,'Daftar Koreksi'!$D$5:$D$92,'0300'!A158,'Daftar Koreksi'!$G$5:$G$92,"Kontruksi Dalam Pengerjaan",'Daftar Koreksi'!$H$5:$H$92,"&gt;0")</f>
        <v>0</v>
      </c>
      <c r="F167" s="25">
        <f>SUMIFS('Daftar Koreksi'!$H$5:$H$92,'Daftar Koreksi'!$D$5:$D$92,'0300'!A158,'Daftar Koreksi'!$G$5:$G$92,"Kontruksi Dalam Pengerjaan",'Daftar Koreksi'!$H$5:$H$92,"&lt;0")-SUMIFS('Daftar Koreksi'!$H$5:$H$92,'Daftar Koreksi'!$D$5:$D$92,'0300'!A158,'Daftar Koreksi'!$G$5:$G$92,"Kontruksi Dalam Pengerjaan",'Daftar Koreksi'!$H$5:$H$92,"&lt;0")-SUMIFS('Daftar Koreksi'!$H$5:$H$92,'Daftar Koreksi'!$D$5:$D$92,'0300'!A158,'Daftar Koreksi'!$G$5:$G$92,"Kontruksi Dalam Pengerjaan",'Daftar Koreksi'!$H$5:$H$92,"&lt;0")</f>
        <v>0</v>
      </c>
      <c r="G167" s="17">
        <f t="shared" si="7"/>
        <v>0</v>
      </c>
      <c r="H167" s="122"/>
    </row>
    <row r="168" spans="1:8" ht="21.95" customHeight="1">
      <c r="A168" s="14"/>
      <c r="B168" s="14"/>
      <c r="C168" s="16" t="s">
        <v>1172</v>
      </c>
      <c r="D168" s="17">
        <f>VLOOKUP(A158,'Neraca Unaudited SIMAK'!$A$2:$S$10004,10,FALSE)</f>
        <v>0</v>
      </c>
      <c r="E168" s="25">
        <f>SUMIFS('Daftar Koreksi'!$H$5:$H$92,'Daftar Koreksi'!$D$5:$D$92,'0300'!A158,'Daftar Koreksi'!$G$5:$G$92,"Aset Tak Berwujud",'Daftar Koreksi'!$H$5:$H$92,"&gt;0")</f>
        <v>0</v>
      </c>
      <c r="F168" s="25">
        <f>SUMIFS('Daftar Koreksi'!$H$5:$H$92,'Daftar Koreksi'!$D$5:$D$92,'0300'!A158,'Daftar Koreksi'!$G$5:$G$92,"Aset Tak Berwujud",'Daftar Koreksi'!$H$5:$H$92,"&lt;0")-SUMIFS('Daftar Koreksi'!$H$5:$H$92,'Daftar Koreksi'!$D$5:$D$92,'0300'!A158,'Daftar Koreksi'!$G$5:$G$92,"Aset Tak Berwujud",'Daftar Koreksi'!$H$5:$H$92,"&lt;0")-SUMIFS('Daftar Koreksi'!$H$5:$H$92,'Daftar Koreksi'!$D$5:$D$92,'0300'!A158,'Daftar Koreksi'!$G$5:$G$92,"Aset Tak Berwujud",'Daftar Koreksi'!$H$5:$H$92,"&lt;0")</f>
        <v>0</v>
      </c>
      <c r="G168" s="17">
        <f t="shared" si="7"/>
        <v>0</v>
      </c>
      <c r="H168" s="122"/>
    </row>
    <row r="169" spans="1:8" ht="21.95" customHeight="1">
      <c r="A169" s="14"/>
      <c r="B169" s="14"/>
      <c r="C169" s="16" t="s">
        <v>1173</v>
      </c>
      <c r="D169" s="17">
        <f>VLOOKUP(A158,'Neraca Unaudited SIMAK'!$A$2:$S$10004,11,FALSE)</f>
        <v>90132000</v>
      </c>
      <c r="E169" s="25">
        <f>SUMIFS('Daftar Koreksi'!$H$5:$H$92,'Daftar Koreksi'!$D$5:$D$92,'0300'!A158,'Daftar Koreksi'!$G$5:$G$92,"Aset Henti Guna",'Daftar Koreksi'!$H$5:$H$92,"&gt;0")</f>
        <v>0</v>
      </c>
      <c r="F169" s="25">
        <f>SUMIFS('Daftar Koreksi'!$H$5:$H$92,'Daftar Koreksi'!$D$5:$D$92,'0300'!A158,'Daftar Koreksi'!$G$5:$G$92,"Aset Henti Guna",'Daftar Koreksi'!$H$5:$H$92,"&lt;0")-SUMIFS('Daftar Koreksi'!$H$5:$H$92,'Daftar Koreksi'!$D$5:$D$92,'0300'!A158,'Daftar Koreksi'!$G$5:$G$92,"Aset Henti Guna",'Daftar Koreksi'!$H$5:$H$92,"&lt;0")-SUMIFS('Daftar Koreksi'!$H$5:$H$92,'Daftar Koreksi'!$D$5:$D$92,'0300'!A158,'Daftar Koreksi'!$G$5:$G$92,"Aset Henti Guna",'Daftar Koreksi'!$H$5:$H$92,"&lt;0")</f>
        <v>0</v>
      </c>
      <c r="G169" s="17">
        <f t="shared" si="7"/>
        <v>90132000</v>
      </c>
      <c r="H169" s="122"/>
    </row>
    <row r="170" spans="1:8" ht="21.95" customHeight="1">
      <c r="A170" s="14"/>
      <c r="B170" s="14"/>
      <c r="C170" s="18" t="s">
        <v>2093</v>
      </c>
      <c r="D170" s="19">
        <f>VLOOKUP(A158,'Neraca Unaudited SIMAK'!$A$2:$S$10004,12,FALSE)</f>
        <v>11199879705</v>
      </c>
      <c r="E170" s="19">
        <f>SUM(E161:E169)</f>
        <v>0</v>
      </c>
      <c r="F170" s="19">
        <f>SUM(F161:F169)</f>
        <v>0</v>
      </c>
      <c r="G170" s="19">
        <f t="shared" si="7"/>
        <v>11199879705</v>
      </c>
      <c r="H170" s="122"/>
    </row>
    <row r="171" spans="1:8" ht="21.95" customHeight="1">
      <c r="A171" s="14"/>
      <c r="B171" s="14"/>
      <c r="C171" s="16" t="s">
        <v>2087</v>
      </c>
      <c r="D171" s="17">
        <f>VLOOKUP(A158,'Neraca Unaudited SIMAK'!$A$2:$S$10004,13,FALSE)</f>
        <v>-929140819</v>
      </c>
      <c r="E171" s="25">
        <f>SUMIFS('Daftar Koreksi'!$I$5:$I$92,'Daftar Koreksi'!$D$5:$D$92,'0300'!A158,'Daftar Koreksi'!$G$5:$G$92,"Peralatan dan mesin",'Daftar Koreksi'!$I$5:$I$92,"&gt;0")</f>
        <v>0</v>
      </c>
      <c r="F171" s="25">
        <f>SUMIFS('Daftar Koreksi'!$I$5:$I$92,'Daftar Koreksi'!$D$5:$D$92,'0300'!A158,'Daftar Koreksi'!$G$5:$G$92,"Peralatan dan mesin",'Daftar Koreksi'!$I$5:$I$92,"&lt;0")-SUMIFS('Daftar Koreksi'!$I$5:$I$92,'Daftar Koreksi'!$D$5:$D$92,'0300'!A158,'Daftar Koreksi'!$G$5:$G$92,"Peralatan dan mesin",'Daftar Koreksi'!$I$5:$I$92,"&lt;0")-SUMIFS('Daftar Koreksi'!$I$5:$I$92,'Daftar Koreksi'!$D$5:$D$92,'0300'!A158,'Daftar Koreksi'!$G$5:$G$92,"Peralatan dan mesin",'Daftar Koreksi'!$I$5:$I$92,"&lt;0")</f>
        <v>0</v>
      </c>
      <c r="G171" s="17">
        <f t="shared" si="7"/>
        <v>-929140819</v>
      </c>
      <c r="H171" s="122"/>
    </row>
    <row r="172" spans="1:8" ht="21.95" customHeight="1">
      <c r="A172" s="14"/>
      <c r="B172" s="14"/>
      <c r="C172" s="16" t="s">
        <v>2088</v>
      </c>
      <c r="D172" s="17">
        <f>VLOOKUP(A158,'Neraca Unaudited SIMAK'!$A$2:$S$10004,14,FALSE)</f>
        <v>-449989016</v>
      </c>
      <c r="E172" s="25">
        <f>SUMIFS('Daftar Koreksi'!$I$5:$I$92,'Daftar Koreksi'!$D$5:$D$92,'0300'!A158,'Daftar Koreksi'!$G$5:$G$92,"Gedung dan Bangunan",'Daftar Koreksi'!$I$5:$I$92,"&gt;0")</f>
        <v>0</v>
      </c>
      <c r="F172" s="25">
        <f>SUMIFS('Daftar Koreksi'!$I$5:$I$92,'Daftar Koreksi'!$D$5:$D$92,'0300'!A158,'Daftar Koreksi'!$G$5:$G$92,"Gedung dan Bangunan",'Daftar Koreksi'!$I$5:$I$92,"&lt;0")-SUMIFS('Daftar Koreksi'!$I$5:$I$92,'Daftar Koreksi'!$D$5:$D$92,'0300'!A158,'Daftar Koreksi'!$G$5:$G$92,"Gedung dan Bangunan",'Daftar Koreksi'!$I$5:$I$92,"&lt;0")-SUMIFS('Daftar Koreksi'!$I$5:$I$92,'Daftar Koreksi'!$D$5:$D$92,'0300'!A158,'Daftar Koreksi'!$G$5:$G$92,"Gedung dan Bangunan",'Daftar Koreksi'!$I$5:$I$92,"&lt;0")</f>
        <v>0</v>
      </c>
      <c r="G172" s="17">
        <f t="shared" si="7"/>
        <v>-449989016</v>
      </c>
      <c r="H172" s="122"/>
    </row>
    <row r="173" spans="1:8" ht="21.95" customHeight="1">
      <c r="A173" s="14"/>
      <c r="B173" s="14"/>
      <c r="C173" s="16" t="s">
        <v>2089</v>
      </c>
      <c r="D173" s="17">
        <f>VLOOKUP(A158,'Neraca Unaudited SIMAK'!$A$2:$S$10004,15,FALSE)</f>
        <v>-58164000</v>
      </c>
      <c r="E173" s="25">
        <f>SUMIFS('Daftar Koreksi'!$I$5:$I$92,'Daftar Koreksi'!$D$5:$D$92,'0300'!A158,'Daftar Koreksi'!$G$5:$G$92,"Jalan Irigasi Jaringan",'Daftar Koreksi'!$I$5:$I$92,"&gt;0")</f>
        <v>0</v>
      </c>
      <c r="F173" s="25">
        <f>SUMIFS('Daftar Koreksi'!$I$5:$I$92,'Daftar Koreksi'!$D$5:$D$92,'0300'!A158,'Daftar Koreksi'!$G$5:$G$92,"Jalan Irigasi Jaringan",'Daftar Koreksi'!$I$5:$I$92,"&lt;0")-SUMIFS('Daftar Koreksi'!$I$5:$I$92,'Daftar Koreksi'!$D$5:$D$92,'0300'!A158,'Daftar Koreksi'!$G$5:$G$92,"Jalan Irigasi Jaringan",'Daftar Koreksi'!$I$5:$I$92,"&lt;0")-SUMIFS('Daftar Koreksi'!$I$5:$I$92,'Daftar Koreksi'!$D$5:$D$92,'0300'!A158,'Daftar Koreksi'!$G$5:$G$92,"Jalan Irigasi Jaringan",'Daftar Koreksi'!$I$5:$I$92,"&lt;0")</f>
        <v>0</v>
      </c>
      <c r="G173" s="17">
        <f t="shared" si="7"/>
        <v>-58164000</v>
      </c>
      <c r="H173" s="122"/>
    </row>
    <row r="174" spans="1:8" ht="21.95" customHeight="1">
      <c r="A174" s="14"/>
      <c r="B174" s="14"/>
      <c r="C174" s="16" t="s">
        <v>2090</v>
      </c>
      <c r="D174" s="17">
        <f>VLOOKUP(A158,'Neraca Unaudited SIMAK'!$A$2:$S$10004,16,FALSE)</f>
        <v>0</v>
      </c>
      <c r="E174" s="25">
        <f>SUMIFS('Daftar Koreksi'!$I$5:$I$92,'Daftar Koreksi'!$D$5:$D$92,'0300'!A158,'Daftar Koreksi'!$G$5:$G$92,"Aset Tetap Lainnya",'Daftar Koreksi'!$I$5:$I$92,"&gt;0")</f>
        <v>0</v>
      </c>
      <c r="F174" s="25">
        <f>SUMIFS('Daftar Koreksi'!$I$5:$I$92,'Daftar Koreksi'!$D$5:$D$92,'0300'!A158,'Daftar Koreksi'!$G$5:$G$92,"Aset Tetap Lainnya",'Daftar Koreksi'!$I$5:$I$92,"&lt;0")-SUMIFS('Daftar Koreksi'!$I$5:$I$92,'Daftar Koreksi'!$D$5:$D$92,'0300'!A158,'Daftar Koreksi'!$G$5:$G$92,"Aset Tetap Lainnya",'Daftar Koreksi'!$I$5:$I$92,"&lt;0")-SUMIFS('Daftar Koreksi'!$I$5:$I$92,'Daftar Koreksi'!$D$5:$D$92,'0300'!A158,'Daftar Koreksi'!$G$5:$G$92,"Aset Tetap Lainnya",'Daftar Koreksi'!$I$5:$I$92,"&lt;0")</f>
        <v>0</v>
      </c>
      <c r="G174" s="17">
        <f t="shared" si="7"/>
        <v>0</v>
      </c>
      <c r="H174" s="122"/>
    </row>
    <row r="175" spans="1:8" ht="21.95" customHeight="1">
      <c r="A175" s="14"/>
      <c r="B175" s="14"/>
      <c r="C175" s="16" t="s">
        <v>2020</v>
      </c>
      <c r="D175" s="17">
        <f>VLOOKUP(A158,'Neraca Unaudited SIMAK'!$A$2:$S$10004,17,FALSE)</f>
        <v>-50889754</v>
      </c>
      <c r="E175" s="25">
        <f>SUMIFS('Daftar Koreksi'!$I$5:$I$92,'Daftar Koreksi'!$D$5:$D$92,'0300'!A158,'Daftar Koreksi'!$G$5:$G$92,"Aset Henti Guna",'Daftar Koreksi'!$I$5:$I$92,"&gt;0")</f>
        <v>0</v>
      </c>
      <c r="F175" s="25">
        <f>SUMIFS('Daftar Koreksi'!$I$5:$I$92,'Daftar Koreksi'!$D$5:$D$92,'0300'!A158,'Daftar Koreksi'!$G$5:$G$92,"Aset Henti Guna",'Daftar Koreksi'!$I$5:$I$92,"&lt;0")-SUMIFS('Daftar Koreksi'!$I$5:$I$92,'Daftar Koreksi'!$D$5:$D$92,'0300'!A158,'Daftar Koreksi'!$G$5:$G$92,"Aset Henti Guna",'Daftar Koreksi'!$I$5:$I$92,"&lt;0")-SUMIFS('Daftar Koreksi'!$I$5:$I$92,'Daftar Koreksi'!$D$5:$D$92,'0300'!A158,'Daftar Koreksi'!$G$5:$G$92,"Aset Henti Guna",'Daftar Koreksi'!$I$5:$I$92,"&lt;0")</f>
        <v>0</v>
      </c>
      <c r="G175" s="17">
        <f t="shared" si="7"/>
        <v>-50889754</v>
      </c>
      <c r="H175" s="122"/>
    </row>
    <row r="176" spans="1:8" ht="21.95" customHeight="1">
      <c r="A176" s="14"/>
      <c r="B176" s="14"/>
      <c r="C176" s="18" t="s">
        <v>2094</v>
      </c>
      <c r="D176" s="19">
        <f>SUM(D171:D175)</f>
        <v>-1488183589</v>
      </c>
      <c r="E176" s="19">
        <f>SUM(E171:E175)</f>
        <v>0</v>
      </c>
      <c r="F176" s="19">
        <f>SUM(F171:F175)</f>
        <v>0</v>
      </c>
      <c r="G176" s="19">
        <f t="shared" si="7"/>
        <v>-1488183589</v>
      </c>
      <c r="H176" s="122"/>
    </row>
    <row r="177" spans="1:8" ht="21.95" customHeight="1">
      <c r="A177" s="14"/>
      <c r="B177" s="14"/>
      <c r="C177" s="18" t="s">
        <v>2095</v>
      </c>
      <c r="D177" s="19">
        <f>VLOOKUP(A158,'Neraca Unaudited SIMAK'!$A$2:$S$10004,18,FALSE)</f>
        <v>9711696116</v>
      </c>
      <c r="E177" s="19">
        <f>E176+E170</f>
        <v>0</v>
      </c>
      <c r="F177" s="19">
        <f>F176+F170</f>
        <v>0</v>
      </c>
      <c r="G177" s="19">
        <f t="shared" si="7"/>
        <v>9711696116</v>
      </c>
      <c r="H177" s="122"/>
    </row>
    <row r="178" spans="1:8" ht="21.95" customHeight="1">
      <c r="A178" s="14"/>
      <c r="B178" s="14"/>
      <c r="C178" s="16" t="s">
        <v>2091</v>
      </c>
      <c r="D178" s="17">
        <f>VLOOKUP(A158,'Neraca Unaudited SIMAK'!$A$2:$S$10004,19,FALSE)</f>
        <v>0</v>
      </c>
      <c r="E178" s="25"/>
      <c r="F178" s="25"/>
      <c r="G178" s="17">
        <f t="shared" si="7"/>
        <v>0</v>
      </c>
      <c r="H178" s="123"/>
    </row>
    <row r="180" spans="1:8" ht="19.5" customHeight="1">
      <c r="A180" s="11" t="str">
        <f>O9</f>
        <v>005010300097797000KD</v>
      </c>
      <c r="B180" s="11" t="str">
        <f>P9</f>
        <v>PN. Kendal</v>
      </c>
      <c r="C180" s="12" t="str">
        <f>A180&amp;" "&amp;B180</f>
        <v>005010300097797000KD PN. Kendal</v>
      </c>
      <c r="D180" s="13"/>
      <c r="E180" s="13"/>
      <c r="F180" s="13"/>
      <c r="G180" s="13"/>
      <c r="H180" s="11"/>
    </row>
    <row r="181" spans="1:8" ht="21.95" customHeight="1">
      <c r="A181" s="14"/>
      <c r="B181" s="14"/>
      <c r="C181" s="124" t="s">
        <v>1982</v>
      </c>
      <c r="D181" s="126" t="s">
        <v>1983</v>
      </c>
      <c r="E181" s="132" t="s">
        <v>1984</v>
      </c>
      <c r="F181" s="132"/>
      <c r="G181" s="126" t="s">
        <v>1987</v>
      </c>
      <c r="H181" s="130" t="s">
        <v>1175</v>
      </c>
    </row>
    <row r="182" spans="1:8" ht="21.95" customHeight="1">
      <c r="A182" s="14"/>
      <c r="B182" s="14"/>
      <c r="C182" s="125"/>
      <c r="D182" s="127"/>
      <c r="E182" s="26" t="s">
        <v>1985</v>
      </c>
      <c r="F182" s="26" t="s">
        <v>1986</v>
      </c>
      <c r="G182" s="127"/>
      <c r="H182" s="131"/>
    </row>
    <row r="183" spans="1:8" ht="21.95" customHeight="1">
      <c r="A183" s="14"/>
      <c r="B183" s="14"/>
      <c r="C183" s="16" t="s">
        <v>1165</v>
      </c>
      <c r="D183" s="17">
        <f>VLOOKUP(A180,'Neraca Unaudited SIMAK'!$A$2:$S$10004,3,FALSE)</f>
        <v>2000000</v>
      </c>
      <c r="E183" s="25">
        <f>SUMIFS('Daftar Koreksi'!$H$5:$H$92,'Daftar Koreksi'!$D$5:$D$92,'0300'!A180,'Daftar Koreksi'!$G$5:$G$92,"Persediaan",'Daftar Koreksi'!$H$5:$H$92,"&gt;0")</f>
        <v>0</v>
      </c>
      <c r="F183" s="25">
        <f>SUMIFS('Daftar Koreksi'!$H$5:$H$92,'Daftar Koreksi'!$D$5:$D$92,'0300'!A180,'Daftar Koreksi'!$G$5:$G$92,"Persediaan",'Daftar Koreksi'!$H$5:$H$92,"&lt;0")-SUMIFS('Daftar Koreksi'!$H$5:$H$92,'Daftar Koreksi'!$D$5:$D$92,'0300'!A180,'Daftar Koreksi'!$G$5:$G$92,"Persediaan",'Daftar Koreksi'!$H$5:$H$92,"&lt;0")-SUMIFS('Daftar Koreksi'!$H$5:$H$92,'Daftar Koreksi'!$D$5:$D$92,'0300'!A180,'Daftar Koreksi'!$G$5:$G$92,"Persediaan",'Daftar Koreksi'!$H$5:$H$92,"&lt;0")</f>
        <v>0</v>
      </c>
      <c r="G183" s="17">
        <f>D183+E183-F183</f>
        <v>2000000</v>
      </c>
      <c r="H183" s="121" t="str">
        <f>IF(ISNA(VLOOKUP(A180,'Mutasi Neraca'!$A$3:$S$914,19,FALSE)),"-",VLOOKUP(A180,'Mutasi Neraca'!$A$3:$S$914,19,FALSE))</f>
        <v>TP. No 3</v>
      </c>
    </row>
    <row r="184" spans="1:8" ht="21.95" customHeight="1">
      <c r="A184" s="14"/>
      <c r="B184" s="14"/>
      <c r="C184" s="16" t="s">
        <v>1166</v>
      </c>
      <c r="D184" s="17">
        <f>VLOOKUP(A180,'Neraca Unaudited SIMAK'!$A$2:$S$10004,4,FALSE)</f>
        <v>4275300000</v>
      </c>
      <c r="E184" s="25">
        <f>SUMIFS('Daftar Koreksi'!$H$5:$H$92,'Daftar Koreksi'!$D$5:$D$92,'0300'!A180,'Daftar Koreksi'!$G$5:$G$92,"Tanah",'Daftar Koreksi'!$H$5:$H$92,"&gt;0")</f>
        <v>0</v>
      </c>
      <c r="F184" s="25">
        <f>SUMIFS('Daftar Koreksi'!$H$5:$H$92,'Daftar Koreksi'!$D$5:$D$92,'0300'!A180,'Daftar Koreksi'!$G$5:$G$92,"Tanah",'Daftar Koreksi'!$H$5:$H$92,"&lt;0")-SUMIFS('Daftar Koreksi'!$H$5:$H$92,'Daftar Koreksi'!$D$5:$D$92,'0300'!A180,'Daftar Koreksi'!$G$5:$G$92,"Tanah",'Daftar Koreksi'!$H$5:$H$92,"&lt;0")-SUMIFS('Daftar Koreksi'!$H$5:$H$92,'Daftar Koreksi'!$D$5:$D$92,'0300'!A180,'Daftar Koreksi'!$G$5:$G$92,"Tanah",'Daftar Koreksi'!$H$5:$H$92,"&lt;0")</f>
        <v>0</v>
      </c>
      <c r="G184" s="17">
        <f t="shared" ref="G184:G200" si="8">D184+E184-F184</f>
        <v>4275300000</v>
      </c>
      <c r="H184" s="122"/>
    </row>
    <row r="185" spans="1:8" ht="21.95" customHeight="1">
      <c r="A185" s="14"/>
      <c r="B185" s="14"/>
      <c r="C185" s="16" t="s">
        <v>1167</v>
      </c>
      <c r="D185" s="17">
        <f>VLOOKUP(A180,'Neraca Unaudited SIMAK'!$A$2:$S$10004,5,FALSE)</f>
        <v>1797661251</v>
      </c>
      <c r="E185" s="25">
        <f>SUMIFS('Daftar Koreksi'!$H$5:$H$92,'Daftar Koreksi'!$D$5:$D$92,'0300'!A180,'Daftar Koreksi'!$G$5:$G$92,"Peralatan dan mesin",'Daftar Koreksi'!$H$5:$H$92,"&gt;0")</f>
        <v>0</v>
      </c>
      <c r="F185" s="25">
        <f>SUMIFS('Daftar Koreksi'!$H$5:$H$92,'Daftar Koreksi'!$D$5:$D$92,'0300'!A180,'Daftar Koreksi'!$G$5:$G$92,"Peralatan dan mesin",'Daftar Koreksi'!$H$5:$H$92,"&lt;0")-SUMIFS('Daftar Koreksi'!$H$5:$H$92,'Daftar Koreksi'!$D$5:$D$92,'0300'!A180,'Daftar Koreksi'!$G$5:$G$92,"Peralatan dan mesin",'Daftar Koreksi'!$H$5:$H$92,"&lt;0")-SUMIFS('Daftar Koreksi'!$H$5:$H$92,'Daftar Koreksi'!$D$5:$D$92,'0300'!A180,'Daftar Koreksi'!$G$5:$G$92,"Peralatan dan mesin",'Daftar Koreksi'!$H$5:$H$92,"&lt;0")</f>
        <v>0</v>
      </c>
      <c r="G185" s="17">
        <f t="shared" si="8"/>
        <v>1797661251</v>
      </c>
      <c r="H185" s="122"/>
    </row>
    <row r="186" spans="1:8" ht="21.95" customHeight="1">
      <c r="A186" s="14"/>
      <c r="B186" s="14"/>
      <c r="C186" s="16" t="s">
        <v>1168</v>
      </c>
      <c r="D186" s="17">
        <f>VLOOKUP(A180,'Neraca Unaudited SIMAK'!$A$2:$S$10004,6,FALSE)</f>
        <v>5480482300</v>
      </c>
      <c r="E186" s="25">
        <f>SUMIFS('Daftar Koreksi'!$H$5:$H$92,'Daftar Koreksi'!$D$5:$D$92,'0300'!A180,'Daftar Koreksi'!$G$5:$G$92,"Gedung dan Bangunan",'Daftar Koreksi'!$H$5:$H$92,"&gt;0")</f>
        <v>0</v>
      </c>
      <c r="F186" s="25">
        <f>SUMIFS('Daftar Koreksi'!$H$5:$H$92,'Daftar Koreksi'!$D$5:$D$92,'0300'!A180,'Daftar Koreksi'!$G$5:$G$92,"Gedung dan Bangunan",'Daftar Koreksi'!$H$5:$H$92,"&lt;0")-SUMIFS('Daftar Koreksi'!$H$5:$H$92,'Daftar Koreksi'!$D$5:$D$92,'0300'!A180,'Daftar Koreksi'!$G$5:$G$92,"Gedung dan Bangunan",'Daftar Koreksi'!$H$5:$H$92,"&lt;0")-SUMIFS('Daftar Koreksi'!$H$5:$H$92,'Daftar Koreksi'!$D$5:$D$92,'0300'!A180,'Daftar Koreksi'!$G$5:$G$92,"Gedung dan Bangunan",'Daftar Koreksi'!$H$5:$H$92,"&lt;0")</f>
        <v>0</v>
      </c>
      <c r="G186" s="17">
        <f t="shared" si="8"/>
        <v>5480482300</v>
      </c>
      <c r="H186" s="122"/>
    </row>
    <row r="187" spans="1:8" ht="21.95" customHeight="1">
      <c r="A187" s="14"/>
      <c r="B187" s="14"/>
      <c r="C187" s="16" t="s">
        <v>1169</v>
      </c>
      <c r="D187" s="17">
        <f>VLOOKUP(A180,'Neraca Unaudited SIMAK'!$A$2:$S$10004,7,FALSE)</f>
        <v>0</v>
      </c>
      <c r="E187" s="25">
        <f>SUMIFS('Daftar Koreksi'!$H$5:$H$92,'Daftar Koreksi'!$D$5:$D$92,'0300'!A180,'Daftar Koreksi'!$G$5:$G$92,"Jalan Irigasi Jaringan",'Daftar Koreksi'!$H$5:$H$92,"&gt;0")</f>
        <v>0</v>
      </c>
      <c r="F187" s="25">
        <f>SUMIFS('Daftar Koreksi'!$H$5:$H$92,'Daftar Koreksi'!$D$5:$D$92,'0300'!A180,'Daftar Koreksi'!$G$5:$G$92,"Jalan Irigasi Jaringan",'Daftar Koreksi'!$H$5:$H$92,"&lt;0")-SUMIFS('Daftar Koreksi'!$H$5:$H$92,'Daftar Koreksi'!$D$5:$D$92,'0300'!A180,'Daftar Koreksi'!$G$5:$G$92,"Jalan Irigasi Jaringan",'Daftar Koreksi'!$H$5:$H$92,"&lt;0")-SUMIFS('Daftar Koreksi'!$H$5:$H$92,'Daftar Koreksi'!$D$5:$D$92,'0300'!A180,'Daftar Koreksi'!$G$5:$G$92,"Jalan Irigasi Jaringan",'Daftar Koreksi'!$H$5:$H$92,"&lt;0")</f>
        <v>0</v>
      </c>
      <c r="G187" s="17">
        <f t="shared" si="8"/>
        <v>0</v>
      </c>
      <c r="H187" s="122"/>
    </row>
    <row r="188" spans="1:8" ht="21.95" customHeight="1">
      <c r="A188" s="14"/>
      <c r="B188" s="14"/>
      <c r="C188" s="16" t="s">
        <v>1170</v>
      </c>
      <c r="D188" s="17">
        <f>VLOOKUP(A180,'Neraca Unaudited SIMAK'!$A$2:$S$10004,8,FALSE)</f>
        <v>4772120</v>
      </c>
      <c r="E188" s="25">
        <f>SUMIFS('Daftar Koreksi'!$H$5:$H$92,'Daftar Koreksi'!$D$5:$D$92,'0300'!A180,'Daftar Koreksi'!$G$5:$G$92,"Aset Tetap Lainnya",'Daftar Koreksi'!$H$5:$H$92,"&gt;0")</f>
        <v>4411622</v>
      </c>
      <c r="F188" s="25">
        <f>SUMIFS('Daftar Koreksi'!$H$5:$H$92,'Daftar Koreksi'!$D$5:$D$92,'0300'!A180,'Daftar Koreksi'!$G$5:$G$92,"Aset Tetap Lainnya",'Daftar Koreksi'!$H$5:$H$92,"&lt;0")-SUMIFS('Daftar Koreksi'!$H$5:$H$92,'Daftar Koreksi'!$D$5:$D$92,'0300'!A180,'Daftar Koreksi'!$G$5:$G$92,"Aset Tetap Lainnya",'Daftar Koreksi'!$H$5:$H$92,"&lt;0")-SUMIFS('Daftar Koreksi'!$H$5:$H$92,'Daftar Koreksi'!$D$5:$D$92,'0300'!A180,'Daftar Koreksi'!$G$5:$G$92,"Aset Tetap Lainnya",'Daftar Koreksi'!$H$5:$H$92,"&lt;0")</f>
        <v>0</v>
      </c>
      <c r="G188" s="17">
        <f t="shared" si="8"/>
        <v>9183742</v>
      </c>
      <c r="H188" s="122"/>
    </row>
    <row r="189" spans="1:8" ht="21.95" customHeight="1">
      <c r="A189" s="14"/>
      <c r="B189" s="14"/>
      <c r="C189" s="16" t="s">
        <v>1171</v>
      </c>
      <c r="D189" s="17">
        <f>VLOOKUP(A180,'Neraca Unaudited SIMAK'!$A$2:$S$10004,9,FALSE)</f>
        <v>0</v>
      </c>
      <c r="E189" s="25">
        <f>SUMIFS('Daftar Koreksi'!$H$5:$H$92,'Daftar Koreksi'!$D$5:$D$92,'0300'!A180,'Daftar Koreksi'!$G$5:$G$92,"Kontruksi Dalam Pengerjaan",'Daftar Koreksi'!$H$5:$H$92,"&gt;0")</f>
        <v>0</v>
      </c>
      <c r="F189" s="25">
        <f>SUMIFS('Daftar Koreksi'!$H$5:$H$92,'Daftar Koreksi'!$D$5:$D$92,'0300'!A180,'Daftar Koreksi'!$G$5:$G$92,"Kontruksi Dalam Pengerjaan",'Daftar Koreksi'!$H$5:$H$92,"&lt;0")-SUMIFS('Daftar Koreksi'!$H$5:$H$92,'Daftar Koreksi'!$D$5:$D$92,'0300'!A180,'Daftar Koreksi'!$G$5:$G$92,"Kontruksi Dalam Pengerjaan",'Daftar Koreksi'!$H$5:$H$92,"&lt;0")-SUMIFS('Daftar Koreksi'!$H$5:$H$92,'Daftar Koreksi'!$D$5:$D$92,'0300'!A180,'Daftar Koreksi'!$G$5:$G$92,"Kontruksi Dalam Pengerjaan",'Daftar Koreksi'!$H$5:$H$92,"&lt;0")</f>
        <v>0</v>
      </c>
      <c r="G189" s="17">
        <f t="shared" si="8"/>
        <v>0</v>
      </c>
      <c r="H189" s="122"/>
    </row>
    <row r="190" spans="1:8" ht="21.95" customHeight="1">
      <c r="A190" s="14"/>
      <c r="B190" s="14"/>
      <c r="C190" s="16" t="s">
        <v>1172</v>
      </c>
      <c r="D190" s="17">
        <f>VLOOKUP(A180,'Neraca Unaudited SIMAK'!$A$2:$S$10004,10,FALSE)</f>
        <v>0</v>
      </c>
      <c r="E190" s="25">
        <f>SUMIFS('Daftar Koreksi'!$H$5:$H$92,'Daftar Koreksi'!$D$5:$D$92,'0300'!A180,'Daftar Koreksi'!$G$5:$G$92,"Aset Tak Berwujud",'Daftar Koreksi'!$H$5:$H$92,"&gt;0")</f>
        <v>0</v>
      </c>
      <c r="F190" s="25">
        <f>SUMIFS('Daftar Koreksi'!$H$5:$H$92,'Daftar Koreksi'!$D$5:$D$92,'0300'!A180,'Daftar Koreksi'!$G$5:$G$92,"Aset Tak Berwujud",'Daftar Koreksi'!$H$5:$H$92,"&lt;0")-SUMIFS('Daftar Koreksi'!$H$5:$H$92,'Daftar Koreksi'!$D$5:$D$92,'0300'!A180,'Daftar Koreksi'!$G$5:$G$92,"Aset Tak Berwujud",'Daftar Koreksi'!$H$5:$H$92,"&lt;0")-SUMIFS('Daftar Koreksi'!$H$5:$H$92,'Daftar Koreksi'!$D$5:$D$92,'0300'!A180,'Daftar Koreksi'!$G$5:$G$92,"Aset Tak Berwujud",'Daftar Koreksi'!$H$5:$H$92,"&lt;0")</f>
        <v>0</v>
      </c>
      <c r="G190" s="17">
        <f t="shared" si="8"/>
        <v>0</v>
      </c>
      <c r="H190" s="122"/>
    </row>
    <row r="191" spans="1:8" ht="21.95" customHeight="1">
      <c r="A191" s="14"/>
      <c r="B191" s="14"/>
      <c r="C191" s="16" t="s">
        <v>1173</v>
      </c>
      <c r="D191" s="17">
        <f>VLOOKUP(A180,'Neraca Unaudited SIMAK'!$A$2:$S$10004,11,FALSE)</f>
        <v>0</v>
      </c>
      <c r="E191" s="25">
        <f>SUMIFS('Daftar Koreksi'!$H$5:$H$92,'Daftar Koreksi'!$D$5:$D$92,'0300'!A180,'Daftar Koreksi'!$G$5:$G$92,"Aset Henti Guna",'Daftar Koreksi'!$H$5:$H$92,"&gt;0")</f>
        <v>0</v>
      </c>
      <c r="F191" s="25">
        <f>SUMIFS('Daftar Koreksi'!$H$5:$H$92,'Daftar Koreksi'!$D$5:$D$92,'0300'!A180,'Daftar Koreksi'!$G$5:$G$92,"Aset Henti Guna",'Daftar Koreksi'!$H$5:$H$92,"&lt;0")-SUMIFS('Daftar Koreksi'!$H$5:$H$92,'Daftar Koreksi'!$D$5:$D$92,'0300'!A180,'Daftar Koreksi'!$G$5:$G$92,"Aset Henti Guna",'Daftar Koreksi'!$H$5:$H$92,"&lt;0")-SUMIFS('Daftar Koreksi'!$H$5:$H$92,'Daftar Koreksi'!$D$5:$D$92,'0300'!A180,'Daftar Koreksi'!$G$5:$G$92,"Aset Henti Guna",'Daftar Koreksi'!$H$5:$H$92,"&lt;0")</f>
        <v>0</v>
      </c>
      <c r="G191" s="17">
        <f t="shared" si="8"/>
        <v>0</v>
      </c>
      <c r="H191" s="122"/>
    </row>
    <row r="192" spans="1:8" ht="21.95" customHeight="1">
      <c r="A192" s="14"/>
      <c r="B192" s="14"/>
      <c r="C192" s="18" t="s">
        <v>2093</v>
      </c>
      <c r="D192" s="19">
        <f>VLOOKUP(A180,'Neraca Unaudited SIMAK'!$A$2:$S$10004,12,FALSE)</f>
        <v>11560215671</v>
      </c>
      <c r="E192" s="19">
        <f>SUM(E183:E191)</f>
        <v>4411622</v>
      </c>
      <c r="F192" s="19">
        <f>SUM(F183:F191)</f>
        <v>0</v>
      </c>
      <c r="G192" s="19">
        <f t="shared" si="8"/>
        <v>11564627293</v>
      </c>
      <c r="H192" s="122"/>
    </row>
    <row r="193" spans="1:8" ht="21.95" customHeight="1">
      <c r="A193" s="14"/>
      <c r="B193" s="14"/>
      <c r="C193" s="16" t="s">
        <v>2087</v>
      </c>
      <c r="D193" s="17">
        <f>VLOOKUP(A180,'Neraca Unaudited SIMAK'!$A$2:$S$10004,13,FALSE)</f>
        <v>-1562157369</v>
      </c>
      <c r="E193" s="25">
        <f>SUMIFS('Daftar Koreksi'!$I$5:$I$92,'Daftar Koreksi'!$D$5:$D$92,'0300'!A180,'Daftar Koreksi'!$G$5:$G$92,"Peralatan dan mesin",'Daftar Koreksi'!$I$5:$I$92,"&gt;0")</f>
        <v>0</v>
      </c>
      <c r="F193" s="25">
        <f>SUMIFS('Daftar Koreksi'!$I$5:$I$92,'Daftar Koreksi'!$D$5:$D$92,'0300'!A180,'Daftar Koreksi'!$G$5:$G$92,"Peralatan dan mesin",'Daftar Koreksi'!$I$5:$I$92,"&lt;0")-SUMIFS('Daftar Koreksi'!$I$5:$I$92,'Daftar Koreksi'!$D$5:$D$92,'0300'!A180,'Daftar Koreksi'!$G$5:$G$92,"Peralatan dan mesin",'Daftar Koreksi'!$I$5:$I$92,"&lt;0")-SUMIFS('Daftar Koreksi'!$I$5:$I$92,'Daftar Koreksi'!$D$5:$D$92,'0300'!A180,'Daftar Koreksi'!$G$5:$G$92,"Peralatan dan mesin",'Daftar Koreksi'!$I$5:$I$92,"&lt;0")</f>
        <v>0</v>
      </c>
      <c r="G193" s="17">
        <f t="shared" si="8"/>
        <v>-1562157369</v>
      </c>
      <c r="H193" s="122"/>
    </row>
    <row r="194" spans="1:8" ht="21.95" customHeight="1">
      <c r="A194" s="14"/>
      <c r="B194" s="14"/>
      <c r="C194" s="16" t="s">
        <v>2088</v>
      </c>
      <c r="D194" s="17">
        <f>VLOOKUP(A180,'Neraca Unaudited SIMAK'!$A$2:$S$10004,14,FALSE)</f>
        <v>-4976185454</v>
      </c>
      <c r="E194" s="25">
        <f>SUMIFS('Daftar Koreksi'!$I$5:$I$92,'Daftar Koreksi'!$D$5:$D$92,'0300'!A180,'Daftar Koreksi'!$G$5:$G$92,"Gedung dan Bangunan",'Daftar Koreksi'!$I$5:$I$92,"&gt;0")</f>
        <v>0</v>
      </c>
      <c r="F194" s="25">
        <f>SUMIFS('Daftar Koreksi'!$I$5:$I$92,'Daftar Koreksi'!$D$5:$D$92,'0300'!A180,'Daftar Koreksi'!$G$5:$G$92,"Gedung dan Bangunan",'Daftar Koreksi'!$I$5:$I$92,"&lt;0")-SUMIFS('Daftar Koreksi'!$I$5:$I$92,'Daftar Koreksi'!$D$5:$D$92,'0300'!A180,'Daftar Koreksi'!$G$5:$G$92,"Gedung dan Bangunan",'Daftar Koreksi'!$I$5:$I$92,"&lt;0")-SUMIFS('Daftar Koreksi'!$I$5:$I$92,'Daftar Koreksi'!$D$5:$D$92,'0300'!A180,'Daftar Koreksi'!$G$5:$G$92,"Gedung dan Bangunan",'Daftar Koreksi'!$I$5:$I$92,"&lt;0")</f>
        <v>0</v>
      </c>
      <c r="G194" s="17">
        <f t="shared" si="8"/>
        <v>-4976185454</v>
      </c>
      <c r="H194" s="122"/>
    </row>
    <row r="195" spans="1:8" ht="21.95" customHeight="1">
      <c r="A195" s="14"/>
      <c r="B195" s="14"/>
      <c r="C195" s="16" t="s">
        <v>2089</v>
      </c>
      <c r="D195" s="17">
        <f>VLOOKUP(A180,'Neraca Unaudited SIMAK'!$A$2:$S$10004,15,FALSE)</f>
        <v>0</v>
      </c>
      <c r="E195" s="25">
        <f>SUMIFS('Daftar Koreksi'!$I$5:$I$92,'Daftar Koreksi'!$D$5:$D$92,'0300'!A180,'Daftar Koreksi'!$G$5:$G$92,"Jalan Irigasi Jaringan",'Daftar Koreksi'!$I$5:$I$92,"&gt;0")</f>
        <v>0</v>
      </c>
      <c r="F195" s="25">
        <f>SUMIFS('Daftar Koreksi'!$I$5:$I$92,'Daftar Koreksi'!$D$5:$D$92,'0300'!A180,'Daftar Koreksi'!$G$5:$G$92,"Jalan Irigasi Jaringan",'Daftar Koreksi'!$I$5:$I$92,"&lt;0")-SUMIFS('Daftar Koreksi'!$I$5:$I$92,'Daftar Koreksi'!$D$5:$D$92,'0300'!A180,'Daftar Koreksi'!$G$5:$G$92,"Jalan Irigasi Jaringan",'Daftar Koreksi'!$I$5:$I$92,"&lt;0")-SUMIFS('Daftar Koreksi'!$I$5:$I$92,'Daftar Koreksi'!$D$5:$D$92,'0300'!A180,'Daftar Koreksi'!$G$5:$G$92,"Jalan Irigasi Jaringan",'Daftar Koreksi'!$I$5:$I$92,"&lt;0")</f>
        <v>0</v>
      </c>
      <c r="G195" s="17">
        <f t="shared" si="8"/>
        <v>0</v>
      </c>
      <c r="H195" s="122"/>
    </row>
    <row r="196" spans="1:8" ht="21.95" customHeight="1">
      <c r="A196" s="14"/>
      <c r="B196" s="14"/>
      <c r="C196" s="16" t="s">
        <v>2090</v>
      </c>
      <c r="D196" s="17">
        <f>VLOOKUP(A180,'Neraca Unaudited SIMAK'!$A$2:$S$10004,16,FALSE)</f>
        <v>0</v>
      </c>
      <c r="E196" s="25">
        <f>SUMIFS('Daftar Koreksi'!$I$5:$I$92,'Daftar Koreksi'!$D$5:$D$92,'0300'!A180,'Daftar Koreksi'!$G$5:$G$92,"Aset Tetap Lainnya",'Daftar Koreksi'!$I$5:$I$92,"&gt;0")</f>
        <v>0</v>
      </c>
      <c r="F196" s="25">
        <f>SUMIFS('Daftar Koreksi'!$I$5:$I$92,'Daftar Koreksi'!$D$5:$D$92,'0300'!A180,'Daftar Koreksi'!$G$5:$G$92,"Aset Tetap Lainnya",'Daftar Koreksi'!$I$5:$I$92,"&lt;0")-SUMIFS('Daftar Koreksi'!$I$5:$I$92,'Daftar Koreksi'!$D$5:$D$92,'0300'!A180,'Daftar Koreksi'!$G$5:$G$92,"Aset Tetap Lainnya",'Daftar Koreksi'!$I$5:$I$92,"&lt;0")-SUMIFS('Daftar Koreksi'!$I$5:$I$92,'Daftar Koreksi'!$D$5:$D$92,'0300'!A180,'Daftar Koreksi'!$G$5:$G$92,"Aset Tetap Lainnya",'Daftar Koreksi'!$I$5:$I$92,"&lt;0")</f>
        <v>0</v>
      </c>
      <c r="G196" s="17">
        <f t="shared" si="8"/>
        <v>0</v>
      </c>
      <c r="H196" s="122"/>
    </row>
    <row r="197" spans="1:8" ht="21.95" customHeight="1">
      <c r="A197" s="14"/>
      <c r="B197" s="14"/>
      <c r="C197" s="16" t="s">
        <v>2020</v>
      </c>
      <c r="D197" s="17">
        <f>VLOOKUP(A180,'Neraca Unaudited SIMAK'!$A$2:$S$10004,17,FALSE)</f>
        <v>0</v>
      </c>
      <c r="E197" s="25">
        <f>SUMIFS('Daftar Koreksi'!$I$5:$I$92,'Daftar Koreksi'!$D$5:$D$92,'0300'!A180,'Daftar Koreksi'!$G$5:$G$92,"Aset Henti Guna",'Daftar Koreksi'!$I$5:$I$92,"&gt;0")</f>
        <v>0</v>
      </c>
      <c r="F197" s="25">
        <f>SUMIFS('Daftar Koreksi'!$I$5:$I$92,'Daftar Koreksi'!$D$5:$D$92,'0300'!A180,'Daftar Koreksi'!$G$5:$G$92,"Aset Henti Guna",'Daftar Koreksi'!$I$5:$I$92,"&lt;0")-SUMIFS('Daftar Koreksi'!$I$5:$I$92,'Daftar Koreksi'!$D$5:$D$92,'0300'!A180,'Daftar Koreksi'!$G$5:$G$92,"Aset Henti Guna",'Daftar Koreksi'!$I$5:$I$92,"&lt;0")-SUMIFS('Daftar Koreksi'!$I$5:$I$92,'Daftar Koreksi'!$D$5:$D$92,'0300'!A180,'Daftar Koreksi'!$G$5:$G$92,"Aset Henti Guna",'Daftar Koreksi'!$I$5:$I$92,"&lt;0")</f>
        <v>0</v>
      </c>
      <c r="G197" s="17">
        <f t="shared" si="8"/>
        <v>0</v>
      </c>
      <c r="H197" s="122"/>
    </row>
    <row r="198" spans="1:8" ht="21.95" customHeight="1">
      <c r="A198" s="14"/>
      <c r="B198" s="14"/>
      <c r="C198" s="18" t="s">
        <v>2094</v>
      </c>
      <c r="D198" s="19">
        <f>SUM(D193:D197)</f>
        <v>-6538342823</v>
      </c>
      <c r="E198" s="19">
        <f>SUM(E193:E197)</f>
        <v>0</v>
      </c>
      <c r="F198" s="19">
        <f>SUM(F193:F197)</f>
        <v>0</v>
      </c>
      <c r="G198" s="19">
        <f t="shared" si="8"/>
        <v>-6538342823</v>
      </c>
      <c r="H198" s="122"/>
    </row>
    <row r="199" spans="1:8" ht="21.95" customHeight="1">
      <c r="A199" s="14"/>
      <c r="B199" s="14"/>
      <c r="C199" s="18" t="s">
        <v>2095</v>
      </c>
      <c r="D199" s="19">
        <f>VLOOKUP(A180,'Neraca Unaudited SIMAK'!$A$2:$S$10004,18,FALSE)</f>
        <v>5021872848</v>
      </c>
      <c r="E199" s="19">
        <f>E198+E192</f>
        <v>4411622</v>
      </c>
      <c r="F199" s="19">
        <f>F198+F192</f>
        <v>0</v>
      </c>
      <c r="G199" s="19">
        <f t="shared" si="8"/>
        <v>5026284470</v>
      </c>
      <c r="H199" s="122"/>
    </row>
    <row r="200" spans="1:8" ht="21.95" customHeight="1">
      <c r="A200" s="14"/>
      <c r="B200" s="14"/>
      <c r="C200" s="16" t="s">
        <v>2091</v>
      </c>
      <c r="D200" s="17">
        <f>VLOOKUP(A180,'Neraca Unaudited SIMAK'!$A$2:$S$10004,19,FALSE)</f>
        <v>0</v>
      </c>
      <c r="E200" s="25"/>
      <c r="F200" s="25"/>
      <c r="G200" s="17">
        <f t="shared" si="8"/>
        <v>0</v>
      </c>
      <c r="H200" s="123"/>
    </row>
    <row r="202" spans="1:8" ht="19.5" customHeight="1">
      <c r="A202" s="11" t="str">
        <f>O10</f>
        <v>005010300097802000KD</v>
      </c>
      <c r="B202" s="11" t="str">
        <f>P10</f>
        <v>PN. Demak</v>
      </c>
      <c r="C202" s="12" t="str">
        <f>A202&amp;" "&amp;B202</f>
        <v>005010300097802000KD PN. Demak</v>
      </c>
      <c r="D202" s="13"/>
      <c r="E202" s="13"/>
      <c r="F202" s="13"/>
      <c r="G202" s="13"/>
      <c r="H202" s="11"/>
    </row>
    <row r="203" spans="1:8" ht="21.95" customHeight="1">
      <c r="A203" s="14"/>
      <c r="B203" s="14"/>
      <c r="C203" s="124" t="s">
        <v>1982</v>
      </c>
      <c r="D203" s="126" t="s">
        <v>1983</v>
      </c>
      <c r="E203" s="132" t="s">
        <v>1984</v>
      </c>
      <c r="F203" s="132"/>
      <c r="G203" s="126" t="s">
        <v>1987</v>
      </c>
      <c r="H203" s="130" t="s">
        <v>1175</v>
      </c>
    </row>
    <row r="204" spans="1:8" ht="21.95" customHeight="1">
      <c r="A204" s="14"/>
      <c r="B204" s="14"/>
      <c r="C204" s="125"/>
      <c r="D204" s="127"/>
      <c r="E204" s="26" t="s">
        <v>1985</v>
      </c>
      <c r="F204" s="26" t="s">
        <v>1986</v>
      </c>
      <c r="G204" s="127"/>
      <c r="H204" s="131"/>
    </row>
    <row r="205" spans="1:8" ht="21.95" customHeight="1">
      <c r="A205" s="14"/>
      <c r="B205" s="14"/>
      <c r="C205" s="16" t="s">
        <v>1165</v>
      </c>
      <c r="D205" s="17">
        <f>VLOOKUP(A202,'Neraca Unaudited SIMAK'!$A$2:$S$10004,3,FALSE)</f>
        <v>260600</v>
      </c>
      <c r="E205" s="25">
        <f>SUMIFS('Daftar Koreksi'!$H$5:$H$92,'Daftar Koreksi'!$D$5:$D$92,'0300'!A202,'Daftar Koreksi'!$G$5:$G$92,"Persediaan",'Daftar Koreksi'!$H$5:$H$92,"&gt;0")</f>
        <v>0</v>
      </c>
      <c r="F205" s="25">
        <f>SUMIFS('Daftar Koreksi'!$H$5:$H$92,'Daftar Koreksi'!$D$5:$D$92,'0300'!A202,'Daftar Koreksi'!$G$5:$G$92,"Persediaan",'Daftar Koreksi'!$H$5:$H$92,"&lt;0")-SUMIFS('Daftar Koreksi'!$H$5:$H$92,'Daftar Koreksi'!$D$5:$D$92,'0300'!A202,'Daftar Koreksi'!$G$5:$G$92,"Persediaan",'Daftar Koreksi'!$H$5:$H$92,"&lt;0")-SUMIFS('Daftar Koreksi'!$H$5:$H$92,'Daftar Koreksi'!$D$5:$D$92,'0300'!A202,'Daftar Koreksi'!$G$5:$G$92,"Persediaan",'Daftar Koreksi'!$H$5:$H$92,"&lt;0")</f>
        <v>0</v>
      </c>
      <c r="G205" s="17">
        <f>D205+E205-F205</f>
        <v>260600</v>
      </c>
      <c r="H205" s="121" t="str">
        <f>IF(ISNA(VLOOKUP(A202,'Mutasi Neraca'!$A$3:$S$914,19,FALSE)),"-",VLOOKUP(A202,'Mutasi Neraca'!$A$3:$S$914,19,FALSE))</f>
        <v>-</v>
      </c>
    </row>
    <row r="206" spans="1:8" ht="21.95" customHeight="1">
      <c r="A206" s="14"/>
      <c r="B206" s="14"/>
      <c r="C206" s="16" t="s">
        <v>1166</v>
      </c>
      <c r="D206" s="17">
        <f>VLOOKUP(A202,'Neraca Unaudited SIMAK'!$A$2:$S$10004,4,FALSE)</f>
        <v>7547562400</v>
      </c>
      <c r="E206" s="25">
        <f>SUMIFS('Daftar Koreksi'!$H$5:$H$92,'Daftar Koreksi'!$D$5:$D$92,'0300'!A202,'Daftar Koreksi'!$G$5:$G$92,"Tanah",'Daftar Koreksi'!$H$5:$H$92,"&gt;0")</f>
        <v>0</v>
      </c>
      <c r="F206" s="25">
        <f>SUMIFS('Daftar Koreksi'!$H$5:$H$92,'Daftar Koreksi'!$D$5:$D$92,'0300'!A202,'Daftar Koreksi'!$G$5:$G$92,"Tanah",'Daftar Koreksi'!$H$5:$H$92,"&lt;0")-SUMIFS('Daftar Koreksi'!$H$5:$H$92,'Daftar Koreksi'!$D$5:$D$92,'0300'!A202,'Daftar Koreksi'!$G$5:$G$92,"Tanah",'Daftar Koreksi'!$H$5:$H$92,"&lt;0")-SUMIFS('Daftar Koreksi'!$H$5:$H$92,'Daftar Koreksi'!$D$5:$D$92,'0300'!A202,'Daftar Koreksi'!$G$5:$G$92,"Tanah",'Daftar Koreksi'!$H$5:$H$92,"&lt;0")</f>
        <v>0</v>
      </c>
      <c r="G206" s="17">
        <f t="shared" ref="G206:G222" si="9">D206+E206-F206</f>
        <v>7547562400</v>
      </c>
      <c r="H206" s="122"/>
    </row>
    <row r="207" spans="1:8" ht="21.95" customHeight="1">
      <c r="A207" s="14"/>
      <c r="B207" s="14"/>
      <c r="C207" s="16" t="s">
        <v>1167</v>
      </c>
      <c r="D207" s="17">
        <f>VLOOKUP(A202,'Neraca Unaudited SIMAK'!$A$2:$S$10004,5,FALSE)</f>
        <v>1795411904</v>
      </c>
      <c r="E207" s="25">
        <f>SUMIFS('Daftar Koreksi'!$H$5:$H$92,'Daftar Koreksi'!$D$5:$D$92,'0300'!A202,'Daftar Koreksi'!$G$5:$G$92,"Peralatan dan mesin",'Daftar Koreksi'!$H$5:$H$92,"&gt;0")</f>
        <v>0</v>
      </c>
      <c r="F207" s="25">
        <f>SUMIFS('Daftar Koreksi'!$H$5:$H$92,'Daftar Koreksi'!$D$5:$D$92,'0300'!A202,'Daftar Koreksi'!$G$5:$G$92,"Peralatan dan mesin",'Daftar Koreksi'!$H$5:$H$92,"&lt;0")-SUMIFS('Daftar Koreksi'!$H$5:$H$92,'Daftar Koreksi'!$D$5:$D$92,'0300'!A202,'Daftar Koreksi'!$G$5:$G$92,"Peralatan dan mesin",'Daftar Koreksi'!$H$5:$H$92,"&lt;0")-SUMIFS('Daftar Koreksi'!$H$5:$H$92,'Daftar Koreksi'!$D$5:$D$92,'0300'!A202,'Daftar Koreksi'!$G$5:$G$92,"Peralatan dan mesin",'Daftar Koreksi'!$H$5:$H$92,"&lt;0")</f>
        <v>0</v>
      </c>
      <c r="G207" s="17">
        <f t="shared" si="9"/>
        <v>1795411904</v>
      </c>
      <c r="H207" s="122"/>
    </row>
    <row r="208" spans="1:8" ht="21.95" customHeight="1">
      <c r="A208" s="14"/>
      <c r="B208" s="14"/>
      <c r="C208" s="16" t="s">
        <v>1168</v>
      </c>
      <c r="D208" s="17">
        <f>VLOOKUP(A202,'Neraca Unaudited SIMAK'!$A$2:$S$10004,6,FALSE)</f>
        <v>7187914440</v>
      </c>
      <c r="E208" s="25">
        <f>SUMIFS('Daftar Koreksi'!$H$5:$H$92,'Daftar Koreksi'!$D$5:$D$92,'0300'!A202,'Daftar Koreksi'!$G$5:$G$92,"Gedung dan Bangunan",'Daftar Koreksi'!$H$5:$H$92,"&gt;0")</f>
        <v>0</v>
      </c>
      <c r="F208" s="25">
        <f>SUMIFS('Daftar Koreksi'!$H$5:$H$92,'Daftar Koreksi'!$D$5:$D$92,'0300'!A202,'Daftar Koreksi'!$G$5:$G$92,"Gedung dan Bangunan",'Daftar Koreksi'!$H$5:$H$92,"&lt;0")-SUMIFS('Daftar Koreksi'!$H$5:$H$92,'Daftar Koreksi'!$D$5:$D$92,'0300'!A202,'Daftar Koreksi'!$G$5:$G$92,"Gedung dan Bangunan",'Daftar Koreksi'!$H$5:$H$92,"&lt;0")-SUMIFS('Daftar Koreksi'!$H$5:$H$92,'Daftar Koreksi'!$D$5:$D$92,'0300'!A202,'Daftar Koreksi'!$G$5:$G$92,"Gedung dan Bangunan",'Daftar Koreksi'!$H$5:$H$92,"&lt;0")</f>
        <v>0</v>
      </c>
      <c r="G208" s="17">
        <f t="shared" si="9"/>
        <v>7187914440</v>
      </c>
      <c r="H208" s="122"/>
    </row>
    <row r="209" spans="1:8" ht="21.95" customHeight="1">
      <c r="A209" s="14"/>
      <c r="B209" s="14"/>
      <c r="C209" s="16" t="s">
        <v>1169</v>
      </c>
      <c r="D209" s="17">
        <f>VLOOKUP(A202,'Neraca Unaudited SIMAK'!$A$2:$S$10004,7,FALSE)</f>
        <v>173080563</v>
      </c>
      <c r="E209" s="25">
        <f>SUMIFS('Daftar Koreksi'!$H$5:$H$92,'Daftar Koreksi'!$D$5:$D$92,'0300'!A202,'Daftar Koreksi'!$G$5:$G$92,"Jalan Irigasi Jaringan",'Daftar Koreksi'!$H$5:$H$92,"&gt;0")</f>
        <v>0</v>
      </c>
      <c r="F209" s="25">
        <f>SUMIFS('Daftar Koreksi'!$H$5:$H$92,'Daftar Koreksi'!$D$5:$D$92,'0300'!A202,'Daftar Koreksi'!$G$5:$G$92,"Jalan Irigasi Jaringan",'Daftar Koreksi'!$H$5:$H$92,"&lt;0")-SUMIFS('Daftar Koreksi'!$H$5:$H$92,'Daftar Koreksi'!$D$5:$D$92,'0300'!A202,'Daftar Koreksi'!$G$5:$G$92,"Jalan Irigasi Jaringan",'Daftar Koreksi'!$H$5:$H$92,"&lt;0")-SUMIFS('Daftar Koreksi'!$H$5:$H$92,'Daftar Koreksi'!$D$5:$D$92,'0300'!A202,'Daftar Koreksi'!$G$5:$G$92,"Jalan Irigasi Jaringan",'Daftar Koreksi'!$H$5:$H$92,"&lt;0")</f>
        <v>0</v>
      </c>
      <c r="G209" s="17">
        <f t="shared" si="9"/>
        <v>173080563</v>
      </c>
      <c r="H209" s="122"/>
    </row>
    <row r="210" spans="1:8" ht="21.95" customHeight="1">
      <c r="A210" s="14"/>
      <c r="B210" s="14"/>
      <c r="C210" s="16" t="s">
        <v>1170</v>
      </c>
      <c r="D210" s="17">
        <f>VLOOKUP(A202,'Neraca Unaudited SIMAK'!$A$2:$S$10004,8,FALSE)</f>
        <v>13799879</v>
      </c>
      <c r="E210" s="25">
        <f>SUMIFS('Daftar Koreksi'!$H$5:$H$92,'Daftar Koreksi'!$D$5:$D$92,'0300'!A202,'Daftar Koreksi'!$G$5:$G$92,"Aset Tetap Lainnya",'Daftar Koreksi'!$H$5:$H$92,"&gt;0")</f>
        <v>0</v>
      </c>
      <c r="F210" s="25">
        <f>SUMIFS('Daftar Koreksi'!$H$5:$H$92,'Daftar Koreksi'!$D$5:$D$92,'0300'!A202,'Daftar Koreksi'!$G$5:$G$92,"Aset Tetap Lainnya",'Daftar Koreksi'!$H$5:$H$92,"&lt;0")-SUMIFS('Daftar Koreksi'!$H$5:$H$92,'Daftar Koreksi'!$D$5:$D$92,'0300'!A202,'Daftar Koreksi'!$G$5:$G$92,"Aset Tetap Lainnya",'Daftar Koreksi'!$H$5:$H$92,"&lt;0")-SUMIFS('Daftar Koreksi'!$H$5:$H$92,'Daftar Koreksi'!$D$5:$D$92,'0300'!A202,'Daftar Koreksi'!$G$5:$G$92,"Aset Tetap Lainnya",'Daftar Koreksi'!$H$5:$H$92,"&lt;0")</f>
        <v>0</v>
      </c>
      <c r="G210" s="17">
        <f t="shared" si="9"/>
        <v>13799879</v>
      </c>
      <c r="H210" s="122"/>
    </row>
    <row r="211" spans="1:8" ht="21.95" customHeight="1">
      <c r="A211" s="14"/>
      <c r="B211" s="14"/>
      <c r="C211" s="16" t="s">
        <v>1171</v>
      </c>
      <c r="D211" s="17">
        <f>VLOOKUP(A202,'Neraca Unaudited SIMAK'!$A$2:$S$10004,9,FALSE)</f>
        <v>0</v>
      </c>
      <c r="E211" s="25">
        <f>SUMIFS('Daftar Koreksi'!$H$5:$H$92,'Daftar Koreksi'!$D$5:$D$92,'0300'!A202,'Daftar Koreksi'!$G$5:$G$92,"Kontruksi Dalam Pengerjaan",'Daftar Koreksi'!$H$5:$H$92,"&gt;0")</f>
        <v>0</v>
      </c>
      <c r="F211" s="25">
        <f>SUMIFS('Daftar Koreksi'!$H$5:$H$92,'Daftar Koreksi'!$D$5:$D$92,'0300'!A202,'Daftar Koreksi'!$G$5:$G$92,"Kontruksi Dalam Pengerjaan",'Daftar Koreksi'!$H$5:$H$92,"&lt;0")-SUMIFS('Daftar Koreksi'!$H$5:$H$92,'Daftar Koreksi'!$D$5:$D$92,'0300'!A202,'Daftar Koreksi'!$G$5:$G$92,"Kontruksi Dalam Pengerjaan",'Daftar Koreksi'!$H$5:$H$92,"&lt;0")-SUMIFS('Daftar Koreksi'!$H$5:$H$92,'Daftar Koreksi'!$D$5:$D$92,'0300'!A202,'Daftar Koreksi'!$G$5:$G$92,"Kontruksi Dalam Pengerjaan",'Daftar Koreksi'!$H$5:$H$92,"&lt;0")</f>
        <v>0</v>
      </c>
      <c r="G211" s="17">
        <f t="shared" si="9"/>
        <v>0</v>
      </c>
      <c r="H211" s="122"/>
    </row>
    <row r="212" spans="1:8" ht="21.95" customHeight="1">
      <c r="A212" s="14"/>
      <c r="B212" s="14"/>
      <c r="C212" s="16" t="s">
        <v>1172</v>
      </c>
      <c r="D212" s="17">
        <f>VLOOKUP(A202,'Neraca Unaudited SIMAK'!$A$2:$S$10004,10,FALSE)</f>
        <v>0</v>
      </c>
      <c r="E212" s="25">
        <f>SUMIFS('Daftar Koreksi'!$H$5:$H$92,'Daftar Koreksi'!$D$5:$D$92,'0300'!A202,'Daftar Koreksi'!$G$5:$G$92,"Aset Tak Berwujud",'Daftar Koreksi'!$H$5:$H$92,"&gt;0")</f>
        <v>0</v>
      </c>
      <c r="F212" s="25">
        <f>SUMIFS('Daftar Koreksi'!$H$5:$H$92,'Daftar Koreksi'!$D$5:$D$92,'0300'!A202,'Daftar Koreksi'!$G$5:$G$92,"Aset Tak Berwujud",'Daftar Koreksi'!$H$5:$H$92,"&lt;0")-SUMIFS('Daftar Koreksi'!$H$5:$H$92,'Daftar Koreksi'!$D$5:$D$92,'0300'!A202,'Daftar Koreksi'!$G$5:$G$92,"Aset Tak Berwujud",'Daftar Koreksi'!$H$5:$H$92,"&lt;0")-SUMIFS('Daftar Koreksi'!$H$5:$H$92,'Daftar Koreksi'!$D$5:$D$92,'0300'!A202,'Daftar Koreksi'!$G$5:$G$92,"Aset Tak Berwujud",'Daftar Koreksi'!$H$5:$H$92,"&lt;0")</f>
        <v>0</v>
      </c>
      <c r="G212" s="17">
        <f t="shared" si="9"/>
        <v>0</v>
      </c>
      <c r="H212" s="122"/>
    </row>
    <row r="213" spans="1:8" ht="21.95" customHeight="1">
      <c r="A213" s="14"/>
      <c r="B213" s="14"/>
      <c r="C213" s="16" t="s">
        <v>1173</v>
      </c>
      <c r="D213" s="17">
        <f>VLOOKUP(A202,'Neraca Unaudited SIMAK'!$A$2:$S$10004,11,FALSE)</f>
        <v>2332475</v>
      </c>
      <c r="E213" s="25">
        <f>SUMIFS('Daftar Koreksi'!$H$5:$H$92,'Daftar Koreksi'!$D$5:$D$92,'0300'!A202,'Daftar Koreksi'!$G$5:$G$92,"Aset Henti Guna",'Daftar Koreksi'!$H$5:$H$92,"&gt;0")</f>
        <v>0</v>
      </c>
      <c r="F213" s="25">
        <f>SUMIFS('Daftar Koreksi'!$H$5:$H$92,'Daftar Koreksi'!$D$5:$D$92,'0300'!A202,'Daftar Koreksi'!$G$5:$G$92,"Aset Henti Guna",'Daftar Koreksi'!$H$5:$H$92,"&lt;0")-SUMIFS('Daftar Koreksi'!$H$5:$H$92,'Daftar Koreksi'!$D$5:$D$92,'0300'!A202,'Daftar Koreksi'!$G$5:$G$92,"Aset Henti Guna",'Daftar Koreksi'!$H$5:$H$92,"&lt;0")-SUMIFS('Daftar Koreksi'!$H$5:$H$92,'Daftar Koreksi'!$D$5:$D$92,'0300'!A202,'Daftar Koreksi'!$G$5:$G$92,"Aset Henti Guna",'Daftar Koreksi'!$H$5:$H$92,"&lt;0")</f>
        <v>0</v>
      </c>
      <c r="G213" s="17">
        <f t="shared" si="9"/>
        <v>2332475</v>
      </c>
      <c r="H213" s="122"/>
    </row>
    <row r="214" spans="1:8" ht="21.95" customHeight="1">
      <c r="A214" s="14"/>
      <c r="B214" s="14"/>
      <c r="C214" s="18" t="s">
        <v>2093</v>
      </c>
      <c r="D214" s="19">
        <f>VLOOKUP(A202,'Neraca Unaudited SIMAK'!$A$2:$S$10004,12,FALSE)</f>
        <v>16720362261</v>
      </c>
      <c r="E214" s="19">
        <f>SUM(E205:E213)</f>
        <v>0</v>
      </c>
      <c r="F214" s="19">
        <f>SUM(F205:F213)</f>
        <v>0</v>
      </c>
      <c r="G214" s="19">
        <f t="shared" si="9"/>
        <v>16720362261</v>
      </c>
      <c r="H214" s="122"/>
    </row>
    <row r="215" spans="1:8" ht="21.95" customHeight="1">
      <c r="A215" s="14"/>
      <c r="B215" s="14"/>
      <c r="C215" s="16" t="s">
        <v>2087</v>
      </c>
      <c r="D215" s="17">
        <f>VLOOKUP(A202,'Neraca Unaudited SIMAK'!$A$2:$S$10004,13,FALSE)</f>
        <v>-1371607691</v>
      </c>
      <c r="E215" s="25">
        <f>SUMIFS('Daftar Koreksi'!$I$5:$I$92,'Daftar Koreksi'!$D$5:$D$92,'0300'!A202,'Daftar Koreksi'!$G$5:$G$92,"Peralatan dan mesin",'Daftar Koreksi'!$I$5:$I$92,"&gt;0")</f>
        <v>0</v>
      </c>
      <c r="F215" s="25">
        <f>SUMIFS('Daftar Koreksi'!$I$5:$I$92,'Daftar Koreksi'!$D$5:$D$92,'0300'!A202,'Daftar Koreksi'!$G$5:$G$92,"Peralatan dan mesin",'Daftar Koreksi'!$I$5:$I$92,"&lt;0")-SUMIFS('Daftar Koreksi'!$I$5:$I$92,'Daftar Koreksi'!$D$5:$D$92,'0300'!A202,'Daftar Koreksi'!$G$5:$G$92,"Peralatan dan mesin",'Daftar Koreksi'!$I$5:$I$92,"&lt;0")-SUMIFS('Daftar Koreksi'!$I$5:$I$92,'Daftar Koreksi'!$D$5:$D$92,'0300'!A202,'Daftar Koreksi'!$G$5:$G$92,"Peralatan dan mesin",'Daftar Koreksi'!$I$5:$I$92,"&lt;0")</f>
        <v>0</v>
      </c>
      <c r="G215" s="17">
        <f t="shared" si="9"/>
        <v>-1371607691</v>
      </c>
      <c r="H215" s="122"/>
    </row>
    <row r="216" spans="1:8" ht="21.95" customHeight="1">
      <c r="A216" s="14"/>
      <c r="B216" s="14"/>
      <c r="C216" s="16" t="s">
        <v>2088</v>
      </c>
      <c r="D216" s="17">
        <f>VLOOKUP(A202,'Neraca Unaudited SIMAK'!$A$2:$S$10004,14,FALSE)</f>
        <v>-1143924004</v>
      </c>
      <c r="E216" s="25">
        <f>SUMIFS('Daftar Koreksi'!$I$5:$I$92,'Daftar Koreksi'!$D$5:$D$92,'0300'!A202,'Daftar Koreksi'!$G$5:$G$92,"Gedung dan Bangunan",'Daftar Koreksi'!$I$5:$I$92,"&gt;0")</f>
        <v>0</v>
      </c>
      <c r="F216" s="25">
        <f>SUMIFS('Daftar Koreksi'!$I$5:$I$92,'Daftar Koreksi'!$D$5:$D$92,'0300'!A202,'Daftar Koreksi'!$G$5:$G$92,"Gedung dan Bangunan",'Daftar Koreksi'!$I$5:$I$92,"&lt;0")-SUMIFS('Daftar Koreksi'!$I$5:$I$92,'Daftar Koreksi'!$D$5:$D$92,'0300'!A202,'Daftar Koreksi'!$G$5:$G$92,"Gedung dan Bangunan",'Daftar Koreksi'!$I$5:$I$92,"&lt;0")-SUMIFS('Daftar Koreksi'!$I$5:$I$92,'Daftar Koreksi'!$D$5:$D$92,'0300'!A202,'Daftar Koreksi'!$G$5:$G$92,"Gedung dan Bangunan",'Daftar Koreksi'!$I$5:$I$92,"&lt;0")</f>
        <v>0</v>
      </c>
      <c r="G216" s="17">
        <f t="shared" si="9"/>
        <v>-1143924004</v>
      </c>
      <c r="H216" s="122"/>
    </row>
    <row r="217" spans="1:8" ht="21.95" customHeight="1">
      <c r="A217" s="14"/>
      <c r="B217" s="14"/>
      <c r="C217" s="16" t="s">
        <v>2089</v>
      </c>
      <c r="D217" s="17">
        <f>VLOOKUP(A202,'Neraca Unaudited SIMAK'!$A$2:$S$10004,15,FALSE)</f>
        <v>-141630563</v>
      </c>
      <c r="E217" s="25">
        <f>SUMIFS('Daftar Koreksi'!$I$5:$I$92,'Daftar Koreksi'!$D$5:$D$92,'0300'!A202,'Daftar Koreksi'!$G$5:$G$92,"Jalan Irigasi Jaringan",'Daftar Koreksi'!$I$5:$I$92,"&gt;0")</f>
        <v>0</v>
      </c>
      <c r="F217" s="25">
        <f>SUMIFS('Daftar Koreksi'!$I$5:$I$92,'Daftar Koreksi'!$D$5:$D$92,'0300'!A202,'Daftar Koreksi'!$G$5:$G$92,"Jalan Irigasi Jaringan",'Daftar Koreksi'!$I$5:$I$92,"&lt;0")-SUMIFS('Daftar Koreksi'!$I$5:$I$92,'Daftar Koreksi'!$D$5:$D$92,'0300'!A202,'Daftar Koreksi'!$G$5:$G$92,"Jalan Irigasi Jaringan",'Daftar Koreksi'!$I$5:$I$92,"&lt;0")-SUMIFS('Daftar Koreksi'!$I$5:$I$92,'Daftar Koreksi'!$D$5:$D$92,'0300'!A202,'Daftar Koreksi'!$G$5:$G$92,"Jalan Irigasi Jaringan",'Daftar Koreksi'!$I$5:$I$92,"&lt;0")</f>
        <v>0</v>
      </c>
      <c r="G217" s="17">
        <f t="shared" si="9"/>
        <v>-141630563</v>
      </c>
      <c r="H217" s="122"/>
    </row>
    <row r="218" spans="1:8" ht="21.95" customHeight="1">
      <c r="A218" s="14"/>
      <c r="B218" s="14"/>
      <c r="C218" s="16" t="s">
        <v>2090</v>
      </c>
      <c r="D218" s="17">
        <f>VLOOKUP(A202,'Neraca Unaudited SIMAK'!$A$2:$S$10004,16,FALSE)</f>
        <v>0</v>
      </c>
      <c r="E218" s="25">
        <f>SUMIFS('Daftar Koreksi'!$I$5:$I$92,'Daftar Koreksi'!$D$5:$D$92,'0300'!A202,'Daftar Koreksi'!$G$5:$G$92,"Aset Tetap Lainnya",'Daftar Koreksi'!$I$5:$I$92,"&gt;0")</f>
        <v>0</v>
      </c>
      <c r="F218" s="25">
        <f>SUMIFS('Daftar Koreksi'!$I$5:$I$92,'Daftar Koreksi'!$D$5:$D$92,'0300'!A202,'Daftar Koreksi'!$G$5:$G$92,"Aset Tetap Lainnya",'Daftar Koreksi'!$I$5:$I$92,"&lt;0")-SUMIFS('Daftar Koreksi'!$I$5:$I$92,'Daftar Koreksi'!$D$5:$D$92,'0300'!A202,'Daftar Koreksi'!$G$5:$G$92,"Aset Tetap Lainnya",'Daftar Koreksi'!$I$5:$I$92,"&lt;0")-SUMIFS('Daftar Koreksi'!$I$5:$I$92,'Daftar Koreksi'!$D$5:$D$92,'0300'!A202,'Daftar Koreksi'!$G$5:$G$92,"Aset Tetap Lainnya",'Daftar Koreksi'!$I$5:$I$92,"&lt;0")</f>
        <v>0</v>
      </c>
      <c r="G218" s="17">
        <f t="shared" si="9"/>
        <v>0</v>
      </c>
      <c r="H218" s="122"/>
    </row>
    <row r="219" spans="1:8" ht="21.95" customHeight="1">
      <c r="A219" s="14"/>
      <c r="B219" s="14"/>
      <c r="C219" s="16" t="s">
        <v>2020</v>
      </c>
      <c r="D219" s="17">
        <f>VLOOKUP(A202,'Neraca Unaudited SIMAK'!$A$2:$S$10004,17,FALSE)</f>
        <v>-2332475</v>
      </c>
      <c r="E219" s="25">
        <f>SUMIFS('Daftar Koreksi'!$I$5:$I$92,'Daftar Koreksi'!$D$5:$D$92,'0300'!A202,'Daftar Koreksi'!$G$5:$G$92,"Aset Henti Guna",'Daftar Koreksi'!$I$5:$I$92,"&gt;0")</f>
        <v>0</v>
      </c>
      <c r="F219" s="25">
        <f>SUMIFS('Daftar Koreksi'!$I$5:$I$92,'Daftar Koreksi'!$D$5:$D$92,'0300'!A202,'Daftar Koreksi'!$G$5:$G$92,"Aset Henti Guna",'Daftar Koreksi'!$I$5:$I$92,"&lt;0")-SUMIFS('Daftar Koreksi'!$I$5:$I$92,'Daftar Koreksi'!$D$5:$D$92,'0300'!A202,'Daftar Koreksi'!$G$5:$G$92,"Aset Henti Guna",'Daftar Koreksi'!$I$5:$I$92,"&lt;0")-SUMIFS('Daftar Koreksi'!$I$5:$I$92,'Daftar Koreksi'!$D$5:$D$92,'0300'!A202,'Daftar Koreksi'!$G$5:$G$92,"Aset Henti Guna",'Daftar Koreksi'!$I$5:$I$92,"&lt;0")</f>
        <v>0</v>
      </c>
      <c r="G219" s="17">
        <f t="shared" si="9"/>
        <v>-2332475</v>
      </c>
      <c r="H219" s="122"/>
    </row>
    <row r="220" spans="1:8" ht="21.95" customHeight="1">
      <c r="A220" s="14"/>
      <c r="B220" s="14"/>
      <c r="C220" s="18" t="s">
        <v>2094</v>
      </c>
      <c r="D220" s="19">
        <f>SUM(D215:D219)</f>
        <v>-2659494733</v>
      </c>
      <c r="E220" s="19">
        <f>SUM(E215:E219)</f>
        <v>0</v>
      </c>
      <c r="F220" s="19">
        <f>SUM(F215:F219)</f>
        <v>0</v>
      </c>
      <c r="G220" s="19">
        <f t="shared" si="9"/>
        <v>-2659494733</v>
      </c>
      <c r="H220" s="122"/>
    </row>
    <row r="221" spans="1:8" ht="21.95" customHeight="1">
      <c r="A221" s="14"/>
      <c r="B221" s="14"/>
      <c r="C221" s="18" t="s">
        <v>2095</v>
      </c>
      <c r="D221" s="19">
        <f>VLOOKUP(A202,'Neraca Unaudited SIMAK'!$A$2:$S$10004,18,FALSE)</f>
        <v>14060867528</v>
      </c>
      <c r="E221" s="19">
        <f>E220+E214</f>
        <v>0</v>
      </c>
      <c r="F221" s="19">
        <f>F220+F214</f>
        <v>0</v>
      </c>
      <c r="G221" s="19">
        <f t="shared" si="9"/>
        <v>14060867528</v>
      </c>
      <c r="H221" s="122"/>
    </row>
    <row r="222" spans="1:8" ht="21.95" customHeight="1">
      <c r="A222" s="14"/>
      <c r="B222" s="14"/>
      <c r="C222" s="16" t="s">
        <v>2091</v>
      </c>
      <c r="D222" s="17">
        <f>VLOOKUP(A202,'Neraca Unaudited SIMAK'!$A$2:$S$10004,19,FALSE)</f>
        <v>0</v>
      </c>
      <c r="E222" s="25"/>
      <c r="F222" s="25"/>
      <c r="G222" s="17">
        <f t="shared" si="9"/>
        <v>0</v>
      </c>
      <c r="H222" s="123"/>
    </row>
    <row r="224" spans="1:8" ht="19.5" customHeight="1">
      <c r="A224" s="11" t="str">
        <f>O11</f>
        <v>005010300097819000KD</v>
      </c>
      <c r="B224" s="11" t="str">
        <f>P11</f>
        <v>PN. Purwodadi</v>
      </c>
      <c r="C224" s="12" t="str">
        <f>A224&amp;" "&amp;B224</f>
        <v>005010300097819000KD PN. Purwodadi</v>
      </c>
      <c r="D224" s="13"/>
      <c r="E224" s="13"/>
      <c r="F224" s="13"/>
      <c r="G224" s="13"/>
      <c r="H224" s="11"/>
    </row>
    <row r="225" spans="1:8" ht="21.95" customHeight="1">
      <c r="A225" s="14"/>
      <c r="B225" s="14"/>
      <c r="C225" s="124" t="s">
        <v>1982</v>
      </c>
      <c r="D225" s="126" t="s">
        <v>1983</v>
      </c>
      <c r="E225" s="132" t="s">
        <v>1984</v>
      </c>
      <c r="F225" s="132"/>
      <c r="G225" s="126" t="s">
        <v>1987</v>
      </c>
      <c r="H225" s="130" t="s">
        <v>1175</v>
      </c>
    </row>
    <row r="226" spans="1:8" ht="21.95" customHeight="1">
      <c r="A226" s="14"/>
      <c r="B226" s="14"/>
      <c r="C226" s="125"/>
      <c r="D226" s="127"/>
      <c r="E226" s="26" t="s">
        <v>1985</v>
      </c>
      <c r="F226" s="26" t="s">
        <v>1986</v>
      </c>
      <c r="G226" s="127"/>
      <c r="H226" s="131"/>
    </row>
    <row r="227" spans="1:8" ht="21.95" customHeight="1">
      <c r="A227" s="14"/>
      <c r="B227" s="14"/>
      <c r="C227" s="16" t="s">
        <v>1165</v>
      </c>
      <c r="D227" s="17">
        <f>VLOOKUP(A224,'Neraca Unaudited SIMAK'!$A$2:$S$10004,3,FALSE)</f>
        <v>234000</v>
      </c>
      <c r="E227" s="25">
        <f>SUMIFS('Daftar Koreksi'!$H$5:$H$92,'Daftar Koreksi'!$D$5:$D$92,'0300'!A224,'Daftar Koreksi'!$G$5:$G$92,"Persediaan",'Daftar Koreksi'!$H$5:$H$92,"&gt;0")</f>
        <v>0</v>
      </c>
      <c r="F227" s="25">
        <f>SUMIFS('Daftar Koreksi'!$H$5:$H$92,'Daftar Koreksi'!$D$5:$D$92,'0300'!A224,'Daftar Koreksi'!$G$5:$G$92,"Persediaan",'Daftar Koreksi'!$H$5:$H$92,"&lt;0")-SUMIFS('Daftar Koreksi'!$H$5:$H$92,'Daftar Koreksi'!$D$5:$D$92,'0300'!A224,'Daftar Koreksi'!$G$5:$G$92,"Persediaan",'Daftar Koreksi'!$H$5:$H$92,"&lt;0")-SUMIFS('Daftar Koreksi'!$H$5:$H$92,'Daftar Koreksi'!$D$5:$D$92,'0300'!A224,'Daftar Koreksi'!$G$5:$G$92,"Persediaan",'Daftar Koreksi'!$H$5:$H$92,"&lt;0")</f>
        <v>0</v>
      </c>
      <c r="G227" s="17">
        <f>D227+E227-F227</f>
        <v>234000</v>
      </c>
      <c r="H227" s="121" t="str">
        <f>IF(ISNA(VLOOKUP(A224,'Mutasi Neraca'!$A$3:$S$914,19,FALSE)),"-",VLOOKUP(A224,'Mutasi Neraca'!$A$3:$S$914,19,FALSE))</f>
        <v>-</v>
      </c>
    </row>
    <row r="228" spans="1:8" ht="21.95" customHeight="1">
      <c r="A228" s="14"/>
      <c r="B228" s="14"/>
      <c r="C228" s="16" t="s">
        <v>1166</v>
      </c>
      <c r="D228" s="17">
        <f>VLOOKUP(A224,'Neraca Unaudited SIMAK'!$A$2:$S$10004,4,FALSE)</f>
        <v>7142900000</v>
      </c>
      <c r="E228" s="25">
        <f>SUMIFS('Daftar Koreksi'!$H$5:$H$92,'Daftar Koreksi'!$D$5:$D$92,'0300'!A224,'Daftar Koreksi'!$G$5:$G$92,"Tanah",'Daftar Koreksi'!$H$5:$H$92,"&gt;0")</f>
        <v>0</v>
      </c>
      <c r="F228" s="25">
        <f>SUMIFS('Daftar Koreksi'!$H$5:$H$92,'Daftar Koreksi'!$D$5:$D$92,'0300'!A224,'Daftar Koreksi'!$G$5:$G$92,"Tanah",'Daftar Koreksi'!$H$5:$H$92,"&lt;0")-SUMIFS('Daftar Koreksi'!$H$5:$H$92,'Daftar Koreksi'!$D$5:$D$92,'0300'!A224,'Daftar Koreksi'!$G$5:$G$92,"Tanah",'Daftar Koreksi'!$H$5:$H$92,"&lt;0")-SUMIFS('Daftar Koreksi'!$H$5:$H$92,'Daftar Koreksi'!$D$5:$D$92,'0300'!A224,'Daftar Koreksi'!$G$5:$G$92,"Tanah",'Daftar Koreksi'!$H$5:$H$92,"&lt;0")</f>
        <v>0</v>
      </c>
      <c r="G228" s="17">
        <f t="shared" ref="G228:G244" si="10">D228+E228-F228</f>
        <v>7142900000</v>
      </c>
      <c r="H228" s="122"/>
    </row>
    <row r="229" spans="1:8" ht="21.95" customHeight="1">
      <c r="A229" s="14"/>
      <c r="B229" s="14"/>
      <c r="C229" s="16" t="s">
        <v>1167</v>
      </c>
      <c r="D229" s="17">
        <f>VLOOKUP(A224,'Neraca Unaudited SIMAK'!$A$2:$S$10004,5,FALSE)</f>
        <v>2099929214</v>
      </c>
      <c r="E229" s="25">
        <f>SUMIFS('Daftar Koreksi'!$H$5:$H$92,'Daftar Koreksi'!$D$5:$D$92,'0300'!A224,'Daftar Koreksi'!$G$5:$G$92,"Peralatan dan mesin",'Daftar Koreksi'!$H$5:$H$92,"&gt;0")</f>
        <v>0</v>
      </c>
      <c r="F229" s="25">
        <f>SUMIFS('Daftar Koreksi'!$H$5:$H$92,'Daftar Koreksi'!$D$5:$D$92,'0300'!A224,'Daftar Koreksi'!$G$5:$G$92,"Peralatan dan mesin",'Daftar Koreksi'!$H$5:$H$92,"&lt;0")-SUMIFS('Daftar Koreksi'!$H$5:$H$92,'Daftar Koreksi'!$D$5:$D$92,'0300'!A224,'Daftar Koreksi'!$G$5:$G$92,"Peralatan dan mesin",'Daftar Koreksi'!$H$5:$H$92,"&lt;0")-SUMIFS('Daftar Koreksi'!$H$5:$H$92,'Daftar Koreksi'!$D$5:$D$92,'0300'!A224,'Daftar Koreksi'!$G$5:$G$92,"Peralatan dan mesin",'Daftar Koreksi'!$H$5:$H$92,"&lt;0")</f>
        <v>0</v>
      </c>
      <c r="G229" s="17">
        <f t="shared" si="10"/>
        <v>2099929214</v>
      </c>
      <c r="H229" s="122"/>
    </row>
    <row r="230" spans="1:8" ht="21.95" customHeight="1">
      <c r="A230" s="14"/>
      <c r="B230" s="14"/>
      <c r="C230" s="16" t="s">
        <v>1168</v>
      </c>
      <c r="D230" s="17">
        <f>VLOOKUP(A224,'Neraca Unaudited SIMAK'!$A$2:$S$10004,6,FALSE)</f>
        <v>3596011850</v>
      </c>
      <c r="E230" s="25">
        <f>SUMIFS('Daftar Koreksi'!$H$5:$H$92,'Daftar Koreksi'!$D$5:$D$92,'0300'!A224,'Daftar Koreksi'!$G$5:$G$92,"Gedung dan Bangunan",'Daftar Koreksi'!$H$5:$H$92,"&gt;0")</f>
        <v>0</v>
      </c>
      <c r="F230" s="25">
        <f>SUMIFS('Daftar Koreksi'!$H$5:$H$92,'Daftar Koreksi'!$D$5:$D$92,'0300'!A224,'Daftar Koreksi'!$G$5:$G$92,"Gedung dan Bangunan",'Daftar Koreksi'!$H$5:$H$92,"&lt;0")-SUMIFS('Daftar Koreksi'!$H$5:$H$92,'Daftar Koreksi'!$D$5:$D$92,'0300'!A224,'Daftar Koreksi'!$G$5:$G$92,"Gedung dan Bangunan",'Daftar Koreksi'!$H$5:$H$92,"&lt;0")-SUMIFS('Daftar Koreksi'!$H$5:$H$92,'Daftar Koreksi'!$D$5:$D$92,'0300'!A224,'Daftar Koreksi'!$G$5:$G$92,"Gedung dan Bangunan",'Daftar Koreksi'!$H$5:$H$92,"&lt;0")</f>
        <v>0</v>
      </c>
      <c r="G230" s="17">
        <f t="shared" si="10"/>
        <v>3596011850</v>
      </c>
      <c r="H230" s="122"/>
    </row>
    <row r="231" spans="1:8" ht="21.95" customHeight="1">
      <c r="A231" s="14"/>
      <c r="B231" s="14"/>
      <c r="C231" s="16" t="s">
        <v>1169</v>
      </c>
      <c r="D231" s="17">
        <f>VLOOKUP(A224,'Neraca Unaudited SIMAK'!$A$2:$S$10004,7,FALSE)</f>
        <v>52110000</v>
      </c>
      <c r="E231" s="25">
        <f>SUMIFS('Daftar Koreksi'!$H$5:$H$92,'Daftar Koreksi'!$D$5:$D$92,'0300'!A224,'Daftar Koreksi'!$G$5:$G$92,"Jalan Irigasi Jaringan",'Daftar Koreksi'!$H$5:$H$92,"&gt;0")</f>
        <v>0</v>
      </c>
      <c r="F231" s="25">
        <f>SUMIFS('Daftar Koreksi'!$H$5:$H$92,'Daftar Koreksi'!$D$5:$D$92,'0300'!A224,'Daftar Koreksi'!$G$5:$G$92,"Jalan Irigasi Jaringan",'Daftar Koreksi'!$H$5:$H$92,"&lt;0")-SUMIFS('Daftar Koreksi'!$H$5:$H$92,'Daftar Koreksi'!$D$5:$D$92,'0300'!A224,'Daftar Koreksi'!$G$5:$G$92,"Jalan Irigasi Jaringan",'Daftar Koreksi'!$H$5:$H$92,"&lt;0")-SUMIFS('Daftar Koreksi'!$H$5:$H$92,'Daftar Koreksi'!$D$5:$D$92,'0300'!A224,'Daftar Koreksi'!$G$5:$G$92,"Jalan Irigasi Jaringan",'Daftar Koreksi'!$H$5:$H$92,"&lt;0")</f>
        <v>0</v>
      </c>
      <c r="G231" s="17">
        <f t="shared" si="10"/>
        <v>52110000</v>
      </c>
      <c r="H231" s="122"/>
    </row>
    <row r="232" spans="1:8" ht="21.95" customHeight="1">
      <c r="A232" s="14"/>
      <c r="B232" s="14"/>
      <c r="C232" s="16" t="s">
        <v>1170</v>
      </c>
      <c r="D232" s="17">
        <f>VLOOKUP(A224,'Neraca Unaudited SIMAK'!$A$2:$S$10004,8,FALSE)</f>
        <v>99233740</v>
      </c>
      <c r="E232" s="25">
        <f>SUMIFS('Daftar Koreksi'!$H$5:$H$92,'Daftar Koreksi'!$D$5:$D$92,'0300'!A224,'Daftar Koreksi'!$G$5:$G$92,"Aset Tetap Lainnya",'Daftar Koreksi'!$H$5:$H$92,"&gt;0")</f>
        <v>0</v>
      </c>
      <c r="F232" s="25">
        <f>SUMIFS('Daftar Koreksi'!$H$5:$H$92,'Daftar Koreksi'!$D$5:$D$92,'0300'!A224,'Daftar Koreksi'!$G$5:$G$92,"Aset Tetap Lainnya",'Daftar Koreksi'!$H$5:$H$92,"&lt;0")-SUMIFS('Daftar Koreksi'!$H$5:$H$92,'Daftar Koreksi'!$D$5:$D$92,'0300'!A224,'Daftar Koreksi'!$G$5:$G$92,"Aset Tetap Lainnya",'Daftar Koreksi'!$H$5:$H$92,"&lt;0")-SUMIFS('Daftar Koreksi'!$H$5:$H$92,'Daftar Koreksi'!$D$5:$D$92,'0300'!A224,'Daftar Koreksi'!$G$5:$G$92,"Aset Tetap Lainnya",'Daftar Koreksi'!$H$5:$H$92,"&lt;0")</f>
        <v>0</v>
      </c>
      <c r="G232" s="17">
        <f t="shared" si="10"/>
        <v>99233740</v>
      </c>
      <c r="H232" s="122"/>
    </row>
    <row r="233" spans="1:8" ht="21.95" customHeight="1">
      <c r="A233" s="14"/>
      <c r="B233" s="14"/>
      <c r="C233" s="16" t="s">
        <v>1171</v>
      </c>
      <c r="D233" s="17">
        <f>VLOOKUP(A224,'Neraca Unaudited SIMAK'!$A$2:$S$10004,9,FALSE)</f>
        <v>0</v>
      </c>
      <c r="E233" s="25">
        <f>SUMIFS('Daftar Koreksi'!$H$5:$H$92,'Daftar Koreksi'!$D$5:$D$92,'0300'!A224,'Daftar Koreksi'!$G$5:$G$92,"Kontruksi Dalam Pengerjaan",'Daftar Koreksi'!$H$5:$H$92,"&gt;0")</f>
        <v>0</v>
      </c>
      <c r="F233" s="25">
        <f>SUMIFS('Daftar Koreksi'!$H$5:$H$92,'Daftar Koreksi'!$D$5:$D$92,'0300'!A224,'Daftar Koreksi'!$G$5:$G$92,"Kontruksi Dalam Pengerjaan",'Daftar Koreksi'!$H$5:$H$92,"&lt;0")-SUMIFS('Daftar Koreksi'!$H$5:$H$92,'Daftar Koreksi'!$D$5:$D$92,'0300'!A224,'Daftar Koreksi'!$G$5:$G$92,"Kontruksi Dalam Pengerjaan",'Daftar Koreksi'!$H$5:$H$92,"&lt;0")-SUMIFS('Daftar Koreksi'!$H$5:$H$92,'Daftar Koreksi'!$D$5:$D$92,'0300'!A224,'Daftar Koreksi'!$G$5:$G$92,"Kontruksi Dalam Pengerjaan",'Daftar Koreksi'!$H$5:$H$92,"&lt;0")</f>
        <v>0</v>
      </c>
      <c r="G233" s="17">
        <f t="shared" si="10"/>
        <v>0</v>
      </c>
      <c r="H233" s="122"/>
    </row>
    <row r="234" spans="1:8" ht="21.95" customHeight="1">
      <c r="A234" s="14"/>
      <c r="B234" s="14"/>
      <c r="C234" s="16" t="s">
        <v>1172</v>
      </c>
      <c r="D234" s="17">
        <f>VLOOKUP(A224,'Neraca Unaudited SIMAK'!$A$2:$S$10004,10,FALSE)</f>
        <v>0</v>
      </c>
      <c r="E234" s="25">
        <f>SUMIFS('Daftar Koreksi'!$H$5:$H$92,'Daftar Koreksi'!$D$5:$D$92,'0300'!A224,'Daftar Koreksi'!$G$5:$G$92,"Aset Tak Berwujud",'Daftar Koreksi'!$H$5:$H$92,"&gt;0")</f>
        <v>0</v>
      </c>
      <c r="F234" s="25">
        <f>SUMIFS('Daftar Koreksi'!$H$5:$H$92,'Daftar Koreksi'!$D$5:$D$92,'0300'!A224,'Daftar Koreksi'!$G$5:$G$92,"Aset Tak Berwujud",'Daftar Koreksi'!$H$5:$H$92,"&lt;0")-SUMIFS('Daftar Koreksi'!$H$5:$H$92,'Daftar Koreksi'!$D$5:$D$92,'0300'!A224,'Daftar Koreksi'!$G$5:$G$92,"Aset Tak Berwujud",'Daftar Koreksi'!$H$5:$H$92,"&lt;0")-SUMIFS('Daftar Koreksi'!$H$5:$H$92,'Daftar Koreksi'!$D$5:$D$92,'0300'!A224,'Daftar Koreksi'!$G$5:$G$92,"Aset Tak Berwujud",'Daftar Koreksi'!$H$5:$H$92,"&lt;0")</f>
        <v>0</v>
      </c>
      <c r="G234" s="17">
        <f t="shared" si="10"/>
        <v>0</v>
      </c>
      <c r="H234" s="122"/>
    </row>
    <row r="235" spans="1:8" ht="21.95" customHeight="1">
      <c r="A235" s="14"/>
      <c r="B235" s="14"/>
      <c r="C235" s="16" t="s">
        <v>1173</v>
      </c>
      <c r="D235" s="17">
        <f>VLOOKUP(A224,'Neraca Unaudited SIMAK'!$A$2:$S$10004,11,FALSE)</f>
        <v>6470000</v>
      </c>
      <c r="E235" s="25">
        <f>SUMIFS('Daftar Koreksi'!$H$5:$H$92,'Daftar Koreksi'!$D$5:$D$92,'0300'!A224,'Daftar Koreksi'!$G$5:$G$92,"Aset Henti Guna",'Daftar Koreksi'!$H$5:$H$92,"&gt;0")</f>
        <v>0</v>
      </c>
      <c r="F235" s="25">
        <f>SUMIFS('Daftar Koreksi'!$H$5:$H$92,'Daftar Koreksi'!$D$5:$D$92,'0300'!A224,'Daftar Koreksi'!$G$5:$G$92,"Aset Henti Guna",'Daftar Koreksi'!$H$5:$H$92,"&lt;0")-SUMIFS('Daftar Koreksi'!$H$5:$H$92,'Daftar Koreksi'!$D$5:$D$92,'0300'!A224,'Daftar Koreksi'!$G$5:$G$92,"Aset Henti Guna",'Daftar Koreksi'!$H$5:$H$92,"&lt;0")-SUMIFS('Daftar Koreksi'!$H$5:$H$92,'Daftar Koreksi'!$D$5:$D$92,'0300'!A224,'Daftar Koreksi'!$G$5:$G$92,"Aset Henti Guna",'Daftar Koreksi'!$H$5:$H$92,"&lt;0")</f>
        <v>0</v>
      </c>
      <c r="G235" s="17">
        <f t="shared" si="10"/>
        <v>6470000</v>
      </c>
      <c r="H235" s="122"/>
    </row>
    <row r="236" spans="1:8" ht="21.95" customHeight="1">
      <c r="A236" s="14"/>
      <c r="B236" s="14"/>
      <c r="C236" s="18" t="s">
        <v>2093</v>
      </c>
      <c r="D236" s="19">
        <f>VLOOKUP(A224,'Neraca Unaudited SIMAK'!$A$2:$S$10004,12,FALSE)</f>
        <v>12996888804</v>
      </c>
      <c r="E236" s="19">
        <f>SUM(E227:E235)</f>
        <v>0</v>
      </c>
      <c r="F236" s="19">
        <f>SUM(F227:F235)</f>
        <v>0</v>
      </c>
      <c r="G236" s="19">
        <f t="shared" si="10"/>
        <v>12996888804</v>
      </c>
      <c r="H236" s="122"/>
    </row>
    <row r="237" spans="1:8" ht="21.95" customHeight="1">
      <c r="A237" s="14"/>
      <c r="B237" s="14"/>
      <c r="C237" s="16" t="s">
        <v>2087</v>
      </c>
      <c r="D237" s="17">
        <f>VLOOKUP(A224,'Neraca Unaudited SIMAK'!$A$2:$S$10004,13,FALSE)</f>
        <v>-1644216329</v>
      </c>
      <c r="E237" s="25">
        <f>SUMIFS('Daftar Koreksi'!$I$5:$I$92,'Daftar Koreksi'!$D$5:$D$92,'0300'!A224,'Daftar Koreksi'!$G$5:$G$92,"Peralatan dan mesin",'Daftar Koreksi'!$I$5:$I$92,"&gt;0")</f>
        <v>0</v>
      </c>
      <c r="F237" s="25">
        <f>SUMIFS('Daftar Koreksi'!$I$5:$I$92,'Daftar Koreksi'!$D$5:$D$92,'0300'!A224,'Daftar Koreksi'!$G$5:$G$92,"Peralatan dan mesin",'Daftar Koreksi'!$I$5:$I$92,"&lt;0")-SUMIFS('Daftar Koreksi'!$I$5:$I$92,'Daftar Koreksi'!$D$5:$D$92,'0300'!A224,'Daftar Koreksi'!$G$5:$G$92,"Peralatan dan mesin",'Daftar Koreksi'!$I$5:$I$92,"&lt;0")-SUMIFS('Daftar Koreksi'!$I$5:$I$92,'Daftar Koreksi'!$D$5:$D$92,'0300'!A224,'Daftar Koreksi'!$G$5:$G$92,"Peralatan dan mesin",'Daftar Koreksi'!$I$5:$I$92,"&lt;0")</f>
        <v>0</v>
      </c>
      <c r="G237" s="17">
        <f t="shared" si="10"/>
        <v>-1644216329</v>
      </c>
      <c r="H237" s="122"/>
    </row>
    <row r="238" spans="1:8" ht="21.95" customHeight="1">
      <c r="A238" s="14"/>
      <c r="B238" s="14"/>
      <c r="C238" s="16" t="s">
        <v>2088</v>
      </c>
      <c r="D238" s="17">
        <f>VLOOKUP(A224,'Neraca Unaudited SIMAK'!$A$2:$S$10004,14,FALSE)</f>
        <v>-1166336484</v>
      </c>
      <c r="E238" s="25">
        <f>SUMIFS('Daftar Koreksi'!$I$5:$I$92,'Daftar Koreksi'!$D$5:$D$92,'0300'!A224,'Daftar Koreksi'!$G$5:$G$92,"Gedung dan Bangunan",'Daftar Koreksi'!$I$5:$I$92,"&gt;0")</f>
        <v>0</v>
      </c>
      <c r="F238" s="25">
        <f>SUMIFS('Daftar Koreksi'!$I$5:$I$92,'Daftar Koreksi'!$D$5:$D$92,'0300'!A224,'Daftar Koreksi'!$G$5:$G$92,"Gedung dan Bangunan",'Daftar Koreksi'!$I$5:$I$92,"&lt;0")-SUMIFS('Daftar Koreksi'!$I$5:$I$92,'Daftar Koreksi'!$D$5:$D$92,'0300'!A224,'Daftar Koreksi'!$G$5:$G$92,"Gedung dan Bangunan",'Daftar Koreksi'!$I$5:$I$92,"&lt;0")-SUMIFS('Daftar Koreksi'!$I$5:$I$92,'Daftar Koreksi'!$D$5:$D$92,'0300'!A224,'Daftar Koreksi'!$G$5:$G$92,"Gedung dan Bangunan",'Daftar Koreksi'!$I$5:$I$92,"&lt;0")</f>
        <v>0</v>
      </c>
      <c r="G238" s="17">
        <f t="shared" si="10"/>
        <v>-1166336484</v>
      </c>
      <c r="H238" s="122"/>
    </row>
    <row r="239" spans="1:8" ht="21.95" customHeight="1">
      <c r="A239" s="14"/>
      <c r="B239" s="14"/>
      <c r="C239" s="16" t="s">
        <v>2089</v>
      </c>
      <c r="D239" s="17">
        <f>VLOOKUP(A224,'Neraca Unaudited SIMAK'!$A$2:$S$10004,15,FALSE)</f>
        <v>-18238500</v>
      </c>
      <c r="E239" s="25">
        <f>SUMIFS('Daftar Koreksi'!$I$5:$I$92,'Daftar Koreksi'!$D$5:$D$92,'0300'!A224,'Daftar Koreksi'!$G$5:$G$92,"Jalan Irigasi Jaringan",'Daftar Koreksi'!$I$5:$I$92,"&gt;0")</f>
        <v>0</v>
      </c>
      <c r="F239" s="25">
        <f>SUMIFS('Daftar Koreksi'!$I$5:$I$92,'Daftar Koreksi'!$D$5:$D$92,'0300'!A224,'Daftar Koreksi'!$G$5:$G$92,"Jalan Irigasi Jaringan",'Daftar Koreksi'!$I$5:$I$92,"&lt;0")-SUMIFS('Daftar Koreksi'!$I$5:$I$92,'Daftar Koreksi'!$D$5:$D$92,'0300'!A224,'Daftar Koreksi'!$G$5:$G$92,"Jalan Irigasi Jaringan",'Daftar Koreksi'!$I$5:$I$92,"&lt;0")-SUMIFS('Daftar Koreksi'!$I$5:$I$92,'Daftar Koreksi'!$D$5:$D$92,'0300'!A224,'Daftar Koreksi'!$G$5:$G$92,"Jalan Irigasi Jaringan",'Daftar Koreksi'!$I$5:$I$92,"&lt;0")</f>
        <v>0</v>
      </c>
      <c r="G239" s="17">
        <f t="shared" si="10"/>
        <v>-18238500</v>
      </c>
      <c r="H239" s="122"/>
    </row>
    <row r="240" spans="1:8" ht="21.95" customHeight="1">
      <c r="A240" s="14"/>
      <c r="B240" s="14"/>
      <c r="C240" s="16" t="s">
        <v>2090</v>
      </c>
      <c r="D240" s="17">
        <f>VLOOKUP(A224,'Neraca Unaudited SIMAK'!$A$2:$S$10004,16,FALSE)</f>
        <v>0</v>
      </c>
      <c r="E240" s="25">
        <f>SUMIFS('Daftar Koreksi'!$I$5:$I$92,'Daftar Koreksi'!$D$5:$D$92,'0300'!A224,'Daftar Koreksi'!$G$5:$G$92,"Aset Tetap Lainnya",'Daftar Koreksi'!$I$5:$I$92,"&gt;0")</f>
        <v>0</v>
      </c>
      <c r="F240" s="25">
        <f>SUMIFS('Daftar Koreksi'!$I$5:$I$92,'Daftar Koreksi'!$D$5:$D$92,'0300'!A224,'Daftar Koreksi'!$G$5:$G$92,"Aset Tetap Lainnya",'Daftar Koreksi'!$I$5:$I$92,"&lt;0")-SUMIFS('Daftar Koreksi'!$I$5:$I$92,'Daftar Koreksi'!$D$5:$D$92,'0300'!A224,'Daftar Koreksi'!$G$5:$G$92,"Aset Tetap Lainnya",'Daftar Koreksi'!$I$5:$I$92,"&lt;0")-SUMIFS('Daftar Koreksi'!$I$5:$I$92,'Daftar Koreksi'!$D$5:$D$92,'0300'!A224,'Daftar Koreksi'!$G$5:$G$92,"Aset Tetap Lainnya",'Daftar Koreksi'!$I$5:$I$92,"&lt;0")</f>
        <v>0</v>
      </c>
      <c r="G240" s="17">
        <f t="shared" si="10"/>
        <v>0</v>
      </c>
      <c r="H240" s="122"/>
    </row>
    <row r="241" spans="1:8" ht="21.95" customHeight="1">
      <c r="A241" s="14"/>
      <c r="B241" s="14"/>
      <c r="C241" s="16" t="s">
        <v>2020</v>
      </c>
      <c r="D241" s="17">
        <f>VLOOKUP(A224,'Neraca Unaudited SIMAK'!$A$2:$S$10004,17,FALSE)</f>
        <v>-6470000</v>
      </c>
      <c r="E241" s="25">
        <f>SUMIFS('Daftar Koreksi'!$I$5:$I$92,'Daftar Koreksi'!$D$5:$D$92,'0300'!A224,'Daftar Koreksi'!$G$5:$G$92,"Aset Henti Guna",'Daftar Koreksi'!$I$5:$I$92,"&gt;0")</f>
        <v>0</v>
      </c>
      <c r="F241" s="25">
        <f>SUMIFS('Daftar Koreksi'!$I$5:$I$92,'Daftar Koreksi'!$D$5:$D$92,'0300'!A224,'Daftar Koreksi'!$G$5:$G$92,"Aset Henti Guna",'Daftar Koreksi'!$I$5:$I$92,"&lt;0")-SUMIFS('Daftar Koreksi'!$I$5:$I$92,'Daftar Koreksi'!$D$5:$D$92,'0300'!A224,'Daftar Koreksi'!$G$5:$G$92,"Aset Henti Guna",'Daftar Koreksi'!$I$5:$I$92,"&lt;0")-SUMIFS('Daftar Koreksi'!$I$5:$I$92,'Daftar Koreksi'!$D$5:$D$92,'0300'!A224,'Daftar Koreksi'!$G$5:$G$92,"Aset Henti Guna",'Daftar Koreksi'!$I$5:$I$92,"&lt;0")</f>
        <v>0</v>
      </c>
      <c r="G241" s="17">
        <f t="shared" si="10"/>
        <v>-6470000</v>
      </c>
      <c r="H241" s="122"/>
    </row>
    <row r="242" spans="1:8" ht="21.95" customHeight="1">
      <c r="A242" s="14"/>
      <c r="B242" s="14"/>
      <c r="C242" s="18" t="s">
        <v>2094</v>
      </c>
      <c r="D242" s="19">
        <f>SUM(D237:D241)</f>
        <v>-2835261313</v>
      </c>
      <c r="E242" s="19">
        <f>SUM(E237:E241)</f>
        <v>0</v>
      </c>
      <c r="F242" s="19">
        <f>SUM(F237:F241)</f>
        <v>0</v>
      </c>
      <c r="G242" s="19">
        <f t="shared" si="10"/>
        <v>-2835261313</v>
      </c>
      <c r="H242" s="122"/>
    </row>
    <row r="243" spans="1:8" ht="21.95" customHeight="1">
      <c r="A243" s="14"/>
      <c r="B243" s="14"/>
      <c r="C243" s="18" t="s">
        <v>2095</v>
      </c>
      <c r="D243" s="19">
        <f>VLOOKUP(A224,'Neraca Unaudited SIMAK'!$A$2:$S$10004,18,FALSE)</f>
        <v>10161627491</v>
      </c>
      <c r="E243" s="19">
        <f>E242+E236</f>
        <v>0</v>
      </c>
      <c r="F243" s="19">
        <f>F242+F236</f>
        <v>0</v>
      </c>
      <c r="G243" s="19">
        <f t="shared" si="10"/>
        <v>10161627491</v>
      </c>
      <c r="H243" s="122"/>
    </row>
    <row r="244" spans="1:8" ht="21.95" customHeight="1">
      <c r="A244" s="14"/>
      <c r="B244" s="14"/>
      <c r="C244" s="16" t="s">
        <v>2091</v>
      </c>
      <c r="D244" s="17">
        <f>VLOOKUP(A224,'Neraca Unaudited SIMAK'!$A$2:$S$10004,19,FALSE)</f>
        <v>0</v>
      </c>
      <c r="E244" s="25"/>
      <c r="F244" s="25"/>
      <c r="G244" s="17">
        <f t="shared" si="10"/>
        <v>0</v>
      </c>
      <c r="H244" s="123"/>
    </row>
    <row r="246" spans="1:8" ht="19.5" customHeight="1">
      <c r="A246" s="11" t="str">
        <f>O12</f>
        <v>005010300097823000KD</v>
      </c>
      <c r="B246" s="11" t="str">
        <f>P12</f>
        <v>PN. Salatiga</v>
      </c>
      <c r="C246" s="12" t="str">
        <f>A246&amp;" "&amp;B246</f>
        <v>005010300097823000KD PN. Salatiga</v>
      </c>
      <c r="D246" s="13"/>
      <c r="E246" s="13"/>
      <c r="F246" s="13"/>
      <c r="G246" s="13"/>
      <c r="H246" s="11"/>
    </row>
    <row r="247" spans="1:8" ht="21.95" customHeight="1">
      <c r="A247" s="14"/>
      <c r="B247" s="14"/>
      <c r="C247" s="124" t="s">
        <v>1982</v>
      </c>
      <c r="D247" s="126" t="s">
        <v>1983</v>
      </c>
      <c r="E247" s="132" t="s">
        <v>1984</v>
      </c>
      <c r="F247" s="132"/>
      <c r="G247" s="126" t="s">
        <v>1987</v>
      </c>
      <c r="H247" s="130" t="s">
        <v>1175</v>
      </c>
    </row>
    <row r="248" spans="1:8" ht="21.95" customHeight="1">
      <c r="A248" s="14"/>
      <c r="B248" s="14"/>
      <c r="C248" s="125"/>
      <c r="D248" s="127"/>
      <c r="E248" s="26" t="s">
        <v>1985</v>
      </c>
      <c r="F248" s="26" t="s">
        <v>1986</v>
      </c>
      <c r="G248" s="127"/>
      <c r="H248" s="131"/>
    </row>
    <row r="249" spans="1:8" ht="21.95" customHeight="1">
      <c r="A249" s="14"/>
      <c r="B249" s="14"/>
      <c r="C249" s="16" t="s">
        <v>1165</v>
      </c>
      <c r="D249" s="17">
        <f>VLOOKUP(A246,'Neraca Unaudited SIMAK'!$A$2:$S$10004,3,FALSE)</f>
        <v>78000</v>
      </c>
      <c r="E249" s="25">
        <f>SUMIFS('Daftar Koreksi'!$H$5:$H$92,'Daftar Koreksi'!$D$5:$D$92,'0300'!A246,'Daftar Koreksi'!$G$5:$G$92,"Persediaan",'Daftar Koreksi'!$H$5:$H$92,"&gt;0")</f>
        <v>0</v>
      </c>
      <c r="F249" s="25">
        <f>SUMIFS('Daftar Koreksi'!$H$5:$H$92,'Daftar Koreksi'!$D$5:$D$92,'0300'!A246,'Daftar Koreksi'!$G$5:$G$92,"Persediaan",'Daftar Koreksi'!$H$5:$H$92,"&lt;0")-SUMIFS('Daftar Koreksi'!$H$5:$H$92,'Daftar Koreksi'!$D$5:$D$92,'0300'!A246,'Daftar Koreksi'!$G$5:$G$92,"Persediaan",'Daftar Koreksi'!$H$5:$H$92,"&lt;0")-SUMIFS('Daftar Koreksi'!$H$5:$H$92,'Daftar Koreksi'!$D$5:$D$92,'0300'!A246,'Daftar Koreksi'!$G$5:$G$92,"Persediaan",'Daftar Koreksi'!$H$5:$H$92,"&lt;0")</f>
        <v>0</v>
      </c>
      <c r="G249" s="17">
        <f>D249+E249-F249</f>
        <v>78000</v>
      </c>
      <c r="H249" s="121" t="str">
        <f>IF(ISNA(VLOOKUP(A246,'Mutasi Neraca'!$A$3:$S$914,19,FALSE)),"-",VLOOKUP(A246,'Mutasi Neraca'!$A$3:$S$914,19,FALSE))</f>
        <v>-</v>
      </c>
    </row>
    <row r="250" spans="1:8" ht="21.95" customHeight="1">
      <c r="A250" s="14"/>
      <c r="B250" s="14"/>
      <c r="C250" s="16" t="s">
        <v>1166</v>
      </c>
      <c r="D250" s="17">
        <f>VLOOKUP(A246,'Neraca Unaudited SIMAK'!$A$2:$S$10004,4,FALSE)</f>
        <v>5482315000</v>
      </c>
      <c r="E250" s="25">
        <f>SUMIFS('Daftar Koreksi'!$H$5:$H$92,'Daftar Koreksi'!$D$5:$D$92,'0300'!A246,'Daftar Koreksi'!$G$5:$G$92,"Tanah",'Daftar Koreksi'!$H$5:$H$92,"&gt;0")</f>
        <v>0</v>
      </c>
      <c r="F250" s="25">
        <f>SUMIFS('Daftar Koreksi'!$H$5:$H$92,'Daftar Koreksi'!$D$5:$D$92,'0300'!A246,'Daftar Koreksi'!$G$5:$G$92,"Tanah",'Daftar Koreksi'!$H$5:$H$92,"&lt;0")-SUMIFS('Daftar Koreksi'!$H$5:$H$92,'Daftar Koreksi'!$D$5:$D$92,'0300'!A246,'Daftar Koreksi'!$G$5:$G$92,"Tanah",'Daftar Koreksi'!$H$5:$H$92,"&lt;0")-SUMIFS('Daftar Koreksi'!$H$5:$H$92,'Daftar Koreksi'!$D$5:$D$92,'0300'!A246,'Daftar Koreksi'!$G$5:$G$92,"Tanah",'Daftar Koreksi'!$H$5:$H$92,"&lt;0")</f>
        <v>0</v>
      </c>
      <c r="G250" s="17">
        <f t="shared" ref="G250:G266" si="11">D250+E250-F250</f>
        <v>5482315000</v>
      </c>
      <c r="H250" s="122"/>
    </row>
    <row r="251" spans="1:8" ht="21.95" customHeight="1">
      <c r="A251" s="14"/>
      <c r="B251" s="14"/>
      <c r="C251" s="16" t="s">
        <v>1167</v>
      </c>
      <c r="D251" s="17">
        <f>VLOOKUP(A246,'Neraca Unaudited SIMAK'!$A$2:$S$10004,5,FALSE)</f>
        <v>1909238998</v>
      </c>
      <c r="E251" s="25">
        <f>SUMIFS('Daftar Koreksi'!$H$5:$H$92,'Daftar Koreksi'!$D$5:$D$92,'0300'!A246,'Daftar Koreksi'!$G$5:$G$92,"Peralatan dan mesin",'Daftar Koreksi'!$H$5:$H$92,"&gt;0")</f>
        <v>0</v>
      </c>
      <c r="F251" s="25">
        <f>SUMIFS('Daftar Koreksi'!$H$5:$H$92,'Daftar Koreksi'!$D$5:$D$92,'0300'!A246,'Daftar Koreksi'!$G$5:$G$92,"Peralatan dan mesin",'Daftar Koreksi'!$H$5:$H$92,"&lt;0")-SUMIFS('Daftar Koreksi'!$H$5:$H$92,'Daftar Koreksi'!$D$5:$D$92,'0300'!A246,'Daftar Koreksi'!$G$5:$G$92,"Peralatan dan mesin",'Daftar Koreksi'!$H$5:$H$92,"&lt;0")-SUMIFS('Daftar Koreksi'!$H$5:$H$92,'Daftar Koreksi'!$D$5:$D$92,'0300'!A246,'Daftar Koreksi'!$G$5:$G$92,"Peralatan dan mesin",'Daftar Koreksi'!$H$5:$H$92,"&lt;0")</f>
        <v>0</v>
      </c>
      <c r="G251" s="17">
        <f t="shared" si="11"/>
        <v>1909238998</v>
      </c>
      <c r="H251" s="122"/>
    </row>
    <row r="252" spans="1:8" ht="21.95" customHeight="1">
      <c r="A252" s="14"/>
      <c r="B252" s="14"/>
      <c r="C252" s="16" t="s">
        <v>1168</v>
      </c>
      <c r="D252" s="17">
        <f>VLOOKUP(A246,'Neraca Unaudited SIMAK'!$A$2:$S$10004,6,FALSE)</f>
        <v>3116960850</v>
      </c>
      <c r="E252" s="25">
        <f>SUMIFS('Daftar Koreksi'!$H$5:$H$92,'Daftar Koreksi'!$D$5:$D$92,'0300'!A246,'Daftar Koreksi'!$G$5:$G$92,"Gedung dan Bangunan",'Daftar Koreksi'!$H$5:$H$92,"&gt;0")</f>
        <v>0</v>
      </c>
      <c r="F252" s="25">
        <f>SUMIFS('Daftar Koreksi'!$H$5:$H$92,'Daftar Koreksi'!$D$5:$D$92,'0300'!A246,'Daftar Koreksi'!$G$5:$G$92,"Gedung dan Bangunan",'Daftar Koreksi'!$H$5:$H$92,"&lt;0")-SUMIFS('Daftar Koreksi'!$H$5:$H$92,'Daftar Koreksi'!$D$5:$D$92,'0300'!A246,'Daftar Koreksi'!$G$5:$G$92,"Gedung dan Bangunan",'Daftar Koreksi'!$H$5:$H$92,"&lt;0")-SUMIFS('Daftar Koreksi'!$H$5:$H$92,'Daftar Koreksi'!$D$5:$D$92,'0300'!A246,'Daftar Koreksi'!$G$5:$G$92,"Gedung dan Bangunan",'Daftar Koreksi'!$H$5:$H$92,"&lt;0")</f>
        <v>0</v>
      </c>
      <c r="G252" s="17">
        <f t="shared" si="11"/>
        <v>3116960850</v>
      </c>
      <c r="H252" s="122"/>
    </row>
    <row r="253" spans="1:8" ht="21.95" customHeight="1">
      <c r="A253" s="14"/>
      <c r="B253" s="14"/>
      <c r="C253" s="16" t="s">
        <v>1169</v>
      </c>
      <c r="D253" s="17">
        <f>VLOOKUP(A246,'Neraca Unaudited SIMAK'!$A$2:$S$10004,7,FALSE)</f>
        <v>10500000</v>
      </c>
      <c r="E253" s="25">
        <f>SUMIFS('Daftar Koreksi'!$H$5:$H$92,'Daftar Koreksi'!$D$5:$D$92,'0300'!A246,'Daftar Koreksi'!$G$5:$G$92,"Jalan Irigasi Jaringan",'Daftar Koreksi'!$H$5:$H$92,"&gt;0")</f>
        <v>0</v>
      </c>
      <c r="F253" s="25">
        <f>SUMIFS('Daftar Koreksi'!$H$5:$H$92,'Daftar Koreksi'!$D$5:$D$92,'0300'!A246,'Daftar Koreksi'!$G$5:$G$92,"Jalan Irigasi Jaringan",'Daftar Koreksi'!$H$5:$H$92,"&lt;0")-SUMIFS('Daftar Koreksi'!$H$5:$H$92,'Daftar Koreksi'!$D$5:$D$92,'0300'!A246,'Daftar Koreksi'!$G$5:$G$92,"Jalan Irigasi Jaringan",'Daftar Koreksi'!$H$5:$H$92,"&lt;0")-SUMIFS('Daftar Koreksi'!$H$5:$H$92,'Daftar Koreksi'!$D$5:$D$92,'0300'!A246,'Daftar Koreksi'!$G$5:$G$92,"Jalan Irigasi Jaringan",'Daftar Koreksi'!$H$5:$H$92,"&lt;0")</f>
        <v>0</v>
      </c>
      <c r="G253" s="17">
        <f t="shared" si="11"/>
        <v>10500000</v>
      </c>
      <c r="H253" s="122"/>
    </row>
    <row r="254" spans="1:8" ht="21.95" customHeight="1">
      <c r="A254" s="14"/>
      <c r="B254" s="14"/>
      <c r="C254" s="16" t="s">
        <v>1170</v>
      </c>
      <c r="D254" s="17">
        <f>VLOOKUP(A246,'Neraca Unaudited SIMAK'!$A$2:$S$10004,8,FALSE)</f>
        <v>26511662</v>
      </c>
      <c r="E254" s="25">
        <f>SUMIFS('Daftar Koreksi'!$H$5:$H$92,'Daftar Koreksi'!$D$5:$D$92,'0300'!A246,'Daftar Koreksi'!$G$5:$G$92,"Aset Tetap Lainnya",'Daftar Koreksi'!$H$5:$H$92,"&gt;0")</f>
        <v>0</v>
      </c>
      <c r="F254" s="25">
        <f>SUMIFS('Daftar Koreksi'!$H$5:$H$92,'Daftar Koreksi'!$D$5:$D$92,'0300'!A246,'Daftar Koreksi'!$G$5:$G$92,"Aset Tetap Lainnya",'Daftar Koreksi'!$H$5:$H$92,"&lt;0")-SUMIFS('Daftar Koreksi'!$H$5:$H$92,'Daftar Koreksi'!$D$5:$D$92,'0300'!A246,'Daftar Koreksi'!$G$5:$G$92,"Aset Tetap Lainnya",'Daftar Koreksi'!$H$5:$H$92,"&lt;0")-SUMIFS('Daftar Koreksi'!$H$5:$H$92,'Daftar Koreksi'!$D$5:$D$92,'0300'!A246,'Daftar Koreksi'!$G$5:$G$92,"Aset Tetap Lainnya",'Daftar Koreksi'!$H$5:$H$92,"&lt;0")</f>
        <v>0</v>
      </c>
      <c r="G254" s="17">
        <f t="shared" si="11"/>
        <v>26511662</v>
      </c>
      <c r="H254" s="122"/>
    </row>
    <row r="255" spans="1:8" ht="21.95" customHeight="1">
      <c r="A255" s="14"/>
      <c r="B255" s="14"/>
      <c r="C255" s="16" t="s">
        <v>1171</v>
      </c>
      <c r="D255" s="17">
        <f>VLOOKUP(A246,'Neraca Unaudited SIMAK'!$A$2:$S$10004,9,FALSE)</f>
        <v>0</v>
      </c>
      <c r="E255" s="25">
        <f>SUMIFS('Daftar Koreksi'!$H$5:$H$92,'Daftar Koreksi'!$D$5:$D$92,'0300'!A246,'Daftar Koreksi'!$G$5:$G$92,"Kontruksi Dalam Pengerjaan",'Daftar Koreksi'!$H$5:$H$92,"&gt;0")</f>
        <v>0</v>
      </c>
      <c r="F255" s="25">
        <f>SUMIFS('Daftar Koreksi'!$H$5:$H$92,'Daftar Koreksi'!$D$5:$D$92,'0300'!A246,'Daftar Koreksi'!$G$5:$G$92,"Kontruksi Dalam Pengerjaan",'Daftar Koreksi'!$H$5:$H$92,"&lt;0")-SUMIFS('Daftar Koreksi'!$H$5:$H$92,'Daftar Koreksi'!$D$5:$D$92,'0300'!A246,'Daftar Koreksi'!$G$5:$G$92,"Kontruksi Dalam Pengerjaan",'Daftar Koreksi'!$H$5:$H$92,"&lt;0")-SUMIFS('Daftar Koreksi'!$H$5:$H$92,'Daftar Koreksi'!$D$5:$D$92,'0300'!A246,'Daftar Koreksi'!$G$5:$G$92,"Kontruksi Dalam Pengerjaan",'Daftar Koreksi'!$H$5:$H$92,"&lt;0")</f>
        <v>0</v>
      </c>
      <c r="G255" s="17">
        <f t="shared" si="11"/>
        <v>0</v>
      </c>
      <c r="H255" s="122"/>
    </row>
    <row r="256" spans="1:8" ht="21.95" customHeight="1">
      <c r="A256" s="14"/>
      <c r="B256" s="14"/>
      <c r="C256" s="16" t="s">
        <v>1172</v>
      </c>
      <c r="D256" s="17">
        <f>VLOOKUP(A246,'Neraca Unaudited SIMAK'!$A$2:$S$10004,10,FALSE)</f>
        <v>34900000</v>
      </c>
      <c r="E256" s="25">
        <f>SUMIFS('Daftar Koreksi'!$H$5:$H$92,'Daftar Koreksi'!$D$5:$D$92,'0300'!A246,'Daftar Koreksi'!$G$5:$G$92,"Aset Tak Berwujud",'Daftar Koreksi'!$H$5:$H$92,"&gt;0")</f>
        <v>0</v>
      </c>
      <c r="F256" s="25">
        <f>SUMIFS('Daftar Koreksi'!$H$5:$H$92,'Daftar Koreksi'!$D$5:$D$92,'0300'!A246,'Daftar Koreksi'!$G$5:$G$92,"Aset Tak Berwujud",'Daftar Koreksi'!$H$5:$H$92,"&lt;0")-SUMIFS('Daftar Koreksi'!$H$5:$H$92,'Daftar Koreksi'!$D$5:$D$92,'0300'!A246,'Daftar Koreksi'!$G$5:$G$92,"Aset Tak Berwujud",'Daftar Koreksi'!$H$5:$H$92,"&lt;0")-SUMIFS('Daftar Koreksi'!$H$5:$H$92,'Daftar Koreksi'!$D$5:$D$92,'0300'!A246,'Daftar Koreksi'!$G$5:$G$92,"Aset Tak Berwujud",'Daftar Koreksi'!$H$5:$H$92,"&lt;0")</f>
        <v>0</v>
      </c>
      <c r="G256" s="17">
        <f t="shared" si="11"/>
        <v>34900000</v>
      </c>
      <c r="H256" s="122"/>
    </row>
    <row r="257" spans="1:8" ht="21.95" customHeight="1">
      <c r="A257" s="14"/>
      <c r="B257" s="14"/>
      <c r="C257" s="16" t="s">
        <v>1173</v>
      </c>
      <c r="D257" s="17">
        <f>VLOOKUP(A246,'Neraca Unaudited SIMAK'!$A$2:$S$10004,11,FALSE)</f>
        <v>4996000</v>
      </c>
      <c r="E257" s="25">
        <f>SUMIFS('Daftar Koreksi'!$H$5:$H$92,'Daftar Koreksi'!$D$5:$D$92,'0300'!A246,'Daftar Koreksi'!$G$5:$G$92,"Aset Henti Guna",'Daftar Koreksi'!$H$5:$H$92,"&gt;0")</f>
        <v>0</v>
      </c>
      <c r="F257" s="25">
        <f>SUMIFS('Daftar Koreksi'!$H$5:$H$92,'Daftar Koreksi'!$D$5:$D$92,'0300'!A246,'Daftar Koreksi'!$G$5:$G$92,"Aset Henti Guna",'Daftar Koreksi'!$H$5:$H$92,"&lt;0")-SUMIFS('Daftar Koreksi'!$H$5:$H$92,'Daftar Koreksi'!$D$5:$D$92,'0300'!A246,'Daftar Koreksi'!$G$5:$G$92,"Aset Henti Guna",'Daftar Koreksi'!$H$5:$H$92,"&lt;0")-SUMIFS('Daftar Koreksi'!$H$5:$H$92,'Daftar Koreksi'!$D$5:$D$92,'0300'!A246,'Daftar Koreksi'!$G$5:$G$92,"Aset Henti Guna",'Daftar Koreksi'!$H$5:$H$92,"&lt;0")</f>
        <v>0</v>
      </c>
      <c r="G257" s="17">
        <f t="shared" si="11"/>
        <v>4996000</v>
      </c>
      <c r="H257" s="122"/>
    </row>
    <row r="258" spans="1:8" ht="21.95" customHeight="1">
      <c r="A258" s="14"/>
      <c r="B258" s="14"/>
      <c r="C258" s="18" t="s">
        <v>2093</v>
      </c>
      <c r="D258" s="19">
        <f>VLOOKUP(A246,'Neraca Unaudited SIMAK'!$A$2:$S$10004,12,FALSE)</f>
        <v>10585500510</v>
      </c>
      <c r="E258" s="19">
        <f>SUM(E249:E257)</f>
        <v>0</v>
      </c>
      <c r="F258" s="19">
        <f>SUM(F249:F257)</f>
        <v>0</v>
      </c>
      <c r="G258" s="19">
        <f t="shared" si="11"/>
        <v>10585500510</v>
      </c>
      <c r="H258" s="122"/>
    </row>
    <row r="259" spans="1:8" ht="21.95" customHeight="1">
      <c r="A259" s="14"/>
      <c r="B259" s="14"/>
      <c r="C259" s="16" t="s">
        <v>2087</v>
      </c>
      <c r="D259" s="17">
        <f>VLOOKUP(A246,'Neraca Unaudited SIMAK'!$A$2:$S$10004,13,FALSE)</f>
        <v>-1669067261</v>
      </c>
      <c r="E259" s="25">
        <f>SUMIFS('Daftar Koreksi'!$I$5:$I$92,'Daftar Koreksi'!$D$5:$D$92,'0300'!A246,'Daftar Koreksi'!$G$5:$G$92,"Peralatan dan mesin",'Daftar Koreksi'!$I$5:$I$92,"&gt;0")</f>
        <v>0</v>
      </c>
      <c r="F259" s="25">
        <f>SUMIFS('Daftar Koreksi'!$I$5:$I$92,'Daftar Koreksi'!$D$5:$D$92,'0300'!A246,'Daftar Koreksi'!$G$5:$G$92,"Peralatan dan mesin",'Daftar Koreksi'!$I$5:$I$92,"&lt;0")-SUMIFS('Daftar Koreksi'!$I$5:$I$92,'Daftar Koreksi'!$D$5:$D$92,'0300'!A246,'Daftar Koreksi'!$G$5:$G$92,"Peralatan dan mesin",'Daftar Koreksi'!$I$5:$I$92,"&lt;0")-SUMIFS('Daftar Koreksi'!$I$5:$I$92,'Daftar Koreksi'!$D$5:$D$92,'0300'!A246,'Daftar Koreksi'!$G$5:$G$92,"Peralatan dan mesin",'Daftar Koreksi'!$I$5:$I$92,"&lt;0")</f>
        <v>0</v>
      </c>
      <c r="G259" s="17">
        <f t="shared" si="11"/>
        <v>-1669067261</v>
      </c>
      <c r="H259" s="122"/>
    </row>
    <row r="260" spans="1:8" ht="21.95" customHeight="1">
      <c r="A260" s="14"/>
      <c r="B260" s="14"/>
      <c r="C260" s="16" t="s">
        <v>2088</v>
      </c>
      <c r="D260" s="17">
        <f>VLOOKUP(A246,'Neraca Unaudited SIMAK'!$A$2:$S$10004,14,FALSE)</f>
        <v>-630041163</v>
      </c>
      <c r="E260" s="25">
        <f>SUMIFS('Daftar Koreksi'!$I$5:$I$92,'Daftar Koreksi'!$D$5:$D$92,'0300'!A246,'Daftar Koreksi'!$G$5:$G$92,"Gedung dan Bangunan",'Daftar Koreksi'!$I$5:$I$92,"&gt;0")</f>
        <v>0</v>
      </c>
      <c r="F260" s="25">
        <f>SUMIFS('Daftar Koreksi'!$I$5:$I$92,'Daftar Koreksi'!$D$5:$D$92,'0300'!A246,'Daftar Koreksi'!$G$5:$G$92,"Gedung dan Bangunan",'Daftar Koreksi'!$I$5:$I$92,"&lt;0")-SUMIFS('Daftar Koreksi'!$I$5:$I$92,'Daftar Koreksi'!$D$5:$D$92,'0300'!A246,'Daftar Koreksi'!$G$5:$G$92,"Gedung dan Bangunan",'Daftar Koreksi'!$I$5:$I$92,"&lt;0")-SUMIFS('Daftar Koreksi'!$I$5:$I$92,'Daftar Koreksi'!$D$5:$D$92,'0300'!A246,'Daftar Koreksi'!$G$5:$G$92,"Gedung dan Bangunan",'Daftar Koreksi'!$I$5:$I$92,"&lt;0")</f>
        <v>0</v>
      </c>
      <c r="G260" s="17">
        <f t="shared" si="11"/>
        <v>-630041163</v>
      </c>
      <c r="H260" s="122"/>
    </row>
    <row r="261" spans="1:8" ht="21.95" customHeight="1">
      <c r="A261" s="14"/>
      <c r="B261" s="14"/>
      <c r="C261" s="16" t="s">
        <v>2089</v>
      </c>
      <c r="D261" s="17">
        <f>VLOOKUP(A246,'Neraca Unaudited SIMAK'!$A$2:$S$10004,15,FALSE)</f>
        <v>-1050000</v>
      </c>
      <c r="E261" s="25">
        <f>SUMIFS('Daftar Koreksi'!$I$5:$I$92,'Daftar Koreksi'!$D$5:$D$92,'0300'!A246,'Daftar Koreksi'!$G$5:$G$92,"Jalan Irigasi Jaringan",'Daftar Koreksi'!$I$5:$I$92,"&gt;0")</f>
        <v>0</v>
      </c>
      <c r="F261" s="25">
        <f>SUMIFS('Daftar Koreksi'!$I$5:$I$92,'Daftar Koreksi'!$D$5:$D$92,'0300'!A246,'Daftar Koreksi'!$G$5:$G$92,"Jalan Irigasi Jaringan",'Daftar Koreksi'!$I$5:$I$92,"&lt;0")-SUMIFS('Daftar Koreksi'!$I$5:$I$92,'Daftar Koreksi'!$D$5:$D$92,'0300'!A246,'Daftar Koreksi'!$G$5:$G$92,"Jalan Irigasi Jaringan",'Daftar Koreksi'!$I$5:$I$92,"&lt;0")-SUMIFS('Daftar Koreksi'!$I$5:$I$92,'Daftar Koreksi'!$D$5:$D$92,'0300'!A246,'Daftar Koreksi'!$G$5:$G$92,"Jalan Irigasi Jaringan",'Daftar Koreksi'!$I$5:$I$92,"&lt;0")</f>
        <v>0</v>
      </c>
      <c r="G261" s="17">
        <f t="shared" si="11"/>
        <v>-1050000</v>
      </c>
      <c r="H261" s="122"/>
    </row>
    <row r="262" spans="1:8" ht="21.95" customHeight="1">
      <c r="A262" s="14"/>
      <c r="B262" s="14"/>
      <c r="C262" s="16" t="s">
        <v>2090</v>
      </c>
      <c r="D262" s="17">
        <f>VLOOKUP(A246,'Neraca Unaudited SIMAK'!$A$2:$S$10004,16,FALSE)</f>
        <v>0</v>
      </c>
      <c r="E262" s="25">
        <f>SUMIFS('Daftar Koreksi'!$I$5:$I$92,'Daftar Koreksi'!$D$5:$D$92,'0300'!A246,'Daftar Koreksi'!$G$5:$G$92,"Aset Tetap Lainnya",'Daftar Koreksi'!$I$5:$I$92,"&gt;0")</f>
        <v>0</v>
      </c>
      <c r="F262" s="25">
        <f>SUMIFS('Daftar Koreksi'!$I$5:$I$92,'Daftar Koreksi'!$D$5:$D$92,'0300'!A246,'Daftar Koreksi'!$G$5:$G$92,"Aset Tetap Lainnya",'Daftar Koreksi'!$I$5:$I$92,"&lt;0")-SUMIFS('Daftar Koreksi'!$I$5:$I$92,'Daftar Koreksi'!$D$5:$D$92,'0300'!A246,'Daftar Koreksi'!$G$5:$G$92,"Aset Tetap Lainnya",'Daftar Koreksi'!$I$5:$I$92,"&lt;0")-SUMIFS('Daftar Koreksi'!$I$5:$I$92,'Daftar Koreksi'!$D$5:$D$92,'0300'!A246,'Daftar Koreksi'!$G$5:$G$92,"Aset Tetap Lainnya",'Daftar Koreksi'!$I$5:$I$92,"&lt;0")</f>
        <v>0</v>
      </c>
      <c r="G262" s="17">
        <f t="shared" si="11"/>
        <v>0</v>
      </c>
      <c r="H262" s="122"/>
    </row>
    <row r="263" spans="1:8" ht="21.95" customHeight="1">
      <c r="A263" s="14"/>
      <c r="B263" s="14"/>
      <c r="C263" s="16" t="s">
        <v>2020</v>
      </c>
      <c r="D263" s="17">
        <f>VLOOKUP(A246,'Neraca Unaudited SIMAK'!$A$2:$S$10004,17,FALSE)</f>
        <v>-4996000</v>
      </c>
      <c r="E263" s="25">
        <f>SUMIFS('Daftar Koreksi'!$I$5:$I$92,'Daftar Koreksi'!$D$5:$D$92,'0300'!A246,'Daftar Koreksi'!$G$5:$G$92,"Aset Henti Guna",'Daftar Koreksi'!$I$5:$I$92,"&gt;0")</f>
        <v>0</v>
      </c>
      <c r="F263" s="25">
        <f>SUMIFS('Daftar Koreksi'!$I$5:$I$92,'Daftar Koreksi'!$D$5:$D$92,'0300'!A246,'Daftar Koreksi'!$G$5:$G$92,"Aset Henti Guna",'Daftar Koreksi'!$I$5:$I$92,"&lt;0")-SUMIFS('Daftar Koreksi'!$I$5:$I$92,'Daftar Koreksi'!$D$5:$D$92,'0300'!A246,'Daftar Koreksi'!$G$5:$G$92,"Aset Henti Guna",'Daftar Koreksi'!$I$5:$I$92,"&lt;0")-SUMIFS('Daftar Koreksi'!$I$5:$I$92,'Daftar Koreksi'!$D$5:$D$92,'0300'!A246,'Daftar Koreksi'!$G$5:$G$92,"Aset Henti Guna",'Daftar Koreksi'!$I$5:$I$92,"&lt;0")</f>
        <v>0</v>
      </c>
      <c r="G263" s="17">
        <f t="shared" si="11"/>
        <v>-4996000</v>
      </c>
      <c r="H263" s="122"/>
    </row>
    <row r="264" spans="1:8" ht="21.95" customHeight="1">
      <c r="A264" s="14"/>
      <c r="B264" s="14"/>
      <c r="C264" s="18" t="s">
        <v>2094</v>
      </c>
      <c r="D264" s="19">
        <f>SUM(D259:D263)</f>
        <v>-2305154424</v>
      </c>
      <c r="E264" s="19">
        <f>SUM(E259:E263)</f>
        <v>0</v>
      </c>
      <c r="F264" s="19">
        <f>SUM(F259:F263)</f>
        <v>0</v>
      </c>
      <c r="G264" s="19">
        <f t="shared" si="11"/>
        <v>-2305154424</v>
      </c>
      <c r="H264" s="122"/>
    </row>
    <row r="265" spans="1:8" ht="21.95" customHeight="1">
      <c r="A265" s="14"/>
      <c r="B265" s="14"/>
      <c r="C265" s="18" t="s">
        <v>2095</v>
      </c>
      <c r="D265" s="19">
        <f>VLOOKUP(A246,'Neraca Unaudited SIMAK'!$A$2:$S$10004,18,FALSE)</f>
        <v>8280346086</v>
      </c>
      <c r="E265" s="19">
        <f>E264+E258</f>
        <v>0</v>
      </c>
      <c r="F265" s="19">
        <f>F264+F258</f>
        <v>0</v>
      </c>
      <c r="G265" s="19">
        <f t="shared" si="11"/>
        <v>8280346086</v>
      </c>
      <c r="H265" s="122"/>
    </row>
    <row r="266" spans="1:8" ht="21.95" customHeight="1">
      <c r="A266" s="14"/>
      <c r="B266" s="14"/>
      <c r="C266" s="16" t="s">
        <v>2091</v>
      </c>
      <c r="D266" s="17">
        <f>VLOOKUP(A246,'Neraca Unaudited SIMAK'!$A$2:$S$10004,19,FALSE)</f>
        <v>0</v>
      </c>
      <c r="E266" s="25"/>
      <c r="F266" s="25"/>
      <c r="G266" s="17">
        <f t="shared" si="11"/>
        <v>0</v>
      </c>
      <c r="H266" s="123"/>
    </row>
    <row r="268" spans="1:8" ht="19.5" customHeight="1">
      <c r="A268" s="11" t="str">
        <f>O13</f>
        <v>005010300097830000KD</v>
      </c>
      <c r="B268" s="11" t="str">
        <f>P13</f>
        <v>PN. Kab. Semarang di Ungaran</v>
      </c>
      <c r="C268" s="12" t="str">
        <f>A268&amp;" "&amp;B268</f>
        <v>005010300097830000KD PN. Kab. Semarang di Ungaran</v>
      </c>
      <c r="D268" s="13"/>
      <c r="E268" s="13"/>
      <c r="F268" s="13"/>
      <c r="G268" s="13"/>
      <c r="H268" s="11"/>
    </row>
    <row r="269" spans="1:8" ht="21.95" customHeight="1">
      <c r="A269" s="14"/>
      <c r="B269" s="14"/>
      <c r="C269" s="124" t="s">
        <v>1982</v>
      </c>
      <c r="D269" s="126" t="s">
        <v>1983</v>
      </c>
      <c r="E269" s="132" t="s">
        <v>1984</v>
      </c>
      <c r="F269" s="132"/>
      <c r="G269" s="126" t="s">
        <v>1987</v>
      </c>
      <c r="H269" s="130" t="s">
        <v>1175</v>
      </c>
    </row>
    <row r="270" spans="1:8" ht="21.95" customHeight="1">
      <c r="A270" s="14"/>
      <c r="B270" s="14"/>
      <c r="C270" s="125"/>
      <c r="D270" s="127"/>
      <c r="E270" s="26" t="s">
        <v>1985</v>
      </c>
      <c r="F270" s="26" t="s">
        <v>1986</v>
      </c>
      <c r="G270" s="127"/>
      <c r="H270" s="131"/>
    </row>
    <row r="271" spans="1:8" ht="21.95" customHeight="1">
      <c r="A271" s="14"/>
      <c r="B271" s="14"/>
      <c r="C271" s="16" t="s">
        <v>1165</v>
      </c>
      <c r="D271" s="17">
        <f>VLOOKUP(A268,'Neraca Unaudited SIMAK'!$A$2:$S$10004,3,FALSE)</f>
        <v>2983350</v>
      </c>
      <c r="E271" s="25">
        <f>SUMIFS('Daftar Koreksi'!$H$5:$H$92,'Daftar Koreksi'!$D$5:$D$92,'0300'!A268,'Daftar Koreksi'!$G$5:$G$92,"Persediaan",'Daftar Koreksi'!$H$5:$H$92,"&gt;0")</f>
        <v>0</v>
      </c>
      <c r="F271" s="25">
        <f>SUMIFS('Daftar Koreksi'!$H$5:$H$92,'Daftar Koreksi'!$D$5:$D$92,'0300'!A268,'Daftar Koreksi'!$G$5:$G$92,"Persediaan",'Daftar Koreksi'!$H$5:$H$92,"&lt;0")-SUMIFS('Daftar Koreksi'!$H$5:$H$92,'Daftar Koreksi'!$D$5:$D$92,'0300'!A268,'Daftar Koreksi'!$G$5:$G$92,"Persediaan",'Daftar Koreksi'!$H$5:$H$92,"&lt;0")-SUMIFS('Daftar Koreksi'!$H$5:$H$92,'Daftar Koreksi'!$D$5:$D$92,'0300'!A268,'Daftar Koreksi'!$G$5:$G$92,"Persediaan",'Daftar Koreksi'!$H$5:$H$92,"&lt;0")</f>
        <v>0</v>
      </c>
      <c r="G271" s="17">
        <f>D271+E271-F271</f>
        <v>2983350</v>
      </c>
      <c r="H271" s="121" t="str">
        <f>IF(ISNA(VLOOKUP(A268,'Mutasi Neraca'!$A$3:$S$914,19,FALSE)),"-",VLOOKUP(A268,'Mutasi Neraca'!$A$3:$S$914,19,FALSE))</f>
        <v>-</v>
      </c>
    </row>
    <row r="272" spans="1:8" ht="21.95" customHeight="1">
      <c r="A272" s="14"/>
      <c r="B272" s="14"/>
      <c r="C272" s="16" t="s">
        <v>1166</v>
      </c>
      <c r="D272" s="17">
        <f>VLOOKUP(A268,'Neraca Unaudited SIMAK'!$A$2:$S$10004,4,FALSE)</f>
        <v>3771580000</v>
      </c>
      <c r="E272" s="25">
        <f>SUMIFS('Daftar Koreksi'!$H$5:$H$92,'Daftar Koreksi'!$D$5:$D$92,'0300'!A268,'Daftar Koreksi'!$G$5:$G$92,"Tanah",'Daftar Koreksi'!$H$5:$H$92,"&gt;0")</f>
        <v>0</v>
      </c>
      <c r="F272" s="25">
        <f>SUMIFS('Daftar Koreksi'!$H$5:$H$92,'Daftar Koreksi'!$D$5:$D$92,'0300'!A268,'Daftar Koreksi'!$G$5:$G$92,"Tanah",'Daftar Koreksi'!$H$5:$H$92,"&lt;0")-SUMIFS('Daftar Koreksi'!$H$5:$H$92,'Daftar Koreksi'!$D$5:$D$92,'0300'!A268,'Daftar Koreksi'!$G$5:$G$92,"Tanah",'Daftar Koreksi'!$H$5:$H$92,"&lt;0")-SUMIFS('Daftar Koreksi'!$H$5:$H$92,'Daftar Koreksi'!$D$5:$D$92,'0300'!A268,'Daftar Koreksi'!$G$5:$G$92,"Tanah",'Daftar Koreksi'!$H$5:$H$92,"&lt;0")</f>
        <v>0</v>
      </c>
      <c r="G272" s="17">
        <f t="shared" ref="G272:G288" si="12">D272+E272-F272</f>
        <v>3771580000</v>
      </c>
      <c r="H272" s="122"/>
    </row>
    <row r="273" spans="1:8" ht="21.95" customHeight="1">
      <c r="A273" s="14"/>
      <c r="B273" s="14"/>
      <c r="C273" s="16" t="s">
        <v>1167</v>
      </c>
      <c r="D273" s="17">
        <f>VLOOKUP(A268,'Neraca Unaudited SIMAK'!$A$2:$S$10004,5,FALSE)</f>
        <v>1764901039</v>
      </c>
      <c r="E273" s="25">
        <f>SUMIFS('Daftar Koreksi'!$H$5:$H$92,'Daftar Koreksi'!$D$5:$D$92,'0300'!A268,'Daftar Koreksi'!$G$5:$G$92,"Peralatan dan mesin",'Daftar Koreksi'!$H$5:$H$92,"&gt;0")</f>
        <v>0</v>
      </c>
      <c r="F273" s="25">
        <f>SUMIFS('Daftar Koreksi'!$H$5:$H$92,'Daftar Koreksi'!$D$5:$D$92,'0300'!A268,'Daftar Koreksi'!$G$5:$G$92,"Peralatan dan mesin",'Daftar Koreksi'!$H$5:$H$92,"&lt;0")-SUMIFS('Daftar Koreksi'!$H$5:$H$92,'Daftar Koreksi'!$D$5:$D$92,'0300'!A268,'Daftar Koreksi'!$G$5:$G$92,"Peralatan dan mesin",'Daftar Koreksi'!$H$5:$H$92,"&lt;0")-SUMIFS('Daftar Koreksi'!$H$5:$H$92,'Daftar Koreksi'!$D$5:$D$92,'0300'!A268,'Daftar Koreksi'!$G$5:$G$92,"Peralatan dan mesin",'Daftar Koreksi'!$H$5:$H$92,"&lt;0")</f>
        <v>0</v>
      </c>
      <c r="G273" s="17">
        <f t="shared" si="12"/>
        <v>1764901039</v>
      </c>
      <c r="H273" s="122"/>
    </row>
    <row r="274" spans="1:8" ht="21.95" customHeight="1">
      <c r="A274" s="14"/>
      <c r="B274" s="14"/>
      <c r="C274" s="16" t="s">
        <v>1168</v>
      </c>
      <c r="D274" s="17">
        <f>VLOOKUP(A268,'Neraca Unaudited SIMAK'!$A$2:$S$10004,6,FALSE)</f>
        <v>1593849000</v>
      </c>
      <c r="E274" s="25">
        <f>SUMIFS('Daftar Koreksi'!$H$5:$H$92,'Daftar Koreksi'!$D$5:$D$92,'0300'!A268,'Daftar Koreksi'!$G$5:$G$92,"Gedung dan Bangunan",'Daftar Koreksi'!$H$5:$H$92,"&gt;0")</f>
        <v>0</v>
      </c>
      <c r="F274" s="25">
        <f>SUMIFS('Daftar Koreksi'!$H$5:$H$92,'Daftar Koreksi'!$D$5:$D$92,'0300'!A268,'Daftar Koreksi'!$G$5:$G$92,"Gedung dan Bangunan",'Daftar Koreksi'!$H$5:$H$92,"&lt;0")-SUMIFS('Daftar Koreksi'!$H$5:$H$92,'Daftar Koreksi'!$D$5:$D$92,'0300'!A268,'Daftar Koreksi'!$G$5:$G$92,"Gedung dan Bangunan",'Daftar Koreksi'!$H$5:$H$92,"&lt;0")-SUMIFS('Daftar Koreksi'!$H$5:$H$92,'Daftar Koreksi'!$D$5:$D$92,'0300'!A268,'Daftar Koreksi'!$G$5:$G$92,"Gedung dan Bangunan",'Daftar Koreksi'!$H$5:$H$92,"&lt;0")</f>
        <v>0</v>
      </c>
      <c r="G274" s="17">
        <f t="shared" si="12"/>
        <v>1593849000</v>
      </c>
      <c r="H274" s="122"/>
    </row>
    <row r="275" spans="1:8" ht="21.95" customHeight="1">
      <c r="A275" s="14"/>
      <c r="B275" s="14"/>
      <c r="C275" s="16" t="s">
        <v>1169</v>
      </c>
      <c r="D275" s="17">
        <f>VLOOKUP(A268,'Neraca Unaudited SIMAK'!$A$2:$S$10004,7,FALSE)</f>
        <v>0</v>
      </c>
      <c r="E275" s="25">
        <f>SUMIFS('Daftar Koreksi'!$H$5:$H$92,'Daftar Koreksi'!$D$5:$D$92,'0300'!A268,'Daftar Koreksi'!$G$5:$G$92,"Jalan Irigasi Jaringan",'Daftar Koreksi'!$H$5:$H$92,"&gt;0")</f>
        <v>0</v>
      </c>
      <c r="F275" s="25">
        <f>SUMIFS('Daftar Koreksi'!$H$5:$H$92,'Daftar Koreksi'!$D$5:$D$92,'0300'!A268,'Daftar Koreksi'!$G$5:$G$92,"Jalan Irigasi Jaringan",'Daftar Koreksi'!$H$5:$H$92,"&lt;0")-SUMIFS('Daftar Koreksi'!$H$5:$H$92,'Daftar Koreksi'!$D$5:$D$92,'0300'!A268,'Daftar Koreksi'!$G$5:$G$92,"Jalan Irigasi Jaringan",'Daftar Koreksi'!$H$5:$H$92,"&lt;0")-SUMIFS('Daftar Koreksi'!$H$5:$H$92,'Daftar Koreksi'!$D$5:$D$92,'0300'!A268,'Daftar Koreksi'!$G$5:$G$92,"Jalan Irigasi Jaringan",'Daftar Koreksi'!$H$5:$H$92,"&lt;0")</f>
        <v>0</v>
      </c>
      <c r="G275" s="17">
        <f t="shared" si="12"/>
        <v>0</v>
      </c>
      <c r="H275" s="122"/>
    </row>
    <row r="276" spans="1:8" ht="21.95" customHeight="1">
      <c r="A276" s="14"/>
      <c r="B276" s="14"/>
      <c r="C276" s="16" t="s">
        <v>1170</v>
      </c>
      <c r="D276" s="17">
        <f>VLOOKUP(A268,'Neraca Unaudited SIMAK'!$A$2:$S$10004,8,FALSE)</f>
        <v>184361062</v>
      </c>
      <c r="E276" s="25">
        <f>SUMIFS('Daftar Koreksi'!$H$5:$H$92,'Daftar Koreksi'!$D$5:$D$92,'0300'!A268,'Daftar Koreksi'!$G$5:$G$92,"Aset Tetap Lainnya",'Daftar Koreksi'!$H$5:$H$92,"&gt;0")</f>
        <v>0</v>
      </c>
      <c r="F276" s="25">
        <f>SUMIFS('Daftar Koreksi'!$H$5:$H$92,'Daftar Koreksi'!$D$5:$D$92,'0300'!A268,'Daftar Koreksi'!$G$5:$G$92,"Aset Tetap Lainnya",'Daftar Koreksi'!$H$5:$H$92,"&lt;0")-SUMIFS('Daftar Koreksi'!$H$5:$H$92,'Daftar Koreksi'!$D$5:$D$92,'0300'!A268,'Daftar Koreksi'!$G$5:$G$92,"Aset Tetap Lainnya",'Daftar Koreksi'!$H$5:$H$92,"&lt;0")-SUMIFS('Daftar Koreksi'!$H$5:$H$92,'Daftar Koreksi'!$D$5:$D$92,'0300'!A268,'Daftar Koreksi'!$G$5:$G$92,"Aset Tetap Lainnya",'Daftar Koreksi'!$H$5:$H$92,"&lt;0")</f>
        <v>0</v>
      </c>
      <c r="G276" s="17">
        <f t="shared" si="12"/>
        <v>184361062</v>
      </c>
      <c r="H276" s="122"/>
    </row>
    <row r="277" spans="1:8" ht="21.95" customHeight="1">
      <c r="A277" s="14"/>
      <c r="B277" s="14"/>
      <c r="C277" s="16" t="s">
        <v>1171</v>
      </c>
      <c r="D277" s="17">
        <f>VLOOKUP(A268,'Neraca Unaudited SIMAK'!$A$2:$S$10004,9,FALSE)</f>
        <v>0</v>
      </c>
      <c r="E277" s="25">
        <f>SUMIFS('Daftar Koreksi'!$H$5:$H$92,'Daftar Koreksi'!$D$5:$D$92,'0300'!A268,'Daftar Koreksi'!$G$5:$G$92,"Kontruksi Dalam Pengerjaan",'Daftar Koreksi'!$H$5:$H$92,"&gt;0")</f>
        <v>0</v>
      </c>
      <c r="F277" s="25">
        <f>SUMIFS('Daftar Koreksi'!$H$5:$H$92,'Daftar Koreksi'!$D$5:$D$92,'0300'!A268,'Daftar Koreksi'!$G$5:$G$92,"Kontruksi Dalam Pengerjaan",'Daftar Koreksi'!$H$5:$H$92,"&lt;0")-SUMIFS('Daftar Koreksi'!$H$5:$H$92,'Daftar Koreksi'!$D$5:$D$92,'0300'!A268,'Daftar Koreksi'!$G$5:$G$92,"Kontruksi Dalam Pengerjaan",'Daftar Koreksi'!$H$5:$H$92,"&lt;0")-SUMIFS('Daftar Koreksi'!$H$5:$H$92,'Daftar Koreksi'!$D$5:$D$92,'0300'!A268,'Daftar Koreksi'!$G$5:$G$92,"Kontruksi Dalam Pengerjaan",'Daftar Koreksi'!$H$5:$H$92,"&lt;0")</f>
        <v>0</v>
      </c>
      <c r="G277" s="17">
        <f t="shared" si="12"/>
        <v>0</v>
      </c>
      <c r="H277" s="122"/>
    </row>
    <row r="278" spans="1:8" ht="21.95" customHeight="1">
      <c r="A278" s="14"/>
      <c r="B278" s="14"/>
      <c r="C278" s="16" t="s">
        <v>1172</v>
      </c>
      <c r="D278" s="17">
        <f>VLOOKUP(A268,'Neraca Unaudited SIMAK'!$A$2:$S$10004,10,FALSE)</f>
        <v>0</v>
      </c>
      <c r="E278" s="25">
        <f>SUMIFS('Daftar Koreksi'!$H$5:$H$92,'Daftar Koreksi'!$D$5:$D$92,'0300'!A268,'Daftar Koreksi'!$G$5:$G$92,"Aset Tak Berwujud",'Daftar Koreksi'!$H$5:$H$92,"&gt;0")</f>
        <v>0</v>
      </c>
      <c r="F278" s="25">
        <f>SUMIFS('Daftar Koreksi'!$H$5:$H$92,'Daftar Koreksi'!$D$5:$D$92,'0300'!A268,'Daftar Koreksi'!$G$5:$G$92,"Aset Tak Berwujud",'Daftar Koreksi'!$H$5:$H$92,"&lt;0")-SUMIFS('Daftar Koreksi'!$H$5:$H$92,'Daftar Koreksi'!$D$5:$D$92,'0300'!A268,'Daftar Koreksi'!$G$5:$G$92,"Aset Tak Berwujud",'Daftar Koreksi'!$H$5:$H$92,"&lt;0")-SUMIFS('Daftar Koreksi'!$H$5:$H$92,'Daftar Koreksi'!$D$5:$D$92,'0300'!A268,'Daftar Koreksi'!$G$5:$G$92,"Aset Tak Berwujud",'Daftar Koreksi'!$H$5:$H$92,"&lt;0")</f>
        <v>0</v>
      </c>
      <c r="G278" s="17">
        <f t="shared" si="12"/>
        <v>0</v>
      </c>
      <c r="H278" s="122"/>
    </row>
    <row r="279" spans="1:8" ht="21.95" customHeight="1">
      <c r="A279" s="14"/>
      <c r="B279" s="14"/>
      <c r="C279" s="16" t="s">
        <v>1173</v>
      </c>
      <c r="D279" s="17">
        <f>VLOOKUP(A268,'Neraca Unaudited SIMAK'!$A$2:$S$10004,11,FALSE)</f>
        <v>0</v>
      </c>
      <c r="E279" s="25">
        <f>SUMIFS('Daftar Koreksi'!$H$5:$H$92,'Daftar Koreksi'!$D$5:$D$92,'0300'!A268,'Daftar Koreksi'!$G$5:$G$92,"Aset Henti Guna",'Daftar Koreksi'!$H$5:$H$92,"&gt;0")</f>
        <v>0</v>
      </c>
      <c r="F279" s="25">
        <f>SUMIFS('Daftar Koreksi'!$H$5:$H$92,'Daftar Koreksi'!$D$5:$D$92,'0300'!A268,'Daftar Koreksi'!$G$5:$G$92,"Aset Henti Guna",'Daftar Koreksi'!$H$5:$H$92,"&lt;0")-SUMIFS('Daftar Koreksi'!$H$5:$H$92,'Daftar Koreksi'!$D$5:$D$92,'0300'!A268,'Daftar Koreksi'!$G$5:$G$92,"Aset Henti Guna",'Daftar Koreksi'!$H$5:$H$92,"&lt;0")-SUMIFS('Daftar Koreksi'!$H$5:$H$92,'Daftar Koreksi'!$D$5:$D$92,'0300'!A268,'Daftar Koreksi'!$G$5:$G$92,"Aset Henti Guna",'Daftar Koreksi'!$H$5:$H$92,"&lt;0")</f>
        <v>0</v>
      </c>
      <c r="G279" s="17">
        <f t="shared" si="12"/>
        <v>0</v>
      </c>
      <c r="H279" s="122"/>
    </row>
    <row r="280" spans="1:8" ht="21.95" customHeight="1">
      <c r="A280" s="14"/>
      <c r="B280" s="14"/>
      <c r="C280" s="18" t="s">
        <v>2093</v>
      </c>
      <c r="D280" s="19">
        <f>VLOOKUP(A268,'Neraca Unaudited SIMAK'!$A$2:$S$10004,12,FALSE)</f>
        <v>7317674451</v>
      </c>
      <c r="E280" s="19">
        <f>SUM(E271:E279)</f>
        <v>0</v>
      </c>
      <c r="F280" s="19">
        <f>SUM(F271:F279)</f>
        <v>0</v>
      </c>
      <c r="G280" s="19">
        <f t="shared" si="12"/>
        <v>7317674451</v>
      </c>
      <c r="H280" s="122"/>
    </row>
    <row r="281" spans="1:8" ht="21.95" customHeight="1">
      <c r="A281" s="14"/>
      <c r="B281" s="14"/>
      <c r="C281" s="16" t="s">
        <v>2087</v>
      </c>
      <c r="D281" s="17">
        <f>VLOOKUP(A268,'Neraca Unaudited SIMAK'!$A$2:$S$10004,13,FALSE)</f>
        <v>-1426123762</v>
      </c>
      <c r="E281" s="25">
        <f>SUMIFS('Daftar Koreksi'!$I$5:$I$92,'Daftar Koreksi'!$D$5:$D$92,'0300'!A268,'Daftar Koreksi'!$G$5:$G$92,"Peralatan dan mesin",'Daftar Koreksi'!$I$5:$I$92,"&gt;0")</f>
        <v>0</v>
      </c>
      <c r="F281" s="25">
        <f>SUMIFS('Daftar Koreksi'!$I$5:$I$92,'Daftar Koreksi'!$D$5:$D$92,'0300'!A268,'Daftar Koreksi'!$G$5:$G$92,"Peralatan dan mesin",'Daftar Koreksi'!$I$5:$I$92,"&lt;0")-SUMIFS('Daftar Koreksi'!$I$5:$I$92,'Daftar Koreksi'!$D$5:$D$92,'0300'!A268,'Daftar Koreksi'!$G$5:$G$92,"Peralatan dan mesin",'Daftar Koreksi'!$I$5:$I$92,"&lt;0")-SUMIFS('Daftar Koreksi'!$I$5:$I$92,'Daftar Koreksi'!$D$5:$D$92,'0300'!A268,'Daftar Koreksi'!$G$5:$G$92,"Peralatan dan mesin",'Daftar Koreksi'!$I$5:$I$92,"&lt;0")</f>
        <v>0</v>
      </c>
      <c r="G281" s="17">
        <f t="shared" si="12"/>
        <v>-1426123762</v>
      </c>
      <c r="H281" s="122"/>
    </row>
    <row r="282" spans="1:8" ht="21.95" customHeight="1">
      <c r="A282" s="14"/>
      <c r="B282" s="14"/>
      <c r="C282" s="16" t="s">
        <v>2088</v>
      </c>
      <c r="D282" s="17">
        <f>VLOOKUP(A268,'Neraca Unaudited SIMAK'!$A$2:$S$10004,14,FALSE)</f>
        <v>-363348636</v>
      </c>
      <c r="E282" s="25">
        <f>SUMIFS('Daftar Koreksi'!$I$5:$I$92,'Daftar Koreksi'!$D$5:$D$92,'0300'!A268,'Daftar Koreksi'!$G$5:$G$92,"Gedung dan Bangunan",'Daftar Koreksi'!$I$5:$I$92,"&gt;0")</f>
        <v>0</v>
      </c>
      <c r="F282" s="25">
        <f>SUMIFS('Daftar Koreksi'!$I$5:$I$92,'Daftar Koreksi'!$D$5:$D$92,'0300'!A268,'Daftar Koreksi'!$G$5:$G$92,"Gedung dan Bangunan",'Daftar Koreksi'!$I$5:$I$92,"&lt;0")-SUMIFS('Daftar Koreksi'!$I$5:$I$92,'Daftar Koreksi'!$D$5:$D$92,'0300'!A268,'Daftar Koreksi'!$G$5:$G$92,"Gedung dan Bangunan",'Daftar Koreksi'!$I$5:$I$92,"&lt;0")-SUMIFS('Daftar Koreksi'!$I$5:$I$92,'Daftar Koreksi'!$D$5:$D$92,'0300'!A268,'Daftar Koreksi'!$G$5:$G$92,"Gedung dan Bangunan",'Daftar Koreksi'!$I$5:$I$92,"&lt;0")</f>
        <v>0</v>
      </c>
      <c r="G282" s="17">
        <f t="shared" si="12"/>
        <v>-363348636</v>
      </c>
      <c r="H282" s="122"/>
    </row>
    <row r="283" spans="1:8" ht="21.95" customHeight="1">
      <c r="A283" s="14"/>
      <c r="B283" s="14"/>
      <c r="C283" s="16" t="s">
        <v>2089</v>
      </c>
      <c r="D283" s="17">
        <f>VLOOKUP(A268,'Neraca Unaudited SIMAK'!$A$2:$S$10004,15,FALSE)</f>
        <v>0</v>
      </c>
      <c r="E283" s="25">
        <f>SUMIFS('Daftar Koreksi'!$I$5:$I$92,'Daftar Koreksi'!$D$5:$D$92,'0300'!A268,'Daftar Koreksi'!$G$5:$G$92,"Jalan Irigasi Jaringan",'Daftar Koreksi'!$I$5:$I$92,"&gt;0")</f>
        <v>0</v>
      </c>
      <c r="F283" s="25">
        <f>SUMIFS('Daftar Koreksi'!$I$5:$I$92,'Daftar Koreksi'!$D$5:$D$92,'0300'!A268,'Daftar Koreksi'!$G$5:$G$92,"Jalan Irigasi Jaringan",'Daftar Koreksi'!$I$5:$I$92,"&lt;0")-SUMIFS('Daftar Koreksi'!$I$5:$I$92,'Daftar Koreksi'!$D$5:$D$92,'0300'!A268,'Daftar Koreksi'!$G$5:$G$92,"Jalan Irigasi Jaringan",'Daftar Koreksi'!$I$5:$I$92,"&lt;0")-SUMIFS('Daftar Koreksi'!$I$5:$I$92,'Daftar Koreksi'!$D$5:$D$92,'0300'!A268,'Daftar Koreksi'!$G$5:$G$92,"Jalan Irigasi Jaringan",'Daftar Koreksi'!$I$5:$I$92,"&lt;0")</f>
        <v>0</v>
      </c>
      <c r="G283" s="17">
        <f t="shared" si="12"/>
        <v>0</v>
      </c>
      <c r="H283" s="122"/>
    </row>
    <row r="284" spans="1:8" ht="21.95" customHeight="1">
      <c r="A284" s="14"/>
      <c r="B284" s="14"/>
      <c r="C284" s="16" t="s">
        <v>2090</v>
      </c>
      <c r="D284" s="17">
        <f>VLOOKUP(A268,'Neraca Unaudited SIMAK'!$A$2:$S$10004,16,FALSE)</f>
        <v>0</v>
      </c>
      <c r="E284" s="25">
        <f>SUMIFS('Daftar Koreksi'!$I$5:$I$92,'Daftar Koreksi'!$D$5:$D$92,'0300'!A268,'Daftar Koreksi'!$G$5:$G$92,"Aset Tetap Lainnya",'Daftar Koreksi'!$I$5:$I$92,"&gt;0")</f>
        <v>0</v>
      </c>
      <c r="F284" s="25">
        <f>SUMIFS('Daftar Koreksi'!$I$5:$I$92,'Daftar Koreksi'!$D$5:$D$92,'0300'!A268,'Daftar Koreksi'!$G$5:$G$92,"Aset Tetap Lainnya",'Daftar Koreksi'!$I$5:$I$92,"&lt;0")-SUMIFS('Daftar Koreksi'!$I$5:$I$92,'Daftar Koreksi'!$D$5:$D$92,'0300'!A268,'Daftar Koreksi'!$G$5:$G$92,"Aset Tetap Lainnya",'Daftar Koreksi'!$I$5:$I$92,"&lt;0")-SUMIFS('Daftar Koreksi'!$I$5:$I$92,'Daftar Koreksi'!$D$5:$D$92,'0300'!A268,'Daftar Koreksi'!$G$5:$G$92,"Aset Tetap Lainnya",'Daftar Koreksi'!$I$5:$I$92,"&lt;0")</f>
        <v>0</v>
      </c>
      <c r="G284" s="17">
        <f t="shared" si="12"/>
        <v>0</v>
      </c>
      <c r="H284" s="122"/>
    </row>
    <row r="285" spans="1:8" ht="21.95" customHeight="1">
      <c r="A285" s="14"/>
      <c r="B285" s="14"/>
      <c r="C285" s="16" t="s">
        <v>2020</v>
      </c>
      <c r="D285" s="17">
        <f>VLOOKUP(A268,'Neraca Unaudited SIMAK'!$A$2:$S$10004,17,FALSE)</f>
        <v>0</v>
      </c>
      <c r="E285" s="25">
        <f>SUMIFS('Daftar Koreksi'!$I$5:$I$92,'Daftar Koreksi'!$D$5:$D$92,'0300'!A268,'Daftar Koreksi'!$G$5:$G$92,"Aset Henti Guna",'Daftar Koreksi'!$I$5:$I$92,"&gt;0")</f>
        <v>0</v>
      </c>
      <c r="F285" s="25">
        <f>SUMIFS('Daftar Koreksi'!$I$5:$I$92,'Daftar Koreksi'!$D$5:$D$92,'0300'!A268,'Daftar Koreksi'!$G$5:$G$92,"Aset Henti Guna",'Daftar Koreksi'!$I$5:$I$92,"&lt;0")-SUMIFS('Daftar Koreksi'!$I$5:$I$92,'Daftar Koreksi'!$D$5:$D$92,'0300'!A268,'Daftar Koreksi'!$G$5:$G$92,"Aset Henti Guna",'Daftar Koreksi'!$I$5:$I$92,"&lt;0")-SUMIFS('Daftar Koreksi'!$I$5:$I$92,'Daftar Koreksi'!$D$5:$D$92,'0300'!A268,'Daftar Koreksi'!$G$5:$G$92,"Aset Henti Guna",'Daftar Koreksi'!$I$5:$I$92,"&lt;0")</f>
        <v>0</v>
      </c>
      <c r="G285" s="17">
        <f t="shared" si="12"/>
        <v>0</v>
      </c>
      <c r="H285" s="122"/>
    </row>
    <row r="286" spans="1:8" ht="21.95" customHeight="1">
      <c r="A286" s="14"/>
      <c r="B286" s="14"/>
      <c r="C286" s="18" t="s">
        <v>2094</v>
      </c>
      <c r="D286" s="19">
        <f>SUM(D281:D285)</f>
        <v>-1789472398</v>
      </c>
      <c r="E286" s="19">
        <f>SUM(E281:E285)</f>
        <v>0</v>
      </c>
      <c r="F286" s="19">
        <f>SUM(F281:F285)</f>
        <v>0</v>
      </c>
      <c r="G286" s="19">
        <f t="shared" si="12"/>
        <v>-1789472398</v>
      </c>
      <c r="H286" s="122"/>
    </row>
    <row r="287" spans="1:8" ht="21.95" customHeight="1">
      <c r="A287" s="14"/>
      <c r="B287" s="14"/>
      <c r="C287" s="18" t="s">
        <v>2095</v>
      </c>
      <c r="D287" s="19">
        <f>VLOOKUP(A268,'Neraca Unaudited SIMAK'!$A$2:$S$10004,18,FALSE)</f>
        <v>5528202053</v>
      </c>
      <c r="E287" s="19">
        <f>E286+E280</f>
        <v>0</v>
      </c>
      <c r="F287" s="19">
        <f>F286+F280</f>
        <v>0</v>
      </c>
      <c r="G287" s="19">
        <f t="shared" si="12"/>
        <v>5528202053</v>
      </c>
      <c r="H287" s="122"/>
    </row>
    <row r="288" spans="1:8" ht="21.95" customHeight="1">
      <c r="A288" s="14"/>
      <c r="B288" s="14"/>
      <c r="C288" s="16" t="s">
        <v>2091</v>
      </c>
      <c r="D288" s="17">
        <f>VLOOKUP(A268,'Neraca Unaudited SIMAK'!$A$2:$S$10004,19,FALSE)</f>
        <v>0</v>
      </c>
      <c r="E288" s="25"/>
      <c r="F288" s="25"/>
      <c r="G288" s="17">
        <f t="shared" si="12"/>
        <v>0</v>
      </c>
      <c r="H288" s="123"/>
    </row>
    <row r="290" spans="1:8" ht="19.5" customHeight="1">
      <c r="A290" s="11" t="str">
        <f>O14</f>
        <v>005010300097844000KD</v>
      </c>
      <c r="B290" s="11" t="str">
        <f>P14</f>
        <v>PN. Jepara</v>
      </c>
      <c r="C290" s="12" t="str">
        <f>A290&amp;" "&amp;B290</f>
        <v>005010300097844000KD PN. Jepara</v>
      </c>
      <c r="D290" s="13"/>
      <c r="E290" s="13"/>
      <c r="F290" s="13"/>
      <c r="G290" s="13"/>
      <c r="H290" s="11"/>
    </row>
    <row r="291" spans="1:8" ht="21.95" customHeight="1">
      <c r="A291" s="14"/>
      <c r="B291" s="14"/>
      <c r="C291" s="124" t="s">
        <v>1982</v>
      </c>
      <c r="D291" s="126" t="s">
        <v>1983</v>
      </c>
      <c r="E291" s="132" t="s">
        <v>1984</v>
      </c>
      <c r="F291" s="132"/>
      <c r="G291" s="126" t="s">
        <v>1987</v>
      </c>
      <c r="H291" s="130" t="s">
        <v>1175</v>
      </c>
    </row>
    <row r="292" spans="1:8" ht="21.95" customHeight="1">
      <c r="A292" s="14"/>
      <c r="B292" s="14"/>
      <c r="C292" s="125"/>
      <c r="D292" s="127"/>
      <c r="E292" s="26" t="s">
        <v>1985</v>
      </c>
      <c r="F292" s="26" t="s">
        <v>1986</v>
      </c>
      <c r="G292" s="127"/>
      <c r="H292" s="131"/>
    </row>
    <row r="293" spans="1:8" ht="21.95" customHeight="1">
      <c r="A293" s="14"/>
      <c r="B293" s="14"/>
      <c r="C293" s="16" t="s">
        <v>1165</v>
      </c>
      <c r="D293" s="17">
        <f>VLOOKUP(A290,'Neraca Unaudited SIMAK'!$A$2:$S$10004,3,FALSE)</f>
        <v>0</v>
      </c>
      <c r="E293" s="25">
        <f>SUMIFS('Daftar Koreksi'!$H$5:$H$92,'Daftar Koreksi'!$D$5:$D$92,'0300'!A290,'Daftar Koreksi'!$G$5:$G$92,"Persediaan",'Daftar Koreksi'!$H$5:$H$92,"&gt;0")</f>
        <v>0</v>
      </c>
      <c r="F293" s="25">
        <f>SUMIFS('Daftar Koreksi'!$H$5:$H$92,'Daftar Koreksi'!$D$5:$D$92,'0300'!A290,'Daftar Koreksi'!$G$5:$G$92,"Persediaan",'Daftar Koreksi'!$H$5:$H$92,"&lt;0")-SUMIFS('Daftar Koreksi'!$H$5:$H$92,'Daftar Koreksi'!$D$5:$D$92,'0300'!A290,'Daftar Koreksi'!$G$5:$G$92,"Persediaan",'Daftar Koreksi'!$H$5:$H$92,"&lt;0")-SUMIFS('Daftar Koreksi'!$H$5:$H$92,'Daftar Koreksi'!$D$5:$D$92,'0300'!A290,'Daftar Koreksi'!$G$5:$G$92,"Persediaan",'Daftar Koreksi'!$H$5:$H$92,"&lt;0")</f>
        <v>0</v>
      </c>
      <c r="G293" s="17">
        <f>D293+E293-F293</f>
        <v>0</v>
      </c>
      <c r="H293" s="121" t="str">
        <f>IF(ISNA(VLOOKUP(A290,'Mutasi Neraca'!$A$3:$S$914,19,FALSE)),"-",VLOOKUP(A290,'Mutasi Neraca'!$A$3:$S$914,19,FALSE))</f>
        <v>-</v>
      </c>
    </row>
    <row r="294" spans="1:8" ht="21.95" customHeight="1">
      <c r="A294" s="14"/>
      <c r="B294" s="14"/>
      <c r="C294" s="16" t="s">
        <v>1166</v>
      </c>
      <c r="D294" s="17">
        <f>VLOOKUP(A290,'Neraca Unaudited SIMAK'!$A$2:$S$10004,4,FALSE)</f>
        <v>4585000000</v>
      </c>
      <c r="E294" s="25">
        <f>SUMIFS('Daftar Koreksi'!$H$5:$H$92,'Daftar Koreksi'!$D$5:$D$92,'0300'!A290,'Daftar Koreksi'!$G$5:$G$92,"Tanah",'Daftar Koreksi'!$H$5:$H$92,"&gt;0")</f>
        <v>0</v>
      </c>
      <c r="F294" s="25">
        <f>SUMIFS('Daftar Koreksi'!$H$5:$H$92,'Daftar Koreksi'!$D$5:$D$92,'0300'!A290,'Daftar Koreksi'!$G$5:$G$92,"Tanah",'Daftar Koreksi'!$H$5:$H$92,"&lt;0")-SUMIFS('Daftar Koreksi'!$H$5:$H$92,'Daftar Koreksi'!$D$5:$D$92,'0300'!A290,'Daftar Koreksi'!$G$5:$G$92,"Tanah",'Daftar Koreksi'!$H$5:$H$92,"&lt;0")-SUMIFS('Daftar Koreksi'!$H$5:$H$92,'Daftar Koreksi'!$D$5:$D$92,'0300'!A290,'Daftar Koreksi'!$G$5:$G$92,"Tanah",'Daftar Koreksi'!$H$5:$H$92,"&lt;0")</f>
        <v>0</v>
      </c>
      <c r="G294" s="17">
        <f t="shared" ref="G294:G310" si="13">D294+E294-F294</f>
        <v>4585000000</v>
      </c>
      <c r="H294" s="122"/>
    </row>
    <row r="295" spans="1:8" ht="21.95" customHeight="1">
      <c r="A295" s="14"/>
      <c r="B295" s="14"/>
      <c r="C295" s="16" t="s">
        <v>1167</v>
      </c>
      <c r="D295" s="17">
        <f>VLOOKUP(A290,'Neraca Unaudited SIMAK'!$A$2:$S$10004,5,FALSE)</f>
        <v>1782817202</v>
      </c>
      <c r="E295" s="25">
        <f>SUMIFS('Daftar Koreksi'!$H$5:$H$92,'Daftar Koreksi'!$D$5:$D$92,'0300'!A290,'Daftar Koreksi'!$G$5:$G$92,"Peralatan dan mesin",'Daftar Koreksi'!$H$5:$H$92,"&gt;0")</f>
        <v>0</v>
      </c>
      <c r="F295" s="25">
        <f>SUMIFS('Daftar Koreksi'!$H$5:$H$92,'Daftar Koreksi'!$D$5:$D$92,'0300'!A290,'Daftar Koreksi'!$G$5:$G$92,"Peralatan dan mesin",'Daftar Koreksi'!$H$5:$H$92,"&lt;0")-SUMIFS('Daftar Koreksi'!$H$5:$H$92,'Daftar Koreksi'!$D$5:$D$92,'0300'!A290,'Daftar Koreksi'!$G$5:$G$92,"Peralatan dan mesin",'Daftar Koreksi'!$H$5:$H$92,"&lt;0")-SUMIFS('Daftar Koreksi'!$H$5:$H$92,'Daftar Koreksi'!$D$5:$D$92,'0300'!A290,'Daftar Koreksi'!$G$5:$G$92,"Peralatan dan mesin",'Daftar Koreksi'!$H$5:$H$92,"&lt;0")</f>
        <v>0</v>
      </c>
      <c r="G295" s="17">
        <f t="shared" si="13"/>
        <v>1782817202</v>
      </c>
      <c r="H295" s="122"/>
    </row>
    <row r="296" spans="1:8" ht="21.95" customHeight="1">
      <c r="A296" s="14"/>
      <c r="B296" s="14"/>
      <c r="C296" s="16" t="s">
        <v>1168</v>
      </c>
      <c r="D296" s="17">
        <f>VLOOKUP(A290,'Neraca Unaudited SIMAK'!$A$2:$S$10004,6,FALSE)</f>
        <v>4652525053</v>
      </c>
      <c r="E296" s="25">
        <f>SUMIFS('Daftar Koreksi'!$H$5:$H$92,'Daftar Koreksi'!$D$5:$D$92,'0300'!A290,'Daftar Koreksi'!$G$5:$G$92,"Gedung dan Bangunan",'Daftar Koreksi'!$H$5:$H$92,"&gt;0")</f>
        <v>0</v>
      </c>
      <c r="F296" s="25">
        <f>SUMIFS('Daftar Koreksi'!$H$5:$H$92,'Daftar Koreksi'!$D$5:$D$92,'0300'!A290,'Daftar Koreksi'!$G$5:$G$92,"Gedung dan Bangunan",'Daftar Koreksi'!$H$5:$H$92,"&lt;0")-SUMIFS('Daftar Koreksi'!$H$5:$H$92,'Daftar Koreksi'!$D$5:$D$92,'0300'!A290,'Daftar Koreksi'!$G$5:$G$92,"Gedung dan Bangunan",'Daftar Koreksi'!$H$5:$H$92,"&lt;0")-SUMIFS('Daftar Koreksi'!$H$5:$H$92,'Daftar Koreksi'!$D$5:$D$92,'0300'!A290,'Daftar Koreksi'!$G$5:$G$92,"Gedung dan Bangunan",'Daftar Koreksi'!$H$5:$H$92,"&lt;0")</f>
        <v>0</v>
      </c>
      <c r="G296" s="17">
        <f t="shared" si="13"/>
        <v>4652525053</v>
      </c>
      <c r="H296" s="122"/>
    </row>
    <row r="297" spans="1:8" ht="21.95" customHeight="1">
      <c r="A297" s="14"/>
      <c r="B297" s="14"/>
      <c r="C297" s="16" t="s">
        <v>1169</v>
      </c>
      <c r="D297" s="17">
        <f>VLOOKUP(A290,'Neraca Unaudited SIMAK'!$A$2:$S$10004,7,FALSE)</f>
        <v>0</v>
      </c>
      <c r="E297" s="25">
        <f>SUMIFS('Daftar Koreksi'!$H$5:$H$92,'Daftar Koreksi'!$D$5:$D$92,'0300'!A290,'Daftar Koreksi'!$G$5:$G$92,"Jalan Irigasi Jaringan",'Daftar Koreksi'!$H$5:$H$92,"&gt;0")</f>
        <v>0</v>
      </c>
      <c r="F297" s="25">
        <f>SUMIFS('Daftar Koreksi'!$H$5:$H$92,'Daftar Koreksi'!$D$5:$D$92,'0300'!A290,'Daftar Koreksi'!$G$5:$G$92,"Jalan Irigasi Jaringan",'Daftar Koreksi'!$H$5:$H$92,"&lt;0")-SUMIFS('Daftar Koreksi'!$H$5:$H$92,'Daftar Koreksi'!$D$5:$D$92,'0300'!A290,'Daftar Koreksi'!$G$5:$G$92,"Jalan Irigasi Jaringan",'Daftar Koreksi'!$H$5:$H$92,"&lt;0")-SUMIFS('Daftar Koreksi'!$H$5:$H$92,'Daftar Koreksi'!$D$5:$D$92,'0300'!A290,'Daftar Koreksi'!$G$5:$G$92,"Jalan Irigasi Jaringan",'Daftar Koreksi'!$H$5:$H$92,"&lt;0")</f>
        <v>0</v>
      </c>
      <c r="G297" s="17">
        <f t="shared" si="13"/>
        <v>0</v>
      </c>
      <c r="H297" s="122"/>
    </row>
    <row r="298" spans="1:8" ht="21.95" customHeight="1">
      <c r="A298" s="14"/>
      <c r="B298" s="14"/>
      <c r="C298" s="16" t="s">
        <v>1170</v>
      </c>
      <c r="D298" s="17">
        <f>VLOOKUP(A290,'Neraca Unaudited SIMAK'!$A$2:$S$10004,8,FALSE)</f>
        <v>220180782</v>
      </c>
      <c r="E298" s="25">
        <f>SUMIFS('Daftar Koreksi'!$H$5:$H$92,'Daftar Koreksi'!$D$5:$D$92,'0300'!A290,'Daftar Koreksi'!$G$5:$G$92,"Aset Tetap Lainnya",'Daftar Koreksi'!$H$5:$H$92,"&gt;0")</f>
        <v>0</v>
      </c>
      <c r="F298" s="25">
        <f>SUMIFS('Daftar Koreksi'!$H$5:$H$92,'Daftar Koreksi'!$D$5:$D$92,'0300'!A290,'Daftar Koreksi'!$G$5:$G$92,"Aset Tetap Lainnya",'Daftar Koreksi'!$H$5:$H$92,"&lt;0")-SUMIFS('Daftar Koreksi'!$H$5:$H$92,'Daftar Koreksi'!$D$5:$D$92,'0300'!A290,'Daftar Koreksi'!$G$5:$G$92,"Aset Tetap Lainnya",'Daftar Koreksi'!$H$5:$H$92,"&lt;0")-SUMIFS('Daftar Koreksi'!$H$5:$H$92,'Daftar Koreksi'!$D$5:$D$92,'0300'!A290,'Daftar Koreksi'!$G$5:$G$92,"Aset Tetap Lainnya",'Daftar Koreksi'!$H$5:$H$92,"&lt;0")</f>
        <v>0</v>
      </c>
      <c r="G298" s="17">
        <f t="shared" si="13"/>
        <v>220180782</v>
      </c>
      <c r="H298" s="122"/>
    </row>
    <row r="299" spans="1:8" ht="21.95" customHeight="1">
      <c r="A299" s="14"/>
      <c r="B299" s="14"/>
      <c r="C299" s="16" t="s">
        <v>1171</v>
      </c>
      <c r="D299" s="17">
        <f>VLOOKUP(A290,'Neraca Unaudited SIMAK'!$A$2:$S$10004,9,FALSE)</f>
        <v>0</v>
      </c>
      <c r="E299" s="25">
        <f>SUMIFS('Daftar Koreksi'!$H$5:$H$92,'Daftar Koreksi'!$D$5:$D$92,'0300'!A290,'Daftar Koreksi'!$G$5:$G$92,"Kontruksi Dalam Pengerjaan",'Daftar Koreksi'!$H$5:$H$92,"&gt;0")</f>
        <v>0</v>
      </c>
      <c r="F299" s="25">
        <f>SUMIFS('Daftar Koreksi'!$H$5:$H$92,'Daftar Koreksi'!$D$5:$D$92,'0300'!A290,'Daftar Koreksi'!$G$5:$G$92,"Kontruksi Dalam Pengerjaan",'Daftar Koreksi'!$H$5:$H$92,"&lt;0")-SUMIFS('Daftar Koreksi'!$H$5:$H$92,'Daftar Koreksi'!$D$5:$D$92,'0300'!A290,'Daftar Koreksi'!$G$5:$G$92,"Kontruksi Dalam Pengerjaan",'Daftar Koreksi'!$H$5:$H$92,"&lt;0")-SUMIFS('Daftar Koreksi'!$H$5:$H$92,'Daftar Koreksi'!$D$5:$D$92,'0300'!A290,'Daftar Koreksi'!$G$5:$G$92,"Kontruksi Dalam Pengerjaan",'Daftar Koreksi'!$H$5:$H$92,"&lt;0")</f>
        <v>0</v>
      </c>
      <c r="G299" s="17">
        <f t="shared" si="13"/>
        <v>0</v>
      </c>
      <c r="H299" s="122"/>
    </row>
    <row r="300" spans="1:8" ht="21.95" customHeight="1">
      <c r="A300" s="14"/>
      <c r="B300" s="14"/>
      <c r="C300" s="16" t="s">
        <v>1172</v>
      </c>
      <c r="D300" s="17">
        <f>VLOOKUP(A290,'Neraca Unaudited SIMAK'!$A$2:$S$10004,10,FALSE)</f>
        <v>0</v>
      </c>
      <c r="E300" s="25">
        <f>SUMIFS('Daftar Koreksi'!$H$5:$H$92,'Daftar Koreksi'!$D$5:$D$92,'0300'!A290,'Daftar Koreksi'!$G$5:$G$92,"Aset Tak Berwujud",'Daftar Koreksi'!$H$5:$H$92,"&gt;0")</f>
        <v>0</v>
      </c>
      <c r="F300" s="25">
        <f>SUMIFS('Daftar Koreksi'!$H$5:$H$92,'Daftar Koreksi'!$D$5:$D$92,'0300'!A290,'Daftar Koreksi'!$G$5:$G$92,"Aset Tak Berwujud",'Daftar Koreksi'!$H$5:$H$92,"&lt;0")-SUMIFS('Daftar Koreksi'!$H$5:$H$92,'Daftar Koreksi'!$D$5:$D$92,'0300'!A290,'Daftar Koreksi'!$G$5:$G$92,"Aset Tak Berwujud",'Daftar Koreksi'!$H$5:$H$92,"&lt;0")-SUMIFS('Daftar Koreksi'!$H$5:$H$92,'Daftar Koreksi'!$D$5:$D$92,'0300'!A290,'Daftar Koreksi'!$G$5:$G$92,"Aset Tak Berwujud",'Daftar Koreksi'!$H$5:$H$92,"&lt;0")</f>
        <v>0</v>
      </c>
      <c r="G300" s="17">
        <f t="shared" si="13"/>
        <v>0</v>
      </c>
      <c r="H300" s="122"/>
    </row>
    <row r="301" spans="1:8" ht="21.95" customHeight="1">
      <c r="A301" s="14"/>
      <c r="B301" s="14"/>
      <c r="C301" s="16" t="s">
        <v>1173</v>
      </c>
      <c r="D301" s="17">
        <f>VLOOKUP(A290,'Neraca Unaudited SIMAK'!$A$2:$S$10004,11,FALSE)</f>
        <v>3997912</v>
      </c>
      <c r="E301" s="25">
        <f>SUMIFS('Daftar Koreksi'!$H$5:$H$92,'Daftar Koreksi'!$D$5:$D$92,'0300'!A290,'Daftar Koreksi'!$G$5:$G$92,"Aset Henti Guna",'Daftar Koreksi'!$H$5:$H$92,"&gt;0")</f>
        <v>0</v>
      </c>
      <c r="F301" s="25">
        <f>SUMIFS('Daftar Koreksi'!$H$5:$H$92,'Daftar Koreksi'!$D$5:$D$92,'0300'!A290,'Daftar Koreksi'!$G$5:$G$92,"Aset Henti Guna",'Daftar Koreksi'!$H$5:$H$92,"&lt;0")-SUMIFS('Daftar Koreksi'!$H$5:$H$92,'Daftar Koreksi'!$D$5:$D$92,'0300'!A290,'Daftar Koreksi'!$G$5:$G$92,"Aset Henti Guna",'Daftar Koreksi'!$H$5:$H$92,"&lt;0")-SUMIFS('Daftar Koreksi'!$H$5:$H$92,'Daftar Koreksi'!$D$5:$D$92,'0300'!A290,'Daftar Koreksi'!$G$5:$G$92,"Aset Henti Guna",'Daftar Koreksi'!$H$5:$H$92,"&lt;0")</f>
        <v>0</v>
      </c>
      <c r="G301" s="17">
        <f t="shared" si="13"/>
        <v>3997912</v>
      </c>
      <c r="H301" s="122"/>
    </row>
    <row r="302" spans="1:8" ht="21.95" customHeight="1">
      <c r="A302" s="14"/>
      <c r="B302" s="14"/>
      <c r="C302" s="18" t="s">
        <v>2093</v>
      </c>
      <c r="D302" s="19">
        <f>VLOOKUP(A290,'Neraca Unaudited SIMAK'!$A$2:$S$10004,12,FALSE)</f>
        <v>11244520949</v>
      </c>
      <c r="E302" s="19">
        <f>SUM(E293:E301)</f>
        <v>0</v>
      </c>
      <c r="F302" s="19">
        <f>SUM(F293:F301)</f>
        <v>0</v>
      </c>
      <c r="G302" s="19">
        <f t="shared" si="13"/>
        <v>11244520949</v>
      </c>
      <c r="H302" s="122"/>
    </row>
    <row r="303" spans="1:8" ht="21.95" customHeight="1">
      <c r="A303" s="14"/>
      <c r="B303" s="14"/>
      <c r="C303" s="16" t="s">
        <v>2087</v>
      </c>
      <c r="D303" s="17">
        <f>VLOOKUP(A290,'Neraca Unaudited SIMAK'!$A$2:$S$10004,13,FALSE)</f>
        <v>-1582143381</v>
      </c>
      <c r="E303" s="25">
        <f>SUMIFS('Daftar Koreksi'!$I$5:$I$92,'Daftar Koreksi'!$D$5:$D$92,'0300'!A290,'Daftar Koreksi'!$G$5:$G$92,"Peralatan dan mesin",'Daftar Koreksi'!$I$5:$I$92,"&gt;0")</f>
        <v>0</v>
      </c>
      <c r="F303" s="25">
        <f>SUMIFS('Daftar Koreksi'!$I$5:$I$92,'Daftar Koreksi'!$D$5:$D$92,'0300'!A290,'Daftar Koreksi'!$G$5:$G$92,"Peralatan dan mesin",'Daftar Koreksi'!$I$5:$I$92,"&lt;0")-SUMIFS('Daftar Koreksi'!$I$5:$I$92,'Daftar Koreksi'!$D$5:$D$92,'0300'!A290,'Daftar Koreksi'!$G$5:$G$92,"Peralatan dan mesin",'Daftar Koreksi'!$I$5:$I$92,"&lt;0")-SUMIFS('Daftar Koreksi'!$I$5:$I$92,'Daftar Koreksi'!$D$5:$D$92,'0300'!A290,'Daftar Koreksi'!$G$5:$G$92,"Peralatan dan mesin",'Daftar Koreksi'!$I$5:$I$92,"&lt;0")</f>
        <v>0</v>
      </c>
      <c r="G303" s="17">
        <f t="shared" si="13"/>
        <v>-1582143381</v>
      </c>
      <c r="H303" s="122"/>
    </row>
    <row r="304" spans="1:8" ht="21.95" customHeight="1">
      <c r="A304" s="14"/>
      <c r="B304" s="14"/>
      <c r="C304" s="16" t="s">
        <v>2088</v>
      </c>
      <c r="D304" s="17">
        <f>VLOOKUP(A290,'Neraca Unaudited SIMAK'!$A$2:$S$10004,14,FALSE)</f>
        <v>-753771348</v>
      </c>
      <c r="E304" s="25">
        <f>SUMIFS('Daftar Koreksi'!$I$5:$I$92,'Daftar Koreksi'!$D$5:$D$92,'0300'!A290,'Daftar Koreksi'!$G$5:$G$92,"Gedung dan Bangunan",'Daftar Koreksi'!$I$5:$I$92,"&gt;0")</f>
        <v>0</v>
      </c>
      <c r="F304" s="25">
        <f>SUMIFS('Daftar Koreksi'!$I$5:$I$92,'Daftar Koreksi'!$D$5:$D$92,'0300'!A290,'Daftar Koreksi'!$G$5:$G$92,"Gedung dan Bangunan",'Daftar Koreksi'!$I$5:$I$92,"&lt;0")-SUMIFS('Daftar Koreksi'!$I$5:$I$92,'Daftar Koreksi'!$D$5:$D$92,'0300'!A290,'Daftar Koreksi'!$G$5:$G$92,"Gedung dan Bangunan",'Daftar Koreksi'!$I$5:$I$92,"&lt;0")-SUMIFS('Daftar Koreksi'!$I$5:$I$92,'Daftar Koreksi'!$D$5:$D$92,'0300'!A290,'Daftar Koreksi'!$G$5:$G$92,"Gedung dan Bangunan",'Daftar Koreksi'!$I$5:$I$92,"&lt;0")</f>
        <v>0</v>
      </c>
      <c r="G304" s="17">
        <f t="shared" si="13"/>
        <v>-753771348</v>
      </c>
      <c r="H304" s="122"/>
    </row>
    <row r="305" spans="1:8" ht="21.95" customHeight="1">
      <c r="A305" s="14"/>
      <c r="B305" s="14"/>
      <c r="C305" s="16" t="s">
        <v>2089</v>
      </c>
      <c r="D305" s="17">
        <f>VLOOKUP(A290,'Neraca Unaudited SIMAK'!$A$2:$S$10004,15,FALSE)</f>
        <v>0</v>
      </c>
      <c r="E305" s="25">
        <f>SUMIFS('Daftar Koreksi'!$I$5:$I$92,'Daftar Koreksi'!$D$5:$D$92,'0300'!A290,'Daftar Koreksi'!$G$5:$G$92,"Jalan Irigasi Jaringan",'Daftar Koreksi'!$I$5:$I$92,"&gt;0")</f>
        <v>0</v>
      </c>
      <c r="F305" s="25">
        <f>SUMIFS('Daftar Koreksi'!$I$5:$I$92,'Daftar Koreksi'!$D$5:$D$92,'0300'!A290,'Daftar Koreksi'!$G$5:$G$92,"Jalan Irigasi Jaringan",'Daftar Koreksi'!$I$5:$I$92,"&lt;0")-SUMIFS('Daftar Koreksi'!$I$5:$I$92,'Daftar Koreksi'!$D$5:$D$92,'0300'!A290,'Daftar Koreksi'!$G$5:$G$92,"Jalan Irigasi Jaringan",'Daftar Koreksi'!$I$5:$I$92,"&lt;0")-SUMIFS('Daftar Koreksi'!$I$5:$I$92,'Daftar Koreksi'!$D$5:$D$92,'0300'!A290,'Daftar Koreksi'!$G$5:$G$92,"Jalan Irigasi Jaringan",'Daftar Koreksi'!$I$5:$I$92,"&lt;0")</f>
        <v>0</v>
      </c>
      <c r="G305" s="17">
        <f t="shared" si="13"/>
        <v>0</v>
      </c>
      <c r="H305" s="122"/>
    </row>
    <row r="306" spans="1:8" ht="21.95" customHeight="1">
      <c r="A306" s="14"/>
      <c r="B306" s="14"/>
      <c r="C306" s="16" t="s">
        <v>2090</v>
      </c>
      <c r="D306" s="17">
        <f>VLOOKUP(A290,'Neraca Unaudited SIMAK'!$A$2:$S$10004,16,FALSE)</f>
        <v>0</v>
      </c>
      <c r="E306" s="25">
        <f>SUMIFS('Daftar Koreksi'!$I$5:$I$92,'Daftar Koreksi'!$D$5:$D$92,'0300'!A290,'Daftar Koreksi'!$G$5:$G$92,"Aset Tetap Lainnya",'Daftar Koreksi'!$I$5:$I$92,"&gt;0")</f>
        <v>0</v>
      </c>
      <c r="F306" s="25">
        <f>SUMIFS('Daftar Koreksi'!$I$5:$I$92,'Daftar Koreksi'!$D$5:$D$92,'0300'!A290,'Daftar Koreksi'!$G$5:$G$92,"Aset Tetap Lainnya",'Daftar Koreksi'!$I$5:$I$92,"&lt;0")-SUMIFS('Daftar Koreksi'!$I$5:$I$92,'Daftar Koreksi'!$D$5:$D$92,'0300'!A290,'Daftar Koreksi'!$G$5:$G$92,"Aset Tetap Lainnya",'Daftar Koreksi'!$I$5:$I$92,"&lt;0")-SUMIFS('Daftar Koreksi'!$I$5:$I$92,'Daftar Koreksi'!$D$5:$D$92,'0300'!A290,'Daftar Koreksi'!$G$5:$G$92,"Aset Tetap Lainnya",'Daftar Koreksi'!$I$5:$I$92,"&lt;0")</f>
        <v>0</v>
      </c>
      <c r="G306" s="17">
        <f t="shared" si="13"/>
        <v>0</v>
      </c>
      <c r="H306" s="122"/>
    </row>
    <row r="307" spans="1:8" ht="21.95" customHeight="1">
      <c r="A307" s="14"/>
      <c r="B307" s="14"/>
      <c r="C307" s="16" t="s">
        <v>2020</v>
      </c>
      <c r="D307" s="17">
        <f>VLOOKUP(A290,'Neraca Unaudited SIMAK'!$A$2:$S$10004,17,FALSE)</f>
        <v>-3997912</v>
      </c>
      <c r="E307" s="25">
        <f>SUMIFS('Daftar Koreksi'!$I$5:$I$92,'Daftar Koreksi'!$D$5:$D$92,'0300'!A290,'Daftar Koreksi'!$G$5:$G$92,"Aset Henti Guna",'Daftar Koreksi'!$I$5:$I$92,"&gt;0")</f>
        <v>0</v>
      </c>
      <c r="F307" s="25">
        <f>SUMIFS('Daftar Koreksi'!$I$5:$I$92,'Daftar Koreksi'!$D$5:$D$92,'0300'!A290,'Daftar Koreksi'!$G$5:$G$92,"Aset Henti Guna",'Daftar Koreksi'!$I$5:$I$92,"&lt;0")-SUMIFS('Daftar Koreksi'!$I$5:$I$92,'Daftar Koreksi'!$D$5:$D$92,'0300'!A290,'Daftar Koreksi'!$G$5:$G$92,"Aset Henti Guna",'Daftar Koreksi'!$I$5:$I$92,"&lt;0")-SUMIFS('Daftar Koreksi'!$I$5:$I$92,'Daftar Koreksi'!$D$5:$D$92,'0300'!A290,'Daftar Koreksi'!$G$5:$G$92,"Aset Henti Guna",'Daftar Koreksi'!$I$5:$I$92,"&lt;0")</f>
        <v>0</v>
      </c>
      <c r="G307" s="17">
        <f t="shared" si="13"/>
        <v>-3997912</v>
      </c>
      <c r="H307" s="122"/>
    </row>
    <row r="308" spans="1:8" ht="21.95" customHeight="1">
      <c r="A308" s="14"/>
      <c r="B308" s="14"/>
      <c r="C308" s="18" t="s">
        <v>2094</v>
      </c>
      <c r="D308" s="19">
        <f>SUM(D303:D307)</f>
        <v>-2339912641</v>
      </c>
      <c r="E308" s="19">
        <f>SUM(E303:E307)</f>
        <v>0</v>
      </c>
      <c r="F308" s="19">
        <f>SUM(F303:F307)</f>
        <v>0</v>
      </c>
      <c r="G308" s="19">
        <f t="shared" si="13"/>
        <v>-2339912641</v>
      </c>
      <c r="H308" s="122"/>
    </row>
    <row r="309" spans="1:8" ht="21.95" customHeight="1">
      <c r="A309" s="14"/>
      <c r="B309" s="14"/>
      <c r="C309" s="18" t="s">
        <v>2095</v>
      </c>
      <c r="D309" s="19">
        <f>VLOOKUP(A290,'Neraca Unaudited SIMAK'!$A$2:$S$10004,18,FALSE)</f>
        <v>8904608308</v>
      </c>
      <c r="E309" s="19">
        <f>E308+E302</f>
        <v>0</v>
      </c>
      <c r="F309" s="19">
        <f>F308+F302</f>
        <v>0</v>
      </c>
      <c r="G309" s="19">
        <f t="shared" si="13"/>
        <v>8904608308</v>
      </c>
      <c r="H309" s="122"/>
    </row>
    <row r="310" spans="1:8" ht="21.95" customHeight="1">
      <c r="A310" s="14"/>
      <c r="B310" s="14"/>
      <c r="C310" s="16" t="s">
        <v>2091</v>
      </c>
      <c r="D310" s="17">
        <f>VLOOKUP(A290,'Neraca Unaudited SIMAK'!$A$2:$S$10004,19,FALSE)</f>
        <v>0</v>
      </c>
      <c r="E310" s="25"/>
      <c r="F310" s="25"/>
      <c r="G310" s="17">
        <f t="shared" si="13"/>
        <v>0</v>
      </c>
      <c r="H310" s="123"/>
    </row>
    <row r="312" spans="1:8" ht="19.5" customHeight="1">
      <c r="A312" s="11" t="str">
        <f>O15</f>
        <v>005010300097851000KD</v>
      </c>
      <c r="B312" s="11" t="str">
        <f>P15</f>
        <v>PN. Blora</v>
      </c>
      <c r="C312" s="12" t="str">
        <f>A312&amp;" "&amp;B312</f>
        <v>005010300097851000KD PN. Blora</v>
      </c>
      <c r="D312" s="13"/>
      <c r="E312" s="13"/>
      <c r="F312" s="13"/>
      <c r="G312" s="13"/>
      <c r="H312" s="11"/>
    </row>
    <row r="313" spans="1:8" ht="21.95" customHeight="1">
      <c r="A313" s="14"/>
      <c r="B313" s="14"/>
      <c r="C313" s="124" t="s">
        <v>1982</v>
      </c>
      <c r="D313" s="126" t="s">
        <v>1983</v>
      </c>
      <c r="E313" s="132" t="s">
        <v>1984</v>
      </c>
      <c r="F313" s="132"/>
      <c r="G313" s="126" t="s">
        <v>1987</v>
      </c>
      <c r="H313" s="130" t="s">
        <v>1175</v>
      </c>
    </row>
    <row r="314" spans="1:8" ht="21.95" customHeight="1">
      <c r="A314" s="14"/>
      <c r="B314" s="14"/>
      <c r="C314" s="125"/>
      <c r="D314" s="127"/>
      <c r="E314" s="26" t="s">
        <v>1985</v>
      </c>
      <c r="F314" s="26" t="s">
        <v>1986</v>
      </c>
      <c r="G314" s="127"/>
      <c r="H314" s="131"/>
    </row>
    <row r="315" spans="1:8" ht="21.95" customHeight="1">
      <c r="A315" s="14"/>
      <c r="B315" s="14"/>
      <c r="C315" s="16" t="s">
        <v>1165</v>
      </c>
      <c r="D315" s="17">
        <f>VLOOKUP(A312,'Neraca Unaudited SIMAK'!$A$2:$S$10004,3,FALSE)</f>
        <v>512500</v>
      </c>
      <c r="E315" s="25">
        <f>SUMIFS('Daftar Koreksi'!$H$5:$H$92,'Daftar Koreksi'!$D$5:$D$92,'0300'!A312,'Daftar Koreksi'!$G$5:$G$92,"Persediaan",'Daftar Koreksi'!$H$5:$H$92,"&gt;0")</f>
        <v>0</v>
      </c>
      <c r="F315" s="25">
        <f>SUMIFS('Daftar Koreksi'!$H$5:$H$92,'Daftar Koreksi'!$D$5:$D$92,'0300'!A312,'Daftar Koreksi'!$G$5:$G$92,"Persediaan",'Daftar Koreksi'!$H$5:$H$92,"&lt;0")-SUMIFS('Daftar Koreksi'!$H$5:$H$92,'Daftar Koreksi'!$D$5:$D$92,'0300'!A312,'Daftar Koreksi'!$G$5:$G$92,"Persediaan",'Daftar Koreksi'!$H$5:$H$92,"&lt;0")-SUMIFS('Daftar Koreksi'!$H$5:$H$92,'Daftar Koreksi'!$D$5:$D$92,'0300'!A312,'Daftar Koreksi'!$G$5:$G$92,"Persediaan",'Daftar Koreksi'!$H$5:$H$92,"&lt;0")</f>
        <v>0</v>
      </c>
      <c r="G315" s="17">
        <f>D315+E315-F315</f>
        <v>512500</v>
      </c>
      <c r="H315" s="121" t="str">
        <f>IF(ISNA(VLOOKUP(A312,'Mutasi Neraca'!$A$3:$S$914,19,FALSE)),"-",VLOOKUP(A312,'Mutasi Neraca'!$A$3:$S$914,19,FALSE))</f>
        <v>-</v>
      </c>
    </row>
    <row r="316" spans="1:8" ht="21.95" customHeight="1">
      <c r="A316" s="14"/>
      <c r="B316" s="14"/>
      <c r="C316" s="16" t="s">
        <v>1166</v>
      </c>
      <c r="D316" s="17">
        <f>VLOOKUP(A312,'Neraca Unaudited SIMAK'!$A$2:$S$10004,4,FALSE)</f>
        <v>3534600000</v>
      </c>
      <c r="E316" s="25">
        <f>SUMIFS('Daftar Koreksi'!$H$5:$H$92,'Daftar Koreksi'!$D$5:$D$92,'0300'!A312,'Daftar Koreksi'!$G$5:$G$92,"Tanah",'Daftar Koreksi'!$H$5:$H$92,"&gt;0")</f>
        <v>0</v>
      </c>
      <c r="F316" s="25">
        <f>SUMIFS('Daftar Koreksi'!$H$5:$H$92,'Daftar Koreksi'!$D$5:$D$92,'0300'!A312,'Daftar Koreksi'!$G$5:$G$92,"Tanah",'Daftar Koreksi'!$H$5:$H$92,"&lt;0")-SUMIFS('Daftar Koreksi'!$H$5:$H$92,'Daftar Koreksi'!$D$5:$D$92,'0300'!A312,'Daftar Koreksi'!$G$5:$G$92,"Tanah",'Daftar Koreksi'!$H$5:$H$92,"&lt;0")-SUMIFS('Daftar Koreksi'!$H$5:$H$92,'Daftar Koreksi'!$D$5:$D$92,'0300'!A312,'Daftar Koreksi'!$G$5:$G$92,"Tanah",'Daftar Koreksi'!$H$5:$H$92,"&lt;0")</f>
        <v>0</v>
      </c>
      <c r="G316" s="17">
        <f t="shared" ref="G316:G332" si="14">D316+E316-F316</f>
        <v>3534600000</v>
      </c>
      <c r="H316" s="122"/>
    </row>
    <row r="317" spans="1:8" ht="21.95" customHeight="1">
      <c r="A317" s="14"/>
      <c r="B317" s="14"/>
      <c r="C317" s="16" t="s">
        <v>1167</v>
      </c>
      <c r="D317" s="17">
        <f>VLOOKUP(A312,'Neraca Unaudited SIMAK'!$A$2:$S$10004,5,FALSE)</f>
        <v>1305993248</v>
      </c>
      <c r="E317" s="25">
        <f>SUMIFS('Daftar Koreksi'!$H$5:$H$92,'Daftar Koreksi'!$D$5:$D$92,'0300'!A312,'Daftar Koreksi'!$G$5:$G$92,"Peralatan dan mesin",'Daftar Koreksi'!$H$5:$H$92,"&gt;0")</f>
        <v>0</v>
      </c>
      <c r="F317" s="25">
        <f>SUMIFS('Daftar Koreksi'!$H$5:$H$92,'Daftar Koreksi'!$D$5:$D$92,'0300'!A312,'Daftar Koreksi'!$G$5:$G$92,"Peralatan dan mesin",'Daftar Koreksi'!$H$5:$H$92,"&lt;0")-SUMIFS('Daftar Koreksi'!$H$5:$H$92,'Daftar Koreksi'!$D$5:$D$92,'0300'!A312,'Daftar Koreksi'!$G$5:$G$92,"Peralatan dan mesin",'Daftar Koreksi'!$H$5:$H$92,"&lt;0")-SUMIFS('Daftar Koreksi'!$H$5:$H$92,'Daftar Koreksi'!$D$5:$D$92,'0300'!A312,'Daftar Koreksi'!$G$5:$G$92,"Peralatan dan mesin",'Daftar Koreksi'!$H$5:$H$92,"&lt;0")</f>
        <v>0</v>
      </c>
      <c r="G317" s="17">
        <f t="shared" si="14"/>
        <v>1305993248</v>
      </c>
      <c r="H317" s="122"/>
    </row>
    <row r="318" spans="1:8" ht="21.95" customHeight="1">
      <c r="A318" s="14"/>
      <c r="B318" s="14"/>
      <c r="C318" s="16" t="s">
        <v>1168</v>
      </c>
      <c r="D318" s="17">
        <f>VLOOKUP(A312,'Neraca Unaudited SIMAK'!$A$2:$S$10004,6,FALSE)</f>
        <v>3557488682</v>
      </c>
      <c r="E318" s="25">
        <f>SUMIFS('Daftar Koreksi'!$H$5:$H$92,'Daftar Koreksi'!$D$5:$D$92,'0300'!A312,'Daftar Koreksi'!$G$5:$G$92,"Gedung dan Bangunan",'Daftar Koreksi'!$H$5:$H$92,"&gt;0")</f>
        <v>0</v>
      </c>
      <c r="F318" s="25">
        <f>SUMIFS('Daftar Koreksi'!$H$5:$H$92,'Daftar Koreksi'!$D$5:$D$92,'0300'!A312,'Daftar Koreksi'!$G$5:$G$92,"Gedung dan Bangunan",'Daftar Koreksi'!$H$5:$H$92,"&lt;0")-SUMIFS('Daftar Koreksi'!$H$5:$H$92,'Daftar Koreksi'!$D$5:$D$92,'0300'!A312,'Daftar Koreksi'!$G$5:$G$92,"Gedung dan Bangunan",'Daftar Koreksi'!$H$5:$H$92,"&lt;0")-SUMIFS('Daftar Koreksi'!$H$5:$H$92,'Daftar Koreksi'!$D$5:$D$92,'0300'!A312,'Daftar Koreksi'!$G$5:$G$92,"Gedung dan Bangunan",'Daftar Koreksi'!$H$5:$H$92,"&lt;0")</f>
        <v>0</v>
      </c>
      <c r="G318" s="17">
        <f t="shared" si="14"/>
        <v>3557488682</v>
      </c>
      <c r="H318" s="122"/>
    </row>
    <row r="319" spans="1:8" ht="21.95" customHeight="1">
      <c r="A319" s="14"/>
      <c r="B319" s="14"/>
      <c r="C319" s="16" t="s">
        <v>1169</v>
      </c>
      <c r="D319" s="17">
        <f>VLOOKUP(A312,'Neraca Unaudited SIMAK'!$A$2:$S$10004,7,FALSE)</f>
        <v>90569000</v>
      </c>
      <c r="E319" s="25">
        <f>SUMIFS('Daftar Koreksi'!$H$5:$H$92,'Daftar Koreksi'!$D$5:$D$92,'0300'!A312,'Daftar Koreksi'!$G$5:$G$92,"Jalan Irigasi Jaringan",'Daftar Koreksi'!$H$5:$H$92,"&gt;0")</f>
        <v>0</v>
      </c>
      <c r="F319" s="25">
        <f>SUMIFS('Daftar Koreksi'!$H$5:$H$92,'Daftar Koreksi'!$D$5:$D$92,'0300'!A312,'Daftar Koreksi'!$G$5:$G$92,"Jalan Irigasi Jaringan",'Daftar Koreksi'!$H$5:$H$92,"&lt;0")-SUMIFS('Daftar Koreksi'!$H$5:$H$92,'Daftar Koreksi'!$D$5:$D$92,'0300'!A312,'Daftar Koreksi'!$G$5:$G$92,"Jalan Irigasi Jaringan",'Daftar Koreksi'!$H$5:$H$92,"&lt;0")-SUMIFS('Daftar Koreksi'!$H$5:$H$92,'Daftar Koreksi'!$D$5:$D$92,'0300'!A312,'Daftar Koreksi'!$G$5:$G$92,"Jalan Irigasi Jaringan",'Daftar Koreksi'!$H$5:$H$92,"&lt;0")</f>
        <v>0</v>
      </c>
      <c r="G319" s="17">
        <f t="shared" si="14"/>
        <v>90569000</v>
      </c>
      <c r="H319" s="122"/>
    </row>
    <row r="320" spans="1:8" ht="21.95" customHeight="1">
      <c r="A320" s="14"/>
      <c r="B320" s="14"/>
      <c r="C320" s="16" t="s">
        <v>1170</v>
      </c>
      <c r="D320" s="17">
        <f>VLOOKUP(A312,'Neraca Unaudited SIMAK'!$A$2:$S$10004,8,FALSE)</f>
        <v>59507663</v>
      </c>
      <c r="E320" s="25">
        <f>SUMIFS('Daftar Koreksi'!$H$5:$H$92,'Daftar Koreksi'!$D$5:$D$92,'0300'!A312,'Daftar Koreksi'!$G$5:$G$92,"Aset Tetap Lainnya",'Daftar Koreksi'!$H$5:$H$92,"&gt;0")</f>
        <v>0</v>
      </c>
      <c r="F320" s="25">
        <f>SUMIFS('Daftar Koreksi'!$H$5:$H$92,'Daftar Koreksi'!$D$5:$D$92,'0300'!A312,'Daftar Koreksi'!$G$5:$G$92,"Aset Tetap Lainnya",'Daftar Koreksi'!$H$5:$H$92,"&lt;0")-SUMIFS('Daftar Koreksi'!$H$5:$H$92,'Daftar Koreksi'!$D$5:$D$92,'0300'!A312,'Daftar Koreksi'!$G$5:$G$92,"Aset Tetap Lainnya",'Daftar Koreksi'!$H$5:$H$92,"&lt;0")-SUMIFS('Daftar Koreksi'!$H$5:$H$92,'Daftar Koreksi'!$D$5:$D$92,'0300'!A312,'Daftar Koreksi'!$G$5:$G$92,"Aset Tetap Lainnya",'Daftar Koreksi'!$H$5:$H$92,"&lt;0")</f>
        <v>0</v>
      </c>
      <c r="G320" s="17">
        <f t="shared" si="14"/>
        <v>59507663</v>
      </c>
      <c r="H320" s="122"/>
    </row>
    <row r="321" spans="1:8" ht="21.95" customHeight="1">
      <c r="A321" s="14"/>
      <c r="B321" s="14"/>
      <c r="C321" s="16" t="s">
        <v>1171</v>
      </c>
      <c r="D321" s="17">
        <f>VLOOKUP(A312,'Neraca Unaudited SIMAK'!$A$2:$S$10004,9,FALSE)</f>
        <v>0</v>
      </c>
      <c r="E321" s="25">
        <f>SUMIFS('Daftar Koreksi'!$H$5:$H$92,'Daftar Koreksi'!$D$5:$D$92,'0300'!A312,'Daftar Koreksi'!$G$5:$G$92,"Kontruksi Dalam Pengerjaan",'Daftar Koreksi'!$H$5:$H$92,"&gt;0")</f>
        <v>0</v>
      </c>
      <c r="F321" s="25">
        <f>SUMIFS('Daftar Koreksi'!$H$5:$H$92,'Daftar Koreksi'!$D$5:$D$92,'0300'!A312,'Daftar Koreksi'!$G$5:$G$92,"Kontruksi Dalam Pengerjaan",'Daftar Koreksi'!$H$5:$H$92,"&lt;0")-SUMIFS('Daftar Koreksi'!$H$5:$H$92,'Daftar Koreksi'!$D$5:$D$92,'0300'!A312,'Daftar Koreksi'!$G$5:$G$92,"Kontruksi Dalam Pengerjaan",'Daftar Koreksi'!$H$5:$H$92,"&lt;0")-SUMIFS('Daftar Koreksi'!$H$5:$H$92,'Daftar Koreksi'!$D$5:$D$92,'0300'!A312,'Daftar Koreksi'!$G$5:$G$92,"Kontruksi Dalam Pengerjaan",'Daftar Koreksi'!$H$5:$H$92,"&lt;0")</f>
        <v>0</v>
      </c>
      <c r="G321" s="17">
        <f t="shared" si="14"/>
        <v>0</v>
      </c>
      <c r="H321" s="122"/>
    </row>
    <row r="322" spans="1:8" ht="21.95" customHeight="1">
      <c r="A322" s="14"/>
      <c r="B322" s="14"/>
      <c r="C322" s="16" t="s">
        <v>1172</v>
      </c>
      <c r="D322" s="17">
        <f>VLOOKUP(A312,'Neraca Unaudited SIMAK'!$A$2:$S$10004,10,FALSE)</f>
        <v>0</v>
      </c>
      <c r="E322" s="25">
        <f>SUMIFS('Daftar Koreksi'!$H$5:$H$92,'Daftar Koreksi'!$D$5:$D$92,'0300'!A312,'Daftar Koreksi'!$G$5:$G$92,"Aset Tak Berwujud",'Daftar Koreksi'!$H$5:$H$92,"&gt;0")</f>
        <v>0</v>
      </c>
      <c r="F322" s="25">
        <f>SUMIFS('Daftar Koreksi'!$H$5:$H$92,'Daftar Koreksi'!$D$5:$D$92,'0300'!A312,'Daftar Koreksi'!$G$5:$G$92,"Aset Tak Berwujud",'Daftar Koreksi'!$H$5:$H$92,"&lt;0")-SUMIFS('Daftar Koreksi'!$H$5:$H$92,'Daftar Koreksi'!$D$5:$D$92,'0300'!A312,'Daftar Koreksi'!$G$5:$G$92,"Aset Tak Berwujud",'Daftar Koreksi'!$H$5:$H$92,"&lt;0")-SUMIFS('Daftar Koreksi'!$H$5:$H$92,'Daftar Koreksi'!$D$5:$D$92,'0300'!A312,'Daftar Koreksi'!$G$5:$G$92,"Aset Tak Berwujud",'Daftar Koreksi'!$H$5:$H$92,"&lt;0")</f>
        <v>0</v>
      </c>
      <c r="G322" s="17">
        <f t="shared" si="14"/>
        <v>0</v>
      </c>
      <c r="H322" s="122"/>
    </row>
    <row r="323" spans="1:8" ht="21.95" customHeight="1">
      <c r="A323" s="14"/>
      <c r="B323" s="14"/>
      <c r="C323" s="16" t="s">
        <v>1173</v>
      </c>
      <c r="D323" s="17">
        <f>VLOOKUP(A312,'Neraca Unaudited SIMAK'!$A$2:$S$10004,11,FALSE)</f>
        <v>27746083</v>
      </c>
      <c r="E323" s="25">
        <f>SUMIFS('Daftar Koreksi'!$H$5:$H$92,'Daftar Koreksi'!$D$5:$D$92,'0300'!A312,'Daftar Koreksi'!$G$5:$G$92,"Aset Henti Guna",'Daftar Koreksi'!$H$5:$H$92,"&gt;0")</f>
        <v>0</v>
      </c>
      <c r="F323" s="25">
        <f>SUMIFS('Daftar Koreksi'!$H$5:$H$92,'Daftar Koreksi'!$D$5:$D$92,'0300'!A312,'Daftar Koreksi'!$G$5:$G$92,"Aset Henti Guna",'Daftar Koreksi'!$H$5:$H$92,"&lt;0")-SUMIFS('Daftar Koreksi'!$H$5:$H$92,'Daftar Koreksi'!$D$5:$D$92,'0300'!A312,'Daftar Koreksi'!$G$5:$G$92,"Aset Henti Guna",'Daftar Koreksi'!$H$5:$H$92,"&lt;0")-SUMIFS('Daftar Koreksi'!$H$5:$H$92,'Daftar Koreksi'!$D$5:$D$92,'0300'!A312,'Daftar Koreksi'!$G$5:$G$92,"Aset Henti Guna",'Daftar Koreksi'!$H$5:$H$92,"&lt;0")</f>
        <v>0</v>
      </c>
      <c r="G323" s="17">
        <f t="shared" si="14"/>
        <v>27746083</v>
      </c>
      <c r="H323" s="122"/>
    </row>
    <row r="324" spans="1:8" ht="21.95" customHeight="1">
      <c r="A324" s="14"/>
      <c r="B324" s="14"/>
      <c r="C324" s="18" t="s">
        <v>2093</v>
      </c>
      <c r="D324" s="19">
        <f>VLOOKUP(A312,'Neraca Unaudited SIMAK'!$A$2:$S$10004,12,FALSE)</f>
        <v>8576417176</v>
      </c>
      <c r="E324" s="19">
        <f>SUM(E315:E323)</f>
        <v>0</v>
      </c>
      <c r="F324" s="19">
        <f>SUM(F315:F323)</f>
        <v>0</v>
      </c>
      <c r="G324" s="19">
        <f t="shared" si="14"/>
        <v>8576417176</v>
      </c>
      <c r="H324" s="122"/>
    </row>
    <row r="325" spans="1:8" ht="21.95" customHeight="1">
      <c r="A325" s="14"/>
      <c r="B325" s="14"/>
      <c r="C325" s="16" t="s">
        <v>2087</v>
      </c>
      <c r="D325" s="17">
        <f>VLOOKUP(A312,'Neraca Unaudited SIMAK'!$A$2:$S$10004,13,FALSE)</f>
        <v>-1159983668</v>
      </c>
      <c r="E325" s="25">
        <f>SUMIFS('Daftar Koreksi'!$I$5:$I$92,'Daftar Koreksi'!$D$5:$D$92,'0300'!A312,'Daftar Koreksi'!$G$5:$G$92,"Peralatan dan mesin",'Daftar Koreksi'!$I$5:$I$92,"&gt;0")</f>
        <v>0</v>
      </c>
      <c r="F325" s="25">
        <f>SUMIFS('Daftar Koreksi'!$I$5:$I$92,'Daftar Koreksi'!$D$5:$D$92,'0300'!A312,'Daftar Koreksi'!$G$5:$G$92,"Peralatan dan mesin",'Daftar Koreksi'!$I$5:$I$92,"&lt;0")-SUMIFS('Daftar Koreksi'!$I$5:$I$92,'Daftar Koreksi'!$D$5:$D$92,'0300'!A312,'Daftar Koreksi'!$G$5:$G$92,"Peralatan dan mesin",'Daftar Koreksi'!$I$5:$I$92,"&lt;0")-SUMIFS('Daftar Koreksi'!$I$5:$I$92,'Daftar Koreksi'!$D$5:$D$92,'0300'!A312,'Daftar Koreksi'!$G$5:$G$92,"Peralatan dan mesin",'Daftar Koreksi'!$I$5:$I$92,"&lt;0")</f>
        <v>0</v>
      </c>
      <c r="G325" s="17">
        <f t="shared" si="14"/>
        <v>-1159983668</v>
      </c>
      <c r="H325" s="122"/>
    </row>
    <row r="326" spans="1:8" ht="21.95" customHeight="1">
      <c r="A326" s="14"/>
      <c r="B326" s="14"/>
      <c r="C326" s="16" t="s">
        <v>2088</v>
      </c>
      <c r="D326" s="17">
        <f>VLOOKUP(A312,'Neraca Unaudited SIMAK'!$A$2:$S$10004,14,FALSE)</f>
        <v>-846345572</v>
      </c>
      <c r="E326" s="25">
        <f>SUMIFS('Daftar Koreksi'!$I$5:$I$92,'Daftar Koreksi'!$D$5:$D$92,'0300'!A312,'Daftar Koreksi'!$G$5:$G$92,"Gedung dan Bangunan",'Daftar Koreksi'!$I$5:$I$92,"&gt;0")</f>
        <v>0</v>
      </c>
      <c r="F326" s="25">
        <f>SUMIFS('Daftar Koreksi'!$I$5:$I$92,'Daftar Koreksi'!$D$5:$D$92,'0300'!A312,'Daftar Koreksi'!$G$5:$G$92,"Gedung dan Bangunan",'Daftar Koreksi'!$I$5:$I$92,"&lt;0")-SUMIFS('Daftar Koreksi'!$I$5:$I$92,'Daftar Koreksi'!$D$5:$D$92,'0300'!A312,'Daftar Koreksi'!$G$5:$G$92,"Gedung dan Bangunan",'Daftar Koreksi'!$I$5:$I$92,"&lt;0")-SUMIFS('Daftar Koreksi'!$I$5:$I$92,'Daftar Koreksi'!$D$5:$D$92,'0300'!A312,'Daftar Koreksi'!$G$5:$G$92,"Gedung dan Bangunan",'Daftar Koreksi'!$I$5:$I$92,"&lt;0")</f>
        <v>0</v>
      </c>
      <c r="G326" s="17">
        <f t="shared" si="14"/>
        <v>-846345572</v>
      </c>
      <c r="H326" s="122"/>
    </row>
    <row r="327" spans="1:8" ht="21.95" customHeight="1">
      <c r="A327" s="14"/>
      <c r="B327" s="14"/>
      <c r="C327" s="16" t="s">
        <v>2089</v>
      </c>
      <c r="D327" s="17">
        <f>VLOOKUP(A312,'Neraca Unaudited SIMAK'!$A$2:$S$10004,15,FALSE)</f>
        <v>-47030583</v>
      </c>
      <c r="E327" s="25">
        <f>SUMIFS('Daftar Koreksi'!$I$5:$I$92,'Daftar Koreksi'!$D$5:$D$92,'0300'!A312,'Daftar Koreksi'!$G$5:$G$92,"Jalan Irigasi Jaringan",'Daftar Koreksi'!$I$5:$I$92,"&gt;0")</f>
        <v>0</v>
      </c>
      <c r="F327" s="25">
        <f>SUMIFS('Daftar Koreksi'!$I$5:$I$92,'Daftar Koreksi'!$D$5:$D$92,'0300'!A312,'Daftar Koreksi'!$G$5:$G$92,"Jalan Irigasi Jaringan",'Daftar Koreksi'!$I$5:$I$92,"&lt;0")-SUMIFS('Daftar Koreksi'!$I$5:$I$92,'Daftar Koreksi'!$D$5:$D$92,'0300'!A312,'Daftar Koreksi'!$G$5:$G$92,"Jalan Irigasi Jaringan",'Daftar Koreksi'!$I$5:$I$92,"&lt;0")-SUMIFS('Daftar Koreksi'!$I$5:$I$92,'Daftar Koreksi'!$D$5:$D$92,'0300'!A312,'Daftar Koreksi'!$G$5:$G$92,"Jalan Irigasi Jaringan",'Daftar Koreksi'!$I$5:$I$92,"&lt;0")</f>
        <v>0</v>
      </c>
      <c r="G327" s="17">
        <f t="shared" si="14"/>
        <v>-47030583</v>
      </c>
      <c r="H327" s="122"/>
    </row>
    <row r="328" spans="1:8" ht="21.95" customHeight="1">
      <c r="A328" s="14"/>
      <c r="B328" s="14"/>
      <c r="C328" s="16" t="s">
        <v>2090</v>
      </c>
      <c r="D328" s="17">
        <f>VLOOKUP(A312,'Neraca Unaudited SIMAK'!$A$2:$S$10004,16,FALSE)</f>
        <v>0</v>
      </c>
      <c r="E328" s="25">
        <f>SUMIFS('Daftar Koreksi'!$I$5:$I$92,'Daftar Koreksi'!$D$5:$D$92,'0300'!A312,'Daftar Koreksi'!$G$5:$G$92,"Aset Tetap Lainnya",'Daftar Koreksi'!$I$5:$I$92,"&gt;0")</f>
        <v>0</v>
      </c>
      <c r="F328" s="25">
        <f>SUMIFS('Daftar Koreksi'!$I$5:$I$92,'Daftar Koreksi'!$D$5:$D$92,'0300'!A312,'Daftar Koreksi'!$G$5:$G$92,"Aset Tetap Lainnya",'Daftar Koreksi'!$I$5:$I$92,"&lt;0")-SUMIFS('Daftar Koreksi'!$I$5:$I$92,'Daftar Koreksi'!$D$5:$D$92,'0300'!A312,'Daftar Koreksi'!$G$5:$G$92,"Aset Tetap Lainnya",'Daftar Koreksi'!$I$5:$I$92,"&lt;0")-SUMIFS('Daftar Koreksi'!$I$5:$I$92,'Daftar Koreksi'!$D$5:$D$92,'0300'!A312,'Daftar Koreksi'!$G$5:$G$92,"Aset Tetap Lainnya",'Daftar Koreksi'!$I$5:$I$92,"&lt;0")</f>
        <v>0</v>
      </c>
      <c r="G328" s="17">
        <f t="shared" si="14"/>
        <v>0</v>
      </c>
      <c r="H328" s="122"/>
    </row>
    <row r="329" spans="1:8" ht="21.95" customHeight="1">
      <c r="A329" s="14"/>
      <c r="B329" s="14"/>
      <c r="C329" s="16" t="s">
        <v>2020</v>
      </c>
      <c r="D329" s="17">
        <f>VLOOKUP(A312,'Neraca Unaudited SIMAK'!$A$2:$S$10004,17,FALSE)</f>
        <v>-27746083</v>
      </c>
      <c r="E329" s="25">
        <f>SUMIFS('Daftar Koreksi'!$I$5:$I$92,'Daftar Koreksi'!$D$5:$D$92,'0300'!A312,'Daftar Koreksi'!$G$5:$G$92,"Aset Henti Guna",'Daftar Koreksi'!$I$5:$I$92,"&gt;0")</f>
        <v>0</v>
      </c>
      <c r="F329" s="25">
        <f>SUMIFS('Daftar Koreksi'!$I$5:$I$92,'Daftar Koreksi'!$D$5:$D$92,'0300'!A312,'Daftar Koreksi'!$G$5:$G$92,"Aset Henti Guna",'Daftar Koreksi'!$I$5:$I$92,"&lt;0")-SUMIFS('Daftar Koreksi'!$I$5:$I$92,'Daftar Koreksi'!$D$5:$D$92,'0300'!A312,'Daftar Koreksi'!$G$5:$G$92,"Aset Henti Guna",'Daftar Koreksi'!$I$5:$I$92,"&lt;0")-SUMIFS('Daftar Koreksi'!$I$5:$I$92,'Daftar Koreksi'!$D$5:$D$92,'0300'!A312,'Daftar Koreksi'!$G$5:$G$92,"Aset Henti Guna",'Daftar Koreksi'!$I$5:$I$92,"&lt;0")</f>
        <v>0</v>
      </c>
      <c r="G329" s="17">
        <f t="shared" si="14"/>
        <v>-27746083</v>
      </c>
      <c r="H329" s="122"/>
    </row>
    <row r="330" spans="1:8" ht="21.95" customHeight="1">
      <c r="A330" s="14"/>
      <c r="B330" s="14"/>
      <c r="C330" s="18" t="s">
        <v>2094</v>
      </c>
      <c r="D330" s="19">
        <f>SUM(D325:D329)</f>
        <v>-2081105906</v>
      </c>
      <c r="E330" s="19">
        <f>SUM(E325:E329)</f>
        <v>0</v>
      </c>
      <c r="F330" s="19">
        <f>SUM(F325:F329)</f>
        <v>0</v>
      </c>
      <c r="G330" s="19">
        <f t="shared" si="14"/>
        <v>-2081105906</v>
      </c>
      <c r="H330" s="122"/>
    </row>
    <row r="331" spans="1:8" ht="21.95" customHeight="1">
      <c r="A331" s="14"/>
      <c r="B331" s="14"/>
      <c r="C331" s="18" t="s">
        <v>2095</v>
      </c>
      <c r="D331" s="19">
        <f>VLOOKUP(A312,'Neraca Unaudited SIMAK'!$A$2:$S$10004,18,FALSE)</f>
        <v>6495311270</v>
      </c>
      <c r="E331" s="19">
        <f>E330+E324</f>
        <v>0</v>
      </c>
      <c r="F331" s="19">
        <f>F330+F324</f>
        <v>0</v>
      </c>
      <c r="G331" s="19">
        <f t="shared" si="14"/>
        <v>6495311270</v>
      </c>
      <c r="H331" s="122"/>
    </row>
    <row r="332" spans="1:8" ht="21.95" customHeight="1">
      <c r="A332" s="14"/>
      <c r="B332" s="14"/>
      <c r="C332" s="16" t="s">
        <v>2091</v>
      </c>
      <c r="D332" s="17">
        <f>VLOOKUP(A312,'Neraca Unaudited SIMAK'!$A$2:$S$10004,19,FALSE)</f>
        <v>0</v>
      </c>
      <c r="E332" s="25"/>
      <c r="F332" s="25"/>
      <c r="G332" s="17">
        <f t="shared" si="14"/>
        <v>0</v>
      </c>
      <c r="H332" s="123"/>
    </row>
    <row r="334" spans="1:8" ht="19.5" customHeight="1">
      <c r="A334" s="11" t="str">
        <f>O16</f>
        <v>005010300097865000KD</v>
      </c>
      <c r="B334" s="11" t="str">
        <f>P16</f>
        <v>PN. Rembang</v>
      </c>
      <c r="C334" s="12" t="str">
        <f>A334&amp;" "&amp;B334</f>
        <v>005010300097865000KD PN. Rembang</v>
      </c>
      <c r="D334" s="13"/>
      <c r="E334" s="13"/>
      <c r="F334" s="13"/>
      <c r="G334" s="13"/>
      <c r="H334" s="11"/>
    </row>
    <row r="335" spans="1:8" ht="21.95" customHeight="1">
      <c r="A335" s="14"/>
      <c r="B335" s="14"/>
      <c r="C335" s="124" t="s">
        <v>1982</v>
      </c>
      <c r="D335" s="126" t="s">
        <v>1983</v>
      </c>
      <c r="E335" s="132" t="s">
        <v>1984</v>
      </c>
      <c r="F335" s="132"/>
      <c r="G335" s="126" t="s">
        <v>1987</v>
      </c>
      <c r="H335" s="130" t="s">
        <v>1175</v>
      </c>
    </row>
    <row r="336" spans="1:8" ht="21.95" customHeight="1">
      <c r="A336" s="14"/>
      <c r="B336" s="14"/>
      <c r="C336" s="125"/>
      <c r="D336" s="127"/>
      <c r="E336" s="26" t="s">
        <v>1985</v>
      </c>
      <c r="F336" s="26" t="s">
        <v>1986</v>
      </c>
      <c r="G336" s="127"/>
      <c r="H336" s="131"/>
    </row>
    <row r="337" spans="1:8" ht="21.95" customHeight="1">
      <c r="A337" s="14"/>
      <c r="B337" s="14"/>
      <c r="C337" s="16" t="s">
        <v>1165</v>
      </c>
      <c r="D337" s="17">
        <f>VLOOKUP(A334,'Neraca Unaudited SIMAK'!$A$2:$S$10004,3,FALSE)</f>
        <v>5234540</v>
      </c>
      <c r="E337" s="25">
        <f>SUMIFS('Daftar Koreksi'!$H$5:$H$92,'Daftar Koreksi'!$D$5:$D$92,'0300'!A334,'Daftar Koreksi'!$G$5:$G$92,"Persediaan",'Daftar Koreksi'!$H$5:$H$92,"&gt;0")</f>
        <v>0</v>
      </c>
      <c r="F337" s="25">
        <f>SUMIFS('Daftar Koreksi'!$H$5:$H$92,'Daftar Koreksi'!$D$5:$D$92,'0300'!A334,'Daftar Koreksi'!$G$5:$G$92,"Persediaan",'Daftar Koreksi'!$H$5:$H$92,"&lt;0")-SUMIFS('Daftar Koreksi'!$H$5:$H$92,'Daftar Koreksi'!$D$5:$D$92,'0300'!A334,'Daftar Koreksi'!$G$5:$G$92,"Persediaan",'Daftar Koreksi'!$H$5:$H$92,"&lt;0")-SUMIFS('Daftar Koreksi'!$H$5:$H$92,'Daftar Koreksi'!$D$5:$D$92,'0300'!A334,'Daftar Koreksi'!$G$5:$G$92,"Persediaan",'Daftar Koreksi'!$H$5:$H$92,"&lt;0")</f>
        <v>0</v>
      </c>
      <c r="G337" s="17">
        <f>D337+E337-F337</f>
        <v>5234540</v>
      </c>
      <c r="H337" s="121" t="str">
        <f>IF(ISNA(VLOOKUP(A334,'Mutasi Neraca'!$A$3:$S$914,19,FALSE)),"-",VLOOKUP(A334,'Mutasi Neraca'!$A$3:$S$914,19,FALSE))</f>
        <v>-</v>
      </c>
    </row>
    <row r="338" spans="1:8" ht="21.95" customHeight="1">
      <c r="A338" s="14"/>
      <c r="B338" s="14"/>
      <c r="C338" s="16" t="s">
        <v>1166</v>
      </c>
      <c r="D338" s="17">
        <f>VLOOKUP(A334,'Neraca Unaudited SIMAK'!$A$2:$S$10004,4,FALSE)</f>
        <v>4860560000</v>
      </c>
      <c r="E338" s="25">
        <f>SUMIFS('Daftar Koreksi'!$H$5:$H$92,'Daftar Koreksi'!$D$5:$D$92,'0300'!A334,'Daftar Koreksi'!$G$5:$G$92,"Tanah",'Daftar Koreksi'!$H$5:$H$92,"&gt;0")</f>
        <v>0</v>
      </c>
      <c r="F338" s="25">
        <f>SUMIFS('Daftar Koreksi'!$H$5:$H$92,'Daftar Koreksi'!$D$5:$D$92,'0300'!A334,'Daftar Koreksi'!$G$5:$G$92,"Tanah",'Daftar Koreksi'!$H$5:$H$92,"&lt;0")-SUMIFS('Daftar Koreksi'!$H$5:$H$92,'Daftar Koreksi'!$D$5:$D$92,'0300'!A334,'Daftar Koreksi'!$G$5:$G$92,"Tanah",'Daftar Koreksi'!$H$5:$H$92,"&lt;0")-SUMIFS('Daftar Koreksi'!$H$5:$H$92,'Daftar Koreksi'!$D$5:$D$92,'0300'!A334,'Daftar Koreksi'!$G$5:$G$92,"Tanah",'Daftar Koreksi'!$H$5:$H$92,"&lt;0")</f>
        <v>0</v>
      </c>
      <c r="G338" s="17">
        <f t="shared" ref="G338:G354" si="15">D338+E338-F338</f>
        <v>4860560000</v>
      </c>
      <c r="H338" s="122"/>
    </row>
    <row r="339" spans="1:8" ht="21.95" customHeight="1">
      <c r="A339" s="14"/>
      <c r="B339" s="14"/>
      <c r="C339" s="16" t="s">
        <v>1167</v>
      </c>
      <c r="D339" s="17">
        <f>VLOOKUP(A334,'Neraca Unaudited SIMAK'!$A$2:$S$10004,5,FALSE)</f>
        <v>1794488044</v>
      </c>
      <c r="E339" s="25">
        <f>SUMIFS('Daftar Koreksi'!$H$5:$H$92,'Daftar Koreksi'!$D$5:$D$92,'0300'!A334,'Daftar Koreksi'!$G$5:$G$92,"Peralatan dan mesin",'Daftar Koreksi'!$H$5:$H$92,"&gt;0")</f>
        <v>0</v>
      </c>
      <c r="F339" s="25">
        <f>SUMIFS('Daftar Koreksi'!$H$5:$H$92,'Daftar Koreksi'!$D$5:$D$92,'0300'!A334,'Daftar Koreksi'!$G$5:$G$92,"Peralatan dan mesin",'Daftar Koreksi'!$H$5:$H$92,"&lt;0")-SUMIFS('Daftar Koreksi'!$H$5:$H$92,'Daftar Koreksi'!$D$5:$D$92,'0300'!A334,'Daftar Koreksi'!$G$5:$G$92,"Peralatan dan mesin",'Daftar Koreksi'!$H$5:$H$92,"&lt;0")-SUMIFS('Daftar Koreksi'!$H$5:$H$92,'Daftar Koreksi'!$D$5:$D$92,'0300'!A334,'Daftar Koreksi'!$G$5:$G$92,"Peralatan dan mesin",'Daftar Koreksi'!$H$5:$H$92,"&lt;0")</f>
        <v>0</v>
      </c>
      <c r="G339" s="17">
        <f t="shared" si="15"/>
        <v>1794488044</v>
      </c>
      <c r="H339" s="122"/>
    </row>
    <row r="340" spans="1:8" ht="21.95" customHeight="1">
      <c r="A340" s="14"/>
      <c r="B340" s="14"/>
      <c r="C340" s="16" t="s">
        <v>1168</v>
      </c>
      <c r="D340" s="17">
        <f>VLOOKUP(A334,'Neraca Unaudited SIMAK'!$A$2:$S$10004,6,FALSE)</f>
        <v>5739796067</v>
      </c>
      <c r="E340" s="25">
        <f>SUMIFS('Daftar Koreksi'!$H$5:$H$92,'Daftar Koreksi'!$D$5:$D$92,'0300'!A334,'Daftar Koreksi'!$G$5:$G$92,"Gedung dan Bangunan",'Daftar Koreksi'!$H$5:$H$92,"&gt;0")</f>
        <v>0</v>
      </c>
      <c r="F340" s="25">
        <f>SUMIFS('Daftar Koreksi'!$H$5:$H$92,'Daftar Koreksi'!$D$5:$D$92,'0300'!A334,'Daftar Koreksi'!$G$5:$G$92,"Gedung dan Bangunan",'Daftar Koreksi'!$H$5:$H$92,"&lt;0")-SUMIFS('Daftar Koreksi'!$H$5:$H$92,'Daftar Koreksi'!$D$5:$D$92,'0300'!A334,'Daftar Koreksi'!$G$5:$G$92,"Gedung dan Bangunan",'Daftar Koreksi'!$H$5:$H$92,"&lt;0")-SUMIFS('Daftar Koreksi'!$H$5:$H$92,'Daftar Koreksi'!$D$5:$D$92,'0300'!A334,'Daftar Koreksi'!$G$5:$G$92,"Gedung dan Bangunan",'Daftar Koreksi'!$H$5:$H$92,"&lt;0")</f>
        <v>0</v>
      </c>
      <c r="G340" s="17">
        <f t="shared" si="15"/>
        <v>5739796067</v>
      </c>
      <c r="H340" s="122"/>
    </row>
    <row r="341" spans="1:8" ht="21.95" customHeight="1">
      <c r="A341" s="14"/>
      <c r="B341" s="14"/>
      <c r="C341" s="16" t="s">
        <v>1169</v>
      </c>
      <c r="D341" s="17">
        <f>VLOOKUP(A334,'Neraca Unaudited SIMAK'!$A$2:$S$10004,7,FALSE)</f>
        <v>34622200</v>
      </c>
      <c r="E341" s="25">
        <f>SUMIFS('Daftar Koreksi'!$H$5:$H$92,'Daftar Koreksi'!$D$5:$D$92,'0300'!A334,'Daftar Koreksi'!$G$5:$G$92,"Jalan Irigasi Jaringan",'Daftar Koreksi'!$H$5:$H$92,"&gt;0")</f>
        <v>0</v>
      </c>
      <c r="F341" s="25">
        <f>SUMIFS('Daftar Koreksi'!$H$5:$H$92,'Daftar Koreksi'!$D$5:$D$92,'0300'!A334,'Daftar Koreksi'!$G$5:$G$92,"Jalan Irigasi Jaringan",'Daftar Koreksi'!$H$5:$H$92,"&lt;0")-SUMIFS('Daftar Koreksi'!$H$5:$H$92,'Daftar Koreksi'!$D$5:$D$92,'0300'!A334,'Daftar Koreksi'!$G$5:$G$92,"Jalan Irigasi Jaringan",'Daftar Koreksi'!$H$5:$H$92,"&lt;0")-SUMIFS('Daftar Koreksi'!$H$5:$H$92,'Daftar Koreksi'!$D$5:$D$92,'0300'!A334,'Daftar Koreksi'!$G$5:$G$92,"Jalan Irigasi Jaringan",'Daftar Koreksi'!$H$5:$H$92,"&lt;0")</f>
        <v>0</v>
      </c>
      <c r="G341" s="17">
        <f t="shared" si="15"/>
        <v>34622200</v>
      </c>
      <c r="H341" s="122"/>
    </row>
    <row r="342" spans="1:8" ht="21.95" customHeight="1">
      <c r="A342" s="14"/>
      <c r="B342" s="14"/>
      <c r="C342" s="16" t="s">
        <v>1170</v>
      </c>
      <c r="D342" s="17">
        <f>VLOOKUP(A334,'Neraca Unaudited SIMAK'!$A$2:$S$10004,8,FALSE)</f>
        <v>11114962</v>
      </c>
      <c r="E342" s="25">
        <f>SUMIFS('Daftar Koreksi'!$H$5:$H$92,'Daftar Koreksi'!$D$5:$D$92,'0300'!A334,'Daftar Koreksi'!$G$5:$G$92,"Aset Tetap Lainnya",'Daftar Koreksi'!$H$5:$H$92,"&gt;0")</f>
        <v>0</v>
      </c>
      <c r="F342" s="25">
        <f>SUMIFS('Daftar Koreksi'!$H$5:$H$92,'Daftar Koreksi'!$D$5:$D$92,'0300'!A334,'Daftar Koreksi'!$G$5:$G$92,"Aset Tetap Lainnya",'Daftar Koreksi'!$H$5:$H$92,"&lt;0")-SUMIFS('Daftar Koreksi'!$H$5:$H$92,'Daftar Koreksi'!$D$5:$D$92,'0300'!A334,'Daftar Koreksi'!$G$5:$G$92,"Aset Tetap Lainnya",'Daftar Koreksi'!$H$5:$H$92,"&lt;0")-SUMIFS('Daftar Koreksi'!$H$5:$H$92,'Daftar Koreksi'!$D$5:$D$92,'0300'!A334,'Daftar Koreksi'!$G$5:$G$92,"Aset Tetap Lainnya",'Daftar Koreksi'!$H$5:$H$92,"&lt;0")</f>
        <v>0</v>
      </c>
      <c r="G342" s="17">
        <f t="shared" si="15"/>
        <v>11114962</v>
      </c>
      <c r="H342" s="122"/>
    </row>
    <row r="343" spans="1:8" ht="21.95" customHeight="1">
      <c r="A343" s="14"/>
      <c r="B343" s="14"/>
      <c r="C343" s="16" t="s">
        <v>1171</v>
      </c>
      <c r="D343" s="17">
        <f>VLOOKUP(A334,'Neraca Unaudited SIMAK'!$A$2:$S$10004,9,FALSE)</f>
        <v>0</v>
      </c>
      <c r="E343" s="25">
        <f>SUMIFS('Daftar Koreksi'!$H$5:$H$92,'Daftar Koreksi'!$D$5:$D$92,'0300'!A334,'Daftar Koreksi'!$G$5:$G$92,"Kontruksi Dalam Pengerjaan",'Daftar Koreksi'!$H$5:$H$92,"&gt;0")</f>
        <v>0</v>
      </c>
      <c r="F343" s="25">
        <f>SUMIFS('Daftar Koreksi'!$H$5:$H$92,'Daftar Koreksi'!$D$5:$D$92,'0300'!A334,'Daftar Koreksi'!$G$5:$G$92,"Kontruksi Dalam Pengerjaan",'Daftar Koreksi'!$H$5:$H$92,"&lt;0")-SUMIFS('Daftar Koreksi'!$H$5:$H$92,'Daftar Koreksi'!$D$5:$D$92,'0300'!A334,'Daftar Koreksi'!$G$5:$G$92,"Kontruksi Dalam Pengerjaan",'Daftar Koreksi'!$H$5:$H$92,"&lt;0")-SUMIFS('Daftar Koreksi'!$H$5:$H$92,'Daftar Koreksi'!$D$5:$D$92,'0300'!A334,'Daftar Koreksi'!$G$5:$G$92,"Kontruksi Dalam Pengerjaan",'Daftar Koreksi'!$H$5:$H$92,"&lt;0")</f>
        <v>0</v>
      </c>
      <c r="G343" s="17">
        <f t="shared" si="15"/>
        <v>0</v>
      </c>
      <c r="H343" s="122"/>
    </row>
    <row r="344" spans="1:8" ht="21.95" customHeight="1">
      <c r="A344" s="14"/>
      <c r="B344" s="14"/>
      <c r="C344" s="16" t="s">
        <v>1172</v>
      </c>
      <c r="D344" s="17">
        <f>VLOOKUP(A334,'Neraca Unaudited SIMAK'!$A$2:$S$10004,10,FALSE)</f>
        <v>0</v>
      </c>
      <c r="E344" s="25">
        <f>SUMIFS('Daftar Koreksi'!$H$5:$H$92,'Daftar Koreksi'!$D$5:$D$92,'0300'!A334,'Daftar Koreksi'!$G$5:$G$92,"Aset Tak Berwujud",'Daftar Koreksi'!$H$5:$H$92,"&gt;0")</f>
        <v>0</v>
      </c>
      <c r="F344" s="25">
        <f>SUMIFS('Daftar Koreksi'!$H$5:$H$92,'Daftar Koreksi'!$D$5:$D$92,'0300'!A334,'Daftar Koreksi'!$G$5:$G$92,"Aset Tak Berwujud",'Daftar Koreksi'!$H$5:$H$92,"&lt;0")-SUMIFS('Daftar Koreksi'!$H$5:$H$92,'Daftar Koreksi'!$D$5:$D$92,'0300'!A334,'Daftar Koreksi'!$G$5:$G$92,"Aset Tak Berwujud",'Daftar Koreksi'!$H$5:$H$92,"&lt;0")-SUMIFS('Daftar Koreksi'!$H$5:$H$92,'Daftar Koreksi'!$D$5:$D$92,'0300'!A334,'Daftar Koreksi'!$G$5:$G$92,"Aset Tak Berwujud",'Daftar Koreksi'!$H$5:$H$92,"&lt;0")</f>
        <v>0</v>
      </c>
      <c r="G344" s="17">
        <f t="shared" si="15"/>
        <v>0</v>
      </c>
      <c r="H344" s="122"/>
    </row>
    <row r="345" spans="1:8" ht="21.95" customHeight="1">
      <c r="A345" s="14"/>
      <c r="B345" s="14"/>
      <c r="C345" s="16" t="s">
        <v>1173</v>
      </c>
      <c r="D345" s="17">
        <f>VLOOKUP(A334,'Neraca Unaudited SIMAK'!$A$2:$S$10004,11,FALSE)</f>
        <v>118219410</v>
      </c>
      <c r="E345" s="25">
        <f>SUMIFS('Daftar Koreksi'!$H$5:$H$92,'Daftar Koreksi'!$D$5:$D$92,'0300'!A334,'Daftar Koreksi'!$G$5:$G$92,"Aset Henti Guna",'Daftar Koreksi'!$H$5:$H$92,"&gt;0")</f>
        <v>0</v>
      </c>
      <c r="F345" s="25">
        <f>SUMIFS('Daftar Koreksi'!$H$5:$H$92,'Daftar Koreksi'!$D$5:$D$92,'0300'!A334,'Daftar Koreksi'!$G$5:$G$92,"Aset Henti Guna",'Daftar Koreksi'!$H$5:$H$92,"&lt;0")-SUMIFS('Daftar Koreksi'!$H$5:$H$92,'Daftar Koreksi'!$D$5:$D$92,'0300'!A334,'Daftar Koreksi'!$G$5:$G$92,"Aset Henti Guna",'Daftar Koreksi'!$H$5:$H$92,"&lt;0")-SUMIFS('Daftar Koreksi'!$H$5:$H$92,'Daftar Koreksi'!$D$5:$D$92,'0300'!A334,'Daftar Koreksi'!$G$5:$G$92,"Aset Henti Guna",'Daftar Koreksi'!$H$5:$H$92,"&lt;0")</f>
        <v>0</v>
      </c>
      <c r="G345" s="17">
        <f t="shared" si="15"/>
        <v>118219410</v>
      </c>
      <c r="H345" s="122"/>
    </row>
    <row r="346" spans="1:8" ht="21.95" customHeight="1">
      <c r="A346" s="14"/>
      <c r="B346" s="14"/>
      <c r="C346" s="18" t="s">
        <v>2093</v>
      </c>
      <c r="D346" s="19">
        <f>VLOOKUP(A334,'Neraca Unaudited SIMAK'!$A$2:$S$10004,12,FALSE)</f>
        <v>12564035223</v>
      </c>
      <c r="E346" s="19">
        <f>SUM(E337:E345)</f>
        <v>0</v>
      </c>
      <c r="F346" s="19">
        <f>SUM(F337:F345)</f>
        <v>0</v>
      </c>
      <c r="G346" s="19">
        <f t="shared" si="15"/>
        <v>12564035223</v>
      </c>
      <c r="H346" s="122"/>
    </row>
    <row r="347" spans="1:8" ht="21.95" customHeight="1">
      <c r="A347" s="14"/>
      <c r="B347" s="14"/>
      <c r="C347" s="16" t="s">
        <v>2087</v>
      </c>
      <c r="D347" s="17">
        <f>VLOOKUP(A334,'Neraca Unaudited SIMAK'!$A$2:$S$10004,13,FALSE)</f>
        <v>-1249936362</v>
      </c>
      <c r="E347" s="25">
        <f>SUMIFS('Daftar Koreksi'!$I$5:$I$92,'Daftar Koreksi'!$D$5:$D$92,'0300'!A334,'Daftar Koreksi'!$G$5:$G$92,"Peralatan dan mesin",'Daftar Koreksi'!$I$5:$I$92,"&gt;0")</f>
        <v>0</v>
      </c>
      <c r="F347" s="25">
        <f>SUMIFS('Daftar Koreksi'!$I$5:$I$92,'Daftar Koreksi'!$D$5:$D$92,'0300'!A334,'Daftar Koreksi'!$G$5:$G$92,"Peralatan dan mesin",'Daftar Koreksi'!$I$5:$I$92,"&lt;0")-SUMIFS('Daftar Koreksi'!$I$5:$I$92,'Daftar Koreksi'!$D$5:$D$92,'0300'!A334,'Daftar Koreksi'!$G$5:$G$92,"Peralatan dan mesin",'Daftar Koreksi'!$I$5:$I$92,"&lt;0")-SUMIFS('Daftar Koreksi'!$I$5:$I$92,'Daftar Koreksi'!$D$5:$D$92,'0300'!A334,'Daftar Koreksi'!$G$5:$G$92,"Peralatan dan mesin",'Daftar Koreksi'!$I$5:$I$92,"&lt;0")</f>
        <v>0</v>
      </c>
      <c r="G347" s="17">
        <f t="shared" si="15"/>
        <v>-1249936362</v>
      </c>
      <c r="H347" s="122"/>
    </row>
    <row r="348" spans="1:8" ht="21.95" customHeight="1">
      <c r="A348" s="14"/>
      <c r="B348" s="14"/>
      <c r="C348" s="16" t="s">
        <v>2088</v>
      </c>
      <c r="D348" s="17">
        <f>VLOOKUP(A334,'Neraca Unaudited SIMAK'!$A$2:$S$10004,14,FALSE)</f>
        <v>-1553934187</v>
      </c>
      <c r="E348" s="25">
        <f>SUMIFS('Daftar Koreksi'!$I$5:$I$92,'Daftar Koreksi'!$D$5:$D$92,'0300'!A334,'Daftar Koreksi'!$G$5:$G$92,"Gedung dan Bangunan",'Daftar Koreksi'!$I$5:$I$92,"&gt;0")</f>
        <v>0</v>
      </c>
      <c r="F348" s="25">
        <f>SUMIFS('Daftar Koreksi'!$I$5:$I$92,'Daftar Koreksi'!$D$5:$D$92,'0300'!A334,'Daftar Koreksi'!$G$5:$G$92,"Gedung dan Bangunan",'Daftar Koreksi'!$I$5:$I$92,"&lt;0")-SUMIFS('Daftar Koreksi'!$I$5:$I$92,'Daftar Koreksi'!$D$5:$D$92,'0300'!A334,'Daftar Koreksi'!$G$5:$G$92,"Gedung dan Bangunan",'Daftar Koreksi'!$I$5:$I$92,"&lt;0")-SUMIFS('Daftar Koreksi'!$I$5:$I$92,'Daftar Koreksi'!$D$5:$D$92,'0300'!A334,'Daftar Koreksi'!$G$5:$G$92,"Gedung dan Bangunan",'Daftar Koreksi'!$I$5:$I$92,"&lt;0")</f>
        <v>0</v>
      </c>
      <c r="G348" s="17">
        <f t="shared" si="15"/>
        <v>-1553934187</v>
      </c>
      <c r="H348" s="122"/>
    </row>
    <row r="349" spans="1:8" ht="21.95" customHeight="1">
      <c r="A349" s="14"/>
      <c r="B349" s="14"/>
      <c r="C349" s="16" t="s">
        <v>2089</v>
      </c>
      <c r="D349" s="17">
        <f>VLOOKUP(A334,'Neraca Unaudited SIMAK'!$A$2:$S$10004,15,FALSE)</f>
        <v>-4327775</v>
      </c>
      <c r="E349" s="25">
        <f>SUMIFS('Daftar Koreksi'!$I$5:$I$92,'Daftar Koreksi'!$D$5:$D$92,'0300'!A334,'Daftar Koreksi'!$G$5:$G$92,"Jalan Irigasi Jaringan",'Daftar Koreksi'!$I$5:$I$92,"&gt;0")</f>
        <v>0</v>
      </c>
      <c r="F349" s="25">
        <f>SUMIFS('Daftar Koreksi'!$I$5:$I$92,'Daftar Koreksi'!$D$5:$D$92,'0300'!A334,'Daftar Koreksi'!$G$5:$G$92,"Jalan Irigasi Jaringan",'Daftar Koreksi'!$I$5:$I$92,"&lt;0")-SUMIFS('Daftar Koreksi'!$I$5:$I$92,'Daftar Koreksi'!$D$5:$D$92,'0300'!A334,'Daftar Koreksi'!$G$5:$G$92,"Jalan Irigasi Jaringan",'Daftar Koreksi'!$I$5:$I$92,"&lt;0")-SUMIFS('Daftar Koreksi'!$I$5:$I$92,'Daftar Koreksi'!$D$5:$D$92,'0300'!A334,'Daftar Koreksi'!$G$5:$G$92,"Jalan Irigasi Jaringan",'Daftar Koreksi'!$I$5:$I$92,"&lt;0")</f>
        <v>0</v>
      </c>
      <c r="G349" s="17">
        <f t="shared" si="15"/>
        <v>-4327775</v>
      </c>
      <c r="H349" s="122"/>
    </row>
    <row r="350" spans="1:8" ht="21.95" customHeight="1">
      <c r="A350" s="14"/>
      <c r="B350" s="14"/>
      <c r="C350" s="16" t="s">
        <v>2090</v>
      </c>
      <c r="D350" s="17">
        <f>VLOOKUP(A334,'Neraca Unaudited SIMAK'!$A$2:$S$10004,16,FALSE)</f>
        <v>-2000000</v>
      </c>
      <c r="E350" s="25">
        <f>SUMIFS('Daftar Koreksi'!$I$5:$I$92,'Daftar Koreksi'!$D$5:$D$92,'0300'!A334,'Daftar Koreksi'!$G$5:$G$92,"Aset Tetap Lainnya",'Daftar Koreksi'!$I$5:$I$92,"&gt;0")</f>
        <v>0</v>
      </c>
      <c r="F350" s="25">
        <f>SUMIFS('Daftar Koreksi'!$I$5:$I$92,'Daftar Koreksi'!$D$5:$D$92,'0300'!A334,'Daftar Koreksi'!$G$5:$G$92,"Aset Tetap Lainnya",'Daftar Koreksi'!$I$5:$I$92,"&lt;0")-SUMIFS('Daftar Koreksi'!$I$5:$I$92,'Daftar Koreksi'!$D$5:$D$92,'0300'!A334,'Daftar Koreksi'!$G$5:$G$92,"Aset Tetap Lainnya",'Daftar Koreksi'!$I$5:$I$92,"&lt;0")-SUMIFS('Daftar Koreksi'!$I$5:$I$92,'Daftar Koreksi'!$D$5:$D$92,'0300'!A334,'Daftar Koreksi'!$G$5:$G$92,"Aset Tetap Lainnya",'Daftar Koreksi'!$I$5:$I$92,"&lt;0")</f>
        <v>0</v>
      </c>
      <c r="G350" s="17">
        <f t="shared" si="15"/>
        <v>-2000000</v>
      </c>
      <c r="H350" s="122"/>
    </row>
    <row r="351" spans="1:8" ht="21.95" customHeight="1">
      <c r="A351" s="14"/>
      <c r="B351" s="14"/>
      <c r="C351" s="16" t="s">
        <v>2020</v>
      </c>
      <c r="D351" s="17">
        <f>VLOOKUP(A334,'Neraca Unaudited SIMAK'!$A$2:$S$10004,17,FALSE)</f>
        <v>-118049410</v>
      </c>
      <c r="E351" s="25">
        <f>SUMIFS('Daftar Koreksi'!$I$5:$I$92,'Daftar Koreksi'!$D$5:$D$92,'0300'!A334,'Daftar Koreksi'!$G$5:$G$92,"Aset Henti Guna",'Daftar Koreksi'!$I$5:$I$92,"&gt;0")</f>
        <v>0</v>
      </c>
      <c r="F351" s="25">
        <f>SUMIFS('Daftar Koreksi'!$I$5:$I$92,'Daftar Koreksi'!$D$5:$D$92,'0300'!A334,'Daftar Koreksi'!$G$5:$G$92,"Aset Henti Guna",'Daftar Koreksi'!$I$5:$I$92,"&lt;0")-SUMIFS('Daftar Koreksi'!$I$5:$I$92,'Daftar Koreksi'!$D$5:$D$92,'0300'!A334,'Daftar Koreksi'!$G$5:$G$92,"Aset Henti Guna",'Daftar Koreksi'!$I$5:$I$92,"&lt;0")-SUMIFS('Daftar Koreksi'!$I$5:$I$92,'Daftar Koreksi'!$D$5:$D$92,'0300'!A334,'Daftar Koreksi'!$G$5:$G$92,"Aset Henti Guna",'Daftar Koreksi'!$I$5:$I$92,"&lt;0")</f>
        <v>0</v>
      </c>
      <c r="G351" s="17">
        <f t="shared" si="15"/>
        <v>-118049410</v>
      </c>
      <c r="H351" s="122"/>
    </row>
    <row r="352" spans="1:8" ht="21.95" customHeight="1">
      <c r="A352" s="14"/>
      <c r="B352" s="14"/>
      <c r="C352" s="18" t="s">
        <v>2094</v>
      </c>
      <c r="D352" s="19">
        <f>SUM(D347:D351)</f>
        <v>-2928247734</v>
      </c>
      <c r="E352" s="19">
        <f>SUM(E347:E351)</f>
        <v>0</v>
      </c>
      <c r="F352" s="19">
        <f>SUM(F347:F351)</f>
        <v>0</v>
      </c>
      <c r="G352" s="19">
        <f t="shared" si="15"/>
        <v>-2928247734</v>
      </c>
      <c r="H352" s="122"/>
    </row>
    <row r="353" spans="1:8" ht="21.95" customHeight="1">
      <c r="A353" s="14"/>
      <c r="B353" s="14"/>
      <c r="C353" s="18" t="s">
        <v>2095</v>
      </c>
      <c r="D353" s="19">
        <f>VLOOKUP(A334,'Neraca Unaudited SIMAK'!$A$2:$S$10004,18,FALSE)</f>
        <v>9635787489</v>
      </c>
      <c r="E353" s="19">
        <f>E352+E346</f>
        <v>0</v>
      </c>
      <c r="F353" s="19">
        <f>F352+F346</f>
        <v>0</v>
      </c>
      <c r="G353" s="19">
        <f t="shared" si="15"/>
        <v>9635787489</v>
      </c>
      <c r="H353" s="122"/>
    </row>
    <row r="354" spans="1:8" ht="21.95" customHeight="1">
      <c r="A354" s="14"/>
      <c r="B354" s="14"/>
      <c r="C354" s="16" t="s">
        <v>2091</v>
      </c>
      <c r="D354" s="17">
        <f>VLOOKUP(A334,'Neraca Unaudited SIMAK'!$A$2:$S$10004,19,FALSE)</f>
        <v>0</v>
      </c>
      <c r="E354" s="25"/>
      <c r="F354" s="25"/>
      <c r="G354" s="17">
        <f t="shared" si="15"/>
        <v>0</v>
      </c>
      <c r="H354" s="123"/>
    </row>
    <row r="356" spans="1:8" ht="19.5" customHeight="1">
      <c r="A356" s="11" t="str">
        <f>O17</f>
        <v>005010300097872000KD</v>
      </c>
      <c r="B356" s="11" t="str">
        <f>P17</f>
        <v>PN. Batang</v>
      </c>
      <c r="C356" s="12" t="str">
        <f>A356&amp;" "&amp;B356</f>
        <v>005010300097872000KD PN. Batang</v>
      </c>
      <c r="D356" s="13"/>
      <c r="E356" s="13"/>
      <c r="F356" s="13"/>
      <c r="G356" s="13"/>
      <c r="H356" s="11"/>
    </row>
    <row r="357" spans="1:8" ht="21.95" customHeight="1">
      <c r="A357" s="14"/>
      <c r="B357" s="14"/>
      <c r="C357" s="124" t="s">
        <v>1982</v>
      </c>
      <c r="D357" s="126" t="s">
        <v>1983</v>
      </c>
      <c r="E357" s="132" t="s">
        <v>1984</v>
      </c>
      <c r="F357" s="132"/>
      <c r="G357" s="126" t="s">
        <v>1987</v>
      </c>
      <c r="H357" s="130" t="s">
        <v>1175</v>
      </c>
    </row>
    <row r="358" spans="1:8" ht="21.95" customHeight="1">
      <c r="A358" s="14"/>
      <c r="B358" s="14"/>
      <c r="C358" s="125"/>
      <c r="D358" s="127"/>
      <c r="E358" s="26" t="s">
        <v>1985</v>
      </c>
      <c r="F358" s="26" t="s">
        <v>1986</v>
      </c>
      <c r="G358" s="127"/>
      <c r="H358" s="131"/>
    </row>
    <row r="359" spans="1:8" ht="21.95" customHeight="1">
      <c r="A359" s="14"/>
      <c r="B359" s="14"/>
      <c r="C359" s="16" t="s">
        <v>1165</v>
      </c>
      <c r="D359" s="17">
        <f>VLOOKUP(A356,'Neraca Unaudited SIMAK'!$A$2:$S$10004,3,FALSE)</f>
        <v>1395816</v>
      </c>
      <c r="E359" s="25">
        <f>SUMIFS('Daftar Koreksi'!$H$5:$H$92,'Daftar Koreksi'!$D$5:$D$92,'0300'!A356,'Daftar Koreksi'!$G$5:$G$92,"Persediaan",'Daftar Koreksi'!$H$5:$H$92,"&gt;0")</f>
        <v>0</v>
      </c>
      <c r="F359" s="25">
        <f>SUMIFS('Daftar Koreksi'!$H$5:$H$92,'Daftar Koreksi'!$D$5:$D$92,'0300'!A356,'Daftar Koreksi'!$G$5:$G$92,"Persediaan",'Daftar Koreksi'!$H$5:$H$92,"&lt;0")-SUMIFS('Daftar Koreksi'!$H$5:$H$92,'Daftar Koreksi'!$D$5:$D$92,'0300'!A356,'Daftar Koreksi'!$G$5:$G$92,"Persediaan",'Daftar Koreksi'!$H$5:$H$92,"&lt;0")-SUMIFS('Daftar Koreksi'!$H$5:$H$92,'Daftar Koreksi'!$D$5:$D$92,'0300'!A356,'Daftar Koreksi'!$G$5:$G$92,"Persediaan",'Daftar Koreksi'!$H$5:$H$92,"&lt;0")</f>
        <v>0</v>
      </c>
      <c r="G359" s="17">
        <f>D359+E359-F359</f>
        <v>1395816</v>
      </c>
      <c r="H359" s="121" t="str">
        <f>IF(ISNA(VLOOKUP(A356,'Mutasi Neraca'!$A$3:$S$914,19,FALSE)),"-",VLOOKUP(A356,'Mutasi Neraca'!$A$3:$S$914,19,FALSE))</f>
        <v>-</v>
      </c>
    </row>
    <row r="360" spans="1:8" ht="21.95" customHeight="1">
      <c r="A360" s="14"/>
      <c r="B360" s="14"/>
      <c r="C360" s="16" t="s">
        <v>1166</v>
      </c>
      <c r="D360" s="17">
        <f>VLOOKUP(A356,'Neraca Unaudited SIMAK'!$A$2:$S$10004,4,FALSE)</f>
        <v>6318988000</v>
      </c>
      <c r="E360" s="25">
        <f>SUMIFS('Daftar Koreksi'!$H$5:$H$92,'Daftar Koreksi'!$D$5:$D$92,'0300'!A356,'Daftar Koreksi'!$G$5:$G$92,"Tanah",'Daftar Koreksi'!$H$5:$H$92,"&gt;0")</f>
        <v>0</v>
      </c>
      <c r="F360" s="25">
        <f>SUMIFS('Daftar Koreksi'!$H$5:$H$92,'Daftar Koreksi'!$D$5:$D$92,'0300'!A356,'Daftar Koreksi'!$G$5:$G$92,"Tanah",'Daftar Koreksi'!$H$5:$H$92,"&lt;0")-SUMIFS('Daftar Koreksi'!$H$5:$H$92,'Daftar Koreksi'!$D$5:$D$92,'0300'!A356,'Daftar Koreksi'!$G$5:$G$92,"Tanah",'Daftar Koreksi'!$H$5:$H$92,"&lt;0")-SUMIFS('Daftar Koreksi'!$H$5:$H$92,'Daftar Koreksi'!$D$5:$D$92,'0300'!A356,'Daftar Koreksi'!$G$5:$G$92,"Tanah",'Daftar Koreksi'!$H$5:$H$92,"&lt;0")</f>
        <v>0</v>
      </c>
      <c r="G360" s="17">
        <f t="shared" ref="G360:G376" si="16">D360+E360-F360</f>
        <v>6318988000</v>
      </c>
      <c r="H360" s="122"/>
    </row>
    <row r="361" spans="1:8" ht="21.95" customHeight="1">
      <c r="A361" s="14"/>
      <c r="B361" s="14"/>
      <c r="C361" s="16" t="s">
        <v>1167</v>
      </c>
      <c r="D361" s="17">
        <f>VLOOKUP(A356,'Neraca Unaudited SIMAK'!$A$2:$S$10004,5,FALSE)</f>
        <v>1566051086</v>
      </c>
      <c r="E361" s="25">
        <f>SUMIFS('Daftar Koreksi'!$H$5:$H$92,'Daftar Koreksi'!$D$5:$D$92,'0300'!A356,'Daftar Koreksi'!$G$5:$G$92,"Peralatan dan mesin",'Daftar Koreksi'!$H$5:$H$92,"&gt;0")</f>
        <v>0</v>
      </c>
      <c r="F361" s="25">
        <f>SUMIFS('Daftar Koreksi'!$H$5:$H$92,'Daftar Koreksi'!$D$5:$D$92,'0300'!A356,'Daftar Koreksi'!$G$5:$G$92,"Peralatan dan mesin",'Daftar Koreksi'!$H$5:$H$92,"&lt;0")-SUMIFS('Daftar Koreksi'!$H$5:$H$92,'Daftar Koreksi'!$D$5:$D$92,'0300'!A356,'Daftar Koreksi'!$G$5:$G$92,"Peralatan dan mesin",'Daftar Koreksi'!$H$5:$H$92,"&lt;0")-SUMIFS('Daftar Koreksi'!$H$5:$H$92,'Daftar Koreksi'!$D$5:$D$92,'0300'!A356,'Daftar Koreksi'!$G$5:$G$92,"Peralatan dan mesin",'Daftar Koreksi'!$H$5:$H$92,"&lt;0")</f>
        <v>0</v>
      </c>
      <c r="G361" s="17">
        <f t="shared" si="16"/>
        <v>1566051086</v>
      </c>
      <c r="H361" s="122"/>
    </row>
    <row r="362" spans="1:8" ht="21.95" customHeight="1">
      <c r="A362" s="14"/>
      <c r="B362" s="14"/>
      <c r="C362" s="16" t="s">
        <v>1168</v>
      </c>
      <c r="D362" s="17">
        <f>VLOOKUP(A356,'Neraca Unaudited SIMAK'!$A$2:$S$10004,6,FALSE)</f>
        <v>2235914750</v>
      </c>
      <c r="E362" s="25">
        <f>SUMIFS('Daftar Koreksi'!$H$5:$H$92,'Daftar Koreksi'!$D$5:$D$92,'0300'!A356,'Daftar Koreksi'!$G$5:$G$92,"Gedung dan Bangunan",'Daftar Koreksi'!$H$5:$H$92,"&gt;0")</f>
        <v>0</v>
      </c>
      <c r="F362" s="25">
        <f>SUMIFS('Daftar Koreksi'!$H$5:$H$92,'Daftar Koreksi'!$D$5:$D$92,'0300'!A356,'Daftar Koreksi'!$G$5:$G$92,"Gedung dan Bangunan",'Daftar Koreksi'!$H$5:$H$92,"&lt;0")-SUMIFS('Daftar Koreksi'!$H$5:$H$92,'Daftar Koreksi'!$D$5:$D$92,'0300'!A356,'Daftar Koreksi'!$G$5:$G$92,"Gedung dan Bangunan",'Daftar Koreksi'!$H$5:$H$92,"&lt;0")-SUMIFS('Daftar Koreksi'!$H$5:$H$92,'Daftar Koreksi'!$D$5:$D$92,'0300'!A356,'Daftar Koreksi'!$G$5:$G$92,"Gedung dan Bangunan",'Daftar Koreksi'!$H$5:$H$92,"&lt;0")</f>
        <v>0</v>
      </c>
      <c r="G362" s="17">
        <f t="shared" si="16"/>
        <v>2235914750</v>
      </c>
      <c r="H362" s="122"/>
    </row>
    <row r="363" spans="1:8" ht="21.95" customHeight="1">
      <c r="A363" s="14"/>
      <c r="B363" s="14"/>
      <c r="C363" s="16" t="s">
        <v>1169</v>
      </c>
      <c r="D363" s="17">
        <f>VLOOKUP(A356,'Neraca Unaudited SIMAK'!$A$2:$S$10004,7,FALSE)</f>
        <v>98559900</v>
      </c>
      <c r="E363" s="25">
        <f>SUMIFS('Daftar Koreksi'!$H$5:$H$92,'Daftar Koreksi'!$D$5:$D$92,'0300'!A356,'Daftar Koreksi'!$G$5:$G$92,"Jalan Irigasi Jaringan",'Daftar Koreksi'!$H$5:$H$92,"&gt;0")</f>
        <v>0</v>
      </c>
      <c r="F363" s="25">
        <f>SUMIFS('Daftar Koreksi'!$H$5:$H$92,'Daftar Koreksi'!$D$5:$D$92,'0300'!A356,'Daftar Koreksi'!$G$5:$G$92,"Jalan Irigasi Jaringan",'Daftar Koreksi'!$H$5:$H$92,"&lt;0")-SUMIFS('Daftar Koreksi'!$H$5:$H$92,'Daftar Koreksi'!$D$5:$D$92,'0300'!A356,'Daftar Koreksi'!$G$5:$G$92,"Jalan Irigasi Jaringan",'Daftar Koreksi'!$H$5:$H$92,"&lt;0")-SUMIFS('Daftar Koreksi'!$H$5:$H$92,'Daftar Koreksi'!$D$5:$D$92,'0300'!A356,'Daftar Koreksi'!$G$5:$G$92,"Jalan Irigasi Jaringan",'Daftar Koreksi'!$H$5:$H$92,"&lt;0")</f>
        <v>0</v>
      </c>
      <c r="G363" s="17">
        <f t="shared" si="16"/>
        <v>98559900</v>
      </c>
      <c r="H363" s="122"/>
    </row>
    <row r="364" spans="1:8" ht="21.95" customHeight="1">
      <c r="A364" s="14"/>
      <c r="B364" s="14"/>
      <c r="C364" s="16" t="s">
        <v>1170</v>
      </c>
      <c r="D364" s="17">
        <f>VLOOKUP(A356,'Neraca Unaudited SIMAK'!$A$2:$S$10004,8,FALSE)</f>
        <v>67564062</v>
      </c>
      <c r="E364" s="25">
        <f>SUMIFS('Daftar Koreksi'!$H$5:$H$92,'Daftar Koreksi'!$D$5:$D$92,'0300'!A356,'Daftar Koreksi'!$G$5:$G$92,"Aset Tetap Lainnya",'Daftar Koreksi'!$H$5:$H$92,"&gt;0")</f>
        <v>0</v>
      </c>
      <c r="F364" s="25">
        <f>SUMIFS('Daftar Koreksi'!$H$5:$H$92,'Daftar Koreksi'!$D$5:$D$92,'0300'!A356,'Daftar Koreksi'!$G$5:$G$92,"Aset Tetap Lainnya",'Daftar Koreksi'!$H$5:$H$92,"&lt;0")-SUMIFS('Daftar Koreksi'!$H$5:$H$92,'Daftar Koreksi'!$D$5:$D$92,'0300'!A356,'Daftar Koreksi'!$G$5:$G$92,"Aset Tetap Lainnya",'Daftar Koreksi'!$H$5:$H$92,"&lt;0")-SUMIFS('Daftar Koreksi'!$H$5:$H$92,'Daftar Koreksi'!$D$5:$D$92,'0300'!A356,'Daftar Koreksi'!$G$5:$G$92,"Aset Tetap Lainnya",'Daftar Koreksi'!$H$5:$H$92,"&lt;0")</f>
        <v>0</v>
      </c>
      <c r="G364" s="17">
        <f t="shared" si="16"/>
        <v>67564062</v>
      </c>
      <c r="H364" s="122"/>
    </row>
    <row r="365" spans="1:8" ht="21.95" customHeight="1">
      <c r="A365" s="14"/>
      <c r="B365" s="14"/>
      <c r="C365" s="16" t="s">
        <v>1171</v>
      </c>
      <c r="D365" s="17">
        <f>VLOOKUP(A356,'Neraca Unaudited SIMAK'!$A$2:$S$10004,9,FALSE)</f>
        <v>0</v>
      </c>
      <c r="E365" s="25">
        <f>SUMIFS('Daftar Koreksi'!$H$5:$H$92,'Daftar Koreksi'!$D$5:$D$92,'0300'!A356,'Daftar Koreksi'!$G$5:$G$92,"Kontruksi Dalam Pengerjaan",'Daftar Koreksi'!$H$5:$H$92,"&gt;0")</f>
        <v>0</v>
      </c>
      <c r="F365" s="25">
        <f>SUMIFS('Daftar Koreksi'!$H$5:$H$92,'Daftar Koreksi'!$D$5:$D$92,'0300'!A356,'Daftar Koreksi'!$G$5:$G$92,"Kontruksi Dalam Pengerjaan",'Daftar Koreksi'!$H$5:$H$92,"&lt;0")-SUMIFS('Daftar Koreksi'!$H$5:$H$92,'Daftar Koreksi'!$D$5:$D$92,'0300'!A356,'Daftar Koreksi'!$G$5:$G$92,"Kontruksi Dalam Pengerjaan",'Daftar Koreksi'!$H$5:$H$92,"&lt;0")-SUMIFS('Daftar Koreksi'!$H$5:$H$92,'Daftar Koreksi'!$D$5:$D$92,'0300'!A356,'Daftar Koreksi'!$G$5:$G$92,"Kontruksi Dalam Pengerjaan",'Daftar Koreksi'!$H$5:$H$92,"&lt;0")</f>
        <v>0</v>
      </c>
      <c r="G365" s="17">
        <f t="shared" si="16"/>
        <v>0</v>
      </c>
      <c r="H365" s="122"/>
    </row>
    <row r="366" spans="1:8" ht="21.95" customHeight="1">
      <c r="A366" s="14"/>
      <c r="B366" s="14"/>
      <c r="C366" s="16" t="s">
        <v>1172</v>
      </c>
      <c r="D366" s="17">
        <f>VLOOKUP(A356,'Neraca Unaudited SIMAK'!$A$2:$S$10004,10,FALSE)</f>
        <v>0</v>
      </c>
      <c r="E366" s="25">
        <f>SUMIFS('Daftar Koreksi'!$H$5:$H$92,'Daftar Koreksi'!$D$5:$D$92,'0300'!A356,'Daftar Koreksi'!$G$5:$G$92,"Aset Tak Berwujud",'Daftar Koreksi'!$H$5:$H$92,"&gt;0")</f>
        <v>0</v>
      </c>
      <c r="F366" s="25">
        <f>SUMIFS('Daftar Koreksi'!$H$5:$H$92,'Daftar Koreksi'!$D$5:$D$92,'0300'!A356,'Daftar Koreksi'!$G$5:$G$92,"Aset Tak Berwujud",'Daftar Koreksi'!$H$5:$H$92,"&lt;0")-SUMIFS('Daftar Koreksi'!$H$5:$H$92,'Daftar Koreksi'!$D$5:$D$92,'0300'!A356,'Daftar Koreksi'!$G$5:$G$92,"Aset Tak Berwujud",'Daftar Koreksi'!$H$5:$H$92,"&lt;0")-SUMIFS('Daftar Koreksi'!$H$5:$H$92,'Daftar Koreksi'!$D$5:$D$92,'0300'!A356,'Daftar Koreksi'!$G$5:$G$92,"Aset Tak Berwujud",'Daftar Koreksi'!$H$5:$H$92,"&lt;0")</f>
        <v>0</v>
      </c>
      <c r="G366" s="17">
        <f t="shared" si="16"/>
        <v>0</v>
      </c>
      <c r="H366" s="122"/>
    </row>
    <row r="367" spans="1:8" ht="21.95" customHeight="1">
      <c r="A367" s="14"/>
      <c r="B367" s="14"/>
      <c r="C367" s="16" t="s">
        <v>1173</v>
      </c>
      <c r="D367" s="17">
        <f>VLOOKUP(A356,'Neraca Unaudited SIMAK'!$A$2:$S$10004,11,FALSE)</f>
        <v>0</v>
      </c>
      <c r="E367" s="25">
        <f>SUMIFS('Daftar Koreksi'!$H$5:$H$92,'Daftar Koreksi'!$D$5:$D$92,'0300'!A356,'Daftar Koreksi'!$G$5:$G$92,"Aset Henti Guna",'Daftar Koreksi'!$H$5:$H$92,"&gt;0")</f>
        <v>0</v>
      </c>
      <c r="F367" s="25">
        <f>SUMIFS('Daftar Koreksi'!$H$5:$H$92,'Daftar Koreksi'!$D$5:$D$92,'0300'!A356,'Daftar Koreksi'!$G$5:$G$92,"Aset Henti Guna",'Daftar Koreksi'!$H$5:$H$92,"&lt;0")-SUMIFS('Daftar Koreksi'!$H$5:$H$92,'Daftar Koreksi'!$D$5:$D$92,'0300'!A356,'Daftar Koreksi'!$G$5:$G$92,"Aset Henti Guna",'Daftar Koreksi'!$H$5:$H$92,"&lt;0")-SUMIFS('Daftar Koreksi'!$H$5:$H$92,'Daftar Koreksi'!$D$5:$D$92,'0300'!A356,'Daftar Koreksi'!$G$5:$G$92,"Aset Henti Guna",'Daftar Koreksi'!$H$5:$H$92,"&lt;0")</f>
        <v>0</v>
      </c>
      <c r="G367" s="17">
        <f t="shared" si="16"/>
        <v>0</v>
      </c>
      <c r="H367" s="122"/>
    </row>
    <row r="368" spans="1:8" ht="21.95" customHeight="1">
      <c r="A368" s="14"/>
      <c r="B368" s="14"/>
      <c r="C368" s="18" t="s">
        <v>2093</v>
      </c>
      <c r="D368" s="19">
        <f>VLOOKUP(A356,'Neraca Unaudited SIMAK'!$A$2:$S$10004,12,FALSE)</f>
        <v>10288473614</v>
      </c>
      <c r="E368" s="19">
        <f>SUM(E359:E367)</f>
        <v>0</v>
      </c>
      <c r="F368" s="19">
        <f>SUM(F359:F367)</f>
        <v>0</v>
      </c>
      <c r="G368" s="19">
        <f t="shared" si="16"/>
        <v>10288473614</v>
      </c>
      <c r="H368" s="122"/>
    </row>
    <row r="369" spans="1:8" ht="21.95" customHeight="1">
      <c r="A369" s="14"/>
      <c r="B369" s="14"/>
      <c r="C369" s="16" t="s">
        <v>2087</v>
      </c>
      <c r="D369" s="17">
        <f>VLOOKUP(A356,'Neraca Unaudited SIMAK'!$A$2:$S$10004,13,FALSE)</f>
        <v>-1337737387</v>
      </c>
      <c r="E369" s="25">
        <f>SUMIFS('Daftar Koreksi'!$I$5:$I$92,'Daftar Koreksi'!$D$5:$D$92,'0300'!A356,'Daftar Koreksi'!$G$5:$G$92,"Peralatan dan mesin",'Daftar Koreksi'!$I$5:$I$92,"&gt;0")</f>
        <v>0</v>
      </c>
      <c r="F369" s="25">
        <f>SUMIFS('Daftar Koreksi'!$I$5:$I$92,'Daftar Koreksi'!$D$5:$D$92,'0300'!A356,'Daftar Koreksi'!$G$5:$G$92,"Peralatan dan mesin",'Daftar Koreksi'!$I$5:$I$92,"&lt;0")-SUMIFS('Daftar Koreksi'!$I$5:$I$92,'Daftar Koreksi'!$D$5:$D$92,'0300'!A356,'Daftar Koreksi'!$G$5:$G$92,"Peralatan dan mesin",'Daftar Koreksi'!$I$5:$I$92,"&lt;0")-SUMIFS('Daftar Koreksi'!$I$5:$I$92,'Daftar Koreksi'!$D$5:$D$92,'0300'!A356,'Daftar Koreksi'!$G$5:$G$92,"Peralatan dan mesin",'Daftar Koreksi'!$I$5:$I$92,"&lt;0")</f>
        <v>0</v>
      </c>
      <c r="G369" s="17">
        <f t="shared" si="16"/>
        <v>-1337737387</v>
      </c>
      <c r="H369" s="122"/>
    </row>
    <row r="370" spans="1:8" ht="21.95" customHeight="1">
      <c r="A370" s="14"/>
      <c r="B370" s="14"/>
      <c r="C370" s="16" t="s">
        <v>2088</v>
      </c>
      <c r="D370" s="17">
        <f>VLOOKUP(A356,'Neraca Unaudited SIMAK'!$A$2:$S$10004,14,FALSE)</f>
        <v>-599209486</v>
      </c>
      <c r="E370" s="25">
        <f>SUMIFS('Daftar Koreksi'!$I$5:$I$92,'Daftar Koreksi'!$D$5:$D$92,'0300'!A356,'Daftar Koreksi'!$G$5:$G$92,"Gedung dan Bangunan",'Daftar Koreksi'!$I$5:$I$92,"&gt;0")</f>
        <v>0</v>
      </c>
      <c r="F370" s="25">
        <f>SUMIFS('Daftar Koreksi'!$I$5:$I$92,'Daftar Koreksi'!$D$5:$D$92,'0300'!A356,'Daftar Koreksi'!$G$5:$G$92,"Gedung dan Bangunan",'Daftar Koreksi'!$I$5:$I$92,"&lt;0")-SUMIFS('Daftar Koreksi'!$I$5:$I$92,'Daftar Koreksi'!$D$5:$D$92,'0300'!A356,'Daftar Koreksi'!$G$5:$G$92,"Gedung dan Bangunan",'Daftar Koreksi'!$I$5:$I$92,"&lt;0")-SUMIFS('Daftar Koreksi'!$I$5:$I$92,'Daftar Koreksi'!$D$5:$D$92,'0300'!A356,'Daftar Koreksi'!$G$5:$G$92,"Gedung dan Bangunan",'Daftar Koreksi'!$I$5:$I$92,"&lt;0")</f>
        <v>0</v>
      </c>
      <c r="G370" s="17">
        <f t="shared" si="16"/>
        <v>-599209486</v>
      </c>
      <c r="H370" s="122"/>
    </row>
    <row r="371" spans="1:8" ht="21.95" customHeight="1">
      <c r="A371" s="14"/>
      <c r="B371" s="14"/>
      <c r="C371" s="16" t="s">
        <v>2089</v>
      </c>
      <c r="D371" s="17">
        <f>VLOOKUP(A356,'Neraca Unaudited SIMAK'!$A$2:$S$10004,15,FALSE)</f>
        <v>-98559900</v>
      </c>
      <c r="E371" s="25">
        <f>SUMIFS('Daftar Koreksi'!$I$5:$I$92,'Daftar Koreksi'!$D$5:$D$92,'0300'!A356,'Daftar Koreksi'!$G$5:$G$92,"Jalan Irigasi Jaringan",'Daftar Koreksi'!$I$5:$I$92,"&gt;0")</f>
        <v>0</v>
      </c>
      <c r="F371" s="25">
        <f>SUMIFS('Daftar Koreksi'!$I$5:$I$92,'Daftar Koreksi'!$D$5:$D$92,'0300'!A356,'Daftar Koreksi'!$G$5:$G$92,"Jalan Irigasi Jaringan",'Daftar Koreksi'!$I$5:$I$92,"&lt;0")-SUMIFS('Daftar Koreksi'!$I$5:$I$92,'Daftar Koreksi'!$D$5:$D$92,'0300'!A356,'Daftar Koreksi'!$G$5:$G$92,"Jalan Irigasi Jaringan",'Daftar Koreksi'!$I$5:$I$92,"&lt;0")-SUMIFS('Daftar Koreksi'!$I$5:$I$92,'Daftar Koreksi'!$D$5:$D$92,'0300'!A356,'Daftar Koreksi'!$G$5:$G$92,"Jalan Irigasi Jaringan",'Daftar Koreksi'!$I$5:$I$92,"&lt;0")</f>
        <v>0</v>
      </c>
      <c r="G371" s="17">
        <f t="shared" si="16"/>
        <v>-98559900</v>
      </c>
      <c r="H371" s="122"/>
    </row>
    <row r="372" spans="1:8" ht="21.95" customHeight="1">
      <c r="A372" s="14"/>
      <c r="B372" s="14"/>
      <c r="C372" s="16" t="s">
        <v>2090</v>
      </c>
      <c r="D372" s="17">
        <f>VLOOKUP(A356,'Neraca Unaudited SIMAK'!$A$2:$S$10004,16,FALSE)</f>
        <v>0</v>
      </c>
      <c r="E372" s="25">
        <f>SUMIFS('Daftar Koreksi'!$I$5:$I$92,'Daftar Koreksi'!$D$5:$D$92,'0300'!A356,'Daftar Koreksi'!$G$5:$G$92,"Aset Tetap Lainnya",'Daftar Koreksi'!$I$5:$I$92,"&gt;0")</f>
        <v>0</v>
      </c>
      <c r="F372" s="25">
        <f>SUMIFS('Daftar Koreksi'!$I$5:$I$92,'Daftar Koreksi'!$D$5:$D$92,'0300'!A356,'Daftar Koreksi'!$G$5:$G$92,"Aset Tetap Lainnya",'Daftar Koreksi'!$I$5:$I$92,"&lt;0")-SUMIFS('Daftar Koreksi'!$I$5:$I$92,'Daftar Koreksi'!$D$5:$D$92,'0300'!A356,'Daftar Koreksi'!$G$5:$G$92,"Aset Tetap Lainnya",'Daftar Koreksi'!$I$5:$I$92,"&lt;0")-SUMIFS('Daftar Koreksi'!$I$5:$I$92,'Daftar Koreksi'!$D$5:$D$92,'0300'!A356,'Daftar Koreksi'!$G$5:$G$92,"Aset Tetap Lainnya",'Daftar Koreksi'!$I$5:$I$92,"&lt;0")</f>
        <v>0</v>
      </c>
      <c r="G372" s="17">
        <f t="shared" si="16"/>
        <v>0</v>
      </c>
      <c r="H372" s="122"/>
    </row>
    <row r="373" spans="1:8" ht="21.95" customHeight="1">
      <c r="A373" s="14"/>
      <c r="B373" s="14"/>
      <c r="C373" s="16" t="s">
        <v>2020</v>
      </c>
      <c r="D373" s="17">
        <f>VLOOKUP(A356,'Neraca Unaudited SIMAK'!$A$2:$S$10004,17,FALSE)</f>
        <v>0</v>
      </c>
      <c r="E373" s="25">
        <f>SUMIFS('Daftar Koreksi'!$I$5:$I$92,'Daftar Koreksi'!$D$5:$D$92,'0300'!A356,'Daftar Koreksi'!$G$5:$G$92,"Aset Henti Guna",'Daftar Koreksi'!$I$5:$I$92,"&gt;0")</f>
        <v>0</v>
      </c>
      <c r="F373" s="25">
        <f>SUMIFS('Daftar Koreksi'!$I$5:$I$92,'Daftar Koreksi'!$D$5:$D$92,'0300'!A356,'Daftar Koreksi'!$G$5:$G$92,"Aset Henti Guna",'Daftar Koreksi'!$I$5:$I$92,"&lt;0")-SUMIFS('Daftar Koreksi'!$I$5:$I$92,'Daftar Koreksi'!$D$5:$D$92,'0300'!A356,'Daftar Koreksi'!$G$5:$G$92,"Aset Henti Guna",'Daftar Koreksi'!$I$5:$I$92,"&lt;0")-SUMIFS('Daftar Koreksi'!$I$5:$I$92,'Daftar Koreksi'!$D$5:$D$92,'0300'!A356,'Daftar Koreksi'!$G$5:$G$92,"Aset Henti Guna",'Daftar Koreksi'!$I$5:$I$92,"&lt;0")</f>
        <v>0</v>
      </c>
      <c r="G373" s="17">
        <f t="shared" si="16"/>
        <v>0</v>
      </c>
      <c r="H373" s="122"/>
    </row>
    <row r="374" spans="1:8" ht="21.95" customHeight="1">
      <c r="A374" s="14"/>
      <c r="B374" s="14"/>
      <c r="C374" s="18" t="s">
        <v>2094</v>
      </c>
      <c r="D374" s="19">
        <f>SUM(D369:D373)</f>
        <v>-2035506773</v>
      </c>
      <c r="E374" s="19">
        <f>SUM(E369:E373)</f>
        <v>0</v>
      </c>
      <c r="F374" s="19">
        <f>SUM(F369:F373)</f>
        <v>0</v>
      </c>
      <c r="G374" s="19">
        <f t="shared" si="16"/>
        <v>-2035506773</v>
      </c>
      <c r="H374" s="122"/>
    </row>
    <row r="375" spans="1:8" ht="21.95" customHeight="1">
      <c r="A375" s="14"/>
      <c r="B375" s="14"/>
      <c r="C375" s="18" t="s">
        <v>2095</v>
      </c>
      <c r="D375" s="19">
        <f>VLOOKUP(A356,'Neraca Unaudited SIMAK'!$A$2:$S$10004,18,FALSE)</f>
        <v>8252966841</v>
      </c>
      <c r="E375" s="19">
        <f>E374+E368</f>
        <v>0</v>
      </c>
      <c r="F375" s="19">
        <f>F374+F368</f>
        <v>0</v>
      </c>
      <c r="G375" s="19">
        <f t="shared" si="16"/>
        <v>8252966841</v>
      </c>
      <c r="H375" s="122"/>
    </row>
    <row r="376" spans="1:8" ht="21.95" customHeight="1">
      <c r="A376" s="14"/>
      <c r="B376" s="14"/>
      <c r="C376" s="16" t="s">
        <v>2091</v>
      </c>
      <c r="D376" s="17">
        <f>VLOOKUP(A356,'Neraca Unaudited SIMAK'!$A$2:$S$10004,19,FALSE)</f>
        <v>0</v>
      </c>
      <c r="E376" s="25"/>
      <c r="F376" s="25"/>
      <c r="G376" s="17">
        <f t="shared" si="16"/>
        <v>0</v>
      </c>
      <c r="H376" s="123"/>
    </row>
    <row r="378" spans="1:8" ht="19.5" customHeight="1">
      <c r="A378" s="11" t="str">
        <f>O18</f>
        <v>005010300097886000KD</v>
      </c>
      <c r="B378" s="11" t="str">
        <f>P18</f>
        <v>PN. Purworejo</v>
      </c>
      <c r="C378" s="12" t="str">
        <f>A378&amp;" "&amp;B378</f>
        <v>005010300097886000KD PN. Purworejo</v>
      </c>
      <c r="D378" s="13"/>
      <c r="E378" s="13"/>
      <c r="F378" s="13"/>
      <c r="G378" s="13"/>
      <c r="H378" s="11"/>
    </row>
    <row r="379" spans="1:8" ht="21.95" customHeight="1">
      <c r="A379" s="14"/>
      <c r="B379" s="14"/>
      <c r="C379" s="124" t="s">
        <v>1982</v>
      </c>
      <c r="D379" s="126" t="s">
        <v>1983</v>
      </c>
      <c r="E379" s="132" t="s">
        <v>1984</v>
      </c>
      <c r="F379" s="132"/>
      <c r="G379" s="126" t="s">
        <v>1987</v>
      </c>
      <c r="H379" s="130" t="s">
        <v>1175</v>
      </c>
    </row>
    <row r="380" spans="1:8" ht="21.95" customHeight="1">
      <c r="A380" s="14"/>
      <c r="B380" s="14"/>
      <c r="C380" s="125"/>
      <c r="D380" s="127"/>
      <c r="E380" s="26" t="s">
        <v>1985</v>
      </c>
      <c r="F380" s="26" t="s">
        <v>1986</v>
      </c>
      <c r="G380" s="127"/>
      <c r="H380" s="131"/>
    </row>
    <row r="381" spans="1:8" ht="21.95" customHeight="1">
      <c r="A381" s="14"/>
      <c r="B381" s="14"/>
      <c r="C381" s="16" t="s">
        <v>1165</v>
      </c>
      <c r="D381" s="17">
        <f>VLOOKUP(A378,'Neraca Unaudited SIMAK'!$A$2:$S$10004,3,FALSE)</f>
        <v>2317000</v>
      </c>
      <c r="E381" s="25">
        <f>SUMIFS('Daftar Koreksi'!$H$5:$H$92,'Daftar Koreksi'!$D$5:$D$92,'0300'!A378,'Daftar Koreksi'!$G$5:$G$92,"Persediaan",'Daftar Koreksi'!$H$5:$H$92,"&gt;0")</f>
        <v>0</v>
      </c>
      <c r="F381" s="25">
        <f>SUMIFS('Daftar Koreksi'!$H$5:$H$92,'Daftar Koreksi'!$D$5:$D$92,'0300'!A378,'Daftar Koreksi'!$G$5:$G$92,"Persediaan",'Daftar Koreksi'!$H$5:$H$92,"&lt;0")-SUMIFS('Daftar Koreksi'!$H$5:$H$92,'Daftar Koreksi'!$D$5:$D$92,'0300'!A378,'Daftar Koreksi'!$G$5:$G$92,"Persediaan",'Daftar Koreksi'!$H$5:$H$92,"&lt;0")-SUMIFS('Daftar Koreksi'!$H$5:$H$92,'Daftar Koreksi'!$D$5:$D$92,'0300'!A378,'Daftar Koreksi'!$G$5:$G$92,"Persediaan",'Daftar Koreksi'!$H$5:$H$92,"&lt;0")</f>
        <v>0</v>
      </c>
      <c r="G381" s="17">
        <f>D381+E381-F381</f>
        <v>2317000</v>
      </c>
      <c r="H381" s="121" t="str">
        <f>IF(ISNA(VLOOKUP(A378,'Mutasi Neraca'!$A$3:$S$914,19,FALSE)),"-",VLOOKUP(A378,'Mutasi Neraca'!$A$3:$S$914,19,FALSE))</f>
        <v>-</v>
      </c>
    </row>
    <row r="382" spans="1:8" ht="21.95" customHeight="1">
      <c r="A382" s="14"/>
      <c r="B382" s="14"/>
      <c r="C382" s="16" t="s">
        <v>1166</v>
      </c>
      <c r="D382" s="17">
        <f>VLOOKUP(A378,'Neraca Unaudited SIMAK'!$A$2:$S$10004,4,FALSE)</f>
        <v>5276224000</v>
      </c>
      <c r="E382" s="25">
        <f>SUMIFS('Daftar Koreksi'!$H$5:$H$92,'Daftar Koreksi'!$D$5:$D$92,'0300'!A378,'Daftar Koreksi'!$G$5:$G$92,"Tanah",'Daftar Koreksi'!$H$5:$H$92,"&gt;0")</f>
        <v>0</v>
      </c>
      <c r="F382" s="25">
        <f>SUMIFS('Daftar Koreksi'!$H$5:$H$92,'Daftar Koreksi'!$D$5:$D$92,'0300'!A378,'Daftar Koreksi'!$G$5:$G$92,"Tanah",'Daftar Koreksi'!$H$5:$H$92,"&lt;0")-SUMIFS('Daftar Koreksi'!$H$5:$H$92,'Daftar Koreksi'!$D$5:$D$92,'0300'!A378,'Daftar Koreksi'!$G$5:$G$92,"Tanah",'Daftar Koreksi'!$H$5:$H$92,"&lt;0")-SUMIFS('Daftar Koreksi'!$H$5:$H$92,'Daftar Koreksi'!$D$5:$D$92,'0300'!A378,'Daftar Koreksi'!$G$5:$G$92,"Tanah",'Daftar Koreksi'!$H$5:$H$92,"&lt;0")</f>
        <v>0</v>
      </c>
      <c r="G382" s="17">
        <f t="shared" ref="G382:G398" si="17">D382+E382-F382</f>
        <v>5276224000</v>
      </c>
      <c r="H382" s="122"/>
    </row>
    <row r="383" spans="1:8" ht="21.95" customHeight="1">
      <c r="A383" s="14"/>
      <c r="B383" s="14"/>
      <c r="C383" s="16" t="s">
        <v>1167</v>
      </c>
      <c r="D383" s="17">
        <f>VLOOKUP(A378,'Neraca Unaudited SIMAK'!$A$2:$S$10004,5,FALSE)</f>
        <v>1876575619</v>
      </c>
      <c r="E383" s="25">
        <f>SUMIFS('Daftar Koreksi'!$H$5:$H$92,'Daftar Koreksi'!$D$5:$D$92,'0300'!A378,'Daftar Koreksi'!$G$5:$G$92,"Peralatan dan mesin",'Daftar Koreksi'!$H$5:$H$92,"&gt;0")</f>
        <v>0</v>
      </c>
      <c r="F383" s="25">
        <f>SUMIFS('Daftar Koreksi'!$H$5:$H$92,'Daftar Koreksi'!$D$5:$D$92,'0300'!A378,'Daftar Koreksi'!$G$5:$G$92,"Peralatan dan mesin",'Daftar Koreksi'!$H$5:$H$92,"&lt;0")-SUMIFS('Daftar Koreksi'!$H$5:$H$92,'Daftar Koreksi'!$D$5:$D$92,'0300'!A378,'Daftar Koreksi'!$G$5:$G$92,"Peralatan dan mesin",'Daftar Koreksi'!$H$5:$H$92,"&lt;0")-SUMIFS('Daftar Koreksi'!$H$5:$H$92,'Daftar Koreksi'!$D$5:$D$92,'0300'!A378,'Daftar Koreksi'!$G$5:$G$92,"Peralatan dan mesin",'Daftar Koreksi'!$H$5:$H$92,"&lt;0")</f>
        <v>0</v>
      </c>
      <c r="G383" s="17">
        <f t="shared" si="17"/>
        <v>1876575619</v>
      </c>
      <c r="H383" s="122"/>
    </row>
    <row r="384" spans="1:8" ht="21.95" customHeight="1">
      <c r="A384" s="14"/>
      <c r="B384" s="14"/>
      <c r="C384" s="16" t="s">
        <v>1168</v>
      </c>
      <c r="D384" s="17">
        <f>VLOOKUP(A378,'Neraca Unaudited SIMAK'!$A$2:$S$10004,6,FALSE)</f>
        <v>4309096307</v>
      </c>
      <c r="E384" s="25">
        <f>SUMIFS('Daftar Koreksi'!$H$5:$H$92,'Daftar Koreksi'!$D$5:$D$92,'0300'!A378,'Daftar Koreksi'!$G$5:$G$92,"Gedung dan Bangunan",'Daftar Koreksi'!$H$5:$H$92,"&gt;0")</f>
        <v>0</v>
      </c>
      <c r="F384" s="25">
        <f>SUMIFS('Daftar Koreksi'!$H$5:$H$92,'Daftar Koreksi'!$D$5:$D$92,'0300'!A378,'Daftar Koreksi'!$G$5:$G$92,"Gedung dan Bangunan",'Daftar Koreksi'!$H$5:$H$92,"&lt;0")-SUMIFS('Daftar Koreksi'!$H$5:$H$92,'Daftar Koreksi'!$D$5:$D$92,'0300'!A378,'Daftar Koreksi'!$G$5:$G$92,"Gedung dan Bangunan",'Daftar Koreksi'!$H$5:$H$92,"&lt;0")-SUMIFS('Daftar Koreksi'!$H$5:$H$92,'Daftar Koreksi'!$D$5:$D$92,'0300'!A378,'Daftar Koreksi'!$G$5:$G$92,"Gedung dan Bangunan",'Daftar Koreksi'!$H$5:$H$92,"&lt;0")</f>
        <v>0</v>
      </c>
      <c r="G384" s="17">
        <f t="shared" si="17"/>
        <v>4309096307</v>
      </c>
      <c r="H384" s="122"/>
    </row>
    <row r="385" spans="1:8" ht="21.95" customHeight="1">
      <c r="A385" s="14"/>
      <c r="B385" s="14"/>
      <c r="C385" s="16" t="s">
        <v>1169</v>
      </c>
      <c r="D385" s="17">
        <f>VLOOKUP(A378,'Neraca Unaudited SIMAK'!$A$2:$S$10004,7,FALSE)</f>
        <v>0</v>
      </c>
      <c r="E385" s="25">
        <f>SUMIFS('Daftar Koreksi'!$H$5:$H$92,'Daftar Koreksi'!$D$5:$D$92,'0300'!A378,'Daftar Koreksi'!$G$5:$G$92,"Jalan Irigasi Jaringan",'Daftar Koreksi'!$H$5:$H$92,"&gt;0")</f>
        <v>0</v>
      </c>
      <c r="F385" s="25">
        <f>SUMIFS('Daftar Koreksi'!$H$5:$H$92,'Daftar Koreksi'!$D$5:$D$92,'0300'!A378,'Daftar Koreksi'!$G$5:$G$92,"Jalan Irigasi Jaringan",'Daftar Koreksi'!$H$5:$H$92,"&lt;0")-SUMIFS('Daftar Koreksi'!$H$5:$H$92,'Daftar Koreksi'!$D$5:$D$92,'0300'!A378,'Daftar Koreksi'!$G$5:$G$92,"Jalan Irigasi Jaringan",'Daftar Koreksi'!$H$5:$H$92,"&lt;0")-SUMIFS('Daftar Koreksi'!$H$5:$H$92,'Daftar Koreksi'!$D$5:$D$92,'0300'!A378,'Daftar Koreksi'!$G$5:$G$92,"Jalan Irigasi Jaringan",'Daftar Koreksi'!$H$5:$H$92,"&lt;0")</f>
        <v>0</v>
      </c>
      <c r="G385" s="17">
        <f t="shared" si="17"/>
        <v>0</v>
      </c>
      <c r="H385" s="122"/>
    </row>
    <row r="386" spans="1:8" ht="21.95" customHeight="1">
      <c r="A386" s="14"/>
      <c r="B386" s="14"/>
      <c r="C386" s="16" t="s">
        <v>1170</v>
      </c>
      <c r="D386" s="17">
        <f>VLOOKUP(A378,'Neraca Unaudited SIMAK'!$A$2:$S$10004,8,FALSE)</f>
        <v>199833742</v>
      </c>
      <c r="E386" s="25">
        <f>SUMIFS('Daftar Koreksi'!$H$5:$H$92,'Daftar Koreksi'!$D$5:$D$92,'0300'!A378,'Daftar Koreksi'!$G$5:$G$92,"Aset Tetap Lainnya",'Daftar Koreksi'!$H$5:$H$92,"&gt;0")</f>
        <v>0</v>
      </c>
      <c r="F386" s="25">
        <f>SUMIFS('Daftar Koreksi'!$H$5:$H$92,'Daftar Koreksi'!$D$5:$D$92,'0300'!A378,'Daftar Koreksi'!$G$5:$G$92,"Aset Tetap Lainnya",'Daftar Koreksi'!$H$5:$H$92,"&lt;0")-SUMIFS('Daftar Koreksi'!$H$5:$H$92,'Daftar Koreksi'!$D$5:$D$92,'0300'!A378,'Daftar Koreksi'!$G$5:$G$92,"Aset Tetap Lainnya",'Daftar Koreksi'!$H$5:$H$92,"&lt;0")-SUMIFS('Daftar Koreksi'!$H$5:$H$92,'Daftar Koreksi'!$D$5:$D$92,'0300'!A378,'Daftar Koreksi'!$G$5:$G$92,"Aset Tetap Lainnya",'Daftar Koreksi'!$H$5:$H$92,"&lt;0")</f>
        <v>0</v>
      </c>
      <c r="G386" s="17">
        <f t="shared" si="17"/>
        <v>199833742</v>
      </c>
      <c r="H386" s="122"/>
    </row>
    <row r="387" spans="1:8" ht="21.95" customHeight="1">
      <c r="A387" s="14"/>
      <c r="B387" s="14"/>
      <c r="C387" s="16" t="s">
        <v>1171</v>
      </c>
      <c r="D387" s="17">
        <f>VLOOKUP(A378,'Neraca Unaudited SIMAK'!$A$2:$S$10004,9,FALSE)</f>
        <v>0</v>
      </c>
      <c r="E387" s="25">
        <f>SUMIFS('Daftar Koreksi'!$H$5:$H$92,'Daftar Koreksi'!$D$5:$D$92,'0300'!A378,'Daftar Koreksi'!$G$5:$G$92,"Kontruksi Dalam Pengerjaan",'Daftar Koreksi'!$H$5:$H$92,"&gt;0")</f>
        <v>0</v>
      </c>
      <c r="F387" s="25">
        <f>SUMIFS('Daftar Koreksi'!$H$5:$H$92,'Daftar Koreksi'!$D$5:$D$92,'0300'!A378,'Daftar Koreksi'!$G$5:$G$92,"Kontruksi Dalam Pengerjaan",'Daftar Koreksi'!$H$5:$H$92,"&lt;0")-SUMIFS('Daftar Koreksi'!$H$5:$H$92,'Daftar Koreksi'!$D$5:$D$92,'0300'!A378,'Daftar Koreksi'!$G$5:$G$92,"Kontruksi Dalam Pengerjaan",'Daftar Koreksi'!$H$5:$H$92,"&lt;0")-SUMIFS('Daftar Koreksi'!$H$5:$H$92,'Daftar Koreksi'!$D$5:$D$92,'0300'!A378,'Daftar Koreksi'!$G$5:$G$92,"Kontruksi Dalam Pengerjaan",'Daftar Koreksi'!$H$5:$H$92,"&lt;0")</f>
        <v>0</v>
      </c>
      <c r="G387" s="17">
        <f t="shared" si="17"/>
        <v>0</v>
      </c>
      <c r="H387" s="122"/>
    </row>
    <row r="388" spans="1:8" ht="21.95" customHeight="1">
      <c r="A388" s="14"/>
      <c r="B388" s="14"/>
      <c r="C388" s="16" t="s">
        <v>1172</v>
      </c>
      <c r="D388" s="17">
        <f>VLOOKUP(A378,'Neraca Unaudited SIMAK'!$A$2:$S$10004,10,FALSE)</f>
        <v>74660000</v>
      </c>
      <c r="E388" s="25">
        <f>SUMIFS('Daftar Koreksi'!$H$5:$H$92,'Daftar Koreksi'!$D$5:$D$92,'0300'!A378,'Daftar Koreksi'!$G$5:$G$92,"Aset Tak Berwujud",'Daftar Koreksi'!$H$5:$H$92,"&gt;0")</f>
        <v>0</v>
      </c>
      <c r="F388" s="25">
        <f>SUMIFS('Daftar Koreksi'!$H$5:$H$92,'Daftar Koreksi'!$D$5:$D$92,'0300'!A378,'Daftar Koreksi'!$G$5:$G$92,"Aset Tak Berwujud",'Daftar Koreksi'!$H$5:$H$92,"&lt;0")-SUMIFS('Daftar Koreksi'!$H$5:$H$92,'Daftar Koreksi'!$D$5:$D$92,'0300'!A378,'Daftar Koreksi'!$G$5:$G$92,"Aset Tak Berwujud",'Daftar Koreksi'!$H$5:$H$92,"&lt;0")-SUMIFS('Daftar Koreksi'!$H$5:$H$92,'Daftar Koreksi'!$D$5:$D$92,'0300'!A378,'Daftar Koreksi'!$G$5:$G$92,"Aset Tak Berwujud",'Daftar Koreksi'!$H$5:$H$92,"&lt;0")</f>
        <v>0</v>
      </c>
      <c r="G388" s="17">
        <f t="shared" si="17"/>
        <v>74660000</v>
      </c>
      <c r="H388" s="122"/>
    </row>
    <row r="389" spans="1:8" ht="21.95" customHeight="1">
      <c r="A389" s="14"/>
      <c r="B389" s="14"/>
      <c r="C389" s="16" t="s">
        <v>1173</v>
      </c>
      <c r="D389" s="17">
        <f>VLOOKUP(A378,'Neraca Unaudited SIMAK'!$A$2:$S$10004,11,FALSE)</f>
        <v>461697326</v>
      </c>
      <c r="E389" s="25">
        <f>SUMIFS('Daftar Koreksi'!$H$5:$H$92,'Daftar Koreksi'!$D$5:$D$92,'0300'!A378,'Daftar Koreksi'!$G$5:$G$92,"Aset Henti Guna",'Daftar Koreksi'!$H$5:$H$92,"&gt;0")</f>
        <v>0</v>
      </c>
      <c r="F389" s="25">
        <f>SUMIFS('Daftar Koreksi'!$H$5:$H$92,'Daftar Koreksi'!$D$5:$D$92,'0300'!A378,'Daftar Koreksi'!$G$5:$G$92,"Aset Henti Guna",'Daftar Koreksi'!$H$5:$H$92,"&lt;0")-SUMIFS('Daftar Koreksi'!$H$5:$H$92,'Daftar Koreksi'!$D$5:$D$92,'0300'!A378,'Daftar Koreksi'!$G$5:$G$92,"Aset Henti Guna",'Daftar Koreksi'!$H$5:$H$92,"&lt;0")-SUMIFS('Daftar Koreksi'!$H$5:$H$92,'Daftar Koreksi'!$D$5:$D$92,'0300'!A378,'Daftar Koreksi'!$G$5:$G$92,"Aset Henti Guna",'Daftar Koreksi'!$H$5:$H$92,"&lt;0")</f>
        <v>0</v>
      </c>
      <c r="G389" s="17">
        <f t="shared" si="17"/>
        <v>461697326</v>
      </c>
      <c r="H389" s="122"/>
    </row>
    <row r="390" spans="1:8" ht="21.95" customHeight="1">
      <c r="A390" s="14"/>
      <c r="B390" s="14"/>
      <c r="C390" s="18" t="s">
        <v>2093</v>
      </c>
      <c r="D390" s="19">
        <f>VLOOKUP(A378,'Neraca Unaudited SIMAK'!$A$2:$S$10004,12,FALSE)</f>
        <v>12200403994</v>
      </c>
      <c r="E390" s="19">
        <f>SUM(E381:E389)</f>
        <v>0</v>
      </c>
      <c r="F390" s="19">
        <f>SUM(F381:F389)</f>
        <v>0</v>
      </c>
      <c r="G390" s="19">
        <f t="shared" si="17"/>
        <v>12200403994</v>
      </c>
      <c r="H390" s="122"/>
    </row>
    <row r="391" spans="1:8" ht="21.95" customHeight="1">
      <c r="A391" s="14"/>
      <c r="B391" s="14"/>
      <c r="C391" s="16" t="s">
        <v>2087</v>
      </c>
      <c r="D391" s="17">
        <f>VLOOKUP(A378,'Neraca Unaudited SIMAK'!$A$2:$S$10004,13,FALSE)</f>
        <v>-1454153760</v>
      </c>
      <c r="E391" s="25">
        <f>SUMIFS('Daftar Koreksi'!$I$5:$I$92,'Daftar Koreksi'!$D$5:$D$92,'0300'!A378,'Daftar Koreksi'!$G$5:$G$92,"Peralatan dan mesin",'Daftar Koreksi'!$I$5:$I$92,"&gt;0")</f>
        <v>0</v>
      </c>
      <c r="F391" s="25">
        <f>SUMIFS('Daftar Koreksi'!$I$5:$I$92,'Daftar Koreksi'!$D$5:$D$92,'0300'!A378,'Daftar Koreksi'!$G$5:$G$92,"Peralatan dan mesin",'Daftar Koreksi'!$I$5:$I$92,"&lt;0")-SUMIFS('Daftar Koreksi'!$I$5:$I$92,'Daftar Koreksi'!$D$5:$D$92,'0300'!A378,'Daftar Koreksi'!$G$5:$G$92,"Peralatan dan mesin",'Daftar Koreksi'!$I$5:$I$92,"&lt;0")-SUMIFS('Daftar Koreksi'!$I$5:$I$92,'Daftar Koreksi'!$D$5:$D$92,'0300'!A378,'Daftar Koreksi'!$G$5:$G$92,"Peralatan dan mesin",'Daftar Koreksi'!$I$5:$I$92,"&lt;0")</f>
        <v>0</v>
      </c>
      <c r="G391" s="17">
        <f t="shared" si="17"/>
        <v>-1454153760</v>
      </c>
      <c r="H391" s="122"/>
    </row>
    <row r="392" spans="1:8" ht="21.95" customHeight="1">
      <c r="A392" s="14"/>
      <c r="B392" s="14"/>
      <c r="C392" s="16" t="s">
        <v>2088</v>
      </c>
      <c r="D392" s="17">
        <f>VLOOKUP(A378,'Neraca Unaudited SIMAK'!$A$2:$S$10004,14,FALSE)</f>
        <v>-928601850</v>
      </c>
      <c r="E392" s="25">
        <f>SUMIFS('Daftar Koreksi'!$I$5:$I$92,'Daftar Koreksi'!$D$5:$D$92,'0300'!A378,'Daftar Koreksi'!$G$5:$G$92,"Gedung dan Bangunan",'Daftar Koreksi'!$I$5:$I$92,"&gt;0")</f>
        <v>0</v>
      </c>
      <c r="F392" s="25">
        <f>SUMIFS('Daftar Koreksi'!$I$5:$I$92,'Daftar Koreksi'!$D$5:$D$92,'0300'!A378,'Daftar Koreksi'!$G$5:$G$92,"Gedung dan Bangunan",'Daftar Koreksi'!$I$5:$I$92,"&lt;0")-SUMIFS('Daftar Koreksi'!$I$5:$I$92,'Daftar Koreksi'!$D$5:$D$92,'0300'!A378,'Daftar Koreksi'!$G$5:$G$92,"Gedung dan Bangunan",'Daftar Koreksi'!$I$5:$I$92,"&lt;0")-SUMIFS('Daftar Koreksi'!$I$5:$I$92,'Daftar Koreksi'!$D$5:$D$92,'0300'!A378,'Daftar Koreksi'!$G$5:$G$92,"Gedung dan Bangunan",'Daftar Koreksi'!$I$5:$I$92,"&lt;0")</f>
        <v>0</v>
      </c>
      <c r="G392" s="17">
        <f t="shared" si="17"/>
        <v>-928601850</v>
      </c>
      <c r="H392" s="122"/>
    </row>
    <row r="393" spans="1:8" ht="21.95" customHeight="1">
      <c r="A393" s="14"/>
      <c r="B393" s="14"/>
      <c r="C393" s="16" t="s">
        <v>2089</v>
      </c>
      <c r="D393" s="17">
        <f>VLOOKUP(A378,'Neraca Unaudited SIMAK'!$A$2:$S$10004,15,FALSE)</f>
        <v>0</v>
      </c>
      <c r="E393" s="25">
        <f>SUMIFS('Daftar Koreksi'!$I$5:$I$92,'Daftar Koreksi'!$D$5:$D$92,'0300'!A378,'Daftar Koreksi'!$G$5:$G$92,"Jalan Irigasi Jaringan",'Daftar Koreksi'!$I$5:$I$92,"&gt;0")</f>
        <v>0</v>
      </c>
      <c r="F393" s="25">
        <f>SUMIFS('Daftar Koreksi'!$I$5:$I$92,'Daftar Koreksi'!$D$5:$D$92,'0300'!A378,'Daftar Koreksi'!$G$5:$G$92,"Jalan Irigasi Jaringan",'Daftar Koreksi'!$I$5:$I$92,"&lt;0")-SUMIFS('Daftar Koreksi'!$I$5:$I$92,'Daftar Koreksi'!$D$5:$D$92,'0300'!A378,'Daftar Koreksi'!$G$5:$G$92,"Jalan Irigasi Jaringan",'Daftar Koreksi'!$I$5:$I$92,"&lt;0")-SUMIFS('Daftar Koreksi'!$I$5:$I$92,'Daftar Koreksi'!$D$5:$D$92,'0300'!A378,'Daftar Koreksi'!$G$5:$G$92,"Jalan Irigasi Jaringan",'Daftar Koreksi'!$I$5:$I$92,"&lt;0")</f>
        <v>0</v>
      </c>
      <c r="G393" s="17">
        <f t="shared" si="17"/>
        <v>0</v>
      </c>
      <c r="H393" s="122"/>
    </row>
    <row r="394" spans="1:8" ht="21.95" customHeight="1">
      <c r="A394" s="14"/>
      <c r="B394" s="14"/>
      <c r="C394" s="16" t="s">
        <v>2090</v>
      </c>
      <c r="D394" s="17">
        <f>VLOOKUP(A378,'Neraca Unaudited SIMAK'!$A$2:$S$10004,16,FALSE)</f>
        <v>0</v>
      </c>
      <c r="E394" s="25">
        <f>SUMIFS('Daftar Koreksi'!$I$5:$I$92,'Daftar Koreksi'!$D$5:$D$92,'0300'!A378,'Daftar Koreksi'!$G$5:$G$92,"Aset Tetap Lainnya",'Daftar Koreksi'!$I$5:$I$92,"&gt;0")</f>
        <v>0</v>
      </c>
      <c r="F394" s="25">
        <f>SUMIFS('Daftar Koreksi'!$I$5:$I$92,'Daftar Koreksi'!$D$5:$D$92,'0300'!A378,'Daftar Koreksi'!$G$5:$G$92,"Aset Tetap Lainnya",'Daftar Koreksi'!$I$5:$I$92,"&lt;0")-SUMIFS('Daftar Koreksi'!$I$5:$I$92,'Daftar Koreksi'!$D$5:$D$92,'0300'!A378,'Daftar Koreksi'!$G$5:$G$92,"Aset Tetap Lainnya",'Daftar Koreksi'!$I$5:$I$92,"&lt;0")-SUMIFS('Daftar Koreksi'!$I$5:$I$92,'Daftar Koreksi'!$D$5:$D$92,'0300'!A378,'Daftar Koreksi'!$G$5:$G$92,"Aset Tetap Lainnya",'Daftar Koreksi'!$I$5:$I$92,"&lt;0")</f>
        <v>0</v>
      </c>
      <c r="G394" s="17">
        <f t="shared" si="17"/>
        <v>0</v>
      </c>
      <c r="H394" s="122"/>
    </row>
    <row r="395" spans="1:8" ht="21.95" customHeight="1">
      <c r="A395" s="14"/>
      <c r="B395" s="14"/>
      <c r="C395" s="16" t="s">
        <v>2020</v>
      </c>
      <c r="D395" s="17">
        <f>VLOOKUP(A378,'Neraca Unaudited SIMAK'!$A$2:$S$10004,17,FALSE)</f>
        <v>-456787327</v>
      </c>
      <c r="E395" s="25">
        <f>SUMIFS('Daftar Koreksi'!$I$5:$I$92,'Daftar Koreksi'!$D$5:$D$92,'0300'!A378,'Daftar Koreksi'!$G$5:$G$92,"Aset Henti Guna",'Daftar Koreksi'!$I$5:$I$92,"&gt;0")</f>
        <v>0</v>
      </c>
      <c r="F395" s="25">
        <f>SUMIFS('Daftar Koreksi'!$I$5:$I$92,'Daftar Koreksi'!$D$5:$D$92,'0300'!A378,'Daftar Koreksi'!$G$5:$G$92,"Aset Henti Guna",'Daftar Koreksi'!$I$5:$I$92,"&lt;0")-SUMIFS('Daftar Koreksi'!$I$5:$I$92,'Daftar Koreksi'!$D$5:$D$92,'0300'!A378,'Daftar Koreksi'!$G$5:$G$92,"Aset Henti Guna",'Daftar Koreksi'!$I$5:$I$92,"&lt;0")-SUMIFS('Daftar Koreksi'!$I$5:$I$92,'Daftar Koreksi'!$D$5:$D$92,'0300'!A378,'Daftar Koreksi'!$G$5:$G$92,"Aset Henti Guna",'Daftar Koreksi'!$I$5:$I$92,"&lt;0")</f>
        <v>0</v>
      </c>
      <c r="G395" s="17">
        <f t="shared" si="17"/>
        <v>-456787327</v>
      </c>
      <c r="H395" s="122"/>
    </row>
    <row r="396" spans="1:8" ht="21.95" customHeight="1">
      <c r="A396" s="14"/>
      <c r="B396" s="14"/>
      <c r="C396" s="18" t="s">
        <v>2094</v>
      </c>
      <c r="D396" s="19">
        <f>SUM(D391:D395)</f>
        <v>-2839542937</v>
      </c>
      <c r="E396" s="19">
        <f>SUM(E391:E395)</f>
        <v>0</v>
      </c>
      <c r="F396" s="19">
        <f>SUM(F391:F395)</f>
        <v>0</v>
      </c>
      <c r="G396" s="19">
        <f t="shared" si="17"/>
        <v>-2839542937</v>
      </c>
      <c r="H396" s="122"/>
    </row>
    <row r="397" spans="1:8" ht="21.95" customHeight="1">
      <c r="A397" s="14"/>
      <c r="B397" s="14"/>
      <c r="C397" s="18" t="s">
        <v>2095</v>
      </c>
      <c r="D397" s="19">
        <f>VLOOKUP(A378,'Neraca Unaudited SIMAK'!$A$2:$S$10004,18,FALSE)</f>
        <v>9360861057</v>
      </c>
      <c r="E397" s="19">
        <f>E396+E390</f>
        <v>0</v>
      </c>
      <c r="F397" s="19">
        <f>F396+F390</f>
        <v>0</v>
      </c>
      <c r="G397" s="19">
        <f t="shared" si="17"/>
        <v>9360861057</v>
      </c>
      <c r="H397" s="122"/>
    </row>
    <row r="398" spans="1:8" ht="21.95" customHeight="1">
      <c r="A398" s="14"/>
      <c r="B398" s="14"/>
      <c r="C398" s="16" t="s">
        <v>2091</v>
      </c>
      <c r="D398" s="17">
        <f>VLOOKUP(A378,'Neraca Unaudited SIMAK'!$A$2:$S$10004,19,FALSE)</f>
        <v>0</v>
      </c>
      <c r="E398" s="25"/>
      <c r="F398" s="25"/>
      <c r="G398" s="17">
        <f t="shared" si="17"/>
        <v>0</v>
      </c>
      <c r="H398" s="123"/>
    </row>
    <row r="400" spans="1:8" ht="19.5" customHeight="1">
      <c r="A400" s="11" t="str">
        <f>O19</f>
        <v>005010300097890000KD</v>
      </c>
      <c r="B400" s="11" t="str">
        <f>P19</f>
        <v>PN. Magelang</v>
      </c>
      <c r="C400" s="12" t="str">
        <f>A400&amp;" "&amp;B400</f>
        <v>005010300097890000KD PN. Magelang</v>
      </c>
      <c r="D400" s="13"/>
      <c r="E400" s="13"/>
      <c r="F400" s="13"/>
      <c r="G400" s="13"/>
      <c r="H400" s="11"/>
    </row>
    <row r="401" spans="1:8" ht="21.95" customHeight="1">
      <c r="A401" s="14"/>
      <c r="B401" s="14"/>
      <c r="C401" s="124" t="s">
        <v>1982</v>
      </c>
      <c r="D401" s="126" t="s">
        <v>1983</v>
      </c>
      <c r="E401" s="132" t="s">
        <v>1984</v>
      </c>
      <c r="F401" s="132"/>
      <c r="G401" s="126" t="s">
        <v>1987</v>
      </c>
      <c r="H401" s="130" t="s">
        <v>1175</v>
      </c>
    </row>
    <row r="402" spans="1:8" ht="21.95" customHeight="1">
      <c r="A402" s="14"/>
      <c r="B402" s="14"/>
      <c r="C402" s="125"/>
      <c r="D402" s="127"/>
      <c r="E402" s="26" t="s">
        <v>1985</v>
      </c>
      <c r="F402" s="26" t="s">
        <v>1986</v>
      </c>
      <c r="G402" s="127"/>
      <c r="H402" s="131"/>
    </row>
    <row r="403" spans="1:8" ht="21.95" customHeight="1">
      <c r="A403" s="14"/>
      <c r="B403" s="14"/>
      <c r="C403" s="16" t="s">
        <v>1165</v>
      </c>
      <c r="D403" s="17">
        <f>VLOOKUP(A400,'Neraca Unaudited SIMAK'!$A$2:$S$10004,3,FALSE)</f>
        <v>554000</v>
      </c>
      <c r="E403" s="25">
        <f>SUMIFS('Daftar Koreksi'!$H$5:$H$92,'Daftar Koreksi'!$D$5:$D$92,'0300'!A400,'Daftar Koreksi'!$G$5:$G$92,"Persediaan",'Daftar Koreksi'!$H$5:$H$92,"&gt;0")</f>
        <v>0</v>
      </c>
      <c r="F403" s="25">
        <f>SUMIFS('Daftar Koreksi'!$H$5:$H$92,'Daftar Koreksi'!$D$5:$D$92,'0300'!A400,'Daftar Koreksi'!$G$5:$G$92,"Persediaan",'Daftar Koreksi'!$H$5:$H$92,"&lt;0")-SUMIFS('Daftar Koreksi'!$H$5:$H$92,'Daftar Koreksi'!$D$5:$D$92,'0300'!A400,'Daftar Koreksi'!$G$5:$G$92,"Persediaan",'Daftar Koreksi'!$H$5:$H$92,"&lt;0")-SUMIFS('Daftar Koreksi'!$H$5:$H$92,'Daftar Koreksi'!$D$5:$D$92,'0300'!A400,'Daftar Koreksi'!$G$5:$G$92,"Persediaan",'Daftar Koreksi'!$H$5:$H$92,"&lt;0")</f>
        <v>0</v>
      </c>
      <c r="G403" s="17">
        <f>D403+E403-F403</f>
        <v>554000</v>
      </c>
      <c r="H403" s="121" t="str">
        <f>IF(ISNA(VLOOKUP(A400,'Mutasi Neraca'!$A$3:$S$914,19,FALSE)),"-",VLOOKUP(A400,'Mutasi Neraca'!$A$3:$S$914,19,FALSE))</f>
        <v>-</v>
      </c>
    </row>
    <row r="404" spans="1:8" ht="21.95" customHeight="1">
      <c r="A404" s="14"/>
      <c r="B404" s="14"/>
      <c r="C404" s="16" t="s">
        <v>1166</v>
      </c>
      <c r="D404" s="17">
        <f>VLOOKUP(A400,'Neraca Unaudited SIMAK'!$A$2:$S$10004,4,FALSE)</f>
        <v>18266000000</v>
      </c>
      <c r="E404" s="25">
        <f>SUMIFS('Daftar Koreksi'!$H$5:$H$92,'Daftar Koreksi'!$D$5:$D$92,'0300'!A400,'Daftar Koreksi'!$G$5:$G$92,"Tanah",'Daftar Koreksi'!$H$5:$H$92,"&gt;0")</f>
        <v>0</v>
      </c>
      <c r="F404" s="25">
        <f>SUMIFS('Daftar Koreksi'!$H$5:$H$92,'Daftar Koreksi'!$D$5:$D$92,'0300'!A400,'Daftar Koreksi'!$G$5:$G$92,"Tanah",'Daftar Koreksi'!$H$5:$H$92,"&lt;0")-SUMIFS('Daftar Koreksi'!$H$5:$H$92,'Daftar Koreksi'!$D$5:$D$92,'0300'!A400,'Daftar Koreksi'!$G$5:$G$92,"Tanah",'Daftar Koreksi'!$H$5:$H$92,"&lt;0")-SUMIFS('Daftar Koreksi'!$H$5:$H$92,'Daftar Koreksi'!$D$5:$D$92,'0300'!A400,'Daftar Koreksi'!$G$5:$G$92,"Tanah",'Daftar Koreksi'!$H$5:$H$92,"&lt;0")</f>
        <v>0</v>
      </c>
      <c r="G404" s="17">
        <f t="shared" ref="G404:G420" si="18">D404+E404-F404</f>
        <v>18266000000</v>
      </c>
      <c r="H404" s="122"/>
    </row>
    <row r="405" spans="1:8" ht="21.95" customHeight="1">
      <c r="A405" s="14"/>
      <c r="B405" s="14"/>
      <c r="C405" s="16" t="s">
        <v>1167</v>
      </c>
      <c r="D405" s="17">
        <f>VLOOKUP(A400,'Neraca Unaudited SIMAK'!$A$2:$S$10004,5,FALSE)</f>
        <v>1701156658</v>
      </c>
      <c r="E405" s="25">
        <f>SUMIFS('Daftar Koreksi'!$H$5:$H$92,'Daftar Koreksi'!$D$5:$D$92,'0300'!A400,'Daftar Koreksi'!$G$5:$G$92,"Peralatan dan mesin",'Daftar Koreksi'!$H$5:$H$92,"&gt;0")</f>
        <v>0</v>
      </c>
      <c r="F405" s="25">
        <f>SUMIFS('Daftar Koreksi'!$H$5:$H$92,'Daftar Koreksi'!$D$5:$D$92,'0300'!A400,'Daftar Koreksi'!$G$5:$G$92,"Peralatan dan mesin",'Daftar Koreksi'!$H$5:$H$92,"&lt;0")-SUMIFS('Daftar Koreksi'!$H$5:$H$92,'Daftar Koreksi'!$D$5:$D$92,'0300'!A400,'Daftar Koreksi'!$G$5:$G$92,"Peralatan dan mesin",'Daftar Koreksi'!$H$5:$H$92,"&lt;0")-SUMIFS('Daftar Koreksi'!$H$5:$H$92,'Daftar Koreksi'!$D$5:$D$92,'0300'!A400,'Daftar Koreksi'!$G$5:$G$92,"Peralatan dan mesin",'Daftar Koreksi'!$H$5:$H$92,"&lt;0")</f>
        <v>0</v>
      </c>
      <c r="G405" s="17">
        <f t="shared" si="18"/>
        <v>1701156658</v>
      </c>
      <c r="H405" s="122"/>
    </row>
    <row r="406" spans="1:8" ht="21.95" customHeight="1">
      <c r="A406" s="14"/>
      <c r="B406" s="14"/>
      <c r="C406" s="16" t="s">
        <v>1168</v>
      </c>
      <c r="D406" s="17">
        <f>VLOOKUP(A400,'Neraca Unaudited SIMAK'!$A$2:$S$10004,6,FALSE)</f>
        <v>5521781700</v>
      </c>
      <c r="E406" s="25">
        <f>SUMIFS('Daftar Koreksi'!$H$5:$H$92,'Daftar Koreksi'!$D$5:$D$92,'0300'!A400,'Daftar Koreksi'!$G$5:$G$92,"Gedung dan Bangunan",'Daftar Koreksi'!$H$5:$H$92,"&gt;0")</f>
        <v>0</v>
      </c>
      <c r="F406" s="25">
        <f>SUMIFS('Daftar Koreksi'!$H$5:$H$92,'Daftar Koreksi'!$D$5:$D$92,'0300'!A400,'Daftar Koreksi'!$G$5:$G$92,"Gedung dan Bangunan",'Daftar Koreksi'!$H$5:$H$92,"&lt;0")-SUMIFS('Daftar Koreksi'!$H$5:$H$92,'Daftar Koreksi'!$D$5:$D$92,'0300'!A400,'Daftar Koreksi'!$G$5:$G$92,"Gedung dan Bangunan",'Daftar Koreksi'!$H$5:$H$92,"&lt;0")-SUMIFS('Daftar Koreksi'!$H$5:$H$92,'Daftar Koreksi'!$D$5:$D$92,'0300'!A400,'Daftar Koreksi'!$G$5:$G$92,"Gedung dan Bangunan",'Daftar Koreksi'!$H$5:$H$92,"&lt;0")</f>
        <v>0</v>
      </c>
      <c r="G406" s="17">
        <f t="shared" si="18"/>
        <v>5521781700</v>
      </c>
      <c r="H406" s="122"/>
    </row>
    <row r="407" spans="1:8" ht="21.95" customHeight="1">
      <c r="A407" s="14"/>
      <c r="B407" s="14"/>
      <c r="C407" s="16" t="s">
        <v>1169</v>
      </c>
      <c r="D407" s="17">
        <f>VLOOKUP(A400,'Neraca Unaudited SIMAK'!$A$2:$S$10004,7,FALSE)</f>
        <v>0</v>
      </c>
      <c r="E407" s="25">
        <f>SUMIFS('Daftar Koreksi'!$H$5:$H$92,'Daftar Koreksi'!$D$5:$D$92,'0300'!A400,'Daftar Koreksi'!$G$5:$G$92,"Jalan Irigasi Jaringan",'Daftar Koreksi'!$H$5:$H$92,"&gt;0")</f>
        <v>0</v>
      </c>
      <c r="F407" s="25">
        <f>SUMIFS('Daftar Koreksi'!$H$5:$H$92,'Daftar Koreksi'!$D$5:$D$92,'0300'!A400,'Daftar Koreksi'!$G$5:$G$92,"Jalan Irigasi Jaringan",'Daftar Koreksi'!$H$5:$H$92,"&lt;0")-SUMIFS('Daftar Koreksi'!$H$5:$H$92,'Daftar Koreksi'!$D$5:$D$92,'0300'!A400,'Daftar Koreksi'!$G$5:$G$92,"Jalan Irigasi Jaringan",'Daftar Koreksi'!$H$5:$H$92,"&lt;0")-SUMIFS('Daftar Koreksi'!$H$5:$H$92,'Daftar Koreksi'!$D$5:$D$92,'0300'!A400,'Daftar Koreksi'!$G$5:$G$92,"Jalan Irigasi Jaringan",'Daftar Koreksi'!$H$5:$H$92,"&lt;0")</f>
        <v>0</v>
      </c>
      <c r="G407" s="17">
        <f t="shared" si="18"/>
        <v>0</v>
      </c>
      <c r="H407" s="122"/>
    </row>
    <row r="408" spans="1:8" ht="21.95" customHeight="1">
      <c r="A408" s="14"/>
      <c r="B408" s="14"/>
      <c r="C408" s="16" t="s">
        <v>1170</v>
      </c>
      <c r="D408" s="17">
        <f>VLOOKUP(A400,'Neraca Unaudited SIMAK'!$A$2:$S$10004,8,FALSE)</f>
        <v>9183742</v>
      </c>
      <c r="E408" s="25">
        <f>SUMIFS('Daftar Koreksi'!$H$5:$H$92,'Daftar Koreksi'!$D$5:$D$92,'0300'!A400,'Daftar Koreksi'!$G$5:$G$92,"Aset Tetap Lainnya",'Daftar Koreksi'!$H$5:$H$92,"&gt;0")</f>
        <v>0</v>
      </c>
      <c r="F408" s="25">
        <f>SUMIFS('Daftar Koreksi'!$H$5:$H$92,'Daftar Koreksi'!$D$5:$D$92,'0300'!A400,'Daftar Koreksi'!$G$5:$G$92,"Aset Tetap Lainnya",'Daftar Koreksi'!$H$5:$H$92,"&lt;0")-SUMIFS('Daftar Koreksi'!$H$5:$H$92,'Daftar Koreksi'!$D$5:$D$92,'0300'!A400,'Daftar Koreksi'!$G$5:$G$92,"Aset Tetap Lainnya",'Daftar Koreksi'!$H$5:$H$92,"&lt;0")-SUMIFS('Daftar Koreksi'!$H$5:$H$92,'Daftar Koreksi'!$D$5:$D$92,'0300'!A400,'Daftar Koreksi'!$G$5:$G$92,"Aset Tetap Lainnya",'Daftar Koreksi'!$H$5:$H$92,"&lt;0")</f>
        <v>0</v>
      </c>
      <c r="G408" s="17">
        <f t="shared" si="18"/>
        <v>9183742</v>
      </c>
      <c r="H408" s="122"/>
    </row>
    <row r="409" spans="1:8" ht="21.95" customHeight="1">
      <c r="A409" s="14"/>
      <c r="B409" s="14"/>
      <c r="C409" s="16" t="s">
        <v>1171</v>
      </c>
      <c r="D409" s="17">
        <f>VLOOKUP(A400,'Neraca Unaudited SIMAK'!$A$2:$S$10004,9,FALSE)</f>
        <v>0</v>
      </c>
      <c r="E409" s="25">
        <f>SUMIFS('Daftar Koreksi'!$H$5:$H$92,'Daftar Koreksi'!$D$5:$D$92,'0300'!A400,'Daftar Koreksi'!$G$5:$G$92,"Kontruksi Dalam Pengerjaan",'Daftar Koreksi'!$H$5:$H$92,"&gt;0")</f>
        <v>0</v>
      </c>
      <c r="F409" s="25">
        <f>SUMIFS('Daftar Koreksi'!$H$5:$H$92,'Daftar Koreksi'!$D$5:$D$92,'0300'!A400,'Daftar Koreksi'!$G$5:$G$92,"Kontruksi Dalam Pengerjaan",'Daftar Koreksi'!$H$5:$H$92,"&lt;0")-SUMIFS('Daftar Koreksi'!$H$5:$H$92,'Daftar Koreksi'!$D$5:$D$92,'0300'!A400,'Daftar Koreksi'!$G$5:$G$92,"Kontruksi Dalam Pengerjaan",'Daftar Koreksi'!$H$5:$H$92,"&lt;0")-SUMIFS('Daftar Koreksi'!$H$5:$H$92,'Daftar Koreksi'!$D$5:$D$92,'0300'!A400,'Daftar Koreksi'!$G$5:$G$92,"Kontruksi Dalam Pengerjaan",'Daftar Koreksi'!$H$5:$H$92,"&lt;0")</f>
        <v>0</v>
      </c>
      <c r="G409" s="17">
        <f t="shared" si="18"/>
        <v>0</v>
      </c>
      <c r="H409" s="122"/>
    </row>
    <row r="410" spans="1:8" ht="21.95" customHeight="1">
      <c r="A410" s="14"/>
      <c r="B410" s="14"/>
      <c r="C410" s="16" t="s">
        <v>1172</v>
      </c>
      <c r="D410" s="17">
        <f>VLOOKUP(A400,'Neraca Unaudited SIMAK'!$A$2:$S$10004,10,FALSE)</f>
        <v>0</v>
      </c>
      <c r="E410" s="25">
        <f>SUMIFS('Daftar Koreksi'!$H$5:$H$92,'Daftar Koreksi'!$D$5:$D$92,'0300'!A400,'Daftar Koreksi'!$G$5:$G$92,"Aset Tak Berwujud",'Daftar Koreksi'!$H$5:$H$92,"&gt;0")</f>
        <v>0</v>
      </c>
      <c r="F410" s="25">
        <f>SUMIFS('Daftar Koreksi'!$H$5:$H$92,'Daftar Koreksi'!$D$5:$D$92,'0300'!A400,'Daftar Koreksi'!$G$5:$G$92,"Aset Tak Berwujud",'Daftar Koreksi'!$H$5:$H$92,"&lt;0")-SUMIFS('Daftar Koreksi'!$H$5:$H$92,'Daftar Koreksi'!$D$5:$D$92,'0300'!A400,'Daftar Koreksi'!$G$5:$G$92,"Aset Tak Berwujud",'Daftar Koreksi'!$H$5:$H$92,"&lt;0")-SUMIFS('Daftar Koreksi'!$H$5:$H$92,'Daftar Koreksi'!$D$5:$D$92,'0300'!A400,'Daftar Koreksi'!$G$5:$G$92,"Aset Tak Berwujud",'Daftar Koreksi'!$H$5:$H$92,"&lt;0")</f>
        <v>0</v>
      </c>
      <c r="G410" s="17">
        <f t="shared" si="18"/>
        <v>0</v>
      </c>
      <c r="H410" s="122"/>
    </row>
    <row r="411" spans="1:8" ht="21.95" customHeight="1">
      <c r="A411" s="14"/>
      <c r="B411" s="14"/>
      <c r="C411" s="16" t="s">
        <v>1173</v>
      </c>
      <c r="D411" s="17">
        <f>VLOOKUP(A400,'Neraca Unaudited SIMAK'!$A$2:$S$10004,11,FALSE)</f>
        <v>28954000</v>
      </c>
      <c r="E411" s="25">
        <f>SUMIFS('Daftar Koreksi'!$H$5:$H$92,'Daftar Koreksi'!$D$5:$D$92,'0300'!A400,'Daftar Koreksi'!$G$5:$G$92,"Aset Henti Guna",'Daftar Koreksi'!$H$5:$H$92,"&gt;0")</f>
        <v>0</v>
      </c>
      <c r="F411" s="25">
        <f>SUMIFS('Daftar Koreksi'!$H$5:$H$92,'Daftar Koreksi'!$D$5:$D$92,'0300'!A400,'Daftar Koreksi'!$G$5:$G$92,"Aset Henti Guna",'Daftar Koreksi'!$H$5:$H$92,"&lt;0")-SUMIFS('Daftar Koreksi'!$H$5:$H$92,'Daftar Koreksi'!$D$5:$D$92,'0300'!A400,'Daftar Koreksi'!$G$5:$G$92,"Aset Henti Guna",'Daftar Koreksi'!$H$5:$H$92,"&lt;0")-SUMIFS('Daftar Koreksi'!$H$5:$H$92,'Daftar Koreksi'!$D$5:$D$92,'0300'!A400,'Daftar Koreksi'!$G$5:$G$92,"Aset Henti Guna",'Daftar Koreksi'!$H$5:$H$92,"&lt;0")</f>
        <v>0</v>
      </c>
      <c r="G411" s="17">
        <f t="shared" si="18"/>
        <v>28954000</v>
      </c>
      <c r="H411" s="122"/>
    </row>
    <row r="412" spans="1:8" ht="21.95" customHeight="1">
      <c r="A412" s="14"/>
      <c r="B412" s="14"/>
      <c r="C412" s="18" t="s">
        <v>2093</v>
      </c>
      <c r="D412" s="19">
        <f>VLOOKUP(A400,'Neraca Unaudited SIMAK'!$A$2:$S$10004,12,FALSE)</f>
        <v>25527630100</v>
      </c>
      <c r="E412" s="19">
        <f>SUM(E403:E411)</f>
        <v>0</v>
      </c>
      <c r="F412" s="19">
        <f>SUM(F403:F411)</f>
        <v>0</v>
      </c>
      <c r="G412" s="19">
        <f t="shared" si="18"/>
        <v>25527630100</v>
      </c>
      <c r="H412" s="122"/>
    </row>
    <row r="413" spans="1:8" ht="21.95" customHeight="1">
      <c r="A413" s="14"/>
      <c r="B413" s="14"/>
      <c r="C413" s="16" t="s">
        <v>2087</v>
      </c>
      <c r="D413" s="17">
        <f>VLOOKUP(A400,'Neraca Unaudited SIMAK'!$A$2:$S$10004,13,FALSE)</f>
        <v>-1429131700</v>
      </c>
      <c r="E413" s="25">
        <f>SUMIFS('Daftar Koreksi'!$I$5:$I$92,'Daftar Koreksi'!$D$5:$D$92,'0300'!A400,'Daftar Koreksi'!$G$5:$G$92,"Peralatan dan mesin",'Daftar Koreksi'!$I$5:$I$92,"&gt;0")</f>
        <v>0</v>
      </c>
      <c r="F413" s="25">
        <f>SUMIFS('Daftar Koreksi'!$I$5:$I$92,'Daftar Koreksi'!$D$5:$D$92,'0300'!A400,'Daftar Koreksi'!$G$5:$G$92,"Peralatan dan mesin",'Daftar Koreksi'!$I$5:$I$92,"&lt;0")-SUMIFS('Daftar Koreksi'!$I$5:$I$92,'Daftar Koreksi'!$D$5:$D$92,'0300'!A400,'Daftar Koreksi'!$G$5:$G$92,"Peralatan dan mesin",'Daftar Koreksi'!$I$5:$I$92,"&lt;0")-SUMIFS('Daftar Koreksi'!$I$5:$I$92,'Daftar Koreksi'!$D$5:$D$92,'0300'!A400,'Daftar Koreksi'!$G$5:$G$92,"Peralatan dan mesin",'Daftar Koreksi'!$I$5:$I$92,"&lt;0")</f>
        <v>0</v>
      </c>
      <c r="G413" s="17">
        <f t="shared" si="18"/>
        <v>-1429131700</v>
      </c>
      <c r="H413" s="122"/>
    </row>
    <row r="414" spans="1:8" ht="21.95" customHeight="1">
      <c r="A414" s="14"/>
      <c r="B414" s="14"/>
      <c r="C414" s="16" t="s">
        <v>2088</v>
      </c>
      <c r="D414" s="17">
        <f>VLOOKUP(A400,'Neraca Unaudited SIMAK'!$A$2:$S$10004,14,FALSE)</f>
        <v>-4211791969</v>
      </c>
      <c r="E414" s="25">
        <f>SUMIFS('Daftar Koreksi'!$I$5:$I$92,'Daftar Koreksi'!$D$5:$D$92,'0300'!A400,'Daftar Koreksi'!$G$5:$G$92,"Gedung dan Bangunan",'Daftar Koreksi'!$I$5:$I$92,"&gt;0")</f>
        <v>0</v>
      </c>
      <c r="F414" s="25">
        <f>SUMIFS('Daftar Koreksi'!$I$5:$I$92,'Daftar Koreksi'!$D$5:$D$92,'0300'!A400,'Daftar Koreksi'!$G$5:$G$92,"Gedung dan Bangunan",'Daftar Koreksi'!$I$5:$I$92,"&lt;0")-SUMIFS('Daftar Koreksi'!$I$5:$I$92,'Daftar Koreksi'!$D$5:$D$92,'0300'!A400,'Daftar Koreksi'!$G$5:$G$92,"Gedung dan Bangunan",'Daftar Koreksi'!$I$5:$I$92,"&lt;0")-SUMIFS('Daftar Koreksi'!$I$5:$I$92,'Daftar Koreksi'!$D$5:$D$92,'0300'!A400,'Daftar Koreksi'!$G$5:$G$92,"Gedung dan Bangunan",'Daftar Koreksi'!$I$5:$I$92,"&lt;0")</f>
        <v>0</v>
      </c>
      <c r="G414" s="17">
        <f t="shared" si="18"/>
        <v>-4211791969</v>
      </c>
      <c r="H414" s="122"/>
    </row>
    <row r="415" spans="1:8" ht="21.95" customHeight="1">
      <c r="A415" s="14"/>
      <c r="B415" s="14"/>
      <c r="C415" s="16" t="s">
        <v>2089</v>
      </c>
      <c r="D415" s="17">
        <f>VLOOKUP(A400,'Neraca Unaudited SIMAK'!$A$2:$S$10004,15,FALSE)</f>
        <v>0</v>
      </c>
      <c r="E415" s="25">
        <f>SUMIFS('Daftar Koreksi'!$I$5:$I$92,'Daftar Koreksi'!$D$5:$D$92,'0300'!A400,'Daftar Koreksi'!$G$5:$G$92,"Jalan Irigasi Jaringan",'Daftar Koreksi'!$I$5:$I$92,"&gt;0")</f>
        <v>0</v>
      </c>
      <c r="F415" s="25">
        <f>SUMIFS('Daftar Koreksi'!$I$5:$I$92,'Daftar Koreksi'!$D$5:$D$92,'0300'!A400,'Daftar Koreksi'!$G$5:$G$92,"Jalan Irigasi Jaringan",'Daftar Koreksi'!$I$5:$I$92,"&lt;0")-SUMIFS('Daftar Koreksi'!$I$5:$I$92,'Daftar Koreksi'!$D$5:$D$92,'0300'!A400,'Daftar Koreksi'!$G$5:$G$92,"Jalan Irigasi Jaringan",'Daftar Koreksi'!$I$5:$I$92,"&lt;0")-SUMIFS('Daftar Koreksi'!$I$5:$I$92,'Daftar Koreksi'!$D$5:$D$92,'0300'!A400,'Daftar Koreksi'!$G$5:$G$92,"Jalan Irigasi Jaringan",'Daftar Koreksi'!$I$5:$I$92,"&lt;0")</f>
        <v>0</v>
      </c>
      <c r="G415" s="17">
        <f t="shared" si="18"/>
        <v>0</v>
      </c>
      <c r="H415" s="122"/>
    </row>
    <row r="416" spans="1:8" ht="21.95" customHeight="1">
      <c r="A416" s="14"/>
      <c r="B416" s="14"/>
      <c r="C416" s="16" t="s">
        <v>2090</v>
      </c>
      <c r="D416" s="17">
        <f>VLOOKUP(A400,'Neraca Unaudited SIMAK'!$A$2:$S$10004,16,FALSE)</f>
        <v>0</v>
      </c>
      <c r="E416" s="25">
        <f>SUMIFS('Daftar Koreksi'!$I$5:$I$92,'Daftar Koreksi'!$D$5:$D$92,'0300'!A400,'Daftar Koreksi'!$G$5:$G$92,"Aset Tetap Lainnya",'Daftar Koreksi'!$I$5:$I$92,"&gt;0")</f>
        <v>0</v>
      </c>
      <c r="F416" s="25">
        <f>SUMIFS('Daftar Koreksi'!$I$5:$I$92,'Daftar Koreksi'!$D$5:$D$92,'0300'!A400,'Daftar Koreksi'!$G$5:$G$92,"Aset Tetap Lainnya",'Daftar Koreksi'!$I$5:$I$92,"&lt;0")-SUMIFS('Daftar Koreksi'!$I$5:$I$92,'Daftar Koreksi'!$D$5:$D$92,'0300'!A400,'Daftar Koreksi'!$G$5:$G$92,"Aset Tetap Lainnya",'Daftar Koreksi'!$I$5:$I$92,"&lt;0")-SUMIFS('Daftar Koreksi'!$I$5:$I$92,'Daftar Koreksi'!$D$5:$D$92,'0300'!A400,'Daftar Koreksi'!$G$5:$G$92,"Aset Tetap Lainnya",'Daftar Koreksi'!$I$5:$I$92,"&lt;0")</f>
        <v>0</v>
      </c>
      <c r="G416" s="17">
        <f t="shared" si="18"/>
        <v>0</v>
      </c>
      <c r="H416" s="122"/>
    </row>
    <row r="417" spans="1:8" ht="21.95" customHeight="1">
      <c r="A417" s="14"/>
      <c r="B417" s="14"/>
      <c r="C417" s="16" t="s">
        <v>2020</v>
      </c>
      <c r="D417" s="17">
        <f>VLOOKUP(A400,'Neraca Unaudited SIMAK'!$A$2:$S$10004,17,FALSE)</f>
        <v>-28954000</v>
      </c>
      <c r="E417" s="25">
        <f>SUMIFS('Daftar Koreksi'!$I$5:$I$92,'Daftar Koreksi'!$D$5:$D$92,'0300'!A400,'Daftar Koreksi'!$G$5:$G$92,"Aset Henti Guna",'Daftar Koreksi'!$I$5:$I$92,"&gt;0")</f>
        <v>0</v>
      </c>
      <c r="F417" s="25">
        <f>SUMIFS('Daftar Koreksi'!$I$5:$I$92,'Daftar Koreksi'!$D$5:$D$92,'0300'!A400,'Daftar Koreksi'!$G$5:$G$92,"Aset Henti Guna",'Daftar Koreksi'!$I$5:$I$92,"&lt;0")-SUMIFS('Daftar Koreksi'!$I$5:$I$92,'Daftar Koreksi'!$D$5:$D$92,'0300'!A400,'Daftar Koreksi'!$G$5:$G$92,"Aset Henti Guna",'Daftar Koreksi'!$I$5:$I$92,"&lt;0")-SUMIFS('Daftar Koreksi'!$I$5:$I$92,'Daftar Koreksi'!$D$5:$D$92,'0300'!A400,'Daftar Koreksi'!$G$5:$G$92,"Aset Henti Guna",'Daftar Koreksi'!$I$5:$I$92,"&lt;0")</f>
        <v>0</v>
      </c>
      <c r="G417" s="17">
        <f t="shared" si="18"/>
        <v>-28954000</v>
      </c>
      <c r="H417" s="122"/>
    </row>
    <row r="418" spans="1:8" ht="21.95" customHeight="1">
      <c r="A418" s="14"/>
      <c r="B418" s="14"/>
      <c r="C418" s="18" t="s">
        <v>2094</v>
      </c>
      <c r="D418" s="19">
        <f>SUM(D413:D417)</f>
        <v>-5669877669</v>
      </c>
      <c r="E418" s="19">
        <f>SUM(E413:E417)</f>
        <v>0</v>
      </c>
      <c r="F418" s="19">
        <f>SUM(F413:F417)</f>
        <v>0</v>
      </c>
      <c r="G418" s="19">
        <f t="shared" si="18"/>
        <v>-5669877669</v>
      </c>
      <c r="H418" s="122"/>
    </row>
    <row r="419" spans="1:8" ht="21.95" customHeight="1">
      <c r="A419" s="14"/>
      <c r="B419" s="14"/>
      <c r="C419" s="18" t="s">
        <v>2095</v>
      </c>
      <c r="D419" s="19">
        <f>VLOOKUP(A400,'Neraca Unaudited SIMAK'!$A$2:$S$10004,18,FALSE)</f>
        <v>19857752431</v>
      </c>
      <c r="E419" s="19">
        <f>E418+E412</f>
        <v>0</v>
      </c>
      <c r="F419" s="19">
        <f>F418+F412</f>
        <v>0</v>
      </c>
      <c r="G419" s="19">
        <f t="shared" si="18"/>
        <v>19857752431</v>
      </c>
      <c r="H419" s="122"/>
    </row>
    <row r="420" spans="1:8" ht="21.95" customHeight="1">
      <c r="A420" s="14"/>
      <c r="B420" s="14"/>
      <c r="C420" s="16" t="s">
        <v>2091</v>
      </c>
      <c r="D420" s="17">
        <f>VLOOKUP(A400,'Neraca Unaudited SIMAK'!$A$2:$S$10004,19,FALSE)</f>
        <v>0</v>
      </c>
      <c r="E420" s="25"/>
      <c r="F420" s="25"/>
      <c r="G420" s="17">
        <f t="shared" si="18"/>
        <v>0</v>
      </c>
      <c r="H420" s="123"/>
    </row>
    <row r="422" spans="1:8" ht="19.5" customHeight="1">
      <c r="A422" s="11" t="str">
        <f>O20</f>
        <v>005010300097908000KD</v>
      </c>
      <c r="B422" s="11" t="str">
        <f>P20</f>
        <v>PN. Kebumen</v>
      </c>
      <c r="C422" s="12" t="str">
        <f>A422&amp;" "&amp;B422</f>
        <v>005010300097908000KD PN. Kebumen</v>
      </c>
      <c r="D422" s="13"/>
      <c r="E422" s="13"/>
      <c r="F422" s="13"/>
      <c r="G422" s="13"/>
      <c r="H422" s="11"/>
    </row>
    <row r="423" spans="1:8" ht="21.95" customHeight="1">
      <c r="A423" s="14"/>
      <c r="B423" s="14"/>
      <c r="C423" s="124" t="s">
        <v>1982</v>
      </c>
      <c r="D423" s="126" t="s">
        <v>1983</v>
      </c>
      <c r="E423" s="132" t="s">
        <v>1984</v>
      </c>
      <c r="F423" s="132"/>
      <c r="G423" s="126" t="s">
        <v>1987</v>
      </c>
      <c r="H423" s="130" t="s">
        <v>1175</v>
      </c>
    </row>
    <row r="424" spans="1:8" ht="21.95" customHeight="1">
      <c r="A424" s="14"/>
      <c r="B424" s="14"/>
      <c r="C424" s="125"/>
      <c r="D424" s="127"/>
      <c r="E424" s="26" t="s">
        <v>1985</v>
      </c>
      <c r="F424" s="26" t="s">
        <v>1986</v>
      </c>
      <c r="G424" s="127"/>
      <c r="H424" s="131"/>
    </row>
    <row r="425" spans="1:8" ht="21.95" customHeight="1">
      <c r="A425" s="14"/>
      <c r="B425" s="14"/>
      <c r="C425" s="16" t="s">
        <v>1165</v>
      </c>
      <c r="D425" s="17">
        <f>VLOOKUP(A422,'Neraca Unaudited SIMAK'!$A$2:$S$10004,3,FALSE)</f>
        <v>1016750</v>
      </c>
      <c r="E425" s="25">
        <f>SUMIFS('Daftar Koreksi'!$H$5:$H$92,'Daftar Koreksi'!$D$5:$D$92,'0300'!A422,'Daftar Koreksi'!$G$5:$G$92,"Persediaan",'Daftar Koreksi'!$H$5:$H$92,"&gt;0")</f>
        <v>0</v>
      </c>
      <c r="F425" s="25">
        <f>SUMIFS('Daftar Koreksi'!$H$5:$H$92,'Daftar Koreksi'!$D$5:$D$92,'0300'!A422,'Daftar Koreksi'!$G$5:$G$92,"Persediaan",'Daftar Koreksi'!$H$5:$H$92,"&lt;0")-SUMIFS('Daftar Koreksi'!$H$5:$H$92,'Daftar Koreksi'!$D$5:$D$92,'0300'!A422,'Daftar Koreksi'!$G$5:$G$92,"Persediaan",'Daftar Koreksi'!$H$5:$H$92,"&lt;0")-SUMIFS('Daftar Koreksi'!$H$5:$H$92,'Daftar Koreksi'!$D$5:$D$92,'0300'!A422,'Daftar Koreksi'!$G$5:$G$92,"Persediaan",'Daftar Koreksi'!$H$5:$H$92,"&lt;0")</f>
        <v>0</v>
      </c>
      <c r="G425" s="17">
        <f>D425+E425-F425</f>
        <v>1016750</v>
      </c>
      <c r="H425" s="121" t="str">
        <f>IF(ISNA(VLOOKUP(A422,'Mutasi Neraca'!$A$3:$S$914,19,FALSE)),"-",VLOOKUP(A422,'Mutasi Neraca'!$A$3:$S$914,19,FALSE))</f>
        <v>-</v>
      </c>
    </row>
    <row r="426" spans="1:8" ht="21.95" customHeight="1">
      <c r="A426" s="14"/>
      <c r="B426" s="14"/>
      <c r="C426" s="16" t="s">
        <v>1166</v>
      </c>
      <c r="D426" s="17">
        <f>VLOOKUP(A422,'Neraca Unaudited SIMAK'!$A$2:$S$10004,4,FALSE)</f>
        <v>2717414000</v>
      </c>
      <c r="E426" s="25">
        <f>SUMIFS('Daftar Koreksi'!$H$5:$H$92,'Daftar Koreksi'!$D$5:$D$92,'0300'!A422,'Daftar Koreksi'!$G$5:$G$92,"Tanah",'Daftar Koreksi'!$H$5:$H$92,"&gt;0")</f>
        <v>0</v>
      </c>
      <c r="F426" s="25">
        <f>SUMIFS('Daftar Koreksi'!$H$5:$H$92,'Daftar Koreksi'!$D$5:$D$92,'0300'!A422,'Daftar Koreksi'!$G$5:$G$92,"Tanah",'Daftar Koreksi'!$H$5:$H$92,"&lt;0")-SUMIFS('Daftar Koreksi'!$H$5:$H$92,'Daftar Koreksi'!$D$5:$D$92,'0300'!A422,'Daftar Koreksi'!$G$5:$G$92,"Tanah",'Daftar Koreksi'!$H$5:$H$92,"&lt;0")-SUMIFS('Daftar Koreksi'!$H$5:$H$92,'Daftar Koreksi'!$D$5:$D$92,'0300'!A422,'Daftar Koreksi'!$G$5:$G$92,"Tanah",'Daftar Koreksi'!$H$5:$H$92,"&lt;0")</f>
        <v>0</v>
      </c>
      <c r="G426" s="17">
        <f t="shared" ref="G426:G442" si="19">D426+E426-F426</f>
        <v>2717414000</v>
      </c>
      <c r="H426" s="122"/>
    </row>
    <row r="427" spans="1:8" ht="21.95" customHeight="1">
      <c r="A427" s="14"/>
      <c r="B427" s="14"/>
      <c r="C427" s="16" t="s">
        <v>1167</v>
      </c>
      <c r="D427" s="17">
        <f>VLOOKUP(A422,'Neraca Unaudited SIMAK'!$A$2:$S$10004,5,FALSE)</f>
        <v>1650660365</v>
      </c>
      <c r="E427" s="25">
        <f>SUMIFS('Daftar Koreksi'!$H$5:$H$92,'Daftar Koreksi'!$D$5:$D$92,'0300'!A422,'Daftar Koreksi'!$G$5:$G$92,"Peralatan dan mesin",'Daftar Koreksi'!$H$5:$H$92,"&gt;0")</f>
        <v>0</v>
      </c>
      <c r="F427" s="25">
        <f>SUMIFS('Daftar Koreksi'!$H$5:$H$92,'Daftar Koreksi'!$D$5:$D$92,'0300'!A422,'Daftar Koreksi'!$G$5:$G$92,"Peralatan dan mesin",'Daftar Koreksi'!$H$5:$H$92,"&lt;0")-SUMIFS('Daftar Koreksi'!$H$5:$H$92,'Daftar Koreksi'!$D$5:$D$92,'0300'!A422,'Daftar Koreksi'!$G$5:$G$92,"Peralatan dan mesin",'Daftar Koreksi'!$H$5:$H$92,"&lt;0")-SUMIFS('Daftar Koreksi'!$H$5:$H$92,'Daftar Koreksi'!$D$5:$D$92,'0300'!A422,'Daftar Koreksi'!$G$5:$G$92,"Peralatan dan mesin",'Daftar Koreksi'!$H$5:$H$92,"&lt;0")</f>
        <v>0</v>
      </c>
      <c r="G427" s="17">
        <f t="shared" si="19"/>
        <v>1650660365</v>
      </c>
      <c r="H427" s="122"/>
    </row>
    <row r="428" spans="1:8" ht="21.95" customHeight="1">
      <c r="A428" s="14"/>
      <c r="B428" s="14"/>
      <c r="C428" s="16" t="s">
        <v>1168</v>
      </c>
      <c r="D428" s="17">
        <f>VLOOKUP(A422,'Neraca Unaudited SIMAK'!$A$2:$S$10004,6,FALSE)</f>
        <v>5861989750</v>
      </c>
      <c r="E428" s="25">
        <f>SUMIFS('Daftar Koreksi'!$H$5:$H$92,'Daftar Koreksi'!$D$5:$D$92,'0300'!A422,'Daftar Koreksi'!$G$5:$G$92,"Gedung dan Bangunan",'Daftar Koreksi'!$H$5:$H$92,"&gt;0")</f>
        <v>0</v>
      </c>
      <c r="F428" s="25">
        <f>SUMIFS('Daftar Koreksi'!$H$5:$H$92,'Daftar Koreksi'!$D$5:$D$92,'0300'!A422,'Daftar Koreksi'!$G$5:$G$92,"Gedung dan Bangunan",'Daftar Koreksi'!$H$5:$H$92,"&lt;0")-SUMIFS('Daftar Koreksi'!$H$5:$H$92,'Daftar Koreksi'!$D$5:$D$92,'0300'!A422,'Daftar Koreksi'!$G$5:$G$92,"Gedung dan Bangunan",'Daftar Koreksi'!$H$5:$H$92,"&lt;0")-SUMIFS('Daftar Koreksi'!$H$5:$H$92,'Daftar Koreksi'!$D$5:$D$92,'0300'!A422,'Daftar Koreksi'!$G$5:$G$92,"Gedung dan Bangunan",'Daftar Koreksi'!$H$5:$H$92,"&lt;0")</f>
        <v>0</v>
      </c>
      <c r="G428" s="17">
        <f t="shared" si="19"/>
        <v>5861989750</v>
      </c>
      <c r="H428" s="122"/>
    </row>
    <row r="429" spans="1:8" ht="21.95" customHeight="1">
      <c r="A429" s="14"/>
      <c r="B429" s="14"/>
      <c r="C429" s="16" t="s">
        <v>1169</v>
      </c>
      <c r="D429" s="17">
        <f>VLOOKUP(A422,'Neraca Unaudited SIMAK'!$A$2:$S$10004,7,FALSE)</f>
        <v>0</v>
      </c>
      <c r="E429" s="25">
        <f>SUMIFS('Daftar Koreksi'!$H$5:$H$92,'Daftar Koreksi'!$D$5:$D$92,'0300'!A422,'Daftar Koreksi'!$G$5:$G$92,"Jalan Irigasi Jaringan",'Daftar Koreksi'!$H$5:$H$92,"&gt;0")</f>
        <v>0</v>
      </c>
      <c r="F429" s="25">
        <f>SUMIFS('Daftar Koreksi'!$H$5:$H$92,'Daftar Koreksi'!$D$5:$D$92,'0300'!A422,'Daftar Koreksi'!$G$5:$G$92,"Jalan Irigasi Jaringan",'Daftar Koreksi'!$H$5:$H$92,"&lt;0")-SUMIFS('Daftar Koreksi'!$H$5:$H$92,'Daftar Koreksi'!$D$5:$D$92,'0300'!A422,'Daftar Koreksi'!$G$5:$G$92,"Jalan Irigasi Jaringan",'Daftar Koreksi'!$H$5:$H$92,"&lt;0")-SUMIFS('Daftar Koreksi'!$H$5:$H$92,'Daftar Koreksi'!$D$5:$D$92,'0300'!A422,'Daftar Koreksi'!$G$5:$G$92,"Jalan Irigasi Jaringan",'Daftar Koreksi'!$H$5:$H$92,"&lt;0")</f>
        <v>0</v>
      </c>
      <c r="G429" s="17">
        <f t="shared" si="19"/>
        <v>0</v>
      </c>
      <c r="H429" s="122"/>
    </row>
    <row r="430" spans="1:8" ht="21.95" customHeight="1">
      <c r="A430" s="14"/>
      <c r="B430" s="14"/>
      <c r="C430" s="16" t="s">
        <v>1170</v>
      </c>
      <c r="D430" s="17">
        <f>VLOOKUP(A422,'Neraca Unaudited SIMAK'!$A$2:$S$10004,8,FALSE)</f>
        <v>277123742</v>
      </c>
      <c r="E430" s="25">
        <f>SUMIFS('Daftar Koreksi'!$H$5:$H$92,'Daftar Koreksi'!$D$5:$D$92,'0300'!A422,'Daftar Koreksi'!$G$5:$G$92,"Aset Tetap Lainnya",'Daftar Koreksi'!$H$5:$H$92,"&gt;0")</f>
        <v>0</v>
      </c>
      <c r="F430" s="25">
        <f>SUMIFS('Daftar Koreksi'!$H$5:$H$92,'Daftar Koreksi'!$D$5:$D$92,'0300'!A422,'Daftar Koreksi'!$G$5:$G$92,"Aset Tetap Lainnya",'Daftar Koreksi'!$H$5:$H$92,"&lt;0")-SUMIFS('Daftar Koreksi'!$H$5:$H$92,'Daftar Koreksi'!$D$5:$D$92,'0300'!A422,'Daftar Koreksi'!$G$5:$G$92,"Aset Tetap Lainnya",'Daftar Koreksi'!$H$5:$H$92,"&lt;0")-SUMIFS('Daftar Koreksi'!$H$5:$H$92,'Daftar Koreksi'!$D$5:$D$92,'0300'!A422,'Daftar Koreksi'!$G$5:$G$92,"Aset Tetap Lainnya",'Daftar Koreksi'!$H$5:$H$92,"&lt;0")</f>
        <v>0</v>
      </c>
      <c r="G430" s="17">
        <f t="shared" si="19"/>
        <v>277123742</v>
      </c>
      <c r="H430" s="122"/>
    </row>
    <row r="431" spans="1:8" ht="21.95" customHeight="1">
      <c r="A431" s="14"/>
      <c r="B431" s="14"/>
      <c r="C431" s="16" t="s">
        <v>1171</v>
      </c>
      <c r="D431" s="17">
        <f>VLOOKUP(A422,'Neraca Unaudited SIMAK'!$A$2:$S$10004,9,FALSE)</f>
        <v>0</v>
      </c>
      <c r="E431" s="25">
        <f>SUMIFS('Daftar Koreksi'!$H$5:$H$92,'Daftar Koreksi'!$D$5:$D$92,'0300'!A422,'Daftar Koreksi'!$G$5:$G$92,"Kontruksi Dalam Pengerjaan",'Daftar Koreksi'!$H$5:$H$92,"&gt;0")</f>
        <v>0</v>
      </c>
      <c r="F431" s="25">
        <f>SUMIFS('Daftar Koreksi'!$H$5:$H$92,'Daftar Koreksi'!$D$5:$D$92,'0300'!A422,'Daftar Koreksi'!$G$5:$G$92,"Kontruksi Dalam Pengerjaan",'Daftar Koreksi'!$H$5:$H$92,"&lt;0")-SUMIFS('Daftar Koreksi'!$H$5:$H$92,'Daftar Koreksi'!$D$5:$D$92,'0300'!A422,'Daftar Koreksi'!$G$5:$G$92,"Kontruksi Dalam Pengerjaan",'Daftar Koreksi'!$H$5:$H$92,"&lt;0")-SUMIFS('Daftar Koreksi'!$H$5:$H$92,'Daftar Koreksi'!$D$5:$D$92,'0300'!A422,'Daftar Koreksi'!$G$5:$G$92,"Kontruksi Dalam Pengerjaan",'Daftar Koreksi'!$H$5:$H$92,"&lt;0")</f>
        <v>0</v>
      </c>
      <c r="G431" s="17">
        <f t="shared" si="19"/>
        <v>0</v>
      </c>
      <c r="H431" s="122"/>
    </row>
    <row r="432" spans="1:8" ht="21.95" customHeight="1">
      <c r="A432" s="14"/>
      <c r="B432" s="14"/>
      <c r="C432" s="16" t="s">
        <v>1172</v>
      </c>
      <c r="D432" s="17">
        <f>VLOOKUP(A422,'Neraca Unaudited SIMAK'!$A$2:$S$10004,10,FALSE)</f>
        <v>0</v>
      </c>
      <c r="E432" s="25">
        <f>SUMIFS('Daftar Koreksi'!$H$5:$H$92,'Daftar Koreksi'!$D$5:$D$92,'0300'!A422,'Daftar Koreksi'!$G$5:$G$92,"Aset Tak Berwujud",'Daftar Koreksi'!$H$5:$H$92,"&gt;0")</f>
        <v>0</v>
      </c>
      <c r="F432" s="25">
        <f>SUMIFS('Daftar Koreksi'!$H$5:$H$92,'Daftar Koreksi'!$D$5:$D$92,'0300'!A422,'Daftar Koreksi'!$G$5:$G$92,"Aset Tak Berwujud",'Daftar Koreksi'!$H$5:$H$92,"&lt;0")-SUMIFS('Daftar Koreksi'!$H$5:$H$92,'Daftar Koreksi'!$D$5:$D$92,'0300'!A422,'Daftar Koreksi'!$G$5:$G$92,"Aset Tak Berwujud",'Daftar Koreksi'!$H$5:$H$92,"&lt;0")-SUMIFS('Daftar Koreksi'!$H$5:$H$92,'Daftar Koreksi'!$D$5:$D$92,'0300'!A422,'Daftar Koreksi'!$G$5:$G$92,"Aset Tak Berwujud",'Daftar Koreksi'!$H$5:$H$92,"&lt;0")</f>
        <v>0</v>
      </c>
      <c r="G432" s="17">
        <f t="shared" si="19"/>
        <v>0</v>
      </c>
      <c r="H432" s="122"/>
    </row>
    <row r="433" spans="1:8" ht="21.95" customHeight="1">
      <c r="A433" s="14"/>
      <c r="B433" s="14"/>
      <c r="C433" s="16" t="s">
        <v>1173</v>
      </c>
      <c r="D433" s="17">
        <f>VLOOKUP(A422,'Neraca Unaudited SIMAK'!$A$2:$S$10004,11,FALSE)</f>
        <v>0</v>
      </c>
      <c r="E433" s="25">
        <f>SUMIFS('Daftar Koreksi'!$H$5:$H$92,'Daftar Koreksi'!$D$5:$D$92,'0300'!A422,'Daftar Koreksi'!$G$5:$G$92,"Aset Henti Guna",'Daftar Koreksi'!$H$5:$H$92,"&gt;0")</f>
        <v>0</v>
      </c>
      <c r="F433" s="25">
        <f>SUMIFS('Daftar Koreksi'!$H$5:$H$92,'Daftar Koreksi'!$D$5:$D$92,'0300'!A422,'Daftar Koreksi'!$G$5:$G$92,"Aset Henti Guna",'Daftar Koreksi'!$H$5:$H$92,"&lt;0")-SUMIFS('Daftar Koreksi'!$H$5:$H$92,'Daftar Koreksi'!$D$5:$D$92,'0300'!A422,'Daftar Koreksi'!$G$5:$G$92,"Aset Henti Guna",'Daftar Koreksi'!$H$5:$H$92,"&lt;0")-SUMIFS('Daftar Koreksi'!$H$5:$H$92,'Daftar Koreksi'!$D$5:$D$92,'0300'!A422,'Daftar Koreksi'!$G$5:$G$92,"Aset Henti Guna",'Daftar Koreksi'!$H$5:$H$92,"&lt;0")</f>
        <v>0</v>
      </c>
      <c r="G433" s="17">
        <f t="shared" si="19"/>
        <v>0</v>
      </c>
      <c r="H433" s="122"/>
    </row>
    <row r="434" spans="1:8" ht="21.95" customHeight="1">
      <c r="A434" s="14"/>
      <c r="B434" s="14"/>
      <c r="C434" s="18" t="s">
        <v>2093</v>
      </c>
      <c r="D434" s="19">
        <f>VLOOKUP(A422,'Neraca Unaudited SIMAK'!$A$2:$S$10004,12,FALSE)</f>
        <v>10508204607</v>
      </c>
      <c r="E434" s="19">
        <f>SUM(E425:E433)</f>
        <v>0</v>
      </c>
      <c r="F434" s="19">
        <f>SUM(F425:F433)</f>
        <v>0</v>
      </c>
      <c r="G434" s="19">
        <f t="shared" si="19"/>
        <v>10508204607</v>
      </c>
      <c r="H434" s="122"/>
    </row>
    <row r="435" spans="1:8" ht="21.95" customHeight="1">
      <c r="A435" s="14"/>
      <c r="B435" s="14"/>
      <c r="C435" s="16" t="s">
        <v>2087</v>
      </c>
      <c r="D435" s="17">
        <f>VLOOKUP(A422,'Neraca Unaudited SIMAK'!$A$2:$S$10004,13,FALSE)</f>
        <v>-1515156206</v>
      </c>
      <c r="E435" s="25">
        <f>SUMIFS('Daftar Koreksi'!$I$5:$I$92,'Daftar Koreksi'!$D$5:$D$92,'0300'!A422,'Daftar Koreksi'!$G$5:$G$92,"Peralatan dan mesin",'Daftar Koreksi'!$I$5:$I$92,"&gt;0")</f>
        <v>0</v>
      </c>
      <c r="F435" s="25">
        <f>SUMIFS('Daftar Koreksi'!$I$5:$I$92,'Daftar Koreksi'!$D$5:$D$92,'0300'!A422,'Daftar Koreksi'!$G$5:$G$92,"Peralatan dan mesin",'Daftar Koreksi'!$I$5:$I$92,"&lt;0")-SUMIFS('Daftar Koreksi'!$I$5:$I$92,'Daftar Koreksi'!$D$5:$D$92,'0300'!A422,'Daftar Koreksi'!$G$5:$G$92,"Peralatan dan mesin",'Daftar Koreksi'!$I$5:$I$92,"&lt;0")-SUMIFS('Daftar Koreksi'!$I$5:$I$92,'Daftar Koreksi'!$D$5:$D$92,'0300'!A422,'Daftar Koreksi'!$G$5:$G$92,"Peralatan dan mesin",'Daftar Koreksi'!$I$5:$I$92,"&lt;0")</f>
        <v>0</v>
      </c>
      <c r="G435" s="17">
        <f t="shared" si="19"/>
        <v>-1515156206</v>
      </c>
      <c r="H435" s="122"/>
    </row>
    <row r="436" spans="1:8" ht="21.95" customHeight="1">
      <c r="A436" s="14"/>
      <c r="B436" s="14"/>
      <c r="C436" s="16" t="s">
        <v>2088</v>
      </c>
      <c r="D436" s="17">
        <f>VLOOKUP(A422,'Neraca Unaudited SIMAK'!$A$2:$S$10004,14,FALSE)</f>
        <v>-712922601</v>
      </c>
      <c r="E436" s="25">
        <f>SUMIFS('Daftar Koreksi'!$I$5:$I$92,'Daftar Koreksi'!$D$5:$D$92,'0300'!A422,'Daftar Koreksi'!$G$5:$G$92,"Gedung dan Bangunan",'Daftar Koreksi'!$I$5:$I$92,"&gt;0")</f>
        <v>0</v>
      </c>
      <c r="F436" s="25">
        <f>SUMIFS('Daftar Koreksi'!$I$5:$I$92,'Daftar Koreksi'!$D$5:$D$92,'0300'!A422,'Daftar Koreksi'!$G$5:$G$92,"Gedung dan Bangunan",'Daftar Koreksi'!$I$5:$I$92,"&lt;0")-SUMIFS('Daftar Koreksi'!$I$5:$I$92,'Daftar Koreksi'!$D$5:$D$92,'0300'!A422,'Daftar Koreksi'!$G$5:$G$92,"Gedung dan Bangunan",'Daftar Koreksi'!$I$5:$I$92,"&lt;0")-SUMIFS('Daftar Koreksi'!$I$5:$I$92,'Daftar Koreksi'!$D$5:$D$92,'0300'!A422,'Daftar Koreksi'!$G$5:$G$92,"Gedung dan Bangunan",'Daftar Koreksi'!$I$5:$I$92,"&lt;0")</f>
        <v>0</v>
      </c>
      <c r="G436" s="17">
        <f t="shared" si="19"/>
        <v>-712922601</v>
      </c>
      <c r="H436" s="122"/>
    </row>
    <row r="437" spans="1:8" ht="21.95" customHeight="1">
      <c r="A437" s="14"/>
      <c r="B437" s="14"/>
      <c r="C437" s="16" t="s">
        <v>2089</v>
      </c>
      <c r="D437" s="17">
        <f>VLOOKUP(A422,'Neraca Unaudited SIMAK'!$A$2:$S$10004,15,FALSE)</f>
        <v>0</v>
      </c>
      <c r="E437" s="25">
        <f>SUMIFS('Daftar Koreksi'!$I$5:$I$92,'Daftar Koreksi'!$D$5:$D$92,'0300'!A422,'Daftar Koreksi'!$G$5:$G$92,"Jalan Irigasi Jaringan",'Daftar Koreksi'!$I$5:$I$92,"&gt;0")</f>
        <v>0</v>
      </c>
      <c r="F437" s="25">
        <f>SUMIFS('Daftar Koreksi'!$I$5:$I$92,'Daftar Koreksi'!$D$5:$D$92,'0300'!A422,'Daftar Koreksi'!$G$5:$G$92,"Jalan Irigasi Jaringan",'Daftar Koreksi'!$I$5:$I$92,"&lt;0")-SUMIFS('Daftar Koreksi'!$I$5:$I$92,'Daftar Koreksi'!$D$5:$D$92,'0300'!A422,'Daftar Koreksi'!$G$5:$G$92,"Jalan Irigasi Jaringan",'Daftar Koreksi'!$I$5:$I$92,"&lt;0")-SUMIFS('Daftar Koreksi'!$I$5:$I$92,'Daftar Koreksi'!$D$5:$D$92,'0300'!A422,'Daftar Koreksi'!$G$5:$G$92,"Jalan Irigasi Jaringan",'Daftar Koreksi'!$I$5:$I$92,"&lt;0")</f>
        <v>0</v>
      </c>
      <c r="G437" s="17">
        <f t="shared" si="19"/>
        <v>0</v>
      </c>
      <c r="H437" s="122"/>
    </row>
    <row r="438" spans="1:8" ht="21.95" customHeight="1">
      <c r="A438" s="14"/>
      <c r="B438" s="14"/>
      <c r="C438" s="16" t="s">
        <v>2090</v>
      </c>
      <c r="D438" s="17">
        <f>VLOOKUP(A422,'Neraca Unaudited SIMAK'!$A$2:$S$10004,16,FALSE)</f>
        <v>0</v>
      </c>
      <c r="E438" s="25">
        <f>SUMIFS('Daftar Koreksi'!$I$5:$I$92,'Daftar Koreksi'!$D$5:$D$92,'0300'!A422,'Daftar Koreksi'!$G$5:$G$92,"Aset Tetap Lainnya",'Daftar Koreksi'!$I$5:$I$92,"&gt;0")</f>
        <v>0</v>
      </c>
      <c r="F438" s="25">
        <f>SUMIFS('Daftar Koreksi'!$I$5:$I$92,'Daftar Koreksi'!$D$5:$D$92,'0300'!A422,'Daftar Koreksi'!$G$5:$G$92,"Aset Tetap Lainnya",'Daftar Koreksi'!$I$5:$I$92,"&lt;0")-SUMIFS('Daftar Koreksi'!$I$5:$I$92,'Daftar Koreksi'!$D$5:$D$92,'0300'!A422,'Daftar Koreksi'!$G$5:$G$92,"Aset Tetap Lainnya",'Daftar Koreksi'!$I$5:$I$92,"&lt;0")-SUMIFS('Daftar Koreksi'!$I$5:$I$92,'Daftar Koreksi'!$D$5:$D$92,'0300'!A422,'Daftar Koreksi'!$G$5:$G$92,"Aset Tetap Lainnya",'Daftar Koreksi'!$I$5:$I$92,"&lt;0")</f>
        <v>0</v>
      </c>
      <c r="G438" s="17">
        <f t="shared" si="19"/>
        <v>0</v>
      </c>
      <c r="H438" s="122"/>
    </row>
    <row r="439" spans="1:8" ht="21.95" customHeight="1">
      <c r="A439" s="14"/>
      <c r="B439" s="14"/>
      <c r="C439" s="16" t="s">
        <v>2020</v>
      </c>
      <c r="D439" s="17">
        <f>VLOOKUP(A422,'Neraca Unaudited SIMAK'!$A$2:$S$10004,17,FALSE)</f>
        <v>0</v>
      </c>
      <c r="E439" s="25">
        <f>SUMIFS('Daftar Koreksi'!$I$5:$I$92,'Daftar Koreksi'!$D$5:$D$92,'0300'!A422,'Daftar Koreksi'!$G$5:$G$92,"Aset Henti Guna",'Daftar Koreksi'!$I$5:$I$92,"&gt;0")</f>
        <v>0</v>
      </c>
      <c r="F439" s="25">
        <f>SUMIFS('Daftar Koreksi'!$I$5:$I$92,'Daftar Koreksi'!$D$5:$D$92,'0300'!A422,'Daftar Koreksi'!$G$5:$G$92,"Aset Henti Guna",'Daftar Koreksi'!$I$5:$I$92,"&lt;0")-SUMIFS('Daftar Koreksi'!$I$5:$I$92,'Daftar Koreksi'!$D$5:$D$92,'0300'!A422,'Daftar Koreksi'!$G$5:$G$92,"Aset Henti Guna",'Daftar Koreksi'!$I$5:$I$92,"&lt;0")-SUMIFS('Daftar Koreksi'!$I$5:$I$92,'Daftar Koreksi'!$D$5:$D$92,'0300'!A422,'Daftar Koreksi'!$G$5:$G$92,"Aset Henti Guna",'Daftar Koreksi'!$I$5:$I$92,"&lt;0")</f>
        <v>0</v>
      </c>
      <c r="G439" s="17">
        <f t="shared" si="19"/>
        <v>0</v>
      </c>
      <c r="H439" s="122"/>
    </row>
    <row r="440" spans="1:8" ht="21.95" customHeight="1">
      <c r="A440" s="14"/>
      <c r="B440" s="14"/>
      <c r="C440" s="18" t="s">
        <v>2094</v>
      </c>
      <c r="D440" s="19">
        <f>SUM(D435:D439)</f>
        <v>-2228078807</v>
      </c>
      <c r="E440" s="19">
        <f>SUM(E435:E439)</f>
        <v>0</v>
      </c>
      <c r="F440" s="19">
        <f>SUM(F435:F439)</f>
        <v>0</v>
      </c>
      <c r="G440" s="19">
        <f t="shared" si="19"/>
        <v>-2228078807</v>
      </c>
      <c r="H440" s="122"/>
    </row>
    <row r="441" spans="1:8" ht="21.95" customHeight="1">
      <c r="A441" s="14"/>
      <c r="B441" s="14"/>
      <c r="C441" s="18" t="s">
        <v>2095</v>
      </c>
      <c r="D441" s="19">
        <f>VLOOKUP(A422,'Neraca Unaudited SIMAK'!$A$2:$S$10004,18,FALSE)</f>
        <v>8280125800</v>
      </c>
      <c r="E441" s="19">
        <f>E440+E434</f>
        <v>0</v>
      </c>
      <c r="F441" s="19">
        <f>F440+F434</f>
        <v>0</v>
      </c>
      <c r="G441" s="19">
        <f t="shared" si="19"/>
        <v>8280125800</v>
      </c>
      <c r="H441" s="122"/>
    </row>
    <row r="442" spans="1:8" ht="21.95" customHeight="1">
      <c r="A442" s="14"/>
      <c r="B442" s="14"/>
      <c r="C442" s="16" t="s">
        <v>2091</v>
      </c>
      <c r="D442" s="17">
        <f>VLOOKUP(A422,'Neraca Unaudited SIMAK'!$A$2:$S$10004,19,FALSE)</f>
        <v>0</v>
      </c>
      <c r="E442" s="25"/>
      <c r="F442" s="25"/>
      <c r="G442" s="17">
        <f t="shared" si="19"/>
        <v>0</v>
      </c>
      <c r="H442" s="123"/>
    </row>
    <row r="444" spans="1:8" ht="19.5" customHeight="1">
      <c r="A444" s="11" t="str">
        <f>O21</f>
        <v>005010300097912000KD</v>
      </c>
      <c r="B444" s="11" t="str">
        <f>P21</f>
        <v>PN. Temanggung</v>
      </c>
      <c r="C444" s="12" t="str">
        <f>A444&amp;" "&amp;B444</f>
        <v>005010300097912000KD PN. Temanggung</v>
      </c>
      <c r="D444" s="13"/>
      <c r="E444" s="13"/>
      <c r="F444" s="13"/>
      <c r="G444" s="13"/>
      <c r="H444" s="11"/>
    </row>
    <row r="445" spans="1:8" ht="21.95" customHeight="1">
      <c r="A445" s="14"/>
      <c r="B445" s="14"/>
      <c r="C445" s="124" t="s">
        <v>1982</v>
      </c>
      <c r="D445" s="126" t="s">
        <v>1983</v>
      </c>
      <c r="E445" s="132" t="s">
        <v>1984</v>
      </c>
      <c r="F445" s="132"/>
      <c r="G445" s="126" t="s">
        <v>1987</v>
      </c>
      <c r="H445" s="130" t="s">
        <v>1175</v>
      </c>
    </row>
    <row r="446" spans="1:8" ht="21.95" customHeight="1">
      <c r="A446" s="14"/>
      <c r="B446" s="14"/>
      <c r="C446" s="125"/>
      <c r="D446" s="127"/>
      <c r="E446" s="26" t="s">
        <v>1985</v>
      </c>
      <c r="F446" s="26" t="s">
        <v>1986</v>
      </c>
      <c r="G446" s="127"/>
      <c r="H446" s="131"/>
    </row>
    <row r="447" spans="1:8" ht="21.95" customHeight="1">
      <c r="A447" s="14"/>
      <c r="B447" s="14"/>
      <c r="C447" s="16" t="s">
        <v>1165</v>
      </c>
      <c r="D447" s="17">
        <f>VLOOKUP(A444,'Neraca Unaudited SIMAK'!$A$2:$S$10004,3,FALSE)</f>
        <v>3768580</v>
      </c>
      <c r="E447" s="25">
        <f>SUMIFS('Daftar Koreksi'!$H$5:$H$92,'Daftar Koreksi'!$D$5:$D$92,'0300'!A444,'Daftar Koreksi'!$G$5:$G$92,"Persediaan",'Daftar Koreksi'!$H$5:$H$92,"&gt;0")</f>
        <v>0</v>
      </c>
      <c r="F447" s="25">
        <f>SUMIFS('Daftar Koreksi'!$H$5:$H$92,'Daftar Koreksi'!$D$5:$D$92,'0300'!A444,'Daftar Koreksi'!$G$5:$G$92,"Persediaan",'Daftar Koreksi'!$H$5:$H$92,"&lt;0")-SUMIFS('Daftar Koreksi'!$H$5:$H$92,'Daftar Koreksi'!$D$5:$D$92,'0300'!A444,'Daftar Koreksi'!$G$5:$G$92,"Persediaan",'Daftar Koreksi'!$H$5:$H$92,"&lt;0")-SUMIFS('Daftar Koreksi'!$H$5:$H$92,'Daftar Koreksi'!$D$5:$D$92,'0300'!A444,'Daftar Koreksi'!$G$5:$G$92,"Persediaan",'Daftar Koreksi'!$H$5:$H$92,"&lt;0")</f>
        <v>0</v>
      </c>
      <c r="G447" s="17">
        <f>D447+E447-F447</f>
        <v>3768580</v>
      </c>
      <c r="H447" s="121" t="str">
        <f>IF(ISNA(VLOOKUP(A444,'Mutasi Neraca'!$A$3:$S$914,19,FALSE)),"-",VLOOKUP(A444,'Mutasi Neraca'!$A$3:$S$914,19,FALSE))</f>
        <v>-</v>
      </c>
    </row>
    <row r="448" spans="1:8" ht="21.95" customHeight="1">
      <c r="A448" s="14"/>
      <c r="B448" s="14"/>
      <c r="C448" s="16" t="s">
        <v>1166</v>
      </c>
      <c r="D448" s="17">
        <f>VLOOKUP(A444,'Neraca Unaudited SIMAK'!$A$2:$S$10004,4,FALSE)</f>
        <v>2898600000</v>
      </c>
      <c r="E448" s="25">
        <f>SUMIFS('Daftar Koreksi'!$H$5:$H$92,'Daftar Koreksi'!$D$5:$D$92,'0300'!A444,'Daftar Koreksi'!$G$5:$G$92,"Tanah",'Daftar Koreksi'!$H$5:$H$92,"&gt;0")</f>
        <v>0</v>
      </c>
      <c r="F448" s="25">
        <f>SUMIFS('Daftar Koreksi'!$H$5:$H$92,'Daftar Koreksi'!$D$5:$D$92,'0300'!A444,'Daftar Koreksi'!$G$5:$G$92,"Tanah",'Daftar Koreksi'!$H$5:$H$92,"&lt;0")-SUMIFS('Daftar Koreksi'!$H$5:$H$92,'Daftar Koreksi'!$D$5:$D$92,'0300'!A444,'Daftar Koreksi'!$G$5:$G$92,"Tanah",'Daftar Koreksi'!$H$5:$H$92,"&lt;0")-SUMIFS('Daftar Koreksi'!$H$5:$H$92,'Daftar Koreksi'!$D$5:$D$92,'0300'!A444,'Daftar Koreksi'!$G$5:$G$92,"Tanah",'Daftar Koreksi'!$H$5:$H$92,"&lt;0")</f>
        <v>0</v>
      </c>
      <c r="G448" s="17">
        <f t="shared" ref="G448:G464" si="20">D448+E448-F448</f>
        <v>2898600000</v>
      </c>
      <c r="H448" s="122"/>
    </row>
    <row r="449" spans="1:8" ht="21.95" customHeight="1">
      <c r="A449" s="14"/>
      <c r="B449" s="14"/>
      <c r="C449" s="16" t="s">
        <v>1167</v>
      </c>
      <c r="D449" s="17">
        <f>VLOOKUP(A444,'Neraca Unaudited SIMAK'!$A$2:$S$10004,5,FALSE)</f>
        <v>1664332929</v>
      </c>
      <c r="E449" s="25">
        <f>SUMIFS('Daftar Koreksi'!$H$5:$H$92,'Daftar Koreksi'!$D$5:$D$92,'0300'!A444,'Daftar Koreksi'!$G$5:$G$92,"Peralatan dan mesin",'Daftar Koreksi'!$H$5:$H$92,"&gt;0")</f>
        <v>0</v>
      </c>
      <c r="F449" s="25">
        <f>SUMIFS('Daftar Koreksi'!$H$5:$H$92,'Daftar Koreksi'!$D$5:$D$92,'0300'!A444,'Daftar Koreksi'!$G$5:$G$92,"Peralatan dan mesin",'Daftar Koreksi'!$H$5:$H$92,"&lt;0")-SUMIFS('Daftar Koreksi'!$H$5:$H$92,'Daftar Koreksi'!$D$5:$D$92,'0300'!A444,'Daftar Koreksi'!$G$5:$G$92,"Peralatan dan mesin",'Daftar Koreksi'!$H$5:$H$92,"&lt;0")-SUMIFS('Daftar Koreksi'!$H$5:$H$92,'Daftar Koreksi'!$D$5:$D$92,'0300'!A444,'Daftar Koreksi'!$G$5:$G$92,"Peralatan dan mesin",'Daftar Koreksi'!$H$5:$H$92,"&lt;0")</f>
        <v>0</v>
      </c>
      <c r="G449" s="17">
        <f t="shared" si="20"/>
        <v>1664332929</v>
      </c>
      <c r="H449" s="122"/>
    </row>
    <row r="450" spans="1:8" ht="21.95" customHeight="1">
      <c r="A450" s="14"/>
      <c r="B450" s="14"/>
      <c r="C450" s="16" t="s">
        <v>1168</v>
      </c>
      <c r="D450" s="17">
        <f>VLOOKUP(A444,'Neraca Unaudited SIMAK'!$A$2:$S$10004,6,FALSE)</f>
        <v>3705792000</v>
      </c>
      <c r="E450" s="25">
        <f>SUMIFS('Daftar Koreksi'!$H$5:$H$92,'Daftar Koreksi'!$D$5:$D$92,'0300'!A444,'Daftar Koreksi'!$G$5:$G$92,"Gedung dan Bangunan",'Daftar Koreksi'!$H$5:$H$92,"&gt;0")</f>
        <v>0</v>
      </c>
      <c r="F450" s="25">
        <f>SUMIFS('Daftar Koreksi'!$H$5:$H$92,'Daftar Koreksi'!$D$5:$D$92,'0300'!A444,'Daftar Koreksi'!$G$5:$G$92,"Gedung dan Bangunan",'Daftar Koreksi'!$H$5:$H$92,"&lt;0")-SUMIFS('Daftar Koreksi'!$H$5:$H$92,'Daftar Koreksi'!$D$5:$D$92,'0300'!A444,'Daftar Koreksi'!$G$5:$G$92,"Gedung dan Bangunan",'Daftar Koreksi'!$H$5:$H$92,"&lt;0")-SUMIFS('Daftar Koreksi'!$H$5:$H$92,'Daftar Koreksi'!$D$5:$D$92,'0300'!A444,'Daftar Koreksi'!$G$5:$G$92,"Gedung dan Bangunan",'Daftar Koreksi'!$H$5:$H$92,"&lt;0")</f>
        <v>0</v>
      </c>
      <c r="G450" s="17">
        <f t="shared" si="20"/>
        <v>3705792000</v>
      </c>
      <c r="H450" s="122"/>
    </row>
    <row r="451" spans="1:8" ht="21.95" customHeight="1">
      <c r="A451" s="14"/>
      <c r="B451" s="14"/>
      <c r="C451" s="16" t="s">
        <v>1169</v>
      </c>
      <c r="D451" s="17">
        <f>VLOOKUP(A444,'Neraca Unaudited SIMAK'!$A$2:$S$10004,7,FALSE)</f>
        <v>122590000</v>
      </c>
      <c r="E451" s="25">
        <f>SUMIFS('Daftar Koreksi'!$H$5:$H$92,'Daftar Koreksi'!$D$5:$D$92,'0300'!A444,'Daftar Koreksi'!$G$5:$G$92,"Jalan Irigasi Jaringan",'Daftar Koreksi'!$H$5:$H$92,"&gt;0")</f>
        <v>0</v>
      </c>
      <c r="F451" s="25">
        <f>SUMIFS('Daftar Koreksi'!$H$5:$H$92,'Daftar Koreksi'!$D$5:$D$92,'0300'!A444,'Daftar Koreksi'!$G$5:$G$92,"Jalan Irigasi Jaringan",'Daftar Koreksi'!$H$5:$H$92,"&lt;0")-SUMIFS('Daftar Koreksi'!$H$5:$H$92,'Daftar Koreksi'!$D$5:$D$92,'0300'!A444,'Daftar Koreksi'!$G$5:$G$92,"Jalan Irigasi Jaringan",'Daftar Koreksi'!$H$5:$H$92,"&lt;0")-SUMIFS('Daftar Koreksi'!$H$5:$H$92,'Daftar Koreksi'!$D$5:$D$92,'0300'!A444,'Daftar Koreksi'!$G$5:$G$92,"Jalan Irigasi Jaringan",'Daftar Koreksi'!$H$5:$H$92,"&lt;0")</f>
        <v>0</v>
      </c>
      <c r="G451" s="17">
        <f t="shared" si="20"/>
        <v>122590000</v>
      </c>
      <c r="H451" s="122"/>
    </row>
    <row r="452" spans="1:8" ht="21.95" customHeight="1">
      <c r="A452" s="14"/>
      <c r="B452" s="14"/>
      <c r="C452" s="16" t="s">
        <v>1170</v>
      </c>
      <c r="D452" s="17">
        <f>VLOOKUP(A444,'Neraca Unaudited SIMAK'!$A$2:$S$10004,8,FALSE)</f>
        <v>45955340</v>
      </c>
      <c r="E452" s="25">
        <f>SUMIFS('Daftar Koreksi'!$H$5:$H$92,'Daftar Koreksi'!$D$5:$D$92,'0300'!A444,'Daftar Koreksi'!$G$5:$G$92,"Aset Tetap Lainnya",'Daftar Koreksi'!$H$5:$H$92,"&gt;0")</f>
        <v>0</v>
      </c>
      <c r="F452" s="25">
        <f>SUMIFS('Daftar Koreksi'!$H$5:$H$92,'Daftar Koreksi'!$D$5:$D$92,'0300'!A444,'Daftar Koreksi'!$G$5:$G$92,"Aset Tetap Lainnya",'Daftar Koreksi'!$H$5:$H$92,"&lt;0")-SUMIFS('Daftar Koreksi'!$H$5:$H$92,'Daftar Koreksi'!$D$5:$D$92,'0300'!A444,'Daftar Koreksi'!$G$5:$G$92,"Aset Tetap Lainnya",'Daftar Koreksi'!$H$5:$H$92,"&lt;0")-SUMIFS('Daftar Koreksi'!$H$5:$H$92,'Daftar Koreksi'!$D$5:$D$92,'0300'!A444,'Daftar Koreksi'!$G$5:$G$92,"Aset Tetap Lainnya",'Daftar Koreksi'!$H$5:$H$92,"&lt;0")</f>
        <v>0</v>
      </c>
      <c r="G452" s="17">
        <f t="shared" si="20"/>
        <v>45955340</v>
      </c>
      <c r="H452" s="122"/>
    </row>
    <row r="453" spans="1:8" ht="21.95" customHeight="1">
      <c r="A453" s="14"/>
      <c r="B453" s="14"/>
      <c r="C453" s="16" t="s">
        <v>1171</v>
      </c>
      <c r="D453" s="17">
        <f>VLOOKUP(A444,'Neraca Unaudited SIMAK'!$A$2:$S$10004,9,FALSE)</f>
        <v>0</v>
      </c>
      <c r="E453" s="25">
        <f>SUMIFS('Daftar Koreksi'!$H$5:$H$92,'Daftar Koreksi'!$D$5:$D$92,'0300'!A444,'Daftar Koreksi'!$G$5:$G$92,"Kontruksi Dalam Pengerjaan",'Daftar Koreksi'!$H$5:$H$92,"&gt;0")</f>
        <v>0</v>
      </c>
      <c r="F453" s="25">
        <f>SUMIFS('Daftar Koreksi'!$H$5:$H$92,'Daftar Koreksi'!$D$5:$D$92,'0300'!A444,'Daftar Koreksi'!$G$5:$G$92,"Kontruksi Dalam Pengerjaan",'Daftar Koreksi'!$H$5:$H$92,"&lt;0")-SUMIFS('Daftar Koreksi'!$H$5:$H$92,'Daftar Koreksi'!$D$5:$D$92,'0300'!A444,'Daftar Koreksi'!$G$5:$G$92,"Kontruksi Dalam Pengerjaan",'Daftar Koreksi'!$H$5:$H$92,"&lt;0")-SUMIFS('Daftar Koreksi'!$H$5:$H$92,'Daftar Koreksi'!$D$5:$D$92,'0300'!A444,'Daftar Koreksi'!$G$5:$G$92,"Kontruksi Dalam Pengerjaan",'Daftar Koreksi'!$H$5:$H$92,"&lt;0")</f>
        <v>0</v>
      </c>
      <c r="G453" s="17">
        <f t="shared" si="20"/>
        <v>0</v>
      </c>
      <c r="H453" s="122"/>
    </row>
    <row r="454" spans="1:8" ht="21.95" customHeight="1">
      <c r="A454" s="14"/>
      <c r="B454" s="14"/>
      <c r="C454" s="16" t="s">
        <v>1172</v>
      </c>
      <c r="D454" s="17">
        <f>VLOOKUP(A444,'Neraca Unaudited SIMAK'!$A$2:$S$10004,10,FALSE)</f>
        <v>0</v>
      </c>
      <c r="E454" s="25">
        <f>SUMIFS('Daftar Koreksi'!$H$5:$H$92,'Daftar Koreksi'!$D$5:$D$92,'0300'!A444,'Daftar Koreksi'!$G$5:$G$92,"Aset Tak Berwujud",'Daftar Koreksi'!$H$5:$H$92,"&gt;0")</f>
        <v>0</v>
      </c>
      <c r="F454" s="25">
        <f>SUMIFS('Daftar Koreksi'!$H$5:$H$92,'Daftar Koreksi'!$D$5:$D$92,'0300'!A444,'Daftar Koreksi'!$G$5:$G$92,"Aset Tak Berwujud",'Daftar Koreksi'!$H$5:$H$92,"&lt;0")-SUMIFS('Daftar Koreksi'!$H$5:$H$92,'Daftar Koreksi'!$D$5:$D$92,'0300'!A444,'Daftar Koreksi'!$G$5:$G$92,"Aset Tak Berwujud",'Daftar Koreksi'!$H$5:$H$92,"&lt;0")-SUMIFS('Daftar Koreksi'!$H$5:$H$92,'Daftar Koreksi'!$D$5:$D$92,'0300'!A444,'Daftar Koreksi'!$G$5:$G$92,"Aset Tak Berwujud",'Daftar Koreksi'!$H$5:$H$92,"&lt;0")</f>
        <v>0</v>
      </c>
      <c r="G454" s="17">
        <f t="shared" si="20"/>
        <v>0</v>
      </c>
      <c r="H454" s="122"/>
    </row>
    <row r="455" spans="1:8" ht="21.95" customHeight="1">
      <c r="A455" s="14"/>
      <c r="B455" s="14"/>
      <c r="C455" s="16" t="s">
        <v>1173</v>
      </c>
      <c r="D455" s="17">
        <f>VLOOKUP(A444,'Neraca Unaudited SIMAK'!$A$2:$S$10004,11,FALSE)</f>
        <v>20800258</v>
      </c>
      <c r="E455" s="25">
        <f>SUMIFS('Daftar Koreksi'!$H$5:$H$92,'Daftar Koreksi'!$D$5:$D$92,'0300'!A444,'Daftar Koreksi'!$G$5:$G$92,"Aset Henti Guna",'Daftar Koreksi'!$H$5:$H$92,"&gt;0")</f>
        <v>0</v>
      </c>
      <c r="F455" s="25">
        <f>SUMIFS('Daftar Koreksi'!$H$5:$H$92,'Daftar Koreksi'!$D$5:$D$92,'0300'!A444,'Daftar Koreksi'!$G$5:$G$92,"Aset Henti Guna",'Daftar Koreksi'!$H$5:$H$92,"&lt;0")-SUMIFS('Daftar Koreksi'!$H$5:$H$92,'Daftar Koreksi'!$D$5:$D$92,'0300'!A444,'Daftar Koreksi'!$G$5:$G$92,"Aset Henti Guna",'Daftar Koreksi'!$H$5:$H$92,"&lt;0")-SUMIFS('Daftar Koreksi'!$H$5:$H$92,'Daftar Koreksi'!$D$5:$D$92,'0300'!A444,'Daftar Koreksi'!$G$5:$G$92,"Aset Henti Guna",'Daftar Koreksi'!$H$5:$H$92,"&lt;0")</f>
        <v>0</v>
      </c>
      <c r="G455" s="17">
        <f t="shared" si="20"/>
        <v>20800258</v>
      </c>
      <c r="H455" s="122"/>
    </row>
    <row r="456" spans="1:8" ht="21.95" customHeight="1">
      <c r="A456" s="14"/>
      <c r="B456" s="14"/>
      <c r="C456" s="18" t="s">
        <v>2093</v>
      </c>
      <c r="D456" s="19">
        <f>VLOOKUP(A444,'Neraca Unaudited SIMAK'!$A$2:$S$10004,12,FALSE)</f>
        <v>8461839107</v>
      </c>
      <c r="E456" s="19">
        <f>SUM(E447:E455)</f>
        <v>0</v>
      </c>
      <c r="F456" s="19">
        <f>SUM(F447:F455)</f>
        <v>0</v>
      </c>
      <c r="G456" s="19">
        <f t="shared" si="20"/>
        <v>8461839107</v>
      </c>
      <c r="H456" s="122"/>
    </row>
    <row r="457" spans="1:8" ht="21.95" customHeight="1">
      <c r="A457" s="14"/>
      <c r="B457" s="14"/>
      <c r="C457" s="16" t="s">
        <v>2087</v>
      </c>
      <c r="D457" s="17">
        <f>VLOOKUP(A444,'Neraca Unaudited SIMAK'!$A$2:$S$10004,13,FALSE)</f>
        <v>-1257732829</v>
      </c>
      <c r="E457" s="25">
        <f>SUMIFS('Daftar Koreksi'!$I$5:$I$92,'Daftar Koreksi'!$D$5:$D$92,'0300'!A444,'Daftar Koreksi'!$G$5:$G$92,"Peralatan dan mesin",'Daftar Koreksi'!$I$5:$I$92,"&gt;0")</f>
        <v>0</v>
      </c>
      <c r="F457" s="25">
        <f>SUMIFS('Daftar Koreksi'!$I$5:$I$92,'Daftar Koreksi'!$D$5:$D$92,'0300'!A444,'Daftar Koreksi'!$G$5:$G$92,"Peralatan dan mesin",'Daftar Koreksi'!$I$5:$I$92,"&lt;0")-SUMIFS('Daftar Koreksi'!$I$5:$I$92,'Daftar Koreksi'!$D$5:$D$92,'0300'!A444,'Daftar Koreksi'!$G$5:$G$92,"Peralatan dan mesin",'Daftar Koreksi'!$I$5:$I$92,"&lt;0")-SUMIFS('Daftar Koreksi'!$I$5:$I$92,'Daftar Koreksi'!$D$5:$D$92,'0300'!A444,'Daftar Koreksi'!$G$5:$G$92,"Peralatan dan mesin",'Daftar Koreksi'!$I$5:$I$92,"&lt;0")</f>
        <v>0</v>
      </c>
      <c r="G457" s="17">
        <f t="shared" si="20"/>
        <v>-1257732829</v>
      </c>
      <c r="H457" s="122"/>
    </row>
    <row r="458" spans="1:8" ht="21.95" customHeight="1">
      <c r="A458" s="14"/>
      <c r="B458" s="14"/>
      <c r="C458" s="16" t="s">
        <v>2088</v>
      </c>
      <c r="D458" s="17">
        <f>VLOOKUP(A444,'Neraca Unaudited SIMAK'!$A$2:$S$10004,14,FALSE)</f>
        <v>-853331267</v>
      </c>
      <c r="E458" s="25">
        <f>SUMIFS('Daftar Koreksi'!$I$5:$I$92,'Daftar Koreksi'!$D$5:$D$92,'0300'!A444,'Daftar Koreksi'!$G$5:$G$92,"Gedung dan Bangunan",'Daftar Koreksi'!$I$5:$I$92,"&gt;0")</f>
        <v>0</v>
      </c>
      <c r="F458" s="25">
        <f>SUMIFS('Daftar Koreksi'!$I$5:$I$92,'Daftar Koreksi'!$D$5:$D$92,'0300'!A444,'Daftar Koreksi'!$G$5:$G$92,"Gedung dan Bangunan",'Daftar Koreksi'!$I$5:$I$92,"&lt;0")-SUMIFS('Daftar Koreksi'!$I$5:$I$92,'Daftar Koreksi'!$D$5:$D$92,'0300'!A444,'Daftar Koreksi'!$G$5:$G$92,"Gedung dan Bangunan",'Daftar Koreksi'!$I$5:$I$92,"&lt;0")-SUMIFS('Daftar Koreksi'!$I$5:$I$92,'Daftar Koreksi'!$D$5:$D$92,'0300'!A444,'Daftar Koreksi'!$G$5:$G$92,"Gedung dan Bangunan",'Daftar Koreksi'!$I$5:$I$92,"&lt;0")</f>
        <v>0</v>
      </c>
      <c r="G458" s="17">
        <f t="shared" si="20"/>
        <v>-853331267</v>
      </c>
      <c r="H458" s="122"/>
    </row>
    <row r="459" spans="1:8" ht="21.95" customHeight="1">
      <c r="A459" s="14"/>
      <c r="B459" s="14"/>
      <c r="C459" s="16" t="s">
        <v>2089</v>
      </c>
      <c r="D459" s="17">
        <f>VLOOKUP(A444,'Neraca Unaudited SIMAK'!$A$2:$S$10004,15,FALSE)</f>
        <v>-77655668</v>
      </c>
      <c r="E459" s="25">
        <f>SUMIFS('Daftar Koreksi'!$I$5:$I$92,'Daftar Koreksi'!$D$5:$D$92,'0300'!A444,'Daftar Koreksi'!$G$5:$G$92,"Jalan Irigasi Jaringan",'Daftar Koreksi'!$I$5:$I$92,"&gt;0")</f>
        <v>0</v>
      </c>
      <c r="F459" s="25">
        <f>SUMIFS('Daftar Koreksi'!$I$5:$I$92,'Daftar Koreksi'!$D$5:$D$92,'0300'!A444,'Daftar Koreksi'!$G$5:$G$92,"Jalan Irigasi Jaringan",'Daftar Koreksi'!$I$5:$I$92,"&lt;0")-SUMIFS('Daftar Koreksi'!$I$5:$I$92,'Daftar Koreksi'!$D$5:$D$92,'0300'!A444,'Daftar Koreksi'!$G$5:$G$92,"Jalan Irigasi Jaringan",'Daftar Koreksi'!$I$5:$I$92,"&lt;0")-SUMIFS('Daftar Koreksi'!$I$5:$I$92,'Daftar Koreksi'!$D$5:$D$92,'0300'!A444,'Daftar Koreksi'!$G$5:$G$92,"Jalan Irigasi Jaringan",'Daftar Koreksi'!$I$5:$I$92,"&lt;0")</f>
        <v>0</v>
      </c>
      <c r="G459" s="17">
        <f t="shared" si="20"/>
        <v>-77655668</v>
      </c>
      <c r="H459" s="122"/>
    </row>
    <row r="460" spans="1:8" ht="21.95" customHeight="1">
      <c r="A460" s="14"/>
      <c r="B460" s="14"/>
      <c r="C460" s="16" t="s">
        <v>2090</v>
      </c>
      <c r="D460" s="17">
        <f>VLOOKUP(A444,'Neraca Unaudited SIMAK'!$A$2:$S$10004,16,FALSE)</f>
        <v>0</v>
      </c>
      <c r="E460" s="25">
        <f>SUMIFS('Daftar Koreksi'!$I$5:$I$92,'Daftar Koreksi'!$D$5:$D$92,'0300'!A444,'Daftar Koreksi'!$G$5:$G$92,"Aset Tetap Lainnya",'Daftar Koreksi'!$I$5:$I$92,"&gt;0")</f>
        <v>0</v>
      </c>
      <c r="F460" s="25">
        <f>SUMIFS('Daftar Koreksi'!$I$5:$I$92,'Daftar Koreksi'!$D$5:$D$92,'0300'!A444,'Daftar Koreksi'!$G$5:$G$92,"Aset Tetap Lainnya",'Daftar Koreksi'!$I$5:$I$92,"&lt;0")-SUMIFS('Daftar Koreksi'!$I$5:$I$92,'Daftar Koreksi'!$D$5:$D$92,'0300'!A444,'Daftar Koreksi'!$G$5:$G$92,"Aset Tetap Lainnya",'Daftar Koreksi'!$I$5:$I$92,"&lt;0")-SUMIFS('Daftar Koreksi'!$I$5:$I$92,'Daftar Koreksi'!$D$5:$D$92,'0300'!A444,'Daftar Koreksi'!$G$5:$G$92,"Aset Tetap Lainnya",'Daftar Koreksi'!$I$5:$I$92,"&lt;0")</f>
        <v>0</v>
      </c>
      <c r="G460" s="17">
        <f t="shared" si="20"/>
        <v>0</v>
      </c>
      <c r="H460" s="122"/>
    </row>
    <row r="461" spans="1:8" ht="21.95" customHeight="1">
      <c r="A461" s="14"/>
      <c r="B461" s="14"/>
      <c r="C461" s="16" t="s">
        <v>2020</v>
      </c>
      <c r="D461" s="17">
        <f>VLOOKUP(A444,'Neraca Unaudited SIMAK'!$A$2:$S$10004,17,FALSE)</f>
        <v>-20800258</v>
      </c>
      <c r="E461" s="25">
        <f>SUMIFS('Daftar Koreksi'!$I$5:$I$92,'Daftar Koreksi'!$D$5:$D$92,'0300'!A444,'Daftar Koreksi'!$G$5:$G$92,"Aset Henti Guna",'Daftar Koreksi'!$I$5:$I$92,"&gt;0")</f>
        <v>0</v>
      </c>
      <c r="F461" s="25">
        <f>SUMIFS('Daftar Koreksi'!$I$5:$I$92,'Daftar Koreksi'!$D$5:$D$92,'0300'!A444,'Daftar Koreksi'!$G$5:$G$92,"Aset Henti Guna",'Daftar Koreksi'!$I$5:$I$92,"&lt;0")-SUMIFS('Daftar Koreksi'!$I$5:$I$92,'Daftar Koreksi'!$D$5:$D$92,'0300'!A444,'Daftar Koreksi'!$G$5:$G$92,"Aset Henti Guna",'Daftar Koreksi'!$I$5:$I$92,"&lt;0")-SUMIFS('Daftar Koreksi'!$I$5:$I$92,'Daftar Koreksi'!$D$5:$D$92,'0300'!A444,'Daftar Koreksi'!$G$5:$G$92,"Aset Henti Guna",'Daftar Koreksi'!$I$5:$I$92,"&lt;0")</f>
        <v>0</v>
      </c>
      <c r="G461" s="17">
        <f t="shared" si="20"/>
        <v>-20800258</v>
      </c>
      <c r="H461" s="122"/>
    </row>
    <row r="462" spans="1:8" ht="21.95" customHeight="1">
      <c r="A462" s="14"/>
      <c r="B462" s="14"/>
      <c r="C462" s="18" t="s">
        <v>2094</v>
      </c>
      <c r="D462" s="19">
        <f>SUM(D457:D461)</f>
        <v>-2209520022</v>
      </c>
      <c r="E462" s="19">
        <f>SUM(E457:E461)</f>
        <v>0</v>
      </c>
      <c r="F462" s="19">
        <f>SUM(F457:F461)</f>
        <v>0</v>
      </c>
      <c r="G462" s="19">
        <f t="shared" si="20"/>
        <v>-2209520022</v>
      </c>
      <c r="H462" s="122"/>
    </row>
    <row r="463" spans="1:8" ht="21.95" customHeight="1">
      <c r="A463" s="14"/>
      <c r="B463" s="14"/>
      <c r="C463" s="18" t="s">
        <v>2095</v>
      </c>
      <c r="D463" s="19">
        <f>VLOOKUP(A444,'Neraca Unaudited SIMAK'!$A$2:$S$10004,18,FALSE)</f>
        <v>6252319085</v>
      </c>
      <c r="E463" s="19">
        <f>E462+E456</f>
        <v>0</v>
      </c>
      <c r="F463" s="19">
        <f>F462+F456</f>
        <v>0</v>
      </c>
      <c r="G463" s="19">
        <f t="shared" si="20"/>
        <v>6252319085</v>
      </c>
      <c r="H463" s="122"/>
    </row>
    <row r="464" spans="1:8" ht="21.95" customHeight="1">
      <c r="A464" s="14"/>
      <c r="B464" s="14"/>
      <c r="C464" s="16" t="s">
        <v>2091</v>
      </c>
      <c r="D464" s="17">
        <f>VLOOKUP(A444,'Neraca Unaudited SIMAK'!$A$2:$S$10004,19,FALSE)</f>
        <v>0</v>
      </c>
      <c r="E464" s="25"/>
      <c r="F464" s="25"/>
      <c r="G464" s="17">
        <f t="shared" si="20"/>
        <v>0</v>
      </c>
      <c r="H464" s="123"/>
    </row>
    <row r="466" spans="1:10" ht="19.5" customHeight="1">
      <c r="A466" s="11" t="str">
        <f>O22</f>
        <v>005010300097929000KD</v>
      </c>
      <c r="B466" s="11" t="str">
        <f>P22</f>
        <v>PN. Wonosobo</v>
      </c>
      <c r="C466" s="12" t="str">
        <f>A466&amp;" "&amp;B466</f>
        <v>005010300097929000KD PN. Wonosobo</v>
      </c>
      <c r="D466" s="13"/>
      <c r="E466" s="13"/>
      <c r="F466" s="13"/>
      <c r="G466" s="13"/>
      <c r="H466" s="11"/>
    </row>
    <row r="467" spans="1:10" ht="21.95" customHeight="1">
      <c r="A467" s="14"/>
      <c r="B467" s="14"/>
      <c r="C467" s="124" t="s">
        <v>1982</v>
      </c>
      <c r="D467" s="126" t="s">
        <v>1983</v>
      </c>
      <c r="E467" s="132" t="s">
        <v>1984</v>
      </c>
      <c r="F467" s="132"/>
      <c r="G467" s="126" t="s">
        <v>1987</v>
      </c>
      <c r="H467" s="130" t="s">
        <v>1175</v>
      </c>
    </row>
    <row r="468" spans="1:10" ht="21.95" customHeight="1">
      <c r="A468" s="14"/>
      <c r="B468" s="14"/>
      <c r="C468" s="125"/>
      <c r="D468" s="127"/>
      <c r="E468" s="26" t="s">
        <v>1985</v>
      </c>
      <c r="F468" s="26" t="s">
        <v>1986</v>
      </c>
      <c r="G468" s="127"/>
      <c r="H468" s="131"/>
    </row>
    <row r="469" spans="1:10" ht="21.95" customHeight="1">
      <c r="A469" s="14"/>
      <c r="B469" s="14"/>
      <c r="C469" s="16" t="s">
        <v>1165</v>
      </c>
      <c r="D469" s="17">
        <f>VLOOKUP(A466,'Neraca Unaudited SIMAK'!$A$2:$S$10004,3,FALSE)</f>
        <v>977550</v>
      </c>
      <c r="E469" s="25">
        <f>SUMIFS('Daftar Koreksi'!$H$5:$H$92,'Daftar Koreksi'!$D$5:$D$92,'0300'!A466,'Daftar Koreksi'!$G$5:$G$92,"Persediaan",'Daftar Koreksi'!$H$5:$H$92,"&gt;0")</f>
        <v>0</v>
      </c>
      <c r="F469" s="25">
        <f>SUMIFS('Daftar Koreksi'!$H$5:$H$92,'Daftar Koreksi'!$D$5:$D$92,'0300'!A466,'Daftar Koreksi'!$G$5:$G$92,"Persediaan",'Daftar Koreksi'!$H$5:$H$92,"&lt;0")-SUMIFS('Daftar Koreksi'!$H$5:$H$92,'Daftar Koreksi'!$D$5:$D$92,'0300'!A466,'Daftar Koreksi'!$G$5:$G$92,"Persediaan",'Daftar Koreksi'!$H$5:$H$92,"&lt;0")-SUMIFS('Daftar Koreksi'!$H$5:$H$92,'Daftar Koreksi'!$D$5:$D$92,'0300'!A466,'Daftar Koreksi'!$G$5:$G$92,"Persediaan",'Daftar Koreksi'!$H$5:$H$92,"&lt;0")</f>
        <v>0</v>
      </c>
      <c r="G469" s="17">
        <f>D469+E469-F469</f>
        <v>977550</v>
      </c>
      <c r="H469" s="121" t="str">
        <f>IF(ISNA(VLOOKUP(A466,'Mutasi Neraca'!$A$3:$S$914,19,FALSE)),"-",VLOOKUP(A466,'Mutasi Neraca'!$A$3:$S$914,19,FALSE))</f>
        <v>-</v>
      </c>
      <c r="I469" s="28"/>
      <c r="J469" s="28"/>
    </row>
    <row r="470" spans="1:10" ht="21.95" customHeight="1">
      <c r="A470" s="14"/>
      <c r="B470" s="14"/>
      <c r="C470" s="16" t="s">
        <v>1166</v>
      </c>
      <c r="D470" s="17">
        <f>VLOOKUP(A466,'Neraca Unaudited SIMAK'!$A$2:$S$10004,4,FALSE)</f>
        <v>5863415000</v>
      </c>
      <c r="E470" s="25">
        <f>SUMIFS('Daftar Koreksi'!$H$5:$H$92,'Daftar Koreksi'!$D$5:$D$92,'0300'!A466,'Daftar Koreksi'!$G$5:$G$92,"Tanah",'Daftar Koreksi'!$H$5:$H$92,"&gt;0")</f>
        <v>0</v>
      </c>
      <c r="F470" s="25">
        <f>SUMIFS('Daftar Koreksi'!$H$5:$H$92,'Daftar Koreksi'!$D$5:$D$92,'0300'!A466,'Daftar Koreksi'!$G$5:$G$92,"Tanah",'Daftar Koreksi'!$H$5:$H$92,"&lt;0")-SUMIFS('Daftar Koreksi'!$H$5:$H$92,'Daftar Koreksi'!$D$5:$D$92,'0300'!A466,'Daftar Koreksi'!$G$5:$G$92,"Tanah",'Daftar Koreksi'!$H$5:$H$92,"&lt;0")-SUMIFS('Daftar Koreksi'!$H$5:$H$92,'Daftar Koreksi'!$D$5:$D$92,'0300'!A466,'Daftar Koreksi'!$G$5:$G$92,"Tanah",'Daftar Koreksi'!$H$5:$H$92,"&lt;0")</f>
        <v>0</v>
      </c>
      <c r="G470" s="17">
        <f t="shared" ref="G470:G486" si="21">D470+E470-F470</f>
        <v>5863415000</v>
      </c>
      <c r="H470" s="122"/>
      <c r="I470" s="28"/>
      <c r="J470" s="28"/>
    </row>
    <row r="471" spans="1:10" ht="21.95" customHeight="1">
      <c r="A471" s="14"/>
      <c r="B471" s="14"/>
      <c r="C471" s="16" t="s">
        <v>1167</v>
      </c>
      <c r="D471" s="17">
        <f>VLOOKUP(A466,'Neraca Unaudited SIMAK'!$A$2:$S$10004,5,FALSE)</f>
        <v>1848425959</v>
      </c>
      <c r="E471" s="25">
        <f>SUMIFS('Daftar Koreksi'!$H$5:$H$92,'Daftar Koreksi'!$D$5:$D$92,'0300'!A466,'Daftar Koreksi'!$G$5:$G$92,"Peralatan dan mesin",'Daftar Koreksi'!$H$5:$H$92,"&gt;0")</f>
        <v>0</v>
      </c>
      <c r="F471" s="25">
        <f>SUMIFS('Daftar Koreksi'!$H$5:$H$92,'Daftar Koreksi'!$D$5:$D$92,'0300'!A466,'Daftar Koreksi'!$G$5:$G$92,"Peralatan dan mesin",'Daftar Koreksi'!$H$5:$H$92,"&lt;0")-SUMIFS('Daftar Koreksi'!$H$5:$H$92,'Daftar Koreksi'!$D$5:$D$92,'0300'!A466,'Daftar Koreksi'!$G$5:$G$92,"Peralatan dan mesin",'Daftar Koreksi'!$H$5:$H$92,"&lt;0")-SUMIFS('Daftar Koreksi'!$H$5:$H$92,'Daftar Koreksi'!$D$5:$D$92,'0300'!A466,'Daftar Koreksi'!$G$5:$G$92,"Peralatan dan mesin",'Daftar Koreksi'!$H$5:$H$92,"&lt;0")</f>
        <v>0</v>
      </c>
      <c r="G471" s="17">
        <f t="shared" si="21"/>
        <v>1848425959</v>
      </c>
      <c r="H471" s="122"/>
      <c r="I471" s="28"/>
      <c r="J471" s="28"/>
    </row>
    <row r="472" spans="1:10" ht="21.95" customHeight="1">
      <c r="A472" s="14"/>
      <c r="B472" s="14"/>
      <c r="C472" s="16" t="s">
        <v>1168</v>
      </c>
      <c r="D472" s="17">
        <f>VLOOKUP(A466,'Neraca Unaudited SIMAK'!$A$2:$S$10004,6,FALSE)</f>
        <v>3787051850</v>
      </c>
      <c r="E472" s="25">
        <f>SUMIFS('Daftar Koreksi'!$H$5:$H$92,'Daftar Koreksi'!$D$5:$D$92,'0300'!A466,'Daftar Koreksi'!$G$5:$G$92,"Gedung dan Bangunan",'Daftar Koreksi'!$H$5:$H$92,"&gt;0")</f>
        <v>0</v>
      </c>
      <c r="F472" s="25">
        <f>SUMIFS('Daftar Koreksi'!$H$5:$H$92,'Daftar Koreksi'!$D$5:$D$92,'0300'!A466,'Daftar Koreksi'!$G$5:$G$92,"Gedung dan Bangunan",'Daftar Koreksi'!$H$5:$H$92,"&lt;0")-SUMIFS('Daftar Koreksi'!$H$5:$H$92,'Daftar Koreksi'!$D$5:$D$92,'0300'!A466,'Daftar Koreksi'!$G$5:$G$92,"Gedung dan Bangunan",'Daftar Koreksi'!$H$5:$H$92,"&lt;0")-SUMIFS('Daftar Koreksi'!$H$5:$H$92,'Daftar Koreksi'!$D$5:$D$92,'0300'!A466,'Daftar Koreksi'!$G$5:$G$92,"Gedung dan Bangunan",'Daftar Koreksi'!$H$5:$H$92,"&lt;0")</f>
        <v>0</v>
      </c>
      <c r="G472" s="17">
        <f t="shared" si="21"/>
        <v>3787051850</v>
      </c>
      <c r="H472" s="122"/>
      <c r="I472" s="28"/>
      <c r="J472" s="28"/>
    </row>
    <row r="473" spans="1:10" ht="21.95" customHeight="1">
      <c r="A473" s="14"/>
      <c r="B473" s="14"/>
      <c r="C473" s="16" t="s">
        <v>1169</v>
      </c>
      <c r="D473" s="17">
        <f>VLOOKUP(A466,'Neraca Unaudited SIMAK'!$A$2:$S$10004,7,FALSE)</f>
        <v>0</v>
      </c>
      <c r="E473" s="25">
        <f>SUMIFS('Daftar Koreksi'!$H$5:$H$92,'Daftar Koreksi'!$D$5:$D$92,'0300'!A466,'Daftar Koreksi'!$G$5:$G$92,"Jalan Irigasi Jaringan",'Daftar Koreksi'!$H$5:$H$92,"&gt;0")</f>
        <v>0</v>
      </c>
      <c r="F473" s="25">
        <f>SUMIFS('Daftar Koreksi'!$H$5:$H$92,'Daftar Koreksi'!$D$5:$D$92,'0300'!A466,'Daftar Koreksi'!$G$5:$G$92,"Jalan Irigasi Jaringan",'Daftar Koreksi'!$H$5:$H$92,"&lt;0")-SUMIFS('Daftar Koreksi'!$H$5:$H$92,'Daftar Koreksi'!$D$5:$D$92,'0300'!A466,'Daftar Koreksi'!$G$5:$G$92,"Jalan Irigasi Jaringan",'Daftar Koreksi'!$H$5:$H$92,"&lt;0")-SUMIFS('Daftar Koreksi'!$H$5:$H$92,'Daftar Koreksi'!$D$5:$D$92,'0300'!A466,'Daftar Koreksi'!$G$5:$G$92,"Jalan Irigasi Jaringan",'Daftar Koreksi'!$H$5:$H$92,"&lt;0")</f>
        <v>0</v>
      </c>
      <c r="G473" s="17">
        <f t="shared" si="21"/>
        <v>0</v>
      </c>
      <c r="H473" s="122"/>
      <c r="I473" s="28"/>
      <c r="J473" s="28"/>
    </row>
    <row r="474" spans="1:10" ht="21.95" customHeight="1">
      <c r="A474" s="14"/>
      <c r="B474" s="14"/>
      <c r="C474" s="16" t="s">
        <v>1170</v>
      </c>
      <c r="D474" s="17">
        <f>VLOOKUP(A466,'Neraca Unaudited SIMAK'!$A$2:$S$10004,8,FALSE)</f>
        <v>9434740</v>
      </c>
      <c r="E474" s="25">
        <f>SUMIFS('Daftar Koreksi'!$H$5:$H$92,'Daftar Koreksi'!$D$5:$D$92,'0300'!A466,'Daftar Koreksi'!$G$5:$G$92,"Aset Tetap Lainnya",'Daftar Koreksi'!$H$5:$H$92,"&gt;0")</f>
        <v>0</v>
      </c>
      <c r="F474" s="25">
        <f>SUMIFS('Daftar Koreksi'!$H$5:$H$92,'Daftar Koreksi'!$D$5:$D$92,'0300'!A466,'Daftar Koreksi'!$G$5:$G$92,"Aset Tetap Lainnya",'Daftar Koreksi'!$H$5:$H$92,"&lt;0")-SUMIFS('Daftar Koreksi'!$H$5:$H$92,'Daftar Koreksi'!$D$5:$D$92,'0300'!A466,'Daftar Koreksi'!$G$5:$G$92,"Aset Tetap Lainnya",'Daftar Koreksi'!$H$5:$H$92,"&lt;0")-SUMIFS('Daftar Koreksi'!$H$5:$H$92,'Daftar Koreksi'!$D$5:$D$92,'0300'!A466,'Daftar Koreksi'!$G$5:$G$92,"Aset Tetap Lainnya",'Daftar Koreksi'!$H$5:$H$92,"&lt;0")</f>
        <v>0</v>
      </c>
      <c r="G474" s="17">
        <f t="shared" si="21"/>
        <v>9434740</v>
      </c>
      <c r="H474" s="122"/>
      <c r="I474" s="28"/>
      <c r="J474" s="28"/>
    </row>
    <row r="475" spans="1:10" ht="21.95" customHeight="1">
      <c r="A475" s="14"/>
      <c r="B475" s="14"/>
      <c r="C475" s="16" t="s">
        <v>1171</v>
      </c>
      <c r="D475" s="17">
        <f>VLOOKUP(A466,'Neraca Unaudited SIMAK'!$A$2:$S$10004,9,FALSE)</f>
        <v>0</v>
      </c>
      <c r="E475" s="25">
        <f>SUMIFS('Daftar Koreksi'!$H$5:$H$92,'Daftar Koreksi'!$D$5:$D$92,'0300'!A466,'Daftar Koreksi'!$G$5:$G$92,"Kontruksi Dalam Pengerjaan",'Daftar Koreksi'!$H$5:$H$92,"&gt;0")</f>
        <v>0</v>
      </c>
      <c r="F475" s="25">
        <f>SUMIFS('Daftar Koreksi'!$H$5:$H$92,'Daftar Koreksi'!$D$5:$D$92,'0300'!A466,'Daftar Koreksi'!$G$5:$G$92,"Kontruksi Dalam Pengerjaan",'Daftar Koreksi'!$H$5:$H$92,"&lt;0")-SUMIFS('Daftar Koreksi'!$H$5:$H$92,'Daftar Koreksi'!$D$5:$D$92,'0300'!A466,'Daftar Koreksi'!$G$5:$G$92,"Kontruksi Dalam Pengerjaan",'Daftar Koreksi'!$H$5:$H$92,"&lt;0")-SUMIFS('Daftar Koreksi'!$H$5:$H$92,'Daftar Koreksi'!$D$5:$D$92,'0300'!A466,'Daftar Koreksi'!$G$5:$G$92,"Kontruksi Dalam Pengerjaan",'Daftar Koreksi'!$H$5:$H$92,"&lt;0")</f>
        <v>0</v>
      </c>
      <c r="G475" s="17">
        <f t="shared" si="21"/>
        <v>0</v>
      </c>
      <c r="H475" s="122"/>
      <c r="I475" s="28"/>
      <c r="J475" s="28"/>
    </row>
    <row r="476" spans="1:10" ht="21.95" customHeight="1">
      <c r="A476" s="14"/>
      <c r="B476" s="14"/>
      <c r="C476" s="16" t="s">
        <v>1172</v>
      </c>
      <c r="D476" s="17">
        <f>VLOOKUP(A466,'Neraca Unaudited SIMAK'!$A$2:$S$10004,10,FALSE)</f>
        <v>0</v>
      </c>
      <c r="E476" s="25">
        <f>SUMIFS('Daftar Koreksi'!$H$5:$H$92,'Daftar Koreksi'!$D$5:$D$92,'0300'!A466,'Daftar Koreksi'!$G$5:$G$92,"Aset Tak Berwujud",'Daftar Koreksi'!$H$5:$H$92,"&gt;0")</f>
        <v>0</v>
      </c>
      <c r="F476" s="25">
        <f>SUMIFS('Daftar Koreksi'!$H$5:$H$92,'Daftar Koreksi'!$D$5:$D$92,'0300'!A466,'Daftar Koreksi'!$G$5:$G$92,"Aset Tak Berwujud",'Daftar Koreksi'!$H$5:$H$92,"&lt;0")-SUMIFS('Daftar Koreksi'!$H$5:$H$92,'Daftar Koreksi'!$D$5:$D$92,'0300'!A466,'Daftar Koreksi'!$G$5:$G$92,"Aset Tak Berwujud",'Daftar Koreksi'!$H$5:$H$92,"&lt;0")-SUMIFS('Daftar Koreksi'!$H$5:$H$92,'Daftar Koreksi'!$D$5:$D$92,'0300'!A466,'Daftar Koreksi'!$G$5:$G$92,"Aset Tak Berwujud",'Daftar Koreksi'!$H$5:$H$92,"&lt;0")</f>
        <v>0</v>
      </c>
      <c r="G476" s="17">
        <f t="shared" si="21"/>
        <v>0</v>
      </c>
      <c r="H476" s="122"/>
      <c r="I476" s="28"/>
      <c r="J476" s="28"/>
    </row>
    <row r="477" spans="1:10" ht="21.95" customHeight="1">
      <c r="A477" s="14"/>
      <c r="B477" s="14"/>
      <c r="C477" s="16" t="s">
        <v>1173</v>
      </c>
      <c r="D477" s="17">
        <f>VLOOKUP(A466,'Neraca Unaudited SIMAK'!$A$2:$S$10004,11,FALSE)</f>
        <v>76977783</v>
      </c>
      <c r="E477" s="25">
        <f>SUMIFS('Daftar Koreksi'!$H$5:$H$92,'Daftar Koreksi'!$D$5:$D$92,'0300'!A466,'Daftar Koreksi'!$G$5:$G$92,"Aset Henti Guna",'Daftar Koreksi'!$H$5:$H$92,"&gt;0")</f>
        <v>0</v>
      </c>
      <c r="F477" s="25">
        <f>SUMIFS('Daftar Koreksi'!$H$5:$H$92,'Daftar Koreksi'!$D$5:$D$92,'0300'!A466,'Daftar Koreksi'!$G$5:$G$92,"Aset Henti Guna",'Daftar Koreksi'!$H$5:$H$92,"&lt;0")-SUMIFS('Daftar Koreksi'!$H$5:$H$92,'Daftar Koreksi'!$D$5:$D$92,'0300'!A466,'Daftar Koreksi'!$G$5:$G$92,"Aset Henti Guna",'Daftar Koreksi'!$H$5:$H$92,"&lt;0")-SUMIFS('Daftar Koreksi'!$H$5:$H$92,'Daftar Koreksi'!$D$5:$D$92,'0300'!A466,'Daftar Koreksi'!$G$5:$G$92,"Aset Henti Guna",'Daftar Koreksi'!$H$5:$H$92,"&lt;0")</f>
        <v>0</v>
      </c>
      <c r="G477" s="17">
        <f t="shared" si="21"/>
        <v>76977783</v>
      </c>
      <c r="H477" s="122"/>
      <c r="I477" s="28"/>
      <c r="J477" s="28"/>
    </row>
    <row r="478" spans="1:10" ht="21.95" customHeight="1">
      <c r="A478" s="14"/>
      <c r="B478" s="14"/>
      <c r="C478" s="18" t="s">
        <v>2093</v>
      </c>
      <c r="D478" s="19">
        <f>VLOOKUP(A466,'Neraca Unaudited SIMAK'!$A$2:$S$10004,12,FALSE)</f>
        <v>11586282882</v>
      </c>
      <c r="E478" s="19">
        <f>SUM(E469:E477)</f>
        <v>0</v>
      </c>
      <c r="F478" s="19">
        <f>SUM(F469:F477)</f>
        <v>0</v>
      </c>
      <c r="G478" s="19">
        <f t="shared" si="21"/>
        <v>11586282882</v>
      </c>
      <c r="H478" s="122"/>
      <c r="I478" s="28"/>
      <c r="J478" s="28"/>
    </row>
    <row r="479" spans="1:10" ht="21.95" customHeight="1">
      <c r="A479" s="14"/>
      <c r="B479" s="14"/>
      <c r="C479" s="16" t="s">
        <v>2087</v>
      </c>
      <c r="D479" s="17">
        <f>VLOOKUP(A466,'Neraca Unaudited SIMAK'!$A$2:$S$10004,13,FALSE)</f>
        <v>-1423789949</v>
      </c>
      <c r="E479" s="25">
        <f>SUMIFS('Daftar Koreksi'!$I$5:$I$92,'Daftar Koreksi'!$D$5:$D$92,'0300'!A466,'Daftar Koreksi'!$G$5:$G$92,"Peralatan dan mesin",'Daftar Koreksi'!$I$5:$I$92,"&gt;0")</f>
        <v>0</v>
      </c>
      <c r="F479" s="25">
        <f>SUMIFS('Daftar Koreksi'!$I$5:$I$92,'Daftar Koreksi'!$D$5:$D$92,'0300'!A466,'Daftar Koreksi'!$G$5:$G$92,"Peralatan dan mesin",'Daftar Koreksi'!$I$5:$I$92,"&lt;0")-SUMIFS('Daftar Koreksi'!$I$5:$I$92,'Daftar Koreksi'!$D$5:$D$92,'0300'!A466,'Daftar Koreksi'!$G$5:$G$92,"Peralatan dan mesin",'Daftar Koreksi'!$I$5:$I$92,"&lt;0")-SUMIFS('Daftar Koreksi'!$I$5:$I$92,'Daftar Koreksi'!$D$5:$D$92,'0300'!A466,'Daftar Koreksi'!$G$5:$G$92,"Peralatan dan mesin",'Daftar Koreksi'!$I$5:$I$92,"&lt;0")</f>
        <v>0</v>
      </c>
      <c r="G479" s="17">
        <f t="shared" si="21"/>
        <v>-1423789949</v>
      </c>
      <c r="H479" s="122"/>
      <c r="I479" s="28"/>
      <c r="J479" s="28"/>
    </row>
    <row r="480" spans="1:10" ht="21.95" customHeight="1">
      <c r="A480" s="14"/>
      <c r="B480" s="14"/>
      <c r="C480" s="16" t="s">
        <v>2088</v>
      </c>
      <c r="D480" s="17">
        <f>VLOOKUP(A466,'Neraca Unaudited SIMAK'!$A$2:$S$10004,14,FALSE)</f>
        <v>-661152809</v>
      </c>
      <c r="E480" s="25">
        <f>SUMIFS('Daftar Koreksi'!$I$5:$I$92,'Daftar Koreksi'!$D$5:$D$92,'0300'!A466,'Daftar Koreksi'!$G$5:$G$92,"Gedung dan Bangunan",'Daftar Koreksi'!$I$5:$I$92,"&gt;0")</f>
        <v>0</v>
      </c>
      <c r="F480" s="25">
        <f>SUMIFS('Daftar Koreksi'!$I$5:$I$92,'Daftar Koreksi'!$D$5:$D$92,'0300'!A466,'Daftar Koreksi'!$G$5:$G$92,"Gedung dan Bangunan",'Daftar Koreksi'!$I$5:$I$92,"&lt;0")-SUMIFS('Daftar Koreksi'!$I$5:$I$92,'Daftar Koreksi'!$D$5:$D$92,'0300'!A466,'Daftar Koreksi'!$G$5:$G$92,"Gedung dan Bangunan",'Daftar Koreksi'!$I$5:$I$92,"&lt;0")-SUMIFS('Daftar Koreksi'!$I$5:$I$92,'Daftar Koreksi'!$D$5:$D$92,'0300'!A466,'Daftar Koreksi'!$G$5:$G$92,"Gedung dan Bangunan",'Daftar Koreksi'!$I$5:$I$92,"&lt;0")</f>
        <v>0</v>
      </c>
      <c r="G480" s="17">
        <f t="shared" si="21"/>
        <v>-661152809</v>
      </c>
      <c r="H480" s="122"/>
      <c r="I480" s="28"/>
      <c r="J480" s="28"/>
    </row>
    <row r="481" spans="1:10" ht="21.95" customHeight="1">
      <c r="A481" s="14"/>
      <c r="B481" s="14"/>
      <c r="C481" s="16" t="s">
        <v>2089</v>
      </c>
      <c r="D481" s="17">
        <f>VLOOKUP(A466,'Neraca Unaudited SIMAK'!$A$2:$S$10004,15,FALSE)</f>
        <v>0</v>
      </c>
      <c r="E481" s="25">
        <f>SUMIFS('Daftar Koreksi'!$I$5:$I$92,'Daftar Koreksi'!$D$5:$D$92,'0300'!A466,'Daftar Koreksi'!$G$5:$G$92,"Jalan Irigasi Jaringan",'Daftar Koreksi'!$I$5:$I$92,"&gt;0")</f>
        <v>0</v>
      </c>
      <c r="F481" s="25">
        <f>SUMIFS('Daftar Koreksi'!$I$5:$I$92,'Daftar Koreksi'!$D$5:$D$92,'0300'!A466,'Daftar Koreksi'!$G$5:$G$92,"Jalan Irigasi Jaringan",'Daftar Koreksi'!$I$5:$I$92,"&lt;0")-SUMIFS('Daftar Koreksi'!$I$5:$I$92,'Daftar Koreksi'!$D$5:$D$92,'0300'!A466,'Daftar Koreksi'!$G$5:$G$92,"Jalan Irigasi Jaringan",'Daftar Koreksi'!$I$5:$I$92,"&lt;0")-SUMIFS('Daftar Koreksi'!$I$5:$I$92,'Daftar Koreksi'!$D$5:$D$92,'0300'!A466,'Daftar Koreksi'!$G$5:$G$92,"Jalan Irigasi Jaringan",'Daftar Koreksi'!$I$5:$I$92,"&lt;0")</f>
        <v>0</v>
      </c>
      <c r="G481" s="17">
        <f t="shared" si="21"/>
        <v>0</v>
      </c>
      <c r="H481" s="122"/>
      <c r="I481" s="28"/>
      <c r="J481" s="28"/>
    </row>
    <row r="482" spans="1:10" ht="21.95" customHeight="1">
      <c r="A482" s="14"/>
      <c r="B482" s="14"/>
      <c r="C482" s="16" t="s">
        <v>2090</v>
      </c>
      <c r="D482" s="17">
        <f>VLOOKUP(A466,'Neraca Unaudited SIMAK'!$A$2:$S$10004,16,FALSE)</f>
        <v>0</v>
      </c>
      <c r="E482" s="25">
        <f>SUMIFS('Daftar Koreksi'!$I$5:$I$92,'Daftar Koreksi'!$D$5:$D$92,'0300'!A466,'Daftar Koreksi'!$G$5:$G$92,"Aset Tetap Lainnya",'Daftar Koreksi'!$I$5:$I$92,"&gt;0")</f>
        <v>0</v>
      </c>
      <c r="F482" s="25">
        <f>SUMIFS('Daftar Koreksi'!$I$5:$I$92,'Daftar Koreksi'!$D$5:$D$92,'0300'!A466,'Daftar Koreksi'!$G$5:$G$92,"Aset Tetap Lainnya",'Daftar Koreksi'!$I$5:$I$92,"&lt;0")-SUMIFS('Daftar Koreksi'!$I$5:$I$92,'Daftar Koreksi'!$D$5:$D$92,'0300'!A466,'Daftar Koreksi'!$G$5:$G$92,"Aset Tetap Lainnya",'Daftar Koreksi'!$I$5:$I$92,"&lt;0")-SUMIFS('Daftar Koreksi'!$I$5:$I$92,'Daftar Koreksi'!$D$5:$D$92,'0300'!A466,'Daftar Koreksi'!$G$5:$G$92,"Aset Tetap Lainnya",'Daftar Koreksi'!$I$5:$I$92,"&lt;0")</f>
        <v>0</v>
      </c>
      <c r="G482" s="17">
        <f t="shared" si="21"/>
        <v>0</v>
      </c>
      <c r="H482" s="122"/>
      <c r="I482" s="28"/>
      <c r="J482" s="28"/>
    </row>
    <row r="483" spans="1:10" ht="21.95" customHeight="1">
      <c r="A483" s="14"/>
      <c r="B483" s="14"/>
      <c r="C483" s="16" t="s">
        <v>2020</v>
      </c>
      <c r="D483" s="17">
        <f>VLOOKUP(A466,'Neraca Unaudited SIMAK'!$A$2:$S$10004,17,FALSE)</f>
        <v>-75170283</v>
      </c>
      <c r="E483" s="25">
        <f>SUMIFS('Daftar Koreksi'!$I$5:$I$92,'Daftar Koreksi'!$D$5:$D$92,'0300'!A466,'Daftar Koreksi'!$G$5:$G$92,"Aset Henti Guna",'Daftar Koreksi'!$I$5:$I$92,"&gt;0")</f>
        <v>0</v>
      </c>
      <c r="F483" s="25">
        <f>SUMIFS('Daftar Koreksi'!$I$5:$I$92,'Daftar Koreksi'!$D$5:$D$92,'0300'!A466,'Daftar Koreksi'!$G$5:$G$92,"Aset Henti Guna",'Daftar Koreksi'!$I$5:$I$92,"&lt;0")-SUMIFS('Daftar Koreksi'!$I$5:$I$92,'Daftar Koreksi'!$D$5:$D$92,'0300'!A466,'Daftar Koreksi'!$G$5:$G$92,"Aset Henti Guna",'Daftar Koreksi'!$I$5:$I$92,"&lt;0")-SUMIFS('Daftar Koreksi'!$I$5:$I$92,'Daftar Koreksi'!$D$5:$D$92,'0300'!A466,'Daftar Koreksi'!$G$5:$G$92,"Aset Henti Guna",'Daftar Koreksi'!$I$5:$I$92,"&lt;0")</f>
        <v>0</v>
      </c>
      <c r="G483" s="17">
        <f t="shared" si="21"/>
        <v>-75170283</v>
      </c>
      <c r="H483" s="122"/>
      <c r="I483" s="28"/>
      <c r="J483" s="28"/>
    </row>
    <row r="484" spans="1:10" ht="21.95" customHeight="1">
      <c r="A484" s="14"/>
      <c r="B484" s="14"/>
      <c r="C484" s="18" t="s">
        <v>2094</v>
      </c>
      <c r="D484" s="19">
        <f>SUM(D479:D483)</f>
        <v>-2160113041</v>
      </c>
      <c r="E484" s="19">
        <f>SUM(E479:E483)</f>
        <v>0</v>
      </c>
      <c r="F484" s="19">
        <f>SUM(F479:F483)</f>
        <v>0</v>
      </c>
      <c r="G484" s="19">
        <f t="shared" si="21"/>
        <v>-2160113041</v>
      </c>
      <c r="H484" s="122"/>
      <c r="I484" s="28"/>
      <c r="J484" s="28"/>
    </row>
    <row r="485" spans="1:10" ht="21.95" customHeight="1">
      <c r="A485" s="14"/>
      <c r="B485" s="14"/>
      <c r="C485" s="18" t="s">
        <v>2095</v>
      </c>
      <c r="D485" s="19">
        <f>VLOOKUP(A466,'Neraca Unaudited SIMAK'!$A$2:$S$10004,18,FALSE)</f>
        <v>9426169841</v>
      </c>
      <c r="E485" s="19">
        <f>E484+E478</f>
        <v>0</v>
      </c>
      <c r="F485" s="19">
        <f>F484+F478</f>
        <v>0</v>
      </c>
      <c r="G485" s="19">
        <f t="shared" si="21"/>
        <v>9426169841</v>
      </c>
      <c r="H485" s="122"/>
      <c r="I485" s="28"/>
      <c r="J485" s="28"/>
    </row>
    <row r="486" spans="1:10" ht="21.95" customHeight="1">
      <c r="A486" s="14"/>
      <c r="B486" s="14"/>
      <c r="C486" s="16" t="s">
        <v>2091</v>
      </c>
      <c r="D486" s="17">
        <f>VLOOKUP(A466,'Neraca Unaudited SIMAK'!$A$2:$S$10004,19,FALSE)</f>
        <v>0</v>
      </c>
      <c r="E486" s="25"/>
      <c r="F486" s="25"/>
      <c r="G486" s="17">
        <f t="shared" si="21"/>
        <v>0</v>
      </c>
      <c r="H486" s="123"/>
      <c r="I486" s="28"/>
      <c r="J486" s="28"/>
    </row>
    <row r="488" spans="1:10" ht="19.5" customHeight="1">
      <c r="A488" s="11" t="str">
        <f>O23</f>
        <v>005010300097933000KD</v>
      </c>
      <c r="B488" s="11" t="str">
        <f>P23</f>
        <v>PN. Surakarta</v>
      </c>
      <c r="C488" s="12" t="str">
        <f>A488&amp;" "&amp;B488</f>
        <v>005010300097933000KD PN. Surakarta</v>
      </c>
      <c r="D488" s="13"/>
      <c r="E488" s="13"/>
      <c r="F488" s="13"/>
      <c r="G488" s="13"/>
      <c r="H488" s="11"/>
    </row>
    <row r="489" spans="1:10" ht="21.95" customHeight="1">
      <c r="A489" s="14"/>
      <c r="B489" s="14"/>
      <c r="C489" s="124" t="s">
        <v>1982</v>
      </c>
      <c r="D489" s="126" t="s">
        <v>1983</v>
      </c>
      <c r="E489" s="132" t="s">
        <v>1984</v>
      </c>
      <c r="F489" s="132"/>
      <c r="G489" s="126" t="s">
        <v>1987</v>
      </c>
      <c r="H489" s="130" t="s">
        <v>1175</v>
      </c>
    </row>
    <row r="490" spans="1:10" ht="21.95" customHeight="1">
      <c r="A490" s="14"/>
      <c r="B490" s="14"/>
      <c r="C490" s="125"/>
      <c r="D490" s="127"/>
      <c r="E490" s="26" t="s">
        <v>1985</v>
      </c>
      <c r="F490" s="26" t="s">
        <v>1986</v>
      </c>
      <c r="G490" s="127"/>
      <c r="H490" s="131"/>
    </row>
    <row r="491" spans="1:10" ht="21.95" customHeight="1">
      <c r="A491" s="14"/>
      <c r="B491" s="14"/>
      <c r="C491" s="16" t="s">
        <v>1165</v>
      </c>
      <c r="D491" s="17">
        <f>VLOOKUP(A488,'Neraca Unaudited SIMAK'!$A$2:$S$10004,3,FALSE)</f>
        <v>1440200</v>
      </c>
      <c r="E491" s="25">
        <f>SUMIFS('Daftar Koreksi'!$H$5:$H$92,'Daftar Koreksi'!$D$5:$D$92,'0300'!A488,'Daftar Koreksi'!$G$5:$G$92,"Persediaan",'Daftar Koreksi'!$H$5:$H$92,"&gt;0")</f>
        <v>0</v>
      </c>
      <c r="F491" s="25">
        <f>SUMIFS('Daftar Koreksi'!$H$5:$H$92,'Daftar Koreksi'!$D$5:$D$92,'0300'!A488,'Daftar Koreksi'!$G$5:$G$92,"Persediaan",'Daftar Koreksi'!$H$5:$H$92,"&lt;0")-SUMIFS('Daftar Koreksi'!$H$5:$H$92,'Daftar Koreksi'!$D$5:$D$92,'0300'!A488,'Daftar Koreksi'!$G$5:$G$92,"Persediaan",'Daftar Koreksi'!$H$5:$H$92,"&lt;0")-SUMIFS('Daftar Koreksi'!$H$5:$H$92,'Daftar Koreksi'!$D$5:$D$92,'0300'!A488,'Daftar Koreksi'!$G$5:$G$92,"Persediaan",'Daftar Koreksi'!$H$5:$H$92,"&lt;0")</f>
        <v>0</v>
      </c>
      <c r="G491" s="17">
        <f>D491+E491-F491</f>
        <v>1440200</v>
      </c>
      <c r="H491" s="121" t="str">
        <f>IF(ISNA(VLOOKUP(A488,'Mutasi Neraca'!$A$3:$S$914,19,FALSE)),"-",VLOOKUP(A488,'Mutasi Neraca'!$A$3:$S$914,19,FALSE))</f>
        <v>-</v>
      </c>
    </row>
    <row r="492" spans="1:10" ht="21.95" customHeight="1">
      <c r="A492" s="14"/>
      <c r="B492" s="14"/>
      <c r="C492" s="16" t="s">
        <v>1166</v>
      </c>
      <c r="D492" s="17">
        <f>VLOOKUP(A488,'Neraca Unaudited SIMAK'!$A$2:$S$10004,4,FALSE)</f>
        <v>53154936000</v>
      </c>
      <c r="E492" s="25">
        <f>SUMIFS('Daftar Koreksi'!$H$5:$H$92,'Daftar Koreksi'!$D$5:$D$92,'0300'!A488,'Daftar Koreksi'!$G$5:$G$92,"Tanah",'Daftar Koreksi'!$H$5:$H$92,"&gt;0")</f>
        <v>0</v>
      </c>
      <c r="F492" s="25">
        <f>SUMIFS('Daftar Koreksi'!$H$5:$H$92,'Daftar Koreksi'!$D$5:$D$92,'0300'!A488,'Daftar Koreksi'!$G$5:$G$92,"Tanah",'Daftar Koreksi'!$H$5:$H$92,"&lt;0")-SUMIFS('Daftar Koreksi'!$H$5:$H$92,'Daftar Koreksi'!$D$5:$D$92,'0300'!A488,'Daftar Koreksi'!$G$5:$G$92,"Tanah",'Daftar Koreksi'!$H$5:$H$92,"&lt;0")-SUMIFS('Daftar Koreksi'!$H$5:$H$92,'Daftar Koreksi'!$D$5:$D$92,'0300'!A488,'Daftar Koreksi'!$G$5:$G$92,"Tanah",'Daftar Koreksi'!$H$5:$H$92,"&lt;0")</f>
        <v>0</v>
      </c>
      <c r="G492" s="17">
        <f t="shared" ref="G492:G508" si="22">D492+E492-F492</f>
        <v>53154936000</v>
      </c>
      <c r="H492" s="122"/>
    </row>
    <row r="493" spans="1:10" ht="21.95" customHeight="1">
      <c r="A493" s="14"/>
      <c r="B493" s="14"/>
      <c r="C493" s="16" t="s">
        <v>1167</v>
      </c>
      <c r="D493" s="17">
        <f>VLOOKUP(A488,'Neraca Unaudited SIMAK'!$A$2:$S$10004,5,FALSE)</f>
        <v>2533577382</v>
      </c>
      <c r="E493" s="25">
        <f>SUMIFS('Daftar Koreksi'!$H$5:$H$92,'Daftar Koreksi'!$D$5:$D$92,'0300'!A488,'Daftar Koreksi'!$G$5:$G$92,"Peralatan dan mesin",'Daftar Koreksi'!$H$5:$H$92,"&gt;0")</f>
        <v>0</v>
      </c>
      <c r="F493" s="25">
        <f>SUMIFS('Daftar Koreksi'!$H$5:$H$92,'Daftar Koreksi'!$D$5:$D$92,'0300'!A488,'Daftar Koreksi'!$G$5:$G$92,"Peralatan dan mesin",'Daftar Koreksi'!$H$5:$H$92,"&lt;0")-SUMIFS('Daftar Koreksi'!$H$5:$H$92,'Daftar Koreksi'!$D$5:$D$92,'0300'!A488,'Daftar Koreksi'!$G$5:$G$92,"Peralatan dan mesin",'Daftar Koreksi'!$H$5:$H$92,"&lt;0")-SUMIFS('Daftar Koreksi'!$H$5:$H$92,'Daftar Koreksi'!$D$5:$D$92,'0300'!A488,'Daftar Koreksi'!$G$5:$G$92,"Peralatan dan mesin",'Daftar Koreksi'!$H$5:$H$92,"&lt;0")</f>
        <v>0</v>
      </c>
      <c r="G493" s="17">
        <f t="shared" si="22"/>
        <v>2533577382</v>
      </c>
      <c r="H493" s="122"/>
    </row>
    <row r="494" spans="1:10" ht="21.95" customHeight="1">
      <c r="A494" s="14"/>
      <c r="B494" s="14"/>
      <c r="C494" s="16" t="s">
        <v>1168</v>
      </c>
      <c r="D494" s="17">
        <f>VLOOKUP(A488,'Neraca Unaudited SIMAK'!$A$2:$S$10004,6,FALSE)</f>
        <v>5394334400</v>
      </c>
      <c r="E494" s="25">
        <f>SUMIFS('Daftar Koreksi'!$H$5:$H$92,'Daftar Koreksi'!$D$5:$D$92,'0300'!A488,'Daftar Koreksi'!$G$5:$G$92,"Gedung dan Bangunan",'Daftar Koreksi'!$H$5:$H$92,"&gt;0")</f>
        <v>0</v>
      </c>
      <c r="F494" s="25">
        <f>SUMIFS('Daftar Koreksi'!$H$5:$H$92,'Daftar Koreksi'!$D$5:$D$92,'0300'!A488,'Daftar Koreksi'!$G$5:$G$92,"Gedung dan Bangunan",'Daftar Koreksi'!$H$5:$H$92,"&lt;0")-SUMIFS('Daftar Koreksi'!$H$5:$H$92,'Daftar Koreksi'!$D$5:$D$92,'0300'!A488,'Daftar Koreksi'!$G$5:$G$92,"Gedung dan Bangunan",'Daftar Koreksi'!$H$5:$H$92,"&lt;0")-SUMIFS('Daftar Koreksi'!$H$5:$H$92,'Daftar Koreksi'!$D$5:$D$92,'0300'!A488,'Daftar Koreksi'!$G$5:$G$92,"Gedung dan Bangunan",'Daftar Koreksi'!$H$5:$H$92,"&lt;0")</f>
        <v>0</v>
      </c>
      <c r="G494" s="17">
        <f t="shared" si="22"/>
        <v>5394334400</v>
      </c>
      <c r="H494" s="122"/>
    </row>
    <row r="495" spans="1:10" ht="21.95" customHeight="1">
      <c r="A495" s="14"/>
      <c r="B495" s="14"/>
      <c r="C495" s="16" t="s">
        <v>1169</v>
      </c>
      <c r="D495" s="17">
        <f>VLOOKUP(A488,'Neraca Unaudited SIMAK'!$A$2:$S$10004,7,FALSE)</f>
        <v>227903250</v>
      </c>
      <c r="E495" s="25">
        <f>SUMIFS('Daftar Koreksi'!$H$5:$H$92,'Daftar Koreksi'!$D$5:$D$92,'0300'!A488,'Daftar Koreksi'!$G$5:$G$92,"Jalan Irigasi Jaringan",'Daftar Koreksi'!$H$5:$H$92,"&gt;0")</f>
        <v>0</v>
      </c>
      <c r="F495" s="25">
        <f>SUMIFS('Daftar Koreksi'!$H$5:$H$92,'Daftar Koreksi'!$D$5:$D$92,'0300'!A488,'Daftar Koreksi'!$G$5:$G$92,"Jalan Irigasi Jaringan",'Daftar Koreksi'!$H$5:$H$92,"&lt;0")-SUMIFS('Daftar Koreksi'!$H$5:$H$92,'Daftar Koreksi'!$D$5:$D$92,'0300'!A488,'Daftar Koreksi'!$G$5:$G$92,"Jalan Irigasi Jaringan",'Daftar Koreksi'!$H$5:$H$92,"&lt;0")-SUMIFS('Daftar Koreksi'!$H$5:$H$92,'Daftar Koreksi'!$D$5:$D$92,'0300'!A488,'Daftar Koreksi'!$G$5:$G$92,"Jalan Irigasi Jaringan",'Daftar Koreksi'!$H$5:$H$92,"&lt;0")</f>
        <v>0</v>
      </c>
      <c r="G495" s="17">
        <f t="shared" si="22"/>
        <v>227903250</v>
      </c>
      <c r="H495" s="122"/>
    </row>
    <row r="496" spans="1:10" ht="21.95" customHeight="1">
      <c r="A496" s="14"/>
      <c r="B496" s="14"/>
      <c r="C496" s="16" t="s">
        <v>1170</v>
      </c>
      <c r="D496" s="17">
        <f>VLOOKUP(A488,'Neraca Unaudited SIMAK'!$A$2:$S$10004,8,FALSE)</f>
        <v>9343742</v>
      </c>
      <c r="E496" s="25">
        <f>SUMIFS('Daftar Koreksi'!$H$5:$H$92,'Daftar Koreksi'!$D$5:$D$92,'0300'!A488,'Daftar Koreksi'!$G$5:$G$92,"Aset Tetap Lainnya",'Daftar Koreksi'!$H$5:$H$92,"&gt;0")</f>
        <v>0</v>
      </c>
      <c r="F496" s="25">
        <f>SUMIFS('Daftar Koreksi'!$H$5:$H$92,'Daftar Koreksi'!$D$5:$D$92,'0300'!A488,'Daftar Koreksi'!$G$5:$G$92,"Aset Tetap Lainnya",'Daftar Koreksi'!$H$5:$H$92,"&lt;0")-SUMIFS('Daftar Koreksi'!$H$5:$H$92,'Daftar Koreksi'!$D$5:$D$92,'0300'!A488,'Daftar Koreksi'!$G$5:$G$92,"Aset Tetap Lainnya",'Daftar Koreksi'!$H$5:$H$92,"&lt;0")-SUMIFS('Daftar Koreksi'!$H$5:$H$92,'Daftar Koreksi'!$D$5:$D$92,'0300'!A488,'Daftar Koreksi'!$G$5:$G$92,"Aset Tetap Lainnya",'Daftar Koreksi'!$H$5:$H$92,"&lt;0")</f>
        <v>0</v>
      </c>
      <c r="G496" s="17">
        <f t="shared" si="22"/>
        <v>9343742</v>
      </c>
      <c r="H496" s="122"/>
    </row>
    <row r="497" spans="1:8" ht="21.95" customHeight="1">
      <c r="A497" s="14"/>
      <c r="B497" s="14"/>
      <c r="C497" s="16" t="s">
        <v>1171</v>
      </c>
      <c r="D497" s="17">
        <f>VLOOKUP(A488,'Neraca Unaudited SIMAK'!$A$2:$S$10004,9,FALSE)</f>
        <v>0</v>
      </c>
      <c r="E497" s="25">
        <f>SUMIFS('Daftar Koreksi'!$H$5:$H$92,'Daftar Koreksi'!$D$5:$D$92,'0300'!A488,'Daftar Koreksi'!$G$5:$G$92,"Kontruksi Dalam Pengerjaan",'Daftar Koreksi'!$H$5:$H$92,"&gt;0")</f>
        <v>0</v>
      </c>
      <c r="F497" s="25">
        <f>SUMIFS('Daftar Koreksi'!$H$5:$H$92,'Daftar Koreksi'!$D$5:$D$92,'0300'!A488,'Daftar Koreksi'!$G$5:$G$92,"Kontruksi Dalam Pengerjaan",'Daftar Koreksi'!$H$5:$H$92,"&lt;0")-SUMIFS('Daftar Koreksi'!$H$5:$H$92,'Daftar Koreksi'!$D$5:$D$92,'0300'!A488,'Daftar Koreksi'!$G$5:$G$92,"Kontruksi Dalam Pengerjaan",'Daftar Koreksi'!$H$5:$H$92,"&lt;0")-SUMIFS('Daftar Koreksi'!$H$5:$H$92,'Daftar Koreksi'!$D$5:$D$92,'0300'!A488,'Daftar Koreksi'!$G$5:$G$92,"Kontruksi Dalam Pengerjaan",'Daftar Koreksi'!$H$5:$H$92,"&lt;0")</f>
        <v>0</v>
      </c>
      <c r="G497" s="17">
        <f t="shared" si="22"/>
        <v>0</v>
      </c>
      <c r="H497" s="122"/>
    </row>
    <row r="498" spans="1:8" ht="21.95" customHeight="1">
      <c r="A498" s="14"/>
      <c r="B498" s="14"/>
      <c r="C498" s="16" t="s">
        <v>1172</v>
      </c>
      <c r="D498" s="17">
        <f>VLOOKUP(A488,'Neraca Unaudited SIMAK'!$A$2:$S$10004,10,FALSE)</f>
        <v>0</v>
      </c>
      <c r="E498" s="25">
        <f>SUMIFS('Daftar Koreksi'!$H$5:$H$92,'Daftar Koreksi'!$D$5:$D$92,'0300'!A488,'Daftar Koreksi'!$G$5:$G$92,"Aset Tak Berwujud",'Daftar Koreksi'!$H$5:$H$92,"&gt;0")</f>
        <v>0</v>
      </c>
      <c r="F498" s="25">
        <f>SUMIFS('Daftar Koreksi'!$H$5:$H$92,'Daftar Koreksi'!$D$5:$D$92,'0300'!A488,'Daftar Koreksi'!$G$5:$G$92,"Aset Tak Berwujud",'Daftar Koreksi'!$H$5:$H$92,"&lt;0")-SUMIFS('Daftar Koreksi'!$H$5:$H$92,'Daftar Koreksi'!$D$5:$D$92,'0300'!A488,'Daftar Koreksi'!$G$5:$G$92,"Aset Tak Berwujud",'Daftar Koreksi'!$H$5:$H$92,"&lt;0")-SUMIFS('Daftar Koreksi'!$H$5:$H$92,'Daftar Koreksi'!$D$5:$D$92,'0300'!A488,'Daftar Koreksi'!$G$5:$G$92,"Aset Tak Berwujud",'Daftar Koreksi'!$H$5:$H$92,"&lt;0")</f>
        <v>0</v>
      </c>
      <c r="G498" s="17">
        <f t="shared" si="22"/>
        <v>0</v>
      </c>
      <c r="H498" s="122"/>
    </row>
    <row r="499" spans="1:8" ht="21.95" customHeight="1">
      <c r="A499" s="14"/>
      <c r="B499" s="14"/>
      <c r="C499" s="16" t="s">
        <v>1173</v>
      </c>
      <c r="D499" s="17">
        <f>VLOOKUP(A488,'Neraca Unaudited SIMAK'!$A$2:$S$10004,11,FALSE)</f>
        <v>132265000</v>
      </c>
      <c r="E499" s="25">
        <f>SUMIFS('Daftar Koreksi'!$H$5:$H$92,'Daftar Koreksi'!$D$5:$D$92,'0300'!A488,'Daftar Koreksi'!$G$5:$G$92,"Aset Henti Guna",'Daftar Koreksi'!$H$5:$H$92,"&gt;0")</f>
        <v>0</v>
      </c>
      <c r="F499" s="25">
        <f>SUMIFS('Daftar Koreksi'!$H$5:$H$92,'Daftar Koreksi'!$D$5:$D$92,'0300'!A488,'Daftar Koreksi'!$G$5:$G$92,"Aset Henti Guna",'Daftar Koreksi'!$H$5:$H$92,"&lt;0")-SUMIFS('Daftar Koreksi'!$H$5:$H$92,'Daftar Koreksi'!$D$5:$D$92,'0300'!A488,'Daftar Koreksi'!$G$5:$G$92,"Aset Henti Guna",'Daftar Koreksi'!$H$5:$H$92,"&lt;0")-SUMIFS('Daftar Koreksi'!$H$5:$H$92,'Daftar Koreksi'!$D$5:$D$92,'0300'!A488,'Daftar Koreksi'!$G$5:$G$92,"Aset Henti Guna",'Daftar Koreksi'!$H$5:$H$92,"&lt;0")</f>
        <v>0</v>
      </c>
      <c r="G499" s="17">
        <f t="shared" si="22"/>
        <v>132265000</v>
      </c>
      <c r="H499" s="122"/>
    </row>
    <row r="500" spans="1:8" ht="21.95" customHeight="1">
      <c r="A500" s="14"/>
      <c r="B500" s="14"/>
      <c r="C500" s="18" t="s">
        <v>2093</v>
      </c>
      <c r="D500" s="19">
        <f>VLOOKUP(A488,'Neraca Unaudited SIMAK'!$A$2:$S$10004,12,FALSE)</f>
        <v>61453799974</v>
      </c>
      <c r="E500" s="19">
        <f>SUM(E491:E499)</f>
        <v>0</v>
      </c>
      <c r="F500" s="19">
        <f>SUM(F491:F499)</f>
        <v>0</v>
      </c>
      <c r="G500" s="19">
        <f t="shared" si="22"/>
        <v>61453799974</v>
      </c>
      <c r="H500" s="122"/>
    </row>
    <row r="501" spans="1:8" ht="21.95" customHeight="1">
      <c r="A501" s="14"/>
      <c r="B501" s="14"/>
      <c r="C501" s="16" t="s">
        <v>2087</v>
      </c>
      <c r="D501" s="17">
        <f>VLOOKUP(A488,'Neraca Unaudited SIMAK'!$A$2:$S$10004,13,FALSE)</f>
        <v>-2257823342</v>
      </c>
      <c r="E501" s="25">
        <f>SUMIFS('Daftar Koreksi'!$I$5:$I$92,'Daftar Koreksi'!$D$5:$D$92,'0300'!A488,'Daftar Koreksi'!$G$5:$G$92,"Peralatan dan mesin",'Daftar Koreksi'!$I$5:$I$92,"&gt;0")</f>
        <v>0</v>
      </c>
      <c r="F501" s="25">
        <f>SUMIFS('Daftar Koreksi'!$I$5:$I$92,'Daftar Koreksi'!$D$5:$D$92,'0300'!A488,'Daftar Koreksi'!$G$5:$G$92,"Peralatan dan mesin",'Daftar Koreksi'!$I$5:$I$92,"&lt;0")-SUMIFS('Daftar Koreksi'!$I$5:$I$92,'Daftar Koreksi'!$D$5:$D$92,'0300'!A488,'Daftar Koreksi'!$G$5:$G$92,"Peralatan dan mesin",'Daftar Koreksi'!$I$5:$I$92,"&lt;0")-SUMIFS('Daftar Koreksi'!$I$5:$I$92,'Daftar Koreksi'!$D$5:$D$92,'0300'!A488,'Daftar Koreksi'!$G$5:$G$92,"Peralatan dan mesin",'Daftar Koreksi'!$I$5:$I$92,"&lt;0")</f>
        <v>0</v>
      </c>
      <c r="G501" s="17">
        <f t="shared" si="22"/>
        <v>-2257823342</v>
      </c>
      <c r="H501" s="122"/>
    </row>
    <row r="502" spans="1:8" ht="21.95" customHeight="1">
      <c r="A502" s="14"/>
      <c r="B502" s="14"/>
      <c r="C502" s="16" t="s">
        <v>2088</v>
      </c>
      <c r="D502" s="17">
        <f>VLOOKUP(A488,'Neraca Unaudited SIMAK'!$A$2:$S$10004,14,FALSE)</f>
        <v>-898247239</v>
      </c>
      <c r="E502" s="25">
        <f>SUMIFS('Daftar Koreksi'!$I$5:$I$92,'Daftar Koreksi'!$D$5:$D$92,'0300'!A488,'Daftar Koreksi'!$G$5:$G$92,"Gedung dan Bangunan",'Daftar Koreksi'!$I$5:$I$92,"&gt;0")</f>
        <v>0</v>
      </c>
      <c r="F502" s="25">
        <f>SUMIFS('Daftar Koreksi'!$I$5:$I$92,'Daftar Koreksi'!$D$5:$D$92,'0300'!A488,'Daftar Koreksi'!$G$5:$G$92,"Gedung dan Bangunan",'Daftar Koreksi'!$I$5:$I$92,"&lt;0")-SUMIFS('Daftar Koreksi'!$I$5:$I$92,'Daftar Koreksi'!$D$5:$D$92,'0300'!A488,'Daftar Koreksi'!$G$5:$G$92,"Gedung dan Bangunan",'Daftar Koreksi'!$I$5:$I$92,"&lt;0")-SUMIFS('Daftar Koreksi'!$I$5:$I$92,'Daftar Koreksi'!$D$5:$D$92,'0300'!A488,'Daftar Koreksi'!$G$5:$G$92,"Gedung dan Bangunan",'Daftar Koreksi'!$I$5:$I$92,"&lt;0")</f>
        <v>0</v>
      </c>
      <c r="G502" s="17">
        <f t="shared" si="22"/>
        <v>-898247239</v>
      </c>
      <c r="H502" s="122"/>
    </row>
    <row r="503" spans="1:8" ht="21.95" customHeight="1">
      <c r="A503" s="14"/>
      <c r="B503" s="14"/>
      <c r="C503" s="16" t="s">
        <v>2089</v>
      </c>
      <c r="D503" s="17">
        <f>VLOOKUP(A488,'Neraca Unaudited SIMAK'!$A$2:$S$10004,15,FALSE)</f>
        <v>-64009479</v>
      </c>
      <c r="E503" s="25">
        <f>SUMIFS('Daftar Koreksi'!$I$5:$I$92,'Daftar Koreksi'!$D$5:$D$92,'0300'!A488,'Daftar Koreksi'!$G$5:$G$92,"Jalan Irigasi Jaringan",'Daftar Koreksi'!$I$5:$I$92,"&gt;0")</f>
        <v>0</v>
      </c>
      <c r="F503" s="25">
        <f>SUMIFS('Daftar Koreksi'!$I$5:$I$92,'Daftar Koreksi'!$D$5:$D$92,'0300'!A488,'Daftar Koreksi'!$G$5:$G$92,"Jalan Irigasi Jaringan",'Daftar Koreksi'!$I$5:$I$92,"&lt;0")-SUMIFS('Daftar Koreksi'!$I$5:$I$92,'Daftar Koreksi'!$D$5:$D$92,'0300'!A488,'Daftar Koreksi'!$G$5:$G$92,"Jalan Irigasi Jaringan",'Daftar Koreksi'!$I$5:$I$92,"&lt;0")-SUMIFS('Daftar Koreksi'!$I$5:$I$92,'Daftar Koreksi'!$D$5:$D$92,'0300'!A488,'Daftar Koreksi'!$G$5:$G$92,"Jalan Irigasi Jaringan",'Daftar Koreksi'!$I$5:$I$92,"&lt;0")</f>
        <v>0</v>
      </c>
      <c r="G503" s="17">
        <f t="shared" si="22"/>
        <v>-64009479</v>
      </c>
      <c r="H503" s="122"/>
    </row>
    <row r="504" spans="1:8" ht="21.95" customHeight="1">
      <c r="A504" s="14"/>
      <c r="B504" s="14"/>
      <c r="C504" s="16" t="s">
        <v>2090</v>
      </c>
      <c r="D504" s="17">
        <f>VLOOKUP(A488,'Neraca Unaudited SIMAK'!$A$2:$S$10004,16,FALSE)</f>
        <v>0</v>
      </c>
      <c r="E504" s="25">
        <f>SUMIFS('Daftar Koreksi'!$I$5:$I$92,'Daftar Koreksi'!$D$5:$D$92,'0300'!A488,'Daftar Koreksi'!$G$5:$G$92,"Aset Tetap Lainnya",'Daftar Koreksi'!$I$5:$I$92,"&gt;0")</f>
        <v>0</v>
      </c>
      <c r="F504" s="25">
        <f>SUMIFS('Daftar Koreksi'!$I$5:$I$92,'Daftar Koreksi'!$D$5:$D$92,'0300'!A488,'Daftar Koreksi'!$G$5:$G$92,"Aset Tetap Lainnya",'Daftar Koreksi'!$I$5:$I$92,"&lt;0")-SUMIFS('Daftar Koreksi'!$I$5:$I$92,'Daftar Koreksi'!$D$5:$D$92,'0300'!A488,'Daftar Koreksi'!$G$5:$G$92,"Aset Tetap Lainnya",'Daftar Koreksi'!$I$5:$I$92,"&lt;0")-SUMIFS('Daftar Koreksi'!$I$5:$I$92,'Daftar Koreksi'!$D$5:$D$92,'0300'!A488,'Daftar Koreksi'!$G$5:$G$92,"Aset Tetap Lainnya",'Daftar Koreksi'!$I$5:$I$92,"&lt;0")</f>
        <v>0</v>
      </c>
      <c r="G504" s="17">
        <f t="shared" si="22"/>
        <v>0</v>
      </c>
      <c r="H504" s="122"/>
    </row>
    <row r="505" spans="1:8" ht="21.95" customHeight="1">
      <c r="A505" s="14"/>
      <c r="B505" s="14"/>
      <c r="C505" s="16" t="s">
        <v>2020</v>
      </c>
      <c r="D505" s="17">
        <f>VLOOKUP(A488,'Neraca Unaudited SIMAK'!$A$2:$S$10004,17,FALSE)</f>
        <v>-35318022</v>
      </c>
      <c r="E505" s="25">
        <f>SUMIFS('Daftar Koreksi'!$I$5:$I$92,'Daftar Koreksi'!$D$5:$D$92,'0300'!A488,'Daftar Koreksi'!$G$5:$G$92,"Aset Henti Guna",'Daftar Koreksi'!$I$5:$I$92,"&gt;0")</f>
        <v>0</v>
      </c>
      <c r="F505" s="25">
        <f>SUMIFS('Daftar Koreksi'!$I$5:$I$92,'Daftar Koreksi'!$D$5:$D$92,'0300'!A488,'Daftar Koreksi'!$G$5:$G$92,"Aset Henti Guna",'Daftar Koreksi'!$I$5:$I$92,"&lt;0")-SUMIFS('Daftar Koreksi'!$I$5:$I$92,'Daftar Koreksi'!$D$5:$D$92,'0300'!A488,'Daftar Koreksi'!$G$5:$G$92,"Aset Henti Guna",'Daftar Koreksi'!$I$5:$I$92,"&lt;0")-SUMIFS('Daftar Koreksi'!$I$5:$I$92,'Daftar Koreksi'!$D$5:$D$92,'0300'!A488,'Daftar Koreksi'!$G$5:$G$92,"Aset Henti Guna",'Daftar Koreksi'!$I$5:$I$92,"&lt;0")</f>
        <v>0</v>
      </c>
      <c r="G505" s="17">
        <f t="shared" si="22"/>
        <v>-35318022</v>
      </c>
      <c r="H505" s="122"/>
    </row>
    <row r="506" spans="1:8" ht="21.95" customHeight="1">
      <c r="A506" s="14"/>
      <c r="B506" s="14"/>
      <c r="C506" s="18" t="s">
        <v>2094</v>
      </c>
      <c r="D506" s="19">
        <f>SUM(D501:D505)</f>
        <v>-3255398082</v>
      </c>
      <c r="E506" s="19">
        <f>SUM(E501:E505)</f>
        <v>0</v>
      </c>
      <c r="F506" s="19">
        <f>SUM(F501:F505)</f>
        <v>0</v>
      </c>
      <c r="G506" s="19">
        <f t="shared" si="22"/>
        <v>-3255398082</v>
      </c>
      <c r="H506" s="122"/>
    </row>
    <row r="507" spans="1:8" ht="21.95" customHeight="1">
      <c r="A507" s="14"/>
      <c r="B507" s="14"/>
      <c r="C507" s="18" t="s">
        <v>2095</v>
      </c>
      <c r="D507" s="19">
        <f>VLOOKUP(A488,'Neraca Unaudited SIMAK'!$A$2:$S$10004,18,FALSE)</f>
        <v>58198401892</v>
      </c>
      <c r="E507" s="19">
        <f>E506+E500</f>
        <v>0</v>
      </c>
      <c r="F507" s="19">
        <f>F506+F500</f>
        <v>0</v>
      </c>
      <c r="G507" s="19">
        <f t="shared" si="22"/>
        <v>58198401892</v>
      </c>
      <c r="H507" s="122"/>
    </row>
    <row r="508" spans="1:8" ht="21.95" customHeight="1">
      <c r="A508" s="14"/>
      <c r="B508" s="14"/>
      <c r="C508" s="16" t="s">
        <v>2091</v>
      </c>
      <c r="D508" s="17">
        <f>VLOOKUP(A488,'Neraca Unaudited SIMAK'!$A$2:$S$10004,19,FALSE)</f>
        <v>0</v>
      </c>
      <c r="E508" s="25"/>
      <c r="F508" s="25"/>
      <c r="G508" s="17">
        <f t="shared" si="22"/>
        <v>0</v>
      </c>
      <c r="H508" s="123"/>
    </row>
    <row r="510" spans="1:8" ht="19.5" customHeight="1">
      <c r="A510" s="11" t="str">
        <f>O24</f>
        <v>005010300097940000KD</v>
      </c>
      <c r="B510" s="11" t="str">
        <f>P24</f>
        <v>PN. Sragen</v>
      </c>
      <c r="C510" s="12" t="str">
        <f>A510&amp;" "&amp;B510</f>
        <v>005010300097940000KD PN. Sragen</v>
      </c>
      <c r="D510" s="13"/>
      <c r="E510" s="13"/>
      <c r="F510" s="13"/>
      <c r="G510" s="13"/>
      <c r="H510" s="11"/>
    </row>
    <row r="511" spans="1:8" ht="21.95" customHeight="1">
      <c r="A511" s="14"/>
      <c r="B511" s="14"/>
      <c r="C511" s="124" t="s">
        <v>1982</v>
      </c>
      <c r="D511" s="126" t="s">
        <v>1983</v>
      </c>
      <c r="E511" s="132" t="s">
        <v>1984</v>
      </c>
      <c r="F511" s="132"/>
      <c r="G511" s="126" t="s">
        <v>1987</v>
      </c>
      <c r="H511" s="130" t="s">
        <v>1175</v>
      </c>
    </row>
    <row r="512" spans="1:8" ht="21.95" customHeight="1">
      <c r="A512" s="14"/>
      <c r="B512" s="14"/>
      <c r="C512" s="125"/>
      <c r="D512" s="127"/>
      <c r="E512" s="26" t="s">
        <v>1985</v>
      </c>
      <c r="F512" s="26" t="s">
        <v>1986</v>
      </c>
      <c r="G512" s="127"/>
      <c r="H512" s="131"/>
    </row>
    <row r="513" spans="1:8" ht="21.95" customHeight="1">
      <c r="A513" s="14"/>
      <c r="B513" s="14"/>
      <c r="C513" s="16" t="s">
        <v>1165</v>
      </c>
      <c r="D513" s="17">
        <f>VLOOKUP(A510,'Neraca Unaudited SIMAK'!$A$2:$S$10004,3,FALSE)</f>
        <v>2393000</v>
      </c>
      <c r="E513" s="25">
        <f>SUMIFS('Daftar Koreksi'!$H$5:$H$92,'Daftar Koreksi'!$D$5:$D$92,'0300'!A510,'Daftar Koreksi'!$G$5:$G$92,"Persediaan",'Daftar Koreksi'!$H$5:$H$92,"&gt;0")</f>
        <v>0</v>
      </c>
      <c r="F513" s="25">
        <f>SUMIFS('Daftar Koreksi'!$H$5:$H$92,'Daftar Koreksi'!$D$5:$D$92,'0300'!A510,'Daftar Koreksi'!$G$5:$G$92,"Persediaan",'Daftar Koreksi'!$H$5:$H$92,"&lt;0")-SUMIFS('Daftar Koreksi'!$H$5:$H$92,'Daftar Koreksi'!$D$5:$D$92,'0300'!A510,'Daftar Koreksi'!$G$5:$G$92,"Persediaan",'Daftar Koreksi'!$H$5:$H$92,"&lt;0")-SUMIFS('Daftar Koreksi'!$H$5:$H$92,'Daftar Koreksi'!$D$5:$D$92,'0300'!A510,'Daftar Koreksi'!$G$5:$G$92,"Persediaan",'Daftar Koreksi'!$H$5:$H$92,"&lt;0")</f>
        <v>0</v>
      </c>
      <c r="G513" s="17">
        <f>D513+E513-F513</f>
        <v>2393000</v>
      </c>
      <c r="H513" s="121" t="str">
        <f>IF(ISNA(VLOOKUP(A510,'Mutasi Neraca'!$A$3:$S$914,19,FALSE)),"-",VLOOKUP(A510,'Mutasi Neraca'!$A$3:$S$914,19,FALSE))</f>
        <v>-</v>
      </c>
    </row>
    <row r="514" spans="1:8" ht="21.95" customHeight="1">
      <c r="A514" s="14"/>
      <c r="B514" s="14"/>
      <c r="C514" s="16" t="s">
        <v>1166</v>
      </c>
      <c r="D514" s="17">
        <f>VLOOKUP(A510,'Neraca Unaudited SIMAK'!$A$2:$S$10004,4,FALSE)</f>
        <v>10640810000</v>
      </c>
      <c r="E514" s="25">
        <f>SUMIFS('Daftar Koreksi'!$H$5:$H$92,'Daftar Koreksi'!$D$5:$D$92,'0300'!A510,'Daftar Koreksi'!$G$5:$G$92,"Tanah",'Daftar Koreksi'!$H$5:$H$92,"&gt;0")</f>
        <v>0</v>
      </c>
      <c r="F514" s="25">
        <f>SUMIFS('Daftar Koreksi'!$H$5:$H$92,'Daftar Koreksi'!$D$5:$D$92,'0300'!A510,'Daftar Koreksi'!$G$5:$G$92,"Tanah",'Daftar Koreksi'!$H$5:$H$92,"&lt;0")-SUMIFS('Daftar Koreksi'!$H$5:$H$92,'Daftar Koreksi'!$D$5:$D$92,'0300'!A510,'Daftar Koreksi'!$G$5:$G$92,"Tanah",'Daftar Koreksi'!$H$5:$H$92,"&lt;0")-SUMIFS('Daftar Koreksi'!$H$5:$H$92,'Daftar Koreksi'!$D$5:$D$92,'0300'!A510,'Daftar Koreksi'!$G$5:$G$92,"Tanah",'Daftar Koreksi'!$H$5:$H$92,"&lt;0")</f>
        <v>0</v>
      </c>
      <c r="G514" s="17">
        <f t="shared" ref="G514:G530" si="23">D514+E514-F514</f>
        <v>10640810000</v>
      </c>
      <c r="H514" s="122"/>
    </row>
    <row r="515" spans="1:8" ht="21.95" customHeight="1">
      <c r="A515" s="14"/>
      <c r="B515" s="14"/>
      <c r="C515" s="16" t="s">
        <v>1167</v>
      </c>
      <c r="D515" s="17">
        <f>VLOOKUP(A510,'Neraca Unaudited SIMAK'!$A$2:$S$10004,5,FALSE)</f>
        <v>1770060848</v>
      </c>
      <c r="E515" s="25">
        <f>SUMIFS('Daftar Koreksi'!$H$5:$H$92,'Daftar Koreksi'!$D$5:$D$92,'0300'!A510,'Daftar Koreksi'!$G$5:$G$92,"Peralatan dan mesin",'Daftar Koreksi'!$H$5:$H$92,"&gt;0")</f>
        <v>0</v>
      </c>
      <c r="F515" s="25">
        <f>SUMIFS('Daftar Koreksi'!$H$5:$H$92,'Daftar Koreksi'!$D$5:$D$92,'0300'!A510,'Daftar Koreksi'!$G$5:$G$92,"Peralatan dan mesin",'Daftar Koreksi'!$H$5:$H$92,"&lt;0")-SUMIFS('Daftar Koreksi'!$H$5:$H$92,'Daftar Koreksi'!$D$5:$D$92,'0300'!A510,'Daftar Koreksi'!$G$5:$G$92,"Peralatan dan mesin",'Daftar Koreksi'!$H$5:$H$92,"&lt;0")-SUMIFS('Daftar Koreksi'!$H$5:$H$92,'Daftar Koreksi'!$D$5:$D$92,'0300'!A510,'Daftar Koreksi'!$G$5:$G$92,"Peralatan dan mesin",'Daftar Koreksi'!$H$5:$H$92,"&lt;0")</f>
        <v>0</v>
      </c>
      <c r="G515" s="17">
        <f t="shared" si="23"/>
        <v>1770060848</v>
      </c>
      <c r="H515" s="122"/>
    </row>
    <row r="516" spans="1:8" ht="21.95" customHeight="1">
      <c r="A516" s="14"/>
      <c r="B516" s="14"/>
      <c r="C516" s="16" t="s">
        <v>1168</v>
      </c>
      <c r="D516" s="17">
        <f>VLOOKUP(A510,'Neraca Unaudited SIMAK'!$A$2:$S$10004,6,FALSE)</f>
        <v>6810647000</v>
      </c>
      <c r="E516" s="25">
        <f>SUMIFS('Daftar Koreksi'!$H$5:$H$92,'Daftar Koreksi'!$D$5:$D$92,'0300'!A510,'Daftar Koreksi'!$G$5:$G$92,"Gedung dan Bangunan",'Daftar Koreksi'!$H$5:$H$92,"&gt;0")</f>
        <v>0</v>
      </c>
      <c r="F516" s="25">
        <f>SUMIFS('Daftar Koreksi'!$H$5:$H$92,'Daftar Koreksi'!$D$5:$D$92,'0300'!A510,'Daftar Koreksi'!$G$5:$G$92,"Gedung dan Bangunan",'Daftar Koreksi'!$H$5:$H$92,"&lt;0")-SUMIFS('Daftar Koreksi'!$H$5:$H$92,'Daftar Koreksi'!$D$5:$D$92,'0300'!A510,'Daftar Koreksi'!$G$5:$G$92,"Gedung dan Bangunan",'Daftar Koreksi'!$H$5:$H$92,"&lt;0")-SUMIFS('Daftar Koreksi'!$H$5:$H$92,'Daftar Koreksi'!$D$5:$D$92,'0300'!A510,'Daftar Koreksi'!$G$5:$G$92,"Gedung dan Bangunan",'Daftar Koreksi'!$H$5:$H$92,"&lt;0")</f>
        <v>0</v>
      </c>
      <c r="G516" s="17">
        <f t="shared" si="23"/>
        <v>6810647000</v>
      </c>
      <c r="H516" s="122"/>
    </row>
    <row r="517" spans="1:8" ht="21.95" customHeight="1">
      <c r="A517" s="14"/>
      <c r="B517" s="14"/>
      <c r="C517" s="16" t="s">
        <v>1169</v>
      </c>
      <c r="D517" s="17">
        <f>VLOOKUP(A510,'Neraca Unaudited SIMAK'!$A$2:$S$10004,7,FALSE)</f>
        <v>0</v>
      </c>
      <c r="E517" s="25">
        <f>SUMIFS('Daftar Koreksi'!$H$5:$H$92,'Daftar Koreksi'!$D$5:$D$92,'0300'!A510,'Daftar Koreksi'!$G$5:$G$92,"Jalan Irigasi Jaringan",'Daftar Koreksi'!$H$5:$H$92,"&gt;0")</f>
        <v>0</v>
      </c>
      <c r="F517" s="25">
        <f>SUMIFS('Daftar Koreksi'!$H$5:$H$92,'Daftar Koreksi'!$D$5:$D$92,'0300'!A510,'Daftar Koreksi'!$G$5:$G$92,"Jalan Irigasi Jaringan",'Daftar Koreksi'!$H$5:$H$92,"&lt;0")-SUMIFS('Daftar Koreksi'!$H$5:$H$92,'Daftar Koreksi'!$D$5:$D$92,'0300'!A510,'Daftar Koreksi'!$G$5:$G$92,"Jalan Irigasi Jaringan",'Daftar Koreksi'!$H$5:$H$92,"&lt;0")-SUMIFS('Daftar Koreksi'!$H$5:$H$92,'Daftar Koreksi'!$D$5:$D$92,'0300'!A510,'Daftar Koreksi'!$G$5:$G$92,"Jalan Irigasi Jaringan",'Daftar Koreksi'!$H$5:$H$92,"&lt;0")</f>
        <v>0</v>
      </c>
      <c r="G517" s="17">
        <f t="shared" si="23"/>
        <v>0</v>
      </c>
      <c r="H517" s="122"/>
    </row>
    <row r="518" spans="1:8" ht="21.95" customHeight="1">
      <c r="A518" s="14"/>
      <c r="B518" s="14"/>
      <c r="C518" s="16" t="s">
        <v>1170</v>
      </c>
      <c r="D518" s="17">
        <f>VLOOKUP(A510,'Neraca Unaudited SIMAK'!$A$2:$S$10004,8,FALSE)</f>
        <v>10287362</v>
      </c>
      <c r="E518" s="25">
        <f>SUMIFS('Daftar Koreksi'!$H$5:$H$92,'Daftar Koreksi'!$D$5:$D$92,'0300'!A510,'Daftar Koreksi'!$G$5:$G$92,"Aset Tetap Lainnya",'Daftar Koreksi'!$H$5:$H$92,"&gt;0")</f>
        <v>0</v>
      </c>
      <c r="F518" s="25">
        <f>SUMIFS('Daftar Koreksi'!$H$5:$H$92,'Daftar Koreksi'!$D$5:$D$92,'0300'!A510,'Daftar Koreksi'!$G$5:$G$92,"Aset Tetap Lainnya",'Daftar Koreksi'!$H$5:$H$92,"&lt;0")-SUMIFS('Daftar Koreksi'!$H$5:$H$92,'Daftar Koreksi'!$D$5:$D$92,'0300'!A510,'Daftar Koreksi'!$G$5:$G$92,"Aset Tetap Lainnya",'Daftar Koreksi'!$H$5:$H$92,"&lt;0")-SUMIFS('Daftar Koreksi'!$H$5:$H$92,'Daftar Koreksi'!$D$5:$D$92,'0300'!A510,'Daftar Koreksi'!$G$5:$G$92,"Aset Tetap Lainnya",'Daftar Koreksi'!$H$5:$H$92,"&lt;0")</f>
        <v>0</v>
      </c>
      <c r="G518" s="17">
        <f t="shared" si="23"/>
        <v>10287362</v>
      </c>
      <c r="H518" s="122"/>
    </row>
    <row r="519" spans="1:8" ht="21.95" customHeight="1">
      <c r="A519" s="14"/>
      <c r="B519" s="14"/>
      <c r="C519" s="16" t="s">
        <v>1171</v>
      </c>
      <c r="D519" s="17">
        <f>VLOOKUP(A510,'Neraca Unaudited SIMAK'!$A$2:$S$10004,9,FALSE)</f>
        <v>0</v>
      </c>
      <c r="E519" s="25">
        <f>SUMIFS('Daftar Koreksi'!$H$5:$H$92,'Daftar Koreksi'!$D$5:$D$92,'0300'!A510,'Daftar Koreksi'!$G$5:$G$92,"Kontruksi Dalam Pengerjaan",'Daftar Koreksi'!$H$5:$H$92,"&gt;0")</f>
        <v>0</v>
      </c>
      <c r="F519" s="25">
        <f>SUMIFS('Daftar Koreksi'!$H$5:$H$92,'Daftar Koreksi'!$D$5:$D$92,'0300'!A510,'Daftar Koreksi'!$G$5:$G$92,"Kontruksi Dalam Pengerjaan",'Daftar Koreksi'!$H$5:$H$92,"&lt;0")-SUMIFS('Daftar Koreksi'!$H$5:$H$92,'Daftar Koreksi'!$D$5:$D$92,'0300'!A510,'Daftar Koreksi'!$G$5:$G$92,"Kontruksi Dalam Pengerjaan",'Daftar Koreksi'!$H$5:$H$92,"&lt;0")-SUMIFS('Daftar Koreksi'!$H$5:$H$92,'Daftar Koreksi'!$D$5:$D$92,'0300'!A510,'Daftar Koreksi'!$G$5:$G$92,"Kontruksi Dalam Pengerjaan",'Daftar Koreksi'!$H$5:$H$92,"&lt;0")</f>
        <v>0</v>
      </c>
      <c r="G519" s="17">
        <f t="shared" si="23"/>
        <v>0</v>
      </c>
      <c r="H519" s="122"/>
    </row>
    <row r="520" spans="1:8" ht="21.95" customHeight="1">
      <c r="A520" s="14"/>
      <c r="B520" s="14"/>
      <c r="C520" s="16" t="s">
        <v>1172</v>
      </c>
      <c r="D520" s="17">
        <f>VLOOKUP(A510,'Neraca Unaudited SIMAK'!$A$2:$S$10004,10,FALSE)</f>
        <v>4000000</v>
      </c>
      <c r="E520" s="25">
        <f>SUMIFS('Daftar Koreksi'!$H$5:$H$92,'Daftar Koreksi'!$D$5:$D$92,'0300'!A510,'Daftar Koreksi'!$G$5:$G$92,"Aset Tak Berwujud",'Daftar Koreksi'!$H$5:$H$92,"&gt;0")</f>
        <v>0</v>
      </c>
      <c r="F520" s="25">
        <f>SUMIFS('Daftar Koreksi'!$H$5:$H$92,'Daftar Koreksi'!$D$5:$D$92,'0300'!A510,'Daftar Koreksi'!$G$5:$G$92,"Aset Tak Berwujud",'Daftar Koreksi'!$H$5:$H$92,"&lt;0")-SUMIFS('Daftar Koreksi'!$H$5:$H$92,'Daftar Koreksi'!$D$5:$D$92,'0300'!A510,'Daftar Koreksi'!$G$5:$G$92,"Aset Tak Berwujud",'Daftar Koreksi'!$H$5:$H$92,"&lt;0")-SUMIFS('Daftar Koreksi'!$H$5:$H$92,'Daftar Koreksi'!$D$5:$D$92,'0300'!A510,'Daftar Koreksi'!$G$5:$G$92,"Aset Tak Berwujud",'Daftar Koreksi'!$H$5:$H$92,"&lt;0")</f>
        <v>0</v>
      </c>
      <c r="G520" s="17">
        <f t="shared" si="23"/>
        <v>4000000</v>
      </c>
      <c r="H520" s="122"/>
    </row>
    <row r="521" spans="1:8" ht="21.95" customHeight="1">
      <c r="A521" s="14"/>
      <c r="B521" s="14"/>
      <c r="C521" s="16" t="s">
        <v>1173</v>
      </c>
      <c r="D521" s="17">
        <f>VLOOKUP(A510,'Neraca Unaudited SIMAK'!$A$2:$S$10004,11,FALSE)</f>
        <v>41266000</v>
      </c>
      <c r="E521" s="25">
        <f>SUMIFS('Daftar Koreksi'!$H$5:$H$92,'Daftar Koreksi'!$D$5:$D$92,'0300'!A510,'Daftar Koreksi'!$G$5:$G$92,"Aset Henti Guna",'Daftar Koreksi'!$H$5:$H$92,"&gt;0")</f>
        <v>0</v>
      </c>
      <c r="F521" s="25">
        <f>SUMIFS('Daftar Koreksi'!$H$5:$H$92,'Daftar Koreksi'!$D$5:$D$92,'0300'!A510,'Daftar Koreksi'!$G$5:$G$92,"Aset Henti Guna",'Daftar Koreksi'!$H$5:$H$92,"&lt;0")-SUMIFS('Daftar Koreksi'!$H$5:$H$92,'Daftar Koreksi'!$D$5:$D$92,'0300'!A510,'Daftar Koreksi'!$G$5:$G$92,"Aset Henti Guna",'Daftar Koreksi'!$H$5:$H$92,"&lt;0")-SUMIFS('Daftar Koreksi'!$H$5:$H$92,'Daftar Koreksi'!$D$5:$D$92,'0300'!A510,'Daftar Koreksi'!$G$5:$G$92,"Aset Henti Guna",'Daftar Koreksi'!$H$5:$H$92,"&lt;0")</f>
        <v>0</v>
      </c>
      <c r="G521" s="17">
        <f t="shared" si="23"/>
        <v>41266000</v>
      </c>
      <c r="H521" s="122"/>
    </row>
    <row r="522" spans="1:8" ht="21.95" customHeight="1">
      <c r="A522" s="14"/>
      <c r="B522" s="14"/>
      <c r="C522" s="18" t="s">
        <v>2093</v>
      </c>
      <c r="D522" s="19">
        <f>VLOOKUP(A510,'Neraca Unaudited SIMAK'!$A$2:$S$10004,12,FALSE)</f>
        <v>19279464210</v>
      </c>
      <c r="E522" s="19">
        <f>SUM(E513:E521)</f>
        <v>0</v>
      </c>
      <c r="F522" s="19">
        <f>SUM(F513:F521)</f>
        <v>0</v>
      </c>
      <c r="G522" s="19">
        <f t="shared" si="23"/>
        <v>19279464210</v>
      </c>
      <c r="H522" s="122"/>
    </row>
    <row r="523" spans="1:8" ht="21.95" customHeight="1">
      <c r="A523" s="14"/>
      <c r="B523" s="14"/>
      <c r="C523" s="16" t="s">
        <v>2087</v>
      </c>
      <c r="D523" s="17">
        <f>VLOOKUP(A510,'Neraca Unaudited SIMAK'!$A$2:$S$10004,13,FALSE)</f>
        <v>-1571504285</v>
      </c>
      <c r="E523" s="25">
        <f>SUMIFS('Daftar Koreksi'!$I$5:$I$92,'Daftar Koreksi'!$D$5:$D$92,'0300'!A510,'Daftar Koreksi'!$G$5:$G$92,"Peralatan dan mesin",'Daftar Koreksi'!$I$5:$I$92,"&gt;0")</f>
        <v>0</v>
      </c>
      <c r="F523" s="25">
        <f>SUMIFS('Daftar Koreksi'!$I$5:$I$92,'Daftar Koreksi'!$D$5:$D$92,'0300'!A510,'Daftar Koreksi'!$G$5:$G$92,"Peralatan dan mesin",'Daftar Koreksi'!$I$5:$I$92,"&lt;0")-SUMIFS('Daftar Koreksi'!$I$5:$I$92,'Daftar Koreksi'!$D$5:$D$92,'0300'!A510,'Daftar Koreksi'!$G$5:$G$92,"Peralatan dan mesin",'Daftar Koreksi'!$I$5:$I$92,"&lt;0")-SUMIFS('Daftar Koreksi'!$I$5:$I$92,'Daftar Koreksi'!$D$5:$D$92,'0300'!A510,'Daftar Koreksi'!$G$5:$G$92,"Peralatan dan mesin",'Daftar Koreksi'!$I$5:$I$92,"&lt;0")</f>
        <v>0</v>
      </c>
      <c r="G523" s="17">
        <f t="shared" si="23"/>
        <v>-1571504285</v>
      </c>
      <c r="H523" s="122"/>
    </row>
    <row r="524" spans="1:8" ht="21.95" customHeight="1">
      <c r="A524" s="14"/>
      <c r="B524" s="14"/>
      <c r="C524" s="16" t="s">
        <v>2088</v>
      </c>
      <c r="D524" s="17">
        <f>VLOOKUP(A510,'Neraca Unaudited SIMAK'!$A$2:$S$10004,14,FALSE)</f>
        <v>-1510855304</v>
      </c>
      <c r="E524" s="25">
        <f>SUMIFS('Daftar Koreksi'!$I$5:$I$92,'Daftar Koreksi'!$D$5:$D$92,'0300'!A510,'Daftar Koreksi'!$G$5:$G$92,"Gedung dan Bangunan",'Daftar Koreksi'!$I$5:$I$92,"&gt;0")</f>
        <v>0</v>
      </c>
      <c r="F524" s="25">
        <f>SUMIFS('Daftar Koreksi'!$I$5:$I$92,'Daftar Koreksi'!$D$5:$D$92,'0300'!A510,'Daftar Koreksi'!$G$5:$G$92,"Gedung dan Bangunan",'Daftar Koreksi'!$I$5:$I$92,"&lt;0")-SUMIFS('Daftar Koreksi'!$I$5:$I$92,'Daftar Koreksi'!$D$5:$D$92,'0300'!A510,'Daftar Koreksi'!$G$5:$G$92,"Gedung dan Bangunan",'Daftar Koreksi'!$I$5:$I$92,"&lt;0")-SUMIFS('Daftar Koreksi'!$I$5:$I$92,'Daftar Koreksi'!$D$5:$D$92,'0300'!A510,'Daftar Koreksi'!$G$5:$G$92,"Gedung dan Bangunan",'Daftar Koreksi'!$I$5:$I$92,"&lt;0")</f>
        <v>0</v>
      </c>
      <c r="G524" s="17">
        <f t="shared" si="23"/>
        <v>-1510855304</v>
      </c>
      <c r="H524" s="122"/>
    </row>
    <row r="525" spans="1:8" ht="21.95" customHeight="1">
      <c r="A525" s="14"/>
      <c r="B525" s="14"/>
      <c r="C525" s="16" t="s">
        <v>2089</v>
      </c>
      <c r="D525" s="17">
        <f>VLOOKUP(A510,'Neraca Unaudited SIMAK'!$A$2:$S$10004,15,FALSE)</f>
        <v>0</v>
      </c>
      <c r="E525" s="25">
        <f>SUMIFS('Daftar Koreksi'!$I$5:$I$92,'Daftar Koreksi'!$D$5:$D$92,'0300'!A510,'Daftar Koreksi'!$G$5:$G$92,"Jalan Irigasi Jaringan",'Daftar Koreksi'!$I$5:$I$92,"&gt;0")</f>
        <v>0</v>
      </c>
      <c r="F525" s="25">
        <f>SUMIFS('Daftar Koreksi'!$I$5:$I$92,'Daftar Koreksi'!$D$5:$D$92,'0300'!A510,'Daftar Koreksi'!$G$5:$G$92,"Jalan Irigasi Jaringan",'Daftar Koreksi'!$I$5:$I$92,"&lt;0")-SUMIFS('Daftar Koreksi'!$I$5:$I$92,'Daftar Koreksi'!$D$5:$D$92,'0300'!A510,'Daftar Koreksi'!$G$5:$G$92,"Jalan Irigasi Jaringan",'Daftar Koreksi'!$I$5:$I$92,"&lt;0")-SUMIFS('Daftar Koreksi'!$I$5:$I$92,'Daftar Koreksi'!$D$5:$D$92,'0300'!A510,'Daftar Koreksi'!$G$5:$G$92,"Jalan Irigasi Jaringan",'Daftar Koreksi'!$I$5:$I$92,"&lt;0")</f>
        <v>0</v>
      </c>
      <c r="G525" s="17">
        <f t="shared" si="23"/>
        <v>0</v>
      </c>
      <c r="H525" s="122"/>
    </row>
    <row r="526" spans="1:8" ht="21.95" customHeight="1">
      <c r="A526" s="14"/>
      <c r="B526" s="14"/>
      <c r="C526" s="16" t="s">
        <v>2090</v>
      </c>
      <c r="D526" s="17">
        <f>VLOOKUP(A510,'Neraca Unaudited SIMAK'!$A$2:$S$10004,16,FALSE)</f>
        <v>0</v>
      </c>
      <c r="E526" s="25">
        <f>SUMIFS('Daftar Koreksi'!$I$5:$I$92,'Daftar Koreksi'!$D$5:$D$92,'0300'!A510,'Daftar Koreksi'!$G$5:$G$92,"Aset Tetap Lainnya",'Daftar Koreksi'!$I$5:$I$92,"&gt;0")</f>
        <v>0</v>
      </c>
      <c r="F526" s="25">
        <f>SUMIFS('Daftar Koreksi'!$I$5:$I$92,'Daftar Koreksi'!$D$5:$D$92,'0300'!A510,'Daftar Koreksi'!$G$5:$G$92,"Aset Tetap Lainnya",'Daftar Koreksi'!$I$5:$I$92,"&lt;0")-SUMIFS('Daftar Koreksi'!$I$5:$I$92,'Daftar Koreksi'!$D$5:$D$92,'0300'!A510,'Daftar Koreksi'!$G$5:$G$92,"Aset Tetap Lainnya",'Daftar Koreksi'!$I$5:$I$92,"&lt;0")-SUMIFS('Daftar Koreksi'!$I$5:$I$92,'Daftar Koreksi'!$D$5:$D$92,'0300'!A510,'Daftar Koreksi'!$G$5:$G$92,"Aset Tetap Lainnya",'Daftar Koreksi'!$I$5:$I$92,"&lt;0")</f>
        <v>0</v>
      </c>
      <c r="G526" s="17">
        <f t="shared" si="23"/>
        <v>0</v>
      </c>
      <c r="H526" s="122"/>
    </row>
    <row r="527" spans="1:8" ht="21.95" customHeight="1">
      <c r="A527" s="14"/>
      <c r="B527" s="14"/>
      <c r="C527" s="16" t="s">
        <v>2020</v>
      </c>
      <c r="D527" s="17">
        <f>VLOOKUP(A510,'Neraca Unaudited SIMAK'!$A$2:$S$10004,17,FALSE)</f>
        <v>-40968500</v>
      </c>
      <c r="E527" s="25">
        <f>SUMIFS('Daftar Koreksi'!$I$5:$I$92,'Daftar Koreksi'!$D$5:$D$92,'0300'!A510,'Daftar Koreksi'!$G$5:$G$92,"Aset Henti Guna",'Daftar Koreksi'!$I$5:$I$92,"&gt;0")</f>
        <v>0</v>
      </c>
      <c r="F527" s="25">
        <f>SUMIFS('Daftar Koreksi'!$I$5:$I$92,'Daftar Koreksi'!$D$5:$D$92,'0300'!A510,'Daftar Koreksi'!$G$5:$G$92,"Aset Henti Guna",'Daftar Koreksi'!$I$5:$I$92,"&lt;0")-SUMIFS('Daftar Koreksi'!$I$5:$I$92,'Daftar Koreksi'!$D$5:$D$92,'0300'!A510,'Daftar Koreksi'!$G$5:$G$92,"Aset Henti Guna",'Daftar Koreksi'!$I$5:$I$92,"&lt;0")-SUMIFS('Daftar Koreksi'!$I$5:$I$92,'Daftar Koreksi'!$D$5:$D$92,'0300'!A510,'Daftar Koreksi'!$G$5:$G$92,"Aset Henti Guna",'Daftar Koreksi'!$I$5:$I$92,"&lt;0")</f>
        <v>0</v>
      </c>
      <c r="G527" s="17">
        <f t="shared" si="23"/>
        <v>-40968500</v>
      </c>
      <c r="H527" s="122"/>
    </row>
    <row r="528" spans="1:8" ht="21.95" customHeight="1">
      <c r="A528" s="14"/>
      <c r="B528" s="14"/>
      <c r="C528" s="18" t="s">
        <v>2094</v>
      </c>
      <c r="D528" s="19">
        <f>SUM(D523:D527)</f>
        <v>-3123328089</v>
      </c>
      <c r="E528" s="19">
        <f>SUM(E523:E527)</f>
        <v>0</v>
      </c>
      <c r="F528" s="19">
        <f>SUM(F523:F527)</f>
        <v>0</v>
      </c>
      <c r="G528" s="19">
        <f t="shared" si="23"/>
        <v>-3123328089</v>
      </c>
      <c r="H528" s="122"/>
    </row>
    <row r="529" spans="1:8" ht="21.95" customHeight="1">
      <c r="A529" s="14"/>
      <c r="B529" s="14"/>
      <c r="C529" s="18" t="s">
        <v>2095</v>
      </c>
      <c r="D529" s="19">
        <f>VLOOKUP(A510,'Neraca Unaudited SIMAK'!$A$2:$S$10004,18,FALSE)</f>
        <v>16156136121</v>
      </c>
      <c r="E529" s="19">
        <f>E528+E522</f>
        <v>0</v>
      </c>
      <c r="F529" s="19">
        <f>F528+F522</f>
        <v>0</v>
      </c>
      <c r="G529" s="19">
        <f t="shared" si="23"/>
        <v>16156136121</v>
      </c>
      <c r="H529" s="122"/>
    </row>
    <row r="530" spans="1:8" ht="21.95" customHeight="1">
      <c r="A530" s="14"/>
      <c r="B530" s="14"/>
      <c r="C530" s="16" t="s">
        <v>2091</v>
      </c>
      <c r="D530" s="17">
        <f>VLOOKUP(A510,'Neraca Unaudited SIMAK'!$A$2:$S$10004,19,FALSE)</f>
        <v>0</v>
      </c>
      <c r="E530" s="25"/>
      <c r="F530" s="25"/>
      <c r="G530" s="17">
        <f t="shared" si="23"/>
        <v>0</v>
      </c>
      <c r="H530" s="123"/>
    </row>
    <row r="532" spans="1:8" ht="19.5" customHeight="1">
      <c r="A532" s="11" t="str">
        <f>O25</f>
        <v>005010300097954000KD</v>
      </c>
      <c r="B532" s="11" t="str">
        <f>P25</f>
        <v>PN. Wonogiri</v>
      </c>
      <c r="C532" s="12" t="str">
        <f>A532&amp;" "&amp;B532</f>
        <v>005010300097954000KD PN. Wonogiri</v>
      </c>
      <c r="D532" s="13"/>
      <c r="E532" s="13"/>
      <c r="F532" s="13"/>
      <c r="G532" s="13"/>
      <c r="H532" s="11"/>
    </row>
    <row r="533" spans="1:8" ht="21.95" customHeight="1">
      <c r="A533" s="14"/>
      <c r="B533" s="14"/>
      <c r="C533" s="124" t="s">
        <v>1982</v>
      </c>
      <c r="D533" s="126" t="s">
        <v>1983</v>
      </c>
      <c r="E533" s="132" t="s">
        <v>1984</v>
      </c>
      <c r="F533" s="132"/>
      <c r="G533" s="126" t="s">
        <v>1987</v>
      </c>
      <c r="H533" s="130" t="s">
        <v>1175</v>
      </c>
    </row>
    <row r="534" spans="1:8" ht="21.95" customHeight="1">
      <c r="A534" s="14"/>
      <c r="B534" s="14"/>
      <c r="C534" s="125"/>
      <c r="D534" s="127"/>
      <c r="E534" s="26" t="s">
        <v>1985</v>
      </c>
      <c r="F534" s="26" t="s">
        <v>1986</v>
      </c>
      <c r="G534" s="127"/>
      <c r="H534" s="131"/>
    </row>
    <row r="535" spans="1:8" ht="21.95" customHeight="1">
      <c r="A535" s="14"/>
      <c r="B535" s="14"/>
      <c r="C535" s="16" t="s">
        <v>1165</v>
      </c>
      <c r="D535" s="17">
        <f>VLOOKUP(A532,'Neraca Unaudited SIMAK'!$A$2:$S$10004,3,FALSE)</f>
        <v>3093530</v>
      </c>
      <c r="E535" s="25">
        <f>SUMIFS('Daftar Koreksi'!$H$5:$H$92,'Daftar Koreksi'!$D$5:$D$92,'0300'!A532,'Daftar Koreksi'!$G$5:$G$92,"Persediaan",'Daftar Koreksi'!$H$5:$H$92,"&gt;0")</f>
        <v>0</v>
      </c>
      <c r="F535" s="25">
        <f>SUMIFS('Daftar Koreksi'!$H$5:$H$92,'Daftar Koreksi'!$D$5:$D$92,'0300'!A532,'Daftar Koreksi'!$G$5:$G$92,"Persediaan",'Daftar Koreksi'!$H$5:$H$92,"&lt;0")-SUMIFS('Daftar Koreksi'!$H$5:$H$92,'Daftar Koreksi'!$D$5:$D$92,'0300'!A532,'Daftar Koreksi'!$G$5:$G$92,"Persediaan",'Daftar Koreksi'!$H$5:$H$92,"&lt;0")-SUMIFS('Daftar Koreksi'!$H$5:$H$92,'Daftar Koreksi'!$D$5:$D$92,'0300'!A532,'Daftar Koreksi'!$G$5:$G$92,"Persediaan",'Daftar Koreksi'!$H$5:$H$92,"&lt;0")</f>
        <v>0</v>
      </c>
      <c r="G535" s="17">
        <f>D535+E535-F535</f>
        <v>3093530</v>
      </c>
      <c r="H535" s="121" t="str">
        <f>IF(ISNA(VLOOKUP(A532,'Mutasi Neraca'!$A$3:$S$914,19,FALSE)),"-",VLOOKUP(A532,'Mutasi Neraca'!$A$3:$S$914,19,FALSE))</f>
        <v>-</v>
      </c>
    </row>
    <row r="536" spans="1:8" ht="21.95" customHeight="1">
      <c r="A536" s="14"/>
      <c r="B536" s="14"/>
      <c r="C536" s="16" t="s">
        <v>1166</v>
      </c>
      <c r="D536" s="17">
        <f>VLOOKUP(A532,'Neraca Unaudited SIMAK'!$A$2:$S$10004,4,FALSE)</f>
        <v>6648813000</v>
      </c>
      <c r="E536" s="25">
        <f>SUMIFS('Daftar Koreksi'!$H$5:$H$92,'Daftar Koreksi'!$D$5:$D$92,'0300'!A532,'Daftar Koreksi'!$G$5:$G$92,"Tanah",'Daftar Koreksi'!$H$5:$H$92,"&gt;0")</f>
        <v>0</v>
      </c>
      <c r="F536" s="25">
        <f>SUMIFS('Daftar Koreksi'!$H$5:$H$92,'Daftar Koreksi'!$D$5:$D$92,'0300'!A532,'Daftar Koreksi'!$G$5:$G$92,"Tanah",'Daftar Koreksi'!$H$5:$H$92,"&lt;0")-SUMIFS('Daftar Koreksi'!$H$5:$H$92,'Daftar Koreksi'!$D$5:$D$92,'0300'!A532,'Daftar Koreksi'!$G$5:$G$92,"Tanah",'Daftar Koreksi'!$H$5:$H$92,"&lt;0")-SUMIFS('Daftar Koreksi'!$H$5:$H$92,'Daftar Koreksi'!$D$5:$D$92,'0300'!A532,'Daftar Koreksi'!$G$5:$G$92,"Tanah",'Daftar Koreksi'!$H$5:$H$92,"&lt;0")</f>
        <v>0</v>
      </c>
      <c r="G536" s="17">
        <f t="shared" ref="G536:G552" si="24">D536+E536-F536</f>
        <v>6648813000</v>
      </c>
      <c r="H536" s="122"/>
    </row>
    <row r="537" spans="1:8" ht="21.95" customHeight="1">
      <c r="A537" s="14"/>
      <c r="B537" s="14"/>
      <c r="C537" s="16" t="s">
        <v>1167</v>
      </c>
      <c r="D537" s="17">
        <f>VLOOKUP(A532,'Neraca Unaudited SIMAK'!$A$2:$S$10004,5,FALSE)</f>
        <v>1657740231</v>
      </c>
      <c r="E537" s="25">
        <f>SUMIFS('Daftar Koreksi'!$H$5:$H$92,'Daftar Koreksi'!$D$5:$D$92,'0300'!A532,'Daftar Koreksi'!$G$5:$G$92,"Peralatan dan mesin",'Daftar Koreksi'!$H$5:$H$92,"&gt;0")</f>
        <v>0</v>
      </c>
      <c r="F537" s="25">
        <f>SUMIFS('Daftar Koreksi'!$H$5:$H$92,'Daftar Koreksi'!$D$5:$D$92,'0300'!A532,'Daftar Koreksi'!$G$5:$G$92,"Peralatan dan mesin",'Daftar Koreksi'!$H$5:$H$92,"&lt;0")-SUMIFS('Daftar Koreksi'!$H$5:$H$92,'Daftar Koreksi'!$D$5:$D$92,'0300'!A532,'Daftar Koreksi'!$G$5:$G$92,"Peralatan dan mesin",'Daftar Koreksi'!$H$5:$H$92,"&lt;0")-SUMIFS('Daftar Koreksi'!$H$5:$H$92,'Daftar Koreksi'!$D$5:$D$92,'0300'!A532,'Daftar Koreksi'!$G$5:$G$92,"Peralatan dan mesin",'Daftar Koreksi'!$H$5:$H$92,"&lt;0")</f>
        <v>0</v>
      </c>
      <c r="G537" s="17">
        <f t="shared" si="24"/>
        <v>1657740231</v>
      </c>
      <c r="H537" s="122"/>
    </row>
    <row r="538" spans="1:8" ht="21.95" customHeight="1">
      <c r="A538" s="14"/>
      <c r="B538" s="14"/>
      <c r="C538" s="16" t="s">
        <v>1168</v>
      </c>
      <c r="D538" s="17">
        <f>VLOOKUP(A532,'Neraca Unaudited SIMAK'!$A$2:$S$10004,6,FALSE)</f>
        <v>5441549131</v>
      </c>
      <c r="E538" s="25">
        <f>SUMIFS('Daftar Koreksi'!$H$5:$H$92,'Daftar Koreksi'!$D$5:$D$92,'0300'!A532,'Daftar Koreksi'!$G$5:$G$92,"Gedung dan Bangunan",'Daftar Koreksi'!$H$5:$H$92,"&gt;0")</f>
        <v>0</v>
      </c>
      <c r="F538" s="25">
        <f>SUMIFS('Daftar Koreksi'!$H$5:$H$92,'Daftar Koreksi'!$D$5:$D$92,'0300'!A532,'Daftar Koreksi'!$G$5:$G$92,"Gedung dan Bangunan",'Daftar Koreksi'!$H$5:$H$92,"&lt;0")-SUMIFS('Daftar Koreksi'!$H$5:$H$92,'Daftar Koreksi'!$D$5:$D$92,'0300'!A532,'Daftar Koreksi'!$G$5:$G$92,"Gedung dan Bangunan",'Daftar Koreksi'!$H$5:$H$92,"&lt;0")-SUMIFS('Daftar Koreksi'!$H$5:$H$92,'Daftar Koreksi'!$D$5:$D$92,'0300'!A532,'Daftar Koreksi'!$G$5:$G$92,"Gedung dan Bangunan",'Daftar Koreksi'!$H$5:$H$92,"&lt;0")</f>
        <v>0</v>
      </c>
      <c r="G538" s="17">
        <f t="shared" si="24"/>
        <v>5441549131</v>
      </c>
      <c r="H538" s="122"/>
    </row>
    <row r="539" spans="1:8" ht="21.95" customHeight="1">
      <c r="A539" s="14"/>
      <c r="B539" s="14"/>
      <c r="C539" s="16" t="s">
        <v>1169</v>
      </c>
      <c r="D539" s="17">
        <f>VLOOKUP(A532,'Neraca Unaudited SIMAK'!$A$2:$S$10004,7,FALSE)</f>
        <v>59850000</v>
      </c>
      <c r="E539" s="25">
        <f>SUMIFS('Daftar Koreksi'!$H$5:$H$92,'Daftar Koreksi'!$D$5:$D$92,'0300'!A532,'Daftar Koreksi'!$G$5:$G$92,"Jalan Irigasi Jaringan",'Daftar Koreksi'!$H$5:$H$92,"&gt;0")</f>
        <v>0</v>
      </c>
      <c r="F539" s="25">
        <f>SUMIFS('Daftar Koreksi'!$H$5:$H$92,'Daftar Koreksi'!$D$5:$D$92,'0300'!A532,'Daftar Koreksi'!$G$5:$G$92,"Jalan Irigasi Jaringan",'Daftar Koreksi'!$H$5:$H$92,"&lt;0")-SUMIFS('Daftar Koreksi'!$H$5:$H$92,'Daftar Koreksi'!$D$5:$D$92,'0300'!A532,'Daftar Koreksi'!$G$5:$G$92,"Jalan Irigasi Jaringan",'Daftar Koreksi'!$H$5:$H$92,"&lt;0")-SUMIFS('Daftar Koreksi'!$H$5:$H$92,'Daftar Koreksi'!$D$5:$D$92,'0300'!A532,'Daftar Koreksi'!$G$5:$G$92,"Jalan Irigasi Jaringan",'Daftar Koreksi'!$H$5:$H$92,"&lt;0")</f>
        <v>0</v>
      </c>
      <c r="G539" s="17">
        <f t="shared" si="24"/>
        <v>59850000</v>
      </c>
      <c r="H539" s="122"/>
    </row>
    <row r="540" spans="1:8" ht="21.95" customHeight="1">
      <c r="A540" s="14"/>
      <c r="B540" s="14"/>
      <c r="C540" s="16" t="s">
        <v>1170</v>
      </c>
      <c r="D540" s="17">
        <f>VLOOKUP(A532,'Neraca Unaudited SIMAK'!$A$2:$S$10004,8,FALSE)</f>
        <v>203713740</v>
      </c>
      <c r="E540" s="25">
        <f>SUMIFS('Daftar Koreksi'!$H$5:$H$92,'Daftar Koreksi'!$D$5:$D$92,'0300'!A532,'Daftar Koreksi'!$G$5:$G$92,"Aset Tetap Lainnya",'Daftar Koreksi'!$H$5:$H$92,"&gt;0")</f>
        <v>0</v>
      </c>
      <c r="F540" s="25">
        <f>SUMIFS('Daftar Koreksi'!$H$5:$H$92,'Daftar Koreksi'!$D$5:$D$92,'0300'!A532,'Daftar Koreksi'!$G$5:$G$92,"Aset Tetap Lainnya",'Daftar Koreksi'!$H$5:$H$92,"&lt;0")-SUMIFS('Daftar Koreksi'!$H$5:$H$92,'Daftar Koreksi'!$D$5:$D$92,'0300'!A532,'Daftar Koreksi'!$G$5:$G$92,"Aset Tetap Lainnya",'Daftar Koreksi'!$H$5:$H$92,"&lt;0")-SUMIFS('Daftar Koreksi'!$H$5:$H$92,'Daftar Koreksi'!$D$5:$D$92,'0300'!A532,'Daftar Koreksi'!$G$5:$G$92,"Aset Tetap Lainnya",'Daftar Koreksi'!$H$5:$H$92,"&lt;0")</f>
        <v>0</v>
      </c>
      <c r="G540" s="17">
        <f t="shared" si="24"/>
        <v>203713740</v>
      </c>
      <c r="H540" s="122"/>
    </row>
    <row r="541" spans="1:8" ht="21.95" customHeight="1">
      <c r="A541" s="14"/>
      <c r="B541" s="14"/>
      <c r="C541" s="16" t="s">
        <v>1171</v>
      </c>
      <c r="D541" s="17">
        <f>VLOOKUP(A532,'Neraca Unaudited SIMAK'!$A$2:$S$10004,9,FALSE)</f>
        <v>0</v>
      </c>
      <c r="E541" s="25">
        <f>SUMIFS('Daftar Koreksi'!$H$5:$H$92,'Daftar Koreksi'!$D$5:$D$92,'0300'!A532,'Daftar Koreksi'!$G$5:$G$92,"Kontruksi Dalam Pengerjaan",'Daftar Koreksi'!$H$5:$H$92,"&gt;0")</f>
        <v>0</v>
      </c>
      <c r="F541" s="25">
        <f>SUMIFS('Daftar Koreksi'!$H$5:$H$92,'Daftar Koreksi'!$D$5:$D$92,'0300'!A532,'Daftar Koreksi'!$G$5:$G$92,"Kontruksi Dalam Pengerjaan",'Daftar Koreksi'!$H$5:$H$92,"&lt;0")-SUMIFS('Daftar Koreksi'!$H$5:$H$92,'Daftar Koreksi'!$D$5:$D$92,'0300'!A532,'Daftar Koreksi'!$G$5:$G$92,"Kontruksi Dalam Pengerjaan",'Daftar Koreksi'!$H$5:$H$92,"&lt;0")-SUMIFS('Daftar Koreksi'!$H$5:$H$92,'Daftar Koreksi'!$D$5:$D$92,'0300'!A532,'Daftar Koreksi'!$G$5:$G$92,"Kontruksi Dalam Pengerjaan",'Daftar Koreksi'!$H$5:$H$92,"&lt;0")</f>
        <v>0</v>
      </c>
      <c r="G541" s="17">
        <f t="shared" si="24"/>
        <v>0</v>
      </c>
      <c r="H541" s="122"/>
    </row>
    <row r="542" spans="1:8" ht="21.95" customHeight="1">
      <c r="A542" s="14"/>
      <c r="B542" s="14"/>
      <c r="C542" s="16" t="s">
        <v>1172</v>
      </c>
      <c r="D542" s="17">
        <f>VLOOKUP(A532,'Neraca Unaudited SIMAK'!$A$2:$S$10004,10,FALSE)</f>
        <v>0</v>
      </c>
      <c r="E542" s="25">
        <f>SUMIFS('Daftar Koreksi'!$H$5:$H$92,'Daftar Koreksi'!$D$5:$D$92,'0300'!A532,'Daftar Koreksi'!$G$5:$G$92,"Aset Tak Berwujud",'Daftar Koreksi'!$H$5:$H$92,"&gt;0")</f>
        <v>0</v>
      </c>
      <c r="F542" s="25">
        <f>SUMIFS('Daftar Koreksi'!$H$5:$H$92,'Daftar Koreksi'!$D$5:$D$92,'0300'!A532,'Daftar Koreksi'!$G$5:$G$92,"Aset Tak Berwujud",'Daftar Koreksi'!$H$5:$H$92,"&lt;0")-SUMIFS('Daftar Koreksi'!$H$5:$H$92,'Daftar Koreksi'!$D$5:$D$92,'0300'!A532,'Daftar Koreksi'!$G$5:$G$92,"Aset Tak Berwujud",'Daftar Koreksi'!$H$5:$H$92,"&lt;0")-SUMIFS('Daftar Koreksi'!$H$5:$H$92,'Daftar Koreksi'!$D$5:$D$92,'0300'!A532,'Daftar Koreksi'!$G$5:$G$92,"Aset Tak Berwujud",'Daftar Koreksi'!$H$5:$H$92,"&lt;0")</f>
        <v>0</v>
      </c>
      <c r="G542" s="17">
        <f t="shared" si="24"/>
        <v>0</v>
      </c>
      <c r="H542" s="122"/>
    </row>
    <row r="543" spans="1:8" ht="21.95" customHeight="1">
      <c r="A543" s="14"/>
      <c r="B543" s="14"/>
      <c r="C543" s="16" t="s">
        <v>1173</v>
      </c>
      <c r="D543" s="17">
        <f>VLOOKUP(A532,'Neraca Unaudited SIMAK'!$A$2:$S$10004,11,FALSE)</f>
        <v>0</v>
      </c>
      <c r="E543" s="25">
        <f>SUMIFS('Daftar Koreksi'!$H$5:$H$92,'Daftar Koreksi'!$D$5:$D$92,'0300'!A532,'Daftar Koreksi'!$G$5:$G$92,"Aset Henti Guna",'Daftar Koreksi'!$H$5:$H$92,"&gt;0")</f>
        <v>0</v>
      </c>
      <c r="F543" s="25">
        <f>SUMIFS('Daftar Koreksi'!$H$5:$H$92,'Daftar Koreksi'!$D$5:$D$92,'0300'!A532,'Daftar Koreksi'!$G$5:$G$92,"Aset Henti Guna",'Daftar Koreksi'!$H$5:$H$92,"&lt;0")-SUMIFS('Daftar Koreksi'!$H$5:$H$92,'Daftar Koreksi'!$D$5:$D$92,'0300'!A532,'Daftar Koreksi'!$G$5:$G$92,"Aset Henti Guna",'Daftar Koreksi'!$H$5:$H$92,"&lt;0")-SUMIFS('Daftar Koreksi'!$H$5:$H$92,'Daftar Koreksi'!$D$5:$D$92,'0300'!A532,'Daftar Koreksi'!$G$5:$G$92,"Aset Henti Guna",'Daftar Koreksi'!$H$5:$H$92,"&lt;0")</f>
        <v>0</v>
      </c>
      <c r="G543" s="17">
        <f t="shared" si="24"/>
        <v>0</v>
      </c>
      <c r="H543" s="122"/>
    </row>
    <row r="544" spans="1:8" ht="21.95" customHeight="1">
      <c r="A544" s="14"/>
      <c r="B544" s="14"/>
      <c r="C544" s="18" t="s">
        <v>2093</v>
      </c>
      <c r="D544" s="19">
        <f>VLOOKUP(A532,'Neraca Unaudited SIMAK'!$A$2:$S$10004,12,FALSE)</f>
        <v>14014759632</v>
      </c>
      <c r="E544" s="19">
        <f>SUM(E535:E543)</f>
        <v>0</v>
      </c>
      <c r="F544" s="19">
        <f>SUM(F535:F543)</f>
        <v>0</v>
      </c>
      <c r="G544" s="19">
        <f t="shared" si="24"/>
        <v>14014759632</v>
      </c>
      <c r="H544" s="122"/>
    </row>
    <row r="545" spans="1:8" ht="21.95" customHeight="1">
      <c r="A545" s="14"/>
      <c r="B545" s="14"/>
      <c r="C545" s="16" t="s">
        <v>2087</v>
      </c>
      <c r="D545" s="17">
        <f>VLOOKUP(A532,'Neraca Unaudited SIMAK'!$A$2:$S$10004,13,FALSE)</f>
        <v>-1257706988</v>
      </c>
      <c r="E545" s="25">
        <f>SUMIFS('Daftar Koreksi'!$I$5:$I$92,'Daftar Koreksi'!$D$5:$D$92,'0300'!A532,'Daftar Koreksi'!$G$5:$G$92,"Peralatan dan mesin",'Daftar Koreksi'!$I$5:$I$92,"&gt;0")</f>
        <v>0</v>
      </c>
      <c r="F545" s="25">
        <f>SUMIFS('Daftar Koreksi'!$I$5:$I$92,'Daftar Koreksi'!$D$5:$D$92,'0300'!A532,'Daftar Koreksi'!$G$5:$G$92,"Peralatan dan mesin",'Daftar Koreksi'!$I$5:$I$92,"&lt;0")-SUMIFS('Daftar Koreksi'!$I$5:$I$92,'Daftar Koreksi'!$D$5:$D$92,'0300'!A532,'Daftar Koreksi'!$G$5:$G$92,"Peralatan dan mesin",'Daftar Koreksi'!$I$5:$I$92,"&lt;0")-SUMIFS('Daftar Koreksi'!$I$5:$I$92,'Daftar Koreksi'!$D$5:$D$92,'0300'!A532,'Daftar Koreksi'!$G$5:$G$92,"Peralatan dan mesin",'Daftar Koreksi'!$I$5:$I$92,"&lt;0")</f>
        <v>0</v>
      </c>
      <c r="G545" s="17">
        <f t="shared" si="24"/>
        <v>-1257706988</v>
      </c>
      <c r="H545" s="122"/>
    </row>
    <row r="546" spans="1:8" ht="21.95" customHeight="1">
      <c r="A546" s="14"/>
      <c r="B546" s="14"/>
      <c r="C546" s="16" t="s">
        <v>2088</v>
      </c>
      <c r="D546" s="17">
        <f>VLOOKUP(A532,'Neraca Unaudited SIMAK'!$A$2:$S$10004,14,FALSE)</f>
        <v>-1307189719</v>
      </c>
      <c r="E546" s="25">
        <f>SUMIFS('Daftar Koreksi'!$I$5:$I$92,'Daftar Koreksi'!$D$5:$D$92,'0300'!A532,'Daftar Koreksi'!$G$5:$G$92,"Gedung dan Bangunan",'Daftar Koreksi'!$I$5:$I$92,"&gt;0")</f>
        <v>0</v>
      </c>
      <c r="F546" s="25">
        <f>SUMIFS('Daftar Koreksi'!$I$5:$I$92,'Daftar Koreksi'!$D$5:$D$92,'0300'!A532,'Daftar Koreksi'!$G$5:$G$92,"Gedung dan Bangunan",'Daftar Koreksi'!$I$5:$I$92,"&lt;0")-SUMIFS('Daftar Koreksi'!$I$5:$I$92,'Daftar Koreksi'!$D$5:$D$92,'0300'!A532,'Daftar Koreksi'!$G$5:$G$92,"Gedung dan Bangunan",'Daftar Koreksi'!$I$5:$I$92,"&lt;0")-SUMIFS('Daftar Koreksi'!$I$5:$I$92,'Daftar Koreksi'!$D$5:$D$92,'0300'!A532,'Daftar Koreksi'!$G$5:$G$92,"Gedung dan Bangunan",'Daftar Koreksi'!$I$5:$I$92,"&lt;0")</f>
        <v>0</v>
      </c>
      <c r="G546" s="17">
        <f t="shared" si="24"/>
        <v>-1307189719</v>
      </c>
      <c r="H546" s="122"/>
    </row>
    <row r="547" spans="1:8" ht="21.95" customHeight="1">
      <c r="A547" s="14"/>
      <c r="B547" s="14"/>
      <c r="C547" s="16" t="s">
        <v>2089</v>
      </c>
      <c r="D547" s="17">
        <f>VLOOKUP(A532,'Neraca Unaudited SIMAK'!$A$2:$S$10004,15,FALSE)</f>
        <v>-748125</v>
      </c>
      <c r="E547" s="25">
        <f>SUMIFS('Daftar Koreksi'!$I$5:$I$92,'Daftar Koreksi'!$D$5:$D$92,'0300'!A532,'Daftar Koreksi'!$G$5:$G$92,"Jalan Irigasi Jaringan",'Daftar Koreksi'!$I$5:$I$92,"&gt;0")</f>
        <v>0</v>
      </c>
      <c r="F547" s="25">
        <f>SUMIFS('Daftar Koreksi'!$I$5:$I$92,'Daftar Koreksi'!$D$5:$D$92,'0300'!A532,'Daftar Koreksi'!$G$5:$G$92,"Jalan Irigasi Jaringan",'Daftar Koreksi'!$I$5:$I$92,"&lt;0")-SUMIFS('Daftar Koreksi'!$I$5:$I$92,'Daftar Koreksi'!$D$5:$D$92,'0300'!A532,'Daftar Koreksi'!$G$5:$G$92,"Jalan Irigasi Jaringan",'Daftar Koreksi'!$I$5:$I$92,"&lt;0")-SUMIFS('Daftar Koreksi'!$I$5:$I$92,'Daftar Koreksi'!$D$5:$D$92,'0300'!A532,'Daftar Koreksi'!$G$5:$G$92,"Jalan Irigasi Jaringan",'Daftar Koreksi'!$I$5:$I$92,"&lt;0")</f>
        <v>0</v>
      </c>
      <c r="G547" s="17">
        <f t="shared" si="24"/>
        <v>-748125</v>
      </c>
      <c r="H547" s="122"/>
    </row>
    <row r="548" spans="1:8" ht="21.95" customHeight="1">
      <c r="A548" s="14"/>
      <c r="B548" s="14"/>
      <c r="C548" s="16" t="s">
        <v>2090</v>
      </c>
      <c r="D548" s="17">
        <f>VLOOKUP(A532,'Neraca Unaudited SIMAK'!$A$2:$S$10004,16,FALSE)</f>
        <v>0</v>
      </c>
      <c r="E548" s="25">
        <f>SUMIFS('Daftar Koreksi'!$I$5:$I$92,'Daftar Koreksi'!$D$5:$D$92,'0300'!A532,'Daftar Koreksi'!$G$5:$G$92,"Aset Tetap Lainnya",'Daftar Koreksi'!$I$5:$I$92,"&gt;0")</f>
        <v>0</v>
      </c>
      <c r="F548" s="25">
        <f>SUMIFS('Daftar Koreksi'!$I$5:$I$92,'Daftar Koreksi'!$D$5:$D$92,'0300'!A532,'Daftar Koreksi'!$G$5:$G$92,"Aset Tetap Lainnya",'Daftar Koreksi'!$I$5:$I$92,"&lt;0")-SUMIFS('Daftar Koreksi'!$I$5:$I$92,'Daftar Koreksi'!$D$5:$D$92,'0300'!A532,'Daftar Koreksi'!$G$5:$G$92,"Aset Tetap Lainnya",'Daftar Koreksi'!$I$5:$I$92,"&lt;0")-SUMIFS('Daftar Koreksi'!$I$5:$I$92,'Daftar Koreksi'!$D$5:$D$92,'0300'!A532,'Daftar Koreksi'!$G$5:$G$92,"Aset Tetap Lainnya",'Daftar Koreksi'!$I$5:$I$92,"&lt;0")</f>
        <v>0</v>
      </c>
      <c r="G548" s="17">
        <f t="shared" si="24"/>
        <v>0</v>
      </c>
      <c r="H548" s="122"/>
    </row>
    <row r="549" spans="1:8" ht="21.95" customHeight="1">
      <c r="A549" s="14"/>
      <c r="B549" s="14"/>
      <c r="C549" s="16" t="s">
        <v>2020</v>
      </c>
      <c r="D549" s="17">
        <f>VLOOKUP(A532,'Neraca Unaudited SIMAK'!$A$2:$S$10004,17,FALSE)</f>
        <v>0</v>
      </c>
      <c r="E549" s="25">
        <f>SUMIFS('Daftar Koreksi'!$I$5:$I$92,'Daftar Koreksi'!$D$5:$D$92,'0300'!A532,'Daftar Koreksi'!$G$5:$G$92,"Aset Henti Guna",'Daftar Koreksi'!$I$5:$I$92,"&gt;0")</f>
        <v>0</v>
      </c>
      <c r="F549" s="25">
        <f>SUMIFS('Daftar Koreksi'!$I$5:$I$92,'Daftar Koreksi'!$D$5:$D$92,'0300'!A532,'Daftar Koreksi'!$G$5:$G$92,"Aset Henti Guna",'Daftar Koreksi'!$I$5:$I$92,"&lt;0")-SUMIFS('Daftar Koreksi'!$I$5:$I$92,'Daftar Koreksi'!$D$5:$D$92,'0300'!A532,'Daftar Koreksi'!$G$5:$G$92,"Aset Henti Guna",'Daftar Koreksi'!$I$5:$I$92,"&lt;0")-SUMIFS('Daftar Koreksi'!$I$5:$I$92,'Daftar Koreksi'!$D$5:$D$92,'0300'!A532,'Daftar Koreksi'!$G$5:$G$92,"Aset Henti Guna",'Daftar Koreksi'!$I$5:$I$92,"&lt;0")</f>
        <v>0</v>
      </c>
      <c r="G549" s="17">
        <f t="shared" si="24"/>
        <v>0</v>
      </c>
      <c r="H549" s="122"/>
    </row>
    <row r="550" spans="1:8" ht="21.95" customHeight="1">
      <c r="A550" s="14"/>
      <c r="B550" s="14"/>
      <c r="C550" s="18" t="s">
        <v>2094</v>
      </c>
      <c r="D550" s="19">
        <f>SUM(D545:D549)</f>
        <v>-2565644832</v>
      </c>
      <c r="E550" s="19">
        <f>SUM(E545:E549)</f>
        <v>0</v>
      </c>
      <c r="F550" s="19">
        <f>SUM(F545:F549)</f>
        <v>0</v>
      </c>
      <c r="G550" s="19">
        <f t="shared" si="24"/>
        <v>-2565644832</v>
      </c>
      <c r="H550" s="122"/>
    </row>
    <row r="551" spans="1:8" ht="21.95" customHeight="1">
      <c r="A551" s="14"/>
      <c r="B551" s="14"/>
      <c r="C551" s="18" t="s">
        <v>2095</v>
      </c>
      <c r="D551" s="19">
        <f>VLOOKUP(A532,'Neraca Unaudited SIMAK'!$A$2:$S$10004,18,FALSE)</f>
        <v>11449114800</v>
      </c>
      <c r="E551" s="19">
        <f>E550+E544</f>
        <v>0</v>
      </c>
      <c r="F551" s="19">
        <f>F550+F544</f>
        <v>0</v>
      </c>
      <c r="G551" s="19">
        <f t="shared" si="24"/>
        <v>11449114800</v>
      </c>
      <c r="H551" s="122"/>
    </row>
    <row r="552" spans="1:8" ht="21.95" customHeight="1">
      <c r="A552" s="14"/>
      <c r="B552" s="14"/>
      <c r="C552" s="16" t="s">
        <v>2091</v>
      </c>
      <c r="D552" s="17">
        <f>VLOOKUP(A532,'Neraca Unaudited SIMAK'!$A$2:$S$10004,19,FALSE)</f>
        <v>0</v>
      </c>
      <c r="E552" s="25"/>
      <c r="F552" s="25"/>
      <c r="G552" s="17">
        <f t="shared" si="24"/>
        <v>0</v>
      </c>
      <c r="H552" s="123"/>
    </row>
    <row r="554" spans="1:8" ht="19.5" customHeight="1">
      <c r="A554" s="11" t="str">
        <f>O26</f>
        <v>005010300097961000KD</v>
      </c>
      <c r="B554" s="11" t="str">
        <f>P26</f>
        <v>PN. Sukoharjo</v>
      </c>
      <c r="C554" s="12" t="str">
        <f>A554&amp;" "&amp;B554</f>
        <v>005010300097961000KD PN. Sukoharjo</v>
      </c>
      <c r="D554" s="13"/>
      <c r="E554" s="13"/>
      <c r="F554" s="13"/>
      <c r="G554" s="13"/>
      <c r="H554" s="11"/>
    </row>
    <row r="555" spans="1:8" ht="21.95" customHeight="1">
      <c r="A555" s="14"/>
      <c r="B555" s="14"/>
      <c r="C555" s="124" t="s">
        <v>1982</v>
      </c>
      <c r="D555" s="126" t="s">
        <v>1983</v>
      </c>
      <c r="E555" s="132" t="s">
        <v>1984</v>
      </c>
      <c r="F555" s="132"/>
      <c r="G555" s="126" t="s">
        <v>1987</v>
      </c>
      <c r="H555" s="130" t="s">
        <v>1175</v>
      </c>
    </row>
    <row r="556" spans="1:8" ht="21.95" customHeight="1">
      <c r="A556" s="14"/>
      <c r="B556" s="14"/>
      <c r="C556" s="125"/>
      <c r="D556" s="127"/>
      <c r="E556" s="26" t="s">
        <v>1985</v>
      </c>
      <c r="F556" s="26" t="s">
        <v>1986</v>
      </c>
      <c r="G556" s="127"/>
      <c r="H556" s="131"/>
    </row>
    <row r="557" spans="1:8" ht="21.95" customHeight="1">
      <c r="A557" s="14"/>
      <c r="B557" s="14"/>
      <c r="C557" s="16" t="s">
        <v>1165</v>
      </c>
      <c r="D557" s="17">
        <f>VLOOKUP(A554,'Neraca Unaudited SIMAK'!$A$2:$S$10004,3,FALSE)</f>
        <v>825000</v>
      </c>
      <c r="E557" s="25">
        <f>SUMIFS('Daftar Koreksi'!$H$5:$H$92,'Daftar Koreksi'!$D$5:$D$92,'0300'!A554,'Daftar Koreksi'!$G$5:$G$92,"Persediaan",'Daftar Koreksi'!$H$5:$H$92,"&gt;0")</f>
        <v>0</v>
      </c>
      <c r="F557" s="25">
        <f>SUMIFS('Daftar Koreksi'!$H$5:$H$92,'Daftar Koreksi'!$D$5:$D$92,'0300'!A554,'Daftar Koreksi'!$G$5:$G$92,"Persediaan",'Daftar Koreksi'!$H$5:$H$92,"&lt;0")-SUMIFS('Daftar Koreksi'!$H$5:$H$92,'Daftar Koreksi'!$D$5:$D$92,'0300'!A554,'Daftar Koreksi'!$G$5:$G$92,"Persediaan",'Daftar Koreksi'!$H$5:$H$92,"&lt;0")-SUMIFS('Daftar Koreksi'!$H$5:$H$92,'Daftar Koreksi'!$D$5:$D$92,'0300'!A554,'Daftar Koreksi'!$G$5:$G$92,"Persediaan",'Daftar Koreksi'!$H$5:$H$92,"&lt;0")</f>
        <v>0</v>
      </c>
      <c r="G557" s="17">
        <f>D557+E557-F557</f>
        <v>825000</v>
      </c>
      <c r="H557" s="121" t="str">
        <f>IF(ISNA(VLOOKUP(A554,'Mutasi Neraca'!$A$3:$S$914,19,FALSE)),"-",VLOOKUP(A554,'Mutasi Neraca'!$A$3:$S$914,19,FALSE))</f>
        <v>-</v>
      </c>
    </row>
    <row r="558" spans="1:8" ht="21.95" customHeight="1">
      <c r="A558" s="14"/>
      <c r="B558" s="14"/>
      <c r="C558" s="16" t="s">
        <v>1166</v>
      </c>
      <c r="D558" s="17">
        <f>VLOOKUP(A554,'Neraca Unaudited SIMAK'!$A$2:$S$10004,4,FALSE)</f>
        <v>14089232500</v>
      </c>
      <c r="E558" s="25">
        <f>SUMIFS('Daftar Koreksi'!$H$5:$H$92,'Daftar Koreksi'!$D$5:$D$92,'0300'!A554,'Daftar Koreksi'!$G$5:$G$92,"Tanah",'Daftar Koreksi'!$H$5:$H$92,"&gt;0")</f>
        <v>0</v>
      </c>
      <c r="F558" s="25">
        <f>SUMIFS('Daftar Koreksi'!$H$5:$H$92,'Daftar Koreksi'!$D$5:$D$92,'0300'!A554,'Daftar Koreksi'!$G$5:$G$92,"Tanah",'Daftar Koreksi'!$H$5:$H$92,"&lt;0")-SUMIFS('Daftar Koreksi'!$H$5:$H$92,'Daftar Koreksi'!$D$5:$D$92,'0300'!A554,'Daftar Koreksi'!$G$5:$G$92,"Tanah",'Daftar Koreksi'!$H$5:$H$92,"&lt;0")-SUMIFS('Daftar Koreksi'!$H$5:$H$92,'Daftar Koreksi'!$D$5:$D$92,'0300'!A554,'Daftar Koreksi'!$G$5:$G$92,"Tanah",'Daftar Koreksi'!$H$5:$H$92,"&lt;0")</f>
        <v>0</v>
      </c>
      <c r="G558" s="17">
        <f t="shared" ref="G558:G574" si="25">D558+E558-F558</f>
        <v>14089232500</v>
      </c>
      <c r="H558" s="122"/>
    </row>
    <row r="559" spans="1:8" ht="21.95" customHeight="1">
      <c r="A559" s="14"/>
      <c r="B559" s="14"/>
      <c r="C559" s="16" t="s">
        <v>1167</v>
      </c>
      <c r="D559" s="17">
        <f>VLOOKUP(A554,'Neraca Unaudited SIMAK'!$A$2:$S$10004,5,FALSE)</f>
        <v>1345484731</v>
      </c>
      <c r="E559" s="25">
        <f>SUMIFS('Daftar Koreksi'!$H$5:$H$92,'Daftar Koreksi'!$D$5:$D$92,'0300'!A554,'Daftar Koreksi'!$G$5:$G$92,"Peralatan dan mesin",'Daftar Koreksi'!$H$5:$H$92,"&gt;0")</f>
        <v>0</v>
      </c>
      <c r="F559" s="25">
        <f>SUMIFS('Daftar Koreksi'!$H$5:$H$92,'Daftar Koreksi'!$D$5:$D$92,'0300'!A554,'Daftar Koreksi'!$G$5:$G$92,"Peralatan dan mesin",'Daftar Koreksi'!$H$5:$H$92,"&lt;0")-SUMIFS('Daftar Koreksi'!$H$5:$H$92,'Daftar Koreksi'!$D$5:$D$92,'0300'!A554,'Daftar Koreksi'!$G$5:$G$92,"Peralatan dan mesin",'Daftar Koreksi'!$H$5:$H$92,"&lt;0")-SUMIFS('Daftar Koreksi'!$H$5:$H$92,'Daftar Koreksi'!$D$5:$D$92,'0300'!A554,'Daftar Koreksi'!$G$5:$G$92,"Peralatan dan mesin",'Daftar Koreksi'!$H$5:$H$92,"&lt;0")</f>
        <v>0</v>
      </c>
      <c r="G559" s="17">
        <f t="shared" si="25"/>
        <v>1345484731</v>
      </c>
      <c r="H559" s="122"/>
    </row>
    <row r="560" spans="1:8" ht="21.95" customHeight="1">
      <c r="A560" s="14"/>
      <c r="B560" s="14"/>
      <c r="C560" s="16" t="s">
        <v>1168</v>
      </c>
      <c r="D560" s="17">
        <f>VLOOKUP(A554,'Neraca Unaudited SIMAK'!$A$2:$S$10004,6,FALSE)</f>
        <v>3376771832</v>
      </c>
      <c r="E560" s="25">
        <f>SUMIFS('Daftar Koreksi'!$H$5:$H$92,'Daftar Koreksi'!$D$5:$D$92,'0300'!A554,'Daftar Koreksi'!$G$5:$G$92,"Gedung dan Bangunan",'Daftar Koreksi'!$H$5:$H$92,"&gt;0")</f>
        <v>0</v>
      </c>
      <c r="F560" s="25">
        <f>SUMIFS('Daftar Koreksi'!$H$5:$H$92,'Daftar Koreksi'!$D$5:$D$92,'0300'!A554,'Daftar Koreksi'!$G$5:$G$92,"Gedung dan Bangunan",'Daftar Koreksi'!$H$5:$H$92,"&lt;0")-SUMIFS('Daftar Koreksi'!$H$5:$H$92,'Daftar Koreksi'!$D$5:$D$92,'0300'!A554,'Daftar Koreksi'!$G$5:$G$92,"Gedung dan Bangunan",'Daftar Koreksi'!$H$5:$H$92,"&lt;0")-SUMIFS('Daftar Koreksi'!$H$5:$H$92,'Daftar Koreksi'!$D$5:$D$92,'0300'!A554,'Daftar Koreksi'!$G$5:$G$92,"Gedung dan Bangunan",'Daftar Koreksi'!$H$5:$H$92,"&lt;0")</f>
        <v>0</v>
      </c>
      <c r="G560" s="17">
        <f t="shared" si="25"/>
        <v>3376771832</v>
      </c>
      <c r="H560" s="122"/>
    </row>
    <row r="561" spans="1:8" ht="21.95" customHeight="1">
      <c r="A561" s="14"/>
      <c r="B561" s="14"/>
      <c r="C561" s="16" t="s">
        <v>1169</v>
      </c>
      <c r="D561" s="17">
        <f>VLOOKUP(A554,'Neraca Unaudited SIMAK'!$A$2:$S$10004,7,FALSE)</f>
        <v>19633000</v>
      </c>
      <c r="E561" s="25">
        <f>SUMIFS('Daftar Koreksi'!$H$5:$H$92,'Daftar Koreksi'!$D$5:$D$92,'0300'!A554,'Daftar Koreksi'!$G$5:$G$92,"Jalan Irigasi Jaringan",'Daftar Koreksi'!$H$5:$H$92,"&gt;0")</f>
        <v>0</v>
      </c>
      <c r="F561" s="25">
        <f>SUMIFS('Daftar Koreksi'!$H$5:$H$92,'Daftar Koreksi'!$D$5:$D$92,'0300'!A554,'Daftar Koreksi'!$G$5:$G$92,"Jalan Irigasi Jaringan",'Daftar Koreksi'!$H$5:$H$92,"&lt;0")-SUMIFS('Daftar Koreksi'!$H$5:$H$92,'Daftar Koreksi'!$D$5:$D$92,'0300'!A554,'Daftar Koreksi'!$G$5:$G$92,"Jalan Irigasi Jaringan",'Daftar Koreksi'!$H$5:$H$92,"&lt;0")-SUMIFS('Daftar Koreksi'!$H$5:$H$92,'Daftar Koreksi'!$D$5:$D$92,'0300'!A554,'Daftar Koreksi'!$G$5:$G$92,"Jalan Irigasi Jaringan",'Daftar Koreksi'!$H$5:$H$92,"&lt;0")</f>
        <v>0</v>
      </c>
      <c r="G561" s="17">
        <f t="shared" si="25"/>
        <v>19633000</v>
      </c>
      <c r="H561" s="122"/>
    </row>
    <row r="562" spans="1:8" ht="21.95" customHeight="1">
      <c r="A562" s="14"/>
      <c r="B562" s="14"/>
      <c r="C562" s="16" t="s">
        <v>1170</v>
      </c>
      <c r="D562" s="17">
        <f>VLOOKUP(A554,'Neraca Unaudited SIMAK'!$A$2:$S$10004,8,FALSE)</f>
        <v>9183742</v>
      </c>
      <c r="E562" s="25">
        <f>SUMIFS('Daftar Koreksi'!$H$5:$H$92,'Daftar Koreksi'!$D$5:$D$92,'0300'!A554,'Daftar Koreksi'!$G$5:$G$92,"Aset Tetap Lainnya",'Daftar Koreksi'!$H$5:$H$92,"&gt;0")</f>
        <v>0</v>
      </c>
      <c r="F562" s="25">
        <f>SUMIFS('Daftar Koreksi'!$H$5:$H$92,'Daftar Koreksi'!$D$5:$D$92,'0300'!A554,'Daftar Koreksi'!$G$5:$G$92,"Aset Tetap Lainnya",'Daftar Koreksi'!$H$5:$H$92,"&lt;0")-SUMIFS('Daftar Koreksi'!$H$5:$H$92,'Daftar Koreksi'!$D$5:$D$92,'0300'!A554,'Daftar Koreksi'!$G$5:$G$92,"Aset Tetap Lainnya",'Daftar Koreksi'!$H$5:$H$92,"&lt;0")-SUMIFS('Daftar Koreksi'!$H$5:$H$92,'Daftar Koreksi'!$D$5:$D$92,'0300'!A554,'Daftar Koreksi'!$G$5:$G$92,"Aset Tetap Lainnya",'Daftar Koreksi'!$H$5:$H$92,"&lt;0")</f>
        <v>0</v>
      </c>
      <c r="G562" s="17">
        <f t="shared" si="25"/>
        <v>9183742</v>
      </c>
      <c r="H562" s="122"/>
    </row>
    <row r="563" spans="1:8" ht="21.95" customHeight="1">
      <c r="A563" s="14"/>
      <c r="B563" s="14"/>
      <c r="C563" s="16" t="s">
        <v>1171</v>
      </c>
      <c r="D563" s="17">
        <f>VLOOKUP(A554,'Neraca Unaudited SIMAK'!$A$2:$S$10004,9,FALSE)</f>
        <v>0</v>
      </c>
      <c r="E563" s="25">
        <f>SUMIFS('Daftar Koreksi'!$H$5:$H$92,'Daftar Koreksi'!$D$5:$D$92,'0300'!A554,'Daftar Koreksi'!$G$5:$G$92,"Kontruksi Dalam Pengerjaan",'Daftar Koreksi'!$H$5:$H$92,"&gt;0")</f>
        <v>0</v>
      </c>
      <c r="F563" s="25">
        <f>SUMIFS('Daftar Koreksi'!$H$5:$H$92,'Daftar Koreksi'!$D$5:$D$92,'0300'!A554,'Daftar Koreksi'!$G$5:$G$92,"Kontruksi Dalam Pengerjaan",'Daftar Koreksi'!$H$5:$H$92,"&lt;0")-SUMIFS('Daftar Koreksi'!$H$5:$H$92,'Daftar Koreksi'!$D$5:$D$92,'0300'!A554,'Daftar Koreksi'!$G$5:$G$92,"Kontruksi Dalam Pengerjaan",'Daftar Koreksi'!$H$5:$H$92,"&lt;0")-SUMIFS('Daftar Koreksi'!$H$5:$H$92,'Daftar Koreksi'!$D$5:$D$92,'0300'!A554,'Daftar Koreksi'!$G$5:$G$92,"Kontruksi Dalam Pengerjaan",'Daftar Koreksi'!$H$5:$H$92,"&lt;0")</f>
        <v>0</v>
      </c>
      <c r="G563" s="17">
        <f t="shared" si="25"/>
        <v>0</v>
      </c>
      <c r="H563" s="122"/>
    </row>
    <row r="564" spans="1:8" ht="21.95" customHeight="1">
      <c r="A564" s="14"/>
      <c r="B564" s="14"/>
      <c r="C564" s="16" t="s">
        <v>1172</v>
      </c>
      <c r="D564" s="17">
        <f>VLOOKUP(A554,'Neraca Unaudited SIMAK'!$A$2:$S$10004,10,FALSE)</f>
        <v>0</v>
      </c>
      <c r="E564" s="25">
        <f>SUMIFS('Daftar Koreksi'!$H$5:$H$92,'Daftar Koreksi'!$D$5:$D$92,'0300'!A554,'Daftar Koreksi'!$G$5:$G$92,"Aset Tak Berwujud",'Daftar Koreksi'!$H$5:$H$92,"&gt;0")</f>
        <v>0</v>
      </c>
      <c r="F564" s="25">
        <f>SUMIFS('Daftar Koreksi'!$H$5:$H$92,'Daftar Koreksi'!$D$5:$D$92,'0300'!A554,'Daftar Koreksi'!$G$5:$G$92,"Aset Tak Berwujud",'Daftar Koreksi'!$H$5:$H$92,"&lt;0")-SUMIFS('Daftar Koreksi'!$H$5:$H$92,'Daftar Koreksi'!$D$5:$D$92,'0300'!A554,'Daftar Koreksi'!$G$5:$G$92,"Aset Tak Berwujud",'Daftar Koreksi'!$H$5:$H$92,"&lt;0")-SUMIFS('Daftar Koreksi'!$H$5:$H$92,'Daftar Koreksi'!$D$5:$D$92,'0300'!A554,'Daftar Koreksi'!$G$5:$G$92,"Aset Tak Berwujud",'Daftar Koreksi'!$H$5:$H$92,"&lt;0")</f>
        <v>0</v>
      </c>
      <c r="G564" s="17">
        <f t="shared" si="25"/>
        <v>0</v>
      </c>
      <c r="H564" s="122"/>
    </row>
    <row r="565" spans="1:8" ht="21.95" customHeight="1">
      <c r="A565" s="14"/>
      <c r="B565" s="14"/>
      <c r="C565" s="16" t="s">
        <v>1173</v>
      </c>
      <c r="D565" s="17">
        <f>VLOOKUP(A554,'Neraca Unaudited SIMAK'!$A$2:$S$10004,11,FALSE)</f>
        <v>70900</v>
      </c>
      <c r="E565" s="25">
        <f>SUMIFS('Daftar Koreksi'!$H$5:$H$92,'Daftar Koreksi'!$D$5:$D$92,'0300'!A554,'Daftar Koreksi'!$G$5:$G$92,"Aset Henti Guna",'Daftar Koreksi'!$H$5:$H$92,"&gt;0")</f>
        <v>0</v>
      </c>
      <c r="F565" s="25">
        <f>SUMIFS('Daftar Koreksi'!$H$5:$H$92,'Daftar Koreksi'!$D$5:$D$92,'0300'!A554,'Daftar Koreksi'!$G$5:$G$92,"Aset Henti Guna",'Daftar Koreksi'!$H$5:$H$92,"&lt;0")-SUMIFS('Daftar Koreksi'!$H$5:$H$92,'Daftar Koreksi'!$D$5:$D$92,'0300'!A554,'Daftar Koreksi'!$G$5:$G$92,"Aset Henti Guna",'Daftar Koreksi'!$H$5:$H$92,"&lt;0")-SUMIFS('Daftar Koreksi'!$H$5:$H$92,'Daftar Koreksi'!$D$5:$D$92,'0300'!A554,'Daftar Koreksi'!$G$5:$G$92,"Aset Henti Guna",'Daftar Koreksi'!$H$5:$H$92,"&lt;0")</f>
        <v>0</v>
      </c>
      <c r="G565" s="17">
        <f t="shared" si="25"/>
        <v>70900</v>
      </c>
      <c r="H565" s="122"/>
    </row>
    <row r="566" spans="1:8" ht="21.95" customHeight="1">
      <c r="A566" s="14"/>
      <c r="B566" s="14"/>
      <c r="C566" s="18" t="s">
        <v>2093</v>
      </c>
      <c r="D566" s="19">
        <f>VLOOKUP(A554,'Neraca Unaudited SIMAK'!$A$2:$S$10004,12,FALSE)</f>
        <v>18841201705</v>
      </c>
      <c r="E566" s="19">
        <f>SUM(E557:E565)</f>
        <v>0</v>
      </c>
      <c r="F566" s="19">
        <f>SUM(F557:F565)</f>
        <v>0</v>
      </c>
      <c r="G566" s="19">
        <f t="shared" si="25"/>
        <v>18841201705</v>
      </c>
      <c r="H566" s="122"/>
    </row>
    <row r="567" spans="1:8" ht="21.95" customHeight="1">
      <c r="A567" s="14"/>
      <c r="B567" s="14"/>
      <c r="C567" s="16" t="s">
        <v>2087</v>
      </c>
      <c r="D567" s="17">
        <f>VLOOKUP(A554,'Neraca Unaudited SIMAK'!$A$2:$S$10004,13,FALSE)</f>
        <v>-1191981906</v>
      </c>
      <c r="E567" s="25">
        <f>SUMIFS('Daftar Koreksi'!$I$5:$I$92,'Daftar Koreksi'!$D$5:$D$92,'0300'!A554,'Daftar Koreksi'!$G$5:$G$92,"Peralatan dan mesin",'Daftar Koreksi'!$I$5:$I$92,"&gt;0")</f>
        <v>0</v>
      </c>
      <c r="F567" s="25">
        <f>SUMIFS('Daftar Koreksi'!$I$5:$I$92,'Daftar Koreksi'!$D$5:$D$92,'0300'!A554,'Daftar Koreksi'!$G$5:$G$92,"Peralatan dan mesin",'Daftar Koreksi'!$I$5:$I$92,"&lt;0")-SUMIFS('Daftar Koreksi'!$I$5:$I$92,'Daftar Koreksi'!$D$5:$D$92,'0300'!A554,'Daftar Koreksi'!$G$5:$G$92,"Peralatan dan mesin",'Daftar Koreksi'!$I$5:$I$92,"&lt;0")-SUMIFS('Daftar Koreksi'!$I$5:$I$92,'Daftar Koreksi'!$D$5:$D$92,'0300'!A554,'Daftar Koreksi'!$G$5:$G$92,"Peralatan dan mesin",'Daftar Koreksi'!$I$5:$I$92,"&lt;0")</f>
        <v>0</v>
      </c>
      <c r="G567" s="17">
        <f t="shared" si="25"/>
        <v>-1191981906</v>
      </c>
      <c r="H567" s="122"/>
    </row>
    <row r="568" spans="1:8" ht="21.95" customHeight="1">
      <c r="A568" s="14"/>
      <c r="B568" s="14"/>
      <c r="C568" s="16" t="s">
        <v>2088</v>
      </c>
      <c r="D568" s="17">
        <f>VLOOKUP(A554,'Neraca Unaudited SIMAK'!$A$2:$S$10004,14,FALSE)</f>
        <v>-1606065977</v>
      </c>
      <c r="E568" s="25">
        <f>SUMIFS('Daftar Koreksi'!$I$5:$I$92,'Daftar Koreksi'!$D$5:$D$92,'0300'!A554,'Daftar Koreksi'!$G$5:$G$92,"Gedung dan Bangunan",'Daftar Koreksi'!$I$5:$I$92,"&gt;0")</f>
        <v>0</v>
      </c>
      <c r="F568" s="25">
        <f>SUMIFS('Daftar Koreksi'!$I$5:$I$92,'Daftar Koreksi'!$D$5:$D$92,'0300'!A554,'Daftar Koreksi'!$G$5:$G$92,"Gedung dan Bangunan",'Daftar Koreksi'!$I$5:$I$92,"&lt;0")-SUMIFS('Daftar Koreksi'!$I$5:$I$92,'Daftar Koreksi'!$D$5:$D$92,'0300'!A554,'Daftar Koreksi'!$G$5:$G$92,"Gedung dan Bangunan",'Daftar Koreksi'!$I$5:$I$92,"&lt;0")-SUMIFS('Daftar Koreksi'!$I$5:$I$92,'Daftar Koreksi'!$D$5:$D$92,'0300'!A554,'Daftar Koreksi'!$G$5:$G$92,"Gedung dan Bangunan",'Daftar Koreksi'!$I$5:$I$92,"&lt;0")</f>
        <v>0</v>
      </c>
      <c r="G568" s="17">
        <f t="shared" si="25"/>
        <v>-1606065977</v>
      </c>
      <c r="H568" s="122"/>
    </row>
    <row r="569" spans="1:8" ht="21.95" customHeight="1">
      <c r="A569" s="14"/>
      <c r="B569" s="14"/>
      <c r="C569" s="16" t="s">
        <v>2089</v>
      </c>
      <c r="D569" s="17">
        <f>VLOOKUP(A554,'Neraca Unaudited SIMAK'!$A$2:$S$10004,15,FALSE)</f>
        <v>-2454125</v>
      </c>
      <c r="E569" s="25">
        <f>SUMIFS('Daftar Koreksi'!$I$5:$I$92,'Daftar Koreksi'!$D$5:$D$92,'0300'!A554,'Daftar Koreksi'!$G$5:$G$92,"Jalan Irigasi Jaringan",'Daftar Koreksi'!$I$5:$I$92,"&gt;0")</f>
        <v>0</v>
      </c>
      <c r="F569" s="25">
        <f>SUMIFS('Daftar Koreksi'!$I$5:$I$92,'Daftar Koreksi'!$D$5:$D$92,'0300'!A554,'Daftar Koreksi'!$G$5:$G$92,"Jalan Irigasi Jaringan",'Daftar Koreksi'!$I$5:$I$92,"&lt;0")-SUMIFS('Daftar Koreksi'!$I$5:$I$92,'Daftar Koreksi'!$D$5:$D$92,'0300'!A554,'Daftar Koreksi'!$G$5:$G$92,"Jalan Irigasi Jaringan",'Daftar Koreksi'!$I$5:$I$92,"&lt;0")-SUMIFS('Daftar Koreksi'!$I$5:$I$92,'Daftar Koreksi'!$D$5:$D$92,'0300'!A554,'Daftar Koreksi'!$G$5:$G$92,"Jalan Irigasi Jaringan",'Daftar Koreksi'!$I$5:$I$92,"&lt;0")</f>
        <v>0</v>
      </c>
      <c r="G569" s="17">
        <f t="shared" si="25"/>
        <v>-2454125</v>
      </c>
      <c r="H569" s="122"/>
    </row>
    <row r="570" spans="1:8" ht="21.95" customHeight="1">
      <c r="A570" s="14"/>
      <c r="B570" s="14"/>
      <c r="C570" s="16" t="s">
        <v>2090</v>
      </c>
      <c r="D570" s="17">
        <f>VLOOKUP(A554,'Neraca Unaudited SIMAK'!$A$2:$S$10004,16,FALSE)</f>
        <v>0</v>
      </c>
      <c r="E570" s="25">
        <f>SUMIFS('Daftar Koreksi'!$I$5:$I$92,'Daftar Koreksi'!$D$5:$D$92,'0300'!A554,'Daftar Koreksi'!$G$5:$G$92,"Aset Tetap Lainnya",'Daftar Koreksi'!$I$5:$I$92,"&gt;0")</f>
        <v>0</v>
      </c>
      <c r="F570" s="25">
        <f>SUMIFS('Daftar Koreksi'!$I$5:$I$92,'Daftar Koreksi'!$D$5:$D$92,'0300'!A554,'Daftar Koreksi'!$G$5:$G$92,"Aset Tetap Lainnya",'Daftar Koreksi'!$I$5:$I$92,"&lt;0")-SUMIFS('Daftar Koreksi'!$I$5:$I$92,'Daftar Koreksi'!$D$5:$D$92,'0300'!A554,'Daftar Koreksi'!$G$5:$G$92,"Aset Tetap Lainnya",'Daftar Koreksi'!$I$5:$I$92,"&lt;0")-SUMIFS('Daftar Koreksi'!$I$5:$I$92,'Daftar Koreksi'!$D$5:$D$92,'0300'!A554,'Daftar Koreksi'!$G$5:$G$92,"Aset Tetap Lainnya",'Daftar Koreksi'!$I$5:$I$92,"&lt;0")</f>
        <v>0</v>
      </c>
      <c r="G570" s="17">
        <f t="shared" si="25"/>
        <v>0</v>
      </c>
      <c r="H570" s="122"/>
    </row>
    <row r="571" spans="1:8" ht="21.95" customHeight="1">
      <c r="A571" s="14"/>
      <c r="B571" s="14"/>
      <c r="C571" s="16" t="s">
        <v>2020</v>
      </c>
      <c r="D571" s="17">
        <f>VLOOKUP(A554,'Neraca Unaudited SIMAK'!$A$2:$S$10004,17,FALSE)</f>
        <v>-70900</v>
      </c>
      <c r="E571" s="25">
        <f>SUMIFS('Daftar Koreksi'!$I$5:$I$92,'Daftar Koreksi'!$D$5:$D$92,'0300'!A554,'Daftar Koreksi'!$G$5:$G$92,"Aset Henti Guna",'Daftar Koreksi'!$I$5:$I$92,"&gt;0")</f>
        <v>0</v>
      </c>
      <c r="F571" s="25">
        <f>SUMIFS('Daftar Koreksi'!$I$5:$I$92,'Daftar Koreksi'!$D$5:$D$92,'0300'!A554,'Daftar Koreksi'!$G$5:$G$92,"Aset Henti Guna",'Daftar Koreksi'!$I$5:$I$92,"&lt;0")-SUMIFS('Daftar Koreksi'!$I$5:$I$92,'Daftar Koreksi'!$D$5:$D$92,'0300'!A554,'Daftar Koreksi'!$G$5:$G$92,"Aset Henti Guna",'Daftar Koreksi'!$I$5:$I$92,"&lt;0")-SUMIFS('Daftar Koreksi'!$I$5:$I$92,'Daftar Koreksi'!$D$5:$D$92,'0300'!A554,'Daftar Koreksi'!$G$5:$G$92,"Aset Henti Guna",'Daftar Koreksi'!$I$5:$I$92,"&lt;0")</f>
        <v>0</v>
      </c>
      <c r="G571" s="17">
        <f t="shared" si="25"/>
        <v>-70900</v>
      </c>
      <c r="H571" s="122"/>
    </row>
    <row r="572" spans="1:8" ht="21.95" customHeight="1">
      <c r="A572" s="14"/>
      <c r="B572" s="14"/>
      <c r="C572" s="18" t="s">
        <v>2094</v>
      </c>
      <c r="D572" s="19">
        <f>SUM(D567:D571)</f>
        <v>-2800572908</v>
      </c>
      <c r="E572" s="19">
        <f>SUM(E567:E571)</f>
        <v>0</v>
      </c>
      <c r="F572" s="19">
        <f>SUM(F567:F571)</f>
        <v>0</v>
      </c>
      <c r="G572" s="19">
        <f t="shared" si="25"/>
        <v>-2800572908</v>
      </c>
      <c r="H572" s="122"/>
    </row>
    <row r="573" spans="1:8" ht="21.95" customHeight="1">
      <c r="A573" s="14"/>
      <c r="B573" s="14"/>
      <c r="C573" s="18" t="s">
        <v>2095</v>
      </c>
      <c r="D573" s="19">
        <f>VLOOKUP(A554,'Neraca Unaudited SIMAK'!$A$2:$S$10004,18,FALSE)</f>
        <v>16040628797</v>
      </c>
      <c r="E573" s="19">
        <f>E572+E566</f>
        <v>0</v>
      </c>
      <c r="F573" s="19">
        <f>F572+F566</f>
        <v>0</v>
      </c>
      <c r="G573" s="19">
        <f t="shared" si="25"/>
        <v>16040628797</v>
      </c>
      <c r="H573" s="122"/>
    </row>
    <row r="574" spans="1:8" ht="21.95" customHeight="1">
      <c r="A574" s="14"/>
      <c r="B574" s="14"/>
      <c r="C574" s="16" t="s">
        <v>2091</v>
      </c>
      <c r="D574" s="17">
        <f>VLOOKUP(A554,'Neraca Unaudited SIMAK'!$A$2:$S$10004,19,FALSE)</f>
        <v>0</v>
      </c>
      <c r="E574" s="25"/>
      <c r="F574" s="25"/>
      <c r="G574" s="17">
        <f t="shared" si="25"/>
        <v>0</v>
      </c>
      <c r="H574" s="123"/>
    </row>
    <row r="576" spans="1:8" ht="19.5" customHeight="1">
      <c r="A576" s="11" t="str">
        <f>O27</f>
        <v>005010300097975000KD</v>
      </c>
      <c r="B576" s="11" t="str">
        <f>P27</f>
        <v>PN. Karangayar</v>
      </c>
      <c r="C576" s="12" t="str">
        <f>A576&amp;" "&amp;B576</f>
        <v>005010300097975000KD PN. Karangayar</v>
      </c>
      <c r="D576" s="13"/>
      <c r="E576" s="13"/>
      <c r="F576" s="13"/>
      <c r="G576" s="13"/>
      <c r="H576" s="11"/>
    </row>
    <row r="577" spans="1:10" ht="21.95" customHeight="1">
      <c r="A577" s="14"/>
      <c r="B577" s="14"/>
      <c r="C577" s="124" t="s">
        <v>1982</v>
      </c>
      <c r="D577" s="126" t="s">
        <v>1983</v>
      </c>
      <c r="E577" s="132" t="s">
        <v>1984</v>
      </c>
      <c r="F577" s="132"/>
      <c r="G577" s="126" t="s">
        <v>1987</v>
      </c>
      <c r="H577" s="130" t="s">
        <v>1175</v>
      </c>
    </row>
    <row r="578" spans="1:10" ht="21.95" customHeight="1">
      <c r="A578" s="14"/>
      <c r="B578" s="14"/>
      <c r="C578" s="125"/>
      <c r="D578" s="127"/>
      <c r="E578" s="26" t="s">
        <v>1985</v>
      </c>
      <c r="F578" s="26" t="s">
        <v>1986</v>
      </c>
      <c r="G578" s="127"/>
      <c r="H578" s="131"/>
    </row>
    <row r="579" spans="1:10" ht="21.95" customHeight="1">
      <c r="A579" s="14"/>
      <c r="B579" s="14"/>
      <c r="C579" s="16" t="s">
        <v>1165</v>
      </c>
      <c r="D579" s="17">
        <f>VLOOKUP(A576,'Neraca Unaudited SIMAK'!$A$2:$S$10004,3,FALSE)</f>
        <v>19043400</v>
      </c>
      <c r="E579" s="25">
        <f>SUMIFS('Daftar Koreksi'!$H$5:$H$92,'Daftar Koreksi'!$D$5:$D$92,'0300'!A576,'Daftar Koreksi'!$G$5:$G$92,"Persediaan",'Daftar Koreksi'!$H$5:$H$92,"&gt;0")</f>
        <v>0</v>
      </c>
      <c r="F579" s="25">
        <f>SUMIFS('Daftar Koreksi'!$H$5:$H$92,'Daftar Koreksi'!$D$5:$D$92,'0300'!A576,'Daftar Koreksi'!$G$5:$G$92,"Persediaan",'Daftar Koreksi'!$H$5:$H$92,"&lt;0")-SUMIFS('Daftar Koreksi'!$H$5:$H$92,'Daftar Koreksi'!$D$5:$D$92,'0300'!A576,'Daftar Koreksi'!$G$5:$G$92,"Persediaan",'Daftar Koreksi'!$H$5:$H$92,"&lt;0")-SUMIFS('Daftar Koreksi'!$H$5:$H$92,'Daftar Koreksi'!$D$5:$D$92,'0300'!A576,'Daftar Koreksi'!$G$5:$G$92,"Persediaan",'Daftar Koreksi'!$H$5:$H$92,"&lt;0")</f>
        <v>0</v>
      </c>
      <c r="G579" s="17">
        <f>D579+E579-F579</f>
        <v>19043400</v>
      </c>
      <c r="H579" s="121" t="str">
        <f>IF(ISNA(VLOOKUP(A576,'Mutasi Neraca'!$A$3:$S$914,19,FALSE)),"-",VLOOKUP(A576,'Mutasi Neraca'!$A$3:$S$914,19,FALSE))</f>
        <v>-</v>
      </c>
    </row>
    <row r="580" spans="1:10" ht="21.95" customHeight="1">
      <c r="A580" s="14"/>
      <c r="B580" s="14"/>
      <c r="C580" s="16" t="s">
        <v>1166</v>
      </c>
      <c r="D580" s="17">
        <f>VLOOKUP(A576,'Neraca Unaudited SIMAK'!$A$2:$S$10004,4,FALSE)</f>
        <v>8724012000</v>
      </c>
      <c r="E580" s="25">
        <f>SUMIFS('Daftar Koreksi'!$H$5:$H$92,'Daftar Koreksi'!$D$5:$D$92,'0300'!A576,'Daftar Koreksi'!$G$5:$G$92,"Tanah",'Daftar Koreksi'!$H$5:$H$92,"&gt;0")</f>
        <v>0</v>
      </c>
      <c r="F580" s="25">
        <f>SUMIFS('Daftar Koreksi'!$H$5:$H$92,'Daftar Koreksi'!$D$5:$D$92,'0300'!A576,'Daftar Koreksi'!$G$5:$G$92,"Tanah",'Daftar Koreksi'!$H$5:$H$92,"&lt;0")-SUMIFS('Daftar Koreksi'!$H$5:$H$92,'Daftar Koreksi'!$D$5:$D$92,'0300'!A576,'Daftar Koreksi'!$G$5:$G$92,"Tanah",'Daftar Koreksi'!$H$5:$H$92,"&lt;0")-SUMIFS('Daftar Koreksi'!$H$5:$H$92,'Daftar Koreksi'!$D$5:$D$92,'0300'!A576,'Daftar Koreksi'!$G$5:$G$92,"Tanah",'Daftar Koreksi'!$H$5:$H$92,"&lt;0")</f>
        <v>0</v>
      </c>
      <c r="G580" s="17">
        <f t="shared" ref="G580:G596" si="26">D580+E580-F580</f>
        <v>8724012000</v>
      </c>
      <c r="H580" s="122"/>
    </row>
    <row r="581" spans="1:10" ht="21.95" customHeight="1">
      <c r="A581" s="14"/>
      <c r="B581" s="14"/>
      <c r="C581" s="16" t="s">
        <v>1167</v>
      </c>
      <c r="D581" s="17">
        <f>VLOOKUP(A576,'Neraca Unaudited SIMAK'!$A$2:$S$10004,5,FALSE)</f>
        <v>1777639288</v>
      </c>
      <c r="E581" s="25">
        <f>SUMIFS('Daftar Koreksi'!$H$5:$H$92,'Daftar Koreksi'!$D$5:$D$92,'0300'!A576,'Daftar Koreksi'!$G$5:$G$92,"Peralatan dan mesin",'Daftar Koreksi'!$H$5:$H$92,"&gt;0")</f>
        <v>0</v>
      </c>
      <c r="F581" s="25">
        <f>SUMIFS('Daftar Koreksi'!$H$5:$H$92,'Daftar Koreksi'!$D$5:$D$92,'0300'!A576,'Daftar Koreksi'!$G$5:$G$92,"Peralatan dan mesin",'Daftar Koreksi'!$H$5:$H$92,"&lt;0")-SUMIFS('Daftar Koreksi'!$H$5:$H$92,'Daftar Koreksi'!$D$5:$D$92,'0300'!A576,'Daftar Koreksi'!$G$5:$G$92,"Peralatan dan mesin",'Daftar Koreksi'!$H$5:$H$92,"&lt;0")-SUMIFS('Daftar Koreksi'!$H$5:$H$92,'Daftar Koreksi'!$D$5:$D$92,'0300'!A576,'Daftar Koreksi'!$G$5:$G$92,"Peralatan dan mesin",'Daftar Koreksi'!$H$5:$H$92,"&lt;0")</f>
        <v>0</v>
      </c>
      <c r="G581" s="17">
        <f t="shared" si="26"/>
        <v>1777639288</v>
      </c>
      <c r="H581" s="122"/>
    </row>
    <row r="582" spans="1:10" ht="21.95" customHeight="1">
      <c r="A582" s="14"/>
      <c r="B582" s="14"/>
      <c r="C582" s="16" t="s">
        <v>1168</v>
      </c>
      <c r="D582" s="17">
        <f>VLOOKUP(A576,'Neraca Unaudited SIMAK'!$A$2:$S$10004,6,FALSE)</f>
        <v>3577506078</v>
      </c>
      <c r="E582" s="25">
        <f>SUMIFS('Daftar Koreksi'!$H$5:$H$92,'Daftar Koreksi'!$D$5:$D$92,'0300'!A576,'Daftar Koreksi'!$G$5:$G$92,"Gedung dan Bangunan",'Daftar Koreksi'!$H$5:$H$92,"&gt;0")</f>
        <v>0</v>
      </c>
      <c r="F582" s="25">
        <f>SUMIFS('Daftar Koreksi'!$H$5:$H$92,'Daftar Koreksi'!$D$5:$D$92,'0300'!A576,'Daftar Koreksi'!$G$5:$G$92,"Gedung dan Bangunan",'Daftar Koreksi'!$H$5:$H$92,"&lt;0")-SUMIFS('Daftar Koreksi'!$H$5:$H$92,'Daftar Koreksi'!$D$5:$D$92,'0300'!A576,'Daftar Koreksi'!$G$5:$G$92,"Gedung dan Bangunan",'Daftar Koreksi'!$H$5:$H$92,"&lt;0")-SUMIFS('Daftar Koreksi'!$H$5:$H$92,'Daftar Koreksi'!$D$5:$D$92,'0300'!A576,'Daftar Koreksi'!$G$5:$G$92,"Gedung dan Bangunan",'Daftar Koreksi'!$H$5:$H$92,"&lt;0")</f>
        <v>0</v>
      </c>
      <c r="G582" s="17">
        <f t="shared" si="26"/>
        <v>3577506078</v>
      </c>
      <c r="H582" s="122"/>
    </row>
    <row r="583" spans="1:10" ht="21.95" customHeight="1">
      <c r="A583" s="14"/>
      <c r="B583" s="14"/>
      <c r="C583" s="16" t="s">
        <v>1169</v>
      </c>
      <c r="D583" s="17">
        <f>VLOOKUP(A576,'Neraca Unaudited SIMAK'!$A$2:$S$10004,7,FALSE)</f>
        <v>79450000</v>
      </c>
      <c r="E583" s="25">
        <f>SUMIFS('Daftar Koreksi'!$H$5:$H$92,'Daftar Koreksi'!$D$5:$D$92,'0300'!A576,'Daftar Koreksi'!$G$5:$G$92,"Jalan Irigasi Jaringan",'Daftar Koreksi'!$H$5:$H$92,"&gt;0")</f>
        <v>0</v>
      </c>
      <c r="F583" s="25">
        <f>SUMIFS('Daftar Koreksi'!$H$5:$H$92,'Daftar Koreksi'!$D$5:$D$92,'0300'!A576,'Daftar Koreksi'!$G$5:$G$92,"Jalan Irigasi Jaringan",'Daftar Koreksi'!$H$5:$H$92,"&lt;0")-SUMIFS('Daftar Koreksi'!$H$5:$H$92,'Daftar Koreksi'!$D$5:$D$92,'0300'!A576,'Daftar Koreksi'!$G$5:$G$92,"Jalan Irigasi Jaringan",'Daftar Koreksi'!$H$5:$H$92,"&lt;0")-SUMIFS('Daftar Koreksi'!$H$5:$H$92,'Daftar Koreksi'!$D$5:$D$92,'0300'!A576,'Daftar Koreksi'!$G$5:$G$92,"Jalan Irigasi Jaringan",'Daftar Koreksi'!$H$5:$H$92,"&lt;0")</f>
        <v>0</v>
      </c>
      <c r="G583" s="17">
        <f t="shared" si="26"/>
        <v>79450000</v>
      </c>
      <c r="H583" s="122"/>
    </row>
    <row r="584" spans="1:10" ht="21.95" customHeight="1">
      <c r="A584" s="14"/>
      <c r="B584" s="14"/>
      <c r="C584" s="16" t="s">
        <v>1170</v>
      </c>
      <c r="D584" s="17">
        <f>VLOOKUP(A576,'Neraca Unaudited SIMAK'!$A$2:$S$10004,8,FALSE)</f>
        <v>10672062</v>
      </c>
      <c r="E584" s="25">
        <f>SUMIFS('Daftar Koreksi'!$H$5:$H$92,'Daftar Koreksi'!$D$5:$D$92,'0300'!A576,'Daftar Koreksi'!$G$5:$G$92,"Aset Tetap Lainnya",'Daftar Koreksi'!$H$5:$H$92,"&gt;0")</f>
        <v>0</v>
      </c>
      <c r="F584" s="25">
        <f>SUMIFS('Daftar Koreksi'!$H$5:$H$92,'Daftar Koreksi'!$D$5:$D$92,'0300'!A576,'Daftar Koreksi'!$G$5:$G$92,"Aset Tetap Lainnya",'Daftar Koreksi'!$H$5:$H$92,"&lt;0")-SUMIFS('Daftar Koreksi'!$H$5:$H$92,'Daftar Koreksi'!$D$5:$D$92,'0300'!A576,'Daftar Koreksi'!$G$5:$G$92,"Aset Tetap Lainnya",'Daftar Koreksi'!$H$5:$H$92,"&lt;0")-SUMIFS('Daftar Koreksi'!$H$5:$H$92,'Daftar Koreksi'!$D$5:$D$92,'0300'!A576,'Daftar Koreksi'!$G$5:$G$92,"Aset Tetap Lainnya",'Daftar Koreksi'!$H$5:$H$92,"&lt;0")</f>
        <v>0</v>
      </c>
      <c r="G584" s="17">
        <f t="shared" si="26"/>
        <v>10672062</v>
      </c>
      <c r="H584" s="122"/>
    </row>
    <row r="585" spans="1:10" ht="21.95" customHeight="1">
      <c r="A585" s="14"/>
      <c r="B585" s="14"/>
      <c r="C585" s="16" t="s">
        <v>1171</v>
      </c>
      <c r="D585" s="17">
        <f>VLOOKUP(A576,'Neraca Unaudited SIMAK'!$A$2:$S$10004,9,FALSE)</f>
        <v>0</v>
      </c>
      <c r="E585" s="25">
        <f>SUMIFS('Daftar Koreksi'!$H$5:$H$92,'Daftar Koreksi'!$D$5:$D$92,'0300'!A576,'Daftar Koreksi'!$G$5:$G$92,"Kontruksi Dalam Pengerjaan",'Daftar Koreksi'!$H$5:$H$92,"&gt;0")</f>
        <v>0</v>
      </c>
      <c r="F585" s="25">
        <f>SUMIFS('Daftar Koreksi'!$H$5:$H$92,'Daftar Koreksi'!$D$5:$D$92,'0300'!A576,'Daftar Koreksi'!$G$5:$G$92,"Kontruksi Dalam Pengerjaan",'Daftar Koreksi'!$H$5:$H$92,"&lt;0")-SUMIFS('Daftar Koreksi'!$H$5:$H$92,'Daftar Koreksi'!$D$5:$D$92,'0300'!A576,'Daftar Koreksi'!$G$5:$G$92,"Kontruksi Dalam Pengerjaan",'Daftar Koreksi'!$H$5:$H$92,"&lt;0")-SUMIFS('Daftar Koreksi'!$H$5:$H$92,'Daftar Koreksi'!$D$5:$D$92,'0300'!A576,'Daftar Koreksi'!$G$5:$G$92,"Kontruksi Dalam Pengerjaan",'Daftar Koreksi'!$H$5:$H$92,"&lt;0")</f>
        <v>0</v>
      </c>
      <c r="G585" s="17">
        <f t="shared" si="26"/>
        <v>0</v>
      </c>
      <c r="H585" s="122"/>
    </row>
    <row r="586" spans="1:10" ht="21.95" customHeight="1">
      <c r="A586" s="14"/>
      <c r="B586" s="14"/>
      <c r="C586" s="16" t="s">
        <v>1172</v>
      </c>
      <c r="D586" s="17">
        <f>VLOOKUP(A576,'Neraca Unaudited SIMAK'!$A$2:$S$10004,10,FALSE)</f>
        <v>0</v>
      </c>
      <c r="E586" s="25">
        <f>SUMIFS('Daftar Koreksi'!$H$5:$H$92,'Daftar Koreksi'!$D$5:$D$92,'0300'!A576,'Daftar Koreksi'!$G$5:$G$92,"Aset Tak Berwujud",'Daftar Koreksi'!$H$5:$H$92,"&gt;0")</f>
        <v>0</v>
      </c>
      <c r="F586" s="25">
        <f>SUMIFS('Daftar Koreksi'!$H$5:$H$92,'Daftar Koreksi'!$D$5:$D$92,'0300'!A576,'Daftar Koreksi'!$G$5:$G$92,"Aset Tak Berwujud",'Daftar Koreksi'!$H$5:$H$92,"&lt;0")-SUMIFS('Daftar Koreksi'!$H$5:$H$92,'Daftar Koreksi'!$D$5:$D$92,'0300'!A576,'Daftar Koreksi'!$G$5:$G$92,"Aset Tak Berwujud",'Daftar Koreksi'!$H$5:$H$92,"&lt;0")-SUMIFS('Daftar Koreksi'!$H$5:$H$92,'Daftar Koreksi'!$D$5:$D$92,'0300'!A576,'Daftar Koreksi'!$G$5:$G$92,"Aset Tak Berwujud",'Daftar Koreksi'!$H$5:$H$92,"&lt;0")</f>
        <v>0</v>
      </c>
      <c r="G586" s="17">
        <f t="shared" si="26"/>
        <v>0</v>
      </c>
      <c r="H586" s="122"/>
    </row>
    <row r="587" spans="1:10" ht="21.95" customHeight="1">
      <c r="A587" s="14"/>
      <c r="B587" s="14"/>
      <c r="C587" s="16" t="s">
        <v>1173</v>
      </c>
      <c r="D587" s="17">
        <f>VLOOKUP(A576,'Neraca Unaudited SIMAK'!$A$2:$S$10004,11,FALSE)</f>
        <v>448000</v>
      </c>
      <c r="E587" s="25">
        <f>SUMIFS('Daftar Koreksi'!$H$5:$H$92,'Daftar Koreksi'!$D$5:$D$92,'0300'!A576,'Daftar Koreksi'!$G$5:$G$92,"Aset Henti Guna",'Daftar Koreksi'!$H$5:$H$92,"&gt;0")</f>
        <v>0</v>
      </c>
      <c r="F587" s="25">
        <f>SUMIFS('Daftar Koreksi'!$H$5:$H$92,'Daftar Koreksi'!$D$5:$D$92,'0300'!A576,'Daftar Koreksi'!$G$5:$G$92,"Aset Henti Guna",'Daftar Koreksi'!$H$5:$H$92,"&lt;0")-SUMIFS('Daftar Koreksi'!$H$5:$H$92,'Daftar Koreksi'!$D$5:$D$92,'0300'!A576,'Daftar Koreksi'!$G$5:$G$92,"Aset Henti Guna",'Daftar Koreksi'!$H$5:$H$92,"&lt;0")-SUMIFS('Daftar Koreksi'!$H$5:$H$92,'Daftar Koreksi'!$D$5:$D$92,'0300'!A576,'Daftar Koreksi'!$G$5:$G$92,"Aset Henti Guna",'Daftar Koreksi'!$H$5:$H$92,"&lt;0")</f>
        <v>0</v>
      </c>
      <c r="G587" s="17">
        <f t="shared" si="26"/>
        <v>448000</v>
      </c>
      <c r="H587" s="122"/>
    </row>
    <row r="588" spans="1:10" ht="21.95" customHeight="1">
      <c r="A588" s="14"/>
      <c r="B588" s="14"/>
      <c r="C588" s="18" t="s">
        <v>2093</v>
      </c>
      <c r="D588" s="19">
        <f>VLOOKUP(A576,'Neraca Unaudited SIMAK'!$A$2:$S$10004,12,FALSE)</f>
        <v>14188770828</v>
      </c>
      <c r="E588" s="19">
        <f>SUM(E579:E587)</f>
        <v>0</v>
      </c>
      <c r="F588" s="19">
        <f>SUM(F579:F587)</f>
        <v>0</v>
      </c>
      <c r="G588" s="19">
        <f t="shared" si="26"/>
        <v>14188770828</v>
      </c>
      <c r="H588" s="122"/>
    </row>
    <row r="589" spans="1:10" ht="21.95" customHeight="1">
      <c r="A589" s="14"/>
      <c r="B589" s="14"/>
      <c r="C589" s="16" t="s">
        <v>2087</v>
      </c>
      <c r="D589" s="17">
        <f>VLOOKUP(A576,'Neraca Unaudited SIMAK'!$A$2:$S$10004,13,FALSE)</f>
        <v>-1533147925</v>
      </c>
      <c r="E589" s="25">
        <f>SUMIFS('Daftar Koreksi'!$I$5:$I$92,'Daftar Koreksi'!$D$5:$D$92,'0300'!A576,'Daftar Koreksi'!$G$5:$G$92,"Peralatan dan mesin",'Daftar Koreksi'!$I$5:$I$92,"&gt;0")</f>
        <v>0</v>
      </c>
      <c r="F589" s="25">
        <f>SUMIFS('Daftar Koreksi'!$I$5:$I$92,'Daftar Koreksi'!$D$5:$D$92,'0300'!A576,'Daftar Koreksi'!$G$5:$G$92,"Peralatan dan mesin",'Daftar Koreksi'!$I$5:$I$92,"&lt;0")-SUMIFS('Daftar Koreksi'!$I$5:$I$92,'Daftar Koreksi'!$D$5:$D$92,'0300'!A576,'Daftar Koreksi'!$G$5:$G$92,"Peralatan dan mesin",'Daftar Koreksi'!$I$5:$I$92,"&lt;0")-SUMIFS('Daftar Koreksi'!$I$5:$I$92,'Daftar Koreksi'!$D$5:$D$92,'0300'!A576,'Daftar Koreksi'!$G$5:$G$92,"Peralatan dan mesin",'Daftar Koreksi'!$I$5:$I$92,"&lt;0")</f>
        <v>0</v>
      </c>
      <c r="G589" s="17">
        <f t="shared" si="26"/>
        <v>-1533147925</v>
      </c>
      <c r="H589" s="122"/>
      <c r="J589" s="10"/>
    </row>
    <row r="590" spans="1:10" ht="21.95" customHeight="1">
      <c r="A590" s="14"/>
      <c r="B590" s="14"/>
      <c r="C590" s="16" t="s">
        <v>2088</v>
      </c>
      <c r="D590" s="17">
        <f>VLOOKUP(A576,'Neraca Unaudited SIMAK'!$A$2:$S$10004,14,FALSE)</f>
        <v>-1215869281</v>
      </c>
      <c r="E590" s="25">
        <f>SUMIFS('Daftar Koreksi'!$I$5:$I$92,'Daftar Koreksi'!$D$5:$D$92,'0300'!A576,'Daftar Koreksi'!$G$5:$G$92,"Gedung dan Bangunan",'Daftar Koreksi'!$I$5:$I$92,"&gt;0")</f>
        <v>0</v>
      </c>
      <c r="F590" s="25">
        <f>SUMIFS('Daftar Koreksi'!$I$5:$I$92,'Daftar Koreksi'!$D$5:$D$92,'0300'!A576,'Daftar Koreksi'!$G$5:$G$92,"Gedung dan Bangunan",'Daftar Koreksi'!$I$5:$I$92,"&lt;0")-SUMIFS('Daftar Koreksi'!$I$5:$I$92,'Daftar Koreksi'!$D$5:$D$92,'0300'!A576,'Daftar Koreksi'!$G$5:$G$92,"Gedung dan Bangunan",'Daftar Koreksi'!$I$5:$I$92,"&lt;0")-SUMIFS('Daftar Koreksi'!$I$5:$I$92,'Daftar Koreksi'!$D$5:$D$92,'0300'!A576,'Daftar Koreksi'!$G$5:$G$92,"Gedung dan Bangunan",'Daftar Koreksi'!$I$5:$I$92,"&lt;0")</f>
        <v>0</v>
      </c>
      <c r="G590" s="17">
        <f t="shared" si="26"/>
        <v>-1215869281</v>
      </c>
      <c r="H590" s="122"/>
    </row>
    <row r="591" spans="1:10" ht="21.95" customHeight="1">
      <c r="A591" s="14"/>
      <c r="B591" s="14"/>
      <c r="C591" s="16" t="s">
        <v>2089</v>
      </c>
      <c r="D591" s="17">
        <f>VLOOKUP(A576,'Neraca Unaudited SIMAK'!$A$2:$S$10004,15,FALSE)</f>
        <v>-8265000</v>
      </c>
      <c r="E591" s="25">
        <f>SUMIFS('Daftar Koreksi'!$I$5:$I$92,'Daftar Koreksi'!$D$5:$D$92,'0300'!A576,'Daftar Koreksi'!$G$5:$G$92,"Jalan Irigasi Jaringan",'Daftar Koreksi'!$I$5:$I$92,"&gt;0")</f>
        <v>0</v>
      </c>
      <c r="F591" s="25">
        <f>SUMIFS('Daftar Koreksi'!$I$5:$I$92,'Daftar Koreksi'!$D$5:$D$92,'0300'!A576,'Daftar Koreksi'!$G$5:$G$92,"Jalan Irigasi Jaringan",'Daftar Koreksi'!$I$5:$I$92,"&lt;0")-SUMIFS('Daftar Koreksi'!$I$5:$I$92,'Daftar Koreksi'!$D$5:$D$92,'0300'!A576,'Daftar Koreksi'!$G$5:$G$92,"Jalan Irigasi Jaringan",'Daftar Koreksi'!$I$5:$I$92,"&lt;0")-SUMIFS('Daftar Koreksi'!$I$5:$I$92,'Daftar Koreksi'!$D$5:$D$92,'0300'!A576,'Daftar Koreksi'!$G$5:$G$92,"Jalan Irigasi Jaringan",'Daftar Koreksi'!$I$5:$I$92,"&lt;0")</f>
        <v>0</v>
      </c>
      <c r="G591" s="17">
        <f t="shared" si="26"/>
        <v>-8265000</v>
      </c>
      <c r="H591" s="122"/>
    </row>
    <row r="592" spans="1:10" ht="21.95" customHeight="1">
      <c r="A592" s="14"/>
      <c r="B592" s="14"/>
      <c r="C592" s="16" t="s">
        <v>2090</v>
      </c>
      <c r="D592" s="17">
        <f>VLOOKUP(A576,'Neraca Unaudited SIMAK'!$A$2:$S$10004,16,FALSE)</f>
        <v>0</v>
      </c>
      <c r="E592" s="25">
        <f>SUMIFS('Daftar Koreksi'!$I$5:$I$92,'Daftar Koreksi'!$D$5:$D$92,'0300'!A576,'Daftar Koreksi'!$G$5:$G$92,"Aset Tetap Lainnya",'Daftar Koreksi'!$I$5:$I$92,"&gt;0")</f>
        <v>0</v>
      </c>
      <c r="F592" s="25">
        <f>SUMIFS('Daftar Koreksi'!$I$5:$I$92,'Daftar Koreksi'!$D$5:$D$92,'0300'!A576,'Daftar Koreksi'!$G$5:$G$92,"Aset Tetap Lainnya",'Daftar Koreksi'!$I$5:$I$92,"&lt;0")-SUMIFS('Daftar Koreksi'!$I$5:$I$92,'Daftar Koreksi'!$D$5:$D$92,'0300'!A576,'Daftar Koreksi'!$G$5:$G$92,"Aset Tetap Lainnya",'Daftar Koreksi'!$I$5:$I$92,"&lt;0")-SUMIFS('Daftar Koreksi'!$I$5:$I$92,'Daftar Koreksi'!$D$5:$D$92,'0300'!A576,'Daftar Koreksi'!$G$5:$G$92,"Aset Tetap Lainnya",'Daftar Koreksi'!$I$5:$I$92,"&lt;0")</f>
        <v>0</v>
      </c>
      <c r="G592" s="17">
        <f t="shared" si="26"/>
        <v>0</v>
      </c>
      <c r="H592" s="122"/>
    </row>
    <row r="593" spans="1:8" ht="21.95" customHeight="1">
      <c r="A593" s="14"/>
      <c r="B593" s="14"/>
      <c r="C593" s="16" t="s">
        <v>2020</v>
      </c>
      <c r="D593" s="17">
        <f>VLOOKUP(A576,'Neraca Unaudited SIMAK'!$A$2:$S$10004,17,FALSE)</f>
        <v>-448000</v>
      </c>
      <c r="E593" s="25">
        <f>SUMIFS('Daftar Koreksi'!$I$5:$I$92,'Daftar Koreksi'!$D$5:$D$92,'0300'!A576,'Daftar Koreksi'!$G$5:$G$92,"Aset Henti Guna",'Daftar Koreksi'!$I$5:$I$92,"&gt;0")</f>
        <v>0</v>
      </c>
      <c r="F593" s="25">
        <f>SUMIFS('Daftar Koreksi'!$I$5:$I$92,'Daftar Koreksi'!$D$5:$D$92,'0300'!A576,'Daftar Koreksi'!$G$5:$G$92,"Aset Henti Guna",'Daftar Koreksi'!$I$5:$I$92,"&lt;0")-SUMIFS('Daftar Koreksi'!$I$5:$I$92,'Daftar Koreksi'!$D$5:$D$92,'0300'!A576,'Daftar Koreksi'!$G$5:$G$92,"Aset Henti Guna",'Daftar Koreksi'!$I$5:$I$92,"&lt;0")-SUMIFS('Daftar Koreksi'!$I$5:$I$92,'Daftar Koreksi'!$D$5:$D$92,'0300'!A576,'Daftar Koreksi'!$G$5:$G$92,"Aset Henti Guna",'Daftar Koreksi'!$I$5:$I$92,"&lt;0")</f>
        <v>0</v>
      </c>
      <c r="G593" s="17">
        <f t="shared" si="26"/>
        <v>-448000</v>
      </c>
      <c r="H593" s="122"/>
    </row>
    <row r="594" spans="1:8" ht="21.95" customHeight="1">
      <c r="A594" s="14"/>
      <c r="B594" s="14"/>
      <c r="C594" s="18" t="s">
        <v>2094</v>
      </c>
      <c r="D594" s="19">
        <f>SUM(D589:D593)</f>
        <v>-2757730206</v>
      </c>
      <c r="E594" s="19">
        <f>SUM(E589:E593)</f>
        <v>0</v>
      </c>
      <c r="F594" s="19">
        <f>SUM(F589:F593)</f>
        <v>0</v>
      </c>
      <c r="G594" s="19">
        <f t="shared" si="26"/>
        <v>-2757730206</v>
      </c>
      <c r="H594" s="122"/>
    </row>
    <row r="595" spans="1:8" ht="21.95" customHeight="1">
      <c r="A595" s="14"/>
      <c r="B595" s="14"/>
      <c r="C595" s="18" t="s">
        <v>2095</v>
      </c>
      <c r="D595" s="19">
        <f>VLOOKUP(A576,'Neraca Unaudited SIMAK'!$A$2:$S$10004,18,FALSE)</f>
        <v>11431040622</v>
      </c>
      <c r="E595" s="19">
        <f>E594+E588</f>
        <v>0</v>
      </c>
      <c r="F595" s="19">
        <f>F594+F588</f>
        <v>0</v>
      </c>
      <c r="G595" s="19">
        <f t="shared" si="26"/>
        <v>11431040622</v>
      </c>
      <c r="H595" s="122"/>
    </row>
    <row r="596" spans="1:8" ht="21.95" customHeight="1">
      <c r="A596" s="14"/>
      <c r="B596" s="14"/>
      <c r="C596" s="16" t="s">
        <v>2091</v>
      </c>
      <c r="D596" s="17">
        <f>VLOOKUP(A576,'Neraca Unaudited SIMAK'!$A$2:$S$10004,19,FALSE)</f>
        <v>0</v>
      </c>
      <c r="E596" s="25"/>
      <c r="F596" s="25"/>
      <c r="G596" s="17">
        <f t="shared" si="26"/>
        <v>0</v>
      </c>
      <c r="H596" s="123"/>
    </row>
    <row r="598" spans="1:8" ht="19.5" customHeight="1">
      <c r="A598" s="11" t="str">
        <f>O28</f>
        <v>005010300097982000KD</v>
      </c>
      <c r="B598" s="11" t="str">
        <f>P28</f>
        <v>PN. Boyolali</v>
      </c>
      <c r="C598" s="12" t="str">
        <f>A598&amp;" "&amp;B598</f>
        <v>005010300097982000KD PN. Boyolali</v>
      </c>
      <c r="D598" s="13"/>
      <c r="E598" s="13"/>
      <c r="F598" s="13"/>
      <c r="G598" s="13"/>
      <c r="H598" s="11"/>
    </row>
    <row r="599" spans="1:8" ht="21.95" customHeight="1">
      <c r="A599" s="14"/>
      <c r="B599" s="14"/>
      <c r="C599" s="124" t="s">
        <v>1982</v>
      </c>
      <c r="D599" s="126" t="s">
        <v>1983</v>
      </c>
      <c r="E599" s="132" t="s">
        <v>1984</v>
      </c>
      <c r="F599" s="132"/>
      <c r="G599" s="126" t="s">
        <v>1987</v>
      </c>
      <c r="H599" s="130" t="s">
        <v>1175</v>
      </c>
    </row>
    <row r="600" spans="1:8" ht="21.95" customHeight="1">
      <c r="A600" s="14"/>
      <c r="B600" s="14"/>
      <c r="C600" s="125"/>
      <c r="D600" s="127"/>
      <c r="E600" s="26" t="s">
        <v>1985</v>
      </c>
      <c r="F600" s="26" t="s">
        <v>1986</v>
      </c>
      <c r="G600" s="127"/>
      <c r="H600" s="131"/>
    </row>
    <row r="601" spans="1:8" ht="21.95" customHeight="1">
      <c r="A601" s="14"/>
      <c r="B601" s="14"/>
      <c r="C601" s="16" t="s">
        <v>1165</v>
      </c>
      <c r="D601" s="17">
        <f>VLOOKUP(A598,'Neraca Unaudited SIMAK'!$A$2:$S$10004,3,FALSE)</f>
        <v>1470250</v>
      </c>
      <c r="E601" s="25">
        <f>SUMIFS('Daftar Koreksi'!$H$5:$H$92,'Daftar Koreksi'!$D$5:$D$92,'0300'!A598,'Daftar Koreksi'!$G$5:$G$92,"Persediaan",'Daftar Koreksi'!$H$5:$H$92,"&gt;0")</f>
        <v>0</v>
      </c>
      <c r="F601" s="25">
        <f>SUMIFS('Daftar Koreksi'!$H$5:$H$92,'Daftar Koreksi'!$D$5:$D$92,'0300'!A598,'Daftar Koreksi'!$G$5:$G$92,"Persediaan",'Daftar Koreksi'!$H$5:$H$92,"&lt;0")-SUMIFS('Daftar Koreksi'!$H$5:$H$92,'Daftar Koreksi'!$D$5:$D$92,'0300'!A598,'Daftar Koreksi'!$G$5:$G$92,"Persediaan",'Daftar Koreksi'!$H$5:$H$92,"&lt;0")-SUMIFS('Daftar Koreksi'!$H$5:$H$92,'Daftar Koreksi'!$D$5:$D$92,'0300'!A598,'Daftar Koreksi'!$G$5:$G$92,"Persediaan",'Daftar Koreksi'!$H$5:$H$92,"&lt;0")</f>
        <v>0</v>
      </c>
      <c r="G601" s="17">
        <f>D601+E601-F601</f>
        <v>1470250</v>
      </c>
      <c r="H601" s="121" t="str">
        <f>IF(ISNA(VLOOKUP(A598,'Mutasi Neraca'!$A$3:$S$914,19,FALSE)),"-",VLOOKUP(A598,'Mutasi Neraca'!$A$3:$S$914,19,FALSE))</f>
        <v>-</v>
      </c>
    </row>
    <row r="602" spans="1:8" ht="21.95" customHeight="1">
      <c r="A602" s="14"/>
      <c r="B602" s="14"/>
      <c r="C602" s="16" t="s">
        <v>1166</v>
      </c>
      <c r="D602" s="17">
        <f>VLOOKUP(A598,'Neraca Unaudited SIMAK'!$A$2:$S$10004,4,FALSE)</f>
        <v>2887755000</v>
      </c>
      <c r="E602" s="25">
        <f>SUMIFS('Daftar Koreksi'!$H$5:$H$92,'Daftar Koreksi'!$D$5:$D$92,'0300'!A598,'Daftar Koreksi'!$G$5:$G$92,"Tanah",'Daftar Koreksi'!$H$5:$H$92,"&gt;0")</f>
        <v>0</v>
      </c>
      <c r="F602" s="25">
        <f>SUMIFS('Daftar Koreksi'!$H$5:$H$92,'Daftar Koreksi'!$D$5:$D$92,'0300'!A598,'Daftar Koreksi'!$G$5:$G$92,"Tanah",'Daftar Koreksi'!$H$5:$H$92,"&lt;0")-SUMIFS('Daftar Koreksi'!$H$5:$H$92,'Daftar Koreksi'!$D$5:$D$92,'0300'!A598,'Daftar Koreksi'!$G$5:$G$92,"Tanah",'Daftar Koreksi'!$H$5:$H$92,"&lt;0")-SUMIFS('Daftar Koreksi'!$H$5:$H$92,'Daftar Koreksi'!$D$5:$D$92,'0300'!A598,'Daftar Koreksi'!$G$5:$G$92,"Tanah",'Daftar Koreksi'!$H$5:$H$92,"&lt;0")</f>
        <v>0</v>
      </c>
      <c r="G602" s="17">
        <f t="shared" ref="G602:G618" si="27">D602+E602-F602</f>
        <v>2887755000</v>
      </c>
      <c r="H602" s="122"/>
    </row>
    <row r="603" spans="1:8" ht="21.95" customHeight="1">
      <c r="A603" s="14"/>
      <c r="B603" s="14"/>
      <c r="C603" s="16" t="s">
        <v>1167</v>
      </c>
      <c r="D603" s="17">
        <f>VLOOKUP(A598,'Neraca Unaudited SIMAK'!$A$2:$S$10004,5,FALSE)</f>
        <v>1509293381</v>
      </c>
      <c r="E603" s="25">
        <f>SUMIFS('Daftar Koreksi'!$H$5:$H$92,'Daftar Koreksi'!$D$5:$D$92,'0300'!A598,'Daftar Koreksi'!$G$5:$G$92,"Peralatan dan mesin",'Daftar Koreksi'!$H$5:$H$92,"&gt;0")</f>
        <v>0</v>
      </c>
      <c r="F603" s="25">
        <f>SUMIFS('Daftar Koreksi'!$H$5:$H$92,'Daftar Koreksi'!$D$5:$D$92,'0300'!A598,'Daftar Koreksi'!$G$5:$G$92,"Peralatan dan mesin",'Daftar Koreksi'!$H$5:$H$92,"&lt;0")-SUMIFS('Daftar Koreksi'!$H$5:$H$92,'Daftar Koreksi'!$D$5:$D$92,'0300'!A598,'Daftar Koreksi'!$G$5:$G$92,"Peralatan dan mesin",'Daftar Koreksi'!$H$5:$H$92,"&lt;0")-SUMIFS('Daftar Koreksi'!$H$5:$H$92,'Daftar Koreksi'!$D$5:$D$92,'0300'!A598,'Daftar Koreksi'!$G$5:$G$92,"Peralatan dan mesin",'Daftar Koreksi'!$H$5:$H$92,"&lt;0")</f>
        <v>0</v>
      </c>
      <c r="G603" s="17">
        <f t="shared" si="27"/>
        <v>1509293381</v>
      </c>
      <c r="H603" s="122"/>
    </row>
    <row r="604" spans="1:8" ht="21.95" customHeight="1">
      <c r="A604" s="14"/>
      <c r="B604" s="14"/>
      <c r="C604" s="16" t="s">
        <v>1168</v>
      </c>
      <c r="D604" s="17">
        <f>VLOOKUP(A598,'Neraca Unaudited SIMAK'!$A$2:$S$10004,6,FALSE)</f>
        <v>2761949055</v>
      </c>
      <c r="E604" s="25">
        <f>SUMIFS('Daftar Koreksi'!$H$5:$H$92,'Daftar Koreksi'!$D$5:$D$92,'0300'!A598,'Daftar Koreksi'!$G$5:$G$92,"Gedung dan Bangunan",'Daftar Koreksi'!$H$5:$H$92,"&gt;0")</f>
        <v>0</v>
      </c>
      <c r="F604" s="25">
        <f>SUMIFS('Daftar Koreksi'!$H$5:$H$92,'Daftar Koreksi'!$D$5:$D$92,'0300'!A598,'Daftar Koreksi'!$G$5:$G$92,"Gedung dan Bangunan",'Daftar Koreksi'!$H$5:$H$92,"&lt;0")-SUMIFS('Daftar Koreksi'!$H$5:$H$92,'Daftar Koreksi'!$D$5:$D$92,'0300'!A598,'Daftar Koreksi'!$G$5:$G$92,"Gedung dan Bangunan",'Daftar Koreksi'!$H$5:$H$92,"&lt;0")-SUMIFS('Daftar Koreksi'!$H$5:$H$92,'Daftar Koreksi'!$D$5:$D$92,'0300'!A598,'Daftar Koreksi'!$G$5:$G$92,"Gedung dan Bangunan",'Daftar Koreksi'!$H$5:$H$92,"&lt;0")</f>
        <v>0</v>
      </c>
      <c r="G604" s="17">
        <f t="shared" si="27"/>
        <v>2761949055</v>
      </c>
      <c r="H604" s="122"/>
    </row>
    <row r="605" spans="1:8" ht="21.95" customHeight="1">
      <c r="A605" s="14"/>
      <c r="B605" s="14"/>
      <c r="C605" s="16" t="s">
        <v>1169</v>
      </c>
      <c r="D605" s="17">
        <f>VLOOKUP(A598,'Neraca Unaudited SIMAK'!$A$2:$S$10004,7,FALSE)</f>
        <v>23000000</v>
      </c>
      <c r="E605" s="25">
        <f>SUMIFS('Daftar Koreksi'!$H$5:$H$92,'Daftar Koreksi'!$D$5:$D$92,'0300'!A598,'Daftar Koreksi'!$G$5:$G$92,"Jalan Irigasi Jaringan",'Daftar Koreksi'!$H$5:$H$92,"&gt;0")</f>
        <v>0</v>
      </c>
      <c r="F605" s="25">
        <f>SUMIFS('Daftar Koreksi'!$H$5:$H$92,'Daftar Koreksi'!$D$5:$D$92,'0300'!A598,'Daftar Koreksi'!$G$5:$G$92,"Jalan Irigasi Jaringan",'Daftar Koreksi'!$H$5:$H$92,"&lt;0")-SUMIFS('Daftar Koreksi'!$H$5:$H$92,'Daftar Koreksi'!$D$5:$D$92,'0300'!A598,'Daftar Koreksi'!$G$5:$G$92,"Jalan Irigasi Jaringan",'Daftar Koreksi'!$H$5:$H$92,"&lt;0")-SUMIFS('Daftar Koreksi'!$H$5:$H$92,'Daftar Koreksi'!$D$5:$D$92,'0300'!A598,'Daftar Koreksi'!$G$5:$G$92,"Jalan Irigasi Jaringan",'Daftar Koreksi'!$H$5:$H$92,"&lt;0")</f>
        <v>0</v>
      </c>
      <c r="G605" s="17">
        <f t="shared" si="27"/>
        <v>23000000</v>
      </c>
      <c r="H605" s="122"/>
    </row>
    <row r="606" spans="1:8" ht="21.95" customHeight="1">
      <c r="A606" s="14"/>
      <c r="B606" s="14"/>
      <c r="C606" s="16" t="s">
        <v>1170</v>
      </c>
      <c r="D606" s="17">
        <f>VLOOKUP(A598,'Neraca Unaudited SIMAK'!$A$2:$S$10004,8,FALSE)</f>
        <v>39686862</v>
      </c>
      <c r="E606" s="25">
        <f>SUMIFS('Daftar Koreksi'!$H$5:$H$92,'Daftar Koreksi'!$D$5:$D$92,'0300'!A598,'Daftar Koreksi'!$G$5:$G$92,"Aset Tetap Lainnya",'Daftar Koreksi'!$H$5:$H$92,"&gt;0")</f>
        <v>0</v>
      </c>
      <c r="F606" s="25">
        <f>SUMIFS('Daftar Koreksi'!$H$5:$H$92,'Daftar Koreksi'!$D$5:$D$92,'0300'!A598,'Daftar Koreksi'!$G$5:$G$92,"Aset Tetap Lainnya",'Daftar Koreksi'!$H$5:$H$92,"&lt;0")-SUMIFS('Daftar Koreksi'!$H$5:$H$92,'Daftar Koreksi'!$D$5:$D$92,'0300'!A598,'Daftar Koreksi'!$G$5:$G$92,"Aset Tetap Lainnya",'Daftar Koreksi'!$H$5:$H$92,"&lt;0")-SUMIFS('Daftar Koreksi'!$H$5:$H$92,'Daftar Koreksi'!$D$5:$D$92,'0300'!A598,'Daftar Koreksi'!$G$5:$G$92,"Aset Tetap Lainnya",'Daftar Koreksi'!$H$5:$H$92,"&lt;0")</f>
        <v>0</v>
      </c>
      <c r="G606" s="17">
        <f t="shared" si="27"/>
        <v>39686862</v>
      </c>
      <c r="H606" s="122"/>
    </row>
    <row r="607" spans="1:8" ht="21.95" customHeight="1">
      <c r="A607" s="14"/>
      <c r="B607" s="14"/>
      <c r="C607" s="16" t="s">
        <v>1171</v>
      </c>
      <c r="D607" s="17">
        <f>VLOOKUP(A598,'Neraca Unaudited SIMAK'!$A$2:$S$10004,9,FALSE)</f>
        <v>0</v>
      </c>
      <c r="E607" s="25">
        <f>SUMIFS('Daftar Koreksi'!$H$5:$H$92,'Daftar Koreksi'!$D$5:$D$92,'0300'!A598,'Daftar Koreksi'!$G$5:$G$92,"Kontruksi Dalam Pengerjaan",'Daftar Koreksi'!$H$5:$H$92,"&gt;0")</f>
        <v>0</v>
      </c>
      <c r="F607" s="25">
        <f>SUMIFS('Daftar Koreksi'!$H$5:$H$92,'Daftar Koreksi'!$D$5:$D$92,'0300'!A598,'Daftar Koreksi'!$G$5:$G$92,"Kontruksi Dalam Pengerjaan",'Daftar Koreksi'!$H$5:$H$92,"&lt;0")-SUMIFS('Daftar Koreksi'!$H$5:$H$92,'Daftar Koreksi'!$D$5:$D$92,'0300'!A598,'Daftar Koreksi'!$G$5:$G$92,"Kontruksi Dalam Pengerjaan",'Daftar Koreksi'!$H$5:$H$92,"&lt;0")-SUMIFS('Daftar Koreksi'!$H$5:$H$92,'Daftar Koreksi'!$D$5:$D$92,'0300'!A598,'Daftar Koreksi'!$G$5:$G$92,"Kontruksi Dalam Pengerjaan",'Daftar Koreksi'!$H$5:$H$92,"&lt;0")</f>
        <v>0</v>
      </c>
      <c r="G607" s="17">
        <f t="shared" si="27"/>
        <v>0</v>
      </c>
      <c r="H607" s="122"/>
    </row>
    <row r="608" spans="1:8" ht="21.95" customHeight="1">
      <c r="A608" s="14"/>
      <c r="B608" s="14"/>
      <c r="C608" s="16" t="s">
        <v>1172</v>
      </c>
      <c r="D608" s="17">
        <f>VLOOKUP(A598,'Neraca Unaudited SIMAK'!$A$2:$S$10004,10,FALSE)</f>
        <v>0</v>
      </c>
      <c r="E608" s="25">
        <f>SUMIFS('Daftar Koreksi'!$H$5:$H$92,'Daftar Koreksi'!$D$5:$D$92,'0300'!A598,'Daftar Koreksi'!$G$5:$G$92,"Aset Tak Berwujud",'Daftar Koreksi'!$H$5:$H$92,"&gt;0")</f>
        <v>0</v>
      </c>
      <c r="F608" s="25">
        <f>SUMIFS('Daftar Koreksi'!$H$5:$H$92,'Daftar Koreksi'!$D$5:$D$92,'0300'!A598,'Daftar Koreksi'!$G$5:$G$92,"Aset Tak Berwujud",'Daftar Koreksi'!$H$5:$H$92,"&lt;0")-SUMIFS('Daftar Koreksi'!$H$5:$H$92,'Daftar Koreksi'!$D$5:$D$92,'0300'!A598,'Daftar Koreksi'!$G$5:$G$92,"Aset Tak Berwujud",'Daftar Koreksi'!$H$5:$H$92,"&lt;0")-SUMIFS('Daftar Koreksi'!$H$5:$H$92,'Daftar Koreksi'!$D$5:$D$92,'0300'!A598,'Daftar Koreksi'!$G$5:$G$92,"Aset Tak Berwujud",'Daftar Koreksi'!$H$5:$H$92,"&lt;0")</f>
        <v>0</v>
      </c>
      <c r="G608" s="17">
        <f t="shared" si="27"/>
        <v>0</v>
      </c>
      <c r="H608" s="122"/>
    </row>
    <row r="609" spans="1:8" ht="21.95" customHeight="1">
      <c r="A609" s="14"/>
      <c r="B609" s="14"/>
      <c r="C609" s="16" t="s">
        <v>1173</v>
      </c>
      <c r="D609" s="17">
        <f>VLOOKUP(A598,'Neraca Unaudited SIMAK'!$A$2:$S$10004,11,FALSE)</f>
        <v>3453600</v>
      </c>
      <c r="E609" s="25">
        <f>SUMIFS('Daftar Koreksi'!$H$5:$H$92,'Daftar Koreksi'!$D$5:$D$92,'0300'!A598,'Daftar Koreksi'!$G$5:$G$92,"Aset Henti Guna",'Daftar Koreksi'!$H$5:$H$92,"&gt;0")</f>
        <v>0</v>
      </c>
      <c r="F609" s="25">
        <f>SUMIFS('Daftar Koreksi'!$H$5:$H$92,'Daftar Koreksi'!$D$5:$D$92,'0300'!A598,'Daftar Koreksi'!$G$5:$G$92,"Aset Henti Guna",'Daftar Koreksi'!$H$5:$H$92,"&lt;0")-SUMIFS('Daftar Koreksi'!$H$5:$H$92,'Daftar Koreksi'!$D$5:$D$92,'0300'!A598,'Daftar Koreksi'!$G$5:$G$92,"Aset Henti Guna",'Daftar Koreksi'!$H$5:$H$92,"&lt;0")-SUMIFS('Daftar Koreksi'!$H$5:$H$92,'Daftar Koreksi'!$D$5:$D$92,'0300'!A598,'Daftar Koreksi'!$G$5:$G$92,"Aset Henti Guna",'Daftar Koreksi'!$H$5:$H$92,"&lt;0")</f>
        <v>0</v>
      </c>
      <c r="G609" s="17">
        <f t="shared" si="27"/>
        <v>3453600</v>
      </c>
      <c r="H609" s="122"/>
    </row>
    <row r="610" spans="1:8" ht="21.95" customHeight="1">
      <c r="A610" s="14"/>
      <c r="B610" s="14"/>
      <c r="C610" s="18" t="s">
        <v>2093</v>
      </c>
      <c r="D610" s="19">
        <f>VLOOKUP(A598,'Neraca Unaudited SIMAK'!$A$2:$S$10004,12,FALSE)</f>
        <v>7226608148</v>
      </c>
      <c r="E610" s="19">
        <f>SUM(E601:E609)</f>
        <v>0</v>
      </c>
      <c r="F610" s="19">
        <f>SUM(F601:F609)</f>
        <v>0</v>
      </c>
      <c r="G610" s="19">
        <f t="shared" si="27"/>
        <v>7226608148</v>
      </c>
      <c r="H610" s="122"/>
    </row>
    <row r="611" spans="1:8" ht="21.95" customHeight="1">
      <c r="A611" s="14"/>
      <c r="B611" s="14"/>
      <c r="C611" s="16" t="s">
        <v>2087</v>
      </c>
      <c r="D611" s="17">
        <f>VLOOKUP(A598,'Neraca Unaudited SIMAK'!$A$2:$S$10004,13,FALSE)</f>
        <v>-1417603723</v>
      </c>
      <c r="E611" s="25">
        <f>SUMIFS('Daftar Koreksi'!$I$5:$I$92,'Daftar Koreksi'!$D$5:$D$92,'0300'!A598,'Daftar Koreksi'!$G$5:$G$92,"Peralatan dan mesin",'Daftar Koreksi'!$I$5:$I$92,"&gt;0")</f>
        <v>0</v>
      </c>
      <c r="F611" s="25">
        <f>SUMIFS('Daftar Koreksi'!$I$5:$I$92,'Daftar Koreksi'!$D$5:$D$92,'0300'!A598,'Daftar Koreksi'!$G$5:$G$92,"Peralatan dan mesin",'Daftar Koreksi'!$I$5:$I$92,"&lt;0")-SUMIFS('Daftar Koreksi'!$I$5:$I$92,'Daftar Koreksi'!$D$5:$D$92,'0300'!A598,'Daftar Koreksi'!$G$5:$G$92,"Peralatan dan mesin",'Daftar Koreksi'!$I$5:$I$92,"&lt;0")-SUMIFS('Daftar Koreksi'!$I$5:$I$92,'Daftar Koreksi'!$D$5:$D$92,'0300'!A598,'Daftar Koreksi'!$G$5:$G$92,"Peralatan dan mesin",'Daftar Koreksi'!$I$5:$I$92,"&lt;0")</f>
        <v>0</v>
      </c>
      <c r="G611" s="17">
        <f t="shared" si="27"/>
        <v>-1417603723</v>
      </c>
      <c r="H611" s="122"/>
    </row>
    <row r="612" spans="1:8" ht="21.95" customHeight="1">
      <c r="A612" s="14"/>
      <c r="B612" s="14"/>
      <c r="C612" s="16" t="s">
        <v>2088</v>
      </c>
      <c r="D612" s="17">
        <f>VLOOKUP(A598,'Neraca Unaudited SIMAK'!$A$2:$S$10004,14,FALSE)</f>
        <v>-434335705</v>
      </c>
      <c r="E612" s="25">
        <f>SUMIFS('Daftar Koreksi'!$I$5:$I$92,'Daftar Koreksi'!$D$5:$D$92,'0300'!A598,'Daftar Koreksi'!$G$5:$G$92,"Gedung dan Bangunan",'Daftar Koreksi'!$I$5:$I$92,"&gt;0")</f>
        <v>0</v>
      </c>
      <c r="F612" s="25">
        <f>SUMIFS('Daftar Koreksi'!$I$5:$I$92,'Daftar Koreksi'!$D$5:$D$92,'0300'!A598,'Daftar Koreksi'!$G$5:$G$92,"Gedung dan Bangunan",'Daftar Koreksi'!$I$5:$I$92,"&lt;0")-SUMIFS('Daftar Koreksi'!$I$5:$I$92,'Daftar Koreksi'!$D$5:$D$92,'0300'!A598,'Daftar Koreksi'!$G$5:$G$92,"Gedung dan Bangunan",'Daftar Koreksi'!$I$5:$I$92,"&lt;0")-SUMIFS('Daftar Koreksi'!$I$5:$I$92,'Daftar Koreksi'!$D$5:$D$92,'0300'!A598,'Daftar Koreksi'!$G$5:$G$92,"Gedung dan Bangunan",'Daftar Koreksi'!$I$5:$I$92,"&lt;0")</f>
        <v>0</v>
      </c>
      <c r="G612" s="17">
        <f t="shared" si="27"/>
        <v>-434335705</v>
      </c>
      <c r="H612" s="122"/>
    </row>
    <row r="613" spans="1:8" ht="21.95" customHeight="1">
      <c r="A613" s="14"/>
      <c r="B613" s="14"/>
      <c r="C613" s="16" t="s">
        <v>2089</v>
      </c>
      <c r="D613" s="17">
        <f>VLOOKUP(A598,'Neraca Unaudited SIMAK'!$A$2:$S$10004,15,FALSE)</f>
        <v>-4025000</v>
      </c>
      <c r="E613" s="25">
        <f>SUMIFS('Daftar Koreksi'!$I$5:$I$92,'Daftar Koreksi'!$D$5:$D$92,'0300'!A598,'Daftar Koreksi'!$G$5:$G$92,"Jalan Irigasi Jaringan",'Daftar Koreksi'!$I$5:$I$92,"&gt;0")</f>
        <v>0</v>
      </c>
      <c r="F613" s="25">
        <f>SUMIFS('Daftar Koreksi'!$I$5:$I$92,'Daftar Koreksi'!$D$5:$D$92,'0300'!A598,'Daftar Koreksi'!$G$5:$G$92,"Jalan Irigasi Jaringan",'Daftar Koreksi'!$I$5:$I$92,"&lt;0")-SUMIFS('Daftar Koreksi'!$I$5:$I$92,'Daftar Koreksi'!$D$5:$D$92,'0300'!A598,'Daftar Koreksi'!$G$5:$G$92,"Jalan Irigasi Jaringan",'Daftar Koreksi'!$I$5:$I$92,"&lt;0")-SUMIFS('Daftar Koreksi'!$I$5:$I$92,'Daftar Koreksi'!$D$5:$D$92,'0300'!A598,'Daftar Koreksi'!$G$5:$G$92,"Jalan Irigasi Jaringan",'Daftar Koreksi'!$I$5:$I$92,"&lt;0")</f>
        <v>0</v>
      </c>
      <c r="G613" s="17">
        <f t="shared" si="27"/>
        <v>-4025000</v>
      </c>
      <c r="H613" s="122"/>
    </row>
    <row r="614" spans="1:8" ht="21.95" customHeight="1">
      <c r="A614" s="14"/>
      <c r="B614" s="14"/>
      <c r="C614" s="16" t="s">
        <v>2090</v>
      </c>
      <c r="D614" s="17">
        <f>VLOOKUP(A598,'Neraca Unaudited SIMAK'!$A$2:$S$10004,16,FALSE)</f>
        <v>0</v>
      </c>
      <c r="E614" s="25">
        <f>SUMIFS('Daftar Koreksi'!$I$5:$I$92,'Daftar Koreksi'!$D$5:$D$92,'0300'!A598,'Daftar Koreksi'!$G$5:$G$92,"Aset Tetap Lainnya",'Daftar Koreksi'!$I$5:$I$92,"&gt;0")</f>
        <v>0</v>
      </c>
      <c r="F614" s="25">
        <f>SUMIFS('Daftar Koreksi'!$I$5:$I$92,'Daftar Koreksi'!$D$5:$D$92,'0300'!A598,'Daftar Koreksi'!$G$5:$G$92,"Aset Tetap Lainnya",'Daftar Koreksi'!$I$5:$I$92,"&lt;0")-SUMIFS('Daftar Koreksi'!$I$5:$I$92,'Daftar Koreksi'!$D$5:$D$92,'0300'!A598,'Daftar Koreksi'!$G$5:$G$92,"Aset Tetap Lainnya",'Daftar Koreksi'!$I$5:$I$92,"&lt;0")-SUMIFS('Daftar Koreksi'!$I$5:$I$92,'Daftar Koreksi'!$D$5:$D$92,'0300'!A598,'Daftar Koreksi'!$G$5:$G$92,"Aset Tetap Lainnya",'Daftar Koreksi'!$I$5:$I$92,"&lt;0")</f>
        <v>0</v>
      </c>
      <c r="G614" s="17">
        <f t="shared" si="27"/>
        <v>0</v>
      </c>
      <c r="H614" s="122"/>
    </row>
    <row r="615" spans="1:8" ht="21.95" customHeight="1">
      <c r="A615" s="14"/>
      <c r="B615" s="14"/>
      <c r="C615" s="16" t="s">
        <v>2020</v>
      </c>
      <c r="D615" s="17">
        <f>VLOOKUP(A598,'Neraca Unaudited SIMAK'!$A$2:$S$10004,17,FALSE)</f>
        <v>-3453600</v>
      </c>
      <c r="E615" s="25">
        <f>SUMIFS('Daftar Koreksi'!$I$5:$I$92,'Daftar Koreksi'!$D$5:$D$92,'0300'!A598,'Daftar Koreksi'!$G$5:$G$92,"Aset Henti Guna",'Daftar Koreksi'!$I$5:$I$92,"&gt;0")</f>
        <v>0</v>
      </c>
      <c r="F615" s="25">
        <f>SUMIFS('Daftar Koreksi'!$I$5:$I$92,'Daftar Koreksi'!$D$5:$D$92,'0300'!A598,'Daftar Koreksi'!$G$5:$G$92,"Aset Henti Guna",'Daftar Koreksi'!$I$5:$I$92,"&lt;0")-SUMIFS('Daftar Koreksi'!$I$5:$I$92,'Daftar Koreksi'!$D$5:$D$92,'0300'!A598,'Daftar Koreksi'!$G$5:$G$92,"Aset Henti Guna",'Daftar Koreksi'!$I$5:$I$92,"&lt;0")-SUMIFS('Daftar Koreksi'!$I$5:$I$92,'Daftar Koreksi'!$D$5:$D$92,'0300'!A598,'Daftar Koreksi'!$G$5:$G$92,"Aset Henti Guna",'Daftar Koreksi'!$I$5:$I$92,"&lt;0")</f>
        <v>0</v>
      </c>
      <c r="G615" s="17">
        <f t="shared" si="27"/>
        <v>-3453600</v>
      </c>
      <c r="H615" s="122"/>
    </row>
    <row r="616" spans="1:8" ht="21.95" customHeight="1">
      <c r="A616" s="14"/>
      <c r="B616" s="14"/>
      <c r="C616" s="18" t="s">
        <v>2094</v>
      </c>
      <c r="D616" s="19">
        <f>SUM(D611:D615)</f>
        <v>-1859418028</v>
      </c>
      <c r="E616" s="19">
        <f>SUM(E611:E615)</f>
        <v>0</v>
      </c>
      <c r="F616" s="19">
        <f>SUM(F611:F615)</f>
        <v>0</v>
      </c>
      <c r="G616" s="19">
        <f t="shared" si="27"/>
        <v>-1859418028</v>
      </c>
      <c r="H616" s="122"/>
    </row>
    <row r="617" spans="1:8" ht="21.95" customHeight="1">
      <c r="A617" s="14"/>
      <c r="B617" s="14"/>
      <c r="C617" s="18" t="s">
        <v>2095</v>
      </c>
      <c r="D617" s="19">
        <f>VLOOKUP(A598,'Neraca Unaudited SIMAK'!$A$2:$S$10004,18,FALSE)</f>
        <v>5367190120</v>
      </c>
      <c r="E617" s="19">
        <f>E616+E610</f>
        <v>0</v>
      </c>
      <c r="F617" s="19">
        <f>F616+F610</f>
        <v>0</v>
      </c>
      <c r="G617" s="19">
        <f t="shared" si="27"/>
        <v>5367190120</v>
      </c>
      <c r="H617" s="122"/>
    </row>
    <row r="618" spans="1:8" ht="21.95" customHeight="1">
      <c r="A618" s="14"/>
      <c r="B618" s="14"/>
      <c r="C618" s="16" t="s">
        <v>2091</v>
      </c>
      <c r="D618" s="17">
        <f>VLOOKUP(A598,'Neraca Unaudited SIMAK'!$A$2:$S$10004,19,FALSE)</f>
        <v>0</v>
      </c>
      <c r="E618" s="25"/>
      <c r="F618" s="25"/>
      <c r="G618" s="17">
        <f t="shared" si="27"/>
        <v>0</v>
      </c>
      <c r="H618" s="123"/>
    </row>
    <row r="620" spans="1:8" ht="19.5" customHeight="1">
      <c r="A620" s="11" t="str">
        <f>O29</f>
        <v>005010300097996000KD</v>
      </c>
      <c r="B620" s="11" t="str">
        <f>P29</f>
        <v>PN. Klaten</v>
      </c>
      <c r="C620" s="12" t="str">
        <f>A620&amp;" "&amp;B620</f>
        <v>005010300097996000KD PN. Klaten</v>
      </c>
      <c r="D620" s="13"/>
      <c r="E620" s="13"/>
      <c r="F620" s="13"/>
      <c r="G620" s="13"/>
      <c r="H620" s="11"/>
    </row>
    <row r="621" spans="1:8" ht="21.95" customHeight="1">
      <c r="A621" s="14"/>
      <c r="B621" s="14"/>
      <c r="C621" s="124" t="s">
        <v>1982</v>
      </c>
      <c r="D621" s="126" t="s">
        <v>1983</v>
      </c>
      <c r="E621" s="132" t="s">
        <v>1984</v>
      </c>
      <c r="F621" s="132"/>
      <c r="G621" s="126" t="s">
        <v>1987</v>
      </c>
      <c r="H621" s="130" t="s">
        <v>1175</v>
      </c>
    </row>
    <row r="622" spans="1:8" ht="21.95" customHeight="1">
      <c r="A622" s="14"/>
      <c r="B622" s="14"/>
      <c r="C622" s="125"/>
      <c r="D622" s="127"/>
      <c r="E622" s="26" t="s">
        <v>1985</v>
      </c>
      <c r="F622" s="26" t="s">
        <v>1986</v>
      </c>
      <c r="G622" s="127"/>
      <c r="H622" s="131"/>
    </row>
    <row r="623" spans="1:8" ht="21.95" customHeight="1">
      <c r="A623" s="14"/>
      <c r="B623" s="14"/>
      <c r="C623" s="16" t="s">
        <v>1165</v>
      </c>
      <c r="D623" s="17">
        <f>VLOOKUP(A620,'Neraca Unaudited SIMAK'!$A$2:$S$10004,3,FALSE)</f>
        <v>3350</v>
      </c>
      <c r="E623" s="25">
        <f>SUMIFS('Daftar Koreksi'!$H$5:$H$92,'Daftar Koreksi'!$D$5:$D$92,'0300'!A620,'Daftar Koreksi'!$G$5:$G$92,"Persediaan",'Daftar Koreksi'!$H$5:$H$92,"&gt;0")</f>
        <v>0</v>
      </c>
      <c r="F623" s="25">
        <f>SUMIFS('Daftar Koreksi'!$H$5:$H$92,'Daftar Koreksi'!$D$5:$D$92,'0300'!A620,'Daftar Koreksi'!$G$5:$G$92,"Persediaan",'Daftar Koreksi'!$H$5:$H$92,"&lt;0")-SUMIFS('Daftar Koreksi'!$H$5:$H$92,'Daftar Koreksi'!$D$5:$D$92,'0300'!A620,'Daftar Koreksi'!$G$5:$G$92,"Persediaan",'Daftar Koreksi'!$H$5:$H$92,"&lt;0")-SUMIFS('Daftar Koreksi'!$H$5:$H$92,'Daftar Koreksi'!$D$5:$D$92,'0300'!A620,'Daftar Koreksi'!$G$5:$G$92,"Persediaan",'Daftar Koreksi'!$H$5:$H$92,"&lt;0")</f>
        <v>0</v>
      </c>
      <c r="G623" s="17">
        <f>D623+E623-F623</f>
        <v>3350</v>
      </c>
      <c r="H623" s="121" t="str">
        <f>IF(ISNA(VLOOKUP(A620,'Mutasi Neraca'!$A$3:$S$914,19,FALSE)),"-",VLOOKUP(A620,'Mutasi Neraca'!$A$3:$S$914,19,FALSE))</f>
        <v>-</v>
      </c>
    </row>
    <row r="624" spans="1:8" ht="21.95" customHeight="1">
      <c r="A624" s="14"/>
      <c r="B624" s="14"/>
      <c r="C624" s="16" t="s">
        <v>1166</v>
      </c>
      <c r="D624" s="17">
        <f>VLOOKUP(A620,'Neraca Unaudited SIMAK'!$A$2:$S$10004,4,FALSE)</f>
        <v>7970104000</v>
      </c>
      <c r="E624" s="25">
        <f>SUMIFS('Daftar Koreksi'!$H$5:$H$92,'Daftar Koreksi'!$D$5:$D$92,'0300'!A620,'Daftar Koreksi'!$G$5:$G$92,"Tanah",'Daftar Koreksi'!$H$5:$H$92,"&gt;0")</f>
        <v>0</v>
      </c>
      <c r="F624" s="25">
        <f>SUMIFS('Daftar Koreksi'!$H$5:$H$92,'Daftar Koreksi'!$D$5:$D$92,'0300'!A620,'Daftar Koreksi'!$G$5:$G$92,"Tanah",'Daftar Koreksi'!$H$5:$H$92,"&lt;0")-SUMIFS('Daftar Koreksi'!$H$5:$H$92,'Daftar Koreksi'!$D$5:$D$92,'0300'!A620,'Daftar Koreksi'!$G$5:$G$92,"Tanah",'Daftar Koreksi'!$H$5:$H$92,"&lt;0")-SUMIFS('Daftar Koreksi'!$H$5:$H$92,'Daftar Koreksi'!$D$5:$D$92,'0300'!A620,'Daftar Koreksi'!$G$5:$G$92,"Tanah",'Daftar Koreksi'!$H$5:$H$92,"&lt;0")</f>
        <v>0</v>
      </c>
      <c r="G624" s="17">
        <f t="shared" ref="G624:G640" si="28">D624+E624-F624</f>
        <v>7970104000</v>
      </c>
      <c r="H624" s="122"/>
    </row>
    <row r="625" spans="1:8" ht="21.95" customHeight="1">
      <c r="A625" s="14"/>
      <c r="B625" s="14"/>
      <c r="C625" s="16" t="s">
        <v>1167</v>
      </c>
      <c r="D625" s="17">
        <f>VLOOKUP(A620,'Neraca Unaudited SIMAK'!$A$2:$S$10004,5,FALSE)</f>
        <v>1863424381</v>
      </c>
      <c r="E625" s="25">
        <f>SUMIFS('Daftar Koreksi'!$H$5:$H$92,'Daftar Koreksi'!$D$5:$D$92,'0300'!A620,'Daftar Koreksi'!$G$5:$G$92,"Peralatan dan mesin",'Daftar Koreksi'!$H$5:$H$92,"&gt;0")</f>
        <v>0</v>
      </c>
      <c r="F625" s="25">
        <f>SUMIFS('Daftar Koreksi'!$H$5:$H$92,'Daftar Koreksi'!$D$5:$D$92,'0300'!A620,'Daftar Koreksi'!$G$5:$G$92,"Peralatan dan mesin",'Daftar Koreksi'!$H$5:$H$92,"&lt;0")-SUMIFS('Daftar Koreksi'!$H$5:$H$92,'Daftar Koreksi'!$D$5:$D$92,'0300'!A620,'Daftar Koreksi'!$G$5:$G$92,"Peralatan dan mesin",'Daftar Koreksi'!$H$5:$H$92,"&lt;0")-SUMIFS('Daftar Koreksi'!$H$5:$H$92,'Daftar Koreksi'!$D$5:$D$92,'0300'!A620,'Daftar Koreksi'!$G$5:$G$92,"Peralatan dan mesin",'Daftar Koreksi'!$H$5:$H$92,"&lt;0")</f>
        <v>0</v>
      </c>
      <c r="G625" s="17">
        <f t="shared" si="28"/>
        <v>1863424381</v>
      </c>
      <c r="H625" s="122"/>
    </row>
    <row r="626" spans="1:8" ht="21.95" customHeight="1">
      <c r="A626" s="14"/>
      <c r="B626" s="14"/>
      <c r="C626" s="16" t="s">
        <v>1168</v>
      </c>
      <c r="D626" s="17">
        <f>VLOOKUP(A620,'Neraca Unaudited SIMAK'!$A$2:$S$10004,6,FALSE)</f>
        <v>5323193400</v>
      </c>
      <c r="E626" s="25">
        <f>SUMIFS('Daftar Koreksi'!$H$5:$H$92,'Daftar Koreksi'!$D$5:$D$92,'0300'!A620,'Daftar Koreksi'!$G$5:$G$92,"Gedung dan Bangunan",'Daftar Koreksi'!$H$5:$H$92,"&gt;0")</f>
        <v>0</v>
      </c>
      <c r="F626" s="25">
        <f>SUMIFS('Daftar Koreksi'!$H$5:$H$92,'Daftar Koreksi'!$D$5:$D$92,'0300'!A620,'Daftar Koreksi'!$G$5:$G$92,"Gedung dan Bangunan",'Daftar Koreksi'!$H$5:$H$92,"&lt;0")-SUMIFS('Daftar Koreksi'!$H$5:$H$92,'Daftar Koreksi'!$D$5:$D$92,'0300'!A620,'Daftar Koreksi'!$G$5:$G$92,"Gedung dan Bangunan",'Daftar Koreksi'!$H$5:$H$92,"&lt;0")-SUMIFS('Daftar Koreksi'!$H$5:$H$92,'Daftar Koreksi'!$D$5:$D$92,'0300'!A620,'Daftar Koreksi'!$G$5:$G$92,"Gedung dan Bangunan",'Daftar Koreksi'!$H$5:$H$92,"&lt;0")</f>
        <v>0</v>
      </c>
      <c r="G626" s="17">
        <f t="shared" si="28"/>
        <v>5323193400</v>
      </c>
      <c r="H626" s="122"/>
    </row>
    <row r="627" spans="1:8" ht="21.95" customHeight="1">
      <c r="A627" s="14"/>
      <c r="B627" s="14"/>
      <c r="C627" s="16" t="s">
        <v>1169</v>
      </c>
      <c r="D627" s="17">
        <f>VLOOKUP(A620,'Neraca Unaudited SIMAK'!$A$2:$S$10004,7,FALSE)</f>
        <v>132196500</v>
      </c>
      <c r="E627" s="25">
        <f>SUMIFS('Daftar Koreksi'!$H$5:$H$92,'Daftar Koreksi'!$D$5:$D$92,'0300'!A620,'Daftar Koreksi'!$G$5:$G$92,"Jalan Irigasi Jaringan",'Daftar Koreksi'!$H$5:$H$92,"&gt;0")</f>
        <v>0</v>
      </c>
      <c r="F627" s="25">
        <f>SUMIFS('Daftar Koreksi'!$H$5:$H$92,'Daftar Koreksi'!$D$5:$D$92,'0300'!A620,'Daftar Koreksi'!$G$5:$G$92,"Jalan Irigasi Jaringan",'Daftar Koreksi'!$H$5:$H$92,"&lt;0")-SUMIFS('Daftar Koreksi'!$H$5:$H$92,'Daftar Koreksi'!$D$5:$D$92,'0300'!A620,'Daftar Koreksi'!$G$5:$G$92,"Jalan Irigasi Jaringan",'Daftar Koreksi'!$H$5:$H$92,"&lt;0")-SUMIFS('Daftar Koreksi'!$H$5:$H$92,'Daftar Koreksi'!$D$5:$D$92,'0300'!A620,'Daftar Koreksi'!$G$5:$G$92,"Jalan Irigasi Jaringan",'Daftar Koreksi'!$H$5:$H$92,"&lt;0")</f>
        <v>0</v>
      </c>
      <c r="G627" s="17">
        <f t="shared" si="28"/>
        <v>132196500</v>
      </c>
      <c r="H627" s="122"/>
    </row>
    <row r="628" spans="1:8" ht="21.95" customHeight="1">
      <c r="A628" s="14"/>
      <c r="B628" s="14"/>
      <c r="C628" s="16" t="s">
        <v>1170</v>
      </c>
      <c r="D628" s="17">
        <f>VLOOKUP(A620,'Neraca Unaudited SIMAK'!$A$2:$S$10004,8,FALSE)</f>
        <v>9183740</v>
      </c>
      <c r="E628" s="25">
        <f>SUMIFS('Daftar Koreksi'!$H$5:$H$92,'Daftar Koreksi'!$D$5:$D$92,'0300'!A620,'Daftar Koreksi'!$G$5:$G$92,"Aset Tetap Lainnya",'Daftar Koreksi'!$H$5:$H$92,"&gt;0")</f>
        <v>0</v>
      </c>
      <c r="F628" s="25">
        <f>SUMIFS('Daftar Koreksi'!$H$5:$H$92,'Daftar Koreksi'!$D$5:$D$92,'0300'!A620,'Daftar Koreksi'!$G$5:$G$92,"Aset Tetap Lainnya",'Daftar Koreksi'!$H$5:$H$92,"&lt;0")-SUMIFS('Daftar Koreksi'!$H$5:$H$92,'Daftar Koreksi'!$D$5:$D$92,'0300'!A620,'Daftar Koreksi'!$G$5:$G$92,"Aset Tetap Lainnya",'Daftar Koreksi'!$H$5:$H$92,"&lt;0")-SUMIFS('Daftar Koreksi'!$H$5:$H$92,'Daftar Koreksi'!$D$5:$D$92,'0300'!A620,'Daftar Koreksi'!$G$5:$G$92,"Aset Tetap Lainnya",'Daftar Koreksi'!$H$5:$H$92,"&lt;0")</f>
        <v>0</v>
      </c>
      <c r="G628" s="17">
        <f t="shared" si="28"/>
        <v>9183740</v>
      </c>
      <c r="H628" s="122"/>
    </row>
    <row r="629" spans="1:8" ht="21.95" customHeight="1">
      <c r="A629" s="14"/>
      <c r="B629" s="14"/>
      <c r="C629" s="16" t="s">
        <v>1171</v>
      </c>
      <c r="D629" s="17">
        <f>VLOOKUP(A620,'Neraca Unaudited SIMAK'!$A$2:$S$10004,9,FALSE)</f>
        <v>0</v>
      </c>
      <c r="E629" s="25">
        <f>SUMIFS('Daftar Koreksi'!$H$5:$H$92,'Daftar Koreksi'!$D$5:$D$92,'0300'!A620,'Daftar Koreksi'!$G$5:$G$92,"Kontruksi Dalam Pengerjaan",'Daftar Koreksi'!$H$5:$H$92,"&gt;0")</f>
        <v>0</v>
      </c>
      <c r="F629" s="25">
        <f>SUMIFS('Daftar Koreksi'!$H$5:$H$92,'Daftar Koreksi'!$D$5:$D$92,'0300'!A620,'Daftar Koreksi'!$G$5:$G$92,"Kontruksi Dalam Pengerjaan",'Daftar Koreksi'!$H$5:$H$92,"&lt;0")-SUMIFS('Daftar Koreksi'!$H$5:$H$92,'Daftar Koreksi'!$D$5:$D$92,'0300'!A620,'Daftar Koreksi'!$G$5:$G$92,"Kontruksi Dalam Pengerjaan",'Daftar Koreksi'!$H$5:$H$92,"&lt;0")-SUMIFS('Daftar Koreksi'!$H$5:$H$92,'Daftar Koreksi'!$D$5:$D$92,'0300'!A620,'Daftar Koreksi'!$G$5:$G$92,"Kontruksi Dalam Pengerjaan",'Daftar Koreksi'!$H$5:$H$92,"&lt;0")</f>
        <v>0</v>
      </c>
      <c r="G629" s="17">
        <f t="shared" si="28"/>
        <v>0</v>
      </c>
      <c r="H629" s="122"/>
    </row>
    <row r="630" spans="1:8" ht="21.95" customHeight="1">
      <c r="A630" s="14"/>
      <c r="B630" s="14"/>
      <c r="C630" s="16" t="s">
        <v>1172</v>
      </c>
      <c r="D630" s="17">
        <f>VLOOKUP(A620,'Neraca Unaudited SIMAK'!$A$2:$S$10004,10,FALSE)</f>
        <v>24200000</v>
      </c>
      <c r="E630" s="25">
        <f>SUMIFS('Daftar Koreksi'!$H$5:$H$92,'Daftar Koreksi'!$D$5:$D$92,'0300'!A620,'Daftar Koreksi'!$G$5:$G$92,"Aset Tak Berwujud",'Daftar Koreksi'!$H$5:$H$92,"&gt;0")</f>
        <v>0</v>
      </c>
      <c r="F630" s="25">
        <f>SUMIFS('Daftar Koreksi'!$H$5:$H$92,'Daftar Koreksi'!$D$5:$D$92,'0300'!A620,'Daftar Koreksi'!$G$5:$G$92,"Aset Tak Berwujud",'Daftar Koreksi'!$H$5:$H$92,"&lt;0")-SUMIFS('Daftar Koreksi'!$H$5:$H$92,'Daftar Koreksi'!$D$5:$D$92,'0300'!A620,'Daftar Koreksi'!$G$5:$G$92,"Aset Tak Berwujud",'Daftar Koreksi'!$H$5:$H$92,"&lt;0")-SUMIFS('Daftar Koreksi'!$H$5:$H$92,'Daftar Koreksi'!$D$5:$D$92,'0300'!A620,'Daftar Koreksi'!$G$5:$G$92,"Aset Tak Berwujud",'Daftar Koreksi'!$H$5:$H$92,"&lt;0")</f>
        <v>0</v>
      </c>
      <c r="G630" s="17">
        <f t="shared" si="28"/>
        <v>24200000</v>
      </c>
      <c r="H630" s="122"/>
    </row>
    <row r="631" spans="1:8" ht="21.95" customHeight="1">
      <c r="A631" s="14"/>
      <c r="B631" s="14"/>
      <c r="C631" s="16" t="s">
        <v>1173</v>
      </c>
      <c r="D631" s="17">
        <f>VLOOKUP(A620,'Neraca Unaudited SIMAK'!$A$2:$S$10004,11,FALSE)</f>
        <v>0</v>
      </c>
      <c r="E631" s="25">
        <f>SUMIFS('Daftar Koreksi'!$H$5:$H$92,'Daftar Koreksi'!$D$5:$D$92,'0300'!A620,'Daftar Koreksi'!$G$5:$G$92,"Aset Henti Guna",'Daftar Koreksi'!$H$5:$H$92,"&gt;0")</f>
        <v>0</v>
      </c>
      <c r="F631" s="25">
        <f>SUMIFS('Daftar Koreksi'!$H$5:$H$92,'Daftar Koreksi'!$D$5:$D$92,'0300'!A620,'Daftar Koreksi'!$G$5:$G$92,"Aset Henti Guna",'Daftar Koreksi'!$H$5:$H$92,"&lt;0")-SUMIFS('Daftar Koreksi'!$H$5:$H$92,'Daftar Koreksi'!$D$5:$D$92,'0300'!A620,'Daftar Koreksi'!$G$5:$G$92,"Aset Henti Guna",'Daftar Koreksi'!$H$5:$H$92,"&lt;0")-SUMIFS('Daftar Koreksi'!$H$5:$H$92,'Daftar Koreksi'!$D$5:$D$92,'0300'!A620,'Daftar Koreksi'!$G$5:$G$92,"Aset Henti Guna",'Daftar Koreksi'!$H$5:$H$92,"&lt;0")</f>
        <v>0</v>
      </c>
      <c r="G631" s="17">
        <f t="shared" si="28"/>
        <v>0</v>
      </c>
      <c r="H631" s="122"/>
    </row>
    <row r="632" spans="1:8" ht="21.95" customHeight="1">
      <c r="A632" s="14"/>
      <c r="B632" s="14"/>
      <c r="C632" s="18" t="s">
        <v>2093</v>
      </c>
      <c r="D632" s="19">
        <f>VLOOKUP(A620,'Neraca Unaudited SIMAK'!$A$2:$S$10004,12,FALSE)</f>
        <v>15322305371</v>
      </c>
      <c r="E632" s="19">
        <f>SUM(E623:E631)</f>
        <v>0</v>
      </c>
      <c r="F632" s="19">
        <f>SUM(F623:F631)</f>
        <v>0</v>
      </c>
      <c r="G632" s="19">
        <f t="shared" si="28"/>
        <v>15322305371</v>
      </c>
      <c r="H632" s="122"/>
    </row>
    <row r="633" spans="1:8" ht="21.95" customHeight="1">
      <c r="A633" s="14"/>
      <c r="B633" s="14"/>
      <c r="C633" s="16" t="s">
        <v>2087</v>
      </c>
      <c r="D633" s="17">
        <f>VLOOKUP(A620,'Neraca Unaudited SIMAK'!$A$2:$S$10004,13,FALSE)</f>
        <v>-1485550943</v>
      </c>
      <c r="E633" s="25">
        <f>SUMIFS('Daftar Koreksi'!$I$5:$I$92,'Daftar Koreksi'!$D$5:$D$92,'0300'!A620,'Daftar Koreksi'!$G$5:$G$92,"Peralatan dan mesin",'Daftar Koreksi'!$I$5:$I$92,"&gt;0")</f>
        <v>0</v>
      </c>
      <c r="F633" s="25">
        <f>SUMIFS('Daftar Koreksi'!$I$5:$I$92,'Daftar Koreksi'!$D$5:$D$92,'0300'!A620,'Daftar Koreksi'!$G$5:$G$92,"Peralatan dan mesin",'Daftar Koreksi'!$I$5:$I$92,"&lt;0")-SUMIFS('Daftar Koreksi'!$I$5:$I$92,'Daftar Koreksi'!$D$5:$D$92,'0300'!A620,'Daftar Koreksi'!$G$5:$G$92,"Peralatan dan mesin",'Daftar Koreksi'!$I$5:$I$92,"&lt;0")-SUMIFS('Daftar Koreksi'!$I$5:$I$92,'Daftar Koreksi'!$D$5:$D$92,'0300'!A620,'Daftar Koreksi'!$G$5:$G$92,"Peralatan dan mesin",'Daftar Koreksi'!$I$5:$I$92,"&lt;0")</f>
        <v>0</v>
      </c>
      <c r="G633" s="17">
        <f t="shared" si="28"/>
        <v>-1485550943</v>
      </c>
      <c r="H633" s="122"/>
    </row>
    <row r="634" spans="1:8" ht="21.95" customHeight="1">
      <c r="A634" s="14"/>
      <c r="B634" s="14"/>
      <c r="C634" s="16" t="s">
        <v>2088</v>
      </c>
      <c r="D634" s="17">
        <f>VLOOKUP(A620,'Neraca Unaudited SIMAK'!$A$2:$S$10004,14,FALSE)</f>
        <v>-674184559</v>
      </c>
      <c r="E634" s="25">
        <f>SUMIFS('Daftar Koreksi'!$I$5:$I$92,'Daftar Koreksi'!$D$5:$D$92,'0300'!A620,'Daftar Koreksi'!$G$5:$G$92,"Gedung dan Bangunan",'Daftar Koreksi'!$I$5:$I$92,"&gt;0")</f>
        <v>0</v>
      </c>
      <c r="F634" s="25">
        <f>SUMIFS('Daftar Koreksi'!$I$5:$I$92,'Daftar Koreksi'!$D$5:$D$92,'0300'!A620,'Daftar Koreksi'!$G$5:$G$92,"Gedung dan Bangunan",'Daftar Koreksi'!$I$5:$I$92,"&lt;0")-SUMIFS('Daftar Koreksi'!$I$5:$I$92,'Daftar Koreksi'!$D$5:$D$92,'0300'!A620,'Daftar Koreksi'!$G$5:$G$92,"Gedung dan Bangunan",'Daftar Koreksi'!$I$5:$I$92,"&lt;0")-SUMIFS('Daftar Koreksi'!$I$5:$I$92,'Daftar Koreksi'!$D$5:$D$92,'0300'!A620,'Daftar Koreksi'!$G$5:$G$92,"Gedung dan Bangunan",'Daftar Koreksi'!$I$5:$I$92,"&lt;0")</f>
        <v>0</v>
      </c>
      <c r="G634" s="17">
        <f t="shared" si="28"/>
        <v>-674184559</v>
      </c>
      <c r="H634" s="122"/>
    </row>
    <row r="635" spans="1:8" ht="21.95" customHeight="1">
      <c r="A635" s="14"/>
      <c r="B635" s="14"/>
      <c r="C635" s="16" t="s">
        <v>2089</v>
      </c>
      <c r="D635" s="17">
        <f>VLOOKUP(A620,'Neraca Unaudited SIMAK'!$A$2:$S$10004,15,FALSE)</f>
        <v>-19700628</v>
      </c>
      <c r="E635" s="25">
        <f>SUMIFS('Daftar Koreksi'!$I$5:$I$92,'Daftar Koreksi'!$D$5:$D$92,'0300'!A620,'Daftar Koreksi'!$G$5:$G$92,"Jalan Irigasi Jaringan",'Daftar Koreksi'!$I$5:$I$92,"&gt;0")</f>
        <v>0</v>
      </c>
      <c r="F635" s="25">
        <f>SUMIFS('Daftar Koreksi'!$I$5:$I$92,'Daftar Koreksi'!$D$5:$D$92,'0300'!A620,'Daftar Koreksi'!$G$5:$G$92,"Jalan Irigasi Jaringan",'Daftar Koreksi'!$I$5:$I$92,"&lt;0")-SUMIFS('Daftar Koreksi'!$I$5:$I$92,'Daftar Koreksi'!$D$5:$D$92,'0300'!A620,'Daftar Koreksi'!$G$5:$G$92,"Jalan Irigasi Jaringan",'Daftar Koreksi'!$I$5:$I$92,"&lt;0")-SUMIFS('Daftar Koreksi'!$I$5:$I$92,'Daftar Koreksi'!$D$5:$D$92,'0300'!A620,'Daftar Koreksi'!$G$5:$G$92,"Jalan Irigasi Jaringan",'Daftar Koreksi'!$I$5:$I$92,"&lt;0")</f>
        <v>0</v>
      </c>
      <c r="G635" s="17">
        <f t="shared" si="28"/>
        <v>-19700628</v>
      </c>
      <c r="H635" s="122"/>
    </row>
    <row r="636" spans="1:8" ht="21.95" customHeight="1">
      <c r="A636" s="14"/>
      <c r="B636" s="14"/>
      <c r="C636" s="16" t="s">
        <v>2090</v>
      </c>
      <c r="D636" s="17">
        <f>VLOOKUP(A620,'Neraca Unaudited SIMAK'!$A$2:$S$10004,16,FALSE)</f>
        <v>0</v>
      </c>
      <c r="E636" s="25">
        <f>SUMIFS('Daftar Koreksi'!$I$5:$I$92,'Daftar Koreksi'!$D$5:$D$92,'0300'!A620,'Daftar Koreksi'!$G$5:$G$92,"Aset Tetap Lainnya",'Daftar Koreksi'!$I$5:$I$92,"&gt;0")</f>
        <v>0</v>
      </c>
      <c r="F636" s="25">
        <f>SUMIFS('Daftar Koreksi'!$I$5:$I$92,'Daftar Koreksi'!$D$5:$D$92,'0300'!A620,'Daftar Koreksi'!$G$5:$G$92,"Aset Tetap Lainnya",'Daftar Koreksi'!$I$5:$I$92,"&lt;0")-SUMIFS('Daftar Koreksi'!$I$5:$I$92,'Daftar Koreksi'!$D$5:$D$92,'0300'!A620,'Daftar Koreksi'!$G$5:$G$92,"Aset Tetap Lainnya",'Daftar Koreksi'!$I$5:$I$92,"&lt;0")-SUMIFS('Daftar Koreksi'!$I$5:$I$92,'Daftar Koreksi'!$D$5:$D$92,'0300'!A620,'Daftar Koreksi'!$G$5:$G$92,"Aset Tetap Lainnya",'Daftar Koreksi'!$I$5:$I$92,"&lt;0")</f>
        <v>0</v>
      </c>
      <c r="G636" s="17">
        <f t="shared" si="28"/>
        <v>0</v>
      </c>
      <c r="H636" s="122"/>
    </row>
    <row r="637" spans="1:8" ht="21.95" customHeight="1">
      <c r="A637" s="14"/>
      <c r="B637" s="14"/>
      <c r="C637" s="16" t="s">
        <v>2020</v>
      </c>
      <c r="D637" s="17">
        <f>VLOOKUP(A620,'Neraca Unaudited SIMAK'!$A$2:$S$10004,17,FALSE)</f>
        <v>0</v>
      </c>
      <c r="E637" s="25">
        <f>SUMIFS('Daftar Koreksi'!$I$5:$I$92,'Daftar Koreksi'!$D$5:$D$92,'0300'!A620,'Daftar Koreksi'!$G$5:$G$92,"Aset Henti Guna",'Daftar Koreksi'!$I$5:$I$92,"&gt;0")</f>
        <v>0</v>
      </c>
      <c r="F637" s="25">
        <f>SUMIFS('Daftar Koreksi'!$I$5:$I$92,'Daftar Koreksi'!$D$5:$D$92,'0300'!A620,'Daftar Koreksi'!$G$5:$G$92,"Aset Henti Guna",'Daftar Koreksi'!$I$5:$I$92,"&lt;0")-SUMIFS('Daftar Koreksi'!$I$5:$I$92,'Daftar Koreksi'!$D$5:$D$92,'0300'!A620,'Daftar Koreksi'!$G$5:$G$92,"Aset Henti Guna",'Daftar Koreksi'!$I$5:$I$92,"&lt;0")-SUMIFS('Daftar Koreksi'!$I$5:$I$92,'Daftar Koreksi'!$D$5:$D$92,'0300'!A620,'Daftar Koreksi'!$G$5:$G$92,"Aset Henti Guna",'Daftar Koreksi'!$I$5:$I$92,"&lt;0")</f>
        <v>0</v>
      </c>
      <c r="G637" s="17">
        <f t="shared" si="28"/>
        <v>0</v>
      </c>
      <c r="H637" s="122"/>
    </row>
    <row r="638" spans="1:8" ht="21.95" customHeight="1">
      <c r="A638" s="14"/>
      <c r="B638" s="14"/>
      <c r="C638" s="18" t="s">
        <v>2094</v>
      </c>
      <c r="D638" s="19">
        <f>SUM(D633:D637)</f>
        <v>-2179436130</v>
      </c>
      <c r="E638" s="19">
        <f>SUM(E633:E637)</f>
        <v>0</v>
      </c>
      <c r="F638" s="19">
        <f>SUM(F633:F637)</f>
        <v>0</v>
      </c>
      <c r="G638" s="19">
        <f t="shared" si="28"/>
        <v>-2179436130</v>
      </c>
      <c r="H638" s="122"/>
    </row>
    <row r="639" spans="1:8" ht="21.95" customHeight="1">
      <c r="A639" s="14"/>
      <c r="B639" s="14"/>
      <c r="C639" s="18" t="s">
        <v>2095</v>
      </c>
      <c r="D639" s="19">
        <f>VLOOKUP(A620,'Neraca Unaudited SIMAK'!$A$2:$S$10004,18,FALSE)</f>
        <v>13142869241</v>
      </c>
      <c r="E639" s="19">
        <f>E638+E632</f>
        <v>0</v>
      </c>
      <c r="F639" s="19">
        <f>F638+F632</f>
        <v>0</v>
      </c>
      <c r="G639" s="19">
        <f t="shared" si="28"/>
        <v>13142869241</v>
      </c>
      <c r="H639" s="122"/>
    </row>
    <row r="640" spans="1:8" ht="21.95" customHeight="1">
      <c r="A640" s="14"/>
      <c r="B640" s="14"/>
      <c r="C640" s="16" t="s">
        <v>2091</v>
      </c>
      <c r="D640" s="17">
        <f>VLOOKUP(A620,'Neraca Unaudited SIMAK'!$A$2:$S$10004,19,FALSE)</f>
        <v>0</v>
      </c>
      <c r="E640" s="25"/>
      <c r="F640" s="25"/>
      <c r="G640" s="17">
        <f t="shared" si="28"/>
        <v>0</v>
      </c>
      <c r="H640" s="123"/>
    </row>
    <row r="642" spans="1:8" ht="19.5" customHeight="1">
      <c r="A642" s="11" t="str">
        <f>O30</f>
        <v>005010300098001000KD</v>
      </c>
      <c r="B642" s="11" t="str">
        <f>P30</f>
        <v>PN. Purwokerto</v>
      </c>
      <c r="C642" s="12" t="str">
        <f>A642&amp;" "&amp;B642</f>
        <v>005010300098001000KD PN. Purwokerto</v>
      </c>
      <c r="D642" s="13"/>
      <c r="E642" s="13"/>
      <c r="F642" s="13"/>
      <c r="G642" s="13"/>
      <c r="H642" s="11"/>
    </row>
    <row r="643" spans="1:8" ht="21.95" customHeight="1">
      <c r="A643" s="14"/>
      <c r="B643" s="14"/>
      <c r="C643" s="124" t="s">
        <v>1982</v>
      </c>
      <c r="D643" s="126" t="s">
        <v>1983</v>
      </c>
      <c r="E643" s="132" t="s">
        <v>1984</v>
      </c>
      <c r="F643" s="132"/>
      <c r="G643" s="126" t="s">
        <v>1987</v>
      </c>
      <c r="H643" s="130" t="s">
        <v>1175</v>
      </c>
    </row>
    <row r="644" spans="1:8" ht="21.95" customHeight="1">
      <c r="A644" s="14"/>
      <c r="B644" s="14"/>
      <c r="C644" s="125"/>
      <c r="D644" s="127"/>
      <c r="E644" s="26" t="s">
        <v>1985</v>
      </c>
      <c r="F644" s="26" t="s">
        <v>1986</v>
      </c>
      <c r="G644" s="127"/>
      <c r="H644" s="131"/>
    </row>
    <row r="645" spans="1:8" ht="21.95" customHeight="1">
      <c r="A645" s="14"/>
      <c r="B645" s="14"/>
      <c r="C645" s="16" t="s">
        <v>1165</v>
      </c>
      <c r="D645" s="17">
        <f>VLOOKUP(A642,'Neraca Unaudited SIMAK'!$A$2:$S$10004,3,FALSE)</f>
        <v>351700</v>
      </c>
      <c r="E645" s="25">
        <f>SUMIFS('Daftar Koreksi'!$H$5:$H$92,'Daftar Koreksi'!$D$5:$D$92,'0300'!A642,'Daftar Koreksi'!$G$5:$G$92,"Persediaan",'Daftar Koreksi'!$H$5:$H$92,"&gt;0")</f>
        <v>0</v>
      </c>
      <c r="F645" s="25">
        <f>SUMIFS('Daftar Koreksi'!$H$5:$H$92,'Daftar Koreksi'!$D$5:$D$92,'0300'!A642,'Daftar Koreksi'!$G$5:$G$92,"Persediaan",'Daftar Koreksi'!$H$5:$H$92,"&lt;0")-SUMIFS('Daftar Koreksi'!$H$5:$H$92,'Daftar Koreksi'!$D$5:$D$92,'0300'!A642,'Daftar Koreksi'!$G$5:$G$92,"Persediaan",'Daftar Koreksi'!$H$5:$H$92,"&lt;0")-SUMIFS('Daftar Koreksi'!$H$5:$H$92,'Daftar Koreksi'!$D$5:$D$92,'0300'!A642,'Daftar Koreksi'!$G$5:$G$92,"Persediaan",'Daftar Koreksi'!$H$5:$H$92,"&lt;0")</f>
        <v>0</v>
      </c>
      <c r="G645" s="17">
        <f>D645+E645-F645</f>
        <v>351700</v>
      </c>
      <c r="H645" s="121" t="str">
        <f>IF(ISNA(VLOOKUP(A642,'Mutasi Neraca'!$A$3:$S$914,19,FALSE)),"-",VLOOKUP(A642,'Mutasi Neraca'!$A$3:$S$914,19,FALSE))</f>
        <v>-</v>
      </c>
    </row>
    <row r="646" spans="1:8" ht="21.95" customHeight="1">
      <c r="A646" s="14"/>
      <c r="B646" s="14"/>
      <c r="C646" s="16" t="s">
        <v>1166</v>
      </c>
      <c r="D646" s="17">
        <f>VLOOKUP(A642,'Neraca Unaudited SIMAK'!$A$2:$S$10004,4,FALSE)</f>
        <v>5233831000</v>
      </c>
      <c r="E646" s="25">
        <f>SUMIFS('Daftar Koreksi'!$H$5:$H$92,'Daftar Koreksi'!$D$5:$D$92,'0300'!A642,'Daftar Koreksi'!$G$5:$G$92,"Tanah",'Daftar Koreksi'!$H$5:$H$92,"&gt;0")</f>
        <v>0</v>
      </c>
      <c r="F646" s="25">
        <f>SUMIFS('Daftar Koreksi'!$H$5:$H$92,'Daftar Koreksi'!$D$5:$D$92,'0300'!A642,'Daftar Koreksi'!$G$5:$G$92,"Tanah",'Daftar Koreksi'!$H$5:$H$92,"&lt;0")-SUMIFS('Daftar Koreksi'!$H$5:$H$92,'Daftar Koreksi'!$D$5:$D$92,'0300'!A642,'Daftar Koreksi'!$G$5:$G$92,"Tanah",'Daftar Koreksi'!$H$5:$H$92,"&lt;0")-SUMIFS('Daftar Koreksi'!$H$5:$H$92,'Daftar Koreksi'!$D$5:$D$92,'0300'!A642,'Daftar Koreksi'!$G$5:$G$92,"Tanah",'Daftar Koreksi'!$H$5:$H$92,"&lt;0")</f>
        <v>0</v>
      </c>
      <c r="G646" s="17">
        <f t="shared" ref="G646:G662" si="29">D646+E646-F646</f>
        <v>5233831000</v>
      </c>
      <c r="H646" s="122"/>
    </row>
    <row r="647" spans="1:8" ht="21.95" customHeight="1">
      <c r="A647" s="14"/>
      <c r="B647" s="14"/>
      <c r="C647" s="16" t="s">
        <v>1167</v>
      </c>
      <c r="D647" s="17">
        <f>VLOOKUP(A642,'Neraca Unaudited SIMAK'!$A$2:$S$10004,5,FALSE)</f>
        <v>2120240698</v>
      </c>
      <c r="E647" s="25">
        <f>SUMIFS('Daftar Koreksi'!$H$5:$H$92,'Daftar Koreksi'!$D$5:$D$92,'0300'!A642,'Daftar Koreksi'!$G$5:$G$92,"Peralatan dan mesin",'Daftar Koreksi'!$H$5:$H$92,"&gt;0")</f>
        <v>0</v>
      </c>
      <c r="F647" s="25">
        <f>SUMIFS('Daftar Koreksi'!$H$5:$H$92,'Daftar Koreksi'!$D$5:$D$92,'0300'!A642,'Daftar Koreksi'!$G$5:$G$92,"Peralatan dan mesin",'Daftar Koreksi'!$H$5:$H$92,"&lt;0")-SUMIFS('Daftar Koreksi'!$H$5:$H$92,'Daftar Koreksi'!$D$5:$D$92,'0300'!A642,'Daftar Koreksi'!$G$5:$G$92,"Peralatan dan mesin",'Daftar Koreksi'!$H$5:$H$92,"&lt;0")-SUMIFS('Daftar Koreksi'!$H$5:$H$92,'Daftar Koreksi'!$D$5:$D$92,'0300'!A642,'Daftar Koreksi'!$G$5:$G$92,"Peralatan dan mesin",'Daftar Koreksi'!$H$5:$H$92,"&lt;0")</f>
        <v>0</v>
      </c>
      <c r="G647" s="17">
        <f t="shared" si="29"/>
        <v>2120240698</v>
      </c>
      <c r="H647" s="122"/>
    </row>
    <row r="648" spans="1:8" ht="21.95" customHeight="1">
      <c r="A648" s="14"/>
      <c r="B648" s="14"/>
      <c r="C648" s="16" t="s">
        <v>1168</v>
      </c>
      <c r="D648" s="17">
        <f>VLOOKUP(A642,'Neraca Unaudited SIMAK'!$A$2:$S$10004,6,FALSE)</f>
        <v>6525391733</v>
      </c>
      <c r="E648" s="25">
        <f>SUMIFS('Daftar Koreksi'!$H$5:$H$92,'Daftar Koreksi'!$D$5:$D$92,'0300'!A642,'Daftar Koreksi'!$G$5:$G$92,"Gedung dan Bangunan",'Daftar Koreksi'!$H$5:$H$92,"&gt;0")</f>
        <v>0</v>
      </c>
      <c r="F648" s="25">
        <f>SUMIFS('Daftar Koreksi'!$H$5:$H$92,'Daftar Koreksi'!$D$5:$D$92,'0300'!A642,'Daftar Koreksi'!$G$5:$G$92,"Gedung dan Bangunan",'Daftar Koreksi'!$H$5:$H$92,"&lt;0")-SUMIFS('Daftar Koreksi'!$H$5:$H$92,'Daftar Koreksi'!$D$5:$D$92,'0300'!A642,'Daftar Koreksi'!$G$5:$G$92,"Gedung dan Bangunan",'Daftar Koreksi'!$H$5:$H$92,"&lt;0")-SUMIFS('Daftar Koreksi'!$H$5:$H$92,'Daftar Koreksi'!$D$5:$D$92,'0300'!A642,'Daftar Koreksi'!$G$5:$G$92,"Gedung dan Bangunan",'Daftar Koreksi'!$H$5:$H$92,"&lt;0")</f>
        <v>0</v>
      </c>
      <c r="G648" s="17">
        <f t="shared" si="29"/>
        <v>6525391733</v>
      </c>
      <c r="H648" s="122"/>
    </row>
    <row r="649" spans="1:8" ht="21.95" customHeight="1">
      <c r="A649" s="14"/>
      <c r="B649" s="14"/>
      <c r="C649" s="16" t="s">
        <v>1169</v>
      </c>
      <c r="D649" s="17">
        <f>VLOOKUP(A642,'Neraca Unaudited SIMAK'!$A$2:$S$10004,7,FALSE)</f>
        <v>0</v>
      </c>
      <c r="E649" s="25">
        <f>SUMIFS('Daftar Koreksi'!$H$5:$H$92,'Daftar Koreksi'!$D$5:$D$92,'0300'!A642,'Daftar Koreksi'!$G$5:$G$92,"Jalan Irigasi Jaringan",'Daftar Koreksi'!$H$5:$H$92,"&gt;0")</f>
        <v>0</v>
      </c>
      <c r="F649" s="25">
        <f>SUMIFS('Daftar Koreksi'!$H$5:$H$92,'Daftar Koreksi'!$D$5:$D$92,'0300'!A642,'Daftar Koreksi'!$G$5:$G$92,"Jalan Irigasi Jaringan",'Daftar Koreksi'!$H$5:$H$92,"&lt;0")-SUMIFS('Daftar Koreksi'!$H$5:$H$92,'Daftar Koreksi'!$D$5:$D$92,'0300'!A642,'Daftar Koreksi'!$G$5:$G$92,"Jalan Irigasi Jaringan",'Daftar Koreksi'!$H$5:$H$92,"&lt;0")-SUMIFS('Daftar Koreksi'!$H$5:$H$92,'Daftar Koreksi'!$D$5:$D$92,'0300'!A642,'Daftar Koreksi'!$G$5:$G$92,"Jalan Irigasi Jaringan",'Daftar Koreksi'!$H$5:$H$92,"&lt;0")</f>
        <v>0</v>
      </c>
      <c r="G649" s="17">
        <f t="shared" si="29"/>
        <v>0</v>
      </c>
      <c r="H649" s="122"/>
    </row>
    <row r="650" spans="1:8" ht="21.95" customHeight="1">
      <c r="A650" s="14"/>
      <c r="B650" s="14"/>
      <c r="C650" s="16" t="s">
        <v>1170</v>
      </c>
      <c r="D650" s="17">
        <f>VLOOKUP(A642,'Neraca Unaudited SIMAK'!$A$2:$S$10004,8,FALSE)</f>
        <v>18538742</v>
      </c>
      <c r="E650" s="25">
        <f>SUMIFS('Daftar Koreksi'!$H$5:$H$92,'Daftar Koreksi'!$D$5:$D$92,'0300'!A642,'Daftar Koreksi'!$G$5:$G$92,"Aset Tetap Lainnya",'Daftar Koreksi'!$H$5:$H$92,"&gt;0")</f>
        <v>0</v>
      </c>
      <c r="F650" s="25">
        <f>SUMIFS('Daftar Koreksi'!$H$5:$H$92,'Daftar Koreksi'!$D$5:$D$92,'0300'!A642,'Daftar Koreksi'!$G$5:$G$92,"Aset Tetap Lainnya",'Daftar Koreksi'!$H$5:$H$92,"&lt;0")-SUMIFS('Daftar Koreksi'!$H$5:$H$92,'Daftar Koreksi'!$D$5:$D$92,'0300'!A642,'Daftar Koreksi'!$G$5:$G$92,"Aset Tetap Lainnya",'Daftar Koreksi'!$H$5:$H$92,"&lt;0")-SUMIFS('Daftar Koreksi'!$H$5:$H$92,'Daftar Koreksi'!$D$5:$D$92,'0300'!A642,'Daftar Koreksi'!$G$5:$G$92,"Aset Tetap Lainnya",'Daftar Koreksi'!$H$5:$H$92,"&lt;0")</f>
        <v>0</v>
      </c>
      <c r="G650" s="17">
        <f t="shared" si="29"/>
        <v>18538742</v>
      </c>
      <c r="H650" s="122"/>
    </row>
    <row r="651" spans="1:8" ht="21.95" customHeight="1">
      <c r="A651" s="14"/>
      <c r="B651" s="14"/>
      <c r="C651" s="16" t="s">
        <v>1171</v>
      </c>
      <c r="D651" s="17">
        <f>VLOOKUP(A642,'Neraca Unaudited SIMAK'!$A$2:$S$10004,9,FALSE)</f>
        <v>0</v>
      </c>
      <c r="E651" s="25">
        <f>SUMIFS('Daftar Koreksi'!$H$5:$H$92,'Daftar Koreksi'!$D$5:$D$92,'0300'!A642,'Daftar Koreksi'!$G$5:$G$92,"Kontruksi Dalam Pengerjaan",'Daftar Koreksi'!$H$5:$H$92,"&gt;0")</f>
        <v>0</v>
      </c>
      <c r="F651" s="25">
        <f>SUMIFS('Daftar Koreksi'!$H$5:$H$92,'Daftar Koreksi'!$D$5:$D$92,'0300'!A642,'Daftar Koreksi'!$G$5:$G$92,"Kontruksi Dalam Pengerjaan",'Daftar Koreksi'!$H$5:$H$92,"&lt;0")-SUMIFS('Daftar Koreksi'!$H$5:$H$92,'Daftar Koreksi'!$D$5:$D$92,'0300'!A642,'Daftar Koreksi'!$G$5:$G$92,"Kontruksi Dalam Pengerjaan",'Daftar Koreksi'!$H$5:$H$92,"&lt;0")-SUMIFS('Daftar Koreksi'!$H$5:$H$92,'Daftar Koreksi'!$D$5:$D$92,'0300'!A642,'Daftar Koreksi'!$G$5:$G$92,"Kontruksi Dalam Pengerjaan",'Daftar Koreksi'!$H$5:$H$92,"&lt;0")</f>
        <v>0</v>
      </c>
      <c r="G651" s="17">
        <f t="shared" si="29"/>
        <v>0</v>
      </c>
      <c r="H651" s="122"/>
    </row>
    <row r="652" spans="1:8" ht="21.95" customHeight="1">
      <c r="A652" s="14"/>
      <c r="B652" s="14"/>
      <c r="C652" s="16" t="s">
        <v>1172</v>
      </c>
      <c r="D652" s="17">
        <f>VLOOKUP(A642,'Neraca Unaudited SIMAK'!$A$2:$S$10004,10,FALSE)</f>
        <v>0</v>
      </c>
      <c r="E652" s="25">
        <f>SUMIFS('Daftar Koreksi'!$H$5:$H$92,'Daftar Koreksi'!$D$5:$D$92,'0300'!A642,'Daftar Koreksi'!$G$5:$G$92,"Aset Tak Berwujud",'Daftar Koreksi'!$H$5:$H$92,"&gt;0")</f>
        <v>0</v>
      </c>
      <c r="F652" s="25">
        <f>SUMIFS('Daftar Koreksi'!$H$5:$H$92,'Daftar Koreksi'!$D$5:$D$92,'0300'!A642,'Daftar Koreksi'!$G$5:$G$92,"Aset Tak Berwujud",'Daftar Koreksi'!$H$5:$H$92,"&lt;0")-SUMIFS('Daftar Koreksi'!$H$5:$H$92,'Daftar Koreksi'!$D$5:$D$92,'0300'!A642,'Daftar Koreksi'!$G$5:$G$92,"Aset Tak Berwujud",'Daftar Koreksi'!$H$5:$H$92,"&lt;0")-SUMIFS('Daftar Koreksi'!$H$5:$H$92,'Daftar Koreksi'!$D$5:$D$92,'0300'!A642,'Daftar Koreksi'!$G$5:$G$92,"Aset Tak Berwujud",'Daftar Koreksi'!$H$5:$H$92,"&lt;0")</f>
        <v>0</v>
      </c>
      <c r="G652" s="17">
        <f t="shared" si="29"/>
        <v>0</v>
      </c>
      <c r="H652" s="122"/>
    </row>
    <row r="653" spans="1:8" ht="21.95" customHeight="1">
      <c r="A653" s="14"/>
      <c r="B653" s="14"/>
      <c r="C653" s="16" t="s">
        <v>1173</v>
      </c>
      <c r="D653" s="17">
        <f>VLOOKUP(A642,'Neraca Unaudited SIMAK'!$A$2:$S$10004,11,FALSE)</f>
        <v>95484667</v>
      </c>
      <c r="E653" s="25">
        <f>SUMIFS('Daftar Koreksi'!$H$5:$H$92,'Daftar Koreksi'!$D$5:$D$92,'0300'!A642,'Daftar Koreksi'!$G$5:$G$92,"Aset Henti Guna",'Daftar Koreksi'!$H$5:$H$92,"&gt;0")</f>
        <v>0</v>
      </c>
      <c r="F653" s="25">
        <f>SUMIFS('Daftar Koreksi'!$H$5:$H$92,'Daftar Koreksi'!$D$5:$D$92,'0300'!A642,'Daftar Koreksi'!$G$5:$G$92,"Aset Henti Guna",'Daftar Koreksi'!$H$5:$H$92,"&lt;0")-SUMIFS('Daftar Koreksi'!$H$5:$H$92,'Daftar Koreksi'!$D$5:$D$92,'0300'!A642,'Daftar Koreksi'!$G$5:$G$92,"Aset Henti Guna",'Daftar Koreksi'!$H$5:$H$92,"&lt;0")-SUMIFS('Daftar Koreksi'!$H$5:$H$92,'Daftar Koreksi'!$D$5:$D$92,'0300'!A642,'Daftar Koreksi'!$G$5:$G$92,"Aset Henti Guna",'Daftar Koreksi'!$H$5:$H$92,"&lt;0")</f>
        <v>0</v>
      </c>
      <c r="G653" s="17">
        <f t="shared" si="29"/>
        <v>95484667</v>
      </c>
      <c r="H653" s="122"/>
    </row>
    <row r="654" spans="1:8" ht="21.95" customHeight="1">
      <c r="A654" s="14"/>
      <c r="B654" s="14"/>
      <c r="C654" s="18" t="s">
        <v>2093</v>
      </c>
      <c r="D654" s="19">
        <f>VLOOKUP(A642,'Neraca Unaudited SIMAK'!$A$2:$S$10004,12,FALSE)</f>
        <v>13993838540</v>
      </c>
      <c r="E654" s="19">
        <f>SUM(E645:E653)</f>
        <v>0</v>
      </c>
      <c r="F654" s="19">
        <f>SUM(F645:F653)</f>
        <v>0</v>
      </c>
      <c r="G654" s="19">
        <f t="shared" si="29"/>
        <v>13993838540</v>
      </c>
      <c r="H654" s="122"/>
    </row>
    <row r="655" spans="1:8" ht="21.95" customHeight="1">
      <c r="A655" s="14"/>
      <c r="B655" s="14"/>
      <c r="C655" s="16" t="s">
        <v>2087</v>
      </c>
      <c r="D655" s="17">
        <f>VLOOKUP(A642,'Neraca Unaudited SIMAK'!$A$2:$S$10004,13,FALSE)</f>
        <v>-1733201710</v>
      </c>
      <c r="E655" s="25">
        <f>SUMIFS('Daftar Koreksi'!$I$5:$I$92,'Daftar Koreksi'!$D$5:$D$92,'0300'!A642,'Daftar Koreksi'!$G$5:$G$92,"Peralatan dan mesin",'Daftar Koreksi'!$I$5:$I$92,"&gt;0")</f>
        <v>0</v>
      </c>
      <c r="F655" s="25">
        <f>SUMIFS('Daftar Koreksi'!$I$5:$I$92,'Daftar Koreksi'!$D$5:$D$92,'0300'!A642,'Daftar Koreksi'!$G$5:$G$92,"Peralatan dan mesin",'Daftar Koreksi'!$I$5:$I$92,"&lt;0")-SUMIFS('Daftar Koreksi'!$I$5:$I$92,'Daftar Koreksi'!$D$5:$D$92,'0300'!A642,'Daftar Koreksi'!$G$5:$G$92,"Peralatan dan mesin",'Daftar Koreksi'!$I$5:$I$92,"&lt;0")-SUMIFS('Daftar Koreksi'!$I$5:$I$92,'Daftar Koreksi'!$D$5:$D$92,'0300'!A642,'Daftar Koreksi'!$G$5:$G$92,"Peralatan dan mesin",'Daftar Koreksi'!$I$5:$I$92,"&lt;0")</f>
        <v>0</v>
      </c>
      <c r="G655" s="17">
        <f t="shared" si="29"/>
        <v>-1733201710</v>
      </c>
      <c r="H655" s="122"/>
    </row>
    <row r="656" spans="1:8" ht="21.95" customHeight="1">
      <c r="A656" s="14"/>
      <c r="B656" s="14"/>
      <c r="C656" s="16" t="s">
        <v>2088</v>
      </c>
      <c r="D656" s="17">
        <f>VLOOKUP(A642,'Neraca Unaudited SIMAK'!$A$2:$S$10004,14,FALSE)</f>
        <v>-1782172124</v>
      </c>
      <c r="E656" s="25">
        <f>SUMIFS('Daftar Koreksi'!$I$5:$I$92,'Daftar Koreksi'!$D$5:$D$92,'0300'!A642,'Daftar Koreksi'!$G$5:$G$92,"Gedung dan Bangunan",'Daftar Koreksi'!$I$5:$I$92,"&gt;0")</f>
        <v>0</v>
      </c>
      <c r="F656" s="25">
        <f>SUMIFS('Daftar Koreksi'!$I$5:$I$92,'Daftar Koreksi'!$D$5:$D$92,'0300'!A642,'Daftar Koreksi'!$G$5:$G$92,"Gedung dan Bangunan",'Daftar Koreksi'!$I$5:$I$92,"&lt;0")-SUMIFS('Daftar Koreksi'!$I$5:$I$92,'Daftar Koreksi'!$D$5:$D$92,'0300'!A642,'Daftar Koreksi'!$G$5:$G$92,"Gedung dan Bangunan",'Daftar Koreksi'!$I$5:$I$92,"&lt;0")-SUMIFS('Daftar Koreksi'!$I$5:$I$92,'Daftar Koreksi'!$D$5:$D$92,'0300'!A642,'Daftar Koreksi'!$G$5:$G$92,"Gedung dan Bangunan",'Daftar Koreksi'!$I$5:$I$92,"&lt;0")</f>
        <v>0</v>
      </c>
      <c r="G656" s="17">
        <f t="shared" si="29"/>
        <v>-1782172124</v>
      </c>
      <c r="H656" s="122"/>
    </row>
    <row r="657" spans="1:8" ht="21.95" customHeight="1">
      <c r="A657" s="14"/>
      <c r="B657" s="14"/>
      <c r="C657" s="16" t="s">
        <v>2089</v>
      </c>
      <c r="D657" s="17">
        <f>VLOOKUP(A642,'Neraca Unaudited SIMAK'!$A$2:$S$10004,15,FALSE)</f>
        <v>0</v>
      </c>
      <c r="E657" s="25">
        <f>SUMIFS('Daftar Koreksi'!$I$5:$I$92,'Daftar Koreksi'!$D$5:$D$92,'0300'!A642,'Daftar Koreksi'!$G$5:$G$92,"Jalan Irigasi Jaringan",'Daftar Koreksi'!$I$5:$I$92,"&gt;0")</f>
        <v>0</v>
      </c>
      <c r="F657" s="25">
        <f>SUMIFS('Daftar Koreksi'!$I$5:$I$92,'Daftar Koreksi'!$D$5:$D$92,'0300'!A642,'Daftar Koreksi'!$G$5:$G$92,"Jalan Irigasi Jaringan",'Daftar Koreksi'!$I$5:$I$92,"&lt;0")-SUMIFS('Daftar Koreksi'!$I$5:$I$92,'Daftar Koreksi'!$D$5:$D$92,'0300'!A642,'Daftar Koreksi'!$G$5:$G$92,"Jalan Irigasi Jaringan",'Daftar Koreksi'!$I$5:$I$92,"&lt;0")-SUMIFS('Daftar Koreksi'!$I$5:$I$92,'Daftar Koreksi'!$D$5:$D$92,'0300'!A642,'Daftar Koreksi'!$G$5:$G$92,"Jalan Irigasi Jaringan",'Daftar Koreksi'!$I$5:$I$92,"&lt;0")</f>
        <v>0</v>
      </c>
      <c r="G657" s="17">
        <f t="shared" si="29"/>
        <v>0</v>
      </c>
      <c r="H657" s="122"/>
    </row>
    <row r="658" spans="1:8" ht="21.95" customHeight="1">
      <c r="A658" s="14"/>
      <c r="B658" s="14"/>
      <c r="C658" s="16" t="s">
        <v>2090</v>
      </c>
      <c r="D658" s="17">
        <f>VLOOKUP(A642,'Neraca Unaudited SIMAK'!$A$2:$S$10004,16,FALSE)</f>
        <v>0</v>
      </c>
      <c r="E658" s="25">
        <f>SUMIFS('Daftar Koreksi'!$I$5:$I$92,'Daftar Koreksi'!$D$5:$D$92,'0300'!A642,'Daftar Koreksi'!$G$5:$G$92,"Aset Tetap Lainnya",'Daftar Koreksi'!$I$5:$I$92,"&gt;0")</f>
        <v>0</v>
      </c>
      <c r="F658" s="25">
        <f>SUMIFS('Daftar Koreksi'!$I$5:$I$92,'Daftar Koreksi'!$D$5:$D$92,'0300'!A642,'Daftar Koreksi'!$G$5:$G$92,"Aset Tetap Lainnya",'Daftar Koreksi'!$I$5:$I$92,"&lt;0")-SUMIFS('Daftar Koreksi'!$I$5:$I$92,'Daftar Koreksi'!$D$5:$D$92,'0300'!A642,'Daftar Koreksi'!$G$5:$G$92,"Aset Tetap Lainnya",'Daftar Koreksi'!$I$5:$I$92,"&lt;0")-SUMIFS('Daftar Koreksi'!$I$5:$I$92,'Daftar Koreksi'!$D$5:$D$92,'0300'!A642,'Daftar Koreksi'!$G$5:$G$92,"Aset Tetap Lainnya",'Daftar Koreksi'!$I$5:$I$92,"&lt;0")</f>
        <v>0</v>
      </c>
      <c r="G658" s="17">
        <f t="shared" si="29"/>
        <v>0</v>
      </c>
      <c r="H658" s="122"/>
    </row>
    <row r="659" spans="1:8" ht="21.95" customHeight="1">
      <c r="A659" s="14"/>
      <c r="B659" s="14"/>
      <c r="C659" s="16" t="s">
        <v>2020</v>
      </c>
      <c r="D659" s="17">
        <f>VLOOKUP(A642,'Neraca Unaudited SIMAK'!$A$2:$S$10004,17,FALSE)</f>
        <v>-25439468</v>
      </c>
      <c r="E659" s="25">
        <f>SUMIFS('Daftar Koreksi'!$I$5:$I$92,'Daftar Koreksi'!$D$5:$D$92,'0300'!A642,'Daftar Koreksi'!$G$5:$G$92,"Aset Henti Guna",'Daftar Koreksi'!$I$5:$I$92,"&gt;0")</f>
        <v>0</v>
      </c>
      <c r="F659" s="25">
        <f>SUMIFS('Daftar Koreksi'!$I$5:$I$92,'Daftar Koreksi'!$D$5:$D$92,'0300'!A642,'Daftar Koreksi'!$G$5:$G$92,"Aset Henti Guna",'Daftar Koreksi'!$I$5:$I$92,"&lt;0")-SUMIFS('Daftar Koreksi'!$I$5:$I$92,'Daftar Koreksi'!$D$5:$D$92,'0300'!A642,'Daftar Koreksi'!$G$5:$G$92,"Aset Henti Guna",'Daftar Koreksi'!$I$5:$I$92,"&lt;0")-SUMIFS('Daftar Koreksi'!$I$5:$I$92,'Daftar Koreksi'!$D$5:$D$92,'0300'!A642,'Daftar Koreksi'!$G$5:$G$92,"Aset Henti Guna",'Daftar Koreksi'!$I$5:$I$92,"&lt;0")</f>
        <v>0</v>
      </c>
      <c r="G659" s="17">
        <f t="shared" si="29"/>
        <v>-25439468</v>
      </c>
      <c r="H659" s="122"/>
    </row>
    <row r="660" spans="1:8" ht="21.95" customHeight="1">
      <c r="A660" s="14"/>
      <c r="B660" s="14"/>
      <c r="C660" s="18" t="s">
        <v>2094</v>
      </c>
      <c r="D660" s="19">
        <f>SUM(D655:D659)</f>
        <v>-3540813302</v>
      </c>
      <c r="E660" s="19">
        <f>SUM(E655:E659)</f>
        <v>0</v>
      </c>
      <c r="F660" s="19">
        <f>SUM(F655:F659)</f>
        <v>0</v>
      </c>
      <c r="G660" s="19">
        <f t="shared" si="29"/>
        <v>-3540813302</v>
      </c>
      <c r="H660" s="122"/>
    </row>
    <row r="661" spans="1:8" ht="21.95" customHeight="1">
      <c r="A661" s="14"/>
      <c r="B661" s="14"/>
      <c r="C661" s="18" t="s">
        <v>2095</v>
      </c>
      <c r="D661" s="19">
        <f>VLOOKUP(A642,'Neraca Unaudited SIMAK'!$A$2:$S$10004,18,FALSE)</f>
        <v>10453025238</v>
      </c>
      <c r="E661" s="19">
        <f>E660+E654</f>
        <v>0</v>
      </c>
      <c r="F661" s="19">
        <f>F660+F654</f>
        <v>0</v>
      </c>
      <c r="G661" s="19">
        <f t="shared" si="29"/>
        <v>10453025238</v>
      </c>
      <c r="H661" s="122"/>
    </row>
    <row r="662" spans="1:8" ht="21.95" customHeight="1">
      <c r="A662" s="14"/>
      <c r="B662" s="14"/>
      <c r="C662" s="16" t="s">
        <v>2091</v>
      </c>
      <c r="D662" s="17">
        <f>VLOOKUP(A642,'Neraca Unaudited SIMAK'!$A$2:$S$10004,19,FALSE)</f>
        <v>0</v>
      </c>
      <c r="E662" s="25"/>
      <c r="F662" s="25"/>
      <c r="G662" s="17">
        <f t="shared" si="29"/>
        <v>0</v>
      </c>
      <c r="H662" s="123"/>
    </row>
    <row r="664" spans="1:8" ht="19.5" customHeight="1">
      <c r="A664" s="11" t="str">
        <f>O31</f>
        <v>005010300098015000KD</v>
      </c>
      <c r="B664" s="11" t="str">
        <f>P31</f>
        <v>PN. Cilacap</v>
      </c>
      <c r="C664" s="12" t="str">
        <f>A664&amp;" "&amp;B664</f>
        <v>005010300098015000KD PN. Cilacap</v>
      </c>
      <c r="D664" s="13"/>
      <c r="E664" s="13"/>
      <c r="F664" s="13"/>
      <c r="G664" s="13"/>
      <c r="H664" s="11"/>
    </row>
    <row r="665" spans="1:8" ht="21.95" customHeight="1">
      <c r="A665" s="14"/>
      <c r="B665" s="14"/>
      <c r="C665" s="124" t="s">
        <v>1982</v>
      </c>
      <c r="D665" s="126" t="s">
        <v>1983</v>
      </c>
      <c r="E665" s="132" t="s">
        <v>1984</v>
      </c>
      <c r="F665" s="132"/>
      <c r="G665" s="126" t="s">
        <v>1987</v>
      </c>
      <c r="H665" s="130" t="s">
        <v>1175</v>
      </c>
    </row>
    <row r="666" spans="1:8" ht="21.95" customHeight="1">
      <c r="A666" s="14"/>
      <c r="B666" s="14"/>
      <c r="C666" s="125"/>
      <c r="D666" s="127"/>
      <c r="E666" s="26" t="s">
        <v>1985</v>
      </c>
      <c r="F666" s="26" t="s">
        <v>1986</v>
      </c>
      <c r="G666" s="127"/>
      <c r="H666" s="131"/>
    </row>
    <row r="667" spans="1:8" ht="21.95" customHeight="1">
      <c r="A667" s="14"/>
      <c r="B667" s="14"/>
      <c r="C667" s="16" t="s">
        <v>1165</v>
      </c>
      <c r="D667" s="17">
        <f>VLOOKUP(A664,'Neraca Unaudited SIMAK'!$A$2:$S$10004,3,FALSE)</f>
        <v>2129250</v>
      </c>
      <c r="E667" s="25">
        <f>SUMIFS('Daftar Koreksi'!$H$5:$H$92,'Daftar Koreksi'!$D$5:$D$92,'0300'!A664,'Daftar Koreksi'!$G$5:$G$92,"Persediaan",'Daftar Koreksi'!$H$5:$H$92,"&gt;0")</f>
        <v>0</v>
      </c>
      <c r="F667" s="25">
        <f>SUMIFS('Daftar Koreksi'!$H$5:$H$92,'Daftar Koreksi'!$D$5:$D$92,'0300'!A664,'Daftar Koreksi'!$G$5:$G$92,"Persediaan",'Daftar Koreksi'!$H$5:$H$92,"&lt;0")-SUMIFS('Daftar Koreksi'!$H$5:$H$92,'Daftar Koreksi'!$D$5:$D$92,'0300'!A664,'Daftar Koreksi'!$G$5:$G$92,"Persediaan",'Daftar Koreksi'!$H$5:$H$92,"&lt;0")-SUMIFS('Daftar Koreksi'!$H$5:$H$92,'Daftar Koreksi'!$D$5:$D$92,'0300'!A664,'Daftar Koreksi'!$G$5:$G$92,"Persediaan",'Daftar Koreksi'!$H$5:$H$92,"&lt;0")</f>
        <v>0</v>
      </c>
      <c r="G667" s="17">
        <f>D667+E667-F667</f>
        <v>2129250</v>
      </c>
      <c r="H667" s="121" t="str">
        <f>IF(ISNA(VLOOKUP(A664,'Mutasi Neraca'!$A$3:$S$914,19,FALSE)),"-",VLOOKUP(A664,'Mutasi Neraca'!$A$3:$S$914,19,FALSE))</f>
        <v>-</v>
      </c>
    </row>
    <row r="668" spans="1:8" ht="21.95" customHeight="1">
      <c r="A668" s="14"/>
      <c r="B668" s="14"/>
      <c r="C668" s="16" t="s">
        <v>1166</v>
      </c>
      <c r="D668" s="17">
        <f>VLOOKUP(A664,'Neraca Unaudited SIMAK'!$A$2:$S$10004,4,FALSE)</f>
        <v>5405930300</v>
      </c>
      <c r="E668" s="25">
        <f>SUMIFS('Daftar Koreksi'!$H$5:$H$92,'Daftar Koreksi'!$D$5:$D$92,'0300'!A664,'Daftar Koreksi'!$G$5:$G$92,"Tanah",'Daftar Koreksi'!$H$5:$H$92,"&gt;0")</f>
        <v>0</v>
      </c>
      <c r="F668" s="25">
        <f>SUMIFS('Daftar Koreksi'!$H$5:$H$92,'Daftar Koreksi'!$D$5:$D$92,'0300'!A664,'Daftar Koreksi'!$G$5:$G$92,"Tanah",'Daftar Koreksi'!$H$5:$H$92,"&lt;0")-SUMIFS('Daftar Koreksi'!$H$5:$H$92,'Daftar Koreksi'!$D$5:$D$92,'0300'!A664,'Daftar Koreksi'!$G$5:$G$92,"Tanah",'Daftar Koreksi'!$H$5:$H$92,"&lt;0")-SUMIFS('Daftar Koreksi'!$H$5:$H$92,'Daftar Koreksi'!$D$5:$D$92,'0300'!A664,'Daftar Koreksi'!$G$5:$G$92,"Tanah",'Daftar Koreksi'!$H$5:$H$92,"&lt;0")</f>
        <v>0</v>
      </c>
      <c r="G668" s="17">
        <f t="shared" ref="G668:G684" si="30">D668+E668-F668</f>
        <v>5405930300</v>
      </c>
      <c r="H668" s="122"/>
    </row>
    <row r="669" spans="1:8" ht="21.95" customHeight="1">
      <c r="A669" s="14"/>
      <c r="B669" s="14"/>
      <c r="C669" s="16" t="s">
        <v>1167</v>
      </c>
      <c r="D669" s="17">
        <f>VLOOKUP(A664,'Neraca Unaudited SIMAK'!$A$2:$S$10004,5,FALSE)</f>
        <v>1879370475</v>
      </c>
      <c r="E669" s="25">
        <f>SUMIFS('Daftar Koreksi'!$H$5:$H$92,'Daftar Koreksi'!$D$5:$D$92,'0300'!A664,'Daftar Koreksi'!$G$5:$G$92,"Peralatan dan mesin",'Daftar Koreksi'!$H$5:$H$92,"&gt;0")</f>
        <v>0</v>
      </c>
      <c r="F669" s="25">
        <f>SUMIFS('Daftar Koreksi'!$H$5:$H$92,'Daftar Koreksi'!$D$5:$D$92,'0300'!A664,'Daftar Koreksi'!$G$5:$G$92,"Peralatan dan mesin",'Daftar Koreksi'!$H$5:$H$92,"&lt;0")-SUMIFS('Daftar Koreksi'!$H$5:$H$92,'Daftar Koreksi'!$D$5:$D$92,'0300'!A664,'Daftar Koreksi'!$G$5:$G$92,"Peralatan dan mesin",'Daftar Koreksi'!$H$5:$H$92,"&lt;0")-SUMIFS('Daftar Koreksi'!$H$5:$H$92,'Daftar Koreksi'!$D$5:$D$92,'0300'!A664,'Daftar Koreksi'!$G$5:$G$92,"Peralatan dan mesin",'Daftar Koreksi'!$H$5:$H$92,"&lt;0")</f>
        <v>0</v>
      </c>
      <c r="G669" s="17">
        <f t="shared" si="30"/>
        <v>1879370475</v>
      </c>
      <c r="H669" s="122"/>
    </row>
    <row r="670" spans="1:8" ht="21.95" customHeight="1">
      <c r="A670" s="14"/>
      <c r="B670" s="14"/>
      <c r="C670" s="16" t="s">
        <v>1168</v>
      </c>
      <c r="D670" s="17">
        <f>VLOOKUP(A664,'Neraca Unaudited SIMAK'!$A$2:$S$10004,6,FALSE)</f>
        <v>5568986487</v>
      </c>
      <c r="E670" s="25">
        <f>SUMIFS('Daftar Koreksi'!$H$5:$H$92,'Daftar Koreksi'!$D$5:$D$92,'0300'!A664,'Daftar Koreksi'!$G$5:$G$92,"Gedung dan Bangunan",'Daftar Koreksi'!$H$5:$H$92,"&gt;0")</f>
        <v>0</v>
      </c>
      <c r="F670" s="25">
        <f>SUMIFS('Daftar Koreksi'!$H$5:$H$92,'Daftar Koreksi'!$D$5:$D$92,'0300'!A664,'Daftar Koreksi'!$G$5:$G$92,"Gedung dan Bangunan",'Daftar Koreksi'!$H$5:$H$92,"&lt;0")-SUMIFS('Daftar Koreksi'!$H$5:$H$92,'Daftar Koreksi'!$D$5:$D$92,'0300'!A664,'Daftar Koreksi'!$G$5:$G$92,"Gedung dan Bangunan",'Daftar Koreksi'!$H$5:$H$92,"&lt;0")-SUMIFS('Daftar Koreksi'!$H$5:$H$92,'Daftar Koreksi'!$D$5:$D$92,'0300'!A664,'Daftar Koreksi'!$G$5:$G$92,"Gedung dan Bangunan",'Daftar Koreksi'!$H$5:$H$92,"&lt;0")</f>
        <v>0</v>
      </c>
      <c r="G670" s="17">
        <f t="shared" si="30"/>
        <v>5568986487</v>
      </c>
      <c r="H670" s="122"/>
    </row>
    <row r="671" spans="1:8" ht="21.95" customHeight="1">
      <c r="A671" s="14"/>
      <c r="B671" s="14"/>
      <c r="C671" s="16" t="s">
        <v>1169</v>
      </c>
      <c r="D671" s="17">
        <f>VLOOKUP(A664,'Neraca Unaudited SIMAK'!$A$2:$S$10004,7,FALSE)</f>
        <v>68920000</v>
      </c>
      <c r="E671" s="25">
        <f>SUMIFS('Daftar Koreksi'!$H$5:$H$92,'Daftar Koreksi'!$D$5:$D$92,'0300'!A664,'Daftar Koreksi'!$G$5:$G$92,"Jalan Irigasi Jaringan",'Daftar Koreksi'!$H$5:$H$92,"&gt;0")</f>
        <v>0</v>
      </c>
      <c r="F671" s="25">
        <f>SUMIFS('Daftar Koreksi'!$H$5:$H$92,'Daftar Koreksi'!$D$5:$D$92,'0300'!A664,'Daftar Koreksi'!$G$5:$G$92,"Jalan Irigasi Jaringan",'Daftar Koreksi'!$H$5:$H$92,"&lt;0")-SUMIFS('Daftar Koreksi'!$H$5:$H$92,'Daftar Koreksi'!$D$5:$D$92,'0300'!A664,'Daftar Koreksi'!$G$5:$G$92,"Jalan Irigasi Jaringan",'Daftar Koreksi'!$H$5:$H$92,"&lt;0")-SUMIFS('Daftar Koreksi'!$H$5:$H$92,'Daftar Koreksi'!$D$5:$D$92,'0300'!A664,'Daftar Koreksi'!$G$5:$G$92,"Jalan Irigasi Jaringan",'Daftar Koreksi'!$H$5:$H$92,"&lt;0")</f>
        <v>0</v>
      </c>
      <c r="G671" s="17">
        <f t="shared" si="30"/>
        <v>68920000</v>
      </c>
      <c r="H671" s="122"/>
    </row>
    <row r="672" spans="1:8" ht="21.95" customHeight="1">
      <c r="A672" s="14"/>
      <c r="B672" s="14"/>
      <c r="C672" s="16" t="s">
        <v>1170</v>
      </c>
      <c r="D672" s="17">
        <f>VLOOKUP(A664,'Neraca Unaudited SIMAK'!$A$2:$S$10004,8,FALSE)</f>
        <v>383264132</v>
      </c>
      <c r="E672" s="25">
        <f>SUMIFS('Daftar Koreksi'!$H$5:$H$92,'Daftar Koreksi'!$D$5:$D$92,'0300'!A664,'Daftar Koreksi'!$G$5:$G$92,"Aset Tetap Lainnya",'Daftar Koreksi'!$H$5:$H$92,"&gt;0")</f>
        <v>0</v>
      </c>
      <c r="F672" s="25">
        <f>SUMIFS('Daftar Koreksi'!$H$5:$H$92,'Daftar Koreksi'!$D$5:$D$92,'0300'!A664,'Daftar Koreksi'!$G$5:$G$92,"Aset Tetap Lainnya",'Daftar Koreksi'!$H$5:$H$92,"&lt;0")-SUMIFS('Daftar Koreksi'!$H$5:$H$92,'Daftar Koreksi'!$D$5:$D$92,'0300'!A664,'Daftar Koreksi'!$G$5:$G$92,"Aset Tetap Lainnya",'Daftar Koreksi'!$H$5:$H$92,"&lt;0")-SUMIFS('Daftar Koreksi'!$H$5:$H$92,'Daftar Koreksi'!$D$5:$D$92,'0300'!A664,'Daftar Koreksi'!$G$5:$G$92,"Aset Tetap Lainnya",'Daftar Koreksi'!$H$5:$H$92,"&lt;0")</f>
        <v>0</v>
      </c>
      <c r="G672" s="17">
        <f t="shared" si="30"/>
        <v>383264132</v>
      </c>
      <c r="H672" s="122"/>
    </row>
    <row r="673" spans="1:8" ht="21.95" customHeight="1">
      <c r="A673" s="14"/>
      <c r="B673" s="14"/>
      <c r="C673" s="16" t="s">
        <v>1171</v>
      </c>
      <c r="D673" s="17">
        <f>VLOOKUP(A664,'Neraca Unaudited SIMAK'!$A$2:$S$10004,9,FALSE)</f>
        <v>0</v>
      </c>
      <c r="E673" s="25">
        <f>SUMIFS('Daftar Koreksi'!$H$5:$H$92,'Daftar Koreksi'!$D$5:$D$92,'0300'!A664,'Daftar Koreksi'!$G$5:$G$92,"Kontruksi Dalam Pengerjaan",'Daftar Koreksi'!$H$5:$H$92,"&gt;0")</f>
        <v>0</v>
      </c>
      <c r="F673" s="25">
        <f>SUMIFS('Daftar Koreksi'!$H$5:$H$92,'Daftar Koreksi'!$D$5:$D$92,'0300'!A664,'Daftar Koreksi'!$G$5:$G$92,"Kontruksi Dalam Pengerjaan",'Daftar Koreksi'!$H$5:$H$92,"&lt;0")-SUMIFS('Daftar Koreksi'!$H$5:$H$92,'Daftar Koreksi'!$D$5:$D$92,'0300'!A664,'Daftar Koreksi'!$G$5:$G$92,"Kontruksi Dalam Pengerjaan",'Daftar Koreksi'!$H$5:$H$92,"&lt;0")-SUMIFS('Daftar Koreksi'!$H$5:$H$92,'Daftar Koreksi'!$D$5:$D$92,'0300'!A664,'Daftar Koreksi'!$G$5:$G$92,"Kontruksi Dalam Pengerjaan",'Daftar Koreksi'!$H$5:$H$92,"&lt;0")</f>
        <v>0</v>
      </c>
      <c r="G673" s="17">
        <f t="shared" si="30"/>
        <v>0</v>
      </c>
      <c r="H673" s="122"/>
    </row>
    <row r="674" spans="1:8" ht="21.95" customHeight="1">
      <c r="A674" s="14"/>
      <c r="B674" s="14"/>
      <c r="C674" s="16" t="s">
        <v>1172</v>
      </c>
      <c r="D674" s="17">
        <f>VLOOKUP(A664,'Neraca Unaudited SIMAK'!$A$2:$S$10004,10,FALSE)</f>
        <v>142085000</v>
      </c>
      <c r="E674" s="25">
        <f>SUMIFS('Daftar Koreksi'!$H$5:$H$92,'Daftar Koreksi'!$D$5:$D$92,'0300'!A664,'Daftar Koreksi'!$G$5:$G$92,"Aset Tak Berwujud",'Daftar Koreksi'!$H$5:$H$92,"&gt;0")</f>
        <v>0</v>
      </c>
      <c r="F674" s="25">
        <f>SUMIFS('Daftar Koreksi'!$H$5:$H$92,'Daftar Koreksi'!$D$5:$D$92,'0300'!A664,'Daftar Koreksi'!$G$5:$G$92,"Aset Tak Berwujud",'Daftar Koreksi'!$H$5:$H$92,"&lt;0")-SUMIFS('Daftar Koreksi'!$H$5:$H$92,'Daftar Koreksi'!$D$5:$D$92,'0300'!A664,'Daftar Koreksi'!$G$5:$G$92,"Aset Tak Berwujud",'Daftar Koreksi'!$H$5:$H$92,"&lt;0")-SUMIFS('Daftar Koreksi'!$H$5:$H$92,'Daftar Koreksi'!$D$5:$D$92,'0300'!A664,'Daftar Koreksi'!$G$5:$G$92,"Aset Tak Berwujud",'Daftar Koreksi'!$H$5:$H$92,"&lt;0")</f>
        <v>0</v>
      </c>
      <c r="G674" s="17">
        <f t="shared" si="30"/>
        <v>142085000</v>
      </c>
      <c r="H674" s="122"/>
    </row>
    <row r="675" spans="1:8" ht="21.95" customHeight="1">
      <c r="A675" s="14"/>
      <c r="B675" s="14"/>
      <c r="C675" s="16" t="s">
        <v>1173</v>
      </c>
      <c r="D675" s="17">
        <f>VLOOKUP(A664,'Neraca Unaudited SIMAK'!$A$2:$S$10004,11,FALSE)</f>
        <v>210234549</v>
      </c>
      <c r="E675" s="25">
        <f>SUMIFS('Daftar Koreksi'!$H$5:$H$92,'Daftar Koreksi'!$D$5:$D$92,'0300'!A664,'Daftar Koreksi'!$G$5:$G$92,"Aset Henti Guna",'Daftar Koreksi'!$H$5:$H$92,"&gt;0")</f>
        <v>0</v>
      </c>
      <c r="F675" s="25">
        <f>SUMIFS('Daftar Koreksi'!$H$5:$H$92,'Daftar Koreksi'!$D$5:$D$92,'0300'!A664,'Daftar Koreksi'!$G$5:$G$92,"Aset Henti Guna",'Daftar Koreksi'!$H$5:$H$92,"&lt;0")-SUMIFS('Daftar Koreksi'!$H$5:$H$92,'Daftar Koreksi'!$D$5:$D$92,'0300'!A664,'Daftar Koreksi'!$G$5:$G$92,"Aset Henti Guna",'Daftar Koreksi'!$H$5:$H$92,"&lt;0")-SUMIFS('Daftar Koreksi'!$H$5:$H$92,'Daftar Koreksi'!$D$5:$D$92,'0300'!A664,'Daftar Koreksi'!$G$5:$G$92,"Aset Henti Guna",'Daftar Koreksi'!$H$5:$H$92,"&lt;0")</f>
        <v>0</v>
      </c>
      <c r="G675" s="17">
        <f t="shared" si="30"/>
        <v>210234549</v>
      </c>
      <c r="H675" s="122"/>
    </row>
    <row r="676" spans="1:8" ht="21.95" customHeight="1">
      <c r="A676" s="14"/>
      <c r="B676" s="14"/>
      <c r="C676" s="18" t="s">
        <v>2093</v>
      </c>
      <c r="D676" s="19">
        <f>VLOOKUP(A664,'Neraca Unaudited SIMAK'!$A$2:$S$10004,12,FALSE)</f>
        <v>13660920193</v>
      </c>
      <c r="E676" s="19">
        <f>SUM(E667:E675)</f>
        <v>0</v>
      </c>
      <c r="F676" s="19">
        <f>SUM(F667:F675)</f>
        <v>0</v>
      </c>
      <c r="G676" s="19">
        <f t="shared" si="30"/>
        <v>13660920193</v>
      </c>
      <c r="H676" s="122"/>
    </row>
    <row r="677" spans="1:8" ht="21.95" customHeight="1">
      <c r="A677" s="14"/>
      <c r="B677" s="14"/>
      <c r="C677" s="16" t="s">
        <v>2087</v>
      </c>
      <c r="D677" s="17">
        <f>VLOOKUP(A664,'Neraca Unaudited SIMAK'!$A$2:$S$10004,13,FALSE)</f>
        <v>-1560312185</v>
      </c>
      <c r="E677" s="25">
        <f>SUMIFS('Daftar Koreksi'!$I$5:$I$92,'Daftar Koreksi'!$D$5:$D$92,'0300'!A664,'Daftar Koreksi'!$G$5:$G$92,"Peralatan dan mesin",'Daftar Koreksi'!$I$5:$I$92,"&gt;0")</f>
        <v>0</v>
      </c>
      <c r="F677" s="25">
        <f>SUMIFS('Daftar Koreksi'!$I$5:$I$92,'Daftar Koreksi'!$D$5:$D$92,'0300'!A664,'Daftar Koreksi'!$G$5:$G$92,"Peralatan dan mesin",'Daftar Koreksi'!$I$5:$I$92,"&lt;0")-SUMIFS('Daftar Koreksi'!$I$5:$I$92,'Daftar Koreksi'!$D$5:$D$92,'0300'!A664,'Daftar Koreksi'!$G$5:$G$92,"Peralatan dan mesin",'Daftar Koreksi'!$I$5:$I$92,"&lt;0")-SUMIFS('Daftar Koreksi'!$I$5:$I$92,'Daftar Koreksi'!$D$5:$D$92,'0300'!A664,'Daftar Koreksi'!$G$5:$G$92,"Peralatan dan mesin",'Daftar Koreksi'!$I$5:$I$92,"&lt;0")</f>
        <v>0</v>
      </c>
      <c r="G677" s="17">
        <f t="shared" si="30"/>
        <v>-1560312185</v>
      </c>
      <c r="H677" s="122"/>
    </row>
    <row r="678" spans="1:8" ht="21.95" customHeight="1">
      <c r="A678" s="14"/>
      <c r="B678" s="14"/>
      <c r="C678" s="16" t="s">
        <v>2088</v>
      </c>
      <c r="D678" s="17">
        <f>VLOOKUP(A664,'Neraca Unaudited SIMAK'!$A$2:$S$10004,14,FALSE)</f>
        <v>-1742771631</v>
      </c>
      <c r="E678" s="25">
        <f>SUMIFS('Daftar Koreksi'!$I$5:$I$92,'Daftar Koreksi'!$D$5:$D$92,'0300'!A664,'Daftar Koreksi'!$G$5:$G$92,"Gedung dan Bangunan",'Daftar Koreksi'!$I$5:$I$92,"&gt;0")</f>
        <v>0</v>
      </c>
      <c r="F678" s="25">
        <f>SUMIFS('Daftar Koreksi'!$I$5:$I$92,'Daftar Koreksi'!$D$5:$D$92,'0300'!A664,'Daftar Koreksi'!$G$5:$G$92,"Gedung dan Bangunan",'Daftar Koreksi'!$I$5:$I$92,"&lt;0")-SUMIFS('Daftar Koreksi'!$I$5:$I$92,'Daftar Koreksi'!$D$5:$D$92,'0300'!A664,'Daftar Koreksi'!$G$5:$G$92,"Gedung dan Bangunan",'Daftar Koreksi'!$I$5:$I$92,"&lt;0")-SUMIFS('Daftar Koreksi'!$I$5:$I$92,'Daftar Koreksi'!$D$5:$D$92,'0300'!A664,'Daftar Koreksi'!$G$5:$G$92,"Gedung dan Bangunan",'Daftar Koreksi'!$I$5:$I$92,"&lt;0")</f>
        <v>0</v>
      </c>
      <c r="G678" s="17">
        <f t="shared" si="30"/>
        <v>-1742771631</v>
      </c>
      <c r="H678" s="122"/>
    </row>
    <row r="679" spans="1:8" ht="21.95" customHeight="1">
      <c r="A679" s="14"/>
      <c r="B679" s="14"/>
      <c r="C679" s="16" t="s">
        <v>2089</v>
      </c>
      <c r="D679" s="17">
        <f>VLOOKUP(A664,'Neraca Unaudited SIMAK'!$A$2:$S$10004,15,FALSE)</f>
        <v>-6721750</v>
      </c>
      <c r="E679" s="25">
        <f>SUMIFS('Daftar Koreksi'!$I$5:$I$92,'Daftar Koreksi'!$D$5:$D$92,'0300'!A664,'Daftar Koreksi'!$G$5:$G$92,"Jalan Irigasi Jaringan",'Daftar Koreksi'!$I$5:$I$92,"&gt;0")</f>
        <v>0</v>
      </c>
      <c r="F679" s="25">
        <f>SUMIFS('Daftar Koreksi'!$I$5:$I$92,'Daftar Koreksi'!$D$5:$D$92,'0300'!A664,'Daftar Koreksi'!$G$5:$G$92,"Jalan Irigasi Jaringan",'Daftar Koreksi'!$I$5:$I$92,"&lt;0")-SUMIFS('Daftar Koreksi'!$I$5:$I$92,'Daftar Koreksi'!$D$5:$D$92,'0300'!A664,'Daftar Koreksi'!$G$5:$G$92,"Jalan Irigasi Jaringan",'Daftar Koreksi'!$I$5:$I$92,"&lt;0")-SUMIFS('Daftar Koreksi'!$I$5:$I$92,'Daftar Koreksi'!$D$5:$D$92,'0300'!A664,'Daftar Koreksi'!$G$5:$G$92,"Jalan Irigasi Jaringan",'Daftar Koreksi'!$I$5:$I$92,"&lt;0")</f>
        <v>0</v>
      </c>
      <c r="G679" s="17">
        <f t="shared" si="30"/>
        <v>-6721750</v>
      </c>
      <c r="H679" s="122"/>
    </row>
    <row r="680" spans="1:8" ht="21.95" customHeight="1">
      <c r="A680" s="14"/>
      <c r="B680" s="14"/>
      <c r="C680" s="16" t="s">
        <v>2090</v>
      </c>
      <c r="D680" s="17">
        <f>VLOOKUP(A664,'Neraca Unaudited SIMAK'!$A$2:$S$10004,16,FALSE)</f>
        <v>0</v>
      </c>
      <c r="E680" s="25">
        <f>SUMIFS('Daftar Koreksi'!$I$5:$I$92,'Daftar Koreksi'!$D$5:$D$92,'0300'!A664,'Daftar Koreksi'!$G$5:$G$92,"Aset Tetap Lainnya",'Daftar Koreksi'!$I$5:$I$92,"&gt;0")</f>
        <v>0</v>
      </c>
      <c r="F680" s="25">
        <f>SUMIFS('Daftar Koreksi'!$I$5:$I$92,'Daftar Koreksi'!$D$5:$D$92,'0300'!A664,'Daftar Koreksi'!$G$5:$G$92,"Aset Tetap Lainnya",'Daftar Koreksi'!$I$5:$I$92,"&lt;0")-SUMIFS('Daftar Koreksi'!$I$5:$I$92,'Daftar Koreksi'!$D$5:$D$92,'0300'!A664,'Daftar Koreksi'!$G$5:$G$92,"Aset Tetap Lainnya",'Daftar Koreksi'!$I$5:$I$92,"&lt;0")-SUMIFS('Daftar Koreksi'!$I$5:$I$92,'Daftar Koreksi'!$D$5:$D$92,'0300'!A664,'Daftar Koreksi'!$G$5:$G$92,"Aset Tetap Lainnya",'Daftar Koreksi'!$I$5:$I$92,"&lt;0")</f>
        <v>0</v>
      </c>
      <c r="G680" s="17">
        <f t="shared" si="30"/>
        <v>0</v>
      </c>
      <c r="H680" s="122"/>
    </row>
    <row r="681" spans="1:8" ht="21.95" customHeight="1">
      <c r="A681" s="14"/>
      <c r="B681" s="14"/>
      <c r="C681" s="16" t="s">
        <v>2020</v>
      </c>
      <c r="D681" s="17">
        <f>VLOOKUP(A664,'Neraca Unaudited SIMAK'!$A$2:$S$10004,17,FALSE)</f>
        <v>-210234549</v>
      </c>
      <c r="E681" s="25">
        <f>SUMIFS('Daftar Koreksi'!$I$5:$I$92,'Daftar Koreksi'!$D$5:$D$92,'0300'!A664,'Daftar Koreksi'!$G$5:$G$92,"Aset Henti Guna",'Daftar Koreksi'!$I$5:$I$92,"&gt;0")</f>
        <v>0</v>
      </c>
      <c r="F681" s="25">
        <f>SUMIFS('Daftar Koreksi'!$I$5:$I$92,'Daftar Koreksi'!$D$5:$D$92,'0300'!A664,'Daftar Koreksi'!$G$5:$G$92,"Aset Henti Guna",'Daftar Koreksi'!$I$5:$I$92,"&lt;0")-SUMIFS('Daftar Koreksi'!$I$5:$I$92,'Daftar Koreksi'!$D$5:$D$92,'0300'!A664,'Daftar Koreksi'!$G$5:$G$92,"Aset Henti Guna",'Daftar Koreksi'!$I$5:$I$92,"&lt;0")-SUMIFS('Daftar Koreksi'!$I$5:$I$92,'Daftar Koreksi'!$D$5:$D$92,'0300'!A664,'Daftar Koreksi'!$G$5:$G$92,"Aset Henti Guna",'Daftar Koreksi'!$I$5:$I$92,"&lt;0")</f>
        <v>0</v>
      </c>
      <c r="G681" s="17">
        <f t="shared" si="30"/>
        <v>-210234549</v>
      </c>
      <c r="H681" s="122"/>
    </row>
    <row r="682" spans="1:8" ht="21.95" customHeight="1">
      <c r="A682" s="14"/>
      <c r="B682" s="14"/>
      <c r="C682" s="18" t="s">
        <v>2094</v>
      </c>
      <c r="D682" s="19">
        <f>SUM(D677:D681)</f>
        <v>-3520040115</v>
      </c>
      <c r="E682" s="19">
        <f>SUM(E677:E681)</f>
        <v>0</v>
      </c>
      <c r="F682" s="19">
        <f>SUM(F677:F681)</f>
        <v>0</v>
      </c>
      <c r="G682" s="19">
        <f t="shared" si="30"/>
        <v>-3520040115</v>
      </c>
      <c r="H682" s="122"/>
    </row>
    <row r="683" spans="1:8" ht="21.95" customHeight="1">
      <c r="A683" s="14"/>
      <c r="B683" s="14"/>
      <c r="C683" s="18" t="s">
        <v>2095</v>
      </c>
      <c r="D683" s="19">
        <f>VLOOKUP(A664,'Neraca Unaudited SIMAK'!$A$2:$S$10004,18,FALSE)</f>
        <v>10140880078</v>
      </c>
      <c r="E683" s="19">
        <f>E682+E676</f>
        <v>0</v>
      </c>
      <c r="F683" s="19">
        <f>F682+F676</f>
        <v>0</v>
      </c>
      <c r="G683" s="19">
        <f t="shared" si="30"/>
        <v>10140880078</v>
      </c>
      <c r="H683" s="122"/>
    </row>
    <row r="684" spans="1:8" ht="21.95" customHeight="1">
      <c r="A684" s="14"/>
      <c r="B684" s="14"/>
      <c r="C684" s="16" t="s">
        <v>2091</v>
      </c>
      <c r="D684" s="17">
        <f>VLOOKUP(A664,'Neraca Unaudited SIMAK'!$A$2:$S$10004,19,FALSE)</f>
        <v>0</v>
      </c>
      <c r="E684" s="25"/>
      <c r="F684" s="25"/>
      <c r="G684" s="17">
        <f t="shared" si="30"/>
        <v>0</v>
      </c>
      <c r="H684" s="123"/>
    </row>
    <row r="686" spans="1:8" ht="19.5" customHeight="1">
      <c r="A686" s="11" t="str">
        <f>O32</f>
        <v>005010300098022000KD</v>
      </c>
      <c r="B686" s="11" t="str">
        <f>P32</f>
        <v>PN. Banyumas</v>
      </c>
      <c r="C686" s="12" t="str">
        <f>A686&amp;" "&amp;B686</f>
        <v>005010300098022000KD PN. Banyumas</v>
      </c>
      <c r="D686" s="13"/>
      <c r="E686" s="13"/>
      <c r="F686" s="13"/>
      <c r="G686" s="13"/>
      <c r="H686" s="11"/>
    </row>
    <row r="687" spans="1:8" ht="21.95" customHeight="1">
      <c r="A687" s="14"/>
      <c r="B687" s="14"/>
      <c r="C687" s="124" t="s">
        <v>1982</v>
      </c>
      <c r="D687" s="126" t="s">
        <v>1983</v>
      </c>
      <c r="E687" s="132" t="s">
        <v>1984</v>
      </c>
      <c r="F687" s="132"/>
      <c r="G687" s="126" t="s">
        <v>1987</v>
      </c>
      <c r="H687" s="130" t="s">
        <v>1175</v>
      </c>
    </row>
    <row r="688" spans="1:8" ht="21.95" customHeight="1">
      <c r="A688" s="14"/>
      <c r="B688" s="14"/>
      <c r="C688" s="125"/>
      <c r="D688" s="127"/>
      <c r="E688" s="26" t="s">
        <v>1985</v>
      </c>
      <c r="F688" s="26" t="s">
        <v>1986</v>
      </c>
      <c r="G688" s="127"/>
      <c r="H688" s="131"/>
    </row>
    <row r="689" spans="1:8" ht="21.95" customHeight="1">
      <c r="A689" s="14"/>
      <c r="B689" s="14"/>
      <c r="C689" s="16" t="s">
        <v>1165</v>
      </c>
      <c r="D689" s="17">
        <f>VLOOKUP(A686,'Neraca Unaudited SIMAK'!$A$2:$S$10004,3,FALSE)</f>
        <v>3659195</v>
      </c>
      <c r="E689" s="25">
        <f>SUMIFS('Daftar Koreksi'!$H$5:$H$92,'Daftar Koreksi'!$D$5:$D$92,'0300'!A686,'Daftar Koreksi'!$G$5:$G$92,"Persediaan",'Daftar Koreksi'!$H$5:$H$92,"&gt;0")</f>
        <v>0</v>
      </c>
      <c r="F689" s="25">
        <f>SUMIFS('Daftar Koreksi'!$H$5:$H$92,'Daftar Koreksi'!$D$5:$D$92,'0300'!A686,'Daftar Koreksi'!$G$5:$G$92,"Persediaan",'Daftar Koreksi'!$H$5:$H$92,"&lt;0")-SUMIFS('Daftar Koreksi'!$H$5:$H$92,'Daftar Koreksi'!$D$5:$D$92,'0300'!A686,'Daftar Koreksi'!$G$5:$G$92,"Persediaan",'Daftar Koreksi'!$H$5:$H$92,"&lt;0")-SUMIFS('Daftar Koreksi'!$H$5:$H$92,'Daftar Koreksi'!$D$5:$D$92,'0300'!A686,'Daftar Koreksi'!$G$5:$G$92,"Persediaan",'Daftar Koreksi'!$H$5:$H$92,"&lt;0")</f>
        <v>0</v>
      </c>
      <c r="G689" s="17">
        <f>D689+E689-F689</f>
        <v>3659195</v>
      </c>
      <c r="H689" s="121" t="str">
        <f>IF(ISNA(VLOOKUP(A686,'Mutasi Neraca'!$A$3:$S$914,19,FALSE)),"-",VLOOKUP(A686,'Mutasi Neraca'!$A$3:$S$914,19,FALSE))</f>
        <v>-</v>
      </c>
    </row>
    <row r="690" spans="1:8" ht="21.95" customHeight="1">
      <c r="A690" s="14"/>
      <c r="B690" s="14"/>
      <c r="C690" s="16" t="s">
        <v>1166</v>
      </c>
      <c r="D690" s="17">
        <f>VLOOKUP(A686,'Neraca Unaudited SIMAK'!$A$2:$S$10004,4,FALSE)</f>
        <v>2664560000</v>
      </c>
      <c r="E690" s="25">
        <f>SUMIFS('Daftar Koreksi'!$H$5:$H$92,'Daftar Koreksi'!$D$5:$D$92,'0300'!A686,'Daftar Koreksi'!$G$5:$G$92,"Tanah",'Daftar Koreksi'!$H$5:$H$92,"&gt;0")</f>
        <v>0</v>
      </c>
      <c r="F690" s="25">
        <f>SUMIFS('Daftar Koreksi'!$H$5:$H$92,'Daftar Koreksi'!$D$5:$D$92,'0300'!A686,'Daftar Koreksi'!$G$5:$G$92,"Tanah",'Daftar Koreksi'!$H$5:$H$92,"&lt;0")-SUMIFS('Daftar Koreksi'!$H$5:$H$92,'Daftar Koreksi'!$D$5:$D$92,'0300'!A686,'Daftar Koreksi'!$G$5:$G$92,"Tanah",'Daftar Koreksi'!$H$5:$H$92,"&lt;0")-SUMIFS('Daftar Koreksi'!$H$5:$H$92,'Daftar Koreksi'!$D$5:$D$92,'0300'!A686,'Daftar Koreksi'!$G$5:$G$92,"Tanah",'Daftar Koreksi'!$H$5:$H$92,"&lt;0")</f>
        <v>0</v>
      </c>
      <c r="G690" s="17">
        <f t="shared" ref="G690:G706" si="31">D690+E690-F690</f>
        <v>2664560000</v>
      </c>
      <c r="H690" s="122"/>
    </row>
    <row r="691" spans="1:8" ht="21.95" customHeight="1">
      <c r="A691" s="14"/>
      <c r="B691" s="14"/>
      <c r="C691" s="16" t="s">
        <v>1167</v>
      </c>
      <c r="D691" s="17">
        <f>VLOOKUP(A686,'Neraca Unaudited SIMAK'!$A$2:$S$10004,5,FALSE)</f>
        <v>1686494312</v>
      </c>
      <c r="E691" s="25">
        <f>SUMIFS('Daftar Koreksi'!$H$5:$H$92,'Daftar Koreksi'!$D$5:$D$92,'0300'!A686,'Daftar Koreksi'!$G$5:$G$92,"Peralatan dan mesin",'Daftar Koreksi'!$H$5:$H$92,"&gt;0")</f>
        <v>0</v>
      </c>
      <c r="F691" s="25">
        <f>SUMIFS('Daftar Koreksi'!$H$5:$H$92,'Daftar Koreksi'!$D$5:$D$92,'0300'!A686,'Daftar Koreksi'!$G$5:$G$92,"Peralatan dan mesin",'Daftar Koreksi'!$H$5:$H$92,"&lt;0")-SUMIFS('Daftar Koreksi'!$H$5:$H$92,'Daftar Koreksi'!$D$5:$D$92,'0300'!A686,'Daftar Koreksi'!$G$5:$G$92,"Peralatan dan mesin",'Daftar Koreksi'!$H$5:$H$92,"&lt;0")-SUMIFS('Daftar Koreksi'!$H$5:$H$92,'Daftar Koreksi'!$D$5:$D$92,'0300'!A686,'Daftar Koreksi'!$G$5:$G$92,"Peralatan dan mesin",'Daftar Koreksi'!$H$5:$H$92,"&lt;0")</f>
        <v>0</v>
      </c>
      <c r="G691" s="17">
        <f t="shared" si="31"/>
        <v>1686494312</v>
      </c>
      <c r="H691" s="122"/>
    </row>
    <row r="692" spans="1:8" ht="21.95" customHeight="1">
      <c r="A692" s="14"/>
      <c r="B692" s="14"/>
      <c r="C692" s="16" t="s">
        <v>1168</v>
      </c>
      <c r="D692" s="17">
        <f>VLOOKUP(A686,'Neraca Unaudited SIMAK'!$A$2:$S$10004,6,FALSE)</f>
        <v>3703645000</v>
      </c>
      <c r="E692" s="25">
        <f>SUMIFS('Daftar Koreksi'!$H$5:$H$92,'Daftar Koreksi'!$D$5:$D$92,'0300'!A686,'Daftar Koreksi'!$G$5:$G$92,"Gedung dan Bangunan",'Daftar Koreksi'!$H$5:$H$92,"&gt;0")</f>
        <v>0</v>
      </c>
      <c r="F692" s="25">
        <f>SUMIFS('Daftar Koreksi'!$H$5:$H$92,'Daftar Koreksi'!$D$5:$D$92,'0300'!A686,'Daftar Koreksi'!$G$5:$G$92,"Gedung dan Bangunan",'Daftar Koreksi'!$H$5:$H$92,"&lt;0")-SUMIFS('Daftar Koreksi'!$H$5:$H$92,'Daftar Koreksi'!$D$5:$D$92,'0300'!A686,'Daftar Koreksi'!$G$5:$G$92,"Gedung dan Bangunan",'Daftar Koreksi'!$H$5:$H$92,"&lt;0")-SUMIFS('Daftar Koreksi'!$H$5:$H$92,'Daftar Koreksi'!$D$5:$D$92,'0300'!A686,'Daftar Koreksi'!$G$5:$G$92,"Gedung dan Bangunan",'Daftar Koreksi'!$H$5:$H$92,"&lt;0")</f>
        <v>0</v>
      </c>
      <c r="G692" s="17">
        <f t="shared" si="31"/>
        <v>3703645000</v>
      </c>
      <c r="H692" s="122"/>
    </row>
    <row r="693" spans="1:8" ht="21.95" customHeight="1">
      <c r="A693" s="14"/>
      <c r="B693" s="14"/>
      <c r="C693" s="16" t="s">
        <v>1169</v>
      </c>
      <c r="D693" s="17">
        <f>VLOOKUP(A686,'Neraca Unaudited SIMAK'!$A$2:$S$10004,7,FALSE)</f>
        <v>56950000</v>
      </c>
      <c r="E693" s="25">
        <f>SUMIFS('Daftar Koreksi'!$H$5:$H$92,'Daftar Koreksi'!$D$5:$D$92,'0300'!A686,'Daftar Koreksi'!$G$5:$G$92,"Jalan Irigasi Jaringan",'Daftar Koreksi'!$H$5:$H$92,"&gt;0")</f>
        <v>0</v>
      </c>
      <c r="F693" s="25">
        <f>SUMIFS('Daftar Koreksi'!$H$5:$H$92,'Daftar Koreksi'!$D$5:$D$92,'0300'!A686,'Daftar Koreksi'!$G$5:$G$92,"Jalan Irigasi Jaringan",'Daftar Koreksi'!$H$5:$H$92,"&lt;0")-SUMIFS('Daftar Koreksi'!$H$5:$H$92,'Daftar Koreksi'!$D$5:$D$92,'0300'!A686,'Daftar Koreksi'!$G$5:$G$92,"Jalan Irigasi Jaringan",'Daftar Koreksi'!$H$5:$H$92,"&lt;0")-SUMIFS('Daftar Koreksi'!$H$5:$H$92,'Daftar Koreksi'!$D$5:$D$92,'0300'!A686,'Daftar Koreksi'!$G$5:$G$92,"Jalan Irigasi Jaringan",'Daftar Koreksi'!$H$5:$H$92,"&lt;0")</f>
        <v>0</v>
      </c>
      <c r="G693" s="17">
        <f t="shared" si="31"/>
        <v>56950000</v>
      </c>
      <c r="H693" s="122"/>
    </row>
    <row r="694" spans="1:8" ht="21.95" customHeight="1">
      <c r="A694" s="14"/>
      <c r="B694" s="14"/>
      <c r="C694" s="16" t="s">
        <v>1170</v>
      </c>
      <c r="D694" s="17">
        <f>VLOOKUP(A686,'Neraca Unaudited SIMAK'!$A$2:$S$10004,8,FALSE)</f>
        <v>9593742</v>
      </c>
      <c r="E694" s="25">
        <f>SUMIFS('Daftar Koreksi'!$H$5:$H$92,'Daftar Koreksi'!$D$5:$D$92,'0300'!A686,'Daftar Koreksi'!$G$5:$G$92,"Aset Tetap Lainnya",'Daftar Koreksi'!$H$5:$H$92,"&gt;0")</f>
        <v>0</v>
      </c>
      <c r="F694" s="25">
        <f>SUMIFS('Daftar Koreksi'!$H$5:$H$92,'Daftar Koreksi'!$D$5:$D$92,'0300'!A686,'Daftar Koreksi'!$G$5:$G$92,"Aset Tetap Lainnya",'Daftar Koreksi'!$H$5:$H$92,"&lt;0")-SUMIFS('Daftar Koreksi'!$H$5:$H$92,'Daftar Koreksi'!$D$5:$D$92,'0300'!A686,'Daftar Koreksi'!$G$5:$G$92,"Aset Tetap Lainnya",'Daftar Koreksi'!$H$5:$H$92,"&lt;0")-SUMIFS('Daftar Koreksi'!$H$5:$H$92,'Daftar Koreksi'!$D$5:$D$92,'0300'!A686,'Daftar Koreksi'!$G$5:$G$92,"Aset Tetap Lainnya",'Daftar Koreksi'!$H$5:$H$92,"&lt;0")</f>
        <v>0</v>
      </c>
      <c r="G694" s="17">
        <f t="shared" si="31"/>
        <v>9593742</v>
      </c>
      <c r="H694" s="122"/>
    </row>
    <row r="695" spans="1:8" ht="21.95" customHeight="1">
      <c r="A695" s="14"/>
      <c r="B695" s="14"/>
      <c r="C695" s="16" t="s">
        <v>1171</v>
      </c>
      <c r="D695" s="17">
        <f>VLOOKUP(A686,'Neraca Unaudited SIMAK'!$A$2:$S$10004,9,FALSE)</f>
        <v>0</v>
      </c>
      <c r="E695" s="25">
        <f>SUMIFS('Daftar Koreksi'!$H$5:$H$92,'Daftar Koreksi'!$D$5:$D$92,'0300'!A686,'Daftar Koreksi'!$G$5:$G$92,"Kontruksi Dalam Pengerjaan",'Daftar Koreksi'!$H$5:$H$92,"&gt;0")</f>
        <v>0</v>
      </c>
      <c r="F695" s="25">
        <f>SUMIFS('Daftar Koreksi'!$H$5:$H$92,'Daftar Koreksi'!$D$5:$D$92,'0300'!A686,'Daftar Koreksi'!$G$5:$G$92,"Kontruksi Dalam Pengerjaan",'Daftar Koreksi'!$H$5:$H$92,"&lt;0")-SUMIFS('Daftar Koreksi'!$H$5:$H$92,'Daftar Koreksi'!$D$5:$D$92,'0300'!A686,'Daftar Koreksi'!$G$5:$G$92,"Kontruksi Dalam Pengerjaan",'Daftar Koreksi'!$H$5:$H$92,"&lt;0")-SUMIFS('Daftar Koreksi'!$H$5:$H$92,'Daftar Koreksi'!$D$5:$D$92,'0300'!A686,'Daftar Koreksi'!$G$5:$G$92,"Kontruksi Dalam Pengerjaan",'Daftar Koreksi'!$H$5:$H$92,"&lt;0")</f>
        <v>0</v>
      </c>
      <c r="G695" s="17">
        <f t="shared" si="31"/>
        <v>0</v>
      </c>
      <c r="H695" s="122"/>
    </row>
    <row r="696" spans="1:8" ht="21.95" customHeight="1">
      <c r="A696" s="14"/>
      <c r="B696" s="14"/>
      <c r="C696" s="16" t="s">
        <v>1172</v>
      </c>
      <c r="D696" s="17">
        <f>VLOOKUP(A686,'Neraca Unaudited SIMAK'!$A$2:$S$10004,10,FALSE)</f>
        <v>0</v>
      </c>
      <c r="E696" s="25">
        <f>SUMIFS('Daftar Koreksi'!$H$5:$H$92,'Daftar Koreksi'!$D$5:$D$92,'0300'!A686,'Daftar Koreksi'!$G$5:$G$92,"Aset Tak Berwujud",'Daftar Koreksi'!$H$5:$H$92,"&gt;0")</f>
        <v>0</v>
      </c>
      <c r="F696" s="25">
        <f>SUMIFS('Daftar Koreksi'!$H$5:$H$92,'Daftar Koreksi'!$D$5:$D$92,'0300'!A686,'Daftar Koreksi'!$G$5:$G$92,"Aset Tak Berwujud",'Daftar Koreksi'!$H$5:$H$92,"&lt;0")-SUMIFS('Daftar Koreksi'!$H$5:$H$92,'Daftar Koreksi'!$D$5:$D$92,'0300'!A686,'Daftar Koreksi'!$G$5:$G$92,"Aset Tak Berwujud",'Daftar Koreksi'!$H$5:$H$92,"&lt;0")-SUMIFS('Daftar Koreksi'!$H$5:$H$92,'Daftar Koreksi'!$D$5:$D$92,'0300'!A686,'Daftar Koreksi'!$G$5:$G$92,"Aset Tak Berwujud",'Daftar Koreksi'!$H$5:$H$92,"&lt;0")</f>
        <v>0</v>
      </c>
      <c r="G696" s="17">
        <f t="shared" si="31"/>
        <v>0</v>
      </c>
      <c r="H696" s="122"/>
    </row>
    <row r="697" spans="1:8" ht="21.95" customHeight="1">
      <c r="A697" s="14"/>
      <c r="B697" s="14"/>
      <c r="C697" s="16" t="s">
        <v>1173</v>
      </c>
      <c r="D697" s="17">
        <f>VLOOKUP(A686,'Neraca Unaudited SIMAK'!$A$2:$S$10004,11,FALSE)</f>
        <v>113710886</v>
      </c>
      <c r="E697" s="25">
        <f>SUMIFS('Daftar Koreksi'!$H$5:$H$92,'Daftar Koreksi'!$D$5:$D$92,'0300'!A686,'Daftar Koreksi'!$G$5:$G$92,"Aset Henti Guna",'Daftar Koreksi'!$H$5:$H$92,"&gt;0")</f>
        <v>0</v>
      </c>
      <c r="F697" s="25">
        <f>SUMIFS('Daftar Koreksi'!$H$5:$H$92,'Daftar Koreksi'!$D$5:$D$92,'0300'!A686,'Daftar Koreksi'!$G$5:$G$92,"Aset Henti Guna",'Daftar Koreksi'!$H$5:$H$92,"&lt;0")-SUMIFS('Daftar Koreksi'!$H$5:$H$92,'Daftar Koreksi'!$D$5:$D$92,'0300'!A686,'Daftar Koreksi'!$G$5:$G$92,"Aset Henti Guna",'Daftar Koreksi'!$H$5:$H$92,"&lt;0")-SUMIFS('Daftar Koreksi'!$H$5:$H$92,'Daftar Koreksi'!$D$5:$D$92,'0300'!A686,'Daftar Koreksi'!$G$5:$G$92,"Aset Henti Guna",'Daftar Koreksi'!$H$5:$H$92,"&lt;0")</f>
        <v>0</v>
      </c>
      <c r="G697" s="17">
        <f t="shared" si="31"/>
        <v>113710886</v>
      </c>
      <c r="H697" s="122"/>
    </row>
    <row r="698" spans="1:8" ht="21.95" customHeight="1">
      <c r="A698" s="14"/>
      <c r="B698" s="14"/>
      <c r="C698" s="18" t="s">
        <v>2093</v>
      </c>
      <c r="D698" s="19">
        <f>VLOOKUP(A686,'Neraca Unaudited SIMAK'!$A$2:$S$10004,12,FALSE)</f>
        <v>8238613135</v>
      </c>
      <c r="E698" s="19">
        <f>SUM(E689:E697)</f>
        <v>0</v>
      </c>
      <c r="F698" s="19">
        <f>SUM(F689:F697)</f>
        <v>0</v>
      </c>
      <c r="G698" s="19">
        <f t="shared" si="31"/>
        <v>8238613135</v>
      </c>
      <c r="H698" s="122"/>
    </row>
    <row r="699" spans="1:8" ht="21.95" customHeight="1">
      <c r="A699" s="14"/>
      <c r="B699" s="14"/>
      <c r="C699" s="16" t="s">
        <v>2087</v>
      </c>
      <c r="D699" s="17">
        <f>VLOOKUP(A686,'Neraca Unaudited SIMAK'!$A$2:$S$10004,13,FALSE)</f>
        <v>-1419349498</v>
      </c>
      <c r="E699" s="25">
        <f>SUMIFS('Daftar Koreksi'!$I$5:$I$92,'Daftar Koreksi'!$D$5:$D$92,'0300'!A686,'Daftar Koreksi'!$G$5:$G$92,"Peralatan dan mesin",'Daftar Koreksi'!$I$5:$I$92,"&gt;0")</f>
        <v>0</v>
      </c>
      <c r="F699" s="25">
        <f>SUMIFS('Daftar Koreksi'!$I$5:$I$92,'Daftar Koreksi'!$D$5:$D$92,'0300'!A686,'Daftar Koreksi'!$G$5:$G$92,"Peralatan dan mesin",'Daftar Koreksi'!$I$5:$I$92,"&lt;0")-SUMIFS('Daftar Koreksi'!$I$5:$I$92,'Daftar Koreksi'!$D$5:$D$92,'0300'!A686,'Daftar Koreksi'!$G$5:$G$92,"Peralatan dan mesin",'Daftar Koreksi'!$I$5:$I$92,"&lt;0")-SUMIFS('Daftar Koreksi'!$I$5:$I$92,'Daftar Koreksi'!$D$5:$D$92,'0300'!A686,'Daftar Koreksi'!$G$5:$G$92,"Peralatan dan mesin",'Daftar Koreksi'!$I$5:$I$92,"&lt;0")</f>
        <v>0</v>
      </c>
      <c r="G699" s="17">
        <f t="shared" si="31"/>
        <v>-1419349498</v>
      </c>
      <c r="H699" s="122"/>
    </row>
    <row r="700" spans="1:8" ht="21.95" customHeight="1">
      <c r="A700" s="14"/>
      <c r="B700" s="14"/>
      <c r="C700" s="16" t="s">
        <v>2088</v>
      </c>
      <c r="D700" s="17">
        <f>VLOOKUP(A686,'Neraca Unaudited SIMAK'!$A$2:$S$10004,14,FALSE)</f>
        <v>-1586999378</v>
      </c>
      <c r="E700" s="25">
        <f>SUMIFS('Daftar Koreksi'!$I$5:$I$92,'Daftar Koreksi'!$D$5:$D$92,'0300'!A686,'Daftar Koreksi'!$G$5:$G$92,"Gedung dan Bangunan",'Daftar Koreksi'!$I$5:$I$92,"&gt;0")</f>
        <v>0</v>
      </c>
      <c r="F700" s="25">
        <f>SUMIFS('Daftar Koreksi'!$I$5:$I$92,'Daftar Koreksi'!$D$5:$D$92,'0300'!A686,'Daftar Koreksi'!$G$5:$G$92,"Gedung dan Bangunan",'Daftar Koreksi'!$I$5:$I$92,"&lt;0")-SUMIFS('Daftar Koreksi'!$I$5:$I$92,'Daftar Koreksi'!$D$5:$D$92,'0300'!A686,'Daftar Koreksi'!$G$5:$G$92,"Gedung dan Bangunan",'Daftar Koreksi'!$I$5:$I$92,"&lt;0")-SUMIFS('Daftar Koreksi'!$I$5:$I$92,'Daftar Koreksi'!$D$5:$D$92,'0300'!A686,'Daftar Koreksi'!$G$5:$G$92,"Gedung dan Bangunan",'Daftar Koreksi'!$I$5:$I$92,"&lt;0")</f>
        <v>0</v>
      </c>
      <c r="G700" s="17">
        <f t="shared" si="31"/>
        <v>-1586999378</v>
      </c>
      <c r="H700" s="122"/>
    </row>
    <row r="701" spans="1:8" ht="21.95" customHeight="1">
      <c r="A701" s="14"/>
      <c r="B701" s="14"/>
      <c r="C701" s="16" t="s">
        <v>2089</v>
      </c>
      <c r="D701" s="17">
        <f>VLOOKUP(A686,'Neraca Unaudited SIMAK'!$A$2:$S$10004,15,FALSE)</f>
        <v>-9834169</v>
      </c>
      <c r="E701" s="25">
        <f>SUMIFS('Daftar Koreksi'!$I$5:$I$92,'Daftar Koreksi'!$D$5:$D$92,'0300'!A686,'Daftar Koreksi'!$G$5:$G$92,"Jalan Irigasi Jaringan",'Daftar Koreksi'!$I$5:$I$92,"&gt;0")</f>
        <v>0</v>
      </c>
      <c r="F701" s="25">
        <f>SUMIFS('Daftar Koreksi'!$I$5:$I$92,'Daftar Koreksi'!$D$5:$D$92,'0300'!A686,'Daftar Koreksi'!$G$5:$G$92,"Jalan Irigasi Jaringan",'Daftar Koreksi'!$I$5:$I$92,"&lt;0")-SUMIFS('Daftar Koreksi'!$I$5:$I$92,'Daftar Koreksi'!$D$5:$D$92,'0300'!A686,'Daftar Koreksi'!$G$5:$G$92,"Jalan Irigasi Jaringan",'Daftar Koreksi'!$I$5:$I$92,"&lt;0")-SUMIFS('Daftar Koreksi'!$I$5:$I$92,'Daftar Koreksi'!$D$5:$D$92,'0300'!A686,'Daftar Koreksi'!$G$5:$G$92,"Jalan Irigasi Jaringan",'Daftar Koreksi'!$I$5:$I$92,"&lt;0")</f>
        <v>0</v>
      </c>
      <c r="G701" s="17">
        <f t="shared" si="31"/>
        <v>-9834169</v>
      </c>
      <c r="H701" s="122"/>
    </row>
    <row r="702" spans="1:8" ht="21.95" customHeight="1">
      <c r="A702" s="14"/>
      <c r="B702" s="14"/>
      <c r="C702" s="16" t="s">
        <v>2090</v>
      </c>
      <c r="D702" s="17">
        <f>VLOOKUP(A686,'Neraca Unaudited SIMAK'!$A$2:$S$10004,16,FALSE)</f>
        <v>0</v>
      </c>
      <c r="E702" s="25">
        <f>SUMIFS('Daftar Koreksi'!$I$5:$I$92,'Daftar Koreksi'!$D$5:$D$92,'0300'!A686,'Daftar Koreksi'!$G$5:$G$92,"Aset Tetap Lainnya",'Daftar Koreksi'!$I$5:$I$92,"&gt;0")</f>
        <v>0</v>
      </c>
      <c r="F702" s="25">
        <f>SUMIFS('Daftar Koreksi'!$I$5:$I$92,'Daftar Koreksi'!$D$5:$D$92,'0300'!A686,'Daftar Koreksi'!$G$5:$G$92,"Aset Tetap Lainnya",'Daftar Koreksi'!$I$5:$I$92,"&lt;0")-SUMIFS('Daftar Koreksi'!$I$5:$I$92,'Daftar Koreksi'!$D$5:$D$92,'0300'!A686,'Daftar Koreksi'!$G$5:$G$92,"Aset Tetap Lainnya",'Daftar Koreksi'!$I$5:$I$92,"&lt;0")-SUMIFS('Daftar Koreksi'!$I$5:$I$92,'Daftar Koreksi'!$D$5:$D$92,'0300'!A686,'Daftar Koreksi'!$G$5:$G$92,"Aset Tetap Lainnya",'Daftar Koreksi'!$I$5:$I$92,"&lt;0")</f>
        <v>0</v>
      </c>
      <c r="G702" s="17">
        <f t="shared" si="31"/>
        <v>0</v>
      </c>
      <c r="H702" s="122"/>
    </row>
    <row r="703" spans="1:8" ht="21.95" customHeight="1">
      <c r="A703" s="14"/>
      <c r="B703" s="14"/>
      <c r="C703" s="16" t="s">
        <v>2020</v>
      </c>
      <c r="D703" s="17">
        <f>VLOOKUP(A686,'Neraca Unaudited SIMAK'!$A$2:$S$10004,17,FALSE)</f>
        <v>-110849966</v>
      </c>
      <c r="E703" s="25">
        <f>SUMIFS('Daftar Koreksi'!$I$5:$I$92,'Daftar Koreksi'!$D$5:$D$92,'0300'!A686,'Daftar Koreksi'!$G$5:$G$92,"Aset Henti Guna",'Daftar Koreksi'!$I$5:$I$92,"&gt;0")</f>
        <v>0</v>
      </c>
      <c r="F703" s="25">
        <f>SUMIFS('Daftar Koreksi'!$I$5:$I$92,'Daftar Koreksi'!$D$5:$D$92,'0300'!A686,'Daftar Koreksi'!$G$5:$G$92,"Aset Henti Guna",'Daftar Koreksi'!$I$5:$I$92,"&lt;0")-SUMIFS('Daftar Koreksi'!$I$5:$I$92,'Daftar Koreksi'!$D$5:$D$92,'0300'!A686,'Daftar Koreksi'!$G$5:$G$92,"Aset Henti Guna",'Daftar Koreksi'!$I$5:$I$92,"&lt;0")-SUMIFS('Daftar Koreksi'!$I$5:$I$92,'Daftar Koreksi'!$D$5:$D$92,'0300'!A686,'Daftar Koreksi'!$G$5:$G$92,"Aset Henti Guna",'Daftar Koreksi'!$I$5:$I$92,"&lt;0")</f>
        <v>0</v>
      </c>
      <c r="G703" s="17">
        <f t="shared" si="31"/>
        <v>-110849966</v>
      </c>
      <c r="H703" s="122"/>
    </row>
    <row r="704" spans="1:8" ht="21.95" customHeight="1">
      <c r="A704" s="14"/>
      <c r="B704" s="14"/>
      <c r="C704" s="18" t="s">
        <v>2094</v>
      </c>
      <c r="D704" s="19">
        <f>SUM(D699:D703)</f>
        <v>-3127033011</v>
      </c>
      <c r="E704" s="19">
        <f>SUM(E699:E703)</f>
        <v>0</v>
      </c>
      <c r="F704" s="19">
        <f>SUM(F699:F703)</f>
        <v>0</v>
      </c>
      <c r="G704" s="19">
        <f t="shared" si="31"/>
        <v>-3127033011</v>
      </c>
      <c r="H704" s="122"/>
    </row>
    <row r="705" spans="1:8" ht="21.95" customHeight="1">
      <c r="A705" s="14"/>
      <c r="B705" s="14"/>
      <c r="C705" s="18" t="s">
        <v>2095</v>
      </c>
      <c r="D705" s="19">
        <f>VLOOKUP(A686,'Neraca Unaudited SIMAK'!$A$2:$S$10004,18,FALSE)</f>
        <v>5111580124</v>
      </c>
      <c r="E705" s="19">
        <f>E704+E698</f>
        <v>0</v>
      </c>
      <c r="F705" s="19">
        <f>F704+F698</f>
        <v>0</v>
      </c>
      <c r="G705" s="19">
        <f t="shared" si="31"/>
        <v>5111580124</v>
      </c>
      <c r="H705" s="122"/>
    </row>
    <row r="706" spans="1:8" ht="21.95" customHeight="1">
      <c r="A706" s="14"/>
      <c r="B706" s="14"/>
      <c r="C706" s="16" t="s">
        <v>2091</v>
      </c>
      <c r="D706" s="17">
        <f>VLOOKUP(A686,'Neraca Unaudited SIMAK'!$A$2:$S$10004,19,FALSE)</f>
        <v>0</v>
      </c>
      <c r="E706" s="25"/>
      <c r="F706" s="25"/>
      <c r="G706" s="17">
        <f t="shared" si="31"/>
        <v>0</v>
      </c>
      <c r="H706" s="123"/>
    </row>
    <row r="708" spans="1:8" ht="19.5" customHeight="1">
      <c r="A708" s="11" t="str">
        <f>O33</f>
        <v>005010300098036000KD</v>
      </c>
      <c r="B708" s="11" t="str">
        <f>P33</f>
        <v>PN. Purbalingga</v>
      </c>
      <c r="C708" s="12" t="str">
        <f>A708&amp;" "&amp;B708</f>
        <v>005010300098036000KD PN. Purbalingga</v>
      </c>
      <c r="D708" s="13"/>
      <c r="E708" s="13"/>
      <c r="F708" s="13"/>
      <c r="G708" s="13"/>
      <c r="H708" s="11"/>
    </row>
    <row r="709" spans="1:8" ht="21.95" customHeight="1">
      <c r="A709" s="14"/>
      <c r="B709" s="14"/>
      <c r="C709" s="124" t="s">
        <v>1982</v>
      </c>
      <c r="D709" s="126" t="s">
        <v>1983</v>
      </c>
      <c r="E709" s="132" t="s">
        <v>1984</v>
      </c>
      <c r="F709" s="132"/>
      <c r="G709" s="126" t="s">
        <v>1987</v>
      </c>
      <c r="H709" s="130" t="s">
        <v>1175</v>
      </c>
    </row>
    <row r="710" spans="1:8" ht="21.95" customHeight="1">
      <c r="A710" s="14"/>
      <c r="B710" s="14"/>
      <c r="C710" s="125"/>
      <c r="D710" s="127"/>
      <c r="E710" s="26" t="s">
        <v>1985</v>
      </c>
      <c r="F710" s="26" t="s">
        <v>1986</v>
      </c>
      <c r="G710" s="127"/>
      <c r="H710" s="131"/>
    </row>
    <row r="711" spans="1:8" ht="21.95" customHeight="1">
      <c r="A711" s="14"/>
      <c r="B711" s="14"/>
      <c r="C711" s="16" t="s">
        <v>1165</v>
      </c>
      <c r="D711" s="17">
        <f>VLOOKUP(A708,'Neraca Unaudited SIMAK'!$A$2:$S$10004,3,FALSE)</f>
        <v>360500</v>
      </c>
      <c r="E711" s="25">
        <f>SUMIFS('Daftar Koreksi'!$H$5:$H$92,'Daftar Koreksi'!$D$5:$D$92,'0300'!A708,'Daftar Koreksi'!$G$5:$G$92,"Persediaan",'Daftar Koreksi'!$H$5:$H$92,"&gt;0")</f>
        <v>0</v>
      </c>
      <c r="F711" s="25">
        <f>SUMIFS('Daftar Koreksi'!$H$5:$H$92,'Daftar Koreksi'!$D$5:$D$92,'0300'!A708,'Daftar Koreksi'!$G$5:$G$92,"Persediaan",'Daftar Koreksi'!$H$5:$H$92,"&lt;0")-SUMIFS('Daftar Koreksi'!$H$5:$H$92,'Daftar Koreksi'!$D$5:$D$92,'0300'!A708,'Daftar Koreksi'!$G$5:$G$92,"Persediaan",'Daftar Koreksi'!$H$5:$H$92,"&lt;0")-SUMIFS('Daftar Koreksi'!$H$5:$H$92,'Daftar Koreksi'!$D$5:$D$92,'0300'!A708,'Daftar Koreksi'!$G$5:$G$92,"Persediaan",'Daftar Koreksi'!$H$5:$H$92,"&lt;0")</f>
        <v>0</v>
      </c>
      <c r="G711" s="17">
        <f>D711+E711-F711</f>
        <v>360500</v>
      </c>
      <c r="H711" s="121" t="str">
        <f>IF(ISNA(VLOOKUP(A708,'Mutasi Neraca'!$A$3:$S$914,19,FALSE)),"-",VLOOKUP(A708,'Mutasi Neraca'!$A$3:$S$914,19,FALSE))</f>
        <v>-</v>
      </c>
    </row>
    <row r="712" spans="1:8" ht="21.95" customHeight="1">
      <c r="A712" s="14"/>
      <c r="B712" s="14"/>
      <c r="C712" s="16" t="s">
        <v>1166</v>
      </c>
      <c r="D712" s="17">
        <f>VLOOKUP(A708,'Neraca Unaudited SIMAK'!$A$2:$S$10004,4,FALSE)</f>
        <v>1771563000</v>
      </c>
      <c r="E712" s="25">
        <f>SUMIFS('Daftar Koreksi'!$H$5:$H$92,'Daftar Koreksi'!$D$5:$D$92,'0300'!A708,'Daftar Koreksi'!$G$5:$G$92,"Tanah",'Daftar Koreksi'!$H$5:$H$92,"&gt;0")</f>
        <v>0</v>
      </c>
      <c r="F712" s="25">
        <f>SUMIFS('Daftar Koreksi'!$H$5:$H$92,'Daftar Koreksi'!$D$5:$D$92,'0300'!A708,'Daftar Koreksi'!$G$5:$G$92,"Tanah",'Daftar Koreksi'!$H$5:$H$92,"&lt;0")-SUMIFS('Daftar Koreksi'!$H$5:$H$92,'Daftar Koreksi'!$D$5:$D$92,'0300'!A708,'Daftar Koreksi'!$G$5:$G$92,"Tanah",'Daftar Koreksi'!$H$5:$H$92,"&lt;0")-SUMIFS('Daftar Koreksi'!$H$5:$H$92,'Daftar Koreksi'!$D$5:$D$92,'0300'!A708,'Daftar Koreksi'!$G$5:$G$92,"Tanah",'Daftar Koreksi'!$H$5:$H$92,"&lt;0")</f>
        <v>0</v>
      </c>
      <c r="G712" s="17">
        <f t="shared" ref="G712:G728" si="32">D712+E712-F712</f>
        <v>1771563000</v>
      </c>
      <c r="H712" s="122"/>
    </row>
    <row r="713" spans="1:8" ht="21.95" customHeight="1">
      <c r="A713" s="14"/>
      <c r="B713" s="14"/>
      <c r="C713" s="16" t="s">
        <v>1167</v>
      </c>
      <c r="D713" s="17">
        <f>VLOOKUP(A708,'Neraca Unaudited SIMAK'!$A$2:$S$10004,5,FALSE)</f>
        <v>1662444217</v>
      </c>
      <c r="E713" s="25">
        <f>SUMIFS('Daftar Koreksi'!$H$5:$H$92,'Daftar Koreksi'!$D$5:$D$92,'0300'!A708,'Daftar Koreksi'!$G$5:$G$92,"Peralatan dan mesin",'Daftar Koreksi'!$H$5:$H$92,"&gt;0")</f>
        <v>0</v>
      </c>
      <c r="F713" s="25">
        <f>SUMIFS('Daftar Koreksi'!$H$5:$H$92,'Daftar Koreksi'!$D$5:$D$92,'0300'!A708,'Daftar Koreksi'!$G$5:$G$92,"Peralatan dan mesin",'Daftar Koreksi'!$H$5:$H$92,"&lt;0")-SUMIFS('Daftar Koreksi'!$H$5:$H$92,'Daftar Koreksi'!$D$5:$D$92,'0300'!A708,'Daftar Koreksi'!$G$5:$G$92,"Peralatan dan mesin",'Daftar Koreksi'!$H$5:$H$92,"&lt;0")-SUMIFS('Daftar Koreksi'!$H$5:$H$92,'Daftar Koreksi'!$D$5:$D$92,'0300'!A708,'Daftar Koreksi'!$G$5:$G$92,"Peralatan dan mesin",'Daftar Koreksi'!$H$5:$H$92,"&lt;0")</f>
        <v>0</v>
      </c>
      <c r="G713" s="17">
        <f t="shared" si="32"/>
        <v>1662444217</v>
      </c>
      <c r="H713" s="122"/>
    </row>
    <row r="714" spans="1:8" ht="21.95" customHeight="1">
      <c r="A714" s="14"/>
      <c r="B714" s="14"/>
      <c r="C714" s="16" t="s">
        <v>1168</v>
      </c>
      <c r="D714" s="17">
        <f>VLOOKUP(A708,'Neraca Unaudited SIMAK'!$A$2:$S$10004,6,FALSE)</f>
        <v>3482269000</v>
      </c>
      <c r="E714" s="25">
        <f>SUMIFS('Daftar Koreksi'!$H$5:$H$92,'Daftar Koreksi'!$D$5:$D$92,'0300'!A708,'Daftar Koreksi'!$G$5:$G$92,"Gedung dan Bangunan",'Daftar Koreksi'!$H$5:$H$92,"&gt;0")</f>
        <v>0</v>
      </c>
      <c r="F714" s="25">
        <f>SUMIFS('Daftar Koreksi'!$H$5:$H$92,'Daftar Koreksi'!$D$5:$D$92,'0300'!A708,'Daftar Koreksi'!$G$5:$G$92,"Gedung dan Bangunan",'Daftar Koreksi'!$H$5:$H$92,"&lt;0")-SUMIFS('Daftar Koreksi'!$H$5:$H$92,'Daftar Koreksi'!$D$5:$D$92,'0300'!A708,'Daftar Koreksi'!$G$5:$G$92,"Gedung dan Bangunan",'Daftar Koreksi'!$H$5:$H$92,"&lt;0")-SUMIFS('Daftar Koreksi'!$H$5:$H$92,'Daftar Koreksi'!$D$5:$D$92,'0300'!A708,'Daftar Koreksi'!$G$5:$G$92,"Gedung dan Bangunan",'Daftar Koreksi'!$H$5:$H$92,"&lt;0")</f>
        <v>0</v>
      </c>
      <c r="G714" s="17">
        <f t="shared" si="32"/>
        <v>3482269000</v>
      </c>
      <c r="H714" s="122"/>
    </row>
    <row r="715" spans="1:8" ht="21.95" customHeight="1">
      <c r="A715" s="14"/>
      <c r="B715" s="14"/>
      <c r="C715" s="16" t="s">
        <v>1169</v>
      </c>
      <c r="D715" s="17">
        <f>VLOOKUP(A708,'Neraca Unaudited SIMAK'!$A$2:$S$10004,7,FALSE)</f>
        <v>216630000</v>
      </c>
      <c r="E715" s="25">
        <f>SUMIFS('Daftar Koreksi'!$H$5:$H$92,'Daftar Koreksi'!$D$5:$D$92,'0300'!A708,'Daftar Koreksi'!$G$5:$G$92,"Jalan Irigasi Jaringan",'Daftar Koreksi'!$H$5:$H$92,"&gt;0")</f>
        <v>0</v>
      </c>
      <c r="F715" s="25">
        <f>SUMIFS('Daftar Koreksi'!$H$5:$H$92,'Daftar Koreksi'!$D$5:$D$92,'0300'!A708,'Daftar Koreksi'!$G$5:$G$92,"Jalan Irigasi Jaringan",'Daftar Koreksi'!$H$5:$H$92,"&lt;0")-SUMIFS('Daftar Koreksi'!$H$5:$H$92,'Daftar Koreksi'!$D$5:$D$92,'0300'!A708,'Daftar Koreksi'!$G$5:$G$92,"Jalan Irigasi Jaringan",'Daftar Koreksi'!$H$5:$H$92,"&lt;0")-SUMIFS('Daftar Koreksi'!$H$5:$H$92,'Daftar Koreksi'!$D$5:$D$92,'0300'!A708,'Daftar Koreksi'!$G$5:$G$92,"Jalan Irigasi Jaringan",'Daftar Koreksi'!$H$5:$H$92,"&lt;0")</f>
        <v>0</v>
      </c>
      <c r="G715" s="17">
        <f t="shared" si="32"/>
        <v>216630000</v>
      </c>
      <c r="H715" s="122"/>
    </row>
    <row r="716" spans="1:8" ht="21.95" customHeight="1">
      <c r="A716" s="14"/>
      <c r="B716" s="14"/>
      <c r="C716" s="16" t="s">
        <v>1170</v>
      </c>
      <c r="D716" s="17">
        <f>VLOOKUP(A708,'Neraca Unaudited SIMAK'!$A$2:$S$10004,8,FALSE)</f>
        <v>48678742</v>
      </c>
      <c r="E716" s="25">
        <f>SUMIFS('Daftar Koreksi'!$H$5:$H$92,'Daftar Koreksi'!$D$5:$D$92,'0300'!A708,'Daftar Koreksi'!$G$5:$G$92,"Aset Tetap Lainnya",'Daftar Koreksi'!$H$5:$H$92,"&gt;0")</f>
        <v>0</v>
      </c>
      <c r="F716" s="25">
        <f>SUMIFS('Daftar Koreksi'!$H$5:$H$92,'Daftar Koreksi'!$D$5:$D$92,'0300'!A708,'Daftar Koreksi'!$G$5:$G$92,"Aset Tetap Lainnya",'Daftar Koreksi'!$H$5:$H$92,"&lt;0")-SUMIFS('Daftar Koreksi'!$H$5:$H$92,'Daftar Koreksi'!$D$5:$D$92,'0300'!A708,'Daftar Koreksi'!$G$5:$G$92,"Aset Tetap Lainnya",'Daftar Koreksi'!$H$5:$H$92,"&lt;0")-SUMIFS('Daftar Koreksi'!$H$5:$H$92,'Daftar Koreksi'!$D$5:$D$92,'0300'!A708,'Daftar Koreksi'!$G$5:$G$92,"Aset Tetap Lainnya",'Daftar Koreksi'!$H$5:$H$92,"&lt;0")</f>
        <v>0</v>
      </c>
      <c r="G716" s="17">
        <f t="shared" si="32"/>
        <v>48678742</v>
      </c>
      <c r="H716" s="122"/>
    </row>
    <row r="717" spans="1:8" ht="21.95" customHeight="1">
      <c r="A717" s="14"/>
      <c r="B717" s="14"/>
      <c r="C717" s="16" t="s">
        <v>1171</v>
      </c>
      <c r="D717" s="17">
        <f>VLOOKUP(A708,'Neraca Unaudited SIMAK'!$A$2:$S$10004,9,FALSE)</f>
        <v>0</v>
      </c>
      <c r="E717" s="25">
        <f>SUMIFS('Daftar Koreksi'!$H$5:$H$92,'Daftar Koreksi'!$D$5:$D$92,'0300'!A708,'Daftar Koreksi'!$G$5:$G$92,"Kontruksi Dalam Pengerjaan",'Daftar Koreksi'!$H$5:$H$92,"&gt;0")</f>
        <v>0</v>
      </c>
      <c r="F717" s="25">
        <f>SUMIFS('Daftar Koreksi'!$H$5:$H$92,'Daftar Koreksi'!$D$5:$D$92,'0300'!A708,'Daftar Koreksi'!$G$5:$G$92,"Kontruksi Dalam Pengerjaan",'Daftar Koreksi'!$H$5:$H$92,"&lt;0")-SUMIFS('Daftar Koreksi'!$H$5:$H$92,'Daftar Koreksi'!$D$5:$D$92,'0300'!A708,'Daftar Koreksi'!$G$5:$G$92,"Kontruksi Dalam Pengerjaan",'Daftar Koreksi'!$H$5:$H$92,"&lt;0")-SUMIFS('Daftar Koreksi'!$H$5:$H$92,'Daftar Koreksi'!$D$5:$D$92,'0300'!A708,'Daftar Koreksi'!$G$5:$G$92,"Kontruksi Dalam Pengerjaan",'Daftar Koreksi'!$H$5:$H$92,"&lt;0")</f>
        <v>0</v>
      </c>
      <c r="G717" s="17">
        <f t="shared" si="32"/>
        <v>0</v>
      </c>
      <c r="H717" s="122"/>
    </row>
    <row r="718" spans="1:8" ht="21.95" customHeight="1">
      <c r="A718" s="14"/>
      <c r="B718" s="14"/>
      <c r="C718" s="16" t="s">
        <v>1172</v>
      </c>
      <c r="D718" s="17">
        <f>VLOOKUP(A708,'Neraca Unaudited SIMAK'!$A$2:$S$10004,10,FALSE)</f>
        <v>0</v>
      </c>
      <c r="E718" s="25">
        <f>SUMIFS('Daftar Koreksi'!$H$5:$H$92,'Daftar Koreksi'!$D$5:$D$92,'0300'!A708,'Daftar Koreksi'!$G$5:$G$92,"Aset Tak Berwujud",'Daftar Koreksi'!$H$5:$H$92,"&gt;0")</f>
        <v>0</v>
      </c>
      <c r="F718" s="25">
        <f>SUMIFS('Daftar Koreksi'!$H$5:$H$92,'Daftar Koreksi'!$D$5:$D$92,'0300'!A708,'Daftar Koreksi'!$G$5:$G$92,"Aset Tak Berwujud",'Daftar Koreksi'!$H$5:$H$92,"&lt;0")-SUMIFS('Daftar Koreksi'!$H$5:$H$92,'Daftar Koreksi'!$D$5:$D$92,'0300'!A708,'Daftar Koreksi'!$G$5:$G$92,"Aset Tak Berwujud",'Daftar Koreksi'!$H$5:$H$92,"&lt;0")-SUMIFS('Daftar Koreksi'!$H$5:$H$92,'Daftar Koreksi'!$D$5:$D$92,'0300'!A708,'Daftar Koreksi'!$G$5:$G$92,"Aset Tak Berwujud",'Daftar Koreksi'!$H$5:$H$92,"&lt;0")</f>
        <v>0</v>
      </c>
      <c r="G718" s="17">
        <f t="shared" si="32"/>
        <v>0</v>
      </c>
      <c r="H718" s="122"/>
    </row>
    <row r="719" spans="1:8" ht="21.95" customHeight="1">
      <c r="A719" s="14"/>
      <c r="B719" s="14"/>
      <c r="C719" s="16" t="s">
        <v>1173</v>
      </c>
      <c r="D719" s="17">
        <f>VLOOKUP(A708,'Neraca Unaudited SIMAK'!$A$2:$S$10004,11,FALSE)</f>
        <v>102699500</v>
      </c>
      <c r="E719" s="25">
        <f>SUMIFS('Daftar Koreksi'!$H$5:$H$92,'Daftar Koreksi'!$D$5:$D$92,'0300'!A708,'Daftar Koreksi'!$G$5:$G$92,"Aset Henti Guna",'Daftar Koreksi'!$H$5:$H$92,"&gt;0")</f>
        <v>0</v>
      </c>
      <c r="F719" s="25">
        <f>SUMIFS('Daftar Koreksi'!$H$5:$H$92,'Daftar Koreksi'!$D$5:$D$92,'0300'!A708,'Daftar Koreksi'!$G$5:$G$92,"Aset Henti Guna",'Daftar Koreksi'!$H$5:$H$92,"&lt;0")-SUMIFS('Daftar Koreksi'!$H$5:$H$92,'Daftar Koreksi'!$D$5:$D$92,'0300'!A708,'Daftar Koreksi'!$G$5:$G$92,"Aset Henti Guna",'Daftar Koreksi'!$H$5:$H$92,"&lt;0")-SUMIFS('Daftar Koreksi'!$H$5:$H$92,'Daftar Koreksi'!$D$5:$D$92,'0300'!A708,'Daftar Koreksi'!$G$5:$G$92,"Aset Henti Guna",'Daftar Koreksi'!$H$5:$H$92,"&lt;0")</f>
        <v>0</v>
      </c>
      <c r="G719" s="17">
        <f t="shared" si="32"/>
        <v>102699500</v>
      </c>
      <c r="H719" s="122"/>
    </row>
    <row r="720" spans="1:8" ht="21.95" customHeight="1">
      <c r="A720" s="14"/>
      <c r="B720" s="14"/>
      <c r="C720" s="18" t="s">
        <v>2093</v>
      </c>
      <c r="D720" s="19">
        <f>VLOOKUP(A708,'Neraca Unaudited SIMAK'!$A$2:$S$10004,12,FALSE)</f>
        <v>7284644959</v>
      </c>
      <c r="E720" s="19">
        <f>SUM(E711:E719)</f>
        <v>0</v>
      </c>
      <c r="F720" s="19">
        <f>SUM(F711:F719)</f>
        <v>0</v>
      </c>
      <c r="G720" s="19">
        <f t="shared" si="32"/>
        <v>7284644959</v>
      </c>
      <c r="H720" s="122"/>
    </row>
    <row r="721" spans="1:8" ht="21.95" customHeight="1">
      <c r="A721" s="14"/>
      <c r="B721" s="14"/>
      <c r="C721" s="16" t="s">
        <v>2087</v>
      </c>
      <c r="D721" s="17">
        <f>VLOOKUP(A708,'Neraca Unaudited SIMAK'!$A$2:$S$10004,13,FALSE)</f>
        <v>-1347797762</v>
      </c>
      <c r="E721" s="25">
        <f>SUMIFS('Daftar Koreksi'!$I$5:$I$92,'Daftar Koreksi'!$D$5:$D$92,'0300'!A708,'Daftar Koreksi'!$G$5:$G$92,"Peralatan dan mesin",'Daftar Koreksi'!$I$5:$I$92,"&gt;0")</f>
        <v>0</v>
      </c>
      <c r="F721" s="25">
        <f>SUMIFS('Daftar Koreksi'!$I$5:$I$92,'Daftar Koreksi'!$D$5:$D$92,'0300'!A708,'Daftar Koreksi'!$G$5:$G$92,"Peralatan dan mesin",'Daftar Koreksi'!$I$5:$I$92,"&lt;0")-SUMIFS('Daftar Koreksi'!$I$5:$I$92,'Daftar Koreksi'!$D$5:$D$92,'0300'!A708,'Daftar Koreksi'!$G$5:$G$92,"Peralatan dan mesin",'Daftar Koreksi'!$I$5:$I$92,"&lt;0")-SUMIFS('Daftar Koreksi'!$I$5:$I$92,'Daftar Koreksi'!$D$5:$D$92,'0300'!A708,'Daftar Koreksi'!$G$5:$G$92,"Peralatan dan mesin",'Daftar Koreksi'!$I$5:$I$92,"&lt;0")</f>
        <v>0</v>
      </c>
      <c r="G721" s="17">
        <f t="shared" si="32"/>
        <v>-1347797762</v>
      </c>
      <c r="H721" s="122"/>
    </row>
    <row r="722" spans="1:8" ht="21.95" customHeight="1">
      <c r="A722" s="14"/>
      <c r="B722" s="14"/>
      <c r="C722" s="16" t="s">
        <v>2088</v>
      </c>
      <c r="D722" s="17">
        <f>VLOOKUP(A708,'Neraca Unaudited SIMAK'!$A$2:$S$10004,14,FALSE)</f>
        <v>-1501994510</v>
      </c>
      <c r="E722" s="25">
        <f>SUMIFS('Daftar Koreksi'!$I$5:$I$92,'Daftar Koreksi'!$D$5:$D$92,'0300'!A708,'Daftar Koreksi'!$G$5:$G$92,"Gedung dan Bangunan",'Daftar Koreksi'!$I$5:$I$92,"&gt;0")</f>
        <v>0</v>
      </c>
      <c r="F722" s="25">
        <f>SUMIFS('Daftar Koreksi'!$I$5:$I$92,'Daftar Koreksi'!$D$5:$D$92,'0300'!A708,'Daftar Koreksi'!$G$5:$G$92,"Gedung dan Bangunan",'Daftar Koreksi'!$I$5:$I$92,"&lt;0")-SUMIFS('Daftar Koreksi'!$I$5:$I$92,'Daftar Koreksi'!$D$5:$D$92,'0300'!A708,'Daftar Koreksi'!$G$5:$G$92,"Gedung dan Bangunan",'Daftar Koreksi'!$I$5:$I$92,"&lt;0")-SUMIFS('Daftar Koreksi'!$I$5:$I$92,'Daftar Koreksi'!$D$5:$D$92,'0300'!A708,'Daftar Koreksi'!$G$5:$G$92,"Gedung dan Bangunan",'Daftar Koreksi'!$I$5:$I$92,"&lt;0")</f>
        <v>0</v>
      </c>
      <c r="G722" s="17">
        <f t="shared" si="32"/>
        <v>-1501994510</v>
      </c>
      <c r="H722" s="122"/>
    </row>
    <row r="723" spans="1:8" ht="21.95" customHeight="1">
      <c r="A723" s="14"/>
      <c r="B723" s="14"/>
      <c r="C723" s="16" t="s">
        <v>2089</v>
      </c>
      <c r="D723" s="17">
        <f>VLOOKUP(A708,'Neraca Unaudited SIMAK'!$A$2:$S$10004,15,FALSE)</f>
        <v>-126147200</v>
      </c>
      <c r="E723" s="25">
        <f>SUMIFS('Daftar Koreksi'!$I$5:$I$92,'Daftar Koreksi'!$D$5:$D$92,'0300'!A708,'Daftar Koreksi'!$G$5:$G$92,"Jalan Irigasi Jaringan",'Daftar Koreksi'!$I$5:$I$92,"&gt;0")</f>
        <v>0</v>
      </c>
      <c r="F723" s="25">
        <f>SUMIFS('Daftar Koreksi'!$I$5:$I$92,'Daftar Koreksi'!$D$5:$D$92,'0300'!A708,'Daftar Koreksi'!$G$5:$G$92,"Jalan Irigasi Jaringan",'Daftar Koreksi'!$I$5:$I$92,"&lt;0")-SUMIFS('Daftar Koreksi'!$I$5:$I$92,'Daftar Koreksi'!$D$5:$D$92,'0300'!A708,'Daftar Koreksi'!$G$5:$G$92,"Jalan Irigasi Jaringan",'Daftar Koreksi'!$I$5:$I$92,"&lt;0")-SUMIFS('Daftar Koreksi'!$I$5:$I$92,'Daftar Koreksi'!$D$5:$D$92,'0300'!A708,'Daftar Koreksi'!$G$5:$G$92,"Jalan Irigasi Jaringan",'Daftar Koreksi'!$I$5:$I$92,"&lt;0")</f>
        <v>0</v>
      </c>
      <c r="G723" s="17">
        <f t="shared" si="32"/>
        <v>-126147200</v>
      </c>
      <c r="H723" s="122"/>
    </row>
    <row r="724" spans="1:8" ht="21.95" customHeight="1">
      <c r="A724" s="14"/>
      <c r="B724" s="14"/>
      <c r="C724" s="16" t="s">
        <v>2090</v>
      </c>
      <c r="D724" s="17">
        <f>VLOOKUP(A708,'Neraca Unaudited SIMAK'!$A$2:$S$10004,16,FALSE)</f>
        <v>0</v>
      </c>
      <c r="E724" s="25">
        <f>SUMIFS('Daftar Koreksi'!$I$5:$I$92,'Daftar Koreksi'!$D$5:$D$92,'0300'!A708,'Daftar Koreksi'!$G$5:$G$92,"Aset Tetap Lainnya",'Daftar Koreksi'!$I$5:$I$92,"&gt;0")</f>
        <v>0</v>
      </c>
      <c r="F724" s="25">
        <f>SUMIFS('Daftar Koreksi'!$I$5:$I$92,'Daftar Koreksi'!$D$5:$D$92,'0300'!A708,'Daftar Koreksi'!$G$5:$G$92,"Aset Tetap Lainnya",'Daftar Koreksi'!$I$5:$I$92,"&lt;0")-SUMIFS('Daftar Koreksi'!$I$5:$I$92,'Daftar Koreksi'!$D$5:$D$92,'0300'!A708,'Daftar Koreksi'!$G$5:$G$92,"Aset Tetap Lainnya",'Daftar Koreksi'!$I$5:$I$92,"&lt;0")-SUMIFS('Daftar Koreksi'!$I$5:$I$92,'Daftar Koreksi'!$D$5:$D$92,'0300'!A708,'Daftar Koreksi'!$G$5:$G$92,"Aset Tetap Lainnya",'Daftar Koreksi'!$I$5:$I$92,"&lt;0")</f>
        <v>0</v>
      </c>
      <c r="G724" s="17">
        <f t="shared" si="32"/>
        <v>0</v>
      </c>
      <c r="H724" s="122"/>
    </row>
    <row r="725" spans="1:8" ht="21.95" customHeight="1">
      <c r="A725" s="14"/>
      <c r="B725" s="14"/>
      <c r="C725" s="16" t="s">
        <v>2020</v>
      </c>
      <c r="D725" s="17">
        <f>VLOOKUP(A708,'Neraca Unaudited SIMAK'!$A$2:$S$10004,17,FALSE)</f>
        <v>-100199500</v>
      </c>
      <c r="E725" s="25">
        <f>SUMIFS('Daftar Koreksi'!$I$5:$I$92,'Daftar Koreksi'!$D$5:$D$92,'0300'!A708,'Daftar Koreksi'!$G$5:$G$92,"Aset Henti Guna",'Daftar Koreksi'!$I$5:$I$92,"&gt;0")</f>
        <v>0</v>
      </c>
      <c r="F725" s="25">
        <f>SUMIFS('Daftar Koreksi'!$I$5:$I$92,'Daftar Koreksi'!$D$5:$D$92,'0300'!A708,'Daftar Koreksi'!$G$5:$G$92,"Aset Henti Guna",'Daftar Koreksi'!$I$5:$I$92,"&lt;0")-SUMIFS('Daftar Koreksi'!$I$5:$I$92,'Daftar Koreksi'!$D$5:$D$92,'0300'!A708,'Daftar Koreksi'!$G$5:$G$92,"Aset Henti Guna",'Daftar Koreksi'!$I$5:$I$92,"&lt;0")-SUMIFS('Daftar Koreksi'!$I$5:$I$92,'Daftar Koreksi'!$D$5:$D$92,'0300'!A708,'Daftar Koreksi'!$G$5:$G$92,"Aset Henti Guna",'Daftar Koreksi'!$I$5:$I$92,"&lt;0")</f>
        <v>0</v>
      </c>
      <c r="G725" s="17">
        <f t="shared" si="32"/>
        <v>-100199500</v>
      </c>
      <c r="H725" s="122"/>
    </row>
    <row r="726" spans="1:8" ht="21.95" customHeight="1">
      <c r="A726" s="14"/>
      <c r="B726" s="14"/>
      <c r="C726" s="18" t="s">
        <v>2094</v>
      </c>
      <c r="D726" s="19">
        <f>SUM(D721:D725)</f>
        <v>-3076138972</v>
      </c>
      <c r="E726" s="19">
        <f>SUM(E721:E725)</f>
        <v>0</v>
      </c>
      <c r="F726" s="19">
        <f>SUM(F721:F725)</f>
        <v>0</v>
      </c>
      <c r="G726" s="19">
        <f t="shared" si="32"/>
        <v>-3076138972</v>
      </c>
      <c r="H726" s="122"/>
    </row>
    <row r="727" spans="1:8" ht="21.95" customHeight="1">
      <c r="A727" s="14"/>
      <c r="B727" s="14"/>
      <c r="C727" s="18" t="s">
        <v>2095</v>
      </c>
      <c r="D727" s="19">
        <f>VLOOKUP(A708,'Neraca Unaudited SIMAK'!$A$2:$S$10004,18,FALSE)</f>
        <v>4208505987</v>
      </c>
      <c r="E727" s="19">
        <f>E726+E720</f>
        <v>0</v>
      </c>
      <c r="F727" s="19">
        <f>F726+F720</f>
        <v>0</v>
      </c>
      <c r="G727" s="19">
        <f t="shared" si="32"/>
        <v>4208505987</v>
      </c>
      <c r="H727" s="122"/>
    </row>
    <row r="728" spans="1:8" ht="21.95" customHeight="1">
      <c r="A728" s="14"/>
      <c r="B728" s="14"/>
      <c r="C728" s="16" t="s">
        <v>2091</v>
      </c>
      <c r="D728" s="17">
        <f>VLOOKUP(A708,'Neraca Unaudited SIMAK'!$A$2:$S$10004,19,FALSE)</f>
        <v>0</v>
      </c>
      <c r="E728" s="25"/>
      <c r="F728" s="25"/>
      <c r="G728" s="17">
        <f t="shared" si="32"/>
        <v>0</v>
      </c>
      <c r="H728" s="123"/>
    </row>
    <row r="730" spans="1:8" ht="19.5" customHeight="1">
      <c r="A730" s="11" t="str">
        <f>O34</f>
        <v>005010300098040000KD</v>
      </c>
      <c r="B730" s="11" t="str">
        <f>P34</f>
        <v>PN. Banjarnegara</v>
      </c>
      <c r="C730" s="12" t="str">
        <f>A730&amp;" "&amp;B730</f>
        <v>005010300098040000KD PN. Banjarnegara</v>
      </c>
      <c r="D730" s="13"/>
      <c r="E730" s="13"/>
      <c r="F730" s="13"/>
      <c r="G730" s="13"/>
      <c r="H730" s="11"/>
    </row>
    <row r="731" spans="1:8" ht="21.95" customHeight="1">
      <c r="A731" s="14"/>
      <c r="B731" s="14"/>
      <c r="C731" s="124" t="s">
        <v>1982</v>
      </c>
      <c r="D731" s="126" t="s">
        <v>1983</v>
      </c>
      <c r="E731" s="132" t="s">
        <v>1984</v>
      </c>
      <c r="F731" s="132"/>
      <c r="G731" s="126" t="s">
        <v>1987</v>
      </c>
      <c r="H731" s="130" t="s">
        <v>1175</v>
      </c>
    </row>
    <row r="732" spans="1:8" ht="21.95" customHeight="1">
      <c r="A732" s="14"/>
      <c r="B732" s="14"/>
      <c r="C732" s="125"/>
      <c r="D732" s="127"/>
      <c r="E732" s="26" t="s">
        <v>1985</v>
      </c>
      <c r="F732" s="26" t="s">
        <v>1986</v>
      </c>
      <c r="G732" s="127"/>
      <c r="H732" s="131"/>
    </row>
    <row r="733" spans="1:8" ht="21.95" customHeight="1">
      <c r="A733" s="14"/>
      <c r="B733" s="14"/>
      <c r="C733" s="16" t="s">
        <v>1165</v>
      </c>
      <c r="D733" s="17">
        <f>VLOOKUP(A730,'Neraca Unaudited SIMAK'!$A$2:$S$10004,3,FALSE)</f>
        <v>553910</v>
      </c>
      <c r="E733" s="25">
        <f>SUMIFS('Daftar Koreksi'!$H$5:$H$92,'Daftar Koreksi'!$D$5:$D$92,'0300'!A730,'Daftar Koreksi'!$G$5:$G$92,"Persediaan",'Daftar Koreksi'!$H$5:$H$92,"&gt;0")</f>
        <v>0</v>
      </c>
      <c r="F733" s="25">
        <f>SUMIFS('Daftar Koreksi'!$H$5:$H$92,'Daftar Koreksi'!$D$5:$D$92,'0300'!A730,'Daftar Koreksi'!$G$5:$G$92,"Persediaan",'Daftar Koreksi'!$H$5:$H$92,"&lt;0")-SUMIFS('Daftar Koreksi'!$H$5:$H$92,'Daftar Koreksi'!$D$5:$D$92,'0300'!A730,'Daftar Koreksi'!$G$5:$G$92,"Persediaan",'Daftar Koreksi'!$H$5:$H$92,"&lt;0")-SUMIFS('Daftar Koreksi'!$H$5:$H$92,'Daftar Koreksi'!$D$5:$D$92,'0300'!A730,'Daftar Koreksi'!$G$5:$G$92,"Persediaan",'Daftar Koreksi'!$H$5:$H$92,"&lt;0")</f>
        <v>0</v>
      </c>
      <c r="G733" s="17">
        <f>D733+E733-F733</f>
        <v>553910</v>
      </c>
      <c r="H733" s="121" t="str">
        <f>IF(ISNA(VLOOKUP(A730,'Mutasi Neraca'!$A$3:$S$914,19,FALSE)),"-",VLOOKUP(A730,'Mutasi Neraca'!$A$3:$S$914,19,FALSE))</f>
        <v>-</v>
      </c>
    </row>
    <row r="734" spans="1:8" ht="21.95" customHeight="1">
      <c r="A734" s="14"/>
      <c r="B734" s="14"/>
      <c r="C734" s="16" t="s">
        <v>1166</v>
      </c>
      <c r="D734" s="17">
        <f>VLOOKUP(A730,'Neraca Unaudited SIMAK'!$A$2:$S$10004,4,FALSE)</f>
        <v>5693857000</v>
      </c>
      <c r="E734" s="25">
        <f>SUMIFS('Daftar Koreksi'!$H$5:$H$92,'Daftar Koreksi'!$D$5:$D$92,'0300'!A730,'Daftar Koreksi'!$G$5:$G$92,"Tanah",'Daftar Koreksi'!$H$5:$H$92,"&gt;0")</f>
        <v>0</v>
      </c>
      <c r="F734" s="25">
        <f>SUMIFS('Daftar Koreksi'!$H$5:$H$92,'Daftar Koreksi'!$D$5:$D$92,'0300'!A730,'Daftar Koreksi'!$G$5:$G$92,"Tanah",'Daftar Koreksi'!$H$5:$H$92,"&lt;0")-SUMIFS('Daftar Koreksi'!$H$5:$H$92,'Daftar Koreksi'!$D$5:$D$92,'0300'!A730,'Daftar Koreksi'!$G$5:$G$92,"Tanah",'Daftar Koreksi'!$H$5:$H$92,"&lt;0")-SUMIFS('Daftar Koreksi'!$H$5:$H$92,'Daftar Koreksi'!$D$5:$D$92,'0300'!A730,'Daftar Koreksi'!$G$5:$G$92,"Tanah",'Daftar Koreksi'!$H$5:$H$92,"&lt;0")</f>
        <v>0</v>
      </c>
      <c r="G734" s="17">
        <f t="shared" ref="G734:G750" si="33">D734+E734-F734</f>
        <v>5693857000</v>
      </c>
      <c r="H734" s="122"/>
    </row>
    <row r="735" spans="1:8" ht="21.95" customHeight="1">
      <c r="A735" s="14"/>
      <c r="B735" s="14"/>
      <c r="C735" s="16" t="s">
        <v>1167</v>
      </c>
      <c r="D735" s="17">
        <f>VLOOKUP(A730,'Neraca Unaudited SIMAK'!$A$2:$S$10004,5,FALSE)</f>
        <v>1862939267</v>
      </c>
      <c r="E735" s="25">
        <f>SUMIFS('Daftar Koreksi'!$H$5:$H$92,'Daftar Koreksi'!$D$5:$D$92,'0300'!A730,'Daftar Koreksi'!$G$5:$G$92,"Peralatan dan mesin",'Daftar Koreksi'!$H$5:$H$92,"&gt;0")</f>
        <v>0</v>
      </c>
      <c r="F735" s="25">
        <f>SUMIFS('Daftar Koreksi'!$H$5:$H$92,'Daftar Koreksi'!$D$5:$D$92,'0300'!A730,'Daftar Koreksi'!$G$5:$G$92,"Peralatan dan mesin",'Daftar Koreksi'!$H$5:$H$92,"&lt;0")-SUMIFS('Daftar Koreksi'!$H$5:$H$92,'Daftar Koreksi'!$D$5:$D$92,'0300'!A730,'Daftar Koreksi'!$G$5:$G$92,"Peralatan dan mesin",'Daftar Koreksi'!$H$5:$H$92,"&lt;0")-SUMIFS('Daftar Koreksi'!$H$5:$H$92,'Daftar Koreksi'!$D$5:$D$92,'0300'!A730,'Daftar Koreksi'!$G$5:$G$92,"Peralatan dan mesin",'Daftar Koreksi'!$H$5:$H$92,"&lt;0")</f>
        <v>0</v>
      </c>
      <c r="G735" s="17">
        <f t="shared" si="33"/>
        <v>1862939267</v>
      </c>
      <c r="H735" s="122"/>
    </row>
    <row r="736" spans="1:8" ht="21.95" customHeight="1">
      <c r="A736" s="14"/>
      <c r="B736" s="14"/>
      <c r="C736" s="16" t="s">
        <v>1168</v>
      </c>
      <c r="D736" s="17">
        <f>VLOOKUP(A730,'Neraca Unaudited SIMAK'!$A$2:$S$10004,6,FALSE)</f>
        <v>4656103700</v>
      </c>
      <c r="E736" s="25">
        <f>SUMIFS('Daftar Koreksi'!$H$5:$H$92,'Daftar Koreksi'!$D$5:$D$92,'0300'!A730,'Daftar Koreksi'!$G$5:$G$92,"Gedung dan Bangunan",'Daftar Koreksi'!$H$5:$H$92,"&gt;0")</f>
        <v>0</v>
      </c>
      <c r="F736" s="25">
        <f>SUMIFS('Daftar Koreksi'!$H$5:$H$92,'Daftar Koreksi'!$D$5:$D$92,'0300'!A730,'Daftar Koreksi'!$G$5:$G$92,"Gedung dan Bangunan",'Daftar Koreksi'!$H$5:$H$92,"&lt;0")-SUMIFS('Daftar Koreksi'!$H$5:$H$92,'Daftar Koreksi'!$D$5:$D$92,'0300'!A730,'Daftar Koreksi'!$G$5:$G$92,"Gedung dan Bangunan",'Daftar Koreksi'!$H$5:$H$92,"&lt;0")-SUMIFS('Daftar Koreksi'!$H$5:$H$92,'Daftar Koreksi'!$D$5:$D$92,'0300'!A730,'Daftar Koreksi'!$G$5:$G$92,"Gedung dan Bangunan",'Daftar Koreksi'!$H$5:$H$92,"&lt;0")</f>
        <v>0</v>
      </c>
      <c r="G736" s="17">
        <f t="shared" si="33"/>
        <v>4656103700</v>
      </c>
      <c r="H736" s="122"/>
    </row>
    <row r="737" spans="1:8" ht="21.95" customHeight="1">
      <c r="A737" s="14"/>
      <c r="B737" s="14"/>
      <c r="C737" s="16" t="s">
        <v>1169</v>
      </c>
      <c r="D737" s="17">
        <f>VLOOKUP(A730,'Neraca Unaudited SIMAK'!$A$2:$S$10004,7,FALSE)</f>
        <v>56465855</v>
      </c>
      <c r="E737" s="25">
        <f>SUMIFS('Daftar Koreksi'!$H$5:$H$92,'Daftar Koreksi'!$D$5:$D$92,'0300'!A730,'Daftar Koreksi'!$G$5:$G$92,"Jalan Irigasi Jaringan",'Daftar Koreksi'!$H$5:$H$92,"&gt;0")</f>
        <v>0</v>
      </c>
      <c r="F737" s="25">
        <f>SUMIFS('Daftar Koreksi'!$H$5:$H$92,'Daftar Koreksi'!$D$5:$D$92,'0300'!A730,'Daftar Koreksi'!$G$5:$G$92,"Jalan Irigasi Jaringan",'Daftar Koreksi'!$H$5:$H$92,"&lt;0")-SUMIFS('Daftar Koreksi'!$H$5:$H$92,'Daftar Koreksi'!$D$5:$D$92,'0300'!A730,'Daftar Koreksi'!$G$5:$G$92,"Jalan Irigasi Jaringan",'Daftar Koreksi'!$H$5:$H$92,"&lt;0")-SUMIFS('Daftar Koreksi'!$H$5:$H$92,'Daftar Koreksi'!$D$5:$D$92,'0300'!A730,'Daftar Koreksi'!$G$5:$G$92,"Jalan Irigasi Jaringan",'Daftar Koreksi'!$H$5:$H$92,"&lt;0")</f>
        <v>0</v>
      </c>
      <c r="G737" s="17">
        <f t="shared" si="33"/>
        <v>56465855</v>
      </c>
      <c r="H737" s="122"/>
    </row>
    <row r="738" spans="1:8" ht="21.95" customHeight="1">
      <c r="A738" s="14"/>
      <c r="B738" s="14"/>
      <c r="C738" s="16" t="s">
        <v>1170</v>
      </c>
      <c r="D738" s="17">
        <f>VLOOKUP(A730,'Neraca Unaudited SIMAK'!$A$2:$S$10004,8,FALSE)</f>
        <v>9183742</v>
      </c>
      <c r="E738" s="25">
        <f>SUMIFS('Daftar Koreksi'!$H$5:$H$92,'Daftar Koreksi'!$D$5:$D$92,'0300'!A730,'Daftar Koreksi'!$G$5:$G$92,"Aset Tetap Lainnya",'Daftar Koreksi'!$H$5:$H$92,"&gt;0")</f>
        <v>0</v>
      </c>
      <c r="F738" s="25">
        <f>SUMIFS('Daftar Koreksi'!$H$5:$H$92,'Daftar Koreksi'!$D$5:$D$92,'0300'!A730,'Daftar Koreksi'!$G$5:$G$92,"Aset Tetap Lainnya",'Daftar Koreksi'!$H$5:$H$92,"&lt;0")-SUMIFS('Daftar Koreksi'!$H$5:$H$92,'Daftar Koreksi'!$D$5:$D$92,'0300'!A730,'Daftar Koreksi'!$G$5:$G$92,"Aset Tetap Lainnya",'Daftar Koreksi'!$H$5:$H$92,"&lt;0")-SUMIFS('Daftar Koreksi'!$H$5:$H$92,'Daftar Koreksi'!$D$5:$D$92,'0300'!A730,'Daftar Koreksi'!$G$5:$G$92,"Aset Tetap Lainnya",'Daftar Koreksi'!$H$5:$H$92,"&lt;0")</f>
        <v>0</v>
      </c>
      <c r="G738" s="17">
        <f t="shared" si="33"/>
        <v>9183742</v>
      </c>
      <c r="H738" s="122"/>
    </row>
    <row r="739" spans="1:8" ht="21.95" customHeight="1">
      <c r="A739" s="14"/>
      <c r="B739" s="14"/>
      <c r="C739" s="16" t="s">
        <v>1171</v>
      </c>
      <c r="D739" s="17">
        <f>VLOOKUP(A730,'Neraca Unaudited SIMAK'!$A$2:$S$10004,9,FALSE)</f>
        <v>0</v>
      </c>
      <c r="E739" s="25">
        <f>SUMIFS('Daftar Koreksi'!$H$5:$H$92,'Daftar Koreksi'!$D$5:$D$92,'0300'!A730,'Daftar Koreksi'!$G$5:$G$92,"Kontruksi Dalam Pengerjaan",'Daftar Koreksi'!$H$5:$H$92,"&gt;0")</f>
        <v>0</v>
      </c>
      <c r="F739" s="25">
        <f>SUMIFS('Daftar Koreksi'!$H$5:$H$92,'Daftar Koreksi'!$D$5:$D$92,'0300'!A730,'Daftar Koreksi'!$G$5:$G$92,"Kontruksi Dalam Pengerjaan",'Daftar Koreksi'!$H$5:$H$92,"&lt;0")-SUMIFS('Daftar Koreksi'!$H$5:$H$92,'Daftar Koreksi'!$D$5:$D$92,'0300'!A730,'Daftar Koreksi'!$G$5:$G$92,"Kontruksi Dalam Pengerjaan",'Daftar Koreksi'!$H$5:$H$92,"&lt;0")-SUMIFS('Daftar Koreksi'!$H$5:$H$92,'Daftar Koreksi'!$D$5:$D$92,'0300'!A730,'Daftar Koreksi'!$G$5:$G$92,"Kontruksi Dalam Pengerjaan",'Daftar Koreksi'!$H$5:$H$92,"&lt;0")</f>
        <v>0</v>
      </c>
      <c r="G739" s="17">
        <f t="shared" si="33"/>
        <v>0</v>
      </c>
      <c r="H739" s="122"/>
    </row>
    <row r="740" spans="1:8" ht="21.95" customHeight="1">
      <c r="A740" s="14"/>
      <c r="B740" s="14"/>
      <c r="C740" s="16" t="s">
        <v>1172</v>
      </c>
      <c r="D740" s="17">
        <f>VLOOKUP(A730,'Neraca Unaudited SIMAK'!$A$2:$S$10004,10,FALSE)</f>
        <v>0</v>
      </c>
      <c r="E740" s="25">
        <f>SUMIFS('Daftar Koreksi'!$H$5:$H$92,'Daftar Koreksi'!$D$5:$D$92,'0300'!A730,'Daftar Koreksi'!$G$5:$G$92,"Aset Tak Berwujud",'Daftar Koreksi'!$H$5:$H$92,"&gt;0")</f>
        <v>0</v>
      </c>
      <c r="F740" s="25">
        <f>SUMIFS('Daftar Koreksi'!$H$5:$H$92,'Daftar Koreksi'!$D$5:$D$92,'0300'!A730,'Daftar Koreksi'!$G$5:$G$92,"Aset Tak Berwujud",'Daftar Koreksi'!$H$5:$H$92,"&lt;0")-SUMIFS('Daftar Koreksi'!$H$5:$H$92,'Daftar Koreksi'!$D$5:$D$92,'0300'!A730,'Daftar Koreksi'!$G$5:$G$92,"Aset Tak Berwujud",'Daftar Koreksi'!$H$5:$H$92,"&lt;0")-SUMIFS('Daftar Koreksi'!$H$5:$H$92,'Daftar Koreksi'!$D$5:$D$92,'0300'!A730,'Daftar Koreksi'!$G$5:$G$92,"Aset Tak Berwujud",'Daftar Koreksi'!$H$5:$H$92,"&lt;0")</f>
        <v>0</v>
      </c>
      <c r="G740" s="17">
        <f t="shared" si="33"/>
        <v>0</v>
      </c>
      <c r="H740" s="122"/>
    </row>
    <row r="741" spans="1:8" ht="21.95" customHeight="1">
      <c r="A741" s="14"/>
      <c r="B741" s="14"/>
      <c r="C741" s="16" t="s">
        <v>1173</v>
      </c>
      <c r="D741" s="17">
        <f>VLOOKUP(A730,'Neraca Unaudited SIMAK'!$A$2:$S$10004,11,FALSE)</f>
        <v>61685200</v>
      </c>
      <c r="E741" s="25">
        <f>SUMIFS('Daftar Koreksi'!$H$5:$H$92,'Daftar Koreksi'!$D$5:$D$92,'0300'!A730,'Daftar Koreksi'!$G$5:$G$92,"Aset Henti Guna",'Daftar Koreksi'!$H$5:$H$92,"&gt;0")</f>
        <v>0</v>
      </c>
      <c r="F741" s="25">
        <f>SUMIFS('Daftar Koreksi'!$H$5:$H$92,'Daftar Koreksi'!$D$5:$D$92,'0300'!A730,'Daftar Koreksi'!$G$5:$G$92,"Aset Henti Guna",'Daftar Koreksi'!$H$5:$H$92,"&lt;0")-SUMIFS('Daftar Koreksi'!$H$5:$H$92,'Daftar Koreksi'!$D$5:$D$92,'0300'!A730,'Daftar Koreksi'!$G$5:$G$92,"Aset Henti Guna",'Daftar Koreksi'!$H$5:$H$92,"&lt;0")-SUMIFS('Daftar Koreksi'!$H$5:$H$92,'Daftar Koreksi'!$D$5:$D$92,'0300'!A730,'Daftar Koreksi'!$G$5:$G$92,"Aset Henti Guna",'Daftar Koreksi'!$H$5:$H$92,"&lt;0")</f>
        <v>0</v>
      </c>
      <c r="G741" s="17">
        <f t="shared" si="33"/>
        <v>61685200</v>
      </c>
      <c r="H741" s="122"/>
    </row>
    <row r="742" spans="1:8" ht="21.95" customHeight="1">
      <c r="A742" s="14"/>
      <c r="B742" s="14"/>
      <c r="C742" s="18" t="s">
        <v>2093</v>
      </c>
      <c r="D742" s="19">
        <f>VLOOKUP(A730,'Neraca Unaudited SIMAK'!$A$2:$S$10004,12,FALSE)</f>
        <v>12340788674</v>
      </c>
      <c r="E742" s="19">
        <f>SUM(E733:E741)</f>
        <v>0</v>
      </c>
      <c r="F742" s="19">
        <f>SUM(F733:F741)</f>
        <v>0</v>
      </c>
      <c r="G742" s="19">
        <f t="shared" si="33"/>
        <v>12340788674</v>
      </c>
      <c r="H742" s="122"/>
    </row>
    <row r="743" spans="1:8" ht="21.95" customHeight="1">
      <c r="A743" s="14"/>
      <c r="B743" s="14"/>
      <c r="C743" s="16" t="s">
        <v>2087</v>
      </c>
      <c r="D743" s="17">
        <f>VLOOKUP(A730,'Neraca Unaudited SIMAK'!$A$2:$S$10004,13,FALSE)</f>
        <v>-1419412637</v>
      </c>
      <c r="E743" s="25">
        <f>SUMIFS('Daftar Koreksi'!$I$5:$I$92,'Daftar Koreksi'!$D$5:$D$92,'0300'!A730,'Daftar Koreksi'!$G$5:$G$92,"Peralatan dan mesin",'Daftar Koreksi'!$I$5:$I$92,"&gt;0")</f>
        <v>0</v>
      </c>
      <c r="F743" s="25">
        <f>SUMIFS('Daftar Koreksi'!$I$5:$I$92,'Daftar Koreksi'!$D$5:$D$92,'0300'!A730,'Daftar Koreksi'!$G$5:$G$92,"Peralatan dan mesin",'Daftar Koreksi'!$I$5:$I$92,"&lt;0")-SUMIFS('Daftar Koreksi'!$I$5:$I$92,'Daftar Koreksi'!$D$5:$D$92,'0300'!A730,'Daftar Koreksi'!$G$5:$G$92,"Peralatan dan mesin",'Daftar Koreksi'!$I$5:$I$92,"&lt;0")-SUMIFS('Daftar Koreksi'!$I$5:$I$92,'Daftar Koreksi'!$D$5:$D$92,'0300'!A730,'Daftar Koreksi'!$G$5:$G$92,"Peralatan dan mesin",'Daftar Koreksi'!$I$5:$I$92,"&lt;0")</f>
        <v>0</v>
      </c>
      <c r="G743" s="17">
        <f t="shared" si="33"/>
        <v>-1419412637</v>
      </c>
      <c r="H743" s="122"/>
    </row>
    <row r="744" spans="1:8" ht="21.95" customHeight="1">
      <c r="A744" s="14"/>
      <c r="B744" s="14"/>
      <c r="C744" s="16" t="s">
        <v>2088</v>
      </c>
      <c r="D744" s="17">
        <f>VLOOKUP(A730,'Neraca Unaudited SIMAK'!$A$2:$S$10004,14,FALSE)</f>
        <v>-984268437</v>
      </c>
      <c r="E744" s="25">
        <f>SUMIFS('Daftar Koreksi'!$I$5:$I$92,'Daftar Koreksi'!$D$5:$D$92,'0300'!A730,'Daftar Koreksi'!$G$5:$G$92,"Gedung dan Bangunan",'Daftar Koreksi'!$I$5:$I$92,"&gt;0")</f>
        <v>0</v>
      </c>
      <c r="F744" s="25">
        <f>SUMIFS('Daftar Koreksi'!$I$5:$I$92,'Daftar Koreksi'!$D$5:$D$92,'0300'!A730,'Daftar Koreksi'!$G$5:$G$92,"Gedung dan Bangunan",'Daftar Koreksi'!$I$5:$I$92,"&lt;0")-SUMIFS('Daftar Koreksi'!$I$5:$I$92,'Daftar Koreksi'!$D$5:$D$92,'0300'!A730,'Daftar Koreksi'!$G$5:$G$92,"Gedung dan Bangunan",'Daftar Koreksi'!$I$5:$I$92,"&lt;0")-SUMIFS('Daftar Koreksi'!$I$5:$I$92,'Daftar Koreksi'!$D$5:$D$92,'0300'!A730,'Daftar Koreksi'!$G$5:$G$92,"Gedung dan Bangunan",'Daftar Koreksi'!$I$5:$I$92,"&lt;0")</f>
        <v>0</v>
      </c>
      <c r="G744" s="17">
        <f t="shared" si="33"/>
        <v>-984268437</v>
      </c>
      <c r="H744" s="122"/>
    </row>
    <row r="745" spans="1:8" ht="21.95" customHeight="1">
      <c r="A745" s="14"/>
      <c r="B745" s="14"/>
      <c r="C745" s="16" t="s">
        <v>2089</v>
      </c>
      <c r="D745" s="17">
        <f>VLOOKUP(A730,'Neraca Unaudited SIMAK'!$A$2:$S$10004,15,FALSE)</f>
        <v>-10587345</v>
      </c>
      <c r="E745" s="25">
        <f>SUMIFS('Daftar Koreksi'!$I$5:$I$92,'Daftar Koreksi'!$D$5:$D$92,'0300'!A730,'Daftar Koreksi'!$G$5:$G$92,"Jalan Irigasi Jaringan",'Daftar Koreksi'!$I$5:$I$92,"&gt;0")</f>
        <v>0</v>
      </c>
      <c r="F745" s="25">
        <f>SUMIFS('Daftar Koreksi'!$I$5:$I$92,'Daftar Koreksi'!$D$5:$D$92,'0300'!A730,'Daftar Koreksi'!$G$5:$G$92,"Jalan Irigasi Jaringan",'Daftar Koreksi'!$I$5:$I$92,"&lt;0")-SUMIFS('Daftar Koreksi'!$I$5:$I$92,'Daftar Koreksi'!$D$5:$D$92,'0300'!A730,'Daftar Koreksi'!$G$5:$G$92,"Jalan Irigasi Jaringan",'Daftar Koreksi'!$I$5:$I$92,"&lt;0")-SUMIFS('Daftar Koreksi'!$I$5:$I$92,'Daftar Koreksi'!$D$5:$D$92,'0300'!A730,'Daftar Koreksi'!$G$5:$G$92,"Jalan Irigasi Jaringan",'Daftar Koreksi'!$I$5:$I$92,"&lt;0")</f>
        <v>0</v>
      </c>
      <c r="G745" s="17">
        <f t="shared" si="33"/>
        <v>-10587345</v>
      </c>
      <c r="H745" s="122"/>
    </row>
    <row r="746" spans="1:8" ht="21.95" customHeight="1">
      <c r="A746" s="14"/>
      <c r="B746" s="14"/>
      <c r="C746" s="16" t="s">
        <v>2090</v>
      </c>
      <c r="D746" s="17">
        <f>VLOOKUP(A730,'Neraca Unaudited SIMAK'!$A$2:$S$10004,16,FALSE)</f>
        <v>0</v>
      </c>
      <c r="E746" s="25">
        <f>SUMIFS('Daftar Koreksi'!$I$5:$I$92,'Daftar Koreksi'!$D$5:$D$92,'0300'!A730,'Daftar Koreksi'!$G$5:$G$92,"Aset Tetap Lainnya",'Daftar Koreksi'!$I$5:$I$92,"&gt;0")</f>
        <v>0</v>
      </c>
      <c r="F746" s="25">
        <f>SUMIFS('Daftar Koreksi'!$I$5:$I$92,'Daftar Koreksi'!$D$5:$D$92,'0300'!A730,'Daftar Koreksi'!$G$5:$G$92,"Aset Tetap Lainnya",'Daftar Koreksi'!$I$5:$I$92,"&lt;0")-SUMIFS('Daftar Koreksi'!$I$5:$I$92,'Daftar Koreksi'!$D$5:$D$92,'0300'!A730,'Daftar Koreksi'!$G$5:$G$92,"Aset Tetap Lainnya",'Daftar Koreksi'!$I$5:$I$92,"&lt;0")-SUMIFS('Daftar Koreksi'!$I$5:$I$92,'Daftar Koreksi'!$D$5:$D$92,'0300'!A730,'Daftar Koreksi'!$G$5:$G$92,"Aset Tetap Lainnya",'Daftar Koreksi'!$I$5:$I$92,"&lt;0")</f>
        <v>0</v>
      </c>
      <c r="G746" s="17">
        <f t="shared" si="33"/>
        <v>0</v>
      </c>
      <c r="H746" s="122"/>
    </row>
    <row r="747" spans="1:8" ht="21.95" customHeight="1">
      <c r="A747" s="14"/>
      <c r="B747" s="14"/>
      <c r="C747" s="16" t="s">
        <v>2020</v>
      </c>
      <c r="D747" s="17">
        <f>VLOOKUP(A730,'Neraca Unaudited SIMAK'!$A$2:$S$10004,17,FALSE)</f>
        <v>-61685200</v>
      </c>
      <c r="E747" s="25">
        <f>SUMIFS('Daftar Koreksi'!$I$5:$I$92,'Daftar Koreksi'!$D$5:$D$92,'0300'!A730,'Daftar Koreksi'!$G$5:$G$92,"Aset Henti Guna",'Daftar Koreksi'!$I$5:$I$92,"&gt;0")</f>
        <v>0</v>
      </c>
      <c r="F747" s="25">
        <f>SUMIFS('Daftar Koreksi'!$I$5:$I$92,'Daftar Koreksi'!$D$5:$D$92,'0300'!A730,'Daftar Koreksi'!$G$5:$G$92,"Aset Henti Guna",'Daftar Koreksi'!$I$5:$I$92,"&lt;0")-SUMIFS('Daftar Koreksi'!$I$5:$I$92,'Daftar Koreksi'!$D$5:$D$92,'0300'!A730,'Daftar Koreksi'!$G$5:$G$92,"Aset Henti Guna",'Daftar Koreksi'!$I$5:$I$92,"&lt;0")-SUMIFS('Daftar Koreksi'!$I$5:$I$92,'Daftar Koreksi'!$D$5:$D$92,'0300'!A730,'Daftar Koreksi'!$G$5:$G$92,"Aset Henti Guna",'Daftar Koreksi'!$I$5:$I$92,"&lt;0")</f>
        <v>0</v>
      </c>
      <c r="G747" s="17">
        <f t="shared" si="33"/>
        <v>-61685200</v>
      </c>
      <c r="H747" s="122"/>
    </row>
    <row r="748" spans="1:8" ht="21.95" customHeight="1">
      <c r="A748" s="14"/>
      <c r="B748" s="14"/>
      <c r="C748" s="18" t="s">
        <v>2094</v>
      </c>
      <c r="D748" s="19">
        <f>SUM(D743:D747)</f>
        <v>-2475953619</v>
      </c>
      <c r="E748" s="19">
        <f>SUM(E743:E747)</f>
        <v>0</v>
      </c>
      <c r="F748" s="19">
        <f>SUM(F743:F747)</f>
        <v>0</v>
      </c>
      <c r="G748" s="19">
        <f t="shared" si="33"/>
        <v>-2475953619</v>
      </c>
      <c r="H748" s="122"/>
    </row>
    <row r="749" spans="1:8" ht="21.95" customHeight="1">
      <c r="A749" s="14"/>
      <c r="B749" s="14"/>
      <c r="C749" s="18" t="s">
        <v>2095</v>
      </c>
      <c r="D749" s="19">
        <f>VLOOKUP(A730,'Neraca Unaudited SIMAK'!$A$2:$S$10004,18,FALSE)</f>
        <v>9864835055</v>
      </c>
      <c r="E749" s="19">
        <f>E748+E742</f>
        <v>0</v>
      </c>
      <c r="F749" s="19">
        <f>F748+F742</f>
        <v>0</v>
      </c>
      <c r="G749" s="19">
        <f t="shared" si="33"/>
        <v>9864835055</v>
      </c>
      <c r="H749" s="122"/>
    </row>
    <row r="750" spans="1:8" ht="21.95" customHeight="1">
      <c r="A750" s="14"/>
      <c r="B750" s="14"/>
      <c r="C750" s="16" t="s">
        <v>2091</v>
      </c>
      <c r="D750" s="17">
        <f>VLOOKUP(A730,'Neraca Unaudited SIMAK'!$A$2:$S$10004,19,FALSE)</f>
        <v>0</v>
      </c>
      <c r="E750" s="25"/>
      <c r="F750" s="25"/>
      <c r="G750" s="17">
        <f t="shared" si="33"/>
        <v>0</v>
      </c>
      <c r="H750" s="123"/>
    </row>
    <row r="752" spans="1:8" ht="19.5" customHeight="1">
      <c r="A752" s="11" t="str">
        <f>O35</f>
        <v>005010300400565000KD</v>
      </c>
      <c r="B752" s="11" t="str">
        <f>P35</f>
        <v>PN. Kab. Tegal di Slawi</v>
      </c>
      <c r="C752" s="12" t="str">
        <f>A752&amp;" "&amp;B752</f>
        <v>005010300400565000KD PN. Kab. Tegal di Slawi</v>
      </c>
      <c r="D752" s="13"/>
      <c r="E752" s="13"/>
      <c r="F752" s="13"/>
      <c r="G752" s="13"/>
      <c r="H752" s="11"/>
    </row>
    <row r="753" spans="1:8" ht="21.95" customHeight="1">
      <c r="A753" s="14"/>
      <c r="B753" s="14"/>
      <c r="C753" s="124" t="s">
        <v>1982</v>
      </c>
      <c r="D753" s="126" t="s">
        <v>1983</v>
      </c>
      <c r="E753" s="132" t="s">
        <v>1984</v>
      </c>
      <c r="F753" s="132"/>
      <c r="G753" s="126" t="s">
        <v>1987</v>
      </c>
      <c r="H753" s="130" t="s">
        <v>1175</v>
      </c>
    </row>
    <row r="754" spans="1:8" ht="21.95" customHeight="1">
      <c r="A754" s="14"/>
      <c r="B754" s="14"/>
      <c r="C754" s="125"/>
      <c r="D754" s="127"/>
      <c r="E754" s="26" t="s">
        <v>1985</v>
      </c>
      <c r="F754" s="26" t="s">
        <v>1986</v>
      </c>
      <c r="G754" s="127"/>
      <c r="H754" s="131"/>
    </row>
    <row r="755" spans="1:8" ht="21.95" customHeight="1">
      <c r="A755" s="14"/>
      <c r="B755" s="14"/>
      <c r="C755" s="16" t="s">
        <v>1165</v>
      </c>
      <c r="D755" s="17">
        <f>VLOOKUP(A752,'Neraca Unaudited SIMAK'!$A$2:$S$10004,3,FALSE)</f>
        <v>8357180</v>
      </c>
      <c r="E755" s="25">
        <f>SUMIFS('Daftar Koreksi'!$H$5:$H$92,'Daftar Koreksi'!$D$5:$D$92,'0300'!A752,'Daftar Koreksi'!$G$5:$G$92,"Persediaan",'Daftar Koreksi'!$H$5:$H$92,"&gt;0")</f>
        <v>0</v>
      </c>
      <c r="F755" s="25">
        <f>SUMIFS('Daftar Koreksi'!$H$5:$H$92,'Daftar Koreksi'!$D$5:$D$92,'0300'!A752,'Daftar Koreksi'!$G$5:$G$92,"Persediaan",'Daftar Koreksi'!$H$5:$H$92,"&lt;0")-SUMIFS('Daftar Koreksi'!$H$5:$H$92,'Daftar Koreksi'!$D$5:$D$92,'0300'!A752,'Daftar Koreksi'!$G$5:$G$92,"Persediaan",'Daftar Koreksi'!$H$5:$H$92,"&lt;0")-SUMIFS('Daftar Koreksi'!$H$5:$H$92,'Daftar Koreksi'!$D$5:$D$92,'0300'!A752,'Daftar Koreksi'!$G$5:$G$92,"Persediaan",'Daftar Koreksi'!$H$5:$H$92,"&lt;0")</f>
        <v>0</v>
      </c>
      <c r="G755" s="17">
        <f>D755+E755-F755</f>
        <v>8357180</v>
      </c>
      <c r="H755" s="121" t="str">
        <f>IF(ISNA(VLOOKUP(A752,'Mutasi Neraca'!$A$3:$S$914,19,FALSE)),"-",VLOOKUP(A752,'Mutasi Neraca'!$A$3:$S$914,19,FALSE))</f>
        <v>TP. No 3</v>
      </c>
    </row>
    <row r="756" spans="1:8" ht="21.95" customHeight="1">
      <c r="A756" s="14"/>
      <c r="B756" s="14"/>
      <c r="C756" s="16" t="s">
        <v>1166</v>
      </c>
      <c r="D756" s="17">
        <f>VLOOKUP(A752,'Neraca Unaudited SIMAK'!$A$2:$S$10004,4,FALSE)</f>
        <v>2404960000</v>
      </c>
      <c r="E756" s="25">
        <f>SUMIFS('Daftar Koreksi'!$H$5:$H$92,'Daftar Koreksi'!$D$5:$D$92,'0300'!A752,'Daftar Koreksi'!$G$5:$G$92,"Tanah",'Daftar Koreksi'!$H$5:$H$92,"&gt;0")</f>
        <v>0</v>
      </c>
      <c r="F756" s="25">
        <f>SUMIFS('Daftar Koreksi'!$H$5:$H$92,'Daftar Koreksi'!$D$5:$D$92,'0300'!A752,'Daftar Koreksi'!$G$5:$G$92,"Tanah",'Daftar Koreksi'!$H$5:$H$92,"&lt;0")-SUMIFS('Daftar Koreksi'!$H$5:$H$92,'Daftar Koreksi'!$D$5:$D$92,'0300'!A752,'Daftar Koreksi'!$G$5:$G$92,"Tanah",'Daftar Koreksi'!$H$5:$H$92,"&lt;0")-SUMIFS('Daftar Koreksi'!$H$5:$H$92,'Daftar Koreksi'!$D$5:$D$92,'0300'!A752,'Daftar Koreksi'!$G$5:$G$92,"Tanah",'Daftar Koreksi'!$H$5:$H$92,"&lt;0")</f>
        <v>0</v>
      </c>
      <c r="G756" s="17">
        <f t="shared" ref="G756:G772" si="34">D756+E756-F756</f>
        <v>2404960000</v>
      </c>
      <c r="H756" s="122"/>
    </row>
    <row r="757" spans="1:8" ht="21.95" customHeight="1">
      <c r="A757" s="14"/>
      <c r="B757" s="14"/>
      <c r="C757" s="16" t="s">
        <v>1167</v>
      </c>
      <c r="D757" s="17">
        <f>VLOOKUP(A752,'Neraca Unaudited SIMAK'!$A$2:$S$10004,5,FALSE)</f>
        <v>1775401829</v>
      </c>
      <c r="E757" s="25">
        <f>SUMIFS('Daftar Koreksi'!$H$5:$H$92,'Daftar Koreksi'!$D$5:$D$92,'0300'!A752,'Daftar Koreksi'!$G$5:$G$92,"Peralatan dan mesin",'Daftar Koreksi'!$H$5:$H$92,"&gt;0")</f>
        <v>0</v>
      </c>
      <c r="F757" s="25">
        <f>SUMIFS('Daftar Koreksi'!$H$5:$H$92,'Daftar Koreksi'!$D$5:$D$92,'0300'!A752,'Daftar Koreksi'!$G$5:$G$92,"Peralatan dan mesin",'Daftar Koreksi'!$H$5:$H$92,"&lt;0")-SUMIFS('Daftar Koreksi'!$H$5:$H$92,'Daftar Koreksi'!$D$5:$D$92,'0300'!A752,'Daftar Koreksi'!$G$5:$G$92,"Peralatan dan mesin",'Daftar Koreksi'!$H$5:$H$92,"&lt;0")-SUMIFS('Daftar Koreksi'!$H$5:$H$92,'Daftar Koreksi'!$D$5:$D$92,'0300'!A752,'Daftar Koreksi'!$G$5:$G$92,"Peralatan dan mesin",'Daftar Koreksi'!$H$5:$H$92,"&lt;0")</f>
        <v>0</v>
      </c>
      <c r="G757" s="17">
        <f t="shared" si="34"/>
        <v>1775401829</v>
      </c>
      <c r="H757" s="122"/>
    </row>
    <row r="758" spans="1:8" ht="21.95" customHeight="1">
      <c r="A758" s="14"/>
      <c r="B758" s="14"/>
      <c r="C758" s="16" t="s">
        <v>1168</v>
      </c>
      <c r="D758" s="17">
        <f>VLOOKUP(A752,'Neraca Unaudited SIMAK'!$A$2:$S$10004,6,FALSE)</f>
        <v>1781618200</v>
      </c>
      <c r="E758" s="25">
        <f>SUMIFS('Daftar Koreksi'!$H$5:$H$92,'Daftar Koreksi'!$D$5:$D$92,'0300'!A752,'Daftar Koreksi'!$G$5:$G$92,"Gedung dan Bangunan",'Daftar Koreksi'!$H$5:$H$92,"&gt;0")</f>
        <v>0</v>
      </c>
      <c r="F758" s="25">
        <f>SUMIFS('Daftar Koreksi'!$H$5:$H$92,'Daftar Koreksi'!$D$5:$D$92,'0300'!A752,'Daftar Koreksi'!$G$5:$G$92,"Gedung dan Bangunan",'Daftar Koreksi'!$H$5:$H$92,"&lt;0")-SUMIFS('Daftar Koreksi'!$H$5:$H$92,'Daftar Koreksi'!$D$5:$D$92,'0300'!A752,'Daftar Koreksi'!$G$5:$G$92,"Gedung dan Bangunan",'Daftar Koreksi'!$H$5:$H$92,"&lt;0")-SUMIFS('Daftar Koreksi'!$H$5:$H$92,'Daftar Koreksi'!$D$5:$D$92,'0300'!A752,'Daftar Koreksi'!$G$5:$G$92,"Gedung dan Bangunan",'Daftar Koreksi'!$H$5:$H$92,"&lt;0")</f>
        <v>0</v>
      </c>
      <c r="G758" s="17">
        <f t="shared" si="34"/>
        <v>1781618200</v>
      </c>
      <c r="H758" s="122"/>
    </row>
    <row r="759" spans="1:8" ht="21.95" customHeight="1">
      <c r="A759" s="14"/>
      <c r="B759" s="14"/>
      <c r="C759" s="16" t="s">
        <v>1169</v>
      </c>
      <c r="D759" s="17">
        <f>VLOOKUP(A752,'Neraca Unaudited SIMAK'!$A$2:$S$10004,7,FALSE)</f>
        <v>0</v>
      </c>
      <c r="E759" s="25">
        <f>SUMIFS('Daftar Koreksi'!$H$5:$H$92,'Daftar Koreksi'!$D$5:$D$92,'0300'!A752,'Daftar Koreksi'!$G$5:$G$92,"Jalan Irigasi Jaringan",'Daftar Koreksi'!$H$5:$H$92,"&gt;0")</f>
        <v>0</v>
      </c>
      <c r="F759" s="25">
        <f>SUMIFS('Daftar Koreksi'!$H$5:$H$92,'Daftar Koreksi'!$D$5:$D$92,'0300'!A752,'Daftar Koreksi'!$G$5:$G$92,"Jalan Irigasi Jaringan",'Daftar Koreksi'!$H$5:$H$92,"&lt;0")-SUMIFS('Daftar Koreksi'!$H$5:$H$92,'Daftar Koreksi'!$D$5:$D$92,'0300'!A752,'Daftar Koreksi'!$G$5:$G$92,"Jalan Irigasi Jaringan",'Daftar Koreksi'!$H$5:$H$92,"&lt;0")-SUMIFS('Daftar Koreksi'!$H$5:$H$92,'Daftar Koreksi'!$D$5:$D$92,'0300'!A752,'Daftar Koreksi'!$G$5:$G$92,"Jalan Irigasi Jaringan",'Daftar Koreksi'!$H$5:$H$92,"&lt;0")</f>
        <v>0</v>
      </c>
      <c r="G759" s="17">
        <f t="shared" si="34"/>
        <v>0</v>
      </c>
      <c r="H759" s="122"/>
    </row>
    <row r="760" spans="1:8" ht="21.95" customHeight="1">
      <c r="A760" s="14"/>
      <c r="B760" s="14"/>
      <c r="C760" s="16" t="s">
        <v>1170</v>
      </c>
      <c r="D760" s="17">
        <f>VLOOKUP(A752,'Neraca Unaudited SIMAK'!$A$2:$S$10004,8,FALSE)</f>
        <v>4772120</v>
      </c>
      <c r="E760" s="25">
        <f>SUMIFS('Daftar Koreksi'!$H$5:$H$92,'Daftar Koreksi'!$D$5:$D$92,'0300'!A752,'Daftar Koreksi'!$G$5:$G$92,"Aset Tetap Lainnya",'Daftar Koreksi'!$H$5:$H$92,"&gt;0")</f>
        <v>4411622</v>
      </c>
      <c r="F760" s="25">
        <f>SUMIFS('Daftar Koreksi'!$H$5:$H$92,'Daftar Koreksi'!$D$5:$D$92,'0300'!A752,'Daftar Koreksi'!$G$5:$G$92,"Aset Tetap Lainnya",'Daftar Koreksi'!$H$5:$H$92,"&lt;0")-SUMIFS('Daftar Koreksi'!$H$5:$H$92,'Daftar Koreksi'!$D$5:$D$92,'0300'!A752,'Daftar Koreksi'!$G$5:$G$92,"Aset Tetap Lainnya",'Daftar Koreksi'!$H$5:$H$92,"&lt;0")-SUMIFS('Daftar Koreksi'!$H$5:$H$92,'Daftar Koreksi'!$D$5:$D$92,'0300'!A752,'Daftar Koreksi'!$G$5:$G$92,"Aset Tetap Lainnya",'Daftar Koreksi'!$H$5:$H$92,"&lt;0")</f>
        <v>0</v>
      </c>
      <c r="G760" s="17">
        <f t="shared" si="34"/>
        <v>9183742</v>
      </c>
      <c r="H760" s="122"/>
    </row>
    <row r="761" spans="1:8" ht="21.95" customHeight="1">
      <c r="A761" s="14"/>
      <c r="B761" s="14"/>
      <c r="C761" s="16" t="s">
        <v>1171</v>
      </c>
      <c r="D761" s="17">
        <f>VLOOKUP(A752,'Neraca Unaudited SIMAK'!$A$2:$S$10004,9,FALSE)</f>
        <v>0</v>
      </c>
      <c r="E761" s="25">
        <f>SUMIFS('Daftar Koreksi'!$H$5:$H$92,'Daftar Koreksi'!$D$5:$D$92,'0300'!A752,'Daftar Koreksi'!$G$5:$G$92,"Kontruksi Dalam Pengerjaan",'Daftar Koreksi'!$H$5:$H$92,"&gt;0")</f>
        <v>0</v>
      </c>
      <c r="F761" s="25">
        <f>SUMIFS('Daftar Koreksi'!$H$5:$H$92,'Daftar Koreksi'!$D$5:$D$92,'0300'!A752,'Daftar Koreksi'!$G$5:$G$92,"Kontruksi Dalam Pengerjaan",'Daftar Koreksi'!$H$5:$H$92,"&lt;0")-SUMIFS('Daftar Koreksi'!$H$5:$H$92,'Daftar Koreksi'!$D$5:$D$92,'0300'!A752,'Daftar Koreksi'!$G$5:$G$92,"Kontruksi Dalam Pengerjaan",'Daftar Koreksi'!$H$5:$H$92,"&lt;0")-SUMIFS('Daftar Koreksi'!$H$5:$H$92,'Daftar Koreksi'!$D$5:$D$92,'0300'!A752,'Daftar Koreksi'!$G$5:$G$92,"Kontruksi Dalam Pengerjaan",'Daftar Koreksi'!$H$5:$H$92,"&lt;0")</f>
        <v>0</v>
      </c>
      <c r="G761" s="17">
        <f t="shared" si="34"/>
        <v>0</v>
      </c>
      <c r="H761" s="122"/>
    </row>
    <row r="762" spans="1:8" ht="21.95" customHeight="1">
      <c r="A762" s="14"/>
      <c r="B762" s="14"/>
      <c r="C762" s="16" t="s">
        <v>1172</v>
      </c>
      <c r="D762" s="17">
        <f>VLOOKUP(A752,'Neraca Unaudited SIMAK'!$A$2:$S$10004,10,FALSE)</f>
        <v>0</v>
      </c>
      <c r="E762" s="25">
        <f>SUMIFS('Daftar Koreksi'!$H$5:$H$92,'Daftar Koreksi'!$D$5:$D$92,'0300'!A752,'Daftar Koreksi'!$G$5:$G$92,"Aset Tak Berwujud",'Daftar Koreksi'!$H$5:$H$92,"&gt;0")</f>
        <v>0</v>
      </c>
      <c r="F762" s="25">
        <f>SUMIFS('Daftar Koreksi'!$H$5:$H$92,'Daftar Koreksi'!$D$5:$D$92,'0300'!A752,'Daftar Koreksi'!$G$5:$G$92,"Aset Tak Berwujud",'Daftar Koreksi'!$H$5:$H$92,"&lt;0")-SUMIFS('Daftar Koreksi'!$H$5:$H$92,'Daftar Koreksi'!$D$5:$D$92,'0300'!A752,'Daftar Koreksi'!$G$5:$G$92,"Aset Tak Berwujud",'Daftar Koreksi'!$H$5:$H$92,"&lt;0")-SUMIFS('Daftar Koreksi'!$H$5:$H$92,'Daftar Koreksi'!$D$5:$D$92,'0300'!A752,'Daftar Koreksi'!$G$5:$G$92,"Aset Tak Berwujud",'Daftar Koreksi'!$H$5:$H$92,"&lt;0")</f>
        <v>0</v>
      </c>
      <c r="G762" s="17">
        <f t="shared" si="34"/>
        <v>0</v>
      </c>
      <c r="H762" s="122"/>
    </row>
    <row r="763" spans="1:8" ht="21.95" customHeight="1">
      <c r="A763" s="14"/>
      <c r="B763" s="14"/>
      <c r="C763" s="16" t="s">
        <v>1173</v>
      </c>
      <c r="D763" s="17">
        <f>VLOOKUP(A752,'Neraca Unaudited SIMAK'!$A$2:$S$10004,11,FALSE)</f>
        <v>0</v>
      </c>
      <c r="E763" s="25">
        <f>SUMIFS('Daftar Koreksi'!$H$5:$H$92,'Daftar Koreksi'!$D$5:$D$92,'0300'!A752,'Daftar Koreksi'!$G$5:$G$92,"Aset Henti Guna",'Daftar Koreksi'!$H$5:$H$92,"&gt;0")</f>
        <v>0</v>
      </c>
      <c r="F763" s="25">
        <f>SUMIFS('Daftar Koreksi'!$H$5:$H$92,'Daftar Koreksi'!$D$5:$D$92,'0300'!A752,'Daftar Koreksi'!$G$5:$G$92,"Aset Henti Guna",'Daftar Koreksi'!$H$5:$H$92,"&lt;0")-SUMIFS('Daftar Koreksi'!$H$5:$H$92,'Daftar Koreksi'!$D$5:$D$92,'0300'!A752,'Daftar Koreksi'!$G$5:$G$92,"Aset Henti Guna",'Daftar Koreksi'!$H$5:$H$92,"&lt;0")-SUMIFS('Daftar Koreksi'!$H$5:$H$92,'Daftar Koreksi'!$D$5:$D$92,'0300'!A752,'Daftar Koreksi'!$G$5:$G$92,"Aset Henti Guna",'Daftar Koreksi'!$H$5:$H$92,"&lt;0")</f>
        <v>0</v>
      </c>
      <c r="G763" s="17">
        <f t="shared" si="34"/>
        <v>0</v>
      </c>
      <c r="H763" s="122"/>
    </row>
    <row r="764" spans="1:8" ht="21.95" customHeight="1">
      <c r="A764" s="14"/>
      <c r="B764" s="14"/>
      <c r="C764" s="18" t="s">
        <v>2093</v>
      </c>
      <c r="D764" s="19">
        <f>VLOOKUP(A752,'Neraca Unaudited SIMAK'!$A$2:$S$10004,12,FALSE)</f>
        <v>5975109329</v>
      </c>
      <c r="E764" s="19">
        <f>SUM(E755:E763)</f>
        <v>4411622</v>
      </c>
      <c r="F764" s="19">
        <f>SUM(F755:F763)</f>
        <v>0</v>
      </c>
      <c r="G764" s="19">
        <f t="shared" si="34"/>
        <v>5979520951</v>
      </c>
      <c r="H764" s="122"/>
    </row>
    <row r="765" spans="1:8" ht="21.95" customHeight="1">
      <c r="A765" s="14"/>
      <c r="B765" s="14"/>
      <c r="C765" s="16" t="s">
        <v>2087</v>
      </c>
      <c r="D765" s="17">
        <f>VLOOKUP(A752,'Neraca Unaudited SIMAK'!$A$2:$S$10004,13,FALSE)</f>
        <v>-1592138251</v>
      </c>
      <c r="E765" s="25">
        <f>SUMIFS('Daftar Koreksi'!$I$5:$I$92,'Daftar Koreksi'!$D$5:$D$92,'0300'!A752,'Daftar Koreksi'!$G$5:$G$92,"Peralatan dan mesin",'Daftar Koreksi'!$I$5:$I$92,"&gt;0")</f>
        <v>0</v>
      </c>
      <c r="F765" s="25">
        <f>SUMIFS('Daftar Koreksi'!$I$5:$I$92,'Daftar Koreksi'!$D$5:$D$92,'0300'!A752,'Daftar Koreksi'!$G$5:$G$92,"Peralatan dan mesin",'Daftar Koreksi'!$I$5:$I$92,"&lt;0")-SUMIFS('Daftar Koreksi'!$I$5:$I$92,'Daftar Koreksi'!$D$5:$D$92,'0300'!A752,'Daftar Koreksi'!$G$5:$G$92,"Peralatan dan mesin",'Daftar Koreksi'!$I$5:$I$92,"&lt;0")-SUMIFS('Daftar Koreksi'!$I$5:$I$92,'Daftar Koreksi'!$D$5:$D$92,'0300'!A752,'Daftar Koreksi'!$G$5:$G$92,"Peralatan dan mesin",'Daftar Koreksi'!$I$5:$I$92,"&lt;0")</f>
        <v>0</v>
      </c>
      <c r="G765" s="17">
        <f t="shared" si="34"/>
        <v>-1592138251</v>
      </c>
      <c r="H765" s="122"/>
    </row>
    <row r="766" spans="1:8" ht="21.95" customHeight="1">
      <c r="A766" s="14"/>
      <c r="B766" s="14"/>
      <c r="C766" s="16" t="s">
        <v>2088</v>
      </c>
      <c r="D766" s="17">
        <f>VLOOKUP(A752,'Neraca Unaudited SIMAK'!$A$2:$S$10004,14,FALSE)</f>
        <v>-340945390</v>
      </c>
      <c r="E766" s="25">
        <f>SUMIFS('Daftar Koreksi'!$I$5:$I$92,'Daftar Koreksi'!$D$5:$D$92,'0300'!A752,'Daftar Koreksi'!$G$5:$G$92,"Gedung dan Bangunan",'Daftar Koreksi'!$I$5:$I$92,"&gt;0")</f>
        <v>0</v>
      </c>
      <c r="F766" s="25">
        <f>SUMIFS('Daftar Koreksi'!$I$5:$I$92,'Daftar Koreksi'!$D$5:$D$92,'0300'!A752,'Daftar Koreksi'!$G$5:$G$92,"Gedung dan Bangunan",'Daftar Koreksi'!$I$5:$I$92,"&lt;0")-SUMIFS('Daftar Koreksi'!$I$5:$I$92,'Daftar Koreksi'!$D$5:$D$92,'0300'!A752,'Daftar Koreksi'!$G$5:$G$92,"Gedung dan Bangunan",'Daftar Koreksi'!$I$5:$I$92,"&lt;0")-SUMIFS('Daftar Koreksi'!$I$5:$I$92,'Daftar Koreksi'!$D$5:$D$92,'0300'!A752,'Daftar Koreksi'!$G$5:$G$92,"Gedung dan Bangunan",'Daftar Koreksi'!$I$5:$I$92,"&lt;0")</f>
        <v>0</v>
      </c>
      <c r="G766" s="17">
        <f t="shared" si="34"/>
        <v>-340945390</v>
      </c>
      <c r="H766" s="122"/>
    </row>
    <row r="767" spans="1:8" ht="21.95" customHeight="1">
      <c r="A767" s="14"/>
      <c r="B767" s="14"/>
      <c r="C767" s="16" t="s">
        <v>2089</v>
      </c>
      <c r="D767" s="17">
        <f>VLOOKUP(A752,'Neraca Unaudited SIMAK'!$A$2:$S$10004,15,FALSE)</f>
        <v>0</v>
      </c>
      <c r="E767" s="25">
        <f>SUMIFS('Daftar Koreksi'!$I$5:$I$92,'Daftar Koreksi'!$D$5:$D$92,'0300'!A752,'Daftar Koreksi'!$G$5:$G$92,"Jalan Irigasi Jaringan",'Daftar Koreksi'!$I$5:$I$92,"&gt;0")</f>
        <v>0</v>
      </c>
      <c r="F767" s="25">
        <f>SUMIFS('Daftar Koreksi'!$I$5:$I$92,'Daftar Koreksi'!$D$5:$D$92,'0300'!A752,'Daftar Koreksi'!$G$5:$G$92,"Jalan Irigasi Jaringan",'Daftar Koreksi'!$I$5:$I$92,"&lt;0")-SUMIFS('Daftar Koreksi'!$I$5:$I$92,'Daftar Koreksi'!$D$5:$D$92,'0300'!A752,'Daftar Koreksi'!$G$5:$G$92,"Jalan Irigasi Jaringan",'Daftar Koreksi'!$I$5:$I$92,"&lt;0")-SUMIFS('Daftar Koreksi'!$I$5:$I$92,'Daftar Koreksi'!$D$5:$D$92,'0300'!A752,'Daftar Koreksi'!$G$5:$G$92,"Jalan Irigasi Jaringan",'Daftar Koreksi'!$I$5:$I$92,"&lt;0")</f>
        <v>0</v>
      </c>
      <c r="G767" s="17">
        <f t="shared" si="34"/>
        <v>0</v>
      </c>
      <c r="H767" s="122"/>
    </row>
    <row r="768" spans="1:8" ht="21.95" customHeight="1">
      <c r="A768" s="14"/>
      <c r="B768" s="14"/>
      <c r="C768" s="16" t="s">
        <v>2090</v>
      </c>
      <c r="D768" s="17">
        <f>VLOOKUP(A752,'Neraca Unaudited SIMAK'!$A$2:$S$10004,16,FALSE)</f>
        <v>0</v>
      </c>
      <c r="E768" s="25">
        <f>SUMIFS('Daftar Koreksi'!$I$5:$I$92,'Daftar Koreksi'!$D$5:$D$92,'0300'!A752,'Daftar Koreksi'!$G$5:$G$92,"Aset Tetap Lainnya",'Daftar Koreksi'!$I$5:$I$92,"&gt;0")</f>
        <v>0</v>
      </c>
      <c r="F768" s="25">
        <f>SUMIFS('Daftar Koreksi'!$I$5:$I$92,'Daftar Koreksi'!$D$5:$D$92,'0300'!A752,'Daftar Koreksi'!$G$5:$G$92,"Aset Tetap Lainnya",'Daftar Koreksi'!$I$5:$I$92,"&lt;0")-SUMIFS('Daftar Koreksi'!$I$5:$I$92,'Daftar Koreksi'!$D$5:$D$92,'0300'!A752,'Daftar Koreksi'!$G$5:$G$92,"Aset Tetap Lainnya",'Daftar Koreksi'!$I$5:$I$92,"&lt;0")-SUMIFS('Daftar Koreksi'!$I$5:$I$92,'Daftar Koreksi'!$D$5:$D$92,'0300'!A752,'Daftar Koreksi'!$G$5:$G$92,"Aset Tetap Lainnya",'Daftar Koreksi'!$I$5:$I$92,"&lt;0")</f>
        <v>0</v>
      </c>
      <c r="G768" s="17">
        <f t="shared" si="34"/>
        <v>0</v>
      </c>
      <c r="H768" s="122"/>
    </row>
    <row r="769" spans="1:8" ht="21.95" customHeight="1">
      <c r="A769" s="14"/>
      <c r="B769" s="14"/>
      <c r="C769" s="16" t="s">
        <v>2020</v>
      </c>
      <c r="D769" s="17">
        <f>VLOOKUP(A752,'Neraca Unaudited SIMAK'!$A$2:$S$10004,17,FALSE)</f>
        <v>0</v>
      </c>
      <c r="E769" s="25">
        <f>SUMIFS('Daftar Koreksi'!$I$5:$I$92,'Daftar Koreksi'!$D$5:$D$92,'0300'!A752,'Daftar Koreksi'!$G$5:$G$92,"Aset Henti Guna",'Daftar Koreksi'!$I$5:$I$92,"&gt;0")</f>
        <v>0</v>
      </c>
      <c r="F769" s="25">
        <f>SUMIFS('Daftar Koreksi'!$I$5:$I$92,'Daftar Koreksi'!$D$5:$D$92,'0300'!A752,'Daftar Koreksi'!$G$5:$G$92,"Aset Henti Guna",'Daftar Koreksi'!$I$5:$I$92,"&lt;0")-SUMIFS('Daftar Koreksi'!$I$5:$I$92,'Daftar Koreksi'!$D$5:$D$92,'0300'!A752,'Daftar Koreksi'!$G$5:$G$92,"Aset Henti Guna",'Daftar Koreksi'!$I$5:$I$92,"&lt;0")-SUMIFS('Daftar Koreksi'!$I$5:$I$92,'Daftar Koreksi'!$D$5:$D$92,'0300'!A752,'Daftar Koreksi'!$G$5:$G$92,"Aset Henti Guna",'Daftar Koreksi'!$I$5:$I$92,"&lt;0")</f>
        <v>0</v>
      </c>
      <c r="G769" s="17">
        <f t="shared" si="34"/>
        <v>0</v>
      </c>
      <c r="H769" s="122"/>
    </row>
    <row r="770" spans="1:8" ht="21.95" customHeight="1">
      <c r="A770" s="14"/>
      <c r="B770" s="14"/>
      <c r="C770" s="18" t="s">
        <v>2094</v>
      </c>
      <c r="D770" s="19">
        <f>SUM(D765:D769)</f>
        <v>-1933083641</v>
      </c>
      <c r="E770" s="19">
        <f>SUM(E765:E769)</f>
        <v>0</v>
      </c>
      <c r="F770" s="19">
        <f>SUM(F765:F769)</f>
        <v>0</v>
      </c>
      <c r="G770" s="19">
        <f t="shared" si="34"/>
        <v>-1933083641</v>
      </c>
      <c r="H770" s="122"/>
    </row>
    <row r="771" spans="1:8" ht="21.95" customHeight="1">
      <c r="A771" s="14"/>
      <c r="B771" s="14"/>
      <c r="C771" s="18" t="s">
        <v>2095</v>
      </c>
      <c r="D771" s="19">
        <f>VLOOKUP(A752,'Neraca Unaudited SIMAK'!$A$2:$S$10004,18,FALSE)</f>
        <v>4042025688</v>
      </c>
      <c r="E771" s="19">
        <f>E770+E764</f>
        <v>4411622</v>
      </c>
      <c r="F771" s="19">
        <f>F770+F764</f>
        <v>0</v>
      </c>
      <c r="G771" s="19">
        <f t="shared" si="34"/>
        <v>4046437310</v>
      </c>
      <c r="H771" s="122"/>
    </row>
    <row r="772" spans="1:8" ht="21.95" customHeight="1">
      <c r="A772" s="14"/>
      <c r="B772" s="14"/>
      <c r="C772" s="16" t="s">
        <v>2091</v>
      </c>
      <c r="D772" s="17">
        <f>VLOOKUP(A752,'Neraca Unaudited SIMAK'!$A$2:$S$10004,19,FALSE)</f>
        <v>0</v>
      </c>
      <c r="E772" s="25"/>
      <c r="F772" s="25"/>
      <c r="G772" s="17">
        <f t="shared" si="34"/>
        <v>0</v>
      </c>
      <c r="H772" s="123"/>
    </row>
    <row r="774" spans="1:8" ht="19.5" customHeight="1">
      <c r="A774" s="11" t="str">
        <f>O36</f>
        <v>005010300400571000KD</v>
      </c>
      <c r="B774" s="11" t="str">
        <f>P36</f>
        <v>PN. Kab. Magelang di Mungkid</v>
      </c>
      <c r="C774" s="12" t="str">
        <f>A774&amp;" "&amp;B774</f>
        <v>005010300400571000KD PN. Kab. Magelang di Mungkid</v>
      </c>
      <c r="D774" s="13"/>
      <c r="E774" s="13"/>
      <c r="F774" s="13"/>
      <c r="G774" s="13"/>
      <c r="H774" s="11"/>
    </row>
    <row r="775" spans="1:8" ht="21.95" customHeight="1">
      <c r="A775" s="14"/>
      <c r="B775" s="14"/>
      <c r="C775" s="124" t="s">
        <v>1982</v>
      </c>
      <c r="D775" s="126" t="s">
        <v>1983</v>
      </c>
      <c r="E775" s="132" t="s">
        <v>1984</v>
      </c>
      <c r="F775" s="132"/>
      <c r="G775" s="126" t="s">
        <v>1987</v>
      </c>
      <c r="H775" s="130" t="s">
        <v>1175</v>
      </c>
    </row>
    <row r="776" spans="1:8" ht="21.95" customHeight="1">
      <c r="A776" s="14"/>
      <c r="B776" s="14"/>
      <c r="C776" s="125"/>
      <c r="D776" s="127"/>
      <c r="E776" s="26" t="s">
        <v>1985</v>
      </c>
      <c r="F776" s="26" t="s">
        <v>1986</v>
      </c>
      <c r="G776" s="127"/>
      <c r="H776" s="131"/>
    </row>
    <row r="777" spans="1:8" ht="21.95" customHeight="1">
      <c r="A777" s="14"/>
      <c r="B777" s="14"/>
      <c r="C777" s="16" t="s">
        <v>1165</v>
      </c>
      <c r="D777" s="17">
        <f>VLOOKUP(A774,'Neraca Unaudited SIMAK'!$A$2:$S$10004,3,FALSE)</f>
        <v>3654400</v>
      </c>
      <c r="E777" s="25">
        <f>SUMIFS('Daftar Koreksi'!$H$5:$H$92,'Daftar Koreksi'!$D$5:$D$92,'0300'!A774,'Daftar Koreksi'!$G$5:$G$92,"Persediaan",'Daftar Koreksi'!$H$5:$H$92,"&gt;0")</f>
        <v>0</v>
      </c>
      <c r="F777" s="25">
        <f>SUMIFS('Daftar Koreksi'!$H$5:$H$92,'Daftar Koreksi'!$D$5:$D$92,'0300'!A774,'Daftar Koreksi'!$G$5:$G$92,"Persediaan",'Daftar Koreksi'!$H$5:$H$92,"&lt;0")-SUMIFS('Daftar Koreksi'!$H$5:$H$92,'Daftar Koreksi'!$D$5:$D$92,'0300'!A774,'Daftar Koreksi'!$G$5:$G$92,"Persediaan",'Daftar Koreksi'!$H$5:$H$92,"&lt;0")-SUMIFS('Daftar Koreksi'!$H$5:$H$92,'Daftar Koreksi'!$D$5:$D$92,'0300'!A774,'Daftar Koreksi'!$G$5:$G$92,"Persediaan",'Daftar Koreksi'!$H$5:$H$92,"&lt;0")</f>
        <v>0</v>
      </c>
      <c r="G777" s="17">
        <f>D777+E777-F777</f>
        <v>3654400</v>
      </c>
      <c r="H777" s="121" t="str">
        <f>IF(ISNA(VLOOKUP(A774,'Mutasi Neraca'!$A$3:$S$914,19,FALSE)),"-",VLOOKUP(A774,'Mutasi Neraca'!$A$3:$S$914,19,FALSE))</f>
        <v>-</v>
      </c>
    </row>
    <row r="778" spans="1:8" ht="21.95" customHeight="1">
      <c r="A778" s="14"/>
      <c r="B778" s="14"/>
      <c r="C778" s="16" t="s">
        <v>1166</v>
      </c>
      <c r="D778" s="17">
        <f>VLOOKUP(A774,'Neraca Unaudited SIMAK'!$A$2:$S$10004,4,FALSE)</f>
        <v>6879994880</v>
      </c>
      <c r="E778" s="25">
        <f>SUMIFS('Daftar Koreksi'!$H$5:$H$92,'Daftar Koreksi'!$D$5:$D$92,'0300'!A774,'Daftar Koreksi'!$G$5:$G$92,"Tanah",'Daftar Koreksi'!$H$5:$H$92,"&gt;0")</f>
        <v>0</v>
      </c>
      <c r="F778" s="25">
        <f>SUMIFS('Daftar Koreksi'!$H$5:$H$92,'Daftar Koreksi'!$D$5:$D$92,'0300'!A774,'Daftar Koreksi'!$G$5:$G$92,"Tanah",'Daftar Koreksi'!$H$5:$H$92,"&lt;0")-SUMIFS('Daftar Koreksi'!$H$5:$H$92,'Daftar Koreksi'!$D$5:$D$92,'0300'!A774,'Daftar Koreksi'!$G$5:$G$92,"Tanah",'Daftar Koreksi'!$H$5:$H$92,"&lt;0")-SUMIFS('Daftar Koreksi'!$H$5:$H$92,'Daftar Koreksi'!$D$5:$D$92,'0300'!A774,'Daftar Koreksi'!$G$5:$G$92,"Tanah",'Daftar Koreksi'!$H$5:$H$92,"&lt;0")</f>
        <v>0</v>
      </c>
      <c r="G778" s="17">
        <f t="shared" ref="G778:G794" si="35">D778+E778-F778</f>
        <v>6879994880</v>
      </c>
      <c r="H778" s="122"/>
    </row>
    <row r="779" spans="1:8" ht="21.95" customHeight="1">
      <c r="A779" s="14"/>
      <c r="B779" s="14"/>
      <c r="C779" s="16" t="s">
        <v>1167</v>
      </c>
      <c r="D779" s="17">
        <f>VLOOKUP(A774,'Neraca Unaudited SIMAK'!$A$2:$S$10004,5,FALSE)</f>
        <v>1785537455</v>
      </c>
      <c r="E779" s="25">
        <f>SUMIFS('Daftar Koreksi'!$H$5:$H$92,'Daftar Koreksi'!$D$5:$D$92,'0300'!A774,'Daftar Koreksi'!$G$5:$G$92,"Peralatan dan mesin",'Daftar Koreksi'!$H$5:$H$92,"&gt;0")</f>
        <v>0</v>
      </c>
      <c r="F779" s="25">
        <f>SUMIFS('Daftar Koreksi'!$H$5:$H$92,'Daftar Koreksi'!$D$5:$D$92,'0300'!A774,'Daftar Koreksi'!$G$5:$G$92,"Peralatan dan mesin",'Daftar Koreksi'!$H$5:$H$92,"&lt;0")-SUMIFS('Daftar Koreksi'!$H$5:$H$92,'Daftar Koreksi'!$D$5:$D$92,'0300'!A774,'Daftar Koreksi'!$G$5:$G$92,"Peralatan dan mesin",'Daftar Koreksi'!$H$5:$H$92,"&lt;0")-SUMIFS('Daftar Koreksi'!$H$5:$H$92,'Daftar Koreksi'!$D$5:$D$92,'0300'!A774,'Daftar Koreksi'!$G$5:$G$92,"Peralatan dan mesin",'Daftar Koreksi'!$H$5:$H$92,"&lt;0")</f>
        <v>0</v>
      </c>
      <c r="G779" s="17">
        <f t="shared" si="35"/>
        <v>1785537455</v>
      </c>
      <c r="H779" s="122"/>
    </row>
    <row r="780" spans="1:8" ht="21.95" customHeight="1">
      <c r="A780" s="14"/>
      <c r="B780" s="14"/>
      <c r="C780" s="16" t="s">
        <v>1168</v>
      </c>
      <c r="D780" s="17">
        <f>VLOOKUP(A774,'Neraca Unaudited SIMAK'!$A$2:$S$10004,6,FALSE)</f>
        <v>2211527999</v>
      </c>
      <c r="E780" s="25">
        <f>SUMIFS('Daftar Koreksi'!$H$5:$H$92,'Daftar Koreksi'!$D$5:$D$92,'0300'!A774,'Daftar Koreksi'!$G$5:$G$92,"Gedung dan Bangunan",'Daftar Koreksi'!$H$5:$H$92,"&gt;0")</f>
        <v>0</v>
      </c>
      <c r="F780" s="25">
        <f>SUMIFS('Daftar Koreksi'!$H$5:$H$92,'Daftar Koreksi'!$D$5:$D$92,'0300'!A774,'Daftar Koreksi'!$G$5:$G$92,"Gedung dan Bangunan",'Daftar Koreksi'!$H$5:$H$92,"&lt;0")-SUMIFS('Daftar Koreksi'!$H$5:$H$92,'Daftar Koreksi'!$D$5:$D$92,'0300'!A774,'Daftar Koreksi'!$G$5:$G$92,"Gedung dan Bangunan",'Daftar Koreksi'!$H$5:$H$92,"&lt;0")-SUMIFS('Daftar Koreksi'!$H$5:$H$92,'Daftar Koreksi'!$D$5:$D$92,'0300'!A774,'Daftar Koreksi'!$G$5:$G$92,"Gedung dan Bangunan",'Daftar Koreksi'!$H$5:$H$92,"&lt;0")</f>
        <v>0</v>
      </c>
      <c r="G780" s="17">
        <f t="shared" si="35"/>
        <v>2211527999</v>
      </c>
      <c r="H780" s="122"/>
    </row>
    <row r="781" spans="1:8" ht="21.95" customHeight="1">
      <c r="A781" s="14"/>
      <c r="B781" s="14"/>
      <c r="C781" s="16" t="s">
        <v>1169</v>
      </c>
      <c r="D781" s="17">
        <f>VLOOKUP(A774,'Neraca Unaudited SIMAK'!$A$2:$S$10004,7,FALSE)</f>
        <v>37872000</v>
      </c>
      <c r="E781" s="25">
        <f>SUMIFS('Daftar Koreksi'!$H$5:$H$92,'Daftar Koreksi'!$D$5:$D$92,'0300'!A774,'Daftar Koreksi'!$G$5:$G$92,"Jalan Irigasi Jaringan",'Daftar Koreksi'!$H$5:$H$92,"&gt;0")</f>
        <v>0</v>
      </c>
      <c r="F781" s="25">
        <f>SUMIFS('Daftar Koreksi'!$H$5:$H$92,'Daftar Koreksi'!$D$5:$D$92,'0300'!A774,'Daftar Koreksi'!$G$5:$G$92,"Jalan Irigasi Jaringan",'Daftar Koreksi'!$H$5:$H$92,"&lt;0")-SUMIFS('Daftar Koreksi'!$H$5:$H$92,'Daftar Koreksi'!$D$5:$D$92,'0300'!A774,'Daftar Koreksi'!$G$5:$G$92,"Jalan Irigasi Jaringan",'Daftar Koreksi'!$H$5:$H$92,"&lt;0")-SUMIFS('Daftar Koreksi'!$H$5:$H$92,'Daftar Koreksi'!$D$5:$D$92,'0300'!A774,'Daftar Koreksi'!$G$5:$G$92,"Jalan Irigasi Jaringan",'Daftar Koreksi'!$H$5:$H$92,"&lt;0")</f>
        <v>0</v>
      </c>
      <c r="G781" s="17">
        <f t="shared" si="35"/>
        <v>37872000</v>
      </c>
      <c r="H781" s="122"/>
    </row>
    <row r="782" spans="1:8" ht="21.95" customHeight="1">
      <c r="A782" s="14"/>
      <c r="B782" s="14"/>
      <c r="C782" s="16" t="s">
        <v>1170</v>
      </c>
      <c r="D782" s="17">
        <f>VLOOKUP(A774,'Neraca Unaudited SIMAK'!$A$2:$S$10004,8,FALSE)</f>
        <v>99113742</v>
      </c>
      <c r="E782" s="25">
        <f>SUMIFS('Daftar Koreksi'!$H$5:$H$92,'Daftar Koreksi'!$D$5:$D$92,'0300'!A774,'Daftar Koreksi'!$G$5:$G$92,"Aset Tetap Lainnya",'Daftar Koreksi'!$H$5:$H$92,"&gt;0")</f>
        <v>0</v>
      </c>
      <c r="F782" s="25">
        <f>SUMIFS('Daftar Koreksi'!$H$5:$H$92,'Daftar Koreksi'!$D$5:$D$92,'0300'!A774,'Daftar Koreksi'!$G$5:$G$92,"Aset Tetap Lainnya",'Daftar Koreksi'!$H$5:$H$92,"&lt;0")-SUMIFS('Daftar Koreksi'!$H$5:$H$92,'Daftar Koreksi'!$D$5:$D$92,'0300'!A774,'Daftar Koreksi'!$G$5:$G$92,"Aset Tetap Lainnya",'Daftar Koreksi'!$H$5:$H$92,"&lt;0")-SUMIFS('Daftar Koreksi'!$H$5:$H$92,'Daftar Koreksi'!$D$5:$D$92,'0300'!A774,'Daftar Koreksi'!$G$5:$G$92,"Aset Tetap Lainnya",'Daftar Koreksi'!$H$5:$H$92,"&lt;0")</f>
        <v>0</v>
      </c>
      <c r="G782" s="17">
        <f t="shared" si="35"/>
        <v>99113742</v>
      </c>
      <c r="H782" s="122"/>
    </row>
    <row r="783" spans="1:8" ht="21.95" customHeight="1">
      <c r="A783" s="14"/>
      <c r="B783" s="14"/>
      <c r="C783" s="16" t="s">
        <v>1171</v>
      </c>
      <c r="D783" s="17">
        <f>VLOOKUP(A774,'Neraca Unaudited SIMAK'!$A$2:$S$10004,9,FALSE)</f>
        <v>0</v>
      </c>
      <c r="E783" s="25">
        <f>SUMIFS('Daftar Koreksi'!$H$5:$H$92,'Daftar Koreksi'!$D$5:$D$92,'0300'!A774,'Daftar Koreksi'!$G$5:$G$92,"Kontruksi Dalam Pengerjaan",'Daftar Koreksi'!$H$5:$H$92,"&gt;0")</f>
        <v>0</v>
      </c>
      <c r="F783" s="25">
        <f>SUMIFS('Daftar Koreksi'!$H$5:$H$92,'Daftar Koreksi'!$D$5:$D$92,'0300'!A774,'Daftar Koreksi'!$G$5:$G$92,"Kontruksi Dalam Pengerjaan",'Daftar Koreksi'!$H$5:$H$92,"&lt;0")-SUMIFS('Daftar Koreksi'!$H$5:$H$92,'Daftar Koreksi'!$D$5:$D$92,'0300'!A774,'Daftar Koreksi'!$G$5:$G$92,"Kontruksi Dalam Pengerjaan",'Daftar Koreksi'!$H$5:$H$92,"&lt;0")-SUMIFS('Daftar Koreksi'!$H$5:$H$92,'Daftar Koreksi'!$D$5:$D$92,'0300'!A774,'Daftar Koreksi'!$G$5:$G$92,"Kontruksi Dalam Pengerjaan",'Daftar Koreksi'!$H$5:$H$92,"&lt;0")</f>
        <v>0</v>
      </c>
      <c r="G783" s="17">
        <f t="shared" si="35"/>
        <v>0</v>
      </c>
      <c r="H783" s="122"/>
    </row>
    <row r="784" spans="1:8" ht="21.95" customHeight="1">
      <c r="A784" s="14"/>
      <c r="B784" s="14"/>
      <c r="C784" s="16" t="s">
        <v>1172</v>
      </c>
      <c r="D784" s="17">
        <f>VLOOKUP(A774,'Neraca Unaudited SIMAK'!$A$2:$S$10004,10,FALSE)</f>
        <v>9075000</v>
      </c>
      <c r="E784" s="25">
        <f>SUMIFS('Daftar Koreksi'!$H$5:$H$92,'Daftar Koreksi'!$D$5:$D$92,'0300'!A774,'Daftar Koreksi'!$G$5:$G$92,"Aset Tak Berwujud",'Daftar Koreksi'!$H$5:$H$92,"&gt;0")</f>
        <v>0</v>
      </c>
      <c r="F784" s="25">
        <f>SUMIFS('Daftar Koreksi'!$H$5:$H$92,'Daftar Koreksi'!$D$5:$D$92,'0300'!A774,'Daftar Koreksi'!$G$5:$G$92,"Aset Tak Berwujud",'Daftar Koreksi'!$H$5:$H$92,"&lt;0")-SUMIFS('Daftar Koreksi'!$H$5:$H$92,'Daftar Koreksi'!$D$5:$D$92,'0300'!A774,'Daftar Koreksi'!$G$5:$G$92,"Aset Tak Berwujud",'Daftar Koreksi'!$H$5:$H$92,"&lt;0")-SUMIFS('Daftar Koreksi'!$H$5:$H$92,'Daftar Koreksi'!$D$5:$D$92,'0300'!A774,'Daftar Koreksi'!$G$5:$G$92,"Aset Tak Berwujud",'Daftar Koreksi'!$H$5:$H$92,"&lt;0")</f>
        <v>0</v>
      </c>
      <c r="G784" s="17">
        <f t="shared" si="35"/>
        <v>9075000</v>
      </c>
      <c r="H784" s="122"/>
    </row>
    <row r="785" spans="1:8" ht="21.95" customHeight="1">
      <c r="A785" s="14"/>
      <c r="B785" s="14"/>
      <c r="C785" s="16" t="s">
        <v>1173</v>
      </c>
      <c r="D785" s="17">
        <f>VLOOKUP(A774,'Neraca Unaudited SIMAK'!$A$2:$S$10004,11,FALSE)</f>
        <v>78027500</v>
      </c>
      <c r="E785" s="25">
        <f>SUMIFS('Daftar Koreksi'!$H$5:$H$92,'Daftar Koreksi'!$D$5:$D$92,'0300'!A774,'Daftar Koreksi'!$G$5:$G$92,"Aset Henti Guna",'Daftar Koreksi'!$H$5:$H$92,"&gt;0")</f>
        <v>0</v>
      </c>
      <c r="F785" s="25">
        <f>SUMIFS('Daftar Koreksi'!$H$5:$H$92,'Daftar Koreksi'!$D$5:$D$92,'0300'!A774,'Daftar Koreksi'!$G$5:$G$92,"Aset Henti Guna",'Daftar Koreksi'!$H$5:$H$92,"&lt;0")-SUMIFS('Daftar Koreksi'!$H$5:$H$92,'Daftar Koreksi'!$D$5:$D$92,'0300'!A774,'Daftar Koreksi'!$G$5:$G$92,"Aset Henti Guna",'Daftar Koreksi'!$H$5:$H$92,"&lt;0")-SUMIFS('Daftar Koreksi'!$H$5:$H$92,'Daftar Koreksi'!$D$5:$D$92,'0300'!A774,'Daftar Koreksi'!$G$5:$G$92,"Aset Henti Guna",'Daftar Koreksi'!$H$5:$H$92,"&lt;0")</f>
        <v>0</v>
      </c>
      <c r="G785" s="17">
        <f t="shared" si="35"/>
        <v>78027500</v>
      </c>
      <c r="H785" s="122"/>
    </row>
    <row r="786" spans="1:8" ht="21.95" customHeight="1">
      <c r="A786" s="14"/>
      <c r="B786" s="14"/>
      <c r="C786" s="18" t="s">
        <v>2093</v>
      </c>
      <c r="D786" s="19">
        <f>VLOOKUP(A774,'Neraca Unaudited SIMAK'!$A$2:$S$10004,12,FALSE)</f>
        <v>11104802976</v>
      </c>
      <c r="E786" s="19">
        <f>SUM(E777:E785)</f>
        <v>0</v>
      </c>
      <c r="F786" s="19">
        <f>SUM(F777:F785)</f>
        <v>0</v>
      </c>
      <c r="G786" s="19">
        <f t="shared" si="35"/>
        <v>11104802976</v>
      </c>
      <c r="H786" s="122"/>
    </row>
    <row r="787" spans="1:8" ht="21.95" customHeight="1">
      <c r="A787" s="14"/>
      <c r="B787" s="14"/>
      <c r="C787" s="16" t="s">
        <v>2087</v>
      </c>
      <c r="D787" s="17">
        <f>VLOOKUP(A774,'Neraca Unaudited SIMAK'!$A$2:$S$10004,13,FALSE)</f>
        <v>-1655337718</v>
      </c>
      <c r="E787" s="25">
        <f>SUMIFS('Daftar Koreksi'!$I$5:$I$92,'Daftar Koreksi'!$D$5:$D$92,'0300'!A774,'Daftar Koreksi'!$G$5:$G$92,"Peralatan dan mesin",'Daftar Koreksi'!$I$5:$I$92,"&gt;0")</f>
        <v>0</v>
      </c>
      <c r="F787" s="25">
        <f>SUMIFS('Daftar Koreksi'!$I$5:$I$92,'Daftar Koreksi'!$D$5:$D$92,'0300'!A774,'Daftar Koreksi'!$G$5:$G$92,"Peralatan dan mesin",'Daftar Koreksi'!$I$5:$I$92,"&lt;0")-SUMIFS('Daftar Koreksi'!$I$5:$I$92,'Daftar Koreksi'!$D$5:$D$92,'0300'!A774,'Daftar Koreksi'!$G$5:$G$92,"Peralatan dan mesin",'Daftar Koreksi'!$I$5:$I$92,"&lt;0")-SUMIFS('Daftar Koreksi'!$I$5:$I$92,'Daftar Koreksi'!$D$5:$D$92,'0300'!A774,'Daftar Koreksi'!$G$5:$G$92,"Peralatan dan mesin",'Daftar Koreksi'!$I$5:$I$92,"&lt;0")</f>
        <v>0</v>
      </c>
      <c r="G787" s="17">
        <f t="shared" si="35"/>
        <v>-1655337718</v>
      </c>
      <c r="H787" s="122"/>
    </row>
    <row r="788" spans="1:8" ht="21.95" customHeight="1">
      <c r="A788" s="14"/>
      <c r="B788" s="14"/>
      <c r="C788" s="16" t="s">
        <v>2088</v>
      </c>
      <c r="D788" s="17">
        <f>VLOOKUP(A774,'Neraca Unaudited SIMAK'!$A$2:$S$10004,14,FALSE)</f>
        <v>-443471231</v>
      </c>
      <c r="E788" s="25">
        <f>SUMIFS('Daftar Koreksi'!$I$5:$I$92,'Daftar Koreksi'!$D$5:$D$92,'0300'!A774,'Daftar Koreksi'!$G$5:$G$92,"Gedung dan Bangunan",'Daftar Koreksi'!$I$5:$I$92,"&gt;0")</f>
        <v>0</v>
      </c>
      <c r="F788" s="25">
        <f>SUMIFS('Daftar Koreksi'!$I$5:$I$92,'Daftar Koreksi'!$D$5:$D$92,'0300'!A774,'Daftar Koreksi'!$G$5:$G$92,"Gedung dan Bangunan",'Daftar Koreksi'!$I$5:$I$92,"&lt;0")-SUMIFS('Daftar Koreksi'!$I$5:$I$92,'Daftar Koreksi'!$D$5:$D$92,'0300'!A774,'Daftar Koreksi'!$G$5:$G$92,"Gedung dan Bangunan",'Daftar Koreksi'!$I$5:$I$92,"&lt;0")-SUMIFS('Daftar Koreksi'!$I$5:$I$92,'Daftar Koreksi'!$D$5:$D$92,'0300'!A774,'Daftar Koreksi'!$G$5:$G$92,"Gedung dan Bangunan",'Daftar Koreksi'!$I$5:$I$92,"&lt;0")</f>
        <v>0</v>
      </c>
      <c r="G788" s="17">
        <f t="shared" si="35"/>
        <v>-443471231</v>
      </c>
      <c r="H788" s="122"/>
    </row>
    <row r="789" spans="1:8" ht="21.95" customHeight="1">
      <c r="A789" s="14"/>
      <c r="B789" s="14"/>
      <c r="C789" s="16" t="s">
        <v>2089</v>
      </c>
      <c r="D789" s="17">
        <f>VLOOKUP(A774,'Neraca Unaudited SIMAK'!$A$2:$S$10004,15,FALSE)</f>
        <v>-5409679</v>
      </c>
      <c r="E789" s="25">
        <f>SUMIFS('Daftar Koreksi'!$I$5:$I$92,'Daftar Koreksi'!$D$5:$D$92,'0300'!A774,'Daftar Koreksi'!$G$5:$G$92,"Jalan Irigasi Jaringan",'Daftar Koreksi'!$I$5:$I$92,"&gt;0")</f>
        <v>0</v>
      </c>
      <c r="F789" s="25">
        <f>SUMIFS('Daftar Koreksi'!$I$5:$I$92,'Daftar Koreksi'!$D$5:$D$92,'0300'!A774,'Daftar Koreksi'!$G$5:$G$92,"Jalan Irigasi Jaringan",'Daftar Koreksi'!$I$5:$I$92,"&lt;0")-SUMIFS('Daftar Koreksi'!$I$5:$I$92,'Daftar Koreksi'!$D$5:$D$92,'0300'!A774,'Daftar Koreksi'!$G$5:$G$92,"Jalan Irigasi Jaringan",'Daftar Koreksi'!$I$5:$I$92,"&lt;0")-SUMIFS('Daftar Koreksi'!$I$5:$I$92,'Daftar Koreksi'!$D$5:$D$92,'0300'!A774,'Daftar Koreksi'!$G$5:$G$92,"Jalan Irigasi Jaringan",'Daftar Koreksi'!$I$5:$I$92,"&lt;0")</f>
        <v>0</v>
      </c>
      <c r="G789" s="17">
        <f t="shared" si="35"/>
        <v>-5409679</v>
      </c>
      <c r="H789" s="122"/>
    </row>
    <row r="790" spans="1:8" ht="21.95" customHeight="1">
      <c r="A790" s="14"/>
      <c r="B790" s="14"/>
      <c r="C790" s="16" t="s">
        <v>2090</v>
      </c>
      <c r="D790" s="17">
        <f>VLOOKUP(A774,'Neraca Unaudited SIMAK'!$A$2:$S$10004,16,FALSE)</f>
        <v>0</v>
      </c>
      <c r="E790" s="25">
        <f>SUMIFS('Daftar Koreksi'!$I$5:$I$92,'Daftar Koreksi'!$D$5:$D$92,'0300'!A774,'Daftar Koreksi'!$G$5:$G$92,"Aset Tetap Lainnya",'Daftar Koreksi'!$I$5:$I$92,"&gt;0")</f>
        <v>0</v>
      </c>
      <c r="F790" s="25">
        <f>SUMIFS('Daftar Koreksi'!$I$5:$I$92,'Daftar Koreksi'!$D$5:$D$92,'0300'!A774,'Daftar Koreksi'!$G$5:$G$92,"Aset Tetap Lainnya",'Daftar Koreksi'!$I$5:$I$92,"&lt;0")-SUMIFS('Daftar Koreksi'!$I$5:$I$92,'Daftar Koreksi'!$D$5:$D$92,'0300'!A774,'Daftar Koreksi'!$G$5:$G$92,"Aset Tetap Lainnya",'Daftar Koreksi'!$I$5:$I$92,"&lt;0")-SUMIFS('Daftar Koreksi'!$I$5:$I$92,'Daftar Koreksi'!$D$5:$D$92,'0300'!A774,'Daftar Koreksi'!$G$5:$G$92,"Aset Tetap Lainnya",'Daftar Koreksi'!$I$5:$I$92,"&lt;0")</f>
        <v>0</v>
      </c>
      <c r="G790" s="17">
        <f t="shared" si="35"/>
        <v>0</v>
      </c>
      <c r="H790" s="122"/>
    </row>
    <row r="791" spans="1:8" ht="21.95" customHeight="1">
      <c r="A791" s="14"/>
      <c r="B791" s="14"/>
      <c r="C791" s="16" t="s">
        <v>2020</v>
      </c>
      <c r="D791" s="17">
        <f>VLOOKUP(A774,'Neraca Unaudited SIMAK'!$A$2:$S$10004,17,FALSE)</f>
        <v>-78027500</v>
      </c>
      <c r="E791" s="25">
        <f>SUMIFS('Daftar Koreksi'!$I$5:$I$92,'Daftar Koreksi'!$D$5:$D$92,'0300'!A774,'Daftar Koreksi'!$G$5:$G$92,"Aset Henti Guna",'Daftar Koreksi'!$I$5:$I$92,"&gt;0")</f>
        <v>0</v>
      </c>
      <c r="F791" s="25">
        <f>SUMIFS('Daftar Koreksi'!$I$5:$I$92,'Daftar Koreksi'!$D$5:$D$92,'0300'!A774,'Daftar Koreksi'!$G$5:$G$92,"Aset Henti Guna",'Daftar Koreksi'!$I$5:$I$92,"&lt;0")-SUMIFS('Daftar Koreksi'!$I$5:$I$92,'Daftar Koreksi'!$D$5:$D$92,'0300'!A774,'Daftar Koreksi'!$G$5:$G$92,"Aset Henti Guna",'Daftar Koreksi'!$I$5:$I$92,"&lt;0")-SUMIFS('Daftar Koreksi'!$I$5:$I$92,'Daftar Koreksi'!$D$5:$D$92,'0300'!A774,'Daftar Koreksi'!$G$5:$G$92,"Aset Henti Guna",'Daftar Koreksi'!$I$5:$I$92,"&lt;0")</f>
        <v>0</v>
      </c>
      <c r="G791" s="17">
        <f t="shared" si="35"/>
        <v>-78027500</v>
      </c>
      <c r="H791" s="122"/>
    </row>
    <row r="792" spans="1:8" ht="21.95" customHeight="1">
      <c r="A792" s="14"/>
      <c r="B792" s="14"/>
      <c r="C792" s="18" t="s">
        <v>2094</v>
      </c>
      <c r="D792" s="19">
        <f>SUM(D787:D791)</f>
        <v>-2182246128</v>
      </c>
      <c r="E792" s="19">
        <f>SUM(E787:E791)</f>
        <v>0</v>
      </c>
      <c r="F792" s="19">
        <f>SUM(F787:F791)</f>
        <v>0</v>
      </c>
      <c r="G792" s="19">
        <f t="shared" si="35"/>
        <v>-2182246128</v>
      </c>
      <c r="H792" s="122"/>
    </row>
    <row r="793" spans="1:8" ht="21.95" customHeight="1">
      <c r="A793" s="14"/>
      <c r="B793" s="14"/>
      <c r="C793" s="18" t="s">
        <v>2095</v>
      </c>
      <c r="D793" s="19">
        <f>VLOOKUP(A774,'Neraca Unaudited SIMAK'!$A$2:$S$10004,18,FALSE)</f>
        <v>8922556848</v>
      </c>
      <c r="E793" s="19">
        <f>E792+E786</f>
        <v>0</v>
      </c>
      <c r="F793" s="19">
        <f>F792+F786</f>
        <v>0</v>
      </c>
      <c r="G793" s="19">
        <f t="shared" si="35"/>
        <v>8922556848</v>
      </c>
      <c r="H793" s="122"/>
    </row>
    <row r="794" spans="1:8" ht="21.95" customHeight="1">
      <c r="A794" s="14"/>
      <c r="B794" s="14"/>
      <c r="C794" s="16" t="s">
        <v>2091</v>
      </c>
      <c r="D794" s="17">
        <f>VLOOKUP(A774,'Neraca Unaudited SIMAK'!$A$2:$S$10004,19,FALSE)</f>
        <v>0</v>
      </c>
      <c r="E794" s="25"/>
      <c r="F794" s="25"/>
      <c r="G794" s="17">
        <f t="shared" si="35"/>
        <v>0</v>
      </c>
      <c r="H794" s="123"/>
    </row>
    <row r="796" spans="1:8" ht="19.5" customHeight="1">
      <c r="A796" s="11" t="str">
        <f>O37</f>
        <v>005010300400860000KD</v>
      </c>
      <c r="B796" s="11" t="str">
        <f>P37</f>
        <v>PA. Pekalongan</v>
      </c>
      <c r="C796" s="12" t="str">
        <f>A796&amp;" "&amp;B796</f>
        <v>005010300400860000KD PA. Pekalongan</v>
      </c>
      <c r="D796" s="13"/>
      <c r="E796" s="13"/>
      <c r="F796" s="13"/>
      <c r="G796" s="13"/>
      <c r="H796" s="11"/>
    </row>
    <row r="797" spans="1:8" ht="21.95" customHeight="1">
      <c r="A797" s="14"/>
      <c r="B797" s="14"/>
      <c r="C797" s="124" t="s">
        <v>1982</v>
      </c>
      <c r="D797" s="126" t="s">
        <v>1983</v>
      </c>
      <c r="E797" s="132" t="s">
        <v>1984</v>
      </c>
      <c r="F797" s="132"/>
      <c r="G797" s="126" t="s">
        <v>1987</v>
      </c>
      <c r="H797" s="130" t="s">
        <v>1175</v>
      </c>
    </row>
    <row r="798" spans="1:8" ht="21.95" customHeight="1">
      <c r="A798" s="14"/>
      <c r="B798" s="14"/>
      <c r="C798" s="125"/>
      <c r="D798" s="127"/>
      <c r="E798" s="26" t="s">
        <v>1985</v>
      </c>
      <c r="F798" s="26" t="s">
        <v>1986</v>
      </c>
      <c r="G798" s="127"/>
      <c r="H798" s="131"/>
    </row>
    <row r="799" spans="1:8" ht="21.95" customHeight="1">
      <c r="A799" s="14"/>
      <c r="B799" s="14"/>
      <c r="C799" s="16" t="s">
        <v>1165</v>
      </c>
      <c r="D799" s="17">
        <f>VLOOKUP(A796,'Neraca Unaudited SIMAK'!$A$2:$S$10004,3,FALSE)</f>
        <v>1654500</v>
      </c>
      <c r="E799" s="25">
        <f>SUMIFS('Daftar Koreksi'!$H$5:$H$92,'Daftar Koreksi'!$D$5:$D$92,'0300'!A796,'Daftar Koreksi'!$G$5:$G$92,"Persediaan",'Daftar Koreksi'!$H$5:$H$92,"&gt;0")</f>
        <v>0</v>
      </c>
      <c r="F799" s="25">
        <f>SUMIFS('Daftar Koreksi'!$H$5:$H$92,'Daftar Koreksi'!$D$5:$D$92,'0300'!A796,'Daftar Koreksi'!$G$5:$G$92,"Persediaan",'Daftar Koreksi'!$H$5:$H$92,"&lt;0")-SUMIFS('Daftar Koreksi'!$H$5:$H$92,'Daftar Koreksi'!$D$5:$D$92,'0300'!A796,'Daftar Koreksi'!$G$5:$G$92,"Persediaan",'Daftar Koreksi'!$H$5:$H$92,"&lt;0")-SUMIFS('Daftar Koreksi'!$H$5:$H$92,'Daftar Koreksi'!$D$5:$D$92,'0300'!A796,'Daftar Koreksi'!$G$5:$G$92,"Persediaan",'Daftar Koreksi'!$H$5:$H$92,"&lt;0")</f>
        <v>0</v>
      </c>
      <c r="G799" s="17">
        <f>D799+E799-F799</f>
        <v>1654500</v>
      </c>
      <c r="H799" s="121" t="str">
        <f>IF(ISNA(VLOOKUP(A796,'Mutasi Neraca'!$A$3:$S$914,19,FALSE)),"-",VLOOKUP(A796,'Mutasi Neraca'!$A$3:$S$914,19,FALSE))</f>
        <v>-</v>
      </c>
    </row>
    <row r="800" spans="1:8" ht="21.95" customHeight="1">
      <c r="A800" s="14"/>
      <c r="B800" s="14"/>
      <c r="C800" s="16" t="s">
        <v>1166</v>
      </c>
      <c r="D800" s="17">
        <f>VLOOKUP(A796,'Neraca Unaudited SIMAK'!$A$2:$S$10004,4,FALSE)</f>
        <v>3607200000</v>
      </c>
      <c r="E800" s="25">
        <f>SUMIFS('Daftar Koreksi'!$H$5:$H$92,'Daftar Koreksi'!$D$5:$D$92,'0300'!A796,'Daftar Koreksi'!$G$5:$G$92,"Tanah",'Daftar Koreksi'!$H$5:$H$92,"&gt;0")</f>
        <v>0</v>
      </c>
      <c r="F800" s="25">
        <f>SUMIFS('Daftar Koreksi'!$H$5:$H$92,'Daftar Koreksi'!$D$5:$D$92,'0300'!A796,'Daftar Koreksi'!$G$5:$G$92,"Tanah",'Daftar Koreksi'!$H$5:$H$92,"&lt;0")-SUMIFS('Daftar Koreksi'!$H$5:$H$92,'Daftar Koreksi'!$D$5:$D$92,'0300'!A796,'Daftar Koreksi'!$G$5:$G$92,"Tanah",'Daftar Koreksi'!$H$5:$H$92,"&lt;0")-SUMIFS('Daftar Koreksi'!$H$5:$H$92,'Daftar Koreksi'!$D$5:$D$92,'0300'!A796,'Daftar Koreksi'!$G$5:$G$92,"Tanah",'Daftar Koreksi'!$H$5:$H$92,"&lt;0")</f>
        <v>0</v>
      </c>
      <c r="G800" s="17">
        <f t="shared" ref="G800:G816" si="36">D800+E800-F800</f>
        <v>3607200000</v>
      </c>
      <c r="H800" s="122"/>
    </row>
    <row r="801" spans="1:8" ht="21.95" customHeight="1">
      <c r="A801" s="14"/>
      <c r="B801" s="14"/>
      <c r="C801" s="16" t="s">
        <v>1167</v>
      </c>
      <c r="D801" s="17">
        <f>VLOOKUP(A796,'Neraca Unaudited SIMAK'!$A$2:$S$10004,5,FALSE)</f>
        <v>957170873</v>
      </c>
      <c r="E801" s="25">
        <f>SUMIFS('Daftar Koreksi'!$H$5:$H$92,'Daftar Koreksi'!$D$5:$D$92,'0300'!A796,'Daftar Koreksi'!$G$5:$G$92,"Peralatan dan mesin",'Daftar Koreksi'!$H$5:$H$92,"&gt;0")</f>
        <v>0</v>
      </c>
      <c r="F801" s="25">
        <f>SUMIFS('Daftar Koreksi'!$H$5:$H$92,'Daftar Koreksi'!$D$5:$D$92,'0300'!A796,'Daftar Koreksi'!$G$5:$G$92,"Peralatan dan mesin",'Daftar Koreksi'!$H$5:$H$92,"&lt;0")-SUMIFS('Daftar Koreksi'!$H$5:$H$92,'Daftar Koreksi'!$D$5:$D$92,'0300'!A796,'Daftar Koreksi'!$G$5:$G$92,"Peralatan dan mesin",'Daftar Koreksi'!$H$5:$H$92,"&lt;0")-SUMIFS('Daftar Koreksi'!$H$5:$H$92,'Daftar Koreksi'!$D$5:$D$92,'0300'!A796,'Daftar Koreksi'!$G$5:$G$92,"Peralatan dan mesin",'Daftar Koreksi'!$H$5:$H$92,"&lt;0")</f>
        <v>0</v>
      </c>
      <c r="G801" s="17">
        <f t="shared" si="36"/>
        <v>957170873</v>
      </c>
      <c r="H801" s="122"/>
    </row>
    <row r="802" spans="1:8" ht="21.95" customHeight="1">
      <c r="A802" s="14"/>
      <c r="B802" s="14"/>
      <c r="C802" s="16" t="s">
        <v>1168</v>
      </c>
      <c r="D802" s="17">
        <f>VLOOKUP(A796,'Neraca Unaudited SIMAK'!$A$2:$S$10004,6,FALSE)</f>
        <v>4269234760</v>
      </c>
      <c r="E802" s="25">
        <f>SUMIFS('Daftar Koreksi'!$H$5:$H$92,'Daftar Koreksi'!$D$5:$D$92,'0300'!A796,'Daftar Koreksi'!$G$5:$G$92,"Gedung dan Bangunan",'Daftar Koreksi'!$H$5:$H$92,"&gt;0")</f>
        <v>0</v>
      </c>
      <c r="F802" s="25">
        <f>SUMIFS('Daftar Koreksi'!$H$5:$H$92,'Daftar Koreksi'!$D$5:$D$92,'0300'!A796,'Daftar Koreksi'!$G$5:$G$92,"Gedung dan Bangunan",'Daftar Koreksi'!$H$5:$H$92,"&lt;0")-SUMIFS('Daftar Koreksi'!$H$5:$H$92,'Daftar Koreksi'!$D$5:$D$92,'0300'!A796,'Daftar Koreksi'!$G$5:$G$92,"Gedung dan Bangunan",'Daftar Koreksi'!$H$5:$H$92,"&lt;0")-SUMIFS('Daftar Koreksi'!$H$5:$H$92,'Daftar Koreksi'!$D$5:$D$92,'0300'!A796,'Daftar Koreksi'!$G$5:$G$92,"Gedung dan Bangunan",'Daftar Koreksi'!$H$5:$H$92,"&lt;0")</f>
        <v>0</v>
      </c>
      <c r="G802" s="17">
        <f t="shared" si="36"/>
        <v>4269234760</v>
      </c>
      <c r="H802" s="122"/>
    </row>
    <row r="803" spans="1:8" ht="21.95" customHeight="1">
      <c r="A803" s="14"/>
      <c r="B803" s="14"/>
      <c r="C803" s="16" t="s">
        <v>1169</v>
      </c>
      <c r="D803" s="17">
        <f>VLOOKUP(A796,'Neraca Unaudited SIMAK'!$A$2:$S$10004,7,FALSE)</f>
        <v>0</v>
      </c>
      <c r="E803" s="25">
        <f>SUMIFS('Daftar Koreksi'!$H$5:$H$92,'Daftar Koreksi'!$D$5:$D$92,'0300'!A796,'Daftar Koreksi'!$G$5:$G$92,"Jalan Irigasi Jaringan",'Daftar Koreksi'!$H$5:$H$92,"&gt;0")</f>
        <v>0</v>
      </c>
      <c r="F803" s="25">
        <f>SUMIFS('Daftar Koreksi'!$H$5:$H$92,'Daftar Koreksi'!$D$5:$D$92,'0300'!A796,'Daftar Koreksi'!$G$5:$G$92,"Jalan Irigasi Jaringan",'Daftar Koreksi'!$H$5:$H$92,"&lt;0")-SUMIFS('Daftar Koreksi'!$H$5:$H$92,'Daftar Koreksi'!$D$5:$D$92,'0300'!A796,'Daftar Koreksi'!$G$5:$G$92,"Jalan Irigasi Jaringan",'Daftar Koreksi'!$H$5:$H$92,"&lt;0")-SUMIFS('Daftar Koreksi'!$H$5:$H$92,'Daftar Koreksi'!$D$5:$D$92,'0300'!A796,'Daftar Koreksi'!$G$5:$G$92,"Jalan Irigasi Jaringan",'Daftar Koreksi'!$H$5:$H$92,"&lt;0")</f>
        <v>0</v>
      </c>
      <c r="G803" s="17">
        <f t="shared" si="36"/>
        <v>0</v>
      </c>
      <c r="H803" s="122"/>
    </row>
    <row r="804" spans="1:8" ht="21.95" customHeight="1">
      <c r="A804" s="14"/>
      <c r="B804" s="14"/>
      <c r="C804" s="16" t="s">
        <v>1170</v>
      </c>
      <c r="D804" s="17">
        <f>VLOOKUP(A796,'Neraca Unaudited SIMAK'!$A$2:$S$10004,8,FALSE)</f>
        <v>82634900</v>
      </c>
      <c r="E804" s="25">
        <f>SUMIFS('Daftar Koreksi'!$H$5:$H$92,'Daftar Koreksi'!$D$5:$D$92,'0300'!A796,'Daftar Koreksi'!$G$5:$G$92,"Aset Tetap Lainnya",'Daftar Koreksi'!$H$5:$H$92,"&gt;0")</f>
        <v>0</v>
      </c>
      <c r="F804" s="25">
        <f>SUMIFS('Daftar Koreksi'!$H$5:$H$92,'Daftar Koreksi'!$D$5:$D$92,'0300'!A796,'Daftar Koreksi'!$G$5:$G$92,"Aset Tetap Lainnya",'Daftar Koreksi'!$H$5:$H$92,"&lt;0")-SUMIFS('Daftar Koreksi'!$H$5:$H$92,'Daftar Koreksi'!$D$5:$D$92,'0300'!A796,'Daftar Koreksi'!$G$5:$G$92,"Aset Tetap Lainnya",'Daftar Koreksi'!$H$5:$H$92,"&lt;0")-SUMIFS('Daftar Koreksi'!$H$5:$H$92,'Daftar Koreksi'!$D$5:$D$92,'0300'!A796,'Daftar Koreksi'!$G$5:$G$92,"Aset Tetap Lainnya",'Daftar Koreksi'!$H$5:$H$92,"&lt;0")</f>
        <v>0</v>
      </c>
      <c r="G804" s="17">
        <f t="shared" si="36"/>
        <v>82634900</v>
      </c>
      <c r="H804" s="122"/>
    </row>
    <row r="805" spans="1:8" ht="21.95" customHeight="1">
      <c r="A805" s="14"/>
      <c r="B805" s="14"/>
      <c r="C805" s="16" t="s">
        <v>1171</v>
      </c>
      <c r="D805" s="17">
        <f>VLOOKUP(A796,'Neraca Unaudited SIMAK'!$A$2:$S$10004,9,FALSE)</f>
        <v>0</v>
      </c>
      <c r="E805" s="25">
        <f>SUMIFS('Daftar Koreksi'!$H$5:$H$92,'Daftar Koreksi'!$D$5:$D$92,'0300'!A796,'Daftar Koreksi'!$G$5:$G$92,"Kontruksi Dalam Pengerjaan",'Daftar Koreksi'!$H$5:$H$92,"&gt;0")</f>
        <v>0</v>
      </c>
      <c r="F805" s="25">
        <f>SUMIFS('Daftar Koreksi'!$H$5:$H$92,'Daftar Koreksi'!$D$5:$D$92,'0300'!A796,'Daftar Koreksi'!$G$5:$G$92,"Kontruksi Dalam Pengerjaan",'Daftar Koreksi'!$H$5:$H$92,"&lt;0")-SUMIFS('Daftar Koreksi'!$H$5:$H$92,'Daftar Koreksi'!$D$5:$D$92,'0300'!A796,'Daftar Koreksi'!$G$5:$G$92,"Kontruksi Dalam Pengerjaan",'Daftar Koreksi'!$H$5:$H$92,"&lt;0")-SUMIFS('Daftar Koreksi'!$H$5:$H$92,'Daftar Koreksi'!$D$5:$D$92,'0300'!A796,'Daftar Koreksi'!$G$5:$G$92,"Kontruksi Dalam Pengerjaan",'Daftar Koreksi'!$H$5:$H$92,"&lt;0")</f>
        <v>0</v>
      </c>
      <c r="G805" s="17">
        <f t="shared" si="36"/>
        <v>0</v>
      </c>
      <c r="H805" s="122"/>
    </row>
    <row r="806" spans="1:8" ht="21.95" customHeight="1">
      <c r="A806" s="14"/>
      <c r="B806" s="14"/>
      <c r="C806" s="16" t="s">
        <v>1172</v>
      </c>
      <c r="D806" s="17">
        <f>VLOOKUP(A796,'Neraca Unaudited SIMAK'!$A$2:$S$10004,10,FALSE)</f>
        <v>0</v>
      </c>
      <c r="E806" s="25">
        <f>SUMIFS('Daftar Koreksi'!$H$5:$H$92,'Daftar Koreksi'!$D$5:$D$92,'0300'!A796,'Daftar Koreksi'!$G$5:$G$92,"Aset Tak Berwujud",'Daftar Koreksi'!$H$5:$H$92,"&gt;0")</f>
        <v>0</v>
      </c>
      <c r="F806" s="25">
        <f>SUMIFS('Daftar Koreksi'!$H$5:$H$92,'Daftar Koreksi'!$D$5:$D$92,'0300'!A796,'Daftar Koreksi'!$G$5:$G$92,"Aset Tak Berwujud",'Daftar Koreksi'!$H$5:$H$92,"&lt;0")-SUMIFS('Daftar Koreksi'!$H$5:$H$92,'Daftar Koreksi'!$D$5:$D$92,'0300'!A796,'Daftar Koreksi'!$G$5:$G$92,"Aset Tak Berwujud",'Daftar Koreksi'!$H$5:$H$92,"&lt;0")-SUMIFS('Daftar Koreksi'!$H$5:$H$92,'Daftar Koreksi'!$D$5:$D$92,'0300'!A796,'Daftar Koreksi'!$G$5:$G$92,"Aset Tak Berwujud",'Daftar Koreksi'!$H$5:$H$92,"&lt;0")</f>
        <v>0</v>
      </c>
      <c r="G806" s="17">
        <f t="shared" si="36"/>
        <v>0</v>
      </c>
      <c r="H806" s="122"/>
    </row>
    <row r="807" spans="1:8" ht="21.95" customHeight="1">
      <c r="A807" s="14"/>
      <c r="B807" s="14"/>
      <c r="C807" s="16" t="s">
        <v>1173</v>
      </c>
      <c r="D807" s="17">
        <f>VLOOKUP(A796,'Neraca Unaudited SIMAK'!$A$2:$S$10004,11,FALSE)</f>
        <v>37517840</v>
      </c>
      <c r="E807" s="25">
        <f>SUMIFS('Daftar Koreksi'!$H$5:$H$92,'Daftar Koreksi'!$D$5:$D$92,'0300'!A796,'Daftar Koreksi'!$G$5:$G$92,"Aset Henti Guna",'Daftar Koreksi'!$H$5:$H$92,"&gt;0")</f>
        <v>0</v>
      </c>
      <c r="F807" s="25">
        <f>SUMIFS('Daftar Koreksi'!$H$5:$H$92,'Daftar Koreksi'!$D$5:$D$92,'0300'!A796,'Daftar Koreksi'!$G$5:$G$92,"Aset Henti Guna",'Daftar Koreksi'!$H$5:$H$92,"&lt;0")-SUMIFS('Daftar Koreksi'!$H$5:$H$92,'Daftar Koreksi'!$D$5:$D$92,'0300'!A796,'Daftar Koreksi'!$G$5:$G$92,"Aset Henti Guna",'Daftar Koreksi'!$H$5:$H$92,"&lt;0")-SUMIFS('Daftar Koreksi'!$H$5:$H$92,'Daftar Koreksi'!$D$5:$D$92,'0300'!A796,'Daftar Koreksi'!$G$5:$G$92,"Aset Henti Guna",'Daftar Koreksi'!$H$5:$H$92,"&lt;0")</f>
        <v>0</v>
      </c>
      <c r="G807" s="17">
        <f t="shared" si="36"/>
        <v>37517840</v>
      </c>
      <c r="H807" s="122"/>
    </row>
    <row r="808" spans="1:8" ht="21.95" customHeight="1">
      <c r="A808" s="14"/>
      <c r="B808" s="14"/>
      <c r="C808" s="18" t="s">
        <v>2093</v>
      </c>
      <c r="D808" s="19">
        <f>VLOOKUP(A796,'Neraca Unaudited SIMAK'!$A$2:$S$10004,12,FALSE)</f>
        <v>8955412873</v>
      </c>
      <c r="E808" s="19">
        <f>SUM(E799:E807)</f>
        <v>0</v>
      </c>
      <c r="F808" s="19">
        <f>SUM(F799:F807)</f>
        <v>0</v>
      </c>
      <c r="G808" s="19">
        <f t="shared" si="36"/>
        <v>8955412873</v>
      </c>
      <c r="H808" s="122"/>
    </row>
    <row r="809" spans="1:8" ht="21.95" customHeight="1">
      <c r="A809" s="14"/>
      <c r="B809" s="14"/>
      <c r="C809" s="16" t="s">
        <v>2087</v>
      </c>
      <c r="D809" s="17">
        <f>VLOOKUP(A796,'Neraca Unaudited SIMAK'!$A$2:$S$10004,13,FALSE)</f>
        <v>-767235518</v>
      </c>
      <c r="E809" s="25">
        <f>SUMIFS('Daftar Koreksi'!$I$5:$I$92,'Daftar Koreksi'!$D$5:$D$92,'0300'!A796,'Daftar Koreksi'!$G$5:$G$92,"Peralatan dan mesin",'Daftar Koreksi'!$I$5:$I$92,"&gt;0")</f>
        <v>0</v>
      </c>
      <c r="F809" s="25">
        <f>SUMIFS('Daftar Koreksi'!$I$5:$I$92,'Daftar Koreksi'!$D$5:$D$92,'0300'!A796,'Daftar Koreksi'!$G$5:$G$92,"Peralatan dan mesin",'Daftar Koreksi'!$I$5:$I$92,"&lt;0")-SUMIFS('Daftar Koreksi'!$I$5:$I$92,'Daftar Koreksi'!$D$5:$D$92,'0300'!A796,'Daftar Koreksi'!$G$5:$G$92,"Peralatan dan mesin",'Daftar Koreksi'!$I$5:$I$92,"&lt;0")-SUMIFS('Daftar Koreksi'!$I$5:$I$92,'Daftar Koreksi'!$D$5:$D$92,'0300'!A796,'Daftar Koreksi'!$G$5:$G$92,"Peralatan dan mesin",'Daftar Koreksi'!$I$5:$I$92,"&lt;0")</f>
        <v>0</v>
      </c>
      <c r="G809" s="17">
        <f t="shared" si="36"/>
        <v>-767235518</v>
      </c>
      <c r="H809" s="122"/>
    </row>
    <row r="810" spans="1:8" ht="21.95" customHeight="1">
      <c r="A810" s="14"/>
      <c r="B810" s="14"/>
      <c r="C810" s="16" t="s">
        <v>2088</v>
      </c>
      <c r="D810" s="17">
        <f>VLOOKUP(A796,'Neraca Unaudited SIMAK'!$A$2:$S$10004,14,FALSE)</f>
        <v>-578818275</v>
      </c>
      <c r="E810" s="25">
        <f>SUMIFS('Daftar Koreksi'!$I$5:$I$92,'Daftar Koreksi'!$D$5:$D$92,'0300'!A796,'Daftar Koreksi'!$G$5:$G$92,"Gedung dan Bangunan",'Daftar Koreksi'!$I$5:$I$92,"&gt;0")</f>
        <v>0</v>
      </c>
      <c r="F810" s="25">
        <f>SUMIFS('Daftar Koreksi'!$I$5:$I$92,'Daftar Koreksi'!$D$5:$D$92,'0300'!A796,'Daftar Koreksi'!$G$5:$G$92,"Gedung dan Bangunan",'Daftar Koreksi'!$I$5:$I$92,"&lt;0")-SUMIFS('Daftar Koreksi'!$I$5:$I$92,'Daftar Koreksi'!$D$5:$D$92,'0300'!A796,'Daftar Koreksi'!$G$5:$G$92,"Gedung dan Bangunan",'Daftar Koreksi'!$I$5:$I$92,"&lt;0")-SUMIFS('Daftar Koreksi'!$I$5:$I$92,'Daftar Koreksi'!$D$5:$D$92,'0300'!A796,'Daftar Koreksi'!$G$5:$G$92,"Gedung dan Bangunan",'Daftar Koreksi'!$I$5:$I$92,"&lt;0")</f>
        <v>0</v>
      </c>
      <c r="G810" s="17">
        <f t="shared" si="36"/>
        <v>-578818275</v>
      </c>
      <c r="H810" s="122"/>
    </row>
    <row r="811" spans="1:8" ht="21.95" customHeight="1">
      <c r="A811" s="14"/>
      <c r="B811" s="14"/>
      <c r="C811" s="16" t="s">
        <v>2089</v>
      </c>
      <c r="D811" s="17">
        <f>VLOOKUP(A796,'Neraca Unaudited SIMAK'!$A$2:$S$10004,15,FALSE)</f>
        <v>0</v>
      </c>
      <c r="E811" s="25">
        <f>SUMIFS('Daftar Koreksi'!$I$5:$I$92,'Daftar Koreksi'!$D$5:$D$92,'0300'!A796,'Daftar Koreksi'!$G$5:$G$92,"Jalan Irigasi Jaringan",'Daftar Koreksi'!$I$5:$I$92,"&gt;0")</f>
        <v>0</v>
      </c>
      <c r="F811" s="25">
        <f>SUMIFS('Daftar Koreksi'!$I$5:$I$92,'Daftar Koreksi'!$D$5:$D$92,'0300'!A796,'Daftar Koreksi'!$G$5:$G$92,"Jalan Irigasi Jaringan",'Daftar Koreksi'!$I$5:$I$92,"&lt;0")-SUMIFS('Daftar Koreksi'!$I$5:$I$92,'Daftar Koreksi'!$D$5:$D$92,'0300'!A796,'Daftar Koreksi'!$G$5:$G$92,"Jalan Irigasi Jaringan",'Daftar Koreksi'!$I$5:$I$92,"&lt;0")-SUMIFS('Daftar Koreksi'!$I$5:$I$92,'Daftar Koreksi'!$D$5:$D$92,'0300'!A796,'Daftar Koreksi'!$G$5:$G$92,"Jalan Irigasi Jaringan",'Daftar Koreksi'!$I$5:$I$92,"&lt;0")</f>
        <v>0</v>
      </c>
      <c r="G811" s="17">
        <f t="shared" si="36"/>
        <v>0</v>
      </c>
      <c r="H811" s="122"/>
    </row>
    <row r="812" spans="1:8" ht="21.95" customHeight="1">
      <c r="A812" s="14"/>
      <c r="B812" s="14"/>
      <c r="C812" s="16" t="s">
        <v>2090</v>
      </c>
      <c r="D812" s="17">
        <f>VLOOKUP(A796,'Neraca Unaudited SIMAK'!$A$2:$S$10004,16,FALSE)</f>
        <v>0</v>
      </c>
      <c r="E812" s="25">
        <f>SUMIFS('Daftar Koreksi'!$I$5:$I$92,'Daftar Koreksi'!$D$5:$D$92,'0300'!A796,'Daftar Koreksi'!$G$5:$G$92,"Aset Tetap Lainnya",'Daftar Koreksi'!$I$5:$I$92,"&gt;0")</f>
        <v>0</v>
      </c>
      <c r="F812" s="25">
        <f>SUMIFS('Daftar Koreksi'!$I$5:$I$92,'Daftar Koreksi'!$D$5:$D$92,'0300'!A796,'Daftar Koreksi'!$G$5:$G$92,"Aset Tetap Lainnya",'Daftar Koreksi'!$I$5:$I$92,"&lt;0")-SUMIFS('Daftar Koreksi'!$I$5:$I$92,'Daftar Koreksi'!$D$5:$D$92,'0300'!A796,'Daftar Koreksi'!$G$5:$G$92,"Aset Tetap Lainnya",'Daftar Koreksi'!$I$5:$I$92,"&lt;0")-SUMIFS('Daftar Koreksi'!$I$5:$I$92,'Daftar Koreksi'!$D$5:$D$92,'0300'!A796,'Daftar Koreksi'!$G$5:$G$92,"Aset Tetap Lainnya",'Daftar Koreksi'!$I$5:$I$92,"&lt;0")</f>
        <v>0</v>
      </c>
      <c r="G812" s="17">
        <f t="shared" si="36"/>
        <v>0</v>
      </c>
      <c r="H812" s="122"/>
    </row>
    <row r="813" spans="1:8" ht="21.95" customHeight="1">
      <c r="A813" s="14"/>
      <c r="B813" s="14"/>
      <c r="C813" s="16" t="s">
        <v>2020</v>
      </c>
      <c r="D813" s="17">
        <f>VLOOKUP(A796,'Neraca Unaudited SIMAK'!$A$2:$S$10004,17,FALSE)</f>
        <v>-37517840</v>
      </c>
      <c r="E813" s="25">
        <f>SUMIFS('Daftar Koreksi'!$I$5:$I$92,'Daftar Koreksi'!$D$5:$D$92,'0300'!A796,'Daftar Koreksi'!$G$5:$G$92,"Aset Henti Guna",'Daftar Koreksi'!$I$5:$I$92,"&gt;0")</f>
        <v>0</v>
      </c>
      <c r="F813" s="25">
        <f>SUMIFS('Daftar Koreksi'!$I$5:$I$92,'Daftar Koreksi'!$D$5:$D$92,'0300'!A796,'Daftar Koreksi'!$G$5:$G$92,"Aset Henti Guna",'Daftar Koreksi'!$I$5:$I$92,"&lt;0")-SUMIFS('Daftar Koreksi'!$I$5:$I$92,'Daftar Koreksi'!$D$5:$D$92,'0300'!A796,'Daftar Koreksi'!$G$5:$G$92,"Aset Henti Guna",'Daftar Koreksi'!$I$5:$I$92,"&lt;0")-SUMIFS('Daftar Koreksi'!$I$5:$I$92,'Daftar Koreksi'!$D$5:$D$92,'0300'!A796,'Daftar Koreksi'!$G$5:$G$92,"Aset Henti Guna",'Daftar Koreksi'!$I$5:$I$92,"&lt;0")</f>
        <v>0</v>
      </c>
      <c r="G813" s="17">
        <f t="shared" si="36"/>
        <v>-37517840</v>
      </c>
      <c r="H813" s="122"/>
    </row>
    <row r="814" spans="1:8" ht="21.95" customHeight="1">
      <c r="A814" s="14"/>
      <c r="B814" s="14"/>
      <c r="C814" s="18" t="s">
        <v>2094</v>
      </c>
      <c r="D814" s="19">
        <f>SUM(D809:D813)</f>
        <v>-1383571633</v>
      </c>
      <c r="E814" s="19">
        <f>SUM(E809:E813)</f>
        <v>0</v>
      </c>
      <c r="F814" s="19">
        <f>SUM(F809:F813)</f>
        <v>0</v>
      </c>
      <c r="G814" s="19">
        <f t="shared" si="36"/>
        <v>-1383571633</v>
      </c>
      <c r="H814" s="122"/>
    </row>
    <row r="815" spans="1:8" ht="21.95" customHeight="1">
      <c r="A815" s="14"/>
      <c r="B815" s="14"/>
      <c r="C815" s="18" t="s">
        <v>2095</v>
      </c>
      <c r="D815" s="19">
        <f>VLOOKUP(A796,'Neraca Unaudited SIMAK'!$A$2:$S$10004,18,FALSE)</f>
        <v>7571841240</v>
      </c>
      <c r="E815" s="19">
        <f>E814+E808</f>
        <v>0</v>
      </c>
      <c r="F815" s="19">
        <f>F814+F808</f>
        <v>0</v>
      </c>
      <c r="G815" s="19">
        <f t="shared" si="36"/>
        <v>7571841240</v>
      </c>
      <c r="H815" s="122"/>
    </row>
    <row r="816" spans="1:8" ht="21.95" customHeight="1">
      <c r="A816" s="14"/>
      <c r="B816" s="14"/>
      <c r="C816" s="16" t="s">
        <v>2091</v>
      </c>
      <c r="D816" s="17">
        <f>VLOOKUP(A796,'Neraca Unaudited SIMAK'!$A$2:$S$10004,19,FALSE)</f>
        <v>0</v>
      </c>
      <c r="E816" s="25"/>
      <c r="F816" s="25"/>
      <c r="G816" s="17">
        <f t="shared" si="36"/>
        <v>0</v>
      </c>
      <c r="H816" s="123"/>
    </row>
    <row r="818" spans="1:8" ht="19.5" customHeight="1">
      <c r="A818" s="11" t="str">
        <f>O38</f>
        <v>005010300400879000KD</v>
      </c>
      <c r="B818" s="11" t="str">
        <f>P38</f>
        <v>PA. Pemalang</v>
      </c>
      <c r="C818" s="12" t="str">
        <f>A818&amp;" "&amp;B818</f>
        <v>005010300400879000KD PA. Pemalang</v>
      </c>
      <c r="D818" s="13"/>
      <c r="E818" s="13"/>
      <c r="F818" s="13"/>
      <c r="G818" s="13"/>
      <c r="H818" s="11"/>
    </row>
    <row r="819" spans="1:8" ht="21.95" customHeight="1">
      <c r="A819" s="14"/>
      <c r="B819" s="14"/>
      <c r="C819" s="124" t="s">
        <v>1982</v>
      </c>
      <c r="D819" s="126" t="s">
        <v>1983</v>
      </c>
      <c r="E819" s="132" t="s">
        <v>1984</v>
      </c>
      <c r="F819" s="132"/>
      <c r="G819" s="126" t="s">
        <v>1987</v>
      </c>
      <c r="H819" s="130" t="s">
        <v>1175</v>
      </c>
    </row>
    <row r="820" spans="1:8" ht="21.95" customHeight="1">
      <c r="A820" s="14"/>
      <c r="B820" s="14"/>
      <c r="C820" s="125"/>
      <c r="D820" s="127"/>
      <c r="E820" s="26" t="s">
        <v>1985</v>
      </c>
      <c r="F820" s="26" t="s">
        <v>1986</v>
      </c>
      <c r="G820" s="127"/>
      <c r="H820" s="131"/>
    </row>
    <row r="821" spans="1:8" ht="21.95" customHeight="1">
      <c r="A821" s="14"/>
      <c r="B821" s="14"/>
      <c r="C821" s="16" t="s">
        <v>1165</v>
      </c>
      <c r="D821" s="17">
        <f>VLOOKUP(A818,'Neraca Unaudited SIMAK'!$A$2:$S$10004,3,FALSE)</f>
        <v>376425</v>
      </c>
      <c r="E821" s="25">
        <f>SUMIFS('Daftar Koreksi'!$H$5:$H$92,'Daftar Koreksi'!$D$5:$D$92,'0300'!A818,'Daftar Koreksi'!$G$5:$G$92,"Persediaan",'Daftar Koreksi'!$H$5:$H$92,"&gt;0")</f>
        <v>0</v>
      </c>
      <c r="F821" s="25">
        <f>SUMIFS('Daftar Koreksi'!$H$5:$H$92,'Daftar Koreksi'!$D$5:$D$92,'0300'!A818,'Daftar Koreksi'!$G$5:$G$92,"Persediaan",'Daftar Koreksi'!$H$5:$H$92,"&lt;0")-SUMIFS('Daftar Koreksi'!$H$5:$H$92,'Daftar Koreksi'!$D$5:$D$92,'0300'!A818,'Daftar Koreksi'!$G$5:$G$92,"Persediaan",'Daftar Koreksi'!$H$5:$H$92,"&lt;0")-SUMIFS('Daftar Koreksi'!$H$5:$H$92,'Daftar Koreksi'!$D$5:$D$92,'0300'!A818,'Daftar Koreksi'!$G$5:$G$92,"Persediaan",'Daftar Koreksi'!$H$5:$H$92,"&lt;0")</f>
        <v>0</v>
      </c>
      <c r="G821" s="17">
        <f>D821+E821-F821</f>
        <v>376425</v>
      </c>
      <c r="H821" s="121" t="str">
        <f>IF(ISNA(VLOOKUP(A818,'Mutasi Neraca'!$A$3:$S$914,19,FALSE)),"-",VLOOKUP(A818,'Mutasi Neraca'!$A$3:$S$914,19,FALSE))</f>
        <v>-</v>
      </c>
    </row>
    <row r="822" spans="1:8" ht="21.95" customHeight="1">
      <c r="A822" s="14"/>
      <c r="B822" s="14"/>
      <c r="C822" s="16" t="s">
        <v>1166</v>
      </c>
      <c r="D822" s="17">
        <f>VLOOKUP(A818,'Neraca Unaudited SIMAK'!$A$2:$S$10004,4,FALSE)</f>
        <v>1464240000</v>
      </c>
      <c r="E822" s="25">
        <f>SUMIFS('Daftar Koreksi'!$H$5:$H$92,'Daftar Koreksi'!$D$5:$D$92,'0300'!A818,'Daftar Koreksi'!$G$5:$G$92,"Tanah",'Daftar Koreksi'!$H$5:$H$92,"&gt;0")</f>
        <v>0</v>
      </c>
      <c r="F822" s="25">
        <f>SUMIFS('Daftar Koreksi'!$H$5:$H$92,'Daftar Koreksi'!$D$5:$D$92,'0300'!A818,'Daftar Koreksi'!$G$5:$G$92,"Tanah",'Daftar Koreksi'!$H$5:$H$92,"&lt;0")-SUMIFS('Daftar Koreksi'!$H$5:$H$92,'Daftar Koreksi'!$D$5:$D$92,'0300'!A818,'Daftar Koreksi'!$G$5:$G$92,"Tanah",'Daftar Koreksi'!$H$5:$H$92,"&lt;0")-SUMIFS('Daftar Koreksi'!$H$5:$H$92,'Daftar Koreksi'!$D$5:$D$92,'0300'!A818,'Daftar Koreksi'!$G$5:$G$92,"Tanah",'Daftar Koreksi'!$H$5:$H$92,"&lt;0")</f>
        <v>0</v>
      </c>
      <c r="G822" s="17">
        <f t="shared" ref="G822:G838" si="37">D822+E822-F822</f>
        <v>1464240000</v>
      </c>
      <c r="H822" s="122"/>
    </row>
    <row r="823" spans="1:8" ht="21.95" customHeight="1">
      <c r="A823" s="14"/>
      <c r="B823" s="14"/>
      <c r="C823" s="16" t="s">
        <v>1167</v>
      </c>
      <c r="D823" s="17">
        <f>VLOOKUP(A818,'Neraca Unaudited SIMAK'!$A$2:$S$10004,5,FALSE)</f>
        <v>1277490628</v>
      </c>
      <c r="E823" s="25">
        <f>SUMIFS('Daftar Koreksi'!$H$5:$H$92,'Daftar Koreksi'!$D$5:$D$92,'0300'!A818,'Daftar Koreksi'!$G$5:$G$92,"Peralatan dan mesin",'Daftar Koreksi'!$H$5:$H$92,"&gt;0")</f>
        <v>0</v>
      </c>
      <c r="F823" s="25">
        <f>SUMIFS('Daftar Koreksi'!$H$5:$H$92,'Daftar Koreksi'!$D$5:$D$92,'0300'!A818,'Daftar Koreksi'!$G$5:$G$92,"Peralatan dan mesin",'Daftar Koreksi'!$H$5:$H$92,"&lt;0")-SUMIFS('Daftar Koreksi'!$H$5:$H$92,'Daftar Koreksi'!$D$5:$D$92,'0300'!A818,'Daftar Koreksi'!$G$5:$G$92,"Peralatan dan mesin",'Daftar Koreksi'!$H$5:$H$92,"&lt;0")-SUMIFS('Daftar Koreksi'!$H$5:$H$92,'Daftar Koreksi'!$D$5:$D$92,'0300'!A818,'Daftar Koreksi'!$G$5:$G$92,"Peralatan dan mesin",'Daftar Koreksi'!$H$5:$H$92,"&lt;0")</f>
        <v>0</v>
      </c>
      <c r="G823" s="17">
        <f t="shared" si="37"/>
        <v>1277490628</v>
      </c>
      <c r="H823" s="122"/>
    </row>
    <row r="824" spans="1:8" ht="21.95" customHeight="1">
      <c r="A824" s="14"/>
      <c r="B824" s="14"/>
      <c r="C824" s="16" t="s">
        <v>1168</v>
      </c>
      <c r="D824" s="17">
        <f>VLOOKUP(A818,'Neraca Unaudited SIMAK'!$A$2:$S$10004,6,FALSE)</f>
        <v>4210875750</v>
      </c>
      <c r="E824" s="25">
        <f>SUMIFS('Daftar Koreksi'!$H$5:$H$92,'Daftar Koreksi'!$D$5:$D$92,'0300'!A818,'Daftar Koreksi'!$G$5:$G$92,"Gedung dan Bangunan",'Daftar Koreksi'!$H$5:$H$92,"&gt;0")</f>
        <v>0</v>
      </c>
      <c r="F824" s="25">
        <f>SUMIFS('Daftar Koreksi'!$H$5:$H$92,'Daftar Koreksi'!$D$5:$D$92,'0300'!A818,'Daftar Koreksi'!$G$5:$G$92,"Gedung dan Bangunan",'Daftar Koreksi'!$H$5:$H$92,"&lt;0")-SUMIFS('Daftar Koreksi'!$H$5:$H$92,'Daftar Koreksi'!$D$5:$D$92,'0300'!A818,'Daftar Koreksi'!$G$5:$G$92,"Gedung dan Bangunan",'Daftar Koreksi'!$H$5:$H$92,"&lt;0")-SUMIFS('Daftar Koreksi'!$H$5:$H$92,'Daftar Koreksi'!$D$5:$D$92,'0300'!A818,'Daftar Koreksi'!$G$5:$G$92,"Gedung dan Bangunan",'Daftar Koreksi'!$H$5:$H$92,"&lt;0")</f>
        <v>0</v>
      </c>
      <c r="G824" s="17">
        <f t="shared" si="37"/>
        <v>4210875750</v>
      </c>
      <c r="H824" s="122"/>
    </row>
    <row r="825" spans="1:8" ht="21.95" customHeight="1">
      <c r="A825" s="14"/>
      <c r="B825" s="14"/>
      <c r="C825" s="16" t="s">
        <v>1169</v>
      </c>
      <c r="D825" s="17">
        <f>VLOOKUP(A818,'Neraca Unaudited SIMAK'!$A$2:$S$10004,7,FALSE)</f>
        <v>13536000</v>
      </c>
      <c r="E825" s="25">
        <f>SUMIFS('Daftar Koreksi'!$H$5:$H$92,'Daftar Koreksi'!$D$5:$D$92,'0300'!A818,'Daftar Koreksi'!$G$5:$G$92,"Jalan Irigasi Jaringan",'Daftar Koreksi'!$H$5:$H$92,"&gt;0")</f>
        <v>0</v>
      </c>
      <c r="F825" s="25">
        <f>SUMIFS('Daftar Koreksi'!$H$5:$H$92,'Daftar Koreksi'!$D$5:$D$92,'0300'!A818,'Daftar Koreksi'!$G$5:$G$92,"Jalan Irigasi Jaringan",'Daftar Koreksi'!$H$5:$H$92,"&lt;0")-SUMIFS('Daftar Koreksi'!$H$5:$H$92,'Daftar Koreksi'!$D$5:$D$92,'0300'!A818,'Daftar Koreksi'!$G$5:$G$92,"Jalan Irigasi Jaringan",'Daftar Koreksi'!$H$5:$H$92,"&lt;0")-SUMIFS('Daftar Koreksi'!$H$5:$H$92,'Daftar Koreksi'!$D$5:$D$92,'0300'!A818,'Daftar Koreksi'!$G$5:$G$92,"Jalan Irigasi Jaringan",'Daftar Koreksi'!$H$5:$H$92,"&lt;0")</f>
        <v>0</v>
      </c>
      <c r="G825" s="17">
        <f t="shared" si="37"/>
        <v>13536000</v>
      </c>
      <c r="H825" s="122"/>
    </row>
    <row r="826" spans="1:8" ht="21.95" customHeight="1">
      <c r="A826" s="14"/>
      <c r="B826" s="14"/>
      <c r="C826" s="16" t="s">
        <v>1170</v>
      </c>
      <c r="D826" s="17">
        <f>VLOOKUP(A818,'Neraca Unaudited SIMAK'!$A$2:$S$10004,8,FALSE)</f>
        <v>3236678</v>
      </c>
      <c r="E826" s="25">
        <f>SUMIFS('Daftar Koreksi'!$H$5:$H$92,'Daftar Koreksi'!$D$5:$D$92,'0300'!A818,'Daftar Koreksi'!$G$5:$G$92,"Aset Tetap Lainnya",'Daftar Koreksi'!$H$5:$H$92,"&gt;0")</f>
        <v>0</v>
      </c>
      <c r="F826" s="25">
        <f>SUMIFS('Daftar Koreksi'!$H$5:$H$92,'Daftar Koreksi'!$D$5:$D$92,'0300'!A818,'Daftar Koreksi'!$G$5:$G$92,"Aset Tetap Lainnya",'Daftar Koreksi'!$H$5:$H$92,"&lt;0")-SUMIFS('Daftar Koreksi'!$H$5:$H$92,'Daftar Koreksi'!$D$5:$D$92,'0300'!A818,'Daftar Koreksi'!$G$5:$G$92,"Aset Tetap Lainnya",'Daftar Koreksi'!$H$5:$H$92,"&lt;0")-SUMIFS('Daftar Koreksi'!$H$5:$H$92,'Daftar Koreksi'!$D$5:$D$92,'0300'!A818,'Daftar Koreksi'!$G$5:$G$92,"Aset Tetap Lainnya",'Daftar Koreksi'!$H$5:$H$92,"&lt;0")</f>
        <v>0</v>
      </c>
      <c r="G826" s="17">
        <f t="shared" si="37"/>
        <v>3236678</v>
      </c>
      <c r="H826" s="122"/>
    </row>
    <row r="827" spans="1:8" ht="21.95" customHeight="1">
      <c r="A827" s="14"/>
      <c r="B827" s="14"/>
      <c r="C827" s="16" t="s">
        <v>1171</v>
      </c>
      <c r="D827" s="17">
        <f>VLOOKUP(A818,'Neraca Unaudited SIMAK'!$A$2:$S$10004,9,FALSE)</f>
        <v>0</v>
      </c>
      <c r="E827" s="25">
        <f>SUMIFS('Daftar Koreksi'!$H$5:$H$92,'Daftar Koreksi'!$D$5:$D$92,'0300'!A818,'Daftar Koreksi'!$G$5:$G$92,"Kontruksi Dalam Pengerjaan",'Daftar Koreksi'!$H$5:$H$92,"&gt;0")</f>
        <v>0</v>
      </c>
      <c r="F827" s="25">
        <f>SUMIFS('Daftar Koreksi'!$H$5:$H$92,'Daftar Koreksi'!$D$5:$D$92,'0300'!A818,'Daftar Koreksi'!$G$5:$G$92,"Kontruksi Dalam Pengerjaan",'Daftar Koreksi'!$H$5:$H$92,"&lt;0")-SUMIFS('Daftar Koreksi'!$H$5:$H$92,'Daftar Koreksi'!$D$5:$D$92,'0300'!A818,'Daftar Koreksi'!$G$5:$G$92,"Kontruksi Dalam Pengerjaan",'Daftar Koreksi'!$H$5:$H$92,"&lt;0")-SUMIFS('Daftar Koreksi'!$H$5:$H$92,'Daftar Koreksi'!$D$5:$D$92,'0300'!A818,'Daftar Koreksi'!$G$5:$G$92,"Kontruksi Dalam Pengerjaan",'Daftar Koreksi'!$H$5:$H$92,"&lt;0")</f>
        <v>0</v>
      </c>
      <c r="G827" s="17">
        <f t="shared" si="37"/>
        <v>0</v>
      </c>
      <c r="H827" s="122"/>
    </row>
    <row r="828" spans="1:8" ht="21.95" customHeight="1">
      <c r="A828" s="14"/>
      <c r="B828" s="14"/>
      <c r="C828" s="16" t="s">
        <v>1172</v>
      </c>
      <c r="D828" s="17">
        <f>VLOOKUP(A818,'Neraca Unaudited SIMAK'!$A$2:$S$10004,10,FALSE)</f>
        <v>0</v>
      </c>
      <c r="E828" s="25">
        <f>SUMIFS('Daftar Koreksi'!$H$5:$H$92,'Daftar Koreksi'!$D$5:$D$92,'0300'!A818,'Daftar Koreksi'!$G$5:$G$92,"Aset Tak Berwujud",'Daftar Koreksi'!$H$5:$H$92,"&gt;0")</f>
        <v>0</v>
      </c>
      <c r="F828" s="25">
        <f>SUMIFS('Daftar Koreksi'!$H$5:$H$92,'Daftar Koreksi'!$D$5:$D$92,'0300'!A818,'Daftar Koreksi'!$G$5:$G$92,"Aset Tak Berwujud",'Daftar Koreksi'!$H$5:$H$92,"&lt;0")-SUMIFS('Daftar Koreksi'!$H$5:$H$92,'Daftar Koreksi'!$D$5:$D$92,'0300'!A818,'Daftar Koreksi'!$G$5:$G$92,"Aset Tak Berwujud",'Daftar Koreksi'!$H$5:$H$92,"&lt;0")-SUMIFS('Daftar Koreksi'!$H$5:$H$92,'Daftar Koreksi'!$D$5:$D$92,'0300'!A818,'Daftar Koreksi'!$G$5:$G$92,"Aset Tak Berwujud",'Daftar Koreksi'!$H$5:$H$92,"&lt;0")</f>
        <v>0</v>
      </c>
      <c r="G828" s="17">
        <f t="shared" si="37"/>
        <v>0</v>
      </c>
      <c r="H828" s="122"/>
    </row>
    <row r="829" spans="1:8" ht="21.95" customHeight="1">
      <c r="A829" s="14"/>
      <c r="B829" s="14"/>
      <c r="C829" s="16" t="s">
        <v>1173</v>
      </c>
      <c r="D829" s="17">
        <f>VLOOKUP(A818,'Neraca Unaudited SIMAK'!$A$2:$S$10004,11,FALSE)</f>
        <v>-270000</v>
      </c>
      <c r="E829" s="25">
        <f>SUMIFS('Daftar Koreksi'!$H$5:$H$92,'Daftar Koreksi'!$D$5:$D$92,'0300'!A818,'Daftar Koreksi'!$G$5:$G$92,"Aset Henti Guna",'Daftar Koreksi'!$H$5:$H$92,"&gt;0")</f>
        <v>0</v>
      </c>
      <c r="F829" s="25">
        <f>SUMIFS('Daftar Koreksi'!$H$5:$H$92,'Daftar Koreksi'!$D$5:$D$92,'0300'!A818,'Daftar Koreksi'!$G$5:$G$92,"Aset Henti Guna",'Daftar Koreksi'!$H$5:$H$92,"&lt;0")-SUMIFS('Daftar Koreksi'!$H$5:$H$92,'Daftar Koreksi'!$D$5:$D$92,'0300'!A818,'Daftar Koreksi'!$G$5:$G$92,"Aset Henti Guna",'Daftar Koreksi'!$H$5:$H$92,"&lt;0")-SUMIFS('Daftar Koreksi'!$H$5:$H$92,'Daftar Koreksi'!$D$5:$D$92,'0300'!A818,'Daftar Koreksi'!$G$5:$G$92,"Aset Henti Guna",'Daftar Koreksi'!$H$5:$H$92,"&lt;0")</f>
        <v>0</v>
      </c>
      <c r="G829" s="17">
        <f t="shared" si="37"/>
        <v>-270000</v>
      </c>
      <c r="H829" s="122"/>
    </row>
    <row r="830" spans="1:8" ht="21.95" customHeight="1">
      <c r="A830" s="14"/>
      <c r="B830" s="14"/>
      <c r="C830" s="18" t="s">
        <v>2093</v>
      </c>
      <c r="D830" s="19">
        <f>VLOOKUP(A818,'Neraca Unaudited SIMAK'!$A$2:$S$10004,12,FALSE)</f>
        <v>6969485481</v>
      </c>
      <c r="E830" s="19">
        <f>SUM(E821:E829)</f>
        <v>0</v>
      </c>
      <c r="F830" s="19">
        <f>SUM(F821:F829)</f>
        <v>0</v>
      </c>
      <c r="G830" s="19">
        <f t="shared" si="37"/>
        <v>6969485481</v>
      </c>
      <c r="H830" s="122"/>
    </row>
    <row r="831" spans="1:8" ht="21.95" customHeight="1">
      <c r="A831" s="14"/>
      <c r="B831" s="14"/>
      <c r="C831" s="16" t="s">
        <v>2087</v>
      </c>
      <c r="D831" s="17">
        <f>VLOOKUP(A818,'Neraca Unaudited SIMAK'!$A$2:$S$10004,13,FALSE)</f>
        <v>-1115549496</v>
      </c>
      <c r="E831" s="25">
        <f>SUMIFS('Daftar Koreksi'!$I$5:$I$92,'Daftar Koreksi'!$D$5:$D$92,'0300'!A818,'Daftar Koreksi'!$G$5:$G$92,"Peralatan dan mesin",'Daftar Koreksi'!$I$5:$I$92,"&gt;0")</f>
        <v>0</v>
      </c>
      <c r="F831" s="25">
        <f>SUMIFS('Daftar Koreksi'!$I$5:$I$92,'Daftar Koreksi'!$D$5:$D$92,'0300'!A818,'Daftar Koreksi'!$G$5:$G$92,"Peralatan dan mesin",'Daftar Koreksi'!$I$5:$I$92,"&lt;0")-SUMIFS('Daftar Koreksi'!$I$5:$I$92,'Daftar Koreksi'!$D$5:$D$92,'0300'!A818,'Daftar Koreksi'!$G$5:$G$92,"Peralatan dan mesin",'Daftar Koreksi'!$I$5:$I$92,"&lt;0")-SUMIFS('Daftar Koreksi'!$I$5:$I$92,'Daftar Koreksi'!$D$5:$D$92,'0300'!A818,'Daftar Koreksi'!$G$5:$G$92,"Peralatan dan mesin",'Daftar Koreksi'!$I$5:$I$92,"&lt;0")</f>
        <v>0</v>
      </c>
      <c r="G831" s="17">
        <f t="shared" si="37"/>
        <v>-1115549496</v>
      </c>
      <c r="H831" s="122"/>
    </row>
    <row r="832" spans="1:8" ht="21.95" customHeight="1">
      <c r="A832" s="14"/>
      <c r="B832" s="14"/>
      <c r="C832" s="16" t="s">
        <v>2088</v>
      </c>
      <c r="D832" s="17">
        <f>VLOOKUP(A818,'Neraca Unaudited SIMAK'!$A$2:$S$10004,14,FALSE)</f>
        <v>-826101674</v>
      </c>
      <c r="E832" s="25">
        <f>SUMIFS('Daftar Koreksi'!$I$5:$I$92,'Daftar Koreksi'!$D$5:$D$92,'0300'!A818,'Daftar Koreksi'!$G$5:$G$92,"Gedung dan Bangunan",'Daftar Koreksi'!$I$5:$I$92,"&gt;0")</f>
        <v>0</v>
      </c>
      <c r="F832" s="25">
        <f>SUMIFS('Daftar Koreksi'!$I$5:$I$92,'Daftar Koreksi'!$D$5:$D$92,'0300'!A818,'Daftar Koreksi'!$G$5:$G$92,"Gedung dan Bangunan",'Daftar Koreksi'!$I$5:$I$92,"&lt;0")-SUMIFS('Daftar Koreksi'!$I$5:$I$92,'Daftar Koreksi'!$D$5:$D$92,'0300'!A818,'Daftar Koreksi'!$G$5:$G$92,"Gedung dan Bangunan",'Daftar Koreksi'!$I$5:$I$92,"&lt;0")-SUMIFS('Daftar Koreksi'!$I$5:$I$92,'Daftar Koreksi'!$D$5:$D$92,'0300'!A818,'Daftar Koreksi'!$G$5:$G$92,"Gedung dan Bangunan",'Daftar Koreksi'!$I$5:$I$92,"&lt;0")</f>
        <v>0</v>
      </c>
      <c r="G832" s="17">
        <f t="shared" si="37"/>
        <v>-826101674</v>
      </c>
      <c r="H832" s="122"/>
    </row>
    <row r="833" spans="1:8" ht="21.95" customHeight="1">
      <c r="A833" s="14"/>
      <c r="B833" s="14"/>
      <c r="C833" s="16" t="s">
        <v>2089</v>
      </c>
      <c r="D833" s="17">
        <f>VLOOKUP(A818,'Neraca Unaudited SIMAK'!$A$2:$S$10004,15,FALSE)</f>
        <v>-13536000</v>
      </c>
      <c r="E833" s="25">
        <f>SUMIFS('Daftar Koreksi'!$I$5:$I$92,'Daftar Koreksi'!$D$5:$D$92,'0300'!A818,'Daftar Koreksi'!$G$5:$G$92,"Jalan Irigasi Jaringan",'Daftar Koreksi'!$I$5:$I$92,"&gt;0")</f>
        <v>0</v>
      </c>
      <c r="F833" s="25">
        <f>SUMIFS('Daftar Koreksi'!$I$5:$I$92,'Daftar Koreksi'!$D$5:$D$92,'0300'!A818,'Daftar Koreksi'!$G$5:$G$92,"Jalan Irigasi Jaringan",'Daftar Koreksi'!$I$5:$I$92,"&lt;0")-SUMIFS('Daftar Koreksi'!$I$5:$I$92,'Daftar Koreksi'!$D$5:$D$92,'0300'!A818,'Daftar Koreksi'!$G$5:$G$92,"Jalan Irigasi Jaringan",'Daftar Koreksi'!$I$5:$I$92,"&lt;0")-SUMIFS('Daftar Koreksi'!$I$5:$I$92,'Daftar Koreksi'!$D$5:$D$92,'0300'!A818,'Daftar Koreksi'!$G$5:$G$92,"Jalan Irigasi Jaringan",'Daftar Koreksi'!$I$5:$I$92,"&lt;0")</f>
        <v>0</v>
      </c>
      <c r="G833" s="17">
        <f t="shared" si="37"/>
        <v>-13536000</v>
      </c>
      <c r="H833" s="122"/>
    </row>
    <row r="834" spans="1:8" ht="21.95" customHeight="1">
      <c r="A834" s="14"/>
      <c r="B834" s="14"/>
      <c r="C834" s="16" t="s">
        <v>2090</v>
      </c>
      <c r="D834" s="17">
        <f>VLOOKUP(A818,'Neraca Unaudited SIMAK'!$A$2:$S$10004,16,FALSE)</f>
        <v>0</v>
      </c>
      <c r="E834" s="25">
        <f>SUMIFS('Daftar Koreksi'!$I$5:$I$92,'Daftar Koreksi'!$D$5:$D$92,'0300'!A818,'Daftar Koreksi'!$G$5:$G$92,"Aset Tetap Lainnya",'Daftar Koreksi'!$I$5:$I$92,"&gt;0")</f>
        <v>0</v>
      </c>
      <c r="F834" s="25">
        <f>SUMIFS('Daftar Koreksi'!$I$5:$I$92,'Daftar Koreksi'!$D$5:$D$92,'0300'!A818,'Daftar Koreksi'!$G$5:$G$92,"Aset Tetap Lainnya",'Daftar Koreksi'!$I$5:$I$92,"&lt;0")-SUMIFS('Daftar Koreksi'!$I$5:$I$92,'Daftar Koreksi'!$D$5:$D$92,'0300'!A818,'Daftar Koreksi'!$G$5:$G$92,"Aset Tetap Lainnya",'Daftar Koreksi'!$I$5:$I$92,"&lt;0")-SUMIFS('Daftar Koreksi'!$I$5:$I$92,'Daftar Koreksi'!$D$5:$D$92,'0300'!A818,'Daftar Koreksi'!$G$5:$G$92,"Aset Tetap Lainnya",'Daftar Koreksi'!$I$5:$I$92,"&lt;0")</f>
        <v>0</v>
      </c>
      <c r="G834" s="17">
        <f t="shared" si="37"/>
        <v>0</v>
      </c>
      <c r="H834" s="122"/>
    </row>
    <row r="835" spans="1:8" ht="21.95" customHeight="1">
      <c r="A835" s="14"/>
      <c r="B835" s="14"/>
      <c r="C835" s="16" t="s">
        <v>2020</v>
      </c>
      <c r="D835" s="17">
        <f>VLOOKUP(A818,'Neraca Unaudited SIMAK'!$A$2:$S$10004,17,FALSE)</f>
        <v>270000</v>
      </c>
      <c r="E835" s="25">
        <f>SUMIFS('Daftar Koreksi'!$I$5:$I$92,'Daftar Koreksi'!$D$5:$D$92,'0300'!A818,'Daftar Koreksi'!$G$5:$G$92,"Aset Henti Guna",'Daftar Koreksi'!$I$5:$I$92,"&gt;0")</f>
        <v>0</v>
      </c>
      <c r="F835" s="25">
        <f>SUMIFS('Daftar Koreksi'!$I$5:$I$92,'Daftar Koreksi'!$D$5:$D$92,'0300'!A818,'Daftar Koreksi'!$G$5:$G$92,"Aset Henti Guna",'Daftar Koreksi'!$I$5:$I$92,"&lt;0")-SUMIFS('Daftar Koreksi'!$I$5:$I$92,'Daftar Koreksi'!$D$5:$D$92,'0300'!A818,'Daftar Koreksi'!$G$5:$G$92,"Aset Henti Guna",'Daftar Koreksi'!$I$5:$I$92,"&lt;0")-SUMIFS('Daftar Koreksi'!$I$5:$I$92,'Daftar Koreksi'!$D$5:$D$92,'0300'!A818,'Daftar Koreksi'!$G$5:$G$92,"Aset Henti Guna",'Daftar Koreksi'!$I$5:$I$92,"&lt;0")</f>
        <v>0</v>
      </c>
      <c r="G835" s="17">
        <f t="shared" si="37"/>
        <v>270000</v>
      </c>
      <c r="H835" s="122"/>
    </row>
    <row r="836" spans="1:8" ht="21.95" customHeight="1">
      <c r="A836" s="14"/>
      <c r="B836" s="14"/>
      <c r="C836" s="18" t="s">
        <v>2094</v>
      </c>
      <c r="D836" s="19">
        <f>SUM(D831:D835)</f>
        <v>-1954917170</v>
      </c>
      <c r="E836" s="19">
        <f>SUM(E831:E835)</f>
        <v>0</v>
      </c>
      <c r="F836" s="19">
        <f>SUM(F831:F835)</f>
        <v>0</v>
      </c>
      <c r="G836" s="19">
        <f t="shared" si="37"/>
        <v>-1954917170</v>
      </c>
      <c r="H836" s="122"/>
    </row>
    <row r="837" spans="1:8" ht="21.95" customHeight="1">
      <c r="A837" s="14"/>
      <c r="B837" s="14"/>
      <c r="C837" s="18" t="s">
        <v>2095</v>
      </c>
      <c r="D837" s="19">
        <f>VLOOKUP(A818,'Neraca Unaudited SIMAK'!$A$2:$S$10004,18,FALSE)</f>
        <v>5014568311</v>
      </c>
      <c r="E837" s="19">
        <f>E836+E830</f>
        <v>0</v>
      </c>
      <c r="F837" s="19">
        <f>F836+F830</f>
        <v>0</v>
      </c>
      <c r="G837" s="19">
        <f t="shared" si="37"/>
        <v>5014568311</v>
      </c>
      <c r="H837" s="122"/>
    </row>
    <row r="838" spans="1:8" ht="21.95" customHeight="1">
      <c r="A838" s="14"/>
      <c r="B838" s="14"/>
      <c r="C838" s="16" t="s">
        <v>2091</v>
      </c>
      <c r="D838" s="17">
        <f>VLOOKUP(A818,'Neraca Unaudited SIMAK'!$A$2:$S$10004,19,FALSE)</f>
        <v>0</v>
      </c>
      <c r="E838" s="25"/>
      <c r="F838" s="25"/>
      <c r="G838" s="17">
        <f t="shared" si="37"/>
        <v>0</v>
      </c>
      <c r="H838" s="123"/>
    </row>
    <row r="840" spans="1:8" ht="19.5" customHeight="1">
      <c r="A840" s="11" t="str">
        <f>O39</f>
        <v>005010300400885000KD</v>
      </c>
      <c r="B840" s="11" t="str">
        <f>P39</f>
        <v>PA. Tegal</v>
      </c>
      <c r="C840" s="12" t="str">
        <f>A840&amp;" "&amp;B840</f>
        <v>005010300400885000KD PA. Tegal</v>
      </c>
      <c r="D840" s="13"/>
      <c r="E840" s="13"/>
      <c r="F840" s="13"/>
      <c r="G840" s="13"/>
      <c r="H840" s="11"/>
    </row>
    <row r="841" spans="1:8" ht="21.95" customHeight="1">
      <c r="A841" s="14"/>
      <c r="B841" s="14"/>
      <c r="C841" s="124" t="s">
        <v>1982</v>
      </c>
      <c r="D841" s="126" t="s">
        <v>1983</v>
      </c>
      <c r="E841" s="132" t="s">
        <v>1984</v>
      </c>
      <c r="F841" s="132"/>
      <c r="G841" s="126" t="s">
        <v>1987</v>
      </c>
      <c r="H841" s="130" t="s">
        <v>1175</v>
      </c>
    </row>
    <row r="842" spans="1:8" ht="21.95" customHeight="1">
      <c r="A842" s="14"/>
      <c r="B842" s="14"/>
      <c r="C842" s="125"/>
      <c r="D842" s="127"/>
      <c r="E842" s="26" t="s">
        <v>1985</v>
      </c>
      <c r="F842" s="26" t="s">
        <v>1986</v>
      </c>
      <c r="G842" s="127"/>
      <c r="H842" s="131"/>
    </row>
    <row r="843" spans="1:8" ht="21.95" customHeight="1">
      <c r="A843" s="14"/>
      <c r="B843" s="14"/>
      <c r="C843" s="16" t="s">
        <v>1165</v>
      </c>
      <c r="D843" s="17">
        <f>VLOOKUP(A840,'Neraca Unaudited SIMAK'!$A$2:$S$10004,3,FALSE)</f>
        <v>976000</v>
      </c>
      <c r="E843" s="25">
        <f>SUMIFS('Daftar Koreksi'!$H$5:$H$92,'Daftar Koreksi'!$D$5:$D$92,'0300'!A840,'Daftar Koreksi'!$G$5:$G$92,"Persediaan",'Daftar Koreksi'!$H$5:$H$92,"&gt;0")</f>
        <v>0</v>
      </c>
      <c r="F843" s="25">
        <f>SUMIFS('Daftar Koreksi'!$H$5:$H$92,'Daftar Koreksi'!$D$5:$D$92,'0300'!A840,'Daftar Koreksi'!$G$5:$G$92,"Persediaan",'Daftar Koreksi'!$H$5:$H$92,"&lt;0")-SUMIFS('Daftar Koreksi'!$H$5:$H$92,'Daftar Koreksi'!$D$5:$D$92,'0300'!A840,'Daftar Koreksi'!$G$5:$G$92,"Persediaan",'Daftar Koreksi'!$H$5:$H$92,"&lt;0")-SUMIFS('Daftar Koreksi'!$H$5:$H$92,'Daftar Koreksi'!$D$5:$D$92,'0300'!A840,'Daftar Koreksi'!$G$5:$G$92,"Persediaan",'Daftar Koreksi'!$H$5:$H$92,"&lt;0")</f>
        <v>0</v>
      </c>
      <c r="G843" s="17">
        <f>D843+E843-F843</f>
        <v>976000</v>
      </c>
      <c r="H843" s="121" t="str">
        <f>IF(ISNA(VLOOKUP(A840,'Mutasi Neraca'!$A$3:$S$914,19,FALSE)),"-",VLOOKUP(A840,'Mutasi Neraca'!$A$3:$S$914,19,FALSE))</f>
        <v>-</v>
      </c>
    </row>
    <row r="844" spans="1:8" ht="21.95" customHeight="1">
      <c r="A844" s="14"/>
      <c r="B844" s="14"/>
      <c r="C844" s="16" t="s">
        <v>1166</v>
      </c>
      <c r="D844" s="17">
        <f>VLOOKUP(A840,'Neraca Unaudited SIMAK'!$A$2:$S$10004,4,FALSE)</f>
        <v>4295777000</v>
      </c>
      <c r="E844" s="25">
        <f>SUMIFS('Daftar Koreksi'!$H$5:$H$92,'Daftar Koreksi'!$D$5:$D$92,'0300'!A840,'Daftar Koreksi'!$G$5:$G$92,"Tanah",'Daftar Koreksi'!$H$5:$H$92,"&gt;0")</f>
        <v>0</v>
      </c>
      <c r="F844" s="25">
        <f>SUMIFS('Daftar Koreksi'!$H$5:$H$92,'Daftar Koreksi'!$D$5:$D$92,'0300'!A840,'Daftar Koreksi'!$G$5:$G$92,"Tanah",'Daftar Koreksi'!$H$5:$H$92,"&lt;0")-SUMIFS('Daftar Koreksi'!$H$5:$H$92,'Daftar Koreksi'!$D$5:$D$92,'0300'!A840,'Daftar Koreksi'!$G$5:$G$92,"Tanah",'Daftar Koreksi'!$H$5:$H$92,"&lt;0")-SUMIFS('Daftar Koreksi'!$H$5:$H$92,'Daftar Koreksi'!$D$5:$D$92,'0300'!A840,'Daftar Koreksi'!$G$5:$G$92,"Tanah",'Daftar Koreksi'!$H$5:$H$92,"&lt;0")</f>
        <v>0</v>
      </c>
      <c r="G844" s="17">
        <f t="shared" ref="G844:G860" si="38">D844+E844-F844</f>
        <v>4295777000</v>
      </c>
      <c r="H844" s="122"/>
    </row>
    <row r="845" spans="1:8" ht="21.95" customHeight="1">
      <c r="A845" s="14"/>
      <c r="B845" s="14"/>
      <c r="C845" s="16" t="s">
        <v>1167</v>
      </c>
      <c r="D845" s="17">
        <f>VLOOKUP(A840,'Neraca Unaudited SIMAK'!$A$2:$S$10004,5,FALSE)</f>
        <v>1639877792</v>
      </c>
      <c r="E845" s="25">
        <f>SUMIFS('Daftar Koreksi'!$H$5:$H$92,'Daftar Koreksi'!$D$5:$D$92,'0300'!A840,'Daftar Koreksi'!$G$5:$G$92,"Peralatan dan mesin",'Daftar Koreksi'!$H$5:$H$92,"&gt;0")</f>
        <v>0</v>
      </c>
      <c r="F845" s="25">
        <f>SUMIFS('Daftar Koreksi'!$H$5:$H$92,'Daftar Koreksi'!$D$5:$D$92,'0300'!A840,'Daftar Koreksi'!$G$5:$G$92,"Peralatan dan mesin",'Daftar Koreksi'!$H$5:$H$92,"&lt;0")-SUMIFS('Daftar Koreksi'!$H$5:$H$92,'Daftar Koreksi'!$D$5:$D$92,'0300'!A840,'Daftar Koreksi'!$G$5:$G$92,"Peralatan dan mesin",'Daftar Koreksi'!$H$5:$H$92,"&lt;0")-SUMIFS('Daftar Koreksi'!$H$5:$H$92,'Daftar Koreksi'!$D$5:$D$92,'0300'!A840,'Daftar Koreksi'!$G$5:$G$92,"Peralatan dan mesin",'Daftar Koreksi'!$H$5:$H$92,"&lt;0")</f>
        <v>0</v>
      </c>
      <c r="G845" s="17">
        <f t="shared" si="38"/>
        <v>1639877792</v>
      </c>
      <c r="H845" s="122"/>
    </row>
    <row r="846" spans="1:8" ht="21.95" customHeight="1">
      <c r="A846" s="14"/>
      <c r="B846" s="14"/>
      <c r="C846" s="16" t="s">
        <v>1168</v>
      </c>
      <c r="D846" s="17">
        <f>VLOOKUP(A840,'Neraca Unaudited SIMAK'!$A$2:$S$10004,6,FALSE)</f>
        <v>6453126250</v>
      </c>
      <c r="E846" s="25">
        <f>SUMIFS('Daftar Koreksi'!$H$5:$H$92,'Daftar Koreksi'!$D$5:$D$92,'0300'!A840,'Daftar Koreksi'!$G$5:$G$92,"Gedung dan Bangunan",'Daftar Koreksi'!$H$5:$H$92,"&gt;0")</f>
        <v>0</v>
      </c>
      <c r="F846" s="25">
        <f>SUMIFS('Daftar Koreksi'!$H$5:$H$92,'Daftar Koreksi'!$D$5:$D$92,'0300'!A840,'Daftar Koreksi'!$G$5:$G$92,"Gedung dan Bangunan",'Daftar Koreksi'!$H$5:$H$92,"&lt;0")-SUMIFS('Daftar Koreksi'!$H$5:$H$92,'Daftar Koreksi'!$D$5:$D$92,'0300'!A840,'Daftar Koreksi'!$G$5:$G$92,"Gedung dan Bangunan",'Daftar Koreksi'!$H$5:$H$92,"&lt;0")-SUMIFS('Daftar Koreksi'!$H$5:$H$92,'Daftar Koreksi'!$D$5:$D$92,'0300'!A840,'Daftar Koreksi'!$G$5:$G$92,"Gedung dan Bangunan",'Daftar Koreksi'!$H$5:$H$92,"&lt;0")</f>
        <v>0</v>
      </c>
      <c r="G846" s="17">
        <f t="shared" si="38"/>
        <v>6453126250</v>
      </c>
      <c r="H846" s="122"/>
    </row>
    <row r="847" spans="1:8" ht="21.95" customHeight="1">
      <c r="A847" s="14"/>
      <c r="B847" s="14"/>
      <c r="C847" s="16" t="s">
        <v>1169</v>
      </c>
      <c r="D847" s="17">
        <f>VLOOKUP(A840,'Neraca Unaudited SIMAK'!$A$2:$S$10004,7,FALSE)</f>
        <v>0</v>
      </c>
      <c r="E847" s="25">
        <f>SUMIFS('Daftar Koreksi'!$H$5:$H$92,'Daftar Koreksi'!$D$5:$D$92,'0300'!A840,'Daftar Koreksi'!$G$5:$G$92,"Jalan Irigasi Jaringan",'Daftar Koreksi'!$H$5:$H$92,"&gt;0")</f>
        <v>0</v>
      </c>
      <c r="F847" s="25">
        <f>SUMIFS('Daftar Koreksi'!$H$5:$H$92,'Daftar Koreksi'!$D$5:$D$92,'0300'!A840,'Daftar Koreksi'!$G$5:$G$92,"Jalan Irigasi Jaringan",'Daftar Koreksi'!$H$5:$H$92,"&lt;0")-SUMIFS('Daftar Koreksi'!$H$5:$H$92,'Daftar Koreksi'!$D$5:$D$92,'0300'!A840,'Daftar Koreksi'!$G$5:$G$92,"Jalan Irigasi Jaringan",'Daftar Koreksi'!$H$5:$H$92,"&lt;0")-SUMIFS('Daftar Koreksi'!$H$5:$H$92,'Daftar Koreksi'!$D$5:$D$92,'0300'!A840,'Daftar Koreksi'!$G$5:$G$92,"Jalan Irigasi Jaringan",'Daftar Koreksi'!$H$5:$H$92,"&lt;0")</f>
        <v>0</v>
      </c>
      <c r="G847" s="17">
        <f t="shared" si="38"/>
        <v>0</v>
      </c>
      <c r="H847" s="122"/>
    </row>
    <row r="848" spans="1:8" ht="21.95" customHeight="1">
      <c r="A848" s="14"/>
      <c r="B848" s="14"/>
      <c r="C848" s="16" t="s">
        <v>1170</v>
      </c>
      <c r="D848" s="17">
        <f>VLOOKUP(A840,'Neraca Unaudited SIMAK'!$A$2:$S$10004,8,FALSE)</f>
        <v>4369580</v>
      </c>
      <c r="E848" s="25">
        <f>SUMIFS('Daftar Koreksi'!$H$5:$H$92,'Daftar Koreksi'!$D$5:$D$92,'0300'!A840,'Daftar Koreksi'!$G$5:$G$92,"Aset Tetap Lainnya",'Daftar Koreksi'!$H$5:$H$92,"&gt;0")</f>
        <v>0</v>
      </c>
      <c r="F848" s="25">
        <f>SUMIFS('Daftar Koreksi'!$H$5:$H$92,'Daftar Koreksi'!$D$5:$D$92,'0300'!A840,'Daftar Koreksi'!$G$5:$G$92,"Aset Tetap Lainnya",'Daftar Koreksi'!$H$5:$H$92,"&lt;0")-SUMIFS('Daftar Koreksi'!$H$5:$H$92,'Daftar Koreksi'!$D$5:$D$92,'0300'!A840,'Daftar Koreksi'!$G$5:$G$92,"Aset Tetap Lainnya",'Daftar Koreksi'!$H$5:$H$92,"&lt;0")-SUMIFS('Daftar Koreksi'!$H$5:$H$92,'Daftar Koreksi'!$D$5:$D$92,'0300'!A840,'Daftar Koreksi'!$G$5:$G$92,"Aset Tetap Lainnya",'Daftar Koreksi'!$H$5:$H$92,"&lt;0")</f>
        <v>0</v>
      </c>
      <c r="G848" s="17">
        <f t="shared" si="38"/>
        <v>4369580</v>
      </c>
      <c r="H848" s="122"/>
    </row>
    <row r="849" spans="1:8" ht="21.95" customHeight="1">
      <c r="A849" s="14"/>
      <c r="B849" s="14"/>
      <c r="C849" s="16" t="s">
        <v>1171</v>
      </c>
      <c r="D849" s="17">
        <f>VLOOKUP(A840,'Neraca Unaudited SIMAK'!$A$2:$S$10004,9,FALSE)</f>
        <v>0</v>
      </c>
      <c r="E849" s="25">
        <f>SUMIFS('Daftar Koreksi'!$H$5:$H$92,'Daftar Koreksi'!$D$5:$D$92,'0300'!A840,'Daftar Koreksi'!$G$5:$G$92,"Kontruksi Dalam Pengerjaan",'Daftar Koreksi'!$H$5:$H$92,"&gt;0")</f>
        <v>0</v>
      </c>
      <c r="F849" s="25">
        <f>SUMIFS('Daftar Koreksi'!$H$5:$H$92,'Daftar Koreksi'!$D$5:$D$92,'0300'!A840,'Daftar Koreksi'!$G$5:$G$92,"Kontruksi Dalam Pengerjaan",'Daftar Koreksi'!$H$5:$H$92,"&lt;0")-SUMIFS('Daftar Koreksi'!$H$5:$H$92,'Daftar Koreksi'!$D$5:$D$92,'0300'!A840,'Daftar Koreksi'!$G$5:$G$92,"Kontruksi Dalam Pengerjaan",'Daftar Koreksi'!$H$5:$H$92,"&lt;0")-SUMIFS('Daftar Koreksi'!$H$5:$H$92,'Daftar Koreksi'!$D$5:$D$92,'0300'!A840,'Daftar Koreksi'!$G$5:$G$92,"Kontruksi Dalam Pengerjaan",'Daftar Koreksi'!$H$5:$H$92,"&lt;0")</f>
        <v>0</v>
      </c>
      <c r="G849" s="17">
        <f t="shared" si="38"/>
        <v>0</v>
      </c>
      <c r="H849" s="122"/>
    </row>
    <row r="850" spans="1:8" ht="21.95" customHeight="1">
      <c r="A850" s="14"/>
      <c r="B850" s="14"/>
      <c r="C850" s="16" t="s">
        <v>1172</v>
      </c>
      <c r="D850" s="17">
        <f>VLOOKUP(A840,'Neraca Unaudited SIMAK'!$A$2:$S$10004,10,FALSE)</f>
        <v>0</v>
      </c>
      <c r="E850" s="25">
        <f>SUMIFS('Daftar Koreksi'!$H$5:$H$92,'Daftar Koreksi'!$D$5:$D$92,'0300'!A840,'Daftar Koreksi'!$G$5:$G$92,"Aset Tak Berwujud",'Daftar Koreksi'!$H$5:$H$92,"&gt;0")</f>
        <v>0</v>
      </c>
      <c r="F850" s="25">
        <f>SUMIFS('Daftar Koreksi'!$H$5:$H$92,'Daftar Koreksi'!$D$5:$D$92,'0300'!A840,'Daftar Koreksi'!$G$5:$G$92,"Aset Tak Berwujud",'Daftar Koreksi'!$H$5:$H$92,"&lt;0")-SUMIFS('Daftar Koreksi'!$H$5:$H$92,'Daftar Koreksi'!$D$5:$D$92,'0300'!A840,'Daftar Koreksi'!$G$5:$G$92,"Aset Tak Berwujud",'Daftar Koreksi'!$H$5:$H$92,"&lt;0")-SUMIFS('Daftar Koreksi'!$H$5:$H$92,'Daftar Koreksi'!$D$5:$D$92,'0300'!A840,'Daftar Koreksi'!$G$5:$G$92,"Aset Tak Berwujud",'Daftar Koreksi'!$H$5:$H$92,"&lt;0")</f>
        <v>0</v>
      </c>
      <c r="G850" s="17">
        <f t="shared" si="38"/>
        <v>0</v>
      </c>
      <c r="H850" s="122"/>
    </row>
    <row r="851" spans="1:8" ht="21.95" customHeight="1">
      <c r="A851" s="14"/>
      <c r="B851" s="14"/>
      <c r="C851" s="16" t="s">
        <v>1173</v>
      </c>
      <c r="D851" s="17">
        <f>VLOOKUP(A840,'Neraca Unaudited SIMAK'!$A$2:$S$10004,11,FALSE)</f>
        <v>14451000</v>
      </c>
      <c r="E851" s="25">
        <f>SUMIFS('Daftar Koreksi'!$H$5:$H$92,'Daftar Koreksi'!$D$5:$D$92,'0300'!A840,'Daftar Koreksi'!$G$5:$G$92,"Aset Henti Guna",'Daftar Koreksi'!$H$5:$H$92,"&gt;0")</f>
        <v>0</v>
      </c>
      <c r="F851" s="25">
        <f>SUMIFS('Daftar Koreksi'!$H$5:$H$92,'Daftar Koreksi'!$D$5:$D$92,'0300'!A840,'Daftar Koreksi'!$G$5:$G$92,"Aset Henti Guna",'Daftar Koreksi'!$H$5:$H$92,"&lt;0")-SUMIFS('Daftar Koreksi'!$H$5:$H$92,'Daftar Koreksi'!$D$5:$D$92,'0300'!A840,'Daftar Koreksi'!$G$5:$G$92,"Aset Henti Guna",'Daftar Koreksi'!$H$5:$H$92,"&lt;0")-SUMIFS('Daftar Koreksi'!$H$5:$H$92,'Daftar Koreksi'!$D$5:$D$92,'0300'!A840,'Daftar Koreksi'!$G$5:$G$92,"Aset Henti Guna",'Daftar Koreksi'!$H$5:$H$92,"&lt;0")</f>
        <v>0</v>
      </c>
      <c r="G851" s="17">
        <f t="shared" si="38"/>
        <v>14451000</v>
      </c>
      <c r="H851" s="122"/>
    </row>
    <row r="852" spans="1:8" ht="21.95" customHeight="1">
      <c r="A852" s="14"/>
      <c r="B852" s="14"/>
      <c r="C852" s="18" t="s">
        <v>2093</v>
      </c>
      <c r="D852" s="19">
        <f>VLOOKUP(A840,'Neraca Unaudited SIMAK'!$A$2:$S$10004,12,FALSE)</f>
        <v>12408577622</v>
      </c>
      <c r="E852" s="19">
        <f>SUM(E843:E851)</f>
        <v>0</v>
      </c>
      <c r="F852" s="19">
        <f>SUM(F843:F851)</f>
        <v>0</v>
      </c>
      <c r="G852" s="19">
        <f t="shared" si="38"/>
        <v>12408577622</v>
      </c>
      <c r="H852" s="122"/>
    </row>
    <row r="853" spans="1:8" ht="21.95" customHeight="1">
      <c r="A853" s="14"/>
      <c r="B853" s="14"/>
      <c r="C853" s="16" t="s">
        <v>2087</v>
      </c>
      <c r="D853" s="17">
        <f>VLOOKUP(A840,'Neraca Unaudited SIMAK'!$A$2:$S$10004,13,FALSE)</f>
        <v>-1600131351</v>
      </c>
      <c r="E853" s="25">
        <f>SUMIFS('Daftar Koreksi'!$I$5:$I$92,'Daftar Koreksi'!$D$5:$D$92,'0300'!A840,'Daftar Koreksi'!$G$5:$G$92,"Peralatan dan mesin",'Daftar Koreksi'!$I$5:$I$92,"&gt;0")</f>
        <v>0</v>
      </c>
      <c r="F853" s="25">
        <f>SUMIFS('Daftar Koreksi'!$I$5:$I$92,'Daftar Koreksi'!$D$5:$D$92,'0300'!A840,'Daftar Koreksi'!$G$5:$G$92,"Peralatan dan mesin",'Daftar Koreksi'!$I$5:$I$92,"&lt;0")-SUMIFS('Daftar Koreksi'!$I$5:$I$92,'Daftar Koreksi'!$D$5:$D$92,'0300'!A840,'Daftar Koreksi'!$G$5:$G$92,"Peralatan dan mesin",'Daftar Koreksi'!$I$5:$I$92,"&lt;0")-SUMIFS('Daftar Koreksi'!$I$5:$I$92,'Daftar Koreksi'!$D$5:$D$92,'0300'!A840,'Daftar Koreksi'!$G$5:$G$92,"Peralatan dan mesin",'Daftar Koreksi'!$I$5:$I$92,"&lt;0")</f>
        <v>0</v>
      </c>
      <c r="G853" s="17">
        <f t="shared" si="38"/>
        <v>-1600131351</v>
      </c>
      <c r="H853" s="122"/>
    </row>
    <row r="854" spans="1:8" ht="21.95" customHeight="1">
      <c r="A854" s="14"/>
      <c r="B854" s="14"/>
      <c r="C854" s="16" t="s">
        <v>2088</v>
      </c>
      <c r="D854" s="17">
        <f>VLOOKUP(A840,'Neraca Unaudited SIMAK'!$A$2:$S$10004,14,FALSE)</f>
        <v>-982294304</v>
      </c>
      <c r="E854" s="25">
        <f>SUMIFS('Daftar Koreksi'!$I$5:$I$92,'Daftar Koreksi'!$D$5:$D$92,'0300'!A840,'Daftar Koreksi'!$G$5:$G$92,"Gedung dan Bangunan",'Daftar Koreksi'!$I$5:$I$92,"&gt;0")</f>
        <v>0</v>
      </c>
      <c r="F854" s="25">
        <f>SUMIFS('Daftar Koreksi'!$I$5:$I$92,'Daftar Koreksi'!$D$5:$D$92,'0300'!A840,'Daftar Koreksi'!$G$5:$G$92,"Gedung dan Bangunan",'Daftar Koreksi'!$I$5:$I$92,"&lt;0")-SUMIFS('Daftar Koreksi'!$I$5:$I$92,'Daftar Koreksi'!$D$5:$D$92,'0300'!A840,'Daftar Koreksi'!$G$5:$G$92,"Gedung dan Bangunan",'Daftar Koreksi'!$I$5:$I$92,"&lt;0")-SUMIFS('Daftar Koreksi'!$I$5:$I$92,'Daftar Koreksi'!$D$5:$D$92,'0300'!A840,'Daftar Koreksi'!$G$5:$G$92,"Gedung dan Bangunan",'Daftar Koreksi'!$I$5:$I$92,"&lt;0")</f>
        <v>0</v>
      </c>
      <c r="G854" s="17">
        <f t="shared" si="38"/>
        <v>-982294304</v>
      </c>
      <c r="H854" s="122"/>
    </row>
    <row r="855" spans="1:8" ht="21.95" customHeight="1">
      <c r="A855" s="14"/>
      <c r="B855" s="14"/>
      <c r="C855" s="16" t="s">
        <v>2089</v>
      </c>
      <c r="D855" s="17">
        <f>VLOOKUP(A840,'Neraca Unaudited SIMAK'!$A$2:$S$10004,15,FALSE)</f>
        <v>0</v>
      </c>
      <c r="E855" s="25">
        <f>SUMIFS('Daftar Koreksi'!$I$5:$I$92,'Daftar Koreksi'!$D$5:$D$92,'0300'!A840,'Daftar Koreksi'!$G$5:$G$92,"Jalan Irigasi Jaringan",'Daftar Koreksi'!$I$5:$I$92,"&gt;0")</f>
        <v>0</v>
      </c>
      <c r="F855" s="25">
        <f>SUMIFS('Daftar Koreksi'!$I$5:$I$92,'Daftar Koreksi'!$D$5:$D$92,'0300'!A840,'Daftar Koreksi'!$G$5:$G$92,"Jalan Irigasi Jaringan",'Daftar Koreksi'!$I$5:$I$92,"&lt;0")-SUMIFS('Daftar Koreksi'!$I$5:$I$92,'Daftar Koreksi'!$D$5:$D$92,'0300'!A840,'Daftar Koreksi'!$G$5:$G$92,"Jalan Irigasi Jaringan",'Daftar Koreksi'!$I$5:$I$92,"&lt;0")-SUMIFS('Daftar Koreksi'!$I$5:$I$92,'Daftar Koreksi'!$D$5:$D$92,'0300'!A840,'Daftar Koreksi'!$G$5:$G$92,"Jalan Irigasi Jaringan",'Daftar Koreksi'!$I$5:$I$92,"&lt;0")</f>
        <v>0</v>
      </c>
      <c r="G855" s="17">
        <f t="shared" si="38"/>
        <v>0</v>
      </c>
      <c r="H855" s="122"/>
    </row>
    <row r="856" spans="1:8" ht="21.95" customHeight="1">
      <c r="A856" s="14"/>
      <c r="B856" s="14"/>
      <c r="C856" s="16" t="s">
        <v>2090</v>
      </c>
      <c r="D856" s="17">
        <f>VLOOKUP(A840,'Neraca Unaudited SIMAK'!$A$2:$S$10004,16,FALSE)</f>
        <v>0</v>
      </c>
      <c r="E856" s="25">
        <f>SUMIFS('Daftar Koreksi'!$I$5:$I$92,'Daftar Koreksi'!$D$5:$D$92,'0300'!A840,'Daftar Koreksi'!$G$5:$G$92,"Aset Tetap Lainnya",'Daftar Koreksi'!$I$5:$I$92,"&gt;0")</f>
        <v>0</v>
      </c>
      <c r="F856" s="25">
        <f>SUMIFS('Daftar Koreksi'!$I$5:$I$92,'Daftar Koreksi'!$D$5:$D$92,'0300'!A840,'Daftar Koreksi'!$G$5:$G$92,"Aset Tetap Lainnya",'Daftar Koreksi'!$I$5:$I$92,"&lt;0")-SUMIFS('Daftar Koreksi'!$I$5:$I$92,'Daftar Koreksi'!$D$5:$D$92,'0300'!A840,'Daftar Koreksi'!$G$5:$G$92,"Aset Tetap Lainnya",'Daftar Koreksi'!$I$5:$I$92,"&lt;0")-SUMIFS('Daftar Koreksi'!$I$5:$I$92,'Daftar Koreksi'!$D$5:$D$92,'0300'!A840,'Daftar Koreksi'!$G$5:$G$92,"Aset Tetap Lainnya",'Daftar Koreksi'!$I$5:$I$92,"&lt;0")</f>
        <v>0</v>
      </c>
      <c r="G856" s="17">
        <f t="shared" si="38"/>
        <v>0</v>
      </c>
      <c r="H856" s="122"/>
    </row>
    <row r="857" spans="1:8" ht="21.95" customHeight="1">
      <c r="A857" s="14"/>
      <c r="B857" s="14"/>
      <c r="C857" s="16" t="s">
        <v>2020</v>
      </c>
      <c r="D857" s="17">
        <f>VLOOKUP(A840,'Neraca Unaudited SIMAK'!$A$2:$S$10004,17,FALSE)</f>
        <v>-14451000</v>
      </c>
      <c r="E857" s="25">
        <f>SUMIFS('Daftar Koreksi'!$I$5:$I$92,'Daftar Koreksi'!$D$5:$D$92,'0300'!A840,'Daftar Koreksi'!$G$5:$G$92,"Aset Henti Guna",'Daftar Koreksi'!$I$5:$I$92,"&gt;0")</f>
        <v>0</v>
      </c>
      <c r="F857" s="25">
        <f>SUMIFS('Daftar Koreksi'!$I$5:$I$92,'Daftar Koreksi'!$D$5:$D$92,'0300'!A840,'Daftar Koreksi'!$G$5:$G$92,"Aset Henti Guna",'Daftar Koreksi'!$I$5:$I$92,"&lt;0")-SUMIFS('Daftar Koreksi'!$I$5:$I$92,'Daftar Koreksi'!$D$5:$D$92,'0300'!A840,'Daftar Koreksi'!$G$5:$G$92,"Aset Henti Guna",'Daftar Koreksi'!$I$5:$I$92,"&lt;0")-SUMIFS('Daftar Koreksi'!$I$5:$I$92,'Daftar Koreksi'!$D$5:$D$92,'0300'!A840,'Daftar Koreksi'!$G$5:$G$92,"Aset Henti Guna",'Daftar Koreksi'!$I$5:$I$92,"&lt;0")</f>
        <v>0</v>
      </c>
      <c r="G857" s="17">
        <f t="shared" si="38"/>
        <v>-14451000</v>
      </c>
      <c r="H857" s="122"/>
    </row>
    <row r="858" spans="1:8" ht="21.95" customHeight="1">
      <c r="A858" s="14"/>
      <c r="B858" s="14"/>
      <c r="C858" s="18" t="s">
        <v>2094</v>
      </c>
      <c r="D858" s="19">
        <f>SUM(D853:D857)</f>
        <v>-2596876655</v>
      </c>
      <c r="E858" s="19">
        <f>SUM(E853:E857)</f>
        <v>0</v>
      </c>
      <c r="F858" s="19">
        <f>SUM(F853:F857)</f>
        <v>0</v>
      </c>
      <c r="G858" s="19">
        <f t="shared" si="38"/>
        <v>-2596876655</v>
      </c>
      <c r="H858" s="122"/>
    </row>
    <row r="859" spans="1:8" ht="21.95" customHeight="1">
      <c r="A859" s="14"/>
      <c r="B859" s="14"/>
      <c r="C859" s="18" t="s">
        <v>2095</v>
      </c>
      <c r="D859" s="19">
        <f>VLOOKUP(A840,'Neraca Unaudited SIMAK'!$A$2:$S$10004,18,FALSE)</f>
        <v>9811700967</v>
      </c>
      <c r="E859" s="19">
        <f>E858+E852</f>
        <v>0</v>
      </c>
      <c r="F859" s="19">
        <f>F858+F852</f>
        <v>0</v>
      </c>
      <c r="G859" s="19">
        <f t="shared" si="38"/>
        <v>9811700967</v>
      </c>
      <c r="H859" s="122"/>
    </row>
    <row r="860" spans="1:8" ht="21.95" customHeight="1">
      <c r="A860" s="14"/>
      <c r="B860" s="14"/>
      <c r="C860" s="16" t="s">
        <v>2091</v>
      </c>
      <c r="D860" s="17">
        <f>VLOOKUP(A840,'Neraca Unaudited SIMAK'!$A$2:$S$10004,19,FALSE)</f>
        <v>0</v>
      </c>
      <c r="E860" s="25"/>
      <c r="F860" s="25"/>
      <c r="G860" s="17">
        <f t="shared" si="38"/>
        <v>0</v>
      </c>
      <c r="H860" s="123"/>
    </row>
    <row r="862" spans="1:8" ht="19.5" customHeight="1">
      <c r="A862" s="11" t="str">
        <f>O40</f>
        <v>005010300400891000KD</v>
      </c>
      <c r="B862" s="11" t="str">
        <f>P40</f>
        <v>PA. Brebes</v>
      </c>
      <c r="C862" s="12" t="str">
        <f>A862&amp;" "&amp;B862</f>
        <v>005010300400891000KD PA. Brebes</v>
      </c>
      <c r="D862" s="13"/>
      <c r="E862" s="13"/>
      <c r="F862" s="13"/>
      <c r="G862" s="13"/>
      <c r="H862" s="11"/>
    </row>
    <row r="863" spans="1:8" ht="21.95" customHeight="1">
      <c r="A863" s="14"/>
      <c r="B863" s="14"/>
      <c r="C863" s="124" t="s">
        <v>1982</v>
      </c>
      <c r="D863" s="126" t="s">
        <v>1983</v>
      </c>
      <c r="E863" s="132" t="s">
        <v>1984</v>
      </c>
      <c r="F863" s="132"/>
      <c r="G863" s="126" t="s">
        <v>1987</v>
      </c>
      <c r="H863" s="130" t="s">
        <v>1175</v>
      </c>
    </row>
    <row r="864" spans="1:8" ht="21.95" customHeight="1">
      <c r="A864" s="14"/>
      <c r="B864" s="14"/>
      <c r="C864" s="125"/>
      <c r="D864" s="127"/>
      <c r="E864" s="26" t="s">
        <v>1985</v>
      </c>
      <c r="F864" s="26" t="s">
        <v>1986</v>
      </c>
      <c r="G864" s="127"/>
      <c r="H864" s="131"/>
    </row>
    <row r="865" spans="1:8" ht="21.95" customHeight="1">
      <c r="A865" s="14"/>
      <c r="B865" s="14"/>
      <c r="C865" s="16" t="s">
        <v>1165</v>
      </c>
      <c r="D865" s="17">
        <f>VLOOKUP(A862,'Neraca Unaudited SIMAK'!$A$2:$S$10004,3,FALSE)</f>
        <v>192500</v>
      </c>
      <c r="E865" s="25">
        <f>SUMIFS('Daftar Koreksi'!$H$5:$H$92,'Daftar Koreksi'!$D$5:$D$92,'0300'!A862,'Daftar Koreksi'!$G$5:$G$92,"Persediaan",'Daftar Koreksi'!$H$5:$H$92,"&gt;0")</f>
        <v>0</v>
      </c>
      <c r="F865" s="25">
        <f>SUMIFS('Daftar Koreksi'!$H$5:$H$92,'Daftar Koreksi'!$D$5:$D$92,'0300'!A862,'Daftar Koreksi'!$G$5:$G$92,"Persediaan",'Daftar Koreksi'!$H$5:$H$92,"&lt;0")-SUMIFS('Daftar Koreksi'!$H$5:$H$92,'Daftar Koreksi'!$D$5:$D$92,'0300'!A862,'Daftar Koreksi'!$G$5:$G$92,"Persediaan",'Daftar Koreksi'!$H$5:$H$92,"&lt;0")-SUMIFS('Daftar Koreksi'!$H$5:$H$92,'Daftar Koreksi'!$D$5:$D$92,'0300'!A862,'Daftar Koreksi'!$G$5:$G$92,"Persediaan",'Daftar Koreksi'!$H$5:$H$92,"&lt;0")</f>
        <v>0</v>
      </c>
      <c r="G865" s="17">
        <f>D865+E865-F865</f>
        <v>192500</v>
      </c>
      <c r="H865" s="121" t="str">
        <f>IF(ISNA(VLOOKUP(A862,'Mutasi Neraca'!$A$3:$S$914,19,FALSE)),"-",VLOOKUP(A862,'Mutasi Neraca'!$A$3:$S$914,19,FALSE))</f>
        <v>-</v>
      </c>
    </row>
    <row r="866" spans="1:8" ht="21.95" customHeight="1">
      <c r="A866" s="14"/>
      <c r="B866" s="14"/>
      <c r="C866" s="16" t="s">
        <v>1166</v>
      </c>
      <c r="D866" s="17">
        <f>VLOOKUP(A862,'Neraca Unaudited SIMAK'!$A$2:$S$10004,4,FALSE)</f>
        <v>5829572000</v>
      </c>
      <c r="E866" s="25">
        <f>SUMIFS('Daftar Koreksi'!$H$5:$H$92,'Daftar Koreksi'!$D$5:$D$92,'0300'!A862,'Daftar Koreksi'!$G$5:$G$92,"Tanah",'Daftar Koreksi'!$H$5:$H$92,"&gt;0")</f>
        <v>0</v>
      </c>
      <c r="F866" s="25">
        <f>SUMIFS('Daftar Koreksi'!$H$5:$H$92,'Daftar Koreksi'!$D$5:$D$92,'0300'!A862,'Daftar Koreksi'!$G$5:$G$92,"Tanah",'Daftar Koreksi'!$H$5:$H$92,"&lt;0")-SUMIFS('Daftar Koreksi'!$H$5:$H$92,'Daftar Koreksi'!$D$5:$D$92,'0300'!A862,'Daftar Koreksi'!$G$5:$G$92,"Tanah",'Daftar Koreksi'!$H$5:$H$92,"&lt;0")-SUMIFS('Daftar Koreksi'!$H$5:$H$92,'Daftar Koreksi'!$D$5:$D$92,'0300'!A862,'Daftar Koreksi'!$G$5:$G$92,"Tanah",'Daftar Koreksi'!$H$5:$H$92,"&lt;0")</f>
        <v>0</v>
      </c>
      <c r="G866" s="17">
        <f t="shared" ref="G866:G882" si="39">D866+E866-F866</f>
        <v>5829572000</v>
      </c>
      <c r="H866" s="122"/>
    </row>
    <row r="867" spans="1:8" ht="21.95" customHeight="1">
      <c r="A867" s="14"/>
      <c r="B867" s="14"/>
      <c r="C867" s="16" t="s">
        <v>1167</v>
      </c>
      <c r="D867" s="17">
        <f>VLOOKUP(A862,'Neraca Unaudited SIMAK'!$A$2:$S$10004,5,FALSE)</f>
        <v>1031417581</v>
      </c>
      <c r="E867" s="25">
        <f>SUMIFS('Daftar Koreksi'!$H$5:$H$92,'Daftar Koreksi'!$D$5:$D$92,'0300'!A862,'Daftar Koreksi'!$G$5:$G$92,"Peralatan dan mesin",'Daftar Koreksi'!$H$5:$H$92,"&gt;0")</f>
        <v>0</v>
      </c>
      <c r="F867" s="25">
        <f>SUMIFS('Daftar Koreksi'!$H$5:$H$92,'Daftar Koreksi'!$D$5:$D$92,'0300'!A862,'Daftar Koreksi'!$G$5:$G$92,"Peralatan dan mesin",'Daftar Koreksi'!$H$5:$H$92,"&lt;0")-SUMIFS('Daftar Koreksi'!$H$5:$H$92,'Daftar Koreksi'!$D$5:$D$92,'0300'!A862,'Daftar Koreksi'!$G$5:$G$92,"Peralatan dan mesin",'Daftar Koreksi'!$H$5:$H$92,"&lt;0")-SUMIFS('Daftar Koreksi'!$H$5:$H$92,'Daftar Koreksi'!$D$5:$D$92,'0300'!A862,'Daftar Koreksi'!$G$5:$G$92,"Peralatan dan mesin",'Daftar Koreksi'!$H$5:$H$92,"&lt;0")</f>
        <v>0</v>
      </c>
      <c r="G867" s="17">
        <f t="shared" si="39"/>
        <v>1031417581</v>
      </c>
      <c r="H867" s="122"/>
    </row>
    <row r="868" spans="1:8" ht="21.95" customHeight="1">
      <c r="A868" s="14"/>
      <c r="B868" s="14"/>
      <c r="C868" s="16" t="s">
        <v>1168</v>
      </c>
      <c r="D868" s="17">
        <f>VLOOKUP(A862,'Neraca Unaudited SIMAK'!$A$2:$S$10004,6,FALSE)</f>
        <v>5631318800</v>
      </c>
      <c r="E868" s="25">
        <f>SUMIFS('Daftar Koreksi'!$H$5:$H$92,'Daftar Koreksi'!$D$5:$D$92,'0300'!A862,'Daftar Koreksi'!$G$5:$G$92,"Gedung dan Bangunan",'Daftar Koreksi'!$H$5:$H$92,"&gt;0")</f>
        <v>0</v>
      </c>
      <c r="F868" s="25">
        <f>SUMIFS('Daftar Koreksi'!$H$5:$H$92,'Daftar Koreksi'!$D$5:$D$92,'0300'!A862,'Daftar Koreksi'!$G$5:$G$92,"Gedung dan Bangunan",'Daftar Koreksi'!$H$5:$H$92,"&lt;0")-SUMIFS('Daftar Koreksi'!$H$5:$H$92,'Daftar Koreksi'!$D$5:$D$92,'0300'!A862,'Daftar Koreksi'!$G$5:$G$92,"Gedung dan Bangunan",'Daftar Koreksi'!$H$5:$H$92,"&lt;0")-SUMIFS('Daftar Koreksi'!$H$5:$H$92,'Daftar Koreksi'!$D$5:$D$92,'0300'!A862,'Daftar Koreksi'!$G$5:$G$92,"Gedung dan Bangunan",'Daftar Koreksi'!$H$5:$H$92,"&lt;0")</f>
        <v>0</v>
      </c>
      <c r="G868" s="17">
        <f t="shared" si="39"/>
        <v>5631318800</v>
      </c>
      <c r="H868" s="122"/>
    </row>
    <row r="869" spans="1:8" ht="21.95" customHeight="1">
      <c r="A869" s="14"/>
      <c r="B869" s="14"/>
      <c r="C869" s="16" t="s">
        <v>1169</v>
      </c>
      <c r="D869" s="17">
        <f>VLOOKUP(A862,'Neraca Unaudited SIMAK'!$A$2:$S$10004,7,FALSE)</f>
        <v>0</v>
      </c>
      <c r="E869" s="25">
        <f>SUMIFS('Daftar Koreksi'!$H$5:$H$92,'Daftar Koreksi'!$D$5:$D$92,'0300'!A862,'Daftar Koreksi'!$G$5:$G$92,"Jalan Irigasi Jaringan",'Daftar Koreksi'!$H$5:$H$92,"&gt;0")</f>
        <v>0</v>
      </c>
      <c r="F869" s="25">
        <f>SUMIFS('Daftar Koreksi'!$H$5:$H$92,'Daftar Koreksi'!$D$5:$D$92,'0300'!A862,'Daftar Koreksi'!$G$5:$G$92,"Jalan Irigasi Jaringan",'Daftar Koreksi'!$H$5:$H$92,"&lt;0")-SUMIFS('Daftar Koreksi'!$H$5:$H$92,'Daftar Koreksi'!$D$5:$D$92,'0300'!A862,'Daftar Koreksi'!$G$5:$G$92,"Jalan Irigasi Jaringan",'Daftar Koreksi'!$H$5:$H$92,"&lt;0")-SUMIFS('Daftar Koreksi'!$H$5:$H$92,'Daftar Koreksi'!$D$5:$D$92,'0300'!A862,'Daftar Koreksi'!$G$5:$G$92,"Jalan Irigasi Jaringan",'Daftar Koreksi'!$H$5:$H$92,"&lt;0")</f>
        <v>0</v>
      </c>
      <c r="G869" s="17">
        <f t="shared" si="39"/>
        <v>0</v>
      </c>
      <c r="H869" s="122"/>
    </row>
    <row r="870" spans="1:8" ht="21.95" customHeight="1">
      <c r="A870" s="14"/>
      <c r="B870" s="14"/>
      <c r="C870" s="16" t="s">
        <v>1170</v>
      </c>
      <c r="D870" s="17">
        <f>VLOOKUP(A862,'Neraca Unaudited SIMAK'!$A$2:$S$10004,8,FALSE)</f>
        <v>89135578</v>
      </c>
      <c r="E870" s="25">
        <f>SUMIFS('Daftar Koreksi'!$H$5:$H$92,'Daftar Koreksi'!$D$5:$D$92,'0300'!A862,'Daftar Koreksi'!$G$5:$G$92,"Aset Tetap Lainnya",'Daftar Koreksi'!$H$5:$H$92,"&gt;0")</f>
        <v>0</v>
      </c>
      <c r="F870" s="25">
        <f>SUMIFS('Daftar Koreksi'!$H$5:$H$92,'Daftar Koreksi'!$D$5:$D$92,'0300'!A862,'Daftar Koreksi'!$G$5:$G$92,"Aset Tetap Lainnya",'Daftar Koreksi'!$H$5:$H$92,"&lt;0")-SUMIFS('Daftar Koreksi'!$H$5:$H$92,'Daftar Koreksi'!$D$5:$D$92,'0300'!A862,'Daftar Koreksi'!$G$5:$G$92,"Aset Tetap Lainnya",'Daftar Koreksi'!$H$5:$H$92,"&lt;0")-SUMIFS('Daftar Koreksi'!$H$5:$H$92,'Daftar Koreksi'!$D$5:$D$92,'0300'!A862,'Daftar Koreksi'!$G$5:$G$92,"Aset Tetap Lainnya",'Daftar Koreksi'!$H$5:$H$92,"&lt;0")</f>
        <v>0</v>
      </c>
      <c r="G870" s="17">
        <f t="shared" si="39"/>
        <v>89135578</v>
      </c>
      <c r="H870" s="122"/>
    </row>
    <row r="871" spans="1:8" ht="21.95" customHeight="1">
      <c r="A871" s="14"/>
      <c r="B871" s="14"/>
      <c r="C871" s="16" t="s">
        <v>1171</v>
      </c>
      <c r="D871" s="17">
        <f>VLOOKUP(A862,'Neraca Unaudited SIMAK'!$A$2:$S$10004,9,FALSE)</f>
        <v>0</v>
      </c>
      <c r="E871" s="25">
        <f>SUMIFS('Daftar Koreksi'!$H$5:$H$92,'Daftar Koreksi'!$D$5:$D$92,'0300'!A862,'Daftar Koreksi'!$G$5:$G$92,"Kontruksi Dalam Pengerjaan",'Daftar Koreksi'!$H$5:$H$92,"&gt;0")</f>
        <v>0</v>
      </c>
      <c r="F871" s="25">
        <f>SUMIFS('Daftar Koreksi'!$H$5:$H$92,'Daftar Koreksi'!$D$5:$D$92,'0300'!A862,'Daftar Koreksi'!$G$5:$G$92,"Kontruksi Dalam Pengerjaan",'Daftar Koreksi'!$H$5:$H$92,"&lt;0")-SUMIFS('Daftar Koreksi'!$H$5:$H$92,'Daftar Koreksi'!$D$5:$D$92,'0300'!A862,'Daftar Koreksi'!$G$5:$G$92,"Kontruksi Dalam Pengerjaan",'Daftar Koreksi'!$H$5:$H$92,"&lt;0")-SUMIFS('Daftar Koreksi'!$H$5:$H$92,'Daftar Koreksi'!$D$5:$D$92,'0300'!A862,'Daftar Koreksi'!$G$5:$G$92,"Kontruksi Dalam Pengerjaan",'Daftar Koreksi'!$H$5:$H$92,"&lt;0")</f>
        <v>0</v>
      </c>
      <c r="G871" s="17">
        <f t="shared" si="39"/>
        <v>0</v>
      </c>
      <c r="H871" s="122"/>
    </row>
    <row r="872" spans="1:8" ht="21.95" customHeight="1">
      <c r="A872" s="14"/>
      <c r="B872" s="14"/>
      <c r="C872" s="16" t="s">
        <v>1172</v>
      </c>
      <c r="D872" s="17">
        <f>VLOOKUP(A862,'Neraca Unaudited SIMAK'!$A$2:$S$10004,10,FALSE)</f>
        <v>0</v>
      </c>
      <c r="E872" s="25">
        <f>SUMIFS('Daftar Koreksi'!$H$5:$H$92,'Daftar Koreksi'!$D$5:$D$92,'0300'!A862,'Daftar Koreksi'!$G$5:$G$92,"Aset Tak Berwujud",'Daftar Koreksi'!$H$5:$H$92,"&gt;0")</f>
        <v>0</v>
      </c>
      <c r="F872" s="25">
        <f>SUMIFS('Daftar Koreksi'!$H$5:$H$92,'Daftar Koreksi'!$D$5:$D$92,'0300'!A862,'Daftar Koreksi'!$G$5:$G$92,"Aset Tak Berwujud",'Daftar Koreksi'!$H$5:$H$92,"&lt;0")-SUMIFS('Daftar Koreksi'!$H$5:$H$92,'Daftar Koreksi'!$D$5:$D$92,'0300'!A862,'Daftar Koreksi'!$G$5:$G$92,"Aset Tak Berwujud",'Daftar Koreksi'!$H$5:$H$92,"&lt;0")-SUMIFS('Daftar Koreksi'!$H$5:$H$92,'Daftar Koreksi'!$D$5:$D$92,'0300'!A862,'Daftar Koreksi'!$G$5:$G$92,"Aset Tak Berwujud",'Daftar Koreksi'!$H$5:$H$92,"&lt;0")</f>
        <v>0</v>
      </c>
      <c r="G872" s="17">
        <f t="shared" si="39"/>
        <v>0</v>
      </c>
      <c r="H872" s="122"/>
    </row>
    <row r="873" spans="1:8" ht="21.95" customHeight="1">
      <c r="A873" s="14"/>
      <c r="B873" s="14"/>
      <c r="C873" s="16" t="s">
        <v>1173</v>
      </c>
      <c r="D873" s="17">
        <f>VLOOKUP(A862,'Neraca Unaudited SIMAK'!$A$2:$S$10004,11,FALSE)</f>
        <v>0</v>
      </c>
      <c r="E873" s="25">
        <f>SUMIFS('Daftar Koreksi'!$H$5:$H$92,'Daftar Koreksi'!$D$5:$D$92,'0300'!A862,'Daftar Koreksi'!$G$5:$G$92,"Aset Henti Guna",'Daftar Koreksi'!$H$5:$H$92,"&gt;0")</f>
        <v>0</v>
      </c>
      <c r="F873" s="25">
        <f>SUMIFS('Daftar Koreksi'!$H$5:$H$92,'Daftar Koreksi'!$D$5:$D$92,'0300'!A862,'Daftar Koreksi'!$G$5:$G$92,"Aset Henti Guna",'Daftar Koreksi'!$H$5:$H$92,"&lt;0")-SUMIFS('Daftar Koreksi'!$H$5:$H$92,'Daftar Koreksi'!$D$5:$D$92,'0300'!A862,'Daftar Koreksi'!$G$5:$G$92,"Aset Henti Guna",'Daftar Koreksi'!$H$5:$H$92,"&lt;0")-SUMIFS('Daftar Koreksi'!$H$5:$H$92,'Daftar Koreksi'!$D$5:$D$92,'0300'!A862,'Daftar Koreksi'!$G$5:$G$92,"Aset Henti Guna",'Daftar Koreksi'!$H$5:$H$92,"&lt;0")</f>
        <v>0</v>
      </c>
      <c r="G873" s="17">
        <f t="shared" si="39"/>
        <v>0</v>
      </c>
      <c r="H873" s="122"/>
    </row>
    <row r="874" spans="1:8" ht="21.95" customHeight="1">
      <c r="A874" s="14"/>
      <c r="B874" s="14"/>
      <c r="C874" s="18" t="s">
        <v>2093</v>
      </c>
      <c r="D874" s="19">
        <f>VLOOKUP(A862,'Neraca Unaudited SIMAK'!$A$2:$S$10004,12,FALSE)</f>
        <v>12581636459</v>
      </c>
      <c r="E874" s="19">
        <f>SUM(E865:E873)</f>
        <v>0</v>
      </c>
      <c r="F874" s="19">
        <f>SUM(F865:F873)</f>
        <v>0</v>
      </c>
      <c r="G874" s="19">
        <f t="shared" si="39"/>
        <v>12581636459</v>
      </c>
      <c r="H874" s="122"/>
    </row>
    <row r="875" spans="1:8" ht="21.95" customHeight="1">
      <c r="A875" s="14"/>
      <c r="B875" s="14"/>
      <c r="C875" s="16" t="s">
        <v>2087</v>
      </c>
      <c r="D875" s="17">
        <f>VLOOKUP(A862,'Neraca Unaudited SIMAK'!$A$2:$S$10004,13,FALSE)</f>
        <v>-907740741</v>
      </c>
      <c r="E875" s="25">
        <f>SUMIFS('Daftar Koreksi'!$I$5:$I$92,'Daftar Koreksi'!$D$5:$D$92,'0300'!A862,'Daftar Koreksi'!$G$5:$G$92,"Peralatan dan mesin",'Daftar Koreksi'!$I$5:$I$92,"&gt;0")</f>
        <v>0</v>
      </c>
      <c r="F875" s="25">
        <f>SUMIFS('Daftar Koreksi'!$I$5:$I$92,'Daftar Koreksi'!$D$5:$D$92,'0300'!A862,'Daftar Koreksi'!$G$5:$G$92,"Peralatan dan mesin",'Daftar Koreksi'!$I$5:$I$92,"&lt;0")-SUMIFS('Daftar Koreksi'!$I$5:$I$92,'Daftar Koreksi'!$D$5:$D$92,'0300'!A862,'Daftar Koreksi'!$G$5:$G$92,"Peralatan dan mesin",'Daftar Koreksi'!$I$5:$I$92,"&lt;0")-SUMIFS('Daftar Koreksi'!$I$5:$I$92,'Daftar Koreksi'!$D$5:$D$92,'0300'!A862,'Daftar Koreksi'!$G$5:$G$92,"Peralatan dan mesin",'Daftar Koreksi'!$I$5:$I$92,"&lt;0")</f>
        <v>0</v>
      </c>
      <c r="G875" s="17">
        <f t="shared" si="39"/>
        <v>-907740741</v>
      </c>
      <c r="H875" s="122"/>
    </row>
    <row r="876" spans="1:8" ht="21.95" customHeight="1">
      <c r="A876" s="14"/>
      <c r="B876" s="14"/>
      <c r="C876" s="16" t="s">
        <v>2088</v>
      </c>
      <c r="D876" s="17">
        <f>VLOOKUP(A862,'Neraca Unaudited SIMAK'!$A$2:$S$10004,14,FALSE)</f>
        <v>-531369582</v>
      </c>
      <c r="E876" s="25">
        <f>SUMIFS('Daftar Koreksi'!$I$5:$I$92,'Daftar Koreksi'!$D$5:$D$92,'0300'!A862,'Daftar Koreksi'!$G$5:$G$92,"Gedung dan Bangunan",'Daftar Koreksi'!$I$5:$I$92,"&gt;0")</f>
        <v>0</v>
      </c>
      <c r="F876" s="25">
        <f>SUMIFS('Daftar Koreksi'!$I$5:$I$92,'Daftar Koreksi'!$D$5:$D$92,'0300'!A862,'Daftar Koreksi'!$G$5:$G$92,"Gedung dan Bangunan",'Daftar Koreksi'!$I$5:$I$92,"&lt;0")-SUMIFS('Daftar Koreksi'!$I$5:$I$92,'Daftar Koreksi'!$D$5:$D$92,'0300'!A862,'Daftar Koreksi'!$G$5:$G$92,"Gedung dan Bangunan",'Daftar Koreksi'!$I$5:$I$92,"&lt;0")-SUMIFS('Daftar Koreksi'!$I$5:$I$92,'Daftar Koreksi'!$D$5:$D$92,'0300'!A862,'Daftar Koreksi'!$G$5:$G$92,"Gedung dan Bangunan",'Daftar Koreksi'!$I$5:$I$92,"&lt;0")</f>
        <v>0</v>
      </c>
      <c r="G876" s="17">
        <f t="shared" si="39"/>
        <v>-531369582</v>
      </c>
      <c r="H876" s="122"/>
    </row>
    <row r="877" spans="1:8" ht="21.95" customHeight="1">
      <c r="A877" s="14"/>
      <c r="B877" s="14"/>
      <c r="C877" s="16" t="s">
        <v>2089</v>
      </c>
      <c r="D877" s="17">
        <f>VLOOKUP(A862,'Neraca Unaudited SIMAK'!$A$2:$S$10004,15,FALSE)</f>
        <v>0</v>
      </c>
      <c r="E877" s="25">
        <f>SUMIFS('Daftar Koreksi'!$I$5:$I$92,'Daftar Koreksi'!$D$5:$D$92,'0300'!A862,'Daftar Koreksi'!$G$5:$G$92,"Jalan Irigasi Jaringan",'Daftar Koreksi'!$I$5:$I$92,"&gt;0")</f>
        <v>0</v>
      </c>
      <c r="F877" s="25">
        <f>SUMIFS('Daftar Koreksi'!$I$5:$I$92,'Daftar Koreksi'!$D$5:$D$92,'0300'!A862,'Daftar Koreksi'!$G$5:$G$92,"Jalan Irigasi Jaringan",'Daftar Koreksi'!$I$5:$I$92,"&lt;0")-SUMIFS('Daftar Koreksi'!$I$5:$I$92,'Daftar Koreksi'!$D$5:$D$92,'0300'!A862,'Daftar Koreksi'!$G$5:$G$92,"Jalan Irigasi Jaringan",'Daftar Koreksi'!$I$5:$I$92,"&lt;0")-SUMIFS('Daftar Koreksi'!$I$5:$I$92,'Daftar Koreksi'!$D$5:$D$92,'0300'!A862,'Daftar Koreksi'!$G$5:$G$92,"Jalan Irigasi Jaringan",'Daftar Koreksi'!$I$5:$I$92,"&lt;0")</f>
        <v>0</v>
      </c>
      <c r="G877" s="17">
        <f t="shared" si="39"/>
        <v>0</v>
      </c>
      <c r="H877" s="122"/>
    </row>
    <row r="878" spans="1:8" ht="21.95" customHeight="1">
      <c r="A878" s="14"/>
      <c r="B878" s="14"/>
      <c r="C878" s="16" t="s">
        <v>2090</v>
      </c>
      <c r="D878" s="17">
        <f>VLOOKUP(A862,'Neraca Unaudited SIMAK'!$A$2:$S$10004,16,FALSE)</f>
        <v>0</v>
      </c>
      <c r="E878" s="25">
        <f>SUMIFS('Daftar Koreksi'!$I$5:$I$92,'Daftar Koreksi'!$D$5:$D$92,'0300'!A862,'Daftar Koreksi'!$G$5:$G$92,"Aset Tetap Lainnya",'Daftar Koreksi'!$I$5:$I$92,"&gt;0")</f>
        <v>0</v>
      </c>
      <c r="F878" s="25">
        <f>SUMIFS('Daftar Koreksi'!$I$5:$I$92,'Daftar Koreksi'!$D$5:$D$92,'0300'!A862,'Daftar Koreksi'!$G$5:$G$92,"Aset Tetap Lainnya",'Daftar Koreksi'!$I$5:$I$92,"&lt;0")-SUMIFS('Daftar Koreksi'!$I$5:$I$92,'Daftar Koreksi'!$D$5:$D$92,'0300'!A862,'Daftar Koreksi'!$G$5:$G$92,"Aset Tetap Lainnya",'Daftar Koreksi'!$I$5:$I$92,"&lt;0")-SUMIFS('Daftar Koreksi'!$I$5:$I$92,'Daftar Koreksi'!$D$5:$D$92,'0300'!A862,'Daftar Koreksi'!$G$5:$G$92,"Aset Tetap Lainnya",'Daftar Koreksi'!$I$5:$I$92,"&lt;0")</f>
        <v>0</v>
      </c>
      <c r="G878" s="17">
        <f t="shared" si="39"/>
        <v>0</v>
      </c>
      <c r="H878" s="122"/>
    </row>
    <row r="879" spans="1:8" ht="21.95" customHeight="1">
      <c r="A879" s="14"/>
      <c r="B879" s="14"/>
      <c r="C879" s="16" t="s">
        <v>2020</v>
      </c>
      <c r="D879" s="17">
        <f>VLOOKUP(A862,'Neraca Unaudited SIMAK'!$A$2:$S$10004,17,FALSE)</f>
        <v>0</v>
      </c>
      <c r="E879" s="25">
        <f>SUMIFS('Daftar Koreksi'!$I$5:$I$92,'Daftar Koreksi'!$D$5:$D$92,'0300'!A862,'Daftar Koreksi'!$G$5:$G$92,"Aset Henti Guna",'Daftar Koreksi'!$I$5:$I$92,"&gt;0")</f>
        <v>0</v>
      </c>
      <c r="F879" s="25">
        <f>SUMIFS('Daftar Koreksi'!$I$5:$I$92,'Daftar Koreksi'!$D$5:$D$92,'0300'!A862,'Daftar Koreksi'!$G$5:$G$92,"Aset Henti Guna",'Daftar Koreksi'!$I$5:$I$92,"&lt;0")-SUMIFS('Daftar Koreksi'!$I$5:$I$92,'Daftar Koreksi'!$D$5:$D$92,'0300'!A862,'Daftar Koreksi'!$G$5:$G$92,"Aset Henti Guna",'Daftar Koreksi'!$I$5:$I$92,"&lt;0")-SUMIFS('Daftar Koreksi'!$I$5:$I$92,'Daftar Koreksi'!$D$5:$D$92,'0300'!A862,'Daftar Koreksi'!$G$5:$G$92,"Aset Henti Guna",'Daftar Koreksi'!$I$5:$I$92,"&lt;0")</f>
        <v>0</v>
      </c>
      <c r="G879" s="17">
        <f t="shared" si="39"/>
        <v>0</v>
      </c>
      <c r="H879" s="122"/>
    </row>
    <row r="880" spans="1:8" ht="21.95" customHeight="1">
      <c r="A880" s="14"/>
      <c r="B880" s="14"/>
      <c r="C880" s="18" t="s">
        <v>2094</v>
      </c>
      <c r="D880" s="19">
        <f>SUM(D875:D879)</f>
        <v>-1439110323</v>
      </c>
      <c r="E880" s="19">
        <f>SUM(E875:E879)</f>
        <v>0</v>
      </c>
      <c r="F880" s="19">
        <f>SUM(F875:F879)</f>
        <v>0</v>
      </c>
      <c r="G880" s="19">
        <f t="shared" si="39"/>
        <v>-1439110323</v>
      </c>
      <c r="H880" s="122"/>
    </row>
    <row r="881" spans="1:8" ht="21.95" customHeight="1">
      <c r="A881" s="14"/>
      <c r="B881" s="14"/>
      <c r="C881" s="18" t="s">
        <v>2095</v>
      </c>
      <c r="D881" s="19">
        <f>VLOOKUP(A862,'Neraca Unaudited SIMAK'!$A$2:$S$10004,18,FALSE)</f>
        <v>11142526136</v>
      </c>
      <c r="E881" s="19">
        <f>E880+E874</f>
        <v>0</v>
      </c>
      <c r="F881" s="19">
        <f>F880+F874</f>
        <v>0</v>
      </c>
      <c r="G881" s="19">
        <f t="shared" si="39"/>
        <v>11142526136</v>
      </c>
      <c r="H881" s="122"/>
    </row>
    <row r="882" spans="1:8" ht="21.95" customHeight="1">
      <c r="A882" s="14"/>
      <c r="B882" s="14"/>
      <c r="C882" s="16" t="s">
        <v>2091</v>
      </c>
      <c r="D882" s="17">
        <f>VLOOKUP(A862,'Neraca Unaudited SIMAK'!$A$2:$S$10004,19,FALSE)</f>
        <v>0</v>
      </c>
      <c r="E882" s="25"/>
      <c r="F882" s="25"/>
      <c r="G882" s="17">
        <f t="shared" si="39"/>
        <v>0</v>
      </c>
      <c r="H882" s="123"/>
    </row>
    <row r="884" spans="1:8" ht="19.5" customHeight="1">
      <c r="A884" s="11" t="str">
        <f>O41</f>
        <v>005010300400905000KD</v>
      </c>
      <c r="B884" s="11" t="str">
        <f>P41</f>
        <v>PA. Batang</v>
      </c>
      <c r="C884" s="12" t="str">
        <f>A884&amp;" "&amp;B884</f>
        <v>005010300400905000KD PA. Batang</v>
      </c>
      <c r="D884" s="13"/>
      <c r="E884" s="13"/>
      <c r="F884" s="13"/>
      <c r="G884" s="13"/>
      <c r="H884" s="11"/>
    </row>
    <row r="885" spans="1:8" ht="21.95" customHeight="1">
      <c r="A885" s="14"/>
      <c r="B885" s="14"/>
      <c r="C885" s="124" t="s">
        <v>1982</v>
      </c>
      <c r="D885" s="126" t="s">
        <v>1983</v>
      </c>
      <c r="E885" s="132" t="s">
        <v>1984</v>
      </c>
      <c r="F885" s="132"/>
      <c r="G885" s="126" t="s">
        <v>1987</v>
      </c>
      <c r="H885" s="130" t="s">
        <v>1175</v>
      </c>
    </row>
    <row r="886" spans="1:8" ht="21.95" customHeight="1">
      <c r="A886" s="14"/>
      <c r="B886" s="14"/>
      <c r="C886" s="125"/>
      <c r="D886" s="127"/>
      <c r="E886" s="26" t="s">
        <v>1985</v>
      </c>
      <c r="F886" s="26" t="s">
        <v>1986</v>
      </c>
      <c r="G886" s="127"/>
      <c r="H886" s="131"/>
    </row>
    <row r="887" spans="1:8" ht="21.95" customHeight="1">
      <c r="A887" s="14"/>
      <c r="B887" s="14"/>
      <c r="C887" s="16" t="s">
        <v>1165</v>
      </c>
      <c r="D887" s="17">
        <f>VLOOKUP(A884,'Neraca Unaudited SIMAK'!$A$2:$S$10004,3,FALSE)</f>
        <v>6215000</v>
      </c>
      <c r="E887" s="25">
        <f>SUMIFS('Daftar Koreksi'!$H$5:$H$92,'Daftar Koreksi'!$D$5:$D$92,'0300'!A884,'Daftar Koreksi'!$G$5:$G$92,"Persediaan",'Daftar Koreksi'!$H$5:$H$92,"&gt;0")</f>
        <v>0</v>
      </c>
      <c r="F887" s="25">
        <f>SUMIFS('Daftar Koreksi'!$H$5:$H$92,'Daftar Koreksi'!$D$5:$D$92,'0300'!A884,'Daftar Koreksi'!$G$5:$G$92,"Persediaan",'Daftar Koreksi'!$H$5:$H$92,"&lt;0")-SUMIFS('Daftar Koreksi'!$H$5:$H$92,'Daftar Koreksi'!$D$5:$D$92,'0300'!A884,'Daftar Koreksi'!$G$5:$G$92,"Persediaan",'Daftar Koreksi'!$H$5:$H$92,"&lt;0")-SUMIFS('Daftar Koreksi'!$H$5:$H$92,'Daftar Koreksi'!$D$5:$D$92,'0300'!A884,'Daftar Koreksi'!$G$5:$G$92,"Persediaan",'Daftar Koreksi'!$H$5:$H$92,"&lt;0")</f>
        <v>0</v>
      </c>
      <c r="G887" s="17">
        <f>D887+E887-F887</f>
        <v>6215000</v>
      </c>
      <c r="H887" s="121" t="str">
        <f>IF(ISNA(VLOOKUP(A884,'Mutasi Neraca'!$A$3:$S$914,19,FALSE)),"-",VLOOKUP(A884,'Mutasi Neraca'!$A$3:$S$914,19,FALSE))</f>
        <v>-</v>
      </c>
    </row>
    <row r="888" spans="1:8" ht="21.95" customHeight="1">
      <c r="A888" s="14"/>
      <c r="B888" s="14"/>
      <c r="C888" s="16" t="s">
        <v>1166</v>
      </c>
      <c r="D888" s="17">
        <f>VLOOKUP(A884,'Neraca Unaudited SIMAK'!$A$2:$S$10004,4,FALSE)</f>
        <v>3927319096</v>
      </c>
      <c r="E888" s="25">
        <f>SUMIFS('Daftar Koreksi'!$H$5:$H$92,'Daftar Koreksi'!$D$5:$D$92,'0300'!A884,'Daftar Koreksi'!$G$5:$G$92,"Tanah",'Daftar Koreksi'!$H$5:$H$92,"&gt;0")</f>
        <v>0</v>
      </c>
      <c r="F888" s="25">
        <f>SUMIFS('Daftar Koreksi'!$H$5:$H$92,'Daftar Koreksi'!$D$5:$D$92,'0300'!A884,'Daftar Koreksi'!$G$5:$G$92,"Tanah",'Daftar Koreksi'!$H$5:$H$92,"&lt;0")-SUMIFS('Daftar Koreksi'!$H$5:$H$92,'Daftar Koreksi'!$D$5:$D$92,'0300'!A884,'Daftar Koreksi'!$G$5:$G$92,"Tanah",'Daftar Koreksi'!$H$5:$H$92,"&lt;0")-SUMIFS('Daftar Koreksi'!$H$5:$H$92,'Daftar Koreksi'!$D$5:$D$92,'0300'!A884,'Daftar Koreksi'!$G$5:$G$92,"Tanah",'Daftar Koreksi'!$H$5:$H$92,"&lt;0")</f>
        <v>0</v>
      </c>
      <c r="G888" s="17">
        <f t="shared" ref="G888:G904" si="40">D888+E888-F888</f>
        <v>3927319096</v>
      </c>
      <c r="H888" s="122"/>
    </row>
    <row r="889" spans="1:8" ht="21.95" customHeight="1">
      <c r="A889" s="14"/>
      <c r="B889" s="14"/>
      <c r="C889" s="16" t="s">
        <v>1167</v>
      </c>
      <c r="D889" s="17">
        <f>VLOOKUP(A884,'Neraca Unaudited SIMAK'!$A$2:$S$10004,5,FALSE)</f>
        <v>1200352236</v>
      </c>
      <c r="E889" s="25">
        <f>SUMIFS('Daftar Koreksi'!$H$5:$H$92,'Daftar Koreksi'!$D$5:$D$92,'0300'!A884,'Daftar Koreksi'!$G$5:$G$92,"Peralatan dan mesin",'Daftar Koreksi'!$H$5:$H$92,"&gt;0")</f>
        <v>0</v>
      </c>
      <c r="F889" s="25">
        <f>SUMIFS('Daftar Koreksi'!$H$5:$H$92,'Daftar Koreksi'!$D$5:$D$92,'0300'!A884,'Daftar Koreksi'!$G$5:$G$92,"Peralatan dan mesin",'Daftar Koreksi'!$H$5:$H$92,"&lt;0")-SUMIFS('Daftar Koreksi'!$H$5:$H$92,'Daftar Koreksi'!$D$5:$D$92,'0300'!A884,'Daftar Koreksi'!$G$5:$G$92,"Peralatan dan mesin",'Daftar Koreksi'!$H$5:$H$92,"&lt;0")-SUMIFS('Daftar Koreksi'!$H$5:$H$92,'Daftar Koreksi'!$D$5:$D$92,'0300'!A884,'Daftar Koreksi'!$G$5:$G$92,"Peralatan dan mesin",'Daftar Koreksi'!$H$5:$H$92,"&lt;0")</f>
        <v>0</v>
      </c>
      <c r="G889" s="17">
        <f t="shared" si="40"/>
        <v>1200352236</v>
      </c>
      <c r="H889" s="122"/>
    </row>
    <row r="890" spans="1:8" ht="21.95" customHeight="1">
      <c r="A890" s="14"/>
      <c r="B890" s="14"/>
      <c r="C890" s="16" t="s">
        <v>1168</v>
      </c>
      <c r="D890" s="17">
        <f>VLOOKUP(A884,'Neraca Unaudited SIMAK'!$A$2:$S$10004,6,FALSE)</f>
        <v>5321115440</v>
      </c>
      <c r="E890" s="25">
        <f>SUMIFS('Daftar Koreksi'!$H$5:$H$92,'Daftar Koreksi'!$D$5:$D$92,'0300'!A884,'Daftar Koreksi'!$G$5:$G$92,"Gedung dan Bangunan",'Daftar Koreksi'!$H$5:$H$92,"&gt;0")</f>
        <v>0</v>
      </c>
      <c r="F890" s="25">
        <f>SUMIFS('Daftar Koreksi'!$H$5:$H$92,'Daftar Koreksi'!$D$5:$D$92,'0300'!A884,'Daftar Koreksi'!$G$5:$G$92,"Gedung dan Bangunan",'Daftar Koreksi'!$H$5:$H$92,"&lt;0")-SUMIFS('Daftar Koreksi'!$H$5:$H$92,'Daftar Koreksi'!$D$5:$D$92,'0300'!A884,'Daftar Koreksi'!$G$5:$G$92,"Gedung dan Bangunan",'Daftar Koreksi'!$H$5:$H$92,"&lt;0")-SUMIFS('Daftar Koreksi'!$H$5:$H$92,'Daftar Koreksi'!$D$5:$D$92,'0300'!A884,'Daftar Koreksi'!$G$5:$G$92,"Gedung dan Bangunan",'Daftar Koreksi'!$H$5:$H$92,"&lt;0")</f>
        <v>0</v>
      </c>
      <c r="G890" s="17">
        <f t="shared" si="40"/>
        <v>5321115440</v>
      </c>
      <c r="H890" s="122"/>
    </row>
    <row r="891" spans="1:8" ht="21.95" customHeight="1">
      <c r="A891" s="14"/>
      <c r="B891" s="14"/>
      <c r="C891" s="16" t="s">
        <v>1169</v>
      </c>
      <c r="D891" s="17">
        <f>VLOOKUP(A884,'Neraca Unaudited SIMAK'!$A$2:$S$10004,7,FALSE)</f>
        <v>0</v>
      </c>
      <c r="E891" s="25">
        <f>SUMIFS('Daftar Koreksi'!$H$5:$H$92,'Daftar Koreksi'!$D$5:$D$92,'0300'!A884,'Daftar Koreksi'!$G$5:$G$92,"Jalan Irigasi Jaringan",'Daftar Koreksi'!$H$5:$H$92,"&gt;0")</f>
        <v>0</v>
      </c>
      <c r="F891" s="25">
        <f>SUMIFS('Daftar Koreksi'!$H$5:$H$92,'Daftar Koreksi'!$D$5:$D$92,'0300'!A884,'Daftar Koreksi'!$G$5:$G$92,"Jalan Irigasi Jaringan",'Daftar Koreksi'!$H$5:$H$92,"&lt;0")-SUMIFS('Daftar Koreksi'!$H$5:$H$92,'Daftar Koreksi'!$D$5:$D$92,'0300'!A884,'Daftar Koreksi'!$G$5:$G$92,"Jalan Irigasi Jaringan",'Daftar Koreksi'!$H$5:$H$92,"&lt;0")-SUMIFS('Daftar Koreksi'!$H$5:$H$92,'Daftar Koreksi'!$D$5:$D$92,'0300'!A884,'Daftar Koreksi'!$G$5:$G$92,"Jalan Irigasi Jaringan",'Daftar Koreksi'!$H$5:$H$92,"&lt;0")</f>
        <v>0</v>
      </c>
      <c r="G891" s="17">
        <f t="shared" si="40"/>
        <v>0</v>
      </c>
      <c r="H891" s="122"/>
    </row>
    <row r="892" spans="1:8" ht="21.95" customHeight="1">
      <c r="A892" s="14"/>
      <c r="B892" s="14"/>
      <c r="C892" s="16" t="s">
        <v>1170</v>
      </c>
      <c r="D892" s="17">
        <f>VLOOKUP(A884,'Neraca Unaudited SIMAK'!$A$2:$S$10004,8,FALSE)</f>
        <v>74823735</v>
      </c>
      <c r="E892" s="25">
        <f>SUMIFS('Daftar Koreksi'!$H$5:$H$92,'Daftar Koreksi'!$D$5:$D$92,'0300'!A884,'Daftar Koreksi'!$G$5:$G$92,"Aset Tetap Lainnya",'Daftar Koreksi'!$H$5:$H$92,"&gt;0")</f>
        <v>0</v>
      </c>
      <c r="F892" s="25">
        <f>SUMIFS('Daftar Koreksi'!$H$5:$H$92,'Daftar Koreksi'!$D$5:$D$92,'0300'!A884,'Daftar Koreksi'!$G$5:$G$92,"Aset Tetap Lainnya",'Daftar Koreksi'!$H$5:$H$92,"&lt;0")-SUMIFS('Daftar Koreksi'!$H$5:$H$92,'Daftar Koreksi'!$D$5:$D$92,'0300'!A884,'Daftar Koreksi'!$G$5:$G$92,"Aset Tetap Lainnya",'Daftar Koreksi'!$H$5:$H$92,"&lt;0")-SUMIFS('Daftar Koreksi'!$H$5:$H$92,'Daftar Koreksi'!$D$5:$D$92,'0300'!A884,'Daftar Koreksi'!$G$5:$G$92,"Aset Tetap Lainnya",'Daftar Koreksi'!$H$5:$H$92,"&lt;0")</f>
        <v>0</v>
      </c>
      <c r="G892" s="17">
        <f t="shared" si="40"/>
        <v>74823735</v>
      </c>
      <c r="H892" s="122"/>
    </row>
    <row r="893" spans="1:8" ht="21.95" customHeight="1">
      <c r="A893" s="14"/>
      <c r="B893" s="14"/>
      <c r="C893" s="16" t="s">
        <v>1171</v>
      </c>
      <c r="D893" s="17">
        <f>VLOOKUP(A884,'Neraca Unaudited SIMAK'!$A$2:$S$10004,9,FALSE)</f>
        <v>0</v>
      </c>
      <c r="E893" s="25">
        <f>SUMIFS('Daftar Koreksi'!$H$5:$H$92,'Daftar Koreksi'!$D$5:$D$92,'0300'!A884,'Daftar Koreksi'!$G$5:$G$92,"Kontruksi Dalam Pengerjaan",'Daftar Koreksi'!$H$5:$H$92,"&gt;0")</f>
        <v>0</v>
      </c>
      <c r="F893" s="25">
        <f>SUMIFS('Daftar Koreksi'!$H$5:$H$92,'Daftar Koreksi'!$D$5:$D$92,'0300'!A884,'Daftar Koreksi'!$G$5:$G$92,"Kontruksi Dalam Pengerjaan",'Daftar Koreksi'!$H$5:$H$92,"&lt;0")-SUMIFS('Daftar Koreksi'!$H$5:$H$92,'Daftar Koreksi'!$D$5:$D$92,'0300'!A884,'Daftar Koreksi'!$G$5:$G$92,"Kontruksi Dalam Pengerjaan",'Daftar Koreksi'!$H$5:$H$92,"&lt;0")-SUMIFS('Daftar Koreksi'!$H$5:$H$92,'Daftar Koreksi'!$D$5:$D$92,'0300'!A884,'Daftar Koreksi'!$G$5:$G$92,"Kontruksi Dalam Pengerjaan",'Daftar Koreksi'!$H$5:$H$92,"&lt;0")</f>
        <v>0</v>
      </c>
      <c r="G893" s="17">
        <f t="shared" si="40"/>
        <v>0</v>
      </c>
      <c r="H893" s="122"/>
    </row>
    <row r="894" spans="1:8" ht="21.95" customHeight="1">
      <c r="A894" s="14"/>
      <c r="B894" s="14"/>
      <c r="C894" s="16" t="s">
        <v>1172</v>
      </c>
      <c r="D894" s="17">
        <f>VLOOKUP(A884,'Neraca Unaudited SIMAK'!$A$2:$S$10004,10,FALSE)</f>
        <v>0</v>
      </c>
      <c r="E894" s="25">
        <f>SUMIFS('Daftar Koreksi'!$H$5:$H$92,'Daftar Koreksi'!$D$5:$D$92,'0300'!A884,'Daftar Koreksi'!$G$5:$G$92,"Aset Tak Berwujud",'Daftar Koreksi'!$H$5:$H$92,"&gt;0")</f>
        <v>0</v>
      </c>
      <c r="F894" s="25">
        <f>SUMIFS('Daftar Koreksi'!$H$5:$H$92,'Daftar Koreksi'!$D$5:$D$92,'0300'!A884,'Daftar Koreksi'!$G$5:$G$92,"Aset Tak Berwujud",'Daftar Koreksi'!$H$5:$H$92,"&lt;0")-SUMIFS('Daftar Koreksi'!$H$5:$H$92,'Daftar Koreksi'!$D$5:$D$92,'0300'!A884,'Daftar Koreksi'!$G$5:$G$92,"Aset Tak Berwujud",'Daftar Koreksi'!$H$5:$H$92,"&lt;0")-SUMIFS('Daftar Koreksi'!$H$5:$H$92,'Daftar Koreksi'!$D$5:$D$92,'0300'!A884,'Daftar Koreksi'!$G$5:$G$92,"Aset Tak Berwujud",'Daftar Koreksi'!$H$5:$H$92,"&lt;0")</f>
        <v>0</v>
      </c>
      <c r="G894" s="17">
        <f t="shared" si="40"/>
        <v>0</v>
      </c>
      <c r="H894" s="122"/>
    </row>
    <row r="895" spans="1:8" ht="21.95" customHeight="1">
      <c r="A895" s="14"/>
      <c r="B895" s="14"/>
      <c r="C895" s="16" t="s">
        <v>1173</v>
      </c>
      <c r="D895" s="17">
        <f>VLOOKUP(A884,'Neraca Unaudited SIMAK'!$A$2:$S$10004,11,FALSE)</f>
        <v>0</v>
      </c>
      <c r="E895" s="25">
        <f>SUMIFS('Daftar Koreksi'!$H$5:$H$92,'Daftar Koreksi'!$D$5:$D$92,'0300'!A884,'Daftar Koreksi'!$G$5:$G$92,"Aset Henti Guna",'Daftar Koreksi'!$H$5:$H$92,"&gt;0")</f>
        <v>0</v>
      </c>
      <c r="F895" s="25">
        <f>SUMIFS('Daftar Koreksi'!$H$5:$H$92,'Daftar Koreksi'!$D$5:$D$92,'0300'!A884,'Daftar Koreksi'!$G$5:$G$92,"Aset Henti Guna",'Daftar Koreksi'!$H$5:$H$92,"&lt;0")-SUMIFS('Daftar Koreksi'!$H$5:$H$92,'Daftar Koreksi'!$D$5:$D$92,'0300'!A884,'Daftar Koreksi'!$G$5:$G$92,"Aset Henti Guna",'Daftar Koreksi'!$H$5:$H$92,"&lt;0")-SUMIFS('Daftar Koreksi'!$H$5:$H$92,'Daftar Koreksi'!$D$5:$D$92,'0300'!A884,'Daftar Koreksi'!$G$5:$G$92,"Aset Henti Guna",'Daftar Koreksi'!$H$5:$H$92,"&lt;0")</f>
        <v>0</v>
      </c>
      <c r="G895" s="17">
        <f t="shared" si="40"/>
        <v>0</v>
      </c>
      <c r="H895" s="122"/>
    </row>
    <row r="896" spans="1:8" ht="21.95" customHeight="1">
      <c r="A896" s="14"/>
      <c r="B896" s="14"/>
      <c r="C896" s="18" t="s">
        <v>2093</v>
      </c>
      <c r="D896" s="19">
        <f>VLOOKUP(A884,'Neraca Unaudited SIMAK'!$A$2:$S$10004,12,FALSE)</f>
        <v>10529825507</v>
      </c>
      <c r="E896" s="19">
        <f>SUM(E887:E895)</f>
        <v>0</v>
      </c>
      <c r="F896" s="19">
        <f>SUM(F887:F895)</f>
        <v>0</v>
      </c>
      <c r="G896" s="19">
        <f t="shared" si="40"/>
        <v>10529825507</v>
      </c>
      <c r="H896" s="122"/>
    </row>
    <row r="897" spans="1:8" ht="21.95" customHeight="1">
      <c r="A897" s="14"/>
      <c r="B897" s="14"/>
      <c r="C897" s="16" t="s">
        <v>2087</v>
      </c>
      <c r="D897" s="17">
        <f>VLOOKUP(A884,'Neraca Unaudited SIMAK'!$A$2:$S$10004,13,FALSE)</f>
        <v>-828607158</v>
      </c>
      <c r="E897" s="25">
        <f>SUMIFS('Daftar Koreksi'!$I$5:$I$92,'Daftar Koreksi'!$D$5:$D$92,'0300'!A884,'Daftar Koreksi'!$G$5:$G$92,"Peralatan dan mesin",'Daftar Koreksi'!$I$5:$I$92,"&gt;0")</f>
        <v>0</v>
      </c>
      <c r="F897" s="25">
        <f>SUMIFS('Daftar Koreksi'!$I$5:$I$92,'Daftar Koreksi'!$D$5:$D$92,'0300'!A884,'Daftar Koreksi'!$G$5:$G$92,"Peralatan dan mesin",'Daftar Koreksi'!$I$5:$I$92,"&lt;0")-SUMIFS('Daftar Koreksi'!$I$5:$I$92,'Daftar Koreksi'!$D$5:$D$92,'0300'!A884,'Daftar Koreksi'!$G$5:$G$92,"Peralatan dan mesin",'Daftar Koreksi'!$I$5:$I$92,"&lt;0")-SUMIFS('Daftar Koreksi'!$I$5:$I$92,'Daftar Koreksi'!$D$5:$D$92,'0300'!A884,'Daftar Koreksi'!$G$5:$G$92,"Peralatan dan mesin",'Daftar Koreksi'!$I$5:$I$92,"&lt;0")</f>
        <v>0</v>
      </c>
      <c r="G897" s="17">
        <f t="shared" si="40"/>
        <v>-828607158</v>
      </c>
      <c r="H897" s="122"/>
    </row>
    <row r="898" spans="1:8" ht="21.95" customHeight="1">
      <c r="A898" s="14"/>
      <c r="B898" s="14"/>
      <c r="C898" s="16" t="s">
        <v>2088</v>
      </c>
      <c r="D898" s="17">
        <f>VLOOKUP(A884,'Neraca Unaudited SIMAK'!$A$2:$S$10004,14,FALSE)</f>
        <v>-405311133</v>
      </c>
      <c r="E898" s="25">
        <f>SUMIFS('Daftar Koreksi'!$I$5:$I$92,'Daftar Koreksi'!$D$5:$D$92,'0300'!A884,'Daftar Koreksi'!$G$5:$G$92,"Gedung dan Bangunan",'Daftar Koreksi'!$I$5:$I$92,"&gt;0")</f>
        <v>0</v>
      </c>
      <c r="F898" s="25">
        <f>SUMIFS('Daftar Koreksi'!$I$5:$I$92,'Daftar Koreksi'!$D$5:$D$92,'0300'!A884,'Daftar Koreksi'!$G$5:$G$92,"Gedung dan Bangunan",'Daftar Koreksi'!$I$5:$I$92,"&lt;0")-SUMIFS('Daftar Koreksi'!$I$5:$I$92,'Daftar Koreksi'!$D$5:$D$92,'0300'!A884,'Daftar Koreksi'!$G$5:$G$92,"Gedung dan Bangunan",'Daftar Koreksi'!$I$5:$I$92,"&lt;0")-SUMIFS('Daftar Koreksi'!$I$5:$I$92,'Daftar Koreksi'!$D$5:$D$92,'0300'!A884,'Daftar Koreksi'!$G$5:$G$92,"Gedung dan Bangunan",'Daftar Koreksi'!$I$5:$I$92,"&lt;0")</f>
        <v>0</v>
      </c>
      <c r="G898" s="17">
        <f t="shared" si="40"/>
        <v>-405311133</v>
      </c>
      <c r="H898" s="122"/>
    </row>
    <row r="899" spans="1:8" ht="21.95" customHeight="1">
      <c r="A899" s="14"/>
      <c r="B899" s="14"/>
      <c r="C899" s="16" t="s">
        <v>2089</v>
      </c>
      <c r="D899" s="17">
        <f>VLOOKUP(A884,'Neraca Unaudited SIMAK'!$A$2:$S$10004,15,FALSE)</f>
        <v>0</v>
      </c>
      <c r="E899" s="25">
        <f>SUMIFS('Daftar Koreksi'!$I$5:$I$92,'Daftar Koreksi'!$D$5:$D$92,'0300'!A884,'Daftar Koreksi'!$G$5:$G$92,"Jalan Irigasi Jaringan",'Daftar Koreksi'!$I$5:$I$92,"&gt;0")</f>
        <v>0</v>
      </c>
      <c r="F899" s="25">
        <f>SUMIFS('Daftar Koreksi'!$I$5:$I$92,'Daftar Koreksi'!$D$5:$D$92,'0300'!A884,'Daftar Koreksi'!$G$5:$G$92,"Jalan Irigasi Jaringan",'Daftar Koreksi'!$I$5:$I$92,"&lt;0")-SUMIFS('Daftar Koreksi'!$I$5:$I$92,'Daftar Koreksi'!$D$5:$D$92,'0300'!A884,'Daftar Koreksi'!$G$5:$G$92,"Jalan Irigasi Jaringan",'Daftar Koreksi'!$I$5:$I$92,"&lt;0")-SUMIFS('Daftar Koreksi'!$I$5:$I$92,'Daftar Koreksi'!$D$5:$D$92,'0300'!A884,'Daftar Koreksi'!$G$5:$G$92,"Jalan Irigasi Jaringan",'Daftar Koreksi'!$I$5:$I$92,"&lt;0")</f>
        <v>0</v>
      </c>
      <c r="G899" s="17">
        <f t="shared" si="40"/>
        <v>0</v>
      </c>
      <c r="H899" s="122"/>
    </row>
    <row r="900" spans="1:8" ht="21.95" customHeight="1">
      <c r="A900" s="14"/>
      <c r="B900" s="14"/>
      <c r="C900" s="16" t="s">
        <v>2090</v>
      </c>
      <c r="D900" s="17">
        <f>VLOOKUP(A884,'Neraca Unaudited SIMAK'!$A$2:$S$10004,16,FALSE)</f>
        <v>0</v>
      </c>
      <c r="E900" s="25">
        <f>SUMIFS('Daftar Koreksi'!$I$5:$I$92,'Daftar Koreksi'!$D$5:$D$92,'0300'!A884,'Daftar Koreksi'!$G$5:$G$92,"Aset Tetap Lainnya",'Daftar Koreksi'!$I$5:$I$92,"&gt;0")</f>
        <v>0</v>
      </c>
      <c r="F900" s="25">
        <f>SUMIFS('Daftar Koreksi'!$I$5:$I$92,'Daftar Koreksi'!$D$5:$D$92,'0300'!A884,'Daftar Koreksi'!$G$5:$G$92,"Aset Tetap Lainnya",'Daftar Koreksi'!$I$5:$I$92,"&lt;0")-SUMIFS('Daftar Koreksi'!$I$5:$I$92,'Daftar Koreksi'!$D$5:$D$92,'0300'!A884,'Daftar Koreksi'!$G$5:$G$92,"Aset Tetap Lainnya",'Daftar Koreksi'!$I$5:$I$92,"&lt;0")-SUMIFS('Daftar Koreksi'!$I$5:$I$92,'Daftar Koreksi'!$D$5:$D$92,'0300'!A884,'Daftar Koreksi'!$G$5:$G$92,"Aset Tetap Lainnya",'Daftar Koreksi'!$I$5:$I$92,"&lt;0")</f>
        <v>0</v>
      </c>
      <c r="G900" s="17">
        <f t="shared" si="40"/>
        <v>0</v>
      </c>
      <c r="H900" s="122"/>
    </row>
    <row r="901" spans="1:8" ht="21.95" customHeight="1">
      <c r="A901" s="14"/>
      <c r="B901" s="14"/>
      <c r="C901" s="16" t="s">
        <v>2020</v>
      </c>
      <c r="D901" s="17">
        <f>VLOOKUP(A884,'Neraca Unaudited SIMAK'!$A$2:$S$10004,17,FALSE)</f>
        <v>0</v>
      </c>
      <c r="E901" s="25">
        <f>SUMIFS('Daftar Koreksi'!$I$5:$I$92,'Daftar Koreksi'!$D$5:$D$92,'0300'!A884,'Daftar Koreksi'!$G$5:$G$92,"Aset Henti Guna",'Daftar Koreksi'!$I$5:$I$92,"&gt;0")</f>
        <v>0</v>
      </c>
      <c r="F901" s="25">
        <f>SUMIFS('Daftar Koreksi'!$I$5:$I$92,'Daftar Koreksi'!$D$5:$D$92,'0300'!A884,'Daftar Koreksi'!$G$5:$G$92,"Aset Henti Guna",'Daftar Koreksi'!$I$5:$I$92,"&lt;0")-SUMIFS('Daftar Koreksi'!$I$5:$I$92,'Daftar Koreksi'!$D$5:$D$92,'0300'!A884,'Daftar Koreksi'!$G$5:$G$92,"Aset Henti Guna",'Daftar Koreksi'!$I$5:$I$92,"&lt;0")-SUMIFS('Daftar Koreksi'!$I$5:$I$92,'Daftar Koreksi'!$D$5:$D$92,'0300'!A884,'Daftar Koreksi'!$G$5:$G$92,"Aset Henti Guna",'Daftar Koreksi'!$I$5:$I$92,"&lt;0")</f>
        <v>0</v>
      </c>
      <c r="G901" s="17">
        <f t="shared" si="40"/>
        <v>0</v>
      </c>
      <c r="H901" s="122"/>
    </row>
    <row r="902" spans="1:8" ht="21.95" customHeight="1">
      <c r="A902" s="14"/>
      <c r="B902" s="14"/>
      <c r="C902" s="18" t="s">
        <v>2094</v>
      </c>
      <c r="D902" s="19">
        <f>SUM(D897:D901)</f>
        <v>-1233918291</v>
      </c>
      <c r="E902" s="19">
        <f>SUM(E897:E901)</f>
        <v>0</v>
      </c>
      <c r="F902" s="19">
        <f>SUM(F897:F901)</f>
        <v>0</v>
      </c>
      <c r="G902" s="19">
        <f t="shared" si="40"/>
        <v>-1233918291</v>
      </c>
      <c r="H902" s="122"/>
    </row>
    <row r="903" spans="1:8" ht="21.95" customHeight="1">
      <c r="A903" s="14"/>
      <c r="B903" s="14"/>
      <c r="C903" s="18" t="s">
        <v>2095</v>
      </c>
      <c r="D903" s="19">
        <f>VLOOKUP(A884,'Neraca Unaudited SIMAK'!$A$2:$S$10004,18,FALSE)</f>
        <v>9295907216</v>
      </c>
      <c r="E903" s="19">
        <f>E902+E896</f>
        <v>0</v>
      </c>
      <c r="F903" s="19">
        <f>F902+F896</f>
        <v>0</v>
      </c>
      <c r="G903" s="19">
        <f t="shared" si="40"/>
        <v>9295907216</v>
      </c>
      <c r="H903" s="122"/>
    </row>
    <row r="904" spans="1:8" ht="21.95" customHeight="1">
      <c r="A904" s="14"/>
      <c r="B904" s="14"/>
      <c r="C904" s="16" t="s">
        <v>2091</v>
      </c>
      <c r="D904" s="17">
        <f>VLOOKUP(A884,'Neraca Unaudited SIMAK'!$A$2:$S$10004,19,FALSE)</f>
        <v>0</v>
      </c>
      <c r="E904" s="25"/>
      <c r="F904" s="25"/>
      <c r="G904" s="17">
        <f t="shared" si="40"/>
        <v>0</v>
      </c>
      <c r="H904" s="123"/>
    </row>
    <row r="906" spans="1:8" ht="19.5" customHeight="1">
      <c r="A906" s="11" t="str">
        <f>O42</f>
        <v>005010300400911000KD</v>
      </c>
      <c r="B906" s="11" t="str">
        <f>P42</f>
        <v>PA. Semarang</v>
      </c>
      <c r="C906" s="12" t="str">
        <f>A906&amp;" "&amp;B906</f>
        <v>005010300400911000KD PA. Semarang</v>
      </c>
      <c r="D906" s="13"/>
      <c r="E906" s="13"/>
      <c r="F906" s="13"/>
      <c r="G906" s="13"/>
      <c r="H906" s="11"/>
    </row>
    <row r="907" spans="1:8" ht="21.95" customHeight="1">
      <c r="A907" s="14"/>
      <c r="B907" s="14"/>
      <c r="C907" s="124" t="s">
        <v>1982</v>
      </c>
      <c r="D907" s="126" t="s">
        <v>1983</v>
      </c>
      <c r="E907" s="132" t="s">
        <v>1984</v>
      </c>
      <c r="F907" s="132"/>
      <c r="G907" s="126" t="s">
        <v>1987</v>
      </c>
      <c r="H907" s="130" t="s">
        <v>1175</v>
      </c>
    </row>
    <row r="908" spans="1:8" ht="21.95" customHeight="1">
      <c r="A908" s="14"/>
      <c r="B908" s="14"/>
      <c r="C908" s="125"/>
      <c r="D908" s="127"/>
      <c r="E908" s="26" t="s">
        <v>1985</v>
      </c>
      <c r="F908" s="26" t="s">
        <v>1986</v>
      </c>
      <c r="G908" s="127"/>
      <c r="H908" s="131"/>
    </row>
    <row r="909" spans="1:8" ht="21.95" customHeight="1">
      <c r="A909" s="14"/>
      <c r="B909" s="14"/>
      <c r="C909" s="16" t="s">
        <v>1165</v>
      </c>
      <c r="D909" s="17">
        <f>VLOOKUP(A906,'Neraca Unaudited SIMAK'!$A$2:$S$10004,3,FALSE)</f>
        <v>2894200</v>
      </c>
      <c r="E909" s="25">
        <f>SUMIFS('Daftar Koreksi'!$H$5:$H$92,'Daftar Koreksi'!$D$5:$D$92,'0300'!A906,'Daftar Koreksi'!$G$5:$G$92,"Persediaan",'Daftar Koreksi'!$H$5:$H$92,"&gt;0")</f>
        <v>0</v>
      </c>
      <c r="F909" s="25">
        <f>SUMIFS('Daftar Koreksi'!$H$5:$H$92,'Daftar Koreksi'!$D$5:$D$92,'0300'!A906,'Daftar Koreksi'!$G$5:$G$92,"Persediaan",'Daftar Koreksi'!$H$5:$H$92,"&lt;0")-SUMIFS('Daftar Koreksi'!$H$5:$H$92,'Daftar Koreksi'!$D$5:$D$92,'0300'!A906,'Daftar Koreksi'!$G$5:$G$92,"Persediaan",'Daftar Koreksi'!$H$5:$H$92,"&lt;0")-SUMIFS('Daftar Koreksi'!$H$5:$H$92,'Daftar Koreksi'!$D$5:$D$92,'0300'!A906,'Daftar Koreksi'!$G$5:$G$92,"Persediaan",'Daftar Koreksi'!$H$5:$H$92,"&lt;0")</f>
        <v>0</v>
      </c>
      <c r="G909" s="17">
        <f>D909+E909-F909</f>
        <v>2894200</v>
      </c>
      <c r="H909" s="121" t="str">
        <f>IF(ISNA(VLOOKUP(A906,'Mutasi Neraca'!$A$3:$S$914,19,FALSE)),"-",VLOOKUP(A906,'Mutasi Neraca'!$A$3:$S$914,19,FALSE))</f>
        <v>TP Koreksi Hibah No. 11</v>
      </c>
    </row>
    <row r="910" spans="1:8" ht="21.95" customHeight="1">
      <c r="A910" s="14"/>
      <c r="B910" s="14"/>
      <c r="C910" s="16" t="s">
        <v>1166</v>
      </c>
      <c r="D910" s="17">
        <f>VLOOKUP(A906,'Neraca Unaudited SIMAK'!$A$2:$S$10004,4,FALSE)</f>
        <v>5930620000</v>
      </c>
      <c r="E910" s="25">
        <f>SUMIFS('Daftar Koreksi'!$H$5:$H$92,'Daftar Koreksi'!$D$5:$D$92,'0300'!A906,'Daftar Koreksi'!$G$5:$G$92,"Tanah",'Daftar Koreksi'!$H$5:$H$92,"&gt;0")</f>
        <v>0</v>
      </c>
      <c r="F910" s="25">
        <f>SUMIFS('Daftar Koreksi'!$H$5:$H$92,'Daftar Koreksi'!$D$5:$D$92,'0300'!A906,'Daftar Koreksi'!$G$5:$G$92,"Tanah",'Daftar Koreksi'!$H$5:$H$92,"&lt;0")-SUMIFS('Daftar Koreksi'!$H$5:$H$92,'Daftar Koreksi'!$D$5:$D$92,'0300'!A906,'Daftar Koreksi'!$G$5:$G$92,"Tanah",'Daftar Koreksi'!$H$5:$H$92,"&lt;0")-SUMIFS('Daftar Koreksi'!$H$5:$H$92,'Daftar Koreksi'!$D$5:$D$92,'0300'!A906,'Daftar Koreksi'!$G$5:$G$92,"Tanah",'Daftar Koreksi'!$H$5:$H$92,"&lt;0")</f>
        <v>0</v>
      </c>
      <c r="G910" s="17">
        <f t="shared" ref="G910:G926" si="41">D910+E910-F910</f>
        <v>5930620000</v>
      </c>
      <c r="H910" s="122"/>
    </row>
    <row r="911" spans="1:8" ht="21.95" customHeight="1">
      <c r="A911" s="14"/>
      <c r="B911" s="14"/>
      <c r="C911" s="16" t="s">
        <v>1167</v>
      </c>
      <c r="D911" s="17">
        <f>VLOOKUP(A906,'Neraca Unaudited SIMAK'!$A$2:$S$10004,5,FALSE)</f>
        <v>1486121207</v>
      </c>
      <c r="E911" s="25">
        <f>SUMIFS('Daftar Koreksi'!$H$5:$H$92,'Daftar Koreksi'!$D$5:$D$92,'0300'!A906,'Daftar Koreksi'!$G$5:$G$92,"Peralatan dan mesin",'Daftar Koreksi'!$H$5:$H$92,"&gt;0")</f>
        <v>80881000</v>
      </c>
      <c r="F911" s="25">
        <f>SUMIFS('Daftar Koreksi'!$H$5:$H$92,'Daftar Koreksi'!$D$5:$D$92,'0300'!A906,'Daftar Koreksi'!$G$5:$G$92,"Peralatan dan mesin",'Daftar Koreksi'!$H$5:$H$92,"&lt;0")-SUMIFS('Daftar Koreksi'!$H$5:$H$92,'Daftar Koreksi'!$D$5:$D$92,'0300'!A906,'Daftar Koreksi'!$G$5:$G$92,"Peralatan dan mesin",'Daftar Koreksi'!$H$5:$H$92,"&lt;0")-SUMIFS('Daftar Koreksi'!$H$5:$H$92,'Daftar Koreksi'!$D$5:$D$92,'0300'!A906,'Daftar Koreksi'!$G$5:$G$92,"Peralatan dan mesin",'Daftar Koreksi'!$H$5:$H$92,"&lt;0")</f>
        <v>0</v>
      </c>
      <c r="G911" s="17">
        <f t="shared" si="41"/>
        <v>1567002207</v>
      </c>
      <c r="H911" s="122"/>
    </row>
    <row r="912" spans="1:8" ht="21.95" customHeight="1">
      <c r="A912" s="14"/>
      <c r="B912" s="14"/>
      <c r="C912" s="16" t="s">
        <v>1168</v>
      </c>
      <c r="D912" s="17">
        <f>VLOOKUP(A906,'Neraca Unaudited SIMAK'!$A$2:$S$10004,6,FALSE)</f>
        <v>6688736000</v>
      </c>
      <c r="E912" s="25">
        <f>SUMIFS('Daftar Koreksi'!$H$5:$H$92,'Daftar Koreksi'!$D$5:$D$92,'0300'!A906,'Daftar Koreksi'!$G$5:$G$92,"Gedung dan Bangunan",'Daftar Koreksi'!$H$5:$H$92,"&gt;0")</f>
        <v>0</v>
      </c>
      <c r="F912" s="25">
        <f>SUMIFS('Daftar Koreksi'!$H$5:$H$92,'Daftar Koreksi'!$D$5:$D$92,'0300'!A906,'Daftar Koreksi'!$G$5:$G$92,"Gedung dan Bangunan",'Daftar Koreksi'!$H$5:$H$92,"&lt;0")-SUMIFS('Daftar Koreksi'!$H$5:$H$92,'Daftar Koreksi'!$D$5:$D$92,'0300'!A906,'Daftar Koreksi'!$G$5:$G$92,"Gedung dan Bangunan",'Daftar Koreksi'!$H$5:$H$92,"&lt;0")-SUMIFS('Daftar Koreksi'!$H$5:$H$92,'Daftar Koreksi'!$D$5:$D$92,'0300'!A906,'Daftar Koreksi'!$G$5:$G$92,"Gedung dan Bangunan",'Daftar Koreksi'!$H$5:$H$92,"&lt;0")</f>
        <v>0</v>
      </c>
      <c r="G912" s="17">
        <f t="shared" si="41"/>
        <v>6688736000</v>
      </c>
      <c r="H912" s="122"/>
    </row>
    <row r="913" spans="1:8" ht="21.95" customHeight="1">
      <c r="A913" s="14"/>
      <c r="B913" s="14"/>
      <c r="C913" s="16" t="s">
        <v>1169</v>
      </c>
      <c r="D913" s="17">
        <f>VLOOKUP(A906,'Neraca Unaudited SIMAK'!$A$2:$S$10004,7,FALSE)</f>
        <v>49900000</v>
      </c>
      <c r="E913" s="25">
        <f>SUMIFS('Daftar Koreksi'!$H$5:$H$92,'Daftar Koreksi'!$D$5:$D$92,'0300'!A906,'Daftar Koreksi'!$G$5:$G$92,"Jalan Irigasi Jaringan",'Daftar Koreksi'!$H$5:$H$92,"&gt;0")</f>
        <v>0</v>
      </c>
      <c r="F913" s="25">
        <f>SUMIFS('Daftar Koreksi'!$H$5:$H$92,'Daftar Koreksi'!$D$5:$D$92,'0300'!A906,'Daftar Koreksi'!$G$5:$G$92,"Jalan Irigasi Jaringan",'Daftar Koreksi'!$H$5:$H$92,"&lt;0")-SUMIFS('Daftar Koreksi'!$H$5:$H$92,'Daftar Koreksi'!$D$5:$D$92,'0300'!A906,'Daftar Koreksi'!$G$5:$G$92,"Jalan Irigasi Jaringan",'Daftar Koreksi'!$H$5:$H$92,"&lt;0")-SUMIFS('Daftar Koreksi'!$H$5:$H$92,'Daftar Koreksi'!$D$5:$D$92,'0300'!A906,'Daftar Koreksi'!$G$5:$G$92,"Jalan Irigasi Jaringan",'Daftar Koreksi'!$H$5:$H$92,"&lt;0")</f>
        <v>0</v>
      </c>
      <c r="G913" s="17">
        <f t="shared" si="41"/>
        <v>49900000</v>
      </c>
      <c r="H913" s="122"/>
    </row>
    <row r="914" spans="1:8" ht="21.95" customHeight="1">
      <c r="A914" s="14"/>
      <c r="B914" s="14"/>
      <c r="C914" s="16" t="s">
        <v>1170</v>
      </c>
      <c r="D914" s="17">
        <f>VLOOKUP(A906,'Neraca Unaudited SIMAK'!$A$2:$S$10004,8,FALSE)</f>
        <v>3746580</v>
      </c>
      <c r="E914" s="25">
        <f>SUMIFS('Daftar Koreksi'!$H$5:$H$92,'Daftar Koreksi'!$D$5:$D$92,'0300'!A906,'Daftar Koreksi'!$G$5:$G$92,"Aset Tetap Lainnya",'Daftar Koreksi'!$H$5:$H$92,"&gt;0")</f>
        <v>0</v>
      </c>
      <c r="F914" s="25">
        <f>SUMIFS('Daftar Koreksi'!$H$5:$H$92,'Daftar Koreksi'!$D$5:$D$92,'0300'!A906,'Daftar Koreksi'!$G$5:$G$92,"Aset Tetap Lainnya",'Daftar Koreksi'!$H$5:$H$92,"&lt;0")-SUMIFS('Daftar Koreksi'!$H$5:$H$92,'Daftar Koreksi'!$D$5:$D$92,'0300'!A906,'Daftar Koreksi'!$G$5:$G$92,"Aset Tetap Lainnya",'Daftar Koreksi'!$H$5:$H$92,"&lt;0")-SUMIFS('Daftar Koreksi'!$H$5:$H$92,'Daftar Koreksi'!$D$5:$D$92,'0300'!A906,'Daftar Koreksi'!$G$5:$G$92,"Aset Tetap Lainnya",'Daftar Koreksi'!$H$5:$H$92,"&lt;0")</f>
        <v>0</v>
      </c>
      <c r="G914" s="17">
        <f t="shared" si="41"/>
        <v>3746580</v>
      </c>
      <c r="H914" s="122"/>
    </row>
    <row r="915" spans="1:8" ht="21.95" customHeight="1">
      <c r="A915" s="14"/>
      <c r="B915" s="14"/>
      <c r="C915" s="16" t="s">
        <v>1171</v>
      </c>
      <c r="D915" s="17">
        <f>VLOOKUP(A906,'Neraca Unaudited SIMAK'!$A$2:$S$10004,9,FALSE)</f>
        <v>0</v>
      </c>
      <c r="E915" s="25">
        <f>SUMIFS('Daftar Koreksi'!$H$5:$H$92,'Daftar Koreksi'!$D$5:$D$92,'0300'!A906,'Daftar Koreksi'!$G$5:$G$92,"Kontruksi Dalam Pengerjaan",'Daftar Koreksi'!$H$5:$H$92,"&gt;0")</f>
        <v>0</v>
      </c>
      <c r="F915" s="25">
        <f>SUMIFS('Daftar Koreksi'!$H$5:$H$92,'Daftar Koreksi'!$D$5:$D$92,'0300'!A906,'Daftar Koreksi'!$G$5:$G$92,"Kontruksi Dalam Pengerjaan",'Daftar Koreksi'!$H$5:$H$92,"&lt;0")-SUMIFS('Daftar Koreksi'!$H$5:$H$92,'Daftar Koreksi'!$D$5:$D$92,'0300'!A906,'Daftar Koreksi'!$G$5:$G$92,"Kontruksi Dalam Pengerjaan",'Daftar Koreksi'!$H$5:$H$92,"&lt;0")-SUMIFS('Daftar Koreksi'!$H$5:$H$92,'Daftar Koreksi'!$D$5:$D$92,'0300'!A906,'Daftar Koreksi'!$G$5:$G$92,"Kontruksi Dalam Pengerjaan",'Daftar Koreksi'!$H$5:$H$92,"&lt;0")</f>
        <v>0</v>
      </c>
      <c r="G915" s="17">
        <f t="shared" si="41"/>
        <v>0</v>
      </c>
      <c r="H915" s="122"/>
    </row>
    <row r="916" spans="1:8" ht="21.95" customHeight="1">
      <c r="A916" s="14"/>
      <c r="B916" s="14"/>
      <c r="C916" s="16" t="s">
        <v>1172</v>
      </c>
      <c r="D916" s="17">
        <f>VLOOKUP(A906,'Neraca Unaudited SIMAK'!$A$2:$S$10004,10,FALSE)</f>
        <v>0</v>
      </c>
      <c r="E916" s="25">
        <f>SUMIFS('Daftar Koreksi'!$H$5:$H$92,'Daftar Koreksi'!$D$5:$D$92,'0300'!A906,'Daftar Koreksi'!$G$5:$G$92,"Aset Tak Berwujud",'Daftar Koreksi'!$H$5:$H$92,"&gt;0")</f>
        <v>0</v>
      </c>
      <c r="F916" s="25">
        <f>SUMIFS('Daftar Koreksi'!$H$5:$H$92,'Daftar Koreksi'!$D$5:$D$92,'0300'!A906,'Daftar Koreksi'!$G$5:$G$92,"Aset Tak Berwujud",'Daftar Koreksi'!$H$5:$H$92,"&lt;0")-SUMIFS('Daftar Koreksi'!$H$5:$H$92,'Daftar Koreksi'!$D$5:$D$92,'0300'!A906,'Daftar Koreksi'!$G$5:$G$92,"Aset Tak Berwujud",'Daftar Koreksi'!$H$5:$H$92,"&lt;0")-SUMIFS('Daftar Koreksi'!$H$5:$H$92,'Daftar Koreksi'!$D$5:$D$92,'0300'!A906,'Daftar Koreksi'!$G$5:$G$92,"Aset Tak Berwujud",'Daftar Koreksi'!$H$5:$H$92,"&lt;0")</f>
        <v>0</v>
      </c>
      <c r="G916" s="17">
        <f t="shared" si="41"/>
        <v>0</v>
      </c>
      <c r="H916" s="122"/>
    </row>
    <row r="917" spans="1:8" ht="21.95" customHeight="1">
      <c r="A917" s="14"/>
      <c r="B917" s="14"/>
      <c r="C917" s="16" t="s">
        <v>1173</v>
      </c>
      <c r="D917" s="17">
        <f>VLOOKUP(A906,'Neraca Unaudited SIMAK'!$A$2:$S$10004,11,FALSE)</f>
        <v>74615171</v>
      </c>
      <c r="E917" s="25">
        <f>SUMIFS('Daftar Koreksi'!$H$5:$H$92,'Daftar Koreksi'!$D$5:$D$92,'0300'!A906,'Daftar Koreksi'!$G$5:$G$92,"Aset Henti Guna",'Daftar Koreksi'!$H$5:$H$92,"&gt;0")</f>
        <v>0</v>
      </c>
      <c r="F917" s="25">
        <f>SUMIFS('Daftar Koreksi'!$H$5:$H$92,'Daftar Koreksi'!$D$5:$D$92,'0300'!A906,'Daftar Koreksi'!$G$5:$G$92,"Aset Henti Guna",'Daftar Koreksi'!$H$5:$H$92,"&lt;0")-SUMIFS('Daftar Koreksi'!$H$5:$H$92,'Daftar Koreksi'!$D$5:$D$92,'0300'!A906,'Daftar Koreksi'!$G$5:$G$92,"Aset Henti Guna",'Daftar Koreksi'!$H$5:$H$92,"&lt;0")-SUMIFS('Daftar Koreksi'!$H$5:$H$92,'Daftar Koreksi'!$D$5:$D$92,'0300'!A906,'Daftar Koreksi'!$G$5:$G$92,"Aset Henti Guna",'Daftar Koreksi'!$H$5:$H$92,"&lt;0")</f>
        <v>0</v>
      </c>
      <c r="G917" s="17">
        <f t="shared" si="41"/>
        <v>74615171</v>
      </c>
      <c r="H917" s="122"/>
    </row>
    <row r="918" spans="1:8" ht="21.95" customHeight="1">
      <c r="A918" s="14"/>
      <c r="B918" s="14"/>
      <c r="C918" s="18" t="s">
        <v>2093</v>
      </c>
      <c r="D918" s="19">
        <f>VLOOKUP(A906,'Neraca Unaudited SIMAK'!$A$2:$S$10004,12,FALSE)</f>
        <v>14236633158</v>
      </c>
      <c r="E918" s="19">
        <f>SUM(E909:E917)</f>
        <v>80881000</v>
      </c>
      <c r="F918" s="19">
        <f>SUM(F909:F917)</f>
        <v>0</v>
      </c>
      <c r="G918" s="19">
        <f t="shared" si="41"/>
        <v>14317514158</v>
      </c>
      <c r="H918" s="122"/>
    </row>
    <row r="919" spans="1:8" ht="21.95" customHeight="1">
      <c r="A919" s="14"/>
      <c r="B919" s="14"/>
      <c r="C919" s="16" t="s">
        <v>2087</v>
      </c>
      <c r="D919" s="17">
        <f>VLOOKUP(A906,'Neraca Unaudited SIMAK'!$A$2:$S$10004,13,FALSE)</f>
        <v>-932391452</v>
      </c>
      <c r="E919" s="25">
        <f>SUMIFS('Daftar Koreksi'!$I$5:$I$92,'Daftar Koreksi'!$D$5:$D$92,'0300'!A906,'Daftar Koreksi'!$G$5:$G$92,"Peralatan dan mesin",'Daftar Koreksi'!$I$5:$I$92,"&gt;0")</f>
        <v>0</v>
      </c>
      <c r="F919" s="25">
        <f>SUMIFS('Daftar Koreksi'!$I$5:$I$92,'Daftar Koreksi'!$D$5:$D$92,'0300'!A906,'Daftar Koreksi'!$G$5:$G$92,"Peralatan dan mesin",'Daftar Koreksi'!$I$5:$I$92,"&lt;0")-SUMIFS('Daftar Koreksi'!$I$5:$I$92,'Daftar Koreksi'!$D$5:$D$92,'0300'!A906,'Daftar Koreksi'!$G$5:$G$92,"Peralatan dan mesin",'Daftar Koreksi'!$I$5:$I$92,"&lt;0")-SUMIFS('Daftar Koreksi'!$I$5:$I$92,'Daftar Koreksi'!$D$5:$D$92,'0300'!A906,'Daftar Koreksi'!$G$5:$G$92,"Peralatan dan mesin",'Daftar Koreksi'!$I$5:$I$92,"&lt;0")</f>
        <v>9090600</v>
      </c>
      <c r="G919" s="17">
        <f t="shared" si="41"/>
        <v>-941482052</v>
      </c>
      <c r="H919" s="122"/>
    </row>
    <row r="920" spans="1:8" ht="21.95" customHeight="1">
      <c r="A920" s="14"/>
      <c r="B920" s="14"/>
      <c r="C920" s="16" t="s">
        <v>2088</v>
      </c>
      <c r="D920" s="17">
        <f>VLOOKUP(A906,'Neraca Unaudited SIMAK'!$A$2:$S$10004,14,FALSE)</f>
        <v>-292171765</v>
      </c>
      <c r="E920" s="25">
        <f>SUMIFS('Daftar Koreksi'!$I$5:$I$92,'Daftar Koreksi'!$D$5:$D$92,'0300'!A906,'Daftar Koreksi'!$G$5:$G$92,"Gedung dan Bangunan",'Daftar Koreksi'!$I$5:$I$92,"&gt;0")</f>
        <v>0</v>
      </c>
      <c r="F920" s="25">
        <f>SUMIFS('Daftar Koreksi'!$I$5:$I$92,'Daftar Koreksi'!$D$5:$D$92,'0300'!A906,'Daftar Koreksi'!$G$5:$G$92,"Gedung dan Bangunan",'Daftar Koreksi'!$I$5:$I$92,"&lt;0")-SUMIFS('Daftar Koreksi'!$I$5:$I$92,'Daftar Koreksi'!$D$5:$D$92,'0300'!A906,'Daftar Koreksi'!$G$5:$G$92,"Gedung dan Bangunan",'Daftar Koreksi'!$I$5:$I$92,"&lt;0")-SUMIFS('Daftar Koreksi'!$I$5:$I$92,'Daftar Koreksi'!$D$5:$D$92,'0300'!A906,'Daftar Koreksi'!$G$5:$G$92,"Gedung dan Bangunan",'Daftar Koreksi'!$I$5:$I$92,"&lt;0")</f>
        <v>0</v>
      </c>
      <c r="G920" s="17">
        <f t="shared" si="41"/>
        <v>-292171765</v>
      </c>
      <c r="H920" s="122"/>
    </row>
    <row r="921" spans="1:8" ht="21.95" customHeight="1">
      <c r="A921" s="14"/>
      <c r="B921" s="14"/>
      <c r="C921" s="16" t="s">
        <v>2089</v>
      </c>
      <c r="D921" s="17">
        <f>VLOOKUP(A906,'Neraca Unaudited SIMAK'!$A$2:$S$10004,15,FALSE)</f>
        <v>-9980000</v>
      </c>
      <c r="E921" s="25">
        <f>SUMIFS('Daftar Koreksi'!$I$5:$I$92,'Daftar Koreksi'!$D$5:$D$92,'0300'!A906,'Daftar Koreksi'!$G$5:$G$92,"Jalan Irigasi Jaringan",'Daftar Koreksi'!$I$5:$I$92,"&gt;0")</f>
        <v>0</v>
      </c>
      <c r="F921" s="25">
        <f>SUMIFS('Daftar Koreksi'!$I$5:$I$92,'Daftar Koreksi'!$D$5:$D$92,'0300'!A906,'Daftar Koreksi'!$G$5:$G$92,"Jalan Irigasi Jaringan",'Daftar Koreksi'!$I$5:$I$92,"&lt;0")-SUMIFS('Daftar Koreksi'!$I$5:$I$92,'Daftar Koreksi'!$D$5:$D$92,'0300'!A906,'Daftar Koreksi'!$G$5:$G$92,"Jalan Irigasi Jaringan",'Daftar Koreksi'!$I$5:$I$92,"&lt;0")-SUMIFS('Daftar Koreksi'!$I$5:$I$92,'Daftar Koreksi'!$D$5:$D$92,'0300'!A906,'Daftar Koreksi'!$G$5:$G$92,"Jalan Irigasi Jaringan",'Daftar Koreksi'!$I$5:$I$92,"&lt;0")</f>
        <v>0</v>
      </c>
      <c r="G921" s="17">
        <f t="shared" si="41"/>
        <v>-9980000</v>
      </c>
      <c r="H921" s="122"/>
    </row>
    <row r="922" spans="1:8" ht="21.95" customHeight="1">
      <c r="A922" s="14"/>
      <c r="B922" s="14"/>
      <c r="C922" s="16" t="s">
        <v>2090</v>
      </c>
      <c r="D922" s="17">
        <f>VLOOKUP(A906,'Neraca Unaudited SIMAK'!$A$2:$S$10004,16,FALSE)</f>
        <v>0</v>
      </c>
      <c r="E922" s="25">
        <f>SUMIFS('Daftar Koreksi'!$I$5:$I$92,'Daftar Koreksi'!$D$5:$D$92,'0300'!A906,'Daftar Koreksi'!$G$5:$G$92,"Aset Tetap Lainnya",'Daftar Koreksi'!$I$5:$I$92,"&gt;0")</f>
        <v>0</v>
      </c>
      <c r="F922" s="25">
        <f>SUMIFS('Daftar Koreksi'!$I$5:$I$92,'Daftar Koreksi'!$D$5:$D$92,'0300'!A906,'Daftar Koreksi'!$G$5:$G$92,"Aset Tetap Lainnya",'Daftar Koreksi'!$I$5:$I$92,"&lt;0")-SUMIFS('Daftar Koreksi'!$I$5:$I$92,'Daftar Koreksi'!$D$5:$D$92,'0300'!A906,'Daftar Koreksi'!$G$5:$G$92,"Aset Tetap Lainnya",'Daftar Koreksi'!$I$5:$I$92,"&lt;0")-SUMIFS('Daftar Koreksi'!$I$5:$I$92,'Daftar Koreksi'!$D$5:$D$92,'0300'!A906,'Daftar Koreksi'!$G$5:$G$92,"Aset Tetap Lainnya",'Daftar Koreksi'!$I$5:$I$92,"&lt;0")</f>
        <v>0</v>
      </c>
      <c r="G922" s="17">
        <f t="shared" si="41"/>
        <v>0</v>
      </c>
      <c r="H922" s="122"/>
    </row>
    <row r="923" spans="1:8" ht="21.95" customHeight="1">
      <c r="A923" s="14"/>
      <c r="B923" s="14"/>
      <c r="C923" s="16" t="s">
        <v>2020</v>
      </c>
      <c r="D923" s="17">
        <f>VLOOKUP(A906,'Neraca Unaudited SIMAK'!$A$2:$S$10004,17,FALSE)</f>
        <v>-74615004</v>
      </c>
      <c r="E923" s="25">
        <f>SUMIFS('Daftar Koreksi'!$I$5:$I$92,'Daftar Koreksi'!$D$5:$D$92,'0300'!A906,'Daftar Koreksi'!$G$5:$G$92,"Aset Henti Guna",'Daftar Koreksi'!$I$5:$I$92,"&gt;0")</f>
        <v>0</v>
      </c>
      <c r="F923" s="25">
        <f>SUMIFS('Daftar Koreksi'!$I$5:$I$92,'Daftar Koreksi'!$D$5:$D$92,'0300'!A906,'Daftar Koreksi'!$G$5:$G$92,"Aset Henti Guna",'Daftar Koreksi'!$I$5:$I$92,"&lt;0")-SUMIFS('Daftar Koreksi'!$I$5:$I$92,'Daftar Koreksi'!$D$5:$D$92,'0300'!A906,'Daftar Koreksi'!$G$5:$G$92,"Aset Henti Guna",'Daftar Koreksi'!$I$5:$I$92,"&lt;0")-SUMIFS('Daftar Koreksi'!$I$5:$I$92,'Daftar Koreksi'!$D$5:$D$92,'0300'!A906,'Daftar Koreksi'!$G$5:$G$92,"Aset Henti Guna",'Daftar Koreksi'!$I$5:$I$92,"&lt;0")</f>
        <v>0</v>
      </c>
      <c r="G923" s="17">
        <f t="shared" si="41"/>
        <v>-74615004</v>
      </c>
      <c r="H923" s="122"/>
    </row>
    <row r="924" spans="1:8" ht="21.95" customHeight="1">
      <c r="A924" s="14"/>
      <c r="B924" s="14"/>
      <c r="C924" s="18" t="s">
        <v>2094</v>
      </c>
      <c r="D924" s="19">
        <f>SUM(D919:D923)</f>
        <v>-1309158221</v>
      </c>
      <c r="E924" s="19">
        <f>SUM(E919:E923)</f>
        <v>0</v>
      </c>
      <c r="F924" s="19">
        <f>SUM(F919:F923)</f>
        <v>9090600</v>
      </c>
      <c r="G924" s="19">
        <f t="shared" si="41"/>
        <v>-1318248821</v>
      </c>
      <c r="H924" s="122"/>
    </row>
    <row r="925" spans="1:8" ht="21.95" customHeight="1">
      <c r="A925" s="14"/>
      <c r="B925" s="14"/>
      <c r="C925" s="18" t="s">
        <v>2095</v>
      </c>
      <c r="D925" s="19">
        <f>VLOOKUP(A906,'Neraca Unaudited SIMAK'!$A$2:$S$10004,18,FALSE)</f>
        <v>12927474937</v>
      </c>
      <c r="E925" s="19">
        <f>E924+E918</f>
        <v>80881000</v>
      </c>
      <c r="F925" s="19">
        <f>F924+F918</f>
        <v>9090600</v>
      </c>
      <c r="G925" s="19">
        <f t="shared" si="41"/>
        <v>12999265337</v>
      </c>
      <c r="H925" s="122"/>
    </row>
    <row r="926" spans="1:8" ht="21.95" customHeight="1">
      <c r="A926" s="14"/>
      <c r="B926" s="14"/>
      <c r="C926" s="16" t="s">
        <v>2091</v>
      </c>
      <c r="D926" s="17">
        <f>VLOOKUP(A906,'Neraca Unaudited SIMAK'!$A$2:$S$10004,19,FALSE)</f>
        <v>0</v>
      </c>
      <c r="E926" s="25"/>
      <c r="F926" s="25"/>
      <c r="G926" s="17">
        <f t="shared" si="41"/>
        <v>0</v>
      </c>
      <c r="H926" s="123"/>
    </row>
    <row r="928" spans="1:8" ht="19.5" customHeight="1">
      <c r="A928" s="11" t="str">
        <f>O43</f>
        <v>005010300400920000KD</v>
      </c>
      <c r="B928" s="11" t="str">
        <f>P43</f>
        <v>PA. Salatiga</v>
      </c>
      <c r="C928" s="12" t="str">
        <f>A928&amp;" "&amp;B928</f>
        <v>005010300400920000KD PA. Salatiga</v>
      </c>
      <c r="D928" s="13"/>
      <c r="E928" s="13"/>
      <c r="F928" s="13"/>
      <c r="G928" s="13"/>
      <c r="H928" s="11"/>
    </row>
    <row r="929" spans="1:10" ht="21.95" customHeight="1">
      <c r="A929" s="14"/>
      <c r="B929" s="14"/>
      <c r="C929" s="124" t="s">
        <v>1982</v>
      </c>
      <c r="D929" s="126" t="s">
        <v>1983</v>
      </c>
      <c r="E929" s="132" t="s">
        <v>1984</v>
      </c>
      <c r="F929" s="132"/>
      <c r="G929" s="126" t="s">
        <v>1987</v>
      </c>
      <c r="H929" s="130" t="s">
        <v>1175</v>
      </c>
    </row>
    <row r="930" spans="1:10" ht="21.95" customHeight="1">
      <c r="A930" s="14"/>
      <c r="B930" s="14"/>
      <c r="C930" s="125"/>
      <c r="D930" s="127"/>
      <c r="E930" s="26" t="s">
        <v>1985</v>
      </c>
      <c r="F930" s="26" t="s">
        <v>1986</v>
      </c>
      <c r="G930" s="127"/>
      <c r="H930" s="131"/>
    </row>
    <row r="931" spans="1:10" ht="21.95" customHeight="1">
      <c r="A931" s="14"/>
      <c r="B931" s="14"/>
      <c r="C931" s="16" t="s">
        <v>1165</v>
      </c>
      <c r="D931" s="17">
        <f>VLOOKUP(A928,'Neraca Unaudited SIMAK'!$A$2:$S$10004,3,FALSE)</f>
        <v>2397225</v>
      </c>
      <c r="E931" s="25">
        <f>SUMIFS('Daftar Koreksi'!$H$5:$H$92,'Daftar Koreksi'!$D$5:$D$92,'0300'!A928,'Daftar Koreksi'!$G$5:$G$92,"Persediaan",'Daftar Koreksi'!$H$5:$H$92,"&gt;0")</f>
        <v>0</v>
      </c>
      <c r="F931" s="25">
        <f>SUMIFS('Daftar Koreksi'!$H$5:$H$92,'Daftar Koreksi'!$D$5:$D$92,'0300'!A928,'Daftar Koreksi'!$G$5:$G$92,"Persediaan",'Daftar Koreksi'!$H$5:$H$92,"&lt;0")-SUMIFS('Daftar Koreksi'!$H$5:$H$92,'Daftar Koreksi'!$D$5:$D$92,'0300'!A928,'Daftar Koreksi'!$G$5:$G$92,"Persediaan",'Daftar Koreksi'!$H$5:$H$92,"&lt;0")-SUMIFS('Daftar Koreksi'!$H$5:$H$92,'Daftar Koreksi'!$D$5:$D$92,'0300'!A928,'Daftar Koreksi'!$G$5:$G$92,"Persediaan",'Daftar Koreksi'!$H$5:$H$92,"&lt;0")</f>
        <v>0</v>
      </c>
      <c r="G931" s="17">
        <f>D931+E931-F931</f>
        <v>2397225</v>
      </c>
      <c r="H931" s="121" t="str">
        <f>IF(ISNA(VLOOKUP(A928,'Mutasi Neraca'!$A$3:$S$914,19,FALSE)),"-",VLOOKUP(A928,'Mutasi Neraca'!$A$3:$S$914,19,FALSE))</f>
        <v>-</v>
      </c>
      <c r="I931" s="28"/>
      <c r="J931" s="28"/>
    </row>
    <row r="932" spans="1:10" ht="21.95" customHeight="1">
      <c r="A932" s="14"/>
      <c r="B932" s="14"/>
      <c r="C932" s="16" t="s">
        <v>1166</v>
      </c>
      <c r="D932" s="17">
        <f>VLOOKUP(A928,'Neraca Unaudited SIMAK'!$A$2:$S$10004,4,FALSE)</f>
        <v>5727500000</v>
      </c>
      <c r="E932" s="25">
        <f>SUMIFS('Daftar Koreksi'!$H$5:$H$92,'Daftar Koreksi'!$D$5:$D$92,'0300'!A928,'Daftar Koreksi'!$G$5:$G$92,"Tanah",'Daftar Koreksi'!$H$5:$H$92,"&gt;0")</f>
        <v>0</v>
      </c>
      <c r="F932" s="25">
        <f>SUMIFS('Daftar Koreksi'!$H$5:$H$92,'Daftar Koreksi'!$D$5:$D$92,'0300'!A928,'Daftar Koreksi'!$G$5:$G$92,"Tanah",'Daftar Koreksi'!$H$5:$H$92,"&lt;0")-SUMIFS('Daftar Koreksi'!$H$5:$H$92,'Daftar Koreksi'!$D$5:$D$92,'0300'!A928,'Daftar Koreksi'!$G$5:$G$92,"Tanah",'Daftar Koreksi'!$H$5:$H$92,"&lt;0")-SUMIFS('Daftar Koreksi'!$H$5:$H$92,'Daftar Koreksi'!$D$5:$D$92,'0300'!A928,'Daftar Koreksi'!$G$5:$G$92,"Tanah",'Daftar Koreksi'!$H$5:$H$92,"&lt;0")</f>
        <v>0</v>
      </c>
      <c r="G932" s="17">
        <f t="shared" ref="G932:G948" si="42">D932+E932-F932</f>
        <v>5727500000</v>
      </c>
      <c r="H932" s="122"/>
      <c r="I932" s="28"/>
      <c r="J932" s="28"/>
    </row>
    <row r="933" spans="1:10" ht="21.95" customHeight="1">
      <c r="A933" s="14"/>
      <c r="B933" s="14"/>
      <c r="C933" s="16" t="s">
        <v>1167</v>
      </c>
      <c r="D933" s="17">
        <f>VLOOKUP(A928,'Neraca Unaudited SIMAK'!$A$2:$S$10004,5,FALSE)</f>
        <v>1554916588</v>
      </c>
      <c r="E933" s="25">
        <f>SUMIFS('Daftar Koreksi'!$H$5:$H$92,'Daftar Koreksi'!$D$5:$D$92,'0300'!A928,'Daftar Koreksi'!$G$5:$G$92,"Peralatan dan mesin",'Daftar Koreksi'!$H$5:$H$92,"&gt;0")</f>
        <v>0</v>
      </c>
      <c r="F933" s="25">
        <f>SUMIFS('Daftar Koreksi'!$H$5:$H$92,'Daftar Koreksi'!$D$5:$D$92,'0300'!A928,'Daftar Koreksi'!$G$5:$G$92,"Peralatan dan mesin",'Daftar Koreksi'!$H$5:$H$92,"&lt;0")-SUMIFS('Daftar Koreksi'!$H$5:$H$92,'Daftar Koreksi'!$D$5:$D$92,'0300'!A928,'Daftar Koreksi'!$G$5:$G$92,"Peralatan dan mesin",'Daftar Koreksi'!$H$5:$H$92,"&lt;0")-SUMIFS('Daftar Koreksi'!$H$5:$H$92,'Daftar Koreksi'!$D$5:$D$92,'0300'!A928,'Daftar Koreksi'!$G$5:$G$92,"Peralatan dan mesin",'Daftar Koreksi'!$H$5:$H$92,"&lt;0")</f>
        <v>0</v>
      </c>
      <c r="G933" s="17">
        <f t="shared" si="42"/>
        <v>1554916588</v>
      </c>
      <c r="H933" s="122"/>
      <c r="I933" s="28"/>
      <c r="J933" s="28"/>
    </row>
    <row r="934" spans="1:10" ht="21.95" customHeight="1">
      <c r="A934" s="14"/>
      <c r="B934" s="14"/>
      <c r="C934" s="16" t="s">
        <v>1168</v>
      </c>
      <c r="D934" s="17">
        <f>VLOOKUP(A928,'Neraca Unaudited SIMAK'!$A$2:$S$10004,6,FALSE)</f>
        <v>6278251000</v>
      </c>
      <c r="E934" s="25">
        <f>SUMIFS('Daftar Koreksi'!$H$5:$H$92,'Daftar Koreksi'!$D$5:$D$92,'0300'!A928,'Daftar Koreksi'!$G$5:$G$92,"Gedung dan Bangunan",'Daftar Koreksi'!$H$5:$H$92,"&gt;0")</f>
        <v>0</v>
      </c>
      <c r="F934" s="25">
        <f>SUMIFS('Daftar Koreksi'!$H$5:$H$92,'Daftar Koreksi'!$D$5:$D$92,'0300'!A928,'Daftar Koreksi'!$G$5:$G$92,"Gedung dan Bangunan",'Daftar Koreksi'!$H$5:$H$92,"&lt;0")-SUMIFS('Daftar Koreksi'!$H$5:$H$92,'Daftar Koreksi'!$D$5:$D$92,'0300'!A928,'Daftar Koreksi'!$G$5:$G$92,"Gedung dan Bangunan",'Daftar Koreksi'!$H$5:$H$92,"&lt;0")-SUMIFS('Daftar Koreksi'!$H$5:$H$92,'Daftar Koreksi'!$D$5:$D$92,'0300'!A928,'Daftar Koreksi'!$G$5:$G$92,"Gedung dan Bangunan",'Daftar Koreksi'!$H$5:$H$92,"&lt;0")</f>
        <v>0</v>
      </c>
      <c r="G934" s="17">
        <f t="shared" si="42"/>
        <v>6278251000</v>
      </c>
      <c r="H934" s="122"/>
      <c r="I934" s="28"/>
      <c r="J934" s="28"/>
    </row>
    <row r="935" spans="1:10" ht="21.95" customHeight="1">
      <c r="A935" s="14"/>
      <c r="B935" s="14"/>
      <c r="C935" s="16" t="s">
        <v>1169</v>
      </c>
      <c r="D935" s="17">
        <f>VLOOKUP(A928,'Neraca Unaudited SIMAK'!$A$2:$S$10004,7,FALSE)</f>
        <v>66200000</v>
      </c>
      <c r="E935" s="25">
        <f>SUMIFS('Daftar Koreksi'!$H$5:$H$92,'Daftar Koreksi'!$D$5:$D$92,'0300'!A928,'Daftar Koreksi'!$G$5:$G$92,"Jalan Irigasi Jaringan",'Daftar Koreksi'!$H$5:$H$92,"&gt;0")</f>
        <v>0</v>
      </c>
      <c r="F935" s="25">
        <f>SUMIFS('Daftar Koreksi'!$H$5:$H$92,'Daftar Koreksi'!$D$5:$D$92,'0300'!A928,'Daftar Koreksi'!$G$5:$G$92,"Jalan Irigasi Jaringan",'Daftar Koreksi'!$H$5:$H$92,"&lt;0")-SUMIFS('Daftar Koreksi'!$H$5:$H$92,'Daftar Koreksi'!$D$5:$D$92,'0300'!A928,'Daftar Koreksi'!$G$5:$G$92,"Jalan Irigasi Jaringan",'Daftar Koreksi'!$H$5:$H$92,"&lt;0")-SUMIFS('Daftar Koreksi'!$H$5:$H$92,'Daftar Koreksi'!$D$5:$D$92,'0300'!A928,'Daftar Koreksi'!$G$5:$G$92,"Jalan Irigasi Jaringan",'Daftar Koreksi'!$H$5:$H$92,"&lt;0")</f>
        <v>0</v>
      </c>
      <c r="G935" s="17">
        <f t="shared" si="42"/>
        <v>66200000</v>
      </c>
      <c r="H935" s="122"/>
      <c r="I935" s="28"/>
      <c r="J935" s="28"/>
    </row>
    <row r="936" spans="1:10" ht="21.95" customHeight="1">
      <c r="A936" s="14"/>
      <c r="B936" s="14"/>
      <c r="C936" s="16" t="s">
        <v>1170</v>
      </c>
      <c r="D936" s="17">
        <f>VLOOKUP(A928,'Neraca Unaudited SIMAK'!$A$2:$S$10004,8,FALSE)</f>
        <v>3236676</v>
      </c>
      <c r="E936" s="25">
        <f>SUMIFS('Daftar Koreksi'!$H$5:$H$92,'Daftar Koreksi'!$D$5:$D$92,'0300'!A928,'Daftar Koreksi'!$G$5:$G$92,"Aset Tetap Lainnya",'Daftar Koreksi'!$H$5:$H$92,"&gt;0")</f>
        <v>0</v>
      </c>
      <c r="F936" s="25">
        <f>SUMIFS('Daftar Koreksi'!$H$5:$H$92,'Daftar Koreksi'!$D$5:$D$92,'0300'!A928,'Daftar Koreksi'!$G$5:$G$92,"Aset Tetap Lainnya",'Daftar Koreksi'!$H$5:$H$92,"&lt;0")-SUMIFS('Daftar Koreksi'!$H$5:$H$92,'Daftar Koreksi'!$D$5:$D$92,'0300'!A928,'Daftar Koreksi'!$G$5:$G$92,"Aset Tetap Lainnya",'Daftar Koreksi'!$H$5:$H$92,"&lt;0")-SUMIFS('Daftar Koreksi'!$H$5:$H$92,'Daftar Koreksi'!$D$5:$D$92,'0300'!A928,'Daftar Koreksi'!$G$5:$G$92,"Aset Tetap Lainnya",'Daftar Koreksi'!$H$5:$H$92,"&lt;0")</f>
        <v>0</v>
      </c>
      <c r="G936" s="17">
        <f t="shared" si="42"/>
        <v>3236676</v>
      </c>
      <c r="H936" s="122"/>
      <c r="I936" s="28"/>
      <c r="J936" s="28"/>
    </row>
    <row r="937" spans="1:10" ht="21.95" customHeight="1">
      <c r="A937" s="14"/>
      <c r="B937" s="14"/>
      <c r="C937" s="16" t="s">
        <v>1171</v>
      </c>
      <c r="D937" s="17">
        <f>VLOOKUP(A928,'Neraca Unaudited SIMAK'!$A$2:$S$10004,9,FALSE)</f>
        <v>0</v>
      </c>
      <c r="E937" s="25">
        <f>SUMIFS('Daftar Koreksi'!$H$5:$H$92,'Daftar Koreksi'!$D$5:$D$92,'0300'!A928,'Daftar Koreksi'!$G$5:$G$92,"Kontruksi Dalam Pengerjaan",'Daftar Koreksi'!$H$5:$H$92,"&gt;0")</f>
        <v>0</v>
      </c>
      <c r="F937" s="25">
        <f>SUMIFS('Daftar Koreksi'!$H$5:$H$92,'Daftar Koreksi'!$D$5:$D$92,'0300'!A928,'Daftar Koreksi'!$G$5:$G$92,"Kontruksi Dalam Pengerjaan",'Daftar Koreksi'!$H$5:$H$92,"&lt;0")-SUMIFS('Daftar Koreksi'!$H$5:$H$92,'Daftar Koreksi'!$D$5:$D$92,'0300'!A928,'Daftar Koreksi'!$G$5:$G$92,"Kontruksi Dalam Pengerjaan",'Daftar Koreksi'!$H$5:$H$92,"&lt;0")-SUMIFS('Daftar Koreksi'!$H$5:$H$92,'Daftar Koreksi'!$D$5:$D$92,'0300'!A928,'Daftar Koreksi'!$G$5:$G$92,"Kontruksi Dalam Pengerjaan",'Daftar Koreksi'!$H$5:$H$92,"&lt;0")</f>
        <v>0</v>
      </c>
      <c r="G937" s="17">
        <f t="shared" si="42"/>
        <v>0</v>
      </c>
      <c r="H937" s="122"/>
      <c r="I937" s="28"/>
      <c r="J937" s="28"/>
    </row>
    <row r="938" spans="1:10" ht="21.95" customHeight="1">
      <c r="A938" s="14"/>
      <c r="B938" s="14"/>
      <c r="C938" s="16" t="s">
        <v>1172</v>
      </c>
      <c r="D938" s="17">
        <f>VLOOKUP(A928,'Neraca Unaudited SIMAK'!$A$2:$S$10004,10,FALSE)</f>
        <v>0</v>
      </c>
      <c r="E938" s="25">
        <f>SUMIFS('Daftar Koreksi'!$H$5:$H$92,'Daftar Koreksi'!$D$5:$D$92,'0300'!A928,'Daftar Koreksi'!$G$5:$G$92,"Aset Tak Berwujud",'Daftar Koreksi'!$H$5:$H$92,"&gt;0")</f>
        <v>0</v>
      </c>
      <c r="F938" s="25">
        <f>SUMIFS('Daftar Koreksi'!$H$5:$H$92,'Daftar Koreksi'!$D$5:$D$92,'0300'!A928,'Daftar Koreksi'!$G$5:$G$92,"Aset Tak Berwujud",'Daftar Koreksi'!$H$5:$H$92,"&lt;0")-SUMIFS('Daftar Koreksi'!$H$5:$H$92,'Daftar Koreksi'!$D$5:$D$92,'0300'!A928,'Daftar Koreksi'!$G$5:$G$92,"Aset Tak Berwujud",'Daftar Koreksi'!$H$5:$H$92,"&lt;0")-SUMIFS('Daftar Koreksi'!$H$5:$H$92,'Daftar Koreksi'!$D$5:$D$92,'0300'!A928,'Daftar Koreksi'!$G$5:$G$92,"Aset Tak Berwujud",'Daftar Koreksi'!$H$5:$H$92,"&lt;0")</f>
        <v>0</v>
      </c>
      <c r="G938" s="17">
        <f t="shared" si="42"/>
        <v>0</v>
      </c>
      <c r="H938" s="122"/>
      <c r="I938" s="28"/>
      <c r="J938" s="28"/>
    </row>
    <row r="939" spans="1:10" ht="21.95" customHeight="1">
      <c r="A939" s="14"/>
      <c r="B939" s="14"/>
      <c r="C939" s="16" t="s">
        <v>1173</v>
      </c>
      <c r="D939" s="17">
        <f>VLOOKUP(A928,'Neraca Unaudited SIMAK'!$A$2:$S$10004,11,FALSE)</f>
        <v>13563000</v>
      </c>
      <c r="E939" s="25">
        <f>SUMIFS('Daftar Koreksi'!$H$5:$H$92,'Daftar Koreksi'!$D$5:$D$92,'0300'!A928,'Daftar Koreksi'!$G$5:$G$92,"Aset Henti Guna",'Daftar Koreksi'!$H$5:$H$92,"&gt;0")</f>
        <v>0</v>
      </c>
      <c r="F939" s="25">
        <f>SUMIFS('Daftar Koreksi'!$H$5:$H$92,'Daftar Koreksi'!$D$5:$D$92,'0300'!A928,'Daftar Koreksi'!$G$5:$G$92,"Aset Henti Guna",'Daftar Koreksi'!$H$5:$H$92,"&lt;0")-SUMIFS('Daftar Koreksi'!$H$5:$H$92,'Daftar Koreksi'!$D$5:$D$92,'0300'!A928,'Daftar Koreksi'!$G$5:$G$92,"Aset Henti Guna",'Daftar Koreksi'!$H$5:$H$92,"&lt;0")-SUMIFS('Daftar Koreksi'!$H$5:$H$92,'Daftar Koreksi'!$D$5:$D$92,'0300'!A928,'Daftar Koreksi'!$G$5:$G$92,"Aset Henti Guna",'Daftar Koreksi'!$H$5:$H$92,"&lt;0")</f>
        <v>0</v>
      </c>
      <c r="G939" s="17">
        <f t="shared" si="42"/>
        <v>13563000</v>
      </c>
      <c r="H939" s="122"/>
      <c r="I939" s="28"/>
      <c r="J939" s="28"/>
    </row>
    <row r="940" spans="1:10" ht="21.95" customHeight="1">
      <c r="A940" s="14"/>
      <c r="B940" s="14"/>
      <c r="C940" s="18" t="s">
        <v>2093</v>
      </c>
      <c r="D940" s="19">
        <f>VLOOKUP(A928,'Neraca Unaudited SIMAK'!$A$2:$S$10004,12,FALSE)</f>
        <v>13646064489</v>
      </c>
      <c r="E940" s="19">
        <f>SUM(E931:E939)</f>
        <v>0</v>
      </c>
      <c r="F940" s="19">
        <f>SUM(F931:F939)</f>
        <v>0</v>
      </c>
      <c r="G940" s="19">
        <f t="shared" si="42"/>
        <v>13646064489</v>
      </c>
      <c r="H940" s="122"/>
      <c r="I940" s="28"/>
      <c r="J940" s="28"/>
    </row>
    <row r="941" spans="1:10" ht="21.95" customHeight="1">
      <c r="A941" s="14"/>
      <c r="B941" s="14"/>
      <c r="C941" s="16" t="s">
        <v>2087</v>
      </c>
      <c r="D941" s="17">
        <f>VLOOKUP(A928,'Neraca Unaudited SIMAK'!$A$2:$S$10004,13,FALSE)</f>
        <v>-1279899916</v>
      </c>
      <c r="E941" s="25">
        <f>SUMIFS('Daftar Koreksi'!$I$5:$I$92,'Daftar Koreksi'!$D$5:$D$92,'0300'!A928,'Daftar Koreksi'!$G$5:$G$92,"Peralatan dan mesin",'Daftar Koreksi'!$I$5:$I$92,"&gt;0")</f>
        <v>0</v>
      </c>
      <c r="F941" s="25">
        <f>SUMIFS('Daftar Koreksi'!$I$5:$I$92,'Daftar Koreksi'!$D$5:$D$92,'0300'!A928,'Daftar Koreksi'!$G$5:$G$92,"Peralatan dan mesin",'Daftar Koreksi'!$I$5:$I$92,"&lt;0")-SUMIFS('Daftar Koreksi'!$I$5:$I$92,'Daftar Koreksi'!$D$5:$D$92,'0300'!A928,'Daftar Koreksi'!$G$5:$G$92,"Peralatan dan mesin",'Daftar Koreksi'!$I$5:$I$92,"&lt;0")-SUMIFS('Daftar Koreksi'!$I$5:$I$92,'Daftar Koreksi'!$D$5:$D$92,'0300'!A928,'Daftar Koreksi'!$G$5:$G$92,"Peralatan dan mesin",'Daftar Koreksi'!$I$5:$I$92,"&lt;0")</f>
        <v>0</v>
      </c>
      <c r="G941" s="17">
        <f t="shared" si="42"/>
        <v>-1279899916</v>
      </c>
      <c r="H941" s="122"/>
      <c r="I941" s="28"/>
      <c r="J941" s="28"/>
    </row>
    <row r="942" spans="1:10" ht="21.95" customHeight="1">
      <c r="A942" s="14"/>
      <c r="B942" s="14"/>
      <c r="C942" s="16" t="s">
        <v>2088</v>
      </c>
      <c r="D942" s="17">
        <f>VLOOKUP(A928,'Neraca Unaudited SIMAK'!$A$2:$S$10004,14,FALSE)</f>
        <v>-955305620</v>
      </c>
      <c r="E942" s="25">
        <f>SUMIFS('Daftar Koreksi'!$I$5:$I$92,'Daftar Koreksi'!$D$5:$D$92,'0300'!A928,'Daftar Koreksi'!$G$5:$G$92,"Gedung dan Bangunan",'Daftar Koreksi'!$I$5:$I$92,"&gt;0")</f>
        <v>0</v>
      </c>
      <c r="F942" s="25">
        <f>SUMIFS('Daftar Koreksi'!$I$5:$I$92,'Daftar Koreksi'!$D$5:$D$92,'0300'!A928,'Daftar Koreksi'!$G$5:$G$92,"Gedung dan Bangunan",'Daftar Koreksi'!$I$5:$I$92,"&lt;0")-SUMIFS('Daftar Koreksi'!$I$5:$I$92,'Daftar Koreksi'!$D$5:$D$92,'0300'!A928,'Daftar Koreksi'!$G$5:$G$92,"Gedung dan Bangunan",'Daftar Koreksi'!$I$5:$I$92,"&lt;0")-SUMIFS('Daftar Koreksi'!$I$5:$I$92,'Daftar Koreksi'!$D$5:$D$92,'0300'!A928,'Daftar Koreksi'!$G$5:$G$92,"Gedung dan Bangunan",'Daftar Koreksi'!$I$5:$I$92,"&lt;0")</f>
        <v>0</v>
      </c>
      <c r="G942" s="17">
        <f t="shared" si="42"/>
        <v>-955305620</v>
      </c>
      <c r="H942" s="122"/>
      <c r="I942" s="28"/>
      <c r="J942" s="28"/>
    </row>
    <row r="943" spans="1:10" ht="21.95" customHeight="1">
      <c r="A943" s="14"/>
      <c r="B943" s="14"/>
      <c r="C943" s="16" t="s">
        <v>2089</v>
      </c>
      <c r="D943" s="17">
        <f>VLOOKUP(A928,'Neraca Unaudited SIMAK'!$A$2:$S$10004,15,FALSE)</f>
        <v>-8615000</v>
      </c>
      <c r="E943" s="25">
        <f>SUMIFS('Daftar Koreksi'!$I$5:$I$92,'Daftar Koreksi'!$D$5:$D$92,'0300'!A928,'Daftar Koreksi'!$G$5:$G$92,"Jalan Irigasi Jaringan",'Daftar Koreksi'!$I$5:$I$92,"&gt;0")</f>
        <v>0</v>
      </c>
      <c r="F943" s="25">
        <f>SUMIFS('Daftar Koreksi'!$I$5:$I$92,'Daftar Koreksi'!$D$5:$D$92,'0300'!A928,'Daftar Koreksi'!$G$5:$G$92,"Jalan Irigasi Jaringan",'Daftar Koreksi'!$I$5:$I$92,"&lt;0")-SUMIFS('Daftar Koreksi'!$I$5:$I$92,'Daftar Koreksi'!$D$5:$D$92,'0300'!A928,'Daftar Koreksi'!$G$5:$G$92,"Jalan Irigasi Jaringan",'Daftar Koreksi'!$I$5:$I$92,"&lt;0")-SUMIFS('Daftar Koreksi'!$I$5:$I$92,'Daftar Koreksi'!$D$5:$D$92,'0300'!A928,'Daftar Koreksi'!$G$5:$G$92,"Jalan Irigasi Jaringan",'Daftar Koreksi'!$I$5:$I$92,"&lt;0")</f>
        <v>0</v>
      </c>
      <c r="G943" s="17">
        <f t="shared" si="42"/>
        <v>-8615000</v>
      </c>
      <c r="H943" s="122"/>
      <c r="I943" s="28"/>
      <c r="J943" s="28"/>
    </row>
    <row r="944" spans="1:10" ht="21.95" customHeight="1">
      <c r="A944" s="14"/>
      <c r="B944" s="14"/>
      <c r="C944" s="16" t="s">
        <v>2090</v>
      </c>
      <c r="D944" s="17">
        <f>VLOOKUP(A928,'Neraca Unaudited SIMAK'!$A$2:$S$10004,16,FALSE)</f>
        <v>0</v>
      </c>
      <c r="E944" s="25">
        <f>SUMIFS('Daftar Koreksi'!$I$5:$I$92,'Daftar Koreksi'!$D$5:$D$92,'0300'!A928,'Daftar Koreksi'!$G$5:$G$92,"Aset Tetap Lainnya",'Daftar Koreksi'!$I$5:$I$92,"&gt;0")</f>
        <v>0</v>
      </c>
      <c r="F944" s="25">
        <f>SUMIFS('Daftar Koreksi'!$I$5:$I$92,'Daftar Koreksi'!$D$5:$D$92,'0300'!A928,'Daftar Koreksi'!$G$5:$G$92,"Aset Tetap Lainnya",'Daftar Koreksi'!$I$5:$I$92,"&lt;0")-SUMIFS('Daftar Koreksi'!$I$5:$I$92,'Daftar Koreksi'!$D$5:$D$92,'0300'!A928,'Daftar Koreksi'!$G$5:$G$92,"Aset Tetap Lainnya",'Daftar Koreksi'!$I$5:$I$92,"&lt;0")-SUMIFS('Daftar Koreksi'!$I$5:$I$92,'Daftar Koreksi'!$D$5:$D$92,'0300'!A928,'Daftar Koreksi'!$G$5:$G$92,"Aset Tetap Lainnya",'Daftar Koreksi'!$I$5:$I$92,"&lt;0")</f>
        <v>0</v>
      </c>
      <c r="G944" s="17">
        <f t="shared" si="42"/>
        <v>0</v>
      </c>
      <c r="H944" s="122"/>
      <c r="I944" s="28"/>
      <c r="J944" s="28"/>
    </row>
    <row r="945" spans="1:10" ht="21.95" customHeight="1">
      <c r="A945" s="14"/>
      <c r="B945" s="14"/>
      <c r="C945" s="16" t="s">
        <v>2020</v>
      </c>
      <c r="D945" s="17">
        <f>VLOOKUP(A928,'Neraca Unaudited SIMAK'!$A$2:$S$10004,17,FALSE)</f>
        <v>-13563000</v>
      </c>
      <c r="E945" s="25">
        <f>SUMIFS('Daftar Koreksi'!$I$5:$I$92,'Daftar Koreksi'!$D$5:$D$92,'0300'!A928,'Daftar Koreksi'!$G$5:$G$92,"Aset Henti Guna",'Daftar Koreksi'!$I$5:$I$92,"&gt;0")</f>
        <v>0</v>
      </c>
      <c r="F945" s="25">
        <f>SUMIFS('Daftar Koreksi'!$I$5:$I$92,'Daftar Koreksi'!$D$5:$D$92,'0300'!A928,'Daftar Koreksi'!$G$5:$G$92,"Aset Henti Guna",'Daftar Koreksi'!$I$5:$I$92,"&lt;0")-SUMIFS('Daftar Koreksi'!$I$5:$I$92,'Daftar Koreksi'!$D$5:$D$92,'0300'!A928,'Daftar Koreksi'!$G$5:$G$92,"Aset Henti Guna",'Daftar Koreksi'!$I$5:$I$92,"&lt;0")-SUMIFS('Daftar Koreksi'!$I$5:$I$92,'Daftar Koreksi'!$D$5:$D$92,'0300'!A928,'Daftar Koreksi'!$G$5:$G$92,"Aset Henti Guna",'Daftar Koreksi'!$I$5:$I$92,"&lt;0")</f>
        <v>0</v>
      </c>
      <c r="G945" s="17">
        <f t="shared" si="42"/>
        <v>-13563000</v>
      </c>
      <c r="H945" s="122"/>
      <c r="I945" s="28"/>
      <c r="J945" s="28"/>
    </row>
    <row r="946" spans="1:10" ht="21.95" customHeight="1">
      <c r="A946" s="14"/>
      <c r="B946" s="14"/>
      <c r="C946" s="18" t="s">
        <v>2094</v>
      </c>
      <c r="D946" s="19">
        <f>SUM(D941:D945)</f>
        <v>-2257383536</v>
      </c>
      <c r="E946" s="19">
        <f>SUM(E941:E945)</f>
        <v>0</v>
      </c>
      <c r="F946" s="19">
        <f>SUM(F941:F945)</f>
        <v>0</v>
      </c>
      <c r="G946" s="19">
        <f t="shared" si="42"/>
        <v>-2257383536</v>
      </c>
      <c r="H946" s="122"/>
      <c r="I946" s="28"/>
      <c r="J946" s="28"/>
    </row>
    <row r="947" spans="1:10" ht="21.95" customHeight="1">
      <c r="A947" s="14"/>
      <c r="B947" s="14"/>
      <c r="C947" s="18" t="s">
        <v>2095</v>
      </c>
      <c r="D947" s="19">
        <f>VLOOKUP(A928,'Neraca Unaudited SIMAK'!$A$2:$S$10004,18,FALSE)</f>
        <v>11388680953</v>
      </c>
      <c r="E947" s="19">
        <f>E946+E940</f>
        <v>0</v>
      </c>
      <c r="F947" s="19">
        <f>F946+F940</f>
        <v>0</v>
      </c>
      <c r="G947" s="19">
        <f t="shared" si="42"/>
        <v>11388680953</v>
      </c>
      <c r="H947" s="122"/>
      <c r="I947" s="28"/>
      <c r="J947" s="28"/>
    </row>
    <row r="948" spans="1:10" ht="21.95" customHeight="1">
      <c r="A948" s="14"/>
      <c r="B948" s="14"/>
      <c r="C948" s="16" t="s">
        <v>2091</v>
      </c>
      <c r="D948" s="17">
        <f>VLOOKUP(A928,'Neraca Unaudited SIMAK'!$A$2:$S$10004,19,FALSE)</f>
        <v>0</v>
      </c>
      <c r="E948" s="25"/>
      <c r="F948" s="25"/>
      <c r="G948" s="17">
        <f t="shared" si="42"/>
        <v>0</v>
      </c>
      <c r="H948" s="123"/>
      <c r="I948" s="28"/>
      <c r="J948" s="28"/>
    </row>
    <row r="950" spans="1:10" ht="19.5" customHeight="1">
      <c r="A950" s="11" t="str">
        <f>O44</f>
        <v>005010300400936000KD</v>
      </c>
      <c r="B950" s="11" t="str">
        <f>P44</f>
        <v>PA. Kendal</v>
      </c>
      <c r="C950" s="12" t="str">
        <f>A950&amp;" "&amp;B950</f>
        <v>005010300400936000KD PA. Kendal</v>
      </c>
      <c r="D950" s="13"/>
      <c r="E950" s="13"/>
      <c r="F950" s="13"/>
      <c r="G950" s="13"/>
      <c r="H950" s="11"/>
    </row>
    <row r="951" spans="1:10" ht="21.95" customHeight="1">
      <c r="A951" s="14"/>
      <c r="B951" s="14"/>
      <c r="C951" s="124" t="s">
        <v>1982</v>
      </c>
      <c r="D951" s="126" t="s">
        <v>1983</v>
      </c>
      <c r="E951" s="132" t="s">
        <v>1984</v>
      </c>
      <c r="F951" s="132"/>
      <c r="G951" s="126" t="s">
        <v>1987</v>
      </c>
      <c r="H951" s="130" t="s">
        <v>1175</v>
      </c>
    </row>
    <row r="952" spans="1:10" ht="21.95" customHeight="1">
      <c r="A952" s="14"/>
      <c r="B952" s="14"/>
      <c r="C952" s="125"/>
      <c r="D952" s="127"/>
      <c r="E952" s="26" t="s">
        <v>1985</v>
      </c>
      <c r="F952" s="26" t="s">
        <v>1986</v>
      </c>
      <c r="G952" s="127"/>
      <c r="H952" s="131"/>
    </row>
    <row r="953" spans="1:10" ht="21.95" customHeight="1">
      <c r="A953" s="14"/>
      <c r="B953" s="14"/>
      <c r="C953" s="16" t="s">
        <v>1165</v>
      </c>
      <c r="D953" s="17">
        <f>VLOOKUP(A950,'Neraca Unaudited SIMAK'!$A$2:$S$10004,3,FALSE)</f>
        <v>2158000</v>
      </c>
      <c r="E953" s="25">
        <f>SUMIFS('Daftar Koreksi'!$H$5:$H$92,'Daftar Koreksi'!$D$5:$D$92,'0300'!A950,'Daftar Koreksi'!$G$5:$G$92,"Persediaan",'Daftar Koreksi'!$H$5:$H$92,"&gt;0")</f>
        <v>0</v>
      </c>
      <c r="F953" s="25">
        <f>SUMIFS('Daftar Koreksi'!$H$5:$H$92,'Daftar Koreksi'!$D$5:$D$92,'0300'!A950,'Daftar Koreksi'!$G$5:$G$92,"Persediaan",'Daftar Koreksi'!$H$5:$H$92,"&lt;0")-SUMIFS('Daftar Koreksi'!$H$5:$H$92,'Daftar Koreksi'!$D$5:$D$92,'0300'!A950,'Daftar Koreksi'!$G$5:$G$92,"Persediaan",'Daftar Koreksi'!$H$5:$H$92,"&lt;0")-SUMIFS('Daftar Koreksi'!$H$5:$H$92,'Daftar Koreksi'!$D$5:$D$92,'0300'!A950,'Daftar Koreksi'!$G$5:$G$92,"Persediaan",'Daftar Koreksi'!$H$5:$H$92,"&lt;0")</f>
        <v>0</v>
      </c>
      <c r="G953" s="17">
        <f>D953+E953-F953</f>
        <v>2158000</v>
      </c>
      <c r="H953" s="121" t="str">
        <f>IF(ISNA(VLOOKUP(A950,'Mutasi Neraca'!$A$3:$S$914,19,FALSE)),"-",VLOOKUP(A950,'Mutasi Neraca'!$A$3:$S$914,19,FALSE))</f>
        <v>-</v>
      </c>
    </row>
    <row r="954" spans="1:10" ht="21.95" customHeight="1">
      <c r="A954" s="14"/>
      <c r="B954" s="14"/>
      <c r="C954" s="16" t="s">
        <v>1166</v>
      </c>
      <c r="D954" s="17">
        <f>VLOOKUP(A950,'Neraca Unaudited SIMAK'!$A$2:$S$10004,4,FALSE)</f>
        <v>4448640000</v>
      </c>
      <c r="E954" s="25">
        <f>SUMIFS('Daftar Koreksi'!$H$5:$H$92,'Daftar Koreksi'!$D$5:$D$92,'0300'!A950,'Daftar Koreksi'!$G$5:$G$92,"Tanah",'Daftar Koreksi'!$H$5:$H$92,"&gt;0")</f>
        <v>0</v>
      </c>
      <c r="F954" s="25">
        <f>SUMIFS('Daftar Koreksi'!$H$5:$H$92,'Daftar Koreksi'!$D$5:$D$92,'0300'!A950,'Daftar Koreksi'!$G$5:$G$92,"Tanah",'Daftar Koreksi'!$H$5:$H$92,"&lt;0")-SUMIFS('Daftar Koreksi'!$H$5:$H$92,'Daftar Koreksi'!$D$5:$D$92,'0300'!A950,'Daftar Koreksi'!$G$5:$G$92,"Tanah",'Daftar Koreksi'!$H$5:$H$92,"&lt;0")-SUMIFS('Daftar Koreksi'!$H$5:$H$92,'Daftar Koreksi'!$D$5:$D$92,'0300'!A950,'Daftar Koreksi'!$G$5:$G$92,"Tanah",'Daftar Koreksi'!$H$5:$H$92,"&lt;0")</f>
        <v>0</v>
      </c>
      <c r="G954" s="17">
        <f t="shared" ref="G954:G970" si="43">D954+E954-F954</f>
        <v>4448640000</v>
      </c>
      <c r="H954" s="122"/>
    </row>
    <row r="955" spans="1:10" ht="21.95" customHeight="1">
      <c r="A955" s="14"/>
      <c r="B955" s="14"/>
      <c r="C955" s="16" t="s">
        <v>1167</v>
      </c>
      <c r="D955" s="17">
        <f>VLOOKUP(A950,'Neraca Unaudited SIMAK'!$A$2:$S$10004,5,FALSE)</f>
        <v>862496076</v>
      </c>
      <c r="E955" s="25">
        <f>SUMIFS('Daftar Koreksi'!$H$5:$H$92,'Daftar Koreksi'!$D$5:$D$92,'0300'!A950,'Daftar Koreksi'!$G$5:$G$92,"Peralatan dan mesin",'Daftar Koreksi'!$H$5:$H$92,"&gt;0")</f>
        <v>0</v>
      </c>
      <c r="F955" s="25">
        <f>SUMIFS('Daftar Koreksi'!$H$5:$H$92,'Daftar Koreksi'!$D$5:$D$92,'0300'!A950,'Daftar Koreksi'!$G$5:$G$92,"Peralatan dan mesin",'Daftar Koreksi'!$H$5:$H$92,"&lt;0")-SUMIFS('Daftar Koreksi'!$H$5:$H$92,'Daftar Koreksi'!$D$5:$D$92,'0300'!A950,'Daftar Koreksi'!$G$5:$G$92,"Peralatan dan mesin",'Daftar Koreksi'!$H$5:$H$92,"&lt;0")-SUMIFS('Daftar Koreksi'!$H$5:$H$92,'Daftar Koreksi'!$D$5:$D$92,'0300'!A950,'Daftar Koreksi'!$G$5:$G$92,"Peralatan dan mesin",'Daftar Koreksi'!$H$5:$H$92,"&lt;0")</f>
        <v>0</v>
      </c>
      <c r="G955" s="17">
        <f t="shared" si="43"/>
        <v>862496076</v>
      </c>
      <c r="H955" s="122"/>
    </row>
    <row r="956" spans="1:10" ht="21.95" customHeight="1">
      <c r="A956" s="14"/>
      <c r="B956" s="14"/>
      <c r="C956" s="16" t="s">
        <v>1168</v>
      </c>
      <c r="D956" s="17">
        <f>VLOOKUP(A950,'Neraca Unaudited SIMAK'!$A$2:$S$10004,6,FALSE)</f>
        <v>4258632080</v>
      </c>
      <c r="E956" s="25">
        <f>SUMIFS('Daftar Koreksi'!$H$5:$H$92,'Daftar Koreksi'!$D$5:$D$92,'0300'!A950,'Daftar Koreksi'!$G$5:$G$92,"Gedung dan Bangunan",'Daftar Koreksi'!$H$5:$H$92,"&gt;0")</f>
        <v>0</v>
      </c>
      <c r="F956" s="25">
        <f>SUMIFS('Daftar Koreksi'!$H$5:$H$92,'Daftar Koreksi'!$D$5:$D$92,'0300'!A950,'Daftar Koreksi'!$G$5:$G$92,"Gedung dan Bangunan",'Daftar Koreksi'!$H$5:$H$92,"&lt;0")-SUMIFS('Daftar Koreksi'!$H$5:$H$92,'Daftar Koreksi'!$D$5:$D$92,'0300'!A950,'Daftar Koreksi'!$G$5:$G$92,"Gedung dan Bangunan",'Daftar Koreksi'!$H$5:$H$92,"&lt;0")-SUMIFS('Daftar Koreksi'!$H$5:$H$92,'Daftar Koreksi'!$D$5:$D$92,'0300'!A950,'Daftar Koreksi'!$G$5:$G$92,"Gedung dan Bangunan",'Daftar Koreksi'!$H$5:$H$92,"&lt;0")</f>
        <v>0</v>
      </c>
      <c r="G956" s="17">
        <f t="shared" si="43"/>
        <v>4258632080</v>
      </c>
      <c r="H956" s="122"/>
    </row>
    <row r="957" spans="1:10" ht="21.95" customHeight="1">
      <c r="A957" s="14"/>
      <c r="B957" s="14"/>
      <c r="C957" s="16" t="s">
        <v>1169</v>
      </c>
      <c r="D957" s="17">
        <f>VLOOKUP(A950,'Neraca Unaudited SIMAK'!$A$2:$S$10004,7,FALSE)</f>
        <v>0</v>
      </c>
      <c r="E957" s="25">
        <f>SUMIFS('Daftar Koreksi'!$H$5:$H$92,'Daftar Koreksi'!$D$5:$D$92,'0300'!A950,'Daftar Koreksi'!$G$5:$G$92,"Jalan Irigasi Jaringan",'Daftar Koreksi'!$H$5:$H$92,"&gt;0")</f>
        <v>0</v>
      </c>
      <c r="F957" s="25">
        <f>SUMIFS('Daftar Koreksi'!$H$5:$H$92,'Daftar Koreksi'!$D$5:$D$92,'0300'!A950,'Daftar Koreksi'!$G$5:$G$92,"Jalan Irigasi Jaringan",'Daftar Koreksi'!$H$5:$H$92,"&lt;0")-SUMIFS('Daftar Koreksi'!$H$5:$H$92,'Daftar Koreksi'!$D$5:$D$92,'0300'!A950,'Daftar Koreksi'!$G$5:$G$92,"Jalan Irigasi Jaringan",'Daftar Koreksi'!$H$5:$H$92,"&lt;0")-SUMIFS('Daftar Koreksi'!$H$5:$H$92,'Daftar Koreksi'!$D$5:$D$92,'0300'!A950,'Daftar Koreksi'!$G$5:$G$92,"Jalan Irigasi Jaringan",'Daftar Koreksi'!$H$5:$H$92,"&lt;0")</f>
        <v>0</v>
      </c>
      <c r="G957" s="17">
        <f t="shared" si="43"/>
        <v>0</v>
      </c>
      <c r="H957" s="122"/>
    </row>
    <row r="958" spans="1:10" ht="21.95" customHeight="1">
      <c r="A958" s="14"/>
      <c r="B958" s="14"/>
      <c r="C958" s="16" t="s">
        <v>1170</v>
      </c>
      <c r="D958" s="17">
        <f>VLOOKUP(A950,'Neraca Unaudited SIMAK'!$A$2:$S$10004,8,FALSE)</f>
        <v>33832580</v>
      </c>
      <c r="E958" s="25">
        <f>SUMIFS('Daftar Koreksi'!$H$5:$H$92,'Daftar Koreksi'!$D$5:$D$92,'0300'!A950,'Daftar Koreksi'!$G$5:$G$92,"Aset Tetap Lainnya",'Daftar Koreksi'!$H$5:$H$92,"&gt;0")</f>
        <v>0</v>
      </c>
      <c r="F958" s="25">
        <f>SUMIFS('Daftar Koreksi'!$H$5:$H$92,'Daftar Koreksi'!$D$5:$D$92,'0300'!A950,'Daftar Koreksi'!$G$5:$G$92,"Aset Tetap Lainnya",'Daftar Koreksi'!$H$5:$H$92,"&lt;0")-SUMIFS('Daftar Koreksi'!$H$5:$H$92,'Daftar Koreksi'!$D$5:$D$92,'0300'!A950,'Daftar Koreksi'!$G$5:$G$92,"Aset Tetap Lainnya",'Daftar Koreksi'!$H$5:$H$92,"&lt;0")-SUMIFS('Daftar Koreksi'!$H$5:$H$92,'Daftar Koreksi'!$D$5:$D$92,'0300'!A950,'Daftar Koreksi'!$G$5:$G$92,"Aset Tetap Lainnya",'Daftar Koreksi'!$H$5:$H$92,"&lt;0")</f>
        <v>0</v>
      </c>
      <c r="G958" s="17">
        <f t="shared" si="43"/>
        <v>33832580</v>
      </c>
      <c r="H958" s="122"/>
    </row>
    <row r="959" spans="1:10" ht="21.95" customHeight="1">
      <c r="A959" s="14"/>
      <c r="B959" s="14"/>
      <c r="C959" s="16" t="s">
        <v>1171</v>
      </c>
      <c r="D959" s="17">
        <f>VLOOKUP(A950,'Neraca Unaudited SIMAK'!$A$2:$S$10004,9,FALSE)</f>
        <v>0</v>
      </c>
      <c r="E959" s="25">
        <f>SUMIFS('Daftar Koreksi'!$H$5:$H$92,'Daftar Koreksi'!$D$5:$D$92,'0300'!A950,'Daftar Koreksi'!$G$5:$G$92,"Kontruksi Dalam Pengerjaan",'Daftar Koreksi'!$H$5:$H$92,"&gt;0")</f>
        <v>0</v>
      </c>
      <c r="F959" s="25">
        <f>SUMIFS('Daftar Koreksi'!$H$5:$H$92,'Daftar Koreksi'!$D$5:$D$92,'0300'!A950,'Daftar Koreksi'!$G$5:$G$92,"Kontruksi Dalam Pengerjaan",'Daftar Koreksi'!$H$5:$H$92,"&lt;0")-SUMIFS('Daftar Koreksi'!$H$5:$H$92,'Daftar Koreksi'!$D$5:$D$92,'0300'!A950,'Daftar Koreksi'!$G$5:$G$92,"Kontruksi Dalam Pengerjaan",'Daftar Koreksi'!$H$5:$H$92,"&lt;0")-SUMIFS('Daftar Koreksi'!$H$5:$H$92,'Daftar Koreksi'!$D$5:$D$92,'0300'!A950,'Daftar Koreksi'!$G$5:$G$92,"Kontruksi Dalam Pengerjaan",'Daftar Koreksi'!$H$5:$H$92,"&lt;0")</f>
        <v>0</v>
      </c>
      <c r="G959" s="17">
        <f t="shared" si="43"/>
        <v>0</v>
      </c>
      <c r="H959" s="122"/>
    </row>
    <row r="960" spans="1:10" ht="21.95" customHeight="1">
      <c r="A960" s="14"/>
      <c r="B960" s="14"/>
      <c r="C960" s="16" t="s">
        <v>1172</v>
      </c>
      <c r="D960" s="17">
        <f>VLOOKUP(A950,'Neraca Unaudited SIMAK'!$A$2:$S$10004,10,FALSE)</f>
        <v>0</v>
      </c>
      <c r="E960" s="25">
        <f>SUMIFS('Daftar Koreksi'!$H$5:$H$92,'Daftar Koreksi'!$D$5:$D$92,'0300'!A950,'Daftar Koreksi'!$G$5:$G$92,"Aset Tak Berwujud",'Daftar Koreksi'!$H$5:$H$92,"&gt;0")</f>
        <v>0</v>
      </c>
      <c r="F960" s="25">
        <f>SUMIFS('Daftar Koreksi'!$H$5:$H$92,'Daftar Koreksi'!$D$5:$D$92,'0300'!A950,'Daftar Koreksi'!$G$5:$G$92,"Aset Tak Berwujud",'Daftar Koreksi'!$H$5:$H$92,"&lt;0")-SUMIFS('Daftar Koreksi'!$H$5:$H$92,'Daftar Koreksi'!$D$5:$D$92,'0300'!A950,'Daftar Koreksi'!$G$5:$G$92,"Aset Tak Berwujud",'Daftar Koreksi'!$H$5:$H$92,"&lt;0")-SUMIFS('Daftar Koreksi'!$H$5:$H$92,'Daftar Koreksi'!$D$5:$D$92,'0300'!A950,'Daftar Koreksi'!$G$5:$G$92,"Aset Tak Berwujud",'Daftar Koreksi'!$H$5:$H$92,"&lt;0")</f>
        <v>0</v>
      </c>
      <c r="G960" s="17">
        <f t="shared" si="43"/>
        <v>0</v>
      </c>
      <c r="H960" s="122"/>
    </row>
    <row r="961" spans="1:8" ht="21.95" customHeight="1">
      <c r="A961" s="14"/>
      <c r="B961" s="14"/>
      <c r="C961" s="16" t="s">
        <v>1173</v>
      </c>
      <c r="D961" s="17">
        <f>VLOOKUP(A950,'Neraca Unaudited SIMAK'!$A$2:$S$10004,11,FALSE)</f>
        <v>52428591</v>
      </c>
      <c r="E961" s="25">
        <f>SUMIFS('Daftar Koreksi'!$H$5:$H$92,'Daftar Koreksi'!$D$5:$D$92,'0300'!A950,'Daftar Koreksi'!$G$5:$G$92,"Aset Henti Guna",'Daftar Koreksi'!$H$5:$H$92,"&gt;0")</f>
        <v>0</v>
      </c>
      <c r="F961" s="25">
        <f>SUMIFS('Daftar Koreksi'!$H$5:$H$92,'Daftar Koreksi'!$D$5:$D$92,'0300'!A950,'Daftar Koreksi'!$G$5:$G$92,"Aset Henti Guna",'Daftar Koreksi'!$H$5:$H$92,"&lt;0")-SUMIFS('Daftar Koreksi'!$H$5:$H$92,'Daftar Koreksi'!$D$5:$D$92,'0300'!A950,'Daftar Koreksi'!$G$5:$G$92,"Aset Henti Guna",'Daftar Koreksi'!$H$5:$H$92,"&lt;0")-SUMIFS('Daftar Koreksi'!$H$5:$H$92,'Daftar Koreksi'!$D$5:$D$92,'0300'!A950,'Daftar Koreksi'!$G$5:$G$92,"Aset Henti Guna",'Daftar Koreksi'!$H$5:$H$92,"&lt;0")</f>
        <v>0</v>
      </c>
      <c r="G961" s="17">
        <f t="shared" si="43"/>
        <v>52428591</v>
      </c>
      <c r="H961" s="122"/>
    </row>
    <row r="962" spans="1:8" ht="21.95" customHeight="1">
      <c r="A962" s="14"/>
      <c r="B962" s="14"/>
      <c r="C962" s="18" t="s">
        <v>2093</v>
      </c>
      <c r="D962" s="19">
        <f>VLOOKUP(A950,'Neraca Unaudited SIMAK'!$A$2:$S$10004,12,FALSE)</f>
        <v>9658187327</v>
      </c>
      <c r="E962" s="19">
        <f>SUM(E953:E961)</f>
        <v>0</v>
      </c>
      <c r="F962" s="19">
        <f>SUM(F953:F961)</f>
        <v>0</v>
      </c>
      <c r="G962" s="19">
        <f t="shared" si="43"/>
        <v>9658187327</v>
      </c>
      <c r="H962" s="122"/>
    </row>
    <row r="963" spans="1:8" ht="21.95" customHeight="1">
      <c r="A963" s="14"/>
      <c r="B963" s="14"/>
      <c r="C963" s="16" t="s">
        <v>2087</v>
      </c>
      <c r="D963" s="17">
        <f>VLOOKUP(A950,'Neraca Unaudited SIMAK'!$A$2:$S$10004,13,FALSE)</f>
        <v>-746282946</v>
      </c>
      <c r="E963" s="25">
        <f>SUMIFS('Daftar Koreksi'!$I$5:$I$92,'Daftar Koreksi'!$D$5:$D$92,'0300'!A950,'Daftar Koreksi'!$G$5:$G$92,"Peralatan dan mesin",'Daftar Koreksi'!$I$5:$I$92,"&gt;0")</f>
        <v>0</v>
      </c>
      <c r="F963" s="25">
        <f>SUMIFS('Daftar Koreksi'!$I$5:$I$92,'Daftar Koreksi'!$D$5:$D$92,'0300'!A950,'Daftar Koreksi'!$G$5:$G$92,"Peralatan dan mesin",'Daftar Koreksi'!$I$5:$I$92,"&lt;0")-SUMIFS('Daftar Koreksi'!$I$5:$I$92,'Daftar Koreksi'!$D$5:$D$92,'0300'!A950,'Daftar Koreksi'!$G$5:$G$92,"Peralatan dan mesin",'Daftar Koreksi'!$I$5:$I$92,"&lt;0")-SUMIFS('Daftar Koreksi'!$I$5:$I$92,'Daftar Koreksi'!$D$5:$D$92,'0300'!A950,'Daftar Koreksi'!$G$5:$G$92,"Peralatan dan mesin",'Daftar Koreksi'!$I$5:$I$92,"&lt;0")</f>
        <v>0</v>
      </c>
      <c r="G963" s="17">
        <f t="shared" si="43"/>
        <v>-746282946</v>
      </c>
      <c r="H963" s="122"/>
    </row>
    <row r="964" spans="1:8" ht="21.95" customHeight="1">
      <c r="A964" s="14"/>
      <c r="B964" s="14"/>
      <c r="C964" s="16" t="s">
        <v>2088</v>
      </c>
      <c r="D964" s="17">
        <f>VLOOKUP(A950,'Neraca Unaudited SIMAK'!$A$2:$S$10004,14,FALSE)</f>
        <v>-374806526</v>
      </c>
      <c r="E964" s="25">
        <f>SUMIFS('Daftar Koreksi'!$I$5:$I$92,'Daftar Koreksi'!$D$5:$D$92,'0300'!A950,'Daftar Koreksi'!$G$5:$G$92,"Gedung dan Bangunan",'Daftar Koreksi'!$I$5:$I$92,"&gt;0")</f>
        <v>0</v>
      </c>
      <c r="F964" s="25">
        <f>SUMIFS('Daftar Koreksi'!$I$5:$I$92,'Daftar Koreksi'!$D$5:$D$92,'0300'!A950,'Daftar Koreksi'!$G$5:$G$92,"Gedung dan Bangunan",'Daftar Koreksi'!$I$5:$I$92,"&lt;0")-SUMIFS('Daftar Koreksi'!$I$5:$I$92,'Daftar Koreksi'!$D$5:$D$92,'0300'!A950,'Daftar Koreksi'!$G$5:$G$92,"Gedung dan Bangunan",'Daftar Koreksi'!$I$5:$I$92,"&lt;0")-SUMIFS('Daftar Koreksi'!$I$5:$I$92,'Daftar Koreksi'!$D$5:$D$92,'0300'!A950,'Daftar Koreksi'!$G$5:$G$92,"Gedung dan Bangunan",'Daftar Koreksi'!$I$5:$I$92,"&lt;0")</f>
        <v>0</v>
      </c>
      <c r="G964" s="17">
        <f t="shared" si="43"/>
        <v>-374806526</v>
      </c>
      <c r="H964" s="122"/>
    </row>
    <row r="965" spans="1:8" ht="21.95" customHeight="1">
      <c r="A965" s="14"/>
      <c r="B965" s="14"/>
      <c r="C965" s="16" t="s">
        <v>2089</v>
      </c>
      <c r="D965" s="17">
        <f>VLOOKUP(A950,'Neraca Unaudited SIMAK'!$A$2:$S$10004,15,FALSE)</f>
        <v>0</v>
      </c>
      <c r="E965" s="25">
        <f>SUMIFS('Daftar Koreksi'!$I$5:$I$92,'Daftar Koreksi'!$D$5:$D$92,'0300'!A950,'Daftar Koreksi'!$G$5:$G$92,"Jalan Irigasi Jaringan",'Daftar Koreksi'!$I$5:$I$92,"&gt;0")</f>
        <v>0</v>
      </c>
      <c r="F965" s="25">
        <f>SUMIFS('Daftar Koreksi'!$I$5:$I$92,'Daftar Koreksi'!$D$5:$D$92,'0300'!A950,'Daftar Koreksi'!$G$5:$G$92,"Jalan Irigasi Jaringan",'Daftar Koreksi'!$I$5:$I$92,"&lt;0")-SUMIFS('Daftar Koreksi'!$I$5:$I$92,'Daftar Koreksi'!$D$5:$D$92,'0300'!A950,'Daftar Koreksi'!$G$5:$G$92,"Jalan Irigasi Jaringan",'Daftar Koreksi'!$I$5:$I$92,"&lt;0")-SUMIFS('Daftar Koreksi'!$I$5:$I$92,'Daftar Koreksi'!$D$5:$D$92,'0300'!A950,'Daftar Koreksi'!$G$5:$G$92,"Jalan Irigasi Jaringan",'Daftar Koreksi'!$I$5:$I$92,"&lt;0")</f>
        <v>0</v>
      </c>
      <c r="G965" s="17">
        <f t="shared" si="43"/>
        <v>0</v>
      </c>
      <c r="H965" s="122"/>
    </row>
    <row r="966" spans="1:8" ht="21.95" customHeight="1">
      <c r="A966" s="14"/>
      <c r="B966" s="14"/>
      <c r="C966" s="16" t="s">
        <v>2090</v>
      </c>
      <c r="D966" s="17">
        <f>VLOOKUP(A950,'Neraca Unaudited SIMAK'!$A$2:$S$10004,16,FALSE)</f>
        <v>0</v>
      </c>
      <c r="E966" s="25">
        <f>SUMIFS('Daftar Koreksi'!$I$5:$I$92,'Daftar Koreksi'!$D$5:$D$92,'0300'!A950,'Daftar Koreksi'!$G$5:$G$92,"Aset Tetap Lainnya",'Daftar Koreksi'!$I$5:$I$92,"&gt;0")</f>
        <v>0</v>
      </c>
      <c r="F966" s="25">
        <f>SUMIFS('Daftar Koreksi'!$I$5:$I$92,'Daftar Koreksi'!$D$5:$D$92,'0300'!A950,'Daftar Koreksi'!$G$5:$G$92,"Aset Tetap Lainnya",'Daftar Koreksi'!$I$5:$I$92,"&lt;0")-SUMIFS('Daftar Koreksi'!$I$5:$I$92,'Daftar Koreksi'!$D$5:$D$92,'0300'!A950,'Daftar Koreksi'!$G$5:$G$92,"Aset Tetap Lainnya",'Daftar Koreksi'!$I$5:$I$92,"&lt;0")-SUMIFS('Daftar Koreksi'!$I$5:$I$92,'Daftar Koreksi'!$D$5:$D$92,'0300'!A950,'Daftar Koreksi'!$G$5:$G$92,"Aset Tetap Lainnya",'Daftar Koreksi'!$I$5:$I$92,"&lt;0")</f>
        <v>0</v>
      </c>
      <c r="G966" s="17">
        <f t="shared" si="43"/>
        <v>0</v>
      </c>
      <c r="H966" s="122"/>
    </row>
    <row r="967" spans="1:8" ht="21.95" customHeight="1">
      <c r="A967" s="14"/>
      <c r="B967" s="14"/>
      <c r="C967" s="16" t="s">
        <v>2020</v>
      </c>
      <c r="D967" s="17">
        <f>VLOOKUP(A950,'Neraca Unaudited SIMAK'!$A$2:$S$10004,17,FALSE)</f>
        <v>-51229591</v>
      </c>
      <c r="E967" s="25">
        <f>SUMIFS('Daftar Koreksi'!$I$5:$I$92,'Daftar Koreksi'!$D$5:$D$92,'0300'!A950,'Daftar Koreksi'!$G$5:$G$92,"Aset Henti Guna",'Daftar Koreksi'!$I$5:$I$92,"&gt;0")</f>
        <v>0</v>
      </c>
      <c r="F967" s="25">
        <f>SUMIFS('Daftar Koreksi'!$I$5:$I$92,'Daftar Koreksi'!$D$5:$D$92,'0300'!A950,'Daftar Koreksi'!$G$5:$G$92,"Aset Henti Guna",'Daftar Koreksi'!$I$5:$I$92,"&lt;0")-SUMIFS('Daftar Koreksi'!$I$5:$I$92,'Daftar Koreksi'!$D$5:$D$92,'0300'!A950,'Daftar Koreksi'!$G$5:$G$92,"Aset Henti Guna",'Daftar Koreksi'!$I$5:$I$92,"&lt;0")-SUMIFS('Daftar Koreksi'!$I$5:$I$92,'Daftar Koreksi'!$D$5:$D$92,'0300'!A950,'Daftar Koreksi'!$G$5:$G$92,"Aset Henti Guna",'Daftar Koreksi'!$I$5:$I$92,"&lt;0")</f>
        <v>0</v>
      </c>
      <c r="G967" s="17">
        <f t="shared" si="43"/>
        <v>-51229591</v>
      </c>
      <c r="H967" s="122"/>
    </row>
    <row r="968" spans="1:8" ht="21.95" customHeight="1">
      <c r="A968" s="14"/>
      <c r="B968" s="14"/>
      <c r="C968" s="18" t="s">
        <v>2094</v>
      </c>
      <c r="D968" s="19">
        <f>SUM(D963:D967)</f>
        <v>-1172319063</v>
      </c>
      <c r="E968" s="19">
        <f>SUM(E963:E967)</f>
        <v>0</v>
      </c>
      <c r="F968" s="19">
        <f>SUM(F963:F967)</f>
        <v>0</v>
      </c>
      <c r="G968" s="19">
        <f t="shared" si="43"/>
        <v>-1172319063</v>
      </c>
      <c r="H968" s="122"/>
    </row>
    <row r="969" spans="1:8" ht="21.95" customHeight="1">
      <c r="A969" s="14"/>
      <c r="B969" s="14"/>
      <c r="C969" s="18" t="s">
        <v>2095</v>
      </c>
      <c r="D969" s="19">
        <f>VLOOKUP(A950,'Neraca Unaudited SIMAK'!$A$2:$S$10004,18,FALSE)</f>
        <v>8485868264</v>
      </c>
      <c r="E969" s="19">
        <f>E968+E962</f>
        <v>0</v>
      </c>
      <c r="F969" s="19">
        <f>F968+F962</f>
        <v>0</v>
      </c>
      <c r="G969" s="19">
        <f t="shared" si="43"/>
        <v>8485868264</v>
      </c>
      <c r="H969" s="122"/>
    </row>
    <row r="970" spans="1:8" ht="21.95" customHeight="1">
      <c r="A970" s="14"/>
      <c r="B970" s="14"/>
      <c r="C970" s="16" t="s">
        <v>2091</v>
      </c>
      <c r="D970" s="17">
        <f>VLOOKUP(A950,'Neraca Unaudited SIMAK'!$A$2:$S$10004,19,FALSE)</f>
        <v>0</v>
      </c>
      <c r="E970" s="25"/>
      <c r="F970" s="25"/>
      <c r="G970" s="17">
        <f t="shared" si="43"/>
        <v>0</v>
      </c>
      <c r="H970" s="123"/>
    </row>
    <row r="972" spans="1:8" ht="19.5" customHeight="1">
      <c r="A972" s="11" t="str">
        <f>O45</f>
        <v>005010300400942000KD</v>
      </c>
      <c r="B972" s="11" t="str">
        <f>P45</f>
        <v>PA. Demak</v>
      </c>
      <c r="C972" s="12" t="str">
        <f>A972&amp;" "&amp;B972</f>
        <v>005010300400942000KD PA. Demak</v>
      </c>
      <c r="D972" s="13"/>
      <c r="E972" s="13"/>
      <c r="F972" s="13"/>
      <c r="G972" s="13"/>
      <c r="H972" s="11"/>
    </row>
    <row r="973" spans="1:8" ht="21.95" customHeight="1">
      <c r="A973" s="14"/>
      <c r="B973" s="14"/>
      <c r="C973" s="124" t="s">
        <v>1982</v>
      </c>
      <c r="D973" s="126" t="s">
        <v>1983</v>
      </c>
      <c r="E973" s="132" t="s">
        <v>1984</v>
      </c>
      <c r="F973" s="132"/>
      <c r="G973" s="126" t="s">
        <v>1987</v>
      </c>
      <c r="H973" s="130" t="s">
        <v>1175</v>
      </c>
    </row>
    <row r="974" spans="1:8" ht="21.95" customHeight="1">
      <c r="A974" s="14"/>
      <c r="B974" s="14"/>
      <c r="C974" s="125"/>
      <c r="D974" s="127"/>
      <c r="E974" s="26" t="s">
        <v>1985</v>
      </c>
      <c r="F974" s="26" t="s">
        <v>1986</v>
      </c>
      <c r="G974" s="127"/>
      <c r="H974" s="131"/>
    </row>
    <row r="975" spans="1:8" ht="21.95" customHeight="1">
      <c r="A975" s="14"/>
      <c r="B975" s="14"/>
      <c r="C975" s="16" t="s">
        <v>1165</v>
      </c>
      <c r="D975" s="17">
        <f>VLOOKUP(A972,'Neraca Unaudited SIMAK'!$A$2:$S$10004,3,FALSE)</f>
        <v>5269545</v>
      </c>
      <c r="E975" s="25">
        <f>SUMIFS('Daftar Koreksi'!$H$5:$H$92,'Daftar Koreksi'!$D$5:$D$92,'0300'!A972,'Daftar Koreksi'!$G$5:$G$92,"Persediaan",'Daftar Koreksi'!$H$5:$H$92,"&gt;0")</f>
        <v>0</v>
      </c>
      <c r="F975" s="25">
        <f>SUMIFS('Daftar Koreksi'!$H$5:$H$92,'Daftar Koreksi'!$D$5:$D$92,'0300'!A972,'Daftar Koreksi'!$G$5:$G$92,"Persediaan",'Daftar Koreksi'!$H$5:$H$92,"&lt;0")-SUMIFS('Daftar Koreksi'!$H$5:$H$92,'Daftar Koreksi'!$D$5:$D$92,'0300'!A972,'Daftar Koreksi'!$G$5:$G$92,"Persediaan",'Daftar Koreksi'!$H$5:$H$92,"&lt;0")-SUMIFS('Daftar Koreksi'!$H$5:$H$92,'Daftar Koreksi'!$D$5:$D$92,'0300'!A972,'Daftar Koreksi'!$G$5:$G$92,"Persediaan",'Daftar Koreksi'!$H$5:$H$92,"&lt;0")</f>
        <v>0</v>
      </c>
      <c r="G975" s="17">
        <f>D975+E975-F975</f>
        <v>5269545</v>
      </c>
      <c r="H975" s="121" t="str">
        <f>IF(ISNA(VLOOKUP(A972,'Mutasi Neraca'!$A$3:$S$914,19,FALSE)),"-",VLOOKUP(A972,'Mutasi Neraca'!$A$3:$S$914,19,FALSE))</f>
        <v>-</v>
      </c>
    </row>
    <row r="976" spans="1:8" ht="21.95" customHeight="1">
      <c r="A976" s="14"/>
      <c r="B976" s="14"/>
      <c r="C976" s="16" t="s">
        <v>1166</v>
      </c>
      <c r="D976" s="17">
        <f>VLOOKUP(A972,'Neraca Unaudited SIMAK'!$A$2:$S$10004,4,FALSE)</f>
        <v>4537060800</v>
      </c>
      <c r="E976" s="25">
        <f>SUMIFS('Daftar Koreksi'!$H$5:$H$92,'Daftar Koreksi'!$D$5:$D$92,'0300'!A972,'Daftar Koreksi'!$G$5:$G$92,"Tanah",'Daftar Koreksi'!$H$5:$H$92,"&gt;0")</f>
        <v>0</v>
      </c>
      <c r="F976" s="25">
        <f>SUMIFS('Daftar Koreksi'!$H$5:$H$92,'Daftar Koreksi'!$D$5:$D$92,'0300'!A972,'Daftar Koreksi'!$G$5:$G$92,"Tanah",'Daftar Koreksi'!$H$5:$H$92,"&lt;0")-SUMIFS('Daftar Koreksi'!$H$5:$H$92,'Daftar Koreksi'!$D$5:$D$92,'0300'!A972,'Daftar Koreksi'!$G$5:$G$92,"Tanah",'Daftar Koreksi'!$H$5:$H$92,"&lt;0")-SUMIFS('Daftar Koreksi'!$H$5:$H$92,'Daftar Koreksi'!$D$5:$D$92,'0300'!A972,'Daftar Koreksi'!$G$5:$G$92,"Tanah",'Daftar Koreksi'!$H$5:$H$92,"&lt;0")</f>
        <v>0</v>
      </c>
      <c r="G976" s="17">
        <f t="shared" ref="G976:G992" si="44">D976+E976-F976</f>
        <v>4537060800</v>
      </c>
      <c r="H976" s="122"/>
    </row>
    <row r="977" spans="1:8" ht="21.95" customHeight="1">
      <c r="A977" s="14"/>
      <c r="B977" s="14"/>
      <c r="C977" s="16" t="s">
        <v>1167</v>
      </c>
      <c r="D977" s="17">
        <f>VLOOKUP(A972,'Neraca Unaudited SIMAK'!$A$2:$S$10004,5,FALSE)</f>
        <v>1300343706</v>
      </c>
      <c r="E977" s="25">
        <f>SUMIFS('Daftar Koreksi'!$H$5:$H$92,'Daftar Koreksi'!$D$5:$D$92,'0300'!A972,'Daftar Koreksi'!$G$5:$G$92,"Peralatan dan mesin",'Daftar Koreksi'!$H$5:$H$92,"&gt;0")</f>
        <v>0</v>
      </c>
      <c r="F977" s="25">
        <f>SUMIFS('Daftar Koreksi'!$H$5:$H$92,'Daftar Koreksi'!$D$5:$D$92,'0300'!A972,'Daftar Koreksi'!$G$5:$G$92,"Peralatan dan mesin",'Daftar Koreksi'!$H$5:$H$92,"&lt;0")-SUMIFS('Daftar Koreksi'!$H$5:$H$92,'Daftar Koreksi'!$D$5:$D$92,'0300'!A972,'Daftar Koreksi'!$G$5:$G$92,"Peralatan dan mesin",'Daftar Koreksi'!$H$5:$H$92,"&lt;0")-SUMIFS('Daftar Koreksi'!$H$5:$H$92,'Daftar Koreksi'!$D$5:$D$92,'0300'!A972,'Daftar Koreksi'!$G$5:$G$92,"Peralatan dan mesin",'Daftar Koreksi'!$H$5:$H$92,"&lt;0")</f>
        <v>0</v>
      </c>
      <c r="G977" s="17">
        <f t="shared" si="44"/>
        <v>1300343706</v>
      </c>
      <c r="H977" s="122"/>
    </row>
    <row r="978" spans="1:8" ht="21.95" customHeight="1">
      <c r="A978" s="14"/>
      <c r="B978" s="14"/>
      <c r="C978" s="16" t="s">
        <v>1168</v>
      </c>
      <c r="D978" s="17">
        <f>VLOOKUP(A972,'Neraca Unaudited SIMAK'!$A$2:$S$10004,6,FALSE)</f>
        <v>5660490600</v>
      </c>
      <c r="E978" s="25">
        <f>SUMIFS('Daftar Koreksi'!$H$5:$H$92,'Daftar Koreksi'!$D$5:$D$92,'0300'!A972,'Daftar Koreksi'!$G$5:$G$92,"Gedung dan Bangunan",'Daftar Koreksi'!$H$5:$H$92,"&gt;0")</f>
        <v>0</v>
      </c>
      <c r="F978" s="25">
        <f>SUMIFS('Daftar Koreksi'!$H$5:$H$92,'Daftar Koreksi'!$D$5:$D$92,'0300'!A972,'Daftar Koreksi'!$G$5:$G$92,"Gedung dan Bangunan",'Daftar Koreksi'!$H$5:$H$92,"&lt;0")-SUMIFS('Daftar Koreksi'!$H$5:$H$92,'Daftar Koreksi'!$D$5:$D$92,'0300'!A972,'Daftar Koreksi'!$G$5:$G$92,"Gedung dan Bangunan",'Daftar Koreksi'!$H$5:$H$92,"&lt;0")-SUMIFS('Daftar Koreksi'!$H$5:$H$92,'Daftar Koreksi'!$D$5:$D$92,'0300'!A972,'Daftar Koreksi'!$G$5:$G$92,"Gedung dan Bangunan",'Daftar Koreksi'!$H$5:$H$92,"&lt;0")</f>
        <v>0</v>
      </c>
      <c r="G978" s="17">
        <f t="shared" si="44"/>
        <v>5660490600</v>
      </c>
      <c r="H978" s="122"/>
    </row>
    <row r="979" spans="1:8" ht="21.95" customHeight="1">
      <c r="A979" s="14"/>
      <c r="B979" s="14"/>
      <c r="C979" s="16" t="s">
        <v>1169</v>
      </c>
      <c r="D979" s="17">
        <f>VLOOKUP(A972,'Neraca Unaudited SIMAK'!$A$2:$S$10004,7,FALSE)</f>
        <v>65974300</v>
      </c>
      <c r="E979" s="25">
        <f>SUMIFS('Daftar Koreksi'!$H$5:$H$92,'Daftar Koreksi'!$D$5:$D$92,'0300'!A972,'Daftar Koreksi'!$G$5:$G$92,"Jalan Irigasi Jaringan",'Daftar Koreksi'!$H$5:$H$92,"&gt;0")</f>
        <v>0</v>
      </c>
      <c r="F979" s="25">
        <f>SUMIFS('Daftar Koreksi'!$H$5:$H$92,'Daftar Koreksi'!$D$5:$D$92,'0300'!A972,'Daftar Koreksi'!$G$5:$G$92,"Jalan Irigasi Jaringan",'Daftar Koreksi'!$H$5:$H$92,"&lt;0")-SUMIFS('Daftar Koreksi'!$H$5:$H$92,'Daftar Koreksi'!$D$5:$D$92,'0300'!A972,'Daftar Koreksi'!$G$5:$G$92,"Jalan Irigasi Jaringan",'Daftar Koreksi'!$H$5:$H$92,"&lt;0")-SUMIFS('Daftar Koreksi'!$H$5:$H$92,'Daftar Koreksi'!$D$5:$D$92,'0300'!A972,'Daftar Koreksi'!$G$5:$G$92,"Jalan Irigasi Jaringan",'Daftar Koreksi'!$H$5:$H$92,"&lt;0")</f>
        <v>0</v>
      </c>
      <c r="G979" s="17">
        <f t="shared" si="44"/>
        <v>65974300</v>
      </c>
      <c r="H979" s="122"/>
    </row>
    <row r="980" spans="1:8" ht="21.95" customHeight="1">
      <c r="A980" s="14"/>
      <c r="B980" s="14"/>
      <c r="C980" s="16" t="s">
        <v>1170</v>
      </c>
      <c r="D980" s="17">
        <f>VLOOKUP(A972,'Neraca Unaudited SIMAK'!$A$2:$S$10004,8,FALSE)</f>
        <v>42448551</v>
      </c>
      <c r="E980" s="25">
        <f>SUMIFS('Daftar Koreksi'!$H$5:$H$92,'Daftar Koreksi'!$D$5:$D$92,'0300'!A972,'Daftar Koreksi'!$G$5:$G$92,"Aset Tetap Lainnya",'Daftar Koreksi'!$H$5:$H$92,"&gt;0")</f>
        <v>0</v>
      </c>
      <c r="F980" s="25">
        <f>SUMIFS('Daftar Koreksi'!$H$5:$H$92,'Daftar Koreksi'!$D$5:$D$92,'0300'!A972,'Daftar Koreksi'!$G$5:$G$92,"Aset Tetap Lainnya",'Daftar Koreksi'!$H$5:$H$92,"&lt;0")-SUMIFS('Daftar Koreksi'!$H$5:$H$92,'Daftar Koreksi'!$D$5:$D$92,'0300'!A972,'Daftar Koreksi'!$G$5:$G$92,"Aset Tetap Lainnya",'Daftar Koreksi'!$H$5:$H$92,"&lt;0")-SUMIFS('Daftar Koreksi'!$H$5:$H$92,'Daftar Koreksi'!$D$5:$D$92,'0300'!A972,'Daftar Koreksi'!$G$5:$G$92,"Aset Tetap Lainnya",'Daftar Koreksi'!$H$5:$H$92,"&lt;0")</f>
        <v>0</v>
      </c>
      <c r="G980" s="17">
        <f t="shared" si="44"/>
        <v>42448551</v>
      </c>
      <c r="H980" s="122"/>
    </row>
    <row r="981" spans="1:8" ht="21.95" customHeight="1">
      <c r="A981" s="14"/>
      <c r="B981" s="14"/>
      <c r="C981" s="16" t="s">
        <v>1171</v>
      </c>
      <c r="D981" s="17">
        <f>VLOOKUP(A972,'Neraca Unaudited SIMAK'!$A$2:$S$10004,9,FALSE)</f>
        <v>0</v>
      </c>
      <c r="E981" s="25">
        <f>SUMIFS('Daftar Koreksi'!$H$5:$H$92,'Daftar Koreksi'!$D$5:$D$92,'0300'!A972,'Daftar Koreksi'!$G$5:$G$92,"Kontruksi Dalam Pengerjaan",'Daftar Koreksi'!$H$5:$H$92,"&gt;0")</f>
        <v>0</v>
      </c>
      <c r="F981" s="25">
        <f>SUMIFS('Daftar Koreksi'!$H$5:$H$92,'Daftar Koreksi'!$D$5:$D$92,'0300'!A972,'Daftar Koreksi'!$G$5:$G$92,"Kontruksi Dalam Pengerjaan",'Daftar Koreksi'!$H$5:$H$92,"&lt;0")-SUMIFS('Daftar Koreksi'!$H$5:$H$92,'Daftar Koreksi'!$D$5:$D$92,'0300'!A972,'Daftar Koreksi'!$G$5:$G$92,"Kontruksi Dalam Pengerjaan",'Daftar Koreksi'!$H$5:$H$92,"&lt;0")-SUMIFS('Daftar Koreksi'!$H$5:$H$92,'Daftar Koreksi'!$D$5:$D$92,'0300'!A972,'Daftar Koreksi'!$G$5:$G$92,"Kontruksi Dalam Pengerjaan",'Daftar Koreksi'!$H$5:$H$92,"&lt;0")</f>
        <v>0</v>
      </c>
      <c r="G981" s="17">
        <f t="shared" si="44"/>
        <v>0</v>
      </c>
      <c r="H981" s="122"/>
    </row>
    <row r="982" spans="1:8" ht="21.95" customHeight="1">
      <c r="A982" s="14"/>
      <c r="B982" s="14"/>
      <c r="C982" s="16" t="s">
        <v>1172</v>
      </c>
      <c r="D982" s="17">
        <f>VLOOKUP(A972,'Neraca Unaudited SIMAK'!$A$2:$S$10004,10,FALSE)</f>
        <v>2500000</v>
      </c>
      <c r="E982" s="25">
        <f>SUMIFS('Daftar Koreksi'!$H$5:$H$92,'Daftar Koreksi'!$D$5:$D$92,'0300'!A972,'Daftar Koreksi'!$G$5:$G$92,"Aset Tak Berwujud",'Daftar Koreksi'!$H$5:$H$92,"&gt;0")</f>
        <v>0</v>
      </c>
      <c r="F982" s="25">
        <f>SUMIFS('Daftar Koreksi'!$H$5:$H$92,'Daftar Koreksi'!$D$5:$D$92,'0300'!A972,'Daftar Koreksi'!$G$5:$G$92,"Aset Tak Berwujud",'Daftar Koreksi'!$H$5:$H$92,"&lt;0")-SUMIFS('Daftar Koreksi'!$H$5:$H$92,'Daftar Koreksi'!$D$5:$D$92,'0300'!A972,'Daftar Koreksi'!$G$5:$G$92,"Aset Tak Berwujud",'Daftar Koreksi'!$H$5:$H$92,"&lt;0")-SUMIFS('Daftar Koreksi'!$H$5:$H$92,'Daftar Koreksi'!$D$5:$D$92,'0300'!A972,'Daftar Koreksi'!$G$5:$G$92,"Aset Tak Berwujud",'Daftar Koreksi'!$H$5:$H$92,"&lt;0")</f>
        <v>0</v>
      </c>
      <c r="G982" s="17">
        <f t="shared" si="44"/>
        <v>2500000</v>
      </c>
      <c r="H982" s="122"/>
    </row>
    <row r="983" spans="1:8" ht="21.95" customHeight="1">
      <c r="A983" s="14"/>
      <c r="B983" s="14"/>
      <c r="C983" s="16" t="s">
        <v>1173</v>
      </c>
      <c r="D983" s="17">
        <f>VLOOKUP(A972,'Neraca Unaudited SIMAK'!$A$2:$S$10004,11,FALSE)</f>
        <v>0</v>
      </c>
      <c r="E983" s="25">
        <f>SUMIFS('Daftar Koreksi'!$H$5:$H$92,'Daftar Koreksi'!$D$5:$D$92,'0300'!A972,'Daftar Koreksi'!$G$5:$G$92,"Aset Henti Guna",'Daftar Koreksi'!$H$5:$H$92,"&gt;0")</f>
        <v>0</v>
      </c>
      <c r="F983" s="25">
        <f>SUMIFS('Daftar Koreksi'!$H$5:$H$92,'Daftar Koreksi'!$D$5:$D$92,'0300'!A972,'Daftar Koreksi'!$G$5:$G$92,"Aset Henti Guna",'Daftar Koreksi'!$H$5:$H$92,"&lt;0")-SUMIFS('Daftar Koreksi'!$H$5:$H$92,'Daftar Koreksi'!$D$5:$D$92,'0300'!A972,'Daftar Koreksi'!$G$5:$G$92,"Aset Henti Guna",'Daftar Koreksi'!$H$5:$H$92,"&lt;0")-SUMIFS('Daftar Koreksi'!$H$5:$H$92,'Daftar Koreksi'!$D$5:$D$92,'0300'!A972,'Daftar Koreksi'!$G$5:$G$92,"Aset Henti Guna",'Daftar Koreksi'!$H$5:$H$92,"&lt;0")</f>
        <v>0</v>
      </c>
      <c r="G983" s="17">
        <f t="shared" si="44"/>
        <v>0</v>
      </c>
      <c r="H983" s="122"/>
    </row>
    <row r="984" spans="1:8" ht="21.95" customHeight="1">
      <c r="A984" s="14"/>
      <c r="B984" s="14"/>
      <c r="C984" s="18" t="s">
        <v>2093</v>
      </c>
      <c r="D984" s="19">
        <f>VLOOKUP(A972,'Neraca Unaudited SIMAK'!$A$2:$S$10004,12,FALSE)</f>
        <v>11614087502</v>
      </c>
      <c r="E984" s="19">
        <f>SUM(E975:E983)</f>
        <v>0</v>
      </c>
      <c r="F984" s="19">
        <f>SUM(F975:F983)</f>
        <v>0</v>
      </c>
      <c r="G984" s="19">
        <f t="shared" si="44"/>
        <v>11614087502</v>
      </c>
      <c r="H984" s="122"/>
    </row>
    <row r="985" spans="1:8" ht="21.95" customHeight="1">
      <c r="A985" s="14"/>
      <c r="B985" s="14"/>
      <c r="C985" s="16" t="s">
        <v>2087</v>
      </c>
      <c r="D985" s="17">
        <f>VLOOKUP(A972,'Neraca Unaudited SIMAK'!$A$2:$S$10004,13,FALSE)</f>
        <v>-1040816545</v>
      </c>
      <c r="E985" s="25">
        <f>SUMIFS('Daftar Koreksi'!$I$5:$I$92,'Daftar Koreksi'!$D$5:$D$92,'0300'!A972,'Daftar Koreksi'!$G$5:$G$92,"Peralatan dan mesin",'Daftar Koreksi'!$I$5:$I$92,"&gt;0")</f>
        <v>0</v>
      </c>
      <c r="F985" s="25">
        <f>SUMIFS('Daftar Koreksi'!$I$5:$I$92,'Daftar Koreksi'!$D$5:$D$92,'0300'!A972,'Daftar Koreksi'!$G$5:$G$92,"Peralatan dan mesin",'Daftar Koreksi'!$I$5:$I$92,"&lt;0")-SUMIFS('Daftar Koreksi'!$I$5:$I$92,'Daftar Koreksi'!$D$5:$D$92,'0300'!A972,'Daftar Koreksi'!$G$5:$G$92,"Peralatan dan mesin",'Daftar Koreksi'!$I$5:$I$92,"&lt;0")-SUMIFS('Daftar Koreksi'!$I$5:$I$92,'Daftar Koreksi'!$D$5:$D$92,'0300'!A972,'Daftar Koreksi'!$G$5:$G$92,"Peralatan dan mesin",'Daftar Koreksi'!$I$5:$I$92,"&lt;0")</f>
        <v>0</v>
      </c>
      <c r="G985" s="17">
        <f t="shared" si="44"/>
        <v>-1040816545</v>
      </c>
      <c r="H985" s="122"/>
    </row>
    <row r="986" spans="1:8" ht="21.95" customHeight="1">
      <c r="A986" s="14"/>
      <c r="B986" s="14"/>
      <c r="C986" s="16" t="s">
        <v>2088</v>
      </c>
      <c r="D986" s="17">
        <f>VLOOKUP(A972,'Neraca Unaudited SIMAK'!$A$2:$S$10004,14,FALSE)</f>
        <v>-801952069</v>
      </c>
      <c r="E986" s="25">
        <f>SUMIFS('Daftar Koreksi'!$I$5:$I$92,'Daftar Koreksi'!$D$5:$D$92,'0300'!A972,'Daftar Koreksi'!$G$5:$G$92,"Gedung dan Bangunan",'Daftar Koreksi'!$I$5:$I$92,"&gt;0")</f>
        <v>0</v>
      </c>
      <c r="F986" s="25">
        <f>SUMIFS('Daftar Koreksi'!$I$5:$I$92,'Daftar Koreksi'!$D$5:$D$92,'0300'!A972,'Daftar Koreksi'!$G$5:$G$92,"Gedung dan Bangunan",'Daftar Koreksi'!$I$5:$I$92,"&lt;0")-SUMIFS('Daftar Koreksi'!$I$5:$I$92,'Daftar Koreksi'!$D$5:$D$92,'0300'!A972,'Daftar Koreksi'!$G$5:$G$92,"Gedung dan Bangunan",'Daftar Koreksi'!$I$5:$I$92,"&lt;0")-SUMIFS('Daftar Koreksi'!$I$5:$I$92,'Daftar Koreksi'!$D$5:$D$92,'0300'!A972,'Daftar Koreksi'!$G$5:$G$92,"Gedung dan Bangunan",'Daftar Koreksi'!$I$5:$I$92,"&lt;0")</f>
        <v>0</v>
      </c>
      <c r="G986" s="17">
        <f t="shared" si="44"/>
        <v>-801952069</v>
      </c>
      <c r="H986" s="122"/>
    </row>
    <row r="987" spans="1:8" ht="21.95" customHeight="1">
      <c r="A987" s="14"/>
      <c r="B987" s="14"/>
      <c r="C987" s="16" t="s">
        <v>2089</v>
      </c>
      <c r="D987" s="17">
        <f>VLOOKUP(A972,'Neraca Unaudited SIMAK'!$A$2:$S$10004,15,FALSE)</f>
        <v>-28534800</v>
      </c>
      <c r="E987" s="25">
        <f>SUMIFS('Daftar Koreksi'!$I$5:$I$92,'Daftar Koreksi'!$D$5:$D$92,'0300'!A972,'Daftar Koreksi'!$G$5:$G$92,"Jalan Irigasi Jaringan",'Daftar Koreksi'!$I$5:$I$92,"&gt;0")</f>
        <v>0</v>
      </c>
      <c r="F987" s="25">
        <f>SUMIFS('Daftar Koreksi'!$I$5:$I$92,'Daftar Koreksi'!$D$5:$D$92,'0300'!A972,'Daftar Koreksi'!$G$5:$G$92,"Jalan Irigasi Jaringan",'Daftar Koreksi'!$I$5:$I$92,"&lt;0")-SUMIFS('Daftar Koreksi'!$I$5:$I$92,'Daftar Koreksi'!$D$5:$D$92,'0300'!A972,'Daftar Koreksi'!$G$5:$G$92,"Jalan Irigasi Jaringan",'Daftar Koreksi'!$I$5:$I$92,"&lt;0")-SUMIFS('Daftar Koreksi'!$I$5:$I$92,'Daftar Koreksi'!$D$5:$D$92,'0300'!A972,'Daftar Koreksi'!$G$5:$G$92,"Jalan Irigasi Jaringan",'Daftar Koreksi'!$I$5:$I$92,"&lt;0")</f>
        <v>0</v>
      </c>
      <c r="G987" s="17">
        <f t="shared" si="44"/>
        <v>-28534800</v>
      </c>
      <c r="H987" s="122"/>
    </row>
    <row r="988" spans="1:8" ht="21.95" customHeight="1">
      <c r="A988" s="14"/>
      <c r="B988" s="14"/>
      <c r="C988" s="16" t="s">
        <v>2090</v>
      </c>
      <c r="D988" s="17">
        <f>VLOOKUP(A972,'Neraca Unaudited SIMAK'!$A$2:$S$10004,16,FALSE)</f>
        <v>0</v>
      </c>
      <c r="E988" s="25">
        <f>SUMIFS('Daftar Koreksi'!$I$5:$I$92,'Daftar Koreksi'!$D$5:$D$92,'0300'!A972,'Daftar Koreksi'!$G$5:$G$92,"Aset Tetap Lainnya",'Daftar Koreksi'!$I$5:$I$92,"&gt;0")</f>
        <v>0</v>
      </c>
      <c r="F988" s="25">
        <f>SUMIFS('Daftar Koreksi'!$I$5:$I$92,'Daftar Koreksi'!$D$5:$D$92,'0300'!A972,'Daftar Koreksi'!$G$5:$G$92,"Aset Tetap Lainnya",'Daftar Koreksi'!$I$5:$I$92,"&lt;0")-SUMIFS('Daftar Koreksi'!$I$5:$I$92,'Daftar Koreksi'!$D$5:$D$92,'0300'!A972,'Daftar Koreksi'!$G$5:$G$92,"Aset Tetap Lainnya",'Daftar Koreksi'!$I$5:$I$92,"&lt;0")-SUMIFS('Daftar Koreksi'!$I$5:$I$92,'Daftar Koreksi'!$D$5:$D$92,'0300'!A972,'Daftar Koreksi'!$G$5:$G$92,"Aset Tetap Lainnya",'Daftar Koreksi'!$I$5:$I$92,"&lt;0")</f>
        <v>0</v>
      </c>
      <c r="G988" s="17">
        <f t="shared" si="44"/>
        <v>0</v>
      </c>
      <c r="H988" s="122"/>
    </row>
    <row r="989" spans="1:8" ht="21.95" customHeight="1">
      <c r="A989" s="14"/>
      <c r="B989" s="14"/>
      <c r="C989" s="16" t="s">
        <v>2020</v>
      </c>
      <c r="D989" s="17">
        <f>VLOOKUP(A972,'Neraca Unaudited SIMAK'!$A$2:$S$10004,17,FALSE)</f>
        <v>0</v>
      </c>
      <c r="E989" s="25">
        <f>SUMIFS('Daftar Koreksi'!$I$5:$I$92,'Daftar Koreksi'!$D$5:$D$92,'0300'!A972,'Daftar Koreksi'!$G$5:$G$92,"Aset Henti Guna",'Daftar Koreksi'!$I$5:$I$92,"&gt;0")</f>
        <v>0</v>
      </c>
      <c r="F989" s="25">
        <f>SUMIFS('Daftar Koreksi'!$I$5:$I$92,'Daftar Koreksi'!$D$5:$D$92,'0300'!A972,'Daftar Koreksi'!$G$5:$G$92,"Aset Henti Guna",'Daftar Koreksi'!$I$5:$I$92,"&lt;0")-SUMIFS('Daftar Koreksi'!$I$5:$I$92,'Daftar Koreksi'!$D$5:$D$92,'0300'!A972,'Daftar Koreksi'!$G$5:$G$92,"Aset Henti Guna",'Daftar Koreksi'!$I$5:$I$92,"&lt;0")-SUMIFS('Daftar Koreksi'!$I$5:$I$92,'Daftar Koreksi'!$D$5:$D$92,'0300'!A972,'Daftar Koreksi'!$G$5:$G$92,"Aset Henti Guna",'Daftar Koreksi'!$I$5:$I$92,"&lt;0")</f>
        <v>0</v>
      </c>
      <c r="G989" s="17">
        <f t="shared" si="44"/>
        <v>0</v>
      </c>
      <c r="H989" s="122"/>
    </row>
    <row r="990" spans="1:8" ht="21.95" customHeight="1">
      <c r="A990" s="14"/>
      <c r="B990" s="14"/>
      <c r="C990" s="18" t="s">
        <v>2094</v>
      </c>
      <c r="D990" s="19">
        <f>SUM(D985:D989)</f>
        <v>-1871303414</v>
      </c>
      <c r="E990" s="19">
        <f>SUM(E985:E989)</f>
        <v>0</v>
      </c>
      <c r="F990" s="19">
        <f>SUM(F985:F989)</f>
        <v>0</v>
      </c>
      <c r="G990" s="19">
        <f t="shared" si="44"/>
        <v>-1871303414</v>
      </c>
      <c r="H990" s="122"/>
    </row>
    <row r="991" spans="1:8" ht="21.95" customHeight="1">
      <c r="A991" s="14"/>
      <c r="B991" s="14"/>
      <c r="C991" s="18" t="s">
        <v>2095</v>
      </c>
      <c r="D991" s="19">
        <f>VLOOKUP(A972,'Neraca Unaudited SIMAK'!$A$2:$S$10004,18,FALSE)</f>
        <v>9742784088</v>
      </c>
      <c r="E991" s="19">
        <f>E990+E984</f>
        <v>0</v>
      </c>
      <c r="F991" s="19">
        <f>F990+F984</f>
        <v>0</v>
      </c>
      <c r="G991" s="19">
        <f t="shared" si="44"/>
        <v>9742784088</v>
      </c>
      <c r="H991" s="122"/>
    </row>
    <row r="992" spans="1:8" ht="21.95" customHeight="1">
      <c r="A992" s="14"/>
      <c r="B992" s="14"/>
      <c r="C992" s="16" t="s">
        <v>2091</v>
      </c>
      <c r="D992" s="17">
        <f>VLOOKUP(A972,'Neraca Unaudited SIMAK'!$A$2:$S$10004,19,FALSE)</f>
        <v>0</v>
      </c>
      <c r="E992" s="25"/>
      <c r="F992" s="25"/>
      <c r="G992" s="17">
        <f t="shared" si="44"/>
        <v>0</v>
      </c>
      <c r="H992" s="123"/>
    </row>
    <row r="994" spans="1:8" ht="19.5" customHeight="1">
      <c r="A994" s="11" t="str">
        <f>O46</f>
        <v>005010300400951000KD</v>
      </c>
      <c r="B994" s="11" t="str">
        <f>P46</f>
        <v>PA. Purwodadi</v>
      </c>
      <c r="C994" s="12" t="str">
        <f>A994&amp;" "&amp;B994</f>
        <v>005010300400951000KD PA. Purwodadi</v>
      </c>
      <c r="D994" s="13"/>
      <c r="E994" s="13"/>
      <c r="F994" s="13"/>
      <c r="G994" s="13"/>
      <c r="H994" s="11"/>
    </row>
    <row r="995" spans="1:8" ht="21.95" customHeight="1">
      <c r="A995" s="14"/>
      <c r="B995" s="14"/>
      <c r="C995" s="124" t="s">
        <v>1982</v>
      </c>
      <c r="D995" s="126" t="s">
        <v>1983</v>
      </c>
      <c r="E995" s="132" t="s">
        <v>1984</v>
      </c>
      <c r="F995" s="132"/>
      <c r="G995" s="126" t="s">
        <v>1987</v>
      </c>
      <c r="H995" s="130" t="s">
        <v>1175</v>
      </c>
    </row>
    <row r="996" spans="1:8" ht="21.95" customHeight="1">
      <c r="A996" s="14"/>
      <c r="B996" s="14"/>
      <c r="C996" s="125"/>
      <c r="D996" s="127"/>
      <c r="E996" s="26" t="s">
        <v>1985</v>
      </c>
      <c r="F996" s="26" t="s">
        <v>1986</v>
      </c>
      <c r="G996" s="127"/>
      <c r="H996" s="131"/>
    </row>
    <row r="997" spans="1:8" ht="21.95" customHeight="1">
      <c r="A997" s="14"/>
      <c r="B997" s="14"/>
      <c r="C997" s="16" t="s">
        <v>1165</v>
      </c>
      <c r="D997" s="17">
        <f>VLOOKUP(A994,'Neraca Unaudited SIMAK'!$A$2:$S$10004,3,FALSE)</f>
        <v>1496280</v>
      </c>
      <c r="E997" s="25">
        <f>SUMIFS('Daftar Koreksi'!$H$5:$H$92,'Daftar Koreksi'!$D$5:$D$92,'0300'!A994,'Daftar Koreksi'!$G$5:$G$92,"Persediaan",'Daftar Koreksi'!$H$5:$H$92,"&gt;0")</f>
        <v>0</v>
      </c>
      <c r="F997" s="25">
        <f>SUMIFS('Daftar Koreksi'!$H$5:$H$92,'Daftar Koreksi'!$D$5:$D$92,'0300'!A994,'Daftar Koreksi'!$G$5:$G$92,"Persediaan",'Daftar Koreksi'!$H$5:$H$92,"&lt;0")-SUMIFS('Daftar Koreksi'!$H$5:$H$92,'Daftar Koreksi'!$D$5:$D$92,'0300'!A994,'Daftar Koreksi'!$G$5:$G$92,"Persediaan",'Daftar Koreksi'!$H$5:$H$92,"&lt;0")-SUMIFS('Daftar Koreksi'!$H$5:$H$92,'Daftar Koreksi'!$D$5:$D$92,'0300'!A994,'Daftar Koreksi'!$G$5:$G$92,"Persediaan",'Daftar Koreksi'!$H$5:$H$92,"&lt;0")</f>
        <v>0</v>
      </c>
      <c r="G997" s="17">
        <f>D997+E997-F997</f>
        <v>1496280</v>
      </c>
      <c r="H997" s="121" t="str">
        <f>IF(ISNA(VLOOKUP(A994,'Mutasi Neraca'!$A$3:$S$914,19,FALSE)),"-",VLOOKUP(A994,'Mutasi Neraca'!$A$3:$S$914,19,FALSE))</f>
        <v>-</v>
      </c>
    </row>
    <row r="998" spans="1:8" ht="21.95" customHeight="1">
      <c r="A998" s="14"/>
      <c r="B998" s="14"/>
      <c r="C998" s="16" t="s">
        <v>1166</v>
      </c>
      <c r="D998" s="17">
        <f>VLOOKUP(A994,'Neraca Unaudited SIMAK'!$A$2:$S$10004,4,FALSE)</f>
        <v>704000000</v>
      </c>
      <c r="E998" s="25">
        <f>SUMIFS('Daftar Koreksi'!$H$5:$H$92,'Daftar Koreksi'!$D$5:$D$92,'0300'!A994,'Daftar Koreksi'!$G$5:$G$92,"Tanah",'Daftar Koreksi'!$H$5:$H$92,"&gt;0")</f>
        <v>0</v>
      </c>
      <c r="F998" s="25">
        <f>SUMIFS('Daftar Koreksi'!$H$5:$H$92,'Daftar Koreksi'!$D$5:$D$92,'0300'!A994,'Daftar Koreksi'!$G$5:$G$92,"Tanah",'Daftar Koreksi'!$H$5:$H$92,"&lt;0")-SUMIFS('Daftar Koreksi'!$H$5:$H$92,'Daftar Koreksi'!$D$5:$D$92,'0300'!A994,'Daftar Koreksi'!$G$5:$G$92,"Tanah",'Daftar Koreksi'!$H$5:$H$92,"&lt;0")-SUMIFS('Daftar Koreksi'!$H$5:$H$92,'Daftar Koreksi'!$D$5:$D$92,'0300'!A994,'Daftar Koreksi'!$G$5:$G$92,"Tanah",'Daftar Koreksi'!$H$5:$H$92,"&lt;0")</f>
        <v>0</v>
      </c>
      <c r="G998" s="17">
        <f t="shared" ref="G998:G1014" si="45">D998+E998-F998</f>
        <v>704000000</v>
      </c>
      <c r="H998" s="122"/>
    </row>
    <row r="999" spans="1:8" ht="21.95" customHeight="1">
      <c r="A999" s="14"/>
      <c r="B999" s="14"/>
      <c r="C999" s="16" t="s">
        <v>1167</v>
      </c>
      <c r="D999" s="17">
        <f>VLOOKUP(A994,'Neraca Unaudited SIMAK'!$A$2:$S$10004,5,FALSE)</f>
        <v>1212946796</v>
      </c>
      <c r="E999" s="25">
        <f>SUMIFS('Daftar Koreksi'!$H$5:$H$92,'Daftar Koreksi'!$D$5:$D$92,'0300'!A994,'Daftar Koreksi'!$G$5:$G$92,"Peralatan dan mesin",'Daftar Koreksi'!$H$5:$H$92,"&gt;0")</f>
        <v>0</v>
      </c>
      <c r="F999" s="25">
        <f>SUMIFS('Daftar Koreksi'!$H$5:$H$92,'Daftar Koreksi'!$D$5:$D$92,'0300'!A994,'Daftar Koreksi'!$G$5:$G$92,"Peralatan dan mesin",'Daftar Koreksi'!$H$5:$H$92,"&lt;0")-SUMIFS('Daftar Koreksi'!$H$5:$H$92,'Daftar Koreksi'!$D$5:$D$92,'0300'!A994,'Daftar Koreksi'!$G$5:$G$92,"Peralatan dan mesin",'Daftar Koreksi'!$H$5:$H$92,"&lt;0")-SUMIFS('Daftar Koreksi'!$H$5:$H$92,'Daftar Koreksi'!$D$5:$D$92,'0300'!A994,'Daftar Koreksi'!$G$5:$G$92,"Peralatan dan mesin",'Daftar Koreksi'!$H$5:$H$92,"&lt;0")</f>
        <v>0</v>
      </c>
      <c r="G999" s="17">
        <f t="shared" si="45"/>
        <v>1212946796</v>
      </c>
      <c r="H999" s="122"/>
    </row>
    <row r="1000" spans="1:8" ht="21.95" customHeight="1">
      <c r="A1000" s="14"/>
      <c r="B1000" s="14"/>
      <c r="C1000" s="16" t="s">
        <v>1168</v>
      </c>
      <c r="D1000" s="17">
        <f>VLOOKUP(A994,'Neraca Unaudited SIMAK'!$A$2:$S$10004,6,FALSE)</f>
        <v>1068041100</v>
      </c>
      <c r="E1000" s="25">
        <f>SUMIFS('Daftar Koreksi'!$H$5:$H$92,'Daftar Koreksi'!$D$5:$D$92,'0300'!A994,'Daftar Koreksi'!$G$5:$G$92,"Gedung dan Bangunan",'Daftar Koreksi'!$H$5:$H$92,"&gt;0")</f>
        <v>0</v>
      </c>
      <c r="F1000" s="25">
        <f>SUMIFS('Daftar Koreksi'!$H$5:$H$92,'Daftar Koreksi'!$D$5:$D$92,'0300'!A994,'Daftar Koreksi'!$G$5:$G$92,"Gedung dan Bangunan",'Daftar Koreksi'!$H$5:$H$92,"&lt;0")-SUMIFS('Daftar Koreksi'!$H$5:$H$92,'Daftar Koreksi'!$D$5:$D$92,'0300'!A994,'Daftar Koreksi'!$G$5:$G$92,"Gedung dan Bangunan",'Daftar Koreksi'!$H$5:$H$92,"&lt;0")-SUMIFS('Daftar Koreksi'!$H$5:$H$92,'Daftar Koreksi'!$D$5:$D$92,'0300'!A994,'Daftar Koreksi'!$G$5:$G$92,"Gedung dan Bangunan",'Daftar Koreksi'!$H$5:$H$92,"&lt;0")</f>
        <v>0</v>
      </c>
      <c r="G1000" s="17">
        <f t="shared" si="45"/>
        <v>1068041100</v>
      </c>
      <c r="H1000" s="122"/>
    </row>
    <row r="1001" spans="1:8" ht="21.95" customHeight="1">
      <c r="A1001" s="14"/>
      <c r="B1001" s="14"/>
      <c r="C1001" s="16" t="s">
        <v>1169</v>
      </c>
      <c r="D1001" s="17">
        <f>VLOOKUP(A994,'Neraca Unaudited SIMAK'!$A$2:$S$10004,7,FALSE)</f>
        <v>26888000</v>
      </c>
      <c r="E1001" s="25">
        <f>SUMIFS('Daftar Koreksi'!$H$5:$H$92,'Daftar Koreksi'!$D$5:$D$92,'0300'!A994,'Daftar Koreksi'!$G$5:$G$92,"Jalan Irigasi Jaringan",'Daftar Koreksi'!$H$5:$H$92,"&gt;0")</f>
        <v>0</v>
      </c>
      <c r="F1001" s="25">
        <f>SUMIFS('Daftar Koreksi'!$H$5:$H$92,'Daftar Koreksi'!$D$5:$D$92,'0300'!A994,'Daftar Koreksi'!$G$5:$G$92,"Jalan Irigasi Jaringan",'Daftar Koreksi'!$H$5:$H$92,"&lt;0")-SUMIFS('Daftar Koreksi'!$H$5:$H$92,'Daftar Koreksi'!$D$5:$D$92,'0300'!A994,'Daftar Koreksi'!$G$5:$G$92,"Jalan Irigasi Jaringan",'Daftar Koreksi'!$H$5:$H$92,"&lt;0")-SUMIFS('Daftar Koreksi'!$H$5:$H$92,'Daftar Koreksi'!$D$5:$D$92,'0300'!A994,'Daftar Koreksi'!$G$5:$G$92,"Jalan Irigasi Jaringan",'Daftar Koreksi'!$H$5:$H$92,"&lt;0")</f>
        <v>0</v>
      </c>
      <c r="G1001" s="17">
        <f t="shared" si="45"/>
        <v>26888000</v>
      </c>
      <c r="H1001" s="122"/>
    </row>
    <row r="1002" spans="1:8" ht="21.95" customHeight="1">
      <c r="A1002" s="14"/>
      <c r="B1002" s="14"/>
      <c r="C1002" s="16" t="s">
        <v>1170</v>
      </c>
      <c r="D1002" s="17">
        <f>VLOOKUP(A994,'Neraca Unaudited SIMAK'!$A$2:$S$10004,8,FALSE)</f>
        <v>3746580</v>
      </c>
      <c r="E1002" s="25">
        <f>SUMIFS('Daftar Koreksi'!$H$5:$H$92,'Daftar Koreksi'!$D$5:$D$92,'0300'!A994,'Daftar Koreksi'!$G$5:$G$92,"Aset Tetap Lainnya",'Daftar Koreksi'!$H$5:$H$92,"&gt;0")</f>
        <v>0</v>
      </c>
      <c r="F1002" s="25">
        <f>SUMIFS('Daftar Koreksi'!$H$5:$H$92,'Daftar Koreksi'!$D$5:$D$92,'0300'!A994,'Daftar Koreksi'!$G$5:$G$92,"Aset Tetap Lainnya",'Daftar Koreksi'!$H$5:$H$92,"&lt;0")-SUMIFS('Daftar Koreksi'!$H$5:$H$92,'Daftar Koreksi'!$D$5:$D$92,'0300'!A994,'Daftar Koreksi'!$G$5:$G$92,"Aset Tetap Lainnya",'Daftar Koreksi'!$H$5:$H$92,"&lt;0")-SUMIFS('Daftar Koreksi'!$H$5:$H$92,'Daftar Koreksi'!$D$5:$D$92,'0300'!A994,'Daftar Koreksi'!$G$5:$G$92,"Aset Tetap Lainnya",'Daftar Koreksi'!$H$5:$H$92,"&lt;0")</f>
        <v>0</v>
      </c>
      <c r="G1002" s="17">
        <f t="shared" si="45"/>
        <v>3746580</v>
      </c>
      <c r="H1002" s="122"/>
    </row>
    <row r="1003" spans="1:8" ht="21.95" customHeight="1">
      <c r="A1003" s="14"/>
      <c r="B1003" s="14"/>
      <c r="C1003" s="16" t="s">
        <v>1171</v>
      </c>
      <c r="D1003" s="17">
        <f>VLOOKUP(A994,'Neraca Unaudited SIMAK'!$A$2:$S$10004,9,FALSE)</f>
        <v>0</v>
      </c>
      <c r="E1003" s="25">
        <f>SUMIFS('Daftar Koreksi'!$H$5:$H$92,'Daftar Koreksi'!$D$5:$D$92,'0300'!A994,'Daftar Koreksi'!$G$5:$G$92,"Kontruksi Dalam Pengerjaan",'Daftar Koreksi'!$H$5:$H$92,"&gt;0")</f>
        <v>0</v>
      </c>
      <c r="F1003" s="25">
        <f>SUMIFS('Daftar Koreksi'!$H$5:$H$92,'Daftar Koreksi'!$D$5:$D$92,'0300'!A994,'Daftar Koreksi'!$G$5:$G$92,"Kontruksi Dalam Pengerjaan",'Daftar Koreksi'!$H$5:$H$92,"&lt;0")-SUMIFS('Daftar Koreksi'!$H$5:$H$92,'Daftar Koreksi'!$D$5:$D$92,'0300'!A994,'Daftar Koreksi'!$G$5:$G$92,"Kontruksi Dalam Pengerjaan",'Daftar Koreksi'!$H$5:$H$92,"&lt;0")-SUMIFS('Daftar Koreksi'!$H$5:$H$92,'Daftar Koreksi'!$D$5:$D$92,'0300'!A994,'Daftar Koreksi'!$G$5:$G$92,"Kontruksi Dalam Pengerjaan",'Daftar Koreksi'!$H$5:$H$92,"&lt;0")</f>
        <v>0</v>
      </c>
      <c r="G1003" s="17">
        <f t="shared" si="45"/>
        <v>0</v>
      </c>
      <c r="H1003" s="122"/>
    </row>
    <row r="1004" spans="1:8" ht="21.95" customHeight="1">
      <c r="A1004" s="14"/>
      <c r="B1004" s="14"/>
      <c r="C1004" s="16" t="s">
        <v>1172</v>
      </c>
      <c r="D1004" s="17">
        <f>VLOOKUP(A994,'Neraca Unaudited SIMAK'!$A$2:$S$10004,10,FALSE)</f>
        <v>0</v>
      </c>
      <c r="E1004" s="25">
        <f>SUMIFS('Daftar Koreksi'!$H$5:$H$92,'Daftar Koreksi'!$D$5:$D$92,'0300'!A994,'Daftar Koreksi'!$G$5:$G$92,"Aset Tak Berwujud",'Daftar Koreksi'!$H$5:$H$92,"&gt;0")</f>
        <v>0</v>
      </c>
      <c r="F1004" s="25">
        <f>SUMIFS('Daftar Koreksi'!$H$5:$H$92,'Daftar Koreksi'!$D$5:$D$92,'0300'!A994,'Daftar Koreksi'!$G$5:$G$92,"Aset Tak Berwujud",'Daftar Koreksi'!$H$5:$H$92,"&lt;0")-SUMIFS('Daftar Koreksi'!$H$5:$H$92,'Daftar Koreksi'!$D$5:$D$92,'0300'!A994,'Daftar Koreksi'!$G$5:$G$92,"Aset Tak Berwujud",'Daftar Koreksi'!$H$5:$H$92,"&lt;0")-SUMIFS('Daftar Koreksi'!$H$5:$H$92,'Daftar Koreksi'!$D$5:$D$92,'0300'!A994,'Daftar Koreksi'!$G$5:$G$92,"Aset Tak Berwujud",'Daftar Koreksi'!$H$5:$H$92,"&lt;0")</f>
        <v>0</v>
      </c>
      <c r="G1004" s="17">
        <f t="shared" si="45"/>
        <v>0</v>
      </c>
      <c r="H1004" s="122"/>
    </row>
    <row r="1005" spans="1:8" ht="21.95" customHeight="1">
      <c r="A1005" s="14"/>
      <c r="B1005" s="14"/>
      <c r="C1005" s="16" t="s">
        <v>1173</v>
      </c>
      <c r="D1005" s="17">
        <f>VLOOKUP(A994,'Neraca Unaudited SIMAK'!$A$2:$S$10004,11,FALSE)</f>
        <v>0</v>
      </c>
      <c r="E1005" s="25">
        <f>SUMIFS('Daftar Koreksi'!$H$5:$H$92,'Daftar Koreksi'!$D$5:$D$92,'0300'!A994,'Daftar Koreksi'!$G$5:$G$92,"Aset Henti Guna",'Daftar Koreksi'!$H$5:$H$92,"&gt;0")</f>
        <v>0</v>
      </c>
      <c r="F1005" s="25">
        <f>SUMIFS('Daftar Koreksi'!$H$5:$H$92,'Daftar Koreksi'!$D$5:$D$92,'0300'!A994,'Daftar Koreksi'!$G$5:$G$92,"Aset Henti Guna",'Daftar Koreksi'!$H$5:$H$92,"&lt;0")-SUMIFS('Daftar Koreksi'!$H$5:$H$92,'Daftar Koreksi'!$D$5:$D$92,'0300'!A994,'Daftar Koreksi'!$G$5:$G$92,"Aset Henti Guna",'Daftar Koreksi'!$H$5:$H$92,"&lt;0")-SUMIFS('Daftar Koreksi'!$H$5:$H$92,'Daftar Koreksi'!$D$5:$D$92,'0300'!A994,'Daftar Koreksi'!$G$5:$G$92,"Aset Henti Guna",'Daftar Koreksi'!$H$5:$H$92,"&lt;0")</f>
        <v>0</v>
      </c>
      <c r="G1005" s="17">
        <f t="shared" si="45"/>
        <v>0</v>
      </c>
      <c r="H1005" s="122"/>
    </row>
    <row r="1006" spans="1:8" ht="21.95" customHeight="1">
      <c r="A1006" s="14"/>
      <c r="B1006" s="14"/>
      <c r="C1006" s="18" t="s">
        <v>2093</v>
      </c>
      <c r="D1006" s="19">
        <f>VLOOKUP(A994,'Neraca Unaudited SIMAK'!$A$2:$S$10004,12,FALSE)</f>
        <v>3017118756</v>
      </c>
      <c r="E1006" s="19">
        <f>SUM(E997:E1005)</f>
        <v>0</v>
      </c>
      <c r="F1006" s="19">
        <f>SUM(F997:F1005)</f>
        <v>0</v>
      </c>
      <c r="G1006" s="19">
        <f t="shared" si="45"/>
        <v>3017118756</v>
      </c>
      <c r="H1006" s="122"/>
    </row>
    <row r="1007" spans="1:8" ht="21.95" customHeight="1">
      <c r="A1007" s="14"/>
      <c r="B1007" s="14"/>
      <c r="C1007" s="16" t="s">
        <v>2087</v>
      </c>
      <c r="D1007" s="17">
        <f>VLOOKUP(A994,'Neraca Unaudited SIMAK'!$A$2:$S$10004,13,FALSE)</f>
        <v>-1041629654</v>
      </c>
      <c r="E1007" s="25">
        <f>SUMIFS('Daftar Koreksi'!$I$5:$I$92,'Daftar Koreksi'!$D$5:$D$92,'0300'!A994,'Daftar Koreksi'!$G$5:$G$92,"Peralatan dan mesin",'Daftar Koreksi'!$I$5:$I$92,"&gt;0")</f>
        <v>0</v>
      </c>
      <c r="F1007" s="25">
        <f>SUMIFS('Daftar Koreksi'!$I$5:$I$92,'Daftar Koreksi'!$D$5:$D$92,'0300'!A994,'Daftar Koreksi'!$G$5:$G$92,"Peralatan dan mesin",'Daftar Koreksi'!$I$5:$I$92,"&lt;0")-SUMIFS('Daftar Koreksi'!$I$5:$I$92,'Daftar Koreksi'!$D$5:$D$92,'0300'!A994,'Daftar Koreksi'!$G$5:$G$92,"Peralatan dan mesin",'Daftar Koreksi'!$I$5:$I$92,"&lt;0")-SUMIFS('Daftar Koreksi'!$I$5:$I$92,'Daftar Koreksi'!$D$5:$D$92,'0300'!A994,'Daftar Koreksi'!$G$5:$G$92,"Peralatan dan mesin",'Daftar Koreksi'!$I$5:$I$92,"&lt;0")</f>
        <v>0</v>
      </c>
      <c r="G1007" s="17">
        <f t="shared" si="45"/>
        <v>-1041629654</v>
      </c>
      <c r="H1007" s="122"/>
    </row>
    <row r="1008" spans="1:8" ht="21.95" customHeight="1">
      <c r="A1008" s="14"/>
      <c r="B1008" s="14"/>
      <c r="C1008" s="16" t="s">
        <v>2088</v>
      </c>
      <c r="D1008" s="17">
        <f>VLOOKUP(A994,'Neraca Unaudited SIMAK'!$A$2:$S$10004,14,FALSE)</f>
        <v>-229496517</v>
      </c>
      <c r="E1008" s="25">
        <f>SUMIFS('Daftar Koreksi'!$I$5:$I$92,'Daftar Koreksi'!$D$5:$D$92,'0300'!A994,'Daftar Koreksi'!$G$5:$G$92,"Gedung dan Bangunan",'Daftar Koreksi'!$I$5:$I$92,"&gt;0")</f>
        <v>0</v>
      </c>
      <c r="F1008" s="25">
        <f>SUMIFS('Daftar Koreksi'!$I$5:$I$92,'Daftar Koreksi'!$D$5:$D$92,'0300'!A994,'Daftar Koreksi'!$G$5:$G$92,"Gedung dan Bangunan",'Daftar Koreksi'!$I$5:$I$92,"&lt;0")-SUMIFS('Daftar Koreksi'!$I$5:$I$92,'Daftar Koreksi'!$D$5:$D$92,'0300'!A994,'Daftar Koreksi'!$G$5:$G$92,"Gedung dan Bangunan",'Daftar Koreksi'!$I$5:$I$92,"&lt;0")-SUMIFS('Daftar Koreksi'!$I$5:$I$92,'Daftar Koreksi'!$D$5:$D$92,'0300'!A994,'Daftar Koreksi'!$G$5:$G$92,"Gedung dan Bangunan",'Daftar Koreksi'!$I$5:$I$92,"&lt;0")</f>
        <v>0</v>
      </c>
      <c r="G1008" s="17">
        <f t="shared" si="45"/>
        <v>-229496517</v>
      </c>
      <c r="H1008" s="122"/>
    </row>
    <row r="1009" spans="1:8" ht="21.95" customHeight="1">
      <c r="A1009" s="14"/>
      <c r="B1009" s="14"/>
      <c r="C1009" s="16" t="s">
        <v>2089</v>
      </c>
      <c r="D1009" s="17">
        <f>VLOOKUP(A994,'Neraca Unaudited SIMAK'!$A$2:$S$10004,15,FALSE)</f>
        <v>-4181000</v>
      </c>
      <c r="E1009" s="25">
        <f>SUMIFS('Daftar Koreksi'!$I$5:$I$92,'Daftar Koreksi'!$D$5:$D$92,'0300'!A994,'Daftar Koreksi'!$G$5:$G$92,"Jalan Irigasi Jaringan",'Daftar Koreksi'!$I$5:$I$92,"&gt;0")</f>
        <v>0</v>
      </c>
      <c r="F1009" s="25">
        <f>SUMIFS('Daftar Koreksi'!$I$5:$I$92,'Daftar Koreksi'!$D$5:$D$92,'0300'!A994,'Daftar Koreksi'!$G$5:$G$92,"Jalan Irigasi Jaringan",'Daftar Koreksi'!$I$5:$I$92,"&lt;0")-SUMIFS('Daftar Koreksi'!$I$5:$I$92,'Daftar Koreksi'!$D$5:$D$92,'0300'!A994,'Daftar Koreksi'!$G$5:$G$92,"Jalan Irigasi Jaringan",'Daftar Koreksi'!$I$5:$I$92,"&lt;0")-SUMIFS('Daftar Koreksi'!$I$5:$I$92,'Daftar Koreksi'!$D$5:$D$92,'0300'!A994,'Daftar Koreksi'!$G$5:$G$92,"Jalan Irigasi Jaringan",'Daftar Koreksi'!$I$5:$I$92,"&lt;0")</f>
        <v>0</v>
      </c>
      <c r="G1009" s="17">
        <f t="shared" si="45"/>
        <v>-4181000</v>
      </c>
      <c r="H1009" s="122"/>
    </row>
    <row r="1010" spans="1:8" ht="21.95" customHeight="1">
      <c r="A1010" s="14"/>
      <c r="B1010" s="14"/>
      <c r="C1010" s="16" t="s">
        <v>2090</v>
      </c>
      <c r="D1010" s="17">
        <f>VLOOKUP(A994,'Neraca Unaudited SIMAK'!$A$2:$S$10004,16,FALSE)</f>
        <v>0</v>
      </c>
      <c r="E1010" s="25">
        <f>SUMIFS('Daftar Koreksi'!$I$5:$I$92,'Daftar Koreksi'!$D$5:$D$92,'0300'!A994,'Daftar Koreksi'!$G$5:$G$92,"Aset Tetap Lainnya",'Daftar Koreksi'!$I$5:$I$92,"&gt;0")</f>
        <v>0</v>
      </c>
      <c r="F1010" s="25">
        <f>SUMIFS('Daftar Koreksi'!$I$5:$I$92,'Daftar Koreksi'!$D$5:$D$92,'0300'!A994,'Daftar Koreksi'!$G$5:$G$92,"Aset Tetap Lainnya",'Daftar Koreksi'!$I$5:$I$92,"&lt;0")-SUMIFS('Daftar Koreksi'!$I$5:$I$92,'Daftar Koreksi'!$D$5:$D$92,'0300'!A994,'Daftar Koreksi'!$G$5:$G$92,"Aset Tetap Lainnya",'Daftar Koreksi'!$I$5:$I$92,"&lt;0")-SUMIFS('Daftar Koreksi'!$I$5:$I$92,'Daftar Koreksi'!$D$5:$D$92,'0300'!A994,'Daftar Koreksi'!$G$5:$G$92,"Aset Tetap Lainnya",'Daftar Koreksi'!$I$5:$I$92,"&lt;0")</f>
        <v>0</v>
      </c>
      <c r="G1010" s="17">
        <f t="shared" si="45"/>
        <v>0</v>
      </c>
      <c r="H1010" s="122"/>
    </row>
    <row r="1011" spans="1:8" ht="21.95" customHeight="1">
      <c r="A1011" s="14"/>
      <c r="B1011" s="14"/>
      <c r="C1011" s="16" t="s">
        <v>2020</v>
      </c>
      <c r="D1011" s="17">
        <f>VLOOKUP(A994,'Neraca Unaudited SIMAK'!$A$2:$S$10004,17,FALSE)</f>
        <v>0</v>
      </c>
      <c r="E1011" s="25">
        <f>SUMIFS('Daftar Koreksi'!$I$5:$I$92,'Daftar Koreksi'!$D$5:$D$92,'0300'!A994,'Daftar Koreksi'!$G$5:$G$92,"Aset Henti Guna",'Daftar Koreksi'!$I$5:$I$92,"&gt;0")</f>
        <v>0</v>
      </c>
      <c r="F1011" s="25">
        <f>SUMIFS('Daftar Koreksi'!$I$5:$I$92,'Daftar Koreksi'!$D$5:$D$92,'0300'!A994,'Daftar Koreksi'!$G$5:$G$92,"Aset Henti Guna",'Daftar Koreksi'!$I$5:$I$92,"&lt;0")-SUMIFS('Daftar Koreksi'!$I$5:$I$92,'Daftar Koreksi'!$D$5:$D$92,'0300'!A994,'Daftar Koreksi'!$G$5:$G$92,"Aset Henti Guna",'Daftar Koreksi'!$I$5:$I$92,"&lt;0")-SUMIFS('Daftar Koreksi'!$I$5:$I$92,'Daftar Koreksi'!$D$5:$D$92,'0300'!A994,'Daftar Koreksi'!$G$5:$G$92,"Aset Henti Guna",'Daftar Koreksi'!$I$5:$I$92,"&lt;0")</f>
        <v>0</v>
      </c>
      <c r="G1011" s="17">
        <f t="shared" si="45"/>
        <v>0</v>
      </c>
      <c r="H1011" s="122"/>
    </row>
    <row r="1012" spans="1:8" ht="21.95" customHeight="1">
      <c r="A1012" s="14"/>
      <c r="B1012" s="14"/>
      <c r="C1012" s="18" t="s">
        <v>2094</v>
      </c>
      <c r="D1012" s="19">
        <f>SUM(D1007:D1011)</f>
        <v>-1275307171</v>
      </c>
      <c r="E1012" s="19">
        <f>SUM(E1007:E1011)</f>
        <v>0</v>
      </c>
      <c r="F1012" s="19">
        <f>SUM(F1007:F1011)</f>
        <v>0</v>
      </c>
      <c r="G1012" s="19">
        <f t="shared" si="45"/>
        <v>-1275307171</v>
      </c>
      <c r="H1012" s="122"/>
    </row>
    <row r="1013" spans="1:8" ht="21.95" customHeight="1">
      <c r="A1013" s="14"/>
      <c r="B1013" s="14"/>
      <c r="C1013" s="18" t="s">
        <v>2095</v>
      </c>
      <c r="D1013" s="19">
        <f>VLOOKUP(A994,'Neraca Unaudited SIMAK'!$A$2:$S$10004,18,FALSE)</f>
        <v>1741811585</v>
      </c>
      <c r="E1013" s="19">
        <f>E1012+E1006</f>
        <v>0</v>
      </c>
      <c r="F1013" s="19">
        <f>F1012+F1006</f>
        <v>0</v>
      </c>
      <c r="G1013" s="19">
        <f t="shared" si="45"/>
        <v>1741811585</v>
      </c>
      <c r="H1013" s="122"/>
    </row>
    <row r="1014" spans="1:8" ht="21.95" customHeight="1">
      <c r="A1014" s="14"/>
      <c r="B1014" s="14"/>
      <c r="C1014" s="16" t="s">
        <v>2091</v>
      </c>
      <c r="D1014" s="17">
        <f>VLOOKUP(A994,'Neraca Unaudited SIMAK'!$A$2:$S$10004,19,FALSE)</f>
        <v>0</v>
      </c>
      <c r="E1014" s="25"/>
      <c r="F1014" s="25"/>
      <c r="G1014" s="17">
        <f t="shared" si="45"/>
        <v>0</v>
      </c>
      <c r="H1014" s="123"/>
    </row>
    <row r="1016" spans="1:8" ht="19.5" customHeight="1">
      <c r="A1016" s="11" t="str">
        <f>O47</f>
        <v>005010300400967000KD</v>
      </c>
      <c r="B1016" s="11" t="str">
        <f>P47</f>
        <v>PA. Pati</v>
      </c>
      <c r="C1016" s="12" t="str">
        <f>A1016&amp;" "&amp;B1016</f>
        <v>005010300400967000KD PA. Pati</v>
      </c>
      <c r="D1016" s="13"/>
      <c r="E1016" s="13"/>
      <c r="F1016" s="13"/>
      <c r="G1016" s="13"/>
      <c r="H1016" s="11"/>
    </row>
    <row r="1017" spans="1:8" ht="21.95" customHeight="1">
      <c r="A1017" s="14"/>
      <c r="B1017" s="14"/>
      <c r="C1017" s="124" t="s">
        <v>1982</v>
      </c>
      <c r="D1017" s="126" t="s">
        <v>1983</v>
      </c>
      <c r="E1017" s="132" t="s">
        <v>1984</v>
      </c>
      <c r="F1017" s="132"/>
      <c r="G1017" s="126" t="s">
        <v>1987</v>
      </c>
      <c r="H1017" s="130" t="s">
        <v>1175</v>
      </c>
    </row>
    <row r="1018" spans="1:8" ht="21.95" customHeight="1">
      <c r="A1018" s="14"/>
      <c r="B1018" s="14"/>
      <c r="C1018" s="125"/>
      <c r="D1018" s="127"/>
      <c r="E1018" s="26" t="s">
        <v>1985</v>
      </c>
      <c r="F1018" s="26" t="s">
        <v>1986</v>
      </c>
      <c r="G1018" s="127"/>
      <c r="H1018" s="131"/>
    </row>
    <row r="1019" spans="1:8" ht="21.95" customHeight="1">
      <c r="A1019" s="14"/>
      <c r="B1019" s="14"/>
      <c r="C1019" s="16" t="s">
        <v>1165</v>
      </c>
      <c r="D1019" s="17">
        <f>VLOOKUP(A1016,'Neraca Unaudited SIMAK'!$A$2:$S$10004,3,FALSE)</f>
        <v>1664963</v>
      </c>
      <c r="E1019" s="25">
        <f>SUMIFS('Daftar Koreksi'!$H$5:$H$92,'Daftar Koreksi'!$D$5:$D$92,'0300'!A1016,'Daftar Koreksi'!$G$5:$G$92,"Persediaan",'Daftar Koreksi'!$H$5:$H$92,"&gt;0")</f>
        <v>0</v>
      </c>
      <c r="F1019" s="25">
        <f>SUMIFS('Daftar Koreksi'!$H$5:$H$92,'Daftar Koreksi'!$D$5:$D$92,'0300'!A1016,'Daftar Koreksi'!$G$5:$G$92,"Persediaan",'Daftar Koreksi'!$H$5:$H$92,"&lt;0")-SUMIFS('Daftar Koreksi'!$H$5:$H$92,'Daftar Koreksi'!$D$5:$D$92,'0300'!A1016,'Daftar Koreksi'!$G$5:$G$92,"Persediaan",'Daftar Koreksi'!$H$5:$H$92,"&lt;0")-SUMIFS('Daftar Koreksi'!$H$5:$H$92,'Daftar Koreksi'!$D$5:$D$92,'0300'!A1016,'Daftar Koreksi'!$G$5:$G$92,"Persediaan",'Daftar Koreksi'!$H$5:$H$92,"&lt;0")</f>
        <v>0</v>
      </c>
      <c r="G1019" s="17">
        <f>D1019+E1019-F1019</f>
        <v>1664963</v>
      </c>
      <c r="H1019" s="121" t="str">
        <f>IF(ISNA(VLOOKUP(A1016,'Mutasi Neraca'!$A$3:$S$914,19,FALSE)),"-",VLOOKUP(A1016,'Mutasi Neraca'!$A$3:$S$914,19,FALSE))</f>
        <v>-</v>
      </c>
    </row>
    <row r="1020" spans="1:8" ht="21.95" customHeight="1">
      <c r="A1020" s="14"/>
      <c r="B1020" s="14"/>
      <c r="C1020" s="16" t="s">
        <v>1166</v>
      </c>
      <c r="D1020" s="17">
        <f>VLOOKUP(A1016,'Neraca Unaudited SIMAK'!$A$2:$S$10004,4,FALSE)</f>
        <v>3787060000</v>
      </c>
      <c r="E1020" s="25">
        <f>SUMIFS('Daftar Koreksi'!$H$5:$H$92,'Daftar Koreksi'!$D$5:$D$92,'0300'!A1016,'Daftar Koreksi'!$G$5:$G$92,"Tanah",'Daftar Koreksi'!$H$5:$H$92,"&gt;0")</f>
        <v>0</v>
      </c>
      <c r="F1020" s="25">
        <f>SUMIFS('Daftar Koreksi'!$H$5:$H$92,'Daftar Koreksi'!$D$5:$D$92,'0300'!A1016,'Daftar Koreksi'!$G$5:$G$92,"Tanah",'Daftar Koreksi'!$H$5:$H$92,"&lt;0")-SUMIFS('Daftar Koreksi'!$H$5:$H$92,'Daftar Koreksi'!$D$5:$D$92,'0300'!A1016,'Daftar Koreksi'!$G$5:$G$92,"Tanah",'Daftar Koreksi'!$H$5:$H$92,"&lt;0")-SUMIFS('Daftar Koreksi'!$H$5:$H$92,'Daftar Koreksi'!$D$5:$D$92,'0300'!A1016,'Daftar Koreksi'!$G$5:$G$92,"Tanah",'Daftar Koreksi'!$H$5:$H$92,"&lt;0")</f>
        <v>0</v>
      </c>
      <c r="G1020" s="17">
        <f t="shared" ref="G1020:G1036" si="46">D1020+E1020-F1020</f>
        <v>3787060000</v>
      </c>
      <c r="H1020" s="122"/>
    </row>
    <row r="1021" spans="1:8" ht="21.95" customHeight="1">
      <c r="A1021" s="14"/>
      <c r="B1021" s="14"/>
      <c r="C1021" s="16" t="s">
        <v>1167</v>
      </c>
      <c r="D1021" s="17">
        <f>VLOOKUP(A1016,'Neraca Unaudited SIMAK'!$A$2:$S$10004,5,FALSE)</f>
        <v>1561298707</v>
      </c>
      <c r="E1021" s="25">
        <f>SUMIFS('Daftar Koreksi'!$H$5:$H$92,'Daftar Koreksi'!$D$5:$D$92,'0300'!A1016,'Daftar Koreksi'!$G$5:$G$92,"Peralatan dan mesin",'Daftar Koreksi'!$H$5:$H$92,"&gt;0")</f>
        <v>0</v>
      </c>
      <c r="F1021" s="25">
        <f>SUMIFS('Daftar Koreksi'!$H$5:$H$92,'Daftar Koreksi'!$D$5:$D$92,'0300'!A1016,'Daftar Koreksi'!$G$5:$G$92,"Peralatan dan mesin",'Daftar Koreksi'!$H$5:$H$92,"&lt;0")-SUMIFS('Daftar Koreksi'!$H$5:$H$92,'Daftar Koreksi'!$D$5:$D$92,'0300'!A1016,'Daftar Koreksi'!$G$5:$G$92,"Peralatan dan mesin",'Daftar Koreksi'!$H$5:$H$92,"&lt;0")-SUMIFS('Daftar Koreksi'!$H$5:$H$92,'Daftar Koreksi'!$D$5:$D$92,'0300'!A1016,'Daftar Koreksi'!$G$5:$G$92,"Peralatan dan mesin",'Daftar Koreksi'!$H$5:$H$92,"&lt;0")</f>
        <v>0</v>
      </c>
      <c r="G1021" s="17">
        <f t="shared" si="46"/>
        <v>1561298707</v>
      </c>
      <c r="H1021" s="122"/>
    </row>
    <row r="1022" spans="1:8" ht="21.95" customHeight="1">
      <c r="A1022" s="14"/>
      <c r="B1022" s="14"/>
      <c r="C1022" s="16" t="s">
        <v>1168</v>
      </c>
      <c r="D1022" s="17">
        <f>VLOOKUP(A1016,'Neraca Unaudited SIMAK'!$A$2:$S$10004,6,FALSE)</f>
        <v>3157609953</v>
      </c>
      <c r="E1022" s="25">
        <f>SUMIFS('Daftar Koreksi'!$H$5:$H$92,'Daftar Koreksi'!$D$5:$D$92,'0300'!A1016,'Daftar Koreksi'!$G$5:$G$92,"Gedung dan Bangunan",'Daftar Koreksi'!$H$5:$H$92,"&gt;0")</f>
        <v>0</v>
      </c>
      <c r="F1022" s="25">
        <f>SUMIFS('Daftar Koreksi'!$H$5:$H$92,'Daftar Koreksi'!$D$5:$D$92,'0300'!A1016,'Daftar Koreksi'!$G$5:$G$92,"Gedung dan Bangunan",'Daftar Koreksi'!$H$5:$H$92,"&lt;0")-SUMIFS('Daftar Koreksi'!$H$5:$H$92,'Daftar Koreksi'!$D$5:$D$92,'0300'!A1016,'Daftar Koreksi'!$G$5:$G$92,"Gedung dan Bangunan",'Daftar Koreksi'!$H$5:$H$92,"&lt;0")-SUMIFS('Daftar Koreksi'!$H$5:$H$92,'Daftar Koreksi'!$D$5:$D$92,'0300'!A1016,'Daftar Koreksi'!$G$5:$G$92,"Gedung dan Bangunan",'Daftar Koreksi'!$H$5:$H$92,"&lt;0")</f>
        <v>0</v>
      </c>
      <c r="G1022" s="17">
        <f t="shared" si="46"/>
        <v>3157609953</v>
      </c>
      <c r="H1022" s="122"/>
    </row>
    <row r="1023" spans="1:8" ht="21.95" customHeight="1">
      <c r="A1023" s="14"/>
      <c r="B1023" s="14"/>
      <c r="C1023" s="16" t="s">
        <v>1169</v>
      </c>
      <c r="D1023" s="17">
        <f>VLOOKUP(A1016,'Neraca Unaudited SIMAK'!$A$2:$S$10004,7,FALSE)</f>
        <v>114480000</v>
      </c>
      <c r="E1023" s="25">
        <f>SUMIFS('Daftar Koreksi'!$H$5:$H$92,'Daftar Koreksi'!$D$5:$D$92,'0300'!A1016,'Daftar Koreksi'!$G$5:$G$92,"Jalan Irigasi Jaringan",'Daftar Koreksi'!$H$5:$H$92,"&gt;0")</f>
        <v>0</v>
      </c>
      <c r="F1023" s="25">
        <f>SUMIFS('Daftar Koreksi'!$H$5:$H$92,'Daftar Koreksi'!$D$5:$D$92,'0300'!A1016,'Daftar Koreksi'!$G$5:$G$92,"Jalan Irigasi Jaringan",'Daftar Koreksi'!$H$5:$H$92,"&lt;0")-SUMIFS('Daftar Koreksi'!$H$5:$H$92,'Daftar Koreksi'!$D$5:$D$92,'0300'!A1016,'Daftar Koreksi'!$G$5:$G$92,"Jalan Irigasi Jaringan",'Daftar Koreksi'!$H$5:$H$92,"&lt;0")-SUMIFS('Daftar Koreksi'!$H$5:$H$92,'Daftar Koreksi'!$D$5:$D$92,'0300'!A1016,'Daftar Koreksi'!$G$5:$G$92,"Jalan Irigasi Jaringan",'Daftar Koreksi'!$H$5:$H$92,"&lt;0")</f>
        <v>0</v>
      </c>
      <c r="G1023" s="17">
        <f t="shared" si="46"/>
        <v>114480000</v>
      </c>
      <c r="H1023" s="122"/>
    </row>
    <row r="1024" spans="1:8" ht="21.95" customHeight="1">
      <c r="A1024" s="14"/>
      <c r="B1024" s="14"/>
      <c r="C1024" s="16" t="s">
        <v>1170</v>
      </c>
      <c r="D1024" s="17">
        <f>VLOOKUP(A1016,'Neraca Unaudited SIMAK'!$A$2:$S$10004,8,FALSE)</f>
        <v>14146578</v>
      </c>
      <c r="E1024" s="25">
        <f>SUMIFS('Daftar Koreksi'!$H$5:$H$92,'Daftar Koreksi'!$D$5:$D$92,'0300'!A1016,'Daftar Koreksi'!$G$5:$G$92,"Aset Tetap Lainnya",'Daftar Koreksi'!$H$5:$H$92,"&gt;0")</f>
        <v>0</v>
      </c>
      <c r="F1024" s="25">
        <f>SUMIFS('Daftar Koreksi'!$H$5:$H$92,'Daftar Koreksi'!$D$5:$D$92,'0300'!A1016,'Daftar Koreksi'!$G$5:$G$92,"Aset Tetap Lainnya",'Daftar Koreksi'!$H$5:$H$92,"&lt;0")-SUMIFS('Daftar Koreksi'!$H$5:$H$92,'Daftar Koreksi'!$D$5:$D$92,'0300'!A1016,'Daftar Koreksi'!$G$5:$G$92,"Aset Tetap Lainnya",'Daftar Koreksi'!$H$5:$H$92,"&lt;0")-SUMIFS('Daftar Koreksi'!$H$5:$H$92,'Daftar Koreksi'!$D$5:$D$92,'0300'!A1016,'Daftar Koreksi'!$G$5:$G$92,"Aset Tetap Lainnya",'Daftar Koreksi'!$H$5:$H$92,"&lt;0")</f>
        <v>0</v>
      </c>
      <c r="G1024" s="17">
        <f t="shared" si="46"/>
        <v>14146578</v>
      </c>
      <c r="H1024" s="122"/>
    </row>
    <row r="1025" spans="1:8" ht="21.95" customHeight="1">
      <c r="A1025" s="14"/>
      <c r="B1025" s="14"/>
      <c r="C1025" s="16" t="s">
        <v>1171</v>
      </c>
      <c r="D1025" s="17">
        <f>VLOOKUP(A1016,'Neraca Unaudited SIMAK'!$A$2:$S$10004,9,FALSE)</f>
        <v>0</v>
      </c>
      <c r="E1025" s="25">
        <f>SUMIFS('Daftar Koreksi'!$H$5:$H$92,'Daftar Koreksi'!$D$5:$D$92,'0300'!A1016,'Daftar Koreksi'!$G$5:$G$92,"Kontruksi Dalam Pengerjaan",'Daftar Koreksi'!$H$5:$H$92,"&gt;0")</f>
        <v>0</v>
      </c>
      <c r="F1025" s="25">
        <f>SUMIFS('Daftar Koreksi'!$H$5:$H$92,'Daftar Koreksi'!$D$5:$D$92,'0300'!A1016,'Daftar Koreksi'!$G$5:$G$92,"Kontruksi Dalam Pengerjaan",'Daftar Koreksi'!$H$5:$H$92,"&lt;0")-SUMIFS('Daftar Koreksi'!$H$5:$H$92,'Daftar Koreksi'!$D$5:$D$92,'0300'!A1016,'Daftar Koreksi'!$G$5:$G$92,"Kontruksi Dalam Pengerjaan",'Daftar Koreksi'!$H$5:$H$92,"&lt;0")-SUMIFS('Daftar Koreksi'!$H$5:$H$92,'Daftar Koreksi'!$D$5:$D$92,'0300'!A1016,'Daftar Koreksi'!$G$5:$G$92,"Kontruksi Dalam Pengerjaan",'Daftar Koreksi'!$H$5:$H$92,"&lt;0")</f>
        <v>0</v>
      </c>
      <c r="G1025" s="17">
        <f t="shared" si="46"/>
        <v>0</v>
      </c>
      <c r="H1025" s="122"/>
    </row>
    <row r="1026" spans="1:8" ht="21.95" customHeight="1">
      <c r="A1026" s="14"/>
      <c r="B1026" s="14"/>
      <c r="C1026" s="16" t="s">
        <v>1172</v>
      </c>
      <c r="D1026" s="17">
        <f>VLOOKUP(A1016,'Neraca Unaudited SIMAK'!$A$2:$S$10004,10,FALSE)</f>
        <v>0</v>
      </c>
      <c r="E1026" s="25">
        <f>SUMIFS('Daftar Koreksi'!$H$5:$H$92,'Daftar Koreksi'!$D$5:$D$92,'0300'!A1016,'Daftar Koreksi'!$G$5:$G$92,"Aset Tak Berwujud",'Daftar Koreksi'!$H$5:$H$92,"&gt;0")</f>
        <v>0</v>
      </c>
      <c r="F1026" s="25">
        <f>SUMIFS('Daftar Koreksi'!$H$5:$H$92,'Daftar Koreksi'!$D$5:$D$92,'0300'!A1016,'Daftar Koreksi'!$G$5:$G$92,"Aset Tak Berwujud",'Daftar Koreksi'!$H$5:$H$92,"&lt;0")-SUMIFS('Daftar Koreksi'!$H$5:$H$92,'Daftar Koreksi'!$D$5:$D$92,'0300'!A1016,'Daftar Koreksi'!$G$5:$G$92,"Aset Tak Berwujud",'Daftar Koreksi'!$H$5:$H$92,"&lt;0")-SUMIFS('Daftar Koreksi'!$H$5:$H$92,'Daftar Koreksi'!$D$5:$D$92,'0300'!A1016,'Daftar Koreksi'!$G$5:$G$92,"Aset Tak Berwujud",'Daftar Koreksi'!$H$5:$H$92,"&lt;0")</f>
        <v>0</v>
      </c>
      <c r="G1026" s="17">
        <f t="shared" si="46"/>
        <v>0</v>
      </c>
      <c r="H1026" s="122"/>
    </row>
    <row r="1027" spans="1:8" ht="21.95" customHeight="1">
      <c r="A1027" s="14"/>
      <c r="B1027" s="14"/>
      <c r="C1027" s="16" t="s">
        <v>1173</v>
      </c>
      <c r="D1027" s="17">
        <f>VLOOKUP(A1016,'Neraca Unaudited SIMAK'!$A$2:$S$10004,11,FALSE)</f>
        <v>0</v>
      </c>
      <c r="E1027" s="25">
        <f>SUMIFS('Daftar Koreksi'!$H$5:$H$92,'Daftar Koreksi'!$D$5:$D$92,'0300'!A1016,'Daftar Koreksi'!$G$5:$G$92,"Aset Henti Guna",'Daftar Koreksi'!$H$5:$H$92,"&gt;0")</f>
        <v>0</v>
      </c>
      <c r="F1027" s="25">
        <f>SUMIFS('Daftar Koreksi'!$H$5:$H$92,'Daftar Koreksi'!$D$5:$D$92,'0300'!A1016,'Daftar Koreksi'!$G$5:$G$92,"Aset Henti Guna",'Daftar Koreksi'!$H$5:$H$92,"&lt;0")-SUMIFS('Daftar Koreksi'!$H$5:$H$92,'Daftar Koreksi'!$D$5:$D$92,'0300'!A1016,'Daftar Koreksi'!$G$5:$G$92,"Aset Henti Guna",'Daftar Koreksi'!$H$5:$H$92,"&lt;0")-SUMIFS('Daftar Koreksi'!$H$5:$H$92,'Daftar Koreksi'!$D$5:$D$92,'0300'!A1016,'Daftar Koreksi'!$G$5:$G$92,"Aset Henti Guna",'Daftar Koreksi'!$H$5:$H$92,"&lt;0")</f>
        <v>0</v>
      </c>
      <c r="G1027" s="17">
        <f t="shared" si="46"/>
        <v>0</v>
      </c>
      <c r="H1027" s="122"/>
    </row>
    <row r="1028" spans="1:8" ht="21.95" customHeight="1">
      <c r="A1028" s="14"/>
      <c r="B1028" s="14"/>
      <c r="C1028" s="18" t="s">
        <v>2093</v>
      </c>
      <c r="D1028" s="19">
        <f>VLOOKUP(A1016,'Neraca Unaudited SIMAK'!$A$2:$S$10004,12,FALSE)</f>
        <v>8636260201</v>
      </c>
      <c r="E1028" s="19">
        <f>SUM(E1019:E1027)</f>
        <v>0</v>
      </c>
      <c r="F1028" s="19">
        <f>SUM(F1019:F1027)</f>
        <v>0</v>
      </c>
      <c r="G1028" s="19">
        <f t="shared" si="46"/>
        <v>8636260201</v>
      </c>
      <c r="H1028" s="122"/>
    </row>
    <row r="1029" spans="1:8" ht="21.95" customHeight="1">
      <c r="A1029" s="14"/>
      <c r="B1029" s="14"/>
      <c r="C1029" s="16" t="s">
        <v>2087</v>
      </c>
      <c r="D1029" s="17">
        <f>VLOOKUP(A1016,'Neraca Unaudited SIMAK'!$A$2:$S$10004,13,FALSE)</f>
        <v>-1281197931</v>
      </c>
      <c r="E1029" s="25">
        <f>SUMIFS('Daftar Koreksi'!$I$5:$I$92,'Daftar Koreksi'!$D$5:$D$92,'0300'!A1016,'Daftar Koreksi'!$G$5:$G$92,"Peralatan dan mesin",'Daftar Koreksi'!$I$5:$I$92,"&gt;0")</f>
        <v>0</v>
      </c>
      <c r="F1029" s="25">
        <f>SUMIFS('Daftar Koreksi'!$I$5:$I$92,'Daftar Koreksi'!$D$5:$D$92,'0300'!A1016,'Daftar Koreksi'!$G$5:$G$92,"Peralatan dan mesin",'Daftar Koreksi'!$I$5:$I$92,"&lt;0")-SUMIFS('Daftar Koreksi'!$I$5:$I$92,'Daftar Koreksi'!$D$5:$D$92,'0300'!A1016,'Daftar Koreksi'!$G$5:$G$92,"Peralatan dan mesin",'Daftar Koreksi'!$I$5:$I$92,"&lt;0")-SUMIFS('Daftar Koreksi'!$I$5:$I$92,'Daftar Koreksi'!$D$5:$D$92,'0300'!A1016,'Daftar Koreksi'!$G$5:$G$92,"Peralatan dan mesin",'Daftar Koreksi'!$I$5:$I$92,"&lt;0")</f>
        <v>0</v>
      </c>
      <c r="G1029" s="17">
        <f t="shared" si="46"/>
        <v>-1281197931</v>
      </c>
      <c r="H1029" s="122"/>
    </row>
    <row r="1030" spans="1:8" ht="21.95" customHeight="1">
      <c r="A1030" s="14"/>
      <c r="B1030" s="14"/>
      <c r="C1030" s="16" t="s">
        <v>2088</v>
      </c>
      <c r="D1030" s="17">
        <f>VLOOKUP(A1016,'Neraca Unaudited SIMAK'!$A$2:$S$10004,14,FALSE)</f>
        <v>-236960567</v>
      </c>
      <c r="E1030" s="25">
        <f>SUMIFS('Daftar Koreksi'!$I$5:$I$92,'Daftar Koreksi'!$D$5:$D$92,'0300'!A1016,'Daftar Koreksi'!$G$5:$G$92,"Gedung dan Bangunan",'Daftar Koreksi'!$I$5:$I$92,"&gt;0")</f>
        <v>0</v>
      </c>
      <c r="F1030" s="25">
        <f>SUMIFS('Daftar Koreksi'!$I$5:$I$92,'Daftar Koreksi'!$D$5:$D$92,'0300'!A1016,'Daftar Koreksi'!$G$5:$G$92,"Gedung dan Bangunan",'Daftar Koreksi'!$I$5:$I$92,"&lt;0")-SUMIFS('Daftar Koreksi'!$I$5:$I$92,'Daftar Koreksi'!$D$5:$D$92,'0300'!A1016,'Daftar Koreksi'!$G$5:$G$92,"Gedung dan Bangunan",'Daftar Koreksi'!$I$5:$I$92,"&lt;0")-SUMIFS('Daftar Koreksi'!$I$5:$I$92,'Daftar Koreksi'!$D$5:$D$92,'0300'!A1016,'Daftar Koreksi'!$G$5:$G$92,"Gedung dan Bangunan",'Daftar Koreksi'!$I$5:$I$92,"&lt;0")</f>
        <v>0</v>
      </c>
      <c r="G1030" s="17">
        <f t="shared" si="46"/>
        <v>-236960567</v>
      </c>
      <c r="H1030" s="122"/>
    </row>
    <row r="1031" spans="1:8" ht="21.95" customHeight="1">
      <c r="A1031" s="14"/>
      <c r="B1031" s="14"/>
      <c r="C1031" s="16" t="s">
        <v>2089</v>
      </c>
      <c r="D1031" s="17">
        <f>VLOOKUP(A1016,'Neraca Unaudited SIMAK'!$A$2:$S$10004,15,FALSE)</f>
        <v>-18087695</v>
      </c>
      <c r="E1031" s="25">
        <f>SUMIFS('Daftar Koreksi'!$I$5:$I$92,'Daftar Koreksi'!$D$5:$D$92,'0300'!A1016,'Daftar Koreksi'!$G$5:$G$92,"Jalan Irigasi Jaringan",'Daftar Koreksi'!$I$5:$I$92,"&gt;0")</f>
        <v>0</v>
      </c>
      <c r="F1031" s="25">
        <f>SUMIFS('Daftar Koreksi'!$I$5:$I$92,'Daftar Koreksi'!$D$5:$D$92,'0300'!A1016,'Daftar Koreksi'!$G$5:$G$92,"Jalan Irigasi Jaringan",'Daftar Koreksi'!$I$5:$I$92,"&lt;0")-SUMIFS('Daftar Koreksi'!$I$5:$I$92,'Daftar Koreksi'!$D$5:$D$92,'0300'!A1016,'Daftar Koreksi'!$G$5:$G$92,"Jalan Irigasi Jaringan",'Daftar Koreksi'!$I$5:$I$92,"&lt;0")-SUMIFS('Daftar Koreksi'!$I$5:$I$92,'Daftar Koreksi'!$D$5:$D$92,'0300'!A1016,'Daftar Koreksi'!$G$5:$G$92,"Jalan Irigasi Jaringan",'Daftar Koreksi'!$I$5:$I$92,"&lt;0")</f>
        <v>0</v>
      </c>
      <c r="G1031" s="17">
        <f t="shared" si="46"/>
        <v>-18087695</v>
      </c>
      <c r="H1031" s="122"/>
    </row>
    <row r="1032" spans="1:8" ht="21.95" customHeight="1">
      <c r="A1032" s="14"/>
      <c r="B1032" s="14"/>
      <c r="C1032" s="16" t="s">
        <v>2090</v>
      </c>
      <c r="D1032" s="17">
        <f>VLOOKUP(A1016,'Neraca Unaudited SIMAK'!$A$2:$S$10004,16,FALSE)</f>
        <v>0</v>
      </c>
      <c r="E1032" s="25">
        <f>SUMIFS('Daftar Koreksi'!$I$5:$I$92,'Daftar Koreksi'!$D$5:$D$92,'0300'!A1016,'Daftar Koreksi'!$G$5:$G$92,"Aset Tetap Lainnya",'Daftar Koreksi'!$I$5:$I$92,"&gt;0")</f>
        <v>0</v>
      </c>
      <c r="F1032" s="25">
        <f>SUMIFS('Daftar Koreksi'!$I$5:$I$92,'Daftar Koreksi'!$D$5:$D$92,'0300'!A1016,'Daftar Koreksi'!$G$5:$G$92,"Aset Tetap Lainnya",'Daftar Koreksi'!$I$5:$I$92,"&lt;0")-SUMIFS('Daftar Koreksi'!$I$5:$I$92,'Daftar Koreksi'!$D$5:$D$92,'0300'!A1016,'Daftar Koreksi'!$G$5:$G$92,"Aset Tetap Lainnya",'Daftar Koreksi'!$I$5:$I$92,"&lt;0")-SUMIFS('Daftar Koreksi'!$I$5:$I$92,'Daftar Koreksi'!$D$5:$D$92,'0300'!A1016,'Daftar Koreksi'!$G$5:$G$92,"Aset Tetap Lainnya",'Daftar Koreksi'!$I$5:$I$92,"&lt;0")</f>
        <v>0</v>
      </c>
      <c r="G1032" s="17">
        <f t="shared" si="46"/>
        <v>0</v>
      </c>
      <c r="H1032" s="122"/>
    </row>
    <row r="1033" spans="1:8" ht="21.95" customHeight="1">
      <c r="A1033" s="14"/>
      <c r="B1033" s="14"/>
      <c r="C1033" s="16" t="s">
        <v>2020</v>
      </c>
      <c r="D1033" s="17">
        <f>VLOOKUP(A1016,'Neraca Unaudited SIMAK'!$A$2:$S$10004,17,FALSE)</f>
        <v>0</v>
      </c>
      <c r="E1033" s="25">
        <f>SUMIFS('Daftar Koreksi'!$I$5:$I$92,'Daftar Koreksi'!$D$5:$D$92,'0300'!A1016,'Daftar Koreksi'!$G$5:$G$92,"Aset Henti Guna",'Daftar Koreksi'!$I$5:$I$92,"&gt;0")</f>
        <v>0</v>
      </c>
      <c r="F1033" s="25">
        <f>SUMIFS('Daftar Koreksi'!$I$5:$I$92,'Daftar Koreksi'!$D$5:$D$92,'0300'!A1016,'Daftar Koreksi'!$G$5:$G$92,"Aset Henti Guna",'Daftar Koreksi'!$I$5:$I$92,"&lt;0")-SUMIFS('Daftar Koreksi'!$I$5:$I$92,'Daftar Koreksi'!$D$5:$D$92,'0300'!A1016,'Daftar Koreksi'!$G$5:$G$92,"Aset Henti Guna",'Daftar Koreksi'!$I$5:$I$92,"&lt;0")-SUMIFS('Daftar Koreksi'!$I$5:$I$92,'Daftar Koreksi'!$D$5:$D$92,'0300'!A1016,'Daftar Koreksi'!$G$5:$G$92,"Aset Henti Guna",'Daftar Koreksi'!$I$5:$I$92,"&lt;0")</f>
        <v>0</v>
      </c>
      <c r="G1033" s="17">
        <f t="shared" si="46"/>
        <v>0</v>
      </c>
      <c r="H1033" s="122"/>
    </row>
    <row r="1034" spans="1:8" ht="21.95" customHeight="1">
      <c r="A1034" s="14"/>
      <c r="B1034" s="14"/>
      <c r="C1034" s="18" t="s">
        <v>2094</v>
      </c>
      <c r="D1034" s="19">
        <f>SUM(D1029:D1033)</f>
        <v>-1536246193</v>
      </c>
      <c r="E1034" s="19">
        <f>SUM(E1029:E1033)</f>
        <v>0</v>
      </c>
      <c r="F1034" s="19">
        <f>SUM(F1029:F1033)</f>
        <v>0</v>
      </c>
      <c r="G1034" s="19">
        <f t="shared" si="46"/>
        <v>-1536246193</v>
      </c>
      <c r="H1034" s="122"/>
    </row>
    <row r="1035" spans="1:8" ht="21.95" customHeight="1">
      <c r="A1035" s="14"/>
      <c r="B1035" s="14"/>
      <c r="C1035" s="18" t="s">
        <v>2095</v>
      </c>
      <c r="D1035" s="19">
        <f>VLOOKUP(A1016,'Neraca Unaudited SIMAK'!$A$2:$S$10004,18,FALSE)</f>
        <v>7100014008</v>
      </c>
      <c r="E1035" s="19">
        <f>E1034+E1028</f>
        <v>0</v>
      </c>
      <c r="F1035" s="19">
        <f>F1034+F1028</f>
        <v>0</v>
      </c>
      <c r="G1035" s="19">
        <f t="shared" si="46"/>
        <v>7100014008</v>
      </c>
      <c r="H1035" s="122"/>
    </row>
    <row r="1036" spans="1:8" ht="21.95" customHeight="1">
      <c r="A1036" s="14"/>
      <c r="B1036" s="14"/>
      <c r="C1036" s="16" t="s">
        <v>2091</v>
      </c>
      <c r="D1036" s="17">
        <f>VLOOKUP(A1016,'Neraca Unaudited SIMAK'!$A$2:$S$10004,19,FALSE)</f>
        <v>0</v>
      </c>
      <c r="E1036" s="25"/>
      <c r="F1036" s="25"/>
      <c r="G1036" s="17">
        <f t="shared" si="46"/>
        <v>0</v>
      </c>
      <c r="H1036" s="123"/>
    </row>
    <row r="1038" spans="1:8" ht="19.5" customHeight="1">
      <c r="A1038" s="11" t="str">
        <f>O48</f>
        <v>005010300400973000KD</v>
      </c>
      <c r="B1038" s="11" t="str">
        <f>P48</f>
        <v>PA. Kudus</v>
      </c>
      <c r="C1038" s="12" t="str">
        <f>A1038&amp;" "&amp;B1038</f>
        <v>005010300400973000KD PA. Kudus</v>
      </c>
      <c r="D1038" s="13"/>
      <c r="E1038" s="13"/>
      <c r="F1038" s="13"/>
      <c r="G1038" s="13"/>
      <c r="H1038" s="11"/>
    </row>
    <row r="1039" spans="1:8" ht="21.95" customHeight="1">
      <c r="A1039" s="14"/>
      <c r="B1039" s="14"/>
      <c r="C1039" s="124" t="s">
        <v>1982</v>
      </c>
      <c r="D1039" s="126" t="s">
        <v>1983</v>
      </c>
      <c r="E1039" s="132" t="s">
        <v>1984</v>
      </c>
      <c r="F1039" s="132"/>
      <c r="G1039" s="126" t="s">
        <v>1987</v>
      </c>
      <c r="H1039" s="130" t="s">
        <v>1175</v>
      </c>
    </row>
    <row r="1040" spans="1:8" ht="21.95" customHeight="1">
      <c r="A1040" s="14"/>
      <c r="B1040" s="14"/>
      <c r="C1040" s="125"/>
      <c r="D1040" s="127"/>
      <c r="E1040" s="26" t="s">
        <v>1985</v>
      </c>
      <c r="F1040" s="26" t="s">
        <v>1986</v>
      </c>
      <c r="G1040" s="127"/>
      <c r="H1040" s="131"/>
    </row>
    <row r="1041" spans="1:8" ht="21.95" customHeight="1">
      <c r="A1041" s="14"/>
      <c r="B1041" s="14"/>
      <c r="C1041" s="16" t="s">
        <v>1165</v>
      </c>
      <c r="D1041" s="17">
        <f>VLOOKUP(A1038,'Neraca Unaudited SIMAK'!$A$2:$S$10004,3,FALSE)</f>
        <v>4317000</v>
      </c>
      <c r="E1041" s="25">
        <f>SUMIFS('Daftar Koreksi'!$H$5:$H$92,'Daftar Koreksi'!$D$5:$D$92,'0300'!A1038,'Daftar Koreksi'!$G$5:$G$92,"Persediaan",'Daftar Koreksi'!$H$5:$H$92,"&gt;0")</f>
        <v>0</v>
      </c>
      <c r="F1041" s="25">
        <f>SUMIFS('Daftar Koreksi'!$H$5:$H$92,'Daftar Koreksi'!$D$5:$D$92,'0300'!A1038,'Daftar Koreksi'!$G$5:$G$92,"Persediaan",'Daftar Koreksi'!$H$5:$H$92,"&lt;0")-SUMIFS('Daftar Koreksi'!$H$5:$H$92,'Daftar Koreksi'!$D$5:$D$92,'0300'!A1038,'Daftar Koreksi'!$G$5:$G$92,"Persediaan",'Daftar Koreksi'!$H$5:$H$92,"&lt;0")-SUMIFS('Daftar Koreksi'!$H$5:$H$92,'Daftar Koreksi'!$D$5:$D$92,'0300'!A1038,'Daftar Koreksi'!$G$5:$G$92,"Persediaan",'Daftar Koreksi'!$H$5:$H$92,"&lt;0")</f>
        <v>0</v>
      </c>
      <c r="G1041" s="17">
        <f>D1041+E1041-F1041</f>
        <v>4317000</v>
      </c>
      <c r="H1041" s="121" t="str">
        <f>IF(ISNA(VLOOKUP(A1038,'Mutasi Neraca'!$A$3:$S$914,19,FALSE)),"-",VLOOKUP(A1038,'Mutasi Neraca'!$A$3:$S$914,19,FALSE))</f>
        <v>-</v>
      </c>
    </row>
    <row r="1042" spans="1:8" ht="21.95" customHeight="1">
      <c r="A1042" s="14"/>
      <c r="B1042" s="14"/>
      <c r="C1042" s="16" t="s">
        <v>1166</v>
      </c>
      <c r="D1042" s="17">
        <f>VLOOKUP(A1038,'Neraca Unaudited SIMAK'!$A$2:$S$10004,4,FALSE)</f>
        <v>4071455000</v>
      </c>
      <c r="E1042" s="25">
        <f>SUMIFS('Daftar Koreksi'!$H$5:$H$92,'Daftar Koreksi'!$D$5:$D$92,'0300'!A1038,'Daftar Koreksi'!$G$5:$G$92,"Tanah",'Daftar Koreksi'!$H$5:$H$92,"&gt;0")</f>
        <v>0</v>
      </c>
      <c r="F1042" s="25">
        <f>SUMIFS('Daftar Koreksi'!$H$5:$H$92,'Daftar Koreksi'!$D$5:$D$92,'0300'!A1038,'Daftar Koreksi'!$G$5:$G$92,"Tanah",'Daftar Koreksi'!$H$5:$H$92,"&lt;0")-SUMIFS('Daftar Koreksi'!$H$5:$H$92,'Daftar Koreksi'!$D$5:$D$92,'0300'!A1038,'Daftar Koreksi'!$G$5:$G$92,"Tanah",'Daftar Koreksi'!$H$5:$H$92,"&lt;0")-SUMIFS('Daftar Koreksi'!$H$5:$H$92,'Daftar Koreksi'!$D$5:$D$92,'0300'!A1038,'Daftar Koreksi'!$G$5:$G$92,"Tanah",'Daftar Koreksi'!$H$5:$H$92,"&lt;0")</f>
        <v>0</v>
      </c>
      <c r="G1042" s="17">
        <f t="shared" ref="G1042:G1058" si="47">D1042+E1042-F1042</f>
        <v>4071455000</v>
      </c>
      <c r="H1042" s="122"/>
    </row>
    <row r="1043" spans="1:8" ht="21.95" customHeight="1">
      <c r="A1043" s="14"/>
      <c r="B1043" s="14"/>
      <c r="C1043" s="16" t="s">
        <v>1167</v>
      </c>
      <c r="D1043" s="17">
        <f>VLOOKUP(A1038,'Neraca Unaudited SIMAK'!$A$2:$S$10004,5,FALSE)</f>
        <v>1037414534</v>
      </c>
      <c r="E1043" s="25">
        <f>SUMIFS('Daftar Koreksi'!$H$5:$H$92,'Daftar Koreksi'!$D$5:$D$92,'0300'!A1038,'Daftar Koreksi'!$G$5:$G$92,"Peralatan dan mesin",'Daftar Koreksi'!$H$5:$H$92,"&gt;0")</f>
        <v>0</v>
      </c>
      <c r="F1043" s="25">
        <f>SUMIFS('Daftar Koreksi'!$H$5:$H$92,'Daftar Koreksi'!$D$5:$D$92,'0300'!A1038,'Daftar Koreksi'!$G$5:$G$92,"Peralatan dan mesin",'Daftar Koreksi'!$H$5:$H$92,"&lt;0")-SUMIFS('Daftar Koreksi'!$H$5:$H$92,'Daftar Koreksi'!$D$5:$D$92,'0300'!A1038,'Daftar Koreksi'!$G$5:$G$92,"Peralatan dan mesin",'Daftar Koreksi'!$H$5:$H$92,"&lt;0")-SUMIFS('Daftar Koreksi'!$H$5:$H$92,'Daftar Koreksi'!$D$5:$D$92,'0300'!A1038,'Daftar Koreksi'!$G$5:$G$92,"Peralatan dan mesin",'Daftar Koreksi'!$H$5:$H$92,"&lt;0")</f>
        <v>0</v>
      </c>
      <c r="G1043" s="17">
        <f t="shared" si="47"/>
        <v>1037414534</v>
      </c>
      <c r="H1043" s="122"/>
    </row>
    <row r="1044" spans="1:8" ht="21.95" customHeight="1">
      <c r="A1044" s="14"/>
      <c r="B1044" s="14"/>
      <c r="C1044" s="16" t="s">
        <v>1168</v>
      </c>
      <c r="D1044" s="17">
        <f>VLOOKUP(A1038,'Neraca Unaudited SIMAK'!$A$2:$S$10004,6,FALSE)</f>
        <v>4778451200</v>
      </c>
      <c r="E1044" s="25">
        <f>SUMIFS('Daftar Koreksi'!$H$5:$H$92,'Daftar Koreksi'!$D$5:$D$92,'0300'!A1038,'Daftar Koreksi'!$G$5:$G$92,"Gedung dan Bangunan",'Daftar Koreksi'!$H$5:$H$92,"&gt;0")</f>
        <v>0</v>
      </c>
      <c r="F1044" s="25">
        <f>SUMIFS('Daftar Koreksi'!$H$5:$H$92,'Daftar Koreksi'!$D$5:$D$92,'0300'!A1038,'Daftar Koreksi'!$G$5:$G$92,"Gedung dan Bangunan",'Daftar Koreksi'!$H$5:$H$92,"&lt;0")-SUMIFS('Daftar Koreksi'!$H$5:$H$92,'Daftar Koreksi'!$D$5:$D$92,'0300'!A1038,'Daftar Koreksi'!$G$5:$G$92,"Gedung dan Bangunan",'Daftar Koreksi'!$H$5:$H$92,"&lt;0")-SUMIFS('Daftar Koreksi'!$H$5:$H$92,'Daftar Koreksi'!$D$5:$D$92,'0300'!A1038,'Daftar Koreksi'!$G$5:$G$92,"Gedung dan Bangunan",'Daftar Koreksi'!$H$5:$H$92,"&lt;0")</f>
        <v>0</v>
      </c>
      <c r="G1044" s="17">
        <f t="shared" si="47"/>
        <v>4778451200</v>
      </c>
      <c r="H1044" s="122"/>
    </row>
    <row r="1045" spans="1:8" ht="21.95" customHeight="1">
      <c r="A1045" s="14"/>
      <c r="B1045" s="14"/>
      <c r="C1045" s="16" t="s">
        <v>1169</v>
      </c>
      <c r="D1045" s="17">
        <f>VLOOKUP(A1038,'Neraca Unaudited SIMAK'!$A$2:$S$10004,7,FALSE)</f>
        <v>10504000</v>
      </c>
      <c r="E1045" s="25">
        <f>SUMIFS('Daftar Koreksi'!$H$5:$H$92,'Daftar Koreksi'!$D$5:$D$92,'0300'!A1038,'Daftar Koreksi'!$G$5:$G$92,"Jalan Irigasi Jaringan",'Daftar Koreksi'!$H$5:$H$92,"&gt;0")</f>
        <v>0</v>
      </c>
      <c r="F1045" s="25">
        <f>SUMIFS('Daftar Koreksi'!$H$5:$H$92,'Daftar Koreksi'!$D$5:$D$92,'0300'!A1038,'Daftar Koreksi'!$G$5:$G$92,"Jalan Irigasi Jaringan",'Daftar Koreksi'!$H$5:$H$92,"&lt;0")-SUMIFS('Daftar Koreksi'!$H$5:$H$92,'Daftar Koreksi'!$D$5:$D$92,'0300'!A1038,'Daftar Koreksi'!$G$5:$G$92,"Jalan Irigasi Jaringan",'Daftar Koreksi'!$H$5:$H$92,"&lt;0")-SUMIFS('Daftar Koreksi'!$H$5:$H$92,'Daftar Koreksi'!$D$5:$D$92,'0300'!A1038,'Daftar Koreksi'!$G$5:$G$92,"Jalan Irigasi Jaringan",'Daftar Koreksi'!$H$5:$H$92,"&lt;0")</f>
        <v>0</v>
      </c>
      <c r="G1045" s="17">
        <f t="shared" si="47"/>
        <v>10504000</v>
      </c>
      <c r="H1045" s="122"/>
    </row>
    <row r="1046" spans="1:8" ht="21.95" customHeight="1">
      <c r="A1046" s="14"/>
      <c r="B1046" s="14"/>
      <c r="C1046" s="16" t="s">
        <v>1170</v>
      </c>
      <c r="D1046" s="17">
        <f>VLOOKUP(A1038,'Neraca Unaudited SIMAK'!$A$2:$S$10004,8,FALSE)</f>
        <v>5434578</v>
      </c>
      <c r="E1046" s="25">
        <f>SUMIFS('Daftar Koreksi'!$H$5:$H$92,'Daftar Koreksi'!$D$5:$D$92,'0300'!A1038,'Daftar Koreksi'!$G$5:$G$92,"Aset Tetap Lainnya",'Daftar Koreksi'!$H$5:$H$92,"&gt;0")</f>
        <v>0</v>
      </c>
      <c r="F1046" s="25">
        <f>SUMIFS('Daftar Koreksi'!$H$5:$H$92,'Daftar Koreksi'!$D$5:$D$92,'0300'!A1038,'Daftar Koreksi'!$G$5:$G$92,"Aset Tetap Lainnya",'Daftar Koreksi'!$H$5:$H$92,"&lt;0")-SUMIFS('Daftar Koreksi'!$H$5:$H$92,'Daftar Koreksi'!$D$5:$D$92,'0300'!A1038,'Daftar Koreksi'!$G$5:$G$92,"Aset Tetap Lainnya",'Daftar Koreksi'!$H$5:$H$92,"&lt;0")-SUMIFS('Daftar Koreksi'!$H$5:$H$92,'Daftar Koreksi'!$D$5:$D$92,'0300'!A1038,'Daftar Koreksi'!$G$5:$G$92,"Aset Tetap Lainnya",'Daftar Koreksi'!$H$5:$H$92,"&lt;0")</f>
        <v>0</v>
      </c>
      <c r="G1046" s="17">
        <f t="shared" si="47"/>
        <v>5434578</v>
      </c>
      <c r="H1046" s="122"/>
    </row>
    <row r="1047" spans="1:8" ht="21.95" customHeight="1">
      <c r="A1047" s="14"/>
      <c r="B1047" s="14"/>
      <c r="C1047" s="16" t="s">
        <v>1171</v>
      </c>
      <c r="D1047" s="17">
        <f>VLOOKUP(A1038,'Neraca Unaudited SIMAK'!$A$2:$S$10004,9,FALSE)</f>
        <v>0</v>
      </c>
      <c r="E1047" s="25">
        <f>SUMIFS('Daftar Koreksi'!$H$5:$H$92,'Daftar Koreksi'!$D$5:$D$92,'0300'!A1038,'Daftar Koreksi'!$G$5:$G$92,"Kontruksi Dalam Pengerjaan",'Daftar Koreksi'!$H$5:$H$92,"&gt;0")</f>
        <v>0</v>
      </c>
      <c r="F1047" s="25">
        <f>SUMIFS('Daftar Koreksi'!$H$5:$H$92,'Daftar Koreksi'!$D$5:$D$92,'0300'!A1038,'Daftar Koreksi'!$G$5:$G$92,"Kontruksi Dalam Pengerjaan",'Daftar Koreksi'!$H$5:$H$92,"&lt;0")-SUMIFS('Daftar Koreksi'!$H$5:$H$92,'Daftar Koreksi'!$D$5:$D$92,'0300'!A1038,'Daftar Koreksi'!$G$5:$G$92,"Kontruksi Dalam Pengerjaan",'Daftar Koreksi'!$H$5:$H$92,"&lt;0")-SUMIFS('Daftar Koreksi'!$H$5:$H$92,'Daftar Koreksi'!$D$5:$D$92,'0300'!A1038,'Daftar Koreksi'!$G$5:$G$92,"Kontruksi Dalam Pengerjaan",'Daftar Koreksi'!$H$5:$H$92,"&lt;0")</f>
        <v>0</v>
      </c>
      <c r="G1047" s="17">
        <f t="shared" si="47"/>
        <v>0</v>
      </c>
      <c r="H1047" s="122"/>
    </row>
    <row r="1048" spans="1:8" ht="21.95" customHeight="1">
      <c r="A1048" s="14"/>
      <c r="B1048" s="14"/>
      <c r="C1048" s="16" t="s">
        <v>1172</v>
      </c>
      <c r="D1048" s="17">
        <f>VLOOKUP(A1038,'Neraca Unaudited SIMAK'!$A$2:$S$10004,10,FALSE)</f>
        <v>0</v>
      </c>
      <c r="E1048" s="25">
        <f>SUMIFS('Daftar Koreksi'!$H$5:$H$92,'Daftar Koreksi'!$D$5:$D$92,'0300'!A1038,'Daftar Koreksi'!$G$5:$G$92,"Aset Tak Berwujud",'Daftar Koreksi'!$H$5:$H$92,"&gt;0")</f>
        <v>0</v>
      </c>
      <c r="F1048" s="25">
        <f>SUMIFS('Daftar Koreksi'!$H$5:$H$92,'Daftar Koreksi'!$D$5:$D$92,'0300'!A1038,'Daftar Koreksi'!$G$5:$G$92,"Aset Tak Berwujud",'Daftar Koreksi'!$H$5:$H$92,"&lt;0")-SUMIFS('Daftar Koreksi'!$H$5:$H$92,'Daftar Koreksi'!$D$5:$D$92,'0300'!A1038,'Daftar Koreksi'!$G$5:$G$92,"Aset Tak Berwujud",'Daftar Koreksi'!$H$5:$H$92,"&lt;0")-SUMIFS('Daftar Koreksi'!$H$5:$H$92,'Daftar Koreksi'!$D$5:$D$92,'0300'!A1038,'Daftar Koreksi'!$G$5:$G$92,"Aset Tak Berwujud",'Daftar Koreksi'!$H$5:$H$92,"&lt;0")</f>
        <v>0</v>
      </c>
      <c r="G1048" s="17">
        <f t="shared" si="47"/>
        <v>0</v>
      </c>
      <c r="H1048" s="122"/>
    </row>
    <row r="1049" spans="1:8" ht="21.95" customHeight="1">
      <c r="A1049" s="14"/>
      <c r="B1049" s="14"/>
      <c r="C1049" s="16" t="s">
        <v>1173</v>
      </c>
      <c r="D1049" s="17">
        <f>VLOOKUP(A1038,'Neraca Unaudited SIMAK'!$A$2:$S$10004,11,FALSE)</f>
        <v>5528800</v>
      </c>
      <c r="E1049" s="25">
        <f>SUMIFS('Daftar Koreksi'!$H$5:$H$92,'Daftar Koreksi'!$D$5:$D$92,'0300'!A1038,'Daftar Koreksi'!$G$5:$G$92,"Aset Henti Guna",'Daftar Koreksi'!$H$5:$H$92,"&gt;0")</f>
        <v>0</v>
      </c>
      <c r="F1049" s="25">
        <f>SUMIFS('Daftar Koreksi'!$H$5:$H$92,'Daftar Koreksi'!$D$5:$D$92,'0300'!A1038,'Daftar Koreksi'!$G$5:$G$92,"Aset Henti Guna",'Daftar Koreksi'!$H$5:$H$92,"&lt;0")-SUMIFS('Daftar Koreksi'!$H$5:$H$92,'Daftar Koreksi'!$D$5:$D$92,'0300'!A1038,'Daftar Koreksi'!$G$5:$G$92,"Aset Henti Guna",'Daftar Koreksi'!$H$5:$H$92,"&lt;0")-SUMIFS('Daftar Koreksi'!$H$5:$H$92,'Daftar Koreksi'!$D$5:$D$92,'0300'!A1038,'Daftar Koreksi'!$G$5:$G$92,"Aset Henti Guna",'Daftar Koreksi'!$H$5:$H$92,"&lt;0")</f>
        <v>0</v>
      </c>
      <c r="G1049" s="17">
        <f t="shared" si="47"/>
        <v>5528800</v>
      </c>
      <c r="H1049" s="122"/>
    </row>
    <row r="1050" spans="1:8" ht="21.95" customHeight="1">
      <c r="A1050" s="14"/>
      <c r="B1050" s="14"/>
      <c r="C1050" s="18" t="s">
        <v>2093</v>
      </c>
      <c r="D1050" s="19">
        <f>VLOOKUP(A1038,'Neraca Unaudited SIMAK'!$A$2:$S$10004,12,FALSE)</f>
        <v>9913105112</v>
      </c>
      <c r="E1050" s="19">
        <f>SUM(E1041:E1049)</f>
        <v>0</v>
      </c>
      <c r="F1050" s="19">
        <f>SUM(F1041:F1049)</f>
        <v>0</v>
      </c>
      <c r="G1050" s="19">
        <f t="shared" si="47"/>
        <v>9913105112</v>
      </c>
      <c r="H1050" s="122"/>
    </row>
    <row r="1051" spans="1:8" ht="21.95" customHeight="1">
      <c r="A1051" s="14"/>
      <c r="B1051" s="14"/>
      <c r="C1051" s="16" t="s">
        <v>2087</v>
      </c>
      <c r="D1051" s="17">
        <f>VLOOKUP(A1038,'Neraca Unaudited SIMAK'!$A$2:$S$10004,13,FALSE)</f>
        <v>-897884107</v>
      </c>
      <c r="E1051" s="25">
        <f>SUMIFS('Daftar Koreksi'!$I$5:$I$92,'Daftar Koreksi'!$D$5:$D$92,'0300'!A1038,'Daftar Koreksi'!$G$5:$G$92,"Peralatan dan mesin",'Daftar Koreksi'!$I$5:$I$92,"&gt;0")</f>
        <v>0</v>
      </c>
      <c r="F1051" s="25">
        <f>SUMIFS('Daftar Koreksi'!$I$5:$I$92,'Daftar Koreksi'!$D$5:$D$92,'0300'!A1038,'Daftar Koreksi'!$G$5:$G$92,"Peralatan dan mesin",'Daftar Koreksi'!$I$5:$I$92,"&lt;0")-SUMIFS('Daftar Koreksi'!$I$5:$I$92,'Daftar Koreksi'!$D$5:$D$92,'0300'!A1038,'Daftar Koreksi'!$G$5:$G$92,"Peralatan dan mesin",'Daftar Koreksi'!$I$5:$I$92,"&lt;0")-SUMIFS('Daftar Koreksi'!$I$5:$I$92,'Daftar Koreksi'!$D$5:$D$92,'0300'!A1038,'Daftar Koreksi'!$G$5:$G$92,"Peralatan dan mesin",'Daftar Koreksi'!$I$5:$I$92,"&lt;0")</f>
        <v>0</v>
      </c>
      <c r="G1051" s="17">
        <f t="shared" si="47"/>
        <v>-897884107</v>
      </c>
      <c r="H1051" s="122"/>
    </row>
    <row r="1052" spans="1:8" ht="21.95" customHeight="1">
      <c r="A1052" s="14"/>
      <c r="B1052" s="14"/>
      <c r="C1052" s="16" t="s">
        <v>2088</v>
      </c>
      <c r="D1052" s="17">
        <f>VLOOKUP(A1038,'Neraca Unaudited SIMAK'!$A$2:$S$10004,14,FALSE)</f>
        <v>-579162012</v>
      </c>
      <c r="E1052" s="25">
        <f>SUMIFS('Daftar Koreksi'!$I$5:$I$92,'Daftar Koreksi'!$D$5:$D$92,'0300'!A1038,'Daftar Koreksi'!$G$5:$G$92,"Gedung dan Bangunan",'Daftar Koreksi'!$I$5:$I$92,"&gt;0")</f>
        <v>0</v>
      </c>
      <c r="F1052" s="25">
        <f>SUMIFS('Daftar Koreksi'!$I$5:$I$92,'Daftar Koreksi'!$D$5:$D$92,'0300'!A1038,'Daftar Koreksi'!$G$5:$G$92,"Gedung dan Bangunan",'Daftar Koreksi'!$I$5:$I$92,"&lt;0")-SUMIFS('Daftar Koreksi'!$I$5:$I$92,'Daftar Koreksi'!$D$5:$D$92,'0300'!A1038,'Daftar Koreksi'!$G$5:$G$92,"Gedung dan Bangunan",'Daftar Koreksi'!$I$5:$I$92,"&lt;0")-SUMIFS('Daftar Koreksi'!$I$5:$I$92,'Daftar Koreksi'!$D$5:$D$92,'0300'!A1038,'Daftar Koreksi'!$G$5:$G$92,"Gedung dan Bangunan",'Daftar Koreksi'!$I$5:$I$92,"&lt;0")</f>
        <v>0</v>
      </c>
      <c r="G1052" s="17">
        <f t="shared" si="47"/>
        <v>-579162012</v>
      </c>
      <c r="H1052" s="122"/>
    </row>
    <row r="1053" spans="1:8" ht="21.95" customHeight="1">
      <c r="A1053" s="14"/>
      <c r="B1053" s="14"/>
      <c r="C1053" s="16" t="s">
        <v>2089</v>
      </c>
      <c r="D1053" s="17">
        <f>VLOOKUP(A1038,'Neraca Unaudited SIMAK'!$A$2:$S$10004,15,FALSE)</f>
        <v>-2645067</v>
      </c>
      <c r="E1053" s="25">
        <f>SUMIFS('Daftar Koreksi'!$I$5:$I$92,'Daftar Koreksi'!$D$5:$D$92,'0300'!A1038,'Daftar Koreksi'!$G$5:$G$92,"Jalan Irigasi Jaringan",'Daftar Koreksi'!$I$5:$I$92,"&gt;0")</f>
        <v>0</v>
      </c>
      <c r="F1053" s="25">
        <f>SUMIFS('Daftar Koreksi'!$I$5:$I$92,'Daftar Koreksi'!$D$5:$D$92,'0300'!A1038,'Daftar Koreksi'!$G$5:$G$92,"Jalan Irigasi Jaringan",'Daftar Koreksi'!$I$5:$I$92,"&lt;0")-SUMIFS('Daftar Koreksi'!$I$5:$I$92,'Daftar Koreksi'!$D$5:$D$92,'0300'!A1038,'Daftar Koreksi'!$G$5:$G$92,"Jalan Irigasi Jaringan",'Daftar Koreksi'!$I$5:$I$92,"&lt;0")-SUMIFS('Daftar Koreksi'!$I$5:$I$92,'Daftar Koreksi'!$D$5:$D$92,'0300'!A1038,'Daftar Koreksi'!$G$5:$G$92,"Jalan Irigasi Jaringan",'Daftar Koreksi'!$I$5:$I$92,"&lt;0")</f>
        <v>0</v>
      </c>
      <c r="G1053" s="17">
        <f t="shared" si="47"/>
        <v>-2645067</v>
      </c>
      <c r="H1053" s="122"/>
    </row>
    <row r="1054" spans="1:8" ht="21.95" customHeight="1">
      <c r="A1054" s="14"/>
      <c r="B1054" s="14"/>
      <c r="C1054" s="16" t="s">
        <v>2090</v>
      </c>
      <c r="D1054" s="17">
        <f>VLOOKUP(A1038,'Neraca Unaudited SIMAK'!$A$2:$S$10004,16,FALSE)</f>
        <v>0</v>
      </c>
      <c r="E1054" s="25">
        <f>SUMIFS('Daftar Koreksi'!$I$5:$I$92,'Daftar Koreksi'!$D$5:$D$92,'0300'!A1038,'Daftar Koreksi'!$G$5:$G$92,"Aset Tetap Lainnya",'Daftar Koreksi'!$I$5:$I$92,"&gt;0")</f>
        <v>0</v>
      </c>
      <c r="F1054" s="25">
        <f>SUMIFS('Daftar Koreksi'!$I$5:$I$92,'Daftar Koreksi'!$D$5:$D$92,'0300'!A1038,'Daftar Koreksi'!$G$5:$G$92,"Aset Tetap Lainnya",'Daftar Koreksi'!$I$5:$I$92,"&lt;0")-SUMIFS('Daftar Koreksi'!$I$5:$I$92,'Daftar Koreksi'!$D$5:$D$92,'0300'!A1038,'Daftar Koreksi'!$G$5:$G$92,"Aset Tetap Lainnya",'Daftar Koreksi'!$I$5:$I$92,"&lt;0")-SUMIFS('Daftar Koreksi'!$I$5:$I$92,'Daftar Koreksi'!$D$5:$D$92,'0300'!A1038,'Daftar Koreksi'!$G$5:$G$92,"Aset Tetap Lainnya",'Daftar Koreksi'!$I$5:$I$92,"&lt;0")</f>
        <v>0</v>
      </c>
      <c r="G1054" s="17">
        <f t="shared" si="47"/>
        <v>0</v>
      </c>
      <c r="H1054" s="122"/>
    </row>
    <row r="1055" spans="1:8" ht="21.95" customHeight="1">
      <c r="A1055" s="14"/>
      <c r="B1055" s="14"/>
      <c r="C1055" s="16" t="s">
        <v>2020</v>
      </c>
      <c r="D1055" s="17">
        <f>VLOOKUP(A1038,'Neraca Unaudited SIMAK'!$A$2:$S$10004,17,FALSE)</f>
        <v>-5528800</v>
      </c>
      <c r="E1055" s="25">
        <f>SUMIFS('Daftar Koreksi'!$I$5:$I$92,'Daftar Koreksi'!$D$5:$D$92,'0300'!A1038,'Daftar Koreksi'!$G$5:$G$92,"Aset Henti Guna",'Daftar Koreksi'!$I$5:$I$92,"&gt;0")</f>
        <v>0</v>
      </c>
      <c r="F1055" s="25">
        <f>SUMIFS('Daftar Koreksi'!$I$5:$I$92,'Daftar Koreksi'!$D$5:$D$92,'0300'!A1038,'Daftar Koreksi'!$G$5:$G$92,"Aset Henti Guna",'Daftar Koreksi'!$I$5:$I$92,"&lt;0")-SUMIFS('Daftar Koreksi'!$I$5:$I$92,'Daftar Koreksi'!$D$5:$D$92,'0300'!A1038,'Daftar Koreksi'!$G$5:$G$92,"Aset Henti Guna",'Daftar Koreksi'!$I$5:$I$92,"&lt;0")-SUMIFS('Daftar Koreksi'!$I$5:$I$92,'Daftar Koreksi'!$D$5:$D$92,'0300'!A1038,'Daftar Koreksi'!$G$5:$G$92,"Aset Henti Guna",'Daftar Koreksi'!$I$5:$I$92,"&lt;0")</f>
        <v>0</v>
      </c>
      <c r="G1055" s="17">
        <f t="shared" si="47"/>
        <v>-5528800</v>
      </c>
      <c r="H1055" s="122"/>
    </row>
    <row r="1056" spans="1:8" ht="21.95" customHeight="1">
      <c r="A1056" s="14"/>
      <c r="B1056" s="14"/>
      <c r="C1056" s="18" t="s">
        <v>2094</v>
      </c>
      <c r="D1056" s="19">
        <f>SUM(D1051:D1055)</f>
        <v>-1485219986</v>
      </c>
      <c r="E1056" s="19">
        <f>SUM(E1051:E1055)</f>
        <v>0</v>
      </c>
      <c r="F1056" s="19">
        <f>SUM(F1051:F1055)</f>
        <v>0</v>
      </c>
      <c r="G1056" s="19">
        <f t="shared" si="47"/>
        <v>-1485219986</v>
      </c>
      <c r="H1056" s="122"/>
    </row>
    <row r="1057" spans="1:8" ht="21.95" customHeight="1">
      <c r="A1057" s="14"/>
      <c r="B1057" s="14"/>
      <c r="C1057" s="18" t="s">
        <v>2095</v>
      </c>
      <c r="D1057" s="19">
        <f>VLOOKUP(A1038,'Neraca Unaudited SIMAK'!$A$2:$S$10004,18,FALSE)</f>
        <v>8427885126</v>
      </c>
      <c r="E1057" s="19">
        <f>E1056+E1050</f>
        <v>0</v>
      </c>
      <c r="F1057" s="19">
        <f>F1056+F1050</f>
        <v>0</v>
      </c>
      <c r="G1057" s="19">
        <f t="shared" si="47"/>
        <v>8427885126</v>
      </c>
      <c r="H1057" s="122"/>
    </row>
    <row r="1058" spans="1:8" ht="21.95" customHeight="1">
      <c r="A1058" s="14"/>
      <c r="B1058" s="14"/>
      <c r="C1058" s="16" t="s">
        <v>2091</v>
      </c>
      <c r="D1058" s="17">
        <f>VLOOKUP(A1038,'Neraca Unaudited SIMAK'!$A$2:$S$10004,19,FALSE)</f>
        <v>0</v>
      </c>
      <c r="E1058" s="25"/>
      <c r="F1058" s="25"/>
      <c r="G1058" s="17">
        <f t="shared" si="47"/>
        <v>0</v>
      </c>
      <c r="H1058" s="123"/>
    </row>
    <row r="1060" spans="1:8" ht="19.5" customHeight="1">
      <c r="A1060" s="11" t="str">
        <f>O49</f>
        <v>005010300400982000KD</v>
      </c>
      <c r="B1060" s="11" t="str">
        <f>P49</f>
        <v>PA. Jepara</v>
      </c>
      <c r="C1060" s="12" t="str">
        <f>A1060&amp;" "&amp;B1060</f>
        <v>005010300400982000KD PA. Jepara</v>
      </c>
      <c r="D1060" s="13"/>
      <c r="E1060" s="13"/>
      <c r="F1060" s="13"/>
      <c r="G1060" s="13"/>
      <c r="H1060" s="11"/>
    </row>
    <row r="1061" spans="1:8" ht="21.95" customHeight="1">
      <c r="A1061" s="14"/>
      <c r="B1061" s="14"/>
      <c r="C1061" s="124" t="s">
        <v>1982</v>
      </c>
      <c r="D1061" s="126" t="s">
        <v>1983</v>
      </c>
      <c r="E1061" s="132" t="s">
        <v>1984</v>
      </c>
      <c r="F1061" s="132"/>
      <c r="G1061" s="126" t="s">
        <v>1987</v>
      </c>
      <c r="H1061" s="130" t="s">
        <v>1175</v>
      </c>
    </row>
    <row r="1062" spans="1:8" ht="21.95" customHeight="1">
      <c r="A1062" s="14"/>
      <c r="B1062" s="14"/>
      <c r="C1062" s="125"/>
      <c r="D1062" s="127"/>
      <c r="E1062" s="26" t="s">
        <v>1985</v>
      </c>
      <c r="F1062" s="26" t="s">
        <v>1986</v>
      </c>
      <c r="G1062" s="127"/>
      <c r="H1062" s="131"/>
    </row>
    <row r="1063" spans="1:8" ht="21.95" customHeight="1">
      <c r="A1063" s="14"/>
      <c r="B1063" s="14"/>
      <c r="C1063" s="16" t="s">
        <v>1165</v>
      </c>
      <c r="D1063" s="17">
        <f>VLOOKUP(A1060,'Neraca Unaudited SIMAK'!$A$2:$S$10004,3,FALSE)</f>
        <v>1962972</v>
      </c>
      <c r="E1063" s="25">
        <f>SUMIFS('Daftar Koreksi'!$H$5:$H$92,'Daftar Koreksi'!$D$5:$D$92,'0300'!A1060,'Daftar Koreksi'!$G$5:$G$92,"Persediaan",'Daftar Koreksi'!$H$5:$H$92,"&gt;0")</f>
        <v>0</v>
      </c>
      <c r="F1063" s="25">
        <f>SUMIFS('Daftar Koreksi'!$H$5:$H$92,'Daftar Koreksi'!$D$5:$D$92,'0300'!A1060,'Daftar Koreksi'!$G$5:$G$92,"Persediaan",'Daftar Koreksi'!$H$5:$H$92,"&lt;0")-SUMIFS('Daftar Koreksi'!$H$5:$H$92,'Daftar Koreksi'!$D$5:$D$92,'0300'!A1060,'Daftar Koreksi'!$G$5:$G$92,"Persediaan",'Daftar Koreksi'!$H$5:$H$92,"&lt;0")-SUMIFS('Daftar Koreksi'!$H$5:$H$92,'Daftar Koreksi'!$D$5:$D$92,'0300'!A1060,'Daftar Koreksi'!$G$5:$G$92,"Persediaan",'Daftar Koreksi'!$H$5:$H$92,"&lt;0")</f>
        <v>0</v>
      </c>
      <c r="G1063" s="17">
        <f>D1063+E1063-F1063</f>
        <v>1962972</v>
      </c>
      <c r="H1063" s="121" t="str">
        <f>IF(ISNA(VLOOKUP(A1060,'Mutasi Neraca'!$A$3:$S$914,19,FALSE)),"-",VLOOKUP(A1060,'Mutasi Neraca'!$A$3:$S$914,19,FALSE))</f>
        <v>-</v>
      </c>
    </row>
    <row r="1064" spans="1:8" ht="21.95" customHeight="1">
      <c r="A1064" s="14"/>
      <c r="B1064" s="14"/>
      <c r="C1064" s="16" t="s">
        <v>1166</v>
      </c>
      <c r="D1064" s="17">
        <f>VLOOKUP(A1060,'Neraca Unaudited SIMAK'!$A$2:$S$10004,4,FALSE)</f>
        <v>4592500000</v>
      </c>
      <c r="E1064" s="25">
        <f>SUMIFS('Daftar Koreksi'!$H$5:$H$92,'Daftar Koreksi'!$D$5:$D$92,'0300'!A1060,'Daftar Koreksi'!$G$5:$G$92,"Tanah",'Daftar Koreksi'!$H$5:$H$92,"&gt;0")</f>
        <v>0</v>
      </c>
      <c r="F1064" s="25">
        <f>SUMIFS('Daftar Koreksi'!$H$5:$H$92,'Daftar Koreksi'!$D$5:$D$92,'0300'!A1060,'Daftar Koreksi'!$G$5:$G$92,"Tanah",'Daftar Koreksi'!$H$5:$H$92,"&lt;0")-SUMIFS('Daftar Koreksi'!$H$5:$H$92,'Daftar Koreksi'!$D$5:$D$92,'0300'!A1060,'Daftar Koreksi'!$G$5:$G$92,"Tanah",'Daftar Koreksi'!$H$5:$H$92,"&lt;0")-SUMIFS('Daftar Koreksi'!$H$5:$H$92,'Daftar Koreksi'!$D$5:$D$92,'0300'!A1060,'Daftar Koreksi'!$G$5:$G$92,"Tanah",'Daftar Koreksi'!$H$5:$H$92,"&lt;0")</f>
        <v>0</v>
      </c>
      <c r="G1064" s="17">
        <f t="shared" ref="G1064:G1080" si="48">D1064+E1064-F1064</f>
        <v>4592500000</v>
      </c>
      <c r="H1064" s="122"/>
    </row>
    <row r="1065" spans="1:8" ht="21.95" customHeight="1">
      <c r="A1065" s="14"/>
      <c r="B1065" s="14"/>
      <c r="C1065" s="16" t="s">
        <v>1167</v>
      </c>
      <c r="D1065" s="17">
        <f>VLOOKUP(A1060,'Neraca Unaudited SIMAK'!$A$2:$S$10004,5,FALSE)</f>
        <v>1067332207</v>
      </c>
      <c r="E1065" s="25">
        <f>SUMIFS('Daftar Koreksi'!$H$5:$H$92,'Daftar Koreksi'!$D$5:$D$92,'0300'!A1060,'Daftar Koreksi'!$G$5:$G$92,"Peralatan dan mesin",'Daftar Koreksi'!$H$5:$H$92,"&gt;0")</f>
        <v>0</v>
      </c>
      <c r="F1065" s="25">
        <f>SUMIFS('Daftar Koreksi'!$H$5:$H$92,'Daftar Koreksi'!$D$5:$D$92,'0300'!A1060,'Daftar Koreksi'!$G$5:$G$92,"Peralatan dan mesin",'Daftar Koreksi'!$H$5:$H$92,"&lt;0")-SUMIFS('Daftar Koreksi'!$H$5:$H$92,'Daftar Koreksi'!$D$5:$D$92,'0300'!A1060,'Daftar Koreksi'!$G$5:$G$92,"Peralatan dan mesin",'Daftar Koreksi'!$H$5:$H$92,"&lt;0")-SUMIFS('Daftar Koreksi'!$H$5:$H$92,'Daftar Koreksi'!$D$5:$D$92,'0300'!A1060,'Daftar Koreksi'!$G$5:$G$92,"Peralatan dan mesin",'Daftar Koreksi'!$H$5:$H$92,"&lt;0")</f>
        <v>0</v>
      </c>
      <c r="G1065" s="17">
        <f t="shared" si="48"/>
        <v>1067332207</v>
      </c>
      <c r="H1065" s="122"/>
    </row>
    <row r="1066" spans="1:8" ht="21.95" customHeight="1">
      <c r="A1066" s="14"/>
      <c r="B1066" s="14"/>
      <c r="C1066" s="16" t="s">
        <v>1168</v>
      </c>
      <c r="D1066" s="17">
        <f>VLOOKUP(A1060,'Neraca Unaudited SIMAK'!$A$2:$S$10004,6,FALSE)</f>
        <v>5368927800</v>
      </c>
      <c r="E1066" s="25">
        <f>SUMIFS('Daftar Koreksi'!$H$5:$H$92,'Daftar Koreksi'!$D$5:$D$92,'0300'!A1060,'Daftar Koreksi'!$G$5:$G$92,"Gedung dan Bangunan",'Daftar Koreksi'!$H$5:$H$92,"&gt;0")</f>
        <v>0</v>
      </c>
      <c r="F1066" s="25">
        <f>SUMIFS('Daftar Koreksi'!$H$5:$H$92,'Daftar Koreksi'!$D$5:$D$92,'0300'!A1060,'Daftar Koreksi'!$G$5:$G$92,"Gedung dan Bangunan",'Daftar Koreksi'!$H$5:$H$92,"&lt;0")-SUMIFS('Daftar Koreksi'!$H$5:$H$92,'Daftar Koreksi'!$D$5:$D$92,'0300'!A1060,'Daftar Koreksi'!$G$5:$G$92,"Gedung dan Bangunan",'Daftar Koreksi'!$H$5:$H$92,"&lt;0")-SUMIFS('Daftar Koreksi'!$H$5:$H$92,'Daftar Koreksi'!$D$5:$D$92,'0300'!A1060,'Daftar Koreksi'!$G$5:$G$92,"Gedung dan Bangunan",'Daftar Koreksi'!$H$5:$H$92,"&lt;0")</f>
        <v>0</v>
      </c>
      <c r="G1066" s="17">
        <f t="shared" si="48"/>
        <v>5368927800</v>
      </c>
      <c r="H1066" s="122"/>
    </row>
    <row r="1067" spans="1:8" ht="21.95" customHeight="1">
      <c r="A1067" s="14"/>
      <c r="B1067" s="14"/>
      <c r="C1067" s="16" t="s">
        <v>1169</v>
      </c>
      <c r="D1067" s="17">
        <f>VLOOKUP(A1060,'Neraca Unaudited SIMAK'!$A$2:$S$10004,7,FALSE)</f>
        <v>80000000</v>
      </c>
      <c r="E1067" s="25">
        <f>SUMIFS('Daftar Koreksi'!$H$5:$H$92,'Daftar Koreksi'!$D$5:$D$92,'0300'!A1060,'Daftar Koreksi'!$G$5:$G$92,"Jalan Irigasi Jaringan",'Daftar Koreksi'!$H$5:$H$92,"&gt;0")</f>
        <v>0</v>
      </c>
      <c r="F1067" s="25">
        <f>SUMIFS('Daftar Koreksi'!$H$5:$H$92,'Daftar Koreksi'!$D$5:$D$92,'0300'!A1060,'Daftar Koreksi'!$G$5:$G$92,"Jalan Irigasi Jaringan",'Daftar Koreksi'!$H$5:$H$92,"&lt;0")-SUMIFS('Daftar Koreksi'!$H$5:$H$92,'Daftar Koreksi'!$D$5:$D$92,'0300'!A1060,'Daftar Koreksi'!$G$5:$G$92,"Jalan Irigasi Jaringan",'Daftar Koreksi'!$H$5:$H$92,"&lt;0")-SUMIFS('Daftar Koreksi'!$H$5:$H$92,'Daftar Koreksi'!$D$5:$D$92,'0300'!A1060,'Daftar Koreksi'!$G$5:$G$92,"Jalan Irigasi Jaringan",'Daftar Koreksi'!$H$5:$H$92,"&lt;0")</f>
        <v>0</v>
      </c>
      <c r="G1067" s="17">
        <f t="shared" si="48"/>
        <v>80000000</v>
      </c>
      <c r="H1067" s="122"/>
    </row>
    <row r="1068" spans="1:8" ht="21.95" customHeight="1">
      <c r="A1068" s="14"/>
      <c r="B1068" s="14"/>
      <c r="C1068" s="16" t="s">
        <v>1170</v>
      </c>
      <c r="D1068" s="17">
        <f>VLOOKUP(A1060,'Neraca Unaudited SIMAK'!$A$2:$S$10004,8,FALSE)</f>
        <v>3236678</v>
      </c>
      <c r="E1068" s="25">
        <f>SUMIFS('Daftar Koreksi'!$H$5:$H$92,'Daftar Koreksi'!$D$5:$D$92,'0300'!A1060,'Daftar Koreksi'!$G$5:$G$92,"Aset Tetap Lainnya",'Daftar Koreksi'!$H$5:$H$92,"&gt;0")</f>
        <v>0</v>
      </c>
      <c r="F1068" s="25">
        <f>SUMIFS('Daftar Koreksi'!$H$5:$H$92,'Daftar Koreksi'!$D$5:$D$92,'0300'!A1060,'Daftar Koreksi'!$G$5:$G$92,"Aset Tetap Lainnya",'Daftar Koreksi'!$H$5:$H$92,"&lt;0")-SUMIFS('Daftar Koreksi'!$H$5:$H$92,'Daftar Koreksi'!$D$5:$D$92,'0300'!A1060,'Daftar Koreksi'!$G$5:$G$92,"Aset Tetap Lainnya",'Daftar Koreksi'!$H$5:$H$92,"&lt;0")-SUMIFS('Daftar Koreksi'!$H$5:$H$92,'Daftar Koreksi'!$D$5:$D$92,'0300'!A1060,'Daftar Koreksi'!$G$5:$G$92,"Aset Tetap Lainnya",'Daftar Koreksi'!$H$5:$H$92,"&lt;0")</f>
        <v>0</v>
      </c>
      <c r="G1068" s="17">
        <f t="shared" si="48"/>
        <v>3236678</v>
      </c>
      <c r="H1068" s="122"/>
    </row>
    <row r="1069" spans="1:8" ht="21.95" customHeight="1">
      <c r="A1069" s="14"/>
      <c r="B1069" s="14"/>
      <c r="C1069" s="16" t="s">
        <v>1171</v>
      </c>
      <c r="D1069" s="17">
        <f>VLOOKUP(A1060,'Neraca Unaudited SIMAK'!$A$2:$S$10004,9,FALSE)</f>
        <v>0</v>
      </c>
      <c r="E1069" s="25">
        <f>SUMIFS('Daftar Koreksi'!$H$5:$H$92,'Daftar Koreksi'!$D$5:$D$92,'0300'!A1060,'Daftar Koreksi'!$G$5:$G$92,"Kontruksi Dalam Pengerjaan",'Daftar Koreksi'!$H$5:$H$92,"&gt;0")</f>
        <v>0</v>
      </c>
      <c r="F1069" s="25">
        <f>SUMIFS('Daftar Koreksi'!$H$5:$H$92,'Daftar Koreksi'!$D$5:$D$92,'0300'!A1060,'Daftar Koreksi'!$G$5:$G$92,"Kontruksi Dalam Pengerjaan",'Daftar Koreksi'!$H$5:$H$92,"&lt;0")-SUMIFS('Daftar Koreksi'!$H$5:$H$92,'Daftar Koreksi'!$D$5:$D$92,'0300'!A1060,'Daftar Koreksi'!$G$5:$G$92,"Kontruksi Dalam Pengerjaan",'Daftar Koreksi'!$H$5:$H$92,"&lt;0")-SUMIFS('Daftar Koreksi'!$H$5:$H$92,'Daftar Koreksi'!$D$5:$D$92,'0300'!A1060,'Daftar Koreksi'!$G$5:$G$92,"Kontruksi Dalam Pengerjaan",'Daftar Koreksi'!$H$5:$H$92,"&lt;0")</f>
        <v>0</v>
      </c>
      <c r="G1069" s="17">
        <f t="shared" si="48"/>
        <v>0</v>
      </c>
      <c r="H1069" s="122"/>
    </row>
    <row r="1070" spans="1:8" ht="21.95" customHeight="1">
      <c r="A1070" s="14"/>
      <c r="B1070" s="14"/>
      <c r="C1070" s="16" t="s">
        <v>1172</v>
      </c>
      <c r="D1070" s="17">
        <f>VLOOKUP(A1060,'Neraca Unaudited SIMAK'!$A$2:$S$10004,10,FALSE)</f>
        <v>7000000</v>
      </c>
      <c r="E1070" s="25">
        <f>SUMIFS('Daftar Koreksi'!$H$5:$H$92,'Daftar Koreksi'!$D$5:$D$92,'0300'!A1060,'Daftar Koreksi'!$G$5:$G$92,"Aset Tak Berwujud",'Daftar Koreksi'!$H$5:$H$92,"&gt;0")</f>
        <v>0</v>
      </c>
      <c r="F1070" s="25">
        <f>SUMIFS('Daftar Koreksi'!$H$5:$H$92,'Daftar Koreksi'!$D$5:$D$92,'0300'!A1060,'Daftar Koreksi'!$G$5:$G$92,"Aset Tak Berwujud",'Daftar Koreksi'!$H$5:$H$92,"&lt;0")-SUMIFS('Daftar Koreksi'!$H$5:$H$92,'Daftar Koreksi'!$D$5:$D$92,'0300'!A1060,'Daftar Koreksi'!$G$5:$G$92,"Aset Tak Berwujud",'Daftar Koreksi'!$H$5:$H$92,"&lt;0")-SUMIFS('Daftar Koreksi'!$H$5:$H$92,'Daftar Koreksi'!$D$5:$D$92,'0300'!A1060,'Daftar Koreksi'!$G$5:$G$92,"Aset Tak Berwujud",'Daftar Koreksi'!$H$5:$H$92,"&lt;0")</f>
        <v>0</v>
      </c>
      <c r="G1070" s="17">
        <f t="shared" si="48"/>
        <v>7000000</v>
      </c>
      <c r="H1070" s="122"/>
    </row>
    <row r="1071" spans="1:8" ht="21.95" customHeight="1">
      <c r="A1071" s="14"/>
      <c r="B1071" s="14"/>
      <c r="C1071" s="16" t="s">
        <v>1173</v>
      </c>
      <c r="D1071" s="17">
        <f>VLOOKUP(A1060,'Neraca Unaudited SIMAK'!$A$2:$S$10004,11,FALSE)</f>
        <v>13898377</v>
      </c>
      <c r="E1071" s="25">
        <f>SUMIFS('Daftar Koreksi'!$H$5:$H$92,'Daftar Koreksi'!$D$5:$D$92,'0300'!A1060,'Daftar Koreksi'!$G$5:$G$92,"Aset Henti Guna",'Daftar Koreksi'!$H$5:$H$92,"&gt;0")</f>
        <v>0</v>
      </c>
      <c r="F1071" s="25">
        <f>SUMIFS('Daftar Koreksi'!$H$5:$H$92,'Daftar Koreksi'!$D$5:$D$92,'0300'!A1060,'Daftar Koreksi'!$G$5:$G$92,"Aset Henti Guna",'Daftar Koreksi'!$H$5:$H$92,"&lt;0")-SUMIFS('Daftar Koreksi'!$H$5:$H$92,'Daftar Koreksi'!$D$5:$D$92,'0300'!A1060,'Daftar Koreksi'!$G$5:$G$92,"Aset Henti Guna",'Daftar Koreksi'!$H$5:$H$92,"&lt;0")-SUMIFS('Daftar Koreksi'!$H$5:$H$92,'Daftar Koreksi'!$D$5:$D$92,'0300'!A1060,'Daftar Koreksi'!$G$5:$G$92,"Aset Henti Guna",'Daftar Koreksi'!$H$5:$H$92,"&lt;0")</f>
        <v>0</v>
      </c>
      <c r="G1071" s="17">
        <f t="shared" si="48"/>
        <v>13898377</v>
      </c>
      <c r="H1071" s="122"/>
    </row>
    <row r="1072" spans="1:8" ht="21.95" customHeight="1">
      <c r="A1072" s="14"/>
      <c r="B1072" s="14"/>
      <c r="C1072" s="18" t="s">
        <v>2093</v>
      </c>
      <c r="D1072" s="19">
        <f>VLOOKUP(A1060,'Neraca Unaudited SIMAK'!$A$2:$S$10004,12,FALSE)</f>
        <v>11134858034</v>
      </c>
      <c r="E1072" s="19">
        <f>SUM(E1063:E1071)</f>
        <v>0</v>
      </c>
      <c r="F1072" s="19">
        <f>SUM(F1063:F1071)</f>
        <v>0</v>
      </c>
      <c r="G1072" s="19">
        <f t="shared" si="48"/>
        <v>11134858034</v>
      </c>
      <c r="H1072" s="122"/>
    </row>
    <row r="1073" spans="1:8" ht="21.95" customHeight="1">
      <c r="A1073" s="14"/>
      <c r="B1073" s="14"/>
      <c r="C1073" s="16" t="s">
        <v>2087</v>
      </c>
      <c r="D1073" s="17">
        <f>VLOOKUP(A1060,'Neraca Unaudited SIMAK'!$A$2:$S$10004,13,FALSE)</f>
        <v>-620720000</v>
      </c>
      <c r="E1073" s="25">
        <f>SUMIFS('Daftar Koreksi'!$I$5:$I$92,'Daftar Koreksi'!$D$5:$D$92,'0300'!A1060,'Daftar Koreksi'!$G$5:$G$92,"Peralatan dan mesin",'Daftar Koreksi'!$I$5:$I$92,"&gt;0")</f>
        <v>0</v>
      </c>
      <c r="F1073" s="25">
        <f>SUMIFS('Daftar Koreksi'!$I$5:$I$92,'Daftar Koreksi'!$D$5:$D$92,'0300'!A1060,'Daftar Koreksi'!$G$5:$G$92,"Peralatan dan mesin",'Daftar Koreksi'!$I$5:$I$92,"&lt;0")-SUMIFS('Daftar Koreksi'!$I$5:$I$92,'Daftar Koreksi'!$D$5:$D$92,'0300'!A1060,'Daftar Koreksi'!$G$5:$G$92,"Peralatan dan mesin",'Daftar Koreksi'!$I$5:$I$92,"&lt;0")-SUMIFS('Daftar Koreksi'!$I$5:$I$92,'Daftar Koreksi'!$D$5:$D$92,'0300'!A1060,'Daftar Koreksi'!$G$5:$G$92,"Peralatan dan mesin",'Daftar Koreksi'!$I$5:$I$92,"&lt;0")</f>
        <v>0</v>
      </c>
      <c r="G1073" s="17">
        <f t="shared" si="48"/>
        <v>-620720000</v>
      </c>
      <c r="H1073" s="122"/>
    </row>
    <row r="1074" spans="1:8" ht="21.95" customHeight="1">
      <c r="A1074" s="14"/>
      <c r="B1074" s="14"/>
      <c r="C1074" s="16" t="s">
        <v>2088</v>
      </c>
      <c r="D1074" s="17">
        <f>VLOOKUP(A1060,'Neraca Unaudited SIMAK'!$A$2:$S$10004,14,FALSE)</f>
        <v>-207450718</v>
      </c>
      <c r="E1074" s="25">
        <f>SUMIFS('Daftar Koreksi'!$I$5:$I$92,'Daftar Koreksi'!$D$5:$D$92,'0300'!A1060,'Daftar Koreksi'!$G$5:$G$92,"Gedung dan Bangunan",'Daftar Koreksi'!$I$5:$I$92,"&gt;0")</f>
        <v>0</v>
      </c>
      <c r="F1074" s="25">
        <f>SUMIFS('Daftar Koreksi'!$I$5:$I$92,'Daftar Koreksi'!$D$5:$D$92,'0300'!A1060,'Daftar Koreksi'!$G$5:$G$92,"Gedung dan Bangunan",'Daftar Koreksi'!$I$5:$I$92,"&lt;0")-SUMIFS('Daftar Koreksi'!$I$5:$I$92,'Daftar Koreksi'!$D$5:$D$92,'0300'!A1060,'Daftar Koreksi'!$G$5:$G$92,"Gedung dan Bangunan",'Daftar Koreksi'!$I$5:$I$92,"&lt;0")-SUMIFS('Daftar Koreksi'!$I$5:$I$92,'Daftar Koreksi'!$D$5:$D$92,'0300'!A1060,'Daftar Koreksi'!$G$5:$G$92,"Gedung dan Bangunan",'Daftar Koreksi'!$I$5:$I$92,"&lt;0")</f>
        <v>0</v>
      </c>
      <c r="G1074" s="17">
        <f t="shared" si="48"/>
        <v>-207450718</v>
      </c>
      <c r="H1074" s="122"/>
    </row>
    <row r="1075" spans="1:8" ht="21.95" customHeight="1">
      <c r="A1075" s="14"/>
      <c r="B1075" s="14"/>
      <c r="C1075" s="16" t="s">
        <v>2089</v>
      </c>
      <c r="D1075" s="17">
        <f>VLOOKUP(A1060,'Neraca Unaudited SIMAK'!$A$2:$S$10004,15,FALSE)</f>
        <v>-80000000</v>
      </c>
      <c r="E1075" s="25">
        <f>SUMIFS('Daftar Koreksi'!$I$5:$I$92,'Daftar Koreksi'!$D$5:$D$92,'0300'!A1060,'Daftar Koreksi'!$G$5:$G$92,"Jalan Irigasi Jaringan",'Daftar Koreksi'!$I$5:$I$92,"&gt;0")</f>
        <v>0</v>
      </c>
      <c r="F1075" s="25">
        <f>SUMIFS('Daftar Koreksi'!$I$5:$I$92,'Daftar Koreksi'!$D$5:$D$92,'0300'!A1060,'Daftar Koreksi'!$G$5:$G$92,"Jalan Irigasi Jaringan",'Daftar Koreksi'!$I$5:$I$92,"&lt;0")-SUMIFS('Daftar Koreksi'!$I$5:$I$92,'Daftar Koreksi'!$D$5:$D$92,'0300'!A1060,'Daftar Koreksi'!$G$5:$G$92,"Jalan Irigasi Jaringan",'Daftar Koreksi'!$I$5:$I$92,"&lt;0")-SUMIFS('Daftar Koreksi'!$I$5:$I$92,'Daftar Koreksi'!$D$5:$D$92,'0300'!A1060,'Daftar Koreksi'!$G$5:$G$92,"Jalan Irigasi Jaringan",'Daftar Koreksi'!$I$5:$I$92,"&lt;0")</f>
        <v>0</v>
      </c>
      <c r="G1075" s="17">
        <f t="shared" si="48"/>
        <v>-80000000</v>
      </c>
      <c r="H1075" s="122"/>
    </row>
    <row r="1076" spans="1:8" ht="21.95" customHeight="1">
      <c r="A1076" s="14"/>
      <c r="B1076" s="14"/>
      <c r="C1076" s="16" t="s">
        <v>2090</v>
      </c>
      <c r="D1076" s="17">
        <f>VLOOKUP(A1060,'Neraca Unaudited SIMAK'!$A$2:$S$10004,16,FALSE)</f>
        <v>0</v>
      </c>
      <c r="E1076" s="25">
        <f>SUMIFS('Daftar Koreksi'!$I$5:$I$92,'Daftar Koreksi'!$D$5:$D$92,'0300'!A1060,'Daftar Koreksi'!$G$5:$G$92,"Aset Tetap Lainnya",'Daftar Koreksi'!$I$5:$I$92,"&gt;0")</f>
        <v>0</v>
      </c>
      <c r="F1076" s="25">
        <f>SUMIFS('Daftar Koreksi'!$I$5:$I$92,'Daftar Koreksi'!$D$5:$D$92,'0300'!A1060,'Daftar Koreksi'!$G$5:$G$92,"Aset Tetap Lainnya",'Daftar Koreksi'!$I$5:$I$92,"&lt;0")-SUMIFS('Daftar Koreksi'!$I$5:$I$92,'Daftar Koreksi'!$D$5:$D$92,'0300'!A1060,'Daftar Koreksi'!$G$5:$G$92,"Aset Tetap Lainnya",'Daftar Koreksi'!$I$5:$I$92,"&lt;0")-SUMIFS('Daftar Koreksi'!$I$5:$I$92,'Daftar Koreksi'!$D$5:$D$92,'0300'!A1060,'Daftar Koreksi'!$G$5:$G$92,"Aset Tetap Lainnya",'Daftar Koreksi'!$I$5:$I$92,"&lt;0")</f>
        <v>0</v>
      </c>
      <c r="G1076" s="17">
        <f t="shared" si="48"/>
        <v>0</v>
      </c>
      <c r="H1076" s="122"/>
    </row>
    <row r="1077" spans="1:8" ht="21.95" customHeight="1">
      <c r="A1077" s="14"/>
      <c r="B1077" s="14"/>
      <c r="C1077" s="16" t="s">
        <v>2020</v>
      </c>
      <c r="D1077" s="17">
        <f>VLOOKUP(A1060,'Neraca Unaudited SIMAK'!$A$2:$S$10004,17,FALSE)</f>
        <v>-13898377</v>
      </c>
      <c r="E1077" s="25">
        <f>SUMIFS('Daftar Koreksi'!$I$5:$I$92,'Daftar Koreksi'!$D$5:$D$92,'0300'!A1060,'Daftar Koreksi'!$G$5:$G$92,"Aset Henti Guna",'Daftar Koreksi'!$I$5:$I$92,"&gt;0")</f>
        <v>0</v>
      </c>
      <c r="F1077" s="25">
        <f>SUMIFS('Daftar Koreksi'!$I$5:$I$92,'Daftar Koreksi'!$D$5:$D$92,'0300'!A1060,'Daftar Koreksi'!$G$5:$G$92,"Aset Henti Guna",'Daftar Koreksi'!$I$5:$I$92,"&lt;0")-SUMIFS('Daftar Koreksi'!$I$5:$I$92,'Daftar Koreksi'!$D$5:$D$92,'0300'!A1060,'Daftar Koreksi'!$G$5:$G$92,"Aset Henti Guna",'Daftar Koreksi'!$I$5:$I$92,"&lt;0")-SUMIFS('Daftar Koreksi'!$I$5:$I$92,'Daftar Koreksi'!$D$5:$D$92,'0300'!A1060,'Daftar Koreksi'!$G$5:$G$92,"Aset Henti Guna",'Daftar Koreksi'!$I$5:$I$92,"&lt;0")</f>
        <v>0</v>
      </c>
      <c r="G1077" s="17">
        <f t="shared" si="48"/>
        <v>-13898377</v>
      </c>
      <c r="H1077" s="122"/>
    </row>
    <row r="1078" spans="1:8" ht="21.95" customHeight="1">
      <c r="A1078" s="14"/>
      <c r="B1078" s="14"/>
      <c r="C1078" s="18" t="s">
        <v>2094</v>
      </c>
      <c r="D1078" s="19">
        <f>SUM(D1073:D1077)</f>
        <v>-922069095</v>
      </c>
      <c r="E1078" s="19">
        <f>SUM(E1073:E1077)</f>
        <v>0</v>
      </c>
      <c r="F1078" s="19">
        <f>SUM(F1073:F1077)</f>
        <v>0</v>
      </c>
      <c r="G1078" s="19">
        <f t="shared" si="48"/>
        <v>-922069095</v>
      </c>
      <c r="H1078" s="122"/>
    </row>
    <row r="1079" spans="1:8" ht="21.95" customHeight="1">
      <c r="A1079" s="14"/>
      <c r="B1079" s="14"/>
      <c r="C1079" s="18" t="s">
        <v>2095</v>
      </c>
      <c r="D1079" s="19">
        <f>VLOOKUP(A1060,'Neraca Unaudited SIMAK'!$A$2:$S$10004,18,FALSE)</f>
        <v>10212788939</v>
      </c>
      <c r="E1079" s="19">
        <f>E1078+E1072</f>
        <v>0</v>
      </c>
      <c r="F1079" s="19">
        <f>F1078+F1072</f>
        <v>0</v>
      </c>
      <c r="G1079" s="19">
        <f t="shared" si="48"/>
        <v>10212788939</v>
      </c>
      <c r="H1079" s="122"/>
    </row>
    <row r="1080" spans="1:8" ht="21.95" customHeight="1">
      <c r="A1080" s="14"/>
      <c r="B1080" s="14"/>
      <c r="C1080" s="16" t="s">
        <v>2091</v>
      </c>
      <c r="D1080" s="17">
        <f>VLOOKUP(A1060,'Neraca Unaudited SIMAK'!$A$2:$S$10004,19,FALSE)</f>
        <v>0</v>
      </c>
      <c r="E1080" s="25"/>
      <c r="F1080" s="25"/>
      <c r="G1080" s="17">
        <f t="shared" si="48"/>
        <v>0</v>
      </c>
      <c r="H1080" s="123"/>
    </row>
    <row r="1082" spans="1:8" ht="19.5" customHeight="1">
      <c r="A1082" s="11" t="str">
        <f>O50</f>
        <v>005010300400998000KD</v>
      </c>
      <c r="B1082" s="11" t="str">
        <f>P50</f>
        <v>PA. Rembang</v>
      </c>
      <c r="C1082" s="12" t="str">
        <f>A1082&amp;" "&amp;B1082</f>
        <v>005010300400998000KD PA. Rembang</v>
      </c>
      <c r="D1082" s="13"/>
      <c r="E1082" s="13"/>
      <c r="F1082" s="13"/>
      <c r="G1082" s="13"/>
      <c r="H1082" s="11"/>
    </row>
    <row r="1083" spans="1:8" ht="21.95" customHeight="1">
      <c r="A1083" s="14"/>
      <c r="B1083" s="14"/>
      <c r="C1083" s="124" t="s">
        <v>1982</v>
      </c>
      <c r="D1083" s="126" t="s">
        <v>1983</v>
      </c>
      <c r="E1083" s="132" t="s">
        <v>1984</v>
      </c>
      <c r="F1083" s="132"/>
      <c r="G1083" s="126" t="s">
        <v>1987</v>
      </c>
      <c r="H1083" s="130" t="s">
        <v>1175</v>
      </c>
    </row>
    <row r="1084" spans="1:8" ht="21.95" customHeight="1">
      <c r="A1084" s="14"/>
      <c r="B1084" s="14"/>
      <c r="C1084" s="125"/>
      <c r="D1084" s="127"/>
      <c r="E1084" s="26" t="s">
        <v>1985</v>
      </c>
      <c r="F1084" s="26" t="s">
        <v>1986</v>
      </c>
      <c r="G1084" s="127"/>
      <c r="H1084" s="131"/>
    </row>
    <row r="1085" spans="1:8" ht="21.95" customHeight="1">
      <c r="A1085" s="14"/>
      <c r="B1085" s="14"/>
      <c r="C1085" s="16" t="s">
        <v>1165</v>
      </c>
      <c r="D1085" s="17">
        <f>VLOOKUP(A1082,'Neraca Unaudited SIMAK'!$A$2:$S$10004,3,FALSE)</f>
        <v>651040</v>
      </c>
      <c r="E1085" s="25">
        <f>SUMIFS('Daftar Koreksi'!$H$5:$H$92,'Daftar Koreksi'!$D$5:$D$92,'0300'!A1082,'Daftar Koreksi'!$G$5:$G$92,"Persediaan",'Daftar Koreksi'!$H$5:$H$92,"&gt;0")</f>
        <v>0</v>
      </c>
      <c r="F1085" s="25">
        <f>SUMIFS('Daftar Koreksi'!$H$5:$H$92,'Daftar Koreksi'!$D$5:$D$92,'0300'!A1082,'Daftar Koreksi'!$G$5:$G$92,"Persediaan",'Daftar Koreksi'!$H$5:$H$92,"&lt;0")-SUMIFS('Daftar Koreksi'!$H$5:$H$92,'Daftar Koreksi'!$D$5:$D$92,'0300'!A1082,'Daftar Koreksi'!$G$5:$G$92,"Persediaan",'Daftar Koreksi'!$H$5:$H$92,"&lt;0")-SUMIFS('Daftar Koreksi'!$H$5:$H$92,'Daftar Koreksi'!$D$5:$D$92,'0300'!A1082,'Daftar Koreksi'!$G$5:$G$92,"Persediaan",'Daftar Koreksi'!$H$5:$H$92,"&lt;0")</f>
        <v>0</v>
      </c>
      <c r="G1085" s="17">
        <f>D1085+E1085-F1085</f>
        <v>651040</v>
      </c>
      <c r="H1085" s="121" t="str">
        <f>IF(ISNA(VLOOKUP(A1082,'Mutasi Neraca'!$A$3:$S$914,19,FALSE)),"-",VLOOKUP(A1082,'Mutasi Neraca'!$A$3:$S$914,19,FALSE))</f>
        <v>-</v>
      </c>
    </row>
    <row r="1086" spans="1:8" ht="21.95" customHeight="1">
      <c r="A1086" s="14"/>
      <c r="B1086" s="14"/>
      <c r="C1086" s="16" t="s">
        <v>1166</v>
      </c>
      <c r="D1086" s="17">
        <f>VLOOKUP(A1082,'Neraca Unaudited SIMAK'!$A$2:$S$10004,4,FALSE)</f>
        <v>2078600000</v>
      </c>
      <c r="E1086" s="25">
        <f>SUMIFS('Daftar Koreksi'!$H$5:$H$92,'Daftar Koreksi'!$D$5:$D$92,'0300'!A1082,'Daftar Koreksi'!$G$5:$G$92,"Tanah",'Daftar Koreksi'!$H$5:$H$92,"&gt;0")</f>
        <v>0</v>
      </c>
      <c r="F1086" s="25">
        <f>SUMIFS('Daftar Koreksi'!$H$5:$H$92,'Daftar Koreksi'!$D$5:$D$92,'0300'!A1082,'Daftar Koreksi'!$G$5:$G$92,"Tanah",'Daftar Koreksi'!$H$5:$H$92,"&lt;0")-SUMIFS('Daftar Koreksi'!$H$5:$H$92,'Daftar Koreksi'!$D$5:$D$92,'0300'!A1082,'Daftar Koreksi'!$G$5:$G$92,"Tanah",'Daftar Koreksi'!$H$5:$H$92,"&lt;0")-SUMIFS('Daftar Koreksi'!$H$5:$H$92,'Daftar Koreksi'!$D$5:$D$92,'0300'!A1082,'Daftar Koreksi'!$G$5:$G$92,"Tanah",'Daftar Koreksi'!$H$5:$H$92,"&lt;0")</f>
        <v>0</v>
      </c>
      <c r="G1086" s="17">
        <f t="shared" ref="G1086:G1102" si="49">D1086+E1086-F1086</f>
        <v>2078600000</v>
      </c>
      <c r="H1086" s="122"/>
    </row>
    <row r="1087" spans="1:8" ht="21.95" customHeight="1">
      <c r="A1087" s="14"/>
      <c r="B1087" s="14"/>
      <c r="C1087" s="16" t="s">
        <v>1167</v>
      </c>
      <c r="D1087" s="17">
        <f>VLOOKUP(A1082,'Neraca Unaudited SIMAK'!$A$2:$S$10004,5,FALSE)</f>
        <v>1161424150</v>
      </c>
      <c r="E1087" s="25">
        <f>SUMIFS('Daftar Koreksi'!$H$5:$H$92,'Daftar Koreksi'!$D$5:$D$92,'0300'!A1082,'Daftar Koreksi'!$G$5:$G$92,"Peralatan dan mesin",'Daftar Koreksi'!$H$5:$H$92,"&gt;0")</f>
        <v>0</v>
      </c>
      <c r="F1087" s="25">
        <f>SUMIFS('Daftar Koreksi'!$H$5:$H$92,'Daftar Koreksi'!$D$5:$D$92,'0300'!A1082,'Daftar Koreksi'!$G$5:$G$92,"Peralatan dan mesin",'Daftar Koreksi'!$H$5:$H$92,"&lt;0")-SUMIFS('Daftar Koreksi'!$H$5:$H$92,'Daftar Koreksi'!$D$5:$D$92,'0300'!A1082,'Daftar Koreksi'!$G$5:$G$92,"Peralatan dan mesin",'Daftar Koreksi'!$H$5:$H$92,"&lt;0")-SUMIFS('Daftar Koreksi'!$H$5:$H$92,'Daftar Koreksi'!$D$5:$D$92,'0300'!A1082,'Daftar Koreksi'!$G$5:$G$92,"Peralatan dan mesin",'Daftar Koreksi'!$H$5:$H$92,"&lt;0")</f>
        <v>0</v>
      </c>
      <c r="G1087" s="17">
        <f t="shared" si="49"/>
        <v>1161424150</v>
      </c>
      <c r="H1087" s="122"/>
    </row>
    <row r="1088" spans="1:8" ht="21.95" customHeight="1">
      <c r="A1088" s="14"/>
      <c r="B1088" s="14"/>
      <c r="C1088" s="16" t="s">
        <v>1168</v>
      </c>
      <c r="D1088" s="17">
        <f>VLOOKUP(A1082,'Neraca Unaudited SIMAK'!$A$2:$S$10004,6,FALSE)</f>
        <v>2806669200</v>
      </c>
      <c r="E1088" s="25">
        <f>SUMIFS('Daftar Koreksi'!$H$5:$H$92,'Daftar Koreksi'!$D$5:$D$92,'0300'!A1082,'Daftar Koreksi'!$G$5:$G$92,"Gedung dan Bangunan",'Daftar Koreksi'!$H$5:$H$92,"&gt;0")</f>
        <v>0</v>
      </c>
      <c r="F1088" s="25">
        <f>SUMIFS('Daftar Koreksi'!$H$5:$H$92,'Daftar Koreksi'!$D$5:$D$92,'0300'!A1082,'Daftar Koreksi'!$G$5:$G$92,"Gedung dan Bangunan",'Daftar Koreksi'!$H$5:$H$92,"&lt;0")-SUMIFS('Daftar Koreksi'!$H$5:$H$92,'Daftar Koreksi'!$D$5:$D$92,'0300'!A1082,'Daftar Koreksi'!$G$5:$G$92,"Gedung dan Bangunan",'Daftar Koreksi'!$H$5:$H$92,"&lt;0")-SUMIFS('Daftar Koreksi'!$H$5:$H$92,'Daftar Koreksi'!$D$5:$D$92,'0300'!A1082,'Daftar Koreksi'!$G$5:$G$92,"Gedung dan Bangunan",'Daftar Koreksi'!$H$5:$H$92,"&lt;0")</f>
        <v>0</v>
      </c>
      <c r="G1088" s="17">
        <f t="shared" si="49"/>
        <v>2806669200</v>
      </c>
      <c r="H1088" s="122"/>
    </row>
    <row r="1089" spans="1:8" ht="21.95" customHeight="1">
      <c r="A1089" s="14"/>
      <c r="B1089" s="14"/>
      <c r="C1089" s="16" t="s">
        <v>1169</v>
      </c>
      <c r="D1089" s="17">
        <f>VLOOKUP(A1082,'Neraca Unaudited SIMAK'!$A$2:$S$10004,7,FALSE)</f>
        <v>0</v>
      </c>
      <c r="E1089" s="25">
        <f>SUMIFS('Daftar Koreksi'!$H$5:$H$92,'Daftar Koreksi'!$D$5:$D$92,'0300'!A1082,'Daftar Koreksi'!$G$5:$G$92,"Jalan Irigasi Jaringan",'Daftar Koreksi'!$H$5:$H$92,"&gt;0")</f>
        <v>0</v>
      </c>
      <c r="F1089" s="25">
        <f>SUMIFS('Daftar Koreksi'!$H$5:$H$92,'Daftar Koreksi'!$D$5:$D$92,'0300'!A1082,'Daftar Koreksi'!$G$5:$G$92,"Jalan Irigasi Jaringan",'Daftar Koreksi'!$H$5:$H$92,"&lt;0")-SUMIFS('Daftar Koreksi'!$H$5:$H$92,'Daftar Koreksi'!$D$5:$D$92,'0300'!A1082,'Daftar Koreksi'!$G$5:$G$92,"Jalan Irigasi Jaringan",'Daftar Koreksi'!$H$5:$H$92,"&lt;0")-SUMIFS('Daftar Koreksi'!$H$5:$H$92,'Daftar Koreksi'!$D$5:$D$92,'0300'!A1082,'Daftar Koreksi'!$G$5:$G$92,"Jalan Irigasi Jaringan",'Daftar Koreksi'!$H$5:$H$92,"&lt;0")</f>
        <v>0</v>
      </c>
      <c r="G1089" s="17">
        <f t="shared" si="49"/>
        <v>0</v>
      </c>
      <c r="H1089" s="122"/>
    </row>
    <row r="1090" spans="1:8" ht="21.95" customHeight="1">
      <c r="A1090" s="14"/>
      <c r="B1090" s="14"/>
      <c r="C1090" s="16" t="s">
        <v>1170</v>
      </c>
      <c r="D1090" s="17">
        <f>VLOOKUP(A1082,'Neraca Unaudited SIMAK'!$A$2:$S$10004,8,FALSE)</f>
        <v>3604180</v>
      </c>
      <c r="E1090" s="25">
        <f>SUMIFS('Daftar Koreksi'!$H$5:$H$92,'Daftar Koreksi'!$D$5:$D$92,'0300'!A1082,'Daftar Koreksi'!$G$5:$G$92,"Aset Tetap Lainnya",'Daftar Koreksi'!$H$5:$H$92,"&gt;0")</f>
        <v>0</v>
      </c>
      <c r="F1090" s="25">
        <f>SUMIFS('Daftar Koreksi'!$H$5:$H$92,'Daftar Koreksi'!$D$5:$D$92,'0300'!A1082,'Daftar Koreksi'!$G$5:$G$92,"Aset Tetap Lainnya",'Daftar Koreksi'!$H$5:$H$92,"&lt;0")-SUMIFS('Daftar Koreksi'!$H$5:$H$92,'Daftar Koreksi'!$D$5:$D$92,'0300'!A1082,'Daftar Koreksi'!$G$5:$G$92,"Aset Tetap Lainnya",'Daftar Koreksi'!$H$5:$H$92,"&lt;0")-SUMIFS('Daftar Koreksi'!$H$5:$H$92,'Daftar Koreksi'!$D$5:$D$92,'0300'!A1082,'Daftar Koreksi'!$G$5:$G$92,"Aset Tetap Lainnya",'Daftar Koreksi'!$H$5:$H$92,"&lt;0")</f>
        <v>0</v>
      </c>
      <c r="G1090" s="17">
        <f t="shared" si="49"/>
        <v>3604180</v>
      </c>
      <c r="H1090" s="122"/>
    </row>
    <row r="1091" spans="1:8" ht="21.95" customHeight="1">
      <c r="A1091" s="14"/>
      <c r="B1091" s="14"/>
      <c r="C1091" s="16" t="s">
        <v>1171</v>
      </c>
      <c r="D1091" s="17">
        <f>VLOOKUP(A1082,'Neraca Unaudited SIMAK'!$A$2:$S$10004,9,FALSE)</f>
        <v>0</v>
      </c>
      <c r="E1091" s="25">
        <f>SUMIFS('Daftar Koreksi'!$H$5:$H$92,'Daftar Koreksi'!$D$5:$D$92,'0300'!A1082,'Daftar Koreksi'!$G$5:$G$92,"Kontruksi Dalam Pengerjaan",'Daftar Koreksi'!$H$5:$H$92,"&gt;0")</f>
        <v>0</v>
      </c>
      <c r="F1091" s="25">
        <f>SUMIFS('Daftar Koreksi'!$H$5:$H$92,'Daftar Koreksi'!$D$5:$D$92,'0300'!A1082,'Daftar Koreksi'!$G$5:$G$92,"Kontruksi Dalam Pengerjaan",'Daftar Koreksi'!$H$5:$H$92,"&lt;0")-SUMIFS('Daftar Koreksi'!$H$5:$H$92,'Daftar Koreksi'!$D$5:$D$92,'0300'!A1082,'Daftar Koreksi'!$G$5:$G$92,"Kontruksi Dalam Pengerjaan",'Daftar Koreksi'!$H$5:$H$92,"&lt;0")-SUMIFS('Daftar Koreksi'!$H$5:$H$92,'Daftar Koreksi'!$D$5:$D$92,'0300'!A1082,'Daftar Koreksi'!$G$5:$G$92,"Kontruksi Dalam Pengerjaan",'Daftar Koreksi'!$H$5:$H$92,"&lt;0")</f>
        <v>0</v>
      </c>
      <c r="G1091" s="17">
        <f t="shared" si="49"/>
        <v>0</v>
      </c>
      <c r="H1091" s="122"/>
    </row>
    <row r="1092" spans="1:8" ht="21.95" customHeight="1">
      <c r="A1092" s="14"/>
      <c r="B1092" s="14"/>
      <c r="C1092" s="16" t="s">
        <v>1172</v>
      </c>
      <c r="D1092" s="17">
        <f>VLOOKUP(A1082,'Neraca Unaudited SIMAK'!$A$2:$S$10004,10,FALSE)</f>
        <v>42300000</v>
      </c>
      <c r="E1092" s="25">
        <f>SUMIFS('Daftar Koreksi'!$H$5:$H$92,'Daftar Koreksi'!$D$5:$D$92,'0300'!A1082,'Daftar Koreksi'!$G$5:$G$92,"Aset Tak Berwujud",'Daftar Koreksi'!$H$5:$H$92,"&gt;0")</f>
        <v>0</v>
      </c>
      <c r="F1092" s="25">
        <f>SUMIFS('Daftar Koreksi'!$H$5:$H$92,'Daftar Koreksi'!$D$5:$D$92,'0300'!A1082,'Daftar Koreksi'!$G$5:$G$92,"Aset Tak Berwujud",'Daftar Koreksi'!$H$5:$H$92,"&lt;0")-SUMIFS('Daftar Koreksi'!$H$5:$H$92,'Daftar Koreksi'!$D$5:$D$92,'0300'!A1082,'Daftar Koreksi'!$G$5:$G$92,"Aset Tak Berwujud",'Daftar Koreksi'!$H$5:$H$92,"&lt;0")-SUMIFS('Daftar Koreksi'!$H$5:$H$92,'Daftar Koreksi'!$D$5:$D$92,'0300'!A1082,'Daftar Koreksi'!$G$5:$G$92,"Aset Tak Berwujud",'Daftar Koreksi'!$H$5:$H$92,"&lt;0")</f>
        <v>0</v>
      </c>
      <c r="G1092" s="17">
        <f t="shared" si="49"/>
        <v>42300000</v>
      </c>
      <c r="H1092" s="122"/>
    </row>
    <row r="1093" spans="1:8" ht="21.95" customHeight="1">
      <c r="A1093" s="14"/>
      <c r="B1093" s="14"/>
      <c r="C1093" s="16" t="s">
        <v>1173</v>
      </c>
      <c r="D1093" s="17">
        <f>VLOOKUP(A1082,'Neraca Unaudited SIMAK'!$A$2:$S$10004,11,FALSE)</f>
        <v>14275000</v>
      </c>
      <c r="E1093" s="25">
        <f>SUMIFS('Daftar Koreksi'!$H$5:$H$92,'Daftar Koreksi'!$D$5:$D$92,'0300'!A1082,'Daftar Koreksi'!$G$5:$G$92,"Aset Henti Guna",'Daftar Koreksi'!$H$5:$H$92,"&gt;0")</f>
        <v>0</v>
      </c>
      <c r="F1093" s="25">
        <f>SUMIFS('Daftar Koreksi'!$H$5:$H$92,'Daftar Koreksi'!$D$5:$D$92,'0300'!A1082,'Daftar Koreksi'!$G$5:$G$92,"Aset Henti Guna",'Daftar Koreksi'!$H$5:$H$92,"&lt;0")-SUMIFS('Daftar Koreksi'!$H$5:$H$92,'Daftar Koreksi'!$D$5:$D$92,'0300'!A1082,'Daftar Koreksi'!$G$5:$G$92,"Aset Henti Guna",'Daftar Koreksi'!$H$5:$H$92,"&lt;0")-SUMIFS('Daftar Koreksi'!$H$5:$H$92,'Daftar Koreksi'!$D$5:$D$92,'0300'!A1082,'Daftar Koreksi'!$G$5:$G$92,"Aset Henti Guna",'Daftar Koreksi'!$H$5:$H$92,"&lt;0")</f>
        <v>0</v>
      </c>
      <c r="G1093" s="17">
        <f t="shared" si="49"/>
        <v>14275000</v>
      </c>
      <c r="H1093" s="122"/>
    </row>
    <row r="1094" spans="1:8" ht="21.95" customHeight="1">
      <c r="A1094" s="14"/>
      <c r="B1094" s="14"/>
      <c r="C1094" s="18" t="s">
        <v>2093</v>
      </c>
      <c r="D1094" s="19">
        <f>VLOOKUP(A1082,'Neraca Unaudited SIMAK'!$A$2:$S$10004,12,FALSE)</f>
        <v>6107523570</v>
      </c>
      <c r="E1094" s="19">
        <f>SUM(E1085:E1093)</f>
        <v>0</v>
      </c>
      <c r="F1094" s="19">
        <f>SUM(F1085:F1093)</f>
        <v>0</v>
      </c>
      <c r="G1094" s="19">
        <f t="shared" si="49"/>
        <v>6107523570</v>
      </c>
      <c r="H1094" s="122"/>
    </row>
    <row r="1095" spans="1:8" ht="21.95" customHeight="1">
      <c r="A1095" s="14"/>
      <c r="B1095" s="14"/>
      <c r="C1095" s="16" t="s">
        <v>2087</v>
      </c>
      <c r="D1095" s="17">
        <f>VLOOKUP(A1082,'Neraca Unaudited SIMAK'!$A$2:$S$10004,13,FALSE)</f>
        <v>-864344106</v>
      </c>
      <c r="E1095" s="25">
        <f>SUMIFS('Daftar Koreksi'!$I$5:$I$92,'Daftar Koreksi'!$D$5:$D$92,'0300'!A1082,'Daftar Koreksi'!$G$5:$G$92,"Peralatan dan mesin",'Daftar Koreksi'!$I$5:$I$92,"&gt;0")</f>
        <v>0</v>
      </c>
      <c r="F1095" s="25">
        <f>SUMIFS('Daftar Koreksi'!$I$5:$I$92,'Daftar Koreksi'!$D$5:$D$92,'0300'!A1082,'Daftar Koreksi'!$G$5:$G$92,"Peralatan dan mesin",'Daftar Koreksi'!$I$5:$I$92,"&lt;0")-SUMIFS('Daftar Koreksi'!$I$5:$I$92,'Daftar Koreksi'!$D$5:$D$92,'0300'!A1082,'Daftar Koreksi'!$G$5:$G$92,"Peralatan dan mesin",'Daftar Koreksi'!$I$5:$I$92,"&lt;0")-SUMIFS('Daftar Koreksi'!$I$5:$I$92,'Daftar Koreksi'!$D$5:$D$92,'0300'!A1082,'Daftar Koreksi'!$G$5:$G$92,"Peralatan dan mesin",'Daftar Koreksi'!$I$5:$I$92,"&lt;0")</f>
        <v>0</v>
      </c>
      <c r="G1095" s="17">
        <f t="shared" si="49"/>
        <v>-864344106</v>
      </c>
      <c r="H1095" s="122"/>
    </row>
    <row r="1096" spans="1:8" ht="21.95" customHeight="1">
      <c r="A1096" s="14"/>
      <c r="B1096" s="14"/>
      <c r="C1096" s="16" t="s">
        <v>2088</v>
      </c>
      <c r="D1096" s="17">
        <f>VLOOKUP(A1082,'Neraca Unaudited SIMAK'!$A$2:$S$10004,14,FALSE)</f>
        <v>-344518511</v>
      </c>
      <c r="E1096" s="25">
        <f>SUMIFS('Daftar Koreksi'!$I$5:$I$92,'Daftar Koreksi'!$D$5:$D$92,'0300'!A1082,'Daftar Koreksi'!$G$5:$G$92,"Gedung dan Bangunan",'Daftar Koreksi'!$I$5:$I$92,"&gt;0")</f>
        <v>0</v>
      </c>
      <c r="F1096" s="25">
        <f>SUMIFS('Daftar Koreksi'!$I$5:$I$92,'Daftar Koreksi'!$D$5:$D$92,'0300'!A1082,'Daftar Koreksi'!$G$5:$G$92,"Gedung dan Bangunan",'Daftar Koreksi'!$I$5:$I$92,"&lt;0")-SUMIFS('Daftar Koreksi'!$I$5:$I$92,'Daftar Koreksi'!$D$5:$D$92,'0300'!A1082,'Daftar Koreksi'!$G$5:$G$92,"Gedung dan Bangunan",'Daftar Koreksi'!$I$5:$I$92,"&lt;0")-SUMIFS('Daftar Koreksi'!$I$5:$I$92,'Daftar Koreksi'!$D$5:$D$92,'0300'!A1082,'Daftar Koreksi'!$G$5:$G$92,"Gedung dan Bangunan",'Daftar Koreksi'!$I$5:$I$92,"&lt;0")</f>
        <v>0</v>
      </c>
      <c r="G1096" s="17">
        <f t="shared" si="49"/>
        <v>-344518511</v>
      </c>
      <c r="H1096" s="122"/>
    </row>
    <row r="1097" spans="1:8" ht="21.95" customHeight="1">
      <c r="A1097" s="14"/>
      <c r="B1097" s="14"/>
      <c r="C1097" s="16" t="s">
        <v>2089</v>
      </c>
      <c r="D1097" s="17">
        <f>VLOOKUP(A1082,'Neraca Unaudited SIMAK'!$A$2:$S$10004,15,FALSE)</f>
        <v>0</v>
      </c>
      <c r="E1097" s="25">
        <f>SUMIFS('Daftar Koreksi'!$I$5:$I$92,'Daftar Koreksi'!$D$5:$D$92,'0300'!A1082,'Daftar Koreksi'!$G$5:$G$92,"Jalan Irigasi Jaringan",'Daftar Koreksi'!$I$5:$I$92,"&gt;0")</f>
        <v>0</v>
      </c>
      <c r="F1097" s="25">
        <f>SUMIFS('Daftar Koreksi'!$I$5:$I$92,'Daftar Koreksi'!$D$5:$D$92,'0300'!A1082,'Daftar Koreksi'!$G$5:$G$92,"Jalan Irigasi Jaringan",'Daftar Koreksi'!$I$5:$I$92,"&lt;0")-SUMIFS('Daftar Koreksi'!$I$5:$I$92,'Daftar Koreksi'!$D$5:$D$92,'0300'!A1082,'Daftar Koreksi'!$G$5:$G$92,"Jalan Irigasi Jaringan",'Daftar Koreksi'!$I$5:$I$92,"&lt;0")-SUMIFS('Daftar Koreksi'!$I$5:$I$92,'Daftar Koreksi'!$D$5:$D$92,'0300'!A1082,'Daftar Koreksi'!$G$5:$G$92,"Jalan Irigasi Jaringan",'Daftar Koreksi'!$I$5:$I$92,"&lt;0")</f>
        <v>0</v>
      </c>
      <c r="G1097" s="17">
        <f t="shared" si="49"/>
        <v>0</v>
      </c>
      <c r="H1097" s="122"/>
    </row>
    <row r="1098" spans="1:8" ht="21.95" customHeight="1">
      <c r="A1098" s="14"/>
      <c r="B1098" s="14"/>
      <c r="C1098" s="16" t="s">
        <v>2090</v>
      </c>
      <c r="D1098" s="17">
        <f>VLOOKUP(A1082,'Neraca Unaudited SIMAK'!$A$2:$S$10004,16,FALSE)</f>
        <v>0</v>
      </c>
      <c r="E1098" s="25">
        <f>SUMIFS('Daftar Koreksi'!$I$5:$I$92,'Daftar Koreksi'!$D$5:$D$92,'0300'!A1082,'Daftar Koreksi'!$G$5:$G$92,"Aset Tetap Lainnya",'Daftar Koreksi'!$I$5:$I$92,"&gt;0")</f>
        <v>0</v>
      </c>
      <c r="F1098" s="25">
        <f>SUMIFS('Daftar Koreksi'!$I$5:$I$92,'Daftar Koreksi'!$D$5:$D$92,'0300'!A1082,'Daftar Koreksi'!$G$5:$G$92,"Aset Tetap Lainnya",'Daftar Koreksi'!$I$5:$I$92,"&lt;0")-SUMIFS('Daftar Koreksi'!$I$5:$I$92,'Daftar Koreksi'!$D$5:$D$92,'0300'!A1082,'Daftar Koreksi'!$G$5:$G$92,"Aset Tetap Lainnya",'Daftar Koreksi'!$I$5:$I$92,"&lt;0")-SUMIFS('Daftar Koreksi'!$I$5:$I$92,'Daftar Koreksi'!$D$5:$D$92,'0300'!A1082,'Daftar Koreksi'!$G$5:$G$92,"Aset Tetap Lainnya",'Daftar Koreksi'!$I$5:$I$92,"&lt;0")</f>
        <v>0</v>
      </c>
      <c r="G1098" s="17">
        <f t="shared" si="49"/>
        <v>0</v>
      </c>
      <c r="H1098" s="122"/>
    </row>
    <row r="1099" spans="1:8" ht="21.95" customHeight="1">
      <c r="A1099" s="14"/>
      <c r="B1099" s="14"/>
      <c r="C1099" s="16" t="s">
        <v>2020</v>
      </c>
      <c r="D1099" s="17">
        <f>VLOOKUP(A1082,'Neraca Unaudited SIMAK'!$A$2:$S$10004,17,FALSE)</f>
        <v>-14275000</v>
      </c>
      <c r="E1099" s="25">
        <f>SUMIFS('Daftar Koreksi'!$I$5:$I$92,'Daftar Koreksi'!$D$5:$D$92,'0300'!A1082,'Daftar Koreksi'!$G$5:$G$92,"Aset Henti Guna",'Daftar Koreksi'!$I$5:$I$92,"&gt;0")</f>
        <v>0</v>
      </c>
      <c r="F1099" s="25">
        <f>SUMIFS('Daftar Koreksi'!$I$5:$I$92,'Daftar Koreksi'!$D$5:$D$92,'0300'!A1082,'Daftar Koreksi'!$G$5:$G$92,"Aset Henti Guna",'Daftar Koreksi'!$I$5:$I$92,"&lt;0")-SUMIFS('Daftar Koreksi'!$I$5:$I$92,'Daftar Koreksi'!$D$5:$D$92,'0300'!A1082,'Daftar Koreksi'!$G$5:$G$92,"Aset Henti Guna",'Daftar Koreksi'!$I$5:$I$92,"&lt;0")-SUMIFS('Daftar Koreksi'!$I$5:$I$92,'Daftar Koreksi'!$D$5:$D$92,'0300'!A1082,'Daftar Koreksi'!$G$5:$G$92,"Aset Henti Guna",'Daftar Koreksi'!$I$5:$I$92,"&lt;0")</f>
        <v>0</v>
      </c>
      <c r="G1099" s="17">
        <f t="shared" si="49"/>
        <v>-14275000</v>
      </c>
      <c r="H1099" s="122"/>
    </row>
    <row r="1100" spans="1:8" ht="21.95" customHeight="1">
      <c r="A1100" s="14"/>
      <c r="B1100" s="14"/>
      <c r="C1100" s="18" t="s">
        <v>2094</v>
      </c>
      <c r="D1100" s="19">
        <f>SUM(D1095:D1099)</f>
        <v>-1223137617</v>
      </c>
      <c r="E1100" s="19">
        <f>SUM(E1095:E1099)</f>
        <v>0</v>
      </c>
      <c r="F1100" s="19">
        <f>SUM(F1095:F1099)</f>
        <v>0</v>
      </c>
      <c r="G1100" s="19">
        <f t="shared" si="49"/>
        <v>-1223137617</v>
      </c>
      <c r="H1100" s="122"/>
    </row>
    <row r="1101" spans="1:8" ht="21.95" customHeight="1">
      <c r="A1101" s="14"/>
      <c r="B1101" s="14"/>
      <c r="C1101" s="18" t="s">
        <v>2095</v>
      </c>
      <c r="D1101" s="19">
        <f>VLOOKUP(A1082,'Neraca Unaudited SIMAK'!$A$2:$S$10004,18,FALSE)</f>
        <v>4884385953</v>
      </c>
      <c r="E1101" s="19">
        <f>E1100+E1094</f>
        <v>0</v>
      </c>
      <c r="F1101" s="19">
        <f>F1100+F1094</f>
        <v>0</v>
      </c>
      <c r="G1101" s="19">
        <f t="shared" si="49"/>
        <v>4884385953</v>
      </c>
      <c r="H1101" s="122"/>
    </row>
    <row r="1102" spans="1:8" ht="21.95" customHeight="1">
      <c r="A1102" s="14"/>
      <c r="B1102" s="14"/>
      <c r="C1102" s="16" t="s">
        <v>2091</v>
      </c>
      <c r="D1102" s="17">
        <f>VLOOKUP(A1082,'Neraca Unaudited SIMAK'!$A$2:$S$10004,19,FALSE)</f>
        <v>0</v>
      </c>
      <c r="E1102" s="25"/>
      <c r="F1102" s="25"/>
      <c r="G1102" s="17">
        <f t="shared" si="49"/>
        <v>0</v>
      </c>
      <c r="H1102" s="123"/>
    </row>
    <row r="1104" spans="1:8" ht="19.5" customHeight="1">
      <c r="A1104" s="11" t="str">
        <f>O51</f>
        <v>005010300401002000KD</v>
      </c>
      <c r="B1104" s="11" t="str">
        <f>P51</f>
        <v>PA. Blora</v>
      </c>
      <c r="C1104" s="12" t="str">
        <f>A1104&amp;" "&amp;B1104</f>
        <v>005010300401002000KD PA. Blora</v>
      </c>
      <c r="D1104" s="13"/>
      <c r="E1104" s="13"/>
      <c r="F1104" s="13"/>
      <c r="G1104" s="13"/>
      <c r="H1104" s="11"/>
    </row>
    <row r="1105" spans="1:8" ht="21.95" customHeight="1">
      <c r="A1105" s="14"/>
      <c r="B1105" s="14"/>
      <c r="C1105" s="124" t="s">
        <v>1982</v>
      </c>
      <c r="D1105" s="126" t="s">
        <v>1983</v>
      </c>
      <c r="E1105" s="132" t="s">
        <v>1984</v>
      </c>
      <c r="F1105" s="132"/>
      <c r="G1105" s="126" t="s">
        <v>1987</v>
      </c>
      <c r="H1105" s="130" t="s">
        <v>1175</v>
      </c>
    </row>
    <row r="1106" spans="1:8" ht="21.95" customHeight="1">
      <c r="A1106" s="14"/>
      <c r="B1106" s="14"/>
      <c r="C1106" s="125"/>
      <c r="D1106" s="127"/>
      <c r="E1106" s="26" t="s">
        <v>1985</v>
      </c>
      <c r="F1106" s="26" t="s">
        <v>1986</v>
      </c>
      <c r="G1106" s="127"/>
      <c r="H1106" s="131"/>
    </row>
    <row r="1107" spans="1:8" ht="21.95" customHeight="1">
      <c r="A1107" s="14"/>
      <c r="B1107" s="14"/>
      <c r="C1107" s="16" t="s">
        <v>1165</v>
      </c>
      <c r="D1107" s="17">
        <f>VLOOKUP(A1104,'Neraca Unaudited SIMAK'!$A$2:$S$10004,3,FALSE)</f>
        <v>8051050</v>
      </c>
      <c r="E1107" s="25">
        <f>SUMIFS('Daftar Koreksi'!$H$5:$H$92,'Daftar Koreksi'!$D$5:$D$92,'0300'!A1104,'Daftar Koreksi'!$G$5:$G$92,"Persediaan",'Daftar Koreksi'!$H$5:$H$92,"&gt;0")</f>
        <v>0</v>
      </c>
      <c r="F1107" s="25">
        <f>SUMIFS('Daftar Koreksi'!$H$5:$H$92,'Daftar Koreksi'!$D$5:$D$92,'0300'!A1104,'Daftar Koreksi'!$G$5:$G$92,"Persediaan",'Daftar Koreksi'!$H$5:$H$92,"&lt;0")-SUMIFS('Daftar Koreksi'!$H$5:$H$92,'Daftar Koreksi'!$D$5:$D$92,'0300'!A1104,'Daftar Koreksi'!$G$5:$G$92,"Persediaan",'Daftar Koreksi'!$H$5:$H$92,"&lt;0")-SUMIFS('Daftar Koreksi'!$H$5:$H$92,'Daftar Koreksi'!$D$5:$D$92,'0300'!A1104,'Daftar Koreksi'!$G$5:$G$92,"Persediaan",'Daftar Koreksi'!$H$5:$H$92,"&lt;0")</f>
        <v>0</v>
      </c>
      <c r="G1107" s="17">
        <f>D1107+E1107-F1107</f>
        <v>8051050</v>
      </c>
      <c r="H1107" s="121" t="str">
        <f>IF(ISNA(VLOOKUP(A1104,'Mutasi Neraca'!$A$3:$S$914,19,FALSE)),"-",VLOOKUP(A1104,'Mutasi Neraca'!$A$3:$S$914,19,FALSE))</f>
        <v>-</v>
      </c>
    </row>
    <row r="1108" spans="1:8" ht="21.95" customHeight="1">
      <c r="A1108" s="14"/>
      <c r="B1108" s="14"/>
      <c r="C1108" s="16" t="s">
        <v>1166</v>
      </c>
      <c r="D1108" s="17">
        <f>VLOOKUP(A1104,'Neraca Unaudited SIMAK'!$A$2:$S$10004,4,FALSE)</f>
        <v>3177914000</v>
      </c>
      <c r="E1108" s="25">
        <f>SUMIFS('Daftar Koreksi'!$H$5:$H$92,'Daftar Koreksi'!$D$5:$D$92,'0300'!A1104,'Daftar Koreksi'!$G$5:$G$92,"Tanah",'Daftar Koreksi'!$H$5:$H$92,"&gt;0")</f>
        <v>0</v>
      </c>
      <c r="F1108" s="25">
        <f>SUMIFS('Daftar Koreksi'!$H$5:$H$92,'Daftar Koreksi'!$D$5:$D$92,'0300'!A1104,'Daftar Koreksi'!$G$5:$G$92,"Tanah",'Daftar Koreksi'!$H$5:$H$92,"&lt;0")-SUMIFS('Daftar Koreksi'!$H$5:$H$92,'Daftar Koreksi'!$D$5:$D$92,'0300'!A1104,'Daftar Koreksi'!$G$5:$G$92,"Tanah",'Daftar Koreksi'!$H$5:$H$92,"&lt;0")-SUMIFS('Daftar Koreksi'!$H$5:$H$92,'Daftar Koreksi'!$D$5:$D$92,'0300'!A1104,'Daftar Koreksi'!$G$5:$G$92,"Tanah",'Daftar Koreksi'!$H$5:$H$92,"&lt;0")</f>
        <v>0</v>
      </c>
      <c r="G1108" s="17">
        <f t="shared" ref="G1108:G1124" si="50">D1108+E1108-F1108</f>
        <v>3177914000</v>
      </c>
      <c r="H1108" s="122"/>
    </row>
    <row r="1109" spans="1:8" ht="21.95" customHeight="1">
      <c r="A1109" s="14"/>
      <c r="B1109" s="14"/>
      <c r="C1109" s="16" t="s">
        <v>1167</v>
      </c>
      <c r="D1109" s="17">
        <f>VLOOKUP(A1104,'Neraca Unaudited SIMAK'!$A$2:$S$10004,5,FALSE)</f>
        <v>914299703</v>
      </c>
      <c r="E1109" s="25">
        <f>SUMIFS('Daftar Koreksi'!$H$5:$H$92,'Daftar Koreksi'!$D$5:$D$92,'0300'!A1104,'Daftar Koreksi'!$G$5:$G$92,"Peralatan dan mesin",'Daftar Koreksi'!$H$5:$H$92,"&gt;0")</f>
        <v>0</v>
      </c>
      <c r="F1109" s="25">
        <f>SUMIFS('Daftar Koreksi'!$H$5:$H$92,'Daftar Koreksi'!$D$5:$D$92,'0300'!A1104,'Daftar Koreksi'!$G$5:$G$92,"Peralatan dan mesin",'Daftar Koreksi'!$H$5:$H$92,"&lt;0")-SUMIFS('Daftar Koreksi'!$H$5:$H$92,'Daftar Koreksi'!$D$5:$D$92,'0300'!A1104,'Daftar Koreksi'!$G$5:$G$92,"Peralatan dan mesin",'Daftar Koreksi'!$H$5:$H$92,"&lt;0")-SUMIFS('Daftar Koreksi'!$H$5:$H$92,'Daftar Koreksi'!$D$5:$D$92,'0300'!A1104,'Daftar Koreksi'!$G$5:$G$92,"Peralatan dan mesin",'Daftar Koreksi'!$H$5:$H$92,"&lt;0")</f>
        <v>0</v>
      </c>
      <c r="G1109" s="17">
        <f t="shared" si="50"/>
        <v>914299703</v>
      </c>
      <c r="H1109" s="122"/>
    </row>
    <row r="1110" spans="1:8" ht="21.95" customHeight="1">
      <c r="A1110" s="14"/>
      <c r="B1110" s="14"/>
      <c r="C1110" s="16" t="s">
        <v>1168</v>
      </c>
      <c r="D1110" s="17">
        <f>VLOOKUP(A1104,'Neraca Unaudited SIMAK'!$A$2:$S$10004,6,FALSE)</f>
        <v>4339365500</v>
      </c>
      <c r="E1110" s="25">
        <f>SUMIFS('Daftar Koreksi'!$H$5:$H$92,'Daftar Koreksi'!$D$5:$D$92,'0300'!A1104,'Daftar Koreksi'!$G$5:$G$92,"Gedung dan Bangunan",'Daftar Koreksi'!$H$5:$H$92,"&gt;0")</f>
        <v>0</v>
      </c>
      <c r="F1110" s="25">
        <f>SUMIFS('Daftar Koreksi'!$H$5:$H$92,'Daftar Koreksi'!$D$5:$D$92,'0300'!A1104,'Daftar Koreksi'!$G$5:$G$92,"Gedung dan Bangunan",'Daftar Koreksi'!$H$5:$H$92,"&lt;0")-SUMIFS('Daftar Koreksi'!$H$5:$H$92,'Daftar Koreksi'!$D$5:$D$92,'0300'!A1104,'Daftar Koreksi'!$G$5:$G$92,"Gedung dan Bangunan",'Daftar Koreksi'!$H$5:$H$92,"&lt;0")-SUMIFS('Daftar Koreksi'!$H$5:$H$92,'Daftar Koreksi'!$D$5:$D$92,'0300'!A1104,'Daftar Koreksi'!$G$5:$G$92,"Gedung dan Bangunan",'Daftar Koreksi'!$H$5:$H$92,"&lt;0")</f>
        <v>0</v>
      </c>
      <c r="G1110" s="17">
        <f t="shared" si="50"/>
        <v>4339365500</v>
      </c>
      <c r="H1110" s="122"/>
    </row>
    <row r="1111" spans="1:8" ht="21.95" customHeight="1">
      <c r="A1111" s="14"/>
      <c r="B1111" s="14"/>
      <c r="C1111" s="16" t="s">
        <v>1169</v>
      </c>
      <c r="D1111" s="17">
        <f>VLOOKUP(A1104,'Neraca Unaudited SIMAK'!$A$2:$S$10004,7,FALSE)</f>
        <v>60689000</v>
      </c>
      <c r="E1111" s="25">
        <f>SUMIFS('Daftar Koreksi'!$H$5:$H$92,'Daftar Koreksi'!$D$5:$D$92,'0300'!A1104,'Daftar Koreksi'!$G$5:$G$92,"Jalan Irigasi Jaringan",'Daftar Koreksi'!$H$5:$H$92,"&gt;0")</f>
        <v>0</v>
      </c>
      <c r="F1111" s="25">
        <f>SUMIFS('Daftar Koreksi'!$H$5:$H$92,'Daftar Koreksi'!$D$5:$D$92,'0300'!A1104,'Daftar Koreksi'!$G$5:$G$92,"Jalan Irigasi Jaringan",'Daftar Koreksi'!$H$5:$H$92,"&lt;0")-SUMIFS('Daftar Koreksi'!$H$5:$H$92,'Daftar Koreksi'!$D$5:$D$92,'0300'!A1104,'Daftar Koreksi'!$G$5:$G$92,"Jalan Irigasi Jaringan",'Daftar Koreksi'!$H$5:$H$92,"&lt;0")-SUMIFS('Daftar Koreksi'!$H$5:$H$92,'Daftar Koreksi'!$D$5:$D$92,'0300'!A1104,'Daftar Koreksi'!$G$5:$G$92,"Jalan Irigasi Jaringan",'Daftar Koreksi'!$H$5:$H$92,"&lt;0")</f>
        <v>0</v>
      </c>
      <c r="G1111" s="17">
        <f t="shared" si="50"/>
        <v>60689000</v>
      </c>
      <c r="H1111" s="122"/>
    </row>
    <row r="1112" spans="1:8" ht="21.95" customHeight="1">
      <c r="A1112" s="14"/>
      <c r="B1112" s="14"/>
      <c r="C1112" s="16" t="s">
        <v>1170</v>
      </c>
      <c r="D1112" s="17">
        <f>VLOOKUP(A1104,'Neraca Unaudited SIMAK'!$A$2:$S$10004,8,FALSE)</f>
        <v>7651213</v>
      </c>
      <c r="E1112" s="25">
        <f>SUMIFS('Daftar Koreksi'!$H$5:$H$92,'Daftar Koreksi'!$D$5:$D$92,'0300'!A1104,'Daftar Koreksi'!$G$5:$G$92,"Aset Tetap Lainnya",'Daftar Koreksi'!$H$5:$H$92,"&gt;0")</f>
        <v>0</v>
      </c>
      <c r="F1112" s="25">
        <f>SUMIFS('Daftar Koreksi'!$H$5:$H$92,'Daftar Koreksi'!$D$5:$D$92,'0300'!A1104,'Daftar Koreksi'!$G$5:$G$92,"Aset Tetap Lainnya",'Daftar Koreksi'!$H$5:$H$92,"&lt;0")-SUMIFS('Daftar Koreksi'!$H$5:$H$92,'Daftar Koreksi'!$D$5:$D$92,'0300'!A1104,'Daftar Koreksi'!$G$5:$G$92,"Aset Tetap Lainnya",'Daftar Koreksi'!$H$5:$H$92,"&lt;0")-SUMIFS('Daftar Koreksi'!$H$5:$H$92,'Daftar Koreksi'!$D$5:$D$92,'0300'!A1104,'Daftar Koreksi'!$G$5:$G$92,"Aset Tetap Lainnya",'Daftar Koreksi'!$H$5:$H$92,"&lt;0")</f>
        <v>0</v>
      </c>
      <c r="G1112" s="17">
        <f t="shared" si="50"/>
        <v>7651213</v>
      </c>
      <c r="H1112" s="122"/>
    </row>
    <row r="1113" spans="1:8" ht="21.95" customHeight="1">
      <c r="A1113" s="14"/>
      <c r="B1113" s="14"/>
      <c r="C1113" s="16" t="s">
        <v>1171</v>
      </c>
      <c r="D1113" s="17">
        <f>VLOOKUP(A1104,'Neraca Unaudited SIMAK'!$A$2:$S$10004,9,FALSE)</f>
        <v>0</v>
      </c>
      <c r="E1113" s="25">
        <f>SUMIFS('Daftar Koreksi'!$H$5:$H$92,'Daftar Koreksi'!$D$5:$D$92,'0300'!A1104,'Daftar Koreksi'!$G$5:$G$92,"Kontruksi Dalam Pengerjaan",'Daftar Koreksi'!$H$5:$H$92,"&gt;0")</f>
        <v>0</v>
      </c>
      <c r="F1113" s="25">
        <f>SUMIFS('Daftar Koreksi'!$H$5:$H$92,'Daftar Koreksi'!$D$5:$D$92,'0300'!A1104,'Daftar Koreksi'!$G$5:$G$92,"Kontruksi Dalam Pengerjaan",'Daftar Koreksi'!$H$5:$H$92,"&lt;0")-SUMIFS('Daftar Koreksi'!$H$5:$H$92,'Daftar Koreksi'!$D$5:$D$92,'0300'!A1104,'Daftar Koreksi'!$G$5:$G$92,"Kontruksi Dalam Pengerjaan",'Daftar Koreksi'!$H$5:$H$92,"&lt;0")-SUMIFS('Daftar Koreksi'!$H$5:$H$92,'Daftar Koreksi'!$D$5:$D$92,'0300'!A1104,'Daftar Koreksi'!$G$5:$G$92,"Kontruksi Dalam Pengerjaan",'Daftar Koreksi'!$H$5:$H$92,"&lt;0")</f>
        <v>0</v>
      </c>
      <c r="G1113" s="17">
        <f t="shared" si="50"/>
        <v>0</v>
      </c>
      <c r="H1113" s="122"/>
    </row>
    <row r="1114" spans="1:8" ht="21.95" customHeight="1">
      <c r="A1114" s="14"/>
      <c r="B1114" s="14"/>
      <c r="C1114" s="16" t="s">
        <v>1172</v>
      </c>
      <c r="D1114" s="17">
        <f>VLOOKUP(A1104,'Neraca Unaudited SIMAK'!$A$2:$S$10004,10,FALSE)</f>
        <v>0</v>
      </c>
      <c r="E1114" s="25">
        <f>SUMIFS('Daftar Koreksi'!$H$5:$H$92,'Daftar Koreksi'!$D$5:$D$92,'0300'!A1104,'Daftar Koreksi'!$G$5:$G$92,"Aset Tak Berwujud",'Daftar Koreksi'!$H$5:$H$92,"&gt;0")</f>
        <v>0</v>
      </c>
      <c r="F1114" s="25">
        <f>SUMIFS('Daftar Koreksi'!$H$5:$H$92,'Daftar Koreksi'!$D$5:$D$92,'0300'!A1104,'Daftar Koreksi'!$G$5:$G$92,"Aset Tak Berwujud",'Daftar Koreksi'!$H$5:$H$92,"&lt;0")-SUMIFS('Daftar Koreksi'!$H$5:$H$92,'Daftar Koreksi'!$D$5:$D$92,'0300'!A1104,'Daftar Koreksi'!$G$5:$G$92,"Aset Tak Berwujud",'Daftar Koreksi'!$H$5:$H$92,"&lt;0")-SUMIFS('Daftar Koreksi'!$H$5:$H$92,'Daftar Koreksi'!$D$5:$D$92,'0300'!A1104,'Daftar Koreksi'!$G$5:$G$92,"Aset Tak Berwujud",'Daftar Koreksi'!$H$5:$H$92,"&lt;0")</f>
        <v>0</v>
      </c>
      <c r="G1114" s="17">
        <f t="shared" si="50"/>
        <v>0</v>
      </c>
      <c r="H1114" s="122"/>
    </row>
    <row r="1115" spans="1:8" ht="21.95" customHeight="1">
      <c r="A1115" s="14"/>
      <c r="B1115" s="14"/>
      <c r="C1115" s="16" t="s">
        <v>1173</v>
      </c>
      <c r="D1115" s="17">
        <f>VLOOKUP(A1104,'Neraca Unaudited SIMAK'!$A$2:$S$10004,11,FALSE)</f>
        <v>96991726</v>
      </c>
      <c r="E1115" s="25">
        <f>SUMIFS('Daftar Koreksi'!$H$5:$H$92,'Daftar Koreksi'!$D$5:$D$92,'0300'!A1104,'Daftar Koreksi'!$G$5:$G$92,"Aset Henti Guna",'Daftar Koreksi'!$H$5:$H$92,"&gt;0")</f>
        <v>0</v>
      </c>
      <c r="F1115" s="25">
        <f>SUMIFS('Daftar Koreksi'!$H$5:$H$92,'Daftar Koreksi'!$D$5:$D$92,'0300'!A1104,'Daftar Koreksi'!$G$5:$G$92,"Aset Henti Guna",'Daftar Koreksi'!$H$5:$H$92,"&lt;0")-SUMIFS('Daftar Koreksi'!$H$5:$H$92,'Daftar Koreksi'!$D$5:$D$92,'0300'!A1104,'Daftar Koreksi'!$G$5:$G$92,"Aset Henti Guna",'Daftar Koreksi'!$H$5:$H$92,"&lt;0")-SUMIFS('Daftar Koreksi'!$H$5:$H$92,'Daftar Koreksi'!$D$5:$D$92,'0300'!A1104,'Daftar Koreksi'!$G$5:$G$92,"Aset Henti Guna",'Daftar Koreksi'!$H$5:$H$92,"&lt;0")</f>
        <v>0</v>
      </c>
      <c r="G1115" s="17">
        <f t="shared" si="50"/>
        <v>96991726</v>
      </c>
      <c r="H1115" s="122"/>
    </row>
    <row r="1116" spans="1:8" ht="21.95" customHeight="1">
      <c r="A1116" s="14"/>
      <c r="B1116" s="14"/>
      <c r="C1116" s="18" t="s">
        <v>2093</v>
      </c>
      <c r="D1116" s="19">
        <f>VLOOKUP(A1104,'Neraca Unaudited SIMAK'!$A$2:$S$10004,12,FALSE)</f>
        <v>8604962192</v>
      </c>
      <c r="E1116" s="19">
        <f>SUM(E1107:E1115)</f>
        <v>0</v>
      </c>
      <c r="F1116" s="19">
        <f>SUM(F1107:F1115)</f>
        <v>0</v>
      </c>
      <c r="G1116" s="19">
        <f t="shared" si="50"/>
        <v>8604962192</v>
      </c>
      <c r="H1116" s="122"/>
    </row>
    <row r="1117" spans="1:8" ht="21.95" customHeight="1">
      <c r="A1117" s="14"/>
      <c r="B1117" s="14"/>
      <c r="C1117" s="16" t="s">
        <v>2087</v>
      </c>
      <c r="D1117" s="17">
        <f>VLOOKUP(A1104,'Neraca Unaudited SIMAK'!$A$2:$S$10004,13,FALSE)</f>
        <v>-748989620</v>
      </c>
      <c r="E1117" s="25">
        <f>SUMIFS('Daftar Koreksi'!$I$5:$I$92,'Daftar Koreksi'!$D$5:$D$92,'0300'!A1104,'Daftar Koreksi'!$G$5:$G$92,"Peralatan dan mesin",'Daftar Koreksi'!$I$5:$I$92,"&gt;0")</f>
        <v>0</v>
      </c>
      <c r="F1117" s="25">
        <f>SUMIFS('Daftar Koreksi'!$I$5:$I$92,'Daftar Koreksi'!$D$5:$D$92,'0300'!A1104,'Daftar Koreksi'!$G$5:$G$92,"Peralatan dan mesin",'Daftar Koreksi'!$I$5:$I$92,"&lt;0")-SUMIFS('Daftar Koreksi'!$I$5:$I$92,'Daftar Koreksi'!$D$5:$D$92,'0300'!A1104,'Daftar Koreksi'!$G$5:$G$92,"Peralatan dan mesin",'Daftar Koreksi'!$I$5:$I$92,"&lt;0")-SUMIFS('Daftar Koreksi'!$I$5:$I$92,'Daftar Koreksi'!$D$5:$D$92,'0300'!A1104,'Daftar Koreksi'!$G$5:$G$92,"Peralatan dan mesin",'Daftar Koreksi'!$I$5:$I$92,"&lt;0")</f>
        <v>0</v>
      </c>
      <c r="G1117" s="17">
        <f t="shared" si="50"/>
        <v>-748989620</v>
      </c>
      <c r="H1117" s="122"/>
    </row>
    <row r="1118" spans="1:8" ht="21.95" customHeight="1">
      <c r="A1118" s="14"/>
      <c r="B1118" s="14"/>
      <c r="C1118" s="16" t="s">
        <v>2088</v>
      </c>
      <c r="D1118" s="17">
        <f>VLOOKUP(A1104,'Neraca Unaudited SIMAK'!$A$2:$S$10004,14,FALSE)</f>
        <v>-408797767</v>
      </c>
      <c r="E1118" s="25">
        <f>SUMIFS('Daftar Koreksi'!$I$5:$I$92,'Daftar Koreksi'!$D$5:$D$92,'0300'!A1104,'Daftar Koreksi'!$G$5:$G$92,"Gedung dan Bangunan",'Daftar Koreksi'!$I$5:$I$92,"&gt;0")</f>
        <v>0</v>
      </c>
      <c r="F1118" s="25">
        <f>SUMIFS('Daftar Koreksi'!$I$5:$I$92,'Daftar Koreksi'!$D$5:$D$92,'0300'!A1104,'Daftar Koreksi'!$G$5:$G$92,"Gedung dan Bangunan",'Daftar Koreksi'!$I$5:$I$92,"&lt;0")-SUMIFS('Daftar Koreksi'!$I$5:$I$92,'Daftar Koreksi'!$D$5:$D$92,'0300'!A1104,'Daftar Koreksi'!$G$5:$G$92,"Gedung dan Bangunan",'Daftar Koreksi'!$I$5:$I$92,"&lt;0")-SUMIFS('Daftar Koreksi'!$I$5:$I$92,'Daftar Koreksi'!$D$5:$D$92,'0300'!A1104,'Daftar Koreksi'!$G$5:$G$92,"Gedung dan Bangunan",'Daftar Koreksi'!$I$5:$I$92,"&lt;0")</f>
        <v>0</v>
      </c>
      <c r="G1118" s="17">
        <f t="shared" si="50"/>
        <v>-408797767</v>
      </c>
      <c r="H1118" s="122"/>
    </row>
    <row r="1119" spans="1:8" ht="21.95" customHeight="1">
      <c r="A1119" s="14"/>
      <c r="B1119" s="14"/>
      <c r="C1119" s="16" t="s">
        <v>2089</v>
      </c>
      <c r="D1119" s="17">
        <f>VLOOKUP(A1104,'Neraca Unaudited SIMAK'!$A$2:$S$10004,15,FALSE)</f>
        <v>-35339069</v>
      </c>
      <c r="E1119" s="25">
        <f>SUMIFS('Daftar Koreksi'!$I$5:$I$92,'Daftar Koreksi'!$D$5:$D$92,'0300'!A1104,'Daftar Koreksi'!$G$5:$G$92,"Jalan Irigasi Jaringan",'Daftar Koreksi'!$I$5:$I$92,"&gt;0")</f>
        <v>0</v>
      </c>
      <c r="F1119" s="25">
        <f>SUMIFS('Daftar Koreksi'!$I$5:$I$92,'Daftar Koreksi'!$D$5:$D$92,'0300'!A1104,'Daftar Koreksi'!$G$5:$G$92,"Jalan Irigasi Jaringan",'Daftar Koreksi'!$I$5:$I$92,"&lt;0")-SUMIFS('Daftar Koreksi'!$I$5:$I$92,'Daftar Koreksi'!$D$5:$D$92,'0300'!A1104,'Daftar Koreksi'!$G$5:$G$92,"Jalan Irigasi Jaringan",'Daftar Koreksi'!$I$5:$I$92,"&lt;0")-SUMIFS('Daftar Koreksi'!$I$5:$I$92,'Daftar Koreksi'!$D$5:$D$92,'0300'!A1104,'Daftar Koreksi'!$G$5:$G$92,"Jalan Irigasi Jaringan",'Daftar Koreksi'!$I$5:$I$92,"&lt;0")</f>
        <v>0</v>
      </c>
      <c r="G1119" s="17">
        <f t="shared" si="50"/>
        <v>-35339069</v>
      </c>
      <c r="H1119" s="122"/>
    </row>
    <row r="1120" spans="1:8" ht="21.95" customHeight="1">
      <c r="A1120" s="14"/>
      <c r="B1120" s="14"/>
      <c r="C1120" s="16" t="s">
        <v>2090</v>
      </c>
      <c r="D1120" s="17">
        <f>VLOOKUP(A1104,'Neraca Unaudited SIMAK'!$A$2:$S$10004,16,FALSE)</f>
        <v>0</v>
      </c>
      <c r="E1120" s="25">
        <f>SUMIFS('Daftar Koreksi'!$I$5:$I$92,'Daftar Koreksi'!$D$5:$D$92,'0300'!A1104,'Daftar Koreksi'!$G$5:$G$92,"Aset Tetap Lainnya",'Daftar Koreksi'!$I$5:$I$92,"&gt;0")</f>
        <v>0</v>
      </c>
      <c r="F1120" s="25">
        <f>SUMIFS('Daftar Koreksi'!$I$5:$I$92,'Daftar Koreksi'!$D$5:$D$92,'0300'!A1104,'Daftar Koreksi'!$G$5:$G$92,"Aset Tetap Lainnya",'Daftar Koreksi'!$I$5:$I$92,"&lt;0")-SUMIFS('Daftar Koreksi'!$I$5:$I$92,'Daftar Koreksi'!$D$5:$D$92,'0300'!A1104,'Daftar Koreksi'!$G$5:$G$92,"Aset Tetap Lainnya",'Daftar Koreksi'!$I$5:$I$92,"&lt;0")-SUMIFS('Daftar Koreksi'!$I$5:$I$92,'Daftar Koreksi'!$D$5:$D$92,'0300'!A1104,'Daftar Koreksi'!$G$5:$G$92,"Aset Tetap Lainnya",'Daftar Koreksi'!$I$5:$I$92,"&lt;0")</f>
        <v>0</v>
      </c>
      <c r="G1120" s="17">
        <f t="shared" si="50"/>
        <v>0</v>
      </c>
      <c r="H1120" s="122"/>
    </row>
    <row r="1121" spans="1:8" ht="21.95" customHeight="1">
      <c r="A1121" s="14"/>
      <c r="B1121" s="14"/>
      <c r="C1121" s="16" t="s">
        <v>2020</v>
      </c>
      <c r="D1121" s="17">
        <f>VLOOKUP(A1104,'Neraca Unaudited SIMAK'!$A$2:$S$10004,17,FALSE)</f>
        <v>-95466729</v>
      </c>
      <c r="E1121" s="25">
        <f>SUMIFS('Daftar Koreksi'!$I$5:$I$92,'Daftar Koreksi'!$D$5:$D$92,'0300'!A1104,'Daftar Koreksi'!$G$5:$G$92,"Aset Henti Guna",'Daftar Koreksi'!$I$5:$I$92,"&gt;0")</f>
        <v>0</v>
      </c>
      <c r="F1121" s="25">
        <f>SUMIFS('Daftar Koreksi'!$I$5:$I$92,'Daftar Koreksi'!$D$5:$D$92,'0300'!A1104,'Daftar Koreksi'!$G$5:$G$92,"Aset Henti Guna",'Daftar Koreksi'!$I$5:$I$92,"&lt;0")-SUMIFS('Daftar Koreksi'!$I$5:$I$92,'Daftar Koreksi'!$D$5:$D$92,'0300'!A1104,'Daftar Koreksi'!$G$5:$G$92,"Aset Henti Guna",'Daftar Koreksi'!$I$5:$I$92,"&lt;0")-SUMIFS('Daftar Koreksi'!$I$5:$I$92,'Daftar Koreksi'!$D$5:$D$92,'0300'!A1104,'Daftar Koreksi'!$G$5:$G$92,"Aset Henti Guna",'Daftar Koreksi'!$I$5:$I$92,"&lt;0")</f>
        <v>0</v>
      </c>
      <c r="G1121" s="17">
        <f t="shared" si="50"/>
        <v>-95466729</v>
      </c>
      <c r="H1121" s="122"/>
    </row>
    <row r="1122" spans="1:8" ht="21.95" customHeight="1">
      <c r="A1122" s="14"/>
      <c r="B1122" s="14"/>
      <c r="C1122" s="18" t="s">
        <v>2094</v>
      </c>
      <c r="D1122" s="19">
        <f>SUM(D1117:D1121)</f>
        <v>-1288593185</v>
      </c>
      <c r="E1122" s="19">
        <f>SUM(E1117:E1121)</f>
        <v>0</v>
      </c>
      <c r="F1122" s="19">
        <f>SUM(F1117:F1121)</f>
        <v>0</v>
      </c>
      <c r="G1122" s="19">
        <f t="shared" si="50"/>
        <v>-1288593185</v>
      </c>
      <c r="H1122" s="122"/>
    </row>
    <row r="1123" spans="1:8" ht="21.95" customHeight="1">
      <c r="A1123" s="14"/>
      <c r="B1123" s="14"/>
      <c r="C1123" s="18" t="s">
        <v>2095</v>
      </c>
      <c r="D1123" s="19">
        <f>VLOOKUP(A1104,'Neraca Unaudited SIMAK'!$A$2:$S$10004,18,FALSE)</f>
        <v>7316369007</v>
      </c>
      <c r="E1123" s="19">
        <f>E1122+E1116</f>
        <v>0</v>
      </c>
      <c r="F1123" s="19">
        <f>F1122+F1116</f>
        <v>0</v>
      </c>
      <c r="G1123" s="19">
        <f t="shared" si="50"/>
        <v>7316369007</v>
      </c>
      <c r="H1123" s="122"/>
    </row>
    <row r="1124" spans="1:8" ht="21.95" customHeight="1">
      <c r="A1124" s="14"/>
      <c r="B1124" s="14"/>
      <c r="C1124" s="16" t="s">
        <v>2091</v>
      </c>
      <c r="D1124" s="17">
        <f>VLOOKUP(A1104,'Neraca Unaudited SIMAK'!$A$2:$S$10004,19,FALSE)</f>
        <v>0</v>
      </c>
      <c r="E1124" s="25"/>
      <c r="F1124" s="25"/>
      <c r="G1124" s="17">
        <f t="shared" si="50"/>
        <v>0</v>
      </c>
      <c r="H1124" s="123"/>
    </row>
    <row r="1126" spans="1:8" ht="19.5" customHeight="1">
      <c r="A1126" s="11" t="str">
        <f>O52</f>
        <v>005010300401018000KD</v>
      </c>
      <c r="B1126" s="11" t="str">
        <f>P52</f>
        <v>PA. Magelang</v>
      </c>
      <c r="C1126" s="12" t="str">
        <f>A1126&amp;" "&amp;B1126</f>
        <v>005010300401018000KD PA. Magelang</v>
      </c>
      <c r="D1126" s="13"/>
      <c r="E1126" s="13"/>
      <c r="F1126" s="13"/>
      <c r="G1126" s="13"/>
      <c r="H1126" s="11"/>
    </row>
    <row r="1127" spans="1:8" ht="21.95" customHeight="1">
      <c r="A1127" s="14"/>
      <c r="B1127" s="14"/>
      <c r="C1127" s="124" t="s">
        <v>1982</v>
      </c>
      <c r="D1127" s="126" t="s">
        <v>1983</v>
      </c>
      <c r="E1127" s="132" t="s">
        <v>1984</v>
      </c>
      <c r="F1127" s="132"/>
      <c r="G1127" s="126" t="s">
        <v>1987</v>
      </c>
      <c r="H1127" s="130" t="s">
        <v>1175</v>
      </c>
    </row>
    <row r="1128" spans="1:8" ht="21.95" customHeight="1">
      <c r="A1128" s="14"/>
      <c r="B1128" s="14"/>
      <c r="C1128" s="125"/>
      <c r="D1128" s="127"/>
      <c r="E1128" s="26" t="s">
        <v>1985</v>
      </c>
      <c r="F1128" s="26" t="s">
        <v>1986</v>
      </c>
      <c r="G1128" s="127"/>
      <c r="H1128" s="131"/>
    </row>
    <row r="1129" spans="1:8" ht="21.95" customHeight="1">
      <c r="A1129" s="14"/>
      <c r="B1129" s="14"/>
      <c r="C1129" s="16" t="s">
        <v>1165</v>
      </c>
      <c r="D1129" s="17">
        <f>VLOOKUP(A1126,'Neraca Unaudited SIMAK'!$A$2:$S$10004,3,FALSE)</f>
        <v>2500500</v>
      </c>
      <c r="E1129" s="25">
        <f>SUMIFS('Daftar Koreksi'!$H$5:$H$92,'Daftar Koreksi'!$D$5:$D$92,'0300'!A1126,'Daftar Koreksi'!$G$5:$G$92,"Persediaan",'Daftar Koreksi'!$H$5:$H$92,"&gt;0")</f>
        <v>0</v>
      </c>
      <c r="F1129" s="25">
        <f>SUMIFS('Daftar Koreksi'!$H$5:$H$92,'Daftar Koreksi'!$D$5:$D$92,'0300'!A1126,'Daftar Koreksi'!$G$5:$G$92,"Persediaan",'Daftar Koreksi'!$H$5:$H$92,"&lt;0")-SUMIFS('Daftar Koreksi'!$H$5:$H$92,'Daftar Koreksi'!$D$5:$D$92,'0300'!A1126,'Daftar Koreksi'!$G$5:$G$92,"Persediaan",'Daftar Koreksi'!$H$5:$H$92,"&lt;0")-SUMIFS('Daftar Koreksi'!$H$5:$H$92,'Daftar Koreksi'!$D$5:$D$92,'0300'!A1126,'Daftar Koreksi'!$G$5:$G$92,"Persediaan",'Daftar Koreksi'!$H$5:$H$92,"&lt;0")</f>
        <v>0</v>
      </c>
      <c r="G1129" s="17">
        <f>D1129+E1129-F1129</f>
        <v>2500500</v>
      </c>
      <c r="H1129" s="121" t="str">
        <f>IF(ISNA(VLOOKUP(A1126,'Mutasi Neraca'!$A$3:$S$914,19,FALSE)),"-",VLOOKUP(A1126,'Mutasi Neraca'!$A$3:$S$914,19,FALSE))</f>
        <v>-</v>
      </c>
    </row>
    <row r="1130" spans="1:8" ht="21.95" customHeight="1">
      <c r="A1130" s="14"/>
      <c r="B1130" s="14"/>
      <c r="C1130" s="16" t="s">
        <v>1166</v>
      </c>
      <c r="D1130" s="17">
        <f>VLOOKUP(A1126,'Neraca Unaudited SIMAK'!$A$2:$S$10004,4,FALSE)</f>
        <v>2122025000</v>
      </c>
      <c r="E1130" s="25">
        <f>SUMIFS('Daftar Koreksi'!$H$5:$H$92,'Daftar Koreksi'!$D$5:$D$92,'0300'!A1126,'Daftar Koreksi'!$G$5:$G$92,"Tanah",'Daftar Koreksi'!$H$5:$H$92,"&gt;0")</f>
        <v>0</v>
      </c>
      <c r="F1130" s="25">
        <f>SUMIFS('Daftar Koreksi'!$H$5:$H$92,'Daftar Koreksi'!$D$5:$D$92,'0300'!A1126,'Daftar Koreksi'!$G$5:$G$92,"Tanah",'Daftar Koreksi'!$H$5:$H$92,"&lt;0")-SUMIFS('Daftar Koreksi'!$H$5:$H$92,'Daftar Koreksi'!$D$5:$D$92,'0300'!A1126,'Daftar Koreksi'!$G$5:$G$92,"Tanah",'Daftar Koreksi'!$H$5:$H$92,"&lt;0")-SUMIFS('Daftar Koreksi'!$H$5:$H$92,'Daftar Koreksi'!$D$5:$D$92,'0300'!A1126,'Daftar Koreksi'!$G$5:$G$92,"Tanah",'Daftar Koreksi'!$H$5:$H$92,"&lt;0")</f>
        <v>0</v>
      </c>
      <c r="G1130" s="17">
        <f t="shared" ref="G1130:G1146" si="51">D1130+E1130-F1130</f>
        <v>2122025000</v>
      </c>
      <c r="H1130" s="122"/>
    </row>
    <row r="1131" spans="1:8" ht="21.95" customHeight="1">
      <c r="A1131" s="14"/>
      <c r="B1131" s="14"/>
      <c r="C1131" s="16" t="s">
        <v>1167</v>
      </c>
      <c r="D1131" s="17">
        <f>VLOOKUP(A1126,'Neraca Unaudited SIMAK'!$A$2:$S$10004,5,FALSE)</f>
        <v>1232360398</v>
      </c>
      <c r="E1131" s="25">
        <f>SUMIFS('Daftar Koreksi'!$H$5:$H$92,'Daftar Koreksi'!$D$5:$D$92,'0300'!A1126,'Daftar Koreksi'!$G$5:$G$92,"Peralatan dan mesin",'Daftar Koreksi'!$H$5:$H$92,"&gt;0")</f>
        <v>0</v>
      </c>
      <c r="F1131" s="25">
        <f>SUMIFS('Daftar Koreksi'!$H$5:$H$92,'Daftar Koreksi'!$D$5:$D$92,'0300'!A1126,'Daftar Koreksi'!$G$5:$G$92,"Peralatan dan mesin",'Daftar Koreksi'!$H$5:$H$92,"&lt;0")-SUMIFS('Daftar Koreksi'!$H$5:$H$92,'Daftar Koreksi'!$D$5:$D$92,'0300'!A1126,'Daftar Koreksi'!$G$5:$G$92,"Peralatan dan mesin",'Daftar Koreksi'!$H$5:$H$92,"&lt;0")-SUMIFS('Daftar Koreksi'!$H$5:$H$92,'Daftar Koreksi'!$D$5:$D$92,'0300'!A1126,'Daftar Koreksi'!$G$5:$G$92,"Peralatan dan mesin",'Daftar Koreksi'!$H$5:$H$92,"&lt;0")</f>
        <v>0</v>
      </c>
      <c r="G1131" s="17">
        <f t="shared" si="51"/>
        <v>1232360398</v>
      </c>
      <c r="H1131" s="122"/>
    </row>
    <row r="1132" spans="1:8" ht="21.95" customHeight="1">
      <c r="A1132" s="14"/>
      <c r="B1132" s="14"/>
      <c r="C1132" s="16" t="s">
        <v>1168</v>
      </c>
      <c r="D1132" s="17">
        <f>VLOOKUP(A1126,'Neraca Unaudited SIMAK'!$A$2:$S$10004,6,FALSE)</f>
        <v>5094831000</v>
      </c>
      <c r="E1132" s="25">
        <f>SUMIFS('Daftar Koreksi'!$H$5:$H$92,'Daftar Koreksi'!$D$5:$D$92,'0300'!A1126,'Daftar Koreksi'!$G$5:$G$92,"Gedung dan Bangunan",'Daftar Koreksi'!$H$5:$H$92,"&gt;0")</f>
        <v>0</v>
      </c>
      <c r="F1132" s="25">
        <f>SUMIFS('Daftar Koreksi'!$H$5:$H$92,'Daftar Koreksi'!$D$5:$D$92,'0300'!A1126,'Daftar Koreksi'!$G$5:$G$92,"Gedung dan Bangunan",'Daftar Koreksi'!$H$5:$H$92,"&lt;0")-SUMIFS('Daftar Koreksi'!$H$5:$H$92,'Daftar Koreksi'!$D$5:$D$92,'0300'!A1126,'Daftar Koreksi'!$G$5:$G$92,"Gedung dan Bangunan",'Daftar Koreksi'!$H$5:$H$92,"&lt;0")-SUMIFS('Daftar Koreksi'!$H$5:$H$92,'Daftar Koreksi'!$D$5:$D$92,'0300'!A1126,'Daftar Koreksi'!$G$5:$G$92,"Gedung dan Bangunan",'Daftar Koreksi'!$H$5:$H$92,"&lt;0")</f>
        <v>0</v>
      </c>
      <c r="G1132" s="17">
        <f t="shared" si="51"/>
        <v>5094831000</v>
      </c>
      <c r="H1132" s="122"/>
    </row>
    <row r="1133" spans="1:8" ht="21.95" customHeight="1">
      <c r="A1133" s="14"/>
      <c r="B1133" s="14"/>
      <c r="C1133" s="16" t="s">
        <v>1169</v>
      </c>
      <c r="D1133" s="17">
        <f>VLOOKUP(A1126,'Neraca Unaudited SIMAK'!$A$2:$S$10004,7,FALSE)</f>
        <v>19244500</v>
      </c>
      <c r="E1133" s="25">
        <f>SUMIFS('Daftar Koreksi'!$H$5:$H$92,'Daftar Koreksi'!$D$5:$D$92,'0300'!A1126,'Daftar Koreksi'!$G$5:$G$92,"Jalan Irigasi Jaringan",'Daftar Koreksi'!$H$5:$H$92,"&gt;0")</f>
        <v>0</v>
      </c>
      <c r="F1133" s="25">
        <f>SUMIFS('Daftar Koreksi'!$H$5:$H$92,'Daftar Koreksi'!$D$5:$D$92,'0300'!A1126,'Daftar Koreksi'!$G$5:$G$92,"Jalan Irigasi Jaringan",'Daftar Koreksi'!$H$5:$H$92,"&lt;0")-SUMIFS('Daftar Koreksi'!$H$5:$H$92,'Daftar Koreksi'!$D$5:$D$92,'0300'!A1126,'Daftar Koreksi'!$G$5:$G$92,"Jalan Irigasi Jaringan",'Daftar Koreksi'!$H$5:$H$92,"&lt;0")-SUMIFS('Daftar Koreksi'!$H$5:$H$92,'Daftar Koreksi'!$D$5:$D$92,'0300'!A1126,'Daftar Koreksi'!$G$5:$G$92,"Jalan Irigasi Jaringan",'Daftar Koreksi'!$H$5:$H$92,"&lt;0")</f>
        <v>0</v>
      </c>
      <c r="G1133" s="17">
        <f t="shared" si="51"/>
        <v>19244500</v>
      </c>
      <c r="H1133" s="122"/>
    </row>
    <row r="1134" spans="1:8" ht="21.95" customHeight="1">
      <c r="A1134" s="14"/>
      <c r="B1134" s="14"/>
      <c r="C1134" s="16" t="s">
        <v>1170</v>
      </c>
      <c r="D1134" s="17">
        <f>VLOOKUP(A1126,'Neraca Unaudited SIMAK'!$A$2:$S$10004,8,FALSE)</f>
        <v>18379980</v>
      </c>
      <c r="E1134" s="25">
        <f>SUMIFS('Daftar Koreksi'!$H$5:$H$92,'Daftar Koreksi'!$D$5:$D$92,'0300'!A1126,'Daftar Koreksi'!$G$5:$G$92,"Aset Tetap Lainnya",'Daftar Koreksi'!$H$5:$H$92,"&gt;0")</f>
        <v>0</v>
      </c>
      <c r="F1134" s="25">
        <f>SUMIFS('Daftar Koreksi'!$H$5:$H$92,'Daftar Koreksi'!$D$5:$D$92,'0300'!A1126,'Daftar Koreksi'!$G$5:$G$92,"Aset Tetap Lainnya",'Daftar Koreksi'!$H$5:$H$92,"&lt;0")-SUMIFS('Daftar Koreksi'!$H$5:$H$92,'Daftar Koreksi'!$D$5:$D$92,'0300'!A1126,'Daftar Koreksi'!$G$5:$G$92,"Aset Tetap Lainnya",'Daftar Koreksi'!$H$5:$H$92,"&lt;0")-SUMIFS('Daftar Koreksi'!$H$5:$H$92,'Daftar Koreksi'!$D$5:$D$92,'0300'!A1126,'Daftar Koreksi'!$G$5:$G$92,"Aset Tetap Lainnya",'Daftar Koreksi'!$H$5:$H$92,"&lt;0")</f>
        <v>0</v>
      </c>
      <c r="G1134" s="17">
        <f t="shared" si="51"/>
        <v>18379980</v>
      </c>
      <c r="H1134" s="122"/>
    </row>
    <row r="1135" spans="1:8" ht="21.95" customHeight="1">
      <c r="A1135" s="14"/>
      <c r="B1135" s="14"/>
      <c r="C1135" s="16" t="s">
        <v>1171</v>
      </c>
      <c r="D1135" s="17">
        <f>VLOOKUP(A1126,'Neraca Unaudited SIMAK'!$A$2:$S$10004,9,FALSE)</f>
        <v>0</v>
      </c>
      <c r="E1135" s="25">
        <f>SUMIFS('Daftar Koreksi'!$H$5:$H$92,'Daftar Koreksi'!$D$5:$D$92,'0300'!A1126,'Daftar Koreksi'!$G$5:$G$92,"Kontruksi Dalam Pengerjaan",'Daftar Koreksi'!$H$5:$H$92,"&gt;0")</f>
        <v>0</v>
      </c>
      <c r="F1135" s="25">
        <f>SUMIFS('Daftar Koreksi'!$H$5:$H$92,'Daftar Koreksi'!$D$5:$D$92,'0300'!A1126,'Daftar Koreksi'!$G$5:$G$92,"Kontruksi Dalam Pengerjaan",'Daftar Koreksi'!$H$5:$H$92,"&lt;0")-SUMIFS('Daftar Koreksi'!$H$5:$H$92,'Daftar Koreksi'!$D$5:$D$92,'0300'!A1126,'Daftar Koreksi'!$G$5:$G$92,"Kontruksi Dalam Pengerjaan",'Daftar Koreksi'!$H$5:$H$92,"&lt;0")-SUMIFS('Daftar Koreksi'!$H$5:$H$92,'Daftar Koreksi'!$D$5:$D$92,'0300'!A1126,'Daftar Koreksi'!$G$5:$G$92,"Kontruksi Dalam Pengerjaan",'Daftar Koreksi'!$H$5:$H$92,"&lt;0")</f>
        <v>0</v>
      </c>
      <c r="G1135" s="17">
        <f t="shared" si="51"/>
        <v>0</v>
      </c>
      <c r="H1135" s="122"/>
    </row>
    <row r="1136" spans="1:8" ht="21.95" customHeight="1">
      <c r="A1136" s="14"/>
      <c r="B1136" s="14"/>
      <c r="C1136" s="16" t="s">
        <v>1172</v>
      </c>
      <c r="D1136" s="17">
        <f>VLOOKUP(A1126,'Neraca Unaudited SIMAK'!$A$2:$S$10004,10,FALSE)</f>
        <v>0</v>
      </c>
      <c r="E1136" s="25">
        <f>SUMIFS('Daftar Koreksi'!$H$5:$H$92,'Daftar Koreksi'!$D$5:$D$92,'0300'!A1126,'Daftar Koreksi'!$G$5:$G$92,"Aset Tak Berwujud",'Daftar Koreksi'!$H$5:$H$92,"&gt;0")</f>
        <v>0</v>
      </c>
      <c r="F1136" s="25">
        <f>SUMIFS('Daftar Koreksi'!$H$5:$H$92,'Daftar Koreksi'!$D$5:$D$92,'0300'!A1126,'Daftar Koreksi'!$G$5:$G$92,"Aset Tak Berwujud",'Daftar Koreksi'!$H$5:$H$92,"&lt;0")-SUMIFS('Daftar Koreksi'!$H$5:$H$92,'Daftar Koreksi'!$D$5:$D$92,'0300'!A1126,'Daftar Koreksi'!$G$5:$G$92,"Aset Tak Berwujud",'Daftar Koreksi'!$H$5:$H$92,"&lt;0")-SUMIFS('Daftar Koreksi'!$H$5:$H$92,'Daftar Koreksi'!$D$5:$D$92,'0300'!A1126,'Daftar Koreksi'!$G$5:$G$92,"Aset Tak Berwujud",'Daftar Koreksi'!$H$5:$H$92,"&lt;0")</f>
        <v>0</v>
      </c>
      <c r="G1136" s="17">
        <f t="shared" si="51"/>
        <v>0</v>
      </c>
      <c r="H1136" s="122"/>
    </row>
    <row r="1137" spans="1:8" ht="21.95" customHeight="1">
      <c r="A1137" s="14"/>
      <c r="B1137" s="14"/>
      <c r="C1137" s="16" t="s">
        <v>1173</v>
      </c>
      <c r="D1137" s="17">
        <f>VLOOKUP(A1126,'Neraca Unaudited SIMAK'!$A$2:$S$10004,11,FALSE)</f>
        <v>18730800</v>
      </c>
      <c r="E1137" s="25">
        <f>SUMIFS('Daftar Koreksi'!$H$5:$H$92,'Daftar Koreksi'!$D$5:$D$92,'0300'!A1126,'Daftar Koreksi'!$G$5:$G$92,"Aset Henti Guna",'Daftar Koreksi'!$H$5:$H$92,"&gt;0")</f>
        <v>0</v>
      </c>
      <c r="F1137" s="25">
        <f>SUMIFS('Daftar Koreksi'!$H$5:$H$92,'Daftar Koreksi'!$D$5:$D$92,'0300'!A1126,'Daftar Koreksi'!$G$5:$G$92,"Aset Henti Guna",'Daftar Koreksi'!$H$5:$H$92,"&lt;0")-SUMIFS('Daftar Koreksi'!$H$5:$H$92,'Daftar Koreksi'!$D$5:$D$92,'0300'!A1126,'Daftar Koreksi'!$G$5:$G$92,"Aset Henti Guna",'Daftar Koreksi'!$H$5:$H$92,"&lt;0")-SUMIFS('Daftar Koreksi'!$H$5:$H$92,'Daftar Koreksi'!$D$5:$D$92,'0300'!A1126,'Daftar Koreksi'!$G$5:$G$92,"Aset Henti Guna",'Daftar Koreksi'!$H$5:$H$92,"&lt;0")</f>
        <v>0</v>
      </c>
      <c r="G1137" s="17">
        <f t="shared" si="51"/>
        <v>18730800</v>
      </c>
      <c r="H1137" s="122"/>
    </row>
    <row r="1138" spans="1:8" ht="21.95" customHeight="1">
      <c r="A1138" s="14"/>
      <c r="B1138" s="14"/>
      <c r="C1138" s="18" t="s">
        <v>2093</v>
      </c>
      <c r="D1138" s="19">
        <f>VLOOKUP(A1126,'Neraca Unaudited SIMAK'!$A$2:$S$10004,12,FALSE)</f>
        <v>8508072178</v>
      </c>
      <c r="E1138" s="19">
        <f>SUM(E1129:E1137)</f>
        <v>0</v>
      </c>
      <c r="F1138" s="19">
        <f>SUM(F1129:F1137)</f>
        <v>0</v>
      </c>
      <c r="G1138" s="19">
        <f t="shared" si="51"/>
        <v>8508072178</v>
      </c>
      <c r="H1138" s="122"/>
    </row>
    <row r="1139" spans="1:8" ht="21.95" customHeight="1">
      <c r="A1139" s="14"/>
      <c r="B1139" s="14"/>
      <c r="C1139" s="16" t="s">
        <v>2087</v>
      </c>
      <c r="D1139" s="17">
        <f>VLOOKUP(A1126,'Neraca Unaudited SIMAK'!$A$2:$S$10004,13,FALSE)</f>
        <v>-1038192436</v>
      </c>
      <c r="E1139" s="25">
        <f>SUMIFS('Daftar Koreksi'!$I$5:$I$92,'Daftar Koreksi'!$D$5:$D$92,'0300'!A1126,'Daftar Koreksi'!$G$5:$G$92,"Peralatan dan mesin",'Daftar Koreksi'!$I$5:$I$92,"&gt;0")</f>
        <v>0</v>
      </c>
      <c r="F1139" s="25">
        <f>SUMIFS('Daftar Koreksi'!$I$5:$I$92,'Daftar Koreksi'!$D$5:$D$92,'0300'!A1126,'Daftar Koreksi'!$G$5:$G$92,"Peralatan dan mesin",'Daftar Koreksi'!$I$5:$I$92,"&lt;0")-SUMIFS('Daftar Koreksi'!$I$5:$I$92,'Daftar Koreksi'!$D$5:$D$92,'0300'!A1126,'Daftar Koreksi'!$G$5:$G$92,"Peralatan dan mesin",'Daftar Koreksi'!$I$5:$I$92,"&lt;0")-SUMIFS('Daftar Koreksi'!$I$5:$I$92,'Daftar Koreksi'!$D$5:$D$92,'0300'!A1126,'Daftar Koreksi'!$G$5:$G$92,"Peralatan dan mesin",'Daftar Koreksi'!$I$5:$I$92,"&lt;0")</f>
        <v>0</v>
      </c>
      <c r="G1139" s="17">
        <f t="shared" si="51"/>
        <v>-1038192436</v>
      </c>
      <c r="H1139" s="122"/>
    </row>
    <row r="1140" spans="1:8" ht="21.95" customHeight="1">
      <c r="A1140" s="14"/>
      <c r="B1140" s="14"/>
      <c r="C1140" s="16" t="s">
        <v>2088</v>
      </c>
      <c r="D1140" s="17">
        <f>VLOOKUP(A1126,'Neraca Unaudited SIMAK'!$A$2:$S$10004,14,FALSE)</f>
        <v>-809103081</v>
      </c>
      <c r="E1140" s="25">
        <f>SUMIFS('Daftar Koreksi'!$I$5:$I$92,'Daftar Koreksi'!$D$5:$D$92,'0300'!A1126,'Daftar Koreksi'!$G$5:$G$92,"Gedung dan Bangunan",'Daftar Koreksi'!$I$5:$I$92,"&gt;0")</f>
        <v>0</v>
      </c>
      <c r="F1140" s="25">
        <f>SUMIFS('Daftar Koreksi'!$I$5:$I$92,'Daftar Koreksi'!$D$5:$D$92,'0300'!A1126,'Daftar Koreksi'!$G$5:$G$92,"Gedung dan Bangunan",'Daftar Koreksi'!$I$5:$I$92,"&lt;0")-SUMIFS('Daftar Koreksi'!$I$5:$I$92,'Daftar Koreksi'!$D$5:$D$92,'0300'!A1126,'Daftar Koreksi'!$G$5:$G$92,"Gedung dan Bangunan",'Daftar Koreksi'!$I$5:$I$92,"&lt;0")-SUMIFS('Daftar Koreksi'!$I$5:$I$92,'Daftar Koreksi'!$D$5:$D$92,'0300'!A1126,'Daftar Koreksi'!$G$5:$G$92,"Gedung dan Bangunan",'Daftar Koreksi'!$I$5:$I$92,"&lt;0")</f>
        <v>0</v>
      </c>
      <c r="G1140" s="17">
        <f t="shared" si="51"/>
        <v>-809103081</v>
      </c>
      <c r="H1140" s="122"/>
    </row>
    <row r="1141" spans="1:8" ht="21.95" customHeight="1">
      <c r="A1141" s="14"/>
      <c r="B1141" s="14"/>
      <c r="C1141" s="16" t="s">
        <v>2089</v>
      </c>
      <c r="D1141" s="17">
        <f>VLOOKUP(A1126,'Neraca Unaudited SIMAK'!$A$2:$S$10004,15,FALSE)</f>
        <v>-3127228</v>
      </c>
      <c r="E1141" s="25">
        <f>SUMIFS('Daftar Koreksi'!$I$5:$I$92,'Daftar Koreksi'!$D$5:$D$92,'0300'!A1126,'Daftar Koreksi'!$G$5:$G$92,"Jalan Irigasi Jaringan",'Daftar Koreksi'!$I$5:$I$92,"&gt;0")</f>
        <v>0</v>
      </c>
      <c r="F1141" s="25">
        <f>SUMIFS('Daftar Koreksi'!$I$5:$I$92,'Daftar Koreksi'!$D$5:$D$92,'0300'!A1126,'Daftar Koreksi'!$G$5:$G$92,"Jalan Irigasi Jaringan",'Daftar Koreksi'!$I$5:$I$92,"&lt;0")-SUMIFS('Daftar Koreksi'!$I$5:$I$92,'Daftar Koreksi'!$D$5:$D$92,'0300'!A1126,'Daftar Koreksi'!$G$5:$G$92,"Jalan Irigasi Jaringan",'Daftar Koreksi'!$I$5:$I$92,"&lt;0")-SUMIFS('Daftar Koreksi'!$I$5:$I$92,'Daftar Koreksi'!$D$5:$D$92,'0300'!A1126,'Daftar Koreksi'!$G$5:$G$92,"Jalan Irigasi Jaringan",'Daftar Koreksi'!$I$5:$I$92,"&lt;0")</f>
        <v>0</v>
      </c>
      <c r="G1141" s="17">
        <f t="shared" si="51"/>
        <v>-3127228</v>
      </c>
      <c r="H1141" s="122"/>
    </row>
    <row r="1142" spans="1:8" ht="21.95" customHeight="1">
      <c r="A1142" s="14"/>
      <c r="B1142" s="14"/>
      <c r="C1142" s="16" t="s">
        <v>2090</v>
      </c>
      <c r="D1142" s="17">
        <f>VLOOKUP(A1126,'Neraca Unaudited SIMAK'!$A$2:$S$10004,16,FALSE)</f>
        <v>0</v>
      </c>
      <c r="E1142" s="25">
        <f>SUMIFS('Daftar Koreksi'!$I$5:$I$92,'Daftar Koreksi'!$D$5:$D$92,'0300'!A1126,'Daftar Koreksi'!$G$5:$G$92,"Aset Tetap Lainnya",'Daftar Koreksi'!$I$5:$I$92,"&gt;0")</f>
        <v>0</v>
      </c>
      <c r="F1142" s="25">
        <f>SUMIFS('Daftar Koreksi'!$I$5:$I$92,'Daftar Koreksi'!$D$5:$D$92,'0300'!A1126,'Daftar Koreksi'!$G$5:$G$92,"Aset Tetap Lainnya",'Daftar Koreksi'!$I$5:$I$92,"&lt;0")-SUMIFS('Daftar Koreksi'!$I$5:$I$92,'Daftar Koreksi'!$D$5:$D$92,'0300'!A1126,'Daftar Koreksi'!$G$5:$G$92,"Aset Tetap Lainnya",'Daftar Koreksi'!$I$5:$I$92,"&lt;0")-SUMIFS('Daftar Koreksi'!$I$5:$I$92,'Daftar Koreksi'!$D$5:$D$92,'0300'!A1126,'Daftar Koreksi'!$G$5:$G$92,"Aset Tetap Lainnya",'Daftar Koreksi'!$I$5:$I$92,"&lt;0")</f>
        <v>0</v>
      </c>
      <c r="G1142" s="17">
        <f t="shared" si="51"/>
        <v>0</v>
      </c>
      <c r="H1142" s="122"/>
    </row>
    <row r="1143" spans="1:8" ht="21.95" customHeight="1">
      <c r="A1143" s="14"/>
      <c r="B1143" s="14"/>
      <c r="C1143" s="16" t="s">
        <v>2020</v>
      </c>
      <c r="D1143" s="17">
        <f>VLOOKUP(A1126,'Neraca Unaudited SIMAK'!$A$2:$S$10004,17,FALSE)</f>
        <v>-16417050</v>
      </c>
      <c r="E1143" s="25">
        <f>SUMIFS('Daftar Koreksi'!$I$5:$I$92,'Daftar Koreksi'!$D$5:$D$92,'0300'!A1126,'Daftar Koreksi'!$G$5:$G$92,"Aset Henti Guna",'Daftar Koreksi'!$I$5:$I$92,"&gt;0")</f>
        <v>0</v>
      </c>
      <c r="F1143" s="25">
        <f>SUMIFS('Daftar Koreksi'!$I$5:$I$92,'Daftar Koreksi'!$D$5:$D$92,'0300'!A1126,'Daftar Koreksi'!$G$5:$G$92,"Aset Henti Guna",'Daftar Koreksi'!$I$5:$I$92,"&lt;0")-SUMIFS('Daftar Koreksi'!$I$5:$I$92,'Daftar Koreksi'!$D$5:$D$92,'0300'!A1126,'Daftar Koreksi'!$G$5:$G$92,"Aset Henti Guna",'Daftar Koreksi'!$I$5:$I$92,"&lt;0")-SUMIFS('Daftar Koreksi'!$I$5:$I$92,'Daftar Koreksi'!$D$5:$D$92,'0300'!A1126,'Daftar Koreksi'!$G$5:$G$92,"Aset Henti Guna",'Daftar Koreksi'!$I$5:$I$92,"&lt;0")</f>
        <v>0</v>
      </c>
      <c r="G1143" s="17">
        <f t="shared" si="51"/>
        <v>-16417050</v>
      </c>
      <c r="H1143" s="122"/>
    </row>
    <row r="1144" spans="1:8" ht="21.95" customHeight="1">
      <c r="A1144" s="14"/>
      <c r="B1144" s="14"/>
      <c r="C1144" s="18" t="s">
        <v>2094</v>
      </c>
      <c r="D1144" s="19">
        <f>SUM(D1139:D1143)</f>
        <v>-1866839795</v>
      </c>
      <c r="E1144" s="19">
        <f>SUM(E1139:E1143)</f>
        <v>0</v>
      </c>
      <c r="F1144" s="19">
        <f>SUM(F1139:F1143)</f>
        <v>0</v>
      </c>
      <c r="G1144" s="19">
        <f t="shared" si="51"/>
        <v>-1866839795</v>
      </c>
      <c r="H1144" s="122"/>
    </row>
    <row r="1145" spans="1:8" ht="21.95" customHeight="1">
      <c r="A1145" s="14"/>
      <c r="B1145" s="14"/>
      <c r="C1145" s="18" t="s">
        <v>2095</v>
      </c>
      <c r="D1145" s="19">
        <f>VLOOKUP(A1126,'Neraca Unaudited SIMAK'!$A$2:$S$10004,18,FALSE)</f>
        <v>6641232383</v>
      </c>
      <c r="E1145" s="19">
        <f>E1144+E1138</f>
        <v>0</v>
      </c>
      <c r="F1145" s="19">
        <f>F1144+F1138</f>
        <v>0</v>
      </c>
      <c r="G1145" s="19">
        <f t="shared" si="51"/>
        <v>6641232383</v>
      </c>
      <c r="H1145" s="122"/>
    </row>
    <row r="1146" spans="1:8" ht="21.95" customHeight="1">
      <c r="A1146" s="14"/>
      <c r="B1146" s="14"/>
      <c r="C1146" s="16" t="s">
        <v>2091</v>
      </c>
      <c r="D1146" s="17">
        <f>VLOOKUP(A1126,'Neraca Unaudited SIMAK'!$A$2:$S$10004,19,FALSE)</f>
        <v>0</v>
      </c>
      <c r="E1146" s="25"/>
      <c r="F1146" s="25"/>
      <c r="G1146" s="17">
        <f t="shared" si="51"/>
        <v>0</v>
      </c>
      <c r="H1146" s="123"/>
    </row>
    <row r="1148" spans="1:8" ht="19.5" customHeight="1">
      <c r="A1148" s="11" t="str">
        <f>O53</f>
        <v>005010300401024000KD</v>
      </c>
      <c r="B1148" s="11" t="str">
        <f>P53</f>
        <v>PA. Temanggung</v>
      </c>
      <c r="C1148" s="12" t="str">
        <f>A1148&amp;" "&amp;B1148</f>
        <v>005010300401024000KD PA. Temanggung</v>
      </c>
      <c r="D1148" s="13"/>
      <c r="E1148" s="13"/>
      <c r="F1148" s="13"/>
      <c r="G1148" s="13"/>
      <c r="H1148" s="11"/>
    </row>
    <row r="1149" spans="1:8" ht="21.95" customHeight="1">
      <c r="A1149" s="14"/>
      <c r="B1149" s="14"/>
      <c r="C1149" s="124" t="s">
        <v>1982</v>
      </c>
      <c r="D1149" s="126" t="s">
        <v>1983</v>
      </c>
      <c r="E1149" s="132" t="s">
        <v>1984</v>
      </c>
      <c r="F1149" s="132"/>
      <c r="G1149" s="126" t="s">
        <v>1987</v>
      </c>
      <c r="H1149" s="130" t="s">
        <v>1175</v>
      </c>
    </row>
    <row r="1150" spans="1:8" ht="21.95" customHeight="1">
      <c r="A1150" s="14"/>
      <c r="B1150" s="14"/>
      <c r="C1150" s="125"/>
      <c r="D1150" s="127"/>
      <c r="E1150" s="26" t="s">
        <v>1985</v>
      </c>
      <c r="F1150" s="26" t="s">
        <v>1986</v>
      </c>
      <c r="G1150" s="127"/>
      <c r="H1150" s="131"/>
    </row>
    <row r="1151" spans="1:8" ht="21.95" customHeight="1">
      <c r="A1151" s="14"/>
      <c r="B1151" s="14"/>
      <c r="C1151" s="16" t="s">
        <v>1165</v>
      </c>
      <c r="D1151" s="17">
        <f>VLOOKUP(A1148,'Neraca Unaudited SIMAK'!$A$2:$S$10004,3,FALSE)</f>
        <v>10558290</v>
      </c>
      <c r="E1151" s="25">
        <f>SUMIFS('Daftar Koreksi'!$H$5:$H$92,'Daftar Koreksi'!$D$5:$D$92,'0300'!A1148,'Daftar Koreksi'!$G$5:$G$92,"Persediaan",'Daftar Koreksi'!$H$5:$H$92,"&gt;0")</f>
        <v>0</v>
      </c>
      <c r="F1151" s="25">
        <f>SUMIFS('Daftar Koreksi'!$H$5:$H$92,'Daftar Koreksi'!$D$5:$D$92,'0300'!A1148,'Daftar Koreksi'!$G$5:$G$92,"Persediaan",'Daftar Koreksi'!$H$5:$H$92,"&lt;0")-SUMIFS('Daftar Koreksi'!$H$5:$H$92,'Daftar Koreksi'!$D$5:$D$92,'0300'!A1148,'Daftar Koreksi'!$G$5:$G$92,"Persediaan",'Daftar Koreksi'!$H$5:$H$92,"&lt;0")-SUMIFS('Daftar Koreksi'!$H$5:$H$92,'Daftar Koreksi'!$D$5:$D$92,'0300'!A1148,'Daftar Koreksi'!$G$5:$G$92,"Persediaan",'Daftar Koreksi'!$H$5:$H$92,"&lt;0")</f>
        <v>0</v>
      </c>
      <c r="G1151" s="17">
        <f>D1151+E1151-F1151</f>
        <v>10558290</v>
      </c>
      <c r="H1151" s="121" t="str">
        <f>IF(ISNA(VLOOKUP(A1148,'Mutasi Neraca'!$A$3:$S$914,19,FALSE)),"-",VLOOKUP(A1148,'Mutasi Neraca'!$A$3:$S$914,19,FALSE))</f>
        <v>-</v>
      </c>
    </row>
    <row r="1152" spans="1:8" ht="21.95" customHeight="1">
      <c r="A1152" s="14"/>
      <c r="B1152" s="14"/>
      <c r="C1152" s="16" t="s">
        <v>1166</v>
      </c>
      <c r="D1152" s="17">
        <f>VLOOKUP(A1148,'Neraca Unaudited SIMAK'!$A$2:$S$10004,4,FALSE)</f>
        <v>1414200000</v>
      </c>
      <c r="E1152" s="25">
        <f>SUMIFS('Daftar Koreksi'!$H$5:$H$92,'Daftar Koreksi'!$D$5:$D$92,'0300'!A1148,'Daftar Koreksi'!$G$5:$G$92,"Tanah",'Daftar Koreksi'!$H$5:$H$92,"&gt;0")</f>
        <v>0</v>
      </c>
      <c r="F1152" s="25">
        <f>SUMIFS('Daftar Koreksi'!$H$5:$H$92,'Daftar Koreksi'!$D$5:$D$92,'0300'!A1148,'Daftar Koreksi'!$G$5:$G$92,"Tanah",'Daftar Koreksi'!$H$5:$H$92,"&lt;0")-SUMIFS('Daftar Koreksi'!$H$5:$H$92,'Daftar Koreksi'!$D$5:$D$92,'0300'!A1148,'Daftar Koreksi'!$G$5:$G$92,"Tanah",'Daftar Koreksi'!$H$5:$H$92,"&lt;0")-SUMIFS('Daftar Koreksi'!$H$5:$H$92,'Daftar Koreksi'!$D$5:$D$92,'0300'!A1148,'Daftar Koreksi'!$G$5:$G$92,"Tanah",'Daftar Koreksi'!$H$5:$H$92,"&lt;0")</f>
        <v>0</v>
      </c>
      <c r="G1152" s="17">
        <f t="shared" ref="G1152:G1168" si="52">D1152+E1152-F1152</f>
        <v>1414200000</v>
      </c>
      <c r="H1152" s="122"/>
    </row>
    <row r="1153" spans="1:8" ht="21.95" customHeight="1">
      <c r="A1153" s="14"/>
      <c r="B1153" s="14"/>
      <c r="C1153" s="16" t="s">
        <v>1167</v>
      </c>
      <c r="D1153" s="17">
        <f>VLOOKUP(A1148,'Neraca Unaudited SIMAK'!$A$2:$S$10004,5,FALSE)</f>
        <v>1033494169</v>
      </c>
      <c r="E1153" s="25">
        <f>SUMIFS('Daftar Koreksi'!$H$5:$H$92,'Daftar Koreksi'!$D$5:$D$92,'0300'!A1148,'Daftar Koreksi'!$G$5:$G$92,"Peralatan dan mesin",'Daftar Koreksi'!$H$5:$H$92,"&gt;0")</f>
        <v>0</v>
      </c>
      <c r="F1153" s="25">
        <f>SUMIFS('Daftar Koreksi'!$H$5:$H$92,'Daftar Koreksi'!$D$5:$D$92,'0300'!A1148,'Daftar Koreksi'!$G$5:$G$92,"Peralatan dan mesin",'Daftar Koreksi'!$H$5:$H$92,"&lt;0")-SUMIFS('Daftar Koreksi'!$H$5:$H$92,'Daftar Koreksi'!$D$5:$D$92,'0300'!A1148,'Daftar Koreksi'!$G$5:$G$92,"Peralatan dan mesin",'Daftar Koreksi'!$H$5:$H$92,"&lt;0")-SUMIFS('Daftar Koreksi'!$H$5:$H$92,'Daftar Koreksi'!$D$5:$D$92,'0300'!A1148,'Daftar Koreksi'!$G$5:$G$92,"Peralatan dan mesin",'Daftar Koreksi'!$H$5:$H$92,"&lt;0")</f>
        <v>0</v>
      </c>
      <c r="G1153" s="17">
        <f t="shared" si="52"/>
        <v>1033494169</v>
      </c>
      <c r="H1153" s="122"/>
    </row>
    <row r="1154" spans="1:8" ht="21.95" customHeight="1">
      <c r="A1154" s="14"/>
      <c r="B1154" s="14"/>
      <c r="C1154" s="16" t="s">
        <v>1168</v>
      </c>
      <c r="D1154" s="17">
        <f>VLOOKUP(A1148,'Neraca Unaudited SIMAK'!$A$2:$S$10004,6,FALSE)</f>
        <v>2047685000</v>
      </c>
      <c r="E1154" s="25">
        <f>SUMIFS('Daftar Koreksi'!$H$5:$H$92,'Daftar Koreksi'!$D$5:$D$92,'0300'!A1148,'Daftar Koreksi'!$G$5:$G$92,"Gedung dan Bangunan",'Daftar Koreksi'!$H$5:$H$92,"&gt;0")</f>
        <v>0</v>
      </c>
      <c r="F1154" s="25">
        <f>SUMIFS('Daftar Koreksi'!$H$5:$H$92,'Daftar Koreksi'!$D$5:$D$92,'0300'!A1148,'Daftar Koreksi'!$G$5:$G$92,"Gedung dan Bangunan",'Daftar Koreksi'!$H$5:$H$92,"&lt;0")-SUMIFS('Daftar Koreksi'!$H$5:$H$92,'Daftar Koreksi'!$D$5:$D$92,'0300'!A1148,'Daftar Koreksi'!$G$5:$G$92,"Gedung dan Bangunan",'Daftar Koreksi'!$H$5:$H$92,"&lt;0")-SUMIFS('Daftar Koreksi'!$H$5:$H$92,'Daftar Koreksi'!$D$5:$D$92,'0300'!A1148,'Daftar Koreksi'!$G$5:$G$92,"Gedung dan Bangunan",'Daftar Koreksi'!$H$5:$H$92,"&lt;0")</f>
        <v>0</v>
      </c>
      <c r="G1154" s="17">
        <f t="shared" si="52"/>
        <v>2047685000</v>
      </c>
      <c r="H1154" s="122"/>
    </row>
    <row r="1155" spans="1:8" ht="21.95" customHeight="1">
      <c r="A1155" s="14"/>
      <c r="B1155" s="14"/>
      <c r="C1155" s="16" t="s">
        <v>1169</v>
      </c>
      <c r="D1155" s="17">
        <f>VLOOKUP(A1148,'Neraca Unaudited SIMAK'!$A$2:$S$10004,7,FALSE)</f>
        <v>34300000</v>
      </c>
      <c r="E1155" s="25">
        <f>SUMIFS('Daftar Koreksi'!$H$5:$H$92,'Daftar Koreksi'!$D$5:$D$92,'0300'!A1148,'Daftar Koreksi'!$G$5:$G$92,"Jalan Irigasi Jaringan",'Daftar Koreksi'!$H$5:$H$92,"&gt;0")</f>
        <v>0</v>
      </c>
      <c r="F1155" s="25">
        <f>SUMIFS('Daftar Koreksi'!$H$5:$H$92,'Daftar Koreksi'!$D$5:$D$92,'0300'!A1148,'Daftar Koreksi'!$G$5:$G$92,"Jalan Irigasi Jaringan",'Daftar Koreksi'!$H$5:$H$92,"&lt;0")-SUMIFS('Daftar Koreksi'!$H$5:$H$92,'Daftar Koreksi'!$D$5:$D$92,'0300'!A1148,'Daftar Koreksi'!$G$5:$G$92,"Jalan Irigasi Jaringan",'Daftar Koreksi'!$H$5:$H$92,"&lt;0")-SUMIFS('Daftar Koreksi'!$H$5:$H$92,'Daftar Koreksi'!$D$5:$D$92,'0300'!A1148,'Daftar Koreksi'!$G$5:$G$92,"Jalan Irigasi Jaringan",'Daftar Koreksi'!$H$5:$H$92,"&lt;0")</f>
        <v>0</v>
      </c>
      <c r="G1155" s="17">
        <f t="shared" si="52"/>
        <v>34300000</v>
      </c>
      <c r="H1155" s="122"/>
    </row>
    <row r="1156" spans="1:8" ht="21.95" customHeight="1">
      <c r="A1156" s="14"/>
      <c r="B1156" s="14"/>
      <c r="C1156" s="16" t="s">
        <v>1170</v>
      </c>
      <c r="D1156" s="17">
        <f>VLOOKUP(A1148,'Neraca Unaudited SIMAK'!$A$2:$S$10004,8,FALSE)</f>
        <v>3746578</v>
      </c>
      <c r="E1156" s="25">
        <f>SUMIFS('Daftar Koreksi'!$H$5:$H$92,'Daftar Koreksi'!$D$5:$D$92,'0300'!A1148,'Daftar Koreksi'!$G$5:$G$92,"Aset Tetap Lainnya",'Daftar Koreksi'!$H$5:$H$92,"&gt;0")</f>
        <v>0</v>
      </c>
      <c r="F1156" s="25">
        <f>SUMIFS('Daftar Koreksi'!$H$5:$H$92,'Daftar Koreksi'!$D$5:$D$92,'0300'!A1148,'Daftar Koreksi'!$G$5:$G$92,"Aset Tetap Lainnya",'Daftar Koreksi'!$H$5:$H$92,"&lt;0")-SUMIFS('Daftar Koreksi'!$H$5:$H$92,'Daftar Koreksi'!$D$5:$D$92,'0300'!A1148,'Daftar Koreksi'!$G$5:$G$92,"Aset Tetap Lainnya",'Daftar Koreksi'!$H$5:$H$92,"&lt;0")-SUMIFS('Daftar Koreksi'!$H$5:$H$92,'Daftar Koreksi'!$D$5:$D$92,'0300'!A1148,'Daftar Koreksi'!$G$5:$G$92,"Aset Tetap Lainnya",'Daftar Koreksi'!$H$5:$H$92,"&lt;0")</f>
        <v>0</v>
      </c>
      <c r="G1156" s="17">
        <f t="shared" si="52"/>
        <v>3746578</v>
      </c>
      <c r="H1156" s="122"/>
    </row>
    <row r="1157" spans="1:8" ht="21.95" customHeight="1">
      <c r="A1157" s="14"/>
      <c r="B1157" s="14"/>
      <c r="C1157" s="16" t="s">
        <v>1171</v>
      </c>
      <c r="D1157" s="17">
        <f>VLOOKUP(A1148,'Neraca Unaudited SIMAK'!$A$2:$S$10004,9,FALSE)</f>
        <v>0</v>
      </c>
      <c r="E1157" s="25">
        <f>SUMIFS('Daftar Koreksi'!$H$5:$H$92,'Daftar Koreksi'!$D$5:$D$92,'0300'!A1148,'Daftar Koreksi'!$G$5:$G$92,"Kontruksi Dalam Pengerjaan",'Daftar Koreksi'!$H$5:$H$92,"&gt;0")</f>
        <v>0</v>
      </c>
      <c r="F1157" s="25">
        <f>SUMIFS('Daftar Koreksi'!$H$5:$H$92,'Daftar Koreksi'!$D$5:$D$92,'0300'!A1148,'Daftar Koreksi'!$G$5:$G$92,"Kontruksi Dalam Pengerjaan",'Daftar Koreksi'!$H$5:$H$92,"&lt;0")-SUMIFS('Daftar Koreksi'!$H$5:$H$92,'Daftar Koreksi'!$D$5:$D$92,'0300'!A1148,'Daftar Koreksi'!$G$5:$G$92,"Kontruksi Dalam Pengerjaan",'Daftar Koreksi'!$H$5:$H$92,"&lt;0")-SUMIFS('Daftar Koreksi'!$H$5:$H$92,'Daftar Koreksi'!$D$5:$D$92,'0300'!A1148,'Daftar Koreksi'!$G$5:$G$92,"Kontruksi Dalam Pengerjaan",'Daftar Koreksi'!$H$5:$H$92,"&lt;0")</f>
        <v>0</v>
      </c>
      <c r="G1157" s="17">
        <f t="shared" si="52"/>
        <v>0</v>
      </c>
      <c r="H1157" s="122"/>
    </row>
    <row r="1158" spans="1:8" ht="21.95" customHeight="1">
      <c r="A1158" s="14"/>
      <c r="B1158" s="14"/>
      <c r="C1158" s="16" t="s">
        <v>1172</v>
      </c>
      <c r="D1158" s="17">
        <f>VLOOKUP(A1148,'Neraca Unaudited SIMAK'!$A$2:$S$10004,10,FALSE)</f>
        <v>7000000</v>
      </c>
      <c r="E1158" s="25">
        <f>SUMIFS('Daftar Koreksi'!$H$5:$H$92,'Daftar Koreksi'!$D$5:$D$92,'0300'!A1148,'Daftar Koreksi'!$G$5:$G$92,"Aset Tak Berwujud",'Daftar Koreksi'!$H$5:$H$92,"&gt;0")</f>
        <v>0</v>
      </c>
      <c r="F1158" s="25">
        <f>SUMIFS('Daftar Koreksi'!$H$5:$H$92,'Daftar Koreksi'!$D$5:$D$92,'0300'!A1148,'Daftar Koreksi'!$G$5:$G$92,"Aset Tak Berwujud",'Daftar Koreksi'!$H$5:$H$92,"&lt;0")-SUMIFS('Daftar Koreksi'!$H$5:$H$92,'Daftar Koreksi'!$D$5:$D$92,'0300'!A1148,'Daftar Koreksi'!$G$5:$G$92,"Aset Tak Berwujud",'Daftar Koreksi'!$H$5:$H$92,"&lt;0")-SUMIFS('Daftar Koreksi'!$H$5:$H$92,'Daftar Koreksi'!$D$5:$D$92,'0300'!A1148,'Daftar Koreksi'!$G$5:$G$92,"Aset Tak Berwujud",'Daftar Koreksi'!$H$5:$H$92,"&lt;0")</f>
        <v>0</v>
      </c>
      <c r="G1158" s="17">
        <f t="shared" si="52"/>
        <v>7000000</v>
      </c>
      <c r="H1158" s="122"/>
    </row>
    <row r="1159" spans="1:8" ht="21.95" customHeight="1">
      <c r="A1159" s="14"/>
      <c r="B1159" s="14"/>
      <c r="C1159" s="16" t="s">
        <v>1173</v>
      </c>
      <c r="D1159" s="17">
        <f>VLOOKUP(A1148,'Neraca Unaudited SIMAK'!$A$2:$S$10004,11,FALSE)</f>
        <v>0</v>
      </c>
      <c r="E1159" s="25">
        <f>SUMIFS('Daftar Koreksi'!$H$5:$H$92,'Daftar Koreksi'!$D$5:$D$92,'0300'!A1148,'Daftar Koreksi'!$G$5:$G$92,"Aset Henti Guna",'Daftar Koreksi'!$H$5:$H$92,"&gt;0")</f>
        <v>0</v>
      </c>
      <c r="F1159" s="25">
        <f>SUMIFS('Daftar Koreksi'!$H$5:$H$92,'Daftar Koreksi'!$D$5:$D$92,'0300'!A1148,'Daftar Koreksi'!$G$5:$G$92,"Aset Henti Guna",'Daftar Koreksi'!$H$5:$H$92,"&lt;0")-SUMIFS('Daftar Koreksi'!$H$5:$H$92,'Daftar Koreksi'!$D$5:$D$92,'0300'!A1148,'Daftar Koreksi'!$G$5:$G$92,"Aset Henti Guna",'Daftar Koreksi'!$H$5:$H$92,"&lt;0")-SUMIFS('Daftar Koreksi'!$H$5:$H$92,'Daftar Koreksi'!$D$5:$D$92,'0300'!A1148,'Daftar Koreksi'!$G$5:$G$92,"Aset Henti Guna",'Daftar Koreksi'!$H$5:$H$92,"&lt;0")</f>
        <v>0</v>
      </c>
      <c r="G1159" s="17">
        <f t="shared" si="52"/>
        <v>0</v>
      </c>
      <c r="H1159" s="122"/>
    </row>
    <row r="1160" spans="1:8" ht="21.95" customHeight="1">
      <c r="A1160" s="14"/>
      <c r="B1160" s="14"/>
      <c r="C1160" s="18" t="s">
        <v>2093</v>
      </c>
      <c r="D1160" s="19">
        <f>VLOOKUP(A1148,'Neraca Unaudited SIMAK'!$A$2:$S$10004,12,FALSE)</f>
        <v>4550984037</v>
      </c>
      <c r="E1160" s="19">
        <f>SUM(E1151:E1159)</f>
        <v>0</v>
      </c>
      <c r="F1160" s="19">
        <f>SUM(F1151:F1159)</f>
        <v>0</v>
      </c>
      <c r="G1160" s="19">
        <f t="shared" si="52"/>
        <v>4550984037</v>
      </c>
      <c r="H1160" s="122"/>
    </row>
    <row r="1161" spans="1:8" ht="21.95" customHeight="1">
      <c r="A1161" s="14"/>
      <c r="B1161" s="14"/>
      <c r="C1161" s="16" t="s">
        <v>2087</v>
      </c>
      <c r="D1161" s="17">
        <f>VLOOKUP(A1148,'Neraca Unaudited SIMAK'!$A$2:$S$10004,13,FALSE)</f>
        <v>-987828137</v>
      </c>
      <c r="E1161" s="25">
        <f>SUMIFS('Daftar Koreksi'!$I$5:$I$92,'Daftar Koreksi'!$D$5:$D$92,'0300'!A1148,'Daftar Koreksi'!$G$5:$G$92,"Peralatan dan mesin",'Daftar Koreksi'!$I$5:$I$92,"&gt;0")</f>
        <v>0</v>
      </c>
      <c r="F1161" s="25">
        <f>SUMIFS('Daftar Koreksi'!$I$5:$I$92,'Daftar Koreksi'!$D$5:$D$92,'0300'!A1148,'Daftar Koreksi'!$G$5:$G$92,"Peralatan dan mesin",'Daftar Koreksi'!$I$5:$I$92,"&lt;0")-SUMIFS('Daftar Koreksi'!$I$5:$I$92,'Daftar Koreksi'!$D$5:$D$92,'0300'!A1148,'Daftar Koreksi'!$G$5:$G$92,"Peralatan dan mesin",'Daftar Koreksi'!$I$5:$I$92,"&lt;0")-SUMIFS('Daftar Koreksi'!$I$5:$I$92,'Daftar Koreksi'!$D$5:$D$92,'0300'!A1148,'Daftar Koreksi'!$G$5:$G$92,"Peralatan dan mesin",'Daftar Koreksi'!$I$5:$I$92,"&lt;0")</f>
        <v>0</v>
      </c>
      <c r="G1161" s="17">
        <f t="shared" si="52"/>
        <v>-987828137</v>
      </c>
      <c r="H1161" s="122"/>
    </row>
    <row r="1162" spans="1:8" ht="21.95" customHeight="1">
      <c r="A1162" s="14"/>
      <c r="B1162" s="14"/>
      <c r="C1162" s="16" t="s">
        <v>2088</v>
      </c>
      <c r="D1162" s="17">
        <f>VLOOKUP(A1148,'Neraca Unaudited SIMAK'!$A$2:$S$10004,14,FALSE)</f>
        <v>-421429084</v>
      </c>
      <c r="E1162" s="25">
        <f>SUMIFS('Daftar Koreksi'!$I$5:$I$92,'Daftar Koreksi'!$D$5:$D$92,'0300'!A1148,'Daftar Koreksi'!$G$5:$G$92,"Gedung dan Bangunan",'Daftar Koreksi'!$I$5:$I$92,"&gt;0")</f>
        <v>0</v>
      </c>
      <c r="F1162" s="25">
        <f>SUMIFS('Daftar Koreksi'!$I$5:$I$92,'Daftar Koreksi'!$D$5:$D$92,'0300'!A1148,'Daftar Koreksi'!$G$5:$G$92,"Gedung dan Bangunan",'Daftar Koreksi'!$I$5:$I$92,"&lt;0")-SUMIFS('Daftar Koreksi'!$I$5:$I$92,'Daftar Koreksi'!$D$5:$D$92,'0300'!A1148,'Daftar Koreksi'!$G$5:$G$92,"Gedung dan Bangunan",'Daftar Koreksi'!$I$5:$I$92,"&lt;0")-SUMIFS('Daftar Koreksi'!$I$5:$I$92,'Daftar Koreksi'!$D$5:$D$92,'0300'!A1148,'Daftar Koreksi'!$G$5:$G$92,"Gedung dan Bangunan",'Daftar Koreksi'!$I$5:$I$92,"&lt;0")</f>
        <v>0</v>
      </c>
      <c r="G1162" s="17">
        <f t="shared" si="52"/>
        <v>-421429084</v>
      </c>
      <c r="H1162" s="122"/>
    </row>
    <row r="1163" spans="1:8" ht="21.95" customHeight="1">
      <c r="A1163" s="14"/>
      <c r="B1163" s="14"/>
      <c r="C1163" s="16" t="s">
        <v>2089</v>
      </c>
      <c r="D1163" s="17">
        <f>VLOOKUP(A1148,'Neraca Unaudited SIMAK'!$A$2:$S$10004,15,FALSE)</f>
        <v>-5573750</v>
      </c>
      <c r="E1163" s="25">
        <f>SUMIFS('Daftar Koreksi'!$I$5:$I$92,'Daftar Koreksi'!$D$5:$D$92,'0300'!A1148,'Daftar Koreksi'!$G$5:$G$92,"Jalan Irigasi Jaringan",'Daftar Koreksi'!$I$5:$I$92,"&gt;0")</f>
        <v>0</v>
      </c>
      <c r="F1163" s="25">
        <f>SUMIFS('Daftar Koreksi'!$I$5:$I$92,'Daftar Koreksi'!$D$5:$D$92,'0300'!A1148,'Daftar Koreksi'!$G$5:$G$92,"Jalan Irigasi Jaringan",'Daftar Koreksi'!$I$5:$I$92,"&lt;0")-SUMIFS('Daftar Koreksi'!$I$5:$I$92,'Daftar Koreksi'!$D$5:$D$92,'0300'!A1148,'Daftar Koreksi'!$G$5:$G$92,"Jalan Irigasi Jaringan",'Daftar Koreksi'!$I$5:$I$92,"&lt;0")-SUMIFS('Daftar Koreksi'!$I$5:$I$92,'Daftar Koreksi'!$D$5:$D$92,'0300'!A1148,'Daftar Koreksi'!$G$5:$G$92,"Jalan Irigasi Jaringan",'Daftar Koreksi'!$I$5:$I$92,"&lt;0")</f>
        <v>0</v>
      </c>
      <c r="G1163" s="17">
        <f t="shared" si="52"/>
        <v>-5573750</v>
      </c>
      <c r="H1163" s="122"/>
    </row>
    <row r="1164" spans="1:8" ht="21.95" customHeight="1">
      <c r="A1164" s="14"/>
      <c r="B1164" s="14"/>
      <c r="C1164" s="16" t="s">
        <v>2090</v>
      </c>
      <c r="D1164" s="17">
        <f>VLOOKUP(A1148,'Neraca Unaudited SIMAK'!$A$2:$S$10004,16,FALSE)</f>
        <v>0</v>
      </c>
      <c r="E1164" s="25">
        <f>SUMIFS('Daftar Koreksi'!$I$5:$I$92,'Daftar Koreksi'!$D$5:$D$92,'0300'!A1148,'Daftar Koreksi'!$G$5:$G$92,"Aset Tetap Lainnya",'Daftar Koreksi'!$I$5:$I$92,"&gt;0")</f>
        <v>0</v>
      </c>
      <c r="F1164" s="25">
        <f>SUMIFS('Daftar Koreksi'!$I$5:$I$92,'Daftar Koreksi'!$D$5:$D$92,'0300'!A1148,'Daftar Koreksi'!$G$5:$G$92,"Aset Tetap Lainnya",'Daftar Koreksi'!$I$5:$I$92,"&lt;0")-SUMIFS('Daftar Koreksi'!$I$5:$I$92,'Daftar Koreksi'!$D$5:$D$92,'0300'!A1148,'Daftar Koreksi'!$G$5:$G$92,"Aset Tetap Lainnya",'Daftar Koreksi'!$I$5:$I$92,"&lt;0")-SUMIFS('Daftar Koreksi'!$I$5:$I$92,'Daftar Koreksi'!$D$5:$D$92,'0300'!A1148,'Daftar Koreksi'!$G$5:$G$92,"Aset Tetap Lainnya",'Daftar Koreksi'!$I$5:$I$92,"&lt;0")</f>
        <v>0</v>
      </c>
      <c r="G1164" s="17">
        <f t="shared" si="52"/>
        <v>0</v>
      </c>
      <c r="H1164" s="122"/>
    </row>
    <row r="1165" spans="1:8" ht="21.95" customHeight="1">
      <c r="A1165" s="14"/>
      <c r="B1165" s="14"/>
      <c r="C1165" s="16" t="s">
        <v>2020</v>
      </c>
      <c r="D1165" s="17">
        <f>VLOOKUP(A1148,'Neraca Unaudited SIMAK'!$A$2:$S$10004,17,FALSE)</f>
        <v>0</v>
      </c>
      <c r="E1165" s="25">
        <f>SUMIFS('Daftar Koreksi'!$I$5:$I$92,'Daftar Koreksi'!$D$5:$D$92,'0300'!A1148,'Daftar Koreksi'!$G$5:$G$92,"Aset Henti Guna",'Daftar Koreksi'!$I$5:$I$92,"&gt;0")</f>
        <v>0</v>
      </c>
      <c r="F1165" s="25">
        <f>SUMIFS('Daftar Koreksi'!$I$5:$I$92,'Daftar Koreksi'!$D$5:$D$92,'0300'!A1148,'Daftar Koreksi'!$G$5:$G$92,"Aset Henti Guna",'Daftar Koreksi'!$I$5:$I$92,"&lt;0")-SUMIFS('Daftar Koreksi'!$I$5:$I$92,'Daftar Koreksi'!$D$5:$D$92,'0300'!A1148,'Daftar Koreksi'!$G$5:$G$92,"Aset Henti Guna",'Daftar Koreksi'!$I$5:$I$92,"&lt;0")-SUMIFS('Daftar Koreksi'!$I$5:$I$92,'Daftar Koreksi'!$D$5:$D$92,'0300'!A1148,'Daftar Koreksi'!$G$5:$G$92,"Aset Henti Guna",'Daftar Koreksi'!$I$5:$I$92,"&lt;0")</f>
        <v>0</v>
      </c>
      <c r="G1165" s="17">
        <f t="shared" si="52"/>
        <v>0</v>
      </c>
      <c r="H1165" s="122"/>
    </row>
    <row r="1166" spans="1:8" ht="21.95" customHeight="1">
      <c r="A1166" s="14"/>
      <c r="B1166" s="14"/>
      <c r="C1166" s="18" t="s">
        <v>2094</v>
      </c>
      <c r="D1166" s="19">
        <f>SUM(D1161:D1165)</f>
        <v>-1414830971</v>
      </c>
      <c r="E1166" s="19">
        <f>SUM(E1161:E1165)</f>
        <v>0</v>
      </c>
      <c r="F1166" s="19">
        <f>SUM(F1161:F1165)</f>
        <v>0</v>
      </c>
      <c r="G1166" s="19">
        <f t="shared" si="52"/>
        <v>-1414830971</v>
      </c>
      <c r="H1166" s="122"/>
    </row>
    <row r="1167" spans="1:8" ht="21.95" customHeight="1">
      <c r="A1167" s="14"/>
      <c r="B1167" s="14"/>
      <c r="C1167" s="18" t="s">
        <v>2095</v>
      </c>
      <c r="D1167" s="19">
        <f>VLOOKUP(A1148,'Neraca Unaudited SIMAK'!$A$2:$S$10004,18,FALSE)</f>
        <v>3136153066</v>
      </c>
      <c r="E1167" s="19">
        <f>E1166+E1160</f>
        <v>0</v>
      </c>
      <c r="F1167" s="19">
        <f>F1166+F1160</f>
        <v>0</v>
      </c>
      <c r="G1167" s="19">
        <f t="shared" si="52"/>
        <v>3136153066</v>
      </c>
      <c r="H1167" s="122"/>
    </row>
    <row r="1168" spans="1:8" ht="21.95" customHeight="1">
      <c r="A1168" s="14"/>
      <c r="B1168" s="14"/>
      <c r="C1168" s="16" t="s">
        <v>2091</v>
      </c>
      <c r="D1168" s="17">
        <f>VLOOKUP(A1148,'Neraca Unaudited SIMAK'!$A$2:$S$10004,19,FALSE)</f>
        <v>0</v>
      </c>
      <c r="E1168" s="25"/>
      <c r="F1168" s="25"/>
      <c r="G1168" s="17">
        <f t="shared" si="52"/>
        <v>0</v>
      </c>
      <c r="H1168" s="123"/>
    </row>
    <row r="1170" spans="1:8" ht="19.5" customHeight="1">
      <c r="A1170" s="11" t="str">
        <f>O54</f>
        <v>005010300401030000KD</v>
      </c>
      <c r="B1170" s="11" t="str">
        <f>P54</f>
        <v>PA. Wonosobo</v>
      </c>
      <c r="C1170" s="12" t="str">
        <f>A1170&amp;" "&amp;B1170</f>
        <v>005010300401030000KD PA. Wonosobo</v>
      </c>
      <c r="D1170" s="13"/>
      <c r="E1170" s="13"/>
      <c r="F1170" s="13"/>
      <c r="G1170" s="13"/>
      <c r="H1170" s="11"/>
    </row>
    <row r="1171" spans="1:8" ht="21.95" customHeight="1">
      <c r="A1171" s="14"/>
      <c r="B1171" s="14"/>
      <c r="C1171" s="124" t="s">
        <v>1982</v>
      </c>
      <c r="D1171" s="126" t="s">
        <v>1983</v>
      </c>
      <c r="E1171" s="132" t="s">
        <v>1984</v>
      </c>
      <c r="F1171" s="132"/>
      <c r="G1171" s="126" t="s">
        <v>1987</v>
      </c>
      <c r="H1171" s="130" t="s">
        <v>1175</v>
      </c>
    </row>
    <row r="1172" spans="1:8" ht="21.95" customHeight="1">
      <c r="A1172" s="14"/>
      <c r="B1172" s="14"/>
      <c r="C1172" s="125"/>
      <c r="D1172" s="127"/>
      <c r="E1172" s="26" t="s">
        <v>1985</v>
      </c>
      <c r="F1172" s="26" t="s">
        <v>1986</v>
      </c>
      <c r="G1172" s="127"/>
      <c r="H1172" s="131"/>
    </row>
    <row r="1173" spans="1:8" ht="21.95" customHeight="1">
      <c r="A1173" s="14"/>
      <c r="B1173" s="14"/>
      <c r="C1173" s="16" t="s">
        <v>1165</v>
      </c>
      <c r="D1173" s="17">
        <f>VLOOKUP(A1170,'Neraca Unaudited SIMAK'!$A$2:$S$10004,3,FALSE)</f>
        <v>3218600</v>
      </c>
      <c r="E1173" s="25">
        <f>SUMIFS('Daftar Koreksi'!$H$5:$H$92,'Daftar Koreksi'!$D$5:$D$92,'0300'!A1170,'Daftar Koreksi'!$G$5:$G$92,"Persediaan",'Daftar Koreksi'!$H$5:$H$92,"&gt;0")</f>
        <v>0</v>
      </c>
      <c r="F1173" s="25">
        <f>SUMIFS('Daftar Koreksi'!$H$5:$H$92,'Daftar Koreksi'!$D$5:$D$92,'0300'!A1170,'Daftar Koreksi'!$G$5:$G$92,"Persediaan",'Daftar Koreksi'!$H$5:$H$92,"&lt;0")-SUMIFS('Daftar Koreksi'!$H$5:$H$92,'Daftar Koreksi'!$D$5:$D$92,'0300'!A1170,'Daftar Koreksi'!$G$5:$G$92,"Persediaan",'Daftar Koreksi'!$H$5:$H$92,"&lt;0")-SUMIFS('Daftar Koreksi'!$H$5:$H$92,'Daftar Koreksi'!$D$5:$D$92,'0300'!A1170,'Daftar Koreksi'!$G$5:$G$92,"Persediaan",'Daftar Koreksi'!$H$5:$H$92,"&lt;0")</f>
        <v>0</v>
      </c>
      <c r="G1173" s="17">
        <f>D1173+E1173-F1173</f>
        <v>3218600</v>
      </c>
      <c r="H1173" s="121" t="str">
        <f>IF(ISNA(VLOOKUP(A1170,'Mutasi Neraca'!$A$3:$S$914,19,FALSE)),"-",VLOOKUP(A1170,'Mutasi Neraca'!$A$3:$S$914,19,FALSE))</f>
        <v>-</v>
      </c>
    </row>
    <row r="1174" spans="1:8" ht="21.95" customHeight="1">
      <c r="A1174" s="14"/>
      <c r="B1174" s="14"/>
      <c r="C1174" s="16" t="s">
        <v>1166</v>
      </c>
      <c r="D1174" s="17">
        <f>VLOOKUP(A1170,'Neraca Unaudited SIMAK'!$A$2:$S$10004,4,FALSE)</f>
        <v>974112000</v>
      </c>
      <c r="E1174" s="25">
        <f>SUMIFS('Daftar Koreksi'!$H$5:$H$92,'Daftar Koreksi'!$D$5:$D$92,'0300'!A1170,'Daftar Koreksi'!$G$5:$G$92,"Tanah",'Daftar Koreksi'!$H$5:$H$92,"&gt;0")</f>
        <v>0</v>
      </c>
      <c r="F1174" s="25">
        <f>SUMIFS('Daftar Koreksi'!$H$5:$H$92,'Daftar Koreksi'!$D$5:$D$92,'0300'!A1170,'Daftar Koreksi'!$G$5:$G$92,"Tanah",'Daftar Koreksi'!$H$5:$H$92,"&lt;0")-SUMIFS('Daftar Koreksi'!$H$5:$H$92,'Daftar Koreksi'!$D$5:$D$92,'0300'!A1170,'Daftar Koreksi'!$G$5:$G$92,"Tanah",'Daftar Koreksi'!$H$5:$H$92,"&lt;0")-SUMIFS('Daftar Koreksi'!$H$5:$H$92,'Daftar Koreksi'!$D$5:$D$92,'0300'!A1170,'Daftar Koreksi'!$G$5:$G$92,"Tanah",'Daftar Koreksi'!$H$5:$H$92,"&lt;0")</f>
        <v>0</v>
      </c>
      <c r="G1174" s="17">
        <f t="shared" ref="G1174:G1190" si="53">D1174+E1174-F1174</f>
        <v>974112000</v>
      </c>
      <c r="H1174" s="122"/>
    </row>
    <row r="1175" spans="1:8" ht="21.95" customHeight="1">
      <c r="A1175" s="14"/>
      <c r="B1175" s="14"/>
      <c r="C1175" s="16" t="s">
        <v>1167</v>
      </c>
      <c r="D1175" s="17">
        <f>VLOOKUP(A1170,'Neraca Unaudited SIMAK'!$A$2:$S$10004,5,FALSE)</f>
        <v>1318577042</v>
      </c>
      <c r="E1175" s="25">
        <f>SUMIFS('Daftar Koreksi'!$H$5:$H$92,'Daftar Koreksi'!$D$5:$D$92,'0300'!A1170,'Daftar Koreksi'!$G$5:$G$92,"Peralatan dan mesin",'Daftar Koreksi'!$H$5:$H$92,"&gt;0")</f>
        <v>0</v>
      </c>
      <c r="F1175" s="25">
        <f>SUMIFS('Daftar Koreksi'!$H$5:$H$92,'Daftar Koreksi'!$D$5:$D$92,'0300'!A1170,'Daftar Koreksi'!$G$5:$G$92,"Peralatan dan mesin",'Daftar Koreksi'!$H$5:$H$92,"&lt;0")-SUMIFS('Daftar Koreksi'!$H$5:$H$92,'Daftar Koreksi'!$D$5:$D$92,'0300'!A1170,'Daftar Koreksi'!$G$5:$G$92,"Peralatan dan mesin",'Daftar Koreksi'!$H$5:$H$92,"&lt;0")-SUMIFS('Daftar Koreksi'!$H$5:$H$92,'Daftar Koreksi'!$D$5:$D$92,'0300'!A1170,'Daftar Koreksi'!$G$5:$G$92,"Peralatan dan mesin",'Daftar Koreksi'!$H$5:$H$92,"&lt;0")</f>
        <v>0</v>
      </c>
      <c r="G1175" s="17">
        <f t="shared" si="53"/>
        <v>1318577042</v>
      </c>
      <c r="H1175" s="122"/>
    </row>
    <row r="1176" spans="1:8" ht="21.95" customHeight="1">
      <c r="A1176" s="14"/>
      <c r="B1176" s="14"/>
      <c r="C1176" s="16" t="s">
        <v>1168</v>
      </c>
      <c r="D1176" s="17">
        <f>VLOOKUP(A1170,'Neraca Unaudited SIMAK'!$A$2:$S$10004,6,FALSE)</f>
        <v>1474042000</v>
      </c>
      <c r="E1176" s="25">
        <f>SUMIFS('Daftar Koreksi'!$H$5:$H$92,'Daftar Koreksi'!$D$5:$D$92,'0300'!A1170,'Daftar Koreksi'!$G$5:$G$92,"Gedung dan Bangunan",'Daftar Koreksi'!$H$5:$H$92,"&gt;0")</f>
        <v>0</v>
      </c>
      <c r="F1176" s="25">
        <f>SUMIFS('Daftar Koreksi'!$H$5:$H$92,'Daftar Koreksi'!$D$5:$D$92,'0300'!A1170,'Daftar Koreksi'!$G$5:$G$92,"Gedung dan Bangunan",'Daftar Koreksi'!$H$5:$H$92,"&lt;0")-SUMIFS('Daftar Koreksi'!$H$5:$H$92,'Daftar Koreksi'!$D$5:$D$92,'0300'!A1170,'Daftar Koreksi'!$G$5:$G$92,"Gedung dan Bangunan",'Daftar Koreksi'!$H$5:$H$92,"&lt;0")-SUMIFS('Daftar Koreksi'!$H$5:$H$92,'Daftar Koreksi'!$D$5:$D$92,'0300'!A1170,'Daftar Koreksi'!$G$5:$G$92,"Gedung dan Bangunan",'Daftar Koreksi'!$H$5:$H$92,"&lt;0")</f>
        <v>0</v>
      </c>
      <c r="G1176" s="17">
        <f t="shared" si="53"/>
        <v>1474042000</v>
      </c>
      <c r="H1176" s="122"/>
    </row>
    <row r="1177" spans="1:8" ht="21.95" customHeight="1">
      <c r="A1177" s="14"/>
      <c r="B1177" s="14"/>
      <c r="C1177" s="16" t="s">
        <v>1169</v>
      </c>
      <c r="D1177" s="17">
        <f>VLOOKUP(A1170,'Neraca Unaudited SIMAK'!$A$2:$S$10004,7,FALSE)</f>
        <v>0</v>
      </c>
      <c r="E1177" s="25">
        <f>SUMIFS('Daftar Koreksi'!$H$5:$H$92,'Daftar Koreksi'!$D$5:$D$92,'0300'!A1170,'Daftar Koreksi'!$G$5:$G$92,"Jalan Irigasi Jaringan",'Daftar Koreksi'!$H$5:$H$92,"&gt;0")</f>
        <v>0</v>
      </c>
      <c r="F1177" s="25">
        <f>SUMIFS('Daftar Koreksi'!$H$5:$H$92,'Daftar Koreksi'!$D$5:$D$92,'0300'!A1170,'Daftar Koreksi'!$G$5:$G$92,"Jalan Irigasi Jaringan",'Daftar Koreksi'!$H$5:$H$92,"&lt;0")-SUMIFS('Daftar Koreksi'!$H$5:$H$92,'Daftar Koreksi'!$D$5:$D$92,'0300'!A1170,'Daftar Koreksi'!$G$5:$G$92,"Jalan Irigasi Jaringan",'Daftar Koreksi'!$H$5:$H$92,"&lt;0")-SUMIFS('Daftar Koreksi'!$H$5:$H$92,'Daftar Koreksi'!$D$5:$D$92,'0300'!A1170,'Daftar Koreksi'!$G$5:$G$92,"Jalan Irigasi Jaringan",'Daftar Koreksi'!$H$5:$H$92,"&lt;0")</f>
        <v>0</v>
      </c>
      <c r="G1177" s="17">
        <f t="shared" si="53"/>
        <v>0</v>
      </c>
      <c r="H1177" s="122"/>
    </row>
    <row r="1178" spans="1:8" ht="21.95" customHeight="1">
      <c r="A1178" s="14"/>
      <c r="B1178" s="14"/>
      <c r="C1178" s="16" t="s">
        <v>1170</v>
      </c>
      <c r="D1178" s="17">
        <f>VLOOKUP(A1170,'Neraca Unaudited SIMAK'!$A$2:$S$10004,8,FALSE)</f>
        <v>4096580</v>
      </c>
      <c r="E1178" s="25">
        <f>SUMIFS('Daftar Koreksi'!$H$5:$H$92,'Daftar Koreksi'!$D$5:$D$92,'0300'!A1170,'Daftar Koreksi'!$G$5:$G$92,"Aset Tetap Lainnya",'Daftar Koreksi'!$H$5:$H$92,"&gt;0")</f>
        <v>0</v>
      </c>
      <c r="F1178" s="25">
        <f>SUMIFS('Daftar Koreksi'!$H$5:$H$92,'Daftar Koreksi'!$D$5:$D$92,'0300'!A1170,'Daftar Koreksi'!$G$5:$G$92,"Aset Tetap Lainnya",'Daftar Koreksi'!$H$5:$H$92,"&lt;0")-SUMIFS('Daftar Koreksi'!$H$5:$H$92,'Daftar Koreksi'!$D$5:$D$92,'0300'!A1170,'Daftar Koreksi'!$G$5:$G$92,"Aset Tetap Lainnya",'Daftar Koreksi'!$H$5:$H$92,"&lt;0")-SUMIFS('Daftar Koreksi'!$H$5:$H$92,'Daftar Koreksi'!$D$5:$D$92,'0300'!A1170,'Daftar Koreksi'!$G$5:$G$92,"Aset Tetap Lainnya",'Daftar Koreksi'!$H$5:$H$92,"&lt;0")</f>
        <v>0</v>
      </c>
      <c r="G1178" s="17">
        <f t="shared" si="53"/>
        <v>4096580</v>
      </c>
      <c r="H1178" s="122"/>
    </row>
    <row r="1179" spans="1:8" ht="21.95" customHeight="1">
      <c r="A1179" s="14"/>
      <c r="B1179" s="14"/>
      <c r="C1179" s="16" t="s">
        <v>1171</v>
      </c>
      <c r="D1179" s="17">
        <f>VLOOKUP(A1170,'Neraca Unaudited SIMAK'!$A$2:$S$10004,9,FALSE)</f>
        <v>0</v>
      </c>
      <c r="E1179" s="25">
        <f>SUMIFS('Daftar Koreksi'!$H$5:$H$92,'Daftar Koreksi'!$D$5:$D$92,'0300'!A1170,'Daftar Koreksi'!$G$5:$G$92,"Kontruksi Dalam Pengerjaan",'Daftar Koreksi'!$H$5:$H$92,"&gt;0")</f>
        <v>0</v>
      </c>
      <c r="F1179" s="25">
        <f>SUMIFS('Daftar Koreksi'!$H$5:$H$92,'Daftar Koreksi'!$D$5:$D$92,'0300'!A1170,'Daftar Koreksi'!$G$5:$G$92,"Kontruksi Dalam Pengerjaan",'Daftar Koreksi'!$H$5:$H$92,"&lt;0")-SUMIFS('Daftar Koreksi'!$H$5:$H$92,'Daftar Koreksi'!$D$5:$D$92,'0300'!A1170,'Daftar Koreksi'!$G$5:$G$92,"Kontruksi Dalam Pengerjaan",'Daftar Koreksi'!$H$5:$H$92,"&lt;0")-SUMIFS('Daftar Koreksi'!$H$5:$H$92,'Daftar Koreksi'!$D$5:$D$92,'0300'!A1170,'Daftar Koreksi'!$G$5:$G$92,"Kontruksi Dalam Pengerjaan",'Daftar Koreksi'!$H$5:$H$92,"&lt;0")</f>
        <v>0</v>
      </c>
      <c r="G1179" s="17">
        <f t="shared" si="53"/>
        <v>0</v>
      </c>
      <c r="H1179" s="122"/>
    </row>
    <row r="1180" spans="1:8" ht="21.95" customHeight="1">
      <c r="A1180" s="14"/>
      <c r="B1180" s="14"/>
      <c r="C1180" s="16" t="s">
        <v>1172</v>
      </c>
      <c r="D1180" s="17">
        <f>VLOOKUP(A1170,'Neraca Unaudited SIMAK'!$A$2:$S$10004,10,FALSE)</f>
        <v>2500000</v>
      </c>
      <c r="E1180" s="25">
        <f>SUMIFS('Daftar Koreksi'!$H$5:$H$92,'Daftar Koreksi'!$D$5:$D$92,'0300'!A1170,'Daftar Koreksi'!$G$5:$G$92,"Aset Tak Berwujud",'Daftar Koreksi'!$H$5:$H$92,"&gt;0")</f>
        <v>0</v>
      </c>
      <c r="F1180" s="25">
        <f>SUMIFS('Daftar Koreksi'!$H$5:$H$92,'Daftar Koreksi'!$D$5:$D$92,'0300'!A1170,'Daftar Koreksi'!$G$5:$G$92,"Aset Tak Berwujud",'Daftar Koreksi'!$H$5:$H$92,"&lt;0")-SUMIFS('Daftar Koreksi'!$H$5:$H$92,'Daftar Koreksi'!$D$5:$D$92,'0300'!A1170,'Daftar Koreksi'!$G$5:$G$92,"Aset Tak Berwujud",'Daftar Koreksi'!$H$5:$H$92,"&lt;0")-SUMIFS('Daftar Koreksi'!$H$5:$H$92,'Daftar Koreksi'!$D$5:$D$92,'0300'!A1170,'Daftar Koreksi'!$G$5:$G$92,"Aset Tak Berwujud",'Daftar Koreksi'!$H$5:$H$92,"&lt;0")</f>
        <v>0</v>
      </c>
      <c r="G1180" s="17">
        <f t="shared" si="53"/>
        <v>2500000</v>
      </c>
      <c r="H1180" s="122"/>
    </row>
    <row r="1181" spans="1:8" ht="21.95" customHeight="1">
      <c r="A1181" s="14"/>
      <c r="B1181" s="14"/>
      <c r="C1181" s="16" t="s">
        <v>1173</v>
      </c>
      <c r="D1181" s="17">
        <f>VLOOKUP(A1170,'Neraca Unaudited SIMAK'!$A$2:$S$10004,11,FALSE)</f>
        <v>747000</v>
      </c>
      <c r="E1181" s="25">
        <f>SUMIFS('Daftar Koreksi'!$H$5:$H$92,'Daftar Koreksi'!$D$5:$D$92,'0300'!A1170,'Daftar Koreksi'!$G$5:$G$92,"Aset Henti Guna",'Daftar Koreksi'!$H$5:$H$92,"&gt;0")</f>
        <v>0</v>
      </c>
      <c r="F1181" s="25">
        <f>SUMIFS('Daftar Koreksi'!$H$5:$H$92,'Daftar Koreksi'!$D$5:$D$92,'0300'!A1170,'Daftar Koreksi'!$G$5:$G$92,"Aset Henti Guna",'Daftar Koreksi'!$H$5:$H$92,"&lt;0")-SUMIFS('Daftar Koreksi'!$H$5:$H$92,'Daftar Koreksi'!$D$5:$D$92,'0300'!A1170,'Daftar Koreksi'!$G$5:$G$92,"Aset Henti Guna",'Daftar Koreksi'!$H$5:$H$92,"&lt;0")-SUMIFS('Daftar Koreksi'!$H$5:$H$92,'Daftar Koreksi'!$D$5:$D$92,'0300'!A1170,'Daftar Koreksi'!$G$5:$G$92,"Aset Henti Guna",'Daftar Koreksi'!$H$5:$H$92,"&lt;0")</f>
        <v>0</v>
      </c>
      <c r="G1181" s="17">
        <f t="shared" si="53"/>
        <v>747000</v>
      </c>
      <c r="H1181" s="122"/>
    </row>
    <row r="1182" spans="1:8" ht="21.95" customHeight="1">
      <c r="A1182" s="14"/>
      <c r="B1182" s="14"/>
      <c r="C1182" s="18" t="s">
        <v>2093</v>
      </c>
      <c r="D1182" s="19">
        <f>VLOOKUP(A1170,'Neraca Unaudited SIMAK'!$A$2:$S$10004,12,FALSE)</f>
        <v>3777293222</v>
      </c>
      <c r="E1182" s="19">
        <f>SUM(E1173:E1181)</f>
        <v>0</v>
      </c>
      <c r="F1182" s="19">
        <f>SUM(F1173:F1181)</f>
        <v>0</v>
      </c>
      <c r="G1182" s="19">
        <f t="shared" si="53"/>
        <v>3777293222</v>
      </c>
      <c r="H1182" s="122"/>
    </row>
    <row r="1183" spans="1:8" ht="21.95" customHeight="1">
      <c r="A1183" s="14"/>
      <c r="B1183" s="14"/>
      <c r="C1183" s="16" t="s">
        <v>2087</v>
      </c>
      <c r="D1183" s="17">
        <f>VLOOKUP(A1170,'Neraca Unaudited SIMAK'!$A$2:$S$10004,13,FALSE)</f>
        <v>-1044073642</v>
      </c>
      <c r="E1183" s="25">
        <f>SUMIFS('Daftar Koreksi'!$I$5:$I$92,'Daftar Koreksi'!$D$5:$D$92,'0300'!A1170,'Daftar Koreksi'!$G$5:$G$92,"Peralatan dan mesin",'Daftar Koreksi'!$I$5:$I$92,"&gt;0")</f>
        <v>0</v>
      </c>
      <c r="F1183" s="25">
        <f>SUMIFS('Daftar Koreksi'!$I$5:$I$92,'Daftar Koreksi'!$D$5:$D$92,'0300'!A1170,'Daftar Koreksi'!$G$5:$G$92,"Peralatan dan mesin",'Daftar Koreksi'!$I$5:$I$92,"&lt;0")-SUMIFS('Daftar Koreksi'!$I$5:$I$92,'Daftar Koreksi'!$D$5:$D$92,'0300'!A1170,'Daftar Koreksi'!$G$5:$G$92,"Peralatan dan mesin",'Daftar Koreksi'!$I$5:$I$92,"&lt;0")-SUMIFS('Daftar Koreksi'!$I$5:$I$92,'Daftar Koreksi'!$D$5:$D$92,'0300'!A1170,'Daftar Koreksi'!$G$5:$G$92,"Peralatan dan mesin",'Daftar Koreksi'!$I$5:$I$92,"&lt;0")</f>
        <v>0</v>
      </c>
      <c r="G1183" s="17">
        <f t="shared" si="53"/>
        <v>-1044073642</v>
      </c>
      <c r="H1183" s="122"/>
    </row>
    <row r="1184" spans="1:8" ht="21.95" customHeight="1">
      <c r="A1184" s="14"/>
      <c r="B1184" s="14"/>
      <c r="C1184" s="16" t="s">
        <v>2088</v>
      </c>
      <c r="D1184" s="17">
        <f>VLOOKUP(A1170,'Neraca Unaudited SIMAK'!$A$2:$S$10004,14,FALSE)</f>
        <v>-196767482</v>
      </c>
      <c r="E1184" s="25">
        <f>SUMIFS('Daftar Koreksi'!$I$5:$I$92,'Daftar Koreksi'!$D$5:$D$92,'0300'!A1170,'Daftar Koreksi'!$G$5:$G$92,"Gedung dan Bangunan",'Daftar Koreksi'!$I$5:$I$92,"&gt;0")</f>
        <v>0</v>
      </c>
      <c r="F1184" s="25">
        <f>SUMIFS('Daftar Koreksi'!$I$5:$I$92,'Daftar Koreksi'!$D$5:$D$92,'0300'!A1170,'Daftar Koreksi'!$G$5:$G$92,"Gedung dan Bangunan",'Daftar Koreksi'!$I$5:$I$92,"&lt;0")-SUMIFS('Daftar Koreksi'!$I$5:$I$92,'Daftar Koreksi'!$D$5:$D$92,'0300'!A1170,'Daftar Koreksi'!$G$5:$G$92,"Gedung dan Bangunan",'Daftar Koreksi'!$I$5:$I$92,"&lt;0")-SUMIFS('Daftar Koreksi'!$I$5:$I$92,'Daftar Koreksi'!$D$5:$D$92,'0300'!A1170,'Daftar Koreksi'!$G$5:$G$92,"Gedung dan Bangunan",'Daftar Koreksi'!$I$5:$I$92,"&lt;0")</f>
        <v>0</v>
      </c>
      <c r="G1184" s="17">
        <f t="shared" si="53"/>
        <v>-196767482</v>
      </c>
      <c r="H1184" s="122"/>
    </row>
    <row r="1185" spans="1:8" ht="21.95" customHeight="1">
      <c r="A1185" s="14"/>
      <c r="B1185" s="14"/>
      <c r="C1185" s="16" t="s">
        <v>2089</v>
      </c>
      <c r="D1185" s="17">
        <f>VLOOKUP(A1170,'Neraca Unaudited SIMAK'!$A$2:$S$10004,15,FALSE)</f>
        <v>0</v>
      </c>
      <c r="E1185" s="25">
        <f>SUMIFS('Daftar Koreksi'!$I$5:$I$92,'Daftar Koreksi'!$D$5:$D$92,'0300'!A1170,'Daftar Koreksi'!$G$5:$G$92,"Jalan Irigasi Jaringan",'Daftar Koreksi'!$I$5:$I$92,"&gt;0")</f>
        <v>0</v>
      </c>
      <c r="F1185" s="25">
        <f>SUMIFS('Daftar Koreksi'!$I$5:$I$92,'Daftar Koreksi'!$D$5:$D$92,'0300'!A1170,'Daftar Koreksi'!$G$5:$G$92,"Jalan Irigasi Jaringan",'Daftar Koreksi'!$I$5:$I$92,"&lt;0")-SUMIFS('Daftar Koreksi'!$I$5:$I$92,'Daftar Koreksi'!$D$5:$D$92,'0300'!A1170,'Daftar Koreksi'!$G$5:$G$92,"Jalan Irigasi Jaringan",'Daftar Koreksi'!$I$5:$I$92,"&lt;0")-SUMIFS('Daftar Koreksi'!$I$5:$I$92,'Daftar Koreksi'!$D$5:$D$92,'0300'!A1170,'Daftar Koreksi'!$G$5:$G$92,"Jalan Irigasi Jaringan",'Daftar Koreksi'!$I$5:$I$92,"&lt;0")</f>
        <v>0</v>
      </c>
      <c r="G1185" s="17">
        <f t="shared" si="53"/>
        <v>0</v>
      </c>
      <c r="H1185" s="122"/>
    </row>
    <row r="1186" spans="1:8" ht="21.95" customHeight="1">
      <c r="A1186" s="14"/>
      <c r="B1186" s="14"/>
      <c r="C1186" s="16" t="s">
        <v>2090</v>
      </c>
      <c r="D1186" s="17">
        <f>VLOOKUP(A1170,'Neraca Unaudited SIMAK'!$A$2:$S$10004,16,FALSE)</f>
        <v>0</v>
      </c>
      <c r="E1186" s="25">
        <f>SUMIFS('Daftar Koreksi'!$I$5:$I$92,'Daftar Koreksi'!$D$5:$D$92,'0300'!A1170,'Daftar Koreksi'!$G$5:$G$92,"Aset Tetap Lainnya",'Daftar Koreksi'!$I$5:$I$92,"&gt;0")</f>
        <v>0</v>
      </c>
      <c r="F1186" s="25">
        <f>SUMIFS('Daftar Koreksi'!$I$5:$I$92,'Daftar Koreksi'!$D$5:$D$92,'0300'!A1170,'Daftar Koreksi'!$G$5:$G$92,"Aset Tetap Lainnya",'Daftar Koreksi'!$I$5:$I$92,"&lt;0")-SUMIFS('Daftar Koreksi'!$I$5:$I$92,'Daftar Koreksi'!$D$5:$D$92,'0300'!A1170,'Daftar Koreksi'!$G$5:$G$92,"Aset Tetap Lainnya",'Daftar Koreksi'!$I$5:$I$92,"&lt;0")-SUMIFS('Daftar Koreksi'!$I$5:$I$92,'Daftar Koreksi'!$D$5:$D$92,'0300'!A1170,'Daftar Koreksi'!$G$5:$G$92,"Aset Tetap Lainnya",'Daftar Koreksi'!$I$5:$I$92,"&lt;0")</f>
        <v>0</v>
      </c>
      <c r="G1186" s="17">
        <f t="shared" si="53"/>
        <v>0</v>
      </c>
      <c r="H1186" s="122"/>
    </row>
    <row r="1187" spans="1:8" ht="21.95" customHeight="1">
      <c r="A1187" s="14"/>
      <c r="B1187" s="14"/>
      <c r="C1187" s="16" t="s">
        <v>2020</v>
      </c>
      <c r="D1187" s="17">
        <f>VLOOKUP(A1170,'Neraca Unaudited SIMAK'!$A$2:$S$10004,17,FALSE)</f>
        <v>-747000</v>
      </c>
      <c r="E1187" s="25">
        <f>SUMIFS('Daftar Koreksi'!$I$5:$I$92,'Daftar Koreksi'!$D$5:$D$92,'0300'!A1170,'Daftar Koreksi'!$G$5:$G$92,"Aset Henti Guna",'Daftar Koreksi'!$I$5:$I$92,"&gt;0")</f>
        <v>0</v>
      </c>
      <c r="F1187" s="25">
        <f>SUMIFS('Daftar Koreksi'!$I$5:$I$92,'Daftar Koreksi'!$D$5:$D$92,'0300'!A1170,'Daftar Koreksi'!$G$5:$G$92,"Aset Henti Guna",'Daftar Koreksi'!$I$5:$I$92,"&lt;0")-SUMIFS('Daftar Koreksi'!$I$5:$I$92,'Daftar Koreksi'!$D$5:$D$92,'0300'!A1170,'Daftar Koreksi'!$G$5:$G$92,"Aset Henti Guna",'Daftar Koreksi'!$I$5:$I$92,"&lt;0")-SUMIFS('Daftar Koreksi'!$I$5:$I$92,'Daftar Koreksi'!$D$5:$D$92,'0300'!A1170,'Daftar Koreksi'!$G$5:$G$92,"Aset Henti Guna",'Daftar Koreksi'!$I$5:$I$92,"&lt;0")</f>
        <v>0</v>
      </c>
      <c r="G1187" s="17">
        <f t="shared" si="53"/>
        <v>-747000</v>
      </c>
      <c r="H1187" s="122"/>
    </row>
    <row r="1188" spans="1:8" ht="21.95" customHeight="1">
      <c r="A1188" s="14"/>
      <c r="B1188" s="14"/>
      <c r="C1188" s="18" t="s">
        <v>2094</v>
      </c>
      <c r="D1188" s="19">
        <f>SUM(D1183:D1187)</f>
        <v>-1241588124</v>
      </c>
      <c r="E1188" s="19">
        <f>SUM(E1183:E1187)</f>
        <v>0</v>
      </c>
      <c r="F1188" s="19">
        <f>SUM(F1183:F1187)</f>
        <v>0</v>
      </c>
      <c r="G1188" s="19">
        <f t="shared" si="53"/>
        <v>-1241588124</v>
      </c>
      <c r="H1188" s="122"/>
    </row>
    <row r="1189" spans="1:8" ht="21.95" customHeight="1">
      <c r="A1189" s="14"/>
      <c r="B1189" s="14"/>
      <c r="C1189" s="18" t="s">
        <v>2095</v>
      </c>
      <c r="D1189" s="19">
        <f>VLOOKUP(A1170,'Neraca Unaudited SIMAK'!$A$2:$S$10004,18,FALSE)</f>
        <v>2535705098</v>
      </c>
      <c r="E1189" s="19">
        <f>E1188+E1182</f>
        <v>0</v>
      </c>
      <c r="F1189" s="19">
        <f>F1188+F1182</f>
        <v>0</v>
      </c>
      <c r="G1189" s="19">
        <f t="shared" si="53"/>
        <v>2535705098</v>
      </c>
      <c r="H1189" s="122"/>
    </row>
    <row r="1190" spans="1:8" ht="21.95" customHeight="1">
      <c r="A1190" s="14"/>
      <c r="B1190" s="14"/>
      <c r="C1190" s="16" t="s">
        <v>2091</v>
      </c>
      <c r="D1190" s="17">
        <f>VLOOKUP(A1170,'Neraca Unaudited SIMAK'!$A$2:$S$10004,19,FALSE)</f>
        <v>0</v>
      </c>
      <c r="E1190" s="25"/>
      <c r="F1190" s="25"/>
      <c r="G1190" s="17">
        <f t="shared" si="53"/>
        <v>0</v>
      </c>
      <c r="H1190" s="123"/>
    </row>
    <row r="1192" spans="1:8" ht="19.5" customHeight="1">
      <c r="A1192" s="11" t="str">
        <f>O55</f>
        <v>005010300401049000KD</v>
      </c>
      <c r="B1192" s="11" t="str">
        <f>P55</f>
        <v>PA. Purworejo</v>
      </c>
      <c r="C1192" s="12" t="str">
        <f>A1192&amp;" "&amp;B1192</f>
        <v>005010300401049000KD PA. Purworejo</v>
      </c>
      <c r="D1192" s="13"/>
      <c r="E1192" s="13"/>
      <c r="F1192" s="13"/>
      <c r="G1192" s="13"/>
      <c r="H1192" s="11"/>
    </row>
    <row r="1193" spans="1:8" ht="21.95" customHeight="1">
      <c r="A1193" s="14"/>
      <c r="B1193" s="14"/>
      <c r="C1193" s="124" t="s">
        <v>1982</v>
      </c>
      <c r="D1193" s="126" t="s">
        <v>1983</v>
      </c>
      <c r="E1193" s="132" t="s">
        <v>1984</v>
      </c>
      <c r="F1193" s="132"/>
      <c r="G1193" s="126" t="s">
        <v>1987</v>
      </c>
      <c r="H1193" s="130" t="s">
        <v>1175</v>
      </c>
    </row>
    <row r="1194" spans="1:8" ht="21.95" customHeight="1">
      <c r="A1194" s="14"/>
      <c r="B1194" s="14"/>
      <c r="C1194" s="125"/>
      <c r="D1194" s="127"/>
      <c r="E1194" s="26" t="s">
        <v>1985</v>
      </c>
      <c r="F1194" s="26" t="s">
        <v>1986</v>
      </c>
      <c r="G1194" s="127"/>
      <c r="H1194" s="131"/>
    </row>
    <row r="1195" spans="1:8" ht="21.95" customHeight="1">
      <c r="A1195" s="14"/>
      <c r="B1195" s="14"/>
      <c r="C1195" s="16" t="s">
        <v>1165</v>
      </c>
      <c r="D1195" s="17">
        <f>VLOOKUP(A1192,'Neraca Unaudited SIMAK'!$A$2:$S$10004,3,FALSE)</f>
        <v>4606650</v>
      </c>
      <c r="E1195" s="25">
        <f>SUMIFS('Daftar Koreksi'!$H$5:$H$92,'Daftar Koreksi'!$D$5:$D$92,'0300'!A1192,'Daftar Koreksi'!$G$5:$G$92,"Persediaan",'Daftar Koreksi'!$H$5:$H$92,"&gt;0")</f>
        <v>0</v>
      </c>
      <c r="F1195" s="25">
        <f>SUMIFS('Daftar Koreksi'!$H$5:$H$92,'Daftar Koreksi'!$D$5:$D$92,'0300'!A1192,'Daftar Koreksi'!$G$5:$G$92,"Persediaan",'Daftar Koreksi'!$H$5:$H$92,"&lt;0")-SUMIFS('Daftar Koreksi'!$H$5:$H$92,'Daftar Koreksi'!$D$5:$D$92,'0300'!A1192,'Daftar Koreksi'!$G$5:$G$92,"Persediaan",'Daftar Koreksi'!$H$5:$H$92,"&lt;0")-SUMIFS('Daftar Koreksi'!$H$5:$H$92,'Daftar Koreksi'!$D$5:$D$92,'0300'!A1192,'Daftar Koreksi'!$G$5:$G$92,"Persediaan",'Daftar Koreksi'!$H$5:$H$92,"&lt;0")</f>
        <v>0</v>
      </c>
      <c r="G1195" s="17">
        <f>D1195+E1195-F1195</f>
        <v>4606650</v>
      </c>
      <c r="H1195" s="121" t="str">
        <f>IF(ISNA(VLOOKUP(A1192,'Mutasi Neraca'!$A$3:$S$914,19,FALSE)),"-",VLOOKUP(A1192,'Mutasi Neraca'!$A$3:$S$914,19,FALSE))</f>
        <v>-</v>
      </c>
    </row>
    <row r="1196" spans="1:8" ht="21.95" customHeight="1">
      <c r="A1196" s="14"/>
      <c r="B1196" s="14"/>
      <c r="C1196" s="16" t="s">
        <v>1166</v>
      </c>
      <c r="D1196" s="17">
        <f>VLOOKUP(A1192,'Neraca Unaudited SIMAK'!$A$2:$S$10004,4,FALSE)</f>
        <v>1803217500</v>
      </c>
      <c r="E1196" s="25">
        <f>SUMIFS('Daftar Koreksi'!$H$5:$H$92,'Daftar Koreksi'!$D$5:$D$92,'0300'!A1192,'Daftar Koreksi'!$G$5:$G$92,"Tanah",'Daftar Koreksi'!$H$5:$H$92,"&gt;0")</f>
        <v>0</v>
      </c>
      <c r="F1196" s="25">
        <f>SUMIFS('Daftar Koreksi'!$H$5:$H$92,'Daftar Koreksi'!$D$5:$D$92,'0300'!A1192,'Daftar Koreksi'!$G$5:$G$92,"Tanah",'Daftar Koreksi'!$H$5:$H$92,"&lt;0")-SUMIFS('Daftar Koreksi'!$H$5:$H$92,'Daftar Koreksi'!$D$5:$D$92,'0300'!A1192,'Daftar Koreksi'!$G$5:$G$92,"Tanah",'Daftar Koreksi'!$H$5:$H$92,"&lt;0")-SUMIFS('Daftar Koreksi'!$H$5:$H$92,'Daftar Koreksi'!$D$5:$D$92,'0300'!A1192,'Daftar Koreksi'!$G$5:$G$92,"Tanah",'Daftar Koreksi'!$H$5:$H$92,"&lt;0")</f>
        <v>0</v>
      </c>
      <c r="G1196" s="17">
        <f t="shared" ref="G1196:G1212" si="54">D1196+E1196-F1196</f>
        <v>1803217500</v>
      </c>
      <c r="H1196" s="122"/>
    </row>
    <row r="1197" spans="1:8" ht="21.95" customHeight="1">
      <c r="A1197" s="14"/>
      <c r="B1197" s="14"/>
      <c r="C1197" s="16" t="s">
        <v>1167</v>
      </c>
      <c r="D1197" s="17">
        <f>VLOOKUP(A1192,'Neraca Unaudited SIMAK'!$A$2:$S$10004,5,FALSE)</f>
        <v>823949045</v>
      </c>
      <c r="E1197" s="25">
        <f>SUMIFS('Daftar Koreksi'!$H$5:$H$92,'Daftar Koreksi'!$D$5:$D$92,'0300'!A1192,'Daftar Koreksi'!$G$5:$G$92,"Peralatan dan mesin",'Daftar Koreksi'!$H$5:$H$92,"&gt;0")</f>
        <v>0</v>
      </c>
      <c r="F1197" s="25">
        <f>SUMIFS('Daftar Koreksi'!$H$5:$H$92,'Daftar Koreksi'!$D$5:$D$92,'0300'!A1192,'Daftar Koreksi'!$G$5:$G$92,"Peralatan dan mesin",'Daftar Koreksi'!$H$5:$H$92,"&lt;0")-SUMIFS('Daftar Koreksi'!$H$5:$H$92,'Daftar Koreksi'!$D$5:$D$92,'0300'!A1192,'Daftar Koreksi'!$G$5:$G$92,"Peralatan dan mesin",'Daftar Koreksi'!$H$5:$H$92,"&lt;0")-SUMIFS('Daftar Koreksi'!$H$5:$H$92,'Daftar Koreksi'!$D$5:$D$92,'0300'!A1192,'Daftar Koreksi'!$G$5:$G$92,"Peralatan dan mesin",'Daftar Koreksi'!$H$5:$H$92,"&lt;0")</f>
        <v>0</v>
      </c>
      <c r="G1197" s="17">
        <f t="shared" si="54"/>
        <v>823949045</v>
      </c>
      <c r="H1197" s="122"/>
    </row>
    <row r="1198" spans="1:8" ht="21.95" customHeight="1">
      <c r="A1198" s="14"/>
      <c r="B1198" s="14"/>
      <c r="C1198" s="16" t="s">
        <v>1168</v>
      </c>
      <c r="D1198" s="17">
        <f>VLOOKUP(A1192,'Neraca Unaudited SIMAK'!$A$2:$S$10004,6,FALSE)</f>
        <v>1875208000</v>
      </c>
      <c r="E1198" s="25">
        <f>SUMIFS('Daftar Koreksi'!$H$5:$H$92,'Daftar Koreksi'!$D$5:$D$92,'0300'!A1192,'Daftar Koreksi'!$G$5:$G$92,"Gedung dan Bangunan",'Daftar Koreksi'!$H$5:$H$92,"&gt;0")</f>
        <v>0</v>
      </c>
      <c r="F1198" s="25">
        <f>SUMIFS('Daftar Koreksi'!$H$5:$H$92,'Daftar Koreksi'!$D$5:$D$92,'0300'!A1192,'Daftar Koreksi'!$G$5:$G$92,"Gedung dan Bangunan",'Daftar Koreksi'!$H$5:$H$92,"&lt;0")-SUMIFS('Daftar Koreksi'!$H$5:$H$92,'Daftar Koreksi'!$D$5:$D$92,'0300'!A1192,'Daftar Koreksi'!$G$5:$G$92,"Gedung dan Bangunan",'Daftar Koreksi'!$H$5:$H$92,"&lt;0")-SUMIFS('Daftar Koreksi'!$H$5:$H$92,'Daftar Koreksi'!$D$5:$D$92,'0300'!A1192,'Daftar Koreksi'!$G$5:$G$92,"Gedung dan Bangunan",'Daftar Koreksi'!$H$5:$H$92,"&lt;0")</f>
        <v>0</v>
      </c>
      <c r="G1198" s="17">
        <f t="shared" si="54"/>
        <v>1875208000</v>
      </c>
      <c r="H1198" s="122"/>
    </row>
    <row r="1199" spans="1:8" ht="21.95" customHeight="1">
      <c r="A1199" s="14"/>
      <c r="B1199" s="14"/>
      <c r="C1199" s="16" t="s">
        <v>1169</v>
      </c>
      <c r="D1199" s="17">
        <f>VLOOKUP(A1192,'Neraca Unaudited SIMAK'!$A$2:$S$10004,7,FALSE)</f>
        <v>49821900</v>
      </c>
      <c r="E1199" s="25">
        <f>SUMIFS('Daftar Koreksi'!$H$5:$H$92,'Daftar Koreksi'!$D$5:$D$92,'0300'!A1192,'Daftar Koreksi'!$G$5:$G$92,"Jalan Irigasi Jaringan",'Daftar Koreksi'!$H$5:$H$92,"&gt;0")</f>
        <v>0</v>
      </c>
      <c r="F1199" s="25">
        <f>SUMIFS('Daftar Koreksi'!$H$5:$H$92,'Daftar Koreksi'!$D$5:$D$92,'0300'!A1192,'Daftar Koreksi'!$G$5:$G$92,"Jalan Irigasi Jaringan",'Daftar Koreksi'!$H$5:$H$92,"&lt;0")-SUMIFS('Daftar Koreksi'!$H$5:$H$92,'Daftar Koreksi'!$D$5:$D$92,'0300'!A1192,'Daftar Koreksi'!$G$5:$G$92,"Jalan Irigasi Jaringan",'Daftar Koreksi'!$H$5:$H$92,"&lt;0")-SUMIFS('Daftar Koreksi'!$H$5:$H$92,'Daftar Koreksi'!$D$5:$D$92,'0300'!A1192,'Daftar Koreksi'!$G$5:$G$92,"Jalan Irigasi Jaringan",'Daftar Koreksi'!$H$5:$H$92,"&lt;0")</f>
        <v>0</v>
      </c>
      <c r="G1199" s="17">
        <f t="shared" si="54"/>
        <v>49821900</v>
      </c>
      <c r="H1199" s="122"/>
    </row>
    <row r="1200" spans="1:8" ht="21.95" customHeight="1">
      <c r="A1200" s="14"/>
      <c r="B1200" s="14"/>
      <c r="C1200" s="16" t="s">
        <v>1170</v>
      </c>
      <c r="D1200" s="17">
        <f>VLOOKUP(A1192,'Neraca Unaudited SIMAK'!$A$2:$S$10004,8,FALSE)</f>
        <v>67392000</v>
      </c>
      <c r="E1200" s="25">
        <f>SUMIFS('Daftar Koreksi'!$H$5:$H$92,'Daftar Koreksi'!$D$5:$D$92,'0300'!A1192,'Daftar Koreksi'!$G$5:$G$92,"Aset Tetap Lainnya",'Daftar Koreksi'!$H$5:$H$92,"&gt;0")</f>
        <v>0</v>
      </c>
      <c r="F1200" s="25">
        <f>SUMIFS('Daftar Koreksi'!$H$5:$H$92,'Daftar Koreksi'!$D$5:$D$92,'0300'!A1192,'Daftar Koreksi'!$G$5:$G$92,"Aset Tetap Lainnya",'Daftar Koreksi'!$H$5:$H$92,"&lt;0")-SUMIFS('Daftar Koreksi'!$H$5:$H$92,'Daftar Koreksi'!$D$5:$D$92,'0300'!A1192,'Daftar Koreksi'!$G$5:$G$92,"Aset Tetap Lainnya",'Daftar Koreksi'!$H$5:$H$92,"&lt;0")-SUMIFS('Daftar Koreksi'!$H$5:$H$92,'Daftar Koreksi'!$D$5:$D$92,'0300'!A1192,'Daftar Koreksi'!$G$5:$G$92,"Aset Tetap Lainnya",'Daftar Koreksi'!$H$5:$H$92,"&lt;0")</f>
        <v>0</v>
      </c>
      <c r="G1200" s="17">
        <f t="shared" si="54"/>
        <v>67392000</v>
      </c>
      <c r="H1200" s="122"/>
    </row>
    <row r="1201" spans="1:8" ht="21.95" customHeight="1">
      <c r="A1201" s="14"/>
      <c r="B1201" s="14"/>
      <c r="C1201" s="16" t="s">
        <v>1171</v>
      </c>
      <c r="D1201" s="17">
        <f>VLOOKUP(A1192,'Neraca Unaudited SIMAK'!$A$2:$S$10004,9,FALSE)</f>
        <v>0</v>
      </c>
      <c r="E1201" s="25">
        <f>SUMIFS('Daftar Koreksi'!$H$5:$H$92,'Daftar Koreksi'!$D$5:$D$92,'0300'!A1192,'Daftar Koreksi'!$G$5:$G$92,"Kontruksi Dalam Pengerjaan",'Daftar Koreksi'!$H$5:$H$92,"&gt;0")</f>
        <v>0</v>
      </c>
      <c r="F1201" s="25">
        <f>SUMIFS('Daftar Koreksi'!$H$5:$H$92,'Daftar Koreksi'!$D$5:$D$92,'0300'!A1192,'Daftar Koreksi'!$G$5:$G$92,"Kontruksi Dalam Pengerjaan",'Daftar Koreksi'!$H$5:$H$92,"&lt;0")-SUMIFS('Daftar Koreksi'!$H$5:$H$92,'Daftar Koreksi'!$D$5:$D$92,'0300'!A1192,'Daftar Koreksi'!$G$5:$G$92,"Kontruksi Dalam Pengerjaan",'Daftar Koreksi'!$H$5:$H$92,"&lt;0")-SUMIFS('Daftar Koreksi'!$H$5:$H$92,'Daftar Koreksi'!$D$5:$D$92,'0300'!A1192,'Daftar Koreksi'!$G$5:$G$92,"Kontruksi Dalam Pengerjaan",'Daftar Koreksi'!$H$5:$H$92,"&lt;0")</f>
        <v>0</v>
      </c>
      <c r="G1201" s="17">
        <f t="shared" si="54"/>
        <v>0</v>
      </c>
      <c r="H1201" s="122"/>
    </row>
    <row r="1202" spans="1:8" ht="21.95" customHeight="1">
      <c r="A1202" s="14"/>
      <c r="B1202" s="14"/>
      <c r="C1202" s="16" t="s">
        <v>1172</v>
      </c>
      <c r="D1202" s="17">
        <f>VLOOKUP(A1192,'Neraca Unaudited SIMAK'!$A$2:$S$10004,10,FALSE)</f>
        <v>2500000</v>
      </c>
      <c r="E1202" s="25">
        <f>SUMIFS('Daftar Koreksi'!$H$5:$H$92,'Daftar Koreksi'!$D$5:$D$92,'0300'!A1192,'Daftar Koreksi'!$G$5:$G$92,"Aset Tak Berwujud",'Daftar Koreksi'!$H$5:$H$92,"&gt;0")</f>
        <v>0</v>
      </c>
      <c r="F1202" s="25">
        <f>SUMIFS('Daftar Koreksi'!$H$5:$H$92,'Daftar Koreksi'!$D$5:$D$92,'0300'!A1192,'Daftar Koreksi'!$G$5:$G$92,"Aset Tak Berwujud",'Daftar Koreksi'!$H$5:$H$92,"&lt;0")-SUMIFS('Daftar Koreksi'!$H$5:$H$92,'Daftar Koreksi'!$D$5:$D$92,'0300'!A1192,'Daftar Koreksi'!$G$5:$G$92,"Aset Tak Berwujud",'Daftar Koreksi'!$H$5:$H$92,"&lt;0")-SUMIFS('Daftar Koreksi'!$H$5:$H$92,'Daftar Koreksi'!$D$5:$D$92,'0300'!A1192,'Daftar Koreksi'!$G$5:$G$92,"Aset Tak Berwujud",'Daftar Koreksi'!$H$5:$H$92,"&lt;0")</f>
        <v>0</v>
      </c>
      <c r="G1202" s="17">
        <f t="shared" si="54"/>
        <v>2500000</v>
      </c>
      <c r="H1202" s="122"/>
    </row>
    <row r="1203" spans="1:8" ht="21.95" customHeight="1">
      <c r="A1203" s="14"/>
      <c r="B1203" s="14"/>
      <c r="C1203" s="16" t="s">
        <v>1173</v>
      </c>
      <c r="D1203" s="17">
        <f>VLOOKUP(A1192,'Neraca Unaudited SIMAK'!$A$2:$S$10004,11,FALSE)</f>
        <v>77623542</v>
      </c>
      <c r="E1203" s="25">
        <f>SUMIFS('Daftar Koreksi'!$H$5:$H$92,'Daftar Koreksi'!$D$5:$D$92,'0300'!A1192,'Daftar Koreksi'!$G$5:$G$92,"Aset Henti Guna",'Daftar Koreksi'!$H$5:$H$92,"&gt;0")</f>
        <v>0</v>
      </c>
      <c r="F1203" s="25">
        <f>SUMIFS('Daftar Koreksi'!$H$5:$H$92,'Daftar Koreksi'!$D$5:$D$92,'0300'!A1192,'Daftar Koreksi'!$G$5:$G$92,"Aset Henti Guna",'Daftar Koreksi'!$H$5:$H$92,"&lt;0")-SUMIFS('Daftar Koreksi'!$H$5:$H$92,'Daftar Koreksi'!$D$5:$D$92,'0300'!A1192,'Daftar Koreksi'!$G$5:$G$92,"Aset Henti Guna",'Daftar Koreksi'!$H$5:$H$92,"&lt;0")-SUMIFS('Daftar Koreksi'!$H$5:$H$92,'Daftar Koreksi'!$D$5:$D$92,'0300'!A1192,'Daftar Koreksi'!$G$5:$G$92,"Aset Henti Guna",'Daftar Koreksi'!$H$5:$H$92,"&lt;0")</f>
        <v>0</v>
      </c>
      <c r="G1203" s="17">
        <f t="shared" si="54"/>
        <v>77623542</v>
      </c>
      <c r="H1203" s="122"/>
    </row>
    <row r="1204" spans="1:8" ht="21.95" customHeight="1">
      <c r="A1204" s="14"/>
      <c r="B1204" s="14"/>
      <c r="C1204" s="18" t="s">
        <v>2093</v>
      </c>
      <c r="D1204" s="19">
        <f>VLOOKUP(A1192,'Neraca Unaudited SIMAK'!$A$2:$S$10004,12,FALSE)</f>
        <v>4704318637</v>
      </c>
      <c r="E1204" s="19">
        <f>SUM(E1195:E1203)</f>
        <v>0</v>
      </c>
      <c r="F1204" s="19">
        <f>SUM(F1195:F1203)</f>
        <v>0</v>
      </c>
      <c r="G1204" s="19">
        <f t="shared" si="54"/>
        <v>4704318637</v>
      </c>
      <c r="H1204" s="122"/>
    </row>
    <row r="1205" spans="1:8" ht="21.95" customHeight="1">
      <c r="A1205" s="14"/>
      <c r="B1205" s="14"/>
      <c r="C1205" s="16" t="s">
        <v>2087</v>
      </c>
      <c r="D1205" s="17">
        <f>VLOOKUP(A1192,'Neraca Unaudited SIMAK'!$A$2:$S$10004,13,FALSE)</f>
        <v>-635245392</v>
      </c>
      <c r="E1205" s="25">
        <f>SUMIFS('Daftar Koreksi'!$I$5:$I$92,'Daftar Koreksi'!$D$5:$D$92,'0300'!A1192,'Daftar Koreksi'!$G$5:$G$92,"Peralatan dan mesin",'Daftar Koreksi'!$I$5:$I$92,"&gt;0")</f>
        <v>0</v>
      </c>
      <c r="F1205" s="25">
        <f>SUMIFS('Daftar Koreksi'!$I$5:$I$92,'Daftar Koreksi'!$D$5:$D$92,'0300'!A1192,'Daftar Koreksi'!$G$5:$G$92,"Peralatan dan mesin",'Daftar Koreksi'!$I$5:$I$92,"&lt;0")-SUMIFS('Daftar Koreksi'!$I$5:$I$92,'Daftar Koreksi'!$D$5:$D$92,'0300'!A1192,'Daftar Koreksi'!$G$5:$G$92,"Peralatan dan mesin",'Daftar Koreksi'!$I$5:$I$92,"&lt;0")-SUMIFS('Daftar Koreksi'!$I$5:$I$92,'Daftar Koreksi'!$D$5:$D$92,'0300'!A1192,'Daftar Koreksi'!$G$5:$G$92,"Peralatan dan mesin",'Daftar Koreksi'!$I$5:$I$92,"&lt;0")</f>
        <v>0</v>
      </c>
      <c r="G1205" s="17">
        <f t="shared" si="54"/>
        <v>-635245392</v>
      </c>
      <c r="H1205" s="122"/>
    </row>
    <row r="1206" spans="1:8" ht="21.95" customHeight="1">
      <c r="A1206" s="14"/>
      <c r="B1206" s="14"/>
      <c r="C1206" s="16" t="s">
        <v>2088</v>
      </c>
      <c r="D1206" s="17">
        <f>VLOOKUP(A1192,'Neraca Unaudited SIMAK'!$A$2:$S$10004,14,FALSE)</f>
        <v>-200540946</v>
      </c>
      <c r="E1206" s="25">
        <f>SUMIFS('Daftar Koreksi'!$I$5:$I$92,'Daftar Koreksi'!$D$5:$D$92,'0300'!A1192,'Daftar Koreksi'!$G$5:$G$92,"Gedung dan Bangunan",'Daftar Koreksi'!$I$5:$I$92,"&gt;0")</f>
        <v>0</v>
      </c>
      <c r="F1206" s="25">
        <f>SUMIFS('Daftar Koreksi'!$I$5:$I$92,'Daftar Koreksi'!$D$5:$D$92,'0300'!A1192,'Daftar Koreksi'!$G$5:$G$92,"Gedung dan Bangunan",'Daftar Koreksi'!$I$5:$I$92,"&lt;0")-SUMIFS('Daftar Koreksi'!$I$5:$I$92,'Daftar Koreksi'!$D$5:$D$92,'0300'!A1192,'Daftar Koreksi'!$G$5:$G$92,"Gedung dan Bangunan",'Daftar Koreksi'!$I$5:$I$92,"&lt;0")-SUMIFS('Daftar Koreksi'!$I$5:$I$92,'Daftar Koreksi'!$D$5:$D$92,'0300'!A1192,'Daftar Koreksi'!$G$5:$G$92,"Gedung dan Bangunan",'Daftar Koreksi'!$I$5:$I$92,"&lt;0")</f>
        <v>0</v>
      </c>
      <c r="G1206" s="17">
        <f t="shared" si="54"/>
        <v>-200540946</v>
      </c>
      <c r="H1206" s="122"/>
    </row>
    <row r="1207" spans="1:8" ht="21.95" customHeight="1">
      <c r="A1207" s="14"/>
      <c r="B1207" s="14"/>
      <c r="C1207" s="16" t="s">
        <v>2089</v>
      </c>
      <c r="D1207" s="17">
        <f>VLOOKUP(A1192,'Neraca Unaudited SIMAK'!$A$2:$S$10004,15,FALSE)</f>
        <v>-5221644</v>
      </c>
      <c r="E1207" s="25">
        <f>SUMIFS('Daftar Koreksi'!$I$5:$I$92,'Daftar Koreksi'!$D$5:$D$92,'0300'!A1192,'Daftar Koreksi'!$G$5:$G$92,"Jalan Irigasi Jaringan",'Daftar Koreksi'!$I$5:$I$92,"&gt;0")</f>
        <v>0</v>
      </c>
      <c r="F1207" s="25">
        <f>SUMIFS('Daftar Koreksi'!$I$5:$I$92,'Daftar Koreksi'!$D$5:$D$92,'0300'!A1192,'Daftar Koreksi'!$G$5:$G$92,"Jalan Irigasi Jaringan",'Daftar Koreksi'!$I$5:$I$92,"&lt;0")-SUMIFS('Daftar Koreksi'!$I$5:$I$92,'Daftar Koreksi'!$D$5:$D$92,'0300'!A1192,'Daftar Koreksi'!$G$5:$G$92,"Jalan Irigasi Jaringan",'Daftar Koreksi'!$I$5:$I$92,"&lt;0")-SUMIFS('Daftar Koreksi'!$I$5:$I$92,'Daftar Koreksi'!$D$5:$D$92,'0300'!A1192,'Daftar Koreksi'!$G$5:$G$92,"Jalan Irigasi Jaringan",'Daftar Koreksi'!$I$5:$I$92,"&lt;0")</f>
        <v>0</v>
      </c>
      <c r="G1207" s="17">
        <f t="shared" si="54"/>
        <v>-5221644</v>
      </c>
      <c r="H1207" s="122"/>
    </row>
    <row r="1208" spans="1:8" ht="21.95" customHeight="1">
      <c r="A1208" s="14"/>
      <c r="B1208" s="14"/>
      <c r="C1208" s="16" t="s">
        <v>2090</v>
      </c>
      <c r="D1208" s="17">
        <f>VLOOKUP(A1192,'Neraca Unaudited SIMAK'!$A$2:$S$10004,16,FALSE)</f>
        <v>0</v>
      </c>
      <c r="E1208" s="25">
        <f>SUMIFS('Daftar Koreksi'!$I$5:$I$92,'Daftar Koreksi'!$D$5:$D$92,'0300'!A1192,'Daftar Koreksi'!$G$5:$G$92,"Aset Tetap Lainnya",'Daftar Koreksi'!$I$5:$I$92,"&gt;0")</f>
        <v>0</v>
      </c>
      <c r="F1208" s="25">
        <f>SUMIFS('Daftar Koreksi'!$I$5:$I$92,'Daftar Koreksi'!$D$5:$D$92,'0300'!A1192,'Daftar Koreksi'!$G$5:$G$92,"Aset Tetap Lainnya",'Daftar Koreksi'!$I$5:$I$92,"&lt;0")-SUMIFS('Daftar Koreksi'!$I$5:$I$92,'Daftar Koreksi'!$D$5:$D$92,'0300'!A1192,'Daftar Koreksi'!$G$5:$G$92,"Aset Tetap Lainnya",'Daftar Koreksi'!$I$5:$I$92,"&lt;0")-SUMIFS('Daftar Koreksi'!$I$5:$I$92,'Daftar Koreksi'!$D$5:$D$92,'0300'!A1192,'Daftar Koreksi'!$G$5:$G$92,"Aset Tetap Lainnya",'Daftar Koreksi'!$I$5:$I$92,"&lt;0")</f>
        <v>0</v>
      </c>
      <c r="G1208" s="17">
        <f t="shared" si="54"/>
        <v>0</v>
      </c>
      <c r="H1208" s="122"/>
    </row>
    <row r="1209" spans="1:8" ht="21.95" customHeight="1">
      <c r="A1209" s="14"/>
      <c r="B1209" s="14"/>
      <c r="C1209" s="16" t="s">
        <v>2020</v>
      </c>
      <c r="D1209" s="17">
        <f>VLOOKUP(A1192,'Neraca Unaudited SIMAK'!$A$2:$S$10004,17,FALSE)</f>
        <v>-76934753</v>
      </c>
      <c r="E1209" s="25">
        <f>SUMIFS('Daftar Koreksi'!$I$5:$I$92,'Daftar Koreksi'!$D$5:$D$92,'0300'!A1192,'Daftar Koreksi'!$G$5:$G$92,"Aset Henti Guna",'Daftar Koreksi'!$I$5:$I$92,"&gt;0")</f>
        <v>0</v>
      </c>
      <c r="F1209" s="25">
        <f>SUMIFS('Daftar Koreksi'!$I$5:$I$92,'Daftar Koreksi'!$D$5:$D$92,'0300'!A1192,'Daftar Koreksi'!$G$5:$G$92,"Aset Henti Guna",'Daftar Koreksi'!$I$5:$I$92,"&lt;0")-SUMIFS('Daftar Koreksi'!$I$5:$I$92,'Daftar Koreksi'!$D$5:$D$92,'0300'!A1192,'Daftar Koreksi'!$G$5:$G$92,"Aset Henti Guna",'Daftar Koreksi'!$I$5:$I$92,"&lt;0")-SUMIFS('Daftar Koreksi'!$I$5:$I$92,'Daftar Koreksi'!$D$5:$D$92,'0300'!A1192,'Daftar Koreksi'!$G$5:$G$92,"Aset Henti Guna",'Daftar Koreksi'!$I$5:$I$92,"&lt;0")</f>
        <v>0</v>
      </c>
      <c r="G1209" s="17">
        <f t="shared" si="54"/>
        <v>-76934753</v>
      </c>
      <c r="H1209" s="122"/>
    </row>
    <row r="1210" spans="1:8" ht="21.95" customHeight="1">
      <c r="A1210" s="14"/>
      <c r="B1210" s="14"/>
      <c r="C1210" s="18" t="s">
        <v>2094</v>
      </c>
      <c r="D1210" s="19">
        <f>SUM(D1205:D1209)</f>
        <v>-917942735</v>
      </c>
      <c r="E1210" s="19">
        <f>SUM(E1205:E1209)</f>
        <v>0</v>
      </c>
      <c r="F1210" s="19">
        <f>SUM(F1205:F1209)</f>
        <v>0</v>
      </c>
      <c r="G1210" s="19">
        <f t="shared" si="54"/>
        <v>-917942735</v>
      </c>
      <c r="H1210" s="122"/>
    </row>
    <row r="1211" spans="1:8" ht="21.95" customHeight="1">
      <c r="A1211" s="14"/>
      <c r="B1211" s="14"/>
      <c r="C1211" s="18" t="s">
        <v>2095</v>
      </c>
      <c r="D1211" s="19">
        <f>VLOOKUP(A1192,'Neraca Unaudited SIMAK'!$A$2:$S$10004,18,FALSE)</f>
        <v>3786375902</v>
      </c>
      <c r="E1211" s="19">
        <f>E1210+E1204</f>
        <v>0</v>
      </c>
      <c r="F1211" s="19">
        <f>F1210+F1204</f>
        <v>0</v>
      </c>
      <c r="G1211" s="19">
        <f t="shared" si="54"/>
        <v>3786375902</v>
      </c>
      <c r="H1211" s="122"/>
    </row>
    <row r="1212" spans="1:8" ht="21.95" customHeight="1">
      <c r="A1212" s="14"/>
      <c r="B1212" s="14"/>
      <c r="C1212" s="16" t="s">
        <v>2091</v>
      </c>
      <c r="D1212" s="17">
        <f>VLOOKUP(A1192,'Neraca Unaudited SIMAK'!$A$2:$S$10004,19,FALSE)</f>
        <v>0</v>
      </c>
      <c r="E1212" s="25"/>
      <c r="F1212" s="25"/>
      <c r="G1212" s="17">
        <f t="shared" si="54"/>
        <v>0</v>
      </c>
      <c r="H1212" s="123"/>
    </row>
    <row r="1214" spans="1:8" ht="19.5" customHeight="1">
      <c r="A1214" s="11" t="str">
        <f>O56</f>
        <v>005010300401055000KD</v>
      </c>
      <c r="B1214" s="11" t="str">
        <f>P56</f>
        <v>PA. Kebumen</v>
      </c>
      <c r="C1214" s="12" t="str">
        <f>A1214&amp;" "&amp;B1214</f>
        <v>005010300401055000KD PA. Kebumen</v>
      </c>
      <c r="D1214" s="13"/>
      <c r="E1214" s="13"/>
      <c r="F1214" s="13"/>
      <c r="G1214" s="13"/>
      <c r="H1214" s="11"/>
    </row>
    <row r="1215" spans="1:8" ht="21.95" customHeight="1">
      <c r="A1215" s="14"/>
      <c r="B1215" s="14"/>
      <c r="C1215" s="124" t="s">
        <v>1982</v>
      </c>
      <c r="D1215" s="126" t="s">
        <v>1983</v>
      </c>
      <c r="E1215" s="132" t="s">
        <v>1984</v>
      </c>
      <c r="F1215" s="132"/>
      <c r="G1215" s="126" t="s">
        <v>1987</v>
      </c>
      <c r="H1215" s="130" t="s">
        <v>1175</v>
      </c>
    </row>
    <row r="1216" spans="1:8" ht="21.95" customHeight="1">
      <c r="A1216" s="14"/>
      <c r="B1216" s="14"/>
      <c r="C1216" s="125"/>
      <c r="D1216" s="127"/>
      <c r="E1216" s="26" t="s">
        <v>1985</v>
      </c>
      <c r="F1216" s="26" t="s">
        <v>1986</v>
      </c>
      <c r="G1216" s="127"/>
      <c r="H1216" s="131"/>
    </row>
    <row r="1217" spans="1:8" ht="21.95" customHeight="1">
      <c r="A1217" s="14"/>
      <c r="B1217" s="14"/>
      <c r="C1217" s="16" t="s">
        <v>1165</v>
      </c>
      <c r="D1217" s="17">
        <f>VLOOKUP(A1214,'Neraca Unaudited SIMAK'!$A$2:$S$10004,3,FALSE)</f>
        <v>1050800</v>
      </c>
      <c r="E1217" s="25">
        <f>SUMIFS('Daftar Koreksi'!$H$5:$H$92,'Daftar Koreksi'!$D$5:$D$92,'0300'!A1214,'Daftar Koreksi'!$G$5:$G$92,"Persediaan",'Daftar Koreksi'!$H$5:$H$92,"&gt;0")</f>
        <v>0</v>
      </c>
      <c r="F1217" s="25">
        <f>SUMIFS('Daftar Koreksi'!$H$5:$H$92,'Daftar Koreksi'!$D$5:$D$92,'0300'!A1214,'Daftar Koreksi'!$G$5:$G$92,"Persediaan",'Daftar Koreksi'!$H$5:$H$92,"&lt;0")-SUMIFS('Daftar Koreksi'!$H$5:$H$92,'Daftar Koreksi'!$D$5:$D$92,'0300'!A1214,'Daftar Koreksi'!$G$5:$G$92,"Persediaan",'Daftar Koreksi'!$H$5:$H$92,"&lt;0")-SUMIFS('Daftar Koreksi'!$H$5:$H$92,'Daftar Koreksi'!$D$5:$D$92,'0300'!A1214,'Daftar Koreksi'!$G$5:$G$92,"Persediaan",'Daftar Koreksi'!$H$5:$H$92,"&lt;0")</f>
        <v>0</v>
      </c>
      <c r="G1217" s="17">
        <f>D1217+E1217-F1217</f>
        <v>1050800</v>
      </c>
      <c r="H1217" s="121" t="str">
        <f>IF(ISNA(VLOOKUP(A1214,'Mutasi Neraca'!$A$3:$S$914,19,FALSE)),"-",VLOOKUP(A1214,'Mutasi Neraca'!$A$3:$S$914,19,FALSE))</f>
        <v>-</v>
      </c>
    </row>
    <row r="1218" spans="1:8" ht="21.95" customHeight="1">
      <c r="A1218" s="14"/>
      <c r="B1218" s="14"/>
      <c r="C1218" s="16" t="s">
        <v>1166</v>
      </c>
      <c r="D1218" s="17">
        <f>VLOOKUP(A1214,'Neraca Unaudited SIMAK'!$A$2:$S$10004,4,FALSE)</f>
        <v>966908000</v>
      </c>
      <c r="E1218" s="25">
        <f>SUMIFS('Daftar Koreksi'!$H$5:$H$92,'Daftar Koreksi'!$D$5:$D$92,'0300'!A1214,'Daftar Koreksi'!$G$5:$G$92,"Tanah",'Daftar Koreksi'!$H$5:$H$92,"&gt;0")</f>
        <v>0</v>
      </c>
      <c r="F1218" s="25">
        <f>SUMIFS('Daftar Koreksi'!$H$5:$H$92,'Daftar Koreksi'!$D$5:$D$92,'0300'!A1214,'Daftar Koreksi'!$G$5:$G$92,"Tanah",'Daftar Koreksi'!$H$5:$H$92,"&lt;0")-SUMIFS('Daftar Koreksi'!$H$5:$H$92,'Daftar Koreksi'!$D$5:$D$92,'0300'!A1214,'Daftar Koreksi'!$G$5:$G$92,"Tanah",'Daftar Koreksi'!$H$5:$H$92,"&lt;0")-SUMIFS('Daftar Koreksi'!$H$5:$H$92,'Daftar Koreksi'!$D$5:$D$92,'0300'!A1214,'Daftar Koreksi'!$G$5:$G$92,"Tanah",'Daftar Koreksi'!$H$5:$H$92,"&lt;0")</f>
        <v>0</v>
      </c>
      <c r="G1218" s="17">
        <f t="shared" ref="G1218:G1234" si="55">D1218+E1218-F1218</f>
        <v>966908000</v>
      </c>
      <c r="H1218" s="122"/>
    </row>
    <row r="1219" spans="1:8" ht="21.95" customHeight="1">
      <c r="A1219" s="14"/>
      <c r="B1219" s="14"/>
      <c r="C1219" s="16" t="s">
        <v>1167</v>
      </c>
      <c r="D1219" s="17">
        <f>VLOOKUP(A1214,'Neraca Unaudited SIMAK'!$A$2:$S$10004,5,FALSE)</f>
        <v>1329246732</v>
      </c>
      <c r="E1219" s="25">
        <f>SUMIFS('Daftar Koreksi'!$H$5:$H$92,'Daftar Koreksi'!$D$5:$D$92,'0300'!A1214,'Daftar Koreksi'!$G$5:$G$92,"Peralatan dan mesin",'Daftar Koreksi'!$H$5:$H$92,"&gt;0")</f>
        <v>0</v>
      </c>
      <c r="F1219" s="25">
        <f>SUMIFS('Daftar Koreksi'!$H$5:$H$92,'Daftar Koreksi'!$D$5:$D$92,'0300'!A1214,'Daftar Koreksi'!$G$5:$G$92,"Peralatan dan mesin",'Daftar Koreksi'!$H$5:$H$92,"&lt;0")-SUMIFS('Daftar Koreksi'!$H$5:$H$92,'Daftar Koreksi'!$D$5:$D$92,'0300'!A1214,'Daftar Koreksi'!$G$5:$G$92,"Peralatan dan mesin",'Daftar Koreksi'!$H$5:$H$92,"&lt;0")-SUMIFS('Daftar Koreksi'!$H$5:$H$92,'Daftar Koreksi'!$D$5:$D$92,'0300'!A1214,'Daftar Koreksi'!$G$5:$G$92,"Peralatan dan mesin",'Daftar Koreksi'!$H$5:$H$92,"&lt;0")</f>
        <v>0</v>
      </c>
      <c r="G1219" s="17">
        <f t="shared" si="55"/>
        <v>1329246732</v>
      </c>
      <c r="H1219" s="122"/>
    </row>
    <row r="1220" spans="1:8" ht="21.95" customHeight="1">
      <c r="A1220" s="14"/>
      <c r="B1220" s="14"/>
      <c r="C1220" s="16" t="s">
        <v>1168</v>
      </c>
      <c r="D1220" s="17">
        <f>VLOOKUP(A1214,'Neraca Unaudited SIMAK'!$A$2:$S$10004,6,FALSE)</f>
        <v>3557025760</v>
      </c>
      <c r="E1220" s="25">
        <f>SUMIFS('Daftar Koreksi'!$H$5:$H$92,'Daftar Koreksi'!$D$5:$D$92,'0300'!A1214,'Daftar Koreksi'!$G$5:$G$92,"Gedung dan Bangunan",'Daftar Koreksi'!$H$5:$H$92,"&gt;0")</f>
        <v>0</v>
      </c>
      <c r="F1220" s="25">
        <f>SUMIFS('Daftar Koreksi'!$H$5:$H$92,'Daftar Koreksi'!$D$5:$D$92,'0300'!A1214,'Daftar Koreksi'!$G$5:$G$92,"Gedung dan Bangunan",'Daftar Koreksi'!$H$5:$H$92,"&lt;0")-SUMIFS('Daftar Koreksi'!$H$5:$H$92,'Daftar Koreksi'!$D$5:$D$92,'0300'!A1214,'Daftar Koreksi'!$G$5:$G$92,"Gedung dan Bangunan",'Daftar Koreksi'!$H$5:$H$92,"&lt;0")-SUMIFS('Daftar Koreksi'!$H$5:$H$92,'Daftar Koreksi'!$D$5:$D$92,'0300'!A1214,'Daftar Koreksi'!$G$5:$G$92,"Gedung dan Bangunan",'Daftar Koreksi'!$H$5:$H$92,"&lt;0")</f>
        <v>0</v>
      </c>
      <c r="G1220" s="17">
        <f t="shared" si="55"/>
        <v>3557025760</v>
      </c>
      <c r="H1220" s="122"/>
    </row>
    <row r="1221" spans="1:8" ht="21.95" customHeight="1">
      <c r="A1221" s="14"/>
      <c r="B1221" s="14"/>
      <c r="C1221" s="16" t="s">
        <v>1169</v>
      </c>
      <c r="D1221" s="17">
        <f>VLOOKUP(A1214,'Neraca Unaudited SIMAK'!$A$2:$S$10004,7,FALSE)</f>
        <v>0</v>
      </c>
      <c r="E1221" s="25">
        <f>SUMIFS('Daftar Koreksi'!$H$5:$H$92,'Daftar Koreksi'!$D$5:$D$92,'0300'!A1214,'Daftar Koreksi'!$G$5:$G$92,"Jalan Irigasi Jaringan",'Daftar Koreksi'!$H$5:$H$92,"&gt;0")</f>
        <v>0</v>
      </c>
      <c r="F1221" s="25">
        <f>SUMIFS('Daftar Koreksi'!$H$5:$H$92,'Daftar Koreksi'!$D$5:$D$92,'0300'!A1214,'Daftar Koreksi'!$G$5:$G$92,"Jalan Irigasi Jaringan",'Daftar Koreksi'!$H$5:$H$92,"&lt;0")-SUMIFS('Daftar Koreksi'!$H$5:$H$92,'Daftar Koreksi'!$D$5:$D$92,'0300'!A1214,'Daftar Koreksi'!$G$5:$G$92,"Jalan Irigasi Jaringan",'Daftar Koreksi'!$H$5:$H$92,"&lt;0")-SUMIFS('Daftar Koreksi'!$H$5:$H$92,'Daftar Koreksi'!$D$5:$D$92,'0300'!A1214,'Daftar Koreksi'!$G$5:$G$92,"Jalan Irigasi Jaringan",'Daftar Koreksi'!$H$5:$H$92,"&lt;0")</f>
        <v>0</v>
      </c>
      <c r="G1221" s="17">
        <f t="shared" si="55"/>
        <v>0</v>
      </c>
      <c r="H1221" s="122"/>
    </row>
    <row r="1222" spans="1:8" ht="21.95" customHeight="1">
      <c r="A1222" s="14"/>
      <c r="B1222" s="14"/>
      <c r="C1222" s="16" t="s">
        <v>1170</v>
      </c>
      <c r="D1222" s="17">
        <f>VLOOKUP(A1214,'Neraca Unaudited SIMAK'!$A$2:$S$10004,8,FALSE)</f>
        <v>3236680</v>
      </c>
      <c r="E1222" s="25">
        <f>SUMIFS('Daftar Koreksi'!$H$5:$H$92,'Daftar Koreksi'!$D$5:$D$92,'0300'!A1214,'Daftar Koreksi'!$G$5:$G$92,"Aset Tetap Lainnya",'Daftar Koreksi'!$H$5:$H$92,"&gt;0")</f>
        <v>0</v>
      </c>
      <c r="F1222" s="25">
        <f>SUMIFS('Daftar Koreksi'!$H$5:$H$92,'Daftar Koreksi'!$D$5:$D$92,'0300'!A1214,'Daftar Koreksi'!$G$5:$G$92,"Aset Tetap Lainnya",'Daftar Koreksi'!$H$5:$H$92,"&lt;0")-SUMIFS('Daftar Koreksi'!$H$5:$H$92,'Daftar Koreksi'!$D$5:$D$92,'0300'!A1214,'Daftar Koreksi'!$G$5:$G$92,"Aset Tetap Lainnya",'Daftar Koreksi'!$H$5:$H$92,"&lt;0")-SUMIFS('Daftar Koreksi'!$H$5:$H$92,'Daftar Koreksi'!$D$5:$D$92,'0300'!A1214,'Daftar Koreksi'!$G$5:$G$92,"Aset Tetap Lainnya",'Daftar Koreksi'!$H$5:$H$92,"&lt;0")</f>
        <v>0</v>
      </c>
      <c r="G1222" s="17">
        <f t="shared" si="55"/>
        <v>3236680</v>
      </c>
      <c r="H1222" s="122"/>
    </row>
    <row r="1223" spans="1:8" ht="21.95" customHeight="1">
      <c r="A1223" s="14"/>
      <c r="B1223" s="14"/>
      <c r="C1223" s="16" t="s">
        <v>1171</v>
      </c>
      <c r="D1223" s="17">
        <f>VLOOKUP(A1214,'Neraca Unaudited SIMAK'!$A$2:$S$10004,9,FALSE)</f>
        <v>0</v>
      </c>
      <c r="E1223" s="25">
        <f>SUMIFS('Daftar Koreksi'!$H$5:$H$92,'Daftar Koreksi'!$D$5:$D$92,'0300'!A1214,'Daftar Koreksi'!$G$5:$G$92,"Kontruksi Dalam Pengerjaan",'Daftar Koreksi'!$H$5:$H$92,"&gt;0")</f>
        <v>0</v>
      </c>
      <c r="F1223" s="25">
        <f>SUMIFS('Daftar Koreksi'!$H$5:$H$92,'Daftar Koreksi'!$D$5:$D$92,'0300'!A1214,'Daftar Koreksi'!$G$5:$G$92,"Kontruksi Dalam Pengerjaan",'Daftar Koreksi'!$H$5:$H$92,"&lt;0")-SUMIFS('Daftar Koreksi'!$H$5:$H$92,'Daftar Koreksi'!$D$5:$D$92,'0300'!A1214,'Daftar Koreksi'!$G$5:$G$92,"Kontruksi Dalam Pengerjaan",'Daftar Koreksi'!$H$5:$H$92,"&lt;0")-SUMIFS('Daftar Koreksi'!$H$5:$H$92,'Daftar Koreksi'!$D$5:$D$92,'0300'!A1214,'Daftar Koreksi'!$G$5:$G$92,"Kontruksi Dalam Pengerjaan",'Daftar Koreksi'!$H$5:$H$92,"&lt;0")</f>
        <v>0</v>
      </c>
      <c r="G1223" s="17">
        <f t="shared" si="55"/>
        <v>0</v>
      </c>
      <c r="H1223" s="122"/>
    </row>
    <row r="1224" spans="1:8" ht="21.95" customHeight="1">
      <c r="A1224" s="14"/>
      <c r="B1224" s="14"/>
      <c r="C1224" s="16" t="s">
        <v>1172</v>
      </c>
      <c r="D1224" s="17">
        <f>VLOOKUP(A1214,'Neraca Unaudited SIMAK'!$A$2:$S$10004,10,FALSE)</f>
        <v>2497000</v>
      </c>
      <c r="E1224" s="25">
        <f>SUMIFS('Daftar Koreksi'!$H$5:$H$92,'Daftar Koreksi'!$D$5:$D$92,'0300'!A1214,'Daftar Koreksi'!$G$5:$G$92,"Aset Tak Berwujud",'Daftar Koreksi'!$H$5:$H$92,"&gt;0")</f>
        <v>0</v>
      </c>
      <c r="F1224" s="25">
        <f>SUMIFS('Daftar Koreksi'!$H$5:$H$92,'Daftar Koreksi'!$D$5:$D$92,'0300'!A1214,'Daftar Koreksi'!$G$5:$G$92,"Aset Tak Berwujud",'Daftar Koreksi'!$H$5:$H$92,"&lt;0")-SUMIFS('Daftar Koreksi'!$H$5:$H$92,'Daftar Koreksi'!$D$5:$D$92,'0300'!A1214,'Daftar Koreksi'!$G$5:$G$92,"Aset Tak Berwujud",'Daftar Koreksi'!$H$5:$H$92,"&lt;0")-SUMIFS('Daftar Koreksi'!$H$5:$H$92,'Daftar Koreksi'!$D$5:$D$92,'0300'!A1214,'Daftar Koreksi'!$G$5:$G$92,"Aset Tak Berwujud",'Daftar Koreksi'!$H$5:$H$92,"&lt;0")</f>
        <v>0</v>
      </c>
      <c r="G1224" s="17">
        <f t="shared" si="55"/>
        <v>2497000</v>
      </c>
      <c r="H1224" s="122"/>
    </row>
    <row r="1225" spans="1:8" ht="21.95" customHeight="1">
      <c r="A1225" s="14"/>
      <c r="B1225" s="14"/>
      <c r="C1225" s="16" t="s">
        <v>1173</v>
      </c>
      <c r="D1225" s="17">
        <f>VLOOKUP(A1214,'Neraca Unaudited SIMAK'!$A$2:$S$10004,11,FALSE)</f>
        <v>44100766</v>
      </c>
      <c r="E1225" s="25">
        <f>SUMIFS('Daftar Koreksi'!$H$5:$H$92,'Daftar Koreksi'!$D$5:$D$92,'0300'!A1214,'Daftar Koreksi'!$G$5:$G$92,"Aset Henti Guna",'Daftar Koreksi'!$H$5:$H$92,"&gt;0")</f>
        <v>0</v>
      </c>
      <c r="F1225" s="25">
        <f>SUMIFS('Daftar Koreksi'!$H$5:$H$92,'Daftar Koreksi'!$D$5:$D$92,'0300'!A1214,'Daftar Koreksi'!$G$5:$G$92,"Aset Henti Guna",'Daftar Koreksi'!$H$5:$H$92,"&lt;0")-SUMIFS('Daftar Koreksi'!$H$5:$H$92,'Daftar Koreksi'!$D$5:$D$92,'0300'!A1214,'Daftar Koreksi'!$G$5:$G$92,"Aset Henti Guna",'Daftar Koreksi'!$H$5:$H$92,"&lt;0")-SUMIFS('Daftar Koreksi'!$H$5:$H$92,'Daftar Koreksi'!$D$5:$D$92,'0300'!A1214,'Daftar Koreksi'!$G$5:$G$92,"Aset Henti Guna",'Daftar Koreksi'!$H$5:$H$92,"&lt;0")</f>
        <v>0</v>
      </c>
      <c r="G1225" s="17">
        <f t="shared" si="55"/>
        <v>44100766</v>
      </c>
      <c r="H1225" s="122"/>
    </row>
    <row r="1226" spans="1:8" ht="21.95" customHeight="1">
      <c r="A1226" s="14"/>
      <c r="B1226" s="14"/>
      <c r="C1226" s="18" t="s">
        <v>2093</v>
      </c>
      <c r="D1226" s="19">
        <f>VLOOKUP(A1214,'Neraca Unaudited SIMAK'!$A$2:$S$10004,12,FALSE)</f>
        <v>5904065738</v>
      </c>
      <c r="E1226" s="19">
        <f>SUM(E1217:E1225)</f>
        <v>0</v>
      </c>
      <c r="F1226" s="19">
        <f>SUM(F1217:F1225)</f>
        <v>0</v>
      </c>
      <c r="G1226" s="19">
        <f t="shared" si="55"/>
        <v>5904065738</v>
      </c>
      <c r="H1226" s="122"/>
    </row>
    <row r="1227" spans="1:8" ht="21.95" customHeight="1">
      <c r="A1227" s="14"/>
      <c r="B1227" s="14"/>
      <c r="C1227" s="16" t="s">
        <v>2087</v>
      </c>
      <c r="D1227" s="17">
        <f>VLOOKUP(A1214,'Neraca Unaudited SIMAK'!$A$2:$S$10004,13,FALSE)</f>
        <v>-1014388884</v>
      </c>
      <c r="E1227" s="25">
        <f>SUMIFS('Daftar Koreksi'!$I$5:$I$92,'Daftar Koreksi'!$D$5:$D$92,'0300'!A1214,'Daftar Koreksi'!$G$5:$G$92,"Peralatan dan mesin",'Daftar Koreksi'!$I$5:$I$92,"&gt;0")</f>
        <v>0</v>
      </c>
      <c r="F1227" s="25">
        <f>SUMIFS('Daftar Koreksi'!$I$5:$I$92,'Daftar Koreksi'!$D$5:$D$92,'0300'!A1214,'Daftar Koreksi'!$G$5:$G$92,"Peralatan dan mesin",'Daftar Koreksi'!$I$5:$I$92,"&lt;0")-SUMIFS('Daftar Koreksi'!$I$5:$I$92,'Daftar Koreksi'!$D$5:$D$92,'0300'!A1214,'Daftar Koreksi'!$G$5:$G$92,"Peralatan dan mesin",'Daftar Koreksi'!$I$5:$I$92,"&lt;0")-SUMIFS('Daftar Koreksi'!$I$5:$I$92,'Daftar Koreksi'!$D$5:$D$92,'0300'!A1214,'Daftar Koreksi'!$G$5:$G$92,"Peralatan dan mesin",'Daftar Koreksi'!$I$5:$I$92,"&lt;0")</f>
        <v>0</v>
      </c>
      <c r="G1227" s="17">
        <f t="shared" si="55"/>
        <v>-1014388884</v>
      </c>
      <c r="H1227" s="122"/>
    </row>
    <row r="1228" spans="1:8" ht="21.95" customHeight="1">
      <c r="A1228" s="14"/>
      <c r="B1228" s="14"/>
      <c r="C1228" s="16" t="s">
        <v>2088</v>
      </c>
      <c r="D1228" s="17">
        <f>VLOOKUP(A1214,'Neraca Unaudited SIMAK'!$A$2:$S$10004,14,FALSE)</f>
        <v>-420733652</v>
      </c>
      <c r="E1228" s="25">
        <f>SUMIFS('Daftar Koreksi'!$I$5:$I$92,'Daftar Koreksi'!$D$5:$D$92,'0300'!A1214,'Daftar Koreksi'!$G$5:$G$92,"Gedung dan Bangunan",'Daftar Koreksi'!$I$5:$I$92,"&gt;0")</f>
        <v>0</v>
      </c>
      <c r="F1228" s="25">
        <f>SUMIFS('Daftar Koreksi'!$I$5:$I$92,'Daftar Koreksi'!$D$5:$D$92,'0300'!A1214,'Daftar Koreksi'!$G$5:$G$92,"Gedung dan Bangunan",'Daftar Koreksi'!$I$5:$I$92,"&lt;0")-SUMIFS('Daftar Koreksi'!$I$5:$I$92,'Daftar Koreksi'!$D$5:$D$92,'0300'!A1214,'Daftar Koreksi'!$G$5:$G$92,"Gedung dan Bangunan",'Daftar Koreksi'!$I$5:$I$92,"&lt;0")-SUMIFS('Daftar Koreksi'!$I$5:$I$92,'Daftar Koreksi'!$D$5:$D$92,'0300'!A1214,'Daftar Koreksi'!$G$5:$G$92,"Gedung dan Bangunan",'Daftar Koreksi'!$I$5:$I$92,"&lt;0")</f>
        <v>0</v>
      </c>
      <c r="G1228" s="17">
        <f t="shared" si="55"/>
        <v>-420733652</v>
      </c>
      <c r="H1228" s="122"/>
    </row>
    <row r="1229" spans="1:8" ht="21.95" customHeight="1">
      <c r="A1229" s="14"/>
      <c r="B1229" s="14"/>
      <c r="C1229" s="16" t="s">
        <v>2089</v>
      </c>
      <c r="D1229" s="17">
        <f>VLOOKUP(A1214,'Neraca Unaudited SIMAK'!$A$2:$S$10004,15,FALSE)</f>
        <v>0</v>
      </c>
      <c r="E1229" s="25">
        <f>SUMIFS('Daftar Koreksi'!$I$5:$I$92,'Daftar Koreksi'!$D$5:$D$92,'0300'!A1214,'Daftar Koreksi'!$G$5:$G$92,"Jalan Irigasi Jaringan",'Daftar Koreksi'!$I$5:$I$92,"&gt;0")</f>
        <v>0</v>
      </c>
      <c r="F1229" s="25">
        <f>SUMIFS('Daftar Koreksi'!$I$5:$I$92,'Daftar Koreksi'!$D$5:$D$92,'0300'!A1214,'Daftar Koreksi'!$G$5:$G$92,"Jalan Irigasi Jaringan",'Daftar Koreksi'!$I$5:$I$92,"&lt;0")-SUMIFS('Daftar Koreksi'!$I$5:$I$92,'Daftar Koreksi'!$D$5:$D$92,'0300'!A1214,'Daftar Koreksi'!$G$5:$G$92,"Jalan Irigasi Jaringan",'Daftar Koreksi'!$I$5:$I$92,"&lt;0")-SUMIFS('Daftar Koreksi'!$I$5:$I$92,'Daftar Koreksi'!$D$5:$D$92,'0300'!A1214,'Daftar Koreksi'!$G$5:$G$92,"Jalan Irigasi Jaringan",'Daftar Koreksi'!$I$5:$I$92,"&lt;0")</f>
        <v>0</v>
      </c>
      <c r="G1229" s="17">
        <f t="shared" si="55"/>
        <v>0</v>
      </c>
      <c r="H1229" s="122"/>
    </row>
    <row r="1230" spans="1:8" ht="21.95" customHeight="1">
      <c r="A1230" s="14"/>
      <c r="B1230" s="14"/>
      <c r="C1230" s="16" t="s">
        <v>2090</v>
      </c>
      <c r="D1230" s="17">
        <f>VLOOKUP(A1214,'Neraca Unaudited SIMAK'!$A$2:$S$10004,16,FALSE)</f>
        <v>0</v>
      </c>
      <c r="E1230" s="25">
        <f>SUMIFS('Daftar Koreksi'!$I$5:$I$92,'Daftar Koreksi'!$D$5:$D$92,'0300'!A1214,'Daftar Koreksi'!$G$5:$G$92,"Aset Tetap Lainnya",'Daftar Koreksi'!$I$5:$I$92,"&gt;0")</f>
        <v>0</v>
      </c>
      <c r="F1230" s="25">
        <f>SUMIFS('Daftar Koreksi'!$I$5:$I$92,'Daftar Koreksi'!$D$5:$D$92,'0300'!A1214,'Daftar Koreksi'!$G$5:$G$92,"Aset Tetap Lainnya",'Daftar Koreksi'!$I$5:$I$92,"&lt;0")-SUMIFS('Daftar Koreksi'!$I$5:$I$92,'Daftar Koreksi'!$D$5:$D$92,'0300'!A1214,'Daftar Koreksi'!$G$5:$G$92,"Aset Tetap Lainnya",'Daftar Koreksi'!$I$5:$I$92,"&lt;0")-SUMIFS('Daftar Koreksi'!$I$5:$I$92,'Daftar Koreksi'!$D$5:$D$92,'0300'!A1214,'Daftar Koreksi'!$G$5:$G$92,"Aset Tetap Lainnya",'Daftar Koreksi'!$I$5:$I$92,"&lt;0")</f>
        <v>0</v>
      </c>
      <c r="G1230" s="17">
        <f t="shared" si="55"/>
        <v>0</v>
      </c>
      <c r="H1230" s="122"/>
    </row>
    <row r="1231" spans="1:8" ht="21.95" customHeight="1">
      <c r="A1231" s="14"/>
      <c r="B1231" s="14"/>
      <c r="C1231" s="16" t="s">
        <v>2020</v>
      </c>
      <c r="D1231" s="17">
        <f>VLOOKUP(A1214,'Neraca Unaudited SIMAK'!$A$2:$S$10004,17,FALSE)</f>
        <v>-44003080</v>
      </c>
      <c r="E1231" s="25">
        <f>SUMIFS('Daftar Koreksi'!$I$5:$I$92,'Daftar Koreksi'!$D$5:$D$92,'0300'!A1214,'Daftar Koreksi'!$G$5:$G$92,"Aset Henti Guna",'Daftar Koreksi'!$I$5:$I$92,"&gt;0")</f>
        <v>0</v>
      </c>
      <c r="F1231" s="25">
        <f>SUMIFS('Daftar Koreksi'!$I$5:$I$92,'Daftar Koreksi'!$D$5:$D$92,'0300'!A1214,'Daftar Koreksi'!$G$5:$G$92,"Aset Henti Guna",'Daftar Koreksi'!$I$5:$I$92,"&lt;0")-SUMIFS('Daftar Koreksi'!$I$5:$I$92,'Daftar Koreksi'!$D$5:$D$92,'0300'!A1214,'Daftar Koreksi'!$G$5:$G$92,"Aset Henti Guna",'Daftar Koreksi'!$I$5:$I$92,"&lt;0")-SUMIFS('Daftar Koreksi'!$I$5:$I$92,'Daftar Koreksi'!$D$5:$D$92,'0300'!A1214,'Daftar Koreksi'!$G$5:$G$92,"Aset Henti Guna",'Daftar Koreksi'!$I$5:$I$92,"&lt;0")</f>
        <v>0</v>
      </c>
      <c r="G1231" s="17">
        <f t="shared" si="55"/>
        <v>-44003080</v>
      </c>
      <c r="H1231" s="122"/>
    </row>
    <row r="1232" spans="1:8" ht="21.95" customHeight="1">
      <c r="A1232" s="14"/>
      <c r="B1232" s="14"/>
      <c r="C1232" s="18" t="s">
        <v>2094</v>
      </c>
      <c r="D1232" s="19">
        <f>SUM(D1227:D1231)</f>
        <v>-1479125616</v>
      </c>
      <c r="E1232" s="19">
        <f>SUM(E1227:E1231)</f>
        <v>0</v>
      </c>
      <c r="F1232" s="19">
        <f>SUM(F1227:F1231)</f>
        <v>0</v>
      </c>
      <c r="G1232" s="19">
        <f t="shared" si="55"/>
        <v>-1479125616</v>
      </c>
      <c r="H1232" s="122"/>
    </row>
    <row r="1233" spans="1:8" ht="21.95" customHeight="1">
      <c r="A1233" s="14"/>
      <c r="B1233" s="14"/>
      <c r="C1233" s="18" t="s">
        <v>2095</v>
      </c>
      <c r="D1233" s="19">
        <f>VLOOKUP(A1214,'Neraca Unaudited SIMAK'!$A$2:$S$10004,18,FALSE)</f>
        <v>4424940122</v>
      </c>
      <c r="E1233" s="19">
        <f>E1232+E1226</f>
        <v>0</v>
      </c>
      <c r="F1233" s="19">
        <f>F1232+F1226</f>
        <v>0</v>
      </c>
      <c r="G1233" s="19">
        <f t="shared" si="55"/>
        <v>4424940122</v>
      </c>
      <c r="H1233" s="122"/>
    </row>
    <row r="1234" spans="1:8" ht="21.95" customHeight="1">
      <c r="A1234" s="14"/>
      <c r="B1234" s="14"/>
      <c r="C1234" s="16" t="s">
        <v>2091</v>
      </c>
      <c r="D1234" s="17">
        <f>VLOOKUP(A1214,'Neraca Unaudited SIMAK'!$A$2:$S$10004,19,FALSE)</f>
        <v>0</v>
      </c>
      <c r="E1234" s="25"/>
      <c r="F1234" s="25"/>
      <c r="G1234" s="17">
        <f t="shared" si="55"/>
        <v>0</v>
      </c>
      <c r="H1234" s="123"/>
    </row>
    <row r="1236" spans="1:8" ht="19.5" customHeight="1">
      <c r="A1236" s="11" t="str">
        <f>O57</f>
        <v>005010300401061000KD</v>
      </c>
      <c r="B1236" s="11" t="str">
        <f>P57</f>
        <v>PA. Purwokerto</v>
      </c>
      <c r="C1236" s="12" t="str">
        <f>A1236&amp;" "&amp;B1236</f>
        <v>005010300401061000KD PA. Purwokerto</v>
      </c>
      <c r="D1236" s="13"/>
      <c r="E1236" s="13"/>
      <c r="F1236" s="13"/>
      <c r="G1236" s="13"/>
      <c r="H1236" s="11"/>
    </row>
    <row r="1237" spans="1:8" ht="21.95" customHeight="1">
      <c r="A1237" s="14"/>
      <c r="B1237" s="14"/>
      <c r="C1237" s="124" t="s">
        <v>1982</v>
      </c>
      <c r="D1237" s="126" t="s">
        <v>1983</v>
      </c>
      <c r="E1237" s="132" t="s">
        <v>1984</v>
      </c>
      <c r="F1237" s="132"/>
      <c r="G1237" s="126" t="s">
        <v>1987</v>
      </c>
      <c r="H1237" s="130" t="s">
        <v>1175</v>
      </c>
    </row>
    <row r="1238" spans="1:8" ht="21.95" customHeight="1">
      <c r="A1238" s="14"/>
      <c r="B1238" s="14"/>
      <c r="C1238" s="125"/>
      <c r="D1238" s="127"/>
      <c r="E1238" s="26" t="s">
        <v>1985</v>
      </c>
      <c r="F1238" s="26" t="s">
        <v>1986</v>
      </c>
      <c r="G1238" s="127"/>
      <c r="H1238" s="131"/>
    </row>
    <row r="1239" spans="1:8" ht="21.95" customHeight="1">
      <c r="A1239" s="14"/>
      <c r="B1239" s="14"/>
      <c r="C1239" s="16" t="s">
        <v>1165</v>
      </c>
      <c r="D1239" s="17">
        <f>VLOOKUP(A1236,'Neraca Unaudited SIMAK'!$A$2:$S$10004,3,FALSE)</f>
        <v>10000</v>
      </c>
      <c r="E1239" s="25">
        <f>SUMIFS('Daftar Koreksi'!$H$5:$H$92,'Daftar Koreksi'!$D$5:$D$92,'0300'!A1236,'Daftar Koreksi'!$G$5:$G$92,"Persediaan",'Daftar Koreksi'!$H$5:$H$92,"&gt;0")</f>
        <v>0</v>
      </c>
      <c r="F1239" s="25">
        <f>SUMIFS('Daftar Koreksi'!$H$5:$H$92,'Daftar Koreksi'!$D$5:$D$92,'0300'!A1236,'Daftar Koreksi'!$G$5:$G$92,"Persediaan",'Daftar Koreksi'!$H$5:$H$92,"&lt;0")-SUMIFS('Daftar Koreksi'!$H$5:$H$92,'Daftar Koreksi'!$D$5:$D$92,'0300'!A1236,'Daftar Koreksi'!$G$5:$G$92,"Persediaan",'Daftar Koreksi'!$H$5:$H$92,"&lt;0")-SUMIFS('Daftar Koreksi'!$H$5:$H$92,'Daftar Koreksi'!$D$5:$D$92,'0300'!A1236,'Daftar Koreksi'!$G$5:$G$92,"Persediaan",'Daftar Koreksi'!$H$5:$H$92,"&lt;0")</f>
        <v>0</v>
      </c>
      <c r="G1239" s="17">
        <f>D1239+E1239-F1239</f>
        <v>10000</v>
      </c>
      <c r="H1239" s="121" t="str">
        <f>IF(ISNA(VLOOKUP(A1236,'Mutasi Neraca'!$A$3:$S$914,19,FALSE)),"-",VLOOKUP(A1236,'Mutasi Neraca'!$A$3:$S$914,19,FALSE))</f>
        <v>-</v>
      </c>
    </row>
    <row r="1240" spans="1:8" ht="21.95" customHeight="1">
      <c r="A1240" s="14"/>
      <c r="B1240" s="14"/>
      <c r="C1240" s="16" t="s">
        <v>1166</v>
      </c>
      <c r="D1240" s="17">
        <f>VLOOKUP(A1236,'Neraca Unaudited SIMAK'!$A$2:$S$10004,4,FALSE)</f>
        <v>5908552000</v>
      </c>
      <c r="E1240" s="25">
        <f>SUMIFS('Daftar Koreksi'!$H$5:$H$92,'Daftar Koreksi'!$D$5:$D$92,'0300'!A1236,'Daftar Koreksi'!$G$5:$G$92,"Tanah",'Daftar Koreksi'!$H$5:$H$92,"&gt;0")</f>
        <v>0</v>
      </c>
      <c r="F1240" s="25">
        <f>SUMIFS('Daftar Koreksi'!$H$5:$H$92,'Daftar Koreksi'!$D$5:$D$92,'0300'!A1236,'Daftar Koreksi'!$G$5:$G$92,"Tanah",'Daftar Koreksi'!$H$5:$H$92,"&lt;0")-SUMIFS('Daftar Koreksi'!$H$5:$H$92,'Daftar Koreksi'!$D$5:$D$92,'0300'!A1236,'Daftar Koreksi'!$G$5:$G$92,"Tanah",'Daftar Koreksi'!$H$5:$H$92,"&lt;0")-SUMIFS('Daftar Koreksi'!$H$5:$H$92,'Daftar Koreksi'!$D$5:$D$92,'0300'!A1236,'Daftar Koreksi'!$G$5:$G$92,"Tanah",'Daftar Koreksi'!$H$5:$H$92,"&lt;0")</f>
        <v>0</v>
      </c>
      <c r="G1240" s="17">
        <f t="shared" ref="G1240:G1256" si="56">D1240+E1240-F1240</f>
        <v>5908552000</v>
      </c>
      <c r="H1240" s="122"/>
    </row>
    <row r="1241" spans="1:8" ht="21.95" customHeight="1">
      <c r="A1241" s="14"/>
      <c r="B1241" s="14"/>
      <c r="C1241" s="16" t="s">
        <v>1167</v>
      </c>
      <c r="D1241" s="17">
        <f>VLOOKUP(A1236,'Neraca Unaudited SIMAK'!$A$2:$S$10004,5,FALSE)</f>
        <v>1256953474</v>
      </c>
      <c r="E1241" s="25">
        <f>SUMIFS('Daftar Koreksi'!$H$5:$H$92,'Daftar Koreksi'!$D$5:$D$92,'0300'!A1236,'Daftar Koreksi'!$G$5:$G$92,"Peralatan dan mesin",'Daftar Koreksi'!$H$5:$H$92,"&gt;0")</f>
        <v>0</v>
      </c>
      <c r="F1241" s="25">
        <f>SUMIFS('Daftar Koreksi'!$H$5:$H$92,'Daftar Koreksi'!$D$5:$D$92,'0300'!A1236,'Daftar Koreksi'!$G$5:$G$92,"Peralatan dan mesin",'Daftar Koreksi'!$H$5:$H$92,"&lt;0")-SUMIFS('Daftar Koreksi'!$H$5:$H$92,'Daftar Koreksi'!$D$5:$D$92,'0300'!A1236,'Daftar Koreksi'!$G$5:$G$92,"Peralatan dan mesin",'Daftar Koreksi'!$H$5:$H$92,"&lt;0")-SUMIFS('Daftar Koreksi'!$H$5:$H$92,'Daftar Koreksi'!$D$5:$D$92,'0300'!A1236,'Daftar Koreksi'!$G$5:$G$92,"Peralatan dan mesin",'Daftar Koreksi'!$H$5:$H$92,"&lt;0")</f>
        <v>0</v>
      </c>
      <c r="G1241" s="17">
        <f t="shared" si="56"/>
        <v>1256953474</v>
      </c>
      <c r="H1241" s="122"/>
    </row>
    <row r="1242" spans="1:8" ht="21.95" customHeight="1">
      <c r="A1242" s="14"/>
      <c r="B1242" s="14"/>
      <c r="C1242" s="16" t="s">
        <v>1168</v>
      </c>
      <c r="D1242" s="17">
        <f>VLOOKUP(A1236,'Neraca Unaudited SIMAK'!$A$2:$S$10004,6,FALSE)</f>
        <v>5245856000</v>
      </c>
      <c r="E1242" s="25">
        <f>SUMIFS('Daftar Koreksi'!$H$5:$H$92,'Daftar Koreksi'!$D$5:$D$92,'0300'!A1236,'Daftar Koreksi'!$G$5:$G$92,"Gedung dan Bangunan",'Daftar Koreksi'!$H$5:$H$92,"&gt;0")</f>
        <v>0</v>
      </c>
      <c r="F1242" s="25">
        <f>SUMIFS('Daftar Koreksi'!$H$5:$H$92,'Daftar Koreksi'!$D$5:$D$92,'0300'!A1236,'Daftar Koreksi'!$G$5:$G$92,"Gedung dan Bangunan",'Daftar Koreksi'!$H$5:$H$92,"&lt;0")-SUMIFS('Daftar Koreksi'!$H$5:$H$92,'Daftar Koreksi'!$D$5:$D$92,'0300'!A1236,'Daftar Koreksi'!$G$5:$G$92,"Gedung dan Bangunan",'Daftar Koreksi'!$H$5:$H$92,"&lt;0")-SUMIFS('Daftar Koreksi'!$H$5:$H$92,'Daftar Koreksi'!$D$5:$D$92,'0300'!A1236,'Daftar Koreksi'!$G$5:$G$92,"Gedung dan Bangunan",'Daftar Koreksi'!$H$5:$H$92,"&lt;0")</f>
        <v>0</v>
      </c>
      <c r="G1242" s="17">
        <f t="shared" si="56"/>
        <v>5245856000</v>
      </c>
      <c r="H1242" s="122"/>
    </row>
    <row r="1243" spans="1:8" ht="21.95" customHeight="1">
      <c r="A1243" s="14"/>
      <c r="B1243" s="14"/>
      <c r="C1243" s="16" t="s">
        <v>1169</v>
      </c>
      <c r="D1243" s="17">
        <f>VLOOKUP(A1236,'Neraca Unaudited SIMAK'!$A$2:$S$10004,7,FALSE)</f>
        <v>39880000</v>
      </c>
      <c r="E1243" s="25">
        <f>SUMIFS('Daftar Koreksi'!$H$5:$H$92,'Daftar Koreksi'!$D$5:$D$92,'0300'!A1236,'Daftar Koreksi'!$G$5:$G$92,"Jalan Irigasi Jaringan",'Daftar Koreksi'!$H$5:$H$92,"&gt;0")</f>
        <v>0</v>
      </c>
      <c r="F1243" s="25">
        <f>SUMIFS('Daftar Koreksi'!$H$5:$H$92,'Daftar Koreksi'!$D$5:$D$92,'0300'!A1236,'Daftar Koreksi'!$G$5:$G$92,"Jalan Irigasi Jaringan",'Daftar Koreksi'!$H$5:$H$92,"&lt;0")-SUMIFS('Daftar Koreksi'!$H$5:$H$92,'Daftar Koreksi'!$D$5:$D$92,'0300'!A1236,'Daftar Koreksi'!$G$5:$G$92,"Jalan Irigasi Jaringan",'Daftar Koreksi'!$H$5:$H$92,"&lt;0")-SUMIFS('Daftar Koreksi'!$H$5:$H$92,'Daftar Koreksi'!$D$5:$D$92,'0300'!A1236,'Daftar Koreksi'!$G$5:$G$92,"Jalan Irigasi Jaringan",'Daftar Koreksi'!$H$5:$H$92,"&lt;0")</f>
        <v>0</v>
      </c>
      <c r="G1243" s="17">
        <f t="shared" si="56"/>
        <v>39880000</v>
      </c>
      <c r="H1243" s="122"/>
    </row>
    <row r="1244" spans="1:8" ht="21.95" customHeight="1">
      <c r="A1244" s="14"/>
      <c r="B1244" s="14"/>
      <c r="C1244" s="16" t="s">
        <v>1170</v>
      </c>
      <c r="D1244" s="17">
        <f>VLOOKUP(A1236,'Neraca Unaudited SIMAK'!$A$2:$S$10004,8,FALSE)</f>
        <v>10844976</v>
      </c>
      <c r="E1244" s="25">
        <f>SUMIFS('Daftar Koreksi'!$H$5:$H$92,'Daftar Koreksi'!$D$5:$D$92,'0300'!A1236,'Daftar Koreksi'!$G$5:$G$92,"Aset Tetap Lainnya",'Daftar Koreksi'!$H$5:$H$92,"&gt;0")</f>
        <v>0</v>
      </c>
      <c r="F1244" s="25">
        <f>SUMIFS('Daftar Koreksi'!$H$5:$H$92,'Daftar Koreksi'!$D$5:$D$92,'0300'!A1236,'Daftar Koreksi'!$G$5:$G$92,"Aset Tetap Lainnya",'Daftar Koreksi'!$H$5:$H$92,"&lt;0")-SUMIFS('Daftar Koreksi'!$H$5:$H$92,'Daftar Koreksi'!$D$5:$D$92,'0300'!A1236,'Daftar Koreksi'!$G$5:$G$92,"Aset Tetap Lainnya",'Daftar Koreksi'!$H$5:$H$92,"&lt;0")-SUMIFS('Daftar Koreksi'!$H$5:$H$92,'Daftar Koreksi'!$D$5:$D$92,'0300'!A1236,'Daftar Koreksi'!$G$5:$G$92,"Aset Tetap Lainnya",'Daftar Koreksi'!$H$5:$H$92,"&lt;0")</f>
        <v>0</v>
      </c>
      <c r="G1244" s="17">
        <f t="shared" si="56"/>
        <v>10844976</v>
      </c>
      <c r="H1244" s="122"/>
    </row>
    <row r="1245" spans="1:8" ht="21.95" customHeight="1">
      <c r="A1245" s="14"/>
      <c r="B1245" s="14"/>
      <c r="C1245" s="16" t="s">
        <v>1171</v>
      </c>
      <c r="D1245" s="17">
        <f>VLOOKUP(A1236,'Neraca Unaudited SIMAK'!$A$2:$S$10004,9,FALSE)</f>
        <v>0</v>
      </c>
      <c r="E1245" s="25">
        <f>SUMIFS('Daftar Koreksi'!$H$5:$H$92,'Daftar Koreksi'!$D$5:$D$92,'0300'!A1236,'Daftar Koreksi'!$G$5:$G$92,"Kontruksi Dalam Pengerjaan",'Daftar Koreksi'!$H$5:$H$92,"&gt;0")</f>
        <v>0</v>
      </c>
      <c r="F1245" s="25">
        <f>SUMIFS('Daftar Koreksi'!$H$5:$H$92,'Daftar Koreksi'!$D$5:$D$92,'0300'!A1236,'Daftar Koreksi'!$G$5:$G$92,"Kontruksi Dalam Pengerjaan",'Daftar Koreksi'!$H$5:$H$92,"&lt;0")-SUMIFS('Daftar Koreksi'!$H$5:$H$92,'Daftar Koreksi'!$D$5:$D$92,'0300'!A1236,'Daftar Koreksi'!$G$5:$G$92,"Kontruksi Dalam Pengerjaan",'Daftar Koreksi'!$H$5:$H$92,"&lt;0")-SUMIFS('Daftar Koreksi'!$H$5:$H$92,'Daftar Koreksi'!$D$5:$D$92,'0300'!A1236,'Daftar Koreksi'!$G$5:$G$92,"Kontruksi Dalam Pengerjaan",'Daftar Koreksi'!$H$5:$H$92,"&lt;0")</f>
        <v>0</v>
      </c>
      <c r="G1245" s="17">
        <f t="shared" si="56"/>
        <v>0</v>
      </c>
      <c r="H1245" s="122"/>
    </row>
    <row r="1246" spans="1:8" ht="21.95" customHeight="1">
      <c r="A1246" s="14"/>
      <c r="B1246" s="14"/>
      <c r="C1246" s="16" t="s">
        <v>1172</v>
      </c>
      <c r="D1246" s="17">
        <f>VLOOKUP(A1236,'Neraca Unaudited SIMAK'!$A$2:$S$10004,10,FALSE)</f>
        <v>42080500</v>
      </c>
      <c r="E1246" s="25">
        <f>SUMIFS('Daftar Koreksi'!$H$5:$H$92,'Daftar Koreksi'!$D$5:$D$92,'0300'!A1236,'Daftar Koreksi'!$G$5:$G$92,"Aset Tak Berwujud",'Daftar Koreksi'!$H$5:$H$92,"&gt;0")</f>
        <v>0</v>
      </c>
      <c r="F1246" s="25">
        <f>SUMIFS('Daftar Koreksi'!$H$5:$H$92,'Daftar Koreksi'!$D$5:$D$92,'0300'!A1236,'Daftar Koreksi'!$G$5:$G$92,"Aset Tak Berwujud",'Daftar Koreksi'!$H$5:$H$92,"&lt;0")-SUMIFS('Daftar Koreksi'!$H$5:$H$92,'Daftar Koreksi'!$D$5:$D$92,'0300'!A1236,'Daftar Koreksi'!$G$5:$G$92,"Aset Tak Berwujud",'Daftar Koreksi'!$H$5:$H$92,"&lt;0")-SUMIFS('Daftar Koreksi'!$H$5:$H$92,'Daftar Koreksi'!$D$5:$D$92,'0300'!A1236,'Daftar Koreksi'!$G$5:$G$92,"Aset Tak Berwujud",'Daftar Koreksi'!$H$5:$H$92,"&lt;0")</f>
        <v>0</v>
      </c>
      <c r="G1246" s="17">
        <f t="shared" si="56"/>
        <v>42080500</v>
      </c>
      <c r="H1246" s="122"/>
    </row>
    <row r="1247" spans="1:8" ht="21.95" customHeight="1">
      <c r="A1247" s="14"/>
      <c r="B1247" s="14"/>
      <c r="C1247" s="16" t="s">
        <v>1173</v>
      </c>
      <c r="D1247" s="17">
        <f>VLOOKUP(A1236,'Neraca Unaudited SIMAK'!$A$2:$S$10004,11,FALSE)</f>
        <v>147896363</v>
      </c>
      <c r="E1247" s="25">
        <f>SUMIFS('Daftar Koreksi'!$H$5:$H$92,'Daftar Koreksi'!$D$5:$D$92,'0300'!A1236,'Daftar Koreksi'!$G$5:$G$92,"Aset Henti Guna",'Daftar Koreksi'!$H$5:$H$92,"&gt;0")</f>
        <v>0</v>
      </c>
      <c r="F1247" s="25">
        <f>SUMIFS('Daftar Koreksi'!$H$5:$H$92,'Daftar Koreksi'!$D$5:$D$92,'0300'!A1236,'Daftar Koreksi'!$G$5:$G$92,"Aset Henti Guna",'Daftar Koreksi'!$H$5:$H$92,"&lt;0")-SUMIFS('Daftar Koreksi'!$H$5:$H$92,'Daftar Koreksi'!$D$5:$D$92,'0300'!A1236,'Daftar Koreksi'!$G$5:$G$92,"Aset Henti Guna",'Daftar Koreksi'!$H$5:$H$92,"&lt;0")-SUMIFS('Daftar Koreksi'!$H$5:$H$92,'Daftar Koreksi'!$D$5:$D$92,'0300'!A1236,'Daftar Koreksi'!$G$5:$G$92,"Aset Henti Guna",'Daftar Koreksi'!$H$5:$H$92,"&lt;0")</f>
        <v>0</v>
      </c>
      <c r="G1247" s="17">
        <f t="shared" si="56"/>
        <v>147896363</v>
      </c>
      <c r="H1247" s="122"/>
    </row>
    <row r="1248" spans="1:8" ht="21.95" customHeight="1">
      <c r="A1248" s="14"/>
      <c r="B1248" s="14"/>
      <c r="C1248" s="18" t="s">
        <v>2093</v>
      </c>
      <c r="D1248" s="19">
        <f>VLOOKUP(A1236,'Neraca Unaudited SIMAK'!$A$2:$S$10004,12,FALSE)</f>
        <v>12652073313</v>
      </c>
      <c r="E1248" s="19">
        <f>SUM(E1239:E1247)</f>
        <v>0</v>
      </c>
      <c r="F1248" s="19">
        <f>SUM(F1239:F1247)</f>
        <v>0</v>
      </c>
      <c r="G1248" s="19">
        <f t="shared" si="56"/>
        <v>12652073313</v>
      </c>
      <c r="H1248" s="122"/>
    </row>
    <row r="1249" spans="1:8" ht="21.95" customHeight="1">
      <c r="A1249" s="14"/>
      <c r="B1249" s="14"/>
      <c r="C1249" s="16" t="s">
        <v>2087</v>
      </c>
      <c r="D1249" s="17">
        <f>VLOOKUP(A1236,'Neraca Unaudited SIMAK'!$A$2:$S$10004,13,FALSE)</f>
        <v>-785924492</v>
      </c>
      <c r="E1249" s="25">
        <f>SUMIFS('Daftar Koreksi'!$I$5:$I$92,'Daftar Koreksi'!$D$5:$D$92,'0300'!A1236,'Daftar Koreksi'!$G$5:$G$92,"Peralatan dan mesin",'Daftar Koreksi'!$I$5:$I$92,"&gt;0")</f>
        <v>0</v>
      </c>
      <c r="F1249" s="25">
        <f>SUMIFS('Daftar Koreksi'!$I$5:$I$92,'Daftar Koreksi'!$D$5:$D$92,'0300'!A1236,'Daftar Koreksi'!$G$5:$G$92,"Peralatan dan mesin",'Daftar Koreksi'!$I$5:$I$92,"&lt;0")-SUMIFS('Daftar Koreksi'!$I$5:$I$92,'Daftar Koreksi'!$D$5:$D$92,'0300'!A1236,'Daftar Koreksi'!$G$5:$G$92,"Peralatan dan mesin",'Daftar Koreksi'!$I$5:$I$92,"&lt;0")-SUMIFS('Daftar Koreksi'!$I$5:$I$92,'Daftar Koreksi'!$D$5:$D$92,'0300'!A1236,'Daftar Koreksi'!$G$5:$G$92,"Peralatan dan mesin",'Daftar Koreksi'!$I$5:$I$92,"&lt;0")</f>
        <v>0</v>
      </c>
      <c r="G1249" s="17">
        <f t="shared" si="56"/>
        <v>-785924492</v>
      </c>
      <c r="H1249" s="122"/>
    </row>
    <row r="1250" spans="1:8" ht="21.95" customHeight="1">
      <c r="A1250" s="14"/>
      <c r="B1250" s="14"/>
      <c r="C1250" s="16" t="s">
        <v>2088</v>
      </c>
      <c r="D1250" s="17">
        <f>VLOOKUP(A1236,'Neraca Unaudited SIMAK'!$A$2:$S$10004,14,FALSE)</f>
        <v>-621719071</v>
      </c>
      <c r="E1250" s="25">
        <f>SUMIFS('Daftar Koreksi'!$I$5:$I$92,'Daftar Koreksi'!$D$5:$D$92,'0300'!A1236,'Daftar Koreksi'!$G$5:$G$92,"Gedung dan Bangunan",'Daftar Koreksi'!$I$5:$I$92,"&gt;0")</f>
        <v>0</v>
      </c>
      <c r="F1250" s="25">
        <f>SUMIFS('Daftar Koreksi'!$I$5:$I$92,'Daftar Koreksi'!$D$5:$D$92,'0300'!A1236,'Daftar Koreksi'!$G$5:$G$92,"Gedung dan Bangunan",'Daftar Koreksi'!$I$5:$I$92,"&lt;0")-SUMIFS('Daftar Koreksi'!$I$5:$I$92,'Daftar Koreksi'!$D$5:$D$92,'0300'!A1236,'Daftar Koreksi'!$G$5:$G$92,"Gedung dan Bangunan",'Daftar Koreksi'!$I$5:$I$92,"&lt;0")-SUMIFS('Daftar Koreksi'!$I$5:$I$92,'Daftar Koreksi'!$D$5:$D$92,'0300'!A1236,'Daftar Koreksi'!$G$5:$G$92,"Gedung dan Bangunan",'Daftar Koreksi'!$I$5:$I$92,"&lt;0")</f>
        <v>0</v>
      </c>
      <c r="G1250" s="17">
        <f t="shared" si="56"/>
        <v>-621719071</v>
      </c>
      <c r="H1250" s="122"/>
    </row>
    <row r="1251" spans="1:8" ht="21.95" customHeight="1">
      <c r="A1251" s="14"/>
      <c r="B1251" s="14"/>
      <c r="C1251" s="16" t="s">
        <v>2089</v>
      </c>
      <c r="D1251" s="17">
        <f>VLOOKUP(A1236,'Neraca Unaudited SIMAK'!$A$2:$S$10004,15,FALSE)</f>
        <v>-2991000</v>
      </c>
      <c r="E1251" s="25">
        <f>SUMIFS('Daftar Koreksi'!$I$5:$I$92,'Daftar Koreksi'!$D$5:$D$92,'0300'!A1236,'Daftar Koreksi'!$G$5:$G$92,"Jalan Irigasi Jaringan",'Daftar Koreksi'!$I$5:$I$92,"&gt;0")</f>
        <v>0</v>
      </c>
      <c r="F1251" s="25">
        <f>SUMIFS('Daftar Koreksi'!$I$5:$I$92,'Daftar Koreksi'!$D$5:$D$92,'0300'!A1236,'Daftar Koreksi'!$G$5:$G$92,"Jalan Irigasi Jaringan",'Daftar Koreksi'!$I$5:$I$92,"&lt;0")-SUMIFS('Daftar Koreksi'!$I$5:$I$92,'Daftar Koreksi'!$D$5:$D$92,'0300'!A1236,'Daftar Koreksi'!$G$5:$G$92,"Jalan Irigasi Jaringan",'Daftar Koreksi'!$I$5:$I$92,"&lt;0")-SUMIFS('Daftar Koreksi'!$I$5:$I$92,'Daftar Koreksi'!$D$5:$D$92,'0300'!A1236,'Daftar Koreksi'!$G$5:$G$92,"Jalan Irigasi Jaringan",'Daftar Koreksi'!$I$5:$I$92,"&lt;0")</f>
        <v>0</v>
      </c>
      <c r="G1251" s="17">
        <f t="shared" si="56"/>
        <v>-2991000</v>
      </c>
      <c r="H1251" s="122"/>
    </row>
    <row r="1252" spans="1:8" ht="21.95" customHeight="1">
      <c r="A1252" s="14"/>
      <c r="B1252" s="14"/>
      <c r="C1252" s="16" t="s">
        <v>2090</v>
      </c>
      <c r="D1252" s="17">
        <f>VLOOKUP(A1236,'Neraca Unaudited SIMAK'!$A$2:$S$10004,16,FALSE)</f>
        <v>0</v>
      </c>
      <c r="E1252" s="25">
        <f>SUMIFS('Daftar Koreksi'!$I$5:$I$92,'Daftar Koreksi'!$D$5:$D$92,'0300'!A1236,'Daftar Koreksi'!$G$5:$G$92,"Aset Tetap Lainnya",'Daftar Koreksi'!$I$5:$I$92,"&gt;0")</f>
        <v>0</v>
      </c>
      <c r="F1252" s="25">
        <f>SUMIFS('Daftar Koreksi'!$I$5:$I$92,'Daftar Koreksi'!$D$5:$D$92,'0300'!A1236,'Daftar Koreksi'!$G$5:$G$92,"Aset Tetap Lainnya",'Daftar Koreksi'!$I$5:$I$92,"&lt;0")-SUMIFS('Daftar Koreksi'!$I$5:$I$92,'Daftar Koreksi'!$D$5:$D$92,'0300'!A1236,'Daftar Koreksi'!$G$5:$G$92,"Aset Tetap Lainnya",'Daftar Koreksi'!$I$5:$I$92,"&lt;0")-SUMIFS('Daftar Koreksi'!$I$5:$I$92,'Daftar Koreksi'!$D$5:$D$92,'0300'!A1236,'Daftar Koreksi'!$G$5:$G$92,"Aset Tetap Lainnya",'Daftar Koreksi'!$I$5:$I$92,"&lt;0")</f>
        <v>0</v>
      </c>
      <c r="G1252" s="17">
        <f t="shared" si="56"/>
        <v>0</v>
      </c>
      <c r="H1252" s="122"/>
    </row>
    <row r="1253" spans="1:8" ht="21.95" customHeight="1">
      <c r="A1253" s="14"/>
      <c r="B1253" s="14"/>
      <c r="C1253" s="16" t="s">
        <v>2020</v>
      </c>
      <c r="D1253" s="17">
        <f>VLOOKUP(A1236,'Neraca Unaudited SIMAK'!$A$2:$S$10004,17,FALSE)</f>
        <v>-147896363</v>
      </c>
      <c r="E1253" s="25">
        <f>SUMIFS('Daftar Koreksi'!$I$5:$I$92,'Daftar Koreksi'!$D$5:$D$92,'0300'!A1236,'Daftar Koreksi'!$G$5:$G$92,"Aset Henti Guna",'Daftar Koreksi'!$I$5:$I$92,"&gt;0")</f>
        <v>0</v>
      </c>
      <c r="F1253" s="25">
        <f>SUMIFS('Daftar Koreksi'!$I$5:$I$92,'Daftar Koreksi'!$D$5:$D$92,'0300'!A1236,'Daftar Koreksi'!$G$5:$G$92,"Aset Henti Guna",'Daftar Koreksi'!$I$5:$I$92,"&lt;0")-SUMIFS('Daftar Koreksi'!$I$5:$I$92,'Daftar Koreksi'!$D$5:$D$92,'0300'!A1236,'Daftar Koreksi'!$G$5:$G$92,"Aset Henti Guna",'Daftar Koreksi'!$I$5:$I$92,"&lt;0")-SUMIFS('Daftar Koreksi'!$I$5:$I$92,'Daftar Koreksi'!$D$5:$D$92,'0300'!A1236,'Daftar Koreksi'!$G$5:$G$92,"Aset Henti Guna",'Daftar Koreksi'!$I$5:$I$92,"&lt;0")</f>
        <v>0</v>
      </c>
      <c r="G1253" s="17">
        <f t="shared" si="56"/>
        <v>-147896363</v>
      </c>
      <c r="H1253" s="122"/>
    </row>
    <row r="1254" spans="1:8" ht="21.95" customHeight="1">
      <c r="A1254" s="14"/>
      <c r="B1254" s="14"/>
      <c r="C1254" s="18" t="s">
        <v>2094</v>
      </c>
      <c r="D1254" s="19">
        <f>SUM(D1249:D1253)</f>
        <v>-1558530926</v>
      </c>
      <c r="E1254" s="19">
        <f>SUM(E1249:E1253)</f>
        <v>0</v>
      </c>
      <c r="F1254" s="19">
        <f>SUM(F1249:F1253)</f>
        <v>0</v>
      </c>
      <c r="G1254" s="19">
        <f t="shared" si="56"/>
        <v>-1558530926</v>
      </c>
      <c r="H1254" s="122"/>
    </row>
    <row r="1255" spans="1:8" ht="21.95" customHeight="1">
      <c r="A1255" s="14"/>
      <c r="B1255" s="14"/>
      <c r="C1255" s="18" t="s">
        <v>2095</v>
      </c>
      <c r="D1255" s="19">
        <f>VLOOKUP(A1236,'Neraca Unaudited SIMAK'!$A$2:$S$10004,18,FALSE)</f>
        <v>11093542387</v>
      </c>
      <c r="E1255" s="19">
        <f>E1254+E1248</f>
        <v>0</v>
      </c>
      <c r="F1255" s="19">
        <f>F1254+F1248</f>
        <v>0</v>
      </c>
      <c r="G1255" s="19">
        <f t="shared" si="56"/>
        <v>11093542387</v>
      </c>
      <c r="H1255" s="122"/>
    </row>
    <row r="1256" spans="1:8" ht="21.95" customHeight="1">
      <c r="A1256" s="14"/>
      <c r="B1256" s="14"/>
      <c r="C1256" s="16" t="s">
        <v>2091</v>
      </c>
      <c r="D1256" s="17">
        <f>VLOOKUP(A1236,'Neraca Unaudited SIMAK'!$A$2:$S$10004,19,FALSE)</f>
        <v>0</v>
      </c>
      <c r="E1256" s="25"/>
      <c r="F1256" s="25"/>
      <c r="G1256" s="17">
        <f t="shared" si="56"/>
        <v>0</v>
      </c>
      <c r="H1256" s="123"/>
    </row>
    <row r="1258" spans="1:8" ht="19.5" customHeight="1">
      <c r="A1258" s="11" t="str">
        <f>O58</f>
        <v>005010300401070000KD</v>
      </c>
      <c r="B1258" s="11" t="str">
        <f>P58</f>
        <v>PA. Banyumas</v>
      </c>
      <c r="C1258" s="12" t="str">
        <f>A1258&amp;" "&amp;B1258</f>
        <v>005010300401070000KD PA. Banyumas</v>
      </c>
      <c r="D1258" s="13"/>
      <c r="E1258" s="13"/>
      <c r="F1258" s="13"/>
      <c r="G1258" s="13"/>
      <c r="H1258" s="11"/>
    </row>
    <row r="1259" spans="1:8" ht="21.95" customHeight="1">
      <c r="A1259" s="14"/>
      <c r="B1259" s="14"/>
      <c r="C1259" s="124" t="s">
        <v>1982</v>
      </c>
      <c r="D1259" s="126" t="s">
        <v>1983</v>
      </c>
      <c r="E1259" s="132" t="s">
        <v>1984</v>
      </c>
      <c r="F1259" s="132"/>
      <c r="G1259" s="126" t="s">
        <v>1987</v>
      </c>
      <c r="H1259" s="130" t="s">
        <v>1175</v>
      </c>
    </row>
    <row r="1260" spans="1:8" ht="21.95" customHeight="1">
      <c r="A1260" s="14"/>
      <c r="B1260" s="14"/>
      <c r="C1260" s="125"/>
      <c r="D1260" s="127"/>
      <c r="E1260" s="26" t="s">
        <v>1985</v>
      </c>
      <c r="F1260" s="26" t="s">
        <v>1986</v>
      </c>
      <c r="G1260" s="127"/>
      <c r="H1260" s="131"/>
    </row>
    <row r="1261" spans="1:8" ht="21.95" customHeight="1">
      <c r="A1261" s="14"/>
      <c r="B1261" s="14"/>
      <c r="C1261" s="16" t="s">
        <v>1165</v>
      </c>
      <c r="D1261" s="17">
        <f>VLOOKUP(A1258,'Neraca Unaudited SIMAK'!$A$2:$S$10004,3,FALSE)</f>
        <v>16000</v>
      </c>
      <c r="E1261" s="25">
        <f>SUMIFS('Daftar Koreksi'!$H$5:$H$92,'Daftar Koreksi'!$D$5:$D$92,'0300'!A1258,'Daftar Koreksi'!$G$5:$G$92,"Persediaan",'Daftar Koreksi'!$H$5:$H$92,"&gt;0")</f>
        <v>0</v>
      </c>
      <c r="F1261" s="25">
        <f>SUMIFS('Daftar Koreksi'!$H$5:$H$92,'Daftar Koreksi'!$D$5:$D$92,'0300'!A1258,'Daftar Koreksi'!$G$5:$G$92,"Persediaan",'Daftar Koreksi'!$H$5:$H$92,"&lt;0")-SUMIFS('Daftar Koreksi'!$H$5:$H$92,'Daftar Koreksi'!$D$5:$D$92,'0300'!A1258,'Daftar Koreksi'!$G$5:$G$92,"Persediaan",'Daftar Koreksi'!$H$5:$H$92,"&lt;0")-SUMIFS('Daftar Koreksi'!$H$5:$H$92,'Daftar Koreksi'!$D$5:$D$92,'0300'!A1258,'Daftar Koreksi'!$G$5:$G$92,"Persediaan",'Daftar Koreksi'!$H$5:$H$92,"&lt;0")</f>
        <v>0</v>
      </c>
      <c r="G1261" s="17">
        <f>D1261+E1261-F1261</f>
        <v>16000</v>
      </c>
      <c r="H1261" s="121" t="str">
        <f>IF(ISNA(VLOOKUP(A1258,'Mutasi Neraca'!$A$3:$S$914,19,FALSE)),"-",VLOOKUP(A1258,'Mutasi Neraca'!$A$3:$S$914,19,FALSE))</f>
        <v>-</v>
      </c>
    </row>
    <row r="1262" spans="1:8" ht="21.95" customHeight="1">
      <c r="A1262" s="14"/>
      <c r="B1262" s="14"/>
      <c r="C1262" s="16" t="s">
        <v>1166</v>
      </c>
      <c r="D1262" s="17">
        <f>VLOOKUP(A1258,'Neraca Unaudited SIMAK'!$A$2:$S$10004,4,FALSE)</f>
        <v>250000000</v>
      </c>
      <c r="E1262" s="25">
        <f>SUMIFS('Daftar Koreksi'!$H$5:$H$92,'Daftar Koreksi'!$D$5:$D$92,'0300'!A1258,'Daftar Koreksi'!$G$5:$G$92,"Tanah",'Daftar Koreksi'!$H$5:$H$92,"&gt;0")</f>
        <v>0</v>
      </c>
      <c r="F1262" s="25">
        <f>SUMIFS('Daftar Koreksi'!$H$5:$H$92,'Daftar Koreksi'!$D$5:$D$92,'0300'!A1258,'Daftar Koreksi'!$G$5:$G$92,"Tanah",'Daftar Koreksi'!$H$5:$H$92,"&lt;0")-SUMIFS('Daftar Koreksi'!$H$5:$H$92,'Daftar Koreksi'!$D$5:$D$92,'0300'!A1258,'Daftar Koreksi'!$G$5:$G$92,"Tanah",'Daftar Koreksi'!$H$5:$H$92,"&lt;0")-SUMIFS('Daftar Koreksi'!$H$5:$H$92,'Daftar Koreksi'!$D$5:$D$92,'0300'!A1258,'Daftar Koreksi'!$G$5:$G$92,"Tanah",'Daftar Koreksi'!$H$5:$H$92,"&lt;0")</f>
        <v>0</v>
      </c>
      <c r="G1262" s="17">
        <f t="shared" ref="G1262:G1278" si="57">D1262+E1262-F1262</f>
        <v>250000000</v>
      </c>
      <c r="H1262" s="122"/>
    </row>
    <row r="1263" spans="1:8" ht="21.95" customHeight="1">
      <c r="A1263" s="14"/>
      <c r="B1263" s="14"/>
      <c r="C1263" s="16" t="s">
        <v>1167</v>
      </c>
      <c r="D1263" s="17">
        <f>VLOOKUP(A1258,'Neraca Unaudited SIMAK'!$A$2:$S$10004,5,FALSE)</f>
        <v>1774634348</v>
      </c>
      <c r="E1263" s="25">
        <f>SUMIFS('Daftar Koreksi'!$H$5:$H$92,'Daftar Koreksi'!$D$5:$D$92,'0300'!A1258,'Daftar Koreksi'!$G$5:$G$92,"Peralatan dan mesin",'Daftar Koreksi'!$H$5:$H$92,"&gt;0")</f>
        <v>0</v>
      </c>
      <c r="F1263" s="25">
        <f>SUMIFS('Daftar Koreksi'!$H$5:$H$92,'Daftar Koreksi'!$D$5:$D$92,'0300'!A1258,'Daftar Koreksi'!$G$5:$G$92,"Peralatan dan mesin",'Daftar Koreksi'!$H$5:$H$92,"&lt;0")-SUMIFS('Daftar Koreksi'!$H$5:$H$92,'Daftar Koreksi'!$D$5:$D$92,'0300'!A1258,'Daftar Koreksi'!$G$5:$G$92,"Peralatan dan mesin",'Daftar Koreksi'!$H$5:$H$92,"&lt;0")-SUMIFS('Daftar Koreksi'!$H$5:$H$92,'Daftar Koreksi'!$D$5:$D$92,'0300'!A1258,'Daftar Koreksi'!$G$5:$G$92,"Peralatan dan mesin",'Daftar Koreksi'!$H$5:$H$92,"&lt;0")</f>
        <v>0</v>
      </c>
      <c r="G1263" s="17">
        <f t="shared" si="57"/>
        <v>1774634348</v>
      </c>
      <c r="H1263" s="122"/>
    </row>
    <row r="1264" spans="1:8" ht="21.95" customHeight="1">
      <c r="A1264" s="14"/>
      <c r="B1264" s="14"/>
      <c r="C1264" s="16" t="s">
        <v>1168</v>
      </c>
      <c r="D1264" s="17">
        <f>VLOOKUP(A1258,'Neraca Unaudited SIMAK'!$A$2:$S$10004,6,FALSE)</f>
        <v>1131146603</v>
      </c>
      <c r="E1264" s="25">
        <f>SUMIFS('Daftar Koreksi'!$H$5:$H$92,'Daftar Koreksi'!$D$5:$D$92,'0300'!A1258,'Daftar Koreksi'!$G$5:$G$92,"Gedung dan Bangunan",'Daftar Koreksi'!$H$5:$H$92,"&gt;0")</f>
        <v>0</v>
      </c>
      <c r="F1264" s="25">
        <f>SUMIFS('Daftar Koreksi'!$H$5:$H$92,'Daftar Koreksi'!$D$5:$D$92,'0300'!A1258,'Daftar Koreksi'!$G$5:$G$92,"Gedung dan Bangunan",'Daftar Koreksi'!$H$5:$H$92,"&lt;0")-SUMIFS('Daftar Koreksi'!$H$5:$H$92,'Daftar Koreksi'!$D$5:$D$92,'0300'!A1258,'Daftar Koreksi'!$G$5:$G$92,"Gedung dan Bangunan",'Daftar Koreksi'!$H$5:$H$92,"&lt;0")-SUMIFS('Daftar Koreksi'!$H$5:$H$92,'Daftar Koreksi'!$D$5:$D$92,'0300'!A1258,'Daftar Koreksi'!$G$5:$G$92,"Gedung dan Bangunan",'Daftar Koreksi'!$H$5:$H$92,"&lt;0")</f>
        <v>0</v>
      </c>
      <c r="G1264" s="17">
        <f t="shared" si="57"/>
        <v>1131146603</v>
      </c>
      <c r="H1264" s="122"/>
    </row>
    <row r="1265" spans="1:8" ht="21.95" customHeight="1">
      <c r="A1265" s="14"/>
      <c r="B1265" s="14"/>
      <c r="C1265" s="16" t="s">
        <v>1169</v>
      </c>
      <c r="D1265" s="17">
        <f>VLOOKUP(A1258,'Neraca Unaudited SIMAK'!$A$2:$S$10004,7,FALSE)</f>
        <v>19800000</v>
      </c>
      <c r="E1265" s="25">
        <f>SUMIFS('Daftar Koreksi'!$H$5:$H$92,'Daftar Koreksi'!$D$5:$D$92,'0300'!A1258,'Daftar Koreksi'!$G$5:$G$92,"Jalan Irigasi Jaringan",'Daftar Koreksi'!$H$5:$H$92,"&gt;0")</f>
        <v>0</v>
      </c>
      <c r="F1265" s="25">
        <f>SUMIFS('Daftar Koreksi'!$H$5:$H$92,'Daftar Koreksi'!$D$5:$D$92,'0300'!A1258,'Daftar Koreksi'!$G$5:$G$92,"Jalan Irigasi Jaringan",'Daftar Koreksi'!$H$5:$H$92,"&lt;0")-SUMIFS('Daftar Koreksi'!$H$5:$H$92,'Daftar Koreksi'!$D$5:$D$92,'0300'!A1258,'Daftar Koreksi'!$G$5:$G$92,"Jalan Irigasi Jaringan",'Daftar Koreksi'!$H$5:$H$92,"&lt;0")-SUMIFS('Daftar Koreksi'!$H$5:$H$92,'Daftar Koreksi'!$D$5:$D$92,'0300'!A1258,'Daftar Koreksi'!$G$5:$G$92,"Jalan Irigasi Jaringan",'Daftar Koreksi'!$H$5:$H$92,"&lt;0")</f>
        <v>0</v>
      </c>
      <c r="G1265" s="17">
        <f t="shared" si="57"/>
        <v>19800000</v>
      </c>
      <c r="H1265" s="122"/>
    </row>
    <row r="1266" spans="1:8" ht="21.95" customHeight="1">
      <c r="A1266" s="14"/>
      <c r="B1266" s="14"/>
      <c r="C1266" s="16" t="s">
        <v>1170</v>
      </c>
      <c r="D1266" s="17">
        <f>VLOOKUP(A1258,'Neraca Unaudited SIMAK'!$A$2:$S$10004,8,FALSE)</f>
        <v>408000</v>
      </c>
      <c r="E1266" s="25">
        <f>SUMIFS('Daftar Koreksi'!$H$5:$H$92,'Daftar Koreksi'!$D$5:$D$92,'0300'!A1258,'Daftar Koreksi'!$G$5:$G$92,"Aset Tetap Lainnya",'Daftar Koreksi'!$H$5:$H$92,"&gt;0")</f>
        <v>0</v>
      </c>
      <c r="F1266" s="25">
        <f>SUMIFS('Daftar Koreksi'!$H$5:$H$92,'Daftar Koreksi'!$D$5:$D$92,'0300'!A1258,'Daftar Koreksi'!$G$5:$G$92,"Aset Tetap Lainnya",'Daftar Koreksi'!$H$5:$H$92,"&lt;0")-SUMIFS('Daftar Koreksi'!$H$5:$H$92,'Daftar Koreksi'!$D$5:$D$92,'0300'!A1258,'Daftar Koreksi'!$G$5:$G$92,"Aset Tetap Lainnya",'Daftar Koreksi'!$H$5:$H$92,"&lt;0")-SUMIFS('Daftar Koreksi'!$H$5:$H$92,'Daftar Koreksi'!$D$5:$D$92,'0300'!A1258,'Daftar Koreksi'!$G$5:$G$92,"Aset Tetap Lainnya",'Daftar Koreksi'!$H$5:$H$92,"&lt;0")</f>
        <v>0</v>
      </c>
      <c r="G1266" s="17">
        <f t="shared" si="57"/>
        <v>408000</v>
      </c>
      <c r="H1266" s="122"/>
    </row>
    <row r="1267" spans="1:8" ht="21.95" customHeight="1">
      <c r="A1267" s="14"/>
      <c r="B1267" s="14"/>
      <c r="C1267" s="16" t="s">
        <v>1171</v>
      </c>
      <c r="D1267" s="17">
        <f>VLOOKUP(A1258,'Neraca Unaudited SIMAK'!$A$2:$S$10004,9,FALSE)</f>
        <v>0</v>
      </c>
      <c r="E1267" s="25">
        <f>SUMIFS('Daftar Koreksi'!$H$5:$H$92,'Daftar Koreksi'!$D$5:$D$92,'0300'!A1258,'Daftar Koreksi'!$G$5:$G$92,"Kontruksi Dalam Pengerjaan",'Daftar Koreksi'!$H$5:$H$92,"&gt;0")</f>
        <v>0</v>
      </c>
      <c r="F1267" s="25">
        <f>SUMIFS('Daftar Koreksi'!$H$5:$H$92,'Daftar Koreksi'!$D$5:$D$92,'0300'!A1258,'Daftar Koreksi'!$G$5:$G$92,"Kontruksi Dalam Pengerjaan",'Daftar Koreksi'!$H$5:$H$92,"&lt;0")-SUMIFS('Daftar Koreksi'!$H$5:$H$92,'Daftar Koreksi'!$D$5:$D$92,'0300'!A1258,'Daftar Koreksi'!$G$5:$G$92,"Kontruksi Dalam Pengerjaan",'Daftar Koreksi'!$H$5:$H$92,"&lt;0")-SUMIFS('Daftar Koreksi'!$H$5:$H$92,'Daftar Koreksi'!$D$5:$D$92,'0300'!A1258,'Daftar Koreksi'!$G$5:$G$92,"Kontruksi Dalam Pengerjaan",'Daftar Koreksi'!$H$5:$H$92,"&lt;0")</f>
        <v>0</v>
      </c>
      <c r="G1267" s="17">
        <f t="shared" si="57"/>
        <v>0</v>
      </c>
      <c r="H1267" s="122"/>
    </row>
    <row r="1268" spans="1:8" ht="21.95" customHeight="1">
      <c r="A1268" s="14"/>
      <c r="B1268" s="14"/>
      <c r="C1268" s="16" t="s">
        <v>1172</v>
      </c>
      <c r="D1268" s="17">
        <f>VLOOKUP(A1258,'Neraca Unaudited SIMAK'!$A$2:$S$10004,10,FALSE)</f>
        <v>2500000</v>
      </c>
      <c r="E1268" s="25">
        <f>SUMIFS('Daftar Koreksi'!$H$5:$H$92,'Daftar Koreksi'!$D$5:$D$92,'0300'!A1258,'Daftar Koreksi'!$G$5:$G$92,"Aset Tak Berwujud",'Daftar Koreksi'!$H$5:$H$92,"&gt;0")</f>
        <v>0</v>
      </c>
      <c r="F1268" s="25">
        <f>SUMIFS('Daftar Koreksi'!$H$5:$H$92,'Daftar Koreksi'!$D$5:$D$92,'0300'!A1258,'Daftar Koreksi'!$G$5:$G$92,"Aset Tak Berwujud",'Daftar Koreksi'!$H$5:$H$92,"&lt;0")-SUMIFS('Daftar Koreksi'!$H$5:$H$92,'Daftar Koreksi'!$D$5:$D$92,'0300'!A1258,'Daftar Koreksi'!$G$5:$G$92,"Aset Tak Berwujud",'Daftar Koreksi'!$H$5:$H$92,"&lt;0")-SUMIFS('Daftar Koreksi'!$H$5:$H$92,'Daftar Koreksi'!$D$5:$D$92,'0300'!A1258,'Daftar Koreksi'!$G$5:$G$92,"Aset Tak Berwujud",'Daftar Koreksi'!$H$5:$H$92,"&lt;0")</f>
        <v>0</v>
      </c>
      <c r="G1268" s="17">
        <f t="shared" si="57"/>
        <v>2500000</v>
      </c>
      <c r="H1268" s="122"/>
    </row>
    <row r="1269" spans="1:8" ht="21.95" customHeight="1">
      <c r="A1269" s="14"/>
      <c r="B1269" s="14"/>
      <c r="C1269" s="16" t="s">
        <v>1173</v>
      </c>
      <c r="D1269" s="17">
        <f>VLOOKUP(A1258,'Neraca Unaudited SIMAK'!$A$2:$S$10004,11,FALSE)</f>
        <v>0</v>
      </c>
      <c r="E1269" s="25">
        <f>SUMIFS('Daftar Koreksi'!$H$5:$H$92,'Daftar Koreksi'!$D$5:$D$92,'0300'!A1258,'Daftar Koreksi'!$G$5:$G$92,"Aset Henti Guna",'Daftar Koreksi'!$H$5:$H$92,"&gt;0")</f>
        <v>0</v>
      </c>
      <c r="F1269" s="25">
        <f>SUMIFS('Daftar Koreksi'!$H$5:$H$92,'Daftar Koreksi'!$D$5:$D$92,'0300'!A1258,'Daftar Koreksi'!$G$5:$G$92,"Aset Henti Guna",'Daftar Koreksi'!$H$5:$H$92,"&lt;0")-SUMIFS('Daftar Koreksi'!$H$5:$H$92,'Daftar Koreksi'!$D$5:$D$92,'0300'!A1258,'Daftar Koreksi'!$G$5:$G$92,"Aset Henti Guna",'Daftar Koreksi'!$H$5:$H$92,"&lt;0")-SUMIFS('Daftar Koreksi'!$H$5:$H$92,'Daftar Koreksi'!$D$5:$D$92,'0300'!A1258,'Daftar Koreksi'!$G$5:$G$92,"Aset Henti Guna",'Daftar Koreksi'!$H$5:$H$92,"&lt;0")</f>
        <v>0</v>
      </c>
      <c r="G1269" s="17">
        <f t="shared" si="57"/>
        <v>0</v>
      </c>
      <c r="H1269" s="122"/>
    </row>
    <row r="1270" spans="1:8" ht="21.95" customHeight="1">
      <c r="A1270" s="14"/>
      <c r="B1270" s="14"/>
      <c r="C1270" s="18" t="s">
        <v>2093</v>
      </c>
      <c r="D1270" s="19">
        <f>VLOOKUP(A1258,'Neraca Unaudited SIMAK'!$A$2:$S$10004,12,FALSE)</f>
        <v>3178504951</v>
      </c>
      <c r="E1270" s="19">
        <f>SUM(E1261:E1269)</f>
        <v>0</v>
      </c>
      <c r="F1270" s="19">
        <f>SUM(F1261:F1269)</f>
        <v>0</v>
      </c>
      <c r="G1270" s="19">
        <f t="shared" si="57"/>
        <v>3178504951</v>
      </c>
      <c r="H1270" s="122"/>
    </row>
    <row r="1271" spans="1:8" ht="21.95" customHeight="1">
      <c r="A1271" s="14"/>
      <c r="B1271" s="14"/>
      <c r="C1271" s="16" t="s">
        <v>2087</v>
      </c>
      <c r="D1271" s="17">
        <f>VLOOKUP(A1258,'Neraca Unaudited SIMAK'!$A$2:$S$10004,13,FALSE)</f>
        <v>-1273192161</v>
      </c>
      <c r="E1271" s="25">
        <f>SUMIFS('Daftar Koreksi'!$I$5:$I$92,'Daftar Koreksi'!$D$5:$D$92,'0300'!A1258,'Daftar Koreksi'!$G$5:$G$92,"Peralatan dan mesin",'Daftar Koreksi'!$I$5:$I$92,"&gt;0")</f>
        <v>0</v>
      </c>
      <c r="F1271" s="25">
        <f>SUMIFS('Daftar Koreksi'!$I$5:$I$92,'Daftar Koreksi'!$D$5:$D$92,'0300'!A1258,'Daftar Koreksi'!$G$5:$G$92,"Peralatan dan mesin",'Daftar Koreksi'!$I$5:$I$92,"&lt;0")-SUMIFS('Daftar Koreksi'!$I$5:$I$92,'Daftar Koreksi'!$D$5:$D$92,'0300'!A1258,'Daftar Koreksi'!$G$5:$G$92,"Peralatan dan mesin",'Daftar Koreksi'!$I$5:$I$92,"&lt;0")-SUMIFS('Daftar Koreksi'!$I$5:$I$92,'Daftar Koreksi'!$D$5:$D$92,'0300'!A1258,'Daftar Koreksi'!$G$5:$G$92,"Peralatan dan mesin",'Daftar Koreksi'!$I$5:$I$92,"&lt;0")</f>
        <v>0</v>
      </c>
      <c r="G1271" s="17">
        <f t="shared" si="57"/>
        <v>-1273192161</v>
      </c>
      <c r="H1271" s="122"/>
    </row>
    <row r="1272" spans="1:8" ht="21.95" customHeight="1">
      <c r="A1272" s="14"/>
      <c r="B1272" s="14"/>
      <c r="C1272" s="16" t="s">
        <v>2088</v>
      </c>
      <c r="D1272" s="17">
        <f>VLOOKUP(A1258,'Neraca Unaudited SIMAK'!$A$2:$S$10004,14,FALSE)</f>
        <v>-230971842</v>
      </c>
      <c r="E1272" s="25">
        <f>SUMIFS('Daftar Koreksi'!$I$5:$I$92,'Daftar Koreksi'!$D$5:$D$92,'0300'!A1258,'Daftar Koreksi'!$G$5:$G$92,"Gedung dan Bangunan",'Daftar Koreksi'!$I$5:$I$92,"&gt;0")</f>
        <v>0</v>
      </c>
      <c r="F1272" s="25">
        <f>SUMIFS('Daftar Koreksi'!$I$5:$I$92,'Daftar Koreksi'!$D$5:$D$92,'0300'!A1258,'Daftar Koreksi'!$G$5:$G$92,"Gedung dan Bangunan",'Daftar Koreksi'!$I$5:$I$92,"&lt;0")-SUMIFS('Daftar Koreksi'!$I$5:$I$92,'Daftar Koreksi'!$D$5:$D$92,'0300'!A1258,'Daftar Koreksi'!$G$5:$G$92,"Gedung dan Bangunan",'Daftar Koreksi'!$I$5:$I$92,"&lt;0")-SUMIFS('Daftar Koreksi'!$I$5:$I$92,'Daftar Koreksi'!$D$5:$D$92,'0300'!A1258,'Daftar Koreksi'!$G$5:$G$92,"Gedung dan Bangunan",'Daftar Koreksi'!$I$5:$I$92,"&lt;0")</f>
        <v>0</v>
      </c>
      <c r="G1272" s="17">
        <f t="shared" si="57"/>
        <v>-230971842</v>
      </c>
      <c r="H1272" s="122"/>
    </row>
    <row r="1273" spans="1:8" ht="21.95" customHeight="1">
      <c r="A1273" s="14"/>
      <c r="B1273" s="14"/>
      <c r="C1273" s="16" t="s">
        <v>2089</v>
      </c>
      <c r="D1273" s="17">
        <f>VLOOKUP(A1258,'Neraca Unaudited SIMAK'!$A$2:$S$10004,15,FALSE)</f>
        <v>-3300000</v>
      </c>
      <c r="E1273" s="25">
        <f>SUMIFS('Daftar Koreksi'!$I$5:$I$92,'Daftar Koreksi'!$D$5:$D$92,'0300'!A1258,'Daftar Koreksi'!$G$5:$G$92,"Jalan Irigasi Jaringan",'Daftar Koreksi'!$I$5:$I$92,"&gt;0")</f>
        <v>0</v>
      </c>
      <c r="F1273" s="25">
        <f>SUMIFS('Daftar Koreksi'!$I$5:$I$92,'Daftar Koreksi'!$D$5:$D$92,'0300'!A1258,'Daftar Koreksi'!$G$5:$G$92,"Jalan Irigasi Jaringan",'Daftar Koreksi'!$I$5:$I$92,"&lt;0")-SUMIFS('Daftar Koreksi'!$I$5:$I$92,'Daftar Koreksi'!$D$5:$D$92,'0300'!A1258,'Daftar Koreksi'!$G$5:$G$92,"Jalan Irigasi Jaringan",'Daftar Koreksi'!$I$5:$I$92,"&lt;0")-SUMIFS('Daftar Koreksi'!$I$5:$I$92,'Daftar Koreksi'!$D$5:$D$92,'0300'!A1258,'Daftar Koreksi'!$G$5:$G$92,"Jalan Irigasi Jaringan",'Daftar Koreksi'!$I$5:$I$92,"&lt;0")</f>
        <v>0</v>
      </c>
      <c r="G1273" s="17">
        <f t="shared" si="57"/>
        <v>-3300000</v>
      </c>
      <c r="H1273" s="122"/>
    </row>
    <row r="1274" spans="1:8" ht="21.95" customHeight="1">
      <c r="A1274" s="14"/>
      <c r="B1274" s="14"/>
      <c r="C1274" s="16" t="s">
        <v>2090</v>
      </c>
      <c r="D1274" s="17">
        <f>VLOOKUP(A1258,'Neraca Unaudited SIMAK'!$A$2:$S$10004,16,FALSE)</f>
        <v>0</v>
      </c>
      <c r="E1274" s="25">
        <f>SUMIFS('Daftar Koreksi'!$I$5:$I$92,'Daftar Koreksi'!$D$5:$D$92,'0300'!A1258,'Daftar Koreksi'!$G$5:$G$92,"Aset Tetap Lainnya",'Daftar Koreksi'!$I$5:$I$92,"&gt;0")</f>
        <v>0</v>
      </c>
      <c r="F1274" s="25">
        <f>SUMIFS('Daftar Koreksi'!$I$5:$I$92,'Daftar Koreksi'!$D$5:$D$92,'0300'!A1258,'Daftar Koreksi'!$G$5:$G$92,"Aset Tetap Lainnya",'Daftar Koreksi'!$I$5:$I$92,"&lt;0")-SUMIFS('Daftar Koreksi'!$I$5:$I$92,'Daftar Koreksi'!$D$5:$D$92,'0300'!A1258,'Daftar Koreksi'!$G$5:$G$92,"Aset Tetap Lainnya",'Daftar Koreksi'!$I$5:$I$92,"&lt;0")-SUMIFS('Daftar Koreksi'!$I$5:$I$92,'Daftar Koreksi'!$D$5:$D$92,'0300'!A1258,'Daftar Koreksi'!$G$5:$G$92,"Aset Tetap Lainnya",'Daftar Koreksi'!$I$5:$I$92,"&lt;0")</f>
        <v>0</v>
      </c>
      <c r="G1274" s="17">
        <f t="shared" si="57"/>
        <v>0</v>
      </c>
      <c r="H1274" s="122"/>
    </row>
    <row r="1275" spans="1:8" ht="21.95" customHeight="1">
      <c r="A1275" s="14"/>
      <c r="B1275" s="14"/>
      <c r="C1275" s="16" t="s">
        <v>2020</v>
      </c>
      <c r="D1275" s="17">
        <f>VLOOKUP(A1258,'Neraca Unaudited SIMAK'!$A$2:$S$10004,17,FALSE)</f>
        <v>0</v>
      </c>
      <c r="E1275" s="25">
        <f>SUMIFS('Daftar Koreksi'!$I$5:$I$92,'Daftar Koreksi'!$D$5:$D$92,'0300'!A1258,'Daftar Koreksi'!$G$5:$G$92,"Aset Henti Guna",'Daftar Koreksi'!$I$5:$I$92,"&gt;0")</f>
        <v>0</v>
      </c>
      <c r="F1275" s="25">
        <f>SUMIFS('Daftar Koreksi'!$I$5:$I$92,'Daftar Koreksi'!$D$5:$D$92,'0300'!A1258,'Daftar Koreksi'!$G$5:$G$92,"Aset Henti Guna",'Daftar Koreksi'!$I$5:$I$92,"&lt;0")-SUMIFS('Daftar Koreksi'!$I$5:$I$92,'Daftar Koreksi'!$D$5:$D$92,'0300'!A1258,'Daftar Koreksi'!$G$5:$G$92,"Aset Henti Guna",'Daftar Koreksi'!$I$5:$I$92,"&lt;0")-SUMIFS('Daftar Koreksi'!$I$5:$I$92,'Daftar Koreksi'!$D$5:$D$92,'0300'!A1258,'Daftar Koreksi'!$G$5:$G$92,"Aset Henti Guna",'Daftar Koreksi'!$I$5:$I$92,"&lt;0")</f>
        <v>0</v>
      </c>
      <c r="G1275" s="17">
        <f t="shared" si="57"/>
        <v>0</v>
      </c>
      <c r="H1275" s="122"/>
    </row>
    <row r="1276" spans="1:8" ht="21.95" customHeight="1">
      <c r="A1276" s="14"/>
      <c r="B1276" s="14"/>
      <c r="C1276" s="18" t="s">
        <v>2094</v>
      </c>
      <c r="D1276" s="19">
        <f>SUM(D1271:D1275)</f>
        <v>-1507464003</v>
      </c>
      <c r="E1276" s="19">
        <f>SUM(E1271:E1275)</f>
        <v>0</v>
      </c>
      <c r="F1276" s="19">
        <f>SUM(F1271:F1275)</f>
        <v>0</v>
      </c>
      <c r="G1276" s="19">
        <f t="shared" si="57"/>
        <v>-1507464003</v>
      </c>
      <c r="H1276" s="122"/>
    </row>
    <row r="1277" spans="1:8" ht="21.95" customHeight="1">
      <c r="A1277" s="14"/>
      <c r="B1277" s="14"/>
      <c r="C1277" s="18" t="s">
        <v>2095</v>
      </c>
      <c r="D1277" s="19">
        <f>VLOOKUP(A1258,'Neraca Unaudited SIMAK'!$A$2:$S$10004,18,FALSE)</f>
        <v>1671040948</v>
      </c>
      <c r="E1277" s="19">
        <f>E1276+E1270</f>
        <v>0</v>
      </c>
      <c r="F1277" s="19">
        <f>F1276+F1270</f>
        <v>0</v>
      </c>
      <c r="G1277" s="19">
        <f t="shared" si="57"/>
        <v>1671040948</v>
      </c>
      <c r="H1277" s="122"/>
    </row>
    <row r="1278" spans="1:8" ht="21.95" customHeight="1">
      <c r="A1278" s="14"/>
      <c r="B1278" s="14"/>
      <c r="C1278" s="16" t="s">
        <v>2091</v>
      </c>
      <c r="D1278" s="17">
        <f>VLOOKUP(A1258,'Neraca Unaudited SIMAK'!$A$2:$S$10004,19,FALSE)</f>
        <v>0</v>
      </c>
      <c r="E1278" s="25"/>
      <c r="F1278" s="25"/>
      <c r="G1278" s="17">
        <f t="shared" si="57"/>
        <v>0</v>
      </c>
      <c r="H1278" s="123"/>
    </row>
    <row r="1280" spans="1:8" ht="19.5" customHeight="1">
      <c r="A1280" s="11" t="str">
        <f>O59</f>
        <v>005010300401086000KD</v>
      </c>
      <c r="B1280" s="11" t="str">
        <f>P59</f>
        <v>PA. Cilacap</v>
      </c>
      <c r="C1280" s="12" t="str">
        <f>A1280&amp;" "&amp;B1280</f>
        <v>005010300401086000KD PA. Cilacap</v>
      </c>
      <c r="D1280" s="13"/>
      <c r="E1280" s="13"/>
      <c r="F1280" s="13"/>
      <c r="G1280" s="13"/>
      <c r="H1280" s="11"/>
    </row>
    <row r="1281" spans="1:8" ht="21.95" customHeight="1">
      <c r="A1281" s="14"/>
      <c r="B1281" s="14"/>
      <c r="C1281" s="124" t="s">
        <v>1982</v>
      </c>
      <c r="D1281" s="126" t="s">
        <v>1983</v>
      </c>
      <c r="E1281" s="132" t="s">
        <v>1984</v>
      </c>
      <c r="F1281" s="132"/>
      <c r="G1281" s="126" t="s">
        <v>1987</v>
      </c>
      <c r="H1281" s="130" t="s">
        <v>1175</v>
      </c>
    </row>
    <row r="1282" spans="1:8" ht="21.95" customHeight="1">
      <c r="A1282" s="14"/>
      <c r="B1282" s="14"/>
      <c r="C1282" s="125"/>
      <c r="D1282" s="127"/>
      <c r="E1282" s="26" t="s">
        <v>1985</v>
      </c>
      <c r="F1282" s="26" t="s">
        <v>1986</v>
      </c>
      <c r="G1282" s="127"/>
      <c r="H1282" s="131"/>
    </row>
    <row r="1283" spans="1:8" ht="21.95" customHeight="1">
      <c r="A1283" s="14"/>
      <c r="B1283" s="14"/>
      <c r="C1283" s="16" t="s">
        <v>1165</v>
      </c>
      <c r="D1283" s="17">
        <f>VLOOKUP(A1280,'Neraca Unaudited SIMAK'!$A$2:$S$10004,3,FALSE)</f>
        <v>11831300</v>
      </c>
      <c r="E1283" s="25">
        <f>SUMIFS('Daftar Koreksi'!$H$5:$H$92,'Daftar Koreksi'!$D$5:$D$92,'0300'!A1280,'Daftar Koreksi'!$G$5:$G$92,"Persediaan",'Daftar Koreksi'!$H$5:$H$92,"&gt;0")</f>
        <v>0</v>
      </c>
      <c r="F1283" s="25">
        <f>SUMIFS('Daftar Koreksi'!$H$5:$H$92,'Daftar Koreksi'!$D$5:$D$92,'0300'!A1280,'Daftar Koreksi'!$G$5:$G$92,"Persediaan",'Daftar Koreksi'!$H$5:$H$92,"&lt;0")-SUMIFS('Daftar Koreksi'!$H$5:$H$92,'Daftar Koreksi'!$D$5:$D$92,'0300'!A1280,'Daftar Koreksi'!$G$5:$G$92,"Persediaan",'Daftar Koreksi'!$H$5:$H$92,"&lt;0")-SUMIFS('Daftar Koreksi'!$H$5:$H$92,'Daftar Koreksi'!$D$5:$D$92,'0300'!A1280,'Daftar Koreksi'!$G$5:$G$92,"Persediaan",'Daftar Koreksi'!$H$5:$H$92,"&lt;0")</f>
        <v>0</v>
      </c>
      <c r="G1283" s="17">
        <f>D1283+E1283-F1283</f>
        <v>11831300</v>
      </c>
      <c r="H1283" s="121" t="str">
        <f>IF(ISNA(VLOOKUP(A1280,'Mutasi Neraca'!$A$3:$S$914,19,FALSE)),"-",VLOOKUP(A1280,'Mutasi Neraca'!$A$3:$S$914,19,FALSE))</f>
        <v>-</v>
      </c>
    </row>
    <row r="1284" spans="1:8" ht="21.95" customHeight="1">
      <c r="A1284" s="14"/>
      <c r="B1284" s="14"/>
      <c r="C1284" s="16" t="s">
        <v>1166</v>
      </c>
      <c r="D1284" s="17">
        <f>VLOOKUP(A1280,'Neraca Unaudited SIMAK'!$A$2:$S$10004,4,FALSE)</f>
        <v>4301093500</v>
      </c>
      <c r="E1284" s="25">
        <f>SUMIFS('Daftar Koreksi'!$H$5:$H$92,'Daftar Koreksi'!$D$5:$D$92,'0300'!A1280,'Daftar Koreksi'!$G$5:$G$92,"Tanah",'Daftar Koreksi'!$H$5:$H$92,"&gt;0")</f>
        <v>0</v>
      </c>
      <c r="F1284" s="25">
        <f>SUMIFS('Daftar Koreksi'!$H$5:$H$92,'Daftar Koreksi'!$D$5:$D$92,'0300'!A1280,'Daftar Koreksi'!$G$5:$G$92,"Tanah",'Daftar Koreksi'!$H$5:$H$92,"&lt;0")-SUMIFS('Daftar Koreksi'!$H$5:$H$92,'Daftar Koreksi'!$D$5:$D$92,'0300'!A1280,'Daftar Koreksi'!$G$5:$G$92,"Tanah",'Daftar Koreksi'!$H$5:$H$92,"&lt;0")-SUMIFS('Daftar Koreksi'!$H$5:$H$92,'Daftar Koreksi'!$D$5:$D$92,'0300'!A1280,'Daftar Koreksi'!$G$5:$G$92,"Tanah",'Daftar Koreksi'!$H$5:$H$92,"&lt;0")</f>
        <v>0</v>
      </c>
      <c r="G1284" s="17">
        <f t="shared" ref="G1284:G1300" si="58">D1284+E1284-F1284</f>
        <v>4301093500</v>
      </c>
      <c r="H1284" s="122"/>
    </row>
    <row r="1285" spans="1:8" ht="21.95" customHeight="1">
      <c r="A1285" s="14"/>
      <c r="B1285" s="14"/>
      <c r="C1285" s="16" t="s">
        <v>1167</v>
      </c>
      <c r="D1285" s="17">
        <f>VLOOKUP(A1280,'Neraca Unaudited SIMAK'!$A$2:$S$10004,5,FALSE)</f>
        <v>1240943118</v>
      </c>
      <c r="E1285" s="25">
        <f>SUMIFS('Daftar Koreksi'!$H$5:$H$92,'Daftar Koreksi'!$D$5:$D$92,'0300'!A1280,'Daftar Koreksi'!$G$5:$G$92,"Peralatan dan mesin",'Daftar Koreksi'!$H$5:$H$92,"&gt;0")</f>
        <v>0</v>
      </c>
      <c r="F1285" s="25">
        <f>SUMIFS('Daftar Koreksi'!$H$5:$H$92,'Daftar Koreksi'!$D$5:$D$92,'0300'!A1280,'Daftar Koreksi'!$G$5:$G$92,"Peralatan dan mesin",'Daftar Koreksi'!$H$5:$H$92,"&lt;0")-SUMIFS('Daftar Koreksi'!$H$5:$H$92,'Daftar Koreksi'!$D$5:$D$92,'0300'!A1280,'Daftar Koreksi'!$G$5:$G$92,"Peralatan dan mesin",'Daftar Koreksi'!$H$5:$H$92,"&lt;0")-SUMIFS('Daftar Koreksi'!$H$5:$H$92,'Daftar Koreksi'!$D$5:$D$92,'0300'!A1280,'Daftar Koreksi'!$G$5:$G$92,"Peralatan dan mesin",'Daftar Koreksi'!$H$5:$H$92,"&lt;0")</f>
        <v>0</v>
      </c>
      <c r="G1285" s="17">
        <f t="shared" si="58"/>
        <v>1240943118</v>
      </c>
      <c r="H1285" s="122"/>
    </row>
    <row r="1286" spans="1:8" ht="21.95" customHeight="1">
      <c r="A1286" s="14"/>
      <c r="B1286" s="14"/>
      <c r="C1286" s="16" t="s">
        <v>1168</v>
      </c>
      <c r="D1286" s="17">
        <f>VLOOKUP(A1280,'Neraca Unaudited SIMAK'!$A$2:$S$10004,6,FALSE)</f>
        <v>5829397850</v>
      </c>
      <c r="E1286" s="25">
        <f>SUMIFS('Daftar Koreksi'!$H$5:$H$92,'Daftar Koreksi'!$D$5:$D$92,'0300'!A1280,'Daftar Koreksi'!$G$5:$G$92,"Gedung dan Bangunan",'Daftar Koreksi'!$H$5:$H$92,"&gt;0")</f>
        <v>0</v>
      </c>
      <c r="F1286" s="25">
        <f>SUMIFS('Daftar Koreksi'!$H$5:$H$92,'Daftar Koreksi'!$D$5:$D$92,'0300'!A1280,'Daftar Koreksi'!$G$5:$G$92,"Gedung dan Bangunan",'Daftar Koreksi'!$H$5:$H$92,"&lt;0")-SUMIFS('Daftar Koreksi'!$H$5:$H$92,'Daftar Koreksi'!$D$5:$D$92,'0300'!A1280,'Daftar Koreksi'!$G$5:$G$92,"Gedung dan Bangunan",'Daftar Koreksi'!$H$5:$H$92,"&lt;0")-SUMIFS('Daftar Koreksi'!$H$5:$H$92,'Daftar Koreksi'!$D$5:$D$92,'0300'!A1280,'Daftar Koreksi'!$G$5:$G$92,"Gedung dan Bangunan",'Daftar Koreksi'!$H$5:$H$92,"&lt;0")</f>
        <v>0</v>
      </c>
      <c r="G1286" s="17">
        <f t="shared" si="58"/>
        <v>5829397850</v>
      </c>
      <c r="H1286" s="122"/>
    </row>
    <row r="1287" spans="1:8" ht="21.95" customHeight="1">
      <c r="A1287" s="14"/>
      <c r="B1287" s="14"/>
      <c r="C1287" s="16" t="s">
        <v>1169</v>
      </c>
      <c r="D1287" s="17">
        <f>VLOOKUP(A1280,'Neraca Unaudited SIMAK'!$A$2:$S$10004,7,FALSE)</f>
        <v>0</v>
      </c>
      <c r="E1287" s="25">
        <f>SUMIFS('Daftar Koreksi'!$H$5:$H$92,'Daftar Koreksi'!$D$5:$D$92,'0300'!A1280,'Daftar Koreksi'!$G$5:$G$92,"Jalan Irigasi Jaringan",'Daftar Koreksi'!$H$5:$H$92,"&gt;0")</f>
        <v>0</v>
      </c>
      <c r="F1287" s="25">
        <f>SUMIFS('Daftar Koreksi'!$H$5:$H$92,'Daftar Koreksi'!$D$5:$D$92,'0300'!A1280,'Daftar Koreksi'!$G$5:$G$92,"Jalan Irigasi Jaringan",'Daftar Koreksi'!$H$5:$H$92,"&lt;0")-SUMIFS('Daftar Koreksi'!$H$5:$H$92,'Daftar Koreksi'!$D$5:$D$92,'0300'!A1280,'Daftar Koreksi'!$G$5:$G$92,"Jalan Irigasi Jaringan",'Daftar Koreksi'!$H$5:$H$92,"&lt;0")-SUMIFS('Daftar Koreksi'!$H$5:$H$92,'Daftar Koreksi'!$D$5:$D$92,'0300'!A1280,'Daftar Koreksi'!$G$5:$G$92,"Jalan Irigasi Jaringan",'Daftar Koreksi'!$H$5:$H$92,"&lt;0")</f>
        <v>0</v>
      </c>
      <c r="G1287" s="17">
        <f t="shared" si="58"/>
        <v>0</v>
      </c>
      <c r="H1287" s="122"/>
    </row>
    <row r="1288" spans="1:8" ht="21.95" customHeight="1">
      <c r="A1288" s="14"/>
      <c r="B1288" s="14"/>
      <c r="C1288" s="16" t="s">
        <v>1170</v>
      </c>
      <c r="D1288" s="17">
        <f>VLOOKUP(A1280,'Neraca Unaudited SIMAK'!$A$2:$S$10004,8,FALSE)</f>
        <v>3236694</v>
      </c>
      <c r="E1288" s="25">
        <f>SUMIFS('Daftar Koreksi'!$H$5:$H$92,'Daftar Koreksi'!$D$5:$D$92,'0300'!A1280,'Daftar Koreksi'!$G$5:$G$92,"Aset Tetap Lainnya",'Daftar Koreksi'!$H$5:$H$92,"&gt;0")</f>
        <v>0</v>
      </c>
      <c r="F1288" s="25">
        <f>SUMIFS('Daftar Koreksi'!$H$5:$H$92,'Daftar Koreksi'!$D$5:$D$92,'0300'!A1280,'Daftar Koreksi'!$G$5:$G$92,"Aset Tetap Lainnya",'Daftar Koreksi'!$H$5:$H$92,"&lt;0")-SUMIFS('Daftar Koreksi'!$H$5:$H$92,'Daftar Koreksi'!$D$5:$D$92,'0300'!A1280,'Daftar Koreksi'!$G$5:$G$92,"Aset Tetap Lainnya",'Daftar Koreksi'!$H$5:$H$92,"&lt;0")-SUMIFS('Daftar Koreksi'!$H$5:$H$92,'Daftar Koreksi'!$D$5:$D$92,'0300'!A1280,'Daftar Koreksi'!$G$5:$G$92,"Aset Tetap Lainnya",'Daftar Koreksi'!$H$5:$H$92,"&lt;0")</f>
        <v>0</v>
      </c>
      <c r="G1288" s="17">
        <f t="shared" si="58"/>
        <v>3236694</v>
      </c>
      <c r="H1288" s="122"/>
    </row>
    <row r="1289" spans="1:8" ht="21.95" customHeight="1">
      <c r="A1289" s="14"/>
      <c r="B1289" s="14"/>
      <c r="C1289" s="16" t="s">
        <v>1171</v>
      </c>
      <c r="D1289" s="17">
        <f>VLOOKUP(A1280,'Neraca Unaudited SIMAK'!$A$2:$S$10004,9,FALSE)</f>
        <v>0</v>
      </c>
      <c r="E1289" s="25">
        <f>SUMIFS('Daftar Koreksi'!$H$5:$H$92,'Daftar Koreksi'!$D$5:$D$92,'0300'!A1280,'Daftar Koreksi'!$G$5:$G$92,"Kontruksi Dalam Pengerjaan",'Daftar Koreksi'!$H$5:$H$92,"&gt;0")</f>
        <v>0</v>
      </c>
      <c r="F1289" s="25">
        <f>SUMIFS('Daftar Koreksi'!$H$5:$H$92,'Daftar Koreksi'!$D$5:$D$92,'0300'!A1280,'Daftar Koreksi'!$G$5:$G$92,"Kontruksi Dalam Pengerjaan",'Daftar Koreksi'!$H$5:$H$92,"&lt;0")-SUMIFS('Daftar Koreksi'!$H$5:$H$92,'Daftar Koreksi'!$D$5:$D$92,'0300'!A1280,'Daftar Koreksi'!$G$5:$G$92,"Kontruksi Dalam Pengerjaan",'Daftar Koreksi'!$H$5:$H$92,"&lt;0")-SUMIFS('Daftar Koreksi'!$H$5:$H$92,'Daftar Koreksi'!$D$5:$D$92,'0300'!A1280,'Daftar Koreksi'!$G$5:$G$92,"Kontruksi Dalam Pengerjaan",'Daftar Koreksi'!$H$5:$H$92,"&lt;0")</f>
        <v>0</v>
      </c>
      <c r="G1289" s="17">
        <f t="shared" si="58"/>
        <v>0</v>
      </c>
      <c r="H1289" s="122"/>
    </row>
    <row r="1290" spans="1:8" ht="21.95" customHeight="1">
      <c r="A1290" s="14"/>
      <c r="B1290" s="14"/>
      <c r="C1290" s="16" t="s">
        <v>1172</v>
      </c>
      <c r="D1290" s="17">
        <f>VLOOKUP(A1280,'Neraca Unaudited SIMAK'!$A$2:$S$10004,10,FALSE)</f>
        <v>0</v>
      </c>
      <c r="E1290" s="25">
        <f>SUMIFS('Daftar Koreksi'!$H$5:$H$92,'Daftar Koreksi'!$D$5:$D$92,'0300'!A1280,'Daftar Koreksi'!$G$5:$G$92,"Aset Tak Berwujud",'Daftar Koreksi'!$H$5:$H$92,"&gt;0")</f>
        <v>0</v>
      </c>
      <c r="F1290" s="25">
        <f>SUMIFS('Daftar Koreksi'!$H$5:$H$92,'Daftar Koreksi'!$D$5:$D$92,'0300'!A1280,'Daftar Koreksi'!$G$5:$G$92,"Aset Tak Berwujud",'Daftar Koreksi'!$H$5:$H$92,"&lt;0")-SUMIFS('Daftar Koreksi'!$H$5:$H$92,'Daftar Koreksi'!$D$5:$D$92,'0300'!A1280,'Daftar Koreksi'!$G$5:$G$92,"Aset Tak Berwujud",'Daftar Koreksi'!$H$5:$H$92,"&lt;0")-SUMIFS('Daftar Koreksi'!$H$5:$H$92,'Daftar Koreksi'!$D$5:$D$92,'0300'!A1280,'Daftar Koreksi'!$G$5:$G$92,"Aset Tak Berwujud",'Daftar Koreksi'!$H$5:$H$92,"&lt;0")</f>
        <v>0</v>
      </c>
      <c r="G1290" s="17">
        <f t="shared" si="58"/>
        <v>0</v>
      </c>
      <c r="H1290" s="122"/>
    </row>
    <row r="1291" spans="1:8" ht="21.95" customHeight="1">
      <c r="A1291" s="14"/>
      <c r="B1291" s="14"/>
      <c r="C1291" s="16" t="s">
        <v>1173</v>
      </c>
      <c r="D1291" s="17">
        <f>VLOOKUP(A1280,'Neraca Unaudited SIMAK'!$A$2:$S$10004,11,FALSE)</f>
        <v>0</v>
      </c>
      <c r="E1291" s="25">
        <f>SUMIFS('Daftar Koreksi'!$H$5:$H$92,'Daftar Koreksi'!$D$5:$D$92,'0300'!A1280,'Daftar Koreksi'!$G$5:$G$92,"Aset Henti Guna",'Daftar Koreksi'!$H$5:$H$92,"&gt;0")</f>
        <v>0</v>
      </c>
      <c r="F1291" s="25">
        <f>SUMIFS('Daftar Koreksi'!$H$5:$H$92,'Daftar Koreksi'!$D$5:$D$92,'0300'!A1280,'Daftar Koreksi'!$G$5:$G$92,"Aset Henti Guna",'Daftar Koreksi'!$H$5:$H$92,"&lt;0")-SUMIFS('Daftar Koreksi'!$H$5:$H$92,'Daftar Koreksi'!$D$5:$D$92,'0300'!A1280,'Daftar Koreksi'!$G$5:$G$92,"Aset Henti Guna",'Daftar Koreksi'!$H$5:$H$92,"&lt;0")-SUMIFS('Daftar Koreksi'!$H$5:$H$92,'Daftar Koreksi'!$D$5:$D$92,'0300'!A1280,'Daftar Koreksi'!$G$5:$G$92,"Aset Henti Guna",'Daftar Koreksi'!$H$5:$H$92,"&lt;0")</f>
        <v>0</v>
      </c>
      <c r="G1291" s="17">
        <f t="shared" si="58"/>
        <v>0</v>
      </c>
      <c r="H1291" s="122"/>
    </row>
    <row r="1292" spans="1:8" ht="21.95" customHeight="1">
      <c r="A1292" s="14"/>
      <c r="B1292" s="14"/>
      <c r="C1292" s="18" t="s">
        <v>2093</v>
      </c>
      <c r="D1292" s="19">
        <f>VLOOKUP(A1280,'Neraca Unaudited SIMAK'!$A$2:$S$10004,12,FALSE)</f>
        <v>11386502462</v>
      </c>
      <c r="E1292" s="19">
        <f>SUM(E1283:E1291)</f>
        <v>0</v>
      </c>
      <c r="F1292" s="19">
        <f>SUM(F1283:F1291)</f>
        <v>0</v>
      </c>
      <c r="G1292" s="19">
        <f t="shared" si="58"/>
        <v>11386502462</v>
      </c>
      <c r="H1292" s="122"/>
    </row>
    <row r="1293" spans="1:8" ht="21.95" customHeight="1">
      <c r="A1293" s="14"/>
      <c r="B1293" s="14"/>
      <c r="C1293" s="16" t="s">
        <v>2087</v>
      </c>
      <c r="D1293" s="17">
        <f>VLOOKUP(A1280,'Neraca Unaudited SIMAK'!$A$2:$S$10004,13,FALSE)</f>
        <v>-946271060</v>
      </c>
      <c r="E1293" s="25">
        <f>SUMIFS('Daftar Koreksi'!$I$5:$I$92,'Daftar Koreksi'!$D$5:$D$92,'0300'!A1280,'Daftar Koreksi'!$G$5:$G$92,"Peralatan dan mesin",'Daftar Koreksi'!$I$5:$I$92,"&gt;0")</f>
        <v>0</v>
      </c>
      <c r="F1293" s="25">
        <f>SUMIFS('Daftar Koreksi'!$I$5:$I$92,'Daftar Koreksi'!$D$5:$D$92,'0300'!A1280,'Daftar Koreksi'!$G$5:$G$92,"Peralatan dan mesin",'Daftar Koreksi'!$I$5:$I$92,"&lt;0")-SUMIFS('Daftar Koreksi'!$I$5:$I$92,'Daftar Koreksi'!$D$5:$D$92,'0300'!A1280,'Daftar Koreksi'!$G$5:$G$92,"Peralatan dan mesin",'Daftar Koreksi'!$I$5:$I$92,"&lt;0")-SUMIFS('Daftar Koreksi'!$I$5:$I$92,'Daftar Koreksi'!$D$5:$D$92,'0300'!A1280,'Daftar Koreksi'!$G$5:$G$92,"Peralatan dan mesin",'Daftar Koreksi'!$I$5:$I$92,"&lt;0")</f>
        <v>0</v>
      </c>
      <c r="G1293" s="17">
        <f t="shared" si="58"/>
        <v>-946271060</v>
      </c>
      <c r="H1293" s="122"/>
    </row>
    <row r="1294" spans="1:8" ht="21.95" customHeight="1">
      <c r="A1294" s="14"/>
      <c r="B1294" s="14"/>
      <c r="C1294" s="16" t="s">
        <v>2088</v>
      </c>
      <c r="D1294" s="17">
        <f>VLOOKUP(A1280,'Neraca Unaudited SIMAK'!$A$2:$S$10004,14,FALSE)</f>
        <v>-369769547</v>
      </c>
      <c r="E1294" s="25">
        <f>SUMIFS('Daftar Koreksi'!$I$5:$I$92,'Daftar Koreksi'!$D$5:$D$92,'0300'!A1280,'Daftar Koreksi'!$G$5:$G$92,"Gedung dan Bangunan",'Daftar Koreksi'!$I$5:$I$92,"&gt;0")</f>
        <v>0</v>
      </c>
      <c r="F1294" s="25">
        <f>SUMIFS('Daftar Koreksi'!$I$5:$I$92,'Daftar Koreksi'!$D$5:$D$92,'0300'!A1280,'Daftar Koreksi'!$G$5:$G$92,"Gedung dan Bangunan",'Daftar Koreksi'!$I$5:$I$92,"&lt;0")-SUMIFS('Daftar Koreksi'!$I$5:$I$92,'Daftar Koreksi'!$D$5:$D$92,'0300'!A1280,'Daftar Koreksi'!$G$5:$G$92,"Gedung dan Bangunan",'Daftar Koreksi'!$I$5:$I$92,"&lt;0")-SUMIFS('Daftar Koreksi'!$I$5:$I$92,'Daftar Koreksi'!$D$5:$D$92,'0300'!A1280,'Daftar Koreksi'!$G$5:$G$92,"Gedung dan Bangunan",'Daftar Koreksi'!$I$5:$I$92,"&lt;0")</f>
        <v>0</v>
      </c>
      <c r="G1294" s="17">
        <f t="shared" si="58"/>
        <v>-369769547</v>
      </c>
      <c r="H1294" s="122"/>
    </row>
    <row r="1295" spans="1:8" ht="21.95" customHeight="1">
      <c r="A1295" s="14"/>
      <c r="B1295" s="14"/>
      <c r="C1295" s="16" t="s">
        <v>2089</v>
      </c>
      <c r="D1295" s="17">
        <f>VLOOKUP(A1280,'Neraca Unaudited SIMAK'!$A$2:$S$10004,15,FALSE)</f>
        <v>0</v>
      </c>
      <c r="E1295" s="25">
        <f>SUMIFS('Daftar Koreksi'!$I$5:$I$92,'Daftar Koreksi'!$D$5:$D$92,'0300'!A1280,'Daftar Koreksi'!$G$5:$G$92,"Jalan Irigasi Jaringan",'Daftar Koreksi'!$I$5:$I$92,"&gt;0")</f>
        <v>0</v>
      </c>
      <c r="F1295" s="25">
        <f>SUMIFS('Daftar Koreksi'!$I$5:$I$92,'Daftar Koreksi'!$D$5:$D$92,'0300'!A1280,'Daftar Koreksi'!$G$5:$G$92,"Jalan Irigasi Jaringan",'Daftar Koreksi'!$I$5:$I$92,"&lt;0")-SUMIFS('Daftar Koreksi'!$I$5:$I$92,'Daftar Koreksi'!$D$5:$D$92,'0300'!A1280,'Daftar Koreksi'!$G$5:$G$92,"Jalan Irigasi Jaringan",'Daftar Koreksi'!$I$5:$I$92,"&lt;0")-SUMIFS('Daftar Koreksi'!$I$5:$I$92,'Daftar Koreksi'!$D$5:$D$92,'0300'!A1280,'Daftar Koreksi'!$G$5:$G$92,"Jalan Irigasi Jaringan",'Daftar Koreksi'!$I$5:$I$92,"&lt;0")</f>
        <v>0</v>
      </c>
      <c r="G1295" s="17">
        <f t="shared" si="58"/>
        <v>0</v>
      </c>
      <c r="H1295" s="122"/>
    </row>
    <row r="1296" spans="1:8" ht="21.95" customHeight="1">
      <c r="A1296" s="14"/>
      <c r="B1296" s="14"/>
      <c r="C1296" s="16" t="s">
        <v>2090</v>
      </c>
      <c r="D1296" s="17">
        <f>VLOOKUP(A1280,'Neraca Unaudited SIMAK'!$A$2:$S$10004,16,FALSE)</f>
        <v>0</v>
      </c>
      <c r="E1296" s="25">
        <f>SUMIFS('Daftar Koreksi'!$I$5:$I$92,'Daftar Koreksi'!$D$5:$D$92,'0300'!A1280,'Daftar Koreksi'!$G$5:$G$92,"Aset Tetap Lainnya",'Daftar Koreksi'!$I$5:$I$92,"&gt;0")</f>
        <v>0</v>
      </c>
      <c r="F1296" s="25">
        <f>SUMIFS('Daftar Koreksi'!$I$5:$I$92,'Daftar Koreksi'!$D$5:$D$92,'0300'!A1280,'Daftar Koreksi'!$G$5:$G$92,"Aset Tetap Lainnya",'Daftar Koreksi'!$I$5:$I$92,"&lt;0")-SUMIFS('Daftar Koreksi'!$I$5:$I$92,'Daftar Koreksi'!$D$5:$D$92,'0300'!A1280,'Daftar Koreksi'!$G$5:$G$92,"Aset Tetap Lainnya",'Daftar Koreksi'!$I$5:$I$92,"&lt;0")-SUMIFS('Daftar Koreksi'!$I$5:$I$92,'Daftar Koreksi'!$D$5:$D$92,'0300'!A1280,'Daftar Koreksi'!$G$5:$G$92,"Aset Tetap Lainnya",'Daftar Koreksi'!$I$5:$I$92,"&lt;0")</f>
        <v>0</v>
      </c>
      <c r="G1296" s="17">
        <f t="shared" si="58"/>
        <v>0</v>
      </c>
      <c r="H1296" s="122"/>
    </row>
    <row r="1297" spans="1:8" ht="21.95" customHeight="1">
      <c r="A1297" s="14"/>
      <c r="B1297" s="14"/>
      <c r="C1297" s="16" t="s">
        <v>2020</v>
      </c>
      <c r="D1297" s="17">
        <f>VLOOKUP(A1280,'Neraca Unaudited SIMAK'!$A$2:$S$10004,17,FALSE)</f>
        <v>0</v>
      </c>
      <c r="E1297" s="25">
        <f>SUMIFS('Daftar Koreksi'!$I$5:$I$92,'Daftar Koreksi'!$D$5:$D$92,'0300'!A1280,'Daftar Koreksi'!$G$5:$G$92,"Aset Henti Guna",'Daftar Koreksi'!$I$5:$I$92,"&gt;0")</f>
        <v>0</v>
      </c>
      <c r="F1297" s="25">
        <f>SUMIFS('Daftar Koreksi'!$I$5:$I$92,'Daftar Koreksi'!$D$5:$D$92,'0300'!A1280,'Daftar Koreksi'!$G$5:$G$92,"Aset Henti Guna",'Daftar Koreksi'!$I$5:$I$92,"&lt;0")-SUMIFS('Daftar Koreksi'!$I$5:$I$92,'Daftar Koreksi'!$D$5:$D$92,'0300'!A1280,'Daftar Koreksi'!$G$5:$G$92,"Aset Henti Guna",'Daftar Koreksi'!$I$5:$I$92,"&lt;0")-SUMIFS('Daftar Koreksi'!$I$5:$I$92,'Daftar Koreksi'!$D$5:$D$92,'0300'!A1280,'Daftar Koreksi'!$G$5:$G$92,"Aset Henti Guna",'Daftar Koreksi'!$I$5:$I$92,"&lt;0")</f>
        <v>0</v>
      </c>
      <c r="G1297" s="17">
        <f t="shared" si="58"/>
        <v>0</v>
      </c>
      <c r="H1297" s="122"/>
    </row>
    <row r="1298" spans="1:8" ht="21.95" customHeight="1">
      <c r="A1298" s="14"/>
      <c r="B1298" s="14"/>
      <c r="C1298" s="18" t="s">
        <v>2094</v>
      </c>
      <c r="D1298" s="19">
        <f>SUM(D1293:D1297)</f>
        <v>-1316040607</v>
      </c>
      <c r="E1298" s="19">
        <f>SUM(E1293:E1297)</f>
        <v>0</v>
      </c>
      <c r="F1298" s="19">
        <f>SUM(F1293:F1297)</f>
        <v>0</v>
      </c>
      <c r="G1298" s="19">
        <f t="shared" si="58"/>
        <v>-1316040607</v>
      </c>
      <c r="H1298" s="122"/>
    </row>
    <row r="1299" spans="1:8" ht="21.95" customHeight="1">
      <c r="A1299" s="14"/>
      <c r="B1299" s="14"/>
      <c r="C1299" s="18" t="s">
        <v>2095</v>
      </c>
      <c r="D1299" s="19">
        <f>VLOOKUP(A1280,'Neraca Unaudited SIMAK'!$A$2:$S$10004,18,FALSE)</f>
        <v>10070461855</v>
      </c>
      <c r="E1299" s="19">
        <f>E1298+E1292</f>
        <v>0</v>
      </c>
      <c r="F1299" s="19">
        <f>F1298+F1292</f>
        <v>0</v>
      </c>
      <c r="G1299" s="19">
        <f t="shared" si="58"/>
        <v>10070461855</v>
      </c>
      <c r="H1299" s="122"/>
    </row>
    <row r="1300" spans="1:8" ht="21.95" customHeight="1">
      <c r="A1300" s="14"/>
      <c r="B1300" s="14"/>
      <c r="C1300" s="16" t="s">
        <v>2091</v>
      </c>
      <c r="D1300" s="17">
        <f>VLOOKUP(A1280,'Neraca Unaudited SIMAK'!$A$2:$S$10004,19,FALSE)</f>
        <v>0</v>
      </c>
      <c r="E1300" s="25"/>
      <c r="F1300" s="25"/>
      <c r="G1300" s="17">
        <f t="shared" si="58"/>
        <v>0</v>
      </c>
      <c r="H1300" s="123"/>
    </row>
    <row r="1302" spans="1:8" ht="19.5" customHeight="1">
      <c r="A1302" s="11" t="str">
        <f>O60</f>
        <v>005010300401092000KD</v>
      </c>
      <c r="B1302" s="11" t="str">
        <f>P60</f>
        <v>PA. Purbalingga</v>
      </c>
      <c r="C1302" s="12" t="str">
        <f>A1302&amp;" "&amp;B1302</f>
        <v>005010300401092000KD PA. Purbalingga</v>
      </c>
      <c r="D1302" s="13"/>
      <c r="E1302" s="13"/>
      <c r="F1302" s="13"/>
      <c r="G1302" s="13"/>
      <c r="H1302" s="11"/>
    </row>
    <row r="1303" spans="1:8" ht="21.95" customHeight="1">
      <c r="A1303" s="14"/>
      <c r="B1303" s="14"/>
      <c r="C1303" s="124" t="s">
        <v>1982</v>
      </c>
      <c r="D1303" s="126" t="s">
        <v>1983</v>
      </c>
      <c r="E1303" s="132" t="s">
        <v>1984</v>
      </c>
      <c r="F1303" s="132"/>
      <c r="G1303" s="126" t="s">
        <v>1987</v>
      </c>
      <c r="H1303" s="130" t="s">
        <v>1175</v>
      </c>
    </row>
    <row r="1304" spans="1:8" ht="21.95" customHeight="1">
      <c r="A1304" s="14"/>
      <c r="B1304" s="14"/>
      <c r="C1304" s="125"/>
      <c r="D1304" s="127"/>
      <c r="E1304" s="26" t="s">
        <v>1985</v>
      </c>
      <c r="F1304" s="26" t="s">
        <v>1986</v>
      </c>
      <c r="G1304" s="127"/>
      <c r="H1304" s="131"/>
    </row>
    <row r="1305" spans="1:8" ht="21.95" customHeight="1">
      <c r="A1305" s="14"/>
      <c r="B1305" s="14"/>
      <c r="C1305" s="16" t="s">
        <v>1165</v>
      </c>
      <c r="D1305" s="17">
        <f>VLOOKUP(A1302,'Neraca Unaudited SIMAK'!$A$2:$S$10004,3,FALSE)</f>
        <v>9206550</v>
      </c>
      <c r="E1305" s="25">
        <f>SUMIFS('Daftar Koreksi'!$H$5:$H$92,'Daftar Koreksi'!$D$5:$D$92,'0300'!A1302,'Daftar Koreksi'!$G$5:$G$92,"Persediaan",'Daftar Koreksi'!$H$5:$H$92,"&gt;0")</f>
        <v>0</v>
      </c>
      <c r="F1305" s="25">
        <f>SUMIFS('Daftar Koreksi'!$H$5:$H$92,'Daftar Koreksi'!$D$5:$D$92,'0300'!A1302,'Daftar Koreksi'!$G$5:$G$92,"Persediaan",'Daftar Koreksi'!$H$5:$H$92,"&lt;0")-SUMIFS('Daftar Koreksi'!$H$5:$H$92,'Daftar Koreksi'!$D$5:$D$92,'0300'!A1302,'Daftar Koreksi'!$G$5:$G$92,"Persediaan",'Daftar Koreksi'!$H$5:$H$92,"&lt;0")-SUMIFS('Daftar Koreksi'!$H$5:$H$92,'Daftar Koreksi'!$D$5:$D$92,'0300'!A1302,'Daftar Koreksi'!$G$5:$G$92,"Persediaan",'Daftar Koreksi'!$H$5:$H$92,"&lt;0")</f>
        <v>0</v>
      </c>
      <c r="G1305" s="17">
        <f>D1305+E1305-F1305</f>
        <v>9206550</v>
      </c>
      <c r="H1305" s="121" t="str">
        <f>IF(ISNA(VLOOKUP(A1302,'Mutasi Neraca'!$A$3:$S$914,19,FALSE)),"-",VLOOKUP(A1302,'Mutasi Neraca'!$A$3:$S$914,19,FALSE))</f>
        <v>-</v>
      </c>
    </row>
    <row r="1306" spans="1:8" ht="21.95" customHeight="1">
      <c r="A1306" s="14"/>
      <c r="B1306" s="14"/>
      <c r="C1306" s="16" t="s">
        <v>1166</v>
      </c>
      <c r="D1306" s="17">
        <f>VLOOKUP(A1302,'Neraca Unaudited SIMAK'!$A$2:$S$10004,4,FALSE)</f>
        <v>4318535000</v>
      </c>
      <c r="E1306" s="25">
        <f>SUMIFS('Daftar Koreksi'!$H$5:$H$92,'Daftar Koreksi'!$D$5:$D$92,'0300'!A1302,'Daftar Koreksi'!$G$5:$G$92,"Tanah",'Daftar Koreksi'!$H$5:$H$92,"&gt;0")</f>
        <v>0</v>
      </c>
      <c r="F1306" s="25">
        <f>SUMIFS('Daftar Koreksi'!$H$5:$H$92,'Daftar Koreksi'!$D$5:$D$92,'0300'!A1302,'Daftar Koreksi'!$G$5:$G$92,"Tanah",'Daftar Koreksi'!$H$5:$H$92,"&lt;0")-SUMIFS('Daftar Koreksi'!$H$5:$H$92,'Daftar Koreksi'!$D$5:$D$92,'0300'!A1302,'Daftar Koreksi'!$G$5:$G$92,"Tanah",'Daftar Koreksi'!$H$5:$H$92,"&lt;0")-SUMIFS('Daftar Koreksi'!$H$5:$H$92,'Daftar Koreksi'!$D$5:$D$92,'0300'!A1302,'Daftar Koreksi'!$G$5:$G$92,"Tanah",'Daftar Koreksi'!$H$5:$H$92,"&lt;0")</f>
        <v>0</v>
      </c>
      <c r="G1306" s="17">
        <f t="shared" ref="G1306:G1322" si="59">D1306+E1306-F1306</f>
        <v>4318535000</v>
      </c>
      <c r="H1306" s="122"/>
    </row>
    <row r="1307" spans="1:8" ht="21.95" customHeight="1">
      <c r="A1307" s="14"/>
      <c r="B1307" s="14"/>
      <c r="C1307" s="16" t="s">
        <v>1167</v>
      </c>
      <c r="D1307" s="17">
        <f>VLOOKUP(A1302,'Neraca Unaudited SIMAK'!$A$2:$S$10004,5,FALSE)</f>
        <v>1262874946</v>
      </c>
      <c r="E1307" s="25">
        <f>SUMIFS('Daftar Koreksi'!$H$5:$H$92,'Daftar Koreksi'!$D$5:$D$92,'0300'!A1302,'Daftar Koreksi'!$G$5:$G$92,"Peralatan dan mesin",'Daftar Koreksi'!$H$5:$H$92,"&gt;0")</f>
        <v>0</v>
      </c>
      <c r="F1307" s="25">
        <f>SUMIFS('Daftar Koreksi'!$H$5:$H$92,'Daftar Koreksi'!$D$5:$D$92,'0300'!A1302,'Daftar Koreksi'!$G$5:$G$92,"Peralatan dan mesin",'Daftar Koreksi'!$H$5:$H$92,"&lt;0")-SUMIFS('Daftar Koreksi'!$H$5:$H$92,'Daftar Koreksi'!$D$5:$D$92,'0300'!A1302,'Daftar Koreksi'!$G$5:$G$92,"Peralatan dan mesin",'Daftar Koreksi'!$H$5:$H$92,"&lt;0")-SUMIFS('Daftar Koreksi'!$H$5:$H$92,'Daftar Koreksi'!$D$5:$D$92,'0300'!A1302,'Daftar Koreksi'!$G$5:$G$92,"Peralatan dan mesin",'Daftar Koreksi'!$H$5:$H$92,"&lt;0")</f>
        <v>0</v>
      </c>
      <c r="G1307" s="17">
        <f t="shared" si="59"/>
        <v>1262874946</v>
      </c>
      <c r="H1307" s="122"/>
    </row>
    <row r="1308" spans="1:8" ht="21.95" customHeight="1">
      <c r="A1308" s="14"/>
      <c r="B1308" s="14"/>
      <c r="C1308" s="16" t="s">
        <v>1168</v>
      </c>
      <c r="D1308" s="17">
        <f>VLOOKUP(A1302,'Neraca Unaudited SIMAK'!$A$2:$S$10004,6,FALSE)</f>
        <v>5774443200</v>
      </c>
      <c r="E1308" s="25">
        <f>SUMIFS('Daftar Koreksi'!$H$5:$H$92,'Daftar Koreksi'!$D$5:$D$92,'0300'!A1302,'Daftar Koreksi'!$G$5:$G$92,"Gedung dan Bangunan",'Daftar Koreksi'!$H$5:$H$92,"&gt;0")</f>
        <v>0</v>
      </c>
      <c r="F1308" s="25">
        <f>SUMIFS('Daftar Koreksi'!$H$5:$H$92,'Daftar Koreksi'!$D$5:$D$92,'0300'!A1302,'Daftar Koreksi'!$G$5:$G$92,"Gedung dan Bangunan",'Daftar Koreksi'!$H$5:$H$92,"&lt;0")-SUMIFS('Daftar Koreksi'!$H$5:$H$92,'Daftar Koreksi'!$D$5:$D$92,'0300'!A1302,'Daftar Koreksi'!$G$5:$G$92,"Gedung dan Bangunan",'Daftar Koreksi'!$H$5:$H$92,"&lt;0")-SUMIFS('Daftar Koreksi'!$H$5:$H$92,'Daftar Koreksi'!$D$5:$D$92,'0300'!A1302,'Daftar Koreksi'!$G$5:$G$92,"Gedung dan Bangunan",'Daftar Koreksi'!$H$5:$H$92,"&lt;0")</f>
        <v>0</v>
      </c>
      <c r="G1308" s="17">
        <f t="shared" si="59"/>
        <v>5774443200</v>
      </c>
      <c r="H1308" s="122"/>
    </row>
    <row r="1309" spans="1:8" ht="21.95" customHeight="1">
      <c r="A1309" s="14"/>
      <c r="B1309" s="14"/>
      <c r="C1309" s="16" t="s">
        <v>1169</v>
      </c>
      <c r="D1309" s="17">
        <f>VLOOKUP(A1302,'Neraca Unaudited SIMAK'!$A$2:$S$10004,7,FALSE)</f>
        <v>39943000</v>
      </c>
      <c r="E1309" s="25">
        <f>SUMIFS('Daftar Koreksi'!$H$5:$H$92,'Daftar Koreksi'!$D$5:$D$92,'0300'!A1302,'Daftar Koreksi'!$G$5:$G$92,"Jalan Irigasi Jaringan",'Daftar Koreksi'!$H$5:$H$92,"&gt;0")</f>
        <v>0</v>
      </c>
      <c r="F1309" s="25">
        <f>SUMIFS('Daftar Koreksi'!$H$5:$H$92,'Daftar Koreksi'!$D$5:$D$92,'0300'!A1302,'Daftar Koreksi'!$G$5:$G$92,"Jalan Irigasi Jaringan",'Daftar Koreksi'!$H$5:$H$92,"&lt;0")-SUMIFS('Daftar Koreksi'!$H$5:$H$92,'Daftar Koreksi'!$D$5:$D$92,'0300'!A1302,'Daftar Koreksi'!$G$5:$G$92,"Jalan Irigasi Jaringan",'Daftar Koreksi'!$H$5:$H$92,"&lt;0")-SUMIFS('Daftar Koreksi'!$H$5:$H$92,'Daftar Koreksi'!$D$5:$D$92,'0300'!A1302,'Daftar Koreksi'!$G$5:$G$92,"Jalan Irigasi Jaringan",'Daftar Koreksi'!$H$5:$H$92,"&lt;0")</f>
        <v>0</v>
      </c>
      <c r="G1309" s="17">
        <f t="shared" si="59"/>
        <v>39943000</v>
      </c>
      <c r="H1309" s="122"/>
    </row>
    <row r="1310" spans="1:8" ht="21.95" customHeight="1">
      <c r="A1310" s="14"/>
      <c r="B1310" s="14"/>
      <c r="C1310" s="16" t="s">
        <v>1170</v>
      </c>
      <c r="D1310" s="17">
        <f>VLOOKUP(A1302,'Neraca Unaudited SIMAK'!$A$2:$S$10004,8,FALSE)</f>
        <v>3674680</v>
      </c>
      <c r="E1310" s="25">
        <f>SUMIFS('Daftar Koreksi'!$H$5:$H$92,'Daftar Koreksi'!$D$5:$D$92,'0300'!A1302,'Daftar Koreksi'!$G$5:$G$92,"Aset Tetap Lainnya",'Daftar Koreksi'!$H$5:$H$92,"&gt;0")</f>
        <v>0</v>
      </c>
      <c r="F1310" s="25">
        <f>SUMIFS('Daftar Koreksi'!$H$5:$H$92,'Daftar Koreksi'!$D$5:$D$92,'0300'!A1302,'Daftar Koreksi'!$G$5:$G$92,"Aset Tetap Lainnya",'Daftar Koreksi'!$H$5:$H$92,"&lt;0")-SUMIFS('Daftar Koreksi'!$H$5:$H$92,'Daftar Koreksi'!$D$5:$D$92,'0300'!A1302,'Daftar Koreksi'!$G$5:$G$92,"Aset Tetap Lainnya",'Daftar Koreksi'!$H$5:$H$92,"&lt;0")-SUMIFS('Daftar Koreksi'!$H$5:$H$92,'Daftar Koreksi'!$D$5:$D$92,'0300'!A1302,'Daftar Koreksi'!$G$5:$G$92,"Aset Tetap Lainnya",'Daftar Koreksi'!$H$5:$H$92,"&lt;0")</f>
        <v>0</v>
      </c>
      <c r="G1310" s="17">
        <f t="shared" si="59"/>
        <v>3674680</v>
      </c>
      <c r="H1310" s="122"/>
    </row>
    <row r="1311" spans="1:8" ht="21.95" customHeight="1">
      <c r="A1311" s="14"/>
      <c r="B1311" s="14"/>
      <c r="C1311" s="16" t="s">
        <v>1171</v>
      </c>
      <c r="D1311" s="17">
        <f>VLOOKUP(A1302,'Neraca Unaudited SIMAK'!$A$2:$S$10004,9,FALSE)</f>
        <v>0</v>
      </c>
      <c r="E1311" s="25">
        <f>SUMIFS('Daftar Koreksi'!$H$5:$H$92,'Daftar Koreksi'!$D$5:$D$92,'0300'!A1302,'Daftar Koreksi'!$G$5:$G$92,"Kontruksi Dalam Pengerjaan",'Daftar Koreksi'!$H$5:$H$92,"&gt;0")</f>
        <v>0</v>
      </c>
      <c r="F1311" s="25">
        <f>SUMIFS('Daftar Koreksi'!$H$5:$H$92,'Daftar Koreksi'!$D$5:$D$92,'0300'!A1302,'Daftar Koreksi'!$G$5:$G$92,"Kontruksi Dalam Pengerjaan",'Daftar Koreksi'!$H$5:$H$92,"&lt;0")-SUMIFS('Daftar Koreksi'!$H$5:$H$92,'Daftar Koreksi'!$D$5:$D$92,'0300'!A1302,'Daftar Koreksi'!$G$5:$G$92,"Kontruksi Dalam Pengerjaan",'Daftar Koreksi'!$H$5:$H$92,"&lt;0")-SUMIFS('Daftar Koreksi'!$H$5:$H$92,'Daftar Koreksi'!$D$5:$D$92,'0300'!A1302,'Daftar Koreksi'!$G$5:$G$92,"Kontruksi Dalam Pengerjaan",'Daftar Koreksi'!$H$5:$H$92,"&lt;0")</f>
        <v>0</v>
      </c>
      <c r="G1311" s="17">
        <f t="shared" si="59"/>
        <v>0</v>
      </c>
      <c r="H1311" s="122"/>
    </row>
    <row r="1312" spans="1:8" ht="21.95" customHeight="1">
      <c r="A1312" s="14"/>
      <c r="B1312" s="14"/>
      <c r="C1312" s="16" t="s">
        <v>1172</v>
      </c>
      <c r="D1312" s="17">
        <f>VLOOKUP(A1302,'Neraca Unaudited SIMAK'!$A$2:$S$10004,10,FALSE)</f>
        <v>0</v>
      </c>
      <c r="E1312" s="25">
        <f>SUMIFS('Daftar Koreksi'!$H$5:$H$92,'Daftar Koreksi'!$D$5:$D$92,'0300'!A1302,'Daftar Koreksi'!$G$5:$G$92,"Aset Tak Berwujud",'Daftar Koreksi'!$H$5:$H$92,"&gt;0")</f>
        <v>0</v>
      </c>
      <c r="F1312" s="25">
        <f>SUMIFS('Daftar Koreksi'!$H$5:$H$92,'Daftar Koreksi'!$D$5:$D$92,'0300'!A1302,'Daftar Koreksi'!$G$5:$G$92,"Aset Tak Berwujud",'Daftar Koreksi'!$H$5:$H$92,"&lt;0")-SUMIFS('Daftar Koreksi'!$H$5:$H$92,'Daftar Koreksi'!$D$5:$D$92,'0300'!A1302,'Daftar Koreksi'!$G$5:$G$92,"Aset Tak Berwujud",'Daftar Koreksi'!$H$5:$H$92,"&lt;0")-SUMIFS('Daftar Koreksi'!$H$5:$H$92,'Daftar Koreksi'!$D$5:$D$92,'0300'!A1302,'Daftar Koreksi'!$G$5:$G$92,"Aset Tak Berwujud",'Daftar Koreksi'!$H$5:$H$92,"&lt;0")</f>
        <v>0</v>
      </c>
      <c r="G1312" s="17">
        <f t="shared" si="59"/>
        <v>0</v>
      </c>
      <c r="H1312" s="122"/>
    </row>
    <row r="1313" spans="1:8" ht="21.95" customHeight="1">
      <c r="A1313" s="14"/>
      <c r="B1313" s="14"/>
      <c r="C1313" s="16" t="s">
        <v>1173</v>
      </c>
      <c r="D1313" s="17">
        <f>VLOOKUP(A1302,'Neraca Unaudited SIMAK'!$A$2:$S$10004,11,FALSE)</f>
        <v>59587800</v>
      </c>
      <c r="E1313" s="25">
        <f>SUMIFS('Daftar Koreksi'!$H$5:$H$92,'Daftar Koreksi'!$D$5:$D$92,'0300'!A1302,'Daftar Koreksi'!$G$5:$G$92,"Aset Henti Guna",'Daftar Koreksi'!$H$5:$H$92,"&gt;0")</f>
        <v>0</v>
      </c>
      <c r="F1313" s="25">
        <f>SUMIFS('Daftar Koreksi'!$H$5:$H$92,'Daftar Koreksi'!$D$5:$D$92,'0300'!A1302,'Daftar Koreksi'!$G$5:$G$92,"Aset Henti Guna",'Daftar Koreksi'!$H$5:$H$92,"&lt;0")-SUMIFS('Daftar Koreksi'!$H$5:$H$92,'Daftar Koreksi'!$D$5:$D$92,'0300'!A1302,'Daftar Koreksi'!$G$5:$G$92,"Aset Henti Guna",'Daftar Koreksi'!$H$5:$H$92,"&lt;0")-SUMIFS('Daftar Koreksi'!$H$5:$H$92,'Daftar Koreksi'!$D$5:$D$92,'0300'!A1302,'Daftar Koreksi'!$G$5:$G$92,"Aset Henti Guna",'Daftar Koreksi'!$H$5:$H$92,"&lt;0")</f>
        <v>0</v>
      </c>
      <c r="G1313" s="17">
        <f t="shared" si="59"/>
        <v>59587800</v>
      </c>
      <c r="H1313" s="122"/>
    </row>
    <row r="1314" spans="1:8" ht="21.95" customHeight="1">
      <c r="A1314" s="14"/>
      <c r="B1314" s="14"/>
      <c r="C1314" s="18" t="s">
        <v>2093</v>
      </c>
      <c r="D1314" s="19">
        <f>VLOOKUP(A1302,'Neraca Unaudited SIMAK'!$A$2:$S$10004,12,FALSE)</f>
        <v>11468265176</v>
      </c>
      <c r="E1314" s="19">
        <f>SUM(E1305:E1313)</f>
        <v>0</v>
      </c>
      <c r="F1314" s="19">
        <f>SUM(F1305:F1313)</f>
        <v>0</v>
      </c>
      <c r="G1314" s="19">
        <f t="shared" si="59"/>
        <v>11468265176</v>
      </c>
      <c r="H1314" s="122"/>
    </row>
    <row r="1315" spans="1:8" ht="21.95" customHeight="1">
      <c r="A1315" s="14"/>
      <c r="B1315" s="14"/>
      <c r="C1315" s="16" t="s">
        <v>2087</v>
      </c>
      <c r="D1315" s="17">
        <f>VLOOKUP(A1302,'Neraca Unaudited SIMAK'!$A$2:$S$10004,13,FALSE)</f>
        <v>-796081184</v>
      </c>
      <c r="E1315" s="25">
        <f>SUMIFS('Daftar Koreksi'!$I$5:$I$92,'Daftar Koreksi'!$D$5:$D$92,'0300'!A1302,'Daftar Koreksi'!$G$5:$G$92,"Peralatan dan mesin",'Daftar Koreksi'!$I$5:$I$92,"&gt;0")</f>
        <v>0</v>
      </c>
      <c r="F1315" s="25">
        <f>SUMIFS('Daftar Koreksi'!$I$5:$I$92,'Daftar Koreksi'!$D$5:$D$92,'0300'!A1302,'Daftar Koreksi'!$G$5:$G$92,"Peralatan dan mesin",'Daftar Koreksi'!$I$5:$I$92,"&lt;0")-SUMIFS('Daftar Koreksi'!$I$5:$I$92,'Daftar Koreksi'!$D$5:$D$92,'0300'!A1302,'Daftar Koreksi'!$G$5:$G$92,"Peralatan dan mesin",'Daftar Koreksi'!$I$5:$I$92,"&lt;0")-SUMIFS('Daftar Koreksi'!$I$5:$I$92,'Daftar Koreksi'!$D$5:$D$92,'0300'!A1302,'Daftar Koreksi'!$G$5:$G$92,"Peralatan dan mesin",'Daftar Koreksi'!$I$5:$I$92,"&lt;0")</f>
        <v>0</v>
      </c>
      <c r="G1315" s="17">
        <f t="shared" si="59"/>
        <v>-796081184</v>
      </c>
      <c r="H1315" s="122"/>
    </row>
    <row r="1316" spans="1:8" ht="21.95" customHeight="1">
      <c r="A1316" s="14"/>
      <c r="B1316" s="14"/>
      <c r="C1316" s="16" t="s">
        <v>2088</v>
      </c>
      <c r="D1316" s="17">
        <f>VLOOKUP(A1302,'Neraca Unaudited SIMAK'!$A$2:$S$10004,14,FALSE)</f>
        <v>-384315035</v>
      </c>
      <c r="E1316" s="25">
        <f>SUMIFS('Daftar Koreksi'!$I$5:$I$92,'Daftar Koreksi'!$D$5:$D$92,'0300'!A1302,'Daftar Koreksi'!$G$5:$G$92,"Gedung dan Bangunan",'Daftar Koreksi'!$I$5:$I$92,"&gt;0")</f>
        <v>0</v>
      </c>
      <c r="F1316" s="25">
        <f>SUMIFS('Daftar Koreksi'!$I$5:$I$92,'Daftar Koreksi'!$D$5:$D$92,'0300'!A1302,'Daftar Koreksi'!$G$5:$G$92,"Gedung dan Bangunan",'Daftar Koreksi'!$I$5:$I$92,"&lt;0")-SUMIFS('Daftar Koreksi'!$I$5:$I$92,'Daftar Koreksi'!$D$5:$D$92,'0300'!A1302,'Daftar Koreksi'!$G$5:$G$92,"Gedung dan Bangunan",'Daftar Koreksi'!$I$5:$I$92,"&lt;0")-SUMIFS('Daftar Koreksi'!$I$5:$I$92,'Daftar Koreksi'!$D$5:$D$92,'0300'!A1302,'Daftar Koreksi'!$G$5:$G$92,"Gedung dan Bangunan",'Daftar Koreksi'!$I$5:$I$92,"&lt;0")</f>
        <v>0</v>
      </c>
      <c r="G1316" s="17">
        <f t="shared" si="59"/>
        <v>-384315035</v>
      </c>
      <c r="H1316" s="122"/>
    </row>
    <row r="1317" spans="1:8" ht="21.95" customHeight="1">
      <c r="A1317" s="14"/>
      <c r="B1317" s="14"/>
      <c r="C1317" s="16" t="s">
        <v>2089</v>
      </c>
      <c r="D1317" s="17">
        <f>VLOOKUP(A1302,'Neraca Unaudited SIMAK'!$A$2:$S$10004,15,FALSE)</f>
        <v>-2496438</v>
      </c>
      <c r="E1317" s="25">
        <f>SUMIFS('Daftar Koreksi'!$I$5:$I$92,'Daftar Koreksi'!$D$5:$D$92,'0300'!A1302,'Daftar Koreksi'!$G$5:$G$92,"Jalan Irigasi Jaringan",'Daftar Koreksi'!$I$5:$I$92,"&gt;0")</f>
        <v>0</v>
      </c>
      <c r="F1317" s="25">
        <f>SUMIFS('Daftar Koreksi'!$I$5:$I$92,'Daftar Koreksi'!$D$5:$D$92,'0300'!A1302,'Daftar Koreksi'!$G$5:$G$92,"Jalan Irigasi Jaringan",'Daftar Koreksi'!$I$5:$I$92,"&lt;0")-SUMIFS('Daftar Koreksi'!$I$5:$I$92,'Daftar Koreksi'!$D$5:$D$92,'0300'!A1302,'Daftar Koreksi'!$G$5:$G$92,"Jalan Irigasi Jaringan",'Daftar Koreksi'!$I$5:$I$92,"&lt;0")-SUMIFS('Daftar Koreksi'!$I$5:$I$92,'Daftar Koreksi'!$D$5:$D$92,'0300'!A1302,'Daftar Koreksi'!$G$5:$G$92,"Jalan Irigasi Jaringan",'Daftar Koreksi'!$I$5:$I$92,"&lt;0")</f>
        <v>0</v>
      </c>
      <c r="G1317" s="17">
        <f t="shared" si="59"/>
        <v>-2496438</v>
      </c>
      <c r="H1317" s="122"/>
    </row>
    <row r="1318" spans="1:8" ht="21.95" customHeight="1">
      <c r="A1318" s="14"/>
      <c r="B1318" s="14"/>
      <c r="C1318" s="16" t="s">
        <v>2090</v>
      </c>
      <c r="D1318" s="17">
        <f>VLOOKUP(A1302,'Neraca Unaudited SIMAK'!$A$2:$S$10004,16,FALSE)</f>
        <v>0</v>
      </c>
      <c r="E1318" s="25">
        <f>SUMIFS('Daftar Koreksi'!$I$5:$I$92,'Daftar Koreksi'!$D$5:$D$92,'0300'!A1302,'Daftar Koreksi'!$G$5:$G$92,"Aset Tetap Lainnya",'Daftar Koreksi'!$I$5:$I$92,"&gt;0")</f>
        <v>0</v>
      </c>
      <c r="F1318" s="25">
        <f>SUMIFS('Daftar Koreksi'!$I$5:$I$92,'Daftar Koreksi'!$D$5:$D$92,'0300'!A1302,'Daftar Koreksi'!$G$5:$G$92,"Aset Tetap Lainnya",'Daftar Koreksi'!$I$5:$I$92,"&lt;0")-SUMIFS('Daftar Koreksi'!$I$5:$I$92,'Daftar Koreksi'!$D$5:$D$92,'0300'!A1302,'Daftar Koreksi'!$G$5:$G$92,"Aset Tetap Lainnya",'Daftar Koreksi'!$I$5:$I$92,"&lt;0")-SUMIFS('Daftar Koreksi'!$I$5:$I$92,'Daftar Koreksi'!$D$5:$D$92,'0300'!A1302,'Daftar Koreksi'!$G$5:$G$92,"Aset Tetap Lainnya",'Daftar Koreksi'!$I$5:$I$92,"&lt;0")</f>
        <v>0</v>
      </c>
      <c r="G1318" s="17">
        <f t="shared" si="59"/>
        <v>0</v>
      </c>
      <c r="H1318" s="122"/>
    </row>
    <row r="1319" spans="1:8" ht="21.95" customHeight="1">
      <c r="A1319" s="14"/>
      <c r="B1319" s="14"/>
      <c r="C1319" s="16" t="s">
        <v>2020</v>
      </c>
      <c r="D1319" s="17">
        <f>VLOOKUP(A1302,'Neraca Unaudited SIMAK'!$A$2:$S$10004,17,FALSE)</f>
        <v>-59587800</v>
      </c>
      <c r="E1319" s="25">
        <f>SUMIFS('Daftar Koreksi'!$I$5:$I$92,'Daftar Koreksi'!$D$5:$D$92,'0300'!A1302,'Daftar Koreksi'!$G$5:$G$92,"Aset Henti Guna",'Daftar Koreksi'!$I$5:$I$92,"&gt;0")</f>
        <v>0</v>
      </c>
      <c r="F1319" s="25">
        <f>SUMIFS('Daftar Koreksi'!$I$5:$I$92,'Daftar Koreksi'!$D$5:$D$92,'0300'!A1302,'Daftar Koreksi'!$G$5:$G$92,"Aset Henti Guna",'Daftar Koreksi'!$I$5:$I$92,"&lt;0")-SUMIFS('Daftar Koreksi'!$I$5:$I$92,'Daftar Koreksi'!$D$5:$D$92,'0300'!A1302,'Daftar Koreksi'!$G$5:$G$92,"Aset Henti Guna",'Daftar Koreksi'!$I$5:$I$92,"&lt;0")-SUMIFS('Daftar Koreksi'!$I$5:$I$92,'Daftar Koreksi'!$D$5:$D$92,'0300'!A1302,'Daftar Koreksi'!$G$5:$G$92,"Aset Henti Guna",'Daftar Koreksi'!$I$5:$I$92,"&lt;0")</f>
        <v>0</v>
      </c>
      <c r="G1319" s="17">
        <f t="shared" si="59"/>
        <v>-59587800</v>
      </c>
      <c r="H1319" s="122"/>
    </row>
    <row r="1320" spans="1:8" ht="21.95" customHeight="1">
      <c r="A1320" s="14"/>
      <c r="B1320" s="14"/>
      <c r="C1320" s="18" t="s">
        <v>2094</v>
      </c>
      <c r="D1320" s="19">
        <f>SUM(D1315:D1319)</f>
        <v>-1242480457</v>
      </c>
      <c r="E1320" s="19">
        <f>SUM(E1315:E1319)</f>
        <v>0</v>
      </c>
      <c r="F1320" s="19">
        <f>SUM(F1315:F1319)</f>
        <v>0</v>
      </c>
      <c r="G1320" s="19">
        <f t="shared" si="59"/>
        <v>-1242480457</v>
      </c>
      <c r="H1320" s="122"/>
    </row>
    <row r="1321" spans="1:8" ht="21.95" customHeight="1">
      <c r="A1321" s="14"/>
      <c r="B1321" s="14"/>
      <c r="C1321" s="18" t="s">
        <v>2095</v>
      </c>
      <c r="D1321" s="19">
        <f>VLOOKUP(A1302,'Neraca Unaudited SIMAK'!$A$2:$S$10004,18,FALSE)</f>
        <v>10225784719</v>
      </c>
      <c r="E1321" s="19">
        <f>E1320+E1314</f>
        <v>0</v>
      </c>
      <c r="F1321" s="19">
        <f>F1320+F1314</f>
        <v>0</v>
      </c>
      <c r="G1321" s="19">
        <f t="shared" si="59"/>
        <v>10225784719</v>
      </c>
      <c r="H1321" s="122"/>
    </row>
    <row r="1322" spans="1:8" ht="21.95" customHeight="1">
      <c r="A1322" s="14"/>
      <c r="B1322" s="14"/>
      <c r="C1322" s="16" t="s">
        <v>2091</v>
      </c>
      <c r="D1322" s="17">
        <f>VLOOKUP(A1302,'Neraca Unaudited SIMAK'!$A$2:$S$10004,19,FALSE)</f>
        <v>0</v>
      </c>
      <c r="E1322" s="25"/>
      <c r="F1322" s="25"/>
      <c r="G1322" s="17">
        <f t="shared" si="59"/>
        <v>0</v>
      </c>
      <c r="H1322" s="123"/>
    </row>
    <row r="1324" spans="1:8" ht="19.5" customHeight="1">
      <c r="A1324" s="11" t="str">
        <f>O61</f>
        <v>005010300401106000KD</v>
      </c>
      <c r="B1324" s="11" t="str">
        <f>P61</f>
        <v>PA. Banjarnegara</v>
      </c>
      <c r="C1324" s="12" t="str">
        <f>A1324&amp;" "&amp;B1324</f>
        <v>005010300401106000KD PA. Banjarnegara</v>
      </c>
      <c r="D1324" s="13"/>
      <c r="E1324" s="13"/>
      <c r="F1324" s="13"/>
      <c r="G1324" s="13"/>
      <c r="H1324" s="11"/>
    </row>
    <row r="1325" spans="1:8" ht="21.95" customHeight="1">
      <c r="A1325" s="14"/>
      <c r="B1325" s="14"/>
      <c r="C1325" s="124" t="s">
        <v>1982</v>
      </c>
      <c r="D1325" s="126" t="s">
        <v>1983</v>
      </c>
      <c r="E1325" s="132" t="s">
        <v>1984</v>
      </c>
      <c r="F1325" s="132"/>
      <c r="G1325" s="126" t="s">
        <v>1987</v>
      </c>
      <c r="H1325" s="130" t="s">
        <v>1175</v>
      </c>
    </row>
    <row r="1326" spans="1:8" ht="21.95" customHeight="1">
      <c r="A1326" s="14"/>
      <c r="B1326" s="14"/>
      <c r="C1326" s="125"/>
      <c r="D1326" s="127"/>
      <c r="E1326" s="26" t="s">
        <v>1985</v>
      </c>
      <c r="F1326" s="26" t="s">
        <v>1986</v>
      </c>
      <c r="G1326" s="127"/>
      <c r="H1326" s="131"/>
    </row>
    <row r="1327" spans="1:8" ht="21.95" customHeight="1">
      <c r="A1327" s="14"/>
      <c r="B1327" s="14"/>
      <c r="C1327" s="16" t="s">
        <v>1165</v>
      </c>
      <c r="D1327" s="17">
        <f>VLOOKUP(A1324,'Neraca Unaudited SIMAK'!$A$2:$S$10004,3,FALSE)</f>
        <v>2333950</v>
      </c>
      <c r="E1327" s="25">
        <f>SUMIFS('Daftar Koreksi'!$H$5:$H$92,'Daftar Koreksi'!$D$5:$D$92,'0300'!A1324,'Daftar Koreksi'!$G$5:$G$92,"Persediaan",'Daftar Koreksi'!$H$5:$H$92,"&gt;0")</f>
        <v>0</v>
      </c>
      <c r="F1327" s="25">
        <f>SUMIFS('Daftar Koreksi'!$H$5:$H$92,'Daftar Koreksi'!$D$5:$D$92,'0300'!A1324,'Daftar Koreksi'!$G$5:$G$92,"Persediaan",'Daftar Koreksi'!$H$5:$H$92,"&lt;0")-SUMIFS('Daftar Koreksi'!$H$5:$H$92,'Daftar Koreksi'!$D$5:$D$92,'0300'!A1324,'Daftar Koreksi'!$G$5:$G$92,"Persediaan",'Daftar Koreksi'!$H$5:$H$92,"&lt;0")-SUMIFS('Daftar Koreksi'!$H$5:$H$92,'Daftar Koreksi'!$D$5:$D$92,'0300'!A1324,'Daftar Koreksi'!$G$5:$G$92,"Persediaan",'Daftar Koreksi'!$H$5:$H$92,"&lt;0")</f>
        <v>0</v>
      </c>
      <c r="G1327" s="17">
        <f>D1327+E1327-F1327</f>
        <v>2333950</v>
      </c>
      <c r="H1327" s="121" t="str">
        <f>IF(ISNA(VLOOKUP(A1324,'Mutasi Neraca'!$A$3:$S$914,19,FALSE)),"-",VLOOKUP(A1324,'Mutasi Neraca'!$A$3:$S$914,19,FALSE))</f>
        <v>-</v>
      </c>
    </row>
    <row r="1328" spans="1:8" ht="21.95" customHeight="1">
      <c r="A1328" s="14"/>
      <c r="B1328" s="14"/>
      <c r="C1328" s="16" t="s">
        <v>1166</v>
      </c>
      <c r="D1328" s="17">
        <f>VLOOKUP(A1324,'Neraca Unaudited SIMAK'!$A$2:$S$10004,4,FALSE)</f>
        <v>3111568000</v>
      </c>
      <c r="E1328" s="25">
        <f>SUMIFS('Daftar Koreksi'!$H$5:$H$92,'Daftar Koreksi'!$D$5:$D$92,'0300'!A1324,'Daftar Koreksi'!$G$5:$G$92,"Tanah",'Daftar Koreksi'!$H$5:$H$92,"&gt;0")</f>
        <v>0</v>
      </c>
      <c r="F1328" s="25">
        <f>SUMIFS('Daftar Koreksi'!$H$5:$H$92,'Daftar Koreksi'!$D$5:$D$92,'0300'!A1324,'Daftar Koreksi'!$G$5:$G$92,"Tanah",'Daftar Koreksi'!$H$5:$H$92,"&lt;0")-SUMIFS('Daftar Koreksi'!$H$5:$H$92,'Daftar Koreksi'!$D$5:$D$92,'0300'!A1324,'Daftar Koreksi'!$G$5:$G$92,"Tanah",'Daftar Koreksi'!$H$5:$H$92,"&lt;0")-SUMIFS('Daftar Koreksi'!$H$5:$H$92,'Daftar Koreksi'!$D$5:$D$92,'0300'!A1324,'Daftar Koreksi'!$G$5:$G$92,"Tanah",'Daftar Koreksi'!$H$5:$H$92,"&lt;0")</f>
        <v>0</v>
      </c>
      <c r="G1328" s="17">
        <f t="shared" ref="G1328:G1344" si="60">D1328+E1328-F1328</f>
        <v>3111568000</v>
      </c>
      <c r="H1328" s="122"/>
    </row>
    <row r="1329" spans="1:8" ht="21.95" customHeight="1">
      <c r="A1329" s="14"/>
      <c r="B1329" s="14"/>
      <c r="C1329" s="16" t="s">
        <v>1167</v>
      </c>
      <c r="D1329" s="17">
        <f>VLOOKUP(A1324,'Neraca Unaudited SIMAK'!$A$2:$S$10004,5,FALSE)</f>
        <v>929503629</v>
      </c>
      <c r="E1329" s="25">
        <f>SUMIFS('Daftar Koreksi'!$H$5:$H$92,'Daftar Koreksi'!$D$5:$D$92,'0300'!A1324,'Daftar Koreksi'!$G$5:$G$92,"Peralatan dan mesin",'Daftar Koreksi'!$H$5:$H$92,"&gt;0")</f>
        <v>0</v>
      </c>
      <c r="F1329" s="25">
        <f>SUMIFS('Daftar Koreksi'!$H$5:$H$92,'Daftar Koreksi'!$D$5:$D$92,'0300'!A1324,'Daftar Koreksi'!$G$5:$G$92,"Peralatan dan mesin",'Daftar Koreksi'!$H$5:$H$92,"&lt;0")-SUMIFS('Daftar Koreksi'!$H$5:$H$92,'Daftar Koreksi'!$D$5:$D$92,'0300'!A1324,'Daftar Koreksi'!$G$5:$G$92,"Peralatan dan mesin",'Daftar Koreksi'!$H$5:$H$92,"&lt;0")-SUMIFS('Daftar Koreksi'!$H$5:$H$92,'Daftar Koreksi'!$D$5:$D$92,'0300'!A1324,'Daftar Koreksi'!$G$5:$G$92,"Peralatan dan mesin",'Daftar Koreksi'!$H$5:$H$92,"&lt;0")</f>
        <v>0</v>
      </c>
      <c r="G1329" s="17">
        <f t="shared" si="60"/>
        <v>929503629</v>
      </c>
      <c r="H1329" s="122"/>
    </row>
    <row r="1330" spans="1:8" ht="21.95" customHeight="1">
      <c r="A1330" s="14"/>
      <c r="B1330" s="14"/>
      <c r="C1330" s="16" t="s">
        <v>1168</v>
      </c>
      <c r="D1330" s="17">
        <f>VLOOKUP(A1324,'Neraca Unaudited SIMAK'!$A$2:$S$10004,6,FALSE)</f>
        <v>4801402052</v>
      </c>
      <c r="E1330" s="25">
        <f>SUMIFS('Daftar Koreksi'!$H$5:$H$92,'Daftar Koreksi'!$D$5:$D$92,'0300'!A1324,'Daftar Koreksi'!$G$5:$G$92,"Gedung dan Bangunan",'Daftar Koreksi'!$H$5:$H$92,"&gt;0")</f>
        <v>0</v>
      </c>
      <c r="F1330" s="25">
        <f>SUMIFS('Daftar Koreksi'!$H$5:$H$92,'Daftar Koreksi'!$D$5:$D$92,'0300'!A1324,'Daftar Koreksi'!$G$5:$G$92,"Gedung dan Bangunan",'Daftar Koreksi'!$H$5:$H$92,"&lt;0")-SUMIFS('Daftar Koreksi'!$H$5:$H$92,'Daftar Koreksi'!$D$5:$D$92,'0300'!A1324,'Daftar Koreksi'!$G$5:$G$92,"Gedung dan Bangunan",'Daftar Koreksi'!$H$5:$H$92,"&lt;0")-SUMIFS('Daftar Koreksi'!$H$5:$H$92,'Daftar Koreksi'!$D$5:$D$92,'0300'!A1324,'Daftar Koreksi'!$G$5:$G$92,"Gedung dan Bangunan",'Daftar Koreksi'!$H$5:$H$92,"&lt;0")</f>
        <v>0</v>
      </c>
      <c r="G1330" s="17">
        <f t="shared" si="60"/>
        <v>4801402052</v>
      </c>
      <c r="H1330" s="122"/>
    </row>
    <row r="1331" spans="1:8" ht="21.95" customHeight="1">
      <c r="A1331" s="14"/>
      <c r="B1331" s="14"/>
      <c r="C1331" s="16" t="s">
        <v>1169</v>
      </c>
      <c r="D1331" s="17">
        <f>VLOOKUP(A1324,'Neraca Unaudited SIMAK'!$A$2:$S$10004,7,FALSE)</f>
        <v>0</v>
      </c>
      <c r="E1331" s="25">
        <f>SUMIFS('Daftar Koreksi'!$H$5:$H$92,'Daftar Koreksi'!$D$5:$D$92,'0300'!A1324,'Daftar Koreksi'!$G$5:$G$92,"Jalan Irigasi Jaringan",'Daftar Koreksi'!$H$5:$H$92,"&gt;0")</f>
        <v>0</v>
      </c>
      <c r="F1331" s="25">
        <f>SUMIFS('Daftar Koreksi'!$H$5:$H$92,'Daftar Koreksi'!$D$5:$D$92,'0300'!A1324,'Daftar Koreksi'!$G$5:$G$92,"Jalan Irigasi Jaringan",'Daftar Koreksi'!$H$5:$H$92,"&lt;0")-SUMIFS('Daftar Koreksi'!$H$5:$H$92,'Daftar Koreksi'!$D$5:$D$92,'0300'!A1324,'Daftar Koreksi'!$G$5:$G$92,"Jalan Irigasi Jaringan",'Daftar Koreksi'!$H$5:$H$92,"&lt;0")-SUMIFS('Daftar Koreksi'!$H$5:$H$92,'Daftar Koreksi'!$D$5:$D$92,'0300'!A1324,'Daftar Koreksi'!$G$5:$G$92,"Jalan Irigasi Jaringan",'Daftar Koreksi'!$H$5:$H$92,"&lt;0")</f>
        <v>0</v>
      </c>
      <c r="G1331" s="17">
        <f t="shared" si="60"/>
        <v>0</v>
      </c>
      <c r="H1331" s="122"/>
    </row>
    <row r="1332" spans="1:8" ht="21.95" customHeight="1">
      <c r="A1332" s="14"/>
      <c r="B1332" s="14"/>
      <c r="C1332" s="16" t="s">
        <v>1170</v>
      </c>
      <c r="D1332" s="17">
        <f>VLOOKUP(A1324,'Neraca Unaudited SIMAK'!$A$2:$S$10004,8,FALSE)</f>
        <v>11087228</v>
      </c>
      <c r="E1332" s="25">
        <f>SUMIFS('Daftar Koreksi'!$H$5:$H$92,'Daftar Koreksi'!$D$5:$D$92,'0300'!A1324,'Daftar Koreksi'!$G$5:$G$92,"Aset Tetap Lainnya",'Daftar Koreksi'!$H$5:$H$92,"&gt;0")</f>
        <v>0</v>
      </c>
      <c r="F1332" s="25">
        <f>SUMIFS('Daftar Koreksi'!$H$5:$H$92,'Daftar Koreksi'!$D$5:$D$92,'0300'!A1324,'Daftar Koreksi'!$G$5:$G$92,"Aset Tetap Lainnya",'Daftar Koreksi'!$H$5:$H$92,"&lt;0")-SUMIFS('Daftar Koreksi'!$H$5:$H$92,'Daftar Koreksi'!$D$5:$D$92,'0300'!A1324,'Daftar Koreksi'!$G$5:$G$92,"Aset Tetap Lainnya",'Daftar Koreksi'!$H$5:$H$92,"&lt;0")-SUMIFS('Daftar Koreksi'!$H$5:$H$92,'Daftar Koreksi'!$D$5:$D$92,'0300'!A1324,'Daftar Koreksi'!$G$5:$G$92,"Aset Tetap Lainnya",'Daftar Koreksi'!$H$5:$H$92,"&lt;0")</f>
        <v>0</v>
      </c>
      <c r="G1332" s="17">
        <f t="shared" si="60"/>
        <v>11087228</v>
      </c>
      <c r="H1332" s="122"/>
    </row>
    <row r="1333" spans="1:8" ht="21.95" customHeight="1">
      <c r="A1333" s="14"/>
      <c r="B1333" s="14"/>
      <c r="C1333" s="16" t="s">
        <v>1171</v>
      </c>
      <c r="D1333" s="17">
        <f>VLOOKUP(A1324,'Neraca Unaudited SIMAK'!$A$2:$S$10004,9,FALSE)</f>
        <v>0</v>
      </c>
      <c r="E1333" s="25">
        <f>SUMIFS('Daftar Koreksi'!$H$5:$H$92,'Daftar Koreksi'!$D$5:$D$92,'0300'!A1324,'Daftar Koreksi'!$G$5:$G$92,"Kontruksi Dalam Pengerjaan",'Daftar Koreksi'!$H$5:$H$92,"&gt;0")</f>
        <v>0</v>
      </c>
      <c r="F1333" s="25">
        <f>SUMIFS('Daftar Koreksi'!$H$5:$H$92,'Daftar Koreksi'!$D$5:$D$92,'0300'!A1324,'Daftar Koreksi'!$G$5:$G$92,"Kontruksi Dalam Pengerjaan",'Daftar Koreksi'!$H$5:$H$92,"&lt;0")-SUMIFS('Daftar Koreksi'!$H$5:$H$92,'Daftar Koreksi'!$D$5:$D$92,'0300'!A1324,'Daftar Koreksi'!$G$5:$G$92,"Kontruksi Dalam Pengerjaan",'Daftar Koreksi'!$H$5:$H$92,"&lt;0")-SUMIFS('Daftar Koreksi'!$H$5:$H$92,'Daftar Koreksi'!$D$5:$D$92,'0300'!A1324,'Daftar Koreksi'!$G$5:$G$92,"Kontruksi Dalam Pengerjaan",'Daftar Koreksi'!$H$5:$H$92,"&lt;0")</f>
        <v>0</v>
      </c>
      <c r="G1333" s="17">
        <f t="shared" si="60"/>
        <v>0</v>
      </c>
      <c r="H1333" s="122"/>
    </row>
    <row r="1334" spans="1:8" ht="21.95" customHeight="1">
      <c r="A1334" s="14"/>
      <c r="B1334" s="14"/>
      <c r="C1334" s="16" t="s">
        <v>1172</v>
      </c>
      <c r="D1334" s="17">
        <f>VLOOKUP(A1324,'Neraca Unaudited SIMAK'!$A$2:$S$10004,10,FALSE)</f>
        <v>2500000</v>
      </c>
      <c r="E1334" s="25">
        <f>SUMIFS('Daftar Koreksi'!$H$5:$H$92,'Daftar Koreksi'!$D$5:$D$92,'0300'!A1324,'Daftar Koreksi'!$G$5:$G$92,"Aset Tak Berwujud",'Daftar Koreksi'!$H$5:$H$92,"&gt;0")</f>
        <v>0</v>
      </c>
      <c r="F1334" s="25">
        <f>SUMIFS('Daftar Koreksi'!$H$5:$H$92,'Daftar Koreksi'!$D$5:$D$92,'0300'!A1324,'Daftar Koreksi'!$G$5:$G$92,"Aset Tak Berwujud",'Daftar Koreksi'!$H$5:$H$92,"&lt;0")-SUMIFS('Daftar Koreksi'!$H$5:$H$92,'Daftar Koreksi'!$D$5:$D$92,'0300'!A1324,'Daftar Koreksi'!$G$5:$G$92,"Aset Tak Berwujud",'Daftar Koreksi'!$H$5:$H$92,"&lt;0")-SUMIFS('Daftar Koreksi'!$H$5:$H$92,'Daftar Koreksi'!$D$5:$D$92,'0300'!A1324,'Daftar Koreksi'!$G$5:$G$92,"Aset Tak Berwujud",'Daftar Koreksi'!$H$5:$H$92,"&lt;0")</f>
        <v>0</v>
      </c>
      <c r="G1334" s="17">
        <f t="shared" si="60"/>
        <v>2500000</v>
      </c>
      <c r="H1334" s="122"/>
    </row>
    <row r="1335" spans="1:8" ht="21.95" customHeight="1">
      <c r="A1335" s="14"/>
      <c r="B1335" s="14"/>
      <c r="C1335" s="16" t="s">
        <v>1173</v>
      </c>
      <c r="D1335" s="17">
        <f>VLOOKUP(A1324,'Neraca Unaudited SIMAK'!$A$2:$S$10004,11,FALSE)</f>
        <v>6000</v>
      </c>
      <c r="E1335" s="25">
        <f>SUMIFS('Daftar Koreksi'!$H$5:$H$92,'Daftar Koreksi'!$D$5:$D$92,'0300'!A1324,'Daftar Koreksi'!$G$5:$G$92,"Aset Henti Guna",'Daftar Koreksi'!$H$5:$H$92,"&gt;0")</f>
        <v>0</v>
      </c>
      <c r="F1335" s="25">
        <f>SUMIFS('Daftar Koreksi'!$H$5:$H$92,'Daftar Koreksi'!$D$5:$D$92,'0300'!A1324,'Daftar Koreksi'!$G$5:$G$92,"Aset Henti Guna",'Daftar Koreksi'!$H$5:$H$92,"&lt;0")-SUMIFS('Daftar Koreksi'!$H$5:$H$92,'Daftar Koreksi'!$D$5:$D$92,'0300'!A1324,'Daftar Koreksi'!$G$5:$G$92,"Aset Henti Guna",'Daftar Koreksi'!$H$5:$H$92,"&lt;0")-SUMIFS('Daftar Koreksi'!$H$5:$H$92,'Daftar Koreksi'!$D$5:$D$92,'0300'!A1324,'Daftar Koreksi'!$G$5:$G$92,"Aset Henti Guna",'Daftar Koreksi'!$H$5:$H$92,"&lt;0")</f>
        <v>0</v>
      </c>
      <c r="G1335" s="17">
        <f t="shared" si="60"/>
        <v>6000</v>
      </c>
      <c r="H1335" s="122"/>
    </row>
    <row r="1336" spans="1:8" ht="21.95" customHeight="1">
      <c r="A1336" s="14"/>
      <c r="B1336" s="14"/>
      <c r="C1336" s="18" t="s">
        <v>2093</v>
      </c>
      <c r="D1336" s="19">
        <f>VLOOKUP(A1324,'Neraca Unaudited SIMAK'!$A$2:$S$10004,12,FALSE)</f>
        <v>8858400859</v>
      </c>
      <c r="E1336" s="19">
        <f>SUM(E1327:E1335)</f>
        <v>0</v>
      </c>
      <c r="F1336" s="19">
        <f>SUM(F1327:F1335)</f>
        <v>0</v>
      </c>
      <c r="G1336" s="19">
        <f t="shared" si="60"/>
        <v>8858400859</v>
      </c>
      <c r="H1336" s="122"/>
    </row>
    <row r="1337" spans="1:8" ht="21.95" customHeight="1">
      <c r="A1337" s="14"/>
      <c r="B1337" s="14"/>
      <c r="C1337" s="16" t="s">
        <v>2087</v>
      </c>
      <c r="D1337" s="17">
        <f>VLOOKUP(A1324,'Neraca Unaudited SIMAK'!$A$2:$S$10004,13,FALSE)</f>
        <v>-667710122</v>
      </c>
      <c r="E1337" s="25">
        <f>SUMIFS('Daftar Koreksi'!$I$5:$I$92,'Daftar Koreksi'!$D$5:$D$92,'0300'!A1324,'Daftar Koreksi'!$G$5:$G$92,"Peralatan dan mesin",'Daftar Koreksi'!$I$5:$I$92,"&gt;0")</f>
        <v>0</v>
      </c>
      <c r="F1337" s="25">
        <f>SUMIFS('Daftar Koreksi'!$I$5:$I$92,'Daftar Koreksi'!$D$5:$D$92,'0300'!A1324,'Daftar Koreksi'!$G$5:$G$92,"Peralatan dan mesin",'Daftar Koreksi'!$I$5:$I$92,"&lt;0")-SUMIFS('Daftar Koreksi'!$I$5:$I$92,'Daftar Koreksi'!$D$5:$D$92,'0300'!A1324,'Daftar Koreksi'!$G$5:$G$92,"Peralatan dan mesin",'Daftar Koreksi'!$I$5:$I$92,"&lt;0")-SUMIFS('Daftar Koreksi'!$I$5:$I$92,'Daftar Koreksi'!$D$5:$D$92,'0300'!A1324,'Daftar Koreksi'!$G$5:$G$92,"Peralatan dan mesin",'Daftar Koreksi'!$I$5:$I$92,"&lt;0")</f>
        <v>0</v>
      </c>
      <c r="G1337" s="17">
        <f t="shared" si="60"/>
        <v>-667710122</v>
      </c>
      <c r="H1337" s="122"/>
    </row>
    <row r="1338" spans="1:8" ht="21.95" customHeight="1">
      <c r="A1338" s="14"/>
      <c r="B1338" s="14"/>
      <c r="C1338" s="16" t="s">
        <v>2088</v>
      </c>
      <c r="D1338" s="17">
        <f>VLOOKUP(A1324,'Neraca Unaudited SIMAK'!$A$2:$S$10004,14,FALSE)</f>
        <v>-400976924</v>
      </c>
      <c r="E1338" s="25">
        <f>SUMIFS('Daftar Koreksi'!$I$5:$I$92,'Daftar Koreksi'!$D$5:$D$92,'0300'!A1324,'Daftar Koreksi'!$G$5:$G$92,"Gedung dan Bangunan",'Daftar Koreksi'!$I$5:$I$92,"&gt;0")</f>
        <v>0</v>
      </c>
      <c r="F1338" s="25">
        <f>SUMIFS('Daftar Koreksi'!$I$5:$I$92,'Daftar Koreksi'!$D$5:$D$92,'0300'!A1324,'Daftar Koreksi'!$G$5:$G$92,"Gedung dan Bangunan",'Daftar Koreksi'!$I$5:$I$92,"&lt;0")-SUMIFS('Daftar Koreksi'!$I$5:$I$92,'Daftar Koreksi'!$D$5:$D$92,'0300'!A1324,'Daftar Koreksi'!$G$5:$G$92,"Gedung dan Bangunan",'Daftar Koreksi'!$I$5:$I$92,"&lt;0")-SUMIFS('Daftar Koreksi'!$I$5:$I$92,'Daftar Koreksi'!$D$5:$D$92,'0300'!A1324,'Daftar Koreksi'!$G$5:$G$92,"Gedung dan Bangunan",'Daftar Koreksi'!$I$5:$I$92,"&lt;0")</f>
        <v>0</v>
      </c>
      <c r="G1338" s="17">
        <f t="shared" si="60"/>
        <v>-400976924</v>
      </c>
      <c r="H1338" s="122"/>
    </row>
    <row r="1339" spans="1:8" ht="21.95" customHeight="1">
      <c r="A1339" s="14"/>
      <c r="B1339" s="14"/>
      <c r="C1339" s="16" t="s">
        <v>2089</v>
      </c>
      <c r="D1339" s="17">
        <f>VLOOKUP(A1324,'Neraca Unaudited SIMAK'!$A$2:$S$10004,15,FALSE)</f>
        <v>0</v>
      </c>
      <c r="E1339" s="25">
        <f>SUMIFS('Daftar Koreksi'!$I$5:$I$92,'Daftar Koreksi'!$D$5:$D$92,'0300'!A1324,'Daftar Koreksi'!$G$5:$G$92,"Jalan Irigasi Jaringan",'Daftar Koreksi'!$I$5:$I$92,"&gt;0")</f>
        <v>0</v>
      </c>
      <c r="F1339" s="25">
        <f>SUMIFS('Daftar Koreksi'!$I$5:$I$92,'Daftar Koreksi'!$D$5:$D$92,'0300'!A1324,'Daftar Koreksi'!$G$5:$G$92,"Jalan Irigasi Jaringan",'Daftar Koreksi'!$I$5:$I$92,"&lt;0")-SUMIFS('Daftar Koreksi'!$I$5:$I$92,'Daftar Koreksi'!$D$5:$D$92,'0300'!A1324,'Daftar Koreksi'!$G$5:$G$92,"Jalan Irigasi Jaringan",'Daftar Koreksi'!$I$5:$I$92,"&lt;0")-SUMIFS('Daftar Koreksi'!$I$5:$I$92,'Daftar Koreksi'!$D$5:$D$92,'0300'!A1324,'Daftar Koreksi'!$G$5:$G$92,"Jalan Irigasi Jaringan",'Daftar Koreksi'!$I$5:$I$92,"&lt;0")</f>
        <v>0</v>
      </c>
      <c r="G1339" s="17">
        <f t="shared" si="60"/>
        <v>0</v>
      </c>
      <c r="H1339" s="122"/>
    </row>
    <row r="1340" spans="1:8" ht="21.95" customHeight="1">
      <c r="A1340" s="14"/>
      <c r="B1340" s="14"/>
      <c r="C1340" s="16" t="s">
        <v>2090</v>
      </c>
      <c r="D1340" s="17">
        <f>VLOOKUP(A1324,'Neraca Unaudited SIMAK'!$A$2:$S$10004,16,FALSE)</f>
        <v>0</v>
      </c>
      <c r="E1340" s="25">
        <f>SUMIFS('Daftar Koreksi'!$I$5:$I$92,'Daftar Koreksi'!$D$5:$D$92,'0300'!A1324,'Daftar Koreksi'!$G$5:$G$92,"Aset Tetap Lainnya",'Daftar Koreksi'!$I$5:$I$92,"&gt;0")</f>
        <v>0</v>
      </c>
      <c r="F1340" s="25">
        <f>SUMIFS('Daftar Koreksi'!$I$5:$I$92,'Daftar Koreksi'!$D$5:$D$92,'0300'!A1324,'Daftar Koreksi'!$G$5:$G$92,"Aset Tetap Lainnya",'Daftar Koreksi'!$I$5:$I$92,"&lt;0")-SUMIFS('Daftar Koreksi'!$I$5:$I$92,'Daftar Koreksi'!$D$5:$D$92,'0300'!A1324,'Daftar Koreksi'!$G$5:$G$92,"Aset Tetap Lainnya",'Daftar Koreksi'!$I$5:$I$92,"&lt;0")-SUMIFS('Daftar Koreksi'!$I$5:$I$92,'Daftar Koreksi'!$D$5:$D$92,'0300'!A1324,'Daftar Koreksi'!$G$5:$G$92,"Aset Tetap Lainnya",'Daftar Koreksi'!$I$5:$I$92,"&lt;0")</f>
        <v>0</v>
      </c>
      <c r="G1340" s="17">
        <f t="shared" si="60"/>
        <v>0</v>
      </c>
      <c r="H1340" s="122"/>
    </row>
    <row r="1341" spans="1:8" ht="21.95" customHeight="1">
      <c r="A1341" s="14"/>
      <c r="B1341" s="14"/>
      <c r="C1341" s="16" t="s">
        <v>2020</v>
      </c>
      <c r="D1341" s="17">
        <f>VLOOKUP(A1324,'Neraca Unaudited SIMAK'!$A$2:$S$10004,17,FALSE)</f>
        <v>-6000</v>
      </c>
      <c r="E1341" s="25">
        <f>SUMIFS('Daftar Koreksi'!$I$5:$I$92,'Daftar Koreksi'!$D$5:$D$92,'0300'!A1324,'Daftar Koreksi'!$G$5:$G$92,"Aset Henti Guna",'Daftar Koreksi'!$I$5:$I$92,"&gt;0")</f>
        <v>0</v>
      </c>
      <c r="F1341" s="25">
        <f>SUMIFS('Daftar Koreksi'!$I$5:$I$92,'Daftar Koreksi'!$D$5:$D$92,'0300'!A1324,'Daftar Koreksi'!$G$5:$G$92,"Aset Henti Guna",'Daftar Koreksi'!$I$5:$I$92,"&lt;0")-SUMIFS('Daftar Koreksi'!$I$5:$I$92,'Daftar Koreksi'!$D$5:$D$92,'0300'!A1324,'Daftar Koreksi'!$G$5:$G$92,"Aset Henti Guna",'Daftar Koreksi'!$I$5:$I$92,"&lt;0")-SUMIFS('Daftar Koreksi'!$I$5:$I$92,'Daftar Koreksi'!$D$5:$D$92,'0300'!A1324,'Daftar Koreksi'!$G$5:$G$92,"Aset Henti Guna",'Daftar Koreksi'!$I$5:$I$92,"&lt;0")</f>
        <v>0</v>
      </c>
      <c r="G1341" s="17">
        <f t="shared" si="60"/>
        <v>-6000</v>
      </c>
      <c r="H1341" s="122"/>
    </row>
    <row r="1342" spans="1:8" ht="21.95" customHeight="1">
      <c r="A1342" s="14"/>
      <c r="B1342" s="14"/>
      <c r="C1342" s="18" t="s">
        <v>2094</v>
      </c>
      <c r="D1342" s="19">
        <f>SUM(D1337:D1341)</f>
        <v>-1068693046</v>
      </c>
      <c r="E1342" s="19">
        <f>SUM(E1337:E1341)</f>
        <v>0</v>
      </c>
      <c r="F1342" s="19">
        <f>SUM(F1337:F1341)</f>
        <v>0</v>
      </c>
      <c r="G1342" s="19">
        <f t="shared" si="60"/>
        <v>-1068693046</v>
      </c>
      <c r="H1342" s="122"/>
    </row>
    <row r="1343" spans="1:8" ht="21.95" customHeight="1">
      <c r="A1343" s="14"/>
      <c r="B1343" s="14"/>
      <c r="C1343" s="18" t="s">
        <v>2095</v>
      </c>
      <c r="D1343" s="19">
        <f>VLOOKUP(A1324,'Neraca Unaudited SIMAK'!$A$2:$S$10004,18,FALSE)</f>
        <v>7789707813</v>
      </c>
      <c r="E1343" s="19">
        <f>E1342+E1336</f>
        <v>0</v>
      </c>
      <c r="F1343" s="19">
        <f>F1342+F1336</f>
        <v>0</v>
      </c>
      <c r="G1343" s="19">
        <f t="shared" si="60"/>
        <v>7789707813</v>
      </c>
      <c r="H1343" s="122"/>
    </row>
    <row r="1344" spans="1:8" ht="21.95" customHeight="1">
      <c r="A1344" s="14"/>
      <c r="B1344" s="14"/>
      <c r="C1344" s="16" t="s">
        <v>2091</v>
      </c>
      <c r="D1344" s="17">
        <f>VLOOKUP(A1324,'Neraca Unaudited SIMAK'!$A$2:$S$10004,19,FALSE)</f>
        <v>0</v>
      </c>
      <c r="E1344" s="25"/>
      <c r="F1344" s="25"/>
      <c r="G1344" s="17">
        <f t="shared" si="60"/>
        <v>0</v>
      </c>
      <c r="H1344" s="123"/>
    </row>
    <row r="1346" spans="1:8" ht="19.5" customHeight="1">
      <c r="A1346" s="11" t="str">
        <f>O62</f>
        <v>005010300401121000KD</v>
      </c>
      <c r="B1346" s="11" t="str">
        <f>P62</f>
        <v>PA. Klaten</v>
      </c>
      <c r="C1346" s="12" t="str">
        <f>A1346&amp;" "&amp;B1346</f>
        <v>005010300401121000KD PA. Klaten</v>
      </c>
      <c r="D1346" s="13"/>
      <c r="E1346" s="13"/>
      <c r="F1346" s="13"/>
      <c r="G1346" s="13"/>
      <c r="H1346" s="11"/>
    </row>
    <row r="1347" spans="1:8" ht="21.95" customHeight="1">
      <c r="A1347" s="14"/>
      <c r="B1347" s="14"/>
      <c r="C1347" s="124" t="s">
        <v>1982</v>
      </c>
      <c r="D1347" s="126" t="s">
        <v>1983</v>
      </c>
      <c r="E1347" s="132" t="s">
        <v>1984</v>
      </c>
      <c r="F1347" s="132"/>
      <c r="G1347" s="126" t="s">
        <v>1987</v>
      </c>
      <c r="H1347" s="130" t="s">
        <v>1175</v>
      </c>
    </row>
    <row r="1348" spans="1:8" ht="21.95" customHeight="1">
      <c r="A1348" s="14"/>
      <c r="B1348" s="14"/>
      <c r="C1348" s="125"/>
      <c r="D1348" s="127"/>
      <c r="E1348" s="26" t="s">
        <v>1985</v>
      </c>
      <c r="F1348" s="26" t="s">
        <v>1986</v>
      </c>
      <c r="G1348" s="127"/>
      <c r="H1348" s="131"/>
    </row>
    <row r="1349" spans="1:8" ht="21.95" customHeight="1">
      <c r="A1349" s="14"/>
      <c r="B1349" s="14"/>
      <c r="C1349" s="16" t="s">
        <v>1165</v>
      </c>
      <c r="D1349" s="17">
        <f>VLOOKUP(A1346,'Neraca Unaudited SIMAK'!$A$2:$S$10004,3,FALSE)</f>
        <v>13423500</v>
      </c>
      <c r="E1349" s="25">
        <f>SUMIFS('Daftar Koreksi'!$H$5:$H$92,'Daftar Koreksi'!$D$5:$D$92,'0300'!A1346,'Daftar Koreksi'!$G$5:$G$92,"Persediaan",'Daftar Koreksi'!$H$5:$H$92,"&gt;0")</f>
        <v>0</v>
      </c>
      <c r="F1349" s="25">
        <f>SUMIFS('Daftar Koreksi'!$H$5:$H$92,'Daftar Koreksi'!$D$5:$D$92,'0300'!A1346,'Daftar Koreksi'!$G$5:$G$92,"Persediaan",'Daftar Koreksi'!$H$5:$H$92,"&lt;0")-SUMIFS('Daftar Koreksi'!$H$5:$H$92,'Daftar Koreksi'!$D$5:$D$92,'0300'!A1346,'Daftar Koreksi'!$G$5:$G$92,"Persediaan",'Daftar Koreksi'!$H$5:$H$92,"&lt;0")-SUMIFS('Daftar Koreksi'!$H$5:$H$92,'Daftar Koreksi'!$D$5:$D$92,'0300'!A1346,'Daftar Koreksi'!$G$5:$G$92,"Persediaan",'Daftar Koreksi'!$H$5:$H$92,"&lt;0")</f>
        <v>0</v>
      </c>
      <c r="G1349" s="17">
        <f>D1349+E1349-F1349</f>
        <v>13423500</v>
      </c>
      <c r="H1349" s="121" t="str">
        <f>IF(ISNA(VLOOKUP(A1346,'Mutasi Neraca'!$A$3:$S$914,19,FALSE)),"-",VLOOKUP(A1346,'Mutasi Neraca'!$A$3:$S$914,19,FALSE))</f>
        <v>-</v>
      </c>
    </row>
    <row r="1350" spans="1:8" ht="21.95" customHeight="1">
      <c r="A1350" s="14"/>
      <c r="B1350" s="14"/>
      <c r="C1350" s="16" t="s">
        <v>1166</v>
      </c>
      <c r="D1350" s="17">
        <f>VLOOKUP(A1346,'Neraca Unaudited SIMAK'!$A$2:$S$10004,4,FALSE)</f>
        <v>1272000000</v>
      </c>
      <c r="E1350" s="25">
        <f>SUMIFS('Daftar Koreksi'!$H$5:$H$92,'Daftar Koreksi'!$D$5:$D$92,'0300'!A1346,'Daftar Koreksi'!$G$5:$G$92,"Tanah",'Daftar Koreksi'!$H$5:$H$92,"&gt;0")</f>
        <v>0</v>
      </c>
      <c r="F1350" s="25">
        <f>SUMIFS('Daftar Koreksi'!$H$5:$H$92,'Daftar Koreksi'!$D$5:$D$92,'0300'!A1346,'Daftar Koreksi'!$G$5:$G$92,"Tanah",'Daftar Koreksi'!$H$5:$H$92,"&lt;0")-SUMIFS('Daftar Koreksi'!$H$5:$H$92,'Daftar Koreksi'!$D$5:$D$92,'0300'!A1346,'Daftar Koreksi'!$G$5:$G$92,"Tanah",'Daftar Koreksi'!$H$5:$H$92,"&lt;0")-SUMIFS('Daftar Koreksi'!$H$5:$H$92,'Daftar Koreksi'!$D$5:$D$92,'0300'!A1346,'Daftar Koreksi'!$G$5:$G$92,"Tanah",'Daftar Koreksi'!$H$5:$H$92,"&lt;0")</f>
        <v>0</v>
      </c>
      <c r="G1350" s="17">
        <f t="shared" ref="G1350:G1366" si="61">D1350+E1350-F1350</f>
        <v>1272000000</v>
      </c>
      <c r="H1350" s="122"/>
    </row>
    <row r="1351" spans="1:8" ht="21.95" customHeight="1">
      <c r="A1351" s="14"/>
      <c r="B1351" s="14"/>
      <c r="C1351" s="16" t="s">
        <v>1167</v>
      </c>
      <c r="D1351" s="17">
        <f>VLOOKUP(A1346,'Neraca Unaudited SIMAK'!$A$2:$S$10004,5,FALSE)</f>
        <v>1450980624</v>
      </c>
      <c r="E1351" s="25">
        <f>SUMIFS('Daftar Koreksi'!$H$5:$H$92,'Daftar Koreksi'!$D$5:$D$92,'0300'!A1346,'Daftar Koreksi'!$G$5:$G$92,"Peralatan dan mesin",'Daftar Koreksi'!$H$5:$H$92,"&gt;0")</f>
        <v>0</v>
      </c>
      <c r="F1351" s="25">
        <f>SUMIFS('Daftar Koreksi'!$H$5:$H$92,'Daftar Koreksi'!$D$5:$D$92,'0300'!A1346,'Daftar Koreksi'!$G$5:$G$92,"Peralatan dan mesin",'Daftar Koreksi'!$H$5:$H$92,"&lt;0")-SUMIFS('Daftar Koreksi'!$H$5:$H$92,'Daftar Koreksi'!$D$5:$D$92,'0300'!A1346,'Daftar Koreksi'!$G$5:$G$92,"Peralatan dan mesin",'Daftar Koreksi'!$H$5:$H$92,"&lt;0")-SUMIFS('Daftar Koreksi'!$H$5:$H$92,'Daftar Koreksi'!$D$5:$D$92,'0300'!A1346,'Daftar Koreksi'!$G$5:$G$92,"Peralatan dan mesin",'Daftar Koreksi'!$H$5:$H$92,"&lt;0")</f>
        <v>0</v>
      </c>
      <c r="G1351" s="17">
        <f t="shared" si="61"/>
        <v>1450980624</v>
      </c>
      <c r="H1351" s="122"/>
    </row>
    <row r="1352" spans="1:8" ht="21.95" customHeight="1">
      <c r="A1352" s="14"/>
      <c r="B1352" s="14"/>
      <c r="C1352" s="16" t="s">
        <v>1168</v>
      </c>
      <c r="D1352" s="17">
        <f>VLOOKUP(A1346,'Neraca Unaudited SIMAK'!$A$2:$S$10004,6,FALSE)</f>
        <v>1702444500</v>
      </c>
      <c r="E1352" s="25">
        <f>SUMIFS('Daftar Koreksi'!$H$5:$H$92,'Daftar Koreksi'!$D$5:$D$92,'0300'!A1346,'Daftar Koreksi'!$G$5:$G$92,"Gedung dan Bangunan",'Daftar Koreksi'!$H$5:$H$92,"&gt;0")</f>
        <v>0</v>
      </c>
      <c r="F1352" s="25">
        <f>SUMIFS('Daftar Koreksi'!$H$5:$H$92,'Daftar Koreksi'!$D$5:$D$92,'0300'!A1346,'Daftar Koreksi'!$G$5:$G$92,"Gedung dan Bangunan",'Daftar Koreksi'!$H$5:$H$92,"&lt;0")-SUMIFS('Daftar Koreksi'!$H$5:$H$92,'Daftar Koreksi'!$D$5:$D$92,'0300'!A1346,'Daftar Koreksi'!$G$5:$G$92,"Gedung dan Bangunan",'Daftar Koreksi'!$H$5:$H$92,"&lt;0")-SUMIFS('Daftar Koreksi'!$H$5:$H$92,'Daftar Koreksi'!$D$5:$D$92,'0300'!A1346,'Daftar Koreksi'!$G$5:$G$92,"Gedung dan Bangunan",'Daftar Koreksi'!$H$5:$H$92,"&lt;0")</f>
        <v>0</v>
      </c>
      <c r="G1352" s="17">
        <f t="shared" si="61"/>
        <v>1702444500</v>
      </c>
      <c r="H1352" s="122"/>
    </row>
    <row r="1353" spans="1:8" ht="21.95" customHeight="1">
      <c r="A1353" s="14"/>
      <c r="B1353" s="14"/>
      <c r="C1353" s="16" t="s">
        <v>1169</v>
      </c>
      <c r="D1353" s="17">
        <f>VLOOKUP(A1346,'Neraca Unaudited SIMAK'!$A$2:$S$10004,7,FALSE)</f>
        <v>0</v>
      </c>
      <c r="E1353" s="25">
        <f>SUMIFS('Daftar Koreksi'!$H$5:$H$92,'Daftar Koreksi'!$D$5:$D$92,'0300'!A1346,'Daftar Koreksi'!$G$5:$G$92,"Jalan Irigasi Jaringan",'Daftar Koreksi'!$H$5:$H$92,"&gt;0")</f>
        <v>0</v>
      </c>
      <c r="F1353" s="25">
        <f>SUMIFS('Daftar Koreksi'!$H$5:$H$92,'Daftar Koreksi'!$D$5:$D$92,'0300'!A1346,'Daftar Koreksi'!$G$5:$G$92,"Jalan Irigasi Jaringan",'Daftar Koreksi'!$H$5:$H$92,"&lt;0")-SUMIFS('Daftar Koreksi'!$H$5:$H$92,'Daftar Koreksi'!$D$5:$D$92,'0300'!A1346,'Daftar Koreksi'!$G$5:$G$92,"Jalan Irigasi Jaringan",'Daftar Koreksi'!$H$5:$H$92,"&lt;0")-SUMIFS('Daftar Koreksi'!$H$5:$H$92,'Daftar Koreksi'!$D$5:$D$92,'0300'!A1346,'Daftar Koreksi'!$G$5:$G$92,"Jalan Irigasi Jaringan",'Daftar Koreksi'!$H$5:$H$92,"&lt;0")</f>
        <v>0</v>
      </c>
      <c r="G1353" s="17">
        <f t="shared" si="61"/>
        <v>0</v>
      </c>
      <c r="H1353" s="122"/>
    </row>
    <row r="1354" spans="1:8" ht="21.95" customHeight="1">
      <c r="A1354" s="14"/>
      <c r="B1354" s="14"/>
      <c r="C1354" s="16" t="s">
        <v>1170</v>
      </c>
      <c r="D1354" s="17">
        <f>VLOOKUP(A1346,'Neraca Unaudited SIMAK'!$A$2:$S$10004,8,FALSE)</f>
        <v>4184300</v>
      </c>
      <c r="E1354" s="25">
        <f>SUMIFS('Daftar Koreksi'!$H$5:$H$92,'Daftar Koreksi'!$D$5:$D$92,'0300'!A1346,'Daftar Koreksi'!$G$5:$G$92,"Aset Tetap Lainnya",'Daftar Koreksi'!$H$5:$H$92,"&gt;0")</f>
        <v>0</v>
      </c>
      <c r="F1354" s="25">
        <f>SUMIFS('Daftar Koreksi'!$H$5:$H$92,'Daftar Koreksi'!$D$5:$D$92,'0300'!A1346,'Daftar Koreksi'!$G$5:$G$92,"Aset Tetap Lainnya",'Daftar Koreksi'!$H$5:$H$92,"&lt;0")-SUMIFS('Daftar Koreksi'!$H$5:$H$92,'Daftar Koreksi'!$D$5:$D$92,'0300'!A1346,'Daftar Koreksi'!$G$5:$G$92,"Aset Tetap Lainnya",'Daftar Koreksi'!$H$5:$H$92,"&lt;0")-SUMIFS('Daftar Koreksi'!$H$5:$H$92,'Daftar Koreksi'!$D$5:$D$92,'0300'!A1346,'Daftar Koreksi'!$G$5:$G$92,"Aset Tetap Lainnya",'Daftar Koreksi'!$H$5:$H$92,"&lt;0")</f>
        <v>0</v>
      </c>
      <c r="G1354" s="17">
        <f t="shared" si="61"/>
        <v>4184300</v>
      </c>
      <c r="H1354" s="122"/>
    </row>
    <row r="1355" spans="1:8" ht="21.95" customHeight="1">
      <c r="A1355" s="14"/>
      <c r="B1355" s="14"/>
      <c r="C1355" s="16" t="s">
        <v>1171</v>
      </c>
      <c r="D1355" s="17">
        <f>VLOOKUP(A1346,'Neraca Unaudited SIMAK'!$A$2:$S$10004,9,FALSE)</f>
        <v>0</v>
      </c>
      <c r="E1355" s="25">
        <f>SUMIFS('Daftar Koreksi'!$H$5:$H$92,'Daftar Koreksi'!$D$5:$D$92,'0300'!A1346,'Daftar Koreksi'!$G$5:$G$92,"Kontruksi Dalam Pengerjaan",'Daftar Koreksi'!$H$5:$H$92,"&gt;0")</f>
        <v>0</v>
      </c>
      <c r="F1355" s="25">
        <f>SUMIFS('Daftar Koreksi'!$H$5:$H$92,'Daftar Koreksi'!$D$5:$D$92,'0300'!A1346,'Daftar Koreksi'!$G$5:$G$92,"Kontruksi Dalam Pengerjaan",'Daftar Koreksi'!$H$5:$H$92,"&lt;0")-SUMIFS('Daftar Koreksi'!$H$5:$H$92,'Daftar Koreksi'!$D$5:$D$92,'0300'!A1346,'Daftar Koreksi'!$G$5:$G$92,"Kontruksi Dalam Pengerjaan",'Daftar Koreksi'!$H$5:$H$92,"&lt;0")-SUMIFS('Daftar Koreksi'!$H$5:$H$92,'Daftar Koreksi'!$D$5:$D$92,'0300'!A1346,'Daftar Koreksi'!$G$5:$G$92,"Kontruksi Dalam Pengerjaan",'Daftar Koreksi'!$H$5:$H$92,"&lt;0")</f>
        <v>0</v>
      </c>
      <c r="G1355" s="17">
        <f t="shared" si="61"/>
        <v>0</v>
      </c>
      <c r="H1355" s="122"/>
    </row>
    <row r="1356" spans="1:8" ht="21.95" customHeight="1">
      <c r="A1356" s="14"/>
      <c r="B1356" s="14"/>
      <c r="C1356" s="16" t="s">
        <v>1172</v>
      </c>
      <c r="D1356" s="17">
        <f>VLOOKUP(A1346,'Neraca Unaudited SIMAK'!$A$2:$S$10004,10,FALSE)</f>
        <v>0</v>
      </c>
      <c r="E1356" s="25">
        <f>SUMIFS('Daftar Koreksi'!$H$5:$H$92,'Daftar Koreksi'!$D$5:$D$92,'0300'!A1346,'Daftar Koreksi'!$G$5:$G$92,"Aset Tak Berwujud",'Daftar Koreksi'!$H$5:$H$92,"&gt;0")</f>
        <v>0</v>
      </c>
      <c r="F1356" s="25">
        <f>SUMIFS('Daftar Koreksi'!$H$5:$H$92,'Daftar Koreksi'!$D$5:$D$92,'0300'!A1346,'Daftar Koreksi'!$G$5:$G$92,"Aset Tak Berwujud",'Daftar Koreksi'!$H$5:$H$92,"&lt;0")-SUMIFS('Daftar Koreksi'!$H$5:$H$92,'Daftar Koreksi'!$D$5:$D$92,'0300'!A1346,'Daftar Koreksi'!$G$5:$G$92,"Aset Tak Berwujud",'Daftar Koreksi'!$H$5:$H$92,"&lt;0")-SUMIFS('Daftar Koreksi'!$H$5:$H$92,'Daftar Koreksi'!$D$5:$D$92,'0300'!A1346,'Daftar Koreksi'!$G$5:$G$92,"Aset Tak Berwujud",'Daftar Koreksi'!$H$5:$H$92,"&lt;0")</f>
        <v>0</v>
      </c>
      <c r="G1356" s="17">
        <f t="shared" si="61"/>
        <v>0</v>
      </c>
      <c r="H1356" s="122"/>
    </row>
    <row r="1357" spans="1:8" ht="21.95" customHeight="1">
      <c r="A1357" s="14"/>
      <c r="B1357" s="14"/>
      <c r="C1357" s="16" t="s">
        <v>1173</v>
      </c>
      <c r="D1357" s="17">
        <f>VLOOKUP(A1346,'Neraca Unaudited SIMAK'!$A$2:$S$10004,11,FALSE)</f>
        <v>0</v>
      </c>
      <c r="E1357" s="25">
        <f>SUMIFS('Daftar Koreksi'!$H$5:$H$92,'Daftar Koreksi'!$D$5:$D$92,'0300'!A1346,'Daftar Koreksi'!$G$5:$G$92,"Aset Henti Guna",'Daftar Koreksi'!$H$5:$H$92,"&gt;0")</f>
        <v>0</v>
      </c>
      <c r="F1357" s="25">
        <f>SUMIFS('Daftar Koreksi'!$H$5:$H$92,'Daftar Koreksi'!$D$5:$D$92,'0300'!A1346,'Daftar Koreksi'!$G$5:$G$92,"Aset Henti Guna",'Daftar Koreksi'!$H$5:$H$92,"&lt;0")-SUMIFS('Daftar Koreksi'!$H$5:$H$92,'Daftar Koreksi'!$D$5:$D$92,'0300'!A1346,'Daftar Koreksi'!$G$5:$G$92,"Aset Henti Guna",'Daftar Koreksi'!$H$5:$H$92,"&lt;0")-SUMIFS('Daftar Koreksi'!$H$5:$H$92,'Daftar Koreksi'!$D$5:$D$92,'0300'!A1346,'Daftar Koreksi'!$G$5:$G$92,"Aset Henti Guna",'Daftar Koreksi'!$H$5:$H$92,"&lt;0")</f>
        <v>0</v>
      </c>
      <c r="G1357" s="17">
        <f t="shared" si="61"/>
        <v>0</v>
      </c>
      <c r="H1357" s="122"/>
    </row>
    <row r="1358" spans="1:8" ht="21.95" customHeight="1">
      <c r="A1358" s="14"/>
      <c r="B1358" s="14"/>
      <c r="C1358" s="18" t="s">
        <v>2093</v>
      </c>
      <c r="D1358" s="19">
        <f>VLOOKUP(A1346,'Neraca Unaudited SIMAK'!$A$2:$S$10004,12,FALSE)</f>
        <v>4443032924</v>
      </c>
      <c r="E1358" s="19">
        <f>SUM(E1349:E1357)</f>
        <v>0</v>
      </c>
      <c r="F1358" s="19">
        <f>SUM(F1349:F1357)</f>
        <v>0</v>
      </c>
      <c r="G1358" s="19">
        <f t="shared" si="61"/>
        <v>4443032924</v>
      </c>
      <c r="H1358" s="122"/>
    </row>
    <row r="1359" spans="1:8" ht="21.95" customHeight="1">
      <c r="A1359" s="14"/>
      <c r="B1359" s="14"/>
      <c r="C1359" s="16" t="s">
        <v>2087</v>
      </c>
      <c r="D1359" s="17">
        <f>VLOOKUP(A1346,'Neraca Unaudited SIMAK'!$A$2:$S$10004,13,FALSE)</f>
        <v>-1077090763</v>
      </c>
      <c r="E1359" s="25">
        <f>SUMIFS('Daftar Koreksi'!$I$5:$I$92,'Daftar Koreksi'!$D$5:$D$92,'0300'!A1346,'Daftar Koreksi'!$G$5:$G$92,"Peralatan dan mesin",'Daftar Koreksi'!$I$5:$I$92,"&gt;0")</f>
        <v>0</v>
      </c>
      <c r="F1359" s="25">
        <f>SUMIFS('Daftar Koreksi'!$I$5:$I$92,'Daftar Koreksi'!$D$5:$D$92,'0300'!A1346,'Daftar Koreksi'!$G$5:$G$92,"Peralatan dan mesin",'Daftar Koreksi'!$I$5:$I$92,"&lt;0")-SUMIFS('Daftar Koreksi'!$I$5:$I$92,'Daftar Koreksi'!$D$5:$D$92,'0300'!A1346,'Daftar Koreksi'!$G$5:$G$92,"Peralatan dan mesin",'Daftar Koreksi'!$I$5:$I$92,"&lt;0")-SUMIFS('Daftar Koreksi'!$I$5:$I$92,'Daftar Koreksi'!$D$5:$D$92,'0300'!A1346,'Daftar Koreksi'!$G$5:$G$92,"Peralatan dan mesin",'Daftar Koreksi'!$I$5:$I$92,"&lt;0")</f>
        <v>0</v>
      </c>
      <c r="G1359" s="17">
        <f t="shared" si="61"/>
        <v>-1077090763</v>
      </c>
      <c r="H1359" s="122"/>
    </row>
    <row r="1360" spans="1:8" ht="21.95" customHeight="1">
      <c r="A1360" s="14"/>
      <c r="B1360" s="14"/>
      <c r="C1360" s="16" t="s">
        <v>2088</v>
      </c>
      <c r="D1360" s="17">
        <f>VLOOKUP(A1346,'Neraca Unaudited SIMAK'!$A$2:$S$10004,14,FALSE)</f>
        <v>-251907082</v>
      </c>
      <c r="E1360" s="25">
        <f>SUMIFS('Daftar Koreksi'!$I$5:$I$92,'Daftar Koreksi'!$D$5:$D$92,'0300'!A1346,'Daftar Koreksi'!$G$5:$G$92,"Gedung dan Bangunan",'Daftar Koreksi'!$I$5:$I$92,"&gt;0")</f>
        <v>0</v>
      </c>
      <c r="F1360" s="25">
        <f>SUMIFS('Daftar Koreksi'!$I$5:$I$92,'Daftar Koreksi'!$D$5:$D$92,'0300'!A1346,'Daftar Koreksi'!$G$5:$G$92,"Gedung dan Bangunan",'Daftar Koreksi'!$I$5:$I$92,"&lt;0")-SUMIFS('Daftar Koreksi'!$I$5:$I$92,'Daftar Koreksi'!$D$5:$D$92,'0300'!A1346,'Daftar Koreksi'!$G$5:$G$92,"Gedung dan Bangunan",'Daftar Koreksi'!$I$5:$I$92,"&lt;0")-SUMIFS('Daftar Koreksi'!$I$5:$I$92,'Daftar Koreksi'!$D$5:$D$92,'0300'!A1346,'Daftar Koreksi'!$G$5:$G$92,"Gedung dan Bangunan",'Daftar Koreksi'!$I$5:$I$92,"&lt;0")</f>
        <v>0</v>
      </c>
      <c r="G1360" s="17">
        <f t="shared" si="61"/>
        <v>-251907082</v>
      </c>
      <c r="H1360" s="122"/>
    </row>
    <row r="1361" spans="1:8" ht="21.95" customHeight="1">
      <c r="A1361" s="14"/>
      <c r="B1361" s="14"/>
      <c r="C1361" s="16" t="s">
        <v>2089</v>
      </c>
      <c r="D1361" s="17">
        <f>VLOOKUP(A1346,'Neraca Unaudited SIMAK'!$A$2:$S$10004,15,FALSE)</f>
        <v>0</v>
      </c>
      <c r="E1361" s="25">
        <f>SUMIFS('Daftar Koreksi'!$I$5:$I$92,'Daftar Koreksi'!$D$5:$D$92,'0300'!A1346,'Daftar Koreksi'!$G$5:$G$92,"Jalan Irigasi Jaringan",'Daftar Koreksi'!$I$5:$I$92,"&gt;0")</f>
        <v>0</v>
      </c>
      <c r="F1361" s="25">
        <f>SUMIFS('Daftar Koreksi'!$I$5:$I$92,'Daftar Koreksi'!$D$5:$D$92,'0300'!A1346,'Daftar Koreksi'!$G$5:$G$92,"Jalan Irigasi Jaringan",'Daftar Koreksi'!$I$5:$I$92,"&lt;0")-SUMIFS('Daftar Koreksi'!$I$5:$I$92,'Daftar Koreksi'!$D$5:$D$92,'0300'!A1346,'Daftar Koreksi'!$G$5:$G$92,"Jalan Irigasi Jaringan",'Daftar Koreksi'!$I$5:$I$92,"&lt;0")-SUMIFS('Daftar Koreksi'!$I$5:$I$92,'Daftar Koreksi'!$D$5:$D$92,'0300'!A1346,'Daftar Koreksi'!$G$5:$G$92,"Jalan Irigasi Jaringan",'Daftar Koreksi'!$I$5:$I$92,"&lt;0")</f>
        <v>0</v>
      </c>
      <c r="G1361" s="17">
        <f t="shared" si="61"/>
        <v>0</v>
      </c>
      <c r="H1361" s="122"/>
    </row>
    <row r="1362" spans="1:8" ht="21.95" customHeight="1">
      <c r="A1362" s="14"/>
      <c r="B1362" s="14"/>
      <c r="C1362" s="16" t="s">
        <v>2090</v>
      </c>
      <c r="D1362" s="17">
        <f>VLOOKUP(A1346,'Neraca Unaudited SIMAK'!$A$2:$S$10004,16,FALSE)</f>
        <v>0</v>
      </c>
      <c r="E1362" s="25">
        <f>SUMIFS('Daftar Koreksi'!$I$5:$I$92,'Daftar Koreksi'!$D$5:$D$92,'0300'!A1346,'Daftar Koreksi'!$G$5:$G$92,"Aset Tetap Lainnya",'Daftar Koreksi'!$I$5:$I$92,"&gt;0")</f>
        <v>0</v>
      </c>
      <c r="F1362" s="25">
        <f>SUMIFS('Daftar Koreksi'!$I$5:$I$92,'Daftar Koreksi'!$D$5:$D$92,'0300'!A1346,'Daftar Koreksi'!$G$5:$G$92,"Aset Tetap Lainnya",'Daftar Koreksi'!$I$5:$I$92,"&lt;0")-SUMIFS('Daftar Koreksi'!$I$5:$I$92,'Daftar Koreksi'!$D$5:$D$92,'0300'!A1346,'Daftar Koreksi'!$G$5:$G$92,"Aset Tetap Lainnya",'Daftar Koreksi'!$I$5:$I$92,"&lt;0")-SUMIFS('Daftar Koreksi'!$I$5:$I$92,'Daftar Koreksi'!$D$5:$D$92,'0300'!A1346,'Daftar Koreksi'!$G$5:$G$92,"Aset Tetap Lainnya",'Daftar Koreksi'!$I$5:$I$92,"&lt;0")</f>
        <v>0</v>
      </c>
      <c r="G1362" s="17">
        <f t="shared" si="61"/>
        <v>0</v>
      </c>
      <c r="H1362" s="122"/>
    </row>
    <row r="1363" spans="1:8" ht="21.95" customHeight="1">
      <c r="A1363" s="14"/>
      <c r="B1363" s="14"/>
      <c r="C1363" s="16" t="s">
        <v>2020</v>
      </c>
      <c r="D1363" s="17">
        <f>VLOOKUP(A1346,'Neraca Unaudited SIMAK'!$A$2:$S$10004,17,FALSE)</f>
        <v>0</v>
      </c>
      <c r="E1363" s="25">
        <f>SUMIFS('Daftar Koreksi'!$I$5:$I$92,'Daftar Koreksi'!$D$5:$D$92,'0300'!A1346,'Daftar Koreksi'!$G$5:$G$92,"Aset Henti Guna",'Daftar Koreksi'!$I$5:$I$92,"&gt;0")</f>
        <v>0</v>
      </c>
      <c r="F1363" s="25">
        <f>SUMIFS('Daftar Koreksi'!$I$5:$I$92,'Daftar Koreksi'!$D$5:$D$92,'0300'!A1346,'Daftar Koreksi'!$G$5:$G$92,"Aset Henti Guna",'Daftar Koreksi'!$I$5:$I$92,"&lt;0")-SUMIFS('Daftar Koreksi'!$I$5:$I$92,'Daftar Koreksi'!$D$5:$D$92,'0300'!A1346,'Daftar Koreksi'!$G$5:$G$92,"Aset Henti Guna",'Daftar Koreksi'!$I$5:$I$92,"&lt;0")-SUMIFS('Daftar Koreksi'!$I$5:$I$92,'Daftar Koreksi'!$D$5:$D$92,'0300'!A1346,'Daftar Koreksi'!$G$5:$G$92,"Aset Henti Guna",'Daftar Koreksi'!$I$5:$I$92,"&lt;0")</f>
        <v>0</v>
      </c>
      <c r="G1363" s="17">
        <f t="shared" si="61"/>
        <v>0</v>
      </c>
      <c r="H1363" s="122"/>
    </row>
    <row r="1364" spans="1:8" ht="21.95" customHeight="1">
      <c r="A1364" s="14"/>
      <c r="B1364" s="14"/>
      <c r="C1364" s="18" t="s">
        <v>2094</v>
      </c>
      <c r="D1364" s="19">
        <f>SUM(D1359:D1363)</f>
        <v>-1328997845</v>
      </c>
      <c r="E1364" s="19">
        <f>SUM(E1359:E1363)</f>
        <v>0</v>
      </c>
      <c r="F1364" s="19">
        <f>SUM(F1359:F1363)</f>
        <v>0</v>
      </c>
      <c r="G1364" s="19">
        <f t="shared" si="61"/>
        <v>-1328997845</v>
      </c>
      <c r="H1364" s="122"/>
    </row>
    <row r="1365" spans="1:8" ht="21.95" customHeight="1">
      <c r="A1365" s="14"/>
      <c r="B1365" s="14"/>
      <c r="C1365" s="18" t="s">
        <v>2095</v>
      </c>
      <c r="D1365" s="19">
        <f>VLOOKUP(A1346,'Neraca Unaudited SIMAK'!$A$2:$S$10004,18,FALSE)</f>
        <v>3114035079</v>
      </c>
      <c r="E1365" s="19">
        <f>E1364+E1358</f>
        <v>0</v>
      </c>
      <c r="F1365" s="19">
        <f>F1364+F1358</f>
        <v>0</v>
      </c>
      <c r="G1365" s="19">
        <f t="shared" si="61"/>
        <v>3114035079</v>
      </c>
      <c r="H1365" s="122"/>
    </row>
    <row r="1366" spans="1:8" ht="21.95" customHeight="1">
      <c r="A1366" s="14"/>
      <c r="B1366" s="14"/>
      <c r="C1366" s="16" t="s">
        <v>2091</v>
      </c>
      <c r="D1366" s="17">
        <f>VLOOKUP(A1346,'Neraca Unaudited SIMAK'!$A$2:$S$10004,19,FALSE)</f>
        <v>0</v>
      </c>
      <c r="E1366" s="25"/>
      <c r="F1366" s="25"/>
      <c r="G1366" s="17">
        <f t="shared" si="61"/>
        <v>0</v>
      </c>
      <c r="H1366" s="123"/>
    </row>
    <row r="1368" spans="1:8" ht="19.5" customHeight="1">
      <c r="A1368" s="11" t="str">
        <f>O63</f>
        <v>005010300401137000KD</v>
      </c>
      <c r="B1368" s="11" t="str">
        <f>P63</f>
        <v>PA. Boyolali</v>
      </c>
      <c r="C1368" s="12" t="str">
        <f>A1368&amp;" "&amp;B1368</f>
        <v>005010300401137000KD PA. Boyolali</v>
      </c>
      <c r="D1368" s="13"/>
      <c r="E1368" s="13"/>
      <c r="F1368" s="13"/>
      <c r="G1368" s="13"/>
      <c r="H1368" s="11"/>
    </row>
    <row r="1369" spans="1:8" ht="21.95" customHeight="1">
      <c r="A1369" s="14"/>
      <c r="B1369" s="14"/>
      <c r="C1369" s="124" t="s">
        <v>1982</v>
      </c>
      <c r="D1369" s="126" t="s">
        <v>1983</v>
      </c>
      <c r="E1369" s="132" t="s">
        <v>1984</v>
      </c>
      <c r="F1369" s="132"/>
      <c r="G1369" s="126" t="s">
        <v>1987</v>
      </c>
      <c r="H1369" s="130" t="s">
        <v>1175</v>
      </c>
    </row>
    <row r="1370" spans="1:8" ht="21.95" customHeight="1">
      <c r="A1370" s="14"/>
      <c r="B1370" s="14"/>
      <c r="C1370" s="125"/>
      <c r="D1370" s="127"/>
      <c r="E1370" s="26" t="s">
        <v>1985</v>
      </c>
      <c r="F1370" s="26" t="s">
        <v>1986</v>
      </c>
      <c r="G1370" s="127"/>
      <c r="H1370" s="131"/>
    </row>
    <row r="1371" spans="1:8" ht="21.95" customHeight="1">
      <c r="A1371" s="14"/>
      <c r="B1371" s="14"/>
      <c r="C1371" s="16" t="s">
        <v>1165</v>
      </c>
      <c r="D1371" s="17">
        <f>VLOOKUP(A1368,'Neraca Unaudited SIMAK'!$A$2:$S$10004,3,FALSE)</f>
        <v>5140348</v>
      </c>
      <c r="E1371" s="25">
        <f>SUMIFS('Daftar Koreksi'!$H$5:$H$92,'Daftar Koreksi'!$D$5:$D$92,'0300'!A1368,'Daftar Koreksi'!$G$5:$G$92,"Persediaan",'Daftar Koreksi'!$H$5:$H$92,"&gt;0")</f>
        <v>0</v>
      </c>
      <c r="F1371" s="25">
        <f>SUMIFS('Daftar Koreksi'!$H$5:$H$92,'Daftar Koreksi'!$D$5:$D$92,'0300'!A1368,'Daftar Koreksi'!$G$5:$G$92,"Persediaan",'Daftar Koreksi'!$H$5:$H$92,"&lt;0")-SUMIFS('Daftar Koreksi'!$H$5:$H$92,'Daftar Koreksi'!$D$5:$D$92,'0300'!A1368,'Daftar Koreksi'!$G$5:$G$92,"Persediaan",'Daftar Koreksi'!$H$5:$H$92,"&lt;0")-SUMIFS('Daftar Koreksi'!$H$5:$H$92,'Daftar Koreksi'!$D$5:$D$92,'0300'!A1368,'Daftar Koreksi'!$G$5:$G$92,"Persediaan",'Daftar Koreksi'!$H$5:$H$92,"&lt;0")</f>
        <v>0</v>
      </c>
      <c r="G1371" s="17">
        <f>D1371+E1371-F1371</f>
        <v>5140348</v>
      </c>
      <c r="H1371" s="121" t="str">
        <f>IF(ISNA(VLOOKUP(A1368,'Mutasi Neraca'!$A$3:$S$914,19,FALSE)),"-",VLOOKUP(A1368,'Mutasi Neraca'!$A$3:$S$914,19,FALSE))</f>
        <v>-</v>
      </c>
    </row>
    <row r="1372" spans="1:8" ht="21.95" customHeight="1">
      <c r="A1372" s="14"/>
      <c r="B1372" s="14"/>
      <c r="C1372" s="16" t="s">
        <v>1166</v>
      </c>
      <c r="D1372" s="17">
        <f>VLOOKUP(A1368,'Neraca Unaudited SIMAK'!$A$2:$S$10004,4,FALSE)</f>
        <v>1235268000</v>
      </c>
      <c r="E1372" s="25">
        <f>SUMIFS('Daftar Koreksi'!$H$5:$H$92,'Daftar Koreksi'!$D$5:$D$92,'0300'!A1368,'Daftar Koreksi'!$G$5:$G$92,"Tanah",'Daftar Koreksi'!$H$5:$H$92,"&gt;0")</f>
        <v>0</v>
      </c>
      <c r="F1372" s="25">
        <f>SUMIFS('Daftar Koreksi'!$H$5:$H$92,'Daftar Koreksi'!$D$5:$D$92,'0300'!A1368,'Daftar Koreksi'!$G$5:$G$92,"Tanah",'Daftar Koreksi'!$H$5:$H$92,"&lt;0")-SUMIFS('Daftar Koreksi'!$H$5:$H$92,'Daftar Koreksi'!$D$5:$D$92,'0300'!A1368,'Daftar Koreksi'!$G$5:$G$92,"Tanah",'Daftar Koreksi'!$H$5:$H$92,"&lt;0")-SUMIFS('Daftar Koreksi'!$H$5:$H$92,'Daftar Koreksi'!$D$5:$D$92,'0300'!A1368,'Daftar Koreksi'!$G$5:$G$92,"Tanah",'Daftar Koreksi'!$H$5:$H$92,"&lt;0")</f>
        <v>0</v>
      </c>
      <c r="G1372" s="17">
        <f t="shared" ref="G1372:G1388" si="62">D1372+E1372-F1372</f>
        <v>1235268000</v>
      </c>
      <c r="H1372" s="122"/>
    </row>
    <row r="1373" spans="1:8" ht="21.95" customHeight="1">
      <c r="A1373" s="14"/>
      <c r="B1373" s="14"/>
      <c r="C1373" s="16" t="s">
        <v>1167</v>
      </c>
      <c r="D1373" s="17">
        <f>VLOOKUP(A1368,'Neraca Unaudited SIMAK'!$A$2:$S$10004,5,FALSE)</f>
        <v>1012331874</v>
      </c>
      <c r="E1373" s="25">
        <f>SUMIFS('Daftar Koreksi'!$H$5:$H$92,'Daftar Koreksi'!$D$5:$D$92,'0300'!A1368,'Daftar Koreksi'!$G$5:$G$92,"Peralatan dan mesin",'Daftar Koreksi'!$H$5:$H$92,"&gt;0")</f>
        <v>0</v>
      </c>
      <c r="F1373" s="25">
        <f>SUMIFS('Daftar Koreksi'!$H$5:$H$92,'Daftar Koreksi'!$D$5:$D$92,'0300'!A1368,'Daftar Koreksi'!$G$5:$G$92,"Peralatan dan mesin",'Daftar Koreksi'!$H$5:$H$92,"&lt;0")-SUMIFS('Daftar Koreksi'!$H$5:$H$92,'Daftar Koreksi'!$D$5:$D$92,'0300'!A1368,'Daftar Koreksi'!$G$5:$G$92,"Peralatan dan mesin",'Daftar Koreksi'!$H$5:$H$92,"&lt;0")-SUMIFS('Daftar Koreksi'!$H$5:$H$92,'Daftar Koreksi'!$D$5:$D$92,'0300'!A1368,'Daftar Koreksi'!$G$5:$G$92,"Peralatan dan mesin",'Daftar Koreksi'!$H$5:$H$92,"&lt;0")</f>
        <v>0</v>
      </c>
      <c r="G1373" s="17">
        <f t="shared" si="62"/>
        <v>1012331874</v>
      </c>
      <c r="H1373" s="122"/>
    </row>
    <row r="1374" spans="1:8" ht="21.95" customHeight="1">
      <c r="A1374" s="14"/>
      <c r="B1374" s="14"/>
      <c r="C1374" s="16" t="s">
        <v>1168</v>
      </c>
      <c r="D1374" s="17">
        <f>VLOOKUP(A1368,'Neraca Unaudited SIMAK'!$A$2:$S$10004,6,FALSE)</f>
        <v>1837398000</v>
      </c>
      <c r="E1374" s="25">
        <f>SUMIFS('Daftar Koreksi'!$H$5:$H$92,'Daftar Koreksi'!$D$5:$D$92,'0300'!A1368,'Daftar Koreksi'!$G$5:$G$92,"Gedung dan Bangunan",'Daftar Koreksi'!$H$5:$H$92,"&gt;0")</f>
        <v>0</v>
      </c>
      <c r="F1374" s="25">
        <f>SUMIFS('Daftar Koreksi'!$H$5:$H$92,'Daftar Koreksi'!$D$5:$D$92,'0300'!A1368,'Daftar Koreksi'!$G$5:$G$92,"Gedung dan Bangunan",'Daftar Koreksi'!$H$5:$H$92,"&lt;0")-SUMIFS('Daftar Koreksi'!$H$5:$H$92,'Daftar Koreksi'!$D$5:$D$92,'0300'!A1368,'Daftar Koreksi'!$G$5:$G$92,"Gedung dan Bangunan",'Daftar Koreksi'!$H$5:$H$92,"&lt;0")-SUMIFS('Daftar Koreksi'!$H$5:$H$92,'Daftar Koreksi'!$D$5:$D$92,'0300'!A1368,'Daftar Koreksi'!$G$5:$G$92,"Gedung dan Bangunan",'Daftar Koreksi'!$H$5:$H$92,"&lt;0")</f>
        <v>0</v>
      </c>
      <c r="G1374" s="17">
        <f t="shared" si="62"/>
        <v>1837398000</v>
      </c>
      <c r="H1374" s="122"/>
    </row>
    <row r="1375" spans="1:8" ht="21.95" customHeight="1">
      <c r="A1375" s="14"/>
      <c r="B1375" s="14"/>
      <c r="C1375" s="16" t="s">
        <v>1169</v>
      </c>
      <c r="D1375" s="17">
        <f>VLOOKUP(A1368,'Neraca Unaudited SIMAK'!$A$2:$S$10004,7,FALSE)</f>
        <v>33656920</v>
      </c>
      <c r="E1375" s="25">
        <f>SUMIFS('Daftar Koreksi'!$H$5:$H$92,'Daftar Koreksi'!$D$5:$D$92,'0300'!A1368,'Daftar Koreksi'!$G$5:$G$92,"Jalan Irigasi Jaringan",'Daftar Koreksi'!$H$5:$H$92,"&gt;0")</f>
        <v>0</v>
      </c>
      <c r="F1375" s="25">
        <f>SUMIFS('Daftar Koreksi'!$H$5:$H$92,'Daftar Koreksi'!$D$5:$D$92,'0300'!A1368,'Daftar Koreksi'!$G$5:$G$92,"Jalan Irigasi Jaringan",'Daftar Koreksi'!$H$5:$H$92,"&lt;0")-SUMIFS('Daftar Koreksi'!$H$5:$H$92,'Daftar Koreksi'!$D$5:$D$92,'0300'!A1368,'Daftar Koreksi'!$G$5:$G$92,"Jalan Irigasi Jaringan",'Daftar Koreksi'!$H$5:$H$92,"&lt;0")-SUMIFS('Daftar Koreksi'!$H$5:$H$92,'Daftar Koreksi'!$D$5:$D$92,'0300'!A1368,'Daftar Koreksi'!$G$5:$G$92,"Jalan Irigasi Jaringan",'Daftar Koreksi'!$H$5:$H$92,"&lt;0")</f>
        <v>0</v>
      </c>
      <c r="G1375" s="17">
        <f t="shared" si="62"/>
        <v>33656920</v>
      </c>
      <c r="H1375" s="122"/>
    </row>
    <row r="1376" spans="1:8" ht="21.95" customHeight="1">
      <c r="A1376" s="14"/>
      <c r="B1376" s="14"/>
      <c r="C1376" s="16" t="s">
        <v>1170</v>
      </c>
      <c r="D1376" s="17">
        <f>VLOOKUP(A1368,'Neraca Unaudited SIMAK'!$A$2:$S$10004,8,FALSE)</f>
        <v>12421300</v>
      </c>
      <c r="E1376" s="25">
        <f>SUMIFS('Daftar Koreksi'!$H$5:$H$92,'Daftar Koreksi'!$D$5:$D$92,'0300'!A1368,'Daftar Koreksi'!$G$5:$G$92,"Aset Tetap Lainnya",'Daftar Koreksi'!$H$5:$H$92,"&gt;0")</f>
        <v>0</v>
      </c>
      <c r="F1376" s="25">
        <f>SUMIFS('Daftar Koreksi'!$H$5:$H$92,'Daftar Koreksi'!$D$5:$D$92,'0300'!A1368,'Daftar Koreksi'!$G$5:$G$92,"Aset Tetap Lainnya",'Daftar Koreksi'!$H$5:$H$92,"&lt;0")-SUMIFS('Daftar Koreksi'!$H$5:$H$92,'Daftar Koreksi'!$D$5:$D$92,'0300'!A1368,'Daftar Koreksi'!$G$5:$G$92,"Aset Tetap Lainnya",'Daftar Koreksi'!$H$5:$H$92,"&lt;0")-SUMIFS('Daftar Koreksi'!$H$5:$H$92,'Daftar Koreksi'!$D$5:$D$92,'0300'!A1368,'Daftar Koreksi'!$G$5:$G$92,"Aset Tetap Lainnya",'Daftar Koreksi'!$H$5:$H$92,"&lt;0")</f>
        <v>0</v>
      </c>
      <c r="G1376" s="17">
        <f t="shared" si="62"/>
        <v>12421300</v>
      </c>
      <c r="H1376" s="122"/>
    </row>
    <row r="1377" spans="1:8" ht="21.95" customHeight="1">
      <c r="A1377" s="14"/>
      <c r="B1377" s="14"/>
      <c r="C1377" s="16" t="s">
        <v>1171</v>
      </c>
      <c r="D1377" s="17">
        <f>VLOOKUP(A1368,'Neraca Unaudited SIMAK'!$A$2:$S$10004,9,FALSE)</f>
        <v>0</v>
      </c>
      <c r="E1377" s="25">
        <f>SUMIFS('Daftar Koreksi'!$H$5:$H$92,'Daftar Koreksi'!$D$5:$D$92,'0300'!A1368,'Daftar Koreksi'!$G$5:$G$92,"Kontruksi Dalam Pengerjaan",'Daftar Koreksi'!$H$5:$H$92,"&gt;0")</f>
        <v>0</v>
      </c>
      <c r="F1377" s="25">
        <f>SUMIFS('Daftar Koreksi'!$H$5:$H$92,'Daftar Koreksi'!$D$5:$D$92,'0300'!A1368,'Daftar Koreksi'!$G$5:$G$92,"Kontruksi Dalam Pengerjaan",'Daftar Koreksi'!$H$5:$H$92,"&lt;0")-SUMIFS('Daftar Koreksi'!$H$5:$H$92,'Daftar Koreksi'!$D$5:$D$92,'0300'!A1368,'Daftar Koreksi'!$G$5:$G$92,"Kontruksi Dalam Pengerjaan",'Daftar Koreksi'!$H$5:$H$92,"&lt;0")-SUMIFS('Daftar Koreksi'!$H$5:$H$92,'Daftar Koreksi'!$D$5:$D$92,'0300'!A1368,'Daftar Koreksi'!$G$5:$G$92,"Kontruksi Dalam Pengerjaan",'Daftar Koreksi'!$H$5:$H$92,"&lt;0")</f>
        <v>0</v>
      </c>
      <c r="G1377" s="17">
        <f t="shared" si="62"/>
        <v>0</v>
      </c>
      <c r="H1377" s="122"/>
    </row>
    <row r="1378" spans="1:8" ht="21.95" customHeight="1">
      <c r="A1378" s="14"/>
      <c r="B1378" s="14"/>
      <c r="C1378" s="16" t="s">
        <v>1172</v>
      </c>
      <c r="D1378" s="17">
        <f>VLOOKUP(A1368,'Neraca Unaudited SIMAK'!$A$2:$S$10004,10,FALSE)</f>
        <v>0</v>
      </c>
      <c r="E1378" s="25">
        <f>SUMIFS('Daftar Koreksi'!$H$5:$H$92,'Daftar Koreksi'!$D$5:$D$92,'0300'!A1368,'Daftar Koreksi'!$G$5:$G$92,"Aset Tak Berwujud",'Daftar Koreksi'!$H$5:$H$92,"&gt;0")</f>
        <v>0</v>
      </c>
      <c r="F1378" s="25">
        <f>SUMIFS('Daftar Koreksi'!$H$5:$H$92,'Daftar Koreksi'!$D$5:$D$92,'0300'!A1368,'Daftar Koreksi'!$G$5:$G$92,"Aset Tak Berwujud",'Daftar Koreksi'!$H$5:$H$92,"&lt;0")-SUMIFS('Daftar Koreksi'!$H$5:$H$92,'Daftar Koreksi'!$D$5:$D$92,'0300'!A1368,'Daftar Koreksi'!$G$5:$G$92,"Aset Tak Berwujud",'Daftar Koreksi'!$H$5:$H$92,"&lt;0")-SUMIFS('Daftar Koreksi'!$H$5:$H$92,'Daftar Koreksi'!$D$5:$D$92,'0300'!A1368,'Daftar Koreksi'!$G$5:$G$92,"Aset Tak Berwujud",'Daftar Koreksi'!$H$5:$H$92,"&lt;0")</f>
        <v>0</v>
      </c>
      <c r="G1378" s="17">
        <f t="shared" si="62"/>
        <v>0</v>
      </c>
      <c r="H1378" s="122"/>
    </row>
    <row r="1379" spans="1:8" ht="21.95" customHeight="1">
      <c r="A1379" s="14"/>
      <c r="B1379" s="14"/>
      <c r="C1379" s="16" t="s">
        <v>1173</v>
      </c>
      <c r="D1379" s="17">
        <f>VLOOKUP(A1368,'Neraca Unaudited SIMAK'!$A$2:$S$10004,11,FALSE)</f>
        <v>36958000</v>
      </c>
      <c r="E1379" s="25">
        <f>SUMIFS('Daftar Koreksi'!$H$5:$H$92,'Daftar Koreksi'!$D$5:$D$92,'0300'!A1368,'Daftar Koreksi'!$G$5:$G$92,"Aset Henti Guna",'Daftar Koreksi'!$H$5:$H$92,"&gt;0")</f>
        <v>0</v>
      </c>
      <c r="F1379" s="25">
        <f>SUMIFS('Daftar Koreksi'!$H$5:$H$92,'Daftar Koreksi'!$D$5:$D$92,'0300'!A1368,'Daftar Koreksi'!$G$5:$G$92,"Aset Henti Guna",'Daftar Koreksi'!$H$5:$H$92,"&lt;0")-SUMIFS('Daftar Koreksi'!$H$5:$H$92,'Daftar Koreksi'!$D$5:$D$92,'0300'!A1368,'Daftar Koreksi'!$G$5:$G$92,"Aset Henti Guna",'Daftar Koreksi'!$H$5:$H$92,"&lt;0")-SUMIFS('Daftar Koreksi'!$H$5:$H$92,'Daftar Koreksi'!$D$5:$D$92,'0300'!A1368,'Daftar Koreksi'!$G$5:$G$92,"Aset Henti Guna",'Daftar Koreksi'!$H$5:$H$92,"&lt;0")</f>
        <v>0</v>
      </c>
      <c r="G1379" s="17">
        <f t="shared" si="62"/>
        <v>36958000</v>
      </c>
      <c r="H1379" s="122"/>
    </row>
    <row r="1380" spans="1:8" ht="21.95" customHeight="1">
      <c r="A1380" s="14"/>
      <c r="B1380" s="14"/>
      <c r="C1380" s="18" t="s">
        <v>2093</v>
      </c>
      <c r="D1380" s="19">
        <f>VLOOKUP(A1368,'Neraca Unaudited SIMAK'!$A$2:$S$10004,12,FALSE)</f>
        <v>4173174442</v>
      </c>
      <c r="E1380" s="19">
        <f>SUM(E1371:E1379)</f>
        <v>0</v>
      </c>
      <c r="F1380" s="19">
        <f>SUM(F1371:F1379)</f>
        <v>0</v>
      </c>
      <c r="G1380" s="19">
        <f t="shared" si="62"/>
        <v>4173174442</v>
      </c>
      <c r="H1380" s="122"/>
    </row>
    <row r="1381" spans="1:8" ht="21.95" customHeight="1">
      <c r="A1381" s="14"/>
      <c r="B1381" s="14"/>
      <c r="C1381" s="16" t="s">
        <v>2087</v>
      </c>
      <c r="D1381" s="17">
        <f>VLOOKUP(A1368,'Neraca Unaudited SIMAK'!$A$2:$S$10004,13,FALSE)</f>
        <v>-826966012</v>
      </c>
      <c r="E1381" s="25">
        <f>SUMIFS('Daftar Koreksi'!$I$5:$I$92,'Daftar Koreksi'!$D$5:$D$92,'0300'!A1368,'Daftar Koreksi'!$G$5:$G$92,"Peralatan dan mesin",'Daftar Koreksi'!$I$5:$I$92,"&gt;0")</f>
        <v>0</v>
      </c>
      <c r="F1381" s="25">
        <f>SUMIFS('Daftar Koreksi'!$I$5:$I$92,'Daftar Koreksi'!$D$5:$D$92,'0300'!A1368,'Daftar Koreksi'!$G$5:$G$92,"Peralatan dan mesin",'Daftar Koreksi'!$I$5:$I$92,"&lt;0")-SUMIFS('Daftar Koreksi'!$I$5:$I$92,'Daftar Koreksi'!$D$5:$D$92,'0300'!A1368,'Daftar Koreksi'!$G$5:$G$92,"Peralatan dan mesin",'Daftar Koreksi'!$I$5:$I$92,"&lt;0")-SUMIFS('Daftar Koreksi'!$I$5:$I$92,'Daftar Koreksi'!$D$5:$D$92,'0300'!A1368,'Daftar Koreksi'!$G$5:$G$92,"Peralatan dan mesin",'Daftar Koreksi'!$I$5:$I$92,"&lt;0")</f>
        <v>0</v>
      </c>
      <c r="G1381" s="17">
        <f t="shared" si="62"/>
        <v>-826966012</v>
      </c>
      <c r="H1381" s="122"/>
    </row>
    <row r="1382" spans="1:8" ht="21.95" customHeight="1">
      <c r="A1382" s="14"/>
      <c r="B1382" s="14"/>
      <c r="C1382" s="16" t="s">
        <v>2088</v>
      </c>
      <c r="D1382" s="17">
        <f>VLOOKUP(A1368,'Neraca Unaudited SIMAK'!$A$2:$S$10004,14,FALSE)</f>
        <v>-309254849</v>
      </c>
      <c r="E1382" s="25">
        <f>SUMIFS('Daftar Koreksi'!$I$5:$I$92,'Daftar Koreksi'!$D$5:$D$92,'0300'!A1368,'Daftar Koreksi'!$G$5:$G$92,"Gedung dan Bangunan",'Daftar Koreksi'!$I$5:$I$92,"&gt;0")</f>
        <v>0</v>
      </c>
      <c r="F1382" s="25">
        <f>SUMIFS('Daftar Koreksi'!$I$5:$I$92,'Daftar Koreksi'!$D$5:$D$92,'0300'!A1368,'Daftar Koreksi'!$G$5:$G$92,"Gedung dan Bangunan",'Daftar Koreksi'!$I$5:$I$92,"&lt;0")-SUMIFS('Daftar Koreksi'!$I$5:$I$92,'Daftar Koreksi'!$D$5:$D$92,'0300'!A1368,'Daftar Koreksi'!$G$5:$G$92,"Gedung dan Bangunan",'Daftar Koreksi'!$I$5:$I$92,"&lt;0")-SUMIFS('Daftar Koreksi'!$I$5:$I$92,'Daftar Koreksi'!$D$5:$D$92,'0300'!A1368,'Daftar Koreksi'!$G$5:$G$92,"Gedung dan Bangunan",'Daftar Koreksi'!$I$5:$I$92,"&lt;0")</f>
        <v>0</v>
      </c>
      <c r="G1382" s="17">
        <f t="shared" si="62"/>
        <v>-309254849</v>
      </c>
      <c r="H1382" s="122"/>
    </row>
    <row r="1383" spans="1:8" ht="21.95" customHeight="1">
      <c r="A1383" s="14"/>
      <c r="B1383" s="14"/>
      <c r="C1383" s="16" t="s">
        <v>2089</v>
      </c>
      <c r="D1383" s="17">
        <f>VLOOKUP(A1368,'Neraca Unaudited SIMAK'!$A$2:$S$10004,15,FALSE)</f>
        <v>-5889962</v>
      </c>
      <c r="E1383" s="25">
        <f>SUMIFS('Daftar Koreksi'!$I$5:$I$92,'Daftar Koreksi'!$D$5:$D$92,'0300'!A1368,'Daftar Koreksi'!$G$5:$G$92,"Jalan Irigasi Jaringan",'Daftar Koreksi'!$I$5:$I$92,"&gt;0")</f>
        <v>0</v>
      </c>
      <c r="F1383" s="25">
        <f>SUMIFS('Daftar Koreksi'!$I$5:$I$92,'Daftar Koreksi'!$D$5:$D$92,'0300'!A1368,'Daftar Koreksi'!$G$5:$G$92,"Jalan Irigasi Jaringan",'Daftar Koreksi'!$I$5:$I$92,"&lt;0")-SUMIFS('Daftar Koreksi'!$I$5:$I$92,'Daftar Koreksi'!$D$5:$D$92,'0300'!A1368,'Daftar Koreksi'!$G$5:$G$92,"Jalan Irigasi Jaringan",'Daftar Koreksi'!$I$5:$I$92,"&lt;0")-SUMIFS('Daftar Koreksi'!$I$5:$I$92,'Daftar Koreksi'!$D$5:$D$92,'0300'!A1368,'Daftar Koreksi'!$G$5:$G$92,"Jalan Irigasi Jaringan",'Daftar Koreksi'!$I$5:$I$92,"&lt;0")</f>
        <v>0</v>
      </c>
      <c r="G1383" s="17">
        <f t="shared" si="62"/>
        <v>-5889962</v>
      </c>
      <c r="H1383" s="122"/>
    </row>
    <row r="1384" spans="1:8" ht="21.95" customHeight="1">
      <c r="A1384" s="14"/>
      <c r="B1384" s="14"/>
      <c r="C1384" s="16" t="s">
        <v>2090</v>
      </c>
      <c r="D1384" s="17">
        <f>VLOOKUP(A1368,'Neraca Unaudited SIMAK'!$A$2:$S$10004,16,FALSE)</f>
        <v>0</v>
      </c>
      <c r="E1384" s="25">
        <f>SUMIFS('Daftar Koreksi'!$I$5:$I$92,'Daftar Koreksi'!$D$5:$D$92,'0300'!A1368,'Daftar Koreksi'!$G$5:$G$92,"Aset Tetap Lainnya",'Daftar Koreksi'!$I$5:$I$92,"&gt;0")</f>
        <v>0</v>
      </c>
      <c r="F1384" s="25">
        <f>SUMIFS('Daftar Koreksi'!$I$5:$I$92,'Daftar Koreksi'!$D$5:$D$92,'0300'!A1368,'Daftar Koreksi'!$G$5:$G$92,"Aset Tetap Lainnya",'Daftar Koreksi'!$I$5:$I$92,"&lt;0")-SUMIFS('Daftar Koreksi'!$I$5:$I$92,'Daftar Koreksi'!$D$5:$D$92,'0300'!A1368,'Daftar Koreksi'!$G$5:$G$92,"Aset Tetap Lainnya",'Daftar Koreksi'!$I$5:$I$92,"&lt;0")-SUMIFS('Daftar Koreksi'!$I$5:$I$92,'Daftar Koreksi'!$D$5:$D$92,'0300'!A1368,'Daftar Koreksi'!$G$5:$G$92,"Aset Tetap Lainnya",'Daftar Koreksi'!$I$5:$I$92,"&lt;0")</f>
        <v>0</v>
      </c>
      <c r="G1384" s="17">
        <f t="shared" si="62"/>
        <v>0</v>
      </c>
      <c r="H1384" s="122"/>
    </row>
    <row r="1385" spans="1:8" ht="21.95" customHeight="1">
      <c r="A1385" s="14"/>
      <c r="B1385" s="14"/>
      <c r="C1385" s="16" t="s">
        <v>2020</v>
      </c>
      <c r="D1385" s="17">
        <f>VLOOKUP(A1368,'Neraca Unaudited SIMAK'!$A$2:$S$10004,17,FALSE)</f>
        <v>-36052000</v>
      </c>
      <c r="E1385" s="25">
        <f>SUMIFS('Daftar Koreksi'!$I$5:$I$92,'Daftar Koreksi'!$D$5:$D$92,'0300'!A1368,'Daftar Koreksi'!$G$5:$G$92,"Aset Henti Guna",'Daftar Koreksi'!$I$5:$I$92,"&gt;0")</f>
        <v>0</v>
      </c>
      <c r="F1385" s="25">
        <f>SUMIFS('Daftar Koreksi'!$I$5:$I$92,'Daftar Koreksi'!$D$5:$D$92,'0300'!A1368,'Daftar Koreksi'!$G$5:$G$92,"Aset Henti Guna",'Daftar Koreksi'!$I$5:$I$92,"&lt;0")-SUMIFS('Daftar Koreksi'!$I$5:$I$92,'Daftar Koreksi'!$D$5:$D$92,'0300'!A1368,'Daftar Koreksi'!$G$5:$G$92,"Aset Henti Guna",'Daftar Koreksi'!$I$5:$I$92,"&lt;0")-SUMIFS('Daftar Koreksi'!$I$5:$I$92,'Daftar Koreksi'!$D$5:$D$92,'0300'!A1368,'Daftar Koreksi'!$G$5:$G$92,"Aset Henti Guna",'Daftar Koreksi'!$I$5:$I$92,"&lt;0")</f>
        <v>0</v>
      </c>
      <c r="G1385" s="17">
        <f t="shared" si="62"/>
        <v>-36052000</v>
      </c>
      <c r="H1385" s="122"/>
    </row>
    <row r="1386" spans="1:8" ht="21.95" customHeight="1">
      <c r="A1386" s="14"/>
      <c r="B1386" s="14"/>
      <c r="C1386" s="18" t="s">
        <v>2094</v>
      </c>
      <c r="D1386" s="19">
        <f>SUM(D1381:D1385)</f>
        <v>-1178162823</v>
      </c>
      <c r="E1386" s="19">
        <f>SUM(E1381:E1385)</f>
        <v>0</v>
      </c>
      <c r="F1386" s="19">
        <f>SUM(F1381:F1385)</f>
        <v>0</v>
      </c>
      <c r="G1386" s="19">
        <f t="shared" si="62"/>
        <v>-1178162823</v>
      </c>
      <c r="H1386" s="122"/>
    </row>
    <row r="1387" spans="1:8" ht="21.95" customHeight="1">
      <c r="A1387" s="14"/>
      <c r="B1387" s="14"/>
      <c r="C1387" s="18" t="s">
        <v>2095</v>
      </c>
      <c r="D1387" s="19">
        <f>VLOOKUP(A1368,'Neraca Unaudited SIMAK'!$A$2:$S$10004,18,FALSE)</f>
        <v>2995011619</v>
      </c>
      <c r="E1387" s="19">
        <f>E1386+E1380</f>
        <v>0</v>
      </c>
      <c r="F1387" s="19">
        <f>F1386+F1380</f>
        <v>0</v>
      </c>
      <c r="G1387" s="19">
        <f t="shared" si="62"/>
        <v>2995011619</v>
      </c>
      <c r="H1387" s="122"/>
    </row>
    <row r="1388" spans="1:8" ht="21.95" customHeight="1">
      <c r="A1388" s="14"/>
      <c r="B1388" s="14"/>
      <c r="C1388" s="16" t="s">
        <v>2091</v>
      </c>
      <c r="D1388" s="17">
        <f>VLOOKUP(A1368,'Neraca Unaudited SIMAK'!$A$2:$S$10004,19,FALSE)</f>
        <v>0</v>
      </c>
      <c r="E1388" s="25"/>
      <c r="F1388" s="25"/>
      <c r="G1388" s="17">
        <f t="shared" si="62"/>
        <v>0</v>
      </c>
      <c r="H1388" s="123"/>
    </row>
    <row r="1390" spans="1:8" ht="19.5" customHeight="1">
      <c r="A1390" s="11" t="str">
        <f>O64</f>
        <v>005010300401143000KD</v>
      </c>
      <c r="B1390" s="11" t="str">
        <f>P64</f>
        <v>PA. Sragen</v>
      </c>
      <c r="C1390" s="12" t="str">
        <f>A1390&amp;" "&amp;B1390</f>
        <v>005010300401143000KD PA. Sragen</v>
      </c>
      <c r="D1390" s="13"/>
      <c r="E1390" s="13"/>
      <c r="F1390" s="13"/>
      <c r="G1390" s="13"/>
      <c r="H1390" s="11"/>
    </row>
    <row r="1391" spans="1:8" ht="21.95" customHeight="1">
      <c r="A1391" s="14"/>
      <c r="B1391" s="14"/>
      <c r="C1391" s="124" t="s">
        <v>1982</v>
      </c>
      <c r="D1391" s="126" t="s">
        <v>1983</v>
      </c>
      <c r="E1391" s="132" t="s">
        <v>1984</v>
      </c>
      <c r="F1391" s="132"/>
      <c r="G1391" s="126" t="s">
        <v>1987</v>
      </c>
      <c r="H1391" s="130" t="s">
        <v>1175</v>
      </c>
    </row>
    <row r="1392" spans="1:8" ht="21.95" customHeight="1">
      <c r="A1392" s="14"/>
      <c r="B1392" s="14"/>
      <c r="C1392" s="125"/>
      <c r="D1392" s="127"/>
      <c r="E1392" s="26" t="s">
        <v>1985</v>
      </c>
      <c r="F1392" s="26" t="s">
        <v>1986</v>
      </c>
      <c r="G1392" s="127"/>
      <c r="H1392" s="131"/>
    </row>
    <row r="1393" spans="1:8" ht="21.95" customHeight="1">
      <c r="A1393" s="14"/>
      <c r="B1393" s="14"/>
      <c r="C1393" s="16" t="s">
        <v>1165</v>
      </c>
      <c r="D1393" s="17">
        <f>VLOOKUP(A1390,'Neraca Unaudited SIMAK'!$A$2:$S$10004,3,FALSE)</f>
        <v>9914000</v>
      </c>
      <c r="E1393" s="25">
        <f>SUMIFS('Daftar Koreksi'!$H$5:$H$92,'Daftar Koreksi'!$D$5:$D$92,'0300'!A1390,'Daftar Koreksi'!$G$5:$G$92,"Persediaan",'Daftar Koreksi'!$H$5:$H$92,"&gt;0")</f>
        <v>0</v>
      </c>
      <c r="F1393" s="25">
        <f>SUMIFS('Daftar Koreksi'!$H$5:$H$92,'Daftar Koreksi'!$D$5:$D$92,'0300'!A1390,'Daftar Koreksi'!$G$5:$G$92,"Persediaan",'Daftar Koreksi'!$H$5:$H$92,"&lt;0")-SUMIFS('Daftar Koreksi'!$H$5:$H$92,'Daftar Koreksi'!$D$5:$D$92,'0300'!A1390,'Daftar Koreksi'!$G$5:$G$92,"Persediaan",'Daftar Koreksi'!$H$5:$H$92,"&lt;0")-SUMIFS('Daftar Koreksi'!$H$5:$H$92,'Daftar Koreksi'!$D$5:$D$92,'0300'!A1390,'Daftar Koreksi'!$G$5:$G$92,"Persediaan",'Daftar Koreksi'!$H$5:$H$92,"&lt;0")</f>
        <v>0</v>
      </c>
      <c r="G1393" s="17">
        <f>D1393+E1393-F1393</f>
        <v>9914000</v>
      </c>
      <c r="H1393" s="121" t="str">
        <f>IF(ISNA(VLOOKUP(A1390,'Mutasi Neraca'!$A$3:$S$914,19,FALSE)),"-",VLOOKUP(A1390,'Mutasi Neraca'!$A$3:$S$914,19,FALSE))</f>
        <v>-</v>
      </c>
    </row>
    <row r="1394" spans="1:8" ht="21.95" customHeight="1">
      <c r="A1394" s="14"/>
      <c r="B1394" s="14"/>
      <c r="C1394" s="16" t="s">
        <v>1166</v>
      </c>
      <c r="D1394" s="17">
        <f>VLOOKUP(A1390,'Neraca Unaudited SIMAK'!$A$2:$S$10004,4,FALSE)</f>
        <v>3718698000</v>
      </c>
      <c r="E1394" s="25">
        <f>SUMIFS('Daftar Koreksi'!$H$5:$H$92,'Daftar Koreksi'!$D$5:$D$92,'0300'!A1390,'Daftar Koreksi'!$G$5:$G$92,"Tanah",'Daftar Koreksi'!$H$5:$H$92,"&gt;0")</f>
        <v>0</v>
      </c>
      <c r="F1394" s="25">
        <f>SUMIFS('Daftar Koreksi'!$H$5:$H$92,'Daftar Koreksi'!$D$5:$D$92,'0300'!A1390,'Daftar Koreksi'!$G$5:$G$92,"Tanah",'Daftar Koreksi'!$H$5:$H$92,"&lt;0")-SUMIFS('Daftar Koreksi'!$H$5:$H$92,'Daftar Koreksi'!$D$5:$D$92,'0300'!A1390,'Daftar Koreksi'!$G$5:$G$92,"Tanah",'Daftar Koreksi'!$H$5:$H$92,"&lt;0")-SUMIFS('Daftar Koreksi'!$H$5:$H$92,'Daftar Koreksi'!$D$5:$D$92,'0300'!A1390,'Daftar Koreksi'!$G$5:$G$92,"Tanah",'Daftar Koreksi'!$H$5:$H$92,"&lt;0")</f>
        <v>0</v>
      </c>
      <c r="G1394" s="17">
        <f t="shared" ref="G1394:G1410" si="63">D1394+E1394-F1394</f>
        <v>3718698000</v>
      </c>
      <c r="H1394" s="122"/>
    </row>
    <row r="1395" spans="1:8" ht="21.95" customHeight="1">
      <c r="A1395" s="14"/>
      <c r="B1395" s="14"/>
      <c r="C1395" s="16" t="s">
        <v>1167</v>
      </c>
      <c r="D1395" s="17">
        <f>VLOOKUP(A1390,'Neraca Unaudited SIMAK'!$A$2:$S$10004,5,FALSE)</f>
        <v>1015792963</v>
      </c>
      <c r="E1395" s="25">
        <f>SUMIFS('Daftar Koreksi'!$H$5:$H$92,'Daftar Koreksi'!$D$5:$D$92,'0300'!A1390,'Daftar Koreksi'!$G$5:$G$92,"Peralatan dan mesin",'Daftar Koreksi'!$H$5:$H$92,"&gt;0")</f>
        <v>0</v>
      </c>
      <c r="F1395" s="25">
        <f>SUMIFS('Daftar Koreksi'!$H$5:$H$92,'Daftar Koreksi'!$D$5:$D$92,'0300'!A1390,'Daftar Koreksi'!$G$5:$G$92,"Peralatan dan mesin",'Daftar Koreksi'!$H$5:$H$92,"&lt;0")-SUMIFS('Daftar Koreksi'!$H$5:$H$92,'Daftar Koreksi'!$D$5:$D$92,'0300'!A1390,'Daftar Koreksi'!$G$5:$G$92,"Peralatan dan mesin",'Daftar Koreksi'!$H$5:$H$92,"&lt;0")-SUMIFS('Daftar Koreksi'!$H$5:$H$92,'Daftar Koreksi'!$D$5:$D$92,'0300'!A1390,'Daftar Koreksi'!$G$5:$G$92,"Peralatan dan mesin",'Daftar Koreksi'!$H$5:$H$92,"&lt;0")</f>
        <v>0</v>
      </c>
      <c r="G1395" s="17">
        <f t="shared" si="63"/>
        <v>1015792963</v>
      </c>
      <c r="H1395" s="122"/>
    </row>
    <row r="1396" spans="1:8" ht="21.95" customHeight="1">
      <c r="A1396" s="14"/>
      <c r="B1396" s="14"/>
      <c r="C1396" s="16" t="s">
        <v>1168</v>
      </c>
      <c r="D1396" s="17">
        <f>VLOOKUP(A1390,'Neraca Unaudited SIMAK'!$A$2:$S$10004,6,FALSE)</f>
        <v>1814794000</v>
      </c>
      <c r="E1396" s="25">
        <f>SUMIFS('Daftar Koreksi'!$H$5:$H$92,'Daftar Koreksi'!$D$5:$D$92,'0300'!A1390,'Daftar Koreksi'!$G$5:$G$92,"Gedung dan Bangunan",'Daftar Koreksi'!$H$5:$H$92,"&gt;0")</f>
        <v>0</v>
      </c>
      <c r="F1396" s="25">
        <f>SUMIFS('Daftar Koreksi'!$H$5:$H$92,'Daftar Koreksi'!$D$5:$D$92,'0300'!A1390,'Daftar Koreksi'!$G$5:$G$92,"Gedung dan Bangunan",'Daftar Koreksi'!$H$5:$H$92,"&lt;0")-SUMIFS('Daftar Koreksi'!$H$5:$H$92,'Daftar Koreksi'!$D$5:$D$92,'0300'!A1390,'Daftar Koreksi'!$G$5:$G$92,"Gedung dan Bangunan",'Daftar Koreksi'!$H$5:$H$92,"&lt;0")-SUMIFS('Daftar Koreksi'!$H$5:$H$92,'Daftar Koreksi'!$D$5:$D$92,'0300'!A1390,'Daftar Koreksi'!$G$5:$G$92,"Gedung dan Bangunan",'Daftar Koreksi'!$H$5:$H$92,"&lt;0")</f>
        <v>0</v>
      </c>
      <c r="G1396" s="17">
        <f t="shared" si="63"/>
        <v>1814794000</v>
      </c>
      <c r="H1396" s="122"/>
    </row>
    <row r="1397" spans="1:8" ht="21.95" customHeight="1">
      <c r="A1397" s="14"/>
      <c r="B1397" s="14"/>
      <c r="C1397" s="16" t="s">
        <v>1169</v>
      </c>
      <c r="D1397" s="17">
        <f>VLOOKUP(A1390,'Neraca Unaudited SIMAK'!$A$2:$S$10004,7,FALSE)</f>
        <v>52700000</v>
      </c>
      <c r="E1397" s="25">
        <f>SUMIFS('Daftar Koreksi'!$H$5:$H$92,'Daftar Koreksi'!$D$5:$D$92,'0300'!A1390,'Daftar Koreksi'!$G$5:$G$92,"Jalan Irigasi Jaringan",'Daftar Koreksi'!$H$5:$H$92,"&gt;0")</f>
        <v>0</v>
      </c>
      <c r="F1397" s="25">
        <f>SUMIFS('Daftar Koreksi'!$H$5:$H$92,'Daftar Koreksi'!$D$5:$D$92,'0300'!A1390,'Daftar Koreksi'!$G$5:$G$92,"Jalan Irigasi Jaringan",'Daftar Koreksi'!$H$5:$H$92,"&lt;0")-SUMIFS('Daftar Koreksi'!$H$5:$H$92,'Daftar Koreksi'!$D$5:$D$92,'0300'!A1390,'Daftar Koreksi'!$G$5:$G$92,"Jalan Irigasi Jaringan",'Daftar Koreksi'!$H$5:$H$92,"&lt;0")-SUMIFS('Daftar Koreksi'!$H$5:$H$92,'Daftar Koreksi'!$D$5:$D$92,'0300'!A1390,'Daftar Koreksi'!$G$5:$G$92,"Jalan Irigasi Jaringan",'Daftar Koreksi'!$H$5:$H$92,"&lt;0")</f>
        <v>0</v>
      </c>
      <c r="G1397" s="17">
        <f t="shared" si="63"/>
        <v>52700000</v>
      </c>
      <c r="H1397" s="122"/>
    </row>
    <row r="1398" spans="1:8" ht="21.95" customHeight="1">
      <c r="A1398" s="14"/>
      <c r="B1398" s="14"/>
      <c r="C1398" s="16" t="s">
        <v>1170</v>
      </c>
      <c r="D1398" s="17">
        <f>VLOOKUP(A1390,'Neraca Unaudited SIMAK'!$A$2:$S$10004,8,FALSE)</f>
        <v>4184578</v>
      </c>
      <c r="E1398" s="25">
        <f>SUMIFS('Daftar Koreksi'!$H$5:$H$92,'Daftar Koreksi'!$D$5:$D$92,'0300'!A1390,'Daftar Koreksi'!$G$5:$G$92,"Aset Tetap Lainnya",'Daftar Koreksi'!$H$5:$H$92,"&gt;0")</f>
        <v>0</v>
      </c>
      <c r="F1398" s="25">
        <f>SUMIFS('Daftar Koreksi'!$H$5:$H$92,'Daftar Koreksi'!$D$5:$D$92,'0300'!A1390,'Daftar Koreksi'!$G$5:$G$92,"Aset Tetap Lainnya",'Daftar Koreksi'!$H$5:$H$92,"&lt;0")-SUMIFS('Daftar Koreksi'!$H$5:$H$92,'Daftar Koreksi'!$D$5:$D$92,'0300'!A1390,'Daftar Koreksi'!$G$5:$G$92,"Aset Tetap Lainnya",'Daftar Koreksi'!$H$5:$H$92,"&lt;0")-SUMIFS('Daftar Koreksi'!$H$5:$H$92,'Daftar Koreksi'!$D$5:$D$92,'0300'!A1390,'Daftar Koreksi'!$G$5:$G$92,"Aset Tetap Lainnya",'Daftar Koreksi'!$H$5:$H$92,"&lt;0")</f>
        <v>0</v>
      </c>
      <c r="G1398" s="17">
        <f t="shared" si="63"/>
        <v>4184578</v>
      </c>
      <c r="H1398" s="122"/>
    </row>
    <row r="1399" spans="1:8" ht="21.95" customHeight="1">
      <c r="A1399" s="14"/>
      <c r="B1399" s="14"/>
      <c r="C1399" s="16" t="s">
        <v>1171</v>
      </c>
      <c r="D1399" s="17">
        <f>VLOOKUP(A1390,'Neraca Unaudited SIMAK'!$A$2:$S$10004,9,FALSE)</f>
        <v>0</v>
      </c>
      <c r="E1399" s="25">
        <f>SUMIFS('Daftar Koreksi'!$H$5:$H$92,'Daftar Koreksi'!$D$5:$D$92,'0300'!A1390,'Daftar Koreksi'!$G$5:$G$92,"Kontruksi Dalam Pengerjaan",'Daftar Koreksi'!$H$5:$H$92,"&gt;0")</f>
        <v>0</v>
      </c>
      <c r="F1399" s="25">
        <f>SUMIFS('Daftar Koreksi'!$H$5:$H$92,'Daftar Koreksi'!$D$5:$D$92,'0300'!A1390,'Daftar Koreksi'!$G$5:$G$92,"Kontruksi Dalam Pengerjaan",'Daftar Koreksi'!$H$5:$H$92,"&lt;0")-SUMIFS('Daftar Koreksi'!$H$5:$H$92,'Daftar Koreksi'!$D$5:$D$92,'0300'!A1390,'Daftar Koreksi'!$G$5:$G$92,"Kontruksi Dalam Pengerjaan",'Daftar Koreksi'!$H$5:$H$92,"&lt;0")-SUMIFS('Daftar Koreksi'!$H$5:$H$92,'Daftar Koreksi'!$D$5:$D$92,'0300'!A1390,'Daftar Koreksi'!$G$5:$G$92,"Kontruksi Dalam Pengerjaan",'Daftar Koreksi'!$H$5:$H$92,"&lt;0")</f>
        <v>0</v>
      </c>
      <c r="G1399" s="17">
        <f t="shared" si="63"/>
        <v>0</v>
      </c>
      <c r="H1399" s="122"/>
    </row>
    <row r="1400" spans="1:8" ht="21.95" customHeight="1">
      <c r="A1400" s="14"/>
      <c r="B1400" s="14"/>
      <c r="C1400" s="16" t="s">
        <v>1172</v>
      </c>
      <c r="D1400" s="17">
        <f>VLOOKUP(A1390,'Neraca Unaudited SIMAK'!$A$2:$S$10004,10,FALSE)</f>
        <v>0</v>
      </c>
      <c r="E1400" s="25">
        <f>SUMIFS('Daftar Koreksi'!$H$5:$H$92,'Daftar Koreksi'!$D$5:$D$92,'0300'!A1390,'Daftar Koreksi'!$G$5:$G$92,"Aset Tak Berwujud",'Daftar Koreksi'!$H$5:$H$92,"&gt;0")</f>
        <v>0</v>
      </c>
      <c r="F1400" s="25">
        <f>SUMIFS('Daftar Koreksi'!$H$5:$H$92,'Daftar Koreksi'!$D$5:$D$92,'0300'!A1390,'Daftar Koreksi'!$G$5:$G$92,"Aset Tak Berwujud",'Daftar Koreksi'!$H$5:$H$92,"&lt;0")-SUMIFS('Daftar Koreksi'!$H$5:$H$92,'Daftar Koreksi'!$D$5:$D$92,'0300'!A1390,'Daftar Koreksi'!$G$5:$G$92,"Aset Tak Berwujud",'Daftar Koreksi'!$H$5:$H$92,"&lt;0")-SUMIFS('Daftar Koreksi'!$H$5:$H$92,'Daftar Koreksi'!$D$5:$D$92,'0300'!A1390,'Daftar Koreksi'!$G$5:$G$92,"Aset Tak Berwujud",'Daftar Koreksi'!$H$5:$H$92,"&lt;0")</f>
        <v>0</v>
      </c>
      <c r="G1400" s="17">
        <f t="shared" si="63"/>
        <v>0</v>
      </c>
      <c r="H1400" s="122"/>
    </row>
    <row r="1401" spans="1:8" ht="21.95" customHeight="1">
      <c r="A1401" s="14"/>
      <c r="B1401" s="14"/>
      <c r="C1401" s="16" t="s">
        <v>1173</v>
      </c>
      <c r="D1401" s="17">
        <f>VLOOKUP(A1390,'Neraca Unaudited SIMAK'!$A$2:$S$10004,11,FALSE)</f>
        <v>36380365</v>
      </c>
      <c r="E1401" s="25">
        <f>SUMIFS('Daftar Koreksi'!$H$5:$H$92,'Daftar Koreksi'!$D$5:$D$92,'0300'!A1390,'Daftar Koreksi'!$G$5:$G$92,"Aset Henti Guna",'Daftar Koreksi'!$H$5:$H$92,"&gt;0")</f>
        <v>0</v>
      </c>
      <c r="F1401" s="25">
        <f>SUMIFS('Daftar Koreksi'!$H$5:$H$92,'Daftar Koreksi'!$D$5:$D$92,'0300'!A1390,'Daftar Koreksi'!$G$5:$G$92,"Aset Henti Guna",'Daftar Koreksi'!$H$5:$H$92,"&lt;0")-SUMIFS('Daftar Koreksi'!$H$5:$H$92,'Daftar Koreksi'!$D$5:$D$92,'0300'!A1390,'Daftar Koreksi'!$G$5:$G$92,"Aset Henti Guna",'Daftar Koreksi'!$H$5:$H$92,"&lt;0")-SUMIFS('Daftar Koreksi'!$H$5:$H$92,'Daftar Koreksi'!$D$5:$D$92,'0300'!A1390,'Daftar Koreksi'!$G$5:$G$92,"Aset Henti Guna",'Daftar Koreksi'!$H$5:$H$92,"&lt;0")</f>
        <v>0</v>
      </c>
      <c r="G1401" s="17">
        <f t="shared" si="63"/>
        <v>36380365</v>
      </c>
      <c r="H1401" s="122"/>
    </row>
    <row r="1402" spans="1:8" ht="21.95" customHeight="1">
      <c r="A1402" s="14"/>
      <c r="B1402" s="14"/>
      <c r="C1402" s="18" t="s">
        <v>2093</v>
      </c>
      <c r="D1402" s="19">
        <f>VLOOKUP(A1390,'Neraca Unaudited SIMAK'!$A$2:$S$10004,12,FALSE)</f>
        <v>6652463906</v>
      </c>
      <c r="E1402" s="19">
        <f>SUM(E1393:E1401)</f>
        <v>0</v>
      </c>
      <c r="F1402" s="19">
        <f>SUM(F1393:F1401)</f>
        <v>0</v>
      </c>
      <c r="G1402" s="19">
        <f t="shared" si="63"/>
        <v>6652463906</v>
      </c>
      <c r="H1402" s="122"/>
    </row>
    <row r="1403" spans="1:8" ht="21.95" customHeight="1">
      <c r="A1403" s="14"/>
      <c r="B1403" s="14"/>
      <c r="C1403" s="16" t="s">
        <v>2087</v>
      </c>
      <c r="D1403" s="17">
        <f>VLOOKUP(A1390,'Neraca Unaudited SIMAK'!$A$2:$S$10004,13,FALSE)</f>
        <v>-785927620</v>
      </c>
      <c r="E1403" s="25">
        <f>SUMIFS('Daftar Koreksi'!$I$5:$I$92,'Daftar Koreksi'!$D$5:$D$92,'0300'!A1390,'Daftar Koreksi'!$G$5:$G$92,"Peralatan dan mesin",'Daftar Koreksi'!$I$5:$I$92,"&gt;0")</f>
        <v>0</v>
      </c>
      <c r="F1403" s="25">
        <f>SUMIFS('Daftar Koreksi'!$I$5:$I$92,'Daftar Koreksi'!$D$5:$D$92,'0300'!A1390,'Daftar Koreksi'!$G$5:$G$92,"Peralatan dan mesin",'Daftar Koreksi'!$I$5:$I$92,"&lt;0")-SUMIFS('Daftar Koreksi'!$I$5:$I$92,'Daftar Koreksi'!$D$5:$D$92,'0300'!A1390,'Daftar Koreksi'!$G$5:$G$92,"Peralatan dan mesin",'Daftar Koreksi'!$I$5:$I$92,"&lt;0")-SUMIFS('Daftar Koreksi'!$I$5:$I$92,'Daftar Koreksi'!$D$5:$D$92,'0300'!A1390,'Daftar Koreksi'!$G$5:$G$92,"Peralatan dan mesin",'Daftar Koreksi'!$I$5:$I$92,"&lt;0")</f>
        <v>0</v>
      </c>
      <c r="G1403" s="17">
        <f t="shared" si="63"/>
        <v>-785927620</v>
      </c>
      <c r="H1403" s="122"/>
    </row>
    <row r="1404" spans="1:8" ht="21.95" customHeight="1">
      <c r="A1404" s="14"/>
      <c r="B1404" s="14"/>
      <c r="C1404" s="16" t="s">
        <v>2088</v>
      </c>
      <c r="D1404" s="17">
        <f>VLOOKUP(A1390,'Neraca Unaudited SIMAK'!$A$2:$S$10004,14,FALSE)</f>
        <v>-238580652</v>
      </c>
      <c r="E1404" s="25">
        <f>SUMIFS('Daftar Koreksi'!$I$5:$I$92,'Daftar Koreksi'!$D$5:$D$92,'0300'!A1390,'Daftar Koreksi'!$G$5:$G$92,"Gedung dan Bangunan",'Daftar Koreksi'!$I$5:$I$92,"&gt;0")</f>
        <v>0</v>
      </c>
      <c r="F1404" s="25">
        <f>SUMIFS('Daftar Koreksi'!$I$5:$I$92,'Daftar Koreksi'!$D$5:$D$92,'0300'!A1390,'Daftar Koreksi'!$G$5:$G$92,"Gedung dan Bangunan",'Daftar Koreksi'!$I$5:$I$92,"&lt;0")-SUMIFS('Daftar Koreksi'!$I$5:$I$92,'Daftar Koreksi'!$D$5:$D$92,'0300'!A1390,'Daftar Koreksi'!$G$5:$G$92,"Gedung dan Bangunan",'Daftar Koreksi'!$I$5:$I$92,"&lt;0")-SUMIFS('Daftar Koreksi'!$I$5:$I$92,'Daftar Koreksi'!$D$5:$D$92,'0300'!A1390,'Daftar Koreksi'!$G$5:$G$92,"Gedung dan Bangunan",'Daftar Koreksi'!$I$5:$I$92,"&lt;0")</f>
        <v>0</v>
      </c>
      <c r="G1404" s="17">
        <f t="shared" si="63"/>
        <v>-238580652</v>
      </c>
      <c r="H1404" s="122"/>
    </row>
    <row r="1405" spans="1:8" ht="21.95" customHeight="1">
      <c r="A1405" s="14"/>
      <c r="B1405" s="14"/>
      <c r="C1405" s="16" t="s">
        <v>2089</v>
      </c>
      <c r="D1405" s="17">
        <f>VLOOKUP(A1390,'Neraca Unaudited SIMAK'!$A$2:$S$10004,15,FALSE)</f>
        <v>-9722500</v>
      </c>
      <c r="E1405" s="25">
        <f>SUMIFS('Daftar Koreksi'!$I$5:$I$92,'Daftar Koreksi'!$D$5:$D$92,'0300'!A1390,'Daftar Koreksi'!$G$5:$G$92,"Jalan Irigasi Jaringan",'Daftar Koreksi'!$I$5:$I$92,"&gt;0")</f>
        <v>0</v>
      </c>
      <c r="F1405" s="25">
        <f>SUMIFS('Daftar Koreksi'!$I$5:$I$92,'Daftar Koreksi'!$D$5:$D$92,'0300'!A1390,'Daftar Koreksi'!$G$5:$G$92,"Jalan Irigasi Jaringan",'Daftar Koreksi'!$I$5:$I$92,"&lt;0")-SUMIFS('Daftar Koreksi'!$I$5:$I$92,'Daftar Koreksi'!$D$5:$D$92,'0300'!A1390,'Daftar Koreksi'!$G$5:$G$92,"Jalan Irigasi Jaringan",'Daftar Koreksi'!$I$5:$I$92,"&lt;0")-SUMIFS('Daftar Koreksi'!$I$5:$I$92,'Daftar Koreksi'!$D$5:$D$92,'0300'!A1390,'Daftar Koreksi'!$G$5:$G$92,"Jalan Irigasi Jaringan",'Daftar Koreksi'!$I$5:$I$92,"&lt;0")</f>
        <v>0</v>
      </c>
      <c r="G1405" s="17">
        <f t="shared" si="63"/>
        <v>-9722500</v>
      </c>
      <c r="H1405" s="122"/>
    </row>
    <row r="1406" spans="1:8" ht="21.95" customHeight="1">
      <c r="A1406" s="14"/>
      <c r="B1406" s="14"/>
      <c r="C1406" s="16" t="s">
        <v>2090</v>
      </c>
      <c r="D1406" s="17">
        <f>VLOOKUP(A1390,'Neraca Unaudited SIMAK'!$A$2:$S$10004,16,FALSE)</f>
        <v>0</v>
      </c>
      <c r="E1406" s="25">
        <f>SUMIFS('Daftar Koreksi'!$I$5:$I$92,'Daftar Koreksi'!$D$5:$D$92,'0300'!A1390,'Daftar Koreksi'!$G$5:$G$92,"Aset Tetap Lainnya",'Daftar Koreksi'!$I$5:$I$92,"&gt;0")</f>
        <v>0</v>
      </c>
      <c r="F1406" s="25">
        <f>SUMIFS('Daftar Koreksi'!$I$5:$I$92,'Daftar Koreksi'!$D$5:$D$92,'0300'!A1390,'Daftar Koreksi'!$G$5:$G$92,"Aset Tetap Lainnya",'Daftar Koreksi'!$I$5:$I$92,"&lt;0")-SUMIFS('Daftar Koreksi'!$I$5:$I$92,'Daftar Koreksi'!$D$5:$D$92,'0300'!A1390,'Daftar Koreksi'!$G$5:$G$92,"Aset Tetap Lainnya",'Daftar Koreksi'!$I$5:$I$92,"&lt;0")-SUMIFS('Daftar Koreksi'!$I$5:$I$92,'Daftar Koreksi'!$D$5:$D$92,'0300'!A1390,'Daftar Koreksi'!$G$5:$G$92,"Aset Tetap Lainnya",'Daftar Koreksi'!$I$5:$I$92,"&lt;0")</f>
        <v>0</v>
      </c>
      <c r="G1406" s="17">
        <f t="shared" si="63"/>
        <v>0</v>
      </c>
      <c r="H1406" s="122"/>
    </row>
    <row r="1407" spans="1:8" ht="21.95" customHeight="1">
      <c r="A1407" s="14"/>
      <c r="B1407" s="14"/>
      <c r="C1407" s="16" t="s">
        <v>2020</v>
      </c>
      <c r="D1407" s="17">
        <f>VLOOKUP(A1390,'Neraca Unaudited SIMAK'!$A$2:$S$10004,17,FALSE)</f>
        <v>-36380365</v>
      </c>
      <c r="E1407" s="25">
        <f>SUMIFS('Daftar Koreksi'!$I$5:$I$92,'Daftar Koreksi'!$D$5:$D$92,'0300'!A1390,'Daftar Koreksi'!$G$5:$G$92,"Aset Henti Guna",'Daftar Koreksi'!$I$5:$I$92,"&gt;0")</f>
        <v>0</v>
      </c>
      <c r="F1407" s="25">
        <f>SUMIFS('Daftar Koreksi'!$I$5:$I$92,'Daftar Koreksi'!$D$5:$D$92,'0300'!A1390,'Daftar Koreksi'!$G$5:$G$92,"Aset Henti Guna",'Daftar Koreksi'!$I$5:$I$92,"&lt;0")-SUMIFS('Daftar Koreksi'!$I$5:$I$92,'Daftar Koreksi'!$D$5:$D$92,'0300'!A1390,'Daftar Koreksi'!$G$5:$G$92,"Aset Henti Guna",'Daftar Koreksi'!$I$5:$I$92,"&lt;0")-SUMIFS('Daftar Koreksi'!$I$5:$I$92,'Daftar Koreksi'!$D$5:$D$92,'0300'!A1390,'Daftar Koreksi'!$G$5:$G$92,"Aset Henti Guna",'Daftar Koreksi'!$I$5:$I$92,"&lt;0")</f>
        <v>0</v>
      </c>
      <c r="G1407" s="17">
        <f t="shared" si="63"/>
        <v>-36380365</v>
      </c>
      <c r="H1407" s="122"/>
    </row>
    <row r="1408" spans="1:8" ht="21.95" customHeight="1">
      <c r="A1408" s="14"/>
      <c r="B1408" s="14"/>
      <c r="C1408" s="18" t="s">
        <v>2094</v>
      </c>
      <c r="D1408" s="19">
        <f>SUM(D1403:D1407)</f>
        <v>-1070611137</v>
      </c>
      <c r="E1408" s="19">
        <f>SUM(E1403:E1407)</f>
        <v>0</v>
      </c>
      <c r="F1408" s="19">
        <f>SUM(F1403:F1407)</f>
        <v>0</v>
      </c>
      <c r="G1408" s="19">
        <f t="shared" si="63"/>
        <v>-1070611137</v>
      </c>
      <c r="H1408" s="122"/>
    </row>
    <row r="1409" spans="1:8" ht="21.95" customHeight="1">
      <c r="A1409" s="14"/>
      <c r="B1409" s="14"/>
      <c r="C1409" s="18" t="s">
        <v>2095</v>
      </c>
      <c r="D1409" s="19">
        <f>VLOOKUP(A1390,'Neraca Unaudited SIMAK'!$A$2:$S$10004,18,FALSE)</f>
        <v>5581852769</v>
      </c>
      <c r="E1409" s="19">
        <f>E1408+E1402</f>
        <v>0</v>
      </c>
      <c r="F1409" s="19">
        <f>F1408+F1402</f>
        <v>0</v>
      </c>
      <c r="G1409" s="19">
        <f t="shared" si="63"/>
        <v>5581852769</v>
      </c>
      <c r="H1409" s="122"/>
    </row>
    <row r="1410" spans="1:8" ht="21.95" customHeight="1">
      <c r="A1410" s="14"/>
      <c r="B1410" s="14"/>
      <c r="C1410" s="16" t="s">
        <v>2091</v>
      </c>
      <c r="D1410" s="17">
        <f>VLOOKUP(A1390,'Neraca Unaudited SIMAK'!$A$2:$S$10004,19,FALSE)</f>
        <v>0</v>
      </c>
      <c r="E1410" s="25"/>
      <c r="F1410" s="25"/>
      <c r="G1410" s="17">
        <f t="shared" si="63"/>
        <v>0</v>
      </c>
      <c r="H1410" s="123"/>
    </row>
    <row r="1412" spans="1:8" ht="19.5" customHeight="1">
      <c r="A1412" s="11" t="str">
        <f>O65</f>
        <v>005010300401152000KD</v>
      </c>
      <c r="B1412" s="11" t="str">
        <f>P65</f>
        <v>PA. Wonogiri</v>
      </c>
      <c r="C1412" s="12" t="str">
        <f>A1412&amp;" "&amp;B1412</f>
        <v>005010300401152000KD PA. Wonogiri</v>
      </c>
      <c r="D1412" s="13"/>
      <c r="E1412" s="13"/>
      <c r="F1412" s="13"/>
      <c r="G1412" s="13"/>
      <c r="H1412" s="11"/>
    </row>
    <row r="1413" spans="1:8" ht="21.95" customHeight="1">
      <c r="A1413" s="14"/>
      <c r="B1413" s="14"/>
      <c r="C1413" s="124" t="s">
        <v>1982</v>
      </c>
      <c r="D1413" s="126" t="s">
        <v>1983</v>
      </c>
      <c r="E1413" s="132" t="s">
        <v>1984</v>
      </c>
      <c r="F1413" s="132"/>
      <c r="G1413" s="126" t="s">
        <v>1987</v>
      </c>
      <c r="H1413" s="130" t="s">
        <v>1175</v>
      </c>
    </row>
    <row r="1414" spans="1:8" ht="21.95" customHeight="1">
      <c r="A1414" s="14"/>
      <c r="B1414" s="14"/>
      <c r="C1414" s="125"/>
      <c r="D1414" s="127"/>
      <c r="E1414" s="26" t="s">
        <v>1985</v>
      </c>
      <c r="F1414" s="26" t="s">
        <v>1986</v>
      </c>
      <c r="G1414" s="127"/>
      <c r="H1414" s="131"/>
    </row>
    <row r="1415" spans="1:8" ht="21.95" customHeight="1">
      <c r="A1415" s="14"/>
      <c r="B1415" s="14"/>
      <c r="C1415" s="16" t="s">
        <v>1165</v>
      </c>
      <c r="D1415" s="17">
        <f>VLOOKUP(A1412,'Neraca Unaudited SIMAK'!$A$2:$S$10004,3,FALSE)</f>
        <v>24432050</v>
      </c>
      <c r="E1415" s="25">
        <f>SUMIFS('Daftar Koreksi'!$H$5:$H$92,'Daftar Koreksi'!$D$5:$D$92,'0300'!A1412,'Daftar Koreksi'!$G$5:$G$92,"Persediaan",'Daftar Koreksi'!$H$5:$H$92,"&gt;0")</f>
        <v>0</v>
      </c>
      <c r="F1415" s="25">
        <f>SUMIFS('Daftar Koreksi'!$H$5:$H$92,'Daftar Koreksi'!$D$5:$D$92,'0300'!A1412,'Daftar Koreksi'!$G$5:$G$92,"Persediaan",'Daftar Koreksi'!$H$5:$H$92,"&lt;0")-SUMIFS('Daftar Koreksi'!$H$5:$H$92,'Daftar Koreksi'!$D$5:$D$92,'0300'!A1412,'Daftar Koreksi'!$G$5:$G$92,"Persediaan",'Daftar Koreksi'!$H$5:$H$92,"&lt;0")-SUMIFS('Daftar Koreksi'!$H$5:$H$92,'Daftar Koreksi'!$D$5:$D$92,'0300'!A1412,'Daftar Koreksi'!$G$5:$G$92,"Persediaan",'Daftar Koreksi'!$H$5:$H$92,"&lt;0")</f>
        <v>0</v>
      </c>
      <c r="G1415" s="17">
        <f>D1415+E1415-F1415</f>
        <v>24432050</v>
      </c>
      <c r="H1415" s="121" t="str">
        <f>IF(ISNA(VLOOKUP(A1412,'Mutasi Neraca'!$A$3:$S$914,19,FALSE)),"-",VLOOKUP(A1412,'Mutasi Neraca'!$A$3:$S$914,19,FALSE))</f>
        <v>-</v>
      </c>
    </row>
    <row r="1416" spans="1:8" ht="21.95" customHeight="1">
      <c r="A1416" s="14"/>
      <c r="B1416" s="14"/>
      <c r="C1416" s="16" t="s">
        <v>1166</v>
      </c>
      <c r="D1416" s="17">
        <f>VLOOKUP(A1412,'Neraca Unaudited SIMAK'!$A$2:$S$10004,4,FALSE)</f>
        <v>3779008000</v>
      </c>
      <c r="E1416" s="25">
        <f>SUMIFS('Daftar Koreksi'!$H$5:$H$92,'Daftar Koreksi'!$D$5:$D$92,'0300'!A1412,'Daftar Koreksi'!$G$5:$G$92,"Tanah",'Daftar Koreksi'!$H$5:$H$92,"&gt;0")</f>
        <v>0</v>
      </c>
      <c r="F1416" s="25">
        <f>SUMIFS('Daftar Koreksi'!$H$5:$H$92,'Daftar Koreksi'!$D$5:$D$92,'0300'!A1412,'Daftar Koreksi'!$G$5:$G$92,"Tanah",'Daftar Koreksi'!$H$5:$H$92,"&lt;0")-SUMIFS('Daftar Koreksi'!$H$5:$H$92,'Daftar Koreksi'!$D$5:$D$92,'0300'!A1412,'Daftar Koreksi'!$G$5:$G$92,"Tanah",'Daftar Koreksi'!$H$5:$H$92,"&lt;0")-SUMIFS('Daftar Koreksi'!$H$5:$H$92,'Daftar Koreksi'!$D$5:$D$92,'0300'!A1412,'Daftar Koreksi'!$G$5:$G$92,"Tanah",'Daftar Koreksi'!$H$5:$H$92,"&lt;0")</f>
        <v>0</v>
      </c>
      <c r="G1416" s="17">
        <f t="shared" ref="G1416:G1432" si="64">D1416+E1416-F1416</f>
        <v>3779008000</v>
      </c>
      <c r="H1416" s="122"/>
    </row>
    <row r="1417" spans="1:8" ht="21.95" customHeight="1">
      <c r="A1417" s="14"/>
      <c r="B1417" s="14"/>
      <c r="C1417" s="16" t="s">
        <v>1167</v>
      </c>
      <c r="D1417" s="17">
        <f>VLOOKUP(A1412,'Neraca Unaudited SIMAK'!$A$2:$S$10004,5,FALSE)</f>
        <v>1372743441</v>
      </c>
      <c r="E1417" s="25">
        <f>SUMIFS('Daftar Koreksi'!$H$5:$H$92,'Daftar Koreksi'!$D$5:$D$92,'0300'!A1412,'Daftar Koreksi'!$G$5:$G$92,"Peralatan dan mesin",'Daftar Koreksi'!$H$5:$H$92,"&gt;0")</f>
        <v>0</v>
      </c>
      <c r="F1417" s="25">
        <f>SUMIFS('Daftar Koreksi'!$H$5:$H$92,'Daftar Koreksi'!$D$5:$D$92,'0300'!A1412,'Daftar Koreksi'!$G$5:$G$92,"Peralatan dan mesin",'Daftar Koreksi'!$H$5:$H$92,"&lt;0")-SUMIFS('Daftar Koreksi'!$H$5:$H$92,'Daftar Koreksi'!$D$5:$D$92,'0300'!A1412,'Daftar Koreksi'!$G$5:$G$92,"Peralatan dan mesin",'Daftar Koreksi'!$H$5:$H$92,"&lt;0")-SUMIFS('Daftar Koreksi'!$H$5:$H$92,'Daftar Koreksi'!$D$5:$D$92,'0300'!A1412,'Daftar Koreksi'!$G$5:$G$92,"Peralatan dan mesin",'Daftar Koreksi'!$H$5:$H$92,"&lt;0")</f>
        <v>0</v>
      </c>
      <c r="G1417" s="17">
        <f t="shared" si="64"/>
        <v>1372743441</v>
      </c>
      <c r="H1417" s="122"/>
    </row>
    <row r="1418" spans="1:8" ht="21.95" customHeight="1">
      <c r="A1418" s="14"/>
      <c r="B1418" s="14"/>
      <c r="C1418" s="16" t="s">
        <v>1168</v>
      </c>
      <c r="D1418" s="17">
        <f>VLOOKUP(A1412,'Neraca Unaudited SIMAK'!$A$2:$S$10004,6,FALSE)</f>
        <v>2002845300</v>
      </c>
      <c r="E1418" s="25">
        <f>SUMIFS('Daftar Koreksi'!$H$5:$H$92,'Daftar Koreksi'!$D$5:$D$92,'0300'!A1412,'Daftar Koreksi'!$G$5:$G$92,"Gedung dan Bangunan",'Daftar Koreksi'!$H$5:$H$92,"&gt;0")</f>
        <v>0</v>
      </c>
      <c r="F1418" s="25">
        <f>SUMIFS('Daftar Koreksi'!$H$5:$H$92,'Daftar Koreksi'!$D$5:$D$92,'0300'!A1412,'Daftar Koreksi'!$G$5:$G$92,"Gedung dan Bangunan",'Daftar Koreksi'!$H$5:$H$92,"&lt;0")-SUMIFS('Daftar Koreksi'!$H$5:$H$92,'Daftar Koreksi'!$D$5:$D$92,'0300'!A1412,'Daftar Koreksi'!$G$5:$G$92,"Gedung dan Bangunan",'Daftar Koreksi'!$H$5:$H$92,"&lt;0")-SUMIFS('Daftar Koreksi'!$H$5:$H$92,'Daftar Koreksi'!$D$5:$D$92,'0300'!A1412,'Daftar Koreksi'!$G$5:$G$92,"Gedung dan Bangunan",'Daftar Koreksi'!$H$5:$H$92,"&lt;0")</f>
        <v>0</v>
      </c>
      <c r="G1418" s="17">
        <f t="shared" si="64"/>
        <v>2002845300</v>
      </c>
      <c r="H1418" s="122"/>
    </row>
    <row r="1419" spans="1:8" ht="21.95" customHeight="1">
      <c r="A1419" s="14"/>
      <c r="B1419" s="14"/>
      <c r="C1419" s="16" t="s">
        <v>1169</v>
      </c>
      <c r="D1419" s="17">
        <f>VLOOKUP(A1412,'Neraca Unaudited SIMAK'!$A$2:$S$10004,7,FALSE)</f>
        <v>34890000</v>
      </c>
      <c r="E1419" s="25">
        <f>SUMIFS('Daftar Koreksi'!$H$5:$H$92,'Daftar Koreksi'!$D$5:$D$92,'0300'!A1412,'Daftar Koreksi'!$G$5:$G$92,"Jalan Irigasi Jaringan",'Daftar Koreksi'!$H$5:$H$92,"&gt;0")</f>
        <v>0</v>
      </c>
      <c r="F1419" s="25">
        <f>SUMIFS('Daftar Koreksi'!$H$5:$H$92,'Daftar Koreksi'!$D$5:$D$92,'0300'!A1412,'Daftar Koreksi'!$G$5:$G$92,"Jalan Irigasi Jaringan",'Daftar Koreksi'!$H$5:$H$92,"&lt;0")-SUMIFS('Daftar Koreksi'!$H$5:$H$92,'Daftar Koreksi'!$D$5:$D$92,'0300'!A1412,'Daftar Koreksi'!$G$5:$G$92,"Jalan Irigasi Jaringan",'Daftar Koreksi'!$H$5:$H$92,"&lt;0")-SUMIFS('Daftar Koreksi'!$H$5:$H$92,'Daftar Koreksi'!$D$5:$D$92,'0300'!A1412,'Daftar Koreksi'!$G$5:$G$92,"Jalan Irigasi Jaringan",'Daftar Koreksi'!$H$5:$H$92,"&lt;0")</f>
        <v>0</v>
      </c>
      <c r="G1419" s="17">
        <f t="shared" si="64"/>
        <v>34890000</v>
      </c>
      <c r="H1419" s="122"/>
    </row>
    <row r="1420" spans="1:8" ht="21.95" customHeight="1">
      <c r="A1420" s="14"/>
      <c r="B1420" s="14"/>
      <c r="C1420" s="16" t="s">
        <v>1170</v>
      </c>
      <c r="D1420" s="17">
        <f>VLOOKUP(A1412,'Neraca Unaudited SIMAK'!$A$2:$S$10004,8,FALSE)</f>
        <v>37416678</v>
      </c>
      <c r="E1420" s="25">
        <f>SUMIFS('Daftar Koreksi'!$H$5:$H$92,'Daftar Koreksi'!$D$5:$D$92,'0300'!A1412,'Daftar Koreksi'!$G$5:$G$92,"Aset Tetap Lainnya",'Daftar Koreksi'!$H$5:$H$92,"&gt;0")</f>
        <v>0</v>
      </c>
      <c r="F1420" s="25">
        <f>SUMIFS('Daftar Koreksi'!$H$5:$H$92,'Daftar Koreksi'!$D$5:$D$92,'0300'!A1412,'Daftar Koreksi'!$G$5:$G$92,"Aset Tetap Lainnya",'Daftar Koreksi'!$H$5:$H$92,"&lt;0")-SUMIFS('Daftar Koreksi'!$H$5:$H$92,'Daftar Koreksi'!$D$5:$D$92,'0300'!A1412,'Daftar Koreksi'!$G$5:$G$92,"Aset Tetap Lainnya",'Daftar Koreksi'!$H$5:$H$92,"&lt;0")-SUMIFS('Daftar Koreksi'!$H$5:$H$92,'Daftar Koreksi'!$D$5:$D$92,'0300'!A1412,'Daftar Koreksi'!$G$5:$G$92,"Aset Tetap Lainnya",'Daftar Koreksi'!$H$5:$H$92,"&lt;0")</f>
        <v>0</v>
      </c>
      <c r="G1420" s="17">
        <f t="shared" si="64"/>
        <v>37416678</v>
      </c>
      <c r="H1420" s="122"/>
    </row>
    <row r="1421" spans="1:8" ht="21.95" customHeight="1">
      <c r="A1421" s="14"/>
      <c r="B1421" s="14"/>
      <c r="C1421" s="16" t="s">
        <v>1171</v>
      </c>
      <c r="D1421" s="17">
        <f>VLOOKUP(A1412,'Neraca Unaudited SIMAK'!$A$2:$S$10004,9,FALSE)</f>
        <v>0</v>
      </c>
      <c r="E1421" s="25">
        <f>SUMIFS('Daftar Koreksi'!$H$5:$H$92,'Daftar Koreksi'!$D$5:$D$92,'0300'!A1412,'Daftar Koreksi'!$G$5:$G$92,"Kontruksi Dalam Pengerjaan",'Daftar Koreksi'!$H$5:$H$92,"&gt;0")</f>
        <v>0</v>
      </c>
      <c r="F1421" s="25">
        <f>SUMIFS('Daftar Koreksi'!$H$5:$H$92,'Daftar Koreksi'!$D$5:$D$92,'0300'!A1412,'Daftar Koreksi'!$G$5:$G$92,"Kontruksi Dalam Pengerjaan",'Daftar Koreksi'!$H$5:$H$92,"&lt;0")-SUMIFS('Daftar Koreksi'!$H$5:$H$92,'Daftar Koreksi'!$D$5:$D$92,'0300'!A1412,'Daftar Koreksi'!$G$5:$G$92,"Kontruksi Dalam Pengerjaan",'Daftar Koreksi'!$H$5:$H$92,"&lt;0")-SUMIFS('Daftar Koreksi'!$H$5:$H$92,'Daftar Koreksi'!$D$5:$D$92,'0300'!A1412,'Daftar Koreksi'!$G$5:$G$92,"Kontruksi Dalam Pengerjaan",'Daftar Koreksi'!$H$5:$H$92,"&lt;0")</f>
        <v>0</v>
      </c>
      <c r="G1421" s="17">
        <f t="shared" si="64"/>
        <v>0</v>
      </c>
      <c r="H1421" s="122"/>
    </row>
    <row r="1422" spans="1:8" ht="21.95" customHeight="1">
      <c r="A1422" s="14"/>
      <c r="B1422" s="14"/>
      <c r="C1422" s="16" t="s">
        <v>1172</v>
      </c>
      <c r="D1422" s="17">
        <f>VLOOKUP(A1412,'Neraca Unaudited SIMAK'!$A$2:$S$10004,10,FALSE)</f>
        <v>2500000</v>
      </c>
      <c r="E1422" s="25">
        <f>SUMIFS('Daftar Koreksi'!$H$5:$H$92,'Daftar Koreksi'!$D$5:$D$92,'0300'!A1412,'Daftar Koreksi'!$G$5:$G$92,"Aset Tak Berwujud",'Daftar Koreksi'!$H$5:$H$92,"&gt;0")</f>
        <v>0</v>
      </c>
      <c r="F1422" s="25">
        <f>SUMIFS('Daftar Koreksi'!$H$5:$H$92,'Daftar Koreksi'!$D$5:$D$92,'0300'!A1412,'Daftar Koreksi'!$G$5:$G$92,"Aset Tak Berwujud",'Daftar Koreksi'!$H$5:$H$92,"&lt;0")-SUMIFS('Daftar Koreksi'!$H$5:$H$92,'Daftar Koreksi'!$D$5:$D$92,'0300'!A1412,'Daftar Koreksi'!$G$5:$G$92,"Aset Tak Berwujud",'Daftar Koreksi'!$H$5:$H$92,"&lt;0")-SUMIFS('Daftar Koreksi'!$H$5:$H$92,'Daftar Koreksi'!$D$5:$D$92,'0300'!A1412,'Daftar Koreksi'!$G$5:$G$92,"Aset Tak Berwujud",'Daftar Koreksi'!$H$5:$H$92,"&lt;0")</f>
        <v>0</v>
      </c>
      <c r="G1422" s="17">
        <f t="shared" si="64"/>
        <v>2500000</v>
      </c>
      <c r="H1422" s="122"/>
    </row>
    <row r="1423" spans="1:8" ht="21.95" customHeight="1">
      <c r="A1423" s="14"/>
      <c r="B1423" s="14"/>
      <c r="C1423" s="16" t="s">
        <v>1173</v>
      </c>
      <c r="D1423" s="17">
        <f>VLOOKUP(A1412,'Neraca Unaudited SIMAK'!$A$2:$S$10004,11,FALSE)</f>
        <v>2814000</v>
      </c>
      <c r="E1423" s="25">
        <f>SUMIFS('Daftar Koreksi'!$H$5:$H$92,'Daftar Koreksi'!$D$5:$D$92,'0300'!A1412,'Daftar Koreksi'!$G$5:$G$92,"Aset Henti Guna",'Daftar Koreksi'!$H$5:$H$92,"&gt;0")</f>
        <v>0</v>
      </c>
      <c r="F1423" s="25">
        <f>SUMIFS('Daftar Koreksi'!$H$5:$H$92,'Daftar Koreksi'!$D$5:$D$92,'0300'!A1412,'Daftar Koreksi'!$G$5:$G$92,"Aset Henti Guna",'Daftar Koreksi'!$H$5:$H$92,"&lt;0")-SUMIFS('Daftar Koreksi'!$H$5:$H$92,'Daftar Koreksi'!$D$5:$D$92,'0300'!A1412,'Daftar Koreksi'!$G$5:$G$92,"Aset Henti Guna",'Daftar Koreksi'!$H$5:$H$92,"&lt;0")-SUMIFS('Daftar Koreksi'!$H$5:$H$92,'Daftar Koreksi'!$D$5:$D$92,'0300'!A1412,'Daftar Koreksi'!$G$5:$G$92,"Aset Henti Guna",'Daftar Koreksi'!$H$5:$H$92,"&lt;0")</f>
        <v>0</v>
      </c>
      <c r="G1423" s="17">
        <f t="shared" si="64"/>
        <v>2814000</v>
      </c>
      <c r="H1423" s="122"/>
    </row>
    <row r="1424" spans="1:8" ht="21.95" customHeight="1">
      <c r="A1424" s="14"/>
      <c r="B1424" s="14"/>
      <c r="C1424" s="18" t="s">
        <v>2093</v>
      </c>
      <c r="D1424" s="19">
        <f>VLOOKUP(A1412,'Neraca Unaudited SIMAK'!$A$2:$S$10004,12,FALSE)</f>
        <v>7256649469</v>
      </c>
      <c r="E1424" s="19">
        <f>SUM(E1415:E1423)</f>
        <v>0</v>
      </c>
      <c r="F1424" s="19">
        <f>SUM(F1415:F1423)</f>
        <v>0</v>
      </c>
      <c r="G1424" s="19">
        <f t="shared" si="64"/>
        <v>7256649469</v>
      </c>
      <c r="H1424" s="122"/>
    </row>
    <row r="1425" spans="1:8" ht="21.95" customHeight="1">
      <c r="A1425" s="14"/>
      <c r="B1425" s="14"/>
      <c r="C1425" s="16" t="s">
        <v>2087</v>
      </c>
      <c r="D1425" s="17">
        <f>VLOOKUP(A1412,'Neraca Unaudited SIMAK'!$A$2:$S$10004,13,FALSE)</f>
        <v>-1110992565</v>
      </c>
      <c r="E1425" s="25">
        <f>SUMIFS('Daftar Koreksi'!$I$5:$I$92,'Daftar Koreksi'!$D$5:$D$92,'0300'!A1412,'Daftar Koreksi'!$G$5:$G$92,"Peralatan dan mesin",'Daftar Koreksi'!$I$5:$I$92,"&gt;0")</f>
        <v>0</v>
      </c>
      <c r="F1425" s="25">
        <f>SUMIFS('Daftar Koreksi'!$I$5:$I$92,'Daftar Koreksi'!$D$5:$D$92,'0300'!A1412,'Daftar Koreksi'!$G$5:$G$92,"Peralatan dan mesin",'Daftar Koreksi'!$I$5:$I$92,"&lt;0")-SUMIFS('Daftar Koreksi'!$I$5:$I$92,'Daftar Koreksi'!$D$5:$D$92,'0300'!A1412,'Daftar Koreksi'!$G$5:$G$92,"Peralatan dan mesin",'Daftar Koreksi'!$I$5:$I$92,"&lt;0")-SUMIFS('Daftar Koreksi'!$I$5:$I$92,'Daftar Koreksi'!$D$5:$D$92,'0300'!A1412,'Daftar Koreksi'!$G$5:$G$92,"Peralatan dan mesin",'Daftar Koreksi'!$I$5:$I$92,"&lt;0")</f>
        <v>0</v>
      </c>
      <c r="G1425" s="17">
        <f t="shared" si="64"/>
        <v>-1110992565</v>
      </c>
      <c r="H1425" s="122"/>
    </row>
    <row r="1426" spans="1:8" ht="21.95" customHeight="1">
      <c r="A1426" s="14"/>
      <c r="B1426" s="14"/>
      <c r="C1426" s="16" t="s">
        <v>2088</v>
      </c>
      <c r="D1426" s="17">
        <f>VLOOKUP(A1412,'Neraca Unaudited SIMAK'!$A$2:$S$10004,14,FALSE)</f>
        <v>-269961547</v>
      </c>
      <c r="E1426" s="25">
        <f>SUMIFS('Daftar Koreksi'!$I$5:$I$92,'Daftar Koreksi'!$D$5:$D$92,'0300'!A1412,'Daftar Koreksi'!$G$5:$G$92,"Gedung dan Bangunan",'Daftar Koreksi'!$I$5:$I$92,"&gt;0")</f>
        <v>0</v>
      </c>
      <c r="F1426" s="25">
        <f>SUMIFS('Daftar Koreksi'!$I$5:$I$92,'Daftar Koreksi'!$D$5:$D$92,'0300'!A1412,'Daftar Koreksi'!$G$5:$G$92,"Gedung dan Bangunan",'Daftar Koreksi'!$I$5:$I$92,"&lt;0")-SUMIFS('Daftar Koreksi'!$I$5:$I$92,'Daftar Koreksi'!$D$5:$D$92,'0300'!A1412,'Daftar Koreksi'!$G$5:$G$92,"Gedung dan Bangunan",'Daftar Koreksi'!$I$5:$I$92,"&lt;0")-SUMIFS('Daftar Koreksi'!$I$5:$I$92,'Daftar Koreksi'!$D$5:$D$92,'0300'!A1412,'Daftar Koreksi'!$G$5:$G$92,"Gedung dan Bangunan",'Daftar Koreksi'!$I$5:$I$92,"&lt;0")</f>
        <v>0</v>
      </c>
      <c r="G1426" s="17">
        <f t="shared" si="64"/>
        <v>-269961547</v>
      </c>
      <c r="H1426" s="122"/>
    </row>
    <row r="1427" spans="1:8" ht="21.95" customHeight="1">
      <c r="A1427" s="14"/>
      <c r="B1427" s="14"/>
      <c r="C1427" s="16" t="s">
        <v>2089</v>
      </c>
      <c r="D1427" s="17">
        <f>VLOOKUP(A1412,'Neraca Unaudited SIMAK'!$A$2:$S$10004,15,FALSE)</f>
        <v>-6105750</v>
      </c>
      <c r="E1427" s="25">
        <f>SUMIFS('Daftar Koreksi'!$I$5:$I$92,'Daftar Koreksi'!$D$5:$D$92,'0300'!A1412,'Daftar Koreksi'!$G$5:$G$92,"Jalan Irigasi Jaringan",'Daftar Koreksi'!$I$5:$I$92,"&gt;0")</f>
        <v>0</v>
      </c>
      <c r="F1427" s="25">
        <f>SUMIFS('Daftar Koreksi'!$I$5:$I$92,'Daftar Koreksi'!$D$5:$D$92,'0300'!A1412,'Daftar Koreksi'!$G$5:$G$92,"Jalan Irigasi Jaringan",'Daftar Koreksi'!$I$5:$I$92,"&lt;0")-SUMIFS('Daftar Koreksi'!$I$5:$I$92,'Daftar Koreksi'!$D$5:$D$92,'0300'!A1412,'Daftar Koreksi'!$G$5:$G$92,"Jalan Irigasi Jaringan",'Daftar Koreksi'!$I$5:$I$92,"&lt;0")-SUMIFS('Daftar Koreksi'!$I$5:$I$92,'Daftar Koreksi'!$D$5:$D$92,'0300'!A1412,'Daftar Koreksi'!$G$5:$G$92,"Jalan Irigasi Jaringan",'Daftar Koreksi'!$I$5:$I$92,"&lt;0")</f>
        <v>0</v>
      </c>
      <c r="G1427" s="17">
        <f t="shared" si="64"/>
        <v>-6105750</v>
      </c>
      <c r="H1427" s="122"/>
    </row>
    <row r="1428" spans="1:8" ht="21.95" customHeight="1">
      <c r="A1428" s="14"/>
      <c r="B1428" s="14"/>
      <c r="C1428" s="16" t="s">
        <v>2090</v>
      </c>
      <c r="D1428" s="17">
        <f>VLOOKUP(A1412,'Neraca Unaudited SIMAK'!$A$2:$S$10004,16,FALSE)</f>
        <v>0</v>
      </c>
      <c r="E1428" s="25">
        <f>SUMIFS('Daftar Koreksi'!$I$5:$I$92,'Daftar Koreksi'!$D$5:$D$92,'0300'!A1412,'Daftar Koreksi'!$G$5:$G$92,"Aset Tetap Lainnya",'Daftar Koreksi'!$I$5:$I$92,"&gt;0")</f>
        <v>0</v>
      </c>
      <c r="F1428" s="25">
        <f>SUMIFS('Daftar Koreksi'!$I$5:$I$92,'Daftar Koreksi'!$D$5:$D$92,'0300'!A1412,'Daftar Koreksi'!$G$5:$G$92,"Aset Tetap Lainnya",'Daftar Koreksi'!$I$5:$I$92,"&lt;0")-SUMIFS('Daftar Koreksi'!$I$5:$I$92,'Daftar Koreksi'!$D$5:$D$92,'0300'!A1412,'Daftar Koreksi'!$G$5:$G$92,"Aset Tetap Lainnya",'Daftar Koreksi'!$I$5:$I$92,"&lt;0")-SUMIFS('Daftar Koreksi'!$I$5:$I$92,'Daftar Koreksi'!$D$5:$D$92,'0300'!A1412,'Daftar Koreksi'!$G$5:$G$92,"Aset Tetap Lainnya",'Daftar Koreksi'!$I$5:$I$92,"&lt;0")</f>
        <v>0</v>
      </c>
      <c r="G1428" s="17">
        <f t="shared" si="64"/>
        <v>0</v>
      </c>
      <c r="H1428" s="122"/>
    </row>
    <row r="1429" spans="1:8" ht="21.95" customHeight="1">
      <c r="A1429" s="14"/>
      <c r="B1429" s="14"/>
      <c r="C1429" s="16" t="s">
        <v>2020</v>
      </c>
      <c r="D1429" s="17">
        <f>VLOOKUP(A1412,'Neraca Unaudited SIMAK'!$A$2:$S$10004,17,FALSE)</f>
        <v>-2814000</v>
      </c>
      <c r="E1429" s="25">
        <f>SUMIFS('Daftar Koreksi'!$I$5:$I$92,'Daftar Koreksi'!$D$5:$D$92,'0300'!A1412,'Daftar Koreksi'!$G$5:$G$92,"Aset Henti Guna",'Daftar Koreksi'!$I$5:$I$92,"&gt;0")</f>
        <v>0</v>
      </c>
      <c r="F1429" s="25">
        <f>SUMIFS('Daftar Koreksi'!$I$5:$I$92,'Daftar Koreksi'!$D$5:$D$92,'0300'!A1412,'Daftar Koreksi'!$G$5:$G$92,"Aset Henti Guna",'Daftar Koreksi'!$I$5:$I$92,"&lt;0")-SUMIFS('Daftar Koreksi'!$I$5:$I$92,'Daftar Koreksi'!$D$5:$D$92,'0300'!A1412,'Daftar Koreksi'!$G$5:$G$92,"Aset Henti Guna",'Daftar Koreksi'!$I$5:$I$92,"&lt;0")-SUMIFS('Daftar Koreksi'!$I$5:$I$92,'Daftar Koreksi'!$D$5:$D$92,'0300'!A1412,'Daftar Koreksi'!$G$5:$G$92,"Aset Henti Guna",'Daftar Koreksi'!$I$5:$I$92,"&lt;0")</f>
        <v>0</v>
      </c>
      <c r="G1429" s="17">
        <f t="shared" si="64"/>
        <v>-2814000</v>
      </c>
      <c r="H1429" s="122"/>
    </row>
    <row r="1430" spans="1:8" ht="21.95" customHeight="1">
      <c r="A1430" s="14"/>
      <c r="B1430" s="14"/>
      <c r="C1430" s="18" t="s">
        <v>2094</v>
      </c>
      <c r="D1430" s="19">
        <f>SUM(D1425:D1429)</f>
        <v>-1389873862</v>
      </c>
      <c r="E1430" s="19">
        <f>SUM(E1425:E1429)</f>
        <v>0</v>
      </c>
      <c r="F1430" s="19">
        <f>SUM(F1425:F1429)</f>
        <v>0</v>
      </c>
      <c r="G1430" s="19">
        <f t="shared" si="64"/>
        <v>-1389873862</v>
      </c>
      <c r="H1430" s="122"/>
    </row>
    <row r="1431" spans="1:8" ht="21.95" customHeight="1">
      <c r="A1431" s="14"/>
      <c r="B1431" s="14"/>
      <c r="C1431" s="18" t="s">
        <v>2095</v>
      </c>
      <c r="D1431" s="19">
        <f>VLOOKUP(A1412,'Neraca Unaudited SIMAK'!$A$2:$S$10004,18,FALSE)</f>
        <v>5866775607</v>
      </c>
      <c r="E1431" s="19">
        <f>E1430+E1424</f>
        <v>0</v>
      </c>
      <c r="F1431" s="19">
        <f>F1430+F1424</f>
        <v>0</v>
      </c>
      <c r="G1431" s="19">
        <f t="shared" si="64"/>
        <v>5866775607</v>
      </c>
      <c r="H1431" s="122"/>
    </row>
    <row r="1432" spans="1:8" ht="21.95" customHeight="1">
      <c r="A1432" s="14"/>
      <c r="B1432" s="14"/>
      <c r="C1432" s="16" t="s">
        <v>2091</v>
      </c>
      <c r="D1432" s="17">
        <f>VLOOKUP(A1412,'Neraca Unaudited SIMAK'!$A$2:$S$10004,19,FALSE)</f>
        <v>0</v>
      </c>
      <c r="E1432" s="25"/>
      <c r="F1432" s="25"/>
      <c r="G1432" s="17">
        <f t="shared" si="64"/>
        <v>0</v>
      </c>
      <c r="H1432" s="123"/>
    </row>
    <row r="1434" spans="1:8" ht="19.5" customHeight="1">
      <c r="A1434" s="11" t="str">
        <f>O66</f>
        <v>005010300401168000KD</v>
      </c>
      <c r="B1434" s="11" t="str">
        <f>P66</f>
        <v>PA. Sukoharjo</v>
      </c>
      <c r="C1434" s="12" t="str">
        <f>A1434&amp;" "&amp;B1434</f>
        <v>005010300401168000KD PA. Sukoharjo</v>
      </c>
      <c r="D1434" s="13"/>
      <c r="E1434" s="13"/>
      <c r="F1434" s="13"/>
      <c r="G1434" s="13"/>
      <c r="H1434" s="11"/>
    </row>
    <row r="1435" spans="1:8" ht="21.95" customHeight="1">
      <c r="A1435" s="14"/>
      <c r="B1435" s="14"/>
      <c r="C1435" s="124" t="s">
        <v>1982</v>
      </c>
      <c r="D1435" s="126" t="s">
        <v>1983</v>
      </c>
      <c r="E1435" s="132" t="s">
        <v>1984</v>
      </c>
      <c r="F1435" s="132"/>
      <c r="G1435" s="126" t="s">
        <v>1987</v>
      </c>
      <c r="H1435" s="130" t="s">
        <v>1175</v>
      </c>
    </row>
    <row r="1436" spans="1:8" ht="21.95" customHeight="1">
      <c r="A1436" s="14"/>
      <c r="B1436" s="14"/>
      <c r="C1436" s="125"/>
      <c r="D1436" s="127"/>
      <c r="E1436" s="26" t="s">
        <v>1985</v>
      </c>
      <c r="F1436" s="26" t="s">
        <v>1986</v>
      </c>
      <c r="G1436" s="127"/>
      <c r="H1436" s="131"/>
    </row>
    <row r="1437" spans="1:8" ht="21.95" customHeight="1">
      <c r="A1437" s="14"/>
      <c r="B1437" s="14"/>
      <c r="C1437" s="16" t="s">
        <v>1165</v>
      </c>
      <c r="D1437" s="17">
        <f>VLOOKUP(A1434,'Neraca Unaudited SIMAK'!$A$2:$S$10004,3,FALSE)</f>
        <v>1746500</v>
      </c>
      <c r="E1437" s="25">
        <f>SUMIFS('Daftar Koreksi'!$H$5:$H$92,'Daftar Koreksi'!$D$5:$D$92,'0300'!A1434,'Daftar Koreksi'!$G$5:$G$92,"Persediaan",'Daftar Koreksi'!$H$5:$H$92,"&gt;0")</f>
        <v>0</v>
      </c>
      <c r="F1437" s="25">
        <f>SUMIFS('Daftar Koreksi'!$H$5:$H$92,'Daftar Koreksi'!$D$5:$D$92,'0300'!A1434,'Daftar Koreksi'!$G$5:$G$92,"Persediaan",'Daftar Koreksi'!$H$5:$H$92,"&lt;0")-SUMIFS('Daftar Koreksi'!$H$5:$H$92,'Daftar Koreksi'!$D$5:$D$92,'0300'!A1434,'Daftar Koreksi'!$G$5:$G$92,"Persediaan",'Daftar Koreksi'!$H$5:$H$92,"&lt;0")-SUMIFS('Daftar Koreksi'!$H$5:$H$92,'Daftar Koreksi'!$D$5:$D$92,'0300'!A1434,'Daftar Koreksi'!$G$5:$G$92,"Persediaan",'Daftar Koreksi'!$H$5:$H$92,"&lt;0")</f>
        <v>0</v>
      </c>
      <c r="G1437" s="17">
        <f>D1437+E1437-F1437</f>
        <v>1746500</v>
      </c>
      <c r="H1437" s="121" t="str">
        <f>IF(ISNA(VLOOKUP(A1434,'Mutasi Neraca'!$A$3:$S$914,19,FALSE)),"-",VLOOKUP(A1434,'Mutasi Neraca'!$A$3:$S$914,19,FALSE))</f>
        <v>-</v>
      </c>
    </row>
    <row r="1438" spans="1:8" ht="21.95" customHeight="1">
      <c r="A1438" s="14"/>
      <c r="B1438" s="14"/>
      <c r="C1438" s="16" t="s">
        <v>1166</v>
      </c>
      <c r="D1438" s="17">
        <f>VLOOKUP(A1434,'Neraca Unaudited SIMAK'!$A$2:$S$10004,4,FALSE)</f>
        <v>960000000</v>
      </c>
      <c r="E1438" s="25">
        <f>SUMIFS('Daftar Koreksi'!$H$5:$H$92,'Daftar Koreksi'!$D$5:$D$92,'0300'!A1434,'Daftar Koreksi'!$G$5:$G$92,"Tanah",'Daftar Koreksi'!$H$5:$H$92,"&gt;0")</f>
        <v>0</v>
      </c>
      <c r="F1438" s="25">
        <f>SUMIFS('Daftar Koreksi'!$H$5:$H$92,'Daftar Koreksi'!$D$5:$D$92,'0300'!A1434,'Daftar Koreksi'!$G$5:$G$92,"Tanah",'Daftar Koreksi'!$H$5:$H$92,"&lt;0")-SUMIFS('Daftar Koreksi'!$H$5:$H$92,'Daftar Koreksi'!$D$5:$D$92,'0300'!A1434,'Daftar Koreksi'!$G$5:$G$92,"Tanah",'Daftar Koreksi'!$H$5:$H$92,"&lt;0")-SUMIFS('Daftar Koreksi'!$H$5:$H$92,'Daftar Koreksi'!$D$5:$D$92,'0300'!A1434,'Daftar Koreksi'!$G$5:$G$92,"Tanah",'Daftar Koreksi'!$H$5:$H$92,"&lt;0")</f>
        <v>0</v>
      </c>
      <c r="G1438" s="17">
        <f t="shared" ref="G1438:G1454" si="65">D1438+E1438-F1438</f>
        <v>960000000</v>
      </c>
      <c r="H1438" s="122"/>
    </row>
    <row r="1439" spans="1:8" ht="21.95" customHeight="1">
      <c r="A1439" s="14"/>
      <c r="B1439" s="14"/>
      <c r="C1439" s="16" t="s">
        <v>1167</v>
      </c>
      <c r="D1439" s="17">
        <f>VLOOKUP(A1434,'Neraca Unaudited SIMAK'!$A$2:$S$10004,5,FALSE)</f>
        <v>1119336782</v>
      </c>
      <c r="E1439" s="25">
        <f>SUMIFS('Daftar Koreksi'!$H$5:$H$92,'Daftar Koreksi'!$D$5:$D$92,'0300'!A1434,'Daftar Koreksi'!$G$5:$G$92,"Peralatan dan mesin",'Daftar Koreksi'!$H$5:$H$92,"&gt;0")</f>
        <v>0</v>
      </c>
      <c r="F1439" s="25">
        <f>SUMIFS('Daftar Koreksi'!$H$5:$H$92,'Daftar Koreksi'!$D$5:$D$92,'0300'!A1434,'Daftar Koreksi'!$G$5:$G$92,"Peralatan dan mesin",'Daftar Koreksi'!$H$5:$H$92,"&lt;0")-SUMIFS('Daftar Koreksi'!$H$5:$H$92,'Daftar Koreksi'!$D$5:$D$92,'0300'!A1434,'Daftar Koreksi'!$G$5:$G$92,"Peralatan dan mesin",'Daftar Koreksi'!$H$5:$H$92,"&lt;0")-SUMIFS('Daftar Koreksi'!$H$5:$H$92,'Daftar Koreksi'!$D$5:$D$92,'0300'!A1434,'Daftar Koreksi'!$G$5:$G$92,"Peralatan dan mesin",'Daftar Koreksi'!$H$5:$H$92,"&lt;0")</f>
        <v>0</v>
      </c>
      <c r="G1439" s="17">
        <f t="shared" si="65"/>
        <v>1119336782</v>
      </c>
      <c r="H1439" s="122"/>
    </row>
    <row r="1440" spans="1:8" ht="21.95" customHeight="1">
      <c r="A1440" s="14"/>
      <c r="B1440" s="14"/>
      <c r="C1440" s="16" t="s">
        <v>1168</v>
      </c>
      <c r="D1440" s="17">
        <f>VLOOKUP(A1434,'Neraca Unaudited SIMAK'!$A$2:$S$10004,6,FALSE)</f>
        <v>3549119000</v>
      </c>
      <c r="E1440" s="25">
        <f>SUMIFS('Daftar Koreksi'!$H$5:$H$92,'Daftar Koreksi'!$D$5:$D$92,'0300'!A1434,'Daftar Koreksi'!$G$5:$G$92,"Gedung dan Bangunan",'Daftar Koreksi'!$H$5:$H$92,"&gt;0")</f>
        <v>0</v>
      </c>
      <c r="F1440" s="25">
        <f>SUMIFS('Daftar Koreksi'!$H$5:$H$92,'Daftar Koreksi'!$D$5:$D$92,'0300'!A1434,'Daftar Koreksi'!$G$5:$G$92,"Gedung dan Bangunan",'Daftar Koreksi'!$H$5:$H$92,"&lt;0")-SUMIFS('Daftar Koreksi'!$H$5:$H$92,'Daftar Koreksi'!$D$5:$D$92,'0300'!A1434,'Daftar Koreksi'!$G$5:$G$92,"Gedung dan Bangunan",'Daftar Koreksi'!$H$5:$H$92,"&lt;0")-SUMIFS('Daftar Koreksi'!$H$5:$H$92,'Daftar Koreksi'!$D$5:$D$92,'0300'!A1434,'Daftar Koreksi'!$G$5:$G$92,"Gedung dan Bangunan",'Daftar Koreksi'!$H$5:$H$92,"&lt;0")</f>
        <v>0</v>
      </c>
      <c r="G1440" s="17">
        <f t="shared" si="65"/>
        <v>3549119000</v>
      </c>
      <c r="H1440" s="122"/>
    </row>
    <row r="1441" spans="1:8" ht="21.95" customHeight="1">
      <c r="A1441" s="14"/>
      <c r="B1441" s="14"/>
      <c r="C1441" s="16" t="s">
        <v>1169</v>
      </c>
      <c r="D1441" s="17">
        <f>VLOOKUP(A1434,'Neraca Unaudited SIMAK'!$A$2:$S$10004,7,FALSE)</f>
        <v>30000000</v>
      </c>
      <c r="E1441" s="25">
        <f>SUMIFS('Daftar Koreksi'!$H$5:$H$92,'Daftar Koreksi'!$D$5:$D$92,'0300'!A1434,'Daftar Koreksi'!$G$5:$G$92,"Jalan Irigasi Jaringan",'Daftar Koreksi'!$H$5:$H$92,"&gt;0")</f>
        <v>0</v>
      </c>
      <c r="F1441" s="25">
        <f>SUMIFS('Daftar Koreksi'!$H$5:$H$92,'Daftar Koreksi'!$D$5:$D$92,'0300'!A1434,'Daftar Koreksi'!$G$5:$G$92,"Jalan Irigasi Jaringan",'Daftar Koreksi'!$H$5:$H$92,"&lt;0")-SUMIFS('Daftar Koreksi'!$H$5:$H$92,'Daftar Koreksi'!$D$5:$D$92,'0300'!A1434,'Daftar Koreksi'!$G$5:$G$92,"Jalan Irigasi Jaringan",'Daftar Koreksi'!$H$5:$H$92,"&lt;0")-SUMIFS('Daftar Koreksi'!$H$5:$H$92,'Daftar Koreksi'!$D$5:$D$92,'0300'!A1434,'Daftar Koreksi'!$G$5:$G$92,"Jalan Irigasi Jaringan",'Daftar Koreksi'!$H$5:$H$92,"&lt;0")</f>
        <v>0</v>
      </c>
      <c r="G1441" s="17">
        <f t="shared" si="65"/>
        <v>30000000</v>
      </c>
      <c r="H1441" s="122"/>
    </row>
    <row r="1442" spans="1:8" ht="21.95" customHeight="1">
      <c r="A1442" s="14"/>
      <c r="B1442" s="14"/>
      <c r="C1442" s="16" t="s">
        <v>1170</v>
      </c>
      <c r="D1442" s="17">
        <f>VLOOKUP(A1434,'Neraca Unaudited SIMAK'!$A$2:$S$10004,8,FALSE)</f>
        <v>6736680</v>
      </c>
      <c r="E1442" s="25">
        <f>SUMIFS('Daftar Koreksi'!$H$5:$H$92,'Daftar Koreksi'!$D$5:$D$92,'0300'!A1434,'Daftar Koreksi'!$G$5:$G$92,"Aset Tetap Lainnya",'Daftar Koreksi'!$H$5:$H$92,"&gt;0")</f>
        <v>0</v>
      </c>
      <c r="F1442" s="25">
        <f>SUMIFS('Daftar Koreksi'!$H$5:$H$92,'Daftar Koreksi'!$D$5:$D$92,'0300'!A1434,'Daftar Koreksi'!$G$5:$G$92,"Aset Tetap Lainnya",'Daftar Koreksi'!$H$5:$H$92,"&lt;0")-SUMIFS('Daftar Koreksi'!$H$5:$H$92,'Daftar Koreksi'!$D$5:$D$92,'0300'!A1434,'Daftar Koreksi'!$G$5:$G$92,"Aset Tetap Lainnya",'Daftar Koreksi'!$H$5:$H$92,"&lt;0")-SUMIFS('Daftar Koreksi'!$H$5:$H$92,'Daftar Koreksi'!$D$5:$D$92,'0300'!A1434,'Daftar Koreksi'!$G$5:$G$92,"Aset Tetap Lainnya",'Daftar Koreksi'!$H$5:$H$92,"&lt;0")</f>
        <v>0</v>
      </c>
      <c r="G1442" s="17">
        <f t="shared" si="65"/>
        <v>6736680</v>
      </c>
      <c r="H1442" s="122"/>
    </row>
    <row r="1443" spans="1:8" ht="21.95" customHeight="1">
      <c r="A1443" s="14"/>
      <c r="B1443" s="14"/>
      <c r="C1443" s="16" t="s">
        <v>1171</v>
      </c>
      <c r="D1443" s="17">
        <f>VLOOKUP(A1434,'Neraca Unaudited SIMAK'!$A$2:$S$10004,9,FALSE)</f>
        <v>0</v>
      </c>
      <c r="E1443" s="25">
        <f>SUMIFS('Daftar Koreksi'!$H$5:$H$92,'Daftar Koreksi'!$D$5:$D$92,'0300'!A1434,'Daftar Koreksi'!$G$5:$G$92,"Kontruksi Dalam Pengerjaan",'Daftar Koreksi'!$H$5:$H$92,"&gt;0")</f>
        <v>0</v>
      </c>
      <c r="F1443" s="25">
        <f>SUMIFS('Daftar Koreksi'!$H$5:$H$92,'Daftar Koreksi'!$D$5:$D$92,'0300'!A1434,'Daftar Koreksi'!$G$5:$G$92,"Kontruksi Dalam Pengerjaan",'Daftar Koreksi'!$H$5:$H$92,"&lt;0")-SUMIFS('Daftar Koreksi'!$H$5:$H$92,'Daftar Koreksi'!$D$5:$D$92,'0300'!A1434,'Daftar Koreksi'!$G$5:$G$92,"Kontruksi Dalam Pengerjaan",'Daftar Koreksi'!$H$5:$H$92,"&lt;0")-SUMIFS('Daftar Koreksi'!$H$5:$H$92,'Daftar Koreksi'!$D$5:$D$92,'0300'!A1434,'Daftar Koreksi'!$G$5:$G$92,"Kontruksi Dalam Pengerjaan",'Daftar Koreksi'!$H$5:$H$92,"&lt;0")</f>
        <v>0</v>
      </c>
      <c r="G1443" s="17">
        <f t="shared" si="65"/>
        <v>0</v>
      </c>
      <c r="H1443" s="122"/>
    </row>
    <row r="1444" spans="1:8" ht="21.95" customHeight="1">
      <c r="A1444" s="14"/>
      <c r="B1444" s="14"/>
      <c r="C1444" s="16" t="s">
        <v>1172</v>
      </c>
      <c r="D1444" s="17">
        <f>VLOOKUP(A1434,'Neraca Unaudited SIMAK'!$A$2:$S$10004,10,FALSE)</f>
        <v>0</v>
      </c>
      <c r="E1444" s="25">
        <f>SUMIFS('Daftar Koreksi'!$H$5:$H$92,'Daftar Koreksi'!$D$5:$D$92,'0300'!A1434,'Daftar Koreksi'!$G$5:$G$92,"Aset Tak Berwujud",'Daftar Koreksi'!$H$5:$H$92,"&gt;0")</f>
        <v>0</v>
      </c>
      <c r="F1444" s="25">
        <f>SUMIFS('Daftar Koreksi'!$H$5:$H$92,'Daftar Koreksi'!$D$5:$D$92,'0300'!A1434,'Daftar Koreksi'!$G$5:$G$92,"Aset Tak Berwujud",'Daftar Koreksi'!$H$5:$H$92,"&lt;0")-SUMIFS('Daftar Koreksi'!$H$5:$H$92,'Daftar Koreksi'!$D$5:$D$92,'0300'!A1434,'Daftar Koreksi'!$G$5:$G$92,"Aset Tak Berwujud",'Daftar Koreksi'!$H$5:$H$92,"&lt;0")-SUMIFS('Daftar Koreksi'!$H$5:$H$92,'Daftar Koreksi'!$D$5:$D$92,'0300'!A1434,'Daftar Koreksi'!$G$5:$G$92,"Aset Tak Berwujud",'Daftar Koreksi'!$H$5:$H$92,"&lt;0")</f>
        <v>0</v>
      </c>
      <c r="G1444" s="17">
        <f t="shared" si="65"/>
        <v>0</v>
      </c>
      <c r="H1444" s="122"/>
    </row>
    <row r="1445" spans="1:8" ht="21.95" customHeight="1">
      <c r="A1445" s="14"/>
      <c r="B1445" s="14"/>
      <c r="C1445" s="16" t="s">
        <v>1173</v>
      </c>
      <c r="D1445" s="17">
        <f>VLOOKUP(A1434,'Neraca Unaudited SIMAK'!$A$2:$S$10004,11,FALSE)</f>
        <v>264157500</v>
      </c>
      <c r="E1445" s="25">
        <f>SUMIFS('Daftar Koreksi'!$H$5:$H$92,'Daftar Koreksi'!$D$5:$D$92,'0300'!A1434,'Daftar Koreksi'!$G$5:$G$92,"Aset Henti Guna",'Daftar Koreksi'!$H$5:$H$92,"&gt;0")</f>
        <v>0</v>
      </c>
      <c r="F1445" s="25">
        <f>SUMIFS('Daftar Koreksi'!$H$5:$H$92,'Daftar Koreksi'!$D$5:$D$92,'0300'!A1434,'Daftar Koreksi'!$G$5:$G$92,"Aset Henti Guna",'Daftar Koreksi'!$H$5:$H$92,"&lt;0")-SUMIFS('Daftar Koreksi'!$H$5:$H$92,'Daftar Koreksi'!$D$5:$D$92,'0300'!A1434,'Daftar Koreksi'!$G$5:$G$92,"Aset Henti Guna",'Daftar Koreksi'!$H$5:$H$92,"&lt;0")-SUMIFS('Daftar Koreksi'!$H$5:$H$92,'Daftar Koreksi'!$D$5:$D$92,'0300'!A1434,'Daftar Koreksi'!$G$5:$G$92,"Aset Henti Guna",'Daftar Koreksi'!$H$5:$H$92,"&lt;0")</f>
        <v>0</v>
      </c>
      <c r="G1445" s="17">
        <f t="shared" si="65"/>
        <v>264157500</v>
      </c>
      <c r="H1445" s="122"/>
    </row>
    <row r="1446" spans="1:8" ht="21.95" customHeight="1">
      <c r="A1446" s="14"/>
      <c r="B1446" s="14"/>
      <c r="C1446" s="18" t="s">
        <v>2093</v>
      </c>
      <c r="D1446" s="19">
        <f>VLOOKUP(A1434,'Neraca Unaudited SIMAK'!$A$2:$S$10004,12,FALSE)</f>
        <v>5931096462</v>
      </c>
      <c r="E1446" s="19">
        <f>SUM(E1437:E1445)</f>
        <v>0</v>
      </c>
      <c r="F1446" s="19">
        <f>SUM(F1437:F1445)</f>
        <v>0</v>
      </c>
      <c r="G1446" s="19">
        <f t="shared" si="65"/>
        <v>5931096462</v>
      </c>
      <c r="H1446" s="122"/>
    </row>
    <row r="1447" spans="1:8" ht="21.95" customHeight="1">
      <c r="A1447" s="14"/>
      <c r="B1447" s="14"/>
      <c r="C1447" s="16" t="s">
        <v>2087</v>
      </c>
      <c r="D1447" s="17">
        <f>VLOOKUP(A1434,'Neraca Unaudited SIMAK'!$A$2:$S$10004,13,FALSE)</f>
        <v>-945233770</v>
      </c>
      <c r="E1447" s="25">
        <f>SUMIFS('Daftar Koreksi'!$I$5:$I$92,'Daftar Koreksi'!$D$5:$D$92,'0300'!A1434,'Daftar Koreksi'!$G$5:$G$92,"Peralatan dan mesin",'Daftar Koreksi'!$I$5:$I$92,"&gt;0")</f>
        <v>0</v>
      </c>
      <c r="F1447" s="25">
        <f>SUMIFS('Daftar Koreksi'!$I$5:$I$92,'Daftar Koreksi'!$D$5:$D$92,'0300'!A1434,'Daftar Koreksi'!$G$5:$G$92,"Peralatan dan mesin",'Daftar Koreksi'!$I$5:$I$92,"&lt;0")-SUMIFS('Daftar Koreksi'!$I$5:$I$92,'Daftar Koreksi'!$D$5:$D$92,'0300'!A1434,'Daftar Koreksi'!$G$5:$G$92,"Peralatan dan mesin",'Daftar Koreksi'!$I$5:$I$92,"&lt;0")-SUMIFS('Daftar Koreksi'!$I$5:$I$92,'Daftar Koreksi'!$D$5:$D$92,'0300'!A1434,'Daftar Koreksi'!$G$5:$G$92,"Peralatan dan mesin",'Daftar Koreksi'!$I$5:$I$92,"&lt;0")</f>
        <v>0</v>
      </c>
      <c r="G1447" s="17">
        <f t="shared" si="65"/>
        <v>-945233770</v>
      </c>
      <c r="H1447" s="122"/>
    </row>
    <row r="1448" spans="1:8" ht="21.95" customHeight="1">
      <c r="A1448" s="14"/>
      <c r="B1448" s="14"/>
      <c r="C1448" s="16" t="s">
        <v>2088</v>
      </c>
      <c r="D1448" s="17">
        <f>VLOOKUP(A1434,'Neraca Unaudited SIMAK'!$A$2:$S$10004,14,FALSE)</f>
        <v>-549272000</v>
      </c>
      <c r="E1448" s="25">
        <f>SUMIFS('Daftar Koreksi'!$I$5:$I$92,'Daftar Koreksi'!$D$5:$D$92,'0300'!A1434,'Daftar Koreksi'!$G$5:$G$92,"Gedung dan Bangunan",'Daftar Koreksi'!$I$5:$I$92,"&gt;0")</f>
        <v>0</v>
      </c>
      <c r="F1448" s="25">
        <f>SUMIFS('Daftar Koreksi'!$I$5:$I$92,'Daftar Koreksi'!$D$5:$D$92,'0300'!A1434,'Daftar Koreksi'!$G$5:$G$92,"Gedung dan Bangunan",'Daftar Koreksi'!$I$5:$I$92,"&lt;0")-SUMIFS('Daftar Koreksi'!$I$5:$I$92,'Daftar Koreksi'!$D$5:$D$92,'0300'!A1434,'Daftar Koreksi'!$G$5:$G$92,"Gedung dan Bangunan",'Daftar Koreksi'!$I$5:$I$92,"&lt;0")-SUMIFS('Daftar Koreksi'!$I$5:$I$92,'Daftar Koreksi'!$D$5:$D$92,'0300'!A1434,'Daftar Koreksi'!$G$5:$G$92,"Gedung dan Bangunan",'Daftar Koreksi'!$I$5:$I$92,"&lt;0")</f>
        <v>0</v>
      </c>
      <c r="G1448" s="17">
        <f t="shared" si="65"/>
        <v>-549272000</v>
      </c>
      <c r="H1448" s="122"/>
    </row>
    <row r="1449" spans="1:8" ht="21.95" customHeight="1">
      <c r="A1449" s="14"/>
      <c r="B1449" s="14"/>
      <c r="C1449" s="16" t="s">
        <v>2089</v>
      </c>
      <c r="D1449" s="17">
        <f>VLOOKUP(A1434,'Neraca Unaudited SIMAK'!$A$2:$S$10004,15,FALSE)</f>
        <v>-4875000</v>
      </c>
      <c r="E1449" s="25">
        <f>SUMIFS('Daftar Koreksi'!$I$5:$I$92,'Daftar Koreksi'!$D$5:$D$92,'0300'!A1434,'Daftar Koreksi'!$G$5:$G$92,"Jalan Irigasi Jaringan",'Daftar Koreksi'!$I$5:$I$92,"&gt;0")</f>
        <v>0</v>
      </c>
      <c r="F1449" s="25">
        <f>SUMIFS('Daftar Koreksi'!$I$5:$I$92,'Daftar Koreksi'!$D$5:$D$92,'0300'!A1434,'Daftar Koreksi'!$G$5:$G$92,"Jalan Irigasi Jaringan",'Daftar Koreksi'!$I$5:$I$92,"&lt;0")-SUMIFS('Daftar Koreksi'!$I$5:$I$92,'Daftar Koreksi'!$D$5:$D$92,'0300'!A1434,'Daftar Koreksi'!$G$5:$G$92,"Jalan Irigasi Jaringan",'Daftar Koreksi'!$I$5:$I$92,"&lt;0")-SUMIFS('Daftar Koreksi'!$I$5:$I$92,'Daftar Koreksi'!$D$5:$D$92,'0300'!A1434,'Daftar Koreksi'!$G$5:$G$92,"Jalan Irigasi Jaringan",'Daftar Koreksi'!$I$5:$I$92,"&lt;0")</f>
        <v>0</v>
      </c>
      <c r="G1449" s="17">
        <f t="shared" si="65"/>
        <v>-4875000</v>
      </c>
      <c r="H1449" s="122"/>
    </row>
    <row r="1450" spans="1:8" ht="21.95" customHeight="1">
      <c r="A1450" s="14"/>
      <c r="B1450" s="14"/>
      <c r="C1450" s="16" t="s">
        <v>2090</v>
      </c>
      <c r="D1450" s="17">
        <f>VLOOKUP(A1434,'Neraca Unaudited SIMAK'!$A$2:$S$10004,16,FALSE)</f>
        <v>-3500000</v>
      </c>
      <c r="E1450" s="25">
        <f>SUMIFS('Daftar Koreksi'!$I$5:$I$92,'Daftar Koreksi'!$D$5:$D$92,'0300'!A1434,'Daftar Koreksi'!$G$5:$G$92,"Aset Tetap Lainnya",'Daftar Koreksi'!$I$5:$I$92,"&gt;0")</f>
        <v>0</v>
      </c>
      <c r="F1450" s="25">
        <f>SUMIFS('Daftar Koreksi'!$I$5:$I$92,'Daftar Koreksi'!$D$5:$D$92,'0300'!A1434,'Daftar Koreksi'!$G$5:$G$92,"Aset Tetap Lainnya",'Daftar Koreksi'!$I$5:$I$92,"&lt;0")-SUMIFS('Daftar Koreksi'!$I$5:$I$92,'Daftar Koreksi'!$D$5:$D$92,'0300'!A1434,'Daftar Koreksi'!$G$5:$G$92,"Aset Tetap Lainnya",'Daftar Koreksi'!$I$5:$I$92,"&lt;0")-SUMIFS('Daftar Koreksi'!$I$5:$I$92,'Daftar Koreksi'!$D$5:$D$92,'0300'!A1434,'Daftar Koreksi'!$G$5:$G$92,"Aset Tetap Lainnya",'Daftar Koreksi'!$I$5:$I$92,"&lt;0")</f>
        <v>0</v>
      </c>
      <c r="G1450" s="17">
        <f t="shared" si="65"/>
        <v>-3500000</v>
      </c>
      <c r="H1450" s="122"/>
    </row>
    <row r="1451" spans="1:8" ht="21.95" customHeight="1">
      <c r="A1451" s="14"/>
      <c r="B1451" s="14"/>
      <c r="C1451" s="16" t="s">
        <v>2020</v>
      </c>
      <c r="D1451" s="17">
        <f>VLOOKUP(A1434,'Neraca Unaudited SIMAK'!$A$2:$S$10004,17,FALSE)</f>
        <v>-128806915</v>
      </c>
      <c r="E1451" s="25">
        <f>SUMIFS('Daftar Koreksi'!$I$5:$I$92,'Daftar Koreksi'!$D$5:$D$92,'0300'!A1434,'Daftar Koreksi'!$G$5:$G$92,"Aset Henti Guna",'Daftar Koreksi'!$I$5:$I$92,"&gt;0")</f>
        <v>0</v>
      </c>
      <c r="F1451" s="25">
        <f>SUMIFS('Daftar Koreksi'!$I$5:$I$92,'Daftar Koreksi'!$D$5:$D$92,'0300'!A1434,'Daftar Koreksi'!$G$5:$G$92,"Aset Henti Guna",'Daftar Koreksi'!$I$5:$I$92,"&lt;0")-SUMIFS('Daftar Koreksi'!$I$5:$I$92,'Daftar Koreksi'!$D$5:$D$92,'0300'!A1434,'Daftar Koreksi'!$G$5:$G$92,"Aset Henti Guna",'Daftar Koreksi'!$I$5:$I$92,"&lt;0")-SUMIFS('Daftar Koreksi'!$I$5:$I$92,'Daftar Koreksi'!$D$5:$D$92,'0300'!A1434,'Daftar Koreksi'!$G$5:$G$92,"Aset Henti Guna",'Daftar Koreksi'!$I$5:$I$92,"&lt;0")</f>
        <v>0</v>
      </c>
      <c r="G1451" s="17">
        <f t="shared" si="65"/>
        <v>-128806915</v>
      </c>
      <c r="H1451" s="122"/>
    </row>
    <row r="1452" spans="1:8" ht="21.95" customHeight="1">
      <c r="A1452" s="14"/>
      <c r="B1452" s="14"/>
      <c r="C1452" s="18" t="s">
        <v>2094</v>
      </c>
      <c r="D1452" s="19">
        <f>SUM(D1447:D1451)</f>
        <v>-1631687685</v>
      </c>
      <c r="E1452" s="19">
        <f>SUM(E1447:E1451)</f>
        <v>0</v>
      </c>
      <c r="F1452" s="19">
        <f>SUM(F1447:F1451)</f>
        <v>0</v>
      </c>
      <c r="G1452" s="19">
        <f t="shared" si="65"/>
        <v>-1631687685</v>
      </c>
      <c r="H1452" s="122"/>
    </row>
    <row r="1453" spans="1:8" ht="21.95" customHeight="1">
      <c r="A1453" s="14"/>
      <c r="B1453" s="14"/>
      <c r="C1453" s="18" t="s">
        <v>2095</v>
      </c>
      <c r="D1453" s="19">
        <f>VLOOKUP(A1434,'Neraca Unaudited SIMAK'!$A$2:$S$10004,18,FALSE)</f>
        <v>4299408777</v>
      </c>
      <c r="E1453" s="19">
        <f>E1452+E1446</f>
        <v>0</v>
      </c>
      <c r="F1453" s="19">
        <f>F1452+F1446</f>
        <v>0</v>
      </c>
      <c r="G1453" s="19">
        <f t="shared" si="65"/>
        <v>4299408777</v>
      </c>
      <c r="H1453" s="122"/>
    </row>
    <row r="1454" spans="1:8" ht="21.95" customHeight="1">
      <c r="A1454" s="14"/>
      <c r="B1454" s="14"/>
      <c r="C1454" s="16" t="s">
        <v>2091</v>
      </c>
      <c r="D1454" s="17">
        <f>VLOOKUP(A1434,'Neraca Unaudited SIMAK'!$A$2:$S$10004,19,FALSE)</f>
        <v>0</v>
      </c>
      <c r="E1454" s="25"/>
      <c r="F1454" s="25"/>
      <c r="G1454" s="17">
        <f t="shared" si="65"/>
        <v>0</v>
      </c>
      <c r="H1454" s="123"/>
    </row>
    <row r="1456" spans="1:8" ht="19.5" customHeight="1">
      <c r="A1456" s="11" t="str">
        <f>O67</f>
        <v>005010300401174000KD</v>
      </c>
      <c r="B1456" s="11" t="str">
        <f>P67</f>
        <v>PA. Karanganyar</v>
      </c>
      <c r="C1456" s="12" t="str">
        <f>A1456&amp;" "&amp;B1456</f>
        <v>005010300401174000KD PA. Karanganyar</v>
      </c>
      <c r="D1456" s="13"/>
      <c r="E1456" s="13"/>
      <c r="F1456" s="13"/>
      <c r="G1456" s="13"/>
      <c r="H1456" s="11"/>
    </row>
    <row r="1457" spans="1:8" ht="21.95" customHeight="1">
      <c r="A1457" s="14"/>
      <c r="B1457" s="14"/>
      <c r="C1457" s="124" t="s">
        <v>1982</v>
      </c>
      <c r="D1457" s="126" t="s">
        <v>1983</v>
      </c>
      <c r="E1457" s="132" t="s">
        <v>1984</v>
      </c>
      <c r="F1457" s="132"/>
      <c r="G1457" s="126" t="s">
        <v>1987</v>
      </c>
      <c r="H1457" s="130" t="s">
        <v>1175</v>
      </c>
    </row>
    <row r="1458" spans="1:8" ht="21.95" customHeight="1">
      <c r="A1458" s="14"/>
      <c r="B1458" s="14"/>
      <c r="C1458" s="125"/>
      <c r="D1458" s="127"/>
      <c r="E1458" s="26" t="s">
        <v>1985</v>
      </c>
      <c r="F1458" s="26" t="s">
        <v>1986</v>
      </c>
      <c r="G1458" s="127"/>
      <c r="H1458" s="131"/>
    </row>
    <row r="1459" spans="1:8" ht="21.95" customHeight="1">
      <c r="A1459" s="14"/>
      <c r="B1459" s="14"/>
      <c r="C1459" s="16" t="s">
        <v>1165</v>
      </c>
      <c r="D1459" s="17">
        <f>VLOOKUP(A1456,'Neraca Unaudited SIMAK'!$A$2:$S$10004,3,FALSE)</f>
        <v>6580100</v>
      </c>
      <c r="E1459" s="25">
        <f>SUMIFS('Daftar Koreksi'!$H$5:$H$92,'Daftar Koreksi'!$D$5:$D$92,'0300'!A1456,'Daftar Koreksi'!$G$5:$G$92,"Persediaan",'Daftar Koreksi'!$H$5:$H$92,"&gt;0")</f>
        <v>0</v>
      </c>
      <c r="F1459" s="25">
        <f>SUMIFS('Daftar Koreksi'!$H$5:$H$92,'Daftar Koreksi'!$D$5:$D$92,'0300'!A1456,'Daftar Koreksi'!$G$5:$G$92,"Persediaan",'Daftar Koreksi'!$H$5:$H$92,"&lt;0")-SUMIFS('Daftar Koreksi'!$H$5:$H$92,'Daftar Koreksi'!$D$5:$D$92,'0300'!A1456,'Daftar Koreksi'!$G$5:$G$92,"Persediaan",'Daftar Koreksi'!$H$5:$H$92,"&lt;0")-SUMIFS('Daftar Koreksi'!$H$5:$H$92,'Daftar Koreksi'!$D$5:$D$92,'0300'!A1456,'Daftar Koreksi'!$G$5:$G$92,"Persediaan",'Daftar Koreksi'!$H$5:$H$92,"&lt;0")</f>
        <v>0</v>
      </c>
      <c r="G1459" s="17">
        <f>D1459+E1459-F1459</f>
        <v>6580100</v>
      </c>
      <c r="H1459" s="121" t="str">
        <f>IF(ISNA(VLOOKUP(A1456,'Mutasi Neraca'!$A$3:$S$914,19,FALSE)),"-",VLOOKUP(A1456,'Mutasi Neraca'!$A$3:$S$914,19,FALSE))</f>
        <v>-</v>
      </c>
    </row>
    <row r="1460" spans="1:8" ht="21.95" customHeight="1">
      <c r="A1460" s="14"/>
      <c r="B1460" s="14"/>
      <c r="C1460" s="16" t="s">
        <v>1166</v>
      </c>
      <c r="D1460" s="17">
        <f>VLOOKUP(A1456,'Neraca Unaudited SIMAK'!$A$2:$S$10004,4,FALSE)</f>
        <v>2784555200</v>
      </c>
      <c r="E1460" s="25">
        <f>SUMIFS('Daftar Koreksi'!$H$5:$H$92,'Daftar Koreksi'!$D$5:$D$92,'0300'!A1456,'Daftar Koreksi'!$G$5:$G$92,"Tanah",'Daftar Koreksi'!$H$5:$H$92,"&gt;0")</f>
        <v>0</v>
      </c>
      <c r="F1460" s="25">
        <f>SUMIFS('Daftar Koreksi'!$H$5:$H$92,'Daftar Koreksi'!$D$5:$D$92,'0300'!A1456,'Daftar Koreksi'!$G$5:$G$92,"Tanah",'Daftar Koreksi'!$H$5:$H$92,"&lt;0")-SUMIFS('Daftar Koreksi'!$H$5:$H$92,'Daftar Koreksi'!$D$5:$D$92,'0300'!A1456,'Daftar Koreksi'!$G$5:$G$92,"Tanah",'Daftar Koreksi'!$H$5:$H$92,"&lt;0")-SUMIFS('Daftar Koreksi'!$H$5:$H$92,'Daftar Koreksi'!$D$5:$D$92,'0300'!A1456,'Daftar Koreksi'!$G$5:$G$92,"Tanah",'Daftar Koreksi'!$H$5:$H$92,"&lt;0")</f>
        <v>0</v>
      </c>
      <c r="G1460" s="17">
        <f t="shared" ref="G1460:G1476" si="66">D1460+E1460-F1460</f>
        <v>2784555200</v>
      </c>
      <c r="H1460" s="122"/>
    </row>
    <row r="1461" spans="1:8" ht="21.95" customHeight="1">
      <c r="A1461" s="14"/>
      <c r="B1461" s="14"/>
      <c r="C1461" s="16" t="s">
        <v>1167</v>
      </c>
      <c r="D1461" s="17">
        <f>VLOOKUP(A1456,'Neraca Unaudited SIMAK'!$A$2:$S$10004,5,FALSE)</f>
        <v>1078592198</v>
      </c>
      <c r="E1461" s="25">
        <f>SUMIFS('Daftar Koreksi'!$H$5:$H$92,'Daftar Koreksi'!$D$5:$D$92,'0300'!A1456,'Daftar Koreksi'!$G$5:$G$92,"Peralatan dan mesin",'Daftar Koreksi'!$H$5:$H$92,"&gt;0")</f>
        <v>0</v>
      </c>
      <c r="F1461" s="25">
        <f>SUMIFS('Daftar Koreksi'!$H$5:$H$92,'Daftar Koreksi'!$D$5:$D$92,'0300'!A1456,'Daftar Koreksi'!$G$5:$G$92,"Peralatan dan mesin",'Daftar Koreksi'!$H$5:$H$92,"&lt;0")-SUMIFS('Daftar Koreksi'!$H$5:$H$92,'Daftar Koreksi'!$D$5:$D$92,'0300'!A1456,'Daftar Koreksi'!$G$5:$G$92,"Peralatan dan mesin",'Daftar Koreksi'!$H$5:$H$92,"&lt;0")-SUMIFS('Daftar Koreksi'!$H$5:$H$92,'Daftar Koreksi'!$D$5:$D$92,'0300'!A1456,'Daftar Koreksi'!$G$5:$G$92,"Peralatan dan mesin",'Daftar Koreksi'!$H$5:$H$92,"&lt;0")</f>
        <v>0</v>
      </c>
      <c r="G1461" s="17">
        <f t="shared" si="66"/>
        <v>1078592198</v>
      </c>
      <c r="H1461" s="122"/>
    </row>
    <row r="1462" spans="1:8" ht="21.95" customHeight="1">
      <c r="A1462" s="14"/>
      <c r="B1462" s="14"/>
      <c r="C1462" s="16" t="s">
        <v>1168</v>
      </c>
      <c r="D1462" s="17">
        <f>VLOOKUP(A1456,'Neraca Unaudited SIMAK'!$A$2:$S$10004,6,FALSE)</f>
        <v>3736996200</v>
      </c>
      <c r="E1462" s="25">
        <f>SUMIFS('Daftar Koreksi'!$H$5:$H$92,'Daftar Koreksi'!$D$5:$D$92,'0300'!A1456,'Daftar Koreksi'!$G$5:$G$92,"Gedung dan Bangunan",'Daftar Koreksi'!$H$5:$H$92,"&gt;0")</f>
        <v>0</v>
      </c>
      <c r="F1462" s="25">
        <f>SUMIFS('Daftar Koreksi'!$H$5:$H$92,'Daftar Koreksi'!$D$5:$D$92,'0300'!A1456,'Daftar Koreksi'!$G$5:$G$92,"Gedung dan Bangunan",'Daftar Koreksi'!$H$5:$H$92,"&lt;0")-SUMIFS('Daftar Koreksi'!$H$5:$H$92,'Daftar Koreksi'!$D$5:$D$92,'0300'!A1456,'Daftar Koreksi'!$G$5:$G$92,"Gedung dan Bangunan",'Daftar Koreksi'!$H$5:$H$92,"&lt;0")-SUMIFS('Daftar Koreksi'!$H$5:$H$92,'Daftar Koreksi'!$D$5:$D$92,'0300'!A1456,'Daftar Koreksi'!$G$5:$G$92,"Gedung dan Bangunan",'Daftar Koreksi'!$H$5:$H$92,"&lt;0")</f>
        <v>0</v>
      </c>
      <c r="G1462" s="17">
        <f t="shared" si="66"/>
        <v>3736996200</v>
      </c>
      <c r="H1462" s="122"/>
    </row>
    <row r="1463" spans="1:8" ht="21.95" customHeight="1">
      <c r="A1463" s="14"/>
      <c r="B1463" s="14"/>
      <c r="C1463" s="16" t="s">
        <v>1169</v>
      </c>
      <c r="D1463" s="17">
        <f>VLOOKUP(A1456,'Neraca Unaudited SIMAK'!$A$2:$S$10004,7,FALSE)</f>
        <v>0</v>
      </c>
      <c r="E1463" s="25">
        <f>SUMIFS('Daftar Koreksi'!$H$5:$H$92,'Daftar Koreksi'!$D$5:$D$92,'0300'!A1456,'Daftar Koreksi'!$G$5:$G$92,"Jalan Irigasi Jaringan",'Daftar Koreksi'!$H$5:$H$92,"&gt;0")</f>
        <v>0</v>
      </c>
      <c r="F1463" s="25">
        <f>SUMIFS('Daftar Koreksi'!$H$5:$H$92,'Daftar Koreksi'!$D$5:$D$92,'0300'!A1456,'Daftar Koreksi'!$G$5:$G$92,"Jalan Irigasi Jaringan",'Daftar Koreksi'!$H$5:$H$92,"&lt;0")-SUMIFS('Daftar Koreksi'!$H$5:$H$92,'Daftar Koreksi'!$D$5:$D$92,'0300'!A1456,'Daftar Koreksi'!$G$5:$G$92,"Jalan Irigasi Jaringan",'Daftar Koreksi'!$H$5:$H$92,"&lt;0")-SUMIFS('Daftar Koreksi'!$H$5:$H$92,'Daftar Koreksi'!$D$5:$D$92,'0300'!A1456,'Daftar Koreksi'!$G$5:$G$92,"Jalan Irigasi Jaringan",'Daftar Koreksi'!$H$5:$H$92,"&lt;0")</f>
        <v>0</v>
      </c>
      <c r="G1463" s="17">
        <f t="shared" si="66"/>
        <v>0</v>
      </c>
      <c r="H1463" s="122"/>
    </row>
    <row r="1464" spans="1:8" ht="21.95" customHeight="1">
      <c r="A1464" s="14"/>
      <c r="B1464" s="14"/>
      <c r="C1464" s="16" t="s">
        <v>1170</v>
      </c>
      <c r="D1464" s="17">
        <f>VLOOKUP(A1456,'Neraca Unaudited SIMAK'!$A$2:$S$10004,8,FALSE)</f>
        <v>3746580</v>
      </c>
      <c r="E1464" s="25">
        <f>SUMIFS('Daftar Koreksi'!$H$5:$H$92,'Daftar Koreksi'!$D$5:$D$92,'0300'!A1456,'Daftar Koreksi'!$G$5:$G$92,"Aset Tetap Lainnya",'Daftar Koreksi'!$H$5:$H$92,"&gt;0")</f>
        <v>0</v>
      </c>
      <c r="F1464" s="25">
        <f>SUMIFS('Daftar Koreksi'!$H$5:$H$92,'Daftar Koreksi'!$D$5:$D$92,'0300'!A1456,'Daftar Koreksi'!$G$5:$G$92,"Aset Tetap Lainnya",'Daftar Koreksi'!$H$5:$H$92,"&lt;0")-SUMIFS('Daftar Koreksi'!$H$5:$H$92,'Daftar Koreksi'!$D$5:$D$92,'0300'!A1456,'Daftar Koreksi'!$G$5:$G$92,"Aset Tetap Lainnya",'Daftar Koreksi'!$H$5:$H$92,"&lt;0")-SUMIFS('Daftar Koreksi'!$H$5:$H$92,'Daftar Koreksi'!$D$5:$D$92,'0300'!A1456,'Daftar Koreksi'!$G$5:$G$92,"Aset Tetap Lainnya",'Daftar Koreksi'!$H$5:$H$92,"&lt;0")</f>
        <v>0</v>
      </c>
      <c r="G1464" s="17">
        <f t="shared" si="66"/>
        <v>3746580</v>
      </c>
      <c r="H1464" s="122"/>
    </row>
    <row r="1465" spans="1:8" ht="21.95" customHeight="1">
      <c r="A1465" s="14"/>
      <c r="B1465" s="14"/>
      <c r="C1465" s="16" t="s">
        <v>1171</v>
      </c>
      <c r="D1465" s="17">
        <f>VLOOKUP(A1456,'Neraca Unaudited SIMAK'!$A$2:$S$10004,9,FALSE)</f>
        <v>0</v>
      </c>
      <c r="E1465" s="25">
        <f>SUMIFS('Daftar Koreksi'!$H$5:$H$92,'Daftar Koreksi'!$D$5:$D$92,'0300'!A1456,'Daftar Koreksi'!$G$5:$G$92,"Kontruksi Dalam Pengerjaan",'Daftar Koreksi'!$H$5:$H$92,"&gt;0")</f>
        <v>0</v>
      </c>
      <c r="F1465" s="25">
        <f>SUMIFS('Daftar Koreksi'!$H$5:$H$92,'Daftar Koreksi'!$D$5:$D$92,'0300'!A1456,'Daftar Koreksi'!$G$5:$G$92,"Kontruksi Dalam Pengerjaan",'Daftar Koreksi'!$H$5:$H$92,"&lt;0")-SUMIFS('Daftar Koreksi'!$H$5:$H$92,'Daftar Koreksi'!$D$5:$D$92,'0300'!A1456,'Daftar Koreksi'!$G$5:$G$92,"Kontruksi Dalam Pengerjaan",'Daftar Koreksi'!$H$5:$H$92,"&lt;0")-SUMIFS('Daftar Koreksi'!$H$5:$H$92,'Daftar Koreksi'!$D$5:$D$92,'0300'!A1456,'Daftar Koreksi'!$G$5:$G$92,"Kontruksi Dalam Pengerjaan",'Daftar Koreksi'!$H$5:$H$92,"&lt;0")</f>
        <v>0</v>
      </c>
      <c r="G1465" s="17">
        <f t="shared" si="66"/>
        <v>0</v>
      </c>
      <c r="H1465" s="122"/>
    </row>
    <row r="1466" spans="1:8" ht="21.95" customHeight="1">
      <c r="A1466" s="14"/>
      <c r="B1466" s="14"/>
      <c r="C1466" s="16" t="s">
        <v>1172</v>
      </c>
      <c r="D1466" s="17">
        <f>VLOOKUP(A1456,'Neraca Unaudited SIMAK'!$A$2:$S$10004,10,FALSE)</f>
        <v>0</v>
      </c>
      <c r="E1466" s="25">
        <f>SUMIFS('Daftar Koreksi'!$H$5:$H$92,'Daftar Koreksi'!$D$5:$D$92,'0300'!A1456,'Daftar Koreksi'!$G$5:$G$92,"Aset Tak Berwujud",'Daftar Koreksi'!$H$5:$H$92,"&gt;0")</f>
        <v>0</v>
      </c>
      <c r="F1466" s="25">
        <f>SUMIFS('Daftar Koreksi'!$H$5:$H$92,'Daftar Koreksi'!$D$5:$D$92,'0300'!A1456,'Daftar Koreksi'!$G$5:$G$92,"Aset Tak Berwujud",'Daftar Koreksi'!$H$5:$H$92,"&lt;0")-SUMIFS('Daftar Koreksi'!$H$5:$H$92,'Daftar Koreksi'!$D$5:$D$92,'0300'!A1456,'Daftar Koreksi'!$G$5:$G$92,"Aset Tak Berwujud",'Daftar Koreksi'!$H$5:$H$92,"&lt;0")-SUMIFS('Daftar Koreksi'!$H$5:$H$92,'Daftar Koreksi'!$D$5:$D$92,'0300'!A1456,'Daftar Koreksi'!$G$5:$G$92,"Aset Tak Berwujud",'Daftar Koreksi'!$H$5:$H$92,"&lt;0")</f>
        <v>0</v>
      </c>
      <c r="G1466" s="17">
        <f t="shared" si="66"/>
        <v>0</v>
      </c>
      <c r="H1466" s="122"/>
    </row>
    <row r="1467" spans="1:8" ht="21.95" customHeight="1">
      <c r="A1467" s="14"/>
      <c r="B1467" s="14"/>
      <c r="C1467" s="16" t="s">
        <v>1173</v>
      </c>
      <c r="D1467" s="17">
        <f>VLOOKUP(A1456,'Neraca Unaudited SIMAK'!$A$2:$S$10004,11,FALSE)</f>
        <v>4152700</v>
      </c>
      <c r="E1467" s="25">
        <f>SUMIFS('Daftar Koreksi'!$H$5:$H$92,'Daftar Koreksi'!$D$5:$D$92,'0300'!A1456,'Daftar Koreksi'!$G$5:$G$92,"Aset Henti Guna",'Daftar Koreksi'!$H$5:$H$92,"&gt;0")</f>
        <v>0</v>
      </c>
      <c r="F1467" s="25">
        <f>SUMIFS('Daftar Koreksi'!$H$5:$H$92,'Daftar Koreksi'!$D$5:$D$92,'0300'!A1456,'Daftar Koreksi'!$G$5:$G$92,"Aset Henti Guna",'Daftar Koreksi'!$H$5:$H$92,"&lt;0")-SUMIFS('Daftar Koreksi'!$H$5:$H$92,'Daftar Koreksi'!$D$5:$D$92,'0300'!A1456,'Daftar Koreksi'!$G$5:$G$92,"Aset Henti Guna",'Daftar Koreksi'!$H$5:$H$92,"&lt;0")-SUMIFS('Daftar Koreksi'!$H$5:$H$92,'Daftar Koreksi'!$D$5:$D$92,'0300'!A1456,'Daftar Koreksi'!$G$5:$G$92,"Aset Henti Guna",'Daftar Koreksi'!$H$5:$H$92,"&lt;0")</f>
        <v>0</v>
      </c>
      <c r="G1467" s="17">
        <f t="shared" si="66"/>
        <v>4152700</v>
      </c>
      <c r="H1467" s="122"/>
    </row>
    <row r="1468" spans="1:8" ht="21.95" customHeight="1">
      <c r="A1468" s="14"/>
      <c r="B1468" s="14"/>
      <c r="C1468" s="18" t="s">
        <v>2093</v>
      </c>
      <c r="D1468" s="19">
        <f>VLOOKUP(A1456,'Neraca Unaudited SIMAK'!$A$2:$S$10004,12,FALSE)</f>
        <v>7614622978</v>
      </c>
      <c r="E1468" s="19">
        <f>SUM(E1459:E1467)</f>
        <v>0</v>
      </c>
      <c r="F1468" s="19">
        <f>SUM(F1459:F1467)</f>
        <v>0</v>
      </c>
      <c r="G1468" s="19">
        <f t="shared" si="66"/>
        <v>7614622978</v>
      </c>
      <c r="H1468" s="122"/>
    </row>
    <row r="1469" spans="1:8" ht="21.95" customHeight="1">
      <c r="A1469" s="14"/>
      <c r="B1469" s="14"/>
      <c r="C1469" s="16" t="s">
        <v>2087</v>
      </c>
      <c r="D1469" s="17">
        <f>VLOOKUP(A1456,'Neraca Unaudited SIMAK'!$A$2:$S$10004,13,FALSE)</f>
        <v>-807252108</v>
      </c>
      <c r="E1469" s="25">
        <f>SUMIFS('Daftar Koreksi'!$I$5:$I$92,'Daftar Koreksi'!$D$5:$D$92,'0300'!A1456,'Daftar Koreksi'!$G$5:$G$92,"Peralatan dan mesin",'Daftar Koreksi'!$I$5:$I$92,"&gt;0")</f>
        <v>0</v>
      </c>
      <c r="F1469" s="25">
        <f>SUMIFS('Daftar Koreksi'!$I$5:$I$92,'Daftar Koreksi'!$D$5:$D$92,'0300'!A1456,'Daftar Koreksi'!$G$5:$G$92,"Peralatan dan mesin",'Daftar Koreksi'!$I$5:$I$92,"&lt;0")-SUMIFS('Daftar Koreksi'!$I$5:$I$92,'Daftar Koreksi'!$D$5:$D$92,'0300'!A1456,'Daftar Koreksi'!$G$5:$G$92,"Peralatan dan mesin",'Daftar Koreksi'!$I$5:$I$92,"&lt;0")-SUMIFS('Daftar Koreksi'!$I$5:$I$92,'Daftar Koreksi'!$D$5:$D$92,'0300'!A1456,'Daftar Koreksi'!$G$5:$G$92,"Peralatan dan mesin",'Daftar Koreksi'!$I$5:$I$92,"&lt;0")</f>
        <v>0</v>
      </c>
      <c r="G1469" s="17">
        <f t="shared" si="66"/>
        <v>-807252108</v>
      </c>
      <c r="H1469" s="122"/>
    </row>
    <row r="1470" spans="1:8" ht="21.95" customHeight="1">
      <c r="A1470" s="14"/>
      <c r="B1470" s="14"/>
      <c r="C1470" s="16" t="s">
        <v>2088</v>
      </c>
      <c r="D1470" s="17">
        <f>VLOOKUP(A1456,'Neraca Unaudited SIMAK'!$A$2:$S$10004,14,FALSE)</f>
        <v>-312600037</v>
      </c>
      <c r="E1470" s="25">
        <f>SUMIFS('Daftar Koreksi'!$I$5:$I$92,'Daftar Koreksi'!$D$5:$D$92,'0300'!A1456,'Daftar Koreksi'!$G$5:$G$92,"Gedung dan Bangunan",'Daftar Koreksi'!$I$5:$I$92,"&gt;0")</f>
        <v>0</v>
      </c>
      <c r="F1470" s="25">
        <f>SUMIFS('Daftar Koreksi'!$I$5:$I$92,'Daftar Koreksi'!$D$5:$D$92,'0300'!A1456,'Daftar Koreksi'!$G$5:$G$92,"Gedung dan Bangunan",'Daftar Koreksi'!$I$5:$I$92,"&lt;0")-SUMIFS('Daftar Koreksi'!$I$5:$I$92,'Daftar Koreksi'!$D$5:$D$92,'0300'!A1456,'Daftar Koreksi'!$G$5:$G$92,"Gedung dan Bangunan",'Daftar Koreksi'!$I$5:$I$92,"&lt;0")-SUMIFS('Daftar Koreksi'!$I$5:$I$92,'Daftar Koreksi'!$D$5:$D$92,'0300'!A1456,'Daftar Koreksi'!$G$5:$G$92,"Gedung dan Bangunan",'Daftar Koreksi'!$I$5:$I$92,"&lt;0")</f>
        <v>0</v>
      </c>
      <c r="G1470" s="17">
        <f t="shared" si="66"/>
        <v>-312600037</v>
      </c>
      <c r="H1470" s="122"/>
    </row>
    <row r="1471" spans="1:8" ht="21.95" customHeight="1">
      <c r="A1471" s="14"/>
      <c r="B1471" s="14"/>
      <c r="C1471" s="16" t="s">
        <v>2089</v>
      </c>
      <c r="D1471" s="17">
        <f>VLOOKUP(A1456,'Neraca Unaudited SIMAK'!$A$2:$S$10004,15,FALSE)</f>
        <v>0</v>
      </c>
      <c r="E1471" s="25">
        <f>SUMIFS('Daftar Koreksi'!$I$5:$I$92,'Daftar Koreksi'!$D$5:$D$92,'0300'!A1456,'Daftar Koreksi'!$G$5:$G$92,"Jalan Irigasi Jaringan",'Daftar Koreksi'!$I$5:$I$92,"&gt;0")</f>
        <v>0</v>
      </c>
      <c r="F1471" s="25">
        <f>SUMIFS('Daftar Koreksi'!$I$5:$I$92,'Daftar Koreksi'!$D$5:$D$92,'0300'!A1456,'Daftar Koreksi'!$G$5:$G$92,"Jalan Irigasi Jaringan",'Daftar Koreksi'!$I$5:$I$92,"&lt;0")-SUMIFS('Daftar Koreksi'!$I$5:$I$92,'Daftar Koreksi'!$D$5:$D$92,'0300'!A1456,'Daftar Koreksi'!$G$5:$G$92,"Jalan Irigasi Jaringan",'Daftar Koreksi'!$I$5:$I$92,"&lt;0")-SUMIFS('Daftar Koreksi'!$I$5:$I$92,'Daftar Koreksi'!$D$5:$D$92,'0300'!A1456,'Daftar Koreksi'!$G$5:$G$92,"Jalan Irigasi Jaringan",'Daftar Koreksi'!$I$5:$I$92,"&lt;0")</f>
        <v>0</v>
      </c>
      <c r="G1471" s="17">
        <f t="shared" si="66"/>
        <v>0</v>
      </c>
      <c r="H1471" s="122"/>
    </row>
    <row r="1472" spans="1:8" ht="21.95" customHeight="1">
      <c r="A1472" s="14"/>
      <c r="B1472" s="14"/>
      <c r="C1472" s="16" t="s">
        <v>2090</v>
      </c>
      <c r="D1472" s="17">
        <f>VLOOKUP(A1456,'Neraca Unaudited SIMAK'!$A$2:$S$10004,16,FALSE)</f>
        <v>0</v>
      </c>
      <c r="E1472" s="25">
        <f>SUMIFS('Daftar Koreksi'!$I$5:$I$92,'Daftar Koreksi'!$D$5:$D$92,'0300'!A1456,'Daftar Koreksi'!$G$5:$G$92,"Aset Tetap Lainnya",'Daftar Koreksi'!$I$5:$I$92,"&gt;0")</f>
        <v>0</v>
      </c>
      <c r="F1472" s="25">
        <f>SUMIFS('Daftar Koreksi'!$I$5:$I$92,'Daftar Koreksi'!$D$5:$D$92,'0300'!A1456,'Daftar Koreksi'!$G$5:$G$92,"Aset Tetap Lainnya",'Daftar Koreksi'!$I$5:$I$92,"&lt;0")-SUMIFS('Daftar Koreksi'!$I$5:$I$92,'Daftar Koreksi'!$D$5:$D$92,'0300'!A1456,'Daftar Koreksi'!$G$5:$G$92,"Aset Tetap Lainnya",'Daftar Koreksi'!$I$5:$I$92,"&lt;0")-SUMIFS('Daftar Koreksi'!$I$5:$I$92,'Daftar Koreksi'!$D$5:$D$92,'0300'!A1456,'Daftar Koreksi'!$G$5:$G$92,"Aset Tetap Lainnya",'Daftar Koreksi'!$I$5:$I$92,"&lt;0")</f>
        <v>0</v>
      </c>
      <c r="G1472" s="17">
        <f t="shared" si="66"/>
        <v>0</v>
      </c>
      <c r="H1472" s="122"/>
    </row>
    <row r="1473" spans="1:8" ht="21.95" customHeight="1">
      <c r="A1473" s="14"/>
      <c r="B1473" s="14"/>
      <c r="C1473" s="16" t="s">
        <v>2020</v>
      </c>
      <c r="D1473" s="17">
        <f>VLOOKUP(A1456,'Neraca Unaudited SIMAK'!$A$2:$S$10004,17,FALSE)</f>
        <v>-4152700</v>
      </c>
      <c r="E1473" s="25">
        <f>SUMIFS('Daftar Koreksi'!$I$5:$I$92,'Daftar Koreksi'!$D$5:$D$92,'0300'!A1456,'Daftar Koreksi'!$G$5:$G$92,"Aset Henti Guna",'Daftar Koreksi'!$I$5:$I$92,"&gt;0")</f>
        <v>0</v>
      </c>
      <c r="F1473" s="25">
        <f>SUMIFS('Daftar Koreksi'!$I$5:$I$92,'Daftar Koreksi'!$D$5:$D$92,'0300'!A1456,'Daftar Koreksi'!$G$5:$G$92,"Aset Henti Guna",'Daftar Koreksi'!$I$5:$I$92,"&lt;0")-SUMIFS('Daftar Koreksi'!$I$5:$I$92,'Daftar Koreksi'!$D$5:$D$92,'0300'!A1456,'Daftar Koreksi'!$G$5:$G$92,"Aset Henti Guna",'Daftar Koreksi'!$I$5:$I$92,"&lt;0")-SUMIFS('Daftar Koreksi'!$I$5:$I$92,'Daftar Koreksi'!$D$5:$D$92,'0300'!A1456,'Daftar Koreksi'!$G$5:$G$92,"Aset Henti Guna",'Daftar Koreksi'!$I$5:$I$92,"&lt;0")</f>
        <v>0</v>
      </c>
      <c r="G1473" s="17">
        <f t="shared" si="66"/>
        <v>-4152700</v>
      </c>
      <c r="H1473" s="122"/>
    </row>
    <row r="1474" spans="1:8" ht="21.95" customHeight="1">
      <c r="A1474" s="14"/>
      <c r="B1474" s="14"/>
      <c r="C1474" s="18" t="s">
        <v>2094</v>
      </c>
      <c r="D1474" s="19">
        <f>SUM(D1469:D1473)</f>
        <v>-1124004845</v>
      </c>
      <c r="E1474" s="19">
        <f>SUM(E1469:E1473)</f>
        <v>0</v>
      </c>
      <c r="F1474" s="19">
        <f>SUM(F1469:F1473)</f>
        <v>0</v>
      </c>
      <c r="G1474" s="19">
        <f t="shared" si="66"/>
        <v>-1124004845</v>
      </c>
      <c r="H1474" s="122"/>
    </row>
    <row r="1475" spans="1:8" ht="21.95" customHeight="1">
      <c r="A1475" s="14"/>
      <c r="B1475" s="14"/>
      <c r="C1475" s="18" t="s">
        <v>2095</v>
      </c>
      <c r="D1475" s="19">
        <f>VLOOKUP(A1456,'Neraca Unaudited SIMAK'!$A$2:$S$10004,18,FALSE)</f>
        <v>6490618133</v>
      </c>
      <c r="E1475" s="19">
        <f>E1474+E1468</f>
        <v>0</v>
      </c>
      <c r="F1475" s="19">
        <f>F1474+F1468</f>
        <v>0</v>
      </c>
      <c r="G1475" s="19">
        <f t="shared" si="66"/>
        <v>6490618133</v>
      </c>
      <c r="H1475" s="122"/>
    </row>
    <row r="1476" spans="1:8" ht="21.95" customHeight="1">
      <c r="A1476" s="14"/>
      <c r="B1476" s="14"/>
      <c r="C1476" s="16" t="s">
        <v>2091</v>
      </c>
      <c r="D1476" s="17">
        <f>VLOOKUP(A1456,'Neraca Unaudited SIMAK'!$A$2:$S$10004,19,FALSE)</f>
        <v>0</v>
      </c>
      <c r="E1476" s="25"/>
      <c r="F1476" s="25"/>
      <c r="G1476" s="17">
        <f t="shared" si="66"/>
        <v>0</v>
      </c>
      <c r="H1476" s="123"/>
    </row>
    <row r="1478" spans="1:8" ht="19.5" customHeight="1">
      <c r="A1478" s="11" t="str">
        <f>O68</f>
        <v>005010300401180000KD</v>
      </c>
      <c r="B1478" s="11" t="str">
        <f>P68</f>
        <v>PA. Surakarta</v>
      </c>
      <c r="C1478" s="12" t="str">
        <f>A1478&amp;" "&amp;B1478</f>
        <v>005010300401180000KD PA. Surakarta</v>
      </c>
      <c r="D1478" s="13"/>
      <c r="E1478" s="13"/>
      <c r="F1478" s="13"/>
      <c r="G1478" s="13"/>
      <c r="H1478" s="11"/>
    </row>
    <row r="1479" spans="1:8" ht="21.95" customHeight="1">
      <c r="A1479" s="14"/>
      <c r="B1479" s="14"/>
      <c r="C1479" s="124" t="s">
        <v>1982</v>
      </c>
      <c r="D1479" s="126" t="s">
        <v>1983</v>
      </c>
      <c r="E1479" s="132" t="s">
        <v>1984</v>
      </c>
      <c r="F1479" s="132"/>
      <c r="G1479" s="126" t="s">
        <v>1987</v>
      </c>
      <c r="H1479" s="130" t="s">
        <v>1175</v>
      </c>
    </row>
    <row r="1480" spans="1:8" ht="21.95" customHeight="1">
      <c r="A1480" s="14"/>
      <c r="B1480" s="14"/>
      <c r="C1480" s="125"/>
      <c r="D1480" s="127"/>
      <c r="E1480" s="26" t="s">
        <v>1985</v>
      </c>
      <c r="F1480" s="26" t="s">
        <v>1986</v>
      </c>
      <c r="G1480" s="127"/>
      <c r="H1480" s="131"/>
    </row>
    <row r="1481" spans="1:8" ht="21.95" customHeight="1">
      <c r="A1481" s="14"/>
      <c r="B1481" s="14"/>
      <c r="C1481" s="16" t="s">
        <v>1165</v>
      </c>
      <c r="D1481" s="17">
        <f>VLOOKUP(A1478,'Neraca Unaudited SIMAK'!$A$2:$S$10004,3,FALSE)</f>
        <v>9388684</v>
      </c>
      <c r="E1481" s="25">
        <f>SUMIFS('Daftar Koreksi'!$H$5:$H$92,'Daftar Koreksi'!$D$5:$D$92,'0300'!A1478,'Daftar Koreksi'!$G$5:$G$92,"Persediaan",'Daftar Koreksi'!$H$5:$H$92,"&gt;0")</f>
        <v>0</v>
      </c>
      <c r="F1481" s="25">
        <f>SUMIFS('Daftar Koreksi'!$H$5:$H$92,'Daftar Koreksi'!$D$5:$D$92,'0300'!A1478,'Daftar Koreksi'!$G$5:$G$92,"Persediaan",'Daftar Koreksi'!$H$5:$H$92,"&lt;0")-SUMIFS('Daftar Koreksi'!$H$5:$H$92,'Daftar Koreksi'!$D$5:$D$92,'0300'!A1478,'Daftar Koreksi'!$G$5:$G$92,"Persediaan",'Daftar Koreksi'!$H$5:$H$92,"&lt;0")-SUMIFS('Daftar Koreksi'!$H$5:$H$92,'Daftar Koreksi'!$D$5:$D$92,'0300'!A1478,'Daftar Koreksi'!$G$5:$G$92,"Persediaan",'Daftar Koreksi'!$H$5:$H$92,"&lt;0")</f>
        <v>0</v>
      </c>
      <c r="G1481" s="17">
        <f>D1481+E1481-F1481</f>
        <v>9388684</v>
      </c>
      <c r="H1481" s="121" t="str">
        <f>IF(ISNA(VLOOKUP(A1478,'Mutasi Neraca'!$A$3:$S$914,19,FALSE)),"-",VLOOKUP(A1478,'Mutasi Neraca'!$A$3:$S$914,19,FALSE))</f>
        <v>-</v>
      </c>
    </row>
    <row r="1482" spans="1:8" ht="21.95" customHeight="1">
      <c r="A1482" s="14"/>
      <c r="B1482" s="14"/>
      <c r="C1482" s="16" t="s">
        <v>1166</v>
      </c>
      <c r="D1482" s="17">
        <f>VLOOKUP(A1478,'Neraca Unaudited SIMAK'!$A$2:$S$10004,4,FALSE)</f>
        <v>2751740000</v>
      </c>
      <c r="E1482" s="25">
        <f>SUMIFS('Daftar Koreksi'!$H$5:$H$92,'Daftar Koreksi'!$D$5:$D$92,'0300'!A1478,'Daftar Koreksi'!$G$5:$G$92,"Tanah",'Daftar Koreksi'!$H$5:$H$92,"&gt;0")</f>
        <v>0</v>
      </c>
      <c r="F1482" s="25">
        <f>SUMIFS('Daftar Koreksi'!$H$5:$H$92,'Daftar Koreksi'!$D$5:$D$92,'0300'!A1478,'Daftar Koreksi'!$G$5:$G$92,"Tanah",'Daftar Koreksi'!$H$5:$H$92,"&lt;0")-SUMIFS('Daftar Koreksi'!$H$5:$H$92,'Daftar Koreksi'!$D$5:$D$92,'0300'!A1478,'Daftar Koreksi'!$G$5:$G$92,"Tanah",'Daftar Koreksi'!$H$5:$H$92,"&lt;0")-SUMIFS('Daftar Koreksi'!$H$5:$H$92,'Daftar Koreksi'!$D$5:$D$92,'0300'!A1478,'Daftar Koreksi'!$G$5:$G$92,"Tanah",'Daftar Koreksi'!$H$5:$H$92,"&lt;0")</f>
        <v>0</v>
      </c>
      <c r="G1482" s="17">
        <f t="shared" ref="G1482:G1498" si="67">D1482+E1482-F1482</f>
        <v>2751740000</v>
      </c>
      <c r="H1482" s="122"/>
    </row>
    <row r="1483" spans="1:8" ht="21.95" customHeight="1">
      <c r="A1483" s="14"/>
      <c r="B1483" s="14"/>
      <c r="C1483" s="16" t="s">
        <v>1167</v>
      </c>
      <c r="D1483" s="17">
        <f>VLOOKUP(A1478,'Neraca Unaudited SIMAK'!$A$2:$S$10004,5,FALSE)</f>
        <v>1043185984</v>
      </c>
      <c r="E1483" s="25">
        <f>SUMIFS('Daftar Koreksi'!$H$5:$H$92,'Daftar Koreksi'!$D$5:$D$92,'0300'!A1478,'Daftar Koreksi'!$G$5:$G$92,"Peralatan dan mesin",'Daftar Koreksi'!$H$5:$H$92,"&gt;0")</f>
        <v>0</v>
      </c>
      <c r="F1483" s="25">
        <f>SUMIFS('Daftar Koreksi'!$H$5:$H$92,'Daftar Koreksi'!$D$5:$D$92,'0300'!A1478,'Daftar Koreksi'!$G$5:$G$92,"Peralatan dan mesin",'Daftar Koreksi'!$H$5:$H$92,"&lt;0")-SUMIFS('Daftar Koreksi'!$H$5:$H$92,'Daftar Koreksi'!$D$5:$D$92,'0300'!A1478,'Daftar Koreksi'!$G$5:$G$92,"Peralatan dan mesin",'Daftar Koreksi'!$H$5:$H$92,"&lt;0")-SUMIFS('Daftar Koreksi'!$H$5:$H$92,'Daftar Koreksi'!$D$5:$D$92,'0300'!A1478,'Daftar Koreksi'!$G$5:$G$92,"Peralatan dan mesin",'Daftar Koreksi'!$H$5:$H$92,"&lt;0")</f>
        <v>0</v>
      </c>
      <c r="G1483" s="17">
        <f t="shared" si="67"/>
        <v>1043185984</v>
      </c>
      <c r="H1483" s="122"/>
    </row>
    <row r="1484" spans="1:8" ht="21.95" customHeight="1">
      <c r="A1484" s="14"/>
      <c r="B1484" s="14"/>
      <c r="C1484" s="16" t="s">
        <v>1168</v>
      </c>
      <c r="D1484" s="17">
        <f>VLOOKUP(A1478,'Neraca Unaudited SIMAK'!$A$2:$S$10004,6,FALSE)</f>
        <v>2758316100</v>
      </c>
      <c r="E1484" s="25">
        <f>SUMIFS('Daftar Koreksi'!$H$5:$H$92,'Daftar Koreksi'!$D$5:$D$92,'0300'!A1478,'Daftar Koreksi'!$G$5:$G$92,"Gedung dan Bangunan",'Daftar Koreksi'!$H$5:$H$92,"&gt;0")</f>
        <v>0</v>
      </c>
      <c r="F1484" s="25">
        <f>SUMIFS('Daftar Koreksi'!$H$5:$H$92,'Daftar Koreksi'!$D$5:$D$92,'0300'!A1478,'Daftar Koreksi'!$G$5:$G$92,"Gedung dan Bangunan",'Daftar Koreksi'!$H$5:$H$92,"&lt;0")-SUMIFS('Daftar Koreksi'!$H$5:$H$92,'Daftar Koreksi'!$D$5:$D$92,'0300'!A1478,'Daftar Koreksi'!$G$5:$G$92,"Gedung dan Bangunan",'Daftar Koreksi'!$H$5:$H$92,"&lt;0")-SUMIFS('Daftar Koreksi'!$H$5:$H$92,'Daftar Koreksi'!$D$5:$D$92,'0300'!A1478,'Daftar Koreksi'!$G$5:$G$92,"Gedung dan Bangunan",'Daftar Koreksi'!$H$5:$H$92,"&lt;0")</f>
        <v>0</v>
      </c>
      <c r="G1484" s="17">
        <f t="shared" si="67"/>
        <v>2758316100</v>
      </c>
      <c r="H1484" s="122"/>
    </row>
    <row r="1485" spans="1:8" ht="21.95" customHeight="1">
      <c r="A1485" s="14"/>
      <c r="B1485" s="14"/>
      <c r="C1485" s="16" t="s">
        <v>1169</v>
      </c>
      <c r="D1485" s="17">
        <f>VLOOKUP(A1478,'Neraca Unaudited SIMAK'!$A$2:$S$10004,7,FALSE)</f>
        <v>130519400</v>
      </c>
      <c r="E1485" s="25">
        <f>SUMIFS('Daftar Koreksi'!$H$5:$H$92,'Daftar Koreksi'!$D$5:$D$92,'0300'!A1478,'Daftar Koreksi'!$G$5:$G$92,"Jalan Irigasi Jaringan",'Daftar Koreksi'!$H$5:$H$92,"&gt;0")</f>
        <v>0</v>
      </c>
      <c r="F1485" s="25">
        <f>SUMIFS('Daftar Koreksi'!$H$5:$H$92,'Daftar Koreksi'!$D$5:$D$92,'0300'!A1478,'Daftar Koreksi'!$G$5:$G$92,"Jalan Irigasi Jaringan",'Daftar Koreksi'!$H$5:$H$92,"&lt;0")-SUMIFS('Daftar Koreksi'!$H$5:$H$92,'Daftar Koreksi'!$D$5:$D$92,'0300'!A1478,'Daftar Koreksi'!$G$5:$G$92,"Jalan Irigasi Jaringan",'Daftar Koreksi'!$H$5:$H$92,"&lt;0")-SUMIFS('Daftar Koreksi'!$H$5:$H$92,'Daftar Koreksi'!$D$5:$D$92,'0300'!A1478,'Daftar Koreksi'!$G$5:$G$92,"Jalan Irigasi Jaringan",'Daftar Koreksi'!$H$5:$H$92,"&lt;0")</f>
        <v>0</v>
      </c>
      <c r="G1485" s="17">
        <f t="shared" si="67"/>
        <v>130519400</v>
      </c>
      <c r="H1485" s="122"/>
    </row>
    <row r="1486" spans="1:8" ht="21.95" customHeight="1">
      <c r="A1486" s="14"/>
      <c r="B1486" s="14"/>
      <c r="C1486" s="16" t="s">
        <v>1170</v>
      </c>
      <c r="D1486" s="17">
        <f>VLOOKUP(A1478,'Neraca Unaudited SIMAK'!$A$2:$S$10004,8,FALSE)</f>
        <v>11320080</v>
      </c>
      <c r="E1486" s="25">
        <f>SUMIFS('Daftar Koreksi'!$H$5:$H$92,'Daftar Koreksi'!$D$5:$D$92,'0300'!A1478,'Daftar Koreksi'!$G$5:$G$92,"Aset Tetap Lainnya",'Daftar Koreksi'!$H$5:$H$92,"&gt;0")</f>
        <v>0</v>
      </c>
      <c r="F1486" s="25">
        <f>SUMIFS('Daftar Koreksi'!$H$5:$H$92,'Daftar Koreksi'!$D$5:$D$92,'0300'!A1478,'Daftar Koreksi'!$G$5:$G$92,"Aset Tetap Lainnya",'Daftar Koreksi'!$H$5:$H$92,"&lt;0")-SUMIFS('Daftar Koreksi'!$H$5:$H$92,'Daftar Koreksi'!$D$5:$D$92,'0300'!A1478,'Daftar Koreksi'!$G$5:$G$92,"Aset Tetap Lainnya",'Daftar Koreksi'!$H$5:$H$92,"&lt;0")-SUMIFS('Daftar Koreksi'!$H$5:$H$92,'Daftar Koreksi'!$D$5:$D$92,'0300'!A1478,'Daftar Koreksi'!$G$5:$G$92,"Aset Tetap Lainnya",'Daftar Koreksi'!$H$5:$H$92,"&lt;0")</f>
        <v>0</v>
      </c>
      <c r="G1486" s="17">
        <f t="shared" si="67"/>
        <v>11320080</v>
      </c>
      <c r="H1486" s="122"/>
    </row>
    <row r="1487" spans="1:8" ht="21.95" customHeight="1">
      <c r="A1487" s="14"/>
      <c r="B1487" s="14"/>
      <c r="C1487" s="16" t="s">
        <v>1171</v>
      </c>
      <c r="D1487" s="17">
        <f>VLOOKUP(A1478,'Neraca Unaudited SIMAK'!$A$2:$S$10004,9,FALSE)</f>
        <v>0</v>
      </c>
      <c r="E1487" s="25">
        <f>SUMIFS('Daftar Koreksi'!$H$5:$H$92,'Daftar Koreksi'!$D$5:$D$92,'0300'!A1478,'Daftar Koreksi'!$G$5:$G$92,"Kontruksi Dalam Pengerjaan",'Daftar Koreksi'!$H$5:$H$92,"&gt;0")</f>
        <v>0</v>
      </c>
      <c r="F1487" s="25">
        <f>SUMIFS('Daftar Koreksi'!$H$5:$H$92,'Daftar Koreksi'!$D$5:$D$92,'0300'!A1478,'Daftar Koreksi'!$G$5:$G$92,"Kontruksi Dalam Pengerjaan",'Daftar Koreksi'!$H$5:$H$92,"&lt;0")-SUMIFS('Daftar Koreksi'!$H$5:$H$92,'Daftar Koreksi'!$D$5:$D$92,'0300'!A1478,'Daftar Koreksi'!$G$5:$G$92,"Kontruksi Dalam Pengerjaan",'Daftar Koreksi'!$H$5:$H$92,"&lt;0")-SUMIFS('Daftar Koreksi'!$H$5:$H$92,'Daftar Koreksi'!$D$5:$D$92,'0300'!A1478,'Daftar Koreksi'!$G$5:$G$92,"Kontruksi Dalam Pengerjaan",'Daftar Koreksi'!$H$5:$H$92,"&lt;0")</f>
        <v>0</v>
      </c>
      <c r="G1487" s="17">
        <f t="shared" si="67"/>
        <v>0</v>
      </c>
      <c r="H1487" s="122"/>
    </row>
    <row r="1488" spans="1:8" ht="21.95" customHeight="1">
      <c r="A1488" s="14"/>
      <c r="B1488" s="14"/>
      <c r="C1488" s="16" t="s">
        <v>1172</v>
      </c>
      <c r="D1488" s="17">
        <f>VLOOKUP(A1478,'Neraca Unaudited SIMAK'!$A$2:$S$10004,10,FALSE)</f>
        <v>0</v>
      </c>
      <c r="E1488" s="25">
        <f>SUMIFS('Daftar Koreksi'!$H$5:$H$92,'Daftar Koreksi'!$D$5:$D$92,'0300'!A1478,'Daftar Koreksi'!$G$5:$G$92,"Aset Tak Berwujud",'Daftar Koreksi'!$H$5:$H$92,"&gt;0")</f>
        <v>0</v>
      </c>
      <c r="F1488" s="25">
        <f>SUMIFS('Daftar Koreksi'!$H$5:$H$92,'Daftar Koreksi'!$D$5:$D$92,'0300'!A1478,'Daftar Koreksi'!$G$5:$G$92,"Aset Tak Berwujud",'Daftar Koreksi'!$H$5:$H$92,"&lt;0")-SUMIFS('Daftar Koreksi'!$H$5:$H$92,'Daftar Koreksi'!$D$5:$D$92,'0300'!A1478,'Daftar Koreksi'!$G$5:$G$92,"Aset Tak Berwujud",'Daftar Koreksi'!$H$5:$H$92,"&lt;0")-SUMIFS('Daftar Koreksi'!$H$5:$H$92,'Daftar Koreksi'!$D$5:$D$92,'0300'!A1478,'Daftar Koreksi'!$G$5:$G$92,"Aset Tak Berwujud",'Daftar Koreksi'!$H$5:$H$92,"&lt;0")</f>
        <v>0</v>
      </c>
      <c r="G1488" s="17">
        <f t="shared" si="67"/>
        <v>0</v>
      </c>
      <c r="H1488" s="122"/>
    </row>
    <row r="1489" spans="1:8" ht="21.95" customHeight="1">
      <c r="A1489" s="14"/>
      <c r="B1489" s="14"/>
      <c r="C1489" s="16" t="s">
        <v>1173</v>
      </c>
      <c r="D1489" s="17">
        <f>VLOOKUP(A1478,'Neraca Unaudited SIMAK'!$A$2:$S$10004,11,FALSE)</f>
        <v>0</v>
      </c>
      <c r="E1489" s="25">
        <f>SUMIFS('Daftar Koreksi'!$H$5:$H$92,'Daftar Koreksi'!$D$5:$D$92,'0300'!A1478,'Daftar Koreksi'!$G$5:$G$92,"Aset Henti Guna",'Daftar Koreksi'!$H$5:$H$92,"&gt;0")</f>
        <v>0</v>
      </c>
      <c r="F1489" s="25">
        <f>SUMIFS('Daftar Koreksi'!$H$5:$H$92,'Daftar Koreksi'!$D$5:$D$92,'0300'!A1478,'Daftar Koreksi'!$G$5:$G$92,"Aset Henti Guna",'Daftar Koreksi'!$H$5:$H$92,"&lt;0")-SUMIFS('Daftar Koreksi'!$H$5:$H$92,'Daftar Koreksi'!$D$5:$D$92,'0300'!A1478,'Daftar Koreksi'!$G$5:$G$92,"Aset Henti Guna",'Daftar Koreksi'!$H$5:$H$92,"&lt;0")-SUMIFS('Daftar Koreksi'!$H$5:$H$92,'Daftar Koreksi'!$D$5:$D$92,'0300'!A1478,'Daftar Koreksi'!$G$5:$G$92,"Aset Henti Guna",'Daftar Koreksi'!$H$5:$H$92,"&lt;0")</f>
        <v>0</v>
      </c>
      <c r="G1489" s="17">
        <f t="shared" si="67"/>
        <v>0</v>
      </c>
      <c r="H1489" s="122"/>
    </row>
    <row r="1490" spans="1:8" ht="21.95" customHeight="1">
      <c r="A1490" s="14"/>
      <c r="B1490" s="14"/>
      <c r="C1490" s="18" t="s">
        <v>2093</v>
      </c>
      <c r="D1490" s="19">
        <f>VLOOKUP(A1478,'Neraca Unaudited SIMAK'!$A$2:$S$10004,12,FALSE)</f>
        <v>6704470248</v>
      </c>
      <c r="E1490" s="19">
        <f>SUM(E1481:E1489)</f>
        <v>0</v>
      </c>
      <c r="F1490" s="19">
        <f>SUM(F1481:F1489)</f>
        <v>0</v>
      </c>
      <c r="G1490" s="19">
        <f t="shared" si="67"/>
        <v>6704470248</v>
      </c>
      <c r="H1490" s="122"/>
    </row>
    <row r="1491" spans="1:8" ht="21.95" customHeight="1">
      <c r="A1491" s="14"/>
      <c r="B1491" s="14"/>
      <c r="C1491" s="16" t="s">
        <v>2087</v>
      </c>
      <c r="D1491" s="17">
        <f>VLOOKUP(A1478,'Neraca Unaudited SIMAK'!$A$2:$S$10004,13,FALSE)</f>
        <v>-800327913</v>
      </c>
      <c r="E1491" s="25">
        <f>SUMIFS('Daftar Koreksi'!$I$5:$I$92,'Daftar Koreksi'!$D$5:$D$92,'0300'!A1478,'Daftar Koreksi'!$G$5:$G$92,"Peralatan dan mesin",'Daftar Koreksi'!$I$5:$I$92,"&gt;0")</f>
        <v>0</v>
      </c>
      <c r="F1491" s="25">
        <f>SUMIFS('Daftar Koreksi'!$I$5:$I$92,'Daftar Koreksi'!$D$5:$D$92,'0300'!A1478,'Daftar Koreksi'!$G$5:$G$92,"Peralatan dan mesin",'Daftar Koreksi'!$I$5:$I$92,"&lt;0")-SUMIFS('Daftar Koreksi'!$I$5:$I$92,'Daftar Koreksi'!$D$5:$D$92,'0300'!A1478,'Daftar Koreksi'!$G$5:$G$92,"Peralatan dan mesin",'Daftar Koreksi'!$I$5:$I$92,"&lt;0")-SUMIFS('Daftar Koreksi'!$I$5:$I$92,'Daftar Koreksi'!$D$5:$D$92,'0300'!A1478,'Daftar Koreksi'!$G$5:$G$92,"Peralatan dan mesin",'Daftar Koreksi'!$I$5:$I$92,"&lt;0")</f>
        <v>0</v>
      </c>
      <c r="G1491" s="17">
        <f t="shared" si="67"/>
        <v>-800327913</v>
      </c>
      <c r="H1491" s="122"/>
    </row>
    <row r="1492" spans="1:8" ht="21.95" customHeight="1">
      <c r="A1492" s="14"/>
      <c r="B1492" s="14"/>
      <c r="C1492" s="16" t="s">
        <v>2088</v>
      </c>
      <c r="D1492" s="17">
        <f>VLOOKUP(A1478,'Neraca Unaudited SIMAK'!$A$2:$S$10004,14,FALSE)</f>
        <v>-358775016</v>
      </c>
      <c r="E1492" s="25">
        <f>SUMIFS('Daftar Koreksi'!$I$5:$I$92,'Daftar Koreksi'!$D$5:$D$92,'0300'!A1478,'Daftar Koreksi'!$G$5:$G$92,"Gedung dan Bangunan",'Daftar Koreksi'!$I$5:$I$92,"&gt;0")</f>
        <v>0</v>
      </c>
      <c r="F1492" s="25">
        <f>SUMIFS('Daftar Koreksi'!$I$5:$I$92,'Daftar Koreksi'!$D$5:$D$92,'0300'!A1478,'Daftar Koreksi'!$G$5:$G$92,"Gedung dan Bangunan",'Daftar Koreksi'!$I$5:$I$92,"&lt;0")-SUMIFS('Daftar Koreksi'!$I$5:$I$92,'Daftar Koreksi'!$D$5:$D$92,'0300'!A1478,'Daftar Koreksi'!$G$5:$G$92,"Gedung dan Bangunan",'Daftar Koreksi'!$I$5:$I$92,"&lt;0")-SUMIFS('Daftar Koreksi'!$I$5:$I$92,'Daftar Koreksi'!$D$5:$D$92,'0300'!A1478,'Daftar Koreksi'!$G$5:$G$92,"Gedung dan Bangunan",'Daftar Koreksi'!$I$5:$I$92,"&lt;0")</f>
        <v>0</v>
      </c>
      <c r="G1492" s="17">
        <f t="shared" si="67"/>
        <v>-358775016</v>
      </c>
      <c r="H1492" s="122"/>
    </row>
    <row r="1493" spans="1:8" ht="21.95" customHeight="1">
      <c r="A1493" s="14"/>
      <c r="B1493" s="14"/>
      <c r="C1493" s="16" t="s">
        <v>2089</v>
      </c>
      <c r="D1493" s="17">
        <f>VLOOKUP(A1478,'Neraca Unaudited SIMAK'!$A$2:$S$10004,15,FALSE)</f>
        <v>-17381495</v>
      </c>
      <c r="E1493" s="25">
        <f>SUMIFS('Daftar Koreksi'!$I$5:$I$92,'Daftar Koreksi'!$D$5:$D$92,'0300'!A1478,'Daftar Koreksi'!$G$5:$G$92,"Jalan Irigasi Jaringan",'Daftar Koreksi'!$I$5:$I$92,"&gt;0")</f>
        <v>0</v>
      </c>
      <c r="F1493" s="25">
        <f>SUMIFS('Daftar Koreksi'!$I$5:$I$92,'Daftar Koreksi'!$D$5:$D$92,'0300'!A1478,'Daftar Koreksi'!$G$5:$G$92,"Jalan Irigasi Jaringan",'Daftar Koreksi'!$I$5:$I$92,"&lt;0")-SUMIFS('Daftar Koreksi'!$I$5:$I$92,'Daftar Koreksi'!$D$5:$D$92,'0300'!A1478,'Daftar Koreksi'!$G$5:$G$92,"Jalan Irigasi Jaringan",'Daftar Koreksi'!$I$5:$I$92,"&lt;0")-SUMIFS('Daftar Koreksi'!$I$5:$I$92,'Daftar Koreksi'!$D$5:$D$92,'0300'!A1478,'Daftar Koreksi'!$G$5:$G$92,"Jalan Irigasi Jaringan",'Daftar Koreksi'!$I$5:$I$92,"&lt;0")</f>
        <v>0</v>
      </c>
      <c r="G1493" s="17">
        <f t="shared" si="67"/>
        <v>-17381495</v>
      </c>
      <c r="H1493" s="122"/>
    </row>
    <row r="1494" spans="1:8" ht="21.95" customHeight="1">
      <c r="A1494" s="14"/>
      <c r="B1494" s="14"/>
      <c r="C1494" s="16" t="s">
        <v>2090</v>
      </c>
      <c r="D1494" s="17">
        <f>VLOOKUP(A1478,'Neraca Unaudited SIMAK'!$A$2:$S$10004,16,FALSE)</f>
        <v>-5400000</v>
      </c>
      <c r="E1494" s="25">
        <f>SUMIFS('Daftar Koreksi'!$I$5:$I$92,'Daftar Koreksi'!$D$5:$D$92,'0300'!A1478,'Daftar Koreksi'!$G$5:$G$92,"Aset Tetap Lainnya",'Daftar Koreksi'!$I$5:$I$92,"&gt;0")</f>
        <v>0</v>
      </c>
      <c r="F1494" s="25">
        <f>SUMIFS('Daftar Koreksi'!$I$5:$I$92,'Daftar Koreksi'!$D$5:$D$92,'0300'!A1478,'Daftar Koreksi'!$G$5:$G$92,"Aset Tetap Lainnya",'Daftar Koreksi'!$I$5:$I$92,"&lt;0")-SUMIFS('Daftar Koreksi'!$I$5:$I$92,'Daftar Koreksi'!$D$5:$D$92,'0300'!A1478,'Daftar Koreksi'!$G$5:$G$92,"Aset Tetap Lainnya",'Daftar Koreksi'!$I$5:$I$92,"&lt;0")-SUMIFS('Daftar Koreksi'!$I$5:$I$92,'Daftar Koreksi'!$D$5:$D$92,'0300'!A1478,'Daftar Koreksi'!$G$5:$G$92,"Aset Tetap Lainnya",'Daftar Koreksi'!$I$5:$I$92,"&lt;0")</f>
        <v>0</v>
      </c>
      <c r="G1494" s="17">
        <f t="shared" si="67"/>
        <v>-5400000</v>
      </c>
      <c r="H1494" s="122"/>
    </row>
    <row r="1495" spans="1:8" ht="21.95" customHeight="1">
      <c r="A1495" s="14"/>
      <c r="B1495" s="14"/>
      <c r="C1495" s="16" t="s">
        <v>2020</v>
      </c>
      <c r="D1495" s="17">
        <f>VLOOKUP(A1478,'Neraca Unaudited SIMAK'!$A$2:$S$10004,17,FALSE)</f>
        <v>0</v>
      </c>
      <c r="E1495" s="25">
        <f>SUMIFS('Daftar Koreksi'!$I$5:$I$92,'Daftar Koreksi'!$D$5:$D$92,'0300'!A1478,'Daftar Koreksi'!$G$5:$G$92,"Aset Henti Guna",'Daftar Koreksi'!$I$5:$I$92,"&gt;0")</f>
        <v>0</v>
      </c>
      <c r="F1495" s="25">
        <f>SUMIFS('Daftar Koreksi'!$I$5:$I$92,'Daftar Koreksi'!$D$5:$D$92,'0300'!A1478,'Daftar Koreksi'!$G$5:$G$92,"Aset Henti Guna",'Daftar Koreksi'!$I$5:$I$92,"&lt;0")-SUMIFS('Daftar Koreksi'!$I$5:$I$92,'Daftar Koreksi'!$D$5:$D$92,'0300'!A1478,'Daftar Koreksi'!$G$5:$G$92,"Aset Henti Guna",'Daftar Koreksi'!$I$5:$I$92,"&lt;0")-SUMIFS('Daftar Koreksi'!$I$5:$I$92,'Daftar Koreksi'!$D$5:$D$92,'0300'!A1478,'Daftar Koreksi'!$G$5:$G$92,"Aset Henti Guna",'Daftar Koreksi'!$I$5:$I$92,"&lt;0")</f>
        <v>0</v>
      </c>
      <c r="G1495" s="17">
        <f t="shared" si="67"/>
        <v>0</v>
      </c>
      <c r="H1495" s="122"/>
    </row>
    <row r="1496" spans="1:8" ht="21.95" customHeight="1">
      <c r="A1496" s="14"/>
      <c r="B1496" s="14"/>
      <c r="C1496" s="18" t="s">
        <v>2094</v>
      </c>
      <c r="D1496" s="19">
        <f>SUM(D1491:D1495)</f>
        <v>-1181884424</v>
      </c>
      <c r="E1496" s="19">
        <f>SUM(E1491:E1495)</f>
        <v>0</v>
      </c>
      <c r="F1496" s="19">
        <f>SUM(F1491:F1495)</f>
        <v>0</v>
      </c>
      <c r="G1496" s="19">
        <f t="shared" si="67"/>
        <v>-1181884424</v>
      </c>
      <c r="H1496" s="122"/>
    </row>
    <row r="1497" spans="1:8" ht="21.95" customHeight="1">
      <c r="A1497" s="14"/>
      <c r="B1497" s="14"/>
      <c r="C1497" s="18" t="s">
        <v>2095</v>
      </c>
      <c r="D1497" s="19">
        <f>VLOOKUP(A1478,'Neraca Unaudited SIMAK'!$A$2:$S$10004,18,FALSE)</f>
        <v>5522585824</v>
      </c>
      <c r="E1497" s="19">
        <f>E1496+E1490</f>
        <v>0</v>
      </c>
      <c r="F1497" s="19">
        <f>F1496+F1490</f>
        <v>0</v>
      </c>
      <c r="G1497" s="19">
        <f t="shared" si="67"/>
        <v>5522585824</v>
      </c>
      <c r="H1497" s="122"/>
    </row>
    <row r="1498" spans="1:8" ht="21.95" customHeight="1">
      <c r="A1498" s="14"/>
      <c r="B1498" s="14"/>
      <c r="C1498" s="16" t="s">
        <v>2091</v>
      </c>
      <c r="D1498" s="17">
        <f>VLOOKUP(A1478,'Neraca Unaudited SIMAK'!$A$2:$S$10004,19,FALSE)</f>
        <v>0</v>
      </c>
      <c r="E1498" s="25"/>
      <c r="F1498" s="25"/>
      <c r="G1498" s="17">
        <f t="shared" si="67"/>
        <v>0</v>
      </c>
      <c r="H1498" s="123"/>
    </row>
    <row r="1500" spans="1:8" ht="19.5" customHeight="1">
      <c r="A1500" s="11" t="str">
        <f>O69</f>
        <v>005010300402593000KD</v>
      </c>
      <c r="B1500" s="11" t="str">
        <f>P69</f>
        <v>PA. Ambarawa</v>
      </c>
      <c r="C1500" s="12" t="str">
        <f>A1500&amp;" "&amp;B1500</f>
        <v>005010300402593000KD PA. Ambarawa</v>
      </c>
      <c r="D1500" s="13"/>
      <c r="E1500" s="13"/>
      <c r="F1500" s="13"/>
      <c r="G1500" s="13"/>
      <c r="H1500" s="11"/>
    </row>
    <row r="1501" spans="1:8" ht="21.95" customHeight="1">
      <c r="A1501" s="14"/>
      <c r="B1501" s="14"/>
      <c r="C1501" s="124" t="s">
        <v>1982</v>
      </c>
      <c r="D1501" s="126" t="s">
        <v>1983</v>
      </c>
      <c r="E1501" s="132" t="s">
        <v>1984</v>
      </c>
      <c r="F1501" s="132"/>
      <c r="G1501" s="126" t="s">
        <v>1987</v>
      </c>
      <c r="H1501" s="130" t="s">
        <v>1175</v>
      </c>
    </row>
    <row r="1502" spans="1:8" ht="21.95" customHeight="1">
      <c r="A1502" s="14"/>
      <c r="B1502" s="14"/>
      <c r="C1502" s="125"/>
      <c r="D1502" s="127"/>
      <c r="E1502" s="26" t="s">
        <v>1985</v>
      </c>
      <c r="F1502" s="26" t="s">
        <v>1986</v>
      </c>
      <c r="G1502" s="127"/>
      <c r="H1502" s="131"/>
    </row>
    <row r="1503" spans="1:8" ht="21.95" customHeight="1">
      <c r="A1503" s="14"/>
      <c r="B1503" s="14"/>
      <c r="C1503" s="16" t="s">
        <v>1165</v>
      </c>
      <c r="D1503" s="17">
        <f>VLOOKUP(A1500,'Neraca Unaudited SIMAK'!$A$2:$S$10004,3,FALSE)</f>
        <v>1352500</v>
      </c>
      <c r="E1503" s="25">
        <f>SUMIFS('Daftar Koreksi'!$H$5:$H$92,'Daftar Koreksi'!$D$5:$D$92,'0300'!A1500,'Daftar Koreksi'!$G$5:$G$92,"Persediaan",'Daftar Koreksi'!$H$5:$H$92,"&gt;0")</f>
        <v>0</v>
      </c>
      <c r="F1503" s="25">
        <f>SUMIFS('Daftar Koreksi'!$H$5:$H$92,'Daftar Koreksi'!$D$5:$D$92,'0300'!A1500,'Daftar Koreksi'!$G$5:$G$92,"Persediaan",'Daftar Koreksi'!$H$5:$H$92,"&lt;0")-SUMIFS('Daftar Koreksi'!$H$5:$H$92,'Daftar Koreksi'!$D$5:$D$92,'0300'!A1500,'Daftar Koreksi'!$G$5:$G$92,"Persediaan",'Daftar Koreksi'!$H$5:$H$92,"&lt;0")-SUMIFS('Daftar Koreksi'!$H$5:$H$92,'Daftar Koreksi'!$D$5:$D$92,'0300'!A1500,'Daftar Koreksi'!$G$5:$G$92,"Persediaan",'Daftar Koreksi'!$H$5:$H$92,"&lt;0")</f>
        <v>0</v>
      </c>
      <c r="G1503" s="17">
        <f>D1503+E1503-F1503</f>
        <v>1352500</v>
      </c>
      <c r="H1503" s="121" t="str">
        <f>IF(ISNA(VLOOKUP(A1500,'Mutasi Neraca'!$A$3:$S$914,19,FALSE)),"-",VLOOKUP(A1500,'Mutasi Neraca'!$A$3:$S$914,19,FALSE))</f>
        <v>-</v>
      </c>
    </row>
    <row r="1504" spans="1:8" ht="21.95" customHeight="1">
      <c r="A1504" s="14"/>
      <c r="B1504" s="14"/>
      <c r="C1504" s="16" t="s">
        <v>1166</v>
      </c>
      <c r="D1504" s="17">
        <f>VLOOKUP(A1500,'Neraca Unaudited SIMAK'!$A$2:$S$10004,4,FALSE)</f>
        <v>2370150000</v>
      </c>
      <c r="E1504" s="25">
        <f>SUMIFS('Daftar Koreksi'!$H$5:$H$92,'Daftar Koreksi'!$D$5:$D$92,'0300'!A1500,'Daftar Koreksi'!$G$5:$G$92,"Tanah",'Daftar Koreksi'!$H$5:$H$92,"&gt;0")</f>
        <v>0</v>
      </c>
      <c r="F1504" s="25">
        <f>SUMIFS('Daftar Koreksi'!$H$5:$H$92,'Daftar Koreksi'!$D$5:$D$92,'0300'!A1500,'Daftar Koreksi'!$G$5:$G$92,"Tanah",'Daftar Koreksi'!$H$5:$H$92,"&lt;0")-SUMIFS('Daftar Koreksi'!$H$5:$H$92,'Daftar Koreksi'!$D$5:$D$92,'0300'!A1500,'Daftar Koreksi'!$G$5:$G$92,"Tanah",'Daftar Koreksi'!$H$5:$H$92,"&lt;0")-SUMIFS('Daftar Koreksi'!$H$5:$H$92,'Daftar Koreksi'!$D$5:$D$92,'0300'!A1500,'Daftar Koreksi'!$G$5:$G$92,"Tanah",'Daftar Koreksi'!$H$5:$H$92,"&lt;0")</f>
        <v>0</v>
      </c>
      <c r="G1504" s="17">
        <f t="shared" ref="G1504:G1520" si="68">D1504+E1504-F1504</f>
        <v>2370150000</v>
      </c>
      <c r="H1504" s="122"/>
    </row>
    <row r="1505" spans="1:8" ht="21.95" customHeight="1">
      <c r="A1505" s="14"/>
      <c r="B1505" s="14"/>
      <c r="C1505" s="16" t="s">
        <v>1167</v>
      </c>
      <c r="D1505" s="17">
        <f>VLOOKUP(A1500,'Neraca Unaudited SIMAK'!$A$2:$S$10004,5,FALSE)</f>
        <v>1092361433</v>
      </c>
      <c r="E1505" s="25">
        <f>SUMIFS('Daftar Koreksi'!$H$5:$H$92,'Daftar Koreksi'!$D$5:$D$92,'0300'!A1500,'Daftar Koreksi'!$G$5:$G$92,"Peralatan dan mesin",'Daftar Koreksi'!$H$5:$H$92,"&gt;0")</f>
        <v>0</v>
      </c>
      <c r="F1505" s="25">
        <f>SUMIFS('Daftar Koreksi'!$H$5:$H$92,'Daftar Koreksi'!$D$5:$D$92,'0300'!A1500,'Daftar Koreksi'!$G$5:$G$92,"Peralatan dan mesin",'Daftar Koreksi'!$H$5:$H$92,"&lt;0")-SUMIFS('Daftar Koreksi'!$H$5:$H$92,'Daftar Koreksi'!$D$5:$D$92,'0300'!A1500,'Daftar Koreksi'!$G$5:$G$92,"Peralatan dan mesin",'Daftar Koreksi'!$H$5:$H$92,"&lt;0")-SUMIFS('Daftar Koreksi'!$H$5:$H$92,'Daftar Koreksi'!$D$5:$D$92,'0300'!A1500,'Daftar Koreksi'!$G$5:$G$92,"Peralatan dan mesin",'Daftar Koreksi'!$H$5:$H$92,"&lt;0")</f>
        <v>0</v>
      </c>
      <c r="G1505" s="17">
        <f t="shared" si="68"/>
        <v>1092361433</v>
      </c>
      <c r="H1505" s="122"/>
    </row>
    <row r="1506" spans="1:8" ht="21.95" customHeight="1">
      <c r="A1506" s="14"/>
      <c r="B1506" s="14"/>
      <c r="C1506" s="16" t="s">
        <v>1168</v>
      </c>
      <c r="D1506" s="17">
        <f>VLOOKUP(A1500,'Neraca Unaudited SIMAK'!$A$2:$S$10004,6,FALSE)</f>
        <v>2538884500</v>
      </c>
      <c r="E1506" s="25">
        <f>SUMIFS('Daftar Koreksi'!$H$5:$H$92,'Daftar Koreksi'!$D$5:$D$92,'0300'!A1500,'Daftar Koreksi'!$G$5:$G$92,"Gedung dan Bangunan",'Daftar Koreksi'!$H$5:$H$92,"&gt;0")</f>
        <v>0</v>
      </c>
      <c r="F1506" s="25">
        <f>SUMIFS('Daftar Koreksi'!$H$5:$H$92,'Daftar Koreksi'!$D$5:$D$92,'0300'!A1500,'Daftar Koreksi'!$G$5:$G$92,"Gedung dan Bangunan",'Daftar Koreksi'!$H$5:$H$92,"&lt;0")-SUMIFS('Daftar Koreksi'!$H$5:$H$92,'Daftar Koreksi'!$D$5:$D$92,'0300'!A1500,'Daftar Koreksi'!$G$5:$G$92,"Gedung dan Bangunan",'Daftar Koreksi'!$H$5:$H$92,"&lt;0")-SUMIFS('Daftar Koreksi'!$H$5:$H$92,'Daftar Koreksi'!$D$5:$D$92,'0300'!A1500,'Daftar Koreksi'!$G$5:$G$92,"Gedung dan Bangunan",'Daftar Koreksi'!$H$5:$H$92,"&lt;0")</f>
        <v>0</v>
      </c>
      <c r="G1506" s="17">
        <f t="shared" si="68"/>
        <v>2538884500</v>
      </c>
      <c r="H1506" s="122"/>
    </row>
    <row r="1507" spans="1:8" ht="21.95" customHeight="1">
      <c r="A1507" s="14"/>
      <c r="B1507" s="14"/>
      <c r="C1507" s="16" t="s">
        <v>1169</v>
      </c>
      <c r="D1507" s="17">
        <f>VLOOKUP(A1500,'Neraca Unaudited SIMAK'!$A$2:$S$10004,7,FALSE)</f>
        <v>130130000</v>
      </c>
      <c r="E1507" s="25">
        <f>SUMIFS('Daftar Koreksi'!$H$5:$H$92,'Daftar Koreksi'!$D$5:$D$92,'0300'!A1500,'Daftar Koreksi'!$G$5:$G$92,"Jalan Irigasi Jaringan",'Daftar Koreksi'!$H$5:$H$92,"&gt;0")</f>
        <v>0</v>
      </c>
      <c r="F1507" s="25">
        <f>SUMIFS('Daftar Koreksi'!$H$5:$H$92,'Daftar Koreksi'!$D$5:$D$92,'0300'!A1500,'Daftar Koreksi'!$G$5:$G$92,"Jalan Irigasi Jaringan",'Daftar Koreksi'!$H$5:$H$92,"&lt;0")-SUMIFS('Daftar Koreksi'!$H$5:$H$92,'Daftar Koreksi'!$D$5:$D$92,'0300'!A1500,'Daftar Koreksi'!$G$5:$G$92,"Jalan Irigasi Jaringan",'Daftar Koreksi'!$H$5:$H$92,"&lt;0")-SUMIFS('Daftar Koreksi'!$H$5:$H$92,'Daftar Koreksi'!$D$5:$D$92,'0300'!A1500,'Daftar Koreksi'!$G$5:$G$92,"Jalan Irigasi Jaringan",'Daftar Koreksi'!$H$5:$H$92,"&lt;0")</f>
        <v>0</v>
      </c>
      <c r="G1507" s="17">
        <f t="shared" si="68"/>
        <v>130130000</v>
      </c>
      <c r="H1507" s="122"/>
    </row>
    <row r="1508" spans="1:8" ht="21.95" customHeight="1">
      <c r="A1508" s="14"/>
      <c r="B1508" s="14"/>
      <c r="C1508" s="16" t="s">
        <v>1170</v>
      </c>
      <c r="D1508" s="17">
        <f>VLOOKUP(A1500,'Neraca Unaudited SIMAK'!$A$2:$S$10004,8,FALSE)</f>
        <v>3286680</v>
      </c>
      <c r="E1508" s="25">
        <f>SUMIFS('Daftar Koreksi'!$H$5:$H$92,'Daftar Koreksi'!$D$5:$D$92,'0300'!A1500,'Daftar Koreksi'!$G$5:$G$92,"Aset Tetap Lainnya",'Daftar Koreksi'!$H$5:$H$92,"&gt;0")</f>
        <v>0</v>
      </c>
      <c r="F1508" s="25">
        <f>SUMIFS('Daftar Koreksi'!$H$5:$H$92,'Daftar Koreksi'!$D$5:$D$92,'0300'!A1500,'Daftar Koreksi'!$G$5:$G$92,"Aset Tetap Lainnya",'Daftar Koreksi'!$H$5:$H$92,"&lt;0")-SUMIFS('Daftar Koreksi'!$H$5:$H$92,'Daftar Koreksi'!$D$5:$D$92,'0300'!A1500,'Daftar Koreksi'!$G$5:$G$92,"Aset Tetap Lainnya",'Daftar Koreksi'!$H$5:$H$92,"&lt;0")-SUMIFS('Daftar Koreksi'!$H$5:$H$92,'Daftar Koreksi'!$D$5:$D$92,'0300'!A1500,'Daftar Koreksi'!$G$5:$G$92,"Aset Tetap Lainnya",'Daftar Koreksi'!$H$5:$H$92,"&lt;0")</f>
        <v>0</v>
      </c>
      <c r="G1508" s="17">
        <f t="shared" si="68"/>
        <v>3286680</v>
      </c>
      <c r="H1508" s="122"/>
    </row>
    <row r="1509" spans="1:8" ht="21.95" customHeight="1">
      <c r="A1509" s="14"/>
      <c r="B1509" s="14"/>
      <c r="C1509" s="16" t="s">
        <v>1171</v>
      </c>
      <c r="D1509" s="17">
        <f>VLOOKUP(A1500,'Neraca Unaudited SIMAK'!$A$2:$S$10004,9,FALSE)</f>
        <v>0</v>
      </c>
      <c r="E1509" s="25">
        <f>SUMIFS('Daftar Koreksi'!$H$5:$H$92,'Daftar Koreksi'!$D$5:$D$92,'0300'!A1500,'Daftar Koreksi'!$G$5:$G$92,"Kontruksi Dalam Pengerjaan",'Daftar Koreksi'!$H$5:$H$92,"&gt;0")</f>
        <v>0</v>
      </c>
      <c r="F1509" s="25">
        <f>SUMIFS('Daftar Koreksi'!$H$5:$H$92,'Daftar Koreksi'!$D$5:$D$92,'0300'!A1500,'Daftar Koreksi'!$G$5:$G$92,"Kontruksi Dalam Pengerjaan",'Daftar Koreksi'!$H$5:$H$92,"&lt;0")-SUMIFS('Daftar Koreksi'!$H$5:$H$92,'Daftar Koreksi'!$D$5:$D$92,'0300'!A1500,'Daftar Koreksi'!$G$5:$G$92,"Kontruksi Dalam Pengerjaan",'Daftar Koreksi'!$H$5:$H$92,"&lt;0")-SUMIFS('Daftar Koreksi'!$H$5:$H$92,'Daftar Koreksi'!$D$5:$D$92,'0300'!A1500,'Daftar Koreksi'!$G$5:$G$92,"Kontruksi Dalam Pengerjaan",'Daftar Koreksi'!$H$5:$H$92,"&lt;0")</f>
        <v>0</v>
      </c>
      <c r="G1509" s="17">
        <f t="shared" si="68"/>
        <v>0</v>
      </c>
      <c r="H1509" s="122"/>
    </row>
    <row r="1510" spans="1:8" ht="21.95" customHeight="1">
      <c r="A1510" s="14"/>
      <c r="B1510" s="14"/>
      <c r="C1510" s="16" t="s">
        <v>1172</v>
      </c>
      <c r="D1510" s="17">
        <f>VLOOKUP(A1500,'Neraca Unaudited SIMAK'!$A$2:$S$10004,10,FALSE)</f>
        <v>9500000</v>
      </c>
      <c r="E1510" s="25">
        <f>SUMIFS('Daftar Koreksi'!$H$5:$H$92,'Daftar Koreksi'!$D$5:$D$92,'0300'!A1500,'Daftar Koreksi'!$G$5:$G$92,"Aset Tak Berwujud",'Daftar Koreksi'!$H$5:$H$92,"&gt;0")</f>
        <v>0</v>
      </c>
      <c r="F1510" s="25">
        <f>SUMIFS('Daftar Koreksi'!$H$5:$H$92,'Daftar Koreksi'!$D$5:$D$92,'0300'!A1500,'Daftar Koreksi'!$G$5:$G$92,"Aset Tak Berwujud",'Daftar Koreksi'!$H$5:$H$92,"&lt;0")-SUMIFS('Daftar Koreksi'!$H$5:$H$92,'Daftar Koreksi'!$D$5:$D$92,'0300'!A1500,'Daftar Koreksi'!$G$5:$G$92,"Aset Tak Berwujud",'Daftar Koreksi'!$H$5:$H$92,"&lt;0")-SUMIFS('Daftar Koreksi'!$H$5:$H$92,'Daftar Koreksi'!$D$5:$D$92,'0300'!A1500,'Daftar Koreksi'!$G$5:$G$92,"Aset Tak Berwujud",'Daftar Koreksi'!$H$5:$H$92,"&lt;0")</f>
        <v>0</v>
      </c>
      <c r="G1510" s="17">
        <f t="shared" si="68"/>
        <v>9500000</v>
      </c>
      <c r="H1510" s="122"/>
    </row>
    <row r="1511" spans="1:8" ht="21.95" customHeight="1">
      <c r="A1511" s="14"/>
      <c r="B1511" s="14"/>
      <c r="C1511" s="16" t="s">
        <v>1173</v>
      </c>
      <c r="D1511" s="17">
        <f>VLOOKUP(A1500,'Neraca Unaudited SIMAK'!$A$2:$S$10004,11,FALSE)</f>
        <v>0</v>
      </c>
      <c r="E1511" s="25">
        <f>SUMIFS('Daftar Koreksi'!$H$5:$H$92,'Daftar Koreksi'!$D$5:$D$92,'0300'!A1500,'Daftar Koreksi'!$G$5:$G$92,"Aset Henti Guna",'Daftar Koreksi'!$H$5:$H$92,"&gt;0")</f>
        <v>0</v>
      </c>
      <c r="F1511" s="25">
        <f>SUMIFS('Daftar Koreksi'!$H$5:$H$92,'Daftar Koreksi'!$D$5:$D$92,'0300'!A1500,'Daftar Koreksi'!$G$5:$G$92,"Aset Henti Guna",'Daftar Koreksi'!$H$5:$H$92,"&lt;0")-SUMIFS('Daftar Koreksi'!$H$5:$H$92,'Daftar Koreksi'!$D$5:$D$92,'0300'!A1500,'Daftar Koreksi'!$G$5:$G$92,"Aset Henti Guna",'Daftar Koreksi'!$H$5:$H$92,"&lt;0")-SUMIFS('Daftar Koreksi'!$H$5:$H$92,'Daftar Koreksi'!$D$5:$D$92,'0300'!A1500,'Daftar Koreksi'!$G$5:$G$92,"Aset Henti Guna",'Daftar Koreksi'!$H$5:$H$92,"&lt;0")</f>
        <v>0</v>
      </c>
      <c r="G1511" s="17">
        <f t="shared" si="68"/>
        <v>0</v>
      </c>
      <c r="H1511" s="122"/>
    </row>
    <row r="1512" spans="1:8" ht="21.95" customHeight="1">
      <c r="A1512" s="14"/>
      <c r="B1512" s="14"/>
      <c r="C1512" s="18" t="s">
        <v>2093</v>
      </c>
      <c r="D1512" s="19">
        <f>VLOOKUP(A1500,'Neraca Unaudited SIMAK'!$A$2:$S$10004,12,FALSE)</f>
        <v>6145665113</v>
      </c>
      <c r="E1512" s="19">
        <f>SUM(E1503:E1511)</f>
        <v>0</v>
      </c>
      <c r="F1512" s="19">
        <f>SUM(F1503:F1511)</f>
        <v>0</v>
      </c>
      <c r="G1512" s="19">
        <f t="shared" si="68"/>
        <v>6145665113</v>
      </c>
      <c r="H1512" s="122"/>
    </row>
    <row r="1513" spans="1:8" ht="21.95" customHeight="1">
      <c r="A1513" s="14"/>
      <c r="B1513" s="14"/>
      <c r="C1513" s="16" t="s">
        <v>2087</v>
      </c>
      <c r="D1513" s="17">
        <f>VLOOKUP(A1500,'Neraca Unaudited SIMAK'!$A$2:$S$10004,13,FALSE)</f>
        <v>-1044909254</v>
      </c>
      <c r="E1513" s="25">
        <f>SUMIFS('Daftar Koreksi'!$I$5:$I$92,'Daftar Koreksi'!$D$5:$D$92,'0300'!A1500,'Daftar Koreksi'!$G$5:$G$92,"Peralatan dan mesin",'Daftar Koreksi'!$I$5:$I$92,"&gt;0")</f>
        <v>0</v>
      </c>
      <c r="F1513" s="25">
        <f>SUMIFS('Daftar Koreksi'!$I$5:$I$92,'Daftar Koreksi'!$D$5:$D$92,'0300'!A1500,'Daftar Koreksi'!$G$5:$G$92,"Peralatan dan mesin",'Daftar Koreksi'!$I$5:$I$92,"&lt;0")-SUMIFS('Daftar Koreksi'!$I$5:$I$92,'Daftar Koreksi'!$D$5:$D$92,'0300'!A1500,'Daftar Koreksi'!$G$5:$G$92,"Peralatan dan mesin",'Daftar Koreksi'!$I$5:$I$92,"&lt;0")-SUMIFS('Daftar Koreksi'!$I$5:$I$92,'Daftar Koreksi'!$D$5:$D$92,'0300'!A1500,'Daftar Koreksi'!$G$5:$G$92,"Peralatan dan mesin",'Daftar Koreksi'!$I$5:$I$92,"&lt;0")</f>
        <v>0</v>
      </c>
      <c r="G1513" s="17">
        <f t="shared" si="68"/>
        <v>-1044909254</v>
      </c>
      <c r="H1513" s="122"/>
    </row>
    <row r="1514" spans="1:8" ht="21.95" customHeight="1">
      <c r="A1514" s="14"/>
      <c r="B1514" s="14"/>
      <c r="C1514" s="16" t="s">
        <v>2088</v>
      </c>
      <c r="D1514" s="17">
        <f>VLOOKUP(A1500,'Neraca Unaudited SIMAK'!$A$2:$S$10004,14,FALSE)</f>
        <v>-328383584</v>
      </c>
      <c r="E1514" s="25">
        <f>SUMIFS('Daftar Koreksi'!$I$5:$I$92,'Daftar Koreksi'!$D$5:$D$92,'0300'!A1500,'Daftar Koreksi'!$G$5:$G$92,"Gedung dan Bangunan",'Daftar Koreksi'!$I$5:$I$92,"&gt;0")</f>
        <v>0</v>
      </c>
      <c r="F1514" s="25">
        <f>SUMIFS('Daftar Koreksi'!$I$5:$I$92,'Daftar Koreksi'!$D$5:$D$92,'0300'!A1500,'Daftar Koreksi'!$G$5:$G$92,"Gedung dan Bangunan",'Daftar Koreksi'!$I$5:$I$92,"&lt;0")-SUMIFS('Daftar Koreksi'!$I$5:$I$92,'Daftar Koreksi'!$D$5:$D$92,'0300'!A1500,'Daftar Koreksi'!$G$5:$G$92,"Gedung dan Bangunan",'Daftar Koreksi'!$I$5:$I$92,"&lt;0")-SUMIFS('Daftar Koreksi'!$I$5:$I$92,'Daftar Koreksi'!$D$5:$D$92,'0300'!A1500,'Daftar Koreksi'!$G$5:$G$92,"Gedung dan Bangunan",'Daftar Koreksi'!$I$5:$I$92,"&lt;0")</f>
        <v>0</v>
      </c>
      <c r="G1514" s="17">
        <f t="shared" si="68"/>
        <v>-328383584</v>
      </c>
      <c r="H1514" s="122"/>
    </row>
    <row r="1515" spans="1:8" ht="21.95" customHeight="1">
      <c r="A1515" s="14"/>
      <c r="B1515" s="14"/>
      <c r="C1515" s="16" t="s">
        <v>2089</v>
      </c>
      <c r="D1515" s="17">
        <f>VLOOKUP(A1500,'Neraca Unaudited SIMAK'!$A$2:$S$10004,15,FALSE)</f>
        <v>-15675500</v>
      </c>
      <c r="E1515" s="25">
        <f>SUMIFS('Daftar Koreksi'!$I$5:$I$92,'Daftar Koreksi'!$D$5:$D$92,'0300'!A1500,'Daftar Koreksi'!$G$5:$G$92,"Jalan Irigasi Jaringan",'Daftar Koreksi'!$I$5:$I$92,"&gt;0")</f>
        <v>0</v>
      </c>
      <c r="F1515" s="25">
        <f>SUMIFS('Daftar Koreksi'!$I$5:$I$92,'Daftar Koreksi'!$D$5:$D$92,'0300'!A1500,'Daftar Koreksi'!$G$5:$G$92,"Jalan Irigasi Jaringan",'Daftar Koreksi'!$I$5:$I$92,"&lt;0")-SUMIFS('Daftar Koreksi'!$I$5:$I$92,'Daftar Koreksi'!$D$5:$D$92,'0300'!A1500,'Daftar Koreksi'!$G$5:$G$92,"Jalan Irigasi Jaringan",'Daftar Koreksi'!$I$5:$I$92,"&lt;0")-SUMIFS('Daftar Koreksi'!$I$5:$I$92,'Daftar Koreksi'!$D$5:$D$92,'0300'!A1500,'Daftar Koreksi'!$G$5:$G$92,"Jalan Irigasi Jaringan",'Daftar Koreksi'!$I$5:$I$92,"&lt;0")</f>
        <v>0</v>
      </c>
      <c r="G1515" s="17">
        <f t="shared" si="68"/>
        <v>-15675500</v>
      </c>
      <c r="H1515" s="122"/>
    </row>
    <row r="1516" spans="1:8" ht="21.95" customHeight="1">
      <c r="A1516" s="14"/>
      <c r="B1516" s="14"/>
      <c r="C1516" s="16" t="s">
        <v>2090</v>
      </c>
      <c r="D1516" s="17">
        <f>VLOOKUP(A1500,'Neraca Unaudited SIMAK'!$A$2:$S$10004,16,FALSE)</f>
        <v>0</v>
      </c>
      <c r="E1516" s="25">
        <f>SUMIFS('Daftar Koreksi'!$I$5:$I$92,'Daftar Koreksi'!$D$5:$D$92,'0300'!A1500,'Daftar Koreksi'!$G$5:$G$92,"Aset Tetap Lainnya",'Daftar Koreksi'!$I$5:$I$92,"&gt;0")</f>
        <v>0</v>
      </c>
      <c r="F1516" s="25">
        <f>SUMIFS('Daftar Koreksi'!$I$5:$I$92,'Daftar Koreksi'!$D$5:$D$92,'0300'!A1500,'Daftar Koreksi'!$G$5:$G$92,"Aset Tetap Lainnya",'Daftar Koreksi'!$I$5:$I$92,"&lt;0")-SUMIFS('Daftar Koreksi'!$I$5:$I$92,'Daftar Koreksi'!$D$5:$D$92,'0300'!A1500,'Daftar Koreksi'!$G$5:$G$92,"Aset Tetap Lainnya",'Daftar Koreksi'!$I$5:$I$92,"&lt;0")-SUMIFS('Daftar Koreksi'!$I$5:$I$92,'Daftar Koreksi'!$D$5:$D$92,'0300'!A1500,'Daftar Koreksi'!$G$5:$G$92,"Aset Tetap Lainnya",'Daftar Koreksi'!$I$5:$I$92,"&lt;0")</f>
        <v>0</v>
      </c>
      <c r="G1516" s="17">
        <f t="shared" si="68"/>
        <v>0</v>
      </c>
      <c r="H1516" s="122"/>
    </row>
    <row r="1517" spans="1:8" ht="21.95" customHeight="1">
      <c r="A1517" s="14"/>
      <c r="B1517" s="14"/>
      <c r="C1517" s="16" t="s">
        <v>2020</v>
      </c>
      <c r="D1517" s="17">
        <f>VLOOKUP(A1500,'Neraca Unaudited SIMAK'!$A$2:$S$10004,17,FALSE)</f>
        <v>0</v>
      </c>
      <c r="E1517" s="25">
        <f>SUMIFS('Daftar Koreksi'!$I$5:$I$92,'Daftar Koreksi'!$D$5:$D$92,'0300'!A1500,'Daftar Koreksi'!$G$5:$G$92,"Aset Henti Guna",'Daftar Koreksi'!$I$5:$I$92,"&gt;0")</f>
        <v>0</v>
      </c>
      <c r="F1517" s="25">
        <f>SUMIFS('Daftar Koreksi'!$I$5:$I$92,'Daftar Koreksi'!$D$5:$D$92,'0300'!A1500,'Daftar Koreksi'!$G$5:$G$92,"Aset Henti Guna",'Daftar Koreksi'!$I$5:$I$92,"&lt;0")-SUMIFS('Daftar Koreksi'!$I$5:$I$92,'Daftar Koreksi'!$D$5:$D$92,'0300'!A1500,'Daftar Koreksi'!$G$5:$G$92,"Aset Henti Guna",'Daftar Koreksi'!$I$5:$I$92,"&lt;0")-SUMIFS('Daftar Koreksi'!$I$5:$I$92,'Daftar Koreksi'!$D$5:$D$92,'0300'!A1500,'Daftar Koreksi'!$G$5:$G$92,"Aset Henti Guna",'Daftar Koreksi'!$I$5:$I$92,"&lt;0")</f>
        <v>0</v>
      </c>
      <c r="G1517" s="17">
        <f t="shared" si="68"/>
        <v>0</v>
      </c>
      <c r="H1517" s="122"/>
    </row>
    <row r="1518" spans="1:8" ht="21.95" customHeight="1">
      <c r="A1518" s="14"/>
      <c r="B1518" s="14"/>
      <c r="C1518" s="18" t="s">
        <v>2094</v>
      </c>
      <c r="D1518" s="19">
        <f>SUM(D1513:D1517)</f>
        <v>-1388968338</v>
      </c>
      <c r="E1518" s="19">
        <f>SUM(E1513:E1517)</f>
        <v>0</v>
      </c>
      <c r="F1518" s="19">
        <f>SUM(F1513:F1517)</f>
        <v>0</v>
      </c>
      <c r="G1518" s="19">
        <f t="shared" si="68"/>
        <v>-1388968338</v>
      </c>
      <c r="H1518" s="122"/>
    </row>
    <row r="1519" spans="1:8" ht="21.95" customHeight="1">
      <c r="A1519" s="14"/>
      <c r="B1519" s="14"/>
      <c r="C1519" s="18" t="s">
        <v>2095</v>
      </c>
      <c r="D1519" s="19">
        <f>VLOOKUP(A1500,'Neraca Unaudited SIMAK'!$A$2:$S$10004,18,FALSE)</f>
        <v>4756696775</v>
      </c>
      <c r="E1519" s="19">
        <f>E1518+E1512</f>
        <v>0</v>
      </c>
      <c r="F1519" s="19">
        <f>F1518+F1512</f>
        <v>0</v>
      </c>
      <c r="G1519" s="19">
        <f t="shared" si="68"/>
        <v>4756696775</v>
      </c>
      <c r="H1519" s="122"/>
    </row>
    <row r="1520" spans="1:8" ht="21.95" customHeight="1">
      <c r="A1520" s="14"/>
      <c r="B1520" s="14"/>
      <c r="C1520" s="16" t="s">
        <v>2091</v>
      </c>
      <c r="D1520" s="17">
        <f>VLOOKUP(A1500,'Neraca Unaudited SIMAK'!$A$2:$S$10004,19,FALSE)</f>
        <v>0</v>
      </c>
      <c r="E1520" s="25"/>
      <c r="F1520" s="25"/>
      <c r="G1520" s="17">
        <f t="shared" si="68"/>
        <v>0</v>
      </c>
      <c r="H1520" s="123"/>
    </row>
    <row r="1522" spans="1:8" ht="19.5" customHeight="1">
      <c r="A1522" s="11" t="str">
        <f>O70</f>
        <v>005010300402964000KD</v>
      </c>
      <c r="B1522" s="11" t="str">
        <f>P70</f>
        <v>PTA. Semarang</v>
      </c>
      <c r="C1522" s="12" t="str">
        <f>A1522&amp;" "&amp;B1522</f>
        <v>005010300402964000KD PTA. Semarang</v>
      </c>
      <c r="D1522" s="13"/>
      <c r="E1522" s="13"/>
      <c r="F1522" s="13"/>
      <c r="G1522" s="13"/>
      <c r="H1522" s="11"/>
    </row>
    <row r="1523" spans="1:8" ht="21.95" customHeight="1">
      <c r="A1523" s="14"/>
      <c r="B1523" s="14"/>
      <c r="C1523" s="124" t="s">
        <v>1982</v>
      </c>
      <c r="D1523" s="126" t="s">
        <v>1983</v>
      </c>
      <c r="E1523" s="132" t="s">
        <v>1984</v>
      </c>
      <c r="F1523" s="132"/>
      <c r="G1523" s="126" t="s">
        <v>1987</v>
      </c>
      <c r="H1523" s="130" t="s">
        <v>1175</v>
      </c>
    </row>
    <row r="1524" spans="1:8" ht="21.95" customHeight="1">
      <c r="A1524" s="14"/>
      <c r="B1524" s="14"/>
      <c r="C1524" s="125"/>
      <c r="D1524" s="127"/>
      <c r="E1524" s="26" t="s">
        <v>1985</v>
      </c>
      <c r="F1524" s="26" t="s">
        <v>1986</v>
      </c>
      <c r="G1524" s="127"/>
      <c r="H1524" s="131"/>
    </row>
    <row r="1525" spans="1:8" ht="21.95" customHeight="1">
      <c r="A1525" s="14"/>
      <c r="B1525" s="14"/>
      <c r="C1525" s="16" t="s">
        <v>1165</v>
      </c>
      <c r="D1525" s="17">
        <f>VLOOKUP(A1522,'Neraca Unaudited SIMAK'!$A$2:$S$10004,3,FALSE)</f>
        <v>12583973</v>
      </c>
      <c r="E1525" s="25">
        <f>SUMIFS('Daftar Koreksi'!$H$5:$H$92,'Daftar Koreksi'!$D$5:$D$92,'0300'!A1522,'Daftar Koreksi'!$G$5:$G$92,"Persediaan",'Daftar Koreksi'!$H$5:$H$92,"&gt;0")</f>
        <v>0</v>
      </c>
      <c r="F1525" s="25">
        <f>SUMIFS('Daftar Koreksi'!$H$5:$H$92,'Daftar Koreksi'!$D$5:$D$92,'0300'!A1522,'Daftar Koreksi'!$G$5:$G$92,"Persediaan",'Daftar Koreksi'!$H$5:$H$92,"&lt;0")-SUMIFS('Daftar Koreksi'!$H$5:$H$92,'Daftar Koreksi'!$D$5:$D$92,'0300'!A1522,'Daftar Koreksi'!$G$5:$G$92,"Persediaan",'Daftar Koreksi'!$H$5:$H$92,"&lt;0")-SUMIFS('Daftar Koreksi'!$H$5:$H$92,'Daftar Koreksi'!$D$5:$D$92,'0300'!A1522,'Daftar Koreksi'!$G$5:$G$92,"Persediaan",'Daftar Koreksi'!$H$5:$H$92,"&lt;0")</f>
        <v>0</v>
      </c>
      <c r="G1525" s="17">
        <f>D1525+E1525-F1525</f>
        <v>12583973</v>
      </c>
      <c r="H1525" s="121" t="str">
        <f>IF(ISNA(VLOOKUP(A1522,'Mutasi Neraca'!$A$3:$S$914,19,FALSE)),"-",VLOOKUP(A1522,'Mutasi Neraca'!$A$3:$S$914,19,FALSE))</f>
        <v>-</v>
      </c>
    </row>
    <row r="1526" spans="1:8" ht="21.95" customHeight="1">
      <c r="A1526" s="14"/>
      <c r="B1526" s="14"/>
      <c r="C1526" s="16" t="s">
        <v>1166</v>
      </c>
      <c r="D1526" s="17">
        <f>VLOOKUP(A1522,'Neraca Unaudited SIMAK'!$A$2:$S$10004,4,FALSE)</f>
        <v>2061202500</v>
      </c>
      <c r="E1526" s="25">
        <f>SUMIFS('Daftar Koreksi'!$H$5:$H$92,'Daftar Koreksi'!$D$5:$D$92,'0300'!A1522,'Daftar Koreksi'!$G$5:$G$92,"Tanah",'Daftar Koreksi'!$H$5:$H$92,"&gt;0")</f>
        <v>0</v>
      </c>
      <c r="F1526" s="25">
        <f>SUMIFS('Daftar Koreksi'!$H$5:$H$92,'Daftar Koreksi'!$D$5:$D$92,'0300'!A1522,'Daftar Koreksi'!$G$5:$G$92,"Tanah",'Daftar Koreksi'!$H$5:$H$92,"&lt;0")-SUMIFS('Daftar Koreksi'!$H$5:$H$92,'Daftar Koreksi'!$D$5:$D$92,'0300'!A1522,'Daftar Koreksi'!$G$5:$G$92,"Tanah",'Daftar Koreksi'!$H$5:$H$92,"&lt;0")-SUMIFS('Daftar Koreksi'!$H$5:$H$92,'Daftar Koreksi'!$D$5:$D$92,'0300'!A1522,'Daftar Koreksi'!$G$5:$G$92,"Tanah",'Daftar Koreksi'!$H$5:$H$92,"&lt;0")</f>
        <v>0</v>
      </c>
      <c r="G1526" s="17">
        <f t="shared" ref="G1526:G1542" si="69">D1526+E1526-F1526</f>
        <v>2061202500</v>
      </c>
      <c r="H1526" s="122"/>
    </row>
    <row r="1527" spans="1:8" ht="21.95" customHeight="1">
      <c r="A1527" s="14"/>
      <c r="B1527" s="14"/>
      <c r="C1527" s="16" t="s">
        <v>1167</v>
      </c>
      <c r="D1527" s="17">
        <f>VLOOKUP(A1522,'Neraca Unaudited SIMAK'!$A$2:$S$10004,5,FALSE)</f>
        <v>3966913018</v>
      </c>
      <c r="E1527" s="25">
        <f>SUMIFS('Daftar Koreksi'!$H$5:$H$92,'Daftar Koreksi'!$D$5:$D$92,'0300'!A1522,'Daftar Koreksi'!$G$5:$G$92,"Peralatan dan mesin",'Daftar Koreksi'!$H$5:$H$92,"&gt;0")</f>
        <v>0</v>
      </c>
      <c r="F1527" s="25">
        <f>SUMIFS('Daftar Koreksi'!$H$5:$H$92,'Daftar Koreksi'!$D$5:$D$92,'0300'!A1522,'Daftar Koreksi'!$G$5:$G$92,"Peralatan dan mesin",'Daftar Koreksi'!$H$5:$H$92,"&lt;0")-SUMIFS('Daftar Koreksi'!$H$5:$H$92,'Daftar Koreksi'!$D$5:$D$92,'0300'!A1522,'Daftar Koreksi'!$G$5:$G$92,"Peralatan dan mesin",'Daftar Koreksi'!$H$5:$H$92,"&lt;0")-SUMIFS('Daftar Koreksi'!$H$5:$H$92,'Daftar Koreksi'!$D$5:$D$92,'0300'!A1522,'Daftar Koreksi'!$G$5:$G$92,"Peralatan dan mesin",'Daftar Koreksi'!$H$5:$H$92,"&lt;0")</f>
        <v>0</v>
      </c>
      <c r="G1527" s="17">
        <f t="shared" si="69"/>
        <v>3966913018</v>
      </c>
      <c r="H1527" s="122"/>
    </row>
    <row r="1528" spans="1:8" ht="21.95" customHeight="1">
      <c r="A1528" s="14"/>
      <c r="B1528" s="14"/>
      <c r="C1528" s="16" t="s">
        <v>1168</v>
      </c>
      <c r="D1528" s="17">
        <f>VLOOKUP(A1522,'Neraca Unaudited SIMAK'!$A$2:$S$10004,6,FALSE)</f>
        <v>1754821414</v>
      </c>
      <c r="E1528" s="25">
        <f>SUMIFS('Daftar Koreksi'!$H$5:$H$92,'Daftar Koreksi'!$D$5:$D$92,'0300'!A1522,'Daftar Koreksi'!$G$5:$G$92,"Gedung dan Bangunan",'Daftar Koreksi'!$H$5:$H$92,"&gt;0")</f>
        <v>0</v>
      </c>
      <c r="F1528" s="25">
        <f>SUMIFS('Daftar Koreksi'!$H$5:$H$92,'Daftar Koreksi'!$D$5:$D$92,'0300'!A1522,'Daftar Koreksi'!$G$5:$G$92,"Gedung dan Bangunan",'Daftar Koreksi'!$H$5:$H$92,"&lt;0")-SUMIFS('Daftar Koreksi'!$H$5:$H$92,'Daftar Koreksi'!$D$5:$D$92,'0300'!A1522,'Daftar Koreksi'!$G$5:$G$92,"Gedung dan Bangunan",'Daftar Koreksi'!$H$5:$H$92,"&lt;0")-SUMIFS('Daftar Koreksi'!$H$5:$H$92,'Daftar Koreksi'!$D$5:$D$92,'0300'!A1522,'Daftar Koreksi'!$G$5:$G$92,"Gedung dan Bangunan",'Daftar Koreksi'!$H$5:$H$92,"&lt;0")</f>
        <v>0</v>
      </c>
      <c r="G1528" s="17">
        <f t="shared" si="69"/>
        <v>1754821414</v>
      </c>
      <c r="H1528" s="122"/>
    </row>
    <row r="1529" spans="1:8" ht="21.95" customHeight="1">
      <c r="A1529" s="14"/>
      <c r="B1529" s="14"/>
      <c r="C1529" s="16" t="s">
        <v>1169</v>
      </c>
      <c r="D1529" s="17">
        <f>VLOOKUP(A1522,'Neraca Unaudited SIMAK'!$A$2:$S$10004,7,FALSE)</f>
        <v>47166400</v>
      </c>
      <c r="E1529" s="25">
        <f>SUMIFS('Daftar Koreksi'!$H$5:$H$92,'Daftar Koreksi'!$D$5:$D$92,'0300'!A1522,'Daftar Koreksi'!$G$5:$G$92,"Jalan Irigasi Jaringan",'Daftar Koreksi'!$H$5:$H$92,"&gt;0")</f>
        <v>0</v>
      </c>
      <c r="F1529" s="25">
        <f>SUMIFS('Daftar Koreksi'!$H$5:$H$92,'Daftar Koreksi'!$D$5:$D$92,'0300'!A1522,'Daftar Koreksi'!$G$5:$G$92,"Jalan Irigasi Jaringan",'Daftar Koreksi'!$H$5:$H$92,"&lt;0")-SUMIFS('Daftar Koreksi'!$H$5:$H$92,'Daftar Koreksi'!$D$5:$D$92,'0300'!A1522,'Daftar Koreksi'!$G$5:$G$92,"Jalan Irigasi Jaringan",'Daftar Koreksi'!$H$5:$H$92,"&lt;0")-SUMIFS('Daftar Koreksi'!$H$5:$H$92,'Daftar Koreksi'!$D$5:$D$92,'0300'!A1522,'Daftar Koreksi'!$G$5:$G$92,"Jalan Irigasi Jaringan",'Daftar Koreksi'!$H$5:$H$92,"&lt;0")</f>
        <v>0</v>
      </c>
      <c r="G1529" s="17">
        <f t="shared" si="69"/>
        <v>47166400</v>
      </c>
      <c r="H1529" s="122"/>
    </row>
    <row r="1530" spans="1:8" ht="21.95" customHeight="1">
      <c r="A1530" s="14"/>
      <c r="B1530" s="14"/>
      <c r="C1530" s="16" t="s">
        <v>1170</v>
      </c>
      <c r="D1530" s="17">
        <f>VLOOKUP(A1522,'Neraca Unaudited SIMAK'!$A$2:$S$10004,8,FALSE)</f>
        <v>16209820</v>
      </c>
      <c r="E1530" s="25">
        <f>SUMIFS('Daftar Koreksi'!$H$5:$H$92,'Daftar Koreksi'!$D$5:$D$92,'0300'!A1522,'Daftar Koreksi'!$G$5:$G$92,"Aset Tetap Lainnya",'Daftar Koreksi'!$H$5:$H$92,"&gt;0")</f>
        <v>0</v>
      </c>
      <c r="F1530" s="25">
        <f>SUMIFS('Daftar Koreksi'!$H$5:$H$92,'Daftar Koreksi'!$D$5:$D$92,'0300'!A1522,'Daftar Koreksi'!$G$5:$G$92,"Aset Tetap Lainnya",'Daftar Koreksi'!$H$5:$H$92,"&lt;0")-SUMIFS('Daftar Koreksi'!$H$5:$H$92,'Daftar Koreksi'!$D$5:$D$92,'0300'!A1522,'Daftar Koreksi'!$G$5:$G$92,"Aset Tetap Lainnya",'Daftar Koreksi'!$H$5:$H$92,"&lt;0")-SUMIFS('Daftar Koreksi'!$H$5:$H$92,'Daftar Koreksi'!$D$5:$D$92,'0300'!A1522,'Daftar Koreksi'!$G$5:$G$92,"Aset Tetap Lainnya",'Daftar Koreksi'!$H$5:$H$92,"&lt;0")</f>
        <v>0</v>
      </c>
      <c r="G1530" s="17">
        <f t="shared" si="69"/>
        <v>16209820</v>
      </c>
      <c r="H1530" s="122"/>
    </row>
    <row r="1531" spans="1:8" ht="21.95" customHeight="1">
      <c r="A1531" s="14"/>
      <c r="B1531" s="14"/>
      <c r="C1531" s="16" t="s">
        <v>1171</v>
      </c>
      <c r="D1531" s="17">
        <f>VLOOKUP(A1522,'Neraca Unaudited SIMAK'!$A$2:$S$10004,9,FALSE)</f>
        <v>0</v>
      </c>
      <c r="E1531" s="25">
        <f>SUMIFS('Daftar Koreksi'!$H$5:$H$92,'Daftar Koreksi'!$D$5:$D$92,'0300'!A1522,'Daftar Koreksi'!$G$5:$G$92,"Kontruksi Dalam Pengerjaan",'Daftar Koreksi'!$H$5:$H$92,"&gt;0")</f>
        <v>0</v>
      </c>
      <c r="F1531" s="25">
        <f>SUMIFS('Daftar Koreksi'!$H$5:$H$92,'Daftar Koreksi'!$D$5:$D$92,'0300'!A1522,'Daftar Koreksi'!$G$5:$G$92,"Kontruksi Dalam Pengerjaan",'Daftar Koreksi'!$H$5:$H$92,"&lt;0")-SUMIFS('Daftar Koreksi'!$H$5:$H$92,'Daftar Koreksi'!$D$5:$D$92,'0300'!A1522,'Daftar Koreksi'!$G$5:$G$92,"Kontruksi Dalam Pengerjaan",'Daftar Koreksi'!$H$5:$H$92,"&lt;0")-SUMIFS('Daftar Koreksi'!$H$5:$H$92,'Daftar Koreksi'!$D$5:$D$92,'0300'!A1522,'Daftar Koreksi'!$G$5:$G$92,"Kontruksi Dalam Pengerjaan",'Daftar Koreksi'!$H$5:$H$92,"&lt;0")</f>
        <v>0</v>
      </c>
      <c r="G1531" s="17">
        <f t="shared" si="69"/>
        <v>0</v>
      </c>
      <c r="H1531" s="122"/>
    </row>
    <row r="1532" spans="1:8" ht="21.95" customHeight="1">
      <c r="A1532" s="14"/>
      <c r="B1532" s="14"/>
      <c r="C1532" s="16" t="s">
        <v>1172</v>
      </c>
      <c r="D1532" s="17">
        <f>VLOOKUP(A1522,'Neraca Unaudited SIMAK'!$A$2:$S$10004,10,FALSE)</f>
        <v>0</v>
      </c>
      <c r="E1532" s="25">
        <f>SUMIFS('Daftar Koreksi'!$H$5:$H$92,'Daftar Koreksi'!$D$5:$D$92,'0300'!A1522,'Daftar Koreksi'!$G$5:$G$92,"Aset Tak Berwujud",'Daftar Koreksi'!$H$5:$H$92,"&gt;0")</f>
        <v>0</v>
      </c>
      <c r="F1532" s="25">
        <f>SUMIFS('Daftar Koreksi'!$H$5:$H$92,'Daftar Koreksi'!$D$5:$D$92,'0300'!A1522,'Daftar Koreksi'!$G$5:$G$92,"Aset Tak Berwujud",'Daftar Koreksi'!$H$5:$H$92,"&lt;0")-SUMIFS('Daftar Koreksi'!$H$5:$H$92,'Daftar Koreksi'!$D$5:$D$92,'0300'!A1522,'Daftar Koreksi'!$G$5:$G$92,"Aset Tak Berwujud",'Daftar Koreksi'!$H$5:$H$92,"&lt;0")-SUMIFS('Daftar Koreksi'!$H$5:$H$92,'Daftar Koreksi'!$D$5:$D$92,'0300'!A1522,'Daftar Koreksi'!$G$5:$G$92,"Aset Tak Berwujud",'Daftar Koreksi'!$H$5:$H$92,"&lt;0")</f>
        <v>0</v>
      </c>
      <c r="G1532" s="17">
        <f t="shared" si="69"/>
        <v>0</v>
      </c>
      <c r="H1532" s="122"/>
    </row>
    <row r="1533" spans="1:8" ht="21.95" customHeight="1">
      <c r="A1533" s="14"/>
      <c r="B1533" s="14"/>
      <c r="C1533" s="16" t="s">
        <v>1173</v>
      </c>
      <c r="D1533" s="17">
        <f>VLOOKUP(A1522,'Neraca Unaudited SIMAK'!$A$2:$S$10004,11,FALSE)</f>
        <v>0</v>
      </c>
      <c r="E1533" s="25">
        <f>SUMIFS('Daftar Koreksi'!$H$5:$H$92,'Daftar Koreksi'!$D$5:$D$92,'0300'!A1522,'Daftar Koreksi'!$G$5:$G$92,"Aset Henti Guna",'Daftar Koreksi'!$H$5:$H$92,"&gt;0")</f>
        <v>0</v>
      </c>
      <c r="F1533" s="25">
        <f>SUMIFS('Daftar Koreksi'!$H$5:$H$92,'Daftar Koreksi'!$D$5:$D$92,'0300'!A1522,'Daftar Koreksi'!$G$5:$G$92,"Aset Henti Guna",'Daftar Koreksi'!$H$5:$H$92,"&lt;0")-SUMIFS('Daftar Koreksi'!$H$5:$H$92,'Daftar Koreksi'!$D$5:$D$92,'0300'!A1522,'Daftar Koreksi'!$G$5:$G$92,"Aset Henti Guna",'Daftar Koreksi'!$H$5:$H$92,"&lt;0")-SUMIFS('Daftar Koreksi'!$H$5:$H$92,'Daftar Koreksi'!$D$5:$D$92,'0300'!A1522,'Daftar Koreksi'!$G$5:$G$92,"Aset Henti Guna",'Daftar Koreksi'!$H$5:$H$92,"&lt;0")</f>
        <v>0</v>
      </c>
      <c r="G1533" s="17">
        <f t="shared" si="69"/>
        <v>0</v>
      </c>
      <c r="H1533" s="122"/>
    </row>
    <row r="1534" spans="1:8" ht="21.95" customHeight="1">
      <c r="A1534" s="14"/>
      <c r="B1534" s="14"/>
      <c r="C1534" s="18" t="s">
        <v>2093</v>
      </c>
      <c r="D1534" s="19">
        <f>VLOOKUP(A1522,'Neraca Unaudited SIMAK'!$A$2:$S$10004,12,FALSE)</f>
        <v>7858897125</v>
      </c>
      <c r="E1534" s="19">
        <f>SUM(E1525:E1533)</f>
        <v>0</v>
      </c>
      <c r="F1534" s="19">
        <f>SUM(F1525:F1533)</f>
        <v>0</v>
      </c>
      <c r="G1534" s="19">
        <f t="shared" si="69"/>
        <v>7858897125</v>
      </c>
      <c r="H1534" s="122"/>
    </row>
    <row r="1535" spans="1:8" ht="21.95" customHeight="1">
      <c r="A1535" s="14"/>
      <c r="B1535" s="14"/>
      <c r="C1535" s="16" t="s">
        <v>2087</v>
      </c>
      <c r="D1535" s="17">
        <f>VLOOKUP(A1522,'Neraca Unaudited SIMAK'!$A$2:$S$10004,13,FALSE)</f>
        <v>-3618928342</v>
      </c>
      <c r="E1535" s="25">
        <f>SUMIFS('Daftar Koreksi'!$I$5:$I$92,'Daftar Koreksi'!$D$5:$D$92,'0300'!A1522,'Daftar Koreksi'!$G$5:$G$92,"Peralatan dan mesin",'Daftar Koreksi'!$I$5:$I$92,"&gt;0")</f>
        <v>0</v>
      </c>
      <c r="F1535" s="25">
        <f>SUMIFS('Daftar Koreksi'!$I$5:$I$92,'Daftar Koreksi'!$D$5:$D$92,'0300'!A1522,'Daftar Koreksi'!$G$5:$G$92,"Peralatan dan mesin",'Daftar Koreksi'!$I$5:$I$92,"&lt;0")-SUMIFS('Daftar Koreksi'!$I$5:$I$92,'Daftar Koreksi'!$D$5:$D$92,'0300'!A1522,'Daftar Koreksi'!$G$5:$G$92,"Peralatan dan mesin",'Daftar Koreksi'!$I$5:$I$92,"&lt;0")-SUMIFS('Daftar Koreksi'!$I$5:$I$92,'Daftar Koreksi'!$D$5:$D$92,'0300'!A1522,'Daftar Koreksi'!$G$5:$G$92,"Peralatan dan mesin",'Daftar Koreksi'!$I$5:$I$92,"&lt;0")</f>
        <v>0</v>
      </c>
      <c r="G1535" s="17">
        <f t="shared" si="69"/>
        <v>-3618928342</v>
      </c>
      <c r="H1535" s="122"/>
    </row>
    <row r="1536" spans="1:8" ht="21.95" customHeight="1">
      <c r="A1536" s="14"/>
      <c r="B1536" s="14"/>
      <c r="C1536" s="16" t="s">
        <v>2088</v>
      </c>
      <c r="D1536" s="17">
        <f>VLOOKUP(A1522,'Neraca Unaudited SIMAK'!$A$2:$S$10004,14,FALSE)</f>
        <v>-281425755</v>
      </c>
      <c r="E1536" s="25">
        <f>SUMIFS('Daftar Koreksi'!$I$5:$I$92,'Daftar Koreksi'!$D$5:$D$92,'0300'!A1522,'Daftar Koreksi'!$G$5:$G$92,"Gedung dan Bangunan",'Daftar Koreksi'!$I$5:$I$92,"&gt;0")</f>
        <v>0</v>
      </c>
      <c r="F1536" s="25">
        <f>SUMIFS('Daftar Koreksi'!$I$5:$I$92,'Daftar Koreksi'!$D$5:$D$92,'0300'!A1522,'Daftar Koreksi'!$G$5:$G$92,"Gedung dan Bangunan",'Daftar Koreksi'!$I$5:$I$92,"&lt;0")-SUMIFS('Daftar Koreksi'!$I$5:$I$92,'Daftar Koreksi'!$D$5:$D$92,'0300'!A1522,'Daftar Koreksi'!$G$5:$G$92,"Gedung dan Bangunan",'Daftar Koreksi'!$I$5:$I$92,"&lt;0")-SUMIFS('Daftar Koreksi'!$I$5:$I$92,'Daftar Koreksi'!$D$5:$D$92,'0300'!A1522,'Daftar Koreksi'!$G$5:$G$92,"Gedung dan Bangunan",'Daftar Koreksi'!$I$5:$I$92,"&lt;0")</f>
        <v>0</v>
      </c>
      <c r="G1536" s="17">
        <f t="shared" si="69"/>
        <v>-281425755</v>
      </c>
      <c r="H1536" s="122"/>
    </row>
    <row r="1537" spans="1:8" ht="21.95" customHeight="1">
      <c r="A1537" s="14"/>
      <c r="B1537" s="14"/>
      <c r="C1537" s="16" t="s">
        <v>2089</v>
      </c>
      <c r="D1537" s="17">
        <f>VLOOKUP(A1522,'Neraca Unaudited SIMAK'!$A$2:$S$10004,15,FALSE)</f>
        <v>-40091440</v>
      </c>
      <c r="E1537" s="25">
        <f>SUMIFS('Daftar Koreksi'!$I$5:$I$92,'Daftar Koreksi'!$D$5:$D$92,'0300'!A1522,'Daftar Koreksi'!$G$5:$G$92,"Jalan Irigasi Jaringan",'Daftar Koreksi'!$I$5:$I$92,"&gt;0")</f>
        <v>0</v>
      </c>
      <c r="F1537" s="25">
        <f>SUMIFS('Daftar Koreksi'!$I$5:$I$92,'Daftar Koreksi'!$D$5:$D$92,'0300'!A1522,'Daftar Koreksi'!$G$5:$G$92,"Jalan Irigasi Jaringan",'Daftar Koreksi'!$I$5:$I$92,"&lt;0")-SUMIFS('Daftar Koreksi'!$I$5:$I$92,'Daftar Koreksi'!$D$5:$D$92,'0300'!A1522,'Daftar Koreksi'!$G$5:$G$92,"Jalan Irigasi Jaringan",'Daftar Koreksi'!$I$5:$I$92,"&lt;0")-SUMIFS('Daftar Koreksi'!$I$5:$I$92,'Daftar Koreksi'!$D$5:$D$92,'0300'!A1522,'Daftar Koreksi'!$G$5:$G$92,"Jalan Irigasi Jaringan",'Daftar Koreksi'!$I$5:$I$92,"&lt;0")</f>
        <v>0</v>
      </c>
      <c r="G1537" s="17">
        <f t="shared" si="69"/>
        <v>-40091440</v>
      </c>
      <c r="H1537" s="122"/>
    </row>
    <row r="1538" spans="1:8" ht="21.95" customHeight="1">
      <c r="A1538" s="14"/>
      <c r="B1538" s="14"/>
      <c r="C1538" s="16" t="s">
        <v>2090</v>
      </c>
      <c r="D1538" s="17">
        <f>VLOOKUP(A1522,'Neraca Unaudited SIMAK'!$A$2:$S$10004,16,FALSE)</f>
        <v>0</v>
      </c>
      <c r="E1538" s="25">
        <f>SUMIFS('Daftar Koreksi'!$I$5:$I$92,'Daftar Koreksi'!$D$5:$D$92,'0300'!A1522,'Daftar Koreksi'!$G$5:$G$92,"Aset Tetap Lainnya",'Daftar Koreksi'!$I$5:$I$92,"&gt;0")</f>
        <v>0</v>
      </c>
      <c r="F1538" s="25">
        <f>SUMIFS('Daftar Koreksi'!$I$5:$I$92,'Daftar Koreksi'!$D$5:$D$92,'0300'!A1522,'Daftar Koreksi'!$G$5:$G$92,"Aset Tetap Lainnya",'Daftar Koreksi'!$I$5:$I$92,"&lt;0")-SUMIFS('Daftar Koreksi'!$I$5:$I$92,'Daftar Koreksi'!$D$5:$D$92,'0300'!A1522,'Daftar Koreksi'!$G$5:$G$92,"Aset Tetap Lainnya",'Daftar Koreksi'!$I$5:$I$92,"&lt;0")-SUMIFS('Daftar Koreksi'!$I$5:$I$92,'Daftar Koreksi'!$D$5:$D$92,'0300'!A1522,'Daftar Koreksi'!$G$5:$G$92,"Aset Tetap Lainnya",'Daftar Koreksi'!$I$5:$I$92,"&lt;0")</f>
        <v>0</v>
      </c>
      <c r="G1538" s="17">
        <f t="shared" si="69"/>
        <v>0</v>
      </c>
      <c r="H1538" s="122"/>
    </row>
    <row r="1539" spans="1:8" ht="21.95" customHeight="1">
      <c r="A1539" s="14"/>
      <c r="B1539" s="14"/>
      <c r="C1539" s="16" t="s">
        <v>2020</v>
      </c>
      <c r="D1539" s="17">
        <f>VLOOKUP(A1522,'Neraca Unaudited SIMAK'!$A$2:$S$10004,17,FALSE)</f>
        <v>0</v>
      </c>
      <c r="E1539" s="25">
        <f>SUMIFS('Daftar Koreksi'!$I$5:$I$92,'Daftar Koreksi'!$D$5:$D$92,'0300'!A1522,'Daftar Koreksi'!$G$5:$G$92,"Aset Henti Guna",'Daftar Koreksi'!$I$5:$I$92,"&gt;0")</f>
        <v>0</v>
      </c>
      <c r="F1539" s="25">
        <f>SUMIFS('Daftar Koreksi'!$I$5:$I$92,'Daftar Koreksi'!$D$5:$D$92,'0300'!A1522,'Daftar Koreksi'!$G$5:$G$92,"Aset Henti Guna",'Daftar Koreksi'!$I$5:$I$92,"&lt;0")-SUMIFS('Daftar Koreksi'!$I$5:$I$92,'Daftar Koreksi'!$D$5:$D$92,'0300'!A1522,'Daftar Koreksi'!$G$5:$G$92,"Aset Henti Guna",'Daftar Koreksi'!$I$5:$I$92,"&lt;0")-SUMIFS('Daftar Koreksi'!$I$5:$I$92,'Daftar Koreksi'!$D$5:$D$92,'0300'!A1522,'Daftar Koreksi'!$G$5:$G$92,"Aset Henti Guna",'Daftar Koreksi'!$I$5:$I$92,"&lt;0")</f>
        <v>0</v>
      </c>
      <c r="G1539" s="17">
        <f t="shared" si="69"/>
        <v>0</v>
      </c>
      <c r="H1539" s="122"/>
    </row>
    <row r="1540" spans="1:8" ht="21.95" customHeight="1">
      <c r="A1540" s="14"/>
      <c r="B1540" s="14"/>
      <c r="C1540" s="18" t="s">
        <v>2094</v>
      </c>
      <c r="D1540" s="19">
        <f>SUM(D1535:D1539)</f>
        <v>-3940445537</v>
      </c>
      <c r="E1540" s="19">
        <f>SUM(E1535:E1539)</f>
        <v>0</v>
      </c>
      <c r="F1540" s="19">
        <f>SUM(F1535:F1539)</f>
        <v>0</v>
      </c>
      <c r="G1540" s="19">
        <f t="shared" si="69"/>
        <v>-3940445537</v>
      </c>
      <c r="H1540" s="122"/>
    </row>
    <row r="1541" spans="1:8" ht="21.95" customHeight="1">
      <c r="A1541" s="14"/>
      <c r="B1541" s="14"/>
      <c r="C1541" s="18" t="s">
        <v>2095</v>
      </c>
      <c r="D1541" s="19">
        <f>VLOOKUP(A1522,'Neraca Unaudited SIMAK'!$A$2:$S$10004,18,FALSE)</f>
        <v>3918451588</v>
      </c>
      <c r="E1541" s="19">
        <f>E1540+E1534</f>
        <v>0</v>
      </c>
      <c r="F1541" s="19">
        <f>F1540+F1534</f>
        <v>0</v>
      </c>
      <c r="G1541" s="19">
        <f t="shared" si="69"/>
        <v>3918451588</v>
      </c>
      <c r="H1541" s="122"/>
    </row>
    <row r="1542" spans="1:8" ht="21.95" customHeight="1">
      <c r="A1542" s="14"/>
      <c r="B1542" s="14"/>
      <c r="C1542" s="16" t="s">
        <v>2091</v>
      </c>
      <c r="D1542" s="17">
        <f>VLOOKUP(A1522,'Neraca Unaudited SIMAK'!$A$2:$S$10004,19,FALSE)</f>
        <v>0</v>
      </c>
      <c r="E1542" s="25"/>
      <c r="F1542" s="25"/>
      <c r="G1542" s="17">
        <f t="shared" si="69"/>
        <v>0</v>
      </c>
      <c r="H1542" s="123"/>
    </row>
    <row r="1544" spans="1:8" ht="19.5" customHeight="1">
      <c r="A1544" s="11" t="str">
        <f>O71</f>
        <v>005010300403015000KD</v>
      </c>
      <c r="B1544" s="11" t="str">
        <f>P71</f>
        <v>PA. Slawi</v>
      </c>
      <c r="C1544" s="12" t="str">
        <f>A1544&amp;" "&amp;B1544</f>
        <v>005010300403015000KD PA. Slawi</v>
      </c>
      <c r="D1544" s="13"/>
      <c r="E1544" s="13"/>
      <c r="F1544" s="13"/>
      <c r="G1544" s="13"/>
      <c r="H1544" s="11"/>
    </row>
    <row r="1545" spans="1:8" ht="21.95" customHeight="1">
      <c r="A1545" s="14"/>
      <c r="B1545" s="14"/>
      <c r="C1545" s="124" t="s">
        <v>1982</v>
      </c>
      <c r="D1545" s="126" t="s">
        <v>1983</v>
      </c>
      <c r="E1545" s="132" t="s">
        <v>1984</v>
      </c>
      <c r="F1545" s="132"/>
      <c r="G1545" s="126" t="s">
        <v>1987</v>
      </c>
      <c r="H1545" s="130" t="s">
        <v>1175</v>
      </c>
    </row>
    <row r="1546" spans="1:8" ht="21.95" customHeight="1">
      <c r="A1546" s="14"/>
      <c r="B1546" s="14"/>
      <c r="C1546" s="125"/>
      <c r="D1546" s="127"/>
      <c r="E1546" s="26" t="s">
        <v>1985</v>
      </c>
      <c r="F1546" s="26" t="s">
        <v>1986</v>
      </c>
      <c r="G1546" s="127"/>
      <c r="H1546" s="131"/>
    </row>
    <row r="1547" spans="1:8" ht="21.95" customHeight="1">
      <c r="A1547" s="14"/>
      <c r="B1547" s="14"/>
      <c r="C1547" s="16" t="s">
        <v>1165</v>
      </c>
      <c r="D1547" s="17">
        <f>VLOOKUP(A1544,'Neraca Unaudited SIMAK'!$A$2:$S$10004,3,FALSE)</f>
        <v>9493100</v>
      </c>
      <c r="E1547" s="25">
        <f>SUMIFS('Daftar Koreksi'!$H$5:$H$92,'Daftar Koreksi'!$D$5:$D$92,'0300'!A1544,'Daftar Koreksi'!$G$5:$G$92,"Persediaan",'Daftar Koreksi'!$H$5:$H$92,"&gt;0")</f>
        <v>0</v>
      </c>
      <c r="F1547" s="25">
        <f>SUMIFS('Daftar Koreksi'!$H$5:$H$92,'Daftar Koreksi'!$D$5:$D$92,'0300'!A1544,'Daftar Koreksi'!$G$5:$G$92,"Persediaan",'Daftar Koreksi'!$H$5:$H$92,"&lt;0")-SUMIFS('Daftar Koreksi'!$H$5:$H$92,'Daftar Koreksi'!$D$5:$D$92,'0300'!A1544,'Daftar Koreksi'!$G$5:$G$92,"Persediaan",'Daftar Koreksi'!$H$5:$H$92,"&lt;0")-SUMIFS('Daftar Koreksi'!$H$5:$H$92,'Daftar Koreksi'!$D$5:$D$92,'0300'!A1544,'Daftar Koreksi'!$G$5:$G$92,"Persediaan",'Daftar Koreksi'!$H$5:$H$92,"&lt;0")</f>
        <v>0</v>
      </c>
      <c r="G1547" s="17">
        <f>D1547+E1547-F1547</f>
        <v>9493100</v>
      </c>
      <c r="H1547" s="121" t="str">
        <f>IF(ISNA(VLOOKUP(A1544,'Mutasi Neraca'!$A$3:$S$914,19,FALSE)),"-",VLOOKUP(A1544,'Mutasi Neraca'!$A$3:$S$914,19,FALSE))</f>
        <v>-</v>
      </c>
    </row>
    <row r="1548" spans="1:8" ht="21.95" customHeight="1">
      <c r="A1548" s="14"/>
      <c r="B1548" s="14"/>
      <c r="C1548" s="16" t="s">
        <v>1166</v>
      </c>
      <c r="D1548" s="17">
        <f>VLOOKUP(A1544,'Neraca Unaudited SIMAK'!$A$2:$S$10004,4,FALSE)</f>
        <v>555000000</v>
      </c>
      <c r="E1548" s="25">
        <f>SUMIFS('Daftar Koreksi'!$H$5:$H$92,'Daftar Koreksi'!$D$5:$D$92,'0300'!A1544,'Daftar Koreksi'!$G$5:$G$92,"Tanah",'Daftar Koreksi'!$H$5:$H$92,"&gt;0")</f>
        <v>0</v>
      </c>
      <c r="F1548" s="25">
        <f>SUMIFS('Daftar Koreksi'!$H$5:$H$92,'Daftar Koreksi'!$D$5:$D$92,'0300'!A1544,'Daftar Koreksi'!$G$5:$G$92,"Tanah",'Daftar Koreksi'!$H$5:$H$92,"&lt;0")-SUMIFS('Daftar Koreksi'!$H$5:$H$92,'Daftar Koreksi'!$D$5:$D$92,'0300'!A1544,'Daftar Koreksi'!$G$5:$G$92,"Tanah",'Daftar Koreksi'!$H$5:$H$92,"&lt;0")-SUMIFS('Daftar Koreksi'!$H$5:$H$92,'Daftar Koreksi'!$D$5:$D$92,'0300'!A1544,'Daftar Koreksi'!$G$5:$G$92,"Tanah",'Daftar Koreksi'!$H$5:$H$92,"&lt;0")</f>
        <v>0</v>
      </c>
      <c r="G1548" s="17">
        <f t="shared" ref="G1548:G1564" si="70">D1548+E1548-F1548</f>
        <v>555000000</v>
      </c>
      <c r="H1548" s="122"/>
    </row>
    <row r="1549" spans="1:8" ht="21.95" customHeight="1">
      <c r="A1549" s="14"/>
      <c r="B1549" s="14"/>
      <c r="C1549" s="16" t="s">
        <v>1167</v>
      </c>
      <c r="D1549" s="17">
        <f>VLOOKUP(A1544,'Neraca Unaudited SIMAK'!$A$2:$S$10004,5,FALSE)</f>
        <v>1474093161</v>
      </c>
      <c r="E1549" s="25">
        <f>SUMIFS('Daftar Koreksi'!$H$5:$H$92,'Daftar Koreksi'!$D$5:$D$92,'0300'!A1544,'Daftar Koreksi'!$G$5:$G$92,"Peralatan dan mesin",'Daftar Koreksi'!$H$5:$H$92,"&gt;0")</f>
        <v>0</v>
      </c>
      <c r="F1549" s="25">
        <f>SUMIFS('Daftar Koreksi'!$H$5:$H$92,'Daftar Koreksi'!$D$5:$D$92,'0300'!A1544,'Daftar Koreksi'!$G$5:$G$92,"Peralatan dan mesin",'Daftar Koreksi'!$H$5:$H$92,"&lt;0")-SUMIFS('Daftar Koreksi'!$H$5:$H$92,'Daftar Koreksi'!$D$5:$D$92,'0300'!A1544,'Daftar Koreksi'!$G$5:$G$92,"Peralatan dan mesin",'Daftar Koreksi'!$H$5:$H$92,"&lt;0")-SUMIFS('Daftar Koreksi'!$H$5:$H$92,'Daftar Koreksi'!$D$5:$D$92,'0300'!A1544,'Daftar Koreksi'!$G$5:$G$92,"Peralatan dan mesin",'Daftar Koreksi'!$H$5:$H$92,"&lt;0")</f>
        <v>0</v>
      </c>
      <c r="G1549" s="17">
        <f t="shared" si="70"/>
        <v>1474093161</v>
      </c>
      <c r="H1549" s="122"/>
    </row>
    <row r="1550" spans="1:8" ht="21.95" customHeight="1">
      <c r="A1550" s="14"/>
      <c r="B1550" s="14"/>
      <c r="C1550" s="16" t="s">
        <v>1168</v>
      </c>
      <c r="D1550" s="17">
        <f>VLOOKUP(A1544,'Neraca Unaudited SIMAK'!$A$2:$S$10004,6,FALSE)</f>
        <v>4723082000</v>
      </c>
      <c r="E1550" s="25">
        <f>SUMIFS('Daftar Koreksi'!$H$5:$H$92,'Daftar Koreksi'!$D$5:$D$92,'0300'!A1544,'Daftar Koreksi'!$G$5:$G$92,"Gedung dan Bangunan",'Daftar Koreksi'!$H$5:$H$92,"&gt;0")</f>
        <v>0</v>
      </c>
      <c r="F1550" s="25">
        <f>SUMIFS('Daftar Koreksi'!$H$5:$H$92,'Daftar Koreksi'!$D$5:$D$92,'0300'!A1544,'Daftar Koreksi'!$G$5:$G$92,"Gedung dan Bangunan",'Daftar Koreksi'!$H$5:$H$92,"&lt;0")-SUMIFS('Daftar Koreksi'!$H$5:$H$92,'Daftar Koreksi'!$D$5:$D$92,'0300'!A1544,'Daftar Koreksi'!$G$5:$G$92,"Gedung dan Bangunan",'Daftar Koreksi'!$H$5:$H$92,"&lt;0")-SUMIFS('Daftar Koreksi'!$H$5:$H$92,'Daftar Koreksi'!$D$5:$D$92,'0300'!A1544,'Daftar Koreksi'!$G$5:$G$92,"Gedung dan Bangunan",'Daftar Koreksi'!$H$5:$H$92,"&lt;0")</f>
        <v>0</v>
      </c>
      <c r="G1550" s="17">
        <f t="shared" si="70"/>
        <v>4723082000</v>
      </c>
      <c r="H1550" s="122"/>
    </row>
    <row r="1551" spans="1:8" ht="21.95" customHeight="1">
      <c r="A1551" s="14"/>
      <c r="B1551" s="14"/>
      <c r="C1551" s="16" t="s">
        <v>1169</v>
      </c>
      <c r="D1551" s="17">
        <f>VLOOKUP(A1544,'Neraca Unaudited SIMAK'!$A$2:$S$10004,7,FALSE)</f>
        <v>0</v>
      </c>
      <c r="E1551" s="25">
        <f>SUMIFS('Daftar Koreksi'!$H$5:$H$92,'Daftar Koreksi'!$D$5:$D$92,'0300'!A1544,'Daftar Koreksi'!$G$5:$G$92,"Jalan Irigasi Jaringan",'Daftar Koreksi'!$H$5:$H$92,"&gt;0")</f>
        <v>0</v>
      </c>
      <c r="F1551" s="25">
        <f>SUMIFS('Daftar Koreksi'!$H$5:$H$92,'Daftar Koreksi'!$D$5:$D$92,'0300'!A1544,'Daftar Koreksi'!$G$5:$G$92,"Jalan Irigasi Jaringan",'Daftar Koreksi'!$H$5:$H$92,"&lt;0")-SUMIFS('Daftar Koreksi'!$H$5:$H$92,'Daftar Koreksi'!$D$5:$D$92,'0300'!A1544,'Daftar Koreksi'!$G$5:$G$92,"Jalan Irigasi Jaringan",'Daftar Koreksi'!$H$5:$H$92,"&lt;0")-SUMIFS('Daftar Koreksi'!$H$5:$H$92,'Daftar Koreksi'!$D$5:$D$92,'0300'!A1544,'Daftar Koreksi'!$G$5:$G$92,"Jalan Irigasi Jaringan",'Daftar Koreksi'!$H$5:$H$92,"&lt;0")</f>
        <v>0</v>
      </c>
      <c r="G1551" s="17">
        <f t="shared" si="70"/>
        <v>0</v>
      </c>
      <c r="H1551" s="122"/>
    </row>
    <row r="1552" spans="1:8" ht="21.95" customHeight="1">
      <c r="A1552" s="14"/>
      <c r="B1552" s="14"/>
      <c r="C1552" s="16" t="s">
        <v>1170</v>
      </c>
      <c r="D1552" s="17">
        <f>VLOOKUP(A1544,'Neraca Unaudited SIMAK'!$A$2:$S$10004,8,FALSE)</f>
        <v>3746576</v>
      </c>
      <c r="E1552" s="25">
        <f>SUMIFS('Daftar Koreksi'!$H$5:$H$92,'Daftar Koreksi'!$D$5:$D$92,'0300'!A1544,'Daftar Koreksi'!$G$5:$G$92,"Aset Tetap Lainnya",'Daftar Koreksi'!$H$5:$H$92,"&gt;0")</f>
        <v>0</v>
      </c>
      <c r="F1552" s="25">
        <f>SUMIFS('Daftar Koreksi'!$H$5:$H$92,'Daftar Koreksi'!$D$5:$D$92,'0300'!A1544,'Daftar Koreksi'!$G$5:$G$92,"Aset Tetap Lainnya",'Daftar Koreksi'!$H$5:$H$92,"&lt;0")-SUMIFS('Daftar Koreksi'!$H$5:$H$92,'Daftar Koreksi'!$D$5:$D$92,'0300'!A1544,'Daftar Koreksi'!$G$5:$G$92,"Aset Tetap Lainnya",'Daftar Koreksi'!$H$5:$H$92,"&lt;0")-SUMIFS('Daftar Koreksi'!$H$5:$H$92,'Daftar Koreksi'!$D$5:$D$92,'0300'!A1544,'Daftar Koreksi'!$G$5:$G$92,"Aset Tetap Lainnya",'Daftar Koreksi'!$H$5:$H$92,"&lt;0")</f>
        <v>0</v>
      </c>
      <c r="G1552" s="17">
        <f t="shared" si="70"/>
        <v>3746576</v>
      </c>
      <c r="H1552" s="122"/>
    </row>
    <row r="1553" spans="1:8" ht="21.95" customHeight="1">
      <c r="A1553" s="14"/>
      <c r="B1553" s="14"/>
      <c r="C1553" s="16" t="s">
        <v>1171</v>
      </c>
      <c r="D1553" s="17">
        <f>VLOOKUP(A1544,'Neraca Unaudited SIMAK'!$A$2:$S$10004,9,FALSE)</f>
        <v>0</v>
      </c>
      <c r="E1553" s="25">
        <f>SUMIFS('Daftar Koreksi'!$H$5:$H$92,'Daftar Koreksi'!$D$5:$D$92,'0300'!A1544,'Daftar Koreksi'!$G$5:$G$92,"Kontruksi Dalam Pengerjaan",'Daftar Koreksi'!$H$5:$H$92,"&gt;0")</f>
        <v>0</v>
      </c>
      <c r="F1553" s="25">
        <f>SUMIFS('Daftar Koreksi'!$H$5:$H$92,'Daftar Koreksi'!$D$5:$D$92,'0300'!A1544,'Daftar Koreksi'!$G$5:$G$92,"Kontruksi Dalam Pengerjaan",'Daftar Koreksi'!$H$5:$H$92,"&lt;0")-SUMIFS('Daftar Koreksi'!$H$5:$H$92,'Daftar Koreksi'!$D$5:$D$92,'0300'!A1544,'Daftar Koreksi'!$G$5:$G$92,"Kontruksi Dalam Pengerjaan",'Daftar Koreksi'!$H$5:$H$92,"&lt;0")-SUMIFS('Daftar Koreksi'!$H$5:$H$92,'Daftar Koreksi'!$D$5:$D$92,'0300'!A1544,'Daftar Koreksi'!$G$5:$G$92,"Kontruksi Dalam Pengerjaan",'Daftar Koreksi'!$H$5:$H$92,"&lt;0")</f>
        <v>0</v>
      </c>
      <c r="G1553" s="17">
        <f t="shared" si="70"/>
        <v>0</v>
      </c>
      <c r="H1553" s="122"/>
    </row>
    <row r="1554" spans="1:8" ht="21.95" customHeight="1">
      <c r="A1554" s="14"/>
      <c r="B1554" s="14"/>
      <c r="C1554" s="16" t="s">
        <v>1172</v>
      </c>
      <c r="D1554" s="17">
        <f>VLOOKUP(A1544,'Neraca Unaudited SIMAK'!$A$2:$S$10004,10,FALSE)</f>
        <v>2500000</v>
      </c>
      <c r="E1554" s="25">
        <f>SUMIFS('Daftar Koreksi'!$H$5:$H$92,'Daftar Koreksi'!$D$5:$D$92,'0300'!A1544,'Daftar Koreksi'!$G$5:$G$92,"Aset Tak Berwujud",'Daftar Koreksi'!$H$5:$H$92,"&gt;0")</f>
        <v>0</v>
      </c>
      <c r="F1554" s="25">
        <f>SUMIFS('Daftar Koreksi'!$H$5:$H$92,'Daftar Koreksi'!$D$5:$D$92,'0300'!A1544,'Daftar Koreksi'!$G$5:$G$92,"Aset Tak Berwujud",'Daftar Koreksi'!$H$5:$H$92,"&lt;0")-SUMIFS('Daftar Koreksi'!$H$5:$H$92,'Daftar Koreksi'!$D$5:$D$92,'0300'!A1544,'Daftar Koreksi'!$G$5:$G$92,"Aset Tak Berwujud",'Daftar Koreksi'!$H$5:$H$92,"&lt;0")-SUMIFS('Daftar Koreksi'!$H$5:$H$92,'Daftar Koreksi'!$D$5:$D$92,'0300'!A1544,'Daftar Koreksi'!$G$5:$G$92,"Aset Tak Berwujud",'Daftar Koreksi'!$H$5:$H$92,"&lt;0")</f>
        <v>0</v>
      </c>
      <c r="G1554" s="17">
        <f t="shared" si="70"/>
        <v>2500000</v>
      </c>
      <c r="H1554" s="122"/>
    </row>
    <row r="1555" spans="1:8" ht="21.95" customHeight="1">
      <c r="A1555" s="14"/>
      <c r="B1555" s="14"/>
      <c r="C1555" s="16" t="s">
        <v>1173</v>
      </c>
      <c r="D1555" s="17">
        <f>VLOOKUP(A1544,'Neraca Unaudited SIMAK'!$A$2:$S$10004,11,FALSE)</f>
        <v>53598940</v>
      </c>
      <c r="E1555" s="25">
        <f>SUMIFS('Daftar Koreksi'!$H$5:$H$92,'Daftar Koreksi'!$D$5:$D$92,'0300'!A1544,'Daftar Koreksi'!$G$5:$G$92,"Aset Henti Guna",'Daftar Koreksi'!$H$5:$H$92,"&gt;0")</f>
        <v>0</v>
      </c>
      <c r="F1555" s="25">
        <f>SUMIFS('Daftar Koreksi'!$H$5:$H$92,'Daftar Koreksi'!$D$5:$D$92,'0300'!A1544,'Daftar Koreksi'!$G$5:$G$92,"Aset Henti Guna",'Daftar Koreksi'!$H$5:$H$92,"&lt;0")-SUMIFS('Daftar Koreksi'!$H$5:$H$92,'Daftar Koreksi'!$D$5:$D$92,'0300'!A1544,'Daftar Koreksi'!$G$5:$G$92,"Aset Henti Guna",'Daftar Koreksi'!$H$5:$H$92,"&lt;0")-SUMIFS('Daftar Koreksi'!$H$5:$H$92,'Daftar Koreksi'!$D$5:$D$92,'0300'!A1544,'Daftar Koreksi'!$G$5:$G$92,"Aset Henti Guna",'Daftar Koreksi'!$H$5:$H$92,"&lt;0")</f>
        <v>0</v>
      </c>
      <c r="G1555" s="17">
        <f t="shared" si="70"/>
        <v>53598940</v>
      </c>
      <c r="H1555" s="122"/>
    </row>
    <row r="1556" spans="1:8" ht="21.95" customHeight="1">
      <c r="A1556" s="14"/>
      <c r="B1556" s="14"/>
      <c r="C1556" s="18" t="s">
        <v>2093</v>
      </c>
      <c r="D1556" s="19">
        <f>VLOOKUP(A1544,'Neraca Unaudited SIMAK'!$A$2:$S$10004,12,FALSE)</f>
        <v>6821513777</v>
      </c>
      <c r="E1556" s="19">
        <f>SUM(E1547:E1555)</f>
        <v>0</v>
      </c>
      <c r="F1556" s="19">
        <f>SUM(F1547:F1555)</f>
        <v>0</v>
      </c>
      <c r="G1556" s="19">
        <f t="shared" si="70"/>
        <v>6821513777</v>
      </c>
      <c r="H1556" s="122"/>
    </row>
    <row r="1557" spans="1:8" ht="21.95" customHeight="1">
      <c r="A1557" s="14"/>
      <c r="B1557" s="14"/>
      <c r="C1557" s="16" t="s">
        <v>2087</v>
      </c>
      <c r="D1557" s="17">
        <f>VLOOKUP(A1544,'Neraca Unaudited SIMAK'!$A$2:$S$10004,13,FALSE)</f>
        <v>-1152556945</v>
      </c>
      <c r="E1557" s="25">
        <f>SUMIFS('Daftar Koreksi'!$I$5:$I$92,'Daftar Koreksi'!$D$5:$D$92,'0300'!A1544,'Daftar Koreksi'!$G$5:$G$92,"Peralatan dan mesin",'Daftar Koreksi'!$I$5:$I$92,"&gt;0")</f>
        <v>0</v>
      </c>
      <c r="F1557" s="25">
        <f>SUMIFS('Daftar Koreksi'!$I$5:$I$92,'Daftar Koreksi'!$D$5:$D$92,'0300'!A1544,'Daftar Koreksi'!$G$5:$G$92,"Peralatan dan mesin",'Daftar Koreksi'!$I$5:$I$92,"&lt;0")-SUMIFS('Daftar Koreksi'!$I$5:$I$92,'Daftar Koreksi'!$D$5:$D$92,'0300'!A1544,'Daftar Koreksi'!$G$5:$G$92,"Peralatan dan mesin",'Daftar Koreksi'!$I$5:$I$92,"&lt;0")-SUMIFS('Daftar Koreksi'!$I$5:$I$92,'Daftar Koreksi'!$D$5:$D$92,'0300'!A1544,'Daftar Koreksi'!$G$5:$G$92,"Peralatan dan mesin",'Daftar Koreksi'!$I$5:$I$92,"&lt;0")</f>
        <v>0</v>
      </c>
      <c r="G1557" s="17">
        <f t="shared" si="70"/>
        <v>-1152556945</v>
      </c>
      <c r="H1557" s="122"/>
    </row>
    <row r="1558" spans="1:8" ht="21.95" customHeight="1">
      <c r="A1558" s="14"/>
      <c r="B1558" s="14"/>
      <c r="C1558" s="16" t="s">
        <v>2088</v>
      </c>
      <c r="D1558" s="17">
        <f>VLOOKUP(A1544,'Neraca Unaudited SIMAK'!$A$2:$S$10004,14,FALSE)</f>
        <v>-831897500</v>
      </c>
      <c r="E1558" s="25">
        <f>SUMIFS('Daftar Koreksi'!$I$5:$I$92,'Daftar Koreksi'!$D$5:$D$92,'0300'!A1544,'Daftar Koreksi'!$G$5:$G$92,"Gedung dan Bangunan",'Daftar Koreksi'!$I$5:$I$92,"&gt;0")</f>
        <v>0</v>
      </c>
      <c r="F1558" s="25">
        <f>SUMIFS('Daftar Koreksi'!$I$5:$I$92,'Daftar Koreksi'!$D$5:$D$92,'0300'!A1544,'Daftar Koreksi'!$G$5:$G$92,"Gedung dan Bangunan",'Daftar Koreksi'!$I$5:$I$92,"&lt;0")-SUMIFS('Daftar Koreksi'!$I$5:$I$92,'Daftar Koreksi'!$D$5:$D$92,'0300'!A1544,'Daftar Koreksi'!$G$5:$G$92,"Gedung dan Bangunan",'Daftar Koreksi'!$I$5:$I$92,"&lt;0")-SUMIFS('Daftar Koreksi'!$I$5:$I$92,'Daftar Koreksi'!$D$5:$D$92,'0300'!A1544,'Daftar Koreksi'!$G$5:$G$92,"Gedung dan Bangunan",'Daftar Koreksi'!$I$5:$I$92,"&lt;0")</f>
        <v>0</v>
      </c>
      <c r="G1558" s="17">
        <f t="shared" si="70"/>
        <v>-831897500</v>
      </c>
      <c r="H1558" s="122"/>
    </row>
    <row r="1559" spans="1:8" ht="21.95" customHeight="1">
      <c r="A1559" s="14"/>
      <c r="B1559" s="14"/>
      <c r="C1559" s="16" t="s">
        <v>2089</v>
      </c>
      <c r="D1559" s="17">
        <f>VLOOKUP(A1544,'Neraca Unaudited SIMAK'!$A$2:$S$10004,15,FALSE)</f>
        <v>0</v>
      </c>
      <c r="E1559" s="25">
        <f>SUMIFS('Daftar Koreksi'!$I$5:$I$92,'Daftar Koreksi'!$D$5:$D$92,'0300'!A1544,'Daftar Koreksi'!$G$5:$G$92,"Jalan Irigasi Jaringan",'Daftar Koreksi'!$I$5:$I$92,"&gt;0")</f>
        <v>0</v>
      </c>
      <c r="F1559" s="25">
        <f>SUMIFS('Daftar Koreksi'!$I$5:$I$92,'Daftar Koreksi'!$D$5:$D$92,'0300'!A1544,'Daftar Koreksi'!$G$5:$G$92,"Jalan Irigasi Jaringan",'Daftar Koreksi'!$I$5:$I$92,"&lt;0")-SUMIFS('Daftar Koreksi'!$I$5:$I$92,'Daftar Koreksi'!$D$5:$D$92,'0300'!A1544,'Daftar Koreksi'!$G$5:$G$92,"Jalan Irigasi Jaringan",'Daftar Koreksi'!$I$5:$I$92,"&lt;0")-SUMIFS('Daftar Koreksi'!$I$5:$I$92,'Daftar Koreksi'!$D$5:$D$92,'0300'!A1544,'Daftar Koreksi'!$G$5:$G$92,"Jalan Irigasi Jaringan",'Daftar Koreksi'!$I$5:$I$92,"&lt;0")</f>
        <v>0</v>
      </c>
      <c r="G1559" s="17">
        <f t="shared" si="70"/>
        <v>0</v>
      </c>
      <c r="H1559" s="122"/>
    </row>
    <row r="1560" spans="1:8" ht="21.95" customHeight="1">
      <c r="A1560" s="14"/>
      <c r="B1560" s="14"/>
      <c r="C1560" s="16" t="s">
        <v>2090</v>
      </c>
      <c r="D1560" s="17">
        <f>VLOOKUP(A1544,'Neraca Unaudited SIMAK'!$A$2:$S$10004,16,FALSE)</f>
        <v>0</v>
      </c>
      <c r="E1560" s="25">
        <f>SUMIFS('Daftar Koreksi'!$I$5:$I$92,'Daftar Koreksi'!$D$5:$D$92,'0300'!A1544,'Daftar Koreksi'!$G$5:$G$92,"Aset Tetap Lainnya",'Daftar Koreksi'!$I$5:$I$92,"&gt;0")</f>
        <v>0</v>
      </c>
      <c r="F1560" s="25">
        <f>SUMIFS('Daftar Koreksi'!$I$5:$I$92,'Daftar Koreksi'!$D$5:$D$92,'0300'!A1544,'Daftar Koreksi'!$G$5:$G$92,"Aset Tetap Lainnya",'Daftar Koreksi'!$I$5:$I$92,"&lt;0")-SUMIFS('Daftar Koreksi'!$I$5:$I$92,'Daftar Koreksi'!$D$5:$D$92,'0300'!A1544,'Daftar Koreksi'!$G$5:$G$92,"Aset Tetap Lainnya",'Daftar Koreksi'!$I$5:$I$92,"&lt;0")-SUMIFS('Daftar Koreksi'!$I$5:$I$92,'Daftar Koreksi'!$D$5:$D$92,'0300'!A1544,'Daftar Koreksi'!$G$5:$G$92,"Aset Tetap Lainnya",'Daftar Koreksi'!$I$5:$I$92,"&lt;0")</f>
        <v>0</v>
      </c>
      <c r="G1560" s="17">
        <f t="shared" si="70"/>
        <v>0</v>
      </c>
      <c r="H1560" s="122"/>
    </row>
    <row r="1561" spans="1:8" ht="21.95" customHeight="1">
      <c r="A1561" s="14"/>
      <c r="B1561" s="14"/>
      <c r="C1561" s="16" t="s">
        <v>2020</v>
      </c>
      <c r="D1561" s="17">
        <f>VLOOKUP(A1544,'Neraca Unaudited SIMAK'!$A$2:$S$10004,17,FALSE)</f>
        <v>-53453940</v>
      </c>
      <c r="E1561" s="25">
        <f>SUMIFS('Daftar Koreksi'!$I$5:$I$92,'Daftar Koreksi'!$D$5:$D$92,'0300'!A1544,'Daftar Koreksi'!$G$5:$G$92,"Aset Henti Guna",'Daftar Koreksi'!$I$5:$I$92,"&gt;0")</f>
        <v>0</v>
      </c>
      <c r="F1561" s="25">
        <f>SUMIFS('Daftar Koreksi'!$I$5:$I$92,'Daftar Koreksi'!$D$5:$D$92,'0300'!A1544,'Daftar Koreksi'!$G$5:$G$92,"Aset Henti Guna",'Daftar Koreksi'!$I$5:$I$92,"&lt;0")-SUMIFS('Daftar Koreksi'!$I$5:$I$92,'Daftar Koreksi'!$D$5:$D$92,'0300'!A1544,'Daftar Koreksi'!$G$5:$G$92,"Aset Henti Guna",'Daftar Koreksi'!$I$5:$I$92,"&lt;0")-SUMIFS('Daftar Koreksi'!$I$5:$I$92,'Daftar Koreksi'!$D$5:$D$92,'0300'!A1544,'Daftar Koreksi'!$G$5:$G$92,"Aset Henti Guna",'Daftar Koreksi'!$I$5:$I$92,"&lt;0")</f>
        <v>0</v>
      </c>
      <c r="G1561" s="17">
        <f t="shared" si="70"/>
        <v>-53453940</v>
      </c>
      <c r="H1561" s="122"/>
    </row>
    <row r="1562" spans="1:8" ht="21.95" customHeight="1">
      <c r="A1562" s="14"/>
      <c r="B1562" s="14"/>
      <c r="C1562" s="18" t="s">
        <v>2094</v>
      </c>
      <c r="D1562" s="19">
        <f>SUM(D1557:D1561)</f>
        <v>-2037908385</v>
      </c>
      <c r="E1562" s="19">
        <f>SUM(E1557:E1561)</f>
        <v>0</v>
      </c>
      <c r="F1562" s="19">
        <f>SUM(F1557:F1561)</f>
        <v>0</v>
      </c>
      <c r="G1562" s="19">
        <f t="shared" si="70"/>
        <v>-2037908385</v>
      </c>
      <c r="H1562" s="122"/>
    </row>
    <row r="1563" spans="1:8" ht="21.95" customHeight="1">
      <c r="A1563" s="14"/>
      <c r="B1563" s="14"/>
      <c r="C1563" s="18" t="s">
        <v>2095</v>
      </c>
      <c r="D1563" s="19">
        <f>VLOOKUP(A1544,'Neraca Unaudited SIMAK'!$A$2:$S$10004,18,FALSE)</f>
        <v>4783605392</v>
      </c>
      <c r="E1563" s="19">
        <f>E1562+E1556</f>
        <v>0</v>
      </c>
      <c r="F1563" s="19">
        <f>F1562+F1556</f>
        <v>0</v>
      </c>
      <c r="G1563" s="19">
        <f t="shared" si="70"/>
        <v>4783605392</v>
      </c>
      <c r="H1563" s="122"/>
    </row>
    <row r="1564" spans="1:8" ht="21.95" customHeight="1">
      <c r="A1564" s="14"/>
      <c r="B1564" s="14"/>
      <c r="C1564" s="16" t="s">
        <v>2091</v>
      </c>
      <c r="D1564" s="17">
        <f>VLOOKUP(A1544,'Neraca Unaudited SIMAK'!$A$2:$S$10004,19,FALSE)</f>
        <v>0</v>
      </c>
      <c r="E1564" s="25"/>
      <c r="F1564" s="25"/>
      <c r="G1564" s="17">
        <f t="shared" si="70"/>
        <v>0</v>
      </c>
      <c r="H1564" s="123"/>
    </row>
    <row r="1566" spans="1:8" ht="19.5" customHeight="1">
      <c r="A1566" s="11" t="str">
        <f>O72</f>
        <v>005010300403021000KD</v>
      </c>
      <c r="B1566" s="11" t="str">
        <f>P72</f>
        <v>PA. Mungkid</v>
      </c>
      <c r="C1566" s="12" t="str">
        <f>A1566&amp;" "&amp;B1566</f>
        <v>005010300403021000KD PA. Mungkid</v>
      </c>
      <c r="D1566" s="13"/>
      <c r="E1566" s="13"/>
      <c r="F1566" s="13"/>
      <c r="G1566" s="13"/>
      <c r="H1566" s="11"/>
    </row>
    <row r="1567" spans="1:8" ht="21.95" customHeight="1">
      <c r="A1567" s="14"/>
      <c r="B1567" s="14"/>
      <c r="C1567" s="124" t="s">
        <v>1982</v>
      </c>
      <c r="D1567" s="126" t="s">
        <v>1983</v>
      </c>
      <c r="E1567" s="132" t="s">
        <v>1984</v>
      </c>
      <c r="F1567" s="132"/>
      <c r="G1567" s="126" t="s">
        <v>1987</v>
      </c>
      <c r="H1567" s="130" t="s">
        <v>1175</v>
      </c>
    </row>
    <row r="1568" spans="1:8" ht="21.95" customHeight="1">
      <c r="A1568" s="14"/>
      <c r="B1568" s="14"/>
      <c r="C1568" s="125"/>
      <c r="D1568" s="127"/>
      <c r="E1568" s="26" t="s">
        <v>1985</v>
      </c>
      <c r="F1568" s="26" t="s">
        <v>1986</v>
      </c>
      <c r="G1568" s="127"/>
      <c r="H1568" s="131"/>
    </row>
    <row r="1569" spans="1:8" ht="21.95" customHeight="1">
      <c r="A1569" s="14"/>
      <c r="B1569" s="14"/>
      <c r="C1569" s="16" t="s">
        <v>1165</v>
      </c>
      <c r="D1569" s="17">
        <f>VLOOKUP(A1566,'Neraca Unaudited SIMAK'!$A$2:$S$10004,3,FALSE)</f>
        <v>5162590</v>
      </c>
      <c r="E1569" s="25">
        <f>SUMIFS('Daftar Koreksi'!$H$5:$H$92,'Daftar Koreksi'!$D$5:$D$92,'0300'!A1566,'Daftar Koreksi'!$G$5:$G$92,"Persediaan",'Daftar Koreksi'!$H$5:$H$92,"&gt;0")</f>
        <v>0</v>
      </c>
      <c r="F1569" s="25">
        <f>SUMIFS('Daftar Koreksi'!$H$5:$H$92,'Daftar Koreksi'!$D$5:$D$92,'0300'!A1566,'Daftar Koreksi'!$G$5:$G$92,"Persediaan",'Daftar Koreksi'!$H$5:$H$92,"&lt;0")-SUMIFS('Daftar Koreksi'!$H$5:$H$92,'Daftar Koreksi'!$D$5:$D$92,'0300'!A1566,'Daftar Koreksi'!$G$5:$G$92,"Persediaan",'Daftar Koreksi'!$H$5:$H$92,"&lt;0")-SUMIFS('Daftar Koreksi'!$H$5:$H$92,'Daftar Koreksi'!$D$5:$D$92,'0300'!A1566,'Daftar Koreksi'!$G$5:$G$92,"Persediaan",'Daftar Koreksi'!$H$5:$H$92,"&lt;0")</f>
        <v>0</v>
      </c>
      <c r="G1569" s="17">
        <f>D1569+E1569-F1569</f>
        <v>5162590</v>
      </c>
      <c r="H1569" s="121" t="str">
        <f>IF(ISNA(VLOOKUP(A1566,'Mutasi Neraca'!$A$3:$S$914,19,FALSE)),"-",VLOOKUP(A1566,'Mutasi Neraca'!$A$3:$S$914,19,FALSE))</f>
        <v>-</v>
      </c>
    </row>
    <row r="1570" spans="1:8" ht="21.95" customHeight="1">
      <c r="A1570" s="14"/>
      <c r="B1570" s="14"/>
      <c r="C1570" s="16" t="s">
        <v>1166</v>
      </c>
      <c r="D1570" s="17">
        <f>VLOOKUP(A1566,'Neraca Unaudited SIMAK'!$A$2:$S$10004,4,FALSE)</f>
        <v>833000000</v>
      </c>
      <c r="E1570" s="25">
        <f>SUMIFS('Daftar Koreksi'!$H$5:$H$92,'Daftar Koreksi'!$D$5:$D$92,'0300'!A1566,'Daftar Koreksi'!$G$5:$G$92,"Tanah",'Daftar Koreksi'!$H$5:$H$92,"&gt;0")</f>
        <v>0</v>
      </c>
      <c r="F1570" s="25">
        <f>SUMIFS('Daftar Koreksi'!$H$5:$H$92,'Daftar Koreksi'!$D$5:$D$92,'0300'!A1566,'Daftar Koreksi'!$G$5:$G$92,"Tanah",'Daftar Koreksi'!$H$5:$H$92,"&lt;0")-SUMIFS('Daftar Koreksi'!$H$5:$H$92,'Daftar Koreksi'!$D$5:$D$92,'0300'!A1566,'Daftar Koreksi'!$G$5:$G$92,"Tanah",'Daftar Koreksi'!$H$5:$H$92,"&lt;0")-SUMIFS('Daftar Koreksi'!$H$5:$H$92,'Daftar Koreksi'!$D$5:$D$92,'0300'!A1566,'Daftar Koreksi'!$G$5:$G$92,"Tanah",'Daftar Koreksi'!$H$5:$H$92,"&lt;0")</f>
        <v>0</v>
      </c>
      <c r="G1570" s="17">
        <f t="shared" ref="G1570:G1586" si="71">D1570+E1570-F1570</f>
        <v>833000000</v>
      </c>
      <c r="H1570" s="122"/>
    </row>
    <row r="1571" spans="1:8" ht="21.95" customHeight="1">
      <c r="A1571" s="14"/>
      <c r="B1571" s="14"/>
      <c r="C1571" s="16" t="s">
        <v>1167</v>
      </c>
      <c r="D1571" s="17">
        <f>VLOOKUP(A1566,'Neraca Unaudited SIMAK'!$A$2:$S$10004,5,FALSE)</f>
        <v>1500713700</v>
      </c>
      <c r="E1571" s="25">
        <f>SUMIFS('Daftar Koreksi'!$H$5:$H$92,'Daftar Koreksi'!$D$5:$D$92,'0300'!A1566,'Daftar Koreksi'!$G$5:$G$92,"Peralatan dan mesin",'Daftar Koreksi'!$H$5:$H$92,"&gt;0")</f>
        <v>0</v>
      </c>
      <c r="F1571" s="25">
        <f>SUMIFS('Daftar Koreksi'!$H$5:$H$92,'Daftar Koreksi'!$D$5:$D$92,'0300'!A1566,'Daftar Koreksi'!$G$5:$G$92,"Peralatan dan mesin",'Daftar Koreksi'!$H$5:$H$92,"&lt;0")-SUMIFS('Daftar Koreksi'!$H$5:$H$92,'Daftar Koreksi'!$D$5:$D$92,'0300'!A1566,'Daftar Koreksi'!$G$5:$G$92,"Peralatan dan mesin",'Daftar Koreksi'!$H$5:$H$92,"&lt;0")-SUMIFS('Daftar Koreksi'!$H$5:$H$92,'Daftar Koreksi'!$D$5:$D$92,'0300'!A1566,'Daftar Koreksi'!$G$5:$G$92,"Peralatan dan mesin",'Daftar Koreksi'!$H$5:$H$92,"&lt;0")</f>
        <v>0</v>
      </c>
      <c r="G1571" s="17">
        <f t="shared" si="71"/>
        <v>1500713700</v>
      </c>
      <c r="H1571" s="122"/>
    </row>
    <row r="1572" spans="1:8" ht="21.95" customHeight="1">
      <c r="A1572" s="14"/>
      <c r="B1572" s="14"/>
      <c r="C1572" s="16" t="s">
        <v>1168</v>
      </c>
      <c r="D1572" s="17">
        <f>VLOOKUP(A1566,'Neraca Unaudited SIMAK'!$A$2:$S$10004,6,FALSE)</f>
        <v>4381108000</v>
      </c>
      <c r="E1572" s="25">
        <f>SUMIFS('Daftar Koreksi'!$H$5:$H$92,'Daftar Koreksi'!$D$5:$D$92,'0300'!A1566,'Daftar Koreksi'!$G$5:$G$92,"Gedung dan Bangunan",'Daftar Koreksi'!$H$5:$H$92,"&gt;0")</f>
        <v>0</v>
      </c>
      <c r="F1572" s="25">
        <f>SUMIFS('Daftar Koreksi'!$H$5:$H$92,'Daftar Koreksi'!$D$5:$D$92,'0300'!A1566,'Daftar Koreksi'!$G$5:$G$92,"Gedung dan Bangunan",'Daftar Koreksi'!$H$5:$H$92,"&lt;0")-SUMIFS('Daftar Koreksi'!$H$5:$H$92,'Daftar Koreksi'!$D$5:$D$92,'0300'!A1566,'Daftar Koreksi'!$G$5:$G$92,"Gedung dan Bangunan",'Daftar Koreksi'!$H$5:$H$92,"&lt;0")-SUMIFS('Daftar Koreksi'!$H$5:$H$92,'Daftar Koreksi'!$D$5:$D$92,'0300'!A1566,'Daftar Koreksi'!$G$5:$G$92,"Gedung dan Bangunan",'Daftar Koreksi'!$H$5:$H$92,"&lt;0")</f>
        <v>0</v>
      </c>
      <c r="G1572" s="17">
        <f t="shared" si="71"/>
        <v>4381108000</v>
      </c>
      <c r="H1572" s="122"/>
    </row>
    <row r="1573" spans="1:8" ht="21.95" customHeight="1">
      <c r="A1573" s="14"/>
      <c r="B1573" s="14"/>
      <c r="C1573" s="16" t="s">
        <v>1169</v>
      </c>
      <c r="D1573" s="17">
        <f>VLOOKUP(A1566,'Neraca Unaudited SIMAK'!$A$2:$S$10004,7,FALSE)</f>
        <v>24650000</v>
      </c>
      <c r="E1573" s="25">
        <f>SUMIFS('Daftar Koreksi'!$H$5:$H$92,'Daftar Koreksi'!$D$5:$D$92,'0300'!A1566,'Daftar Koreksi'!$G$5:$G$92,"Jalan Irigasi Jaringan",'Daftar Koreksi'!$H$5:$H$92,"&gt;0")</f>
        <v>0</v>
      </c>
      <c r="F1573" s="25">
        <f>SUMIFS('Daftar Koreksi'!$H$5:$H$92,'Daftar Koreksi'!$D$5:$D$92,'0300'!A1566,'Daftar Koreksi'!$G$5:$G$92,"Jalan Irigasi Jaringan",'Daftar Koreksi'!$H$5:$H$92,"&lt;0")-SUMIFS('Daftar Koreksi'!$H$5:$H$92,'Daftar Koreksi'!$D$5:$D$92,'0300'!A1566,'Daftar Koreksi'!$G$5:$G$92,"Jalan Irigasi Jaringan",'Daftar Koreksi'!$H$5:$H$92,"&lt;0")-SUMIFS('Daftar Koreksi'!$H$5:$H$92,'Daftar Koreksi'!$D$5:$D$92,'0300'!A1566,'Daftar Koreksi'!$G$5:$G$92,"Jalan Irigasi Jaringan",'Daftar Koreksi'!$H$5:$H$92,"&lt;0")</f>
        <v>0</v>
      </c>
      <c r="G1573" s="17">
        <f t="shared" si="71"/>
        <v>24650000</v>
      </c>
      <c r="H1573" s="122"/>
    </row>
    <row r="1574" spans="1:8" ht="21.95" customHeight="1">
      <c r="A1574" s="14"/>
      <c r="B1574" s="14"/>
      <c r="C1574" s="16" t="s">
        <v>1170</v>
      </c>
      <c r="D1574" s="17">
        <f>VLOOKUP(A1566,'Neraca Unaudited SIMAK'!$A$2:$S$10004,8,FALSE)</f>
        <v>4184580</v>
      </c>
      <c r="E1574" s="25">
        <f>SUMIFS('Daftar Koreksi'!$H$5:$H$92,'Daftar Koreksi'!$D$5:$D$92,'0300'!A1566,'Daftar Koreksi'!$G$5:$G$92,"Aset Tetap Lainnya",'Daftar Koreksi'!$H$5:$H$92,"&gt;0")</f>
        <v>0</v>
      </c>
      <c r="F1574" s="25">
        <f>SUMIFS('Daftar Koreksi'!$H$5:$H$92,'Daftar Koreksi'!$D$5:$D$92,'0300'!A1566,'Daftar Koreksi'!$G$5:$G$92,"Aset Tetap Lainnya",'Daftar Koreksi'!$H$5:$H$92,"&lt;0")-SUMIFS('Daftar Koreksi'!$H$5:$H$92,'Daftar Koreksi'!$D$5:$D$92,'0300'!A1566,'Daftar Koreksi'!$G$5:$G$92,"Aset Tetap Lainnya",'Daftar Koreksi'!$H$5:$H$92,"&lt;0")-SUMIFS('Daftar Koreksi'!$H$5:$H$92,'Daftar Koreksi'!$D$5:$D$92,'0300'!A1566,'Daftar Koreksi'!$G$5:$G$92,"Aset Tetap Lainnya",'Daftar Koreksi'!$H$5:$H$92,"&lt;0")</f>
        <v>0</v>
      </c>
      <c r="G1574" s="17">
        <f t="shared" si="71"/>
        <v>4184580</v>
      </c>
      <c r="H1574" s="122"/>
    </row>
    <row r="1575" spans="1:8" ht="21.95" customHeight="1">
      <c r="A1575" s="14"/>
      <c r="B1575" s="14"/>
      <c r="C1575" s="16" t="s">
        <v>1171</v>
      </c>
      <c r="D1575" s="17">
        <f>VLOOKUP(A1566,'Neraca Unaudited SIMAK'!$A$2:$S$10004,9,FALSE)</f>
        <v>0</v>
      </c>
      <c r="E1575" s="25">
        <f>SUMIFS('Daftar Koreksi'!$H$5:$H$92,'Daftar Koreksi'!$D$5:$D$92,'0300'!A1566,'Daftar Koreksi'!$G$5:$G$92,"Kontruksi Dalam Pengerjaan",'Daftar Koreksi'!$H$5:$H$92,"&gt;0")</f>
        <v>0</v>
      </c>
      <c r="F1575" s="25">
        <f>SUMIFS('Daftar Koreksi'!$H$5:$H$92,'Daftar Koreksi'!$D$5:$D$92,'0300'!A1566,'Daftar Koreksi'!$G$5:$G$92,"Kontruksi Dalam Pengerjaan",'Daftar Koreksi'!$H$5:$H$92,"&lt;0")-SUMIFS('Daftar Koreksi'!$H$5:$H$92,'Daftar Koreksi'!$D$5:$D$92,'0300'!A1566,'Daftar Koreksi'!$G$5:$G$92,"Kontruksi Dalam Pengerjaan",'Daftar Koreksi'!$H$5:$H$92,"&lt;0")-SUMIFS('Daftar Koreksi'!$H$5:$H$92,'Daftar Koreksi'!$D$5:$D$92,'0300'!A1566,'Daftar Koreksi'!$G$5:$G$92,"Kontruksi Dalam Pengerjaan",'Daftar Koreksi'!$H$5:$H$92,"&lt;0")</f>
        <v>0</v>
      </c>
      <c r="G1575" s="17">
        <f t="shared" si="71"/>
        <v>0</v>
      </c>
      <c r="H1575" s="122"/>
    </row>
    <row r="1576" spans="1:8" ht="21.95" customHeight="1">
      <c r="A1576" s="14"/>
      <c r="B1576" s="14"/>
      <c r="C1576" s="16" t="s">
        <v>1172</v>
      </c>
      <c r="D1576" s="17">
        <f>VLOOKUP(A1566,'Neraca Unaudited SIMAK'!$A$2:$S$10004,10,FALSE)</f>
        <v>0</v>
      </c>
      <c r="E1576" s="25">
        <f>SUMIFS('Daftar Koreksi'!$H$5:$H$92,'Daftar Koreksi'!$D$5:$D$92,'0300'!A1566,'Daftar Koreksi'!$G$5:$G$92,"Aset Tak Berwujud",'Daftar Koreksi'!$H$5:$H$92,"&gt;0")</f>
        <v>0</v>
      </c>
      <c r="F1576" s="25">
        <f>SUMIFS('Daftar Koreksi'!$H$5:$H$92,'Daftar Koreksi'!$D$5:$D$92,'0300'!A1566,'Daftar Koreksi'!$G$5:$G$92,"Aset Tak Berwujud",'Daftar Koreksi'!$H$5:$H$92,"&lt;0")-SUMIFS('Daftar Koreksi'!$H$5:$H$92,'Daftar Koreksi'!$D$5:$D$92,'0300'!A1566,'Daftar Koreksi'!$G$5:$G$92,"Aset Tak Berwujud",'Daftar Koreksi'!$H$5:$H$92,"&lt;0")-SUMIFS('Daftar Koreksi'!$H$5:$H$92,'Daftar Koreksi'!$D$5:$D$92,'0300'!A1566,'Daftar Koreksi'!$G$5:$G$92,"Aset Tak Berwujud",'Daftar Koreksi'!$H$5:$H$92,"&lt;0")</f>
        <v>0</v>
      </c>
      <c r="G1576" s="17">
        <f t="shared" si="71"/>
        <v>0</v>
      </c>
      <c r="H1576" s="122"/>
    </row>
    <row r="1577" spans="1:8" ht="21.95" customHeight="1">
      <c r="A1577" s="14"/>
      <c r="B1577" s="14"/>
      <c r="C1577" s="16" t="s">
        <v>1173</v>
      </c>
      <c r="D1577" s="17">
        <f>VLOOKUP(A1566,'Neraca Unaudited SIMAK'!$A$2:$S$10004,11,FALSE)</f>
        <v>0</v>
      </c>
      <c r="E1577" s="25">
        <f>SUMIFS('Daftar Koreksi'!$H$5:$H$92,'Daftar Koreksi'!$D$5:$D$92,'0300'!A1566,'Daftar Koreksi'!$G$5:$G$92,"Aset Henti Guna",'Daftar Koreksi'!$H$5:$H$92,"&gt;0")</f>
        <v>0</v>
      </c>
      <c r="F1577" s="25">
        <f>SUMIFS('Daftar Koreksi'!$H$5:$H$92,'Daftar Koreksi'!$D$5:$D$92,'0300'!A1566,'Daftar Koreksi'!$G$5:$G$92,"Aset Henti Guna",'Daftar Koreksi'!$H$5:$H$92,"&lt;0")-SUMIFS('Daftar Koreksi'!$H$5:$H$92,'Daftar Koreksi'!$D$5:$D$92,'0300'!A1566,'Daftar Koreksi'!$G$5:$G$92,"Aset Henti Guna",'Daftar Koreksi'!$H$5:$H$92,"&lt;0")-SUMIFS('Daftar Koreksi'!$H$5:$H$92,'Daftar Koreksi'!$D$5:$D$92,'0300'!A1566,'Daftar Koreksi'!$G$5:$G$92,"Aset Henti Guna",'Daftar Koreksi'!$H$5:$H$92,"&lt;0")</f>
        <v>0</v>
      </c>
      <c r="G1577" s="17">
        <f t="shared" si="71"/>
        <v>0</v>
      </c>
      <c r="H1577" s="122"/>
    </row>
    <row r="1578" spans="1:8" ht="21.95" customHeight="1">
      <c r="A1578" s="14"/>
      <c r="B1578" s="14"/>
      <c r="C1578" s="18" t="s">
        <v>2093</v>
      </c>
      <c r="D1578" s="19">
        <f>VLOOKUP(A1566,'Neraca Unaudited SIMAK'!$A$2:$S$10004,12,FALSE)</f>
        <v>6748818870</v>
      </c>
      <c r="E1578" s="19">
        <f>SUM(E1569:E1577)</f>
        <v>0</v>
      </c>
      <c r="F1578" s="19">
        <f>SUM(F1569:F1577)</f>
        <v>0</v>
      </c>
      <c r="G1578" s="19">
        <f t="shared" si="71"/>
        <v>6748818870</v>
      </c>
      <c r="H1578" s="122"/>
    </row>
    <row r="1579" spans="1:8" ht="21.95" customHeight="1">
      <c r="A1579" s="14"/>
      <c r="B1579" s="14"/>
      <c r="C1579" s="16" t="s">
        <v>2087</v>
      </c>
      <c r="D1579" s="17">
        <f>VLOOKUP(A1566,'Neraca Unaudited SIMAK'!$A$2:$S$10004,13,FALSE)</f>
        <v>-1347515703</v>
      </c>
      <c r="E1579" s="25">
        <f>SUMIFS('Daftar Koreksi'!$I$5:$I$92,'Daftar Koreksi'!$D$5:$D$92,'0300'!A1566,'Daftar Koreksi'!$G$5:$G$92,"Peralatan dan mesin",'Daftar Koreksi'!$I$5:$I$92,"&gt;0")</f>
        <v>0</v>
      </c>
      <c r="F1579" s="25">
        <f>SUMIFS('Daftar Koreksi'!$I$5:$I$92,'Daftar Koreksi'!$D$5:$D$92,'0300'!A1566,'Daftar Koreksi'!$G$5:$G$92,"Peralatan dan mesin",'Daftar Koreksi'!$I$5:$I$92,"&lt;0")-SUMIFS('Daftar Koreksi'!$I$5:$I$92,'Daftar Koreksi'!$D$5:$D$92,'0300'!A1566,'Daftar Koreksi'!$G$5:$G$92,"Peralatan dan mesin",'Daftar Koreksi'!$I$5:$I$92,"&lt;0")-SUMIFS('Daftar Koreksi'!$I$5:$I$92,'Daftar Koreksi'!$D$5:$D$92,'0300'!A1566,'Daftar Koreksi'!$G$5:$G$92,"Peralatan dan mesin",'Daftar Koreksi'!$I$5:$I$92,"&lt;0")</f>
        <v>0</v>
      </c>
      <c r="G1579" s="17">
        <f t="shared" si="71"/>
        <v>-1347515703</v>
      </c>
      <c r="H1579" s="122"/>
    </row>
    <row r="1580" spans="1:8" ht="21.95" customHeight="1">
      <c r="A1580" s="14"/>
      <c r="B1580" s="14"/>
      <c r="C1580" s="16" t="s">
        <v>2088</v>
      </c>
      <c r="D1580" s="17">
        <f>VLOOKUP(A1566,'Neraca Unaudited SIMAK'!$A$2:$S$10004,14,FALSE)</f>
        <v>-765664287</v>
      </c>
      <c r="E1580" s="25">
        <f>SUMIFS('Daftar Koreksi'!$I$5:$I$92,'Daftar Koreksi'!$D$5:$D$92,'0300'!A1566,'Daftar Koreksi'!$G$5:$G$92,"Gedung dan Bangunan",'Daftar Koreksi'!$I$5:$I$92,"&gt;0")</f>
        <v>0</v>
      </c>
      <c r="F1580" s="25">
        <f>SUMIFS('Daftar Koreksi'!$I$5:$I$92,'Daftar Koreksi'!$D$5:$D$92,'0300'!A1566,'Daftar Koreksi'!$G$5:$G$92,"Gedung dan Bangunan",'Daftar Koreksi'!$I$5:$I$92,"&lt;0")-SUMIFS('Daftar Koreksi'!$I$5:$I$92,'Daftar Koreksi'!$D$5:$D$92,'0300'!A1566,'Daftar Koreksi'!$G$5:$G$92,"Gedung dan Bangunan",'Daftar Koreksi'!$I$5:$I$92,"&lt;0")-SUMIFS('Daftar Koreksi'!$I$5:$I$92,'Daftar Koreksi'!$D$5:$D$92,'0300'!A1566,'Daftar Koreksi'!$G$5:$G$92,"Gedung dan Bangunan",'Daftar Koreksi'!$I$5:$I$92,"&lt;0")</f>
        <v>0</v>
      </c>
      <c r="G1580" s="17">
        <f t="shared" si="71"/>
        <v>-765664287</v>
      </c>
      <c r="H1580" s="122"/>
    </row>
    <row r="1581" spans="1:8" ht="21.95" customHeight="1">
      <c r="A1581" s="14"/>
      <c r="B1581" s="14"/>
      <c r="C1581" s="16" t="s">
        <v>2089</v>
      </c>
      <c r="D1581" s="17">
        <f>VLOOKUP(A1566,'Neraca Unaudited SIMAK'!$A$2:$S$10004,15,FALSE)</f>
        <v>-2465000</v>
      </c>
      <c r="E1581" s="25">
        <f>SUMIFS('Daftar Koreksi'!$I$5:$I$92,'Daftar Koreksi'!$D$5:$D$92,'0300'!A1566,'Daftar Koreksi'!$G$5:$G$92,"Jalan Irigasi Jaringan",'Daftar Koreksi'!$I$5:$I$92,"&gt;0")</f>
        <v>0</v>
      </c>
      <c r="F1581" s="25">
        <f>SUMIFS('Daftar Koreksi'!$I$5:$I$92,'Daftar Koreksi'!$D$5:$D$92,'0300'!A1566,'Daftar Koreksi'!$G$5:$G$92,"Jalan Irigasi Jaringan",'Daftar Koreksi'!$I$5:$I$92,"&lt;0")-SUMIFS('Daftar Koreksi'!$I$5:$I$92,'Daftar Koreksi'!$D$5:$D$92,'0300'!A1566,'Daftar Koreksi'!$G$5:$G$92,"Jalan Irigasi Jaringan",'Daftar Koreksi'!$I$5:$I$92,"&lt;0")-SUMIFS('Daftar Koreksi'!$I$5:$I$92,'Daftar Koreksi'!$D$5:$D$92,'0300'!A1566,'Daftar Koreksi'!$G$5:$G$92,"Jalan Irigasi Jaringan",'Daftar Koreksi'!$I$5:$I$92,"&lt;0")</f>
        <v>0</v>
      </c>
      <c r="G1581" s="17">
        <f t="shared" si="71"/>
        <v>-2465000</v>
      </c>
      <c r="H1581" s="122"/>
    </row>
    <row r="1582" spans="1:8" ht="21.95" customHeight="1">
      <c r="A1582" s="14"/>
      <c r="B1582" s="14"/>
      <c r="C1582" s="16" t="s">
        <v>2090</v>
      </c>
      <c r="D1582" s="17">
        <f>VLOOKUP(A1566,'Neraca Unaudited SIMAK'!$A$2:$S$10004,16,FALSE)</f>
        <v>0</v>
      </c>
      <c r="E1582" s="25">
        <f>SUMIFS('Daftar Koreksi'!$I$5:$I$92,'Daftar Koreksi'!$D$5:$D$92,'0300'!A1566,'Daftar Koreksi'!$G$5:$G$92,"Aset Tetap Lainnya",'Daftar Koreksi'!$I$5:$I$92,"&gt;0")</f>
        <v>0</v>
      </c>
      <c r="F1582" s="25">
        <f>SUMIFS('Daftar Koreksi'!$I$5:$I$92,'Daftar Koreksi'!$D$5:$D$92,'0300'!A1566,'Daftar Koreksi'!$G$5:$G$92,"Aset Tetap Lainnya",'Daftar Koreksi'!$I$5:$I$92,"&lt;0")-SUMIFS('Daftar Koreksi'!$I$5:$I$92,'Daftar Koreksi'!$D$5:$D$92,'0300'!A1566,'Daftar Koreksi'!$G$5:$G$92,"Aset Tetap Lainnya",'Daftar Koreksi'!$I$5:$I$92,"&lt;0")-SUMIFS('Daftar Koreksi'!$I$5:$I$92,'Daftar Koreksi'!$D$5:$D$92,'0300'!A1566,'Daftar Koreksi'!$G$5:$G$92,"Aset Tetap Lainnya",'Daftar Koreksi'!$I$5:$I$92,"&lt;0")</f>
        <v>0</v>
      </c>
      <c r="G1582" s="17">
        <f t="shared" si="71"/>
        <v>0</v>
      </c>
      <c r="H1582" s="122"/>
    </row>
    <row r="1583" spans="1:8" ht="21.95" customHeight="1">
      <c r="A1583" s="14"/>
      <c r="B1583" s="14"/>
      <c r="C1583" s="16" t="s">
        <v>2020</v>
      </c>
      <c r="D1583" s="17">
        <f>VLOOKUP(A1566,'Neraca Unaudited SIMAK'!$A$2:$S$10004,17,FALSE)</f>
        <v>0</v>
      </c>
      <c r="E1583" s="25">
        <f>SUMIFS('Daftar Koreksi'!$I$5:$I$92,'Daftar Koreksi'!$D$5:$D$92,'0300'!A1566,'Daftar Koreksi'!$G$5:$G$92,"Aset Henti Guna",'Daftar Koreksi'!$I$5:$I$92,"&gt;0")</f>
        <v>0</v>
      </c>
      <c r="F1583" s="25">
        <f>SUMIFS('Daftar Koreksi'!$I$5:$I$92,'Daftar Koreksi'!$D$5:$D$92,'0300'!A1566,'Daftar Koreksi'!$G$5:$G$92,"Aset Henti Guna",'Daftar Koreksi'!$I$5:$I$92,"&lt;0")-SUMIFS('Daftar Koreksi'!$I$5:$I$92,'Daftar Koreksi'!$D$5:$D$92,'0300'!A1566,'Daftar Koreksi'!$G$5:$G$92,"Aset Henti Guna",'Daftar Koreksi'!$I$5:$I$92,"&lt;0")-SUMIFS('Daftar Koreksi'!$I$5:$I$92,'Daftar Koreksi'!$D$5:$D$92,'0300'!A1566,'Daftar Koreksi'!$G$5:$G$92,"Aset Henti Guna",'Daftar Koreksi'!$I$5:$I$92,"&lt;0")</f>
        <v>0</v>
      </c>
      <c r="G1583" s="17">
        <f t="shared" si="71"/>
        <v>0</v>
      </c>
      <c r="H1583" s="122"/>
    </row>
    <row r="1584" spans="1:8" ht="21.95" customHeight="1">
      <c r="A1584" s="14"/>
      <c r="B1584" s="14"/>
      <c r="C1584" s="18" t="s">
        <v>2094</v>
      </c>
      <c r="D1584" s="19">
        <f>SUM(D1579:D1583)</f>
        <v>-2115644990</v>
      </c>
      <c r="E1584" s="19">
        <f>SUM(E1579:E1583)</f>
        <v>0</v>
      </c>
      <c r="F1584" s="19">
        <f>SUM(F1579:F1583)</f>
        <v>0</v>
      </c>
      <c r="G1584" s="19">
        <f t="shared" si="71"/>
        <v>-2115644990</v>
      </c>
      <c r="H1584" s="122"/>
    </row>
    <row r="1585" spans="1:8" ht="21.95" customHeight="1">
      <c r="A1585" s="14"/>
      <c r="B1585" s="14"/>
      <c r="C1585" s="18" t="s">
        <v>2095</v>
      </c>
      <c r="D1585" s="19">
        <f>VLOOKUP(A1566,'Neraca Unaudited SIMAK'!$A$2:$S$10004,18,FALSE)</f>
        <v>4633173880</v>
      </c>
      <c r="E1585" s="19">
        <f>E1584+E1578</f>
        <v>0</v>
      </c>
      <c r="F1585" s="19">
        <f>F1584+F1578</f>
        <v>0</v>
      </c>
      <c r="G1585" s="19">
        <f t="shared" si="71"/>
        <v>4633173880</v>
      </c>
      <c r="H1585" s="122"/>
    </row>
    <row r="1586" spans="1:8" ht="21.95" customHeight="1">
      <c r="A1586" s="14"/>
      <c r="B1586" s="14"/>
      <c r="C1586" s="16" t="s">
        <v>2091</v>
      </c>
      <c r="D1586" s="17">
        <f>VLOOKUP(A1566,'Neraca Unaudited SIMAK'!$A$2:$S$10004,19,FALSE)</f>
        <v>0</v>
      </c>
      <c r="E1586" s="25"/>
      <c r="F1586" s="25"/>
      <c r="G1586" s="17">
        <f t="shared" si="71"/>
        <v>0</v>
      </c>
      <c r="H1586" s="123"/>
    </row>
    <row r="1588" spans="1:8" ht="19.5" customHeight="1">
      <c r="A1588" s="11" t="str">
        <f>O73</f>
        <v>005010300531830000KD</v>
      </c>
      <c r="B1588" s="11" t="str">
        <f>P73</f>
        <v>PTUN. Semarang</v>
      </c>
      <c r="C1588" s="12" t="str">
        <f>A1588&amp;" "&amp;B1588</f>
        <v>005010300531830000KD PTUN. Semarang</v>
      </c>
      <c r="D1588" s="13"/>
      <c r="E1588" s="13"/>
      <c r="F1588" s="13"/>
      <c r="G1588" s="13"/>
      <c r="H1588" s="11"/>
    </row>
    <row r="1589" spans="1:8" ht="21.95" customHeight="1">
      <c r="A1589" s="14"/>
      <c r="B1589" s="14"/>
      <c r="C1589" s="124" t="s">
        <v>1982</v>
      </c>
      <c r="D1589" s="126" t="s">
        <v>1983</v>
      </c>
      <c r="E1589" s="132" t="s">
        <v>1984</v>
      </c>
      <c r="F1589" s="132"/>
      <c r="G1589" s="126" t="s">
        <v>1987</v>
      </c>
      <c r="H1589" s="130" t="s">
        <v>1175</v>
      </c>
    </row>
    <row r="1590" spans="1:8" ht="21.95" customHeight="1">
      <c r="A1590" s="14"/>
      <c r="B1590" s="14"/>
      <c r="C1590" s="125"/>
      <c r="D1590" s="127"/>
      <c r="E1590" s="26" t="s">
        <v>1985</v>
      </c>
      <c r="F1590" s="26" t="s">
        <v>1986</v>
      </c>
      <c r="G1590" s="127"/>
      <c r="H1590" s="131"/>
    </row>
    <row r="1591" spans="1:8" ht="21.95" customHeight="1">
      <c r="A1591" s="14"/>
      <c r="B1591" s="14"/>
      <c r="C1591" s="16" t="s">
        <v>1165</v>
      </c>
      <c r="D1591" s="17">
        <f>VLOOKUP(A1588,'Neraca Unaudited SIMAK'!$A$2:$S$10004,3,FALSE)</f>
        <v>619300</v>
      </c>
      <c r="E1591" s="25">
        <f>SUMIFS('Daftar Koreksi'!$H$5:$H$92,'Daftar Koreksi'!$D$5:$D$92,'0300'!A1588,'Daftar Koreksi'!$G$5:$G$92,"Persediaan",'Daftar Koreksi'!$H$5:$H$92,"&gt;0")</f>
        <v>0</v>
      </c>
      <c r="F1591" s="25">
        <f>SUMIFS('Daftar Koreksi'!$H$5:$H$92,'Daftar Koreksi'!$D$5:$D$92,'0300'!A1588,'Daftar Koreksi'!$G$5:$G$92,"Persediaan",'Daftar Koreksi'!$H$5:$H$92,"&lt;0")-SUMIFS('Daftar Koreksi'!$H$5:$H$92,'Daftar Koreksi'!$D$5:$D$92,'0300'!A1588,'Daftar Koreksi'!$G$5:$G$92,"Persediaan",'Daftar Koreksi'!$H$5:$H$92,"&lt;0")-SUMIFS('Daftar Koreksi'!$H$5:$H$92,'Daftar Koreksi'!$D$5:$D$92,'0300'!A1588,'Daftar Koreksi'!$G$5:$G$92,"Persediaan",'Daftar Koreksi'!$H$5:$H$92,"&lt;0")</f>
        <v>0</v>
      </c>
      <c r="G1591" s="17">
        <f>D1591+E1591-F1591</f>
        <v>619300</v>
      </c>
      <c r="H1591" s="121" t="str">
        <f>IF(ISNA(VLOOKUP(A1588,'Mutasi Neraca'!$A$3:$S$914,19,FALSE)),"-",VLOOKUP(A1588,'Mutasi Neraca'!$A$3:$S$914,19,FALSE))</f>
        <v>-</v>
      </c>
    </row>
    <row r="1592" spans="1:8" ht="21.95" customHeight="1">
      <c r="A1592" s="14"/>
      <c r="B1592" s="14"/>
      <c r="C1592" s="16" t="s">
        <v>1166</v>
      </c>
      <c r="D1592" s="17">
        <f>VLOOKUP(A1588,'Neraca Unaudited SIMAK'!$A$2:$S$10004,4,FALSE)</f>
        <v>10017600000</v>
      </c>
      <c r="E1592" s="25">
        <f>SUMIFS('Daftar Koreksi'!$H$5:$H$92,'Daftar Koreksi'!$D$5:$D$92,'0300'!A1588,'Daftar Koreksi'!$G$5:$G$92,"Tanah",'Daftar Koreksi'!$H$5:$H$92,"&gt;0")</f>
        <v>0</v>
      </c>
      <c r="F1592" s="25">
        <f>SUMIFS('Daftar Koreksi'!$H$5:$H$92,'Daftar Koreksi'!$D$5:$D$92,'0300'!A1588,'Daftar Koreksi'!$G$5:$G$92,"Tanah",'Daftar Koreksi'!$H$5:$H$92,"&lt;0")-SUMIFS('Daftar Koreksi'!$H$5:$H$92,'Daftar Koreksi'!$D$5:$D$92,'0300'!A1588,'Daftar Koreksi'!$G$5:$G$92,"Tanah",'Daftar Koreksi'!$H$5:$H$92,"&lt;0")-SUMIFS('Daftar Koreksi'!$H$5:$H$92,'Daftar Koreksi'!$D$5:$D$92,'0300'!A1588,'Daftar Koreksi'!$G$5:$G$92,"Tanah",'Daftar Koreksi'!$H$5:$H$92,"&lt;0")</f>
        <v>0</v>
      </c>
      <c r="G1592" s="17">
        <f t="shared" ref="G1592:G1608" si="72">D1592+E1592-F1592</f>
        <v>10017600000</v>
      </c>
      <c r="H1592" s="122"/>
    </row>
    <row r="1593" spans="1:8" ht="21.95" customHeight="1">
      <c r="A1593" s="14"/>
      <c r="B1593" s="14"/>
      <c r="C1593" s="16" t="s">
        <v>1167</v>
      </c>
      <c r="D1593" s="17">
        <f>VLOOKUP(A1588,'Neraca Unaudited SIMAK'!$A$2:$S$10004,5,FALSE)</f>
        <v>2641322855</v>
      </c>
      <c r="E1593" s="25">
        <f>SUMIFS('Daftar Koreksi'!$H$5:$H$92,'Daftar Koreksi'!$D$5:$D$92,'0300'!A1588,'Daftar Koreksi'!$G$5:$G$92,"Peralatan dan mesin",'Daftar Koreksi'!$H$5:$H$92,"&gt;0")</f>
        <v>0</v>
      </c>
      <c r="F1593" s="25">
        <f>SUMIFS('Daftar Koreksi'!$H$5:$H$92,'Daftar Koreksi'!$D$5:$D$92,'0300'!A1588,'Daftar Koreksi'!$G$5:$G$92,"Peralatan dan mesin",'Daftar Koreksi'!$H$5:$H$92,"&lt;0")-SUMIFS('Daftar Koreksi'!$H$5:$H$92,'Daftar Koreksi'!$D$5:$D$92,'0300'!A1588,'Daftar Koreksi'!$G$5:$G$92,"Peralatan dan mesin",'Daftar Koreksi'!$H$5:$H$92,"&lt;0")-SUMIFS('Daftar Koreksi'!$H$5:$H$92,'Daftar Koreksi'!$D$5:$D$92,'0300'!A1588,'Daftar Koreksi'!$G$5:$G$92,"Peralatan dan mesin",'Daftar Koreksi'!$H$5:$H$92,"&lt;0")</f>
        <v>0</v>
      </c>
      <c r="G1593" s="17">
        <f t="shared" si="72"/>
        <v>2641322855</v>
      </c>
      <c r="H1593" s="122"/>
    </row>
    <row r="1594" spans="1:8" ht="21.95" customHeight="1">
      <c r="A1594" s="14"/>
      <c r="B1594" s="14"/>
      <c r="C1594" s="16" t="s">
        <v>1168</v>
      </c>
      <c r="D1594" s="17">
        <f>VLOOKUP(A1588,'Neraca Unaudited SIMAK'!$A$2:$S$10004,6,FALSE)</f>
        <v>7295288500</v>
      </c>
      <c r="E1594" s="25">
        <f>SUMIFS('Daftar Koreksi'!$H$5:$H$92,'Daftar Koreksi'!$D$5:$D$92,'0300'!A1588,'Daftar Koreksi'!$G$5:$G$92,"Gedung dan Bangunan",'Daftar Koreksi'!$H$5:$H$92,"&gt;0")</f>
        <v>0</v>
      </c>
      <c r="F1594" s="25">
        <f>SUMIFS('Daftar Koreksi'!$H$5:$H$92,'Daftar Koreksi'!$D$5:$D$92,'0300'!A1588,'Daftar Koreksi'!$G$5:$G$92,"Gedung dan Bangunan",'Daftar Koreksi'!$H$5:$H$92,"&lt;0")-SUMIFS('Daftar Koreksi'!$H$5:$H$92,'Daftar Koreksi'!$D$5:$D$92,'0300'!A1588,'Daftar Koreksi'!$G$5:$G$92,"Gedung dan Bangunan",'Daftar Koreksi'!$H$5:$H$92,"&lt;0")-SUMIFS('Daftar Koreksi'!$H$5:$H$92,'Daftar Koreksi'!$D$5:$D$92,'0300'!A1588,'Daftar Koreksi'!$G$5:$G$92,"Gedung dan Bangunan",'Daftar Koreksi'!$H$5:$H$92,"&lt;0")</f>
        <v>0</v>
      </c>
      <c r="G1594" s="17">
        <f t="shared" si="72"/>
        <v>7295288500</v>
      </c>
      <c r="H1594" s="122"/>
    </row>
    <row r="1595" spans="1:8" ht="21.95" customHeight="1">
      <c r="A1595" s="14"/>
      <c r="B1595" s="14"/>
      <c r="C1595" s="16" t="s">
        <v>1169</v>
      </c>
      <c r="D1595" s="17">
        <f>VLOOKUP(A1588,'Neraca Unaudited SIMAK'!$A$2:$S$10004,7,FALSE)</f>
        <v>0</v>
      </c>
      <c r="E1595" s="25">
        <f>SUMIFS('Daftar Koreksi'!$H$5:$H$92,'Daftar Koreksi'!$D$5:$D$92,'0300'!A1588,'Daftar Koreksi'!$G$5:$G$92,"Jalan Irigasi Jaringan",'Daftar Koreksi'!$H$5:$H$92,"&gt;0")</f>
        <v>0</v>
      </c>
      <c r="F1595" s="25">
        <f>SUMIFS('Daftar Koreksi'!$H$5:$H$92,'Daftar Koreksi'!$D$5:$D$92,'0300'!A1588,'Daftar Koreksi'!$G$5:$G$92,"Jalan Irigasi Jaringan",'Daftar Koreksi'!$H$5:$H$92,"&lt;0")-SUMIFS('Daftar Koreksi'!$H$5:$H$92,'Daftar Koreksi'!$D$5:$D$92,'0300'!A1588,'Daftar Koreksi'!$G$5:$G$92,"Jalan Irigasi Jaringan",'Daftar Koreksi'!$H$5:$H$92,"&lt;0")-SUMIFS('Daftar Koreksi'!$H$5:$H$92,'Daftar Koreksi'!$D$5:$D$92,'0300'!A1588,'Daftar Koreksi'!$G$5:$G$92,"Jalan Irigasi Jaringan",'Daftar Koreksi'!$H$5:$H$92,"&lt;0")</f>
        <v>0</v>
      </c>
      <c r="G1595" s="17">
        <f t="shared" si="72"/>
        <v>0</v>
      </c>
      <c r="H1595" s="122"/>
    </row>
    <row r="1596" spans="1:8" ht="21.95" customHeight="1">
      <c r="A1596" s="14"/>
      <c r="B1596" s="14"/>
      <c r="C1596" s="16" t="s">
        <v>1170</v>
      </c>
      <c r="D1596" s="17">
        <f>VLOOKUP(A1588,'Neraca Unaudited SIMAK'!$A$2:$S$10004,8,FALSE)</f>
        <v>2828678</v>
      </c>
      <c r="E1596" s="25">
        <f>SUMIFS('Daftar Koreksi'!$H$5:$H$92,'Daftar Koreksi'!$D$5:$D$92,'0300'!A1588,'Daftar Koreksi'!$G$5:$G$92,"Aset Tetap Lainnya",'Daftar Koreksi'!$H$5:$H$92,"&gt;0")</f>
        <v>0</v>
      </c>
      <c r="F1596" s="25">
        <f>SUMIFS('Daftar Koreksi'!$H$5:$H$92,'Daftar Koreksi'!$D$5:$D$92,'0300'!A1588,'Daftar Koreksi'!$G$5:$G$92,"Aset Tetap Lainnya",'Daftar Koreksi'!$H$5:$H$92,"&lt;0")-SUMIFS('Daftar Koreksi'!$H$5:$H$92,'Daftar Koreksi'!$D$5:$D$92,'0300'!A1588,'Daftar Koreksi'!$G$5:$G$92,"Aset Tetap Lainnya",'Daftar Koreksi'!$H$5:$H$92,"&lt;0")-SUMIFS('Daftar Koreksi'!$H$5:$H$92,'Daftar Koreksi'!$D$5:$D$92,'0300'!A1588,'Daftar Koreksi'!$G$5:$G$92,"Aset Tetap Lainnya",'Daftar Koreksi'!$H$5:$H$92,"&lt;0")</f>
        <v>0</v>
      </c>
      <c r="G1596" s="17">
        <f t="shared" si="72"/>
        <v>2828678</v>
      </c>
      <c r="H1596" s="122"/>
    </row>
    <row r="1597" spans="1:8" ht="21.95" customHeight="1">
      <c r="A1597" s="14"/>
      <c r="B1597" s="14"/>
      <c r="C1597" s="16" t="s">
        <v>1171</v>
      </c>
      <c r="D1597" s="17">
        <f>VLOOKUP(A1588,'Neraca Unaudited SIMAK'!$A$2:$S$10004,9,FALSE)</f>
        <v>0</v>
      </c>
      <c r="E1597" s="25">
        <f>SUMIFS('Daftar Koreksi'!$H$5:$H$92,'Daftar Koreksi'!$D$5:$D$92,'0300'!A1588,'Daftar Koreksi'!$G$5:$G$92,"Kontruksi Dalam Pengerjaan",'Daftar Koreksi'!$H$5:$H$92,"&gt;0")</f>
        <v>0</v>
      </c>
      <c r="F1597" s="25">
        <f>SUMIFS('Daftar Koreksi'!$H$5:$H$92,'Daftar Koreksi'!$D$5:$D$92,'0300'!A1588,'Daftar Koreksi'!$G$5:$G$92,"Kontruksi Dalam Pengerjaan",'Daftar Koreksi'!$H$5:$H$92,"&lt;0")-SUMIFS('Daftar Koreksi'!$H$5:$H$92,'Daftar Koreksi'!$D$5:$D$92,'0300'!A1588,'Daftar Koreksi'!$G$5:$G$92,"Kontruksi Dalam Pengerjaan",'Daftar Koreksi'!$H$5:$H$92,"&lt;0")-SUMIFS('Daftar Koreksi'!$H$5:$H$92,'Daftar Koreksi'!$D$5:$D$92,'0300'!A1588,'Daftar Koreksi'!$G$5:$G$92,"Kontruksi Dalam Pengerjaan",'Daftar Koreksi'!$H$5:$H$92,"&lt;0")</f>
        <v>0</v>
      </c>
      <c r="G1597" s="17">
        <f t="shared" si="72"/>
        <v>0</v>
      </c>
      <c r="H1597" s="122"/>
    </row>
    <row r="1598" spans="1:8" ht="21.95" customHeight="1">
      <c r="A1598" s="14"/>
      <c r="B1598" s="14"/>
      <c r="C1598" s="16" t="s">
        <v>1172</v>
      </c>
      <c r="D1598" s="17">
        <f>VLOOKUP(A1588,'Neraca Unaudited SIMAK'!$A$2:$S$10004,10,FALSE)</f>
        <v>1900000</v>
      </c>
      <c r="E1598" s="25">
        <f>SUMIFS('Daftar Koreksi'!$H$5:$H$92,'Daftar Koreksi'!$D$5:$D$92,'0300'!A1588,'Daftar Koreksi'!$G$5:$G$92,"Aset Tak Berwujud",'Daftar Koreksi'!$H$5:$H$92,"&gt;0")</f>
        <v>0</v>
      </c>
      <c r="F1598" s="25">
        <f>SUMIFS('Daftar Koreksi'!$H$5:$H$92,'Daftar Koreksi'!$D$5:$D$92,'0300'!A1588,'Daftar Koreksi'!$G$5:$G$92,"Aset Tak Berwujud",'Daftar Koreksi'!$H$5:$H$92,"&lt;0")-SUMIFS('Daftar Koreksi'!$H$5:$H$92,'Daftar Koreksi'!$D$5:$D$92,'0300'!A1588,'Daftar Koreksi'!$G$5:$G$92,"Aset Tak Berwujud",'Daftar Koreksi'!$H$5:$H$92,"&lt;0")-SUMIFS('Daftar Koreksi'!$H$5:$H$92,'Daftar Koreksi'!$D$5:$D$92,'0300'!A1588,'Daftar Koreksi'!$G$5:$G$92,"Aset Tak Berwujud",'Daftar Koreksi'!$H$5:$H$92,"&lt;0")</f>
        <v>0</v>
      </c>
      <c r="G1598" s="17">
        <f t="shared" si="72"/>
        <v>1900000</v>
      </c>
      <c r="H1598" s="122"/>
    </row>
    <row r="1599" spans="1:8" ht="21.95" customHeight="1">
      <c r="A1599" s="14"/>
      <c r="B1599" s="14"/>
      <c r="C1599" s="16" t="s">
        <v>1173</v>
      </c>
      <c r="D1599" s="17">
        <f>VLOOKUP(A1588,'Neraca Unaudited SIMAK'!$A$2:$S$10004,11,FALSE)</f>
        <v>9761000</v>
      </c>
      <c r="E1599" s="25">
        <f>SUMIFS('Daftar Koreksi'!$H$5:$H$92,'Daftar Koreksi'!$D$5:$D$92,'0300'!A1588,'Daftar Koreksi'!$G$5:$G$92,"Aset Henti Guna",'Daftar Koreksi'!$H$5:$H$92,"&gt;0")</f>
        <v>0</v>
      </c>
      <c r="F1599" s="25">
        <f>SUMIFS('Daftar Koreksi'!$H$5:$H$92,'Daftar Koreksi'!$D$5:$D$92,'0300'!A1588,'Daftar Koreksi'!$G$5:$G$92,"Aset Henti Guna",'Daftar Koreksi'!$H$5:$H$92,"&lt;0")-SUMIFS('Daftar Koreksi'!$H$5:$H$92,'Daftar Koreksi'!$D$5:$D$92,'0300'!A1588,'Daftar Koreksi'!$G$5:$G$92,"Aset Henti Guna",'Daftar Koreksi'!$H$5:$H$92,"&lt;0")-SUMIFS('Daftar Koreksi'!$H$5:$H$92,'Daftar Koreksi'!$D$5:$D$92,'0300'!A1588,'Daftar Koreksi'!$G$5:$G$92,"Aset Henti Guna",'Daftar Koreksi'!$H$5:$H$92,"&lt;0")</f>
        <v>0</v>
      </c>
      <c r="G1599" s="17">
        <f t="shared" si="72"/>
        <v>9761000</v>
      </c>
      <c r="H1599" s="122"/>
    </row>
    <row r="1600" spans="1:8" ht="21.95" customHeight="1">
      <c r="A1600" s="14"/>
      <c r="B1600" s="14"/>
      <c r="C1600" s="18" t="s">
        <v>2093</v>
      </c>
      <c r="D1600" s="19">
        <f>VLOOKUP(A1588,'Neraca Unaudited SIMAK'!$A$2:$S$10004,12,FALSE)</f>
        <v>19969320333</v>
      </c>
      <c r="E1600" s="19">
        <f>SUM(E1591:E1599)</f>
        <v>0</v>
      </c>
      <c r="F1600" s="19">
        <f>SUM(F1591:F1599)</f>
        <v>0</v>
      </c>
      <c r="G1600" s="19">
        <f t="shared" si="72"/>
        <v>19969320333</v>
      </c>
      <c r="H1600" s="122"/>
    </row>
    <row r="1601" spans="1:8" ht="21.95" customHeight="1">
      <c r="A1601" s="14"/>
      <c r="B1601" s="14"/>
      <c r="C1601" s="16" t="s">
        <v>2087</v>
      </c>
      <c r="D1601" s="17">
        <f>VLOOKUP(A1588,'Neraca Unaudited SIMAK'!$A$2:$S$10004,13,FALSE)</f>
        <v>-2210005821</v>
      </c>
      <c r="E1601" s="25">
        <f>SUMIFS('Daftar Koreksi'!$I$5:$I$92,'Daftar Koreksi'!$D$5:$D$92,'0300'!A1588,'Daftar Koreksi'!$G$5:$G$92,"Peralatan dan mesin",'Daftar Koreksi'!$I$5:$I$92,"&gt;0")</f>
        <v>0</v>
      </c>
      <c r="F1601" s="25">
        <f>SUMIFS('Daftar Koreksi'!$I$5:$I$92,'Daftar Koreksi'!$D$5:$D$92,'0300'!A1588,'Daftar Koreksi'!$G$5:$G$92,"Peralatan dan mesin",'Daftar Koreksi'!$I$5:$I$92,"&lt;0")-SUMIFS('Daftar Koreksi'!$I$5:$I$92,'Daftar Koreksi'!$D$5:$D$92,'0300'!A1588,'Daftar Koreksi'!$G$5:$G$92,"Peralatan dan mesin",'Daftar Koreksi'!$I$5:$I$92,"&lt;0")-SUMIFS('Daftar Koreksi'!$I$5:$I$92,'Daftar Koreksi'!$D$5:$D$92,'0300'!A1588,'Daftar Koreksi'!$G$5:$G$92,"Peralatan dan mesin",'Daftar Koreksi'!$I$5:$I$92,"&lt;0")</f>
        <v>0</v>
      </c>
      <c r="G1601" s="17">
        <f t="shared" si="72"/>
        <v>-2210005821</v>
      </c>
      <c r="H1601" s="122"/>
    </row>
    <row r="1602" spans="1:8" ht="21.95" customHeight="1">
      <c r="A1602" s="14"/>
      <c r="B1602" s="14"/>
      <c r="C1602" s="16" t="s">
        <v>2088</v>
      </c>
      <c r="D1602" s="17">
        <f>VLOOKUP(A1588,'Neraca Unaudited SIMAK'!$A$2:$S$10004,14,FALSE)</f>
        <v>-467501184</v>
      </c>
      <c r="E1602" s="25">
        <f>SUMIFS('Daftar Koreksi'!$I$5:$I$92,'Daftar Koreksi'!$D$5:$D$92,'0300'!A1588,'Daftar Koreksi'!$G$5:$G$92,"Gedung dan Bangunan",'Daftar Koreksi'!$I$5:$I$92,"&gt;0")</f>
        <v>0</v>
      </c>
      <c r="F1602" s="25">
        <f>SUMIFS('Daftar Koreksi'!$I$5:$I$92,'Daftar Koreksi'!$D$5:$D$92,'0300'!A1588,'Daftar Koreksi'!$G$5:$G$92,"Gedung dan Bangunan",'Daftar Koreksi'!$I$5:$I$92,"&lt;0")-SUMIFS('Daftar Koreksi'!$I$5:$I$92,'Daftar Koreksi'!$D$5:$D$92,'0300'!A1588,'Daftar Koreksi'!$G$5:$G$92,"Gedung dan Bangunan",'Daftar Koreksi'!$I$5:$I$92,"&lt;0")-SUMIFS('Daftar Koreksi'!$I$5:$I$92,'Daftar Koreksi'!$D$5:$D$92,'0300'!A1588,'Daftar Koreksi'!$G$5:$G$92,"Gedung dan Bangunan",'Daftar Koreksi'!$I$5:$I$92,"&lt;0")</f>
        <v>0</v>
      </c>
      <c r="G1602" s="17">
        <f t="shared" si="72"/>
        <v>-467501184</v>
      </c>
      <c r="H1602" s="122"/>
    </row>
    <row r="1603" spans="1:8" ht="21.95" customHeight="1">
      <c r="A1603" s="14"/>
      <c r="B1603" s="14"/>
      <c r="C1603" s="16" t="s">
        <v>2089</v>
      </c>
      <c r="D1603" s="17">
        <f>VLOOKUP(A1588,'Neraca Unaudited SIMAK'!$A$2:$S$10004,15,FALSE)</f>
        <v>0</v>
      </c>
      <c r="E1603" s="25">
        <f>SUMIFS('Daftar Koreksi'!$I$5:$I$92,'Daftar Koreksi'!$D$5:$D$92,'0300'!A1588,'Daftar Koreksi'!$G$5:$G$92,"Jalan Irigasi Jaringan",'Daftar Koreksi'!$I$5:$I$92,"&gt;0")</f>
        <v>0</v>
      </c>
      <c r="F1603" s="25">
        <f>SUMIFS('Daftar Koreksi'!$I$5:$I$92,'Daftar Koreksi'!$D$5:$D$92,'0300'!A1588,'Daftar Koreksi'!$G$5:$G$92,"Jalan Irigasi Jaringan",'Daftar Koreksi'!$I$5:$I$92,"&lt;0")-SUMIFS('Daftar Koreksi'!$I$5:$I$92,'Daftar Koreksi'!$D$5:$D$92,'0300'!A1588,'Daftar Koreksi'!$G$5:$G$92,"Jalan Irigasi Jaringan",'Daftar Koreksi'!$I$5:$I$92,"&lt;0")-SUMIFS('Daftar Koreksi'!$I$5:$I$92,'Daftar Koreksi'!$D$5:$D$92,'0300'!A1588,'Daftar Koreksi'!$G$5:$G$92,"Jalan Irigasi Jaringan",'Daftar Koreksi'!$I$5:$I$92,"&lt;0")</f>
        <v>0</v>
      </c>
      <c r="G1603" s="17">
        <f t="shared" si="72"/>
        <v>0</v>
      </c>
      <c r="H1603" s="122"/>
    </row>
    <row r="1604" spans="1:8" ht="21.95" customHeight="1">
      <c r="A1604" s="14"/>
      <c r="B1604" s="14"/>
      <c r="C1604" s="16" t="s">
        <v>2090</v>
      </c>
      <c r="D1604" s="17">
        <f>VLOOKUP(A1588,'Neraca Unaudited SIMAK'!$A$2:$S$10004,16,FALSE)</f>
        <v>0</v>
      </c>
      <c r="E1604" s="25">
        <f>SUMIFS('Daftar Koreksi'!$I$5:$I$92,'Daftar Koreksi'!$D$5:$D$92,'0300'!A1588,'Daftar Koreksi'!$G$5:$G$92,"Aset Tetap Lainnya",'Daftar Koreksi'!$I$5:$I$92,"&gt;0")</f>
        <v>0</v>
      </c>
      <c r="F1604" s="25">
        <f>SUMIFS('Daftar Koreksi'!$I$5:$I$92,'Daftar Koreksi'!$D$5:$D$92,'0300'!A1588,'Daftar Koreksi'!$G$5:$G$92,"Aset Tetap Lainnya",'Daftar Koreksi'!$I$5:$I$92,"&lt;0")-SUMIFS('Daftar Koreksi'!$I$5:$I$92,'Daftar Koreksi'!$D$5:$D$92,'0300'!A1588,'Daftar Koreksi'!$G$5:$G$92,"Aset Tetap Lainnya",'Daftar Koreksi'!$I$5:$I$92,"&lt;0")-SUMIFS('Daftar Koreksi'!$I$5:$I$92,'Daftar Koreksi'!$D$5:$D$92,'0300'!A1588,'Daftar Koreksi'!$G$5:$G$92,"Aset Tetap Lainnya",'Daftar Koreksi'!$I$5:$I$92,"&lt;0")</f>
        <v>0</v>
      </c>
      <c r="G1604" s="17">
        <f t="shared" si="72"/>
        <v>0</v>
      </c>
      <c r="H1604" s="122"/>
    </row>
    <row r="1605" spans="1:8" ht="21.95" customHeight="1">
      <c r="A1605" s="14"/>
      <c r="B1605" s="14"/>
      <c r="C1605" s="16" t="s">
        <v>2020</v>
      </c>
      <c r="D1605" s="17">
        <f>VLOOKUP(A1588,'Neraca Unaudited SIMAK'!$A$2:$S$10004,17,FALSE)</f>
        <v>-9761000</v>
      </c>
      <c r="E1605" s="25">
        <f>SUMIFS('Daftar Koreksi'!$I$5:$I$92,'Daftar Koreksi'!$D$5:$D$92,'0300'!A1588,'Daftar Koreksi'!$G$5:$G$92,"Aset Henti Guna",'Daftar Koreksi'!$I$5:$I$92,"&gt;0")</f>
        <v>0</v>
      </c>
      <c r="F1605" s="25">
        <f>SUMIFS('Daftar Koreksi'!$I$5:$I$92,'Daftar Koreksi'!$D$5:$D$92,'0300'!A1588,'Daftar Koreksi'!$G$5:$G$92,"Aset Henti Guna",'Daftar Koreksi'!$I$5:$I$92,"&lt;0")-SUMIFS('Daftar Koreksi'!$I$5:$I$92,'Daftar Koreksi'!$D$5:$D$92,'0300'!A1588,'Daftar Koreksi'!$G$5:$G$92,"Aset Henti Guna",'Daftar Koreksi'!$I$5:$I$92,"&lt;0")-SUMIFS('Daftar Koreksi'!$I$5:$I$92,'Daftar Koreksi'!$D$5:$D$92,'0300'!A1588,'Daftar Koreksi'!$G$5:$G$92,"Aset Henti Guna",'Daftar Koreksi'!$I$5:$I$92,"&lt;0")</f>
        <v>0</v>
      </c>
      <c r="G1605" s="17">
        <f t="shared" si="72"/>
        <v>-9761000</v>
      </c>
      <c r="H1605" s="122"/>
    </row>
    <row r="1606" spans="1:8" ht="21.95" customHeight="1">
      <c r="A1606" s="14"/>
      <c r="B1606" s="14"/>
      <c r="C1606" s="18" t="s">
        <v>2094</v>
      </c>
      <c r="D1606" s="19">
        <f>SUM(D1601:D1605)</f>
        <v>-2687268005</v>
      </c>
      <c r="E1606" s="19">
        <f>SUM(E1601:E1605)</f>
        <v>0</v>
      </c>
      <c r="F1606" s="19">
        <f>SUM(F1601:F1605)</f>
        <v>0</v>
      </c>
      <c r="G1606" s="19">
        <f t="shared" si="72"/>
        <v>-2687268005</v>
      </c>
      <c r="H1606" s="122"/>
    </row>
    <row r="1607" spans="1:8" ht="21.95" customHeight="1">
      <c r="A1607" s="14"/>
      <c r="B1607" s="14"/>
      <c r="C1607" s="18" t="s">
        <v>2095</v>
      </c>
      <c r="D1607" s="19">
        <f>VLOOKUP(A1588,'Neraca Unaudited SIMAK'!$A$2:$S$10004,18,FALSE)</f>
        <v>17282052328</v>
      </c>
      <c r="E1607" s="19">
        <f>E1606+E1600</f>
        <v>0</v>
      </c>
      <c r="F1607" s="19">
        <f>F1606+F1600</f>
        <v>0</v>
      </c>
      <c r="G1607" s="19">
        <f t="shared" si="72"/>
        <v>17282052328</v>
      </c>
      <c r="H1607" s="122"/>
    </row>
    <row r="1608" spans="1:8" ht="21.95" customHeight="1">
      <c r="A1608" s="14"/>
      <c r="B1608" s="14"/>
      <c r="C1608" s="16" t="s">
        <v>2091</v>
      </c>
      <c r="D1608" s="17">
        <f>VLOOKUP(A1588,'Neraca Unaudited SIMAK'!$A$2:$S$10004,19,FALSE)</f>
        <v>0</v>
      </c>
      <c r="E1608" s="25"/>
      <c r="F1608" s="25"/>
      <c r="G1608" s="17">
        <f t="shared" si="72"/>
        <v>0</v>
      </c>
      <c r="H1608" s="123"/>
    </row>
    <row r="1610" spans="1:8" ht="19.5" customHeight="1">
      <c r="A1610" s="11" t="str">
        <f>O74</f>
        <v>005010300614710000KD</v>
      </c>
      <c r="B1610" s="11" t="str">
        <f>P74</f>
        <v>PA. Kajen</v>
      </c>
      <c r="C1610" s="12" t="str">
        <f>A1610&amp;" "&amp;B1610</f>
        <v>005010300614710000KD PA. Kajen</v>
      </c>
      <c r="D1610" s="13"/>
      <c r="E1610" s="13"/>
      <c r="F1610" s="13"/>
      <c r="G1610" s="13"/>
      <c r="H1610" s="11"/>
    </row>
    <row r="1611" spans="1:8" ht="21.95" customHeight="1">
      <c r="A1611" s="14"/>
      <c r="B1611" s="14"/>
      <c r="C1611" s="124" t="s">
        <v>1982</v>
      </c>
      <c r="D1611" s="126" t="s">
        <v>1983</v>
      </c>
      <c r="E1611" s="132" t="s">
        <v>1984</v>
      </c>
      <c r="F1611" s="132"/>
      <c r="G1611" s="126" t="s">
        <v>1987</v>
      </c>
      <c r="H1611" s="130" t="s">
        <v>1175</v>
      </c>
    </row>
    <row r="1612" spans="1:8" ht="21.95" customHeight="1">
      <c r="A1612" s="14"/>
      <c r="B1612" s="14"/>
      <c r="C1612" s="125"/>
      <c r="D1612" s="127"/>
      <c r="E1612" s="26" t="s">
        <v>1985</v>
      </c>
      <c r="F1612" s="26" t="s">
        <v>1986</v>
      </c>
      <c r="G1612" s="127"/>
      <c r="H1612" s="131"/>
    </row>
    <row r="1613" spans="1:8" ht="21.95" customHeight="1">
      <c r="A1613" s="14"/>
      <c r="B1613" s="14"/>
      <c r="C1613" s="16" t="s">
        <v>1165</v>
      </c>
      <c r="D1613" s="17">
        <f>VLOOKUP(A1610,'Neraca Unaudited SIMAK'!$A$2:$S$10004,3,FALSE)</f>
        <v>1664300</v>
      </c>
      <c r="E1613" s="25">
        <f>SUMIFS('Daftar Koreksi'!$H$5:$H$92,'Daftar Koreksi'!$D$5:$D$92,'0300'!A1610,'Daftar Koreksi'!$G$5:$G$92,"Persediaan",'Daftar Koreksi'!$H$5:$H$92,"&gt;0")</f>
        <v>0</v>
      </c>
      <c r="F1613" s="25">
        <f>SUMIFS('Daftar Koreksi'!$H$5:$H$92,'Daftar Koreksi'!$D$5:$D$92,'0300'!A1610,'Daftar Koreksi'!$G$5:$G$92,"Persediaan",'Daftar Koreksi'!$H$5:$H$92,"&lt;0")-SUMIFS('Daftar Koreksi'!$H$5:$H$92,'Daftar Koreksi'!$D$5:$D$92,'0300'!A1610,'Daftar Koreksi'!$G$5:$G$92,"Persediaan",'Daftar Koreksi'!$H$5:$H$92,"&lt;0")-SUMIFS('Daftar Koreksi'!$H$5:$H$92,'Daftar Koreksi'!$D$5:$D$92,'0300'!A1610,'Daftar Koreksi'!$G$5:$G$92,"Persediaan",'Daftar Koreksi'!$H$5:$H$92,"&lt;0")</f>
        <v>0</v>
      </c>
      <c r="G1613" s="17">
        <f>D1613+E1613-F1613</f>
        <v>1664300</v>
      </c>
      <c r="H1613" s="121" t="str">
        <f>IF(ISNA(VLOOKUP(A1610,'Mutasi Neraca'!$A$3:$S$914,19,FALSE)),"-",VLOOKUP(A1610,'Mutasi Neraca'!$A$3:$S$914,19,FALSE))</f>
        <v>-</v>
      </c>
    </row>
    <row r="1614" spans="1:8" ht="21.95" customHeight="1">
      <c r="A1614" s="14"/>
      <c r="B1614" s="14"/>
      <c r="C1614" s="16" t="s">
        <v>1166</v>
      </c>
      <c r="D1614" s="17">
        <f>VLOOKUP(A1610,'Neraca Unaudited SIMAK'!$A$2:$S$10004,4,FALSE)</f>
        <v>0</v>
      </c>
      <c r="E1614" s="25">
        <f>SUMIFS('Daftar Koreksi'!$H$5:$H$92,'Daftar Koreksi'!$D$5:$D$92,'0300'!A1610,'Daftar Koreksi'!$G$5:$G$92,"Tanah",'Daftar Koreksi'!$H$5:$H$92,"&gt;0")</f>
        <v>0</v>
      </c>
      <c r="F1614" s="25">
        <f>SUMIFS('Daftar Koreksi'!$H$5:$H$92,'Daftar Koreksi'!$D$5:$D$92,'0300'!A1610,'Daftar Koreksi'!$G$5:$G$92,"Tanah",'Daftar Koreksi'!$H$5:$H$92,"&lt;0")-SUMIFS('Daftar Koreksi'!$H$5:$H$92,'Daftar Koreksi'!$D$5:$D$92,'0300'!A1610,'Daftar Koreksi'!$G$5:$G$92,"Tanah",'Daftar Koreksi'!$H$5:$H$92,"&lt;0")-SUMIFS('Daftar Koreksi'!$H$5:$H$92,'Daftar Koreksi'!$D$5:$D$92,'0300'!A1610,'Daftar Koreksi'!$G$5:$G$92,"Tanah",'Daftar Koreksi'!$H$5:$H$92,"&lt;0")</f>
        <v>0</v>
      </c>
      <c r="G1614" s="17">
        <f t="shared" ref="G1614:G1630" si="73">D1614+E1614-F1614</f>
        <v>0</v>
      </c>
      <c r="H1614" s="122"/>
    </row>
    <row r="1615" spans="1:8" ht="21.95" customHeight="1">
      <c r="A1615" s="14"/>
      <c r="B1615" s="14"/>
      <c r="C1615" s="16" t="s">
        <v>1167</v>
      </c>
      <c r="D1615" s="17">
        <f>VLOOKUP(A1610,'Neraca Unaudited SIMAK'!$A$2:$S$10004,5,FALSE)</f>
        <v>1115878448</v>
      </c>
      <c r="E1615" s="25">
        <f>SUMIFS('Daftar Koreksi'!$H$5:$H$92,'Daftar Koreksi'!$D$5:$D$92,'0300'!A1610,'Daftar Koreksi'!$G$5:$G$92,"Peralatan dan mesin",'Daftar Koreksi'!$H$5:$H$92,"&gt;0")</f>
        <v>0</v>
      </c>
      <c r="F1615" s="25">
        <f>SUMIFS('Daftar Koreksi'!$H$5:$H$92,'Daftar Koreksi'!$D$5:$D$92,'0300'!A1610,'Daftar Koreksi'!$G$5:$G$92,"Peralatan dan mesin",'Daftar Koreksi'!$H$5:$H$92,"&lt;0")-SUMIFS('Daftar Koreksi'!$H$5:$H$92,'Daftar Koreksi'!$D$5:$D$92,'0300'!A1610,'Daftar Koreksi'!$G$5:$G$92,"Peralatan dan mesin",'Daftar Koreksi'!$H$5:$H$92,"&lt;0")-SUMIFS('Daftar Koreksi'!$H$5:$H$92,'Daftar Koreksi'!$D$5:$D$92,'0300'!A1610,'Daftar Koreksi'!$G$5:$G$92,"Peralatan dan mesin",'Daftar Koreksi'!$H$5:$H$92,"&lt;0")</f>
        <v>0</v>
      </c>
      <c r="G1615" s="17">
        <f t="shared" si="73"/>
        <v>1115878448</v>
      </c>
      <c r="H1615" s="122"/>
    </row>
    <row r="1616" spans="1:8" ht="21.95" customHeight="1">
      <c r="A1616" s="14"/>
      <c r="B1616" s="14"/>
      <c r="C1616" s="16" t="s">
        <v>1168</v>
      </c>
      <c r="D1616" s="17">
        <f>VLOOKUP(A1610,'Neraca Unaudited SIMAK'!$A$2:$S$10004,6,FALSE)</f>
        <v>1447328450</v>
      </c>
      <c r="E1616" s="25">
        <f>SUMIFS('Daftar Koreksi'!$H$5:$H$92,'Daftar Koreksi'!$D$5:$D$92,'0300'!A1610,'Daftar Koreksi'!$G$5:$G$92,"Gedung dan Bangunan",'Daftar Koreksi'!$H$5:$H$92,"&gt;0")</f>
        <v>0</v>
      </c>
      <c r="F1616" s="25">
        <f>SUMIFS('Daftar Koreksi'!$H$5:$H$92,'Daftar Koreksi'!$D$5:$D$92,'0300'!A1610,'Daftar Koreksi'!$G$5:$G$92,"Gedung dan Bangunan",'Daftar Koreksi'!$H$5:$H$92,"&lt;0")-SUMIFS('Daftar Koreksi'!$H$5:$H$92,'Daftar Koreksi'!$D$5:$D$92,'0300'!A1610,'Daftar Koreksi'!$G$5:$G$92,"Gedung dan Bangunan",'Daftar Koreksi'!$H$5:$H$92,"&lt;0")-SUMIFS('Daftar Koreksi'!$H$5:$H$92,'Daftar Koreksi'!$D$5:$D$92,'0300'!A1610,'Daftar Koreksi'!$G$5:$G$92,"Gedung dan Bangunan",'Daftar Koreksi'!$H$5:$H$92,"&lt;0")</f>
        <v>0</v>
      </c>
      <c r="G1616" s="17">
        <f t="shared" si="73"/>
        <v>1447328450</v>
      </c>
      <c r="H1616" s="122"/>
    </row>
    <row r="1617" spans="1:8" ht="21.95" customHeight="1">
      <c r="A1617" s="14"/>
      <c r="B1617" s="14"/>
      <c r="C1617" s="16" t="s">
        <v>1169</v>
      </c>
      <c r="D1617" s="17">
        <f>VLOOKUP(A1610,'Neraca Unaudited SIMAK'!$A$2:$S$10004,7,FALSE)</f>
        <v>92065000</v>
      </c>
      <c r="E1617" s="25">
        <f>SUMIFS('Daftar Koreksi'!$H$5:$H$92,'Daftar Koreksi'!$D$5:$D$92,'0300'!A1610,'Daftar Koreksi'!$G$5:$G$92,"Jalan Irigasi Jaringan",'Daftar Koreksi'!$H$5:$H$92,"&gt;0")</f>
        <v>0</v>
      </c>
      <c r="F1617" s="25">
        <f>SUMIFS('Daftar Koreksi'!$H$5:$H$92,'Daftar Koreksi'!$D$5:$D$92,'0300'!A1610,'Daftar Koreksi'!$G$5:$G$92,"Jalan Irigasi Jaringan",'Daftar Koreksi'!$H$5:$H$92,"&lt;0")-SUMIFS('Daftar Koreksi'!$H$5:$H$92,'Daftar Koreksi'!$D$5:$D$92,'0300'!A1610,'Daftar Koreksi'!$G$5:$G$92,"Jalan Irigasi Jaringan",'Daftar Koreksi'!$H$5:$H$92,"&lt;0")-SUMIFS('Daftar Koreksi'!$H$5:$H$92,'Daftar Koreksi'!$D$5:$D$92,'0300'!A1610,'Daftar Koreksi'!$G$5:$G$92,"Jalan Irigasi Jaringan",'Daftar Koreksi'!$H$5:$H$92,"&lt;0")</f>
        <v>0</v>
      </c>
      <c r="G1617" s="17">
        <f t="shared" si="73"/>
        <v>92065000</v>
      </c>
      <c r="H1617" s="122"/>
    </row>
    <row r="1618" spans="1:8" ht="21.95" customHeight="1">
      <c r="A1618" s="14"/>
      <c r="B1618" s="14"/>
      <c r="C1618" s="16" t="s">
        <v>1170</v>
      </c>
      <c r="D1618" s="17">
        <f>VLOOKUP(A1610,'Neraca Unaudited SIMAK'!$A$2:$S$10004,8,FALSE)</f>
        <v>7852680</v>
      </c>
      <c r="E1618" s="25">
        <f>SUMIFS('Daftar Koreksi'!$H$5:$H$92,'Daftar Koreksi'!$D$5:$D$92,'0300'!A1610,'Daftar Koreksi'!$G$5:$G$92,"Aset Tetap Lainnya",'Daftar Koreksi'!$H$5:$H$92,"&gt;0")</f>
        <v>0</v>
      </c>
      <c r="F1618" s="25">
        <f>SUMIFS('Daftar Koreksi'!$H$5:$H$92,'Daftar Koreksi'!$D$5:$D$92,'0300'!A1610,'Daftar Koreksi'!$G$5:$G$92,"Aset Tetap Lainnya",'Daftar Koreksi'!$H$5:$H$92,"&lt;0")-SUMIFS('Daftar Koreksi'!$H$5:$H$92,'Daftar Koreksi'!$D$5:$D$92,'0300'!A1610,'Daftar Koreksi'!$G$5:$G$92,"Aset Tetap Lainnya",'Daftar Koreksi'!$H$5:$H$92,"&lt;0")-SUMIFS('Daftar Koreksi'!$H$5:$H$92,'Daftar Koreksi'!$D$5:$D$92,'0300'!A1610,'Daftar Koreksi'!$G$5:$G$92,"Aset Tetap Lainnya",'Daftar Koreksi'!$H$5:$H$92,"&lt;0")</f>
        <v>0</v>
      </c>
      <c r="G1618" s="17">
        <f t="shared" si="73"/>
        <v>7852680</v>
      </c>
      <c r="H1618" s="122"/>
    </row>
    <row r="1619" spans="1:8" ht="21.95" customHeight="1">
      <c r="A1619" s="14"/>
      <c r="B1619" s="14"/>
      <c r="C1619" s="16" t="s">
        <v>1171</v>
      </c>
      <c r="D1619" s="17">
        <f>VLOOKUP(A1610,'Neraca Unaudited SIMAK'!$A$2:$S$10004,9,FALSE)</f>
        <v>0</v>
      </c>
      <c r="E1619" s="25">
        <f>SUMIFS('Daftar Koreksi'!$H$5:$H$92,'Daftar Koreksi'!$D$5:$D$92,'0300'!A1610,'Daftar Koreksi'!$G$5:$G$92,"Kontruksi Dalam Pengerjaan",'Daftar Koreksi'!$H$5:$H$92,"&gt;0")</f>
        <v>0</v>
      </c>
      <c r="F1619" s="25">
        <f>SUMIFS('Daftar Koreksi'!$H$5:$H$92,'Daftar Koreksi'!$D$5:$D$92,'0300'!A1610,'Daftar Koreksi'!$G$5:$G$92,"Kontruksi Dalam Pengerjaan",'Daftar Koreksi'!$H$5:$H$92,"&lt;0")-SUMIFS('Daftar Koreksi'!$H$5:$H$92,'Daftar Koreksi'!$D$5:$D$92,'0300'!A1610,'Daftar Koreksi'!$G$5:$G$92,"Kontruksi Dalam Pengerjaan",'Daftar Koreksi'!$H$5:$H$92,"&lt;0")-SUMIFS('Daftar Koreksi'!$H$5:$H$92,'Daftar Koreksi'!$D$5:$D$92,'0300'!A1610,'Daftar Koreksi'!$G$5:$G$92,"Kontruksi Dalam Pengerjaan",'Daftar Koreksi'!$H$5:$H$92,"&lt;0")</f>
        <v>0</v>
      </c>
      <c r="G1619" s="17">
        <f t="shared" si="73"/>
        <v>0</v>
      </c>
      <c r="H1619" s="122"/>
    </row>
    <row r="1620" spans="1:8" ht="21.95" customHeight="1">
      <c r="A1620" s="14"/>
      <c r="B1620" s="14"/>
      <c r="C1620" s="16" t="s">
        <v>1172</v>
      </c>
      <c r="D1620" s="17">
        <f>VLOOKUP(A1610,'Neraca Unaudited SIMAK'!$A$2:$S$10004,10,FALSE)</f>
        <v>0</v>
      </c>
      <c r="E1620" s="25">
        <f>SUMIFS('Daftar Koreksi'!$H$5:$H$92,'Daftar Koreksi'!$D$5:$D$92,'0300'!A1610,'Daftar Koreksi'!$G$5:$G$92,"Aset Tak Berwujud",'Daftar Koreksi'!$H$5:$H$92,"&gt;0")</f>
        <v>0</v>
      </c>
      <c r="F1620" s="25">
        <f>SUMIFS('Daftar Koreksi'!$H$5:$H$92,'Daftar Koreksi'!$D$5:$D$92,'0300'!A1610,'Daftar Koreksi'!$G$5:$G$92,"Aset Tak Berwujud",'Daftar Koreksi'!$H$5:$H$92,"&lt;0")-SUMIFS('Daftar Koreksi'!$H$5:$H$92,'Daftar Koreksi'!$D$5:$D$92,'0300'!A1610,'Daftar Koreksi'!$G$5:$G$92,"Aset Tak Berwujud",'Daftar Koreksi'!$H$5:$H$92,"&lt;0")-SUMIFS('Daftar Koreksi'!$H$5:$H$92,'Daftar Koreksi'!$D$5:$D$92,'0300'!A1610,'Daftar Koreksi'!$G$5:$G$92,"Aset Tak Berwujud",'Daftar Koreksi'!$H$5:$H$92,"&lt;0")</f>
        <v>0</v>
      </c>
      <c r="G1620" s="17">
        <f t="shared" si="73"/>
        <v>0</v>
      </c>
      <c r="H1620" s="122"/>
    </row>
    <row r="1621" spans="1:8" ht="21.95" customHeight="1">
      <c r="A1621" s="14"/>
      <c r="B1621" s="14"/>
      <c r="C1621" s="16" t="s">
        <v>1173</v>
      </c>
      <c r="D1621" s="17">
        <f>VLOOKUP(A1610,'Neraca Unaudited SIMAK'!$A$2:$S$10004,11,FALSE)</f>
        <v>0</v>
      </c>
      <c r="E1621" s="25">
        <f>SUMIFS('Daftar Koreksi'!$H$5:$H$92,'Daftar Koreksi'!$D$5:$D$92,'0300'!A1610,'Daftar Koreksi'!$G$5:$G$92,"Aset Henti Guna",'Daftar Koreksi'!$H$5:$H$92,"&gt;0")</f>
        <v>0</v>
      </c>
      <c r="F1621" s="25">
        <f>SUMIFS('Daftar Koreksi'!$H$5:$H$92,'Daftar Koreksi'!$D$5:$D$92,'0300'!A1610,'Daftar Koreksi'!$G$5:$G$92,"Aset Henti Guna",'Daftar Koreksi'!$H$5:$H$92,"&lt;0")-SUMIFS('Daftar Koreksi'!$H$5:$H$92,'Daftar Koreksi'!$D$5:$D$92,'0300'!A1610,'Daftar Koreksi'!$G$5:$G$92,"Aset Henti Guna",'Daftar Koreksi'!$H$5:$H$92,"&lt;0")-SUMIFS('Daftar Koreksi'!$H$5:$H$92,'Daftar Koreksi'!$D$5:$D$92,'0300'!A1610,'Daftar Koreksi'!$G$5:$G$92,"Aset Henti Guna",'Daftar Koreksi'!$H$5:$H$92,"&lt;0")</f>
        <v>0</v>
      </c>
      <c r="G1621" s="17">
        <f t="shared" si="73"/>
        <v>0</v>
      </c>
      <c r="H1621" s="122"/>
    </row>
    <row r="1622" spans="1:8" ht="21.95" customHeight="1">
      <c r="A1622" s="14"/>
      <c r="B1622" s="14"/>
      <c r="C1622" s="18" t="s">
        <v>2093</v>
      </c>
      <c r="D1622" s="19">
        <f>VLOOKUP(A1610,'Neraca Unaudited SIMAK'!$A$2:$S$10004,12,FALSE)</f>
        <v>2664788878</v>
      </c>
      <c r="E1622" s="19">
        <f>SUM(E1613:E1621)</f>
        <v>0</v>
      </c>
      <c r="F1622" s="19">
        <f>SUM(F1613:F1621)</f>
        <v>0</v>
      </c>
      <c r="G1622" s="19">
        <f t="shared" si="73"/>
        <v>2664788878</v>
      </c>
      <c r="H1622" s="122"/>
    </row>
    <row r="1623" spans="1:8" ht="21.95" customHeight="1">
      <c r="A1623" s="14"/>
      <c r="B1623" s="14"/>
      <c r="C1623" s="16" t="s">
        <v>2087</v>
      </c>
      <c r="D1623" s="17">
        <f>VLOOKUP(A1610,'Neraca Unaudited SIMAK'!$A$2:$S$10004,13,FALSE)</f>
        <v>-759683103</v>
      </c>
      <c r="E1623" s="25">
        <f>SUMIFS('Daftar Koreksi'!$I$5:$I$92,'Daftar Koreksi'!$D$5:$D$92,'0300'!A1610,'Daftar Koreksi'!$G$5:$G$92,"Peralatan dan mesin",'Daftar Koreksi'!$I$5:$I$92,"&gt;0")</f>
        <v>0</v>
      </c>
      <c r="F1623" s="25">
        <f>SUMIFS('Daftar Koreksi'!$I$5:$I$92,'Daftar Koreksi'!$D$5:$D$92,'0300'!A1610,'Daftar Koreksi'!$G$5:$G$92,"Peralatan dan mesin",'Daftar Koreksi'!$I$5:$I$92,"&lt;0")-SUMIFS('Daftar Koreksi'!$I$5:$I$92,'Daftar Koreksi'!$D$5:$D$92,'0300'!A1610,'Daftar Koreksi'!$G$5:$G$92,"Peralatan dan mesin",'Daftar Koreksi'!$I$5:$I$92,"&lt;0")-SUMIFS('Daftar Koreksi'!$I$5:$I$92,'Daftar Koreksi'!$D$5:$D$92,'0300'!A1610,'Daftar Koreksi'!$G$5:$G$92,"Peralatan dan mesin",'Daftar Koreksi'!$I$5:$I$92,"&lt;0")</f>
        <v>0</v>
      </c>
      <c r="G1623" s="17">
        <f t="shared" si="73"/>
        <v>-759683103</v>
      </c>
      <c r="H1623" s="122"/>
    </row>
    <row r="1624" spans="1:8" ht="21.95" customHeight="1">
      <c r="A1624" s="14"/>
      <c r="B1624" s="14"/>
      <c r="C1624" s="16" t="s">
        <v>2088</v>
      </c>
      <c r="D1624" s="17">
        <f>VLOOKUP(A1610,'Neraca Unaudited SIMAK'!$A$2:$S$10004,14,FALSE)</f>
        <v>-182678176</v>
      </c>
      <c r="E1624" s="25">
        <f>SUMIFS('Daftar Koreksi'!$I$5:$I$92,'Daftar Koreksi'!$D$5:$D$92,'0300'!A1610,'Daftar Koreksi'!$G$5:$G$92,"Gedung dan Bangunan",'Daftar Koreksi'!$I$5:$I$92,"&gt;0")</f>
        <v>0</v>
      </c>
      <c r="F1624" s="25">
        <f>SUMIFS('Daftar Koreksi'!$I$5:$I$92,'Daftar Koreksi'!$D$5:$D$92,'0300'!A1610,'Daftar Koreksi'!$G$5:$G$92,"Gedung dan Bangunan",'Daftar Koreksi'!$I$5:$I$92,"&lt;0")-SUMIFS('Daftar Koreksi'!$I$5:$I$92,'Daftar Koreksi'!$D$5:$D$92,'0300'!A1610,'Daftar Koreksi'!$G$5:$G$92,"Gedung dan Bangunan",'Daftar Koreksi'!$I$5:$I$92,"&lt;0")-SUMIFS('Daftar Koreksi'!$I$5:$I$92,'Daftar Koreksi'!$D$5:$D$92,'0300'!A1610,'Daftar Koreksi'!$G$5:$G$92,"Gedung dan Bangunan",'Daftar Koreksi'!$I$5:$I$92,"&lt;0")</f>
        <v>0</v>
      </c>
      <c r="G1624" s="17">
        <f t="shared" si="73"/>
        <v>-182678176</v>
      </c>
      <c r="H1624" s="122"/>
    </row>
    <row r="1625" spans="1:8" ht="21.95" customHeight="1">
      <c r="A1625" s="14"/>
      <c r="B1625" s="14"/>
      <c r="C1625" s="16" t="s">
        <v>2089</v>
      </c>
      <c r="D1625" s="17">
        <f>VLOOKUP(A1610,'Neraca Unaudited SIMAK'!$A$2:$S$10004,15,FALSE)</f>
        <v>-51787626</v>
      </c>
      <c r="E1625" s="25">
        <f>SUMIFS('Daftar Koreksi'!$I$5:$I$92,'Daftar Koreksi'!$D$5:$D$92,'0300'!A1610,'Daftar Koreksi'!$G$5:$G$92,"Jalan Irigasi Jaringan",'Daftar Koreksi'!$I$5:$I$92,"&gt;0")</f>
        <v>0</v>
      </c>
      <c r="F1625" s="25">
        <f>SUMIFS('Daftar Koreksi'!$I$5:$I$92,'Daftar Koreksi'!$D$5:$D$92,'0300'!A1610,'Daftar Koreksi'!$G$5:$G$92,"Jalan Irigasi Jaringan",'Daftar Koreksi'!$I$5:$I$92,"&lt;0")-SUMIFS('Daftar Koreksi'!$I$5:$I$92,'Daftar Koreksi'!$D$5:$D$92,'0300'!A1610,'Daftar Koreksi'!$G$5:$G$92,"Jalan Irigasi Jaringan",'Daftar Koreksi'!$I$5:$I$92,"&lt;0")-SUMIFS('Daftar Koreksi'!$I$5:$I$92,'Daftar Koreksi'!$D$5:$D$92,'0300'!A1610,'Daftar Koreksi'!$G$5:$G$92,"Jalan Irigasi Jaringan",'Daftar Koreksi'!$I$5:$I$92,"&lt;0")</f>
        <v>0</v>
      </c>
      <c r="G1625" s="17">
        <f t="shared" si="73"/>
        <v>-51787626</v>
      </c>
      <c r="H1625" s="122"/>
    </row>
    <row r="1626" spans="1:8" ht="21.95" customHeight="1">
      <c r="A1626" s="14"/>
      <c r="B1626" s="14"/>
      <c r="C1626" s="16" t="s">
        <v>2090</v>
      </c>
      <c r="D1626" s="17">
        <f>VLOOKUP(A1610,'Neraca Unaudited SIMAK'!$A$2:$S$10004,16,FALSE)</f>
        <v>0</v>
      </c>
      <c r="E1626" s="25">
        <f>SUMIFS('Daftar Koreksi'!$I$5:$I$92,'Daftar Koreksi'!$D$5:$D$92,'0300'!A1610,'Daftar Koreksi'!$G$5:$G$92,"Aset Tetap Lainnya",'Daftar Koreksi'!$I$5:$I$92,"&gt;0")</f>
        <v>0</v>
      </c>
      <c r="F1626" s="25">
        <f>SUMIFS('Daftar Koreksi'!$I$5:$I$92,'Daftar Koreksi'!$D$5:$D$92,'0300'!A1610,'Daftar Koreksi'!$G$5:$G$92,"Aset Tetap Lainnya",'Daftar Koreksi'!$I$5:$I$92,"&lt;0")-SUMIFS('Daftar Koreksi'!$I$5:$I$92,'Daftar Koreksi'!$D$5:$D$92,'0300'!A1610,'Daftar Koreksi'!$G$5:$G$92,"Aset Tetap Lainnya",'Daftar Koreksi'!$I$5:$I$92,"&lt;0")-SUMIFS('Daftar Koreksi'!$I$5:$I$92,'Daftar Koreksi'!$D$5:$D$92,'0300'!A1610,'Daftar Koreksi'!$G$5:$G$92,"Aset Tetap Lainnya",'Daftar Koreksi'!$I$5:$I$92,"&lt;0")</f>
        <v>0</v>
      </c>
      <c r="G1626" s="17">
        <f t="shared" si="73"/>
        <v>0</v>
      </c>
      <c r="H1626" s="122"/>
    </row>
    <row r="1627" spans="1:8" ht="21.95" customHeight="1">
      <c r="A1627" s="14"/>
      <c r="B1627" s="14"/>
      <c r="C1627" s="16" t="s">
        <v>2020</v>
      </c>
      <c r="D1627" s="17">
        <f>VLOOKUP(A1610,'Neraca Unaudited SIMAK'!$A$2:$S$10004,17,FALSE)</f>
        <v>0</v>
      </c>
      <c r="E1627" s="25">
        <f>SUMIFS('Daftar Koreksi'!$I$5:$I$92,'Daftar Koreksi'!$D$5:$D$92,'0300'!A1610,'Daftar Koreksi'!$G$5:$G$92,"Aset Henti Guna",'Daftar Koreksi'!$I$5:$I$92,"&gt;0")</f>
        <v>0</v>
      </c>
      <c r="F1627" s="25">
        <f>SUMIFS('Daftar Koreksi'!$I$5:$I$92,'Daftar Koreksi'!$D$5:$D$92,'0300'!A1610,'Daftar Koreksi'!$G$5:$G$92,"Aset Henti Guna",'Daftar Koreksi'!$I$5:$I$92,"&lt;0")-SUMIFS('Daftar Koreksi'!$I$5:$I$92,'Daftar Koreksi'!$D$5:$D$92,'0300'!A1610,'Daftar Koreksi'!$G$5:$G$92,"Aset Henti Guna",'Daftar Koreksi'!$I$5:$I$92,"&lt;0")-SUMIFS('Daftar Koreksi'!$I$5:$I$92,'Daftar Koreksi'!$D$5:$D$92,'0300'!A1610,'Daftar Koreksi'!$G$5:$G$92,"Aset Henti Guna",'Daftar Koreksi'!$I$5:$I$92,"&lt;0")</f>
        <v>0</v>
      </c>
      <c r="G1627" s="17">
        <f t="shared" si="73"/>
        <v>0</v>
      </c>
      <c r="H1627" s="122"/>
    </row>
    <row r="1628" spans="1:8" ht="21.95" customHeight="1">
      <c r="A1628" s="14"/>
      <c r="B1628" s="14"/>
      <c r="C1628" s="18" t="s">
        <v>2094</v>
      </c>
      <c r="D1628" s="19">
        <f>SUM(D1623:D1627)</f>
        <v>-994148905</v>
      </c>
      <c r="E1628" s="19">
        <f>SUM(E1623:E1627)</f>
        <v>0</v>
      </c>
      <c r="F1628" s="19">
        <f>SUM(F1623:F1627)</f>
        <v>0</v>
      </c>
      <c r="G1628" s="19">
        <f t="shared" si="73"/>
        <v>-994148905</v>
      </c>
      <c r="H1628" s="122"/>
    </row>
    <row r="1629" spans="1:8" ht="21.95" customHeight="1">
      <c r="A1629" s="14"/>
      <c r="B1629" s="14"/>
      <c r="C1629" s="18" t="s">
        <v>2095</v>
      </c>
      <c r="D1629" s="19">
        <f>VLOOKUP(A1610,'Neraca Unaudited SIMAK'!$A$2:$S$10004,18,FALSE)</f>
        <v>1670639973</v>
      </c>
      <c r="E1629" s="19">
        <f>E1628+E1622</f>
        <v>0</v>
      </c>
      <c r="F1629" s="19">
        <f>F1628+F1622</f>
        <v>0</v>
      </c>
      <c r="G1629" s="19">
        <f t="shared" si="73"/>
        <v>1670639973</v>
      </c>
      <c r="H1629" s="122"/>
    </row>
    <row r="1630" spans="1:8" ht="21.95" customHeight="1">
      <c r="A1630" s="14"/>
      <c r="B1630" s="14"/>
      <c r="C1630" s="16" t="s">
        <v>2091</v>
      </c>
      <c r="D1630" s="17">
        <f>VLOOKUP(A1610,'Neraca Unaudited SIMAK'!$A$2:$S$10004,19,FALSE)</f>
        <v>0</v>
      </c>
      <c r="E1630" s="25"/>
      <c r="F1630" s="25"/>
      <c r="G1630" s="17">
        <f t="shared" si="73"/>
        <v>0</v>
      </c>
      <c r="H1630" s="123"/>
    </row>
    <row r="1632" spans="1:8" ht="19.5" customHeight="1">
      <c r="A1632" s="11" t="str">
        <f>O75</f>
        <v>005010300663288000KD</v>
      </c>
      <c r="B1632" s="11" t="str">
        <f>P75</f>
        <v>DILMIL.  II - 10 di Semarang</v>
      </c>
      <c r="C1632" s="12" t="str">
        <f>A1632&amp;" "&amp;B1632</f>
        <v>005010300663288000KD DILMIL.  II - 10 di Semarang</v>
      </c>
      <c r="D1632" s="13"/>
      <c r="E1632" s="13"/>
      <c r="F1632" s="13"/>
      <c r="G1632" s="13"/>
      <c r="H1632" s="11"/>
    </row>
    <row r="1633" spans="1:8" ht="21.95" customHeight="1">
      <c r="A1633" s="14"/>
      <c r="B1633" s="14"/>
      <c r="C1633" s="124" t="s">
        <v>1982</v>
      </c>
      <c r="D1633" s="126" t="s">
        <v>1983</v>
      </c>
      <c r="E1633" s="132" t="s">
        <v>1984</v>
      </c>
      <c r="F1633" s="132"/>
      <c r="G1633" s="126" t="s">
        <v>1987</v>
      </c>
      <c r="H1633" s="130" t="s">
        <v>1175</v>
      </c>
    </row>
    <row r="1634" spans="1:8" ht="21.95" customHeight="1">
      <c r="A1634" s="14"/>
      <c r="B1634" s="14"/>
      <c r="C1634" s="125"/>
      <c r="D1634" s="127"/>
      <c r="E1634" s="26" t="s">
        <v>1985</v>
      </c>
      <c r="F1634" s="26" t="s">
        <v>1986</v>
      </c>
      <c r="G1634" s="127"/>
      <c r="H1634" s="131"/>
    </row>
    <row r="1635" spans="1:8" ht="21.95" customHeight="1">
      <c r="A1635" s="14"/>
      <c r="B1635" s="14"/>
      <c r="C1635" s="16" t="s">
        <v>1165</v>
      </c>
      <c r="D1635" s="17">
        <f>VLOOKUP(A1632,'Neraca Unaudited SIMAK'!$A$2:$S$10004,3,FALSE)</f>
        <v>690000</v>
      </c>
      <c r="E1635" s="25">
        <f>SUMIFS('Daftar Koreksi'!$H$5:$H$92,'Daftar Koreksi'!$D$5:$D$92,'0300'!A1632,'Daftar Koreksi'!$G$5:$G$92,"Persediaan",'Daftar Koreksi'!$H$5:$H$92,"&gt;0")</f>
        <v>0</v>
      </c>
      <c r="F1635" s="25">
        <f>SUMIFS('Daftar Koreksi'!$H$5:$H$92,'Daftar Koreksi'!$D$5:$D$92,'0300'!A1632,'Daftar Koreksi'!$G$5:$G$92,"Persediaan",'Daftar Koreksi'!$H$5:$H$92,"&lt;0")-SUMIFS('Daftar Koreksi'!$H$5:$H$92,'Daftar Koreksi'!$D$5:$D$92,'0300'!A1632,'Daftar Koreksi'!$G$5:$G$92,"Persediaan",'Daftar Koreksi'!$H$5:$H$92,"&lt;0")-SUMIFS('Daftar Koreksi'!$H$5:$H$92,'Daftar Koreksi'!$D$5:$D$92,'0300'!A1632,'Daftar Koreksi'!$G$5:$G$92,"Persediaan",'Daftar Koreksi'!$H$5:$H$92,"&lt;0")</f>
        <v>0</v>
      </c>
      <c r="G1635" s="17">
        <f>D1635+E1635-F1635</f>
        <v>690000</v>
      </c>
      <c r="H1635" s="121" t="str">
        <f>IF(ISNA(VLOOKUP(A1632,'Mutasi Neraca'!$A$3:$S$914,19,FALSE)),"-",VLOOKUP(A1632,'Mutasi Neraca'!$A$3:$S$914,19,FALSE))</f>
        <v>-</v>
      </c>
    </row>
    <row r="1636" spans="1:8" ht="21.95" customHeight="1">
      <c r="A1636" s="14"/>
      <c r="B1636" s="14"/>
      <c r="C1636" s="16" t="s">
        <v>1166</v>
      </c>
      <c r="D1636" s="17">
        <f>VLOOKUP(A1632,'Neraca Unaudited SIMAK'!$A$2:$S$10004,4,FALSE)</f>
        <v>2686180000</v>
      </c>
      <c r="E1636" s="25">
        <f>SUMIFS('Daftar Koreksi'!$H$5:$H$92,'Daftar Koreksi'!$D$5:$D$92,'0300'!A1632,'Daftar Koreksi'!$G$5:$G$92,"Tanah",'Daftar Koreksi'!$H$5:$H$92,"&gt;0")</f>
        <v>0</v>
      </c>
      <c r="F1636" s="25">
        <f>SUMIFS('Daftar Koreksi'!$H$5:$H$92,'Daftar Koreksi'!$D$5:$D$92,'0300'!A1632,'Daftar Koreksi'!$G$5:$G$92,"Tanah",'Daftar Koreksi'!$H$5:$H$92,"&lt;0")-SUMIFS('Daftar Koreksi'!$H$5:$H$92,'Daftar Koreksi'!$D$5:$D$92,'0300'!A1632,'Daftar Koreksi'!$G$5:$G$92,"Tanah",'Daftar Koreksi'!$H$5:$H$92,"&lt;0")-SUMIFS('Daftar Koreksi'!$H$5:$H$92,'Daftar Koreksi'!$D$5:$D$92,'0300'!A1632,'Daftar Koreksi'!$G$5:$G$92,"Tanah",'Daftar Koreksi'!$H$5:$H$92,"&lt;0")</f>
        <v>0</v>
      </c>
      <c r="G1636" s="17">
        <f t="shared" ref="G1636:G1652" si="74">D1636+E1636-F1636</f>
        <v>2686180000</v>
      </c>
      <c r="H1636" s="122"/>
    </row>
    <row r="1637" spans="1:8" ht="21.95" customHeight="1">
      <c r="A1637" s="14"/>
      <c r="B1637" s="14"/>
      <c r="C1637" s="16" t="s">
        <v>1167</v>
      </c>
      <c r="D1637" s="17">
        <f>VLOOKUP(A1632,'Neraca Unaudited SIMAK'!$A$2:$S$10004,5,FALSE)</f>
        <v>1709437750</v>
      </c>
      <c r="E1637" s="25">
        <f>SUMIFS('Daftar Koreksi'!$H$5:$H$92,'Daftar Koreksi'!$D$5:$D$92,'0300'!A1632,'Daftar Koreksi'!$G$5:$G$92,"Peralatan dan mesin",'Daftar Koreksi'!$H$5:$H$92,"&gt;0")</f>
        <v>0</v>
      </c>
      <c r="F1637" s="25">
        <f>SUMIFS('Daftar Koreksi'!$H$5:$H$92,'Daftar Koreksi'!$D$5:$D$92,'0300'!A1632,'Daftar Koreksi'!$G$5:$G$92,"Peralatan dan mesin",'Daftar Koreksi'!$H$5:$H$92,"&lt;0")-SUMIFS('Daftar Koreksi'!$H$5:$H$92,'Daftar Koreksi'!$D$5:$D$92,'0300'!A1632,'Daftar Koreksi'!$G$5:$G$92,"Peralatan dan mesin",'Daftar Koreksi'!$H$5:$H$92,"&lt;0")-SUMIFS('Daftar Koreksi'!$H$5:$H$92,'Daftar Koreksi'!$D$5:$D$92,'0300'!A1632,'Daftar Koreksi'!$G$5:$G$92,"Peralatan dan mesin",'Daftar Koreksi'!$H$5:$H$92,"&lt;0")</f>
        <v>0</v>
      </c>
      <c r="G1637" s="17">
        <f t="shared" si="74"/>
        <v>1709437750</v>
      </c>
      <c r="H1637" s="122"/>
    </row>
    <row r="1638" spans="1:8" ht="21.95" customHeight="1">
      <c r="A1638" s="14"/>
      <c r="B1638" s="14"/>
      <c r="C1638" s="16" t="s">
        <v>1168</v>
      </c>
      <c r="D1638" s="17">
        <f>VLOOKUP(A1632,'Neraca Unaudited SIMAK'!$A$2:$S$10004,6,FALSE)</f>
        <v>0</v>
      </c>
      <c r="E1638" s="25">
        <f>SUMIFS('Daftar Koreksi'!$H$5:$H$92,'Daftar Koreksi'!$D$5:$D$92,'0300'!A1632,'Daftar Koreksi'!$G$5:$G$92,"Gedung dan Bangunan",'Daftar Koreksi'!$H$5:$H$92,"&gt;0")</f>
        <v>0</v>
      </c>
      <c r="F1638" s="25">
        <f>SUMIFS('Daftar Koreksi'!$H$5:$H$92,'Daftar Koreksi'!$D$5:$D$92,'0300'!A1632,'Daftar Koreksi'!$G$5:$G$92,"Gedung dan Bangunan",'Daftar Koreksi'!$H$5:$H$92,"&lt;0")-SUMIFS('Daftar Koreksi'!$H$5:$H$92,'Daftar Koreksi'!$D$5:$D$92,'0300'!A1632,'Daftar Koreksi'!$G$5:$G$92,"Gedung dan Bangunan",'Daftar Koreksi'!$H$5:$H$92,"&lt;0")-SUMIFS('Daftar Koreksi'!$H$5:$H$92,'Daftar Koreksi'!$D$5:$D$92,'0300'!A1632,'Daftar Koreksi'!$G$5:$G$92,"Gedung dan Bangunan",'Daftar Koreksi'!$H$5:$H$92,"&lt;0")</f>
        <v>0</v>
      </c>
      <c r="G1638" s="17">
        <f t="shared" si="74"/>
        <v>0</v>
      </c>
      <c r="H1638" s="122"/>
    </row>
    <row r="1639" spans="1:8" ht="21.95" customHeight="1">
      <c r="A1639" s="14"/>
      <c r="B1639" s="14"/>
      <c r="C1639" s="16" t="s">
        <v>1169</v>
      </c>
      <c r="D1639" s="17">
        <f>VLOOKUP(A1632,'Neraca Unaudited SIMAK'!$A$2:$S$10004,7,FALSE)</f>
        <v>0</v>
      </c>
      <c r="E1639" s="25">
        <f>SUMIFS('Daftar Koreksi'!$H$5:$H$92,'Daftar Koreksi'!$D$5:$D$92,'0300'!A1632,'Daftar Koreksi'!$G$5:$G$92,"Jalan Irigasi Jaringan",'Daftar Koreksi'!$H$5:$H$92,"&gt;0")</f>
        <v>0</v>
      </c>
      <c r="F1639" s="25">
        <f>SUMIFS('Daftar Koreksi'!$H$5:$H$92,'Daftar Koreksi'!$D$5:$D$92,'0300'!A1632,'Daftar Koreksi'!$G$5:$G$92,"Jalan Irigasi Jaringan",'Daftar Koreksi'!$H$5:$H$92,"&lt;0")-SUMIFS('Daftar Koreksi'!$H$5:$H$92,'Daftar Koreksi'!$D$5:$D$92,'0300'!A1632,'Daftar Koreksi'!$G$5:$G$92,"Jalan Irigasi Jaringan",'Daftar Koreksi'!$H$5:$H$92,"&lt;0")-SUMIFS('Daftar Koreksi'!$H$5:$H$92,'Daftar Koreksi'!$D$5:$D$92,'0300'!A1632,'Daftar Koreksi'!$G$5:$G$92,"Jalan Irigasi Jaringan",'Daftar Koreksi'!$H$5:$H$92,"&lt;0")</f>
        <v>0</v>
      </c>
      <c r="G1639" s="17">
        <f t="shared" si="74"/>
        <v>0</v>
      </c>
      <c r="H1639" s="122"/>
    </row>
    <row r="1640" spans="1:8" ht="21.95" customHeight="1">
      <c r="A1640" s="14"/>
      <c r="B1640" s="14"/>
      <c r="C1640" s="16" t="s">
        <v>1170</v>
      </c>
      <c r="D1640" s="17">
        <f>VLOOKUP(A1632,'Neraca Unaudited SIMAK'!$A$2:$S$10004,8,FALSE)</f>
        <v>2828678</v>
      </c>
      <c r="E1640" s="25">
        <f>SUMIFS('Daftar Koreksi'!$H$5:$H$92,'Daftar Koreksi'!$D$5:$D$92,'0300'!A1632,'Daftar Koreksi'!$G$5:$G$92,"Aset Tetap Lainnya",'Daftar Koreksi'!$H$5:$H$92,"&gt;0")</f>
        <v>0</v>
      </c>
      <c r="F1640" s="25">
        <f>SUMIFS('Daftar Koreksi'!$H$5:$H$92,'Daftar Koreksi'!$D$5:$D$92,'0300'!A1632,'Daftar Koreksi'!$G$5:$G$92,"Aset Tetap Lainnya",'Daftar Koreksi'!$H$5:$H$92,"&lt;0")-SUMIFS('Daftar Koreksi'!$H$5:$H$92,'Daftar Koreksi'!$D$5:$D$92,'0300'!A1632,'Daftar Koreksi'!$G$5:$G$92,"Aset Tetap Lainnya",'Daftar Koreksi'!$H$5:$H$92,"&lt;0")-SUMIFS('Daftar Koreksi'!$H$5:$H$92,'Daftar Koreksi'!$D$5:$D$92,'0300'!A1632,'Daftar Koreksi'!$G$5:$G$92,"Aset Tetap Lainnya",'Daftar Koreksi'!$H$5:$H$92,"&lt;0")</f>
        <v>0</v>
      </c>
      <c r="G1640" s="17">
        <f t="shared" si="74"/>
        <v>2828678</v>
      </c>
      <c r="H1640" s="122"/>
    </row>
    <row r="1641" spans="1:8" ht="21.95" customHeight="1">
      <c r="A1641" s="14"/>
      <c r="B1641" s="14"/>
      <c r="C1641" s="16" t="s">
        <v>1171</v>
      </c>
      <c r="D1641" s="17">
        <f>VLOOKUP(A1632,'Neraca Unaudited SIMAK'!$A$2:$S$10004,9,FALSE)</f>
        <v>0</v>
      </c>
      <c r="E1641" s="25">
        <f>SUMIFS('Daftar Koreksi'!$H$5:$H$92,'Daftar Koreksi'!$D$5:$D$92,'0300'!A1632,'Daftar Koreksi'!$G$5:$G$92,"Kontruksi Dalam Pengerjaan",'Daftar Koreksi'!$H$5:$H$92,"&gt;0")</f>
        <v>0</v>
      </c>
      <c r="F1641" s="25">
        <f>SUMIFS('Daftar Koreksi'!$H$5:$H$92,'Daftar Koreksi'!$D$5:$D$92,'0300'!A1632,'Daftar Koreksi'!$G$5:$G$92,"Kontruksi Dalam Pengerjaan",'Daftar Koreksi'!$H$5:$H$92,"&lt;0")-SUMIFS('Daftar Koreksi'!$H$5:$H$92,'Daftar Koreksi'!$D$5:$D$92,'0300'!A1632,'Daftar Koreksi'!$G$5:$G$92,"Kontruksi Dalam Pengerjaan",'Daftar Koreksi'!$H$5:$H$92,"&lt;0")-SUMIFS('Daftar Koreksi'!$H$5:$H$92,'Daftar Koreksi'!$D$5:$D$92,'0300'!A1632,'Daftar Koreksi'!$G$5:$G$92,"Kontruksi Dalam Pengerjaan",'Daftar Koreksi'!$H$5:$H$92,"&lt;0")</f>
        <v>0</v>
      </c>
      <c r="G1641" s="17">
        <f t="shared" si="74"/>
        <v>0</v>
      </c>
      <c r="H1641" s="122"/>
    </row>
    <row r="1642" spans="1:8" ht="21.95" customHeight="1">
      <c r="A1642" s="14"/>
      <c r="B1642" s="14"/>
      <c r="C1642" s="16" t="s">
        <v>1172</v>
      </c>
      <c r="D1642" s="17">
        <f>VLOOKUP(A1632,'Neraca Unaudited SIMAK'!$A$2:$S$10004,10,FALSE)</f>
        <v>99220000</v>
      </c>
      <c r="E1642" s="25">
        <f>SUMIFS('Daftar Koreksi'!$H$5:$H$92,'Daftar Koreksi'!$D$5:$D$92,'0300'!A1632,'Daftar Koreksi'!$G$5:$G$92,"Aset Tak Berwujud",'Daftar Koreksi'!$H$5:$H$92,"&gt;0")</f>
        <v>0</v>
      </c>
      <c r="F1642" s="25">
        <f>SUMIFS('Daftar Koreksi'!$H$5:$H$92,'Daftar Koreksi'!$D$5:$D$92,'0300'!A1632,'Daftar Koreksi'!$G$5:$G$92,"Aset Tak Berwujud",'Daftar Koreksi'!$H$5:$H$92,"&lt;0")-SUMIFS('Daftar Koreksi'!$H$5:$H$92,'Daftar Koreksi'!$D$5:$D$92,'0300'!A1632,'Daftar Koreksi'!$G$5:$G$92,"Aset Tak Berwujud",'Daftar Koreksi'!$H$5:$H$92,"&lt;0")-SUMIFS('Daftar Koreksi'!$H$5:$H$92,'Daftar Koreksi'!$D$5:$D$92,'0300'!A1632,'Daftar Koreksi'!$G$5:$G$92,"Aset Tak Berwujud",'Daftar Koreksi'!$H$5:$H$92,"&lt;0")</f>
        <v>0</v>
      </c>
      <c r="G1642" s="17">
        <f t="shared" si="74"/>
        <v>99220000</v>
      </c>
      <c r="H1642" s="122"/>
    </row>
    <row r="1643" spans="1:8" ht="21.95" customHeight="1">
      <c r="A1643" s="14"/>
      <c r="B1643" s="14"/>
      <c r="C1643" s="16" t="s">
        <v>1173</v>
      </c>
      <c r="D1643" s="17">
        <f>VLOOKUP(A1632,'Neraca Unaudited SIMAK'!$A$2:$S$10004,11,FALSE)</f>
        <v>128653050</v>
      </c>
      <c r="E1643" s="25">
        <f>SUMIFS('Daftar Koreksi'!$H$5:$H$92,'Daftar Koreksi'!$D$5:$D$92,'0300'!A1632,'Daftar Koreksi'!$G$5:$G$92,"Aset Henti Guna",'Daftar Koreksi'!$H$5:$H$92,"&gt;0")</f>
        <v>0</v>
      </c>
      <c r="F1643" s="25">
        <f>SUMIFS('Daftar Koreksi'!$H$5:$H$92,'Daftar Koreksi'!$D$5:$D$92,'0300'!A1632,'Daftar Koreksi'!$G$5:$G$92,"Aset Henti Guna",'Daftar Koreksi'!$H$5:$H$92,"&lt;0")-SUMIFS('Daftar Koreksi'!$H$5:$H$92,'Daftar Koreksi'!$D$5:$D$92,'0300'!A1632,'Daftar Koreksi'!$G$5:$G$92,"Aset Henti Guna",'Daftar Koreksi'!$H$5:$H$92,"&lt;0")-SUMIFS('Daftar Koreksi'!$H$5:$H$92,'Daftar Koreksi'!$D$5:$D$92,'0300'!A1632,'Daftar Koreksi'!$G$5:$G$92,"Aset Henti Guna",'Daftar Koreksi'!$H$5:$H$92,"&lt;0")</f>
        <v>0</v>
      </c>
      <c r="G1643" s="17">
        <f t="shared" si="74"/>
        <v>128653050</v>
      </c>
      <c r="H1643" s="122"/>
    </row>
    <row r="1644" spans="1:8" ht="21.95" customHeight="1">
      <c r="A1644" s="14"/>
      <c r="B1644" s="14"/>
      <c r="C1644" s="18" t="s">
        <v>2093</v>
      </c>
      <c r="D1644" s="19">
        <f>VLOOKUP(A1632,'Neraca Unaudited SIMAK'!$A$2:$S$10004,12,FALSE)</f>
        <v>4627009478</v>
      </c>
      <c r="E1644" s="19">
        <f>SUM(E1635:E1643)</f>
        <v>0</v>
      </c>
      <c r="F1644" s="19">
        <f>SUM(F1635:F1643)</f>
        <v>0</v>
      </c>
      <c r="G1644" s="19">
        <f t="shared" si="74"/>
        <v>4627009478</v>
      </c>
      <c r="H1644" s="122"/>
    </row>
    <row r="1645" spans="1:8" ht="21.95" customHeight="1">
      <c r="A1645" s="14"/>
      <c r="B1645" s="14"/>
      <c r="C1645" s="16" t="s">
        <v>2087</v>
      </c>
      <c r="D1645" s="17">
        <f>VLOOKUP(A1632,'Neraca Unaudited SIMAK'!$A$2:$S$10004,13,FALSE)</f>
        <v>-1540662580</v>
      </c>
      <c r="E1645" s="25">
        <f>SUMIFS('Daftar Koreksi'!$I$5:$I$92,'Daftar Koreksi'!$D$5:$D$92,'0300'!A1632,'Daftar Koreksi'!$G$5:$G$92,"Peralatan dan mesin",'Daftar Koreksi'!$I$5:$I$92,"&gt;0")</f>
        <v>0</v>
      </c>
      <c r="F1645" s="25">
        <f>SUMIFS('Daftar Koreksi'!$I$5:$I$92,'Daftar Koreksi'!$D$5:$D$92,'0300'!A1632,'Daftar Koreksi'!$G$5:$G$92,"Peralatan dan mesin",'Daftar Koreksi'!$I$5:$I$92,"&lt;0")-SUMIFS('Daftar Koreksi'!$I$5:$I$92,'Daftar Koreksi'!$D$5:$D$92,'0300'!A1632,'Daftar Koreksi'!$G$5:$G$92,"Peralatan dan mesin",'Daftar Koreksi'!$I$5:$I$92,"&lt;0")-SUMIFS('Daftar Koreksi'!$I$5:$I$92,'Daftar Koreksi'!$D$5:$D$92,'0300'!A1632,'Daftar Koreksi'!$G$5:$G$92,"Peralatan dan mesin",'Daftar Koreksi'!$I$5:$I$92,"&lt;0")</f>
        <v>0</v>
      </c>
      <c r="G1645" s="17">
        <f t="shared" si="74"/>
        <v>-1540662580</v>
      </c>
      <c r="H1645" s="122"/>
    </row>
    <row r="1646" spans="1:8" ht="21.95" customHeight="1">
      <c r="A1646" s="14"/>
      <c r="B1646" s="14"/>
      <c r="C1646" s="16" t="s">
        <v>2088</v>
      </c>
      <c r="D1646" s="17">
        <f>VLOOKUP(A1632,'Neraca Unaudited SIMAK'!$A$2:$S$10004,14,FALSE)</f>
        <v>0</v>
      </c>
      <c r="E1646" s="25">
        <f>SUMIFS('Daftar Koreksi'!$I$5:$I$92,'Daftar Koreksi'!$D$5:$D$92,'0300'!A1632,'Daftar Koreksi'!$G$5:$G$92,"Gedung dan Bangunan",'Daftar Koreksi'!$I$5:$I$92,"&gt;0")</f>
        <v>0</v>
      </c>
      <c r="F1646" s="25">
        <f>SUMIFS('Daftar Koreksi'!$I$5:$I$92,'Daftar Koreksi'!$D$5:$D$92,'0300'!A1632,'Daftar Koreksi'!$G$5:$G$92,"Gedung dan Bangunan",'Daftar Koreksi'!$I$5:$I$92,"&lt;0")-SUMIFS('Daftar Koreksi'!$I$5:$I$92,'Daftar Koreksi'!$D$5:$D$92,'0300'!A1632,'Daftar Koreksi'!$G$5:$G$92,"Gedung dan Bangunan",'Daftar Koreksi'!$I$5:$I$92,"&lt;0")-SUMIFS('Daftar Koreksi'!$I$5:$I$92,'Daftar Koreksi'!$D$5:$D$92,'0300'!A1632,'Daftar Koreksi'!$G$5:$G$92,"Gedung dan Bangunan",'Daftar Koreksi'!$I$5:$I$92,"&lt;0")</f>
        <v>0</v>
      </c>
      <c r="G1646" s="17">
        <f t="shared" si="74"/>
        <v>0</v>
      </c>
      <c r="H1646" s="122"/>
    </row>
    <row r="1647" spans="1:8" ht="21.95" customHeight="1">
      <c r="A1647" s="14"/>
      <c r="B1647" s="14"/>
      <c r="C1647" s="16" t="s">
        <v>2089</v>
      </c>
      <c r="D1647" s="17">
        <f>VLOOKUP(A1632,'Neraca Unaudited SIMAK'!$A$2:$S$10004,15,FALSE)</f>
        <v>0</v>
      </c>
      <c r="E1647" s="25">
        <f>SUMIFS('Daftar Koreksi'!$I$5:$I$92,'Daftar Koreksi'!$D$5:$D$92,'0300'!A1632,'Daftar Koreksi'!$G$5:$G$92,"Jalan Irigasi Jaringan",'Daftar Koreksi'!$I$5:$I$92,"&gt;0")</f>
        <v>0</v>
      </c>
      <c r="F1647" s="25">
        <f>SUMIFS('Daftar Koreksi'!$I$5:$I$92,'Daftar Koreksi'!$D$5:$D$92,'0300'!A1632,'Daftar Koreksi'!$G$5:$G$92,"Jalan Irigasi Jaringan",'Daftar Koreksi'!$I$5:$I$92,"&lt;0")-SUMIFS('Daftar Koreksi'!$I$5:$I$92,'Daftar Koreksi'!$D$5:$D$92,'0300'!A1632,'Daftar Koreksi'!$G$5:$G$92,"Jalan Irigasi Jaringan",'Daftar Koreksi'!$I$5:$I$92,"&lt;0")-SUMIFS('Daftar Koreksi'!$I$5:$I$92,'Daftar Koreksi'!$D$5:$D$92,'0300'!A1632,'Daftar Koreksi'!$G$5:$G$92,"Jalan Irigasi Jaringan",'Daftar Koreksi'!$I$5:$I$92,"&lt;0")</f>
        <v>0</v>
      </c>
      <c r="G1647" s="17">
        <f t="shared" si="74"/>
        <v>0</v>
      </c>
      <c r="H1647" s="122"/>
    </row>
    <row r="1648" spans="1:8" ht="21.95" customHeight="1">
      <c r="A1648" s="14"/>
      <c r="B1648" s="14"/>
      <c r="C1648" s="16" t="s">
        <v>2090</v>
      </c>
      <c r="D1648" s="17">
        <f>VLOOKUP(A1632,'Neraca Unaudited SIMAK'!$A$2:$S$10004,16,FALSE)</f>
        <v>0</v>
      </c>
      <c r="E1648" s="25">
        <f>SUMIFS('Daftar Koreksi'!$I$5:$I$92,'Daftar Koreksi'!$D$5:$D$92,'0300'!A1632,'Daftar Koreksi'!$G$5:$G$92,"Aset Tetap Lainnya",'Daftar Koreksi'!$I$5:$I$92,"&gt;0")</f>
        <v>0</v>
      </c>
      <c r="F1648" s="25">
        <f>SUMIFS('Daftar Koreksi'!$I$5:$I$92,'Daftar Koreksi'!$D$5:$D$92,'0300'!A1632,'Daftar Koreksi'!$G$5:$G$92,"Aset Tetap Lainnya",'Daftar Koreksi'!$I$5:$I$92,"&lt;0")-SUMIFS('Daftar Koreksi'!$I$5:$I$92,'Daftar Koreksi'!$D$5:$D$92,'0300'!A1632,'Daftar Koreksi'!$G$5:$G$92,"Aset Tetap Lainnya",'Daftar Koreksi'!$I$5:$I$92,"&lt;0")-SUMIFS('Daftar Koreksi'!$I$5:$I$92,'Daftar Koreksi'!$D$5:$D$92,'0300'!A1632,'Daftar Koreksi'!$G$5:$G$92,"Aset Tetap Lainnya",'Daftar Koreksi'!$I$5:$I$92,"&lt;0")</f>
        <v>0</v>
      </c>
      <c r="G1648" s="17">
        <f t="shared" si="74"/>
        <v>0</v>
      </c>
      <c r="H1648" s="122"/>
    </row>
    <row r="1649" spans="1:8" ht="21.95" customHeight="1">
      <c r="A1649" s="14"/>
      <c r="B1649" s="14"/>
      <c r="C1649" s="16" t="s">
        <v>2020</v>
      </c>
      <c r="D1649" s="17">
        <f>VLOOKUP(A1632,'Neraca Unaudited SIMAK'!$A$2:$S$10004,17,FALSE)</f>
        <v>-128653050</v>
      </c>
      <c r="E1649" s="25">
        <f>SUMIFS('Daftar Koreksi'!$I$5:$I$92,'Daftar Koreksi'!$D$5:$D$92,'0300'!A1632,'Daftar Koreksi'!$G$5:$G$92,"Aset Henti Guna",'Daftar Koreksi'!$I$5:$I$92,"&gt;0")</f>
        <v>0</v>
      </c>
      <c r="F1649" s="25">
        <f>SUMIFS('Daftar Koreksi'!$I$5:$I$92,'Daftar Koreksi'!$D$5:$D$92,'0300'!A1632,'Daftar Koreksi'!$G$5:$G$92,"Aset Henti Guna",'Daftar Koreksi'!$I$5:$I$92,"&lt;0")-SUMIFS('Daftar Koreksi'!$I$5:$I$92,'Daftar Koreksi'!$D$5:$D$92,'0300'!A1632,'Daftar Koreksi'!$G$5:$G$92,"Aset Henti Guna",'Daftar Koreksi'!$I$5:$I$92,"&lt;0")-SUMIFS('Daftar Koreksi'!$I$5:$I$92,'Daftar Koreksi'!$D$5:$D$92,'0300'!A1632,'Daftar Koreksi'!$G$5:$G$92,"Aset Henti Guna",'Daftar Koreksi'!$I$5:$I$92,"&lt;0")</f>
        <v>0</v>
      </c>
      <c r="G1649" s="17">
        <f t="shared" si="74"/>
        <v>-128653050</v>
      </c>
      <c r="H1649" s="122"/>
    </row>
    <row r="1650" spans="1:8" ht="21.95" customHeight="1">
      <c r="A1650" s="14"/>
      <c r="B1650" s="14"/>
      <c r="C1650" s="18" t="s">
        <v>2094</v>
      </c>
      <c r="D1650" s="19">
        <f>SUM(D1645:D1649)</f>
        <v>-1669315630</v>
      </c>
      <c r="E1650" s="19">
        <f>SUM(E1645:E1649)</f>
        <v>0</v>
      </c>
      <c r="F1650" s="19">
        <f>SUM(F1645:F1649)</f>
        <v>0</v>
      </c>
      <c r="G1650" s="19">
        <f t="shared" si="74"/>
        <v>-1669315630</v>
      </c>
      <c r="H1650" s="122"/>
    </row>
    <row r="1651" spans="1:8" ht="21.95" customHeight="1">
      <c r="A1651" s="14"/>
      <c r="B1651" s="14"/>
      <c r="C1651" s="18" t="s">
        <v>2095</v>
      </c>
      <c r="D1651" s="19">
        <f>VLOOKUP(A1632,'Neraca Unaudited SIMAK'!$A$2:$S$10004,18,FALSE)</f>
        <v>2957693848</v>
      </c>
      <c r="E1651" s="19">
        <f>E1650+E1644</f>
        <v>0</v>
      </c>
      <c r="F1651" s="19">
        <f>F1650+F1644</f>
        <v>0</v>
      </c>
      <c r="G1651" s="19">
        <f t="shared" si="74"/>
        <v>2957693848</v>
      </c>
      <c r="H1651" s="122"/>
    </row>
    <row r="1652" spans="1:8" ht="21.95" customHeight="1">
      <c r="A1652" s="14"/>
      <c r="B1652" s="14"/>
      <c r="C1652" s="16" t="s">
        <v>2091</v>
      </c>
      <c r="D1652" s="17">
        <f>VLOOKUP(A1632,'Neraca Unaudited SIMAK'!$A$2:$S$10004,19,FALSE)</f>
        <v>0</v>
      </c>
      <c r="E1652" s="25"/>
      <c r="F1652" s="25"/>
      <c r="G1652" s="17">
        <f t="shared" si="74"/>
        <v>0</v>
      </c>
      <c r="H1652" s="123"/>
    </row>
  </sheetData>
  <mergeCells count="450">
    <mergeCell ref="H1569:H1586"/>
    <mergeCell ref="H1591:H1608"/>
    <mergeCell ref="H1613:H1630"/>
    <mergeCell ref="H1635:H1652"/>
    <mergeCell ref="H1349:H1366"/>
    <mergeCell ref="H1371:H1388"/>
    <mergeCell ref="H1393:H1410"/>
    <mergeCell ref="H1415:H1432"/>
    <mergeCell ref="H1437:H1454"/>
    <mergeCell ref="H1459:H1476"/>
    <mergeCell ref="H1481:H1498"/>
    <mergeCell ref="H1503:H1520"/>
    <mergeCell ref="H1525:H1542"/>
    <mergeCell ref="H1129:H1146"/>
    <mergeCell ref="H1151:H1168"/>
    <mergeCell ref="H1173:H1190"/>
    <mergeCell ref="H1195:H1212"/>
    <mergeCell ref="H1217:H1234"/>
    <mergeCell ref="H1239:H1256"/>
    <mergeCell ref="H1261:H1278"/>
    <mergeCell ref="H1283:H1300"/>
    <mergeCell ref="H1305:H1322"/>
    <mergeCell ref="H909:H926"/>
    <mergeCell ref="H931:H948"/>
    <mergeCell ref="H953:H970"/>
    <mergeCell ref="H975:H992"/>
    <mergeCell ref="H997:H1014"/>
    <mergeCell ref="H1019:H1036"/>
    <mergeCell ref="H1041:H1058"/>
    <mergeCell ref="H1063:H1080"/>
    <mergeCell ref="H1085:H1102"/>
    <mergeCell ref="H689:H706"/>
    <mergeCell ref="H711:H728"/>
    <mergeCell ref="H733:H750"/>
    <mergeCell ref="H755:H772"/>
    <mergeCell ref="H777:H794"/>
    <mergeCell ref="H799:H816"/>
    <mergeCell ref="H821:H838"/>
    <mergeCell ref="H843:H860"/>
    <mergeCell ref="H865:H882"/>
    <mergeCell ref="H469:H486"/>
    <mergeCell ref="H491:H508"/>
    <mergeCell ref="H513:H530"/>
    <mergeCell ref="H535:H552"/>
    <mergeCell ref="H557:H574"/>
    <mergeCell ref="H579:H596"/>
    <mergeCell ref="H601:H618"/>
    <mergeCell ref="H623:H640"/>
    <mergeCell ref="H645:H662"/>
    <mergeCell ref="H249:H266"/>
    <mergeCell ref="H271:H288"/>
    <mergeCell ref="H293:H310"/>
    <mergeCell ref="H315:H332"/>
    <mergeCell ref="H337:H354"/>
    <mergeCell ref="H359:H376"/>
    <mergeCell ref="H381:H398"/>
    <mergeCell ref="H403:H420"/>
    <mergeCell ref="H425:H442"/>
    <mergeCell ref="H29:H46"/>
    <mergeCell ref="H51:H68"/>
    <mergeCell ref="H73:H90"/>
    <mergeCell ref="H95:H112"/>
    <mergeCell ref="H117:H134"/>
    <mergeCell ref="H139:H156"/>
    <mergeCell ref="H161:H178"/>
    <mergeCell ref="H183:H200"/>
    <mergeCell ref="H205:H222"/>
    <mergeCell ref="C1633:C1634"/>
    <mergeCell ref="D1633:D1634"/>
    <mergeCell ref="E1633:F1633"/>
    <mergeCell ref="G1633:G1634"/>
    <mergeCell ref="H1633:H1634"/>
    <mergeCell ref="C1589:C1590"/>
    <mergeCell ref="D1589:D1590"/>
    <mergeCell ref="E1589:F1589"/>
    <mergeCell ref="G1589:G1590"/>
    <mergeCell ref="H1589:H1590"/>
    <mergeCell ref="C1611:C1612"/>
    <mergeCell ref="D1611:D1612"/>
    <mergeCell ref="E1611:F1611"/>
    <mergeCell ref="G1611:G1612"/>
    <mergeCell ref="H1611:H1612"/>
    <mergeCell ref="C1545:C1546"/>
    <mergeCell ref="D1545:D1546"/>
    <mergeCell ref="E1545:F1545"/>
    <mergeCell ref="G1545:G1546"/>
    <mergeCell ref="H1545:H1546"/>
    <mergeCell ref="C1567:C1568"/>
    <mergeCell ref="D1567:D1568"/>
    <mergeCell ref="E1567:F1567"/>
    <mergeCell ref="G1567:G1568"/>
    <mergeCell ref="H1567:H1568"/>
    <mergeCell ref="H1547:H1564"/>
    <mergeCell ref="C1501:C1502"/>
    <mergeCell ref="D1501:D1502"/>
    <mergeCell ref="E1501:F1501"/>
    <mergeCell ref="G1501:G1502"/>
    <mergeCell ref="H1501:H1502"/>
    <mergeCell ref="C1523:C1524"/>
    <mergeCell ref="D1523:D1524"/>
    <mergeCell ref="E1523:F1523"/>
    <mergeCell ref="G1523:G1524"/>
    <mergeCell ref="H1523:H1524"/>
    <mergeCell ref="C1457:C1458"/>
    <mergeCell ref="D1457:D1458"/>
    <mergeCell ref="E1457:F1457"/>
    <mergeCell ref="G1457:G1458"/>
    <mergeCell ref="H1457:H1458"/>
    <mergeCell ref="C1479:C1480"/>
    <mergeCell ref="D1479:D1480"/>
    <mergeCell ref="E1479:F1479"/>
    <mergeCell ref="G1479:G1480"/>
    <mergeCell ref="H1479:H1480"/>
    <mergeCell ref="C1413:C1414"/>
    <mergeCell ref="D1413:D1414"/>
    <mergeCell ref="E1413:F1413"/>
    <mergeCell ref="G1413:G1414"/>
    <mergeCell ref="H1413:H1414"/>
    <mergeCell ref="C1435:C1436"/>
    <mergeCell ref="D1435:D1436"/>
    <mergeCell ref="E1435:F1435"/>
    <mergeCell ref="G1435:G1436"/>
    <mergeCell ref="H1435:H1436"/>
    <mergeCell ref="C1369:C1370"/>
    <mergeCell ref="D1369:D1370"/>
    <mergeCell ref="E1369:F1369"/>
    <mergeCell ref="G1369:G1370"/>
    <mergeCell ref="H1369:H1370"/>
    <mergeCell ref="C1391:C1392"/>
    <mergeCell ref="D1391:D1392"/>
    <mergeCell ref="E1391:F1391"/>
    <mergeCell ref="G1391:G1392"/>
    <mergeCell ref="H1391:H1392"/>
    <mergeCell ref="C1325:C1326"/>
    <mergeCell ref="D1325:D1326"/>
    <mergeCell ref="E1325:F1325"/>
    <mergeCell ref="G1325:G1326"/>
    <mergeCell ref="H1325:H1326"/>
    <mergeCell ref="C1347:C1348"/>
    <mergeCell ref="D1347:D1348"/>
    <mergeCell ref="E1347:F1347"/>
    <mergeCell ref="G1347:G1348"/>
    <mergeCell ref="H1347:H1348"/>
    <mergeCell ref="H1327:H1344"/>
    <mergeCell ref="C1281:C1282"/>
    <mergeCell ref="D1281:D1282"/>
    <mergeCell ref="E1281:F1281"/>
    <mergeCell ref="G1281:G1282"/>
    <mergeCell ref="H1281:H1282"/>
    <mergeCell ref="C1303:C1304"/>
    <mergeCell ref="D1303:D1304"/>
    <mergeCell ref="E1303:F1303"/>
    <mergeCell ref="G1303:G1304"/>
    <mergeCell ref="H1303:H1304"/>
    <mergeCell ref="C1237:C1238"/>
    <mergeCell ref="D1237:D1238"/>
    <mergeCell ref="E1237:F1237"/>
    <mergeCell ref="G1237:G1238"/>
    <mergeCell ref="H1237:H1238"/>
    <mergeCell ref="C1259:C1260"/>
    <mergeCell ref="D1259:D1260"/>
    <mergeCell ref="E1259:F1259"/>
    <mergeCell ref="G1259:G1260"/>
    <mergeCell ref="H1259:H1260"/>
    <mergeCell ref="C1193:C1194"/>
    <mergeCell ref="D1193:D1194"/>
    <mergeCell ref="E1193:F1193"/>
    <mergeCell ref="G1193:G1194"/>
    <mergeCell ref="H1193:H1194"/>
    <mergeCell ref="C1215:C1216"/>
    <mergeCell ref="D1215:D1216"/>
    <mergeCell ref="E1215:F1215"/>
    <mergeCell ref="G1215:G1216"/>
    <mergeCell ref="H1215:H1216"/>
    <mergeCell ref="C1149:C1150"/>
    <mergeCell ref="D1149:D1150"/>
    <mergeCell ref="E1149:F1149"/>
    <mergeCell ref="G1149:G1150"/>
    <mergeCell ref="H1149:H1150"/>
    <mergeCell ref="C1171:C1172"/>
    <mergeCell ref="D1171:D1172"/>
    <mergeCell ref="E1171:F1171"/>
    <mergeCell ref="G1171:G1172"/>
    <mergeCell ref="H1171:H1172"/>
    <mergeCell ref="C1105:C1106"/>
    <mergeCell ref="D1105:D1106"/>
    <mergeCell ref="E1105:F1105"/>
    <mergeCell ref="G1105:G1106"/>
    <mergeCell ref="H1105:H1106"/>
    <mergeCell ref="C1127:C1128"/>
    <mergeCell ref="D1127:D1128"/>
    <mergeCell ref="E1127:F1127"/>
    <mergeCell ref="G1127:G1128"/>
    <mergeCell ref="H1127:H1128"/>
    <mergeCell ref="H1107:H1124"/>
    <mergeCell ref="C1061:C1062"/>
    <mergeCell ref="D1061:D1062"/>
    <mergeCell ref="E1061:F1061"/>
    <mergeCell ref="G1061:G1062"/>
    <mergeCell ref="H1061:H1062"/>
    <mergeCell ref="C1083:C1084"/>
    <mergeCell ref="D1083:D1084"/>
    <mergeCell ref="E1083:F1083"/>
    <mergeCell ref="G1083:G1084"/>
    <mergeCell ref="H1083:H1084"/>
    <mergeCell ref="C1017:C1018"/>
    <mergeCell ref="D1017:D1018"/>
    <mergeCell ref="E1017:F1017"/>
    <mergeCell ref="G1017:G1018"/>
    <mergeCell ref="H1017:H1018"/>
    <mergeCell ref="C1039:C1040"/>
    <mergeCell ref="D1039:D1040"/>
    <mergeCell ref="E1039:F1039"/>
    <mergeCell ref="G1039:G1040"/>
    <mergeCell ref="H1039:H1040"/>
    <mergeCell ref="C973:C974"/>
    <mergeCell ref="D973:D974"/>
    <mergeCell ref="E973:F973"/>
    <mergeCell ref="G973:G974"/>
    <mergeCell ref="H973:H974"/>
    <mergeCell ref="C995:C996"/>
    <mergeCell ref="D995:D996"/>
    <mergeCell ref="E995:F995"/>
    <mergeCell ref="G995:G996"/>
    <mergeCell ref="H995:H996"/>
    <mergeCell ref="C929:C930"/>
    <mergeCell ref="D929:D930"/>
    <mergeCell ref="E929:F929"/>
    <mergeCell ref="G929:G930"/>
    <mergeCell ref="H929:H930"/>
    <mergeCell ref="C951:C952"/>
    <mergeCell ref="D951:D952"/>
    <mergeCell ref="E951:F951"/>
    <mergeCell ref="G951:G952"/>
    <mergeCell ref="H951:H952"/>
    <mergeCell ref="C885:C886"/>
    <mergeCell ref="D885:D886"/>
    <mergeCell ref="E885:F885"/>
    <mergeCell ref="G885:G886"/>
    <mergeCell ref="H885:H886"/>
    <mergeCell ref="C907:C908"/>
    <mergeCell ref="D907:D908"/>
    <mergeCell ref="E907:F907"/>
    <mergeCell ref="G907:G908"/>
    <mergeCell ref="H907:H908"/>
    <mergeCell ref="H887:H904"/>
    <mergeCell ref="C841:C842"/>
    <mergeCell ref="D841:D842"/>
    <mergeCell ref="E841:F841"/>
    <mergeCell ref="G841:G842"/>
    <mergeCell ref="H841:H842"/>
    <mergeCell ref="C863:C864"/>
    <mergeCell ref="D863:D864"/>
    <mergeCell ref="E863:F863"/>
    <mergeCell ref="G863:G864"/>
    <mergeCell ref="H863:H864"/>
    <mergeCell ref="C797:C798"/>
    <mergeCell ref="D797:D798"/>
    <mergeCell ref="E797:F797"/>
    <mergeCell ref="G797:G798"/>
    <mergeCell ref="H797:H798"/>
    <mergeCell ref="C819:C820"/>
    <mergeCell ref="D819:D820"/>
    <mergeCell ref="E819:F819"/>
    <mergeCell ref="G819:G820"/>
    <mergeCell ref="H819:H820"/>
    <mergeCell ref="C753:C754"/>
    <mergeCell ref="D753:D754"/>
    <mergeCell ref="E753:F753"/>
    <mergeCell ref="G753:G754"/>
    <mergeCell ref="H753:H754"/>
    <mergeCell ref="C775:C776"/>
    <mergeCell ref="D775:D776"/>
    <mergeCell ref="E775:F775"/>
    <mergeCell ref="G775:G776"/>
    <mergeCell ref="H775:H776"/>
    <mergeCell ref="C709:C710"/>
    <mergeCell ref="D709:D710"/>
    <mergeCell ref="E709:F709"/>
    <mergeCell ref="G709:G710"/>
    <mergeCell ref="H709:H710"/>
    <mergeCell ref="C731:C732"/>
    <mergeCell ref="D731:D732"/>
    <mergeCell ref="E731:F731"/>
    <mergeCell ref="G731:G732"/>
    <mergeCell ref="H731:H732"/>
    <mergeCell ref="C665:C666"/>
    <mergeCell ref="D665:D666"/>
    <mergeCell ref="E665:F665"/>
    <mergeCell ref="G665:G666"/>
    <mergeCell ref="H665:H666"/>
    <mergeCell ref="C687:C688"/>
    <mergeCell ref="D687:D688"/>
    <mergeCell ref="E687:F687"/>
    <mergeCell ref="G687:G688"/>
    <mergeCell ref="H687:H688"/>
    <mergeCell ref="H667:H684"/>
    <mergeCell ref="C621:C622"/>
    <mergeCell ref="D621:D622"/>
    <mergeCell ref="E621:F621"/>
    <mergeCell ref="G621:G622"/>
    <mergeCell ref="H621:H622"/>
    <mergeCell ref="C643:C644"/>
    <mergeCell ref="D643:D644"/>
    <mergeCell ref="E643:F643"/>
    <mergeCell ref="G643:G644"/>
    <mergeCell ref="H643:H644"/>
    <mergeCell ref="C577:C578"/>
    <mergeCell ref="D577:D578"/>
    <mergeCell ref="E577:F577"/>
    <mergeCell ref="G577:G578"/>
    <mergeCell ref="H577:H578"/>
    <mergeCell ref="C599:C600"/>
    <mergeCell ref="D599:D600"/>
    <mergeCell ref="E599:F599"/>
    <mergeCell ref="G599:G600"/>
    <mergeCell ref="H599:H600"/>
    <mergeCell ref="C533:C534"/>
    <mergeCell ref="D533:D534"/>
    <mergeCell ref="E533:F533"/>
    <mergeCell ref="G533:G534"/>
    <mergeCell ref="H533:H534"/>
    <mergeCell ref="C555:C556"/>
    <mergeCell ref="D555:D556"/>
    <mergeCell ref="E555:F555"/>
    <mergeCell ref="G555:G556"/>
    <mergeCell ref="H555:H556"/>
    <mergeCell ref="C489:C490"/>
    <mergeCell ref="D489:D490"/>
    <mergeCell ref="E489:F489"/>
    <mergeCell ref="G489:G490"/>
    <mergeCell ref="H489:H490"/>
    <mergeCell ref="C511:C512"/>
    <mergeCell ref="D511:D512"/>
    <mergeCell ref="E511:F511"/>
    <mergeCell ref="G511:G512"/>
    <mergeCell ref="H511:H512"/>
    <mergeCell ref="C445:C446"/>
    <mergeCell ref="D445:D446"/>
    <mergeCell ref="E445:F445"/>
    <mergeCell ref="G445:G446"/>
    <mergeCell ref="H445:H446"/>
    <mergeCell ref="C467:C468"/>
    <mergeCell ref="D467:D468"/>
    <mergeCell ref="E467:F467"/>
    <mergeCell ref="G467:G468"/>
    <mergeCell ref="H467:H468"/>
    <mergeCell ref="H447:H464"/>
    <mergeCell ref="C401:C402"/>
    <mergeCell ref="D401:D402"/>
    <mergeCell ref="E401:F401"/>
    <mergeCell ref="G401:G402"/>
    <mergeCell ref="H401:H402"/>
    <mergeCell ref="C423:C424"/>
    <mergeCell ref="D423:D424"/>
    <mergeCell ref="E423:F423"/>
    <mergeCell ref="G423:G424"/>
    <mergeCell ref="H423:H424"/>
    <mergeCell ref="C357:C358"/>
    <mergeCell ref="D357:D358"/>
    <mergeCell ref="E357:F357"/>
    <mergeCell ref="G357:G358"/>
    <mergeCell ref="H357:H358"/>
    <mergeCell ref="C379:C380"/>
    <mergeCell ref="D379:D380"/>
    <mergeCell ref="E379:F379"/>
    <mergeCell ref="G379:G380"/>
    <mergeCell ref="H379:H380"/>
    <mergeCell ref="C313:C314"/>
    <mergeCell ref="D313:D314"/>
    <mergeCell ref="E313:F313"/>
    <mergeCell ref="G313:G314"/>
    <mergeCell ref="H313:H314"/>
    <mergeCell ref="C335:C336"/>
    <mergeCell ref="D335:D336"/>
    <mergeCell ref="E335:F335"/>
    <mergeCell ref="G335:G336"/>
    <mergeCell ref="H335:H336"/>
    <mergeCell ref="C269:C270"/>
    <mergeCell ref="D269:D270"/>
    <mergeCell ref="E269:F269"/>
    <mergeCell ref="G269:G270"/>
    <mergeCell ref="H269:H270"/>
    <mergeCell ref="C291:C292"/>
    <mergeCell ref="D291:D292"/>
    <mergeCell ref="E291:F291"/>
    <mergeCell ref="G291:G292"/>
    <mergeCell ref="H291:H292"/>
    <mergeCell ref="C225:C226"/>
    <mergeCell ref="D225:D226"/>
    <mergeCell ref="E225:F225"/>
    <mergeCell ref="G225:G226"/>
    <mergeCell ref="H225:H226"/>
    <mergeCell ref="C247:C248"/>
    <mergeCell ref="D247:D248"/>
    <mergeCell ref="E247:F247"/>
    <mergeCell ref="G247:G248"/>
    <mergeCell ref="H247:H248"/>
    <mergeCell ref="H227:H244"/>
    <mergeCell ref="C181:C182"/>
    <mergeCell ref="D181:D182"/>
    <mergeCell ref="E181:F181"/>
    <mergeCell ref="G181:G182"/>
    <mergeCell ref="H181:H182"/>
    <mergeCell ref="C203:C204"/>
    <mergeCell ref="D203:D204"/>
    <mergeCell ref="E203:F203"/>
    <mergeCell ref="G203:G204"/>
    <mergeCell ref="H203:H204"/>
    <mergeCell ref="C137:C138"/>
    <mergeCell ref="D137:D138"/>
    <mergeCell ref="E137:F137"/>
    <mergeCell ref="G137:G138"/>
    <mergeCell ref="H137:H138"/>
    <mergeCell ref="C159:C160"/>
    <mergeCell ref="D159:D160"/>
    <mergeCell ref="E159:F159"/>
    <mergeCell ref="G159:G160"/>
    <mergeCell ref="H159:H160"/>
    <mergeCell ref="C93:C94"/>
    <mergeCell ref="D93:D94"/>
    <mergeCell ref="E93:F93"/>
    <mergeCell ref="G93:G94"/>
    <mergeCell ref="H93:H94"/>
    <mergeCell ref="C115:C116"/>
    <mergeCell ref="D115:D116"/>
    <mergeCell ref="E115:F115"/>
    <mergeCell ref="G115:G116"/>
    <mergeCell ref="H115:H116"/>
    <mergeCell ref="C49:C50"/>
    <mergeCell ref="D49:D50"/>
    <mergeCell ref="E49:F49"/>
    <mergeCell ref="G49:G50"/>
    <mergeCell ref="H49:H50"/>
    <mergeCell ref="C71:C72"/>
    <mergeCell ref="D71:D72"/>
    <mergeCell ref="E71:F71"/>
    <mergeCell ref="G71:G72"/>
    <mergeCell ref="H71:H72"/>
    <mergeCell ref="C5:C6"/>
    <mergeCell ref="D5:D6"/>
    <mergeCell ref="E5:F5"/>
    <mergeCell ref="G5:G6"/>
    <mergeCell ref="H5:H6"/>
    <mergeCell ref="C27:C28"/>
    <mergeCell ref="D27:D28"/>
    <mergeCell ref="E27:F27"/>
    <mergeCell ref="G27:G28"/>
    <mergeCell ref="H27:H28"/>
    <mergeCell ref="H7:H24"/>
  </mergeCells>
  <pageMargins left="1" right="0.5" top="0.6" bottom="0.3" header="0.3" footer="0.3"/>
  <pageSetup paperSize="14" scale="88" orientation="portrait" r:id="rId1"/>
  <headerFooter>
    <oddFooter>&amp;R&amp;F - &amp;A</oddFooter>
  </headerFooter>
  <rowBreaks count="36" manualBreakCount="36">
    <brk id="91" max="7" man="1"/>
    <brk id="135" max="7" man="1"/>
    <brk id="179" max="7" man="1"/>
    <brk id="223" max="7" man="1"/>
    <brk id="267" max="7" man="1"/>
    <brk id="311" max="7" man="1"/>
    <brk id="355" max="7" man="1"/>
    <brk id="399" max="7" man="1"/>
    <brk id="443" max="7" man="1"/>
    <brk id="487" max="7" man="1"/>
    <brk id="531" max="7" man="1"/>
    <brk id="575" max="7" man="1"/>
    <brk id="619" max="7" man="1"/>
    <brk id="663" max="7" man="1"/>
    <brk id="707" max="7" man="1"/>
    <brk id="751" max="7" man="1"/>
    <brk id="795" max="7" man="1"/>
    <brk id="839" max="7" man="1"/>
    <brk id="883" max="7" man="1"/>
    <brk id="927" max="7" man="1"/>
    <brk id="971" max="7" man="1"/>
    <brk id="1015" max="7" man="1"/>
    <brk id="1059" max="7" man="1"/>
    <brk id="1103" max="7" man="1"/>
    <brk id="1147" max="7" man="1"/>
    <brk id="1191" max="7" man="1"/>
    <brk id="1235" max="7" man="1"/>
    <brk id="1279" max="7" man="1"/>
    <brk id="1323" max="7" man="1"/>
    <brk id="1367" max="7" man="1"/>
    <brk id="1411" max="7" man="1"/>
    <brk id="1455" max="7" man="1"/>
    <brk id="1499" max="7" man="1"/>
    <brk id="1543" max="7" man="1"/>
    <brk id="1587" max="7" man="1"/>
    <brk id="1631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35</vt:i4>
      </vt:variant>
    </vt:vector>
  </HeadingPairs>
  <TitlesOfParts>
    <vt:vector size="74" baseType="lpstr">
      <vt:lpstr>perkiraan neraca audited KL</vt:lpstr>
      <vt:lpstr>Neraca Unaudited SIMAK</vt:lpstr>
      <vt:lpstr>Neraca Audited SIMAK</vt:lpstr>
      <vt:lpstr>Mutasi Neraca</vt:lpstr>
      <vt:lpstr>Daftar Koreksi</vt:lpstr>
      <vt:lpstr>Eselon 1</vt:lpstr>
      <vt:lpstr>0100</vt:lpstr>
      <vt:lpstr>0200</vt:lpstr>
      <vt:lpstr>0300</vt:lpstr>
      <vt:lpstr>0400</vt:lpstr>
      <vt:lpstr>0500</vt:lpstr>
      <vt:lpstr>0600</vt:lpstr>
      <vt:lpstr>0700</vt:lpstr>
      <vt:lpstr>0800</vt:lpstr>
      <vt:lpstr>0900</vt:lpstr>
      <vt:lpstr>1000</vt:lpstr>
      <vt:lpstr>1100</vt:lpstr>
      <vt:lpstr>1200</vt:lpstr>
      <vt:lpstr>1300</vt:lpstr>
      <vt:lpstr>1400</vt:lpstr>
      <vt:lpstr>1500</vt:lpstr>
      <vt:lpstr>1600</vt:lpstr>
      <vt:lpstr>1700</vt:lpstr>
      <vt:lpstr>1800</vt:lpstr>
      <vt:lpstr>1900</vt:lpstr>
      <vt:lpstr>2000</vt:lpstr>
      <vt:lpstr>2100</vt:lpstr>
      <vt:lpstr>2200</vt:lpstr>
      <vt:lpstr>2300</vt:lpstr>
      <vt:lpstr>2400</vt:lpstr>
      <vt:lpstr>2500</vt:lpstr>
      <vt:lpstr>2600</vt:lpstr>
      <vt:lpstr>2800</vt:lpstr>
      <vt:lpstr>2900</vt:lpstr>
      <vt:lpstr>3000</vt:lpstr>
      <vt:lpstr>3100</vt:lpstr>
      <vt:lpstr>3200</vt:lpstr>
      <vt:lpstr>3300</vt:lpstr>
      <vt:lpstr>3400</vt:lpstr>
      <vt:lpstr>'0100'!Print_Area</vt:lpstr>
      <vt:lpstr>'0200'!Print_Area</vt:lpstr>
      <vt:lpstr>'0300'!Print_Area</vt:lpstr>
      <vt:lpstr>'0400'!Print_Area</vt:lpstr>
      <vt:lpstr>'0500'!Print_Area</vt:lpstr>
      <vt:lpstr>'0600'!Print_Area</vt:lpstr>
      <vt:lpstr>'0700'!Print_Area</vt:lpstr>
      <vt:lpstr>'0800'!Print_Area</vt:lpstr>
      <vt:lpstr>'0900'!Print_Area</vt:lpstr>
      <vt:lpstr>'1000'!Print_Area</vt:lpstr>
      <vt:lpstr>'1100'!Print_Area</vt:lpstr>
      <vt:lpstr>'1200'!Print_Area</vt:lpstr>
      <vt:lpstr>'1300'!Print_Area</vt:lpstr>
      <vt:lpstr>'1400'!Print_Area</vt:lpstr>
      <vt:lpstr>'1500'!Print_Area</vt:lpstr>
      <vt:lpstr>'1600'!Print_Area</vt:lpstr>
      <vt:lpstr>'1700'!Print_Area</vt:lpstr>
      <vt:lpstr>'1800'!Print_Area</vt:lpstr>
      <vt:lpstr>'1900'!Print_Area</vt:lpstr>
      <vt:lpstr>'2000'!Print_Area</vt:lpstr>
      <vt:lpstr>'2100'!Print_Area</vt:lpstr>
      <vt:lpstr>'2200'!Print_Area</vt:lpstr>
      <vt:lpstr>'2300'!Print_Area</vt:lpstr>
      <vt:lpstr>'2400'!Print_Area</vt:lpstr>
      <vt:lpstr>'2500'!Print_Area</vt:lpstr>
      <vt:lpstr>'2600'!Print_Area</vt:lpstr>
      <vt:lpstr>'2800'!Print_Area</vt:lpstr>
      <vt:lpstr>'2900'!Print_Area</vt:lpstr>
      <vt:lpstr>'3000'!Print_Area</vt:lpstr>
      <vt:lpstr>'3100'!Print_Area</vt:lpstr>
      <vt:lpstr>'3200'!Print_Area</vt:lpstr>
      <vt:lpstr>'3300'!Print_Area</vt:lpstr>
      <vt:lpstr>'3400'!Print_Area</vt:lpstr>
      <vt:lpstr>'Eselon 1'!Print_Area</vt:lpstr>
      <vt:lpstr>'Daftar Koreksi'!Print_Titles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</dc:creator>
  <cp:lastModifiedBy>PT-Mataram</cp:lastModifiedBy>
  <cp:lastPrinted>2014-05-13T07:49:25Z</cp:lastPrinted>
  <dcterms:created xsi:type="dcterms:W3CDTF">2013-05-01T02:33:23Z</dcterms:created>
  <dcterms:modified xsi:type="dcterms:W3CDTF">2016-06-13T22:20:33Z</dcterms:modified>
</cp:coreProperties>
</file>